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Statistika\Statistik bülleten\1. Bülleten PDF, Excel və Twit\"/>
    </mc:Choice>
  </mc:AlternateContent>
  <xr:revisionPtr revIDLastSave="0" documentId="13_ncr:1_{C1DFCDBF-8699-4136-A8CA-A8E80412AEFE}" xr6:coauthVersionLast="47" xr6:coauthVersionMax="47" xr10:uidLastSave="{00000000-0000-0000-0000-000000000000}"/>
  <bookViews>
    <workbookView xWindow="-120" yWindow="-120" windowWidth="29040" windowHeight="15720" tabRatio="906" firstSheet="1" activeTab="1" xr2:uid="{00000000-000D-0000-FFFF-FFFF00000000}"/>
  </bookViews>
  <sheets>
    <sheet name="Mündəricat" sheetId="118" state="hidden" r:id="rId1"/>
    <sheet name="Table of contents" sheetId="199" r:id="rId2"/>
    <sheet name="1.1" sheetId="225" r:id="rId3"/>
    <sheet name="1.2" sheetId="117" r:id="rId4"/>
    <sheet name="1.3" sheetId="106" r:id="rId5"/>
    <sheet name="1.4" sheetId="231" r:id="rId6"/>
    <sheet name="1.5" sheetId="269" r:id="rId7"/>
    <sheet name="1.6" sheetId="181" r:id="rId8"/>
    <sheet name="1.6.1" sheetId="253" r:id="rId9"/>
    <sheet name="2.1" sheetId="8" r:id="rId10"/>
    <sheet name="2.2" sheetId="208" r:id="rId11"/>
    <sheet name="2.3" sheetId="10" r:id="rId12"/>
    <sheet name="2.4" sheetId="86" r:id="rId13"/>
    <sheet name="2.5" sheetId="12" r:id="rId14"/>
    <sheet name="2.6" sheetId="15" r:id="rId15"/>
    <sheet name="2.7" sheetId="14" r:id="rId16"/>
    <sheet name="2.7.d." sheetId="122" r:id="rId17"/>
    <sheet name="2.7.1" sheetId="194" r:id="rId18"/>
    <sheet name="2.8" sheetId="92" r:id="rId19"/>
    <sheet name="2.8.d." sheetId="123" r:id="rId20"/>
    <sheet name="2.8.1" sheetId="97" r:id="rId21"/>
    <sheet name="2.8.2" sheetId="98" r:id="rId22"/>
    <sheet name="2.8.3" sheetId="99" r:id="rId23"/>
    <sheet name="2.8.4" sheetId="100" r:id="rId24"/>
    <sheet name="2.8.5" sheetId="101" r:id="rId25"/>
    <sheet name="2.8.6" sheetId="102" r:id="rId26"/>
    <sheet name="2.8.7" sheetId="103" r:id="rId27"/>
    <sheet name="2.8.8" sheetId="104" r:id="rId28"/>
    <sheet name="2.8.9" sheetId="105" r:id="rId29"/>
    <sheet name="2.9" sheetId="48" r:id="rId30"/>
    <sheet name="2.10" sheetId="17" r:id="rId31"/>
    <sheet name="2.11" sheetId="219" r:id="rId32"/>
    <sheet name="2.12" sheetId="23" r:id="rId33"/>
    <sheet name="2.13" sheetId="254" r:id="rId34"/>
    <sheet name="2.14" sheetId="20" r:id="rId35"/>
    <sheet name="2.15" sheetId="223" r:id="rId36"/>
    <sheet name="2.16" sheetId="25" r:id="rId37"/>
    <sheet name="2.16.1" sheetId="184" r:id="rId38"/>
    <sheet name="3.1 " sheetId="160" r:id="rId39"/>
    <sheet name="3.2" sheetId="29" r:id="rId40"/>
    <sheet name="3.2.1" sheetId="170" r:id="rId41"/>
    <sheet name="3.3 " sheetId="221" r:id="rId42"/>
    <sheet name="3.4" sheetId="95" r:id="rId43"/>
    <sheet name="3.5" sheetId="32" r:id="rId44"/>
    <sheet name="3.6" sheetId="33" r:id="rId45"/>
    <sheet name="4.1" sheetId="209" r:id="rId46"/>
    <sheet name="4.2" sheetId="210" r:id="rId47"/>
    <sheet name="4.3" sheetId="211" r:id="rId48"/>
    <sheet name="4.4" sheetId="226" r:id="rId49"/>
    <sheet name="4.5" sheetId="213" r:id="rId50"/>
    <sheet name="4.6" sheetId="214" r:id="rId51"/>
    <sheet name="4.7" sheetId="215" r:id="rId52"/>
    <sheet name="4.8" sheetId="216" r:id="rId53"/>
    <sheet name="4.9" sheetId="217" r:id="rId54"/>
    <sheet name="4.10" sheetId="218" r:id="rId55"/>
    <sheet name="5.1" sheetId="188" r:id="rId56"/>
    <sheet name="5.2" sheetId="189" r:id="rId57"/>
    <sheet name="5.3" sheetId="190" r:id="rId58"/>
    <sheet name="5.4" sheetId="191" r:id="rId59"/>
    <sheet name="5.5" sheetId="192" r:id="rId60"/>
    <sheet name="5.6" sheetId="198" r:id="rId61"/>
    <sheet name="5.7" sheetId="206" r:id="rId62"/>
    <sheet name="5.8" sheetId="230" r:id="rId63"/>
    <sheet name="5.9" sheetId="248" r:id="rId64"/>
    <sheet name="6.1 " sheetId="272" r:id="rId65"/>
    <sheet name="6.2" sheetId="273" r:id="rId66"/>
    <sheet name="7" sheetId="136" r:id="rId67"/>
    <sheet name="8" sheetId="135" r:id="rId68"/>
  </sheets>
  <externalReferences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__LF_ffffffde__ffffffe6_ki_LFdr1_iNdEx_646" localSheetId="17">'[1]ST-2SD.ST'!$A$81</definedName>
    <definedName name="__LF_ffffffde__ffffffe6_ki_LFdr1_iNdEx_646" localSheetId="16">'[1]ST-2SD.ST'!$A$81</definedName>
    <definedName name="__LF_ffffffde__ffffffe6_ki_LFdr1_iNdEx_646" localSheetId="19">'[1]ST-2SD.ST'!$A$81</definedName>
    <definedName name="__LF_ffffffde__ffffffe6_ki_LFdr1_iNdEx_646" localSheetId="62">'[1]ST-2SD.ST'!$A$81</definedName>
    <definedName name="__LF_ffffffde__ffffffe6_ki_LFdr1_iNdEx_646" localSheetId="63">'[2]ST-2SD.ST'!$A$81</definedName>
    <definedName name="__LF_ffffffde__ffffffe6_ki_LFdr1_iNdEx_646" localSheetId="64">'[3]ST-2SD.ST'!$A$81</definedName>
    <definedName name="__LF_ffffffde__ffffffe6_ki_LFdr1_iNdEx_646" localSheetId="65">'[3]ST-2SD.ST'!$A$81</definedName>
    <definedName name="__LF_ffffffde__ffffffe6_ki_LFdr1_iNdEx_646" localSheetId="67">'[1]ST-2SD.ST'!$A$81</definedName>
    <definedName name="__LF_ffffffde__ffffffe6_ki_LFdr1_iNdEx_646">'[1]ST-2SD.ST'!$A$81</definedName>
    <definedName name="__LF_ffffffde_u_fffffffe_a_LFdr1_iNdEx_645" localSheetId="17">'[1]ST-2SD.ST'!$A$80</definedName>
    <definedName name="__LF_ffffffde_u_fffffffe_a_LFdr1_iNdEx_645" localSheetId="16">'[1]ST-2SD.ST'!$A$80</definedName>
    <definedName name="__LF_ffffffde_u_fffffffe_a_LFdr1_iNdEx_645" localSheetId="19">'[1]ST-2SD.ST'!$A$80</definedName>
    <definedName name="__LF_ffffffde_u_fffffffe_a_LFdr1_iNdEx_645" localSheetId="62">'[1]ST-2SD.ST'!$A$80</definedName>
    <definedName name="__LF_ffffffde_u_fffffffe_a_LFdr1_iNdEx_645" localSheetId="63">'[2]ST-2SD.ST'!$A$80</definedName>
    <definedName name="__LF_ffffffde_u_fffffffe_a_LFdr1_iNdEx_645" localSheetId="64">'[3]ST-2SD.ST'!$A$80</definedName>
    <definedName name="__LF_ffffffde_u_fffffffe_a_LFdr1_iNdEx_645" localSheetId="65">'[3]ST-2SD.ST'!$A$80</definedName>
    <definedName name="__LF_ffffffde_u_fffffffe_a_LFdr1_iNdEx_645" localSheetId="67">'[1]ST-2SD.ST'!$A$80</definedName>
    <definedName name="__LF_ffffffde_u_fffffffe_a_LFdr1_iNdEx_645">'[1]ST-2SD.ST'!$A$80</definedName>
    <definedName name="__LFA_fffffff0_dam_LFdr1_iNdEx_584" localSheetId="17">'[1]ST-2SD.ST'!$A$19</definedName>
    <definedName name="__LFA_fffffff0_dam_LFdr1_iNdEx_584" localSheetId="16">'[1]ST-2SD.ST'!$A$19</definedName>
    <definedName name="__LFA_fffffff0_dam_LFdr1_iNdEx_584" localSheetId="19">'[1]ST-2SD.ST'!$A$19</definedName>
    <definedName name="__LFA_fffffff0_dam_LFdr1_iNdEx_584" localSheetId="62">'[1]ST-2SD.ST'!$A$19</definedName>
    <definedName name="__LFA_fffffff0_dam_LFdr1_iNdEx_584" localSheetId="63">'[2]ST-2SD.ST'!$A$19</definedName>
    <definedName name="__LFA_fffffff0_dam_LFdr1_iNdEx_584" localSheetId="64">'[3]ST-2SD.ST'!$A$19</definedName>
    <definedName name="__LFA_fffffff0_dam_LFdr1_iNdEx_584" localSheetId="65">'[3]ST-2SD.ST'!$A$19</definedName>
    <definedName name="__LFA_fffffff0_dam_LFdr1_iNdEx_584" localSheetId="67">'[1]ST-2SD.ST'!$A$19</definedName>
    <definedName name="__LFA_fffffff0_dam_LFdr1_iNdEx_584">'[1]ST-2SD.ST'!$A$19</definedName>
    <definedName name="__LFAstara_LFdr1_iNdEx_582" localSheetId="17">'[1]ST-2SD.ST'!$A$17</definedName>
    <definedName name="__LFAstara_LFdr1_iNdEx_582" localSheetId="16">'[1]ST-2SD.ST'!$A$17</definedName>
    <definedName name="__LFAstara_LFdr1_iNdEx_582" localSheetId="19">'[1]ST-2SD.ST'!$A$17</definedName>
    <definedName name="__LFAstara_LFdr1_iNdEx_582" localSheetId="62">'[1]ST-2SD.ST'!$A$17</definedName>
    <definedName name="__LFAstara_LFdr1_iNdEx_582" localSheetId="63">'[2]ST-2SD.ST'!$A$17</definedName>
    <definedName name="__LFAstara_LFdr1_iNdEx_582" localSheetId="64">'[3]ST-2SD.ST'!$A$17</definedName>
    <definedName name="__LFAstara_LFdr1_iNdEx_582" localSheetId="65">'[3]ST-2SD.ST'!$A$17</definedName>
    <definedName name="__LFAstara_LFdr1_iNdEx_582" localSheetId="67">'[1]ST-2SD.ST'!$A$17</definedName>
    <definedName name="__LFAstara_LFdr1_iNdEx_582">'[1]ST-2SD.ST'!$A$17</definedName>
    <definedName name="__LFBak_fffffffd__LFdr1_iNdEx_588" localSheetId="17">'[1]ST-2SD.ST'!$A$23</definedName>
    <definedName name="__LFBak_fffffffd__LFdr1_iNdEx_588" localSheetId="16">'[1]ST-2SD.ST'!$A$23</definedName>
    <definedName name="__LFBak_fffffffd__LFdr1_iNdEx_588" localSheetId="19">'[1]ST-2SD.ST'!$A$23</definedName>
    <definedName name="__LFBak_fffffffd__LFdr1_iNdEx_588" localSheetId="62">'[1]ST-2SD.ST'!$A$23</definedName>
    <definedName name="__LFBak_fffffffd__LFdr1_iNdEx_588" localSheetId="63">'[2]ST-2SD.ST'!$A$23</definedName>
    <definedName name="__LFBak_fffffffd__LFdr1_iNdEx_588" localSheetId="64">'[3]ST-2SD.ST'!$A$23</definedName>
    <definedName name="__LFBak_fffffffd__LFdr1_iNdEx_588" localSheetId="65">'[3]ST-2SD.ST'!$A$23</definedName>
    <definedName name="__LFBak_fffffffd__LFdr1_iNdEx_588" localSheetId="67">'[1]ST-2SD.ST'!$A$23</definedName>
    <definedName name="__LFBak_fffffffd__LFdr1_iNdEx_588">'[1]ST-2SD.ST'!$A$23</definedName>
    <definedName name="__LFBalak_ffffffe6_n_LFdr1_iNdEx_589" localSheetId="17">'[1]ST-2SD.ST'!$A$24</definedName>
    <definedName name="__LFBalak_ffffffe6_n_LFdr1_iNdEx_589" localSheetId="16">'[1]ST-2SD.ST'!$A$24</definedName>
    <definedName name="__LFBalak_ffffffe6_n_LFdr1_iNdEx_589" localSheetId="19">'[1]ST-2SD.ST'!$A$24</definedName>
    <definedName name="__LFBalak_ffffffe6_n_LFdr1_iNdEx_589" localSheetId="62">'[1]ST-2SD.ST'!$A$24</definedName>
    <definedName name="__LFBalak_ffffffe6_n_LFdr1_iNdEx_589" localSheetId="63">'[2]ST-2SD.ST'!$A$24</definedName>
    <definedName name="__LFBalak_ffffffe6_n_LFdr1_iNdEx_589" localSheetId="64">'[3]ST-2SD.ST'!$A$24</definedName>
    <definedName name="__LFBalak_ffffffe6_n_LFdr1_iNdEx_589" localSheetId="65">'[3]ST-2SD.ST'!$A$24</definedName>
    <definedName name="__LFBalak_ffffffe6_n_LFdr1_iNdEx_589" localSheetId="67">'[1]ST-2SD.ST'!$A$24</definedName>
    <definedName name="__LFBalak_ffffffe6_n_LFdr1_iNdEx_589">'[1]ST-2SD.ST'!$A$24</definedName>
    <definedName name="__LFC_ffffffe6_bray_fffffffd_l_LFdr1_iNdEx_593" localSheetId="17">'[1]ST-2SD.ST'!$A$28</definedName>
    <definedName name="__LFC_ffffffe6_bray_fffffffd_l_LFdr1_iNdEx_593" localSheetId="16">'[1]ST-2SD.ST'!$A$28</definedName>
    <definedName name="__LFC_ffffffe6_bray_fffffffd_l_LFdr1_iNdEx_593" localSheetId="19">'[1]ST-2SD.ST'!$A$28</definedName>
    <definedName name="__LFC_ffffffe6_bray_fffffffd_l_LFdr1_iNdEx_593" localSheetId="62">'[1]ST-2SD.ST'!$A$28</definedName>
    <definedName name="__LFC_ffffffe6_bray_fffffffd_l_LFdr1_iNdEx_593" localSheetId="63">'[2]ST-2SD.ST'!$A$28</definedName>
    <definedName name="__LFC_ffffffe6_bray_fffffffd_l_LFdr1_iNdEx_593" localSheetId="64">'[3]ST-2SD.ST'!$A$28</definedName>
    <definedName name="__LFC_ffffffe6_bray_fffffffd_l_LFdr1_iNdEx_593" localSheetId="65">'[3]ST-2SD.ST'!$A$28</definedName>
    <definedName name="__LFC_ffffffe6_bray_fffffffd_l_LFdr1_iNdEx_593" localSheetId="67">'[1]ST-2SD.ST'!$A$28</definedName>
    <definedName name="__LFC_ffffffe6_bray_fffffffd_l_LFdr1_iNdEx_593">'[1]ST-2SD.ST'!$A$28</definedName>
    <definedName name="__LFC_ffffffe6_lilabad_LFdr1_iNdEx_594" localSheetId="17">'[1]ST-2SD.ST'!$A$29</definedName>
    <definedName name="__LFC_ffffffe6_lilabad_LFdr1_iNdEx_594" localSheetId="16">'[1]ST-2SD.ST'!$A$29</definedName>
    <definedName name="__LFC_ffffffe6_lilabad_LFdr1_iNdEx_594" localSheetId="19">'[1]ST-2SD.ST'!$A$29</definedName>
    <definedName name="__LFC_ffffffe6_lilabad_LFdr1_iNdEx_594" localSheetId="62">'[1]ST-2SD.ST'!$A$29</definedName>
    <definedName name="__LFC_ffffffe6_lilabad_LFdr1_iNdEx_594" localSheetId="63">'[2]ST-2SD.ST'!$A$29</definedName>
    <definedName name="__LFC_ffffffe6_lilabad_LFdr1_iNdEx_594" localSheetId="64">'[3]ST-2SD.ST'!$A$29</definedName>
    <definedName name="__LFC_ffffffe6_lilabad_LFdr1_iNdEx_594" localSheetId="65">'[3]ST-2SD.ST'!$A$29</definedName>
    <definedName name="__LFC_ffffffe6_lilabad_LFdr1_iNdEx_594" localSheetId="67">'[1]ST-2SD.ST'!$A$29</definedName>
    <definedName name="__LFC_ffffffe6_lilabad_LFdr1_iNdEx_594">'[1]ST-2SD.ST'!$A$29</definedName>
    <definedName name="__LFD_ffffffe6_v_ffffffe6__ffffffe7_i_LFdr1_iNdEx_597" localSheetId="17">'[1]ST-2SD.ST'!$A$32</definedName>
    <definedName name="__LFD_ffffffe6_v_ffffffe6__ffffffe7_i_LFdr1_iNdEx_597" localSheetId="16">'[1]ST-2SD.ST'!$A$32</definedName>
    <definedName name="__LFD_ffffffe6_v_ffffffe6__ffffffe7_i_LFdr1_iNdEx_597" localSheetId="19">'[1]ST-2SD.ST'!$A$32</definedName>
    <definedName name="__LFD_ffffffe6_v_ffffffe6__ffffffe7_i_LFdr1_iNdEx_597" localSheetId="62">'[1]ST-2SD.ST'!$A$32</definedName>
    <definedName name="__LFD_ffffffe6_v_ffffffe6__ffffffe7_i_LFdr1_iNdEx_597" localSheetId="63">'[2]ST-2SD.ST'!$A$32</definedName>
    <definedName name="__LFD_ffffffe6_v_ffffffe6__ffffffe7_i_LFdr1_iNdEx_597" localSheetId="64">'[3]ST-2SD.ST'!$A$32</definedName>
    <definedName name="__LFD_ffffffe6_v_ffffffe6__ffffffe7_i_LFdr1_iNdEx_597" localSheetId="65">'[3]ST-2SD.ST'!$A$32</definedName>
    <definedName name="__LFD_ffffffe6_v_ffffffe6__ffffffe7_i_LFdr1_iNdEx_597" localSheetId="67">'[1]ST-2SD.ST'!$A$32</definedName>
    <definedName name="__LFD_ffffffe6_v_ffffffe6__ffffffe7_i_LFdr1_iNdEx_597">'[1]ST-2SD.ST'!$A$32</definedName>
    <definedName name="__LFF_fffffffc_zuli_LFdr1_iNdEx_598" localSheetId="17">'[1]ST-2SD.ST'!$A$33</definedName>
    <definedName name="__LFF_fffffffc_zuli_LFdr1_iNdEx_598" localSheetId="16">'[1]ST-2SD.ST'!$A$33</definedName>
    <definedName name="__LFF_fffffffc_zuli_LFdr1_iNdEx_598" localSheetId="19">'[1]ST-2SD.ST'!$A$33</definedName>
    <definedName name="__LFF_fffffffc_zuli_LFdr1_iNdEx_598" localSheetId="62">'[1]ST-2SD.ST'!$A$33</definedName>
    <definedName name="__LFF_fffffffc_zuli_LFdr1_iNdEx_598" localSheetId="63">'[2]ST-2SD.ST'!$A$33</definedName>
    <definedName name="__LFF_fffffffc_zuli_LFdr1_iNdEx_598" localSheetId="64">'[3]ST-2SD.ST'!$A$33</definedName>
    <definedName name="__LFF_fffffffc_zuli_LFdr1_iNdEx_598" localSheetId="65">'[3]ST-2SD.ST'!$A$33</definedName>
    <definedName name="__LFF_fffffffc_zuli_LFdr1_iNdEx_598" localSheetId="67">'[1]ST-2SD.ST'!$A$33</definedName>
    <definedName name="__LFF_fffffffc_zuli_LFdr1_iNdEx_598">'[1]ST-2SD.ST'!$A$33</definedName>
    <definedName name="__LFXa_ffffffe7_maz_LFdr1_iNdEx_632" localSheetId="17">'[1]ST-2SD.ST'!$A$67</definedName>
    <definedName name="__LFXa_ffffffe7_maz_LFdr1_iNdEx_632" localSheetId="16">'[1]ST-2SD.ST'!$A$67</definedName>
    <definedName name="__LFXa_ffffffe7_maz_LFdr1_iNdEx_632" localSheetId="19">'[1]ST-2SD.ST'!$A$67</definedName>
    <definedName name="__LFXa_ffffffe7_maz_LFdr1_iNdEx_632" localSheetId="62">'[1]ST-2SD.ST'!$A$67</definedName>
    <definedName name="__LFXa_ffffffe7_maz_LFdr1_iNdEx_632" localSheetId="63">'[2]ST-2SD.ST'!$A$67</definedName>
    <definedName name="__LFXa_ffffffe7_maz_LFdr1_iNdEx_632" localSheetId="64">'[3]ST-2SD.ST'!$A$67</definedName>
    <definedName name="__LFXa_ffffffe7_maz_LFdr1_iNdEx_632" localSheetId="65">'[3]ST-2SD.ST'!$A$67</definedName>
    <definedName name="__LFXa_ffffffe7_maz_LFdr1_iNdEx_632" localSheetId="67">'[1]ST-2SD.ST'!$A$67</definedName>
    <definedName name="__LFXa_ffffffe7_maz_LFdr1_iNdEx_632">'[1]ST-2SD.ST'!$A$67</definedName>
    <definedName name="__LFXocal_fffffffd__LFdr1_iNdEx_633" localSheetId="17">'[1]ST-2SD.ST'!$A$68</definedName>
    <definedName name="__LFXocal_fffffffd__LFdr1_iNdEx_633" localSheetId="16">'[1]ST-2SD.ST'!$A$68</definedName>
    <definedName name="__LFXocal_fffffffd__LFdr1_iNdEx_633" localSheetId="19">'[1]ST-2SD.ST'!$A$68</definedName>
    <definedName name="__LFXocal_fffffffd__LFdr1_iNdEx_633" localSheetId="62">'[1]ST-2SD.ST'!$A$68</definedName>
    <definedName name="__LFXocal_fffffffd__LFdr1_iNdEx_633" localSheetId="63">'[2]ST-2SD.ST'!$A$68</definedName>
    <definedName name="__LFXocal_fffffffd__LFdr1_iNdEx_633" localSheetId="64">'[3]ST-2SD.ST'!$A$68</definedName>
    <definedName name="__LFXocal_fffffffd__LFdr1_iNdEx_633" localSheetId="65">'[3]ST-2SD.ST'!$A$68</definedName>
    <definedName name="__LFXocal_fffffffd__LFdr1_iNdEx_633" localSheetId="67">'[1]ST-2SD.ST'!$A$68</definedName>
    <definedName name="__LFXocal_fffffffd__LFdr1_iNdEx_633">'[1]ST-2SD.ST'!$A$68</definedName>
    <definedName name="__LFXocav_ffffffe6_nd_LFdr1_iNdEx_634" localSheetId="17">'[1]ST-2SD.ST'!$A$69</definedName>
    <definedName name="__LFXocav_ffffffe6_nd_LFdr1_iNdEx_634" localSheetId="16">'[1]ST-2SD.ST'!$A$69</definedName>
    <definedName name="__LFXocav_ffffffe6_nd_LFdr1_iNdEx_634" localSheetId="19">'[1]ST-2SD.ST'!$A$69</definedName>
    <definedName name="__LFXocav_ffffffe6_nd_LFdr1_iNdEx_634" localSheetId="62">'[1]ST-2SD.ST'!$A$69</definedName>
    <definedName name="__LFXocav_ffffffe6_nd_LFdr1_iNdEx_634" localSheetId="63">'[2]ST-2SD.ST'!$A$69</definedName>
    <definedName name="__LFXocav_ffffffe6_nd_LFdr1_iNdEx_634" localSheetId="64">'[3]ST-2SD.ST'!$A$69</definedName>
    <definedName name="__LFXocav_ffffffe6_nd_LFdr1_iNdEx_634" localSheetId="65">'[3]ST-2SD.ST'!$A$69</definedName>
    <definedName name="__LFXocav_ffffffe6_nd_LFdr1_iNdEx_634" localSheetId="67">'[1]ST-2SD.ST'!$A$69</definedName>
    <definedName name="__LFXocav_ffffffe6_nd_LFdr1_iNdEx_634">'[1]ST-2SD.ST'!$A$69</definedName>
    <definedName name="__LFK_ffffffe6_lb_ffffffe6_c_ffffffe6_r_LFdr1_iNdEx_604" localSheetId="17">'[1]ST-2SD.ST'!$A$39</definedName>
    <definedName name="__LFK_ffffffe6_lb_ffffffe6_c_ffffffe6_r_LFdr1_iNdEx_604" localSheetId="16">'[1]ST-2SD.ST'!$A$39</definedName>
    <definedName name="__LFK_ffffffe6_lb_ffffffe6_c_ffffffe6_r_LFdr1_iNdEx_604" localSheetId="19">'[1]ST-2SD.ST'!$A$39</definedName>
    <definedName name="__LFK_ffffffe6_lb_ffffffe6_c_ffffffe6_r_LFdr1_iNdEx_604" localSheetId="62">'[1]ST-2SD.ST'!$A$39</definedName>
    <definedName name="__LFK_ffffffe6_lb_ffffffe6_c_ffffffe6_r_LFdr1_iNdEx_604" localSheetId="63">'[2]ST-2SD.ST'!$A$39</definedName>
    <definedName name="__LFK_ffffffe6_lb_ffffffe6_c_ffffffe6_r_LFdr1_iNdEx_604" localSheetId="64">'[3]ST-2SD.ST'!$A$39</definedName>
    <definedName name="__LFK_ffffffe6_lb_ffffffe6_c_ffffffe6_r_LFdr1_iNdEx_604" localSheetId="65">'[3]ST-2SD.ST'!$A$39</definedName>
    <definedName name="__LFK_ffffffe6_lb_ffffffe6_c_ffffffe6_r_LFdr1_iNdEx_604" localSheetId="67">'[1]ST-2SD.ST'!$A$39</definedName>
    <definedName name="__LFK_ffffffe6_lb_ffffffe6_c_ffffffe6_r_LFdr1_iNdEx_604">'[1]ST-2SD.ST'!$A$39</definedName>
    <definedName name="__LFQ_ffffffe6_b_ffffffe6_l_ffffffe6__LFdr1_iNdEx_621" localSheetId="17">'[1]ST-2SD.ST'!$A$56</definedName>
    <definedName name="__LFQ_ffffffe6_b_ffffffe6_l_ffffffe6__LFdr1_iNdEx_621" localSheetId="16">'[1]ST-2SD.ST'!$A$56</definedName>
    <definedName name="__LFQ_ffffffe6_b_ffffffe6_l_ffffffe6__LFdr1_iNdEx_621" localSheetId="19">'[1]ST-2SD.ST'!$A$56</definedName>
    <definedName name="__LFQ_ffffffe6_b_ffffffe6_l_ffffffe6__LFdr1_iNdEx_621" localSheetId="62">'[1]ST-2SD.ST'!$A$56</definedName>
    <definedName name="__LFQ_ffffffe6_b_ffffffe6_l_ffffffe6__LFdr1_iNdEx_621" localSheetId="63">'[2]ST-2SD.ST'!$A$56</definedName>
    <definedName name="__LFQ_ffffffe6_b_ffffffe6_l_ffffffe6__LFdr1_iNdEx_621" localSheetId="64">'[3]ST-2SD.ST'!$A$56</definedName>
    <definedName name="__LFQ_ffffffe6_b_ffffffe6_l_ffffffe6__LFdr1_iNdEx_621" localSheetId="65">'[3]ST-2SD.ST'!$A$56</definedName>
    <definedName name="__LFQ_ffffffe6_b_ffffffe6_l_ffffffe6__LFdr1_iNdEx_621" localSheetId="67">'[1]ST-2SD.ST'!$A$56</definedName>
    <definedName name="__LFQ_ffffffe6_b_ffffffe6_l_ffffffe6__LFdr1_iNdEx_621">'[1]ST-2SD.ST'!$A$56</definedName>
    <definedName name="__LFQax_LFdr1_iNdEx_615" localSheetId="17">'[1]ST-2SD.ST'!$A$50</definedName>
    <definedName name="__LFQax_LFdr1_iNdEx_615" localSheetId="16">'[1]ST-2SD.ST'!$A$50</definedName>
    <definedName name="__LFQax_LFdr1_iNdEx_615" localSheetId="19">'[1]ST-2SD.ST'!$A$50</definedName>
    <definedName name="__LFQax_LFdr1_iNdEx_615" localSheetId="62">'[1]ST-2SD.ST'!$A$50</definedName>
    <definedName name="__LFQax_LFdr1_iNdEx_615" localSheetId="63">'[2]ST-2SD.ST'!$A$50</definedName>
    <definedName name="__LFQax_LFdr1_iNdEx_615" localSheetId="64">'[3]ST-2SD.ST'!$A$50</definedName>
    <definedName name="__LFQax_LFdr1_iNdEx_615" localSheetId="65">'[3]ST-2SD.ST'!$A$50</definedName>
    <definedName name="__LFQax_LFdr1_iNdEx_615" localSheetId="67">'[1]ST-2SD.ST'!$A$50</definedName>
    <definedName name="__LFQax_LFdr1_iNdEx_615">'[1]ST-2SD.ST'!$A$50</definedName>
    <definedName name="__LFQuba_LFdr1_iNdEx_618" localSheetId="17">'[1]ST-2SD.ST'!$A$53</definedName>
    <definedName name="__LFQuba_LFdr1_iNdEx_618" localSheetId="16">'[1]ST-2SD.ST'!$A$53</definedName>
    <definedName name="__LFQuba_LFdr1_iNdEx_618" localSheetId="19">'[1]ST-2SD.ST'!$A$53</definedName>
    <definedName name="__LFQuba_LFdr1_iNdEx_618" localSheetId="62">'[1]ST-2SD.ST'!$A$53</definedName>
    <definedName name="__LFQuba_LFdr1_iNdEx_618" localSheetId="63">'[2]ST-2SD.ST'!$A$53</definedName>
    <definedName name="__LFQuba_LFdr1_iNdEx_618" localSheetId="64">'[3]ST-2SD.ST'!$A$53</definedName>
    <definedName name="__LFQuba_LFdr1_iNdEx_618" localSheetId="65">'[3]ST-2SD.ST'!$A$53</definedName>
    <definedName name="__LFQuba_LFdr1_iNdEx_618" localSheetId="67">'[1]ST-2SD.ST'!$A$53</definedName>
    <definedName name="__LFQuba_LFdr1_iNdEx_618">'[1]ST-2SD.ST'!$A$53</definedName>
    <definedName name="__LFQubadl_fffffffd__LFdr1_iNdEx_619" localSheetId="17">'[1]ST-2SD.ST'!$A$54</definedName>
    <definedName name="__LFQubadl_fffffffd__LFdr1_iNdEx_619" localSheetId="16">'[1]ST-2SD.ST'!$A$54</definedName>
    <definedName name="__LFQubadl_fffffffd__LFdr1_iNdEx_619" localSheetId="19">'[1]ST-2SD.ST'!$A$54</definedName>
    <definedName name="__LFQubadl_fffffffd__LFdr1_iNdEx_619" localSheetId="62">'[1]ST-2SD.ST'!$A$54</definedName>
    <definedName name="__LFQubadl_fffffffd__LFdr1_iNdEx_619" localSheetId="63">'[2]ST-2SD.ST'!$A$54</definedName>
    <definedName name="__LFQubadl_fffffffd__LFdr1_iNdEx_619" localSheetId="64">'[3]ST-2SD.ST'!$A$54</definedName>
    <definedName name="__LFQubadl_fffffffd__LFdr1_iNdEx_619" localSheetId="65">'[3]ST-2SD.ST'!$A$54</definedName>
    <definedName name="__LFQubadl_fffffffd__LFdr1_iNdEx_619" localSheetId="67">'[1]ST-2SD.ST'!$A$54</definedName>
    <definedName name="__LFQubadl_fffffffd__LFdr1_iNdEx_619">'[1]ST-2SD.ST'!$A$54</definedName>
    <definedName name="__LFQusar_LFdr1_iNdEx_620" localSheetId="17">'[1]ST-2SD.ST'!$A$55</definedName>
    <definedName name="__LFQusar_LFdr1_iNdEx_620" localSheetId="16">'[1]ST-2SD.ST'!$A$55</definedName>
    <definedName name="__LFQusar_LFdr1_iNdEx_620" localSheetId="19">'[1]ST-2SD.ST'!$A$55</definedName>
    <definedName name="__LFQusar_LFdr1_iNdEx_620" localSheetId="62">'[1]ST-2SD.ST'!$A$55</definedName>
    <definedName name="__LFQusar_LFdr1_iNdEx_620" localSheetId="63">'[2]ST-2SD.ST'!$A$55</definedName>
    <definedName name="__LFQusar_LFdr1_iNdEx_620" localSheetId="64">'[3]ST-2SD.ST'!$A$55</definedName>
    <definedName name="__LFQusar_LFdr1_iNdEx_620" localSheetId="65">'[3]ST-2SD.ST'!$A$55</definedName>
    <definedName name="__LFQusar_LFdr1_iNdEx_620" localSheetId="67">'[1]ST-2SD.ST'!$A$55</definedName>
    <definedName name="__LFQusar_LFdr1_iNdEx_620">'[1]ST-2SD.ST'!$A$55</definedName>
    <definedName name="__LFL_ffffffe6_nk_ffffffe6_ran_LFdr1_iNdEx_608" localSheetId="17">'[1]ST-2SD.ST'!$A$43</definedName>
    <definedName name="__LFL_ffffffe6_nk_ffffffe6_ran_LFdr1_iNdEx_608" localSheetId="16">'[1]ST-2SD.ST'!$A$43</definedName>
    <definedName name="__LFL_ffffffe6_nk_ffffffe6_ran_LFdr1_iNdEx_608" localSheetId="19">'[1]ST-2SD.ST'!$A$43</definedName>
    <definedName name="__LFL_ffffffe6_nk_ffffffe6_ran_LFdr1_iNdEx_608" localSheetId="62">'[1]ST-2SD.ST'!$A$43</definedName>
    <definedName name="__LFL_ffffffe6_nk_ffffffe6_ran_LFdr1_iNdEx_608" localSheetId="63">'[2]ST-2SD.ST'!$A$43</definedName>
    <definedName name="__LFL_ffffffe6_nk_ffffffe6_ran_LFdr1_iNdEx_608" localSheetId="64">'[3]ST-2SD.ST'!$A$43</definedName>
    <definedName name="__LFL_ffffffe6_nk_ffffffe6_ran_LFdr1_iNdEx_608" localSheetId="65">'[3]ST-2SD.ST'!$A$43</definedName>
    <definedName name="__LFL_ffffffe6_nk_ffffffe6_ran_LFdr1_iNdEx_608" localSheetId="67">'[1]ST-2SD.ST'!$A$43</definedName>
    <definedName name="__LFL_ffffffe6_nk_ffffffe6_ran_LFdr1_iNdEx_608">'[1]ST-2SD.ST'!$A$43</definedName>
    <definedName name="__LFLa_ffffffe7__fffffffd_n_LFdr1_iNdEx_606" localSheetId="17">'[1]ST-2SD.ST'!$A$41</definedName>
    <definedName name="__LFLa_ffffffe7__fffffffd_n_LFdr1_iNdEx_606" localSheetId="16">'[1]ST-2SD.ST'!$A$41</definedName>
    <definedName name="__LFLa_ffffffe7__fffffffd_n_LFdr1_iNdEx_606" localSheetId="19">'[1]ST-2SD.ST'!$A$41</definedName>
    <definedName name="__LFLa_ffffffe7__fffffffd_n_LFdr1_iNdEx_606" localSheetId="62">'[1]ST-2SD.ST'!$A$41</definedName>
    <definedName name="__LFLa_ffffffe7__fffffffd_n_LFdr1_iNdEx_606" localSheetId="63">'[2]ST-2SD.ST'!$A$41</definedName>
    <definedName name="__LFLa_ffffffe7__fffffffd_n_LFdr1_iNdEx_606" localSheetId="64">'[3]ST-2SD.ST'!$A$41</definedName>
    <definedName name="__LFLa_ffffffe7__fffffffd_n_LFdr1_iNdEx_606" localSheetId="65">'[3]ST-2SD.ST'!$A$41</definedName>
    <definedName name="__LFLa_ffffffe7__fffffffd_n_LFdr1_iNdEx_606" localSheetId="67">'[1]ST-2SD.ST'!$A$41</definedName>
    <definedName name="__LFLa_ffffffe7__fffffffd_n_LFdr1_iNdEx_606">'[1]ST-2SD.ST'!$A$41</definedName>
    <definedName name="__LFLerik_LFdr1_iNdEx_607" localSheetId="17">'[1]ST-2SD.ST'!$A$42</definedName>
    <definedName name="__LFLerik_LFdr1_iNdEx_607" localSheetId="16">'[1]ST-2SD.ST'!$A$42</definedName>
    <definedName name="__LFLerik_LFdr1_iNdEx_607" localSheetId="19">'[1]ST-2SD.ST'!$A$42</definedName>
    <definedName name="__LFLerik_LFdr1_iNdEx_607" localSheetId="62">'[1]ST-2SD.ST'!$A$42</definedName>
    <definedName name="__LFLerik_LFdr1_iNdEx_607" localSheetId="63">'[2]ST-2SD.ST'!$A$42</definedName>
    <definedName name="__LFLerik_LFdr1_iNdEx_607" localSheetId="64">'[3]ST-2SD.ST'!$A$42</definedName>
    <definedName name="__LFLerik_LFdr1_iNdEx_607" localSheetId="65">'[3]ST-2SD.ST'!$A$42</definedName>
    <definedName name="__LFLerik_LFdr1_iNdEx_607" localSheetId="67">'[1]ST-2SD.ST'!$A$42</definedName>
    <definedName name="__LFLerik_LFdr1_iNdEx_607">'[1]ST-2SD.ST'!$A$42</definedName>
    <definedName name="__LFMasall_fffffffd__LFdr1_iNdEx_609" localSheetId="17">'[1]ST-2SD.ST'!$A$44</definedName>
    <definedName name="__LFMasall_fffffffd__LFdr1_iNdEx_609" localSheetId="16">'[1]ST-2SD.ST'!$A$44</definedName>
    <definedName name="__LFMasall_fffffffd__LFdr1_iNdEx_609" localSheetId="19">'[1]ST-2SD.ST'!$A$44</definedName>
    <definedName name="__LFMasall_fffffffd__LFdr1_iNdEx_609" localSheetId="62">'[1]ST-2SD.ST'!$A$44</definedName>
    <definedName name="__LFMasall_fffffffd__LFdr1_iNdEx_609" localSheetId="63">'[2]ST-2SD.ST'!$A$44</definedName>
    <definedName name="__LFMasall_fffffffd__LFdr1_iNdEx_609" localSheetId="64">'[3]ST-2SD.ST'!$A$44</definedName>
    <definedName name="__LFMasall_fffffffd__LFdr1_iNdEx_609" localSheetId="65">'[3]ST-2SD.ST'!$A$44</definedName>
    <definedName name="__LFMasall_fffffffd__LFdr1_iNdEx_609" localSheetId="67">'[1]ST-2SD.ST'!$A$44</definedName>
    <definedName name="__LFMasall_fffffffd__LFdr1_iNdEx_609">'[1]ST-2SD.ST'!$A$44</definedName>
    <definedName name="__LFNax_ffffffe7__fffffffd_van_LFdr1_iNdEx_612" localSheetId="17">'[1]ST-2SD.ST'!$A$47</definedName>
    <definedName name="__LFNax_ffffffe7__fffffffd_van_LFdr1_iNdEx_612" localSheetId="16">'[1]ST-2SD.ST'!$A$47</definedName>
    <definedName name="__LFNax_ffffffe7__fffffffd_van_LFdr1_iNdEx_612" localSheetId="19">'[1]ST-2SD.ST'!$A$47</definedName>
    <definedName name="__LFNax_ffffffe7__fffffffd_van_LFdr1_iNdEx_612" localSheetId="62">'[1]ST-2SD.ST'!$A$47</definedName>
    <definedName name="__LFNax_ffffffe7__fffffffd_van_LFdr1_iNdEx_612" localSheetId="63">'[2]ST-2SD.ST'!$A$47</definedName>
    <definedName name="__LFNax_ffffffe7__fffffffd_van_LFdr1_iNdEx_612" localSheetId="64">'[3]ST-2SD.ST'!$A$47</definedName>
    <definedName name="__LFNax_ffffffe7__fffffffd_van_LFdr1_iNdEx_612" localSheetId="65">'[3]ST-2SD.ST'!$A$47</definedName>
    <definedName name="__LFNax_ffffffe7__fffffffd_van_LFdr1_iNdEx_612" localSheetId="67">'[1]ST-2SD.ST'!$A$47</definedName>
    <definedName name="__LFNax_ffffffe7__fffffffd_van_LFdr1_iNdEx_612">'[1]ST-2SD.ST'!$A$47</definedName>
    <definedName name="__LFO_fffffff0_uz_LFdr1_iNdEx_614" localSheetId="17">'[1]ST-2SD.ST'!$A$49</definedName>
    <definedName name="__LFO_fffffff0_uz_LFdr1_iNdEx_614" localSheetId="16">'[1]ST-2SD.ST'!$A$49</definedName>
    <definedName name="__LFO_fffffff0_uz_LFdr1_iNdEx_614" localSheetId="19">'[1]ST-2SD.ST'!$A$49</definedName>
    <definedName name="__LFO_fffffff0_uz_LFdr1_iNdEx_614" localSheetId="62">'[1]ST-2SD.ST'!$A$49</definedName>
    <definedName name="__LFO_fffffff0_uz_LFdr1_iNdEx_614" localSheetId="63">'[2]ST-2SD.ST'!$A$49</definedName>
    <definedName name="__LFO_fffffff0_uz_LFdr1_iNdEx_614" localSheetId="64">'[3]ST-2SD.ST'!$A$49</definedName>
    <definedName name="__LFO_fffffff0_uz_LFdr1_iNdEx_614" localSheetId="65">'[3]ST-2SD.ST'!$A$49</definedName>
    <definedName name="__LFO_fffffff0_uz_LFdr1_iNdEx_614" localSheetId="67">'[1]ST-2SD.ST'!$A$49</definedName>
    <definedName name="__LFO_fffffff0_uz_LFdr1_iNdEx_614">'[1]ST-2SD.ST'!$A$49</definedName>
    <definedName name="__LFSiy_ffffffe6_z_ffffffe6_n_LFdr1_iNdEx_626" localSheetId="17">'[1]ST-2SD.ST'!$A$61</definedName>
    <definedName name="__LFSiy_ffffffe6_z_ffffffe6_n_LFdr1_iNdEx_626" localSheetId="16">'[1]ST-2SD.ST'!$A$61</definedName>
    <definedName name="__LFSiy_ffffffe6_z_ffffffe6_n_LFdr1_iNdEx_626" localSheetId="19">'[1]ST-2SD.ST'!$A$61</definedName>
    <definedName name="__LFSiy_ffffffe6_z_ffffffe6_n_LFdr1_iNdEx_626" localSheetId="62">'[1]ST-2SD.ST'!$A$61</definedName>
    <definedName name="__LFSiy_ffffffe6_z_ffffffe6_n_LFdr1_iNdEx_626" localSheetId="63">'[2]ST-2SD.ST'!$A$61</definedName>
    <definedName name="__LFSiy_ffffffe6_z_ffffffe6_n_LFdr1_iNdEx_626" localSheetId="64">'[3]ST-2SD.ST'!$A$61</definedName>
    <definedName name="__LFSiy_ffffffe6_z_ffffffe6_n_LFdr1_iNdEx_626" localSheetId="65">'[3]ST-2SD.ST'!$A$61</definedName>
    <definedName name="__LFSiy_ffffffe6_z_ffffffe6_n_LFdr1_iNdEx_626" localSheetId="67">'[1]ST-2SD.ST'!$A$61</definedName>
    <definedName name="__LFSiy_ffffffe6_z_ffffffe6_n_LFdr1_iNdEx_626">'[1]ST-2SD.ST'!$A$61</definedName>
    <definedName name="__LFT_ffffffe6_rt_ffffffe6_r_LFdr1_iNdEx_629" localSheetId="17">'[1]ST-2SD.ST'!$A$64</definedName>
    <definedName name="__LFT_ffffffe6_rt_ffffffe6_r_LFdr1_iNdEx_629" localSheetId="16">'[1]ST-2SD.ST'!$A$64</definedName>
    <definedName name="__LFT_ffffffe6_rt_ffffffe6_r_LFdr1_iNdEx_629" localSheetId="19">'[1]ST-2SD.ST'!$A$64</definedName>
    <definedName name="__LFT_ffffffe6_rt_ffffffe6_r_LFdr1_iNdEx_629" localSheetId="62">'[1]ST-2SD.ST'!$A$64</definedName>
    <definedName name="__LFT_ffffffe6_rt_ffffffe6_r_LFdr1_iNdEx_629" localSheetId="63">'[2]ST-2SD.ST'!$A$64</definedName>
    <definedName name="__LFT_ffffffe6_rt_ffffffe6_r_LFdr1_iNdEx_629" localSheetId="64">'[3]ST-2SD.ST'!$A$64</definedName>
    <definedName name="__LFT_ffffffe6_rt_ffffffe6_r_LFdr1_iNdEx_629" localSheetId="65">'[3]ST-2SD.ST'!$A$64</definedName>
    <definedName name="__LFT_ffffffe6_rt_ffffffe6_r_LFdr1_iNdEx_629" localSheetId="67">'[1]ST-2SD.ST'!$A$64</definedName>
    <definedName name="__LFT_ffffffe6_rt_ffffffe6_r_LFdr1_iNdEx_629">'[1]ST-2SD.ST'!$A$64</definedName>
    <definedName name="__LFYard_fffffffd_ml_fffffffd__LFdr1_iNdEx_636" localSheetId="17">'[1]ST-2SD.ST'!$A$71</definedName>
    <definedName name="__LFYard_fffffffd_ml_fffffffd__LFdr1_iNdEx_636" localSheetId="16">'[1]ST-2SD.ST'!$A$71</definedName>
    <definedName name="__LFYard_fffffffd_ml_fffffffd__LFdr1_iNdEx_636" localSheetId="19">'[1]ST-2SD.ST'!$A$71</definedName>
    <definedName name="__LFYard_fffffffd_ml_fffffffd__LFdr1_iNdEx_636" localSheetId="62">'[1]ST-2SD.ST'!$A$71</definedName>
    <definedName name="__LFYard_fffffffd_ml_fffffffd__LFdr1_iNdEx_636" localSheetId="63">'[2]ST-2SD.ST'!$A$71</definedName>
    <definedName name="__LFYard_fffffffd_ml_fffffffd__LFdr1_iNdEx_636" localSheetId="64">'[3]ST-2SD.ST'!$A$71</definedName>
    <definedName name="__LFYard_fffffffd_ml_fffffffd__LFdr1_iNdEx_636" localSheetId="65">'[3]ST-2SD.ST'!$A$71</definedName>
    <definedName name="__LFYard_fffffffd_ml_fffffffd__LFdr1_iNdEx_636" localSheetId="67">'[1]ST-2SD.ST'!$A$71</definedName>
    <definedName name="__LFYard_fffffffd_ml_fffffffd__LFdr1_iNdEx_636">'[1]ST-2SD.ST'!$A$71</definedName>
    <definedName name="__LFZ_ffffffe6_ngilan_LFdr1_iNdEx_639" localSheetId="17">'[1]ST-2SD.ST'!$A$74</definedName>
    <definedName name="__LFZ_ffffffe6_ngilan_LFdr1_iNdEx_639" localSheetId="16">'[1]ST-2SD.ST'!$A$74</definedName>
    <definedName name="__LFZ_ffffffe6_ngilan_LFdr1_iNdEx_639" localSheetId="19">'[1]ST-2SD.ST'!$A$74</definedName>
    <definedName name="__LFZ_ffffffe6_ngilan_LFdr1_iNdEx_639" localSheetId="62">'[1]ST-2SD.ST'!$A$74</definedName>
    <definedName name="__LFZ_ffffffe6_ngilan_LFdr1_iNdEx_639" localSheetId="63">'[2]ST-2SD.ST'!$A$74</definedName>
    <definedName name="__LFZ_ffffffe6_ngilan_LFdr1_iNdEx_639" localSheetId="64">'[3]ST-2SD.ST'!$A$74</definedName>
    <definedName name="__LFZ_ffffffe6_ngilan_LFdr1_iNdEx_639" localSheetId="65">'[3]ST-2SD.ST'!$A$74</definedName>
    <definedName name="__LFZ_ffffffe6_ngilan_LFdr1_iNdEx_639" localSheetId="67">'[1]ST-2SD.ST'!$A$74</definedName>
    <definedName name="__LFZ_ffffffe6_ngilan_LFdr1_iNdEx_639">'[1]ST-2SD.ST'!$A$74</definedName>
    <definedName name="__LFZaqatala_LFdr1_iNdEx_638" localSheetId="17">'[1]ST-2SD.ST'!$A$73</definedName>
    <definedName name="__LFZaqatala_LFdr1_iNdEx_638" localSheetId="16">'[1]ST-2SD.ST'!$A$73</definedName>
    <definedName name="__LFZaqatala_LFdr1_iNdEx_638" localSheetId="19">'[1]ST-2SD.ST'!$A$73</definedName>
    <definedName name="__LFZaqatala_LFdr1_iNdEx_638" localSheetId="62">'[1]ST-2SD.ST'!$A$73</definedName>
    <definedName name="__LFZaqatala_LFdr1_iNdEx_638" localSheetId="63">'[2]ST-2SD.ST'!$A$73</definedName>
    <definedName name="__LFZaqatala_LFdr1_iNdEx_638" localSheetId="64">'[3]ST-2SD.ST'!$A$73</definedName>
    <definedName name="__LFZaqatala_LFdr1_iNdEx_638" localSheetId="65">'[3]ST-2SD.ST'!$A$73</definedName>
    <definedName name="__LFZaqatala_LFdr1_iNdEx_638" localSheetId="67">'[1]ST-2SD.ST'!$A$73</definedName>
    <definedName name="__LFZaqatala_LFdr1_iNdEx_638">'[1]ST-2SD.ST'!$A$73</definedName>
    <definedName name="_b2_iNdEx_2" localSheetId="7">'[4]3.6'!#REF!</definedName>
    <definedName name="_b2_iNdEx_2" localSheetId="8">'[4]3.6'!#REF!</definedName>
    <definedName name="_b2_iNdEx_2" localSheetId="35">'[4]3.6'!#REF!</definedName>
    <definedName name="_b2_iNdEx_2" localSheetId="37">'[4]3.6'!#REF!</definedName>
    <definedName name="_b2_iNdEx_2" localSheetId="17">'[4]3.6'!#REF!</definedName>
    <definedName name="_b2_iNdEx_2" localSheetId="16">'[4]3.6'!#REF!</definedName>
    <definedName name="_b2_iNdEx_2" localSheetId="20">'[4]3.6'!#REF!</definedName>
    <definedName name="_b2_iNdEx_2" localSheetId="21">'[4]3.6'!#REF!</definedName>
    <definedName name="_b2_iNdEx_2" localSheetId="22">'[4]3.6'!#REF!</definedName>
    <definedName name="_b2_iNdEx_2" localSheetId="23">'[4]3.6'!#REF!</definedName>
    <definedName name="_b2_iNdEx_2" localSheetId="24">'[4]3.6'!#REF!</definedName>
    <definedName name="_b2_iNdEx_2" localSheetId="25">'[4]3.6'!#REF!</definedName>
    <definedName name="_b2_iNdEx_2" localSheetId="26">'[4]3.6'!#REF!</definedName>
    <definedName name="_b2_iNdEx_2" localSheetId="27">'[4]3.6'!#REF!</definedName>
    <definedName name="_b2_iNdEx_2" localSheetId="28">'[4]3.6'!#REF!</definedName>
    <definedName name="_b2_iNdEx_2" localSheetId="19">'[4]3.6'!#REF!</definedName>
    <definedName name="_b2_iNdEx_2" localSheetId="38">'[4]3.6'!#REF!</definedName>
    <definedName name="_b2_iNdEx_2" localSheetId="42">'[5]3.6'!#REF!</definedName>
    <definedName name="_b2_iNdEx_2" localSheetId="45">'[4]3.6'!#REF!</definedName>
    <definedName name="_b2_iNdEx_2" localSheetId="54">'[4]3.6'!#REF!</definedName>
    <definedName name="_b2_iNdEx_2" localSheetId="46">'[4]3.6'!#REF!</definedName>
    <definedName name="_b2_iNdEx_2" localSheetId="47">'[4]3.6'!#REF!</definedName>
    <definedName name="_b2_iNdEx_2" localSheetId="48">'[4]3.6'!#REF!</definedName>
    <definedName name="_b2_iNdEx_2" localSheetId="49">'[4]3.6'!#REF!</definedName>
    <definedName name="_b2_iNdEx_2" localSheetId="50">'[4]3.6'!#REF!</definedName>
    <definedName name="_b2_iNdEx_2" localSheetId="51">'[4]3.6'!#REF!</definedName>
    <definedName name="_b2_iNdEx_2" localSheetId="52">'[4]3.6'!#REF!</definedName>
    <definedName name="_b2_iNdEx_2" localSheetId="53">'[4]3.6'!#REF!</definedName>
    <definedName name="_b2_iNdEx_2" localSheetId="59">'[4]3.6'!#REF!</definedName>
    <definedName name="_b2_iNdEx_2" localSheetId="60">'[4]3.6'!#REF!</definedName>
    <definedName name="_b2_iNdEx_2" localSheetId="61">'[4]3.6'!#REF!</definedName>
    <definedName name="_b2_iNdEx_2" localSheetId="62">'[4]3.6'!#REF!</definedName>
    <definedName name="_b2_iNdEx_2" localSheetId="63">'[6]3.6'!#REF!</definedName>
    <definedName name="_b2_iNdEx_2" localSheetId="67">'[4]3.6'!#REF!</definedName>
    <definedName name="_b2_iNdEx_2" localSheetId="1">'[4]3.6'!#REF!</definedName>
    <definedName name="_b2_iNdEx_2">'[4]3.6'!#REF!</definedName>
    <definedName name="_c1_iNdEx_3" localSheetId="7">'[4]3.6'!#REF!</definedName>
    <definedName name="_c1_iNdEx_3" localSheetId="8">'[4]3.6'!#REF!</definedName>
    <definedName name="_c1_iNdEx_3" localSheetId="35">'[4]3.6'!#REF!</definedName>
    <definedName name="_c1_iNdEx_3" localSheetId="37">'[4]3.6'!#REF!</definedName>
    <definedName name="_c1_iNdEx_3" localSheetId="17">'[4]3.6'!#REF!</definedName>
    <definedName name="_c1_iNdEx_3" localSheetId="16">'[4]3.6'!#REF!</definedName>
    <definedName name="_c1_iNdEx_3" localSheetId="20">'[4]3.6'!#REF!</definedName>
    <definedName name="_c1_iNdEx_3" localSheetId="21">'[4]3.6'!#REF!</definedName>
    <definedName name="_c1_iNdEx_3" localSheetId="22">'[4]3.6'!#REF!</definedName>
    <definedName name="_c1_iNdEx_3" localSheetId="23">'[4]3.6'!#REF!</definedName>
    <definedName name="_c1_iNdEx_3" localSheetId="24">'[4]3.6'!#REF!</definedName>
    <definedName name="_c1_iNdEx_3" localSheetId="25">'[4]3.6'!#REF!</definedName>
    <definedName name="_c1_iNdEx_3" localSheetId="26">'[4]3.6'!#REF!</definedName>
    <definedName name="_c1_iNdEx_3" localSheetId="27">'[4]3.6'!#REF!</definedName>
    <definedName name="_c1_iNdEx_3" localSheetId="28">'[4]3.6'!#REF!</definedName>
    <definedName name="_c1_iNdEx_3" localSheetId="19">'[4]3.6'!#REF!</definedName>
    <definedName name="_c1_iNdEx_3" localSheetId="38">'[4]3.6'!#REF!</definedName>
    <definedName name="_c1_iNdEx_3" localSheetId="42">'[5]3.6'!#REF!</definedName>
    <definedName name="_c1_iNdEx_3" localSheetId="45">'[4]3.6'!#REF!</definedName>
    <definedName name="_c1_iNdEx_3" localSheetId="54">'[4]3.6'!#REF!</definedName>
    <definedName name="_c1_iNdEx_3" localSheetId="46">'[4]3.6'!#REF!</definedName>
    <definedName name="_c1_iNdEx_3" localSheetId="47">'[4]3.6'!#REF!</definedName>
    <definedName name="_c1_iNdEx_3" localSheetId="48">'[4]3.6'!#REF!</definedName>
    <definedName name="_c1_iNdEx_3" localSheetId="49">'[4]3.6'!#REF!</definedName>
    <definedName name="_c1_iNdEx_3" localSheetId="50">'[4]3.6'!#REF!</definedName>
    <definedName name="_c1_iNdEx_3" localSheetId="51">'[4]3.6'!#REF!</definedName>
    <definedName name="_c1_iNdEx_3" localSheetId="52">'[4]3.6'!#REF!</definedName>
    <definedName name="_c1_iNdEx_3" localSheetId="53">'[4]3.6'!#REF!</definedName>
    <definedName name="_c1_iNdEx_3" localSheetId="59">'[4]3.6'!#REF!</definedName>
    <definedName name="_c1_iNdEx_3" localSheetId="60">'[4]3.6'!#REF!</definedName>
    <definedName name="_c1_iNdEx_3" localSheetId="61">'[4]3.6'!#REF!</definedName>
    <definedName name="_c1_iNdEx_3" localSheetId="62">'[4]3.6'!#REF!</definedName>
    <definedName name="_c1_iNdEx_3" localSheetId="63">'[6]3.6'!#REF!</definedName>
    <definedName name="_c1_iNdEx_3" localSheetId="67">'[4]3.6'!#REF!</definedName>
    <definedName name="_c1_iNdEx_3" localSheetId="1">'[4]3.6'!#REF!</definedName>
    <definedName name="_c1_iNdEx_3">'[4]3.6'!#REF!</definedName>
    <definedName name="_c2_iNdEx_4" localSheetId="7">'[4]3.6'!#REF!</definedName>
    <definedName name="_c2_iNdEx_4" localSheetId="8">'[4]3.6'!#REF!</definedName>
    <definedName name="_c2_iNdEx_4" localSheetId="35">'[4]3.6'!#REF!</definedName>
    <definedName name="_c2_iNdEx_4" localSheetId="37">'[4]3.6'!#REF!</definedName>
    <definedName name="_c2_iNdEx_4" localSheetId="17">'[4]3.6'!#REF!</definedName>
    <definedName name="_c2_iNdEx_4" localSheetId="16">'[4]3.6'!#REF!</definedName>
    <definedName name="_c2_iNdEx_4" localSheetId="20">'[4]3.6'!#REF!</definedName>
    <definedName name="_c2_iNdEx_4" localSheetId="21">'[4]3.6'!#REF!</definedName>
    <definedName name="_c2_iNdEx_4" localSheetId="22">'[4]3.6'!#REF!</definedName>
    <definedName name="_c2_iNdEx_4" localSheetId="23">'[4]3.6'!#REF!</definedName>
    <definedName name="_c2_iNdEx_4" localSheetId="24">'[4]3.6'!#REF!</definedName>
    <definedName name="_c2_iNdEx_4" localSheetId="25">'[4]3.6'!#REF!</definedName>
    <definedName name="_c2_iNdEx_4" localSheetId="26">'[4]3.6'!#REF!</definedName>
    <definedName name="_c2_iNdEx_4" localSheetId="27">'[4]3.6'!#REF!</definedName>
    <definedName name="_c2_iNdEx_4" localSheetId="28">'[4]3.6'!#REF!</definedName>
    <definedName name="_c2_iNdEx_4" localSheetId="19">'[4]3.6'!#REF!</definedName>
    <definedName name="_c2_iNdEx_4" localSheetId="38">'[4]3.6'!#REF!</definedName>
    <definedName name="_c2_iNdEx_4" localSheetId="42">'[5]3.6'!#REF!</definedName>
    <definedName name="_c2_iNdEx_4" localSheetId="45">'[4]3.6'!#REF!</definedName>
    <definedName name="_c2_iNdEx_4" localSheetId="54">'[4]3.6'!#REF!</definedName>
    <definedName name="_c2_iNdEx_4" localSheetId="46">'[4]3.6'!#REF!</definedName>
    <definedName name="_c2_iNdEx_4" localSheetId="47">'[4]3.6'!#REF!</definedName>
    <definedName name="_c2_iNdEx_4" localSheetId="48">'[4]3.6'!#REF!</definedName>
    <definedName name="_c2_iNdEx_4" localSheetId="49">'[4]3.6'!#REF!</definedName>
    <definedName name="_c2_iNdEx_4" localSheetId="50">'[4]3.6'!#REF!</definedName>
    <definedName name="_c2_iNdEx_4" localSheetId="51">'[4]3.6'!#REF!</definedName>
    <definedName name="_c2_iNdEx_4" localSheetId="52">'[4]3.6'!#REF!</definedName>
    <definedName name="_c2_iNdEx_4" localSheetId="53">'[4]3.6'!#REF!</definedName>
    <definedName name="_c2_iNdEx_4" localSheetId="59">'[4]3.6'!#REF!</definedName>
    <definedName name="_c2_iNdEx_4" localSheetId="60">'[4]3.6'!#REF!</definedName>
    <definedName name="_c2_iNdEx_4" localSheetId="61">'[4]3.6'!#REF!</definedName>
    <definedName name="_c2_iNdEx_4" localSheetId="62">'[4]3.6'!#REF!</definedName>
    <definedName name="_c2_iNdEx_4" localSheetId="63">'[6]3.6'!#REF!</definedName>
    <definedName name="_c2_iNdEx_4" localSheetId="67">'[4]3.6'!#REF!</definedName>
    <definedName name="_c2_iNdEx_4" localSheetId="1">'[4]3.6'!#REF!</definedName>
    <definedName name="_c2_iNdEx_4">'[4]3.6'!#REF!</definedName>
    <definedName name="_c3_iNdEx_5" localSheetId="7">'[4]3.6'!#REF!</definedName>
    <definedName name="_c3_iNdEx_5" localSheetId="8">'[4]3.6'!#REF!</definedName>
    <definedName name="_c3_iNdEx_5" localSheetId="35">'[4]3.6'!#REF!</definedName>
    <definedName name="_c3_iNdEx_5" localSheetId="37">'[4]3.6'!#REF!</definedName>
    <definedName name="_c3_iNdEx_5" localSheetId="17">'[4]3.6'!#REF!</definedName>
    <definedName name="_c3_iNdEx_5" localSheetId="16">'[4]3.6'!#REF!</definedName>
    <definedName name="_c3_iNdEx_5" localSheetId="20">'[4]3.6'!#REF!</definedName>
    <definedName name="_c3_iNdEx_5" localSheetId="21">'[4]3.6'!#REF!</definedName>
    <definedName name="_c3_iNdEx_5" localSheetId="22">'[4]3.6'!#REF!</definedName>
    <definedName name="_c3_iNdEx_5" localSheetId="23">'[4]3.6'!#REF!</definedName>
    <definedName name="_c3_iNdEx_5" localSheetId="24">'[4]3.6'!#REF!</definedName>
    <definedName name="_c3_iNdEx_5" localSheetId="25">'[4]3.6'!#REF!</definedName>
    <definedName name="_c3_iNdEx_5" localSheetId="26">'[4]3.6'!#REF!</definedName>
    <definedName name="_c3_iNdEx_5" localSheetId="27">'[4]3.6'!#REF!</definedName>
    <definedName name="_c3_iNdEx_5" localSheetId="28">'[4]3.6'!#REF!</definedName>
    <definedName name="_c3_iNdEx_5" localSheetId="19">'[4]3.6'!#REF!</definedName>
    <definedName name="_c3_iNdEx_5" localSheetId="38">'[4]3.6'!#REF!</definedName>
    <definedName name="_c3_iNdEx_5" localSheetId="42">'[5]3.6'!#REF!</definedName>
    <definedName name="_c3_iNdEx_5" localSheetId="45">'[4]3.6'!#REF!</definedName>
    <definedName name="_c3_iNdEx_5" localSheetId="54">'[4]3.6'!#REF!</definedName>
    <definedName name="_c3_iNdEx_5" localSheetId="46">'[4]3.6'!#REF!</definedName>
    <definedName name="_c3_iNdEx_5" localSheetId="47">'[4]3.6'!#REF!</definedName>
    <definedName name="_c3_iNdEx_5" localSheetId="48">'[4]3.6'!#REF!</definedName>
    <definedName name="_c3_iNdEx_5" localSheetId="49">'[4]3.6'!#REF!</definedName>
    <definedName name="_c3_iNdEx_5" localSheetId="50">'[4]3.6'!#REF!</definedName>
    <definedName name="_c3_iNdEx_5" localSheetId="51">'[4]3.6'!#REF!</definedName>
    <definedName name="_c3_iNdEx_5" localSheetId="52">'[4]3.6'!#REF!</definedName>
    <definedName name="_c3_iNdEx_5" localSheetId="53">'[4]3.6'!#REF!</definedName>
    <definedName name="_c3_iNdEx_5" localSheetId="59">'[4]3.6'!#REF!</definedName>
    <definedName name="_c3_iNdEx_5" localSheetId="60">'[4]3.6'!#REF!</definedName>
    <definedName name="_c3_iNdEx_5" localSheetId="61">'[4]3.6'!#REF!</definedName>
    <definedName name="_c3_iNdEx_5" localSheetId="62">'[4]3.6'!#REF!</definedName>
    <definedName name="_c3_iNdEx_5" localSheetId="63">'[6]3.6'!#REF!</definedName>
    <definedName name="_c3_iNdEx_5" localSheetId="67">'[4]3.6'!#REF!</definedName>
    <definedName name="_c3_iNdEx_5" localSheetId="1">'[4]3.6'!#REF!</definedName>
    <definedName name="_c3_iNdEx_5">'[4]3.6'!#REF!</definedName>
    <definedName name="_c4_iNdEx_6" localSheetId="7">'[4]3.6'!#REF!</definedName>
    <definedName name="_c4_iNdEx_6" localSheetId="8">'[4]3.6'!#REF!</definedName>
    <definedName name="_c4_iNdEx_6" localSheetId="35">'[4]3.6'!#REF!</definedName>
    <definedName name="_c4_iNdEx_6" localSheetId="37">'[4]3.6'!#REF!</definedName>
    <definedName name="_c4_iNdEx_6" localSheetId="17">'[4]3.6'!#REF!</definedName>
    <definedName name="_c4_iNdEx_6" localSheetId="16">'[4]3.6'!#REF!</definedName>
    <definedName name="_c4_iNdEx_6" localSheetId="20">'[4]3.6'!#REF!</definedName>
    <definedName name="_c4_iNdEx_6" localSheetId="21">'[4]3.6'!#REF!</definedName>
    <definedName name="_c4_iNdEx_6" localSheetId="22">'[4]3.6'!#REF!</definedName>
    <definedName name="_c4_iNdEx_6" localSheetId="23">'[4]3.6'!#REF!</definedName>
    <definedName name="_c4_iNdEx_6" localSheetId="24">'[4]3.6'!#REF!</definedName>
    <definedName name="_c4_iNdEx_6" localSheetId="25">'[4]3.6'!#REF!</definedName>
    <definedName name="_c4_iNdEx_6" localSheetId="26">'[4]3.6'!#REF!</definedName>
    <definedName name="_c4_iNdEx_6" localSheetId="27">'[4]3.6'!#REF!</definedName>
    <definedName name="_c4_iNdEx_6" localSheetId="28">'[4]3.6'!#REF!</definedName>
    <definedName name="_c4_iNdEx_6" localSheetId="19">'[4]3.6'!#REF!</definedName>
    <definedName name="_c4_iNdEx_6" localSheetId="38">'[4]3.6'!#REF!</definedName>
    <definedName name="_c4_iNdEx_6" localSheetId="42">'[5]3.6'!#REF!</definedName>
    <definedName name="_c4_iNdEx_6" localSheetId="45">'[4]3.6'!#REF!</definedName>
    <definedName name="_c4_iNdEx_6" localSheetId="54">'[4]3.6'!#REF!</definedName>
    <definedName name="_c4_iNdEx_6" localSheetId="46">'[4]3.6'!#REF!</definedName>
    <definedName name="_c4_iNdEx_6" localSheetId="47">'[4]3.6'!#REF!</definedName>
    <definedName name="_c4_iNdEx_6" localSheetId="48">'[4]3.6'!#REF!</definedName>
    <definedName name="_c4_iNdEx_6" localSheetId="49">'[4]3.6'!#REF!</definedName>
    <definedName name="_c4_iNdEx_6" localSheetId="50">'[4]3.6'!#REF!</definedName>
    <definedName name="_c4_iNdEx_6" localSheetId="51">'[4]3.6'!#REF!</definedName>
    <definedName name="_c4_iNdEx_6" localSheetId="52">'[4]3.6'!#REF!</definedName>
    <definedName name="_c4_iNdEx_6" localSheetId="53">'[4]3.6'!#REF!</definedName>
    <definedName name="_c4_iNdEx_6" localSheetId="59">'[4]3.6'!#REF!</definedName>
    <definedName name="_c4_iNdEx_6" localSheetId="60">'[4]3.6'!#REF!</definedName>
    <definedName name="_c4_iNdEx_6" localSheetId="61">'[4]3.6'!#REF!</definedName>
    <definedName name="_c4_iNdEx_6" localSheetId="62">'[4]3.6'!#REF!</definedName>
    <definedName name="_c4_iNdEx_6" localSheetId="63">'[6]3.6'!#REF!</definedName>
    <definedName name="_c4_iNdEx_6" localSheetId="67">'[4]3.6'!#REF!</definedName>
    <definedName name="_c4_iNdEx_6" localSheetId="1">'[4]3.6'!#REF!</definedName>
    <definedName name="_c4_iNdEx_6">'[4]3.6'!#REF!</definedName>
    <definedName name="_c5_iNdEx_7" localSheetId="7">'[4]3.6'!#REF!</definedName>
    <definedName name="_c5_iNdEx_7" localSheetId="8">'[4]3.6'!#REF!</definedName>
    <definedName name="_c5_iNdEx_7" localSheetId="35">'[4]3.6'!#REF!</definedName>
    <definedName name="_c5_iNdEx_7" localSheetId="37">'[4]3.6'!#REF!</definedName>
    <definedName name="_c5_iNdEx_7" localSheetId="17">'[4]3.6'!#REF!</definedName>
    <definedName name="_c5_iNdEx_7" localSheetId="16">'[4]3.6'!#REF!</definedName>
    <definedName name="_c5_iNdEx_7" localSheetId="20">'[4]3.6'!#REF!</definedName>
    <definedName name="_c5_iNdEx_7" localSheetId="21">'[4]3.6'!#REF!</definedName>
    <definedName name="_c5_iNdEx_7" localSheetId="22">'[4]3.6'!#REF!</definedName>
    <definedName name="_c5_iNdEx_7" localSheetId="23">'[4]3.6'!#REF!</definedName>
    <definedName name="_c5_iNdEx_7" localSheetId="24">'[4]3.6'!#REF!</definedName>
    <definedName name="_c5_iNdEx_7" localSheetId="25">'[4]3.6'!#REF!</definedName>
    <definedName name="_c5_iNdEx_7" localSheetId="26">'[4]3.6'!#REF!</definedName>
    <definedName name="_c5_iNdEx_7" localSheetId="27">'[4]3.6'!#REF!</definedName>
    <definedName name="_c5_iNdEx_7" localSheetId="28">'[4]3.6'!#REF!</definedName>
    <definedName name="_c5_iNdEx_7" localSheetId="19">'[4]3.6'!#REF!</definedName>
    <definedName name="_c5_iNdEx_7" localSheetId="38">'[4]3.6'!#REF!</definedName>
    <definedName name="_c5_iNdEx_7" localSheetId="42">'[5]3.6'!#REF!</definedName>
    <definedName name="_c5_iNdEx_7" localSheetId="45">'[4]3.6'!#REF!</definedName>
    <definedName name="_c5_iNdEx_7" localSheetId="54">'[4]3.6'!#REF!</definedName>
    <definedName name="_c5_iNdEx_7" localSheetId="46">'[4]3.6'!#REF!</definedName>
    <definedName name="_c5_iNdEx_7" localSheetId="47">'[4]3.6'!#REF!</definedName>
    <definedName name="_c5_iNdEx_7" localSheetId="48">'[4]3.6'!#REF!</definedName>
    <definedName name="_c5_iNdEx_7" localSheetId="49">'[4]3.6'!#REF!</definedName>
    <definedName name="_c5_iNdEx_7" localSheetId="50">'[4]3.6'!#REF!</definedName>
    <definedName name="_c5_iNdEx_7" localSheetId="51">'[4]3.6'!#REF!</definedName>
    <definedName name="_c5_iNdEx_7" localSheetId="52">'[4]3.6'!#REF!</definedName>
    <definedName name="_c5_iNdEx_7" localSheetId="53">'[4]3.6'!#REF!</definedName>
    <definedName name="_c5_iNdEx_7" localSheetId="59">'[4]3.6'!#REF!</definedName>
    <definedName name="_c5_iNdEx_7" localSheetId="60">'[4]3.6'!#REF!</definedName>
    <definedName name="_c5_iNdEx_7" localSheetId="61">'[4]3.6'!#REF!</definedName>
    <definedName name="_c5_iNdEx_7" localSheetId="62">'[4]3.6'!#REF!</definedName>
    <definedName name="_c5_iNdEx_7" localSheetId="63">'[6]3.6'!#REF!</definedName>
    <definedName name="_c5_iNdEx_7" localSheetId="67">'[4]3.6'!#REF!</definedName>
    <definedName name="_c5_iNdEx_7" localSheetId="1">'[4]3.6'!#REF!</definedName>
    <definedName name="_c5_iNdEx_7">'[4]3.6'!#REF!</definedName>
    <definedName name="_c6_iNdEx_8" localSheetId="7">'[4]3.6'!#REF!</definedName>
    <definedName name="_c6_iNdEx_8" localSheetId="8">'[4]3.6'!#REF!</definedName>
    <definedName name="_c6_iNdEx_8" localSheetId="35">'[4]3.6'!#REF!</definedName>
    <definedName name="_c6_iNdEx_8" localSheetId="37">'[4]3.6'!#REF!</definedName>
    <definedName name="_c6_iNdEx_8" localSheetId="17">'[4]3.6'!#REF!</definedName>
    <definedName name="_c6_iNdEx_8" localSheetId="16">'[4]3.6'!#REF!</definedName>
    <definedName name="_c6_iNdEx_8" localSheetId="20">'[4]3.6'!#REF!</definedName>
    <definedName name="_c6_iNdEx_8" localSheetId="21">'[4]3.6'!#REF!</definedName>
    <definedName name="_c6_iNdEx_8" localSheetId="22">'[4]3.6'!#REF!</definedName>
    <definedName name="_c6_iNdEx_8" localSheetId="23">'[4]3.6'!#REF!</definedName>
    <definedName name="_c6_iNdEx_8" localSheetId="24">'[4]3.6'!#REF!</definedName>
    <definedName name="_c6_iNdEx_8" localSheetId="25">'[4]3.6'!#REF!</definedName>
    <definedName name="_c6_iNdEx_8" localSheetId="26">'[4]3.6'!#REF!</definedName>
    <definedName name="_c6_iNdEx_8" localSheetId="27">'[4]3.6'!#REF!</definedName>
    <definedName name="_c6_iNdEx_8" localSheetId="28">'[4]3.6'!#REF!</definedName>
    <definedName name="_c6_iNdEx_8" localSheetId="19">'[4]3.6'!#REF!</definedName>
    <definedName name="_c6_iNdEx_8" localSheetId="38">'[4]3.6'!#REF!</definedName>
    <definedName name="_c6_iNdEx_8" localSheetId="42">'[5]3.6'!#REF!</definedName>
    <definedName name="_c6_iNdEx_8" localSheetId="45">'[4]3.6'!#REF!</definedName>
    <definedName name="_c6_iNdEx_8" localSheetId="54">'[4]3.6'!#REF!</definedName>
    <definedName name="_c6_iNdEx_8" localSheetId="46">'[4]3.6'!#REF!</definedName>
    <definedName name="_c6_iNdEx_8" localSheetId="47">'[4]3.6'!#REF!</definedName>
    <definedName name="_c6_iNdEx_8" localSheetId="48">'[4]3.6'!#REF!</definedName>
    <definedName name="_c6_iNdEx_8" localSheetId="49">'[4]3.6'!#REF!</definedName>
    <definedName name="_c6_iNdEx_8" localSheetId="50">'[4]3.6'!#REF!</definedName>
    <definedName name="_c6_iNdEx_8" localSheetId="51">'[4]3.6'!#REF!</definedName>
    <definedName name="_c6_iNdEx_8" localSheetId="52">'[4]3.6'!#REF!</definedName>
    <definedName name="_c6_iNdEx_8" localSheetId="53">'[4]3.6'!#REF!</definedName>
    <definedName name="_c6_iNdEx_8" localSheetId="59">'[4]3.6'!#REF!</definedName>
    <definedName name="_c6_iNdEx_8" localSheetId="60">'[4]3.6'!#REF!</definedName>
    <definedName name="_c6_iNdEx_8" localSheetId="61">'[4]3.6'!#REF!</definedName>
    <definedName name="_c6_iNdEx_8" localSheetId="62">'[4]3.6'!#REF!</definedName>
    <definedName name="_c6_iNdEx_8" localSheetId="63">'[6]3.6'!#REF!</definedName>
    <definedName name="_c6_iNdEx_8" localSheetId="67">'[4]3.6'!#REF!</definedName>
    <definedName name="_c6_iNdEx_8" localSheetId="1">'[4]3.6'!#REF!</definedName>
    <definedName name="_c6_iNdEx_8">'[4]3.6'!#REF!</definedName>
    <definedName name="_c7_iNdEx_9" localSheetId="7">'[4]3.6'!#REF!</definedName>
    <definedName name="_c7_iNdEx_9" localSheetId="8">'[4]3.6'!#REF!</definedName>
    <definedName name="_c7_iNdEx_9" localSheetId="35">'[4]3.6'!#REF!</definedName>
    <definedName name="_c7_iNdEx_9" localSheetId="37">'[4]3.6'!#REF!</definedName>
    <definedName name="_c7_iNdEx_9" localSheetId="17">'[4]3.6'!#REF!</definedName>
    <definedName name="_c7_iNdEx_9" localSheetId="16">'[4]3.6'!#REF!</definedName>
    <definedName name="_c7_iNdEx_9" localSheetId="20">'[4]3.6'!#REF!</definedName>
    <definedName name="_c7_iNdEx_9" localSheetId="21">'[4]3.6'!#REF!</definedName>
    <definedName name="_c7_iNdEx_9" localSheetId="22">'[4]3.6'!#REF!</definedName>
    <definedName name="_c7_iNdEx_9" localSheetId="23">'[4]3.6'!#REF!</definedName>
    <definedName name="_c7_iNdEx_9" localSheetId="24">'[4]3.6'!#REF!</definedName>
    <definedName name="_c7_iNdEx_9" localSheetId="25">'[4]3.6'!#REF!</definedName>
    <definedName name="_c7_iNdEx_9" localSheetId="26">'[4]3.6'!#REF!</definedName>
    <definedName name="_c7_iNdEx_9" localSheetId="27">'[4]3.6'!#REF!</definedName>
    <definedName name="_c7_iNdEx_9" localSheetId="28">'[4]3.6'!#REF!</definedName>
    <definedName name="_c7_iNdEx_9" localSheetId="19">'[4]3.6'!#REF!</definedName>
    <definedName name="_c7_iNdEx_9" localSheetId="38">'[4]3.6'!#REF!</definedName>
    <definedName name="_c7_iNdEx_9" localSheetId="42">'[5]3.6'!#REF!</definedName>
    <definedName name="_c7_iNdEx_9" localSheetId="45">'[4]3.6'!#REF!</definedName>
    <definedName name="_c7_iNdEx_9" localSheetId="54">'[4]3.6'!#REF!</definedName>
    <definedName name="_c7_iNdEx_9" localSheetId="46">'[4]3.6'!#REF!</definedName>
    <definedName name="_c7_iNdEx_9" localSheetId="47">'[4]3.6'!#REF!</definedName>
    <definedName name="_c7_iNdEx_9" localSheetId="48">'[4]3.6'!#REF!</definedName>
    <definedName name="_c7_iNdEx_9" localSheetId="49">'[4]3.6'!#REF!</definedName>
    <definedName name="_c7_iNdEx_9" localSheetId="50">'[4]3.6'!#REF!</definedName>
    <definedName name="_c7_iNdEx_9" localSheetId="51">'[4]3.6'!#REF!</definedName>
    <definedName name="_c7_iNdEx_9" localSheetId="52">'[4]3.6'!#REF!</definedName>
    <definedName name="_c7_iNdEx_9" localSheetId="53">'[4]3.6'!#REF!</definedName>
    <definedName name="_c7_iNdEx_9" localSheetId="59">'[4]3.6'!#REF!</definedName>
    <definedName name="_c7_iNdEx_9" localSheetId="60">'[4]3.6'!#REF!</definedName>
    <definedName name="_c7_iNdEx_9" localSheetId="61">'[4]3.6'!#REF!</definedName>
    <definedName name="_c7_iNdEx_9" localSheetId="62">'[4]3.6'!#REF!</definedName>
    <definedName name="_c7_iNdEx_9" localSheetId="63">'[6]3.6'!#REF!</definedName>
    <definedName name="_c7_iNdEx_9" localSheetId="67">'[4]3.6'!#REF!</definedName>
    <definedName name="_c7_iNdEx_9" localSheetId="1">'[4]3.6'!#REF!</definedName>
    <definedName name="_c7_iNdEx_9">'[4]3.6'!#REF!</definedName>
    <definedName name="_c8_iNdEx_10" localSheetId="7">'[4]3.6'!#REF!</definedName>
    <definedName name="_c8_iNdEx_10" localSheetId="8">'[4]3.6'!#REF!</definedName>
    <definedName name="_c8_iNdEx_10" localSheetId="35">'[4]3.6'!#REF!</definedName>
    <definedName name="_c8_iNdEx_10" localSheetId="37">'[4]3.6'!#REF!</definedName>
    <definedName name="_c8_iNdEx_10" localSheetId="17">'[4]3.6'!#REF!</definedName>
    <definedName name="_c8_iNdEx_10" localSheetId="16">'[4]3.6'!#REF!</definedName>
    <definedName name="_c8_iNdEx_10" localSheetId="20">'[4]3.6'!#REF!</definedName>
    <definedName name="_c8_iNdEx_10" localSheetId="21">'[4]3.6'!#REF!</definedName>
    <definedName name="_c8_iNdEx_10" localSheetId="22">'[4]3.6'!#REF!</definedName>
    <definedName name="_c8_iNdEx_10" localSheetId="23">'[4]3.6'!#REF!</definedName>
    <definedName name="_c8_iNdEx_10" localSheetId="24">'[4]3.6'!#REF!</definedName>
    <definedName name="_c8_iNdEx_10" localSheetId="25">'[4]3.6'!#REF!</definedName>
    <definedName name="_c8_iNdEx_10" localSheetId="26">'[4]3.6'!#REF!</definedName>
    <definedName name="_c8_iNdEx_10" localSheetId="27">'[4]3.6'!#REF!</definedName>
    <definedName name="_c8_iNdEx_10" localSheetId="28">'[4]3.6'!#REF!</definedName>
    <definedName name="_c8_iNdEx_10" localSheetId="19">'[4]3.6'!#REF!</definedName>
    <definedName name="_c8_iNdEx_10" localSheetId="38">'[4]3.6'!#REF!</definedName>
    <definedName name="_c8_iNdEx_10" localSheetId="42">'[5]3.6'!#REF!</definedName>
    <definedName name="_c8_iNdEx_10" localSheetId="45">'[4]3.6'!#REF!</definedName>
    <definedName name="_c8_iNdEx_10" localSheetId="54">'[4]3.6'!#REF!</definedName>
    <definedName name="_c8_iNdEx_10" localSheetId="46">'[4]3.6'!#REF!</definedName>
    <definedName name="_c8_iNdEx_10" localSheetId="47">'[4]3.6'!#REF!</definedName>
    <definedName name="_c8_iNdEx_10" localSheetId="48">'[4]3.6'!#REF!</definedName>
    <definedName name="_c8_iNdEx_10" localSheetId="49">'[4]3.6'!#REF!</definedName>
    <definedName name="_c8_iNdEx_10" localSheetId="50">'[4]3.6'!#REF!</definedName>
    <definedName name="_c8_iNdEx_10" localSheetId="51">'[4]3.6'!#REF!</definedName>
    <definedName name="_c8_iNdEx_10" localSheetId="52">'[4]3.6'!#REF!</definedName>
    <definedName name="_c8_iNdEx_10" localSheetId="53">'[4]3.6'!#REF!</definedName>
    <definedName name="_c8_iNdEx_10" localSheetId="59">'[4]3.6'!#REF!</definedName>
    <definedName name="_c8_iNdEx_10" localSheetId="60">'[4]3.6'!#REF!</definedName>
    <definedName name="_c8_iNdEx_10" localSheetId="61">'[4]3.6'!#REF!</definedName>
    <definedName name="_c8_iNdEx_10" localSheetId="62">'[4]3.6'!#REF!</definedName>
    <definedName name="_c8_iNdEx_10" localSheetId="63">'[6]3.6'!#REF!</definedName>
    <definedName name="_c8_iNdEx_10" localSheetId="67">'[4]3.6'!#REF!</definedName>
    <definedName name="_c8_iNdEx_10" localSheetId="1">'[4]3.6'!#REF!</definedName>
    <definedName name="_c8_iNdEx_10">'[4]3.6'!#REF!</definedName>
    <definedName name="_h1_iNdEx_11" localSheetId="17">'[4]3.6 (2)'!$A$2</definedName>
    <definedName name="_h1_iNdEx_11" localSheetId="16">'[4]3.6 (2)'!$A$2</definedName>
    <definedName name="_h1_iNdEx_11" localSheetId="19">'[4]3.6 (2)'!$A$2</definedName>
    <definedName name="_h1_iNdEx_11" localSheetId="42">'[5]3.6 (2)'!$A$2</definedName>
    <definedName name="_h1_iNdEx_11" localSheetId="60">'[4]3.6 (2)'!$A$2</definedName>
    <definedName name="_h1_iNdEx_11" localSheetId="61">'[4]3.6 (2)'!$A$2</definedName>
    <definedName name="_h1_iNdEx_11" localSheetId="62">'[4]3.6 (2)'!$A$2</definedName>
    <definedName name="_h1_iNdEx_11" localSheetId="63">'[6]3.6 (2)'!$A$2</definedName>
    <definedName name="_h1_iNdEx_11" localSheetId="67">'[4]3.6 (2)'!$A$2</definedName>
    <definedName name="_h1_iNdEx_11">'[4]3.6 (2)'!$A$2</definedName>
    <definedName name="_h10_iNdEx_38" localSheetId="17">'[4]3.6 (2)'!$A$30</definedName>
    <definedName name="_h10_iNdEx_38" localSheetId="16">'[4]3.6 (2)'!$A$30</definedName>
    <definedName name="_h10_iNdEx_38" localSheetId="19">'[4]3.6 (2)'!$A$30</definedName>
    <definedName name="_h10_iNdEx_38" localSheetId="42">'[5]3.6 (2)'!$A$30</definedName>
    <definedName name="_h10_iNdEx_38" localSheetId="60">'[4]3.6 (2)'!$A$30</definedName>
    <definedName name="_h10_iNdEx_38" localSheetId="61">'[4]3.6 (2)'!$A$30</definedName>
    <definedName name="_h10_iNdEx_38" localSheetId="62">'[4]3.6 (2)'!$A$30</definedName>
    <definedName name="_h10_iNdEx_38" localSheetId="63">'[6]3.6 (2)'!$A$30</definedName>
    <definedName name="_h10_iNdEx_38" localSheetId="67">'[4]3.6 (2)'!$A$30</definedName>
    <definedName name="_h10_iNdEx_38">'[4]3.6 (2)'!$A$30</definedName>
    <definedName name="_h11_iNdEx_39" localSheetId="17">'[4]3.6 (2)'!$A$31</definedName>
    <definedName name="_h11_iNdEx_39" localSheetId="16">'[4]3.6 (2)'!$A$31</definedName>
    <definedName name="_h11_iNdEx_39" localSheetId="19">'[4]3.6 (2)'!$A$31</definedName>
    <definedName name="_h11_iNdEx_39" localSheetId="42">'[5]3.6 (2)'!$A$31</definedName>
    <definedName name="_h11_iNdEx_39" localSheetId="60">'[4]3.6 (2)'!$A$31</definedName>
    <definedName name="_h11_iNdEx_39" localSheetId="61">'[4]3.6 (2)'!$A$31</definedName>
    <definedName name="_h11_iNdEx_39" localSheetId="62">'[4]3.6 (2)'!$A$31</definedName>
    <definedName name="_h11_iNdEx_39" localSheetId="63">'[6]3.6 (2)'!$A$31</definedName>
    <definedName name="_h11_iNdEx_39" localSheetId="67">'[4]3.6 (2)'!$A$31</definedName>
    <definedName name="_h11_iNdEx_39">'[4]3.6 (2)'!$A$31</definedName>
    <definedName name="_h12_iNdEx_40" localSheetId="7">'[4]3.6'!#REF!</definedName>
    <definedName name="_h12_iNdEx_40" localSheetId="8">'[4]3.6'!#REF!</definedName>
    <definedName name="_h12_iNdEx_40" localSheetId="35">'[4]3.6'!#REF!</definedName>
    <definedName name="_h12_iNdEx_40" localSheetId="37">'[4]3.6'!#REF!</definedName>
    <definedName name="_h12_iNdEx_40" localSheetId="17">'[4]3.6'!#REF!</definedName>
    <definedName name="_h12_iNdEx_40" localSheetId="16">'[4]3.6'!#REF!</definedName>
    <definedName name="_h12_iNdEx_40" localSheetId="20">'[4]3.6'!#REF!</definedName>
    <definedName name="_h12_iNdEx_40" localSheetId="21">'[4]3.6'!#REF!</definedName>
    <definedName name="_h12_iNdEx_40" localSheetId="22">'[4]3.6'!#REF!</definedName>
    <definedName name="_h12_iNdEx_40" localSheetId="23">'[4]3.6'!#REF!</definedName>
    <definedName name="_h12_iNdEx_40" localSheetId="24">'[4]3.6'!#REF!</definedName>
    <definedName name="_h12_iNdEx_40" localSheetId="25">'[4]3.6'!#REF!</definedName>
    <definedName name="_h12_iNdEx_40" localSheetId="26">'[4]3.6'!#REF!</definedName>
    <definedName name="_h12_iNdEx_40" localSheetId="27">'[4]3.6'!#REF!</definedName>
    <definedName name="_h12_iNdEx_40" localSheetId="28">'[4]3.6'!#REF!</definedName>
    <definedName name="_h12_iNdEx_40" localSheetId="19">'[4]3.6'!#REF!</definedName>
    <definedName name="_h12_iNdEx_40" localSheetId="38">'[4]3.6'!#REF!</definedName>
    <definedName name="_h12_iNdEx_40" localSheetId="42">'[5]3.6'!#REF!</definedName>
    <definedName name="_h12_iNdEx_40" localSheetId="45">'[4]3.6'!#REF!</definedName>
    <definedName name="_h12_iNdEx_40" localSheetId="54">'[4]3.6'!#REF!</definedName>
    <definedName name="_h12_iNdEx_40" localSheetId="46">'[4]3.6'!#REF!</definedName>
    <definedName name="_h12_iNdEx_40" localSheetId="47">'[4]3.6'!#REF!</definedName>
    <definedName name="_h12_iNdEx_40" localSheetId="48">'[4]3.6'!#REF!</definedName>
    <definedName name="_h12_iNdEx_40" localSheetId="49">'[4]3.6'!#REF!</definedName>
    <definedName name="_h12_iNdEx_40" localSheetId="50">'[4]3.6'!#REF!</definedName>
    <definedName name="_h12_iNdEx_40" localSheetId="51">'[4]3.6'!#REF!</definedName>
    <definedName name="_h12_iNdEx_40" localSheetId="52">'[4]3.6'!#REF!</definedName>
    <definedName name="_h12_iNdEx_40" localSheetId="53">'[4]3.6'!#REF!</definedName>
    <definedName name="_h12_iNdEx_40" localSheetId="59">'[4]3.6'!#REF!</definedName>
    <definedName name="_h12_iNdEx_40" localSheetId="60">'[4]3.6'!#REF!</definedName>
    <definedName name="_h12_iNdEx_40" localSheetId="61">'[4]3.6'!#REF!</definedName>
    <definedName name="_h12_iNdEx_40" localSheetId="62">'[4]3.6'!#REF!</definedName>
    <definedName name="_h12_iNdEx_40" localSheetId="63">'[6]3.6'!#REF!</definedName>
    <definedName name="_h12_iNdEx_40" localSheetId="67">'[4]3.6'!#REF!</definedName>
    <definedName name="_h12_iNdEx_40" localSheetId="1">'[4]3.6'!#REF!</definedName>
    <definedName name="_h12_iNdEx_40">'[4]3.6'!#REF!</definedName>
    <definedName name="_h13_iNdEx_42" localSheetId="17">'[4]3.6 (2)'!$A$33</definedName>
    <definedName name="_h13_iNdEx_42" localSheetId="16">'[4]3.6 (2)'!$A$33</definedName>
    <definedName name="_h13_iNdEx_42" localSheetId="19">'[4]3.6 (2)'!$A$33</definedName>
    <definedName name="_h13_iNdEx_42" localSheetId="42">'[5]3.6 (2)'!$A$33</definedName>
    <definedName name="_h13_iNdEx_42" localSheetId="60">'[4]3.6 (2)'!$A$33</definedName>
    <definedName name="_h13_iNdEx_42" localSheetId="61">'[4]3.6 (2)'!$A$33</definedName>
    <definedName name="_h13_iNdEx_42" localSheetId="62">'[4]3.6 (2)'!$A$33</definedName>
    <definedName name="_h13_iNdEx_42" localSheetId="63">'[6]3.6 (2)'!$A$33</definedName>
    <definedName name="_h13_iNdEx_42" localSheetId="67">'[4]3.6 (2)'!$A$33</definedName>
    <definedName name="_h13_iNdEx_42">'[4]3.6 (2)'!$A$33</definedName>
    <definedName name="_h14_iNdEx_47" localSheetId="17">'[4]3.6 (2)'!$A$37</definedName>
    <definedName name="_h14_iNdEx_47" localSheetId="16">'[4]3.6 (2)'!$A$37</definedName>
    <definedName name="_h14_iNdEx_47" localSheetId="19">'[4]3.6 (2)'!$A$37</definedName>
    <definedName name="_h14_iNdEx_47" localSheetId="42">'[5]3.6 (2)'!$A$37</definedName>
    <definedName name="_h14_iNdEx_47" localSheetId="60">'[4]3.6 (2)'!$A$37</definedName>
    <definedName name="_h14_iNdEx_47" localSheetId="61">'[4]3.6 (2)'!$A$37</definedName>
    <definedName name="_h14_iNdEx_47" localSheetId="62">'[4]3.6 (2)'!$A$37</definedName>
    <definedName name="_h14_iNdEx_47" localSheetId="63">'[6]3.6 (2)'!$A$37</definedName>
    <definedName name="_h14_iNdEx_47" localSheetId="67">'[4]3.6 (2)'!$A$37</definedName>
    <definedName name="_h14_iNdEx_47">'[4]3.6 (2)'!$A$37</definedName>
    <definedName name="_h15_iNdEx_55" localSheetId="7">'[4]3.6'!#REF!</definedName>
    <definedName name="_h15_iNdEx_55" localSheetId="8">'[4]3.6'!#REF!</definedName>
    <definedName name="_h15_iNdEx_55" localSheetId="35">'[4]3.6'!#REF!</definedName>
    <definedName name="_h15_iNdEx_55" localSheetId="37">'[4]3.6'!#REF!</definedName>
    <definedName name="_h15_iNdEx_55" localSheetId="17">'[4]3.6'!#REF!</definedName>
    <definedName name="_h15_iNdEx_55" localSheetId="16">'[4]3.6'!#REF!</definedName>
    <definedName name="_h15_iNdEx_55" localSheetId="20">'[4]3.6'!#REF!</definedName>
    <definedName name="_h15_iNdEx_55" localSheetId="21">'[4]3.6'!#REF!</definedName>
    <definedName name="_h15_iNdEx_55" localSheetId="22">'[4]3.6'!#REF!</definedName>
    <definedName name="_h15_iNdEx_55" localSheetId="23">'[4]3.6'!#REF!</definedName>
    <definedName name="_h15_iNdEx_55" localSheetId="24">'[4]3.6'!#REF!</definedName>
    <definedName name="_h15_iNdEx_55" localSheetId="25">'[4]3.6'!#REF!</definedName>
    <definedName name="_h15_iNdEx_55" localSheetId="26">'[4]3.6'!#REF!</definedName>
    <definedName name="_h15_iNdEx_55" localSheetId="27">'[4]3.6'!#REF!</definedName>
    <definedName name="_h15_iNdEx_55" localSheetId="28">'[4]3.6'!#REF!</definedName>
    <definedName name="_h15_iNdEx_55" localSheetId="19">'[4]3.6'!#REF!</definedName>
    <definedName name="_h15_iNdEx_55" localSheetId="38">'[4]3.6'!#REF!</definedName>
    <definedName name="_h15_iNdEx_55" localSheetId="42">'[5]3.6'!#REF!</definedName>
    <definedName name="_h15_iNdEx_55" localSheetId="45">'[4]3.6'!#REF!</definedName>
    <definedName name="_h15_iNdEx_55" localSheetId="54">'[4]3.6'!#REF!</definedName>
    <definedName name="_h15_iNdEx_55" localSheetId="46">'[4]3.6'!#REF!</definedName>
    <definedName name="_h15_iNdEx_55" localSheetId="47">'[4]3.6'!#REF!</definedName>
    <definedName name="_h15_iNdEx_55" localSheetId="48">'[4]3.6'!#REF!</definedName>
    <definedName name="_h15_iNdEx_55" localSheetId="49">'[4]3.6'!#REF!</definedName>
    <definedName name="_h15_iNdEx_55" localSheetId="50">'[4]3.6'!#REF!</definedName>
    <definedName name="_h15_iNdEx_55" localSheetId="51">'[4]3.6'!#REF!</definedName>
    <definedName name="_h15_iNdEx_55" localSheetId="52">'[4]3.6'!#REF!</definedName>
    <definedName name="_h15_iNdEx_55" localSheetId="53">'[4]3.6'!#REF!</definedName>
    <definedName name="_h15_iNdEx_55" localSheetId="59">'[4]3.6'!#REF!</definedName>
    <definedName name="_h15_iNdEx_55" localSheetId="60">'[4]3.6'!#REF!</definedName>
    <definedName name="_h15_iNdEx_55" localSheetId="61">'[4]3.6'!#REF!</definedName>
    <definedName name="_h15_iNdEx_55" localSheetId="62">'[4]3.6'!#REF!</definedName>
    <definedName name="_h15_iNdEx_55" localSheetId="63">'[6]3.6'!#REF!</definedName>
    <definedName name="_h15_iNdEx_55" localSheetId="67">'[4]3.6'!#REF!</definedName>
    <definedName name="_h15_iNdEx_55" localSheetId="1">'[4]3.6'!#REF!</definedName>
    <definedName name="_h15_iNdEx_55">'[4]3.6'!#REF!</definedName>
    <definedName name="_h2_iNdEx_12" localSheetId="17">'[4]3.6 (2)'!$A$4</definedName>
    <definedName name="_h2_iNdEx_12" localSheetId="16">'[4]3.6 (2)'!$A$4</definedName>
    <definedName name="_h2_iNdEx_12" localSheetId="19">'[4]3.6 (2)'!$A$4</definedName>
    <definedName name="_h2_iNdEx_12" localSheetId="42">'[5]3.6 (2)'!$A$4</definedName>
    <definedName name="_h2_iNdEx_12" localSheetId="60">'[4]3.6 (2)'!$A$4</definedName>
    <definedName name="_h2_iNdEx_12" localSheetId="61">'[4]3.6 (2)'!$A$4</definedName>
    <definedName name="_h2_iNdEx_12" localSheetId="62">'[4]3.6 (2)'!$A$4</definedName>
    <definedName name="_h2_iNdEx_12" localSheetId="63">'[6]3.6 (2)'!$A$4</definedName>
    <definedName name="_h2_iNdEx_12" localSheetId="67">'[4]3.6 (2)'!$A$4</definedName>
    <definedName name="_h2_iNdEx_12">'[4]3.6 (2)'!$A$4</definedName>
    <definedName name="_h3_iNdEx_13" localSheetId="17">'[4]3.6 (2)'!$A$13</definedName>
    <definedName name="_h3_iNdEx_13" localSheetId="16">'[4]3.6 (2)'!$A$13</definedName>
    <definedName name="_h3_iNdEx_13" localSheetId="19">'[4]3.6 (2)'!$A$13</definedName>
    <definedName name="_h3_iNdEx_13" localSheetId="42">'[5]3.6 (2)'!$A$13</definedName>
    <definedName name="_h3_iNdEx_13" localSheetId="60">'[4]3.6 (2)'!$A$13</definedName>
    <definedName name="_h3_iNdEx_13" localSheetId="61">'[4]3.6 (2)'!$A$13</definedName>
    <definedName name="_h3_iNdEx_13" localSheetId="62">'[4]3.6 (2)'!$A$13</definedName>
    <definedName name="_h3_iNdEx_13" localSheetId="63">'[6]3.6 (2)'!$A$13</definedName>
    <definedName name="_h3_iNdEx_13" localSheetId="67">'[4]3.6 (2)'!$A$13</definedName>
    <definedName name="_h3_iNdEx_13">'[4]3.6 (2)'!$A$13</definedName>
    <definedName name="_h4_iNdEx_14" localSheetId="17">'[4]3.6 (2)'!$A$14</definedName>
    <definedName name="_h4_iNdEx_14" localSheetId="16">'[4]3.6 (2)'!$A$14</definedName>
    <definedName name="_h4_iNdEx_14" localSheetId="19">'[4]3.6 (2)'!$A$14</definedName>
    <definedName name="_h4_iNdEx_14" localSheetId="42">'[5]3.6 (2)'!$A$14</definedName>
    <definedName name="_h4_iNdEx_14" localSheetId="60">'[4]3.6 (2)'!$A$14</definedName>
    <definedName name="_h4_iNdEx_14" localSheetId="61">'[4]3.6 (2)'!$A$14</definedName>
    <definedName name="_h4_iNdEx_14" localSheetId="62">'[4]3.6 (2)'!$A$14</definedName>
    <definedName name="_h4_iNdEx_14" localSheetId="63">'[6]3.6 (2)'!$A$14</definedName>
    <definedName name="_h4_iNdEx_14" localSheetId="67">'[4]3.6 (2)'!$A$14</definedName>
    <definedName name="_h4_iNdEx_14">'[4]3.6 (2)'!$A$14</definedName>
    <definedName name="_h5_iNdEx_15" localSheetId="7">'[4]3.6'!#REF!</definedName>
    <definedName name="_h5_iNdEx_15" localSheetId="8">'[4]3.6'!#REF!</definedName>
    <definedName name="_h5_iNdEx_15" localSheetId="35">'[4]3.6'!#REF!</definedName>
    <definedName name="_h5_iNdEx_15" localSheetId="37">'[4]3.6'!#REF!</definedName>
    <definedName name="_h5_iNdEx_15" localSheetId="17">'[4]3.6'!#REF!</definedName>
    <definedName name="_h5_iNdEx_15" localSheetId="16">'[4]3.6'!#REF!</definedName>
    <definedName name="_h5_iNdEx_15" localSheetId="20">'[4]3.6'!#REF!</definedName>
    <definedName name="_h5_iNdEx_15" localSheetId="21">'[4]3.6'!#REF!</definedName>
    <definedName name="_h5_iNdEx_15" localSheetId="22">'[4]3.6'!#REF!</definedName>
    <definedName name="_h5_iNdEx_15" localSheetId="23">'[4]3.6'!#REF!</definedName>
    <definedName name="_h5_iNdEx_15" localSheetId="24">'[4]3.6'!#REF!</definedName>
    <definedName name="_h5_iNdEx_15" localSheetId="25">'[4]3.6'!#REF!</definedName>
    <definedName name="_h5_iNdEx_15" localSheetId="26">'[4]3.6'!#REF!</definedName>
    <definedName name="_h5_iNdEx_15" localSheetId="27">'[4]3.6'!#REF!</definedName>
    <definedName name="_h5_iNdEx_15" localSheetId="28">'[4]3.6'!#REF!</definedName>
    <definedName name="_h5_iNdEx_15" localSheetId="19">'[4]3.6'!#REF!</definedName>
    <definedName name="_h5_iNdEx_15" localSheetId="38">'[4]3.6'!#REF!</definedName>
    <definedName name="_h5_iNdEx_15" localSheetId="42">'[5]3.6'!#REF!</definedName>
    <definedName name="_h5_iNdEx_15" localSheetId="45">'[4]3.6'!#REF!</definedName>
    <definedName name="_h5_iNdEx_15" localSheetId="54">'[4]3.6'!#REF!</definedName>
    <definedName name="_h5_iNdEx_15" localSheetId="46">'[4]3.6'!#REF!</definedName>
    <definedName name="_h5_iNdEx_15" localSheetId="47">'[4]3.6'!#REF!</definedName>
    <definedName name="_h5_iNdEx_15" localSheetId="48">'[4]3.6'!#REF!</definedName>
    <definedName name="_h5_iNdEx_15" localSheetId="49">'[4]3.6'!#REF!</definedName>
    <definedName name="_h5_iNdEx_15" localSheetId="50">'[4]3.6'!#REF!</definedName>
    <definedName name="_h5_iNdEx_15" localSheetId="51">'[4]3.6'!#REF!</definedName>
    <definedName name="_h5_iNdEx_15" localSheetId="52">'[4]3.6'!#REF!</definedName>
    <definedName name="_h5_iNdEx_15" localSheetId="53">'[4]3.6'!#REF!</definedName>
    <definedName name="_h5_iNdEx_15" localSheetId="59">'[4]3.6'!#REF!</definedName>
    <definedName name="_h5_iNdEx_15" localSheetId="60">'[4]3.6'!#REF!</definedName>
    <definedName name="_h5_iNdEx_15" localSheetId="61">'[4]3.6'!#REF!</definedName>
    <definedName name="_h5_iNdEx_15" localSheetId="62">'[4]3.6'!#REF!</definedName>
    <definedName name="_h5_iNdEx_15" localSheetId="63">'[6]3.6'!#REF!</definedName>
    <definedName name="_h5_iNdEx_15" localSheetId="67">'[4]3.6'!#REF!</definedName>
    <definedName name="_h5_iNdEx_15" localSheetId="1">'[4]3.6'!#REF!</definedName>
    <definedName name="_h5_iNdEx_15">'[4]3.6'!#REF!</definedName>
    <definedName name="_h6_iNdEx_17" localSheetId="17">'[4]3.6 (2)'!$A$16</definedName>
    <definedName name="_h6_iNdEx_17" localSheetId="16">'[4]3.6 (2)'!$A$16</definedName>
    <definedName name="_h6_iNdEx_17" localSheetId="19">'[4]3.6 (2)'!$A$16</definedName>
    <definedName name="_h6_iNdEx_17" localSheetId="42">'[5]3.6 (2)'!$A$16</definedName>
    <definedName name="_h6_iNdEx_17" localSheetId="60">'[4]3.6 (2)'!$A$16</definedName>
    <definedName name="_h6_iNdEx_17" localSheetId="61">'[4]3.6 (2)'!$A$16</definedName>
    <definedName name="_h6_iNdEx_17" localSheetId="62">'[4]3.6 (2)'!$A$16</definedName>
    <definedName name="_h6_iNdEx_17" localSheetId="63">'[6]3.6 (2)'!$A$16</definedName>
    <definedName name="_h6_iNdEx_17" localSheetId="67">'[4]3.6 (2)'!$A$16</definedName>
    <definedName name="_h6_iNdEx_17">'[4]3.6 (2)'!$A$16</definedName>
    <definedName name="_h7_iNdEx_22" localSheetId="17">'[4]3.6 (2)'!$A$20</definedName>
    <definedName name="_h7_iNdEx_22" localSheetId="16">'[4]3.6 (2)'!$A$20</definedName>
    <definedName name="_h7_iNdEx_22" localSheetId="19">'[4]3.6 (2)'!$A$20</definedName>
    <definedName name="_h7_iNdEx_22" localSheetId="42">'[5]3.6 (2)'!$A$20</definedName>
    <definedName name="_h7_iNdEx_22" localSheetId="60">'[4]3.6 (2)'!$A$20</definedName>
    <definedName name="_h7_iNdEx_22" localSheetId="61">'[4]3.6 (2)'!$A$20</definedName>
    <definedName name="_h7_iNdEx_22" localSheetId="62">'[4]3.6 (2)'!$A$20</definedName>
    <definedName name="_h7_iNdEx_22" localSheetId="63">'[6]3.6 (2)'!$A$20</definedName>
    <definedName name="_h7_iNdEx_22" localSheetId="67">'[4]3.6 (2)'!$A$20</definedName>
    <definedName name="_h7_iNdEx_22">'[4]3.6 (2)'!$A$20</definedName>
    <definedName name="_h8_iNdEx_28" localSheetId="17">'[4]3.6 (2)'!$A$26</definedName>
    <definedName name="_h8_iNdEx_28" localSheetId="16">'[4]3.6 (2)'!$A$26</definedName>
    <definedName name="_h8_iNdEx_28" localSheetId="19">'[4]3.6 (2)'!$A$26</definedName>
    <definedName name="_h8_iNdEx_28" localSheetId="42">'[5]3.6 (2)'!$A$26</definedName>
    <definedName name="_h8_iNdEx_28" localSheetId="60">'[4]3.6 (2)'!$A$26</definedName>
    <definedName name="_h8_iNdEx_28" localSheetId="61">'[4]3.6 (2)'!$A$26</definedName>
    <definedName name="_h8_iNdEx_28" localSheetId="62">'[4]3.6 (2)'!$A$26</definedName>
    <definedName name="_h8_iNdEx_28" localSheetId="63">'[6]3.6 (2)'!$A$26</definedName>
    <definedName name="_h8_iNdEx_28" localSheetId="67">'[4]3.6 (2)'!$A$26</definedName>
    <definedName name="_h8_iNdEx_28">'[4]3.6 (2)'!$A$26</definedName>
    <definedName name="_h9_iNdEx_37" localSheetId="7">'[4]3.6'!#REF!</definedName>
    <definedName name="_h9_iNdEx_37" localSheetId="8">'[4]3.6'!#REF!</definedName>
    <definedName name="_h9_iNdEx_37" localSheetId="35">'[4]3.6'!#REF!</definedName>
    <definedName name="_h9_iNdEx_37" localSheetId="37">'[4]3.6'!#REF!</definedName>
    <definedName name="_h9_iNdEx_37" localSheetId="17">'[4]3.6'!#REF!</definedName>
    <definedName name="_h9_iNdEx_37" localSheetId="16">'[4]3.6'!#REF!</definedName>
    <definedName name="_h9_iNdEx_37" localSheetId="20">'[4]3.6'!#REF!</definedName>
    <definedName name="_h9_iNdEx_37" localSheetId="21">'[4]3.6'!#REF!</definedName>
    <definedName name="_h9_iNdEx_37" localSheetId="22">'[4]3.6'!#REF!</definedName>
    <definedName name="_h9_iNdEx_37" localSheetId="23">'[4]3.6'!#REF!</definedName>
    <definedName name="_h9_iNdEx_37" localSheetId="24">'[4]3.6'!#REF!</definedName>
    <definedName name="_h9_iNdEx_37" localSheetId="25">'[4]3.6'!#REF!</definedName>
    <definedName name="_h9_iNdEx_37" localSheetId="26">'[4]3.6'!#REF!</definedName>
    <definedName name="_h9_iNdEx_37" localSheetId="27">'[4]3.6'!#REF!</definedName>
    <definedName name="_h9_iNdEx_37" localSheetId="28">'[4]3.6'!#REF!</definedName>
    <definedName name="_h9_iNdEx_37" localSheetId="19">'[4]3.6'!#REF!</definedName>
    <definedName name="_h9_iNdEx_37" localSheetId="38">'[4]3.6'!#REF!</definedName>
    <definedName name="_h9_iNdEx_37" localSheetId="42">'[5]3.6'!#REF!</definedName>
    <definedName name="_h9_iNdEx_37" localSheetId="45">'[4]3.6'!#REF!</definedName>
    <definedName name="_h9_iNdEx_37" localSheetId="54">'[4]3.6'!#REF!</definedName>
    <definedName name="_h9_iNdEx_37" localSheetId="46">'[4]3.6'!#REF!</definedName>
    <definedName name="_h9_iNdEx_37" localSheetId="47">'[4]3.6'!#REF!</definedName>
    <definedName name="_h9_iNdEx_37" localSheetId="48">'[4]3.6'!#REF!</definedName>
    <definedName name="_h9_iNdEx_37" localSheetId="49">'[4]3.6'!#REF!</definedName>
    <definedName name="_h9_iNdEx_37" localSheetId="50">'[4]3.6'!#REF!</definedName>
    <definedName name="_h9_iNdEx_37" localSheetId="51">'[4]3.6'!#REF!</definedName>
    <definedName name="_h9_iNdEx_37" localSheetId="52">'[4]3.6'!#REF!</definedName>
    <definedName name="_h9_iNdEx_37" localSheetId="53">'[4]3.6'!#REF!</definedName>
    <definedName name="_h9_iNdEx_37" localSheetId="59">'[4]3.6'!#REF!</definedName>
    <definedName name="_h9_iNdEx_37" localSheetId="60">'[4]3.6'!#REF!</definedName>
    <definedName name="_h9_iNdEx_37" localSheetId="61">'[4]3.6'!#REF!</definedName>
    <definedName name="_h9_iNdEx_37" localSheetId="62">'[4]3.6'!#REF!</definedName>
    <definedName name="_h9_iNdEx_37" localSheetId="63">'[6]3.6'!#REF!</definedName>
    <definedName name="_h9_iNdEx_37" localSheetId="67">'[4]3.6'!#REF!</definedName>
    <definedName name="_h9_iNdEx_37" localSheetId="1">'[4]3.6'!#REF!</definedName>
    <definedName name="_h9_iNdEx_37">'[4]3.6'!#REF!</definedName>
    <definedName name="_r1_iNdEx_16" localSheetId="17">'[4]3.6 (2)'!$A$15</definedName>
    <definedName name="_r1_iNdEx_16" localSheetId="16">'[4]3.6 (2)'!$A$15</definedName>
    <definedName name="_r1_iNdEx_16" localSheetId="19">'[4]3.6 (2)'!$A$15</definedName>
    <definedName name="_r1_iNdEx_16" localSheetId="42">'[5]3.6 (2)'!$A$15</definedName>
    <definedName name="_r1_iNdEx_16" localSheetId="60">'[4]3.6 (2)'!$A$15</definedName>
    <definedName name="_r1_iNdEx_16" localSheetId="61">'[4]3.6 (2)'!$A$15</definedName>
    <definedName name="_r1_iNdEx_16" localSheetId="62">'[4]3.6 (2)'!$A$15</definedName>
    <definedName name="_r1_iNdEx_16" localSheetId="63">'[6]3.6 (2)'!$A$15</definedName>
    <definedName name="_r1_iNdEx_16" localSheetId="67">'[4]3.6 (2)'!$A$15</definedName>
    <definedName name="_r1_iNdEx_16">'[4]3.6 (2)'!$A$15</definedName>
    <definedName name="_r10_iNdEx_27" localSheetId="17">'[4]3.6 (2)'!$A$25</definedName>
    <definedName name="_r10_iNdEx_27" localSheetId="16">'[4]3.6 (2)'!$A$25</definedName>
    <definedName name="_r10_iNdEx_27" localSheetId="19">'[4]3.6 (2)'!$A$25</definedName>
    <definedName name="_r10_iNdEx_27" localSheetId="42">'[5]3.6 (2)'!$A$25</definedName>
    <definedName name="_r10_iNdEx_27" localSheetId="60">'[4]3.6 (2)'!$A$25</definedName>
    <definedName name="_r10_iNdEx_27" localSheetId="61">'[4]3.6 (2)'!$A$25</definedName>
    <definedName name="_r10_iNdEx_27" localSheetId="62">'[4]3.6 (2)'!$A$25</definedName>
    <definedName name="_r10_iNdEx_27" localSheetId="63">'[6]3.6 (2)'!$A$25</definedName>
    <definedName name="_r10_iNdEx_27" localSheetId="67">'[4]3.6 (2)'!$A$25</definedName>
    <definedName name="_r10_iNdEx_27">'[4]3.6 (2)'!$A$25</definedName>
    <definedName name="_r11_iNdEx_29" localSheetId="17">'[4]3.6 (2)'!$A$27</definedName>
    <definedName name="_r11_iNdEx_29" localSheetId="16">'[4]3.6 (2)'!$A$27</definedName>
    <definedName name="_r11_iNdEx_29" localSheetId="19">'[4]3.6 (2)'!$A$27</definedName>
    <definedName name="_r11_iNdEx_29" localSheetId="42">'[5]3.6 (2)'!$A$27</definedName>
    <definedName name="_r11_iNdEx_29" localSheetId="60">'[4]3.6 (2)'!$A$27</definedName>
    <definedName name="_r11_iNdEx_29" localSheetId="61">'[4]3.6 (2)'!$A$27</definedName>
    <definedName name="_r11_iNdEx_29" localSheetId="62">'[4]3.6 (2)'!$A$27</definedName>
    <definedName name="_r11_iNdEx_29" localSheetId="63">'[6]3.6 (2)'!$A$27</definedName>
    <definedName name="_r11_iNdEx_29" localSheetId="67">'[4]3.6 (2)'!$A$27</definedName>
    <definedName name="_r11_iNdEx_29">'[4]3.6 (2)'!$A$27</definedName>
    <definedName name="_r12_iNdEx_30" localSheetId="7">'[4]3.6'!#REF!</definedName>
    <definedName name="_r12_iNdEx_30" localSheetId="8">'[4]3.6'!#REF!</definedName>
    <definedName name="_r12_iNdEx_30" localSheetId="35">'[4]3.6'!#REF!</definedName>
    <definedName name="_r12_iNdEx_30" localSheetId="37">'[4]3.6'!#REF!</definedName>
    <definedName name="_r12_iNdEx_30" localSheetId="17">'[4]3.6'!#REF!</definedName>
    <definedName name="_r12_iNdEx_30" localSheetId="16">'[4]3.6'!#REF!</definedName>
    <definedName name="_r12_iNdEx_30" localSheetId="20">'[4]3.6'!#REF!</definedName>
    <definedName name="_r12_iNdEx_30" localSheetId="21">'[4]3.6'!#REF!</definedName>
    <definedName name="_r12_iNdEx_30" localSheetId="22">'[4]3.6'!#REF!</definedName>
    <definedName name="_r12_iNdEx_30" localSheetId="23">'[4]3.6'!#REF!</definedName>
    <definedName name="_r12_iNdEx_30" localSheetId="24">'[4]3.6'!#REF!</definedName>
    <definedName name="_r12_iNdEx_30" localSheetId="25">'[4]3.6'!#REF!</definedName>
    <definedName name="_r12_iNdEx_30" localSheetId="26">'[4]3.6'!#REF!</definedName>
    <definedName name="_r12_iNdEx_30" localSheetId="27">'[4]3.6'!#REF!</definedName>
    <definedName name="_r12_iNdEx_30" localSheetId="28">'[4]3.6'!#REF!</definedName>
    <definedName name="_r12_iNdEx_30" localSheetId="19">'[4]3.6'!#REF!</definedName>
    <definedName name="_r12_iNdEx_30" localSheetId="38">'[4]3.6'!#REF!</definedName>
    <definedName name="_r12_iNdEx_30" localSheetId="42">'[5]3.6'!#REF!</definedName>
    <definedName name="_r12_iNdEx_30" localSheetId="45">'[4]3.6'!#REF!</definedName>
    <definedName name="_r12_iNdEx_30" localSheetId="54">'[4]3.6'!#REF!</definedName>
    <definedName name="_r12_iNdEx_30" localSheetId="46">'[4]3.6'!#REF!</definedName>
    <definedName name="_r12_iNdEx_30" localSheetId="47">'[4]3.6'!#REF!</definedName>
    <definedName name="_r12_iNdEx_30" localSheetId="48">'[4]3.6'!#REF!</definedName>
    <definedName name="_r12_iNdEx_30" localSheetId="49">'[4]3.6'!#REF!</definedName>
    <definedName name="_r12_iNdEx_30" localSheetId="50">'[4]3.6'!#REF!</definedName>
    <definedName name="_r12_iNdEx_30" localSheetId="51">'[4]3.6'!#REF!</definedName>
    <definedName name="_r12_iNdEx_30" localSheetId="52">'[4]3.6'!#REF!</definedName>
    <definedName name="_r12_iNdEx_30" localSheetId="53">'[4]3.6'!#REF!</definedName>
    <definedName name="_r12_iNdEx_30" localSheetId="59">'[4]3.6'!#REF!</definedName>
    <definedName name="_r12_iNdEx_30" localSheetId="60">'[4]3.6'!#REF!</definedName>
    <definedName name="_r12_iNdEx_30" localSheetId="61">'[4]3.6'!#REF!</definedName>
    <definedName name="_r12_iNdEx_30" localSheetId="62">'[4]3.6'!#REF!</definedName>
    <definedName name="_r12_iNdEx_30" localSheetId="63">'[6]3.6'!#REF!</definedName>
    <definedName name="_r12_iNdEx_30" localSheetId="67">'[4]3.6'!#REF!</definedName>
    <definedName name="_r12_iNdEx_30" localSheetId="1">'[4]3.6'!#REF!</definedName>
    <definedName name="_r12_iNdEx_30">'[4]3.6'!#REF!</definedName>
    <definedName name="_r13_iNdEx_31" localSheetId="7">'[4]3.6'!#REF!</definedName>
    <definedName name="_r13_iNdEx_31" localSheetId="8">'[4]3.6'!#REF!</definedName>
    <definedName name="_r13_iNdEx_31" localSheetId="35">'[4]3.6'!#REF!</definedName>
    <definedName name="_r13_iNdEx_31" localSheetId="37">'[4]3.6'!#REF!</definedName>
    <definedName name="_r13_iNdEx_31" localSheetId="17">'[4]3.6'!#REF!</definedName>
    <definedName name="_r13_iNdEx_31" localSheetId="16">'[4]3.6'!#REF!</definedName>
    <definedName name="_r13_iNdEx_31" localSheetId="20">'[4]3.6'!#REF!</definedName>
    <definedName name="_r13_iNdEx_31" localSheetId="21">'[4]3.6'!#REF!</definedName>
    <definedName name="_r13_iNdEx_31" localSheetId="22">'[4]3.6'!#REF!</definedName>
    <definedName name="_r13_iNdEx_31" localSheetId="23">'[4]3.6'!#REF!</definedName>
    <definedName name="_r13_iNdEx_31" localSheetId="24">'[4]3.6'!#REF!</definedName>
    <definedName name="_r13_iNdEx_31" localSheetId="25">'[4]3.6'!#REF!</definedName>
    <definedName name="_r13_iNdEx_31" localSheetId="26">'[4]3.6'!#REF!</definedName>
    <definedName name="_r13_iNdEx_31" localSheetId="27">'[4]3.6'!#REF!</definedName>
    <definedName name="_r13_iNdEx_31" localSheetId="28">'[4]3.6'!#REF!</definedName>
    <definedName name="_r13_iNdEx_31" localSheetId="19">'[4]3.6'!#REF!</definedName>
    <definedName name="_r13_iNdEx_31" localSheetId="38">'[4]3.6'!#REF!</definedName>
    <definedName name="_r13_iNdEx_31" localSheetId="42">'[5]3.6'!#REF!</definedName>
    <definedName name="_r13_iNdEx_31" localSheetId="45">'[4]3.6'!#REF!</definedName>
    <definedName name="_r13_iNdEx_31" localSheetId="54">'[4]3.6'!#REF!</definedName>
    <definedName name="_r13_iNdEx_31" localSheetId="46">'[4]3.6'!#REF!</definedName>
    <definedName name="_r13_iNdEx_31" localSheetId="47">'[4]3.6'!#REF!</definedName>
    <definedName name="_r13_iNdEx_31" localSheetId="48">'[4]3.6'!#REF!</definedName>
    <definedName name="_r13_iNdEx_31" localSheetId="49">'[4]3.6'!#REF!</definedName>
    <definedName name="_r13_iNdEx_31" localSheetId="50">'[4]3.6'!#REF!</definedName>
    <definedName name="_r13_iNdEx_31" localSheetId="51">'[4]3.6'!#REF!</definedName>
    <definedName name="_r13_iNdEx_31" localSheetId="52">'[4]3.6'!#REF!</definedName>
    <definedName name="_r13_iNdEx_31" localSheetId="53">'[4]3.6'!#REF!</definedName>
    <definedName name="_r13_iNdEx_31" localSheetId="59">'[4]3.6'!#REF!</definedName>
    <definedName name="_r13_iNdEx_31" localSheetId="60">'[4]3.6'!#REF!</definedName>
    <definedName name="_r13_iNdEx_31" localSheetId="61">'[4]3.6'!#REF!</definedName>
    <definedName name="_r13_iNdEx_31" localSheetId="62">'[4]3.6'!#REF!</definedName>
    <definedName name="_r13_iNdEx_31" localSheetId="63">'[6]3.6'!#REF!</definedName>
    <definedName name="_r13_iNdEx_31" localSheetId="67">'[4]3.6'!#REF!</definedName>
    <definedName name="_r13_iNdEx_31" localSheetId="1">'[4]3.6'!#REF!</definedName>
    <definedName name="_r13_iNdEx_31">'[4]3.6'!#REF!</definedName>
    <definedName name="_r14_iNdEx_32" localSheetId="7">'[4]3.6'!#REF!</definedName>
    <definedName name="_r14_iNdEx_32" localSheetId="8">'[4]3.6'!#REF!</definedName>
    <definedName name="_r14_iNdEx_32" localSheetId="35">'[4]3.6'!#REF!</definedName>
    <definedName name="_r14_iNdEx_32" localSheetId="37">'[4]3.6'!#REF!</definedName>
    <definedName name="_r14_iNdEx_32" localSheetId="17">'[4]3.6'!#REF!</definedName>
    <definedName name="_r14_iNdEx_32" localSheetId="16">'[4]3.6'!#REF!</definedName>
    <definedName name="_r14_iNdEx_32" localSheetId="20">'[4]3.6'!#REF!</definedName>
    <definedName name="_r14_iNdEx_32" localSheetId="21">'[4]3.6'!#REF!</definedName>
    <definedName name="_r14_iNdEx_32" localSheetId="22">'[4]3.6'!#REF!</definedName>
    <definedName name="_r14_iNdEx_32" localSheetId="23">'[4]3.6'!#REF!</definedName>
    <definedName name="_r14_iNdEx_32" localSheetId="24">'[4]3.6'!#REF!</definedName>
    <definedName name="_r14_iNdEx_32" localSheetId="25">'[4]3.6'!#REF!</definedName>
    <definedName name="_r14_iNdEx_32" localSheetId="26">'[4]3.6'!#REF!</definedName>
    <definedName name="_r14_iNdEx_32" localSheetId="27">'[4]3.6'!#REF!</definedName>
    <definedName name="_r14_iNdEx_32" localSheetId="28">'[4]3.6'!#REF!</definedName>
    <definedName name="_r14_iNdEx_32" localSheetId="19">'[4]3.6'!#REF!</definedName>
    <definedName name="_r14_iNdEx_32" localSheetId="38">'[4]3.6'!#REF!</definedName>
    <definedName name="_r14_iNdEx_32" localSheetId="42">'[5]3.6'!#REF!</definedName>
    <definedName name="_r14_iNdEx_32" localSheetId="45">'[4]3.6'!#REF!</definedName>
    <definedName name="_r14_iNdEx_32" localSheetId="54">'[4]3.6'!#REF!</definedName>
    <definedName name="_r14_iNdEx_32" localSheetId="46">'[4]3.6'!#REF!</definedName>
    <definedName name="_r14_iNdEx_32" localSheetId="47">'[4]3.6'!#REF!</definedName>
    <definedName name="_r14_iNdEx_32" localSheetId="48">'[4]3.6'!#REF!</definedName>
    <definedName name="_r14_iNdEx_32" localSheetId="49">'[4]3.6'!#REF!</definedName>
    <definedName name="_r14_iNdEx_32" localSheetId="50">'[4]3.6'!#REF!</definedName>
    <definedName name="_r14_iNdEx_32" localSheetId="51">'[4]3.6'!#REF!</definedName>
    <definedName name="_r14_iNdEx_32" localSheetId="52">'[4]3.6'!#REF!</definedName>
    <definedName name="_r14_iNdEx_32" localSheetId="53">'[4]3.6'!#REF!</definedName>
    <definedName name="_r14_iNdEx_32" localSheetId="59">'[4]3.6'!#REF!</definedName>
    <definedName name="_r14_iNdEx_32" localSheetId="60">'[4]3.6'!#REF!</definedName>
    <definedName name="_r14_iNdEx_32" localSheetId="61">'[4]3.6'!#REF!</definedName>
    <definedName name="_r14_iNdEx_32" localSheetId="62">'[4]3.6'!#REF!</definedName>
    <definedName name="_r14_iNdEx_32" localSheetId="63">'[6]3.6'!#REF!</definedName>
    <definedName name="_r14_iNdEx_32" localSheetId="67">'[4]3.6'!#REF!</definedName>
    <definedName name="_r14_iNdEx_32" localSheetId="1">'[4]3.6'!#REF!</definedName>
    <definedName name="_r14_iNdEx_32">'[4]3.6'!#REF!</definedName>
    <definedName name="_r15_iNdEx_33" localSheetId="7">'[4]3.6'!#REF!</definedName>
    <definedName name="_r15_iNdEx_33" localSheetId="8">'[4]3.6'!#REF!</definedName>
    <definedName name="_r15_iNdEx_33" localSheetId="35">'[4]3.6'!#REF!</definedName>
    <definedName name="_r15_iNdEx_33" localSheetId="37">'[4]3.6'!#REF!</definedName>
    <definedName name="_r15_iNdEx_33" localSheetId="17">'[4]3.6'!#REF!</definedName>
    <definedName name="_r15_iNdEx_33" localSheetId="16">'[4]3.6'!#REF!</definedName>
    <definedName name="_r15_iNdEx_33" localSheetId="20">'[4]3.6'!#REF!</definedName>
    <definedName name="_r15_iNdEx_33" localSheetId="21">'[4]3.6'!#REF!</definedName>
    <definedName name="_r15_iNdEx_33" localSheetId="22">'[4]3.6'!#REF!</definedName>
    <definedName name="_r15_iNdEx_33" localSheetId="23">'[4]3.6'!#REF!</definedName>
    <definedName name="_r15_iNdEx_33" localSheetId="24">'[4]3.6'!#REF!</definedName>
    <definedName name="_r15_iNdEx_33" localSheetId="25">'[4]3.6'!#REF!</definedName>
    <definedName name="_r15_iNdEx_33" localSheetId="26">'[4]3.6'!#REF!</definedName>
    <definedName name="_r15_iNdEx_33" localSheetId="27">'[4]3.6'!#REF!</definedName>
    <definedName name="_r15_iNdEx_33" localSheetId="28">'[4]3.6'!#REF!</definedName>
    <definedName name="_r15_iNdEx_33" localSheetId="19">'[4]3.6'!#REF!</definedName>
    <definedName name="_r15_iNdEx_33" localSheetId="38">'[4]3.6'!#REF!</definedName>
    <definedName name="_r15_iNdEx_33" localSheetId="42">'[5]3.6'!#REF!</definedName>
    <definedName name="_r15_iNdEx_33" localSheetId="45">'[4]3.6'!#REF!</definedName>
    <definedName name="_r15_iNdEx_33" localSheetId="54">'[4]3.6'!#REF!</definedName>
    <definedName name="_r15_iNdEx_33" localSheetId="46">'[4]3.6'!#REF!</definedName>
    <definedName name="_r15_iNdEx_33" localSheetId="47">'[4]3.6'!#REF!</definedName>
    <definedName name="_r15_iNdEx_33" localSheetId="48">'[4]3.6'!#REF!</definedName>
    <definedName name="_r15_iNdEx_33" localSheetId="49">'[4]3.6'!#REF!</definedName>
    <definedName name="_r15_iNdEx_33" localSheetId="50">'[4]3.6'!#REF!</definedName>
    <definedName name="_r15_iNdEx_33" localSheetId="51">'[4]3.6'!#REF!</definedName>
    <definedName name="_r15_iNdEx_33" localSheetId="52">'[4]3.6'!#REF!</definedName>
    <definedName name="_r15_iNdEx_33" localSheetId="53">'[4]3.6'!#REF!</definedName>
    <definedName name="_r15_iNdEx_33" localSheetId="59">'[4]3.6'!#REF!</definedName>
    <definedName name="_r15_iNdEx_33" localSheetId="60">'[4]3.6'!#REF!</definedName>
    <definedName name="_r15_iNdEx_33" localSheetId="61">'[4]3.6'!#REF!</definedName>
    <definedName name="_r15_iNdEx_33" localSheetId="62">'[4]3.6'!#REF!</definedName>
    <definedName name="_r15_iNdEx_33" localSheetId="63">'[6]3.6'!#REF!</definedName>
    <definedName name="_r15_iNdEx_33" localSheetId="67">'[4]3.6'!#REF!</definedName>
    <definedName name="_r15_iNdEx_33" localSheetId="1">'[4]3.6'!#REF!</definedName>
    <definedName name="_r15_iNdEx_33">'[4]3.6'!#REF!</definedName>
    <definedName name="_r16_iNdEx_34" localSheetId="7">'[4]3.6'!#REF!</definedName>
    <definedName name="_r16_iNdEx_34" localSheetId="8">'[4]3.6'!#REF!</definedName>
    <definedName name="_r16_iNdEx_34" localSheetId="35">'[4]3.6'!#REF!</definedName>
    <definedName name="_r16_iNdEx_34" localSheetId="37">'[4]3.6'!#REF!</definedName>
    <definedName name="_r16_iNdEx_34" localSheetId="17">'[4]3.6'!#REF!</definedName>
    <definedName name="_r16_iNdEx_34" localSheetId="16">'[4]3.6'!#REF!</definedName>
    <definedName name="_r16_iNdEx_34" localSheetId="20">'[4]3.6'!#REF!</definedName>
    <definedName name="_r16_iNdEx_34" localSheetId="21">'[4]3.6'!#REF!</definedName>
    <definedName name="_r16_iNdEx_34" localSheetId="22">'[4]3.6'!#REF!</definedName>
    <definedName name="_r16_iNdEx_34" localSheetId="23">'[4]3.6'!#REF!</definedName>
    <definedName name="_r16_iNdEx_34" localSheetId="24">'[4]3.6'!#REF!</definedName>
    <definedName name="_r16_iNdEx_34" localSheetId="25">'[4]3.6'!#REF!</definedName>
    <definedName name="_r16_iNdEx_34" localSheetId="26">'[4]3.6'!#REF!</definedName>
    <definedName name="_r16_iNdEx_34" localSheetId="27">'[4]3.6'!#REF!</definedName>
    <definedName name="_r16_iNdEx_34" localSheetId="28">'[4]3.6'!#REF!</definedName>
    <definedName name="_r16_iNdEx_34" localSheetId="19">'[4]3.6'!#REF!</definedName>
    <definedName name="_r16_iNdEx_34" localSheetId="38">'[4]3.6'!#REF!</definedName>
    <definedName name="_r16_iNdEx_34" localSheetId="42">'[5]3.6'!#REF!</definedName>
    <definedName name="_r16_iNdEx_34" localSheetId="45">'[4]3.6'!#REF!</definedName>
    <definedName name="_r16_iNdEx_34" localSheetId="54">'[4]3.6'!#REF!</definedName>
    <definedName name="_r16_iNdEx_34" localSheetId="46">'[4]3.6'!#REF!</definedName>
    <definedName name="_r16_iNdEx_34" localSheetId="47">'[4]3.6'!#REF!</definedName>
    <definedName name="_r16_iNdEx_34" localSheetId="48">'[4]3.6'!#REF!</definedName>
    <definedName name="_r16_iNdEx_34" localSheetId="49">'[4]3.6'!#REF!</definedName>
    <definedName name="_r16_iNdEx_34" localSheetId="50">'[4]3.6'!#REF!</definedName>
    <definedName name="_r16_iNdEx_34" localSheetId="51">'[4]3.6'!#REF!</definedName>
    <definedName name="_r16_iNdEx_34" localSheetId="52">'[4]3.6'!#REF!</definedName>
    <definedName name="_r16_iNdEx_34" localSheetId="53">'[4]3.6'!#REF!</definedName>
    <definedName name="_r16_iNdEx_34" localSheetId="59">'[4]3.6'!#REF!</definedName>
    <definedName name="_r16_iNdEx_34" localSheetId="60">'[4]3.6'!#REF!</definedName>
    <definedName name="_r16_iNdEx_34" localSheetId="61">'[4]3.6'!#REF!</definedName>
    <definedName name="_r16_iNdEx_34" localSheetId="62">'[4]3.6'!#REF!</definedName>
    <definedName name="_r16_iNdEx_34" localSheetId="63">'[6]3.6'!#REF!</definedName>
    <definedName name="_r16_iNdEx_34" localSheetId="67">'[4]3.6'!#REF!</definedName>
    <definedName name="_r16_iNdEx_34" localSheetId="1">'[4]3.6'!#REF!</definedName>
    <definedName name="_r16_iNdEx_34">'[4]3.6'!#REF!</definedName>
    <definedName name="_r17_iNdEx_35" localSheetId="7">'[4]3.6'!#REF!</definedName>
    <definedName name="_r17_iNdEx_35" localSheetId="8">'[4]3.6'!#REF!</definedName>
    <definedName name="_r17_iNdEx_35" localSheetId="35">'[4]3.6'!#REF!</definedName>
    <definedName name="_r17_iNdEx_35" localSheetId="37">'[4]3.6'!#REF!</definedName>
    <definedName name="_r17_iNdEx_35" localSheetId="17">'[4]3.6'!#REF!</definedName>
    <definedName name="_r17_iNdEx_35" localSheetId="16">'[4]3.6'!#REF!</definedName>
    <definedName name="_r17_iNdEx_35" localSheetId="20">'[4]3.6'!#REF!</definedName>
    <definedName name="_r17_iNdEx_35" localSheetId="21">'[4]3.6'!#REF!</definedName>
    <definedName name="_r17_iNdEx_35" localSheetId="22">'[4]3.6'!#REF!</definedName>
    <definedName name="_r17_iNdEx_35" localSheetId="23">'[4]3.6'!#REF!</definedName>
    <definedName name="_r17_iNdEx_35" localSheetId="24">'[4]3.6'!#REF!</definedName>
    <definedName name="_r17_iNdEx_35" localSheetId="25">'[4]3.6'!#REF!</definedName>
    <definedName name="_r17_iNdEx_35" localSheetId="26">'[4]3.6'!#REF!</definedName>
    <definedName name="_r17_iNdEx_35" localSheetId="27">'[4]3.6'!#REF!</definedName>
    <definedName name="_r17_iNdEx_35" localSheetId="28">'[4]3.6'!#REF!</definedName>
    <definedName name="_r17_iNdEx_35" localSheetId="19">'[4]3.6'!#REF!</definedName>
    <definedName name="_r17_iNdEx_35" localSheetId="38">'[4]3.6'!#REF!</definedName>
    <definedName name="_r17_iNdEx_35" localSheetId="42">'[5]3.6'!#REF!</definedName>
    <definedName name="_r17_iNdEx_35" localSheetId="45">'[4]3.6'!#REF!</definedName>
    <definedName name="_r17_iNdEx_35" localSheetId="54">'[4]3.6'!#REF!</definedName>
    <definedName name="_r17_iNdEx_35" localSheetId="46">'[4]3.6'!#REF!</definedName>
    <definedName name="_r17_iNdEx_35" localSheetId="47">'[4]3.6'!#REF!</definedName>
    <definedName name="_r17_iNdEx_35" localSheetId="48">'[4]3.6'!#REF!</definedName>
    <definedName name="_r17_iNdEx_35" localSheetId="49">'[4]3.6'!#REF!</definedName>
    <definedName name="_r17_iNdEx_35" localSheetId="50">'[4]3.6'!#REF!</definedName>
    <definedName name="_r17_iNdEx_35" localSheetId="51">'[4]3.6'!#REF!</definedName>
    <definedName name="_r17_iNdEx_35" localSheetId="52">'[4]3.6'!#REF!</definedName>
    <definedName name="_r17_iNdEx_35" localSheetId="53">'[4]3.6'!#REF!</definedName>
    <definedName name="_r17_iNdEx_35" localSheetId="59">'[4]3.6'!#REF!</definedName>
    <definedName name="_r17_iNdEx_35" localSheetId="60">'[4]3.6'!#REF!</definedName>
    <definedName name="_r17_iNdEx_35" localSheetId="61">'[4]3.6'!#REF!</definedName>
    <definedName name="_r17_iNdEx_35" localSheetId="62">'[4]3.6'!#REF!</definedName>
    <definedName name="_r17_iNdEx_35" localSheetId="63">'[6]3.6'!#REF!</definedName>
    <definedName name="_r17_iNdEx_35" localSheetId="67">'[4]3.6'!#REF!</definedName>
    <definedName name="_r17_iNdEx_35" localSheetId="1">'[4]3.6'!#REF!</definedName>
    <definedName name="_r17_iNdEx_35">'[4]3.6'!#REF!</definedName>
    <definedName name="_r18_iNdEx_36" localSheetId="7">'[4]3.6'!#REF!</definedName>
    <definedName name="_r18_iNdEx_36" localSheetId="8">'[4]3.6'!#REF!</definedName>
    <definedName name="_r18_iNdEx_36" localSheetId="35">'[4]3.6'!#REF!</definedName>
    <definedName name="_r18_iNdEx_36" localSheetId="37">'[4]3.6'!#REF!</definedName>
    <definedName name="_r18_iNdEx_36" localSheetId="17">'[4]3.6'!#REF!</definedName>
    <definedName name="_r18_iNdEx_36" localSheetId="16">'[4]3.6'!#REF!</definedName>
    <definedName name="_r18_iNdEx_36" localSheetId="20">'[4]3.6'!#REF!</definedName>
    <definedName name="_r18_iNdEx_36" localSheetId="21">'[4]3.6'!#REF!</definedName>
    <definedName name="_r18_iNdEx_36" localSheetId="22">'[4]3.6'!#REF!</definedName>
    <definedName name="_r18_iNdEx_36" localSheetId="23">'[4]3.6'!#REF!</definedName>
    <definedName name="_r18_iNdEx_36" localSheetId="24">'[4]3.6'!#REF!</definedName>
    <definedName name="_r18_iNdEx_36" localSheetId="25">'[4]3.6'!#REF!</definedName>
    <definedName name="_r18_iNdEx_36" localSheetId="26">'[4]3.6'!#REF!</definedName>
    <definedName name="_r18_iNdEx_36" localSheetId="27">'[4]3.6'!#REF!</definedName>
    <definedName name="_r18_iNdEx_36" localSheetId="28">'[4]3.6'!#REF!</definedName>
    <definedName name="_r18_iNdEx_36" localSheetId="19">'[4]3.6'!#REF!</definedName>
    <definedName name="_r18_iNdEx_36" localSheetId="38">'[4]3.6'!#REF!</definedName>
    <definedName name="_r18_iNdEx_36" localSheetId="42">'[5]3.6'!#REF!</definedName>
    <definedName name="_r18_iNdEx_36" localSheetId="45">'[4]3.6'!#REF!</definedName>
    <definedName name="_r18_iNdEx_36" localSheetId="54">'[4]3.6'!#REF!</definedName>
    <definedName name="_r18_iNdEx_36" localSheetId="46">'[4]3.6'!#REF!</definedName>
    <definedName name="_r18_iNdEx_36" localSheetId="47">'[4]3.6'!#REF!</definedName>
    <definedName name="_r18_iNdEx_36" localSheetId="48">'[4]3.6'!#REF!</definedName>
    <definedName name="_r18_iNdEx_36" localSheetId="49">'[4]3.6'!#REF!</definedName>
    <definedName name="_r18_iNdEx_36" localSheetId="50">'[4]3.6'!#REF!</definedName>
    <definedName name="_r18_iNdEx_36" localSheetId="51">'[4]3.6'!#REF!</definedName>
    <definedName name="_r18_iNdEx_36" localSheetId="52">'[4]3.6'!#REF!</definedName>
    <definedName name="_r18_iNdEx_36" localSheetId="53">'[4]3.6'!#REF!</definedName>
    <definedName name="_r18_iNdEx_36" localSheetId="59">'[4]3.6'!#REF!</definedName>
    <definedName name="_r18_iNdEx_36" localSheetId="60">'[4]3.6'!#REF!</definedName>
    <definedName name="_r18_iNdEx_36" localSheetId="61">'[4]3.6'!#REF!</definedName>
    <definedName name="_r18_iNdEx_36" localSheetId="62">'[4]3.6'!#REF!</definedName>
    <definedName name="_r18_iNdEx_36" localSheetId="63">'[6]3.6'!#REF!</definedName>
    <definedName name="_r18_iNdEx_36" localSheetId="67">'[4]3.6'!#REF!</definedName>
    <definedName name="_r18_iNdEx_36" localSheetId="1">'[4]3.6'!#REF!</definedName>
    <definedName name="_r18_iNdEx_36">'[4]3.6'!#REF!</definedName>
    <definedName name="_r19_iNdEx_41" localSheetId="17">'[4]3.6 (2)'!$A$32</definedName>
    <definedName name="_r19_iNdEx_41" localSheetId="16">'[4]3.6 (2)'!$A$32</definedName>
    <definedName name="_r19_iNdEx_41" localSheetId="19">'[4]3.6 (2)'!$A$32</definedName>
    <definedName name="_r19_iNdEx_41" localSheetId="42">'[5]3.6 (2)'!$A$32</definedName>
    <definedName name="_r19_iNdEx_41" localSheetId="60">'[4]3.6 (2)'!$A$32</definedName>
    <definedName name="_r19_iNdEx_41" localSheetId="61">'[4]3.6 (2)'!$A$32</definedName>
    <definedName name="_r19_iNdEx_41" localSheetId="62">'[4]3.6 (2)'!$A$32</definedName>
    <definedName name="_r19_iNdEx_41" localSheetId="63">'[6]3.6 (2)'!$A$32</definedName>
    <definedName name="_r19_iNdEx_41" localSheetId="67">'[4]3.6 (2)'!$A$32</definedName>
    <definedName name="_r19_iNdEx_41">'[4]3.6 (2)'!$A$32</definedName>
    <definedName name="_r2_iNdEx_18" localSheetId="7">'[4]3.6'!#REF!</definedName>
    <definedName name="_r2_iNdEx_18" localSheetId="8">'[4]3.6'!#REF!</definedName>
    <definedName name="_r2_iNdEx_18" localSheetId="35">'[4]3.6'!#REF!</definedName>
    <definedName name="_r2_iNdEx_18" localSheetId="37">'[4]3.6'!#REF!</definedName>
    <definedName name="_r2_iNdEx_18" localSheetId="17">'[4]3.6'!#REF!</definedName>
    <definedName name="_r2_iNdEx_18" localSheetId="16">'[4]3.6'!#REF!</definedName>
    <definedName name="_r2_iNdEx_18" localSheetId="20">'[4]3.6'!#REF!</definedName>
    <definedName name="_r2_iNdEx_18" localSheetId="21">'[4]3.6'!#REF!</definedName>
    <definedName name="_r2_iNdEx_18" localSheetId="22">'[4]3.6'!#REF!</definedName>
    <definedName name="_r2_iNdEx_18" localSheetId="23">'[4]3.6'!#REF!</definedName>
    <definedName name="_r2_iNdEx_18" localSheetId="24">'[4]3.6'!#REF!</definedName>
    <definedName name="_r2_iNdEx_18" localSheetId="25">'[4]3.6'!#REF!</definedName>
    <definedName name="_r2_iNdEx_18" localSheetId="26">'[4]3.6'!#REF!</definedName>
    <definedName name="_r2_iNdEx_18" localSheetId="27">'[4]3.6'!#REF!</definedName>
    <definedName name="_r2_iNdEx_18" localSheetId="28">'[4]3.6'!#REF!</definedName>
    <definedName name="_r2_iNdEx_18" localSheetId="19">'[4]3.6'!#REF!</definedName>
    <definedName name="_r2_iNdEx_18" localSheetId="38">'[4]3.6'!#REF!</definedName>
    <definedName name="_r2_iNdEx_18" localSheetId="42">'[5]3.6'!#REF!</definedName>
    <definedName name="_r2_iNdEx_18" localSheetId="45">'[4]3.6'!#REF!</definedName>
    <definedName name="_r2_iNdEx_18" localSheetId="54">'[4]3.6'!#REF!</definedName>
    <definedName name="_r2_iNdEx_18" localSheetId="46">'[4]3.6'!#REF!</definedName>
    <definedName name="_r2_iNdEx_18" localSheetId="47">'[4]3.6'!#REF!</definedName>
    <definedName name="_r2_iNdEx_18" localSheetId="48">'[4]3.6'!#REF!</definedName>
    <definedName name="_r2_iNdEx_18" localSheetId="49">'[4]3.6'!#REF!</definedName>
    <definedName name="_r2_iNdEx_18" localSheetId="50">'[4]3.6'!#REF!</definedName>
    <definedName name="_r2_iNdEx_18" localSheetId="51">'[4]3.6'!#REF!</definedName>
    <definedName name="_r2_iNdEx_18" localSheetId="52">'[4]3.6'!#REF!</definedName>
    <definedName name="_r2_iNdEx_18" localSheetId="53">'[4]3.6'!#REF!</definedName>
    <definedName name="_r2_iNdEx_18" localSheetId="59">'[4]3.6'!#REF!</definedName>
    <definedName name="_r2_iNdEx_18" localSheetId="60">'[4]3.6'!#REF!</definedName>
    <definedName name="_r2_iNdEx_18" localSheetId="61">'[4]3.6'!#REF!</definedName>
    <definedName name="_r2_iNdEx_18" localSheetId="62">'[4]3.6'!#REF!</definedName>
    <definedName name="_r2_iNdEx_18" localSheetId="63">'[6]3.6'!#REF!</definedName>
    <definedName name="_r2_iNdEx_18" localSheetId="67">'[4]3.6'!#REF!</definedName>
    <definedName name="_r2_iNdEx_18" localSheetId="1">'[4]3.6'!#REF!</definedName>
    <definedName name="_r2_iNdEx_18">'[4]3.6'!#REF!</definedName>
    <definedName name="_r20_iNdEx_43" localSheetId="7">'[4]3.6'!#REF!</definedName>
    <definedName name="_r20_iNdEx_43" localSheetId="8">'[4]3.6'!#REF!</definedName>
    <definedName name="_r20_iNdEx_43" localSheetId="35">'[4]3.6'!#REF!</definedName>
    <definedName name="_r20_iNdEx_43" localSheetId="37">'[4]3.6'!#REF!</definedName>
    <definedName name="_r20_iNdEx_43" localSheetId="17">'[4]3.6'!#REF!</definedName>
    <definedName name="_r20_iNdEx_43" localSheetId="16">'[4]3.6'!#REF!</definedName>
    <definedName name="_r20_iNdEx_43" localSheetId="20">'[4]3.6'!#REF!</definedName>
    <definedName name="_r20_iNdEx_43" localSheetId="21">'[4]3.6'!#REF!</definedName>
    <definedName name="_r20_iNdEx_43" localSheetId="22">'[4]3.6'!#REF!</definedName>
    <definedName name="_r20_iNdEx_43" localSheetId="23">'[4]3.6'!#REF!</definedName>
    <definedName name="_r20_iNdEx_43" localSheetId="24">'[4]3.6'!#REF!</definedName>
    <definedName name="_r20_iNdEx_43" localSheetId="25">'[4]3.6'!#REF!</definedName>
    <definedName name="_r20_iNdEx_43" localSheetId="26">'[4]3.6'!#REF!</definedName>
    <definedName name="_r20_iNdEx_43" localSheetId="27">'[4]3.6'!#REF!</definedName>
    <definedName name="_r20_iNdEx_43" localSheetId="28">'[4]3.6'!#REF!</definedName>
    <definedName name="_r20_iNdEx_43" localSheetId="19">'[4]3.6'!#REF!</definedName>
    <definedName name="_r20_iNdEx_43" localSheetId="38">'[4]3.6'!#REF!</definedName>
    <definedName name="_r20_iNdEx_43" localSheetId="42">'[5]3.6'!#REF!</definedName>
    <definedName name="_r20_iNdEx_43" localSheetId="45">'[4]3.6'!#REF!</definedName>
    <definedName name="_r20_iNdEx_43" localSheetId="54">'[4]3.6'!#REF!</definedName>
    <definedName name="_r20_iNdEx_43" localSheetId="46">'[4]3.6'!#REF!</definedName>
    <definedName name="_r20_iNdEx_43" localSheetId="47">'[4]3.6'!#REF!</definedName>
    <definedName name="_r20_iNdEx_43" localSheetId="48">'[4]3.6'!#REF!</definedName>
    <definedName name="_r20_iNdEx_43" localSheetId="49">'[4]3.6'!#REF!</definedName>
    <definedName name="_r20_iNdEx_43" localSheetId="50">'[4]3.6'!#REF!</definedName>
    <definedName name="_r20_iNdEx_43" localSheetId="51">'[4]3.6'!#REF!</definedName>
    <definedName name="_r20_iNdEx_43" localSheetId="52">'[4]3.6'!#REF!</definedName>
    <definedName name="_r20_iNdEx_43" localSheetId="53">'[4]3.6'!#REF!</definedName>
    <definedName name="_r20_iNdEx_43" localSheetId="59">'[4]3.6'!#REF!</definedName>
    <definedName name="_r20_iNdEx_43" localSheetId="60">'[4]3.6'!#REF!</definedName>
    <definedName name="_r20_iNdEx_43" localSheetId="61">'[4]3.6'!#REF!</definedName>
    <definedName name="_r20_iNdEx_43" localSheetId="62">'[4]3.6'!#REF!</definedName>
    <definedName name="_r20_iNdEx_43" localSheetId="63">'[6]3.6'!#REF!</definedName>
    <definedName name="_r20_iNdEx_43" localSheetId="67">'[4]3.6'!#REF!</definedName>
    <definedName name="_r20_iNdEx_43" localSheetId="1">'[4]3.6'!#REF!</definedName>
    <definedName name="_r20_iNdEx_43">'[4]3.6'!#REF!</definedName>
    <definedName name="_r21_iNdEx_44" localSheetId="17">'[4]3.6 (2)'!$A$34</definedName>
    <definedName name="_r21_iNdEx_44" localSheetId="16">'[4]3.6 (2)'!$A$34</definedName>
    <definedName name="_r21_iNdEx_44" localSheetId="19">'[4]3.6 (2)'!$A$34</definedName>
    <definedName name="_r21_iNdEx_44" localSheetId="42">'[5]3.6 (2)'!$A$34</definedName>
    <definedName name="_r21_iNdEx_44" localSheetId="60">'[4]3.6 (2)'!$A$34</definedName>
    <definedName name="_r21_iNdEx_44" localSheetId="61">'[4]3.6 (2)'!$A$34</definedName>
    <definedName name="_r21_iNdEx_44" localSheetId="62">'[4]3.6 (2)'!$A$34</definedName>
    <definedName name="_r21_iNdEx_44" localSheetId="63">'[6]3.6 (2)'!$A$34</definedName>
    <definedName name="_r21_iNdEx_44" localSheetId="67">'[4]3.6 (2)'!$A$34</definedName>
    <definedName name="_r21_iNdEx_44">'[4]3.6 (2)'!$A$34</definedName>
    <definedName name="_r22_iNdEx_45" localSheetId="17">'[4]3.6 (2)'!$A$35</definedName>
    <definedName name="_r22_iNdEx_45" localSheetId="16">'[4]3.6 (2)'!$A$35</definedName>
    <definedName name="_r22_iNdEx_45" localSheetId="19">'[4]3.6 (2)'!$A$35</definedName>
    <definedName name="_r22_iNdEx_45" localSheetId="42">'[5]3.6 (2)'!$A$35</definedName>
    <definedName name="_r22_iNdEx_45" localSheetId="60">'[4]3.6 (2)'!$A$35</definedName>
    <definedName name="_r22_iNdEx_45" localSheetId="61">'[4]3.6 (2)'!$A$35</definedName>
    <definedName name="_r22_iNdEx_45" localSheetId="62">'[4]3.6 (2)'!$A$35</definedName>
    <definedName name="_r22_iNdEx_45" localSheetId="63">'[6]3.6 (2)'!$A$35</definedName>
    <definedName name="_r22_iNdEx_45" localSheetId="67">'[4]3.6 (2)'!$A$35</definedName>
    <definedName name="_r22_iNdEx_45">'[4]3.6 (2)'!$A$35</definedName>
    <definedName name="_r23_iNdEx_46" localSheetId="17">'[4]3.6 (2)'!$A$36</definedName>
    <definedName name="_r23_iNdEx_46" localSheetId="16">'[4]3.6 (2)'!$A$36</definedName>
    <definedName name="_r23_iNdEx_46" localSheetId="19">'[4]3.6 (2)'!$A$36</definedName>
    <definedName name="_r23_iNdEx_46" localSheetId="42">'[5]3.6 (2)'!$A$36</definedName>
    <definedName name="_r23_iNdEx_46" localSheetId="60">'[4]3.6 (2)'!$A$36</definedName>
    <definedName name="_r23_iNdEx_46" localSheetId="61">'[4]3.6 (2)'!$A$36</definedName>
    <definedName name="_r23_iNdEx_46" localSheetId="62">'[4]3.6 (2)'!$A$36</definedName>
    <definedName name="_r23_iNdEx_46" localSheetId="63">'[6]3.6 (2)'!$A$36</definedName>
    <definedName name="_r23_iNdEx_46" localSheetId="67">'[4]3.6 (2)'!$A$36</definedName>
    <definedName name="_r23_iNdEx_46">'[4]3.6 (2)'!$A$36</definedName>
    <definedName name="_r24_iNdEx_48" localSheetId="17">'[4]3.6 (2)'!$A$38</definedName>
    <definedName name="_r24_iNdEx_48" localSheetId="16">'[4]3.6 (2)'!$A$38</definedName>
    <definedName name="_r24_iNdEx_48" localSheetId="19">'[4]3.6 (2)'!$A$38</definedName>
    <definedName name="_r24_iNdEx_48" localSheetId="42">'[5]3.6 (2)'!$A$38</definedName>
    <definedName name="_r24_iNdEx_48" localSheetId="60">'[4]3.6 (2)'!$A$38</definedName>
    <definedName name="_r24_iNdEx_48" localSheetId="61">'[4]3.6 (2)'!$A$38</definedName>
    <definedName name="_r24_iNdEx_48" localSheetId="62">'[4]3.6 (2)'!$A$38</definedName>
    <definedName name="_r24_iNdEx_48" localSheetId="63">'[6]3.6 (2)'!$A$38</definedName>
    <definedName name="_r24_iNdEx_48" localSheetId="67">'[4]3.6 (2)'!$A$38</definedName>
    <definedName name="_r24_iNdEx_48">'[4]3.6 (2)'!$A$38</definedName>
    <definedName name="_r25_iNdEx_49" localSheetId="17">'[4]3.6 (2)'!$A$39</definedName>
    <definedName name="_r25_iNdEx_49" localSheetId="16">'[4]3.6 (2)'!$A$39</definedName>
    <definedName name="_r25_iNdEx_49" localSheetId="19">'[4]3.6 (2)'!$A$39</definedName>
    <definedName name="_r25_iNdEx_49" localSheetId="42">'[5]3.6 (2)'!$A$39</definedName>
    <definedName name="_r25_iNdEx_49" localSheetId="60">'[4]3.6 (2)'!$A$39</definedName>
    <definedName name="_r25_iNdEx_49" localSheetId="61">'[4]3.6 (2)'!$A$39</definedName>
    <definedName name="_r25_iNdEx_49" localSheetId="62">'[4]3.6 (2)'!$A$39</definedName>
    <definedName name="_r25_iNdEx_49" localSheetId="63">'[6]3.6 (2)'!$A$39</definedName>
    <definedName name="_r25_iNdEx_49" localSheetId="67">'[4]3.6 (2)'!$A$39</definedName>
    <definedName name="_r25_iNdEx_49">'[4]3.6 (2)'!$A$39</definedName>
    <definedName name="_r26_iNdEx_50" localSheetId="17">'[4]3.6 (2)'!$A$40</definedName>
    <definedName name="_r26_iNdEx_50" localSheetId="16">'[4]3.6 (2)'!$A$40</definedName>
    <definedName name="_r26_iNdEx_50" localSheetId="19">'[4]3.6 (2)'!$A$40</definedName>
    <definedName name="_r26_iNdEx_50" localSheetId="42">'[5]3.6 (2)'!$A$40</definedName>
    <definedName name="_r26_iNdEx_50" localSheetId="60">'[4]3.6 (2)'!$A$40</definedName>
    <definedName name="_r26_iNdEx_50" localSheetId="61">'[4]3.6 (2)'!$A$40</definedName>
    <definedName name="_r26_iNdEx_50" localSheetId="62">'[4]3.6 (2)'!$A$40</definedName>
    <definedName name="_r26_iNdEx_50" localSheetId="63">'[6]3.6 (2)'!$A$40</definedName>
    <definedName name="_r26_iNdEx_50" localSheetId="67">'[4]3.6 (2)'!$A$40</definedName>
    <definedName name="_r26_iNdEx_50">'[4]3.6 (2)'!$A$40</definedName>
    <definedName name="_r27_iNdEx_51" localSheetId="17">'[4]3.6 (2)'!$A$41</definedName>
    <definedName name="_r27_iNdEx_51" localSheetId="16">'[4]3.6 (2)'!$A$41</definedName>
    <definedName name="_r27_iNdEx_51" localSheetId="19">'[4]3.6 (2)'!$A$41</definedName>
    <definedName name="_r27_iNdEx_51" localSheetId="42">'[5]3.6 (2)'!$A$41</definedName>
    <definedName name="_r27_iNdEx_51" localSheetId="60">'[4]3.6 (2)'!$A$41</definedName>
    <definedName name="_r27_iNdEx_51" localSheetId="61">'[4]3.6 (2)'!$A$41</definedName>
    <definedName name="_r27_iNdEx_51" localSheetId="62">'[4]3.6 (2)'!$A$41</definedName>
    <definedName name="_r27_iNdEx_51" localSheetId="63">'[6]3.6 (2)'!$A$41</definedName>
    <definedName name="_r27_iNdEx_51" localSheetId="67">'[4]3.6 (2)'!$A$41</definedName>
    <definedName name="_r27_iNdEx_51">'[4]3.6 (2)'!$A$41</definedName>
    <definedName name="_r28_iNdEx_52" localSheetId="17">'[4]3.6 (2)'!$A$42</definedName>
    <definedName name="_r28_iNdEx_52" localSheetId="16">'[4]3.6 (2)'!$A$42</definedName>
    <definedName name="_r28_iNdEx_52" localSheetId="19">'[4]3.6 (2)'!$A$42</definedName>
    <definedName name="_r28_iNdEx_52" localSheetId="42">'[5]3.6 (2)'!$A$42</definedName>
    <definedName name="_r28_iNdEx_52" localSheetId="60">'[4]3.6 (2)'!$A$42</definedName>
    <definedName name="_r28_iNdEx_52" localSheetId="61">'[4]3.6 (2)'!$A$42</definedName>
    <definedName name="_r28_iNdEx_52" localSheetId="62">'[4]3.6 (2)'!$A$42</definedName>
    <definedName name="_r28_iNdEx_52" localSheetId="63">'[6]3.6 (2)'!$A$42</definedName>
    <definedName name="_r28_iNdEx_52" localSheetId="67">'[4]3.6 (2)'!$A$42</definedName>
    <definedName name="_r28_iNdEx_52">'[4]3.6 (2)'!$A$42</definedName>
    <definedName name="_r29_iNdEx_53" localSheetId="17">'[4]3.6 (2)'!$A$43</definedName>
    <definedName name="_r29_iNdEx_53" localSheetId="16">'[4]3.6 (2)'!$A$43</definedName>
    <definedName name="_r29_iNdEx_53" localSheetId="19">'[4]3.6 (2)'!$A$43</definedName>
    <definedName name="_r29_iNdEx_53" localSheetId="42">'[5]3.6 (2)'!$A$43</definedName>
    <definedName name="_r29_iNdEx_53" localSheetId="60">'[4]3.6 (2)'!$A$43</definedName>
    <definedName name="_r29_iNdEx_53" localSheetId="61">'[4]3.6 (2)'!$A$43</definedName>
    <definedName name="_r29_iNdEx_53" localSheetId="62">'[4]3.6 (2)'!$A$43</definedName>
    <definedName name="_r29_iNdEx_53" localSheetId="63">'[6]3.6 (2)'!$A$43</definedName>
    <definedName name="_r29_iNdEx_53" localSheetId="67">'[4]3.6 (2)'!$A$43</definedName>
    <definedName name="_r29_iNdEx_53">'[4]3.6 (2)'!$A$43</definedName>
    <definedName name="_r3_iNdEx_19" localSheetId="17">'[4]3.6 (2)'!$A$17</definedName>
    <definedName name="_r3_iNdEx_19" localSheetId="16">'[4]3.6 (2)'!$A$17</definedName>
    <definedName name="_r3_iNdEx_19" localSheetId="19">'[4]3.6 (2)'!$A$17</definedName>
    <definedName name="_r3_iNdEx_19" localSheetId="42">'[5]3.6 (2)'!$A$17</definedName>
    <definedName name="_r3_iNdEx_19" localSheetId="60">'[4]3.6 (2)'!$A$17</definedName>
    <definedName name="_r3_iNdEx_19" localSheetId="61">'[4]3.6 (2)'!$A$17</definedName>
    <definedName name="_r3_iNdEx_19" localSheetId="62">'[4]3.6 (2)'!$A$17</definedName>
    <definedName name="_r3_iNdEx_19" localSheetId="63">'[6]3.6 (2)'!$A$17</definedName>
    <definedName name="_r3_iNdEx_19" localSheetId="67">'[4]3.6 (2)'!$A$17</definedName>
    <definedName name="_r3_iNdEx_19">'[4]3.6 (2)'!$A$17</definedName>
    <definedName name="_r30_iNdEx_54" localSheetId="7">'[4]3.6'!#REF!</definedName>
    <definedName name="_r30_iNdEx_54" localSheetId="8">'[4]3.6'!#REF!</definedName>
    <definedName name="_r30_iNdEx_54" localSheetId="35">'[4]3.6'!#REF!</definedName>
    <definedName name="_r30_iNdEx_54" localSheetId="37">'[4]3.6'!#REF!</definedName>
    <definedName name="_r30_iNdEx_54" localSheetId="17">'[4]3.6'!#REF!</definedName>
    <definedName name="_r30_iNdEx_54" localSheetId="16">'[4]3.6'!#REF!</definedName>
    <definedName name="_r30_iNdEx_54" localSheetId="20">'[4]3.6'!#REF!</definedName>
    <definedName name="_r30_iNdEx_54" localSheetId="21">'[4]3.6'!#REF!</definedName>
    <definedName name="_r30_iNdEx_54" localSheetId="22">'[4]3.6'!#REF!</definedName>
    <definedName name="_r30_iNdEx_54" localSheetId="23">'[4]3.6'!#REF!</definedName>
    <definedName name="_r30_iNdEx_54" localSheetId="24">'[4]3.6'!#REF!</definedName>
    <definedName name="_r30_iNdEx_54" localSheetId="25">'[4]3.6'!#REF!</definedName>
    <definedName name="_r30_iNdEx_54" localSheetId="26">'[4]3.6'!#REF!</definedName>
    <definedName name="_r30_iNdEx_54" localSheetId="27">'[4]3.6'!#REF!</definedName>
    <definedName name="_r30_iNdEx_54" localSheetId="28">'[4]3.6'!#REF!</definedName>
    <definedName name="_r30_iNdEx_54" localSheetId="19">'[4]3.6'!#REF!</definedName>
    <definedName name="_r30_iNdEx_54" localSheetId="38">'[4]3.6'!#REF!</definedName>
    <definedName name="_r30_iNdEx_54" localSheetId="42">'[5]3.6'!#REF!</definedName>
    <definedName name="_r30_iNdEx_54" localSheetId="45">'[4]3.6'!#REF!</definedName>
    <definedName name="_r30_iNdEx_54" localSheetId="54">'[4]3.6'!#REF!</definedName>
    <definedName name="_r30_iNdEx_54" localSheetId="46">'[4]3.6'!#REF!</definedName>
    <definedName name="_r30_iNdEx_54" localSheetId="47">'[4]3.6'!#REF!</definedName>
    <definedName name="_r30_iNdEx_54" localSheetId="48">'[4]3.6'!#REF!</definedName>
    <definedName name="_r30_iNdEx_54" localSheetId="49">'[4]3.6'!#REF!</definedName>
    <definedName name="_r30_iNdEx_54" localSheetId="50">'[4]3.6'!#REF!</definedName>
    <definedName name="_r30_iNdEx_54" localSheetId="51">'[4]3.6'!#REF!</definedName>
    <definedName name="_r30_iNdEx_54" localSheetId="52">'[4]3.6'!#REF!</definedName>
    <definedName name="_r30_iNdEx_54" localSheetId="53">'[4]3.6'!#REF!</definedName>
    <definedName name="_r30_iNdEx_54" localSheetId="59">'[4]3.6'!#REF!</definedName>
    <definedName name="_r30_iNdEx_54" localSheetId="60">'[4]3.6'!#REF!</definedName>
    <definedName name="_r30_iNdEx_54" localSheetId="61">'[4]3.6'!#REF!</definedName>
    <definedName name="_r30_iNdEx_54" localSheetId="62">'[4]3.6'!#REF!</definedName>
    <definedName name="_r30_iNdEx_54" localSheetId="63">'[6]3.6'!#REF!</definedName>
    <definedName name="_r30_iNdEx_54" localSheetId="67">'[4]3.6'!#REF!</definedName>
    <definedName name="_r30_iNdEx_54" localSheetId="1">'[4]3.6'!#REF!</definedName>
    <definedName name="_r30_iNdEx_54">'[4]3.6'!#REF!</definedName>
    <definedName name="_r31_iNdEx_56" localSheetId="7">'[4]3.6'!#REF!</definedName>
    <definedName name="_r31_iNdEx_56" localSheetId="8">'[4]3.6'!#REF!</definedName>
    <definedName name="_r31_iNdEx_56" localSheetId="35">'[4]3.6'!#REF!</definedName>
    <definedName name="_r31_iNdEx_56" localSheetId="37">'[4]3.6'!#REF!</definedName>
    <definedName name="_r31_iNdEx_56" localSheetId="17">'[4]3.6'!#REF!</definedName>
    <definedName name="_r31_iNdEx_56" localSheetId="16">'[4]3.6'!#REF!</definedName>
    <definedName name="_r31_iNdEx_56" localSheetId="20">'[4]3.6'!#REF!</definedName>
    <definedName name="_r31_iNdEx_56" localSheetId="21">'[4]3.6'!#REF!</definedName>
    <definedName name="_r31_iNdEx_56" localSheetId="22">'[4]3.6'!#REF!</definedName>
    <definedName name="_r31_iNdEx_56" localSheetId="23">'[4]3.6'!#REF!</definedName>
    <definedName name="_r31_iNdEx_56" localSheetId="24">'[4]3.6'!#REF!</definedName>
    <definedName name="_r31_iNdEx_56" localSheetId="25">'[4]3.6'!#REF!</definedName>
    <definedName name="_r31_iNdEx_56" localSheetId="26">'[4]3.6'!#REF!</definedName>
    <definedName name="_r31_iNdEx_56" localSheetId="27">'[4]3.6'!#REF!</definedName>
    <definedName name="_r31_iNdEx_56" localSheetId="28">'[4]3.6'!#REF!</definedName>
    <definedName name="_r31_iNdEx_56" localSheetId="19">'[4]3.6'!#REF!</definedName>
    <definedName name="_r31_iNdEx_56" localSheetId="38">'[4]3.6'!#REF!</definedName>
    <definedName name="_r31_iNdEx_56" localSheetId="42">'[5]3.6'!#REF!</definedName>
    <definedName name="_r31_iNdEx_56" localSheetId="45">'[4]3.6'!#REF!</definedName>
    <definedName name="_r31_iNdEx_56" localSheetId="54">'[4]3.6'!#REF!</definedName>
    <definedName name="_r31_iNdEx_56" localSheetId="46">'[4]3.6'!#REF!</definedName>
    <definedName name="_r31_iNdEx_56" localSheetId="47">'[4]3.6'!#REF!</definedName>
    <definedName name="_r31_iNdEx_56" localSheetId="48">'[4]3.6'!#REF!</definedName>
    <definedName name="_r31_iNdEx_56" localSheetId="49">'[4]3.6'!#REF!</definedName>
    <definedName name="_r31_iNdEx_56" localSheetId="50">'[4]3.6'!#REF!</definedName>
    <definedName name="_r31_iNdEx_56" localSheetId="51">'[4]3.6'!#REF!</definedName>
    <definedName name="_r31_iNdEx_56" localSheetId="52">'[4]3.6'!#REF!</definedName>
    <definedName name="_r31_iNdEx_56" localSheetId="53">'[4]3.6'!#REF!</definedName>
    <definedName name="_r31_iNdEx_56" localSheetId="59">'[4]3.6'!#REF!</definedName>
    <definedName name="_r31_iNdEx_56" localSheetId="60">'[4]3.6'!#REF!</definedName>
    <definedName name="_r31_iNdEx_56" localSheetId="61">'[4]3.6'!#REF!</definedName>
    <definedName name="_r31_iNdEx_56" localSheetId="62">'[4]3.6'!#REF!</definedName>
    <definedName name="_r31_iNdEx_56" localSheetId="63">'[6]3.6'!#REF!</definedName>
    <definedName name="_r31_iNdEx_56" localSheetId="67">'[4]3.6'!#REF!</definedName>
    <definedName name="_r31_iNdEx_56" localSheetId="1">'[4]3.6'!#REF!</definedName>
    <definedName name="_r31_iNdEx_56">'[4]3.6'!#REF!</definedName>
    <definedName name="_r32_iNdEx_57" localSheetId="7">'[4]3.6'!#REF!</definedName>
    <definedName name="_r32_iNdEx_57" localSheetId="8">'[4]3.6'!#REF!</definedName>
    <definedName name="_r32_iNdEx_57" localSheetId="35">'[4]3.6'!#REF!</definedName>
    <definedName name="_r32_iNdEx_57" localSheetId="37">'[4]3.6'!#REF!</definedName>
    <definedName name="_r32_iNdEx_57" localSheetId="17">'[4]3.6'!#REF!</definedName>
    <definedName name="_r32_iNdEx_57" localSheetId="16">'[4]3.6'!#REF!</definedName>
    <definedName name="_r32_iNdEx_57" localSheetId="20">'[4]3.6'!#REF!</definedName>
    <definedName name="_r32_iNdEx_57" localSheetId="21">'[4]3.6'!#REF!</definedName>
    <definedName name="_r32_iNdEx_57" localSheetId="22">'[4]3.6'!#REF!</definedName>
    <definedName name="_r32_iNdEx_57" localSheetId="23">'[4]3.6'!#REF!</definedName>
    <definedName name="_r32_iNdEx_57" localSheetId="24">'[4]3.6'!#REF!</definedName>
    <definedName name="_r32_iNdEx_57" localSheetId="25">'[4]3.6'!#REF!</definedName>
    <definedName name="_r32_iNdEx_57" localSheetId="26">'[4]3.6'!#REF!</definedName>
    <definedName name="_r32_iNdEx_57" localSheetId="27">'[4]3.6'!#REF!</definedName>
    <definedName name="_r32_iNdEx_57" localSheetId="28">'[4]3.6'!#REF!</definedName>
    <definedName name="_r32_iNdEx_57" localSheetId="19">'[4]3.6'!#REF!</definedName>
    <definedName name="_r32_iNdEx_57" localSheetId="38">'[4]3.6'!#REF!</definedName>
    <definedName name="_r32_iNdEx_57" localSheetId="42">'[5]3.6'!#REF!</definedName>
    <definedName name="_r32_iNdEx_57" localSheetId="45">'[4]3.6'!#REF!</definedName>
    <definedName name="_r32_iNdEx_57" localSheetId="54">'[4]3.6'!#REF!</definedName>
    <definedName name="_r32_iNdEx_57" localSheetId="46">'[4]3.6'!#REF!</definedName>
    <definedName name="_r32_iNdEx_57" localSheetId="47">'[4]3.6'!#REF!</definedName>
    <definedName name="_r32_iNdEx_57" localSheetId="48">'[4]3.6'!#REF!</definedName>
    <definedName name="_r32_iNdEx_57" localSheetId="49">'[4]3.6'!#REF!</definedName>
    <definedName name="_r32_iNdEx_57" localSheetId="50">'[4]3.6'!#REF!</definedName>
    <definedName name="_r32_iNdEx_57" localSheetId="51">'[4]3.6'!#REF!</definedName>
    <definedName name="_r32_iNdEx_57" localSheetId="52">'[4]3.6'!#REF!</definedName>
    <definedName name="_r32_iNdEx_57" localSheetId="53">'[4]3.6'!#REF!</definedName>
    <definedName name="_r32_iNdEx_57" localSheetId="59">'[4]3.6'!#REF!</definedName>
    <definedName name="_r32_iNdEx_57" localSheetId="60">'[4]3.6'!#REF!</definedName>
    <definedName name="_r32_iNdEx_57" localSheetId="61">'[4]3.6'!#REF!</definedName>
    <definedName name="_r32_iNdEx_57" localSheetId="62">'[4]3.6'!#REF!</definedName>
    <definedName name="_r32_iNdEx_57" localSheetId="63">'[6]3.6'!#REF!</definedName>
    <definedName name="_r32_iNdEx_57" localSheetId="67">'[4]3.6'!#REF!</definedName>
    <definedName name="_r32_iNdEx_57" localSheetId="1">'[4]3.6'!#REF!</definedName>
    <definedName name="_r32_iNdEx_57">'[4]3.6'!#REF!</definedName>
    <definedName name="_r33_iNdEx_58" localSheetId="7">'[4]3.6'!#REF!</definedName>
    <definedName name="_r33_iNdEx_58" localSheetId="8">'[4]3.6'!#REF!</definedName>
    <definedName name="_r33_iNdEx_58" localSheetId="35">'[4]3.6'!#REF!</definedName>
    <definedName name="_r33_iNdEx_58" localSheetId="37">'[4]3.6'!#REF!</definedName>
    <definedName name="_r33_iNdEx_58" localSheetId="17">'[4]3.6'!#REF!</definedName>
    <definedName name="_r33_iNdEx_58" localSheetId="16">'[4]3.6'!#REF!</definedName>
    <definedName name="_r33_iNdEx_58" localSheetId="20">'[4]3.6'!#REF!</definedName>
    <definedName name="_r33_iNdEx_58" localSheetId="21">'[4]3.6'!#REF!</definedName>
    <definedName name="_r33_iNdEx_58" localSheetId="22">'[4]3.6'!#REF!</definedName>
    <definedName name="_r33_iNdEx_58" localSheetId="23">'[4]3.6'!#REF!</definedName>
    <definedName name="_r33_iNdEx_58" localSheetId="24">'[4]3.6'!#REF!</definedName>
    <definedName name="_r33_iNdEx_58" localSheetId="25">'[4]3.6'!#REF!</definedName>
    <definedName name="_r33_iNdEx_58" localSheetId="26">'[4]3.6'!#REF!</definedName>
    <definedName name="_r33_iNdEx_58" localSheetId="27">'[4]3.6'!#REF!</definedName>
    <definedName name="_r33_iNdEx_58" localSheetId="28">'[4]3.6'!#REF!</definedName>
    <definedName name="_r33_iNdEx_58" localSheetId="19">'[4]3.6'!#REF!</definedName>
    <definedName name="_r33_iNdEx_58" localSheetId="38">'[4]3.6'!#REF!</definedName>
    <definedName name="_r33_iNdEx_58" localSheetId="42">'[5]3.6'!#REF!</definedName>
    <definedName name="_r33_iNdEx_58" localSheetId="45">'[4]3.6'!#REF!</definedName>
    <definedName name="_r33_iNdEx_58" localSheetId="54">'[4]3.6'!#REF!</definedName>
    <definedName name="_r33_iNdEx_58" localSheetId="46">'[4]3.6'!#REF!</definedName>
    <definedName name="_r33_iNdEx_58" localSheetId="47">'[4]3.6'!#REF!</definedName>
    <definedName name="_r33_iNdEx_58" localSheetId="48">'[4]3.6'!#REF!</definedName>
    <definedName name="_r33_iNdEx_58" localSheetId="49">'[4]3.6'!#REF!</definedName>
    <definedName name="_r33_iNdEx_58" localSheetId="50">'[4]3.6'!#REF!</definedName>
    <definedName name="_r33_iNdEx_58" localSheetId="51">'[4]3.6'!#REF!</definedName>
    <definedName name="_r33_iNdEx_58" localSheetId="52">'[4]3.6'!#REF!</definedName>
    <definedName name="_r33_iNdEx_58" localSheetId="53">'[4]3.6'!#REF!</definedName>
    <definedName name="_r33_iNdEx_58" localSheetId="59">'[4]3.6'!#REF!</definedName>
    <definedName name="_r33_iNdEx_58" localSheetId="60">'[4]3.6'!#REF!</definedName>
    <definedName name="_r33_iNdEx_58" localSheetId="61">'[4]3.6'!#REF!</definedName>
    <definedName name="_r33_iNdEx_58" localSheetId="62">'[4]3.6'!#REF!</definedName>
    <definedName name="_r33_iNdEx_58" localSheetId="63">'[6]3.6'!#REF!</definedName>
    <definedName name="_r33_iNdEx_58" localSheetId="67">'[4]3.6'!#REF!</definedName>
    <definedName name="_r33_iNdEx_58" localSheetId="1">'[4]3.6'!#REF!</definedName>
    <definedName name="_r33_iNdEx_58">'[4]3.6'!#REF!</definedName>
    <definedName name="_r34_iNdEx_59" localSheetId="7">'[4]3.6'!#REF!</definedName>
    <definedName name="_r34_iNdEx_59" localSheetId="8">'[4]3.6'!#REF!</definedName>
    <definedName name="_r34_iNdEx_59" localSheetId="35">'[4]3.6'!#REF!</definedName>
    <definedName name="_r34_iNdEx_59" localSheetId="37">'[4]3.6'!#REF!</definedName>
    <definedName name="_r34_iNdEx_59" localSheetId="17">'[4]3.6'!#REF!</definedName>
    <definedName name="_r34_iNdEx_59" localSheetId="16">'[4]3.6'!#REF!</definedName>
    <definedName name="_r34_iNdEx_59" localSheetId="20">'[4]3.6'!#REF!</definedName>
    <definedName name="_r34_iNdEx_59" localSheetId="21">'[4]3.6'!#REF!</definedName>
    <definedName name="_r34_iNdEx_59" localSheetId="22">'[4]3.6'!#REF!</definedName>
    <definedName name="_r34_iNdEx_59" localSheetId="23">'[4]3.6'!#REF!</definedName>
    <definedName name="_r34_iNdEx_59" localSheetId="24">'[4]3.6'!#REF!</definedName>
    <definedName name="_r34_iNdEx_59" localSheetId="25">'[4]3.6'!#REF!</definedName>
    <definedName name="_r34_iNdEx_59" localSheetId="26">'[4]3.6'!#REF!</definedName>
    <definedName name="_r34_iNdEx_59" localSheetId="27">'[4]3.6'!#REF!</definedName>
    <definedName name="_r34_iNdEx_59" localSheetId="28">'[4]3.6'!#REF!</definedName>
    <definedName name="_r34_iNdEx_59" localSheetId="19">'[4]3.6'!#REF!</definedName>
    <definedName name="_r34_iNdEx_59" localSheetId="38">'[4]3.6'!#REF!</definedName>
    <definedName name="_r34_iNdEx_59" localSheetId="42">'[5]3.6'!#REF!</definedName>
    <definedName name="_r34_iNdEx_59" localSheetId="45">'[4]3.6'!#REF!</definedName>
    <definedName name="_r34_iNdEx_59" localSheetId="54">'[4]3.6'!#REF!</definedName>
    <definedName name="_r34_iNdEx_59" localSheetId="46">'[4]3.6'!#REF!</definedName>
    <definedName name="_r34_iNdEx_59" localSheetId="47">'[4]3.6'!#REF!</definedName>
    <definedName name="_r34_iNdEx_59" localSheetId="48">'[4]3.6'!#REF!</definedName>
    <definedName name="_r34_iNdEx_59" localSheetId="49">'[4]3.6'!#REF!</definedName>
    <definedName name="_r34_iNdEx_59" localSheetId="50">'[4]3.6'!#REF!</definedName>
    <definedName name="_r34_iNdEx_59" localSheetId="51">'[4]3.6'!#REF!</definedName>
    <definedName name="_r34_iNdEx_59" localSheetId="52">'[4]3.6'!#REF!</definedName>
    <definedName name="_r34_iNdEx_59" localSheetId="53">'[4]3.6'!#REF!</definedName>
    <definedName name="_r34_iNdEx_59" localSheetId="59">'[4]3.6'!#REF!</definedName>
    <definedName name="_r34_iNdEx_59" localSheetId="60">'[4]3.6'!#REF!</definedName>
    <definedName name="_r34_iNdEx_59" localSheetId="61">'[4]3.6'!#REF!</definedName>
    <definedName name="_r34_iNdEx_59" localSheetId="62">'[4]3.6'!#REF!</definedName>
    <definedName name="_r34_iNdEx_59" localSheetId="63">'[6]3.6'!#REF!</definedName>
    <definedName name="_r34_iNdEx_59" localSheetId="67">'[4]3.6'!#REF!</definedName>
    <definedName name="_r34_iNdEx_59" localSheetId="1">'[4]3.6'!#REF!</definedName>
    <definedName name="_r34_iNdEx_59">'[4]3.6'!#REF!</definedName>
    <definedName name="_r4_iNdEx_20" localSheetId="17">'[4]3.6 (2)'!$A$18</definedName>
    <definedName name="_r4_iNdEx_20" localSheetId="16">'[4]3.6 (2)'!$A$18</definedName>
    <definedName name="_r4_iNdEx_20" localSheetId="19">'[4]3.6 (2)'!$A$18</definedName>
    <definedName name="_r4_iNdEx_20" localSheetId="42">'[5]3.6 (2)'!$A$18</definedName>
    <definedName name="_r4_iNdEx_20" localSheetId="60">'[4]3.6 (2)'!$A$18</definedName>
    <definedName name="_r4_iNdEx_20" localSheetId="61">'[4]3.6 (2)'!$A$18</definedName>
    <definedName name="_r4_iNdEx_20" localSheetId="62">'[4]3.6 (2)'!$A$18</definedName>
    <definedName name="_r4_iNdEx_20" localSheetId="63">'[6]3.6 (2)'!$A$18</definedName>
    <definedName name="_r4_iNdEx_20" localSheetId="67">'[4]3.6 (2)'!$A$18</definedName>
    <definedName name="_r4_iNdEx_20">'[4]3.6 (2)'!$A$18</definedName>
    <definedName name="_r5_iNdEx_21" localSheetId="17">'[4]3.6 (2)'!$A$19</definedName>
    <definedName name="_r5_iNdEx_21" localSheetId="16">'[4]3.6 (2)'!$A$19</definedName>
    <definedName name="_r5_iNdEx_21" localSheetId="19">'[4]3.6 (2)'!$A$19</definedName>
    <definedName name="_r5_iNdEx_21" localSheetId="42">'[5]3.6 (2)'!$A$19</definedName>
    <definedName name="_r5_iNdEx_21" localSheetId="60">'[4]3.6 (2)'!$A$19</definedName>
    <definedName name="_r5_iNdEx_21" localSheetId="61">'[4]3.6 (2)'!$A$19</definedName>
    <definedName name="_r5_iNdEx_21" localSheetId="62">'[4]3.6 (2)'!$A$19</definedName>
    <definedName name="_r5_iNdEx_21" localSheetId="63">'[6]3.6 (2)'!$A$19</definedName>
    <definedName name="_r5_iNdEx_21" localSheetId="67">'[4]3.6 (2)'!$A$19</definedName>
    <definedName name="_r5_iNdEx_21">'[4]3.6 (2)'!$A$19</definedName>
    <definedName name="_r6_iNdEx_23" localSheetId="17">'[4]3.6 (2)'!$A$21</definedName>
    <definedName name="_r6_iNdEx_23" localSheetId="16">'[4]3.6 (2)'!$A$21</definedName>
    <definedName name="_r6_iNdEx_23" localSheetId="19">'[4]3.6 (2)'!$A$21</definedName>
    <definedName name="_r6_iNdEx_23" localSheetId="42">'[5]3.6 (2)'!$A$21</definedName>
    <definedName name="_r6_iNdEx_23" localSheetId="60">'[4]3.6 (2)'!$A$21</definedName>
    <definedName name="_r6_iNdEx_23" localSheetId="61">'[4]3.6 (2)'!$A$21</definedName>
    <definedName name="_r6_iNdEx_23" localSheetId="62">'[4]3.6 (2)'!$A$21</definedName>
    <definedName name="_r6_iNdEx_23" localSheetId="63">'[6]3.6 (2)'!$A$21</definedName>
    <definedName name="_r6_iNdEx_23" localSheetId="67">'[4]3.6 (2)'!$A$21</definedName>
    <definedName name="_r6_iNdEx_23">'[4]3.6 (2)'!$A$21</definedName>
    <definedName name="_r7_iNdEx_24" localSheetId="17">'[4]3.6 (2)'!$A$22</definedName>
    <definedName name="_r7_iNdEx_24" localSheetId="16">'[4]3.6 (2)'!$A$22</definedName>
    <definedName name="_r7_iNdEx_24" localSheetId="19">'[4]3.6 (2)'!$A$22</definedName>
    <definedName name="_r7_iNdEx_24" localSheetId="42">'[5]3.6 (2)'!$A$22</definedName>
    <definedName name="_r7_iNdEx_24" localSheetId="60">'[4]3.6 (2)'!$A$22</definedName>
    <definedName name="_r7_iNdEx_24" localSheetId="61">'[4]3.6 (2)'!$A$22</definedName>
    <definedName name="_r7_iNdEx_24" localSheetId="62">'[4]3.6 (2)'!$A$22</definedName>
    <definedName name="_r7_iNdEx_24" localSheetId="63">'[6]3.6 (2)'!$A$22</definedName>
    <definedName name="_r7_iNdEx_24" localSheetId="67">'[4]3.6 (2)'!$A$22</definedName>
    <definedName name="_r7_iNdEx_24">'[4]3.6 (2)'!$A$22</definedName>
    <definedName name="_r8_iNdEx_25" localSheetId="17">'[4]3.6 (2)'!$A$23</definedName>
    <definedName name="_r8_iNdEx_25" localSheetId="16">'[4]3.6 (2)'!$A$23</definedName>
    <definedName name="_r8_iNdEx_25" localSheetId="19">'[4]3.6 (2)'!$A$23</definedName>
    <definedName name="_r8_iNdEx_25" localSheetId="42">'[5]3.6 (2)'!$A$23</definedName>
    <definedName name="_r8_iNdEx_25" localSheetId="60">'[4]3.6 (2)'!$A$23</definedName>
    <definedName name="_r8_iNdEx_25" localSheetId="61">'[4]3.6 (2)'!$A$23</definedName>
    <definedName name="_r8_iNdEx_25" localSheetId="62">'[4]3.6 (2)'!$A$23</definedName>
    <definedName name="_r8_iNdEx_25" localSheetId="63">'[6]3.6 (2)'!$A$23</definedName>
    <definedName name="_r8_iNdEx_25" localSheetId="67">'[4]3.6 (2)'!$A$23</definedName>
    <definedName name="_r8_iNdEx_25">'[4]3.6 (2)'!$A$23</definedName>
    <definedName name="_r9_iNdEx_26" localSheetId="17">'[4]3.6 (2)'!$A$24</definedName>
    <definedName name="_r9_iNdEx_26" localSheetId="16">'[4]3.6 (2)'!$A$24</definedName>
    <definedName name="_r9_iNdEx_26" localSheetId="19">'[4]3.6 (2)'!$A$24</definedName>
    <definedName name="_r9_iNdEx_26" localSheetId="42">'[5]3.6 (2)'!$A$24</definedName>
    <definedName name="_r9_iNdEx_26" localSheetId="60">'[4]3.6 (2)'!$A$24</definedName>
    <definedName name="_r9_iNdEx_26" localSheetId="61">'[4]3.6 (2)'!$A$24</definedName>
    <definedName name="_r9_iNdEx_26" localSheetId="62">'[4]3.6 (2)'!$A$24</definedName>
    <definedName name="_r9_iNdEx_26" localSheetId="63">'[6]3.6 (2)'!$A$24</definedName>
    <definedName name="_r9_iNdEx_26" localSheetId="67">'[4]3.6 (2)'!$A$24</definedName>
    <definedName name="_r9_iNdEx_26">'[4]3.6 (2)'!$A$24</definedName>
    <definedName name="_rid_Tb1_iNdEx_1" localSheetId="7">'[4]3.6'!#REF!</definedName>
    <definedName name="_rid_Tb1_iNdEx_1" localSheetId="8">'[4]3.6'!#REF!</definedName>
    <definedName name="_rid_Tb1_iNdEx_1" localSheetId="35">'[4]3.6'!#REF!</definedName>
    <definedName name="_rid_Tb1_iNdEx_1" localSheetId="37">'[4]3.6'!#REF!</definedName>
    <definedName name="_rid_Tb1_iNdEx_1" localSheetId="17">'[4]3.6'!#REF!</definedName>
    <definedName name="_rid_Tb1_iNdEx_1" localSheetId="16">'[4]3.6'!#REF!</definedName>
    <definedName name="_rid_Tb1_iNdEx_1" localSheetId="20">'[4]3.6'!#REF!</definedName>
    <definedName name="_rid_Tb1_iNdEx_1" localSheetId="21">'[4]3.6'!#REF!</definedName>
    <definedName name="_rid_Tb1_iNdEx_1" localSheetId="22">'[4]3.6'!#REF!</definedName>
    <definedName name="_rid_Tb1_iNdEx_1" localSheetId="23">'[4]3.6'!#REF!</definedName>
    <definedName name="_rid_Tb1_iNdEx_1" localSheetId="24">'[4]3.6'!#REF!</definedName>
    <definedName name="_rid_Tb1_iNdEx_1" localSheetId="25">'[4]3.6'!#REF!</definedName>
    <definedName name="_rid_Tb1_iNdEx_1" localSheetId="26">'[4]3.6'!#REF!</definedName>
    <definedName name="_rid_Tb1_iNdEx_1" localSheetId="27">'[4]3.6'!#REF!</definedName>
    <definedName name="_rid_Tb1_iNdEx_1" localSheetId="28">'[4]3.6'!#REF!</definedName>
    <definedName name="_rid_Tb1_iNdEx_1" localSheetId="19">'[4]3.6'!#REF!</definedName>
    <definedName name="_rid_Tb1_iNdEx_1" localSheetId="38">'[4]3.6'!#REF!</definedName>
    <definedName name="_rid_Tb1_iNdEx_1" localSheetId="42">'[5]3.6'!#REF!</definedName>
    <definedName name="_rid_Tb1_iNdEx_1" localSheetId="45">'[4]3.6'!#REF!</definedName>
    <definedName name="_rid_Tb1_iNdEx_1" localSheetId="54">'[4]3.6'!#REF!</definedName>
    <definedName name="_rid_Tb1_iNdEx_1" localSheetId="46">'[4]3.6'!#REF!</definedName>
    <definedName name="_rid_Tb1_iNdEx_1" localSheetId="47">'[4]3.6'!#REF!</definedName>
    <definedName name="_rid_Tb1_iNdEx_1" localSheetId="48">'[4]3.6'!#REF!</definedName>
    <definedName name="_rid_Tb1_iNdEx_1" localSheetId="49">'[4]3.6'!#REF!</definedName>
    <definedName name="_rid_Tb1_iNdEx_1" localSheetId="50">'[4]3.6'!#REF!</definedName>
    <definedName name="_rid_Tb1_iNdEx_1" localSheetId="51">'[4]3.6'!#REF!</definedName>
    <definedName name="_rid_Tb1_iNdEx_1" localSheetId="52">'[4]3.6'!#REF!</definedName>
    <definedName name="_rid_Tb1_iNdEx_1" localSheetId="53">'[4]3.6'!#REF!</definedName>
    <definedName name="_rid_Tb1_iNdEx_1" localSheetId="59">'[4]3.6'!#REF!</definedName>
    <definedName name="_rid_Tb1_iNdEx_1" localSheetId="60">'[4]3.6'!#REF!</definedName>
    <definedName name="_rid_Tb1_iNdEx_1" localSheetId="61">'[4]3.6'!#REF!</definedName>
    <definedName name="_rid_Tb1_iNdEx_1" localSheetId="62">'[4]3.6'!#REF!</definedName>
    <definedName name="_rid_Tb1_iNdEx_1" localSheetId="63">'[6]3.6'!#REF!</definedName>
    <definedName name="_rid_Tb1_iNdEx_1" localSheetId="67">'[4]3.6'!#REF!</definedName>
    <definedName name="_rid_Tb1_iNdEx_1" localSheetId="1">'[4]3.6'!#REF!</definedName>
    <definedName name="_rid_Tb1_iNdEx_1">'[4]3.6'!#REF!</definedName>
    <definedName name="fdfdfdf" localSheetId="17">'[7]ST-2SD.ST'!$A$23</definedName>
    <definedName name="fdfdfdf" localSheetId="16">'[7]ST-2SD.ST'!$A$23</definedName>
    <definedName name="fdfdfdf" localSheetId="19">'[7]ST-2SD.ST'!$A$23</definedName>
    <definedName name="fdfdfdf" localSheetId="62">'[7]ST-2SD.ST'!$A$23</definedName>
    <definedName name="fdfdfdf" localSheetId="63">'[8]ST-2SD.ST'!$A$23</definedName>
    <definedName name="fdfdfdf" localSheetId="64">'[9]ST-2SD.ST'!$A$23</definedName>
    <definedName name="fdfdfdf" localSheetId="65">'[9]ST-2SD.ST'!$A$23</definedName>
    <definedName name="fdfdfdf" localSheetId="67">'[7]ST-2SD.ST'!$A$23</definedName>
    <definedName name="fdfdfdf">'[7]ST-2SD.ST'!$A$23</definedName>
    <definedName name="lerik" localSheetId="17">'[7]ST-2SD.ST'!$A$42</definedName>
    <definedName name="lerik" localSheetId="16">'[7]ST-2SD.ST'!$A$42</definedName>
    <definedName name="lerik" localSheetId="19">'[7]ST-2SD.ST'!$A$42</definedName>
    <definedName name="lerik" localSheetId="62">'[7]ST-2SD.ST'!$A$42</definedName>
    <definedName name="lerik" localSheetId="63">'[8]ST-2SD.ST'!$A$42</definedName>
    <definedName name="lerik" localSheetId="64">'[9]ST-2SD.ST'!$A$42</definedName>
    <definedName name="lerik" localSheetId="65">'[9]ST-2SD.ST'!$A$42</definedName>
    <definedName name="lerik" localSheetId="67">'[7]ST-2SD.ST'!$A$42</definedName>
    <definedName name="lerik">'[7]ST-2SD.ST'!$A$42</definedName>
    <definedName name="_xlnm.Print_Area" localSheetId="2">'1.1'!$A$1:$O$305</definedName>
    <definedName name="_xlnm.Print_Area" localSheetId="3">'1.2'!$A$1:$D$22</definedName>
    <definedName name="_xlnm.Print_Area" localSheetId="4">'1.3'!$A$1:$H$302</definedName>
    <definedName name="_xlnm.Print_Area" localSheetId="5">'1.4'!$A$1:$DJ$64</definedName>
    <definedName name="_xlnm.Print_Area" localSheetId="6">'1.5'!$A$1:$P$192</definedName>
    <definedName name="_xlnm.Print_Area" localSheetId="7">'1.6'!$A$1:$E$284</definedName>
    <definedName name="_xlnm.Print_Area" localSheetId="8">'1.6.1'!$A$1:$T$287</definedName>
    <definedName name="_xlnm.Print_Area" localSheetId="9">'2.1'!$A$1:$G$299</definedName>
    <definedName name="_xlnm.Print_Area" localSheetId="30">'2.10'!$A$1:$P$42</definedName>
    <definedName name="_xlnm.Print_Area" localSheetId="31">'2.11'!$A$1:$Q$299</definedName>
    <definedName name="_xlnm.Print_Area" localSheetId="32">'2.12'!$A$1:$F$298</definedName>
    <definedName name="_xlnm.Print_Area" localSheetId="33">'2.13'!$A$1:$AE$229</definedName>
    <definedName name="_xlnm.Print_Area" localSheetId="34">'2.14'!$A$1:$O$42</definedName>
    <definedName name="_xlnm.Print_Area" localSheetId="35">'2.15'!$A$1:$H$90</definedName>
    <definedName name="_xlnm.Print_Area" localSheetId="36">'2.16'!$A$1:$AO$308</definedName>
    <definedName name="_xlnm.Print_Area" localSheetId="37">'2.16.1'!$A$1:$T$94</definedName>
    <definedName name="_xlnm.Print_Area" localSheetId="10">'2.2'!$A$1:$F$298</definedName>
    <definedName name="_xlnm.Print_Area" localSheetId="11">'2.3'!$A$1:$G$299</definedName>
    <definedName name="_xlnm.Print_Area" localSheetId="12">'2.4'!$A$1:$M$308</definedName>
    <definedName name="_xlnm.Print_Area" localSheetId="13">'2.5'!$A$1:$G$302</definedName>
    <definedName name="_xlnm.Print_Area" localSheetId="14">'2.6'!$A$1:$L$299</definedName>
    <definedName name="_xlnm.Print_Area" localSheetId="15">'2.7'!$A$1:$O$302</definedName>
    <definedName name="_xlnm.Print_Area" localSheetId="17">'2.7.1'!$A$1:$H$109</definedName>
    <definedName name="_xlnm.Print_Area" localSheetId="16">'2.7.d.'!$A$1:$V$100</definedName>
    <definedName name="_xlnm.Print_Area" localSheetId="18">'2.8'!$A$1:$AI$302</definedName>
    <definedName name="_xlnm.Print_Area" localSheetId="20">'2.8.1'!$A$1:$FH$51</definedName>
    <definedName name="_xlnm.Print_Area" localSheetId="21">'2.8.2'!$A$1:$FH$36</definedName>
    <definedName name="_xlnm.Print_Area" localSheetId="22">'2.8.3'!$A$1:$FI$36</definedName>
    <definedName name="_xlnm.Print_Area" localSheetId="23">'2.8.4'!$A$1:$FH$36</definedName>
    <definedName name="_xlnm.Print_Area" localSheetId="24">'2.8.5'!$A$1:$FH$36</definedName>
    <definedName name="_xlnm.Print_Area" localSheetId="25">'2.8.6'!$A$1:$FH$36</definedName>
    <definedName name="_xlnm.Print_Area" localSheetId="26">'2.8.7'!$A$1:$FH$36</definedName>
    <definedName name="_xlnm.Print_Area" localSheetId="27">'2.8.8'!$A$1:$FH$36</definedName>
    <definedName name="_xlnm.Print_Area" localSheetId="28">'2.8.9'!$A$1:$FH$36</definedName>
    <definedName name="_xlnm.Print_Area" localSheetId="19">'2.8.d.'!$A$1:$AG$99</definedName>
    <definedName name="_xlnm.Print_Area" localSheetId="29">'2.9'!$A$1:$I$231</definedName>
    <definedName name="_xlnm.Print_Area" localSheetId="38">'3.1 '!$A$1:$R$307</definedName>
    <definedName name="_xlnm.Print_Area" localSheetId="39">'3.2'!$B$1:$AE$799</definedName>
    <definedName name="_xlnm.Print_Area" localSheetId="40">'3.2.1'!$A$1:$E$281</definedName>
    <definedName name="_xlnm.Print_Area" localSheetId="41">'3.3 '!$A$1:$L$1234</definedName>
    <definedName name="_xlnm.Print_Area" localSheetId="42">'3.4'!$A$1:$L$1253</definedName>
    <definedName name="_xlnm.Print_Area" localSheetId="43">'3.5'!$A$1:$I$302</definedName>
    <definedName name="_xlnm.Print_Area" localSheetId="44">'3.6'!$A$1:$M$309</definedName>
    <definedName name="_xlnm.Print_Area" localSheetId="45">'4.1'!$A$1:$J$300</definedName>
    <definedName name="_xlnm.Print_Area" localSheetId="54">'4.10'!$A$1:$G$85</definedName>
    <definedName name="_xlnm.Print_Area" localSheetId="46">'4.2'!$A$1:$CA$29</definedName>
    <definedName name="_xlnm.Print_Area" localSheetId="47">'4.3'!$A$1:$M$256</definedName>
    <definedName name="_xlnm.Print_Area" localSheetId="48">'4.4'!$A$1:$F$28</definedName>
    <definedName name="_xlnm.Print_Area" localSheetId="49">'4.5'!$A$1:$BM$234</definedName>
    <definedName name="_xlnm.Print_Area" localSheetId="50">'4.6'!$A$1:$O$228</definedName>
    <definedName name="_xlnm.Print_Area" localSheetId="51">'4.7'!$A$1:$P$232</definedName>
    <definedName name="_xlnm.Print_Area" localSheetId="52">'4.8'!$A$1:$D$25</definedName>
    <definedName name="_xlnm.Print_Area" localSheetId="53">'4.9'!$A$1:$G$297</definedName>
    <definedName name="_xlnm.Print_Area" localSheetId="55">'5.1'!$A$1:$CR$22</definedName>
    <definedName name="_xlnm.Print_Area" localSheetId="56">'5.2'!$A$1:$FD$52</definedName>
    <definedName name="_xlnm.Print_Area" localSheetId="57">'5.3'!$A$1:$CC$34</definedName>
    <definedName name="_xlnm.Print_Area" localSheetId="58">'5.4'!$A$1:$CC$13</definedName>
    <definedName name="_xlnm.Print_Area" localSheetId="59">'5.5'!$A$1:$BE$10</definedName>
    <definedName name="_xlnm.Print_Area" localSheetId="60">'5.6'!$A$1:$BE$17</definedName>
    <definedName name="_xlnm.Print_Area" localSheetId="61">'5.7'!$A$1:$AN$13</definedName>
    <definedName name="_xlnm.Print_Area" localSheetId="62">'5.8'!$A$1:$AG$17</definedName>
    <definedName name="_xlnm.Print_Area" localSheetId="64">'6.1 '!$A$1:$IS$44</definedName>
    <definedName name="_xlnm.Print_Area" localSheetId="65">'6.2'!$A$1:$HV$62</definedName>
    <definedName name="_xlnm.Print_Area" localSheetId="66">'7'!$A$1:$W$168</definedName>
    <definedName name="_xlnm.Print_Area" localSheetId="67">'8'!$A$1:$O$24</definedName>
    <definedName name="_xlnm.Print_Area" localSheetId="0">Mündəricat!$A$1:$B$71</definedName>
    <definedName name="_xlnm.Print_Area" localSheetId="1">'Table of contents'!$A$1:$B$71</definedName>
    <definedName name="_xlnm.Print_Titles" localSheetId="33">'2.13'!$A:$A,'2.13'!$2:$3</definedName>
    <definedName name="_xlnm.Print_Titles" localSheetId="18">'2.8'!$A:$A,'2.8'!$2:$3</definedName>
    <definedName name="_xlnm.Print_Titles" localSheetId="19">'2.8.d.'!$A:$A,'2.8.d.'!$2:$3</definedName>
    <definedName name="_xlnm.Print_Titles" localSheetId="49">'4.5'!$A:$A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98" i="92" l="1"/>
  <c r="AD299" i="92"/>
  <c r="X296" i="92"/>
  <c r="X297" i="92"/>
  <c r="X298" i="92"/>
  <c r="X299" i="92"/>
  <c r="T296" i="92"/>
  <c r="T297" i="92"/>
  <c r="T298" i="92"/>
  <c r="T299" i="92"/>
  <c r="Z297" i="92"/>
  <c r="Z298" i="92"/>
  <c r="Z299" i="92"/>
  <c r="Y300" i="92"/>
  <c r="Y298" i="92"/>
  <c r="Y299" i="92"/>
  <c r="I301" i="32"/>
  <c r="H301" i="32"/>
  <c r="E301" i="32"/>
  <c r="B301" i="32"/>
  <c r="M297" i="219"/>
  <c r="G301" i="106" l="1"/>
  <c r="E301" i="106"/>
  <c r="C301" i="106"/>
  <c r="FG35" i="102"/>
  <c r="FG31" i="102"/>
  <c r="FG27" i="102"/>
  <c r="FG23" i="102"/>
  <c r="FG19" i="102"/>
  <c r="FG15" i="102"/>
  <c r="FG11" i="102"/>
  <c r="FH35" i="99"/>
  <c r="FH31" i="99"/>
  <c r="FH27" i="99"/>
  <c r="FH23" i="99"/>
  <c r="FH19" i="99"/>
  <c r="FH15" i="99"/>
  <c r="FH11" i="99"/>
  <c r="D97" i="123"/>
  <c r="AH300" i="92"/>
  <c r="AF300" i="92"/>
  <c r="AD300" i="92"/>
  <c r="AB300" i="92"/>
  <c r="Z300" i="92"/>
  <c r="V300" i="92"/>
  <c r="T300" i="92"/>
  <c r="R300" i="92"/>
  <c r="P300" i="92"/>
  <c r="N300" i="92"/>
  <c r="L300" i="92"/>
  <c r="J300" i="92"/>
  <c r="H300" i="92"/>
  <c r="F300" i="92"/>
  <c r="D300" i="92"/>
  <c r="L297" i="15"/>
  <c r="J297" i="15"/>
  <c r="H297" i="15"/>
  <c r="F297" i="15"/>
  <c r="D297" i="15"/>
  <c r="I306" i="86" l="1"/>
  <c r="J306" i="86"/>
  <c r="H306" i="86"/>
  <c r="G306" i="86"/>
  <c r="F306" i="86"/>
  <c r="HS54" i="273" l="1"/>
  <c r="HR54" i="273"/>
  <c r="HS50" i="273"/>
  <c r="HR50" i="273"/>
  <c r="HS36" i="273"/>
  <c r="HR36" i="273"/>
  <c r="HS24" i="273"/>
  <c r="HR24" i="273"/>
  <c r="HS23" i="273"/>
  <c r="HR23" i="273"/>
  <c r="HR18" i="273" s="1"/>
  <c r="HR11" i="273" s="1"/>
  <c r="HR60" i="273" s="1"/>
  <c r="HS19" i="273"/>
  <c r="HS18" i="273" s="1"/>
  <c r="HS11" i="273" s="1"/>
  <c r="HS60" i="273" s="1"/>
  <c r="HR19" i="273"/>
  <c r="HS13" i="273"/>
  <c r="HR13" i="273"/>
  <c r="IP27" i="272"/>
  <c r="IP42" i="272" s="1"/>
  <c r="IO27" i="272"/>
  <c r="IO42" i="272" s="1"/>
  <c r="FF35" i="102"/>
  <c r="FF31" i="102"/>
  <c r="FF27" i="102"/>
  <c r="FF23" i="102"/>
  <c r="FF19" i="102"/>
  <c r="FF15" i="102"/>
  <c r="FF11" i="102"/>
  <c r="FG35" i="99"/>
  <c r="FG31" i="99"/>
  <c r="FG27" i="99"/>
  <c r="FG23" i="99"/>
  <c r="FG19" i="99"/>
  <c r="FG15" i="99"/>
  <c r="FG11" i="99"/>
  <c r="E299" i="32"/>
  <c r="B299" i="32"/>
  <c r="I299" i="32" s="1"/>
  <c r="H299" i="32" l="1"/>
  <c r="G293" i="217"/>
  <c r="D293" i="217"/>
  <c r="J293" i="209" l="1"/>
  <c r="G293" i="209"/>
  <c r="D293" i="209"/>
  <c r="GA56" i="273" l="1"/>
  <c r="GK55" i="273"/>
  <c r="GK54" i="273" s="1"/>
  <c r="GK50" i="273" s="1"/>
  <c r="GI55" i="273"/>
  <c r="GG55" i="273"/>
  <c r="GG54" i="273" s="1"/>
  <c r="GG50" i="273" s="1"/>
  <c r="GE55" i="273"/>
  <c r="GE54" i="273" s="1"/>
  <c r="GE50" i="273" s="1"/>
  <c r="GC55" i="273"/>
  <c r="GC54" i="273" s="1"/>
  <c r="GC50" i="273" s="1"/>
  <c r="GA55" i="273"/>
  <c r="FY55" i="273"/>
  <c r="FW55" i="273"/>
  <c r="FW54" i="273" s="1"/>
  <c r="FW50" i="273" s="1"/>
  <c r="HQ54" i="273"/>
  <c r="HP54" i="273"/>
  <c r="HO54" i="273"/>
  <c r="HO50" i="273" s="1"/>
  <c r="HN54" i="273"/>
  <c r="HM54" i="273"/>
  <c r="HL54" i="273"/>
  <c r="HL50" i="273" s="1"/>
  <c r="HK54" i="273"/>
  <c r="HK50" i="273" s="1"/>
  <c r="HJ54" i="273"/>
  <c r="HJ50" i="273" s="1"/>
  <c r="HI54" i="273"/>
  <c r="HH54" i="273"/>
  <c r="HH50" i="273" s="1"/>
  <c r="HG54" i="273"/>
  <c r="HG50" i="273" s="1"/>
  <c r="HF54" i="273"/>
  <c r="HF50" i="273" s="1"/>
  <c r="HE54" i="273"/>
  <c r="HE50" i="273" s="1"/>
  <c r="HD54" i="273"/>
  <c r="HC54" i="273"/>
  <c r="HC50" i="273" s="1"/>
  <c r="HB54" i="273"/>
  <c r="HA54" i="273"/>
  <c r="GZ54" i="273"/>
  <c r="GZ50" i="273" s="1"/>
  <c r="GY54" i="273"/>
  <c r="GY50" i="273" s="1"/>
  <c r="GX54" i="273"/>
  <c r="GX50" i="273" s="1"/>
  <c r="GW54" i="273"/>
  <c r="GV54" i="273"/>
  <c r="GV50" i="273" s="1"/>
  <c r="GU54" i="273"/>
  <c r="GU50" i="273" s="1"/>
  <c r="GT54" i="273"/>
  <c r="GT50" i="273" s="1"/>
  <c r="GS54" i="273"/>
  <c r="GR54" i="273"/>
  <c r="GR50" i="273" s="1"/>
  <c r="GQ54" i="273"/>
  <c r="GQ50" i="273" s="1"/>
  <c r="GP54" i="273"/>
  <c r="GO54" i="273"/>
  <c r="GN54" i="273"/>
  <c r="GN50" i="273" s="1"/>
  <c r="GM54" i="273"/>
  <c r="GM50" i="273" s="1"/>
  <c r="GL54" i="273"/>
  <c r="GL50" i="273" s="1"/>
  <c r="GJ54" i="273"/>
  <c r="GJ50" i="273" s="1"/>
  <c r="GI54" i="273"/>
  <c r="GI50" i="273" s="1"/>
  <c r="GH54" i="273"/>
  <c r="GH50" i="273" s="1"/>
  <c r="GF54" i="273"/>
  <c r="GF50" i="273" s="1"/>
  <c r="GD54" i="273"/>
  <c r="GB54" i="273"/>
  <c r="GB50" i="273" s="1"/>
  <c r="FZ54" i="273"/>
  <c r="FY54" i="273"/>
  <c r="FX54" i="273"/>
  <c r="FX50" i="273" s="1"/>
  <c r="FV54" i="273"/>
  <c r="FV50" i="273" s="1"/>
  <c r="FU54" i="273"/>
  <c r="FT54" i="273"/>
  <c r="FT50" i="273" s="1"/>
  <c r="FS54" i="273"/>
  <c r="FS50" i="273" s="1"/>
  <c r="FR54" i="273"/>
  <c r="FR50" i="273" s="1"/>
  <c r="FQ54" i="273"/>
  <c r="FP54" i="273"/>
  <c r="FP50" i="273" s="1"/>
  <c r="FO54" i="273"/>
  <c r="FN54" i="273"/>
  <c r="FM54" i="273"/>
  <c r="FM50" i="273" s="1"/>
  <c r="FL54" i="273"/>
  <c r="FL50" i="273" s="1"/>
  <c r="FK54" i="273"/>
  <c r="FK50" i="273" s="1"/>
  <c r="FJ54" i="273"/>
  <c r="FJ50" i="273" s="1"/>
  <c r="FI54" i="273"/>
  <c r="FH54" i="273"/>
  <c r="FH50" i="273" s="1"/>
  <c r="FG54" i="273"/>
  <c r="FG50" i="273" s="1"/>
  <c r="FF54" i="273"/>
  <c r="FF50" i="273" s="1"/>
  <c r="FE54" i="273"/>
  <c r="FD54" i="273"/>
  <c r="FD50" i="273" s="1"/>
  <c r="FC54" i="273"/>
  <c r="FB54" i="273"/>
  <c r="FA54" i="273"/>
  <c r="EZ54" i="273"/>
  <c r="EZ50" i="273" s="1"/>
  <c r="EY54" i="273"/>
  <c r="EY50" i="273" s="1"/>
  <c r="EX54" i="273"/>
  <c r="EX50" i="273" s="1"/>
  <c r="EW54" i="273"/>
  <c r="EV54" i="273"/>
  <c r="EU54" i="273"/>
  <c r="EU50" i="273" s="1"/>
  <c r="ET54" i="273"/>
  <c r="ES54" i="273"/>
  <c r="ER54" i="273"/>
  <c r="ER50" i="273" s="1"/>
  <c r="EQ54" i="273"/>
  <c r="EQ50" i="273" s="1"/>
  <c r="EP54" i="273"/>
  <c r="EO54" i="273"/>
  <c r="EO50" i="273" s="1"/>
  <c r="EN54" i="273"/>
  <c r="EN50" i="273" s="1"/>
  <c r="EM54" i="273"/>
  <c r="EM50" i="273" s="1"/>
  <c r="EL54" i="273"/>
  <c r="EL50" i="273" s="1"/>
  <c r="EK54" i="273"/>
  <c r="EJ54" i="273"/>
  <c r="EJ50" i="273" s="1"/>
  <c r="EI54" i="273"/>
  <c r="EI50" i="273" s="1"/>
  <c r="EH54" i="273"/>
  <c r="EH50" i="273" s="1"/>
  <c r="EG54" i="273"/>
  <c r="EF54" i="273"/>
  <c r="EF50" i="273" s="1"/>
  <c r="EE54" i="273"/>
  <c r="ED54" i="273"/>
  <c r="EC54" i="273"/>
  <c r="EB54" i="273"/>
  <c r="EB50" i="273" s="1"/>
  <c r="EA54" i="273"/>
  <c r="EA50" i="273" s="1"/>
  <c r="DZ54" i="273"/>
  <c r="DZ50" i="273" s="1"/>
  <c r="DY54" i="273"/>
  <c r="DX54" i="273"/>
  <c r="DW54" i="273"/>
  <c r="DW50" i="273" s="1"/>
  <c r="DV54" i="273"/>
  <c r="DV50" i="273" s="1"/>
  <c r="DU54" i="273"/>
  <c r="DU50" i="273" s="1"/>
  <c r="DT54" i="273"/>
  <c r="DT50" i="273" s="1"/>
  <c r="DS54" i="273"/>
  <c r="DR54" i="273"/>
  <c r="DQ54" i="273"/>
  <c r="DP54" i="273"/>
  <c r="DP50" i="273" s="1"/>
  <c r="DO54" i="273"/>
  <c r="DO50" i="273" s="1"/>
  <c r="DN54" i="273"/>
  <c r="DN50" i="273" s="1"/>
  <c r="DM54" i="273"/>
  <c r="DL54" i="273"/>
  <c r="DK54" i="273"/>
  <c r="DK50" i="273" s="1"/>
  <c r="DJ54" i="273"/>
  <c r="DI54" i="273"/>
  <c r="DH54" i="273"/>
  <c r="DH50" i="273" s="1"/>
  <c r="DG54" i="273"/>
  <c r="DF54" i="273"/>
  <c r="DE54" i="273"/>
  <c r="DD54" i="273"/>
  <c r="DD50" i="273" s="1"/>
  <c r="DC54" i="273"/>
  <c r="DC50" i="273" s="1"/>
  <c r="DB54" i="273"/>
  <c r="DB50" i="273" s="1"/>
  <c r="DA54" i="273"/>
  <c r="DA50" i="273" s="1"/>
  <c r="CZ54" i="273"/>
  <c r="CZ50" i="273" s="1"/>
  <c r="CY54" i="273"/>
  <c r="CY50" i="273" s="1"/>
  <c r="CX54" i="273"/>
  <c r="CX50" i="273" s="1"/>
  <c r="CW54" i="273"/>
  <c r="CV54" i="273"/>
  <c r="CV50" i="273" s="1"/>
  <c r="CU54" i="273"/>
  <c r="CU50" i="273" s="1"/>
  <c r="CT54" i="273"/>
  <c r="CS54" i="273"/>
  <c r="CR54" i="273"/>
  <c r="CR50" i="273" s="1"/>
  <c r="CQ54" i="273"/>
  <c r="CQ50" i="273" s="1"/>
  <c r="CP54" i="273"/>
  <c r="CP50" i="273" s="1"/>
  <c r="CO54" i="273"/>
  <c r="CN54" i="273"/>
  <c r="CM54" i="273"/>
  <c r="CM50" i="273" s="1"/>
  <c r="CL54" i="273"/>
  <c r="CL50" i="273" s="1"/>
  <c r="CK54" i="273"/>
  <c r="CJ54" i="273"/>
  <c r="CJ50" i="273" s="1"/>
  <c r="CI54" i="273"/>
  <c r="CH54" i="273"/>
  <c r="CG54" i="273"/>
  <c r="CG50" i="273" s="1"/>
  <c r="CF54" i="273"/>
  <c r="CF50" i="273" s="1"/>
  <c r="CE54" i="273"/>
  <c r="CE50" i="273" s="1"/>
  <c r="CD54" i="273"/>
  <c r="CD50" i="273" s="1"/>
  <c r="CC54" i="273"/>
  <c r="CC50" i="273" s="1"/>
  <c r="CB54" i="273"/>
  <c r="CB50" i="273" s="1"/>
  <c r="CA54" i="273"/>
  <c r="CA50" i="273" s="1"/>
  <c r="BZ54" i="273"/>
  <c r="BZ50" i="273" s="1"/>
  <c r="BY54" i="273"/>
  <c r="BX54" i="273"/>
  <c r="BX50" i="273" s="1"/>
  <c r="BW54" i="273"/>
  <c r="BV54" i="273"/>
  <c r="BU54" i="273"/>
  <c r="BT54" i="273"/>
  <c r="BT50" i="273" s="1"/>
  <c r="BS54" i="273"/>
  <c r="BS50" i="273" s="1"/>
  <c r="BR54" i="273"/>
  <c r="BR50" i="273" s="1"/>
  <c r="BQ54" i="273"/>
  <c r="BP54" i="273"/>
  <c r="BP50" i="273" s="1"/>
  <c r="BO54" i="273"/>
  <c r="BO50" i="273" s="1"/>
  <c r="BN54" i="273"/>
  <c r="BN50" i="273" s="1"/>
  <c r="BM54" i="273"/>
  <c r="BL54" i="273"/>
  <c r="BL50" i="273" s="1"/>
  <c r="BK54" i="273"/>
  <c r="BJ54" i="273"/>
  <c r="BI54" i="273"/>
  <c r="BI50" i="273" s="1"/>
  <c r="BH54" i="273"/>
  <c r="BH50" i="273" s="1"/>
  <c r="BG54" i="273"/>
  <c r="BG50" i="273" s="1"/>
  <c r="BF54" i="273"/>
  <c r="BF50" i="273" s="1"/>
  <c r="BE54" i="273"/>
  <c r="BD54" i="273"/>
  <c r="BD50" i="273" s="1"/>
  <c r="BC54" i="273"/>
  <c r="BC50" i="273" s="1"/>
  <c r="BB54" i="273"/>
  <c r="BB50" i="273" s="1"/>
  <c r="BA54" i="273"/>
  <c r="AZ54" i="273"/>
  <c r="AZ50" i="273" s="1"/>
  <c r="AY54" i="273"/>
  <c r="AX54" i="273"/>
  <c r="AW54" i="273"/>
  <c r="AV54" i="273"/>
  <c r="AV50" i="273" s="1"/>
  <c r="AU54" i="273"/>
  <c r="AU50" i="273" s="1"/>
  <c r="AT54" i="273"/>
  <c r="AT50" i="273" s="1"/>
  <c r="AS54" i="273"/>
  <c r="AR54" i="273"/>
  <c r="AQ54" i="273"/>
  <c r="AQ50" i="273" s="1"/>
  <c r="AP54" i="273"/>
  <c r="AO54" i="273"/>
  <c r="AN54" i="273"/>
  <c r="AN50" i="273" s="1"/>
  <c r="AM54" i="273"/>
  <c r="AM50" i="273" s="1"/>
  <c r="AL54" i="273"/>
  <c r="AK54" i="273"/>
  <c r="AK50" i="273" s="1"/>
  <c r="AJ54" i="273"/>
  <c r="AJ50" i="273" s="1"/>
  <c r="AI54" i="273"/>
  <c r="AI50" i="273" s="1"/>
  <c r="AH54" i="273"/>
  <c r="AH50" i="273" s="1"/>
  <c r="AG54" i="273"/>
  <c r="AF54" i="273"/>
  <c r="AF50" i="273" s="1"/>
  <c r="AE54" i="273"/>
  <c r="AE50" i="273" s="1"/>
  <c r="AD54" i="273"/>
  <c r="AD50" i="273" s="1"/>
  <c r="AC54" i="273"/>
  <c r="AB54" i="273"/>
  <c r="AB50" i="273" s="1"/>
  <c r="AA54" i="273"/>
  <c r="Z54" i="273"/>
  <c r="Y54" i="273"/>
  <c r="X54" i="273"/>
  <c r="X50" i="273" s="1"/>
  <c r="W54" i="273"/>
  <c r="W50" i="273" s="1"/>
  <c r="V54" i="273"/>
  <c r="V50" i="273" s="1"/>
  <c r="U54" i="273"/>
  <c r="T54" i="273"/>
  <c r="S54" i="273"/>
  <c r="S50" i="273" s="1"/>
  <c r="R54" i="273"/>
  <c r="R50" i="273" s="1"/>
  <c r="Q54" i="273"/>
  <c r="Q50" i="273" s="1"/>
  <c r="P54" i="273"/>
  <c r="P50" i="273" s="1"/>
  <c r="O54" i="273"/>
  <c r="N54" i="273"/>
  <c r="M54" i="273"/>
  <c r="L54" i="273"/>
  <c r="L50" i="273" s="1"/>
  <c r="K54" i="273"/>
  <c r="K50" i="273" s="1"/>
  <c r="J54" i="273"/>
  <c r="J50" i="273" s="1"/>
  <c r="I54" i="273"/>
  <c r="H54" i="273"/>
  <c r="G54" i="273"/>
  <c r="G50" i="273" s="1"/>
  <c r="F54" i="273"/>
  <c r="E54" i="273"/>
  <c r="D54" i="273"/>
  <c r="D50" i="273" s="1"/>
  <c r="C54" i="273"/>
  <c r="B54" i="273"/>
  <c r="HQ50" i="273"/>
  <c r="HP50" i="273"/>
  <c r="HN50" i="273"/>
  <c r="HM50" i="273"/>
  <c r="HI50" i="273"/>
  <c r="HD50" i="273"/>
  <c r="HB50" i="273"/>
  <c r="HA50" i="273"/>
  <c r="GW50" i="273"/>
  <c r="GS50" i="273"/>
  <c r="GP50" i="273"/>
  <c r="GO50" i="273"/>
  <c r="GD50" i="273"/>
  <c r="FZ50" i="273"/>
  <c r="FY50" i="273"/>
  <c r="FU50" i="273"/>
  <c r="FQ50" i="273"/>
  <c r="FO50" i="273"/>
  <c r="FN50" i="273"/>
  <c r="FI50" i="273"/>
  <c r="FE50" i="273"/>
  <c r="FC50" i="273"/>
  <c r="FB50" i="273"/>
  <c r="FA50" i="273"/>
  <c r="EW50" i="273"/>
  <c r="EV50" i="273"/>
  <c r="ET50" i="273"/>
  <c r="ES50" i="273"/>
  <c r="EP50" i="273"/>
  <c r="EK50" i="273"/>
  <c r="EG50" i="273"/>
  <c r="EE50" i="273"/>
  <c r="ED50" i="273"/>
  <c r="EC50" i="273"/>
  <c r="DY50" i="273"/>
  <c r="DX50" i="273"/>
  <c r="DS50" i="273"/>
  <c r="DR50" i="273"/>
  <c r="DQ50" i="273"/>
  <c r="DM50" i="273"/>
  <c r="DL50" i="273"/>
  <c r="DJ50" i="273"/>
  <c r="DI50" i="273"/>
  <c r="DG50" i="273"/>
  <c r="DF50" i="273"/>
  <c r="DE50" i="273"/>
  <c r="CW50" i="273"/>
  <c r="CT50" i="273"/>
  <c r="CS50" i="273"/>
  <c r="CO50" i="273"/>
  <c r="CN50" i="273"/>
  <c r="CK50" i="273"/>
  <c r="CI50" i="273"/>
  <c r="CH50" i="273"/>
  <c r="BY50" i="273"/>
  <c r="BW50" i="273"/>
  <c r="BV50" i="273"/>
  <c r="BU50" i="273"/>
  <c r="BQ50" i="273"/>
  <c r="BM50" i="273"/>
  <c r="BK50" i="273"/>
  <c r="BJ50" i="273"/>
  <c r="BE50" i="273"/>
  <c r="BA50" i="273"/>
  <c r="AY50" i="273"/>
  <c r="AX50" i="273"/>
  <c r="AW50" i="273"/>
  <c r="AS50" i="273"/>
  <c r="AR50" i="273"/>
  <c r="AP50" i="273"/>
  <c r="AO50" i="273"/>
  <c r="AL50" i="273"/>
  <c r="AG50" i="273"/>
  <c r="AC50" i="273"/>
  <c r="AA50" i="273"/>
  <c r="Z50" i="273"/>
  <c r="Y50" i="273"/>
  <c r="U50" i="273"/>
  <c r="T50" i="273"/>
  <c r="O50" i="273"/>
  <c r="N50" i="273"/>
  <c r="M50" i="273"/>
  <c r="I50" i="273"/>
  <c r="H50" i="273"/>
  <c r="F50" i="273"/>
  <c r="E50" i="273"/>
  <c r="C50" i="273"/>
  <c r="B50" i="273"/>
  <c r="HQ36" i="273"/>
  <c r="HP36" i="273"/>
  <c r="HO36" i="273"/>
  <c r="HN36" i="273"/>
  <c r="HM36" i="273"/>
  <c r="HL36" i="273"/>
  <c r="HK36" i="273"/>
  <c r="HJ36" i="273"/>
  <c r="HI36" i="273"/>
  <c r="HH36" i="273"/>
  <c r="HG36" i="273"/>
  <c r="HF36" i="273"/>
  <c r="HE36" i="273"/>
  <c r="HD36" i="273"/>
  <c r="HC36" i="273"/>
  <c r="HB36" i="273"/>
  <c r="HA36" i="273"/>
  <c r="GZ36" i="273"/>
  <c r="GY36" i="273"/>
  <c r="GX36" i="273"/>
  <c r="GW36" i="273"/>
  <c r="GV36" i="273"/>
  <c r="GU36" i="273"/>
  <c r="GT36" i="273"/>
  <c r="GS36" i="273"/>
  <c r="GR36" i="273"/>
  <c r="GQ36" i="273"/>
  <c r="GP36" i="273"/>
  <c r="GO36" i="273"/>
  <c r="GN36" i="273"/>
  <c r="GM36" i="273"/>
  <c r="GL36" i="273"/>
  <c r="GK36" i="273"/>
  <c r="GJ36" i="273"/>
  <c r="GI36" i="273"/>
  <c r="GH36" i="273"/>
  <c r="GG36" i="273"/>
  <c r="GF36" i="273"/>
  <c r="GE36" i="273"/>
  <c r="GD36" i="273"/>
  <c r="GC36" i="273"/>
  <c r="GB36" i="273"/>
  <c r="GA36" i="273"/>
  <c r="FZ36" i="273"/>
  <c r="FY36" i="273"/>
  <c r="FX36" i="273"/>
  <c r="FW36" i="273"/>
  <c r="FV36" i="273"/>
  <c r="FU36" i="273"/>
  <c r="FT36" i="273"/>
  <c r="FS36" i="273"/>
  <c r="FR36" i="273"/>
  <c r="FR23" i="273" s="1"/>
  <c r="FQ36" i="273"/>
  <c r="FQ23" i="273" s="1"/>
  <c r="FP36" i="273"/>
  <c r="FP23" i="273" s="1"/>
  <c r="FP18" i="273" s="1"/>
  <c r="FP11" i="273" s="1"/>
  <c r="FP60" i="273" s="1"/>
  <c r="FO36" i="273"/>
  <c r="FN36" i="273"/>
  <c r="FM36" i="273"/>
  <c r="FL36" i="273"/>
  <c r="FK36" i="273"/>
  <c r="FJ36" i="273"/>
  <c r="FI36" i="273"/>
  <c r="FH36" i="273"/>
  <c r="FG36" i="273"/>
  <c r="FF36" i="273"/>
  <c r="FF23" i="273" s="1"/>
  <c r="FE36" i="273"/>
  <c r="FD36" i="273"/>
  <c r="FD23" i="273" s="1"/>
  <c r="FC36" i="273"/>
  <c r="FB36" i="273"/>
  <c r="FA36" i="273"/>
  <c r="EZ36" i="273"/>
  <c r="EY36" i="273"/>
  <c r="EX36" i="273"/>
  <c r="EW36" i="273"/>
  <c r="EV36" i="273"/>
  <c r="EU36" i="273"/>
  <c r="ET36" i="273"/>
  <c r="ES36" i="273"/>
  <c r="ER36" i="273"/>
  <c r="EQ36" i="273"/>
  <c r="EP36" i="273"/>
  <c r="EO36" i="273"/>
  <c r="EO23" i="273" s="1"/>
  <c r="EN36" i="273"/>
  <c r="EM36" i="273"/>
  <c r="EL36" i="273"/>
  <c r="EK36" i="273"/>
  <c r="EJ36" i="273"/>
  <c r="EI36" i="273"/>
  <c r="EH36" i="273"/>
  <c r="EH23" i="273" s="1"/>
  <c r="EG36" i="273"/>
  <c r="EF36" i="273"/>
  <c r="EE36" i="273"/>
  <c r="ED36" i="273"/>
  <c r="EC36" i="273"/>
  <c r="EC23" i="273" s="1"/>
  <c r="EB36" i="273"/>
  <c r="EA36" i="273"/>
  <c r="DZ36" i="273"/>
  <c r="DY36" i="273"/>
  <c r="DX36" i="273"/>
  <c r="DW36" i="273"/>
  <c r="DV36" i="273"/>
  <c r="DV23" i="273" s="1"/>
  <c r="DU36" i="273"/>
  <c r="DU23" i="273" s="1"/>
  <c r="DT36" i="273"/>
  <c r="DT23" i="273" s="1"/>
  <c r="DS36" i="273"/>
  <c r="DR36" i="273"/>
  <c r="DQ36" i="273"/>
  <c r="DP36" i="273"/>
  <c r="DO36" i="273"/>
  <c r="DN36" i="273"/>
  <c r="DM36" i="273"/>
  <c r="DL36" i="273"/>
  <c r="DK36" i="273"/>
  <c r="DJ36" i="273"/>
  <c r="DI36" i="273"/>
  <c r="DH36" i="273"/>
  <c r="DG36" i="273"/>
  <c r="DF36" i="273"/>
  <c r="DE36" i="273"/>
  <c r="DD36" i="273"/>
  <c r="DC36" i="273"/>
  <c r="DC23" i="273" s="1"/>
  <c r="DB36" i="273"/>
  <c r="DA36" i="273"/>
  <c r="CZ36" i="273"/>
  <c r="CY36" i="273"/>
  <c r="CX36" i="273"/>
  <c r="CW36" i="273"/>
  <c r="CV36" i="273"/>
  <c r="CU36" i="273"/>
  <c r="CT36" i="273"/>
  <c r="CS36" i="273"/>
  <c r="CR36" i="273"/>
  <c r="CQ36" i="273"/>
  <c r="CP36" i="273"/>
  <c r="CO36" i="273"/>
  <c r="CN36" i="273"/>
  <c r="CM36" i="273"/>
  <c r="CL36" i="273"/>
  <c r="CL23" i="273" s="1"/>
  <c r="CK36" i="273"/>
  <c r="CJ36" i="273"/>
  <c r="CJ23" i="273" s="1"/>
  <c r="CJ18" i="273" s="1"/>
  <c r="CJ11" i="273" s="1"/>
  <c r="CJ60" i="273" s="1"/>
  <c r="CI36" i="273"/>
  <c r="CH36" i="273"/>
  <c r="CG36" i="273"/>
  <c r="CF36" i="273"/>
  <c r="CE36" i="273"/>
  <c r="CD36" i="273"/>
  <c r="CC36" i="273"/>
  <c r="CB36" i="273"/>
  <c r="CA36" i="273"/>
  <c r="BZ36" i="273"/>
  <c r="BY36" i="273"/>
  <c r="BX36" i="273"/>
  <c r="BW36" i="273"/>
  <c r="BV36" i="273"/>
  <c r="BU36" i="273"/>
  <c r="BU23" i="273" s="1"/>
  <c r="BT36" i="273"/>
  <c r="BS36" i="273"/>
  <c r="BR36" i="273"/>
  <c r="BQ36" i="273"/>
  <c r="BP36" i="273"/>
  <c r="BO36" i="273"/>
  <c r="BN36" i="273"/>
  <c r="BM36" i="273"/>
  <c r="BL36" i="273"/>
  <c r="BK36" i="273"/>
  <c r="BJ36" i="273"/>
  <c r="BI36" i="273"/>
  <c r="BH36" i="273"/>
  <c r="BG36" i="273"/>
  <c r="BF36" i="273"/>
  <c r="BE36" i="273"/>
  <c r="BD36" i="273"/>
  <c r="BC36" i="273"/>
  <c r="BB36" i="273"/>
  <c r="BB23" i="273" s="1"/>
  <c r="BA36" i="273"/>
  <c r="BA23" i="273" s="1"/>
  <c r="AZ36" i="273"/>
  <c r="AZ23" i="273" s="1"/>
  <c r="AZ18" i="273" s="1"/>
  <c r="AZ11" i="273" s="1"/>
  <c r="AZ60" i="273" s="1"/>
  <c r="AY36" i="273"/>
  <c r="AX36" i="273"/>
  <c r="AW36" i="273"/>
  <c r="AW23" i="273" s="1"/>
  <c r="AV36" i="273"/>
  <c r="AU36" i="273"/>
  <c r="AT36" i="273"/>
  <c r="AS36" i="273"/>
  <c r="AR36" i="273"/>
  <c r="AQ36" i="273"/>
  <c r="AP36" i="273"/>
  <c r="AO36" i="273"/>
  <c r="AO23" i="273" s="1"/>
  <c r="AN36" i="273"/>
  <c r="AM36" i="273"/>
  <c r="AL36" i="273"/>
  <c r="AK36" i="273"/>
  <c r="AJ36" i="273"/>
  <c r="AI36" i="273"/>
  <c r="AH36" i="273"/>
  <c r="AG36" i="273"/>
  <c r="AF36" i="273"/>
  <c r="AE36" i="273"/>
  <c r="AD36" i="273"/>
  <c r="AD23" i="273" s="1"/>
  <c r="AC36" i="273"/>
  <c r="AC23" i="273" s="1"/>
  <c r="AB36" i="273"/>
  <c r="AB23" i="273" s="1"/>
  <c r="AA36" i="273"/>
  <c r="Z36" i="273"/>
  <c r="Y36" i="273"/>
  <c r="X36" i="273"/>
  <c r="W36" i="273"/>
  <c r="V36" i="273"/>
  <c r="U36" i="273"/>
  <c r="T36" i="273"/>
  <c r="S36" i="273"/>
  <c r="R36" i="273"/>
  <c r="R23" i="273" s="1"/>
  <c r="Q36" i="273"/>
  <c r="P36" i="273"/>
  <c r="P23" i="273" s="1"/>
  <c r="O36" i="273"/>
  <c r="N36" i="273"/>
  <c r="M36" i="273"/>
  <c r="L36" i="273"/>
  <c r="K36" i="273"/>
  <c r="J36" i="273"/>
  <c r="I36" i="273"/>
  <c r="H36" i="273"/>
  <c r="G36" i="273"/>
  <c r="F36" i="273"/>
  <c r="E36" i="273"/>
  <c r="D36" i="273"/>
  <c r="C36" i="273"/>
  <c r="B36" i="273"/>
  <c r="GA27" i="273"/>
  <c r="GA26" i="273"/>
  <c r="HQ24" i="273"/>
  <c r="HP24" i="273"/>
  <c r="HP23" i="273" s="1"/>
  <c r="HO24" i="273"/>
  <c r="HO23" i="273" s="1"/>
  <c r="HN24" i="273"/>
  <c r="HM24" i="273"/>
  <c r="HM23" i="273" s="1"/>
  <c r="HL24" i="273"/>
  <c r="HL23" i="273" s="1"/>
  <c r="HL18" i="273" s="1"/>
  <c r="HL11" i="273" s="1"/>
  <c r="HL60" i="273" s="1"/>
  <c r="HK24" i="273"/>
  <c r="HK23" i="273" s="1"/>
  <c r="HK18" i="273" s="1"/>
  <c r="HK11" i="273" s="1"/>
  <c r="HJ24" i="273"/>
  <c r="HJ23" i="273" s="1"/>
  <c r="HI24" i="273"/>
  <c r="HI23" i="273" s="1"/>
  <c r="HH24" i="273"/>
  <c r="HH23" i="273" s="1"/>
  <c r="HH18" i="273" s="1"/>
  <c r="HH11" i="273" s="1"/>
  <c r="HH60" i="273" s="1"/>
  <c r="HG24" i="273"/>
  <c r="HG23" i="273" s="1"/>
  <c r="HG18" i="273" s="1"/>
  <c r="HF24" i="273"/>
  <c r="HE24" i="273"/>
  <c r="HD24" i="273"/>
  <c r="HD23" i="273" s="1"/>
  <c r="HC24" i="273"/>
  <c r="HC23" i="273" s="1"/>
  <c r="HB24" i="273"/>
  <c r="HA24" i="273"/>
  <c r="GZ24" i="273"/>
  <c r="GZ23" i="273" s="1"/>
  <c r="GZ18" i="273" s="1"/>
  <c r="GZ11" i="273" s="1"/>
  <c r="GZ60" i="273" s="1"/>
  <c r="GY24" i="273"/>
  <c r="GY23" i="273" s="1"/>
  <c r="GY18" i="273" s="1"/>
  <c r="GY11" i="273" s="1"/>
  <c r="GX24" i="273"/>
  <c r="GW24" i="273"/>
  <c r="GV24" i="273"/>
  <c r="GV23" i="273" s="1"/>
  <c r="GV18" i="273" s="1"/>
  <c r="GV11" i="273" s="1"/>
  <c r="GV60" i="273" s="1"/>
  <c r="GU24" i="273"/>
  <c r="GT24" i="273"/>
  <c r="GS24" i="273"/>
  <c r="GR24" i="273"/>
  <c r="GR23" i="273" s="1"/>
  <c r="GQ24" i="273"/>
  <c r="GQ23" i="273" s="1"/>
  <c r="GP24" i="273"/>
  <c r="GP23" i="273" s="1"/>
  <c r="GO24" i="273"/>
  <c r="GO23" i="273" s="1"/>
  <c r="GN24" i="273"/>
  <c r="GN23" i="273" s="1"/>
  <c r="GN18" i="273" s="1"/>
  <c r="GN11" i="273" s="1"/>
  <c r="GN60" i="273" s="1"/>
  <c r="GM24" i="273"/>
  <c r="GM23" i="273" s="1"/>
  <c r="GM18" i="273" s="1"/>
  <c r="GM11" i="273" s="1"/>
  <c r="GL24" i="273"/>
  <c r="GL23" i="273" s="1"/>
  <c r="GK24" i="273"/>
  <c r="GK23" i="273" s="1"/>
  <c r="GJ24" i="273"/>
  <c r="GJ23" i="273" s="1"/>
  <c r="GI24" i="273"/>
  <c r="GI23" i="273" s="1"/>
  <c r="GH24" i="273"/>
  <c r="GG24" i="273"/>
  <c r="GF24" i="273"/>
  <c r="GF23" i="273" s="1"/>
  <c r="GE24" i="273"/>
  <c r="GE23" i="273" s="1"/>
  <c r="GD24" i="273"/>
  <c r="GC24" i="273"/>
  <c r="GC23" i="273" s="1"/>
  <c r="GB24" i="273"/>
  <c r="GB23" i="273" s="1"/>
  <c r="GB18" i="273" s="1"/>
  <c r="GB11" i="273" s="1"/>
  <c r="GB60" i="273" s="1"/>
  <c r="FZ24" i="273"/>
  <c r="FZ23" i="273" s="1"/>
  <c r="FY24" i="273"/>
  <c r="FX24" i="273"/>
  <c r="FW24" i="273"/>
  <c r="FW23" i="273" s="1"/>
  <c r="FV24" i="273"/>
  <c r="FV23" i="273" s="1"/>
  <c r="FU24" i="273"/>
  <c r="FT24" i="273"/>
  <c r="FS24" i="273"/>
  <c r="FS23" i="273" s="1"/>
  <c r="FS18" i="273" s="1"/>
  <c r="FR24" i="273"/>
  <c r="FQ24" i="273"/>
  <c r="FP24" i="273"/>
  <c r="FO24" i="273"/>
  <c r="FN24" i="273"/>
  <c r="FN23" i="273" s="1"/>
  <c r="FM24" i="273"/>
  <c r="FL24" i="273"/>
  <c r="FK24" i="273"/>
  <c r="FK23" i="273" s="1"/>
  <c r="FJ24" i="273"/>
  <c r="FJ23" i="273" s="1"/>
  <c r="FI24" i="273"/>
  <c r="FH24" i="273"/>
  <c r="FG24" i="273"/>
  <c r="FG23" i="273" s="1"/>
  <c r="FG18" i="273" s="1"/>
  <c r="FF24" i="273"/>
  <c r="FE24" i="273"/>
  <c r="FD24" i="273"/>
  <c r="FC24" i="273"/>
  <c r="FB24" i="273"/>
  <c r="FB23" i="273" s="1"/>
  <c r="FA24" i="273"/>
  <c r="FA23" i="273" s="1"/>
  <c r="EZ24" i="273"/>
  <c r="EY24" i="273"/>
  <c r="EY23" i="273" s="1"/>
  <c r="EY18" i="273" s="1"/>
  <c r="EX24" i="273"/>
  <c r="EX23" i="273" s="1"/>
  <c r="EW24" i="273"/>
  <c r="EV24" i="273"/>
  <c r="EU24" i="273"/>
  <c r="EU23" i="273" s="1"/>
  <c r="EU18" i="273" s="1"/>
  <c r="ET24" i="273"/>
  <c r="ES24" i="273"/>
  <c r="ER24" i="273"/>
  <c r="EQ24" i="273"/>
  <c r="EP24" i="273"/>
  <c r="EO24" i="273"/>
  <c r="EN24" i="273"/>
  <c r="EM24" i="273"/>
  <c r="EM23" i="273" s="1"/>
  <c r="EL24" i="273"/>
  <c r="EL23" i="273" s="1"/>
  <c r="EK24" i="273"/>
  <c r="EJ24" i="273"/>
  <c r="EI24" i="273"/>
  <c r="EI23" i="273" s="1"/>
  <c r="EI18" i="273" s="1"/>
  <c r="EH24" i="273"/>
  <c r="EG24" i="273"/>
  <c r="EG23" i="273" s="1"/>
  <c r="EF24" i="273"/>
  <c r="EF23" i="273" s="1"/>
  <c r="EF18" i="273" s="1"/>
  <c r="EE24" i="273"/>
  <c r="ED24" i="273"/>
  <c r="ED23" i="273" s="1"/>
  <c r="ED18" i="273" s="1"/>
  <c r="EC24" i="273"/>
  <c r="EB24" i="273"/>
  <c r="EA24" i="273"/>
  <c r="EA23" i="273" s="1"/>
  <c r="DZ24" i="273"/>
  <c r="DZ23" i="273" s="1"/>
  <c r="DY24" i="273"/>
  <c r="DX24" i="273"/>
  <c r="DW24" i="273"/>
  <c r="DW23" i="273" s="1"/>
  <c r="DW18" i="273" s="1"/>
  <c r="DV24" i="273"/>
  <c r="DU24" i="273"/>
  <c r="DT24" i="273"/>
  <c r="DS24" i="273"/>
  <c r="DR24" i="273"/>
  <c r="DR23" i="273" s="1"/>
  <c r="DQ24" i="273"/>
  <c r="DP24" i="273"/>
  <c r="DO24" i="273"/>
  <c r="DN24" i="273"/>
  <c r="DN23" i="273" s="1"/>
  <c r="DM24" i="273"/>
  <c r="DM23" i="273" s="1"/>
  <c r="DL24" i="273"/>
  <c r="DK24" i="273"/>
  <c r="DK23" i="273" s="1"/>
  <c r="DK18" i="273" s="1"/>
  <c r="DJ24" i="273"/>
  <c r="DI24" i="273"/>
  <c r="DI23" i="273" s="1"/>
  <c r="DH24" i="273"/>
  <c r="DG24" i="273"/>
  <c r="DF24" i="273"/>
  <c r="DF23" i="273" s="1"/>
  <c r="DE24" i="273"/>
  <c r="DD24" i="273"/>
  <c r="DC24" i="273"/>
  <c r="DB24" i="273"/>
  <c r="DA24" i="273"/>
  <c r="CZ24" i="273"/>
  <c r="CY24" i="273"/>
  <c r="CY23" i="273" s="1"/>
  <c r="CY18" i="273" s="1"/>
  <c r="CX24" i="273"/>
  <c r="CW24" i="273"/>
  <c r="CV24" i="273"/>
  <c r="CU24" i="273"/>
  <c r="CT24" i="273"/>
  <c r="CT23" i="273" s="1"/>
  <c r="CT18" i="273" s="1"/>
  <c r="CS24" i="273"/>
  <c r="CS23" i="273" s="1"/>
  <c r="CR24" i="273"/>
  <c r="CQ24" i="273"/>
  <c r="CQ23" i="273" s="1"/>
  <c r="CP24" i="273"/>
  <c r="CP23" i="273" s="1"/>
  <c r="CO24" i="273"/>
  <c r="CN24" i="273"/>
  <c r="CM24" i="273"/>
  <c r="CM23" i="273" s="1"/>
  <c r="CM18" i="273" s="1"/>
  <c r="CL24" i="273"/>
  <c r="CK24" i="273"/>
  <c r="CJ24" i="273"/>
  <c r="CI24" i="273"/>
  <c r="CH24" i="273"/>
  <c r="CH23" i="273" s="1"/>
  <c r="CG24" i="273"/>
  <c r="CF24" i="273"/>
  <c r="CE24" i="273"/>
  <c r="CE23" i="273" s="1"/>
  <c r="CD24" i="273"/>
  <c r="CD23" i="273" s="1"/>
  <c r="CC24" i="273"/>
  <c r="CB24" i="273"/>
  <c r="CA24" i="273"/>
  <c r="CA23" i="273" s="1"/>
  <c r="CA18" i="273" s="1"/>
  <c r="BZ24" i="273"/>
  <c r="BY24" i="273"/>
  <c r="BY23" i="273" s="1"/>
  <c r="BX24" i="273"/>
  <c r="BW24" i="273"/>
  <c r="BV24" i="273"/>
  <c r="BV23" i="273" s="1"/>
  <c r="BU24" i="273"/>
  <c r="BT24" i="273"/>
  <c r="BS24" i="273"/>
  <c r="BS23" i="273" s="1"/>
  <c r="BS18" i="273" s="1"/>
  <c r="BS11" i="273" s="1"/>
  <c r="BS60" i="273" s="1"/>
  <c r="BR24" i="273"/>
  <c r="BR23" i="273" s="1"/>
  <c r="BQ24" i="273"/>
  <c r="BP24" i="273"/>
  <c r="BO24" i="273"/>
  <c r="BO23" i="273" s="1"/>
  <c r="BO18" i="273" s="1"/>
  <c r="BN24" i="273"/>
  <c r="BM24" i="273"/>
  <c r="BL24" i="273"/>
  <c r="BL23" i="273" s="1"/>
  <c r="BK24" i="273"/>
  <c r="BJ24" i="273"/>
  <c r="BJ23" i="273" s="1"/>
  <c r="BJ18" i="273" s="1"/>
  <c r="BI24" i="273"/>
  <c r="BH24" i="273"/>
  <c r="BG24" i="273"/>
  <c r="BF24" i="273"/>
  <c r="BF23" i="273" s="1"/>
  <c r="BE24" i="273"/>
  <c r="BE23" i="273" s="1"/>
  <c r="BD24" i="273"/>
  <c r="BC24" i="273"/>
  <c r="BC23" i="273" s="1"/>
  <c r="BC18" i="273" s="1"/>
  <c r="BB24" i="273"/>
  <c r="BA24" i="273"/>
  <c r="AZ24" i="273"/>
  <c r="AY24" i="273"/>
  <c r="AX24" i="273"/>
  <c r="AX23" i="273" s="1"/>
  <c r="AW24" i="273"/>
  <c r="AV24" i="273"/>
  <c r="AU24" i="273"/>
  <c r="AU23" i="273" s="1"/>
  <c r="AU18" i="273" s="1"/>
  <c r="AU11" i="273" s="1"/>
  <c r="AU60" i="273" s="1"/>
  <c r="AT24" i="273"/>
  <c r="AT23" i="273" s="1"/>
  <c r="AS24" i="273"/>
  <c r="AR24" i="273"/>
  <c r="AQ24" i="273"/>
  <c r="AQ23" i="273" s="1"/>
  <c r="AQ18" i="273" s="1"/>
  <c r="AP24" i="273"/>
  <c r="AO24" i="273"/>
  <c r="AN24" i="273"/>
  <c r="AM24" i="273"/>
  <c r="AL24" i="273"/>
  <c r="AL23" i="273" s="1"/>
  <c r="AK24" i="273"/>
  <c r="AJ24" i="273"/>
  <c r="AI24" i="273"/>
  <c r="AH24" i="273"/>
  <c r="AH23" i="273" s="1"/>
  <c r="AG24" i="273"/>
  <c r="AF24" i="273"/>
  <c r="AE24" i="273"/>
  <c r="AE23" i="273" s="1"/>
  <c r="AE18" i="273" s="1"/>
  <c r="AD24" i="273"/>
  <c r="AC24" i="273"/>
  <c r="AB24" i="273"/>
  <c r="AA24" i="273"/>
  <c r="Z24" i="273"/>
  <c r="Z23" i="273" s="1"/>
  <c r="Y24" i="273"/>
  <c r="X24" i="273"/>
  <c r="W24" i="273"/>
  <c r="V24" i="273"/>
  <c r="V23" i="273" s="1"/>
  <c r="U24" i="273"/>
  <c r="T24" i="273"/>
  <c r="S24" i="273"/>
  <c r="S23" i="273" s="1"/>
  <c r="S18" i="273" s="1"/>
  <c r="R24" i="273"/>
  <c r="Q24" i="273"/>
  <c r="P24" i="273"/>
  <c r="O24" i="273"/>
  <c r="N24" i="273"/>
  <c r="N23" i="273" s="1"/>
  <c r="M24" i="273"/>
  <c r="M23" i="273" s="1"/>
  <c r="L24" i="273"/>
  <c r="K24" i="273"/>
  <c r="J24" i="273"/>
  <c r="J23" i="273" s="1"/>
  <c r="I24" i="273"/>
  <c r="H24" i="273"/>
  <c r="G24" i="273"/>
  <c r="G23" i="273" s="1"/>
  <c r="G18" i="273" s="1"/>
  <c r="F24" i="273"/>
  <c r="E24" i="273"/>
  <c r="D24" i="273"/>
  <c r="C24" i="273"/>
  <c r="C23" i="273" s="1"/>
  <c r="C18" i="273" s="1"/>
  <c r="C11" i="273" s="1"/>
  <c r="C60" i="273" s="1"/>
  <c r="B24" i="273"/>
  <c r="HQ23" i="273"/>
  <c r="HN23" i="273"/>
  <c r="HF23" i="273"/>
  <c r="HE23" i="273"/>
  <c r="HB23" i="273"/>
  <c r="HA23" i="273"/>
  <c r="GX23" i="273"/>
  <c r="GW23" i="273"/>
  <c r="GU23" i="273"/>
  <c r="GT23" i="273"/>
  <c r="GS23" i="273"/>
  <c r="GH23" i="273"/>
  <c r="GG23" i="273"/>
  <c r="GG18" i="273" s="1"/>
  <c r="GD23" i="273"/>
  <c r="FY23" i="273"/>
  <c r="FU23" i="273"/>
  <c r="FM23" i="273"/>
  <c r="FI23" i="273"/>
  <c r="FE23" i="273"/>
  <c r="EW23" i="273"/>
  <c r="ET23" i="273"/>
  <c r="ES23" i="273"/>
  <c r="EP23" i="273"/>
  <c r="EK23" i="273"/>
  <c r="DY23" i="273"/>
  <c r="DQ23" i="273"/>
  <c r="DO23" i="273"/>
  <c r="DJ23" i="273"/>
  <c r="DE23" i="273"/>
  <c r="DB23" i="273"/>
  <c r="DA23" i="273"/>
  <c r="CX23" i="273"/>
  <c r="CW23" i="273"/>
  <c r="CV23" i="273"/>
  <c r="CO23" i="273"/>
  <c r="CK23" i="273"/>
  <c r="CG23" i="273"/>
  <c r="CC23" i="273"/>
  <c r="BZ23" i="273"/>
  <c r="BQ23" i="273"/>
  <c r="BN23" i="273"/>
  <c r="BM23" i="273"/>
  <c r="BI23" i="273"/>
  <c r="BG23" i="273"/>
  <c r="AS23" i="273"/>
  <c r="AP23" i="273"/>
  <c r="AK23" i="273"/>
  <c r="AG23" i="273"/>
  <c r="Y23" i="273"/>
  <c r="U23" i="273"/>
  <c r="Q23" i="273"/>
  <c r="I23" i="273"/>
  <c r="F23" i="273"/>
  <c r="E23" i="273"/>
  <c r="B23" i="273"/>
  <c r="GA21" i="273"/>
  <c r="GA20" i="273"/>
  <c r="GA19" i="273" s="1"/>
  <c r="HQ19" i="273"/>
  <c r="HP19" i="273"/>
  <c r="HO19" i="273"/>
  <c r="HN19" i="273"/>
  <c r="HM19" i="273"/>
  <c r="HL19" i="273"/>
  <c r="HK19" i="273"/>
  <c r="HJ19" i="273"/>
  <c r="HJ18" i="273" s="1"/>
  <c r="HI19" i="273"/>
  <c r="HH19" i="273"/>
  <c r="HG19" i="273"/>
  <c r="HF19" i="273"/>
  <c r="HF18" i="273" s="1"/>
  <c r="HF11" i="273" s="1"/>
  <c r="HE19" i="273"/>
  <c r="HD19" i="273"/>
  <c r="HC19" i="273"/>
  <c r="HB19" i="273"/>
  <c r="HA19" i="273"/>
  <c r="GZ19" i="273"/>
  <c r="GY19" i="273"/>
  <c r="GX19" i="273"/>
  <c r="GW19" i="273"/>
  <c r="GV19" i="273"/>
  <c r="GU19" i="273"/>
  <c r="GT19" i="273"/>
  <c r="GT18" i="273" s="1"/>
  <c r="GT11" i="273" s="1"/>
  <c r="GS19" i="273"/>
  <c r="GS18" i="273" s="1"/>
  <c r="GR19" i="273"/>
  <c r="GQ19" i="273"/>
  <c r="GP19" i="273"/>
  <c r="GO19" i="273"/>
  <c r="GN19" i="273"/>
  <c r="GM19" i="273"/>
  <c r="GL19" i="273"/>
  <c r="GL18" i="273" s="1"/>
  <c r="GK19" i="273"/>
  <c r="GJ19" i="273"/>
  <c r="GJ18" i="273" s="1"/>
  <c r="GJ11" i="273" s="1"/>
  <c r="GJ60" i="273" s="1"/>
  <c r="GI19" i="273"/>
  <c r="GH19" i="273"/>
  <c r="GH18" i="273" s="1"/>
  <c r="GH11" i="273" s="1"/>
  <c r="GH60" i="273" s="1"/>
  <c r="GG19" i="273"/>
  <c r="GF19" i="273"/>
  <c r="GE19" i="273"/>
  <c r="GD19" i="273"/>
  <c r="GC19" i="273"/>
  <c r="GB19" i="273"/>
  <c r="FZ19" i="273"/>
  <c r="FY19" i="273"/>
  <c r="FY18" i="273" s="1"/>
  <c r="FX19" i="273"/>
  <c r="FW19" i="273"/>
  <c r="FW18" i="273" s="1"/>
  <c r="FW11" i="273" s="1"/>
  <c r="FV19" i="273"/>
  <c r="FU19" i="273"/>
  <c r="FU18" i="273" s="1"/>
  <c r="FT19" i="273"/>
  <c r="FS19" i="273"/>
  <c r="FR19" i="273"/>
  <c r="FQ19" i="273"/>
  <c r="FP19" i="273"/>
  <c r="FO19" i="273"/>
  <c r="FN19" i="273"/>
  <c r="FN18" i="273" s="1"/>
  <c r="FM19" i="273"/>
  <c r="FM18" i="273" s="1"/>
  <c r="FL19" i="273"/>
  <c r="FK19" i="273"/>
  <c r="FK18" i="273" s="1"/>
  <c r="FK11" i="273" s="1"/>
  <c r="FK60" i="273" s="1"/>
  <c r="FJ19" i="273"/>
  <c r="FI19" i="273"/>
  <c r="FI18" i="273" s="1"/>
  <c r="FH19" i="273"/>
  <c r="FG19" i="273"/>
  <c r="FF19" i="273"/>
  <c r="FE19" i="273"/>
  <c r="FD19" i="273"/>
  <c r="FC19" i="273"/>
  <c r="FB19" i="273"/>
  <c r="FB18" i="273" s="1"/>
  <c r="FA19" i="273"/>
  <c r="FA18" i="273" s="1"/>
  <c r="EZ19" i="273"/>
  <c r="EY19" i="273"/>
  <c r="EX19" i="273"/>
  <c r="EW19" i="273"/>
  <c r="EW18" i="273" s="1"/>
  <c r="EV19" i="273"/>
  <c r="EU19" i="273"/>
  <c r="ET19" i="273"/>
  <c r="ES19" i="273"/>
  <c r="ER19" i="273"/>
  <c r="EQ19" i="273"/>
  <c r="EP19" i="273"/>
  <c r="EP18" i="273" s="1"/>
  <c r="EO19" i="273"/>
  <c r="EO18" i="273" s="1"/>
  <c r="EN19" i="273"/>
  <c r="EM19" i="273"/>
  <c r="EL19" i="273"/>
  <c r="EK19" i="273"/>
  <c r="EK18" i="273" s="1"/>
  <c r="EJ19" i="273"/>
  <c r="EI19" i="273"/>
  <c r="EH19" i="273"/>
  <c r="EG19" i="273"/>
  <c r="EF19" i="273"/>
  <c r="EE19" i="273"/>
  <c r="ED19" i="273"/>
  <c r="EC19" i="273"/>
  <c r="EC18" i="273" s="1"/>
  <c r="EB19" i="273"/>
  <c r="EA19" i="273"/>
  <c r="EA18" i="273" s="1"/>
  <c r="EA11" i="273" s="1"/>
  <c r="EA60" i="273" s="1"/>
  <c r="DZ19" i="273"/>
  <c r="DY19" i="273"/>
  <c r="DY18" i="273" s="1"/>
  <c r="DX19" i="273"/>
  <c r="DW19" i="273"/>
  <c r="DV19" i="273"/>
  <c r="DU19" i="273"/>
  <c r="DT19" i="273"/>
  <c r="DS19" i="273"/>
  <c r="DR19" i="273"/>
  <c r="DQ19" i="273"/>
  <c r="DQ18" i="273" s="1"/>
  <c r="DP19" i="273"/>
  <c r="DO19" i="273"/>
  <c r="DO18" i="273" s="1"/>
  <c r="DN19" i="273"/>
  <c r="DM19" i="273"/>
  <c r="DL19" i="273"/>
  <c r="DK19" i="273"/>
  <c r="DJ19" i="273"/>
  <c r="DJ18" i="273" s="1"/>
  <c r="DI19" i="273"/>
  <c r="DH19" i="273"/>
  <c r="DG19" i="273"/>
  <c r="DF19" i="273"/>
  <c r="DF18" i="273" s="1"/>
  <c r="DE19" i="273"/>
  <c r="DE18" i="273" s="1"/>
  <c r="DD19" i="273"/>
  <c r="DC19" i="273"/>
  <c r="DB19" i="273"/>
  <c r="DA19" i="273"/>
  <c r="DA18" i="273" s="1"/>
  <c r="DA11" i="273" s="1"/>
  <c r="CZ19" i="273"/>
  <c r="CY19" i="273"/>
  <c r="CX19" i="273"/>
  <c r="CW19" i="273"/>
  <c r="CV19" i="273"/>
  <c r="CU19" i="273"/>
  <c r="CT19" i="273"/>
  <c r="CS19" i="273"/>
  <c r="CS18" i="273" s="1"/>
  <c r="CR19" i="273"/>
  <c r="CQ19" i="273"/>
  <c r="CQ18" i="273" s="1"/>
  <c r="CQ11" i="273" s="1"/>
  <c r="CQ60" i="273" s="1"/>
  <c r="CP19" i="273"/>
  <c r="CO19" i="273"/>
  <c r="CO18" i="273" s="1"/>
  <c r="CN19" i="273"/>
  <c r="CM19" i="273"/>
  <c r="CL19" i="273"/>
  <c r="CK19" i="273"/>
  <c r="CJ19" i="273"/>
  <c r="CI19" i="273"/>
  <c r="CH19" i="273"/>
  <c r="CG19" i="273"/>
  <c r="CG18" i="273" s="1"/>
  <c r="CF19" i="273"/>
  <c r="CE19" i="273"/>
  <c r="CE18" i="273" s="1"/>
  <c r="CE11" i="273" s="1"/>
  <c r="CE60" i="273" s="1"/>
  <c r="CD19" i="273"/>
  <c r="CC19" i="273"/>
  <c r="CC18" i="273" s="1"/>
  <c r="CB19" i="273"/>
  <c r="CA19" i="273"/>
  <c r="BZ19" i="273"/>
  <c r="BY19" i="273"/>
  <c r="BX19" i="273"/>
  <c r="BW19" i="273"/>
  <c r="BV19" i="273"/>
  <c r="BV18" i="273" s="1"/>
  <c r="BU19" i="273"/>
  <c r="BU18" i="273" s="1"/>
  <c r="BT19" i="273"/>
  <c r="BS19" i="273"/>
  <c r="BR19" i="273"/>
  <c r="BQ19" i="273"/>
  <c r="BQ18" i="273" s="1"/>
  <c r="BP19" i="273"/>
  <c r="BO19" i="273"/>
  <c r="BN19" i="273"/>
  <c r="BM19" i="273"/>
  <c r="BL19" i="273"/>
  <c r="BK19" i="273"/>
  <c r="BJ19" i="273"/>
  <c r="BI19" i="273"/>
  <c r="BI18" i="273" s="1"/>
  <c r="BH19" i="273"/>
  <c r="BG19" i="273"/>
  <c r="BF19" i="273"/>
  <c r="BE19" i="273"/>
  <c r="BD19" i="273"/>
  <c r="BC19" i="273"/>
  <c r="BB19" i="273"/>
  <c r="BA19" i="273"/>
  <c r="AZ19" i="273"/>
  <c r="AY19" i="273"/>
  <c r="AX19" i="273"/>
  <c r="AX18" i="273" s="1"/>
  <c r="AW19" i="273"/>
  <c r="AW18" i="273" s="1"/>
  <c r="AV19" i="273"/>
  <c r="AU19" i="273"/>
  <c r="AT19" i="273"/>
  <c r="AS19" i="273"/>
  <c r="AR19" i="273"/>
  <c r="AQ19" i="273"/>
  <c r="AP19" i="273"/>
  <c r="AP18" i="273" s="1"/>
  <c r="AO19" i="273"/>
  <c r="AN19" i="273"/>
  <c r="AM19" i="273"/>
  <c r="AL19" i="273"/>
  <c r="AK19" i="273"/>
  <c r="AK18" i="273" s="1"/>
  <c r="AJ19" i="273"/>
  <c r="AI19" i="273"/>
  <c r="AH19" i="273"/>
  <c r="AG19" i="273"/>
  <c r="AG18" i="273" s="1"/>
  <c r="AF19" i="273"/>
  <c r="AE19" i="273"/>
  <c r="AD19" i="273"/>
  <c r="AC19" i="273"/>
  <c r="AB19" i="273"/>
  <c r="AA19" i="273"/>
  <c r="Z19" i="273"/>
  <c r="Z18" i="273" s="1"/>
  <c r="Y19" i="273"/>
  <c r="Y18" i="273" s="1"/>
  <c r="X19" i="273"/>
  <c r="W19" i="273"/>
  <c r="V19" i="273"/>
  <c r="U19" i="273"/>
  <c r="U18" i="273" s="1"/>
  <c r="T19" i="273"/>
  <c r="S19" i="273"/>
  <c r="R19" i="273"/>
  <c r="Q19" i="273"/>
  <c r="P19" i="273"/>
  <c r="O19" i="273"/>
  <c r="N19" i="273"/>
  <c r="N18" i="273" s="1"/>
  <c r="M19" i="273"/>
  <c r="M18" i="273" s="1"/>
  <c r="L19" i="273"/>
  <c r="K19" i="273"/>
  <c r="J19" i="273"/>
  <c r="I19" i="273"/>
  <c r="I18" i="273" s="1"/>
  <c r="H19" i="273"/>
  <c r="G19" i="273"/>
  <c r="F19" i="273"/>
  <c r="E19" i="273"/>
  <c r="D19" i="273"/>
  <c r="C19" i="273"/>
  <c r="B19" i="273"/>
  <c r="HQ18" i="273"/>
  <c r="HP18" i="273"/>
  <c r="HE18" i="273"/>
  <c r="HD18" i="273"/>
  <c r="GR18" i="273"/>
  <c r="GR11" i="273" s="1"/>
  <c r="GR60" i="273" s="1"/>
  <c r="GF18" i="273"/>
  <c r="AB18" i="273"/>
  <c r="AB11" i="273" s="1"/>
  <c r="AB60" i="273" s="1"/>
  <c r="HQ13" i="273"/>
  <c r="HP13" i="273"/>
  <c r="HO13" i="273"/>
  <c r="HN13" i="273"/>
  <c r="HM13" i="273"/>
  <c r="HL13" i="273"/>
  <c r="HK13" i="273"/>
  <c r="HJ13" i="273"/>
  <c r="HI13" i="273"/>
  <c r="HH13" i="273"/>
  <c r="HG13" i="273"/>
  <c r="HF13" i="273"/>
  <c r="HE13" i="273"/>
  <c r="HD13" i="273"/>
  <c r="HC13" i="273"/>
  <c r="HB13" i="273"/>
  <c r="HA13" i="273"/>
  <c r="GZ13" i="273"/>
  <c r="GY13" i="273"/>
  <c r="GX13" i="273"/>
  <c r="GW13" i="273"/>
  <c r="GV13" i="273"/>
  <c r="GU13" i="273"/>
  <c r="GT13" i="273"/>
  <c r="GS13" i="273"/>
  <c r="GR13" i="273"/>
  <c r="GQ13" i="273"/>
  <c r="GP13" i="273"/>
  <c r="GO13" i="273"/>
  <c r="GN13" i="273"/>
  <c r="GM13" i="273"/>
  <c r="GL13" i="273"/>
  <c r="GK13" i="273"/>
  <c r="GJ13" i="273"/>
  <c r="GI13" i="273"/>
  <c r="GH13" i="273"/>
  <c r="GG13" i="273"/>
  <c r="GG11" i="273" s="1"/>
  <c r="GF13" i="273"/>
  <c r="GF11" i="273" s="1"/>
  <c r="GE13" i="273"/>
  <c r="GD13" i="273"/>
  <c r="GC13" i="273"/>
  <c r="GB13" i="273"/>
  <c r="GA13" i="273"/>
  <c r="FZ13" i="273"/>
  <c r="FY13" i="273"/>
  <c r="FX13" i="273"/>
  <c r="FW13" i="273"/>
  <c r="FV13" i="273"/>
  <c r="FU13" i="273"/>
  <c r="FT13" i="273"/>
  <c r="FS13" i="273"/>
  <c r="FR13" i="273"/>
  <c r="FQ13" i="273"/>
  <c r="FP13" i="273"/>
  <c r="FO13" i="273"/>
  <c r="FN13" i="273"/>
  <c r="FM13" i="273"/>
  <c r="FL13" i="273"/>
  <c r="FK13" i="273"/>
  <c r="FJ13" i="273"/>
  <c r="FI13" i="273"/>
  <c r="FH13" i="273"/>
  <c r="FG13" i="273"/>
  <c r="FF13" i="273"/>
  <c r="FE13" i="273"/>
  <c r="FD13" i="273"/>
  <c r="FC13" i="273"/>
  <c r="FB13" i="273"/>
  <c r="FA13" i="273"/>
  <c r="EZ13" i="273"/>
  <c r="EY13" i="273"/>
  <c r="EX13" i="273"/>
  <c r="EW13" i="273"/>
  <c r="EV13" i="273"/>
  <c r="EU13" i="273"/>
  <c r="ET13" i="273"/>
  <c r="ES13" i="273"/>
  <c r="ER13" i="273"/>
  <c r="EQ13" i="273"/>
  <c r="EP13" i="273"/>
  <c r="EO13" i="273"/>
  <c r="EN13" i="273"/>
  <c r="EM13" i="273"/>
  <c r="EL13" i="273"/>
  <c r="EK13" i="273"/>
  <c r="EJ13" i="273"/>
  <c r="EI13" i="273"/>
  <c r="EH13" i="273"/>
  <c r="EG13" i="273"/>
  <c r="EF13" i="273"/>
  <c r="EE13" i="273"/>
  <c r="ED13" i="273"/>
  <c r="EC13" i="273"/>
  <c r="EB13" i="273"/>
  <c r="EA13" i="273"/>
  <c r="DZ13" i="273"/>
  <c r="DY13" i="273"/>
  <c r="DX13" i="273"/>
  <c r="DW13" i="273"/>
  <c r="DV13" i="273"/>
  <c r="DU13" i="273"/>
  <c r="DT13" i="273"/>
  <c r="DS13" i="273"/>
  <c r="DR13" i="273"/>
  <c r="DQ13" i="273"/>
  <c r="DP13" i="273"/>
  <c r="DO13" i="273"/>
  <c r="DN13" i="273"/>
  <c r="DM13" i="273"/>
  <c r="DL13" i="273"/>
  <c r="DK13" i="273"/>
  <c r="DJ13" i="273"/>
  <c r="DJ11" i="273" s="1"/>
  <c r="DI13" i="273"/>
  <c r="DH13" i="273"/>
  <c r="DG13" i="273"/>
  <c r="DF13" i="273"/>
  <c r="DE13" i="273"/>
  <c r="DD13" i="273"/>
  <c r="DC13" i="273"/>
  <c r="DB13" i="273"/>
  <c r="DA13" i="273"/>
  <c r="CZ13" i="273"/>
  <c r="CY13" i="273"/>
  <c r="CX13" i="273"/>
  <c r="CW13" i="273"/>
  <c r="CV13" i="273"/>
  <c r="CU13" i="273"/>
  <c r="CT13" i="273"/>
  <c r="CS13" i="273"/>
  <c r="CS11" i="273" s="1"/>
  <c r="CS60" i="273" s="1"/>
  <c r="CR13" i="273"/>
  <c r="CQ13" i="273"/>
  <c r="CP13" i="273"/>
  <c r="CO13" i="273"/>
  <c r="CN13" i="273"/>
  <c r="CM13" i="273"/>
  <c r="CL13" i="273"/>
  <c r="CK13" i="273"/>
  <c r="CJ13" i="273"/>
  <c r="CI13" i="273"/>
  <c r="CH13" i="273"/>
  <c r="CG13" i="273"/>
  <c r="CG11" i="273" s="1"/>
  <c r="CG60" i="273" s="1"/>
  <c r="CF13" i="273"/>
  <c r="CE13" i="273"/>
  <c r="CD13" i="273"/>
  <c r="CC13" i="273"/>
  <c r="CB13" i="273"/>
  <c r="CA13" i="273"/>
  <c r="BZ13" i="273"/>
  <c r="BY13" i="273"/>
  <c r="BX13" i="273"/>
  <c r="BW13" i="273"/>
  <c r="BV13" i="273"/>
  <c r="BU13" i="273"/>
  <c r="BU11" i="273" s="1"/>
  <c r="BU60" i="273" s="1"/>
  <c r="BT13" i="273"/>
  <c r="BS13" i="273"/>
  <c r="BR13" i="273"/>
  <c r="BQ13" i="273"/>
  <c r="BP13" i="273"/>
  <c r="BO13" i="273"/>
  <c r="BN13" i="273"/>
  <c r="BM13" i="273"/>
  <c r="BL13" i="273"/>
  <c r="BK13" i="273"/>
  <c r="BJ13" i="273"/>
  <c r="BI13" i="273"/>
  <c r="BI11" i="273" s="1"/>
  <c r="BI60" i="273" s="1"/>
  <c r="BH13" i="273"/>
  <c r="BG13" i="273"/>
  <c r="BF13" i="273"/>
  <c r="BE13" i="273"/>
  <c r="BD13" i="273"/>
  <c r="BC13" i="273"/>
  <c r="BB13" i="273"/>
  <c r="BA13" i="273"/>
  <c r="AZ13" i="273"/>
  <c r="AY13" i="273"/>
  <c r="AX13" i="273"/>
  <c r="AW13" i="273"/>
  <c r="AW11" i="273" s="1"/>
  <c r="AW60" i="273" s="1"/>
  <c r="AV13" i="273"/>
  <c r="AU13" i="273"/>
  <c r="AT13" i="273"/>
  <c r="AS13" i="273"/>
  <c r="AR13" i="273"/>
  <c r="AQ13" i="273"/>
  <c r="AP13" i="273"/>
  <c r="AP11" i="273" s="1"/>
  <c r="AO13" i="273"/>
  <c r="AN13" i="273"/>
  <c r="AM13" i="273"/>
  <c r="AL13" i="273"/>
  <c r="AK13" i="273"/>
  <c r="AK11" i="273" s="1"/>
  <c r="AK60" i="273" s="1"/>
  <c r="AJ13" i="273"/>
  <c r="AI13" i="273"/>
  <c r="AH13" i="273"/>
  <c r="AG13" i="273"/>
  <c r="AF13" i="273"/>
  <c r="AE13" i="273"/>
  <c r="AD13" i="273"/>
  <c r="AC13" i="273"/>
  <c r="AB13" i="273"/>
  <c r="AA13" i="273"/>
  <c r="Z13" i="273"/>
  <c r="Y13" i="273"/>
  <c r="Y11" i="273" s="1"/>
  <c r="Y60" i="273" s="1"/>
  <c r="X13" i="273"/>
  <c r="W13" i="273"/>
  <c r="V13" i="273"/>
  <c r="U13" i="273"/>
  <c r="T13" i="273"/>
  <c r="S13" i="273"/>
  <c r="R13" i="273"/>
  <c r="Q13" i="273"/>
  <c r="P13" i="273"/>
  <c r="O13" i="273"/>
  <c r="N13" i="273"/>
  <c r="M13" i="273"/>
  <c r="M11" i="273" s="1"/>
  <c r="M60" i="273" s="1"/>
  <c r="L13" i="273"/>
  <c r="K13" i="273"/>
  <c r="J13" i="273"/>
  <c r="I13" i="273"/>
  <c r="H13" i="273"/>
  <c r="G13" i="273"/>
  <c r="F13" i="273"/>
  <c r="E13" i="273"/>
  <c r="D13" i="273"/>
  <c r="C13" i="273"/>
  <c r="B13" i="273"/>
  <c r="HP11" i="273"/>
  <c r="HP60" i="273" s="1"/>
  <c r="HD11" i="273"/>
  <c r="HD60" i="273" s="1"/>
  <c r="FS11" i="273"/>
  <c r="EY11" i="273"/>
  <c r="EY60" i="273" s="1"/>
  <c r="EU11" i="273"/>
  <c r="DK11" i="273"/>
  <c r="DK60" i="273" s="1"/>
  <c r="CY11" i="273"/>
  <c r="CY60" i="273" s="1"/>
  <c r="DE11" i="273" l="1"/>
  <c r="DE60" i="273" s="1"/>
  <c r="EF11" i="273"/>
  <c r="EF60" i="273" s="1"/>
  <c r="B18" i="273"/>
  <c r="B11" i="273" s="1"/>
  <c r="B60" i="273" s="1"/>
  <c r="DQ11" i="273"/>
  <c r="DQ60" i="273" s="1"/>
  <c r="EE18" i="273"/>
  <c r="EE11" i="273" s="1"/>
  <c r="EE60" i="273" s="1"/>
  <c r="I11" i="273"/>
  <c r="I60" i="273" s="1"/>
  <c r="U11" i="273"/>
  <c r="U60" i="273" s="1"/>
  <c r="AG11" i="273"/>
  <c r="AG60" i="273" s="1"/>
  <c r="AS11" i="273"/>
  <c r="AS60" i="273" s="1"/>
  <c r="BE11" i="273"/>
  <c r="BE60" i="273" s="1"/>
  <c r="BQ11" i="273"/>
  <c r="BQ60" i="273" s="1"/>
  <c r="CC11" i="273"/>
  <c r="CC60" i="273" s="1"/>
  <c r="CO11" i="273"/>
  <c r="CO60" i="273" s="1"/>
  <c r="DY11" i="273"/>
  <c r="DY60" i="273" s="1"/>
  <c r="EK11" i="273"/>
  <c r="EK60" i="273" s="1"/>
  <c r="HQ11" i="273"/>
  <c r="K23" i="273"/>
  <c r="K18" i="273" s="1"/>
  <c r="K11" i="273" s="1"/>
  <c r="K60" i="273" s="1"/>
  <c r="W23" i="273"/>
  <c r="W18" i="273" s="1"/>
  <c r="W11" i="273" s="1"/>
  <c r="W60" i="273" s="1"/>
  <c r="AI23" i="273"/>
  <c r="AI18" i="273" s="1"/>
  <c r="AI11" i="273" s="1"/>
  <c r="AI60" i="273" s="1"/>
  <c r="AT11" i="273"/>
  <c r="AT60" i="273" s="1"/>
  <c r="BR11" i="273"/>
  <c r="BR60" i="273" s="1"/>
  <c r="DZ11" i="273"/>
  <c r="EX11" i="273"/>
  <c r="FV11" i="273"/>
  <c r="EB18" i="273"/>
  <c r="L18" i="273"/>
  <c r="EZ18" i="273"/>
  <c r="EZ11" i="273" s="1"/>
  <c r="EZ60" i="273" s="1"/>
  <c r="FT11" i="273"/>
  <c r="FT60" i="273" s="1"/>
  <c r="DO11" i="273"/>
  <c r="DO60" i="273" s="1"/>
  <c r="HG11" i="273"/>
  <c r="HG60" i="273" s="1"/>
  <c r="AS18" i="273"/>
  <c r="BE18" i="273"/>
  <c r="DA60" i="273"/>
  <c r="DM18" i="273"/>
  <c r="DM11" i="273" s="1"/>
  <c r="DM60" i="273" s="1"/>
  <c r="GT60" i="273"/>
  <c r="HF60" i="273"/>
  <c r="EB11" i="273"/>
  <c r="EB60" i="273" s="1"/>
  <c r="GI18" i="273"/>
  <c r="GI11" i="273" s="1"/>
  <c r="GI60" i="273" s="1"/>
  <c r="GM60" i="273"/>
  <c r="GY60" i="273"/>
  <c r="HK60" i="273"/>
  <c r="BG18" i="273"/>
  <c r="BG11" i="273" s="1"/>
  <c r="BG60" i="273" s="1"/>
  <c r="V18" i="273"/>
  <c r="V11" i="273" s="1"/>
  <c r="AT18" i="273"/>
  <c r="BR18" i="273"/>
  <c r="CP18" i="273"/>
  <c r="CP11" i="273" s="1"/>
  <c r="CP60" i="273" s="1"/>
  <c r="DN18" i="273"/>
  <c r="DN11" i="273" s="1"/>
  <c r="DN60" i="273" s="1"/>
  <c r="EL18" i="273"/>
  <c r="EL11" i="273" s="1"/>
  <c r="FV18" i="273"/>
  <c r="GU18" i="273"/>
  <c r="GU11" i="273" s="1"/>
  <c r="GU60" i="273" s="1"/>
  <c r="EM18" i="273"/>
  <c r="EM11" i="273" s="1"/>
  <c r="EM60" i="273" s="1"/>
  <c r="GX18" i="273"/>
  <c r="L23" i="273"/>
  <c r="X23" i="273"/>
  <c r="X18" i="273" s="1"/>
  <c r="X11" i="273" s="1"/>
  <c r="X60" i="273" s="1"/>
  <c r="AJ23" i="273"/>
  <c r="AJ18" i="273" s="1"/>
  <c r="AJ11" i="273" s="1"/>
  <c r="AJ60" i="273" s="1"/>
  <c r="AV23" i="273"/>
  <c r="AV18" i="273" s="1"/>
  <c r="AV11" i="273" s="1"/>
  <c r="AV60" i="273" s="1"/>
  <c r="BH23" i="273"/>
  <c r="BH18" i="273" s="1"/>
  <c r="BH11" i="273" s="1"/>
  <c r="BH60" i="273" s="1"/>
  <c r="BT23" i="273"/>
  <c r="BT18" i="273" s="1"/>
  <c r="BT11" i="273" s="1"/>
  <c r="BT60" i="273" s="1"/>
  <c r="CF23" i="273"/>
  <c r="CF18" i="273" s="1"/>
  <c r="CF11" i="273" s="1"/>
  <c r="CF60" i="273" s="1"/>
  <c r="CR23" i="273"/>
  <c r="CR18" i="273" s="1"/>
  <c r="CR11" i="273" s="1"/>
  <c r="CR60" i="273" s="1"/>
  <c r="DD23" i="273"/>
  <c r="DD18" i="273" s="1"/>
  <c r="DD11" i="273" s="1"/>
  <c r="DD60" i="273" s="1"/>
  <c r="DP23" i="273"/>
  <c r="DP18" i="273" s="1"/>
  <c r="EB23" i="273"/>
  <c r="EN23" i="273"/>
  <c r="EN18" i="273" s="1"/>
  <c r="EZ23" i="273"/>
  <c r="FL23" i="273"/>
  <c r="FL18" i="273" s="1"/>
  <c r="FL11" i="273" s="1"/>
  <c r="FL60" i="273" s="1"/>
  <c r="FX23" i="273"/>
  <c r="FX18" i="273" s="1"/>
  <c r="GA24" i="273"/>
  <c r="GA23" i="273" s="1"/>
  <c r="FJ11" i="273"/>
  <c r="FJ60" i="273" s="1"/>
  <c r="J18" i="273"/>
  <c r="J11" i="273" s="1"/>
  <c r="J60" i="273" s="1"/>
  <c r="AH18" i="273"/>
  <c r="AH11" i="273" s="1"/>
  <c r="AH60" i="273" s="1"/>
  <c r="BF18" i="273"/>
  <c r="BF11" i="273" s="1"/>
  <c r="BF60" i="273" s="1"/>
  <c r="CD18" i="273"/>
  <c r="CD11" i="273" s="1"/>
  <c r="CD60" i="273" s="1"/>
  <c r="DB18" i="273"/>
  <c r="DB11" i="273" s="1"/>
  <c r="DB60" i="273" s="1"/>
  <c r="DZ18" i="273"/>
  <c r="EX18" i="273"/>
  <c r="FJ18" i="273"/>
  <c r="EU60" i="273"/>
  <c r="DC18" i="273"/>
  <c r="DC11" i="273" s="1"/>
  <c r="DC60" i="273" s="1"/>
  <c r="GA18" i="273"/>
  <c r="GA11" i="273" s="1"/>
  <c r="GA60" i="273" s="1"/>
  <c r="L11" i="273"/>
  <c r="L60" i="273" s="1"/>
  <c r="GK18" i="273"/>
  <c r="GW18" i="273"/>
  <c r="HI18" i="273"/>
  <c r="AY23" i="273"/>
  <c r="AY18" i="273" s="1"/>
  <c r="AY11" i="273" s="1"/>
  <c r="AY60" i="273" s="1"/>
  <c r="CU23" i="273"/>
  <c r="CU18" i="273" s="1"/>
  <c r="CU11" i="273" s="1"/>
  <c r="CU60" i="273" s="1"/>
  <c r="FO23" i="273"/>
  <c r="FO18" i="273" s="1"/>
  <c r="FO11" i="273" s="1"/>
  <c r="FO60" i="273" s="1"/>
  <c r="ER23" i="273"/>
  <c r="ER18" i="273" s="1"/>
  <c r="ER11" i="273" s="1"/>
  <c r="ER60" i="273" s="1"/>
  <c r="FS60" i="273"/>
  <c r="P18" i="273"/>
  <c r="P11" i="273" s="1"/>
  <c r="P60" i="273" s="1"/>
  <c r="AN18" i="273"/>
  <c r="AN11" i="273" s="1"/>
  <c r="AN60" i="273" s="1"/>
  <c r="BL18" i="273"/>
  <c r="BL11" i="273" s="1"/>
  <c r="BL60" i="273" s="1"/>
  <c r="BX18" i="273"/>
  <c r="BX11" i="273" s="1"/>
  <c r="BX60" i="273" s="1"/>
  <c r="CV18" i="273"/>
  <c r="CV11" i="273" s="1"/>
  <c r="CV60" i="273" s="1"/>
  <c r="DH18" i="273"/>
  <c r="DH11" i="273" s="1"/>
  <c r="DH60" i="273" s="1"/>
  <c r="DT18" i="273"/>
  <c r="DT11" i="273" s="1"/>
  <c r="DT60" i="273" s="1"/>
  <c r="FD18" i="273"/>
  <c r="FD11" i="273" s="1"/>
  <c r="FD60" i="273" s="1"/>
  <c r="GC18" i="273"/>
  <c r="GC11" i="273" s="1"/>
  <c r="GC60" i="273" s="1"/>
  <c r="GO18" i="273"/>
  <c r="GO11" i="273" s="1"/>
  <c r="GO60" i="273" s="1"/>
  <c r="HA18" i="273"/>
  <c r="HA11" i="273" s="1"/>
  <c r="HA60" i="273" s="1"/>
  <c r="HM18" i="273"/>
  <c r="HM11" i="273" s="1"/>
  <c r="HM60" i="273" s="1"/>
  <c r="E18" i="273"/>
  <c r="E11" i="273" s="1"/>
  <c r="E60" i="273" s="1"/>
  <c r="Q18" i="273"/>
  <c r="Q11" i="273" s="1"/>
  <c r="Q60" i="273" s="1"/>
  <c r="AC18" i="273"/>
  <c r="AC11" i="273" s="1"/>
  <c r="AC60" i="273" s="1"/>
  <c r="AO18" i="273"/>
  <c r="AO11" i="273" s="1"/>
  <c r="AO60" i="273" s="1"/>
  <c r="BA18" i="273"/>
  <c r="BA11" i="273" s="1"/>
  <c r="BA60" i="273" s="1"/>
  <c r="BM18" i="273"/>
  <c r="BM11" i="273" s="1"/>
  <c r="BM60" i="273" s="1"/>
  <c r="BY18" i="273"/>
  <c r="BY11" i="273" s="1"/>
  <c r="BY60" i="273" s="1"/>
  <c r="CK18" i="273"/>
  <c r="CK11" i="273" s="1"/>
  <c r="CK60" i="273" s="1"/>
  <c r="CW18" i="273"/>
  <c r="CW11" i="273" s="1"/>
  <c r="CW60" i="273" s="1"/>
  <c r="DI18" i="273"/>
  <c r="DI11" i="273" s="1"/>
  <c r="DI60" i="273" s="1"/>
  <c r="DU18" i="273"/>
  <c r="DU11" i="273" s="1"/>
  <c r="DU60" i="273" s="1"/>
  <c r="EG18" i="273"/>
  <c r="EG11" i="273" s="1"/>
  <c r="EG60" i="273" s="1"/>
  <c r="ES18" i="273"/>
  <c r="ES11" i="273" s="1"/>
  <c r="ES60" i="273" s="1"/>
  <c r="FE18" i="273"/>
  <c r="FE11" i="273" s="1"/>
  <c r="FE60" i="273" s="1"/>
  <c r="FQ18" i="273"/>
  <c r="FQ11" i="273" s="1"/>
  <c r="FQ60" i="273" s="1"/>
  <c r="GD18" i="273"/>
  <c r="GD11" i="273" s="1"/>
  <c r="GD60" i="273" s="1"/>
  <c r="HN18" i="273"/>
  <c r="GE18" i="273"/>
  <c r="GQ18" i="273"/>
  <c r="HC18" i="273"/>
  <c r="HO18" i="273"/>
  <c r="N11" i="273"/>
  <c r="N60" i="273" s="1"/>
  <c r="AX11" i="273"/>
  <c r="AX60" i="273" s="1"/>
  <c r="BV11" i="273"/>
  <c r="BV60" i="273" s="1"/>
  <c r="CT11" i="273"/>
  <c r="CT60" i="273" s="1"/>
  <c r="AL18" i="273"/>
  <c r="AL11" i="273" s="1"/>
  <c r="AL60" i="273" s="1"/>
  <c r="CH18" i="273"/>
  <c r="CH11" i="273" s="1"/>
  <c r="CH60" i="273" s="1"/>
  <c r="FZ18" i="273"/>
  <c r="FZ11" i="273" s="1"/>
  <c r="FZ60" i="273" s="1"/>
  <c r="AM23" i="273"/>
  <c r="AM18" i="273" s="1"/>
  <c r="AM11" i="273" s="1"/>
  <c r="AM60" i="273" s="1"/>
  <c r="CI23" i="273"/>
  <c r="CI18" i="273" s="1"/>
  <c r="CI11" i="273" s="1"/>
  <c r="CI60" i="273" s="1"/>
  <c r="DS23" i="273"/>
  <c r="DS18" i="273" s="1"/>
  <c r="DS11" i="273" s="1"/>
  <c r="DS60" i="273" s="1"/>
  <c r="EQ23" i="273"/>
  <c r="EQ18" i="273" s="1"/>
  <c r="EQ11" i="273" s="1"/>
  <c r="EQ60" i="273" s="1"/>
  <c r="D23" i="273"/>
  <c r="D18" i="273" s="1"/>
  <c r="D11" i="273" s="1"/>
  <c r="D60" i="273" s="1"/>
  <c r="BX23" i="273"/>
  <c r="AP60" i="273"/>
  <c r="HN11" i="273"/>
  <c r="HN60" i="273" s="1"/>
  <c r="F18" i="273"/>
  <c r="F11" i="273" s="1"/>
  <c r="F60" i="273" s="1"/>
  <c r="ET18" i="273"/>
  <c r="ET11" i="273" s="1"/>
  <c r="ET60" i="273" s="1"/>
  <c r="O23" i="273"/>
  <c r="O18" i="273" s="1"/>
  <c r="O11" i="273" s="1"/>
  <c r="O60" i="273" s="1"/>
  <c r="BK23" i="273"/>
  <c r="BK18" i="273" s="1"/>
  <c r="BK11" i="273" s="1"/>
  <c r="BK60" i="273" s="1"/>
  <c r="DG23" i="273"/>
  <c r="DG18" i="273" s="1"/>
  <c r="DG11" i="273" s="1"/>
  <c r="DG60" i="273" s="1"/>
  <c r="EE23" i="273"/>
  <c r="DH23" i="273"/>
  <c r="BZ18" i="273"/>
  <c r="BZ11" i="273" s="1"/>
  <c r="BZ60" i="273" s="1"/>
  <c r="G11" i="273"/>
  <c r="G60" i="273" s="1"/>
  <c r="S11" i="273"/>
  <c r="S60" i="273" s="1"/>
  <c r="AE11" i="273"/>
  <c r="AE60" i="273" s="1"/>
  <c r="AQ11" i="273"/>
  <c r="AQ60" i="273" s="1"/>
  <c r="BC11" i="273"/>
  <c r="BC60" i="273" s="1"/>
  <c r="BO11" i="273"/>
  <c r="BO60" i="273" s="1"/>
  <c r="CA11" i="273"/>
  <c r="CA60" i="273" s="1"/>
  <c r="CM11" i="273"/>
  <c r="CM60" i="273" s="1"/>
  <c r="DW11" i="273"/>
  <c r="DW60" i="273" s="1"/>
  <c r="EI11" i="273"/>
  <c r="EI60" i="273" s="1"/>
  <c r="FG11" i="273"/>
  <c r="FG60" i="273" s="1"/>
  <c r="GE11" i="273"/>
  <c r="GE60" i="273" s="1"/>
  <c r="GQ11" i="273"/>
  <c r="GQ60" i="273" s="1"/>
  <c r="HC11" i="273"/>
  <c r="HC60" i="273" s="1"/>
  <c r="HO11" i="273"/>
  <c r="HO60" i="273" s="1"/>
  <c r="H23" i="273"/>
  <c r="H18" i="273" s="1"/>
  <c r="H11" i="273" s="1"/>
  <c r="H60" i="273" s="1"/>
  <c r="T23" i="273"/>
  <c r="T18" i="273" s="1"/>
  <c r="T11" i="273" s="1"/>
  <c r="T60" i="273" s="1"/>
  <c r="AF23" i="273"/>
  <c r="AF18" i="273" s="1"/>
  <c r="AF11" i="273" s="1"/>
  <c r="AF60" i="273" s="1"/>
  <c r="AR23" i="273"/>
  <c r="AR18" i="273" s="1"/>
  <c r="AR11" i="273" s="1"/>
  <c r="AR60" i="273" s="1"/>
  <c r="BD23" i="273"/>
  <c r="BD18" i="273" s="1"/>
  <c r="BD11" i="273" s="1"/>
  <c r="BD60" i="273" s="1"/>
  <c r="BP23" i="273"/>
  <c r="BP18" i="273" s="1"/>
  <c r="BP11" i="273" s="1"/>
  <c r="BP60" i="273" s="1"/>
  <c r="CB23" i="273"/>
  <c r="CB18" i="273" s="1"/>
  <c r="CB11" i="273" s="1"/>
  <c r="CN23" i="273"/>
  <c r="CN18" i="273" s="1"/>
  <c r="CN11" i="273" s="1"/>
  <c r="CN60" i="273" s="1"/>
  <c r="CZ23" i="273"/>
  <c r="CZ18" i="273" s="1"/>
  <c r="CZ11" i="273" s="1"/>
  <c r="DL23" i="273"/>
  <c r="DL18" i="273" s="1"/>
  <c r="DL11" i="273" s="1"/>
  <c r="DL60" i="273" s="1"/>
  <c r="DX23" i="273"/>
  <c r="DX18" i="273" s="1"/>
  <c r="DX11" i="273" s="1"/>
  <c r="DX60" i="273" s="1"/>
  <c r="EJ23" i="273"/>
  <c r="EJ18" i="273" s="1"/>
  <c r="EJ11" i="273" s="1"/>
  <c r="EJ60" i="273" s="1"/>
  <c r="EV23" i="273"/>
  <c r="EV18" i="273" s="1"/>
  <c r="EV11" i="273" s="1"/>
  <c r="EV60" i="273" s="1"/>
  <c r="FH23" i="273"/>
  <c r="FH18" i="273" s="1"/>
  <c r="FH11" i="273" s="1"/>
  <c r="FH60" i="273" s="1"/>
  <c r="FT23" i="273"/>
  <c r="FT18" i="273" s="1"/>
  <c r="GA54" i="273"/>
  <c r="GA50" i="273" s="1"/>
  <c r="Z11" i="273"/>
  <c r="Z60" i="273" s="1"/>
  <c r="DF11" i="273"/>
  <c r="DF60" i="273" s="1"/>
  <c r="EP11" i="273"/>
  <c r="EP60" i="273" s="1"/>
  <c r="FN11" i="273"/>
  <c r="FN60" i="273" s="1"/>
  <c r="DR18" i="273"/>
  <c r="DR11" i="273" s="1"/>
  <c r="DR60" i="273" s="1"/>
  <c r="AA23" i="273"/>
  <c r="AA18" i="273" s="1"/>
  <c r="AA11" i="273" s="1"/>
  <c r="AA60" i="273" s="1"/>
  <c r="BW23" i="273"/>
  <c r="BW18" i="273" s="1"/>
  <c r="BW11" i="273" s="1"/>
  <c r="BW60" i="273" s="1"/>
  <c r="FC23" i="273"/>
  <c r="FC18" i="273" s="1"/>
  <c r="FC11" i="273" s="1"/>
  <c r="FC60" i="273" s="1"/>
  <c r="AN23" i="273"/>
  <c r="DJ60" i="273"/>
  <c r="DP11" i="273"/>
  <c r="DP60" i="273" s="1"/>
  <c r="EN11" i="273"/>
  <c r="EN60" i="273" s="1"/>
  <c r="FX11" i="273"/>
  <c r="FX60" i="273" s="1"/>
  <c r="FW60" i="273"/>
  <c r="BJ11" i="273"/>
  <c r="BJ60" i="273" s="1"/>
  <c r="GP18" i="273"/>
  <c r="GP11" i="273" s="1"/>
  <c r="GP60" i="273" s="1"/>
  <c r="HB18" i="273"/>
  <c r="EX60" i="273"/>
  <c r="FR11" i="273"/>
  <c r="FR60" i="273" s="1"/>
  <c r="R18" i="273"/>
  <c r="R11" i="273" s="1"/>
  <c r="R60" i="273" s="1"/>
  <c r="BN18" i="273"/>
  <c r="BN11" i="273" s="1"/>
  <c r="BN60" i="273" s="1"/>
  <c r="CL18" i="273"/>
  <c r="CL11" i="273" s="1"/>
  <c r="CL60" i="273" s="1"/>
  <c r="EH18" i="273"/>
  <c r="EH11" i="273" s="1"/>
  <c r="EH60" i="273" s="1"/>
  <c r="FF18" i="273"/>
  <c r="FF11" i="273" s="1"/>
  <c r="FF60" i="273" s="1"/>
  <c r="DZ60" i="273"/>
  <c r="AD18" i="273"/>
  <c r="AD11" i="273" s="1"/>
  <c r="AD60" i="273" s="1"/>
  <c r="BB18" i="273"/>
  <c r="BB11" i="273" s="1"/>
  <c r="BB60" i="273" s="1"/>
  <c r="CX18" i="273"/>
  <c r="CX11" i="273" s="1"/>
  <c r="CX60" i="273" s="1"/>
  <c r="DV18" i="273"/>
  <c r="DV11" i="273" s="1"/>
  <c r="DV60" i="273" s="1"/>
  <c r="FR18" i="273"/>
  <c r="HB11" i="273"/>
  <c r="HB60" i="273" s="1"/>
  <c r="CZ60" i="273"/>
  <c r="FV60" i="273"/>
  <c r="CB60" i="273"/>
  <c r="EW11" i="273"/>
  <c r="EW60" i="273" s="1"/>
  <c r="FI11" i="273"/>
  <c r="FI60" i="273" s="1"/>
  <c r="FU11" i="273"/>
  <c r="FU60" i="273" s="1"/>
  <c r="GG60" i="273"/>
  <c r="GS11" i="273"/>
  <c r="GS60" i="273" s="1"/>
  <c r="HE11" i="273"/>
  <c r="HE60" i="273" s="1"/>
  <c r="HQ60" i="273"/>
  <c r="V60" i="273"/>
  <c r="EL60" i="273"/>
  <c r="EC11" i="273"/>
  <c r="EC60" i="273" s="1"/>
  <c r="EO11" i="273"/>
  <c r="EO60" i="273" s="1"/>
  <c r="FA11" i="273"/>
  <c r="FA60" i="273" s="1"/>
  <c r="FM11" i="273"/>
  <c r="FM60" i="273" s="1"/>
  <c r="FY11" i="273"/>
  <c r="FY60" i="273" s="1"/>
  <c r="GK11" i="273"/>
  <c r="GK60" i="273" s="1"/>
  <c r="GW11" i="273"/>
  <c r="GW60" i="273" s="1"/>
  <c r="HI11" i="273"/>
  <c r="HI60" i="273" s="1"/>
  <c r="GF60" i="273"/>
  <c r="ED11" i="273"/>
  <c r="ED60" i="273" s="1"/>
  <c r="FB11" i="273"/>
  <c r="FB60" i="273" s="1"/>
  <c r="GL11" i="273"/>
  <c r="GL60" i="273" s="1"/>
  <c r="GX11" i="273"/>
  <c r="GX60" i="273" s="1"/>
  <c r="HJ11" i="273"/>
  <c r="HJ60" i="273" s="1"/>
  <c r="IF42" i="272" l="1"/>
  <c r="HH42" i="272"/>
  <c r="HF42" i="272"/>
  <c r="GV42" i="272"/>
  <c r="GT42" i="272"/>
  <c r="GJ42" i="272"/>
  <c r="GH42" i="272"/>
  <c r="FX42" i="272"/>
  <c r="FL42" i="272"/>
  <c r="EN42" i="272"/>
  <c r="EL42" i="272"/>
  <c r="EB42" i="272"/>
  <c r="DZ42" i="272"/>
  <c r="DP42" i="272"/>
  <c r="DN42" i="272"/>
  <c r="DD42" i="272"/>
  <c r="CR42" i="272"/>
  <c r="BT42" i="272"/>
  <c r="BR42" i="272"/>
  <c r="BH42" i="272"/>
  <c r="BF42" i="272"/>
  <c r="AV42" i="272"/>
  <c r="AT42" i="272"/>
  <c r="AJ42" i="272"/>
  <c r="X42" i="272"/>
  <c r="IN27" i="272"/>
  <c r="IN42" i="272" s="1"/>
  <c r="IM27" i="272"/>
  <c r="IM42" i="272" s="1"/>
  <c r="IL27" i="272"/>
  <c r="IL42" i="272" s="1"/>
  <c r="IK27" i="272"/>
  <c r="IK42" i="272" s="1"/>
  <c r="IJ27" i="272"/>
  <c r="IJ42" i="272" s="1"/>
  <c r="II27" i="272"/>
  <c r="II42" i="272" s="1"/>
  <c r="IH27" i="272"/>
  <c r="IH42" i="272" s="1"/>
  <c r="IG27" i="272"/>
  <c r="IG42" i="272" s="1"/>
  <c r="IF27" i="272"/>
  <c r="IE27" i="272"/>
  <c r="IE42" i="272" s="1"/>
  <c r="ID27" i="272"/>
  <c r="ID42" i="272" s="1"/>
  <c r="IC27" i="272"/>
  <c r="IC42" i="272" s="1"/>
  <c r="IB27" i="272"/>
  <c r="IB42" i="272" s="1"/>
  <c r="IA27" i="272"/>
  <c r="IA42" i="272" s="1"/>
  <c r="HZ27" i="272"/>
  <c r="HZ42" i="272" s="1"/>
  <c r="HY27" i="272"/>
  <c r="HY42" i="272" s="1"/>
  <c r="HX27" i="272"/>
  <c r="HX42" i="272" s="1"/>
  <c r="HW27" i="272"/>
  <c r="HW42" i="272" s="1"/>
  <c r="HV27" i="272"/>
  <c r="HV42" i="272" s="1"/>
  <c r="HU27" i="272"/>
  <c r="HU42" i="272" s="1"/>
  <c r="HT27" i="272"/>
  <c r="HT42" i="272" s="1"/>
  <c r="HS27" i="272"/>
  <c r="HS42" i="272" s="1"/>
  <c r="HR27" i="272"/>
  <c r="HR42" i="272" s="1"/>
  <c r="HQ27" i="272"/>
  <c r="HQ42" i="272" s="1"/>
  <c r="HP27" i="272"/>
  <c r="HP42" i="272" s="1"/>
  <c r="HO27" i="272"/>
  <c r="HO42" i="272" s="1"/>
  <c r="HN27" i="272"/>
  <c r="HN42" i="272" s="1"/>
  <c r="HM27" i="272"/>
  <c r="HM42" i="272" s="1"/>
  <c r="HL27" i="272"/>
  <c r="HL42" i="272" s="1"/>
  <c r="HK27" i="272"/>
  <c r="HK42" i="272" s="1"/>
  <c r="HJ27" i="272"/>
  <c r="HJ42" i="272" s="1"/>
  <c r="HI27" i="272"/>
  <c r="HI42" i="272" s="1"/>
  <c r="HH27" i="272"/>
  <c r="HG27" i="272"/>
  <c r="HG42" i="272" s="1"/>
  <c r="HF27" i="272"/>
  <c r="HE27" i="272"/>
  <c r="HE42" i="272" s="1"/>
  <c r="HD27" i="272"/>
  <c r="HD42" i="272" s="1"/>
  <c r="HC27" i="272"/>
  <c r="HC42" i="272" s="1"/>
  <c r="HB27" i="272"/>
  <c r="HB42" i="272" s="1"/>
  <c r="HA27" i="272"/>
  <c r="HA42" i="272" s="1"/>
  <c r="GZ27" i="272"/>
  <c r="GZ42" i="272" s="1"/>
  <c r="GY27" i="272"/>
  <c r="GY42" i="272" s="1"/>
  <c r="GX27" i="272"/>
  <c r="GX42" i="272" s="1"/>
  <c r="GW27" i="272"/>
  <c r="GW42" i="272" s="1"/>
  <c r="GV27" i="272"/>
  <c r="GU27" i="272"/>
  <c r="GU42" i="272" s="1"/>
  <c r="GT27" i="272"/>
  <c r="GS27" i="272"/>
  <c r="GS42" i="272" s="1"/>
  <c r="GR27" i="272"/>
  <c r="GR42" i="272" s="1"/>
  <c r="GQ27" i="272"/>
  <c r="GQ42" i="272" s="1"/>
  <c r="GP27" i="272"/>
  <c r="GP42" i="272" s="1"/>
  <c r="GO27" i="272"/>
  <c r="GO42" i="272" s="1"/>
  <c r="GN27" i="272"/>
  <c r="GN42" i="272" s="1"/>
  <c r="GM27" i="272"/>
  <c r="GM42" i="272" s="1"/>
  <c r="GL27" i="272"/>
  <c r="GL42" i="272" s="1"/>
  <c r="GK27" i="272"/>
  <c r="GK42" i="272" s="1"/>
  <c r="GJ27" i="272"/>
  <c r="GI27" i="272"/>
  <c r="GI42" i="272" s="1"/>
  <c r="GH27" i="272"/>
  <c r="GG27" i="272"/>
  <c r="GG42" i="272" s="1"/>
  <c r="GF27" i="272"/>
  <c r="GF42" i="272" s="1"/>
  <c r="GE27" i="272"/>
  <c r="GE42" i="272" s="1"/>
  <c r="GD27" i="272"/>
  <c r="GD42" i="272" s="1"/>
  <c r="GC27" i="272"/>
  <c r="GC42" i="272" s="1"/>
  <c r="GB27" i="272"/>
  <c r="GB42" i="272" s="1"/>
  <c r="GA27" i="272"/>
  <c r="GA42" i="272" s="1"/>
  <c r="FZ27" i="272"/>
  <c r="FZ42" i="272" s="1"/>
  <c r="FY27" i="272"/>
  <c r="FY42" i="272" s="1"/>
  <c r="FX27" i="272"/>
  <c r="FW27" i="272"/>
  <c r="FW42" i="272" s="1"/>
  <c r="FV27" i="272"/>
  <c r="FV42" i="272" s="1"/>
  <c r="FU27" i="272"/>
  <c r="FU42" i="272" s="1"/>
  <c r="FT27" i="272"/>
  <c r="FT42" i="272" s="1"/>
  <c r="FS27" i="272"/>
  <c r="FS42" i="272" s="1"/>
  <c r="FR27" i="272"/>
  <c r="FR42" i="272" s="1"/>
  <c r="FQ27" i="272"/>
  <c r="FQ42" i="272" s="1"/>
  <c r="FP27" i="272"/>
  <c r="FP42" i="272" s="1"/>
  <c r="FO27" i="272"/>
  <c r="FO42" i="272" s="1"/>
  <c r="FN27" i="272"/>
  <c r="FN42" i="272" s="1"/>
  <c r="FM27" i="272"/>
  <c r="FM42" i="272" s="1"/>
  <c r="FL27" i="272"/>
  <c r="FK27" i="272"/>
  <c r="FK42" i="272" s="1"/>
  <c r="FJ27" i="272"/>
  <c r="FJ42" i="272" s="1"/>
  <c r="FI27" i="272"/>
  <c r="FI42" i="272" s="1"/>
  <c r="FH27" i="272"/>
  <c r="FH42" i="272" s="1"/>
  <c r="FG27" i="272"/>
  <c r="FG42" i="272" s="1"/>
  <c r="FF27" i="272"/>
  <c r="FF42" i="272" s="1"/>
  <c r="FE27" i="272"/>
  <c r="FE42" i="272" s="1"/>
  <c r="FD27" i="272"/>
  <c r="FD42" i="272" s="1"/>
  <c r="FC27" i="272"/>
  <c r="FC42" i="272" s="1"/>
  <c r="FB27" i="272"/>
  <c r="FB42" i="272" s="1"/>
  <c r="FA27" i="272"/>
  <c r="FA42" i="272" s="1"/>
  <c r="EZ27" i="272"/>
  <c r="EZ42" i="272" s="1"/>
  <c r="EY27" i="272"/>
  <c r="EY42" i="272" s="1"/>
  <c r="EX27" i="272"/>
  <c r="EX42" i="272" s="1"/>
  <c r="EW27" i="272"/>
  <c r="EW42" i="272" s="1"/>
  <c r="EV27" i="272"/>
  <c r="EV42" i="272" s="1"/>
  <c r="EU27" i="272"/>
  <c r="EU42" i="272" s="1"/>
  <c r="ET27" i="272"/>
  <c r="ET42" i="272" s="1"/>
  <c r="ES27" i="272"/>
  <c r="ES42" i="272" s="1"/>
  <c r="ER27" i="272"/>
  <c r="ER42" i="272" s="1"/>
  <c r="EQ27" i="272"/>
  <c r="EQ42" i="272" s="1"/>
  <c r="EP27" i="272"/>
  <c r="EP42" i="272" s="1"/>
  <c r="EO27" i="272"/>
  <c r="EO42" i="272" s="1"/>
  <c r="EN27" i="272"/>
  <c r="EM27" i="272"/>
  <c r="EM42" i="272" s="1"/>
  <c r="EL27" i="272"/>
  <c r="EK27" i="272"/>
  <c r="EK42" i="272" s="1"/>
  <c r="EJ27" i="272"/>
  <c r="EJ42" i="272" s="1"/>
  <c r="EI27" i="272"/>
  <c r="EI42" i="272" s="1"/>
  <c r="EH27" i="272"/>
  <c r="EH42" i="272" s="1"/>
  <c r="EG27" i="272"/>
  <c r="EG42" i="272" s="1"/>
  <c r="EF27" i="272"/>
  <c r="EF42" i="272" s="1"/>
  <c r="EE27" i="272"/>
  <c r="EE42" i="272" s="1"/>
  <c r="ED27" i="272"/>
  <c r="ED42" i="272" s="1"/>
  <c r="EC27" i="272"/>
  <c r="EC42" i="272" s="1"/>
  <c r="EB27" i="272"/>
  <c r="EA27" i="272"/>
  <c r="EA42" i="272" s="1"/>
  <c r="DZ27" i="272"/>
  <c r="DY27" i="272"/>
  <c r="DY42" i="272" s="1"/>
  <c r="DX27" i="272"/>
  <c r="DX42" i="272" s="1"/>
  <c r="DW27" i="272"/>
  <c r="DW42" i="272" s="1"/>
  <c r="DV27" i="272"/>
  <c r="DV42" i="272" s="1"/>
  <c r="DU27" i="272"/>
  <c r="DU42" i="272" s="1"/>
  <c r="DT27" i="272"/>
  <c r="DT42" i="272" s="1"/>
  <c r="DS27" i="272"/>
  <c r="DS42" i="272" s="1"/>
  <c r="DR27" i="272"/>
  <c r="DR42" i="272" s="1"/>
  <c r="DQ27" i="272"/>
  <c r="DQ42" i="272" s="1"/>
  <c r="DP27" i="272"/>
  <c r="DO27" i="272"/>
  <c r="DO42" i="272" s="1"/>
  <c r="DN27" i="272"/>
  <c r="DM27" i="272"/>
  <c r="DM42" i="272" s="1"/>
  <c r="DL27" i="272"/>
  <c r="DL42" i="272" s="1"/>
  <c r="DK27" i="272"/>
  <c r="DK42" i="272" s="1"/>
  <c r="DJ27" i="272"/>
  <c r="DJ42" i="272" s="1"/>
  <c r="DI27" i="272"/>
  <c r="DI42" i="272" s="1"/>
  <c r="DH27" i="272"/>
  <c r="DH42" i="272" s="1"/>
  <c r="DG27" i="272"/>
  <c r="DG42" i="272" s="1"/>
  <c r="DF27" i="272"/>
  <c r="DF42" i="272" s="1"/>
  <c r="DE27" i="272"/>
  <c r="DE42" i="272" s="1"/>
  <c r="DD27" i="272"/>
  <c r="DC27" i="272"/>
  <c r="DC42" i="272" s="1"/>
  <c r="DB27" i="272"/>
  <c r="DB42" i="272" s="1"/>
  <c r="DA27" i="272"/>
  <c r="DA42" i="272" s="1"/>
  <c r="CZ27" i="272"/>
  <c r="CZ42" i="272" s="1"/>
  <c r="CY27" i="272"/>
  <c r="CY42" i="272" s="1"/>
  <c r="CX27" i="272"/>
  <c r="CX42" i="272" s="1"/>
  <c r="CW27" i="272"/>
  <c r="CW42" i="272" s="1"/>
  <c r="CV27" i="272"/>
  <c r="CV42" i="272" s="1"/>
  <c r="CU27" i="272"/>
  <c r="CU42" i="272" s="1"/>
  <c r="CT27" i="272"/>
  <c r="CT42" i="272" s="1"/>
  <c r="CS27" i="272"/>
  <c r="CS42" i="272" s="1"/>
  <c r="CR27" i="272"/>
  <c r="CQ27" i="272"/>
  <c r="CQ42" i="272" s="1"/>
  <c r="CP27" i="272"/>
  <c r="CP42" i="272" s="1"/>
  <c r="CO27" i="272"/>
  <c r="CO42" i="272" s="1"/>
  <c r="CN27" i="272"/>
  <c r="CN42" i="272" s="1"/>
  <c r="CM27" i="272"/>
  <c r="CM42" i="272" s="1"/>
  <c r="CL27" i="272"/>
  <c r="CL42" i="272" s="1"/>
  <c r="CK27" i="272"/>
  <c r="CK42" i="272" s="1"/>
  <c r="CJ27" i="272"/>
  <c r="CJ42" i="272" s="1"/>
  <c r="CI27" i="272"/>
  <c r="CI42" i="272" s="1"/>
  <c r="CH27" i="272"/>
  <c r="CH42" i="272" s="1"/>
  <c r="CG27" i="272"/>
  <c r="CG42" i="272" s="1"/>
  <c r="CF27" i="272"/>
  <c r="CF42" i="272" s="1"/>
  <c r="CE27" i="272"/>
  <c r="CE42" i="272" s="1"/>
  <c r="CD27" i="272"/>
  <c r="CD42" i="272" s="1"/>
  <c r="CC27" i="272"/>
  <c r="CC42" i="272" s="1"/>
  <c r="CB27" i="272"/>
  <c r="CB42" i="272" s="1"/>
  <c r="CA27" i="272"/>
  <c r="CA42" i="272" s="1"/>
  <c r="BZ27" i="272"/>
  <c r="BZ42" i="272" s="1"/>
  <c r="BY27" i="272"/>
  <c r="BY42" i="272" s="1"/>
  <c r="BX27" i="272"/>
  <c r="BX42" i="272" s="1"/>
  <c r="BW27" i="272"/>
  <c r="BW42" i="272" s="1"/>
  <c r="BV27" i="272"/>
  <c r="BV42" i="272" s="1"/>
  <c r="BU27" i="272"/>
  <c r="BU42" i="272" s="1"/>
  <c r="BT27" i="272"/>
  <c r="BS27" i="272"/>
  <c r="BS42" i="272" s="1"/>
  <c r="BR27" i="272"/>
  <c r="BQ27" i="272"/>
  <c r="BQ42" i="272" s="1"/>
  <c r="BP27" i="272"/>
  <c r="BP42" i="272" s="1"/>
  <c r="BO27" i="272"/>
  <c r="BO42" i="272" s="1"/>
  <c r="BN27" i="272"/>
  <c r="BN42" i="272" s="1"/>
  <c r="BM27" i="272"/>
  <c r="BM42" i="272" s="1"/>
  <c r="BL27" i="272"/>
  <c r="BL42" i="272" s="1"/>
  <c r="BK27" i="272"/>
  <c r="BK42" i="272" s="1"/>
  <c r="BJ27" i="272"/>
  <c r="BJ42" i="272" s="1"/>
  <c r="BI27" i="272"/>
  <c r="BI42" i="272" s="1"/>
  <c r="BH27" i="272"/>
  <c r="BG27" i="272"/>
  <c r="BG42" i="272" s="1"/>
  <c r="BF27" i="272"/>
  <c r="BE27" i="272"/>
  <c r="BE42" i="272" s="1"/>
  <c r="BD27" i="272"/>
  <c r="BD42" i="272" s="1"/>
  <c r="BC27" i="272"/>
  <c r="BC42" i="272" s="1"/>
  <c r="BB27" i="272"/>
  <c r="BB42" i="272" s="1"/>
  <c r="BA27" i="272"/>
  <c r="BA42" i="272" s="1"/>
  <c r="AZ27" i="272"/>
  <c r="AZ42" i="272" s="1"/>
  <c r="AY27" i="272"/>
  <c r="AY42" i="272" s="1"/>
  <c r="AX27" i="272"/>
  <c r="AX42" i="272" s="1"/>
  <c r="AW27" i="272"/>
  <c r="AW42" i="272" s="1"/>
  <c r="AV27" i="272"/>
  <c r="AU27" i="272"/>
  <c r="AU42" i="272" s="1"/>
  <c r="AT27" i="272"/>
  <c r="AS27" i="272"/>
  <c r="AS42" i="272" s="1"/>
  <c r="AR27" i="272"/>
  <c r="AR42" i="272" s="1"/>
  <c r="AQ27" i="272"/>
  <c r="AQ42" i="272" s="1"/>
  <c r="AP27" i="272"/>
  <c r="AP42" i="272" s="1"/>
  <c r="AO27" i="272"/>
  <c r="AO42" i="272" s="1"/>
  <c r="AN27" i="272"/>
  <c r="AN42" i="272" s="1"/>
  <c r="AM27" i="272"/>
  <c r="AM42" i="272" s="1"/>
  <c r="AL27" i="272"/>
  <c r="AL42" i="272" s="1"/>
  <c r="AK27" i="272"/>
  <c r="AK42" i="272" s="1"/>
  <c r="AJ27" i="272"/>
  <c r="AI27" i="272"/>
  <c r="AI42" i="272" s="1"/>
  <c r="AH27" i="272"/>
  <c r="AH42" i="272" s="1"/>
  <c r="AG27" i="272"/>
  <c r="AG42" i="272" s="1"/>
  <c r="AF27" i="272"/>
  <c r="AF42" i="272" s="1"/>
  <c r="AE27" i="272"/>
  <c r="AE42" i="272" s="1"/>
  <c r="AD27" i="272"/>
  <c r="AD42" i="272" s="1"/>
  <c r="AC27" i="272"/>
  <c r="AC42" i="272" s="1"/>
  <c r="AB27" i="272"/>
  <c r="AB42" i="272" s="1"/>
  <c r="AA27" i="272"/>
  <c r="AA42" i="272" s="1"/>
  <c r="Z27" i="272"/>
  <c r="Z42" i="272" s="1"/>
  <c r="Y27" i="272"/>
  <c r="Y42" i="272" s="1"/>
  <c r="X27" i="272"/>
  <c r="W27" i="272"/>
  <c r="W42" i="272" s="1"/>
  <c r="V27" i="272"/>
  <c r="V42" i="272" s="1"/>
  <c r="U27" i="272"/>
  <c r="U42" i="272" s="1"/>
  <c r="T27" i="272"/>
  <c r="T42" i="272" s="1"/>
  <c r="S27" i="272"/>
  <c r="S42" i="272" s="1"/>
  <c r="R27" i="272"/>
  <c r="R42" i="272" s="1"/>
  <c r="Q27" i="272"/>
  <c r="Q42" i="272" s="1"/>
  <c r="P27" i="272"/>
  <c r="P42" i="272" s="1"/>
  <c r="O27" i="272"/>
  <c r="O42" i="272" s="1"/>
  <c r="N27" i="272"/>
  <c r="N42" i="272" s="1"/>
  <c r="M27" i="272"/>
  <c r="M42" i="272" s="1"/>
  <c r="L27" i="272"/>
  <c r="L42" i="272" s="1"/>
  <c r="K27" i="272"/>
  <c r="K42" i="272" s="1"/>
  <c r="J27" i="272"/>
  <c r="J42" i="272" s="1"/>
  <c r="I27" i="272"/>
  <c r="I42" i="272" s="1"/>
  <c r="H27" i="272"/>
  <c r="H42" i="272" s="1"/>
  <c r="G27" i="272"/>
  <c r="G42" i="272" s="1"/>
  <c r="F27" i="272"/>
  <c r="F42" i="272" s="1"/>
  <c r="E27" i="272"/>
  <c r="E42" i="272" s="1"/>
  <c r="D27" i="272"/>
  <c r="D42" i="272" s="1"/>
  <c r="C27" i="272"/>
  <c r="C42" i="272" s="1"/>
  <c r="P190" i="269" l="1"/>
  <c r="O190" i="269"/>
  <c r="O189" i="269" s="1"/>
  <c r="M190" i="269"/>
  <c r="K190" i="269"/>
  <c r="H190" i="269"/>
  <c r="I190" i="269" s="1"/>
  <c r="G190" i="269"/>
  <c r="E190" i="269"/>
  <c r="B190" i="269"/>
  <c r="C189" i="269" s="1"/>
  <c r="P189" i="269"/>
  <c r="M189" i="269"/>
  <c r="L189" i="269"/>
  <c r="K189" i="269"/>
  <c r="J189" i="269"/>
  <c r="I189" i="269"/>
  <c r="H189" i="269"/>
  <c r="G189" i="269"/>
  <c r="F189" i="269"/>
  <c r="E189" i="269"/>
  <c r="D189" i="269"/>
  <c r="P187" i="269"/>
  <c r="O187" i="269"/>
  <c r="N187" i="269"/>
  <c r="M187" i="269"/>
  <c r="K187" i="269"/>
  <c r="H187" i="269"/>
  <c r="G187" i="269"/>
  <c r="E187" i="269"/>
  <c r="B187" i="269"/>
  <c r="P186" i="269"/>
  <c r="O186" i="269"/>
  <c r="N186" i="269"/>
  <c r="M186" i="269"/>
  <c r="K186" i="269"/>
  <c r="H186" i="269"/>
  <c r="G186" i="269"/>
  <c r="E186" i="269"/>
  <c r="B186" i="269"/>
  <c r="P185" i="269"/>
  <c r="O185" i="269"/>
  <c r="N185" i="269"/>
  <c r="M185" i="269"/>
  <c r="K185" i="269"/>
  <c r="H185" i="269"/>
  <c r="G185" i="269"/>
  <c r="E185" i="269"/>
  <c r="B185" i="269"/>
  <c r="P184" i="269"/>
  <c r="P183" i="269" s="1"/>
  <c r="O184" i="269"/>
  <c r="O183" i="269" s="1"/>
  <c r="N184" i="269"/>
  <c r="M184" i="269"/>
  <c r="K184" i="269"/>
  <c r="H184" i="269"/>
  <c r="G184" i="269"/>
  <c r="E184" i="269"/>
  <c r="B184" i="269"/>
  <c r="M183" i="269"/>
  <c r="L183" i="269"/>
  <c r="K183" i="269"/>
  <c r="J183" i="269"/>
  <c r="G183" i="269"/>
  <c r="F183" i="269"/>
  <c r="E183" i="269"/>
  <c r="D183" i="269"/>
  <c r="B183" i="269"/>
  <c r="C190" i="269" l="1"/>
  <c r="N190" i="269"/>
  <c r="N189" i="269" s="1"/>
  <c r="B189" i="269"/>
  <c r="N183" i="269"/>
  <c r="H183" i="269"/>
  <c r="AH298" i="92" l="1"/>
  <c r="AF298" i="92"/>
  <c r="AB298" i="92"/>
  <c r="V298" i="92"/>
  <c r="R298" i="92"/>
  <c r="P298" i="92"/>
  <c r="N298" i="92"/>
  <c r="L298" i="92"/>
  <c r="J298" i="92"/>
  <c r="H298" i="92"/>
  <c r="F298" i="92"/>
  <c r="D298" i="92"/>
  <c r="L295" i="15"/>
  <c r="J295" i="15"/>
  <c r="H295" i="15"/>
  <c r="F295" i="15"/>
  <c r="D295" i="15"/>
  <c r="B288" i="23"/>
  <c r="B287" i="23"/>
  <c r="B286" i="23"/>
  <c r="B285" i="23"/>
  <c r="B284" i="23"/>
  <c r="B283" i="23"/>
  <c r="B282" i="23"/>
  <c r="B281" i="23"/>
  <c r="B280" i="23"/>
  <c r="B279" i="23"/>
  <c r="B278" i="23"/>
  <c r="B289" i="23"/>
  <c r="B291" i="23"/>
  <c r="B292" i="23"/>
  <c r="B293" i="23"/>
  <c r="G279" i="217" l="1"/>
  <c r="G280" i="217"/>
  <c r="G281" i="217"/>
  <c r="G282" i="217"/>
  <c r="G283" i="217"/>
  <c r="G284" i="217"/>
  <c r="G285" i="217"/>
  <c r="G286" i="217"/>
  <c r="G287" i="217"/>
  <c r="G288" i="217"/>
  <c r="G290" i="217"/>
  <c r="G291" i="217"/>
  <c r="G292" i="217"/>
  <c r="D279" i="217"/>
  <c r="D280" i="217"/>
  <c r="D281" i="217"/>
  <c r="D282" i="217"/>
  <c r="D283" i="217"/>
  <c r="D284" i="217"/>
  <c r="D285" i="217"/>
  <c r="D286" i="217"/>
  <c r="D287" i="217"/>
  <c r="D288" i="217"/>
  <c r="D290" i="217"/>
  <c r="D291" i="217"/>
  <c r="D292" i="217"/>
  <c r="G292" i="209" l="1"/>
  <c r="J292" i="209"/>
  <c r="D292" i="209"/>
  <c r="D94" i="123" l="1"/>
  <c r="AH297" i="92"/>
  <c r="AF297" i="92"/>
  <c r="AD297" i="92"/>
  <c r="AB297" i="92"/>
  <c r="Y297" i="92"/>
  <c r="V297" i="92"/>
  <c r="R297" i="92"/>
  <c r="P297" i="92"/>
  <c r="N297" i="92"/>
  <c r="L297" i="92"/>
  <c r="J297" i="92"/>
  <c r="H297" i="92"/>
  <c r="F297" i="92"/>
  <c r="D297" i="92"/>
  <c r="L294" i="15"/>
  <c r="J294" i="15"/>
  <c r="H294" i="15"/>
  <c r="F294" i="15"/>
  <c r="D294" i="15"/>
  <c r="P181" i="269"/>
  <c r="O181" i="269"/>
  <c r="M181" i="269"/>
  <c r="K181" i="269"/>
  <c r="H181" i="269"/>
  <c r="I187" i="269" s="1"/>
  <c r="G181" i="269"/>
  <c r="E181" i="269"/>
  <c r="B181" i="269"/>
  <c r="C187" i="269" s="1"/>
  <c r="P180" i="269"/>
  <c r="O180" i="269"/>
  <c r="M180" i="269"/>
  <c r="K180" i="269"/>
  <c r="H180" i="269"/>
  <c r="I186" i="269" s="1"/>
  <c r="G180" i="269"/>
  <c r="E180" i="269"/>
  <c r="B180" i="269"/>
  <c r="P179" i="269"/>
  <c r="O179" i="269"/>
  <c r="M179" i="269"/>
  <c r="K179" i="269"/>
  <c r="H179" i="269"/>
  <c r="G179" i="269"/>
  <c r="E179" i="269"/>
  <c r="B179" i="269"/>
  <c r="C185" i="269" s="1"/>
  <c r="P178" i="269"/>
  <c r="O178" i="269"/>
  <c r="M178" i="269"/>
  <c r="K178" i="269"/>
  <c r="H178" i="269"/>
  <c r="G178" i="269"/>
  <c r="E178" i="269"/>
  <c r="B178" i="269"/>
  <c r="M177" i="269"/>
  <c r="L177" i="269"/>
  <c r="K177" i="269"/>
  <c r="J177" i="269"/>
  <c r="G177" i="269"/>
  <c r="F177" i="269"/>
  <c r="E177" i="269"/>
  <c r="D177" i="269"/>
  <c r="P175" i="269"/>
  <c r="O175" i="269"/>
  <c r="M175" i="269"/>
  <c r="K175" i="269"/>
  <c r="H175" i="269"/>
  <c r="G175" i="269"/>
  <c r="E175" i="269"/>
  <c r="B175" i="269"/>
  <c r="P174" i="269"/>
  <c r="O174" i="269"/>
  <c r="M174" i="269"/>
  <c r="K174" i="269"/>
  <c r="H174" i="269"/>
  <c r="G174" i="269"/>
  <c r="E174" i="269"/>
  <c r="B174" i="269"/>
  <c r="C174" i="269" s="1"/>
  <c r="P173" i="269"/>
  <c r="O173" i="269"/>
  <c r="M173" i="269"/>
  <c r="K173" i="269"/>
  <c r="H173" i="269"/>
  <c r="G173" i="269"/>
  <c r="E173" i="269"/>
  <c r="B173" i="269"/>
  <c r="P172" i="269"/>
  <c r="O172" i="269"/>
  <c r="M172" i="269"/>
  <c r="K172" i="269"/>
  <c r="H172" i="269"/>
  <c r="G172" i="269"/>
  <c r="E172" i="269"/>
  <c r="B172" i="269"/>
  <c r="M171" i="269"/>
  <c r="L171" i="269"/>
  <c r="K171" i="269"/>
  <c r="J171" i="269"/>
  <c r="G171" i="269"/>
  <c r="F171" i="269"/>
  <c r="E171" i="269"/>
  <c r="D171" i="269"/>
  <c r="P169" i="269"/>
  <c r="O169" i="269"/>
  <c r="M169" i="269"/>
  <c r="K169" i="269"/>
  <c r="H169" i="269"/>
  <c r="I169" i="269" s="1"/>
  <c r="G169" i="269"/>
  <c r="E169" i="269"/>
  <c r="B169" i="269"/>
  <c r="C169" i="269" s="1"/>
  <c r="P168" i="269"/>
  <c r="O168" i="269"/>
  <c r="M168" i="269"/>
  <c r="K168" i="269"/>
  <c r="H168" i="269"/>
  <c r="I168" i="269" s="1"/>
  <c r="G168" i="269"/>
  <c r="E168" i="269"/>
  <c r="B168" i="269"/>
  <c r="P167" i="269"/>
  <c r="O167" i="269"/>
  <c r="M167" i="269"/>
  <c r="K167" i="269"/>
  <c r="H167" i="269"/>
  <c r="I167" i="269" s="1"/>
  <c r="G167" i="269"/>
  <c r="E167" i="269"/>
  <c r="B167" i="269"/>
  <c r="C167" i="269" s="1"/>
  <c r="P166" i="269"/>
  <c r="O166" i="269"/>
  <c r="M166" i="269"/>
  <c r="K166" i="269"/>
  <c r="H166" i="269"/>
  <c r="I166" i="269" s="1"/>
  <c r="G166" i="269"/>
  <c r="E166" i="269"/>
  <c r="B166" i="269"/>
  <c r="C166" i="269" s="1"/>
  <c r="M165" i="269"/>
  <c r="L165" i="269"/>
  <c r="K165" i="269"/>
  <c r="J165" i="269"/>
  <c r="G165" i="269"/>
  <c r="F165" i="269"/>
  <c r="E165" i="269"/>
  <c r="D165" i="269"/>
  <c r="E160" i="269"/>
  <c r="P159" i="269"/>
  <c r="O159" i="269"/>
  <c r="N159" i="269"/>
  <c r="L159" i="269"/>
  <c r="J159" i="269"/>
  <c r="H159" i="269"/>
  <c r="F159" i="269"/>
  <c r="D159" i="269"/>
  <c r="B159" i="269"/>
  <c r="H156" i="269"/>
  <c r="E156" i="269"/>
  <c r="C156" i="269"/>
  <c r="O155" i="269"/>
  <c r="L155" i="269"/>
  <c r="L157" i="269" s="1"/>
  <c r="M157" i="269" s="1"/>
  <c r="J155" i="269"/>
  <c r="K155" i="269" s="1"/>
  <c r="F155" i="269"/>
  <c r="F157" i="269" s="1"/>
  <c r="D155" i="269"/>
  <c r="D157" i="269" s="1"/>
  <c r="P154" i="269"/>
  <c r="O154" i="269"/>
  <c r="M154" i="269"/>
  <c r="K154" i="269"/>
  <c r="H154" i="269"/>
  <c r="I154" i="269" s="1"/>
  <c r="G154" i="269"/>
  <c r="E154" i="269"/>
  <c r="B154" i="269"/>
  <c r="C154" i="269" s="1"/>
  <c r="G153" i="269"/>
  <c r="F153" i="269"/>
  <c r="P147" i="269"/>
  <c r="O147" i="269"/>
  <c r="N147" i="269"/>
  <c r="M147" i="269"/>
  <c r="L147" i="269"/>
  <c r="K147" i="269"/>
  <c r="J147" i="269"/>
  <c r="H147" i="269"/>
  <c r="G147" i="269"/>
  <c r="F147" i="269"/>
  <c r="E147" i="269"/>
  <c r="D147" i="269"/>
  <c r="B147" i="269"/>
  <c r="P145" i="269"/>
  <c r="O145" i="269"/>
  <c r="H145" i="269"/>
  <c r="B145" i="269"/>
  <c r="P144" i="269"/>
  <c r="O144" i="269"/>
  <c r="H144" i="269"/>
  <c r="B144" i="269"/>
  <c r="P143" i="269"/>
  <c r="O143" i="269"/>
  <c r="M143" i="269"/>
  <c r="K143" i="269"/>
  <c r="H143" i="269"/>
  <c r="G143" i="269"/>
  <c r="E143" i="269"/>
  <c r="B143" i="269"/>
  <c r="P142" i="269"/>
  <c r="O142" i="269"/>
  <c r="M142" i="269"/>
  <c r="K142" i="269"/>
  <c r="H142" i="269"/>
  <c r="G142" i="269"/>
  <c r="E142" i="269"/>
  <c r="B142" i="269"/>
  <c r="L141" i="269"/>
  <c r="J141" i="269"/>
  <c r="F141" i="269"/>
  <c r="D141" i="269"/>
  <c r="L138" i="269"/>
  <c r="J138" i="269"/>
  <c r="K144" i="269" s="1"/>
  <c r="F138" i="269"/>
  <c r="F139" i="269" s="1"/>
  <c r="D138" i="269"/>
  <c r="D139" i="269" s="1"/>
  <c r="B139" i="269" s="1"/>
  <c r="P137" i="269"/>
  <c r="O137" i="269"/>
  <c r="M137" i="269"/>
  <c r="K137" i="269"/>
  <c r="H137" i="269"/>
  <c r="G137" i="269"/>
  <c r="E137" i="269"/>
  <c r="B137" i="269"/>
  <c r="C143" i="269" s="1"/>
  <c r="P136" i="269"/>
  <c r="O136" i="269"/>
  <c r="M136" i="269"/>
  <c r="K136" i="269"/>
  <c r="H136" i="269"/>
  <c r="G136" i="269"/>
  <c r="E136" i="269"/>
  <c r="B136" i="269"/>
  <c r="P133" i="269"/>
  <c r="O133" i="269"/>
  <c r="M133" i="269"/>
  <c r="K133" i="269"/>
  <c r="H133" i="269"/>
  <c r="G133" i="269"/>
  <c r="E133" i="269"/>
  <c r="B133" i="269"/>
  <c r="N133" i="269" s="1"/>
  <c r="P132" i="269"/>
  <c r="O132" i="269"/>
  <c r="M132" i="269"/>
  <c r="K132" i="269"/>
  <c r="H132" i="269"/>
  <c r="G132" i="269"/>
  <c r="E132" i="269"/>
  <c r="B132" i="269"/>
  <c r="P131" i="269"/>
  <c r="O131" i="269"/>
  <c r="M131" i="269"/>
  <c r="K131" i="269"/>
  <c r="H131" i="269"/>
  <c r="G131" i="269"/>
  <c r="E131" i="269"/>
  <c r="B131" i="269"/>
  <c r="P130" i="269"/>
  <c r="O130" i="269"/>
  <c r="M130" i="269"/>
  <c r="K130" i="269"/>
  <c r="H130" i="269"/>
  <c r="G130" i="269"/>
  <c r="E130" i="269"/>
  <c r="B130" i="269"/>
  <c r="C130" i="269" s="1"/>
  <c r="M129" i="269"/>
  <c r="L129" i="269"/>
  <c r="K129" i="269"/>
  <c r="J129" i="269"/>
  <c r="G129" i="269"/>
  <c r="F129" i="269"/>
  <c r="E129" i="269"/>
  <c r="D129" i="269"/>
  <c r="P127" i="269"/>
  <c r="O127" i="269"/>
  <c r="M127" i="269"/>
  <c r="K127" i="269"/>
  <c r="H127" i="269"/>
  <c r="I127" i="269" s="1"/>
  <c r="G127" i="269"/>
  <c r="E127" i="269"/>
  <c r="B127" i="269"/>
  <c r="C127" i="269" s="1"/>
  <c r="P126" i="269"/>
  <c r="O126" i="269"/>
  <c r="N126" i="269" s="1"/>
  <c r="M126" i="269"/>
  <c r="K126" i="269"/>
  <c r="H126" i="269"/>
  <c r="I126" i="269" s="1"/>
  <c r="G126" i="269"/>
  <c r="E126" i="269"/>
  <c r="B126" i="269"/>
  <c r="C126" i="269" s="1"/>
  <c r="P125" i="269"/>
  <c r="O125" i="269"/>
  <c r="M125" i="269"/>
  <c r="K125" i="269"/>
  <c r="H125" i="269"/>
  <c r="G125" i="269"/>
  <c r="E125" i="269"/>
  <c r="B125" i="269"/>
  <c r="P124" i="269"/>
  <c r="O124" i="269"/>
  <c r="N124" i="269"/>
  <c r="M124" i="269"/>
  <c r="K124" i="269"/>
  <c r="I124" i="269"/>
  <c r="G124" i="269"/>
  <c r="E124" i="269"/>
  <c r="C124" i="269"/>
  <c r="M123" i="269"/>
  <c r="L123" i="269"/>
  <c r="K123" i="269"/>
  <c r="J123" i="269"/>
  <c r="G123" i="269"/>
  <c r="F123" i="269"/>
  <c r="E123" i="269"/>
  <c r="D123" i="269"/>
  <c r="P61" i="269"/>
  <c r="O61" i="269"/>
  <c r="N61" i="269"/>
  <c r="M61" i="269"/>
  <c r="K61" i="269"/>
  <c r="I61" i="269"/>
  <c r="G61" i="269"/>
  <c r="E61" i="269"/>
  <c r="C61" i="269"/>
  <c r="P60" i="269"/>
  <c r="O60" i="269"/>
  <c r="N60" i="269"/>
  <c r="M60" i="269"/>
  <c r="K60" i="269"/>
  <c r="I60" i="269"/>
  <c r="G60" i="269"/>
  <c r="E60" i="269"/>
  <c r="C60" i="269"/>
  <c r="P59" i="269"/>
  <c r="O59" i="269"/>
  <c r="N59" i="269"/>
  <c r="M59" i="269"/>
  <c r="K59" i="269"/>
  <c r="I59" i="269"/>
  <c r="G59" i="269"/>
  <c r="E59" i="269"/>
  <c r="C59" i="269"/>
  <c r="P58" i="269"/>
  <c r="O58" i="269"/>
  <c r="N58" i="269"/>
  <c r="M58" i="269"/>
  <c r="K58" i="269"/>
  <c r="I58" i="269"/>
  <c r="G58" i="269"/>
  <c r="E58" i="269"/>
  <c r="C58" i="269"/>
  <c r="L57" i="269"/>
  <c r="J57" i="269"/>
  <c r="H57" i="269"/>
  <c r="F57" i="269"/>
  <c r="D57" i="269"/>
  <c r="B57" i="269"/>
  <c r="P55" i="269"/>
  <c r="O55" i="269"/>
  <c r="N55" i="269"/>
  <c r="M55" i="269"/>
  <c r="K55" i="269"/>
  <c r="I55" i="269"/>
  <c r="G55" i="269"/>
  <c r="E55" i="269"/>
  <c r="C55" i="269"/>
  <c r="P54" i="269"/>
  <c r="O54" i="269"/>
  <c r="N54" i="269"/>
  <c r="M54" i="269"/>
  <c r="K54" i="269"/>
  <c r="I54" i="269"/>
  <c r="G54" i="269"/>
  <c r="E54" i="269"/>
  <c r="C54" i="269"/>
  <c r="P53" i="269"/>
  <c r="O53" i="269"/>
  <c r="N53" i="269"/>
  <c r="M53" i="269"/>
  <c r="K53" i="269"/>
  <c r="I53" i="269"/>
  <c r="G53" i="269"/>
  <c r="E53" i="269"/>
  <c r="C53" i="269"/>
  <c r="P52" i="269"/>
  <c r="O52" i="269"/>
  <c r="N52" i="269"/>
  <c r="M52" i="269"/>
  <c r="K52" i="269"/>
  <c r="I52" i="269"/>
  <c r="G52" i="269"/>
  <c r="E52" i="269"/>
  <c r="C52" i="269"/>
  <c r="L51" i="269"/>
  <c r="J51" i="269"/>
  <c r="H51" i="269"/>
  <c r="F51" i="269"/>
  <c r="D51" i="269"/>
  <c r="E51" i="269" s="1"/>
  <c r="B51" i="269"/>
  <c r="P49" i="269"/>
  <c r="O49" i="269"/>
  <c r="N49" i="269"/>
  <c r="M49" i="269"/>
  <c r="K49" i="269"/>
  <c r="I49" i="269"/>
  <c r="G49" i="269"/>
  <c r="E49" i="269"/>
  <c r="C49" i="269"/>
  <c r="P48" i="269"/>
  <c r="O48" i="269"/>
  <c r="N48" i="269"/>
  <c r="P47" i="269"/>
  <c r="O47" i="269"/>
  <c r="N47" i="269"/>
  <c r="M47" i="269"/>
  <c r="P46" i="269"/>
  <c r="O46" i="269"/>
  <c r="N46" i="269"/>
  <c r="M46" i="269"/>
  <c r="K46" i="269"/>
  <c r="I46" i="269"/>
  <c r="G46" i="269"/>
  <c r="E46" i="269"/>
  <c r="C46" i="269"/>
  <c r="L45" i="269"/>
  <c r="J45" i="269"/>
  <c r="H45" i="269"/>
  <c r="F45" i="269"/>
  <c r="D45" i="269"/>
  <c r="B45" i="269"/>
  <c r="P43" i="269"/>
  <c r="O43" i="269"/>
  <c r="N43" i="269"/>
  <c r="M43" i="269"/>
  <c r="K43" i="269"/>
  <c r="I43" i="269"/>
  <c r="G43" i="269"/>
  <c r="E43" i="269"/>
  <c r="C43" i="269"/>
  <c r="L41" i="269"/>
  <c r="L42" i="269" s="1"/>
  <c r="J41" i="269"/>
  <c r="K47" i="269" s="1"/>
  <c r="H41" i="269"/>
  <c r="I41" i="269" s="1"/>
  <c r="F41" i="269"/>
  <c r="G47" i="269" s="1"/>
  <c r="D41" i="269"/>
  <c r="E41" i="269" s="1"/>
  <c r="B41" i="269"/>
  <c r="P40" i="269"/>
  <c r="O40" i="269"/>
  <c r="N40" i="269"/>
  <c r="M40" i="269"/>
  <c r="K40" i="269"/>
  <c r="I40" i="269"/>
  <c r="G40" i="269"/>
  <c r="E40" i="269"/>
  <c r="C40" i="269"/>
  <c r="L39" i="269"/>
  <c r="P37" i="269"/>
  <c r="O37" i="269"/>
  <c r="N37" i="269"/>
  <c r="M37" i="269"/>
  <c r="K37" i="269"/>
  <c r="I37" i="269"/>
  <c r="G37" i="269"/>
  <c r="E37" i="269"/>
  <c r="C37" i="269"/>
  <c r="P36" i="269"/>
  <c r="O36" i="269"/>
  <c r="N36" i="269"/>
  <c r="M36" i="269"/>
  <c r="K36" i="269"/>
  <c r="I36" i="269"/>
  <c r="G36" i="269"/>
  <c r="E36" i="269"/>
  <c r="C36" i="269"/>
  <c r="P35" i="269"/>
  <c r="O35" i="269"/>
  <c r="N35" i="269"/>
  <c r="M35" i="269"/>
  <c r="K35" i="269"/>
  <c r="I35" i="269"/>
  <c r="G35" i="269"/>
  <c r="E35" i="269"/>
  <c r="C35" i="269"/>
  <c r="P34" i="269"/>
  <c r="O34" i="269"/>
  <c r="N34" i="269"/>
  <c r="L33" i="269"/>
  <c r="J33" i="269"/>
  <c r="H33" i="269"/>
  <c r="F33" i="269"/>
  <c r="D33" i="269"/>
  <c r="B33" i="269"/>
  <c r="P31" i="269"/>
  <c r="O31" i="269"/>
  <c r="N31" i="269"/>
  <c r="M31" i="269"/>
  <c r="K31" i="269"/>
  <c r="I31" i="269"/>
  <c r="G31" i="269"/>
  <c r="E31" i="269"/>
  <c r="C31" i="269"/>
  <c r="P30" i="269"/>
  <c r="O30" i="269"/>
  <c r="N30" i="269"/>
  <c r="M30" i="269"/>
  <c r="K30" i="269"/>
  <c r="I30" i="269"/>
  <c r="G30" i="269"/>
  <c r="E30" i="269"/>
  <c r="C30" i="269"/>
  <c r="P29" i="269"/>
  <c r="O29" i="269"/>
  <c r="N29" i="269"/>
  <c r="M29" i="269"/>
  <c r="K29" i="269"/>
  <c r="I29" i="269"/>
  <c r="G29" i="269"/>
  <c r="E29" i="269"/>
  <c r="C29" i="269"/>
  <c r="P28" i="269"/>
  <c r="O28" i="269"/>
  <c r="N28" i="269"/>
  <c r="M28" i="269"/>
  <c r="K28" i="269"/>
  <c r="I28" i="269"/>
  <c r="G28" i="269"/>
  <c r="E28" i="269"/>
  <c r="C28" i="269"/>
  <c r="L27" i="269"/>
  <c r="J27" i="269"/>
  <c r="H27" i="269"/>
  <c r="F27" i="269"/>
  <c r="D27" i="269"/>
  <c r="B27" i="269"/>
  <c r="N27" i="269" s="1"/>
  <c r="P26" i="269"/>
  <c r="O26" i="269"/>
  <c r="N26" i="269"/>
  <c r="P25" i="269"/>
  <c r="O25" i="269"/>
  <c r="N25" i="269"/>
  <c r="P24" i="269"/>
  <c r="O24" i="269"/>
  <c r="N24" i="269"/>
  <c r="P23" i="269"/>
  <c r="O23" i="269"/>
  <c r="N23" i="269"/>
  <c r="L22" i="269"/>
  <c r="J22" i="269"/>
  <c r="K22" i="269" s="1"/>
  <c r="H22" i="269"/>
  <c r="I22" i="269" s="1"/>
  <c r="F22" i="269"/>
  <c r="D22" i="269"/>
  <c r="E22" i="269" s="1"/>
  <c r="B22" i="269"/>
  <c r="C22" i="269" s="1"/>
  <c r="P21" i="269"/>
  <c r="O21" i="269"/>
  <c r="N21" i="269"/>
  <c r="M21" i="269"/>
  <c r="K21" i="269"/>
  <c r="I21" i="269"/>
  <c r="G21" i="269"/>
  <c r="E21" i="269"/>
  <c r="C21" i="269"/>
  <c r="P20" i="269"/>
  <c r="O20" i="269"/>
  <c r="N20" i="269"/>
  <c r="M20" i="269"/>
  <c r="P19" i="269"/>
  <c r="O19" i="269"/>
  <c r="N19" i="269"/>
  <c r="BY6" i="269"/>
  <c r="N127" i="269" l="1"/>
  <c r="O129" i="269"/>
  <c r="N132" i="269"/>
  <c r="O165" i="269"/>
  <c r="N125" i="269"/>
  <c r="P22" i="269"/>
  <c r="E57" i="269"/>
  <c r="I165" i="269"/>
  <c r="I171" i="269"/>
  <c r="I179" i="269"/>
  <c r="I185" i="269"/>
  <c r="K57" i="269"/>
  <c r="C178" i="269"/>
  <c r="C183" i="269"/>
  <c r="C184" i="269"/>
  <c r="M51" i="269"/>
  <c r="I184" i="269"/>
  <c r="I183" i="269"/>
  <c r="O22" i="269"/>
  <c r="I27" i="269"/>
  <c r="N173" i="269"/>
  <c r="N180" i="269"/>
  <c r="C186" i="269"/>
  <c r="M39" i="269"/>
  <c r="J157" i="269"/>
  <c r="K157" i="269" s="1"/>
  <c r="M155" i="269"/>
  <c r="I131" i="269"/>
  <c r="I136" i="269"/>
  <c r="O171" i="269"/>
  <c r="O57" i="269"/>
  <c r="I125" i="269"/>
  <c r="O33" i="269"/>
  <c r="P129" i="269"/>
  <c r="I132" i="269"/>
  <c r="N143" i="269"/>
  <c r="P141" i="269"/>
  <c r="P155" i="269"/>
  <c r="P171" i="269"/>
  <c r="P33" i="269"/>
  <c r="K51" i="269"/>
  <c r="I33" i="269"/>
  <c r="H123" i="269"/>
  <c r="C165" i="269"/>
  <c r="B171" i="269"/>
  <c r="I174" i="269"/>
  <c r="K33" i="269"/>
  <c r="I47" i="269"/>
  <c r="C57" i="269"/>
  <c r="I123" i="269"/>
  <c r="G159" i="269"/>
  <c r="H165" i="269"/>
  <c r="N166" i="269"/>
  <c r="I129" i="269"/>
  <c r="H141" i="269"/>
  <c r="N123" i="269"/>
  <c r="B155" i="269"/>
  <c r="C161" i="269" s="1"/>
  <c r="P177" i="269"/>
  <c r="I181" i="269"/>
  <c r="J139" i="269"/>
  <c r="J135" i="269" s="1"/>
  <c r="O27" i="269"/>
  <c r="C51" i="269"/>
  <c r="C131" i="269"/>
  <c r="I137" i="269"/>
  <c r="G144" i="269"/>
  <c r="N178" i="269"/>
  <c r="O51" i="269"/>
  <c r="O41" i="269"/>
  <c r="C172" i="269"/>
  <c r="K27" i="269"/>
  <c r="F42" i="269"/>
  <c r="G42" i="269" s="1"/>
  <c r="B123" i="269"/>
  <c r="L139" i="269"/>
  <c r="L135" i="269" s="1"/>
  <c r="H155" i="269"/>
  <c r="I155" i="269" s="1"/>
  <c r="N168" i="269"/>
  <c r="O177" i="269"/>
  <c r="E33" i="269"/>
  <c r="N145" i="269"/>
  <c r="K138" i="269"/>
  <c r="P165" i="269"/>
  <c r="C173" i="269"/>
  <c r="N174" i="269"/>
  <c r="M27" i="269"/>
  <c r="H42" i="269"/>
  <c r="I48" i="269" s="1"/>
  <c r="I172" i="269"/>
  <c r="N175" i="269"/>
  <c r="I180" i="269"/>
  <c r="J42" i="269"/>
  <c r="K48" i="269" s="1"/>
  <c r="P45" i="269"/>
  <c r="G51" i="269"/>
  <c r="M57" i="269"/>
  <c r="N167" i="269"/>
  <c r="N165" i="269" s="1"/>
  <c r="C177" i="269"/>
  <c r="I143" i="269"/>
  <c r="G41" i="269"/>
  <c r="I130" i="269"/>
  <c r="D42" i="269"/>
  <c r="D39" i="269" s="1"/>
  <c r="N33" i="269"/>
  <c r="N41" i="269"/>
  <c r="E47" i="269"/>
  <c r="N57" i="269"/>
  <c r="M153" i="269"/>
  <c r="C145" i="269"/>
  <c r="C139" i="269"/>
  <c r="M33" i="269"/>
  <c r="G57" i="269"/>
  <c r="I147" i="269"/>
  <c r="G139" i="269"/>
  <c r="G135" i="269"/>
  <c r="G27" i="269"/>
  <c r="G22" i="269"/>
  <c r="P51" i="269"/>
  <c r="N131" i="269"/>
  <c r="D135" i="269"/>
  <c r="N144" i="269"/>
  <c r="P157" i="269"/>
  <c r="P153" i="269" s="1"/>
  <c r="M48" i="269"/>
  <c r="M42" i="269"/>
  <c r="P57" i="269"/>
  <c r="E141" i="269"/>
  <c r="O141" i="269"/>
  <c r="G155" i="269"/>
  <c r="M41" i="269"/>
  <c r="O45" i="269"/>
  <c r="N130" i="269"/>
  <c r="N129" i="269" s="1"/>
  <c r="C133" i="269"/>
  <c r="F135" i="269"/>
  <c r="O138" i="269"/>
  <c r="I142" i="269"/>
  <c r="H157" i="269"/>
  <c r="N136" i="269"/>
  <c r="P138" i="269"/>
  <c r="G141" i="269"/>
  <c r="D153" i="269"/>
  <c r="N169" i="269"/>
  <c r="N179" i="269"/>
  <c r="N181" i="269"/>
  <c r="C47" i="269"/>
  <c r="B42" i="269"/>
  <c r="B39" i="269" s="1"/>
  <c r="C41" i="269"/>
  <c r="C33" i="269"/>
  <c r="C27" i="269"/>
  <c r="P27" i="269"/>
  <c r="M138" i="269"/>
  <c r="N45" i="269"/>
  <c r="E135" i="269"/>
  <c r="N137" i="269"/>
  <c r="G157" i="269"/>
  <c r="N172" i="269"/>
  <c r="C175" i="269"/>
  <c r="C132" i="269"/>
  <c r="B138" i="269"/>
  <c r="G145" i="269"/>
  <c r="E153" i="269"/>
  <c r="K153" i="269"/>
  <c r="K159" i="269"/>
  <c r="J153" i="269"/>
  <c r="C181" i="269"/>
  <c r="M22" i="269"/>
  <c r="B129" i="269"/>
  <c r="E145" i="269"/>
  <c r="E139" i="269"/>
  <c r="E144" i="269"/>
  <c r="N22" i="269"/>
  <c r="I57" i="269"/>
  <c r="I51" i="269"/>
  <c r="C129" i="269"/>
  <c r="C137" i="269"/>
  <c r="E138" i="269"/>
  <c r="C171" i="269"/>
  <c r="C180" i="269"/>
  <c r="O123" i="269"/>
  <c r="C136" i="269"/>
  <c r="C147" i="269"/>
  <c r="B141" i="269"/>
  <c r="N142" i="269"/>
  <c r="C155" i="269"/>
  <c r="B177" i="269"/>
  <c r="C179" i="269"/>
  <c r="N51" i="269"/>
  <c r="P123" i="269"/>
  <c r="C142" i="269"/>
  <c r="E157" i="269"/>
  <c r="O157" i="269"/>
  <c r="O153" i="269" s="1"/>
  <c r="B157" i="269"/>
  <c r="E159" i="269"/>
  <c r="E161" i="269"/>
  <c r="C168" i="269"/>
  <c r="K42" i="269"/>
  <c r="C125" i="269"/>
  <c r="C123" i="269"/>
  <c r="M144" i="269"/>
  <c r="N154" i="269"/>
  <c r="E155" i="269"/>
  <c r="B165" i="269"/>
  <c r="E27" i="269"/>
  <c r="G33" i="269"/>
  <c r="K41" i="269"/>
  <c r="P41" i="269"/>
  <c r="M45" i="269"/>
  <c r="I133" i="269"/>
  <c r="G138" i="269"/>
  <c r="I175" i="269"/>
  <c r="H177" i="269"/>
  <c r="H129" i="269"/>
  <c r="H138" i="269"/>
  <c r="I144" i="269" s="1"/>
  <c r="L153" i="269"/>
  <c r="M159" i="269"/>
  <c r="H171" i="269"/>
  <c r="I177" i="269"/>
  <c r="I173" i="269"/>
  <c r="I178" i="269"/>
  <c r="G48" i="269" l="1"/>
  <c r="K141" i="269"/>
  <c r="F39" i="269"/>
  <c r="J39" i="269"/>
  <c r="C153" i="269"/>
  <c r="N141" i="269"/>
  <c r="O42" i="269"/>
  <c r="K145" i="269"/>
  <c r="P42" i="269"/>
  <c r="N171" i="269"/>
  <c r="M139" i="269"/>
  <c r="M145" i="269"/>
  <c r="P139" i="269"/>
  <c r="P135" i="269" s="1"/>
  <c r="K135" i="269"/>
  <c r="K139" i="269"/>
  <c r="H139" i="269"/>
  <c r="I42" i="269"/>
  <c r="N177" i="269"/>
  <c r="E48" i="269"/>
  <c r="E42" i="269"/>
  <c r="M141" i="269"/>
  <c r="M135" i="269"/>
  <c r="N155" i="269"/>
  <c r="N153" i="269" s="1"/>
  <c r="O139" i="269"/>
  <c r="O135" i="269" s="1"/>
  <c r="H39" i="269"/>
  <c r="C144" i="269"/>
  <c r="N138" i="269"/>
  <c r="C138" i="269"/>
  <c r="B153" i="269"/>
  <c r="H153" i="269"/>
  <c r="I157" i="269"/>
  <c r="I153" i="269"/>
  <c r="C159" i="269"/>
  <c r="C42" i="269"/>
  <c r="N42" i="269"/>
  <c r="C48" i="269"/>
  <c r="I159" i="269"/>
  <c r="C135" i="269"/>
  <c r="C45" i="269"/>
  <c r="C39" i="269"/>
  <c r="G39" i="269"/>
  <c r="P39" i="269"/>
  <c r="C141" i="269"/>
  <c r="G45" i="269"/>
  <c r="E39" i="269"/>
  <c r="O39" i="269"/>
  <c r="E45" i="269"/>
  <c r="B135" i="269"/>
  <c r="I138" i="269"/>
  <c r="H135" i="269"/>
  <c r="C157" i="269"/>
  <c r="N157" i="269"/>
  <c r="K39" i="269"/>
  <c r="K45" i="269"/>
  <c r="I139" i="269" l="1"/>
  <c r="N139" i="269"/>
  <c r="N135" i="269" s="1"/>
  <c r="I145" i="269"/>
  <c r="I135" i="269"/>
  <c r="I39" i="269"/>
  <c r="I45" i="269"/>
  <c r="I141" i="269"/>
  <c r="N39" i="269"/>
  <c r="D93" i="123"/>
  <c r="D92" i="123"/>
  <c r="AH296" i="92"/>
  <c r="AF296" i="92"/>
  <c r="AD296" i="92"/>
  <c r="AB296" i="92"/>
  <c r="Y296" i="92"/>
  <c r="Z296" i="92" s="1"/>
  <c r="V296" i="92"/>
  <c r="R296" i="92"/>
  <c r="P296" i="92"/>
  <c r="N296" i="92"/>
  <c r="L296" i="92"/>
  <c r="J296" i="92"/>
  <c r="H296" i="92"/>
  <c r="F296" i="92"/>
  <c r="D296" i="92"/>
  <c r="L293" i="15"/>
  <c r="J293" i="15"/>
  <c r="H293" i="15"/>
  <c r="F293" i="15"/>
  <c r="D293" i="15"/>
  <c r="E297" i="32"/>
  <c r="B297" i="32"/>
  <c r="I297" i="32" s="1"/>
  <c r="J291" i="209"/>
  <c r="G291" i="209"/>
  <c r="D291" i="209"/>
  <c r="H297" i="32" l="1"/>
  <c r="C302" i="33" l="1"/>
  <c r="D302" i="33"/>
  <c r="E302" i="33"/>
  <c r="F302" i="33"/>
  <c r="G302" i="33"/>
  <c r="H302" i="33"/>
  <c r="I302" i="33"/>
  <c r="B302" i="33"/>
  <c r="C289" i="33"/>
  <c r="D289" i="33"/>
  <c r="E289" i="33"/>
  <c r="F289" i="33"/>
  <c r="G289" i="33"/>
  <c r="H289" i="33"/>
  <c r="I289" i="33"/>
  <c r="B289" i="33"/>
  <c r="C276" i="217" l="1"/>
  <c r="F276" i="217"/>
  <c r="J285" i="209" l="1"/>
  <c r="J286" i="209"/>
  <c r="J287" i="209"/>
  <c r="J288" i="209"/>
  <c r="J290" i="209"/>
  <c r="G285" i="209"/>
  <c r="G286" i="209"/>
  <c r="G287" i="209"/>
  <c r="G288" i="209"/>
  <c r="G290" i="209"/>
  <c r="D285" i="209"/>
  <c r="D286" i="209"/>
  <c r="D287" i="209"/>
  <c r="D288" i="209"/>
  <c r="D290" i="209"/>
  <c r="ER43" i="189" l="1"/>
  <c r="ER24" i="189"/>
  <c r="AH295" i="92" l="1"/>
  <c r="AF295" i="92"/>
  <c r="AD295" i="92"/>
  <c r="AB295" i="92"/>
  <c r="Y295" i="92"/>
  <c r="Z295" i="92" s="1"/>
  <c r="X295" i="92"/>
  <c r="V295" i="92"/>
  <c r="T295" i="92"/>
  <c r="R295" i="92"/>
  <c r="P295" i="92"/>
  <c r="N295" i="92"/>
  <c r="L295" i="92"/>
  <c r="J295" i="92"/>
  <c r="H295" i="92"/>
  <c r="F295" i="92"/>
  <c r="D295" i="92"/>
  <c r="L292" i="15"/>
  <c r="J292" i="15"/>
  <c r="H292" i="15"/>
  <c r="F292" i="15"/>
  <c r="D292" i="15"/>
  <c r="G65" i="218"/>
  <c r="F65" i="218"/>
  <c r="E65" i="218"/>
  <c r="D65" i="218"/>
  <c r="C65" i="218"/>
  <c r="B65" i="218"/>
  <c r="E276" i="217" l="1"/>
  <c r="B276" i="217"/>
  <c r="C207" i="214" l="1"/>
  <c r="D207" i="214"/>
  <c r="E207" i="214"/>
  <c r="F207" i="214"/>
  <c r="G207" i="214"/>
  <c r="H207" i="214"/>
  <c r="I207" i="214"/>
  <c r="J207" i="214"/>
  <c r="K207" i="214"/>
  <c r="L207" i="214"/>
  <c r="M207" i="214"/>
  <c r="N207" i="214"/>
  <c r="O207" i="214"/>
  <c r="B207" i="214"/>
  <c r="I213" i="213"/>
  <c r="J213" i="213"/>
  <c r="K213" i="213"/>
  <c r="L213" i="213"/>
  <c r="M213" i="213"/>
  <c r="N213" i="213"/>
  <c r="O213" i="213"/>
  <c r="P213" i="213"/>
  <c r="Q213" i="213"/>
  <c r="R213" i="213"/>
  <c r="S213" i="213"/>
  <c r="T213" i="213"/>
  <c r="U213" i="213"/>
  <c r="V213" i="213"/>
  <c r="W213" i="213"/>
  <c r="X213" i="213"/>
  <c r="Y213" i="213"/>
  <c r="Z213" i="213"/>
  <c r="AA213" i="213"/>
  <c r="AB213" i="213"/>
  <c r="AC213" i="213"/>
  <c r="AD213" i="213"/>
  <c r="AE213" i="213"/>
  <c r="AF213" i="213"/>
  <c r="AG213" i="213"/>
  <c r="AH213" i="213"/>
  <c r="AI213" i="213"/>
  <c r="AJ213" i="213"/>
  <c r="AK213" i="213"/>
  <c r="AL213" i="213"/>
  <c r="AM213" i="213"/>
  <c r="AN213" i="213"/>
  <c r="AO213" i="213"/>
  <c r="AP213" i="213"/>
  <c r="AQ213" i="213"/>
  <c r="AR213" i="213"/>
  <c r="AS213" i="213"/>
  <c r="AT213" i="213"/>
  <c r="AU213" i="213"/>
  <c r="AV213" i="213"/>
  <c r="AW213" i="213"/>
  <c r="AX213" i="213"/>
  <c r="AY213" i="213"/>
  <c r="AZ213" i="213"/>
  <c r="BA213" i="213"/>
  <c r="BB213" i="213"/>
  <c r="BC213" i="213"/>
  <c r="BD213" i="213"/>
  <c r="BE213" i="213"/>
  <c r="BF213" i="213"/>
  <c r="BG213" i="213"/>
  <c r="BH213" i="213"/>
  <c r="BI213" i="213"/>
  <c r="BJ213" i="213"/>
  <c r="BK213" i="213"/>
  <c r="BL213" i="213"/>
  <c r="BM213" i="213"/>
  <c r="H213" i="213"/>
  <c r="I276" i="209" l="1"/>
  <c r="H276" i="209"/>
  <c r="F276" i="209"/>
  <c r="E276" i="209"/>
  <c r="C276" i="209"/>
  <c r="B276" i="209"/>
  <c r="G277" i="106" l="1"/>
  <c r="G278" i="106"/>
  <c r="G279" i="106"/>
  <c r="G280" i="106"/>
  <c r="G282" i="106"/>
  <c r="G283" i="106"/>
  <c r="G284" i="106"/>
  <c r="G285" i="106"/>
  <c r="G286" i="106"/>
  <c r="G287" i="106"/>
  <c r="G288" i="106"/>
  <c r="G289" i="106"/>
  <c r="G290" i="106"/>
  <c r="G291" i="106"/>
  <c r="G292" i="106"/>
  <c r="G293" i="106"/>
  <c r="G294" i="106"/>
  <c r="E277" i="106"/>
  <c r="E278" i="106"/>
  <c r="E279" i="106"/>
  <c r="E280" i="106"/>
  <c r="E281" i="106"/>
  <c r="E282" i="106"/>
  <c r="E283" i="106"/>
  <c r="E284" i="106"/>
  <c r="E285" i="106"/>
  <c r="E286" i="106"/>
  <c r="E287" i="106"/>
  <c r="E288" i="106"/>
  <c r="E289" i="106"/>
  <c r="E290" i="106"/>
  <c r="E291" i="106"/>
  <c r="E292" i="106"/>
  <c r="E293" i="106"/>
  <c r="E294" i="106"/>
  <c r="C278" i="106"/>
  <c r="C279" i="106"/>
  <c r="C280" i="106"/>
  <c r="C281" i="106"/>
  <c r="C282" i="106"/>
  <c r="C283" i="106"/>
  <c r="C284" i="106"/>
  <c r="C285" i="106"/>
  <c r="C286" i="106"/>
  <c r="C287" i="106"/>
  <c r="C288" i="106"/>
  <c r="C289" i="106"/>
  <c r="C290" i="106"/>
  <c r="C291" i="106"/>
  <c r="C292" i="106"/>
  <c r="C293" i="106"/>
  <c r="C294" i="106"/>
  <c r="H293" i="32" l="1"/>
  <c r="I293" i="32"/>
  <c r="H294" i="32"/>
  <c r="I294" i="32"/>
  <c r="E294" i="32"/>
  <c r="E293" i="32"/>
  <c r="G211" i="48"/>
  <c r="H211" i="48"/>
  <c r="I211" i="48"/>
  <c r="F211" i="48"/>
  <c r="C211" i="48"/>
  <c r="D211" i="48"/>
  <c r="E211" i="48"/>
  <c r="B211" i="48"/>
  <c r="C284" i="25" l="1"/>
  <c r="D284" i="25"/>
  <c r="E284" i="25"/>
  <c r="F284" i="25"/>
  <c r="G284" i="25"/>
  <c r="H284" i="25"/>
  <c r="I284" i="25"/>
  <c r="J284" i="25"/>
  <c r="K284" i="25"/>
  <c r="L284" i="25"/>
  <c r="M284" i="25"/>
  <c r="N284" i="25"/>
  <c r="O284" i="25"/>
  <c r="P284" i="25"/>
  <c r="Q284" i="25"/>
  <c r="R284" i="25"/>
  <c r="S284" i="25"/>
  <c r="T284" i="25"/>
  <c r="U284" i="25"/>
  <c r="V284" i="25"/>
  <c r="W284" i="25"/>
  <c r="X284" i="25"/>
  <c r="Y284" i="25"/>
  <c r="Z284" i="25"/>
  <c r="AA284" i="25"/>
  <c r="AB284" i="25"/>
  <c r="AC284" i="25"/>
  <c r="AD284" i="25"/>
  <c r="AE284" i="25"/>
  <c r="AF284" i="25"/>
  <c r="AG284" i="25"/>
  <c r="AH284" i="25"/>
  <c r="AI284" i="25"/>
  <c r="AJ284" i="25"/>
  <c r="AK284" i="25"/>
  <c r="AL284" i="25"/>
  <c r="AM284" i="25"/>
  <c r="AN284" i="25"/>
  <c r="B284" i="25"/>
  <c r="O22" i="135"/>
  <c r="N22" i="135"/>
  <c r="G22" i="135"/>
  <c r="D84" i="123" l="1"/>
  <c r="D85" i="123"/>
  <c r="D86" i="123"/>
  <c r="D87" i="123"/>
  <c r="D88" i="123"/>
  <c r="D89" i="123"/>
  <c r="D90" i="123"/>
  <c r="AH291" i="92"/>
  <c r="AH292" i="92"/>
  <c r="AH293" i="92"/>
  <c r="AF291" i="92"/>
  <c r="AF292" i="92"/>
  <c r="AF293" i="92"/>
  <c r="AD291" i="92"/>
  <c r="AD292" i="92"/>
  <c r="AD293" i="92"/>
  <c r="AB291" i="92"/>
  <c r="AB292" i="92"/>
  <c r="AB293" i="92"/>
  <c r="Y291" i="92"/>
  <c r="Z291" i="92" s="1"/>
  <c r="Y292" i="92"/>
  <c r="Z292" i="92" s="1"/>
  <c r="Y293" i="92"/>
  <c r="Z293" i="92" s="1"/>
  <c r="X291" i="92"/>
  <c r="X292" i="92"/>
  <c r="X293" i="92"/>
  <c r="V291" i="92"/>
  <c r="V292" i="92"/>
  <c r="V293" i="92"/>
  <c r="T291" i="92"/>
  <c r="T292" i="92"/>
  <c r="T293" i="92"/>
  <c r="R291" i="92"/>
  <c r="R292" i="92"/>
  <c r="R293" i="92"/>
  <c r="P291" i="92"/>
  <c r="P292" i="92"/>
  <c r="P293" i="92"/>
  <c r="N291" i="92"/>
  <c r="N292" i="92"/>
  <c r="N293" i="92"/>
  <c r="L291" i="92"/>
  <c r="L292" i="92"/>
  <c r="L293" i="92"/>
  <c r="J291" i="92"/>
  <c r="J292" i="92"/>
  <c r="J293" i="92"/>
  <c r="H291" i="92"/>
  <c r="H292" i="92"/>
  <c r="H293" i="92"/>
  <c r="F291" i="92"/>
  <c r="F292" i="92"/>
  <c r="F293" i="92"/>
  <c r="D291" i="92"/>
  <c r="D292" i="92"/>
  <c r="D293" i="92"/>
  <c r="L290" i="15"/>
  <c r="J290" i="15"/>
  <c r="H290" i="15"/>
  <c r="F290" i="15"/>
  <c r="D290" i="15"/>
  <c r="L289" i="15"/>
  <c r="J289" i="15"/>
  <c r="H289" i="15"/>
  <c r="F289" i="15"/>
  <c r="D289" i="15"/>
  <c r="G276" i="217" l="1"/>
  <c r="D276" i="217"/>
  <c r="G276" i="209" l="1"/>
  <c r="D276" i="209" l="1"/>
  <c r="J276" i="209"/>
  <c r="E292" i="32" l="1"/>
  <c r="B292" i="32"/>
  <c r="H292" i="32" s="1"/>
  <c r="I292" i="32" l="1"/>
  <c r="J297" i="86" l="1"/>
  <c r="I297" i="86"/>
  <c r="H297" i="86"/>
  <c r="G297" i="86"/>
  <c r="F297" i="86"/>
  <c r="L288" i="15" l="1"/>
  <c r="J288" i="15"/>
  <c r="H288" i="15"/>
  <c r="F288" i="15"/>
  <c r="D288" i="15"/>
  <c r="H296" i="86" l="1"/>
  <c r="G296" i="86"/>
  <c r="F296" i="86"/>
  <c r="H295" i="86"/>
  <c r="G295" i="86"/>
  <c r="F295" i="86"/>
  <c r="H294" i="86"/>
  <c r="G294" i="86"/>
  <c r="F294" i="86"/>
  <c r="H293" i="86"/>
  <c r="G293" i="86"/>
  <c r="F293" i="86"/>
  <c r="H292" i="86"/>
  <c r="G292" i="86"/>
  <c r="F292" i="86"/>
  <c r="H291" i="86"/>
  <c r="G291" i="86"/>
  <c r="F291" i="86"/>
  <c r="H290" i="86"/>
  <c r="G290" i="86"/>
  <c r="F290" i="86"/>
  <c r="H289" i="86"/>
  <c r="G289" i="86"/>
  <c r="F289" i="86"/>
  <c r="H288" i="86"/>
  <c r="G288" i="86"/>
  <c r="F288" i="86"/>
  <c r="EX35" i="102"/>
  <c r="EX31" i="102"/>
  <c r="EX27" i="102"/>
  <c r="EX23" i="102"/>
  <c r="EX19" i="102"/>
  <c r="EX15" i="102"/>
  <c r="EX11" i="102"/>
  <c r="EY35" i="99"/>
  <c r="EY31" i="99"/>
  <c r="EY27" i="99"/>
  <c r="EY23" i="99"/>
  <c r="EY19" i="99"/>
  <c r="EY15" i="99"/>
  <c r="EY11" i="99"/>
  <c r="AH290" i="92"/>
  <c r="AF290" i="92"/>
  <c r="AD290" i="92"/>
  <c r="AB290" i="92"/>
  <c r="Y290" i="92"/>
  <c r="Z290" i="92" s="1"/>
  <c r="X290" i="92"/>
  <c r="V290" i="92"/>
  <c r="T290" i="92"/>
  <c r="R290" i="92"/>
  <c r="P290" i="92"/>
  <c r="N290" i="92"/>
  <c r="L290" i="92"/>
  <c r="J290" i="92"/>
  <c r="H290" i="92"/>
  <c r="F290" i="92"/>
  <c r="D290" i="92"/>
  <c r="L287" i="15"/>
  <c r="J287" i="15"/>
  <c r="H287" i="15"/>
  <c r="F287" i="15"/>
  <c r="D287" i="15"/>
  <c r="J284" i="209" l="1"/>
  <c r="G284" i="209"/>
  <c r="D284" i="209"/>
  <c r="EW35" i="102" l="1"/>
  <c r="EW31" i="102"/>
  <c r="EW27" i="102"/>
  <c r="EW23" i="102"/>
  <c r="EW19" i="102"/>
  <c r="EW15" i="102"/>
  <c r="EW11" i="102"/>
  <c r="EX35" i="99"/>
  <c r="EX31" i="99"/>
  <c r="EX27" i="99"/>
  <c r="EX23" i="99"/>
  <c r="EX19" i="99"/>
  <c r="EX15" i="99"/>
  <c r="EX11" i="99"/>
  <c r="AH289" i="92"/>
  <c r="AF289" i="92"/>
  <c r="AD289" i="92"/>
  <c r="AB289" i="92"/>
  <c r="Y289" i="92"/>
  <c r="Z289" i="92" s="1"/>
  <c r="X289" i="92"/>
  <c r="V289" i="92"/>
  <c r="T289" i="92"/>
  <c r="R289" i="92"/>
  <c r="P289" i="92"/>
  <c r="N289" i="92"/>
  <c r="L289" i="92"/>
  <c r="J289" i="92"/>
  <c r="H289" i="92"/>
  <c r="F289" i="92"/>
  <c r="D289" i="92"/>
  <c r="B286" i="15"/>
  <c r="J286" i="15" s="1"/>
  <c r="F286" i="15" l="1"/>
  <c r="H286" i="15"/>
  <c r="L286" i="15"/>
  <c r="D286" i="15"/>
  <c r="EW35" i="99"/>
  <c r="EW31" i="99"/>
  <c r="EW27" i="99"/>
  <c r="EW23" i="99"/>
  <c r="EW19" i="99"/>
  <c r="EW15" i="99"/>
  <c r="EW11" i="99"/>
  <c r="J283" i="209" l="1"/>
  <c r="G283" i="209"/>
  <c r="D283" i="209"/>
  <c r="H22" i="135" l="1"/>
  <c r="D83" i="123" l="1"/>
  <c r="AH288" i="92"/>
  <c r="AF288" i="92"/>
  <c r="AD288" i="92"/>
  <c r="AB288" i="92"/>
  <c r="Y288" i="92"/>
  <c r="Z288" i="92" s="1"/>
  <c r="X288" i="92"/>
  <c r="V288" i="92"/>
  <c r="T288" i="92"/>
  <c r="R288" i="92"/>
  <c r="P288" i="92"/>
  <c r="N288" i="92"/>
  <c r="L288" i="92"/>
  <c r="J288" i="92"/>
  <c r="H288" i="92"/>
  <c r="F288" i="92"/>
  <c r="D288" i="92"/>
  <c r="L285" i="15"/>
  <c r="J285" i="15"/>
  <c r="H285" i="15"/>
  <c r="F285" i="15"/>
  <c r="D285" i="15"/>
  <c r="AC75" i="254"/>
  <c r="Z75" i="254"/>
  <c r="V75" i="254"/>
  <c r="S75" i="254"/>
  <c r="O75" i="254"/>
  <c r="L75" i="254"/>
  <c r="K75" i="254" s="1"/>
  <c r="J75" i="254"/>
  <c r="I75" i="254"/>
  <c r="G75" i="254"/>
  <c r="F75" i="254"/>
  <c r="E75" i="254" s="1"/>
  <c r="AC74" i="254"/>
  <c r="Z74" i="254"/>
  <c r="V74" i="254"/>
  <c r="S74" i="254"/>
  <c r="R74" i="254" s="1"/>
  <c r="O74" i="254"/>
  <c r="L74" i="254"/>
  <c r="J74" i="254"/>
  <c r="I74" i="254"/>
  <c r="H74" i="254" s="1"/>
  <c r="G74" i="254"/>
  <c r="F74" i="254"/>
  <c r="AC73" i="254"/>
  <c r="Z73" i="254"/>
  <c r="V73" i="254"/>
  <c r="S73" i="254"/>
  <c r="O73" i="254"/>
  <c r="L73" i="254"/>
  <c r="J73" i="254"/>
  <c r="I73" i="254"/>
  <c r="H73" i="254" s="1"/>
  <c r="G73" i="254"/>
  <c r="F73" i="254"/>
  <c r="AE72" i="254"/>
  <c r="AD72" i="254"/>
  <c r="AB72" i="254"/>
  <c r="AA72" i="254"/>
  <c r="X72" i="254"/>
  <c r="W72" i="254"/>
  <c r="U72" i="254"/>
  <c r="T72" i="254"/>
  <c r="Q72" i="254"/>
  <c r="P72" i="254"/>
  <c r="N72" i="254"/>
  <c r="M72" i="254"/>
  <c r="AC71" i="254"/>
  <c r="Z71" i="254"/>
  <c r="V71" i="254"/>
  <c r="S71" i="254"/>
  <c r="O71" i="254"/>
  <c r="L71" i="254"/>
  <c r="J71" i="254"/>
  <c r="I71" i="254"/>
  <c r="G71" i="254"/>
  <c r="F71" i="254"/>
  <c r="AC70" i="254"/>
  <c r="Z70" i="254"/>
  <c r="V70" i="254"/>
  <c r="S70" i="254"/>
  <c r="O70" i="254"/>
  <c r="L70" i="254"/>
  <c r="J70" i="254"/>
  <c r="I70" i="254"/>
  <c r="G70" i="254"/>
  <c r="F70" i="254"/>
  <c r="AC69" i="254"/>
  <c r="Z69" i="254"/>
  <c r="Y69" i="254" s="1"/>
  <c r="V69" i="254"/>
  <c r="S69" i="254"/>
  <c r="O69" i="254"/>
  <c r="L69" i="254"/>
  <c r="J69" i="254"/>
  <c r="I69" i="254"/>
  <c r="G69" i="254"/>
  <c r="F69" i="254"/>
  <c r="AC68" i="254"/>
  <c r="Z68" i="254"/>
  <c r="V68" i="254"/>
  <c r="S68" i="254"/>
  <c r="O68" i="254"/>
  <c r="L68" i="254"/>
  <c r="J68" i="254"/>
  <c r="I68" i="254"/>
  <c r="G68" i="254"/>
  <c r="F68" i="254"/>
  <c r="C68" i="254" s="1"/>
  <c r="AC67" i="254"/>
  <c r="Z67" i="254"/>
  <c r="V67" i="254"/>
  <c r="S67" i="254"/>
  <c r="O67" i="254"/>
  <c r="L67" i="254"/>
  <c r="J67" i="254"/>
  <c r="I67" i="254"/>
  <c r="G67" i="254"/>
  <c r="F67" i="254"/>
  <c r="AC66" i="254"/>
  <c r="Z66" i="254"/>
  <c r="V66" i="254"/>
  <c r="S66" i="254"/>
  <c r="O66" i="254"/>
  <c r="L66" i="254"/>
  <c r="J66" i="254"/>
  <c r="I66" i="254"/>
  <c r="G66" i="254"/>
  <c r="F66" i="254"/>
  <c r="AC64" i="254"/>
  <c r="Z64" i="254"/>
  <c r="V64" i="254"/>
  <c r="S64" i="254"/>
  <c r="R64" i="254" s="1"/>
  <c r="O64" i="254"/>
  <c r="L64" i="254"/>
  <c r="J64" i="254"/>
  <c r="I64" i="254"/>
  <c r="G64" i="254"/>
  <c r="F64" i="254"/>
  <c r="AC63" i="254"/>
  <c r="Z63" i="254"/>
  <c r="V63" i="254"/>
  <c r="S63" i="254"/>
  <c r="O63" i="254"/>
  <c r="L63" i="254"/>
  <c r="K63" i="254" s="1"/>
  <c r="J63" i="254"/>
  <c r="I63" i="254"/>
  <c r="G63" i="254"/>
  <c r="F63" i="254"/>
  <c r="AC62" i="254"/>
  <c r="Z62" i="254"/>
  <c r="V62" i="254"/>
  <c r="S62" i="254"/>
  <c r="O62" i="254"/>
  <c r="L62" i="254"/>
  <c r="J62" i="254"/>
  <c r="I62" i="254"/>
  <c r="H62" i="254" s="1"/>
  <c r="G62" i="254"/>
  <c r="F62" i="254"/>
  <c r="AC61" i="254"/>
  <c r="Z61" i="254"/>
  <c r="V61" i="254"/>
  <c r="S61" i="254"/>
  <c r="O61" i="254"/>
  <c r="L61" i="254"/>
  <c r="J61" i="254"/>
  <c r="I61" i="254"/>
  <c r="G61" i="254"/>
  <c r="F61" i="254"/>
  <c r="AC60" i="254"/>
  <c r="Z60" i="254"/>
  <c r="V60" i="254"/>
  <c r="S60" i="254"/>
  <c r="O60" i="254"/>
  <c r="L60" i="254"/>
  <c r="J60" i="254"/>
  <c r="I60" i="254"/>
  <c r="G60" i="254"/>
  <c r="F60" i="254"/>
  <c r="AC59" i="254"/>
  <c r="Z59" i="254"/>
  <c r="V59" i="254"/>
  <c r="S59" i="254"/>
  <c r="O59" i="254"/>
  <c r="L59" i="254"/>
  <c r="J59" i="254"/>
  <c r="I59" i="254"/>
  <c r="G59" i="254"/>
  <c r="F59" i="254"/>
  <c r="AC58" i="254"/>
  <c r="Z58" i="254"/>
  <c r="V58" i="254"/>
  <c r="S58" i="254"/>
  <c r="R58" i="254" s="1"/>
  <c r="O58" i="254"/>
  <c r="L58" i="254"/>
  <c r="J58" i="254"/>
  <c r="I58" i="254"/>
  <c r="G58" i="254"/>
  <c r="F58" i="254"/>
  <c r="AC57" i="254"/>
  <c r="Z57" i="254"/>
  <c r="V57" i="254"/>
  <c r="S57" i="254"/>
  <c r="O57" i="254"/>
  <c r="L57" i="254"/>
  <c r="J57" i="254"/>
  <c r="I57" i="254"/>
  <c r="G57" i="254"/>
  <c r="F57" i="254"/>
  <c r="AC56" i="254"/>
  <c r="Z56" i="254"/>
  <c r="V56" i="254"/>
  <c r="S56" i="254"/>
  <c r="O56" i="254"/>
  <c r="L56" i="254"/>
  <c r="J56" i="254"/>
  <c r="I56" i="254"/>
  <c r="G56" i="254"/>
  <c r="F56" i="254"/>
  <c r="AC55" i="254"/>
  <c r="Z55" i="254"/>
  <c r="V55" i="254"/>
  <c r="S55" i="254"/>
  <c r="O55" i="254"/>
  <c r="L55" i="254"/>
  <c r="J55" i="254"/>
  <c r="I55" i="254"/>
  <c r="G55" i="254"/>
  <c r="F55" i="254"/>
  <c r="AC54" i="254"/>
  <c r="Z54" i="254"/>
  <c r="V54" i="254"/>
  <c r="S54" i="254"/>
  <c r="O54" i="254"/>
  <c r="L54" i="254"/>
  <c r="J54" i="254"/>
  <c r="I54" i="254"/>
  <c r="G54" i="254"/>
  <c r="F54" i="254"/>
  <c r="AC53" i="254"/>
  <c r="Z53" i="254"/>
  <c r="V53" i="254"/>
  <c r="S53" i="254"/>
  <c r="O53" i="254"/>
  <c r="L53" i="254"/>
  <c r="J53" i="254"/>
  <c r="I53" i="254"/>
  <c r="G53" i="254"/>
  <c r="F53" i="254"/>
  <c r="AC51" i="254"/>
  <c r="Z51" i="254"/>
  <c r="V51" i="254"/>
  <c r="S51" i="254"/>
  <c r="O51" i="254"/>
  <c r="L51" i="254"/>
  <c r="J51" i="254"/>
  <c r="I51" i="254"/>
  <c r="G51" i="254"/>
  <c r="F51" i="254"/>
  <c r="AC50" i="254"/>
  <c r="Z50" i="254"/>
  <c r="V50" i="254"/>
  <c r="S50" i="254"/>
  <c r="O50" i="254"/>
  <c r="L50" i="254"/>
  <c r="J50" i="254"/>
  <c r="I50" i="254"/>
  <c r="G50" i="254"/>
  <c r="F50" i="254"/>
  <c r="AC49" i="254"/>
  <c r="Z49" i="254"/>
  <c r="V49" i="254"/>
  <c r="S49" i="254"/>
  <c r="R49" i="254" s="1"/>
  <c r="O49" i="254"/>
  <c r="L49" i="254"/>
  <c r="J49" i="254"/>
  <c r="I49" i="254"/>
  <c r="G49" i="254"/>
  <c r="F49" i="254"/>
  <c r="AC48" i="254"/>
  <c r="Z48" i="254"/>
  <c r="V48" i="254"/>
  <c r="S48" i="254"/>
  <c r="O48" i="254"/>
  <c r="L48" i="254"/>
  <c r="J48" i="254"/>
  <c r="I48" i="254"/>
  <c r="G48" i="254"/>
  <c r="F48" i="254"/>
  <c r="AC47" i="254"/>
  <c r="Z47" i="254"/>
  <c r="V47" i="254"/>
  <c r="S47" i="254"/>
  <c r="O47" i="254"/>
  <c r="L47" i="254"/>
  <c r="J47" i="254"/>
  <c r="I47" i="254"/>
  <c r="G47" i="254"/>
  <c r="F47" i="254"/>
  <c r="AC46" i="254"/>
  <c r="Z46" i="254"/>
  <c r="V46" i="254"/>
  <c r="S46" i="254"/>
  <c r="O46" i="254"/>
  <c r="L46" i="254"/>
  <c r="J46" i="254"/>
  <c r="I46" i="254"/>
  <c r="G46" i="254"/>
  <c r="F46" i="254"/>
  <c r="AC45" i="254"/>
  <c r="Z45" i="254"/>
  <c r="V45" i="254"/>
  <c r="S45" i="254"/>
  <c r="O45" i="254"/>
  <c r="L45" i="254"/>
  <c r="J45" i="254"/>
  <c r="I45" i="254"/>
  <c r="G45" i="254"/>
  <c r="F45" i="254"/>
  <c r="AC44" i="254"/>
  <c r="Z44" i="254"/>
  <c r="V44" i="254"/>
  <c r="S44" i="254"/>
  <c r="O44" i="254"/>
  <c r="L44" i="254"/>
  <c r="J44" i="254"/>
  <c r="I44" i="254"/>
  <c r="G44" i="254"/>
  <c r="F44" i="254"/>
  <c r="AC43" i="254"/>
  <c r="Z43" i="254"/>
  <c r="V43" i="254"/>
  <c r="S43" i="254"/>
  <c r="O43" i="254"/>
  <c r="L43" i="254"/>
  <c r="J43" i="254"/>
  <c r="I43" i="254"/>
  <c r="G43" i="254"/>
  <c r="F43" i="254"/>
  <c r="AC42" i="254"/>
  <c r="Z42" i="254"/>
  <c r="V42" i="254"/>
  <c r="S42" i="254"/>
  <c r="O42" i="254"/>
  <c r="L42" i="254"/>
  <c r="J42" i="254"/>
  <c r="I42" i="254"/>
  <c r="G42" i="254"/>
  <c r="F42" i="254"/>
  <c r="AC41" i="254"/>
  <c r="Z41" i="254"/>
  <c r="V41" i="254"/>
  <c r="S41" i="254"/>
  <c r="O41" i="254"/>
  <c r="L41" i="254"/>
  <c r="J41" i="254"/>
  <c r="I41" i="254"/>
  <c r="G41" i="254"/>
  <c r="F41" i="254"/>
  <c r="AC40" i="254"/>
  <c r="Z40" i="254"/>
  <c r="V40" i="254"/>
  <c r="S40" i="254"/>
  <c r="O40" i="254"/>
  <c r="L40" i="254"/>
  <c r="J40" i="254"/>
  <c r="I40" i="254"/>
  <c r="G40" i="254"/>
  <c r="F40" i="254"/>
  <c r="AC38" i="254"/>
  <c r="Z38" i="254"/>
  <c r="V38" i="254"/>
  <c r="S38" i="254"/>
  <c r="R38" i="254" s="1"/>
  <c r="O38" i="254"/>
  <c r="L38" i="254"/>
  <c r="J38" i="254"/>
  <c r="I38" i="254"/>
  <c r="G38" i="254"/>
  <c r="F38" i="254"/>
  <c r="AC37" i="254"/>
  <c r="Z37" i="254"/>
  <c r="V37" i="254"/>
  <c r="S37" i="254"/>
  <c r="O37" i="254"/>
  <c r="L37" i="254"/>
  <c r="J37" i="254"/>
  <c r="I37" i="254"/>
  <c r="G37" i="254"/>
  <c r="F37" i="254"/>
  <c r="AC36" i="254"/>
  <c r="Z36" i="254"/>
  <c r="V36" i="254"/>
  <c r="S36" i="254"/>
  <c r="O36" i="254"/>
  <c r="L36" i="254"/>
  <c r="J36" i="254"/>
  <c r="I36" i="254"/>
  <c r="H36" i="254" s="1"/>
  <c r="G36" i="254"/>
  <c r="F36" i="254"/>
  <c r="AC35" i="254"/>
  <c r="Z35" i="254"/>
  <c r="V35" i="254"/>
  <c r="S35" i="254"/>
  <c r="O35" i="254"/>
  <c r="L35" i="254"/>
  <c r="K35" i="254" s="1"/>
  <c r="J35" i="254"/>
  <c r="I35" i="254"/>
  <c r="G35" i="254"/>
  <c r="F35" i="254"/>
  <c r="AC33" i="254"/>
  <c r="Z33" i="254"/>
  <c r="V33" i="254"/>
  <c r="S33" i="254"/>
  <c r="O33" i="254"/>
  <c r="L33" i="254"/>
  <c r="J33" i="254"/>
  <c r="I33" i="254"/>
  <c r="G33" i="254"/>
  <c r="F33" i="254"/>
  <c r="AC32" i="254"/>
  <c r="Z32" i="254"/>
  <c r="Y32" i="254" s="1"/>
  <c r="V32" i="254"/>
  <c r="S32" i="254"/>
  <c r="O32" i="254"/>
  <c r="L32" i="254"/>
  <c r="J32" i="254"/>
  <c r="I32" i="254"/>
  <c r="G32" i="254"/>
  <c r="F32" i="254"/>
  <c r="AC31" i="254"/>
  <c r="Z31" i="254"/>
  <c r="V31" i="254"/>
  <c r="S31" i="254"/>
  <c r="O31" i="254"/>
  <c r="L31" i="254"/>
  <c r="J31" i="254"/>
  <c r="I31" i="254"/>
  <c r="G31" i="254"/>
  <c r="F31" i="254"/>
  <c r="AC30" i="254"/>
  <c r="Z30" i="254"/>
  <c r="V30" i="254"/>
  <c r="S30" i="254"/>
  <c r="O30" i="254"/>
  <c r="L30" i="254"/>
  <c r="J30" i="254"/>
  <c r="I30" i="254"/>
  <c r="G30" i="254"/>
  <c r="F30" i="254"/>
  <c r="AC29" i="254"/>
  <c r="Z29" i="254"/>
  <c r="V29" i="254"/>
  <c r="S29" i="254"/>
  <c r="O29" i="254"/>
  <c r="L29" i="254"/>
  <c r="J29" i="254"/>
  <c r="I29" i="254"/>
  <c r="G29" i="254"/>
  <c r="F29" i="254"/>
  <c r="AC28" i="254"/>
  <c r="Z28" i="254"/>
  <c r="V28" i="254"/>
  <c r="S28" i="254"/>
  <c r="O28" i="254"/>
  <c r="L28" i="254"/>
  <c r="J28" i="254"/>
  <c r="I28" i="254"/>
  <c r="G28" i="254"/>
  <c r="F28" i="254"/>
  <c r="AC27" i="254"/>
  <c r="Z27" i="254"/>
  <c r="V27" i="254"/>
  <c r="S27" i="254"/>
  <c r="O27" i="254"/>
  <c r="L27" i="254"/>
  <c r="J27" i="254"/>
  <c r="I27" i="254"/>
  <c r="G27" i="254"/>
  <c r="F27" i="254"/>
  <c r="AC25" i="254"/>
  <c r="Z25" i="254"/>
  <c r="Y25" i="254" s="1"/>
  <c r="V25" i="254"/>
  <c r="S25" i="254"/>
  <c r="O25" i="254"/>
  <c r="L25" i="254"/>
  <c r="J25" i="254"/>
  <c r="I25" i="254"/>
  <c r="G25" i="254"/>
  <c r="F25" i="254"/>
  <c r="AC24" i="254"/>
  <c r="Z24" i="254"/>
  <c r="V24" i="254"/>
  <c r="S24" i="254"/>
  <c r="R24" i="254" s="1"/>
  <c r="O24" i="254"/>
  <c r="L24" i="254"/>
  <c r="J24" i="254"/>
  <c r="I24" i="254"/>
  <c r="G24" i="254"/>
  <c r="F24" i="254"/>
  <c r="AC23" i="254"/>
  <c r="Z23" i="254"/>
  <c r="V23" i="254"/>
  <c r="S23" i="254"/>
  <c r="O23" i="254"/>
  <c r="L23" i="254"/>
  <c r="J23" i="254"/>
  <c r="I23" i="254"/>
  <c r="G23" i="254"/>
  <c r="F23" i="254"/>
  <c r="AC22" i="254"/>
  <c r="Z22" i="254"/>
  <c r="Y22" i="254" s="1"/>
  <c r="V22" i="254"/>
  <c r="S22" i="254"/>
  <c r="R22" i="254" s="1"/>
  <c r="O22" i="254"/>
  <c r="L22" i="254"/>
  <c r="J22" i="254"/>
  <c r="I22" i="254"/>
  <c r="G22" i="254"/>
  <c r="F22" i="254"/>
  <c r="AC21" i="254"/>
  <c r="Z21" i="254"/>
  <c r="V21" i="254"/>
  <c r="S21" i="254"/>
  <c r="R21" i="254" s="1"/>
  <c r="O21" i="254"/>
  <c r="L21" i="254"/>
  <c r="J21" i="254"/>
  <c r="I21" i="254"/>
  <c r="G21" i="254"/>
  <c r="F21" i="254"/>
  <c r="AC20" i="254"/>
  <c r="Z20" i="254"/>
  <c r="V20" i="254"/>
  <c r="S20" i="254"/>
  <c r="O20" i="254"/>
  <c r="L20" i="254"/>
  <c r="J20" i="254"/>
  <c r="I20" i="254"/>
  <c r="G20" i="254"/>
  <c r="F20" i="254"/>
  <c r="AC19" i="254"/>
  <c r="Z19" i="254"/>
  <c r="V19" i="254"/>
  <c r="S19" i="254"/>
  <c r="O19" i="254"/>
  <c r="L19" i="254"/>
  <c r="J19" i="254"/>
  <c r="I19" i="254"/>
  <c r="G19" i="254"/>
  <c r="F19" i="254"/>
  <c r="AC18" i="254"/>
  <c r="Z18" i="254"/>
  <c r="V18" i="254"/>
  <c r="S18" i="254"/>
  <c r="O18" i="254"/>
  <c r="L18" i="254"/>
  <c r="J18" i="254"/>
  <c r="I18" i="254"/>
  <c r="G18" i="254"/>
  <c r="F18" i="254"/>
  <c r="AC17" i="254"/>
  <c r="Z17" i="254"/>
  <c r="V17" i="254"/>
  <c r="S17" i="254"/>
  <c r="O17" i="254"/>
  <c r="L17" i="254"/>
  <c r="J17" i="254"/>
  <c r="I17" i="254"/>
  <c r="G17" i="254"/>
  <c r="F17" i="254"/>
  <c r="AC16" i="254"/>
  <c r="Z16" i="254"/>
  <c r="V16" i="254"/>
  <c r="S16" i="254"/>
  <c r="O16" i="254"/>
  <c r="L16" i="254"/>
  <c r="J16" i="254"/>
  <c r="I16" i="254"/>
  <c r="G16" i="254"/>
  <c r="F16" i="254"/>
  <c r="AC15" i="254"/>
  <c r="Z15" i="254"/>
  <c r="V15" i="254"/>
  <c r="S15" i="254"/>
  <c r="O15" i="254"/>
  <c r="L15" i="254"/>
  <c r="J15" i="254"/>
  <c r="I15" i="254"/>
  <c r="G15" i="254"/>
  <c r="F15" i="254"/>
  <c r="AC14" i="254"/>
  <c r="Z14" i="254"/>
  <c r="V14" i="254"/>
  <c r="S14" i="254"/>
  <c r="O14" i="254"/>
  <c r="L14" i="254"/>
  <c r="J14" i="254"/>
  <c r="I14" i="254"/>
  <c r="G14" i="254"/>
  <c r="F14" i="254"/>
  <c r="AC12" i="254"/>
  <c r="Z12" i="254"/>
  <c r="V12" i="254"/>
  <c r="S12" i="254"/>
  <c r="O12" i="254"/>
  <c r="L12" i="254"/>
  <c r="J12" i="254"/>
  <c r="I12" i="254"/>
  <c r="G12" i="254"/>
  <c r="F12" i="254"/>
  <c r="J282" i="209"/>
  <c r="G282" i="209"/>
  <c r="D282" i="209"/>
  <c r="R73" i="254" l="1"/>
  <c r="H18" i="254"/>
  <c r="Y21" i="254"/>
  <c r="E37" i="254"/>
  <c r="H38" i="254"/>
  <c r="K40" i="254"/>
  <c r="K59" i="254"/>
  <c r="R67" i="254"/>
  <c r="K73" i="254"/>
  <c r="E24" i="254"/>
  <c r="Y35" i="254"/>
  <c r="K29" i="254"/>
  <c r="R30" i="254"/>
  <c r="K36" i="254"/>
  <c r="R37" i="254"/>
  <c r="H42" i="254"/>
  <c r="K49" i="254"/>
  <c r="Y64" i="254"/>
  <c r="Y40" i="254"/>
  <c r="D17" i="254"/>
  <c r="H17" i="254"/>
  <c r="H30" i="254"/>
  <c r="K31" i="254"/>
  <c r="Y60" i="254"/>
  <c r="K64" i="254"/>
  <c r="V72" i="254"/>
  <c r="Z72" i="254"/>
  <c r="R28" i="254"/>
  <c r="D74" i="254"/>
  <c r="R60" i="254"/>
  <c r="E71" i="254"/>
  <c r="R45" i="254"/>
  <c r="K57" i="254"/>
  <c r="D62" i="254"/>
  <c r="H15" i="254"/>
  <c r="R18" i="254"/>
  <c r="Y19" i="254"/>
  <c r="D30" i="254"/>
  <c r="R41" i="254"/>
  <c r="Y42" i="254"/>
  <c r="H45" i="254"/>
  <c r="K46" i="254"/>
  <c r="K67" i="254"/>
  <c r="L72" i="254"/>
  <c r="D57" i="254"/>
  <c r="E28" i="254"/>
  <c r="Y33" i="254"/>
  <c r="K38" i="254"/>
  <c r="K58" i="254"/>
  <c r="H64" i="254"/>
  <c r="K66" i="254"/>
  <c r="C71" i="254"/>
  <c r="O72" i="254"/>
  <c r="R12" i="254"/>
  <c r="C16" i="254"/>
  <c r="Y44" i="254"/>
  <c r="D60" i="254"/>
  <c r="K55" i="254"/>
  <c r="Y12" i="254"/>
  <c r="E15" i="254"/>
  <c r="H16" i="254"/>
  <c r="K25" i="254"/>
  <c r="K41" i="254"/>
  <c r="K47" i="254"/>
  <c r="R48" i="254"/>
  <c r="R55" i="254"/>
  <c r="Y56" i="254"/>
  <c r="K61" i="254"/>
  <c r="Y74" i="254"/>
  <c r="Y75" i="254"/>
  <c r="H29" i="254"/>
  <c r="D16" i="254"/>
  <c r="E40" i="254"/>
  <c r="H71" i="254"/>
  <c r="Y51" i="254"/>
  <c r="D15" i="254"/>
  <c r="E22" i="254"/>
  <c r="H23" i="254"/>
  <c r="Y66" i="254"/>
  <c r="H70" i="254"/>
  <c r="E21" i="254"/>
  <c r="R33" i="254"/>
  <c r="H69" i="254"/>
  <c r="Y43" i="254"/>
  <c r="H14" i="254"/>
  <c r="K15" i="254"/>
  <c r="R63" i="254"/>
  <c r="D12" i="254"/>
  <c r="D21" i="254"/>
  <c r="K22" i="254"/>
  <c r="R31" i="254"/>
  <c r="Y48" i="254"/>
  <c r="H53" i="254"/>
  <c r="E66" i="254"/>
  <c r="H67" i="254"/>
  <c r="H12" i="254"/>
  <c r="K14" i="254"/>
  <c r="Y16" i="254"/>
  <c r="Y24" i="254"/>
  <c r="E27" i="254"/>
  <c r="Y41" i="254"/>
  <c r="K53" i="254"/>
  <c r="E57" i="254"/>
  <c r="H58" i="254"/>
  <c r="K68" i="254"/>
  <c r="R69" i="254"/>
  <c r="Y70" i="254"/>
  <c r="AC72" i="254"/>
  <c r="K70" i="254"/>
  <c r="E12" i="254"/>
  <c r="R19" i="254"/>
  <c r="Y20" i="254"/>
  <c r="C24" i="254"/>
  <c r="Y30" i="254"/>
  <c r="E33" i="254"/>
  <c r="E45" i="254"/>
  <c r="R50" i="254"/>
  <c r="Y53" i="254"/>
  <c r="E55" i="254"/>
  <c r="R59" i="254"/>
  <c r="E63" i="254"/>
  <c r="H68" i="254"/>
  <c r="R17" i="254"/>
  <c r="H32" i="254"/>
  <c r="E54" i="254"/>
  <c r="K37" i="254"/>
  <c r="Y18" i="254"/>
  <c r="E30" i="254"/>
  <c r="K33" i="254"/>
  <c r="Y38" i="254"/>
  <c r="D43" i="254"/>
  <c r="H44" i="254"/>
  <c r="R46" i="254"/>
  <c r="H54" i="254"/>
  <c r="K56" i="254"/>
  <c r="C60" i="254"/>
  <c r="R15" i="254"/>
  <c r="Y17" i="254"/>
  <c r="K23" i="254"/>
  <c r="K32" i="254"/>
  <c r="R36" i="254"/>
  <c r="H43" i="254"/>
  <c r="Y47" i="254"/>
  <c r="R66" i="254"/>
  <c r="H56" i="254"/>
  <c r="K54" i="254"/>
  <c r="D70" i="254"/>
  <c r="D71" i="254"/>
  <c r="B71" i="254" s="1"/>
  <c r="R14" i="254"/>
  <c r="D40" i="254"/>
  <c r="K44" i="254"/>
  <c r="D59" i="254"/>
  <c r="D18" i="254"/>
  <c r="H40" i="254"/>
  <c r="Y45" i="254"/>
  <c r="H50" i="254"/>
  <c r="K51" i="254"/>
  <c r="R54" i="254"/>
  <c r="H59" i="254"/>
  <c r="K60" i="254"/>
  <c r="R62" i="254"/>
  <c r="E68" i="254"/>
  <c r="D69" i="254"/>
  <c r="Y57" i="254"/>
  <c r="K12" i="254"/>
  <c r="K17" i="254"/>
  <c r="K18" i="254"/>
  <c r="K19" i="254"/>
  <c r="R32" i="254"/>
  <c r="R35" i="254"/>
  <c r="Y36" i="254"/>
  <c r="Y37" i="254"/>
  <c r="E42" i="254"/>
  <c r="K48" i="254"/>
  <c r="K50" i="254"/>
  <c r="R53" i="254"/>
  <c r="Y55" i="254"/>
  <c r="K62" i="254"/>
  <c r="Y71" i="254"/>
  <c r="E48" i="254"/>
  <c r="Y68" i="254"/>
  <c r="E49" i="254"/>
  <c r="D46" i="254"/>
  <c r="R16" i="254"/>
  <c r="C21" i="254"/>
  <c r="B21" i="254" s="1"/>
  <c r="H27" i="254"/>
  <c r="C42" i="254"/>
  <c r="K28" i="254"/>
  <c r="Y31" i="254"/>
  <c r="K43" i="254"/>
  <c r="R47" i="254"/>
  <c r="C59" i="254"/>
  <c r="C12" i="254"/>
  <c r="H25" i="254"/>
  <c r="D37" i="254"/>
  <c r="D55" i="254"/>
  <c r="D68" i="254"/>
  <c r="B68" i="254" s="1"/>
  <c r="R75" i="254"/>
  <c r="S72" i="254"/>
  <c r="R72" i="254" s="1"/>
  <c r="C15" i="254"/>
  <c r="B15" i="254" s="1"/>
  <c r="E18" i="254"/>
  <c r="D20" i="254"/>
  <c r="D66" i="254"/>
  <c r="Y58" i="254"/>
  <c r="K20" i="254"/>
  <c r="E16" i="254"/>
  <c r="C18" i="254"/>
  <c r="E19" i="254"/>
  <c r="H20" i="254"/>
  <c r="R27" i="254"/>
  <c r="H33" i="254"/>
  <c r="R40" i="254"/>
  <c r="R42" i="254"/>
  <c r="Y46" i="254"/>
  <c r="E51" i="254"/>
  <c r="R57" i="254"/>
  <c r="Y59" i="254"/>
  <c r="H66" i="254"/>
  <c r="K69" i="254"/>
  <c r="K71" i="254"/>
  <c r="E74" i="254"/>
  <c r="H57" i="254"/>
  <c r="I72" i="254"/>
  <c r="K27" i="254"/>
  <c r="R43" i="254"/>
  <c r="K74" i="254"/>
  <c r="D29" i="254"/>
  <c r="Y50" i="254"/>
  <c r="J72" i="254"/>
  <c r="Y73" i="254"/>
  <c r="D19" i="254"/>
  <c r="D23" i="254"/>
  <c r="D24" i="254"/>
  <c r="D27" i="254"/>
  <c r="C32" i="254"/>
  <c r="Y49" i="254"/>
  <c r="R61" i="254"/>
  <c r="Y62" i="254"/>
  <c r="Y63" i="254"/>
  <c r="R68" i="254"/>
  <c r="R70" i="254"/>
  <c r="R71" i="254"/>
  <c r="D73" i="254"/>
  <c r="Y14" i="254"/>
  <c r="H61" i="254"/>
  <c r="F72" i="254"/>
  <c r="R51" i="254"/>
  <c r="R56" i="254"/>
  <c r="H75" i="254"/>
  <c r="R44" i="254"/>
  <c r="G72" i="254"/>
  <c r="C23" i="254"/>
  <c r="D25" i="254"/>
  <c r="C27" i="254"/>
  <c r="C30" i="254"/>
  <c r="C40" i="254"/>
  <c r="Y54" i="254"/>
  <c r="H21" i="254"/>
  <c r="H22" i="254"/>
  <c r="H24" i="254"/>
  <c r="D28" i="254"/>
  <c r="E31" i="254"/>
  <c r="E32" i="254"/>
  <c r="C36" i="254"/>
  <c r="E41" i="254"/>
  <c r="C50" i="254"/>
  <c r="C51" i="254"/>
  <c r="D53" i="254"/>
  <c r="C54" i="254"/>
  <c r="C57" i="254"/>
  <c r="Y61" i="254"/>
  <c r="C66" i="254"/>
  <c r="Y67" i="254"/>
  <c r="C74" i="254"/>
  <c r="H35" i="254"/>
  <c r="H60" i="254"/>
  <c r="D32" i="254"/>
  <c r="C33" i="254"/>
  <c r="D36" i="254"/>
  <c r="E43" i="254"/>
  <c r="D48" i="254"/>
  <c r="D50" i="254"/>
  <c r="D51" i="254"/>
  <c r="D54" i="254"/>
  <c r="R20" i="254"/>
  <c r="K21" i="254"/>
  <c r="K24" i="254"/>
  <c r="H31" i="254"/>
  <c r="D33" i="254"/>
  <c r="H41" i="254"/>
  <c r="D42" i="254"/>
  <c r="C43" i="254"/>
  <c r="D44" i="254"/>
  <c r="D45" i="254"/>
  <c r="E46" i="254"/>
  <c r="H47" i="254"/>
  <c r="H48" i="254"/>
  <c r="H49" i="254"/>
  <c r="H51" i="254"/>
  <c r="E60" i="254"/>
  <c r="C62" i="254"/>
  <c r="E67" i="254"/>
  <c r="Y15" i="254"/>
  <c r="R25" i="254"/>
  <c r="R29" i="254"/>
  <c r="E14" i="254"/>
  <c r="E58" i="254"/>
  <c r="Y23" i="254"/>
  <c r="Y27" i="254"/>
  <c r="Y28" i="254"/>
  <c r="K42" i="254"/>
  <c r="K45" i="254"/>
  <c r="D63" i="254"/>
  <c r="C48" i="254"/>
  <c r="C45" i="254"/>
  <c r="E23" i="254"/>
  <c r="E50" i="254"/>
  <c r="Y29" i="254"/>
  <c r="H37" i="254"/>
  <c r="C37" i="254"/>
  <c r="H63" i="254"/>
  <c r="C63" i="254"/>
  <c r="E73" i="254"/>
  <c r="E25" i="254"/>
  <c r="C25" i="254"/>
  <c r="B25" i="254" s="1"/>
  <c r="C56" i="254"/>
  <c r="E56" i="254"/>
  <c r="H28" i="254"/>
  <c r="C28" i="254"/>
  <c r="E53" i="254"/>
  <c r="C53" i="254"/>
  <c r="H55" i="254"/>
  <c r="C55" i="254"/>
  <c r="C69" i="254"/>
  <c r="E69" i="254"/>
  <c r="C20" i="254"/>
  <c r="E20" i="254"/>
  <c r="C47" i="254"/>
  <c r="E47" i="254"/>
  <c r="K16" i="254"/>
  <c r="H19" i="254"/>
  <c r="C19" i="254"/>
  <c r="R23" i="254"/>
  <c r="E59" i="254"/>
  <c r="E44" i="254"/>
  <c r="C44" i="254"/>
  <c r="H46" i="254"/>
  <c r="C46" i="254"/>
  <c r="C29" i="254"/>
  <c r="E29" i="254"/>
  <c r="E17" i="254"/>
  <c r="C17" i="254"/>
  <c r="E35" i="254"/>
  <c r="C35" i="254"/>
  <c r="E36" i="254"/>
  <c r="E61" i="254"/>
  <c r="C61" i="254"/>
  <c r="E62" i="254"/>
  <c r="E70" i="254"/>
  <c r="C70" i="254"/>
  <c r="K30" i="254"/>
  <c r="D35" i="254"/>
  <c r="C38" i="254"/>
  <c r="E38" i="254"/>
  <c r="D61" i="254"/>
  <c r="C64" i="254"/>
  <c r="E64" i="254"/>
  <c r="D38" i="254"/>
  <c r="B38" i="254" s="1"/>
  <c r="D47" i="254"/>
  <c r="D56" i="254"/>
  <c r="D64" i="254"/>
  <c r="C73" i="254"/>
  <c r="C14" i="254"/>
  <c r="C22" i="254"/>
  <c r="C31" i="254"/>
  <c r="C41" i="254"/>
  <c r="C49" i="254"/>
  <c r="C58" i="254"/>
  <c r="C67" i="254"/>
  <c r="D14" i="254"/>
  <c r="D22" i="254"/>
  <c r="D31" i="254"/>
  <c r="D41" i="254"/>
  <c r="D49" i="254"/>
  <c r="D58" i="254"/>
  <c r="D67" i="254"/>
  <c r="C75" i="254"/>
  <c r="D75" i="254"/>
  <c r="I287" i="32"/>
  <c r="I288" i="32"/>
  <c r="H288" i="32"/>
  <c r="K72" i="254" l="1"/>
  <c r="B33" i="254"/>
  <c r="B74" i="254"/>
  <c r="B17" i="254"/>
  <c r="B29" i="254"/>
  <c r="B62" i="254"/>
  <c r="Y72" i="254"/>
  <c r="B16" i="254"/>
  <c r="B30" i="254"/>
  <c r="B24" i="254"/>
  <c r="C72" i="254"/>
  <c r="B57" i="254"/>
  <c r="B60" i="254"/>
  <c r="B70" i="254"/>
  <c r="B12" i="254"/>
  <c r="B46" i="254"/>
  <c r="B61" i="254"/>
  <c r="B43" i="254"/>
  <c r="B40" i="254"/>
  <c r="B56" i="254"/>
  <c r="B45" i="254"/>
  <c r="B42" i="254"/>
  <c r="B51" i="254"/>
  <c r="B50" i="254"/>
  <c r="B27" i="254"/>
  <c r="B18" i="254"/>
  <c r="H72" i="254"/>
  <c r="B64" i="254"/>
  <c r="B48" i="254"/>
  <c r="B20" i="254"/>
  <c r="B44" i="254"/>
  <c r="B69" i="254"/>
  <c r="E72" i="254"/>
  <c r="B59" i="254"/>
  <c r="B36" i="254"/>
  <c r="B23" i="254"/>
  <c r="B55" i="254"/>
  <c r="B67" i="254"/>
  <c r="B47" i="254"/>
  <c r="B53" i="254"/>
  <c r="B37" i="254"/>
  <c r="B35" i="254"/>
  <c r="B66" i="254"/>
  <c r="B58" i="254"/>
  <c r="B49" i="254"/>
  <c r="B32" i="254"/>
  <c r="D72" i="254"/>
  <c r="B72" i="254" s="1"/>
  <c r="B19" i="254"/>
  <c r="B28" i="254"/>
  <c r="B54" i="254"/>
  <c r="B73" i="254"/>
  <c r="B75" i="254"/>
  <c r="B63" i="254"/>
  <c r="B41" i="254"/>
  <c r="B22" i="254"/>
  <c r="B31" i="254"/>
  <c r="B14" i="254"/>
  <c r="E288" i="32"/>
  <c r="Y287" i="92"/>
  <c r="J293" i="86" l="1"/>
  <c r="J292" i="86"/>
  <c r="I293" i="86"/>
  <c r="I292" i="86"/>
  <c r="AH287" i="92" l="1"/>
  <c r="AF287" i="92"/>
  <c r="AD287" i="92"/>
  <c r="AB287" i="92"/>
  <c r="Z287" i="92"/>
  <c r="X287" i="92"/>
  <c r="V287" i="92"/>
  <c r="T287" i="92"/>
  <c r="R287" i="92"/>
  <c r="P287" i="92"/>
  <c r="N287" i="92"/>
  <c r="L287" i="92"/>
  <c r="J287" i="92"/>
  <c r="H287" i="92"/>
  <c r="F287" i="92"/>
  <c r="D287" i="92"/>
  <c r="L284" i="15"/>
  <c r="J284" i="15"/>
  <c r="H284" i="15"/>
  <c r="F284" i="15"/>
  <c r="D284" i="15"/>
  <c r="EU35" i="102"/>
  <c r="EU31" i="102"/>
  <c r="EU27" i="102"/>
  <c r="EU23" i="102"/>
  <c r="EU19" i="102"/>
  <c r="EU15" i="102"/>
  <c r="EU11" i="102"/>
  <c r="EV35" i="99"/>
  <c r="EV31" i="99"/>
  <c r="EV27" i="99"/>
  <c r="EV23" i="99"/>
  <c r="EV19" i="99"/>
  <c r="EV15" i="99"/>
  <c r="EV11" i="99"/>
  <c r="J281" i="209" l="1"/>
  <c r="G281" i="209"/>
  <c r="D281" i="209"/>
  <c r="EU35" i="99" l="1"/>
  <c r="EU31" i="99"/>
  <c r="EU27" i="99"/>
  <c r="EU23" i="99"/>
  <c r="EU19" i="99"/>
  <c r="EU15" i="99"/>
  <c r="EU11" i="99"/>
  <c r="AH286" i="92" l="1"/>
  <c r="AF286" i="92"/>
  <c r="AD286" i="92"/>
  <c r="AB286" i="92"/>
  <c r="Y286" i="92"/>
  <c r="Z286" i="92" s="1"/>
  <c r="X286" i="92"/>
  <c r="V286" i="92"/>
  <c r="T286" i="92"/>
  <c r="R286" i="92"/>
  <c r="P286" i="92"/>
  <c r="N286" i="92"/>
  <c r="L286" i="92"/>
  <c r="J286" i="92"/>
  <c r="H286" i="92"/>
  <c r="F286" i="92"/>
  <c r="D286" i="92"/>
  <c r="L283" i="15"/>
  <c r="J283" i="15"/>
  <c r="H283" i="15"/>
  <c r="F283" i="15"/>
  <c r="D283" i="15"/>
  <c r="J183" i="160"/>
  <c r="I183" i="160"/>
  <c r="J280" i="209" l="1"/>
  <c r="G280" i="209"/>
  <c r="D280" i="209"/>
  <c r="J288" i="86" l="1"/>
  <c r="I288" i="86"/>
  <c r="J289" i="86"/>
  <c r="I289" i="86"/>
  <c r="J290" i="86"/>
  <c r="I290" i="86"/>
  <c r="J291" i="86"/>
  <c r="I291" i="86"/>
  <c r="D81" i="123" l="1"/>
  <c r="D82" i="123"/>
  <c r="X284" i="92"/>
  <c r="X285" i="92"/>
  <c r="AH285" i="92"/>
  <c r="AF285" i="92"/>
  <c r="AD285" i="92"/>
  <c r="AB285" i="92"/>
  <c r="Y285" i="92"/>
  <c r="Z285" i="92" s="1"/>
  <c r="V285" i="92"/>
  <c r="T285" i="92"/>
  <c r="R285" i="92"/>
  <c r="P285" i="92"/>
  <c r="N285" i="92"/>
  <c r="L285" i="92"/>
  <c r="J285" i="92"/>
  <c r="H285" i="92"/>
  <c r="F285" i="92"/>
  <c r="D285" i="92"/>
  <c r="L282" i="15"/>
  <c r="J282" i="15"/>
  <c r="H282" i="15"/>
  <c r="F282" i="15"/>
  <c r="D282" i="15"/>
  <c r="G278" i="217" l="1"/>
  <c r="D278" i="217"/>
  <c r="J279" i="209" l="1"/>
  <c r="G279" i="209"/>
  <c r="D279" i="209"/>
  <c r="AH284" i="92" l="1"/>
  <c r="AF284" i="92"/>
  <c r="AD284" i="92"/>
  <c r="AB284" i="92"/>
  <c r="Y284" i="92"/>
  <c r="Z284" i="92" s="1"/>
  <c r="V284" i="92"/>
  <c r="T284" i="92"/>
  <c r="R284" i="92"/>
  <c r="P284" i="92"/>
  <c r="N284" i="92"/>
  <c r="L284" i="92"/>
  <c r="J284" i="92"/>
  <c r="H284" i="92"/>
  <c r="F284" i="92"/>
  <c r="D284" i="92"/>
  <c r="L281" i="15"/>
  <c r="J281" i="15"/>
  <c r="H281" i="15"/>
  <c r="F281" i="15"/>
  <c r="D281" i="15"/>
  <c r="F281" i="106" l="1"/>
  <c r="G281" i="106" s="1"/>
  <c r="F242" i="106"/>
  <c r="G242" i="106" s="1"/>
  <c r="F255" i="106"/>
  <c r="G255" i="106" s="1"/>
  <c r="F268" i="106"/>
  <c r="G268" i="106" s="1"/>
  <c r="J278" i="209" l="1"/>
  <c r="G278" i="209"/>
  <c r="D278" i="209"/>
  <c r="D80" i="123" l="1"/>
  <c r="AH283" i="92" l="1"/>
  <c r="AF283" i="92"/>
  <c r="AD283" i="92"/>
  <c r="AB283" i="92"/>
  <c r="Y283" i="92"/>
  <c r="Z283" i="92" s="1"/>
  <c r="X283" i="92"/>
  <c r="V283" i="92"/>
  <c r="T283" i="92"/>
  <c r="R283" i="92"/>
  <c r="P283" i="92"/>
  <c r="N283" i="92"/>
  <c r="L283" i="92"/>
  <c r="J283" i="92"/>
  <c r="H283" i="92"/>
  <c r="F283" i="92"/>
  <c r="D283" i="92"/>
  <c r="L280" i="15" l="1"/>
  <c r="J280" i="15"/>
  <c r="H280" i="15"/>
  <c r="F280" i="15"/>
  <c r="D280" i="15"/>
  <c r="G277" i="217" l="1"/>
  <c r="D277" i="217"/>
  <c r="J277" i="209" l="1"/>
  <c r="G277" i="209"/>
  <c r="D277" i="209"/>
  <c r="D79" i="123" l="1"/>
  <c r="AH282" i="92"/>
  <c r="AF282" i="92"/>
  <c r="AD282" i="92"/>
  <c r="AB282" i="92"/>
  <c r="Y282" i="92"/>
  <c r="Z282" i="92" s="1"/>
  <c r="X282" i="92"/>
  <c r="V282" i="92"/>
  <c r="T282" i="92"/>
  <c r="R282" i="92"/>
  <c r="P282" i="92"/>
  <c r="N282" i="92"/>
  <c r="L282" i="92"/>
  <c r="J282" i="92"/>
  <c r="H282" i="92"/>
  <c r="F282" i="92"/>
  <c r="D282" i="92"/>
  <c r="L279" i="15"/>
  <c r="J279" i="15"/>
  <c r="H279" i="15"/>
  <c r="F279" i="15"/>
  <c r="D279" i="15"/>
  <c r="B198" i="48" l="1"/>
  <c r="K22" i="135" l="1"/>
  <c r="G274" i="217" l="1"/>
  <c r="G275" i="217"/>
  <c r="D275" i="217"/>
  <c r="H194" i="214" l="1"/>
  <c r="P197" i="215"/>
  <c r="O197" i="215"/>
  <c r="N197" i="215"/>
  <c r="M197" i="215"/>
  <c r="G52" i="218"/>
  <c r="F52" i="218"/>
  <c r="E52" i="218"/>
  <c r="D52" i="218"/>
  <c r="C52" i="218"/>
  <c r="B52" i="218"/>
  <c r="F263" i="217" l="1"/>
  <c r="E263" i="217"/>
  <c r="C263" i="217"/>
  <c r="B263" i="217"/>
  <c r="D274" i="217"/>
  <c r="C263" i="209" l="1"/>
  <c r="AH271" i="25"/>
  <c r="AG271" i="25"/>
  <c r="AF271" i="25"/>
  <c r="AE271" i="25"/>
  <c r="AD271" i="25"/>
  <c r="AC271" i="25"/>
  <c r="AB271" i="25"/>
  <c r="Z271" i="25"/>
  <c r="Y271" i="25"/>
  <c r="X271" i="25"/>
  <c r="V271" i="25"/>
  <c r="U271" i="25"/>
  <c r="T271" i="25"/>
  <c r="S271" i="25"/>
  <c r="R271" i="25"/>
  <c r="Q271" i="25"/>
  <c r="P271" i="25"/>
  <c r="O271" i="25"/>
  <c r="N271" i="25"/>
  <c r="M271" i="25"/>
  <c r="L271" i="25"/>
  <c r="K271" i="25"/>
  <c r="I271" i="25"/>
  <c r="H271" i="25"/>
  <c r="G271" i="25"/>
  <c r="F271" i="25"/>
  <c r="E271" i="25"/>
  <c r="D271" i="25"/>
  <c r="C271" i="25"/>
  <c r="B271" i="25"/>
  <c r="I281" i="86"/>
  <c r="J281" i="86"/>
  <c r="I282" i="86"/>
  <c r="J282" i="86"/>
  <c r="I283" i="86"/>
  <c r="J283" i="86"/>
  <c r="I284" i="86"/>
  <c r="J284" i="86"/>
  <c r="I285" i="86"/>
  <c r="J285" i="86"/>
  <c r="I286" i="86"/>
  <c r="J286" i="86"/>
  <c r="F280" i="86"/>
  <c r="G280" i="86"/>
  <c r="H280" i="86"/>
  <c r="F281" i="86"/>
  <c r="G281" i="86"/>
  <c r="H281" i="86"/>
  <c r="F282" i="86"/>
  <c r="G282" i="86"/>
  <c r="H282" i="86"/>
  <c r="F283" i="86"/>
  <c r="G283" i="86"/>
  <c r="H283" i="86"/>
  <c r="F284" i="86"/>
  <c r="G284" i="86"/>
  <c r="H284" i="86"/>
  <c r="F285" i="86"/>
  <c r="G285" i="86"/>
  <c r="H285" i="86"/>
  <c r="F286" i="86"/>
  <c r="G286" i="86"/>
  <c r="H286" i="86"/>
  <c r="I276" i="33" l="1"/>
  <c r="H276" i="33"/>
  <c r="G276" i="33"/>
  <c r="F276" i="33"/>
  <c r="E276" i="33"/>
  <c r="D276" i="33"/>
  <c r="C276" i="33"/>
  <c r="B276" i="33"/>
  <c r="F22" i="135" l="1"/>
  <c r="M22" i="135"/>
  <c r="D76" i="123" l="1"/>
  <c r="D77" i="123"/>
  <c r="AH279" i="92"/>
  <c r="AH280" i="92"/>
  <c r="AF279" i="92"/>
  <c r="AF280" i="92"/>
  <c r="AD279" i="92"/>
  <c r="AD280" i="92"/>
  <c r="AB279" i="92"/>
  <c r="AB280" i="92"/>
  <c r="Y279" i="92"/>
  <c r="Z279" i="92" s="1"/>
  <c r="Y280" i="92"/>
  <c r="Z280" i="92" s="1"/>
  <c r="X279" i="92"/>
  <c r="X280" i="92"/>
  <c r="V279" i="92"/>
  <c r="V280" i="92"/>
  <c r="T279" i="92"/>
  <c r="T280" i="92"/>
  <c r="R279" i="92"/>
  <c r="R280" i="92"/>
  <c r="P279" i="92"/>
  <c r="P280" i="92"/>
  <c r="N279" i="92"/>
  <c r="N280" i="92"/>
  <c r="L279" i="92"/>
  <c r="L280" i="92"/>
  <c r="J279" i="92"/>
  <c r="J280" i="92"/>
  <c r="H279" i="92"/>
  <c r="H280" i="92"/>
  <c r="F279" i="92"/>
  <c r="F280" i="92"/>
  <c r="D279" i="92"/>
  <c r="D280" i="92"/>
  <c r="L276" i="15"/>
  <c r="L277" i="15"/>
  <c r="J276" i="15"/>
  <c r="J277" i="15"/>
  <c r="H276" i="15"/>
  <c r="H277" i="15"/>
  <c r="F276" i="15"/>
  <c r="F277" i="15"/>
  <c r="D276" i="15"/>
  <c r="D277" i="15"/>
  <c r="G263" i="217"/>
  <c r="O194" i="214"/>
  <c r="N194" i="214"/>
  <c r="M194" i="214"/>
  <c r="L194" i="214"/>
  <c r="K194" i="214"/>
  <c r="J194" i="214"/>
  <c r="I194" i="214"/>
  <c r="G194" i="214"/>
  <c r="F194" i="214"/>
  <c r="E194" i="214"/>
  <c r="D194" i="214"/>
  <c r="C194" i="214"/>
  <c r="B194" i="214"/>
  <c r="BM200" i="213"/>
  <c r="BL200" i="213"/>
  <c r="BK200" i="213"/>
  <c r="BJ200" i="213"/>
  <c r="BI200" i="213"/>
  <c r="BH200" i="213"/>
  <c r="BG200" i="213"/>
  <c r="BF200" i="213"/>
  <c r="BE200" i="213"/>
  <c r="BD200" i="213"/>
  <c r="BC200" i="213"/>
  <c r="BB200" i="213"/>
  <c r="BA200" i="213"/>
  <c r="AZ200" i="213"/>
  <c r="AY200" i="213"/>
  <c r="AX200" i="213"/>
  <c r="AW200" i="213"/>
  <c r="AV200" i="213"/>
  <c r="AU200" i="213"/>
  <c r="AT200" i="213"/>
  <c r="AS200" i="213"/>
  <c r="AR200" i="213"/>
  <c r="AQ200" i="213"/>
  <c r="AP200" i="213"/>
  <c r="AO200" i="213"/>
  <c r="AN200" i="213"/>
  <c r="AM200" i="213"/>
  <c r="AL200" i="213"/>
  <c r="AK200" i="213"/>
  <c r="AJ200" i="213"/>
  <c r="AI200" i="213"/>
  <c r="AH200" i="213"/>
  <c r="AG200" i="213"/>
  <c r="AF200" i="213"/>
  <c r="AE200" i="213"/>
  <c r="AD200" i="213"/>
  <c r="AC200" i="213"/>
  <c r="AB200" i="213"/>
  <c r="AA200" i="213"/>
  <c r="Z200" i="213"/>
  <c r="Y200" i="213"/>
  <c r="X200" i="213"/>
  <c r="W200" i="213"/>
  <c r="V200" i="213"/>
  <c r="U200" i="213"/>
  <c r="T200" i="213"/>
  <c r="S200" i="213"/>
  <c r="R200" i="213"/>
  <c r="Q200" i="213"/>
  <c r="P200" i="213"/>
  <c r="O200" i="213"/>
  <c r="N200" i="213"/>
  <c r="M200" i="213"/>
  <c r="L200" i="213"/>
  <c r="K200" i="213"/>
  <c r="J200" i="213"/>
  <c r="I200" i="213"/>
  <c r="H200" i="213"/>
  <c r="I263" i="209"/>
  <c r="H263" i="209"/>
  <c r="F263" i="209"/>
  <c r="E263" i="209"/>
  <c r="B263" i="209"/>
  <c r="I198" i="48"/>
  <c r="H198" i="48"/>
  <c r="G198" i="48"/>
  <c r="F198" i="48"/>
  <c r="E198" i="48"/>
  <c r="D198" i="48"/>
  <c r="C198" i="48"/>
  <c r="D263" i="217" l="1"/>
  <c r="J263" i="209"/>
  <c r="D263" i="209"/>
  <c r="G263" i="209"/>
  <c r="C277" i="106" l="1"/>
  <c r="M7" i="230" l="1"/>
  <c r="J275" i="209"/>
  <c r="J274" i="209"/>
  <c r="G275" i="209"/>
  <c r="G274" i="209"/>
  <c r="D275" i="209"/>
  <c r="D274" i="209"/>
  <c r="EN35" i="102"/>
  <c r="EN31" i="102"/>
  <c r="EN27" i="102"/>
  <c r="EN23" i="102"/>
  <c r="EN19" i="102"/>
  <c r="EN15" i="102"/>
  <c r="EN11" i="102"/>
  <c r="EO35" i="99"/>
  <c r="EO31" i="99"/>
  <c r="EO27" i="99"/>
  <c r="EO23" i="99"/>
  <c r="EO19" i="99"/>
  <c r="EO15" i="99"/>
  <c r="EO11" i="99"/>
  <c r="V278" i="92" l="1"/>
  <c r="CE61" i="231"/>
  <c r="CD61" i="231"/>
  <c r="CC61" i="231"/>
  <c r="BR60" i="231"/>
  <c r="BT60" i="231" s="1"/>
  <c r="CL59" i="231"/>
  <c r="BR59" i="231"/>
  <c r="BT59" i="231" s="1"/>
  <c r="BN59" i="231"/>
  <c r="BI59" i="231"/>
  <c r="BD59" i="231"/>
  <c r="CL58" i="231"/>
  <c r="BR58" i="231"/>
  <c r="BT58" i="231" s="1"/>
  <c r="BN58" i="231"/>
  <c r="BI58" i="231"/>
  <c r="BD58" i="231"/>
  <c r="CL57" i="231"/>
  <c r="BR57" i="231"/>
  <c r="BT57" i="231" s="1"/>
  <c r="BN57" i="231"/>
  <c r="BI57" i="231"/>
  <c r="BD57" i="231"/>
  <c r="CL56" i="231"/>
  <c r="BR56" i="231"/>
  <c r="BT56" i="231" s="1"/>
  <c r="BN56" i="231"/>
  <c r="BI56" i="231"/>
  <c r="BD56" i="231"/>
  <c r="CL55" i="231"/>
  <c r="BR55" i="231"/>
  <c r="BN55" i="231"/>
  <c r="BI55" i="231"/>
  <c r="BD55" i="231"/>
  <c r="CL54" i="231"/>
  <c r="BR54" i="231"/>
  <c r="BT54" i="231" s="1"/>
  <c r="BN54" i="231"/>
  <c r="BI54" i="231"/>
  <c r="BD54" i="231"/>
  <c r="CF52" i="231"/>
  <c r="CB52" i="231"/>
  <c r="CA52" i="231"/>
  <c r="BZ52" i="231"/>
  <c r="BY52" i="231"/>
  <c r="BX52" i="231"/>
  <c r="BW52" i="231"/>
  <c r="BV52" i="231"/>
  <c r="BU52" i="231"/>
  <c r="BS52" i="231"/>
  <c r="BQ52" i="231"/>
  <c r="BP52" i="231"/>
  <c r="BO52" i="231"/>
  <c r="BM52" i="231"/>
  <c r="BL52" i="231"/>
  <c r="BK52" i="231"/>
  <c r="BJ52" i="231"/>
  <c r="BC52" i="231"/>
  <c r="BB52" i="231"/>
  <c r="BA52" i="231"/>
  <c r="AZ52" i="231"/>
  <c r="CL51" i="231"/>
  <c r="BR51" i="231"/>
  <c r="BT51" i="231" s="1"/>
  <c r="BN51" i="231"/>
  <c r="BI51" i="231"/>
  <c r="BD51" i="231"/>
  <c r="CL50" i="231"/>
  <c r="BR50" i="231"/>
  <c r="BT50" i="231" s="1"/>
  <c r="BN50" i="231"/>
  <c r="BI50" i="231"/>
  <c r="BD50" i="231"/>
  <c r="CF48" i="231"/>
  <c r="CB48" i="231"/>
  <c r="CA48" i="231"/>
  <c r="BZ48" i="231"/>
  <c r="BY48" i="231"/>
  <c r="BX48" i="231"/>
  <c r="BW48" i="231"/>
  <c r="BV48" i="231"/>
  <c r="BU48" i="231"/>
  <c r="BS48" i="231"/>
  <c r="BQ48" i="231"/>
  <c r="BP48" i="231"/>
  <c r="BO48" i="231"/>
  <c r="BM48" i="231"/>
  <c r="BL48" i="231"/>
  <c r="BK48" i="231"/>
  <c r="BJ48" i="231"/>
  <c r="BC48" i="231"/>
  <c r="BB48" i="231"/>
  <c r="BA48" i="231"/>
  <c r="AZ48" i="231"/>
  <c r="CL45" i="231"/>
  <c r="BR45" i="231"/>
  <c r="BT45" i="231" s="1"/>
  <c r="BN45" i="231"/>
  <c r="BI45" i="231"/>
  <c r="BD45" i="231"/>
  <c r="CL43" i="231"/>
  <c r="BR43" i="231"/>
  <c r="BT43" i="231" s="1"/>
  <c r="BN43" i="231"/>
  <c r="BI43" i="231"/>
  <c r="BD43" i="231"/>
  <c r="CL42" i="231"/>
  <c r="BR42" i="231"/>
  <c r="BN42" i="231"/>
  <c r="BI42" i="231"/>
  <c r="BD42" i="231"/>
  <c r="CL40" i="231"/>
  <c r="BV40" i="231"/>
  <c r="BU40" i="231"/>
  <c r="BS40" i="231"/>
  <c r="BQ40" i="231"/>
  <c r="BP40" i="231"/>
  <c r="BO40" i="231"/>
  <c r="BM40" i="231"/>
  <c r="BL40" i="231"/>
  <c r="BK40" i="231"/>
  <c r="BJ40" i="231"/>
  <c r="BC40" i="231"/>
  <c r="BB40" i="231"/>
  <c r="BA40" i="231"/>
  <c r="AZ40" i="231"/>
  <c r="CL39" i="231"/>
  <c r="BR39" i="231"/>
  <c r="BT39" i="231" s="1"/>
  <c r="BN39" i="231"/>
  <c r="BI39" i="231"/>
  <c r="BD39" i="231"/>
  <c r="CL37" i="231"/>
  <c r="BR37" i="231"/>
  <c r="BT37" i="231" s="1"/>
  <c r="BN37" i="231"/>
  <c r="BI37" i="231"/>
  <c r="BD37" i="231"/>
  <c r="CL36" i="231"/>
  <c r="BR36" i="231"/>
  <c r="BT36" i="231" s="1"/>
  <c r="BN36" i="231"/>
  <c r="BI36" i="231"/>
  <c r="BD36" i="231"/>
  <c r="CL34" i="231"/>
  <c r="BR34" i="231"/>
  <c r="BT34" i="231" s="1"/>
  <c r="BN34" i="231"/>
  <c r="BI34" i="231"/>
  <c r="BD34" i="231"/>
  <c r="CL33" i="231"/>
  <c r="BR33" i="231"/>
  <c r="BN33" i="231"/>
  <c r="BI33" i="231"/>
  <c r="BD33" i="231"/>
  <c r="CF31" i="231"/>
  <c r="CB31" i="231"/>
  <c r="CA31" i="231"/>
  <c r="BZ31" i="231"/>
  <c r="BY31" i="231"/>
  <c r="BX31" i="231"/>
  <c r="BW31" i="231"/>
  <c r="BV31" i="231"/>
  <c r="BU31" i="231"/>
  <c r="BS31" i="231"/>
  <c r="BQ31" i="231"/>
  <c r="BP31" i="231"/>
  <c r="BO31" i="231"/>
  <c r="BM31" i="231"/>
  <c r="BL31" i="231"/>
  <c r="BK31" i="231"/>
  <c r="BJ31" i="231"/>
  <c r="BC31" i="231"/>
  <c r="BB31" i="231"/>
  <c r="BA31" i="231"/>
  <c r="AZ31" i="231"/>
  <c r="CL29" i="231"/>
  <c r="BR29" i="231"/>
  <c r="BT29" i="231" s="1"/>
  <c r="BN29" i="231"/>
  <c r="BI29" i="231"/>
  <c r="BD29" i="231"/>
  <c r="CL28" i="231"/>
  <c r="BR28" i="231"/>
  <c r="BT28" i="231" s="1"/>
  <c r="BN28" i="231"/>
  <c r="BI28" i="231"/>
  <c r="BD28" i="231"/>
  <c r="CL24" i="231"/>
  <c r="BR24" i="231"/>
  <c r="BT24" i="231" s="1"/>
  <c r="BN24" i="231"/>
  <c r="BI24" i="231"/>
  <c r="BD24" i="231"/>
  <c r="CL23" i="231"/>
  <c r="BR23" i="231"/>
  <c r="BN23" i="231"/>
  <c r="BI23" i="231"/>
  <c r="BD23" i="231"/>
  <c r="CF21" i="231"/>
  <c r="CB21" i="231"/>
  <c r="CA21" i="231"/>
  <c r="BZ21" i="231"/>
  <c r="BY21" i="231"/>
  <c r="BX21" i="231"/>
  <c r="BW21" i="231"/>
  <c r="BV21" i="231"/>
  <c r="BU21" i="231"/>
  <c r="BS21" i="231"/>
  <c r="BQ21" i="231"/>
  <c r="BP21" i="231"/>
  <c r="BO21" i="231"/>
  <c r="BM21" i="231"/>
  <c r="BL21" i="231"/>
  <c r="BK21" i="231"/>
  <c r="BJ21" i="231"/>
  <c r="BC21" i="231"/>
  <c r="BB21" i="231"/>
  <c r="BA21" i="231"/>
  <c r="AZ21" i="231"/>
  <c r="CL19" i="231"/>
  <c r="BR19" i="231"/>
  <c r="BN19" i="231"/>
  <c r="BI19" i="231"/>
  <c r="BD19" i="231"/>
  <c r="CL18" i="231"/>
  <c r="BR18" i="231"/>
  <c r="BT18" i="231" s="1"/>
  <c r="BN18" i="231"/>
  <c r="BI18" i="231"/>
  <c r="BD18" i="231"/>
  <c r="CF16" i="231"/>
  <c r="CB16" i="231"/>
  <c r="CA16" i="231"/>
  <c r="BZ16" i="231"/>
  <c r="BY16" i="231"/>
  <c r="BX16" i="231"/>
  <c r="BW16" i="231"/>
  <c r="BV16" i="231"/>
  <c r="BU16" i="231"/>
  <c r="BS16" i="231"/>
  <c r="BQ16" i="231"/>
  <c r="BP16" i="231"/>
  <c r="BO16" i="231"/>
  <c r="BM16" i="231"/>
  <c r="BL16" i="231"/>
  <c r="BK16" i="231"/>
  <c r="BJ16" i="231"/>
  <c r="BC16" i="231"/>
  <c r="BB16" i="231"/>
  <c r="BA16" i="231"/>
  <c r="AZ16" i="231"/>
  <c r="CL14" i="231"/>
  <c r="BR14" i="231"/>
  <c r="BT14" i="231" s="1"/>
  <c r="BN14" i="231"/>
  <c r="BI14" i="231"/>
  <c r="BD14" i="231"/>
  <c r="CL13" i="231"/>
  <c r="BR13" i="231"/>
  <c r="BT13" i="231" s="1"/>
  <c r="BN13" i="231"/>
  <c r="BI13" i="231"/>
  <c r="BD13" i="231"/>
  <c r="CF11" i="231"/>
  <c r="CB11" i="231"/>
  <c r="CA11" i="231"/>
  <c r="BZ11" i="231"/>
  <c r="BY11" i="231"/>
  <c r="BX11" i="231"/>
  <c r="BW11" i="231"/>
  <c r="BV11" i="231"/>
  <c r="BU11" i="231"/>
  <c r="BS11" i="231"/>
  <c r="BQ11" i="231"/>
  <c r="BP11" i="231"/>
  <c r="BO11" i="231"/>
  <c r="BM11" i="231"/>
  <c r="BL11" i="231"/>
  <c r="BK11" i="231"/>
  <c r="BJ11" i="231"/>
  <c r="BC11" i="231"/>
  <c r="BB11" i="231"/>
  <c r="BA11" i="231"/>
  <c r="AZ11" i="231"/>
  <c r="BU47" i="231" l="1"/>
  <c r="BZ9" i="231"/>
  <c r="BL9" i="231"/>
  <c r="BV47" i="231"/>
  <c r="CL52" i="231"/>
  <c r="BX47" i="231"/>
  <c r="BI11" i="231"/>
  <c r="BX9" i="231"/>
  <c r="BX7" i="231" s="1"/>
  <c r="BX61" i="231" s="1"/>
  <c r="BN40" i="231"/>
  <c r="BJ47" i="231"/>
  <c r="BD48" i="231"/>
  <c r="BD47" i="231" s="1"/>
  <c r="BW47" i="231"/>
  <c r="BN11" i="231"/>
  <c r="BY9" i="231"/>
  <c r="BY7" i="231" s="1"/>
  <c r="BR11" i="231"/>
  <c r="BU9" i="231"/>
  <c r="BN16" i="231"/>
  <c r="BV9" i="231"/>
  <c r="BW9" i="231"/>
  <c r="BW7" i="231" s="1"/>
  <c r="BM9" i="231"/>
  <c r="BS9" i="231"/>
  <c r="BS7" i="231" s="1"/>
  <c r="BZ7" i="231"/>
  <c r="CL31" i="231"/>
  <c r="BZ47" i="231"/>
  <c r="BT48" i="231"/>
  <c r="BL47" i="231"/>
  <c r="CL48" i="231"/>
  <c r="BT11" i="231"/>
  <c r="BD31" i="231"/>
  <c r="BK47" i="231"/>
  <c r="BN21" i="231"/>
  <c r="BI31" i="231"/>
  <c r="BJ9" i="231"/>
  <c r="BJ7" i="231" s="1"/>
  <c r="BK9" i="231"/>
  <c r="BK7" i="231" s="1"/>
  <c r="BK61" i="231" s="1"/>
  <c r="BI21" i="231"/>
  <c r="BN31" i="231"/>
  <c r="CF9" i="231"/>
  <c r="CF7" i="231" s="1"/>
  <c r="CL16" i="231"/>
  <c r="BR31" i="231"/>
  <c r="BC47" i="231"/>
  <c r="BO47" i="231"/>
  <c r="BQ9" i="231"/>
  <c r="BQ7" i="231" s="1"/>
  <c r="BD11" i="231"/>
  <c r="BM7" i="231"/>
  <c r="BD52" i="231"/>
  <c r="AZ9" i="231"/>
  <c r="AZ7" i="231" s="1"/>
  <c r="BI48" i="231"/>
  <c r="BA9" i="231"/>
  <c r="BA7" i="231" s="1"/>
  <c r="BI52" i="231"/>
  <c r="BB9" i="231"/>
  <c r="BB7" i="231" s="1"/>
  <c r="BC9" i="231"/>
  <c r="BC7" i="231" s="1"/>
  <c r="BR48" i="231"/>
  <c r="BL7" i="231"/>
  <c r="AZ47" i="231"/>
  <c r="BS47" i="231"/>
  <c r="BD40" i="231"/>
  <c r="BR21" i="231"/>
  <c r="BI40" i="231"/>
  <c r="BB47" i="231"/>
  <c r="BN48" i="231"/>
  <c r="BY47" i="231"/>
  <c r="BD16" i="231"/>
  <c r="BT23" i="231"/>
  <c r="BT21" i="231" s="1"/>
  <c r="BO9" i="231"/>
  <c r="BO7" i="231" s="1"/>
  <c r="BI16" i="231"/>
  <c r="CL21" i="231"/>
  <c r="BR40" i="231"/>
  <c r="CA47" i="231"/>
  <c r="BP9" i="231"/>
  <c r="BP7" i="231" s="1"/>
  <c r="CL11" i="231"/>
  <c r="BM47" i="231"/>
  <c r="BA47" i="231"/>
  <c r="BN52" i="231"/>
  <c r="BR52" i="231"/>
  <c r="BT55" i="231"/>
  <c r="BT52" i="231" s="1"/>
  <c r="BR16" i="231"/>
  <c r="BT19" i="231"/>
  <c r="BT16" i="231" s="1"/>
  <c r="BT9" i="231" s="1"/>
  <c r="BD21" i="231"/>
  <c r="BU7" i="231"/>
  <c r="BV7" i="231"/>
  <c r="BV61" i="231" s="1"/>
  <c r="CA9" i="231"/>
  <c r="CA7" i="231" s="1"/>
  <c r="CA61" i="231" s="1"/>
  <c r="BT33" i="231"/>
  <c r="BT31" i="231" s="1"/>
  <c r="BP47" i="231"/>
  <c r="CB47" i="231"/>
  <c r="CB9" i="231"/>
  <c r="CB7" i="231" s="1"/>
  <c r="BQ47" i="231"/>
  <c r="CF47" i="231"/>
  <c r="BT42" i="231"/>
  <c r="BT40" i="231" s="1"/>
  <c r="BN9" i="231" l="1"/>
  <c r="BN7" i="231" s="1"/>
  <c r="BZ61" i="231"/>
  <c r="BS61" i="231"/>
  <c r="BI9" i="231"/>
  <c r="BO61" i="231"/>
  <c r="BC61" i="231"/>
  <c r="CL47" i="231"/>
  <c r="BU61" i="231"/>
  <c r="BR47" i="231"/>
  <c r="BR9" i="231"/>
  <c r="BR7" i="231" s="1"/>
  <c r="BR61" i="231" s="1"/>
  <c r="BT47" i="231"/>
  <c r="BT61" i="231" s="1"/>
  <c r="BW61" i="231"/>
  <c r="BJ61" i="231"/>
  <c r="BY61" i="231"/>
  <c r="BB61" i="231"/>
  <c r="BI7" i="231"/>
  <c r="BL61" i="231"/>
  <c r="BD9" i="231"/>
  <c r="BD7" i="231" s="1"/>
  <c r="BT7" i="231"/>
  <c r="BD61" i="231"/>
  <c r="BA61" i="231"/>
  <c r="BQ61" i="231"/>
  <c r="BN47" i="231"/>
  <c r="CL9" i="231"/>
  <c r="CL7" i="231" s="1"/>
  <c r="CL61" i="231" s="1"/>
  <c r="CF61" i="231"/>
  <c r="BP61" i="231"/>
  <c r="AZ61" i="231"/>
  <c r="BI47" i="231"/>
  <c r="BM61" i="231"/>
  <c r="CB61" i="231"/>
  <c r="BI61" i="231" l="1"/>
  <c r="BN61" i="231"/>
  <c r="L7" i="230"/>
  <c r="K7" i="230"/>
  <c r="J7" i="230"/>
  <c r="I7" i="230"/>
  <c r="H7" i="230"/>
  <c r="G7" i="230"/>
  <c r="F7" i="230"/>
  <c r="E7" i="230"/>
  <c r="D7" i="230"/>
  <c r="C7" i="230"/>
  <c r="B7" i="230"/>
  <c r="G272" i="209" l="1"/>
  <c r="G273" i="209"/>
  <c r="J272" i="209"/>
  <c r="J273" i="209"/>
  <c r="D272" i="209"/>
  <c r="D273" i="209"/>
  <c r="G272" i="217"/>
  <c r="G273" i="217"/>
  <c r="D272" i="217"/>
  <c r="D273" i="217"/>
  <c r="E279" i="32" l="1"/>
  <c r="AH245" i="25" l="1"/>
  <c r="AG245" i="25"/>
  <c r="AH232" i="25"/>
  <c r="AG232" i="25"/>
  <c r="AG219" i="25"/>
  <c r="AG206" i="25"/>
  <c r="AG193" i="25"/>
  <c r="AG180" i="25"/>
  <c r="AG167" i="25"/>
  <c r="AG154" i="25"/>
  <c r="AG141" i="25"/>
  <c r="AG128" i="25"/>
  <c r="AH278" i="92"/>
  <c r="AF278" i="92"/>
  <c r="AD278" i="92"/>
  <c r="AB278" i="92"/>
  <c r="Y278" i="92"/>
  <c r="Z278" i="92" s="1"/>
  <c r="X278" i="92"/>
  <c r="T278" i="92"/>
  <c r="R278" i="92"/>
  <c r="P278" i="92"/>
  <c r="N278" i="92"/>
  <c r="L278" i="92"/>
  <c r="J278" i="92"/>
  <c r="H278" i="92"/>
  <c r="F278" i="92"/>
  <c r="D278" i="92"/>
  <c r="D75" i="123"/>
  <c r="L275" i="15"/>
  <c r="J275" i="15"/>
  <c r="H275" i="15"/>
  <c r="F275" i="15"/>
  <c r="D275" i="15"/>
  <c r="D74" i="123" l="1"/>
  <c r="AH277" i="92"/>
  <c r="AF277" i="92"/>
  <c r="AD277" i="92"/>
  <c r="AB277" i="92"/>
  <c r="Y277" i="92"/>
  <c r="Z277" i="92" s="1"/>
  <c r="X277" i="92"/>
  <c r="V277" i="92"/>
  <c r="T277" i="92"/>
  <c r="R277" i="92"/>
  <c r="P277" i="92"/>
  <c r="N277" i="92"/>
  <c r="L277" i="92"/>
  <c r="J277" i="92"/>
  <c r="H277" i="92"/>
  <c r="F277" i="92"/>
  <c r="D277" i="92"/>
  <c r="L273" i="15" l="1"/>
  <c r="L274" i="15"/>
  <c r="J273" i="15"/>
  <c r="J274" i="15"/>
  <c r="H273" i="15"/>
  <c r="H274" i="15"/>
  <c r="F273" i="15"/>
  <c r="F274" i="15"/>
  <c r="D274" i="15"/>
  <c r="D269" i="217" l="1"/>
  <c r="D270" i="217"/>
  <c r="D271" i="217"/>
  <c r="G270" i="217"/>
  <c r="G271" i="217"/>
  <c r="J270" i="209" l="1"/>
  <c r="J271" i="209"/>
  <c r="G270" i="209"/>
  <c r="G271" i="209"/>
  <c r="D270" i="209"/>
  <c r="D271" i="209"/>
  <c r="D70" i="123" l="1"/>
  <c r="D71" i="123"/>
  <c r="D72" i="123"/>
  <c r="D73" i="123"/>
  <c r="AH274" i="92"/>
  <c r="AH275" i="92"/>
  <c r="AH276" i="92"/>
  <c r="AF274" i="92"/>
  <c r="AF275" i="92"/>
  <c r="AF276" i="92"/>
  <c r="AD274" i="92"/>
  <c r="AD275" i="92"/>
  <c r="AD276" i="92"/>
  <c r="AB274" i="92"/>
  <c r="AB275" i="92"/>
  <c r="AB276" i="92"/>
  <c r="Y274" i="92"/>
  <c r="Z274" i="92" s="1"/>
  <c r="Y275" i="92"/>
  <c r="Z275" i="92" s="1"/>
  <c r="Y276" i="92"/>
  <c r="Z276" i="92" s="1"/>
  <c r="X274" i="92"/>
  <c r="X275" i="92"/>
  <c r="X276" i="92"/>
  <c r="V274" i="92"/>
  <c r="V275" i="92"/>
  <c r="V276" i="92"/>
  <c r="T274" i="92"/>
  <c r="T275" i="92"/>
  <c r="T276" i="92"/>
  <c r="R274" i="92"/>
  <c r="R275" i="92"/>
  <c r="R276" i="92"/>
  <c r="P274" i="92"/>
  <c r="P275" i="92"/>
  <c r="P276" i="92"/>
  <c r="N274" i="92"/>
  <c r="N275" i="92"/>
  <c r="N276" i="92"/>
  <c r="L274" i="92"/>
  <c r="L275" i="92"/>
  <c r="L276" i="92"/>
  <c r="J274" i="92"/>
  <c r="J275" i="92"/>
  <c r="J276" i="92"/>
  <c r="H274" i="92"/>
  <c r="H275" i="92"/>
  <c r="H276" i="92"/>
  <c r="F274" i="92"/>
  <c r="F275" i="92"/>
  <c r="F276" i="92"/>
  <c r="D274" i="92"/>
  <c r="D275" i="92"/>
  <c r="D276" i="92"/>
  <c r="L272" i="15" l="1"/>
  <c r="J272" i="15"/>
  <c r="H272" i="15"/>
  <c r="F272" i="15"/>
  <c r="D272" i="15"/>
  <c r="D273" i="15"/>
  <c r="J280" i="86" l="1"/>
  <c r="J279" i="86"/>
  <c r="J278" i="86"/>
  <c r="J277" i="86"/>
  <c r="J276" i="86"/>
  <c r="I280" i="86"/>
  <c r="I279" i="86"/>
  <c r="I278" i="86"/>
  <c r="I277" i="86"/>
  <c r="I276" i="86"/>
  <c r="H279" i="86"/>
  <c r="H278" i="86"/>
  <c r="H277" i="86"/>
  <c r="H276" i="86"/>
  <c r="G279" i="86"/>
  <c r="G278" i="86"/>
  <c r="G277" i="86"/>
  <c r="G276" i="86"/>
  <c r="F279" i="86"/>
  <c r="F278" i="86"/>
  <c r="F277" i="86"/>
  <c r="F276" i="86"/>
  <c r="C276" i="106" l="1"/>
  <c r="Y273" i="92"/>
  <c r="G276" i="106" l="1"/>
  <c r="E276" i="106"/>
  <c r="EJ35" i="102" l="1"/>
  <c r="EJ31" i="102"/>
  <c r="EJ27" i="102"/>
  <c r="EJ23" i="102"/>
  <c r="EJ19" i="102"/>
  <c r="EJ15" i="102"/>
  <c r="EJ11" i="102"/>
  <c r="EK35" i="99"/>
  <c r="EK31" i="99"/>
  <c r="EK27" i="99"/>
  <c r="EK23" i="99"/>
  <c r="EK19" i="99"/>
  <c r="EK15" i="99"/>
  <c r="EK11" i="99"/>
  <c r="G269" i="217"/>
  <c r="J269" i="209" l="1"/>
  <c r="G269" i="209"/>
  <c r="D269" i="209"/>
  <c r="L271" i="15" l="1"/>
  <c r="J271" i="15"/>
  <c r="H271" i="15"/>
  <c r="F271" i="15"/>
  <c r="D271" i="15"/>
  <c r="G268" i="217" l="1"/>
  <c r="D268" i="217"/>
  <c r="J268" i="209" l="1"/>
  <c r="G268" i="209"/>
  <c r="D268" i="209"/>
  <c r="M270" i="219" l="1"/>
  <c r="H270" i="219"/>
  <c r="B270" i="219" l="1"/>
  <c r="D68" i="123"/>
  <c r="D69" i="123"/>
  <c r="AH273" i="92"/>
  <c r="AF273" i="92"/>
  <c r="AD273" i="92"/>
  <c r="AB273" i="92"/>
  <c r="Z273" i="92"/>
  <c r="X273" i="92"/>
  <c r="V273" i="92"/>
  <c r="T273" i="92"/>
  <c r="R273" i="92"/>
  <c r="P273" i="92"/>
  <c r="N273" i="92"/>
  <c r="L273" i="92"/>
  <c r="J273" i="92"/>
  <c r="H273" i="92"/>
  <c r="F273" i="92"/>
  <c r="D273" i="92"/>
  <c r="L270" i="15"/>
  <c r="J270" i="15"/>
  <c r="H270" i="15"/>
  <c r="F270" i="15"/>
  <c r="D270" i="15"/>
  <c r="G265" i="217" l="1"/>
  <c r="G266" i="217"/>
  <c r="G267" i="217"/>
  <c r="D265" i="217"/>
  <c r="D266" i="217"/>
  <c r="D267" i="217"/>
  <c r="J266" i="209"/>
  <c r="J267" i="209"/>
  <c r="G266" i="209"/>
  <c r="G267" i="209"/>
  <c r="D266" i="209"/>
  <c r="D267" i="209"/>
  <c r="AH272" i="92" l="1"/>
  <c r="AF272" i="92"/>
  <c r="AD272" i="92"/>
  <c r="AB272" i="92"/>
  <c r="Y272" i="92"/>
  <c r="Z272" i="92" s="1"/>
  <c r="X272" i="92"/>
  <c r="V272" i="92"/>
  <c r="T272" i="92"/>
  <c r="R272" i="92"/>
  <c r="P272" i="92"/>
  <c r="N272" i="92"/>
  <c r="L272" i="92"/>
  <c r="J272" i="92"/>
  <c r="H272" i="92"/>
  <c r="F272" i="92"/>
  <c r="D272" i="92"/>
  <c r="L269" i="15"/>
  <c r="J269" i="15"/>
  <c r="H269" i="15"/>
  <c r="F269" i="15"/>
  <c r="D269" i="15"/>
  <c r="AH271" i="92" l="1"/>
  <c r="AF271" i="92"/>
  <c r="AD271" i="92"/>
  <c r="AB271" i="92"/>
  <c r="Y271" i="92"/>
  <c r="Z271" i="92" s="1"/>
  <c r="X271" i="92"/>
  <c r="V271" i="92"/>
  <c r="T271" i="92"/>
  <c r="R271" i="92"/>
  <c r="P271" i="92"/>
  <c r="N271" i="92"/>
  <c r="L271" i="92"/>
  <c r="J271" i="92"/>
  <c r="H271" i="92"/>
  <c r="F271" i="92"/>
  <c r="D271" i="92"/>
  <c r="L268" i="15"/>
  <c r="J268" i="15"/>
  <c r="H268" i="15"/>
  <c r="F268" i="15"/>
  <c r="D268" i="15"/>
  <c r="G264" i="217"/>
  <c r="D264" i="217"/>
  <c r="J265" i="209" l="1"/>
  <c r="G265" i="209"/>
  <c r="D265" i="209"/>
  <c r="D64" i="123" l="1"/>
  <c r="D63" i="123"/>
  <c r="D62" i="123"/>
  <c r="D61" i="123"/>
  <c r="D60" i="123"/>
  <c r="D59" i="123"/>
  <c r="D58" i="123"/>
  <c r="D57" i="123"/>
  <c r="D56" i="123"/>
  <c r="D55" i="123"/>
  <c r="D54" i="123"/>
  <c r="D53" i="123"/>
  <c r="D67" i="123"/>
  <c r="D66" i="123"/>
  <c r="N266" i="92"/>
  <c r="N267" i="92"/>
  <c r="N269" i="92"/>
  <c r="N270" i="92"/>
  <c r="AH270" i="92"/>
  <c r="AF270" i="92"/>
  <c r="AD270" i="92"/>
  <c r="AB270" i="92"/>
  <c r="Y270" i="92"/>
  <c r="Z270" i="92" s="1"/>
  <c r="X270" i="92"/>
  <c r="V270" i="92"/>
  <c r="T270" i="92"/>
  <c r="R270" i="92"/>
  <c r="P270" i="92"/>
  <c r="L270" i="92"/>
  <c r="J270" i="92"/>
  <c r="H270" i="92"/>
  <c r="F270" i="92"/>
  <c r="D270" i="92"/>
  <c r="L267" i="15" l="1"/>
  <c r="J267" i="15"/>
  <c r="H267" i="15"/>
  <c r="F267" i="15"/>
  <c r="D267" i="15"/>
  <c r="N258" i="225" l="1"/>
  <c r="N245" i="225"/>
  <c r="N232" i="225"/>
  <c r="N219" i="225"/>
  <c r="N206" i="225"/>
  <c r="N193" i="225"/>
  <c r="N180" i="225"/>
  <c r="N167" i="225"/>
  <c r="N154" i="225"/>
  <c r="N141" i="225"/>
  <c r="N128" i="225"/>
  <c r="N115" i="225"/>
  <c r="N102" i="225"/>
  <c r="G262" i="217" l="1"/>
  <c r="G261" i="217"/>
  <c r="D262" i="217"/>
  <c r="D261" i="217"/>
  <c r="J264" i="209" l="1"/>
  <c r="G264" i="209"/>
  <c r="D264" i="209"/>
  <c r="AH269" i="92" l="1"/>
  <c r="AF269" i="92"/>
  <c r="AD269" i="92"/>
  <c r="AB269" i="92"/>
  <c r="Y269" i="92"/>
  <c r="Z269" i="92" s="1"/>
  <c r="X269" i="92"/>
  <c r="V269" i="92"/>
  <c r="T269" i="92"/>
  <c r="R269" i="92"/>
  <c r="P269" i="92"/>
  <c r="L269" i="92"/>
  <c r="J269" i="92"/>
  <c r="H269" i="92"/>
  <c r="F269" i="92"/>
  <c r="D269" i="92"/>
  <c r="L266" i="15"/>
  <c r="J266" i="15"/>
  <c r="H266" i="15"/>
  <c r="F266" i="15"/>
  <c r="D266" i="15"/>
  <c r="E270" i="32" l="1"/>
  <c r="B270" i="32"/>
  <c r="I270" i="32" s="1"/>
  <c r="H270" i="32" l="1"/>
  <c r="J275" i="86" l="1"/>
  <c r="I275" i="86"/>
  <c r="J273" i="86"/>
  <c r="I273" i="86"/>
  <c r="J272" i="86"/>
  <c r="I272" i="86"/>
  <c r="H275" i="86" l="1"/>
  <c r="G275" i="86"/>
  <c r="F275" i="86"/>
  <c r="I185" i="48" l="1"/>
  <c r="H185" i="48"/>
  <c r="G185" i="48"/>
  <c r="F185" i="48"/>
  <c r="E185" i="48"/>
  <c r="D185" i="48"/>
  <c r="C185" i="48"/>
  <c r="B185" i="48"/>
  <c r="C39" i="218"/>
  <c r="D39" i="218"/>
  <c r="E39" i="218"/>
  <c r="F39" i="218"/>
  <c r="G39" i="218"/>
  <c r="B39" i="218"/>
  <c r="F250" i="217" l="1"/>
  <c r="E250" i="217"/>
  <c r="C250" i="217"/>
  <c r="B250" i="217"/>
  <c r="N184" i="215" l="1"/>
  <c r="O184" i="215"/>
  <c r="P184" i="215"/>
  <c r="M184" i="215"/>
  <c r="C181" i="214"/>
  <c r="D181" i="214"/>
  <c r="E181" i="214"/>
  <c r="F181" i="214"/>
  <c r="G181" i="214"/>
  <c r="H181" i="214"/>
  <c r="I181" i="214"/>
  <c r="J181" i="214"/>
  <c r="K181" i="214"/>
  <c r="L181" i="214"/>
  <c r="M181" i="214"/>
  <c r="N181" i="214"/>
  <c r="O181" i="214"/>
  <c r="B181" i="214"/>
  <c r="I187" i="213"/>
  <c r="J187" i="213"/>
  <c r="K187" i="213"/>
  <c r="L187" i="213"/>
  <c r="M187" i="213"/>
  <c r="N187" i="213"/>
  <c r="O187" i="213"/>
  <c r="P187" i="213"/>
  <c r="Q187" i="213"/>
  <c r="R187" i="213"/>
  <c r="S187" i="213"/>
  <c r="T187" i="213"/>
  <c r="U187" i="213"/>
  <c r="V187" i="213"/>
  <c r="W187" i="213"/>
  <c r="X187" i="213"/>
  <c r="Y187" i="213"/>
  <c r="Z187" i="213"/>
  <c r="AA187" i="213"/>
  <c r="AB187" i="213"/>
  <c r="AC187" i="213"/>
  <c r="AD187" i="213"/>
  <c r="AE187" i="213"/>
  <c r="AF187" i="213"/>
  <c r="AG187" i="213"/>
  <c r="AH187" i="213"/>
  <c r="AI187" i="213"/>
  <c r="AJ187" i="213"/>
  <c r="AK187" i="213"/>
  <c r="AL187" i="213"/>
  <c r="AM187" i="213"/>
  <c r="AN187" i="213"/>
  <c r="AO187" i="213"/>
  <c r="AP187" i="213"/>
  <c r="AQ187" i="213"/>
  <c r="AR187" i="213"/>
  <c r="AS187" i="213"/>
  <c r="AT187" i="213"/>
  <c r="AU187" i="213"/>
  <c r="AV187" i="213"/>
  <c r="AW187" i="213"/>
  <c r="AX187" i="213"/>
  <c r="AY187" i="213"/>
  <c r="AZ187" i="213"/>
  <c r="BA187" i="213"/>
  <c r="BB187" i="213"/>
  <c r="BC187" i="213"/>
  <c r="BD187" i="213"/>
  <c r="BE187" i="213"/>
  <c r="BF187" i="213"/>
  <c r="BG187" i="213"/>
  <c r="BH187" i="213"/>
  <c r="BI187" i="213"/>
  <c r="BJ187" i="213"/>
  <c r="BK187" i="213"/>
  <c r="BL187" i="213"/>
  <c r="BM187" i="213"/>
  <c r="H187" i="213"/>
  <c r="J261" i="209"/>
  <c r="J262" i="209"/>
  <c r="G261" i="209"/>
  <c r="G262" i="209"/>
  <c r="D261" i="209"/>
  <c r="D262" i="209"/>
  <c r="I250" i="209"/>
  <c r="H250" i="209"/>
  <c r="F250" i="209"/>
  <c r="E250" i="209"/>
  <c r="C250" i="209"/>
  <c r="B250" i="209"/>
  <c r="D260" i="209"/>
  <c r="G260" i="209"/>
  <c r="J260" i="209"/>
  <c r="C263" i="33" l="1"/>
  <c r="D263" i="33"/>
  <c r="E263" i="33"/>
  <c r="F263" i="33"/>
  <c r="G263" i="33"/>
  <c r="H263" i="33"/>
  <c r="I263" i="33"/>
  <c r="B263" i="33"/>
  <c r="L22" i="135" l="1"/>
  <c r="E22" i="135"/>
  <c r="ED35" i="99" l="1"/>
  <c r="AH266" i="92"/>
  <c r="AH267" i="92"/>
  <c r="AF266" i="92"/>
  <c r="AF267" i="92"/>
  <c r="AD266" i="92"/>
  <c r="AD267" i="92"/>
  <c r="AB266" i="92"/>
  <c r="AB267" i="92"/>
  <c r="Y266" i="92"/>
  <c r="Z266" i="92" s="1"/>
  <c r="Y267" i="92"/>
  <c r="Z267" i="92" s="1"/>
  <c r="X266" i="92"/>
  <c r="X267" i="92"/>
  <c r="V266" i="92"/>
  <c r="V267" i="92"/>
  <c r="T266" i="92"/>
  <c r="T267" i="92"/>
  <c r="R266" i="92"/>
  <c r="R267" i="92"/>
  <c r="P266" i="92"/>
  <c r="P267" i="92"/>
  <c r="L266" i="92"/>
  <c r="L267" i="92"/>
  <c r="J266" i="92"/>
  <c r="J267" i="92"/>
  <c r="H266" i="92"/>
  <c r="H267" i="92"/>
  <c r="F266" i="92"/>
  <c r="F267" i="92"/>
  <c r="D267" i="92"/>
  <c r="D266" i="92"/>
  <c r="L264" i="15" l="1"/>
  <c r="L263" i="15"/>
  <c r="J264" i="15"/>
  <c r="J263" i="15"/>
  <c r="H264" i="15"/>
  <c r="H263" i="15"/>
  <c r="F264" i="15"/>
  <c r="F263" i="15"/>
  <c r="D264" i="15"/>
  <c r="D263" i="15"/>
  <c r="H270" i="86" l="1"/>
  <c r="H271" i="86"/>
  <c r="H272" i="86"/>
  <c r="H273" i="86"/>
  <c r="G270" i="86"/>
  <c r="G271" i="86"/>
  <c r="G272" i="86"/>
  <c r="G273" i="86"/>
  <c r="F270" i="86"/>
  <c r="F271" i="86"/>
  <c r="F272" i="86"/>
  <c r="F273" i="86"/>
  <c r="I270" i="86" l="1"/>
  <c r="J270" i="86"/>
  <c r="I271" i="86"/>
  <c r="J271" i="86"/>
  <c r="D265" i="92" l="1"/>
  <c r="D250" i="217" l="1"/>
  <c r="G250" i="217"/>
  <c r="G250" i="209" l="1"/>
  <c r="D250" i="209"/>
  <c r="J250" i="209"/>
  <c r="CD60" i="221"/>
  <c r="CD59" i="221"/>
  <c r="CD58" i="221"/>
  <c r="CD57" i="221"/>
  <c r="CD56" i="221"/>
  <c r="CD55" i="221"/>
  <c r="CC53" i="221"/>
  <c r="CD53" i="221" s="1"/>
  <c r="CD52" i="221"/>
  <c r="CD51" i="221"/>
  <c r="CC49" i="221"/>
  <c r="CD49" i="221" s="1"/>
  <c r="CD46" i="221"/>
  <c r="CD44" i="221"/>
  <c r="CD43" i="221"/>
  <c r="CD41" i="221"/>
  <c r="CD40" i="221"/>
  <c r="CD38" i="221"/>
  <c r="CD37" i="221"/>
  <c r="CD35" i="221"/>
  <c r="CD34" i="221"/>
  <c r="CC32" i="221"/>
  <c r="CD32" i="221" s="1"/>
  <c r="CD30" i="221"/>
  <c r="CD29" i="221"/>
  <c r="CD25" i="221"/>
  <c r="CD24" i="221"/>
  <c r="CC22" i="221"/>
  <c r="CD22" i="221" s="1"/>
  <c r="CD20" i="221"/>
  <c r="CD19" i="221"/>
  <c r="CC17" i="221"/>
  <c r="CD15" i="221"/>
  <c r="CD14" i="221"/>
  <c r="CC12" i="221"/>
  <c r="CD12" i="221" s="1"/>
  <c r="BY9" i="221"/>
  <c r="G259" i="217"/>
  <c r="G260" i="217"/>
  <c r="D259" i="217"/>
  <c r="D260" i="217"/>
  <c r="CC48" i="221" l="1"/>
  <c r="CD48" i="221" s="1"/>
  <c r="CC10" i="221"/>
  <c r="CC9" i="221" s="1"/>
  <c r="CD9" i="221" s="1"/>
  <c r="CD17" i="221"/>
  <c r="J259" i="209"/>
  <c r="G259" i="209"/>
  <c r="D259" i="209"/>
  <c r="CD10" i="221" l="1"/>
  <c r="CC62" i="221"/>
  <c r="CD62" i="221" s="1"/>
  <c r="F266" i="106"/>
  <c r="G266" i="106" s="1"/>
  <c r="E266" i="106"/>
  <c r="C266" i="106"/>
  <c r="AH265" i="92" l="1"/>
  <c r="AF265" i="92"/>
  <c r="AD265" i="92"/>
  <c r="AB265" i="92"/>
  <c r="Y265" i="92"/>
  <c r="Z265" i="92" s="1"/>
  <c r="X265" i="92"/>
  <c r="V265" i="92"/>
  <c r="T265" i="92"/>
  <c r="R265" i="92"/>
  <c r="P265" i="92"/>
  <c r="N265" i="92"/>
  <c r="L265" i="92"/>
  <c r="J265" i="92"/>
  <c r="H265" i="92"/>
  <c r="F265" i="92"/>
  <c r="L262" i="15"/>
  <c r="J262" i="15"/>
  <c r="H262" i="15"/>
  <c r="F262" i="15"/>
  <c r="D262" i="15"/>
  <c r="M253" i="219"/>
  <c r="M241" i="219"/>
  <c r="Q227" i="219"/>
  <c r="P227" i="219"/>
  <c r="O227" i="219"/>
  <c r="N227" i="219"/>
  <c r="Q225" i="219"/>
  <c r="P225" i="219"/>
  <c r="O225" i="219"/>
  <c r="N225" i="219"/>
  <c r="Q224" i="219"/>
  <c r="P224" i="219"/>
  <c r="O224" i="219"/>
  <c r="N224" i="219"/>
  <c r="Q223" i="219"/>
  <c r="P223" i="219"/>
  <c r="O223" i="219"/>
  <c r="N223" i="219"/>
  <c r="Q222" i="219"/>
  <c r="P222" i="219"/>
  <c r="O222" i="219"/>
  <c r="N222" i="219"/>
  <c r="Q221" i="219"/>
  <c r="P221" i="219"/>
  <c r="O221" i="219"/>
  <c r="N221" i="219"/>
  <c r="Q220" i="219"/>
  <c r="P220" i="219"/>
  <c r="O220" i="219"/>
  <c r="N220" i="219"/>
  <c r="Q219" i="219"/>
  <c r="P219" i="219"/>
  <c r="O219" i="219"/>
  <c r="N219" i="219"/>
  <c r="Q218" i="219"/>
  <c r="P218" i="219"/>
  <c r="O218" i="219"/>
  <c r="N218" i="219"/>
  <c r="Q216" i="219"/>
  <c r="P216" i="219"/>
  <c r="O216" i="219"/>
  <c r="N216" i="219"/>
  <c r="Q215" i="219"/>
  <c r="P215" i="219"/>
  <c r="O215" i="219"/>
  <c r="N215" i="219"/>
  <c r="Q214" i="219"/>
  <c r="P214" i="219"/>
  <c r="O214" i="219"/>
  <c r="N214" i="219"/>
  <c r="Q212" i="219"/>
  <c r="P212" i="219"/>
  <c r="O212" i="219"/>
  <c r="N212" i="219"/>
  <c r="Q211" i="219"/>
  <c r="P211" i="219"/>
  <c r="O211" i="219"/>
  <c r="N211" i="219"/>
  <c r="Q210" i="219"/>
  <c r="P210" i="219"/>
  <c r="O210" i="219"/>
  <c r="N210" i="219"/>
  <c r="Q209" i="219"/>
  <c r="P209" i="219"/>
  <c r="O209" i="219"/>
  <c r="N209" i="219"/>
  <c r="Q208" i="219"/>
  <c r="P208" i="219"/>
  <c r="O208" i="219"/>
  <c r="N208" i="219"/>
  <c r="Q173" i="219"/>
  <c r="P173" i="219"/>
  <c r="O173" i="219"/>
  <c r="N173" i="219"/>
  <c r="M173" i="219"/>
  <c r="Q162" i="219"/>
  <c r="P162" i="219"/>
  <c r="O162" i="219"/>
  <c r="N162" i="219"/>
  <c r="Q160" i="219"/>
  <c r="P160" i="219"/>
  <c r="O160" i="219"/>
  <c r="N160" i="219"/>
  <c r="Q157" i="219"/>
  <c r="P157" i="219"/>
  <c r="O157" i="219"/>
  <c r="N157" i="219"/>
  <c r="Q153" i="219"/>
  <c r="P153" i="219"/>
  <c r="O153" i="219"/>
  <c r="N153" i="219"/>
  <c r="Q150" i="219"/>
  <c r="P150" i="219"/>
  <c r="O150" i="219"/>
  <c r="N150" i="219"/>
  <c r="Q149" i="219"/>
  <c r="P149" i="219"/>
  <c r="O149" i="219"/>
  <c r="N149" i="219"/>
  <c r="Q147" i="219"/>
  <c r="P147" i="219"/>
  <c r="O147" i="219"/>
  <c r="N147" i="219"/>
  <c r="Q146" i="219"/>
  <c r="P146" i="219"/>
  <c r="O146" i="219"/>
  <c r="N146" i="219"/>
  <c r="M146" i="219"/>
  <c r="Q145" i="219"/>
  <c r="P145" i="219"/>
  <c r="O145" i="219"/>
  <c r="N145" i="219"/>
  <c r="H145" i="219"/>
  <c r="C145" i="219"/>
  <c r="Q144" i="219"/>
  <c r="P144" i="219"/>
  <c r="O144" i="219"/>
  <c r="N144" i="219"/>
  <c r="H144" i="219"/>
  <c r="C144" i="219"/>
  <c r="Q143" i="219"/>
  <c r="P143" i="219"/>
  <c r="O143" i="219"/>
  <c r="N143" i="219"/>
  <c r="H143" i="219"/>
  <c r="C143" i="219"/>
  <c r="U142" i="219"/>
  <c r="T142" i="219"/>
  <c r="S142" i="219"/>
  <c r="R142" i="219"/>
  <c r="L142" i="219"/>
  <c r="K142" i="219"/>
  <c r="J142" i="219"/>
  <c r="I142" i="219"/>
  <c r="G142" i="219"/>
  <c r="F142" i="219"/>
  <c r="E142" i="219"/>
  <c r="D142" i="219"/>
  <c r="Q141" i="219"/>
  <c r="P141" i="219"/>
  <c r="O141" i="219"/>
  <c r="N141" i="219"/>
  <c r="H141" i="219"/>
  <c r="C141" i="219"/>
  <c r="Q140" i="219"/>
  <c r="P140" i="219"/>
  <c r="O140" i="219"/>
  <c r="N140" i="219"/>
  <c r="H140" i="219"/>
  <c r="C140" i="219"/>
  <c r="Q139" i="219"/>
  <c r="P139" i="219"/>
  <c r="O139" i="219"/>
  <c r="N139" i="219"/>
  <c r="H139" i="219"/>
  <c r="C139" i="219"/>
  <c r="Q138" i="219"/>
  <c r="P138" i="219"/>
  <c r="O138" i="219"/>
  <c r="N138" i="219"/>
  <c r="H138" i="219"/>
  <c r="C138" i="219"/>
  <c r="Q137" i="219"/>
  <c r="P137" i="219"/>
  <c r="O137" i="219"/>
  <c r="N137" i="219"/>
  <c r="H137" i="219"/>
  <c r="C137" i="219"/>
  <c r="Q136" i="219"/>
  <c r="P136" i="219"/>
  <c r="O136" i="219"/>
  <c r="N136" i="219"/>
  <c r="H136" i="219"/>
  <c r="C136" i="219"/>
  <c r="Q134" i="219"/>
  <c r="P134" i="219"/>
  <c r="O134" i="219"/>
  <c r="N134" i="219"/>
  <c r="H134" i="219"/>
  <c r="C134" i="219"/>
  <c r="Q133" i="219"/>
  <c r="P133" i="219"/>
  <c r="O133" i="219"/>
  <c r="N133" i="219"/>
  <c r="H133" i="219"/>
  <c r="C133" i="219"/>
  <c r="Q132" i="219"/>
  <c r="P132" i="219"/>
  <c r="O132" i="219"/>
  <c r="N132" i="219"/>
  <c r="H132" i="219"/>
  <c r="C132" i="219"/>
  <c r="Q131" i="219"/>
  <c r="P131" i="219"/>
  <c r="O131" i="219"/>
  <c r="N131" i="219"/>
  <c r="H131" i="219"/>
  <c r="C131" i="219"/>
  <c r="Q130" i="219"/>
  <c r="P130" i="219"/>
  <c r="O130" i="219"/>
  <c r="N130" i="219"/>
  <c r="H130" i="219"/>
  <c r="C130" i="219"/>
  <c r="Q129" i="219"/>
  <c r="P129" i="219"/>
  <c r="O129" i="219"/>
  <c r="N129" i="219"/>
  <c r="H129" i="219"/>
  <c r="C129" i="219"/>
  <c r="Q128" i="219"/>
  <c r="P128" i="219"/>
  <c r="O128" i="219"/>
  <c r="N128" i="219"/>
  <c r="H128" i="219"/>
  <c r="C128" i="219"/>
  <c r="Q127" i="219"/>
  <c r="P127" i="219"/>
  <c r="O127" i="219"/>
  <c r="N127" i="219"/>
  <c r="H127" i="219"/>
  <c r="C127" i="219"/>
  <c r="Q126" i="219"/>
  <c r="P126" i="219"/>
  <c r="O126" i="219"/>
  <c r="N126" i="219"/>
  <c r="H126" i="219"/>
  <c r="C126" i="219"/>
  <c r="Q125" i="219"/>
  <c r="P125" i="219"/>
  <c r="O125" i="219"/>
  <c r="N125" i="219"/>
  <c r="H125" i="219"/>
  <c r="C125" i="219"/>
  <c r="Q124" i="219"/>
  <c r="P124" i="219"/>
  <c r="O124" i="219"/>
  <c r="N124" i="219"/>
  <c r="H124" i="219"/>
  <c r="C124" i="219"/>
  <c r="Q123" i="219"/>
  <c r="P123" i="219"/>
  <c r="O123" i="219"/>
  <c r="N123" i="219"/>
  <c r="H123" i="219"/>
  <c r="C123" i="219"/>
  <c r="Q121" i="219"/>
  <c r="P121" i="219"/>
  <c r="O121" i="219"/>
  <c r="N121" i="219"/>
  <c r="H121" i="219"/>
  <c r="C121" i="219"/>
  <c r="Q120" i="219"/>
  <c r="P120" i="219"/>
  <c r="O120" i="219"/>
  <c r="N120" i="219"/>
  <c r="H120" i="219"/>
  <c r="C120" i="219"/>
  <c r="Q119" i="219"/>
  <c r="P119" i="219"/>
  <c r="O119" i="219"/>
  <c r="N119" i="219"/>
  <c r="H119" i="219"/>
  <c r="C119" i="219"/>
  <c r="Q118" i="219"/>
  <c r="P118" i="219"/>
  <c r="O118" i="219"/>
  <c r="N118" i="219"/>
  <c r="H118" i="219"/>
  <c r="C118" i="219"/>
  <c r="Q117" i="219"/>
  <c r="P117" i="219"/>
  <c r="O117" i="219"/>
  <c r="N117" i="219"/>
  <c r="H117" i="219"/>
  <c r="C117" i="219"/>
  <c r="Q116" i="219"/>
  <c r="P116" i="219"/>
  <c r="O116" i="219"/>
  <c r="N116" i="219"/>
  <c r="H116" i="219"/>
  <c r="C116" i="219"/>
  <c r="Q115" i="219"/>
  <c r="P115" i="219"/>
  <c r="O115" i="219"/>
  <c r="N115" i="219"/>
  <c r="H115" i="219"/>
  <c r="C115" i="219"/>
  <c r="Q114" i="219"/>
  <c r="P114" i="219"/>
  <c r="O114" i="219"/>
  <c r="N114" i="219"/>
  <c r="H114" i="219"/>
  <c r="C114" i="219"/>
  <c r="Q113" i="219"/>
  <c r="P113" i="219"/>
  <c r="O113" i="219"/>
  <c r="N113" i="219"/>
  <c r="H113" i="219"/>
  <c r="C113" i="219"/>
  <c r="Q112" i="219"/>
  <c r="P112" i="219"/>
  <c r="O112" i="219"/>
  <c r="N112" i="219"/>
  <c r="H112" i="219"/>
  <c r="C112" i="219"/>
  <c r="Q111" i="219"/>
  <c r="P111" i="219"/>
  <c r="O111" i="219"/>
  <c r="N111" i="219"/>
  <c r="H111" i="219"/>
  <c r="C111" i="219"/>
  <c r="Q110" i="219"/>
  <c r="P110" i="219"/>
  <c r="O110" i="219"/>
  <c r="N110" i="219"/>
  <c r="H110" i="219"/>
  <c r="C110" i="219"/>
  <c r="Q108" i="219"/>
  <c r="P108" i="219"/>
  <c r="O108" i="219"/>
  <c r="N108" i="219"/>
  <c r="H108" i="219"/>
  <c r="C108" i="219"/>
  <c r="Q107" i="219"/>
  <c r="P107" i="219"/>
  <c r="O107" i="219"/>
  <c r="N107" i="219"/>
  <c r="H107" i="219"/>
  <c r="C107" i="219"/>
  <c r="Q106" i="219"/>
  <c r="P106" i="219"/>
  <c r="O106" i="219"/>
  <c r="N106" i="219"/>
  <c r="H106" i="219"/>
  <c r="C106" i="219"/>
  <c r="Q105" i="219"/>
  <c r="P105" i="219"/>
  <c r="O105" i="219"/>
  <c r="N105" i="219"/>
  <c r="H105" i="219"/>
  <c r="C105" i="219"/>
  <c r="Q104" i="219"/>
  <c r="P104" i="219"/>
  <c r="O104" i="219"/>
  <c r="N104" i="219"/>
  <c r="H104" i="219"/>
  <c r="C104" i="219"/>
  <c r="Q103" i="219"/>
  <c r="P103" i="219"/>
  <c r="O103" i="219"/>
  <c r="N103" i="219"/>
  <c r="H103" i="219"/>
  <c r="C103" i="219"/>
  <c r="Q102" i="219"/>
  <c r="P102" i="219"/>
  <c r="O102" i="219"/>
  <c r="N102" i="219"/>
  <c r="H102" i="219"/>
  <c r="C102" i="219"/>
  <c r="Q101" i="219"/>
  <c r="P101" i="219"/>
  <c r="O101" i="219"/>
  <c r="N101" i="219"/>
  <c r="H101" i="219"/>
  <c r="C101" i="219"/>
  <c r="Q100" i="219"/>
  <c r="P100" i="219"/>
  <c r="O100" i="219"/>
  <c r="N100" i="219"/>
  <c r="H100" i="219"/>
  <c r="C100" i="219"/>
  <c r="Q99" i="219"/>
  <c r="P99" i="219"/>
  <c r="O99" i="219"/>
  <c r="N99" i="219"/>
  <c r="H99" i="219"/>
  <c r="C99" i="219"/>
  <c r="Q98" i="219"/>
  <c r="P98" i="219"/>
  <c r="O98" i="219"/>
  <c r="N98" i="219"/>
  <c r="H98" i="219"/>
  <c r="C98" i="219"/>
  <c r="Q97" i="219"/>
  <c r="P97" i="219"/>
  <c r="O97" i="219"/>
  <c r="N97" i="219"/>
  <c r="H97" i="219"/>
  <c r="C97" i="219"/>
  <c r="Q95" i="219"/>
  <c r="P95" i="219"/>
  <c r="O95" i="219"/>
  <c r="N95" i="219"/>
  <c r="H95" i="219"/>
  <c r="C95" i="219"/>
  <c r="Q94" i="219"/>
  <c r="P94" i="219"/>
  <c r="O94" i="219"/>
  <c r="N94" i="219"/>
  <c r="H94" i="219"/>
  <c r="C94" i="219"/>
  <c r="Q93" i="219"/>
  <c r="P93" i="219"/>
  <c r="O93" i="219"/>
  <c r="N93" i="219"/>
  <c r="H93" i="219"/>
  <c r="C93" i="219"/>
  <c r="Q92" i="219"/>
  <c r="P92" i="219"/>
  <c r="O92" i="219"/>
  <c r="N92" i="219"/>
  <c r="H92" i="219"/>
  <c r="C92" i="219"/>
  <c r="Q91" i="219"/>
  <c r="P91" i="219"/>
  <c r="O91" i="219"/>
  <c r="N91" i="219"/>
  <c r="H91" i="219"/>
  <c r="C91" i="219"/>
  <c r="Q90" i="219"/>
  <c r="P90" i="219"/>
  <c r="O90" i="219"/>
  <c r="N90" i="219"/>
  <c r="H90" i="219"/>
  <c r="C90" i="219"/>
  <c r="Q89" i="219"/>
  <c r="P89" i="219"/>
  <c r="O89" i="219"/>
  <c r="N89" i="219"/>
  <c r="H89" i="219"/>
  <c r="C89" i="219"/>
  <c r="Q88" i="219"/>
  <c r="P88" i="219"/>
  <c r="O88" i="219"/>
  <c r="N88" i="219"/>
  <c r="H88" i="219"/>
  <c r="C88" i="219"/>
  <c r="Q87" i="219"/>
  <c r="P87" i="219"/>
  <c r="O87" i="219"/>
  <c r="N87" i="219"/>
  <c r="H87" i="219"/>
  <c r="C87" i="219"/>
  <c r="Q86" i="219"/>
  <c r="P86" i="219"/>
  <c r="O86" i="219"/>
  <c r="N86" i="219"/>
  <c r="H86" i="219"/>
  <c r="C86" i="219"/>
  <c r="Q85" i="219"/>
  <c r="P85" i="219"/>
  <c r="O85" i="219"/>
  <c r="N85" i="219"/>
  <c r="H85" i="219"/>
  <c r="C85" i="219"/>
  <c r="Q84" i="219"/>
  <c r="P84" i="219"/>
  <c r="O84" i="219"/>
  <c r="N84" i="219"/>
  <c r="H84" i="219"/>
  <c r="C84" i="219"/>
  <c r="M82" i="219"/>
  <c r="C82" i="219"/>
  <c r="C70" i="219" s="1"/>
  <c r="M81" i="219"/>
  <c r="C81" i="219"/>
  <c r="M80" i="219"/>
  <c r="C80" i="219"/>
  <c r="M79" i="219"/>
  <c r="C79" i="219"/>
  <c r="M78" i="219"/>
  <c r="C78" i="219"/>
  <c r="M77" i="219"/>
  <c r="C77" i="219"/>
  <c r="M76" i="219"/>
  <c r="C76" i="219"/>
  <c r="M75" i="219"/>
  <c r="C75" i="219"/>
  <c r="M74" i="219"/>
  <c r="C74" i="219"/>
  <c r="M73" i="219"/>
  <c r="C73" i="219"/>
  <c r="M72" i="219"/>
  <c r="C72" i="219"/>
  <c r="M71" i="219"/>
  <c r="C71" i="219"/>
  <c r="H70" i="219"/>
  <c r="G70" i="219"/>
  <c r="Q70" i="219" s="1"/>
  <c r="F70" i="219"/>
  <c r="P70" i="219" s="1"/>
  <c r="E70" i="219"/>
  <c r="O70" i="219" s="1"/>
  <c r="D70" i="219"/>
  <c r="N70" i="219" s="1"/>
  <c r="M69" i="219"/>
  <c r="C69" i="219"/>
  <c r="M68" i="219"/>
  <c r="C68" i="219"/>
  <c r="M67" i="219"/>
  <c r="C67" i="219"/>
  <c r="M66" i="219"/>
  <c r="C66" i="219"/>
  <c r="M65" i="219"/>
  <c r="C65" i="219"/>
  <c r="M64" i="219"/>
  <c r="C64" i="219"/>
  <c r="M63" i="219"/>
  <c r="C63" i="219"/>
  <c r="M62" i="219"/>
  <c r="C62" i="219"/>
  <c r="M61" i="219"/>
  <c r="C61" i="219"/>
  <c r="M60" i="219"/>
  <c r="C60" i="219"/>
  <c r="M59" i="219"/>
  <c r="C59" i="219"/>
  <c r="M58" i="219"/>
  <c r="C58" i="219"/>
  <c r="H57" i="219"/>
  <c r="G57" i="219"/>
  <c r="Q57" i="219" s="1"/>
  <c r="F57" i="219"/>
  <c r="P57" i="219" s="1"/>
  <c r="E57" i="219"/>
  <c r="O57" i="219" s="1"/>
  <c r="D57" i="219"/>
  <c r="N57" i="219" s="1"/>
  <c r="M56" i="219"/>
  <c r="C56" i="219"/>
  <c r="C44" i="219" s="1"/>
  <c r="M55" i="219"/>
  <c r="C55" i="219"/>
  <c r="M54" i="219"/>
  <c r="C54" i="219"/>
  <c r="M53" i="219"/>
  <c r="C53" i="219"/>
  <c r="M52" i="219"/>
  <c r="C52" i="219"/>
  <c r="M51" i="219"/>
  <c r="C51" i="219"/>
  <c r="M50" i="219"/>
  <c r="C50" i="219"/>
  <c r="M49" i="219"/>
  <c r="C49" i="219"/>
  <c r="M48" i="219"/>
  <c r="C48" i="219"/>
  <c r="M47" i="219"/>
  <c r="C47" i="219"/>
  <c r="M46" i="219"/>
  <c r="C46" i="219"/>
  <c r="M45" i="219"/>
  <c r="C45" i="219"/>
  <c r="H44" i="219"/>
  <c r="G44" i="219"/>
  <c r="Q44" i="219" s="1"/>
  <c r="F44" i="219"/>
  <c r="P44" i="219" s="1"/>
  <c r="E44" i="219"/>
  <c r="O44" i="219" s="1"/>
  <c r="D44" i="219"/>
  <c r="N44" i="219" s="1"/>
  <c r="M43" i="219"/>
  <c r="C43" i="219"/>
  <c r="M42" i="219"/>
  <c r="C42" i="219"/>
  <c r="M41" i="219"/>
  <c r="C41" i="219"/>
  <c r="M40" i="219"/>
  <c r="C40" i="219"/>
  <c r="M39" i="219"/>
  <c r="C39" i="219"/>
  <c r="M38" i="219"/>
  <c r="C38" i="219"/>
  <c r="M37" i="219"/>
  <c r="C37" i="219"/>
  <c r="M36" i="219"/>
  <c r="C36" i="219"/>
  <c r="M35" i="219"/>
  <c r="C35" i="219"/>
  <c r="M34" i="219"/>
  <c r="C34" i="219"/>
  <c r="M33" i="219"/>
  <c r="C33" i="219"/>
  <c r="M32" i="219"/>
  <c r="C32" i="219"/>
  <c r="M31" i="219"/>
  <c r="C31" i="219"/>
  <c r="M30" i="219"/>
  <c r="C30" i="219"/>
  <c r="M29" i="219"/>
  <c r="C29" i="219"/>
  <c r="M28" i="219"/>
  <c r="C28" i="219"/>
  <c r="M27" i="219"/>
  <c r="C27" i="219"/>
  <c r="M26" i="219"/>
  <c r="C26" i="219"/>
  <c r="M25" i="219"/>
  <c r="C25" i="219"/>
  <c r="M24" i="219"/>
  <c r="C24" i="219"/>
  <c r="M23" i="219"/>
  <c r="C23" i="219"/>
  <c r="M22" i="219"/>
  <c r="C22" i="219"/>
  <c r="M21" i="219"/>
  <c r="C21" i="219"/>
  <c r="M20" i="219"/>
  <c r="C20" i="219"/>
  <c r="M19" i="219"/>
  <c r="C19" i="219"/>
  <c r="M18" i="219"/>
  <c r="C18" i="219"/>
  <c r="M17" i="219"/>
  <c r="H17" i="219"/>
  <c r="C17" i="219"/>
  <c r="M16" i="219"/>
  <c r="H16" i="219"/>
  <c r="C16" i="219"/>
  <c r="M15" i="219"/>
  <c r="H15" i="219"/>
  <c r="C15" i="219"/>
  <c r="M14" i="219"/>
  <c r="H14" i="219"/>
  <c r="C14" i="219"/>
  <c r="BS10" i="218"/>
  <c r="BW12" i="218"/>
  <c r="BW10" i="218" s="1"/>
  <c r="B13" i="218"/>
  <c r="C13" i="218"/>
  <c r="D13" i="218"/>
  <c r="E13" i="218"/>
  <c r="F13" i="218"/>
  <c r="G13" i="218"/>
  <c r="B26" i="218"/>
  <c r="C26" i="218"/>
  <c r="D26" i="218"/>
  <c r="E26" i="218"/>
  <c r="F26" i="218"/>
  <c r="G26" i="218"/>
  <c r="BS9" i="217"/>
  <c r="BW13" i="217"/>
  <c r="BX13" i="217" s="1"/>
  <c r="A14" i="217"/>
  <c r="A15" i="217" s="1"/>
  <c r="BX15" i="217"/>
  <c r="BX16" i="217"/>
  <c r="BW18" i="217"/>
  <c r="BX18" i="217" s="1"/>
  <c r="BX20" i="217"/>
  <c r="BX21" i="217"/>
  <c r="BW23" i="217"/>
  <c r="BX23" i="217" s="1"/>
  <c r="BX25" i="217"/>
  <c r="BX26" i="217"/>
  <c r="BX30" i="217"/>
  <c r="BX31" i="217"/>
  <c r="BW33" i="217"/>
  <c r="BX33" i="217" s="1"/>
  <c r="BX35" i="217"/>
  <c r="BX36" i="217"/>
  <c r="BX38" i="217"/>
  <c r="BX39" i="217"/>
  <c r="BX41" i="217"/>
  <c r="BX42" i="217"/>
  <c r="BX44" i="217"/>
  <c r="BX45" i="217"/>
  <c r="BX47" i="217"/>
  <c r="BW50" i="217"/>
  <c r="BX50" i="217" s="1"/>
  <c r="BX52" i="217"/>
  <c r="BX53" i="217"/>
  <c r="BW54" i="217"/>
  <c r="BX54" i="217" s="1"/>
  <c r="BX56" i="217"/>
  <c r="BX57" i="217"/>
  <c r="BX58" i="217"/>
  <c r="BX59" i="217"/>
  <c r="BX60" i="217"/>
  <c r="BX61" i="217"/>
  <c r="B68" i="217"/>
  <c r="C68" i="217"/>
  <c r="E68" i="217"/>
  <c r="F68" i="217"/>
  <c r="D69" i="217"/>
  <c r="G69" i="217"/>
  <c r="D70" i="217"/>
  <c r="G70" i="217"/>
  <c r="D71" i="217"/>
  <c r="G71" i="217"/>
  <c r="D72" i="217"/>
  <c r="G72" i="217"/>
  <c r="D73" i="217"/>
  <c r="G73" i="217"/>
  <c r="D74" i="217"/>
  <c r="G74" i="217"/>
  <c r="D75" i="217"/>
  <c r="G75" i="217"/>
  <c r="D76" i="217"/>
  <c r="G76" i="217"/>
  <c r="D77" i="217"/>
  <c r="G77" i="217"/>
  <c r="D78" i="217"/>
  <c r="G78" i="217"/>
  <c r="D79" i="217"/>
  <c r="G79" i="217"/>
  <c r="D80" i="217"/>
  <c r="G80" i="217"/>
  <c r="B81" i="217"/>
  <c r="C81" i="217"/>
  <c r="E81" i="217"/>
  <c r="F81" i="217"/>
  <c r="B94" i="217"/>
  <c r="C94" i="217"/>
  <c r="E94" i="217"/>
  <c r="F94" i="217"/>
  <c r="B107" i="217"/>
  <c r="C107" i="217"/>
  <c r="E107" i="217"/>
  <c r="F107" i="217"/>
  <c r="B120" i="217"/>
  <c r="C120" i="217"/>
  <c r="E120" i="217"/>
  <c r="F120" i="217"/>
  <c r="B133" i="217"/>
  <c r="C133" i="217"/>
  <c r="E133" i="217"/>
  <c r="F133" i="217"/>
  <c r="B146" i="217"/>
  <c r="C146" i="217"/>
  <c r="E146" i="217"/>
  <c r="F146" i="217"/>
  <c r="B159" i="217"/>
  <c r="C159" i="217"/>
  <c r="E159" i="217"/>
  <c r="F159" i="217"/>
  <c r="B172" i="217"/>
  <c r="C172" i="217"/>
  <c r="E172" i="217"/>
  <c r="F172" i="217"/>
  <c r="D173" i="217"/>
  <c r="G173" i="217"/>
  <c r="D174" i="217"/>
  <c r="G174" i="217"/>
  <c r="D175" i="217"/>
  <c r="G175" i="217"/>
  <c r="D176" i="217"/>
  <c r="G176" i="217"/>
  <c r="D177" i="217"/>
  <c r="G177" i="217"/>
  <c r="D178" i="217"/>
  <c r="G178" i="217"/>
  <c r="D179" i="217"/>
  <c r="G179" i="217"/>
  <c r="D180" i="217"/>
  <c r="G180" i="217"/>
  <c r="D181" i="217"/>
  <c r="G181" i="217"/>
  <c r="D182" i="217"/>
  <c r="G182" i="217"/>
  <c r="D183" i="217"/>
  <c r="G183" i="217"/>
  <c r="D184" i="217"/>
  <c r="G184" i="217"/>
  <c r="B185" i="217"/>
  <c r="C185" i="217"/>
  <c r="E185" i="217"/>
  <c r="F185" i="217"/>
  <c r="D186" i="217"/>
  <c r="G186" i="217"/>
  <c r="D187" i="217"/>
  <c r="G187" i="217"/>
  <c r="D188" i="217"/>
  <c r="G188" i="217"/>
  <c r="D189" i="217"/>
  <c r="G189" i="217"/>
  <c r="D190" i="217"/>
  <c r="G190" i="217"/>
  <c r="D191" i="217"/>
  <c r="G191" i="217"/>
  <c r="D192" i="217"/>
  <c r="G192" i="217"/>
  <c r="D193" i="217"/>
  <c r="G193" i="217"/>
  <c r="D194" i="217"/>
  <c r="G194" i="217"/>
  <c r="D195" i="217"/>
  <c r="G195" i="217"/>
  <c r="D196" i="217"/>
  <c r="G196" i="217"/>
  <c r="D197" i="217"/>
  <c r="G197" i="217"/>
  <c r="B198" i="217"/>
  <c r="C198" i="217"/>
  <c r="E198" i="217"/>
  <c r="F198" i="217"/>
  <c r="D199" i="217"/>
  <c r="G199" i="217"/>
  <c r="D200" i="217"/>
  <c r="G200" i="217"/>
  <c r="D201" i="217"/>
  <c r="G201" i="217"/>
  <c r="D202" i="217"/>
  <c r="G202" i="217"/>
  <c r="D203" i="217"/>
  <c r="G203" i="217"/>
  <c r="D204" i="217"/>
  <c r="G204" i="217"/>
  <c r="D205" i="217"/>
  <c r="G205" i="217"/>
  <c r="D206" i="217"/>
  <c r="G206" i="217"/>
  <c r="D207" i="217"/>
  <c r="G207" i="217"/>
  <c r="D208" i="217"/>
  <c r="G208" i="217"/>
  <c r="D209" i="217"/>
  <c r="G209" i="217"/>
  <c r="D210" i="217"/>
  <c r="G210" i="217"/>
  <c r="B211" i="217"/>
  <c r="C211" i="217"/>
  <c r="E211" i="217"/>
  <c r="F211" i="217"/>
  <c r="D212" i="217"/>
  <c r="G212" i="217"/>
  <c r="D213" i="217"/>
  <c r="G213" i="217"/>
  <c r="D214" i="217"/>
  <c r="G214" i="217"/>
  <c r="D215" i="217"/>
  <c r="G215" i="217"/>
  <c r="D216" i="217"/>
  <c r="G216" i="217"/>
  <c r="D217" i="217"/>
  <c r="G217" i="217"/>
  <c r="D218" i="217"/>
  <c r="G218" i="217"/>
  <c r="D219" i="217"/>
  <c r="G219" i="217"/>
  <c r="D220" i="217"/>
  <c r="G220" i="217"/>
  <c r="D221" i="217"/>
  <c r="G221" i="217"/>
  <c r="D222" i="217"/>
  <c r="G222" i="217"/>
  <c r="D223" i="217"/>
  <c r="G223" i="217"/>
  <c r="B224" i="217"/>
  <c r="C224" i="217"/>
  <c r="E224" i="217"/>
  <c r="F224" i="217"/>
  <c r="D225" i="217"/>
  <c r="G225" i="217"/>
  <c r="D226" i="217"/>
  <c r="G226" i="217"/>
  <c r="D227" i="217"/>
  <c r="G227" i="217"/>
  <c r="D228" i="217"/>
  <c r="G228" i="217"/>
  <c r="D229" i="217"/>
  <c r="G229" i="217"/>
  <c r="D230" i="217"/>
  <c r="G230" i="217"/>
  <c r="D231" i="217"/>
  <c r="G231" i="217"/>
  <c r="D232" i="217"/>
  <c r="G232" i="217"/>
  <c r="D233" i="217"/>
  <c r="G233" i="217"/>
  <c r="D234" i="217"/>
  <c r="G234" i="217"/>
  <c r="D235" i="217"/>
  <c r="G235" i="217"/>
  <c r="D236" i="217"/>
  <c r="G236" i="217"/>
  <c r="B237" i="217"/>
  <c r="C237" i="217"/>
  <c r="E237" i="217"/>
  <c r="F237" i="217"/>
  <c r="D238" i="217"/>
  <c r="G238" i="217"/>
  <c r="D239" i="217"/>
  <c r="G239" i="217"/>
  <c r="D240" i="217"/>
  <c r="G240" i="217"/>
  <c r="D241" i="217"/>
  <c r="G241" i="217"/>
  <c r="D242" i="217"/>
  <c r="G242" i="217"/>
  <c r="D243" i="217"/>
  <c r="G243" i="217"/>
  <c r="D244" i="217"/>
  <c r="G244" i="217"/>
  <c r="D245" i="217"/>
  <c r="G245" i="217"/>
  <c r="D246" i="217"/>
  <c r="G246" i="217"/>
  <c r="D247" i="217"/>
  <c r="G247" i="217"/>
  <c r="D248" i="217"/>
  <c r="G248" i="217"/>
  <c r="D249" i="217"/>
  <c r="G249" i="217"/>
  <c r="D251" i="217"/>
  <c r="G251" i="217"/>
  <c r="D252" i="217"/>
  <c r="G252" i="217"/>
  <c r="D253" i="217"/>
  <c r="G253" i="217"/>
  <c r="D254" i="217"/>
  <c r="G254" i="217"/>
  <c r="D255" i="217"/>
  <c r="G255" i="217"/>
  <c r="D256" i="217"/>
  <c r="G256" i="217"/>
  <c r="D257" i="217"/>
  <c r="G257" i="217"/>
  <c r="D258" i="217"/>
  <c r="G258" i="217"/>
  <c r="M171" i="215"/>
  <c r="N171" i="215"/>
  <c r="O171" i="215"/>
  <c r="P171" i="215"/>
  <c r="B51" i="214"/>
  <c r="C51" i="214"/>
  <c r="D51" i="214"/>
  <c r="E51" i="214"/>
  <c r="F51" i="214"/>
  <c r="G51" i="214"/>
  <c r="H51" i="214"/>
  <c r="I51" i="214"/>
  <c r="J51" i="214"/>
  <c r="K51" i="214"/>
  <c r="L51" i="214"/>
  <c r="M51" i="214"/>
  <c r="N51" i="214"/>
  <c r="O51" i="214"/>
  <c r="B64" i="214"/>
  <c r="C64" i="214"/>
  <c r="D64" i="214"/>
  <c r="E64" i="214"/>
  <c r="F64" i="214"/>
  <c r="G64" i="214"/>
  <c r="H64" i="214"/>
  <c r="I64" i="214"/>
  <c r="J64" i="214"/>
  <c r="K64" i="214"/>
  <c r="L64" i="214"/>
  <c r="M64" i="214"/>
  <c r="N64" i="214"/>
  <c r="O64" i="214"/>
  <c r="B77" i="214"/>
  <c r="C77" i="214"/>
  <c r="D77" i="214"/>
  <c r="E77" i="214"/>
  <c r="F77" i="214"/>
  <c r="G77" i="214"/>
  <c r="H77" i="214"/>
  <c r="I77" i="214"/>
  <c r="J77" i="214"/>
  <c r="K77" i="214"/>
  <c r="L77" i="214"/>
  <c r="M77" i="214"/>
  <c r="N77" i="214"/>
  <c r="O77" i="214"/>
  <c r="B90" i="214"/>
  <c r="C90" i="214"/>
  <c r="D90" i="214"/>
  <c r="E90" i="214"/>
  <c r="F90" i="214"/>
  <c r="G90" i="214"/>
  <c r="H90" i="214"/>
  <c r="I90" i="214"/>
  <c r="J90" i="214"/>
  <c r="K90" i="214"/>
  <c r="L90" i="214"/>
  <c r="M90" i="214"/>
  <c r="N90" i="214"/>
  <c r="O90" i="214"/>
  <c r="B103" i="214"/>
  <c r="C103" i="214"/>
  <c r="D103" i="214"/>
  <c r="E103" i="214"/>
  <c r="F103" i="214"/>
  <c r="G103" i="214"/>
  <c r="H103" i="214"/>
  <c r="I103" i="214"/>
  <c r="J103" i="214"/>
  <c r="K103" i="214"/>
  <c r="L103" i="214"/>
  <c r="M103" i="214"/>
  <c r="N103" i="214"/>
  <c r="O103" i="214"/>
  <c r="B116" i="214"/>
  <c r="C116" i="214"/>
  <c r="D116" i="214"/>
  <c r="E116" i="214"/>
  <c r="F116" i="214"/>
  <c r="G116" i="214"/>
  <c r="H116" i="214"/>
  <c r="I116" i="214"/>
  <c r="J116" i="214"/>
  <c r="K116" i="214"/>
  <c r="L116" i="214"/>
  <c r="M116" i="214"/>
  <c r="N116" i="214"/>
  <c r="O116" i="214"/>
  <c r="B129" i="214"/>
  <c r="C129" i="214"/>
  <c r="D129" i="214"/>
  <c r="E129" i="214"/>
  <c r="F129" i="214"/>
  <c r="G129" i="214"/>
  <c r="H129" i="214"/>
  <c r="I129" i="214"/>
  <c r="J129" i="214"/>
  <c r="K129" i="214"/>
  <c r="L129" i="214"/>
  <c r="M129" i="214"/>
  <c r="N129" i="214"/>
  <c r="O129" i="214"/>
  <c r="B142" i="214"/>
  <c r="C142" i="214"/>
  <c r="D142" i="214"/>
  <c r="E142" i="214"/>
  <c r="F142" i="214"/>
  <c r="G142" i="214"/>
  <c r="H142" i="214"/>
  <c r="I142" i="214"/>
  <c r="J142" i="214"/>
  <c r="K142" i="214"/>
  <c r="L142" i="214"/>
  <c r="M142" i="214"/>
  <c r="N142" i="214"/>
  <c r="O142" i="214"/>
  <c r="B155" i="214"/>
  <c r="C155" i="214"/>
  <c r="D155" i="214"/>
  <c r="E155" i="214"/>
  <c r="F155" i="214"/>
  <c r="G155" i="214"/>
  <c r="H155" i="214"/>
  <c r="I155" i="214"/>
  <c r="J155" i="214"/>
  <c r="K155" i="214"/>
  <c r="L155" i="214"/>
  <c r="M155" i="214"/>
  <c r="N155" i="214"/>
  <c r="O155" i="214"/>
  <c r="B168" i="214"/>
  <c r="C168" i="214"/>
  <c r="D168" i="214"/>
  <c r="E168" i="214"/>
  <c r="F168" i="214"/>
  <c r="G168" i="214"/>
  <c r="H168" i="214"/>
  <c r="I168" i="214"/>
  <c r="J168" i="214"/>
  <c r="K168" i="214"/>
  <c r="L168" i="214"/>
  <c r="M168" i="214"/>
  <c r="N168" i="214"/>
  <c r="O168" i="214"/>
  <c r="H18" i="213"/>
  <c r="I18" i="213"/>
  <c r="J18" i="213"/>
  <c r="K18" i="213"/>
  <c r="L18" i="213"/>
  <c r="M18" i="213"/>
  <c r="N18" i="213"/>
  <c r="O18" i="213"/>
  <c r="P18" i="213"/>
  <c r="Q18" i="213"/>
  <c r="X18" i="213"/>
  <c r="Y18" i="213"/>
  <c r="AD18" i="213"/>
  <c r="AE18" i="213"/>
  <c r="AF18" i="213"/>
  <c r="AG18" i="213"/>
  <c r="AH18" i="213"/>
  <c r="AI18" i="213"/>
  <c r="AV18" i="213"/>
  <c r="AW18" i="213"/>
  <c r="AX18" i="213"/>
  <c r="AY18" i="213"/>
  <c r="AZ18" i="213"/>
  <c r="BA18" i="213"/>
  <c r="H31" i="213"/>
  <c r="I31" i="213"/>
  <c r="J31" i="213"/>
  <c r="K31" i="213"/>
  <c r="L31" i="213"/>
  <c r="M31" i="213"/>
  <c r="N31" i="213"/>
  <c r="O31" i="213"/>
  <c r="P31" i="213"/>
  <c r="Q31" i="213"/>
  <c r="X31" i="213"/>
  <c r="Y31" i="213"/>
  <c r="AD31" i="213"/>
  <c r="AE31" i="213"/>
  <c r="AF31" i="213"/>
  <c r="AG31" i="213"/>
  <c r="AH31" i="213"/>
  <c r="AI31" i="213"/>
  <c r="AV31" i="213"/>
  <c r="AW31" i="213"/>
  <c r="AX31" i="213"/>
  <c r="AY31" i="213"/>
  <c r="AZ31" i="213"/>
  <c r="BA31" i="213"/>
  <c r="H44" i="213"/>
  <c r="I44" i="213"/>
  <c r="J44" i="213"/>
  <c r="K44" i="213"/>
  <c r="L44" i="213"/>
  <c r="M44" i="213"/>
  <c r="N44" i="213"/>
  <c r="O44" i="213"/>
  <c r="P44" i="213"/>
  <c r="Q44" i="213"/>
  <c r="X44" i="213"/>
  <c r="Y44" i="213"/>
  <c r="AD44" i="213"/>
  <c r="AE44" i="213"/>
  <c r="AF44" i="213"/>
  <c r="AG44" i="213"/>
  <c r="AH44" i="213"/>
  <c r="AI44" i="213"/>
  <c r="AV44" i="213"/>
  <c r="AW44" i="213"/>
  <c r="AX44" i="213"/>
  <c r="AY44" i="213"/>
  <c r="AZ44" i="213"/>
  <c r="BA44" i="213"/>
  <c r="H57" i="213"/>
  <c r="I57" i="213"/>
  <c r="J57" i="213"/>
  <c r="K57" i="213"/>
  <c r="L57" i="213"/>
  <c r="M57" i="213"/>
  <c r="N57" i="213"/>
  <c r="O57" i="213"/>
  <c r="P57" i="213"/>
  <c r="Q57" i="213"/>
  <c r="X57" i="213"/>
  <c r="Y57" i="213"/>
  <c r="AD57" i="213"/>
  <c r="AE57" i="213"/>
  <c r="AF57" i="213"/>
  <c r="AG57" i="213"/>
  <c r="AH57" i="213"/>
  <c r="AI57" i="213"/>
  <c r="AV57" i="213"/>
  <c r="AW57" i="213"/>
  <c r="AX57" i="213"/>
  <c r="AY57" i="213"/>
  <c r="AZ57" i="213"/>
  <c r="BA57" i="213"/>
  <c r="H70" i="213"/>
  <c r="I70" i="213"/>
  <c r="J70" i="213"/>
  <c r="K70" i="213"/>
  <c r="L70" i="213"/>
  <c r="M70" i="213"/>
  <c r="N70" i="213"/>
  <c r="O70" i="213"/>
  <c r="P70" i="213"/>
  <c r="Q70" i="213"/>
  <c r="X70" i="213"/>
  <c r="Y70" i="213"/>
  <c r="AD70" i="213"/>
  <c r="AE70" i="213"/>
  <c r="AF70" i="213"/>
  <c r="AG70" i="213"/>
  <c r="AH70" i="213"/>
  <c r="AI70" i="213"/>
  <c r="AV70" i="213"/>
  <c r="AW70" i="213"/>
  <c r="AX70" i="213"/>
  <c r="AY70" i="213"/>
  <c r="AZ70" i="213"/>
  <c r="BA70" i="213"/>
  <c r="H83" i="213"/>
  <c r="I83" i="213"/>
  <c r="J83" i="213"/>
  <c r="K83" i="213"/>
  <c r="L83" i="213"/>
  <c r="M83" i="213"/>
  <c r="N83" i="213"/>
  <c r="O83" i="213"/>
  <c r="P83" i="213"/>
  <c r="Q83" i="213"/>
  <c r="X83" i="213"/>
  <c r="Y83" i="213"/>
  <c r="AD83" i="213"/>
  <c r="AE83" i="213"/>
  <c r="AF83" i="213"/>
  <c r="AG83" i="213"/>
  <c r="AH83" i="213"/>
  <c r="AI83" i="213"/>
  <c r="AV83" i="213"/>
  <c r="AW83" i="213"/>
  <c r="AX83" i="213"/>
  <c r="AY83" i="213"/>
  <c r="AZ83" i="213"/>
  <c r="BA83" i="213"/>
  <c r="H96" i="213"/>
  <c r="I96" i="213"/>
  <c r="J96" i="213"/>
  <c r="K96" i="213"/>
  <c r="L96" i="213"/>
  <c r="M96" i="213"/>
  <c r="N96" i="213"/>
  <c r="O96" i="213"/>
  <c r="P96" i="213"/>
  <c r="Q96" i="213"/>
  <c r="R96" i="213"/>
  <c r="S96" i="213"/>
  <c r="X96" i="213"/>
  <c r="Y96" i="213"/>
  <c r="Z96" i="213"/>
  <c r="AA96" i="213"/>
  <c r="AB96" i="213"/>
  <c r="AC96" i="213"/>
  <c r="AD96" i="213"/>
  <c r="AE96" i="213"/>
  <c r="AF96" i="213"/>
  <c r="AG96" i="213"/>
  <c r="AH96" i="213"/>
  <c r="AI96" i="213"/>
  <c r="AJ96" i="213"/>
  <c r="AK96" i="213"/>
  <c r="AL96" i="213"/>
  <c r="AM96" i="213"/>
  <c r="AP96" i="213"/>
  <c r="AQ96" i="213"/>
  <c r="AR96" i="213"/>
  <c r="AS96" i="213"/>
  <c r="AT96" i="213"/>
  <c r="AU96" i="213"/>
  <c r="AV96" i="213"/>
  <c r="AW96" i="213"/>
  <c r="AX96" i="213"/>
  <c r="AY96" i="213"/>
  <c r="AZ96" i="213"/>
  <c r="BA96" i="213"/>
  <c r="BB96" i="213"/>
  <c r="BC96" i="213"/>
  <c r="BD96" i="213"/>
  <c r="BE96" i="213"/>
  <c r="BF96" i="213"/>
  <c r="BG96" i="213"/>
  <c r="BH96" i="213"/>
  <c r="BJ96" i="213"/>
  <c r="BL96" i="213"/>
  <c r="H109" i="213"/>
  <c r="I109" i="213"/>
  <c r="J109" i="213"/>
  <c r="K109" i="213"/>
  <c r="L109" i="213"/>
  <c r="M109" i="213"/>
  <c r="N109" i="213"/>
  <c r="O109" i="213"/>
  <c r="P109" i="213"/>
  <c r="Q109" i="213"/>
  <c r="R109" i="213"/>
  <c r="S109" i="213"/>
  <c r="T109" i="213"/>
  <c r="U109" i="213"/>
  <c r="X109" i="213"/>
  <c r="Y109" i="213"/>
  <c r="Z109" i="213"/>
  <c r="AA109" i="213"/>
  <c r="AB109" i="213"/>
  <c r="AC109" i="213"/>
  <c r="AD109" i="213"/>
  <c r="AE109" i="213"/>
  <c r="AF109" i="213"/>
  <c r="AG109" i="213"/>
  <c r="AH109" i="213"/>
  <c r="AI109" i="213"/>
  <c r="AJ109" i="213"/>
  <c r="AK109" i="213"/>
  <c r="AL109" i="213"/>
  <c r="AM109" i="213"/>
  <c r="AP109" i="213"/>
  <c r="AQ109" i="213"/>
  <c r="AR109" i="213"/>
  <c r="AS109" i="213"/>
  <c r="AT109" i="213"/>
  <c r="AU109" i="213"/>
  <c r="AV109" i="213"/>
  <c r="AW109" i="213"/>
  <c r="AX109" i="213"/>
  <c r="AY109" i="213"/>
  <c r="AZ109" i="213"/>
  <c r="BA109" i="213"/>
  <c r="BB109" i="213"/>
  <c r="BC109" i="213"/>
  <c r="BD109" i="213"/>
  <c r="BE109" i="213"/>
  <c r="BF109" i="213"/>
  <c r="BG109" i="213"/>
  <c r="BH109" i="213"/>
  <c r="BI109" i="213"/>
  <c r="BJ109" i="213"/>
  <c r="BK109" i="213"/>
  <c r="BL109" i="213"/>
  <c r="BM109" i="213"/>
  <c r="H122" i="213"/>
  <c r="I122" i="213"/>
  <c r="J122" i="213"/>
  <c r="K122" i="213"/>
  <c r="L122" i="213"/>
  <c r="M122" i="213"/>
  <c r="N122" i="213"/>
  <c r="O122" i="213"/>
  <c r="P122" i="213"/>
  <c r="Q122" i="213"/>
  <c r="R122" i="213"/>
  <c r="S122" i="213"/>
  <c r="T122" i="213"/>
  <c r="U122" i="213"/>
  <c r="X122" i="213"/>
  <c r="Y122" i="213"/>
  <c r="Z122" i="213"/>
  <c r="AA122" i="213"/>
  <c r="AB122" i="213"/>
  <c r="AC122" i="213"/>
  <c r="AD122" i="213"/>
  <c r="AE122" i="213"/>
  <c r="AF122" i="213"/>
  <c r="AG122" i="213"/>
  <c r="AH122" i="213"/>
  <c r="AI122" i="213"/>
  <c r="AJ122" i="213"/>
  <c r="AK122" i="213"/>
  <c r="AL122" i="213"/>
  <c r="AM122" i="213"/>
  <c r="AP122" i="213"/>
  <c r="AQ122" i="213"/>
  <c r="AR122" i="213"/>
  <c r="AS122" i="213"/>
  <c r="AT122" i="213"/>
  <c r="AU122" i="213"/>
  <c r="AV122" i="213"/>
  <c r="AW122" i="213"/>
  <c r="AX122" i="213"/>
  <c r="AY122" i="213"/>
  <c r="AZ122" i="213"/>
  <c r="BA122" i="213"/>
  <c r="BB122" i="213"/>
  <c r="BC122" i="213"/>
  <c r="BD122" i="213"/>
  <c r="BE122" i="213"/>
  <c r="BF122" i="213"/>
  <c r="BG122" i="213"/>
  <c r="BH122" i="213"/>
  <c r="BI122" i="213"/>
  <c r="BJ122" i="213"/>
  <c r="BK122" i="213"/>
  <c r="BL122" i="213"/>
  <c r="BM122" i="213"/>
  <c r="H135" i="213"/>
  <c r="I135" i="213"/>
  <c r="J135" i="213"/>
  <c r="K135" i="213"/>
  <c r="L135" i="213"/>
  <c r="M135" i="213"/>
  <c r="N135" i="213"/>
  <c r="O135" i="213"/>
  <c r="P135" i="213"/>
  <c r="Q135" i="213"/>
  <c r="R135" i="213"/>
  <c r="S135" i="213"/>
  <c r="T135" i="213"/>
  <c r="U135" i="213"/>
  <c r="X135" i="213"/>
  <c r="Y135" i="213"/>
  <c r="Z135" i="213"/>
  <c r="AA135" i="213"/>
  <c r="AB135" i="213"/>
  <c r="AC135" i="213"/>
  <c r="AD135" i="213"/>
  <c r="AE135" i="213"/>
  <c r="AF135" i="213"/>
  <c r="AG135" i="213"/>
  <c r="AH135" i="213"/>
  <c r="AI135" i="213"/>
  <c r="AJ135" i="213"/>
  <c r="AK135" i="213"/>
  <c r="AL135" i="213"/>
  <c r="AM135" i="213"/>
  <c r="AP135" i="213"/>
  <c r="AQ135" i="213"/>
  <c r="AR135" i="213"/>
  <c r="AS135" i="213"/>
  <c r="AT135" i="213"/>
  <c r="AU135" i="213"/>
  <c r="AV135" i="213"/>
  <c r="AW135" i="213"/>
  <c r="AX135" i="213"/>
  <c r="AY135" i="213"/>
  <c r="AZ135" i="213"/>
  <c r="BA135" i="213"/>
  <c r="BB135" i="213"/>
  <c r="BC135" i="213"/>
  <c r="BD135" i="213"/>
  <c r="BE135" i="213"/>
  <c r="BH135" i="213"/>
  <c r="BI135" i="213"/>
  <c r="BJ135" i="213"/>
  <c r="BK135" i="213"/>
  <c r="BL135" i="213"/>
  <c r="BM135" i="213"/>
  <c r="H148" i="213"/>
  <c r="I148" i="213"/>
  <c r="J148" i="213"/>
  <c r="K148" i="213"/>
  <c r="L148" i="213"/>
  <c r="M148" i="213"/>
  <c r="N148" i="213"/>
  <c r="O148" i="213"/>
  <c r="P148" i="213"/>
  <c r="Q148" i="213"/>
  <c r="R148" i="213"/>
  <c r="S148" i="213"/>
  <c r="T148" i="213"/>
  <c r="U148" i="213"/>
  <c r="V148" i="213"/>
  <c r="W148" i="213"/>
  <c r="X148" i="213"/>
  <c r="Y148" i="213"/>
  <c r="Z148" i="213"/>
  <c r="AA148" i="213"/>
  <c r="AB148" i="213"/>
  <c r="AC148" i="213"/>
  <c r="AD148" i="213"/>
  <c r="AE148" i="213"/>
  <c r="AF148" i="213"/>
  <c r="AG148" i="213"/>
  <c r="AH148" i="213"/>
  <c r="AI148" i="213"/>
  <c r="AJ148" i="213"/>
  <c r="AK148" i="213"/>
  <c r="AL148" i="213"/>
  <c r="AM148" i="213"/>
  <c r="AN148" i="213"/>
  <c r="AO148" i="213"/>
  <c r="AP148" i="213"/>
  <c r="AQ148" i="213"/>
  <c r="AR148" i="213"/>
  <c r="AS148" i="213"/>
  <c r="AT148" i="213"/>
  <c r="AU148" i="213"/>
  <c r="AV148" i="213"/>
  <c r="AW148" i="213"/>
  <c r="AX148" i="213"/>
  <c r="AY148" i="213"/>
  <c r="AZ148" i="213"/>
  <c r="BA148" i="213"/>
  <c r="BB148" i="213"/>
  <c r="BC148" i="213"/>
  <c r="BD148" i="213"/>
  <c r="BE148" i="213"/>
  <c r="BF148" i="213"/>
  <c r="BG148" i="213"/>
  <c r="BH148" i="213"/>
  <c r="BI148" i="213"/>
  <c r="BJ148" i="213"/>
  <c r="BK148" i="213"/>
  <c r="BL148" i="213"/>
  <c r="BM148" i="213"/>
  <c r="H161" i="213"/>
  <c r="I161" i="213"/>
  <c r="J161" i="213"/>
  <c r="K161" i="213"/>
  <c r="L161" i="213"/>
  <c r="M161" i="213"/>
  <c r="N161" i="213"/>
  <c r="O161" i="213"/>
  <c r="P161" i="213"/>
  <c r="Q161" i="213"/>
  <c r="R161" i="213"/>
  <c r="S161" i="213"/>
  <c r="T161" i="213"/>
  <c r="U161" i="213"/>
  <c r="V161" i="213"/>
  <c r="W161" i="213"/>
  <c r="X161" i="213"/>
  <c r="Y161" i="213"/>
  <c r="Z161" i="213"/>
  <c r="AA161" i="213"/>
  <c r="AB161" i="213"/>
  <c r="AC161" i="213"/>
  <c r="AD161" i="213"/>
  <c r="AE161" i="213"/>
  <c r="AF161" i="213"/>
  <c r="AG161" i="213"/>
  <c r="AH161" i="213"/>
  <c r="AI161" i="213"/>
  <c r="AJ161" i="213"/>
  <c r="AK161" i="213"/>
  <c r="AL161" i="213"/>
  <c r="AM161" i="213"/>
  <c r="AN161" i="213"/>
  <c r="AO161" i="213"/>
  <c r="AP161" i="213"/>
  <c r="AQ161" i="213"/>
  <c r="AR161" i="213"/>
  <c r="AS161" i="213"/>
  <c r="AT161" i="213"/>
  <c r="AU161" i="213"/>
  <c r="AV161" i="213"/>
  <c r="AW161" i="213"/>
  <c r="AX161" i="213"/>
  <c r="AY161" i="213"/>
  <c r="AZ161" i="213"/>
  <c r="BA161" i="213"/>
  <c r="BB161" i="213"/>
  <c r="BC161" i="213"/>
  <c r="BD161" i="213"/>
  <c r="BE161" i="213"/>
  <c r="BF161" i="213"/>
  <c r="BG161" i="213"/>
  <c r="BH161" i="213"/>
  <c r="BI161" i="213"/>
  <c r="BJ161" i="213"/>
  <c r="BK161" i="213"/>
  <c r="BL161" i="213"/>
  <c r="BM161" i="213"/>
  <c r="H174" i="213"/>
  <c r="I174" i="213"/>
  <c r="J174" i="213"/>
  <c r="K174" i="213"/>
  <c r="L174" i="213"/>
  <c r="M174" i="213"/>
  <c r="N174" i="213"/>
  <c r="O174" i="213"/>
  <c r="P174" i="213"/>
  <c r="Q174" i="213"/>
  <c r="R174" i="213"/>
  <c r="S174" i="213"/>
  <c r="T174" i="213"/>
  <c r="U174" i="213"/>
  <c r="V174" i="213"/>
  <c r="W174" i="213"/>
  <c r="X174" i="213"/>
  <c r="Y174" i="213"/>
  <c r="Z174" i="213"/>
  <c r="AA174" i="213"/>
  <c r="AB174" i="213"/>
  <c r="AC174" i="213"/>
  <c r="AD174" i="213"/>
  <c r="AE174" i="213"/>
  <c r="AF174" i="213"/>
  <c r="AG174" i="213"/>
  <c r="AH174" i="213"/>
  <c r="AI174" i="213"/>
  <c r="AJ174" i="213"/>
  <c r="AK174" i="213"/>
  <c r="AL174" i="213"/>
  <c r="AM174" i="213"/>
  <c r="AN174" i="213"/>
  <c r="AO174" i="213"/>
  <c r="AP174" i="213"/>
  <c r="AQ174" i="213"/>
  <c r="AR174" i="213"/>
  <c r="AS174" i="213"/>
  <c r="AT174" i="213"/>
  <c r="AU174" i="213"/>
  <c r="AV174" i="213"/>
  <c r="AW174" i="213"/>
  <c r="AX174" i="213"/>
  <c r="AY174" i="213"/>
  <c r="AZ174" i="213"/>
  <c r="BA174" i="213"/>
  <c r="BB174" i="213"/>
  <c r="BC174" i="213"/>
  <c r="BD174" i="213"/>
  <c r="BE174" i="213"/>
  <c r="BF174" i="213"/>
  <c r="BG174" i="213"/>
  <c r="BH174" i="213"/>
  <c r="BI174" i="213"/>
  <c r="BJ174" i="213"/>
  <c r="BK174" i="213"/>
  <c r="BL174" i="213"/>
  <c r="BM174" i="213"/>
  <c r="D14" i="211"/>
  <c r="J14" i="211"/>
  <c r="D15" i="211"/>
  <c r="J15" i="211"/>
  <c r="D16" i="211"/>
  <c r="J16" i="211"/>
  <c r="D17" i="211"/>
  <c r="J17" i="211"/>
  <c r="D18" i="211"/>
  <c r="J18" i="211"/>
  <c r="D19" i="211"/>
  <c r="J19" i="211"/>
  <c r="D20" i="211"/>
  <c r="J20" i="211"/>
  <c r="D21" i="211"/>
  <c r="J21" i="211"/>
  <c r="D22" i="211"/>
  <c r="J22" i="211"/>
  <c r="D23" i="211"/>
  <c r="J23" i="211"/>
  <c r="D24" i="211"/>
  <c r="J24" i="211"/>
  <c r="D25" i="211"/>
  <c r="J25" i="211"/>
  <c r="D92" i="211"/>
  <c r="J92" i="211"/>
  <c r="D103" i="211"/>
  <c r="J103" i="211"/>
  <c r="D104" i="211"/>
  <c r="J104" i="211"/>
  <c r="D108" i="211"/>
  <c r="J108" i="211"/>
  <c r="B10" i="210"/>
  <c r="C10" i="210"/>
  <c r="D10" i="210"/>
  <c r="E10" i="210"/>
  <c r="F10" i="210"/>
  <c r="G10" i="210"/>
  <c r="H10" i="210"/>
  <c r="I10" i="210"/>
  <c r="N10" i="210"/>
  <c r="O10" i="210"/>
  <c r="B14" i="210"/>
  <c r="C14" i="210"/>
  <c r="D14" i="210"/>
  <c r="E14" i="210"/>
  <c r="F14" i="210"/>
  <c r="G14" i="210"/>
  <c r="H14" i="210"/>
  <c r="I14" i="210"/>
  <c r="N14" i="210"/>
  <c r="O14" i="210"/>
  <c r="V14" i="210"/>
  <c r="B20" i="210"/>
  <c r="C20" i="210"/>
  <c r="D20" i="210"/>
  <c r="E20" i="210"/>
  <c r="F20" i="210"/>
  <c r="G20" i="210"/>
  <c r="H20" i="210"/>
  <c r="I20" i="210"/>
  <c r="N20" i="210"/>
  <c r="O20" i="210"/>
  <c r="V20" i="210"/>
  <c r="B24" i="210"/>
  <c r="C24" i="210"/>
  <c r="D24" i="210"/>
  <c r="E24" i="210"/>
  <c r="F24" i="210"/>
  <c r="G24" i="210"/>
  <c r="H24" i="210"/>
  <c r="I24" i="210"/>
  <c r="N24" i="210"/>
  <c r="O24" i="210"/>
  <c r="V24" i="210"/>
  <c r="BV9" i="209"/>
  <c r="D12" i="209"/>
  <c r="D13" i="209"/>
  <c r="G13" i="209"/>
  <c r="BZ13" i="209"/>
  <c r="CA13" i="209" s="1"/>
  <c r="A14" i="209"/>
  <c r="A15" i="209" s="1"/>
  <c r="D14" i="209"/>
  <c r="G14" i="209"/>
  <c r="D15" i="209"/>
  <c r="G15" i="209"/>
  <c r="CA15" i="209"/>
  <c r="D16" i="209"/>
  <c r="G16" i="209"/>
  <c r="CA16" i="209"/>
  <c r="D17" i="209"/>
  <c r="G17" i="209"/>
  <c r="D18" i="209"/>
  <c r="G18" i="209"/>
  <c r="BZ18" i="209"/>
  <c r="CA18" i="209" s="1"/>
  <c r="D19" i="209"/>
  <c r="G19" i="209"/>
  <c r="D20" i="209"/>
  <c r="G20" i="209"/>
  <c r="CA20" i="209"/>
  <c r="D21" i="209"/>
  <c r="G21" i="209"/>
  <c r="CA21" i="209"/>
  <c r="D22" i="209"/>
  <c r="G22" i="209"/>
  <c r="D23" i="209"/>
  <c r="G23" i="209"/>
  <c r="BZ23" i="209"/>
  <c r="CA23" i="209" s="1"/>
  <c r="D24" i="209"/>
  <c r="G24" i="209"/>
  <c r="D25" i="209"/>
  <c r="G25" i="209"/>
  <c r="CA25" i="209"/>
  <c r="D26" i="209"/>
  <c r="G26" i="209"/>
  <c r="CA26" i="209"/>
  <c r="D27" i="209"/>
  <c r="G27" i="209"/>
  <c r="D28" i="209"/>
  <c r="G28" i="209"/>
  <c r="D29" i="209"/>
  <c r="G29" i="209"/>
  <c r="D30" i="209"/>
  <c r="G30" i="209"/>
  <c r="CA30" i="209"/>
  <c r="D31" i="209"/>
  <c r="G31" i="209"/>
  <c r="CA31" i="209"/>
  <c r="D32" i="209"/>
  <c r="G32" i="209"/>
  <c r="D33" i="209"/>
  <c r="G33" i="209"/>
  <c r="BZ33" i="209"/>
  <c r="CA33" i="209" s="1"/>
  <c r="D34" i="209"/>
  <c r="G34" i="209"/>
  <c r="D35" i="209"/>
  <c r="G35" i="209"/>
  <c r="CA35" i="209"/>
  <c r="D36" i="209"/>
  <c r="G36" i="209"/>
  <c r="CA36" i="209"/>
  <c r="D37" i="209"/>
  <c r="G37" i="209"/>
  <c r="D38" i="209"/>
  <c r="G38" i="209"/>
  <c r="CA38" i="209"/>
  <c r="D39" i="209"/>
  <c r="G39" i="209"/>
  <c r="CA39" i="209"/>
  <c r="D40" i="209"/>
  <c r="G40" i="209"/>
  <c r="D41" i="209"/>
  <c r="G41" i="209"/>
  <c r="CA41" i="209"/>
  <c r="B42" i="209"/>
  <c r="C42" i="209"/>
  <c r="E42" i="209"/>
  <c r="F42" i="209"/>
  <c r="CA42" i="209"/>
  <c r="D43" i="209"/>
  <c r="G43" i="209"/>
  <c r="D44" i="209"/>
  <c r="G44" i="209"/>
  <c r="CA44" i="209"/>
  <c r="D45" i="209"/>
  <c r="G45" i="209"/>
  <c r="CA45" i="209"/>
  <c r="D46" i="209"/>
  <c r="G46" i="209"/>
  <c r="D47" i="209"/>
  <c r="G47" i="209"/>
  <c r="CA47" i="209"/>
  <c r="D48" i="209"/>
  <c r="G48" i="209"/>
  <c r="D49" i="209"/>
  <c r="G49" i="209"/>
  <c r="D50" i="209"/>
  <c r="G50" i="209"/>
  <c r="BZ50" i="209"/>
  <c r="CA50" i="209" s="1"/>
  <c r="D51" i="209"/>
  <c r="G51" i="209"/>
  <c r="D52" i="209"/>
  <c r="G52" i="209"/>
  <c r="CA52" i="209"/>
  <c r="D53" i="209"/>
  <c r="G53" i="209"/>
  <c r="CA53" i="209"/>
  <c r="D54" i="209"/>
  <c r="G54" i="209"/>
  <c r="BZ54" i="209"/>
  <c r="CA54" i="209" s="1"/>
  <c r="D55" i="209"/>
  <c r="G55" i="209"/>
  <c r="D56" i="209"/>
  <c r="G56" i="209"/>
  <c r="CA56" i="209"/>
  <c r="D57" i="209"/>
  <c r="G57" i="209"/>
  <c r="CA57" i="209"/>
  <c r="D58" i="209"/>
  <c r="G58" i="209"/>
  <c r="CA58" i="209"/>
  <c r="D59" i="209"/>
  <c r="G59" i="209"/>
  <c r="CA59" i="209"/>
  <c r="G60" i="209"/>
  <c r="CA60" i="209"/>
  <c r="D61" i="209"/>
  <c r="G61" i="209"/>
  <c r="CA61" i="209"/>
  <c r="D62" i="209"/>
  <c r="G62" i="209"/>
  <c r="D63" i="209"/>
  <c r="G63" i="209"/>
  <c r="D64" i="209"/>
  <c r="G64" i="209"/>
  <c r="D65" i="209"/>
  <c r="G65" i="209"/>
  <c r="D66" i="209"/>
  <c r="G66" i="209"/>
  <c r="D67" i="209"/>
  <c r="G67" i="209"/>
  <c r="B68" i="209"/>
  <c r="C68" i="209"/>
  <c r="E68" i="209"/>
  <c r="F68" i="209"/>
  <c r="D69" i="209"/>
  <c r="G69" i="209"/>
  <c r="D70" i="209"/>
  <c r="G70" i="209"/>
  <c r="D71" i="209"/>
  <c r="G71" i="209"/>
  <c r="D72" i="209"/>
  <c r="G72" i="209"/>
  <c r="D73" i="209"/>
  <c r="G73" i="209"/>
  <c r="D74" i="209"/>
  <c r="G74" i="209"/>
  <c r="D75" i="209"/>
  <c r="G75" i="209"/>
  <c r="D76" i="209"/>
  <c r="G76" i="209"/>
  <c r="D77" i="209"/>
  <c r="G77" i="209"/>
  <c r="D78" i="209"/>
  <c r="G78" i="209"/>
  <c r="D79" i="209"/>
  <c r="G79" i="209"/>
  <c r="D80" i="209"/>
  <c r="G80" i="209"/>
  <c r="B81" i="209"/>
  <c r="C81" i="209"/>
  <c r="E81" i="209"/>
  <c r="F81" i="209"/>
  <c r="B94" i="209"/>
  <c r="C94" i="209"/>
  <c r="E94" i="209"/>
  <c r="F94" i="209"/>
  <c r="B107" i="209"/>
  <c r="C107" i="209"/>
  <c r="E107" i="209"/>
  <c r="F107" i="209"/>
  <c r="B120" i="209"/>
  <c r="C120" i="209"/>
  <c r="E120" i="209"/>
  <c r="F120" i="209"/>
  <c r="B133" i="209"/>
  <c r="C133" i="209"/>
  <c r="E133" i="209"/>
  <c r="F133" i="209"/>
  <c r="B146" i="209"/>
  <c r="C146" i="209"/>
  <c r="E146" i="209"/>
  <c r="F146" i="209"/>
  <c r="B159" i="209"/>
  <c r="C159" i="209"/>
  <c r="E159" i="209"/>
  <c r="F159" i="209"/>
  <c r="B172" i="209"/>
  <c r="C172" i="209"/>
  <c r="E172" i="209"/>
  <c r="F172" i="209"/>
  <c r="D173" i="209"/>
  <c r="G173" i="209"/>
  <c r="D174" i="209"/>
  <c r="G174" i="209"/>
  <c r="D175" i="209"/>
  <c r="G175" i="209"/>
  <c r="D176" i="209"/>
  <c r="G176" i="209"/>
  <c r="D177" i="209"/>
  <c r="G177" i="209"/>
  <c r="D178" i="209"/>
  <c r="G178" i="209"/>
  <c r="D179" i="209"/>
  <c r="G179" i="209"/>
  <c r="D180" i="209"/>
  <c r="G180" i="209"/>
  <c r="D181" i="209"/>
  <c r="G181" i="209"/>
  <c r="D182" i="209"/>
  <c r="G182" i="209"/>
  <c r="D183" i="209"/>
  <c r="G183" i="209"/>
  <c r="D184" i="209"/>
  <c r="G184" i="209"/>
  <c r="B185" i="209"/>
  <c r="C185" i="209"/>
  <c r="E185" i="209"/>
  <c r="F185" i="209"/>
  <c r="D186" i="209"/>
  <c r="G186" i="209"/>
  <c r="D187" i="209"/>
  <c r="G187" i="209"/>
  <c r="D188" i="209"/>
  <c r="G188" i="209"/>
  <c r="D189" i="209"/>
  <c r="G189" i="209"/>
  <c r="D190" i="209"/>
  <c r="G190" i="209"/>
  <c r="D191" i="209"/>
  <c r="G191" i="209"/>
  <c r="D192" i="209"/>
  <c r="G192" i="209"/>
  <c r="D193" i="209"/>
  <c r="G193" i="209"/>
  <c r="D194" i="209"/>
  <c r="G194" i="209"/>
  <c r="D195" i="209"/>
  <c r="G195" i="209"/>
  <c r="D196" i="209"/>
  <c r="G196" i="209"/>
  <c r="D197" i="209"/>
  <c r="G197" i="209"/>
  <c r="B198" i="209"/>
  <c r="C198" i="209"/>
  <c r="E198" i="209"/>
  <c r="F198" i="209"/>
  <c r="D199" i="209"/>
  <c r="G199" i="209"/>
  <c r="D200" i="209"/>
  <c r="G200" i="209"/>
  <c r="D201" i="209"/>
  <c r="G201" i="209"/>
  <c r="D202" i="209"/>
  <c r="G202" i="209"/>
  <c r="D203" i="209"/>
  <c r="G203" i="209"/>
  <c r="D204" i="209"/>
  <c r="G204" i="209"/>
  <c r="D205" i="209"/>
  <c r="G205" i="209"/>
  <c r="D206" i="209"/>
  <c r="G206" i="209"/>
  <c r="D207" i="209"/>
  <c r="G207" i="209"/>
  <c r="D208" i="209"/>
  <c r="G208" i="209"/>
  <c r="D209" i="209"/>
  <c r="G209" i="209"/>
  <c r="D210" i="209"/>
  <c r="G210" i="209"/>
  <c r="B211" i="209"/>
  <c r="C211" i="209"/>
  <c r="E211" i="209"/>
  <c r="F211" i="209"/>
  <c r="D212" i="209"/>
  <c r="G212" i="209"/>
  <c r="D213" i="209"/>
  <c r="G213" i="209"/>
  <c r="D214" i="209"/>
  <c r="G214" i="209"/>
  <c r="D215" i="209"/>
  <c r="G215" i="209"/>
  <c r="D216" i="209"/>
  <c r="G216" i="209"/>
  <c r="D217" i="209"/>
  <c r="G217" i="209"/>
  <c r="D218" i="209"/>
  <c r="G218" i="209"/>
  <c r="D219" i="209"/>
  <c r="G219" i="209"/>
  <c r="D220" i="209"/>
  <c r="G220" i="209"/>
  <c r="D221" i="209"/>
  <c r="G221" i="209"/>
  <c r="J221" i="209"/>
  <c r="D222" i="209"/>
  <c r="G222" i="209"/>
  <c r="J222" i="209"/>
  <c r="D223" i="209"/>
  <c r="G223" i="209"/>
  <c r="J223" i="209"/>
  <c r="B224" i="209"/>
  <c r="C224" i="209"/>
  <c r="E224" i="209"/>
  <c r="F224" i="209"/>
  <c r="H224" i="209"/>
  <c r="I224" i="209"/>
  <c r="D225" i="209"/>
  <c r="G225" i="209"/>
  <c r="J225" i="209"/>
  <c r="D226" i="209"/>
  <c r="G226" i="209"/>
  <c r="J226" i="209"/>
  <c r="D227" i="209"/>
  <c r="G227" i="209"/>
  <c r="J227" i="209"/>
  <c r="D228" i="209"/>
  <c r="G228" i="209"/>
  <c r="J228" i="209"/>
  <c r="D229" i="209"/>
  <c r="G229" i="209"/>
  <c r="J229" i="209"/>
  <c r="D230" i="209"/>
  <c r="G230" i="209"/>
  <c r="J230" i="209"/>
  <c r="D231" i="209"/>
  <c r="G231" i="209"/>
  <c r="J231" i="209"/>
  <c r="D232" i="209"/>
  <c r="G232" i="209"/>
  <c r="J232" i="209"/>
  <c r="D233" i="209"/>
  <c r="G233" i="209"/>
  <c r="J233" i="209"/>
  <c r="D234" i="209"/>
  <c r="G234" i="209"/>
  <c r="J234" i="209"/>
  <c r="D235" i="209"/>
  <c r="G235" i="209"/>
  <c r="J235" i="209"/>
  <c r="D236" i="209"/>
  <c r="G236" i="209"/>
  <c r="J236" i="209"/>
  <c r="B237" i="209"/>
  <c r="C237" i="209"/>
  <c r="E237" i="209"/>
  <c r="F237" i="209"/>
  <c r="H237" i="209"/>
  <c r="I237" i="209"/>
  <c r="D238" i="209"/>
  <c r="G238" i="209"/>
  <c r="J238" i="209"/>
  <c r="D239" i="209"/>
  <c r="G239" i="209"/>
  <c r="J239" i="209"/>
  <c r="D240" i="209"/>
  <c r="G240" i="209"/>
  <c r="J240" i="209"/>
  <c r="D241" i="209"/>
  <c r="G241" i="209"/>
  <c r="J241" i="209"/>
  <c r="D242" i="209"/>
  <c r="G242" i="209"/>
  <c r="J242" i="209"/>
  <c r="D243" i="209"/>
  <c r="G243" i="209"/>
  <c r="J243" i="209"/>
  <c r="D244" i="209"/>
  <c r="G244" i="209"/>
  <c r="J244" i="209"/>
  <c r="D245" i="209"/>
  <c r="G245" i="209"/>
  <c r="J245" i="209"/>
  <c r="D246" i="209"/>
  <c r="G246" i="209"/>
  <c r="J246" i="209"/>
  <c r="D247" i="209"/>
  <c r="G247" i="209"/>
  <c r="J247" i="209"/>
  <c r="D248" i="209"/>
  <c r="G248" i="209"/>
  <c r="J248" i="209"/>
  <c r="D249" i="209"/>
  <c r="G249" i="209"/>
  <c r="J249" i="209"/>
  <c r="D251" i="209"/>
  <c r="G251" i="209"/>
  <c r="J251" i="209"/>
  <c r="D252" i="209"/>
  <c r="G252" i="209"/>
  <c r="J252" i="209"/>
  <c r="D253" i="209"/>
  <c r="G253" i="209"/>
  <c r="J253" i="209"/>
  <c r="D254" i="209"/>
  <c r="G254" i="209"/>
  <c r="J254" i="209"/>
  <c r="D255" i="209"/>
  <c r="G255" i="209"/>
  <c r="J255" i="209"/>
  <c r="D256" i="209"/>
  <c r="G256" i="209"/>
  <c r="J256" i="209"/>
  <c r="D257" i="209"/>
  <c r="G257" i="209"/>
  <c r="J257" i="209"/>
  <c r="D258" i="209"/>
  <c r="G258" i="209"/>
  <c r="J258" i="209"/>
  <c r="B23" i="219" l="1"/>
  <c r="B35" i="219"/>
  <c r="D224" i="217"/>
  <c r="M157" i="219"/>
  <c r="M149" i="219"/>
  <c r="B22" i="219"/>
  <c r="B34" i="219"/>
  <c r="B40" i="219"/>
  <c r="B80" i="219"/>
  <c r="D211" i="217"/>
  <c r="D172" i="217"/>
  <c r="G198" i="209"/>
  <c r="G120" i="209"/>
  <c r="B41" i="219"/>
  <c r="B62" i="219"/>
  <c r="G81" i="209"/>
  <c r="G224" i="209"/>
  <c r="G133" i="209"/>
  <c r="G94" i="209"/>
  <c r="B18" i="219"/>
  <c r="B30" i="219"/>
  <c r="B42" i="219"/>
  <c r="B63" i="219"/>
  <c r="B26" i="219"/>
  <c r="G198" i="217"/>
  <c r="G107" i="217"/>
  <c r="G159" i="217"/>
  <c r="B59" i="219"/>
  <c r="G211" i="217"/>
  <c r="G172" i="217"/>
  <c r="G237" i="217"/>
  <c r="G146" i="209"/>
  <c r="B73" i="219"/>
  <c r="B79" i="219"/>
  <c r="M214" i="219"/>
  <c r="M221" i="219"/>
  <c r="B31" i="219"/>
  <c r="BX10" i="218"/>
  <c r="G120" i="217"/>
  <c r="G81" i="217"/>
  <c r="D159" i="217"/>
  <c r="G237" i="209"/>
  <c r="D185" i="209"/>
  <c r="B33" i="219"/>
  <c r="B17" i="219"/>
  <c r="B72" i="219"/>
  <c r="B78" i="219"/>
  <c r="M97" i="219"/>
  <c r="B97" i="219" s="1"/>
  <c r="M105" i="219"/>
  <c r="B105" i="219" s="1"/>
  <c r="M110" i="219"/>
  <c r="B110" i="219" s="1"/>
  <c r="M123" i="219"/>
  <c r="B123" i="219" s="1"/>
  <c r="M136" i="219"/>
  <c r="B136" i="219" s="1"/>
  <c r="M138" i="219"/>
  <c r="B138" i="219" s="1"/>
  <c r="B16" i="219"/>
  <c r="B21" i="219"/>
  <c r="B76" i="219"/>
  <c r="M92" i="219"/>
  <c r="B92" i="219" s="1"/>
  <c r="B68" i="219"/>
  <c r="B15" i="219"/>
  <c r="B20" i="219"/>
  <c r="B75" i="219"/>
  <c r="B81" i="219"/>
  <c r="M113" i="219"/>
  <c r="B113" i="219" s="1"/>
  <c r="M115" i="219"/>
  <c r="B115" i="219" s="1"/>
  <c r="M128" i="219"/>
  <c r="B128" i="219" s="1"/>
  <c r="M141" i="219"/>
  <c r="B141" i="219" s="1"/>
  <c r="D133" i="217"/>
  <c r="D107" i="217"/>
  <c r="D237" i="217"/>
  <c r="D198" i="217"/>
  <c r="B14" i="219"/>
  <c r="M90" i="219"/>
  <c r="B90" i="219" s="1"/>
  <c r="B46" i="219"/>
  <c r="M209" i="219"/>
  <c r="B27" i="219"/>
  <c r="B49" i="219"/>
  <c r="B55" i="219"/>
  <c r="Q142" i="219"/>
  <c r="M102" i="219"/>
  <c r="B102" i="219" s="1"/>
  <c r="M215" i="219"/>
  <c r="M144" i="219"/>
  <c r="B144" i="219" s="1"/>
  <c r="M118" i="219"/>
  <c r="B118" i="219" s="1"/>
  <c r="B37" i="219"/>
  <c r="B29" i="219"/>
  <c r="B67" i="219"/>
  <c r="B77" i="219"/>
  <c r="G133" i="217"/>
  <c r="D68" i="217"/>
  <c r="G94" i="217"/>
  <c r="D94" i="217"/>
  <c r="G224" i="217"/>
  <c r="J237" i="209"/>
  <c r="J224" i="209"/>
  <c r="D224" i="209"/>
  <c r="D159" i="209"/>
  <c r="D42" i="209"/>
  <c r="D211" i="209"/>
  <c r="G211" i="209"/>
  <c r="D81" i="209"/>
  <c r="G107" i="209"/>
  <c r="B19" i="219"/>
  <c r="B51" i="219"/>
  <c r="B71" i="219"/>
  <c r="M100" i="219"/>
  <c r="B100" i="219" s="1"/>
  <c r="M106" i="219"/>
  <c r="B106" i="219" s="1"/>
  <c r="M220" i="219"/>
  <c r="B43" i="219"/>
  <c r="B47" i="219"/>
  <c r="B58" i="219"/>
  <c r="B69" i="219"/>
  <c r="M99" i="219"/>
  <c r="B99" i="219" s="1"/>
  <c r="N142" i="219"/>
  <c r="B48" i="219"/>
  <c r="B64" i="219"/>
  <c r="O142" i="219"/>
  <c r="M211" i="219"/>
  <c r="B52" i="219"/>
  <c r="B74" i="219"/>
  <c r="M116" i="219"/>
  <c r="B116" i="219" s="1"/>
  <c r="M219" i="219"/>
  <c r="M222" i="219"/>
  <c r="M225" i="219"/>
  <c r="M121" i="219"/>
  <c r="B121" i="219" s="1"/>
  <c r="B65" i="219"/>
  <c r="M84" i="219"/>
  <c r="B84" i="219" s="1"/>
  <c r="B28" i="219"/>
  <c r="B39" i="219"/>
  <c r="B66" i="219"/>
  <c r="M87" i="219"/>
  <c r="B87" i="219" s="1"/>
  <c r="M89" i="219"/>
  <c r="B89" i="219" s="1"/>
  <c r="M125" i="219"/>
  <c r="B125" i="219" s="1"/>
  <c r="M131" i="219"/>
  <c r="B131" i="219" s="1"/>
  <c r="G185" i="217"/>
  <c r="D185" i="217"/>
  <c r="D146" i="217"/>
  <c r="D81" i="217"/>
  <c r="BW11" i="217"/>
  <c r="BX11" i="217" s="1"/>
  <c r="G68" i="217"/>
  <c r="G185" i="209"/>
  <c r="D133" i="209"/>
  <c r="G159" i="209"/>
  <c r="D94" i="209"/>
  <c r="D198" i="209"/>
  <c r="G172" i="209"/>
  <c r="D107" i="209"/>
  <c r="G68" i="209"/>
  <c r="M139" i="219"/>
  <c r="B139" i="219" s="1"/>
  <c r="M88" i="219"/>
  <c r="B88" i="219" s="1"/>
  <c r="M218" i="219"/>
  <c r="B36" i="219"/>
  <c r="B45" i="219"/>
  <c r="B50" i="219"/>
  <c r="B82" i="219"/>
  <c r="B61" i="219"/>
  <c r="M103" i="219"/>
  <c r="B103" i="219" s="1"/>
  <c r="M208" i="219"/>
  <c r="B56" i="219"/>
  <c r="M101" i="219"/>
  <c r="B101" i="219" s="1"/>
  <c r="M126" i="219"/>
  <c r="B126" i="219" s="1"/>
  <c r="M153" i="219"/>
  <c r="M114" i="219"/>
  <c r="B114" i="219" s="1"/>
  <c r="M108" i="219"/>
  <c r="B108" i="219" s="1"/>
  <c r="M93" i="219"/>
  <c r="B93" i="219" s="1"/>
  <c r="M112" i="219"/>
  <c r="B112" i="219" s="1"/>
  <c r="M117" i="219"/>
  <c r="B117" i="219" s="1"/>
  <c r="M132" i="219"/>
  <c r="B132" i="219" s="1"/>
  <c r="M134" i="219"/>
  <c r="B134" i="219" s="1"/>
  <c r="M145" i="219"/>
  <c r="B145" i="219" s="1"/>
  <c r="B38" i="219"/>
  <c r="M95" i="219"/>
  <c r="B95" i="219" s="1"/>
  <c r="M143" i="219"/>
  <c r="B143" i="219" s="1"/>
  <c r="M223" i="219"/>
  <c r="B25" i="219"/>
  <c r="B54" i="219"/>
  <c r="M104" i="219"/>
  <c r="B104" i="219" s="1"/>
  <c r="C57" i="219"/>
  <c r="B60" i="219"/>
  <c r="M86" i="219"/>
  <c r="B86" i="219" s="1"/>
  <c r="M91" i="219"/>
  <c r="B91" i="219" s="1"/>
  <c r="H142" i="219"/>
  <c r="BW49" i="217"/>
  <c r="BX49" i="217" s="1"/>
  <c r="G146" i="217"/>
  <c r="D120" i="217"/>
  <c r="D68" i="209"/>
  <c r="BZ49" i="209"/>
  <c r="CA49" i="209" s="1"/>
  <c r="D120" i="209"/>
  <c r="D146" i="209"/>
  <c r="D172" i="209"/>
  <c r="BZ11" i="209"/>
  <c r="CA11" i="209" s="1"/>
  <c r="D237" i="209"/>
  <c r="G42" i="209"/>
  <c r="M124" i="219"/>
  <c r="B124" i="219" s="1"/>
  <c r="M120" i="219"/>
  <c r="B120" i="219" s="1"/>
  <c r="B32" i="219"/>
  <c r="M94" i="219"/>
  <c r="B94" i="219" s="1"/>
  <c r="M107" i="219"/>
  <c r="B107" i="219" s="1"/>
  <c r="M130" i="219"/>
  <c r="B130" i="219" s="1"/>
  <c r="C142" i="219"/>
  <c r="M216" i="219"/>
  <c r="M133" i="219"/>
  <c r="B133" i="219" s="1"/>
  <c r="M85" i="219"/>
  <c r="B85" i="219" s="1"/>
  <c r="M111" i="219"/>
  <c r="B111" i="219" s="1"/>
  <c r="M212" i="219"/>
  <c r="B24" i="219"/>
  <c r="B53" i="219"/>
  <c r="M119" i="219"/>
  <c r="B119" i="219" s="1"/>
  <c r="M140" i="219"/>
  <c r="B140" i="219" s="1"/>
  <c r="M210" i="219"/>
  <c r="M98" i="219"/>
  <c r="B98" i="219" s="1"/>
  <c r="P142" i="219"/>
  <c r="M129" i="219"/>
  <c r="B129" i="219" s="1"/>
  <c r="M150" i="219"/>
  <c r="M224" i="219"/>
  <c r="M127" i="219"/>
  <c r="B127" i="219" s="1"/>
  <c r="M147" i="219"/>
  <c r="M227" i="219"/>
  <c r="M137" i="219"/>
  <c r="B137" i="219" s="1"/>
  <c r="M57" i="219"/>
  <c r="M70" i="219"/>
  <c r="B70" i="219" s="1"/>
  <c r="M44" i="219"/>
  <c r="B44" i="219" s="1"/>
  <c r="BX12" i="218"/>
  <c r="BW9" i="217" l="1"/>
  <c r="BW63" i="217" s="1"/>
  <c r="BX63" i="217" s="1"/>
  <c r="B57" i="219"/>
  <c r="BZ9" i="209"/>
  <c r="CA9" i="209" s="1"/>
  <c r="M142" i="219"/>
  <c r="B142" i="219" s="1"/>
  <c r="BX9" i="217"/>
  <c r="DY35" i="103"/>
  <c r="DZ35" i="102"/>
  <c r="DZ31" i="102"/>
  <c r="DZ27" i="102"/>
  <c r="DZ23" i="102"/>
  <c r="DZ19" i="102"/>
  <c r="DZ15" i="102"/>
  <c r="DZ11" i="102"/>
  <c r="EA35" i="99"/>
  <c r="EA31" i="99"/>
  <c r="EA27" i="99"/>
  <c r="EA23" i="99"/>
  <c r="EA19" i="99"/>
  <c r="EA15" i="99"/>
  <c r="EA11" i="99"/>
  <c r="AH264" i="92"/>
  <c r="AF264" i="92"/>
  <c r="AD264" i="92"/>
  <c r="AB264" i="92"/>
  <c r="Y264" i="92"/>
  <c r="Z264" i="92" s="1"/>
  <c r="X264" i="92"/>
  <c r="V264" i="92"/>
  <c r="T264" i="92"/>
  <c r="R264" i="92"/>
  <c r="P264" i="92"/>
  <c r="N264" i="92"/>
  <c r="L264" i="92"/>
  <c r="J264" i="92"/>
  <c r="H264" i="92"/>
  <c r="F264" i="92"/>
  <c r="D264" i="92"/>
  <c r="L261" i="15"/>
  <c r="J261" i="15"/>
  <c r="H261" i="15"/>
  <c r="F261" i="15"/>
  <c r="D261" i="15"/>
  <c r="BZ63" i="209" l="1"/>
  <c r="CA63" i="209" s="1"/>
  <c r="H269" i="86" l="1"/>
  <c r="H268" i="86"/>
  <c r="H267" i="86"/>
  <c r="H266" i="86"/>
  <c r="H265" i="86"/>
  <c r="H264" i="86"/>
  <c r="H263" i="86"/>
  <c r="H262" i="86"/>
  <c r="H260" i="86"/>
  <c r="H259" i="86"/>
  <c r="H258" i="86"/>
  <c r="H257" i="86"/>
  <c r="H256" i="86"/>
  <c r="H255" i="86"/>
  <c r="H254" i="86"/>
  <c r="H253" i="86"/>
  <c r="H252" i="86"/>
  <c r="H251" i="86"/>
  <c r="H250" i="86"/>
  <c r="H249" i="86"/>
  <c r="H248" i="86"/>
  <c r="G269" i="86"/>
  <c r="G268" i="86"/>
  <c r="G267" i="86"/>
  <c r="G266" i="86"/>
  <c r="G265" i="86"/>
  <c r="G264" i="86"/>
  <c r="G263" i="86"/>
  <c r="G262" i="86"/>
  <c r="G260" i="86"/>
  <c r="G259" i="86"/>
  <c r="G258" i="86"/>
  <c r="G257" i="86"/>
  <c r="G256" i="86"/>
  <c r="G255" i="86"/>
  <c r="G254" i="86"/>
  <c r="G253" i="86"/>
  <c r="G252" i="86"/>
  <c r="G251" i="86"/>
  <c r="G250" i="86"/>
  <c r="G249" i="86"/>
  <c r="G248" i="86"/>
  <c r="F269" i="86"/>
  <c r="F268" i="86"/>
  <c r="F267" i="86"/>
  <c r="F266" i="86"/>
  <c r="F265" i="86"/>
  <c r="F264" i="86"/>
  <c r="F263" i="86"/>
  <c r="F262" i="86"/>
  <c r="F260" i="86"/>
  <c r="F259" i="86"/>
  <c r="F258" i="86"/>
  <c r="F257" i="86"/>
  <c r="F256" i="86"/>
  <c r="F255" i="86"/>
  <c r="F254" i="86"/>
  <c r="F253" i="86"/>
  <c r="F252" i="86"/>
  <c r="F251" i="86"/>
  <c r="F250" i="86"/>
  <c r="F249" i="86"/>
  <c r="F248" i="86"/>
  <c r="J269" i="86" l="1"/>
  <c r="I269" i="86"/>
  <c r="DZ35" i="99" l="1"/>
  <c r="DZ31" i="99"/>
  <c r="DZ27" i="99"/>
  <c r="DZ23" i="99"/>
  <c r="DZ19" i="99"/>
  <c r="DZ15" i="99"/>
  <c r="DZ11" i="99"/>
  <c r="AH263" i="92" l="1"/>
  <c r="AF263" i="92"/>
  <c r="AD263" i="92"/>
  <c r="AB263" i="92"/>
  <c r="Y263" i="92"/>
  <c r="Z263" i="92" s="1"/>
  <c r="X263" i="92"/>
  <c r="V263" i="92"/>
  <c r="T263" i="92"/>
  <c r="R263" i="92"/>
  <c r="P263" i="92"/>
  <c r="N263" i="92"/>
  <c r="L263" i="92"/>
  <c r="J263" i="92"/>
  <c r="H263" i="92"/>
  <c r="F263" i="92"/>
  <c r="D263" i="92"/>
  <c r="L260" i="15"/>
  <c r="J260" i="15"/>
  <c r="H260" i="15"/>
  <c r="F260" i="15"/>
  <c r="D260" i="15"/>
  <c r="J268" i="86" l="1"/>
  <c r="I268" i="86"/>
  <c r="J267" i="86"/>
  <c r="I267" i="86"/>
  <c r="J266" i="86"/>
  <c r="I266" i="86"/>
  <c r="J265" i="86"/>
  <c r="I265" i="86"/>
  <c r="J264" i="86"/>
  <c r="I264" i="86"/>
  <c r="J263" i="86"/>
  <c r="I263" i="86"/>
  <c r="J262" i="86"/>
  <c r="I262" i="86"/>
  <c r="I260" i="86"/>
  <c r="AH262" i="92" l="1"/>
  <c r="AF262" i="92"/>
  <c r="AD262" i="92"/>
  <c r="AB262" i="92"/>
  <c r="Y262" i="92"/>
  <c r="Z262" i="92" s="1"/>
  <c r="X262" i="92"/>
  <c r="V262" i="92"/>
  <c r="T262" i="92"/>
  <c r="R262" i="92"/>
  <c r="P262" i="92"/>
  <c r="N262" i="92"/>
  <c r="L262" i="92"/>
  <c r="J262" i="92"/>
  <c r="H262" i="92"/>
  <c r="F262" i="92"/>
  <c r="D262" i="92"/>
  <c r="L259" i="15" l="1"/>
  <c r="J259" i="15"/>
  <c r="H259" i="15"/>
  <c r="F259" i="15"/>
  <c r="D259" i="15"/>
  <c r="G245" i="106" l="1"/>
  <c r="G246" i="106"/>
  <c r="G247" i="106"/>
  <c r="G248" i="106"/>
  <c r="G249" i="106"/>
  <c r="G250" i="106"/>
  <c r="G251" i="106"/>
  <c r="G252" i="106"/>
  <c r="G253" i="106"/>
  <c r="G254" i="106"/>
  <c r="G244" i="106"/>
  <c r="G232" i="106"/>
  <c r="G233" i="106"/>
  <c r="G234" i="106"/>
  <c r="G241" i="106"/>
  <c r="G206" i="106"/>
  <c r="G207" i="106"/>
  <c r="G208" i="106"/>
  <c r="G209" i="106"/>
  <c r="G210" i="106"/>
  <c r="G211" i="106"/>
  <c r="G216" i="106"/>
  <c r="G205" i="106"/>
  <c r="G193" i="106"/>
  <c r="G194" i="106"/>
  <c r="G195" i="106"/>
  <c r="G196" i="106"/>
  <c r="G197" i="106"/>
  <c r="G198" i="106"/>
  <c r="G199" i="106"/>
  <c r="G200" i="106"/>
  <c r="G201" i="106"/>
  <c r="G202" i="106"/>
  <c r="G203" i="106"/>
  <c r="G192" i="106"/>
  <c r="G180" i="106"/>
  <c r="G181" i="106"/>
  <c r="G182" i="106"/>
  <c r="G183" i="106"/>
  <c r="G184" i="106"/>
  <c r="G185" i="106"/>
  <c r="G186" i="106"/>
  <c r="G187" i="106"/>
  <c r="G188" i="106"/>
  <c r="G189" i="106"/>
  <c r="G190" i="106"/>
  <c r="G179" i="106"/>
  <c r="G169" i="106"/>
  <c r="G170" i="106"/>
  <c r="G171" i="106"/>
  <c r="G172" i="106"/>
  <c r="G173" i="106"/>
  <c r="G174" i="106"/>
  <c r="G175" i="106"/>
  <c r="G176" i="106"/>
  <c r="G177" i="106"/>
  <c r="G166" i="106"/>
  <c r="G154" i="106"/>
  <c r="G155" i="106"/>
  <c r="G156" i="106"/>
  <c r="G157" i="106"/>
  <c r="G158" i="106"/>
  <c r="G159" i="106"/>
  <c r="G160" i="106"/>
  <c r="G161" i="106"/>
  <c r="G162" i="106"/>
  <c r="G163" i="106"/>
  <c r="G164" i="106"/>
  <c r="G147" i="106"/>
  <c r="G148" i="106"/>
  <c r="G149" i="106"/>
  <c r="G151" i="106"/>
  <c r="G138" i="106"/>
  <c r="E262" i="32" l="1"/>
  <c r="B262" i="32"/>
  <c r="I262" i="32" s="1"/>
  <c r="H262" i="32" l="1"/>
  <c r="AH261" i="92" l="1"/>
  <c r="AF261" i="92"/>
  <c r="AD261" i="92"/>
  <c r="AB261" i="92"/>
  <c r="Y261" i="92"/>
  <c r="Z261" i="92" s="1"/>
  <c r="X261" i="92"/>
  <c r="V261" i="92"/>
  <c r="T261" i="92"/>
  <c r="R261" i="92"/>
  <c r="P261" i="92"/>
  <c r="N261" i="92"/>
  <c r="L261" i="92"/>
  <c r="J261" i="92"/>
  <c r="H261" i="92"/>
  <c r="F261" i="92"/>
  <c r="D261" i="92"/>
  <c r="L258" i="15"/>
  <c r="J258" i="15"/>
  <c r="H258" i="15"/>
  <c r="F258" i="15"/>
  <c r="D258" i="15"/>
  <c r="B9" i="206" l="1"/>
  <c r="H261" i="32" l="1"/>
  <c r="I261" i="32"/>
  <c r="DV35" i="102" l="1"/>
  <c r="DV31" i="102"/>
  <c r="DV27" i="102"/>
  <c r="DV23" i="102"/>
  <c r="DV19" i="102"/>
  <c r="DV15" i="102"/>
  <c r="DV11" i="102"/>
  <c r="DW35" i="99"/>
  <c r="DW31" i="99"/>
  <c r="DW27" i="99"/>
  <c r="DW23" i="99"/>
  <c r="DW19" i="99"/>
  <c r="DW15" i="99"/>
  <c r="DW11" i="99"/>
  <c r="AH260" i="92"/>
  <c r="AF260" i="92"/>
  <c r="AD260" i="92"/>
  <c r="AB260" i="92"/>
  <c r="Y260" i="92"/>
  <c r="Z260" i="92" s="1"/>
  <c r="X260" i="92"/>
  <c r="V260" i="92"/>
  <c r="T260" i="92"/>
  <c r="R260" i="92"/>
  <c r="P260" i="92"/>
  <c r="N260" i="92"/>
  <c r="L260" i="92"/>
  <c r="J260" i="92"/>
  <c r="H260" i="92"/>
  <c r="F260" i="92"/>
  <c r="D260" i="92"/>
  <c r="L257" i="15" l="1"/>
  <c r="J257" i="15"/>
  <c r="H257" i="15"/>
  <c r="F257" i="15"/>
  <c r="D257" i="15"/>
  <c r="I260" i="32" l="1"/>
  <c r="H260" i="32"/>
  <c r="E260" i="32"/>
  <c r="DU35" i="102" l="1"/>
  <c r="DU31" i="102"/>
  <c r="DU27" i="102"/>
  <c r="DU23" i="102"/>
  <c r="DU19" i="102"/>
  <c r="DU15" i="102"/>
  <c r="DU11" i="102"/>
  <c r="DV35" i="99"/>
  <c r="DV31" i="99"/>
  <c r="DV27" i="99"/>
  <c r="DV23" i="99"/>
  <c r="DV19" i="99"/>
  <c r="DV15" i="99"/>
  <c r="DV11" i="99"/>
  <c r="AH259" i="92"/>
  <c r="AF259" i="92"/>
  <c r="AD259" i="92"/>
  <c r="AB259" i="92"/>
  <c r="Y259" i="92"/>
  <c r="Z259" i="92" s="1"/>
  <c r="X259" i="92"/>
  <c r="V259" i="92"/>
  <c r="T259" i="92"/>
  <c r="R259" i="92"/>
  <c r="P259" i="92"/>
  <c r="N259" i="92"/>
  <c r="L259" i="92"/>
  <c r="J259" i="92"/>
  <c r="H259" i="92"/>
  <c r="F259" i="92"/>
  <c r="D259" i="92"/>
  <c r="L256" i="15"/>
  <c r="J256" i="15"/>
  <c r="H256" i="15"/>
  <c r="F256" i="15"/>
  <c r="D256" i="15"/>
  <c r="B258" i="32" l="1"/>
  <c r="H258" i="32" s="1"/>
  <c r="B259" i="32"/>
  <c r="H259" i="32" s="1"/>
  <c r="I259" i="32" l="1"/>
  <c r="I258" i="32"/>
  <c r="AH258" i="92"/>
  <c r="AF258" i="92"/>
  <c r="AD258" i="92"/>
  <c r="AB258" i="92"/>
  <c r="Y258" i="92"/>
  <c r="Z258" i="92" s="1"/>
  <c r="X258" i="92"/>
  <c r="V258" i="92"/>
  <c r="T258" i="92"/>
  <c r="R258" i="92"/>
  <c r="P258" i="92"/>
  <c r="N258" i="92"/>
  <c r="L258" i="92"/>
  <c r="J258" i="92"/>
  <c r="H258" i="92"/>
  <c r="F258" i="92"/>
  <c r="D258" i="92"/>
  <c r="L255" i="15"/>
  <c r="J255" i="15"/>
  <c r="H255" i="15"/>
  <c r="F255" i="15"/>
  <c r="D255" i="15"/>
  <c r="F65" i="194" l="1"/>
  <c r="C65" i="194"/>
  <c r="F64" i="194"/>
  <c r="C64" i="194"/>
  <c r="F62" i="194"/>
  <c r="C62" i="194"/>
  <c r="F61" i="194"/>
  <c r="C61" i="194"/>
  <c r="F60" i="194"/>
  <c r="C60" i="194"/>
  <c r="F57" i="194"/>
  <c r="C57" i="194"/>
  <c r="F56" i="194"/>
  <c r="C56" i="194"/>
  <c r="F55" i="194"/>
  <c r="C55" i="194"/>
  <c r="F54" i="194"/>
  <c r="C54" i="194"/>
  <c r="F53" i="194"/>
  <c r="C53" i="194"/>
  <c r="F52" i="194"/>
  <c r="C52" i="194"/>
  <c r="F51" i="194"/>
  <c r="C51" i="194"/>
  <c r="F49" i="194"/>
  <c r="C49" i="194"/>
  <c r="F48" i="194"/>
  <c r="C48" i="194"/>
  <c r="F47" i="194"/>
  <c r="C47" i="194"/>
  <c r="F46" i="194"/>
  <c r="C46" i="194"/>
  <c r="F45" i="194"/>
  <c r="C45" i="194"/>
  <c r="F44" i="194"/>
  <c r="C44" i="194"/>
  <c r="F43" i="194"/>
  <c r="C43" i="194"/>
  <c r="F42" i="194"/>
  <c r="C42" i="194"/>
  <c r="F41" i="194"/>
  <c r="C41" i="194"/>
  <c r="F40" i="194"/>
  <c r="C40" i="194"/>
  <c r="F39" i="194"/>
  <c r="C39" i="194"/>
  <c r="F38" i="194"/>
  <c r="C38" i="194"/>
  <c r="F36" i="194"/>
  <c r="C36" i="194"/>
  <c r="F35" i="194"/>
  <c r="C35" i="194"/>
  <c r="F34" i="194"/>
  <c r="C34" i="194"/>
  <c r="F33" i="194"/>
  <c r="C33" i="194"/>
  <c r="F32" i="194"/>
  <c r="C32" i="194"/>
  <c r="F31" i="194"/>
  <c r="C31" i="194"/>
  <c r="F30" i="194"/>
  <c r="C30" i="194"/>
  <c r="F29" i="194"/>
  <c r="C29" i="194"/>
  <c r="F28" i="194"/>
  <c r="C28" i="194"/>
  <c r="F27" i="194"/>
  <c r="C27" i="194"/>
  <c r="F26" i="194"/>
  <c r="C26" i="194"/>
  <c r="F23" i="194"/>
  <c r="C23" i="194"/>
  <c r="F22" i="194"/>
  <c r="C22" i="194"/>
  <c r="F21" i="194"/>
  <c r="C21" i="194"/>
  <c r="F20" i="194"/>
  <c r="C20" i="194"/>
  <c r="F19" i="194"/>
  <c r="C19" i="194"/>
  <c r="F18" i="194"/>
  <c r="C18" i="194"/>
  <c r="F17" i="194"/>
  <c r="C17" i="194"/>
  <c r="F16" i="194"/>
  <c r="C16" i="194"/>
  <c r="F15" i="194"/>
  <c r="C15" i="194"/>
  <c r="F14" i="194"/>
  <c r="C14" i="194"/>
  <c r="F13" i="194"/>
  <c r="C13" i="194"/>
  <c r="F12" i="194"/>
  <c r="C12" i="194"/>
  <c r="BR10" i="194"/>
  <c r="BS10" i="194" s="1"/>
  <c r="BR8" i="194"/>
  <c r="BN8" i="194"/>
  <c r="B60" i="194" l="1"/>
  <c r="B61" i="194"/>
  <c r="B64" i="194"/>
  <c r="B65" i="194"/>
  <c r="BS8" i="194"/>
  <c r="B62" i="194"/>
  <c r="AH257" i="92"/>
  <c r="AF257" i="92"/>
  <c r="AD257" i="92"/>
  <c r="AB257" i="92"/>
  <c r="Y257" i="92"/>
  <c r="Z257" i="92" s="1"/>
  <c r="X257" i="92"/>
  <c r="V257" i="92"/>
  <c r="T257" i="92"/>
  <c r="R257" i="92"/>
  <c r="P257" i="92"/>
  <c r="N257" i="92"/>
  <c r="L257" i="92"/>
  <c r="J257" i="92"/>
  <c r="H257" i="92"/>
  <c r="F257" i="92"/>
  <c r="D257" i="92"/>
  <c r="L254" i="15" l="1"/>
  <c r="J254" i="15"/>
  <c r="H254" i="15"/>
  <c r="F254" i="15"/>
  <c r="D254" i="15"/>
  <c r="E255" i="32" l="1"/>
  <c r="B257" i="32" l="1"/>
  <c r="I257" i="32" s="1"/>
  <c r="H257" i="32" l="1"/>
  <c r="E10" i="191"/>
  <c r="D10" i="191"/>
  <c r="C9" i="191"/>
  <c r="B9" i="191"/>
  <c r="C7" i="191"/>
  <c r="B7" i="191"/>
  <c r="DS35" i="99" l="1"/>
  <c r="DS31" i="99"/>
  <c r="DS27" i="99"/>
  <c r="DS23" i="99"/>
  <c r="DS19" i="99"/>
  <c r="DS15" i="99"/>
  <c r="DS11" i="99"/>
  <c r="AH256" i="92"/>
  <c r="AF256" i="92"/>
  <c r="AD256" i="92"/>
  <c r="AB256" i="92"/>
  <c r="Y256" i="92"/>
  <c r="Z256" i="92" s="1"/>
  <c r="X256" i="92"/>
  <c r="V256" i="92"/>
  <c r="T256" i="92"/>
  <c r="R256" i="92"/>
  <c r="P256" i="92"/>
  <c r="N256" i="92"/>
  <c r="L256" i="92"/>
  <c r="J256" i="92"/>
  <c r="H256" i="92"/>
  <c r="F256" i="92"/>
  <c r="D256" i="92"/>
  <c r="L253" i="15"/>
  <c r="J253" i="15"/>
  <c r="H253" i="15"/>
  <c r="F253" i="15"/>
  <c r="D253" i="15"/>
  <c r="B172" i="48" l="1"/>
  <c r="C172" i="48"/>
  <c r="E172" i="48"/>
  <c r="D172" i="48"/>
  <c r="I172" i="48"/>
  <c r="H172" i="48"/>
  <c r="G172" i="48"/>
  <c r="F172" i="48"/>
  <c r="J260" i="86" l="1"/>
  <c r="I250" i="33" l="1"/>
  <c r="H250" i="33"/>
  <c r="G250" i="33"/>
  <c r="F250" i="33"/>
  <c r="E250" i="33"/>
  <c r="D250" i="33"/>
  <c r="C250" i="33"/>
  <c r="B250" i="33"/>
  <c r="AF245" i="25" l="1"/>
  <c r="AE245" i="25"/>
  <c r="AD245" i="25"/>
  <c r="AC245" i="25"/>
  <c r="AB245" i="25"/>
  <c r="AA245" i="25"/>
  <c r="Z245" i="25"/>
  <c r="Y245" i="25"/>
  <c r="X245" i="25"/>
  <c r="W245" i="25"/>
  <c r="V245" i="25"/>
  <c r="U245" i="25"/>
  <c r="T245" i="25"/>
  <c r="S245" i="25"/>
  <c r="R245" i="25"/>
  <c r="Q245" i="25"/>
  <c r="P245" i="25"/>
  <c r="O245" i="25"/>
  <c r="N245" i="25"/>
  <c r="M245" i="25"/>
  <c r="L245" i="25"/>
  <c r="K245" i="25"/>
  <c r="J245" i="25"/>
  <c r="I245" i="25"/>
  <c r="H245" i="25"/>
  <c r="G245" i="25"/>
  <c r="F245" i="25"/>
  <c r="E245" i="25"/>
  <c r="D245" i="25"/>
  <c r="C245" i="25"/>
  <c r="B245" i="25"/>
  <c r="D22" i="135" l="1"/>
  <c r="DQ35" i="102" l="1"/>
  <c r="DQ31" i="102"/>
  <c r="DQ27" i="102"/>
  <c r="DQ23" i="102"/>
  <c r="DQ19" i="102"/>
  <c r="DQ15" i="102"/>
  <c r="DQ11" i="102"/>
  <c r="DR35" i="99"/>
  <c r="DR31" i="99"/>
  <c r="DR27" i="99"/>
  <c r="DR23" i="99"/>
  <c r="DR19" i="99"/>
  <c r="DR15" i="99"/>
  <c r="DR11" i="99"/>
  <c r="AH253" i="92" l="1"/>
  <c r="AH254" i="92"/>
  <c r="AF253" i="92"/>
  <c r="AF254" i="92"/>
  <c r="Y253" i="92"/>
  <c r="Z253" i="92" s="1"/>
  <c r="Y254" i="92"/>
  <c r="Z254" i="92" s="1"/>
  <c r="AD253" i="92"/>
  <c r="AD254" i="92"/>
  <c r="AB253" i="92"/>
  <c r="AB254" i="92"/>
  <c r="X253" i="92"/>
  <c r="X254" i="92"/>
  <c r="V253" i="92"/>
  <c r="V254" i="92"/>
  <c r="T253" i="92"/>
  <c r="T254" i="92"/>
  <c r="R253" i="92"/>
  <c r="R254" i="92"/>
  <c r="P253" i="92"/>
  <c r="P254" i="92"/>
  <c r="N253" i="92"/>
  <c r="N254" i="92"/>
  <c r="L253" i="92"/>
  <c r="L254" i="92"/>
  <c r="J253" i="92"/>
  <c r="J254" i="92"/>
  <c r="H253" i="92"/>
  <c r="H254" i="92"/>
  <c r="F253" i="92"/>
  <c r="F254" i="92"/>
  <c r="D253" i="92"/>
  <c r="D254" i="92"/>
  <c r="L251" i="15"/>
  <c r="J251" i="15"/>
  <c r="H251" i="15"/>
  <c r="F251" i="15"/>
  <c r="D251" i="15"/>
  <c r="Y112" i="92" l="1"/>
  <c r="Y111" i="92"/>
  <c r="Y110" i="92"/>
  <c r="Y109" i="92"/>
  <c r="Y108" i="92"/>
  <c r="Y107" i="92"/>
  <c r="Y106" i="92"/>
  <c r="Y105" i="92"/>
  <c r="Y104" i="92"/>
  <c r="Y103" i="92"/>
  <c r="Y102" i="92"/>
  <c r="Y101" i="92"/>
  <c r="Y100" i="92"/>
  <c r="Y99" i="92"/>
  <c r="Y98" i="92"/>
  <c r="Y97" i="92"/>
  <c r="Y96" i="92"/>
  <c r="Y95" i="92"/>
  <c r="Y94" i="92"/>
  <c r="Y93" i="92"/>
  <c r="Y92" i="92"/>
  <c r="Y91" i="92"/>
  <c r="Y90" i="92"/>
  <c r="Y89" i="92"/>
  <c r="Y88" i="92"/>
  <c r="Y87" i="92"/>
  <c r="Y86" i="92"/>
  <c r="Y85" i="92"/>
  <c r="Y84" i="92"/>
  <c r="Y83" i="92"/>
  <c r="Y82" i="92"/>
  <c r="Y81" i="92"/>
  <c r="Y80" i="92"/>
  <c r="Y79" i="92"/>
  <c r="Y78" i="92"/>
  <c r="Y77" i="92"/>
  <c r="Y76" i="92"/>
  <c r="Y75" i="92"/>
  <c r="Y74" i="92"/>
  <c r="Y72" i="92"/>
  <c r="Y71" i="92"/>
  <c r="Y70" i="92"/>
  <c r="Y69" i="92"/>
  <c r="Y68" i="92"/>
  <c r="Y67" i="92"/>
  <c r="Y66" i="92"/>
  <c r="Y65" i="92"/>
  <c r="Y64" i="92"/>
  <c r="Y63" i="92"/>
  <c r="Y62" i="92"/>
  <c r="Y61" i="92"/>
  <c r="Y59" i="92"/>
  <c r="Y58" i="92"/>
  <c r="Y57" i="92"/>
  <c r="Y56" i="92"/>
  <c r="Y55" i="92"/>
  <c r="Y54" i="92"/>
  <c r="Y53" i="92"/>
  <c r="Y52" i="92"/>
  <c r="Y51" i="92"/>
  <c r="Y50" i="92"/>
  <c r="Y49" i="92"/>
  <c r="Y48" i="92"/>
  <c r="Y46" i="92"/>
  <c r="Y45" i="92"/>
  <c r="Y44" i="92"/>
  <c r="Y43" i="92"/>
  <c r="Y42" i="92"/>
  <c r="Y41" i="92"/>
  <c r="Y40" i="92"/>
  <c r="Y39" i="92"/>
  <c r="Y38" i="92"/>
  <c r="Y37" i="92"/>
  <c r="Y36" i="92"/>
  <c r="Y35" i="92"/>
  <c r="Y33" i="92"/>
  <c r="AH229" i="92"/>
  <c r="AF229" i="92"/>
  <c r="AD229" i="92"/>
  <c r="AB229" i="92"/>
  <c r="Y229" i="92"/>
  <c r="Z229" i="92" s="1"/>
  <c r="X229" i="92"/>
  <c r="V229" i="92"/>
  <c r="T229" i="92"/>
  <c r="R229" i="92"/>
  <c r="P229" i="92"/>
  <c r="N229" i="92"/>
  <c r="L229" i="92"/>
  <c r="J229" i="92"/>
  <c r="H229" i="92"/>
  <c r="F229" i="92"/>
  <c r="D229" i="92"/>
  <c r="AH242" i="92"/>
  <c r="AF242" i="92"/>
  <c r="AD242" i="92"/>
  <c r="AB242" i="92"/>
  <c r="Y242" i="92"/>
  <c r="Z242" i="92" s="1"/>
  <c r="X242" i="92"/>
  <c r="V242" i="92"/>
  <c r="T242" i="92"/>
  <c r="R242" i="92"/>
  <c r="P242" i="92"/>
  <c r="N242" i="92"/>
  <c r="L242" i="92"/>
  <c r="J242" i="92"/>
  <c r="H242" i="92"/>
  <c r="F242" i="92"/>
  <c r="D242" i="92"/>
  <c r="Y164" i="92" l="1"/>
  <c r="Y177" i="92"/>
  <c r="Y190" i="92"/>
  <c r="Y203" i="92"/>
  <c r="Y216" i="92"/>
  <c r="L250" i="15" l="1"/>
  <c r="J250" i="15"/>
  <c r="H250" i="15"/>
  <c r="F250" i="15"/>
  <c r="D250" i="15"/>
  <c r="DP35" i="102" l="1"/>
  <c r="DP31" i="102"/>
  <c r="DP27" i="102"/>
  <c r="DP23" i="102"/>
  <c r="DP19" i="102"/>
  <c r="DP15" i="102"/>
  <c r="DP11" i="102"/>
  <c r="E56" i="181" l="1"/>
  <c r="D56" i="181"/>
  <c r="C56" i="181"/>
  <c r="B56" i="181"/>
  <c r="E43" i="181"/>
  <c r="D43" i="181"/>
  <c r="C43" i="181"/>
  <c r="B43" i="181"/>
  <c r="E30" i="181"/>
  <c r="D30" i="181"/>
  <c r="C30" i="181"/>
  <c r="B30" i="181"/>
  <c r="E17" i="181"/>
  <c r="D17" i="181"/>
  <c r="C17" i="181"/>
  <c r="B17" i="181"/>
  <c r="J258" i="86" l="1"/>
  <c r="J257" i="86"/>
  <c r="J256" i="86"/>
  <c r="J255" i="86"/>
  <c r="I258" i="86"/>
  <c r="I257" i="86"/>
  <c r="I256" i="86"/>
  <c r="I255" i="86"/>
  <c r="DO35" i="102" l="1"/>
  <c r="DO31" i="102"/>
  <c r="DO27" i="102"/>
  <c r="DO23" i="102"/>
  <c r="DO19" i="102"/>
  <c r="DO15" i="102"/>
  <c r="DO11" i="102"/>
  <c r="DP35" i="99"/>
  <c r="DP31" i="99"/>
  <c r="DP27" i="99"/>
  <c r="DP23" i="99"/>
  <c r="DP19" i="99"/>
  <c r="DP15" i="99"/>
  <c r="DP11" i="99"/>
  <c r="D49" i="123"/>
  <c r="AH252" i="92" l="1"/>
  <c r="AF252" i="92"/>
  <c r="AD252" i="92"/>
  <c r="AB252" i="92"/>
  <c r="Y252" i="92"/>
  <c r="Z252" i="92" s="1"/>
  <c r="X252" i="92"/>
  <c r="V252" i="92"/>
  <c r="T252" i="92"/>
  <c r="R252" i="92"/>
  <c r="P252" i="92"/>
  <c r="N252" i="92"/>
  <c r="L252" i="92"/>
  <c r="J252" i="92"/>
  <c r="H252" i="92"/>
  <c r="F252" i="92"/>
  <c r="D252" i="92"/>
  <c r="L249" i="15"/>
  <c r="J249" i="15"/>
  <c r="H249" i="15"/>
  <c r="F249" i="15"/>
  <c r="D249" i="15"/>
  <c r="Y251" i="92" l="1"/>
  <c r="DN35" i="102" l="1"/>
  <c r="DN31" i="102"/>
  <c r="DN27" i="102"/>
  <c r="DN23" i="102"/>
  <c r="DN19" i="102"/>
  <c r="DN15" i="102"/>
  <c r="DN11" i="102"/>
  <c r="DO35" i="99"/>
  <c r="DO31" i="99"/>
  <c r="DO27" i="99"/>
  <c r="DO23" i="99"/>
  <c r="DO19" i="99"/>
  <c r="DO15" i="99"/>
  <c r="DO11" i="99"/>
  <c r="D47" i="123" l="1"/>
  <c r="D48" i="123"/>
  <c r="AH251" i="92"/>
  <c r="AF251" i="92"/>
  <c r="AD251" i="92"/>
  <c r="AB251" i="92"/>
  <c r="Z251" i="92"/>
  <c r="X251" i="92"/>
  <c r="V251" i="92"/>
  <c r="T251" i="92"/>
  <c r="R251" i="92"/>
  <c r="P251" i="92"/>
  <c r="N251" i="92"/>
  <c r="L251" i="92"/>
  <c r="J251" i="92"/>
  <c r="H251" i="92"/>
  <c r="F251" i="92"/>
  <c r="D251" i="92"/>
  <c r="L248" i="15"/>
  <c r="J248" i="15"/>
  <c r="H248" i="15"/>
  <c r="F248" i="15"/>
  <c r="D248" i="15"/>
  <c r="R222" i="160" l="1"/>
  <c r="Q222" i="160"/>
  <c r="F222" i="160"/>
  <c r="E222" i="160"/>
  <c r="D222" i="160"/>
  <c r="C222" i="160"/>
  <c r="B222" i="160"/>
  <c r="R220" i="160"/>
  <c r="R209" i="160"/>
  <c r="Q209" i="160"/>
  <c r="F209" i="160"/>
  <c r="E209" i="160"/>
  <c r="D209" i="160"/>
  <c r="C209" i="160"/>
  <c r="B209" i="160"/>
  <c r="R198" i="160"/>
  <c r="R197" i="160"/>
  <c r="R196" i="160"/>
  <c r="Q196" i="160"/>
  <c r="F196" i="160"/>
  <c r="E196" i="160"/>
  <c r="D196" i="160"/>
  <c r="C196" i="160"/>
  <c r="B196" i="160"/>
  <c r="R195" i="160"/>
  <c r="R183" i="160" s="1"/>
  <c r="R194" i="160"/>
  <c r="R193" i="160"/>
  <c r="Q183" i="160"/>
  <c r="H183" i="160"/>
  <c r="G183" i="160"/>
  <c r="F183" i="160"/>
  <c r="E183" i="160"/>
  <c r="D183" i="160"/>
  <c r="C183" i="160"/>
  <c r="B183" i="160"/>
  <c r="R170" i="160"/>
  <c r="Q170" i="160"/>
  <c r="H170" i="160"/>
  <c r="G170" i="160"/>
  <c r="F170" i="160"/>
  <c r="E170" i="160"/>
  <c r="D170" i="160"/>
  <c r="C170" i="160"/>
  <c r="B170" i="160"/>
  <c r="R157" i="160"/>
  <c r="Q157" i="160"/>
  <c r="H157" i="160"/>
  <c r="G157" i="160"/>
  <c r="F157" i="160"/>
  <c r="E157" i="160"/>
  <c r="D157" i="160"/>
  <c r="C157" i="160"/>
  <c r="B157" i="160"/>
  <c r="R144" i="160"/>
  <c r="Q144" i="160"/>
  <c r="H144" i="160"/>
  <c r="G144" i="160"/>
  <c r="F144" i="160"/>
  <c r="E144" i="160"/>
  <c r="D144" i="160"/>
  <c r="C144" i="160"/>
  <c r="B144" i="160"/>
  <c r="W162" i="136" l="1"/>
  <c r="R162" i="136"/>
  <c r="M162" i="136"/>
  <c r="G162" i="136"/>
  <c r="J22" i="135" l="1"/>
  <c r="I22" i="135"/>
  <c r="C22" i="135"/>
  <c r="B22" i="135"/>
  <c r="D46" i="123" l="1"/>
  <c r="D45" i="123"/>
  <c r="D44" i="123"/>
  <c r="D43" i="123"/>
  <c r="D42" i="123"/>
  <c r="D41" i="123"/>
  <c r="D40" i="123"/>
  <c r="D38" i="123"/>
  <c r="D37" i="123"/>
  <c r="D36" i="123"/>
  <c r="D35" i="123"/>
  <c r="D34" i="123"/>
  <c r="D33" i="123"/>
  <c r="D32" i="123"/>
  <c r="D31" i="123"/>
  <c r="D30" i="123"/>
  <c r="D29" i="123"/>
  <c r="D28" i="123"/>
  <c r="D27" i="123"/>
  <c r="D25" i="123"/>
  <c r="D24" i="123"/>
  <c r="D23" i="123"/>
  <c r="D22" i="123"/>
  <c r="D21" i="123"/>
  <c r="D20" i="123"/>
  <c r="D19" i="123"/>
  <c r="D16" i="123"/>
  <c r="D15" i="123"/>
  <c r="D14" i="123"/>
  <c r="CJ13" i="122"/>
  <c r="CI11" i="122"/>
  <c r="CJ11" i="122" s="1"/>
  <c r="CE7" i="122"/>
  <c r="CI9" i="122" l="1"/>
  <c r="CJ9" i="122" s="1"/>
  <c r="CI7" i="122" l="1"/>
  <c r="CJ7" i="122" s="1"/>
  <c r="AH250" i="92"/>
  <c r="AF250" i="92"/>
  <c r="AD250" i="92"/>
  <c r="AB250" i="92"/>
  <c r="Y250" i="92"/>
  <c r="Z250" i="92" s="1"/>
  <c r="X250" i="92"/>
  <c r="V250" i="92"/>
  <c r="T250" i="92"/>
  <c r="R250" i="92"/>
  <c r="P250" i="92"/>
  <c r="N250" i="92"/>
  <c r="L250" i="92"/>
  <c r="J250" i="92"/>
  <c r="H250" i="92"/>
  <c r="F250" i="92"/>
  <c r="D250" i="92"/>
  <c r="L247" i="15"/>
  <c r="J247" i="15"/>
  <c r="H247" i="15"/>
  <c r="F247" i="15"/>
  <c r="D247" i="15"/>
  <c r="Y249" i="92" l="1"/>
  <c r="Z249" i="92" s="1"/>
  <c r="AH249" i="92"/>
  <c r="AF249" i="92"/>
  <c r="AD249" i="92"/>
  <c r="AB249" i="92"/>
  <c r="X249" i="92"/>
  <c r="V249" i="92"/>
  <c r="T249" i="92"/>
  <c r="R249" i="92"/>
  <c r="P249" i="92"/>
  <c r="N249" i="92"/>
  <c r="L249" i="92"/>
  <c r="J249" i="92"/>
  <c r="H249" i="92"/>
  <c r="F249" i="92"/>
  <c r="D249" i="92"/>
  <c r="D246" i="15"/>
  <c r="F246" i="15"/>
  <c r="H246" i="15"/>
  <c r="L246" i="15"/>
  <c r="J246" i="15"/>
  <c r="J254" i="86"/>
  <c r="J253" i="86"/>
  <c r="J252" i="86"/>
  <c r="J251" i="86"/>
  <c r="J250" i="86"/>
  <c r="I254" i="86"/>
  <c r="I253" i="86"/>
  <c r="I252" i="86"/>
  <c r="I251" i="86"/>
  <c r="I250" i="86"/>
  <c r="Y248" i="92" l="1"/>
  <c r="AH248" i="92" l="1"/>
  <c r="AF248" i="92"/>
  <c r="AD248" i="92"/>
  <c r="AB248" i="92"/>
  <c r="Z248" i="92"/>
  <c r="X248" i="92"/>
  <c r="V248" i="92"/>
  <c r="T248" i="92"/>
  <c r="R248" i="92"/>
  <c r="P248" i="92"/>
  <c r="N248" i="92"/>
  <c r="L248" i="92"/>
  <c r="J248" i="92"/>
  <c r="H248" i="92"/>
  <c r="F248" i="92"/>
  <c r="D248" i="92"/>
  <c r="L245" i="15"/>
  <c r="J245" i="15"/>
  <c r="H245" i="15"/>
  <c r="F245" i="15"/>
  <c r="D245" i="15"/>
  <c r="Y247" i="92" l="1"/>
  <c r="Z247" i="92" s="1"/>
  <c r="AH247" i="92"/>
  <c r="AF247" i="92"/>
  <c r="AD247" i="92"/>
  <c r="AB247" i="92"/>
  <c r="X247" i="92"/>
  <c r="V247" i="92"/>
  <c r="T247" i="92"/>
  <c r="R247" i="92"/>
  <c r="P247" i="92"/>
  <c r="N247" i="92"/>
  <c r="L247" i="92"/>
  <c r="J247" i="92"/>
  <c r="H247" i="92"/>
  <c r="F247" i="92"/>
  <c r="D247" i="92"/>
  <c r="L244" i="15"/>
  <c r="J244" i="15"/>
  <c r="H244" i="15"/>
  <c r="F244" i="15"/>
  <c r="D244" i="15"/>
  <c r="DI35" i="102" l="1"/>
  <c r="DI31" i="102"/>
  <c r="DI27" i="102"/>
  <c r="DI23" i="102"/>
  <c r="DI19" i="102"/>
  <c r="DI15" i="102"/>
  <c r="DI11" i="102"/>
  <c r="DJ35" i="99"/>
  <c r="DJ31" i="99"/>
  <c r="DJ27" i="99"/>
  <c r="DJ23" i="99"/>
  <c r="DJ19" i="99"/>
  <c r="DJ15" i="99"/>
  <c r="DJ11" i="99"/>
  <c r="AH246" i="92"/>
  <c r="AF246" i="92"/>
  <c r="AD246" i="92"/>
  <c r="AB246" i="92"/>
  <c r="Y246" i="92"/>
  <c r="Z246" i="92" s="1"/>
  <c r="X246" i="92"/>
  <c r="V246" i="92"/>
  <c r="T246" i="92"/>
  <c r="R246" i="92"/>
  <c r="P246" i="92"/>
  <c r="N246" i="92"/>
  <c r="L246" i="92"/>
  <c r="J246" i="92"/>
  <c r="H246" i="92"/>
  <c r="F246" i="92"/>
  <c r="D246" i="92"/>
  <c r="L243" i="15"/>
  <c r="J243" i="15"/>
  <c r="H243" i="15"/>
  <c r="F243" i="15"/>
  <c r="D243" i="15"/>
  <c r="AH245" i="92" l="1"/>
  <c r="AF245" i="92"/>
  <c r="AD245" i="92"/>
  <c r="AB245" i="92"/>
  <c r="Y245" i="92"/>
  <c r="Z245" i="92" s="1"/>
  <c r="X245" i="92"/>
  <c r="V245" i="92"/>
  <c r="T245" i="92"/>
  <c r="R245" i="92"/>
  <c r="P245" i="92"/>
  <c r="N245" i="92"/>
  <c r="L245" i="92"/>
  <c r="J245" i="92"/>
  <c r="H245" i="92"/>
  <c r="F245" i="92"/>
  <c r="D245" i="92"/>
  <c r="L242" i="15"/>
  <c r="J242" i="15"/>
  <c r="H242" i="15"/>
  <c r="F242" i="15"/>
  <c r="D242" i="15"/>
  <c r="E244" i="32" l="1"/>
  <c r="E245" i="32"/>
  <c r="E246" i="32"/>
  <c r="Y244" i="92" l="1"/>
  <c r="AH244" i="92" l="1"/>
  <c r="AF244" i="92"/>
  <c r="AD244" i="92"/>
  <c r="AB244" i="92"/>
  <c r="Z244" i="92"/>
  <c r="X244" i="92"/>
  <c r="V244" i="92"/>
  <c r="T244" i="92"/>
  <c r="R244" i="92"/>
  <c r="P244" i="92"/>
  <c r="N244" i="92"/>
  <c r="L244" i="92"/>
  <c r="J244" i="92"/>
  <c r="H244" i="92"/>
  <c r="F244" i="92"/>
  <c r="D244" i="92"/>
  <c r="L241" i="15"/>
  <c r="J241" i="15"/>
  <c r="H241" i="15"/>
  <c r="F241" i="15"/>
  <c r="D241" i="15"/>
  <c r="G146" i="33" l="1"/>
  <c r="G94" i="33"/>
  <c r="G81" i="33"/>
  <c r="G59" i="33"/>
  <c r="G46" i="33"/>
  <c r="G33" i="33"/>
  <c r="D146" i="33" l="1"/>
  <c r="D94" i="33"/>
  <c r="D81" i="33"/>
  <c r="D59" i="33"/>
  <c r="D46" i="33"/>
  <c r="D33" i="33"/>
  <c r="C146" i="33"/>
  <c r="C94" i="33"/>
  <c r="C81" i="33"/>
  <c r="C59" i="33"/>
  <c r="C46" i="33"/>
  <c r="C33" i="33"/>
  <c r="DG35" i="102" l="1"/>
  <c r="DG31" i="102"/>
  <c r="DG27" i="102"/>
  <c r="DG23" i="102"/>
  <c r="DG19" i="102"/>
  <c r="DG15" i="102"/>
  <c r="DG11" i="102"/>
  <c r="DH35" i="99"/>
  <c r="DH31" i="99"/>
  <c r="DH27" i="99"/>
  <c r="DH23" i="99"/>
  <c r="DH19" i="99"/>
  <c r="DH15" i="99"/>
  <c r="DH11" i="99"/>
  <c r="B245" i="32" l="1"/>
  <c r="I245" i="32" s="1"/>
  <c r="H245" i="32" l="1"/>
  <c r="M249" i="86" l="1"/>
  <c r="J249" i="86" s="1"/>
  <c r="L249" i="86"/>
  <c r="I249" i="86" s="1"/>
  <c r="AH243" i="92" l="1"/>
  <c r="AF243" i="92"/>
  <c r="AD243" i="92"/>
  <c r="AB243" i="92"/>
  <c r="Y243" i="92"/>
  <c r="Z243" i="92" s="1"/>
  <c r="X243" i="92"/>
  <c r="V243" i="92"/>
  <c r="T243" i="92"/>
  <c r="R243" i="92"/>
  <c r="P243" i="92"/>
  <c r="N243" i="92"/>
  <c r="L243" i="92"/>
  <c r="J243" i="92"/>
  <c r="H243" i="92"/>
  <c r="F243" i="92"/>
  <c r="D243" i="92"/>
  <c r="L240" i="15"/>
  <c r="J240" i="15"/>
  <c r="H240" i="15"/>
  <c r="F240" i="15"/>
  <c r="D240" i="15"/>
  <c r="Y239" i="92" l="1"/>
  <c r="Y240" i="92"/>
  <c r="Y241" i="92"/>
  <c r="E242" i="32" l="1"/>
  <c r="B242" i="32"/>
  <c r="H242" i="32" s="1"/>
  <c r="E241" i="32"/>
  <c r="B241" i="32"/>
  <c r="I241" i="32" s="1"/>
  <c r="I242" i="32" l="1"/>
  <c r="H241" i="32"/>
  <c r="I159" i="48" l="1"/>
  <c r="H159" i="48"/>
  <c r="G159" i="48"/>
  <c r="F159" i="48"/>
  <c r="E159" i="48"/>
  <c r="D159" i="48"/>
  <c r="C159" i="48"/>
  <c r="B159" i="48"/>
  <c r="I146" i="48"/>
  <c r="H146" i="48"/>
  <c r="G146" i="48"/>
  <c r="F146" i="48"/>
  <c r="E146" i="48"/>
  <c r="D146" i="48"/>
  <c r="C146" i="48"/>
  <c r="B146" i="48"/>
  <c r="I133" i="48"/>
  <c r="H133" i="48"/>
  <c r="G133" i="48"/>
  <c r="F133" i="48"/>
  <c r="E133" i="48"/>
  <c r="D133" i="48"/>
  <c r="C133" i="48"/>
  <c r="B133" i="48"/>
  <c r="I120" i="48"/>
  <c r="H120" i="48"/>
  <c r="G120" i="48"/>
  <c r="F120" i="48"/>
  <c r="E120" i="48"/>
  <c r="D120" i="48"/>
  <c r="C120" i="48"/>
  <c r="B120" i="48"/>
  <c r="I107" i="48"/>
  <c r="H107" i="48"/>
  <c r="G107" i="48"/>
  <c r="F107" i="48"/>
  <c r="E107" i="48"/>
  <c r="D107" i="48"/>
  <c r="C107" i="48"/>
  <c r="B107" i="48"/>
  <c r="I94" i="48"/>
  <c r="H94" i="48"/>
  <c r="G94" i="48"/>
  <c r="F94" i="48"/>
  <c r="E94" i="48"/>
  <c r="D94" i="48"/>
  <c r="C94" i="48"/>
  <c r="B94" i="48"/>
  <c r="I81" i="48"/>
  <c r="H81" i="48"/>
  <c r="G81" i="48"/>
  <c r="F81" i="48"/>
  <c r="E81" i="48"/>
  <c r="D81" i="48"/>
  <c r="C81" i="48"/>
  <c r="B81" i="48"/>
  <c r="I68" i="48"/>
  <c r="H68" i="48"/>
  <c r="G68" i="48"/>
  <c r="F68" i="48"/>
  <c r="E68" i="48"/>
  <c r="D68" i="48"/>
  <c r="C68" i="48"/>
  <c r="B68" i="48"/>
  <c r="I55" i="48"/>
  <c r="H55" i="48"/>
  <c r="G55" i="48"/>
  <c r="F55" i="48"/>
  <c r="E55" i="48"/>
  <c r="D55" i="48"/>
  <c r="C55" i="48"/>
  <c r="B55" i="48"/>
  <c r="I29" i="48"/>
  <c r="H29" i="48"/>
  <c r="G29" i="48"/>
  <c r="F29" i="48"/>
  <c r="E29" i="48"/>
  <c r="D29" i="48"/>
  <c r="C29" i="48"/>
  <c r="B29" i="48"/>
  <c r="I42" i="48"/>
  <c r="H42" i="48"/>
  <c r="G42" i="48"/>
  <c r="F42" i="48"/>
  <c r="E42" i="48"/>
  <c r="D42" i="48"/>
  <c r="C42" i="48"/>
  <c r="B42" i="48"/>
  <c r="I15" i="48"/>
  <c r="H15" i="48"/>
  <c r="G15" i="48"/>
  <c r="F15" i="48"/>
  <c r="E15" i="48"/>
  <c r="D15" i="48"/>
  <c r="C15" i="48"/>
  <c r="B15" i="48"/>
  <c r="M246" i="86" l="1"/>
  <c r="J246" i="86" s="1"/>
  <c r="L246" i="86"/>
  <c r="M247" i="86"/>
  <c r="L247" i="86"/>
  <c r="H246" i="86"/>
  <c r="F246" i="86"/>
  <c r="G246" i="86"/>
  <c r="I246" i="86" l="1"/>
  <c r="D240" i="92"/>
  <c r="D241" i="92"/>
  <c r="F240" i="92"/>
  <c r="F241" i="92"/>
  <c r="H240" i="92"/>
  <c r="H241" i="92"/>
  <c r="J240" i="92"/>
  <c r="J241" i="92"/>
  <c r="L240" i="92"/>
  <c r="L241" i="92"/>
  <c r="N240" i="92"/>
  <c r="N241" i="92"/>
  <c r="P240" i="92"/>
  <c r="P241" i="92"/>
  <c r="R240" i="92"/>
  <c r="R241" i="92"/>
  <c r="T239" i="92"/>
  <c r="T240" i="92"/>
  <c r="T241" i="92"/>
  <c r="V239" i="92"/>
  <c r="V240" i="92"/>
  <c r="V241" i="92"/>
  <c r="X239" i="92"/>
  <c r="X240" i="92"/>
  <c r="X241" i="92"/>
  <c r="Z239" i="92"/>
  <c r="Z240" i="92"/>
  <c r="Z241" i="92"/>
  <c r="AB239" i="92"/>
  <c r="AB240" i="92"/>
  <c r="AB241" i="92"/>
  <c r="AD239" i="92"/>
  <c r="AD240" i="92"/>
  <c r="AD241" i="92"/>
  <c r="AH237" i="92"/>
  <c r="AH238" i="92"/>
  <c r="AH239" i="92"/>
  <c r="AH240" i="92"/>
  <c r="AH241" i="92"/>
  <c r="AF237" i="92"/>
  <c r="AF238" i="92"/>
  <c r="AF239" i="92"/>
  <c r="AF240" i="92"/>
  <c r="AF241" i="92"/>
  <c r="C232" i="25" l="1"/>
  <c r="D232" i="25"/>
  <c r="E232" i="25"/>
  <c r="F232" i="25"/>
  <c r="G232" i="25"/>
  <c r="H232" i="25"/>
  <c r="I232" i="25"/>
  <c r="J232" i="25"/>
  <c r="K232" i="25"/>
  <c r="L232" i="25"/>
  <c r="M232" i="25"/>
  <c r="N232" i="25"/>
  <c r="O232" i="25"/>
  <c r="P232" i="25"/>
  <c r="Q232" i="25"/>
  <c r="R232" i="25"/>
  <c r="S232" i="25"/>
  <c r="T232" i="25"/>
  <c r="U232" i="25"/>
  <c r="V232" i="25"/>
  <c r="W232" i="25"/>
  <c r="X232" i="25"/>
  <c r="Y232" i="25"/>
  <c r="Z232" i="25"/>
  <c r="AA232" i="25"/>
  <c r="AB232" i="25"/>
  <c r="AC232" i="25"/>
  <c r="AD232" i="25"/>
  <c r="AE232" i="25"/>
  <c r="AF232" i="25"/>
  <c r="B232" i="25"/>
  <c r="D238" i="15" l="1"/>
  <c r="J238" i="15"/>
  <c r="H238" i="15"/>
  <c r="F238" i="15"/>
  <c r="L238" i="15" l="1"/>
  <c r="J247" i="86" l="1"/>
  <c r="H247" i="86"/>
  <c r="F247" i="86"/>
  <c r="G247" i="86"/>
  <c r="I247" i="86" l="1"/>
  <c r="BY7" i="106" l="1"/>
  <c r="F17" i="106"/>
  <c r="G17" i="106"/>
  <c r="F18" i="106"/>
  <c r="G18" i="106"/>
  <c r="F19" i="106"/>
  <c r="G19" i="106"/>
  <c r="F20" i="106"/>
  <c r="G20" i="106"/>
  <c r="F21" i="106"/>
  <c r="G21" i="106"/>
  <c r="F22" i="106"/>
  <c r="F23" i="106"/>
  <c r="F24" i="106"/>
  <c r="F25" i="106"/>
  <c r="F26" i="106"/>
  <c r="F27" i="106"/>
  <c r="F28" i="106"/>
  <c r="F29" i="106"/>
  <c r="F30" i="106"/>
  <c r="F31" i="106"/>
  <c r="F32" i="106"/>
  <c r="F33" i="106"/>
  <c r="F34" i="106"/>
  <c r="F35" i="106"/>
  <c r="F36" i="106"/>
  <c r="F37" i="106"/>
  <c r="F38" i="106"/>
  <c r="F39" i="106"/>
  <c r="C40" i="106"/>
  <c r="E40" i="106"/>
  <c r="F40" i="106"/>
  <c r="G40" i="106" s="1"/>
  <c r="C41" i="106"/>
  <c r="E41" i="106"/>
  <c r="F41" i="106"/>
  <c r="G41" i="106" s="1"/>
  <c r="C42" i="106"/>
  <c r="E42" i="106"/>
  <c r="F42" i="106"/>
  <c r="G42" i="106" s="1"/>
  <c r="C43" i="106"/>
  <c r="E43" i="106"/>
  <c r="F43" i="106"/>
  <c r="G43" i="106" s="1"/>
  <c r="C44" i="106"/>
  <c r="E44" i="106"/>
  <c r="F44" i="106"/>
  <c r="G44" i="106" s="1"/>
  <c r="C45" i="106"/>
  <c r="E45" i="106"/>
  <c r="F45" i="106"/>
  <c r="G45" i="106" s="1"/>
  <c r="C46" i="106"/>
  <c r="E46" i="106"/>
  <c r="F46" i="106"/>
  <c r="G46" i="106" s="1"/>
  <c r="C47" i="106"/>
  <c r="E47" i="106"/>
  <c r="F47" i="106"/>
  <c r="G47" i="106" s="1"/>
  <c r="F48" i="106"/>
  <c r="F49" i="106"/>
  <c r="C50" i="106"/>
  <c r="E50" i="106"/>
  <c r="F50" i="106"/>
  <c r="G50" i="106" s="1"/>
  <c r="C51" i="106"/>
  <c r="E51" i="106"/>
  <c r="F51" i="106"/>
  <c r="G51" i="106" s="1"/>
  <c r="C52" i="106"/>
  <c r="E52" i="106"/>
  <c r="F52" i="106"/>
  <c r="G52" i="106" s="1"/>
  <c r="C53" i="106"/>
  <c r="E53" i="106"/>
  <c r="F53" i="106"/>
  <c r="G53" i="106" s="1"/>
  <c r="C54" i="106"/>
  <c r="E54" i="106"/>
  <c r="F54" i="106"/>
  <c r="G54" i="106" s="1"/>
  <c r="C55" i="106"/>
  <c r="E55" i="106"/>
  <c r="F55" i="106"/>
  <c r="G55" i="106" s="1"/>
  <c r="C56" i="106"/>
  <c r="E56" i="106"/>
  <c r="F56" i="106"/>
  <c r="G56" i="106" s="1"/>
  <c r="C57" i="106"/>
  <c r="E57" i="106"/>
  <c r="F57" i="106"/>
  <c r="G57" i="106" s="1"/>
  <c r="C58" i="106"/>
  <c r="E58" i="106"/>
  <c r="F58" i="106"/>
  <c r="G58" i="106" s="1"/>
  <c r="C59" i="106"/>
  <c r="E59" i="106"/>
  <c r="F59" i="106"/>
  <c r="G59" i="106" s="1"/>
  <c r="C60" i="106"/>
  <c r="E60" i="106"/>
  <c r="F60" i="106"/>
  <c r="G60" i="106" s="1"/>
  <c r="C61" i="106"/>
  <c r="E61" i="106"/>
  <c r="F61" i="106"/>
  <c r="G61" i="106" s="1"/>
  <c r="F62" i="106"/>
  <c r="C63" i="106"/>
  <c r="E63" i="106"/>
  <c r="F63" i="106"/>
  <c r="G63" i="106" s="1"/>
  <c r="C64" i="106"/>
  <c r="E64" i="106"/>
  <c r="F64" i="106"/>
  <c r="G64" i="106" s="1"/>
  <c r="C65" i="106"/>
  <c r="E65" i="106"/>
  <c r="F65" i="106"/>
  <c r="G65" i="106" s="1"/>
  <c r="C66" i="106"/>
  <c r="E66" i="106"/>
  <c r="F66" i="106"/>
  <c r="G66" i="106" s="1"/>
  <c r="C67" i="106"/>
  <c r="E67" i="106"/>
  <c r="F67" i="106"/>
  <c r="G67" i="106" s="1"/>
  <c r="C68" i="106"/>
  <c r="E68" i="106"/>
  <c r="F68" i="106"/>
  <c r="G68" i="106" s="1"/>
  <c r="C69" i="106"/>
  <c r="E69" i="106"/>
  <c r="F69" i="106"/>
  <c r="G69" i="106" s="1"/>
  <c r="C70" i="106"/>
  <c r="E70" i="106"/>
  <c r="F70" i="106"/>
  <c r="G70" i="106" s="1"/>
  <c r="C71" i="106"/>
  <c r="E71" i="106"/>
  <c r="F71" i="106"/>
  <c r="G71" i="106" s="1"/>
  <c r="C72" i="106"/>
  <c r="E72" i="106"/>
  <c r="F72" i="106"/>
  <c r="G72" i="106" s="1"/>
  <c r="C73" i="106"/>
  <c r="E73" i="106"/>
  <c r="F73" i="106"/>
  <c r="G73" i="106" s="1"/>
  <c r="F74" i="106"/>
  <c r="F75" i="106"/>
  <c r="C76" i="106"/>
  <c r="C77" i="106"/>
  <c r="C78" i="106"/>
  <c r="C79" i="106"/>
  <c r="C80" i="106"/>
  <c r="C81" i="106"/>
  <c r="F81" i="106"/>
  <c r="C82" i="106"/>
  <c r="C83" i="106"/>
  <c r="E83" i="106"/>
  <c r="G83" i="106"/>
  <c r="C84" i="106"/>
  <c r="E84" i="106"/>
  <c r="G84" i="106"/>
  <c r="C85" i="106"/>
  <c r="E85" i="106"/>
  <c r="G85" i="106"/>
  <c r="C86" i="106"/>
  <c r="E86" i="106"/>
  <c r="G86" i="106"/>
  <c r="C103" i="106"/>
  <c r="E103" i="106"/>
  <c r="F103" i="106"/>
  <c r="G103" i="106" s="1"/>
  <c r="C104" i="106"/>
  <c r="E104" i="106"/>
  <c r="F104" i="106"/>
  <c r="G104" i="106" s="1"/>
  <c r="C105" i="106"/>
  <c r="E105" i="106"/>
  <c r="F105" i="106"/>
  <c r="G105" i="106" s="1"/>
  <c r="C106" i="106"/>
  <c r="E106" i="106"/>
  <c r="F106" i="106"/>
  <c r="G106" i="106" s="1"/>
  <c r="C107" i="106"/>
  <c r="E107" i="106"/>
  <c r="F107" i="106"/>
  <c r="G107" i="106" s="1"/>
  <c r="C108" i="106"/>
  <c r="E108" i="106"/>
  <c r="F108" i="106"/>
  <c r="G108" i="106" s="1"/>
  <c r="C109" i="106"/>
  <c r="E109" i="106"/>
  <c r="F109" i="106"/>
  <c r="G109" i="106" s="1"/>
  <c r="C110" i="106"/>
  <c r="E110" i="106"/>
  <c r="F110" i="106"/>
  <c r="G110" i="106" s="1"/>
  <c r="C111" i="106"/>
  <c r="E111" i="106"/>
  <c r="F111" i="106"/>
  <c r="G111" i="106" s="1"/>
  <c r="C112" i="106"/>
  <c r="E112" i="106"/>
  <c r="F112" i="106"/>
  <c r="G112" i="106" s="1"/>
  <c r="C113" i="106"/>
  <c r="E113" i="106"/>
  <c r="F113" i="106"/>
  <c r="G113" i="106" s="1"/>
  <c r="F114" i="106"/>
  <c r="C115" i="106"/>
  <c r="E115" i="106"/>
  <c r="F115" i="106"/>
  <c r="G115" i="106" s="1"/>
  <c r="C116" i="106"/>
  <c r="E116" i="106"/>
  <c r="F116" i="106"/>
  <c r="G116" i="106" s="1"/>
  <c r="C117" i="106"/>
  <c r="E117" i="106"/>
  <c r="F117" i="106"/>
  <c r="G117" i="106" s="1"/>
  <c r="C118" i="106"/>
  <c r="E118" i="106"/>
  <c r="F118" i="106"/>
  <c r="G118" i="106" s="1"/>
  <c r="C119" i="106"/>
  <c r="E119" i="106"/>
  <c r="F119" i="106"/>
  <c r="G119" i="106" s="1"/>
  <c r="C120" i="106"/>
  <c r="E120" i="106"/>
  <c r="F120" i="106"/>
  <c r="G120" i="106" s="1"/>
  <c r="C121" i="106"/>
  <c r="E121" i="106"/>
  <c r="F121" i="106"/>
  <c r="G121" i="106" s="1"/>
  <c r="C122" i="106"/>
  <c r="E122" i="106"/>
  <c r="F122" i="106"/>
  <c r="G122" i="106" s="1"/>
  <c r="C123" i="106"/>
  <c r="E123" i="106"/>
  <c r="F123" i="106"/>
  <c r="G123" i="106" s="1"/>
  <c r="C124" i="106"/>
  <c r="E124" i="106"/>
  <c r="F124" i="106"/>
  <c r="G124" i="106" s="1"/>
  <c r="C125" i="106"/>
  <c r="E125" i="106"/>
  <c r="F125" i="106"/>
  <c r="G125" i="106" s="1"/>
  <c r="F127" i="106"/>
  <c r="C128" i="106"/>
  <c r="E128" i="106"/>
  <c r="F128" i="106"/>
  <c r="G128" i="106" s="1"/>
  <c r="C129" i="106"/>
  <c r="E129" i="106"/>
  <c r="F129" i="106"/>
  <c r="G129" i="106" s="1"/>
  <c r="C130" i="106"/>
  <c r="E130" i="106"/>
  <c r="F130" i="106"/>
  <c r="G130" i="106" s="1"/>
  <c r="C131" i="106"/>
  <c r="E131" i="106"/>
  <c r="F131" i="106"/>
  <c r="G131" i="106" s="1"/>
  <c r="C132" i="106"/>
  <c r="E132" i="106"/>
  <c r="F132" i="106"/>
  <c r="G132" i="106" s="1"/>
  <c r="C133" i="106"/>
  <c r="E133" i="106"/>
  <c r="F133" i="106"/>
  <c r="G133" i="106" s="1"/>
  <c r="C134" i="106"/>
  <c r="E134" i="106"/>
  <c r="F134" i="106"/>
  <c r="G134" i="106" s="1"/>
  <c r="C135" i="106"/>
  <c r="E135" i="106"/>
  <c r="F135" i="106"/>
  <c r="G135" i="106" s="1"/>
  <c r="C136" i="106"/>
  <c r="E136" i="106"/>
  <c r="F136" i="106"/>
  <c r="G136" i="106" s="1"/>
  <c r="C137" i="106"/>
  <c r="E137" i="106"/>
  <c r="F137" i="106"/>
  <c r="G137" i="106" s="1"/>
  <c r="F139" i="106"/>
  <c r="C140" i="106"/>
  <c r="E140" i="106"/>
  <c r="F140" i="106"/>
  <c r="G140" i="106" s="1"/>
  <c r="C141" i="106"/>
  <c r="E141" i="106"/>
  <c r="F141" i="106"/>
  <c r="G141" i="106" s="1"/>
  <c r="C142" i="106"/>
  <c r="E142" i="106"/>
  <c r="F142" i="106"/>
  <c r="G142" i="106" s="1"/>
  <c r="C143" i="106"/>
  <c r="E143" i="106"/>
  <c r="F143" i="106"/>
  <c r="G143" i="106" s="1"/>
  <c r="C144" i="106"/>
  <c r="E144" i="106"/>
  <c r="F144" i="106"/>
  <c r="G144" i="106" s="1"/>
  <c r="C145" i="106"/>
  <c r="E145" i="106"/>
  <c r="F145" i="106"/>
  <c r="G145" i="106" s="1"/>
  <c r="C146" i="106"/>
  <c r="E146" i="106"/>
  <c r="F146" i="106"/>
  <c r="G146" i="106" s="1"/>
  <c r="C150" i="106"/>
  <c r="E150" i="106"/>
  <c r="F150" i="106"/>
  <c r="G150" i="106" s="1"/>
  <c r="F152" i="106"/>
  <c r="G153" i="106"/>
  <c r="C164" i="106"/>
  <c r="F165" i="106"/>
  <c r="E167" i="106"/>
  <c r="F167" i="106"/>
  <c r="G167" i="106" s="1"/>
  <c r="C168" i="106"/>
  <c r="E168" i="106"/>
  <c r="F168" i="106"/>
  <c r="G168" i="106" s="1"/>
  <c r="F178" i="106"/>
  <c r="F191" i="106"/>
  <c r="C198" i="106"/>
  <c r="F204" i="106"/>
  <c r="C212" i="106"/>
  <c r="E212" i="106"/>
  <c r="F212" i="106"/>
  <c r="G212" i="106" s="1"/>
  <c r="C213" i="106"/>
  <c r="E213" i="106"/>
  <c r="F213" i="106"/>
  <c r="G213" i="106" s="1"/>
  <c r="C214" i="106"/>
  <c r="E214" i="106"/>
  <c r="F214" i="106"/>
  <c r="G214" i="106" s="1"/>
  <c r="C215" i="106"/>
  <c r="E215" i="106"/>
  <c r="F215" i="106"/>
  <c r="G215" i="106" s="1"/>
  <c r="F217" i="106"/>
  <c r="C218" i="106"/>
  <c r="E218" i="106"/>
  <c r="F218" i="106"/>
  <c r="G218" i="106" s="1"/>
  <c r="C219" i="106"/>
  <c r="E219" i="106"/>
  <c r="F219" i="106"/>
  <c r="G219" i="106" s="1"/>
  <c r="C220" i="106"/>
  <c r="E220" i="106"/>
  <c r="F220" i="106"/>
  <c r="G220" i="106" s="1"/>
  <c r="C221" i="106"/>
  <c r="E221" i="106"/>
  <c r="F221" i="106"/>
  <c r="G221" i="106" s="1"/>
  <c r="C222" i="106"/>
  <c r="E222" i="106"/>
  <c r="F222" i="106"/>
  <c r="G222" i="106" s="1"/>
  <c r="C223" i="106"/>
  <c r="E223" i="106"/>
  <c r="F223" i="106"/>
  <c r="G223" i="106" s="1"/>
  <c r="C224" i="106"/>
  <c r="E224" i="106"/>
  <c r="F224" i="106"/>
  <c r="G224" i="106" s="1"/>
  <c r="C225" i="106"/>
  <c r="E225" i="106"/>
  <c r="F225" i="106"/>
  <c r="G225" i="106" s="1"/>
  <c r="C226" i="106"/>
  <c r="E226" i="106"/>
  <c r="F226" i="106"/>
  <c r="G226" i="106" s="1"/>
  <c r="C227" i="106"/>
  <c r="E227" i="106"/>
  <c r="F227" i="106"/>
  <c r="G227" i="106" s="1"/>
  <c r="C228" i="106"/>
  <c r="E228" i="106"/>
  <c r="F228" i="106"/>
  <c r="G228" i="106" s="1"/>
  <c r="C229" i="106"/>
  <c r="E229" i="106"/>
  <c r="F229" i="106"/>
  <c r="G229" i="106" s="1"/>
  <c r="C231" i="106"/>
  <c r="E231" i="106"/>
  <c r="G231" i="106"/>
  <c r="C232" i="106"/>
  <c r="E232" i="106"/>
  <c r="C233" i="106"/>
  <c r="E233" i="106"/>
  <c r="C234" i="106"/>
  <c r="E234" i="106"/>
  <c r="C235" i="106"/>
  <c r="E235" i="106"/>
  <c r="F235" i="106"/>
  <c r="G235" i="106" s="1"/>
  <c r="C236" i="106"/>
  <c r="E236" i="106"/>
  <c r="F236" i="106"/>
  <c r="G236" i="106" s="1"/>
  <c r="C237" i="106"/>
  <c r="E237" i="106"/>
  <c r="F237" i="106"/>
  <c r="G237" i="106" s="1"/>
  <c r="C238" i="106"/>
  <c r="E238" i="106"/>
  <c r="F238" i="106"/>
  <c r="G238" i="106" s="1"/>
  <c r="C239" i="106"/>
  <c r="E239" i="106"/>
  <c r="F239" i="106"/>
  <c r="G239" i="106" s="1"/>
  <c r="C240" i="106"/>
  <c r="E240" i="106"/>
  <c r="F240" i="106"/>
  <c r="G240" i="106" s="1"/>
  <c r="DC35" i="102" l="1"/>
  <c r="DC31" i="102"/>
  <c r="DC27" i="102"/>
  <c r="DC23" i="102"/>
  <c r="DC19" i="102"/>
  <c r="DC15" i="102"/>
  <c r="DC11" i="102"/>
  <c r="DD35" i="99"/>
  <c r="DD31" i="99"/>
  <c r="DD27" i="99"/>
  <c r="DD23" i="99"/>
  <c r="DD19" i="99"/>
  <c r="DD15" i="99"/>
  <c r="DD11" i="99"/>
  <c r="L237" i="15"/>
  <c r="J237" i="15"/>
  <c r="H237" i="15"/>
  <c r="F237" i="15"/>
  <c r="D237" i="15"/>
  <c r="CR35" i="105" l="1"/>
  <c r="CQ35" i="105"/>
  <c r="CP35" i="105"/>
  <c r="CO35" i="105"/>
  <c r="CN35" i="105"/>
  <c r="CM35" i="105"/>
  <c r="CL35" i="105"/>
  <c r="CK35" i="105"/>
  <c r="CJ35" i="105"/>
  <c r="CI35" i="105"/>
  <c r="CH35" i="105"/>
  <c r="CG35" i="105"/>
  <c r="CF35" i="105"/>
  <c r="CE35" i="105"/>
  <c r="BD35" i="105"/>
  <c r="AR35" i="105"/>
  <c r="AP35" i="105"/>
  <c r="AO35" i="105"/>
  <c r="AN35" i="105"/>
  <c r="AM35" i="105"/>
  <c r="AK35" i="105"/>
  <c r="AJ35" i="105"/>
  <c r="AH35" i="105"/>
  <c r="AB35" i="105"/>
  <c r="V35" i="105"/>
  <c r="U35" i="105"/>
  <c r="T35" i="105"/>
  <c r="S35" i="105"/>
  <c r="R35" i="105"/>
  <c r="Q35" i="105"/>
  <c r="P35" i="105"/>
  <c r="O35" i="105"/>
  <c r="N35" i="105"/>
  <c r="M35" i="105"/>
  <c r="L35" i="105"/>
  <c r="K35" i="105"/>
  <c r="J35" i="105"/>
  <c r="I35" i="105"/>
  <c r="H35" i="105"/>
  <c r="G35" i="105"/>
  <c r="F35" i="105"/>
  <c r="E35" i="105"/>
  <c r="D35" i="105"/>
  <c r="C35" i="105"/>
  <c r="B35" i="105"/>
  <c r="CR31" i="105"/>
  <c r="CQ31" i="105"/>
  <c r="CP31" i="105"/>
  <c r="CO31" i="105"/>
  <c r="CN31" i="105"/>
  <c r="CM31" i="105"/>
  <c r="CL31" i="105"/>
  <c r="CK31" i="105"/>
  <c r="CJ31" i="105"/>
  <c r="CI31" i="105"/>
  <c r="CH31" i="105"/>
  <c r="CG31" i="105"/>
  <c r="CF31" i="105"/>
  <c r="CE31" i="105"/>
  <c r="BD31" i="105"/>
  <c r="AT31" i="105"/>
  <c r="AR31" i="105"/>
  <c r="AP31" i="105"/>
  <c r="AO31" i="105"/>
  <c r="AN31" i="105"/>
  <c r="AM31" i="105"/>
  <c r="AK31" i="105"/>
  <c r="AJ31" i="105"/>
  <c r="AH31" i="105"/>
  <c r="AB31" i="105"/>
  <c r="V31" i="105"/>
  <c r="U31" i="105"/>
  <c r="T31" i="105"/>
  <c r="S31" i="105"/>
  <c r="R31" i="105"/>
  <c r="Q31" i="105"/>
  <c r="P31" i="105"/>
  <c r="O31" i="105"/>
  <c r="N31" i="105"/>
  <c r="M31" i="105"/>
  <c r="L31" i="105"/>
  <c r="K31" i="105"/>
  <c r="J31" i="105"/>
  <c r="I31" i="105"/>
  <c r="H31" i="105"/>
  <c r="G31" i="105"/>
  <c r="F31" i="105"/>
  <c r="E31" i="105"/>
  <c r="D31" i="105"/>
  <c r="C31" i="105"/>
  <c r="B31" i="105"/>
  <c r="CR27" i="105"/>
  <c r="CQ27" i="105"/>
  <c r="CP27" i="105"/>
  <c r="CO27" i="105"/>
  <c r="CN27" i="105"/>
  <c r="CM27" i="105"/>
  <c r="CL27" i="105"/>
  <c r="CK27" i="105"/>
  <c r="CJ27" i="105"/>
  <c r="CI27" i="105"/>
  <c r="CH27" i="105"/>
  <c r="CG27" i="105"/>
  <c r="CF27" i="105"/>
  <c r="CE27" i="105"/>
  <c r="BD27" i="105"/>
  <c r="AR27" i="105"/>
  <c r="AP27" i="105"/>
  <c r="AO27" i="105"/>
  <c r="AN27" i="105"/>
  <c r="AM27" i="105"/>
  <c r="AK27" i="105"/>
  <c r="AJ27" i="105"/>
  <c r="AH27" i="105"/>
  <c r="AB27" i="105"/>
  <c r="V27" i="105"/>
  <c r="U27" i="105"/>
  <c r="T27" i="105"/>
  <c r="S27" i="105"/>
  <c r="R27" i="105"/>
  <c r="Q27" i="105"/>
  <c r="P27" i="105"/>
  <c r="O27" i="105"/>
  <c r="N27" i="105"/>
  <c r="M27" i="105"/>
  <c r="L27" i="105"/>
  <c r="K27" i="105"/>
  <c r="J27" i="105"/>
  <c r="I27" i="105"/>
  <c r="H27" i="105"/>
  <c r="G27" i="105"/>
  <c r="F27" i="105"/>
  <c r="E27" i="105"/>
  <c r="D27" i="105"/>
  <c r="C27" i="105"/>
  <c r="B27" i="105"/>
  <c r="AT26" i="105"/>
  <c r="AT34" i="105" s="1"/>
  <c r="AT25" i="105"/>
  <c r="AT33" i="105" s="1"/>
  <c r="CR23" i="105"/>
  <c r="CQ23" i="105"/>
  <c r="CP23" i="105"/>
  <c r="CO23" i="105"/>
  <c r="CN23" i="105"/>
  <c r="CM23" i="105"/>
  <c r="CL23" i="105"/>
  <c r="CK23" i="105"/>
  <c r="CJ23" i="105"/>
  <c r="CI23" i="105"/>
  <c r="CH23" i="105"/>
  <c r="CG23" i="105"/>
  <c r="CF23" i="105"/>
  <c r="CE23" i="105"/>
  <c r="BD23" i="105"/>
  <c r="AR23" i="105"/>
  <c r="AP23" i="105"/>
  <c r="AO23" i="105"/>
  <c r="AN23" i="105"/>
  <c r="AM23" i="105"/>
  <c r="AK23" i="105"/>
  <c r="AJ23" i="105"/>
  <c r="AH23" i="105"/>
  <c r="AB23" i="105"/>
  <c r="V23" i="105"/>
  <c r="U23" i="105"/>
  <c r="T23" i="105"/>
  <c r="S23" i="105"/>
  <c r="R23" i="105"/>
  <c r="Q23" i="105"/>
  <c r="P23" i="105"/>
  <c r="O23" i="105"/>
  <c r="N23" i="105"/>
  <c r="M23" i="105"/>
  <c r="L23" i="105"/>
  <c r="K23" i="105"/>
  <c r="J23" i="105"/>
  <c r="I23" i="105"/>
  <c r="H23" i="105"/>
  <c r="G23" i="105"/>
  <c r="F23" i="105"/>
  <c r="E23" i="105"/>
  <c r="D23" i="105"/>
  <c r="C23" i="105"/>
  <c r="B23" i="105"/>
  <c r="AT22" i="105"/>
  <c r="AT21" i="105"/>
  <c r="CR19" i="105"/>
  <c r="CQ19" i="105"/>
  <c r="CP19" i="105"/>
  <c r="CO19" i="105"/>
  <c r="CN19" i="105"/>
  <c r="CM19" i="105"/>
  <c r="CL19" i="105"/>
  <c r="CK19" i="105"/>
  <c r="CJ19" i="105"/>
  <c r="CI19" i="105"/>
  <c r="CH19" i="105"/>
  <c r="CG19" i="105"/>
  <c r="CF19" i="105"/>
  <c r="CE19" i="105"/>
  <c r="BD19" i="105"/>
  <c r="AT19" i="105"/>
  <c r="AR19" i="105"/>
  <c r="AP19" i="105"/>
  <c r="AO19" i="105"/>
  <c r="AN19" i="105"/>
  <c r="AM19" i="105"/>
  <c r="AK19" i="105"/>
  <c r="AJ19" i="105"/>
  <c r="AH19" i="105"/>
  <c r="AB19" i="105"/>
  <c r="V19" i="105"/>
  <c r="U19" i="105"/>
  <c r="T19" i="105"/>
  <c r="S19" i="105"/>
  <c r="R19" i="105"/>
  <c r="Q19" i="105"/>
  <c r="P19" i="105"/>
  <c r="O19" i="105"/>
  <c r="N19" i="105"/>
  <c r="M19" i="105"/>
  <c r="L19" i="105"/>
  <c r="K19" i="105"/>
  <c r="J19" i="105"/>
  <c r="I19" i="105"/>
  <c r="H19" i="105"/>
  <c r="G19" i="105"/>
  <c r="F19" i="105"/>
  <c r="E19" i="105"/>
  <c r="D19" i="105"/>
  <c r="C19" i="105"/>
  <c r="B19" i="105"/>
  <c r="CR15" i="105"/>
  <c r="CQ15" i="105"/>
  <c r="CP15" i="105"/>
  <c r="CO15" i="105"/>
  <c r="CN15" i="105"/>
  <c r="CM15" i="105"/>
  <c r="CL15" i="105"/>
  <c r="CK15" i="105"/>
  <c r="CJ15" i="105"/>
  <c r="CI15" i="105"/>
  <c r="CH15" i="105"/>
  <c r="CG15" i="105"/>
  <c r="CF15" i="105"/>
  <c r="CE15" i="105"/>
  <c r="BD15" i="105"/>
  <c r="AT15" i="105"/>
  <c r="AR15" i="105"/>
  <c r="AP15" i="105"/>
  <c r="AO15" i="105"/>
  <c r="AN15" i="105"/>
  <c r="AM15" i="105"/>
  <c r="AK15" i="105"/>
  <c r="AJ15" i="105"/>
  <c r="AH15" i="105"/>
  <c r="AB15" i="105"/>
  <c r="V15" i="105"/>
  <c r="U15" i="105"/>
  <c r="T15" i="105"/>
  <c r="S15" i="105"/>
  <c r="R15" i="105"/>
  <c r="Q15" i="105"/>
  <c r="P15" i="105"/>
  <c r="O15" i="105"/>
  <c r="N15" i="105"/>
  <c r="M15" i="105"/>
  <c r="L15" i="105"/>
  <c r="K15" i="105"/>
  <c r="J15" i="105"/>
  <c r="I15" i="105"/>
  <c r="H15" i="105"/>
  <c r="G15" i="105"/>
  <c r="F15" i="105"/>
  <c r="E15" i="105"/>
  <c r="D15" i="105"/>
  <c r="C15" i="105"/>
  <c r="B15" i="105"/>
  <c r="CR11" i="105"/>
  <c r="CQ11" i="105"/>
  <c r="CP11" i="105"/>
  <c r="CO11" i="105"/>
  <c r="CN11" i="105"/>
  <c r="CM11" i="105"/>
  <c r="CL11" i="105"/>
  <c r="CK11" i="105"/>
  <c r="CJ11" i="105"/>
  <c r="CI11" i="105"/>
  <c r="CH11" i="105"/>
  <c r="CG11" i="105"/>
  <c r="CF11" i="105"/>
  <c r="CE11" i="105"/>
  <c r="BD11" i="105"/>
  <c r="AT11" i="105"/>
  <c r="AR11" i="105"/>
  <c r="AP11" i="105"/>
  <c r="AO11" i="105"/>
  <c r="AN11" i="105"/>
  <c r="AM11" i="105"/>
  <c r="AK11" i="105"/>
  <c r="AJ11" i="105"/>
  <c r="AH11" i="105"/>
  <c r="AB11" i="105"/>
  <c r="V11" i="105"/>
  <c r="U11" i="105"/>
  <c r="T11" i="105"/>
  <c r="S11" i="105"/>
  <c r="R11" i="105"/>
  <c r="Q11" i="105"/>
  <c r="P11" i="105"/>
  <c r="O11" i="105"/>
  <c r="N11" i="105"/>
  <c r="M11" i="105"/>
  <c r="L11" i="105"/>
  <c r="K11" i="105"/>
  <c r="J11" i="105"/>
  <c r="I11" i="105"/>
  <c r="H11" i="105"/>
  <c r="G11" i="105"/>
  <c r="F11" i="105"/>
  <c r="E11" i="105"/>
  <c r="D11" i="105"/>
  <c r="C11" i="105"/>
  <c r="B11" i="105"/>
  <c r="CR35" i="104"/>
  <c r="CQ35" i="104"/>
  <c r="CP35" i="104"/>
  <c r="CO35" i="104"/>
  <c r="CN35" i="104"/>
  <c r="CM35" i="104"/>
  <c r="CL35" i="104"/>
  <c r="CK35" i="104"/>
  <c r="CJ35" i="104"/>
  <c r="CI35" i="104"/>
  <c r="CH35" i="104"/>
  <c r="CG35" i="104"/>
  <c r="CF35" i="104"/>
  <c r="CE35" i="104"/>
  <c r="BD35" i="104"/>
  <c r="AS35" i="104"/>
  <c r="AR35" i="104"/>
  <c r="AP35" i="104"/>
  <c r="AO35" i="104"/>
  <c r="AN35" i="104"/>
  <c r="AM35" i="104"/>
  <c r="AK35" i="104"/>
  <c r="AJ35" i="104"/>
  <c r="AH35" i="104"/>
  <c r="AB35" i="104"/>
  <c r="V35" i="104"/>
  <c r="U35" i="104"/>
  <c r="T35" i="104"/>
  <c r="S35" i="104"/>
  <c r="R35" i="104"/>
  <c r="Q35" i="104"/>
  <c r="P35" i="104"/>
  <c r="O35" i="104"/>
  <c r="N35" i="104"/>
  <c r="M35" i="104"/>
  <c r="L35" i="104"/>
  <c r="K35" i="104"/>
  <c r="J35" i="104"/>
  <c r="I35" i="104"/>
  <c r="H35" i="104"/>
  <c r="G35" i="104"/>
  <c r="F35" i="104"/>
  <c r="E35" i="104"/>
  <c r="D35" i="104"/>
  <c r="C35" i="104"/>
  <c r="B35" i="104"/>
  <c r="CR31" i="104"/>
  <c r="CQ31" i="104"/>
  <c r="CP31" i="104"/>
  <c r="CO31" i="104"/>
  <c r="CN31" i="104"/>
  <c r="CM31" i="104"/>
  <c r="CL31" i="104"/>
  <c r="CK31" i="104"/>
  <c r="CJ31" i="104"/>
  <c r="CI31" i="104"/>
  <c r="CH31" i="104"/>
  <c r="CG31" i="104"/>
  <c r="CF31" i="104"/>
  <c r="CE31" i="104"/>
  <c r="BD31" i="104"/>
  <c r="AT31" i="104"/>
  <c r="AS31" i="104"/>
  <c r="AR31" i="104"/>
  <c r="AP31" i="104"/>
  <c r="AO31" i="104"/>
  <c r="AN31" i="104"/>
  <c r="AM31" i="104"/>
  <c r="AK31" i="104"/>
  <c r="AJ31" i="104"/>
  <c r="AH31" i="104"/>
  <c r="AB31" i="104"/>
  <c r="V31" i="104"/>
  <c r="U31" i="104"/>
  <c r="T31" i="104"/>
  <c r="S31" i="104"/>
  <c r="R31" i="104"/>
  <c r="Q31" i="104"/>
  <c r="P31" i="104"/>
  <c r="O31" i="104"/>
  <c r="N31" i="104"/>
  <c r="M31" i="104"/>
  <c r="L31" i="104"/>
  <c r="K31" i="104"/>
  <c r="J31" i="104"/>
  <c r="I31" i="104"/>
  <c r="H31" i="104"/>
  <c r="G31" i="104"/>
  <c r="F31" i="104"/>
  <c r="E31" i="104"/>
  <c r="D31" i="104"/>
  <c r="C31" i="104"/>
  <c r="B31" i="104"/>
  <c r="CR27" i="104"/>
  <c r="CQ27" i="104"/>
  <c r="CP27" i="104"/>
  <c r="CO27" i="104"/>
  <c r="CN27" i="104"/>
  <c r="CM27" i="104"/>
  <c r="CL27" i="104"/>
  <c r="CK27" i="104"/>
  <c r="CJ27" i="104"/>
  <c r="CI27" i="104"/>
  <c r="CH27" i="104"/>
  <c r="CG27" i="104"/>
  <c r="CF27" i="104"/>
  <c r="CE27" i="104"/>
  <c r="BD27" i="104"/>
  <c r="AS27" i="104"/>
  <c r="AR27" i="104"/>
  <c r="AP27" i="104"/>
  <c r="AO27" i="104"/>
  <c r="AN27" i="104"/>
  <c r="AM27" i="104"/>
  <c r="AK27" i="104"/>
  <c r="AJ27" i="104"/>
  <c r="AH27" i="104"/>
  <c r="AB27" i="104"/>
  <c r="V27" i="104"/>
  <c r="U27" i="104"/>
  <c r="T27" i="104"/>
  <c r="S27" i="104"/>
  <c r="R27" i="104"/>
  <c r="Q27" i="104"/>
  <c r="P27" i="104"/>
  <c r="O27" i="104"/>
  <c r="N27" i="104"/>
  <c r="M27" i="104"/>
  <c r="L27" i="104"/>
  <c r="K27" i="104"/>
  <c r="J27" i="104"/>
  <c r="I27" i="104"/>
  <c r="H27" i="104"/>
  <c r="G27" i="104"/>
  <c r="F27" i="104"/>
  <c r="E27" i="104"/>
  <c r="D27" i="104"/>
  <c r="C27" i="104"/>
  <c r="B27" i="104"/>
  <c r="AT26" i="104"/>
  <c r="AT34" i="104" s="1"/>
  <c r="AT25" i="104"/>
  <c r="AT33" i="104" s="1"/>
  <c r="CR23" i="104"/>
  <c r="CQ23" i="104"/>
  <c r="CP23" i="104"/>
  <c r="CO23" i="104"/>
  <c r="CN23" i="104"/>
  <c r="CM23" i="104"/>
  <c r="CL23" i="104"/>
  <c r="CK23" i="104"/>
  <c r="CJ23" i="104"/>
  <c r="CI23" i="104"/>
  <c r="CH23" i="104"/>
  <c r="CG23" i="104"/>
  <c r="CF23" i="104"/>
  <c r="CE23" i="104"/>
  <c r="BD23" i="104"/>
  <c r="AS23" i="104"/>
  <c r="AR23" i="104"/>
  <c r="AP23" i="104"/>
  <c r="AO23" i="104"/>
  <c r="AN23" i="104"/>
  <c r="AM23" i="104"/>
  <c r="AK23" i="104"/>
  <c r="AJ23" i="104"/>
  <c r="AH23" i="104"/>
  <c r="AB23" i="104"/>
  <c r="V23" i="104"/>
  <c r="U23" i="104"/>
  <c r="T23" i="104"/>
  <c r="S23" i="104"/>
  <c r="R23" i="104"/>
  <c r="Q23" i="104"/>
  <c r="P23" i="104"/>
  <c r="O23" i="104"/>
  <c r="N23" i="104"/>
  <c r="M23" i="104"/>
  <c r="L23" i="104"/>
  <c r="K23" i="104"/>
  <c r="J23" i="104"/>
  <c r="I23" i="104"/>
  <c r="H23" i="104"/>
  <c r="G23" i="104"/>
  <c r="F23" i="104"/>
  <c r="E23" i="104"/>
  <c r="D23" i="104"/>
  <c r="C23" i="104"/>
  <c r="B23" i="104"/>
  <c r="AT22" i="104"/>
  <c r="AT21" i="104"/>
  <c r="CR19" i="104"/>
  <c r="CQ19" i="104"/>
  <c r="CP19" i="104"/>
  <c r="CO19" i="104"/>
  <c r="CN19" i="104"/>
  <c r="CM19" i="104"/>
  <c r="CL19" i="104"/>
  <c r="CK19" i="104"/>
  <c r="CJ19" i="104"/>
  <c r="CI19" i="104"/>
  <c r="CH19" i="104"/>
  <c r="CG19" i="104"/>
  <c r="CF19" i="104"/>
  <c r="CE19" i="104"/>
  <c r="BD19" i="104"/>
  <c r="AT19" i="104"/>
  <c r="AS19" i="104"/>
  <c r="AR19" i="104"/>
  <c r="AP19" i="104"/>
  <c r="AO19" i="104"/>
  <c r="AN19" i="104"/>
  <c r="AM19" i="104"/>
  <c r="AK19" i="104"/>
  <c r="AJ19" i="104"/>
  <c r="AH19" i="104"/>
  <c r="AB19" i="104"/>
  <c r="V19" i="104"/>
  <c r="U19" i="104"/>
  <c r="T19" i="104"/>
  <c r="S19" i="104"/>
  <c r="R19" i="104"/>
  <c r="Q19" i="104"/>
  <c r="P19" i="104"/>
  <c r="O19" i="104"/>
  <c r="N19" i="104"/>
  <c r="M19" i="104"/>
  <c r="L19" i="104"/>
  <c r="K19" i="104"/>
  <c r="J19" i="104"/>
  <c r="I19" i="104"/>
  <c r="H19" i="104"/>
  <c r="G19" i="104"/>
  <c r="F19" i="104"/>
  <c r="E19" i="104"/>
  <c r="D19" i="104"/>
  <c r="C19" i="104"/>
  <c r="B19" i="104"/>
  <c r="CR15" i="104"/>
  <c r="CQ15" i="104"/>
  <c r="CP15" i="104"/>
  <c r="CO15" i="104"/>
  <c r="CN15" i="104"/>
  <c r="CM15" i="104"/>
  <c r="CL15" i="104"/>
  <c r="CK15" i="104"/>
  <c r="CJ15" i="104"/>
  <c r="CI15" i="104"/>
  <c r="CH15" i="104"/>
  <c r="CG15" i="104"/>
  <c r="CF15" i="104"/>
  <c r="CE15" i="104"/>
  <c r="BD15" i="104"/>
  <c r="AT15" i="104"/>
  <c r="AS15" i="104"/>
  <c r="AR15" i="104"/>
  <c r="AP15" i="104"/>
  <c r="AO15" i="104"/>
  <c r="AN15" i="104"/>
  <c r="AM15" i="104"/>
  <c r="AK15" i="104"/>
  <c r="AJ15" i="104"/>
  <c r="AH15" i="104"/>
  <c r="AB15" i="104"/>
  <c r="V15" i="104"/>
  <c r="U15" i="104"/>
  <c r="T15" i="104"/>
  <c r="S15" i="104"/>
  <c r="R15" i="104"/>
  <c r="Q15" i="104"/>
  <c r="P15" i="104"/>
  <c r="O15" i="104"/>
  <c r="N15" i="104"/>
  <c r="M15" i="104"/>
  <c r="L15" i="104"/>
  <c r="K15" i="104"/>
  <c r="J15" i="104"/>
  <c r="I15" i="104"/>
  <c r="H15" i="104"/>
  <c r="G15" i="104"/>
  <c r="F15" i="104"/>
  <c r="E15" i="104"/>
  <c r="D15" i="104"/>
  <c r="C15" i="104"/>
  <c r="B15" i="104"/>
  <c r="CR11" i="104"/>
  <c r="CQ11" i="104"/>
  <c r="CP11" i="104"/>
  <c r="CO11" i="104"/>
  <c r="CN11" i="104"/>
  <c r="CM11" i="104"/>
  <c r="CL11" i="104"/>
  <c r="CK11" i="104"/>
  <c r="CJ11" i="104"/>
  <c r="CI11" i="104"/>
  <c r="CH11" i="104"/>
  <c r="CG11" i="104"/>
  <c r="CF11" i="104"/>
  <c r="CE11" i="104"/>
  <c r="BD11" i="104"/>
  <c r="AT11" i="104"/>
  <c r="AS11" i="104"/>
  <c r="AR11" i="104"/>
  <c r="AP11" i="104"/>
  <c r="AO11" i="104"/>
  <c r="AN11" i="104"/>
  <c r="AM11" i="104"/>
  <c r="AK11" i="104"/>
  <c r="AJ11" i="104"/>
  <c r="AH11" i="104"/>
  <c r="AB11" i="104"/>
  <c r="V11" i="104"/>
  <c r="U11" i="104"/>
  <c r="T11" i="104"/>
  <c r="S11" i="104"/>
  <c r="R11" i="104"/>
  <c r="Q11" i="104"/>
  <c r="P11" i="104"/>
  <c r="O11" i="104"/>
  <c r="N11" i="104"/>
  <c r="M11" i="104"/>
  <c r="L11" i="104"/>
  <c r="K11" i="104"/>
  <c r="J11" i="104"/>
  <c r="I11" i="104"/>
  <c r="H11" i="104"/>
  <c r="G11" i="104"/>
  <c r="F11" i="104"/>
  <c r="E11" i="104"/>
  <c r="D11" i="104"/>
  <c r="C11" i="104"/>
  <c r="B11" i="104"/>
  <c r="CS35" i="103"/>
  <c r="CR35" i="103"/>
  <c r="CQ35" i="103"/>
  <c r="CP35" i="103"/>
  <c r="CO35" i="103"/>
  <c r="CN35" i="103"/>
  <c r="CM35" i="103"/>
  <c r="CL35" i="103"/>
  <c r="CK35" i="103"/>
  <c r="CJ35" i="103"/>
  <c r="CI35" i="103"/>
  <c r="CH35" i="103"/>
  <c r="CG35" i="103"/>
  <c r="CF35" i="103"/>
  <c r="CE35" i="103"/>
  <c r="BD35" i="103"/>
  <c r="AS35" i="103"/>
  <c r="AR35" i="103"/>
  <c r="AP35" i="103"/>
  <c r="AO35" i="103"/>
  <c r="AN35" i="103"/>
  <c r="AM35" i="103"/>
  <c r="AK35" i="103"/>
  <c r="AJ35" i="103"/>
  <c r="AH35" i="103"/>
  <c r="V35" i="103"/>
  <c r="U35" i="103"/>
  <c r="T35" i="103"/>
  <c r="S35" i="103"/>
  <c r="R35" i="103"/>
  <c r="Q35" i="103"/>
  <c r="P35" i="103"/>
  <c r="O35" i="103"/>
  <c r="N35" i="103"/>
  <c r="M35" i="103"/>
  <c r="L35" i="103"/>
  <c r="K35" i="103"/>
  <c r="J35" i="103"/>
  <c r="I35" i="103"/>
  <c r="H35" i="103"/>
  <c r="G35" i="103"/>
  <c r="F35" i="103"/>
  <c r="E35" i="103"/>
  <c r="D35" i="103"/>
  <c r="C35" i="103"/>
  <c r="B35" i="103"/>
  <c r="CS31" i="103"/>
  <c r="CR31" i="103"/>
  <c r="CQ31" i="103"/>
  <c r="CP31" i="103"/>
  <c r="CO31" i="103"/>
  <c r="CN31" i="103"/>
  <c r="CM31" i="103"/>
  <c r="CL31" i="103"/>
  <c r="CK31" i="103"/>
  <c r="CJ31" i="103"/>
  <c r="CI31" i="103"/>
  <c r="CH31" i="103"/>
  <c r="CG31" i="103"/>
  <c r="CF31" i="103"/>
  <c r="CE31" i="103"/>
  <c r="BD31" i="103"/>
  <c r="AT31" i="103"/>
  <c r="AS31" i="103"/>
  <c r="AR31" i="103"/>
  <c r="AP31" i="103"/>
  <c r="AO31" i="103"/>
  <c r="AN31" i="103"/>
  <c r="AM31" i="103"/>
  <c r="AK31" i="103"/>
  <c r="AJ31" i="103"/>
  <c r="AH31" i="103"/>
  <c r="V31" i="103"/>
  <c r="U31" i="103"/>
  <c r="T31" i="103"/>
  <c r="S31" i="103"/>
  <c r="R31" i="103"/>
  <c r="Q31" i="103"/>
  <c r="P31" i="103"/>
  <c r="O31" i="103"/>
  <c r="N31" i="103"/>
  <c r="M31" i="103"/>
  <c r="L31" i="103"/>
  <c r="K31" i="103"/>
  <c r="J31" i="103"/>
  <c r="I31" i="103"/>
  <c r="H31" i="103"/>
  <c r="G31" i="103"/>
  <c r="F31" i="103"/>
  <c r="E31" i="103"/>
  <c r="D31" i="103"/>
  <c r="C31" i="103"/>
  <c r="B31" i="103"/>
  <c r="CS27" i="103"/>
  <c r="CR27" i="103"/>
  <c r="CQ27" i="103"/>
  <c r="CP27" i="103"/>
  <c r="CO27" i="103"/>
  <c r="BD27" i="103"/>
  <c r="AS27" i="103"/>
  <c r="AR27" i="103"/>
  <c r="AP27" i="103"/>
  <c r="AO27" i="103"/>
  <c r="AN27" i="103"/>
  <c r="AM27" i="103"/>
  <c r="AK27" i="103"/>
  <c r="AJ27" i="103"/>
  <c r="AH27" i="103"/>
  <c r="V27" i="103"/>
  <c r="U27" i="103"/>
  <c r="T27" i="103"/>
  <c r="S27" i="103"/>
  <c r="R27" i="103"/>
  <c r="Q27" i="103"/>
  <c r="P27" i="103"/>
  <c r="O27" i="103"/>
  <c r="N27" i="103"/>
  <c r="M27" i="103"/>
  <c r="L27" i="103"/>
  <c r="K27" i="103"/>
  <c r="J27" i="103"/>
  <c r="I27" i="103"/>
  <c r="H27" i="103"/>
  <c r="G27" i="103"/>
  <c r="F27" i="103"/>
  <c r="E27" i="103"/>
  <c r="D27" i="103"/>
  <c r="C27" i="103"/>
  <c r="B27" i="103"/>
  <c r="AT26" i="103"/>
  <c r="AT34" i="103" s="1"/>
  <c r="AT25" i="103"/>
  <c r="AT33" i="103" s="1"/>
  <c r="CS23" i="103"/>
  <c r="CR23" i="103"/>
  <c r="CQ23" i="103"/>
  <c r="CP23" i="103"/>
  <c r="CO23" i="103"/>
  <c r="CN23" i="103"/>
  <c r="CM23" i="103"/>
  <c r="CL23" i="103"/>
  <c r="CK23" i="103"/>
  <c r="CJ23" i="103"/>
  <c r="CI23" i="103"/>
  <c r="CH23" i="103"/>
  <c r="CG23" i="103"/>
  <c r="CF23" i="103"/>
  <c r="CE23" i="103"/>
  <c r="BD23" i="103"/>
  <c r="AS23" i="103"/>
  <c r="AR23" i="103"/>
  <c r="AP23" i="103"/>
  <c r="AO23" i="103"/>
  <c r="AN23" i="103"/>
  <c r="AM23" i="103"/>
  <c r="AK23" i="103"/>
  <c r="AJ23" i="103"/>
  <c r="AH23" i="103"/>
  <c r="V23" i="103"/>
  <c r="U23" i="103"/>
  <c r="T23" i="103"/>
  <c r="S23" i="103"/>
  <c r="R23" i="103"/>
  <c r="Q23" i="103"/>
  <c r="P23" i="103"/>
  <c r="O23" i="103"/>
  <c r="N23" i="103"/>
  <c r="M23" i="103"/>
  <c r="L23" i="103"/>
  <c r="K23" i="103"/>
  <c r="J23" i="103"/>
  <c r="I23" i="103"/>
  <c r="H23" i="103"/>
  <c r="G23" i="103"/>
  <c r="F23" i="103"/>
  <c r="E23" i="103"/>
  <c r="D23" i="103"/>
  <c r="C23" i="103"/>
  <c r="B23" i="103"/>
  <c r="AT22" i="103"/>
  <c r="AT21" i="103"/>
  <c r="CS19" i="103"/>
  <c r="CR19" i="103"/>
  <c r="CQ19" i="103"/>
  <c r="CP19" i="103"/>
  <c r="CO19" i="103"/>
  <c r="CN19" i="103"/>
  <c r="CM19" i="103"/>
  <c r="CL19" i="103"/>
  <c r="CK19" i="103"/>
  <c r="CJ19" i="103"/>
  <c r="CI19" i="103"/>
  <c r="CH19" i="103"/>
  <c r="CG19" i="103"/>
  <c r="CF19" i="103"/>
  <c r="CE19" i="103"/>
  <c r="BD19" i="103"/>
  <c r="AT19" i="103"/>
  <c r="AS19" i="103"/>
  <c r="AR19" i="103"/>
  <c r="AP19" i="103"/>
  <c r="AO19" i="103"/>
  <c r="AN19" i="103"/>
  <c r="AM19" i="103"/>
  <c r="AK19" i="103"/>
  <c r="AJ19" i="103"/>
  <c r="AH19" i="103"/>
  <c r="V19" i="103"/>
  <c r="U19" i="103"/>
  <c r="T19" i="103"/>
  <c r="S19" i="103"/>
  <c r="R19" i="103"/>
  <c r="Q19" i="103"/>
  <c r="P19" i="103"/>
  <c r="O19" i="103"/>
  <c r="N19" i="103"/>
  <c r="M19" i="103"/>
  <c r="L19" i="103"/>
  <c r="K19" i="103"/>
  <c r="J19" i="103"/>
  <c r="I19" i="103"/>
  <c r="H19" i="103"/>
  <c r="G19" i="103"/>
  <c r="F19" i="103"/>
  <c r="E19" i="103"/>
  <c r="D19" i="103"/>
  <c r="C19" i="103"/>
  <c r="B19" i="103"/>
  <c r="CS15" i="103"/>
  <c r="CR15" i="103"/>
  <c r="CQ15" i="103"/>
  <c r="CP15" i="103"/>
  <c r="CO15" i="103"/>
  <c r="CN15" i="103"/>
  <c r="CM15" i="103"/>
  <c r="CL15" i="103"/>
  <c r="CK15" i="103"/>
  <c r="CJ15" i="103"/>
  <c r="CI15" i="103"/>
  <c r="CH15" i="103"/>
  <c r="CG15" i="103"/>
  <c r="CF15" i="103"/>
  <c r="CE15" i="103"/>
  <c r="BD15" i="103"/>
  <c r="AT15" i="103"/>
  <c r="AS15" i="103"/>
  <c r="AR15" i="103"/>
  <c r="AP15" i="103"/>
  <c r="AO15" i="103"/>
  <c r="AN15" i="103"/>
  <c r="AM15" i="103"/>
  <c r="AK15" i="103"/>
  <c r="AJ15" i="103"/>
  <c r="AH15" i="103"/>
  <c r="V15" i="103"/>
  <c r="U15" i="103"/>
  <c r="T15" i="103"/>
  <c r="S15" i="103"/>
  <c r="R15" i="103"/>
  <c r="Q15" i="103"/>
  <c r="P15" i="103"/>
  <c r="O15" i="103"/>
  <c r="N15" i="103"/>
  <c r="M15" i="103"/>
  <c r="L15" i="103"/>
  <c r="K15" i="103"/>
  <c r="J15" i="103"/>
  <c r="I15" i="103"/>
  <c r="H15" i="103"/>
  <c r="G15" i="103"/>
  <c r="F15" i="103"/>
  <c r="E15" i="103"/>
  <c r="D15" i="103"/>
  <c r="C15" i="103"/>
  <c r="B15" i="103"/>
  <c r="CS11" i="103"/>
  <c r="CR11" i="103"/>
  <c r="CQ11" i="103"/>
  <c r="CP11" i="103"/>
  <c r="CO11" i="103"/>
  <c r="CN11" i="103"/>
  <c r="CM11" i="103"/>
  <c r="CL11" i="103"/>
  <c r="CK11" i="103"/>
  <c r="CJ11" i="103"/>
  <c r="CJ27" i="103" s="1"/>
  <c r="CI11" i="103"/>
  <c r="CH11" i="103"/>
  <c r="CG11" i="103"/>
  <c r="CF11" i="103"/>
  <c r="CE11" i="103"/>
  <c r="BD11" i="103"/>
  <c r="AT11" i="103"/>
  <c r="AS11" i="103"/>
  <c r="AR11" i="103"/>
  <c r="AP11" i="103"/>
  <c r="AO11" i="103"/>
  <c r="AN11" i="103"/>
  <c r="AM11" i="103"/>
  <c r="AK11" i="103"/>
  <c r="AJ11" i="103"/>
  <c r="AH11" i="103"/>
  <c r="V11" i="103"/>
  <c r="U11" i="103"/>
  <c r="T11" i="103"/>
  <c r="S11" i="103"/>
  <c r="R11" i="103"/>
  <c r="Q11" i="103"/>
  <c r="P11" i="103"/>
  <c r="O11" i="103"/>
  <c r="N11" i="103"/>
  <c r="M11" i="103"/>
  <c r="L11" i="103"/>
  <c r="K11" i="103"/>
  <c r="J11" i="103"/>
  <c r="I11" i="103"/>
  <c r="H11" i="103"/>
  <c r="G11" i="103"/>
  <c r="F11" i="103"/>
  <c r="E11" i="103"/>
  <c r="D11" i="103"/>
  <c r="C11" i="103"/>
  <c r="B11" i="103"/>
  <c r="CU35" i="102"/>
  <c r="CS35" i="102"/>
  <c r="CR35" i="102"/>
  <c r="CQ35" i="102"/>
  <c r="CP35" i="102"/>
  <c r="CO35" i="102"/>
  <c r="CN35" i="102"/>
  <c r="CM35" i="102"/>
  <c r="CL35" i="102"/>
  <c r="CK35" i="102"/>
  <c r="CJ35" i="102"/>
  <c r="CI35" i="102"/>
  <c r="CH35" i="102"/>
  <c r="CG35" i="102"/>
  <c r="CF35" i="102"/>
  <c r="CE35" i="102"/>
  <c r="BD35" i="102"/>
  <c r="AS35" i="102"/>
  <c r="AP35" i="102"/>
  <c r="AO35" i="102"/>
  <c r="AN35" i="102"/>
  <c r="AM35" i="102"/>
  <c r="AK35" i="102"/>
  <c r="AJ35" i="102"/>
  <c r="AH35" i="102"/>
  <c r="AB35" i="102"/>
  <c r="V35" i="102"/>
  <c r="U35" i="102"/>
  <c r="T35" i="102"/>
  <c r="S35" i="102"/>
  <c r="R35" i="102"/>
  <c r="Q35" i="102"/>
  <c r="P35" i="102"/>
  <c r="O35" i="102"/>
  <c r="N35" i="102"/>
  <c r="M35" i="102"/>
  <c r="L35" i="102"/>
  <c r="K35" i="102"/>
  <c r="J35" i="102"/>
  <c r="I35" i="102"/>
  <c r="H35" i="102"/>
  <c r="G35" i="102"/>
  <c r="F35" i="102"/>
  <c r="E35" i="102"/>
  <c r="D35" i="102"/>
  <c r="C35" i="102"/>
  <c r="B35" i="102"/>
  <c r="CU31" i="102"/>
  <c r="CS31" i="102"/>
  <c r="CR31" i="102"/>
  <c r="CQ31" i="102"/>
  <c r="CP31" i="102"/>
  <c r="CO31" i="102"/>
  <c r="CN31" i="102"/>
  <c r="CM31" i="102"/>
  <c r="CL31" i="102"/>
  <c r="CK31" i="102"/>
  <c r="CJ31" i="102"/>
  <c r="CI31" i="102"/>
  <c r="CH31" i="102"/>
  <c r="CG31" i="102"/>
  <c r="CF31" i="102"/>
  <c r="CE31" i="102"/>
  <c r="BD31" i="102"/>
  <c r="AT31" i="102"/>
  <c r="AS31" i="102"/>
  <c r="AP31" i="102"/>
  <c r="AO31" i="102"/>
  <c r="AN31" i="102"/>
  <c r="AM31" i="102"/>
  <c r="AK31" i="102"/>
  <c r="AJ31" i="102"/>
  <c r="AH31" i="102"/>
  <c r="AB31" i="102"/>
  <c r="V31" i="102"/>
  <c r="U31" i="102"/>
  <c r="T31" i="102"/>
  <c r="S31" i="102"/>
  <c r="R31" i="102"/>
  <c r="Q31" i="102"/>
  <c r="P31" i="102"/>
  <c r="O31" i="102"/>
  <c r="N31" i="102"/>
  <c r="M31" i="102"/>
  <c r="L31" i="102"/>
  <c r="K31" i="102"/>
  <c r="J31" i="102"/>
  <c r="I31" i="102"/>
  <c r="H31" i="102"/>
  <c r="G31" i="102"/>
  <c r="F31" i="102"/>
  <c r="E31" i="102"/>
  <c r="D31" i="102"/>
  <c r="C31" i="102"/>
  <c r="B31" i="102"/>
  <c r="CU27" i="102"/>
  <c r="CS27" i="102"/>
  <c r="CR27" i="102"/>
  <c r="CQ27" i="102"/>
  <c r="CP27" i="102"/>
  <c r="CO27" i="102"/>
  <c r="CN27" i="102"/>
  <c r="CM27" i="102"/>
  <c r="CL27" i="102"/>
  <c r="CK27" i="102"/>
  <c r="CJ27" i="102"/>
  <c r="CI27" i="102"/>
  <c r="CH27" i="102"/>
  <c r="CG27" i="102"/>
  <c r="CF27" i="102"/>
  <c r="CE27" i="102"/>
  <c r="BD27" i="102"/>
  <c r="AS27" i="102"/>
  <c r="AP27" i="102"/>
  <c r="AO27" i="102"/>
  <c r="AN27" i="102"/>
  <c r="AM27" i="102"/>
  <c r="AK27" i="102"/>
  <c r="AJ27" i="102"/>
  <c r="AH27" i="102"/>
  <c r="AB27" i="102"/>
  <c r="V27" i="102"/>
  <c r="U27" i="102"/>
  <c r="T27" i="102"/>
  <c r="S27" i="102"/>
  <c r="R27" i="102"/>
  <c r="Q27" i="102"/>
  <c r="P27" i="102"/>
  <c r="O27" i="102"/>
  <c r="N27" i="102"/>
  <c r="M27" i="102"/>
  <c r="L27" i="102"/>
  <c r="K27" i="102"/>
  <c r="J27" i="102"/>
  <c r="I27" i="102"/>
  <c r="H27" i="102"/>
  <c r="G27" i="102"/>
  <c r="F27" i="102"/>
  <c r="E27" i="102"/>
  <c r="D27" i="102"/>
  <c r="C27" i="102"/>
  <c r="B27" i="102"/>
  <c r="AT26" i="102"/>
  <c r="AT34" i="102" s="1"/>
  <c r="AT25" i="102"/>
  <c r="AT33" i="102" s="1"/>
  <c r="CU23" i="102"/>
  <c r="CS23" i="102"/>
  <c r="CR23" i="102"/>
  <c r="CQ23" i="102"/>
  <c r="CP23" i="102"/>
  <c r="CO23" i="102"/>
  <c r="CN23" i="102"/>
  <c r="CM23" i="102"/>
  <c r="CL23" i="102"/>
  <c r="CK23" i="102"/>
  <c r="CJ23" i="102"/>
  <c r="CI23" i="102"/>
  <c r="CH23" i="102"/>
  <c r="CG23" i="102"/>
  <c r="CF23" i="102"/>
  <c r="CE23" i="102"/>
  <c r="BD23" i="102"/>
  <c r="AS23" i="102"/>
  <c r="AP23" i="102"/>
  <c r="AO23" i="102"/>
  <c r="AN23" i="102"/>
  <c r="AM23" i="102"/>
  <c r="AK23" i="102"/>
  <c r="AJ23" i="102"/>
  <c r="AH23" i="102"/>
  <c r="AB23" i="102"/>
  <c r="V23" i="102"/>
  <c r="U23" i="102"/>
  <c r="T23" i="102"/>
  <c r="S23" i="102"/>
  <c r="R23" i="102"/>
  <c r="Q23" i="102"/>
  <c r="P23" i="102"/>
  <c r="O23" i="102"/>
  <c r="N23" i="102"/>
  <c r="M23" i="102"/>
  <c r="L23" i="102"/>
  <c r="K23" i="102"/>
  <c r="J23" i="102"/>
  <c r="I23" i="102"/>
  <c r="H23" i="102"/>
  <c r="G23" i="102"/>
  <c r="F23" i="102"/>
  <c r="E23" i="102"/>
  <c r="D23" i="102"/>
  <c r="C23" i="102"/>
  <c r="B23" i="102"/>
  <c r="AT22" i="102"/>
  <c r="AT21" i="102"/>
  <c r="CU19" i="102"/>
  <c r="CS19" i="102"/>
  <c r="CR19" i="102"/>
  <c r="CQ19" i="102"/>
  <c r="CP19" i="102"/>
  <c r="CO19" i="102"/>
  <c r="CN19" i="102"/>
  <c r="CM19" i="102"/>
  <c r="CL19" i="102"/>
  <c r="CK19" i="102"/>
  <c r="CJ19" i="102"/>
  <c r="CI19" i="102"/>
  <c r="CH19" i="102"/>
  <c r="CG19" i="102"/>
  <c r="CF19" i="102"/>
  <c r="CE19" i="102"/>
  <c r="BD19" i="102"/>
  <c r="AT19" i="102"/>
  <c r="AS19" i="102"/>
  <c r="AP19" i="102"/>
  <c r="AO19" i="102"/>
  <c r="AN19" i="102"/>
  <c r="AM19" i="102"/>
  <c r="AK19" i="102"/>
  <c r="AJ19" i="102"/>
  <c r="AH19" i="102"/>
  <c r="AB19" i="102"/>
  <c r="V19" i="102"/>
  <c r="U19" i="102"/>
  <c r="T19" i="102"/>
  <c r="S19" i="102"/>
  <c r="R19" i="102"/>
  <c r="Q19" i="102"/>
  <c r="P19" i="102"/>
  <c r="O19" i="102"/>
  <c r="N19" i="102"/>
  <c r="M19" i="102"/>
  <c r="L19" i="102"/>
  <c r="K19" i="102"/>
  <c r="J19" i="102"/>
  <c r="I19" i="102"/>
  <c r="H19" i="102"/>
  <c r="G19" i="102"/>
  <c r="F19" i="102"/>
  <c r="E19" i="102"/>
  <c r="D19" i="102"/>
  <c r="C19" i="102"/>
  <c r="B19" i="102"/>
  <c r="CU15" i="102"/>
  <c r="CS15" i="102"/>
  <c r="CR15" i="102"/>
  <c r="CQ15" i="102"/>
  <c r="CP15" i="102"/>
  <c r="CO15" i="102"/>
  <c r="CN15" i="102"/>
  <c r="CM15" i="102"/>
  <c r="CL15" i="102"/>
  <c r="CK15" i="102"/>
  <c r="CJ15" i="102"/>
  <c r="CI15" i="102"/>
  <c r="CH15" i="102"/>
  <c r="CG15" i="102"/>
  <c r="CF15" i="102"/>
  <c r="CE15" i="102"/>
  <c r="BD15" i="102"/>
  <c r="AT15" i="102"/>
  <c r="AT23" i="102" s="1"/>
  <c r="AS15" i="102"/>
  <c r="AP15" i="102"/>
  <c r="AO15" i="102"/>
  <c r="AN15" i="102"/>
  <c r="AM15" i="102"/>
  <c r="AK15" i="102"/>
  <c r="AJ15" i="102"/>
  <c r="AH15" i="102"/>
  <c r="AB15" i="102"/>
  <c r="V15" i="102"/>
  <c r="U15" i="102"/>
  <c r="T15" i="102"/>
  <c r="S15" i="102"/>
  <c r="R15" i="102"/>
  <c r="Q15" i="102"/>
  <c r="P15" i="102"/>
  <c r="O15" i="102"/>
  <c r="N15" i="102"/>
  <c r="M15" i="102"/>
  <c r="L15" i="102"/>
  <c r="K15" i="102"/>
  <c r="J15" i="102"/>
  <c r="I15" i="102"/>
  <c r="H15" i="102"/>
  <c r="G15" i="102"/>
  <c r="F15" i="102"/>
  <c r="E15" i="102"/>
  <c r="D15" i="102"/>
  <c r="C15" i="102"/>
  <c r="B15" i="102"/>
  <c r="CU11" i="102"/>
  <c r="CS11" i="102"/>
  <c r="CR11" i="102"/>
  <c r="CQ11" i="102"/>
  <c r="CP11" i="102"/>
  <c r="CO11" i="102"/>
  <c r="CN11" i="102"/>
  <c r="CM11" i="102"/>
  <c r="CL11" i="102"/>
  <c r="CK11" i="102"/>
  <c r="CJ11" i="102"/>
  <c r="CI11" i="102"/>
  <c r="CH11" i="102"/>
  <c r="CG11" i="102"/>
  <c r="CF11" i="102"/>
  <c r="CE11" i="102"/>
  <c r="BD11" i="102"/>
  <c r="AT11" i="102"/>
  <c r="AS11" i="102"/>
  <c r="AP11" i="102"/>
  <c r="AO11" i="102"/>
  <c r="AN11" i="102"/>
  <c r="AM11" i="102"/>
  <c r="AK11" i="102"/>
  <c r="AJ11" i="102"/>
  <c r="AH11" i="102"/>
  <c r="AB11" i="102"/>
  <c r="V11" i="102"/>
  <c r="U11" i="102"/>
  <c r="T11" i="102"/>
  <c r="S11" i="102"/>
  <c r="R11" i="102"/>
  <c r="Q11" i="102"/>
  <c r="P11" i="102"/>
  <c r="O11" i="102"/>
  <c r="N11" i="102"/>
  <c r="M11" i="102"/>
  <c r="L11" i="102"/>
  <c r="K11" i="102"/>
  <c r="J11" i="102"/>
  <c r="I11" i="102"/>
  <c r="H11" i="102"/>
  <c r="G11" i="102"/>
  <c r="F11" i="102"/>
  <c r="E11" i="102"/>
  <c r="D11" i="102"/>
  <c r="C11" i="102"/>
  <c r="B11" i="102"/>
  <c r="CS35" i="101"/>
  <c r="CR35" i="101"/>
  <c r="CQ35" i="101"/>
  <c r="CP35" i="101"/>
  <c r="CO35" i="101"/>
  <c r="CN35" i="101"/>
  <c r="CM35" i="101"/>
  <c r="CL35" i="101"/>
  <c r="CK35" i="101"/>
  <c r="CJ35" i="101"/>
  <c r="CI35" i="101"/>
  <c r="CH35" i="101"/>
  <c r="CG35" i="101"/>
  <c r="CF35" i="101"/>
  <c r="CE35" i="101"/>
  <c r="BD35" i="101"/>
  <c r="AS35" i="101"/>
  <c r="AP35" i="101"/>
  <c r="AO35" i="101"/>
  <c r="AN35" i="101"/>
  <c r="AM35" i="101"/>
  <c r="AK35" i="101"/>
  <c r="AH35" i="101"/>
  <c r="V35" i="101"/>
  <c r="U35" i="101"/>
  <c r="T35" i="101"/>
  <c r="S35" i="101"/>
  <c r="R35" i="101"/>
  <c r="Q35" i="101"/>
  <c r="P35" i="101"/>
  <c r="O35" i="101"/>
  <c r="N35" i="101"/>
  <c r="M35" i="101"/>
  <c r="L35" i="101"/>
  <c r="K35" i="101"/>
  <c r="J35" i="101"/>
  <c r="I35" i="101"/>
  <c r="H35" i="101"/>
  <c r="G35" i="101"/>
  <c r="F35" i="101"/>
  <c r="E35" i="101"/>
  <c r="D35" i="101"/>
  <c r="C35" i="101"/>
  <c r="B35" i="101"/>
  <c r="CS31" i="101"/>
  <c r="CR31" i="101"/>
  <c r="CQ31" i="101"/>
  <c r="CP31" i="101"/>
  <c r="CO31" i="101"/>
  <c r="CN31" i="101"/>
  <c r="CM31" i="101"/>
  <c r="CL31" i="101"/>
  <c r="CK31" i="101"/>
  <c r="CJ31" i="101"/>
  <c r="CI31" i="101"/>
  <c r="CH31" i="101"/>
  <c r="CG31" i="101"/>
  <c r="CF31" i="101"/>
  <c r="CE31" i="101"/>
  <c r="BD31" i="101"/>
  <c r="AT31" i="101"/>
  <c r="AS31" i="101"/>
  <c r="AP31" i="101"/>
  <c r="AO31" i="101"/>
  <c r="AN31" i="101"/>
  <c r="AM31" i="101"/>
  <c r="AK31" i="101"/>
  <c r="AH31" i="101"/>
  <c r="V31" i="101"/>
  <c r="U31" i="101"/>
  <c r="T31" i="101"/>
  <c r="S31" i="101"/>
  <c r="R31" i="101"/>
  <c r="Q31" i="101"/>
  <c r="P31" i="101"/>
  <c r="O31" i="101"/>
  <c r="N31" i="101"/>
  <c r="M31" i="101"/>
  <c r="L31" i="101"/>
  <c r="K31" i="101"/>
  <c r="J31" i="101"/>
  <c r="I31" i="101"/>
  <c r="H31" i="101"/>
  <c r="G31" i="101"/>
  <c r="F31" i="101"/>
  <c r="E31" i="101"/>
  <c r="D31" i="101"/>
  <c r="C31" i="101"/>
  <c r="B31" i="101"/>
  <c r="CS27" i="101"/>
  <c r="CR27" i="101"/>
  <c r="CQ27" i="101"/>
  <c r="CP27" i="101"/>
  <c r="CO27" i="101"/>
  <c r="CN27" i="101"/>
  <c r="CM27" i="101"/>
  <c r="CL27" i="101"/>
  <c r="CK27" i="101"/>
  <c r="CJ27" i="101"/>
  <c r="CI27" i="101"/>
  <c r="CH27" i="101"/>
  <c r="CG27" i="101"/>
  <c r="CF27" i="101"/>
  <c r="CE27" i="101"/>
  <c r="BD27" i="101"/>
  <c r="AS27" i="101"/>
  <c r="AP27" i="101"/>
  <c r="AO27" i="101"/>
  <c r="AN27" i="101"/>
  <c r="AM27" i="101"/>
  <c r="AK27" i="101"/>
  <c r="AH27" i="101"/>
  <c r="V27" i="101"/>
  <c r="U27" i="101"/>
  <c r="T27" i="101"/>
  <c r="S27" i="101"/>
  <c r="R27" i="101"/>
  <c r="Q27" i="101"/>
  <c r="P27" i="101"/>
  <c r="O27" i="101"/>
  <c r="N27" i="101"/>
  <c r="M27" i="101"/>
  <c r="L27" i="101"/>
  <c r="K27" i="101"/>
  <c r="J27" i="101"/>
  <c r="I27" i="101"/>
  <c r="H27" i="101"/>
  <c r="G27" i="101"/>
  <c r="F27" i="101"/>
  <c r="E27" i="101"/>
  <c r="D27" i="101"/>
  <c r="C27" i="101"/>
  <c r="B27" i="101"/>
  <c r="AT26" i="101"/>
  <c r="AT34" i="101" s="1"/>
  <c r="AT25" i="101"/>
  <c r="AT33" i="101" s="1"/>
  <c r="CS23" i="101"/>
  <c r="CR23" i="101"/>
  <c r="CQ23" i="101"/>
  <c r="CP23" i="101"/>
  <c r="CO23" i="101"/>
  <c r="CN23" i="101"/>
  <c r="CM23" i="101"/>
  <c r="CL23" i="101"/>
  <c r="CK23" i="101"/>
  <c r="CJ23" i="101"/>
  <c r="CI23" i="101"/>
  <c r="CH23" i="101"/>
  <c r="CG23" i="101"/>
  <c r="CF23" i="101"/>
  <c r="CE23" i="101"/>
  <c r="BD23" i="101"/>
  <c r="AS23" i="101"/>
  <c r="AP23" i="101"/>
  <c r="AO23" i="101"/>
  <c r="AN23" i="101"/>
  <c r="AM23" i="101"/>
  <c r="AK23" i="101"/>
  <c r="AH23" i="101"/>
  <c r="V23" i="101"/>
  <c r="U23" i="101"/>
  <c r="T23" i="101"/>
  <c r="S23" i="101"/>
  <c r="R23" i="101"/>
  <c r="Q23" i="101"/>
  <c r="P23" i="101"/>
  <c r="O23" i="101"/>
  <c r="N23" i="101"/>
  <c r="M23" i="101"/>
  <c r="L23" i="101"/>
  <c r="K23" i="101"/>
  <c r="J23" i="101"/>
  <c r="I23" i="101"/>
  <c r="H23" i="101"/>
  <c r="G23" i="101"/>
  <c r="F23" i="101"/>
  <c r="E23" i="101"/>
  <c r="D23" i="101"/>
  <c r="C23" i="101"/>
  <c r="B23" i="101"/>
  <c r="AT22" i="101"/>
  <c r="AT21" i="101"/>
  <c r="CS19" i="101"/>
  <c r="CR19" i="101"/>
  <c r="CQ19" i="101"/>
  <c r="CP19" i="101"/>
  <c r="CO19" i="101"/>
  <c r="CN19" i="101"/>
  <c r="CM19" i="101"/>
  <c r="CL19" i="101"/>
  <c r="CK19" i="101"/>
  <c r="CJ19" i="101"/>
  <c r="CI19" i="101"/>
  <c r="CH19" i="101"/>
  <c r="CG19" i="101"/>
  <c r="CF19" i="101"/>
  <c r="CE19" i="101"/>
  <c r="BD19" i="101"/>
  <c r="AT19" i="101"/>
  <c r="AS19" i="101"/>
  <c r="AP19" i="101"/>
  <c r="AO19" i="101"/>
  <c r="AN19" i="101"/>
  <c r="AM19" i="101"/>
  <c r="AK19" i="101"/>
  <c r="AH19" i="101"/>
  <c r="V19" i="101"/>
  <c r="U19" i="101"/>
  <c r="T19" i="101"/>
  <c r="S19" i="101"/>
  <c r="R19" i="101"/>
  <c r="Q19" i="101"/>
  <c r="P19" i="101"/>
  <c r="O19" i="101"/>
  <c r="N19" i="101"/>
  <c r="M19" i="101"/>
  <c r="L19" i="101"/>
  <c r="K19" i="101"/>
  <c r="J19" i="101"/>
  <c r="I19" i="101"/>
  <c r="H19" i="101"/>
  <c r="G19" i="101"/>
  <c r="F19" i="101"/>
  <c r="E19" i="101"/>
  <c r="D19" i="101"/>
  <c r="C19" i="101"/>
  <c r="B19" i="101"/>
  <c r="CS15" i="101"/>
  <c r="CR15" i="101"/>
  <c r="CQ15" i="101"/>
  <c r="CP15" i="101"/>
  <c r="CO15" i="101"/>
  <c r="CN15" i="101"/>
  <c r="CM15" i="101"/>
  <c r="CL15" i="101"/>
  <c r="CK15" i="101"/>
  <c r="CJ15" i="101"/>
  <c r="CI15" i="101"/>
  <c r="CH15" i="101"/>
  <c r="CG15" i="101"/>
  <c r="CF15" i="101"/>
  <c r="CE15" i="101"/>
  <c r="BD15" i="101"/>
  <c r="AT15" i="101"/>
  <c r="AS15" i="101"/>
  <c r="AP15" i="101"/>
  <c r="AO15" i="101"/>
  <c r="AN15" i="101"/>
  <c r="AM15" i="101"/>
  <c r="AK15" i="101"/>
  <c r="AH15" i="101"/>
  <c r="V15" i="101"/>
  <c r="U15" i="101"/>
  <c r="T15" i="101"/>
  <c r="S15" i="101"/>
  <c r="R15" i="101"/>
  <c r="Q15" i="101"/>
  <c r="P15" i="101"/>
  <c r="O15" i="101"/>
  <c r="N15" i="101"/>
  <c r="M15" i="101"/>
  <c r="L15" i="101"/>
  <c r="K15" i="101"/>
  <c r="J15" i="101"/>
  <c r="I15" i="101"/>
  <c r="H15" i="101"/>
  <c r="G15" i="101"/>
  <c r="F15" i="101"/>
  <c r="E15" i="101"/>
  <c r="D15" i="101"/>
  <c r="C15" i="101"/>
  <c r="B15" i="101"/>
  <c r="CS11" i="101"/>
  <c r="CR11" i="101"/>
  <c r="CQ11" i="101"/>
  <c r="CP11" i="101"/>
  <c r="CO11" i="101"/>
  <c r="CN11" i="101"/>
  <c r="CM11" i="101"/>
  <c r="CL11" i="101"/>
  <c r="CK11" i="101"/>
  <c r="CJ11" i="101"/>
  <c r="CI11" i="101"/>
  <c r="CH11" i="101"/>
  <c r="CG11" i="101"/>
  <c r="CF11" i="101"/>
  <c r="CE11" i="101"/>
  <c r="BD11" i="101"/>
  <c r="AT11" i="101"/>
  <c r="AS11" i="101"/>
  <c r="AP11" i="101"/>
  <c r="AO11" i="101"/>
  <c r="AN11" i="101"/>
  <c r="AM11" i="101"/>
  <c r="AK11" i="101"/>
  <c r="AH11" i="101"/>
  <c r="V11" i="101"/>
  <c r="U11" i="101"/>
  <c r="T11" i="101"/>
  <c r="S11" i="101"/>
  <c r="R11" i="101"/>
  <c r="Q11" i="101"/>
  <c r="P11" i="101"/>
  <c r="O11" i="101"/>
  <c r="N11" i="101"/>
  <c r="M11" i="101"/>
  <c r="L11" i="101"/>
  <c r="K11" i="101"/>
  <c r="J11" i="101"/>
  <c r="I11" i="101"/>
  <c r="H11" i="101"/>
  <c r="G11" i="101"/>
  <c r="F11" i="101"/>
  <c r="E11" i="101"/>
  <c r="D11" i="101"/>
  <c r="C11" i="101"/>
  <c r="B11" i="101"/>
  <c r="CS35" i="100"/>
  <c r="CR35" i="100"/>
  <c r="CQ35" i="100"/>
  <c r="CP35" i="100"/>
  <c r="CO35" i="100"/>
  <c r="CN35" i="100"/>
  <c r="CM35" i="100"/>
  <c r="CL35" i="100"/>
  <c r="CK35" i="100"/>
  <c r="CJ35" i="100"/>
  <c r="CI35" i="100"/>
  <c r="CH35" i="100"/>
  <c r="CG35" i="100"/>
  <c r="CF35" i="100"/>
  <c r="CE35" i="100"/>
  <c r="BD35" i="100"/>
  <c r="AS35" i="100"/>
  <c r="AR35" i="100"/>
  <c r="AP35" i="100"/>
  <c r="AO35" i="100"/>
  <c r="AN35" i="100"/>
  <c r="AM35" i="100"/>
  <c r="AK35" i="100"/>
  <c r="AJ35" i="100"/>
  <c r="AH35" i="100"/>
  <c r="V35" i="100"/>
  <c r="U35" i="100"/>
  <c r="T35" i="100"/>
  <c r="S35" i="100"/>
  <c r="R35" i="100"/>
  <c r="Q35" i="100"/>
  <c r="P35" i="100"/>
  <c r="O35" i="100"/>
  <c r="N35" i="100"/>
  <c r="M35" i="100"/>
  <c r="L35" i="100"/>
  <c r="K35" i="100"/>
  <c r="J35" i="100"/>
  <c r="I35" i="100"/>
  <c r="H35" i="100"/>
  <c r="G35" i="100"/>
  <c r="F35" i="100"/>
  <c r="E35" i="100"/>
  <c r="D35" i="100"/>
  <c r="C35" i="100"/>
  <c r="B35" i="100"/>
  <c r="CS31" i="100"/>
  <c r="CR31" i="100"/>
  <c r="CQ31" i="100"/>
  <c r="CP31" i="100"/>
  <c r="CO31" i="100"/>
  <c r="CN31" i="100"/>
  <c r="CM31" i="100"/>
  <c r="CL31" i="100"/>
  <c r="CK31" i="100"/>
  <c r="CJ31" i="100"/>
  <c r="CI31" i="100"/>
  <c r="CH31" i="100"/>
  <c r="CG31" i="100"/>
  <c r="CF31" i="100"/>
  <c r="CE31" i="100"/>
  <c r="BD31" i="100"/>
  <c r="AT31" i="100"/>
  <c r="AS31" i="100"/>
  <c r="AR31" i="100"/>
  <c r="AP31" i="100"/>
  <c r="AO31" i="100"/>
  <c r="AN31" i="100"/>
  <c r="AM31" i="100"/>
  <c r="AK31" i="100"/>
  <c r="AJ31" i="100"/>
  <c r="AH31" i="100"/>
  <c r="V31" i="100"/>
  <c r="U31" i="100"/>
  <c r="T31" i="100"/>
  <c r="S31" i="100"/>
  <c r="R31" i="100"/>
  <c r="Q31" i="100"/>
  <c r="P31" i="100"/>
  <c r="O31" i="100"/>
  <c r="N31" i="100"/>
  <c r="M31" i="100"/>
  <c r="L31" i="100"/>
  <c r="K31" i="100"/>
  <c r="J31" i="100"/>
  <c r="I31" i="100"/>
  <c r="H31" i="100"/>
  <c r="G31" i="100"/>
  <c r="F31" i="100"/>
  <c r="E31" i="100"/>
  <c r="D31" i="100"/>
  <c r="C31" i="100"/>
  <c r="B31" i="100"/>
  <c r="CS27" i="100"/>
  <c r="CR27" i="100"/>
  <c r="CQ27" i="100"/>
  <c r="CP27" i="100"/>
  <c r="CO27" i="100"/>
  <c r="BD27" i="100"/>
  <c r="AS27" i="100"/>
  <c r="AR27" i="100"/>
  <c r="AP27" i="100"/>
  <c r="AO27" i="100"/>
  <c r="AN27" i="100"/>
  <c r="AM27" i="100"/>
  <c r="AK27" i="100"/>
  <c r="AJ27" i="100"/>
  <c r="AH27" i="100"/>
  <c r="V27" i="100"/>
  <c r="U27" i="100"/>
  <c r="T27" i="100"/>
  <c r="S27" i="100"/>
  <c r="R27" i="100"/>
  <c r="Q27" i="100"/>
  <c r="P27" i="100"/>
  <c r="O27" i="100"/>
  <c r="N27" i="100"/>
  <c r="M27" i="100"/>
  <c r="L27" i="100"/>
  <c r="K27" i="100"/>
  <c r="J27" i="100"/>
  <c r="I27" i="100"/>
  <c r="H27" i="100"/>
  <c r="G27" i="100"/>
  <c r="F27" i="100"/>
  <c r="E27" i="100"/>
  <c r="D27" i="100"/>
  <c r="C27" i="100"/>
  <c r="B27" i="100"/>
  <c r="AT26" i="100"/>
  <c r="AT34" i="100" s="1"/>
  <c r="AT25" i="100"/>
  <c r="AT33" i="100" s="1"/>
  <c r="CS23" i="100"/>
  <c r="CR23" i="100"/>
  <c r="CQ23" i="100"/>
  <c r="CP23" i="100"/>
  <c r="CO23" i="100"/>
  <c r="CN23" i="100"/>
  <c r="CM23" i="100"/>
  <c r="CL23" i="100"/>
  <c r="CK23" i="100"/>
  <c r="CJ23" i="100"/>
  <c r="CI23" i="100"/>
  <c r="CH23" i="100"/>
  <c r="CG23" i="100"/>
  <c r="CF23" i="100"/>
  <c r="CE23" i="100"/>
  <c r="BD23" i="100"/>
  <c r="AS23" i="100"/>
  <c r="AR23" i="100"/>
  <c r="AP23" i="100"/>
  <c r="AO23" i="100"/>
  <c r="AN23" i="100"/>
  <c r="AM23" i="100"/>
  <c r="AK23" i="100"/>
  <c r="AJ23" i="100"/>
  <c r="AH23" i="100"/>
  <c r="V23" i="100"/>
  <c r="U23" i="100"/>
  <c r="T23" i="100"/>
  <c r="S23" i="100"/>
  <c r="R23" i="100"/>
  <c r="Q23" i="100"/>
  <c r="P23" i="100"/>
  <c r="O23" i="100"/>
  <c r="N23" i="100"/>
  <c r="M23" i="100"/>
  <c r="L23" i="100"/>
  <c r="K23" i="100"/>
  <c r="J23" i="100"/>
  <c r="I23" i="100"/>
  <c r="H23" i="100"/>
  <c r="G23" i="100"/>
  <c r="F23" i="100"/>
  <c r="E23" i="100"/>
  <c r="D23" i="100"/>
  <c r="C23" i="100"/>
  <c r="B23" i="100"/>
  <c r="AT22" i="100"/>
  <c r="AT21" i="100"/>
  <c r="CS19" i="100"/>
  <c r="CR19" i="100"/>
  <c r="CQ19" i="100"/>
  <c r="CP19" i="100"/>
  <c r="CO19" i="100"/>
  <c r="CN19" i="100"/>
  <c r="CM19" i="100"/>
  <c r="CL19" i="100"/>
  <c r="CK19" i="100"/>
  <c r="CJ19" i="100"/>
  <c r="CI19" i="100"/>
  <c r="CH19" i="100"/>
  <c r="CG19" i="100"/>
  <c r="CF19" i="100"/>
  <c r="CE19" i="100"/>
  <c r="BD19" i="100"/>
  <c r="AT19" i="100"/>
  <c r="AS19" i="100"/>
  <c r="AR19" i="100"/>
  <c r="AP19" i="100"/>
  <c r="AO19" i="100"/>
  <c r="AN19" i="100"/>
  <c r="AM19" i="100"/>
  <c r="AK19" i="100"/>
  <c r="AJ19" i="100"/>
  <c r="AH19" i="100"/>
  <c r="V19" i="100"/>
  <c r="U19" i="100"/>
  <c r="T19" i="100"/>
  <c r="S19" i="100"/>
  <c r="R19" i="100"/>
  <c r="Q19" i="100"/>
  <c r="P19" i="100"/>
  <c r="O19" i="100"/>
  <c r="N19" i="100"/>
  <c r="M19" i="100"/>
  <c r="L19" i="100"/>
  <c r="K19" i="100"/>
  <c r="J19" i="100"/>
  <c r="I19" i="100"/>
  <c r="H19" i="100"/>
  <c r="G19" i="100"/>
  <c r="F19" i="100"/>
  <c r="E19" i="100"/>
  <c r="D19" i="100"/>
  <c r="C19" i="100"/>
  <c r="B19" i="100"/>
  <c r="CS15" i="100"/>
  <c r="CR15" i="100"/>
  <c r="CQ15" i="100"/>
  <c r="CP15" i="100"/>
  <c r="CO15" i="100"/>
  <c r="CN15" i="100"/>
  <c r="CM15" i="100"/>
  <c r="CL15" i="100"/>
  <c r="CK15" i="100"/>
  <c r="CJ15" i="100"/>
  <c r="CI15" i="100"/>
  <c r="CH15" i="100"/>
  <c r="CG15" i="100"/>
  <c r="CF15" i="100"/>
  <c r="CE15" i="100"/>
  <c r="BD15" i="100"/>
  <c r="AT15" i="100"/>
  <c r="AS15" i="100"/>
  <c r="AR15" i="100"/>
  <c r="AP15" i="100"/>
  <c r="AO15" i="100"/>
  <c r="AN15" i="100"/>
  <c r="AM15" i="100"/>
  <c r="AK15" i="100"/>
  <c r="AJ15" i="100"/>
  <c r="AH15" i="100"/>
  <c r="V15" i="100"/>
  <c r="U15" i="100"/>
  <c r="T15" i="100"/>
  <c r="S15" i="100"/>
  <c r="R15" i="100"/>
  <c r="Q15" i="100"/>
  <c r="P15" i="100"/>
  <c r="O15" i="100"/>
  <c r="N15" i="100"/>
  <c r="M15" i="100"/>
  <c r="L15" i="100"/>
  <c r="K15" i="100"/>
  <c r="J15" i="100"/>
  <c r="I15" i="100"/>
  <c r="H15" i="100"/>
  <c r="G15" i="100"/>
  <c r="F15" i="100"/>
  <c r="E15" i="100"/>
  <c r="D15" i="100"/>
  <c r="C15" i="100"/>
  <c r="B15" i="100"/>
  <c r="CS11" i="100"/>
  <c r="CR11" i="100"/>
  <c r="CQ11" i="100"/>
  <c r="CP11" i="100"/>
  <c r="CO11" i="100"/>
  <c r="CN11" i="100"/>
  <c r="CM11" i="100"/>
  <c r="CL11" i="100"/>
  <c r="CK11" i="100"/>
  <c r="CJ11" i="100"/>
  <c r="CI11" i="100"/>
  <c r="CH11" i="100"/>
  <c r="CG11" i="100"/>
  <c r="CF11" i="100"/>
  <c r="CE11" i="100"/>
  <c r="BD11" i="100"/>
  <c r="AT11" i="100"/>
  <c r="AS11" i="100"/>
  <c r="AR11" i="100"/>
  <c r="AP11" i="100"/>
  <c r="AO11" i="100"/>
  <c r="AN11" i="100"/>
  <c r="AM11" i="100"/>
  <c r="AK11" i="100"/>
  <c r="AJ11" i="100"/>
  <c r="AH11" i="100"/>
  <c r="V11" i="100"/>
  <c r="U11" i="100"/>
  <c r="T11" i="100"/>
  <c r="S11" i="100"/>
  <c r="R11" i="100"/>
  <c r="Q11" i="100"/>
  <c r="P11" i="100"/>
  <c r="O11" i="100"/>
  <c r="N11" i="100"/>
  <c r="M11" i="100"/>
  <c r="L11" i="100"/>
  <c r="K11" i="100"/>
  <c r="J11" i="100"/>
  <c r="I11" i="100"/>
  <c r="H11" i="100"/>
  <c r="G11" i="100"/>
  <c r="F11" i="100"/>
  <c r="E11" i="100"/>
  <c r="D11" i="100"/>
  <c r="C11" i="100"/>
  <c r="B11" i="100"/>
  <c r="CV35" i="99"/>
  <c r="CT35" i="99"/>
  <c r="CS35" i="99"/>
  <c r="CR35" i="99"/>
  <c r="CQ35" i="99"/>
  <c r="CP35" i="99"/>
  <c r="CO35" i="99"/>
  <c r="CN35" i="99"/>
  <c r="CM35" i="99"/>
  <c r="CL35" i="99"/>
  <c r="CK35" i="99"/>
  <c r="CJ35" i="99"/>
  <c r="CI35" i="99"/>
  <c r="CH35" i="99"/>
  <c r="CG35" i="99"/>
  <c r="CF35" i="99"/>
  <c r="BE35" i="99"/>
  <c r="AT35" i="99"/>
  <c r="AS35" i="99"/>
  <c r="AQ35" i="99"/>
  <c r="AP35" i="99"/>
  <c r="AO35" i="99"/>
  <c r="AN35" i="99"/>
  <c r="AL35" i="99"/>
  <c r="AK35" i="99"/>
  <c r="AI35" i="99"/>
  <c r="V35" i="99"/>
  <c r="U35" i="99"/>
  <c r="T35" i="99"/>
  <c r="S35" i="99"/>
  <c r="R35" i="99"/>
  <c r="Q35" i="99"/>
  <c r="P35" i="99"/>
  <c r="O35" i="99"/>
  <c r="N35" i="99"/>
  <c r="M35" i="99"/>
  <c r="L35" i="99"/>
  <c r="K35" i="99"/>
  <c r="J35" i="99"/>
  <c r="I35" i="99"/>
  <c r="H35" i="99"/>
  <c r="G35" i="99"/>
  <c r="F35" i="99"/>
  <c r="E35" i="99"/>
  <c r="D35" i="99"/>
  <c r="C35" i="99"/>
  <c r="B35" i="99"/>
  <c r="BK34" i="99"/>
  <c r="BK33" i="99"/>
  <c r="CV31" i="99"/>
  <c r="CT31" i="99"/>
  <c r="CS31" i="99"/>
  <c r="CR31" i="99"/>
  <c r="CQ31" i="99"/>
  <c r="CP31" i="99"/>
  <c r="CO31" i="99"/>
  <c r="CN31" i="99"/>
  <c r="CM31" i="99"/>
  <c r="CL31" i="99"/>
  <c r="CK31" i="99"/>
  <c r="CJ31" i="99"/>
  <c r="CI31" i="99"/>
  <c r="CH31" i="99"/>
  <c r="CG31" i="99"/>
  <c r="CF31" i="99"/>
  <c r="BK31" i="99"/>
  <c r="BE31" i="99"/>
  <c r="AU31" i="99"/>
  <c r="AT31" i="99"/>
  <c r="AS31" i="99"/>
  <c r="AQ31" i="99"/>
  <c r="AP31" i="99"/>
  <c r="AO31" i="99"/>
  <c r="AN31" i="99"/>
  <c r="AL31" i="99"/>
  <c r="AK31" i="99"/>
  <c r="AI31" i="99"/>
  <c r="V31" i="99"/>
  <c r="U31" i="99"/>
  <c r="T31" i="99"/>
  <c r="S31" i="99"/>
  <c r="R31" i="99"/>
  <c r="Q31" i="99"/>
  <c r="P31" i="99"/>
  <c r="O31" i="99"/>
  <c r="N31" i="99"/>
  <c r="M31" i="99"/>
  <c r="L31" i="99"/>
  <c r="K31" i="99"/>
  <c r="J31" i="99"/>
  <c r="I31" i="99"/>
  <c r="H31" i="99"/>
  <c r="G31" i="99"/>
  <c r="F31" i="99"/>
  <c r="E31" i="99"/>
  <c r="D31" i="99"/>
  <c r="C31" i="99"/>
  <c r="B31" i="99"/>
  <c r="CV27" i="99"/>
  <c r="CT27" i="99"/>
  <c r="CS27" i="99"/>
  <c r="CR27" i="99"/>
  <c r="CQ27" i="99"/>
  <c r="CP27" i="99"/>
  <c r="CO27" i="99"/>
  <c r="BK27" i="99"/>
  <c r="BE27" i="99"/>
  <c r="AT27" i="99"/>
  <c r="AS27" i="99"/>
  <c r="AQ27" i="99"/>
  <c r="AP27" i="99"/>
  <c r="AO27" i="99"/>
  <c r="AN27" i="99"/>
  <c r="AL27" i="99"/>
  <c r="AK27" i="99"/>
  <c r="AI27" i="99"/>
  <c r="V27" i="99"/>
  <c r="U27" i="99"/>
  <c r="T27" i="99"/>
  <c r="S27" i="99"/>
  <c r="R27" i="99"/>
  <c r="Q27" i="99"/>
  <c r="P27" i="99"/>
  <c r="O27" i="99"/>
  <c r="N27" i="99"/>
  <c r="M27" i="99"/>
  <c r="L27" i="99"/>
  <c r="K27" i="99"/>
  <c r="J27" i="99"/>
  <c r="I27" i="99"/>
  <c r="H27" i="99"/>
  <c r="G27" i="99"/>
  <c r="F27" i="99"/>
  <c r="E27" i="99"/>
  <c r="D27" i="99"/>
  <c r="C27" i="99"/>
  <c r="B27" i="99"/>
  <c r="AU26" i="99"/>
  <c r="AU34" i="99" s="1"/>
  <c r="AU25" i="99"/>
  <c r="AU33" i="99" s="1"/>
  <c r="CV23" i="99"/>
  <c r="CT23" i="99"/>
  <c r="CS23" i="99"/>
  <c r="CR23" i="99"/>
  <c r="CQ23" i="99"/>
  <c r="CP23" i="99"/>
  <c r="CO23" i="99"/>
  <c r="CN23" i="99"/>
  <c r="CM23" i="99"/>
  <c r="CL23" i="99"/>
  <c r="CK23" i="99"/>
  <c r="CJ23" i="99"/>
  <c r="CI23" i="99"/>
  <c r="CH23" i="99"/>
  <c r="CG23" i="99"/>
  <c r="CF23" i="99"/>
  <c r="BE23" i="99"/>
  <c r="AT23" i="99"/>
  <c r="AS23" i="99"/>
  <c r="AQ23" i="99"/>
  <c r="AP23" i="99"/>
  <c r="AO23" i="99"/>
  <c r="AN23" i="99"/>
  <c r="AL23" i="99"/>
  <c r="AK23" i="99"/>
  <c r="AI23" i="99"/>
  <c r="V23" i="99"/>
  <c r="U23" i="99"/>
  <c r="T23" i="99"/>
  <c r="S23" i="99"/>
  <c r="R23" i="99"/>
  <c r="Q23" i="99"/>
  <c r="P23" i="99"/>
  <c r="O23" i="99"/>
  <c r="N23" i="99"/>
  <c r="M23" i="99"/>
  <c r="L23" i="99"/>
  <c r="K23" i="99"/>
  <c r="J23" i="99"/>
  <c r="I23" i="99"/>
  <c r="H23" i="99"/>
  <c r="G23" i="99"/>
  <c r="F23" i="99"/>
  <c r="E23" i="99"/>
  <c r="D23" i="99"/>
  <c r="C23" i="99"/>
  <c r="B23" i="99"/>
  <c r="BK22" i="99"/>
  <c r="AU22" i="99"/>
  <c r="BK21" i="99"/>
  <c r="AU21" i="99"/>
  <c r="CV19" i="99"/>
  <c r="CT19" i="99"/>
  <c r="CS19" i="99"/>
  <c r="CR19" i="99"/>
  <c r="CQ19" i="99"/>
  <c r="CP19" i="99"/>
  <c r="CO19" i="99"/>
  <c r="CN19" i="99"/>
  <c r="CM19" i="99"/>
  <c r="CL19" i="99"/>
  <c r="CK19" i="99"/>
  <c r="CJ19" i="99"/>
  <c r="CI19" i="99"/>
  <c r="CH19" i="99"/>
  <c r="CG19" i="99"/>
  <c r="CF19" i="99"/>
  <c r="BK19" i="99"/>
  <c r="BE19" i="99"/>
  <c r="AU19" i="99"/>
  <c r="AT19" i="99"/>
  <c r="AS19" i="99"/>
  <c r="AQ19" i="99"/>
  <c r="AP19" i="99"/>
  <c r="AO19" i="99"/>
  <c r="AN19" i="99"/>
  <c r="AL19" i="99"/>
  <c r="AK19" i="99"/>
  <c r="AI19" i="99"/>
  <c r="V19" i="99"/>
  <c r="U19" i="99"/>
  <c r="T19" i="99"/>
  <c r="S19" i="99"/>
  <c r="R19" i="99"/>
  <c r="Q19" i="99"/>
  <c r="P19" i="99"/>
  <c r="O19" i="99"/>
  <c r="N19" i="99"/>
  <c r="M19" i="99"/>
  <c r="L19" i="99"/>
  <c r="K19" i="99"/>
  <c r="J19" i="99"/>
  <c r="I19" i="99"/>
  <c r="H19" i="99"/>
  <c r="G19" i="99"/>
  <c r="F19" i="99"/>
  <c r="E19" i="99"/>
  <c r="D19" i="99"/>
  <c r="C19" i="99"/>
  <c r="B19" i="99"/>
  <c r="CV15" i="99"/>
  <c r="CT15" i="99"/>
  <c r="CS15" i="99"/>
  <c r="CR15" i="99"/>
  <c r="CQ15" i="99"/>
  <c r="CP15" i="99"/>
  <c r="CO15" i="99"/>
  <c r="CN15" i="99"/>
  <c r="CM15" i="99"/>
  <c r="CL15" i="99"/>
  <c r="CK15" i="99"/>
  <c r="CJ15" i="99"/>
  <c r="CI15" i="99"/>
  <c r="CH15" i="99"/>
  <c r="CG15" i="99"/>
  <c r="CF15" i="99"/>
  <c r="BK15" i="99"/>
  <c r="BE15" i="99"/>
  <c r="AU15" i="99"/>
  <c r="AT15" i="99"/>
  <c r="AS15" i="99"/>
  <c r="AQ15" i="99"/>
  <c r="AP15" i="99"/>
  <c r="AO15" i="99"/>
  <c r="AN15" i="99"/>
  <c r="AL15" i="99"/>
  <c r="AK15" i="99"/>
  <c r="AI15" i="99"/>
  <c r="V15" i="99"/>
  <c r="U15" i="99"/>
  <c r="T15" i="99"/>
  <c r="S15" i="99"/>
  <c r="R15" i="99"/>
  <c r="Q15" i="99"/>
  <c r="P15" i="99"/>
  <c r="O15" i="99"/>
  <c r="N15" i="99"/>
  <c r="M15" i="99"/>
  <c r="L15" i="99"/>
  <c r="K15" i="99"/>
  <c r="J15" i="99"/>
  <c r="I15" i="99"/>
  <c r="H15" i="99"/>
  <c r="G15" i="99"/>
  <c r="F15" i="99"/>
  <c r="E15" i="99"/>
  <c r="D15" i="99"/>
  <c r="C15" i="99"/>
  <c r="B15" i="99"/>
  <c r="CW11" i="99"/>
  <c r="CV11" i="99"/>
  <c r="CT11" i="99"/>
  <c r="CS11" i="99"/>
  <c r="CR11" i="99"/>
  <c r="CQ11" i="99"/>
  <c r="CP11" i="99"/>
  <c r="CO11" i="99"/>
  <c r="CN11" i="99"/>
  <c r="CM11" i="99"/>
  <c r="CL11" i="99"/>
  <c r="CK11" i="99"/>
  <c r="CJ11" i="99"/>
  <c r="CI11" i="99"/>
  <c r="CH11" i="99"/>
  <c r="CG11" i="99"/>
  <c r="CF11" i="99"/>
  <c r="BK11" i="99"/>
  <c r="BE11" i="99"/>
  <c r="AU11" i="99"/>
  <c r="AT11" i="99"/>
  <c r="AS11" i="99"/>
  <c r="AQ11" i="99"/>
  <c r="AP11" i="99"/>
  <c r="AO11" i="99"/>
  <c r="AN11" i="99"/>
  <c r="AL11" i="99"/>
  <c r="AK11" i="99"/>
  <c r="AI11" i="99"/>
  <c r="V11" i="99"/>
  <c r="U11" i="99"/>
  <c r="T11" i="99"/>
  <c r="S11" i="99"/>
  <c r="R11" i="99"/>
  <c r="Q11" i="99"/>
  <c r="P11" i="99"/>
  <c r="O11" i="99"/>
  <c r="N11" i="99"/>
  <c r="M11" i="99"/>
  <c r="L11" i="99"/>
  <c r="K11" i="99"/>
  <c r="J11" i="99"/>
  <c r="I11" i="99"/>
  <c r="H11" i="99"/>
  <c r="G11" i="99"/>
  <c r="F11" i="99"/>
  <c r="E11" i="99"/>
  <c r="D11" i="99"/>
  <c r="C11" i="99"/>
  <c r="B11" i="99"/>
  <c r="CR35" i="98"/>
  <c r="CQ35" i="98"/>
  <c r="CP35" i="98"/>
  <c r="CO35" i="98"/>
  <c r="CD35" i="98"/>
  <c r="BD35" i="98"/>
  <c r="AO35" i="98"/>
  <c r="AN35" i="98"/>
  <c r="AM35" i="98"/>
  <c r="AK35" i="98"/>
  <c r="AJ35" i="98"/>
  <c r="AH35" i="98"/>
  <c r="AB35" i="98"/>
  <c r="V35" i="98"/>
  <c r="U35" i="98"/>
  <c r="T35" i="98"/>
  <c r="S35" i="98"/>
  <c r="R35" i="98"/>
  <c r="Q35" i="98"/>
  <c r="P35" i="98"/>
  <c r="O35" i="98"/>
  <c r="N35" i="98"/>
  <c r="M35" i="98"/>
  <c r="L35" i="98"/>
  <c r="K35" i="98"/>
  <c r="J35" i="98"/>
  <c r="I35" i="98"/>
  <c r="H35" i="98"/>
  <c r="G35" i="98"/>
  <c r="F35" i="98"/>
  <c r="E35" i="98"/>
  <c r="D35" i="98"/>
  <c r="C35" i="98"/>
  <c r="B35" i="98"/>
  <c r="CR31" i="98"/>
  <c r="CQ31" i="98"/>
  <c r="CP31" i="98"/>
  <c r="CO31" i="98"/>
  <c r="CN31" i="98"/>
  <c r="CM31" i="98"/>
  <c r="CL31" i="98"/>
  <c r="CK31" i="98"/>
  <c r="CJ31" i="98"/>
  <c r="CI31" i="98"/>
  <c r="CH31" i="98"/>
  <c r="CG31" i="98"/>
  <c r="CF31" i="98"/>
  <c r="CE31" i="98"/>
  <c r="BD31" i="98"/>
  <c r="AT31" i="98"/>
  <c r="AO31" i="98"/>
  <c r="AN31" i="98"/>
  <c r="AM31" i="98"/>
  <c r="AK31" i="98"/>
  <c r="AJ31" i="98"/>
  <c r="AH31" i="98"/>
  <c r="AB31" i="98"/>
  <c r="V31" i="98"/>
  <c r="U31" i="98"/>
  <c r="T31" i="98"/>
  <c r="S31" i="98"/>
  <c r="R31" i="98"/>
  <c r="Q31" i="98"/>
  <c r="P31" i="98"/>
  <c r="O31" i="98"/>
  <c r="N31" i="98"/>
  <c r="M31" i="98"/>
  <c r="L31" i="98"/>
  <c r="K31" i="98"/>
  <c r="J31" i="98"/>
  <c r="I31" i="98"/>
  <c r="H31" i="98"/>
  <c r="G31" i="98"/>
  <c r="F31" i="98"/>
  <c r="E31" i="98"/>
  <c r="D31" i="98"/>
  <c r="C31" i="98"/>
  <c r="B31" i="98"/>
  <c r="CR27" i="98"/>
  <c r="CQ27" i="98"/>
  <c r="CP27" i="98"/>
  <c r="CO27" i="98"/>
  <c r="AO27" i="98"/>
  <c r="AN27" i="98"/>
  <c r="AM27" i="98"/>
  <c r="AK27" i="98"/>
  <c r="AJ27" i="98"/>
  <c r="AH27" i="98"/>
  <c r="AB27" i="98"/>
  <c r="V27" i="98"/>
  <c r="U27" i="98"/>
  <c r="T27" i="98"/>
  <c r="S27" i="98"/>
  <c r="R27" i="98"/>
  <c r="Q27" i="98"/>
  <c r="P27" i="98"/>
  <c r="O27" i="98"/>
  <c r="N27" i="98"/>
  <c r="M27" i="98"/>
  <c r="L27" i="98"/>
  <c r="K27" i="98"/>
  <c r="J27" i="98"/>
  <c r="I27" i="98"/>
  <c r="H27" i="98"/>
  <c r="G27" i="98"/>
  <c r="F27" i="98"/>
  <c r="E27" i="98"/>
  <c r="D27" i="98"/>
  <c r="C27" i="98"/>
  <c r="B27" i="98"/>
  <c r="AT26" i="98"/>
  <c r="AT34" i="98" s="1"/>
  <c r="AT25" i="98"/>
  <c r="AT33" i="98" s="1"/>
  <c r="CR23" i="98"/>
  <c r="CQ23" i="98"/>
  <c r="CP23" i="98"/>
  <c r="CO23" i="98"/>
  <c r="BD23" i="98"/>
  <c r="AO23" i="98"/>
  <c r="AN23" i="98"/>
  <c r="AM23" i="98"/>
  <c r="AK23" i="98"/>
  <c r="AJ23" i="98"/>
  <c r="AH23" i="98"/>
  <c r="AB23" i="98"/>
  <c r="V23" i="98"/>
  <c r="U23" i="98"/>
  <c r="T23" i="98"/>
  <c r="S23" i="98"/>
  <c r="R23" i="98"/>
  <c r="Q23" i="98"/>
  <c r="P23" i="98"/>
  <c r="O23" i="98"/>
  <c r="N23" i="98"/>
  <c r="M23" i="98"/>
  <c r="L23" i="98"/>
  <c r="K23" i="98"/>
  <c r="J23" i="98"/>
  <c r="I23" i="98"/>
  <c r="H23" i="98"/>
  <c r="G23" i="98"/>
  <c r="F23" i="98"/>
  <c r="E23" i="98"/>
  <c r="D23" i="98"/>
  <c r="C23" i="98"/>
  <c r="B23" i="98"/>
  <c r="AT22" i="98"/>
  <c r="AT21" i="98"/>
  <c r="CR19" i="98"/>
  <c r="CQ19" i="98"/>
  <c r="CP19" i="98"/>
  <c r="CO19" i="98"/>
  <c r="CN19" i="98"/>
  <c r="CM19" i="98"/>
  <c r="CL19" i="98"/>
  <c r="CK19" i="98"/>
  <c r="CJ19" i="98"/>
  <c r="CI19" i="98"/>
  <c r="CH19" i="98"/>
  <c r="CG19" i="98"/>
  <c r="CF19" i="98"/>
  <c r="CE19" i="98"/>
  <c r="CD19" i="98"/>
  <c r="CD23" i="98" s="1"/>
  <c r="BD19" i="98"/>
  <c r="AT19" i="98"/>
  <c r="AO19" i="98"/>
  <c r="AN19" i="98"/>
  <c r="AM19" i="98"/>
  <c r="AK19" i="98"/>
  <c r="AJ19" i="98"/>
  <c r="AH19" i="98"/>
  <c r="AB19" i="98"/>
  <c r="V19" i="98"/>
  <c r="U19" i="98"/>
  <c r="T19" i="98"/>
  <c r="S19" i="98"/>
  <c r="R19" i="98"/>
  <c r="Q19" i="98"/>
  <c r="P19" i="98"/>
  <c r="O19" i="98"/>
  <c r="N19" i="98"/>
  <c r="M19" i="98"/>
  <c r="L19" i="98"/>
  <c r="K19" i="98"/>
  <c r="J19" i="98"/>
  <c r="I19" i="98"/>
  <c r="H19" i="98"/>
  <c r="G19" i="98"/>
  <c r="F19" i="98"/>
  <c r="E19" i="98"/>
  <c r="D19" i="98"/>
  <c r="C19" i="98"/>
  <c r="B19" i="98"/>
  <c r="CR15" i="98"/>
  <c r="CQ15" i="98"/>
  <c r="CP15" i="98"/>
  <c r="CO15" i="98"/>
  <c r="CN15" i="98"/>
  <c r="CM15" i="98"/>
  <c r="CL15" i="98"/>
  <c r="CK15" i="98"/>
  <c r="CJ15" i="98"/>
  <c r="CI15" i="98"/>
  <c r="CH15" i="98"/>
  <c r="CG15" i="98"/>
  <c r="CF15" i="98"/>
  <c r="CE15" i="98"/>
  <c r="BD15" i="98"/>
  <c r="AT15" i="98"/>
  <c r="AO15" i="98"/>
  <c r="AN15" i="98"/>
  <c r="AM15" i="98"/>
  <c r="AK15" i="98"/>
  <c r="AJ15" i="98"/>
  <c r="AH15" i="98"/>
  <c r="AB15" i="98"/>
  <c r="V15" i="98"/>
  <c r="U15" i="98"/>
  <c r="T15" i="98"/>
  <c r="S15" i="98"/>
  <c r="R15" i="98"/>
  <c r="Q15" i="98"/>
  <c r="P15" i="98"/>
  <c r="O15" i="98"/>
  <c r="N15" i="98"/>
  <c r="M15" i="98"/>
  <c r="L15" i="98"/>
  <c r="K15" i="98"/>
  <c r="J15" i="98"/>
  <c r="I15" i="98"/>
  <c r="H15" i="98"/>
  <c r="G15" i="98"/>
  <c r="F15" i="98"/>
  <c r="E15" i="98"/>
  <c r="D15" i="98"/>
  <c r="C15" i="98"/>
  <c r="B15" i="98"/>
  <c r="CR11" i="98"/>
  <c r="CQ11" i="98"/>
  <c r="CP11" i="98"/>
  <c r="CO11" i="98"/>
  <c r="CN11" i="98"/>
  <c r="CM11" i="98"/>
  <c r="CL11" i="98"/>
  <c r="CK11" i="98"/>
  <c r="CJ11" i="98"/>
  <c r="CI11" i="98"/>
  <c r="CH11" i="98"/>
  <c r="CG11" i="98"/>
  <c r="CF11" i="98"/>
  <c r="CE11" i="98"/>
  <c r="BD11" i="98"/>
  <c r="AT11" i="98"/>
  <c r="AO11" i="98"/>
  <c r="AN11" i="98"/>
  <c r="AM11" i="98"/>
  <c r="AK11" i="98"/>
  <c r="AJ11" i="98"/>
  <c r="AH11" i="98"/>
  <c r="AB11" i="98"/>
  <c r="V11" i="98"/>
  <c r="U11" i="98"/>
  <c r="T11" i="98"/>
  <c r="S11" i="98"/>
  <c r="R11" i="98"/>
  <c r="Q11" i="98"/>
  <c r="P11" i="98"/>
  <c r="O11" i="98"/>
  <c r="N11" i="98"/>
  <c r="M11" i="98"/>
  <c r="L11" i="98"/>
  <c r="K11" i="98"/>
  <c r="J11" i="98"/>
  <c r="I11" i="98"/>
  <c r="H11" i="98"/>
  <c r="G11" i="98"/>
  <c r="F11" i="98"/>
  <c r="E11" i="98"/>
  <c r="D11" i="98"/>
  <c r="C11" i="98"/>
  <c r="B11" i="98"/>
  <c r="BD12" i="97"/>
  <c r="BE12" i="97"/>
  <c r="BD14" i="97"/>
  <c r="BE14" i="97"/>
  <c r="AT23" i="98" l="1"/>
  <c r="CK27" i="98"/>
  <c r="CN23" i="98"/>
  <c r="AU23" i="99"/>
  <c r="CI27" i="99"/>
  <c r="AT27" i="102"/>
  <c r="AT35" i="102" s="1"/>
  <c r="CH27" i="99"/>
  <c r="AT23" i="101"/>
  <c r="CK27" i="99"/>
  <c r="CJ27" i="99"/>
  <c r="AT23" i="105"/>
  <c r="CN27" i="103"/>
  <c r="AT23" i="103"/>
  <c r="CG23" i="98"/>
  <c r="CK23" i="98"/>
  <c r="CK27" i="103"/>
  <c r="CG27" i="103"/>
  <c r="AT27" i="103"/>
  <c r="AT35" i="103" s="1"/>
  <c r="CE27" i="103"/>
  <c r="CN27" i="100"/>
  <c r="AT27" i="100"/>
  <c r="AT35" i="100" s="1"/>
  <c r="CF27" i="100"/>
  <c r="CI27" i="100"/>
  <c r="AT23" i="100"/>
  <c r="CK27" i="100"/>
  <c r="CF27" i="99"/>
  <c r="CM27" i="99"/>
  <c r="CE27" i="98"/>
  <c r="CE35" i="98" s="1"/>
  <c r="CI23" i="98"/>
  <c r="CF23" i="98"/>
  <c r="CF27" i="98"/>
  <c r="CF35" i="98" s="1"/>
  <c r="CJ23" i="98"/>
  <c r="CK35" i="98"/>
  <c r="CG27" i="98"/>
  <c r="CG35" i="98" s="1"/>
  <c r="BD27" i="98"/>
  <c r="CH23" i="98"/>
  <c r="CH27" i="98"/>
  <c r="CH35" i="98" s="1"/>
  <c r="CM27" i="98"/>
  <c r="CM35" i="98" s="1"/>
  <c r="CG27" i="99"/>
  <c r="CE27" i="100"/>
  <c r="CM27" i="103"/>
  <c r="CI27" i="98"/>
  <c r="CI35" i="98" s="1"/>
  <c r="CG27" i="100"/>
  <c r="BK35" i="99"/>
  <c r="CH27" i="100"/>
  <c r="CL23" i="98"/>
  <c r="CL27" i="98"/>
  <c r="CL35" i="98" s="1"/>
  <c r="CJ27" i="100"/>
  <c r="AT27" i="101"/>
  <c r="AT35" i="101" s="1"/>
  <c r="CF27" i="103"/>
  <c r="CJ27" i="98"/>
  <c r="CJ35" i="98" s="1"/>
  <c r="CN27" i="99"/>
  <c r="CL27" i="100"/>
  <c r="CH27" i="103"/>
  <c r="CL27" i="103"/>
  <c r="CE23" i="98"/>
  <c r="CN27" i="98"/>
  <c r="CN35" i="98" s="1"/>
  <c r="AT27" i="98"/>
  <c r="AT35" i="98" s="1"/>
  <c r="AU27" i="99"/>
  <c r="AU35" i="99" s="1"/>
  <c r="CM27" i="100"/>
  <c r="CI27" i="103"/>
  <c r="BK23" i="99"/>
  <c r="CL27" i="99"/>
  <c r="AT27" i="105"/>
  <c r="AT35" i="105" s="1"/>
  <c r="AT27" i="104"/>
  <c r="AT35" i="104" s="1"/>
  <c r="AT23" i="104"/>
  <c r="CM23" i="98"/>
  <c r="Y238" i="92"/>
  <c r="L245" i="86" l="1"/>
  <c r="M245" i="86"/>
  <c r="J245" i="86" s="1"/>
  <c r="G245" i="86"/>
  <c r="F245" i="86"/>
  <c r="H245" i="86"/>
  <c r="I245" i="86" l="1"/>
  <c r="E240" i="32"/>
  <c r="B240" i="32" l="1"/>
  <c r="H240" i="32" s="1"/>
  <c r="I240" i="32" l="1"/>
  <c r="R239" i="92" l="1"/>
  <c r="P239" i="92"/>
  <c r="N239" i="92"/>
  <c r="L239" i="92"/>
  <c r="J239" i="92"/>
  <c r="H239" i="92"/>
  <c r="F239" i="92"/>
  <c r="D239" i="92"/>
  <c r="L236" i="15"/>
  <c r="J236" i="15"/>
  <c r="H236" i="15"/>
  <c r="F236" i="15"/>
  <c r="D236" i="15"/>
  <c r="AD238" i="92" l="1"/>
  <c r="AB238" i="92"/>
  <c r="Z238" i="92"/>
  <c r="X238" i="92"/>
  <c r="V238" i="92"/>
  <c r="T238" i="92"/>
  <c r="R238" i="92"/>
  <c r="P238" i="92"/>
  <c r="N238" i="92"/>
  <c r="L238" i="92"/>
  <c r="J238" i="92"/>
  <c r="H238" i="92"/>
  <c r="F238" i="92"/>
  <c r="D238" i="92"/>
  <c r="L235" i="15"/>
  <c r="J235" i="15"/>
  <c r="H235" i="15"/>
  <c r="F235" i="15"/>
  <c r="D235" i="15"/>
  <c r="B239" i="32" l="1"/>
  <c r="H239" i="32" s="1"/>
  <c r="E239" i="32"/>
  <c r="I239" i="32" l="1"/>
  <c r="H244" i="86"/>
  <c r="L244" i="86"/>
  <c r="M244" i="86"/>
  <c r="J244" i="86" s="1"/>
  <c r="F244" i="86"/>
  <c r="G244" i="86"/>
  <c r="I244" i="86" l="1"/>
  <c r="AF219" i="25" l="1"/>
  <c r="AE219" i="25"/>
  <c r="AF206" i="25"/>
  <c r="AE206" i="25"/>
  <c r="AF193" i="25"/>
  <c r="AE193" i="25"/>
  <c r="AF180" i="25"/>
  <c r="AE180" i="25"/>
  <c r="AF167" i="25"/>
  <c r="AE167" i="25"/>
  <c r="AF154" i="25"/>
  <c r="AE154" i="25"/>
  <c r="AF141" i="25"/>
  <c r="AE141" i="25"/>
  <c r="AF128" i="25"/>
  <c r="AE128" i="25"/>
  <c r="Y237" i="92" l="1"/>
  <c r="E238" i="32" l="1"/>
  <c r="F243" i="86" l="1"/>
  <c r="G243" i="86"/>
  <c r="H243" i="86"/>
  <c r="L243" i="86"/>
  <c r="I243" i="86" s="1"/>
  <c r="M243" i="86"/>
  <c r="J243" i="86" s="1"/>
  <c r="AD219" i="25" l="1"/>
  <c r="AC219" i="25"/>
  <c r="AB219" i="25"/>
  <c r="AA219" i="25"/>
  <c r="Z219" i="25"/>
  <c r="Y219" i="25"/>
  <c r="X219" i="25"/>
  <c r="W219" i="25"/>
  <c r="V219" i="25"/>
  <c r="U219" i="25"/>
  <c r="T219" i="25"/>
  <c r="S219" i="25"/>
  <c r="R219" i="25"/>
  <c r="Q219" i="25"/>
  <c r="P219" i="25"/>
  <c r="O219" i="25"/>
  <c r="N219" i="25"/>
  <c r="M219" i="25"/>
  <c r="L219" i="25"/>
  <c r="K219" i="25"/>
  <c r="J219" i="25"/>
  <c r="I219" i="25"/>
  <c r="H219" i="25"/>
  <c r="G219" i="25"/>
  <c r="F219" i="25"/>
  <c r="E219" i="25"/>
  <c r="D219" i="25"/>
  <c r="C219" i="25"/>
  <c r="B219" i="25"/>
  <c r="AD206" i="25"/>
  <c r="AC206" i="25"/>
  <c r="AB206" i="25"/>
  <c r="AA206" i="25"/>
  <c r="Z206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J213" i="15" l="1"/>
  <c r="J214" i="15"/>
  <c r="J215" i="15"/>
  <c r="J216" i="15"/>
  <c r="J219" i="15"/>
  <c r="J220" i="15"/>
  <c r="J221" i="15"/>
  <c r="J222" i="15"/>
  <c r="J223" i="15"/>
  <c r="J224" i="15"/>
  <c r="J225" i="15"/>
  <c r="AD237" i="92" l="1"/>
  <c r="AB237" i="92"/>
  <c r="Z237" i="92"/>
  <c r="X237" i="92"/>
  <c r="V237" i="92"/>
  <c r="T237" i="92"/>
  <c r="R237" i="92"/>
  <c r="P237" i="92"/>
  <c r="N237" i="92"/>
  <c r="L237" i="92"/>
  <c r="J237" i="92"/>
  <c r="H237" i="92"/>
  <c r="F237" i="92"/>
  <c r="D237" i="92"/>
  <c r="L233" i="15"/>
  <c r="L234" i="15"/>
  <c r="J233" i="15"/>
  <c r="J234" i="15"/>
  <c r="H233" i="15"/>
  <c r="H234" i="15"/>
  <c r="F233" i="15"/>
  <c r="F234" i="15"/>
  <c r="D233" i="15"/>
  <c r="D234" i="15"/>
  <c r="E237" i="32" l="1"/>
  <c r="AH236" i="92" l="1"/>
  <c r="AF236" i="92"/>
  <c r="AD236" i="92"/>
  <c r="AB236" i="92"/>
  <c r="Y236" i="92"/>
  <c r="Z236" i="92" s="1"/>
  <c r="X236" i="92"/>
  <c r="V236" i="92"/>
  <c r="T236" i="92"/>
  <c r="R236" i="92"/>
  <c r="P236" i="92"/>
  <c r="N236" i="92"/>
  <c r="L236" i="92"/>
  <c r="J236" i="92"/>
  <c r="H236" i="92"/>
  <c r="F236" i="92"/>
  <c r="D236" i="92"/>
  <c r="L242" i="86" l="1"/>
  <c r="I242" i="86" s="1"/>
  <c r="M242" i="86"/>
  <c r="J242" i="86" s="1"/>
  <c r="F242" i="86"/>
  <c r="G242" i="86"/>
  <c r="H242" i="86"/>
  <c r="Y232" i="92" l="1"/>
  <c r="Y233" i="92"/>
  <c r="Y234" i="92"/>
  <c r="Y235" i="92"/>
  <c r="AH235" i="92" l="1"/>
  <c r="AF235" i="92"/>
  <c r="AD235" i="92"/>
  <c r="AB235" i="92"/>
  <c r="Z235" i="92"/>
  <c r="X235" i="92"/>
  <c r="V235" i="92"/>
  <c r="T235" i="92"/>
  <c r="R235" i="92"/>
  <c r="P235" i="92"/>
  <c r="N235" i="92"/>
  <c r="L235" i="92"/>
  <c r="J235" i="92"/>
  <c r="H235" i="92"/>
  <c r="F235" i="92"/>
  <c r="D235" i="92"/>
  <c r="D232" i="15"/>
  <c r="F232" i="15"/>
  <c r="H232" i="15"/>
  <c r="J232" i="15"/>
  <c r="L232" i="15"/>
  <c r="E236" i="32" l="1"/>
  <c r="G241" i="86" l="1"/>
  <c r="H241" i="86"/>
  <c r="L241" i="86"/>
  <c r="I241" i="86" s="1"/>
  <c r="M241" i="86"/>
  <c r="J241" i="86" s="1"/>
  <c r="F241" i="86"/>
  <c r="AH234" i="92" l="1"/>
  <c r="AF234" i="92"/>
  <c r="AD234" i="92"/>
  <c r="AB234" i="92"/>
  <c r="Z234" i="92"/>
  <c r="X234" i="92"/>
  <c r="V234" i="92"/>
  <c r="T234" i="92"/>
  <c r="R234" i="92"/>
  <c r="P234" i="92"/>
  <c r="N234" i="92"/>
  <c r="L234" i="92"/>
  <c r="J234" i="92"/>
  <c r="H234" i="92"/>
  <c r="F234" i="92"/>
  <c r="D234" i="92"/>
  <c r="AH233" i="92"/>
  <c r="AF233" i="92"/>
  <c r="AD233" i="92"/>
  <c r="AB233" i="92"/>
  <c r="Z233" i="92"/>
  <c r="X233" i="92"/>
  <c r="V233" i="92"/>
  <c r="T233" i="92"/>
  <c r="R233" i="92"/>
  <c r="P233" i="92"/>
  <c r="N233" i="92"/>
  <c r="L233" i="92"/>
  <c r="J233" i="92"/>
  <c r="H233" i="92"/>
  <c r="F233" i="92"/>
  <c r="D233" i="92"/>
  <c r="AH232" i="92"/>
  <c r="AF232" i="92"/>
  <c r="AD232" i="92"/>
  <c r="AB232" i="92"/>
  <c r="Z232" i="92"/>
  <c r="X232" i="92"/>
  <c r="V232" i="92"/>
  <c r="T232" i="92"/>
  <c r="R232" i="92"/>
  <c r="P232" i="92"/>
  <c r="N232" i="92"/>
  <c r="L232" i="92"/>
  <c r="J232" i="92"/>
  <c r="H232" i="92"/>
  <c r="F232" i="92"/>
  <c r="D232" i="92"/>
  <c r="AH231" i="92"/>
  <c r="AF231" i="92"/>
  <c r="AD231" i="92"/>
  <c r="AB231" i="92"/>
  <c r="Y231" i="92"/>
  <c r="Z231" i="92" s="1"/>
  <c r="X231" i="92"/>
  <c r="V231" i="92"/>
  <c r="T231" i="92"/>
  <c r="R231" i="92"/>
  <c r="P231" i="92"/>
  <c r="N231" i="92"/>
  <c r="L231" i="92"/>
  <c r="J231" i="92"/>
  <c r="H231" i="92"/>
  <c r="F231" i="92"/>
  <c r="D231" i="92"/>
  <c r="AH230" i="92"/>
  <c r="AF230" i="92"/>
  <c r="AD230" i="92"/>
  <c r="AB230" i="92"/>
  <c r="Y230" i="92"/>
  <c r="Z230" i="92" s="1"/>
  <c r="X230" i="92"/>
  <c r="V230" i="92"/>
  <c r="T230" i="92"/>
  <c r="R230" i="92"/>
  <c r="P230" i="92"/>
  <c r="N230" i="92"/>
  <c r="L230" i="92"/>
  <c r="J230" i="92"/>
  <c r="H230" i="92"/>
  <c r="F230" i="92"/>
  <c r="D230" i="92"/>
  <c r="AH228" i="92"/>
  <c r="AF228" i="92"/>
  <c r="AD228" i="92"/>
  <c r="AB228" i="92"/>
  <c r="Y228" i="92"/>
  <c r="Z228" i="92" s="1"/>
  <c r="X228" i="92"/>
  <c r="V228" i="92"/>
  <c r="T228" i="92"/>
  <c r="R228" i="92"/>
  <c r="P228" i="92"/>
  <c r="N228" i="92"/>
  <c r="L228" i="92"/>
  <c r="J228" i="92"/>
  <c r="H228" i="92"/>
  <c r="F228" i="92"/>
  <c r="D228" i="92"/>
  <c r="AH227" i="92"/>
  <c r="AF227" i="92"/>
  <c r="AD227" i="92"/>
  <c r="AB227" i="92"/>
  <c r="Y227" i="92"/>
  <c r="Z227" i="92" s="1"/>
  <c r="X227" i="92"/>
  <c r="V227" i="92"/>
  <c r="T227" i="92"/>
  <c r="R227" i="92"/>
  <c r="P227" i="92"/>
  <c r="N227" i="92"/>
  <c r="L227" i="92"/>
  <c r="J227" i="92"/>
  <c r="H227" i="92"/>
  <c r="F227" i="92"/>
  <c r="D227" i="92"/>
  <c r="AH226" i="92"/>
  <c r="AF226" i="92"/>
  <c r="AD226" i="92"/>
  <c r="AB226" i="92"/>
  <c r="Y226" i="92"/>
  <c r="Z226" i="92" s="1"/>
  <c r="X226" i="92"/>
  <c r="V226" i="92"/>
  <c r="T226" i="92"/>
  <c r="R226" i="92"/>
  <c r="P226" i="92"/>
  <c r="N226" i="92"/>
  <c r="L226" i="92"/>
  <c r="J226" i="92"/>
  <c r="H226" i="92"/>
  <c r="F226" i="92"/>
  <c r="D226" i="92"/>
  <c r="AH225" i="92"/>
  <c r="AF225" i="92"/>
  <c r="AD225" i="92"/>
  <c r="AB225" i="92"/>
  <c r="Y225" i="92"/>
  <c r="Z225" i="92" s="1"/>
  <c r="X225" i="92"/>
  <c r="V225" i="92"/>
  <c r="T225" i="92"/>
  <c r="R225" i="92"/>
  <c r="P225" i="92"/>
  <c r="N225" i="92"/>
  <c r="L225" i="92"/>
  <c r="J225" i="92"/>
  <c r="H225" i="92"/>
  <c r="F225" i="92"/>
  <c r="D225" i="92"/>
  <c r="AH224" i="92"/>
  <c r="AF224" i="92"/>
  <c r="AD224" i="92"/>
  <c r="AB224" i="92"/>
  <c r="Y224" i="92"/>
  <c r="Z224" i="92" s="1"/>
  <c r="X224" i="92"/>
  <c r="V224" i="92"/>
  <c r="T224" i="92"/>
  <c r="R224" i="92"/>
  <c r="P224" i="92"/>
  <c r="N224" i="92"/>
  <c r="L224" i="92"/>
  <c r="J224" i="92"/>
  <c r="H224" i="92"/>
  <c r="F224" i="92"/>
  <c r="D224" i="92"/>
  <c r="AH223" i="92"/>
  <c r="AF223" i="92"/>
  <c r="AD223" i="92"/>
  <c r="AB223" i="92"/>
  <c r="Y223" i="92"/>
  <c r="Z223" i="92" s="1"/>
  <c r="X223" i="92"/>
  <c r="V223" i="92"/>
  <c r="T223" i="92"/>
  <c r="R223" i="92"/>
  <c r="P223" i="92"/>
  <c r="N223" i="92"/>
  <c r="L223" i="92"/>
  <c r="J223" i="92"/>
  <c r="H223" i="92"/>
  <c r="F223" i="92"/>
  <c r="D223" i="92"/>
  <c r="AH222" i="92"/>
  <c r="AF222" i="92"/>
  <c r="AD222" i="92"/>
  <c r="AB222" i="92"/>
  <c r="Y222" i="92"/>
  <c r="Z222" i="92" s="1"/>
  <c r="X222" i="92"/>
  <c r="V222" i="92"/>
  <c r="T222" i="92"/>
  <c r="R222" i="92"/>
  <c r="P222" i="92"/>
  <c r="N222" i="92"/>
  <c r="L222" i="92"/>
  <c r="J222" i="92"/>
  <c r="H222" i="92"/>
  <c r="F222" i="92"/>
  <c r="D222" i="92"/>
  <c r="AH219" i="92"/>
  <c r="AF219" i="92"/>
  <c r="AD219" i="92"/>
  <c r="AB219" i="92"/>
  <c r="Y219" i="92"/>
  <c r="Z219" i="92" s="1"/>
  <c r="X219" i="92"/>
  <c r="V219" i="92"/>
  <c r="T219" i="92"/>
  <c r="R219" i="92"/>
  <c r="P219" i="92"/>
  <c r="N219" i="92"/>
  <c r="L219" i="92"/>
  <c r="J219" i="92"/>
  <c r="H219" i="92"/>
  <c r="F219" i="92"/>
  <c r="D219" i="92"/>
  <c r="AH218" i="92"/>
  <c r="AF218" i="92"/>
  <c r="AD218" i="92"/>
  <c r="AB218" i="92"/>
  <c r="Y218" i="92"/>
  <c r="Z218" i="92" s="1"/>
  <c r="X218" i="92"/>
  <c r="V218" i="92"/>
  <c r="T218" i="92"/>
  <c r="R218" i="92"/>
  <c r="P218" i="92"/>
  <c r="N218" i="92"/>
  <c r="L218" i="92"/>
  <c r="J218" i="92"/>
  <c r="H218" i="92"/>
  <c r="F218" i="92"/>
  <c r="D218" i="92"/>
  <c r="AH217" i="92"/>
  <c r="AF217" i="92"/>
  <c r="AD217" i="92"/>
  <c r="AB217" i="92"/>
  <c r="Y217" i="92"/>
  <c r="Z217" i="92" s="1"/>
  <c r="X217" i="92"/>
  <c r="V217" i="92"/>
  <c r="T217" i="92"/>
  <c r="R217" i="92"/>
  <c r="P217" i="92"/>
  <c r="N217" i="92"/>
  <c r="L217" i="92"/>
  <c r="J217" i="92"/>
  <c r="H217" i="92"/>
  <c r="F217" i="92"/>
  <c r="D217" i="92"/>
  <c r="AH215" i="92"/>
  <c r="AF215" i="92"/>
  <c r="AD215" i="92"/>
  <c r="AB215" i="92"/>
  <c r="Y215" i="92"/>
  <c r="Z215" i="92" s="1"/>
  <c r="X215" i="92"/>
  <c r="V215" i="92"/>
  <c r="T215" i="92"/>
  <c r="R215" i="92"/>
  <c r="P215" i="92"/>
  <c r="N215" i="92"/>
  <c r="L215" i="92"/>
  <c r="J215" i="92"/>
  <c r="H215" i="92"/>
  <c r="F215" i="92"/>
  <c r="D215" i="92"/>
  <c r="AH214" i="92"/>
  <c r="AF214" i="92"/>
  <c r="AD214" i="92"/>
  <c r="AB214" i="92"/>
  <c r="Y214" i="92"/>
  <c r="Z214" i="92" s="1"/>
  <c r="X214" i="92"/>
  <c r="V214" i="92"/>
  <c r="T214" i="92"/>
  <c r="R214" i="92"/>
  <c r="P214" i="92"/>
  <c r="N214" i="92"/>
  <c r="L214" i="92"/>
  <c r="J214" i="92"/>
  <c r="H214" i="92"/>
  <c r="F214" i="92"/>
  <c r="D214" i="92"/>
  <c r="AH213" i="92"/>
  <c r="AF213" i="92"/>
  <c r="AD213" i="92"/>
  <c r="AB213" i="92"/>
  <c r="Y213" i="92"/>
  <c r="Z213" i="92" s="1"/>
  <c r="X213" i="92"/>
  <c r="V213" i="92"/>
  <c r="T213" i="92"/>
  <c r="R213" i="92"/>
  <c r="P213" i="92"/>
  <c r="N213" i="92"/>
  <c r="L213" i="92"/>
  <c r="J213" i="92"/>
  <c r="H213" i="92"/>
  <c r="F213" i="92"/>
  <c r="D213" i="92"/>
  <c r="AH212" i="92"/>
  <c r="AF212" i="92"/>
  <c r="AD212" i="92"/>
  <c r="AB212" i="92"/>
  <c r="Y212" i="92"/>
  <c r="Z212" i="92" s="1"/>
  <c r="X212" i="92"/>
  <c r="V212" i="92"/>
  <c r="T212" i="92"/>
  <c r="R212" i="92"/>
  <c r="P212" i="92"/>
  <c r="N212" i="92"/>
  <c r="L212" i="92"/>
  <c r="J212" i="92"/>
  <c r="H212" i="92"/>
  <c r="F212" i="92"/>
  <c r="D212" i="92"/>
  <c r="AH211" i="92"/>
  <c r="AF211" i="92"/>
  <c r="AD211" i="92"/>
  <c r="AB211" i="92"/>
  <c r="Y211" i="92"/>
  <c r="Z211" i="92" s="1"/>
  <c r="X211" i="92"/>
  <c r="V211" i="92"/>
  <c r="T211" i="92"/>
  <c r="R211" i="92"/>
  <c r="P211" i="92"/>
  <c r="N211" i="92"/>
  <c r="L211" i="92"/>
  <c r="J211" i="92"/>
  <c r="H211" i="92"/>
  <c r="F211" i="92"/>
  <c r="D211" i="92"/>
  <c r="AH210" i="92"/>
  <c r="AF210" i="92"/>
  <c r="AD210" i="92"/>
  <c r="AB210" i="92"/>
  <c r="Z210" i="92"/>
  <c r="X210" i="92"/>
  <c r="V210" i="92"/>
  <c r="T210" i="92"/>
  <c r="R210" i="92"/>
  <c r="P210" i="92"/>
  <c r="N210" i="92"/>
  <c r="L210" i="92"/>
  <c r="J210" i="92"/>
  <c r="H210" i="92"/>
  <c r="F210" i="92"/>
  <c r="D210" i="92"/>
  <c r="AH209" i="92"/>
  <c r="AF209" i="92"/>
  <c r="AD209" i="92"/>
  <c r="AB209" i="92"/>
  <c r="Z209" i="92"/>
  <c r="X209" i="92"/>
  <c r="V209" i="92"/>
  <c r="T209" i="92"/>
  <c r="R209" i="92"/>
  <c r="P209" i="92"/>
  <c r="N209" i="92"/>
  <c r="L209" i="92"/>
  <c r="J209" i="92"/>
  <c r="H209" i="92"/>
  <c r="F209" i="92"/>
  <c r="D209" i="92"/>
  <c r="AH208" i="92"/>
  <c r="AF208" i="92"/>
  <c r="AD208" i="92"/>
  <c r="AB208" i="92"/>
  <c r="Z208" i="92"/>
  <c r="X208" i="92"/>
  <c r="V208" i="92"/>
  <c r="T208" i="92"/>
  <c r="R208" i="92"/>
  <c r="P208" i="92"/>
  <c r="N208" i="92"/>
  <c r="L208" i="92"/>
  <c r="J208" i="92"/>
  <c r="H208" i="92"/>
  <c r="F208" i="92"/>
  <c r="D208" i="92"/>
  <c r="AH207" i="92"/>
  <c r="AF207" i="92"/>
  <c r="AD207" i="92"/>
  <c r="AB207" i="92"/>
  <c r="Z207" i="92"/>
  <c r="X207" i="92"/>
  <c r="V207" i="92"/>
  <c r="T207" i="92"/>
  <c r="R207" i="92"/>
  <c r="P207" i="92"/>
  <c r="N207" i="92"/>
  <c r="L207" i="92"/>
  <c r="J207" i="92"/>
  <c r="H207" i="92"/>
  <c r="F207" i="92"/>
  <c r="D207" i="92"/>
  <c r="AH206" i="92"/>
  <c r="AF206" i="92"/>
  <c r="AD206" i="92"/>
  <c r="AB206" i="92"/>
  <c r="Z206" i="92"/>
  <c r="X206" i="92"/>
  <c r="V206" i="92"/>
  <c r="T206" i="92"/>
  <c r="R206" i="92"/>
  <c r="P206" i="92"/>
  <c r="N206" i="92"/>
  <c r="L206" i="92"/>
  <c r="J206" i="92"/>
  <c r="H206" i="92"/>
  <c r="F206" i="92"/>
  <c r="D206" i="92"/>
  <c r="AH205" i="92"/>
  <c r="AF205" i="92"/>
  <c r="AD205" i="92"/>
  <c r="AB205" i="92"/>
  <c r="Z205" i="92"/>
  <c r="X205" i="92"/>
  <c r="V205" i="92"/>
  <c r="T205" i="92"/>
  <c r="R205" i="92"/>
  <c r="P205" i="92"/>
  <c r="N205" i="92"/>
  <c r="L205" i="92"/>
  <c r="J205" i="92"/>
  <c r="H205" i="92"/>
  <c r="F205" i="92"/>
  <c r="D205" i="92"/>
  <c r="AH204" i="92"/>
  <c r="AF204" i="92"/>
  <c r="AD204" i="92"/>
  <c r="AB204" i="92"/>
  <c r="Z204" i="92"/>
  <c r="X204" i="92"/>
  <c r="V204" i="92"/>
  <c r="T204" i="92"/>
  <c r="R204" i="92"/>
  <c r="P204" i="92"/>
  <c r="N204" i="92"/>
  <c r="L204" i="92"/>
  <c r="J204" i="92"/>
  <c r="H204" i="92"/>
  <c r="F204" i="92"/>
  <c r="D204" i="92"/>
  <c r="AH202" i="92"/>
  <c r="AF202" i="92"/>
  <c r="AD202" i="92"/>
  <c r="AB202" i="92"/>
  <c r="Z202" i="92"/>
  <c r="X202" i="92"/>
  <c r="V202" i="92"/>
  <c r="T202" i="92"/>
  <c r="R202" i="92"/>
  <c r="P202" i="92"/>
  <c r="N202" i="92"/>
  <c r="L202" i="92"/>
  <c r="J202" i="92"/>
  <c r="H202" i="92"/>
  <c r="F202" i="92"/>
  <c r="D202" i="92"/>
  <c r="AH201" i="92"/>
  <c r="AF201" i="92"/>
  <c r="AD201" i="92"/>
  <c r="AB201" i="92"/>
  <c r="Z201" i="92"/>
  <c r="X201" i="92"/>
  <c r="V201" i="92"/>
  <c r="T201" i="92"/>
  <c r="R201" i="92"/>
  <c r="P201" i="92"/>
  <c r="N201" i="92"/>
  <c r="L201" i="92"/>
  <c r="J201" i="92"/>
  <c r="H201" i="92"/>
  <c r="F201" i="92"/>
  <c r="D201" i="92"/>
  <c r="AH200" i="92"/>
  <c r="AF200" i="92"/>
  <c r="AD200" i="92"/>
  <c r="AB200" i="92"/>
  <c r="Z200" i="92"/>
  <c r="X200" i="92"/>
  <c r="V200" i="92"/>
  <c r="T200" i="92"/>
  <c r="R200" i="92"/>
  <c r="P200" i="92"/>
  <c r="N200" i="92"/>
  <c r="L200" i="92"/>
  <c r="J200" i="92"/>
  <c r="H200" i="92"/>
  <c r="F200" i="92"/>
  <c r="D200" i="92"/>
  <c r="AH199" i="92"/>
  <c r="AF199" i="92"/>
  <c r="AD199" i="92"/>
  <c r="AB199" i="92"/>
  <c r="Z199" i="92"/>
  <c r="X199" i="92"/>
  <c r="V199" i="92"/>
  <c r="T199" i="92"/>
  <c r="R199" i="92"/>
  <c r="P199" i="92"/>
  <c r="N199" i="92"/>
  <c r="L199" i="92"/>
  <c r="J199" i="92"/>
  <c r="H199" i="92"/>
  <c r="F199" i="92"/>
  <c r="D199" i="92"/>
  <c r="AH198" i="92"/>
  <c r="AF198" i="92"/>
  <c r="AD198" i="92"/>
  <c r="AB198" i="92"/>
  <c r="Z198" i="92"/>
  <c r="X198" i="92"/>
  <c r="V198" i="92"/>
  <c r="T198" i="92"/>
  <c r="R198" i="92"/>
  <c r="P198" i="92"/>
  <c r="N198" i="92"/>
  <c r="L198" i="92"/>
  <c r="J198" i="92"/>
  <c r="H198" i="92"/>
  <c r="F198" i="92"/>
  <c r="D198" i="92"/>
  <c r="AH197" i="92"/>
  <c r="AF197" i="92"/>
  <c r="AD197" i="92"/>
  <c r="AB197" i="92"/>
  <c r="Z197" i="92"/>
  <c r="X197" i="92"/>
  <c r="V197" i="92"/>
  <c r="T197" i="92"/>
  <c r="R197" i="92"/>
  <c r="P197" i="92"/>
  <c r="N197" i="92"/>
  <c r="L197" i="92"/>
  <c r="J197" i="92"/>
  <c r="H197" i="92"/>
  <c r="F197" i="92"/>
  <c r="D197" i="92"/>
  <c r="AH196" i="92"/>
  <c r="AF196" i="92"/>
  <c r="AD196" i="92"/>
  <c r="AB196" i="92"/>
  <c r="Y196" i="92"/>
  <c r="Z196" i="92" s="1"/>
  <c r="X196" i="92"/>
  <c r="V196" i="92"/>
  <c r="T196" i="92"/>
  <c r="R196" i="92"/>
  <c r="P196" i="92"/>
  <c r="N196" i="92"/>
  <c r="L196" i="92"/>
  <c r="J196" i="92"/>
  <c r="H196" i="92"/>
  <c r="F196" i="92"/>
  <c r="D196" i="92"/>
  <c r="AH195" i="92"/>
  <c r="AF195" i="92"/>
  <c r="AD195" i="92"/>
  <c r="AB195" i="92"/>
  <c r="Z195" i="92"/>
  <c r="X195" i="92"/>
  <c r="V195" i="92"/>
  <c r="T195" i="92"/>
  <c r="R195" i="92"/>
  <c r="P195" i="92"/>
  <c r="N195" i="92"/>
  <c r="L195" i="92"/>
  <c r="J195" i="92"/>
  <c r="H195" i="92"/>
  <c r="F195" i="92"/>
  <c r="D195" i="92"/>
  <c r="AH194" i="92"/>
  <c r="AF194" i="92"/>
  <c r="AD194" i="92"/>
  <c r="AB194" i="92"/>
  <c r="Z194" i="92"/>
  <c r="X194" i="92"/>
  <c r="V194" i="92"/>
  <c r="T194" i="92"/>
  <c r="R194" i="92"/>
  <c r="P194" i="92"/>
  <c r="N194" i="92"/>
  <c r="L194" i="92"/>
  <c r="J194" i="92"/>
  <c r="H194" i="92"/>
  <c r="F194" i="92"/>
  <c r="D194" i="92"/>
  <c r="AH193" i="92"/>
  <c r="AF193" i="92"/>
  <c r="AD193" i="92"/>
  <c r="AB193" i="92"/>
  <c r="Z193" i="92"/>
  <c r="X193" i="92"/>
  <c r="V193" i="92"/>
  <c r="T193" i="92"/>
  <c r="R193" i="92"/>
  <c r="P193" i="92"/>
  <c r="N193" i="92"/>
  <c r="L193" i="92"/>
  <c r="J193" i="92"/>
  <c r="H193" i="92"/>
  <c r="F193" i="92"/>
  <c r="D193" i="92"/>
  <c r="AH192" i="92"/>
  <c r="AF192" i="92"/>
  <c r="AD192" i="92"/>
  <c r="AB192" i="92"/>
  <c r="Z192" i="92"/>
  <c r="X192" i="92"/>
  <c r="V192" i="92"/>
  <c r="T192" i="92"/>
  <c r="R192" i="92"/>
  <c r="P192" i="92"/>
  <c r="N192" i="92"/>
  <c r="L192" i="92"/>
  <c r="J192" i="92"/>
  <c r="H192" i="92"/>
  <c r="F192" i="92"/>
  <c r="D192" i="92"/>
  <c r="AH191" i="92"/>
  <c r="AF191" i="92"/>
  <c r="AD191" i="92"/>
  <c r="AB191" i="92"/>
  <c r="Z191" i="92"/>
  <c r="X191" i="92"/>
  <c r="V191" i="92"/>
  <c r="T191" i="92"/>
  <c r="R191" i="92"/>
  <c r="P191" i="92"/>
  <c r="N191" i="92"/>
  <c r="L191" i="92"/>
  <c r="J191" i="92"/>
  <c r="H191" i="92"/>
  <c r="F191" i="92"/>
  <c r="D191" i="92"/>
  <c r="T189" i="92"/>
  <c r="T188" i="92"/>
  <c r="T187" i="92"/>
  <c r="T186" i="92"/>
  <c r="T185" i="92"/>
  <c r="T184" i="92"/>
  <c r="T183" i="92"/>
  <c r="T182" i="92"/>
  <c r="T181" i="92"/>
  <c r="T180" i="92"/>
  <c r="T179" i="92"/>
  <c r="T178" i="92"/>
  <c r="T176" i="92"/>
  <c r="T175" i="92"/>
  <c r="T174" i="92"/>
  <c r="T173" i="92"/>
  <c r="T172" i="92"/>
  <c r="T171" i="92"/>
  <c r="T170" i="92"/>
  <c r="T169" i="92"/>
  <c r="T168" i="92"/>
  <c r="T167" i="92"/>
  <c r="T166" i="92"/>
  <c r="AH165" i="92"/>
  <c r="AF165" i="92"/>
  <c r="AD165" i="92"/>
  <c r="AB165" i="92"/>
  <c r="Y165" i="92"/>
  <c r="Z165" i="92" s="1"/>
  <c r="X165" i="92"/>
  <c r="V165" i="92"/>
  <c r="T165" i="92"/>
  <c r="R165" i="92"/>
  <c r="P165" i="92"/>
  <c r="N165" i="92"/>
  <c r="L165" i="92"/>
  <c r="J165" i="92"/>
  <c r="H165" i="92"/>
  <c r="F165" i="92"/>
  <c r="D165" i="92"/>
  <c r="AH163" i="92"/>
  <c r="AF163" i="92"/>
  <c r="AD163" i="92"/>
  <c r="AB163" i="92"/>
  <c r="Y163" i="92"/>
  <c r="Z163" i="92" s="1"/>
  <c r="X163" i="92"/>
  <c r="V163" i="92"/>
  <c r="T163" i="92"/>
  <c r="R163" i="92"/>
  <c r="P163" i="92"/>
  <c r="N163" i="92"/>
  <c r="L163" i="92"/>
  <c r="J163" i="92"/>
  <c r="H163" i="92"/>
  <c r="F163" i="92"/>
  <c r="AH162" i="92"/>
  <c r="AF162" i="92"/>
  <c r="AD162" i="92"/>
  <c r="AB162" i="92"/>
  <c r="Y162" i="92"/>
  <c r="Z162" i="92" s="1"/>
  <c r="X162" i="92"/>
  <c r="V162" i="92"/>
  <c r="T162" i="92"/>
  <c r="R162" i="92"/>
  <c r="P162" i="92"/>
  <c r="N162" i="92"/>
  <c r="L162" i="92"/>
  <c r="J162" i="92"/>
  <c r="H162" i="92"/>
  <c r="F162" i="92"/>
  <c r="D162" i="92"/>
  <c r="T159" i="92"/>
  <c r="T158" i="92"/>
  <c r="T157" i="92"/>
  <c r="T156" i="92"/>
  <c r="T155" i="92"/>
  <c r="AH154" i="92"/>
  <c r="AF154" i="92"/>
  <c r="AD154" i="92"/>
  <c r="AB154" i="92"/>
  <c r="Y154" i="92"/>
  <c r="Z154" i="92" s="1"/>
  <c r="X154" i="92"/>
  <c r="V154" i="92"/>
  <c r="T154" i="92"/>
  <c r="R154" i="92"/>
  <c r="P154" i="92"/>
  <c r="N154" i="92"/>
  <c r="L154" i="92"/>
  <c r="J154" i="92"/>
  <c r="H154" i="92"/>
  <c r="F154" i="92"/>
  <c r="D154" i="92"/>
  <c r="AH153" i="92"/>
  <c r="AF153" i="92"/>
  <c r="AD153" i="92"/>
  <c r="AB153" i="92"/>
  <c r="Y153" i="92"/>
  <c r="Z153" i="92" s="1"/>
  <c r="X153" i="92"/>
  <c r="T153" i="92"/>
  <c r="F153" i="92"/>
  <c r="AH152" i="92"/>
  <c r="AF152" i="92"/>
  <c r="AD152" i="92"/>
  <c r="AB152" i="92"/>
  <c r="Y152" i="92"/>
  <c r="Z152" i="92" s="1"/>
  <c r="X152" i="92"/>
  <c r="T152" i="92"/>
  <c r="P152" i="92"/>
  <c r="N152" i="92"/>
  <c r="L152" i="92"/>
  <c r="J152" i="92"/>
  <c r="H152" i="92"/>
  <c r="F152" i="92"/>
  <c r="D152" i="92"/>
  <c r="AI150" i="92"/>
  <c r="S150" i="92"/>
  <c r="C150" i="92"/>
  <c r="B150" i="92"/>
  <c r="P150" i="92" s="1"/>
  <c r="T149" i="92"/>
  <c r="R149" i="92"/>
  <c r="L149" i="92"/>
  <c r="AH148" i="92"/>
  <c r="AF148" i="92"/>
  <c r="AD148" i="92"/>
  <c r="AB148" i="92"/>
  <c r="Y148" i="92"/>
  <c r="Z148" i="92" s="1"/>
  <c r="X148" i="92"/>
  <c r="V148" i="92"/>
  <c r="T148" i="92"/>
  <c r="R148" i="92"/>
  <c r="P148" i="92"/>
  <c r="N148" i="92"/>
  <c r="L148" i="92"/>
  <c r="J148" i="92"/>
  <c r="H148" i="92"/>
  <c r="F148" i="92"/>
  <c r="D148" i="92"/>
  <c r="AH147" i="92"/>
  <c r="AF147" i="92"/>
  <c r="AD147" i="92"/>
  <c r="AB147" i="92"/>
  <c r="Y147" i="92"/>
  <c r="Z147" i="92" s="1"/>
  <c r="X147" i="92"/>
  <c r="V147" i="92"/>
  <c r="T147" i="92"/>
  <c r="R147" i="92"/>
  <c r="P147" i="92"/>
  <c r="N147" i="92"/>
  <c r="L147" i="92"/>
  <c r="J147" i="92"/>
  <c r="H147" i="92"/>
  <c r="F147" i="92"/>
  <c r="D147" i="92"/>
  <c r="AH146" i="92"/>
  <c r="AF146" i="92"/>
  <c r="AD146" i="92"/>
  <c r="AB146" i="92"/>
  <c r="Y146" i="92"/>
  <c r="Z146" i="92" s="1"/>
  <c r="X146" i="92"/>
  <c r="V146" i="92"/>
  <c r="T146" i="92"/>
  <c r="R146" i="92"/>
  <c r="P146" i="92"/>
  <c r="N146" i="92"/>
  <c r="L146" i="92"/>
  <c r="J146" i="92"/>
  <c r="H146" i="92"/>
  <c r="F146" i="92"/>
  <c r="D146" i="92"/>
  <c r="AI145" i="92"/>
  <c r="AG145" i="92"/>
  <c r="AH145" i="92" s="1"/>
  <c r="AE145" i="92"/>
  <c r="AF145" i="92" s="1"/>
  <c r="AC145" i="92"/>
  <c r="AD145" i="92" s="1"/>
  <c r="AB145" i="92"/>
  <c r="X145" i="92"/>
  <c r="V145" i="92"/>
  <c r="T145" i="92"/>
  <c r="R145" i="92"/>
  <c r="O145" i="92"/>
  <c r="P145" i="92" s="1"/>
  <c r="M145" i="92"/>
  <c r="N145" i="92" s="1"/>
  <c r="K145" i="92"/>
  <c r="L145" i="92" s="1"/>
  <c r="J145" i="92"/>
  <c r="G145" i="92"/>
  <c r="F145" i="92"/>
  <c r="D145" i="92"/>
  <c r="AH144" i="92"/>
  <c r="AF144" i="92"/>
  <c r="AD144" i="92"/>
  <c r="AB144" i="92"/>
  <c r="Y144" i="92"/>
  <c r="Z144" i="92" s="1"/>
  <c r="X144" i="92"/>
  <c r="V144" i="92"/>
  <c r="T144" i="92"/>
  <c r="R144" i="92"/>
  <c r="P144" i="92"/>
  <c r="N144" i="92"/>
  <c r="L144" i="92"/>
  <c r="J144" i="92"/>
  <c r="H144" i="92"/>
  <c r="F144" i="92"/>
  <c r="D144" i="92"/>
  <c r="AH143" i="92"/>
  <c r="AF143" i="92"/>
  <c r="AD143" i="92"/>
  <c r="AB143" i="92"/>
  <c r="Y143" i="92"/>
  <c r="Z143" i="92" s="1"/>
  <c r="X143" i="92"/>
  <c r="V143" i="92"/>
  <c r="T143" i="92"/>
  <c r="R143" i="92"/>
  <c r="P143" i="92"/>
  <c r="N143" i="92"/>
  <c r="L143" i="92"/>
  <c r="J143" i="92"/>
  <c r="H143" i="92"/>
  <c r="F143" i="92"/>
  <c r="D143" i="92"/>
  <c r="AH142" i="92"/>
  <c r="AF142" i="92"/>
  <c r="AD142" i="92"/>
  <c r="AB142" i="92"/>
  <c r="Y142" i="92"/>
  <c r="Z142" i="92" s="1"/>
  <c r="X142" i="92"/>
  <c r="V142" i="92"/>
  <c r="T142" i="92"/>
  <c r="R142" i="92"/>
  <c r="P142" i="92"/>
  <c r="N142" i="92"/>
  <c r="L142" i="92"/>
  <c r="J142" i="92"/>
  <c r="H142" i="92"/>
  <c r="F142" i="92"/>
  <c r="D142" i="92"/>
  <c r="AH141" i="92"/>
  <c r="AF141" i="92"/>
  <c r="AD141" i="92"/>
  <c r="AB141" i="92"/>
  <c r="Y141" i="92"/>
  <c r="Z141" i="92" s="1"/>
  <c r="X141" i="92"/>
  <c r="V141" i="92"/>
  <c r="T141" i="92"/>
  <c r="R141" i="92"/>
  <c r="P141" i="92"/>
  <c r="N141" i="92"/>
  <c r="L141" i="92"/>
  <c r="J141" i="92"/>
  <c r="H141" i="92"/>
  <c r="F141" i="92"/>
  <c r="D141" i="92"/>
  <c r="AH140" i="92"/>
  <c r="AF140" i="92"/>
  <c r="AD140" i="92"/>
  <c r="AB140" i="92"/>
  <c r="Y140" i="92"/>
  <c r="Z140" i="92" s="1"/>
  <c r="X140" i="92"/>
  <c r="V140" i="92"/>
  <c r="T140" i="92"/>
  <c r="R140" i="92"/>
  <c r="P140" i="92"/>
  <c r="N140" i="92"/>
  <c r="L140" i="92"/>
  <c r="J140" i="92"/>
  <c r="H140" i="92"/>
  <c r="F140" i="92"/>
  <c r="D140" i="92"/>
  <c r="AH139" i="92"/>
  <c r="AF139" i="92"/>
  <c r="AD139" i="92"/>
  <c r="AB139" i="92"/>
  <c r="Y139" i="92"/>
  <c r="Z139" i="92" s="1"/>
  <c r="X139" i="92"/>
  <c r="V139" i="92"/>
  <c r="T139" i="92"/>
  <c r="R139" i="92"/>
  <c r="P139" i="92"/>
  <c r="N139" i="92"/>
  <c r="L139" i="92"/>
  <c r="J139" i="92"/>
  <c r="H139" i="92"/>
  <c r="F139" i="92"/>
  <c r="D139" i="92"/>
  <c r="AH137" i="92"/>
  <c r="AF137" i="92"/>
  <c r="AD137" i="92"/>
  <c r="AB137" i="92"/>
  <c r="Y137" i="92"/>
  <c r="Z137" i="92" s="1"/>
  <c r="X137" i="92"/>
  <c r="V137" i="92"/>
  <c r="T137" i="92"/>
  <c r="R137" i="92"/>
  <c r="P137" i="92"/>
  <c r="N137" i="92"/>
  <c r="L137" i="92"/>
  <c r="J137" i="92"/>
  <c r="H137" i="92"/>
  <c r="F137" i="92"/>
  <c r="D137" i="92"/>
  <c r="AH136" i="92"/>
  <c r="AF136" i="92"/>
  <c r="AD136" i="92"/>
  <c r="AB136" i="92"/>
  <c r="Y136" i="92"/>
  <c r="Z136" i="92" s="1"/>
  <c r="X136" i="92"/>
  <c r="V136" i="92"/>
  <c r="T136" i="92"/>
  <c r="R136" i="92"/>
  <c r="P136" i="92"/>
  <c r="N136" i="92"/>
  <c r="L136" i="92"/>
  <c r="J136" i="92"/>
  <c r="H136" i="92"/>
  <c r="F136" i="92"/>
  <c r="D136" i="92"/>
  <c r="AH135" i="92"/>
  <c r="AF135" i="92"/>
  <c r="AD135" i="92"/>
  <c r="AB135" i="92"/>
  <c r="Y135" i="92"/>
  <c r="Z135" i="92" s="1"/>
  <c r="X135" i="92"/>
  <c r="V135" i="92"/>
  <c r="T135" i="92"/>
  <c r="R135" i="92"/>
  <c r="P135" i="92"/>
  <c r="N135" i="92"/>
  <c r="L135" i="92"/>
  <c r="J135" i="92"/>
  <c r="H135" i="92"/>
  <c r="F135" i="92"/>
  <c r="D135" i="92"/>
  <c r="AH134" i="92"/>
  <c r="AF134" i="92"/>
  <c r="AD134" i="92"/>
  <c r="AB134" i="92"/>
  <c r="Y134" i="92"/>
  <c r="Z134" i="92" s="1"/>
  <c r="X134" i="92"/>
  <c r="V134" i="92"/>
  <c r="T134" i="92"/>
  <c r="R134" i="92"/>
  <c r="P134" i="92"/>
  <c r="N134" i="92"/>
  <c r="L134" i="92"/>
  <c r="J134" i="92"/>
  <c r="H134" i="92"/>
  <c r="F134" i="92"/>
  <c r="D134" i="92"/>
  <c r="AH133" i="92"/>
  <c r="AF133" i="92"/>
  <c r="AD133" i="92"/>
  <c r="AB133" i="92"/>
  <c r="Y133" i="92"/>
  <c r="Z133" i="92" s="1"/>
  <c r="X133" i="92"/>
  <c r="V133" i="92"/>
  <c r="T133" i="92"/>
  <c r="R133" i="92"/>
  <c r="P133" i="92"/>
  <c r="N133" i="92"/>
  <c r="L133" i="92"/>
  <c r="J133" i="92"/>
  <c r="H133" i="92"/>
  <c r="F133" i="92"/>
  <c r="D133" i="92"/>
  <c r="AH132" i="92"/>
  <c r="AF132" i="92"/>
  <c r="AD132" i="92"/>
  <c r="AB132" i="92"/>
  <c r="Y132" i="92"/>
  <c r="Z132" i="92" s="1"/>
  <c r="X132" i="92"/>
  <c r="V132" i="92"/>
  <c r="T132" i="92"/>
  <c r="R132" i="92"/>
  <c r="P132" i="92"/>
  <c r="N132" i="92"/>
  <c r="L132" i="92"/>
  <c r="J132" i="92"/>
  <c r="H132" i="92"/>
  <c r="F132" i="92"/>
  <c r="D132" i="92"/>
  <c r="AH131" i="92"/>
  <c r="AF131" i="92"/>
  <c r="AD131" i="92"/>
  <c r="AB131" i="92"/>
  <c r="Y131" i="92"/>
  <c r="Z131" i="92" s="1"/>
  <c r="X131" i="92"/>
  <c r="V131" i="92"/>
  <c r="T131" i="92"/>
  <c r="R131" i="92"/>
  <c r="P131" i="92"/>
  <c r="N131" i="92"/>
  <c r="L131" i="92"/>
  <c r="J131" i="92"/>
  <c r="H131" i="92"/>
  <c r="F131" i="92"/>
  <c r="D131" i="92"/>
  <c r="AH130" i="92"/>
  <c r="AF130" i="92"/>
  <c r="AD130" i="92"/>
  <c r="AB130" i="92"/>
  <c r="Y130" i="92"/>
  <c r="Z130" i="92" s="1"/>
  <c r="X130" i="92"/>
  <c r="V130" i="92"/>
  <c r="T130" i="92"/>
  <c r="R130" i="92"/>
  <c r="P130" i="92"/>
  <c r="N130" i="92"/>
  <c r="L130" i="92"/>
  <c r="J130" i="92"/>
  <c r="H130" i="92"/>
  <c r="F130" i="92"/>
  <c r="D130" i="92"/>
  <c r="AH129" i="92"/>
  <c r="AF129" i="92"/>
  <c r="AD129" i="92"/>
  <c r="AB129" i="92"/>
  <c r="Y129" i="92"/>
  <c r="Z129" i="92" s="1"/>
  <c r="X129" i="92"/>
  <c r="V129" i="92"/>
  <c r="T129" i="92"/>
  <c r="R129" i="92"/>
  <c r="P129" i="92"/>
  <c r="N129" i="92"/>
  <c r="L129" i="92"/>
  <c r="J129" i="92"/>
  <c r="H129" i="92"/>
  <c r="F129" i="92"/>
  <c r="D129" i="92"/>
  <c r="AH128" i="92"/>
  <c r="AF128" i="92"/>
  <c r="AD128" i="92"/>
  <c r="AB128" i="92"/>
  <c r="Y128" i="92"/>
  <c r="Z128" i="92" s="1"/>
  <c r="X128" i="92"/>
  <c r="V128" i="92"/>
  <c r="T128" i="92"/>
  <c r="R128" i="92"/>
  <c r="P128" i="92"/>
  <c r="N128" i="92"/>
  <c r="L128" i="92"/>
  <c r="J128" i="92"/>
  <c r="H128" i="92"/>
  <c r="F128" i="92"/>
  <c r="D128" i="92"/>
  <c r="AH127" i="92"/>
  <c r="AF127" i="92"/>
  <c r="AD127" i="92"/>
  <c r="AB127" i="92"/>
  <c r="Y127" i="92"/>
  <c r="Z127" i="92" s="1"/>
  <c r="X127" i="92"/>
  <c r="V127" i="92"/>
  <c r="T127" i="92"/>
  <c r="R127" i="92"/>
  <c r="P127" i="92"/>
  <c r="N127" i="92"/>
  <c r="L127" i="92"/>
  <c r="J127" i="92"/>
  <c r="H127" i="92"/>
  <c r="F127" i="92"/>
  <c r="D127" i="92"/>
  <c r="AH126" i="92"/>
  <c r="AF126" i="92"/>
  <c r="AD126" i="92"/>
  <c r="AB126" i="92"/>
  <c r="Y126" i="92"/>
  <c r="Z126" i="92" s="1"/>
  <c r="X126" i="92"/>
  <c r="V126" i="92"/>
  <c r="T126" i="92"/>
  <c r="R126" i="92"/>
  <c r="P126" i="92"/>
  <c r="N126" i="92"/>
  <c r="L126" i="92"/>
  <c r="J126" i="92"/>
  <c r="H126" i="92"/>
  <c r="F126" i="92"/>
  <c r="D126" i="92"/>
  <c r="AH124" i="92"/>
  <c r="AF124" i="92"/>
  <c r="AD124" i="92"/>
  <c r="AB124" i="92"/>
  <c r="Y124" i="92"/>
  <c r="Z124" i="92" s="1"/>
  <c r="X124" i="92"/>
  <c r="V124" i="92"/>
  <c r="T124" i="92"/>
  <c r="R124" i="92"/>
  <c r="P124" i="92"/>
  <c r="N124" i="92"/>
  <c r="L124" i="92"/>
  <c r="J124" i="92"/>
  <c r="H124" i="92"/>
  <c r="F124" i="92"/>
  <c r="D124" i="92"/>
  <c r="AH123" i="92"/>
  <c r="AF123" i="92"/>
  <c r="AD123" i="92"/>
  <c r="AB123" i="92"/>
  <c r="Y123" i="92"/>
  <c r="Z123" i="92" s="1"/>
  <c r="X123" i="92"/>
  <c r="V123" i="92"/>
  <c r="T123" i="92"/>
  <c r="R123" i="92"/>
  <c r="P123" i="92"/>
  <c r="N123" i="92"/>
  <c r="L123" i="92"/>
  <c r="J123" i="92"/>
  <c r="H123" i="92"/>
  <c r="F123" i="92"/>
  <c r="D123" i="92"/>
  <c r="AH122" i="92"/>
  <c r="AF122" i="92"/>
  <c r="AD122" i="92"/>
  <c r="AB122" i="92"/>
  <c r="Y122" i="92"/>
  <c r="Z122" i="92" s="1"/>
  <c r="X122" i="92"/>
  <c r="V122" i="92"/>
  <c r="T122" i="92"/>
  <c r="R122" i="92"/>
  <c r="P122" i="92"/>
  <c r="N122" i="92"/>
  <c r="L122" i="92"/>
  <c r="J122" i="92"/>
  <c r="H122" i="92"/>
  <c r="F122" i="92"/>
  <c r="D122" i="92"/>
  <c r="AH121" i="92"/>
  <c r="AF121" i="92"/>
  <c r="AD121" i="92"/>
  <c r="AB121" i="92"/>
  <c r="Y121" i="92"/>
  <c r="Z121" i="92" s="1"/>
  <c r="X121" i="92"/>
  <c r="V121" i="92"/>
  <c r="T121" i="92"/>
  <c r="R121" i="92"/>
  <c r="P121" i="92"/>
  <c r="N121" i="92"/>
  <c r="L121" i="92"/>
  <c r="J121" i="92"/>
  <c r="H121" i="92"/>
  <c r="F121" i="92"/>
  <c r="D121" i="92"/>
  <c r="AH120" i="92"/>
  <c r="AF120" i="92"/>
  <c r="AD120" i="92"/>
  <c r="AB120" i="92"/>
  <c r="Y120" i="92"/>
  <c r="Z120" i="92" s="1"/>
  <c r="X120" i="92"/>
  <c r="V120" i="92"/>
  <c r="T120" i="92"/>
  <c r="R120" i="92"/>
  <c r="P120" i="92"/>
  <c r="N120" i="92"/>
  <c r="L120" i="92"/>
  <c r="J120" i="92"/>
  <c r="H120" i="92"/>
  <c r="F120" i="92"/>
  <c r="D120" i="92"/>
  <c r="AH119" i="92"/>
  <c r="AF119" i="92"/>
  <c r="AD119" i="92"/>
  <c r="AB119" i="92"/>
  <c r="Y119" i="92"/>
  <c r="Z119" i="92" s="1"/>
  <c r="X119" i="92"/>
  <c r="V119" i="92"/>
  <c r="T119" i="92"/>
  <c r="R119" i="92"/>
  <c r="P119" i="92"/>
  <c r="N119" i="92"/>
  <c r="L119" i="92"/>
  <c r="J119" i="92"/>
  <c r="H119" i="92"/>
  <c r="F119" i="92"/>
  <c r="D119" i="92"/>
  <c r="AH118" i="92"/>
  <c r="AF118" i="92"/>
  <c r="AD118" i="92"/>
  <c r="AB118" i="92"/>
  <c r="Y118" i="92"/>
  <c r="Z118" i="92" s="1"/>
  <c r="X118" i="92"/>
  <c r="V118" i="92"/>
  <c r="T118" i="92"/>
  <c r="R118" i="92"/>
  <c r="P118" i="92"/>
  <c r="N118" i="92"/>
  <c r="L118" i="92"/>
  <c r="J118" i="92"/>
  <c r="H118" i="92"/>
  <c r="F118" i="92"/>
  <c r="D118" i="92"/>
  <c r="AH117" i="92"/>
  <c r="AF117" i="92"/>
  <c r="AD117" i="92"/>
  <c r="AB117" i="92"/>
  <c r="Y117" i="92"/>
  <c r="Z117" i="92" s="1"/>
  <c r="X117" i="92"/>
  <c r="V117" i="92"/>
  <c r="T117" i="92"/>
  <c r="R117" i="92"/>
  <c r="P117" i="92"/>
  <c r="N117" i="92"/>
  <c r="L117" i="92"/>
  <c r="J117" i="92"/>
  <c r="H117" i="92"/>
  <c r="F117" i="92"/>
  <c r="D117" i="92"/>
  <c r="AH116" i="92"/>
  <c r="AF116" i="92"/>
  <c r="AD116" i="92"/>
  <c r="AB116" i="92"/>
  <c r="Y116" i="92"/>
  <c r="Z116" i="92" s="1"/>
  <c r="X116" i="92"/>
  <c r="V116" i="92"/>
  <c r="T116" i="92"/>
  <c r="R116" i="92"/>
  <c r="P116" i="92"/>
  <c r="N116" i="92"/>
  <c r="L116" i="92"/>
  <c r="J116" i="92"/>
  <c r="H116" i="92"/>
  <c r="F116" i="92"/>
  <c r="D116" i="92"/>
  <c r="AH115" i="92"/>
  <c r="AF115" i="92"/>
  <c r="AD115" i="92"/>
  <c r="AB115" i="92"/>
  <c r="Y115" i="92"/>
  <c r="Z115" i="92" s="1"/>
  <c r="X115" i="92"/>
  <c r="V115" i="92"/>
  <c r="T115" i="92"/>
  <c r="R115" i="92"/>
  <c r="P115" i="92"/>
  <c r="N115" i="92"/>
  <c r="L115" i="92"/>
  <c r="J115" i="92"/>
  <c r="H115" i="92"/>
  <c r="F115" i="92"/>
  <c r="D115" i="92"/>
  <c r="AH114" i="92"/>
  <c r="AF114" i="92"/>
  <c r="AD114" i="92"/>
  <c r="AB114" i="92"/>
  <c r="Y114" i="92"/>
  <c r="Z114" i="92" s="1"/>
  <c r="X114" i="92"/>
  <c r="V114" i="92"/>
  <c r="T114" i="92"/>
  <c r="R114" i="92"/>
  <c r="P114" i="92"/>
  <c r="N114" i="92"/>
  <c r="L114" i="92"/>
  <c r="J114" i="92"/>
  <c r="H114" i="92"/>
  <c r="F114" i="92"/>
  <c r="D114" i="92"/>
  <c r="AH113" i="92"/>
  <c r="AF113" i="92"/>
  <c r="AD113" i="92"/>
  <c r="AB113" i="92"/>
  <c r="Y113" i="92"/>
  <c r="Z113" i="92" s="1"/>
  <c r="X113" i="92"/>
  <c r="V113" i="92"/>
  <c r="T113" i="92"/>
  <c r="R113" i="92"/>
  <c r="P113" i="92"/>
  <c r="N113" i="92"/>
  <c r="L113" i="92"/>
  <c r="J113" i="92"/>
  <c r="H113" i="92"/>
  <c r="F113" i="92"/>
  <c r="D113" i="92"/>
  <c r="AH111" i="92"/>
  <c r="AF111" i="92"/>
  <c r="AD111" i="92"/>
  <c r="AB111" i="92"/>
  <c r="Z111" i="92"/>
  <c r="X111" i="92"/>
  <c r="V111" i="92"/>
  <c r="T111" i="92"/>
  <c r="R111" i="92"/>
  <c r="P111" i="92"/>
  <c r="N111" i="92"/>
  <c r="L111" i="92"/>
  <c r="J111" i="92"/>
  <c r="H111" i="92"/>
  <c r="F111" i="92"/>
  <c r="D111" i="92"/>
  <c r="AH110" i="92"/>
  <c r="AF110" i="92"/>
  <c r="AD110" i="92"/>
  <c r="AB110" i="92"/>
  <c r="Z110" i="92"/>
  <c r="X110" i="92"/>
  <c r="V110" i="92"/>
  <c r="T110" i="92"/>
  <c r="R110" i="92"/>
  <c r="P110" i="92"/>
  <c r="N110" i="92"/>
  <c r="L110" i="92"/>
  <c r="J110" i="92"/>
  <c r="H110" i="92"/>
  <c r="F110" i="92"/>
  <c r="D110" i="92"/>
  <c r="AH109" i="92"/>
  <c r="AF109" i="92"/>
  <c r="AD109" i="92"/>
  <c r="AB109" i="92"/>
  <c r="Z109" i="92"/>
  <c r="X109" i="92"/>
  <c r="V109" i="92"/>
  <c r="T109" i="92"/>
  <c r="R109" i="92"/>
  <c r="P109" i="92"/>
  <c r="N109" i="92"/>
  <c r="L109" i="92"/>
  <c r="J109" i="92"/>
  <c r="H109" i="92"/>
  <c r="F109" i="92"/>
  <c r="D109" i="92"/>
  <c r="AH108" i="92"/>
  <c r="AF108" i="92"/>
  <c r="AD108" i="92"/>
  <c r="AB108" i="92"/>
  <c r="Z108" i="92"/>
  <c r="X108" i="92"/>
  <c r="V108" i="92"/>
  <c r="T108" i="92"/>
  <c r="R108" i="92"/>
  <c r="P108" i="92"/>
  <c r="N108" i="92"/>
  <c r="L108" i="92"/>
  <c r="J108" i="92"/>
  <c r="H108" i="92"/>
  <c r="F108" i="92"/>
  <c r="D108" i="92"/>
  <c r="AH107" i="92"/>
  <c r="AF107" i="92"/>
  <c r="AD107" i="92"/>
  <c r="AB107" i="92"/>
  <c r="Z107" i="92"/>
  <c r="X107" i="92"/>
  <c r="V107" i="92"/>
  <c r="T107" i="92"/>
  <c r="R107" i="92"/>
  <c r="P107" i="92"/>
  <c r="N107" i="92"/>
  <c r="L107" i="92"/>
  <c r="J107" i="92"/>
  <c r="H107" i="92"/>
  <c r="F107" i="92"/>
  <c r="D107" i="92"/>
  <c r="AH106" i="92"/>
  <c r="AF106" i="92"/>
  <c r="AD106" i="92"/>
  <c r="AB106" i="92"/>
  <c r="Z106" i="92"/>
  <c r="X106" i="92"/>
  <c r="V106" i="92"/>
  <c r="T106" i="92"/>
  <c r="R106" i="92"/>
  <c r="P106" i="92"/>
  <c r="N106" i="92"/>
  <c r="L106" i="92"/>
  <c r="J106" i="92"/>
  <c r="H106" i="92"/>
  <c r="F106" i="92"/>
  <c r="D106" i="92"/>
  <c r="AH105" i="92"/>
  <c r="AF105" i="92"/>
  <c r="AD105" i="92"/>
  <c r="AB105" i="92"/>
  <c r="Z105" i="92"/>
  <c r="X105" i="92"/>
  <c r="V105" i="92"/>
  <c r="T105" i="92"/>
  <c r="R105" i="92"/>
  <c r="P105" i="92"/>
  <c r="N105" i="92"/>
  <c r="L105" i="92"/>
  <c r="J105" i="92"/>
  <c r="H105" i="92"/>
  <c r="F105" i="92"/>
  <c r="D105" i="92"/>
  <c r="AH104" i="92"/>
  <c r="AF104" i="92"/>
  <c r="AD104" i="92"/>
  <c r="AB104" i="92"/>
  <c r="Z104" i="92"/>
  <c r="X104" i="92"/>
  <c r="V104" i="92"/>
  <c r="T104" i="92"/>
  <c r="R104" i="92"/>
  <c r="P104" i="92"/>
  <c r="N104" i="92"/>
  <c r="L104" i="92"/>
  <c r="J104" i="92"/>
  <c r="H104" i="92"/>
  <c r="F104" i="92"/>
  <c r="D104" i="92"/>
  <c r="AH103" i="92"/>
  <c r="AF103" i="92"/>
  <c r="AD103" i="92"/>
  <c r="AB103" i="92"/>
  <c r="Z103" i="92"/>
  <c r="X103" i="92"/>
  <c r="V103" i="92"/>
  <c r="T103" i="92"/>
  <c r="R103" i="92"/>
  <c r="P103" i="92"/>
  <c r="N103" i="92"/>
  <c r="L103" i="92"/>
  <c r="J103" i="92"/>
  <c r="H103" i="92"/>
  <c r="F103" i="92"/>
  <c r="D103" i="92"/>
  <c r="AH102" i="92"/>
  <c r="AF102" i="92"/>
  <c r="AD102" i="92"/>
  <c r="AB102" i="92"/>
  <c r="Z102" i="92"/>
  <c r="X102" i="92"/>
  <c r="V102" i="92"/>
  <c r="T102" i="92"/>
  <c r="R102" i="92"/>
  <c r="P102" i="92"/>
  <c r="N102" i="92"/>
  <c r="L102" i="92"/>
  <c r="J102" i="92"/>
  <c r="H102" i="92"/>
  <c r="F102" i="92"/>
  <c r="D102" i="92"/>
  <c r="AH101" i="92"/>
  <c r="AF101" i="92"/>
  <c r="AD101" i="92"/>
  <c r="AB101" i="92"/>
  <c r="Z101" i="92"/>
  <c r="X101" i="92"/>
  <c r="V101" i="92"/>
  <c r="T101" i="92"/>
  <c r="R101" i="92"/>
  <c r="P101" i="92"/>
  <c r="N101" i="92"/>
  <c r="L101" i="92"/>
  <c r="J101" i="92"/>
  <c r="H101" i="92"/>
  <c r="F101" i="92"/>
  <c r="D101" i="92"/>
  <c r="AH100" i="92"/>
  <c r="AF100" i="92"/>
  <c r="AD100" i="92"/>
  <c r="AB100" i="92"/>
  <c r="Z100" i="92"/>
  <c r="X100" i="92"/>
  <c r="V100" i="92"/>
  <c r="T100" i="92"/>
  <c r="R100" i="92"/>
  <c r="P100" i="92"/>
  <c r="N100" i="92"/>
  <c r="L100" i="92"/>
  <c r="J100" i="92"/>
  <c r="H100" i="92"/>
  <c r="F100" i="92"/>
  <c r="D100" i="92"/>
  <c r="AH98" i="92"/>
  <c r="AF98" i="92"/>
  <c r="AD98" i="92"/>
  <c r="AB98" i="92"/>
  <c r="Z98" i="92"/>
  <c r="X98" i="92"/>
  <c r="V98" i="92"/>
  <c r="T98" i="92"/>
  <c r="R98" i="92"/>
  <c r="P98" i="92"/>
  <c r="N98" i="92"/>
  <c r="L98" i="92"/>
  <c r="J98" i="92"/>
  <c r="H98" i="92"/>
  <c r="F98" i="92"/>
  <c r="D98" i="92"/>
  <c r="AH97" i="92"/>
  <c r="AF97" i="92"/>
  <c r="AD97" i="92"/>
  <c r="AB97" i="92"/>
  <c r="Z97" i="92"/>
  <c r="X97" i="92"/>
  <c r="V97" i="92"/>
  <c r="T97" i="92"/>
  <c r="R97" i="92"/>
  <c r="P97" i="92"/>
  <c r="N97" i="92"/>
  <c r="L97" i="92"/>
  <c r="J97" i="92"/>
  <c r="H97" i="92"/>
  <c r="F97" i="92"/>
  <c r="D97" i="92"/>
  <c r="AH96" i="92"/>
  <c r="AF96" i="92"/>
  <c r="AD96" i="92"/>
  <c r="AB96" i="92"/>
  <c r="Z96" i="92"/>
  <c r="X96" i="92"/>
  <c r="V96" i="92"/>
  <c r="T96" i="92"/>
  <c r="R96" i="92"/>
  <c r="P96" i="92"/>
  <c r="N96" i="92"/>
  <c r="L96" i="92"/>
  <c r="J96" i="92"/>
  <c r="H96" i="92"/>
  <c r="F96" i="92"/>
  <c r="D96" i="92"/>
  <c r="AH95" i="92"/>
  <c r="AF95" i="92"/>
  <c r="AD95" i="92"/>
  <c r="AB95" i="92"/>
  <c r="Z95" i="92"/>
  <c r="X95" i="92"/>
  <c r="V95" i="92"/>
  <c r="T95" i="92"/>
  <c r="R95" i="92"/>
  <c r="P95" i="92"/>
  <c r="N95" i="92"/>
  <c r="L95" i="92"/>
  <c r="J95" i="92"/>
  <c r="H95" i="92"/>
  <c r="F95" i="92"/>
  <c r="D95" i="92"/>
  <c r="AH94" i="92"/>
  <c r="AF94" i="92"/>
  <c r="AD94" i="92"/>
  <c r="AB94" i="92"/>
  <c r="Z94" i="92"/>
  <c r="X94" i="92"/>
  <c r="V94" i="92"/>
  <c r="T94" i="92"/>
  <c r="R94" i="92"/>
  <c r="P94" i="92"/>
  <c r="N94" i="92"/>
  <c r="L94" i="92"/>
  <c r="J94" i="92"/>
  <c r="H94" i="92"/>
  <c r="F94" i="92"/>
  <c r="D94" i="92"/>
  <c r="AH93" i="92"/>
  <c r="AF93" i="92"/>
  <c r="AD93" i="92"/>
  <c r="AB93" i="92"/>
  <c r="Z93" i="92"/>
  <c r="X93" i="92"/>
  <c r="V93" i="92"/>
  <c r="T93" i="92"/>
  <c r="R93" i="92"/>
  <c r="P93" i="92"/>
  <c r="N93" i="92"/>
  <c r="L93" i="92"/>
  <c r="J93" i="92"/>
  <c r="H93" i="92"/>
  <c r="F93" i="92"/>
  <c r="D93" i="92"/>
  <c r="AH92" i="92"/>
  <c r="AF92" i="92"/>
  <c r="AD92" i="92"/>
  <c r="AB92" i="92"/>
  <c r="Z92" i="92"/>
  <c r="X92" i="92"/>
  <c r="V92" i="92"/>
  <c r="T92" i="92"/>
  <c r="R92" i="92"/>
  <c r="P92" i="92"/>
  <c r="N92" i="92"/>
  <c r="L92" i="92"/>
  <c r="J92" i="92"/>
  <c r="H92" i="92"/>
  <c r="F92" i="92"/>
  <c r="D92" i="92"/>
  <c r="AH91" i="92"/>
  <c r="AF91" i="92"/>
  <c r="AD91" i="92"/>
  <c r="AB91" i="92"/>
  <c r="Z91" i="92"/>
  <c r="X91" i="92"/>
  <c r="V91" i="92"/>
  <c r="T91" i="92"/>
  <c r="R91" i="92"/>
  <c r="P91" i="92"/>
  <c r="N91" i="92"/>
  <c r="L91" i="92"/>
  <c r="J91" i="92"/>
  <c r="H91" i="92"/>
  <c r="F91" i="92"/>
  <c r="D91" i="92"/>
  <c r="AH90" i="92"/>
  <c r="AF90" i="92"/>
  <c r="AD90" i="92"/>
  <c r="AB90" i="92"/>
  <c r="Z90" i="92"/>
  <c r="X90" i="92"/>
  <c r="V90" i="92"/>
  <c r="T90" i="92"/>
  <c r="R90" i="92"/>
  <c r="P90" i="92"/>
  <c r="N90" i="92"/>
  <c r="L90" i="92"/>
  <c r="J90" i="92"/>
  <c r="H90" i="92"/>
  <c r="F90" i="92"/>
  <c r="D90" i="92"/>
  <c r="AH89" i="92"/>
  <c r="AF89" i="92"/>
  <c r="AD89" i="92"/>
  <c r="AB89" i="92"/>
  <c r="Z89" i="92"/>
  <c r="X89" i="92"/>
  <c r="V89" i="92"/>
  <c r="T89" i="92"/>
  <c r="R89" i="92"/>
  <c r="P89" i="92"/>
  <c r="N89" i="92"/>
  <c r="L89" i="92"/>
  <c r="J89" i="92"/>
  <c r="H89" i="92"/>
  <c r="F89" i="92"/>
  <c r="D89" i="92"/>
  <c r="AH88" i="92"/>
  <c r="AF88" i="92"/>
  <c r="AD88" i="92"/>
  <c r="AB88" i="92"/>
  <c r="Z88" i="92"/>
  <c r="X88" i="92"/>
  <c r="V88" i="92"/>
  <c r="T88" i="92"/>
  <c r="R88" i="92"/>
  <c r="P88" i="92"/>
  <c r="N88" i="92"/>
  <c r="L88" i="92"/>
  <c r="J88" i="92"/>
  <c r="H88" i="92"/>
  <c r="F88" i="92"/>
  <c r="D88" i="92"/>
  <c r="AH87" i="92"/>
  <c r="AF87" i="92"/>
  <c r="AD87" i="92"/>
  <c r="AB87" i="92"/>
  <c r="Z87" i="92"/>
  <c r="X87" i="92"/>
  <c r="V87" i="92"/>
  <c r="T87" i="92"/>
  <c r="R87" i="92"/>
  <c r="P87" i="92"/>
  <c r="N87" i="92"/>
  <c r="L87" i="92"/>
  <c r="J87" i="92"/>
  <c r="H87" i="92"/>
  <c r="F87" i="92"/>
  <c r="D87" i="92"/>
  <c r="AH85" i="92"/>
  <c r="AH73" i="92" s="1"/>
  <c r="AF85" i="92"/>
  <c r="AF73" i="92" s="1"/>
  <c r="AD85" i="92"/>
  <c r="AD73" i="92" s="1"/>
  <c r="AB85" i="92"/>
  <c r="AB73" i="92" s="1"/>
  <c r="Z85" i="92"/>
  <c r="Z73" i="92" s="1"/>
  <c r="X85" i="92"/>
  <c r="X73" i="92" s="1"/>
  <c r="V85" i="92"/>
  <c r="V73" i="92" s="1"/>
  <c r="T85" i="92"/>
  <c r="T73" i="92" s="1"/>
  <c r="R85" i="92"/>
  <c r="R73" i="92" s="1"/>
  <c r="P85" i="92"/>
  <c r="P73" i="92" s="1"/>
  <c r="N85" i="92"/>
  <c r="N73" i="92" s="1"/>
  <c r="L85" i="92"/>
  <c r="L73" i="92" s="1"/>
  <c r="J85" i="92"/>
  <c r="J73" i="92" s="1"/>
  <c r="H85" i="92"/>
  <c r="H73" i="92" s="1"/>
  <c r="F85" i="92"/>
  <c r="F73" i="92" s="1"/>
  <c r="D85" i="92"/>
  <c r="D73" i="92" s="1"/>
  <c r="AH84" i="92"/>
  <c r="AF84" i="92"/>
  <c r="AD84" i="92"/>
  <c r="AB84" i="92"/>
  <c r="Z84" i="92"/>
  <c r="X84" i="92"/>
  <c r="V84" i="92"/>
  <c r="T84" i="92"/>
  <c r="R84" i="92"/>
  <c r="P84" i="92"/>
  <c r="N84" i="92"/>
  <c r="L84" i="92"/>
  <c r="J84" i="92"/>
  <c r="H84" i="92"/>
  <c r="F84" i="92"/>
  <c r="D84" i="92"/>
  <c r="AH83" i="92"/>
  <c r="AF83" i="92"/>
  <c r="AD83" i="92"/>
  <c r="AB83" i="92"/>
  <c r="Z83" i="92"/>
  <c r="X83" i="92"/>
  <c r="V83" i="92"/>
  <c r="T83" i="92"/>
  <c r="R83" i="92"/>
  <c r="P83" i="92"/>
  <c r="N83" i="92"/>
  <c r="L83" i="92"/>
  <c r="J83" i="92"/>
  <c r="H83" i="92"/>
  <c r="F83" i="92"/>
  <c r="D83" i="92"/>
  <c r="AH82" i="92"/>
  <c r="AF82" i="92"/>
  <c r="AD82" i="92"/>
  <c r="AB82" i="92"/>
  <c r="Z82" i="92"/>
  <c r="X82" i="92"/>
  <c r="V82" i="92"/>
  <c r="T82" i="92"/>
  <c r="R82" i="92"/>
  <c r="P82" i="92"/>
  <c r="N82" i="92"/>
  <c r="L82" i="92"/>
  <c r="J82" i="92"/>
  <c r="H82" i="92"/>
  <c r="F82" i="92"/>
  <c r="D82" i="92"/>
  <c r="AH81" i="92"/>
  <c r="AF81" i="92"/>
  <c r="AD81" i="92"/>
  <c r="AB81" i="92"/>
  <c r="Z81" i="92"/>
  <c r="X81" i="92"/>
  <c r="V81" i="92"/>
  <c r="T81" i="92"/>
  <c r="R81" i="92"/>
  <c r="P81" i="92"/>
  <c r="N81" i="92"/>
  <c r="L81" i="92"/>
  <c r="J81" i="92"/>
  <c r="H81" i="92"/>
  <c r="F81" i="92"/>
  <c r="D81" i="92"/>
  <c r="AH80" i="92"/>
  <c r="AF80" i="92"/>
  <c r="AD80" i="92"/>
  <c r="AB80" i="92"/>
  <c r="Z80" i="92"/>
  <c r="X80" i="92"/>
  <c r="V80" i="92"/>
  <c r="T80" i="92"/>
  <c r="R80" i="92"/>
  <c r="P80" i="92"/>
  <c r="N80" i="92"/>
  <c r="L80" i="92"/>
  <c r="J80" i="92"/>
  <c r="H80" i="92"/>
  <c r="F80" i="92"/>
  <c r="D80" i="92"/>
  <c r="AH79" i="92"/>
  <c r="AF79" i="92"/>
  <c r="AD79" i="92"/>
  <c r="AB79" i="92"/>
  <c r="Z79" i="92"/>
  <c r="X79" i="92"/>
  <c r="T79" i="92"/>
  <c r="R79" i="92"/>
  <c r="P79" i="92"/>
  <c r="N79" i="92"/>
  <c r="L79" i="92"/>
  <c r="J79" i="92"/>
  <c r="H79" i="92"/>
  <c r="F79" i="92"/>
  <c r="D79" i="92"/>
  <c r="AH78" i="92"/>
  <c r="AF78" i="92"/>
  <c r="AD78" i="92"/>
  <c r="AB78" i="92"/>
  <c r="Z78" i="92"/>
  <c r="X78" i="92"/>
  <c r="V78" i="92"/>
  <c r="T78" i="92"/>
  <c r="R78" i="92"/>
  <c r="P78" i="92"/>
  <c r="N78" i="92"/>
  <c r="L78" i="92"/>
  <c r="J78" i="92"/>
  <c r="H78" i="92"/>
  <c r="F78" i="92"/>
  <c r="D78" i="92"/>
  <c r="AH77" i="92"/>
  <c r="AF77" i="92"/>
  <c r="AD77" i="92"/>
  <c r="AB77" i="92"/>
  <c r="Z77" i="92"/>
  <c r="X77" i="92"/>
  <c r="V77" i="92"/>
  <c r="T77" i="92"/>
  <c r="R77" i="92"/>
  <c r="P77" i="92"/>
  <c r="N77" i="92"/>
  <c r="L77" i="92"/>
  <c r="J77" i="92"/>
  <c r="H77" i="92"/>
  <c r="F77" i="92"/>
  <c r="D77" i="92"/>
  <c r="AH76" i="92"/>
  <c r="AF76" i="92"/>
  <c r="AD76" i="92"/>
  <c r="AB76" i="92"/>
  <c r="Z76" i="92"/>
  <c r="X76" i="92"/>
  <c r="V76" i="92"/>
  <c r="T76" i="92"/>
  <c r="R76" i="92"/>
  <c r="P76" i="92"/>
  <c r="N76" i="92"/>
  <c r="L76" i="92"/>
  <c r="J76" i="92"/>
  <c r="H76" i="92"/>
  <c r="F76" i="92"/>
  <c r="D76" i="92"/>
  <c r="AH75" i="92"/>
  <c r="AF75" i="92"/>
  <c r="AD75" i="92"/>
  <c r="AB75" i="92"/>
  <c r="Z75" i="92"/>
  <c r="X75" i="92"/>
  <c r="V75" i="92"/>
  <c r="T75" i="92"/>
  <c r="R75" i="92"/>
  <c r="P75" i="92"/>
  <c r="N75" i="92"/>
  <c r="L75" i="92"/>
  <c r="J75" i="92"/>
  <c r="H75" i="92"/>
  <c r="F75" i="92"/>
  <c r="D75" i="92"/>
  <c r="AH74" i="92"/>
  <c r="AF74" i="92"/>
  <c r="AD74" i="92"/>
  <c r="AB74" i="92"/>
  <c r="Z74" i="92"/>
  <c r="X74" i="92"/>
  <c r="V74" i="92"/>
  <c r="T74" i="92"/>
  <c r="R74" i="92"/>
  <c r="P74" i="92"/>
  <c r="N74" i="92"/>
  <c r="L74" i="92"/>
  <c r="J74" i="92"/>
  <c r="H74" i="92"/>
  <c r="F74" i="92"/>
  <c r="D74" i="92"/>
  <c r="AI73" i="92"/>
  <c r="AG73" i="92"/>
  <c r="AE73" i="92"/>
  <c r="AC73" i="92"/>
  <c r="AA73" i="92"/>
  <c r="W73" i="92"/>
  <c r="U73" i="92"/>
  <c r="S73" i="92"/>
  <c r="Q73" i="92"/>
  <c r="O73" i="92"/>
  <c r="M73" i="92"/>
  <c r="K73" i="92"/>
  <c r="I73" i="92"/>
  <c r="G73" i="92"/>
  <c r="E73" i="92"/>
  <c r="C73" i="92"/>
  <c r="B73" i="92"/>
  <c r="AH72" i="92"/>
  <c r="AH60" i="92" s="1"/>
  <c r="AF72" i="92"/>
  <c r="AF60" i="92" s="1"/>
  <c r="AD72" i="92"/>
  <c r="AD60" i="92" s="1"/>
  <c r="AB72" i="92"/>
  <c r="AB60" i="92" s="1"/>
  <c r="Z72" i="92"/>
  <c r="Z60" i="92" s="1"/>
  <c r="X72" i="92"/>
  <c r="X60" i="92" s="1"/>
  <c r="V72" i="92"/>
  <c r="V60" i="92" s="1"/>
  <c r="T72" i="92"/>
  <c r="T60" i="92" s="1"/>
  <c r="R72" i="92"/>
  <c r="R60" i="92" s="1"/>
  <c r="P72" i="92"/>
  <c r="P60" i="92" s="1"/>
  <c r="N72" i="92"/>
  <c r="N60" i="92" s="1"/>
  <c r="L72" i="92"/>
  <c r="L60" i="92" s="1"/>
  <c r="J72" i="92"/>
  <c r="J60" i="92" s="1"/>
  <c r="H72" i="92"/>
  <c r="H60" i="92" s="1"/>
  <c r="F72" i="92"/>
  <c r="F60" i="92" s="1"/>
  <c r="D72" i="92"/>
  <c r="D60" i="92" s="1"/>
  <c r="AH71" i="92"/>
  <c r="AF71" i="92"/>
  <c r="AD71" i="92"/>
  <c r="AB71" i="92"/>
  <c r="Z71" i="92"/>
  <c r="X71" i="92"/>
  <c r="V71" i="92"/>
  <c r="T71" i="92"/>
  <c r="R71" i="92"/>
  <c r="P71" i="92"/>
  <c r="N71" i="92"/>
  <c r="L71" i="92"/>
  <c r="J71" i="92"/>
  <c r="H71" i="92"/>
  <c r="F71" i="92"/>
  <c r="D71" i="92"/>
  <c r="AH70" i="92"/>
  <c r="AF70" i="92"/>
  <c r="AD70" i="92"/>
  <c r="AB70" i="92"/>
  <c r="Z70" i="92"/>
  <c r="X70" i="92"/>
  <c r="V70" i="92"/>
  <c r="T70" i="92"/>
  <c r="R70" i="92"/>
  <c r="P70" i="92"/>
  <c r="N70" i="92"/>
  <c r="L70" i="92"/>
  <c r="J70" i="92"/>
  <c r="H70" i="92"/>
  <c r="F70" i="92"/>
  <c r="D70" i="92"/>
  <c r="AH69" i="92"/>
  <c r="AF69" i="92"/>
  <c r="AD69" i="92"/>
  <c r="AB69" i="92"/>
  <c r="Z69" i="92"/>
  <c r="X69" i="92"/>
  <c r="V69" i="92"/>
  <c r="T69" i="92"/>
  <c r="R69" i="92"/>
  <c r="P69" i="92"/>
  <c r="N69" i="92"/>
  <c r="L69" i="92"/>
  <c r="J69" i="92"/>
  <c r="H69" i="92"/>
  <c r="F69" i="92"/>
  <c r="D69" i="92"/>
  <c r="AH68" i="92"/>
  <c r="AF68" i="92"/>
  <c r="AD68" i="92"/>
  <c r="AB68" i="92"/>
  <c r="Z68" i="92"/>
  <c r="X68" i="92"/>
  <c r="V68" i="92"/>
  <c r="T68" i="92"/>
  <c r="R68" i="92"/>
  <c r="P68" i="92"/>
  <c r="N68" i="92"/>
  <c r="L68" i="92"/>
  <c r="J68" i="92"/>
  <c r="H68" i="92"/>
  <c r="F68" i="92"/>
  <c r="D68" i="92"/>
  <c r="AH67" i="92"/>
  <c r="AF67" i="92"/>
  <c r="AD67" i="92"/>
  <c r="AB67" i="92"/>
  <c r="Z67" i="92"/>
  <c r="X67" i="92"/>
  <c r="V67" i="92"/>
  <c r="T67" i="92"/>
  <c r="R67" i="92"/>
  <c r="P67" i="92"/>
  <c r="N67" i="92"/>
  <c r="L67" i="92"/>
  <c r="J67" i="92"/>
  <c r="H67" i="92"/>
  <c r="F67" i="92"/>
  <c r="D67" i="92"/>
  <c r="AH66" i="92"/>
  <c r="AF66" i="92"/>
  <c r="AD66" i="92"/>
  <c r="AB66" i="92"/>
  <c r="Z66" i="92"/>
  <c r="X66" i="92"/>
  <c r="V66" i="92"/>
  <c r="T66" i="92"/>
  <c r="R66" i="92"/>
  <c r="P66" i="92"/>
  <c r="N66" i="92"/>
  <c r="L66" i="92"/>
  <c r="J66" i="92"/>
  <c r="H66" i="92"/>
  <c r="F66" i="92"/>
  <c r="D66" i="92"/>
  <c r="AH65" i="92"/>
  <c r="AF65" i="92"/>
  <c r="AD65" i="92"/>
  <c r="AB65" i="92"/>
  <c r="Z65" i="92"/>
  <c r="X65" i="92"/>
  <c r="V65" i="92"/>
  <c r="T65" i="92"/>
  <c r="R65" i="92"/>
  <c r="P65" i="92"/>
  <c r="N65" i="92"/>
  <c r="L65" i="92"/>
  <c r="J65" i="92"/>
  <c r="H65" i="92"/>
  <c r="F65" i="92"/>
  <c r="D65" i="92"/>
  <c r="AH64" i="92"/>
  <c r="AF64" i="92"/>
  <c r="AD64" i="92"/>
  <c r="AB64" i="92"/>
  <c r="Z64" i="92"/>
  <c r="X64" i="92"/>
  <c r="V64" i="92"/>
  <c r="T64" i="92"/>
  <c r="R64" i="92"/>
  <c r="P64" i="92"/>
  <c r="N64" i="92"/>
  <c r="L64" i="92"/>
  <c r="J64" i="92"/>
  <c r="H64" i="92"/>
  <c r="F64" i="92"/>
  <c r="D64" i="92"/>
  <c r="AH63" i="92"/>
  <c r="AF63" i="92"/>
  <c r="AD63" i="92"/>
  <c r="AB63" i="92"/>
  <c r="Z63" i="92"/>
  <c r="X63" i="92"/>
  <c r="V63" i="92"/>
  <c r="T63" i="92"/>
  <c r="R63" i="92"/>
  <c r="P63" i="92"/>
  <c r="N63" i="92"/>
  <c r="L63" i="92"/>
  <c r="J63" i="92"/>
  <c r="H63" i="92"/>
  <c r="F63" i="92"/>
  <c r="D63" i="92"/>
  <c r="AH62" i="92"/>
  <c r="AF62" i="92"/>
  <c r="AD62" i="92"/>
  <c r="AB62" i="92"/>
  <c r="Z62" i="92"/>
  <c r="X62" i="92"/>
  <c r="V62" i="92"/>
  <c r="T62" i="92"/>
  <c r="R62" i="92"/>
  <c r="P62" i="92"/>
  <c r="N62" i="92"/>
  <c r="L62" i="92"/>
  <c r="J62" i="92"/>
  <c r="H62" i="92"/>
  <c r="F62" i="92"/>
  <c r="D62" i="92"/>
  <c r="CC61" i="92"/>
  <c r="CD61" i="92" s="1"/>
  <c r="AH61" i="92"/>
  <c r="AF61" i="92"/>
  <c r="AD61" i="92"/>
  <c r="AB61" i="92"/>
  <c r="Z61" i="92"/>
  <c r="X61" i="92"/>
  <c r="V61" i="92"/>
  <c r="T61" i="92"/>
  <c r="R61" i="92"/>
  <c r="P61" i="92"/>
  <c r="N61" i="92"/>
  <c r="L61" i="92"/>
  <c r="J61" i="92"/>
  <c r="H61" i="92"/>
  <c r="F61" i="92"/>
  <c r="D61" i="92"/>
  <c r="AI60" i="92"/>
  <c r="AG60" i="92"/>
  <c r="AE60" i="92"/>
  <c r="AC60" i="92"/>
  <c r="AA60" i="92"/>
  <c r="W60" i="92"/>
  <c r="U60" i="92"/>
  <c r="S60" i="92"/>
  <c r="Q60" i="92"/>
  <c r="O60" i="92"/>
  <c r="M60" i="92"/>
  <c r="K60" i="92"/>
  <c r="I60" i="92"/>
  <c r="G60" i="92"/>
  <c r="E60" i="92"/>
  <c r="C60" i="92"/>
  <c r="B60" i="92"/>
  <c r="CD59" i="92"/>
  <c r="AH59" i="92"/>
  <c r="AH47" i="92" s="1"/>
  <c r="AF59" i="92"/>
  <c r="AF47" i="92" s="1"/>
  <c r="AD59" i="92"/>
  <c r="AD47" i="92" s="1"/>
  <c r="AB59" i="92"/>
  <c r="AB47" i="92" s="1"/>
  <c r="Z59" i="92"/>
  <c r="Z47" i="92" s="1"/>
  <c r="X59" i="92"/>
  <c r="X47" i="92" s="1"/>
  <c r="V59" i="92"/>
  <c r="V47" i="92" s="1"/>
  <c r="T59" i="92"/>
  <c r="T47" i="92" s="1"/>
  <c r="R59" i="92"/>
  <c r="R47" i="92" s="1"/>
  <c r="P59" i="92"/>
  <c r="P47" i="92" s="1"/>
  <c r="N59" i="92"/>
  <c r="N47" i="92" s="1"/>
  <c r="L59" i="92"/>
  <c r="L47" i="92" s="1"/>
  <c r="J59" i="92"/>
  <c r="J47" i="92" s="1"/>
  <c r="H59" i="92"/>
  <c r="H47" i="92" s="1"/>
  <c r="F59" i="92"/>
  <c r="F47" i="92" s="1"/>
  <c r="D59" i="92"/>
  <c r="D47" i="92" s="1"/>
  <c r="CD58" i="92"/>
  <c r="AH58" i="92"/>
  <c r="AF58" i="92"/>
  <c r="AD58" i="92"/>
  <c r="AB58" i="92"/>
  <c r="Z58" i="92"/>
  <c r="X58" i="92"/>
  <c r="V58" i="92"/>
  <c r="T58" i="92"/>
  <c r="R58" i="92"/>
  <c r="P58" i="92"/>
  <c r="N58" i="92"/>
  <c r="L58" i="92"/>
  <c r="J58" i="92"/>
  <c r="H58" i="92"/>
  <c r="F58" i="92"/>
  <c r="D58" i="92"/>
  <c r="CD57" i="92"/>
  <c r="AH57" i="92"/>
  <c r="AF57" i="92"/>
  <c r="AD57" i="92"/>
  <c r="AB57" i="92"/>
  <c r="Z57" i="92"/>
  <c r="X57" i="92"/>
  <c r="V57" i="92"/>
  <c r="T57" i="92"/>
  <c r="R57" i="92"/>
  <c r="P57" i="92"/>
  <c r="N57" i="92"/>
  <c r="L57" i="92"/>
  <c r="J57" i="92"/>
  <c r="H57" i="92"/>
  <c r="F57" i="92"/>
  <c r="D57" i="92"/>
  <c r="CD56" i="92"/>
  <c r="AH56" i="92"/>
  <c r="AF56" i="92"/>
  <c r="AD56" i="92"/>
  <c r="AB56" i="92"/>
  <c r="Z56" i="92"/>
  <c r="X56" i="92"/>
  <c r="V56" i="92"/>
  <c r="T56" i="92"/>
  <c r="R56" i="92"/>
  <c r="P56" i="92"/>
  <c r="N56" i="92"/>
  <c r="L56" i="92"/>
  <c r="J56" i="92"/>
  <c r="H56" i="92"/>
  <c r="F56" i="92"/>
  <c r="D56" i="92"/>
  <c r="CD55" i="92"/>
  <c r="AH55" i="92"/>
  <c r="AF55" i="92"/>
  <c r="AD55" i="92"/>
  <c r="AB55" i="92"/>
  <c r="Z55" i="92"/>
  <c r="X55" i="92"/>
  <c r="V55" i="92"/>
  <c r="T55" i="92"/>
  <c r="R55" i="92"/>
  <c r="P55" i="92"/>
  <c r="N55" i="92"/>
  <c r="L55" i="92"/>
  <c r="J55" i="92"/>
  <c r="H55" i="92"/>
  <c r="F55" i="92"/>
  <c r="D55" i="92"/>
  <c r="CD54" i="92"/>
  <c r="AH54" i="92"/>
  <c r="AF54" i="92"/>
  <c r="AD54" i="92"/>
  <c r="AB54" i="92"/>
  <c r="Z54" i="92"/>
  <c r="X54" i="92"/>
  <c r="V54" i="92"/>
  <c r="T54" i="92"/>
  <c r="R54" i="92"/>
  <c r="P54" i="92"/>
  <c r="N54" i="92"/>
  <c r="L54" i="92"/>
  <c r="J54" i="92"/>
  <c r="H54" i="92"/>
  <c r="F54" i="92"/>
  <c r="D54" i="92"/>
  <c r="AH53" i="92"/>
  <c r="AF53" i="92"/>
  <c r="AD53" i="92"/>
  <c r="AB53" i="92"/>
  <c r="Z53" i="92"/>
  <c r="X53" i="92"/>
  <c r="V53" i="92"/>
  <c r="T53" i="92"/>
  <c r="R53" i="92"/>
  <c r="P53" i="92"/>
  <c r="N53" i="92"/>
  <c r="L53" i="92"/>
  <c r="J53" i="92"/>
  <c r="H53" i="92"/>
  <c r="F53" i="92"/>
  <c r="D53" i="92"/>
  <c r="CC52" i="92"/>
  <c r="CD52" i="92" s="1"/>
  <c r="AH52" i="92"/>
  <c r="AF52" i="92"/>
  <c r="AD52" i="92"/>
  <c r="AB52" i="92"/>
  <c r="Z52" i="92"/>
  <c r="X52" i="92"/>
  <c r="V52" i="92"/>
  <c r="R52" i="92"/>
  <c r="P52" i="92"/>
  <c r="N52" i="92"/>
  <c r="L52" i="92"/>
  <c r="J52" i="92"/>
  <c r="H52" i="92"/>
  <c r="F52" i="92"/>
  <c r="D52" i="92"/>
  <c r="CD51" i="92"/>
  <c r="AH51" i="92"/>
  <c r="AF51" i="92"/>
  <c r="AD51" i="92"/>
  <c r="AB51" i="92"/>
  <c r="Z51" i="92"/>
  <c r="X51" i="92"/>
  <c r="V51" i="92"/>
  <c r="R51" i="92"/>
  <c r="P51" i="92"/>
  <c r="N51" i="92"/>
  <c r="L51" i="92"/>
  <c r="J51" i="92"/>
  <c r="H51" i="92"/>
  <c r="F51" i="92"/>
  <c r="D51" i="92"/>
  <c r="CD50" i="92"/>
  <c r="AH50" i="92"/>
  <c r="AF50" i="92"/>
  <c r="AD50" i="92"/>
  <c r="AB50" i="92"/>
  <c r="Z50" i="92"/>
  <c r="X50" i="92"/>
  <c r="V50" i="92"/>
  <c r="T50" i="92"/>
  <c r="R50" i="92"/>
  <c r="P50" i="92"/>
  <c r="N50" i="92"/>
  <c r="L50" i="92"/>
  <c r="J50" i="92"/>
  <c r="H50" i="92"/>
  <c r="F50" i="92"/>
  <c r="D50" i="92"/>
  <c r="AH49" i="92"/>
  <c r="AF49" i="92"/>
  <c r="AD49" i="92"/>
  <c r="AB49" i="92"/>
  <c r="Z49" i="92"/>
  <c r="X49" i="92"/>
  <c r="V49" i="92"/>
  <c r="R49" i="92"/>
  <c r="P49" i="92"/>
  <c r="N49" i="92"/>
  <c r="L49" i="92"/>
  <c r="J49" i="92"/>
  <c r="H49" i="92"/>
  <c r="F49" i="92"/>
  <c r="D49" i="92"/>
  <c r="CC48" i="92"/>
  <c r="CD48" i="92" s="1"/>
  <c r="AH48" i="92"/>
  <c r="AF48" i="92"/>
  <c r="AD48" i="92"/>
  <c r="AB48" i="92"/>
  <c r="Z48" i="92"/>
  <c r="X48" i="92"/>
  <c r="V48" i="92"/>
  <c r="R48" i="92"/>
  <c r="P48" i="92"/>
  <c r="N48" i="92"/>
  <c r="L48" i="92"/>
  <c r="J48" i="92"/>
  <c r="H48" i="92"/>
  <c r="F48" i="92"/>
  <c r="D48" i="92"/>
  <c r="AI47" i="92"/>
  <c r="AG47" i="92"/>
  <c r="AE47" i="92"/>
  <c r="AC47" i="92"/>
  <c r="AA47" i="92"/>
  <c r="W47" i="92"/>
  <c r="U47" i="92"/>
  <c r="S47" i="92"/>
  <c r="Q47" i="92"/>
  <c r="O47" i="92"/>
  <c r="M47" i="92"/>
  <c r="K47" i="92"/>
  <c r="I47" i="92"/>
  <c r="G47" i="92"/>
  <c r="E47" i="92"/>
  <c r="C47" i="92"/>
  <c r="B47" i="92"/>
  <c r="AH46" i="92"/>
  <c r="AH34" i="92" s="1"/>
  <c r="AF46" i="92"/>
  <c r="AF34" i="92" s="1"/>
  <c r="AD46" i="92"/>
  <c r="AD34" i="92" s="1"/>
  <c r="AB46" i="92"/>
  <c r="AB34" i="92" s="1"/>
  <c r="Z46" i="92"/>
  <c r="Z34" i="92" s="1"/>
  <c r="X46" i="92"/>
  <c r="X34" i="92" s="1"/>
  <c r="V46" i="92"/>
  <c r="V34" i="92" s="1"/>
  <c r="T46" i="92"/>
  <c r="T34" i="92" s="1"/>
  <c r="R46" i="92"/>
  <c r="R34" i="92" s="1"/>
  <c r="P46" i="92"/>
  <c r="P34" i="92" s="1"/>
  <c r="N46" i="92"/>
  <c r="N34" i="92" s="1"/>
  <c r="L46" i="92"/>
  <c r="L34" i="92" s="1"/>
  <c r="J46" i="92"/>
  <c r="J34" i="92" s="1"/>
  <c r="H46" i="92"/>
  <c r="H34" i="92" s="1"/>
  <c r="F46" i="92"/>
  <c r="F34" i="92" s="1"/>
  <c r="D46" i="92"/>
  <c r="D34" i="92" s="1"/>
  <c r="AH45" i="92"/>
  <c r="AF45" i="92"/>
  <c r="AD45" i="92"/>
  <c r="AB45" i="92"/>
  <c r="Z45" i="92"/>
  <c r="X45" i="92"/>
  <c r="V45" i="92"/>
  <c r="R45" i="92"/>
  <c r="P45" i="92"/>
  <c r="N45" i="92"/>
  <c r="L45" i="92"/>
  <c r="J45" i="92"/>
  <c r="H45" i="92"/>
  <c r="F45" i="92"/>
  <c r="D45" i="92"/>
  <c r="AH44" i="92"/>
  <c r="AF44" i="92"/>
  <c r="AD44" i="92"/>
  <c r="AB44" i="92"/>
  <c r="Z44" i="92"/>
  <c r="X44" i="92"/>
  <c r="V44" i="92"/>
  <c r="R44" i="92"/>
  <c r="P44" i="92"/>
  <c r="N44" i="92"/>
  <c r="L44" i="92"/>
  <c r="J44" i="92"/>
  <c r="H44" i="92"/>
  <c r="F44" i="92"/>
  <c r="D44" i="92"/>
  <c r="AH43" i="92"/>
  <c r="AF43" i="92"/>
  <c r="AD43" i="92"/>
  <c r="AB43" i="92"/>
  <c r="Z43" i="92"/>
  <c r="X43" i="92"/>
  <c r="V43" i="92"/>
  <c r="R43" i="92"/>
  <c r="P43" i="92"/>
  <c r="N43" i="92"/>
  <c r="L43" i="92"/>
  <c r="J43" i="92"/>
  <c r="H43" i="92"/>
  <c r="F43" i="92"/>
  <c r="D43" i="92"/>
  <c r="AH42" i="92"/>
  <c r="AF42" i="92"/>
  <c r="AD42" i="92"/>
  <c r="AB42" i="92"/>
  <c r="Z42" i="92"/>
  <c r="X42" i="92"/>
  <c r="V42" i="92"/>
  <c r="R42" i="92"/>
  <c r="P42" i="92"/>
  <c r="N42" i="92"/>
  <c r="L42" i="92"/>
  <c r="J42" i="92"/>
  <c r="H42" i="92"/>
  <c r="F42" i="92"/>
  <c r="D42" i="92"/>
  <c r="AH41" i="92"/>
  <c r="AF41" i="92"/>
  <c r="AD41" i="92"/>
  <c r="AB41" i="92"/>
  <c r="Z41" i="92"/>
  <c r="X41" i="92"/>
  <c r="V41" i="92"/>
  <c r="R41" i="92"/>
  <c r="P41" i="92"/>
  <c r="N41" i="92"/>
  <c r="L41" i="92"/>
  <c r="J41" i="92"/>
  <c r="H41" i="92"/>
  <c r="F41" i="92"/>
  <c r="D41" i="92"/>
  <c r="AH40" i="92"/>
  <c r="AF40" i="92"/>
  <c r="AD40" i="92"/>
  <c r="AB40" i="92"/>
  <c r="Z40" i="92"/>
  <c r="X40" i="92"/>
  <c r="V40" i="92"/>
  <c r="R40" i="92"/>
  <c r="P40" i="92"/>
  <c r="N40" i="92"/>
  <c r="L40" i="92"/>
  <c r="J40" i="92"/>
  <c r="H40" i="92"/>
  <c r="F40" i="92"/>
  <c r="D40" i="92"/>
  <c r="AH39" i="92"/>
  <c r="AF39" i="92"/>
  <c r="AD39" i="92"/>
  <c r="AB39" i="92"/>
  <c r="Z39" i="92"/>
  <c r="X39" i="92"/>
  <c r="V39" i="92"/>
  <c r="R39" i="92"/>
  <c r="P39" i="92"/>
  <c r="N39" i="92"/>
  <c r="L39" i="92"/>
  <c r="J39" i="92"/>
  <c r="H39" i="92"/>
  <c r="F39" i="92"/>
  <c r="D39" i="92"/>
  <c r="AH38" i="92"/>
  <c r="AF38" i="92"/>
  <c r="AD38" i="92"/>
  <c r="AB38" i="92"/>
  <c r="Z38" i="92"/>
  <c r="X38" i="92"/>
  <c r="V38" i="92"/>
  <c r="R38" i="92"/>
  <c r="P38" i="92"/>
  <c r="N38" i="92"/>
  <c r="L38" i="92"/>
  <c r="J38" i="92"/>
  <c r="H38" i="92"/>
  <c r="F38" i="92"/>
  <c r="D38" i="92"/>
  <c r="AH37" i="92"/>
  <c r="AF37" i="92"/>
  <c r="AD37" i="92"/>
  <c r="AB37" i="92"/>
  <c r="Z37" i="92"/>
  <c r="X37" i="92"/>
  <c r="V37" i="92"/>
  <c r="R37" i="92"/>
  <c r="P37" i="92"/>
  <c r="N37" i="92"/>
  <c r="L37" i="92"/>
  <c r="J37" i="92"/>
  <c r="H37" i="92"/>
  <c r="F37" i="92"/>
  <c r="D37" i="92"/>
  <c r="AH36" i="92"/>
  <c r="AF36" i="92"/>
  <c r="AD36" i="92"/>
  <c r="AB36" i="92"/>
  <c r="Z36" i="92"/>
  <c r="X36" i="92"/>
  <c r="V36" i="92"/>
  <c r="R36" i="92"/>
  <c r="P36" i="92"/>
  <c r="N36" i="92"/>
  <c r="L36" i="92"/>
  <c r="J36" i="92"/>
  <c r="H36" i="92"/>
  <c r="F36" i="92"/>
  <c r="D36" i="92"/>
  <c r="AH35" i="92"/>
  <c r="AF35" i="92"/>
  <c r="AD35" i="92"/>
  <c r="AB35" i="92"/>
  <c r="Z35" i="92"/>
  <c r="X35" i="92"/>
  <c r="V35" i="92"/>
  <c r="R35" i="92"/>
  <c r="P35" i="92"/>
  <c r="N35" i="92"/>
  <c r="L35" i="92"/>
  <c r="J35" i="92"/>
  <c r="H35" i="92"/>
  <c r="F35" i="92"/>
  <c r="D35" i="92"/>
  <c r="AI34" i="92"/>
  <c r="AG34" i="92"/>
  <c r="AE34" i="92"/>
  <c r="AC34" i="92"/>
  <c r="AA34" i="92"/>
  <c r="W34" i="92"/>
  <c r="U34" i="92"/>
  <c r="S34" i="92"/>
  <c r="Q34" i="92"/>
  <c r="O34" i="92"/>
  <c r="M34" i="92"/>
  <c r="K34" i="92"/>
  <c r="I34" i="92"/>
  <c r="G34" i="92"/>
  <c r="E34" i="92"/>
  <c r="C34" i="92"/>
  <c r="B34" i="92"/>
  <c r="AI32" i="92"/>
  <c r="AI20" i="92" s="1"/>
  <c r="AH32" i="92"/>
  <c r="AH20" i="92" s="1"/>
  <c r="AF32" i="92"/>
  <c r="AF20" i="92" s="1"/>
  <c r="AD32" i="92"/>
  <c r="AD20" i="92" s="1"/>
  <c r="AB32" i="92"/>
  <c r="AB20" i="92" s="1"/>
  <c r="W32" i="92"/>
  <c r="W20" i="92" s="1"/>
  <c r="V32" i="92"/>
  <c r="V20" i="92" s="1"/>
  <c r="R32" i="92"/>
  <c r="R20" i="92" s="1"/>
  <c r="O32" i="92"/>
  <c r="P32" i="92" s="1"/>
  <c r="P20" i="92" s="1"/>
  <c r="M32" i="92"/>
  <c r="N32" i="92" s="1"/>
  <c r="N20" i="92" s="1"/>
  <c r="K32" i="92"/>
  <c r="L32" i="92" s="1"/>
  <c r="L20" i="92" s="1"/>
  <c r="J32" i="92"/>
  <c r="J20" i="92" s="1"/>
  <c r="G32" i="92"/>
  <c r="G20" i="92" s="1"/>
  <c r="E32" i="92"/>
  <c r="D32" i="92"/>
  <c r="D20" i="92" s="1"/>
  <c r="AI31" i="92"/>
  <c r="AH31" i="92"/>
  <c r="AF31" i="92"/>
  <c r="AD31" i="92"/>
  <c r="AB31" i="92"/>
  <c r="W31" i="92"/>
  <c r="X31" i="92" s="1"/>
  <c r="V31" i="92"/>
  <c r="R31" i="92"/>
  <c r="O31" i="92"/>
  <c r="P31" i="92" s="1"/>
  <c r="M31" i="92"/>
  <c r="N31" i="92" s="1"/>
  <c r="K31" i="92"/>
  <c r="L31" i="92" s="1"/>
  <c r="J31" i="92"/>
  <c r="G31" i="92"/>
  <c r="H31" i="92" s="1"/>
  <c r="E31" i="92"/>
  <c r="D31" i="92"/>
  <c r="AI30" i="92"/>
  <c r="AH30" i="92"/>
  <c r="AF30" i="92"/>
  <c r="AD30" i="92"/>
  <c r="AB30" i="92"/>
  <c r="X30" i="92"/>
  <c r="V30" i="92"/>
  <c r="R30" i="92"/>
  <c r="O30" i="92"/>
  <c r="P30" i="92" s="1"/>
  <c r="M30" i="92"/>
  <c r="N30" i="92" s="1"/>
  <c r="K30" i="92"/>
  <c r="L30" i="92" s="1"/>
  <c r="J30" i="92"/>
  <c r="G30" i="92"/>
  <c r="E30" i="92"/>
  <c r="F30" i="92" s="1"/>
  <c r="D30" i="92"/>
  <c r="AH29" i="92"/>
  <c r="AF29" i="92"/>
  <c r="AD29" i="92"/>
  <c r="AB29" i="92"/>
  <c r="W29" i="92"/>
  <c r="X29" i="92" s="1"/>
  <c r="V29" i="92"/>
  <c r="R29" i="92"/>
  <c r="O29" i="92"/>
  <c r="P29" i="92" s="1"/>
  <c r="M29" i="92"/>
  <c r="N29" i="92" s="1"/>
  <c r="K29" i="92"/>
  <c r="J29" i="92"/>
  <c r="G29" i="92"/>
  <c r="H29" i="92" s="1"/>
  <c r="E29" i="92"/>
  <c r="D29" i="92"/>
  <c r="AI28" i="92"/>
  <c r="AH28" i="92"/>
  <c r="AF28" i="92"/>
  <c r="AD28" i="92"/>
  <c r="AB28" i="92"/>
  <c r="W28" i="92"/>
  <c r="X28" i="92" s="1"/>
  <c r="V28" i="92"/>
  <c r="R28" i="92"/>
  <c r="O28" i="92"/>
  <c r="P28" i="92" s="1"/>
  <c r="M28" i="92"/>
  <c r="N28" i="92" s="1"/>
  <c r="K28" i="92"/>
  <c r="L28" i="92" s="1"/>
  <c r="J28" i="92"/>
  <c r="G28" i="92"/>
  <c r="H28" i="92" s="1"/>
  <c r="E28" i="92"/>
  <c r="D28" i="92"/>
  <c r="AI27" i="92"/>
  <c r="AH27" i="92"/>
  <c r="AF27" i="92"/>
  <c r="AD27" i="92"/>
  <c r="AB27" i="92"/>
  <c r="W27" i="92"/>
  <c r="X27" i="92" s="1"/>
  <c r="V27" i="92"/>
  <c r="R27" i="92"/>
  <c r="O27" i="92"/>
  <c r="P27" i="92" s="1"/>
  <c r="M27" i="92"/>
  <c r="N27" i="92" s="1"/>
  <c r="K27" i="92"/>
  <c r="L27" i="92" s="1"/>
  <c r="J27" i="92"/>
  <c r="G27" i="92"/>
  <c r="H27" i="92" s="1"/>
  <c r="E27" i="92"/>
  <c r="D27" i="92"/>
  <c r="AI26" i="92"/>
  <c r="AH26" i="92"/>
  <c r="AF26" i="92"/>
  <c r="AD26" i="92"/>
  <c r="AB26" i="92"/>
  <c r="W26" i="92"/>
  <c r="X26" i="92" s="1"/>
  <c r="V26" i="92"/>
  <c r="R26" i="92"/>
  <c r="O26" i="92"/>
  <c r="P26" i="92" s="1"/>
  <c r="M26" i="92"/>
  <c r="N26" i="92" s="1"/>
  <c r="K26" i="92"/>
  <c r="L26" i="92" s="1"/>
  <c r="J26" i="92"/>
  <c r="G26" i="92"/>
  <c r="H26" i="92" s="1"/>
  <c r="E26" i="92"/>
  <c r="D26" i="92"/>
  <c r="AI25" i="92"/>
  <c r="AH25" i="92"/>
  <c r="AF25" i="92"/>
  <c r="AD25" i="92"/>
  <c r="AB25" i="92"/>
  <c r="W25" i="92"/>
  <c r="X25" i="92" s="1"/>
  <c r="V25" i="92"/>
  <c r="R25" i="92"/>
  <c r="O25" i="92"/>
  <c r="P25" i="92" s="1"/>
  <c r="M25" i="92"/>
  <c r="N25" i="92" s="1"/>
  <c r="K25" i="92"/>
  <c r="L25" i="92" s="1"/>
  <c r="J25" i="92"/>
  <c r="G25" i="92"/>
  <c r="H25" i="92" s="1"/>
  <c r="E25" i="92"/>
  <c r="D25" i="92"/>
  <c r="AI24" i="92"/>
  <c r="AH24" i="92"/>
  <c r="AF24" i="92"/>
  <c r="AD24" i="92"/>
  <c r="AB24" i="92"/>
  <c r="W24" i="92"/>
  <c r="X24" i="92" s="1"/>
  <c r="V24" i="92"/>
  <c r="R24" i="92"/>
  <c r="O24" i="92"/>
  <c r="P24" i="92" s="1"/>
  <c r="M24" i="92"/>
  <c r="N24" i="92" s="1"/>
  <c r="K24" i="92"/>
  <c r="L24" i="92" s="1"/>
  <c r="J24" i="92"/>
  <c r="G24" i="92"/>
  <c r="H24" i="92" s="1"/>
  <c r="E24" i="92"/>
  <c r="D24" i="92"/>
  <c r="AI23" i="92"/>
  <c r="AH23" i="92"/>
  <c r="AF23" i="92"/>
  <c r="AD23" i="92"/>
  <c r="AB23" i="92"/>
  <c r="W23" i="92"/>
  <c r="X23" i="92" s="1"/>
  <c r="V23" i="92"/>
  <c r="R23" i="92"/>
  <c r="O23" i="92"/>
  <c r="P23" i="92" s="1"/>
  <c r="M23" i="92"/>
  <c r="N23" i="92" s="1"/>
  <c r="K23" i="92"/>
  <c r="L23" i="92" s="1"/>
  <c r="J23" i="92"/>
  <c r="G23" i="92"/>
  <c r="H23" i="92" s="1"/>
  <c r="E23" i="92"/>
  <c r="F23" i="92" s="1"/>
  <c r="D23" i="92"/>
  <c r="AI22" i="92"/>
  <c r="AH22" i="92"/>
  <c r="AF22" i="92"/>
  <c r="AD22" i="92"/>
  <c r="AB22" i="92"/>
  <c r="W22" i="92"/>
  <c r="X22" i="92" s="1"/>
  <c r="V22" i="92"/>
  <c r="R22" i="92"/>
  <c r="O22" i="92"/>
  <c r="P22" i="92" s="1"/>
  <c r="M22" i="92"/>
  <c r="N22" i="92" s="1"/>
  <c r="K22" i="92"/>
  <c r="L22" i="92" s="1"/>
  <c r="J22" i="92"/>
  <c r="G22" i="92"/>
  <c r="H22" i="92" s="1"/>
  <c r="E22" i="92"/>
  <c r="D22" i="92"/>
  <c r="AI21" i="92"/>
  <c r="AH21" i="92"/>
  <c r="AF21" i="92"/>
  <c r="AD21" i="92"/>
  <c r="AB21" i="92"/>
  <c r="W21" i="92"/>
  <c r="X21" i="92" s="1"/>
  <c r="V21" i="92"/>
  <c r="R21" i="92"/>
  <c r="O21" i="92"/>
  <c r="P21" i="92" s="1"/>
  <c r="M21" i="92"/>
  <c r="N21" i="92" s="1"/>
  <c r="K21" i="92"/>
  <c r="J21" i="92"/>
  <c r="G21" i="92"/>
  <c r="H21" i="92" s="1"/>
  <c r="E21" i="92"/>
  <c r="D21" i="92"/>
  <c r="AG20" i="92"/>
  <c r="AE20" i="92"/>
  <c r="AC20" i="92"/>
  <c r="AA20" i="92"/>
  <c r="U20" i="92"/>
  <c r="Q20" i="92"/>
  <c r="I20" i="92"/>
  <c r="C20" i="92"/>
  <c r="B20" i="92"/>
  <c r="AH19" i="92"/>
  <c r="AF19" i="92"/>
  <c r="AD19" i="92"/>
  <c r="AB19" i="92"/>
  <c r="X19" i="92"/>
  <c r="V19" i="92"/>
  <c r="R19" i="92"/>
  <c r="O19" i="92"/>
  <c r="Y19" i="92" s="1"/>
  <c r="Z19" i="92" s="1"/>
  <c r="N19" i="92"/>
  <c r="L19" i="92"/>
  <c r="J19" i="92"/>
  <c r="H19" i="92"/>
  <c r="F19" i="92"/>
  <c r="D19" i="92"/>
  <c r="AI18" i="92"/>
  <c r="AH18" i="92"/>
  <c r="AF18" i="92"/>
  <c r="AD18" i="92"/>
  <c r="AB18" i="92"/>
  <c r="W18" i="92"/>
  <c r="U18" i="92"/>
  <c r="V18" i="92" s="1"/>
  <c r="Q18" i="92"/>
  <c r="R18" i="92" s="1"/>
  <c r="P18" i="92"/>
  <c r="M18" i="92"/>
  <c r="N18" i="92" s="1"/>
  <c r="K18" i="92"/>
  <c r="L18" i="92" s="1"/>
  <c r="I18" i="92"/>
  <c r="J18" i="92" s="1"/>
  <c r="G18" i="92"/>
  <c r="H18" i="92" s="1"/>
  <c r="E18" i="92"/>
  <c r="F18" i="92" s="1"/>
  <c r="D18" i="92"/>
  <c r="Y17" i="92"/>
  <c r="Z17" i="92" s="1"/>
  <c r="X17" i="92"/>
  <c r="V17" i="92"/>
  <c r="R17" i="92"/>
  <c r="P17" i="92"/>
  <c r="N17" i="92"/>
  <c r="L17" i="92"/>
  <c r="J17" i="92"/>
  <c r="H17" i="92"/>
  <c r="F17" i="92"/>
  <c r="D17" i="92"/>
  <c r="Z16" i="92"/>
  <c r="X16" i="92"/>
  <c r="V16" i="92"/>
  <c r="R16" i="92"/>
  <c r="P16" i="92"/>
  <c r="N16" i="92"/>
  <c r="L16" i="92"/>
  <c r="J16" i="92"/>
  <c r="H16" i="92"/>
  <c r="F16" i="92"/>
  <c r="D16" i="92"/>
  <c r="Z15" i="92"/>
  <c r="X15" i="92"/>
  <c r="R15" i="92"/>
  <c r="P15" i="92"/>
  <c r="N15" i="92"/>
  <c r="L15" i="92"/>
  <c r="J15" i="92"/>
  <c r="H15" i="92"/>
  <c r="F15" i="92"/>
  <c r="M20" i="92" l="1"/>
  <c r="O20" i="92"/>
  <c r="Y31" i="92"/>
  <c r="Z31" i="92" s="1"/>
  <c r="Y73" i="92"/>
  <c r="F28" i="92"/>
  <c r="Y28" i="92"/>
  <c r="F25" i="92"/>
  <c r="Y25" i="92"/>
  <c r="Z25" i="92" s="1"/>
  <c r="F31" i="92"/>
  <c r="Y47" i="92"/>
  <c r="Y60" i="92"/>
  <c r="F29" i="92"/>
  <c r="Y29" i="92"/>
  <c r="Z29" i="92" s="1"/>
  <c r="Y30" i="92"/>
  <c r="Z30" i="92" s="1"/>
  <c r="Y34" i="92"/>
  <c r="F26" i="92"/>
  <c r="Y26" i="92"/>
  <c r="Z26" i="92" s="1"/>
  <c r="Y23" i="92"/>
  <c r="Z23" i="92" s="1"/>
  <c r="F21" i="92"/>
  <c r="Y21" i="92"/>
  <c r="Z21" i="92" s="1"/>
  <c r="F27" i="92"/>
  <c r="Y27" i="92"/>
  <c r="Z27" i="92" s="1"/>
  <c r="Y24" i="92"/>
  <c r="Z24" i="92" s="1"/>
  <c r="F32" i="92"/>
  <c r="F20" i="92" s="1"/>
  <c r="Y32" i="92"/>
  <c r="P19" i="92"/>
  <c r="F22" i="92"/>
  <c r="Y22" i="92"/>
  <c r="Z22" i="92" s="1"/>
  <c r="Y150" i="92"/>
  <c r="Z150" i="92" s="1"/>
  <c r="Y18" i="92"/>
  <c r="Z18" i="92" s="1"/>
  <c r="K20" i="92"/>
  <c r="F150" i="92"/>
  <c r="Y145" i="92"/>
  <c r="Z145" i="92" s="1"/>
  <c r="H150" i="92"/>
  <c r="J150" i="92"/>
  <c r="T150" i="92"/>
  <c r="X150" i="92"/>
  <c r="X18" i="92"/>
  <c r="L21" i="92"/>
  <c r="F24" i="92"/>
  <c r="L29" i="92"/>
  <c r="H32" i="92"/>
  <c r="H20" i="92" s="1"/>
  <c r="D150" i="92"/>
  <c r="Z28" i="92"/>
  <c r="H145" i="92"/>
  <c r="X32" i="92"/>
  <c r="X20" i="92" s="1"/>
  <c r="H30" i="92"/>
  <c r="E20" i="92"/>
  <c r="L150" i="92"/>
  <c r="AF150" i="92"/>
  <c r="N150" i="92"/>
  <c r="Y20" i="92" l="1"/>
  <c r="Z32" i="92"/>
  <c r="Z20" i="92" s="1"/>
  <c r="E235" i="32" l="1"/>
  <c r="L240" i="86" l="1"/>
  <c r="I240" i="86" s="1"/>
  <c r="M240" i="86"/>
  <c r="J240" i="86" s="1"/>
  <c r="F240" i="86"/>
  <c r="G240" i="86"/>
  <c r="H240" i="86"/>
  <c r="L231" i="15" l="1"/>
  <c r="J231" i="15"/>
  <c r="H231" i="15"/>
  <c r="F231" i="15"/>
  <c r="D231" i="15"/>
  <c r="L228" i="15" l="1"/>
  <c r="L229" i="15"/>
  <c r="L230" i="15"/>
  <c r="J228" i="15"/>
  <c r="J229" i="15"/>
  <c r="J230" i="15"/>
  <c r="H228" i="15"/>
  <c r="H229" i="15"/>
  <c r="H230" i="15"/>
  <c r="F228" i="15"/>
  <c r="F229" i="15"/>
  <c r="F230" i="15"/>
  <c r="D228" i="15"/>
  <c r="D229" i="15"/>
  <c r="D230" i="15"/>
  <c r="M239" i="86" l="1"/>
  <c r="J239" i="86" s="1"/>
  <c r="L239" i="86"/>
  <c r="I239" i="86" s="1"/>
  <c r="F239" i="86"/>
  <c r="G239" i="86"/>
  <c r="H239" i="86"/>
  <c r="E234" i="32" l="1"/>
  <c r="E233" i="32" l="1"/>
  <c r="M238" i="86" l="1"/>
  <c r="J238" i="86" s="1"/>
  <c r="L238" i="86"/>
  <c r="I238" i="86" s="1"/>
  <c r="H238" i="86"/>
  <c r="G238" i="86"/>
  <c r="F238" i="86"/>
  <c r="E232" i="32" l="1"/>
  <c r="F43" i="12" l="1"/>
  <c r="L135" i="15" l="1"/>
  <c r="I135" i="15"/>
  <c r="J135" i="15" s="1"/>
  <c r="G135" i="15"/>
  <c r="H135" i="15" s="1"/>
  <c r="F135" i="15"/>
  <c r="D135" i="15"/>
  <c r="M237" i="86" l="1"/>
  <c r="J237" i="86" s="1"/>
  <c r="L237" i="86"/>
  <c r="I237" i="86" s="1"/>
  <c r="F237" i="86" l="1"/>
  <c r="G237" i="86"/>
  <c r="H237" i="86"/>
  <c r="L227" i="15" l="1"/>
  <c r="J227" i="15"/>
  <c r="H227" i="15"/>
  <c r="F227" i="15"/>
  <c r="D227" i="15"/>
  <c r="M236" i="86" l="1"/>
  <c r="K236" i="86" s="1"/>
  <c r="L236" i="86"/>
  <c r="H236" i="86"/>
  <c r="G236" i="86"/>
  <c r="F236" i="86"/>
  <c r="H234" i="86"/>
  <c r="G234" i="86"/>
  <c r="F234" i="86"/>
  <c r="H233" i="86"/>
  <c r="G233" i="86"/>
  <c r="F233" i="86"/>
  <c r="H232" i="86"/>
  <c r="G232" i="86"/>
  <c r="F232" i="86"/>
  <c r="H231" i="86"/>
  <c r="G231" i="86"/>
  <c r="F231" i="86"/>
  <c r="H230" i="86"/>
  <c r="G230" i="86"/>
  <c r="F230" i="86"/>
  <c r="H229" i="86"/>
  <c r="G229" i="86"/>
  <c r="F229" i="86"/>
  <c r="H228" i="86"/>
  <c r="G228" i="86"/>
  <c r="F228" i="86"/>
  <c r="H227" i="86"/>
  <c r="G227" i="86"/>
  <c r="F227" i="86"/>
  <c r="H226" i="86"/>
  <c r="G226" i="86"/>
  <c r="F226" i="86"/>
  <c r="H225" i="86"/>
  <c r="G225" i="86"/>
  <c r="F225" i="86"/>
  <c r="H224" i="86"/>
  <c r="G224" i="86"/>
  <c r="F224" i="86"/>
  <c r="H223" i="86"/>
  <c r="G223" i="86"/>
  <c r="F223" i="86"/>
  <c r="H221" i="86"/>
  <c r="G221" i="86"/>
  <c r="F221" i="86"/>
  <c r="H220" i="86"/>
  <c r="G220" i="86"/>
  <c r="F220" i="86"/>
  <c r="H219" i="86"/>
  <c r="G219" i="86"/>
  <c r="F219" i="86"/>
  <c r="H218" i="86"/>
  <c r="G218" i="86"/>
  <c r="F218" i="86"/>
  <c r="H217" i="86"/>
  <c r="G217" i="86"/>
  <c r="F217" i="86"/>
  <c r="H216" i="86"/>
  <c r="G216" i="86"/>
  <c r="F216" i="86"/>
  <c r="H215" i="86"/>
  <c r="G215" i="86"/>
  <c r="F215" i="86"/>
  <c r="H214" i="86"/>
  <c r="G214" i="86"/>
  <c r="F214" i="86"/>
  <c r="H213" i="86"/>
  <c r="G213" i="86"/>
  <c r="F213" i="86"/>
  <c r="H212" i="86"/>
  <c r="G212" i="86"/>
  <c r="F212" i="86"/>
  <c r="H211" i="86"/>
  <c r="G211" i="86"/>
  <c r="F211" i="86"/>
  <c r="H210" i="86"/>
  <c r="G210" i="86"/>
  <c r="F210" i="86"/>
  <c r="H208" i="86"/>
  <c r="G208" i="86"/>
  <c r="F208" i="86"/>
  <c r="H207" i="86"/>
  <c r="G207" i="86"/>
  <c r="F207" i="86"/>
  <c r="H206" i="86"/>
  <c r="G206" i="86"/>
  <c r="F206" i="86"/>
  <c r="H205" i="86"/>
  <c r="G205" i="86"/>
  <c r="F205" i="86"/>
  <c r="H204" i="86"/>
  <c r="G204" i="86"/>
  <c r="F204" i="86"/>
  <c r="H203" i="86"/>
  <c r="G203" i="86"/>
  <c r="F203" i="86"/>
  <c r="H202" i="86"/>
  <c r="G202" i="86"/>
  <c r="F202" i="86"/>
  <c r="H201" i="86"/>
  <c r="G201" i="86"/>
  <c r="F201" i="86"/>
  <c r="H200" i="86"/>
  <c r="G200" i="86"/>
  <c r="F200" i="86"/>
  <c r="H199" i="86"/>
  <c r="G199" i="86"/>
  <c r="F199" i="86"/>
  <c r="H198" i="86"/>
  <c r="G198" i="86"/>
  <c r="F198" i="86"/>
  <c r="H197" i="86"/>
  <c r="G197" i="86"/>
  <c r="F197" i="86"/>
  <c r="H195" i="86"/>
  <c r="G195" i="86"/>
  <c r="F195" i="86"/>
  <c r="H194" i="86"/>
  <c r="G194" i="86"/>
  <c r="F194" i="86"/>
  <c r="H193" i="86"/>
  <c r="G193" i="86"/>
  <c r="F193" i="86"/>
  <c r="H192" i="86"/>
  <c r="G192" i="86"/>
  <c r="F192" i="86"/>
  <c r="H191" i="86"/>
  <c r="G191" i="86"/>
  <c r="F191" i="86"/>
  <c r="H190" i="86"/>
  <c r="G190" i="86"/>
  <c r="F190" i="86"/>
  <c r="H189" i="86"/>
  <c r="G189" i="86"/>
  <c r="F189" i="86"/>
  <c r="H188" i="86"/>
  <c r="G188" i="86"/>
  <c r="F188" i="86"/>
  <c r="H187" i="86"/>
  <c r="G187" i="86"/>
  <c r="F187" i="86"/>
  <c r="H186" i="86"/>
  <c r="G186" i="86"/>
  <c r="F186" i="86"/>
  <c r="H185" i="86"/>
  <c r="G185" i="86"/>
  <c r="F185" i="86"/>
  <c r="H184" i="86"/>
  <c r="G184" i="86"/>
  <c r="F184" i="86"/>
  <c r="H182" i="86"/>
  <c r="G182" i="86"/>
  <c r="F182" i="86"/>
  <c r="H181" i="86"/>
  <c r="G181" i="86"/>
  <c r="F181" i="86"/>
  <c r="H180" i="86"/>
  <c r="G180" i="86"/>
  <c r="F180" i="86"/>
  <c r="H179" i="86"/>
  <c r="G179" i="86"/>
  <c r="F179" i="86"/>
  <c r="H178" i="86"/>
  <c r="G178" i="86"/>
  <c r="F178" i="86"/>
  <c r="H177" i="86"/>
  <c r="G177" i="86"/>
  <c r="F177" i="86"/>
  <c r="H176" i="86"/>
  <c r="G176" i="86"/>
  <c r="F176" i="86"/>
  <c r="H175" i="86"/>
  <c r="G175" i="86"/>
  <c r="F175" i="86"/>
  <c r="H174" i="86"/>
  <c r="G174" i="86"/>
  <c r="F174" i="86"/>
  <c r="H173" i="86"/>
  <c r="G173" i="86"/>
  <c r="F173" i="86"/>
  <c r="H172" i="86"/>
  <c r="G172" i="86"/>
  <c r="F172" i="86"/>
  <c r="H171" i="86"/>
  <c r="G171" i="86"/>
  <c r="F171" i="86"/>
  <c r="H169" i="86"/>
  <c r="G169" i="86"/>
  <c r="F169" i="86"/>
  <c r="H168" i="86"/>
  <c r="G168" i="86"/>
  <c r="F168" i="86"/>
  <c r="H167" i="86"/>
  <c r="G167" i="86"/>
  <c r="F167" i="86"/>
  <c r="H166" i="86"/>
  <c r="G166" i="86"/>
  <c r="F166" i="86"/>
  <c r="H165" i="86"/>
  <c r="G165" i="86"/>
  <c r="F165" i="86"/>
  <c r="H164" i="86"/>
  <c r="G164" i="86"/>
  <c r="F164" i="86"/>
  <c r="J163" i="86"/>
  <c r="I163" i="86"/>
  <c r="H163" i="86"/>
  <c r="G163" i="86"/>
  <c r="F163" i="86"/>
  <c r="H162" i="86"/>
  <c r="G162" i="86"/>
  <c r="F162" i="86"/>
  <c r="H161" i="86"/>
  <c r="G161" i="86"/>
  <c r="F161" i="86"/>
  <c r="J160" i="86"/>
  <c r="I160" i="86"/>
  <c r="H160" i="86"/>
  <c r="G160" i="86"/>
  <c r="F160" i="86"/>
  <c r="J159" i="86"/>
  <c r="I159" i="86"/>
  <c r="H159" i="86"/>
  <c r="G159" i="86"/>
  <c r="F159" i="86"/>
  <c r="J158" i="86"/>
  <c r="I158" i="86"/>
  <c r="H158" i="86"/>
  <c r="G158" i="86"/>
  <c r="F158" i="86"/>
  <c r="H156" i="86"/>
  <c r="G156" i="86"/>
  <c r="F156" i="86"/>
  <c r="J155" i="86"/>
  <c r="I155" i="86"/>
  <c r="H155" i="86"/>
  <c r="G155" i="86"/>
  <c r="F155" i="86"/>
  <c r="J154" i="86"/>
  <c r="I154" i="86"/>
  <c r="H154" i="86"/>
  <c r="G154" i="86"/>
  <c r="F154" i="86"/>
  <c r="J153" i="86"/>
  <c r="I153" i="86"/>
  <c r="H153" i="86"/>
  <c r="G153" i="86"/>
  <c r="F153" i="86"/>
  <c r="J152" i="86"/>
  <c r="I152" i="86"/>
  <c r="H152" i="86"/>
  <c r="G152" i="86"/>
  <c r="F152" i="86"/>
  <c r="J151" i="86"/>
  <c r="I151" i="86"/>
  <c r="H151" i="86"/>
  <c r="G151" i="86"/>
  <c r="F151" i="86"/>
  <c r="J150" i="86"/>
  <c r="I150" i="86"/>
  <c r="H150" i="86"/>
  <c r="G150" i="86"/>
  <c r="F150" i="86"/>
  <c r="J149" i="86"/>
  <c r="I149" i="86"/>
  <c r="H149" i="86"/>
  <c r="G149" i="86"/>
  <c r="F149" i="86"/>
  <c r="J148" i="86"/>
  <c r="I148" i="86"/>
  <c r="H148" i="86"/>
  <c r="G148" i="86"/>
  <c r="F148" i="86"/>
  <c r="J147" i="86"/>
  <c r="I147" i="86"/>
  <c r="H147" i="86"/>
  <c r="G147" i="86"/>
  <c r="F147" i="86"/>
  <c r="J146" i="86"/>
  <c r="I146" i="86"/>
  <c r="H146" i="86"/>
  <c r="G146" i="86"/>
  <c r="F146" i="86"/>
  <c r="J145" i="86"/>
  <c r="I145" i="86"/>
  <c r="H145" i="86"/>
  <c r="G145" i="86"/>
  <c r="F145" i="86"/>
  <c r="J143" i="86"/>
  <c r="I143" i="86"/>
  <c r="H143" i="86"/>
  <c r="G143" i="86"/>
  <c r="F143" i="86"/>
  <c r="H142" i="86"/>
  <c r="G142" i="86"/>
  <c r="F142" i="86"/>
  <c r="H141" i="86"/>
  <c r="G141" i="86"/>
  <c r="F141" i="86"/>
  <c r="H140" i="86"/>
  <c r="G140" i="86"/>
  <c r="F140" i="86"/>
  <c r="H139" i="86"/>
  <c r="G139" i="86"/>
  <c r="F139" i="86"/>
  <c r="H138" i="86"/>
  <c r="G138" i="86"/>
  <c r="F138" i="86"/>
  <c r="H137" i="86"/>
  <c r="G137" i="86"/>
  <c r="F137" i="86"/>
  <c r="H136" i="86"/>
  <c r="G136" i="86"/>
  <c r="F136" i="86"/>
  <c r="H135" i="86"/>
  <c r="G135" i="86"/>
  <c r="F135" i="86"/>
  <c r="H134" i="86"/>
  <c r="G134" i="86"/>
  <c r="F134" i="86"/>
  <c r="H133" i="86"/>
  <c r="G133" i="86"/>
  <c r="F133" i="86"/>
  <c r="H132" i="86"/>
  <c r="G132" i="86"/>
  <c r="F132" i="86"/>
  <c r="J131" i="86"/>
  <c r="I131" i="86"/>
  <c r="G131" i="86"/>
  <c r="F131" i="86"/>
  <c r="J130" i="86"/>
  <c r="I130" i="86"/>
  <c r="H130" i="86"/>
  <c r="G130" i="86"/>
  <c r="F130" i="86"/>
  <c r="J129" i="86"/>
  <c r="I129" i="86"/>
  <c r="H129" i="86"/>
  <c r="G129" i="86"/>
  <c r="F129" i="86"/>
  <c r="J128" i="86"/>
  <c r="I128" i="86"/>
  <c r="H128" i="86"/>
  <c r="G128" i="86"/>
  <c r="F128" i="86"/>
  <c r="J127" i="86"/>
  <c r="I127" i="86"/>
  <c r="H127" i="86"/>
  <c r="G127" i="86"/>
  <c r="F127" i="86"/>
  <c r="J126" i="86"/>
  <c r="I126" i="86"/>
  <c r="H126" i="86"/>
  <c r="G126" i="86"/>
  <c r="F126" i="86"/>
  <c r="J125" i="86"/>
  <c r="I125" i="86"/>
  <c r="H125" i="86"/>
  <c r="G125" i="86"/>
  <c r="F125" i="86"/>
  <c r="J124" i="86"/>
  <c r="I124" i="86"/>
  <c r="H124" i="86"/>
  <c r="G124" i="86"/>
  <c r="F124" i="86"/>
  <c r="J123" i="86"/>
  <c r="I123" i="86"/>
  <c r="H123" i="86"/>
  <c r="G123" i="86"/>
  <c r="F123" i="86"/>
  <c r="J122" i="86"/>
  <c r="I122" i="86"/>
  <c r="H122" i="86"/>
  <c r="G122" i="86"/>
  <c r="F122" i="86"/>
  <c r="J121" i="86"/>
  <c r="I121" i="86"/>
  <c r="H121" i="86"/>
  <c r="G121" i="86"/>
  <c r="F121" i="86"/>
  <c r="J120" i="86"/>
  <c r="I120" i="86"/>
  <c r="H120" i="86"/>
  <c r="G120" i="86"/>
  <c r="F120" i="86"/>
  <c r="J119" i="86"/>
  <c r="I119" i="86"/>
  <c r="H119" i="86"/>
  <c r="G119" i="86"/>
  <c r="F119" i="86"/>
  <c r="J118" i="86"/>
  <c r="I118" i="86"/>
  <c r="G118" i="86"/>
  <c r="F118" i="86"/>
  <c r="J117" i="86"/>
  <c r="I117" i="86"/>
  <c r="H117" i="86"/>
  <c r="G117" i="86"/>
  <c r="F117" i="86"/>
  <c r="J116" i="86"/>
  <c r="I116" i="86"/>
  <c r="H116" i="86"/>
  <c r="G116" i="86"/>
  <c r="F116" i="86"/>
  <c r="J115" i="86"/>
  <c r="I115" i="86"/>
  <c r="H115" i="86"/>
  <c r="G115" i="86"/>
  <c r="F115" i="86"/>
  <c r="J114" i="86"/>
  <c r="I114" i="86"/>
  <c r="H114" i="86"/>
  <c r="G114" i="86"/>
  <c r="F114" i="86"/>
  <c r="J113" i="86"/>
  <c r="I113" i="86"/>
  <c r="H113" i="86"/>
  <c r="G113" i="86"/>
  <c r="F113" i="86"/>
  <c r="J112" i="86"/>
  <c r="I112" i="86"/>
  <c r="H112" i="86"/>
  <c r="G112" i="86"/>
  <c r="F112" i="86"/>
  <c r="J111" i="86"/>
  <c r="I111" i="86"/>
  <c r="H111" i="86"/>
  <c r="G111" i="86"/>
  <c r="F111" i="86"/>
  <c r="J110" i="86"/>
  <c r="I110" i="86"/>
  <c r="H110" i="86"/>
  <c r="G110" i="86"/>
  <c r="F110" i="86"/>
  <c r="J109" i="86"/>
  <c r="I109" i="86"/>
  <c r="H109" i="86"/>
  <c r="G109" i="86"/>
  <c r="F109" i="86"/>
  <c r="H108" i="86"/>
  <c r="G108" i="86"/>
  <c r="F108" i="86"/>
  <c r="H107" i="86"/>
  <c r="G107" i="86"/>
  <c r="F107" i="86"/>
  <c r="H106" i="86"/>
  <c r="G106" i="86"/>
  <c r="F106" i="86"/>
  <c r="H104" i="86"/>
  <c r="G104" i="86"/>
  <c r="F104" i="86"/>
  <c r="H103" i="86"/>
  <c r="G103" i="86"/>
  <c r="F103" i="86"/>
  <c r="H102" i="86"/>
  <c r="G102" i="86"/>
  <c r="F102" i="86"/>
  <c r="H101" i="86"/>
  <c r="G101" i="86"/>
  <c r="F101" i="86"/>
  <c r="H100" i="86"/>
  <c r="G100" i="86"/>
  <c r="F100" i="86"/>
  <c r="H99" i="86"/>
  <c r="G99" i="86"/>
  <c r="F99" i="86"/>
  <c r="H98" i="86"/>
  <c r="G98" i="86"/>
  <c r="F98" i="86"/>
  <c r="H97" i="86"/>
  <c r="G97" i="86"/>
  <c r="F97" i="86"/>
  <c r="H96" i="86"/>
  <c r="G96" i="86"/>
  <c r="F96" i="86"/>
  <c r="H95" i="86"/>
  <c r="G95" i="86"/>
  <c r="F95" i="86"/>
  <c r="H94" i="86"/>
  <c r="G94" i="86"/>
  <c r="F94" i="86"/>
  <c r="H93" i="86"/>
  <c r="G93" i="86"/>
  <c r="F93" i="86"/>
  <c r="H91" i="86"/>
  <c r="H79" i="86" s="1"/>
  <c r="G91" i="86"/>
  <c r="G79" i="86" s="1"/>
  <c r="F91" i="86"/>
  <c r="F79" i="86" s="1"/>
  <c r="H90" i="86"/>
  <c r="G90" i="86"/>
  <c r="F90" i="86"/>
  <c r="H89" i="86"/>
  <c r="G89" i="86"/>
  <c r="F89" i="86"/>
  <c r="H88" i="86"/>
  <c r="G88" i="86"/>
  <c r="F88" i="86"/>
  <c r="H87" i="86"/>
  <c r="G87" i="86"/>
  <c r="F87" i="86"/>
  <c r="H86" i="86"/>
  <c r="G86" i="86"/>
  <c r="F86" i="86"/>
  <c r="H85" i="86"/>
  <c r="G85" i="86"/>
  <c r="F85" i="86"/>
  <c r="H84" i="86"/>
  <c r="G84" i="86"/>
  <c r="F84" i="86"/>
  <c r="H83" i="86"/>
  <c r="G83" i="86"/>
  <c r="F83" i="86"/>
  <c r="H82" i="86"/>
  <c r="G82" i="86"/>
  <c r="F82" i="86"/>
  <c r="H81" i="86"/>
  <c r="G81" i="86"/>
  <c r="F81" i="86"/>
  <c r="H80" i="86"/>
  <c r="G80" i="86"/>
  <c r="F80" i="86"/>
  <c r="J79" i="86"/>
  <c r="I79" i="86"/>
  <c r="J78" i="86"/>
  <c r="J66" i="86" s="1"/>
  <c r="I78" i="86"/>
  <c r="I66" i="86" s="1"/>
  <c r="H78" i="86"/>
  <c r="H66" i="86" s="1"/>
  <c r="G78" i="86"/>
  <c r="G66" i="86" s="1"/>
  <c r="F78" i="86"/>
  <c r="F66" i="86" s="1"/>
  <c r="J77" i="86"/>
  <c r="I77" i="86"/>
  <c r="H77" i="86"/>
  <c r="G77" i="86"/>
  <c r="F77" i="86"/>
  <c r="J76" i="86"/>
  <c r="I76" i="86"/>
  <c r="H76" i="86"/>
  <c r="G76" i="86"/>
  <c r="F76" i="86"/>
  <c r="J75" i="86"/>
  <c r="I75" i="86"/>
  <c r="H75" i="86"/>
  <c r="G75" i="86"/>
  <c r="F75" i="86"/>
  <c r="J74" i="86"/>
  <c r="I74" i="86"/>
  <c r="H74" i="86"/>
  <c r="G74" i="86"/>
  <c r="F74" i="86"/>
  <c r="J73" i="86"/>
  <c r="I73" i="86"/>
  <c r="H73" i="86"/>
  <c r="G73" i="86"/>
  <c r="F73" i="86"/>
  <c r="J72" i="86"/>
  <c r="I72" i="86"/>
  <c r="H72" i="86"/>
  <c r="G72" i="86"/>
  <c r="F72" i="86"/>
  <c r="J71" i="86"/>
  <c r="I71" i="86"/>
  <c r="H71" i="86"/>
  <c r="G71" i="86"/>
  <c r="F71" i="86"/>
  <c r="J70" i="86"/>
  <c r="I70" i="86"/>
  <c r="H70" i="86"/>
  <c r="G70" i="86"/>
  <c r="F70" i="86"/>
  <c r="J69" i="86"/>
  <c r="I69" i="86"/>
  <c r="H69" i="86"/>
  <c r="G69" i="86"/>
  <c r="F69" i="86"/>
  <c r="J68" i="86"/>
  <c r="I68" i="86"/>
  <c r="H68" i="86"/>
  <c r="G68" i="86"/>
  <c r="F68" i="86"/>
  <c r="J67" i="86"/>
  <c r="I67" i="86"/>
  <c r="H67" i="86"/>
  <c r="G67" i="86"/>
  <c r="F67" i="86"/>
  <c r="J65" i="86"/>
  <c r="J53" i="86" s="1"/>
  <c r="I65" i="86"/>
  <c r="I53" i="86" s="1"/>
  <c r="H65" i="86"/>
  <c r="H53" i="86" s="1"/>
  <c r="G65" i="86"/>
  <c r="G53" i="86" s="1"/>
  <c r="F65" i="86"/>
  <c r="F53" i="86" s="1"/>
  <c r="J64" i="86"/>
  <c r="I64" i="86"/>
  <c r="H64" i="86"/>
  <c r="G64" i="86"/>
  <c r="F64" i="86"/>
  <c r="J63" i="86"/>
  <c r="I63" i="86"/>
  <c r="H63" i="86"/>
  <c r="G63" i="86"/>
  <c r="F63" i="86"/>
  <c r="J62" i="86"/>
  <c r="I62" i="86"/>
  <c r="H62" i="86"/>
  <c r="G62" i="86"/>
  <c r="F62" i="86"/>
  <c r="J61" i="86"/>
  <c r="I61" i="86"/>
  <c r="H61" i="86"/>
  <c r="G61" i="86"/>
  <c r="F61" i="86"/>
  <c r="J60" i="86"/>
  <c r="I60" i="86"/>
  <c r="H60" i="86"/>
  <c r="G60" i="86"/>
  <c r="F60" i="86"/>
  <c r="CE59" i="86"/>
  <c r="J59" i="86"/>
  <c r="I59" i="86"/>
  <c r="H59" i="86"/>
  <c r="G59" i="86"/>
  <c r="F59" i="86"/>
  <c r="CE58" i="86"/>
  <c r="J58" i="86"/>
  <c r="I58" i="86"/>
  <c r="H58" i="86"/>
  <c r="G58" i="86"/>
  <c r="F58" i="86"/>
  <c r="CE57" i="86"/>
  <c r="J57" i="86"/>
  <c r="I57" i="86"/>
  <c r="H57" i="86"/>
  <c r="G57" i="86"/>
  <c r="F57" i="86"/>
  <c r="CE56" i="86"/>
  <c r="J56" i="86"/>
  <c r="I56" i="86"/>
  <c r="H56" i="86"/>
  <c r="G56" i="86"/>
  <c r="F56" i="86"/>
  <c r="CE55" i="86"/>
  <c r="J55" i="86"/>
  <c r="I55" i="86"/>
  <c r="H55" i="86"/>
  <c r="G55" i="86"/>
  <c r="F55" i="86"/>
  <c r="CE54" i="86"/>
  <c r="J54" i="86"/>
  <c r="I54" i="86"/>
  <c r="H54" i="86"/>
  <c r="G54" i="86"/>
  <c r="F54" i="86"/>
  <c r="CD52" i="86"/>
  <c r="CE52" i="86" s="1"/>
  <c r="H52" i="86"/>
  <c r="H40" i="86" s="1"/>
  <c r="G52" i="86"/>
  <c r="G40" i="86" s="1"/>
  <c r="F52" i="86"/>
  <c r="F40" i="86" s="1"/>
  <c r="CE51" i="86"/>
  <c r="H51" i="86"/>
  <c r="G51" i="86"/>
  <c r="F51" i="86"/>
  <c r="CE50" i="86"/>
  <c r="H50" i="86"/>
  <c r="G50" i="86"/>
  <c r="F50" i="86"/>
  <c r="H49" i="86"/>
  <c r="G49" i="86"/>
  <c r="F49" i="86"/>
  <c r="CD48" i="86"/>
  <c r="CE48" i="86" s="1"/>
  <c r="H48" i="86"/>
  <c r="G48" i="86"/>
  <c r="F48" i="86"/>
  <c r="H47" i="86"/>
  <c r="G47" i="86"/>
  <c r="F47" i="86"/>
  <c r="H46" i="86"/>
  <c r="G46" i="86"/>
  <c r="F46" i="86"/>
  <c r="CE45" i="86"/>
  <c r="H45" i="86"/>
  <c r="G45" i="86"/>
  <c r="F45" i="86"/>
  <c r="H44" i="86"/>
  <c r="G44" i="86"/>
  <c r="F44" i="86"/>
  <c r="CE43" i="86"/>
  <c r="H43" i="86"/>
  <c r="G43" i="86"/>
  <c r="F43" i="86"/>
  <c r="CE42" i="86"/>
  <c r="H42" i="86"/>
  <c r="G42" i="86"/>
  <c r="F42" i="86"/>
  <c r="H41" i="86"/>
  <c r="G41" i="86"/>
  <c r="F41" i="86"/>
  <c r="CE40" i="86"/>
  <c r="J40" i="86"/>
  <c r="I40" i="86"/>
  <c r="CE39" i="86"/>
  <c r="H39" i="86"/>
  <c r="H27" i="86" s="1"/>
  <c r="G39" i="86"/>
  <c r="G27" i="86" s="1"/>
  <c r="F39" i="86"/>
  <c r="F27" i="86" s="1"/>
  <c r="H38" i="86"/>
  <c r="G38" i="86"/>
  <c r="F38" i="86"/>
  <c r="CE37" i="86"/>
  <c r="H37" i="86"/>
  <c r="G37" i="86"/>
  <c r="F37" i="86"/>
  <c r="CE36" i="86"/>
  <c r="H36" i="86"/>
  <c r="G36" i="86"/>
  <c r="F36" i="86"/>
  <c r="H35" i="86"/>
  <c r="G35" i="86"/>
  <c r="F35" i="86"/>
  <c r="CE34" i="86"/>
  <c r="H34" i="86"/>
  <c r="G34" i="86"/>
  <c r="F34" i="86"/>
  <c r="CE33" i="86"/>
  <c r="H33" i="86"/>
  <c r="G33" i="86"/>
  <c r="F33" i="86"/>
  <c r="H32" i="86"/>
  <c r="G32" i="86"/>
  <c r="F32" i="86"/>
  <c r="CD31" i="86"/>
  <c r="CE31" i="86" s="1"/>
  <c r="H31" i="86"/>
  <c r="G31" i="86"/>
  <c r="F31" i="86"/>
  <c r="H30" i="86"/>
  <c r="G30" i="86"/>
  <c r="F30" i="86"/>
  <c r="CE29" i="86"/>
  <c r="H29" i="86"/>
  <c r="G29" i="86"/>
  <c r="F29" i="86"/>
  <c r="CE28" i="86"/>
  <c r="H28" i="86"/>
  <c r="G28" i="86"/>
  <c r="F28" i="86"/>
  <c r="J27" i="86"/>
  <c r="I27" i="86"/>
  <c r="H26" i="86"/>
  <c r="G26" i="86"/>
  <c r="F26" i="86"/>
  <c r="H25" i="86"/>
  <c r="G25" i="86"/>
  <c r="F25" i="86"/>
  <c r="CE24" i="86"/>
  <c r="H24" i="86"/>
  <c r="G24" i="86"/>
  <c r="F24" i="86"/>
  <c r="CE23" i="86"/>
  <c r="H23" i="86"/>
  <c r="G23" i="86"/>
  <c r="F23" i="86"/>
  <c r="H22" i="86"/>
  <c r="G22" i="86"/>
  <c r="F22" i="86"/>
  <c r="CD21" i="86"/>
  <c r="CE21" i="86" s="1"/>
  <c r="H20" i="86"/>
  <c r="G20" i="86"/>
  <c r="F20" i="86"/>
  <c r="CE19" i="86"/>
  <c r="D19" i="86"/>
  <c r="C19" i="86"/>
  <c r="B19" i="86"/>
  <c r="CE18" i="86"/>
  <c r="E18" i="86"/>
  <c r="D18" i="86"/>
  <c r="C18" i="86"/>
  <c r="B18" i="86"/>
  <c r="E17" i="86"/>
  <c r="D17" i="86"/>
  <c r="C17" i="86"/>
  <c r="B17" i="86"/>
  <c r="A17" i="86"/>
  <c r="A18" i="86" s="1"/>
  <c r="A19" i="86" s="1"/>
  <c r="A20" i="86" s="1"/>
  <c r="A22" i="86" s="1"/>
  <c r="A23" i="86" s="1"/>
  <c r="A24" i="86" s="1"/>
  <c r="A25" i="86" s="1"/>
  <c r="A26" i="86" s="1"/>
  <c r="CD16" i="86"/>
  <c r="CE16" i="86" s="1"/>
  <c r="E16" i="86"/>
  <c r="D16" i="86"/>
  <c r="C16" i="86"/>
  <c r="B16" i="86"/>
  <c r="CE14" i="86"/>
  <c r="CE13" i="86"/>
  <c r="CD11" i="86"/>
  <c r="CE11" i="86" s="1"/>
  <c r="BZ7" i="86"/>
  <c r="H18" i="86" l="1"/>
  <c r="F16" i="86"/>
  <c r="H17" i="86"/>
  <c r="F18" i="86"/>
  <c r="H16" i="86"/>
  <c r="H19" i="86"/>
  <c r="G17" i="86"/>
  <c r="G19" i="86"/>
  <c r="G16" i="86"/>
  <c r="G18" i="86"/>
  <c r="F17" i="86"/>
  <c r="CD47" i="86"/>
  <c r="CE47" i="86" s="1"/>
  <c r="CD9" i="86"/>
  <c r="CE9" i="86" s="1"/>
  <c r="F19" i="86"/>
  <c r="CD7" i="86" l="1"/>
  <c r="CD61" i="86" s="1"/>
  <c r="CE61" i="86" s="1"/>
  <c r="CE7" i="86" l="1"/>
  <c r="E231" i="32"/>
  <c r="E229" i="32"/>
  <c r="E228" i="32"/>
  <c r="K112" i="14" l="1"/>
  <c r="J112" i="14"/>
  <c r="E112" i="14"/>
  <c r="D112" i="14"/>
  <c r="B112" i="14" l="1"/>
  <c r="C112" i="14"/>
  <c r="B109" i="15" l="1"/>
  <c r="J109" i="15" s="1"/>
  <c r="D109" i="15" l="1"/>
  <c r="F109" i="15"/>
  <c r="L109" i="15"/>
  <c r="H109" i="15"/>
  <c r="H213" i="15" l="1"/>
  <c r="H225" i="15" l="1"/>
  <c r="L225" i="15" l="1"/>
  <c r="F225" i="15"/>
  <c r="D225" i="15"/>
  <c r="H224" i="15" l="1"/>
  <c r="L224" i="15"/>
  <c r="F224" i="15"/>
  <c r="D224" i="15"/>
  <c r="H223" i="15"/>
  <c r="E227" i="32"/>
  <c r="L223" i="15"/>
  <c r="F223" i="15"/>
  <c r="D223" i="15"/>
  <c r="L222" i="15"/>
  <c r="H222" i="15"/>
  <c r="F222" i="15"/>
  <c r="D222" i="15"/>
  <c r="E226" i="32"/>
  <c r="A12" i="10"/>
  <c r="A13" i="10" s="1"/>
  <c r="A14" i="10" s="1"/>
  <c r="A15" i="10" s="1"/>
  <c r="S37" i="17"/>
  <c r="E225" i="32"/>
  <c r="AE586" i="29"/>
  <c r="D221" i="15"/>
  <c r="F221" i="15"/>
  <c r="H221" i="15"/>
  <c r="L221" i="15"/>
  <c r="H220" i="15"/>
  <c r="F220" i="15"/>
  <c r="L220" i="15"/>
  <c r="D220" i="15"/>
  <c r="E224" i="32"/>
  <c r="E223" i="32"/>
  <c r="E222" i="32"/>
  <c r="E221" i="32"/>
  <c r="E220" i="32"/>
  <c r="E219" i="32"/>
  <c r="E218" i="32"/>
  <c r="E206" i="32"/>
  <c r="E207" i="32"/>
  <c r="E208" i="32"/>
  <c r="E209" i="32"/>
  <c r="E210" i="32"/>
  <c r="E211" i="32"/>
  <c r="E212" i="32"/>
  <c r="E213" i="32"/>
  <c r="E214" i="32"/>
  <c r="E215" i="32"/>
  <c r="E216" i="32"/>
  <c r="AE583" i="29"/>
  <c r="F219" i="15"/>
  <c r="D219" i="15"/>
  <c r="L219" i="15"/>
  <c r="AE580" i="29"/>
  <c r="H219" i="15"/>
  <c r="AE577" i="29"/>
  <c r="AE574" i="29"/>
  <c r="AE571" i="29"/>
  <c r="H216" i="15"/>
  <c r="L216" i="15"/>
  <c r="F216" i="15"/>
  <c r="D216" i="15"/>
  <c r="F215" i="15"/>
  <c r="H215" i="15"/>
  <c r="L215" i="15"/>
  <c r="D215" i="15"/>
  <c r="AE568" i="29"/>
  <c r="L214" i="15"/>
  <c r="H214" i="15"/>
  <c r="F214" i="15"/>
  <c r="D214" i="15"/>
  <c r="AE565" i="29"/>
  <c r="B214" i="32"/>
  <c r="B215" i="32"/>
  <c r="B216" i="32"/>
  <c r="E205" i="32"/>
  <c r="L212" i="15"/>
  <c r="J212" i="15"/>
  <c r="H212" i="15"/>
  <c r="F212" i="15"/>
  <c r="D212" i="15"/>
  <c r="AE562" i="29"/>
  <c r="AE559" i="29"/>
  <c r="L209" i="15"/>
  <c r="L210" i="15"/>
  <c r="L211" i="15"/>
  <c r="J210" i="15"/>
  <c r="J211" i="15"/>
  <c r="H210" i="15"/>
  <c r="H211" i="15"/>
  <c r="F210" i="15"/>
  <c r="F211" i="15"/>
  <c r="D210" i="15"/>
  <c r="D211" i="15"/>
  <c r="B206" i="32"/>
  <c r="B207" i="32"/>
  <c r="B208" i="32"/>
  <c r="B209" i="32"/>
  <c r="B210" i="32"/>
  <c r="B211" i="32"/>
  <c r="B212" i="32"/>
  <c r="B213" i="32"/>
  <c r="B205" i="32"/>
  <c r="AE556" i="29"/>
  <c r="F209" i="15"/>
  <c r="D209" i="15"/>
  <c r="H209" i="15"/>
  <c r="J209" i="15"/>
  <c r="AE553" i="29"/>
  <c r="D208" i="15"/>
  <c r="F208" i="15"/>
  <c r="L208" i="15"/>
  <c r="J208" i="15"/>
  <c r="H208" i="15"/>
  <c r="AD193" i="25"/>
  <c r="AC193" i="25"/>
  <c r="AB193" i="25"/>
  <c r="AA193" i="25"/>
  <c r="Z193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L187" i="15"/>
  <c r="J187" i="15"/>
  <c r="H187" i="15"/>
  <c r="F187" i="15"/>
  <c r="D187" i="15"/>
  <c r="I178" i="32"/>
  <c r="H178" i="32"/>
  <c r="E178" i="32"/>
  <c r="E165" i="32"/>
  <c r="E139" i="32"/>
  <c r="B139" i="32"/>
  <c r="I139" i="32" s="1"/>
  <c r="E126" i="32"/>
  <c r="B126" i="32"/>
  <c r="I126" i="32" s="1"/>
  <c r="H193" i="15"/>
  <c r="L192" i="15"/>
  <c r="J192" i="15"/>
  <c r="H192" i="15"/>
  <c r="F192" i="15"/>
  <c r="D192" i="15"/>
  <c r="CD53" i="8"/>
  <c r="CD50" i="10"/>
  <c r="CB55" i="12"/>
  <c r="CD57" i="15"/>
  <c r="CD56" i="14"/>
  <c r="CD57" i="48"/>
  <c r="CD57" i="23"/>
  <c r="CD57" i="32"/>
  <c r="CD57" i="33"/>
  <c r="CD54" i="8"/>
  <c r="CD51" i="10"/>
  <c r="CB56" i="12"/>
  <c r="CD58" i="15"/>
  <c r="CD57" i="14"/>
  <c r="CD58" i="48"/>
  <c r="CD58" i="23"/>
  <c r="CD58" i="32"/>
  <c r="CD58" i="33"/>
  <c r="CD55" i="8"/>
  <c r="CD52" i="10"/>
  <c r="CB57" i="12"/>
  <c r="CD59" i="15"/>
  <c r="CD58" i="14"/>
  <c r="CD59" i="48"/>
  <c r="CD59" i="23"/>
  <c r="CD59" i="32"/>
  <c r="CD59" i="33"/>
  <c r="CD56" i="8"/>
  <c r="CD53" i="10"/>
  <c r="CB58" i="12"/>
  <c r="CD60" i="15"/>
  <c r="CD59" i="14"/>
  <c r="CD60" i="48"/>
  <c r="CD60" i="23"/>
  <c r="CD60" i="32"/>
  <c r="CD60" i="33"/>
  <c r="CD30" i="8"/>
  <c r="CD27" i="10"/>
  <c r="CB32" i="12"/>
  <c r="CD34" i="15"/>
  <c r="CD33" i="14"/>
  <c r="CD34" i="48"/>
  <c r="CD34" i="23"/>
  <c r="CD34" i="32"/>
  <c r="CD34" i="33"/>
  <c r="CC49" i="8"/>
  <c r="CD49" i="8" s="1"/>
  <c r="CC46" i="10"/>
  <c r="CD46" i="10" s="1"/>
  <c r="CA51" i="12"/>
  <c r="CB51" i="12" s="1"/>
  <c r="CC53" i="15"/>
  <c r="CD53" i="15" s="1"/>
  <c r="CC52" i="14"/>
  <c r="CD52" i="14" s="1"/>
  <c r="CC53" i="48"/>
  <c r="CD53" i="48" s="1"/>
  <c r="CC53" i="23"/>
  <c r="CD53" i="23" s="1"/>
  <c r="CC53" i="32"/>
  <c r="CD53" i="32" s="1"/>
  <c r="CC53" i="33"/>
  <c r="CD53" i="33" s="1"/>
  <c r="CC18" i="8"/>
  <c r="CD18" i="8" s="1"/>
  <c r="CC15" i="10"/>
  <c r="CD15" i="10" s="1"/>
  <c r="CA20" i="12"/>
  <c r="CB20" i="12" s="1"/>
  <c r="CC22" i="15"/>
  <c r="CD22" i="15" s="1"/>
  <c r="CC21" i="14"/>
  <c r="CD21" i="14" s="1"/>
  <c r="CC22" i="48"/>
  <c r="CD22" i="48" s="1"/>
  <c r="CC22" i="23"/>
  <c r="CD22" i="23" s="1"/>
  <c r="CA19" i="20"/>
  <c r="CC22" i="32"/>
  <c r="CD22" i="32" s="1"/>
  <c r="CC22" i="33"/>
  <c r="CD22" i="33" s="1"/>
  <c r="CC13" i="8"/>
  <c r="CD13" i="8" s="1"/>
  <c r="CC10" i="10"/>
  <c r="CD10" i="10" s="1"/>
  <c r="CA15" i="12"/>
  <c r="CB15" i="12" s="1"/>
  <c r="CC17" i="15"/>
  <c r="CD17" i="15" s="1"/>
  <c r="CC16" i="14"/>
  <c r="CC17" i="48"/>
  <c r="CD17" i="48" s="1"/>
  <c r="CC17" i="23"/>
  <c r="CA17" i="20"/>
  <c r="CB17" i="20" s="1"/>
  <c r="CC17" i="32"/>
  <c r="CD17" i="32" s="1"/>
  <c r="CC17" i="33"/>
  <c r="CD17" i="33" s="1"/>
  <c r="CC8" i="8"/>
  <c r="CD8" i="8" s="1"/>
  <c r="CA10" i="12"/>
  <c r="CB10" i="12" s="1"/>
  <c r="CC12" i="15"/>
  <c r="CD12" i="15" s="1"/>
  <c r="CC11" i="14"/>
  <c r="CD11" i="14" s="1"/>
  <c r="CC12" i="48"/>
  <c r="CD12" i="48" s="1"/>
  <c r="CC12" i="23"/>
  <c r="CD12" i="23" s="1"/>
  <c r="CA12" i="20"/>
  <c r="CC12" i="32"/>
  <c r="CC12" i="33"/>
  <c r="CD12" i="33" s="1"/>
  <c r="CC28" i="8"/>
  <c r="CD28" i="8" s="1"/>
  <c r="CC25" i="10"/>
  <c r="CD25" i="10" s="1"/>
  <c r="CA30" i="12"/>
  <c r="CB30" i="12" s="1"/>
  <c r="CC32" i="15"/>
  <c r="CD32" i="15" s="1"/>
  <c r="CC31" i="14"/>
  <c r="CC32" i="48"/>
  <c r="CD32" i="48" s="1"/>
  <c r="CC32" i="23"/>
  <c r="CD32" i="23" s="1"/>
  <c r="CC32" i="32"/>
  <c r="CD32" i="32" s="1"/>
  <c r="CC32" i="33"/>
  <c r="CD32" i="33" s="1"/>
  <c r="CD31" i="8"/>
  <c r="CD28" i="10"/>
  <c r="CB33" i="12"/>
  <c r="CD35" i="15"/>
  <c r="CD34" i="14"/>
  <c r="CD35" i="48"/>
  <c r="CD35" i="23"/>
  <c r="CD35" i="32"/>
  <c r="CD35" i="33"/>
  <c r="BW7" i="12"/>
  <c r="BY8" i="15"/>
  <c r="BY7" i="14"/>
  <c r="BY8" i="48"/>
  <c r="BY8" i="23"/>
  <c r="BW8" i="20"/>
  <c r="BY8" i="32"/>
  <c r="BY8" i="33"/>
  <c r="CD10" i="8"/>
  <c r="CB12" i="12"/>
  <c r="CD14" i="15"/>
  <c r="CD13" i="14"/>
  <c r="CD14" i="48"/>
  <c r="CD14" i="23"/>
  <c r="CB14" i="20"/>
  <c r="CD14" i="32"/>
  <c r="CD14" i="33"/>
  <c r="CC45" i="8"/>
  <c r="CD45" i="8" s="1"/>
  <c r="CC42" i="10"/>
  <c r="CD42" i="10" s="1"/>
  <c r="CA47" i="12"/>
  <c r="CC49" i="15"/>
  <c r="CC48" i="14"/>
  <c r="CD48" i="14" s="1"/>
  <c r="CC49" i="48"/>
  <c r="CD49" i="48" s="1"/>
  <c r="CC49" i="23"/>
  <c r="CA23" i="20"/>
  <c r="CB23" i="20" s="1"/>
  <c r="CC49" i="32"/>
  <c r="CD49" i="32" s="1"/>
  <c r="CC49" i="33"/>
  <c r="CD49" i="33" s="1"/>
  <c r="CD11" i="8"/>
  <c r="CD15" i="8"/>
  <c r="CD16" i="8"/>
  <c r="CD20" i="8"/>
  <c r="CD21" i="8"/>
  <c r="CD25" i="8"/>
  <c r="CD26" i="8"/>
  <c r="CD33" i="8"/>
  <c r="CD34" i="8"/>
  <c r="CD36" i="8"/>
  <c r="CD37" i="8"/>
  <c r="CD39" i="8"/>
  <c r="CD40" i="8"/>
  <c r="CD42" i="8"/>
  <c r="CD47" i="8"/>
  <c r="CD48" i="8"/>
  <c r="CD51" i="8"/>
  <c r="CD52" i="8"/>
  <c r="CD12" i="10"/>
  <c r="CD13" i="10"/>
  <c r="CD17" i="10"/>
  <c r="CD18" i="10"/>
  <c r="CD22" i="10"/>
  <c r="CD23" i="10"/>
  <c r="CD30" i="10"/>
  <c r="CD31" i="10"/>
  <c r="CD33" i="10"/>
  <c r="CD34" i="10"/>
  <c r="CD36" i="10"/>
  <c r="CD37" i="10"/>
  <c r="CD39" i="10"/>
  <c r="CD44" i="10"/>
  <c r="CD45" i="10"/>
  <c r="CD48" i="10"/>
  <c r="CD49" i="10"/>
  <c r="CB13" i="12"/>
  <c r="CB17" i="12"/>
  <c r="CB18" i="12"/>
  <c r="CB22" i="12"/>
  <c r="CB23" i="12"/>
  <c r="CB27" i="12"/>
  <c r="CB28" i="12"/>
  <c r="CB35" i="12"/>
  <c r="CB36" i="12"/>
  <c r="CB38" i="12"/>
  <c r="CB39" i="12"/>
  <c r="CB41" i="12"/>
  <c r="CB42" i="12"/>
  <c r="CB44" i="12"/>
  <c r="CB49" i="12"/>
  <c r="CB50" i="12"/>
  <c r="CB53" i="12"/>
  <c r="CB54" i="12"/>
  <c r="CD15" i="15"/>
  <c r="CD19" i="15"/>
  <c r="CD20" i="15"/>
  <c r="CD24" i="15"/>
  <c r="CD25" i="15"/>
  <c r="CD29" i="15"/>
  <c r="CD30" i="15"/>
  <c r="CD37" i="15"/>
  <c r="CD38" i="15"/>
  <c r="CD40" i="15"/>
  <c r="CD41" i="15"/>
  <c r="CD43" i="15"/>
  <c r="CD44" i="15"/>
  <c r="CD46" i="15"/>
  <c r="CD51" i="15"/>
  <c r="CD52" i="15"/>
  <c r="CD55" i="15"/>
  <c r="CD56" i="15"/>
  <c r="CD14" i="14"/>
  <c r="CD18" i="14"/>
  <c r="CD19" i="14"/>
  <c r="CD23" i="14"/>
  <c r="CD24" i="14"/>
  <c r="CD28" i="14"/>
  <c r="CD29" i="14"/>
  <c r="CD36" i="14"/>
  <c r="CD37" i="14"/>
  <c r="CD39" i="14"/>
  <c r="CD40" i="14"/>
  <c r="CD42" i="14"/>
  <c r="CD43" i="14"/>
  <c r="CD45" i="14"/>
  <c r="CD50" i="14"/>
  <c r="CD51" i="14"/>
  <c r="CD54" i="14"/>
  <c r="CD55" i="14"/>
  <c r="CD15" i="48"/>
  <c r="CD19" i="48"/>
  <c r="CD20" i="48"/>
  <c r="CD24" i="48"/>
  <c r="CD25" i="48"/>
  <c r="CD29" i="48"/>
  <c r="CD30" i="48"/>
  <c r="CD37" i="48"/>
  <c r="CD38" i="48"/>
  <c r="CD40" i="48"/>
  <c r="CD41" i="48"/>
  <c r="CD43" i="48"/>
  <c r="CD44" i="48"/>
  <c r="CD46" i="48"/>
  <c r="CD51" i="48"/>
  <c r="CD52" i="48"/>
  <c r="CD55" i="48"/>
  <c r="CD56" i="48"/>
  <c r="CD15" i="23"/>
  <c r="CD19" i="23"/>
  <c r="CD20" i="23"/>
  <c r="CD24" i="23"/>
  <c r="CD25" i="23"/>
  <c r="CD29" i="23"/>
  <c r="CD30" i="23"/>
  <c r="CD37" i="23"/>
  <c r="CD38" i="23"/>
  <c r="CD40" i="23"/>
  <c r="CD41" i="23"/>
  <c r="CD43" i="23"/>
  <c r="CD44" i="23"/>
  <c r="CD46" i="23"/>
  <c r="CD51" i="23"/>
  <c r="CD52" i="23"/>
  <c r="CD55" i="23"/>
  <c r="CD56" i="23"/>
  <c r="CB15" i="20"/>
  <c r="CB19" i="20"/>
  <c r="CD15" i="32"/>
  <c r="CD19" i="32"/>
  <c r="CD20" i="32"/>
  <c r="CD24" i="32"/>
  <c r="CD25" i="32"/>
  <c r="CD29" i="32"/>
  <c r="CD30" i="32"/>
  <c r="CD37" i="32"/>
  <c r="CD38" i="32"/>
  <c r="CD40" i="32"/>
  <c r="CD41" i="32"/>
  <c r="CD43" i="32"/>
  <c r="CD44" i="32"/>
  <c r="CD46" i="32"/>
  <c r="CD51" i="32"/>
  <c r="CD52" i="32"/>
  <c r="CD55" i="32"/>
  <c r="CD56" i="32"/>
  <c r="CD15" i="33"/>
  <c r="CD19" i="33"/>
  <c r="CD20" i="33"/>
  <c r="CD24" i="33"/>
  <c r="CD25" i="33"/>
  <c r="CD29" i="33"/>
  <c r="CD30" i="33"/>
  <c r="CD37" i="33"/>
  <c r="CD38" i="33"/>
  <c r="CD40" i="33"/>
  <c r="CD41" i="33"/>
  <c r="CD43" i="33"/>
  <c r="CD44" i="33"/>
  <c r="CD46" i="33"/>
  <c r="CD51" i="33"/>
  <c r="CD52" i="33"/>
  <c r="CD55" i="33"/>
  <c r="CD56" i="33"/>
  <c r="I190" i="32"/>
  <c r="H190" i="32"/>
  <c r="E190" i="32"/>
  <c r="AD180" i="25"/>
  <c r="AC180" i="25"/>
  <c r="AB180" i="25"/>
  <c r="AA180" i="25"/>
  <c r="Z180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E189" i="32"/>
  <c r="B33" i="33"/>
  <c r="E33" i="33"/>
  <c r="F33" i="33"/>
  <c r="H33" i="33"/>
  <c r="I33" i="33"/>
  <c r="B46" i="33"/>
  <c r="E46" i="33"/>
  <c r="F46" i="33"/>
  <c r="H46" i="33"/>
  <c r="I46" i="33"/>
  <c r="B59" i="33"/>
  <c r="E59" i="33"/>
  <c r="F59" i="33"/>
  <c r="H59" i="33"/>
  <c r="I59" i="33"/>
  <c r="B81" i="33"/>
  <c r="E81" i="33"/>
  <c r="F81" i="33"/>
  <c r="H81" i="33"/>
  <c r="I81" i="33"/>
  <c r="B94" i="33"/>
  <c r="E94" i="33"/>
  <c r="F94" i="33"/>
  <c r="H94" i="33"/>
  <c r="I94" i="33"/>
  <c r="B146" i="33"/>
  <c r="E146" i="33"/>
  <c r="F146" i="33"/>
  <c r="H146" i="33"/>
  <c r="I146" i="33"/>
  <c r="B33" i="32"/>
  <c r="C33" i="32"/>
  <c r="D33" i="32"/>
  <c r="E33" i="32"/>
  <c r="F33" i="32"/>
  <c r="G33" i="32"/>
  <c r="H33" i="32"/>
  <c r="I33" i="32"/>
  <c r="B47" i="32"/>
  <c r="C47" i="32"/>
  <c r="D47" i="32"/>
  <c r="E47" i="32"/>
  <c r="F47" i="32"/>
  <c r="G47" i="32"/>
  <c r="H47" i="32"/>
  <c r="I47" i="32"/>
  <c r="B61" i="32"/>
  <c r="C61" i="32"/>
  <c r="D61" i="32"/>
  <c r="E61" i="32"/>
  <c r="F61" i="32"/>
  <c r="G61" i="32"/>
  <c r="H61" i="32"/>
  <c r="I61" i="32"/>
  <c r="B74" i="32"/>
  <c r="C74" i="32"/>
  <c r="D74" i="32"/>
  <c r="E74" i="32"/>
  <c r="F74" i="32"/>
  <c r="G74" i="32"/>
  <c r="H74" i="32"/>
  <c r="I74" i="32"/>
  <c r="B108" i="32"/>
  <c r="H108" i="32" s="1"/>
  <c r="E108" i="32"/>
  <c r="B109" i="32"/>
  <c r="H109" i="32" s="1"/>
  <c r="E109" i="32"/>
  <c r="E110" i="32"/>
  <c r="H110" i="32"/>
  <c r="I110" i="32"/>
  <c r="E111" i="32"/>
  <c r="H111" i="32"/>
  <c r="I111" i="32"/>
  <c r="E112" i="32"/>
  <c r="H112" i="32"/>
  <c r="I112" i="32"/>
  <c r="B113" i="32"/>
  <c r="I113" i="32" s="1"/>
  <c r="E113" i="32"/>
  <c r="B114" i="32"/>
  <c r="H114" i="32" s="1"/>
  <c r="E114" i="32"/>
  <c r="B115" i="32"/>
  <c r="H115" i="32" s="1"/>
  <c r="E115" i="32"/>
  <c r="B116" i="32"/>
  <c r="H116" i="32" s="1"/>
  <c r="E116" i="32"/>
  <c r="B117" i="32"/>
  <c r="H117" i="32" s="1"/>
  <c r="E117" i="32"/>
  <c r="B118" i="32"/>
  <c r="I118" i="32" s="1"/>
  <c r="E118" i="32"/>
  <c r="B119" i="32"/>
  <c r="I119" i="32" s="1"/>
  <c r="E119" i="32"/>
  <c r="B120" i="32"/>
  <c r="I120" i="32" s="1"/>
  <c r="E120" i="32"/>
  <c r="B121" i="32"/>
  <c r="H121" i="32" s="1"/>
  <c r="E121" i="32"/>
  <c r="B122" i="32"/>
  <c r="H122" i="32" s="1"/>
  <c r="E122" i="32"/>
  <c r="B123" i="32"/>
  <c r="H123" i="32" s="1"/>
  <c r="E123" i="32"/>
  <c r="B124" i="32"/>
  <c r="H124" i="32" s="1"/>
  <c r="E124" i="32"/>
  <c r="B125" i="32"/>
  <c r="I125" i="32" s="1"/>
  <c r="E125" i="32"/>
  <c r="B127" i="32"/>
  <c r="H127" i="32" s="1"/>
  <c r="E127" i="32"/>
  <c r="B128" i="32"/>
  <c r="I128" i="32" s="1"/>
  <c r="E128" i="32"/>
  <c r="B129" i="32"/>
  <c r="H129" i="32" s="1"/>
  <c r="E129" i="32"/>
  <c r="B130" i="32"/>
  <c r="H130" i="32" s="1"/>
  <c r="E130" i="32"/>
  <c r="B131" i="32"/>
  <c r="H131" i="32" s="1"/>
  <c r="E131" i="32"/>
  <c r="B132" i="32"/>
  <c r="I132" i="32" s="1"/>
  <c r="E132" i="32"/>
  <c r="B133" i="32"/>
  <c r="H133" i="32" s="1"/>
  <c r="E133" i="32"/>
  <c r="B134" i="32"/>
  <c r="I134" i="32" s="1"/>
  <c r="E134" i="32"/>
  <c r="B135" i="32"/>
  <c r="I135" i="32" s="1"/>
  <c r="E135" i="32"/>
  <c r="B136" i="32"/>
  <c r="I136" i="32" s="1"/>
  <c r="E136" i="32"/>
  <c r="B137" i="32"/>
  <c r="H137" i="32" s="1"/>
  <c r="E137" i="32"/>
  <c r="B138" i="32"/>
  <c r="I138" i="32" s="1"/>
  <c r="E138" i="32"/>
  <c r="B140" i="32"/>
  <c r="H140" i="32" s="1"/>
  <c r="E140" i="32"/>
  <c r="B141" i="32"/>
  <c r="H141" i="32" s="1"/>
  <c r="E141" i="32"/>
  <c r="B142" i="32"/>
  <c r="H142" i="32" s="1"/>
  <c r="E142" i="32"/>
  <c r="B143" i="32"/>
  <c r="I143" i="32" s="1"/>
  <c r="E143" i="32"/>
  <c r="B144" i="32"/>
  <c r="H144" i="32" s="1"/>
  <c r="E144" i="32"/>
  <c r="B145" i="32"/>
  <c r="I145" i="32" s="1"/>
  <c r="E145" i="32"/>
  <c r="B146" i="32"/>
  <c r="H146" i="32" s="1"/>
  <c r="E146" i="32"/>
  <c r="B147" i="32"/>
  <c r="I147" i="32" s="1"/>
  <c r="B148" i="32"/>
  <c r="H148" i="32" s="1"/>
  <c r="B149" i="32"/>
  <c r="I149" i="32" s="1"/>
  <c r="E149" i="32"/>
  <c r="B150" i="32"/>
  <c r="I150" i="32" s="1"/>
  <c r="E150" i="32"/>
  <c r="B151" i="32"/>
  <c r="H151" i="32" s="1"/>
  <c r="E151" i="32"/>
  <c r="E153" i="32"/>
  <c r="H153" i="32"/>
  <c r="I153" i="32"/>
  <c r="E154" i="32"/>
  <c r="H154" i="32"/>
  <c r="I154" i="32"/>
  <c r="E155" i="32"/>
  <c r="H155" i="32"/>
  <c r="I155" i="32"/>
  <c r="E167" i="32"/>
  <c r="E168" i="32"/>
  <c r="E177" i="32"/>
  <c r="AE184" i="29"/>
  <c r="AE187" i="29"/>
  <c r="AE190" i="29"/>
  <c r="AE193" i="29"/>
  <c r="AE196" i="29"/>
  <c r="AE199" i="29"/>
  <c r="AE202" i="29"/>
  <c r="AE205" i="29"/>
  <c r="AE208" i="29"/>
  <c r="AE211" i="29"/>
  <c r="AE214" i="29"/>
  <c r="AE217" i="29"/>
  <c r="AE220" i="29"/>
  <c r="AE223" i="29"/>
  <c r="AE226" i="29"/>
  <c r="AE229" i="29"/>
  <c r="AE232" i="29"/>
  <c r="AE235" i="29"/>
  <c r="AE238" i="29"/>
  <c r="AE241" i="29"/>
  <c r="AE244" i="29"/>
  <c r="AE247" i="29"/>
  <c r="AE250" i="29"/>
  <c r="AE253" i="29"/>
  <c r="AE256" i="29"/>
  <c r="AE259" i="29"/>
  <c r="AE262" i="29"/>
  <c r="AE265" i="29"/>
  <c r="AE268" i="29"/>
  <c r="AE271" i="29"/>
  <c r="AE274" i="29"/>
  <c r="AE277" i="29"/>
  <c r="AE280" i="29"/>
  <c r="AE283" i="29"/>
  <c r="AE286" i="29"/>
  <c r="AE289" i="29"/>
  <c r="AE292" i="29"/>
  <c r="AE295" i="29"/>
  <c r="AE298" i="29"/>
  <c r="AE301" i="29"/>
  <c r="AE304" i="29"/>
  <c r="AE307" i="29"/>
  <c r="AE310" i="29"/>
  <c r="AE313" i="29"/>
  <c r="AE316" i="29"/>
  <c r="AE319" i="29"/>
  <c r="AE322" i="29"/>
  <c r="AE325" i="29"/>
  <c r="AE328" i="29"/>
  <c r="AE331" i="29"/>
  <c r="AE334" i="29"/>
  <c r="AE337" i="29"/>
  <c r="AE340" i="29"/>
  <c r="AE343" i="29"/>
  <c r="AE346" i="29"/>
  <c r="AE349" i="29"/>
  <c r="AE352" i="29"/>
  <c r="AE355" i="29"/>
  <c r="AE358" i="29"/>
  <c r="AE361" i="29"/>
  <c r="AE364" i="29"/>
  <c r="AE367" i="29"/>
  <c r="AE370" i="29"/>
  <c r="AE373" i="29"/>
  <c r="AE376" i="29"/>
  <c r="B128" i="25"/>
  <c r="C128" i="25"/>
  <c r="D128" i="25"/>
  <c r="E128" i="25"/>
  <c r="F128" i="25"/>
  <c r="G128" i="25"/>
  <c r="H128" i="25"/>
  <c r="I128" i="25"/>
  <c r="J128" i="25"/>
  <c r="K128" i="25"/>
  <c r="L128" i="25"/>
  <c r="M128" i="25"/>
  <c r="N128" i="25"/>
  <c r="O128" i="25"/>
  <c r="P128" i="25"/>
  <c r="Q128" i="25"/>
  <c r="R128" i="25"/>
  <c r="S128" i="25"/>
  <c r="T128" i="25"/>
  <c r="U128" i="25"/>
  <c r="V128" i="25"/>
  <c r="W128" i="25"/>
  <c r="X128" i="25"/>
  <c r="Y128" i="25"/>
  <c r="Z128" i="25"/>
  <c r="AA128" i="25"/>
  <c r="AB128" i="25"/>
  <c r="AC128" i="25"/>
  <c r="AD128" i="25"/>
  <c r="B141" i="25"/>
  <c r="C141" i="25"/>
  <c r="D141" i="25"/>
  <c r="E141" i="25"/>
  <c r="F141" i="25"/>
  <c r="G141" i="25"/>
  <c r="H141" i="25"/>
  <c r="I141" i="25"/>
  <c r="J141" i="25"/>
  <c r="K141" i="25"/>
  <c r="L141" i="25"/>
  <c r="M141" i="25"/>
  <c r="N141" i="25"/>
  <c r="O141" i="25"/>
  <c r="P141" i="25"/>
  <c r="Q141" i="25"/>
  <c r="R141" i="25"/>
  <c r="S141" i="25"/>
  <c r="T141" i="25"/>
  <c r="U141" i="25"/>
  <c r="V141" i="25"/>
  <c r="W141" i="25"/>
  <c r="X141" i="25"/>
  <c r="Y141" i="25"/>
  <c r="Z141" i="25"/>
  <c r="AA141" i="25"/>
  <c r="AB141" i="25"/>
  <c r="AC141" i="25"/>
  <c r="AD141" i="25"/>
  <c r="B154" i="25"/>
  <c r="C154" i="25"/>
  <c r="D154" i="25"/>
  <c r="E154" i="25"/>
  <c r="F154" i="25"/>
  <c r="G154" i="25"/>
  <c r="H154" i="25"/>
  <c r="I154" i="25"/>
  <c r="J154" i="25"/>
  <c r="K154" i="25"/>
  <c r="L154" i="25"/>
  <c r="M154" i="25"/>
  <c r="N154" i="25"/>
  <c r="O154" i="25"/>
  <c r="P154" i="25"/>
  <c r="Q154" i="25"/>
  <c r="R154" i="25"/>
  <c r="S154" i="25"/>
  <c r="T154" i="25"/>
  <c r="U154" i="25"/>
  <c r="V154" i="25"/>
  <c r="W154" i="25"/>
  <c r="X154" i="25"/>
  <c r="Y154" i="25"/>
  <c r="Z154" i="25"/>
  <c r="AA154" i="25"/>
  <c r="AB154" i="25"/>
  <c r="AC154" i="25"/>
  <c r="AD154" i="25"/>
  <c r="B167" i="25"/>
  <c r="C167" i="25"/>
  <c r="D167" i="25"/>
  <c r="E167" i="25"/>
  <c r="F167" i="25"/>
  <c r="G167" i="25"/>
  <c r="H167" i="25"/>
  <c r="I167" i="25"/>
  <c r="J167" i="25"/>
  <c r="K167" i="25"/>
  <c r="L167" i="25"/>
  <c r="M167" i="25"/>
  <c r="N167" i="25"/>
  <c r="O167" i="25"/>
  <c r="P167" i="25"/>
  <c r="Q167" i="25"/>
  <c r="R167" i="25"/>
  <c r="S167" i="25"/>
  <c r="T167" i="25"/>
  <c r="U167" i="25"/>
  <c r="V167" i="25"/>
  <c r="W167" i="25"/>
  <c r="X167" i="25"/>
  <c r="Y167" i="25"/>
  <c r="Z167" i="25"/>
  <c r="AA167" i="25"/>
  <c r="AB167" i="25"/>
  <c r="AC167" i="25"/>
  <c r="AD167" i="25"/>
  <c r="B17" i="23"/>
  <c r="C17" i="23"/>
  <c r="D17" i="23"/>
  <c r="E17" i="23"/>
  <c r="F17" i="23"/>
  <c r="B30" i="23"/>
  <c r="C30" i="23"/>
  <c r="D30" i="23"/>
  <c r="E30" i="23"/>
  <c r="F30" i="23"/>
  <c r="C43" i="23"/>
  <c r="D43" i="23"/>
  <c r="E43" i="23"/>
  <c r="F43" i="23"/>
  <c r="B55" i="23"/>
  <c r="B43" i="23" s="1"/>
  <c r="C56" i="23"/>
  <c r="D56" i="23"/>
  <c r="E56" i="23"/>
  <c r="F56" i="23"/>
  <c r="B68" i="23"/>
  <c r="B56" i="23" s="1"/>
  <c r="C69" i="23"/>
  <c r="D69" i="23"/>
  <c r="E69" i="23"/>
  <c r="F69" i="23"/>
  <c r="B70" i="23"/>
  <c r="B71" i="23"/>
  <c r="B72" i="23"/>
  <c r="B73" i="23"/>
  <c r="B74" i="23"/>
  <c r="B75" i="23"/>
  <c r="B76" i="23"/>
  <c r="B77" i="23"/>
  <c r="B78" i="23"/>
  <c r="B79" i="23"/>
  <c r="B80" i="23"/>
  <c r="B81" i="23"/>
  <c r="B69" i="23" s="1"/>
  <c r="B83" i="23"/>
  <c r="B84" i="23"/>
  <c r="B85" i="23"/>
  <c r="B86" i="23"/>
  <c r="B87" i="23"/>
  <c r="B88" i="23"/>
  <c r="B89" i="23"/>
  <c r="B90" i="23"/>
  <c r="B91" i="23"/>
  <c r="B92" i="23"/>
  <c r="B93" i="23"/>
  <c r="B94" i="23"/>
  <c r="B96" i="23"/>
  <c r="B97" i="23"/>
  <c r="B98" i="23"/>
  <c r="B99" i="23"/>
  <c r="B100" i="23"/>
  <c r="B101" i="23"/>
  <c r="B102" i="23"/>
  <c r="B103" i="23"/>
  <c r="B104" i="23"/>
  <c r="B105" i="23"/>
  <c r="B106" i="23"/>
  <c r="B107" i="23"/>
  <c r="B109" i="23"/>
  <c r="B110" i="23"/>
  <c r="B111" i="23"/>
  <c r="B112" i="23"/>
  <c r="B113" i="23"/>
  <c r="B114" i="23"/>
  <c r="B115" i="23"/>
  <c r="B116" i="23"/>
  <c r="B117" i="23"/>
  <c r="B118" i="23"/>
  <c r="B119" i="23"/>
  <c r="B120" i="23"/>
  <c r="B122" i="23"/>
  <c r="B123" i="23"/>
  <c r="B124" i="23"/>
  <c r="B125" i="23"/>
  <c r="B126" i="23"/>
  <c r="B127" i="23"/>
  <c r="B128" i="23"/>
  <c r="B129" i="23"/>
  <c r="B130" i="23"/>
  <c r="B131" i="23"/>
  <c r="B132" i="23"/>
  <c r="B133" i="23"/>
  <c r="B135" i="23"/>
  <c r="B136" i="23"/>
  <c r="B137" i="23"/>
  <c r="B138" i="23"/>
  <c r="B139" i="23"/>
  <c r="B140" i="23"/>
  <c r="C141" i="23"/>
  <c r="D141" i="23"/>
  <c r="E141" i="23"/>
  <c r="F141" i="23"/>
  <c r="B142" i="23"/>
  <c r="B143" i="23"/>
  <c r="B144" i="23"/>
  <c r="B145" i="23"/>
  <c r="B146" i="23"/>
  <c r="B161" i="23"/>
  <c r="B163" i="23"/>
  <c r="B164" i="23"/>
  <c r="D14" i="14"/>
  <c r="E14" i="14"/>
  <c r="J14" i="14"/>
  <c r="K14" i="14"/>
  <c r="D15" i="14"/>
  <c r="E15" i="14"/>
  <c r="J15" i="14"/>
  <c r="K15" i="14"/>
  <c r="D16" i="14"/>
  <c r="E16" i="14"/>
  <c r="J16" i="14"/>
  <c r="K16" i="14"/>
  <c r="D17" i="14"/>
  <c r="E17" i="14"/>
  <c r="J17" i="14"/>
  <c r="K17" i="14"/>
  <c r="F18" i="14"/>
  <c r="G18" i="14"/>
  <c r="H18" i="14"/>
  <c r="I18" i="14"/>
  <c r="L18" i="14"/>
  <c r="M18" i="14"/>
  <c r="N18" i="14"/>
  <c r="O18" i="14"/>
  <c r="D19" i="14"/>
  <c r="E19" i="14"/>
  <c r="J19" i="14"/>
  <c r="K19" i="14"/>
  <c r="D20" i="14"/>
  <c r="E20" i="14"/>
  <c r="J20" i="14"/>
  <c r="K20" i="14"/>
  <c r="D21" i="14"/>
  <c r="E21" i="14"/>
  <c r="J21" i="14"/>
  <c r="K21" i="14"/>
  <c r="D22" i="14"/>
  <c r="E22" i="14"/>
  <c r="J22" i="14"/>
  <c r="K22" i="14"/>
  <c r="D23" i="14"/>
  <c r="E23" i="14"/>
  <c r="J23" i="14"/>
  <c r="K23" i="14"/>
  <c r="D24" i="14"/>
  <c r="E24" i="14"/>
  <c r="J24" i="14"/>
  <c r="K24" i="14"/>
  <c r="D25" i="14"/>
  <c r="E25" i="14"/>
  <c r="J25" i="14"/>
  <c r="K25" i="14"/>
  <c r="D26" i="14"/>
  <c r="E26" i="14"/>
  <c r="J26" i="14"/>
  <c r="K26" i="14"/>
  <c r="D27" i="14"/>
  <c r="E27" i="14"/>
  <c r="J27" i="14"/>
  <c r="K27" i="14"/>
  <c r="D28" i="14"/>
  <c r="E28" i="14"/>
  <c r="J28" i="14"/>
  <c r="K28" i="14"/>
  <c r="D29" i="14"/>
  <c r="E29" i="14"/>
  <c r="J29" i="14"/>
  <c r="K29" i="14"/>
  <c r="D30" i="14"/>
  <c r="D18" i="14" s="1"/>
  <c r="E30" i="14"/>
  <c r="E18" i="14" s="1"/>
  <c r="J30" i="14"/>
  <c r="J18" i="14" s="1"/>
  <c r="K30" i="14"/>
  <c r="K18" i="14" s="1"/>
  <c r="F32" i="14"/>
  <c r="G32" i="14"/>
  <c r="H32" i="14"/>
  <c r="I32" i="14"/>
  <c r="L32" i="14"/>
  <c r="M32" i="14"/>
  <c r="N32" i="14"/>
  <c r="O32" i="14"/>
  <c r="D33" i="14"/>
  <c r="E33" i="14"/>
  <c r="J33" i="14"/>
  <c r="K33" i="14"/>
  <c r="D34" i="14"/>
  <c r="E34" i="14"/>
  <c r="J34" i="14"/>
  <c r="K34" i="14"/>
  <c r="D35" i="14"/>
  <c r="E35" i="14"/>
  <c r="J35" i="14"/>
  <c r="K35" i="14"/>
  <c r="D36" i="14"/>
  <c r="E36" i="14"/>
  <c r="J36" i="14"/>
  <c r="K36" i="14"/>
  <c r="D37" i="14"/>
  <c r="E37" i="14"/>
  <c r="J37" i="14"/>
  <c r="K37" i="14"/>
  <c r="D38" i="14"/>
  <c r="E38" i="14"/>
  <c r="J38" i="14"/>
  <c r="K38" i="14"/>
  <c r="D39" i="14"/>
  <c r="E39" i="14"/>
  <c r="J39" i="14"/>
  <c r="K39" i="14"/>
  <c r="D40" i="14"/>
  <c r="E40" i="14"/>
  <c r="J40" i="14"/>
  <c r="K40" i="14"/>
  <c r="D41" i="14"/>
  <c r="E41" i="14"/>
  <c r="J41" i="14"/>
  <c r="K41" i="14"/>
  <c r="D42" i="14"/>
  <c r="E42" i="14"/>
  <c r="J42" i="14"/>
  <c r="K42" i="14"/>
  <c r="D43" i="14"/>
  <c r="E43" i="14"/>
  <c r="J43" i="14"/>
  <c r="K43" i="14"/>
  <c r="D44" i="14"/>
  <c r="E44" i="14"/>
  <c r="E32" i="14" s="1"/>
  <c r="J44" i="14"/>
  <c r="J32" i="14" s="1"/>
  <c r="K44" i="14"/>
  <c r="K32" i="14" s="1"/>
  <c r="F46" i="14"/>
  <c r="G46" i="14"/>
  <c r="H46" i="14"/>
  <c r="I46" i="14"/>
  <c r="L46" i="14"/>
  <c r="M46" i="14"/>
  <c r="N46" i="14"/>
  <c r="O46" i="14"/>
  <c r="D47" i="14"/>
  <c r="E47" i="14"/>
  <c r="J47" i="14"/>
  <c r="K47" i="14"/>
  <c r="D48" i="14"/>
  <c r="E48" i="14"/>
  <c r="J48" i="14"/>
  <c r="K48" i="14"/>
  <c r="D49" i="14"/>
  <c r="E49" i="14"/>
  <c r="J49" i="14"/>
  <c r="K49" i="14"/>
  <c r="D50" i="14"/>
  <c r="E50" i="14"/>
  <c r="J50" i="14"/>
  <c r="K50" i="14"/>
  <c r="D51" i="14"/>
  <c r="E51" i="14"/>
  <c r="J51" i="14"/>
  <c r="K51" i="14"/>
  <c r="D52" i="14"/>
  <c r="E52" i="14"/>
  <c r="J52" i="14"/>
  <c r="K52" i="14"/>
  <c r="D53" i="14"/>
  <c r="E53" i="14"/>
  <c r="J53" i="14"/>
  <c r="K53" i="14"/>
  <c r="D54" i="14"/>
  <c r="E54" i="14"/>
  <c r="J54" i="14"/>
  <c r="K54" i="14"/>
  <c r="D55" i="14"/>
  <c r="E55" i="14"/>
  <c r="J55" i="14"/>
  <c r="K55" i="14"/>
  <c r="D56" i="14"/>
  <c r="E56" i="14"/>
  <c r="J56" i="14"/>
  <c r="K56" i="14"/>
  <c r="D57" i="14"/>
  <c r="E57" i="14"/>
  <c r="J57" i="14"/>
  <c r="K57" i="14"/>
  <c r="D58" i="14"/>
  <c r="D46" i="14" s="1"/>
  <c r="E58" i="14"/>
  <c r="J58" i="14"/>
  <c r="J46" i="14" s="1"/>
  <c r="K58" i="14"/>
  <c r="K46" i="14" s="1"/>
  <c r="F60" i="14"/>
  <c r="G60" i="14"/>
  <c r="H60" i="14"/>
  <c r="I60" i="14"/>
  <c r="L60" i="14"/>
  <c r="M60" i="14"/>
  <c r="N60" i="14"/>
  <c r="O60" i="14"/>
  <c r="D61" i="14"/>
  <c r="E61" i="14"/>
  <c r="J61" i="14"/>
  <c r="K61" i="14"/>
  <c r="D62" i="14"/>
  <c r="E62" i="14"/>
  <c r="J62" i="14"/>
  <c r="K62" i="14"/>
  <c r="D63" i="14"/>
  <c r="E63" i="14"/>
  <c r="J63" i="14"/>
  <c r="K63" i="14"/>
  <c r="D64" i="14"/>
  <c r="E64" i="14"/>
  <c r="J64" i="14"/>
  <c r="K64" i="14"/>
  <c r="D65" i="14"/>
  <c r="E65" i="14"/>
  <c r="J65" i="14"/>
  <c r="K65" i="14"/>
  <c r="D66" i="14"/>
  <c r="E66" i="14"/>
  <c r="J66" i="14"/>
  <c r="K66" i="14"/>
  <c r="D67" i="14"/>
  <c r="E67" i="14"/>
  <c r="J67" i="14"/>
  <c r="K67" i="14"/>
  <c r="D68" i="14"/>
  <c r="E68" i="14"/>
  <c r="J68" i="14"/>
  <c r="K68" i="14"/>
  <c r="D69" i="14"/>
  <c r="E69" i="14"/>
  <c r="J69" i="14"/>
  <c r="K69" i="14"/>
  <c r="D70" i="14"/>
  <c r="E70" i="14"/>
  <c r="J70" i="14"/>
  <c r="K70" i="14"/>
  <c r="D71" i="14"/>
  <c r="E71" i="14"/>
  <c r="J71" i="14"/>
  <c r="K71" i="14"/>
  <c r="D72" i="14"/>
  <c r="D60" i="14" s="1"/>
  <c r="E72" i="14"/>
  <c r="E60" i="14" s="1"/>
  <c r="J72" i="14"/>
  <c r="J60" i="14" s="1"/>
  <c r="K72" i="14"/>
  <c r="K60" i="14" s="1"/>
  <c r="F73" i="14"/>
  <c r="G73" i="14"/>
  <c r="H73" i="14"/>
  <c r="I73" i="14"/>
  <c r="L73" i="14"/>
  <c r="M73" i="14"/>
  <c r="N73" i="14"/>
  <c r="O73" i="14"/>
  <c r="D74" i="14"/>
  <c r="E74" i="14"/>
  <c r="J74" i="14"/>
  <c r="K74" i="14"/>
  <c r="D75" i="14"/>
  <c r="B75" i="14" s="1"/>
  <c r="E75" i="14"/>
  <c r="K75" i="14"/>
  <c r="D76" i="14"/>
  <c r="B76" i="14" s="1"/>
  <c r="E76" i="14"/>
  <c r="K76" i="14"/>
  <c r="D77" i="14"/>
  <c r="E77" i="14"/>
  <c r="J77" i="14"/>
  <c r="K77" i="14"/>
  <c r="D78" i="14"/>
  <c r="E78" i="14"/>
  <c r="J78" i="14"/>
  <c r="K78" i="14"/>
  <c r="D79" i="14"/>
  <c r="E79" i="14"/>
  <c r="J79" i="14"/>
  <c r="K79" i="14"/>
  <c r="D80" i="14"/>
  <c r="E80" i="14"/>
  <c r="J80" i="14"/>
  <c r="K80" i="14"/>
  <c r="D81" i="14"/>
  <c r="E81" i="14"/>
  <c r="J81" i="14"/>
  <c r="K81" i="14"/>
  <c r="D82" i="14"/>
  <c r="E82" i="14"/>
  <c r="J82" i="14"/>
  <c r="K82" i="14"/>
  <c r="D83" i="14"/>
  <c r="E83" i="14"/>
  <c r="J83" i="14"/>
  <c r="K83" i="14"/>
  <c r="D84" i="14"/>
  <c r="E84" i="14"/>
  <c r="J84" i="14"/>
  <c r="K84" i="14"/>
  <c r="D85" i="14"/>
  <c r="D73" i="14" s="1"/>
  <c r="E85" i="14"/>
  <c r="E73" i="14" s="1"/>
  <c r="J85" i="14"/>
  <c r="J73" i="14" s="1"/>
  <c r="K85" i="14"/>
  <c r="K73" i="14" s="1"/>
  <c r="D87" i="14"/>
  <c r="E87" i="14"/>
  <c r="J87" i="14"/>
  <c r="K87" i="14"/>
  <c r="D88" i="14"/>
  <c r="E88" i="14"/>
  <c r="J88" i="14"/>
  <c r="K88" i="14"/>
  <c r="D89" i="14"/>
  <c r="E89" i="14"/>
  <c r="J89" i="14"/>
  <c r="K89" i="14"/>
  <c r="D90" i="14"/>
  <c r="E90" i="14"/>
  <c r="J90" i="14"/>
  <c r="K90" i="14"/>
  <c r="D91" i="14"/>
  <c r="E91" i="14"/>
  <c r="J91" i="14"/>
  <c r="K91" i="14"/>
  <c r="D92" i="14"/>
  <c r="E92" i="14"/>
  <c r="J92" i="14"/>
  <c r="K92" i="14"/>
  <c r="D93" i="14"/>
  <c r="E93" i="14"/>
  <c r="J93" i="14"/>
  <c r="K93" i="14"/>
  <c r="D94" i="14"/>
  <c r="E94" i="14"/>
  <c r="J94" i="14"/>
  <c r="K94" i="14"/>
  <c r="D95" i="14"/>
  <c r="E95" i="14"/>
  <c r="J95" i="14"/>
  <c r="K95" i="14"/>
  <c r="D96" i="14"/>
  <c r="E96" i="14"/>
  <c r="J96" i="14"/>
  <c r="K96" i="14"/>
  <c r="D97" i="14"/>
  <c r="E97" i="14"/>
  <c r="J97" i="14"/>
  <c r="K97" i="14"/>
  <c r="D98" i="14"/>
  <c r="E98" i="14"/>
  <c r="J98" i="14"/>
  <c r="K98" i="14"/>
  <c r="D100" i="14"/>
  <c r="E100" i="14"/>
  <c r="J100" i="14"/>
  <c r="K100" i="14"/>
  <c r="D101" i="14"/>
  <c r="E101" i="14"/>
  <c r="J101" i="14"/>
  <c r="K101" i="14"/>
  <c r="D102" i="14"/>
  <c r="E102" i="14"/>
  <c r="J102" i="14"/>
  <c r="K102" i="14"/>
  <c r="D103" i="14"/>
  <c r="E103" i="14"/>
  <c r="J103" i="14"/>
  <c r="K103" i="14"/>
  <c r="D104" i="14"/>
  <c r="E104" i="14"/>
  <c r="J104" i="14"/>
  <c r="K104" i="14"/>
  <c r="D105" i="14"/>
  <c r="E105" i="14"/>
  <c r="J105" i="14"/>
  <c r="K105" i="14"/>
  <c r="D106" i="14"/>
  <c r="E106" i="14"/>
  <c r="J106" i="14"/>
  <c r="K106" i="14"/>
  <c r="D107" i="14"/>
  <c r="E107" i="14"/>
  <c r="J107" i="14"/>
  <c r="K107" i="14"/>
  <c r="D108" i="14"/>
  <c r="E108" i="14"/>
  <c r="J108" i="14"/>
  <c r="K108" i="14"/>
  <c r="D109" i="14"/>
  <c r="E109" i="14"/>
  <c r="J109" i="14"/>
  <c r="K109" i="14"/>
  <c r="D110" i="14"/>
  <c r="E110" i="14"/>
  <c r="J110" i="14"/>
  <c r="K110" i="14"/>
  <c r="D111" i="14"/>
  <c r="E111" i="14"/>
  <c r="J111" i="14"/>
  <c r="K111" i="14"/>
  <c r="D113" i="14"/>
  <c r="E113" i="14"/>
  <c r="J113" i="14"/>
  <c r="K113" i="14"/>
  <c r="D114" i="14"/>
  <c r="E114" i="14"/>
  <c r="J114" i="14"/>
  <c r="K114" i="14"/>
  <c r="D115" i="14"/>
  <c r="E115" i="14"/>
  <c r="J115" i="14"/>
  <c r="K115" i="14"/>
  <c r="D116" i="14"/>
  <c r="E116" i="14"/>
  <c r="J116" i="14"/>
  <c r="K116" i="14"/>
  <c r="D117" i="14"/>
  <c r="E117" i="14"/>
  <c r="J117" i="14"/>
  <c r="K117" i="14"/>
  <c r="D118" i="14"/>
  <c r="E118" i="14"/>
  <c r="J118" i="14"/>
  <c r="K118" i="14"/>
  <c r="D119" i="14"/>
  <c r="E119" i="14"/>
  <c r="J119" i="14"/>
  <c r="K119" i="14"/>
  <c r="D120" i="14"/>
  <c r="E120" i="14"/>
  <c r="J120" i="14"/>
  <c r="K120" i="14"/>
  <c r="D121" i="14"/>
  <c r="E121" i="14"/>
  <c r="J121" i="14"/>
  <c r="K121" i="14"/>
  <c r="D122" i="14"/>
  <c r="E122" i="14"/>
  <c r="J122" i="14"/>
  <c r="K122" i="14"/>
  <c r="D123" i="14"/>
  <c r="E123" i="14"/>
  <c r="J123" i="14"/>
  <c r="K123" i="14"/>
  <c r="D124" i="14"/>
  <c r="E124" i="14"/>
  <c r="J124" i="14"/>
  <c r="K124" i="14"/>
  <c r="D126" i="14"/>
  <c r="E126" i="14"/>
  <c r="J126" i="14"/>
  <c r="K126" i="14"/>
  <c r="D127" i="14"/>
  <c r="E127" i="14"/>
  <c r="J127" i="14"/>
  <c r="K127" i="14"/>
  <c r="D128" i="14"/>
  <c r="E128" i="14"/>
  <c r="J128" i="14"/>
  <c r="K128" i="14"/>
  <c r="D129" i="14"/>
  <c r="E129" i="14"/>
  <c r="J129" i="14"/>
  <c r="K129" i="14"/>
  <c r="D130" i="14"/>
  <c r="E130" i="14"/>
  <c r="J130" i="14"/>
  <c r="K130" i="14"/>
  <c r="D131" i="14"/>
  <c r="E131" i="14"/>
  <c r="J131" i="14"/>
  <c r="K131" i="14"/>
  <c r="D132" i="14"/>
  <c r="E132" i="14"/>
  <c r="J132" i="14"/>
  <c r="K132" i="14"/>
  <c r="D133" i="14"/>
  <c r="E133" i="14"/>
  <c r="J133" i="14"/>
  <c r="K133" i="14"/>
  <c r="D134" i="14"/>
  <c r="E134" i="14"/>
  <c r="J134" i="14"/>
  <c r="K134" i="14"/>
  <c r="D135" i="14"/>
  <c r="E135" i="14"/>
  <c r="J135" i="14"/>
  <c r="K135" i="14"/>
  <c r="D136" i="14"/>
  <c r="E136" i="14"/>
  <c r="J136" i="14"/>
  <c r="K136" i="14"/>
  <c r="D137" i="14"/>
  <c r="E137" i="14"/>
  <c r="J137" i="14"/>
  <c r="K137" i="14"/>
  <c r="D139" i="14"/>
  <c r="E139" i="14"/>
  <c r="J139" i="14"/>
  <c r="K139" i="14"/>
  <c r="D140" i="14"/>
  <c r="E140" i="14"/>
  <c r="J140" i="14"/>
  <c r="K140" i="14"/>
  <c r="D141" i="14"/>
  <c r="E141" i="14"/>
  <c r="J141" i="14"/>
  <c r="K141" i="14"/>
  <c r="D142" i="14"/>
  <c r="E142" i="14"/>
  <c r="J142" i="14"/>
  <c r="K142" i="14"/>
  <c r="D145" i="14"/>
  <c r="E145" i="14"/>
  <c r="J145" i="14"/>
  <c r="K145" i="14"/>
  <c r="D146" i="14"/>
  <c r="J146" i="14"/>
  <c r="K146" i="14"/>
  <c r="C146" i="14" s="1"/>
  <c r="D147" i="14"/>
  <c r="E147" i="14"/>
  <c r="J147" i="14"/>
  <c r="K147" i="14"/>
  <c r="D148" i="14"/>
  <c r="E148" i="14"/>
  <c r="J148" i="14"/>
  <c r="K148" i="14"/>
  <c r="D149" i="14"/>
  <c r="E149" i="14"/>
  <c r="J149" i="14"/>
  <c r="K149" i="14"/>
  <c r="D12" i="15"/>
  <c r="F12" i="15"/>
  <c r="H12" i="15"/>
  <c r="J12" i="15"/>
  <c r="D13" i="15"/>
  <c r="F13" i="15"/>
  <c r="H13" i="15"/>
  <c r="J13" i="15"/>
  <c r="L13" i="15"/>
  <c r="B14" i="15"/>
  <c r="H14" i="15" s="1"/>
  <c r="B15" i="15"/>
  <c r="C15" i="15"/>
  <c r="G15" i="15"/>
  <c r="I15" i="15"/>
  <c r="K15" i="15"/>
  <c r="D16" i="15"/>
  <c r="F16" i="15"/>
  <c r="H16" i="15"/>
  <c r="J16" i="15"/>
  <c r="L16" i="15"/>
  <c r="B18" i="15"/>
  <c r="C18" i="15"/>
  <c r="E18" i="15"/>
  <c r="G18" i="15"/>
  <c r="I18" i="15"/>
  <c r="K18" i="15"/>
  <c r="D19" i="15"/>
  <c r="F19" i="15"/>
  <c r="H19" i="15"/>
  <c r="J19" i="15"/>
  <c r="L19" i="15"/>
  <c r="D20" i="15"/>
  <c r="F20" i="15"/>
  <c r="H20" i="15"/>
  <c r="J20" i="15"/>
  <c r="L20" i="15"/>
  <c r="D21" i="15"/>
  <c r="F21" i="15"/>
  <c r="H21" i="15"/>
  <c r="J21" i="15"/>
  <c r="L21" i="15"/>
  <c r="D22" i="15"/>
  <c r="F22" i="15"/>
  <c r="H22" i="15"/>
  <c r="J22" i="15"/>
  <c r="L22" i="15"/>
  <c r="D23" i="15"/>
  <c r="F23" i="15"/>
  <c r="H23" i="15"/>
  <c r="J23" i="15"/>
  <c r="L23" i="15"/>
  <c r="D24" i="15"/>
  <c r="F24" i="15"/>
  <c r="H24" i="15"/>
  <c r="J24" i="15"/>
  <c r="L24" i="15"/>
  <c r="D25" i="15"/>
  <c r="F25" i="15"/>
  <c r="H25" i="15"/>
  <c r="J25" i="15"/>
  <c r="L25" i="15"/>
  <c r="D26" i="15"/>
  <c r="F26" i="15"/>
  <c r="H26" i="15"/>
  <c r="J26" i="15"/>
  <c r="L26" i="15"/>
  <c r="D27" i="15"/>
  <c r="F27" i="15"/>
  <c r="H27" i="15"/>
  <c r="J27" i="15"/>
  <c r="L27" i="15"/>
  <c r="D28" i="15"/>
  <c r="F28" i="15"/>
  <c r="H28" i="15"/>
  <c r="J28" i="15"/>
  <c r="L28" i="15"/>
  <c r="D29" i="15"/>
  <c r="F29" i="15"/>
  <c r="H29" i="15"/>
  <c r="J29" i="15"/>
  <c r="L29" i="15"/>
  <c r="D30" i="15"/>
  <c r="D18" i="15" s="1"/>
  <c r="F30" i="15"/>
  <c r="F18" i="15" s="1"/>
  <c r="H30" i="15"/>
  <c r="H18" i="15" s="1"/>
  <c r="J30" i="15"/>
  <c r="J18" i="15" s="1"/>
  <c r="L30" i="15"/>
  <c r="L18" i="15" s="1"/>
  <c r="B31" i="15"/>
  <c r="E31" i="15"/>
  <c r="G31" i="15"/>
  <c r="I31" i="15"/>
  <c r="K31" i="15"/>
  <c r="D32" i="15"/>
  <c r="F32" i="15"/>
  <c r="H32" i="15"/>
  <c r="J32" i="15"/>
  <c r="L32" i="15"/>
  <c r="D33" i="15"/>
  <c r="F33" i="15"/>
  <c r="H33" i="15"/>
  <c r="J33" i="15"/>
  <c r="L33" i="15"/>
  <c r="D34" i="15"/>
  <c r="F34" i="15"/>
  <c r="H34" i="15"/>
  <c r="J34" i="15"/>
  <c r="L34" i="15"/>
  <c r="D35" i="15"/>
  <c r="F35" i="15"/>
  <c r="H35" i="15"/>
  <c r="J35" i="15"/>
  <c r="L35" i="15"/>
  <c r="D36" i="15"/>
  <c r="F36" i="15"/>
  <c r="H36" i="15"/>
  <c r="J36" i="15"/>
  <c r="L36" i="15"/>
  <c r="C37" i="15"/>
  <c r="D37" i="15" s="1"/>
  <c r="F37" i="15"/>
  <c r="H37" i="15"/>
  <c r="J37" i="15"/>
  <c r="L37" i="15"/>
  <c r="C38" i="15"/>
  <c r="D38" i="15" s="1"/>
  <c r="F38" i="15"/>
  <c r="H38" i="15"/>
  <c r="J38" i="15"/>
  <c r="L38" i="15"/>
  <c r="C39" i="15"/>
  <c r="D39" i="15" s="1"/>
  <c r="F39" i="15"/>
  <c r="H39" i="15"/>
  <c r="J39" i="15"/>
  <c r="L39" i="15"/>
  <c r="C40" i="15"/>
  <c r="D40" i="15" s="1"/>
  <c r="F40" i="15"/>
  <c r="H40" i="15"/>
  <c r="J40" i="15"/>
  <c r="L40" i="15"/>
  <c r="C41" i="15"/>
  <c r="D41" i="15" s="1"/>
  <c r="F41" i="15"/>
  <c r="H41" i="15"/>
  <c r="J41" i="15"/>
  <c r="L41" i="15"/>
  <c r="C42" i="15"/>
  <c r="D42" i="15" s="1"/>
  <c r="F42" i="15"/>
  <c r="H42" i="15"/>
  <c r="J42" i="15"/>
  <c r="L42" i="15"/>
  <c r="C43" i="15"/>
  <c r="C31" i="15" s="1"/>
  <c r="F43" i="15"/>
  <c r="F31" i="15" s="1"/>
  <c r="H43" i="15"/>
  <c r="H31" i="15" s="1"/>
  <c r="J43" i="15"/>
  <c r="J31" i="15" s="1"/>
  <c r="L43" i="15"/>
  <c r="L31" i="15" s="1"/>
  <c r="B44" i="15"/>
  <c r="E44" i="15"/>
  <c r="G44" i="15"/>
  <c r="I44" i="15"/>
  <c r="K44" i="15"/>
  <c r="C45" i="15"/>
  <c r="D45" i="15" s="1"/>
  <c r="F45" i="15"/>
  <c r="H45" i="15"/>
  <c r="J45" i="15"/>
  <c r="L45" i="15"/>
  <c r="C46" i="15"/>
  <c r="D46" i="15" s="1"/>
  <c r="F46" i="15"/>
  <c r="H46" i="15"/>
  <c r="J46" i="15"/>
  <c r="L46" i="15"/>
  <c r="C47" i="15"/>
  <c r="D47" i="15" s="1"/>
  <c r="F47" i="15"/>
  <c r="H47" i="15"/>
  <c r="J47" i="15"/>
  <c r="L47" i="15"/>
  <c r="C48" i="15"/>
  <c r="D48" i="15" s="1"/>
  <c r="F48" i="15"/>
  <c r="H48" i="15"/>
  <c r="J48" i="15"/>
  <c r="L48" i="15"/>
  <c r="C49" i="15"/>
  <c r="D49" i="15" s="1"/>
  <c r="F49" i="15"/>
  <c r="H49" i="15"/>
  <c r="J49" i="15"/>
  <c r="L49" i="15"/>
  <c r="C50" i="15"/>
  <c r="D50" i="15" s="1"/>
  <c r="F50" i="15"/>
  <c r="H50" i="15"/>
  <c r="J50" i="15"/>
  <c r="L50" i="15"/>
  <c r="C51" i="15"/>
  <c r="D51" i="15" s="1"/>
  <c r="F51" i="15"/>
  <c r="H51" i="15"/>
  <c r="J51" i="15"/>
  <c r="L51" i="15"/>
  <c r="C52" i="15"/>
  <c r="D52" i="15" s="1"/>
  <c r="F52" i="15"/>
  <c r="H52" i="15"/>
  <c r="J52" i="15"/>
  <c r="L52" i="15"/>
  <c r="C53" i="15"/>
  <c r="D53" i="15" s="1"/>
  <c r="F53" i="15"/>
  <c r="H53" i="15"/>
  <c r="J53" i="15"/>
  <c r="L53" i="15"/>
  <c r="C54" i="15"/>
  <c r="D54" i="15" s="1"/>
  <c r="F54" i="15"/>
  <c r="H54" i="15"/>
  <c r="J54" i="15"/>
  <c r="L54" i="15"/>
  <c r="C55" i="15"/>
  <c r="D55" i="15" s="1"/>
  <c r="F55" i="15"/>
  <c r="H55" i="15"/>
  <c r="J55" i="15"/>
  <c r="L55" i="15"/>
  <c r="C56" i="15"/>
  <c r="D56" i="15" s="1"/>
  <c r="D44" i="15" s="1"/>
  <c r="F56" i="15"/>
  <c r="F44" i="15" s="1"/>
  <c r="H56" i="15"/>
  <c r="H44" i="15" s="1"/>
  <c r="J56" i="15"/>
  <c r="J44" i="15" s="1"/>
  <c r="L56" i="15"/>
  <c r="L44" i="15" s="1"/>
  <c r="B57" i="15"/>
  <c r="C57" i="15"/>
  <c r="D57" i="15"/>
  <c r="E57" i="15"/>
  <c r="F57" i="15"/>
  <c r="G57" i="15"/>
  <c r="H57" i="15"/>
  <c r="I57" i="15"/>
  <c r="J57" i="15"/>
  <c r="K57" i="15"/>
  <c r="L57" i="15"/>
  <c r="C58" i="15"/>
  <c r="D58" i="15" s="1"/>
  <c r="F58" i="15"/>
  <c r="H58" i="15"/>
  <c r="J58" i="15"/>
  <c r="L58" i="15"/>
  <c r="C59" i="15"/>
  <c r="D59" i="15" s="1"/>
  <c r="F59" i="15"/>
  <c r="H59" i="15"/>
  <c r="J59" i="15"/>
  <c r="L59" i="15"/>
  <c r="C60" i="15"/>
  <c r="D60" i="15" s="1"/>
  <c r="F60" i="15"/>
  <c r="H60" i="15"/>
  <c r="J60" i="15"/>
  <c r="L60" i="15"/>
  <c r="C61" i="15"/>
  <c r="D61" i="15" s="1"/>
  <c r="F61" i="15"/>
  <c r="H61" i="15"/>
  <c r="J61" i="15"/>
  <c r="L61" i="15"/>
  <c r="C62" i="15"/>
  <c r="D62" i="15" s="1"/>
  <c r="F62" i="15"/>
  <c r="H62" i="15"/>
  <c r="J62" i="15"/>
  <c r="L62" i="15"/>
  <c r="C63" i="15"/>
  <c r="D63" i="15" s="1"/>
  <c r="F63" i="15"/>
  <c r="H63" i="15"/>
  <c r="J63" i="15"/>
  <c r="L63" i="15"/>
  <c r="B70" i="15"/>
  <c r="C70" i="15"/>
  <c r="D70" i="15"/>
  <c r="E70" i="15"/>
  <c r="F70" i="15"/>
  <c r="G70" i="15"/>
  <c r="H70" i="15"/>
  <c r="I70" i="15"/>
  <c r="J70" i="15"/>
  <c r="K70" i="15"/>
  <c r="L70" i="15"/>
  <c r="C84" i="15"/>
  <c r="D84" i="15" s="1"/>
  <c r="F84" i="15"/>
  <c r="H84" i="15"/>
  <c r="J84" i="15"/>
  <c r="L84" i="15"/>
  <c r="C85" i="15"/>
  <c r="D85" i="15" s="1"/>
  <c r="F85" i="15"/>
  <c r="H85" i="15"/>
  <c r="J85" i="15"/>
  <c r="L85" i="15"/>
  <c r="C86" i="15"/>
  <c r="D86" i="15" s="1"/>
  <c r="F86" i="15"/>
  <c r="H86" i="15"/>
  <c r="J86" i="15"/>
  <c r="L86" i="15"/>
  <c r="C87" i="15"/>
  <c r="D87" i="15" s="1"/>
  <c r="F87" i="15"/>
  <c r="H87" i="15"/>
  <c r="J87" i="15"/>
  <c r="L87" i="15"/>
  <c r="C88" i="15"/>
  <c r="D88" i="15" s="1"/>
  <c r="F88" i="15"/>
  <c r="H88" i="15"/>
  <c r="J88" i="15"/>
  <c r="L88" i="15"/>
  <c r="C89" i="15"/>
  <c r="D89" i="15" s="1"/>
  <c r="F89" i="15"/>
  <c r="H89" i="15"/>
  <c r="J89" i="15"/>
  <c r="L89" i="15"/>
  <c r="C90" i="15"/>
  <c r="D90" i="15" s="1"/>
  <c r="F90" i="15"/>
  <c r="H90" i="15"/>
  <c r="J90" i="15"/>
  <c r="L90" i="15"/>
  <c r="C91" i="15"/>
  <c r="D91" i="15" s="1"/>
  <c r="F91" i="15"/>
  <c r="H91" i="15"/>
  <c r="J91" i="15"/>
  <c r="L91" i="15"/>
  <c r="C92" i="15"/>
  <c r="D92" i="15" s="1"/>
  <c r="F92" i="15"/>
  <c r="H92" i="15"/>
  <c r="J92" i="15"/>
  <c r="L92" i="15"/>
  <c r="C93" i="15"/>
  <c r="D93" i="15" s="1"/>
  <c r="F93" i="15"/>
  <c r="H93" i="15"/>
  <c r="J93" i="15"/>
  <c r="L93" i="15"/>
  <c r="C94" i="15"/>
  <c r="D94" i="15" s="1"/>
  <c r="F94" i="15"/>
  <c r="H94" i="15"/>
  <c r="J94" i="15"/>
  <c r="L94" i="15"/>
  <c r="C95" i="15"/>
  <c r="D95" i="15" s="1"/>
  <c r="F95" i="15"/>
  <c r="H95" i="15"/>
  <c r="J95" i="15"/>
  <c r="L95" i="15"/>
  <c r="B97" i="15"/>
  <c r="D97" i="15" s="1"/>
  <c r="B98" i="15"/>
  <c r="D98" i="15" s="1"/>
  <c r="B99" i="15"/>
  <c r="L99" i="15" s="1"/>
  <c r="B100" i="15"/>
  <c r="D100" i="15" s="1"/>
  <c r="B101" i="15"/>
  <c r="H101" i="15" s="1"/>
  <c r="B102" i="15"/>
  <c r="H102" i="15" s="1"/>
  <c r="B103" i="15"/>
  <c r="H103" i="15" s="1"/>
  <c r="B104" i="15"/>
  <c r="D104" i="15" s="1"/>
  <c r="B105" i="15"/>
  <c r="L105" i="15" s="1"/>
  <c r="B106" i="15"/>
  <c r="L106" i="15" s="1"/>
  <c r="B107" i="15"/>
  <c r="F107" i="15" s="1"/>
  <c r="B108" i="15"/>
  <c r="F108" i="15" s="1"/>
  <c r="B110" i="15"/>
  <c r="D110" i="15" s="1"/>
  <c r="B111" i="15"/>
  <c r="L111" i="15" s="1"/>
  <c r="B112" i="15"/>
  <c r="F112" i="15" s="1"/>
  <c r="B113" i="15"/>
  <c r="D113" i="15" s="1"/>
  <c r="B114" i="15"/>
  <c r="D114" i="15" s="1"/>
  <c r="B115" i="15"/>
  <c r="L115" i="15" s="1"/>
  <c r="B116" i="15"/>
  <c r="F116" i="15" s="1"/>
  <c r="B117" i="15"/>
  <c r="J117" i="15" s="1"/>
  <c r="B118" i="15"/>
  <c r="J118" i="15" s="1"/>
  <c r="B119" i="15"/>
  <c r="H119" i="15" s="1"/>
  <c r="B120" i="15"/>
  <c r="D120" i="15" s="1"/>
  <c r="B121" i="15"/>
  <c r="F121" i="15" s="1"/>
  <c r="B123" i="15"/>
  <c r="D123" i="15" s="1"/>
  <c r="B124" i="15"/>
  <c r="L124" i="15" s="1"/>
  <c r="B125" i="15"/>
  <c r="D125" i="15" s="1"/>
  <c r="B126" i="15"/>
  <c r="D126" i="15" s="1"/>
  <c r="B127" i="15"/>
  <c r="J127" i="15" s="1"/>
  <c r="B128" i="15"/>
  <c r="L128" i="15" s="1"/>
  <c r="B129" i="15"/>
  <c r="L129" i="15" s="1"/>
  <c r="B130" i="15"/>
  <c r="F130" i="15" s="1"/>
  <c r="B131" i="15"/>
  <c r="F131" i="15" s="1"/>
  <c r="B132" i="15"/>
  <c r="L132" i="15" s="1"/>
  <c r="B133" i="15"/>
  <c r="D133" i="15" s="1"/>
  <c r="B134" i="15"/>
  <c r="D134" i="15" s="1"/>
  <c r="B136" i="15"/>
  <c r="J136" i="15" s="1"/>
  <c r="B137" i="15"/>
  <c r="L137" i="15" s="1"/>
  <c r="B138" i="15"/>
  <c r="D138" i="15" s="1"/>
  <c r="B139" i="15"/>
  <c r="F139" i="15" s="1"/>
  <c r="B140" i="15"/>
  <c r="L140" i="15" s="1"/>
  <c r="B141" i="15"/>
  <c r="D141" i="15" s="1"/>
  <c r="B142" i="15"/>
  <c r="H142" i="15" s="1"/>
  <c r="D143" i="15"/>
  <c r="F143" i="15"/>
  <c r="H143" i="15"/>
  <c r="J143" i="15"/>
  <c r="L143" i="15"/>
  <c r="D144" i="15"/>
  <c r="F144" i="15"/>
  <c r="H144" i="15"/>
  <c r="J144" i="15"/>
  <c r="L144" i="15"/>
  <c r="D145" i="15"/>
  <c r="F145" i="15"/>
  <c r="H145" i="15"/>
  <c r="J145" i="15"/>
  <c r="L145" i="15"/>
  <c r="D146" i="15"/>
  <c r="E146" i="15"/>
  <c r="F146" i="15" s="1"/>
  <c r="G146" i="15"/>
  <c r="H146" i="15" s="1"/>
  <c r="I146" i="15"/>
  <c r="J146" i="15" s="1"/>
  <c r="L146" i="15"/>
  <c r="D147" i="15"/>
  <c r="F147" i="15"/>
  <c r="G147" i="15"/>
  <c r="H147" i="15" s="1"/>
  <c r="I147" i="15"/>
  <c r="J147" i="15" s="1"/>
  <c r="L147" i="15"/>
  <c r="D149" i="15"/>
  <c r="E149" i="15"/>
  <c r="F149" i="15" s="1"/>
  <c r="G149" i="15"/>
  <c r="H149" i="15" s="1"/>
  <c r="I149" i="15"/>
  <c r="J149" i="15" s="1"/>
  <c r="L149" i="15"/>
  <c r="D150" i="15"/>
  <c r="F150" i="15"/>
  <c r="H150" i="15"/>
  <c r="J150" i="15"/>
  <c r="L150" i="15"/>
  <c r="D151" i="15"/>
  <c r="F151" i="15"/>
  <c r="H151" i="15"/>
  <c r="J151" i="15"/>
  <c r="L151" i="15"/>
  <c r="D154" i="15"/>
  <c r="F154" i="15"/>
  <c r="H154" i="15"/>
  <c r="J154" i="15"/>
  <c r="L154" i="15"/>
  <c r="D157" i="15"/>
  <c r="F157" i="15"/>
  <c r="H157" i="15"/>
  <c r="J157" i="15"/>
  <c r="L157" i="15"/>
  <c r="H158" i="15"/>
  <c r="J158" i="15"/>
  <c r="L177" i="15"/>
  <c r="L178" i="15"/>
  <c r="D179" i="15"/>
  <c r="F179" i="15"/>
  <c r="H179" i="15"/>
  <c r="J179" i="15"/>
  <c r="L179" i="15"/>
  <c r="G10" i="12"/>
  <c r="A11" i="12"/>
  <c r="A12" i="12" s="1"/>
  <c r="A13" i="12" s="1"/>
  <c r="A14" i="12" s="1"/>
  <c r="A15" i="12" s="1"/>
  <c r="A16" i="12" s="1"/>
  <c r="A17" i="12" s="1"/>
  <c r="A18" i="12" s="1"/>
  <c r="A19" i="12" s="1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4" i="12"/>
  <c r="G35" i="12"/>
  <c r="G36" i="12"/>
  <c r="F37" i="12"/>
  <c r="G37" i="12"/>
  <c r="F38" i="12"/>
  <c r="G38" i="12"/>
  <c r="F39" i="12"/>
  <c r="G39" i="12"/>
  <c r="F40" i="12"/>
  <c r="G40" i="12"/>
  <c r="F41" i="12"/>
  <c r="G41" i="12"/>
  <c r="F42" i="12"/>
  <c r="G42" i="12"/>
  <c r="G43" i="12"/>
  <c r="G44" i="12"/>
  <c r="F45" i="12"/>
  <c r="G45" i="12"/>
  <c r="F47" i="12"/>
  <c r="G47" i="12"/>
  <c r="F48" i="12"/>
  <c r="G48" i="12"/>
  <c r="F49" i="12"/>
  <c r="G49" i="12"/>
  <c r="F50" i="12"/>
  <c r="G50" i="12"/>
  <c r="F51" i="12"/>
  <c r="G51" i="12"/>
  <c r="F52" i="12"/>
  <c r="G52" i="12"/>
  <c r="F53" i="12"/>
  <c r="G53" i="12"/>
  <c r="G54" i="12"/>
  <c r="G55" i="12"/>
  <c r="F56" i="12"/>
  <c r="G56" i="12"/>
  <c r="F57" i="12"/>
  <c r="G57" i="12"/>
  <c r="F58" i="12"/>
  <c r="G58" i="12"/>
  <c r="F60" i="12"/>
  <c r="G60" i="12"/>
  <c r="F61" i="12"/>
  <c r="G61" i="12"/>
  <c r="F62" i="12"/>
  <c r="G62" i="12"/>
  <c r="F63" i="12"/>
  <c r="G63" i="12"/>
  <c r="G64" i="12"/>
  <c r="F65" i="12"/>
  <c r="G65" i="12"/>
  <c r="F66" i="12"/>
  <c r="G66" i="12"/>
  <c r="F67" i="12"/>
  <c r="G67" i="12"/>
  <c r="G68" i="12"/>
  <c r="G69" i="12"/>
  <c r="G70" i="12"/>
  <c r="G71" i="12"/>
  <c r="G73" i="12"/>
  <c r="F74" i="12"/>
  <c r="G74" i="12"/>
  <c r="F75" i="12"/>
  <c r="G75" i="12"/>
  <c r="F76" i="12"/>
  <c r="G76" i="12"/>
  <c r="F77" i="12"/>
  <c r="G77" i="12"/>
  <c r="F78" i="12"/>
  <c r="G78" i="12"/>
  <c r="F79" i="12"/>
  <c r="G79" i="12"/>
  <c r="F80" i="12"/>
  <c r="G80" i="12"/>
  <c r="F81" i="12"/>
  <c r="G81" i="12"/>
  <c r="F82" i="12"/>
  <c r="G82" i="12"/>
  <c r="F83" i="12"/>
  <c r="G83" i="12"/>
  <c r="F84" i="12"/>
  <c r="G84" i="12"/>
  <c r="F151" i="12"/>
  <c r="G151" i="12"/>
  <c r="CB12" i="20"/>
  <c r="J107" i="15" l="1"/>
  <c r="C19" i="14"/>
  <c r="F126" i="15"/>
  <c r="D101" i="15"/>
  <c r="L14" i="15"/>
  <c r="CC10" i="32"/>
  <c r="CC8" i="32" s="1"/>
  <c r="CD8" i="32" s="1"/>
  <c r="H126" i="15"/>
  <c r="F14" i="15"/>
  <c r="F100" i="15"/>
  <c r="J113" i="15"/>
  <c r="D14" i="15"/>
  <c r="J101" i="15"/>
  <c r="F101" i="15"/>
  <c r="J126" i="15"/>
  <c r="L101" i="15"/>
  <c r="L126" i="15"/>
  <c r="H140" i="15"/>
  <c r="H113" i="15"/>
  <c r="J14" i="15"/>
  <c r="H132" i="32"/>
  <c r="H145" i="32"/>
  <c r="H113" i="32"/>
  <c r="H125" i="32"/>
  <c r="B63" i="14"/>
  <c r="B48" i="14"/>
  <c r="C77" i="14"/>
  <c r="B55" i="14"/>
  <c r="B133" i="14"/>
  <c r="B114" i="14"/>
  <c r="B84" i="14"/>
  <c r="C66" i="14"/>
  <c r="C54" i="14"/>
  <c r="C16" i="14"/>
  <c r="C145" i="14"/>
  <c r="H99" i="15"/>
  <c r="H138" i="15"/>
  <c r="I148" i="32"/>
  <c r="CD12" i="32"/>
  <c r="H108" i="15"/>
  <c r="B103" i="14"/>
  <c r="D131" i="15"/>
  <c r="CC9" i="10"/>
  <c r="CD9" i="10" s="1"/>
  <c r="H147" i="32"/>
  <c r="H123" i="15"/>
  <c r="H130" i="15"/>
  <c r="J104" i="15"/>
  <c r="L104" i="15"/>
  <c r="B134" i="14"/>
  <c r="B17" i="14"/>
  <c r="H131" i="15"/>
  <c r="L133" i="15"/>
  <c r="F104" i="15"/>
  <c r="L131" i="15"/>
  <c r="I115" i="32"/>
  <c r="H143" i="32"/>
  <c r="I141" i="32"/>
  <c r="H134" i="32"/>
  <c r="I124" i="32"/>
  <c r="H135" i="32"/>
  <c r="H118" i="32"/>
  <c r="I121" i="32"/>
  <c r="I129" i="32"/>
  <c r="I137" i="32"/>
  <c r="C58" i="14"/>
  <c r="C46" i="14" s="1"/>
  <c r="C43" i="14"/>
  <c r="C37" i="14"/>
  <c r="C14" i="14"/>
  <c r="B30" i="14"/>
  <c r="B18" i="14" s="1"/>
  <c r="B57" i="14"/>
  <c r="B42" i="14"/>
  <c r="B44" i="14"/>
  <c r="B32" i="14" s="1"/>
  <c r="B23" i="14"/>
  <c r="C30" i="14"/>
  <c r="C18" i="14" s="1"/>
  <c r="J98" i="15"/>
  <c r="F123" i="15"/>
  <c r="D108" i="15"/>
  <c r="J97" i="15"/>
  <c r="J108" i="15"/>
  <c r="L123" i="15"/>
  <c r="L108" i="15"/>
  <c r="H104" i="15"/>
  <c r="H107" i="15"/>
  <c r="J110" i="15"/>
  <c r="J123" i="15"/>
  <c r="D137" i="15"/>
  <c r="CC48" i="48"/>
  <c r="CD48" i="48" s="1"/>
  <c r="I133" i="32"/>
  <c r="H138" i="32"/>
  <c r="I146" i="32"/>
  <c r="I151" i="32"/>
  <c r="I131" i="32"/>
  <c r="H119" i="32"/>
  <c r="I127" i="32"/>
  <c r="I114" i="32"/>
  <c r="I144" i="32"/>
  <c r="I109" i="32"/>
  <c r="H139" i="32"/>
  <c r="I108" i="32"/>
  <c r="CC48" i="23"/>
  <c r="CD48" i="23" s="1"/>
  <c r="B147" i="14"/>
  <c r="C141" i="14"/>
  <c r="C62" i="14"/>
  <c r="C56" i="14"/>
  <c r="C47" i="14"/>
  <c r="C35" i="14"/>
  <c r="B105" i="14"/>
  <c r="B72" i="14"/>
  <c r="B60" i="14" s="1"/>
  <c r="B34" i="14"/>
  <c r="B14" i="14"/>
  <c r="F138" i="15"/>
  <c r="D107" i="15"/>
  <c r="H134" i="15"/>
  <c r="J138" i="15"/>
  <c r="H100" i="15"/>
  <c r="J125" i="15"/>
  <c r="H118" i="15"/>
  <c r="J100" i="15"/>
  <c r="L138" i="15"/>
  <c r="F132" i="15"/>
  <c r="D99" i="15"/>
  <c r="J131" i="15"/>
  <c r="J132" i="15"/>
  <c r="L107" i="15"/>
  <c r="L100" i="15"/>
  <c r="H137" i="15"/>
  <c r="L119" i="15"/>
  <c r="J99" i="15"/>
  <c r="H132" i="15"/>
  <c r="L110" i="15"/>
  <c r="D132" i="15"/>
  <c r="D43" i="15"/>
  <c r="D31" i="15" s="1"/>
  <c r="F103" i="15"/>
  <c r="I117" i="32"/>
  <c r="I123" i="32"/>
  <c r="B142" i="14"/>
  <c r="B135" i="14"/>
  <c r="B116" i="14"/>
  <c r="B109" i="14"/>
  <c r="B100" i="14"/>
  <c r="B38" i="14"/>
  <c r="B20" i="14"/>
  <c r="B15" i="14"/>
  <c r="CA10" i="20"/>
  <c r="I142" i="32"/>
  <c r="C108" i="14"/>
  <c r="C92" i="14"/>
  <c r="C22" i="14"/>
  <c r="H114" i="15"/>
  <c r="B131" i="14"/>
  <c r="B111" i="14"/>
  <c r="B89" i="14"/>
  <c r="CC9" i="14"/>
  <c r="CD9" i="14" s="1"/>
  <c r="L141" i="15"/>
  <c r="CC47" i="14"/>
  <c r="CD47" i="14" s="1"/>
  <c r="J140" i="15"/>
  <c r="H149" i="32"/>
  <c r="F141" i="15"/>
  <c r="B145" i="14"/>
  <c r="B136" i="14"/>
  <c r="B61" i="14"/>
  <c r="B25" i="14"/>
  <c r="B19" i="14"/>
  <c r="H141" i="15"/>
  <c r="C85" i="14"/>
  <c r="C73" i="14" s="1"/>
  <c r="D32" i="14"/>
  <c r="C88" i="14"/>
  <c r="J141" i="15"/>
  <c r="J114" i="15"/>
  <c r="H126" i="32"/>
  <c r="F114" i="15"/>
  <c r="H136" i="32"/>
  <c r="L15" i="15"/>
  <c r="B21" i="14"/>
  <c r="CC48" i="15"/>
  <c r="CD48" i="15" s="1"/>
  <c r="I130" i="32"/>
  <c r="L120" i="15"/>
  <c r="C83" i="14"/>
  <c r="CC48" i="33"/>
  <c r="CD48" i="33" s="1"/>
  <c r="CC44" i="8"/>
  <c r="CD44" i="8" s="1"/>
  <c r="L103" i="15"/>
  <c r="CC10" i="33"/>
  <c r="D139" i="15"/>
  <c r="D103" i="15"/>
  <c r="D105" i="15"/>
  <c r="L113" i="15"/>
  <c r="F111" i="15"/>
  <c r="F99" i="15"/>
  <c r="B130" i="14"/>
  <c r="B115" i="14"/>
  <c r="C104" i="14"/>
  <c r="C100" i="14"/>
  <c r="C97" i="14"/>
  <c r="B67" i="14"/>
  <c r="B65" i="14"/>
  <c r="C51" i="14"/>
  <c r="H111" i="15"/>
  <c r="I140" i="32"/>
  <c r="F119" i="15"/>
  <c r="J128" i="15"/>
  <c r="C140" i="14"/>
  <c r="C135" i="14"/>
  <c r="C133" i="14"/>
  <c r="C131" i="14"/>
  <c r="C129" i="14"/>
  <c r="C127" i="14"/>
  <c r="C114" i="14"/>
  <c r="D119" i="15"/>
  <c r="I116" i="32"/>
  <c r="H128" i="15"/>
  <c r="CD16" i="14"/>
  <c r="H139" i="15"/>
  <c r="F128" i="15"/>
  <c r="D15" i="15"/>
  <c r="B140" i="14"/>
  <c r="B127" i="14"/>
  <c r="B122" i="14"/>
  <c r="C105" i="14"/>
  <c r="B80" i="14"/>
  <c r="B70" i="14"/>
  <c r="B43" i="14"/>
  <c r="B39" i="14"/>
  <c r="C33" i="14"/>
  <c r="C27" i="14"/>
  <c r="C25" i="14"/>
  <c r="C23" i="14"/>
  <c r="H150" i="32"/>
  <c r="H120" i="32"/>
  <c r="CC48" i="32"/>
  <c r="CD48" i="32" s="1"/>
  <c r="J103" i="15"/>
  <c r="L130" i="15"/>
  <c r="H105" i="15"/>
  <c r="J105" i="15"/>
  <c r="L139" i="15"/>
  <c r="B141" i="23"/>
  <c r="H128" i="32"/>
  <c r="J130" i="15"/>
  <c r="B58" i="14"/>
  <c r="B46" i="14" s="1"/>
  <c r="F113" i="15"/>
  <c r="B85" i="14"/>
  <c r="B73" i="14" s="1"/>
  <c r="B148" i="14"/>
  <c r="B107" i="14"/>
  <c r="B90" i="14"/>
  <c r="B88" i="14"/>
  <c r="B52" i="14"/>
  <c r="C42" i="14"/>
  <c r="C40" i="14"/>
  <c r="C38" i="14"/>
  <c r="J111" i="15"/>
  <c r="B79" i="14"/>
  <c r="B77" i="14"/>
  <c r="B36" i="14"/>
  <c r="C24" i="14"/>
  <c r="C20" i="14"/>
  <c r="C17" i="14"/>
  <c r="D130" i="15"/>
  <c r="J139" i="15"/>
  <c r="D111" i="15"/>
  <c r="J119" i="15"/>
  <c r="C130" i="14"/>
  <c r="B91" i="14"/>
  <c r="C71" i="14"/>
  <c r="C69" i="14"/>
  <c r="C39" i="14"/>
  <c r="B28" i="14"/>
  <c r="B24" i="14"/>
  <c r="CD49" i="23"/>
  <c r="C72" i="14"/>
  <c r="C60" i="14" s="1"/>
  <c r="B83" i="14"/>
  <c r="B40" i="14"/>
  <c r="C34" i="14"/>
  <c r="B29" i="14"/>
  <c r="CD31" i="14"/>
  <c r="C148" i="14"/>
  <c r="B146" i="14"/>
  <c r="B137" i="14"/>
  <c r="C126" i="14"/>
  <c r="C121" i="14"/>
  <c r="B113" i="14"/>
  <c r="B110" i="14"/>
  <c r="B97" i="14"/>
  <c r="B95" i="14"/>
  <c r="C63" i="14"/>
  <c r="B56" i="14"/>
  <c r="B54" i="14"/>
  <c r="C113" i="14"/>
  <c r="C110" i="14"/>
  <c r="B81" i="14"/>
  <c r="C50" i="14"/>
  <c r="C48" i="14"/>
  <c r="C41" i="14"/>
  <c r="C28" i="14"/>
  <c r="C70" i="14"/>
  <c r="B101" i="14"/>
  <c r="B68" i="14"/>
  <c r="C55" i="14"/>
  <c r="B35" i="14"/>
  <c r="E46" i="14"/>
  <c r="C147" i="14"/>
  <c r="B129" i="14"/>
  <c r="B104" i="14"/>
  <c r="B98" i="14"/>
  <c r="B96" i="14"/>
  <c r="C74" i="14"/>
  <c r="C64" i="14"/>
  <c r="B53" i="14"/>
  <c r="B141" i="14"/>
  <c r="C139" i="14"/>
  <c r="C136" i="14"/>
  <c r="B102" i="14"/>
  <c r="C90" i="14"/>
  <c r="B74" i="14"/>
  <c r="L112" i="15"/>
  <c r="H120" i="15"/>
  <c r="H110" i="15"/>
  <c r="F105" i="15"/>
  <c r="F133" i="15"/>
  <c r="H127" i="15"/>
  <c r="L127" i="15"/>
  <c r="CC10" i="15"/>
  <c r="L97" i="15"/>
  <c r="H97" i="15"/>
  <c r="J120" i="15"/>
  <c r="F97" i="15"/>
  <c r="F120" i="15"/>
  <c r="F127" i="15"/>
  <c r="H106" i="15"/>
  <c r="D127" i="15"/>
  <c r="H112" i="15"/>
  <c r="J112" i="15"/>
  <c r="CC41" i="10"/>
  <c r="CD41" i="10" s="1"/>
  <c r="CA46" i="12"/>
  <c r="CB46" i="12" s="1"/>
  <c r="L117" i="15"/>
  <c r="D129" i="15"/>
  <c r="F142" i="15"/>
  <c r="F129" i="15"/>
  <c r="L102" i="15"/>
  <c r="L98" i="15"/>
  <c r="D117" i="15"/>
  <c r="F125" i="15"/>
  <c r="F136" i="15"/>
  <c r="H136" i="15"/>
  <c r="H129" i="15"/>
  <c r="J102" i="15"/>
  <c r="J137" i="15"/>
  <c r="C137" i="14"/>
  <c r="C134" i="14"/>
  <c r="B132" i="14"/>
  <c r="C124" i="14"/>
  <c r="C122" i="14"/>
  <c r="B119" i="14"/>
  <c r="C115" i="14"/>
  <c r="C102" i="14"/>
  <c r="C68" i="14"/>
  <c r="B50" i="14"/>
  <c r="B41" i="14"/>
  <c r="H117" i="15"/>
  <c r="L118" i="15"/>
  <c r="L125" i="15"/>
  <c r="H98" i="15"/>
  <c r="L136" i="15"/>
  <c r="F124" i="15"/>
  <c r="J106" i="15"/>
  <c r="D140" i="15"/>
  <c r="H133" i="15"/>
  <c r="C132" i="14"/>
  <c r="B82" i="14"/>
  <c r="C53" i="14"/>
  <c r="C21" i="14"/>
  <c r="J129" i="15"/>
  <c r="D124" i="15"/>
  <c r="F98" i="15"/>
  <c r="D142" i="15"/>
  <c r="H15" i="15"/>
  <c r="I122" i="32"/>
  <c r="D118" i="15"/>
  <c r="D136" i="15"/>
  <c r="F118" i="15"/>
  <c r="F140" i="15"/>
  <c r="H125" i="15"/>
  <c r="D128" i="15"/>
  <c r="F102" i="15"/>
  <c r="L142" i="15"/>
  <c r="B124" i="14"/>
  <c r="C120" i="14"/>
  <c r="B78" i="14"/>
  <c r="B64" i="14"/>
  <c r="C49" i="14"/>
  <c r="B26" i="14"/>
  <c r="CD17" i="23"/>
  <c r="CC10" i="23"/>
  <c r="L114" i="15"/>
  <c r="D102" i="15"/>
  <c r="F106" i="15"/>
  <c r="J133" i="15"/>
  <c r="J142" i="15"/>
  <c r="C142" i="14"/>
  <c r="B128" i="14"/>
  <c r="B120" i="14"/>
  <c r="C75" i="14"/>
  <c r="B71" i="14"/>
  <c r="C67" i="14"/>
  <c r="B49" i="14"/>
  <c r="C29" i="14"/>
  <c r="H124" i="15"/>
  <c r="C44" i="14"/>
  <c r="C32" i="14" s="1"/>
  <c r="F117" i="15"/>
  <c r="D106" i="15"/>
  <c r="L134" i="15"/>
  <c r="F137" i="15"/>
  <c r="J124" i="15"/>
  <c r="F15" i="15"/>
  <c r="B139" i="14"/>
  <c r="C128" i="14"/>
  <c r="B126" i="14"/>
  <c r="C106" i="14"/>
  <c r="C89" i="14"/>
  <c r="B69" i="14"/>
  <c r="C118" i="14"/>
  <c r="C107" i="14"/>
  <c r="B66" i="14"/>
  <c r="B51" i="14"/>
  <c r="C36" i="14"/>
  <c r="C26" i="14"/>
  <c r="C15" i="14"/>
  <c r="B118" i="14"/>
  <c r="C111" i="14"/>
  <c r="C98" i="14"/>
  <c r="C87" i="14"/>
  <c r="C80" i="14"/>
  <c r="C61" i="14"/>
  <c r="C57" i="14"/>
  <c r="C52" i="14"/>
  <c r="B33" i="14"/>
  <c r="CB47" i="12"/>
  <c r="C109" i="14"/>
  <c r="B106" i="14"/>
  <c r="C101" i="14"/>
  <c r="C84" i="14"/>
  <c r="B108" i="14"/>
  <c r="C103" i="14"/>
  <c r="B92" i="14"/>
  <c r="B87" i="14"/>
  <c r="C81" i="14"/>
  <c r="C76" i="14"/>
  <c r="C65" i="14"/>
  <c r="B47" i="14"/>
  <c r="C91" i="14"/>
  <c r="C82" i="14"/>
  <c r="B62" i="14"/>
  <c r="B37" i="14"/>
  <c r="B27" i="14"/>
  <c r="B22" i="14"/>
  <c r="B16" i="14"/>
  <c r="B123" i="14"/>
  <c r="C123" i="14"/>
  <c r="C116" i="14"/>
  <c r="B121" i="14"/>
  <c r="C119" i="14"/>
  <c r="C117" i="14"/>
  <c r="B117" i="14"/>
  <c r="L121" i="15"/>
  <c r="J121" i="15"/>
  <c r="L116" i="15"/>
  <c r="H121" i="15"/>
  <c r="D115" i="15"/>
  <c r="F115" i="15"/>
  <c r="J116" i="15"/>
  <c r="H115" i="15"/>
  <c r="H116" i="15"/>
  <c r="D112" i="15"/>
  <c r="D121" i="15"/>
  <c r="D116" i="15"/>
  <c r="J115" i="15"/>
  <c r="CC10" i="48"/>
  <c r="J134" i="15"/>
  <c r="C44" i="15"/>
  <c r="F134" i="15"/>
  <c r="F110" i="15"/>
  <c r="J15" i="15"/>
  <c r="CA8" i="12"/>
  <c r="CD49" i="15"/>
  <c r="CD10" i="32" l="1"/>
  <c r="CC7" i="14"/>
  <c r="CD7" i="14" s="1"/>
  <c r="CC61" i="14"/>
  <c r="CD61" i="14" s="1"/>
  <c r="CB10" i="20"/>
  <c r="CA8" i="20"/>
  <c r="CB8" i="20" s="1"/>
  <c r="CC58" i="8"/>
  <c r="CD58" i="8" s="1"/>
  <c r="CC55" i="10"/>
  <c r="CD55" i="10" s="1"/>
  <c r="CD10" i="33"/>
  <c r="CC8" i="33"/>
  <c r="CC62" i="32"/>
  <c r="CD62" i="32" s="1"/>
  <c r="CC8" i="15"/>
  <c r="CD10" i="15"/>
  <c r="CD10" i="23"/>
  <c r="CC8" i="23"/>
  <c r="CC8" i="48"/>
  <c r="CD10" i="48"/>
  <c r="CA7" i="12"/>
  <c r="CB8" i="12"/>
  <c r="CD8" i="33" l="1"/>
  <c r="CC62" i="33"/>
  <c r="CD62" i="33" s="1"/>
  <c r="CD8" i="15"/>
  <c r="CC62" i="15"/>
  <c r="CD62" i="15" s="1"/>
  <c r="CC62" i="23"/>
  <c r="CD62" i="23" s="1"/>
  <c r="CD8" i="23"/>
  <c r="CD8" i="48"/>
  <c r="CC62" i="48"/>
  <c r="CD62" i="48" s="1"/>
  <c r="CA60" i="12"/>
  <c r="CB60" i="12" s="1"/>
  <c r="CB7" i="12"/>
</calcChain>
</file>

<file path=xl/sharedStrings.xml><?xml version="1.0" encoding="utf-8"?>
<sst xmlns="http://schemas.openxmlformats.org/spreadsheetml/2006/main" count="23105" uniqueCount="4566">
  <si>
    <t>Ümumi daxili məhsul (ÜDM)</t>
  </si>
  <si>
    <t>ÜDM-in deflyatoru</t>
  </si>
  <si>
    <t>Əsas kapitala investisiya</t>
  </si>
  <si>
    <t>Əhalinin nominal gəlirləri</t>
  </si>
  <si>
    <t>Cəmi,</t>
  </si>
  <si>
    <t>Artım tempi, %</t>
  </si>
  <si>
    <t>əvvəlki aya nisbətən, %</t>
  </si>
  <si>
    <t>orta illik, %</t>
  </si>
  <si>
    <t>mln. manat</t>
  </si>
  <si>
    <t>Gross Domestic Product</t>
  </si>
  <si>
    <t>GDP deflator</t>
  </si>
  <si>
    <t>Capital investments</t>
  </si>
  <si>
    <t>Nominal income of population</t>
  </si>
  <si>
    <t xml:space="preserve">Consumer Price Index </t>
  </si>
  <si>
    <t>Total,</t>
  </si>
  <si>
    <t>Growth rate, %</t>
  </si>
  <si>
    <t>monthly, %</t>
  </si>
  <si>
    <t>Annual average,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</si>
  <si>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</si>
  <si>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</si>
  <si>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</si>
  <si>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</si>
  <si>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</si>
  <si>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</si>
  <si>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</si>
  <si>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</si>
  <si>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</si>
  <si>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</si>
  <si>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</si>
  <si>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</si>
  <si>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1647,0</t>
  </si>
  <si>
    <t>3273.1</t>
  </si>
  <si>
    <t>5145.4</t>
  </si>
  <si>
    <t>6884.2</t>
  </si>
  <si>
    <t>8763.2</t>
  </si>
  <si>
    <t>10672,4</t>
  </si>
  <si>
    <t>12739,7</t>
  </si>
  <si>
    <t>14816,4</t>
  </si>
  <si>
    <t>16608,0</t>
  </si>
  <si>
    <t>20818,0</t>
  </si>
  <si>
    <t>2286,0</t>
  </si>
  <si>
    <t>4767,0</t>
  </si>
  <si>
    <t>23017.1</t>
  </si>
  <si>
    <t>2009</t>
  </si>
  <si>
    <t>8996.0</t>
  </si>
  <si>
    <t>11366.1</t>
  </si>
  <si>
    <t>17336,5</t>
  </si>
  <si>
    <t>20628,0</t>
  </si>
  <si>
    <t>2010</t>
  </si>
  <si>
    <t>Dövlət maliyyəsi</t>
  </si>
  <si>
    <t>Büdcə gəlirləri,</t>
  </si>
  <si>
    <t>ÜDM-də xüsusi</t>
  </si>
  <si>
    <t>Büdcə xərcləri,</t>
  </si>
  <si>
    <t>Büdcə kəsiri(-)</t>
  </si>
  <si>
    <t xml:space="preserve">ÜDM-də xüsusi </t>
  </si>
  <si>
    <t xml:space="preserve"> çəkisi, %</t>
  </si>
  <si>
    <t>profisiti(+)</t>
  </si>
  <si>
    <t>çəkisi, %-lə</t>
  </si>
  <si>
    <t>Public Finance</t>
  </si>
  <si>
    <t>as a share of</t>
  </si>
  <si>
    <t xml:space="preserve">Budget deficit(-) </t>
  </si>
  <si>
    <t>GDP, %</t>
  </si>
  <si>
    <t>surplus (+)</t>
  </si>
  <si>
    <t>milyon ABŞ dolları / million US dollars</t>
  </si>
  <si>
    <t>RII, 2004     QII, 2004</t>
  </si>
  <si>
    <t>RIII, 2004     QIII, 2004</t>
  </si>
  <si>
    <t>RII, 2005     QII, 2005</t>
  </si>
  <si>
    <t>RIII, 2005     QIII, 2005</t>
  </si>
  <si>
    <t>RIV, 2005     QIV, 2005</t>
  </si>
  <si>
    <t>RII, 2006     QII, 2006</t>
  </si>
  <si>
    <t>RIII, 2006     QIII, 2006</t>
  </si>
  <si>
    <r>
      <t xml:space="preserve">Cari Hesab                                                   </t>
    </r>
    <r>
      <rPr>
        <sz val="10"/>
        <rFont val="Times New Roman"/>
        <family val="1"/>
      </rPr>
      <t xml:space="preserve">  </t>
    </r>
  </si>
  <si>
    <t>Current Account</t>
  </si>
  <si>
    <t xml:space="preserve">     Xarici ticarət balansı</t>
  </si>
  <si>
    <t xml:space="preserve">     Foreign Trade Balance</t>
  </si>
  <si>
    <r>
      <t xml:space="preserve">       </t>
    </r>
    <r>
      <rPr>
        <b/>
        <sz val="10"/>
        <rFont val="Times New Roman"/>
        <family val="1"/>
      </rPr>
      <t xml:space="preserve">   Malların ixracı</t>
    </r>
  </si>
  <si>
    <t xml:space="preserve">          Export of goods</t>
  </si>
  <si>
    <t xml:space="preserve">                  Neft-qaz sektoru</t>
  </si>
  <si>
    <t xml:space="preserve">                  Oil and gas sector</t>
  </si>
  <si>
    <t xml:space="preserve">                  Digər sektorlar</t>
  </si>
  <si>
    <t xml:space="preserve">                  Other sectors</t>
  </si>
  <si>
    <r>
      <t xml:space="preserve">       </t>
    </r>
    <r>
      <rPr>
        <b/>
        <sz val="10"/>
        <rFont val="Times New Roman"/>
        <family val="1"/>
      </rPr>
      <t xml:space="preserve">    Malların idxalı</t>
    </r>
  </si>
  <si>
    <t xml:space="preserve">           Import of goods</t>
  </si>
  <si>
    <t xml:space="preserve">      Xidmətlər Balansı</t>
  </si>
  <si>
    <t xml:space="preserve">      Balance of services</t>
  </si>
  <si>
    <t xml:space="preserve">                  Cəmi xidmətlərdən</t>
  </si>
  <si>
    <t xml:space="preserve">                  Out of total services</t>
  </si>
  <si>
    <t xml:space="preserve">                        Nəqliyyat</t>
  </si>
  <si>
    <t xml:space="preserve">                        Transport</t>
  </si>
  <si>
    <t xml:space="preserve">                        Tikinti</t>
  </si>
  <si>
    <t xml:space="preserve">                        Construction </t>
  </si>
  <si>
    <r>
      <t xml:space="preserve">       </t>
    </r>
    <r>
      <rPr>
        <b/>
        <sz val="10"/>
        <rFont val="Times New Roman"/>
        <family val="1"/>
      </rPr>
      <t xml:space="preserve">   Fiziki şəxslərin pul baratları</t>
    </r>
  </si>
  <si>
    <t xml:space="preserve">             Remittances of individuals</t>
  </si>
  <si>
    <t>-</t>
  </si>
  <si>
    <t>Balans</t>
  </si>
  <si>
    <t>Balance</t>
  </si>
  <si>
    <t>Ticarət balansı</t>
  </si>
  <si>
    <t>Uzaq xarici dövlətlərə</t>
  </si>
  <si>
    <t>MDB dövlətlərinə</t>
  </si>
  <si>
    <t>Uzaq xarici dövlətlərdən</t>
  </si>
  <si>
    <t>Uzaq xarici dövlətlər üzrə</t>
  </si>
  <si>
    <t>MDB dövlətləri üzrə</t>
  </si>
  <si>
    <t>Exports (FOB)</t>
  </si>
  <si>
    <t>Imports (FOB)</t>
  </si>
  <si>
    <t>Trade balance</t>
  </si>
  <si>
    <t>Total</t>
  </si>
  <si>
    <t>of which</t>
  </si>
  <si>
    <t>To non-CIS countries</t>
  </si>
  <si>
    <t>To CIS countries</t>
  </si>
  <si>
    <t>From non-CIS countries</t>
  </si>
  <si>
    <t>From CIS countries</t>
  </si>
  <si>
    <t>On non-CIS countries</t>
  </si>
  <si>
    <t>On CIS countries</t>
  </si>
  <si>
    <t>total</t>
  </si>
  <si>
    <t>2008</t>
  </si>
  <si>
    <t xml:space="preserve"> </t>
  </si>
  <si>
    <t>Xalis Xarici Aktivlər</t>
  </si>
  <si>
    <t>Xalis Daxili Aktivlər</t>
  </si>
  <si>
    <t>Net Foreign Assets</t>
  </si>
  <si>
    <t>Net Domestic Assets</t>
  </si>
  <si>
    <t>Broad money</t>
  </si>
  <si>
    <t>2007</t>
  </si>
  <si>
    <t>o cümlədən</t>
  </si>
  <si>
    <t xml:space="preserve">o cümlədən </t>
  </si>
  <si>
    <t>Məcmu xarici aktivlər</t>
  </si>
  <si>
    <t>Pul multiplikatoru</t>
  </si>
  <si>
    <t>M3 pul aqreqatının pul bazasına nisbəti</t>
  </si>
  <si>
    <t>M2 pul aqreqatının manatla pul bazasına nisbəti</t>
  </si>
  <si>
    <t>M1 pul aqreqatı</t>
  </si>
  <si>
    <t>Banklardan kənarda nağd pul(M0)</t>
  </si>
  <si>
    <t>Broad Money Supply (M3)</t>
  </si>
  <si>
    <t xml:space="preserve"> of which</t>
  </si>
  <si>
    <t>Money multiplier</t>
  </si>
  <si>
    <t>M2 money aggregate</t>
  </si>
  <si>
    <t>M1 money aggregate</t>
  </si>
  <si>
    <t>Cash outside banks (M0)</t>
  </si>
  <si>
    <t>Pul bazası</t>
  </si>
  <si>
    <t xml:space="preserve">Dövriyyədə olan nağd pul kütləsinin pul bazasına nisbəti, % </t>
  </si>
  <si>
    <t>Dövriyyədə olan nağd pullar</t>
  </si>
  <si>
    <t>Məcburi ehtiyatlar</t>
  </si>
  <si>
    <t>Ratio of cash in circulation to Monetary base, %</t>
  </si>
  <si>
    <t>Cash in circulation</t>
  </si>
  <si>
    <t>Required reserves</t>
  </si>
  <si>
    <t>Cəmi kreditlər</t>
  </si>
  <si>
    <t>o cümlədən:</t>
  </si>
  <si>
    <t xml:space="preserve">Cəmi </t>
  </si>
  <si>
    <t>Qısamüddətli</t>
  </si>
  <si>
    <t>Uzunmüddətli</t>
  </si>
  <si>
    <t>vaxtı keçmiş</t>
  </si>
  <si>
    <t>of which:</t>
  </si>
  <si>
    <t>overdue</t>
  </si>
  <si>
    <t>Cəmi kredit qoyuluşları</t>
  </si>
  <si>
    <t>Dövlət bankları</t>
  </si>
  <si>
    <t>Özəl banklar</t>
  </si>
  <si>
    <t>Qeyri-bank kredit təşkilatları</t>
  </si>
  <si>
    <t>Cəmi</t>
  </si>
  <si>
    <t>o cümlədən, xarici kapitallı banklar</t>
  </si>
  <si>
    <t>bundan 100%-li xarici kapitallı banklar</t>
  </si>
  <si>
    <t>mln.manat</t>
  </si>
  <si>
    <t>xüsusi çəkisi, %</t>
  </si>
  <si>
    <t xml:space="preserve"> State owned banks</t>
  </si>
  <si>
    <t>Private banks</t>
  </si>
  <si>
    <t>of which, with foreign capital</t>
  </si>
  <si>
    <t>of which, with 100% foreign capital</t>
  </si>
  <si>
    <t>share,%</t>
  </si>
  <si>
    <t>Maliyyə sektoruna kredit qoyuluşu</t>
  </si>
  <si>
    <t>Ticarət və xidmət sektoru</t>
  </si>
  <si>
    <t>Sənaye və istehsal sektoru</t>
  </si>
  <si>
    <t>Ev təsərrüfatlarına</t>
  </si>
  <si>
    <t>Digər sektorlar</t>
  </si>
  <si>
    <t xml:space="preserve">Akkreditivlər üzrə </t>
  </si>
  <si>
    <t>Faktorinq əməliyyatları</t>
  </si>
  <si>
    <t>vaxtı keçmiş kredit</t>
  </si>
  <si>
    <t>xüsusi çəkisi, %-lə</t>
  </si>
  <si>
    <t>cəmi</t>
  </si>
  <si>
    <t>Trade and services</t>
  </si>
  <si>
    <t>Industry and manufacturing</t>
  </si>
  <si>
    <t>Households</t>
  </si>
  <si>
    <t>Other sectors</t>
  </si>
  <si>
    <t>share, %</t>
  </si>
  <si>
    <t xml:space="preserve"> - </t>
  </si>
  <si>
    <t>2006</t>
  </si>
  <si>
    <t>Tarix</t>
  </si>
  <si>
    <t>ondan</t>
  </si>
  <si>
    <t>Manatla</t>
  </si>
  <si>
    <t>manatla</t>
  </si>
  <si>
    <t>orta % 
 dərəcəsi</t>
  </si>
  <si>
    <t>Qısamüddətli kreditlər</t>
  </si>
  <si>
    <t>Uzunmüddətli kreditlər</t>
  </si>
  <si>
    <t>milli valyutada</t>
  </si>
  <si>
    <t>məbləğ</t>
  </si>
  <si>
    <t>Azərbaycan Respublikası</t>
  </si>
  <si>
    <t>Dağlıq Şirvan iqtisadi rayonu</t>
  </si>
  <si>
    <t>Quba-Xaçmaz iqtisadi rayonu</t>
  </si>
  <si>
    <t>Şəki-Zaqatala iqtisadi rayonu</t>
  </si>
  <si>
    <t>Naxçıvan iqtisadi rayonu</t>
  </si>
  <si>
    <t>Tələb olunanadək əmanətlər</t>
  </si>
  <si>
    <t>Müddətli əmanətlər</t>
  </si>
  <si>
    <t>Cəmi depozitlər</t>
  </si>
  <si>
    <t>Ev təsərrüfatları</t>
  </si>
  <si>
    <t>Qeyri-maliyyə təşkilatları</t>
  </si>
  <si>
    <t>xarici valyuta ilə</t>
  </si>
  <si>
    <t>tələb olunanadək</t>
  </si>
  <si>
    <t>müddətli</t>
  </si>
  <si>
    <t>Total deposits</t>
  </si>
  <si>
    <t xml:space="preserve">Total </t>
  </si>
  <si>
    <t>in manat</t>
  </si>
  <si>
    <t>in foreign currency</t>
  </si>
  <si>
    <t>demand deposits</t>
  </si>
  <si>
    <t>time deposits</t>
  </si>
  <si>
    <t>Fiziki şəxslərdən cəlb edilmiş vəsaitlər üzrə</t>
  </si>
  <si>
    <t>01.10.1992-30.04.1993</t>
  </si>
  <si>
    <t xml:space="preserve">  - Demand deposits</t>
  </si>
  <si>
    <t xml:space="preserve">  - from 1 month to 1 year</t>
  </si>
  <si>
    <t xml:space="preserve">  - over 1 year</t>
  </si>
  <si>
    <t>01.05.1993-30.05.1993</t>
  </si>
  <si>
    <t xml:space="preserve">  - from 1 year to 3 years</t>
  </si>
  <si>
    <t xml:space="preserve">  - over 3 year</t>
  </si>
  <si>
    <t>31.05.93 - 19.12.93</t>
  </si>
  <si>
    <t>20.12.93 - 30.04.94</t>
  </si>
  <si>
    <t>01.05.94 - 30.06.94</t>
  </si>
  <si>
    <t>01.07.94 - 31.12.94</t>
  </si>
  <si>
    <t>01.01.95 - 31.03.95</t>
  </si>
  <si>
    <t>01.04.95 - 28.02.97</t>
  </si>
  <si>
    <t>01.03.97 - 01.11.99</t>
  </si>
  <si>
    <t>02.11.99 - 31.12.2002</t>
  </si>
  <si>
    <t>01.01.2003 - 31.01.2006</t>
  </si>
  <si>
    <t xml:space="preserve"> - 1 ilədək  </t>
  </si>
  <si>
    <t xml:space="preserve">  - till a year</t>
  </si>
  <si>
    <t>01.02.2006 - 15.07.2008</t>
  </si>
  <si>
    <t>16.07.2008 - 13.10.2008</t>
  </si>
  <si>
    <t>16.07.2008 - 14.10.2008</t>
  </si>
  <si>
    <t>14.10.2008 - 30.11.2008</t>
  </si>
  <si>
    <t>14.10.2008 - 01.12.2008</t>
  </si>
  <si>
    <t>01.12.2008 - 31.01.2009</t>
  </si>
  <si>
    <t>01.02.2009 - 01.03.2009</t>
  </si>
  <si>
    <t>ABŞ dolları</t>
  </si>
  <si>
    <t>AVRO</t>
  </si>
  <si>
    <t>Avstraliya dolları</t>
  </si>
  <si>
    <t>BƏƏ dirhəmi</t>
  </si>
  <si>
    <t>Çin yuanı</t>
  </si>
  <si>
    <t>Danimarka kronu</t>
  </si>
  <si>
    <t>Honkong dolları</t>
  </si>
  <si>
    <t>İngilis funt sterlinqi</t>
  </si>
  <si>
    <t>İsveç kronu</t>
  </si>
  <si>
    <t>İsveçrə frankı</t>
  </si>
  <si>
    <t>Israil şekeli</t>
  </si>
  <si>
    <t>Kanada dolları</t>
  </si>
  <si>
    <t>Kuveyt dinarı</t>
  </si>
  <si>
    <t>Norveç kronu</t>
  </si>
  <si>
    <t>Polşa zlotası</t>
  </si>
  <si>
    <t>Sinqapur dolları</t>
  </si>
  <si>
    <t>Türk lirəsi*</t>
  </si>
  <si>
    <t>Yapon yeni**</t>
  </si>
  <si>
    <t>Gürcü larisi</t>
  </si>
  <si>
    <t>Qırğız somu</t>
  </si>
  <si>
    <t>Moldova leyi</t>
  </si>
  <si>
    <t>Özbək somu**</t>
  </si>
  <si>
    <t>Rusiya rublu</t>
  </si>
  <si>
    <t>Ukrayna qrivnası</t>
  </si>
  <si>
    <t>US dollar</t>
  </si>
  <si>
    <t>EURO</t>
  </si>
  <si>
    <t>Australian dollar</t>
  </si>
  <si>
    <t>UAE dirham</t>
  </si>
  <si>
    <t>Chinese yuan</t>
  </si>
  <si>
    <t>Danish crown</t>
  </si>
  <si>
    <t>Hong Kong dollar</t>
  </si>
  <si>
    <t>British pound</t>
  </si>
  <si>
    <t>Swedish crown</t>
  </si>
  <si>
    <t>Swiss franc</t>
  </si>
  <si>
    <t>Israel shekel</t>
  </si>
  <si>
    <t>Canadian dollar</t>
  </si>
  <si>
    <t>Kuwaiti dinar</t>
  </si>
  <si>
    <t>Norwegian crown</t>
  </si>
  <si>
    <t>Polland zlot</t>
  </si>
  <si>
    <t>Singaporean dollar</t>
  </si>
  <si>
    <t>Turkish lira*</t>
  </si>
  <si>
    <t>Japanese yen**</t>
  </si>
  <si>
    <t>Georgian lari</t>
  </si>
  <si>
    <t>Kyrgyz Som</t>
  </si>
  <si>
    <t>Moldovan leu</t>
  </si>
  <si>
    <t>Uzbek som**</t>
  </si>
  <si>
    <t>Ukrainian hryvnia</t>
  </si>
  <si>
    <t>Date</t>
  </si>
  <si>
    <t>2005</t>
  </si>
  <si>
    <t>9</t>
  </si>
  <si>
    <t>7</t>
  </si>
  <si>
    <t>8</t>
  </si>
  <si>
    <t>5</t>
  </si>
  <si>
    <t>3</t>
  </si>
  <si>
    <t>2</t>
  </si>
  <si>
    <t>Verilmiş kreditlər üzrə</t>
  </si>
  <si>
    <t>Banklararası kreditlər üzrə</t>
  </si>
  <si>
    <t>Orta faiz</t>
  </si>
  <si>
    <t>Hüquqi</t>
  </si>
  <si>
    <t xml:space="preserve">Fiziki </t>
  </si>
  <si>
    <t>1 aya</t>
  </si>
  <si>
    <t>1 - aydan</t>
  </si>
  <si>
    <t>3 - aydan</t>
  </si>
  <si>
    <t>6 - aydan</t>
  </si>
  <si>
    <t>9 - aydan</t>
  </si>
  <si>
    <t>1 - ildən</t>
  </si>
  <si>
    <t xml:space="preserve">5 - ildən </t>
  </si>
  <si>
    <t xml:space="preserve">3 - ildən </t>
  </si>
  <si>
    <t>10 ildən</t>
  </si>
  <si>
    <t>30-90</t>
  </si>
  <si>
    <t>90-180</t>
  </si>
  <si>
    <t>180-360</t>
  </si>
  <si>
    <t>1 ildən</t>
  </si>
  <si>
    <t>dərəcəsi</t>
  </si>
  <si>
    <t>şəxslər</t>
  </si>
  <si>
    <t>qədər</t>
  </si>
  <si>
    <t>3 aya qədər</t>
  </si>
  <si>
    <t>6 aya qədər</t>
  </si>
  <si>
    <t>9 aya qədər</t>
  </si>
  <si>
    <t>1 ilə qədər</t>
  </si>
  <si>
    <t>5 ilə qədər</t>
  </si>
  <si>
    <t>artıq</t>
  </si>
  <si>
    <t>3 ilə qədər</t>
  </si>
  <si>
    <t>10 ilə qədər</t>
  </si>
  <si>
    <t>günədək</t>
  </si>
  <si>
    <t>günlük</t>
  </si>
  <si>
    <t>yuxarı</t>
  </si>
  <si>
    <t>Legal</t>
  </si>
  <si>
    <t>Individuals</t>
  </si>
  <si>
    <t>up to</t>
  </si>
  <si>
    <t>from 1 month</t>
  </si>
  <si>
    <t>from 3 months</t>
  </si>
  <si>
    <t>from 6 month</t>
  </si>
  <si>
    <t>from 9 month</t>
  </si>
  <si>
    <t>from 1 year</t>
  </si>
  <si>
    <t>from 3 years</t>
  </si>
  <si>
    <t>from 5 years</t>
  </si>
  <si>
    <t>over</t>
  </si>
  <si>
    <t>till</t>
  </si>
  <si>
    <t>entities</t>
  </si>
  <si>
    <t>1 month</t>
  </si>
  <si>
    <t>to 3 months</t>
  </si>
  <si>
    <t>to 6 months</t>
  </si>
  <si>
    <t>to 9 months</t>
  </si>
  <si>
    <t>to 1 year</t>
  </si>
  <si>
    <t>to 5 years</t>
  </si>
  <si>
    <t>5 years</t>
  </si>
  <si>
    <t>to 3 years</t>
  </si>
  <si>
    <t>to 10 years</t>
  </si>
  <si>
    <t>10 years</t>
  </si>
  <si>
    <t>30 days</t>
  </si>
  <si>
    <t>days</t>
  </si>
  <si>
    <t>1 year</t>
  </si>
  <si>
    <t xml:space="preserve"> -</t>
  </si>
  <si>
    <t>in national currency</t>
  </si>
  <si>
    <t>Xarici valyuta ilə</t>
  </si>
  <si>
    <t>01.02.2005</t>
  </si>
  <si>
    <t>01.03.2005</t>
  </si>
  <si>
    <t>01.04.2005</t>
  </si>
  <si>
    <t>01.05.2005</t>
  </si>
  <si>
    <t>01.06.2005</t>
  </si>
  <si>
    <t>01.07.2005</t>
  </si>
  <si>
    <t>01.08.2005</t>
  </si>
  <si>
    <t>01.09.2005</t>
  </si>
  <si>
    <t>01.10.2005</t>
  </si>
  <si>
    <t>01.11.2005</t>
  </si>
  <si>
    <t>01.12.2005</t>
  </si>
  <si>
    <t>01.02.2006</t>
  </si>
  <si>
    <t>01.03.2006</t>
  </si>
  <si>
    <t>01.04.2006</t>
  </si>
  <si>
    <t>01.05.2006</t>
  </si>
  <si>
    <t>01.06.2006</t>
  </si>
  <si>
    <t>Hərracın tarixi</t>
  </si>
  <si>
    <t>Tədavül müddəti (gün)</t>
  </si>
  <si>
    <t xml:space="preserve"> Ödəmə tarixi</t>
  </si>
  <si>
    <t>Nominal üzrə (mln. manat)</t>
  </si>
  <si>
    <t>Gəlirlilik (%)</t>
  </si>
  <si>
    <t>Auksionda iştirakçıların sayı</t>
  </si>
  <si>
    <t xml:space="preserve">Emissiyanın həcmi </t>
  </si>
  <si>
    <t xml:space="preserve">Təqdim olunmş sifarişlərin həcmi </t>
  </si>
  <si>
    <t>min.</t>
  </si>
  <si>
    <t>maks.</t>
  </si>
  <si>
    <t>orta ölçülmüş</t>
  </si>
  <si>
    <t>Date of auction</t>
  </si>
  <si>
    <t>Term (days)</t>
  </si>
  <si>
    <t>Maturity date</t>
  </si>
  <si>
    <t xml:space="preserve">   </t>
  </si>
  <si>
    <t>Yield ( % )</t>
  </si>
  <si>
    <t>Number of bidders at the auction</t>
  </si>
  <si>
    <t>The volume of bids</t>
  </si>
  <si>
    <t>max.</t>
  </si>
  <si>
    <t>weighted average</t>
  </si>
  <si>
    <t>10200113S</t>
  </si>
  <si>
    <t>10200213S</t>
  </si>
  <si>
    <t>10200313S</t>
  </si>
  <si>
    <t>10600413S</t>
  </si>
  <si>
    <t>10900513S</t>
  </si>
  <si>
    <t>10200613S</t>
  </si>
  <si>
    <t>10200713S</t>
  </si>
  <si>
    <t>10200813S</t>
  </si>
  <si>
    <t>10200913S</t>
  </si>
  <si>
    <t>10301013S</t>
  </si>
  <si>
    <t>10501113S</t>
  </si>
  <si>
    <t>10200115S</t>
  </si>
  <si>
    <t>10200215S</t>
  </si>
  <si>
    <t>10200315S</t>
  </si>
  <si>
    <t>10300415S</t>
  </si>
  <si>
    <t>10500515S</t>
  </si>
  <si>
    <t>10200615S</t>
  </si>
  <si>
    <t>10300715S</t>
  </si>
  <si>
    <t>10200815S</t>
  </si>
  <si>
    <t>10201015S</t>
  </si>
  <si>
    <t>10301115S</t>
  </si>
  <si>
    <t>10201215S</t>
  </si>
  <si>
    <t>10501315S</t>
  </si>
  <si>
    <t>10201415S</t>
  </si>
  <si>
    <t>10301515S</t>
  </si>
  <si>
    <t>10201615S</t>
  </si>
  <si>
    <t>10501715S</t>
  </si>
  <si>
    <t>10201815S</t>
  </si>
  <si>
    <t>10201915S</t>
  </si>
  <si>
    <t>10302015S</t>
  </si>
  <si>
    <t>10502115S</t>
  </si>
  <si>
    <t>10202215S</t>
  </si>
  <si>
    <t>10202315S</t>
  </si>
  <si>
    <t>10502415S</t>
  </si>
  <si>
    <t>10302515S</t>
  </si>
  <si>
    <t>10502615S</t>
  </si>
  <si>
    <t>10202715S</t>
  </si>
  <si>
    <t>10202815S</t>
  </si>
  <si>
    <t>10302915S</t>
  </si>
  <si>
    <t>10503015S</t>
  </si>
  <si>
    <t>10303115S</t>
  </si>
  <si>
    <t>10503215S</t>
  </si>
  <si>
    <t>10303315S</t>
  </si>
  <si>
    <t>10503415S</t>
  </si>
  <si>
    <t>10303515S</t>
  </si>
  <si>
    <t>10503615S</t>
  </si>
  <si>
    <t>10503715S</t>
  </si>
  <si>
    <t>10300117S</t>
  </si>
  <si>
    <t>10500217S</t>
  </si>
  <si>
    <t>10300317S</t>
  </si>
  <si>
    <t>10300517S</t>
  </si>
  <si>
    <t>10300617S</t>
  </si>
  <si>
    <t>10500417S</t>
  </si>
  <si>
    <t>10200717S</t>
  </si>
  <si>
    <t>10200817S</t>
  </si>
  <si>
    <t>10300917S</t>
  </si>
  <si>
    <t>10201017S</t>
  </si>
  <si>
    <t>10201117S</t>
  </si>
  <si>
    <t>10201217S</t>
  </si>
  <si>
    <t>10201317S</t>
  </si>
  <si>
    <t>10500120S</t>
  </si>
  <si>
    <t>10500220S</t>
  </si>
  <si>
    <t>10300320S</t>
  </si>
  <si>
    <t>10300420S</t>
  </si>
  <si>
    <t>10500520S</t>
  </si>
  <si>
    <t>10300820S</t>
  </si>
  <si>
    <t>10500920S</t>
  </si>
  <si>
    <t>10501020S</t>
  </si>
  <si>
    <t>10501220S</t>
  </si>
  <si>
    <t>10501320S</t>
  </si>
  <si>
    <t>10301120S</t>
  </si>
  <si>
    <t>10501420S</t>
  </si>
  <si>
    <t>10501520S</t>
  </si>
  <si>
    <t>10301620S</t>
  </si>
  <si>
    <t>10301720S</t>
  </si>
  <si>
    <t>10501820S</t>
  </si>
  <si>
    <t>10301920S</t>
  </si>
  <si>
    <t>10302120S</t>
  </si>
  <si>
    <t>10502220S</t>
  </si>
  <si>
    <t>10302320S</t>
  </si>
  <si>
    <t>10502420S</t>
  </si>
  <si>
    <t>10202520S</t>
  </si>
  <si>
    <t>10302620S</t>
  </si>
  <si>
    <t>10302720S</t>
  </si>
  <si>
    <t>10502820S</t>
  </si>
  <si>
    <t>10202920S</t>
  </si>
  <si>
    <t>10303020S</t>
  </si>
  <si>
    <t>10503120S</t>
  </si>
  <si>
    <t>10303220S</t>
  </si>
  <si>
    <t>10203320S</t>
  </si>
  <si>
    <t>10303420S</t>
  </si>
  <si>
    <t>10503520S</t>
  </si>
  <si>
    <t>10303620S</t>
  </si>
  <si>
    <t>10504020S</t>
  </si>
  <si>
    <t>10204120S</t>
  </si>
  <si>
    <t>10304220S</t>
  </si>
  <si>
    <t>10504320S</t>
  </si>
  <si>
    <t>10204420S</t>
  </si>
  <si>
    <t>10304520S</t>
  </si>
  <si>
    <t>10504620S</t>
  </si>
  <si>
    <t>10304720S</t>
  </si>
  <si>
    <t>10504820S</t>
  </si>
  <si>
    <t>10204920S</t>
  </si>
  <si>
    <t>10305020S</t>
  </si>
  <si>
    <t>10505120S</t>
  </si>
  <si>
    <t>10305220S</t>
  </si>
  <si>
    <t>10505320S</t>
  </si>
  <si>
    <t>10205420S</t>
  </si>
  <si>
    <t>10305520S</t>
  </si>
  <si>
    <t>10505620S</t>
  </si>
  <si>
    <t>10205720S</t>
  </si>
  <si>
    <t>10305820S</t>
  </si>
  <si>
    <t>10206020S</t>
  </si>
  <si>
    <t>10206120S</t>
  </si>
  <si>
    <t>10206220S</t>
  </si>
  <si>
    <t>10206320S</t>
  </si>
  <si>
    <t>10306420S</t>
  </si>
  <si>
    <t>10306520S</t>
  </si>
  <si>
    <t>10306620S</t>
  </si>
  <si>
    <t>10306720S</t>
  </si>
  <si>
    <t>10106820S</t>
  </si>
  <si>
    <t>10106920S</t>
  </si>
  <si>
    <t>10100222S</t>
  </si>
  <si>
    <t>10200322S</t>
  </si>
  <si>
    <t>10500422S</t>
  </si>
  <si>
    <t>10300522S</t>
  </si>
  <si>
    <t>10100622S</t>
  </si>
  <si>
    <t>10200722S</t>
  </si>
  <si>
    <t>10500822S</t>
  </si>
  <si>
    <t>10300922S</t>
  </si>
  <si>
    <t>10700123S</t>
  </si>
  <si>
    <t>10201122S</t>
  </si>
  <si>
    <t>50100721S</t>
  </si>
  <si>
    <t>10501222S</t>
  </si>
  <si>
    <t>10101022S</t>
  </si>
  <si>
    <t>10301322S</t>
  </si>
  <si>
    <t>10700223S</t>
  </si>
  <si>
    <t>10101422S</t>
  </si>
  <si>
    <t>10201522S</t>
  </si>
  <si>
    <t>10501622S</t>
  </si>
  <si>
    <t>10301722S</t>
  </si>
  <si>
    <t>10700323S</t>
  </si>
  <si>
    <t>10501922S</t>
  </si>
  <si>
    <t>10101822S</t>
  </si>
  <si>
    <t>10202022S</t>
  </si>
  <si>
    <t>10302122S</t>
  </si>
  <si>
    <t>10700423S</t>
  </si>
  <si>
    <t>10502322S</t>
  </si>
  <si>
    <t>10102222S</t>
  </si>
  <si>
    <t>10202422S</t>
  </si>
  <si>
    <t>10302522S</t>
  </si>
  <si>
    <t>10800623S</t>
  </si>
  <si>
    <t>10102622S</t>
  </si>
  <si>
    <t>10502722S</t>
  </si>
  <si>
    <t>10202822S</t>
  </si>
  <si>
    <t>10302922S</t>
  </si>
  <si>
    <t>10700723S</t>
  </si>
  <si>
    <t>10800823S</t>
  </si>
  <si>
    <t>10103022S</t>
  </si>
  <si>
    <t>10503122S</t>
  </si>
  <si>
    <t>10203222S</t>
  </si>
  <si>
    <t>10303322S</t>
  </si>
  <si>
    <t>10700923S</t>
  </si>
  <si>
    <t>10801023S</t>
  </si>
  <si>
    <t>10503522S</t>
  </si>
  <si>
    <t>10103422S</t>
  </si>
  <si>
    <t>10203622S</t>
  </si>
  <si>
    <t>10303722S</t>
  </si>
  <si>
    <t>10701123S</t>
  </si>
  <si>
    <t>10801223S</t>
  </si>
  <si>
    <t>10103822S</t>
  </si>
  <si>
    <t>10503922S</t>
  </si>
  <si>
    <t xml:space="preserve">10204022S </t>
  </si>
  <si>
    <t>10304122S</t>
  </si>
  <si>
    <t>10701323S</t>
  </si>
  <si>
    <t>10801423S</t>
  </si>
  <si>
    <t>10104222S</t>
  </si>
  <si>
    <t>10504322S</t>
  </si>
  <si>
    <t>10204342S</t>
  </si>
  <si>
    <t>10304522S</t>
  </si>
  <si>
    <t>10801623S</t>
  </si>
  <si>
    <t>10701523S</t>
  </si>
  <si>
    <t>10504722S</t>
  </si>
  <si>
    <t>10104622S</t>
  </si>
  <si>
    <t>10204822S</t>
  </si>
  <si>
    <t>10304922S</t>
  </si>
  <si>
    <t>10701723S</t>
  </si>
  <si>
    <t>10801823S</t>
  </si>
  <si>
    <t>10105022S</t>
  </si>
  <si>
    <t>10505122S</t>
  </si>
  <si>
    <t>10205222S</t>
  </si>
  <si>
    <t>10305322S</t>
  </si>
  <si>
    <t>10802023S</t>
  </si>
  <si>
    <t>10701923S</t>
  </si>
  <si>
    <t>10105422S</t>
  </si>
  <si>
    <t>10505522S</t>
  </si>
  <si>
    <t>10205622S</t>
  </si>
  <si>
    <t>10305722S</t>
  </si>
  <si>
    <t>10702123S</t>
  </si>
  <si>
    <t>10802223S</t>
  </si>
  <si>
    <t>10105822S</t>
  </si>
  <si>
    <t>10505922S</t>
  </si>
  <si>
    <t>10206022S</t>
  </si>
  <si>
    <t>10306122S</t>
  </si>
  <si>
    <t>10702323S</t>
  </si>
  <si>
    <t>10802423S</t>
  </si>
  <si>
    <t xml:space="preserve">10506322S </t>
  </si>
  <si>
    <t>10106222S</t>
  </si>
  <si>
    <t>10206422S</t>
  </si>
  <si>
    <t>10702523S</t>
  </si>
  <si>
    <t>10802623S</t>
  </si>
  <si>
    <t>10506722S</t>
  </si>
  <si>
    <t>10106622S</t>
  </si>
  <si>
    <t>10206822S</t>
  </si>
  <si>
    <t>10306922S</t>
  </si>
  <si>
    <t>10702723S</t>
  </si>
  <si>
    <t>10802823S</t>
  </si>
  <si>
    <t>10107022S</t>
  </si>
  <si>
    <t>10507122S</t>
  </si>
  <si>
    <t>10207222S</t>
  </si>
  <si>
    <t>10307322S</t>
  </si>
  <si>
    <t xml:space="preserve">10803023S </t>
  </si>
  <si>
    <t>10702923S</t>
  </si>
  <si>
    <t>10507522S</t>
  </si>
  <si>
    <t>10107422S</t>
  </si>
  <si>
    <t>10207622S</t>
  </si>
  <si>
    <t>10307722S</t>
  </si>
  <si>
    <t>10500124S</t>
  </si>
  <si>
    <t>10703123S</t>
  </si>
  <si>
    <t xml:space="preserve">10803223S </t>
  </si>
  <si>
    <t>10507922S</t>
  </si>
  <si>
    <t>10107822S</t>
  </si>
  <si>
    <t>10208022S</t>
  </si>
  <si>
    <t>10308122S</t>
  </si>
  <si>
    <t>10500224S</t>
  </si>
  <si>
    <t>10803423S</t>
  </si>
  <si>
    <t>10703323S</t>
  </si>
  <si>
    <t>10108222S</t>
  </si>
  <si>
    <t>10508322S</t>
  </si>
  <si>
    <t>10208422S</t>
  </si>
  <si>
    <t>13208522S</t>
  </si>
  <si>
    <t>10500324S</t>
  </si>
  <si>
    <t>10703523S</t>
  </si>
  <si>
    <t>10803623S</t>
  </si>
  <si>
    <t>10108622S</t>
  </si>
  <si>
    <t>10508722S</t>
  </si>
  <si>
    <t>10308922S</t>
  </si>
  <si>
    <t>10500424S</t>
  </si>
  <si>
    <t>10803823S</t>
  </si>
  <si>
    <t>10703723S</t>
  </si>
  <si>
    <t>10109022S</t>
  </si>
  <si>
    <t>10509122S</t>
  </si>
  <si>
    <t>10209222S</t>
  </si>
  <si>
    <t>10309322S</t>
  </si>
  <si>
    <t>10500524S</t>
  </si>
  <si>
    <t>10804023S</t>
  </si>
  <si>
    <t>10703923S</t>
  </si>
  <si>
    <t>10100126S</t>
  </si>
  <si>
    <t>10100226S</t>
  </si>
  <si>
    <t>10500326S</t>
  </si>
  <si>
    <t>10200426S</t>
  </si>
  <si>
    <t>10300526S</t>
  </si>
  <si>
    <t>10500228S</t>
  </si>
  <si>
    <t>10100626S</t>
  </si>
  <si>
    <t>10500726S</t>
  </si>
  <si>
    <t>10200826S</t>
  </si>
  <si>
    <t>10300926S</t>
  </si>
  <si>
    <t>10500328S</t>
  </si>
  <si>
    <t>10701027S</t>
  </si>
  <si>
    <t>10501026S</t>
  </si>
  <si>
    <t>10201126S</t>
  </si>
  <si>
    <t>10301226S</t>
  </si>
  <si>
    <t>10500428S</t>
  </si>
  <si>
    <t>10700227S</t>
  </si>
  <si>
    <t>10101326S</t>
  </si>
  <si>
    <t>10501426S</t>
  </si>
  <si>
    <t>10201526S</t>
  </si>
  <si>
    <t>10301626S</t>
  </si>
  <si>
    <t>10700327S</t>
  </si>
  <si>
    <t>10500528S</t>
  </si>
  <si>
    <t>10101726S</t>
  </si>
  <si>
    <t>10501826S</t>
  </si>
  <si>
    <t>10201926S</t>
  </si>
  <si>
    <t>10500628S</t>
  </si>
  <si>
    <t>10302026S</t>
  </si>
  <si>
    <t>10502226S</t>
  </si>
  <si>
    <t>10102126S</t>
  </si>
  <si>
    <t>10202326S</t>
  </si>
  <si>
    <t>10302426S</t>
  </si>
  <si>
    <t>10500728S</t>
  </si>
  <si>
    <t>25000129S</t>
  </si>
  <si>
    <t>10700527S</t>
  </si>
  <si>
    <t>10800627S</t>
  </si>
  <si>
    <t>10102526S</t>
  </si>
  <si>
    <t>10502626S</t>
  </si>
  <si>
    <t>10202726S</t>
  </si>
  <si>
    <t>10302826S</t>
  </si>
  <si>
    <t>10500828S</t>
  </si>
  <si>
    <t>10700727S</t>
  </si>
  <si>
    <t>10800827S</t>
  </si>
  <si>
    <t>10102926S</t>
  </si>
  <si>
    <t>10503026S</t>
  </si>
  <si>
    <t>10203126S</t>
  </si>
  <si>
    <t>10303226S</t>
  </si>
  <si>
    <t>10500928S</t>
  </si>
  <si>
    <t>10700927S</t>
  </si>
  <si>
    <t>10801027S</t>
  </si>
  <si>
    <t>10103326S</t>
  </si>
  <si>
    <t>10503426S</t>
  </si>
  <si>
    <t>10203526S</t>
  </si>
  <si>
    <t>10303626S</t>
  </si>
  <si>
    <t>10501028S</t>
  </si>
  <si>
    <t>10701127S</t>
  </si>
  <si>
    <t>10801227S</t>
  </si>
  <si>
    <t>10503826S</t>
  </si>
  <si>
    <t>10103726S</t>
  </si>
  <si>
    <t>10203926S</t>
  </si>
  <si>
    <t>10304026S</t>
  </si>
  <si>
    <t>10501128S</t>
  </si>
  <si>
    <t>10801427S</t>
  </si>
  <si>
    <t>10701327S</t>
  </si>
  <si>
    <t>10104126S</t>
  </si>
  <si>
    <t>10204326S</t>
  </si>
  <si>
    <t>10504226S</t>
  </si>
  <si>
    <t>10501228S</t>
  </si>
  <si>
    <t>10304426S</t>
  </si>
  <si>
    <t>10801627S</t>
  </si>
  <si>
    <t>10701527S</t>
  </si>
  <si>
    <t>10504526S</t>
  </si>
  <si>
    <t>10504626S</t>
  </si>
  <si>
    <t>10504726S</t>
  </si>
  <si>
    <t>10304826S</t>
  </si>
  <si>
    <t>10501328S</t>
  </si>
  <si>
    <t>10701727S</t>
  </si>
  <si>
    <t>10801827S</t>
  </si>
  <si>
    <t>10505026S</t>
  </si>
  <si>
    <t>10104926S</t>
  </si>
  <si>
    <t>10205126S</t>
  </si>
  <si>
    <t>10305226S</t>
  </si>
  <si>
    <t>10501428S</t>
  </si>
  <si>
    <t>10701927S</t>
  </si>
  <si>
    <t>10802627S</t>
  </si>
  <si>
    <t>10105326S</t>
  </si>
  <si>
    <t>10505426S</t>
  </si>
  <si>
    <t>10501528S</t>
  </si>
  <si>
    <t>10305626S</t>
  </si>
  <si>
    <t>10702127S</t>
  </si>
  <si>
    <t>10802227S</t>
  </si>
  <si>
    <t>10105726S</t>
  </si>
  <si>
    <t>10505826S</t>
  </si>
  <si>
    <t>10205926S</t>
  </si>
  <si>
    <t>10306026S</t>
  </si>
  <si>
    <t>10501628S</t>
  </si>
  <si>
    <t>10702327S</t>
  </si>
  <si>
    <t>10802427S</t>
  </si>
  <si>
    <t>10206226S</t>
  </si>
  <si>
    <t>10106126S</t>
  </si>
  <si>
    <t>10506326S</t>
  </si>
  <si>
    <t>10306426S</t>
  </si>
  <si>
    <t>10501728S</t>
  </si>
  <si>
    <t>10702527S</t>
  </si>
  <si>
    <t>10106526S</t>
  </si>
  <si>
    <t>10506626S</t>
  </si>
  <si>
    <t>10206726S</t>
  </si>
  <si>
    <t>10306826S</t>
  </si>
  <si>
    <t>10501828S</t>
  </si>
  <si>
    <t>10702727S</t>
  </si>
  <si>
    <t>10802827S</t>
  </si>
  <si>
    <t>10507026S</t>
  </si>
  <si>
    <t>10106926S</t>
  </si>
  <si>
    <t>10207126S</t>
  </si>
  <si>
    <t>10307226S</t>
  </si>
  <si>
    <t>10501928S</t>
  </si>
  <si>
    <t>10803027S</t>
  </si>
  <si>
    <t>10702927S</t>
  </si>
  <si>
    <t>10107326S</t>
  </si>
  <si>
    <t>10207426S</t>
  </si>
  <si>
    <t>10507526S</t>
  </si>
  <si>
    <t>10307626S</t>
  </si>
  <si>
    <t>10502028S</t>
  </si>
  <si>
    <t>10703127S</t>
  </si>
  <si>
    <t>10803227S</t>
  </si>
  <si>
    <t>10107726S</t>
  </si>
  <si>
    <t>10207826S</t>
  </si>
  <si>
    <t>10507926S</t>
  </si>
  <si>
    <t>10502128S</t>
  </si>
  <si>
    <t>10308026S</t>
  </si>
  <si>
    <t>10803427S</t>
  </si>
  <si>
    <t>10703327S</t>
  </si>
  <si>
    <t>10108126S</t>
  </si>
  <si>
    <t>10208226S</t>
  </si>
  <si>
    <t>10508326S</t>
  </si>
  <si>
    <t>10308426S</t>
  </si>
  <si>
    <t>10208526S</t>
  </si>
  <si>
    <t>10502228S</t>
  </si>
  <si>
    <t>10703527S</t>
  </si>
  <si>
    <t>10803627S</t>
  </si>
  <si>
    <t xml:space="preserve">Notların dövlət qeydiyyat nömrəsi </t>
  </si>
  <si>
    <t>State registration number of notes</t>
  </si>
  <si>
    <t>Term (day)</t>
  </si>
  <si>
    <t>Volume placed at  auction</t>
  </si>
  <si>
    <t>Volume placed at the secondary market</t>
  </si>
  <si>
    <t>average weighted</t>
  </si>
  <si>
    <t>50102216S</t>
  </si>
  <si>
    <t>50102316S</t>
  </si>
  <si>
    <t>50102416S</t>
  </si>
  <si>
    <t>50102516S</t>
  </si>
  <si>
    <t>50102616S</t>
  </si>
  <si>
    <t>50102716S</t>
  </si>
  <si>
    <t>50102816S</t>
  </si>
  <si>
    <t>50102916S</t>
  </si>
  <si>
    <t>50103016S</t>
  </si>
  <si>
    <t>50103116S</t>
  </si>
  <si>
    <t>50103216S</t>
  </si>
  <si>
    <t>50103316S</t>
  </si>
  <si>
    <t>50103416S</t>
  </si>
  <si>
    <t>50103516S</t>
  </si>
  <si>
    <t>50103616S</t>
  </si>
  <si>
    <t>50103716S</t>
  </si>
  <si>
    <t>50103816S</t>
  </si>
  <si>
    <t>50103916S</t>
  </si>
  <si>
    <t>50104016S</t>
  </si>
  <si>
    <t>50104116S</t>
  </si>
  <si>
    <t>50104216S</t>
  </si>
  <si>
    <t>50104316S</t>
  </si>
  <si>
    <t>50100118S</t>
  </si>
  <si>
    <t>50100218S</t>
  </si>
  <si>
    <t>50100318S</t>
  </si>
  <si>
    <t>50100418S</t>
  </si>
  <si>
    <t>50100518S</t>
  </si>
  <si>
    <t>50100618S</t>
  </si>
  <si>
    <t>50100718S</t>
  </si>
  <si>
    <t>50100818S</t>
  </si>
  <si>
    <t>50100918S</t>
  </si>
  <si>
    <t>50101018S</t>
  </si>
  <si>
    <t>50100119S</t>
  </si>
  <si>
    <t>50100219S</t>
  </si>
  <si>
    <t>50100319S</t>
  </si>
  <si>
    <t>50100419S</t>
  </si>
  <si>
    <t>50100519S</t>
  </si>
  <si>
    <t>50100619S</t>
  </si>
  <si>
    <t>50100719S</t>
  </si>
  <si>
    <t>50100819S</t>
  </si>
  <si>
    <t>50100919S</t>
  </si>
  <si>
    <t>50101019S</t>
  </si>
  <si>
    <t>50101119S</t>
  </si>
  <si>
    <t>50101219S</t>
  </si>
  <si>
    <t>50101319S</t>
  </si>
  <si>
    <t>50101419S</t>
  </si>
  <si>
    <t>50101519S</t>
  </si>
  <si>
    <t>50101619S</t>
  </si>
  <si>
    <t>50101719S</t>
  </si>
  <si>
    <t>50101819S</t>
  </si>
  <si>
    <t>50101919S</t>
  </si>
  <si>
    <t>50102119S</t>
  </si>
  <si>
    <t>50102219S</t>
  </si>
  <si>
    <t>50102319S</t>
  </si>
  <si>
    <t>50102419S</t>
  </si>
  <si>
    <t>50102519S</t>
  </si>
  <si>
    <t>50102619S</t>
  </si>
  <si>
    <t>50102719S</t>
  </si>
  <si>
    <t>50102819S</t>
  </si>
  <si>
    <t>50102919S</t>
  </si>
  <si>
    <t>50103019S</t>
  </si>
  <si>
    <t>50103119S</t>
  </si>
  <si>
    <t>50103219S</t>
  </si>
  <si>
    <t>50103319S</t>
  </si>
  <si>
    <t>50103419S</t>
  </si>
  <si>
    <t>50103519S</t>
  </si>
  <si>
    <t>50103619S</t>
  </si>
  <si>
    <t>50103719S</t>
  </si>
  <si>
    <t>50103819S</t>
  </si>
  <si>
    <t>50103919S</t>
  </si>
  <si>
    <t>50104019S</t>
  </si>
  <si>
    <t>50104119S</t>
  </si>
  <si>
    <t>50104219S</t>
  </si>
  <si>
    <t>50104319S</t>
  </si>
  <si>
    <t>50104419S</t>
  </si>
  <si>
    <t>50104519S</t>
  </si>
  <si>
    <t>50104619S</t>
  </si>
  <si>
    <t>50104719S</t>
  </si>
  <si>
    <t>50104819S</t>
  </si>
  <si>
    <t>50104919S</t>
  </si>
  <si>
    <t>50105019S</t>
  </si>
  <si>
    <t>50105119S</t>
  </si>
  <si>
    <t>50105219S</t>
  </si>
  <si>
    <t>50100121S</t>
  </si>
  <si>
    <t>50100221S</t>
  </si>
  <si>
    <t>50100321S</t>
  </si>
  <si>
    <t>50100421S</t>
  </si>
  <si>
    <t>50100521S</t>
  </si>
  <si>
    <t>50100621S</t>
  </si>
  <si>
    <t>50100821S</t>
  </si>
  <si>
    <t>50100921S</t>
  </si>
  <si>
    <t>50101021S</t>
  </si>
  <si>
    <t>50101121S</t>
  </si>
  <si>
    <t>50101221S</t>
  </si>
  <si>
    <t>50101321S</t>
  </si>
  <si>
    <t>50101421S</t>
  </si>
  <si>
    <t>50101521S</t>
  </si>
  <si>
    <t>50101621S</t>
  </si>
  <si>
    <t>50101721S</t>
  </si>
  <si>
    <t>50101821S</t>
  </si>
  <si>
    <t>50101921S</t>
  </si>
  <si>
    <t>50102121S</t>
  </si>
  <si>
    <t>50102221S</t>
  </si>
  <si>
    <t>50102321S</t>
  </si>
  <si>
    <t>50102421S</t>
  </si>
  <si>
    <t>50102521S</t>
  </si>
  <si>
    <t>50102621S</t>
  </si>
  <si>
    <t>50102721S</t>
  </si>
  <si>
    <t>50102821S</t>
  </si>
  <si>
    <t>50102921S</t>
  </si>
  <si>
    <t>50103021S</t>
  </si>
  <si>
    <t>50103121S</t>
  </si>
  <si>
    <t>50103221S</t>
  </si>
  <si>
    <t>50103321S</t>
  </si>
  <si>
    <t>50103421S</t>
  </si>
  <si>
    <t>50103521S</t>
  </si>
  <si>
    <t>50103621S</t>
  </si>
  <si>
    <t>50103721S</t>
  </si>
  <si>
    <t>50103821S</t>
  </si>
  <si>
    <t>50103921S</t>
  </si>
  <si>
    <t>50104021S</t>
  </si>
  <si>
    <t>50104121S</t>
  </si>
  <si>
    <t>50104321S</t>
  </si>
  <si>
    <t>50104421S</t>
  </si>
  <si>
    <t>50104521S</t>
  </si>
  <si>
    <t>50104621S</t>
  </si>
  <si>
    <t>50104721S</t>
  </si>
  <si>
    <t>50104821S</t>
  </si>
  <si>
    <t>50104921S</t>
  </si>
  <si>
    <t>50105021S</t>
  </si>
  <si>
    <t>50105121S</t>
  </si>
  <si>
    <t>50100125S</t>
  </si>
  <si>
    <t>50100225S</t>
  </si>
  <si>
    <t>50100325S</t>
  </si>
  <si>
    <t>50100425S</t>
  </si>
  <si>
    <t>50100525S</t>
  </si>
  <si>
    <t>50100625S</t>
  </si>
  <si>
    <t>50100725S</t>
  </si>
  <si>
    <t>50100825S</t>
  </si>
  <si>
    <t>50100925S</t>
  </si>
  <si>
    <t>50101025S</t>
  </si>
  <si>
    <t>50101125S</t>
  </si>
  <si>
    <t>50101225S</t>
  </si>
  <si>
    <t>50101325S</t>
  </si>
  <si>
    <t>50101425S</t>
  </si>
  <si>
    <t>50101525S</t>
  </si>
  <si>
    <t>50101625S</t>
  </si>
  <si>
    <t>50101725S</t>
  </si>
  <si>
    <t>50101825S</t>
  </si>
  <si>
    <t>50101925S</t>
  </si>
  <si>
    <t>50102125S</t>
  </si>
  <si>
    <t>50102225S</t>
  </si>
  <si>
    <t>50102325S</t>
  </si>
  <si>
    <t>50102425S</t>
  </si>
  <si>
    <t>50102525S</t>
  </si>
  <si>
    <t>50102625S</t>
  </si>
  <si>
    <t>50102725S</t>
  </si>
  <si>
    <t>50102825S</t>
  </si>
  <si>
    <t>50102925S</t>
  </si>
  <si>
    <t>50103025S</t>
  </si>
  <si>
    <t>50103125S</t>
  </si>
  <si>
    <t>50103225S</t>
  </si>
  <si>
    <t>50103325S</t>
  </si>
  <si>
    <t>50103425S</t>
  </si>
  <si>
    <t>50103525S</t>
  </si>
  <si>
    <t>50103625S</t>
  </si>
  <si>
    <t>50103725S</t>
  </si>
  <si>
    <t>50103825S</t>
  </si>
  <si>
    <t>50103925S</t>
  </si>
  <si>
    <t>50104025S</t>
  </si>
  <si>
    <t>50104125S</t>
  </si>
  <si>
    <t>50104225S</t>
  </si>
  <si>
    <t>50104325S</t>
  </si>
  <si>
    <t>50104425S</t>
  </si>
  <si>
    <t>50104525S</t>
  </si>
  <si>
    <t>50104625S</t>
  </si>
  <si>
    <t>AMB-in notları</t>
  </si>
  <si>
    <t>CBA notes</t>
  </si>
  <si>
    <t>Cədvəl 3.6. Nağd xarici valyuta ilə mübadilə əməliyyatları</t>
  </si>
  <si>
    <t xml:space="preserve">US $               </t>
  </si>
  <si>
    <t>GBP ₤</t>
  </si>
  <si>
    <t>EURO €</t>
  </si>
  <si>
    <t>Alış (min valyuta vahidi)</t>
  </si>
  <si>
    <t>Satış (min valyuta vahidi)</t>
  </si>
  <si>
    <t>Orta məzənnə, manat</t>
  </si>
  <si>
    <t xml:space="preserve">Purchase   (thousand c.u)     </t>
  </si>
  <si>
    <t xml:space="preserve">Sale (thousand c.u)     </t>
  </si>
  <si>
    <t>Average exchange rate, manat</t>
  </si>
  <si>
    <t>III rüb</t>
  </si>
  <si>
    <t>01.01.2004</t>
  </si>
  <si>
    <t>dekabr</t>
  </si>
  <si>
    <t>1,5</t>
  </si>
  <si>
    <t xml:space="preserve">Dövriyyədə olan ödəniş kartlarının ümumi sayından: </t>
  </si>
  <si>
    <t>Debet kartları</t>
  </si>
  <si>
    <t>Kredit kartları</t>
  </si>
  <si>
    <t>Sayı, min əməliyyat</t>
  </si>
  <si>
    <t>Transactions  with debit cards</t>
  </si>
  <si>
    <t>Number of transactions, thousand</t>
  </si>
  <si>
    <t>Amount of transactions, mln. manat</t>
  </si>
  <si>
    <t>ATM</t>
  </si>
  <si>
    <t>cari hesablardan</t>
  </si>
  <si>
    <t>fiziki şəxslər</t>
  </si>
  <si>
    <t>ondan: sahibkarlıqla məşğul olanlar</t>
  </si>
  <si>
    <t>hüquqi şəxslər</t>
  </si>
  <si>
    <t>cari hesablar</t>
  </si>
  <si>
    <t>depozit hesabları</t>
  </si>
  <si>
    <t xml:space="preserve">Banklar tərəfindən verilmiş ipoteka kreditləri </t>
  </si>
  <si>
    <t>Kreditin müddəti (ay)</t>
  </si>
  <si>
    <t>Faiz dərəcəsi</t>
  </si>
  <si>
    <t>Aylıq ödəniş, AZN</t>
  </si>
  <si>
    <t>Sürətli pul köçürmə sistemləri</t>
  </si>
  <si>
    <t>Banka daxil olmalar</t>
  </si>
  <si>
    <t>Bankdan kənara köçürmələr</t>
  </si>
  <si>
    <t>inflow</t>
  </si>
  <si>
    <t>outflow</t>
  </si>
  <si>
    <t>Amount per  transaction, thousand manat</t>
  </si>
  <si>
    <t>Amount per  transaction,  manat</t>
  </si>
  <si>
    <t>.</t>
  </si>
  <si>
    <t>1</t>
  </si>
  <si>
    <t>4</t>
  </si>
  <si>
    <t>6</t>
  </si>
  <si>
    <t>Bankomatlar</t>
  </si>
  <si>
    <t xml:space="preserve">o cümlədən: </t>
  </si>
  <si>
    <t xml:space="preserve">Bakıda </t>
  </si>
  <si>
    <t>Regionlarda</t>
  </si>
  <si>
    <t xml:space="preserve">o cümlədən Bakıda </t>
  </si>
  <si>
    <t xml:space="preserve">of  which: </t>
  </si>
  <si>
    <t>POS-terminals</t>
  </si>
  <si>
    <t>From total of POS-terminals</t>
  </si>
  <si>
    <t>in Baku</t>
  </si>
  <si>
    <t>in Regions</t>
  </si>
  <si>
    <t>of which: in Baku</t>
  </si>
  <si>
    <t>Remittance system</t>
  </si>
  <si>
    <t>2011</t>
  </si>
  <si>
    <t>Debet kartları ilə aparılan əməliyyatların</t>
  </si>
  <si>
    <t>Kredit kartları ilə aparılan əməliyyatların</t>
  </si>
  <si>
    <t>nağd pulun çıxarılması</t>
  </si>
  <si>
    <t xml:space="preserve">nağdsız ödənişlər </t>
  </si>
  <si>
    <t xml:space="preserve"> POS-terminallar vasitəsilə </t>
  </si>
  <si>
    <t>All payment cards in circulation</t>
  </si>
  <si>
    <t>Transactions with debit and credit cards</t>
  </si>
  <si>
    <t xml:space="preserve">  of which operations inside the country</t>
  </si>
  <si>
    <t xml:space="preserve"> of which operations inside the country</t>
  </si>
  <si>
    <t>Debit cards</t>
  </si>
  <si>
    <t>Credit cards</t>
  </si>
  <si>
    <t>cash withdrawals</t>
  </si>
  <si>
    <t>non-cash payments</t>
  </si>
  <si>
    <t xml:space="preserve">via ATM"s                      </t>
  </si>
  <si>
    <t xml:space="preserve">via ATM"s                       </t>
  </si>
  <si>
    <t>Social cards</t>
  </si>
  <si>
    <t>Others</t>
  </si>
  <si>
    <t xml:space="preserve"> həcmi, manat </t>
  </si>
  <si>
    <t>monthly average operations per 1000 payment card</t>
  </si>
  <si>
    <t>monthly average operations per a ATM</t>
  </si>
  <si>
    <t>monthly average volume of a operations per a ATM</t>
  </si>
  <si>
    <t>volume, thousand manat</t>
  </si>
  <si>
    <t>Overdraft</t>
  </si>
  <si>
    <t xml:space="preserve">Letter of credit </t>
  </si>
  <si>
    <t>Guarantees</t>
  </si>
  <si>
    <t>Factoring operations</t>
  </si>
  <si>
    <t>01.03.2009 - 01.01.2011</t>
  </si>
  <si>
    <t>Hindistan rupisi</t>
  </si>
  <si>
    <t>Səudiyyə Ərəbistanı rialı</t>
  </si>
  <si>
    <t>Cənubi Korea vonu</t>
  </si>
  <si>
    <t>Yeni Zelandiya dolları</t>
  </si>
  <si>
    <t>Indian rupee</t>
  </si>
  <si>
    <t>Saudi riyal</t>
  </si>
  <si>
    <t>Korean won</t>
  </si>
  <si>
    <t>New Zealand dollar</t>
  </si>
  <si>
    <t>I  rüb</t>
  </si>
  <si>
    <t>II  rüb</t>
  </si>
  <si>
    <t>IV rüb</t>
  </si>
  <si>
    <t>İxrac (FOB)</t>
  </si>
  <si>
    <t>İdxal (FOB)</t>
  </si>
  <si>
    <t>01.01.2003</t>
  </si>
  <si>
    <t>01.01.2005</t>
  </si>
  <si>
    <t>01.01.2006</t>
  </si>
  <si>
    <t>10208726S</t>
  </si>
  <si>
    <t>10508826S</t>
  </si>
  <si>
    <t>10108626S</t>
  </si>
  <si>
    <t>10308926S</t>
  </si>
  <si>
    <t>10502328S</t>
  </si>
  <si>
    <t>10703727S</t>
  </si>
  <si>
    <t>10803827S</t>
  </si>
  <si>
    <t>10109026S</t>
  </si>
  <si>
    <t>10209126S</t>
  </si>
  <si>
    <t>10509226S</t>
  </si>
  <si>
    <t>10309326S</t>
  </si>
  <si>
    <t>10502428S</t>
  </si>
  <si>
    <t>10703927S</t>
  </si>
  <si>
    <t>10804027S</t>
  </si>
  <si>
    <t>10100131S</t>
  </si>
  <si>
    <t>10200231S</t>
  </si>
  <si>
    <t>10300331S</t>
  </si>
  <si>
    <t>10500133S</t>
  </si>
  <si>
    <t>10200431S</t>
  </si>
  <si>
    <t>10100531S</t>
  </si>
  <si>
    <t>10300631S</t>
  </si>
  <si>
    <t>10800132S</t>
  </si>
  <si>
    <t>10500233S</t>
  </si>
  <si>
    <t>10100731S</t>
  </si>
  <si>
    <t>10200831S</t>
  </si>
  <si>
    <t>10500333S</t>
  </si>
  <si>
    <t>10300931S</t>
  </si>
  <si>
    <t>10201131S</t>
  </si>
  <si>
    <t>10500433S</t>
  </si>
  <si>
    <t>10301231S</t>
  </si>
  <si>
    <t>10101331S</t>
  </si>
  <si>
    <t>10201431S</t>
  </si>
  <si>
    <t>10301531S</t>
  </si>
  <si>
    <t>10500533S</t>
  </si>
  <si>
    <t>10700232S</t>
  </si>
  <si>
    <t>10101631S</t>
  </si>
  <si>
    <t>10301831S</t>
  </si>
  <si>
    <t>10500633S</t>
  </si>
  <si>
    <t>10800332S</t>
  </si>
  <si>
    <t>50104221S</t>
  </si>
  <si>
    <t>50104725S</t>
  </si>
  <si>
    <t>50104825S</t>
  </si>
  <si>
    <t>50104925S</t>
  </si>
  <si>
    <t>50105025S</t>
  </si>
  <si>
    <t>50105125S</t>
  </si>
  <si>
    <t>50100130S</t>
  </si>
  <si>
    <t>50100230S</t>
  </si>
  <si>
    <t>50100330S</t>
  </si>
  <si>
    <t>50100430S</t>
  </si>
  <si>
    <t>50100530S</t>
  </si>
  <si>
    <t>50100630S</t>
  </si>
  <si>
    <t>50100730S</t>
  </si>
  <si>
    <t>50100830S</t>
  </si>
  <si>
    <t>50100930S</t>
  </si>
  <si>
    <t>50101030S</t>
  </si>
  <si>
    <t>50101130S</t>
  </si>
  <si>
    <t>50101230S</t>
  </si>
  <si>
    <t>50101330S</t>
  </si>
  <si>
    <t>50101430S</t>
  </si>
  <si>
    <t>50101530S</t>
  </si>
  <si>
    <t>50101630S</t>
  </si>
  <si>
    <t>Salary cards</t>
  </si>
  <si>
    <t>Sosial kartlar</t>
  </si>
  <si>
    <t>Digər</t>
  </si>
  <si>
    <t>Hüquqi şəxslərdən cəlb edilmiş vəsaitlər üzrə</t>
  </si>
  <si>
    <t xml:space="preserve">  - Tələb olunanadək</t>
  </si>
  <si>
    <t xml:space="preserve">  - 1 aydan - 1 ilədək</t>
  </si>
  <si>
    <t xml:space="preserve">  - 1 ildən yuxarı</t>
  </si>
  <si>
    <t xml:space="preserve">  - 1 ildən - 3 ilədək</t>
  </si>
  <si>
    <t xml:space="preserve">  - 3 ildən yuxarı</t>
  </si>
  <si>
    <t>xarici valyutada</t>
  </si>
  <si>
    <t>Debet və kredit  kartları vasitəsilə aparılan əməliyyatların</t>
  </si>
  <si>
    <t>orta % dərəcəsi</t>
  </si>
  <si>
    <t>sayı, əməliyyat</t>
  </si>
  <si>
    <t xml:space="preserve">sayı, əməliyyat </t>
  </si>
  <si>
    <t>Geniş mənada pul kütləsi (M3)</t>
  </si>
  <si>
    <t>M2 pul aqreqatı</t>
  </si>
  <si>
    <t xml:space="preserve">           - Daxilolmalar</t>
  </si>
  <si>
    <t xml:space="preserve">Net errors and omissions </t>
  </si>
  <si>
    <t xml:space="preserve">            - Receipts         </t>
  </si>
  <si>
    <t xml:space="preserve">            - Payments</t>
  </si>
  <si>
    <t>Total Loans</t>
  </si>
  <si>
    <t>Long-term loans</t>
  </si>
  <si>
    <t>Short-term loans</t>
  </si>
  <si>
    <t>Total loans</t>
  </si>
  <si>
    <t>Non-bank credit institutions</t>
  </si>
  <si>
    <t>overdue loans</t>
  </si>
  <si>
    <t>Loans to real sector</t>
  </si>
  <si>
    <t>Loans to financial sector</t>
  </si>
  <si>
    <t>Average indicators of the mortgage loans of AMF</t>
  </si>
  <si>
    <t>Terms (month)</t>
  </si>
  <si>
    <t>Interest rate</t>
  </si>
  <si>
    <t>Monthly payment, AZN</t>
  </si>
  <si>
    <t>min manat, thousand manats</t>
  </si>
  <si>
    <t>Regionların adı</t>
  </si>
  <si>
    <t>sərbəst dönərli valyutada (SDV)</t>
  </si>
  <si>
    <t>average interest rate</t>
  </si>
  <si>
    <t>national currency</t>
  </si>
  <si>
    <t>amount</t>
  </si>
  <si>
    <t>Non-financial corporations</t>
  </si>
  <si>
    <t>milli valyuta ilə</t>
  </si>
  <si>
    <t>Demand deposits</t>
  </si>
  <si>
    <t>Time deposits</t>
  </si>
  <si>
    <t>On deposits of households</t>
  </si>
  <si>
    <t>On loans</t>
  </si>
  <si>
    <t>On interbank loans</t>
  </si>
  <si>
    <t>Financial corporations</t>
  </si>
  <si>
    <t>individuals</t>
  </si>
  <si>
    <t>Number of payment cards, thousand (end of period)</t>
  </si>
  <si>
    <t xml:space="preserve">Bir terminala düşən əhalinin sayı, min nəfər </t>
  </si>
  <si>
    <t>volume, manat</t>
  </si>
  <si>
    <t>of which :</t>
  </si>
  <si>
    <t>of which: engaged in entrepreneurial activity</t>
  </si>
  <si>
    <t>Legal entities</t>
  </si>
  <si>
    <t>deposit accounts</t>
  </si>
  <si>
    <t>transaction account</t>
  </si>
  <si>
    <t>from transaction accounts</t>
  </si>
  <si>
    <t>Total loans in national currency</t>
  </si>
  <si>
    <t>Total loans in foreign currency</t>
  </si>
  <si>
    <t>On deposits of legal entities</t>
  </si>
  <si>
    <t>Məbləği, mln.manat</t>
  </si>
  <si>
    <t>MDB dövlətlərindən</t>
  </si>
  <si>
    <t>Region</t>
  </si>
  <si>
    <r>
      <t xml:space="preserve">o cümlədən: / </t>
    </r>
    <r>
      <rPr>
        <i/>
        <sz val="12"/>
        <rFont val="Times New Roman"/>
        <family val="1"/>
        <charset val="162"/>
      </rPr>
      <t>of which:</t>
    </r>
  </si>
  <si>
    <t xml:space="preserve">Geniş pul kütləsi </t>
  </si>
  <si>
    <t>Geniş pul kütləsi, manatla</t>
  </si>
  <si>
    <t>Manatın dövretmə sürəti</t>
  </si>
  <si>
    <t xml:space="preserve">Velocity of money     </t>
  </si>
  <si>
    <t>10202031S</t>
  </si>
  <si>
    <t>10302231S</t>
  </si>
  <si>
    <t>10500733S</t>
  </si>
  <si>
    <t>10102331S</t>
  </si>
  <si>
    <t>10202431S</t>
  </si>
  <si>
    <t>10302531S</t>
  </si>
  <si>
    <t>10800432S</t>
  </si>
  <si>
    <t>10500833S</t>
  </si>
  <si>
    <t>10102631S</t>
  </si>
  <si>
    <t>10202731S</t>
  </si>
  <si>
    <t>10302831S</t>
  </si>
  <si>
    <t>10500933S</t>
  </si>
  <si>
    <t>10700532S</t>
  </si>
  <si>
    <t>10102931S</t>
  </si>
  <si>
    <t>10203031S</t>
  </si>
  <si>
    <t>10303131S</t>
  </si>
  <si>
    <t>10501033S</t>
  </si>
  <si>
    <t>10800632S</t>
  </si>
  <si>
    <t>01.01.2011- 01.05.2011</t>
  </si>
  <si>
    <t xml:space="preserve">ABŞ dolları           </t>
  </si>
  <si>
    <t>Manatla tələb edilənədək depozitlər*</t>
  </si>
  <si>
    <t>Demand deposits in manat*</t>
  </si>
  <si>
    <t>Time deposits in manat*</t>
  </si>
  <si>
    <t>Manatla müddətli depozitlər*</t>
  </si>
  <si>
    <t>Deposits in hard currency*</t>
  </si>
  <si>
    <t>SDV-də depozitlər*</t>
  </si>
  <si>
    <t>10501233S</t>
  </si>
  <si>
    <t>10800732S</t>
  </si>
  <si>
    <t>10103231S</t>
  </si>
  <si>
    <t>10203331S</t>
  </si>
  <si>
    <t>10503431S</t>
  </si>
  <si>
    <t>10303531S</t>
  </si>
  <si>
    <t>10501133S</t>
  </si>
  <si>
    <t>10103631S</t>
  </si>
  <si>
    <t>10203731S</t>
  </si>
  <si>
    <t>10303831S</t>
  </si>
  <si>
    <t>50102630S</t>
  </si>
  <si>
    <t>50102730S</t>
  </si>
  <si>
    <t>50102830S</t>
  </si>
  <si>
    <t>50102930S</t>
  </si>
  <si>
    <t>Maliyyə təşkilatları</t>
  </si>
  <si>
    <t>01.05.2011-01.07.2011</t>
  </si>
  <si>
    <t xml:space="preserve">həcmi,  manat </t>
  </si>
  <si>
    <t>50103030S</t>
  </si>
  <si>
    <t>50103130S</t>
  </si>
  <si>
    <t>50103230S</t>
  </si>
  <si>
    <t>50103330S</t>
  </si>
  <si>
    <t>10501333S</t>
  </si>
  <si>
    <t>10204331S</t>
  </si>
  <si>
    <t>10304431S</t>
  </si>
  <si>
    <t>10501433S</t>
  </si>
  <si>
    <t>50103430S</t>
  </si>
  <si>
    <t>50103530S</t>
  </si>
  <si>
    <t>50103630S</t>
  </si>
  <si>
    <t>50103730S</t>
  </si>
  <si>
    <t>50103830S</t>
  </si>
  <si>
    <t>10501533S</t>
  </si>
  <si>
    <t>10501633S</t>
  </si>
  <si>
    <t>355.1</t>
  </si>
  <si>
    <t>number of people per terminal, thousand person</t>
  </si>
  <si>
    <t>50103930S</t>
  </si>
  <si>
    <t>50104030S</t>
  </si>
  <si>
    <t>50104130S</t>
  </si>
  <si>
    <t>50104230S</t>
  </si>
  <si>
    <t>10501733S</t>
  </si>
  <si>
    <t>10701132S</t>
  </si>
  <si>
    <t>10501833S</t>
  </si>
  <si>
    <t>10801232S</t>
  </si>
  <si>
    <t>III  rüb</t>
  </si>
  <si>
    <t>10105831S</t>
  </si>
  <si>
    <t>10205931S</t>
  </si>
  <si>
    <t>10506031S</t>
  </si>
  <si>
    <t>10306131S</t>
  </si>
  <si>
    <t>10501933S</t>
  </si>
  <si>
    <t>10106231S</t>
  </si>
  <si>
    <t>10206331S</t>
  </si>
  <si>
    <t>10306431S</t>
  </si>
  <si>
    <t>10502033S</t>
  </si>
  <si>
    <t>10801332S</t>
  </si>
  <si>
    <t>50104330S</t>
  </si>
  <si>
    <t>50104430S</t>
  </si>
  <si>
    <t>50104530S</t>
  </si>
  <si>
    <t>50104630S</t>
  </si>
  <si>
    <t>50104730S</t>
  </si>
  <si>
    <t>50104830S</t>
  </si>
  <si>
    <t>50104930S</t>
  </si>
  <si>
    <t>50105030S</t>
  </si>
  <si>
    <t>50105130S</t>
  </si>
  <si>
    <t>10502133S</t>
  </si>
  <si>
    <t>10106831S</t>
  </si>
  <si>
    <t>10206931S</t>
  </si>
  <si>
    <t>10502233S</t>
  </si>
  <si>
    <t>2012</t>
  </si>
  <si>
    <t>50100134S</t>
  </si>
  <si>
    <t>50100234S</t>
  </si>
  <si>
    <t>50100334S</t>
  </si>
  <si>
    <t>50100434S</t>
  </si>
  <si>
    <t>50100534S</t>
  </si>
  <si>
    <t>50100634S</t>
  </si>
  <si>
    <t>50100734S</t>
  </si>
  <si>
    <t>50100834S</t>
  </si>
  <si>
    <t>50100934S</t>
  </si>
  <si>
    <t xml:space="preserve">           - Ödənişlər</t>
  </si>
  <si>
    <t>50101034S</t>
  </si>
  <si>
    <t>50101134S</t>
  </si>
  <si>
    <t>50101234S</t>
  </si>
  <si>
    <t>50101334S</t>
  </si>
  <si>
    <t>50101434S</t>
  </si>
  <si>
    <t>50101534S</t>
  </si>
  <si>
    <t>50101634S</t>
  </si>
  <si>
    <t>50101734S</t>
  </si>
  <si>
    <t>Manatla depozitlər**</t>
  </si>
  <si>
    <t>Xarici valyutada depozitlər**</t>
  </si>
  <si>
    <t>50101834S</t>
  </si>
  <si>
    <t>50101934S</t>
  </si>
  <si>
    <t>50102034S</t>
  </si>
  <si>
    <t>50102134S</t>
  </si>
  <si>
    <t>50102234S</t>
  </si>
  <si>
    <t>50102334S</t>
  </si>
  <si>
    <t>50102434S</t>
  </si>
  <si>
    <t>50102534S</t>
  </si>
  <si>
    <t>50102634S</t>
  </si>
  <si>
    <t>AZ0102002364</t>
  </si>
  <si>
    <t>AZ0101001367</t>
  </si>
  <si>
    <t>AZ0204001371</t>
  </si>
  <si>
    <t>AZ0101008362</t>
  </si>
  <si>
    <t>AZ0104009367</t>
  </si>
  <si>
    <t>AZ0102010367</t>
  </si>
  <si>
    <t>AZ0106003350</t>
  </si>
  <si>
    <t>AZ0204003377</t>
  </si>
  <si>
    <t>AZ0101011366</t>
  </si>
  <si>
    <t>AZ0101012364</t>
  </si>
  <si>
    <t>AZ0102013361</t>
  </si>
  <si>
    <t>AZ0204004375</t>
  </si>
  <si>
    <t>AZ0106004358</t>
  </si>
  <si>
    <t>50102834S</t>
  </si>
  <si>
    <t>50102934S</t>
  </si>
  <si>
    <t>50103034S</t>
  </si>
  <si>
    <t>50103134S</t>
  </si>
  <si>
    <t>50103234S</t>
  </si>
  <si>
    <t>50103334S</t>
  </si>
  <si>
    <t>50103434S</t>
  </si>
  <si>
    <t>50103534S</t>
  </si>
  <si>
    <t>AZ0104016362</t>
  </si>
  <si>
    <t>AZ0101015367</t>
  </si>
  <si>
    <t>AZ0101014360</t>
  </si>
  <si>
    <t>AZ0102017362</t>
  </si>
  <si>
    <t>AZ0204005372</t>
  </si>
  <si>
    <t>AZ0105005356</t>
  </si>
  <si>
    <t>AZ0101018361</t>
  </si>
  <si>
    <t>AZ0101019369</t>
  </si>
  <si>
    <t>AZ0204006370</t>
  </si>
  <si>
    <t>AZ0106006353</t>
  </si>
  <si>
    <t>50103634S</t>
  </si>
  <si>
    <t>50103734S</t>
  </si>
  <si>
    <t>50103834S</t>
  </si>
  <si>
    <t>50103934S</t>
  </si>
  <si>
    <t>AZ0101021365</t>
  </si>
  <si>
    <t>AZ0104023368</t>
  </si>
  <si>
    <t>AZ0101022363</t>
  </si>
  <si>
    <t>AZ0102024368</t>
  </si>
  <si>
    <t>AZ0204007378</t>
  </si>
  <si>
    <t>AZ0106007351</t>
  </si>
  <si>
    <t>AZ0101025366</t>
  </si>
  <si>
    <t>AZ0101026364</t>
  </si>
  <si>
    <t>AZ0102027361</t>
  </si>
  <si>
    <t>AZ0204008376</t>
  </si>
  <si>
    <t>AZ0106008359</t>
  </si>
  <si>
    <t>50104034S</t>
  </si>
  <si>
    <t>50104134S</t>
  </si>
  <si>
    <t>50104234S</t>
  </si>
  <si>
    <t>50104334S</t>
  </si>
  <si>
    <t>50104434S</t>
  </si>
  <si>
    <t>AZ0101028360</t>
  </si>
  <si>
    <t>AZ0101029368</t>
  </si>
  <si>
    <t>AZ0102030365</t>
  </si>
  <si>
    <t>AZ0105009358</t>
  </si>
  <si>
    <t>AZ0204009374</t>
  </si>
  <si>
    <t>AZ0101031364</t>
  </si>
  <si>
    <t>AZ0101032362</t>
  </si>
  <si>
    <t>AZ0102033369</t>
  </si>
  <si>
    <t>AZ0204010372</t>
  </si>
  <si>
    <t>AZ0106010355</t>
  </si>
  <si>
    <t>50104534S</t>
  </si>
  <si>
    <t>50104634S</t>
  </si>
  <si>
    <t>50104734S</t>
  </si>
  <si>
    <t>50104834S</t>
  </si>
  <si>
    <t>AZ0101034368</t>
  </si>
  <si>
    <t>AZ0104036360</t>
  </si>
  <si>
    <t>AZ0101035365</t>
  </si>
  <si>
    <t>AZ0102037360</t>
  </si>
  <si>
    <t>AZ0204011370</t>
  </si>
  <si>
    <t>AZ0106012351</t>
  </si>
  <si>
    <t>AZ0105011354</t>
  </si>
  <si>
    <t>AZ0101038369</t>
  </si>
  <si>
    <t>AZ0101039367</t>
  </si>
  <si>
    <t>AZ0102040364</t>
  </si>
  <si>
    <t>AZ0106013359</t>
  </si>
  <si>
    <t>AZ0204012378</t>
  </si>
  <si>
    <t>50104934S</t>
  </si>
  <si>
    <t>50105034S</t>
  </si>
  <si>
    <t>50105134S</t>
  </si>
  <si>
    <t>50105234S</t>
  </si>
  <si>
    <t>AZ0101041363</t>
  </si>
  <si>
    <t>AZ0101042361</t>
  </si>
  <si>
    <t>AZ0204013376</t>
  </si>
  <si>
    <t>AZ0105014358</t>
  </si>
  <si>
    <t>AZ0101045364</t>
  </si>
  <si>
    <t>AZ0106015351</t>
  </si>
  <si>
    <t>AZ0204014374</t>
  </si>
  <si>
    <t>AZ0102046361</t>
  </si>
  <si>
    <t>01.07.2011-31.01.2012</t>
  </si>
  <si>
    <t xml:space="preserve"> manat</t>
  </si>
  <si>
    <t>manat</t>
  </si>
  <si>
    <t>2013</t>
  </si>
  <si>
    <t>50100138S</t>
  </si>
  <si>
    <t>50100238S</t>
  </si>
  <si>
    <t>50100338S</t>
  </si>
  <si>
    <t>50100438S</t>
  </si>
  <si>
    <t>50100538S</t>
  </si>
  <si>
    <t>50100638S</t>
  </si>
  <si>
    <t>50100738S</t>
  </si>
  <si>
    <t>50100838S</t>
  </si>
  <si>
    <t>50100938S</t>
  </si>
  <si>
    <t>50101038S</t>
  </si>
  <si>
    <t>50101138S</t>
  </si>
  <si>
    <t>50101238S</t>
  </si>
  <si>
    <t>50101338S</t>
  </si>
  <si>
    <t>50101438S</t>
  </si>
  <si>
    <t>50101538S</t>
  </si>
  <si>
    <t>50101638S</t>
  </si>
  <si>
    <t>AZ0204001413</t>
  </si>
  <si>
    <t>AZ0105001405</t>
  </si>
  <si>
    <t>AZ0106002402</t>
  </si>
  <si>
    <t>AZ0102003396</t>
  </si>
  <si>
    <t>AZ0102006399</t>
  </si>
  <si>
    <t>AZ0101005392</t>
  </si>
  <si>
    <t>AZ0104007395</t>
  </si>
  <si>
    <t>AZ0204002411</t>
  </si>
  <si>
    <t>AZ0102008395</t>
  </si>
  <si>
    <t>AZ0105003401</t>
  </si>
  <si>
    <t>AZ0106004408</t>
  </si>
  <si>
    <t>AZ0101009394</t>
  </si>
  <si>
    <t>AZ0102010391</t>
  </si>
  <si>
    <t>AZ0104011397</t>
  </si>
  <si>
    <t>AZ0106006403</t>
  </si>
  <si>
    <t>AZ0105005406</t>
  </si>
  <si>
    <t>AZ0204003419</t>
  </si>
  <si>
    <t>AZ0102012397</t>
  </si>
  <si>
    <t>50101738S</t>
  </si>
  <si>
    <t>50101838S</t>
  </si>
  <si>
    <t>50101938S</t>
  </si>
  <si>
    <t>50102038S</t>
  </si>
  <si>
    <t>50102138S</t>
  </si>
  <si>
    <t>RI, 2013 QI, 2013</t>
  </si>
  <si>
    <t>Kapital hesabı</t>
  </si>
  <si>
    <t xml:space="preserve">      Capital account</t>
  </si>
  <si>
    <t>Maliyyə hesabı</t>
  </si>
  <si>
    <t>Financial account</t>
  </si>
  <si>
    <r>
      <t xml:space="preserve">   </t>
    </r>
    <r>
      <rPr>
        <i/>
        <sz val="10"/>
        <color indexed="8"/>
        <rFont val="Times New Roman"/>
        <family val="1"/>
      </rPr>
      <t>Xalis maliyyə aktivləri  ("+" artım; "-"  azalma)</t>
    </r>
  </si>
  <si>
    <t xml:space="preserve">   Net acquisition of financial assets("+" increase; "-" decrease)                                                </t>
  </si>
  <si>
    <t xml:space="preserve">      o cümlədən: </t>
  </si>
  <si>
    <t xml:space="preserve">     of which :</t>
  </si>
  <si>
    <t xml:space="preserve">      - xaricə yönəldilmiş birbaşa investisiyalar</t>
  </si>
  <si>
    <t xml:space="preserve">    - direct investment abroad</t>
  </si>
  <si>
    <r>
      <t xml:space="preserve">      </t>
    </r>
    <r>
      <rPr>
        <b/>
        <sz val="10"/>
        <color indexed="8"/>
        <rFont val="Times New Roman"/>
        <family val="1"/>
      </rPr>
      <t>- portfel  və digər  investisiyalar</t>
    </r>
  </si>
  <si>
    <t xml:space="preserve">    - portfolio and other investments</t>
  </si>
  <si>
    <t xml:space="preserve">   Xalis maliyyə öhdəlikləri("+" artım; "-"  azalma)</t>
  </si>
  <si>
    <t xml:space="preserve">   Net  incurrence of liabilities ("+" increase; "-" decrease)</t>
  </si>
  <si>
    <t xml:space="preserve">     o cümlədən: </t>
  </si>
  <si>
    <t xml:space="preserve">     - Azərbaycana cəlb olunmuş birbaşa investisiyalar</t>
  </si>
  <si>
    <t xml:space="preserve">     - Direct investment in Azerbaijan</t>
  </si>
  <si>
    <t xml:space="preserve">     - Cəlb olunmuş investisiyaların repatriasiyası  </t>
  </si>
  <si>
    <t xml:space="preserve">     - Repatriation of investments</t>
  </si>
  <si>
    <t xml:space="preserve">      - Neft bonusu </t>
  </si>
  <si>
    <t xml:space="preserve">     - Oil bonus</t>
  </si>
  <si>
    <t xml:space="preserve">      - Portfel  və digər  investisiyalar</t>
  </si>
  <si>
    <t xml:space="preserve">     - Portfolio and other investments</t>
  </si>
  <si>
    <t>Ehtiyat aktivlərinin dəyişməsi,                                      ("+" artım; "-"  azalma)</t>
  </si>
  <si>
    <t>Changes in reserve assets  ("+" increase; "-" decrease)</t>
  </si>
  <si>
    <t>RI, 2012     QI, 2012</t>
  </si>
  <si>
    <t xml:space="preserve">      İlkin gəlirlər</t>
  </si>
  <si>
    <t xml:space="preserve">      Primary income</t>
  </si>
  <si>
    <t xml:space="preserve">     Təkrar gəlirlər</t>
  </si>
  <si>
    <t xml:space="preserve">      Secondary income</t>
  </si>
  <si>
    <t>AZ0101013396</t>
  </si>
  <si>
    <t>AZ0102014393</t>
  </si>
  <si>
    <t>AZ0104015398</t>
  </si>
  <si>
    <t>AZ0102016398</t>
  </si>
  <si>
    <t>AZ0204004417</t>
  </si>
  <si>
    <t>AZ0106008409</t>
  </si>
  <si>
    <t>AZ0105007402</t>
  </si>
  <si>
    <t>AZ0101017397</t>
  </si>
  <si>
    <t>AZ0102018394</t>
  </si>
  <si>
    <t>AZ0104019390</t>
  </si>
  <si>
    <t>AZ0204005414</t>
  </si>
  <si>
    <t>AZ0102020390</t>
  </si>
  <si>
    <t>AZ0106010405</t>
  </si>
  <si>
    <t>AZ0105009408</t>
  </si>
  <si>
    <t>50102238S</t>
  </si>
  <si>
    <t>50102338S</t>
  </si>
  <si>
    <t>50102438S</t>
  </si>
  <si>
    <t>50102538S</t>
  </si>
  <si>
    <t>50102638S</t>
  </si>
  <si>
    <t>50102738S</t>
  </si>
  <si>
    <t>50102838S</t>
  </si>
  <si>
    <t>50102938S</t>
  </si>
  <si>
    <t>50103038S</t>
  </si>
  <si>
    <t>AZ0104023392</t>
  </si>
  <si>
    <t>AZ0106012401</t>
  </si>
  <si>
    <t>AZ0104027393</t>
  </si>
  <si>
    <t>AZ0106014407</t>
  </si>
  <si>
    <t>50103138S</t>
  </si>
  <si>
    <t>50103238S</t>
  </si>
  <si>
    <t>50103338S</t>
  </si>
  <si>
    <t>50103438S</t>
  </si>
  <si>
    <t xml:space="preserve">RII,2013  QII,2013    </t>
  </si>
  <si>
    <t xml:space="preserve">RII,2012  QII,2012    </t>
  </si>
  <si>
    <t>AZ0106016402</t>
  </si>
  <si>
    <t>AZ0101037395</t>
  </si>
  <si>
    <t>AZ0102038392</t>
  </si>
  <si>
    <t>AZ0104039398</t>
  </si>
  <si>
    <t>AZ0204010414</t>
  </si>
  <si>
    <t>AZ0102040398</t>
  </si>
  <si>
    <t>AZ0106020404</t>
  </si>
  <si>
    <t>AZ0105019407</t>
  </si>
  <si>
    <t>AZ0101041397</t>
  </si>
  <si>
    <t>AZ0102042394</t>
  </si>
  <si>
    <t>AZ0104043390</t>
  </si>
  <si>
    <t>AZ0204011412</t>
  </si>
  <si>
    <t>AZ0102044390</t>
  </si>
  <si>
    <t>50103538S</t>
  </si>
  <si>
    <t>50103638S</t>
  </si>
  <si>
    <t>50103738S</t>
  </si>
  <si>
    <t>50103838S</t>
  </si>
  <si>
    <t>13 089.9</t>
  </si>
  <si>
    <t>AZ0102048391</t>
  </si>
  <si>
    <t>AZ0204012410</t>
  </si>
  <si>
    <t>AZ0105023409</t>
  </si>
  <si>
    <t>AZ0106024406</t>
  </si>
  <si>
    <t>AZ0104051393</t>
  </si>
  <si>
    <t>AZ0101049390</t>
  </si>
  <si>
    <t>AZ0102050397</t>
  </si>
  <si>
    <t>AZ0102052393</t>
  </si>
  <si>
    <t>AZ0204013418</t>
  </si>
  <si>
    <t>AZ0105025404</t>
  </si>
  <si>
    <t>AZ0106026401</t>
  </si>
  <si>
    <t>50103938S</t>
  </si>
  <si>
    <t>50104038S</t>
  </si>
  <si>
    <t>50104138S</t>
  </si>
  <si>
    <t>50104238S</t>
  </si>
  <si>
    <t>50104338S</t>
  </si>
  <si>
    <t>RI, 2001    QI, 2001</t>
  </si>
  <si>
    <t>RII, 2001     QII, 2001</t>
  </si>
  <si>
    <t>RIII, 2001     QIII, 2001</t>
  </si>
  <si>
    <t>RIV, 2001     QIV, 2001</t>
  </si>
  <si>
    <t>RI, 2002    QI, 2002</t>
  </si>
  <si>
    <t>RII, 2002     QII, 2002</t>
  </si>
  <si>
    <t>RIII, 2002     QIII, 2002</t>
  </si>
  <si>
    <t>RIV, 2002     QIV, 2002</t>
  </si>
  <si>
    <t>RI, 2003    QI, 2003</t>
  </si>
  <si>
    <t>RII, 2003     QII, 2003</t>
  </si>
  <si>
    <t>RIII, 2003     QIII, 2003</t>
  </si>
  <si>
    <t>RIV, 2003     QIV, 2003</t>
  </si>
  <si>
    <t>RI, 2004    QI, 2004</t>
  </si>
  <si>
    <t>RIV, 2004     QIV, 2004</t>
  </si>
  <si>
    <t>RI, 2005    QI, 2005</t>
  </si>
  <si>
    <t>RI, 2006    QI, 2006</t>
  </si>
  <si>
    <t>RIV, 2006     QIV, 2006</t>
  </si>
  <si>
    <t>RI, 2007    QI, 2007</t>
  </si>
  <si>
    <t>RII, 2007     QII, 2007</t>
  </si>
  <si>
    <t>RIII, 2007     QIII, 2007</t>
  </si>
  <si>
    <t>RIV, 2007     QIV, 2007</t>
  </si>
  <si>
    <t>RI, 2008    QI, 2008</t>
  </si>
  <si>
    <t>RII, 2008     QII, 2008</t>
  </si>
  <si>
    <t>RIII, 2008     QIII, 2008</t>
  </si>
  <si>
    <t>RIV, 2008     QIV, 2008</t>
  </si>
  <si>
    <t>RI, 2009    QI, 2009</t>
  </si>
  <si>
    <t>RII, 2009     QII, 2009</t>
  </si>
  <si>
    <t>RIII, 2009     QIII, 2009</t>
  </si>
  <si>
    <t>RIV, 2009     QIV, 2009</t>
  </si>
  <si>
    <t>RI, 2010    QI, 2010</t>
  </si>
  <si>
    <t>RII, 2010     QII, 2010</t>
  </si>
  <si>
    <t>RIII, 2010     QIII, 2010</t>
  </si>
  <si>
    <t>RIV, 2010     QIV, 2010</t>
  </si>
  <si>
    <t>RI, 2011     QI, 2011</t>
  </si>
  <si>
    <t>RII, 2011     QII, 2011</t>
  </si>
  <si>
    <t>RIII, 2011     QIII, 2011</t>
  </si>
  <si>
    <t>RIV, 2011     QIV, 2011</t>
  </si>
  <si>
    <t>RIII,2012      QIII,2012</t>
  </si>
  <si>
    <t>RIV,2012      QIV,2012</t>
  </si>
  <si>
    <t xml:space="preserve">RIII,2013  QIII,2013    </t>
  </si>
  <si>
    <t>AZ0102054399</t>
  </si>
  <si>
    <t>AZ0101053392</t>
  </si>
  <si>
    <t>AZ0104055394</t>
  </si>
  <si>
    <t>AZ0204014416</t>
  </si>
  <si>
    <t>AZ0102056394</t>
  </si>
  <si>
    <t>AZ0105027400</t>
  </si>
  <si>
    <t>AZ0106028407</t>
  </si>
  <si>
    <t>AZ0102058390</t>
  </si>
  <si>
    <t>AZ0101057393</t>
  </si>
  <si>
    <t>AZ0104059396</t>
  </si>
  <si>
    <t>AZ0102060396</t>
  </si>
  <si>
    <t>AZ0204015413</t>
  </si>
  <si>
    <t>AZ0106030403</t>
  </si>
  <si>
    <t>AZ0105029406</t>
  </si>
  <si>
    <t>50104438S</t>
  </si>
  <si>
    <t>50104538S</t>
  </si>
  <si>
    <t>50104638S</t>
  </si>
  <si>
    <t>50104738S</t>
  </si>
  <si>
    <t>AZ0104063398</t>
  </si>
  <si>
    <t>AZ0204016411</t>
  </si>
  <si>
    <t>AZ0102064398</t>
  </si>
  <si>
    <t>AZ0105031402</t>
  </si>
  <si>
    <t>AZ0106032409</t>
  </si>
  <si>
    <t>AZ0101065396</t>
  </si>
  <si>
    <t>AZ0102066393</t>
  </si>
  <si>
    <t>AZ0104067399</t>
  </si>
  <si>
    <t>AZ0204017419</t>
  </si>
  <si>
    <t>AZ0106034405</t>
  </si>
  <si>
    <t>AZ0105033408</t>
  </si>
  <si>
    <t>50104838S</t>
  </si>
  <si>
    <t>50104938S</t>
  </si>
  <si>
    <t>50105038S</t>
  </si>
  <si>
    <t>50105138S</t>
  </si>
  <si>
    <t>2014</t>
  </si>
  <si>
    <t>Qeyri-neft ÜDM*</t>
  </si>
  <si>
    <t>50100142S</t>
  </si>
  <si>
    <t>50100242S</t>
  </si>
  <si>
    <t>50100342S</t>
  </si>
  <si>
    <t>50100442S</t>
  </si>
  <si>
    <t>50100542S</t>
  </si>
  <si>
    <t>50100642S</t>
  </si>
  <si>
    <t>50100742S</t>
  </si>
  <si>
    <t>50100842S</t>
  </si>
  <si>
    <t>RIV,2013      QIV,2013</t>
  </si>
  <si>
    <t>50100942S</t>
  </si>
  <si>
    <t>50101042S</t>
  </si>
  <si>
    <t>50101142S</t>
  </si>
  <si>
    <t>50101242S</t>
  </si>
  <si>
    <t>50101342S</t>
  </si>
  <si>
    <t>50101442S</t>
  </si>
  <si>
    <t>50101542S</t>
  </si>
  <si>
    <t>AZ0101001433</t>
  </si>
  <si>
    <t>AZ0102002430</t>
  </si>
  <si>
    <t>AZ0104003436</t>
  </si>
  <si>
    <t>AZ0102004436</t>
  </si>
  <si>
    <t>AZ0204001454</t>
  </si>
  <si>
    <t>AZ0105001447</t>
  </si>
  <si>
    <t>AZ0106002444</t>
  </si>
  <si>
    <t>AZ0101005434</t>
  </si>
  <si>
    <t>AZ0102008437</t>
  </si>
  <si>
    <t>AZ0106004440</t>
  </si>
  <si>
    <t>50101642S</t>
  </si>
  <si>
    <t>50101742S</t>
  </si>
  <si>
    <t>50101942S</t>
  </si>
  <si>
    <t>50102042S</t>
  </si>
  <si>
    <t>50102142S</t>
  </si>
  <si>
    <t>RI,2014      QI,2014</t>
  </si>
  <si>
    <t>İstehlak qiymətləri indeksi</t>
  </si>
  <si>
    <t>AZ0101009436</t>
  </si>
  <si>
    <t>AZ0102010433</t>
  </si>
  <si>
    <t>AZ0104011439</t>
  </si>
  <si>
    <t>AZ0102012439</t>
  </si>
  <si>
    <t>AZ0204003450</t>
  </si>
  <si>
    <t>AZ0106006445</t>
  </si>
  <si>
    <t>AZ0105005448</t>
  </si>
  <si>
    <t>AZ0102014435</t>
  </si>
  <si>
    <t>AZ0101013438</t>
  </si>
  <si>
    <t>AZ0104015430</t>
  </si>
  <si>
    <t>AZ0102016430</t>
  </si>
  <si>
    <t>AZ0204004458</t>
  </si>
  <si>
    <t>AZ0106008441</t>
  </si>
  <si>
    <t>AZ0105007444</t>
  </si>
  <si>
    <t>50102242S</t>
  </si>
  <si>
    <t>50102342S</t>
  </si>
  <si>
    <t>50102442S</t>
  </si>
  <si>
    <t>50102542S</t>
  </si>
  <si>
    <t>AZ0102018436</t>
  </si>
  <si>
    <t>AZ0101017439</t>
  </si>
  <si>
    <t>AZ0104019432</t>
  </si>
  <si>
    <t>AZ0102020432</t>
  </si>
  <si>
    <t>AZ0204005455</t>
  </si>
  <si>
    <t>AZ0105009440</t>
  </si>
  <si>
    <t>AZ0106010447</t>
  </si>
  <si>
    <t>AZ0101021431</t>
  </si>
  <si>
    <t>AZ0102022438</t>
  </si>
  <si>
    <t>AZ0104023434</t>
  </si>
  <si>
    <t>AZ0102024434</t>
  </si>
  <si>
    <t>AZ0204006453</t>
  </si>
  <si>
    <t>AZ0105011446</t>
  </si>
  <si>
    <t>AZ0106012443</t>
  </si>
  <si>
    <t>50102642S</t>
  </si>
  <si>
    <t>50102842S</t>
  </si>
  <si>
    <t>50102942S</t>
  </si>
  <si>
    <t>50103042S</t>
  </si>
  <si>
    <t xml:space="preserve">RII,2014  QII,2014    </t>
  </si>
  <si>
    <t>AZ0102025431</t>
  </si>
  <si>
    <t>AZ0204007451</t>
  </si>
  <si>
    <t>AZ0105013442</t>
  </si>
  <si>
    <t>AZ0106014449</t>
  </si>
  <si>
    <t>50103142S</t>
  </si>
  <si>
    <t>50103242S</t>
  </si>
  <si>
    <t>50103342S</t>
  </si>
  <si>
    <t>50103442S</t>
  </si>
  <si>
    <t>01.02.2012-31.07.2014</t>
  </si>
  <si>
    <t>AZ0101030432</t>
  </si>
  <si>
    <t>AZ0102031439</t>
  </si>
  <si>
    <t>AZ0104032435</t>
  </si>
  <si>
    <t>AZ0102033435</t>
  </si>
  <si>
    <t>AZ0204009457</t>
  </si>
  <si>
    <t>AZ0105017443</t>
  </si>
  <si>
    <t>AZ0106018440</t>
  </si>
  <si>
    <t>AZ0101034434</t>
  </si>
  <si>
    <t>AZ0102035430</t>
  </si>
  <si>
    <t>AZ0104036436</t>
  </si>
  <si>
    <t>AZ0102037436</t>
  </si>
  <si>
    <t>AZ0204010455</t>
  </si>
  <si>
    <t>AZ0105019449</t>
  </si>
  <si>
    <t>AZ0106020446</t>
  </si>
  <si>
    <t>50103542S</t>
  </si>
  <si>
    <t>50103642S</t>
  </si>
  <si>
    <t>50103742S</t>
  </si>
  <si>
    <t>50103842S</t>
  </si>
  <si>
    <t>AZ0101038435</t>
  </si>
  <si>
    <t>AZ0104040438</t>
  </si>
  <si>
    <t>AZ0102041438</t>
  </si>
  <si>
    <t>AZ0204011453</t>
  </si>
  <si>
    <t xml:space="preserve">AZ0106022442 </t>
  </si>
  <si>
    <t>AZ0101042437</t>
  </si>
  <si>
    <t>AZ0102043434</t>
  </si>
  <si>
    <t>AZ0104044430</t>
  </si>
  <si>
    <t>AZ0102045439</t>
  </si>
  <si>
    <t>AZ0204012451</t>
  </si>
  <si>
    <t>AZ0105023441</t>
  </si>
  <si>
    <t>AZ0106024448</t>
  </si>
  <si>
    <t>50103942S</t>
  </si>
  <si>
    <t>50104042S</t>
  </si>
  <si>
    <t>50104142S</t>
  </si>
  <si>
    <t>50104242S</t>
  </si>
  <si>
    <t>50104342S</t>
  </si>
  <si>
    <t xml:space="preserve">RIII,2014  QIII,2014    </t>
  </si>
  <si>
    <t>AZ0105025446</t>
  </si>
  <si>
    <t>AZ0106026443</t>
  </si>
  <si>
    <t>AZ0101050437</t>
  </si>
  <si>
    <t>AZ0102051437</t>
  </si>
  <si>
    <t>AZ0104052433</t>
  </si>
  <si>
    <t>AZ0102053433</t>
  </si>
  <si>
    <t>AZ0204014457</t>
  </si>
  <si>
    <t>AZ0105027442</t>
  </si>
  <si>
    <t>AZ0106028449</t>
  </si>
  <si>
    <t>50104442S</t>
  </si>
  <si>
    <t>50104542S</t>
  </si>
  <si>
    <t>50104642S</t>
  </si>
  <si>
    <t>50104742S</t>
  </si>
  <si>
    <t>50104842S</t>
  </si>
  <si>
    <t>50104942S</t>
  </si>
  <si>
    <t>50105042S</t>
  </si>
  <si>
    <t>50105142S</t>
  </si>
  <si>
    <t>50105242S</t>
  </si>
  <si>
    <t>AZ0101054432</t>
  </si>
  <si>
    <t>AZ0102055438</t>
  </si>
  <si>
    <t>AZ0104056434</t>
  </si>
  <si>
    <t>AZ0102057434</t>
  </si>
  <si>
    <t>AZ0204015454</t>
  </si>
  <si>
    <t>AZ0105029448</t>
  </si>
  <si>
    <t>AZ0106030445</t>
  </si>
  <si>
    <t>AZ0101058433</t>
  </si>
  <si>
    <t>AZ0102059430</t>
  </si>
  <si>
    <t>AZ0104060436</t>
  </si>
  <si>
    <t>AZ0102061436</t>
  </si>
  <si>
    <t>AZ0204016452</t>
  </si>
  <si>
    <t>AZ0105031444</t>
  </si>
  <si>
    <t>AZ0106032441</t>
  </si>
  <si>
    <t>The volume of issue</t>
  </si>
  <si>
    <t>The volume placed at  auction</t>
  </si>
  <si>
    <t>CƏMİ-2009</t>
  </si>
  <si>
    <t>10101931S</t>
  </si>
  <si>
    <t>10103931S</t>
  </si>
  <si>
    <t>10204031S</t>
  </si>
  <si>
    <t>10304131S</t>
  </si>
  <si>
    <t>10700832S</t>
  </si>
  <si>
    <t>10104231S</t>
  </si>
  <si>
    <t>10800932S</t>
  </si>
  <si>
    <t>10104531S</t>
  </si>
  <si>
    <t>10204631S</t>
  </si>
  <si>
    <t>10504731S</t>
  </si>
  <si>
    <t>10304831S</t>
  </si>
  <si>
    <t>10104931S</t>
  </si>
  <si>
    <t>10205031S</t>
  </si>
  <si>
    <t>10305131S</t>
  </si>
  <si>
    <t>10801032S</t>
  </si>
  <si>
    <t>10105231S</t>
  </si>
  <si>
    <t>10205331S</t>
  </si>
  <si>
    <t>10305431S</t>
  </si>
  <si>
    <t>10105531S</t>
  </si>
  <si>
    <t>10205631S</t>
  </si>
  <si>
    <t>10305731S</t>
  </si>
  <si>
    <t>AZ0103003361</t>
  </si>
  <si>
    <t>AZ0105001355</t>
  </si>
  <si>
    <t>AZ0101004361</t>
  </si>
  <si>
    <t>AZ0102005367</t>
  </si>
  <si>
    <t>AZ0106002352</t>
  </si>
  <si>
    <t>AZ0103006364</t>
  </si>
  <si>
    <t>AZ0204002379</t>
  </si>
  <si>
    <t>AZ0101021399</t>
  </si>
  <si>
    <t>AZ0101022397</t>
  </si>
  <si>
    <t>AZ0102024392</t>
  </si>
  <si>
    <t>AZ0204006412</t>
  </si>
  <si>
    <t>AZ0105011404</t>
  </si>
  <si>
    <t>AZ0101025390</t>
  </si>
  <si>
    <t>AZ0102026397</t>
  </si>
  <si>
    <t>AZ0204007410</t>
  </si>
  <si>
    <t>AZ0105013400</t>
  </si>
  <si>
    <t>AZ0105021403</t>
  </si>
  <si>
    <t>AZ0106022400</t>
  </si>
  <si>
    <t>AZ0102006431</t>
  </si>
  <si>
    <t>AZ0104007437</t>
  </si>
  <si>
    <t>AZ0204002452</t>
  </si>
  <si>
    <t>AZ0105003443</t>
  </si>
  <si>
    <t>2015</t>
  </si>
  <si>
    <t>50100146S</t>
  </si>
  <si>
    <t>50100246S</t>
  </si>
  <si>
    <t>RIV,2014      QIV,2014</t>
  </si>
  <si>
    <t>50100346S</t>
  </si>
  <si>
    <t>50100446S</t>
  </si>
  <si>
    <t>50100546S</t>
  </si>
  <si>
    <t>50100646S</t>
  </si>
  <si>
    <t>kredit hesabları</t>
  </si>
  <si>
    <t>credit accounts</t>
  </si>
  <si>
    <t>Cari hesablar manatla</t>
  </si>
  <si>
    <t>Müddətli manatla</t>
  </si>
  <si>
    <t>50100746S</t>
  </si>
  <si>
    <t>50100846S</t>
  </si>
  <si>
    <t>50100946S</t>
  </si>
  <si>
    <t>RI,2015      QI,2015</t>
  </si>
  <si>
    <t>RII,2015      QII,2015</t>
  </si>
  <si>
    <t xml:space="preserve"> +</t>
  </si>
  <si>
    <t>19113.5*</t>
  </si>
  <si>
    <t>18566.4*</t>
  </si>
  <si>
    <t>RIII,2015      QIII,2015</t>
  </si>
  <si>
    <t>2015, 9 ay</t>
  </si>
  <si>
    <t>18744.3</t>
  </si>
  <si>
    <t>2016</t>
  </si>
  <si>
    <t>AZ0102001499</t>
  </si>
  <si>
    <t>AZ0104002495</t>
  </si>
  <si>
    <t>AZ0104004491</t>
  </si>
  <si>
    <t>AZ0102003495</t>
  </si>
  <si>
    <t>AZ0102005490</t>
  </si>
  <si>
    <t>RIV,2015      QIV,2015</t>
  </si>
  <si>
    <t>2015, illik</t>
  </si>
  <si>
    <t>50101046S</t>
  </si>
  <si>
    <t>50101146S</t>
  </si>
  <si>
    <t>50101246S</t>
  </si>
  <si>
    <t>50101346S</t>
  </si>
  <si>
    <t>50101446S</t>
  </si>
  <si>
    <t>01.03.2015 - 02.03.2016</t>
  </si>
  <si>
    <t>RI,2016     QI,2016</t>
  </si>
  <si>
    <t xml:space="preserve">Correspondent accounts </t>
  </si>
  <si>
    <t>Müxbir hesablar</t>
  </si>
  <si>
    <t>Deposits in manat**</t>
  </si>
  <si>
    <t>RII,2016     QII,2016</t>
  </si>
  <si>
    <t>AZ0102001515</t>
  </si>
  <si>
    <t>AZ0104002511</t>
  </si>
  <si>
    <t>AZ0101003512</t>
  </si>
  <si>
    <t>AZ0101004510</t>
  </si>
  <si>
    <t>AZ0102005516</t>
  </si>
  <si>
    <t>AZ0101007513</t>
  </si>
  <si>
    <t>AZ0101008511</t>
  </si>
  <si>
    <t>AZ0102009518</t>
  </si>
  <si>
    <t>AZ0104010514</t>
  </si>
  <si>
    <t>AZ0101011515</t>
  </si>
  <si>
    <t>AZ0102006498</t>
  </si>
  <si>
    <t>AZ0102008494</t>
  </si>
  <si>
    <t>AZ0104010498</t>
  </si>
  <si>
    <t>AZ0102009492</t>
  </si>
  <si>
    <t>AZ0102011498</t>
  </si>
  <si>
    <t>AZ0104013492</t>
  </si>
  <si>
    <t>AZ0102012496</t>
  </si>
  <si>
    <t>AZ0102014492</t>
  </si>
  <si>
    <t>AZ0104013518</t>
  </si>
  <si>
    <t>AZ0102012512</t>
  </si>
  <si>
    <t>AZ0104014516</t>
  </si>
  <si>
    <t>AZ0101015516</t>
  </si>
  <si>
    <t>AZ01040165111</t>
  </si>
  <si>
    <t>AZ0102017511</t>
  </si>
  <si>
    <t>AZ0104019515</t>
  </si>
  <si>
    <t>AZ0102018519</t>
  </si>
  <si>
    <t>AZ0101020516</t>
  </si>
  <si>
    <t>AZ0104021511</t>
  </si>
  <si>
    <t>AZ0102022511</t>
  </si>
  <si>
    <t>AZ0102023519</t>
  </si>
  <si>
    <t>50100152S</t>
  </si>
  <si>
    <t>50100252S</t>
  </si>
  <si>
    <t>50100352S</t>
  </si>
  <si>
    <t>50100452S</t>
  </si>
  <si>
    <t>50100552S</t>
  </si>
  <si>
    <t>AZ0101024518</t>
  </si>
  <si>
    <t>AZ0104026510</t>
  </si>
  <si>
    <t>AZ0102025514</t>
  </si>
  <si>
    <t>AZ0102027510</t>
  </si>
  <si>
    <t>AZ0104028516</t>
  </si>
  <si>
    <t>50100652S</t>
  </si>
  <si>
    <t>50100752S</t>
  </si>
  <si>
    <t>50100852S</t>
  </si>
  <si>
    <t>50100952S</t>
  </si>
  <si>
    <t>2017</t>
  </si>
  <si>
    <t>50100153S</t>
  </si>
  <si>
    <t>50100253S</t>
  </si>
  <si>
    <t>50100353S</t>
  </si>
  <si>
    <t>50100453S</t>
  </si>
  <si>
    <t>AZ0104001547</t>
  </si>
  <si>
    <t>AZ0102002547</t>
  </si>
  <si>
    <t>AZ0105001553</t>
  </si>
  <si>
    <t>50100553S</t>
  </si>
  <si>
    <t>50100653S</t>
  </si>
  <si>
    <t>50100753S</t>
  </si>
  <si>
    <t>50200853S</t>
  </si>
  <si>
    <t>RIII,2016     QIII,2016</t>
  </si>
  <si>
    <t>RIV,2016      QIV,2016</t>
  </si>
  <si>
    <t>AZ0102003545</t>
  </si>
  <si>
    <t>AZ0104004541</t>
  </si>
  <si>
    <t>AZ0105002551</t>
  </si>
  <si>
    <t>50100156S</t>
  </si>
  <si>
    <t>50100256S</t>
  </si>
  <si>
    <t>50100356S</t>
  </si>
  <si>
    <t>50100456S</t>
  </si>
  <si>
    <t>AZ0102005540</t>
  </si>
  <si>
    <t>AZ0105003559</t>
  </si>
  <si>
    <t>AZ0104007544</t>
  </si>
  <si>
    <t>AZ0102006548</t>
  </si>
  <si>
    <t>AZ0104008542</t>
  </si>
  <si>
    <t>50100556S</t>
  </si>
  <si>
    <t>50100656S</t>
  </si>
  <si>
    <t>50100756S</t>
  </si>
  <si>
    <t>AZ0104009540</t>
  </si>
  <si>
    <t>AZ0102010540</t>
  </si>
  <si>
    <t>AZ0105004557</t>
  </si>
  <si>
    <t>AZ0104011546</t>
  </si>
  <si>
    <t>50100856S</t>
  </si>
  <si>
    <t>50100956S</t>
  </si>
  <si>
    <t>50101056S</t>
  </si>
  <si>
    <t>50101156S</t>
  </si>
  <si>
    <t>50101256S</t>
  </si>
  <si>
    <t>RI,2017     QI,2017</t>
  </si>
  <si>
    <t xml:space="preserve">   о cümlədən ödəniş kartları ilə</t>
  </si>
  <si>
    <t xml:space="preserve">   Qısamüddətli kredit qoyuluşu</t>
  </si>
  <si>
    <t xml:space="preserve"> O cümlədən sahibkarlıq fəaliyyətilə məşqul olanlara</t>
  </si>
  <si>
    <t xml:space="preserve">    о cümlədən ödəniş kartları ilə</t>
  </si>
  <si>
    <t>Aprel</t>
  </si>
  <si>
    <t>Mart</t>
  </si>
  <si>
    <t>Fevral</t>
  </si>
  <si>
    <t>Yanvar</t>
  </si>
  <si>
    <t>Dekabr</t>
  </si>
  <si>
    <t>Yanvar-Noyabr</t>
  </si>
  <si>
    <t>Yanvar-Oktyabr</t>
  </si>
  <si>
    <t>Yanvar-Sentyabr</t>
  </si>
  <si>
    <t>Yanvar-Avqust</t>
  </si>
  <si>
    <t>Yanvar-İyul</t>
  </si>
  <si>
    <t>Yanvar-İyun</t>
  </si>
  <si>
    <t>Yanvar-May</t>
  </si>
  <si>
    <t>Yanvar-Aprel</t>
  </si>
  <si>
    <t>Yanvar-Mart</t>
  </si>
  <si>
    <t>Yanvar-Fevral</t>
  </si>
  <si>
    <t>Yanvar-Iyun</t>
  </si>
  <si>
    <t xml:space="preserve">  - dövlət mülkiyyətində olan müəssisələrə</t>
  </si>
  <si>
    <t xml:space="preserve">  - özəl müəssisələrə</t>
  </si>
  <si>
    <t>Yanvar-Dekabr</t>
  </si>
  <si>
    <t>Yanvar-Iyul</t>
  </si>
  <si>
    <t>May</t>
  </si>
  <si>
    <t>İyun</t>
  </si>
  <si>
    <t>AZ0102012546</t>
  </si>
  <si>
    <t>AZ0105005554</t>
  </si>
  <si>
    <t>AZ0102013544</t>
  </si>
  <si>
    <t>AZ0104014540</t>
  </si>
  <si>
    <t>50101356S</t>
  </si>
  <si>
    <t>50100157S</t>
  </si>
  <si>
    <t>50100257S</t>
  </si>
  <si>
    <t>50100357S</t>
  </si>
  <si>
    <t>İyul</t>
  </si>
  <si>
    <t>AZ0102015549</t>
  </si>
  <si>
    <t>AZ0104016545</t>
  </si>
  <si>
    <t>AZ0105006552</t>
  </si>
  <si>
    <t>AZ0102017545</t>
  </si>
  <si>
    <t>50100457S</t>
  </si>
  <si>
    <t>50100158S</t>
  </si>
  <si>
    <t>50100258S</t>
  </si>
  <si>
    <t>50100358S</t>
  </si>
  <si>
    <t>RII,2017     QII,2017</t>
  </si>
  <si>
    <t>Avqust</t>
  </si>
  <si>
    <t>AZ0101018544</t>
  </si>
  <si>
    <t>AZ0102019541</t>
  </si>
  <si>
    <t>AZ0104020547</t>
  </si>
  <si>
    <t>AZ0105007550</t>
  </si>
  <si>
    <t>50100159S</t>
  </si>
  <si>
    <t>50100259S</t>
  </si>
  <si>
    <t>50100359S</t>
  </si>
  <si>
    <t>50100160S</t>
  </si>
  <si>
    <t>50100260S</t>
  </si>
  <si>
    <t>Sentyabr</t>
  </si>
  <si>
    <t>AZ0102021547</t>
  </si>
  <si>
    <t>AZ0104022543</t>
  </si>
  <si>
    <t>AZ0102023543</t>
  </si>
  <si>
    <t>AZ0104024549</t>
  </si>
  <si>
    <t>AZ0105008558</t>
  </si>
  <si>
    <t>50100360S</t>
  </si>
  <si>
    <t>50100161S</t>
  </si>
  <si>
    <t>50100261S</t>
  </si>
  <si>
    <t>50100361S</t>
  </si>
  <si>
    <t>Deposits in foreign currency**</t>
  </si>
  <si>
    <t xml:space="preserve">   о cümlədən qeyri-rezidentlərə</t>
  </si>
  <si>
    <t>2127.5**</t>
  </si>
  <si>
    <t>Oktyabr</t>
  </si>
  <si>
    <t>AZ0101025549</t>
  </si>
  <si>
    <t>AZ0104026544</t>
  </si>
  <si>
    <t>AZ0102027544</t>
  </si>
  <si>
    <t>AZ0105009556</t>
  </si>
  <si>
    <t>AZ0106001644</t>
  </si>
  <si>
    <t>50100461S</t>
  </si>
  <si>
    <t>50100262S</t>
  </si>
  <si>
    <t>50100362S</t>
  </si>
  <si>
    <t>50100462S</t>
  </si>
  <si>
    <t xml:space="preserve">  </t>
  </si>
  <si>
    <t>Noyabr</t>
  </si>
  <si>
    <t>AZ0104028540</t>
  </si>
  <si>
    <t>AZ0106002642</t>
  </si>
  <si>
    <t>AZ0105003641</t>
  </si>
  <si>
    <t>AZ0102029540</t>
  </si>
  <si>
    <t>50100562S</t>
  </si>
  <si>
    <t>50100165S</t>
  </si>
  <si>
    <t>50100265S</t>
  </si>
  <si>
    <t>50100365S</t>
  </si>
  <si>
    <t>50100465S</t>
  </si>
  <si>
    <t>RIII,2017     QIII,2017</t>
  </si>
  <si>
    <t>AZ0106004648</t>
  </si>
  <si>
    <t>AZ0105005646</t>
  </si>
  <si>
    <t>AZ0102001630</t>
  </si>
  <si>
    <t>AZ0104002636</t>
  </si>
  <si>
    <t>50100166S</t>
  </si>
  <si>
    <t>50100266S</t>
  </si>
  <si>
    <t>50100366S</t>
  </si>
  <si>
    <t>50100466S</t>
  </si>
  <si>
    <t>2018</t>
  </si>
  <si>
    <t>AZ0104001687</t>
  </si>
  <si>
    <t>AZ0106001693</t>
  </si>
  <si>
    <t>50100167S</t>
  </si>
  <si>
    <t>50100267S</t>
  </si>
  <si>
    <t>50100367S</t>
  </si>
  <si>
    <t>50100467S</t>
  </si>
  <si>
    <t>50100567S</t>
  </si>
  <si>
    <t>İqtisadiyyata tələblər</t>
  </si>
  <si>
    <t>İqtisadiyyata tələblər*</t>
  </si>
  <si>
    <t>AİKZF-in ipoteka portfeli üzrə orta göstəricilər</t>
  </si>
  <si>
    <t>RIV,2017     QIV,2017</t>
  </si>
  <si>
    <t>2017 ILLIK</t>
  </si>
  <si>
    <t>AZ0105002692</t>
  </si>
  <si>
    <t>AZ0104002685</t>
  </si>
  <si>
    <t>AZ0106003699</t>
  </si>
  <si>
    <t>50100667S</t>
  </si>
  <si>
    <t>50100767S</t>
  </si>
  <si>
    <t>50100867S</t>
  </si>
  <si>
    <t>50100967S</t>
  </si>
  <si>
    <t>AZ0105004698</t>
  </si>
  <si>
    <t>AZ0106005694</t>
  </si>
  <si>
    <t>50101067S</t>
  </si>
  <si>
    <t>50101167S</t>
  </si>
  <si>
    <t>50101267S</t>
  </si>
  <si>
    <t>AZ0104003683</t>
  </si>
  <si>
    <t>AZ0106007690</t>
  </si>
  <si>
    <t>AZ0105008699</t>
  </si>
  <si>
    <t>50101367S</t>
  </si>
  <si>
    <t>50101467S</t>
  </si>
  <si>
    <t>50101567S</t>
  </si>
  <si>
    <t>50101667S</t>
  </si>
  <si>
    <t>RI,2018     QI,2018</t>
  </si>
  <si>
    <t>AZ0104004681</t>
  </si>
  <si>
    <t>AZ0106009696</t>
  </si>
  <si>
    <t>50101767S</t>
  </si>
  <si>
    <t>50101867S</t>
  </si>
  <si>
    <t>50101967S</t>
  </si>
  <si>
    <t>50102067S</t>
  </si>
  <si>
    <t>50102167S</t>
  </si>
  <si>
    <t>Əvvəlki ilin müvafiq dövrünə nisbətən dəyişmə, %-lə</t>
  </si>
  <si>
    <t>On a relevant period of previous year, %</t>
  </si>
  <si>
    <t>AZ0104005688</t>
  </si>
  <si>
    <t>AZ0105010695</t>
  </si>
  <si>
    <t>50102267S</t>
  </si>
  <si>
    <t>50100170S</t>
  </si>
  <si>
    <t>50100270S</t>
  </si>
  <si>
    <t>50100370S</t>
  </si>
  <si>
    <t>Nominal orta aylıq əmək haqqı</t>
  </si>
  <si>
    <t>AZ0105011693</t>
  </si>
  <si>
    <t>AZ0104006686</t>
  </si>
  <si>
    <t>AZ0106012690</t>
  </si>
  <si>
    <t>50100470S</t>
  </si>
  <si>
    <t>50100570S</t>
  </si>
  <si>
    <t>50100770S</t>
  </si>
  <si>
    <t>RII,2018     QII,2018</t>
  </si>
  <si>
    <t xml:space="preserve">AZ0105013699 </t>
  </si>
  <si>
    <t>AZ0104007684</t>
  </si>
  <si>
    <t xml:space="preserve">AZ0106014696 </t>
  </si>
  <si>
    <t>50100870S</t>
  </si>
  <si>
    <t>50100970S</t>
  </si>
  <si>
    <t>50101070S</t>
  </si>
  <si>
    <t>50101170S</t>
  </si>
  <si>
    <t>50101270S</t>
  </si>
  <si>
    <t xml:space="preserve">AZ0102008684 </t>
  </si>
  <si>
    <t>AZ0102009682</t>
  </si>
  <si>
    <t xml:space="preserve">AZ0104010688 </t>
  </si>
  <si>
    <t>50101370S</t>
  </si>
  <si>
    <t>50101470S</t>
  </si>
  <si>
    <t>50101570S</t>
  </si>
  <si>
    <t>AZ0105015694</t>
  </si>
  <si>
    <t>AZ0104011686</t>
  </si>
  <si>
    <t>AZ0106016691</t>
  </si>
  <si>
    <t>50101770S</t>
  </si>
  <si>
    <t>50101870S</t>
  </si>
  <si>
    <t>50101970S</t>
  </si>
  <si>
    <t>50100172S</t>
  </si>
  <si>
    <t>50100272S</t>
  </si>
  <si>
    <t>AZ0105017690</t>
  </si>
  <si>
    <t>AZ0104012684</t>
  </si>
  <si>
    <t>AZ0106018697</t>
  </si>
  <si>
    <t>50100372S</t>
  </si>
  <si>
    <t>50100472S</t>
  </si>
  <si>
    <t>50100572S</t>
  </si>
  <si>
    <t>50100672S</t>
  </si>
  <si>
    <t>RIII,2018     QIII,2018</t>
  </si>
  <si>
    <t>AZ0105019696</t>
  </si>
  <si>
    <t>AZ0104013682</t>
  </si>
  <si>
    <t>AZ0106020693</t>
  </si>
  <si>
    <t>50100772S</t>
  </si>
  <si>
    <t>50100872S</t>
  </si>
  <si>
    <t>50100972S</t>
  </si>
  <si>
    <t>50101072S</t>
  </si>
  <si>
    <t>2019</t>
  </si>
  <si>
    <t>AZ0104001745</t>
  </si>
  <si>
    <t>AZ0106001750</t>
  </si>
  <si>
    <t>50100173S</t>
  </si>
  <si>
    <t>50100273S</t>
  </si>
  <si>
    <t>50100373S</t>
  </si>
  <si>
    <t>50100473S</t>
  </si>
  <si>
    <t>50100573S</t>
  </si>
  <si>
    <t xml:space="preserve"> Elektron ticarət vasitəsilə </t>
  </si>
  <si>
    <t>via E-commerce</t>
  </si>
  <si>
    <t xml:space="preserve"> Elektron ticarət</t>
  </si>
  <si>
    <t>RIV,2018      QIV,2018</t>
  </si>
  <si>
    <t>AZ0105002759</t>
  </si>
  <si>
    <t>AZ0104002743</t>
  </si>
  <si>
    <t>AZ0106003756</t>
  </si>
  <si>
    <t>50100673S</t>
  </si>
  <si>
    <t>50100773S</t>
  </si>
  <si>
    <t>50100873S</t>
  </si>
  <si>
    <t>50100973S</t>
  </si>
  <si>
    <t xml:space="preserve">                                                                                                                                                                    ədəd/unit</t>
  </si>
  <si>
    <t>orta %  dərəcəsi</t>
  </si>
  <si>
    <t>AZ0106005751</t>
  </si>
  <si>
    <t>AZ0104003741</t>
  </si>
  <si>
    <t>50101073S</t>
  </si>
  <si>
    <t>50101173S</t>
  </si>
  <si>
    <t>50101273S</t>
  </si>
  <si>
    <t>50101373S</t>
  </si>
  <si>
    <t>AZ0105006750</t>
  </si>
  <si>
    <t>AZ0104004749</t>
  </si>
  <si>
    <t>AZ0106007757</t>
  </si>
  <si>
    <t>50101473S</t>
  </si>
  <si>
    <t>50101573S</t>
  </si>
  <si>
    <t>50101673S</t>
  </si>
  <si>
    <t>50101773S</t>
  </si>
  <si>
    <t>RI,2019     QI,2019</t>
  </si>
  <si>
    <t>AZ0105008756</t>
  </si>
  <si>
    <t>AZ0104005746</t>
  </si>
  <si>
    <t>AZ0106009753</t>
  </si>
  <si>
    <t>50100176S</t>
  </si>
  <si>
    <t>50100276S</t>
  </si>
  <si>
    <t>50100376S</t>
  </si>
  <si>
    <t>50100476S</t>
  </si>
  <si>
    <t>50100576S</t>
  </si>
  <si>
    <t>AZ0105010752</t>
  </si>
  <si>
    <t>AZ0104006744</t>
  </si>
  <si>
    <t>AZ0106011759</t>
  </si>
  <si>
    <t>50100676S</t>
  </si>
  <si>
    <t>50100776S</t>
  </si>
  <si>
    <t>50100876S</t>
  </si>
  <si>
    <t>50100976S</t>
  </si>
  <si>
    <t>AZ0106012757</t>
  </si>
  <si>
    <t>AZ0105013756</t>
  </si>
  <si>
    <t>AZ0104007742</t>
  </si>
  <si>
    <t>AZ0105014754</t>
  </si>
  <si>
    <t>50101076S</t>
  </si>
  <si>
    <t>50101176S</t>
  </si>
  <si>
    <t>50101276S</t>
  </si>
  <si>
    <t>50101376S</t>
  </si>
  <si>
    <t>50101476S</t>
  </si>
  <si>
    <t xml:space="preserve">AZ0105015751 </t>
  </si>
  <si>
    <t>AZ0104008740</t>
  </si>
  <si>
    <t>AZ0106016758</t>
  </si>
  <si>
    <t>50101576S</t>
  </si>
  <si>
    <t>50101676S</t>
  </si>
  <si>
    <t>50101776S</t>
  </si>
  <si>
    <t>50101876S</t>
  </si>
  <si>
    <t>RII,2019     QII,2019</t>
  </si>
  <si>
    <t>AZ0105017757</t>
  </si>
  <si>
    <t>AZ0104009748</t>
  </si>
  <si>
    <t>AZ0106018754</t>
  </si>
  <si>
    <t>50101976S</t>
  </si>
  <si>
    <t>50102076S</t>
  </si>
  <si>
    <t>50102176S</t>
  </si>
  <si>
    <t>50202276S</t>
  </si>
  <si>
    <t>50102376S</t>
  </si>
  <si>
    <t>50102476S</t>
  </si>
  <si>
    <t>50302576S</t>
  </si>
  <si>
    <t>50102776S</t>
  </si>
  <si>
    <t>50402676S</t>
  </si>
  <si>
    <t>50102876S</t>
  </si>
  <si>
    <t>50102976S</t>
  </si>
  <si>
    <t>50103076S</t>
  </si>
  <si>
    <t>RIII,2019     QIII,2019</t>
  </si>
  <si>
    <t>50103176S</t>
  </si>
  <si>
    <t>50103276S</t>
  </si>
  <si>
    <t>50103376S</t>
  </si>
  <si>
    <t>50103476S</t>
  </si>
  <si>
    <t xml:space="preserve">nizamnamə kapitalının 50%-dən az olan hissəsini  təşkil edən </t>
  </si>
  <si>
    <t>Bankların şöbələrinin sayı</t>
  </si>
  <si>
    <t>Bankların filiallarının sayı</t>
  </si>
  <si>
    <t>İlin əvvəlindən lisenziyası ləğv edilmiş bankların sayı</t>
  </si>
  <si>
    <t>İlin əvvəlindən lisenziya alan bankların sayı</t>
  </si>
  <si>
    <t>Xarici kapitallı banklar</t>
  </si>
  <si>
    <t>Bankların sayı</t>
  </si>
  <si>
    <t xml:space="preserve">Maliyyə bazarlarının iştirakçıları haqqında ümumi məlumat </t>
  </si>
  <si>
    <t>13. Cəmi öhdəliklər və kapital</t>
  </si>
  <si>
    <t>12. Cəmi kapital</t>
  </si>
  <si>
    <t>11. Ümumi ehtiyatlar</t>
  </si>
  <si>
    <t>10. Xüsusi kapital</t>
  </si>
  <si>
    <t xml:space="preserve">KAPİTAL </t>
  </si>
  <si>
    <t>9. Cəmi öhdəliklər</t>
  </si>
  <si>
    <t>8. Digər passivlər</t>
  </si>
  <si>
    <t>7. Banklar tərəfindən buraxılmış qiymətli kağızlar</t>
  </si>
  <si>
    <t>6. Digər maliyyə institutlarının kreditləri</t>
  </si>
  <si>
    <t xml:space="preserve">5. Bankların kreditləri </t>
  </si>
  <si>
    <t>4. Maliyyə institutlarının  depozitləri</t>
  </si>
  <si>
    <t>3. Loro hesablar</t>
  </si>
  <si>
    <t>2. Mərkəzi Bankın banklara qarşı tələbləri</t>
  </si>
  <si>
    <t xml:space="preserve">          - sahibkarlıqla məşğul olan fiziki şəxslərin depozitləri</t>
  </si>
  <si>
    <t xml:space="preserve">        1.2.1 müddətli</t>
  </si>
  <si>
    <t xml:space="preserve">       1.1.2 tələbli</t>
  </si>
  <si>
    <t xml:space="preserve">       1.1.1 müddətli</t>
  </si>
  <si>
    <t>1.1 Fiziki şəxslərin depoziti</t>
  </si>
  <si>
    <t>1. Depozitlər (maliyyə institutları istisna olmaqla)</t>
  </si>
  <si>
    <t>Öhdəliklər</t>
  </si>
  <si>
    <t>11. Cəmi aktivlər</t>
  </si>
  <si>
    <t>10. Digər aktivlər (məqsədli ehtiyatlar çıxılmaqla)</t>
  </si>
  <si>
    <t>9. Qeyri-maddi aktivlər</t>
  </si>
  <si>
    <t>8.  Əsas vəsaitlər</t>
  </si>
  <si>
    <t xml:space="preserve">7.2 Xalis kreditlər </t>
  </si>
  <si>
    <t>7.1 Kreditlər üzrə mümkün zərərlərin ödənilməsi üçün məqsədli ehtiyat</t>
  </si>
  <si>
    <t>7. Müştərilərə verilən kreditlər</t>
  </si>
  <si>
    <t>6.1 xalis kreditlər</t>
  </si>
  <si>
    <t>6. Banklar da daxil olmaqla, maliyyə institutlarına kreditlər</t>
  </si>
  <si>
    <t>5. Qiymətli kağızlar</t>
  </si>
  <si>
    <t>4. Banklar da daxil olmaqla, maliyyə institutlarındakı depozitlər</t>
  </si>
  <si>
    <t>3. Nostro hesablar (başqa banklardakı müxbir hesablar)</t>
  </si>
  <si>
    <t xml:space="preserve">1. Nağd vəsaitlər </t>
  </si>
  <si>
    <t>Aktivlər</t>
  </si>
  <si>
    <t>11. Xalis mənfəət (zərər)</t>
  </si>
  <si>
    <t>10. Mənfəətdən vergilər</t>
  </si>
  <si>
    <t>8. Digər gəlirlər (xərclər)</t>
  </si>
  <si>
    <t>5. Qeyri-faiz xərcləri</t>
  </si>
  <si>
    <t>4. Qeyri-faiz gəlirləri</t>
  </si>
  <si>
    <t>2.1 depozitlər üzrə faizlər</t>
  </si>
  <si>
    <t>2. Faiz və onlara bağlı xərclər</t>
  </si>
  <si>
    <t>1. Faiz və gəlirlərin bu qəbildən olan növləri</t>
  </si>
  <si>
    <t>Mənfəət və zərər maddələri</t>
  </si>
  <si>
    <t>7.Aktivlər üzrə mümkün zərərlərin ödənilməsi üçün xüsusi ehtiyatın yaradılmasına ayırmalar (xərclər)</t>
  </si>
  <si>
    <t>Göstəricilər</t>
  </si>
  <si>
    <t>YEKUN</t>
  </si>
  <si>
    <t>Qeyri-həyat sığortası üzrə</t>
  </si>
  <si>
    <t>Həyat sığortası üzrə</t>
  </si>
  <si>
    <t xml:space="preserve"> o cümlədən:</t>
  </si>
  <si>
    <t>İcbari sığortalar üzrə - cəmi:</t>
  </si>
  <si>
    <t xml:space="preserve">      işin dayanması ilə bağlı risklərdən sığorta</t>
  </si>
  <si>
    <t>qarışıq maliyyə risklərinin sığortası,  o cümlədən:</t>
  </si>
  <si>
    <t xml:space="preserve">       kreditlərin sığortası</t>
  </si>
  <si>
    <t>kredit sığortası, o cümlədən:</t>
  </si>
  <si>
    <t xml:space="preserve">       mülki-hüquqi müqavilə üzrə mülki məsuliyyətin sığortası</t>
  </si>
  <si>
    <t xml:space="preserve">       su nəqliyyatı vasitələri sahiblərinin mülki məsuliyyətinin sığortası</t>
  </si>
  <si>
    <t xml:space="preserve">       yük daşıyanın mülki məsuliyyətinin sığortası</t>
  </si>
  <si>
    <t xml:space="preserve">       işəgötürənin məsuliyyət sığortası</t>
  </si>
  <si>
    <t xml:space="preserve">       peşə məsuliyyətinin sığortası</t>
  </si>
  <si>
    <t xml:space="preserve">       avtonəqliyyat vasitələri sahiblərinin mülki məsuliyyətinin sığortası</t>
  </si>
  <si>
    <t xml:space="preserve">       ümumi mülki məsuliyyətin sığortası</t>
  </si>
  <si>
    <t xml:space="preserve">       hava nəqliyyatı vasitələri sahiblərinin mülki məsuliyyətinin sığortası</t>
  </si>
  <si>
    <t>mülki məsuliyyətin sığortası, o cümlədən:</t>
  </si>
  <si>
    <t xml:space="preserve">        - pul və pul sənədlərinin saxtalaşdırılmasından sığorta</t>
  </si>
  <si>
    <t xml:space="preserve">        - işçilərin dələduzluğu sığortası</t>
  </si>
  <si>
    <t xml:space="preserve">     əmlakın sığortası ilə bağlı digər siniflər,  o cümlədən:</t>
  </si>
  <si>
    <t xml:space="preserve">     kənd təsərrüfatı bitkiləri məhsullarının sığortası</t>
  </si>
  <si>
    <t xml:space="preserve">     dəmiryol nəqliyyatı vasitələrinin sığortası</t>
  </si>
  <si>
    <t xml:space="preserve">     su nəqliyyat vasitələrinin sığortası</t>
  </si>
  <si>
    <t xml:space="preserve">     kənd təsərrüfatı heyvanlarının sığortası</t>
  </si>
  <si>
    <t xml:space="preserve">     yüklərin (nəqliyyat) sığortası</t>
  </si>
  <si>
    <t xml:space="preserve">     avtonəqliyyat vasitələrinin sığortası</t>
  </si>
  <si>
    <t xml:space="preserve">     əmlakın yanğından və digər risklərdən sığortası</t>
  </si>
  <si>
    <t xml:space="preserve">     hava nəqliyyatı vasitələrinin sığortası</t>
  </si>
  <si>
    <t>əmlakın sığortası,  o cümlədən:</t>
  </si>
  <si>
    <t>Əmlak sığortası, o cümlədən:</t>
  </si>
  <si>
    <t xml:space="preserve">    fərdi qəza və xəstəlik sığortası</t>
  </si>
  <si>
    <t xml:space="preserve">    xaricə səfər edən vətəndaşların sığortası</t>
  </si>
  <si>
    <t xml:space="preserve">    tibbi sığorta</t>
  </si>
  <si>
    <t>Şəxsi sığorta,  o cümlədən:</t>
  </si>
  <si>
    <t>Qeyri-həyat sığortası üzrə, o cümlədən</t>
  </si>
  <si>
    <t xml:space="preserve">     sağalmaz xəstəliklərdən sığorta</t>
  </si>
  <si>
    <t xml:space="preserve">     əmək qabiliyyətinin sığortası</t>
  </si>
  <si>
    <t xml:space="preserve">     həyatın ölüm halından sığortası</t>
  </si>
  <si>
    <t xml:space="preserve">     həyatın yaşam sığortası</t>
  </si>
  <si>
    <t>Həyat sığortası üzrə, o cümlədən:</t>
  </si>
  <si>
    <t>Könüllü sığortalar üzrə - cəmi:</t>
  </si>
  <si>
    <t>Sığorta ödənişləri</t>
  </si>
  <si>
    <t>yanvar</t>
  </si>
  <si>
    <t>Sığorta sinifləri</t>
  </si>
  <si>
    <t>Sığorta növləri üzrə sığorta haqları və sığorta ödənişləri</t>
  </si>
  <si>
    <t>“Alfa Sığorta” Açıq Səhmdar Cəmiyyəti</t>
  </si>
  <si>
    <t>“Azərqarant Sığorta” Açıq Səhmdar Cəmiyyəti</t>
  </si>
  <si>
    <t>“Buta Sığorta” Açıq Səhmdar Cəmiyyəti</t>
  </si>
  <si>
    <t>“Beynəlxalq Sığorta Şirkəti” Açıq Səhmdar Cəmiyyəti</t>
  </si>
  <si>
    <t>“Başak İnam Sığorta Şirkəti” Açıq Səhmdar Cəmiyyəti</t>
  </si>
  <si>
    <t>“Xalq Sığorta” Açıq Səhmdar Cəmiyyəti</t>
  </si>
  <si>
    <t>"Xalq Həyat" Sığorta Şirkəti Açıq Səhmdar Cəmiyyəti</t>
  </si>
  <si>
    <t>“Standard Insurance” Açıq Səhmdar Cəmiyyəti</t>
  </si>
  <si>
    <t>“Rəvan Sığorta” Açıq Səhmdar Cəmiyyəti</t>
  </si>
  <si>
    <t>“Qala Sığorta” Açıq Səhmdar Cəmiyyəti</t>
  </si>
  <si>
    <t>“Qala Həyat” Sığorta Şirkəti Açıq Səhmdar Cəmiyyəti</t>
  </si>
  <si>
    <t>“Paşa Sığorta” Açıq Səhmdar Cəmiyyəti</t>
  </si>
  <si>
    <t>“Paşa Həyat Sığorta” Açıq Səhmdar Cəmiyyəti</t>
  </si>
  <si>
    <t>"Naxçıvansığorta" Açıq Səhmdar Cəmiyyəti</t>
  </si>
  <si>
    <t>“Meqa Sığorta” Açıq Səhmdar Cəmiyyəti</t>
  </si>
  <si>
    <t>“Günay Sığorta” Açıq Səhmdar Cəmiyyəti</t>
  </si>
  <si>
    <t>“Bakı Sığorta” Açıq Səhmdar Cəmiyyəti</t>
  </si>
  <si>
    <t>“Azərbaycan Sənaye Sığorta” Açıq Səhmdar Cəmiyyəti</t>
  </si>
  <si>
    <t>“AXA MBASK” Sığorta Şirkəti Açıq Səhmdar Cəmiyyəti</t>
  </si>
  <si>
    <t>“Atəşgah” Sığorta Şirkəti Açıq Səhmdar Cəmiyyəti</t>
  </si>
  <si>
    <t>“Atəşgah Həyat” Sığorta Şirkəti Açıq Səhmdar Cəmiyyəti</t>
  </si>
  <si>
    <t>“AtaSığorta” Açıq Səhmdar Cəmiyyəti</t>
  </si>
  <si>
    <t>“A-Qroup Sığorta Şirkəti” Açıq Səhmdar Cəmiyyəti</t>
  </si>
  <si>
    <t>“Amrah Sığorta” Açıq Səhmdar Cəmiyyəti</t>
  </si>
  <si>
    <t>Sığorta Ödənişləri</t>
  </si>
  <si>
    <t>Sığortaçının adı</t>
  </si>
  <si>
    <t>№</t>
  </si>
  <si>
    <t xml:space="preserve">Sığorta şirkətləri üzrə sığorta haqları və sığorta ödənişləri </t>
  </si>
  <si>
    <t xml:space="preserve">Dekabr </t>
  </si>
  <si>
    <t>50103576S</t>
  </si>
  <si>
    <t>50103676S</t>
  </si>
  <si>
    <t>50203776S</t>
  </si>
  <si>
    <t>50103876S</t>
  </si>
  <si>
    <t>50103976S</t>
  </si>
  <si>
    <t>AZ0105019753</t>
  </si>
  <si>
    <t>  05.10.2021</t>
  </si>
  <si>
    <t>AZ0104010746</t>
  </si>
  <si>
    <t>AZ0106020750</t>
  </si>
  <si>
    <t>AZ0105021759</t>
  </si>
  <si>
    <t>AZ0104011744</t>
  </si>
  <si>
    <t>AZ0106022756</t>
  </si>
  <si>
    <t>AZ0105023755</t>
  </si>
  <si>
    <t>AZ0104012742</t>
  </si>
  <si>
    <t>AZ0106024752</t>
  </si>
  <si>
    <t>  20/12/2022</t>
  </si>
  <si>
    <t>2020</t>
  </si>
  <si>
    <t>50200179S</t>
  </si>
  <si>
    <t>50300279S</t>
  </si>
  <si>
    <t>50400379S</t>
  </si>
  <si>
    <t> AZ0105002783</t>
  </si>
  <si>
    <t>AZ0104001778</t>
  </si>
  <si>
    <t>19/1/2021</t>
  </si>
  <si>
    <t>AZ0108001782</t>
  </si>
  <si>
    <t>21/1/2025</t>
  </si>
  <si>
    <t>RIV,2019      QIV,2019</t>
  </si>
  <si>
    <t>AZ0105003781</t>
  </si>
  <si>
    <t>728 </t>
  </si>
  <si>
    <t>12 </t>
  </si>
  <si>
    <t>AZ0104002776</t>
  </si>
  <si>
    <t>364 </t>
  </si>
  <si>
    <t>10 </t>
  </si>
  <si>
    <t>14 </t>
  </si>
  <si>
    <t>1820 </t>
  </si>
  <si>
    <t>11 </t>
  </si>
  <si>
    <t>AZ0106004788</t>
  </si>
  <si>
    <t>1092 </t>
  </si>
  <si>
    <t>25 </t>
  </si>
  <si>
    <t>AZ0105005786</t>
  </si>
  <si>
    <t>15 </t>
  </si>
  <si>
    <t>8 </t>
  </si>
  <si>
    <t>AZ0104003774</t>
  </si>
  <si>
    <t>4 </t>
  </si>
  <si>
    <t>Kənd təsərrüfatı, meşə təsərrüfatı və balıqçılıq sektoru</t>
  </si>
  <si>
    <t>İnşaat və tikinti sektoru</t>
  </si>
  <si>
    <t>Nəqliyyat və rabitə sektoru</t>
  </si>
  <si>
    <t>50200779S</t>
  </si>
  <si>
    <t xml:space="preserve"> Table 3.3. Government bonds</t>
  </si>
  <si>
    <t xml:space="preserve">Dİ-lərin dövlət qeydiyyat nömrəsi </t>
  </si>
  <si>
    <t xml:space="preserve">AZ0104004772 </t>
  </si>
  <si>
    <t xml:space="preserve">AZ0105008780 </t>
  </si>
  <si>
    <t xml:space="preserve">AZ0104005779 </t>
  </si>
  <si>
    <t>Dİ</t>
  </si>
  <si>
    <t>Bonds</t>
  </si>
  <si>
    <t>50101279S</t>
  </si>
  <si>
    <t>50101379S</t>
  </si>
  <si>
    <t>50101479S</t>
  </si>
  <si>
    <t>50101579S</t>
  </si>
  <si>
    <t>50101679S</t>
  </si>
  <si>
    <t>Hərracdankənar əməliyyatlar</t>
  </si>
  <si>
    <t>RI,2020     QI,2020</t>
  </si>
  <si>
    <t xml:space="preserve">AZ0105009788 </t>
  </si>
  <si>
    <t xml:space="preserve">AZ0105010786 </t>
  </si>
  <si>
    <t xml:space="preserve">AZ0104006777 </t>
  </si>
  <si>
    <t>50101779S</t>
  </si>
  <si>
    <t>50101879S</t>
  </si>
  <si>
    <t>50101979S</t>
  </si>
  <si>
    <t>Iyun</t>
  </si>
  <si>
    <t>AZ0106011783 </t>
  </si>
  <si>
    <t>50102079S</t>
  </si>
  <si>
    <t>50102179S</t>
  </si>
  <si>
    <t>50100182S</t>
  </si>
  <si>
    <t>50100282S</t>
  </si>
  <si>
    <t>Iyul</t>
  </si>
  <si>
    <t>50100183S</t>
  </si>
  <si>
    <t>50100283S</t>
  </si>
  <si>
    <t>50100383S</t>
  </si>
  <si>
    <t>50100483S</t>
  </si>
  <si>
    <t>50100583S</t>
  </si>
  <si>
    <t>AZ0105011782</t>
  </si>
  <si>
    <t>AZ0104007775</t>
  </si>
  <si>
    <t>AZ0106013789</t>
  </si>
  <si>
    <t>AZ0105014788</t>
  </si>
  <si>
    <t xml:space="preserve">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</si>
  <si>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</si>
  <si>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Real sektora kredit qoyuluşu</t>
  </si>
  <si>
    <t>50100683S</t>
  </si>
  <si>
    <t>50100783S</t>
  </si>
  <si>
    <t>50100883S</t>
  </si>
  <si>
    <t>50100983S</t>
  </si>
  <si>
    <t>AZ0106016782</t>
  </si>
  <si>
    <t>AZ0108001782 </t>
  </si>
  <si>
    <t>AZ0106017780 </t>
  </si>
  <si>
    <t>RII,2020      QII,2020</t>
  </si>
  <si>
    <t>10201213S</t>
  </si>
  <si>
    <t xml:space="preserve"> 10201413S</t>
  </si>
  <si>
    <t>10501313S</t>
  </si>
  <si>
    <t>10201513S</t>
  </si>
  <si>
    <t>50301613S</t>
  </si>
  <si>
    <t>50301713S</t>
  </si>
  <si>
    <t>10202113S</t>
  </si>
  <si>
    <t>10202213S</t>
  </si>
  <si>
    <t>10302313S</t>
  </si>
  <si>
    <t>10502413S</t>
  </si>
  <si>
    <t>10202513S</t>
  </si>
  <si>
    <t>10202613S</t>
  </si>
  <si>
    <t>10302413S</t>
  </si>
  <si>
    <t>10502513S</t>
  </si>
  <si>
    <t>10202913S</t>
  </si>
  <si>
    <t>10203013S</t>
  </si>
  <si>
    <t>10203113S</t>
  </si>
  <si>
    <t>10303213S</t>
  </si>
  <si>
    <t>10503313S</t>
  </si>
  <si>
    <t>10203213S</t>
  </si>
  <si>
    <t>10203513S</t>
  </si>
  <si>
    <t>10303613S</t>
  </si>
  <si>
    <t>10503713S</t>
  </si>
  <si>
    <t>10203813S</t>
  </si>
  <si>
    <t>10203913S</t>
  </si>
  <si>
    <t>10304013S</t>
  </si>
  <si>
    <t>10204213S</t>
  </si>
  <si>
    <t>10204313S</t>
  </si>
  <si>
    <t>10204413S</t>
  </si>
  <si>
    <t>Yenidənmaliyyələşdirmə</t>
  </si>
  <si>
    <t xml:space="preserve">Lombard </t>
  </si>
  <si>
    <t xml:space="preserve"> Notlar</t>
  </si>
  <si>
    <t>Əks Repo</t>
  </si>
  <si>
    <t>Refinancing</t>
  </si>
  <si>
    <t>Refinancing rate</t>
  </si>
  <si>
    <t>Notes</t>
  </si>
  <si>
    <t>1-day</t>
  </si>
  <si>
    <t>4.75</t>
  </si>
  <si>
    <t>AZ0105018789</t>
  </si>
  <si>
    <t>AZ0104010779</t>
  </si>
  <si>
    <t>AZ0105019787</t>
  </si>
  <si>
    <t>AZ0104011777</t>
  </si>
  <si>
    <t>50101083S</t>
  </si>
  <si>
    <t>50101183S</t>
  </si>
  <si>
    <t>50101283S</t>
  </si>
  <si>
    <t>50101383S</t>
  </si>
  <si>
    <t>50101483S</t>
  </si>
  <si>
    <t>AZ0106020784</t>
  </si>
  <si>
    <t>AZ0104012775</t>
  </si>
  <si>
    <t>AZ0105021783</t>
  </si>
  <si>
    <t>AZ0106022780</t>
  </si>
  <si>
    <t>50101583S</t>
  </si>
  <si>
    <t>50100186S</t>
  </si>
  <si>
    <t>50100286S</t>
  </si>
  <si>
    <t>50100386S</t>
  </si>
  <si>
    <t>RIII,2020     QIII,2020</t>
  </si>
  <si>
    <t>50100486S</t>
  </si>
  <si>
    <t>50100586S</t>
  </si>
  <si>
    <t>50100686S</t>
  </si>
  <si>
    <t>50100786S</t>
  </si>
  <si>
    <t>AZ0105001850</t>
  </si>
  <si>
    <t>AZ0106002857</t>
  </si>
  <si>
    <t>AZ0105003856</t>
  </si>
  <si>
    <t>AZ0106004853</t>
  </si>
  <si>
    <t>AZ0104001844</t>
  </si>
  <si>
    <t>C</t>
  </si>
  <si>
    <t xml:space="preserve"> -  xarici bankların yerli filialları</t>
  </si>
  <si>
    <t>Bankların ATM-lərin sayı</t>
  </si>
  <si>
    <t>Bank işçilərinin sayı</t>
  </si>
  <si>
    <t>Cədvəl 5.2. Bank sektorunun icmal balansı</t>
  </si>
  <si>
    <t>Cədvəl 5.3. Bank sektorunun mənfəət və zərər haqqında hesabatı</t>
  </si>
  <si>
    <t>Portfelin bölgüsü</t>
  </si>
  <si>
    <t xml:space="preserve"> - biznes kreditləri*</t>
  </si>
  <si>
    <t xml:space="preserve"> - istehlak kreditləri</t>
  </si>
  <si>
    <t xml:space="preserve"> - ipoteka kreditləri</t>
  </si>
  <si>
    <t xml:space="preserve"> Cədvəl 5.4. Bankların kredit portfelinin strukturu barədə məlumat</t>
  </si>
  <si>
    <t>Cari hesablar valyuta</t>
  </si>
  <si>
    <t>Müddətli valyuta</t>
  </si>
  <si>
    <t>50100886S</t>
  </si>
  <si>
    <t>50100986S</t>
  </si>
  <si>
    <t>50101086S</t>
  </si>
  <si>
    <t>50101186S</t>
  </si>
  <si>
    <t>50101286S</t>
  </si>
  <si>
    <t>2021</t>
  </si>
  <si>
    <t>50100189S</t>
  </si>
  <si>
    <t>50200289S</t>
  </si>
  <si>
    <t>50300389S</t>
  </si>
  <si>
    <t>50100489S</t>
  </si>
  <si>
    <t>50400589S</t>
  </si>
  <si>
    <t>50100689S</t>
  </si>
  <si>
    <t>nizamnamə kapitalının 50%-dən 100%-ə qədərini təşkil edən</t>
  </si>
  <si>
    <t>AZ0106001883</t>
  </si>
  <si>
    <t>AZ0104001877</t>
  </si>
  <si>
    <t>AZ0105002882</t>
  </si>
  <si>
    <t>AZ0106003889</t>
  </si>
  <si>
    <t>AZ0104002875</t>
  </si>
  <si>
    <t>AZ0106004887</t>
  </si>
  <si>
    <t>AZ0105005885</t>
  </si>
  <si>
    <t>50100789S</t>
  </si>
  <si>
    <t>50100889S</t>
  </si>
  <si>
    <t>50100989S</t>
  </si>
  <si>
    <t>50101089S</t>
  </si>
  <si>
    <t>Aylıq inflyasiya</t>
  </si>
  <si>
    <t>Orta illik inflyasiya</t>
  </si>
  <si>
    <t>Monthly inflation rate</t>
  </si>
  <si>
    <t>Average annual inflation rate</t>
  </si>
  <si>
    <t>RIV,2020      QIV,2020</t>
  </si>
  <si>
    <t>50101189S</t>
  </si>
  <si>
    <t>50101289S</t>
  </si>
  <si>
    <t>50101389S</t>
  </si>
  <si>
    <t>50101489S</t>
  </si>
  <si>
    <t>Yerləşdirilmiş  həcm</t>
  </si>
  <si>
    <t>AZ0106007880</t>
  </si>
  <si>
    <t>AZ0106008888</t>
  </si>
  <si>
    <t>AZ0106009886</t>
  </si>
  <si>
    <t>1092  </t>
  </si>
  <si>
    <t>50101589S</t>
  </si>
  <si>
    <t>50101690S</t>
  </si>
  <si>
    <t>50101790S</t>
  </si>
  <si>
    <t>50101890S</t>
  </si>
  <si>
    <t>AZ0106010884</t>
  </si>
  <si>
    <t>AZ0104004871</t>
  </si>
  <si>
    <t>AZ0105012881</t>
  </si>
  <si>
    <t>AZ0106013888</t>
  </si>
  <si>
    <t>4.30.2020*</t>
  </si>
  <si>
    <t>5.31.2020*</t>
  </si>
  <si>
    <t>30.04.2020  **</t>
  </si>
  <si>
    <t>50101990S</t>
  </si>
  <si>
    <t>50102090S</t>
  </si>
  <si>
    <t>50102190S</t>
  </si>
  <si>
    <t>RI,2021      QI,2021</t>
  </si>
  <si>
    <t>AZ0106014886</t>
  </si>
  <si>
    <t>AZ0104005878</t>
  </si>
  <si>
    <t>AZ0108015881</t>
  </si>
  <si>
    <t>AZ0105016882</t>
  </si>
  <si>
    <t>AZ0106017889</t>
  </si>
  <si>
    <t>31.05.2020 **</t>
  </si>
  <si>
    <t xml:space="preserve">1000 ödəniş kartına düşən əməliyyatların orta aylıq </t>
  </si>
  <si>
    <t>50102290S</t>
  </si>
  <si>
    <t>50102390S</t>
  </si>
  <si>
    <t>50102490S</t>
  </si>
  <si>
    <t>50102590S</t>
  </si>
  <si>
    <t>AZ0106018887</t>
  </si>
  <si>
    <t>AZ0104006876</t>
  </si>
  <si>
    <t>AZ0106020883</t>
  </si>
  <si>
    <t>Nominal average monthly wage</t>
  </si>
  <si>
    <t>50102690S</t>
  </si>
  <si>
    <t>50102790S</t>
  </si>
  <si>
    <t>50102890S</t>
  </si>
  <si>
    <t>50102990S</t>
  </si>
  <si>
    <t>Mədənçıxarma və elektrik enerjisi, qaz, buxar və su təsərrüfatı sektoru</t>
  </si>
  <si>
    <t>Digər sektorlarda fəaliyyət göstərən dövlət mülkiyyətində olan hüquqi şəxslər, bələdiyyələr və ictimai təşkilatlara</t>
  </si>
  <si>
    <t>Büdcə təşkilatlarına və dövlət fondlarına</t>
  </si>
  <si>
    <t>Qarantiyalar üzrə</t>
  </si>
  <si>
    <t xml:space="preserve">Mining, electricity, gas, steam and water </t>
  </si>
  <si>
    <t xml:space="preserve">Agriculture, forestry and fisheries </t>
  </si>
  <si>
    <t>State-owned legal entities, municipalities and public organizations in other sectors</t>
  </si>
  <si>
    <t>Building and construction</t>
  </si>
  <si>
    <t>Transportation and communication</t>
  </si>
  <si>
    <t xml:space="preserve">Budget organizations and state funds </t>
  </si>
  <si>
    <t>RII,2021      QII,2021</t>
  </si>
  <si>
    <t>AZ0108024883</t>
  </si>
  <si>
    <t>AZ0105025883</t>
  </si>
  <si>
    <t>AZ0106027888</t>
  </si>
  <si>
    <t>RUB</t>
  </si>
  <si>
    <t>Uçot faiz dərəcəsi</t>
  </si>
  <si>
    <t>28 günlük notlar üzrə  % dərəcəsi</t>
  </si>
  <si>
    <t>84 günlük not  % dərəcəsi</t>
  </si>
  <si>
    <t>168 günlük not  % dərəcəsi</t>
  </si>
  <si>
    <t>252 günlük not  % dərəcəsi</t>
  </si>
  <si>
    <t>Faiz dəhlizinin aşağı həddi</t>
  </si>
  <si>
    <t>Faiz dəhlizinin yuxarı həddi</t>
  </si>
  <si>
    <t>7,5</t>
  </si>
  <si>
    <t>9,5</t>
  </si>
  <si>
    <t>13</t>
  </si>
  <si>
    <t>14</t>
  </si>
  <si>
    <t>15</t>
  </si>
  <si>
    <t>5,25</t>
  </si>
  <si>
    <t>3,5</t>
  </si>
  <si>
    <t>50103190S</t>
  </si>
  <si>
    <t>50103090S</t>
  </si>
  <si>
    <t>50400679S</t>
  </si>
  <si>
    <t>50300579S</t>
  </si>
  <si>
    <t>50200479S</t>
  </si>
  <si>
    <t>50101669S</t>
  </si>
  <si>
    <t>50100669S</t>
  </si>
  <si>
    <t>2,94,%</t>
  </si>
  <si>
    <t>50102530S</t>
  </si>
  <si>
    <t>50102430S</t>
  </si>
  <si>
    <t>50102330S</t>
  </si>
  <si>
    <t>50102230S</t>
  </si>
  <si>
    <t>50102130S</t>
  </si>
  <si>
    <t>50101930S</t>
  </si>
  <si>
    <t>50101830S</t>
  </si>
  <si>
    <t>50101730S</t>
  </si>
  <si>
    <t xml:space="preserve">                        Nominal (mln. manat)</t>
  </si>
  <si>
    <t>Hərracda yerləşdirilmiş həcm</t>
  </si>
  <si>
    <t xml:space="preserve">Təqdim olunmuş sifarişlərin həcmi </t>
  </si>
  <si>
    <t>Hərracda iştirakçıların sayı</t>
  </si>
  <si>
    <t>Çexiya kronu</t>
  </si>
  <si>
    <t>Czech koruna</t>
  </si>
  <si>
    <t>Sentybar</t>
  </si>
  <si>
    <t>Dövlət büdcəsindən Fonda ayrılmış  vəsait</t>
  </si>
  <si>
    <t>Fond tərəfindən yenidən maliyyələşdirilmiş ipoteka kreditləri</t>
  </si>
  <si>
    <t>Fondun yerləşdirilmiş istiqrazlarının həcmi</t>
  </si>
  <si>
    <t>Banklar tərəfindən verilən məbləğ, AZN</t>
  </si>
  <si>
    <t>The amount of loans issued by banks</t>
  </si>
  <si>
    <t>Refinanced mortgage loans by the fund</t>
  </si>
  <si>
    <t>Allocation  to the Fund from the state budget</t>
  </si>
  <si>
    <t>Mortgage loans issued by banks</t>
  </si>
  <si>
    <t>Volume of the Fund's issued bonds</t>
  </si>
  <si>
    <t>AZ0108028884</t>
  </si>
  <si>
    <t>AZ0106029884</t>
  </si>
  <si>
    <t>AZ0110002927</t>
  </si>
  <si>
    <t>AZ0108030880</t>
  </si>
  <si>
    <t>Bakı iqtisadi rayonu</t>
  </si>
  <si>
    <t>Abşeron-Xızı iqtisadi rayonu</t>
  </si>
  <si>
    <t>Gəncə-Daşkəsən iqtisadi rayonu</t>
  </si>
  <si>
    <t>Qarabağ iqtisadi rayonu</t>
  </si>
  <si>
    <t>Qazax-Tovuz iqtisadi rayonu</t>
  </si>
  <si>
    <t>Lənkəran-Astara iqtisadi rayonu</t>
  </si>
  <si>
    <t>Mərkəzi Aran iqtisadi rayonu</t>
  </si>
  <si>
    <t>Mil-Muğan iqtisadi rayonu</t>
  </si>
  <si>
    <t>Şərqi Zəngəzur iqtisadi rayonu</t>
  </si>
  <si>
    <t>Şirvan-Salyan iqtisadi rayonu</t>
  </si>
  <si>
    <t>50103290S</t>
  </si>
  <si>
    <t>50103390S</t>
  </si>
  <si>
    <t>AZ0108031888</t>
  </si>
  <si>
    <t>AZ0106032888</t>
  </si>
  <si>
    <t>AZ0110003925</t>
  </si>
  <si>
    <t>AZ0108033884</t>
  </si>
  <si>
    <t>min ABŞ dolları / thousand USD</t>
  </si>
  <si>
    <t xml:space="preserve">Broad money, in manat </t>
  </si>
  <si>
    <r>
      <t xml:space="preserve">Note: </t>
    </r>
    <r>
      <rPr>
        <i/>
        <sz val="11"/>
        <color theme="8" tint="-0.249977111117893"/>
        <rFont val="Times New Roman"/>
        <family val="1"/>
      </rPr>
      <t>Based on the IMF's 6-th edition manual, the balance of payment is classified from 2013 according to assets/liabilities.</t>
    </r>
  </si>
  <si>
    <r>
      <t xml:space="preserve">Mənbə: Azərbaycan Respublikasının Mərkəzi Bankı </t>
    </r>
    <r>
      <rPr>
        <i/>
        <sz val="11"/>
        <color theme="8" tint="-0.249977111117893"/>
        <rFont val="Times New Roman"/>
        <family val="1"/>
      </rPr>
      <t>/ Source: The Central Bank of the Republic of Azerbaijan</t>
    </r>
  </si>
  <si>
    <t>Qeyd: BVF-nin tədiyə balansı üzrə yeni (6-cı nəşr) təlimatının tələblərinə uyğun olaraq 2013-cü ildən etibarən tədiyə balansı Aktivlər/Öhdəliklər prinsipi üzrə təsnifləşdirilmişdir.</t>
  </si>
  <si>
    <r>
      <t xml:space="preserve">Mənbə: Azərbaycan Respublikasının Mərkəzi Bankı 
</t>
    </r>
    <r>
      <rPr>
        <i/>
        <sz val="10"/>
        <color theme="8" tint="-0.249977111117893"/>
        <rFont val="Times New Roman"/>
        <family val="1"/>
        <charset val="162"/>
      </rPr>
      <t>Source: Central Bank of the Republic of Azerbaijan</t>
    </r>
  </si>
  <si>
    <r>
      <t xml:space="preserve">Mənbə: Azərbaycan Respublikasının Mərkəzi Bankı 
</t>
    </r>
    <r>
      <rPr>
        <i/>
        <sz val="9"/>
        <color theme="8" tint="-0.249977111117893"/>
        <rFont val="Times New Roman"/>
        <family val="1"/>
      </rPr>
      <t>Source: Central Bank of the Republic of Azerbaijan</t>
    </r>
  </si>
  <si>
    <r>
      <t xml:space="preserve">Mənbə: Azərbaycan Respublikasının Mərkəzi Bankı / </t>
    </r>
    <r>
      <rPr>
        <i/>
        <sz val="9"/>
        <color theme="8" tint="-0.249977111117893"/>
        <rFont val="Times New Roman"/>
        <family val="1"/>
      </rPr>
      <t>Source: The Central Bank of the Republic of Azerbaijan</t>
    </r>
  </si>
  <si>
    <r>
      <t xml:space="preserve">** Qeyri-rezidentlərin və dövlət idarəetmə orqanlarının depozitləri  daxil olmadan / </t>
    </r>
    <r>
      <rPr>
        <i/>
        <sz val="8"/>
        <color theme="8" tint="-0.249977111117893"/>
        <rFont val="Times New Roman"/>
        <family val="1"/>
      </rPr>
      <t xml:space="preserve">The deposits of non-residents and central government are excluded </t>
    </r>
  </si>
  <si>
    <r>
      <t xml:space="preserve">Mənbə: Azərbaycan Respublikasının Mərkəzi Bankı / </t>
    </r>
    <r>
      <rPr>
        <i/>
        <sz val="8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</si>
  <si>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Mərkəzi Bankı / </t>
    </r>
    <r>
      <rPr>
        <i/>
        <sz val="11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</si>
  <si>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Mərkəzi Bankı  / </t>
    </r>
    <r>
      <rPr>
        <i/>
        <sz val="12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</si>
  <si>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İpoteka və Kredit Zəmanəti Fondu (AİKZF) 
</t>
    </r>
    <r>
      <rPr>
        <i/>
        <sz val="10"/>
        <color theme="8" tint="-0.249977111117893"/>
        <rFont val="Times New Roman"/>
        <family val="1"/>
      </rPr>
      <t>Source: Mortgage and Credit Guarantee Fund of the Republic of Azerbaijan (MCGFA)</t>
    </r>
  </si>
  <si>
    <r>
      <t xml:space="preserve">Mənbə: Azərbaycan Respublikasının Mərkəzi Bankı 
</t>
    </r>
    <r>
      <rPr>
        <i/>
        <sz val="14"/>
        <color theme="8" tint="-0.249977111117893"/>
        <rFont val="Times New Roman"/>
        <family val="1"/>
        <charset val="162"/>
      </rPr>
      <t>Source: The Central Bank of the Republic of Azerbaijan</t>
    </r>
  </si>
  <si>
    <r>
      <t>Qeyd: Göstəricilər Beynəlxalq Valyuta Fondunun "Pul və Maliyyə Statistikası" metodologiyasına əsasən hesablanır. Qeyri-rezidentlərin, dövlət idarəetmə orqanlarının, bələdiyyələrin və ictimai təşkilatların depozitləri daxil olmaqla
Note:</t>
    </r>
    <r>
      <rPr>
        <i/>
        <sz val="11"/>
        <color theme="8" tint="-0.249977111117893"/>
        <rFont val="Times New Roman"/>
        <family val="1"/>
      </rPr>
      <t xml:space="preserve">Deposits of non-residents, central government, public organizations and municipals are included according to methodology of  IMF's "Monetary and Financial Statistics" </t>
    </r>
  </si>
  <si>
    <r>
      <t xml:space="preserve">Qeyd: Göstəricilər Beynəlxalq Valyuta Fondunun "Pul və Maliyyə Statistikası" metodologiyasına əsasən hesablanır. Qeyri-rezidentlərin, dövlət idarəetmə orqanlarının, bələdiyyələrin və ictimai təşkilatların depozitləri daxil olmaqla
</t>
    </r>
    <r>
      <rPr>
        <i/>
        <sz val="9"/>
        <color theme="8" tint="-0.249977111117893"/>
        <rFont val="Times New Roman"/>
        <family val="1"/>
      </rPr>
      <t xml:space="preserve">Note: Deposits of non-residents, central government, public organizations and municipals are included according to methodology of  IMF's "Monetary and Financial Statistics" </t>
    </r>
  </si>
  <si>
    <r>
      <t>Mənbə: Azərbaycan Respublikasının Mərkəzi Bankı /</t>
    </r>
    <r>
      <rPr>
        <i/>
        <sz val="10"/>
        <color theme="8" tint="-0.249977111117893"/>
        <rFont val="Times New Roman"/>
        <family val="1"/>
      </rPr>
      <t xml:space="preserve"> Source: The Central Bank of the Republic of Azerbaijan</t>
    </r>
  </si>
  <si>
    <r>
      <rPr>
        <b/>
        <i/>
        <sz val="9"/>
        <color theme="8" tint="-0.249977111117893"/>
        <rFont val="Times New Roman"/>
        <family val="1"/>
      </rPr>
      <t xml:space="preserve">Mənbə: Azərbaycan Respublikasının Mərkəzi Bankı / </t>
    </r>
    <r>
      <rPr>
        <i/>
        <sz val="9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</si>
  <si>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Mərkəzi Bankı  
</t>
    </r>
    <r>
      <rPr>
        <i/>
        <sz val="14"/>
        <color theme="8" tint="-0.249977111117893"/>
        <rFont val="Times New Roman"/>
        <family val="1"/>
        <charset val="162"/>
      </rPr>
      <t>Source: The Central Bank of the Republic of Azerbaijan</t>
    </r>
  </si>
  <si>
    <r>
      <t xml:space="preserve">Mənbə: Azərbaycan Respublikasının Mərkəzi Bankı 
</t>
    </r>
    <r>
      <rPr>
        <i/>
        <sz val="11"/>
        <color theme="8" tint="-0.249977111117893"/>
        <rFont val="Times New Roman"/>
        <family val="1"/>
      </rPr>
      <t>Source: The Central Bank of the Republic of Azerbaijan</t>
    </r>
  </si>
  <si>
    <r>
      <t xml:space="preserve">Mənbə:  Azərbaycan Respublikasının Mərkəzi Bankı 
</t>
    </r>
    <r>
      <rPr>
        <i/>
        <sz val="8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</si>
  <si>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Mərkəzi Bankı 
</t>
    </r>
    <r>
      <rPr>
        <i/>
        <sz val="10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</si>
  <si>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Mərkəzi Bankı 
</t>
    </r>
    <r>
      <rPr>
        <i/>
        <sz val="9"/>
        <color theme="8" tint="-0.249977111117893"/>
        <rFont val="Times New Roman"/>
        <family val="1"/>
      </rPr>
      <t>Source: The Central Bank of the Republic of Azerbaijan</t>
    </r>
  </si>
  <si>
    <r>
      <t xml:space="preserve">Mənbə: Bakı Fond Birjası 
</t>
    </r>
    <r>
      <rPr>
        <i/>
        <sz val="9"/>
        <color theme="8" tint="-0.249977111117893"/>
        <rFont val="Times New Roman"/>
        <family val="1"/>
      </rPr>
      <t>Source: Baku Stock Exchange</t>
    </r>
  </si>
  <si>
    <r>
      <t xml:space="preserve">Mənbə: Azərbaycan Respublikasının Mərkəzi Bankı 
</t>
    </r>
    <r>
      <rPr>
        <i/>
        <sz val="8"/>
        <color theme="8" tint="-0.249977111117893"/>
        <rFont val="Times New Roman"/>
        <family val="1"/>
      </rPr>
      <t>Source: The Central Bank of the Republic of Azerbaijan</t>
    </r>
  </si>
  <si>
    <r>
      <t>Qeyd: Göstəricilər Beynəlxalq Valyuta Fondunun "Pul və Maliyyə Statistikası" metodologiyasına əsasən hesablanır /</t>
    </r>
    <r>
      <rPr>
        <i/>
        <sz val="10"/>
        <color theme="8" tint="-0.249977111117893"/>
        <rFont val="Times New Roman"/>
        <family val="1"/>
      </rPr>
      <t xml:space="preserve"> Note: According to IMF's "Monetary and Financial Statistics"</t>
    </r>
  </si>
  <si>
    <r>
      <t>Qeyd: Göstəricilər Beynəlxalq Valyuta Fondunun "Pul və Maliyyə Statistikası" metodologiyasına əsasən hesablanır /</t>
    </r>
    <r>
      <rPr>
        <i/>
        <sz val="9"/>
        <color theme="8" tint="-0.249977111117893"/>
        <rFont val="Times New Roman"/>
        <family val="1"/>
      </rPr>
      <t xml:space="preserve"> Note: According to IMF's "Monetary and Financial Statistics"</t>
    </r>
  </si>
  <si>
    <r>
      <t xml:space="preserve">Qeyd: Göstəricilər Beynəlxalq Valyuta Fondunun "Pul və Maliyyə Statistikası" metodologiyasına əsasən hesablanır / Note: </t>
    </r>
    <r>
      <rPr>
        <i/>
        <sz val="12"/>
        <color theme="8" tint="-0.249977111117893"/>
        <rFont val="Times New Roman"/>
        <family val="1"/>
      </rPr>
      <t>According to IMF's "Monetary and Financial Statistics"</t>
    </r>
  </si>
  <si>
    <r>
      <t xml:space="preserve">Qeyd: Göstəricilər Beynəlxalq Valyuta Fondunun "Pul və Maliyyə Statistikası" metodologiyasına əsasən hesablanır.  Fərdi sahibkarlıqla məşğul olan fiziki şəxslərin əmanətləri daxil olmaqla  
Note: </t>
    </r>
    <r>
      <rPr>
        <i/>
        <sz val="10"/>
        <color theme="8" tint="-0.249977111117893"/>
        <rFont val="Times New Roman"/>
        <family val="1"/>
      </rPr>
      <t xml:space="preserve">Deposits of private entrepreneurs are included according to methodology of  IMF's "Monetary and Financial Statistics" </t>
    </r>
  </si>
  <si>
    <t>Cədvəl 3.4. Mərkəzi Bankın notları</t>
  </si>
  <si>
    <t xml:space="preserve">Cədvəl 3.5. Qiymətli kağızlar bazarı üzrə əsas göstəricilər </t>
  </si>
  <si>
    <t>Table 3.5. Main indicators of securities market</t>
  </si>
  <si>
    <t>Table 3.6. Exchange operations with cash foreign currency</t>
  </si>
  <si>
    <t>Cədvəl 1.1. Əsas makroiqtisadi göstəricilər</t>
  </si>
  <si>
    <t>Table 1.1. Main macroeconomic indicators</t>
  </si>
  <si>
    <t>Cədvəl 1.4. Azərbaycan Respublikasının tədiyə balansı</t>
  </si>
  <si>
    <t xml:space="preserve">Table 1.4. Balance of payments of the Republic of Azerbaijan </t>
  </si>
  <si>
    <r>
      <t xml:space="preserve">Cədvəl 1.5. Azərbaycan Respublikasının xarici ticarəti </t>
    </r>
    <r>
      <rPr>
        <b/>
        <i/>
        <sz val="14"/>
        <color rgb="FF366092"/>
        <rFont val="Times New Roman"/>
        <family val="1"/>
      </rPr>
      <t>(tədiyə balansı metodologiyasına əsasən)</t>
    </r>
  </si>
  <si>
    <r>
      <t xml:space="preserve">Table 1.5. Foreign trade of the Republic of Azerbaijan </t>
    </r>
    <r>
      <rPr>
        <i/>
        <sz val="14"/>
        <color rgb="FF366092"/>
        <rFont val="Times New Roman"/>
        <family val="1"/>
      </rPr>
      <t>(based on a balance of payments methodology)</t>
    </r>
  </si>
  <si>
    <r>
      <t xml:space="preserve">Cədvəl 2.1. Pul icmalı </t>
    </r>
    <r>
      <rPr>
        <b/>
        <i/>
        <sz val="11"/>
        <color rgb="FF366092"/>
        <rFont val="Times New Roman"/>
        <family val="1"/>
      </rPr>
      <t>(dövrün sonuna)</t>
    </r>
  </si>
  <si>
    <r>
      <t>Table 2.1. Monetary survey</t>
    </r>
    <r>
      <rPr>
        <i/>
        <sz val="11"/>
        <color rgb="FF366092"/>
        <rFont val="Times New Roman"/>
        <family val="1"/>
      </rPr>
      <t xml:space="preserve"> (end of period)</t>
    </r>
  </si>
  <si>
    <r>
      <t>Table 2.3. Analytical Balance of Commercial banks</t>
    </r>
    <r>
      <rPr>
        <i/>
        <sz val="11"/>
        <color rgb="FF366092"/>
        <rFont val="Times New Roman"/>
        <family val="1"/>
      </rPr>
      <t xml:space="preserve"> (end of period)</t>
    </r>
  </si>
  <si>
    <r>
      <t xml:space="preserve">Cədvəl 2.4. Pul aqreqatları </t>
    </r>
    <r>
      <rPr>
        <b/>
        <i/>
        <sz val="16"/>
        <color rgb="FF366092"/>
        <rFont val="Times New Roman"/>
        <family val="1"/>
      </rPr>
      <t>(dövrün sonuna)</t>
    </r>
  </si>
  <si>
    <r>
      <t xml:space="preserve">  Table 2.4. Money aggregates </t>
    </r>
    <r>
      <rPr>
        <i/>
        <sz val="16"/>
        <color rgb="FF366092"/>
        <rFont val="Times New Roman"/>
        <family val="1"/>
      </rPr>
      <t>(end of period)</t>
    </r>
  </si>
  <si>
    <r>
      <t xml:space="preserve">Table 2.5. Monetary base </t>
    </r>
    <r>
      <rPr>
        <i/>
        <sz val="12"/>
        <color rgb="FF366092"/>
        <rFont val="Times New Roman"/>
        <family val="1"/>
      </rPr>
      <t>(end of period)</t>
    </r>
  </si>
  <si>
    <r>
      <t xml:space="preserve">Table 2.6. The structure of loans to the economy by the type of credit institutions </t>
    </r>
    <r>
      <rPr>
        <i/>
        <sz val="14"/>
        <color rgb="FF366092"/>
        <rFont val="Times New Roman"/>
        <family val="1"/>
      </rPr>
      <t>(end of period)</t>
    </r>
  </si>
  <si>
    <r>
      <t xml:space="preserve">Cədvəl 2.6. İqtisadiyyata kredit qoyuluşlarının kredit təşkilatları üzrə strukturu </t>
    </r>
    <r>
      <rPr>
        <b/>
        <i/>
        <sz val="14"/>
        <color rgb="FF366092"/>
        <rFont val="Times New Roman"/>
        <family val="1"/>
      </rPr>
      <t>(dövrün sonuna)</t>
    </r>
  </si>
  <si>
    <r>
      <t xml:space="preserve">Cədvəl 2.7. Kredit təşkilatlarının müddətlər üzrə kredit qoyuluşları </t>
    </r>
    <r>
      <rPr>
        <b/>
        <i/>
        <sz val="12"/>
        <color rgb="FF366092"/>
        <rFont val="Times New Roman"/>
        <family val="1"/>
      </rPr>
      <t>(dövrün sonuna)</t>
    </r>
  </si>
  <si>
    <r>
      <t xml:space="preserve">Table 2.7. Loans of credit institutions by maturity </t>
    </r>
    <r>
      <rPr>
        <i/>
        <sz val="12"/>
        <color rgb="FF366092"/>
        <rFont val="Times New Roman"/>
        <family val="1"/>
      </rPr>
      <t>(end of period)</t>
    </r>
  </si>
  <si>
    <r>
      <t>Cədvəl 2.8. Kredit qoyuluşlarının sahələr üzrə strukturu</t>
    </r>
    <r>
      <rPr>
        <b/>
        <i/>
        <sz val="20"/>
        <color rgb="FF366092"/>
        <rFont val="Times New Roman"/>
        <family val="1"/>
      </rPr>
      <t xml:space="preserve"> (dövrün sonuna)</t>
    </r>
  </si>
  <si>
    <r>
      <t xml:space="preserve">Table 2.8. Sectoral breakdown of loans </t>
    </r>
    <r>
      <rPr>
        <i/>
        <sz val="20"/>
        <color rgb="FF366092"/>
        <rFont val="Times New Roman"/>
        <family val="1"/>
      </rPr>
      <t>(end of period)</t>
    </r>
  </si>
  <si>
    <t>Cədvəl 2.9. İpoteka kreditləri haqqında məlumat</t>
  </si>
  <si>
    <t>Table 2.9. Mortgage loans</t>
  </si>
  <si>
    <t>Cədvəl 2.10. Regionlar üzrə kredit qoyuluşu</t>
  </si>
  <si>
    <t>Table 2.10. Loans by regions</t>
  </si>
  <si>
    <r>
      <t>Cədvəl 2.11. Kredit təşkilatlarında yerləşdirilmiş depozit və əmanətlər</t>
    </r>
    <r>
      <rPr>
        <b/>
        <i/>
        <sz val="14"/>
        <color rgb="FF366092"/>
        <rFont val="Times New Roman"/>
        <family val="1"/>
        <charset val="162"/>
      </rPr>
      <t xml:space="preserve"> (dövrün sonuna)</t>
    </r>
  </si>
  <si>
    <r>
      <t xml:space="preserve">Table 2.11. Deposits and savings in credit institutions </t>
    </r>
    <r>
      <rPr>
        <i/>
        <sz val="14"/>
        <color rgb="FF366092"/>
        <rFont val="Times New Roman"/>
        <family val="1"/>
        <charset val="162"/>
      </rPr>
      <t>(end of period)</t>
    </r>
  </si>
  <si>
    <r>
      <t xml:space="preserve">Cədvəl 2.12. Cəmi depozit bazasının valyutalar üzrə strukturu </t>
    </r>
    <r>
      <rPr>
        <b/>
        <i/>
        <sz val="12"/>
        <color rgb="FF366092"/>
        <rFont val="Times New Roman"/>
        <family val="1"/>
      </rPr>
      <t>(dövrün sonuna)</t>
    </r>
  </si>
  <si>
    <r>
      <t xml:space="preserve">Table 2.12. Structure of deposits by currencies </t>
    </r>
    <r>
      <rPr>
        <i/>
        <sz val="12"/>
        <color rgb="FF366092"/>
        <rFont val="Times New Roman"/>
        <family val="1"/>
      </rPr>
      <t>(end of period)</t>
    </r>
  </si>
  <si>
    <t xml:space="preserve">Cədvəl 2.13. Fiziki şəxslərin əmanətlərinin strukturu  </t>
  </si>
  <si>
    <t>Cədvəl 2.14. Regionlar üzrə cəlb olunmuş əmanətlər</t>
  </si>
  <si>
    <t>Table 2.14. Savings by regions</t>
  </si>
  <si>
    <r>
      <t xml:space="preserve">Cədvəl 2.15. Mərkəzi Bankın məcburi ehtiyat normaları, </t>
    </r>
    <r>
      <rPr>
        <b/>
        <i/>
        <sz val="14"/>
        <color rgb="FF366092"/>
        <rFont val="Times New Roman"/>
        <family val="1"/>
      </rPr>
      <t>%-lə</t>
    </r>
  </si>
  <si>
    <r>
      <t xml:space="preserve">Table 2.15. Reserve requirements of the CBA, </t>
    </r>
    <r>
      <rPr>
        <i/>
        <sz val="14"/>
        <color rgb="FF366092"/>
        <rFont val="Times New Roman"/>
        <family val="1"/>
      </rPr>
      <t>%</t>
    </r>
  </si>
  <si>
    <t>Table 2.16. Official average exchange rates of manat</t>
  </si>
  <si>
    <t>Cədvəl 3.3. Dövlət istiqrazları</t>
  </si>
  <si>
    <t xml:space="preserve">     o cümlədən</t>
  </si>
  <si>
    <t>valyuta ilə</t>
  </si>
  <si>
    <t xml:space="preserve">   Uzunmüddətli kredit qoyuluşu</t>
  </si>
  <si>
    <t>Cəmi kredit qoyuluşu</t>
  </si>
  <si>
    <t xml:space="preserve">   Qısamüddətli kreditlər</t>
  </si>
  <si>
    <t xml:space="preserve"> xarici valyuta ilə</t>
  </si>
  <si>
    <t xml:space="preserve">   Uzunmüddətli kreditlər</t>
  </si>
  <si>
    <t>Cədvəl 1.3. Azərbaycan Respublikasının dövlət büdcəsinin əsas göstəriciləri</t>
  </si>
  <si>
    <t>Table 1.3. Major indicators of the state budget of the Republic of Azerbaijan</t>
  </si>
  <si>
    <r>
      <t xml:space="preserve">Cədvəl 2.3. Kommersiya banklarının analitik balansı </t>
    </r>
    <r>
      <rPr>
        <b/>
        <i/>
        <sz val="11"/>
        <color rgb="FF366092"/>
        <rFont val="Times New Roman"/>
        <family val="1"/>
      </rPr>
      <t>(dövrün sonuna)</t>
    </r>
  </si>
  <si>
    <t xml:space="preserve">Xarici öhdəliklər </t>
  </si>
  <si>
    <t>Foreign liabilities</t>
  </si>
  <si>
    <t>Ratio of M2 to manat Reserve money</t>
  </si>
  <si>
    <t xml:space="preserve"> Ratio of M3 to Reserve money</t>
  </si>
  <si>
    <t>Pul bazası,  manatla</t>
  </si>
  <si>
    <t>Monetary base</t>
  </si>
  <si>
    <t xml:space="preserve"> Monetary base,
 in manat</t>
  </si>
  <si>
    <t>Xarici valyutada kreditlər</t>
  </si>
  <si>
    <t>Milli valyutada kreditlər</t>
  </si>
  <si>
    <t>İpoteka krediti üzrə maliyyə resurslarının dinamikası, mln. manat</t>
  </si>
  <si>
    <t>Dynamics of the financial resources for mortgage loans, mln. manats</t>
  </si>
  <si>
    <t>Qeyri-rezident bank və maliyyə təşkilatlarından, o cümlədən beynəlxalq maliyyə təşkilatlarından cəlb edilmiş vəsaitlər üzrə</t>
  </si>
  <si>
    <t>On liabilities of nonresident banks and financial institutions, including international financial institutions</t>
  </si>
  <si>
    <t>Dövretmə müddəti (gün)</t>
  </si>
  <si>
    <t>Nominal üzrə dövriyyədəki həcm, mln. manat</t>
  </si>
  <si>
    <t>Outstanding, mln. manat</t>
  </si>
  <si>
    <t>DQK bazarında payı, %</t>
  </si>
  <si>
    <t>Share in state securities market, %</t>
  </si>
  <si>
    <t>Bir ödənişin məbləği, 
min manat</t>
  </si>
  <si>
    <t>Sayı, 
min ədəd</t>
  </si>
  <si>
    <t>Məbləği, 
mln. manat</t>
  </si>
  <si>
    <t>Bir ödənişin məbləği,           manat</t>
  </si>
  <si>
    <t>Məbləği, mln. manat</t>
  </si>
  <si>
    <t>Bir ödənişin məbləği, manat</t>
  </si>
  <si>
    <t>Amount of transactions, 
mln. manat</t>
  </si>
  <si>
    <t xml:space="preserve">Ölkə daxili əməliyyatlardan: </t>
  </si>
  <si>
    <t>Həcmi, mln. manat</t>
  </si>
  <si>
    <t xml:space="preserve">                      Ölkə daxili əməliyyatlardan: </t>
  </si>
  <si>
    <t>Ölkəxarici əməliyyatların</t>
  </si>
  <si>
    <t>Ödəniş kartlarının ümumi sayı, min ədəd, (dövrün sonuna)</t>
  </si>
  <si>
    <t xml:space="preserve">                       Ölkə daxili əməliyyatlardan:</t>
  </si>
  <si>
    <t>Operations inside the country</t>
  </si>
  <si>
    <t>Operations outside the country</t>
  </si>
  <si>
    <t>Non-oil GDP*</t>
  </si>
  <si>
    <t>Gross foreign assets</t>
  </si>
  <si>
    <r>
      <t xml:space="preserve">* Qeyri-rezidentlərin və dövlət idarəetmə orqanlarının depozitləri daxil olmadan / </t>
    </r>
    <r>
      <rPr>
        <i/>
        <sz val="11.5"/>
        <color theme="8" tint="-0.249977111117893"/>
        <rFont val="Times New Roman"/>
        <family val="1"/>
      </rPr>
      <t xml:space="preserve">The deposits of non-residents and central government are excluded </t>
    </r>
  </si>
  <si>
    <r>
      <t xml:space="preserve">Mənbə: Azərbaycan Respublikasının Mərkəzi Bankı / </t>
    </r>
    <r>
      <rPr>
        <i/>
        <sz val="11.5"/>
        <color theme="8" tint="-0.249977111117893"/>
        <rFont val="Times New Roman"/>
        <family val="1"/>
      </rPr>
      <t>Source: The Central Bank of the Republic of Azerbaijan</t>
    </r>
  </si>
  <si>
    <r>
      <t xml:space="preserve">Cədvəl 2.5. Pul bazası </t>
    </r>
    <r>
      <rPr>
        <b/>
        <i/>
        <sz val="12"/>
        <color rgb="FF366092"/>
        <rFont val="Times New Roman"/>
        <family val="1"/>
      </rPr>
      <t>(dövrün sonuna)</t>
    </r>
  </si>
  <si>
    <t>1 day</t>
  </si>
  <si>
    <t>Corridor floor, %</t>
  </si>
  <si>
    <t>Corridor ceiling, %</t>
  </si>
  <si>
    <t>50103490S</t>
  </si>
  <si>
    <t>50103590S</t>
  </si>
  <si>
    <t>AZ0108034882</t>
  </si>
  <si>
    <t>RIII,2021     QIII,2021</t>
  </si>
  <si>
    <r>
      <t xml:space="preserve">Mənbə: Azərbaycan Respublikasının Mərkəzi Bankı, Azərbaycan Respublikası Dövlət Statistika Komitəsi
</t>
    </r>
    <r>
      <rPr>
        <i/>
        <sz val="9"/>
        <color rgb="FF31869B"/>
        <rFont val="Times New Roman"/>
        <family val="1"/>
      </rPr>
      <t>Source: The Central Bank of the Republic of Azerbaijan, The State Committee on Statistics of the Republic of Azerbaijan</t>
    </r>
  </si>
  <si>
    <r>
      <t xml:space="preserve">Mənbə: Azərbaycan Respublikasının Dövlət Statistika Komitəsi
</t>
    </r>
    <r>
      <rPr>
        <i/>
        <sz val="12"/>
        <color rgb="FF31869B"/>
        <rFont val="Times New Roman"/>
        <family val="1"/>
      </rPr>
      <t>Source: The State Committee on Statistics of the Republic of Azerbaijan</t>
    </r>
  </si>
  <si>
    <r>
      <t xml:space="preserve">Cədvəl 1.2. Qiymət indekslərinin dəyişməsi, </t>
    </r>
    <r>
      <rPr>
        <b/>
        <i/>
        <sz val="14"/>
        <color rgb="FF366092"/>
        <rFont val="Times New Roman"/>
        <family val="1"/>
        <charset val="162"/>
      </rPr>
      <t>%-lə</t>
    </r>
  </si>
  <si>
    <r>
      <t xml:space="preserve">Mənbə: Azərbaycan Respublikasının Mərkəzi Bankı, Azərbaycan Respublikası Dövlət Statistika Komitəsi / </t>
    </r>
    <r>
      <rPr>
        <i/>
        <sz val="8"/>
        <color rgb="FF31869B"/>
        <rFont val="Times New Roman"/>
        <family val="1"/>
      </rPr>
      <t>Source: The Central Bank of the Republic of Azerbaijan, The State Committee on Statistics of the Republic of Azerbaijan</t>
    </r>
  </si>
  <si>
    <r>
      <t xml:space="preserve">*Xalis vergilər çıxılmaqla / </t>
    </r>
    <r>
      <rPr>
        <i/>
        <sz val="8"/>
        <color rgb="FF31869B"/>
        <rFont val="Times New Roman"/>
        <family val="1"/>
      </rPr>
      <t>Net taxes are excluded</t>
    </r>
  </si>
  <si>
    <t>AZ0108036887</t>
  </si>
  <si>
    <t>AZ0110005920</t>
  </si>
  <si>
    <t>50103690S</t>
  </si>
  <si>
    <t>50103790S</t>
  </si>
  <si>
    <t>50103890S</t>
  </si>
  <si>
    <t>Claims on economy</t>
  </si>
  <si>
    <t>Claims on economy*</t>
  </si>
  <si>
    <t>AZIPS</t>
  </si>
  <si>
    <t>XÖHKS</t>
  </si>
  <si>
    <t>AÖS*</t>
  </si>
  <si>
    <t>RTGS</t>
  </si>
  <si>
    <t>LVPCSS</t>
  </si>
  <si>
    <t>IPS*</t>
  </si>
  <si>
    <t>interest rate, %</t>
  </si>
  <si>
    <t>interest rate 28 day Notes, %</t>
  </si>
  <si>
    <t>2022</t>
  </si>
  <si>
    <t>50100196S</t>
  </si>
  <si>
    <t>50100296S</t>
  </si>
  <si>
    <t>50200396S</t>
  </si>
  <si>
    <t>AZ0106001941</t>
  </si>
  <si>
    <t>AZ0108003945</t>
  </si>
  <si>
    <t>50100496S</t>
  </si>
  <si>
    <t>50300596S</t>
  </si>
  <si>
    <t>50100696S</t>
  </si>
  <si>
    <t>50100796S</t>
  </si>
  <si>
    <t>50100896S</t>
  </si>
  <si>
    <t>AZ0106004945</t>
  </si>
  <si>
    <t>AZ0110002950</t>
  </si>
  <si>
    <t>AZ0108006948</t>
  </si>
  <si>
    <t>AZ0106007948</t>
  </si>
  <si>
    <t>105,5</t>
  </si>
  <si>
    <t>RIV,2021      QIV,2021</t>
  </si>
  <si>
    <t>AZ0106008946</t>
  </si>
  <si>
    <t>AZ0108009942</t>
  </si>
  <si>
    <t>50100996S</t>
  </si>
  <si>
    <t>50101096S</t>
  </si>
  <si>
    <t>50101196S</t>
  </si>
  <si>
    <t>50101296S</t>
  </si>
  <si>
    <t>50101396S</t>
  </si>
  <si>
    <t>AZ0106011940</t>
  </si>
  <si>
    <t>50201496S</t>
  </si>
  <si>
    <t>50201596S</t>
  </si>
  <si>
    <t>50301696S</t>
  </si>
  <si>
    <t>50401796S</t>
  </si>
  <si>
    <t>50201896S</t>
  </si>
  <si>
    <t>50301996S</t>
  </si>
  <si>
    <t>50402096S</t>
  </si>
  <si>
    <t>50202196S</t>
  </si>
  <si>
    <t>50102296S</t>
  </si>
  <si>
    <t>50402396S</t>
  </si>
  <si>
    <t>50202496S</t>
  </si>
  <si>
    <t>50102596S</t>
  </si>
  <si>
    <t>50302696S</t>
  </si>
  <si>
    <t>50402796S</t>
  </si>
  <si>
    <t>50302896S</t>
  </si>
  <si>
    <t>50302996S</t>
  </si>
  <si>
    <t>50403096S</t>
  </si>
  <si>
    <t>50203196S</t>
  </si>
  <si>
    <t>50103296S</t>
  </si>
  <si>
    <t>50403396S</t>
  </si>
  <si>
    <t>50203496S</t>
  </si>
  <si>
    <t>AZ2001024705</t>
  </si>
  <si>
    <t>AZ2002024704</t>
  </si>
  <si>
    <t>AZ0108013944</t>
  </si>
  <si>
    <t>AZ0106014944</t>
  </si>
  <si>
    <t>RI,2022     QI,2022</t>
  </si>
  <si>
    <t>AZ2003024703</t>
  </si>
  <si>
    <t>AZ2004024702</t>
  </si>
  <si>
    <t>AZ2005024701</t>
  </si>
  <si>
    <t>AZ2006024700</t>
  </si>
  <si>
    <t>AZ2007024709</t>
  </si>
  <si>
    <t>AZ2008024708</t>
  </si>
  <si>
    <t>AZ0108015949</t>
  </si>
  <si>
    <t>AZ0105016940</t>
  </si>
  <si>
    <t>AZ0106017947</t>
  </si>
  <si>
    <t>Average interest rate</t>
  </si>
  <si>
    <t>AZ0108018943</t>
  </si>
  <si>
    <t>AZ0105020942</t>
  </si>
  <si>
    <t>RII,2022      QII,2022</t>
  </si>
  <si>
    <t>AZ0108021947</t>
  </si>
  <si>
    <t>AZ0106022947</t>
  </si>
  <si>
    <t>AZ0105023946</t>
  </si>
  <si>
    <t xml:space="preserve">03.03.2016 - 31.07.2022 </t>
  </si>
  <si>
    <t>03.03.2016 - 31.07.2022</t>
  </si>
  <si>
    <t>01.08.2014 -28.02.2015</t>
  </si>
  <si>
    <t>Mündəricat</t>
  </si>
  <si>
    <t>Əsas makroiqtisadi göstəricilər</t>
  </si>
  <si>
    <t>Azərbaycan Respublikasının dövlət büdcəsinin əsas göstəriciləri</t>
  </si>
  <si>
    <t>Azərbaycan Respublikasının tədiyə balansı</t>
  </si>
  <si>
    <r>
      <t xml:space="preserve">Azərbaycan Respublikasının xarici ticarəti </t>
    </r>
    <r>
      <rPr>
        <i/>
        <sz val="11"/>
        <color rgb="FF366092"/>
        <rFont val="Times New Roman"/>
        <family val="1"/>
      </rPr>
      <t>(tədiyə balansı metodologiyasına əsasən)</t>
    </r>
  </si>
  <si>
    <r>
      <t xml:space="preserve">Manatın xarici valyutalara nisbətən nominal və real effektiv məzənnəsi </t>
    </r>
    <r>
      <rPr>
        <i/>
        <sz val="11"/>
        <color rgb="FF366092"/>
        <rFont val="Times New Roman"/>
        <family val="1"/>
      </rPr>
      <t xml:space="preserve">(dekabr 2000=100) </t>
    </r>
  </si>
  <si>
    <r>
      <t xml:space="preserve">Pul icmalı </t>
    </r>
    <r>
      <rPr>
        <i/>
        <sz val="11"/>
        <color rgb="FF366092"/>
        <rFont val="Times New Roman"/>
        <family val="1"/>
      </rPr>
      <t>(dövrün sonuna)</t>
    </r>
  </si>
  <si>
    <r>
      <t xml:space="preserve">AMB-nin analitik balansı </t>
    </r>
    <r>
      <rPr>
        <i/>
        <sz val="11"/>
        <color rgb="FF366092"/>
        <rFont val="Times New Roman"/>
        <family val="1"/>
      </rPr>
      <t>(dövrün sonuna)</t>
    </r>
  </si>
  <si>
    <r>
      <t xml:space="preserve">Kommersiya banklarının analitik balansı </t>
    </r>
    <r>
      <rPr>
        <i/>
        <sz val="11"/>
        <color rgb="FF366092"/>
        <rFont val="Times New Roman"/>
        <family val="1"/>
      </rPr>
      <t>(dövrün sonuna)</t>
    </r>
  </si>
  <si>
    <r>
      <t xml:space="preserve">Pul aqreqatları </t>
    </r>
    <r>
      <rPr>
        <i/>
        <sz val="11"/>
        <color rgb="FF366092"/>
        <rFont val="Times New Roman"/>
        <family val="1"/>
      </rPr>
      <t>(dövrün sonuna)</t>
    </r>
  </si>
  <si>
    <r>
      <t xml:space="preserve">Pul bazası </t>
    </r>
    <r>
      <rPr>
        <i/>
        <sz val="11"/>
        <color rgb="FF366092"/>
        <rFont val="Times New Roman"/>
        <family val="1"/>
      </rPr>
      <t>(dövrün sonuna)</t>
    </r>
  </si>
  <si>
    <r>
      <t xml:space="preserve">İqtisadiyyata kredit qoyuluşlarının kredit təşkilatları üzrə strukturu </t>
    </r>
    <r>
      <rPr>
        <i/>
        <sz val="11"/>
        <color rgb="FF366092"/>
        <rFont val="Times New Roman"/>
        <family val="1"/>
      </rPr>
      <t>(dövrün sonuna)</t>
    </r>
  </si>
  <si>
    <r>
      <t xml:space="preserve">Kredit təşkilatlarının müddətlər üzrə kredit qoyuluşları </t>
    </r>
    <r>
      <rPr>
        <i/>
        <sz val="11"/>
        <color rgb="FF366092"/>
        <rFont val="Times New Roman"/>
        <family val="1"/>
      </rPr>
      <t>(dövrün sonuna)</t>
    </r>
  </si>
  <si>
    <r>
      <t xml:space="preserve">Kredit qoyuluşlarının sahələr üzrə strukturu </t>
    </r>
    <r>
      <rPr>
        <i/>
        <sz val="11"/>
        <color rgb="FF366092"/>
        <rFont val="Times New Roman"/>
        <family val="1"/>
      </rPr>
      <t>(dövrün sonuna)</t>
    </r>
  </si>
  <si>
    <t>2.8.1</t>
  </si>
  <si>
    <t>Ev təsərrüfatlarına verilən kreditlər</t>
  </si>
  <si>
    <t>2.8.2</t>
  </si>
  <si>
    <t>Ticarət və xidmət sektorunda fəaliyyət göstərən hüquqi şəxslərə verilən kreditlər</t>
  </si>
  <si>
    <t>2.8.3</t>
  </si>
  <si>
    <t>Mədənçıxarma sektorunda fəaliyyət göstərən hüquqi şəxslərə verilən kreditlər</t>
  </si>
  <si>
    <t>2.8.4</t>
  </si>
  <si>
    <t>Elektrik enerjisi, qaz, buxar və su təsərrüfatı sektoruna verilən kreditlər</t>
  </si>
  <si>
    <t>2.8.5</t>
  </si>
  <si>
    <t>Kənd təsərrüfatı, meşə təsərrüfatı və balıqçılıq sektorunda fəaliyyət göstərən hüquqi şəxslərə verilən kreditlər</t>
  </si>
  <si>
    <t>2.8.6</t>
  </si>
  <si>
    <t>İnşaat və tikinti sektorunda fəaliyyət göstərən hüquqi şəxslərə verilən kreditlər</t>
  </si>
  <si>
    <t>2.8.7</t>
  </si>
  <si>
    <t>Daşınmaz əmlak sektorunda fəaliyyət göstərən hüquqi şəxslərə verilən kreditlər</t>
  </si>
  <si>
    <t>2.8.8</t>
  </si>
  <si>
    <t>Sənaye və istehsal sektorunda fəaliyyət göstərən hüquqi şəxslərə verilən kreditlər</t>
  </si>
  <si>
    <t>2.8.9</t>
  </si>
  <si>
    <t>Nəqliyyat və rabitə sektorunda fəaliyyət göstərən hüquqi şəxslərə verilən kreditlər</t>
  </si>
  <si>
    <t>2.9</t>
  </si>
  <si>
    <t>İpoteka kreditləri haqqında məlumat</t>
  </si>
  <si>
    <t>2.10</t>
  </si>
  <si>
    <t>Regionlar üzrə kredit qoyuluşu</t>
  </si>
  <si>
    <t>2.11</t>
  </si>
  <si>
    <t>2.12</t>
  </si>
  <si>
    <r>
      <t>Cəmi depozit bazasının valyutalar üzrə strukturu</t>
    </r>
    <r>
      <rPr>
        <i/>
        <sz val="11"/>
        <color rgb="FF366092"/>
        <rFont val="Times New Roman"/>
        <family val="1"/>
      </rPr>
      <t xml:space="preserve"> (dövrün sonuna)</t>
    </r>
  </si>
  <si>
    <t>2.13</t>
  </si>
  <si>
    <t xml:space="preserve">Fiziki şəxslərin əmanətlərinin strukturu  </t>
  </si>
  <si>
    <t>2.14</t>
  </si>
  <si>
    <t>Regionlar üzrə cəlb olunmuş əmanətlər</t>
  </si>
  <si>
    <t>2.15</t>
  </si>
  <si>
    <t>2.16</t>
  </si>
  <si>
    <t>3.1</t>
  </si>
  <si>
    <t>3.2</t>
  </si>
  <si>
    <t>3.2.1</t>
  </si>
  <si>
    <t>3.3</t>
  </si>
  <si>
    <t>Dövlət istiqrazları</t>
  </si>
  <si>
    <t>3.4</t>
  </si>
  <si>
    <t>Mərkəzi Bankın notları</t>
  </si>
  <si>
    <t>3.5</t>
  </si>
  <si>
    <t xml:space="preserve">Qiymətli kağızlar bazarı üzrə əsas göstəricilər </t>
  </si>
  <si>
    <t>3.6</t>
  </si>
  <si>
    <t>Nağd xarici valyuta ilə mübadilə əməliyyatları</t>
  </si>
  <si>
    <t>4.1</t>
  </si>
  <si>
    <t>4.2</t>
  </si>
  <si>
    <t>Debet və kredit kartları ilə aparılan əməliyyatlar</t>
  </si>
  <si>
    <t>4.3</t>
  </si>
  <si>
    <t>4.4</t>
  </si>
  <si>
    <t>Ödəniş kartları və terminallardan istifadə göstəriciləri</t>
  </si>
  <si>
    <t>4.5</t>
  </si>
  <si>
    <t>5.1</t>
  </si>
  <si>
    <t>5.2</t>
  </si>
  <si>
    <t>Bank sektorunun icmal balansı</t>
  </si>
  <si>
    <t>5.3</t>
  </si>
  <si>
    <t>Bank sektorunun mənfəət və zərər haqqında hesabatı</t>
  </si>
  <si>
    <t>5.4</t>
  </si>
  <si>
    <t>Bankların kredit portfelinin strukturu barədə məlumat</t>
  </si>
  <si>
    <r>
      <t>Kredit təşkilatlarında yerləşdirilmiş depozit və əmanətlər</t>
    </r>
    <r>
      <rPr>
        <i/>
        <sz val="11"/>
        <color rgb="FF366092"/>
        <rFont val="Times New Roman"/>
        <family val="1"/>
      </rPr>
      <t xml:space="preserve"> (dövrün sonuna)</t>
    </r>
  </si>
  <si>
    <r>
      <t xml:space="preserve">Mərkəzi Bankın məcburi ehtiyat normaları, </t>
    </r>
    <r>
      <rPr>
        <i/>
        <sz val="11"/>
        <color rgb="FF366092"/>
        <rFont val="Times New Roman"/>
        <family val="1"/>
      </rPr>
      <t>%-lə</t>
    </r>
  </si>
  <si>
    <r>
      <t>Qiymət indekslərinin dəyişməsi,</t>
    </r>
    <r>
      <rPr>
        <i/>
        <sz val="11"/>
        <color rgb="FF366092"/>
        <rFont val="Times New Roman"/>
        <family val="1"/>
      </rPr>
      <t xml:space="preserve"> %-lə</t>
    </r>
  </si>
  <si>
    <t>Non-bank</t>
  </si>
  <si>
    <t>Bank</t>
  </si>
  <si>
    <t>Letter of credit</t>
  </si>
  <si>
    <t>Household loans</t>
  </si>
  <si>
    <t>Loans</t>
  </si>
  <si>
    <t>Xüsusi çəkisi, %</t>
  </si>
  <si>
    <t>o cümlədən: vaxtı keçmiş kredit</t>
  </si>
  <si>
    <t>Qeyri-bank</t>
  </si>
  <si>
    <t>Kredit portfeli</t>
  </si>
  <si>
    <r>
      <t xml:space="preserve">Table 2.8.d. Sectoral breakdown of loans </t>
    </r>
    <r>
      <rPr>
        <i/>
        <sz val="20"/>
        <color rgb="FF366092"/>
        <rFont val="Times New Roman"/>
        <family val="1"/>
        <charset val="162"/>
      </rPr>
      <t>(end of period)</t>
    </r>
  </si>
  <si>
    <r>
      <t>Cədvəl 2.8.d. Kredit qoyuluşlarının sahələr üzrə strukturu</t>
    </r>
    <r>
      <rPr>
        <b/>
        <i/>
        <sz val="20"/>
        <color rgb="FF366092"/>
        <rFont val="Times New Roman"/>
        <family val="1"/>
        <charset val="162"/>
      </rPr>
      <t xml:space="preserve"> (dövrün sonuna)</t>
    </r>
  </si>
  <si>
    <t>2.8.d.</t>
  </si>
  <si>
    <r>
      <t>Kredit qoyuluşlarının sahələr üzrə strukturu</t>
    </r>
    <r>
      <rPr>
        <sz val="11"/>
        <color rgb="FFFF0000"/>
        <rFont val="Times New Roman"/>
        <family val="1"/>
      </rPr>
      <t xml:space="preserve"> </t>
    </r>
    <r>
      <rPr>
        <i/>
        <sz val="11"/>
        <color rgb="FFFF0000"/>
        <rFont val="Times New Roman"/>
        <family val="1"/>
      </rPr>
      <t>(detallı)</t>
    </r>
  </si>
  <si>
    <t>2.7.d.</t>
  </si>
  <si>
    <r>
      <t xml:space="preserve">Cədvəl 2.7.d. Kredit təşkilatlarının müddətlər üzrə kredit qoyuluşları </t>
    </r>
    <r>
      <rPr>
        <b/>
        <i/>
        <sz val="12"/>
        <color rgb="FF366092"/>
        <rFont val="Times New Roman"/>
        <family val="1"/>
      </rPr>
      <t>(dövrün sonuna)</t>
    </r>
  </si>
  <si>
    <r>
      <t xml:space="preserve">Table 2.7.d. Loans of credit institutions by maturity </t>
    </r>
    <r>
      <rPr>
        <i/>
        <sz val="12"/>
        <color rgb="FF366092"/>
        <rFont val="Times New Roman"/>
        <family val="1"/>
      </rPr>
      <t>(end of period)</t>
    </r>
  </si>
  <si>
    <t>Cəmi kredit portfeli</t>
  </si>
  <si>
    <r>
      <t xml:space="preserve">Kredit təşkilatlarının müddətlər üzrə kredit qoyuluşları </t>
    </r>
    <r>
      <rPr>
        <i/>
        <sz val="11"/>
        <color rgb="FFFF0000"/>
        <rFont val="Times New Roman"/>
        <family val="1"/>
      </rPr>
      <t>(detallı)</t>
    </r>
  </si>
  <si>
    <t>o cümlədən:
vaxtı keçmiş</t>
  </si>
  <si>
    <t>of which:
overdue</t>
  </si>
  <si>
    <r>
      <t>Qeyd: Göstəricilər Beynəlxalq Valyuta Fondunun "Pul və Maliyyə Statistikası" metodologiyasına əsasən hesablanır /</t>
    </r>
    <r>
      <rPr>
        <i/>
        <sz val="9"/>
        <color rgb="FF31869E"/>
        <rFont val="Times New Roman"/>
        <family val="1"/>
      </rPr>
      <t xml:space="preserve"> Note: According to IMF's "Monetary and Financial Statistics"</t>
    </r>
  </si>
  <si>
    <r>
      <t xml:space="preserve">Mənbə: Azərbaycan Respublikasının Mərkəzi Bankı / </t>
    </r>
    <r>
      <rPr>
        <i/>
        <sz val="9"/>
        <color rgb="FF31869E"/>
        <rFont val="Times New Roman"/>
        <family val="1"/>
      </rPr>
      <t>Source: The Central Bank of the Republic of Azerbaijan</t>
    </r>
  </si>
  <si>
    <t>of which: 
overdue loans</t>
  </si>
  <si>
    <r>
      <t xml:space="preserve">Qeyd: Göstəricilər Beynəlxalq Valyuta Fondunun "Pul və Maliyyə Statistikası" metodologiyasına əsasən hesablanır / Note: </t>
    </r>
    <r>
      <rPr>
        <i/>
        <sz val="12"/>
        <color rgb="FF31869E"/>
        <rFont val="Times New Roman"/>
        <family val="1"/>
        <charset val="162"/>
      </rPr>
      <t>According to IMF's "Monetary and Financial Statistics"</t>
    </r>
  </si>
  <si>
    <r>
      <t xml:space="preserve">Mənbə: Azərbaycan Respublikasının Mərkəzi Bankı  / </t>
    </r>
    <r>
      <rPr>
        <i/>
        <sz val="12"/>
        <color rgb="FF31869E"/>
        <rFont val="Times New Roman"/>
        <family val="1"/>
        <charset val="162"/>
      </rPr>
      <t>Source: The Central Bank of the Republic of Azerbaijan</t>
    </r>
  </si>
  <si>
    <t>Xarici valyutada</t>
  </si>
  <si>
    <t xml:space="preserve">1.1 kreditlər üzrə </t>
  </si>
  <si>
    <t xml:space="preserve">  -faiz borcları üzrə yaradılmış məqsədli ehtiyatlar</t>
  </si>
  <si>
    <t>1.2 maliyyə sektorunda yerləşdirilmiş vəsaitlər üzrə</t>
  </si>
  <si>
    <t xml:space="preserve">1.3 qiymətli kağızları üzrə </t>
  </si>
  <si>
    <t>1.4 digər faiz gəliri üzrə</t>
  </si>
  <si>
    <t xml:space="preserve">    -o cümlədən müddətli depozitlər üzrə</t>
  </si>
  <si>
    <t>2.2 maliyyə sektorundan cəlb edilmiş vəsaitlər üzrə</t>
  </si>
  <si>
    <t>3. Xalis faiz gəliri (zərəri)</t>
  </si>
  <si>
    <t>4.1 hesabların aparılması üzrə xidmətlərdən komisyon gəliri</t>
  </si>
  <si>
    <t>4.2 məzənnə dəyişməsi daxil olmaqla, valyuta əməliyyatlarından xalis gəlir (itki)</t>
  </si>
  <si>
    <t xml:space="preserve">4.3 qiymətli kağızların satışı üzrə gəlir (zərər) </t>
  </si>
  <si>
    <t>4.4 digər qeyri-faiz gəlirləri üzrə</t>
  </si>
  <si>
    <t>5.1 əsas vəsaitlərlə bağlı xərclər</t>
  </si>
  <si>
    <t>5.2 xidmətlər üzrə haqq və komissiya xərcləri</t>
  </si>
  <si>
    <t>5.3 digər qeyri-faiz xərcləri üzrə</t>
  </si>
  <si>
    <t>6. Əməliyyat mənfəəti (zərəri)</t>
  </si>
  <si>
    <t>9. Vergilər ödənilənədək mənfəət (zərər)</t>
  </si>
  <si>
    <t xml:space="preserve"> Cədvəl 5.5. Vəsaitlərin mənbəyinə görə biznes kreditləri barədə məlumat</t>
  </si>
  <si>
    <t xml:space="preserve"> - dövlət fondları hesabına</t>
  </si>
  <si>
    <t>Mənbə: Azərbaycan Respublikasının Mərkəzi Bankı  / Source: The Central Bank of the Republic of Azerbaijan</t>
  </si>
  <si>
    <t>Müddətli depozit və əmanətlər üzrə</t>
  </si>
  <si>
    <t>On time deposits and savings</t>
  </si>
  <si>
    <r>
      <t xml:space="preserve">Aylar
</t>
    </r>
    <r>
      <rPr>
        <sz val="12"/>
        <color theme="1"/>
        <rFont val="Times New Roman"/>
        <family val="1"/>
      </rPr>
      <t>Months</t>
    </r>
  </si>
  <si>
    <r>
      <t>Reyestrə daxil edilmiş bildirişlərin sayı</t>
    </r>
    <r>
      <rPr>
        <b/>
        <sz val="12"/>
        <color theme="1"/>
        <rFont val="Calibri"/>
        <family val="2"/>
      </rPr>
      <t>¹</t>
    </r>
  </si>
  <si>
    <r>
      <t>İllər üzrə axtarış sayı</t>
    </r>
    <r>
      <rPr>
        <b/>
        <sz val="12"/>
        <color theme="1"/>
        <rFont val="Calibri"/>
        <family val="2"/>
      </rPr>
      <t>²</t>
    </r>
  </si>
  <si>
    <t>Number of notices entered into the Registry</t>
  </si>
  <si>
    <t>Number of searches by year</t>
  </si>
  <si>
    <t>Cəmi / Total</t>
  </si>
  <si>
    <r>
      <rPr>
        <b/>
        <i/>
        <sz val="10"/>
        <color rgb="FF31869E"/>
        <rFont val="Times New Roman"/>
        <family val="1"/>
      </rPr>
      <t xml:space="preserve">1. Bildiriş – daşınar əmlaka yüklülüyün yaranması, yüklülüyə dəyişikliklər edilməsi, onun xitamı, habelə daşınar əmlak üzərində yüklülüyə etiraz edilməsi ilə bağlı qeydlərin aparılması üçün daşınar əmlakın yüklülüyünün dövlət reyestrinə daxil edilən məlumat.    </t>
    </r>
    <r>
      <rPr>
        <i/>
        <sz val="10"/>
        <color rgb="FF31869E"/>
        <rFont val="Times New Roman"/>
        <family val="1"/>
      </rPr>
      <t xml:space="preserve">
Notice – information filed with the state registry of movable asset encumbrances in order to record origination of, changes to, termination of, as well as objection of encumbrance of a movable asset.</t>
    </r>
  </si>
  <si>
    <r>
      <rPr>
        <b/>
        <i/>
        <sz val="10"/>
        <color rgb="FF31869E"/>
        <rFont val="Times New Roman"/>
        <family val="1"/>
      </rPr>
      <t xml:space="preserve">2. Reyestrə daxil edilmiş bildirişlər üzrə edilmiş axtarışların sayı / </t>
    </r>
    <r>
      <rPr>
        <i/>
        <sz val="10"/>
        <color rgb="FF31869E"/>
        <rFont val="Times New Roman"/>
        <family val="1"/>
      </rPr>
      <t xml:space="preserve">The number of searches made on notices entered into Registry. </t>
    </r>
  </si>
  <si>
    <t xml:space="preserve">S Ə N A Y E </t>
  </si>
  <si>
    <t>T İ K İ N T İ</t>
  </si>
  <si>
    <t xml:space="preserve">P Ə R A K Ə N D Ə   T İ C A R Ə T </t>
  </si>
  <si>
    <t xml:space="preserve">X İ D M Ə T </t>
  </si>
  <si>
    <t xml:space="preserve">Son 3 ayda </t>
  </si>
  <si>
    <t xml:space="preserve">Növbəti 3 ayda </t>
  </si>
  <si>
    <t xml:space="preserve"> Sənaye İnam İndeksi*  </t>
  </si>
  <si>
    <t>Son 3 ayda</t>
  </si>
  <si>
    <t>Növbəti 3 ayda</t>
  </si>
  <si>
    <t xml:space="preserve">  Sifarişlərin icra müddəti, ay</t>
  </si>
  <si>
    <t xml:space="preserve">  Tikinti İnam İndeksi**</t>
  </si>
  <si>
    <t xml:space="preserve">  Xidmət İnam İndeksi****</t>
  </si>
  <si>
    <t xml:space="preserve">  Məhsul istehsalı </t>
  </si>
  <si>
    <t xml:space="preserve">  İcraya qəbul edilmiş sifarişlər  </t>
  </si>
  <si>
    <t xml:space="preserve">  Hazır məhsul ehtiyatı</t>
  </si>
  <si>
    <t xml:space="preserve">  İstehsal gözləntiləri</t>
  </si>
  <si>
    <t xml:space="preserve">  Qiymət gözləntiləri</t>
  </si>
  <si>
    <t xml:space="preserve">  Tikinti işlərinin həcmi</t>
  </si>
  <si>
    <t xml:space="preserve">  İcraya qəbul edilmiş sifarişlər</t>
  </si>
  <si>
    <t xml:space="preserve">  İşçilərin sayının dəyişməsi</t>
  </si>
  <si>
    <t xml:space="preserve">  Faktiki satışlar</t>
  </si>
  <si>
    <t xml:space="preserve">  Mal ehtiyatlarının dəyişməsi</t>
  </si>
  <si>
    <t xml:space="preserve">  Satışlar üzrə gözləntilər</t>
  </si>
  <si>
    <t xml:space="preserve">  Biznes şəraiti</t>
  </si>
  <si>
    <t xml:space="preserve">  Faktiki tələb</t>
  </si>
  <si>
    <t xml:space="preserve">  Tələb gözləntisi </t>
  </si>
  <si>
    <t xml:space="preserve"> INDUSTRY</t>
  </si>
  <si>
    <t>CONSTRUCTION</t>
  </si>
  <si>
    <t>RETAIL TRADE</t>
  </si>
  <si>
    <t>SERVICES</t>
  </si>
  <si>
    <t>Past 3 months</t>
  </si>
  <si>
    <t>Next 3 months</t>
  </si>
  <si>
    <t xml:space="preserve">  Industry Confidence Indicator*  </t>
  </si>
  <si>
    <t xml:space="preserve">  Execution time of orders, month</t>
  </si>
  <si>
    <t xml:space="preserve">  Construction Confidence Indicator**  </t>
  </si>
  <si>
    <t xml:space="preserve">  Retail Trade Confidence Indicator***  </t>
  </si>
  <si>
    <t xml:space="preserve">  Services Confidence Indicator****  </t>
  </si>
  <si>
    <t xml:space="preserve">  Production</t>
  </si>
  <si>
    <t xml:space="preserve">  Total order books</t>
  </si>
  <si>
    <t xml:space="preserve">  Stocks of finished products</t>
  </si>
  <si>
    <t xml:space="preserve">  Production expectations</t>
  </si>
  <si>
    <t xml:space="preserve">  Price expectations</t>
  </si>
  <si>
    <t xml:space="preserve">  Building activity</t>
  </si>
  <si>
    <t xml:space="preserve">  Employment</t>
  </si>
  <si>
    <t>Price expectations</t>
  </si>
  <si>
    <t xml:space="preserve">  Sales</t>
  </si>
  <si>
    <t xml:space="preserve">  Stocks of goods</t>
  </si>
  <si>
    <t xml:space="preserve">  Sales expectations</t>
  </si>
  <si>
    <t xml:space="preserve"> Business situation</t>
  </si>
  <si>
    <t xml:space="preserve">  Current demand</t>
  </si>
  <si>
    <t xml:space="preserve">  Demand expectations</t>
  </si>
  <si>
    <t xml:space="preserve">    min manatla</t>
  </si>
  <si>
    <t>“AzSığorta” Açıq Səhmdar Cəmiyyəti</t>
  </si>
  <si>
    <t>"Aqrar Sığorta" Açıq Səhmdar Cəmiyyəti</t>
  </si>
  <si>
    <t>Lisenziyası ləğv edilmiş sığortaçılar</t>
  </si>
  <si>
    <t xml:space="preserve">       dəmiryol nəqliyyatı vasitələri sahiblərinin mülki məsuliyyətinin sığortası</t>
  </si>
  <si>
    <t xml:space="preserve">     İstehsalatda bədbəxt hadisələr və peşə xəstəlikləri nəticəsində peşə əmək qabiliyyətinin itirilməsi hallarından icbari sığorta</t>
  </si>
  <si>
    <t xml:space="preserve">təmassız POS-terminallar vasitəsilə </t>
  </si>
  <si>
    <t>Ttransactions with Credit cards</t>
  </si>
  <si>
    <t xml:space="preserve">İyul </t>
  </si>
  <si>
    <t>Göstəricinin adı</t>
  </si>
  <si>
    <t>CƏMİ</t>
  </si>
  <si>
    <t>Regionun adı</t>
  </si>
  <si>
    <t>Bankomatların sayı</t>
  </si>
  <si>
    <t>Şərqi Zəngəzur  iqtisadi rayonu</t>
  </si>
  <si>
    <t>Hesabat ayı üzrə</t>
  </si>
  <si>
    <t>Əməliyyatların sayı (min ədəd)</t>
  </si>
  <si>
    <t>Visa</t>
  </si>
  <si>
    <t>MasterCard</t>
  </si>
  <si>
    <t>American Express</t>
  </si>
  <si>
    <t>UnionPay</t>
  </si>
  <si>
    <t>Digər sistemlər</t>
  </si>
  <si>
    <t>2.7.1</t>
  </si>
  <si>
    <t>Kredit təşkilatlarının müddətlər üzrə yeni kredit qoyuluşları</t>
  </si>
  <si>
    <t>4.6</t>
  </si>
  <si>
    <t>4.7</t>
  </si>
  <si>
    <t>4.8</t>
  </si>
  <si>
    <t>4.9</t>
  </si>
  <si>
    <t>Statistik vahidə məxsus ödəniş xidməti şəbəkəsinin iqtisadi rayonlar üzrə statistikası</t>
  </si>
  <si>
    <t>Statistik vahidə məxsus ödəniş xidməti şəbəkəsində ödəniş kartları vasitəsilə aparılan əməliyyatlar</t>
  </si>
  <si>
    <t>5.5</t>
  </si>
  <si>
    <t>Vəsaitlərin mənbəyinə görə biznes kreditləri barədə məlumat</t>
  </si>
  <si>
    <t>6.1</t>
  </si>
  <si>
    <t>6.2</t>
  </si>
  <si>
    <t xml:space="preserve">Real sektorda İşgüzar Fəallıq İndeksləri </t>
  </si>
  <si>
    <t>min manatla</t>
  </si>
  <si>
    <t xml:space="preserve">Cədvəl 7. Real sektorda İşgüzar Fəallıq İndeksləri </t>
  </si>
  <si>
    <t>Table 7. Business Tendency Indices in Real Sector</t>
  </si>
  <si>
    <r>
      <t xml:space="preserve">* = (məhsul istehsalı – hazır məhsul ehtiyatı + istehsal gözləntiləri)/3   /   </t>
    </r>
    <r>
      <rPr>
        <i/>
        <sz val="10"/>
        <color theme="8" tint="-0.249977111117893"/>
        <rFont val="Times New Roman"/>
        <family val="1"/>
      </rPr>
      <t>= (Production – Stocks of finished products + Production expectations)/3</t>
    </r>
  </si>
  <si>
    <r>
      <t xml:space="preserve">** = (İcraya qəbul edilmiş sifarişlər + İşçilərin sayının dəyişməsi gözləntiləri)/2   /   </t>
    </r>
    <r>
      <rPr>
        <i/>
        <sz val="10"/>
        <color theme="8" tint="-0.249977111117893"/>
        <rFont val="Times New Roman"/>
        <family val="1"/>
      </rPr>
      <t>= (Total order books + Employment expectatoins)/2</t>
    </r>
  </si>
  <si>
    <r>
      <t xml:space="preserve">*** = (faktiki satış – mal ehtiyatlarının dəyişməsi + satış üzrə gözləntilər)/3   /   </t>
    </r>
    <r>
      <rPr>
        <i/>
        <sz val="10"/>
        <color theme="8" tint="-0.249977111117893"/>
        <rFont val="Times New Roman"/>
        <family val="1"/>
      </rPr>
      <t>= (Sales – Stocks of goods + Sales expectations)/3</t>
    </r>
  </si>
  <si>
    <r>
      <t xml:space="preserve">**** = (Biznes şəraiti + Faktiki tələb + Tələb gözləntisi )/3   /    </t>
    </r>
    <r>
      <rPr>
        <i/>
        <sz val="10"/>
        <color theme="8" tint="-0.249977111117893"/>
        <rFont val="Times New Roman"/>
        <family val="1"/>
      </rPr>
      <t xml:space="preserve">= (Business situation + Current demand + Demand expectations )/3 </t>
    </r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</si>
  <si>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</si>
  <si>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</si>
  <si>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</si>
  <si>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</si>
  <si>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</si>
  <si>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</si>
  <si>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</si>
  <si>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</si>
  <si>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Indicator</t>
  </si>
  <si>
    <t>Baku economic region</t>
  </si>
  <si>
    <t>Nakhchivan economic region</t>
  </si>
  <si>
    <t>Absheron-Khizi economic region</t>
  </si>
  <si>
    <t>Ganja-Dashkasan economic region</t>
  </si>
  <si>
    <t>Karabakh economic region</t>
  </si>
  <si>
    <t>Gazakh-Tovuz economic region</t>
  </si>
  <si>
    <t>Guba-Khachmaz economic region</t>
  </si>
  <si>
    <t>Lankaran-Astara economic region</t>
  </si>
  <si>
    <t>Central Aran economic region</t>
  </si>
  <si>
    <t>Mil-Mugan economic region</t>
  </si>
  <si>
    <t>Sheki-Zagatala economic region</t>
  </si>
  <si>
    <t>Eastern Zangezur economic region</t>
  </si>
  <si>
    <t>Shirvan-Salyan economic region</t>
  </si>
  <si>
    <t>Number of operations (thousand units)</t>
  </si>
  <si>
    <t>TOTAL</t>
  </si>
  <si>
    <t>Other systems</t>
  </si>
  <si>
    <t>Number of POS-terminals</t>
  </si>
  <si>
    <t>Number of self-service terminals</t>
  </si>
  <si>
    <t>2.7.1. Kredit təşkilatlarının müddətlər üzrə yeni kredit qoyuluşları</t>
  </si>
  <si>
    <t>2.7.1. New loans of credit institutions by maturity</t>
  </si>
  <si>
    <t>AZIPS üzrə / on RTGS</t>
  </si>
  <si>
    <t>Mərkəzi Bank / Central Bank</t>
  </si>
  <si>
    <t>Kommersiya bankları / Commercial banks</t>
  </si>
  <si>
    <t>Digər iştirakçılar / Other participants</t>
  </si>
  <si>
    <t>XÖHKS üzrə / on LVPCSS</t>
  </si>
  <si>
    <t>AÖS üzrə / on IPS</t>
  </si>
  <si>
    <t>Via payment cards issued by non-resident financial institutions</t>
  </si>
  <si>
    <t xml:space="preserve">Qeyri-rezident maliyyə institutlarının emissiya etdiyi ödəniş kartları vasitəsilə </t>
  </si>
  <si>
    <t>Company name</t>
  </si>
  <si>
    <t>january</t>
  </si>
  <si>
    <t>Premiums</t>
  </si>
  <si>
    <t>Claims Paid</t>
  </si>
  <si>
    <t>"A-Group Insurance Company" OJSC</t>
  </si>
  <si>
    <t>"AtaInsurance" OJSC</t>
  </si>
  <si>
    <t>"Ateshgah life"  Insurance Company OJSC</t>
  </si>
  <si>
    <t>"Ateshgah"  Insurance Company OJSC</t>
  </si>
  <si>
    <t>“Azerbaijan Industry Insurance” OJSC </t>
  </si>
  <si>
    <t>"Azsıgorta" OJSC</t>
  </si>
  <si>
    <t>"Baki Insurance" OJSC</t>
  </si>
  <si>
    <t>"Gunay Insurance" OJSC</t>
  </si>
  <si>
    <t>"Silk Way Insurance" OJSC</t>
  </si>
  <si>
    <t>"Mega Insurance" OJSC</t>
  </si>
  <si>
    <t>"NakhchivanInsurance" OJSC</t>
  </si>
  <si>
    <t>"Pasha life Insurance" OJSC</t>
  </si>
  <si>
    <t>"Pasha Insurance" OJSC</t>
  </si>
  <si>
    <t>“Qala Life” Insurance Company OJSC</t>
  </si>
  <si>
    <t>“Qala Insurance" Company OJSC</t>
  </si>
  <si>
    <t>"Khalg Life Insurance" OJSC</t>
  </si>
  <si>
    <t>"Khalg Insurance" OJSC</t>
  </si>
  <si>
    <t>"Mega Life Insurance" OJSC</t>
  </si>
  <si>
    <t>Inactive insurers whose lisences were revoked</t>
  </si>
  <si>
    <t>Amrah Insurance OJSC</t>
  </si>
  <si>
    <t>"AXA MBASK" Insurance Company OJSC</t>
  </si>
  <si>
    <t>“Standard Insurance” OJSC</t>
  </si>
  <si>
    <t>“Bashak İnam Insurance Company” OJSC</t>
  </si>
  <si>
    <t>“International Insurance Company” OJSC</t>
  </si>
  <si>
    <t>“Buta Insurance” OJSC</t>
  </si>
  <si>
    <t>“Azergarant Insurance” OJSC</t>
  </si>
  <si>
    <t>“Alpha Insurance” OKSC</t>
  </si>
  <si>
    <t>"Ravan Insurance" OJSC</t>
  </si>
  <si>
    <t>Types of Insurance</t>
  </si>
  <si>
    <t>October</t>
  </si>
  <si>
    <t>December</t>
  </si>
  <si>
    <t>Voluntary insurance, total:</t>
  </si>
  <si>
    <t>Life insurance, including:</t>
  </si>
  <si>
    <t>endowment insurance</t>
  </si>
  <si>
    <t>death insurance</t>
  </si>
  <si>
    <t>Non-life insurance, including:</t>
  </si>
  <si>
    <t>Personal insurance, including:</t>
  </si>
  <si>
    <t>travel insurance</t>
  </si>
  <si>
    <t>Property insurance, including:</t>
  </si>
  <si>
    <t>property insurance, including:</t>
  </si>
  <si>
    <t>aircraft insurance</t>
  </si>
  <si>
    <t>livestock insurance</t>
  </si>
  <si>
    <t>railway transport insurance</t>
  </si>
  <si>
    <t>crop insurance</t>
  </si>
  <si>
    <t>other property insurances, including:</t>
  </si>
  <si>
    <t xml:space="preserve"> - insurance against counterfeit money </t>
  </si>
  <si>
    <t xml:space="preserve">liability insurance, including: </t>
  </si>
  <si>
    <t xml:space="preserve">aircraft owner's  liability insurance </t>
  </si>
  <si>
    <t>employer's liability insurance</t>
  </si>
  <si>
    <t>credit insurance, including:</t>
  </si>
  <si>
    <t>credit insurance</t>
  </si>
  <si>
    <t>other financial risks insurance, including:</t>
  </si>
  <si>
    <t>Compulsory insurance, total:</t>
  </si>
  <si>
    <t>Life insurance</t>
  </si>
  <si>
    <t>compulsory real estate insurance</t>
  </si>
  <si>
    <t>compulsory personal accident insurance for passengers</t>
  </si>
  <si>
    <t>other compulsory insurances</t>
  </si>
  <si>
    <t>GRAND TOTAL</t>
  </si>
  <si>
    <t xml:space="preserve"> avtonəqliyyat vasitəsi sahiblərinin mülki məsuliyyətinin icbari sığortası</t>
  </si>
  <si>
    <t>daşınmaz əmlakın icbari sığortası</t>
  </si>
  <si>
    <t>daşınmaz əmlakın istismarı ilə bağlı mülki məsuliyyətin icbari sığortası</t>
  </si>
  <si>
    <t>sərnişinlərin icbari fərdi qəza sığortası</t>
  </si>
  <si>
    <t>digər icbari sığorta növləri</t>
  </si>
  <si>
    <t>yanvar-fevral</t>
  </si>
  <si>
    <t>yanvar-mart</t>
  </si>
  <si>
    <t>yanvar-aprel</t>
  </si>
  <si>
    <t>yanvar-may</t>
  </si>
  <si>
    <t>yanvar-iyun</t>
  </si>
  <si>
    <t>yanvar- iyul</t>
  </si>
  <si>
    <t>yanvar-avqust</t>
  </si>
  <si>
    <t>yanvar-sentyabr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</si>
  <si>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</si>
  <si>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</si>
  <si>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</si>
  <si>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</si>
  <si>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</si>
  <si>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</si>
  <si>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</si>
  <si>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</si>
  <si>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Noovember</t>
  </si>
  <si>
    <t>yanvar-oktyabr</t>
  </si>
  <si>
    <t>yanvar-noyabr</t>
  </si>
  <si>
    <t>yanvar-dekabr</t>
  </si>
  <si>
    <t>January December</t>
  </si>
  <si>
    <t>January-November</t>
  </si>
  <si>
    <t>January-October</t>
  </si>
  <si>
    <t>Daşınar əmlaka dair Reyestrdə qeydə alınan yüklülüklərin statistikası</t>
  </si>
  <si>
    <t>Cədvəl 8. Daşınar əmlaka dair Reyestrdə qeydə alınan yüklülüklərin statistikası</t>
  </si>
  <si>
    <t>Table 8. Statistics of encumbrances recorded in the Registry about movable property</t>
  </si>
  <si>
    <t>number of transactions</t>
  </si>
  <si>
    <t xml:space="preserve">Via payment cards issued by resident financial institutions (as well as payment cards of the statistical unit) </t>
  </si>
  <si>
    <t>Pul köçürmə sistemləri üzrə əməliyyatlar</t>
  </si>
  <si>
    <t>Milli Ödəniş sistemləri üzrə əməliyyatlar</t>
  </si>
  <si>
    <t>Repo hərrac</t>
  </si>
  <si>
    <t>Əks Repo hərrac</t>
  </si>
  <si>
    <t>Depozit</t>
  </si>
  <si>
    <t>7 gün</t>
  </si>
  <si>
    <t>1 gün</t>
  </si>
  <si>
    <t>Repo auction</t>
  </si>
  <si>
    <t>Reverse Repo auction</t>
  </si>
  <si>
    <t>Reverse Repo</t>
  </si>
  <si>
    <t xml:space="preserve">Deposit </t>
  </si>
  <si>
    <t>7 days</t>
  </si>
  <si>
    <t>interest rate 84 day Notes, %</t>
  </si>
  <si>
    <t>interest rate 168 day Notes, %</t>
  </si>
  <si>
    <t>interest rate 252 day Notes, %</t>
  </si>
  <si>
    <t>Cədvəl 3.1. Mərkəzi Bankın monetar əməliyyatlarının həcmi və faiz dərəcələri (dövrün sonuna)</t>
  </si>
  <si>
    <t>2.3 digər</t>
  </si>
  <si>
    <r>
      <t>Kredit portfeli,</t>
    </r>
    <r>
      <rPr>
        <b/>
        <i/>
        <sz val="17"/>
        <color theme="1"/>
        <rFont val="Times New Roman"/>
        <family val="1"/>
      </rPr>
      <t xml:space="preserve"> </t>
    </r>
  </si>
  <si>
    <t xml:space="preserve">Table 3.1. Volume and interest rates on Central Bank's monetary operations (end of period) </t>
  </si>
  <si>
    <r>
      <t xml:space="preserve">Mərkəzi Bankın monetar əməliyyatlarının həcmi və faiz dərəcələri </t>
    </r>
    <r>
      <rPr>
        <i/>
        <sz val="11"/>
        <color rgb="FF366092"/>
        <rFont val="Times New Roman"/>
        <family val="1"/>
      </rPr>
      <t>(dövrün sonuna)</t>
    </r>
  </si>
  <si>
    <r>
      <t xml:space="preserve">Mənbə: Azərbaycan Respublikasının Mərkəzi Bankı / </t>
    </r>
    <r>
      <rPr>
        <i/>
        <sz val="10"/>
        <color theme="8" tint="-0.249977111117893"/>
        <rFont val="Times New Roman"/>
        <family val="1"/>
      </rPr>
      <t>Source: The Central Bank of the Republic of Azerbaijan</t>
    </r>
  </si>
  <si>
    <r>
      <t>AZIPS - Real Vaxt rejimində Banklararası Milli Hesablaşmalar Sistemi /</t>
    </r>
    <r>
      <rPr>
        <i/>
        <sz val="9"/>
        <color theme="8" tint="-0.249977111117893"/>
        <rFont val="Times New Roman"/>
        <family val="1"/>
      </rPr>
      <t xml:space="preserve"> RTGS - National Interbank Real-Time Gross Settlement Payment System</t>
    </r>
  </si>
  <si>
    <r>
      <t xml:space="preserve">XÖHKS - Xırda Ödənişlər üzrə Hesablaşma Klirinq Sistemi / </t>
    </r>
    <r>
      <rPr>
        <i/>
        <sz val="9"/>
        <color theme="8" tint="-0.249977111117893"/>
        <rFont val="Times New Roman"/>
        <family val="1"/>
      </rPr>
      <t>LVPCSS - Low Value  Payment Clearing and Settlement System</t>
    </r>
  </si>
  <si>
    <r>
      <t xml:space="preserve">AÖS - Ani Ödənişlər Sistemi / </t>
    </r>
    <r>
      <rPr>
        <i/>
        <sz val="9"/>
        <color theme="8" tint="-0.249977111117893"/>
        <rFont val="Times New Roman"/>
        <family val="1"/>
      </rPr>
      <t xml:space="preserve">IPS - Instant Payments System     </t>
    </r>
  </si>
  <si>
    <r>
      <t xml:space="preserve">*Ani Ödənişlər Sistemi (AÖS) 1 oktyabr 2020-ci il tarixindən istismara verilmişdir / </t>
    </r>
    <r>
      <rPr>
        <i/>
        <sz val="9"/>
        <color theme="8" tint="-0.249977111117893"/>
        <rFont val="Times New Roman"/>
        <family val="1"/>
      </rPr>
      <t>IPS (Instant Payments System) has been launched since 1 October 2020.</t>
    </r>
  </si>
  <si>
    <r>
      <t xml:space="preserve">Mənbə: Azərbaycan Respublikasının Mərkəzi Bankı / </t>
    </r>
    <r>
      <rPr>
        <i/>
        <sz val="12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</si>
  <si>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Mərkəzi Bankı / </t>
    </r>
    <r>
      <rPr>
        <i/>
        <sz val="14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</si>
  <si>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Mərkəzi Bankı / </t>
    </r>
    <r>
      <rPr>
        <i/>
        <sz val="16"/>
        <color theme="8" tint="-0.249977111117893"/>
        <rFont val="Times New Roman"/>
        <family val="1"/>
      </rPr>
      <t>Source: The Central Bank of the Republic of Azerbaijan</t>
    </r>
  </si>
  <si>
    <t xml:space="preserve">Cədvəl 5.1. Maliyyə bazarlarının iştirakçıları haqqında ümumi məlumat </t>
  </si>
  <si>
    <t>Table 5.1. General information on Financial Market Participants</t>
  </si>
  <si>
    <t>Table 5.2. Overview of Banking Sector</t>
  </si>
  <si>
    <t>Table 5.3. Profit and Loss statement (Banking Sector)</t>
  </si>
  <si>
    <t xml:space="preserve"> Table 5.4. Information on the structure of banks' loan portfolio</t>
  </si>
  <si>
    <t>Table 5.5. Information on business loans by source of funds</t>
  </si>
  <si>
    <t>Table 2.8.1. Loans to Households*</t>
  </si>
  <si>
    <t>Table 2.8.2. Loans to legal entities operating in retail and services sector*</t>
  </si>
  <si>
    <t>Table 2.8.3. Loans to legal entities operating in mining sector*</t>
  </si>
  <si>
    <t>Table 2.8.4. Loans to legal entities operating in electricity, gas, steam and water sector*</t>
  </si>
  <si>
    <t>Table 2.8.5. Loans to legal entities operating in agricultural, forestry or fisheries sector*</t>
  </si>
  <si>
    <t>Table 2.8.6. Loans to legal entities operating in building and construction sector*</t>
  </si>
  <si>
    <t>Table 2.8.7. Loans to legal entities operating in real estate sector *</t>
  </si>
  <si>
    <t>Table 2.8.8. Loans to legal entities operating in industrial and manufacturing sector*</t>
  </si>
  <si>
    <t>Table 2.8.9. Loans to legal entities operating in transportation and communication sector*</t>
  </si>
  <si>
    <r>
      <t>*Bank olmayan kredit təşkilatları istisna olmaqla (vaxtı keçmiş kreditlər daxil olmadan)/</t>
    </r>
    <r>
      <rPr>
        <i/>
        <sz val="14"/>
        <color theme="8" tint="-0.249977111117893"/>
        <rFont val="Times New Roman"/>
        <family val="1"/>
      </rPr>
      <t xml:space="preserve"> *Excluding non-bank credit organizations (excluding overdue loans)</t>
    </r>
  </si>
  <si>
    <t>Cədvəl 2.8.9. Nəqliyyat və rabitə sektorunda fəaliyyət göstərən hüquqi şəxslərə verilən kreditlər*</t>
  </si>
  <si>
    <t>Cədvəl 2.8.8. Sənaye və istehsal sektorunda fəaliyyət göstərən hüquqi şəxslərə verilən kreditlər*</t>
  </si>
  <si>
    <t>Cədvəl 2.8.7. Daşınmaz əmlak sektorunda fəaliyyət göstərən hüquqi şəxslərə verilən kreditlər*</t>
  </si>
  <si>
    <t>Cədvəl 2.8.6. İnşaat və tikinti sektorunda fəaliyyət göstərən hüquqi şəxslərə verilən kreditlər*</t>
  </si>
  <si>
    <t>Cədvəl 2.8.5. Kənd təsərrüfatı, meşə təsərrüfatı və balıqçılıq sektorunda fəaliyyət göstərən hüquqi şəxslərə verilən kreditlər*</t>
  </si>
  <si>
    <t>Cədvəl 2.8.4. Elektrik enerjisi, qaz, buxar və su təsərrüfatı sektoruna verilən kreditlər*</t>
  </si>
  <si>
    <t>Cədvəl 2.8.3. Mədənçıxarma sektorunda fəaliyyət göstərən hüquqi şəxslərə verilən kreditlər*</t>
  </si>
  <si>
    <t>Cədvəl 2.8.2. Ticarət və xidmət sektorunda fəaliyyət göstərən hüquqi şəxslərə verilən kreditlər*</t>
  </si>
  <si>
    <t>Cədvəl 2.8.1. Ev təsərrüfatlarına verilən kreditlər*</t>
  </si>
  <si>
    <t xml:space="preserve">Bankomatlar vasitəsilə </t>
  </si>
  <si>
    <t>via POS-terminals</t>
  </si>
  <si>
    <t>POS-terminallar</t>
  </si>
  <si>
    <t>Cəmi POS-terminallardan</t>
  </si>
  <si>
    <t xml:space="preserve">o c.: POS-terminallar ticarət və xidmətdə </t>
  </si>
  <si>
    <t xml:space="preserve"> Bankomat üzrə bir əməliyyatın orta aylıq həcmi manat </t>
  </si>
  <si>
    <t>Bir POS-terminala düşən əməliyyatların orta aylıq</t>
  </si>
  <si>
    <t xml:space="preserve"> POS-terminallar üzrə bir əməliyyatın orta aylıq həcmi manat </t>
  </si>
  <si>
    <t>monthly average volume of a operations for POS-terminals</t>
  </si>
  <si>
    <t>of which: POS-terminals in trade and service</t>
  </si>
  <si>
    <t>monthly average operations per a POS-terminal</t>
  </si>
  <si>
    <t>POS-terminals in trade and service</t>
  </si>
  <si>
    <t>ədəd/unit</t>
  </si>
  <si>
    <t>Əməliyyatların həcmi (mln. manat)</t>
  </si>
  <si>
    <t>Cədvəl 3.2. Müddətli depozit və kreditlər üzrə orta faiz dərəcələri</t>
  </si>
  <si>
    <t>Table 3.2. Average interest rates on time deposits and loans</t>
  </si>
  <si>
    <t>Müddətli depozit və kreditlər üzrə orta faiz dərəcələri</t>
  </si>
  <si>
    <t>Yeni cəlb olunmuş müddətli depozit və yeni verilmiş kreditlər üzrə orta faiz dərəcələri</t>
  </si>
  <si>
    <t>Amount of transactions, (mln. manat)</t>
  </si>
  <si>
    <t>Orta ölçülmüş qiymət üzrə gəlirlilik (%)</t>
  </si>
  <si>
    <t>maks. (kəsmə)</t>
  </si>
  <si>
    <t>Government registered number of bonds</t>
  </si>
  <si>
    <t xml:space="preserve">                  Nominal (mln. manat)</t>
  </si>
  <si>
    <t>Yield at the average weighted  price</t>
  </si>
  <si>
    <t>AZ0106006882 </t>
  </si>
  <si>
    <t>16 </t>
  </si>
  <si>
    <t>AZ0104003873 </t>
  </si>
  <si>
    <t xml:space="preserve"> AZ0108019883</t>
  </si>
  <si>
    <t>AZ0105021882 </t>
  </si>
  <si>
    <t>AZ0106022889 </t>
  </si>
  <si>
    <t xml:space="preserve">AZ0106023887 </t>
  </si>
  <si>
    <t>AZ0106026880 </t>
  </si>
  <si>
    <t>AZ0110001929 </t>
  </si>
  <si>
    <t>AZ0106035881 </t>
  </si>
  <si>
    <t>AZ0110004923 </t>
  </si>
  <si>
    <t>AZ0108037885 </t>
  </si>
  <si>
    <t>AZ0105002940 </t>
  </si>
  <si>
    <t>AZ0105010943 </t>
  </si>
  <si>
    <t>AZ0108012946 </t>
  </si>
  <si>
    <t>AZ0104001935 </t>
  </si>
  <si>
    <t>Verilmiş kreditlər üzrə orta faiz dərəcəsi</t>
  </si>
  <si>
    <t>Average interest rate on loans</t>
  </si>
  <si>
    <r>
      <t xml:space="preserve">Mənbə: Azərbaycan Respublikasının Mərkəzi Bankı  
</t>
    </r>
    <r>
      <rPr>
        <i/>
        <sz val="9"/>
        <color theme="8" tint="-0.249977111117893"/>
        <rFont val="Times New Roman"/>
        <family val="1"/>
      </rPr>
      <t>Source: The Central Bank of the Republic of Azerbaijan</t>
    </r>
  </si>
  <si>
    <t>Mountainous Shirvan economic region</t>
  </si>
  <si>
    <t>Cədvəl 3.2.1. Yeni cəlb olunmuş müddətli depozit və yeni verilmiş kreditlər üzrə orta faiz dərəcələri</t>
  </si>
  <si>
    <t>Table 3.2.1 Average interest rates on new time deposits and new loans</t>
  </si>
  <si>
    <t>Müddətli depozit və əmanətlər üzrə orta faiz dərəcəsi</t>
  </si>
  <si>
    <t>Average interest rate on time deposits and savings</t>
  </si>
  <si>
    <t>AZ0108024941</t>
  </si>
  <si>
    <t>AZ0106025940</t>
  </si>
  <si>
    <t>AZ0105026949</t>
  </si>
  <si>
    <t>Cədvəl 4.1. Milli Ödəniş Sistemləri üzrə əməliyyatlar</t>
  </si>
  <si>
    <t>Table 4.1. Transactions through National Payment Systems</t>
  </si>
  <si>
    <t xml:space="preserve">Cədvəl 4.2. Milli Ödəniş Sistemləri vasitəsilə aparılan ödəniş əməliyyatlarının iştirakçılar üzrə bölgüsü </t>
  </si>
  <si>
    <t>Table 4.2. Distribution of payment transactions carried out through the National Payment System by participants</t>
  </si>
  <si>
    <r>
      <t xml:space="preserve">Mənbə: Azərbaycan Respublikasının Mərkəzi Bankı / </t>
    </r>
    <r>
      <rPr>
        <i/>
        <sz val="9"/>
        <color theme="8" tint="-0.249977111117893"/>
        <rFont val="Times New Roman"/>
        <family val="1"/>
        <charset val="162"/>
      </rPr>
      <t>Source: The Central Bank of the Republic of Azerbaijan</t>
    </r>
  </si>
  <si>
    <t>Cədvəl 4.4. Statistik vahidə məxsus ödəniş xidməti şəbəkəsinin iqtisadi rayonlar üzrə statistikası</t>
  </si>
  <si>
    <t>Cədvəl 4.5. Debet və kredit kartları ilə aparılan əməliyyatlar</t>
  </si>
  <si>
    <t xml:space="preserve">Table 4.5. Transactions with debit and credit cards  </t>
  </si>
  <si>
    <r>
      <t>Mənbə: Azərbaycan Respublikasının Mərkəzi Bankı /</t>
    </r>
    <r>
      <rPr>
        <i/>
        <sz val="12"/>
        <color theme="8" tint="-0.249977111117893"/>
        <rFont val="Times New Roman"/>
        <family val="1"/>
        <charset val="162"/>
      </rPr>
      <t xml:space="preserve"> Source: The Central Bank of the Republic of Azerbaijan</t>
    </r>
  </si>
  <si>
    <t>Cədvəl 4.6. Ödəniş kartları və terminallardan istifadə göstəriciləri</t>
  </si>
  <si>
    <t xml:space="preserve">Table 4.6. Statistics on operations with payment cards and terminals </t>
  </si>
  <si>
    <r>
      <t xml:space="preserve">Mənbə: Azərbaycan Respublikasının Mərkəzi Bankı / </t>
    </r>
    <r>
      <rPr>
        <i/>
        <sz val="10"/>
        <color theme="8" tint="-0.249977111117893"/>
        <rFont val="Times New Roman"/>
        <family val="1"/>
        <charset val="162"/>
      </rPr>
      <t>Source: The Central Bank of the Republic of Azerbaijan</t>
    </r>
  </si>
  <si>
    <t>Cədvəl 4.8. Statistik vahidə məxsus ödəniş xidməti şəbəkəsində ödəniş kartları vasitəsilə aparılan əməliyyatlar</t>
  </si>
  <si>
    <t>Table 4.8. Transactions carried out using payment cards in the payment service network belonging to the statistical unit</t>
  </si>
  <si>
    <t>Cədvəl 4.9. Pul köçürmə sistemləri üzrə əməliyyatlar</t>
  </si>
  <si>
    <t>Table 4.9. Money transfer systems</t>
  </si>
  <si>
    <t xml:space="preserve">Milli Ödəniş Sistemləri vasitəsilə aparılan ödəniş əməliyyatlarının iştirakçılar üzrə bölgüsü </t>
  </si>
  <si>
    <t>Table 4.4. Statistics on the payment service network belonging to the statistical unit by economic regions</t>
  </si>
  <si>
    <t xml:space="preserve">Rezident maliyyə institutlarının (həmçinin statistik vahidin ödəniş kartları) emissiya etdiyi ödəniş kartları vasitəsilə </t>
  </si>
  <si>
    <r>
      <t xml:space="preserve">Mənbə: Azərbaycan Respublikasının Mərkəzi Bankı  / </t>
    </r>
    <r>
      <rPr>
        <i/>
        <sz val="9"/>
        <color theme="8" tint="-0.249977111117893"/>
        <rFont val="Times New Roman"/>
        <family val="1"/>
      </rPr>
      <t>Source: The Central Bank of the Republic of Azerbaijan</t>
    </r>
  </si>
  <si>
    <t xml:space="preserve">Bir bankomata düşən əməliyyatların orta aylıq </t>
  </si>
  <si>
    <t>AZ2009024707</t>
  </si>
  <si>
    <t>AZ2010024704</t>
  </si>
  <si>
    <t>AZ2011024703</t>
  </si>
  <si>
    <t>AZ2012024702</t>
  </si>
  <si>
    <t>AZ2013024701</t>
  </si>
  <si>
    <t>AZ2014024700</t>
  </si>
  <si>
    <t>AZ2015024709</t>
  </si>
  <si>
    <t>AZ2016024708</t>
  </si>
  <si>
    <t>AZ2017024707</t>
  </si>
  <si>
    <t>AZ2018024706</t>
  </si>
  <si>
    <t>AZ2019024705</t>
  </si>
  <si>
    <t>AZ2020024702</t>
  </si>
  <si>
    <t>AZ2021024701</t>
  </si>
  <si>
    <t>AZ2022024700</t>
  </si>
  <si>
    <t>AZ2023024709</t>
  </si>
  <si>
    <t>AZ2024024708</t>
  </si>
  <si>
    <t>Budget revenue,</t>
  </si>
  <si>
    <t>Budget expenditure,</t>
  </si>
  <si>
    <t>AZ0108027944</t>
  </si>
  <si>
    <t>AZ0106028944</t>
  </si>
  <si>
    <t>AZ0105029943</t>
  </si>
  <si>
    <t>january-october</t>
  </si>
  <si>
    <t>AZ2025024707</t>
  </si>
  <si>
    <t>AZ2026024706</t>
  </si>
  <si>
    <t>AZ2027024705</t>
  </si>
  <si>
    <t>AZ2028024704</t>
  </si>
  <si>
    <t>AZ2029024703</t>
  </si>
  <si>
    <t>AZ2030024700</t>
  </si>
  <si>
    <t>AZ2031024709</t>
  </si>
  <si>
    <t>AZ2032024708</t>
  </si>
  <si>
    <t>AZ2033024707</t>
  </si>
  <si>
    <t>AZ2034024706</t>
  </si>
  <si>
    <t>AZ2035024705</t>
  </si>
  <si>
    <t>AZ2036024704</t>
  </si>
  <si>
    <t>AZ2037024703</t>
  </si>
  <si>
    <t>AZ2038024702</t>
  </si>
  <si>
    <t>AZ2039024701</t>
  </si>
  <si>
    <t>AZ2040024708</t>
  </si>
  <si>
    <t>AZ2041024707</t>
  </si>
  <si>
    <t>AZ2042024706</t>
  </si>
  <si>
    <t>AZ0108030948</t>
  </si>
  <si>
    <t>AZ0106031948</t>
  </si>
  <si>
    <t>AZ0105032947</t>
  </si>
  <si>
    <t>AZ0104001976</t>
  </si>
  <si>
    <t>AZ0104002974</t>
  </si>
  <si>
    <t>RIII,2022     QIII,2022</t>
  </si>
  <si>
    <t>November</t>
  </si>
  <si>
    <t>Özünəxidmət terminalları vasitəsilə</t>
  </si>
  <si>
    <t>via self-sevice terminals</t>
  </si>
  <si>
    <t>january-november</t>
  </si>
  <si>
    <t>including:</t>
  </si>
  <si>
    <t>accident and occupational diseases insurance</t>
  </si>
  <si>
    <t>critical illness insurance</t>
  </si>
  <si>
    <t>medical insurance</t>
  </si>
  <si>
    <t>personal accident insurance</t>
  </si>
  <si>
    <t>fire &amp; allied perils insurance</t>
  </si>
  <si>
    <t>motor vehicle insurance</t>
  </si>
  <si>
    <t>cargo insurance</t>
  </si>
  <si>
    <t>marine hull insurance</t>
  </si>
  <si>
    <t xml:space="preserve"> - fidelity guarantee insurance</t>
  </si>
  <si>
    <t>general third party liability</t>
  </si>
  <si>
    <t>third party liability insurance of motor insurance</t>
  </si>
  <si>
    <t>professional indemnity insurance</t>
  </si>
  <si>
    <t>carrier's liability insurance</t>
  </si>
  <si>
    <t>marine liability insurance</t>
  </si>
  <si>
    <t>railway liability insurance</t>
  </si>
  <si>
    <t>contractual Liability Insurance</t>
  </si>
  <si>
    <t>business interruption insurance</t>
  </si>
  <si>
    <t>compulsory insurance against loss of professional work capacity as a result of labor accidents and occupational diseases</t>
  </si>
  <si>
    <t>compulsory third party liability insurance of motor vehicles</t>
  </si>
  <si>
    <t>compulsory third party liability insurance associated with the use of the real estate</t>
  </si>
  <si>
    <r>
      <t xml:space="preserve">Cədvəl 1.6. Manatın xarici valyutalara nisbətən nominal və real effektiv məzənnəsi </t>
    </r>
    <r>
      <rPr>
        <b/>
        <i/>
        <sz val="9"/>
        <color rgb="FF366092"/>
        <rFont val="Times New Roman"/>
        <family val="1"/>
      </rPr>
      <t xml:space="preserve">(dekabr 2000=100) </t>
    </r>
  </si>
  <si>
    <r>
      <t xml:space="preserve">Table 1.6. Nominal and real effective exchange rates of manat to foreign currencies </t>
    </r>
    <r>
      <rPr>
        <i/>
        <sz val="9"/>
        <color rgb="FF366092"/>
        <rFont val="Times New Roman"/>
        <family val="1"/>
      </rPr>
      <t xml:space="preserve">(December 2000=100) </t>
    </r>
  </si>
  <si>
    <r>
      <t xml:space="preserve">Nominal effektiv məzənnə </t>
    </r>
    <r>
      <rPr>
        <b/>
        <sz val="10"/>
        <rFont val="Times New Roman"/>
        <family val="1"/>
      </rPr>
      <t>(NEM)</t>
    </r>
  </si>
  <si>
    <t>Real effektiv məzənnə (REM)</t>
  </si>
  <si>
    <t>Ümumi</t>
  </si>
  <si>
    <t>Qeyri-neft sektoru üzrə</t>
  </si>
  <si>
    <t>Nominal effective exchange rate (NEER)</t>
  </si>
  <si>
    <t>Real effective exchange rate (REER)</t>
  </si>
  <si>
    <t>Non-oil sector</t>
  </si>
  <si>
    <t>AZ0104001984</t>
  </si>
  <si>
    <t>AZ0106001990</t>
  </si>
  <si>
    <t>AZ0104100018</t>
  </si>
  <si>
    <t>AZ0105003997</t>
  </si>
  <si>
    <t>AZ0104102014</t>
  </si>
  <si>
    <t>AZ2043024705</t>
  </si>
  <si>
    <t>AZ2044024704</t>
  </si>
  <si>
    <t>AZ2045024703</t>
  </si>
  <si>
    <t>AZ2046024702</t>
  </si>
  <si>
    <t>AZ2047024701</t>
  </si>
  <si>
    <t>AZ2048024700</t>
  </si>
  <si>
    <t>AZ2049024709</t>
  </si>
  <si>
    <t>AZ2050024705</t>
  </si>
  <si>
    <t>AZ2051024704</t>
  </si>
  <si>
    <t>AZ2052024703</t>
  </si>
  <si>
    <t>AZ2053024702</t>
  </si>
  <si>
    <t>AZ2054024701</t>
  </si>
  <si>
    <t>AZ2055024700</t>
  </si>
  <si>
    <t>AZ2056024709</t>
  </si>
  <si>
    <t>january-december</t>
  </si>
  <si>
    <r>
      <t xml:space="preserve">Cədvəl 1.6.1. Manatın əsas ticarət tərəfdaşı olan ölkələrin valyutalarına qarşı real məzənnəsi </t>
    </r>
    <r>
      <rPr>
        <b/>
        <i/>
        <sz val="14"/>
        <color rgb="FF366092"/>
        <rFont val="Times New Roman"/>
        <family val="1"/>
        <charset val="162"/>
      </rPr>
      <t xml:space="preserve">(dekabr 2000=100) </t>
    </r>
  </si>
  <si>
    <r>
      <t>Table 1.6.1. Real exchange rate of manat against the main trade partners (december 2000=100)</t>
    </r>
    <r>
      <rPr>
        <i/>
        <sz val="12"/>
        <color rgb="FF366092"/>
        <rFont val="Times New Roman"/>
        <family val="1"/>
        <charset val="162"/>
      </rPr>
      <t xml:space="preserve"> </t>
    </r>
  </si>
  <si>
    <t>Avro</t>
  </si>
  <si>
    <t>İngiltərə funt sterlinqi</t>
  </si>
  <si>
    <t>Türkiyə lirəsi</t>
  </si>
  <si>
    <t>Gürcüstan larisi</t>
  </si>
  <si>
    <t>Qazaxıstan tengəsi</t>
  </si>
  <si>
    <t>Yaponiya yeni</t>
  </si>
  <si>
    <t>İsrail şekeli</t>
  </si>
  <si>
    <t>Belarus rublu*</t>
  </si>
  <si>
    <t>Cənubi Koreya vonu**</t>
  </si>
  <si>
    <t>İsveçrə frankı***</t>
  </si>
  <si>
    <t>US Dollar</t>
  </si>
  <si>
    <t>Euro</t>
  </si>
  <si>
    <t>British Pound Sterling</t>
  </si>
  <si>
    <t>Turkish Lira</t>
  </si>
  <si>
    <t>Russian Ruble</t>
  </si>
  <si>
    <t>Ukrainian Hryvnia</t>
  </si>
  <si>
    <t>Georgian Lari</t>
  </si>
  <si>
    <t>Kazakh Tenge</t>
  </si>
  <si>
    <t>Japanese Yen</t>
  </si>
  <si>
    <t>Israeli Shekel</t>
  </si>
  <si>
    <t>Chinese Yuan</t>
  </si>
  <si>
    <t>Belarus Ruble</t>
  </si>
  <si>
    <t>South Korean Won</t>
  </si>
  <si>
    <t>Swiss Franc</t>
  </si>
  <si>
    <r>
      <t xml:space="preserve">Mənbə: Azərbaycan Respublikasının Mərkəzi Bankı / </t>
    </r>
    <r>
      <rPr>
        <i/>
        <sz val="10"/>
        <color theme="8" tint="-0.249977111117893"/>
        <rFont val="Times New Roman"/>
        <family val="1"/>
      </rPr>
      <t>Source: Central Bank of the Republic of Azerbaijan</t>
    </r>
  </si>
  <si>
    <t>Belarus rublu</t>
  </si>
  <si>
    <t>Cənubi Koreya vonu</t>
  </si>
  <si>
    <t xml:space="preserve">British Pound </t>
  </si>
  <si>
    <r>
      <rPr>
        <b/>
        <i/>
        <sz val="10"/>
        <color theme="8" tint="-0.249977111117893"/>
        <rFont val="Times New Roman"/>
        <family val="1"/>
      </rPr>
      <t xml:space="preserve">Qeyd: Valyuta məzənnələri aylıq orta götürülmüşdür </t>
    </r>
    <r>
      <rPr>
        <i/>
        <sz val="10"/>
        <color theme="8" tint="-0.249977111117893"/>
        <rFont val="Times New Roman"/>
        <family val="1"/>
      </rPr>
      <t>/ based on monthly average exchange rates</t>
    </r>
  </si>
  <si>
    <t xml:space="preserve">Manatın əsas ticarət tərəfdaşı olan ölkələrin valyutalarına qarşı real məzənnəsi (dekabr 2000=100) </t>
  </si>
  <si>
    <t>1.6.1</t>
  </si>
  <si>
    <t>2.16.1</t>
  </si>
  <si>
    <t>Əsas ticarət tərəfdaşı olan ölkələrin valyutalarının manata qarşı dəyişimi, (ilin əvvəlinə nəzərən %-lə)</t>
  </si>
  <si>
    <t>POS-terminalların sayı</t>
  </si>
  <si>
    <t>Özünəxidmət terminallarının sayı</t>
  </si>
  <si>
    <t>o cümlədən daşınmaz əmlakla əlaqədar əməliyyatlar (ipoteka krediti daxil olmaqla)</t>
  </si>
  <si>
    <t>of which: transactions related real estate (including mortgage loans)</t>
  </si>
  <si>
    <t>Biznes kreditləri</t>
  </si>
  <si>
    <t>2023</t>
  </si>
  <si>
    <t>AZ2057024708</t>
  </si>
  <si>
    <t>AZ2058024707</t>
  </si>
  <si>
    <t>AZ2059024706</t>
  </si>
  <si>
    <t>AZ2060024703</t>
  </si>
  <si>
    <t>AZ2061024702</t>
  </si>
  <si>
    <t>AZ2062024701</t>
  </si>
  <si>
    <t>AZ2063024700</t>
  </si>
  <si>
    <t>AZ2064024709</t>
  </si>
  <si>
    <t>AZ2065024708</t>
  </si>
  <si>
    <t>AZ2066024707</t>
  </si>
  <si>
    <t>AZ2067024706</t>
  </si>
  <si>
    <t>AZ2068024705</t>
  </si>
  <si>
    <t>AZ0201040018</t>
  </si>
  <si>
    <t>AZ0101030010</t>
  </si>
  <si>
    <t>AZ0201040026</t>
  </si>
  <si>
    <t>01.08.2022 - 31.12.2022</t>
  </si>
  <si>
    <t>3077</t>
  </si>
  <si>
    <t>Lokal kartlar</t>
  </si>
  <si>
    <t>Local cards</t>
  </si>
  <si>
    <t xml:space="preserve">Pərakəndə Ticarət İnam İndeksi*** </t>
  </si>
  <si>
    <t>AZ0101030028</t>
  </si>
  <si>
    <t>AZ0201040034</t>
  </si>
  <si>
    <t>AZ0201040042</t>
  </si>
  <si>
    <t>AZ0201040059</t>
  </si>
  <si>
    <t>RIV,2022      QIV,2022</t>
  </si>
  <si>
    <t>Xalis səhvlər və buraxılışlar</t>
  </si>
  <si>
    <t xml:space="preserve"> Table 3.4. Central Bank's notes</t>
  </si>
  <si>
    <t>AZ0101030036</t>
  </si>
  <si>
    <t>AZ0201040067</t>
  </si>
  <si>
    <t xml:space="preserve"> Cədvəl 5.6. Bankların qeyri-işlək kreditlərinin strukturu barədə məlumat</t>
  </si>
  <si>
    <t>Qeyri-işlək kredit (QİK)</t>
  </si>
  <si>
    <t xml:space="preserve"> - biznes kreditləri</t>
  </si>
  <si>
    <t>QİK/Kredit portfeli</t>
  </si>
  <si>
    <t xml:space="preserve"> - biznes (QİK)/biznes kreditləri</t>
  </si>
  <si>
    <t xml:space="preserve"> - istehlak (QİK)/istehlak kreditləri</t>
  </si>
  <si>
    <t xml:space="preserve"> - ipoteka (QİK)/ipoteka kreditləri</t>
  </si>
  <si>
    <t>Table 5.6. Information on the structure of non-performing loans of banks</t>
  </si>
  <si>
    <t>Portfolio distribution</t>
  </si>
  <si>
    <t>Non-performing loans (NPL)</t>
  </si>
  <si>
    <t>- business loans *</t>
  </si>
  <si>
    <t>- consumer loans</t>
  </si>
  <si>
    <t>- mortgage loans</t>
  </si>
  <si>
    <t>NPL / Loan portfolio</t>
  </si>
  <si>
    <t>Number of banks</t>
  </si>
  <si>
    <t>State banks</t>
  </si>
  <si>
    <t>Banks with foreign capital</t>
  </si>
  <si>
    <t>banks with 50% to 100%  foreign capital, of which</t>
  </si>
  <si>
    <t>- local branches of foreign banks</t>
  </si>
  <si>
    <t>bank with less than 50% of the foreign capital</t>
  </si>
  <si>
    <t xml:space="preserve"> The number of banks licensed since the   beginning of the year</t>
  </si>
  <si>
    <t>The number of banks whose licenses have been revoked since the beginning of the year</t>
  </si>
  <si>
    <t>Number of banks' branches</t>
  </si>
  <si>
    <t>Number of banks'divisions</t>
  </si>
  <si>
    <t xml:space="preserve">Number of ATMs </t>
  </si>
  <si>
    <t>Number of employess</t>
  </si>
  <si>
    <t>1. Cash</t>
  </si>
  <si>
    <t>3. Nostro accounts (correspondent accounts with other banks)</t>
  </si>
  <si>
    <t>4. Deposits in financial institutions, including banks</t>
  </si>
  <si>
    <t>5. Securities</t>
  </si>
  <si>
    <t>6. Loans to financial institutions, including banks</t>
  </si>
  <si>
    <t>6.1 net loans</t>
  </si>
  <si>
    <t>7. Loans to customers</t>
  </si>
  <si>
    <t>7.1 Less specific reserves against possible losses on loans</t>
  </si>
  <si>
    <t>7.2 Net loans to customers</t>
  </si>
  <si>
    <t>8. Fixed assets</t>
  </si>
  <si>
    <t>9. Intangible assets</t>
  </si>
  <si>
    <t>10. Other assets (less specific reservers)</t>
  </si>
  <si>
    <t>11. Total Assets</t>
  </si>
  <si>
    <t>Assets</t>
  </si>
  <si>
    <t>Liabilities</t>
  </si>
  <si>
    <t>1. Deposits (excluding financial institutions)</t>
  </si>
  <si>
    <t>1.1 Individuals</t>
  </si>
  <si>
    <t>1.1.1 term deposits</t>
  </si>
  <si>
    <t>1.1.2 current accounts</t>
  </si>
  <si>
    <t>1.2.1 term deposits</t>
  </si>
  <si>
    <t>2. CBAR's claims to banks</t>
  </si>
  <si>
    <t>3. Loro accounts</t>
  </si>
  <si>
    <t>4. Deposits of financial institutions</t>
  </si>
  <si>
    <t>5. Loans of  banks</t>
  </si>
  <si>
    <t>6. Loans from other financial institutions</t>
  </si>
  <si>
    <t>7. Securities issued by banks</t>
  </si>
  <si>
    <t>8. Other liabilities</t>
  </si>
  <si>
    <t>9. Total liabilities</t>
  </si>
  <si>
    <t>Equity</t>
  </si>
  <si>
    <t>10. Equity capital</t>
  </si>
  <si>
    <t>11. General reserves</t>
  </si>
  <si>
    <t>12. Total Capital</t>
  </si>
  <si>
    <t>13. Total liabilities and capital</t>
  </si>
  <si>
    <t>Profit and loss items</t>
  </si>
  <si>
    <t xml:space="preserve">1. Interest and related income </t>
  </si>
  <si>
    <t>1.1 Interest on loans, total</t>
  </si>
  <si>
    <t>- less special provisions on interest</t>
  </si>
  <si>
    <t>1.2 on funds placed in the financial sector</t>
  </si>
  <si>
    <t>1.3 on securities</t>
  </si>
  <si>
    <t>1.4 on other interest income</t>
  </si>
  <si>
    <t>2. Interest expense</t>
  </si>
  <si>
    <t>2.1 interest on deposits</t>
  </si>
  <si>
    <t>- including on time deposits</t>
  </si>
  <si>
    <t>2.2 on funds raised from the financial sector</t>
  </si>
  <si>
    <t>2.3 other</t>
  </si>
  <si>
    <t>3. Net interest profit (loss)</t>
  </si>
  <si>
    <t>4. Non-interest income</t>
  </si>
  <si>
    <t>4.1 commission income from account maintenance services</t>
  </si>
  <si>
    <t>4.2 Net income (loss) from foreign exchange transactions, including exchange rate changes</t>
  </si>
  <si>
    <t>4.3 income (loss) on the sale of securities</t>
  </si>
  <si>
    <t>4.4 on other non-interest income</t>
  </si>
  <si>
    <t>5. Non-interest expenses</t>
  </si>
  <si>
    <t>5.1 costs related to fixed assets</t>
  </si>
  <si>
    <t>5.2 service fees and commission costs</t>
  </si>
  <si>
    <t>5.3 on other non-interest expenses</t>
  </si>
  <si>
    <t>6. Operating profit (loss)</t>
  </si>
  <si>
    <t>7. Loan loss provisions</t>
  </si>
  <si>
    <t>8. Other income (expenses)</t>
  </si>
  <si>
    <t>9. Profit (loss) before taxes</t>
  </si>
  <si>
    <t>10. Profit tax</t>
  </si>
  <si>
    <t>11. Net profit (loss)</t>
  </si>
  <si>
    <t>Loan portfolio</t>
  </si>
  <si>
    <t>including</t>
  </si>
  <si>
    <t>- mortgages</t>
  </si>
  <si>
    <t>Qeyd (Kredit portfelinin bölgüsü prudensial metodologiyaya uyğun olaraq verilmişdir).
*fiziki şəxs sahibkarlara verilmiş kreditlər təyinata uyğun olaraq biznes kreditləri kimi tənsifləşdirilir
Note (The distribution of the loan portfolio is given in accordance with the prudential methodology).
* Loans to individuals are classified as business loans in accordance with the purpose</t>
  </si>
  <si>
    <t xml:space="preserve"> - financed by state funds</t>
  </si>
  <si>
    <t xml:space="preserve">Business loans </t>
  </si>
  <si>
    <t>5.6</t>
  </si>
  <si>
    <t>Bankların qeyri-işlək kreditlərinin strukturu barədə məlumat</t>
  </si>
  <si>
    <t>Qeyd: Prudensial hesabatlılıq metodologiyası əsasında hazırlanmışdır/ Note: It has been prepared on the basis of Prudential reporting methodology</t>
  </si>
  <si>
    <t>2. Claims on CBAR, total*</t>
  </si>
  <si>
    <t>1.2 Legal entities**</t>
  </si>
  <si>
    <t>1.2.2 current*** accounts</t>
  </si>
  <si>
    <t xml:space="preserve">   - deposits of entrepreuners</t>
  </si>
  <si>
    <t xml:space="preserve"> - business NPL / business portfolio</t>
  </si>
  <si>
    <t xml:space="preserve"> - consumer NPL / consumer portfolio</t>
  </si>
  <si>
    <t xml:space="preserve"> - mortgage NPL / mortgage portfolio</t>
  </si>
  <si>
    <t>mln. manatla</t>
  </si>
  <si>
    <t xml:space="preserve">  including:</t>
  </si>
  <si>
    <t xml:space="preserve">- business loans </t>
  </si>
  <si>
    <t>Qeyd: Prudensial yanaşmaya əsasən qeyri-işlək kredit dedikdə əsas borc və ya faiz borcu üzrə 90 gündən yuxarı gecikmədə olan kreditin əsas məbləği nəzərə alınır.
Note: According to the prudential approach, a non-performing loan refers to the principal amount of the loan that is more than 90 days in arrears on principal debt or interest debt</t>
  </si>
  <si>
    <t>AZ0101030044</t>
  </si>
  <si>
    <t>AZ0201040083</t>
  </si>
  <si>
    <t>AZ0201040091</t>
  </si>
  <si>
    <t>AZ0201040109</t>
  </si>
  <si>
    <t>AZ2069024704</t>
  </si>
  <si>
    <t>AZ2070024701</t>
  </si>
  <si>
    <t>AZ2071024700</t>
  </si>
  <si>
    <t>AZ2072024709</t>
  </si>
  <si>
    <t>AZ2073024708</t>
  </si>
  <si>
    <t>AZ2074024707</t>
  </si>
  <si>
    <t>AZ2075024706</t>
  </si>
  <si>
    <t>AZ2076024705</t>
  </si>
  <si>
    <t xml:space="preserve">Cədvəl 2.16. Manatın rəsmi orta məzənnəsi </t>
  </si>
  <si>
    <t xml:space="preserve">Manatın rəsmi orta məzənnəsi </t>
  </si>
  <si>
    <t>Main macroeconomic indicators</t>
  </si>
  <si>
    <t>Major indicators of the state budget of the Republic of Azerbaijan</t>
  </si>
  <si>
    <t xml:space="preserve">Balance of payments of the Republic of Azerbaijan </t>
  </si>
  <si>
    <r>
      <t xml:space="preserve">Table 1.2. Changes of price indicies, </t>
    </r>
    <r>
      <rPr>
        <i/>
        <sz val="14"/>
        <color rgb="FF366092"/>
        <rFont val="Times New Roman"/>
        <family val="1"/>
        <charset val="162"/>
      </rPr>
      <t>%</t>
    </r>
  </si>
  <si>
    <t>Changes of price indicies, %</t>
  </si>
  <si>
    <t>New loans of credit institutions by maturity</t>
  </si>
  <si>
    <t>Loans to Households</t>
  </si>
  <si>
    <t>Loans to legal entities operating in mining sector</t>
  </si>
  <si>
    <t>Loans to legal entities operating in retail and services sector</t>
  </si>
  <si>
    <t>Loans to legal entities operating in electricity, gas, steam and water sector</t>
  </si>
  <si>
    <t>Loans to legal entities operating in agricultural, forestry or fisheries sector</t>
  </si>
  <si>
    <t>Loans to legal entities operating in building and construction sector</t>
  </si>
  <si>
    <t>Loans to legal entities operating in real estate sector</t>
  </si>
  <si>
    <t>Loans to legal entities operating in industrial and manufacturing sector</t>
  </si>
  <si>
    <t>Loans to legal entities operating in transportation and communication sector</t>
  </si>
  <si>
    <t>Mortgage loans</t>
  </si>
  <si>
    <t>Loans by regions</t>
  </si>
  <si>
    <t>Structure of households` savings</t>
  </si>
  <si>
    <t>Savings by regions</t>
  </si>
  <si>
    <t>Reserve requirements of the CBA, %</t>
  </si>
  <si>
    <t>Official average exchange rates of manat</t>
  </si>
  <si>
    <t>Average interest rates on time deposits and loans</t>
  </si>
  <si>
    <t>Average interest rates on new time deposits and new loans</t>
  </si>
  <si>
    <t>Government bonds</t>
  </si>
  <si>
    <t>Central Bank's notes</t>
  </si>
  <si>
    <t>Main indicators of securities market</t>
  </si>
  <si>
    <t>Exchange operations with cash foreign currency</t>
  </si>
  <si>
    <t>Transactions through National Payment Systems</t>
  </si>
  <si>
    <t>Distribution of payment transactions carried out through the National Payment System by participants</t>
  </si>
  <si>
    <t>Statistics on the payment service network belonging to the statistical unit by economic regions</t>
  </si>
  <si>
    <t xml:space="preserve">Transactions with debit and credit cards  </t>
  </si>
  <si>
    <t xml:space="preserve">Statistics on operations with payment cards and terminals </t>
  </si>
  <si>
    <t>Transactions carried out using payment cards in the payment service network belonging to the statistical unit</t>
  </si>
  <si>
    <t>Money transfer systems</t>
  </si>
  <si>
    <t>General information on Financial Market Participants</t>
  </si>
  <si>
    <t>Overview of Banking Sector</t>
  </si>
  <si>
    <t>Information on the structure of banks' loan portfolio</t>
  </si>
  <si>
    <t>Information on business loans by source of funds</t>
  </si>
  <si>
    <t>Information on the structure of non-performing loans of banks</t>
  </si>
  <si>
    <t>Premiums Written and Claims Paid</t>
  </si>
  <si>
    <t>Premiums Written and Claims Paid by Insurance Types</t>
  </si>
  <si>
    <t>Business Tendency Indices in Real Sector</t>
  </si>
  <si>
    <t>Statistics of encumbrances recorded in the Registry about movable property</t>
  </si>
  <si>
    <t>Table of contents</t>
  </si>
  <si>
    <t>Reports</t>
  </si>
  <si>
    <r>
      <t>Foreign trade of the Republic of Azerbaijan</t>
    </r>
    <r>
      <rPr>
        <i/>
        <sz val="11"/>
        <color rgb="FF366092"/>
        <rFont val="Times New Roman"/>
        <family val="1"/>
      </rPr>
      <t xml:space="preserve"> (based on a balance of payments methodology)</t>
    </r>
  </si>
  <si>
    <r>
      <t xml:space="preserve">Nominal and real effective exchange rates of manat to foreign currencies </t>
    </r>
    <r>
      <rPr>
        <i/>
        <sz val="11"/>
        <color rgb="FF366092"/>
        <rFont val="Times New Roman"/>
        <family val="1"/>
      </rPr>
      <t xml:space="preserve">(December 2000=100) </t>
    </r>
  </si>
  <si>
    <r>
      <t xml:space="preserve">Real exchange rate of manat against the main trade partners </t>
    </r>
    <r>
      <rPr>
        <i/>
        <sz val="11"/>
        <color rgb="FF366092"/>
        <rFont val="Times New Roman"/>
        <family val="1"/>
      </rPr>
      <t xml:space="preserve">(december 2000=100) </t>
    </r>
  </si>
  <si>
    <r>
      <t xml:space="preserve">Monetary survey </t>
    </r>
    <r>
      <rPr>
        <i/>
        <sz val="11"/>
        <color rgb="FF366092"/>
        <rFont val="Times New Roman"/>
        <family val="1"/>
      </rPr>
      <t>(end of period)</t>
    </r>
  </si>
  <si>
    <r>
      <t xml:space="preserve">Analytical Balance of CBA </t>
    </r>
    <r>
      <rPr>
        <i/>
        <sz val="11"/>
        <color rgb="FF366092"/>
        <rFont val="Times New Roman"/>
        <family val="1"/>
      </rPr>
      <t>(end of period)</t>
    </r>
  </si>
  <si>
    <r>
      <t xml:space="preserve">Analytical Balance of Commercial banks </t>
    </r>
    <r>
      <rPr>
        <i/>
        <sz val="11"/>
        <color rgb="FF366092"/>
        <rFont val="Times New Roman"/>
        <family val="1"/>
      </rPr>
      <t>(end of period)</t>
    </r>
  </si>
  <si>
    <r>
      <t xml:space="preserve">Money aggregates </t>
    </r>
    <r>
      <rPr>
        <i/>
        <sz val="11"/>
        <color rgb="FF366092"/>
        <rFont val="Times New Roman"/>
        <family val="1"/>
      </rPr>
      <t>(end of period)</t>
    </r>
  </si>
  <si>
    <r>
      <t xml:space="preserve">Monetary base </t>
    </r>
    <r>
      <rPr>
        <i/>
        <sz val="11"/>
        <color rgb="FF366092"/>
        <rFont val="Times New Roman"/>
        <family val="1"/>
      </rPr>
      <t>(end of period)</t>
    </r>
  </si>
  <si>
    <r>
      <t xml:space="preserve">The structure of loans to the economy by the type of credit institutions </t>
    </r>
    <r>
      <rPr>
        <i/>
        <sz val="11"/>
        <color rgb="FF366092"/>
        <rFont val="Times New Roman"/>
        <family val="1"/>
      </rPr>
      <t>(end of period)</t>
    </r>
  </si>
  <si>
    <r>
      <t xml:space="preserve">Loans of credit institutions by maturity </t>
    </r>
    <r>
      <rPr>
        <i/>
        <sz val="11"/>
        <color rgb="FF366092"/>
        <rFont val="Times New Roman"/>
        <family val="1"/>
      </rPr>
      <t>(end of period)</t>
    </r>
  </si>
  <si>
    <r>
      <t xml:space="preserve">Sectoral breakdown of loans </t>
    </r>
    <r>
      <rPr>
        <i/>
        <sz val="11"/>
        <color rgb="FF366092"/>
        <rFont val="Times New Roman"/>
        <family val="1"/>
      </rPr>
      <t>(end of period)</t>
    </r>
  </si>
  <si>
    <r>
      <t xml:space="preserve">Deposits and savings in credit institutions </t>
    </r>
    <r>
      <rPr>
        <i/>
        <sz val="11"/>
        <color rgb="FF366092"/>
        <rFont val="Times New Roman"/>
        <family val="1"/>
      </rPr>
      <t>(end of period)</t>
    </r>
  </si>
  <si>
    <r>
      <t xml:space="preserve">Structure of deposits by currencies </t>
    </r>
    <r>
      <rPr>
        <i/>
        <sz val="11"/>
        <color rgb="FF366092"/>
        <rFont val="Times New Roman"/>
        <family val="1"/>
      </rPr>
      <t>(end of period)</t>
    </r>
  </si>
  <si>
    <r>
      <t xml:space="preserve">Percentage change in exchange rates of currencies of the main trade partners against manat </t>
    </r>
    <r>
      <rPr>
        <i/>
        <sz val="11"/>
        <color rgb="FF366092"/>
        <rFont val="Times New Roman"/>
        <family val="1"/>
      </rPr>
      <t xml:space="preserve">(compared to previous year end, %) </t>
    </r>
  </si>
  <si>
    <r>
      <t xml:space="preserve">Volume and interest rates on Central Bank's monetary operations </t>
    </r>
    <r>
      <rPr>
        <i/>
        <sz val="11"/>
        <color rgb="FF366092"/>
        <rFont val="Times New Roman"/>
        <family val="1"/>
      </rPr>
      <t xml:space="preserve">(end of period) </t>
    </r>
  </si>
  <si>
    <r>
      <t xml:space="preserve">Profit and Loss statement </t>
    </r>
    <r>
      <rPr>
        <i/>
        <sz val="11"/>
        <color rgb="FF366092"/>
        <rFont val="Times New Roman"/>
        <family val="1"/>
      </rPr>
      <t>(Banking Sector)</t>
    </r>
  </si>
  <si>
    <r>
      <t xml:space="preserve">Loans of credit institutions by maturity </t>
    </r>
    <r>
      <rPr>
        <i/>
        <sz val="11"/>
        <color rgb="FFFF0000"/>
        <rFont val="Times New Roman"/>
        <family val="1"/>
      </rPr>
      <t>(detailed)</t>
    </r>
  </si>
  <si>
    <r>
      <t xml:space="preserve">Sectoral breakdown of loans </t>
    </r>
    <r>
      <rPr>
        <i/>
        <sz val="11"/>
        <color rgb="FFFF0000"/>
        <rFont val="Times New Roman"/>
        <family val="1"/>
      </rPr>
      <t>(detailed)</t>
    </r>
  </si>
  <si>
    <t>RI,2023      QI,2023</t>
  </si>
  <si>
    <t>728  </t>
  </si>
  <si>
    <t>21 </t>
  </si>
  <si>
    <t>23 </t>
  </si>
  <si>
    <t>AZ0201040117</t>
  </si>
  <si>
    <t>AZ0201040125</t>
  </si>
  <si>
    <t>AZ0201040133</t>
  </si>
  <si>
    <t>AZ2077024704</t>
  </si>
  <si>
    <t>AZ2078024703</t>
  </si>
  <si>
    <t>AZ2079024702</t>
  </si>
  <si>
    <t>AZ2080024709</t>
  </si>
  <si>
    <t>AZ2081024708</t>
  </si>
  <si>
    <t>AZ2082024707</t>
  </si>
  <si>
    <t>AZ2083024706</t>
  </si>
  <si>
    <t>AZ2084024705</t>
  </si>
  <si>
    <t>AZ2085024704</t>
  </si>
  <si>
    <t>AZ2086024703</t>
  </si>
  <si>
    <t>AZ2087024702</t>
  </si>
  <si>
    <t>AZ2088024701</t>
  </si>
  <si>
    <t>AZ2089024700</t>
  </si>
  <si>
    <t>AZ2090024707</t>
  </si>
  <si>
    <t>AZ2091024706</t>
  </si>
  <si>
    <t>AZ2092024705</t>
  </si>
  <si>
    <t>AZ2093024704</t>
  </si>
  <si>
    <t>AZ2094024703</t>
  </si>
  <si>
    <t>təmassız ödənişləri qəbul edən</t>
  </si>
  <si>
    <t>pərakəndə ticarət, iaşə və digər xidmət müəssisələrində POS-terminallar:</t>
  </si>
  <si>
    <t>Özünəxidmət terminalları</t>
  </si>
  <si>
    <t>Self-service terminals</t>
  </si>
  <si>
    <t>which accepts contactless payments</t>
  </si>
  <si>
    <t>Retail and other service companies</t>
  </si>
  <si>
    <t xml:space="preserve">o cümlədən: təmassız ödənişləri qəbul edən </t>
  </si>
  <si>
    <t>Elektron bankçılıq</t>
  </si>
  <si>
    <t>internet bankçılıq</t>
  </si>
  <si>
    <t>mobil bankçılıq</t>
  </si>
  <si>
    <t>sayı, min əməliyyat</t>
  </si>
  <si>
    <t xml:space="preserve">həcmi,  mln manat </t>
  </si>
  <si>
    <t>Electronic banking</t>
  </si>
  <si>
    <t>internet banking</t>
  </si>
  <si>
    <t>mobile banking</t>
  </si>
  <si>
    <t>number, thousand</t>
  </si>
  <si>
    <t>volume, mln</t>
  </si>
  <si>
    <t>Bank müştərilərinin sayı (dövrün sonuna nəfər)</t>
  </si>
  <si>
    <t>Müştəri hesablarının sayı (dövrün sonuna ədəd)</t>
  </si>
  <si>
    <t>Number of bank customers (people at the end of the period)</t>
  </si>
  <si>
    <t>Number of customer accounts (number at the end of the period)</t>
  </si>
  <si>
    <t>nağdsız ödənişlər</t>
  </si>
  <si>
    <t>ö cümlədən təmassız</t>
  </si>
  <si>
    <t>Cədvəl 4.10. Banklararası Kart Mərkəzi (BKM) vasitəsilə emal olunmuş ödəniş əməliyyatları</t>
  </si>
  <si>
    <t>Table 4.10. Transactions through the Interbank Card Center (ICC)</t>
  </si>
  <si>
    <t>Manat</t>
  </si>
  <si>
    <t>Amount of transactions, mln. units</t>
  </si>
  <si>
    <t>AZN</t>
  </si>
  <si>
    <t>USD</t>
  </si>
  <si>
    <t>EUR</t>
  </si>
  <si>
    <t>Banklararası Kart Mərkəzi (BKM) vasitəsilə emal olunmuş ödəniş əməliyyatları</t>
  </si>
  <si>
    <t>4.10</t>
  </si>
  <si>
    <t>Transactions through the Interbank Card Center (ICC)</t>
  </si>
  <si>
    <t>AZ2095024702</t>
  </si>
  <si>
    <t>AZ2096024701</t>
  </si>
  <si>
    <t>AZ2097024700</t>
  </si>
  <si>
    <t>AZ2098024709</t>
  </si>
  <si>
    <t>AZ2099024708</t>
  </si>
  <si>
    <t>AZ2100024705</t>
  </si>
  <si>
    <t>AZ2101024704</t>
  </si>
  <si>
    <t>AZ2102024703</t>
  </si>
  <si>
    <t>AZ2103024702</t>
  </si>
  <si>
    <t>AZ2104024701</t>
  </si>
  <si>
    <t>AZ2105024700</t>
  </si>
  <si>
    <t>AZ2106024709</t>
  </si>
  <si>
    <t>AZ2107024708</t>
  </si>
  <si>
    <t>AZ2108024707</t>
  </si>
  <si>
    <t>AZ0101030051</t>
  </si>
  <si>
    <t>AZ0201040141</t>
  </si>
  <si>
    <t>AZ0201040158</t>
  </si>
  <si>
    <t>Entrepreneurial subjects` types</t>
  </si>
  <si>
    <t>Business portfolio,</t>
  </si>
  <si>
    <t xml:space="preserve">     including</t>
  </si>
  <si>
    <t>- Large entrepreneurship</t>
  </si>
  <si>
    <t>- Medium entrepreneurship</t>
  </si>
  <si>
    <t>- Small business</t>
  </si>
  <si>
    <t>- Micro entrepreneurship</t>
  </si>
  <si>
    <t xml:space="preserve"> Cədvəl 5.7. Biznes portfelinin sahibkarlıq subyektləri üzrə bölgüsü barədə məlumat</t>
  </si>
  <si>
    <t>Table 5.7. Information about the breakdown of the business portfolio on entrepreneurial subjects</t>
  </si>
  <si>
    <t>Sahibkarlıq subyektlərinin növləri*</t>
  </si>
  <si>
    <t>Biznes portfeli,</t>
  </si>
  <si>
    <t>- İri sahibkarlığa</t>
  </si>
  <si>
    <t>- Orta sahibkarlığa</t>
  </si>
  <si>
    <t>- Kiçik sahibkarlığa</t>
  </si>
  <si>
    <t>- Mikro sahibkarlığa</t>
  </si>
  <si>
    <t xml:space="preserve">* Nazirlər Kabinetinin 21 dekabr 2018-ci il tarixli 556 nömrəli Qərarına uyğun olaraq / In accordance with the Cabinet of Ministers Decision No. 556 dated December 21, 2018
</t>
  </si>
  <si>
    <t>5.7</t>
  </si>
  <si>
    <t>Biznes portfelinin sahibkarlıq subyektləri üzrə bölgüsü barədə məlumat</t>
  </si>
  <si>
    <t>Information about the breakdown of the business portfolio on entrepreneurial subjects</t>
  </si>
  <si>
    <t>AZ2109024706</t>
  </si>
  <si>
    <t>AZ2110024703</t>
  </si>
  <si>
    <t>AZ2112024701</t>
  </si>
  <si>
    <t>AZ2111024702</t>
  </si>
  <si>
    <t>AZ2115024708</t>
  </si>
  <si>
    <t>AZ2114024709</t>
  </si>
  <si>
    <t>AZ2116024707</t>
  </si>
  <si>
    <t>AZ2117024706</t>
  </si>
  <si>
    <t>AZ2119024704</t>
  </si>
  <si>
    <t>AZ2118024705</t>
  </si>
  <si>
    <t>AZ2120024701</t>
  </si>
  <si>
    <t>AZ2121024700</t>
  </si>
  <si>
    <t>AZ2123024708</t>
  </si>
  <si>
    <t>AZ2122024709</t>
  </si>
  <si>
    <t>AZ2124024707</t>
  </si>
  <si>
    <t>AZ0201040166</t>
  </si>
  <si>
    <t>AZ0201040182</t>
  </si>
  <si>
    <t>yanvar-iyul</t>
  </si>
  <si>
    <r>
      <t>Cədvəl 2.2. AMB-nin analitik balansı</t>
    </r>
    <r>
      <rPr>
        <b/>
        <i/>
        <sz val="11"/>
        <color rgb="FF366092"/>
        <rFont val="Times New Roman"/>
        <family val="1"/>
        <charset val="162"/>
      </rPr>
      <t xml:space="preserve"> (dövrün sonuna)</t>
    </r>
  </si>
  <si>
    <r>
      <t xml:space="preserve">Table 2.2. Analytical Balance of CBA </t>
    </r>
    <r>
      <rPr>
        <i/>
        <sz val="11"/>
        <color rgb="FF366092"/>
        <rFont val="Times New Roman"/>
        <family val="1"/>
        <charset val="162"/>
      </rPr>
      <t>(end of period)</t>
    </r>
  </si>
  <si>
    <t>Rəsmi beynəlxalq ehtiyatlar, mln. ABŞ $</t>
  </si>
  <si>
    <t>Mərkəzi hökumətə xalis tələblər</t>
  </si>
  <si>
    <t>Bank və BOKT-lərə xalis tələblər</t>
  </si>
  <si>
    <t xml:space="preserve">Pul bazası </t>
  </si>
  <si>
    <t xml:space="preserve">Pul bazası, manatla </t>
  </si>
  <si>
    <t>Official foreign reserves,  mln. US dollars</t>
  </si>
  <si>
    <t>Net claims on central government</t>
  </si>
  <si>
    <t>Net claims on banks and non-bank credit organizations</t>
  </si>
  <si>
    <t xml:space="preserve">Monetary base </t>
  </si>
  <si>
    <t xml:space="preserve">Monetary base, in manat  </t>
  </si>
  <si>
    <t>RII,2023      QII,2023</t>
  </si>
  <si>
    <t>AZ2125024706</t>
  </si>
  <si>
    <t>AZ2127024704</t>
  </si>
  <si>
    <t>AZ2126024705</t>
  </si>
  <si>
    <t>AZ2128024703</t>
  </si>
  <si>
    <t>AZ2132024707</t>
  </si>
  <si>
    <t>AZ2131024708</t>
  </si>
  <si>
    <t>AZ2133024706</t>
  </si>
  <si>
    <t>AZ2129024702</t>
  </si>
  <si>
    <t>AZ2135024704</t>
  </si>
  <si>
    <t>AZ2137024702</t>
  </si>
  <si>
    <t>AZ2136024703</t>
  </si>
  <si>
    <t>AZ2138024701</t>
  </si>
  <si>
    <t>AZ2140024707</t>
  </si>
  <si>
    <t>AZ2142024705</t>
  </si>
  <si>
    <t>AZ2141024706</t>
  </si>
  <si>
    <t>AZ2143024704</t>
  </si>
  <si>
    <t>AZ2145024702</t>
  </si>
  <si>
    <t>AZ2147024700</t>
  </si>
  <si>
    <t>AZ2146024701</t>
  </si>
  <si>
    <t>AZ2148024709</t>
  </si>
  <si>
    <t>AZ0101030069 </t>
  </si>
  <si>
    <t>AZ0201040190 </t>
  </si>
  <si>
    <t>AZ0201040208 </t>
  </si>
  <si>
    <t>AZ0201040109 </t>
  </si>
  <si>
    <t>AZ0201040216 </t>
  </si>
  <si>
    <t>AZ0101030077</t>
  </si>
  <si>
    <t>AZ0201040224</t>
  </si>
  <si>
    <t>AZ0201040232</t>
  </si>
  <si>
    <t>AZ0201040240</t>
  </si>
  <si>
    <t>Cədvəl 4.7. Müştərilərin bank hesablarının tərkibi və elektron bankçılıq</t>
  </si>
  <si>
    <t>Table 4.7.Structure of customers` bank accounts and electronic banking</t>
  </si>
  <si>
    <t>Müştərilərin bank hesablarının tərkibi və elektron bankçılıq</t>
  </si>
  <si>
    <t>Structure of customers` bank accounts and electronic banking</t>
  </si>
  <si>
    <t>AZ2144024703</t>
  </si>
  <si>
    <t>AZ2150024704</t>
  </si>
  <si>
    <t>AZ2152024702</t>
  </si>
  <si>
    <t>AZ2151024703</t>
  </si>
  <si>
    <t>AZ2153024701</t>
  </si>
  <si>
    <t>AZ2149024708</t>
  </si>
  <si>
    <t>AZ2154024700</t>
  </si>
  <si>
    <t>AZ2156024708</t>
  </si>
  <si>
    <t>AZ2155024709</t>
  </si>
  <si>
    <t>AZ2157024707</t>
  </si>
  <si>
    <t>AZ2160024702</t>
  </si>
  <si>
    <t>AZ2161024701</t>
  </si>
  <si>
    <t>AZ2164024708</t>
  </si>
  <si>
    <t>AZ2163024709</t>
  </si>
  <si>
    <t>AZ2165024707</t>
  </si>
  <si>
    <t>12 aylıq inflyasiya</t>
  </si>
  <si>
    <t>12 month inflation rate</t>
  </si>
  <si>
    <t>AZ0101030085 </t>
  </si>
  <si>
    <t>AZ0201040257 </t>
  </si>
  <si>
    <t>AZ0201040265 </t>
  </si>
  <si>
    <t>AZ0101030093 </t>
  </si>
  <si>
    <t>AZ2168024704</t>
  </si>
  <si>
    <t>AZ2167024705</t>
  </si>
  <si>
    <t>AZ2169024703</t>
  </si>
  <si>
    <t>AZ2172024708</t>
  </si>
  <si>
    <t>AZ2171024709</t>
  </si>
  <si>
    <t>AZ2173024707</t>
  </si>
  <si>
    <t>AZ2175024705</t>
  </si>
  <si>
    <t>AZ2177024703</t>
  </si>
  <si>
    <t>AZ2178024702</t>
  </si>
  <si>
    <t>AZ2179024701</t>
  </si>
  <si>
    <t>Cədvəl 4.3. Statistik vahidə məxsus ödəniş xidməti şəbəkəsi (dövrün sonuna)</t>
  </si>
  <si>
    <t>Table 4.3. Statistics on the payment service network belonging to the statistical unit (end of period)</t>
  </si>
  <si>
    <r>
      <t xml:space="preserve">Statistik vahidə məxsus ödəniş xidməti şəbəkəsi </t>
    </r>
    <r>
      <rPr>
        <i/>
        <sz val="11"/>
        <color rgb="FF366092"/>
        <rFont val="Times New Roman"/>
        <family val="1"/>
      </rPr>
      <t>(dövrün sonuna)</t>
    </r>
  </si>
  <si>
    <r>
      <t xml:space="preserve">Statistics on the payment service network belonging to the statistical unit </t>
    </r>
    <r>
      <rPr>
        <i/>
        <sz val="11"/>
        <color rgb="FF366092"/>
        <rFont val="Times New Roman"/>
        <family val="1"/>
      </rPr>
      <t>(end of period)</t>
    </r>
  </si>
  <si>
    <t>ATMs</t>
  </si>
  <si>
    <t>Əməkhaqqı kartları</t>
  </si>
  <si>
    <t xml:space="preserve">Həcm, mln. manat             </t>
  </si>
  <si>
    <t xml:space="preserve">Həcm, mln. manat        </t>
  </si>
  <si>
    <t xml:space="preserve">volume, mln. manat         </t>
  </si>
  <si>
    <t>AZ2181024707</t>
  </si>
  <si>
    <t>AZ2182024706</t>
  </si>
  <si>
    <t>AZ2183024705</t>
  </si>
  <si>
    <t>AZ2184024704</t>
  </si>
  <si>
    <t>AZ2185024703</t>
  </si>
  <si>
    <t>AZ2186024702</t>
  </si>
  <si>
    <t>AZ0201040273 </t>
  </si>
  <si>
    <t>AZ0201040281 </t>
  </si>
  <si>
    <t>AZ0101030101</t>
  </si>
  <si>
    <t>RIII,2023     QIII,2023</t>
  </si>
  <si>
    <t>Fəaliyyət müddəti və meyarlar</t>
  </si>
  <si>
    <t>Effective period and criteria</t>
  </si>
  <si>
    <t>15.02.2023 -14.08.2023</t>
  </si>
  <si>
    <t xml:space="preserve"> - milli valyutada hüquqi şəxslərin depozitlərinin 1 mlrd. manatdan (xarici valyutada 750 mln. manat ekv.)  az olan hissəsi</t>
  </si>
  <si>
    <t xml:space="preserve"> - for the deposits of legal entities in national currency less than 1 billion manats (in foreign currency the equivalent of the 750 million manats)</t>
  </si>
  <si>
    <t xml:space="preserve"> - milli valyutada hüquqi şəxslərin depozitlərinin 1 mlrd. manatı (xarici valyutada 750 mln. manat ekv.)  üstələyən hissəsi</t>
  </si>
  <si>
    <t xml:space="preserve"> - for the deposits of legal entities in national currency exceeding 1 billion manats (in foreign currency the equivalent of 750 million manats)</t>
  </si>
  <si>
    <t>15.08.2023 - 14.12.2023</t>
  </si>
  <si>
    <t xml:space="preserve"> - milli valyutada hüquqi şəxslərin depozitləri 1 mlrd. manatdan (xarici valyutada 750 mln. manat ekv.)  az olarsa</t>
  </si>
  <si>
    <t xml:space="preserve"> - if the deposits of legal entities in national currency are less than 1 billion manats (in foreign currency the equivalent of the 750 million manats)</t>
  </si>
  <si>
    <t xml:space="preserve"> - milli valyutada hüquqi şəxslərin depozitləri 1 mlrd. manatı (xarici valyutada 750 mln. manat ekv.) üstələyərsə </t>
  </si>
  <si>
    <t xml:space="preserve"> - if deposits of legal entities in national currency exceed 1 billion manats (in foreign currency the equivalent of 750 million manats)</t>
  </si>
  <si>
    <t>15.12.2023 tarixindən</t>
  </si>
  <si>
    <t>from 15.12.2023 up to date</t>
  </si>
  <si>
    <t xml:space="preserve"> - Hüquqi şəxslərin depozitləri≤1 mlrd. AZN (xarici valyutada 750 mln. AZN ekv)
 - Əlaqəli depozitlərin ümumi depozitlərdə payı ≤20%
 - Banka aidiyyəti olan şəxslərin depozitlərinin cəmi depozitlərdə payı ≤20%</t>
  </si>
  <si>
    <t xml:space="preserve"> - Deposits of legal entities ≤1 billion manats (750 million AZN in foreign currency)
  - Share of connected deposits in total deposits ≤20%
  - Share of deposits of related parties in total deposits ≤20%</t>
  </si>
  <si>
    <t xml:space="preserve"> - Hüquqi şəxslərin depozitləri≤1 mlrd. AZN (xarici valyutada 750 mln. AZN ekv)
 - Əlaqəli depozitlərin ümumi depozitlərdə payı &gt;20%
 - Banka aidiyyəti olan şəxslərin depozitlərinin cəmi depozitlərdə payı ≤20%</t>
  </si>
  <si>
    <t xml:space="preserve"> - Deposits of legal entities ≤1 billion manats (750 million AZN in foreign currency)
  - Share of connected deposits in total deposits &gt;20%,
  - Share of deposits of related parties in total deposits ≤20%</t>
  </si>
  <si>
    <t xml:space="preserve"> - Hüquqi şəxslərin depozitləri≤1 mlrd. AZN (xarici valyutada 750 mln. AZN ekv)
 - Əlaqəli depozitlərin ümumi depozitlərdə  payı ≤20%
 - Banka aidiyyəti olan şəxslərin depozitlərinin cəmi depozitlərdə payı &gt;20%</t>
  </si>
  <si>
    <t xml:space="preserve"> - Deposits of legal entities ≤1 billion manats (750 million AZN in foreign currency)
  - Share of connected deposits in total deposits ≤20%
  - Share of deposits of related parties in total deposits &gt;20%</t>
  </si>
  <si>
    <t xml:space="preserve"> - Hüquqi şəxslərin depozitləri≤1 mlrd. AZN (xarici valyutada 750 mln. AZN ekv)
 - Əlaqəli depozitlərin ümumi depozitlərdə payı &gt;20%
 - Banka aidiyyəti olan şəxslərin depozitlərinin cəmi depozitlərdə payı &gt;20%</t>
  </si>
  <si>
    <t xml:space="preserve"> - Deposits of legal entities ≤1 billion manats (750 million AZN in foreign currency)
  - Share of connected deposits in total deposits &gt;20%
  - Share of deposits of related parties in total deposits &gt;20%</t>
  </si>
  <si>
    <t xml:space="preserve"> - Hüquqi şəxslərin depozitləri&gt;1 mlrd. AZN (xarici valyutada 750 mln. AZN ekv)
 - Əlaqəli depozitlərin ümumi depozitlərdə payı ≤20%
 - Banka aidiyyəti olan şəxslərin depozitlərinin cəmi depozitlərdə payı ≤20%</t>
  </si>
  <si>
    <t xml:space="preserve"> - Deposits of legal entities&gt;1 billion manats (750 million AZN in foreign currency)
  - Share of connected deposits in total deposits ≤20%
  - Share of deposits of related parties in total deposits ≤20%</t>
  </si>
  <si>
    <t xml:space="preserve"> - Hüquqi şəxslərin depozitləri&gt;1 mlrd. AZN (xarici valyutada 750 mln. AZN ekv)
 - Əlaqəli depozitlərin ümumi depozitlərdə payı &gt;20%
 - Banka aidiyyəti olan şəxslərin depozitlərinin cəmi depozitlərdə payı ≤20%</t>
  </si>
  <si>
    <t xml:space="preserve"> - Deposits of legal entities&gt;1 billion manats (750 million AZN in foreign currency)
  - Share of connected deposits in total deposits &gt;20%
  - Share of deposits of related parties in total deposits ≤20%</t>
  </si>
  <si>
    <t xml:space="preserve"> - Hüquqi şəxslərin depozitləri&gt;1 mlrd. AZN (xarici valyutada 750 mln. AZN ekv)
 - Əlaqəli depozitlərin ümumi depozitlərdə payı ≤20%
 - Banka aidiyyəti olan şəxslərin depozitlərinin cəmi depozitlərdə payı &gt;20%</t>
  </si>
  <si>
    <t xml:space="preserve"> - Deposits of legal entities&gt;1 billion manats (750 million AZN in foreign currency)
  - Share of connected deposits in total deposits ≤20%
  - Share of deposits of related parties in total deposits &gt;20%</t>
  </si>
  <si>
    <t xml:space="preserve"> - Hüquqi şəxslərin depozitləri&gt;1 mlrd. AZN (xarici valyutada 750 mln. AZN ekv)
 - Əlaqəli depozitlərin ümumi depozitlərdə payı &gt;20%
 - Banka aidiyyəti olan şəxslərin depozitlərinin cəmi depozitlərdə payı &gt;20%</t>
  </si>
  <si>
    <t xml:space="preserve"> - Deposits of legal entities&gt;1 billion manats (750 million AZN in foreign currency)
  - Share of connected deposits in total deposits &gt;20%
  - Share of deposits of related parties in total deposits &gt;20%</t>
  </si>
  <si>
    <t>`</t>
  </si>
  <si>
    <t>3112</t>
  </si>
  <si>
    <t>AZ0201040315</t>
  </si>
  <si>
    <t>AZ0101030119</t>
  </si>
  <si>
    <t>17/12/2024</t>
  </si>
  <si>
    <t>AZ0201040323</t>
  </si>
  <si>
    <t>16/12/2025</t>
  </si>
  <si>
    <t>AZ0201040331</t>
  </si>
  <si>
    <t>17/12/2026</t>
  </si>
  <si>
    <t>AZ0101030127</t>
  </si>
  <si>
    <t>26/12/2024</t>
  </si>
  <si>
    <t>AZ2188024700</t>
  </si>
  <si>
    <t>AZ2189024709</t>
  </si>
  <si>
    <t>AZ2190024706</t>
  </si>
  <si>
    <t>AZ2191024705</t>
  </si>
  <si>
    <t>AZ2192024704</t>
  </si>
  <si>
    <t>AZ2193024703</t>
  </si>
  <si>
    <t>AZ2194024702</t>
  </si>
  <si>
    <t>AZ2195024701</t>
  </si>
  <si>
    <t>2024</t>
  </si>
  <si>
    <t>AZ2196024700</t>
  </si>
  <si>
    <t>AZ2197024709</t>
  </si>
  <si>
    <t>AZ2198024708</t>
  </si>
  <si>
    <t>AZ2199024707</t>
  </si>
  <si>
    <t>AZ2200024704</t>
  </si>
  <si>
    <t>AZ2201024703</t>
  </si>
  <si>
    <t>AZ2202024702</t>
  </si>
  <si>
    <t>AZ2206024708</t>
  </si>
  <si>
    <t>AZ0101060017 </t>
  </si>
  <si>
    <t>13/01/2025</t>
  </si>
  <si>
    <t>AZ0201070023</t>
  </si>
  <si>
    <t>26/01/2027</t>
  </si>
  <si>
    <t>max.
(cut-off)</t>
  </si>
  <si>
    <t>via contactless POS-terminals</t>
  </si>
  <si>
    <t>of which: contactless</t>
  </si>
  <si>
    <t>12 aylıq, %</t>
  </si>
  <si>
    <t>12 month, %</t>
  </si>
  <si>
    <t>AZ2203024701</t>
  </si>
  <si>
    <t>AZ2205024709</t>
  </si>
  <si>
    <t>AZ2207024707</t>
  </si>
  <si>
    <t>AZ2209024705</t>
  </si>
  <si>
    <t>AZ2210024702</t>
  </si>
  <si>
    <t>AZ2213024709</t>
  </si>
  <si>
    <t>AZ2212024700</t>
  </si>
  <si>
    <t>AZ2214024708</t>
  </si>
  <si>
    <t>AZ2217024705</t>
  </si>
  <si>
    <t>AZ2216024706</t>
  </si>
  <si>
    <t>AZ2218024704</t>
  </si>
  <si>
    <t>AZ2221024709</t>
  </si>
  <si>
    <t>AZ0101060025</t>
  </si>
  <si>
    <t>AZ0201070049</t>
  </si>
  <si>
    <t>17/02/2026</t>
  </si>
  <si>
    <t>AZ0201070056</t>
  </si>
  <si>
    <t>23/02/2027</t>
  </si>
  <si>
    <t>RIV,2023      QIV,2023</t>
  </si>
  <si>
    <t>AZ0201070064</t>
  </si>
  <si>
    <t>AZ0101060033</t>
  </si>
  <si>
    <t>18/03/2025</t>
  </si>
  <si>
    <t>AZ0201070080</t>
  </si>
  <si>
    <t>27/03/2026</t>
  </si>
  <si>
    <t>AZ2223024707</t>
  </si>
  <si>
    <t>AZ2224024706</t>
  </si>
  <si>
    <t>AZ2226024704</t>
  </si>
  <si>
    <t>AZ2227024703</t>
  </si>
  <si>
    <t>AZ2229024701</t>
  </si>
  <si>
    <t>AZ2228024702</t>
  </si>
  <si>
    <t>AZ2230024708</t>
  </si>
  <si>
    <t>AZ2231024707</t>
  </si>
  <si>
    <t>AZ2234024704</t>
  </si>
  <si>
    <t>Cədvəl 6.2. Sığorta növləri üzrə sığorta haqları və sığorta ödənişləri*</t>
  </si>
  <si>
    <t>Table 6.2. Premiums Written and Claims Paid by Insurance Types*</t>
  </si>
  <si>
    <t>AZ0101060041</t>
  </si>
  <si>
    <t>AZ0201070098</t>
  </si>
  <si>
    <t>AZ0201070106</t>
  </si>
  <si>
    <t>AZ0101060058</t>
  </si>
  <si>
    <t>AZ0201070114</t>
  </si>
  <si>
    <t>AZ2235024703</t>
  </si>
  <si>
    <t>AZ2237024701</t>
  </si>
  <si>
    <t>AZ2236024702</t>
  </si>
  <si>
    <t>AZ2238024700</t>
  </si>
  <si>
    <t>AZ2239024709</t>
  </si>
  <si>
    <t>AZ2242024704</t>
  </si>
  <si>
    <t>AZ2243024703</t>
  </si>
  <si>
    <t>AZ2245024701</t>
  </si>
  <si>
    <t>AZ2244024702</t>
  </si>
  <si>
    <t>AZ2246024700</t>
  </si>
  <si>
    <t xml:space="preserve">Number of ATMs       </t>
  </si>
  <si>
    <t>AZ2249024707</t>
  </si>
  <si>
    <t>AZ2248024708</t>
  </si>
  <si>
    <t>AZ2250024703</t>
  </si>
  <si>
    <t>AZ2251024702</t>
  </si>
  <si>
    <t>AZ2253024700</t>
  </si>
  <si>
    <t>AZ2255024708</t>
  </si>
  <si>
    <t>AZ2257024706</t>
  </si>
  <si>
    <t>AZ2258024705</t>
  </si>
  <si>
    <t>AZ2260024701</t>
  </si>
  <si>
    <t>AZ2261024700</t>
  </si>
  <si>
    <t>AZ2262024709</t>
  </si>
  <si>
    <t>AZ2264024707</t>
  </si>
  <si>
    <t>RI,2024     QI,2024</t>
  </si>
  <si>
    <t>AZ0101060066</t>
  </si>
  <si>
    <t>AZ0201070122</t>
  </si>
  <si>
    <t>AZ0201070130</t>
  </si>
  <si>
    <t>AZ2265024706</t>
  </si>
  <si>
    <t>AZ2267024704</t>
  </si>
  <si>
    <t>AZ2266024705</t>
  </si>
  <si>
    <t>AZ2268024703</t>
  </si>
  <si>
    <t>AZ2269024702</t>
  </si>
  <si>
    <t>AZ2271024708</t>
  </si>
  <si>
    <t>AZ2270024709</t>
  </si>
  <si>
    <t>AZ2272024707</t>
  </si>
  <si>
    <t xml:space="preserve">in foreign currency </t>
  </si>
  <si>
    <t xml:space="preserve">   Short-term loans</t>
  </si>
  <si>
    <t xml:space="preserve">   Long-term loans</t>
  </si>
  <si>
    <t xml:space="preserve">  - Private enterprises</t>
  </si>
  <si>
    <t xml:space="preserve">  - State-owned enterprises</t>
  </si>
  <si>
    <t xml:space="preserve"> in foreign currency</t>
  </si>
  <si>
    <t xml:space="preserve">     mln.manat</t>
  </si>
  <si>
    <t xml:space="preserve">                                                                                                                                                                                          mln. manat</t>
  </si>
  <si>
    <t>oh which: via payment cards</t>
  </si>
  <si>
    <t xml:space="preserve">    mln. manat</t>
  </si>
  <si>
    <t xml:space="preserve"> Of which: loans to entrepreneurs</t>
  </si>
  <si>
    <t>oh which: to nonresidents</t>
  </si>
  <si>
    <t>AZ0101060074</t>
  </si>
  <si>
    <t>AZ0201070148</t>
  </si>
  <si>
    <t>AZ0201070155</t>
  </si>
  <si>
    <t>Cədvəl 6.1. Sığorta şirkətləri üzrə sığorta haqları və sığorta ödənişləri *</t>
  </si>
  <si>
    <t xml:space="preserve">Table 6.1.  Premiums Written and Claims Paid*
 </t>
  </si>
  <si>
    <t>Azərbaycan Respublikası Dövlət Sığorta Kommersiya Şirkəti</t>
  </si>
  <si>
    <t xml:space="preserve">State Insurance Company of the Azerbaijan Republic  </t>
  </si>
  <si>
    <t>* Göstəricilər operativ məlumatlar əsasında verilmişdir.</t>
  </si>
  <si>
    <t>AZ2279024700</t>
  </si>
  <si>
    <t>AZ2281024706</t>
  </si>
  <si>
    <t>AZ2280024707</t>
  </si>
  <si>
    <t>AZ2282024705</t>
  </si>
  <si>
    <t>AZ2283024704</t>
  </si>
  <si>
    <t>AZ2284024703</t>
  </si>
  <si>
    <t>AZ2286024701</t>
  </si>
  <si>
    <t>AZ2287024700</t>
  </si>
  <si>
    <t>AZ2288024709</t>
  </si>
  <si>
    <t>AZ2290024705</t>
  </si>
  <si>
    <t>AZ2291024704</t>
  </si>
  <si>
    <t>AZ2295024700</t>
  </si>
  <si>
    <t>AZ2297024708</t>
  </si>
  <si>
    <t>AZ0101060082</t>
  </si>
  <si>
    <t>AZ0201070163</t>
  </si>
  <si>
    <t>AZ0201070171</t>
  </si>
  <si>
    <t>AZ0201070189</t>
  </si>
  <si>
    <t>AZ0201070197</t>
  </si>
  <si>
    <t>AZ2299024706</t>
  </si>
  <si>
    <t>AZ2301024702</t>
  </si>
  <si>
    <t>AZ2300024703</t>
  </si>
  <si>
    <t>AZ2302024701</t>
  </si>
  <si>
    <t>AZ2307024706</t>
  </si>
  <si>
    <t>AZ2309024704</t>
  </si>
  <si>
    <t>AZ2311024700</t>
  </si>
  <si>
    <t>AZ2312024709</t>
  </si>
  <si>
    <t>AZ2314024707</t>
  </si>
  <si>
    <t>RII,2024      QII,2024</t>
  </si>
  <si>
    <t>II rüb</t>
  </si>
  <si>
    <t>AZ0101060090</t>
  </si>
  <si>
    <t>AZ0201070205</t>
  </si>
  <si>
    <t>AZ0201070213</t>
  </si>
  <si>
    <t>AZ0201070221</t>
  </si>
  <si>
    <t>AZ2319024702</t>
  </si>
  <si>
    <t>AZ2321024708</t>
  </si>
  <si>
    <t>AZ2322024707</t>
  </si>
  <si>
    <t>AZ2323024706</t>
  </si>
  <si>
    <t>AZ2325024704</t>
  </si>
  <si>
    <t>AZ2324024705</t>
  </si>
  <si>
    <t>AZ2326024703</t>
  </si>
  <si>
    <t>AZ2327024702</t>
  </si>
  <si>
    <t>AZ2329024700</t>
  </si>
  <si>
    <t>AZ2328024701</t>
  </si>
  <si>
    <t>AZ2330024707</t>
  </si>
  <si>
    <t>AZ0201070239</t>
  </si>
  <si>
    <t>AZ0201070254</t>
  </si>
  <si>
    <t>AZ2345024700</t>
  </si>
  <si>
    <t>AZ0201070262</t>
  </si>
  <si>
    <t>AZ0201070270</t>
  </si>
  <si>
    <t>AZ0201070288</t>
  </si>
  <si>
    <t>AZ0201070304</t>
  </si>
  <si>
    <t>Belarus ruble</t>
  </si>
  <si>
    <t>Türkmən manatı</t>
  </si>
  <si>
    <t>Turkmen manat</t>
  </si>
  <si>
    <t>RIII,2024     QIII,2024</t>
  </si>
  <si>
    <t>Qazaxıstan tenqesi***</t>
  </si>
  <si>
    <t>Kazakh tenge***</t>
  </si>
  <si>
    <t>Rusiya rublu***</t>
  </si>
  <si>
    <t>Russian ruble***</t>
  </si>
  <si>
    <t>İran rialı****</t>
  </si>
  <si>
    <t>Iranian rial****</t>
  </si>
  <si>
    <r>
      <t>**** 01.01.2005 tarixindən etibarən 100 valyuta vahidi, 18.11.2024 tarixindən 10000 valyuta vahidi /</t>
    </r>
    <r>
      <rPr>
        <i/>
        <sz val="11"/>
        <color theme="8" tint="-0.249977111117893"/>
        <rFont val="Times New Roman"/>
        <family val="1"/>
      </rPr>
      <t xml:space="preserve"> 100 currency units since 01.01.2005</t>
    </r>
    <r>
      <rPr>
        <b/>
        <i/>
        <sz val="11"/>
        <color theme="8" tint="-0.249977111117893"/>
        <rFont val="Times New Roman"/>
        <family val="1"/>
      </rPr>
      <t xml:space="preserve">, </t>
    </r>
    <r>
      <rPr>
        <i/>
        <sz val="11"/>
        <color theme="8" tint="-0.249977111117893"/>
        <rFont val="Times New Roman"/>
        <family val="1"/>
      </rPr>
      <t>10000 currency units since 18.11.2024</t>
    </r>
  </si>
  <si>
    <r>
      <t>*** 18.11.2024 tarixindən etibarən 100 valyuta vahidi /</t>
    </r>
    <r>
      <rPr>
        <i/>
        <sz val="11"/>
        <color theme="8" tint="-0.249977111117893"/>
        <rFont val="Times New Roman"/>
        <family val="1"/>
      </rPr>
      <t xml:space="preserve"> 100 currency units since 18.11.2024</t>
    </r>
  </si>
  <si>
    <r>
      <t>** 01.01.2005 tarixindən etibarən 100 valyuta vahidi /</t>
    </r>
    <r>
      <rPr>
        <i/>
        <sz val="11"/>
        <color theme="8" tint="-0.249977111117893"/>
        <rFont val="Times New Roman"/>
        <family val="1"/>
      </rPr>
      <t xml:space="preserve"> 100 currency units since 01.01.2005</t>
    </r>
  </si>
  <si>
    <r>
      <t>* 01.01.2006 tarixinə kimi 1000 valyuta vahidi /</t>
    </r>
    <r>
      <rPr>
        <i/>
        <sz val="11"/>
        <color theme="8" tint="-0.249977111117893"/>
        <rFont val="Times New Roman"/>
        <family val="1"/>
      </rPr>
      <t xml:space="preserve"> 1000 currency units till 01.01.2006</t>
    </r>
  </si>
  <si>
    <t>Bolqarıstan levi</t>
  </si>
  <si>
    <t>Rumıniya leyi</t>
  </si>
  <si>
    <t>Serbiya dinarı</t>
  </si>
  <si>
    <t>Qətər rialı</t>
  </si>
  <si>
    <t>Bulgarian Lev</t>
  </si>
  <si>
    <t>Romanian Lei</t>
  </si>
  <si>
    <t>Serbian Dinar</t>
  </si>
  <si>
    <t>Qatari Rial</t>
  </si>
  <si>
    <t>AZ0201070312</t>
  </si>
  <si>
    <t>AZ0201070320</t>
  </si>
  <si>
    <t>AZ0201070353</t>
  </si>
  <si>
    <t>AZ0101060116</t>
  </si>
  <si>
    <t>AZ0201070361</t>
  </si>
  <si>
    <t>Macarıstan forinti***</t>
  </si>
  <si>
    <t>Hungarian Forint***</t>
  </si>
  <si>
    <t>Pakistan rupisi***</t>
  </si>
  <si>
    <t xml:space="preserve"> Cədvəl 5.8. Biznes portfelinin sahələr üzrə bölgüsü barədə məlumat</t>
  </si>
  <si>
    <t>Sahələr üzrə bölgü</t>
  </si>
  <si>
    <t>Sənaye</t>
  </si>
  <si>
    <t>Kənd təsərrüfatı</t>
  </si>
  <si>
    <t>Tikinti sahəsi</t>
  </si>
  <si>
    <t>Nəqliyyat</t>
  </si>
  <si>
    <t>İnformasiya və Rabitə</t>
  </si>
  <si>
    <t>Ticarət müəssisələrinə kredit</t>
  </si>
  <si>
    <t>Digər qeyri-istehsal və xidmət sahələri</t>
  </si>
  <si>
    <t>5.8</t>
  </si>
  <si>
    <t>Biznes portfelinin sahələr üzrə bölgüsü barədə məlumat</t>
  </si>
  <si>
    <t xml:space="preserve"> Table 5.8. Sectorial breakdown of the business portfolio</t>
  </si>
  <si>
    <t>Sectorial breakdown</t>
  </si>
  <si>
    <t>Industry</t>
  </si>
  <si>
    <t>Agriculture</t>
  </si>
  <si>
    <t>Construction</t>
  </si>
  <si>
    <t>Transport</t>
  </si>
  <si>
    <t>Information and communication</t>
  </si>
  <si>
    <t>Trade</t>
  </si>
  <si>
    <t xml:space="preserve">Other non-production and service sectors </t>
  </si>
  <si>
    <t>Sectorial breakdown of the business portfolio</t>
  </si>
  <si>
    <r>
      <rPr>
        <b/>
        <i/>
        <sz val="13"/>
        <color theme="3"/>
        <rFont val="Palatino Linotype"/>
        <family val="1"/>
      </rPr>
      <t>Note</t>
    </r>
    <r>
      <rPr>
        <i/>
        <sz val="13"/>
        <color theme="3"/>
        <rFont val="Palatino Linotype"/>
        <family val="1"/>
      </rPr>
      <t>: Based on the prudential approach, the table includes sectorial breakdown of the banks' business loans portfolio. The breakdown is maintained in accordance with the purpose of loans.</t>
    </r>
  </si>
  <si>
    <r>
      <t xml:space="preserve">* Hesablanmış faizlər daxil olmaqla, yaradılmış ehtiyatlar çıxılmaqla / </t>
    </r>
    <r>
      <rPr>
        <i/>
        <sz val="8"/>
        <color theme="8" tint="-0.249977111117893"/>
        <rFont val="Times New Roman"/>
        <family val="1"/>
      </rPr>
      <t>Accounted interest are included, excluding provisions</t>
    </r>
  </si>
  <si>
    <t>Pakistani Rupee***</t>
  </si>
  <si>
    <t>AZ0201070379</t>
  </si>
  <si>
    <t>AZ0201070387</t>
  </si>
  <si>
    <t>AZ0201070395</t>
  </si>
  <si>
    <t>AZ0201070403</t>
  </si>
  <si>
    <t>AZ0201070429</t>
  </si>
  <si>
    <t>AZ0101060124</t>
  </si>
  <si>
    <t>AZ0201070437</t>
  </si>
  <si>
    <t>AZ0101060132</t>
  </si>
  <si>
    <r>
      <t xml:space="preserve">Cədvəl 2.16.1. Əsas ticarət tərəfdaşı olan ölkələrin valyutalarının manata qarşı dəyişimi, </t>
    </r>
    <r>
      <rPr>
        <b/>
        <i/>
        <sz val="12"/>
        <color rgb="FF366092"/>
        <rFont val="Times New Roman"/>
        <family val="1"/>
      </rPr>
      <t>(ilin əvvəlinə nəzərən %-lə)</t>
    </r>
  </si>
  <si>
    <r>
      <t xml:space="preserve">Table 2.16.1. Percentage change in exchange rates of currencies of the main trade partners against manat </t>
    </r>
    <r>
      <rPr>
        <i/>
        <sz val="12"/>
        <color rgb="FF366092"/>
        <rFont val="Times New Roman"/>
        <family val="1"/>
      </rPr>
      <t xml:space="preserve">(compared to previous year end, %) </t>
    </r>
  </si>
  <si>
    <t>Sayı, min ədəd</t>
  </si>
  <si>
    <t>Məbləği, milyon valyuta vahidi</t>
  </si>
  <si>
    <t xml:space="preserve"> AZ0201100010</t>
  </si>
  <si>
    <t>AZ0101090014</t>
  </si>
  <si>
    <t>2025</t>
  </si>
  <si>
    <t>Ödənişlərin həcmi (mln. manat) / Amount of payments (mln. manat)</t>
  </si>
  <si>
    <t>Ödənişlərin sayı (min ədəd) / Number of payments (thousand units)</t>
  </si>
  <si>
    <t>AZ2401024701</t>
  </si>
  <si>
    <t>AZ2403024709</t>
  </si>
  <si>
    <t>AZ2402024700</t>
  </si>
  <si>
    <t>AZ2404024708</t>
  </si>
  <si>
    <t>AZ2405024707</t>
  </si>
  <si>
    <t>AZ2407024705</t>
  </si>
  <si>
    <t>AZ2406024706</t>
  </si>
  <si>
    <t>AZ2408024704</t>
  </si>
  <si>
    <t>RIV,2024      QIV,2024</t>
  </si>
  <si>
    <t>“İpək Yolu Sığorta” Açıq Səhmdar Cəmiyyəti</t>
  </si>
  <si>
    <t>"Aqrar Sığorta" OJSC</t>
  </si>
  <si>
    <t>"Meqa Həyat Sığorta" Açıq Səhmdar Cəmiyyəti</t>
  </si>
  <si>
    <t xml:space="preserve">02 </t>
  </si>
  <si>
    <t xml:space="preserve">03 </t>
  </si>
  <si>
    <t>AZ2409024703</t>
  </si>
  <si>
    <t>AZ2411024709</t>
  </si>
  <si>
    <t>AZ2410024700</t>
  </si>
  <si>
    <t>AZ2412024708</t>
  </si>
  <si>
    <t>AZ2413024707</t>
  </si>
  <si>
    <t>AZ2415024705</t>
  </si>
  <si>
    <t>AZ2414024706</t>
  </si>
  <si>
    <t>AZ2416024704</t>
  </si>
  <si>
    <t>AZ2418024702</t>
  </si>
  <si>
    <t>AZ2419024701</t>
  </si>
  <si>
    <t>AZ2420024708</t>
  </si>
  <si>
    <t>AZ2422024706</t>
  </si>
  <si>
    <t>AZ2423024705</t>
  </si>
  <si>
    <t>AZ2421024707</t>
  </si>
  <si>
    <t>AZ2424024704</t>
  </si>
  <si>
    <t>AZ2426024702</t>
  </si>
  <si>
    <t>AZ2425024703</t>
  </si>
  <si>
    <t>AZ2427024701</t>
  </si>
  <si>
    <t>AZ2428024700</t>
  </si>
  <si>
    <t>AZ2430024706</t>
  </si>
  <si>
    <t>AZ2429024709</t>
  </si>
  <si>
    <t>AZ2431024705</t>
  </si>
  <si>
    <t>AZ2432024704</t>
  </si>
  <si>
    <t>AZ2434024702</t>
  </si>
  <si>
    <t>AZ2433024703</t>
  </si>
  <si>
    <t>AZ2435024701</t>
  </si>
  <si>
    <t>AZ2439024707</t>
  </si>
  <si>
    <t>AZ2437024709</t>
  </si>
  <si>
    <t>5.9</t>
  </si>
  <si>
    <t>Göstərici</t>
  </si>
  <si>
    <t xml:space="preserve"> Cədvəl 5.9. Bank sektoru üzrə unikal müddətli əmanətçilərin dinamikası barədə məlumat</t>
  </si>
  <si>
    <t>Bank sektoru üzrə unikal müddətli əmanətçilərin dinamikası barədə məlumat</t>
  </si>
  <si>
    <t>Information on the dynamics of unique term depositors in the banking sector</t>
  </si>
  <si>
    <t xml:space="preserve"> Table 5.9. Information on the dynamics of unique term depositors in the banking sector</t>
  </si>
  <si>
    <t xml:space="preserve"> nəfər/person</t>
  </si>
  <si>
    <t>Bank sektoru üzrə unikal FİN müştəri sayı (müddətli əmanətçilər)</t>
  </si>
  <si>
    <t>Number of unique FIN customers (term depositors) in the banking sector</t>
  </si>
  <si>
    <t>04*</t>
  </si>
  <si>
    <t>*-Müştəri hesablarının sayındakı azalma “Bank hesablarının açılması, aparılması və bağlanması Qaydası”na əsasən qeyri-aktiv müştəri hesablarının bağlanması ilə əlaqədardır./ The decrease in the number of customer accounts is due to the closure of inactive customer accounts in accordance with the "Regulations on opening, maintaining and closing bank accounts".</t>
  </si>
  <si>
    <t>Qeyd: 2016-cı ildən AzərPoçt MMC daxil olmaqla/ Note: Azerpost LLC included since 2016</t>
  </si>
  <si>
    <t>Qeyd: Bank sistemi və AzərPoçt MMC üzrə göstəricilər əks olunmuşdur/ Note: Azerpost LLC included since 2016</t>
  </si>
  <si>
    <t>Qeyd: Bank sistemi və AzərPoçt MMC üzrə göstəricilər əks olunmuşdur/Note: Across banking sector and Azerpost LLC</t>
  </si>
  <si>
    <t>AZ2438024708</t>
  </si>
  <si>
    <t>AZ2436024700</t>
  </si>
  <si>
    <t>AZ2440024704</t>
  </si>
  <si>
    <t>AZ2442024702</t>
  </si>
  <si>
    <t>AZ2441024703</t>
  </si>
  <si>
    <t>AZ2443024701</t>
  </si>
  <si>
    <t>AZ2444024700</t>
  </si>
  <si>
    <t>AZ2446024708</t>
  </si>
  <si>
    <t>AZ2445024709</t>
  </si>
  <si>
    <t>AZ2447024707</t>
  </si>
  <si>
    <t>AZ2448024706</t>
  </si>
  <si>
    <t>AZ2450024701</t>
  </si>
  <si>
    <t>AZ2449024705</t>
  </si>
  <si>
    <t>AZ2451024700</t>
  </si>
  <si>
    <t>AZ2452024709</t>
  </si>
  <si>
    <t>AZ2453024708</t>
  </si>
  <si>
    <r>
      <t xml:space="preserve">Qida məhsulları, içkilər, tütün
</t>
    </r>
    <r>
      <rPr>
        <i/>
        <sz val="12"/>
        <rFont val="Times New Roman"/>
        <family val="1"/>
      </rPr>
      <t>(food products, beverages, tobacco)</t>
    </r>
  </si>
  <si>
    <r>
      <t xml:space="preserve">Ödənişli xidmətlər
</t>
    </r>
    <r>
      <rPr>
        <i/>
        <sz val="12"/>
        <rFont val="Times New Roman"/>
        <family val="1"/>
      </rPr>
      <t>(paid services)</t>
    </r>
  </si>
  <si>
    <r>
      <t xml:space="preserve">Emal sənayesi
</t>
    </r>
    <r>
      <rPr>
        <i/>
        <sz val="12"/>
        <rFont val="Times New Roman"/>
        <family val="1"/>
      </rPr>
      <t>(manufacturing production)</t>
    </r>
  </si>
  <si>
    <r>
      <t xml:space="preserve">Elektrik enerjisi və qaz 
</t>
    </r>
    <r>
      <rPr>
        <i/>
        <sz val="12"/>
        <rFont val="Times New Roman"/>
        <family val="1"/>
      </rPr>
      <t>(electric power and gas)</t>
    </r>
  </si>
  <si>
    <r>
      <t xml:space="preserve">Heyvandarlıq məhsulları
</t>
    </r>
    <r>
      <rPr>
        <i/>
        <sz val="12"/>
        <rFont val="Times New Roman"/>
        <family val="1"/>
      </rPr>
      <t>(livestock products)</t>
    </r>
  </si>
  <si>
    <r>
      <t>o cümlədən /</t>
    </r>
    <r>
      <rPr>
        <b/>
        <i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of which:</t>
    </r>
  </si>
  <si>
    <r>
      <t xml:space="preserve">o cümlədən / </t>
    </r>
    <r>
      <rPr>
        <i/>
        <sz val="12"/>
        <rFont val="Times New Roman"/>
        <family val="1"/>
      </rPr>
      <t>of which:</t>
    </r>
  </si>
  <si>
    <r>
      <rPr>
        <b/>
        <sz val="13"/>
        <rFont val="Times New Roman"/>
        <family val="1"/>
      </rPr>
      <t>İstehlak qiymətləri indeksi</t>
    </r>
    <r>
      <rPr>
        <b/>
        <i/>
        <sz val="13"/>
        <rFont val="Times New Roman"/>
        <family val="1"/>
        <charset val="162"/>
      </rPr>
      <t xml:space="preserve">
</t>
    </r>
    <r>
      <rPr>
        <i/>
        <sz val="13"/>
        <rFont val="Times New Roman"/>
        <family val="1"/>
      </rPr>
      <t>(consumer price index)</t>
    </r>
  </si>
  <si>
    <r>
      <t xml:space="preserve">Sənaye məhsullarının istehsalçı qiymət indeksi
</t>
    </r>
    <r>
      <rPr>
        <i/>
        <sz val="13"/>
        <rFont val="Times New Roman"/>
        <family val="1"/>
      </rPr>
      <t>(Producer price index of industrial products)</t>
    </r>
  </si>
  <si>
    <r>
      <rPr>
        <b/>
        <sz val="13"/>
        <rFont val="Times New Roman"/>
        <family val="1"/>
      </rPr>
      <t>Kənd təsərrüfatı məhsullarının istehsalçı qiymət indeksi</t>
    </r>
    <r>
      <rPr>
        <b/>
        <i/>
        <sz val="13"/>
        <rFont val="Times New Roman"/>
        <family val="1"/>
        <charset val="162"/>
      </rPr>
      <t xml:space="preserve">
</t>
    </r>
    <r>
      <rPr>
        <i/>
        <sz val="13"/>
        <rFont val="Times New Roman"/>
        <family val="1"/>
      </rPr>
      <t>(agricultural producer price index)</t>
    </r>
  </si>
  <si>
    <r>
      <t xml:space="preserve">Mədənçıxarma sənayesi 
</t>
    </r>
    <r>
      <rPr>
        <i/>
        <sz val="12"/>
        <rFont val="Times New Roman"/>
        <family val="1"/>
      </rPr>
      <t xml:space="preserve">(mining industry)  </t>
    </r>
    <r>
      <rPr>
        <b/>
        <i/>
        <sz val="12"/>
        <rFont val="Times New Roman"/>
        <family val="1"/>
        <charset val="162"/>
      </rPr>
      <t xml:space="preserve"> </t>
    </r>
  </si>
  <si>
    <t>RI,2025      QI,2025</t>
  </si>
  <si>
    <t>2. Mərkəzi Bankda müxbir hesablar</t>
  </si>
  <si>
    <t>1.2 Hüquqi şəxslərin depoziti*</t>
  </si>
  <si>
    <t xml:space="preserve">        1.2.2 tələbli**, o cümlədən</t>
  </si>
  <si>
    <t>* Mərkəzi idarəetmə və bələdiyyə idarəetmə orqanlarının depozitləri daxil olmadan, fərdi sahibkarlıqla məşğul olan fiziki şəxslərin depozitləri daxil olmaqla./ * Including deposits of individuals engaged in individual entrepreneurship, excluding deposits without central government and municipal governing bodies</t>
  </si>
  <si>
    <t>** Qeyri-bank maliyyə institutlarının cari hesabları daxil olmaqla./ ** Including current accounts of non-bank financial institutions</t>
  </si>
  <si>
    <r>
      <rPr>
        <b/>
        <i/>
        <sz val="13"/>
        <color theme="3"/>
        <rFont val="Palatino Linotype"/>
        <family val="1"/>
      </rPr>
      <t xml:space="preserve">Qeyd: </t>
    </r>
    <r>
      <rPr>
        <i/>
        <sz val="13"/>
        <color theme="3"/>
        <rFont val="Palatino Linotype"/>
        <family val="1"/>
      </rPr>
      <t>Prudensial yanaşma əsasında bankların biznes portfelinin sahələr üzrə bölgüsü cədvəldə əks olunur. Bölgü biznes kreditlərinin təyinatı üzrə aparılır.</t>
    </r>
  </si>
  <si>
    <t>Depozit hərrac</t>
  </si>
  <si>
    <t xml:space="preserve">həcm              </t>
  </si>
  <si>
    <t>Deposit auction</t>
  </si>
  <si>
    <t>volume</t>
  </si>
  <si>
    <t>AZ2454024707</t>
  </si>
  <si>
    <t>AZ2456024705</t>
  </si>
  <si>
    <t>AZ2455024706</t>
  </si>
  <si>
    <t>AZ2457024704</t>
  </si>
  <si>
    <t>AZ2458024703</t>
  </si>
  <si>
    <t>AZ2460024709</t>
  </si>
  <si>
    <t>AZ2459024702</t>
  </si>
  <si>
    <t>AZ2461024708</t>
  </si>
  <si>
    <t>AZ2462024707</t>
  </si>
  <si>
    <t>AZ2464024705</t>
  </si>
  <si>
    <t>AZ2463024706</t>
  </si>
  <si>
    <t>AZ2465024704</t>
  </si>
  <si>
    <t>AZ2466024703</t>
  </si>
  <si>
    <t>AZ2467024702</t>
  </si>
  <si>
    <t>Hindistan rupisi****</t>
  </si>
  <si>
    <t>Özbək somu****</t>
  </si>
  <si>
    <t>Polşa zlotası****</t>
  </si>
  <si>
    <t>Rumıniya leyi****</t>
  </si>
  <si>
    <t>Çexiya kronu****</t>
  </si>
  <si>
    <t>Turkish
 Lira</t>
  </si>
  <si>
    <t>Georgian
 Lari</t>
  </si>
  <si>
    <t>Israeli
 Shekel</t>
  </si>
  <si>
    <t>Swiss
 Franc</t>
  </si>
  <si>
    <t>Indian
 Rupee</t>
  </si>
  <si>
    <t>Uzbekistani Som</t>
  </si>
  <si>
    <t>Polish
 Zloty</t>
  </si>
  <si>
    <t>Romanian Leu</t>
  </si>
  <si>
    <t>Czech Koruna</t>
  </si>
  <si>
    <t>Qeyd: Ticarət tərəfdaşının real məzənnəsinin indeksi müvafiq məzənnənin orta aylıq dəyişimi ilə iki ölkə arasında olan inflyasiya nisbətinin hasili əsasında hesablanır. İki ölkə dedikdə Azərbaycan və müvafiq ticarət tərəfdaşı nəzərdə tutulur.</t>
  </si>
  <si>
    <t>*Belarus rublu 2010-cu il yanvar ayından hesablanmışdır.</t>
  </si>
  <si>
    <t>**Cənubi Koreya vonu 2011-ci il yanvar ayından hesablanmışdır.</t>
  </si>
  <si>
    <t>***İsveçrə frankı 2012-ci il aprel ayından hesablanmışdır.</t>
  </si>
  <si>
    <t>****Hindistan rupisi, Özbək somu, Polşa zlotası, Rumıniya leyi, Çexiya kronu, və Bolqarıstan levi 2025-ci il iyun ayından hesablanmışdır.</t>
  </si>
  <si>
    <t>AZ2468024701</t>
  </si>
  <si>
    <t>AZ2470024707</t>
  </si>
  <si>
    <t>AZ2471024706</t>
  </si>
  <si>
    <t>AZ2469024700</t>
  </si>
  <si>
    <t>AZ2472024705</t>
  </si>
  <si>
    <t>AZ2474024703</t>
  </si>
  <si>
    <t>AZ2473024704</t>
  </si>
  <si>
    <t>AZ2475024702</t>
  </si>
  <si>
    <t>AZ2479024708</t>
  </si>
  <si>
    <t>AZ2477024700</t>
  </si>
  <si>
    <t>AZ2478024709</t>
  </si>
  <si>
    <t>AZ2476024701</t>
  </si>
  <si>
    <t>AZ2480024705</t>
  </si>
  <si>
    <t>AZ2482024703</t>
  </si>
  <si>
    <t>AZ2481024704</t>
  </si>
  <si>
    <t>AZ2483024702</t>
  </si>
  <si>
    <t>AZ2484024701</t>
  </si>
  <si>
    <t>AZ2487024708</t>
  </si>
  <si>
    <t>AZ2485024700</t>
  </si>
  <si>
    <t>AZ2486024709</t>
  </si>
  <si>
    <t>Özbək somu</t>
  </si>
  <si>
    <t>Table 2.13. Structure of households` savings</t>
  </si>
  <si>
    <t xml:space="preserve"> Rezidentlər</t>
  </si>
  <si>
    <t>Qeyri-rezidentlər</t>
  </si>
  <si>
    <t>Qısamüddətli əmanətlər</t>
  </si>
  <si>
    <t>Milli valyuta ilə</t>
  </si>
  <si>
    <t>o cümlədən cari hesablar</t>
  </si>
  <si>
    <t>Uzunmüddətli əmanətlər</t>
  </si>
  <si>
    <t>Rezidentlər</t>
  </si>
  <si>
    <t xml:space="preserve"> Qeyri-rezidentlər</t>
  </si>
  <si>
    <t>Residents</t>
  </si>
  <si>
    <t>Nonresidents</t>
  </si>
  <si>
    <t>Short-term savings</t>
  </si>
  <si>
    <t>of which transaction accounts</t>
  </si>
  <si>
    <t>Long-term savings</t>
  </si>
  <si>
    <t>AZ2488024707</t>
  </si>
  <si>
    <t>AZ2490024703</t>
  </si>
  <si>
    <t>AZ2491024702</t>
  </si>
  <si>
    <t>AZ2489024706</t>
  </si>
  <si>
    <t>AZ2492024701</t>
  </si>
  <si>
    <t>AZ2494024709</t>
  </si>
  <si>
    <t>AZ2493024700</t>
  </si>
  <si>
    <t>AZ2495024708</t>
  </si>
  <si>
    <t>AZ2496024707</t>
  </si>
  <si>
    <t>AZ2498024705</t>
  </si>
  <si>
    <t>AZ2497024706</t>
  </si>
  <si>
    <t>AZ2499024704</t>
  </si>
  <si>
    <t>AZ2500024701</t>
  </si>
  <si>
    <t>AZ2502024709</t>
  </si>
  <si>
    <t>AZ2501024700</t>
  </si>
  <si>
    <t>AZ2503024708</t>
  </si>
  <si>
    <t>RII,2025      QII,2025</t>
  </si>
  <si>
    <t>Sığorta Haqları</t>
  </si>
  <si>
    <t>iyul</t>
  </si>
  <si>
    <t>AZ2507024704</t>
  </si>
  <si>
    <t>AZ2505024706</t>
  </si>
  <si>
    <t>AZ2506024705</t>
  </si>
  <si>
    <t>AZ2504024707</t>
  </si>
  <si>
    <t>AZ2508024703</t>
  </si>
  <si>
    <t>AZ2510024709</t>
  </si>
  <si>
    <t>AZ2509024702</t>
  </si>
  <si>
    <t>AZ2511024708</t>
  </si>
  <si>
    <t>AZ2515024704</t>
  </si>
  <si>
    <t>AZ2514024705</t>
  </si>
  <si>
    <t>AZ2513024706</t>
  </si>
  <si>
    <t>AZ2512024707</t>
  </si>
  <si>
    <t>AZ2519024700</t>
  </si>
  <si>
    <t>AZ2517024702</t>
  </si>
  <si>
    <t>AZ2518024701</t>
  </si>
  <si>
    <t>AZ2516024703</t>
  </si>
  <si>
    <t>AZ0201120018</t>
  </si>
  <si>
    <t>AZ0201120026</t>
  </si>
  <si>
    <t>AZ0201120034</t>
  </si>
  <si>
    <t>AZ2520024707</t>
  </si>
  <si>
    <t>AZ2522024705</t>
  </si>
  <si>
    <t>AZ2521024706</t>
  </si>
  <si>
    <t>AZ2523024704</t>
  </si>
  <si>
    <t>AZ2527024700</t>
  </si>
  <si>
    <t>AZ2525024702</t>
  </si>
  <si>
    <t>AZ2526024701</t>
  </si>
  <si>
    <t>AZ2524024703</t>
  </si>
  <si>
    <t>AZ2528024709</t>
  </si>
  <si>
    <t>AZ2530024705</t>
  </si>
  <si>
    <t>AZ2529024708</t>
  </si>
  <si>
    <t>AZ2531024704</t>
  </si>
  <si>
    <t>AZ2535024700</t>
  </si>
  <si>
    <t>AZ2533024702</t>
  </si>
  <si>
    <t>AZ2534024701</t>
  </si>
  <si>
    <t>AZ2532024703</t>
  </si>
  <si>
    <t>AZ2539024706</t>
  </si>
  <si>
    <t>AZ2537024708</t>
  </si>
  <si>
    <t>AZ2538024707</t>
  </si>
  <si>
    <t>AZ2536024709</t>
  </si>
  <si>
    <t>AZ0201120042</t>
  </si>
  <si>
    <r>
      <t xml:space="preserve">Mənbə: Azərbaycan Respublikasının Mərkəzi Bankı 
</t>
    </r>
    <r>
      <rPr>
        <i/>
        <sz val="8"/>
        <color theme="8" tint="-0.249977111117893"/>
        <rFont val="Times New Roman"/>
        <family val="1"/>
        <charset val="162"/>
      </rPr>
      <t>Source: Central Bank of the Republic of Azerbaijan</t>
    </r>
  </si>
  <si>
    <t>Qeyd: Məcburi ehtiyatlar bundan öncəki ayı əhatə edən hesablama dövrü əsasında hesablanır.</t>
  </si>
  <si>
    <t>Note: Required reserves are calculated based on the reporting period covering the preceding month.</t>
  </si>
  <si>
    <t>AZ2543024700</t>
  </si>
  <si>
    <t>AZ2540024703</t>
  </si>
  <si>
    <t>AZ2542024701</t>
  </si>
  <si>
    <t>AZ2541024702</t>
  </si>
  <si>
    <t>AZ2547024706</t>
  </si>
  <si>
    <t>AZ2545024708</t>
  </si>
  <si>
    <t>AZ2546024707</t>
  </si>
  <si>
    <t>AZ2544024709</t>
  </si>
  <si>
    <t>AZ2548024705</t>
  </si>
  <si>
    <t>AZ2551024709</t>
  </si>
  <si>
    <t>AZ2549024704</t>
  </si>
  <si>
    <t>AZ2550024700</t>
  </si>
  <si>
    <t>AZ2555024705</t>
  </si>
  <si>
    <t>AZ2553024707</t>
  </si>
  <si>
    <t>AZ2554024706</t>
  </si>
  <si>
    <t>AZ2552024708</t>
  </si>
  <si>
    <t>AZ2556024704</t>
  </si>
  <si>
    <t>AZ2558024702</t>
  </si>
  <si>
    <t>AZ2559024701</t>
  </si>
  <si>
    <t>AZ2557024703</t>
  </si>
  <si>
    <t>AZ2560024708</t>
  </si>
  <si>
    <t>AZ2561024707</t>
  </si>
  <si>
    <t>6.95%</t>
  </si>
  <si>
    <t>AZ2563024705</t>
  </si>
  <si>
    <t>AZ2562024706</t>
  </si>
  <si>
    <t>AZ2567024701</t>
  </si>
  <si>
    <t>AZ2565024703</t>
  </si>
  <si>
    <t>AZ2566024702</t>
  </si>
  <si>
    <t>AZ2564024704</t>
  </si>
  <si>
    <t>AZ2568024700</t>
  </si>
  <si>
    <t>AZ2570024706</t>
  </si>
  <si>
    <t>AZ2569024709</t>
  </si>
  <si>
    <t>AZ2571024705</t>
  </si>
  <si>
    <r>
      <t>Qeyri-qida məhsulları</t>
    </r>
    <r>
      <rPr>
        <i/>
        <sz val="12"/>
        <rFont val="Times New Roman"/>
        <family val="1"/>
        <charset val="162"/>
      </rPr>
      <t xml:space="preserve">
</t>
    </r>
    <r>
      <rPr>
        <i/>
        <sz val="12"/>
        <rFont val="Times New Roman"/>
        <family val="1"/>
      </rPr>
      <t>(non-food products)</t>
    </r>
  </si>
  <si>
    <t>3572</t>
  </si>
  <si>
    <t>AZ0101110028</t>
  </si>
  <si>
    <t>2026</t>
  </si>
  <si>
    <t>AZ2575024701</t>
  </si>
  <si>
    <t>AZ2574024702</t>
  </si>
  <si>
    <t>AZ2572024704</t>
  </si>
  <si>
    <t>AZ2573024703</t>
  </si>
  <si>
    <t>AZ2579024707</t>
  </si>
  <si>
    <t>AZ2577024709</t>
  </si>
  <si>
    <t>AZ2578024708</t>
  </si>
  <si>
    <t>AZ2576024700</t>
  </si>
  <si>
    <t>AZ2583024701</t>
  </si>
  <si>
    <t>AZ2581024703</t>
  </si>
  <si>
    <t>AZ2582024702</t>
  </si>
  <si>
    <t>AZ2580024704</t>
  </si>
  <si>
    <t>AZ2586024708</t>
  </si>
  <si>
    <t>AZ2585024709</t>
  </si>
  <si>
    <t>AZ2587024707</t>
  </si>
  <si>
    <t>AZ2584024700</t>
  </si>
  <si>
    <t>AZ2591024701</t>
  </si>
  <si>
    <t>AZ2589024705</t>
  </si>
  <si>
    <t>AZ2590024702</t>
  </si>
  <si>
    <t>AZ2588024706</t>
  </si>
  <si>
    <t>AZ2594024708</t>
  </si>
  <si>
    <t>AZ2593024709</t>
  </si>
  <si>
    <t>AZ2595024707</t>
  </si>
  <si>
    <t>AZ2592024700</t>
  </si>
  <si>
    <t>AZ2599024703</t>
  </si>
  <si>
    <t>AZ2598024704</t>
  </si>
  <si>
    <t>AZ2596024706</t>
  </si>
  <si>
    <t>AZ2597024705</t>
  </si>
  <si>
    <t>AZ2603024707</t>
  </si>
  <si>
    <t>AZ2601024709</t>
  </si>
  <si>
    <t>AZ2602024708</t>
  </si>
  <si>
    <t>AZ2600024700</t>
  </si>
  <si>
    <t>RIII,2025      QIII,2025</t>
  </si>
  <si>
    <t>RIV,2025   QIV,2025</t>
  </si>
  <si>
    <t>AZ2607024703</t>
  </si>
  <si>
    <t>AZ2605024705</t>
  </si>
  <si>
    <t>AZ2606024704</t>
  </si>
  <si>
    <t>AZ2604024706</t>
  </si>
  <si>
    <t>AZ2611024707</t>
  </si>
  <si>
    <t>AZ2609024701</t>
  </si>
  <si>
    <t>AZ2610024708</t>
  </si>
  <si>
    <t>AZ2608024702</t>
  </si>
  <si>
    <t>AZ2615024703</t>
  </si>
  <si>
    <t>AZ2613024705</t>
  </si>
  <si>
    <t>AZ2614024704</t>
  </si>
  <si>
    <t>AZ2612024706</t>
  </si>
  <si>
    <t>AZ2616024702</t>
  </si>
  <si>
    <t>AZ2619024709</t>
  </si>
  <si>
    <t>AZ2617024701</t>
  </si>
  <si>
    <t>AZ2618024700</t>
  </si>
  <si>
    <t>AZ2620024706</t>
  </si>
  <si>
    <t>AZ2622024704</t>
  </si>
  <si>
    <t>AZ2621024705</t>
  </si>
  <si>
    <t>AZ2623024703</t>
  </si>
  <si>
    <t>AZ2627024709</t>
  </si>
  <si>
    <t>AZ2625024701</t>
  </si>
  <si>
    <t>AZ2626024700</t>
  </si>
  <si>
    <t>AZ2624024702</t>
  </si>
  <si>
    <t>AZ2628024708</t>
  </si>
  <si>
    <t>AZ2630024704</t>
  </si>
  <si>
    <t>AZ2629024707</t>
  </si>
  <si>
    <t>AZ2631024703</t>
  </si>
  <si>
    <t>AZ2635024709</t>
  </si>
  <si>
    <t>AZ2633024701</t>
  </si>
  <si>
    <t>AZ2634024700</t>
  </si>
  <si>
    <t>AZ2632024702</t>
  </si>
  <si>
    <t>x</t>
  </si>
  <si>
    <t>AZ2636024708</t>
  </si>
  <si>
    <t>AZ2638024706</t>
  </si>
  <si>
    <t>AZ2637024707</t>
  </si>
  <si>
    <t>AZ2639024705</t>
  </si>
  <si>
    <t>AZ2643024709</t>
  </si>
  <si>
    <t>AZ2641024701</t>
  </si>
  <si>
    <t>AZ2642024700</t>
  </si>
  <si>
    <t>AZ2640024702</t>
  </si>
  <si>
    <t>AZ2647024705</t>
  </si>
  <si>
    <t>AZ2645024707</t>
  </si>
  <si>
    <t>AZ2646024706</t>
  </si>
  <si>
    <t>AZ2644024708</t>
  </si>
  <si>
    <t>RI,2026     QI,2026</t>
  </si>
  <si>
    <t>3590</t>
  </si>
  <si>
    <t>AZ0301250012</t>
  </si>
  <si>
    <t>İyun 2026</t>
  </si>
  <si>
    <t xml:space="preserve">                                            30/06/2026</t>
  </si>
  <si>
    <t>AZ2651024708</t>
  </si>
  <si>
    <t>AZ2649024703</t>
  </si>
  <si>
    <t>AZ2650024709</t>
  </si>
  <si>
    <t>AZ2648024704</t>
  </si>
  <si>
    <t>AZ2655024704</t>
  </si>
  <si>
    <t>AZ2653024706</t>
  </si>
  <si>
    <t>AZ2654024705</t>
  </si>
  <si>
    <t>AZ2652024707</t>
  </si>
  <si>
    <t>AZ2656024703</t>
  </si>
  <si>
    <t>AZ2658024701</t>
  </si>
  <si>
    <t>AZ2657024702</t>
  </si>
  <si>
    <t>AZ2659024700</t>
  </si>
  <si>
    <t>AZ2663024704</t>
  </si>
  <si>
    <t>AZ2661024706</t>
  </si>
  <si>
    <t>AZ2662024705</t>
  </si>
  <si>
    <t>AZ2660024707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</si>
</sst>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0.000000"/>
    <numFmt numFmtId="168" formatCode="0.0000"/>
    <numFmt numFmtId="169" formatCode="_-* #,##0.00_р_._-;\-* #,##0.00_р_._-;_-* &quot;-&quot;??_р_._-;_-@_-"/>
    <numFmt numFmtId="170" formatCode="_(* #,##0.0_);_(* \(#,##0.0\);_(* &quot;-&quot;??_);_(@_)"/>
    <numFmt numFmtId="171" formatCode="0.000"/>
    <numFmt numFmtId="172" formatCode="mm/dd/yy"/>
    <numFmt numFmtId="173" formatCode="#,##0.0"/>
    <numFmt numFmtId="174" formatCode="&quot;₼&quot;#,##0.00"/>
    <numFmt numFmtId="175" formatCode="_-* #,##0.0_р_._-;\-* #,##0.0_р_._-;_-* &quot;-&quot;??_р_._-;_-@_-"/>
    <numFmt numFmtId="176" formatCode="0.0;[Red]0.0"/>
    <numFmt numFmtId="177" formatCode="###\ ###\ ###\ ###\ ###\ ##0.00"/>
    <numFmt numFmtId="178" formatCode="0.0%"/>
    <numFmt numFmtId="179" formatCode="#.00"/>
    <numFmt numFmtId="180" formatCode="_-* #,##0.00&quot;$&quot;_-;\-* #,##0.00&quot;$&quot;_-;_-* &quot;-&quot;??&quot;$&quot;_-;_-@_-"/>
    <numFmt numFmtId="181" formatCode="_(* #,##0_);_(* \(#,##0\);_(* &quot;-&quot;??_);_(@_)"/>
    <numFmt numFmtId="182" formatCode="_-* #,##0\ _₽_-;\-* #,##0\ _₽_-;_-* &quot;-&quot;??\ _₽_-;_-@_-"/>
    <numFmt numFmtId="183" formatCode="_-* #,##0.0\ _₽_-;\-* #,##0.0\ _₽_-;_-* &quot;-&quot;??\ _₽_-;_-@_-"/>
    <numFmt numFmtId="184" formatCode="0.00000"/>
    <numFmt numFmtId="185" formatCode="_-* #,##0.00\ _₼_-;\-* #,##0.00\ _₼_-;_-* &quot;-&quot;??\ _₼_-;_-@_-"/>
    <numFmt numFmtId="186" formatCode="0.0000000"/>
    <numFmt numFmtId="187" formatCode="0.000000000000000000"/>
    <numFmt numFmtId="188" formatCode="0.000000000"/>
    <numFmt numFmtId="189" formatCode="0.0000000000"/>
    <numFmt numFmtId="190" formatCode="_-* #,##0\ _₼_-;\-* #,##0\ _₼_-;_-* &quot;-&quot;??\ _₼_-;_-@_-"/>
    <numFmt numFmtId="191" formatCode="#,##0.000000000"/>
    <numFmt numFmtId="192" formatCode="#,##0.000000000000"/>
    <numFmt numFmtId="193" formatCode="0.00000000"/>
    <numFmt numFmtId="194" formatCode="_(* #,##0.0000_);_(* \(#,##0.0000\);_(* &quot;-&quot;??_);_(@_)"/>
    <numFmt numFmtId="195" formatCode="0.00000000000"/>
    <numFmt numFmtId="196" formatCode="_(* #,##0.0_);_(* \(#,##0.0\);_(* &quot;-&quot;?_);_(@_)"/>
    <numFmt numFmtId="197" formatCode="0.00000000000000"/>
    <numFmt numFmtId="198" formatCode="_-* #,##0.0000\ _X_D_R_-;\-* #,##0.0000\ _X_D_R_-;_-* &quot;-&quot;??\ _X_D_R_-;_-@_-"/>
    <numFmt numFmtId="199" formatCode="_-* #,##0.000000\ _X_D_R_-;\-* #,##0.000000\ _X_D_R_-;_-* &quot;-&quot;??\ _X_D_R_-;_-@_-"/>
    <numFmt numFmtId="200" formatCode="_-* #,##0.0\ _X_D_R_-;\-* #,##0.0\ _X_D_R_-;_-* &quot;-&quot;?\ _X_D_R_-;_-@_-"/>
    <numFmt numFmtId="201" formatCode="_-* #,##0.00\ _X_D_R_-;\-* #,##0.00\ _X_D_R_-;_-* &quot;-&quot;??\ _X_D_R_-;_-@_-"/>
    <numFmt numFmtId="202" formatCode="_-* #,##0_-;\-* #,##0_-;_-* &quot;-&quot;??_-;_-@_-"/>
    <numFmt numFmtId="203" formatCode="_(* #,##0.000_);_(* \(#,##0.000\);_(* &quot;-&quot;??_);_(@_)"/>
    <numFmt numFmtId="204" formatCode="0.0000000000000000"/>
    <numFmt numFmtId="205" formatCode="0.000000000000"/>
    <numFmt numFmtId="206" formatCode="_(* #,##0.00000_);_(* \(#,##0.00000\);_(* &quot;-&quot;??_);_(@_)"/>
    <numFmt numFmtId="207" formatCode="_-* #,##0.000000000\ _X_D_R_-;\-* #,##0.000000000\ _X_D_R_-;_-* &quot;-&quot;??\ _X_D_R_-;_-@_-"/>
  </numFmts>
  <fonts count="358">
    <font>
      <sz val="11"/>
      <color theme="1"/>
      <name val="Times New Roman"/>
      <family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9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i/>
      <sz val="10"/>
      <name val="Times New Roman"/>
      <family val="1"/>
      <charset val="162"/>
    </font>
    <font>
      <i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i/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</font>
    <font>
      <b/>
      <i/>
      <sz val="12"/>
      <name val="Times New Roman"/>
      <family val="1"/>
      <charset val="162"/>
    </font>
    <font>
      <sz val="12"/>
      <name val="Times New Roman"/>
      <family val="1"/>
      <charset val="204"/>
    </font>
    <font>
      <b/>
      <sz val="8"/>
      <name val="Times New Roman"/>
      <family val="1"/>
      <charset val="162"/>
    </font>
    <font>
      <b/>
      <i/>
      <sz val="11"/>
      <name val="Times New Roman"/>
      <family val="1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Times New Roman"/>
      <family val="2"/>
    </font>
    <font>
      <sz val="12"/>
      <color indexed="8"/>
      <name val="Times New Roman"/>
      <family val="1"/>
    </font>
    <font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  <charset val="162"/>
    </font>
    <font>
      <b/>
      <sz val="10"/>
      <name val="Arial"/>
      <family val="2"/>
      <charset val="204"/>
    </font>
    <font>
      <sz val="12"/>
      <color indexed="8"/>
      <name val="Times New Roman"/>
      <family val="1"/>
      <charset val="162"/>
    </font>
    <font>
      <i/>
      <sz val="12"/>
      <name val="Times New Roman"/>
      <family val="1"/>
      <charset val="162"/>
    </font>
    <font>
      <b/>
      <sz val="12"/>
      <color indexed="8"/>
      <name val="Times New Roman"/>
      <family val="1"/>
    </font>
    <font>
      <b/>
      <i/>
      <sz val="11"/>
      <name val="Times New Roman"/>
      <family val="1"/>
      <charset val="162"/>
    </font>
    <font>
      <sz val="11"/>
      <color indexed="63"/>
      <name val="Times New Roman"/>
      <family val="1"/>
      <charset val="162"/>
    </font>
    <font>
      <b/>
      <i/>
      <sz val="11"/>
      <color indexed="8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  <charset val="162"/>
    </font>
    <font>
      <b/>
      <i/>
      <sz val="14"/>
      <name val="Arial"/>
      <family val="2"/>
    </font>
    <font>
      <sz val="14"/>
      <name val="Arial"/>
      <family val="2"/>
    </font>
    <font>
      <i/>
      <sz val="14"/>
      <name val="A3 Arial AzLat"/>
      <family val="2"/>
      <charset val="204"/>
    </font>
    <font>
      <b/>
      <sz val="14"/>
      <name val="Arial"/>
      <family val="2"/>
    </font>
    <font>
      <b/>
      <i/>
      <sz val="14"/>
      <name val="A3 Arial AzLat"/>
      <family val="2"/>
      <charset val="204"/>
    </font>
    <font>
      <b/>
      <sz val="14"/>
      <name val="A3 Arial AzLat"/>
      <family val="2"/>
      <charset val="204"/>
    </font>
    <font>
      <sz val="14"/>
      <name val="A3 Arial AzLat"/>
      <family val="2"/>
      <charset val="204"/>
    </font>
    <font>
      <b/>
      <i/>
      <sz val="12"/>
      <name val="A3 Times AzLat"/>
      <family val="1"/>
      <charset val="204"/>
    </font>
    <font>
      <b/>
      <sz val="14"/>
      <name val="A3 Times AzLat"/>
      <family val="1"/>
      <charset val="204"/>
    </font>
    <font>
      <b/>
      <sz val="18"/>
      <name val="A3 Times AzLat"/>
      <family val="1"/>
      <charset val="204"/>
    </font>
    <font>
      <b/>
      <i/>
      <sz val="16"/>
      <name val="A3 Arial AzLat"/>
      <family val="2"/>
      <charset val="204"/>
    </font>
    <font>
      <b/>
      <sz val="18"/>
      <name val="A3 Arial AzLat"/>
      <family val="2"/>
      <charset val="204"/>
    </font>
    <font>
      <b/>
      <i/>
      <sz val="12"/>
      <name val="A3 Arial AzLat"/>
      <family val="2"/>
      <charset val="204"/>
    </font>
    <font>
      <sz val="10"/>
      <name val="A3 Arial AzLat"/>
      <family val="2"/>
      <charset val="204"/>
    </font>
    <font>
      <sz val="10"/>
      <name val="Arial"/>
      <family val="2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name val="Tms Rmn"/>
    </font>
    <font>
      <sz val="10"/>
      <name val="Tms Rmn"/>
    </font>
    <font>
      <sz val="10"/>
      <name val="Helv"/>
    </font>
    <font>
      <sz val="12"/>
      <name val="Helv"/>
    </font>
    <font>
      <sz val="10"/>
      <color indexed="8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Palatino Linotype"/>
      <family val="1"/>
    </font>
    <font>
      <sz val="14"/>
      <name val="Palatino Linotype"/>
      <family val="1"/>
    </font>
    <font>
      <b/>
      <sz val="18"/>
      <name val="Palatino Linotype"/>
      <family val="1"/>
    </font>
    <font>
      <sz val="16"/>
      <name val="Palatino Linotype"/>
      <family val="1"/>
    </font>
    <font>
      <b/>
      <sz val="16"/>
      <name val="Palatino Linotype"/>
      <family val="1"/>
    </font>
    <font>
      <sz val="14"/>
      <name val="Times New Roman"/>
      <family val="1"/>
      <charset val="204"/>
    </font>
    <font>
      <b/>
      <i/>
      <sz val="14"/>
      <name val="Palatino Linotype"/>
      <family val="1"/>
    </font>
    <font>
      <b/>
      <sz val="36"/>
      <name val="Palatino Linotype"/>
      <family val="1"/>
    </font>
    <font>
      <b/>
      <i/>
      <sz val="16"/>
      <name val="Palatino Linotype"/>
      <family val="1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204"/>
    </font>
    <font>
      <b/>
      <sz val="11"/>
      <color rgb="FF92D050"/>
      <name val="Times New Roman"/>
      <family val="1"/>
      <charset val="162"/>
    </font>
    <font>
      <sz val="11"/>
      <color rgb="FF92D05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sz val="10"/>
      <color theme="1"/>
      <name val="Times New Roman"/>
      <family val="1"/>
    </font>
    <font>
      <sz val="11.5"/>
      <color theme="1"/>
      <name val="Times New Roman"/>
      <family val="1"/>
    </font>
    <font>
      <b/>
      <sz val="8"/>
      <color theme="1"/>
      <name val="Calibri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0" tint="-0.34998626667073579"/>
      <name val="Times New Roman"/>
      <family val="1"/>
      <charset val="162"/>
    </font>
    <font>
      <sz val="11"/>
      <color theme="1"/>
      <name val="A3 Arial AzLat"/>
      <family val="2"/>
      <charset val="204"/>
    </font>
    <font>
      <b/>
      <sz val="10"/>
      <color rgb="FFFF0000"/>
      <name val="Times New Roman"/>
      <family val="1"/>
    </font>
    <font>
      <b/>
      <sz val="10"/>
      <color theme="0"/>
      <name val="Times New Roman"/>
      <family val="1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sz val="11"/>
      <color theme="1"/>
      <name val="Palatino Linotype"/>
      <family val="1"/>
    </font>
    <font>
      <sz val="12"/>
      <color theme="1"/>
      <name val="Palatino Linotype"/>
      <family val="1"/>
    </font>
    <font>
      <sz val="14"/>
      <color theme="1"/>
      <name val="Calibri"/>
      <family val="2"/>
      <scheme val="minor"/>
    </font>
    <font>
      <sz val="16"/>
      <color theme="1"/>
      <name val="Palatino Linotype"/>
      <family val="1"/>
    </font>
    <font>
      <sz val="12"/>
      <color theme="1"/>
      <name val="Times New Roman"/>
      <family val="1"/>
      <charset val="204"/>
    </font>
    <font>
      <b/>
      <sz val="14"/>
      <color theme="1"/>
      <name val="Palatino Linotype"/>
      <family val="1"/>
    </font>
    <font>
      <sz val="14"/>
      <color theme="1"/>
      <name val="Palatino Linotype"/>
      <family val="1"/>
    </font>
    <font>
      <sz val="11"/>
      <name val="Calibri"/>
      <family val="2"/>
      <charset val="204"/>
      <scheme val="minor"/>
    </font>
    <font>
      <b/>
      <sz val="16"/>
      <color theme="1"/>
      <name val="Palatino Linotype"/>
      <family val="1"/>
    </font>
    <font>
      <sz val="10"/>
      <color rgb="FFFF0000"/>
      <name val="Arial"/>
      <family val="2"/>
      <charset val="204"/>
    </font>
    <font>
      <b/>
      <sz val="9"/>
      <color rgb="FFFF0000"/>
      <name val="Times New Roman"/>
      <family val="1"/>
      <charset val="162"/>
    </font>
    <font>
      <b/>
      <sz val="12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rgb="FF92D050"/>
      <name val="Times New Roman"/>
      <family val="1"/>
      <charset val="162"/>
    </font>
    <font>
      <b/>
      <sz val="9"/>
      <color rgb="FF92D050"/>
      <name val="Times New Roman"/>
      <family val="1"/>
      <charset val="16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3"/>
      <color theme="1"/>
      <name val="Palatino Linotype"/>
      <family val="1"/>
    </font>
    <font>
      <sz val="20"/>
      <color theme="1"/>
      <name val="Palatino Linotype"/>
      <family val="1"/>
    </font>
    <font>
      <sz val="11"/>
      <color indexed="8"/>
      <name val="Calibri"/>
      <family val="2"/>
      <scheme val="minor"/>
    </font>
    <font>
      <sz val="14"/>
      <color theme="1"/>
      <name val="Times New Roman"/>
      <family val="2"/>
    </font>
    <font>
      <sz val="11"/>
      <color theme="1"/>
      <name val="Calibri"/>
      <family val="2"/>
    </font>
    <font>
      <b/>
      <sz val="9"/>
      <color theme="1"/>
      <name val="Times New Roman"/>
      <family val="1"/>
    </font>
    <font>
      <sz val="10"/>
      <name val="Arial Cyr"/>
      <family val="2"/>
      <charset val="204"/>
    </font>
    <font>
      <b/>
      <sz val="13"/>
      <name val="Times New Roman"/>
      <family val="1"/>
    </font>
    <font>
      <b/>
      <i/>
      <sz val="13"/>
      <name val="Times New Roman"/>
      <family val="1"/>
    </font>
    <font>
      <b/>
      <i/>
      <sz val="13"/>
      <name val="Times New Roman"/>
      <family val="1"/>
      <charset val="162"/>
    </font>
    <font>
      <sz val="13"/>
      <name val="Times New Roman"/>
      <family val="1"/>
    </font>
    <font>
      <b/>
      <sz val="10"/>
      <color theme="4" tint="-0.249977111117893"/>
      <name val="Times New Roman"/>
      <family val="1"/>
    </font>
    <font>
      <sz val="10"/>
      <color theme="4" tint="-0.249977111117893"/>
      <name val="Times New Roman"/>
      <family val="1"/>
    </font>
    <font>
      <sz val="11"/>
      <color theme="1"/>
      <name val="Times New Roman"/>
      <family val="1"/>
    </font>
    <font>
      <i/>
      <sz val="10"/>
      <color theme="8" tint="-0.499984740745262"/>
      <name val="Times New Roman"/>
      <family val="1"/>
    </font>
    <font>
      <sz val="10"/>
      <color theme="8" tint="-0.499984740745262"/>
      <name val="Times New Roman"/>
      <family val="1"/>
      <charset val="162"/>
    </font>
    <font>
      <sz val="10"/>
      <color theme="8" tint="-0.499984740745262"/>
      <name val="Times New Roman"/>
      <family val="1"/>
    </font>
    <font>
      <sz val="11"/>
      <color theme="8" tint="-0.499984740745262"/>
      <name val="Times New Roman"/>
      <family val="1"/>
    </font>
    <font>
      <sz val="11"/>
      <color theme="8" tint="-0.499984740745262"/>
      <name val="Times New Roman"/>
      <family val="1"/>
      <charset val="162"/>
    </font>
    <font>
      <sz val="10"/>
      <color theme="8" tint="-0.499984740745262"/>
      <name val="Arial"/>
      <family val="2"/>
      <charset val="204"/>
    </font>
    <font>
      <b/>
      <sz val="11"/>
      <color rgb="FF366092"/>
      <name val="Times New Roman"/>
      <family val="1"/>
    </font>
    <font>
      <sz val="10"/>
      <color rgb="FF366092"/>
      <name val="Times New Roman"/>
      <family val="1"/>
    </font>
    <font>
      <sz val="11"/>
      <color rgb="FF366092"/>
      <name val="Times New Roman"/>
      <family val="1"/>
    </font>
    <font>
      <b/>
      <sz val="12"/>
      <color rgb="FF366092"/>
      <name val="Times New Roman"/>
      <family val="1"/>
    </font>
    <font>
      <sz val="12"/>
      <color rgb="FF366092"/>
      <name val="Times New Roman"/>
      <family val="1"/>
    </font>
    <font>
      <b/>
      <sz val="14"/>
      <color rgb="FF366092"/>
      <name val="Times New Roman"/>
      <family val="1"/>
    </font>
    <font>
      <sz val="14"/>
      <color rgb="FF366092"/>
      <name val="Times New Roman"/>
      <family val="1"/>
    </font>
    <font>
      <b/>
      <sz val="11"/>
      <color theme="0"/>
      <name val="Times New Roman"/>
      <family val="1"/>
    </font>
    <font>
      <b/>
      <sz val="11"/>
      <color rgb="FF366092"/>
      <name val="Times New Roman"/>
      <family val="1"/>
      <charset val="162"/>
    </font>
    <font>
      <sz val="11"/>
      <color rgb="FF366092"/>
      <name val="Times New Roman"/>
      <family val="1"/>
      <charset val="162"/>
    </font>
    <font>
      <sz val="10"/>
      <color rgb="FF366092"/>
      <name val="Times New Roman"/>
      <family val="1"/>
      <charset val="162"/>
    </font>
    <font>
      <sz val="9"/>
      <color rgb="FF366092"/>
      <name val="Times New Roman"/>
      <family val="1"/>
      <charset val="162"/>
    </font>
    <font>
      <b/>
      <sz val="12"/>
      <color rgb="FF366092"/>
      <name val="Times New Roman"/>
      <family val="1"/>
      <charset val="162"/>
    </font>
    <font>
      <sz val="12"/>
      <color rgb="FF366092"/>
      <name val="Times New Roman"/>
      <family val="1"/>
      <charset val="162"/>
    </font>
    <font>
      <b/>
      <sz val="18"/>
      <color rgb="FF366092"/>
      <name val="Times New Roman"/>
      <family val="1"/>
      <charset val="162"/>
    </font>
    <font>
      <sz val="18"/>
      <color rgb="FF366092"/>
      <name val="Times New Roman"/>
      <family val="1"/>
      <charset val="162"/>
    </font>
    <font>
      <b/>
      <sz val="24"/>
      <color rgb="FF366092"/>
      <name val="A3 Arial AzLat"/>
      <family val="2"/>
      <charset val="204"/>
    </font>
    <font>
      <b/>
      <sz val="22"/>
      <color rgb="FF366092"/>
      <name val="A3 Arial AzLat"/>
      <family val="2"/>
      <charset val="204"/>
    </font>
    <font>
      <b/>
      <sz val="20"/>
      <color rgb="FF366092"/>
      <name val="Times New Roman"/>
      <family val="1"/>
      <charset val="162"/>
    </font>
    <font>
      <b/>
      <sz val="12"/>
      <color rgb="FF366092"/>
      <name val="Times New Roman"/>
      <family val="1"/>
      <charset val="204"/>
    </font>
    <font>
      <sz val="12"/>
      <color rgb="FF366092"/>
      <name val="Times New Roman"/>
      <family val="1"/>
      <charset val="204"/>
    </font>
    <font>
      <b/>
      <sz val="24"/>
      <color rgb="FF366092"/>
      <name val="Times New Roman"/>
      <family val="1"/>
    </font>
    <font>
      <sz val="20"/>
      <color rgb="FF366092"/>
      <name val="Times New Roman"/>
      <family val="1"/>
      <charset val="162"/>
    </font>
    <font>
      <b/>
      <sz val="14"/>
      <color rgb="FF366092"/>
      <name val="Times New Roman"/>
      <family val="1"/>
      <charset val="162"/>
    </font>
    <font>
      <sz val="14"/>
      <color rgb="FF366092"/>
      <name val="Times New Roman"/>
      <family val="1"/>
      <charset val="162"/>
    </font>
    <font>
      <b/>
      <sz val="20"/>
      <color rgb="FF366092"/>
      <name val="Palatino Linotype"/>
      <family val="1"/>
    </font>
    <font>
      <b/>
      <sz val="24"/>
      <color rgb="FF366092"/>
      <name val="Palatino Linotype"/>
      <family val="1"/>
    </font>
    <font>
      <b/>
      <sz val="22"/>
      <color rgb="FF366092"/>
      <name val="Palatino Linotype"/>
      <family val="1"/>
    </font>
    <font>
      <sz val="9"/>
      <color theme="1"/>
      <name val="Times New Roman"/>
      <family val="1"/>
    </font>
    <font>
      <sz val="11"/>
      <color theme="0"/>
      <name val="Times New Roman"/>
      <family val="1"/>
    </font>
    <font>
      <b/>
      <sz val="14"/>
      <color theme="0"/>
      <name val="Times New Roman"/>
      <family val="1"/>
    </font>
    <font>
      <b/>
      <sz val="16"/>
      <color theme="0"/>
      <name val="Times New Roman"/>
      <family val="1"/>
    </font>
    <font>
      <b/>
      <sz val="18"/>
      <name val="Times New Roman"/>
      <family val="1"/>
    </font>
    <font>
      <b/>
      <sz val="13"/>
      <name val="A3 Times AzLat"/>
      <family val="1"/>
      <charset val="204"/>
    </font>
    <font>
      <b/>
      <sz val="24"/>
      <color theme="0"/>
      <name val="A3 Arial AzLat"/>
      <family val="2"/>
      <charset val="204"/>
    </font>
    <font>
      <sz val="11"/>
      <color theme="0"/>
      <name val="Times New Roman"/>
      <family val="2"/>
    </font>
    <font>
      <b/>
      <sz val="22"/>
      <color theme="0"/>
      <name val="A3 Arial AzLat"/>
      <family val="2"/>
      <charset val="204"/>
    </font>
    <font>
      <b/>
      <sz val="16"/>
      <color rgb="FF366092"/>
      <name val="Times New Roman"/>
      <family val="1"/>
      <charset val="162"/>
    </font>
    <font>
      <sz val="16"/>
      <color rgb="FF366092"/>
      <name val="Times New Roman"/>
      <family val="1"/>
    </font>
    <font>
      <b/>
      <sz val="22"/>
      <color theme="0"/>
      <name val="Times New Roman"/>
      <family val="1"/>
      <charset val="162"/>
    </font>
    <font>
      <sz val="11"/>
      <color theme="0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b/>
      <sz val="18"/>
      <color theme="0"/>
      <name val="Times New Roman"/>
      <family val="1"/>
      <charset val="162"/>
    </font>
    <font>
      <sz val="18"/>
      <color rgb="FF366092"/>
      <name val="Times New Roman"/>
      <family val="1"/>
    </font>
    <font>
      <sz val="12"/>
      <color theme="0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8"/>
      <color rgb="FF366092"/>
      <name val="Times New Roman"/>
      <family val="1"/>
    </font>
    <font>
      <b/>
      <sz val="22"/>
      <color theme="0"/>
      <name val="Times New Roman"/>
      <family val="1"/>
    </font>
    <font>
      <b/>
      <sz val="18"/>
      <color theme="0"/>
      <name val="Times New Roman"/>
      <family val="1"/>
    </font>
    <font>
      <sz val="12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6"/>
      <color rgb="FF366092"/>
      <name val="Times New Roman"/>
      <family val="1"/>
    </font>
    <font>
      <b/>
      <sz val="10"/>
      <color rgb="FF000000"/>
      <name val="Times New Roman"/>
      <family val="1"/>
      <charset val="162"/>
    </font>
    <font>
      <i/>
      <sz val="9"/>
      <color theme="8" tint="-0.499984740745262"/>
      <name val="Times New Roman"/>
      <family val="1"/>
    </font>
    <font>
      <b/>
      <i/>
      <sz val="8"/>
      <color theme="8" tint="-0.249977111117893"/>
      <name val="Times New Roman"/>
      <family val="1"/>
    </font>
    <font>
      <i/>
      <sz val="8"/>
      <color theme="8" tint="-0.249977111117893"/>
      <name val="Times New Roman"/>
      <family val="1"/>
    </font>
    <font>
      <sz val="10"/>
      <color theme="8" tint="-0.249977111117893"/>
      <name val="Times New Roman"/>
      <family val="1"/>
    </font>
    <font>
      <b/>
      <i/>
      <sz val="12"/>
      <color theme="8" tint="-0.249977111117893"/>
      <name val="Times New Roman"/>
      <family val="1"/>
    </font>
    <font>
      <sz val="11"/>
      <color theme="8" tint="-0.249977111117893"/>
      <name val="Times New Roman"/>
      <family val="1"/>
    </font>
    <font>
      <i/>
      <sz val="12"/>
      <color theme="8" tint="-0.249977111117893"/>
      <name val="Times New Roman"/>
      <family val="1"/>
    </font>
    <font>
      <sz val="12"/>
      <color theme="8" tint="-0.249977111117893"/>
      <name val="Times New Roman"/>
      <family val="1"/>
    </font>
    <font>
      <b/>
      <i/>
      <sz val="9"/>
      <color theme="8" tint="-0.249977111117893"/>
      <name val="Times New Roman"/>
      <family val="1"/>
    </font>
    <font>
      <i/>
      <sz val="9"/>
      <color theme="8" tint="-0.249977111117893"/>
      <name val="Times New Roman"/>
      <family val="1"/>
    </font>
    <font>
      <b/>
      <i/>
      <sz val="11"/>
      <color theme="8" tint="-0.249977111117893"/>
      <name val="Times New Roman"/>
      <family val="1"/>
    </font>
    <font>
      <i/>
      <sz val="11"/>
      <color theme="8" tint="-0.249977111117893"/>
      <name val="Times New Roman"/>
      <family val="1"/>
    </font>
    <font>
      <b/>
      <i/>
      <sz val="10"/>
      <color theme="8" tint="-0.249977111117893"/>
      <name val="Times New Roman"/>
      <family val="1"/>
      <charset val="162"/>
    </font>
    <font>
      <i/>
      <sz val="10"/>
      <color theme="8" tint="-0.249977111117893"/>
      <name val="Times New Roman"/>
      <family val="1"/>
      <charset val="162"/>
    </font>
    <font>
      <sz val="10"/>
      <color theme="8" tint="-0.249977111117893"/>
      <name val="Times New Roman"/>
      <family val="1"/>
      <charset val="162"/>
    </font>
    <font>
      <i/>
      <sz val="10"/>
      <color theme="8" tint="-0.249977111117893"/>
      <name val="Times New Roman"/>
      <family val="1"/>
    </font>
    <font>
      <b/>
      <i/>
      <sz val="9"/>
      <color theme="8" tint="-0.249977111117893"/>
      <name val="Times New Roman"/>
      <family val="1"/>
      <charset val="162"/>
    </font>
    <font>
      <i/>
      <sz val="9"/>
      <color theme="8" tint="-0.249977111117893"/>
      <name val="Times New Roman"/>
      <family val="1"/>
      <charset val="162"/>
    </font>
    <font>
      <b/>
      <i/>
      <sz val="10"/>
      <color theme="8" tint="-0.249977111117893"/>
      <name val="Times New Roman"/>
      <family val="1"/>
    </font>
    <font>
      <b/>
      <i/>
      <sz val="14"/>
      <color theme="8" tint="-0.249977111117893"/>
      <name val="Times New Roman"/>
      <family val="1"/>
    </font>
    <font>
      <b/>
      <sz val="11"/>
      <color theme="8" tint="-0.249977111117893"/>
      <name val="Times New Roman"/>
      <family val="1"/>
      <charset val="162"/>
    </font>
    <font>
      <b/>
      <i/>
      <sz val="14"/>
      <color theme="8" tint="-0.249977111117893"/>
      <name val="Times New Roman"/>
      <family val="1"/>
      <charset val="162"/>
    </font>
    <font>
      <i/>
      <sz val="14"/>
      <color theme="8" tint="-0.249977111117893"/>
      <name val="Times New Roman"/>
      <family val="1"/>
      <charset val="162"/>
    </font>
    <font>
      <sz val="11"/>
      <color theme="8" tint="-0.249977111117893"/>
      <name val="Times New Roman"/>
      <family val="1"/>
      <charset val="162"/>
    </font>
    <font>
      <sz val="8"/>
      <color theme="8" tint="-0.249977111117893"/>
      <name val="Times New Roman"/>
      <family val="1"/>
    </font>
    <font>
      <b/>
      <i/>
      <sz val="12"/>
      <color theme="8" tint="-0.249977111117893"/>
      <name val="Times New Roman"/>
      <family val="1"/>
      <charset val="162"/>
    </font>
    <font>
      <i/>
      <sz val="12"/>
      <color theme="8" tint="-0.249977111117893"/>
      <name val="Times New Roman"/>
      <family val="1"/>
      <charset val="162"/>
    </font>
    <font>
      <i/>
      <sz val="14"/>
      <color theme="8" tint="-0.249977111117893"/>
      <name val="Times New Roman"/>
      <family val="1"/>
    </font>
    <font>
      <b/>
      <sz val="17"/>
      <name val="Times New Roman"/>
      <family val="1"/>
    </font>
    <font>
      <sz val="17"/>
      <name val="Times New Roman"/>
      <family val="1"/>
    </font>
    <font>
      <b/>
      <sz val="17"/>
      <color theme="1"/>
      <name val="Times New Roman"/>
      <family val="1"/>
    </font>
    <font>
      <sz val="17"/>
      <color theme="1"/>
      <name val="Times New Roman"/>
      <family val="1"/>
    </font>
    <font>
      <b/>
      <sz val="20"/>
      <name val="Times New Roman"/>
      <family val="1"/>
    </font>
    <font>
      <b/>
      <sz val="20"/>
      <color theme="0"/>
      <name val="Times New Roman"/>
      <family val="1"/>
    </font>
    <font>
      <b/>
      <sz val="14"/>
      <color theme="1"/>
      <name val="Times New Roman"/>
      <family val="1"/>
    </font>
    <font>
      <b/>
      <sz val="20"/>
      <color rgb="FF366092"/>
      <name val="Times New Roman"/>
      <family val="1"/>
    </font>
    <font>
      <b/>
      <sz val="21"/>
      <color rgb="FF366092"/>
      <name val="Times New Roman"/>
      <family val="1"/>
    </font>
    <font>
      <b/>
      <sz val="16"/>
      <name val="Times New Roman"/>
      <family val="1"/>
    </font>
    <font>
      <sz val="18"/>
      <color theme="1"/>
      <name val="Times New Roman"/>
      <family val="1"/>
    </font>
    <font>
      <i/>
      <sz val="12"/>
      <color rgb="FF366092"/>
      <name val="Times New Roman"/>
      <family val="1"/>
    </font>
    <font>
      <b/>
      <i/>
      <sz val="12"/>
      <color rgb="FF366092"/>
      <name val="Times New Roman"/>
      <family val="1"/>
    </font>
    <font>
      <i/>
      <sz val="11"/>
      <color rgb="FF366092"/>
      <name val="Times New Roman"/>
      <family val="1"/>
    </font>
    <font>
      <b/>
      <i/>
      <sz val="11"/>
      <color rgb="FF366092"/>
      <name val="Times New Roman"/>
      <family val="1"/>
    </font>
    <font>
      <b/>
      <i/>
      <sz val="16"/>
      <color rgb="FF366092"/>
      <name val="Times New Roman"/>
      <family val="1"/>
    </font>
    <font>
      <i/>
      <sz val="16"/>
      <color rgb="FF366092"/>
      <name val="Times New Roman"/>
      <family val="1"/>
    </font>
    <font>
      <b/>
      <i/>
      <sz val="14"/>
      <color rgb="FF366092"/>
      <name val="Times New Roman"/>
      <family val="1"/>
    </font>
    <font>
      <i/>
      <sz val="14"/>
      <color rgb="FF366092"/>
      <name val="Times New Roman"/>
      <family val="1"/>
    </font>
    <font>
      <b/>
      <i/>
      <sz val="20"/>
      <color rgb="FF366092"/>
      <name val="Times New Roman"/>
      <family val="1"/>
    </font>
    <font>
      <i/>
      <sz val="20"/>
      <color rgb="FF366092"/>
      <name val="Times New Roman"/>
      <family val="1"/>
    </font>
    <font>
      <b/>
      <i/>
      <sz val="14"/>
      <color rgb="FF366092"/>
      <name val="Times New Roman"/>
      <family val="1"/>
      <charset val="162"/>
    </font>
    <font>
      <i/>
      <sz val="14"/>
      <color rgb="FF366092"/>
      <name val="Times New Roman"/>
      <family val="1"/>
      <charset val="162"/>
    </font>
    <font>
      <b/>
      <i/>
      <sz val="11"/>
      <color rgb="FF366092"/>
      <name val="Times New Roman"/>
      <family val="1"/>
      <charset val="162"/>
    </font>
    <font>
      <i/>
      <sz val="11"/>
      <color rgb="FF366092"/>
      <name val="Times New Roman"/>
      <family val="1"/>
      <charset val="162"/>
    </font>
    <font>
      <i/>
      <sz val="17"/>
      <color theme="1"/>
      <name val="Times New Roman"/>
      <family val="1"/>
    </font>
    <font>
      <b/>
      <sz val="16"/>
      <color theme="0"/>
      <name val="Times New Roman"/>
      <family val="1"/>
      <charset val="162"/>
    </font>
    <font>
      <b/>
      <sz val="12"/>
      <color rgb="FF92D050"/>
      <name val="Times New Roman"/>
      <family val="1"/>
      <charset val="162"/>
    </font>
    <font>
      <b/>
      <i/>
      <sz val="11.5"/>
      <color theme="8" tint="-0.249977111117893"/>
      <name val="Times New Roman"/>
      <family val="1"/>
    </font>
    <font>
      <i/>
      <sz val="11.5"/>
      <color theme="8" tint="-0.249977111117893"/>
      <name val="Times New Roman"/>
      <family val="1"/>
    </font>
    <font>
      <b/>
      <sz val="10"/>
      <color rgb="FF366092"/>
      <name val="Times New Roman"/>
      <family val="1"/>
    </font>
    <font>
      <sz val="12"/>
      <color rgb="FF31869B"/>
      <name val="Times New Roman"/>
      <family val="1"/>
    </font>
    <font>
      <i/>
      <sz val="12"/>
      <color rgb="FF31869B"/>
      <name val="Times New Roman"/>
      <family val="1"/>
    </font>
    <font>
      <b/>
      <i/>
      <sz val="9"/>
      <color rgb="FF31869B"/>
      <name val="Times New Roman"/>
      <family val="1"/>
    </font>
    <font>
      <i/>
      <sz val="9"/>
      <color rgb="FF31869B"/>
      <name val="Times New Roman"/>
      <family val="1"/>
    </font>
    <font>
      <b/>
      <i/>
      <sz val="12"/>
      <color rgb="FF31869B"/>
      <name val="Times New Roman"/>
      <family val="1"/>
    </font>
    <font>
      <b/>
      <i/>
      <sz val="8"/>
      <color rgb="FF31869B"/>
      <name val="Times New Roman"/>
      <family val="1"/>
    </font>
    <font>
      <i/>
      <sz val="8"/>
      <color rgb="FF31869B"/>
      <name val="Times New Roman"/>
      <family val="1"/>
    </font>
    <font>
      <sz val="10"/>
      <name val="Arial"/>
      <family val="2"/>
    </font>
    <font>
      <b/>
      <sz val="18"/>
      <color rgb="FF2DAEAC"/>
      <name val="Times New Roman"/>
      <family val="1"/>
    </font>
    <font>
      <sz val="12"/>
      <color theme="8" tint="-0.249977111117893"/>
      <name val="Times New Roman"/>
      <family val="1"/>
      <charset val="162"/>
    </font>
    <font>
      <i/>
      <sz val="20"/>
      <color rgb="FF366092"/>
      <name val="Times New Roman"/>
      <family val="1"/>
      <charset val="162"/>
    </font>
    <font>
      <b/>
      <i/>
      <sz val="20"/>
      <color rgb="FF366092"/>
      <name val="Times New Roman"/>
      <family val="1"/>
      <charset val="162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  <font>
      <b/>
      <i/>
      <sz val="9"/>
      <color rgb="FF31869E"/>
      <name val="Times New Roman"/>
      <family val="1"/>
    </font>
    <font>
      <i/>
      <sz val="9"/>
      <color rgb="FF31869E"/>
      <name val="Times New Roman"/>
      <family val="1"/>
    </font>
    <font>
      <b/>
      <sz val="14"/>
      <color theme="0"/>
      <name val="Times New Roman"/>
      <family val="1"/>
      <charset val="162"/>
    </font>
    <font>
      <b/>
      <i/>
      <sz val="12"/>
      <color rgb="FF31869E"/>
      <name val="Times New Roman"/>
      <family val="1"/>
      <charset val="162"/>
    </font>
    <font>
      <i/>
      <sz val="12"/>
      <color rgb="FF31869E"/>
      <name val="Times New Roman"/>
      <family val="1"/>
      <charset val="162"/>
    </font>
    <font>
      <sz val="18"/>
      <color theme="1" tint="0.14999847407452621"/>
      <name val="Times New Roman"/>
      <family val="1"/>
    </font>
    <font>
      <sz val="12"/>
      <color theme="1"/>
      <name val="Times New Roman"/>
      <family val="2"/>
    </font>
    <font>
      <sz val="14"/>
      <color theme="1" tint="0.14999847407452621"/>
      <name val="Times New Roman"/>
      <family val="1"/>
    </font>
    <font>
      <sz val="14"/>
      <color theme="1"/>
      <name val="Times New Roman"/>
      <family val="1"/>
    </font>
    <font>
      <b/>
      <sz val="15"/>
      <color rgb="FF993333"/>
      <name val="Times New Roman"/>
      <family val="1"/>
    </font>
    <font>
      <b/>
      <sz val="12"/>
      <color theme="1"/>
      <name val="Calibri"/>
      <family val="2"/>
    </font>
    <font>
      <i/>
      <sz val="10"/>
      <color rgb="FF31869E"/>
      <name val="Times New Roman"/>
      <family val="1"/>
    </font>
    <font>
      <b/>
      <i/>
      <sz val="10"/>
      <color rgb="FF31869E"/>
      <name val="Times New Roman"/>
      <family val="1"/>
    </font>
    <font>
      <b/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2"/>
      <color theme="4" tint="-0.499984740745262"/>
      <name val="Times New Roman"/>
      <family val="1"/>
    </font>
    <font>
      <b/>
      <sz val="13"/>
      <color theme="1"/>
      <name val="Times New Roman"/>
      <family val="1"/>
    </font>
    <font>
      <sz val="20"/>
      <color rgb="FF366092"/>
      <name val="Times New Roman"/>
      <family val="1"/>
    </font>
    <font>
      <sz val="24"/>
      <color rgb="FF366092"/>
      <name val="Times New Roman"/>
      <family val="1"/>
    </font>
    <font>
      <b/>
      <sz val="18"/>
      <color theme="1"/>
      <name val="Palatino Linotype"/>
      <family val="1"/>
    </font>
    <font>
      <b/>
      <sz val="10"/>
      <color indexed="8"/>
      <name val="Times New Roman"/>
      <family val="1"/>
      <charset val="204"/>
    </font>
    <font>
      <b/>
      <i/>
      <sz val="17"/>
      <color theme="1"/>
      <name val="Times New Roman"/>
      <family val="1"/>
    </font>
    <font>
      <sz val="16"/>
      <color rgb="FF366092"/>
      <name val="Times New Roman"/>
      <family val="1"/>
      <charset val="162"/>
    </font>
    <font>
      <sz val="9"/>
      <color theme="8" tint="-0.499984740745262"/>
      <name val="Times New Roman"/>
      <family val="1"/>
    </font>
    <font>
      <b/>
      <i/>
      <sz val="16"/>
      <color theme="8" tint="-0.249977111117893"/>
      <name val="Times New Roman"/>
      <family val="1"/>
    </font>
    <font>
      <i/>
      <sz val="16"/>
      <color theme="8" tint="-0.249977111117893"/>
      <name val="Times New Roman"/>
      <family val="1"/>
    </font>
    <font>
      <b/>
      <sz val="12"/>
      <color theme="0"/>
      <name val="Times New Roman"/>
      <family val="1"/>
    </font>
    <font>
      <b/>
      <sz val="9"/>
      <color rgb="FF366092"/>
      <name val="Times New Roman"/>
      <family val="1"/>
      <charset val="162"/>
    </font>
    <font>
      <b/>
      <i/>
      <sz val="9"/>
      <color rgb="FF366092"/>
      <name val="Times New Roman"/>
      <family val="1"/>
    </font>
    <font>
      <i/>
      <sz val="9"/>
      <color rgb="FF366092"/>
      <name val="Times New Roman"/>
      <family val="1"/>
    </font>
    <font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2"/>
      <color rgb="FF366092"/>
      <name val="Times New Roman"/>
      <family val="1"/>
      <charset val="162"/>
    </font>
    <font>
      <b/>
      <sz val="26"/>
      <color rgb="FF366092"/>
      <name val="Times New Roman"/>
      <family val="1"/>
    </font>
    <font>
      <sz val="26"/>
      <color rgb="FF366092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i/>
      <sz val="15"/>
      <color theme="1"/>
      <name val="Times New Roman"/>
      <family val="1"/>
    </font>
    <font>
      <sz val="15"/>
      <color theme="1"/>
      <name val="Times New Roman"/>
      <family val="1"/>
    </font>
    <font>
      <sz val="15"/>
      <name val="Times New Roman"/>
      <family val="1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8"/>
      <name val="Arial"/>
      <family val="2"/>
    </font>
    <font>
      <b/>
      <sz val="12"/>
      <name val="Palatino Linotype"/>
      <family val="1"/>
    </font>
    <font>
      <b/>
      <i/>
      <sz val="16"/>
      <name val="Times New Roman"/>
      <family val="1"/>
    </font>
    <font>
      <i/>
      <sz val="16"/>
      <name val="Times New Roman"/>
      <family val="1"/>
    </font>
    <font>
      <sz val="16"/>
      <name val="Times New Roman"/>
      <family val="1"/>
    </font>
    <font>
      <sz val="8"/>
      <name val="Times New Roman"/>
      <family val="2"/>
    </font>
    <font>
      <i/>
      <sz val="13"/>
      <color theme="3"/>
      <name val="Palatino Linotype"/>
      <family val="1"/>
    </font>
    <font>
      <b/>
      <i/>
      <sz val="13"/>
      <color theme="3"/>
      <name val="Palatino Linotype"/>
      <family val="1"/>
    </font>
    <font>
      <i/>
      <sz val="13"/>
      <name val="Times New Roman"/>
      <family val="1"/>
    </font>
    <font>
      <b/>
      <i/>
      <sz val="9"/>
      <name val="Times New Roman"/>
      <family val="1"/>
      <charset val="162"/>
    </font>
    <font>
      <i/>
      <sz val="11"/>
      <name val="Times New Roman"/>
      <family val="1"/>
      <charset val="162"/>
    </font>
    <font>
      <sz val="9"/>
      <color indexed="8"/>
      <name val="Times New Roman"/>
      <family val="1"/>
      <charset val="162"/>
    </font>
    <font>
      <i/>
      <sz val="9"/>
      <name val="Times New Roman"/>
      <family val="1"/>
      <charset val="162"/>
    </font>
    <font>
      <b/>
      <i/>
      <sz val="8"/>
      <color theme="8" tint="-0.249977111117893"/>
      <name val="Times New Roman"/>
      <family val="1"/>
      <charset val="162"/>
    </font>
    <font>
      <i/>
      <sz val="8"/>
      <color theme="8" tint="-0.249977111117893"/>
      <name val="Times New Roman"/>
      <family val="1"/>
      <charset val="162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3F2EA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F6F9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1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2622">
    <xf numFmtId="0" fontId="0" fillId="0" borderId="0"/>
    <xf numFmtId="0" fontId="12" fillId="0" borderId="0"/>
    <xf numFmtId="0" fontId="59" fillId="0" borderId="0"/>
    <xf numFmtId="0" fontId="35" fillId="0" borderId="0"/>
    <xf numFmtId="165" fontId="40" fillId="0" borderId="0" applyFont="0" applyFill="0" applyBorder="0" applyAlignment="0" applyProtection="0"/>
    <xf numFmtId="180" fontId="59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39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75" fillId="0" borderId="0">
      <protection locked="0"/>
    </xf>
    <xf numFmtId="179" fontId="75" fillId="0" borderId="0">
      <protection locked="0"/>
    </xf>
    <xf numFmtId="0" fontId="76" fillId="0" borderId="0">
      <protection locked="0"/>
    </xf>
    <xf numFmtId="0" fontId="76" fillId="0" borderId="0">
      <protection locked="0"/>
    </xf>
    <xf numFmtId="0" fontId="77" fillId="0" borderId="0"/>
    <xf numFmtId="0" fontId="78" fillId="0" borderId="0"/>
    <xf numFmtId="0" fontId="78" fillId="0" borderId="0"/>
    <xf numFmtId="0" fontId="95" fillId="0" borderId="0"/>
    <xf numFmtId="0" fontId="39" fillId="0" borderId="0"/>
    <xf numFmtId="0" fontId="95" fillId="0" borderId="0"/>
    <xf numFmtId="0" fontId="96" fillId="0" borderId="0"/>
    <xf numFmtId="0" fontId="94" fillId="0" borderId="0"/>
    <xf numFmtId="0" fontId="95" fillId="0" borderId="0"/>
    <xf numFmtId="0" fontId="95" fillId="0" borderId="0"/>
    <xf numFmtId="0" fontId="95" fillId="0" borderId="0"/>
    <xf numFmtId="0" fontId="12" fillId="0" borderId="0"/>
    <xf numFmtId="0" fontId="35" fillId="0" borderId="0"/>
    <xf numFmtId="0" fontId="12" fillId="0" borderId="0"/>
    <xf numFmtId="0" fontId="35" fillId="0" borderId="0"/>
    <xf numFmtId="0" fontId="12" fillId="0" borderId="0"/>
    <xf numFmtId="0" fontId="38" fillId="0" borderId="0"/>
    <xf numFmtId="0" fontId="7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5" fillId="0" borderId="0"/>
    <xf numFmtId="0" fontId="35" fillId="0" borderId="0"/>
    <xf numFmtId="0" fontId="79" fillId="0" borderId="0"/>
    <xf numFmtId="9" fontId="9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6" fillId="0" borderId="0"/>
    <xf numFmtId="0" fontId="80" fillId="0" borderId="0"/>
    <xf numFmtId="0" fontId="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40" fillId="0" borderId="0"/>
    <xf numFmtId="9" fontId="140" fillId="0" borderId="0" applyFont="0" applyFill="0" applyBorder="0" applyAlignment="0" applyProtection="0"/>
    <xf numFmtId="0" fontId="140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0" fillId="0" borderId="0"/>
    <xf numFmtId="0" fontId="140" fillId="0" borderId="0"/>
    <xf numFmtId="0" fontId="38" fillId="0" borderId="0"/>
    <xf numFmtId="0" fontId="143" fillId="0" borderId="0"/>
    <xf numFmtId="169" fontId="143" fillId="0" borderId="0" applyFont="0" applyFill="0" applyBorder="0" applyAlignment="0" applyProtection="0"/>
    <xf numFmtId="0" fontId="143" fillId="0" borderId="0"/>
    <xf numFmtId="0" fontId="143" fillId="0" borderId="0"/>
    <xf numFmtId="0" fontId="143" fillId="0" borderId="0"/>
    <xf numFmtId="0" fontId="94" fillId="0" borderId="0"/>
    <xf numFmtId="0" fontId="93" fillId="0" borderId="0"/>
    <xf numFmtId="43" fontId="40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4" fillId="0" borderId="0" applyFont="0" applyFill="0" applyBorder="0" applyAlignment="0" applyProtection="0"/>
    <xf numFmtId="185" fontId="94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78" fillId="0" borderId="0"/>
    <xf numFmtId="169" fontId="12" fillId="0" borderId="0" applyFont="0" applyFill="0" applyBorder="0" applyAlignment="0" applyProtection="0"/>
    <xf numFmtId="0" fontId="3" fillId="0" borderId="0"/>
    <xf numFmtId="0" fontId="278" fillId="0" borderId="0"/>
    <xf numFmtId="0" fontId="3" fillId="0" borderId="0"/>
    <xf numFmtId="185" fontId="278" fillId="0" borderId="0" applyFont="0" applyFill="0" applyBorder="0" applyAlignment="0" applyProtection="0"/>
    <xf numFmtId="0" fontId="278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93" fillId="0" borderId="0" applyFont="0" applyFill="0" applyBorder="0" applyAlignment="0" applyProtection="0"/>
    <xf numFmtId="0" fontId="96" fillId="0" borderId="0"/>
    <xf numFmtId="165" fontId="94" fillId="0" borderId="0" applyFont="0" applyFill="0" applyBorder="0" applyAlignment="0" applyProtection="0"/>
    <xf numFmtId="165" fontId="94" fillId="0" borderId="0" applyFont="0" applyFill="0" applyBorder="0" applyAlignment="0" applyProtection="0"/>
    <xf numFmtId="0" fontId="325" fillId="0" borderId="0"/>
    <xf numFmtId="0" fontId="140" fillId="0" borderId="0"/>
    <xf numFmtId="0" fontId="140" fillId="0" borderId="0"/>
    <xf numFmtId="0" fontId="325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25" fillId="0" borderId="0"/>
    <xf numFmtId="0" fontId="325" fillId="0" borderId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59" fillId="0" borderId="0"/>
    <xf numFmtId="43" fontId="1" fillId="0" borderId="0" applyFont="0" applyFill="0" applyBorder="0" applyAlignment="0" applyProtection="0"/>
    <xf numFmtId="0" fontId="94" fillId="0" borderId="0"/>
    <xf numFmtId="0" fontId="94" fillId="0" borderId="0"/>
    <xf numFmtId="43" fontId="40" fillId="0" borderId="0" applyFont="0" applyFill="0" applyBorder="0" applyAlignment="0" applyProtection="0"/>
  </cellStyleXfs>
  <cellXfs count="2799">
    <xf numFmtId="0" fontId="0" fillId="0" borderId="0" xfId="0"/>
    <xf numFmtId="0" fontId="5" fillId="0" borderId="0" xfId="0" applyFont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6" fontId="9" fillId="0" borderId="0" xfId="28" applyNumberFormat="1" applyFont="1" applyAlignment="1">
      <alignment horizontal="center" vertical="center" wrapText="1"/>
    </xf>
    <xf numFmtId="0" fontId="9" fillId="0" borderId="0" xfId="28" applyFont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/>
    </xf>
    <xf numFmtId="166" fontId="9" fillId="0" borderId="0" xfId="28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13" fillId="0" borderId="0" xfId="36" applyFont="1" applyAlignment="1">
      <alignment vertical="center"/>
    </xf>
    <xf numFmtId="0" fontId="16" fillId="0" borderId="0" xfId="36" applyFont="1" applyAlignment="1">
      <alignment vertical="center"/>
    </xf>
    <xf numFmtId="0" fontId="18" fillId="0" borderId="0" xfId="36" applyFont="1" applyAlignment="1">
      <alignment vertical="center"/>
    </xf>
    <xf numFmtId="0" fontId="18" fillId="0" borderId="0" xfId="0" applyFont="1" applyAlignment="1">
      <alignment vertical="center"/>
    </xf>
    <xf numFmtId="0" fontId="9" fillId="0" borderId="5" xfId="36" applyFont="1" applyBorder="1" applyAlignment="1">
      <alignment horizontal="center" vertical="center"/>
    </xf>
    <xf numFmtId="0" fontId="9" fillId="0" borderId="2" xfId="36" applyFont="1" applyBorder="1" applyAlignment="1">
      <alignment horizontal="center" vertical="center"/>
    </xf>
    <xf numFmtId="0" fontId="24" fillId="0" borderId="2" xfId="36" applyFont="1" applyBorder="1" applyAlignment="1">
      <alignment horizontal="center" vertical="center"/>
    </xf>
    <xf numFmtId="166" fontId="9" fillId="0" borderId="5" xfId="36" applyNumberFormat="1" applyFont="1" applyBorder="1" applyAlignment="1">
      <alignment horizontal="center" vertical="center"/>
    </xf>
    <xf numFmtId="166" fontId="9" fillId="0" borderId="2" xfId="36" applyNumberFormat="1" applyFont="1" applyBorder="1" applyAlignment="1">
      <alignment horizontal="center" vertical="center"/>
    </xf>
    <xf numFmtId="166" fontId="25" fillId="0" borderId="0" xfId="36" quotePrefix="1" applyNumberFormat="1" applyFont="1" applyAlignment="1">
      <alignment horizontal="right" vertical="center"/>
    </xf>
    <xf numFmtId="166" fontId="24" fillId="0" borderId="0" xfId="36" quotePrefix="1" applyNumberFormat="1" applyFont="1" applyAlignment="1">
      <alignment horizontal="right" vertical="center"/>
    </xf>
    <xf numFmtId="166" fontId="25" fillId="0" borderId="0" xfId="36" applyNumberFormat="1" applyFont="1" applyAlignment="1">
      <alignment horizontal="right" vertical="center"/>
    </xf>
    <xf numFmtId="0" fontId="9" fillId="0" borderId="0" xfId="36" applyFont="1" applyAlignment="1">
      <alignment vertical="center"/>
    </xf>
    <xf numFmtId="166" fontId="4" fillId="0" borderId="0" xfId="0" applyNumberFormat="1" applyFont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166" fontId="21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23" fillId="0" borderId="0" xfId="36" applyFont="1" applyAlignment="1">
      <alignment vertical="center"/>
    </xf>
    <xf numFmtId="0" fontId="25" fillId="0" borderId="0" xfId="36" applyFont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166" fontId="4" fillId="0" borderId="1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7" fillId="0" borderId="0" xfId="0" applyFont="1"/>
    <xf numFmtId="166" fontId="97" fillId="0" borderId="0" xfId="0" applyNumberFormat="1" applyFont="1"/>
    <xf numFmtId="0" fontId="24" fillId="0" borderId="0" xfId="28" applyFont="1" applyAlignment="1">
      <alignment horizontal="center" vertical="center" wrapText="1"/>
    </xf>
    <xf numFmtId="2" fontId="9" fillId="0" borderId="0" xfId="28" applyNumberFormat="1" applyFont="1" applyAlignment="1">
      <alignment horizontal="center" vertical="center" wrapText="1"/>
    </xf>
    <xf numFmtId="0" fontId="24" fillId="0" borderId="0" xfId="28" applyFont="1" applyAlignment="1">
      <alignment horizontal="center" vertical="center"/>
    </xf>
    <xf numFmtId="0" fontId="9" fillId="0" borderId="0" xfId="28" applyFont="1" applyAlignment="1">
      <alignment horizontal="center" vertical="center"/>
    </xf>
    <xf numFmtId="0" fontId="24" fillId="0" borderId="7" xfId="28" applyFont="1" applyBorder="1" applyAlignment="1">
      <alignment horizontal="center" vertical="center" wrapText="1"/>
    </xf>
    <xf numFmtId="2" fontId="9" fillId="0" borderId="4" xfId="28" applyNumberFormat="1" applyFont="1" applyBorder="1" applyAlignment="1">
      <alignment horizontal="center" vertical="center" wrapText="1"/>
    </xf>
    <xf numFmtId="0" fontId="21" fillId="0" borderId="0" xfId="28" applyFont="1"/>
    <xf numFmtId="0" fontId="21" fillId="0" borderId="0" xfId="28" applyFont="1" applyAlignment="1">
      <alignment horizontal="center"/>
    </xf>
    <xf numFmtId="166" fontId="22" fillId="0" borderId="0" xfId="0" applyNumberFormat="1" applyFont="1" applyAlignment="1">
      <alignment horizontal="center" vertical="center"/>
    </xf>
    <xf numFmtId="166" fontId="49" fillId="0" borderId="0" xfId="0" applyNumberFormat="1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6" fontId="22" fillId="0" borderId="0" xfId="28" applyNumberFormat="1" applyFont="1" applyAlignment="1">
      <alignment vertical="center"/>
    </xf>
    <xf numFmtId="2" fontId="22" fillId="0" borderId="0" xfId="28" applyNumberFormat="1" applyFont="1" applyAlignment="1">
      <alignment vertical="center"/>
    </xf>
    <xf numFmtId="166" fontId="31" fillId="0" borderId="0" xfId="28" applyNumberFormat="1" applyFont="1"/>
    <xf numFmtId="0" fontId="31" fillId="0" borderId="0" xfId="28" applyFont="1"/>
    <xf numFmtId="0" fontId="31" fillId="0" borderId="0" xfId="0" applyFont="1"/>
    <xf numFmtId="0" fontId="34" fillId="0" borderId="0" xfId="28" applyFont="1"/>
    <xf numFmtId="2" fontId="31" fillId="0" borderId="0" xfId="28" applyNumberFormat="1" applyFont="1"/>
    <xf numFmtId="0" fontId="17" fillId="0" borderId="0" xfId="38" applyFont="1" applyAlignment="1">
      <alignment horizontal="center" vertical="center"/>
    </xf>
    <xf numFmtId="49" fontId="17" fillId="0" borderId="1" xfId="38" applyNumberFormat="1" applyFont="1" applyBorder="1" applyAlignment="1">
      <alignment horizontal="center" vertical="center"/>
    </xf>
    <xf numFmtId="49" fontId="17" fillId="0" borderId="2" xfId="38" applyNumberFormat="1" applyFont="1" applyBorder="1" applyAlignment="1">
      <alignment horizontal="center" vertical="center"/>
    </xf>
    <xf numFmtId="0" fontId="17" fillId="0" borderId="2" xfId="38" applyFont="1" applyBorder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66" fontId="16" fillId="0" borderId="0" xfId="0" applyNumberFormat="1" applyFont="1" applyAlignment="1">
      <alignment horizontal="right" vertical="center"/>
    </xf>
    <xf numFmtId="168" fontId="16" fillId="0" borderId="0" xfId="0" applyNumberFormat="1" applyFont="1" applyAlignment="1">
      <alignment horizontal="right" vertical="center"/>
    </xf>
    <xf numFmtId="168" fontId="16" fillId="0" borderId="4" xfId="0" applyNumberFormat="1" applyFont="1" applyBorder="1" applyAlignment="1">
      <alignment horizontal="right" vertical="center"/>
    </xf>
    <xf numFmtId="0" fontId="9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49" fontId="101" fillId="0" borderId="1" xfId="0" applyNumberFormat="1" applyFont="1" applyBorder="1" applyAlignment="1">
      <alignment horizontal="center" vertical="center"/>
    </xf>
    <xf numFmtId="49" fontId="101" fillId="0" borderId="2" xfId="0" applyNumberFormat="1" applyFont="1" applyBorder="1" applyAlignment="1">
      <alignment horizontal="center" vertical="center"/>
    </xf>
    <xf numFmtId="166" fontId="97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1" fillId="0" borderId="7" xfId="28" applyFont="1" applyBorder="1" applyAlignment="1">
      <alignment horizontal="center"/>
    </xf>
    <xf numFmtId="49" fontId="21" fillId="0" borderId="5" xfId="28" applyNumberFormat="1" applyFont="1" applyBorder="1" applyAlignment="1">
      <alignment horizontal="right"/>
    </xf>
    <xf numFmtId="0" fontId="21" fillId="0" borderId="5" xfId="28" applyFont="1" applyBorder="1" applyAlignment="1">
      <alignment horizontal="center"/>
    </xf>
    <xf numFmtId="166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49" fontId="5" fillId="0" borderId="5" xfId="38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6" fontId="4" fillId="0" borderId="4" xfId="0" applyNumberFormat="1" applyFont="1" applyBorder="1" applyAlignment="1">
      <alignment vertical="center"/>
    </xf>
    <xf numFmtId="166" fontId="4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66" fontId="5" fillId="0" borderId="4" xfId="0" applyNumberFormat="1" applyFont="1" applyBorder="1" applyAlignment="1">
      <alignment vertical="center"/>
    </xf>
    <xf numFmtId="166" fontId="22" fillId="0" borderId="6" xfId="0" applyNumberFormat="1" applyFont="1" applyBorder="1" applyAlignment="1">
      <alignment horizontal="center" vertical="center"/>
    </xf>
    <xf numFmtId="0" fontId="98" fillId="0" borderId="0" xfId="0" applyFont="1"/>
    <xf numFmtId="0" fontId="98" fillId="0" borderId="13" xfId="0" applyFont="1" applyBorder="1"/>
    <xf numFmtId="0" fontId="98" fillId="0" borderId="14" xfId="0" applyFont="1" applyBorder="1"/>
    <xf numFmtId="0" fontId="102" fillId="0" borderId="14" xfId="0" applyFont="1" applyBorder="1"/>
    <xf numFmtId="0" fontId="103" fillId="0" borderId="0" xfId="0" applyFont="1"/>
    <xf numFmtId="0" fontId="104" fillId="0" borderId="14" xfId="0" applyFont="1" applyBorder="1"/>
    <xf numFmtId="0" fontId="104" fillId="0" borderId="0" xfId="0" applyFont="1"/>
    <xf numFmtId="0" fontId="97" fillId="0" borderId="0" xfId="0" applyFont="1" applyAlignment="1">
      <alignment horizontal="center"/>
    </xf>
    <xf numFmtId="0" fontId="97" fillId="0" borderId="0" xfId="0" applyFont="1" applyAlignment="1">
      <alignment horizontal="left"/>
    </xf>
    <xf numFmtId="2" fontId="4" fillId="0" borderId="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7" fillId="0" borderId="0" xfId="0" applyFont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/>
    </xf>
    <xf numFmtId="0" fontId="98" fillId="0" borderId="0" xfId="0" applyFont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97" fillId="0" borderId="13" xfId="0" applyFont="1" applyBorder="1"/>
    <xf numFmtId="0" fontId="97" fillId="0" borderId="14" xfId="0" applyFont="1" applyBorder="1"/>
    <xf numFmtId="0" fontId="97" fillId="0" borderId="15" xfId="0" applyFont="1" applyBorder="1"/>
    <xf numFmtId="166" fontId="18" fillId="0" borderId="0" xfId="0" applyNumberFormat="1" applyFont="1" applyAlignment="1">
      <alignment vertical="center"/>
    </xf>
    <xf numFmtId="0" fontId="18" fillId="0" borderId="5" xfId="0" applyFont="1" applyBorder="1" applyAlignment="1">
      <alignment vertical="center"/>
    </xf>
    <xf numFmtId="49" fontId="28" fillId="0" borderId="5" xfId="0" applyNumberFormat="1" applyFont="1" applyBorder="1" applyAlignment="1">
      <alignment horizontal="right" vertical="center"/>
    </xf>
    <xf numFmtId="0" fontId="28" fillId="0" borderId="5" xfId="0" applyFont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/>
    </xf>
    <xf numFmtId="166" fontId="4" fillId="0" borderId="12" xfId="0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21" fillId="0" borderId="0" xfId="28" applyFont="1" applyAlignment="1">
      <alignment horizontal="center" vertical="center" wrapText="1"/>
    </xf>
    <xf numFmtId="166" fontId="21" fillId="0" borderId="0" xfId="28" applyNumberFormat="1" applyFont="1" applyAlignment="1">
      <alignment horizontal="center" vertical="center" wrapText="1"/>
    </xf>
    <xf numFmtId="2" fontId="21" fillId="0" borderId="0" xfId="28" applyNumberFormat="1" applyFont="1" applyAlignment="1">
      <alignment horizontal="center" vertical="center" wrapText="1"/>
    </xf>
    <xf numFmtId="2" fontId="21" fillId="0" borderId="4" xfId="28" applyNumberFormat="1" applyFont="1" applyBorder="1" applyAlignment="1">
      <alignment horizontal="center" vertical="center" wrapText="1"/>
    </xf>
    <xf numFmtId="166" fontId="21" fillId="0" borderId="0" xfId="28" applyNumberFormat="1" applyFont="1" applyAlignment="1">
      <alignment horizontal="center" vertical="center"/>
    </xf>
    <xf numFmtId="2" fontId="21" fillId="0" borderId="0" xfId="28" applyNumberFormat="1" applyFont="1" applyAlignment="1">
      <alignment horizontal="center" vertical="center"/>
    </xf>
    <xf numFmtId="49" fontId="24" fillId="0" borderId="5" xfId="28" applyNumberFormat="1" applyFont="1" applyBorder="1" applyAlignment="1">
      <alignment horizontal="center" vertical="center"/>
    </xf>
    <xf numFmtId="166" fontId="4" fillId="0" borderId="8" xfId="0" applyNumberFormat="1" applyFont="1" applyBorder="1" applyAlignment="1">
      <alignment vertical="center"/>
    </xf>
    <xf numFmtId="0" fontId="9" fillId="0" borderId="0" xfId="28" applyFont="1" applyAlignment="1">
      <alignment vertical="center"/>
    </xf>
    <xf numFmtId="0" fontId="24" fillId="0" borderId="0" xfId="28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28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1" fontId="21" fillId="0" borderId="0" xfId="0" applyNumberFormat="1" applyFont="1" applyAlignment="1">
      <alignment vertical="center"/>
    </xf>
    <xf numFmtId="2" fontId="22" fillId="0" borderId="0" xfId="0" applyNumberFormat="1" applyFont="1" applyAlignment="1">
      <alignment vertical="center"/>
    </xf>
    <xf numFmtId="167" fontId="22" fillId="0" borderId="0" xfId="0" applyNumberFormat="1" applyFont="1" applyAlignment="1">
      <alignment vertical="center"/>
    </xf>
    <xf numFmtId="168" fontId="22" fillId="0" borderId="0" xfId="0" applyNumberFormat="1" applyFont="1" applyAlignment="1">
      <alignment vertical="center"/>
    </xf>
    <xf numFmtId="166" fontId="21" fillId="0" borderId="0" xfId="0" applyNumberFormat="1" applyFont="1" applyAlignment="1">
      <alignment horizontal="center" vertical="center"/>
    </xf>
    <xf numFmtId="166" fontId="56" fillId="0" borderId="0" xfId="0" applyNumberFormat="1" applyFont="1" applyAlignment="1">
      <alignment horizontal="center" vertical="center"/>
    </xf>
    <xf numFmtId="0" fontId="18" fillId="0" borderId="0" xfId="38" applyFont="1" applyAlignment="1">
      <alignment vertical="center"/>
    </xf>
    <xf numFmtId="0" fontId="18" fillId="0" borderId="0" xfId="38" applyFont="1" applyAlignment="1">
      <alignment horizontal="center" vertical="center"/>
    </xf>
    <xf numFmtId="0" fontId="17" fillId="0" borderId="0" xfId="38" applyFont="1" applyAlignment="1">
      <alignment vertical="center"/>
    </xf>
    <xf numFmtId="0" fontId="18" fillId="0" borderId="0" xfId="38" applyFont="1" applyAlignment="1">
      <alignment horizontal="center" vertical="center" wrapText="1"/>
    </xf>
    <xf numFmtId="168" fontId="18" fillId="0" borderId="0" xfId="38" applyNumberFormat="1" applyFont="1" applyAlignment="1">
      <alignment vertical="center"/>
    </xf>
    <xf numFmtId="0" fontId="17" fillId="0" borderId="2" xfId="38" applyFont="1" applyBorder="1" applyAlignment="1">
      <alignment vertical="center"/>
    </xf>
    <xf numFmtId="49" fontId="17" fillId="0" borderId="2" xfId="38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173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49" fontId="4" fillId="0" borderId="0" xfId="38" applyNumberFormat="1" applyFont="1" applyAlignment="1">
      <alignment horizontal="right" vertical="center"/>
    </xf>
    <xf numFmtId="0" fontId="4" fillId="0" borderId="0" xfId="38" applyFont="1" applyAlignment="1">
      <alignment vertical="center"/>
    </xf>
    <xf numFmtId="4" fontId="4" fillId="0" borderId="0" xfId="38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8" fontId="13" fillId="0" borderId="0" xfId="0" applyNumberFormat="1" applyFont="1" applyAlignment="1">
      <alignment horizontal="center" vertical="center"/>
    </xf>
    <xf numFmtId="168" fontId="13" fillId="0" borderId="0" xfId="0" applyNumberFormat="1" applyFont="1" applyAlignment="1">
      <alignment vertical="center"/>
    </xf>
    <xf numFmtId="0" fontId="13" fillId="0" borderId="0" xfId="0" applyFont="1" applyAlignment="1" applyProtection="1">
      <alignment horizontal="center" vertical="center"/>
      <protection locked="0"/>
    </xf>
    <xf numFmtId="168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9" fontId="13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2" fontId="18" fillId="0" borderId="4" xfId="0" applyNumberFormat="1" applyFont="1" applyBorder="1" applyAlignment="1">
      <alignment vertical="center"/>
    </xf>
    <xf numFmtId="166" fontId="18" fillId="0" borderId="0" xfId="0" applyNumberFormat="1" applyFont="1" applyAlignment="1">
      <alignment horizontal="right" vertical="center"/>
    </xf>
    <xf numFmtId="166" fontId="18" fillId="0" borderId="5" xfId="0" applyNumberFormat="1" applyFont="1" applyBorder="1" applyAlignment="1">
      <alignment vertical="center"/>
    </xf>
    <xf numFmtId="166" fontId="97" fillId="0" borderId="5" xfId="0" applyNumberFormat="1" applyFont="1" applyBorder="1" applyAlignment="1">
      <alignment vertical="center"/>
    </xf>
    <xf numFmtId="166" fontId="97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166" fontId="22" fillId="0" borderId="2" xfId="0" applyNumberFormat="1" applyFont="1" applyBorder="1" applyAlignment="1">
      <alignment horizontal="center" vertical="center"/>
    </xf>
    <xf numFmtId="2" fontId="21" fillId="0" borderId="0" xfId="28" applyNumberFormat="1" applyFont="1" applyAlignment="1">
      <alignment vertical="center"/>
    </xf>
    <xf numFmtId="0" fontId="22" fillId="0" borderId="9" xfId="0" applyFont="1" applyBorder="1" applyAlignment="1">
      <alignment horizontal="center" vertical="center" wrapText="1"/>
    </xf>
    <xf numFmtId="0" fontId="36" fillId="3" borderId="0" xfId="0" applyFont="1" applyFill="1"/>
    <xf numFmtId="0" fontId="36" fillId="3" borderId="22" xfId="0" applyFont="1" applyFill="1" applyBorder="1" applyAlignment="1">
      <alignment horizontal="center"/>
    </xf>
    <xf numFmtId="0" fontId="36" fillId="3" borderId="24" xfId="0" applyFont="1" applyFill="1" applyBorder="1" applyAlignment="1">
      <alignment horizontal="center"/>
    </xf>
    <xf numFmtId="0" fontId="10" fillId="3" borderId="30" xfId="0" applyFont="1" applyFill="1" applyBorder="1"/>
    <xf numFmtId="0" fontId="37" fillId="3" borderId="13" xfId="0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/>
    </xf>
    <xf numFmtId="2" fontId="37" fillId="3" borderId="13" xfId="0" applyNumberFormat="1" applyFont="1" applyFill="1" applyBorder="1" applyAlignment="1">
      <alignment horizontal="center"/>
    </xf>
    <xf numFmtId="2" fontId="36" fillId="3" borderId="31" xfId="0" applyNumberFormat="1" applyFont="1" applyFill="1" applyBorder="1" applyAlignment="1">
      <alignment horizontal="center"/>
    </xf>
    <xf numFmtId="2" fontId="36" fillId="3" borderId="24" xfId="0" applyNumberFormat="1" applyFont="1" applyFill="1" applyBorder="1" applyAlignment="1">
      <alignment horizontal="center"/>
    </xf>
    <xf numFmtId="0" fontId="37" fillId="3" borderId="14" xfId="0" applyFont="1" applyFill="1" applyBorder="1" applyAlignment="1">
      <alignment horizontal="center"/>
    </xf>
    <xf numFmtId="2" fontId="37" fillId="3" borderId="0" xfId="0" applyNumberFormat="1" applyFont="1" applyFill="1" applyAlignment="1">
      <alignment horizontal="center"/>
    </xf>
    <xf numFmtId="2" fontId="37" fillId="3" borderId="24" xfId="0" applyNumberFormat="1" applyFont="1" applyFill="1" applyBorder="1" applyAlignment="1">
      <alignment horizontal="center"/>
    </xf>
    <xf numFmtId="2" fontId="37" fillId="3" borderId="14" xfId="0" applyNumberFormat="1" applyFont="1" applyFill="1" applyBorder="1" applyAlignment="1">
      <alignment horizontal="center"/>
    </xf>
    <xf numFmtId="2" fontId="37" fillId="3" borderId="32" xfId="0" applyNumberFormat="1" applyFont="1" applyFill="1" applyBorder="1" applyAlignment="1">
      <alignment horizontal="center"/>
    </xf>
    <xf numFmtId="2" fontId="36" fillId="3" borderId="14" xfId="0" applyNumberFormat="1" applyFont="1" applyFill="1" applyBorder="1" applyAlignment="1">
      <alignment horizontal="center"/>
    </xf>
    <xf numFmtId="2" fontId="36" fillId="3" borderId="0" xfId="0" applyNumberFormat="1" applyFont="1" applyFill="1" applyAlignment="1">
      <alignment horizontal="center"/>
    </xf>
    <xf numFmtId="0" fontId="6" fillId="3" borderId="30" xfId="0" applyFont="1" applyFill="1" applyBorder="1"/>
    <xf numFmtId="0" fontId="36" fillId="3" borderId="14" xfId="0" applyFont="1" applyFill="1" applyBorder="1"/>
    <xf numFmtId="0" fontId="36" fillId="3" borderId="0" xfId="0" applyFont="1" applyFill="1" applyAlignment="1">
      <alignment horizontal="center"/>
    </xf>
    <xf numFmtId="0" fontId="36" fillId="3" borderId="14" xfId="0" applyFont="1" applyFill="1" applyBorder="1" applyAlignment="1">
      <alignment horizontal="center"/>
    </xf>
    <xf numFmtId="0" fontId="36" fillId="3" borderId="16" xfId="0" applyFont="1" applyFill="1" applyBorder="1"/>
    <xf numFmtId="2" fontId="32" fillId="3" borderId="14" xfId="0" applyNumberFormat="1" applyFont="1" applyFill="1" applyBorder="1" applyAlignment="1">
      <alignment horizontal="center"/>
    </xf>
    <xf numFmtId="2" fontId="32" fillId="3" borderId="0" xfId="0" applyNumberFormat="1" applyFont="1" applyFill="1" applyAlignment="1">
      <alignment horizontal="center"/>
    </xf>
    <xf numFmtId="2" fontId="32" fillId="3" borderId="24" xfId="0" applyNumberFormat="1" applyFont="1" applyFill="1" applyBorder="1" applyAlignment="1">
      <alignment horizontal="center"/>
    </xf>
    <xf numFmtId="0" fontId="36" fillId="3" borderId="15" xfId="0" applyFont="1" applyFill="1" applyBorder="1"/>
    <xf numFmtId="0" fontId="6" fillId="3" borderId="0" xfId="0" applyFont="1" applyFill="1"/>
    <xf numFmtId="2" fontId="97" fillId="0" borderId="2" xfId="0" applyNumberFormat="1" applyFont="1" applyBorder="1" applyAlignment="1">
      <alignment horizontal="right" vertical="center"/>
    </xf>
    <xf numFmtId="2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center"/>
    </xf>
    <xf numFmtId="166" fontId="4" fillId="0" borderId="0" xfId="0" applyNumberFormat="1" applyFont="1"/>
    <xf numFmtId="4" fontId="9" fillId="0" borderId="0" xfId="28" applyNumberFormat="1" applyFont="1" applyAlignment="1">
      <alignment horizontal="center" vertical="center" wrapText="1"/>
    </xf>
    <xf numFmtId="166" fontId="9" fillId="0" borderId="0" xfId="28" applyNumberFormat="1" applyFont="1" applyAlignment="1">
      <alignment vertical="center"/>
    </xf>
    <xf numFmtId="0" fontId="4" fillId="4" borderId="0" xfId="0" applyFont="1" applyFill="1" applyAlignment="1">
      <alignment vertical="center"/>
    </xf>
    <xf numFmtId="2" fontId="37" fillId="0" borderId="0" xfId="0" applyNumberFormat="1" applyFont="1" applyAlignment="1">
      <alignment horizontal="center"/>
    </xf>
    <xf numFmtId="166" fontId="25" fillId="0" borderId="4" xfId="36" applyNumberFormat="1" applyFont="1" applyBorder="1" applyAlignment="1">
      <alignment horizontal="right" vertical="center"/>
    </xf>
    <xf numFmtId="166" fontId="25" fillId="4" borderId="19" xfId="36" applyNumberFormat="1" applyFont="1" applyFill="1" applyBorder="1" applyAlignment="1">
      <alignment horizontal="right" vertical="center"/>
    </xf>
    <xf numFmtId="166" fontId="25" fillId="4" borderId="0" xfId="36" applyNumberFormat="1" applyFont="1" applyFill="1" applyAlignment="1">
      <alignment horizontal="right" vertical="center"/>
    </xf>
    <xf numFmtId="0" fontId="98" fillId="4" borderId="0" xfId="0" applyFont="1" applyFill="1" applyAlignment="1">
      <alignment vertical="center"/>
    </xf>
    <xf numFmtId="49" fontId="17" fillId="0" borderId="5" xfId="38" applyNumberFormat="1" applyFont="1" applyBorder="1" applyAlignment="1">
      <alignment horizontal="center" vertical="center"/>
    </xf>
    <xf numFmtId="166" fontId="25" fillId="4" borderId="18" xfId="36" applyNumberFormat="1" applyFont="1" applyFill="1" applyBorder="1" applyAlignment="1">
      <alignment horizontal="right" vertical="center"/>
    </xf>
    <xf numFmtId="0" fontId="28" fillId="0" borderId="6" xfId="38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18" fillId="4" borderId="0" xfId="38" applyFont="1" applyFill="1" applyAlignment="1">
      <alignment vertical="center"/>
    </xf>
    <xf numFmtId="0" fontId="22" fillId="4" borderId="0" xfId="0" applyFont="1" applyFill="1" applyAlignment="1">
      <alignment vertical="center"/>
    </xf>
    <xf numFmtId="0" fontId="31" fillId="4" borderId="0" xfId="28" applyFont="1" applyFill="1"/>
    <xf numFmtId="0" fontId="0" fillId="4" borderId="0" xfId="0" applyFill="1" applyAlignment="1">
      <alignment vertical="center"/>
    </xf>
    <xf numFmtId="0" fontId="4" fillId="4" borderId="0" xfId="0" applyFont="1" applyFill="1" applyAlignment="1">
      <alignment horizontal="center" vertical="center" wrapText="1"/>
    </xf>
    <xf numFmtId="168" fontId="18" fillId="0" borderId="5" xfId="38" applyNumberFormat="1" applyFont="1" applyBorder="1" applyAlignment="1">
      <alignment horizontal="center" vertical="center"/>
    </xf>
    <xf numFmtId="168" fontId="18" fillId="0" borderId="2" xfId="38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97" fillId="0" borderId="2" xfId="0" applyNumberFormat="1" applyFont="1" applyBorder="1" applyAlignment="1">
      <alignment horizontal="center" vertical="center"/>
    </xf>
    <xf numFmtId="2" fontId="97" fillId="0" borderId="2" xfId="0" applyNumberFormat="1" applyFont="1" applyBorder="1" applyAlignment="1">
      <alignment horizontal="center" vertical="center"/>
    </xf>
    <xf numFmtId="166" fontId="31" fillId="0" borderId="0" xfId="28" applyNumberFormat="1" applyFont="1" applyAlignment="1">
      <alignment horizontal="center"/>
    </xf>
    <xf numFmtId="166" fontId="21" fillId="0" borderId="12" xfId="28" applyNumberFormat="1" applyFont="1" applyBorder="1" applyAlignment="1">
      <alignment horizontal="center"/>
    </xf>
    <xf numFmtId="166" fontId="21" fillId="0" borderId="8" xfId="28" applyNumberFormat="1" applyFont="1" applyBorder="1" applyAlignment="1">
      <alignment horizontal="center"/>
    </xf>
    <xf numFmtId="166" fontId="31" fillId="0" borderId="4" xfId="28" applyNumberFormat="1" applyFont="1" applyBorder="1" applyAlignment="1">
      <alignment horizontal="center"/>
    </xf>
    <xf numFmtId="166" fontId="21" fillId="0" borderId="0" xfId="28" applyNumberFormat="1" applyFont="1" applyAlignment="1">
      <alignment horizontal="center"/>
    </xf>
    <xf numFmtId="166" fontId="21" fillId="0" borderId="4" xfId="28" applyNumberFormat="1" applyFont="1" applyBorder="1" applyAlignment="1">
      <alignment horizontal="center"/>
    </xf>
    <xf numFmtId="168" fontId="17" fillId="0" borderId="1" xfId="38" applyNumberFormat="1" applyFont="1" applyBorder="1" applyAlignment="1">
      <alignment horizontal="center" vertical="center"/>
    </xf>
    <xf numFmtId="168" fontId="17" fillId="0" borderId="7" xfId="38" applyNumberFormat="1" applyFont="1" applyBorder="1" applyAlignment="1">
      <alignment horizontal="center" vertical="center"/>
    </xf>
    <xf numFmtId="168" fontId="17" fillId="0" borderId="2" xfId="38" applyNumberFormat="1" applyFont="1" applyBorder="1" applyAlignment="1">
      <alignment horizontal="center" vertical="center"/>
    </xf>
    <xf numFmtId="168" fontId="17" fillId="0" borderId="5" xfId="38" applyNumberFormat="1" applyFont="1" applyBorder="1" applyAlignment="1">
      <alignment horizontal="center" vertical="center"/>
    </xf>
    <xf numFmtId="0" fontId="17" fillId="0" borderId="5" xfId="38" applyFont="1" applyBorder="1" applyAlignment="1">
      <alignment horizontal="center" vertical="center"/>
    </xf>
    <xf numFmtId="168" fontId="5" fillId="0" borderId="2" xfId="38" applyNumberFormat="1" applyFont="1" applyBorder="1" applyAlignment="1">
      <alignment horizontal="center" vertical="center"/>
    </xf>
    <xf numFmtId="168" fontId="5" fillId="0" borderId="5" xfId="38" applyNumberFormat="1" applyFont="1" applyBorder="1" applyAlignment="1">
      <alignment horizontal="center" vertical="center"/>
    </xf>
    <xf numFmtId="0" fontId="5" fillId="0" borderId="0" xfId="38" applyFont="1" applyAlignment="1">
      <alignment horizontal="center" vertical="center"/>
    </xf>
    <xf numFmtId="168" fontId="5" fillId="0" borderId="0" xfId="38" applyNumberFormat="1" applyFont="1" applyAlignment="1">
      <alignment horizontal="center" vertical="center"/>
    </xf>
    <xf numFmtId="168" fontId="18" fillId="0" borderId="4" xfId="38" applyNumberFormat="1" applyFont="1" applyBorder="1" applyAlignment="1">
      <alignment horizontal="center" vertical="center"/>
    </xf>
    <xf numFmtId="168" fontId="18" fillId="0" borderId="0" xfId="38" applyNumberFormat="1" applyFont="1" applyAlignment="1">
      <alignment horizontal="center" vertical="center"/>
    </xf>
    <xf numFmtId="168" fontId="28" fillId="0" borderId="2" xfId="38" applyNumberFormat="1" applyFont="1" applyBorder="1" applyAlignment="1">
      <alignment horizontal="center"/>
    </xf>
    <xf numFmtId="168" fontId="28" fillId="3" borderId="2" xfId="38" applyNumberFormat="1" applyFont="1" applyFill="1" applyBorder="1" applyAlignment="1">
      <alignment horizontal="center"/>
    </xf>
    <xf numFmtId="166" fontId="16" fillId="0" borderId="0" xfId="0" applyNumberFormat="1" applyFont="1" applyAlignment="1">
      <alignment horizontal="center" vertical="center"/>
    </xf>
    <xf numFmtId="168" fontId="16" fillId="0" borderId="0" xfId="0" applyNumberFormat="1" applyFont="1" applyAlignment="1">
      <alignment horizontal="center" vertical="center"/>
    </xf>
    <xf numFmtId="168" fontId="16" fillId="0" borderId="4" xfId="0" applyNumberFormat="1" applyFont="1" applyBorder="1" applyAlignment="1">
      <alignment horizontal="center" vertical="center"/>
    </xf>
    <xf numFmtId="166" fontId="17" fillId="0" borderId="2" xfId="0" applyNumberFormat="1" applyFont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 vertical="center"/>
    </xf>
    <xf numFmtId="166" fontId="109" fillId="0" borderId="1" xfId="0" applyNumberFormat="1" applyFont="1" applyBorder="1" applyAlignment="1">
      <alignment horizontal="center" vertical="center"/>
    </xf>
    <xf numFmtId="166" fontId="109" fillId="0" borderId="2" xfId="0" applyNumberFormat="1" applyFont="1" applyBorder="1" applyAlignment="1">
      <alignment horizontal="center" vertical="center"/>
    </xf>
    <xf numFmtId="2" fontId="109" fillId="0" borderId="2" xfId="0" applyNumberFormat="1" applyFont="1" applyBorder="1" applyAlignment="1">
      <alignment horizontal="center" vertical="center"/>
    </xf>
    <xf numFmtId="166" fontId="98" fillId="0" borderId="0" xfId="0" applyNumberFormat="1" applyFont="1"/>
    <xf numFmtId="166" fontId="110" fillId="4" borderId="0" xfId="0" applyNumberFormat="1" applyFont="1" applyFill="1" applyAlignment="1">
      <alignment horizontal="center" vertical="center"/>
    </xf>
    <xf numFmtId="0" fontId="5" fillId="0" borderId="0" xfId="38" applyFont="1" applyAlignment="1">
      <alignment vertical="center"/>
    </xf>
    <xf numFmtId="0" fontId="36" fillId="4" borderId="0" xfId="0" applyFont="1" applyFill="1"/>
    <xf numFmtId="49" fontId="5" fillId="0" borderId="2" xfId="38" applyNumberFormat="1" applyFont="1" applyBorder="1" applyAlignment="1">
      <alignment horizontal="center" vertical="center"/>
    </xf>
    <xf numFmtId="166" fontId="18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61" fillId="0" borderId="0" xfId="0" applyNumberFormat="1" applyFont="1" applyAlignment="1">
      <alignment horizontal="center" vertical="center"/>
    </xf>
    <xf numFmtId="166" fontId="63" fillId="0" borderId="0" xfId="0" applyNumberFormat="1" applyFont="1" applyAlignment="1">
      <alignment horizontal="center" vertical="center"/>
    </xf>
    <xf numFmtId="0" fontId="111" fillId="0" borderId="0" xfId="0" applyFont="1" applyAlignment="1">
      <alignment horizontal="center"/>
    </xf>
    <xf numFmtId="166" fontId="65" fillId="0" borderId="0" xfId="0" applyNumberFormat="1" applyFont="1" applyAlignment="1">
      <alignment horizontal="center" vertical="center"/>
    </xf>
    <xf numFmtId="166" fontId="66" fillId="0" borderId="0" xfId="0" applyNumberFormat="1" applyFont="1" applyAlignment="1">
      <alignment horizontal="center" vertical="center"/>
    </xf>
    <xf numFmtId="0" fontId="73" fillId="0" borderId="0" xfId="0" applyFont="1" applyAlignment="1">
      <alignment horizontal="center"/>
    </xf>
    <xf numFmtId="3" fontId="5" fillId="4" borderId="4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Border="1"/>
    <xf numFmtId="3" fontId="5" fillId="4" borderId="19" xfId="0" applyNumberFormat="1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3" borderId="0" xfId="0" applyFont="1" applyFill="1"/>
    <xf numFmtId="0" fontId="5" fillId="0" borderId="0" xfId="28" applyFont="1"/>
    <xf numFmtId="0" fontId="5" fillId="0" borderId="0" xfId="28" applyFont="1" applyAlignment="1">
      <alignment vertical="center"/>
    </xf>
    <xf numFmtId="0" fontId="5" fillId="0" borderId="0" xfId="28" applyFont="1" applyAlignment="1">
      <alignment horizontal="center" vertical="center" wrapText="1"/>
    </xf>
    <xf numFmtId="0" fontId="5" fillId="0" borderId="0" xfId="36" applyFont="1" applyAlignment="1">
      <alignment vertical="center"/>
    </xf>
    <xf numFmtId="0" fontId="5" fillId="4" borderId="0" xfId="0" applyFont="1" applyFill="1"/>
    <xf numFmtId="0" fontId="97" fillId="4" borderId="0" xfId="0" applyFont="1" applyFill="1"/>
    <xf numFmtId="0" fontId="5" fillId="4" borderId="0" xfId="0" applyFont="1" applyFill="1" applyAlignment="1">
      <alignment vertical="center"/>
    </xf>
    <xf numFmtId="0" fontId="97" fillId="4" borderId="0" xfId="0" applyFont="1" applyFill="1" applyAlignment="1">
      <alignment vertical="center"/>
    </xf>
    <xf numFmtId="0" fontId="21" fillId="4" borderId="0" xfId="0" applyFont="1" applyFill="1" applyAlignment="1">
      <alignment vertical="center"/>
    </xf>
    <xf numFmtId="0" fontId="103" fillId="4" borderId="0" xfId="0" applyFont="1" applyFill="1"/>
    <xf numFmtId="0" fontId="104" fillId="4" borderId="0" xfId="0" applyFont="1" applyFill="1"/>
    <xf numFmtId="0" fontId="5" fillId="4" borderId="0" xfId="28" applyFont="1" applyFill="1"/>
    <xf numFmtId="0" fontId="34" fillId="4" borderId="0" xfId="28" applyFont="1" applyFill="1"/>
    <xf numFmtId="0" fontId="5" fillId="4" borderId="0" xfId="28" applyFont="1" applyFill="1" applyAlignment="1">
      <alignment vertical="center"/>
    </xf>
    <xf numFmtId="0" fontId="5" fillId="4" borderId="0" xfId="0" applyFont="1" applyFill="1" applyAlignment="1">
      <alignment horizontal="center" vertical="center" wrapText="1"/>
    </xf>
    <xf numFmtId="0" fontId="97" fillId="4" borderId="0" xfId="0" applyFont="1" applyFill="1" applyAlignment="1">
      <alignment horizontal="center" vertical="center" wrapText="1"/>
    </xf>
    <xf numFmtId="0" fontId="24" fillId="4" borderId="0" xfId="28" applyFont="1" applyFill="1" applyAlignment="1">
      <alignment vertical="center"/>
    </xf>
    <xf numFmtId="0" fontId="9" fillId="4" borderId="0" xfId="28" applyFont="1" applyFill="1" applyAlignment="1">
      <alignment vertical="center"/>
    </xf>
    <xf numFmtId="0" fontId="17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vertical="center"/>
    </xf>
    <xf numFmtId="0" fontId="5" fillId="4" borderId="0" xfId="28" applyFont="1" applyFill="1" applyAlignment="1">
      <alignment horizontal="center" vertical="center" wrapText="1"/>
    </xf>
    <xf numFmtId="0" fontId="9" fillId="4" borderId="0" xfId="28" applyFont="1" applyFill="1" applyAlignment="1">
      <alignment horizontal="center" vertical="center" wrapText="1"/>
    </xf>
    <xf numFmtId="0" fontId="5" fillId="4" borderId="0" xfId="36" applyFont="1" applyFill="1" applyAlignment="1">
      <alignment vertical="center"/>
    </xf>
    <xf numFmtId="0" fontId="16" fillId="4" borderId="0" xfId="36" applyFont="1" applyFill="1" applyAlignment="1">
      <alignment vertical="center"/>
    </xf>
    <xf numFmtId="0" fontId="18" fillId="4" borderId="0" xfId="36" applyFont="1" applyFill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66" fontId="9" fillId="0" borderId="0" xfId="36" applyNumberFormat="1" applyFont="1" applyAlignment="1">
      <alignment vertical="center"/>
    </xf>
    <xf numFmtId="0" fontId="0" fillId="0" borderId="0" xfId="0" applyAlignment="1">
      <alignment horizontal="center"/>
    </xf>
    <xf numFmtId="0" fontId="83" fillId="0" borderId="0" xfId="28" applyFont="1" applyAlignment="1">
      <alignment vertical="center"/>
    </xf>
    <xf numFmtId="0" fontId="36" fillId="3" borderId="0" xfId="0" applyFont="1" applyFill="1" applyAlignment="1">
      <alignment horizontal="left" vertical="center"/>
    </xf>
    <xf numFmtId="0" fontId="114" fillId="0" borderId="0" xfId="0" applyFont="1" applyAlignment="1">
      <alignment vertical="center"/>
    </xf>
    <xf numFmtId="0" fontId="11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5" fillId="0" borderId="0" xfId="38" applyAlignment="1">
      <alignment vertical="center"/>
    </xf>
    <xf numFmtId="0" fontId="48" fillId="0" borderId="0" xfId="38" applyFont="1" applyAlignment="1">
      <alignment vertical="center"/>
    </xf>
    <xf numFmtId="0" fontId="5" fillId="4" borderId="0" xfId="38" applyFont="1" applyFill="1" applyAlignment="1">
      <alignment vertical="center"/>
    </xf>
    <xf numFmtId="0" fontId="48" fillId="4" borderId="0" xfId="38" applyFont="1" applyFill="1" applyAlignment="1">
      <alignment vertical="center"/>
    </xf>
    <xf numFmtId="0" fontId="35" fillId="4" borderId="0" xfId="38" applyFill="1" applyAlignment="1">
      <alignment vertical="center"/>
    </xf>
    <xf numFmtId="14" fontId="28" fillId="0" borderId="1" xfId="38" applyNumberFormat="1" applyFont="1" applyBorder="1" applyAlignment="1">
      <alignment horizontal="center" vertical="center"/>
    </xf>
    <xf numFmtId="0" fontId="28" fillId="0" borderId="1" xfId="38" applyFont="1" applyBorder="1" applyAlignment="1">
      <alignment horizontal="center" vertical="center"/>
    </xf>
    <xf numFmtId="1" fontId="28" fillId="0" borderId="1" xfId="38" applyNumberFormat="1" applyFont="1" applyBorder="1" applyAlignment="1">
      <alignment horizontal="center" vertical="center"/>
    </xf>
    <xf numFmtId="4" fontId="28" fillId="0" borderId="1" xfId="38" applyNumberFormat="1" applyFont="1" applyBorder="1" applyAlignment="1">
      <alignment horizontal="center" vertical="center"/>
    </xf>
    <xf numFmtId="2" fontId="28" fillId="0" borderId="1" xfId="38" applyNumberFormat="1" applyFont="1" applyBorder="1" applyAlignment="1">
      <alignment horizontal="center" vertical="center"/>
    </xf>
    <xf numFmtId="10" fontId="28" fillId="0" borderId="1" xfId="38" applyNumberFormat="1" applyFont="1" applyBorder="1" applyAlignment="1">
      <alignment horizontal="center" vertical="center"/>
    </xf>
    <xf numFmtId="14" fontId="28" fillId="0" borderId="6" xfId="38" applyNumberFormat="1" applyFont="1" applyBorder="1" applyAlignment="1">
      <alignment horizontal="center" vertical="center"/>
    </xf>
    <xf numFmtId="1" fontId="28" fillId="0" borderId="6" xfId="38" applyNumberFormat="1" applyFont="1" applyBorder="1" applyAlignment="1">
      <alignment horizontal="center" vertical="center"/>
    </xf>
    <xf numFmtId="2" fontId="28" fillId="0" borderId="6" xfId="38" applyNumberFormat="1" applyFont="1" applyBorder="1" applyAlignment="1">
      <alignment horizontal="center" vertical="center"/>
    </xf>
    <xf numFmtId="10" fontId="28" fillId="0" borderId="6" xfId="38" applyNumberFormat="1" applyFont="1" applyBorder="1" applyAlignment="1">
      <alignment horizontal="center" vertical="center"/>
    </xf>
    <xf numFmtId="4" fontId="28" fillId="0" borderId="6" xfId="38" applyNumberFormat="1" applyFont="1" applyBorder="1" applyAlignment="1">
      <alignment horizontal="center" vertical="center"/>
    </xf>
    <xf numFmtId="14" fontId="28" fillId="2" borderId="6" xfId="38" applyNumberFormat="1" applyFont="1" applyFill="1" applyBorder="1" applyAlignment="1">
      <alignment horizontal="center" vertical="center"/>
    </xf>
    <xf numFmtId="1" fontId="28" fillId="2" borderId="6" xfId="38" applyNumberFormat="1" applyFont="1" applyFill="1" applyBorder="1" applyAlignment="1">
      <alignment horizontal="center" vertical="center"/>
    </xf>
    <xf numFmtId="4" fontId="28" fillId="2" borderId="6" xfId="38" applyNumberFormat="1" applyFont="1" applyFill="1" applyBorder="1" applyAlignment="1">
      <alignment horizontal="center" vertical="center"/>
    </xf>
    <xf numFmtId="2" fontId="28" fillId="2" borderId="6" xfId="38" applyNumberFormat="1" applyFont="1" applyFill="1" applyBorder="1" applyAlignment="1">
      <alignment horizontal="center" vertical="center"/>
    </xf>
    <xf numFmtId="0" fontId="35" fillId="2" borderId="0" xfId="38" applyFill="1" applyAlignment="1">
      <alignment vertical="center"/>
    </xf>
    <xf numFmtId="0" fontId="28" fillId="2" borderId="6" xfId="38" applyFont="1" applyFill="1" applyBorder="1" applyAlignment="1">
      <alignment horizontal="center" vertical="center"/>
    </xf>
    <xf numFmtId="2" fontId="35" fillId="0" borderId="0" xfId="38" applyNumberFormat="1" applyAlignment="1">
      <alignment vertical="center"/>
    </xf>
    <xf numFmtId="2" fontId="28" fillId="4" borderId="6" xfId="38" applyNumberFormat="1" applyFont="1" applyFill="1" applyBorder="1" applyAlignment="1">
      <alignment horizontal="center" vertical="center"/>
    </xf>
    <xf numFmtId="14" fontId="28" fillId="6" borderId="6" xfId="38" applyNumberFormat="1" applyFont="1" applyFill="1" applyBorder="1" applyAlignment="1">
      <alignment horizontal="center" vertical="center"/>
    </xf>
    <xf numFmtId="1" fontId="28" fillId="6" borderId="6" xfId="38" applyNumberFormat="1" applyFont="1" applyFill="1" applyBorder="1" applyAlignment="1">
      <alignment horizontal="center" vertical="center"/>
    </xf>
    <xf numFmtId="4" fontId="28" fillId="6" borderId="6" xfId="38" applyNumberFormat="1" applyFont="1" applyFill="1" applyBorder="1" applyAlignment="1">
      <alignment horizontal="center" vertical="center"/>
    </xf>
    <xf numFmtId="2" fontId="28" fillId="6" borderId="6" xfId="38" applyNumberFormat="1" applyFont="1" applyFill="1" applyBorder="1" applyAlignment="1">
      <alignment horizontal="center" vertical="center"/>
    </xf>
    <xf numFmtId="0" fontId="35" fillId="6" borderId="0" xfId="38" applyFill="1" applyAlignment="1">
      <alignment vertical="center"/>
    </xf>
    <xf numFmtId="9" fontId="99" fillId="0" borderId="0" xfId="40" applyFont="1" applyFill="1" applyBorder="1" applyAlignment="1">
      <alignment vertical="center"/>
    </xf>
    <xf numFmtId="0" fontId="99" fillId="0" borderId="0" xfId="40" applyNumberFormat="1" applyFont="1" applyFill="1" applyBorder="1" applyAlignment="1">
      <alignment vertical="center"/>
    </xf>
    <xf numFmtId="2" fontId="99" fillId="0" borderId="0" xfId="4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166" fontId="9" fillId="0" borderId="0" xfId="36" applyNumberFormat="1" applyFont="1" applyAlignment="1">
      <alignment horizontal="center" vertical="center"/>
    </xf>
    <xf numFmtId="166" fontId="9" fillId="0" borderId="4" xfId="36" applyNumberFormat="1" applyFont="1" applyBorder="1" applyAlignment="1">
      <alignment horizontal="center" vertical="center"/>
    </xf>
    <xf numFmtId="0" fontId="6" fillId="3" borderId="33" xfId="0" applyFont="1" applyFill="1" applyBorder="1"/>
    <xf numFmtId="2" fontId="36" fillId="3" borderId="34" xfId="0" applyNumberFormat="1" applyFont="1" applyFill="1" applyBorder="1" applyAlignment="1">
      <alignment horizontal="center"/>
    </xf>
    <xf numFmtId="2" fontId="36" fillId="3" borderId="12" xfId="0" applyNumberFormat="1" applyFont="1" applyFill="1" applyBorder="1" applyAlignment="1">
      <alignment horizontal="center"/>
    </xf>
    <xf numFmtId="2" fontId="36" fillId="3" borderId="32" xfId="0" applyNumberFormat="1" applyFont="1" applyFill="1" applyBorder="1" applyAlignment="1">
      <alignment horizontal="center"/>
    </xf>
    <xf numFmtId="0" fontId="36" fillId="3" borderId="34" xfId="0" applyFont="1" applyFill="1" applyBorder="1"/>
    <xf numFmtId="0" fontId="36" fillId="3" borderId="12" xfId="0" applyFont="1" applyFill="1" applyBorder="1"/>
    <xf numFmtId="0" fontId="10" fillId="3" borderId="35" xfId="0" applyFont="1" applyFill="1" applyBorder="1"/>
    <xf numFmtId="0" fontId="6" fillId="3" borderId="35" xfId="0" applyFont="1" applyFill="1" applyBorder="1"/>
    <xf numFmtId="14" fontId="10" fillId="3" borderId="35" xfId="0" applyNumberFormat="1" applyFont="1" applyFill="1" applyBorder="1" applyAlignment="1">
      <alignment horizontal="left"/>
    </xf>
    <xf numFmtId="0" fontId="6" fillId="3" borderId="5" xfId="0" applyFont="1" applyFill="1" applyBorder="1"/>
    <xf numFmtId="14" fontId="10" fillId="3" borderId="5" xfId="0" applyNumberFormat="1" applyFont="1" applyFill="1" applyBorder="1" applyAlignment="1">
      <alignment horizontal="left"/>
    </xf>
    <xf numFmtId="182" fontId="31" fillId="0" borderId="0" xfId="6" applyNumberFormat="1" applyFont="1" applyFill="1" applyAlignment="1">
      <alignment vertical="center"/>
    </xf>
    <xf numFmtId="183" fontId="31" fillId="0" borderId="0" xfId="6" applyNumberFormat="1" applyFont="1" applyFill="1" applyAlignment="1">
      <alignment vertical="center"/>
    </xf>
    <xf numFmtId="182" fontId="125" fillId="0" borderId="0" xfId="4" applyNumberFormat="1" applyFont="1" applyFill="1"/>
    <xf numFmtId="165" fontId="125" fillId="0" borderId="0" xfId="4" applyFont="1" applyFill="1" applyAlignment="1">
      <alignment horizontal="center" vertical="center"/>
    </xf>
    <xf numFmtId="14" fontId="10" fillId="3" borderId="30" xfId="0" applyNumberFormat="1" applyFont="1" applyFill="1" applyBorder="1" applyAlignment="1">
      <alignment horizontal="left"/>
    </xf>
    <xf numFmtId="0" fontId="127" fillId="0" borderId="0" xfId="38" applyFont="1" applyAlignment="1">
      <alignment vertical="center"/>
    </xf>
    <xf numFmtId="49" fontId="21" fillId="0" borderId="0" xfId="28" applyNumberFormat="1" applyFont="1" applyAlignment="1">
      <alignment horizontal="center" vertical="center"/>
    </xf>
    <xf numFmtId="166" fontId="9" fillId="0" borderId="0" xfId="36" applyNumberFormat="1" applyFont="1" applyAlignment="1">
      <alignment horizontal="right" vertical="center"/>
    </xf>
    <xf numFmtId="166" fontId="98" fillId="0" borderId="0" xfId="0" quotePrefix="1" applyNumberFormat="1" applyFont="1" applyAlignment="1">
      <alignment horizontal="center" vertical="center" wrapText="1"/>
    </xf>
    <xf numFmtId="166" fontId="98" fillId="0" borderId="0" xfId="0" quotePrefix="1" applyNumberFormat="1" applyFont="1" applyAlignment="1">
      <alignment horizontal="right" vertical="center" wrapText="1"/>
    </xf>
    <xf numFmtId="0" fontId="128" fillId="0" borderId="0" xfId="0" quotePrefix="1" applyFont="1" applyAlignment="1">
      <alignment horizontal="center" vertical="center" wrapText="1"/>
    </xf>
    <xf numFmtId="166" fontId="129" fillId="3" borderId="0" xfId="3" applyNumberFormat="1" applyFont="1" applyFill="1" applyAlignment="1">
      <alignment horizontal="center" vertical="center"/>
    </xf>
    <xf numFmtId="166" fontId="130" fillId="0" borderId="0" xfId="0" quotePrefix="1" applyNumberFormat="1" applyFont="1" applyAlignment="1">
      <alignment horizontal="center" vertical="center" wrapText="1"/>
    </xf>
    <xf numFmtId="166" fontId="131" fillId="0" borderId="0" xfId="0" quotePrefix="1" applyNumberFormat="1" applyFont="1" applyAlignment="1">
      <alignment horizontal="center" vertical="center"/>
    </xf>
    <xf numFmtId="166" fontId="98" fillId="0" borderId="0" xfId="0" applyNumberFormat="1" applyFont="1" applyAlignment="1">
      <alignment horizontal="right" vertical="center"/>
    </xf>
    <xf numFmtId="166" fontId="97" fillId="0" borderId="0" xfId="0" applyNumberFormat="1" applyFont="1" applyAlignment="1">
      <alignment horizontal="center"/>
    </xf>
    <xf numFmtId="166" fontId="97" fillId="0" borderId="0" xfId="0" applyNumberFormat="1" applyFont="1" applyAlignment="1">
      <alignment horizontal="right"/>
    </xf>
    <xf numFmtId="1" fontId="97" fillId="0" borderId="0" xfId="0" applyNumberFormat="1" applyFont="1"/>
    <xf numFmtId="0" fontId="70" fillId="0" borderId="0" xfId="0" applyFont="1" applyAlignment="1">
      <alignment horizontal="right"/>
    </xf>
    <xf numFmtId="178" fontId="18" fillId="0" borderId="0" xfId="40" applyNumberFormat="1" applyFont="1" applyFill="1" applyAlignment="1">
      <alignment vertical="center"/>
    </xf>
    <xf numFmtId="184" fontId="98" fillId="0" borderId="0" xfId="0" applyNumberFormat="1" applyFont="1" applyAlignment="1">
      <alignment vertical="center"/>
    </xf>
    <xf numFmtId="2" fontId="9" fillId="0" borderId="0" xfId="28" applyNumberFormat="1" applyFont="1" applyAlignment="1">
      <alignment vertical="center"/>
    </xf>
    <xf numFmtId="2" fontId="4" fillId="0" borderId="8" xfId="0" applyNumberFormat="1" applyFont="1" applyBorder="1" applyAlignment="1">
      <alignment horizontal="center" vertical="center" wrapText="1"/>
    </xf>
    <xf numFmtId="166" fontId="4" fillId="3" borderId="0" xfId="0" applyNumberFormat="1" applyFont="1" applyFill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166" fontId="8" fillId="3" borderId="0" xfId="0" applyNumberFormat="1" applyFont="1" applyFill="1" applyAlignment="1">
      <alignment vertical="center"/>
    </xf>
    <xf numFmtId="166" fontId="4" fillId="3" borderId="0" xfId="0" applyNumberFormat="1" applyFont="1" applyFill="1" applyAlignment="1">
      <alignment horizontal="right" vertical="center" wrapText="1"/>
    </xf>
    <xf numFmtId="2" fontId="9" fillId="0" borderId="0" xfId="26" applyNumberFormat="1" applyFont="1" applyAlignment="1">
      <alignment horizontal="center" vertical="center" wrapText="1"/>
    </xf>
    <xf numFmtId="2" fontId="9" fillId="0" borderId="4" xfId="26" applyNumberFormat="1" applyFont="1" applyBorder="1" applyAlignment="1">
      <alignment horizontal="center" vertical="center" wrapText="1"/>
    </xf>
    <xf numFmtId="2" fontId="24" fillId="0" borderId="0" xfId="26" applyNumberFormat="1" applyFont="1" applyAlignment="1">
      <alignment horizontal="center" vertical="center"/>
    </xf>
    <xf numFmtId="2" fontId="34" fillId="0" borderId="0" xfId="26" applyNumberFormat="1" applyFont="1" applyAlignment="1">
      <alignment horizontal="center" vertical="center" wrapText="1"/>
    </xf>
    <xf numFmtId="2" fontId="24" fillId="0" borderId="0" xfId="26" applyNumberFormat="1" applyFont="1" applyAlignment="1">
      <alignment horizontal="center" vertical="center" wrapText="1"/>
    </xf>
    <xf numFmtId="166" fontId="134" fillId="0" borderId="0" xfId="26" applyNumberFormat="1" applyFont="1" applyAlignment="1">
      <alignment horizontal="center" vertical="center" wrapText="1"/>
    </xf>
    <xf numFmtId="2" fontId="135" fillId="0" borderId="0" xfId="26" applyNumberFormat="1" applyFont="1" applyAlignment="1">
      <alignment horizontal="center" vertical="center" wrapText="1"/>
    </xf>
    <xf numFmtId="2" fontId="134" fillId="0" borderId="0" xfId="26" applyNumberFormat="1" applyFont="1" applyAlignment="1">
      <alignment horizontal="center" vertical="center" wrapText="1"/>
    </xf>
    <xf numFmtId="0" fontId="6" fillId="3" borderId="24" xfId="0" applyFont="1" applyFill="1" applyBorder="1"/>
    <xf numFmtId="0" fontId="6" fillId="3" borderId="50" xfId="0" applyFont="1" applyFill="1" applyBorder="1"/>
    <xf numFmtId="0" fontId="6" fillId="3" borderId="37" xfId="0" applyFont="1" applyFill="1" applyBorder="1"/>
    <xf numFmtId="0" fontId="24" fillId="0" borderId="0" xfId="0" applyFont="1" applyAlignment="1">
      <alignment horizontal="right" vertical="center"/>
    </xf>
    <xf numFmtId="49" fontId="17" fillId="0" borderId="2" xfId="26" applyNumberFormat="1" applyFont="1" applyBorder="1" applyAlignment="1">
      <alignment horizontal="center" vertical="center"/>
    </xf>
    <xf numFmtId="0" fontId="6" fillId="3" borderId="14" xfId="0" applyFont="1" applyFill="1" applyBorder="1"/>
    <xf numFmtId="2" fontId="36" fillId="0" borderId="24" xfId="0" applyNumberFormat="1" applyFont="1" applyBorder="1" applyAlignment="1">
      <alignment horizontal="center"/>
    </xf>
    <xf numFmtId="0" fontId="98" fillId="0" borderId="18" xfId="0" applyFont="1" applyBorder="1" applyAlignment="1">
      <alignment vertical="center"/>
    </xf>
    <xf numFmtId="0" fontId="109" fillId="0" borderId="0" xfId="0" applyFont="1" applyAlignment="1">
      <alignment vertical="center"/>
    </xf>
    <xf numFmtId="2" fontId="97" fillId="0" borderId="0" xfId="0" applyNumberFormat="1" applyFont="1"/>
    <xf numFmtId="1" fontId="5" fillId="0" borderId="5" xfId="38" applyNumberFormat="1" applyFont="1" applyBorder="1" applyAlignment="1">
      <alignment horizontal="center" vertical="center"/>
    </xf>
    <xf numFmtId="166" fontId="4" fillId="0" borderId="49" xfId="0" applyNumberFormat="1" applyFont="1" applyBorder="1" applyAlignment="1">
      <alignment horizontal="center" vertical="center" wrapText="1"/>
    </xf>
    <xf numFmtId="166" fontId="4" fillId="0" borderId="67" xfId="0" applyNumberFormat="1" applyFont="1" applyBorder="1" applyAlignment="1">
      <alignment horizontal="center" vertical="center" wrapText="1"/>
    </xf>
    <xf numFmtId="0" fontId="24" fillId="0" borderId="5" xfId="28" applyFont="1" applyBorder="1" applyAlignment="1">
      <alignment horizontal="center" vertical="center" wrapText="1"/>
    </xf>
    <xf numFmtId="166" fontId="21" fillId="0" borderId="49" xfId="28" applyNumberFormat="1" applyFont="1" applyBorder="1" applyAlignment="1">
      <alignment horizontal="center" vertical="center" wrapText="1"/>
    </xf>
    <xf numFmtId="2" fontId="21" fillId="0" borderId="49" xfId="28" applyNumberFormat="1" applyFont="1" applyBorder="1" applyAlignment="1">
      <alignment horizontal="center" vertical="center" wrapText="1"/>
    </xf>
    <xf numFmtId="2" fontId="21" fillId="0" borderId="67" xfId="28" applyNumberFormat="1" applyFont="1" applyBorder="1" applyAlignment="1">
      <alignment horizontal="center" vertical="center" wrapText="1"/>
    </xf>
    <xf numFmtId="166" fontId="18" fillId="0" borderId="49" xfId="0" applyNumberFormat="1" applyFont="1" applyBorder="1" applyAlignment="1">
      <alignment vertical="center"/>
    </xf>
    <xf numFmtId="2" fontId="18" fillId="0" borderId="67" xfId="0" applyNumberFormat="1" applyFont="1" applyBorder="1" applyAlignment="1">
      <alignment vertical="center"/>
    </xf>
    <xf numFmtId="166" fontId="5" fillId="0" borderId="2" xfId="26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101" fillId="0" borderId="0" xfId="0" applyNumberFormat="1" applyFont="1" applyAlignment="1">
      <alignment horizontal="center" vertical="center"/>
    </xf>
    <xf numFmtId="173" fontId="9" fillId="0" borderId="0" xfId="38" applyNumberFormat="1" applyFont="1"/>
    <xf numFmtId="173" fontId="10" fillId="0" borderId="0" xfId="38" applyNumberFormat="1" applyFont="1"/>
    <xf numFmtId="173" fontId="6" fillId="0" borderId="0" xfId="38" applyNumberFormat="1" applyFont="1"/>
    <xf numFmtId="173" fontId="5" fillId="0" borderId="0" xfId="38" applyNumberFormat="1" applyFont="1" applyAlignment="1">
      <alignment horizontal="center" vertical="center"/>
    </xf>
    <xf numFmtId="173" fontId="5" fillId="2" borderId="0" xfId="38" applyNumberFormat="1" applyFont="1" applyFill="1" applyAlignment="1">
      <alignment horizontal="center" vertical="center"/>
    </xf>
    <xf numFmtId="4" fontId="5" fillId="0" borderId="2" xfId="38" applyNumberFormat="1" applyFont="1" applyBorder="1" applyAlignment="1">
      <alignment horizontal="center" vertical="center"/>
    </xf>
    <xf numFmtId="173" fontId="5" fillId="0" borderId="2" xfId="38" applyNumberFormat="1" applyFont="1" applyBorder="1" applyAlignment="1">
      <alignment horizontal="center" vertical="center"/>
    </xf>
    <xf numFmtId="173" fontId="6" fillId="0" borderId="2" xfId="38" applyNumberFormat="1" applyFont="1" applyBorder="1" applyAlignment="1">
      <alignment horizontal="center" vertical="center"/>
    </xf>
    <xf numFmtId="14" fontId="4" fillId="0" borderId="0" xfId="38" applyNumberFormat="1" applyFont="1" applyAlignment="1">
      <alignment vertical="center"/>
    </xf>
    <xf numFmtId="0" fontId="4" fillId="3" borderId="0" xfId="38" applyFont="1" applyFill="1" applyAlignment="1">
      <alignment vertical="center"/>
    </xf>
    <xf numFmtId="0" fontId="29" fillId="0" borderId="0" xfId="38" applyFont="1" applyAlignment="1">
      <alignment horizontal="left" vertical="center" readingOrder="1"/>
    </xf>
    <xf numFmtId="0" fontId="4" fillId="2" borderId="0" xfId="38" applyFont="1" applyFill="1" applyAlignment="1">
      <alignment vertical="center"/>
    </xf>
    <xf numFmtId="1" fontId="4" fillId="0" borderId="0" xfId="38" applyNumberFormat="1" applyFont="1" applyAlignment="1">
      <alignment horizontal="center" vertical="center"/>
    </xf>
    <xf numFmtId="10" fontId="4" fillId="0" borderId="0" xfId="38" applyNumberFormat="1" applyFont="1" applyAlignment="1">
      <alignment horizontal="center" vertical="center"/>
    </xf>
    <xf numFmtId="4" fontId="4" fillId="0" borderId="0" xfId="38" applyNumberFormat="1" applyFont="1" applyAlignment="1">
      <alignment horizontal="center" vertical="center"/>
    </xf>
    <xf numFmtId="14" fontId="4" fillId="0" borderId="0" xfId="38" applyNumberFormat="1" applyFont="1" applyAlignment="1">
      <alignment horizontal="center" vertical="center"/>
    </xf>
    <xf numFmtId="0" fontId="4" fillId="0" borderId="0" xfId="38" applyFont="1" applyAlignment="1">
      <alignment horizontal="center" vertical="center"/>
    </xf>
    <xf numFmtId="0" fontId="4" fillId="0" borderId="6" xfId="38" applyFont="1" applyBorder="1" applyAlignment="1">
      <alignment horizontal="center" vertical="center" wrapText="1"/>
    </xf>
    <xf numFmtId="0" fontId="4" fillId="0" borderId="11" xfId="38" applyFont="1" applyBorder="1" applyAlignment="1">
      <alignment horizontal="center" vertical="center" wrapText="1"/>
    </xf>
    <xf numFmtId="0" fontId="4" fillId="0" borderId="10" xfId="38" applyFont="1" applyBorder="1" applyAlignment="1">
      <alignment horizontal="center" vertical="center"/>
    </xf>
    <xf numFmtId="0" fontId="4" fillId="0" borderId="9" xfId="38" applyFont="1" applyBorder="1" applyAlignment="1">
      <alignment horizontal="center" vertical="center" wrapText="1"/>
    </xf>
    <xf numFmtId="0" fontId="4" fillId="0" borderId="10" xfId="38" applyFont="1" applyBorder="1" applyAlignment="1">
      <alignment horizontal="center" vertical="center" wrapText="1"/>
    </xf>
    <xf numFmtId="0" fontId="9" fillId="0" borderId="0" xfId="38" applyFont="1" applyAlignment="1">
      <alignment vertical="center"/>
    </xf>
    <xf numFmtId="0" fontId="8" fillId="0" borderId="0" xfId="36" applyFont="1" applyAlignment="1">
      <alignment vertical="center"/>
    </xf>
    <xf numFmtId="0" fontId="145" fillId="0" borderId="73" xfId="36" applyFont="1" applyBorder="1" applyAlignment="1">
      <alignment horizontal="left" vertical="center" wrapText="1" indent="1"/>
    </xf>
    <xf numFmtId="0" fontId="30" fillId="0" borderId="73" xfId="36" applyFont="1" applyBorder="1" applyAlignment="1">
      <alignment horizontal="left" vertical="center" wrapText="1" indent="3"/>
    </xf>
    <xf numFmtId="166" fontId="5" fillId="0" borderId="2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75" fontId="24" fillId="3" borderId="0" xfId="62" applyNumberFormat="1" applyFont="1" applyFill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1" fillId="0" borderId="2" xfId="28" applyFont="1" applyBorder="1" applyAlignment="1">
      <alignment horizontal="center" vertical="center"/>
    </xf>
    <xf numFmtId="173" fontId="4" fillId="0" borderId="0" xfId="38" applyNumberFormat="1" applyFont="1" applyAlignment="1">
      <alignment horizontal="center"/>
    </xf>
    <xf numFmtId="0" fontId="153" fillId="0" borderId="0" xfId="0" applyFont="1" applyAlignment="1">
      <alignment vertical="center"/>
    </xf>
    <xf numFmtId="0" fontId="154" fillId="0" borderId="0" xfId="0" applyFont="1" applyAlignment="1">
      <alignment vertical="center"/>
    </xf>
    <xf numFmtId="0" fontId="156" fillId="0" borderId="0" xfId="38" applyFont="1" applyAlignment="1">
      <alignment vertical="center"/>
    </xf>
    <xf numFmtId="0" fontId="168" fillId="0" borderId="0" xfId="0" applyFont="1" applyAlignment="1">
      <alignment vertical="center"/>
    </xf>
    <xf numFmtId="0" fontId="17" fillId="11" borderId="0" xfId="0" applyFont="1" applyFill="1" applyAlignment="1">
      <alignment vertical="center"/>
    </xf>
    <xf numFmtId="0" fontId="28" fillId="11" borderId="0" xfId="0" applyFont="1" applyFill="1" applyAlignment="1">
      <alignment vertical="center"/>
    </xf>
    <xf numFmtId="0" fontId="163" fillId="11" borderId="0" xfId="28" applyFont="1" applyFill="1" applyAlignment="1">
      <alignment horizontal="center" vertical="center"/>
    </xf>
    <xf numFmtId="0" fontId="175" fillId="11" borderId="0" xfId="0" applyFont="1" applyFill="1" applyAlignment="1">
      <alignment horizontal="center" vertical="center"/>
    </xf>
    <xf numFmtId="0" fontId="171" fillId="11" borderId="0" xfId="38" applyFont="1" applyFill="1" applyAlignment="1">
      <alignment horizontal="center" vertical="center"/>
    </xf>
    <xf numFmtId="173" fontId="4" fillId="11" borderId="0" xfId="38" applyNumberFormat="1" applyFont="1" applyFill="1" applyAlignment="1">
      <alignment horizontal="center"/>
    </xf>
    <xf numFmtId="173" fontId="4" fillId="11" borderId="0" xfId="38" applyNumberFormat="1" applyFont="1" applyFill="1"/>
    <xf numFmtId="173" fontId="4" fillId="11" borderId="0" xfId="38" applyNumberFormat="1" applyFont="1" applyFill="1" applyAlignment="1">
      <alignment horizontal="right"/>
    </xf>
    <xf numFmtId="0" fontId="157" fillId="11" borderId="16" xfId="0" applyFont="1" applyFill="1" applyBorder="1" applyAlignment="1">
      <alignment horizontal="center" vertical="center"/>
    </xf>
    <xf numFmtId="0" fontId="167" fillId="11" borderId="18" xfId="38" applyFont="1" applyFill="1" applyBorder="1" applyAlignment="1">
      <alignment horizontal="center" vertical="center"/>
    </xf>
    <xf numFmtId="0" fontId="161" fillId="11" borderId="0" xfId="0" applyFont="1" applyFill="1" applyAlignment="1">
      <alignment horizontal="center" vertical="center"/>
    </xf>
    <xf numFmtId="0" fontId="162" fillId="11" borderId="0" xfId="0" applyFont="1" applyFill="1" applyAlignment="1">
      <alignment horizontal="center" vertical="center"/>
    </xf>
    <xf numFmtId="0" fontId="179" fillId="11" borderId="18" xfId="26" applyFont="1" applyFill="1" applyBorder="1" applyAlignment="1">
      <alignment horizontal="center" vertical="center"/>
    </xf>
    <xf numFmtId="0" fontId="172" fillId="11" borderId="18" xfId="0" applyFont="1" applyFill="1" applyBorder="1" applyAlignment="1">
      <alignment horizontal="center" vertical="center"/>
    </xf>
    <xf numFmtId="0" fontId="15" fillId="10" borderId="0" xfId="36" applyFont="1" applyFill="1" applyAlignment="1">
      <alignment horizontal="left" vertical="center"/>
    </xf>
    <xf numFmtId="0" fontId="13" fillId="10" borderId="0" xfId="36" applyFont="1" applyFill="1" applyAlignment="1">
      <alignment horizontal="left" vertical="center"/>
    </xf>
    <xf numFmtId="0" fontId="9" fillId="10" borderId="0" xfId="36" applyFont="1" applyFill="1" applyAlignment="1">
      <alignment horizontal="center" vertical="center"/>
    </xf>
    <xf numFmtId="3" fontId="159" fillId="10" borderId="0" xfId="0" applyNumberFormat="1" applyFont="1" applyFill="1" applyAlignment="1">
      <alignment horizontal="center" vertical="center"/>
    </xf>
    <xf numFmtId="0" fontId="168" fillId="10" borderId="0" xfId="0" applyFont="1" applyFill="1" applyAlignment="1">
      <alignment horizontal="center" vertical="center"/>
    </xf>
    <xf numFmtId="0" fontId="158" fillId="10" borderId="0" xfId="0" applyFont="1" applyFill="1" applyAlignment="1">
      <alignment horizontal="center" vertical="center"/>
    </xf>
    <xf numFmtId="0" fontId="167" fillId="10" borderId="0" xfId="0" applyFont="1" applyFill="1" applyAlignment="1">
      <alignment horizontal="center" vertical="center"/>
    </xf>
    <xf numFmtId="0" fontId="161" fillId="10" borderId="0" xfId="28" applyFont="1" applyFill="1" applyAlignment="1">
      <alignment horizontal="center" vertical="center"/>
    </xf>
    <xf numFmtId="0" fontId="170" fillId="10" borderId="0" xfId="0" applyFont="1" applyFill="1" applyAlignment="1">
      <alignment horizontal="center" vertical="center"/>
    </xf>
    <xf numFmtId="0" fontId="163" fillId="10" borderId="0" xfId="28" applyFont="1" applyFill="1" applyAlignment="1">
      <alignment horizontal="center" vertical="center"/>
    </xf>
    <xf numFmtId="0" fontId="172" fillId="10" borderId="0" xfId="0" applyFont="1" applyFill="1" applyAlignment="1">
      <alignment horizontal="center" vertical="center"/>
    </xf>
    <xf numFmtId="0" fontId="173" fillId="10" borderId="0" xfId="3" applyFont="1" applyFill="1" applyAlignment="1">
      <alignment horizontal="center" vertical="center" wrapText="1"/>
    </xf>
    <xf numFmtId="0" fontId="174" fillId="10" borderId="0" xfId="3" applyFont="1" applyFill="1" applyAlignment="1">
      <alignment horizontal="center" vertical="center" wrapText="1"/>
    </xf>
    <xf numFmtId="0" fontId="175" fillId="10" borderId="0" xfId="0" applyFont="1" applyFill="1" applyAlignment="1">
      <alignment horizontal="center" vertical="center"/>
    </xf>
    <xf numFmtId="0" fontId="171" fillId="10" borderId="0" xfId="38" applyFont="1" applyFill="1" applyAlignment="1">
      <alignment horizontal="center" vertical="center"/>
    </xf>
    <xf numFmtId="173" fontId="158" fillId="10" borderId="0" xfId="38" applyNumberFormat="1" applyFont="1" applyFill="1" applyAlignment="1">
      <alignment horizontal="center" vertical="center" wrapText="1"/>
    </xf>
    <xf numFmtId="0" fontId="157" fillId="10" borderId="0" xfId="0" applyFont="1" applyFill="1" applyAlignment="1">
      <alignment horizontal="center" vertical="center"/>
    </xf>
    <xf numFmtId="0" fontId="160" fillId="10" borderId="0" xfId="38" applyFont="1" applyFill="1" applyAlignment="1">
      <alignment horizontal="center" vertical="center"/>
    </xf>
    <xf numFmtId="0" fontId="161" fillId="10" borderId="0" xfId="0" applyFont="1" applyFill="1" applyAlignment="1">
      <alignment horizontal="center" vertical="center"/>
    </xf>
    <xf numFmtId="0" fontId="162" fillId="10" borderId="0" xfId="0" applyFont="1" applyFill="1" applyAlignment="1">
      <alignment horizontal="center" vertical="center"/>
    </xf>
    <xf numFmtId="0" fontId="5" fillId="9" borderId="3" xfId="36" applyFont="1" applyFill="1" applyBorder="1" applyAlignment="1">
      <alignment horizontal="center" vertical="center" wrapText="1" shrinkToFit="1"/>
    </xf>
    <xf numFmtId="0" fontId="4" fillId="9" borderId="8" xfId="36" applyFont="1" applyFill="1" applyBorder="1" applyAlignment="1">
      <alignment horizontal="center" vertical="center"/>
    </xf>
    <xf numFmtId="0" fontId="4" fillId="9" borderId="3" xfId="36" applyFont="1" applyFill="1" applyBorder="1" applyAlignment="1">
      <alignment horizontal="center" vertical="center" wrapText="1" shrinkToFit="1"/>
    </xf>
    <xf numFmtId="0" fontId="4" fillId="9" borderId="19" xfId="36" applyFont="1" applyFill="1" applyBorder="1" applyAlignment="1">
      <alignment horizontal="center" vertical="center" wrapText="1" shrinkToFit="1"/>
    </xf>
    <xf numFmtId="3" fontId="4" fillId="9" borderId="6" xfId="0" applyNumberFormat="1" applyFont="1" applyFill="1" applyBorder="1" applyAlignment="1">
      <alignment horizontal="center" vertical="center"/>
    </xf>
    <xf numFmtId="3" fontId="17" fillId="9" borderId="11" xfId="0" applyNumberFormat="1" applyFont="1" applyFill="1" applyBorder="1" applyAlignment="1">
      <alignment horizontal="center" vertical="center" wrapText="1" shrinkToFit="1"/>
    </xf>
    <xf numFmtId="3" fontId="27" fillId="9" borderId="11" xfId="0" applyNumberFormat="1" applyFont="1" applyFill="1" applyBorder="1" applyAlignment="1">
      <alignment horizontal="center" vertical="center" wrapText="1" shrinkToFit="1"/>
    </xf>
    <xf numFmtId="3" fontId="27" fillId="9" borderId="6" xfId="0" applyNumberFormat="1" applyFont="1" applyFill="1" applyBorder="1" applyAlignment="1">
      <alignment horizontal="center" vertical="center" wrapText="1" shrinkToFit="1"/>
    </xf>
    <xf numFmtId="0" fontId="24" fillId="9" borderId="6" xfId="28" applyFont="1" applyFill="1" applyBorder="1" applyAlignment="1">
      <alignment horizontal="center" vertical="center" wrapText="1"/>
    </xf>
    <xf numFmtId="0" fontId="9" fillId="9" borderId="6" xfId="28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21" fillId="9" borderId="6" xfId="0" applyFont="1" applyFill="1" applyBorder="1" applyAlignment="1">
      <alignment vertical="center"/>
    </xf>
    <xf numFmtId="0" fontId="22" fillId="9" borderId="6" xfId="0" applyFont="1" applyFill="1" applyBorder="1" applyAlignment="1">
      <alignment horizontal="center" vertical="center" wrapText="1"/>
    </xf>
    <xf numFmtId="166" fontId="22" fillId="9" borderId="6" xfId="0" applyNumberFormat="1" applyFont="1" applyFill="1" applyBorder="1" applyAlignment="1">
      <alignment horizontal="center" vertical="center" wrapText="1"/>
    </xf>
    <xf numFmtId="0" fontId="22" fillId="9" borderId="9" xfId="0" applyFont="1" applyFill="1" applyBorder="1" applyAlignment="1">
      <alignment horizontal="center" vertical="center" wrapText="1"/>
    </xf>
    <xf numFmtId="0" fontId="44" fillId="9" borderId="6" xfId="0" applyFont="1" applyFill="1" applyBorder="1" applyAlignment="1">
      <alignment horizontal="center" vertical="center" wrapText="1"/>
    </xf>
    <xf numFmtId="2" fontId="34" fillId="9" borderId="6" xfId="28" applyNumberFormat="1" applyFont="1" applyFill="1" applyBorder="1" applyAlignment="1">
      <alignment horizontal="center" vertical="center"/>
    </xf>
    <xf numFmtId="2" fontId="31" fillId="9" borderId="6" xfId="28" applyNumberFormat="1" applyFont="1" applyFill="1" applyBorder="1" applyAlignment="1">
      <alignment horizontal="center"/>
    </xf>
    <xf numFmtId="0" fontId="98" fillId="9" borderId="6" xfId="0" applyFont="1" applyFill="1" applyBorder="1" applyAlignment="1">
      <alignment horizontal="center" vertical="center"/>
    </xf>
    <xf numFmtId="0" fontId="98" fillId="9" borderId="6" xfId="0" quotePrefix="1" applyFont="1" applyFill="1" applyBorder="1" applyAlignment="1">
      <alignment horizontal="center" vertical="center" wrapText="1"/>
    </xf>
    <xf numFmtId="0" fontId="98" fillId="9" borderId="6" xfId="0" quotePrefix="1" applyFont="1" applyFill="1" applyBorder="1" applyAlignment="1">
      <alignment horizontal="center" vertical="center"/>
    </xf>
    <xf numFmtId="0" fontId="98" fillId="9" borderId="6" xfId="0" applyFont="1" applyFill="1" applyBorder="1" applyAlignment="1">
      <alignment horizontal="center" vertical="center" wrapText="1"/>
    </xf>
    <xf numFmtId="0" fontId="97" fillId="9" borderId="6" xfId="0" applyFont="1" applyFill="1" applyBorder="1" applyAlignment="1">
      <alignment horizontal="center" vertical="center"/>
    </xf>
    <xf numFmtId="0" fontId="97" fillId="9" borderId="6" xfId="0" applyFont="1" applyFill="1" applyBorder="1" applyAlignment="1">
      <alignment horizontal="center" vertical="center" wrapText="1"/>
    </xf>
    <xf numFmtId="0" fontId="17" fillId="9" borderId="6" xfId="38" applyFont="1" applyFill="1" applyBorder="1" applyAlignment="1">
      <alignment horizontal="center" vertical="center" wrapText="1"/>
    </xf>
    <xf numFmtId="0" fontId="17" fillId="9" borderId="9" xfId="38" applyFont="1" applyFill="1" applyBorder="1" applyAlignment="1">
      <alignment horizontal="center" vertical="center" wrapText="1"/>
    </xf>
    <xf numFmtId="0" fontId="18" fillId="9" borderId="6" xfId="38" applyFont="1" applyFill="1" applyBorder="1" applyAlignment="1">
      <alignment horizontal="center" vertical="center"/>
    </xf>
    <xf numFmtId="0" fontId="18" fillId="9" borderId="6" xfId="38" applyFont="1" applyFill="1" applyBorder="1" applyAlignment="1">
      <alignment horizontal="center" vertical="center" wrapText="1"/>
    </xf>
    <xf numFmtId="0" fontId="18" fillId="9" borderId="9" xfId="38" applyFont="1" applyFill="1" applyBorder="1" applyAlignment="1">
      <alignment horizontal="center" vertical="center" wrapText="1"/>
    </xf>
    <xf numFmtId="0" fontId="17" fillId="9" borderId="6" xfId="38" applyFont="1" applyFill="1" applyBorder="1" applyAlignment="1">
      <alignment horizontal="center" vertical="center"/>
    </xf>
    <xf numFmtId="0" fontId="37" fillId="9" borderId="20" xfId="0" applyFont="1" applyFill="1" applyBorder="1" applyAlignment="1">
      <alignment horizontal="center"/>
    </xf>
    <xf numFmtId="0" fontId="36" fillId="9" borderId="21" xfId="0" applyFont="1" applyFill="1" applyBorder="1" applyAlignment="1">
      <alignment horizontal="center"/>
    </xf>
    <xf numFmtId="0" fontId="36" fillId="9" borderId="22" xfId="0" applyFont="1" applyFill="1" applyBorder="1" applyAlignment="1">
      <alignment horizontal="center"/>
    </xf>
    <xf numFmtId="0" fontId="36" fillId="9" borderId="23" xfId="0" applyFont="1" applyFill="1" applyBorder="1" applyAlignment="1">
      <alignment horizontal="center"/>
    </xf>
    <xf numFmtId="0" fontId="36" fillId="9" borderId="24" xfId="0" applyFont="1" applyFill="1" applyBorder="1" applyAlignment="1">
      <alignment horizontal="center"/>
    </xf>
    <xf numFmtId="0" fontId="37" fillId="9" borderId="25" xfId="0" applyFont="1" applyFill="1" applyBorder="1" applyAlignment="1">
      <alignment horizontal="center"/>
    </xf>
    <xf numFmtId="0" fontId="36" fillId="9" borderId="26" xfId="0" applyFont="1" applyFill="1" applyBorder="1" applyAlignment="1">
      <alignment horizontal="center"/>
    </xf>
    <xf numFmtId="0" fontId="36" fillId="9" borderId="27" xfId="0" applyFont="1" applyFill="1" applyBorder="1" applyAlignment="1">
      <alignment horizontal="center"/>
    </xf>
    <xf numFmtId="0" fontId="36" fillId="9" borderId="28" xfId="0" applyFont="1" applyFill="1" applyBorder="1" applyAlignment="1">
      <alignment horizontal="center"/>
    </xf>
    <xf numFmtId="0" fontId="36" fillId="9" borderId="21" xfId="0" applyFont="1" applyFill="1" applyBorder="1" applyAlignment="1">
      <alignment horizontal="center" vertical="center"/>
    </xf>
    <xf numFmtId="0" fontId="36" fillId="9" borderId="22" xfId="0" applyFont="1" applyFill="1" applyBorder="1" applyAlignment="1">
      <alignment horizontal="center" vertical="center"/>
    </xf>
    <xf numFmtId="0" fontId="36" fillId="9" borderId="24" xfId="0" applyFont="1" applyFill="1" applyBorder="1" applyAlignment="1">
      <alignment horizontal="center" vertical="center"/>
    </xf>
    <xf numFmtId="0" fontId="36" fillId="9" borderId="26" xfId="0" applyFont="1" applyFill="1" applyBorder="1" applyAlignment="1">
      <alignment horizontal="center" vertical="center"/>
    </xf>
    <xf numFmtId="0" fontId="36" fillId="9" borderId="27" xfId="0" applyFont="1" applyFill="1" applyBorder="1" applyAlignment="1">
      <alignment horizontal="center" vertical="center"/>
    </xf>
    <xf numFmtId="0" fontId="36" fillId="9" borderId="29" xfId="0" applyFont="1" applyFill="1" applyBorder="1" applyAlignment="1">
      <alignment horizontal="center" vertical="center"/>
    </xf>
    <xf numFmtId="4" fontId="5" fillId="9" borderId="6" xfId="0" applyNumberFormat="1" applyFont="1" applyFill="1" applyBorder="1" applyAlignment="1">
      <alignment horizontal="center" vertical="center"/>
    </xf>
    <xf numFmtId="4" fontId="4" fillId="9" borderId="6" xfId="0" applyNumberFormat="1" applyFont="1" applyFill="1" applyBorder="1" applyAlignment="1">
      <alignment horizontal="center" vertical="center"/>
    </xf>
    <xf numFmtId="0" fontId="16" fillId="9" borderId="6" xfId="0" applyFont="1" applyFill="1" applyBorder="1" applyAlignment="1">
      <alignment horizontal="center" vertical="center" wrapText="1"/>
    </xf>
    <xf numFmtId="174" fontId="16" fillId="9" borderId="6" xfId="0" applyNumberFormat="1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 wrapText="1"/>
    </xf>
    <xf numFmtId="174" fontId="13" fillId="9" borderId="6" xfId="0" applyNumberFormat="1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0" fontId="18" fillId="9" borderId="4" xfId="26" applyFont="1" applyFill="1" applyBorder="1" applyAlignment="1">
      <alignment vertical="center"/>
    </xf>
    <xf numFmtId="0" fontId="17" fillId="9" borderId="6" xfId="0" applyFont="1" applyFill="1" applyBorder="1" applyAlignment="1" applyProtection="1">
      <alignment horizontal="center" vertical="center" wrapText="1"/>
      <protection hidden="1"/>
    </xf>
    <xf numFmtId="0" fontId="18" fillId="9" borderId="6" xfId="0" applyFont="1" applyFill="1" applyBorder="1" applyAlignment="1" applyProtection="1">
      <alignment horizontal="center" vertical="center" wrapText="1"/>
      <protection hidden="1"/>
    </xf>
    <xf numFmtId="0" fontId="5" fillId="0" borderId="2" xfId="36" applyFont="1" applyBorder="1" applyAlignment="1">
      <alignment horizontal="center" vertical="center"/>
    </xf>
    <xf numFmtId="166" fontId="5" fillId="0" borderId="5" xfId="36" applyNumberFormat="1" applyFont="1" applyBorder="1" applyAlignment="1">
      <alignment horizontal="center" vertical="center"/>
    </xf>
    <xf numFmtId="166" fontId="5" fillId="0" borderId="2" xfId="36" applyNumberFormat="1" applyFont="1" applyBorder="1" applyAlignment="1">
      <alignment horizontal="center" vertical="center"/>
    </xf>
    <xf numFmtId="166" fontId="5" fillId="0" borderId="4" xfId="36" applyNumberFormat="1" applyFont="1" applyBorder="1" applyAlignment="1">
      <alignment horizontal="center" vertical="center"/>
    </xf>
    <xf numFmtId="166" fontId="5" fillId="0" borderId="1" xfId="36" applyNumberFormat="1" applyFont="1" applyBorder="1" applyAlignment="1">
      <alignment horizontal="center" vertical="center"/>
    </xf>
    <xf numFmtId="49" fontId="5" fillId="0" borderId="2" xfId="36" applyNumberFormat="1" applyFont="1" applyBorder="1" applyAlignment="1">
      <alignment horizontal="center" vertical="center"/>
    </xf>
    <xf numFmtId="166" fontId="5" fillId="0" borderId="0" xfId="36" applyNumberFormat="1" applyFont="1" applyAlignment="1">
      <alignment horizontal="center" vertical="center"/>
    </xf>
    <xf numFmtId="166" fontId="4" fillId="0" borderId="2" xfId="36" applyNumberFormat="1" applyFont="1" applyBorder="1" applyAlignment="1">
      <alignment horizontal="center" vertical="center"/>
    </xf>
    <xf numFmtId="166" fontId="4" fillId="0" borderId="4" xfId="36" applyNumberFormat="1" applyFont="1" applyBorder="1" applyAlignment="1">
      <alignment horizontal="center" vertical="center"/>
    </xf>
    <xf numFmtId="49" fontId="5" fillId="0" borderId="0" xfId="36" applyNumberFormat="1" applyFont="1" applyAlignment="1">
      <alignment horizontal="center" vertical="center"/>
    </xf>
    <xf numFmtId="166" fontId="4" fillId="0" borderId="0" xfId="36" applyNumberFormat="1" applyFont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/>
    </xf>
    <xf numFmtId="166" fontId="5" fillId="3" borderId="2" xfId="0" applyNumberFormat="1" applyFont="1" applyFill="1" applyBorder="1" applyAlignment="1">
      <alignment horizontal="center" vertical="center" wrapText="1"/>
    </xf>
    <xf numFmtId="49" fontId="28" fillId="0" borderId="2" xfId="0" applyNumberFormat="1" applyFont="1" applyBorder="1" applyAlignment="1">
      <alignment horizontal="right" vertical="center"/>
    </xf>
    <xf numFmtId="166" fontId="4" fillId="3" borderId="2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49" fontId="5" fillId="0" borderId="2" xfId="26" applyNumberFormat="1" applyFont="1" applyBorder="1" applyAlignment="1">
      <alignment horizontal="center" vertical="center"/>
    </xf>
    <xf numFmtId="166" fontId="4" fillId="0" borderId="2" xfId="26" applyNumberFormat="1" applyFont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166" fontId="17" fillId="0" borderId="1" xfId="0" applyNumberFormat="1" applyFont="1" applyBorder="1" applyAlignment="1">
      <alignment horizontal="center" vertical="center" wrapText="1"/>
    </xf>
    <xf numFmtId="166" fontId="17" fillId="0" borderId="2" xfId="0" applyNumberFormat="1" applyFont="1" applyBorder="1" applyAlignment="1">
      <alignment horizontal="center" vertical="center" wrapText="1"/>
    </xf>
    <xf numFmtId="0" fontId="24" fillId="0" borderId="2" xfId="28" applyFont="1" applyBorder="1" applyAlignment="1">
      <alignment horizontal="center" vertical="center"/>
    </xf>
    <xf numFmtId="166" fontId="21" fillId="0" borderId="2" xfId="28" applyNumberFormat="1" applyFont="1" applyBorder="1" applyAlignment="1">
      <alignment horizontal="center" vertical="center" wrapText="1"/>
    </xf>
    <xf numFmtId="2" fontId="21" fillId="0" borderId="2" xfId="28" applyNumberFormat="1" applyFont="1" applyBorder="1" applyAlignment="1">
      <alignment horizontal="center" vertical="center" wrapText="1"/>
    </xf>
    <xf numFmtId="49" fontId="24" fillId="0" borderId="2" xfId="28" applyNumberFormat="1" applyFont="1" applyBorder="1" applyAlignment="1">
      <alignment horizontal="center" vertical="center"/>
    </xf>
    <xf numFmtId="166" fontId="9" fillId="0" borderId="2" xfId="28" applyNumberFormat="1" applyFont="1" applyBorder="1" applyAlignment="1">
      <alignment horizontal="center" vertical="center" wrapText="1"/>
    </xf>
    <xf numFmtId="0" fontId="21" fillId="0" borderId="2" xfId="28" applyFont="1" applyBorder="1" applyAlignment="1">
      <alignment horizontal="center" vertical="center" wrapText="1"/>
    </xf>
    <xf numFmtId="166" fontId="21" fillId="0" borderId="2" xfId="28" applyNumberFormat="1" applyFont="1" applyBorder="1" applyAlignment="1">
      <alignment horizontal="center" vertical="center"/>
    </xf>
    <xf numFmtId="2" fontId="21" fillId="0" borderId="2" xfId="28" applyNumberFormat="1" applyFont="1" applyBorder="1" applyAlignment="1">
      <alignment horizontal="center" vertical="center"/>
    </xf>
    <xf numFmtId="166" fontId="9" fillId="0" borderId="2" xfId="28" applyNumberFormat="1" applyFont="1" applyBorder="1" applyAlignment="1">
      <alignment horizontal="center" vertical="center"/>
    </xf>
    <xf numFmtId="2" fontId="9" fillId="0" borderId="2" xfId="28" applyNumberFormat="1" applyFont="1" applyBorder="1" applyAlignment="1">
      <alignment horizontal="center" vertical="center" wrapText="1"/>
    </xf>
    <xf numFmtId="49" fontId="24" fillId="0" borderId="2" xfId="26" applyNumberFormat="1" applyFont="1" applyBorder="1" applyAlignment="1">
      <alignment horizontal="center" vertical="center"/>
    </xf>
    <xf numFmtId="166" fontId="9" fillId="0" borderId="2" xfId="26" applyNumberFormat="1" applyFont="1" applyBorder="1" applyAlignment="1">
      <alignment horizontal="center" vertical="center"/>
    </xf>
    <xf numFmtId="2" fontId="9" fillId="0" borderId="2" xfId="26" applyNumberFormat="1" applyFont="1" applyBorder="1" applyAlignment="1">
      <alignment horizontal="center" vertical="center" wrapText="1"/>
    </xf>
    <xf numFmtId="166" fontId="24" fillId="0" borderId="2" xfId="26" applyNumberFormat="1" applyFont="1" applyBorder="1" applyAlignment="1">
      <alignment horizontal="center" vertical="center"/>
    </xf>
    <xf numFmtId="2" fontId="24" fillId="0" borderId="2" xfId="26" applyNumberFormat="1" applyFont="1" applyBorder="1" applyAlignment="1">
      <alignment horizontal="center" vertical="center"/>
    </xf>
    <xf numFmtId="166" fontId="34" fillId="0" borderId="2" xfId="26" applyNumberFormat="1" applyFont="1" applyBorder="1" applyAlignment="1">
      <alignment horizontal="center" vertical="center"/>
    </xf>
    <xf numFmtId="166" fontId="34" fillId="0" borderId="2" xfId="26" applyNumberFormat="1" applyFont="1" applyBorder="1" applyAlignment="1">
      <alignment horizontal="center" vertical="center" wrapText="1"/>
    </xf>
    <xf numFmtId="2" fontId="34" fillId="0" borderId="2" xfId="26" applyNumberFormat="1" applyFont="1" applyBorder="1" applyAlignment="1">
      <alignment horizontal="center" vertical="center" wrapText="1"/>
    </xf>
    <xf numFmtId="166" fontId="24" fillId="0" borderId="2" xfId="26" applyNumberFormat="1" applyFont="1" applyBorder="1" applyAlignment="1">
      <alignment horizontal="center" vertical="center" wrapText="1"/>
    </xf>
    <xf numFmtId="2" fontId="24" fillId="0" borderId="2" xfId="26" applyNumberFormat="1" applyFont="1" applyBorder="1" applyAlignment="1">
      <alignment horizontal="center" vertical="center" wrapText="1"/>
    </xf>
    <xf numFmtId="2" fontId="9" fillId="0" borderId="2" xfId="26" applyNumberFormat="1" applyFont="1" applyBorder="1" applyAlignment="1">
      <alignment horizontal="center" vertical="center"/>
    </xf>
    <xf numFmtId="166" fontId="134" fillId="0" borderId="2" xfId="26" applyNumberFormat="1" applyFont="1" applyBorder="1" applyAlignment="1">
      <alignment horizontal="center" vertical="center" wrapText="1"/>
    </xf>
    <xf numFmtId="2" fontId="135" fillId="0" borderId="2" xfId="26" applyNumberFormat="1" applyFont="1" applyBorder="1" applyAlignment="1">
      <alignment horizontal="center" vertical="center" wrapText="1"/>
    </xf>
    <xf numFmtId="2" fontId="134" fillId="0" borderId="2" xfId="26" applyNumberFormat="1" applyFont="1" applyBorder="1" applyAlignment="1">
      <alignment horizontal="center" vertical="center" wrapText="1"/>
    </xf>
    <xf numFmtId="49" fontId="24" fillId="0" borderId="3" xfId="26" applyNumberFormat="1" applyFont="1" applyBorder="1" applyAlignment="1">
      <alignment horizontal="center" vertical="center"/>
    </xf>
    <xf numFmtId="166" fontId="9" fillId="0" borderId="3" xfId="26" applyNumberFormat="1" applyFont="1" applyBorder="1" applyAlignment="1">
      <alignment horizontal="center" vertical="center"/>
    </xf>
    <xf numFmtId="166" fontId="9" fillId="0" borderId="3" xfId="28" applyNumberFormat="1" applyFont="1" applyBorder="1" applyAlignment="1">
      <alignment horizontal="center" vertical="center" wrapText="1"/>
    </xf>
    <xf numFmtId="2" fontId="9" fillId="0" borderId="3" xfId="26" applyNumberFormat="1" applyFont="1" applyBorder="1" applyAlignment="1">
      <alignment horizontal="center" vertical="center" wrapText="1"/>
    </xf>
    <xf numFmtId="166" fontId="18" fillId="0" borderId="2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/>
    </xf>
    <xf numFmtId="166" fontId="4" fillId="0" borderId="2" xfId="0" applyNumberFormat="1" applyFont="1" applyBorder="1" applyAlignment="1">
      <alignment horizontal="center"/>
    </xf>
    <xf numFmtId="166" fontId="18" fillId="0" borderId="3" xfId="0" applyNumberFormat="1" applyFont="1" applyBorder="1" applyAlignment="1">
      <alignment horizontal="center" vertical="center"/>
    </xf>
    <xf numFmtId="0" fontId="24" fillId="0" borderId="1" xfId="28" applyFont="1" applyBorder="1" applyAlignment="1">
      <alignment horizontal="center" vertical="center"/>
    </xf>
    <xf numFmtId="166" fontId="21" fillId="0" borderId="1" xfId="28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" fontId="24" fillId="0" borderId="2" xfId="28" applyNumberFormat="1" applyFont="1" applyBorder="1" applyAlignment="1">
      <alignment horizontal="center" vertical="center"/>
    </xf>
    <xf numFmtId="166" fontId="9" fillId="0" borderId="3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center" vertical="center"/>
    </xf>
    <xf numFmtId="166" fontId="56" fillId="0" borderId="2" xfId="0" applyNumberFormat="1" applyFont="1" applyBorder="1" applyAlignment="1">
      <alignment horizontal="center" vertical="center"/>
    </xf>
    <xf numFmtId="166" fontId="21" fillId="0" borderId="2" xfId="1" applyNumberFormat="1" applyFont="1" applyBorder="1" applyAlignment="1">
      <alignment horizontal="center" vertical="center"/>
    </xf>
    <xf numFmtId="166" fontId="49" fillId="0" borderId="2" xfId="0" applyNumberFormat="1" applyFont="1" applyBorder="1" applyAlignment="1">
      <alignment horizontal="center" vertical="center"/>
    </xf>
    <xf numFmtId="166" fontId="22" fillId="0" borderId="2" xfId="28" applyNumberFormat="1" applyFont="1" applyBorder="1" applyAlignment="1">
      <alignment horizontal="center" vertical="center"/>
    </xf>
    <xf numFmtId="166" fontId="51" fillId="0" borderId="2" xfId="0" applyNumberFormat="1" applyFont="1" applyBorder="1" applyAlignment="1">
      <alignment horizontal="center" vertical="center"/>
    </xf>
    <xf numFmtId="166" fontId="24" fillId="0" borderId="2" xfId="28" applyNumberFormat="1" applyFont="1" applyBorder="1" applyAlignment="1">
      <alignment horizontal="center" vertical="center"/>
    </xf>
    <xf numFmtId="170" fontId="22" fillId="0" borderId="2" xfId="4" applyNumberFormat="1" applyFont="1" applyFill="1" applyBorder="1" applyAlignment="1">
      <alignment horizontal="center" vertical="center"/>
    </xf>
    <xf numFmtId="170" fontId="24" fillId="0" borderId="2" xfId="4" applyNumberFormat="1" applyFont="1" applyFill="1" applyBorder="1" applyAlignment="1">
      <alignment horizontal="center" vertical="center"/>
    </xf>
    <xf numFmtId="171" fontId="24" fillId="0" borderId="2" xfId="0" applyNumberFormat="1" applyFont="1" applyBorder="1" applyAlignment="1">
      <alignment horizontal="center" vertical="center"/>
    </xf>
    <xf numFmtId="2" fontId="22" fillId="0" borderId="2" xfId="28" applyNumberFormat="1" applyFont="1" applyBorder="1" applyAlignment="1">
      <alignment vertical="center"/>
    </xf>
    <xf numFmtId="49" fontId="21" fillId="0" borderId="3" xfId="0" applyNumberFormat="1" applyFont="1" applyBorder="1" applyAlignment="1">
      <alignment horizontal="center" vertical="center"/>
    </xf>
    <xf numFmtId="166" fontId="22" fillId="0" borderId="3" xfId="0" applyNumberFormat="1" applyFont="1" applyBorder="1" applyAlignment="1">
      <alignment horizontal="center" vertical="center"/>
    </xf>
    <xf numFmtId="166" fontId="63" fillId="0" borderId="2" xfId="0" applyNumberFormat="1" applyFont="1" applyBorder="1" applyAlignment="1">
      <alignment horizontal="center" vertical="center"/>
    </xf>
    <xf numFmtId="166" fontId="84" fillId="0" borderId="2" xfId="0" applyNumberFormat="1" applyFont="1" applyBorder="1" applyAlignment="1">
      <alignment horizontal="center" vertical="center"/>
    </xf>
    <xf numFmtId="166" fontId="61" fillId="0" borderId="2" xfId="0" applyNumberFormat="1" applyFont="1" applyBorder="1" applyAlignment="1">
      <alignment horizontal="center" vertical="center"/>
    </xf>
    <xf numFmtId="166" fontId="85" fillId="0" borderId="2" xfId="0" applyNumberFormat="1" applyFont="1" applyBorder="1" applyAlignment="1">
      <alignment horizontal="center" vertical="center"/>
    </xf>
    <xf numFmtId="166" fontId="85" fillId="0" borderId="3" xfId="0" applyNumberFormat="1" applyFont="1" applyBorder="1" applyAlignment="1">
      <alignment horizontal="center" vertical="center"/>
    </xf>
    <xf numFmtId="0" fontId="111" fillId="0" borderId="0" xfId="0" applyFont="1" applyAlignment="1">
      <alignment horizontal="center" vertical="top"/>
    </xf>
    <xf numFmtId="166" fontId="84" fillId="0" borderId="3" xfId="0" applyNumberFormat="1" applyFont="1" applyBorder="1" applyAlignment="1">
      <alignment horizontal="center" vertical="center"/>
    </xf>
    <xf numFmtId="0" fontId="71" fillId="9" borderId="6" xfId="0" applyFont="1" applyFill="1" applyBorder="1" applyAlignment="1">
      <alignment vertical="center"/>
    </xf>
    <xf numFmtId="166" fontId="63" fillId="0" borderId="3" xfId="0" applyNumberFormat="1" applyFont="1" applyBorder="1" applyAlignment="1">
      <alignment horizontal="center" vertical="center"/>
    </xf>
    <xf numFmtId="0" fontId="191" fillId="10" borderId="0" xfId="3" applyFont="1" applyFill="1" applyAlignment="1">
      <alignment horizontal="center" vertical="center" wrapText="1"/>
    </xf>
    <xf numFmtId="0" fontId="192" fillId="0" borderId="0" xfId="0" applyFont="1" applyAlignment="1">
      <alignment horizontal="center" vertical="center"/>
    </xf>
    <xf numFmtId="0" fontId="193" fillId="10" borderId="0" xfId="3" applyFont="1" applyFill="1" applyAlignment="1">
      <alignment horizontal="center" vertical="center" wrapText="1"/>
    </xf>
    <xf numFmtId="0" fontId="196" fillId="0" borderId="0" xfId="0" applyFont="1" applyAlignment="1">
      <alignment horizontal="center" vertical="center"/>
    </xf>
    <xf numFmtId="0" fontId="196" fillId="10" borderId="0" xfId="0" applyFont="1" applyFill="1" applyAlignment="1">
      <alignment horizontal="center" vertical="center"/>
    </xf>
    <xf numFmtId="0" fontId="197" fillId="0" borderId="0" xfId="0" applyFont="1"/>
    <xf numFmtId="0" fontId="198" fillId="0" borderId="0" xfId="0" applyFont="1"/>
    <xf numFmtId="0" fontId="171" fillId="0" borderId="0" xfId="0" applyFont="1" applyAlignment="1">
      <alignment horizontal="center" vertical="center"/>
    </xf>
    <xf numFmtId="49" fontId="21" fillId="0" borderId="2" xfId="28" applyNumberFormat="1" applyFont="1" applyBorder="1" applyAlignment="1">
      <alignment horizontal="center" vertical="center"/>
    </xf>
    <xf numFmtId="0" fontId="203" fillId="10" borderId="0" xfId="0" applyFont="1" applyFill="1" applyAlignment="1">
      <alignment horizontal="center"/>
    </xf>
    <xf numFmtId="0" fontId="203" fillId="0" borderId="0" xfId="28" applyFont="1"/>
    <xf numFmtId="0" fontId="21" fillId="0" borderId="1" xfId="28" applyFont="1" applyBorder="1" applyAlignment="1">
      <alignment horizontal="center"/>
    </xf>
    <xf numFmtId="166" fontId="24" fillId="0" borderId="1" xfId="28" applyNumberFormat="1" applyFont="1" applyBorder="1" applyAlignment="1">
      <alignment horizontal="center"/>
    </xf>
    <xf numFmtId="166" fontId="24" fillId="0" borderId="1" xfId="28" applyNumberFormat="1" applyFont="1" applyBorder="1" applyAlignment="1">
      <alignment horizontal="center" vertical="center"/>
    </xf>
    <xf numFmtId="49" fontId="21" fillId="0" borderId="2" xfId="28" applyNumberFormat="1" applyFont="1" applyBorder="1" applyAlignment="1">
      <alignment horizontal="right"/>
    </xf>
    <xf numFmtId="0" fontId="21" fillId="0" borderId="2" xfId="28" applyFont="1" applyBorder="1" applyAlignment="1">
      <alignment horizontal="center"/>
    </xf>
    <xf numFmtId="166" fontId="24" fillId="0" borderId="2" xfId="28" applyNumberFormat="1" applyFont="1" applyBorder="1" applyAlignment="1">
      <alignment horizontal="center"/>
    </xf>
    <xf numFmtId="2" fontId="24" fillId="0" borderId="2" xfId="28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right"/>
    </xf>
    <xf numFmtId="166" fontId="31" fillId="0" borderId="2" xfId="28" applyNumberFormat="1" applyFont="1" applyBorder="1" applyAlignment="1">
      <alignment horizontal="center" vertical="center"/>
    </xf>
    <xf numFmtId="166" fontId="31" fillId="0" borderId="2" xfId="28" applyNumberFormat="1" applyFont="1" applyBorder="1" applyAlignment="1">
      <alignment horizontal="center"/>
    </xf>
    <xf numFmtId="2" fontId="31" fillId="0" borderId="2" xfId="28" applyNumberFormat="1" applyFont="1" applyBorder="1" applyAlignment="1">
      <alignment horizontal="center"/>
    </xf>
    <xf numFmtId="2" fontId="31" fillId="0" borderId="2" xfId="28" applyNumberFormat="1" applyFont="1" applyBorder="1"/>
    <xf numFmtId="0" fontId="206" fillId="11" borderId="18" xfId="0" applyFont="1" applyFill="1" applyBorder="1" applyAlignment="1">
      <alignment horizontal="center" vertical="center"/>
    </xf>
    <xf numFmtId="0" fontId="132" fillId="0" borderId="1" xfId="0" applyFont="1" applyBorder="1" applyAlignment="1">
      <alignment horizontal="center" vertical="center"/>
    </xf>
    <xf numFmtId="0" fontId="133" fillId="0" borderId="1" xfId="0" quotePrefix="1" applyFont="1" applyBorder="1" applyAlignment="1">
      <alignment horizontal="center" vertical="center" wrapText="1"/>
    </xf>
    <xf numFmtId="166" fontId="133" fillId="0" borderId="1" xfId="0" quotePrefix="1" applyNumberFormat="1" applyFont="1" applyBorder="1" applyAlignment="1">
      <alignment horizontal="center" vertical="center"/>
    </xf>
    <xf numFmtId="2" fontId="97" fillId="0" borderId="1" xfId="0" applyNumberFormat="1" applyFont="1" applyBorder="1" applyAlignment="1">
      <alignment horizontal="center" vertical="center"/>
    </xf>
    <xf numFmtId="10" fontId="115" fillId="0" borderId="2" xfId="40" applyNumberFormat="1" applyFont="1" applyFill="1" applyBorder="1" applyAlignment="1">
      <alignment horizontal="center"/>
    </xf>
    <xf numFmtId="0" fontId="114" fillId="0" borderId="2" xfId="0" applyFont="1" applyBorder="1" applyAlignment="1">
      <alignment horizontal="left" vertical="center"/>
    </xf>
    <xf numFmtId="10" fontId="115" fillId="0" borderId="2" xfId="40" applyNumberFormat="1" applyFont="1" applyFill="1" applyBorder="1" applyAlignment="1">
      <alignment horizontal="center" vertical="center"/>
    </xf>
    <xf numFmtId="0" fontId="115" fillId="0" borderId="2" xfId="0" applyFont="1" applyBorder="1" applyAlignment="1">
      <alignment horizontal="left"/>
    </xf>
    <xf numFmtId="0" fontId="114" fillId="0" borderId="3" xfId="0" applyFont="1" applyBorder="1" applyAlignment="1">
      <alignment horizontal="left" vertical="center"/>
    </xf>
    <xf numFmtId="10" fontId="115" fillId="0" borderId="3" xfId="40" applyNumberFormat="1" applyFont="1" applyFill="1" applyBorder="1" applyAlignment="1">
      <alignment horizontal="center"/>
    </xf>
    <xf numFmtId="10" fontId="114" fillId="0" borderId="2" xfId="40" applyNumberFormat="1" applyFont="1" applyFill="1" applyBorder="1" applyAlignment="1">
      <alignment horizontal="center"/>
    </xf>
    <xf numFmtId="10" fontId="114" fillId="0" borderId="2" xfId="40" applyNumberFormat="1" applyFont="1" applyFill="1" applyBorder="1" applyAlignment="1">
      <alignment horizontal="center" vertical="center"/>
    </xf>
    <xf numFmtId="0" fontId="209" fillId="0" borderId="2" xfId="0" applyFont="1" applyBorder="1" applyAlignment="1">
      <alignment horizontal="left"/>
    </xf>
    <xf numFmtId="10" fontId="115" fillId="0" borderId="3" xfId="40" applyNumberFormat="1" applyFont="1" applyFill="1" applyBorder="1" applyAlignment="1">
      <alignment horizontal="center" vertical="center"/>
    </xf>
    <xf numFmtId="4" fontId="10" fillId="0" borderId="2" xfId="38" applyNumberFormat="1" applyFont="1" applyBorder="1" applyAlignment="1">
      <alignment horizontal="center" vertical="center"/>
    </xf>
    <xf numFmtId="173" fontId="10" fillId="0" borderId="2" xfId="38" applyNumberFormat="1" applyFont="1" applyBorder="1" applyAlignment="1">
      <alignment horizontal="center" vertical="center"/>
    </xf>
    <xf numFmtId="0" fontId="5" fillId="0" borderId="2" xfId="38" applyFont="1" applyBorder="1" applyAlignment="1">
      <alignment horizontal="center" vertical="center"/>
    </xf>
    <xf numFmtId="0" fontId="10" fillId="0" borderId="2" xfId="38" applyFont="1" applyBorder="1" applyAlignment="1">
      <alignment horizontal="center" vertical="center"/>
    </xf>
    <xf numFmtId="173" fontId="113" fillId="11" borderId="0" xfId="38" applyNumberFormat="1" applyFont="1" applyFill="1" applyAlignment="1">
      <alignment horizontal="right"/>
    </xf>
    <xf numFmtId="14" fontId="4" fillId="0" borderId="1" xfId="38" applyNumberFormat="1" applyFont="1" applyBorder="1" applyAlignment="1">
      <alignment horizontal="center" vertical="center"/>
    </xf>
    <xf numFmtId="0" fontId="4" fillId="0" borderId="1" xfId="38" applyFont="1" applyBorder="1" applyAlignment="1">
      <alignment horizontal="center" vertical="center"/>
    </xf>
    <xf numFmtId="1" fontId="4" fillId="0" borderId="1" xfId="38" applyNumberFormat="1" applyFont="1" applyBorder="1" applyAlignment="1">
      <alignment horizontal="center" vertical="center"/>
    </xf>
    <xf numFmtId="4" fontId="4" fillId="0" borderId="1" xfId="38" applyNumberFormat="1" applyFont="1" applyBorder="1" applyAlignment="1">
      <alignment horizontal="center" vertical="center"/>
    </xf>
    <xf numFmtId="10" fontId="4" fillId="0" borderId="1" xfId="38" applyNumberFormat="1" applyFont="1" applyBorder="1" applyAlignment="1">
      <alignment horizontal="center" vertical="center"/>
    </xf>
    <xf numFmtId="14" fontId="4" fillId="0" borderId="2" xfId="38" applyNumberFormat="1" applyFont="1" applyBorder="1" applyAlignment="1">
      <alignment horizontal="center" vertical="center"/>
    </xf>
    <xf numFmtId="0" fontId="4" fillId="0" borderId="2" xfId="38" applyFont="1" applyBorder="1" applyAlignment="1">
      <alignment horizontal="center" vertical="center"/>
    </xf>
    <xf numFmtId="1" fontId="4" fillId="0" borderId="2" xfId="38" applyNumberFormat="1" applyFont="1" applyBorder="1" applyAlignment="1">
      <alignment horizontal="center" vertical="center"/>
    </xf>
    <xf numFmtId="4" fontId="4" fillId="0" borderId="2" xfId="38" applyNumberFormat="1" applyFont="1" applyBorder="1" applyAlignment="1">
      <alignment horizontal="center" vertical="center"/>
    </xf>
    <xf numFmtId="10" fontId="4" fillId="0" borderId="2" xfId="38" applyNumberFormat="1" applyFont="1" applyBorder="1" applyAlignment="1">
      <alignment horizontal="center" vertical="center"/>
    </xf>
    <xf numFmtId="3" fontId="4" fillId="0" borderId="2" xfId="38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6" fontId="8" fillId="0" borderId="2" xfId="40" applyNumberFormat="1" applyFont="1" applyFill="1" applyBorder="1" applyAlignment="1">
      <alignment horizontal="center" vertical="center"/>
    </xf>
    <xf numFmtId="49" fontId="5" fillId="0" borderId="3" xfId="38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166" fontId="16" fillId="0" borderId="2" xfId="0" applyNumberFormat="1" applyFont="1" applyBorder="1" applyAlignment="1">
      <alignment horizontal="center" vertical="center"/>
    </xf>
    <xf numFmtId="168" fontId="16" fillId="0" borderId="2" xfId="0" applyNumberFormat="1" applyFont="1" applyBorder="1" applyAlignment="1">
      <alignment horizontal="center" vertical="center"/>
    </xf>
    <xf numFmtId="166" fontId="13" fillId="0" borderId="2" xfId="0" applyNumberFormat="1" applyFont="1" applyBorder="1" applyAlignment="1">
      <alignment horizontal="center" vertical="center"/>
    </xf>
    <xf numFmtId="168" fontId="13" fillId="0" borderId="2" xfId="0" applyNumberFormat="1" applyFont="1" applyBorder="1" applyAlignment="1">
      <alignment horizontal="center" vertical="center"/>
    </xf>
    <xf numFmtId="166" fontId="42" fillId="0" borderId="2" xfId="0" applyNumberFormat="1" applyFont="1" applyBorder="1" applyAlignment="1">
      <alignment horizontal="center" vertical="center"/>
    </xf>
    <xf numFmtId="168" fontId="42" fillId="0" borderId="2" xfId="0" applyNumberFormat="1" applyFont="1" applyBorder="1" applyAlignment="1">
      <alignment horizontal="center" vertical="center"/>
    </xf>
    <xf numFmtId="166" fontId="53" fillId="0" borderId="2" xfId="0" applyNumberFormat="1" applyFont="1" applyBorder="1" applyAlignment="1">
      <alignment horizontal="center" vertical="center"/>
    </xf>
    <xf numFmtId="168" fontId="53" fillId="0" borderId="2" xfId="0" applyNumberFormat="1" applyFont="1" applyBorder="1" applyAlignment="1">
      <alignment horizontal="center" vertical="center"/>
    </xf>
    <xf numFmtId="168" fontId="7" fillId="0" borderId="2" xfId="0" applyNumberFormat="1" applyFont="1" applyBorder="1" applyAlignment="1">
      <alignment horizontal="center" vertical="center"/>
    </xf>
    <xf numFmtId="168" fontId="8" fillId="0" borderId="2" xfId="0" applyNumberFormat="1" applyFont="1" applyBorder="1" applyAlignment="1">
      <alignment horizontal="center" vertical="center"/>
    </xf>
    <xf numFmtId="166" fontId="18" fillId="3" borderId="2" xfId="0" applyNumberFormat="1" applyFont="1" applyFill="1" applyBorder="1" applyAlignment="1">
      <alignment horizontal="center" vertical="center"/>
    </xf>
    <xf numFmtId="0" fontId="100" fillId="3" borderId="2" xfId="0" applyFont="1" applyFill="1" applyBorder="1" applyAlignment="1">
      <alignment horizontal="center" vertical="center"/>
    </xf>
    <xf numFmtId="0" fontId="217" fillId="0" borderId="0" xfId="36" applyFont="1" applyAlignment="1">
      <alignment vertical="center"/>
    </xf>
    <xf numFmtId="0" fontId="226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15" fillId="0" borderId="0" xfId="0" applyFont="1" applyAlignment="1">
      <alignment horizontal="center" vertical="center" wrapText="1"/>
    </xf>
    <xf numFmtId="0" fontId="216" fillId="0" borderId="0" xfId="28" applyFont="1" applyAlignment="1">
      <alignment vertical="center" wrapText="1"/>
    </xf>
    <xf numFmtId="0" fontId="217" fillId="0" borderId="0" xfId="0" applyFont="1"/>
    <xf numFmtId="49" fontId="222" fillId="0" borderId="0" xfId="0" applyNumberFormat="1" applyFont="1" applyAlignment="1">
      <alignment vertical="center" wrapText="1"/>
    </xf>
    <xf numFmtId="0" fontId="216" fillId="0" borderId="0" xfId="28" applyFont="1" applyAlignment="1">
      <alignment horizontal="left" vertical="center"/>
    </xf>
    <xf numFmtId="0" fontId="219" fillId="0" borderId="0" xfId="28" applyFont="1" applyAlignment="1">
      <alignment horizontal="center" vertical="center" wrapText="1"/>
    </xf>
    <xf numFmtId="49" fontId="216" fillId="0" borderId="0" xfId="0" applyNumberFormat="1" applyFont="1" applyAlignment="1">
      <alignment horizontal="left" vertical="center" wrapText="1"/>
    </xf>
    <xf numFmtId="0" fontId="229" fillId="0" borderId="0" xfId="0" applyFont="1" applyAlignment="1">
      <alignment vertical="justify" readingOrder="1"/>
    </xf>
    <xf numFmtId="0" fontId="219" fillId="0" borderId="0" xfId="28" applyFont="1" applyAlignment="1">
      <alignment vertical="center"/>
    </xf>
    <xf numFmtId="0" fontId="217" fillId="0" borderId="0" xfId="0" applyFont="1" applyAlignment="1">
      <alignment vertical="center"/>
    </xf>
    <xf numFmtId="0" fontId="219" fillId="0" borderId="0" xfId="0" applyFont="1" applyAlignment="1">
      <alignment vertical="center"/>
    </xf>
    <xf numFmtId="0" fontId="217" fillId="0" borderId="0" xfId="0" applyFont="1" applyAlignment="1">
      <alignment horizontal="center" vertical="center"/>
    </xf>
    <xf numFmtId="0" fontId="232" fillId="0" borderId="0" xfId="0" applyFont="1"/>
    <xf numFmtId="0" fontId="235" fillId="0" borderId="0" xfId="0" applyFont="1"/>
    <xf numFmtId="166" fontId="232" fillId="0" borderId="0" xfId="0" applyNumberFormat="1" applyFont="1"/>
    <xf numFmtId="0" fontId="218" fillId="0" borderId="0" xfId="0" applyFont="1" applyAlignment="1">
      <alignment vertical="top" wrapText="1"/>
    </xf>
    <xf numFmtId="0" fontId="218" fillId="0" borderId="0" xfId="0" applyFont="1" applyAlignment="1">
      <alignment horizontal="left" vertical="top" wrapText="1"/>
    </xf>
    <xf numFmtId="0" fontId="219" fillId="0" borderId="0" xfId="28" applyFont="1"/>
    <xf numFmtId="0" fontId="217" fillId="0" borderId="0" xfId="38" applyFont="1" applyAlignment="1">
      <alignment vertical="center"/>
    </xf>
    <xf numFmtId="173" fontId="230" fillId="0" borderId="0" xfId="38" applyNumberFormat="1" applyFont="1" applyAlignment="1">
      <alignment vertical="justify" readingOrder="1"/>
    </xf>
    <xf numFmtId="173" fontId="215" fillId="0" borderId="0" xfId="38" applyNumberFormat="1" applyFont="1"/>
    <xf numFmtId="0" fontId="236" fillId="3" borderId="0" xfId="0" applyFont="1" applyFill="1"/>
    <xf numFmtId="0" fontId="215" fillId="0" borderId="0" xfId="38" applyFont="1" applyAlignment="1">
      <alignment vertical="center"/>
    </xf>
    <xf numFmtId="0" fontId="115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73" fillId="10" borderId="0" xfId="3" applyFont="1" applyFill="1" applyAlignment="1">
      <alignment horizontal="left" vertical="center" wrapText="1"/>
    </xf>
    <xf numFmtId="0" fontId="111" fillId="0" borderId="0" xfId="0" applyFont="1" applyAlignment="1">
      <alignment horizontal="left"/>
    </xf>
    <xf numFmtId="0" fontId="174" fillId="10" borderId="0" xfId="3" applyFont="1" applyFill="1" applyAlignment="1">
      <alignment horizontal="left" vertical="center" wrapText="1"/>
    </xf>
    <xf numFmtId="0" fontId="62" fillId="0" borderId="0" xfId="3" applyFont="1" applyAlignment="1">
      <alignment horizontal="left"/>
    </xf>
    <xf numFmtId="0" fontId="64" fillId="0" borderId="0" xfId="3" applyFont="1" applyAlignment="1">
      <alignment horizontal="left"/>
    </xf>
    <xf numFmtId="0" fontId="66" fillId="0" borderId="0" xfId="3" applyFont="1" applyAlignment="1">
      <alignment horizontal="left"/>
    </xf>
    <xf numFmtId="0" fontId="65" fillId="0" borderId="0" xfId="3" applyFont="1" applyAlignment="1">
      <alignment horizontal="left"/>
    </xf>
    <xf numFmtId="0" fontId="66" fillId="0" borderId="0" xfId="0" applyFont="1" applyAlignment="1">
      <alignment horizontal="left"/>
    </xf>
    <xf numFmtId="0" fontId="64" fillId="0" borderId="0" xfId="0" applyFont="1" applyAlignment="1">
      <alignment horizontal="left"/>
    </xf>
    <xf numFmtId="0" fontId="62" fillId="0" borderId="0" xfId="3" applyFont="1" applyAlignment="1">
      <alignment horizontal="left" vertical="center"/>
    </xf>
    <xf numFmtId="0" fontId="64" fillId="0" borderId="0" xfId="3" applyFont="1" applyAlignment="1">
      <alignment horizontal="left" vertical="center"/>
    </xf>
    <xf numFmtId="0" fontId="66" fillId="0" borderId="0" xfId="3" applyFont="1" applyAlignment="1">
      <alignment horizontal="left" vertical="center"/>
    </xf>
    <xf numFmtId="0" fontId="65" fillId="0" borderId="0" xfId="3" applyFont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91" fillId="10" borderId="0" xfId="3" applyFont="1" applyFill="1" applyAlignment="1">
      <alignment horizontal="left" vertical="center" wrapText="1"/>
    </xf>
    <xf numFmtId="0" fontId="193" fillId="10" borderId="0" xfId="3" applyFont="1" applyFill="1" applyAlignment="1">
      <alignment horizontal="left" vertical="center" wrapText="1"/>
    </xf>
    <xf numFmtId="49" fontId="5" fillId="0" borderId="5" xfId="36" applyNumberFormat="1" applyFont="1" applyBorder="1" applyAlignment="1">
      <alignment horizontal="center" vertical="center"/>
    </xf>
    <xf numFmtId="166" fontId="4" fillId="0" borderId="3" xfId="36" applyNumberFormat="1" applyFont="1" applyBorder="1" applyAlignment="1">
      <alignment horizontal="center" vertical="center"/>
    </xf>
    <xf numFmtId="0" fontId="134" fillId="0" borderId="3" xfId="0" applyFont="1" applyBorder="1" applyAlignment="1">
      <alignment horizontal="left" vertical="center"/>
    </xf>
    <xf numFmtId="0" fontId="267" fillId="0" borderId="2" xfId="0" applyFont="1" applyBorder="1" applyAlignment="1">
      <alignment horizontal="center" vertical="center"/>
    </xf>
    <xf numFmtId="0" fontId="267" fillId="0" borderId="2" xfId="0" quotePrefix="1" applyFont="1" applyBorder="1" applyAlignment="1">
      <alignment horizontal="center" vertical="center" wrapText="1"/>
    </xf>
    <xf numFmtId="166" fontId="267" fillId="0" borderId="2" xfId="0" quotePrefix="1" applyNumberFormat="1" applyFont="1" applyBorder="1" applyAlignment="1">
      <alignment horizontal="center" vertical="center"/>
    </xf>
    <xf numFmtId="0" fontId="5" fillId="0" borderId="0" xfId="38" applyFont="1"/>
    <xf numFmtId="173" fontId="270" fillId="10" borderId="0" xfId="38" applyNumberFormat="1" applyFont="1" applyFill="1" applyAlignment="1">
      <alignment horizontal="center" vertical="center" wrapText="1"/>
    </xf>
    <xf numFmtId="0" fontId="5" fillId="11" borderId="0" xfId="38" applyFont="1" applyFill="1"/>
    <xf numFmtId="0" fontId="190" fillId="9" borderId="83" xfId="0" applyFont="1" applyFill="1" applyBorder="1" applyAlignment="1">
      <alignment vertical="center"/>
    </xf>
    <xf numFmtId="0" fontId="82" fillId="9" borderId="83" xfId="0" applyFont="1" applyFill="1" applyBorder="1" applyAlignment="1">
      <alignment horizontal="center" vertical="center"/>
    </xf>
    <xf numFmtId="166" fontId="63" fillId="0" borderId="86" xfId="0" applyNumberFormat="1" applyFont="1" applyBorder="1" applyAlignment="1">
      <alignment horizontal="center" vertical="center"/>
    </xf>
    <xf numFmtId="166" fontId="84" fillId="0" borderId="86" xfId="0" applyNumberFormat="1" applyFont="1" applyBorder="1" applyAlignment="1">
      <alignment horizontal="center" vertical="center"/>
    </xf>
    <xf numFmtId="166" fontId="82" fillId="0" borderId="86" xfId="0" applyNumberFormat="1" applyFont="1" applyBorder="1" applyAlignment="1">
      <alignment horizontal="center" vertical="center"/>
    </xf>
    <xf numFmtId="166" fontId="61" fillId="0" borderId="86" xfId="0" applyNumberFormat="1" applyFont="1" applyBorder="1" applyAlignment="1">
      <alignment horizontal="center" vertical="center"/>
    </xf>
    <xf numFmtId="166" fontId="85" fillId="0" borderId="86" xfId="0" applyNumberFormat="1" applyFont="1" applyBorder="1" applyAlignment="1">
      <alignment horizontal="center" vertical="center"/>
    </xf>
    <xf numFmtId="166" fontId="83" fillId="0" borderId="86" xfId="0" applyNumberFormat="1" applyFont="1" applyBorder="1" applyAlignment="1">
      <alignment horizontal="center" vertical="center"/>
    </xf>
    <xf numFmtId="166" fontId="61" fillId="0" borderId="87" xfId="0" applyNumberFormat="1" applyFont="1" applyBorder="1" applyAlignment="1">
      <alignment horizontal="center" vertical="center"/>
    </xf>
    <xf numFmtId="166" fontId="85" fillId="0" borderId="87" xfId="0" applyNumberFormat="1" applyFont="1" applyBorder="1" applyAlignment="1">
      <alignment horizontal="center" vertical="center"/>
    </xf>
    <xf numFmtId="166" fontId="83" fillId="0" borderId="87" xfId="0" applyNumberFormat="1" applyFont="1" applyBorder="1" applyAlignment="1">
      <alignment horizontal="center" vertical="center"/>
    </xf>
    <xf numFmtId="0" fontId="71" fillId="9" borderId="83" xfId="0" applyFont="1" applyFill="1" applyBorder="1" applyAlignment="1">
      <alignment vertical="center"/>
    </xf>
    <xf numFmtId="0" fontId="72" fillId="9" borderId="83" xfId="0" applyFont="1" applyFill="1" applyBorder="1" applyAlignment="1">
      <alignment horizontal="center" vertical="center"/>
    </xf>
    <xf numFmtId="166" fontId="65" fillId="0" borderId="86" xfId="0" applyNumberFormat="1" applyFont="1" applyBorder="1" applyAlignment="1">
      <alignment horizontal="center" vertical="center"/>
    </xf>
    <xf numFmtId="166" fontId="66" fillId="0" borderId="86" xfId="0" applyNumberFormat="1" applyFont="1" applyBorder="1" applyAlignment="1">
      <alignment horizontal="center" vertical="center"/>
    </xf>
    <xf numFmtId="166" fontId="65" fillId="0" borderId="87" xfId="0" applyNumberFormat="1" applyFont="1" applyBorder="1" applyAlignment="1">
      <alignment horizontal="center" vertical="center"/>
    </xf>
    <xf numFmtId="166" fontId="84" fillId="0" borderId="87" xfId="0" applyNumberFormat="1" applyFont="1" applyBorder="1" applyAlignment="1">
      <alignment horizontal="center" vertical="center"/>
    </xf>
    <xf numFmtId="0" fontId="72" fillId="9" borderId="89" xfId="0" applyFont="1" applyFill="1" applyBorder="1" applyAlignment="1">
      <alignment horizontal="center" vertical="center"/>
    </xf>
    <xf numFmtId="0" fontId="72" fillId="9" borderId="89" xfId="0" applyFont="1" applyFill="1" applyBorder="1" applyAlignment="1">
      <alignment horizontal="center" vertical="center" wrapText="1"/>
    </xf>
    <xf numFmtId="0" fontId="71" fillId="9" borderId="9" xfId="0" applyFont="1" applyFill="1" applyBorder="1" applyAlignment="1">
      <alignment vertical="center"/>
    </xf>
    <xf numFmtId="0" fontId="72" fillId="9" borderId="90" xfId="0" applyFont="1" applyFill="1" applyBorder="1" applyAlignment="1">
      <alignment horizontal="center" vertical="center"/>
    </xf>
    <xf numFmtId="166" fontId="84" fillId="0" borderId="5" xfId="0" applyNumberFormat="1" applyFont="1" applyBorder="1" applyAlignment="1">
      <alignment horizontal="center" vertical="center"/>
    </xf>
    <xf numFmtId="166" fontId="85" fillId="0" borderId="5" xfId="0" applyNumberFormat="1" applyFont="1" applyBorder="1" applyAlignment="1">
      <alignment horizontal="center" vertical="center"/>
    </xf>
    <xf numFmtId="166" fontId="85" fillId="0" borderId="17" xfId="0" applyNumberFormat="1" applyFont="1" applyBorder="1" applyAlignment="1">
      <alignment horizontal="center" vertical="center"/>
    </xf>
    <xf numFmtId="0" fontId="72" fillId="9" borderId="91" xfId="0" applyFont="1" applyFill="1" applyBorder="1" applyAlignment="1">
      <alignment horizontal="center" vertical="center"/>
    </xf>
    <xf numFmtId="166" fontId="63" fillId="0" borderId="4" xfId="0" applyNumberFormat="1" applyFont="1" applyBorder="1" applyAlignment="1">
      <alignment horizontal="center" vertical="center"/>
    </xf>
    <xf numFmtId="166" fontId="61" fillId="0" borderId="4" xfId="0" applyNumberFormat="1" applyFont="1" applyBorder="1" applyAlignment="1">
      <alignment horizontal="center" vertical="center"/>
    </xf>
    <xf numFmtId="166" fontId="63" fillId="0" borderId="19" xfId="0" applyNumberFormat="1" applyFont="1" applyBorder="1" applyAlignment="1">
      <alignment horizontal="center" vertical="center"/>
    </xf>
    <xf numFmtId="0" fontId="82" fillId="9" borderId="83" xfId="0" applyFont="1" applyFill="1" applyBorder="1" applyAlignment="1">
      <alignment vertical="center"/>
    </xf>
    <xf numFmtId="0" fontId="82" fillId="9" borderId="83" xfId="0" applyFont="1" applyFill="1" applyBorder="1" applyAlignment="1">
      <alignment horizontal="center" vertical="center" wrapText="1"/>
    </xf>
    <xf numFmtId="166" fontId="63" fillId="0" borderId="87" xfId="0" applyNumberFormat="1" applyFont="1" applyBorder="1" applyAlignment="1">
      <alignment horizontal="center" vertical="center"/>
    </xf>
    <xf numFmtId="0" fontId="69" fillId="9" borderId="83" xfId="0" applyFont="1" applyFill="1" applyBorder="1" applyAlignment="1">
      <alignment vertical="center"/>
    </xf>
    <xf numFmtId="0" fontId="67" fillId="9" borderId="83" xfId="0" applyFont="1" applyFill="1" applyBorder="1" applyAlignment="1">
      <alignment horizontal="center" vertical="center"/>
    </xf>
    <xf numFmtId="0" fontId="69" fillId="9" borderId="88" xfId="0" applyFont="1" applyFill="1" applyBorder="1" applyAlignment="1">
      <alignment vertical="center"/>
    </xf>
    <xf numFmtId="0" fontId="67" fillId="9" borderId="86" xfId="0" applyFont="1" applyFill="1" applyBorder="1" applyAlignment="1">
      <alignment horizontal="center" vertical="center"/>
    </xf>
    <xf numFmtId="0" fontId="67" fillId="9" borderId="86" xfId="0" applyFont="1" applyFill="1" applyBorder="1" applyAlignment="1">
      <alignment horizontal="center" vertical="center" wrapText="1"/>
    </xf>
    <xf numFmtId="0" fontId="190" fillId="9" borderId="83" xfId="0" applyFont="1" applyFill="1" applyBorder="1" applyAlignment="1">
      <alignment horizontal="center" vertical="center"/>
    </xf>
    <xf numFmtId="166" fontId="82" fillId="0" borderId="93" xfId="0" applyNumberFormat="1" applyFont="1" applyBorder="1" applyAlignment="1">
      <alignment horizontal="center" vertical="center"/>
    </xf>
    <xf numFmtId="166" fontId="83" fillId="0" borderId="93" xfId="0" applyNumberFormat="1" applyFont="1" applyBorder="1" applyAlignment="1">
      <alignment horizontal="center" vertical="center"/>
    </xf>
    <xf numFmtId="0" fontId="150" fillId="0" borderId="93" xfId="0" applyFont="1" applyBorder="1" applyAlignment="1">
      <alignment horizontal="center"/>
    </xf>
    <xf numFmtId="166" fontId="83" fillId="0" borderId="94" xfId="0" applyNumberFormat="1" applyFont="1" applyBorder="1" applyAlignment="1">
      <alignment horizontal="center" vertical="center"/>
    </xf>
    <xf numFmtId="0" fontId="82" fillId="9" borderId="95" xfId="0" applyFont="1" applyFill="1" applyBorder="1" applyAlignment="1">
      <alignment horizontal="center" vertical="center"/>
    </xf>
    <xf numFmtId="166" fontId="82" fillId="0" borderId="96" xfId="0" applyNumberFormat="1" applyFont="1" applyBorder="1" applyAlignment="1">
      <alignment horizontal="center" vertical="center"/>
    </xf>
    <xf numFmtId="166" fontId="83" fillId="0" borderId="96" xfId="0" applyNumberFormat="1" applyFont="1" applyBorder="1" applyAlignment="1">
      <alignment horizontal="center" vertical="center"/>
    </xf>
    <xf numFmtId="166" fontId="83" fillId="0" borderId="97" xfId="0" applyNumberFormat="1" applyFont="1" applyBorder="1" applyAlignment="1">
      <alignment horizontal="center" vertical="center"/>
    </xf>
    <xf numFmtId="0" fontId="190" fillId="9" borderId="95" xfId="0" applyFont="1" applyFill="1" applyBorder="1" applyAlignment="1">
      <alignment vertical="center"/>
    </xf>
    <xf numFmtId="0" fontId="82" fillId="9" borderId="99" xfId="0" applyFont="1" applyFill="1" applyBorder="1" applyAlignment="1">
      <alignment horizontal="center" vertical="center"/>
    </xf>
    <xf numFmtId="0" fontId="72" fillId="9" borderId="95" xfId="0" applyFont="1" applyFill="1" applyBorder="1" applyAlignment="1">
      <alignment horizontal="center" vertical="center"/>
    </xf>
    <xf numFmtId="166" fontId="84" fillId="0" borderId="96" xfId="0" applyNumberFormat="1" applyFont="1" applyBorder="1" applyAlignment="1">
      <alignment horizontal="center" vertical="center"/>
    </xf>
    <xf numFmtId="166" fontId="85" fillId="0" borderId="96" xfId="0" applyNumberFormat="1" applyFont="1" applyBorder="1" applyAlignment="1">
      <alignment horizontal="center" vertical="center"/>
    </xf>
    <xf numFmtId="166" fontId="85" fillId="0" borderId="97" xfId="0" applyNumberFormat="1" applyFont="1" applyBorder="1" applyAlignment="1">
      <alignment horizontal="center" vertical="center"/>
    </xf>
    <xf numFmtId="0" fontId="71" fillId="9" borderId="95" xfId="0" applyFont="1" applyFill="1" applyBorder="1" applyAlignment="1">
      <alignment vertical="center"/>
    </xf>
    <xf numFmtId="0" fontId="189" fillId="9" borderId="100" xfId="0" applyFont="1" applyFill="1" applyBorder="1" applyAlignment="1">
      <alignment vertical="center"/>
    </xf>
    <xf numFmtId="0" fontId="136" fillId="9" borderId="100" xfId="0" applyFont="1" applyFill="1" applyBorder="1" applyAlignment="1">
      <alignment horizontal="center" vertical="center"/>
    </xf>
    <xf numFmtId="0" fontId="189" fillId="9" borderId="101" xfId="0" applyFont="1" applyFill="1" applyBorder="1" applyAlignment="1">
      <alignment horizontal="center" vertical="center"/>
    </xf>
    <xf numFmtId="0" fontId="189" fillId="9" borderId="101" xfId="0" applyFont="1" applyFill="1" applyBorder="1" applyAlignment="1">
      <alignment vertical="center"/>
    </xf>
    <xf numFmtId="0" fontId="136" fillId="9" borderId="101" xfId="0" applyFont="1" applyFill="1" applyBorder="1" applyAlignment="1">
      <alignment horizontal="center" vertical="center"/>
    </xf>
    <xf numFmtId="166" fontId="83" fillId="0" borderId="102" xfId="0" applyNumberFormat="1" applyFont="1" applyBorder="1" applyAlignment="1">
      <alignment horizontal="center" vertical="center"/>
    </xf>
    <xf numFmtId="0" fontId="82" fillId="9" borderId="95" xfId="0" applyFont="1" applyFill="1" applyBorder="1" applyAlignment="1">
      <alignment vertical="center"/>
    </xf>
    <xf numFmtId="0" fontId="67" fillId="9" borderId="95" xfId="0" applyFont="1" applyFill="1" applyBorder="1" applyAlignment="1">
      <alignment horizontal="center" vertical="center"/>
    </xf>
    <xf numFmtId="166" fontId="82" fillId="0" borderId="103" xfId="0" applyNumberFormat="1" applyFont="1" applyBorder="1" applyAlignment="1">
      <alignment horizontal="center" vertical="center"/>
    </xf>
    <xf numFmtId="166" fontId="83" fillId="0" borderId="103" xfId="0" applyNumberFormat="1" applyFont="1" applyBorder="1" applyAlignment="1">
      <alignment horizontal="center" vertical="center"/>
    </xf>
    <xf numFmtId="166" fontId="83" fillId="0" borderId="104" xfId="0" applyNumberFormat="1" applyFont="1" applyBorder="1" applyAlignment="1">
      <alignment horizontal="center" vertical="center"/>
    </xf>
    <xf numFmtId="0" fontId="69" fillId="9" borderId="95" xfId="0" applyFont="1" applyFill="1" applyBorder="1" applyAlignment="1">
      <alignment vertical="center"/>
    </xf>
    <xf numFmtId="0" fontId="67" fillId="9" borderId="96" xfId="0" applyFont="1" applyFill="1" applyBorder="1" applyAlignment="1">
      <alignment horizontal="center" vertical="center" wrapText="1"/>
    </xf>
    <xf numFmtId="0" fontId="69" fillId="9" borderId="92" xfId="0" applyFont="1" applyFill="1" applyBorder="1" applyAlignment="1">
      <alignment vertical="center"/>
    </xf>
    <xf numFmtId="0" fontId="82" fillId="9" borderId="87" xfId="0" applyFont="1" applyFill="1" applyBorder="1" applyAlignment="1">
      <alignment horizontal="center" vertical="center"/>
    </xf>
    <xf numFmtId="0" fontId="82" fillId="9" borderId="97" xfId="0" applyFont="1" applyFill="1" applyBorder="1" applyAlignment="1">
      <alignment horizontal="center" vertical="center"/>
    </xf>
    <xf numFmtId="0" fontId="82" fillId="9" borderId="94" xfId="0" applyFont="1" applyFill="1" applyBorder="1" applyAlignment="1">
      <alignment horizontal="center" vertical="center"/>
    </xf>
    <xf numFmtId="0" fontId="82" fillId="9" borderId="100" xfId="0" applyFont="1" applyFill="1" applyBorder="1" applyAlignment="1">
      <alignment horizontal="center" vertical="center"/>
    </xf>
    <xf numFmtId="0" fontId="82" fillId="9" borderId="105" xfId="0" applyFont="1" applyFill="1" applyBorder="1" applyAlignment="1">
      <alignment horizontal="center" vertical="center"/>
    </xf>
    <xf numFmtId="0" fontId="82" fillId="9" borderId="100" xfId="0" applyFont="1" applyFill="1" applyBorder="1" applyAlignment="1">
      <alignment horizontal="center" vertical="center" wrapText="1"/>
    </xf>
    <xf numFmtId="0" fontId="82" fillId="9" borderId="105" xfId="0" applyFont="1" applyFill="1" applyBorder="1" applyAlignment="1">
      <alignment horizontal="center" vertical="center" wrapText="1"/>
    </xf>
    <xf numFmtId="0" fontId="5" fillId="9" borderId="1" xfId="36" applyFont="1" applyFill="1" applyBorder="1" applyAlignment="1">
      <alignment horizontal="center" vertical="center"/>
    </xf>
    <xf numFmtId="0" fontId="5" fillId="9" borderId="3" xfId="36" applyFont="1" applyFill="1" applyBorder="1" applyAlignment="1">
      <alignment horizontal="center" vertical="center"/>
    </xf>
    <xf numFmtId="0" fontId="4" fillId="9" borderId="1" xfId="36" applyFont="1" applyFill="1" applyBorder="1" applyAlignment="1">
      <alignment horizontal="center" vertical="center"/>
    </xf>
    <xf numFmtId="0" fontId="4" fillId="9" borderId="3" xfId="36" applyFont="1" applyFill="1" applyBorder="1" applyAlignment="1">
      <alignment horizontal="center" vertical="center"/>
    </xf>
    <xf numFmtId="0" fontId="106" fillId="0" borderId="0" xfId="22" applyFont="1"/>
    <xf numFmtId="0" fontId="271" fillId="0" borderId="0" xfId="36" applyFont="1" applyAlignment="1">
      <alignment vertical="center"/>
    </xf>
    <xf numFmtId="0" fontId="272" fillId="0" borderId="0" xfId="36" applyFont="1" applyAlignment="1">
      <alignment vertical="center"/>
    </xf>
    <xf numFmtId="0" fontId="41" fillId="0" borderId="0" xfId="22" applyFont="1" applyAlignment="1">
      <alignment vertical="center"/>
    </xf>
    <xf numFmtId="166" fontId="4" fillId="0" borderId="2" xfId="22" applyNumberFormat="1" applyFont="1" applyBorder="1" applyAlignment="1">
      <alignment horizontal="center" vertical="center"/>
    </xf>
    <xf numFmtId="166" fontId="5" fillId="0" borderId="2" xfId="22" applyNumberFormat="1" applyFont="1" applyBorder="1" applyAlignment="1">
      <alignment horizontal="center" vertical="center"/>
    </xf>
    <xf numFmtId="0" fontId="105" fillId="0" borderId="0" xfId="22" applyFont="1"/>
    <xf numFmtId="166" fontId="25" fillId="0" borderId="0" xfId="22" applyNumberFormat="1" applyFont="1" applyAlignment="1">
      <alignment horizontal="right" vertical="center"/>
    </xf>
    <xf numFmtId="166" fontId="4" fillId="0" borderId="4" xfId="22" applyNumberFormat="1" applyFont="1" applyBorder="1" applyAlignment="1">
      <alignment horizontal="center" vertical="center"/>
    </xf>
    <xf numFmtId="49" fontId="5" fillId="0" borderId="2" xfId="22" applyNumberFormat="1" applyFont="1" applyBorder="1" applyAlignment="1">
      <alignment horizontal="center" vertical="center"/>
    </xf>
    <xf numFmtId="166" fontId="5" fillId="0" borderId="1" xfId="22" applyNumberFormat="1" applyFont="1" applyBorder="1" applyAlignment="1">
      <alignment horizontal="center" vertical="center"/>
    </xf>
    <xf numFmtId="0" fontId="9" fillId="11" borderId="0" xfId="36" applyFont="1" applyFill="1" applyAlignment="1">
      <alignment horizontal="center" vertical="center"/>
    </xf>
    <xf numFmtId="0" fontId="18" fillId="0" borderId="0" xfId="22" applyFont="1" applyAlignment="1">
      <alignment vertical="center"/>
    </xf>
    <xf numFmtId="166" fontId="23" fillId="0" borderId="71" xfId="22" applyNumberFormat="1" applyFont="1" applyBorder="1" applyAlignment="1">
      <alignment horizontal="center" vertical="center"/>
    </xf>
    <xf numFmtId="166" fontId="23" fillId="0" borderId="72" xfId="22" applyNumberFormat="1" applyFont="1" applyBorder="1" applyAlignment="1">
      <alignment horizontal="center" vertical="center"/>
    </xf>
    <xf numFmtId="166" fontId="144" fillId="0" borderId="71" xfId="22" applyNumberFormat="1" applyFont="1" applyBorder="1" applyAlignment="1">
      <alignment horizontal="center" vertical="center"/>
    </xf>
    <xf numFmtId="166" fontId="144" fillId="0" borderId="72" xfId="22" applyNumberFormat="1" applyFont="1" applyBorder="1" applyAlignment="1">
      <alignment horizontal="center" vertical="center"/>
    </xf>
    <xf numFmtId="0" fontId="16" fillId="0" borderId="0" xfId="22" applyFont="1" applyAlignment="1">
      <alignment vertical="center"/>
    </xf>
    <xf numFmtId="0" fontId="8" fillId="8" borderId="71" xfId="22" applyFont="1" applyFill="1" applyBorder="1" applyAlignment="1">
      <alignment horizontal="center" vertical="center" wrapText="1"/>
    </xf>
    <xf numFmtId="0" fontId="8" fillId="8" borderId="72" xfId="22" applyFont="1" applyFill="1" applyBorder="1" applyAlignment="1">
      <alignment horizontal="center" vertical="center" wrapText="1"/>
    </xf>
    <xf numFmtId="0" fontId="24" fillId="8" borderId="74" xfId="22" applyFont="1" applyFill="1" applyBorder="1" applyAlignment="1">
      <alignment horizontal="center" vertical="center" wrapText="1"/>
    </xf>
    <xf numFmtId="0" fontId="24" fillId="8" borderId="75" xfId="22" applyFont="1" applyFill="1" applyBorder="1" applyAlignment="1">
      <alignment horizontal="center" vertical="center" wrapText="1"/>
    </xf>
    <xf numFmtId="0" fontId="13" fillId="11" borderId="0" xfId="36" applyFont="1" applyFill="1" applyAlignment="1">
      <alignment horizontal="left" vertical="center"/>
    </xf>
    <xf numFmtId="0" fontId="15" fillId="11" borderId="0" xfId="36" applyFont="1" applyFill="1" applyAlignment="1">
      <alignment horizontal="left" vertical="center"/>
    </xf>
    <xf numFmtId="166" fontId="4" fillId="3" borderId="2" xfId="22" applyNumberFormat="1" applyFont="1" applyFill="1" applyBorder="1" applyAlignment="1">
      <alignment horizontal="center" vertical="center"/>
    </xf>
    <xf numFmtId="0" fontId="6" fillId="9" borderId="3" xfId="22" applyFont="1" applyFill="1" applyBorder="1" applyAlignment="1">
      <alignment horizontal="center" vertical="center" wrapText="1" shrinkToFit="1"/>
    </xf>
    <xf numFmtId="0" fontId="10" fillId="9" borderId="3" xfId="22" applyFont="1" applyFill="1" applyBorder="1" applyAlignment="1">
      <alignment horizontal="center" vertical="center" wrapText="1" shrinkToFit="1"/>
    </xf>
    <xf numFmtId="0" fontId="8" fillId="10" borderId="0" xfId="22" applyFont="1" applyFill="1" applyAlignment="1">
      <alignment horizontal="center" vertical="center"/>
    </xf>
    <xf numFmtId="0" fontId="153" fillId="3" borderId="0" xfId="0" applyFont="1" applyFill="1" applyAlignment="1">
      <alignment vertical="center"/>
    </xf>
    <xf numFmtId="0" fontId="82" fillId="9" borderId="106" xfId="0" applyFont="1" applyFill="1" applyBorder="1" applyAlignment="1">
      <alignment horizontal="center" vertical="center"/>
    </xf>
    <xf numFmtId="166" fontId="82" fillId="0" borderId="107" xfId="0" applyNumberFormat="1" applyFont="1" applyBorder="1" applyAlignment="1">
      <alignment horizontal="center" vertical="center"/>
    </xf>
    <xf numFmtId="166" fontId="83" fillId="0" borderId="107" xfId="0" applyNumberFormat="1" applyFont="1" applyBorder="1" applyAlignment="1">
      <alignment horizontal="center" vertical="center"/>
    </xf>
    <xf numFmtId="166" fontId="83" fillId="0" borderId="108" xfId="0" applyNumberFormat="1" applyFont="1" applyBorder="1" applyAlignment="1">
      <alignment horizontal="center" vertical="center"/>
    </xf>
    <xf numFmtId="0" fontId="82" fillId="9" borderId="106" xfId="0" applyFont="1" applyFill="1" applyBorder="1" applyAlignment="1">
      <alignment horizontal="center" vertical="center" wrapText="1"/>
    </xf>
    <xf numFmtId="0" fontId="189" fillId="9" borderId="98" xfId="0" applyFont="1" applyFill="1" applyBorder="1" applyAlignment="1">
      <alignment horizontal="center" vertical="center"/>
    </xf>
    <xf numFmtId="0" fontId="189" fillId="9" borderId="100" xfId="0" applyFont="1" applyFill="1" applyBorder="1" applyAlignment="1">
      <alignment horizontal="center" vertical="center"/>
    </xf>
    <xf numFmtId="49" fontId="4" fillId="0" borderId="0" xfId="38" applyNumberFormat="1" applyFont="1" applyAlignment="1">
      <alignment horizontal="center" vertical="center"/>
    </xf>
    <xf numFmtId="49" fontId="5" fillId="0" borderId="0" xfId="38" applyNumberFormat="1" applyFont="1" applyAlignment="1">
      <alignment horizontal="center" vertical="center"/>
    </xf>
    <xf numFmtId="49" fontId="4" fillId="0" borderId="5" xfId="38" applyNumberFormat="1" applyFont="1" applyBorder="1" applyAlignment="1">
      <alignment horizontal="center" vertical="center"/>
    </xf>
    <xf numFmtId="49" fontId="4" fillId="0" borderId="2" xfId="38" applyNumberFormat="1" applyFont="1" applyBorder="1" applyAlignment="1">
      <alignment horizontal="center" vertical="center"/>
    </xf>
    <xf numFmtId="0" fontId="118" fillId="0" borderId="0" xfId="69" applyFont="1"/>
    <xf numFmtId="0" fontId="124" fillId="0" borderId="0" xfId="69" applyFont="1"/>
    <xf numFmtId="0" fontId="5" fillId="0" borderId="2" xfId="38" applyFont="1" applyBorder="1" applyAlignment="1">
      <alignment horizontal="left" vertical="center"/>
    </xf>
    <xf numFmtId="0" fontId="4" fillId="0" borderId="6" xfId="38" applyFont="1" applyBorder="1" applyAlignment="1">
      <alignment horizontal="center" vertical="center"/>
    </xf>
    <xf numFmtId="0" fontId="144" fillId="0" borderId="73" xfId="36" applyFont="1" applyBorder="1" applyAlignment="1">
      <alignment horizontal="left" vertical="center" wrapText="1" indent="1"/>
    </xf>
    <xf numFmtId="173" fontId="4" fillId="0" borderId="0" xfId="38" applyNumberFormat="1" applyFont="1"/>
    <xf numFmtId="166" fontId="22" fillId="3" borderId="2" xfId="0" applyNumberFormat="1" applyFont="1" applyFill="1" applyBorder="1" applyAlignment="1">
      <alignment horizontal="center" vertical="center"/>
    </xf>
    <xf numFmtId="167" fontId="9" fillId="0" borderId="0" xfId="28" applyNumberFormat="1" applyFont="1" applyAlignment="1">
      <alignment horizontal="center" vertical="center" wrapText="1"/>
    </xf>
    <xf numFmtId="2" fontId="97" fillId="3" borderId="2" xfId="0" applyNumberFormat="1" applyFont="1" applyFill="1" applyBorder="1" applyAlignment="1">
      <alignment horizontal="center" vertical="center"/>
    </xf>
    <xf numFmtId="0" fontId="99" fillId="3" borderId="2" xfId="0" applyFont="1" applyFill="1" applyBorder="1" applyAlignment="1">
      <alignment horizontal="center" vertical="center"/>
    </xf>
    <xf numFmtId="166" fontId="13" fillId="0" borderId="0" xfId="0" applyNumberFormat="1" applyFont="1" applyAlignment="1">
      <alignment horizontal="left" vertical="center"/>
    </xf>
    <xf numFmtId="0" fontId="109" fillId="0" borderId="0" xfId="22" applyFont="1" applyAlignment="1">
      <alignment horizontal="right" vertical="center"/>
    </xf>
    <xf numFmtId="0" fontId="150" fillId="0" borderId="0" xfId="22" applyFont="1"/>
    <xf numFmtId="0" fontId="162" fillId="3" borderId="6" xfId="22" applyFont="1" applyFill="1" applyBorder="1" applyAlignment="1">
      <alignment horizontal="right" vertical="center"/>
    </xf>
    <xf numFmtId="0" fontId="162" fillId="3" borderId="6" xfId="22" applyFont="1" applyFill="1" applyBorder="1" applyAlignment="1">
      <alignment horizontal="center" vertical="center"/>
    </xf>
    <xf numFmtId="49" fontId="157" fillId="0" borderId="1" xfId="22" applyNumberFormat="1" applyFont="1" applyBorder="1" applyAlignment="1">
      <alignment horizontal="right" vertical="center"/>
    </xf>
    <xf numFmtId="49" fontId="157" fillId="0" borderId="2" xfId="22" applyNumberFormat="1" applyFont="1" applyBorder="1" applyAlignment="1">
      <alignment horizontal="right" vertical="center"/>
    </xf>
    <xf numFmtId="0" fontId="159" fillId="0" borderId="4" xfId="22" applyFont="1" applyBorder="1" applyAlignment="1">
      <alignment horizontal="left" vertical="center" indent="1"/>
    </xf>
    <xf numFmtId="0" fontId="4" fillId="3" borderId="0" xfId="69" applyFont="1" applyFill="1" applyAlignment="1">
      <alignment vertical="center"/>
    </xf>
    <xf numFmtId="0" fontId="4" fillId="0" borderId="0" xfId="69" applyFont="1" applyAlignment="1">
      <alignment vertical="center"/>
    </xf>
    <xf numFmtId="0" fontId="158" fillId="10" borderId="0" xfId="69" applyFont="1" applyFill="1" applyAlignment="1">
      <alignment horizontal="center" vertical="center"/>
    </xf>
    <xf numFmtId="0" fontId="164" fillId="11" borderId="0" xfId="69" applyFont="1" applyFill="1" applyAlignment="1">
      <alignment vertical="center"/>
    </xf>
    <xf numFmtId="0" fontId="5" fillId="0" borderId="0" xfId="69" applyFont="1" applyAlignment="1">
      <alignment vertical="center"/>
    </xf>
    <xf numFmtId="0" fontId="5" fillId="4" borderId="0" xfId="69" applyFont="1" applyFill="1" applyAlignment="1">
      <alignment vertical="center"/>
    </xf>
    <xf numFmtId="0" fontId="4" fillId="4" borderId="0" xfId="69" applyFont="1" applyFill="1" applyAlignment="1">
      <alignment vertical="center"/>
    </xf>
    <xf numFmtId="49" fontId="5" fillId="0" borderId="2" xfId="69" applyNumberFormat="1" applyFont="1" applyBorder="1" applyAlignment="1">
      <alignment horizontal="center" vertical="center"/>
    </xf>
    <xf numFmtId="166" fontId="5" fillId="0" borderId="2" xfId="69" applyNumberFormat="1" applyFont="1" applyBorder="1" applyAlignment="1">
      <alignment horizontal="center" vertical="center"/>
    </xf>
    <xf numFmtId="166" fontId="5" fillId="3" borderId="2" xfId="69" applyNumberFormat="1" applyFont="1" applyFill="1" applyBorder="1" applyAlignment="1">
      <alignment horizontal="center" vertical="center"/>
    </xf>
    <xf numFmtId="166" fontId="4" fillId="0" borderId="2" xfId="69" applyNumberFormat="1" applyFont="1" applyBorder="1" applyAlignment="1">
      <alignment horizontal="center" vertical="center"/>
    </xf>
    <xf numFmtId="171" fontId="4" fillId="0" borderId="0" xfId="69" applyNumberFormat="1" applyFont="1" applyAlignment="1">
      <alignment vertical="center"/>
    </xf>
    <xf numFmtId="168" fontId="4" fillId="0" borderId="0" xfId="69" applyNumberFormat="1" applyFont="1" applyAlignment="1">
      <alignment vertical="center"/>
    </xf>
    <xf numFmtId="0" fontId="5" fillId="0" borderId="2" xfId="69" applyFont="1" applyBorder="1" applyAlignment="1">
      <alignment horizontal="center" vertical="center"/>
    </xf>
    <xf numFmtId="49" fontId="5" fillId="0" borderId="3" xfId="69" applyNumberFormat="1" applyFont="1" applyBorder="1" applyAlignment="1">
      <alignment horizontal="center" vertical="center"/>
    </xf>
    <xf numFmtId="166" fontId="5" fillId="0" borderId="3" xfId="69" applyNumberFormat="1" applyFont="1" applyBorder="1" applyAlignment="1">
      <alignment horizontal="center" vertical="center"/>
    </xf>
    <xf numFmtId="166" fontId="5" fillId="3" borderId="3" xfId="69" applyNumberFormat="1" applyFont="1" applyFill="1" applyBorder="1" applyAlignment="1">
      <alignment horizontal="center" vertical="center"/>
    </xf>
    <xf numFmtId="166" fontId="4" fillId="0" borderId="3" xfId="69" applyNumberFormat="1" applyFont="1" applyBorder="1" applyAlignment="1">
      <alignment horizontal="center" vertical="center"/>
    </xf>
    <xf numFmtId="0" fontId="220" fillId="0" borderId="0" xfId="69" applyFont="1" applyAlignment="1">
      <alignment vertical="center"/>
    </xf>
    <xf numFmtId="0" fontId="217" fillId="0" borderId="0" xfId="69" applyFont="1" applyAlignment="1">
      <alignment vertical="center"/>
    </xf>
    <xf numFmtId="0" fontId="21" fillId="0" borderId="0" xfId="69" applyFont="1" applyAlignment="1">
      <alignment vertical="center"/>
    </xf>
    <xf numFmtId="0" fontId="22" fillId="0" borderId="0" xfId="69" applyFont="1" applyAlignment="1">
      <alignment vertical="center"/>
    </xf>
    <xf numFmtId="166" fontId="22" fillId="0" borderId="0" xfId="69" applyNumberFormat="1" applyFont="1" applyAlignment="1">
      <alignment vertical="center"/>
    </xf>
    <xf numFmtId="0" fontId="172" fillId="10" borderId="0" xfId="69" applyFont="1" applyFill="1" applyAlignment="1">
      <alignment horizontal="center" vertical="center"/>
    </xf>
    <xf numFmtId="0" fontId="21" fillId="0" borderId="0" xfId="69" applyFont="1" applyAlignment="1">
      <alignment horizontal="center" vertical="center"/>
    </xf>
    <xf numFmtId="0" fontId="17" fillId="0" borderId="0" xfId="69" applyFont="1" applyAlignment="1">
      <alignment horizontal="center" vertical="center"/>
    </xf>
    <xf numFmtId="0" fontId="17" fillId="4" borderId="0" xfId="69" applyFont="1" applyFill="1" applyAlignment="1">
      <alignment horizontal="center" vertical="center"/>
    </xf>
    <xf numFmtId="0" fontId="21" fillId="4" borderId="0" xfId="69" applyFont="1" applyFill="1" applyAlignment="1">
      <alignment horizontal="center" vertical="center"/>
    </xf>
    <xf numFmtId="0" fontId="21" fillId="9" borderId="6" xfId="69" applyFont="1" applyFill="1" applyBorder="1" applyAlignment="1">
      <alignment horizontal="center" vertical="center" wrapText="1"/>
    </xf>
    <xf numFmtId="0" fontId="21" fillId="0" borderId="0" xfId="69" applyFont="1" applyAlignment="1">
      <alignment horizontal="center" vertical="center" wrapText="1"/>
    </xf>
    <xf numFmtId="0" fontId="21" fillId="4" borderId="0" xfId="69" applyFont="1" applyFill="1" applyAlignment="1">
      <alignment horizontal="center" vertical="center" wrapText="1"/>
    </xf>
    <xf numFmtId="0" fontId="13" fillId="0" borderId="0" xfId="69" applyFont="1" applyAlignment="1">
      <alignment horizontal="center" vertical="center" wrapText="1"/>
    </xf>
    <xf numFmtId="0" fontId="13" fillId="4" borderId="0" xfId="69" applyFont="1" applyFill="1" applyAlignment="1">
      <alignment horizontal="center" vertical="center" wrapText="1"/>
    </xf>
    <xf numFmtId="0" fontId="16" fillId="9" borderId="6" xfId="69" applyFont="1" applyFill="1" applyBorder="1" applyAlignment="1">
      <alignment horizontal="center" vertical="center" wrapText="1"/>
    </xf>
    <xf numFmtId="0" fontId="16" fillId="9" borderId="9" xfId="69" applyFont="1" applyFill="1" applyBorder="1" applyAlignment="1">
      <alignment horizontal="center" vertical="center" wrapText="1"/>
    </xf>
    <xf numFmtId="49" fontId="21" fillId="0" borderId="2" xfId="69" applyNumberFormat="1" applyFont="1" applyBorder="1" applyAlignment="1">
      <alignment horizontal="center" vertical="center"/>
    </xf>
    <xf numFmtId="166" fontId="21" fillId="0" borderId="2" xfId="69" applyNumberFormat="1" applyFont="1" applyBorder="1" applyAlignment="1">
      <alignment horizontal="center" vertical="center"/>
    </xf>
    <xf numFmtId="166" fontId="21" fillId="0" borderId="2" xfId="93" applyNumberFormat="1" applyFont="1" applyFill="1" applyBorder="1" applyAlignment="1">
      <alignment horizontal="center" vertical="center"/>
    </xf>
    <xf numFmtId="166" fontId="22" fillId="0" borderId="2" xfId="69" applyNumberFormat="1" applyFont="1" applyBorder="1" applyAlignment="1">
      <alignment horizontal="center" vertical="center"/>
    </xf>
    <xf numFmtId="0" fontId="21" fillId="0" borderId="2" xfId="69" applyFont="1" applyBorder="1" applyAlignment="1">
      <alignment horizontal="center" vertical="center"/>
    </xf>
    <xf numFmtId="0" fontId="22" fillId="0" borderId="2" xfId="69" applyFont="1" applyBorder="1" applyAlignment="1">
      <alignment vertical="center"/>
    </xf>
    <xf numFmtId="166" fontId="22" fillId="0" borderId="2" xfId="69" applyNumberFormat="1" applyFont="1" applyBorder="1" applyAlignment="1">
      <alignment vertical="center"/>
    </xf>
    <xf numFmtId="49" fontId="21" fillId="0" borderId="3" xfId="69" applyNumberFormat="1" applyFont="1" applyBorder="1" applyAlignment="1">
      <alignment horizontal="center" vertical="center"/>
    </xf>
    <xf numFmtId="166" fontId="21" fillId="0" borderId="3" xfId="69" applyNumberFormat="1" applyFont="1" applyBorder="1" applyAlignment="1">
      <alignment horizontal="center" vertical="center"/>
    </xf>
    <xf numFmtId="166" fontId="21" fillId="0" borderId="3" xfId="93" applyNumberFormat="1" applyFont="1" applyFill="1" applyBorder="1" applyAlignment="1">
      <alignment horizontal="center" vertical="center"/>
    </xf>
    <xf numFmtId="166" fontId="22" fillId="0" borderId="3" xfId="69" applyNumberFormat="1" applyFont="1" applyBorder="1" applyAlignment="1">
      <alignment horizontal="center" vertical="center"/>
    </xf>
    <xf numFmtId="0" fontId="280" fillId="0" borderId="0" xfId="69" applyFont="1" applyAlignment="1">
      <alignment vertical="center"/>
    </xf>
    <xf numFmtId="2" fontId="22" fillId="0" borderId="0" xfId="69" applyNumberFormat="1" applyFont="1" applyAlignment="1">
      <alignment vertical="center"/>
    </xf>
    <xf numFmtId="1" fontId="21" fillId="0" borderId="0" xfId="69" applyNumberFormat="1" applyFont="1" applyAlignment="1">
      <alignment vertical="center"/>
    </xf>
    <xf numFmtId="167" fontId="22" fillId="0" borderId="0" xfId="69" applyNumberFormat="1" applyFont="1" applyAlignment="1">
      <alignment vertical="center"/>
    </xf>
    <xf numFmtId="0" fontId="22" fillId="4" borderId="0" xfId="69" applyFont="1" applyFill="1" applyAlignment="1">
      <alignment vertical="center"/>
    </xf>
    <xf numFmtId="168" fontId="22" fillId="0" borderId="0" xfId="69" applyNumberFormat="1" applyFont="1" applyAlignment="1">
      <alignment vertical="center"/>
    </xf>
    <xf numFmtId="189" fontId="22" fillId="0" borderId="0" xfId="69" applyNumberFormat="1" applyFont="1" applyAlignment="1">
      <alignment vertical="center"/>
    </xf>
    <xf numFmtId="188" fontId="22" fillId="0" borderId="0" xfId="69" applyNumberFormat="1" applyFont="1" applyAlignment="1">
      <alignment vertical="center"/>
    </xf>
    <xf numFmtId="186" fontId="22" fillId="0" borderId="0" xfId="69" applyNumberFormat="1" applyFont="1" applyAlignment="1">
      <alignment vertical="center"/>
    </xf>
    <xf numFmtId="187" fontId="22" fillId="0" borderId="0" xfId="69" applyNumberFormat="1" applyFont="1" applyAlignment="1">
      <alignment vertical="center"/>
    </xf>
    <xf numFmtId="184" fontId="22" fillId="0" borderId="0" xfId="69" applyNumberFormat="1" applyFont="1" applyAlignment="1">
      <alignment vertical="center"/>
    </xf>
    <xf numFmtId="0" fontId="117" fillId="0" borderId="0" xfId="69" applyFont="1"/>
    <xf numFmtId="0" fontId="93" fillId="0" borderId="0" xfId="69"/>
    <xf numFmtId="190" fontId="93" fillId="0" borderId="0" xfId="73" applyNumberFormat="1" applyFont="1" applyFill="1"/>
    <xf numFmtId="0" fontId="120" fillId="0" borderId="0" xfId="69" applyFont="1"/>
    <xf numFmtId="190" fontId="120" fillId="0" borderId="0" xfId="73" applyNumberFormat="1" applyFont="1" applyFill="1"/>
    <xf numFmtId="14" fontId="249" fillId="9" borderId="42" xfId="69" applyNumberFormat="1" applyFont="1" applyFill="1" applyBorder="1" applyAlignment="1">
      <alignment horizontal="center" vertical="center" wrapText="1"/>
    </xf>
    <xf numFmtId="14" fontId="249" fillId="9" borderId="51" xfId="69" applyNumberFormat="1" applyFont="1" applyFill="1" applyBorder="1" applyAlignment="1">
      <alignment horizontal="center" vertical="center" wrapText="1"/>
    </xf>
    <xf numFmtId="14" fontId="249" fillId="9" borderId="52" xfId="69" applyNumberFormat="1" applyFont="1" applyFill="1" applyBorder="1" applyAlignment="1">
      <alignment horizontal="center" vertical="center" wrapText="1"/>
    </xf>
    <xf numFmtId="14" fontId="249" fillId="9" borderId="62" xfId="69" applyNumberFormat="1" applyFont="1" applyFill="1" applyBorder="1" applyAlignment="1">
      <alignment horizontal="center" vertical="center" wrapText="1"/>
    </xf>
    <xf numFmtId="14" fontId="240" fillId="9" borderId="42" xfId="69" applyNumberFormat="1" applyFont="1" applyFill="1" applyBorder="1" applyAlignment="1">
      <alignment horizontal="center" vertical="center" wrapText="1"/>
    </xf>
    <xf numFmtId="14" fontId="240" fillId="9" borderId="45" xfId="69" applyNumberFormat="1" applyFont="1" applyFill="1" applyBorder="1" applyAlignment="1">
      <alignment horizontal="center" vertical="center" wrapText="1"/>
    </xf>
    <xf numFmtId="0" fontId="136" fillId="3" borderId="20" xfId="69" applyFont="1" applyFill="1" applyBorder="1" applyAlignment="1">
      <alignment horizontal="left" vertical="center" indent="2"/>
    </xf>
    <xf numFmtId="0" fontId="136" fillId="3" borderId="53" xfId="69" applyFont="1" applyFill="1" applyBorder="1" applyAlignment="1">
      <alignment horizontal="center" vertical="center"/>
    </xf>
    <xf numFmtId="0" fontId="136" fillId="3" borderId="54" xfId="69" applyFont="1" applyFill="1" applyBorder="1" applyAlignment="1">
      <alignment horizontal="center" vertical="center"/>
    </xf>
    <xf numFmtId="0" fontId="136" fillId="3" borderId="77" xfId="69" applyFont="1" applyFill="1" applyBorder="1" applyAlignment="1">
      <alignment horizontal="center" vertical="center"/>
    </xf>
    <xf numFmtId="0" fontId="136" fillId="3" borderId="23" xfId="69" applyFont="1" applyFill="1" applyBorder="1" applyAlignment="1">
      <alignment horizontal="center" vertical="center"/>
    </xf>
    <xf numFmtId="0" fontId="250" fillId="3" borderId="36" xfId="69" applyFont="1" applyFill="1" applyBorder="1" applyAlignment="1">
      <alignment horizontal="left" vertical="center" wrapText="1" indent="5"/>
    </xf>
    <xf numFmtId="0" fontId="250" fillId="3" borderId="56" xfId="69" applyFont="1" applyFill="1" applyBorder="1" applyAlignment="1">
      <alignment horizontal="center" vertical="center" wrapText="1"/>
    </xf>
    <xf numFmtId="0" fontId="250" fillId="3" borderId="57" xfId="69" applyFont="1" applyFill="1" applyBorder="1" applyAlignment="1">
      <alignment horizontal="center" vertical="center" wrapText="1"/>
    </xf>
    <xf numFmtId="0" fontId="250" fillId="3" borderId="79" xfId="69" applyFont="1" applyFill="1" applyBorder="1" applyAlignment="1">
      <alignment horizontal="center" vertical="center" wrapText="1"/>
    </xf>
    <xf numFmtId="0" fontId="250" fillId="3" borderId="2" xfId="69" applyFont="1" applyFill="1" applyBorder="1" applyAlignment="1">
      <alignment horizontal="center" vertical="center" wrapText="1"/>
    </xf>
    <xf numFmtId="0" fontId="250" fillId="3" borderId="36" xfId="69" applyFont="1" applyFill="1" applyBorder="1" applyAlignment="1">
      <alignment horizontal="left" vertical="center" wrapText="1" indent="7"/>
    </xf>
    <xf numFmtId="0" fontId="250" fillId="3" borderId="25" xfId="69" applyFont="1" applyFill="1" applyBorder="1" applyAlignment="1">
      <alignment horizontal="left" vertical="center" wrapText="1" indent="7"/>
    </xf>
    <xf numFmtId="0" fontId="250" fillId="3" borderId="65" xfId="69" applyFont="1" applyFill="1" applyBorder="1" applyAlignment="1">
      <alignment horizontal="center" vertical="center" wrapText="1"/>
    </xf>
    <xf numFmtId="0" fontId="250" fillId="3" borderId="66" xfId="69" applyFont="1" applyFill="1" applyBorder="1" applyAlignment="1">
      <alignment horizontal="center" vertical="center" wrapText="1"/>
    </xf>
    <xf numFmtId="0" fontId="250" fillId="3" borderId="80" xfId="69" applyFont="1" applyFill="1" applyBorder="1" applyAlignment="1">
      <alignment horizontal="center" vertical="center" wrapText="1"/>
    </xf>
    <xf numFmtId="0" fontId="250" fillId="3" borderId="28" xfId="69" applyFont="1" applyFill="1" applyBorder="1" applyAlignment="1">
      <alignment horizontal="center" vertical="center" wrapText="1"/>
    </xf>
    <xf numFmtId="0" fontId="136" fillId="9" borderId="42" xfId="69" applyFont="1" applyFill="1" applyBorder="1" applyAlignment="1">
      <alignment vertical="center"/>
    </xf>
    <xf numFmtId="0" fontId="136" fillId="9" borderId="44" xfId="69" applyFont="1" applyFill="1" applyBorder="1" applyAlignment="1">
      <alignment vertical="center"/>
    </xf>
    <xf numFmtId="0" fontId="250" fillId="3" borderId="20" xfId="69" applyFont="1" applyFill="1" applyBorder="1" applyAlignment="1">
      <alignment horizontal="left" vertical="center" wrapText="1" indent="5"/>
    </xf>
    <xf numFmtId="0" fontId="250" fillId="3" borderId="63" xfId="69" applyFont="1" applyFill="1" applyBorder="1" applyAlignment="1">
      <alignment horizontal="center" vertical="center" wrapText="1"/>
    </xf>
    <xf numFmtId="0" fontId="250" fillId="3" borderId="64" xfId="69" applyFont="1" applyFill="1" applyBorder="1" applyAlignment="1">
      <alignment horizontal="center" vertical="center" wrapText="1"/>
    </xf>
    <xf numFmtId="0" fontId="250" fillId="3" borderId="77" xfId="69" applyFont="1" applyFill="1" applyBorder="1" applyAlignment="1">
      <alignment horizontal="center" vertical="center" wrapText="1"/>
    </xf>
    <xf numFmtId="0" fontId="250" fillId="3" borderId="23" xfId="69" applyFont="1" applyFill="1" applyBorder="1" applyAlignment="1">
      <alignment horizontal="center" vertical="center" wrapText="1"/>
    </xf>
    <xf numFmtId="0" fontId="250" fillId="0" borderId="23" xfId="69" applyFont="1" applyBorder="1" applyAlignment="1">
      <alignment horizontal="center" vertical="center" wrapText="1"/>
    </xf>
    <xf numFmtId="0" fontId="250" fillId="3" borderId="25" xfId="69" applyFont="1" applyFill="1" applyBorder="1" applyAlignment="1">
      <alignment horizontal="left" vertical="center" wrapText="1" indent="5"/>
    </xf>
    <xf numFmtId="0" fontId="250" fillId="3" borderId="59" xfId="69" applyFont="1" applyFill="1" applyBorder="1" applyAlignment="1">
      <alignment horizontal="center" vertical="center" wrapText="1"/>
    </xf>
    <xf numFmtId="0" fontId="250" fillId="3" borderId="60" xfId="69" applyFont="1" applyFill="1" applyBorder="1" applyAlignment="1">
      <alignment horizontal="center" vertical="center" wrapText="1"/>
    </xf>
    <xf numFmtId="0" fontId="250" fillId="0" borderId="28" xfId="69" applyFont="1" applyBorder="1" applyAlignment="1">
      <alignment horizontal="center" vertical="center" wrapText="1"/>
    </xf>
    <xf numFmtId="0" fontId="250" fillId="0" borderId="20" xfId="69" applyFont="1" applyBorder="1" applyAlignment="1">
      <alignment horizontal="left" vertical="center" wrapText="1" indent="5"/>
    </xf>
    <xf numFmtId="0" fontId="250" fillId="0" borderId="53" xfId="69" applyFont="1" applyBorder="1" applyAlignment="1">
      <alignment horizontal="center" vertical="center" wrapText="1"/>
    </xf>
    <xf numFmtId="0" fontId="250" fillId="0" borderId="55" xfId="69" applyFont="1" applyBorder="1" applyAlignment="1">
      <alignment horizontal="center" vertical="center" wrapText="1"/>
    </xf>
    <xf numFmtId="0" fontId="250" fillId="0" borderId="54" xfId="69" applyFont="1" applyBorder="1" applyAlignment="1">
      <alignment horizontal="center" vertical="center" wrapText="1"/>
    </xf>
    <xf numFmtId="0" fontId="250" fillId="0" borderId="77" xfId="69" applyFont="1" applyBorder="1" applyAlignment="1">
      <alignment horizontal="center" vertical="center" wrapText="1"/>
    </xf>
    <xf numFmtId="0" fontId="290" fillId="0" borderId="23" xfId="69" applyFont="1" applyBorder="1" applyAlignment="1">
      <alignment horizontal="center" vertical="center" wrapText="1"/>
    </xf>
    <xf numFmtId="0" fontId="250" fillId="0" borderId="36" xfId="69" applyFont="1" applyBorder="1" applyAlignment="1">
      <alignment horizontal="left" vertical="center" wrapText="1" indent="5"/>
    </xf>
    <xf numFmtId="0" fontId="250" fillId="0" borderId="56" xfId="69" applyFont="1" applyBorder="1" applyAlignment="1">
      <alignment horizontal="center" vertical="center" wrapText="1"/>
    </xf>
    <xf numFmtId="0" fontId="250" fillId="0" borderId="58" xfId="69" applyFont="1" applyBorder="1" applyAlignment="1">
      <alignment horizontal="center" vertical="center" wrapText="1"/>
    </xf>
    <xf numFmtId="0" fontId="250" fillId="0" borderId="57" xfId="69" applyFont="1" applyBorder="1" applyAlignment="1">
      <alignment horizontal="center" vertical="center" wrapText="1"/>
    </xf>
    <xf numFmtId="0" fontId="250" fillId="0" borderId="79" xfId="69" applyFont="1" applyBorder="1" applyAlignment="1">
      <alignment horizontal="center" vertical="center" wrapText="1"/>
    </xf>
    <xf numFmtId="0" fontId="250" fillId="0" borderId="2" xfId="69" applyFont="1" applyBorder="1" applyAlignment="1">
      <alignment horizontal="center" vertical="center" wrapText="1"/>
    </xf>
    <xf numFmtId="0" fontId="290" fillId="0" borderId="2" xfId="69" applyFont="1" applyBorder="1" applyAlignment="1">
      <alignment horizontal="center" vertical="center" wrapText="1"/>
    </xf>
    <xf numFmtId="178" fontId="93" fillId="0" borderId="0" xfId="72" applyNumberFormat="1" applyFont="1" applyFill="1" applyAlignment="1">
      <alignment horizontal="right" vertical="center"/>
    </xf>
    <xf numFmtId="185" fontId="291" fillId="0" borderId="0" xfId="73" applyFont="1" applyFill="1" applyAlignment="1">
      <alignment horizontal="right" vertical="center"/>
    </xf>
    <xf numFmtId="178" fontId="93" fillId="0" borderId="0" xfId="72" applyNumberFormat="1" applyFont="1" applyFill="1" applyAlignment="1">
      <alignment vertical="center"/>
    </xf>
    <xf numFmtId="0" fontId="250" fillId="0" borderId="25" xfId="69" applyFont="1" applyBorder="1" applyAlignment="1">
      <alignment horizontal="left" vertical="center" wrapText="1" indent="5"/>
    </xf>
    <xf numFmtId="0" fontId="250" fillId="0" borderId="59" xfId="69" applyFont="1" applyBorder="1" applyAlignment="1">
      <alignment horizontal="center" vertical="center" wrapText="1"/>
    </xf>
    <xf numFmtId="0" fontId="250" fillId="0" borderId="61" xfId="69" applyFont="1" applyBorder="1" applyAlignment="1">
      <alignment horizontal="center" vertical="center" wrapText="1"/>
    </xf>
    <xf numFmtId="0" fontId="250" fillId="0" borderId="60" xfId="69" applyFont="1" applyBorder="1" applyAlignment="1">
      <alignment horizontal="center" vertical="center" wrapText="1"/>
    </xf>
    <xf numFmtId="0" fontId="250" fillId="0" borderId="80" xfId="69" applyFont="1" applyBorder="1" applyAlignment="1">
      <alignment horizontal="center" vertical="center" wrapText="1"/>
    </xf>
    <xf numFmtId="0" fontId="290" fillId="0" borderId="28" xfId="69" applyFont="1" applyBorder="1" applyAlignment="1">
      <alignment horizontal="center" vertical="center" wrapText="1"/>
    </xf>
    <xf numFmtId="178" fontId="93" fillId="0" borderId="0" xfId="72" applyNumberFormat="1" applyFont="1" applyFill="1"/>
    <xf numFmtId="178" fontId="118" fillId="0" borderId="0" xfId="72" applyNumberFormat="1" applyFont="1" applyFill="1"/>
    <xf numFmtId="0" fontId="137" fillId="0" borderId="0" xfId="69" applyFont="1"/>
    <xf numFmtId="14" fontId="84" fillId="9" borderId="42" xfId="69" applyNumberFormat="1" applyFont="1" applyFill="1" applyBorder="1" applyAlignment="1">
      <alignment horizontal="center" vertical="center" wrapText="1"/>
    </xf>
    <xf numFmtId="0" fontId="147" fillId="0" borderId="30" xfId="69" applyFont="1" applyBorder="1" applyAlignment="1">
      <alignment horizontal="left" vertical="center" wrapText="1"/>
    </xf>
    <xf numFmtId="170" fontId="83" fillId="0" borderId="2" xfId="94" applyNumberFormat="1" applyFont="1" applyFill="1" applyBorder="1" applyAlignment="1" applyProtection="1">
      <alignment horizontal="right" vertical="center" wrapText="1"/>
      <protection locked="0"/>
    </xf>
    <xf numFmtId="170" fontId="83" fillId="0" borderId="2" xfId="94" applyNumberFormat="1" applyFont="1" applyFill="1" applyBorder="1" applyAlignment="1" applyProtection="1">
      <alignment horizontal="right" vertical="center" wrapText="1"/>
    </xf>
    <xf numFmtId="0" fontId="147" fillId="0" borderId="47" xfId="69" applyFont="1" applyBorder="1" applyAlignment="1">
      <alignment horizontal="left" vertical="center" wrapText="1"/>
    </xf>
    <xf numFmtId="170" fontId="83" fillId="0" borderId="28" xfId="94" applyNumberFormat="1" applyFont="1" applyFill="1" applyBorder="1" applyAlignment="1" applyProtection="1">
      <alignment horizontal="right" vertical="center" wrapText="1"/>
    </xf>
    <xf numFmtId="0" fontId="82" fillId="0" borderId="38" xfId="69" applyFont="1" applyBorder="1" applyAlignment="1">
      <alignment horizontal="left" vertical="center" wrapText="1"/>
    </xf>
    <xf numFmtId="170" fontId="82" fillId="0" borderId="45" xfId="94" applyNumberFormat="1" applyFont="1" applyFill="1" applyBorder="1" applyAlignment="1" applyProtection="1">
      <alignment horizontal="right" vertical="center" wrapText="1"/>
    </xf>
    <xf numFmtId="14" fontId="84" fillId="9" borderId="20" xfId="69" applyNumberFormat="1" applyFont="1" applyFill="1" applyBorder="1" applyAlignment="1">
      <alignment horizontal="center" vertical="center" wrapText="1"/>
    </xf>
    <xf numFmtId="14" fontId="84" fillId="9" borderId="23" xfId="69" applyNumberFormat="1" applyFont="1" applyFill="1" applyBorder="1" applyAlignment="1">
      <alignment horizontal="center" vertical="center" wrapText="1"/>
    </xf>
    <xf numFmtId="14" fontId="82" fillId="9" borderId="23" xfId="69" applyNumberFormat="1" applyFont="1" applyFill="1" applyBorder="1" applyAlignment="1">
      <alignment horizontal="center" vertical="center" wrapText="1"/>
    </xf>
    <xf numFmtId="181" fontId="147" fillId="0" borderId="41" xfId="94" applyNumberFormat="1" applyFont="1" applyFill="1" applyBorder="1" applyAlignment="1" applyProtection="1">
      <alignment vertical="center" wrapText="1"/>
      <protection locked="0"/>
    </xf>
    <xf numFmtId="170" fontId="83" fillId="0" borderId="23" xfId="94" applyNumberFormat="1" applyFont="1" applyFill="1" applyBorder="1" applyAlignment="1" applyProtection="1">
      <alignment horizontal="right" vertical="center" wrapText="1"/>
      <protection locked="0"/>
    </xf>
    <xf numFmtId="170" fontId="292" fillId="0" borderId="2" xfId="94" applyNumberFormat="1" applyFont="1" applyFill="1" applyBorder="1" applyAlignment="1" applyProtection="1">
      <alignment horizontal="right" vertical="center" wrapText="1"/>
    </xf>
    <xf numFmtId="170" fontId="83" fillId="0" borderId="28" xfId="94" applyNumberFormat="1" applyFont="1" applyFill="1" applyBorder="1" applyAlignment="1" applyProtection="1">
      <alignment horizontal="right" vertical="center" wrapText="1"/>
      <protection locked="0"/>
    </xf>
    <xf numFmtId="170" fontId="292" fillId="0" borderId="28" xfId="94" applyNumberFormat="1" applyFont="1" applyFill="1" applyBorder="1" applyAlignment="1" applyProtection="1">
      <alignment horizontal="right" vertical="center" wrapText="1"/>
    </xf>
    <xf numFmtId="181" fontId="82" fillId="0" borderId="38" xfId="94" applyNumberFormat="1" applyFont="1" applyFill="1" applyBorder="1" applyAlignment="1" applyProtection="1">
      <alignment vertical="center" wrapText="1"/>
      <protection locked="0"/>
    </xf>
    <xf numFmtId="0" fontId="9" fillId="0" borderId="41" xfId="69" applyFont="1" applyBorder="1" applyAlignment="1">
      <alignment vertical="center" wrapText="1"/>
    </xf>
    <xf numFmtId="170" fontId="83" fillId="0" borderId="23" xfId="94" applyNumberFormat="1" applyFont="1" applyFill="1" applyBorder="1" applyAlignment="1" applyProtection="1">
      <alignment horizontal="right" vertical="center" wrapText="1"/>
    </xf>
    <xf numFmtId="0" fontId="9" fillId="0" borderId="30" xfId="69" applyFont="1" applyBorder="1" applyAlignment="1">
      <alignment vertical="center" wrapText="1"/>
    </xf>
    <xf numFmtId="0" fontId="24" fillId="0" borderId="47" xfId="69" applyFont="1" applyBorder="1" applyAlignment="1">
      <alignment vertical="center" wrapText="1"/>
    </xf>
    <xf numFmtId="170" fontId="82" fillId="0" borderId="28" xfId="94" applyNumberFormat="1" applyFont="1" applyFill="1" applyBorder="1" applyAlignment="1" applyProtection="1">
      <alignment horizontal="right" vertical="center" wrapText="1"/>
    </xf>
    <xf numFmtId="170" fontId="246" fillId="0" borderId="28" xfId="94" applyNumberFormat="1" applyFont="1" applyFill="1" applyBorder="1" applyAlignment="1" applyProtection="1">
      <alignment horizontal="right" vertical="center" wrapText="1"/>
    </xf>
    <xf numFmtId="0" fontId="217" fillId="0" borderId="0" xfId="69" applyFont="1" applyAlignment="1">
      <alignment horizontal="left" indent="1"/>
    </xf>
    <xf numFmtId="0" fontId="217" fillId="0" borderId="0" xfId="69" applyFont="1" applyAlignment="1">
      <alignment horizontal="left" vertical="center" indent="1"/>
    </xf>
    <xf numFmtId="0" fontId="119" fillId="0" borderId="0" xfId="69" applyFont="1" applyAlignment="1">
      <alignment wrapText="1"/>
    </xf>
    <xf numFmtId="0" fontId="183" fillId="0" borderId="0" xfId="69" applyFont="1" applyAlignment="1">
      <alignment vertical="center" wrapText="1"/>
    </xf>
    <xf numFmtId="0" fontId="118" fillId="0" borderId="0" xfId="69" applyFont="1" applyAlignment="1">
      <alignment vertical="top"/>
    </xf>
    <xf numFmtId="178" fontId="118" fillId="0" borderId="0" xfId="72" applyNumberFormat="1" applyFont="1" applyFill="1" applyAlignment="1">
      <alignment vertical="top"/>
    </xf>
    <xf numFmtId="0" fontId="183" fillId="10" borderId="0" xfId="69" applyFont="1" applyFill="1" applyAlignment="1">
      <alignment horizontal="center" vertical="center" wrapText="1"/>
    </xf>
    <xf numFmtId="0" fontId="244" fillId="9" borderId="42" xfId="69" applyFont="1" applyFill="1" applyBorder="1" applyAlignment="1">
      <alignment horizontal="center" vertical="center" wrapText="1"/>
    </xf>
    <xf numFmtId="14" fontId="244" fillId="9" borderId="45" xfId="69" applyNumberFormat="1" applyFont="1" applyFill="1" applyBorder="1" applyAlignment="1">
      <alignment horizontal="center" vertical="center" wrapText="1"/>
    </xf>
    <xf numFmtId="14" fontId="244" fillId="9" borderId="46" xfId="69" applyNumberFormat="1" applyFont="1" applyFill="1" applyBorder="1" applyAlignment="1">
      <alignment horizontal="center" vertical="center" wrapText="1"/>
    </xf>
    <xf numFmtId="0" fontId="138" fillId="0" borderId="0" xfId="69" applyFont="1"/>
    <xf numFmtId="178" fontId="138" fillId="0" borderId="0" xfId="72" applyNumberFormat="1" applyFont="1" applyFill="1"/>
    <xf numFmtId="165" fontId="121" fillId="0" borderId="0" xfId="69" applyNumberFormat="1" applyFont="1"/>
    <xf numFmtId="178" fontId="121" fillId="0" borderId="0" xfId="72" applyNumberFormat="1" applyFont="1" applyFill="1"/>
    <xf numFmtId="0" fontId="121" fillId="0" borderId="0" xfId="69" applyFont="1"/>
    <xf numFmtId="165" fontId="118" fillId="0" borderId="0" xfId="69" applyNumberFormat="1" applyFont="1"/>
    <xf numFmtId="0" fontId="119" fillId="0" borderId="0" xfId="69" applyFont="1"/>
    <xf numFmtId="0" fontId="150" fillId="0" borderId="0" xfId="69" applyFont="1"/>
    <xf numFmtId="178" fontId="124" fillId="0" borderId="0" xfId="72" applyNumberFormat="1" applyFont="1" applyFill="1"/>
    <xf numFmtId="0" fontId="184" fillId="10" borderId="0" xfId="69" applyFont="1" applyFill="1" applyAlignment="1">
      <alignment horizontal="center" vertical="center" wrapText="1"/>
    </xf>
    <xf numFmtId="14" fontId="189" fillId="9" borderId="42" xfId="69" applyNumberFormat="1" applyFont="1" applyFill="1" applyBorder="1" applyAlignment="1">
      <alignment horizontal="center" vertical="center" wrapText="1"/>
    </xf>
    <xf numFmtId="14" fontId="240" fillId="9" borderId="115" xfId="69" applyNumberFormat="1" applyFont="1" applyFill="1" applyBorder="1" applyAlignment="1">
      <alignment horizontal="center" vertical="center" wrapText="1"/>
    </xf>
    <xf numFmtId="14" fontId="240" fillId="9" borderId="46" xfId="69" applyNumberFormat="1" applyFont="1" applyFill="1" applyBorder="1" applyAlignment="1">
      <alignment horizontal="center" vertical="center" wrapText="1"/>
    </xf>
    <xf numFmtId="0" fontId="242" fillId="0" borderId="20" xfId="69" applyFont="1" applyBorder="1" applyAlignment="1">
      <alignment horizontal="left" vertical="center" wrapText="1" indent="3"/>
    </xf>
    <xf numFmtId="170" fontId="240" fillId="0" borderId="21" xfId="94" applyNumberFormat="1" applyFont="1" applyFill="1" applyBorder="1" applyAlignment="1" applyProtection="1">
      <alignment horizontal="right" vertical="center" wrapText="1"/>
    </xf>
    <xf numFmtId="170" fontId="240" fillId="0" borderId="23" xfId="94" applyNumberFormat="1" applyFont="1" applyFill="1" applyBorder="1" applyAlignment="1" applyProtection="1">
      <alignment horizontal="right" vertical="center" wrapText="1"/>
    </xf>
    <xf numFmtId="170" fontId="240" fillId="0" borderId="78" xfId="94" applyNumberFormat="1" applyFont="1" applyFill="1" applyBorder="1" applyAlignment="1" applyProtection="1">
      <alignment horizontal="right" vertical="center" wrapText="1"/>
    </xf>
    <xf numFmtId="0" fontId="265" fillId="0" borderId="36" xfId="69" applyFont="1" applyBorder="1" applyAlignment="1">
      <alignment horizontal="left" vertical="center" wrapText="1" indent="2"/>
    </xf>
    <xf numFmtId="170" fontId="240" fillId="0" borderId="4" xfId="94" applyNumberFormat="1" applyFont="1" applyFill="1" applyBorder="1" applyAlignment="1" applyProtection="1">
      <alignment horizontal="right" vertical="center" wrapText="1"/>
    </xf>
    <xf numFmtId="170" fontId="240" fillId="0" borderId="2" xfId="94" applyNumberFormat="1" applyFont="1" applyFill="1" applyBorder="1" applyAlignment="1" applyProtection="1">
      <alignment horizontal="right" vertical="center" wrapText="1"/>
    </xf>
    <xf numFmtId="170" fontId="240" fillId="0" borderId="5" xfId="94" applyNumberFormat="1" applyFont="1" applyFill="1" applyBorder="1" applyAlignment="1" applyProtection="1">
      <alignment horizontal="right" vertical="center" wrapText="1"/>
    </xf>
    <xf numFmtId="0" fontId="243" fillId="0" borderId="36" xfId="69" applyFont="1" applyBorder="1" applyAlignment="1">
      <alignment horizontal="left" vertical="center" wrapText="1" indent="5"/>
    </xf>
    <xf numFmtId="170" fontId="241" fillId="0" borderId="4" xfId="94" applyNumberFormat="1" applyFont="1" applyFill="1" applyBorder="1" applyAlignment="1" applyProtection="1">
      <alignment horizontal="right" vertical="center" wrapText="1"/>
    </xf>
    <xf numFmtId="170" fontId="241" fillId="0" borderId="2" xfId="94" applyNumberFormat="1" applyFont="1" applyFill="1" applyBorder="1" applyAlignment="1" applyProtection="1">
      <alignment horizontal="right" vertical="center" wrapText="1"/>
    </xf>
    <xf numFmtId="170" fontId="241" fillId="0" borderId="5" xfId="94" applyNumberFormat="1" applyFont="1" applyFill="1" applyBorder="1" applyAlignment="1" applyProtection="1">
      <alignment horizontal="right" vertical="center" wrapText="1"/>
    </xf>
    <xf numFmtId="0" fontId="243" fillId="0" borderId="25" xfId="69" applyFont="1" applyBorder="1" applyAlignment="1">
      <alignment horizontal="left" vertical="center" wrapText="1" indent="5"/>
    </xf>
    <xf numFmtId="170" fontId="241" fillId="0" borderId="26" xfId="94" applyNumberFormat="1" applyFont="1" applyFill="1" applyBorder="1" applyAlignment="1" applyProtection="1">
      <alignment horizontal="right" vertical="center" wrapText="1"/>
    </xf>
    <xf numFmtId="170" fontId="241" fillId="0" borderId="28" xfId="94" applyNumberFormat="1" applyFont="1" applyFill="1" applyBorder="1" applyAlignment="1" applyProtection="1">
      <alignment horizontal="right" vertical="center" wrapText="1"/>
    </xf>
    <xf numFmtId="170" fontId="241" fillId="0" borderId="81" xfId="94" applyNumberFormat="1" applyFont="1" applyFill="1" applyBorder="1" applyAlignment="1" applyProtection="1">
      <alignment horizontal="right" vertical="center" wrapText="1"/>
    </xf>
    <xf numFmtId="165" fontId="217" fillId="0" borderId="0" xfId="69" applyNumberFormat="1" applyFont="1"/>
    <xf numFmtId="0" fontId="217" fillId="0" borderId="0" xfId="69" applyFont="1"/>
    <xf numFmtId="178" fontId="217" fillId="0" borderId="0" xfId="72" applyNumberFormat="1" applyFont="1" applyFill="1"/>
    <xf numFmtId="9" fontId="118" fillId="0" borderId="0" xfId="72" applyFont="1" applyFill="1"/>
    <xf numFmtId="14" fontId="118" fillId="0" borderId="0" xfId="69" applyNumberFormat="1" applyFont="1"/>
    <xf numFmtId="14" fontId="118" fillId="0" borderId="0" xfId="72" applyNumberFormat="1" applyFont="1" applyFill="1"/>
    <xf numFmtId="0" fontId="207" fillId="11" borderId="0" xfId="69" applyFont="1" applyFill="1" applyAlignment="1">
      <alignment vertical="center" wrapText="1"/>
    </xf>
    <xf numFmtId="0" fontId="184" fillId="10" borderId="0" xfId="69" applyFont="1" applyFill="1" applyAlignment="1">
      <alignment vertical="center" wrapText="1"/>
    </xf>
    <xf numFmtId="166" fontId="4" fillId="0" borderId="2" xfId="95" applyNumberFormat="1" applyFont="1" applyFill="1" applyBorder="1" applyAlignment="1">
      <alignment horizontal="center" vertical="center"/>
    </xf>
    <xf numFmtId="166" fontId="5" fillId="0" borderId="2" xfId="95" applyNumberFormat="1" applyFont="1" applyFill="1" applyBorder="1" applyAlignment="1">
      <alignment horizontal="center" vertical="center"/>
    </xf>
    <xf numFmtId="166" fontId="4" fillId="0" borderId="3" xfId="95" applyNumberFormat="1" applyFont="1" applyFill="1" applyBorder="1" applyAlignment="1">
      <alignment horizontal="center" vertical="center"/>
    </xf>
    <xf numFmtId="0" fontId="150" fillId="0" borderId="0" xfId="96" applyFont="1"/>
    <xf numFmtId="0" fontId="294" fillId="0" borderId="0" xfId="96" applyFont="1" applyAlignment="1">
      <alignment horizontal="center" vertical="center" wrapText="1"/>
    </xf>
    <xf numFmtId="0" fontId="158" fillId="10" borderId="0" xfId="96" applyFont="1" applyFill="1" applyAlignment="1">
      <alignment horizontal="center" vertical="center"/>
    </xf>
    <xf numFmtId="0" fontId="164" fillId="11" borderId="0" xfId="96" applyFont="1" applyFill="1" applyAlignment="1">
      <alignment vertical="center"/>
    </xf>
    <xf numFmtId="1" fontId="134" fillId="9" borderId="6" xfId="96" applyNumberFormat="1" applyFont="1" applyFill="1" applyBorder="1" applyAlignment="1">
      <alignment horizontal="center" vertical="center" wrapText="1"/>
    </xf>
    <xf numFmtId="0" fontId="134" fillId="0" borderId="119" xfId="96" applyFont="1" applyBorder="1" applyAlignment="1">
      <alignment horizontal="center" vertical="center" wrapText="1"/>
    </xf>
    <xf numFmtId="1" fontId="135" fillId="0" borderId="7" xfId="96" applyNumberFormat="1" applyFont="1" applyBorder="1" applyAlignment="1">
      <alignment horizontal="center" vertical="center" wrapText="1"/>
    </xf>
    <xf numFmtId="1" fontId="135" fillId="0" borderId="49" xfId="96" applyNumberFormat="1" applyFont="1" applyBorder="1" applyAlignment="1">
      <alignment horizontal="center" vertical="center" wrapText="1"/>
    </xf>
    <xf numFmtId="1" fontId="135" fillId="0" borderId="5" xfId="96" applyNumberFormat="1" applyFont="1" applyBorder="1" applyAlignment="1">
      <alignment horizontal="center" vertical="center" wrapText="1"/>
    </xf>
    <xf numFmtId="0" fontId="134" fillId="0" borderId="103" xfId="96" applyFont="1" applyBorder="1" applyAlignment="1">
      <alignment horizontal="center" vertical="center" wrapText="1"/>
    </xf>
    <xf numFmtId="1" fontId="135" fillId="0" borderId="0" xfId="96" applyNumberFormat="1" applyFont="1" applyAlignment="1">
      <alignment horizontal="center" vertical="center" wrapText="1"/>
    </xf>
    <xf numFmtId="0" fontId="134" fillId="3" borderId="120" xfId="96" applyFont="1" applyFill="1" applyBorder="1" applyAlignment="1">
      <alignment horizontal="center" vertical="center" wrapText="1"/>
    </xf>
    <xf numFmtId="1" fontId="134" fillId="3" borderId="17" xfId="96" applyNumberFormat="1" applyFont="1" applyFill="1" applyBorder="1" applyAlignment="1">
      <alignment horizontal="center" vertical="center" wrapText="1"/>
    </xf>
    <xf numFmtId="1" fontId="134" fillId="3" borderId="18" xfId="96" applyNumberFormat="1" applyFont="1" applyFill="1" applyBorder="1" applyAlignment="1">
      <alignment horizontal="center" vertical="center" wrapText="1"/>
    </xf>
    <xf numFmtId="0" fontId="150" fillId="0" borderId="0" xfId="96" applyFont="1" applyAlignment="1">
      <alignment horizontal="left"/>
    </xf>
    <xf numFmtId="0" fontId="150" fillId="0" borderId="0" xfId="22" applyFont="1" applyAlignment="1">
      <alignment horizontal="center" wrapText="1"/>
    </xf>
    <xf numFmtId="166" fontId="150" fillId="0" borderId="0" xfId="22" applyNumberFormat="1" applyFont="1" applyAlignment="1">
      <alignment horizontal="center" vertical="center"/>
    </xf>
    <xf numFmtId="166" fontId="109" fillId="0" borderId="0" xfId="22" applyNumberFormat="1" applyFont="1" applyAlignment="1">
      <alignment horizontal="center" vertical="center"/>
    </xf>
    <xf numFmtId="166" fontId="150" fillId="0" borderId="18" xfId="22" applyNumberFormat="1" applyFont="1" applyBorder="1" applyAlignment="1">
      <alignment horizontal="center" vertical="center"/>
    </xf>
    <xf numFmtId="0" fontId="24" fillId="0" borderId="0" xfId="22" applyFont="1" applyAlignment="1">
      <alignment horizontal="center" vertical="center"/>
    </xf>
    <xf numFmtId="186" fontId="150" fillId="0" borderId="0" xfId="22" applyNumberFormat="1" applyFont="1"/>
    <xf numFmtId="182" fontId="126" fillId="0" borderId="0" xfId="4" applyNumberFormat="1" applyFont="1" applyFill="1" applyBorder="1" applyAlignment="1">
      <alignment horizontal="center" vertical="center"/>
    </xf>
    <xf numFmtId="181" fontId="31" fillId="0" borderId="0" xfId="97" applyNumberFormat="1" applyFont="1" applyFill="1" applyAlignment="1">
      <alignment vertical="center"/>
    </xf>
    <xf numFmtId="1" fontId="5" fillId="3" borderId="2" xfId="0" applyNumberFormat="1" applyFont="1" applyFill="1" applyBorder="1" applyAlignment="1">
      <alignment horizontal="center" vertical="center"/>
    </xf>
    <xf numFmtId="1" fontId="44" fillId="3" borderId="2" xfId="0" applyNumberFormat="1" applyFont="1" applyFill="1" applyBorder="1" applyAlignment="1">
      <alignment horizontal="center" vertical="center"/>
    </xf>
    <xf numFmtId="0" fontId="150" fillId="11" borderId="0" xfId="22" applyFont="1" applyFill="1"/>
    <xf numFmtId="0" fontId="150" fillId="10" borderId="0" xfId="22" applyFont="1" applyFill="1"/>
    <xf numFmtId="0" fontId="136" fillId="11" borderId="18" xfId="22" applyFont="1" applyFill="1" applyBorder="1" applyAlignment="1">
      <alignment horizontal="center" vertical="center" wrapText="1"/>
    </xf>
    <xf numFmtId="0" fontId="293" fillId="0" borderId="0" xfId="22" applyFont="1"/>
    <xf numFmtId="0" fontId="300" fillId="7" borderId="126" xfId="22" applyFont="1" applyFill="1" applyBorder="1" applyAlignment="1">
      <alignment horizontal="left" vertical="center" wrapText="1"/>
    </xf>
    <xf numFmtId="1" fontId="300" fillId="7" borderId="57" xfId="22" applyNumberFormat="1" applyFont="1" applyFill="1" applyBorder="1" applyAlignment="1">
      <alignment horizontal="center" vertical="center" wrapText="1"/>
    </xf>
    <xf numFmtId="1" fontId="300" fillId="7" borderId="127" xfId="22" applyNumberFormat="1" applyFont="1" applyFill="1" applyBorder="1" applyAlignment="1">
      <alignment horizontal="center" vertical="center" wrapText="1"/>
    </xf>
    <xf numFmtId="1" fontId="135" fillId="0" borderId="57" xfId="22" applyNumberFormat="1" applyFont="1" applyBorder="1" applyAlignment="1">
      <alignment horizontal="center" vertical="center"/>
    </xf>
    <xf numFmtId="1" fontId="135" fillId="0" borderId="127" xfId="22" applyNumberFormat="1" applyFont="1" applyBorder="1" applyAlignment="1">
      <alignment horizontal="center" vertical="center"/>
    </xf>
    <xf numFmtId="0" fontId="135" fillId="7" borderId="126" xfId="22" applyFont="1" applyFill="1" applyBorder="1" applyAlignment="1">
      <alignment horizontal="left" vertical="center" wrapText="1" indent="2"/>
    </xf>
    <xf numFmtId="0" fontId="300" fillId="7" borderId="128" xfId="22" applyFont="1" applyFill="1" applyBorder="1" applyAlignment="1">
      <alignment horizontal="left" vertical="center" wrapText="1"/>
    </xf>
    <xf numFmtId="1" fontId="300" fillId="7" borderId="129" xfId="22" applyNumberFormat="1" applyFont="1" applyFill="1" applyBorder="1" applyAlignment="1">
      <alignment horizontal="center" vertical="center" wrapText="1"/>
    </xf>
    <xf numFmtId="1" fontId="300" fillId="7" borderId="130" xfId="22" applyNumberFormat="1" applyFont="1" applyFill="1" applyBorder="1" applyAlignment="1">
      <alignment horizontal="center" vertical="center" wrapText="1"/>
    </xf>
    <xf numFmtId="165" fontId="135" fillId="13" borderId="57" xfId="98" applyFont="1" applyFill="1" applyBorder="1" applyAlignment="1">
      <alignment horizontal="center" vertical="center" wrapText="1"/>
    </xf>
    <xf numFmtId="165" fontId="150" fillId="0" borderId="0" xfId="22" applyNumberFormat="1" applyFont="1"/>
    <xf numFmtId="182" fontId="87" fillId="0" borderId="4" xfId="4" applyNumberFormat="1" applyFont="1" applyFill="1" applyBorder="1" applyAlignment="1">
      <alignment horizontal="center" vertical="center" wrapText="1"/>
    </xf>
    <xf numFmtId="182" fontId="88" fillId="0" borderId="4" xfId="4" applyNumberFormat="1" applyFont="1" applyFill="1" applyBorder="1" applyAlignment="1">
      <alignment horizontal="center" vertical="center" wrapText="1"/>
    </xf>
    <xf numFmtId="182" fontId="126" fillId="0" borderId="19" xfId="4" applyNumberFormat="1" applyFont="1" applyFill="1" applyBorder="1" applyAlignment="1">
      <alignment horizontal="center" vertical="center"/>
    </xf>
    <xf numFmtId="182" fontId="88" fillId="9" borderId="6" xfId="4" applyNumberFormat="1" applyFont="1" applyFill="1" applyBorder="1" applyAlignment="1">
      <alignment horizontal="center" vertical="center" wrapText="1"/>
    </xf>
    <xf numFmtId="0" fontId="85" fillId="3" borderId="126" xfId="27" applyFont="1" applyFill="1" applyBorder="1" applyAlignment="1">
      <alignment horizontal="left" wrapText="1"/>
    </xf>
    <xf numFmtId="0" fontId="150" fillId="9" borderId="6" xfId="22" applyFont="1" applyFill="1" applyBorder="1" applyAlignment="1">
      <alignment horizontal="center" textRotation="90" wrapText="1"/>
    </xf>
    <xf numFmtId="0" fontId="150" fillId="9" borderId="6" xfId="22" applyFont="1" applyFill="1" applyBorder="1" applyAlignment="1">
      <alignment horizontal="center" textRotation="90"/>
    </xf>
    <xf numFmtId="0" fontId="24" fillId="0" borderId="5" xfId="22" applyFont="1" applyBorder="1" applyAlignment="1">
      <alignment horizontal="center" vertical="center"/>
    </xf>
    <xf numFmtId="166" fontId="150" fillId="0" borderId="0" xfId="22" applyNumberFormat="1" applyFont="1" applyAlignment="1">
      <alignment vertical="center"/>
    </xf>
    <xf numFmtId="166" fontId="150" fillId="0" borderId="1" xfId="22" applyNumberFormat="1" applyFont="1" applyBorder="1" applyAlignment="1">
      <alignment vertical="center"/>
    </xf>
    <xf numFmtId="166" fontId="150" fillId="0" borderId="2" xfId="22" applyNumberFormat="1" applyFont="1" applyBorder="1" applyAlignment="1">
      <alignment horizontal="center" vertical="center"/>
    </xf>
    <xf numFmtId="166" fontId="150" fillId="0" borderId="3" xfId="22" applyNumberFormat="1" applyFont="1" applyBorder="1" applyAlignment="1">
      <alignment horizontal="center" vertical="center"/>
    </xf>
    <xf numFmtId="166" fontId="109" fillId="0" borderId="2" xfId="22" applyNumberFormat="1" applyFont="1" applyBorder="1" applyAlignment="1">
      <alignment horizontal="center" vertical="center"/>
    </xf>
    <xf numFmtId="166" fontId="109" fillId="0" borderId="3" xfId="22" applyNumberFormat="1" applyFont="1" applyBorder="1" applyAlignment="1">
      <alignment horizontal="center" vertical="center"/>
    </xf>
    <xf numFmtId="0" fontId="134" fillId="9" borderId="127" xfId="22" applyFont="1" applyFill="1" applyBorder="1" applyAlignment="1">
      <alignment horizontal="center" vertical="center" wrapText="1"/>
    </xf>
    <xf numFmtId="0" fontId="135" fillId="9" borderId="57" xfId="22" applyFont="1" applyFill="1" applyBorder="1" applyAlignment="1">
      <alignment horizontal="center" vertical="center" wrapText="1"/>
    </xf>
    <xf numFmtId="166" fontId="4" fillId="0" borderId="0" xfId="69" applyNumberFormat="1" applyFont="1" applyAlignment="1">
      <alignment vertical="center"/>
    </xf>
    <xf numFmtId="191" fontId="97" fillId="0" borderId="0" xfId="0" applyNumberFormat="1" applyFont="1"/>
    <xf numFmtId="167" fontId="4" fillId="0" borderId="0" xfId="69" applyNumberFormat="1" applyFont="1" applyAlignment="1">
      <alignment vertical="center"/>
    </xf>
    <xf numFmtId="0" fontId="85" fillId="3" borderId="126" xfId="27" applyFont="1" applyFill="1" applyBorder="1" applyAlignment="1">
      <alignment horizontal="left" wrapText="1" indent="1"/>
    </xf>
    <xf numFmtId="0" fontId="85" fillId="3" borderId="126" xfId="27" applyFont="1" applyFill="1" applyBorder="1" applyAlignment="1">
      <alignment horizontal="left" indent="1"/>
    </xf>
    <xf numFmtId="166" fontId="7" fillId="3" borderId="2" xfId="0" applyNumberFormat="1" applyFont="1" applyFill="1" applyBorder="1" applyAlignment="1">
      <alignment horizontal="center" vertical="center"/>
    </xf>
    <xf numFmtId="166" fontId="4" fillId="3" borderId="3" xfId="22" applyNumberFormat="1" applyFont="1" applyFill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0" fontId="305" fillId="9" borderId="6" xfId="0" applyFont="1" applyFill="1" applyBorder="1" applyAlignment="1">
      <alignment horizontal="center" vertical="center" wrapText="1"/>
    </xf>
    <xf numFmtId="181" fontId="51" fillId="3" borderId="57" xfId="4" applyNumberFormat="1" applyFont="1" applyFill="1" applyBorder="1" applyAlignment="1" applyProtection="1">
      <alignment horizontal="left" vertical="center"/>
    </xf>
    <xf numFmtId="181" fontId="41" fillId="3" borderId="57" xfId="4" applyNumberFormat="1" applyFont="1" applyFill="1" applyBorder="1" applyAlignment="1" applyProtection="1">
      <alignment horizontal="left" vertical="center"/>
    </xf>
    <xf numFmtId="181" fontId="41" fillId="3" borderId="129" xfId="4" applyNumberFormat="1" applyFont="1" applyFill="1" applyBorder="1" applyAlignment="1" applyProtection="1">
      <alignment horizontal="left" vertical="center"/>
    </xf>
    <xf numFmtId="0" fontId="5" fillId="0" borderId="1" xfId="38" applyFont="1" applyBorder="1" applyAlignment="1">
      <alignment horizontal="center" vertical="center"/>
    </xf>
    <xf numFmtId="173" fontId="4" fillId="0" borderId="1" xfId="38" applyNumberFormat="1" applyFont="1" applyBorder="1" applyAlignment="1">
      <alignment horizontal="center" vertical="center"/>
    </xf>
    <xf numFmtId="173" fontId="4" fillId="0" borderId="0" xfId="38" applyNumberFormat="1" applyFont="1" applyAlignment="1">
      <alignment horizontal="center" vertical="center"/>
    </xf>
    <xf numFmtId="173" fontId="4" fillId="0" borderId="2" xfId="38" applyNumberFormat="1" applyFont="1" applyBorder="1" applyAlignment="1">
      <alignment horizontal="center" vertical="center"/>
    </xf>
    <xf numFmtId="173" fontId="4" fillId="0" borderId="5" xfId="38" applyNumberFormat="1" applyFont="1" applyBorder="1" applyAlignment="1">
      <alignment horizontal="center" vertical="center"/>
    </xf>
    <xf numFmtId="0" fontId="5" fillId="0" borderId="5" xfId="38" applyFont="1" applyBorder="1" applyAlignment="1">
      <alignment horizontal="center" vertical="center"/>
    </xf>
    <xf numFmtId="4" fontId="5" fillId="0" borderId="1" xfId="38" applyNumberFormat="1" applyFont="1" applyBorder="1" applyAlignment="1">
      <alignment horizontal="center" vertical="center"/>
    </xf>
    <xf numFmtId="173" fontId="5" fillId="0" borderId="1" xfId="38" applyNumberFormat="1" applyFont="1" applyBorder="1" applyAlignment="1">
      <alignment horizontal="center" vertical="center"/>
    </xf>
    <xf numFmtId="4" fontId="6" fillId="0" borderId="2" xfId="38" applyNumberFormat="1" applyFont="1" applyBorder="1" applyAlignment="1">
      <alignment horizontal="center" vertical="center"/>
    </xf>
    <xf numFmtId="173" fontId="4" fillId="6" borderId="0" xfId="38" applyNumberFormat="1" applyFont="1" applyFill="1" applyAlignment="1">
      <alignment horizontal="center" vertical="center"/>
    </xf>
    <xf numFmtId="4" fontId="6" fillId="0" borderId="3" xfId="38" applyNumberFormat="1" applyFont="1" applyBorder="1" applyAlignment="1">
      <alignment horizontal="center" vertical="center"/>
    </xf>
    <xf numFmtId="173" fontId="6" fillId="0" borderId="3" xfId="38" applyNumberFormat="1" applyFont="1" applyBorder="1" applyAlignment="1">
      <alignment horizontal="center" vertical="center"/>
    </xf>
    <xf numFmtId="178" fontId="291" fillId="0" borderId="0" xfId="72" applyNumberFormat="1" applyFont="1" applyFill="1" applyAlignment="1">
      <alignment horizontal="right" vertical="center"/>
    </xf>
    <xf numFmtId="165" fontId="137" fillId="0" borderId="0" xfId="69" applyNumberFormat="1" applyFont="1"/>
    <xf numFmtId="0" fontId="245" fillId="11" borderId="16" xfId="69" applyFont="1" applyFill="1" applyBorder="1" applyAlignment="1">
      <alignment vertical="center"/>
    </xf>
    <xf numFmtId="170" fontId="118" fillId="0" borderId="0" xfId="69" applyNumberFormat="1" applyFont="1" applyAlignment="1">
      <alignment horizontal="center" vertical="center"/>
    </xf>
    <xf numFmtId="2" fontId="5" fillId="0" borderId="2" xfId="38" applyNumberFormat="1" applyFont="1" applyBorder="1" applyAlignment="1">
      <alignment horizontal="center" vertical="center"/>
    </xf>
    <xf numFmtId="2" fontId="6" fillId="0" borderId="2" xfId="38" applyNumberFormat="1" applyFont="1" applyBorder="1" applyAlignment="1">
      <alignment horizontal="center" vertical="center"/>
    </xf>
    <xf numFmtId="2" fontId="10" fillId="0" borderId="2" xfId="38" applyNumberFormat="1" applyFont="1" applyBorder="1" applyAlignment="1">
      <alignment horizontal="center" vertical="center"/>
    </xf>
    <xf numFmtId="2" fontId="6" fillId="0" borderId="3" xfId="38" applyNumberFormat="1" applyFont="1" applyBorder="1" applyAlignment="1">
      <alignment horizontal="center" vertical="center"/>
    </xf>
    <xf numFmtId="0" fontId="230" fillId="3" borderId="0" xfId="0" applyFont="1" applyFill="1" applyAlignment="1">
      <alignment vertical="center"/>
    </xf>
    <xf numFmtId="0" fontId="311" fillId="11" borderId="18" xfId="22" applyFont="1" applyFill="1" applyBorder="1" applyAlignment="1">
      <alignment horizontal="right"/>
    </xf>
    <xf numFmtId="0" fontId="28" fillId="9" borderId="9" xfId="38" applyFont="1" applyFill="1" applyBorder="1" applyAlignment="1">
      <alignment horizontal="center" vertical="center" wrapText="1"/>
    </xf>
    <xf numFmtId="0" fontId="28" fillId="9" borderId="10" xfId="38" applyFont="1" applyFill="1" applyBorder="1" applyAlignment="1">
      <alignment horizontal="center" vertical="center"/>
    </xf>
    <xf numFmtId="2" fontId="28" fillId="9" borderId="10" xfId="38" applyNumberFormat="1" applyFont="1" applyFill="1" applyBorder="1" applyAlignment="1">
      <alignment horizontal="center" vertical="center" wrapText="1"/>
    </xf>
    <xf numFmtId="0" fontId="28" fillId="9" borderId="11" xfId="38" applyFont="1" applyFill="1" applyBorder="1" applyAlignment="1">
      <alignment horizontal="center" vertical="center" wrapText="1"/>
    </xf>
    <xf numFmtId="0" fontId="28" fillId="9" borderId="6" xfId="38" applyFont="1" applyFill="1" applyBorder="1" applyAlignment="1">
      <alignment horizontal="center" vertical="center" wrapText="1"/>
    </xf>
    <xf numFmtId="2" fontId="28" fillId="9" borderId="6" xfId="38" applyNumberFormat="1" applyFont="1" applyFill="1" applyBorder="1" applyAlignment="1">
      <alignment horizontal="center" vertical="center" wrapText="1"/>
    </xf>
    <xf numFmtId="0" fontId="28" fillId="9" borderId="6" xfId="38" applyFont="1" applyFill="1" applyBorder="1" applyAlignment="1">
      <alignment horizontal="center" vertical="center"/>
    </xf>
    <xf numFmtId="10" fontId="28" fillId="0" borderId="6" xfId="0" applyNumberFormat="1" applyFont="1" applyBorder="1" applyAlignment="1">
      <alignment horizontal="center" vertical="center"/>
    </xf>
    <xf numFmtId="10" fontId="28" fillId="0" borderId="6" xfId="0" applyNumberFormat="1" applyFont="1" applyBorder="1" applyAlignment="1">
      <alignment horizontal="center" vertical="center" wrapText="1"/>
    </xf>
    <xf numFmtId="0" fontId="36" fillId="9" borderId="0" xfId="0" applyFont="1" applyFill="1"/>
    <xf numFmtId="0" fontId="37" fillId="3" borderId="2" xfId="0" applyFont="1" applyFill="1" applyBorder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/>
    </xf>
    <xf numFmtId="2" fontId="4" fillId="3" borderId="2" xfId="0" applyNumberFormat="1" applyFont="1" applyFill="1" applyBorder="1" applyAlignment="1">
      <alignment horizontal="center" vertical="center"/>
    </xf>
    <xf numFmtId="0" fontId="37" fillId="3" borderId="0" xfId="0" applyFont="1" applyFill="1"/>
    <xf numFmtId="0" fontId="36" fillId="3" borderId="0" xfId="0" applyFont="1" applyFill="1" applyAlignment="1">
      <alignment vertical="center"/>
    </xf>
    <xf numFmtId="14" fontId="36" fillId="3" borderId="0" xfId="0" applyNumberFormat="1" applyFont="1" applyFill="1"/>
    <xf numFmtId="1" fontId="36" fillId="3" borderId="0" xfId="0" applyNumberFormat="1" applyFont="1" applyFill="1" applyAlignment="1">
      <alignment horizontal="center"/>
    </xf>
    <xf numFmtId="172" fontId="5" fillId="9" borderId="6" xfId="0" applyNumberFormat="1" applyFont="1" applyFill="1" applyBorder="1" applyAlignment="1">
      <alignment horizontal="center" vertical="center" wrapText="1"/>
    </xf>
    <xf numFmtId="172" fontId="4" fillId="9" borderId="6" xfId="0" applyNumberFormat="1" applyFont="1" applyFill="1" applyBorder="1" applyAlignment="1">
      <alignment horizontal="center" vertical="center" wrapText="1"/>
    </xf>
    <xf numFmtId="0" fontId="157" fillId="11" borderId="0" xfId="0" applyFont="1" applyFill="1" applyAlignment="1">
      <alignment horizontal="center" vertical="center"/>
    </xf>
    <xf numFmtId="14" fontId="10" fillId="3" borderId="2" xfId="0" applyNumberFormat="1" applyFont="1" applyFill="1" applyBorder="1" applyAlignment="1">
      <alignment horizontal="left"/>
    </xf>
    <xf numFmtId="14" fontId="6" fillId="3" borderId="2" xfId="0" applyNumberFormat="1" applyFont="1" applyFill="1" applyBorder="1" applyAlignment="1">
      <alignment horizontal="left"/>
    </xf>
    <xf numFmtId="0" fontId="6" fillId="3" borderId="2" xfId="0" applyFont="1" applyFill="1" applyBorder="1"/>
    <xf numFmtId="0" fontId="134" fillId="9" borderId="58" xfId="22" applyFont="1" applyFill="1" applyBorder="1" applyAlignment="1">
      <alignment horizontal="center" vertical="center" wrapText="1"/>
    </xf>
    <xf numFmtId="1" fontId="300" fillId="7" borderId="58" xfId="22" applyNumberFormat="1" applyFont="1" applyFill="1" applyBorder="1" applyAlignment="1">
      <alignment horizontal="center" vertical="center" wrapText="1"/>
    </xf>
    <xf numFmtId="1" fontId="135" fillId="0" borderId="58" xfId="22" applyNumberFormat="1" applyFont="1" applyBorder="1" applyAlignment="1">
      <alignment horizontal="center" vertical="center"/>
    </xf>
    <xf numFmtId="1" fontId="300" fillId="7" borderId="135" xfId="22" applyNumberFormat="1" applyFont="1" applyFill="1" applyBorder="1" applyAlignment="1">
      <alignment horizontal="center" vertical="center" wrapText="1"/>
    </xf>
    <xf numFmtId="0" fontId="0" fillId="0" borderId="103" xfId="0" applyBorder="1" applyAlignment="1">
      <alignment horizontal="center"/>
    </xf>
    <xf numFmtId="0" fontId="147" fillId="0" borderId="30" xfId="69" applyFont="1" applyBorder="1" applyAlignment="1">
      <alignment horizontal="left" vertical="center" wrapText="1" indent="1"/>
    </xf>
    <xf numFmtId="170" fontId="134" fillId="13" borderId="57" xfId="98" applyNumberFormat="1" applyFont="1" applyFill="1" applyBorder="1" applyAlignment="1">
      <alignment horizontal="center" vertical="center" wrapText="1"/>
    </xf>
    <xf numFmtId="170" fontId="135" fillId="13" borderId="57" xfId="98" applyNumberFormat="1" applyFont="1" applyFill="1" applyBorder="1" applyAlignment="1">
      <alignment horizontal="center" vertical="center" wrapText="1"/>
    </xf>
    <xf numFmtId="0" fontId="28" fillId="9" borderId="6" xfId="0" applyFont="1" applyFill="1" applyBorder="1" applyAlignment="1">
      <alignment horizontal="center" vertical="center" wrapText="1"/>
    </xf>
    <xf numFmtId="0" fontId="17" fillId="9" borderId="67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 vertical="center" wrapText="1"/>
    </xf>
    <xf numFmtId="0" fontId="28" fillId="9" borderId="10" xfId="0" applyFont="1" applyFill="1" applyBorder="1" applyAlignment="1">
      <alignment horizontal="center" vertical="center" wrapText="1"/>
    </xf>
    <xf numFmtId="0" fontId="28" fillId="9" borderId="11" xfId="0" applyFont="1" applyFill="1" applyBorder="1" applyAlignment="1">
      <alignment horizontal="center" vertical="center" wrapText="1"/>
    </xf>
    <xf numFmtId="166" fontId="28" fillId="0" borderId="2" xfId="0" applyNumberFormat="1" applyFont="1" applyBorder="1" applyAlignment="1">
      <alignment horizontal="center" vertical="center"/>
    </xf>
    <xf numFmtId="166" fontId="315" fillId="0" borderId="2" xfId="0" applyNumberFormat="1" applyFont="1" applyBorder="1" applyAlignment="1">
      <alignment horizontal="center" vertical="center"/>
    </xf>
    <xf numFmtId="166" fontId="316" fillId="0" borderId="2" xfId="0" applyNumberFormat="1" applyFont="1" applyBorder="1" applyAlignment="1">
      <alignment horizontal="center" vertical="center"/>
    </xf>
    <xf numFmtId="166" fontId="28" fillId="0" borderId="2" xfId="26" applyNumberFormat="1" applyFont="1" applyBorder="1" applyAlignment="1">
      <alignment horizontal="center" vertical="center"/>
    </xf>
    <xf numFmtId="166" fontId="28" fillId="0" borderId="4" xfId="26" applyNumberFormat="1" applyFont="1" applyBorder="1" applyAlignment="1">
      <alignment horizontal="center" vertical="center"/>
    </xf>
    <xf numFmtId="166" fontId="28" fillId="0" borderId="0" xfId="0" applyNumberFormat="1" applyFont="1" applyAlignment="1">
      <alignment vertical="center"/>
    </xf>
    <xf numFmtId="49" fontId="17" fillId="0" borderId="0" xfId="26" applyNumberFormat="1" applyFont="1" applyAlignment="1">
      <alignment horizontal="center" vertical="center"/>
    </xf>
    <xf numFmtId="193" fontId="4" fillId="0" borderId="0" xfId="69" applyNumberFormat="1" applyFont="1" applyAlignment="1">
      <alignment vertical="center"/>
    </xf>
    <xf numFmtId="166" fontId="21" fillId="0" borderId="0" xfId="69" applyNumberFormat="1" applyFont="1" applyAlignment="1">
      <alignment vertical="center"/>
    </xf>
    <xf numFmtId="166" fontId="24" fillId="0" borderId="2" xfId="28" applyNumberFormat="1" applyFont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166" fontId="4" fillId="0" borderId="4" xfId="26" applyNumberFormat="1" applyFont="1" applyBorder="1" applyAlignment="1">
      <alignment horizontal="center" vertical="center"/>
    </xf>
    <xf numFmtId="0" fontId="215" fillId="0" borderId="0" xfId="0" applyFont="1" applyAlignment="1">
      <alignment vertical="center"/>
    </xf>
    <xf numFmtId="194" fontId="99" fillId="0" borderId="0" xfId="4" applyNumberFormat="1" applyFont="1" applyFill="1" applyBorder="1" applyAlignment="1">
      <alignment vertical="center"/>
    </xf>
    <xf numFmtId="0" fontId="136" fillId="3" borderId="78" xfId="69" applyFont="1" applyFill="1" applyBorder="1" applyAlignment="1">
      <alignment horizontal="center" vertical="center"/>
    </xf>
    <xf numFmtId="0" fontId="250" fillId="3" borderId="5" xfId="69" applyFont="1" applyFill="1" applyBorder="1" applyAlignment="1">
      <alignment horizontal="center" vertical="center" wrapText="1"/>
    </xf>
    <xf numFmtId="0" fontId="250" fillId="3" borderId="81" xfId="69" applyFont="1" applyFill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5" fillId="0" borderId="4" xfId="4" applyNumberFormat="1" applyFont="1" applyFill="1" applyBorder="1" applyAlignment="1">
      <alignment horizontal="left" vertical="center"/>
    </xf>
    <xf numFmtId="0" fontId="4" fillId="0" borderId="4" xfId="38" applyFont="1" applyBorder="1" applyAlignment="1">
      <alignment horizontal="center" vertical="center"/>
    </xf>
    <xf numFmtId="0" fontId="5" fillId="0" borderId="0" xfId="38" applyFont="1" applyAlignment="1">
      <alignment horizontal="left" vertical="center"/>
    </xf>
    <xf numFmtId="0" fontId="82" fillId="9" borderId="102" xfId="0" applyFont="1" applyFill="1" applyBorder="1" applyAlignment="1">
      <alignment horizontal="center" vertical="center"/>
    </xf>
    <xf numFmtId="0" fontId="134" fillId="9" borderId="126" xfId="22" applyFont="1" applyFill="1" applyBorder="1" applyAlignment="1">
      <alignment horizontal="center" vertical="center" wrapText="1"/>
    </xf>
    <xf numFmtId="14" fontId="82" fillId="9" borderId="45" xfId="69" applyNumberFormat="1" applyFont="1" applyFill="1" applyBorder="1" applyAlignment="1">
      <alignment horizontal="center" vertical="center" wrapText="1"/>
    </xf>
    <xf numFmtId="14" fontId="84" fillId="9" borderId="45" xfId="69" applyNumberFormat="1" applyFont="1" applyFill="1" applyBorder="1" applyAlignment="1">
      <alignment horizontal="center" vertical="center" wrapText="1"/>
    </xf>
    <xf numFmtId="0" fontId="309" fillId="3" borderId="0" xfId="69" applyFont="1" applyFill="1" applyAlignment="1">
      <alignment vertical="center"/>
    </xf>
    <xf numFmtId="0" fontId="153" fillId="3" borderId="0" xfId="69" applyFont="1" applyFill="1" applyAlignment="1">
      <alignment vertical="center"/>
    </xf>
    <xf numFmtId="0" fontId="216" fillId="3" borderId="0" xfId="69" applyFont="1" applyFill="1" applyAlignment="1">
      <alignment vertical="center"/>
    </xf>
    <xf numFmtId="0" fontId="231" fillId="3" borderId="0" xfId="69" applyFont="1" applyFill="1" applyAlignment="1">
      <alignment vertical="center"/>
    </xf>
    <xf numFmtId="195" fontId="4" fillId="0" borderId="0" xfId="0" applyNumberFormat="1" applyFont="1" applyAlignment="1">
      <alignment vertical="center"/>
    </xf>
    <xf numFmtId="165" fontId="118" fillId="0" borderId="0" xfId="98" applyFont="1" applyFill="1"/>
    <xf numFmtId="165" fontId="124" fillId="0" borderId="0" xfId="98" applyFont="1" applyFill="1"/>
    <xf numFmtId="165" fontId="93" fillId="0" borderId="0" xfId="98" applyFont="1" applyFill="1"/>
    <xf numFmtId="165" fontId="217" fillId="0" borderId="0" xfId="98" applyFont="1" applyFill="1"/>
    <xf numFmtId="196" fontId="118" fillId="0" borderId="0" xfId="69" applyNumberFormat="1" applyFont="1"/>
    <xf numFmtId="14" fontId="189" fillId="9" borderId="115" xfId="69" applyNumberFormat="1" applyFont="1" applyFill="1" applyBorder="1" applyAlignment="1">
      <alignment horizontal="center" vertical="center" wrapText="1"/>
    </xf>
    <xf numFmtId="0" fontId="242" fillId="0" borderId="21" xfId="69" applyFont="1" applyBorder="1" applyAlignment="1">
      <alignment horizontal="left" vertical="center" wrapText="1" indent="3"/>
    </xf>
    <xf numFmtId="0" fontId="243" fillId="0" borderId="4" xfId="69" applyFont="1" applyBorder="1" applyAlignment="1">
      <alignment horizontal="left" vertical="center" wrapText="1" indent="5"/>
    </xf>
    <xf numFmtId="0" fontId="265" fillId="0" borderId="4" xfId="69" applyFont="1" applyBorder="1" applyAlignment="1">
      <alignment horizontal="left" vertical="center" wrapText="1" indent="2"/>
    </xf>
    <xf numFmtId="0" fontId="243" fillId="0" borderId="26" xfId="69" applyFont="1" applyBorder="1" applyAlignment="1">
      <alignment horizontal="left" vertical="center" wrapText="1" indent="5"/>
    </xf>
    <xf numFmtId="0" fontId="248" fillId="10" borderId="0" xfId="69" applyFont="1" applyFill="1" applyAlignment="1">
      <alignment vertical="center" wrapText="1"/>
    </xf>
    <xf numFmtId="0" fontId="248" fillId="11" borderId="0" xfId="69" applyFont="1" applyFill="1" applyAlignment="1">
      <alignment vertical="center" wrapText="1"/>
    </xf>
    <xf numFmtId="14" fontId="249" fillId="9" borderId="115" xfId="69" applyNumberFormat="1" applyFont="1" applyFill="1" applyBorder="1" applyAlignment="1">
      <alignment horizontal="center" vertical="center" wrapText="1"/>
    </xf>
    <xf numFmtId="0" fontId="136" fillId="3" borderId="21" xfId="69" applyFont="1" applyFill="1" applyBorder="1" applyAlignment="1">
      <alignment horizontal="left" vertical="center" indent="2"/>
    </xf>
    <xf numFmtId="0" fontId="250" fillId="3" borderId="4" xfId="69" applyFont="1" applyFill="1" applyBorder="1" applyAlignment="1">
      <alignment horizontal="left" vertical="center" wrapText="1" indent="5"/>
    </xf>
    <xf numFmtId="0" fontId="136" fillId="0" borderId="23" xfId="69" applyFont="1" applyBorder="1" applyAlignment="1">
      <alignment horizontal="center" vertical="center"/>
    </xf>
    <xf numFmtId="0" fontId="250" fillId="3" borderId="4" xfId="69" applyFont="1" applyFill="1" applyBorder="1" applyAlignment="1">
      <alignment horizontal="left" vertical="center" wrapText="1" indent="7"/>
    </xf>
    <xf numFmtId="0" fontId="250" fillId="3" borderId="26" xfId="69" applyFont="1" applyFill="1" applyBorder="1" applyAlignment="1">
      <alignment horizontal="left" vertical="center" wrapText="1" indent="7"/>
    </xf>
    <xf numFmtId="0" fontId="250" fillId="3" borderId="21" xfId="69" applyFont="1" applyFill="1" applyBorder="1" applyAlignment="1">
      <alignment horizontal="left" vertical="center" wrapText="1" indent="5"/>
    </xf>
    <xf numFmtId="0" fontId="250" fillId="3" borderId="26" xfId="69" applyFont="1" applyFill="1" applyBorder="1" applyAlignment="1">
      <alignment horizontal="left" vertical="center" wrapText="1" indent="5"/>
    </xf>
    <xf numFmtId="0" fontId="250" fillId="0" borderId="21" xfId="69" applyFont="1" applyBorder="1" applyAlignment="1">
      <alignment horizontal="left" vertical="center" wrapText="1" indent="5"/>
    </xf>
    <xf numFmtId="0" fontId="250" fillId="0" borderId="4" xfId="69" applyFont="1" applyBorder="1" applyAlignment="1">
      <alignment horizontal="left" vertical="center" wrapText="1" indent="5"/>
    </xf>
    <xf numFmtId="0" fontId="250" fillId="0" borderId="26" xfId="69" applyFont="1" applyBorder="1" applyAlignment="1">
      <alignment horizontal="left" vertical="center" wrapText="1" indent="5"/>
    </xf>
    <xf numFmtId="0" fontId="290" fillId="3" borderId="23" xfId="69" applyFont="1" applyFill="1" applyBorder="1" applyAlignment="1">
      <alignment horizontal="center" vertical="center" wrapText="1"/>
    </xf>
    <xf numFmtId="0" fontId="290" fillId="3" borderId="2" xfId="69" applyFont="1" applyFill="1" applyBorder="1" applyAlignment="1">
      <alignment horizontal="center" vertical="center" wrapText="1"/>
    </xf>
    <xf numFmtId="0" fontId="290" fillId="3" borderId="28" xfId="69" applyFont="1" applyFill="1" applyBorder="1" applyAlignment="1">
      <alignment horizontal="center" vertical="center" wrapText="1"/>
    </xf>
    <xf numFmtId="0" fontId="309" fillId="3" borderId="31" xfId="69" applyFont="1" applyFill="1" applyBorder="1" applyAlignment="1">
      <alignment vertical="center"/>
    </xf>
    <xf numFmtId="0" fontId="182" fillId="10" borderId="0" xfId="69" applyFont="1" applyFill="1" applyAlignment="1">
      <alignment vertical="center"/>
    </xf>
    <xf numFmtId="0" fontId="249" fillId="0" borderId="38" xfId="69" applyFont="1" applyBorder="1" applyAlignment="1">
      <alignment vertical="center" wrapText="1"/>
    </xf>
    <xf numFmtId="170" fontId="249" fillId="0" borderId="45" xfId="94" applyNumberFormat="1" applyFont="1" applyFill="1" applyBorder="1" applyAlignment="1" applyProtection="1">
      <alignment horizontal="right" vertical="center" wrapText="1"/>
    </xf>
    <xf numFmtId="0" fontId="23" fillId="9" borderId="13" xfId="69" applyFont="1" applyFill="1" applyBorder="1"/>
    <xf numFmtId="0" fontId="23" fillId="9" borderId="31" xfId="69" applyFont="1" applyFill="1" applyBorder="1"/>
    <xf numFmtId="0" fontId="183" fillId="10" borderId="0" xfId="69" applyFont="1" applyFill="1" applyAlignment="1">
      <alignment vertical="center" wrapText="1"/>
    </xf>
    <xf numFmtId="0" fontId="244" fillId="9" borderId="115" xfId="69" applyFont="1" applyFill="1" applyBorder="1" applyAlignment="1">
      <alignment horizontal="center" vertical="center" wrapText="1"/>
    </xf>
    <xf numFmtId="0" fontId="242" fillId="0" borderId="21" xfId="69" applyFont="1" applyBorder="1" applyAlignment="1">
      <alignment horizontal="left" vertical="center" wrapText="1" indent="5"/>
    </xf>
    <xf numFmtId="14" fontId="82" fillId="9" borderId="78" xfId="69" applyNumberFormat="1" applyFont="1" applyFill="1" applyBorder="1" applyAlignment="1">
      <alignment horizontal="center" vertical="center" wrapText="1"/>
    </xf>
    <xf numFmtId="170" fontId="83" fillId="0" borderId="5" xfId="94" applyNumberFormat="1" applyFont="1" applyFill="1" applyBorder="1" applyAlignment="1" applyProtection="1">
      <alignment horizontal="right" vertical="center" wrapText="1"/>
      <protection locked="0"/>
    </xf>
    <xf numFmtId="170" fontId="83" fillId="0" borderId="5" xfId="94" applyNumberFormat="1" applyFont="1" applyFill="1" applyBorder="1" applyAlignment="1" applyProtection="1">
      <alignment horizontal="right" vertical="center" wrapText="1"/>
    </xf>
    <xf numFmtId="170" fontId="83" fillId="0" borderId="81" xfId="94" applyNumberFormat="1" applyFont="1" applyFill="1" applyBorder="1" applyAlignment="1" applyProtection="1">
      <alignment horizontal="right" vertical="center" wrapText="1"/>
    </xf>
    <xf numFmtId="170" fontId="82" fillId="0" borderId="46" xfId="94" applyNumberFormat="1" applyFont="1" applyFill="1" applyBorder="1" applyAlignment="1" applyProtection="1">
      <alignment horizontal="right" vertical="center" wrapText="1"/>
    </xf>
    <xf numFmtId="170" fontId="83" fillId="0" borderId="78" xfId="94" applyNumberFormat="1" applyFont="1" applyFill="1" applyBorder="1" applyAlignment="1" applyProtection="1">
      <alignment horizontal="right" vertical="center" wrapText="1"/>
      <protection locked="0"/>
    </xf>
    <xf numFmtId="170" fontId="292" fillId="0" borderId="5" xfId="94" applyNumberFormat="1" applyFont="1" applyFill="1" applyBorder="1" applyAlignment="1" applyProtection="1">
      <alignment horizontal="right" vertical="center" wrapText="1"/>
    </xf>
    <xf numFmtId="170" fontId="292" fillId="0" borderId="81" xfId="94" applyNumberFormat="1" applyFont="1" applyFill="1" applyBorder="1" applyAlignment="1" applyProtection="1">
      <alignment horizontal="right" vertical="center" wrapText="1"/>
    </xf>
    <xf numFmtId="170" fontId="83" fillId="0" borderId="78" xfId="94" applyNumberFormat="1" applyFont="1" applyFill="1" applyBorder="1" applyAlignment="1" applyProtection="1">
      <alignment horizontal="right" vertical="center" wrapText="1"/>
    </xf>
    <xf numFmtId="170" fontId="246" fillId="0" borderId="81" xfId="94" applyNumberFormat="1" applyFont="1" applyFill="1" applyBorder="1" applyAlignment="1" applyProtection="1">
      <alignment horizontal="right" vertical="center" wrapText="1"/>
    </xf>
    <xf numFmtId="170" fontId="249" fillId="0" borderId="46" xfId="94" applyNumberFormat="1" applyFont="1" applyFill="1" applyBorder="1" applyAlignment="1" applyProtection="1">
      <alignment horizontal="right" vertical="center" wrapText="1"/>
    </xf>
    <xf numFmtId="0" fontId="82" fillId="0" borderId="38" xfId="69" applyFont="1" applyBorder="1" applyAlignment="1">
      <alignment vertical="center" wrapText="1"/>
    </xf>
    <xf numFmtId="0" fontId="5" fillId="9" borderId="6" xfId="69" applyFont="1" applyFill="1" applyBorder="1" applyAlignment="1">
      <alignment horizontal="center" vertical="center" wrapText="1"/>
    </xf>
    <xf numFmtId="0" fontId="4" fillId="9" borderId="6" xfId="69" applyFont="1" applyFill="1" applyBorder="1" applyAlignment="1">
      <alignment horizontal="center" vertical="center" wrapText="1"/>
    </xf>
    <xf numFmtId="170" fontId="240" fillId="0" borderId="31" xfId="94" applyNumberFormat="1" applyFont="1" applyFill="1" applyBorder="1" applyAlignment="1" applyProtection="1">
      <alignment horizontal="right" vertical="center" wrapText="1"/>
    </xf>
    <xf numFmtId="170" fontId="240" fillId="0" borderId="0" xfId="94" applyNumberFormat="1" applyFont="1" applyFill="1" applyBorder="1" applyAlignment="1" applyProtection="1">
      <alignment horizontal="right" vertical="center" wrapText="1"/>
    </xf>
    <xf numFmtId="170" fontId="241" fillId="0" borderId="0" xfId="94" applyNumberFormat="1" applyFont="1" applyFill="1" applyBorder="1" applyAlignment="1" applyProtection="1">
      <alignment horizontal="right" vertical="center" wrapText="1"/>
    </xf>
    <xf numFmtId="170" fontId="241" fillId="0" borderId="16" xfId="94" applyNumberFormat="1" applyFont="1" applyFill="1" applyBorder="1" applyAlignment="1" applyProtection="1">
      <alignment horizontal="right" vertical="center" wrapText="1"/>
    </xf>
    <xf numFmtId="178" fontId="240" fillId="0" borderId="31" xfId="72" applyNumberFormat="1" applyFont="1" applyFill="1" applyBorder="1" applyAlignment="1" applyProtection="1">
      <alignment horizontal="right" vertical="center" wrapText="1"/>
    </xf>
    <xf numFmtId="178" fontId="240" fillId="0" borderId="78" xfId="72" applyNumberFormat="1" applyFont="1" applyFill="1" applyBorder="1" applyAlignment="1" applyProtection="1">
      <alignment horizontal="right" vertical="center" wrapText="1"/>
    </xf>
    <xf numFmtId="178" fontId="241" fillId="0" borderId="0" xfId="72" applyNumberFormat="1" applyFont="1" applyFill="1" applyBorder="1" applyAlignment="1" applyProtection="1">
      <alignment horizontal="right" vertical="center" wrapText="1"/>
    </xf>
    <xf numFmtId="178" fontId="241" fillId="0" borderId="5" xfId="72" applyNumberFormat="1" applyFont="1" applyFill="1" applyBorder="1" applyAlignment="1" applyProtection="1">
      <alignment horizontal="right" vertical="center" wrapText="1"/>
    </xf>
    <xf numFmtId="178" fontId="241" fillId="0" borderId="2" xfId="72" applyNumberFormat="1" applyFont="1" applyFill="1" applyBorder="1" applyAlignment="1" applyProtection="1">
      <alignment horizontal="right" vertical="center" wrapText="1"/>
    </xf>
    <xf numFmtId="178" fontId="241" fillId="0" borderId="16" xfId="72" applyNumberFormat="1" applyFont="1" applyFill="1" applyBorder="1" applyAlignment="1" applyProtection="1">
      <alignment horizontal="right" vertical="center" wrapText="1"/>
    </xf>
    <xf numFmtId="178" fontId="241" fillId="0" borderId="81" xfId="72" applyNumberFormat="1" applyFont="1" applyFill="1" applyBorder="1" applyAlignment="1" applyProtection="1">
      <alignment horizontal="right" vertical="center" wrapText="1"/>
    </xf>
    <xf numFmtId="10" fontId="118" fillId="0" borderId="0" xfId="40" applyNumberFormat="1" applyFont="1" applyFill="1"/>
    <xf numFmtId="49" fontId="243" fillId="0" borderId="4" xfId="69" applyNumberFormat="1" applyFont="1" applyBorder="1" applyAlignment="1">
      <alignment horizontal="left" vertical="center" wrapText="1" indent="5"/>
    </xf>
    <xf numFmtId="178" fontId="240" fillId="0" borderId="23" xfId="72" applyNumberFormat="1" applyFont="1" applyFill="1" applyBorder="1" applyAlignment="1" applyProtection="1">
      <alignment horizontal="right" vertical="center" wrapText="1"/>
    </xf>
    <xf numFmtId="178" fontId="241" fillId="0" borderId="28" xfId="72" applyNumberFormat="1" applyFont="1" applyFill="1" applyBorder="1" applyAlignment="1" applyProtection="1">
      <alignment horizontal="right" vertical="center" wrapText="1"/>
    </xf>
    <xf numFmtId="14" fontId="82" fillId="9" borderId="46" xfId="69" applyNumberFormat="1" applyFont="1" applyFill="1" applyBorder="1" applyAlignment="1">
      <alignment horizontal="center" vertical="center" wrapText="1"/>
    </xf>
    <xf numFmtId="0" fontId="159" fillId="0" borderId="4" xfId="22" applyFont="1" applyBorder="1" applyAlignment="1">
      <alignment horizontal="left" vertical="center" wrapText="1" indent="1"/>
    </xf>
    <xf numFmtId="197" fontId="4" fillId="0" borderId="0" xfId="0" applyNumberFormat="1" applyFont="1" applyAlignment="1">
      <alignment vertical="center"/>
    </xf>
    <xf numFmtId="0" fontId="43" fillId="9" borderId="1" xfId="0" applyFont="1" applyFill="1" applyBorder="1" applyAlignment="1">
      <alignment horizontal="center" vertical="center" wrapText="1"/>
    </xf>
    <xf numFmtId="1" fontId="47" fillId="3" borderId="2" xfId="0" applyNumberFormat="1" applyFont="1" applyFill="1" applyBorder="1" applyAlignment="1">
      <alignment horizontal="center" vertical="center"/>
    </xf>
    <xf numFmtId="165" fontId="18" fillId="0" borderId="2" xfId="95" applyFont="1" applyFill="1" applyBorder="1" applyAlignment="1">
      <alignment horizontal="center" vertical="center"/>
    </xf>
    <xf numFmtId="165" fontId="99" fillId="0" borderId="0" xfId="95" applyFont="1" applyFill="1" applyBorder="1" applyAlignment="1">
      <alignment vertical="center"/>
    </xf>
    <xf numFmtId="195" fontId="4" fillId="0" borderId="0" xfId="69" applyNumberFormat="1" applyFont="1" applyAlignment="1">
      <alignment vertical="center"/>
    </xf>
    <xf numFmtId="10" fontId="28" fillId="0" borderId="0" xfId="40" applyNumberFormat="1" applyFont="1" applyFill="1" applyBorder="1" applyAlignment="1">
      <alignment vertical="center"/>
    </xf>
    <xf numFmtId="166" fontId="21" fillId="0" borderId="0" xfId="0" applyNumberFormat="1" applyFont="1" applyAlignment="1">
      <alignment vertical="center"/>
    </xf>
    <xf numFmtId="0" fontId="188" fillId="11" borderId="0" xfId="69" applyFont="1" applyFill="1" applyAlignment="1">
      <alignment vertical="center" wrapText="1"/>
    </xf>
    <xf numFmtId="0" fontId="188" fillId="11" borderId="0" xfId="69" applyFont="1" applyFill="1" applyAlignment="1">
      <alignment horizontal="right" vertical="center" wrapText="1"/>
    </xf>
    <xf numFmtId="178" fontId="118" fillId="0" borderId="0" xfId="72" applyNumberFormat="1" applyFont="1" applyFill="1" applyAlignment="1">
      <alignment vertical="center"/>
    </xf>
    <xf numFmtId="0" fontId="118" fillId="0" borderId="0" xfId="69" applyFont="1" applyAlignment="1">
      <alignment vertical="center"/>
    </xf>
    <xf numFmtId="14" fontId="320" fillId="9" borderId="42" xfId="69" applyNumberFormat="1" applyFont="1" applyFill="1" applyBorder="1" applyAlignment="1">
      <alignment horizontal="center" vertical="center" wrapText="1"/>
    </xf>
    <xf numFmtId="14" fontId="320" fillId="9" borderId="45" xfId="69" applyNumberFormat="1" applyFont="1" applyFill="1" applyBorder="1" applyAlignment="1">
      <alignment horizontal="center" vertical="center" wrapText="1"/>
    </xf>
    <xf numFmtId="0" fontId="321" fillId="0" borderId="20" xfId="69" applyFont="1" applyBorder="1" applyAlignment="1">
      <alignment horizontal="left" vertical="center" wrapText="1" indent="3"/>
    </xf>
    <xf numFmtId="170" fontId="320" fillId="0" borderId="23" xfId="94" applyNumberFormat="1" applyFont="1" applyFill="1" applyBorder="1" applyAlignment="1" applyProtection="1">
      <alignment horizontal="right" vertical="center" wrapText="1"/>
    </xf>
    <xf numFmtId="0" fontId="322" fillId="0" borderId="36" xfId="69" applyFont="1" applyBorder="1" applyAlignment="1">
      <alignment horizontal="left" vertical="center" wrapText="1" indent="2"/>
    </xf>
    <xf numFmtId="170" fontId="320" fillId="0" borderId="2" xfId="94" applyNumberFormat="1" applyFont="1" applyFill="1" applyBorder="1" applyAlignment="1" applyProtection="1">
      <alignment horizontal="right" vertical="center" wrapText="1"/>
    </xf>
    <xf numFmtId="49" fontId="323" fillId="0" borderId="36" xfId="69" applyNumberFormat="1" applyFont="1" applyBorder="1" applyAlignment="1">
      <alignment horizontal="left" vertical="center" wrapText="1" indent="5"/>
    </xf>
    <xf numFmtId="170" fontId="324" fillId="0" borderId="2" xfId="94" applyNumberFormat="1" applyFont="1" applyFill="1" applyBorder="1" applyAlignment="1" applyProtection="1">
      <alignment horizontal="right" vertical="center" wrapText="1"/>
    </xf>
    <xf numFmtId="49" fontId="323" fillId="0" borderId="25" xfId="69" applyNumberFormat="1" applyFont="1" applyBorder="1" applyAlignment="1">
      <alignment horizontal="left" vertical="center" wrapText="1" indent="5"/>
    </xf>
    <xf numFmtId="170" fontId="324" fillId="0" borderId="28" xfId="94" applyNumberFormat="1" applyFont="1" applyFill="1" applyBorder="1" applyAlignment="1" applyProtection="1">
      <alignment horizontal="right" vertical="center" wrapText="1"/>
    </xf>
    <xf numFmtId="177" fontId="107" fillId="5" borderId="0" xfId="21" applyNumberFormat="1" applyFont="1" applyFill="1" applyAlignment="1">
      <alignment horizontal="right" vertical="center" wrapText="1"/>
    </xf>
    <xf numFmtId="178" fontId="4" fillId="0" borderId="0" xfId="40" applyNumberFormat="1" applyFont="1" applyFill="1" applyAlignment="1">
      <alignment vertical="center"/>
    </xf>
    <xf numFmtId="14" fontId="320" fillId="9" borderId="46" xfId="69" applyNumberFormat="1" applyFont="1" applyFill="1" applyBorder="1" applyAlignment="1">
      <alignment horizontal="center" vertical="center" wrapText="1"/>
    </xf>
    <xf numFmtId="170" fontId="320" fillId="0" borderId="78" xfId="94" applyNumberFormat="1" applyFont="1" applyFill="1" applyBorder="1" applyAlignment="1" applyProtection="1">
      <alignment horizontal="right" vertical="center" wrapText="1"/>
    </xf>
    <xf numFmtId="170" fontId="320" fillId="0" borderId="5" xfId="94" applyNumberFormat="1" applyFont="1" applyFill="1" applyBorder="1" applyAlignment="1" applyProtection="1">
      <alignment horizontal="right" vertical="center" wrapText="1"/>
    </xf>
    <xf numFmtId="170" fontId="324" fillId="0" borderId="5" xfId="94" applyNumberFormat="1" applyFont="1" applyFill="1" applyBorder="1" applyAlignment="1" applyProtection="1">
      <alignment horizontal="right" vertical="center" wrapText="1"/>
    </xf>
    <xf numFmtId="170" fontId="324" fillId="0" borderId="81" xfId="94" applyNumberFormat="1" applyFont="1" applyFill="1" applyBorder="1" applyAlignment="1" applyProtection="1">
      <alignment horizontal="right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4" fillId="0" borderId="3" xfId="22" applyFont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49" fontId="17" fillId="0" borderId="5" xfId="26" applyNumberFormat="1" applyFont="1" applyBorder="1" applyAlignment="1">
      <alignment horizontal="center" vertical="center"/>
    </xf>
    <xf numFmtId="166" fontId="5" fillId="0" borderId="49" xfId="26" applyNumberFormat="1" applyFont="1" applyBorder="1" applyAlignment="1">
      <alignment horizontal="center" vertical="center"/>
    </xf>
    <xf numFmtId="166" fontId="5" fillId="0" borderId="0" xfId="26" applyNumberFormat="1" applyFont="1" applyAlignment="1">
      <alignment horizontal="center" vertical="center"/>
    </xf>
    <xf numFmtId="166" fontId="5" fillId="0" borderId="4" xfId="26" applyNumberFormat="1" applyFont="1" applyBorder="1" applyAlignment="1">
      <alignment horizontal="center" vertical="center" wrapText="1"/>
    </xf>
    <xf numFmtId="49" fontId="17" fillId="0" borderId="1" xfId="26" applyNumberFormat="1" applyFont="1" applyBorder="1" applyAlignment="1">
      <alignment horizontal="center" vertical="center"/>
    </xf>
    <xf numFmtId="166" fontId="5" fillId="0" borderId="1" xfId="26" applyNumberFormat="1" applyFont="1" applyBorder="1" applyAlignment="1">
      <alignment horizontal="center" vertical="center"/>
    </xf>
    <xf numFmtId="166" fontId="5" fillId="0" borderId="1" xfId="26" applyNumberFormat="1" applyFont="1" applyBorder="1" applyAlignment="1">
      <alignment horizontal="center" vertical="center" wrapText="1"/>
    </xf>
    <xf numFmtId="166" fontId="5" fillId="0" borderId="2" xfId="26" applyNumberFormat="1" applyFont="1" applyBorder="1" applyAlignment="1">
      <alignment horizontal="center" vertical="center" wrapText="1"/>
    </xf>
    <xf numFmtId="166" fontId="4" fillId="0" borderId="2" xfId="26" applyNumberFormat="1" applyFont="1" applyBorder="1" applyAlignment="1">
      <alignment horizontal="center" vertical="center" wrapText="1"/>
    </xf>
    <xf numFmtId="166" fontId="4" fillId="0" borderId="2" xfId="26" applyNumberFormat="1" applyFont="1" applyBorder="1" applyAlignment="1">
      <alignment horizontal="center"/>
    </xf>
    <xf numFmtId="49" fontId="28" fillId="0" borderId="0" xfId="0" applyNumberFormat="1" applyFont="1" applyAlignment="1">
      <alignment horizontal="right" vertical="center"/>
    </xf>
    <xf numFmtId="178" fontId="118" fillId="0" borderId="0" xfId="40" applyNumberFormat="1" applyFont="1" applyFill="1"/>
    <xf numFmtId="14" fontId="320" fillId="9" borderId="39" xfId="69" applyNumberFormat="1" applyFont="1" applyFill="1" applyBorder="1" applyAlignment="1">
      <alignment horizontal="center" vertical="center" wrapText="1"/>
    </xf>
    <xf numFmtId="0" fontId="321" fillId="0" borderId="22" xfId="69" applyFont="1" applyBorder="1" applyAlignment="1">
      <alignment horizontal="left" vertical="center" wrapText="1" indent="3"/>
    </xf>
    <xf numFmtId="0" fontId="322" fillId="0" borderId="24" xfId="69" applyFont="1" applyBorder="1" applyAlignment="1">
      <alignment horizontal="left" vertical="center" wrapText="1" indent="2"/>
    </xf>
    <xf numFmtId="49" fontId="323" fillId="0" borderId="24" xfId="69" applyNumberFormat="1" applyFont="1" applyBorder="1" applyAlignment="1">
      <alignment horizontal="left" vertical="center" wrapText="1" indent="5"/>
    </xf>
    <xf numFmtId="49" fontId="323" fillId="0" borderId="27" xfId="69" applyNumberFormat="1" applyFont="1" applyBorder="1" applyAlignment="1">
      <alignment horizontal="left" vertical="center" wrapText="1" indent="5"/>
    </xf>
    <xf numFmtId="3" fontId="123" fillId="3" borderId="128" xfId="27" applyNumberFormat="1" applyFont="1" applyFill="1" applyBorder="1" applyAlignment="1">
      <alignment horizontal="center" vertical="center" wrapText="1"/>
    </xf>
    <xf numFmtId="3" fontId="123" fillId="3" borderId="130" xfId="27" applyNumberFormat="1" applyFont="1" applyFill="1" applyBorder="1" applyAlignment="1">
      <alignment horizontal="center" vertical="center" wrapText="1"/>
    </xf>
    <xf numFmtId="166" fontId="144" fillId="0" borderId="152" xfId="22" applyNumberFormat="1" applyFont="1" applyBorder="1" applyAlignment="1">
      <alignment horizontal="center" vertical="center"/>
    </xf>
    <xf numFmtId="166" fontId="23" fillId="0" borderId="152" xfId="22" applyNumberFormat="1" applyFont="1" applyBorder="1" applyAlignment="1">
      <alignment horizontal="center" vertical="center"/>
    </xf>
    <xf numFmtId="0" fontId="25" fillId="0" borderId="73" xfId="36" applyFont="1" applyBorder="1" applyAlignment="1">
      <alignment horizontal="left" vertical="center" wrapText="1" indent="3"/>
    </xf>
    <xf numFmtId="166" fontId="4" fillId="0" borderId="2" xfId="102" applyNumberFormat="1" applyFont="1" applyBorder="1" applyAlignment="1">
      <alignment horizontal="center" vertical="center" wrapText="1"/>
    </xf>
    <xf numFmtId="2" fontId="4" fillId="0" borderId="2" xfId="102" applyNumberFormat="1" applyFont="1" applyBorder="1" applyAlignment="1">
      <alignment horizontal="center" vertical="center" wrapText="1"/>
    </xf>
    <xf numFmtId="49" fontId="17" fillId="0" borderId="2" xfId="102" applyNumberFormat="1" applyFont="1" applyBorder="1" applyAlignment="1">
      <alignment horizontal="center" vertical="center"/>
    </xf>
    <xf numFmtId="49" fontId="17" fillId="0" borderId="3" xfId="102" applyNumberFormat="1" applyFont="1" applyBorder="1" applyAlignment="1">
      <alignment horizontal="center" vertical="center"/>
    </xf>
    <xf numFmtId="166" fontId="4" fillId="0" borderId="3" xfId="102" applyNumberFormat="1" applyFont="1" applyBorder="1" applyAlignment="1">
      <alignment horizontal="center" vertical="center" wrapText="1"/>
    </xf>
    <xf numFmtId="2" fontId="4" fillId="0" borderId="3" xfId="102" applyNumberFormat="1" applyFont="1" applyBorder="1" applyAlignment="1">
      <alignment horizontal="center" vertical="center" wrapText="1"/>
    </xf>
    <xf numFmtId="49" fontId="17" fillId="0" borderId="3" xfId="26" applyNumberFormat="1" applyFont="1" applyBorder="1" applyAlignment="1">
      <alignment horizontal="center" vertical="center"/>
    </xf>
    <xf numFmtId="166" fontId="4" fillId="0" borderId="3" xfId="26" applyNumberFormat="1" applyFont="1" applyBorder="1" applyAlignment="1">
      <alignment horizontal="center" vertical="center"/>
    </xf>
    <xf numFmtId="166" fontId="4" fillId="0" borderId="3" xfId="26" applyNumberFormat="1" applyFont="1" applyBorder="1" applyAlignment="1">
      <alignment horizontal="center" vertical="center" wrapText="1"/>
    </xf>
    <xf numFmtId="166" fontId="4" fillId="0" borderId="2" xfId="2318" applyNumberFormat="1" applyFont="1" applyBorder="1" applyAlignment="1">
      <alignment horizontal="center" vertical="center" wrapText="1"/>
    </xf>
    <xf numFmtId="49" fontId="17" fillId="0" borderId="2" xfId="2318" applyNumberFormat="1" applyFont="1" applyBorder="1" applyAlignment="1">
      <alignment horizontal="center" vertical="center"/>
    </xf>
    <xf numFmtId="49" fontId="17" fillId="0" borderId="3" xfId="2318" applyNumberFormat="1" applyFont="1" applyBorder="1" applyAlignment="1">
      <alignment horizontal="center" vertical="center"/>
    </xf>
    <xf numFmtId="166" fontId="4" fillId="0" borderId="3" xfId="2318" applyNumberFormat="1" applyFont="1" applyBorder="1" applyAlignment="1">
      <alignment horizontal="center" vertical="center" wrapText="1"/>
    </xf>
    <xf numFmtId="198" fontId="118" fillId="0" borderId="0" xfId="69" applyNumberFormat="1" applyFont="1"/>
    <xf numFmtId="199" fontId="118" fillId="0" borderId="0" xfId="69" applyNumberFormat="1" applyFont="1"/>
    <xf numFmtId="0" fontId="343" fillId="0" borderId="20" xfId="69" applyFont="1" applyBorder="1" applyAlignment="1">
      <alignment horizontal="left" vertical="center" wrapText="1"/>
    </xf>
    <xf numFmtId="170" fontId="343" fillId="0" borderId="23" xfId="94" applyNumberFormat="1" applyFont="1" applyFill="1" applyBorder="1" applyAlignment="1">
      <alignment horizontal="right" vertical="center"/>
    </xf>
    <xf numFmtId="170" fontId="343" fillId="0" borderId="78" xfId="94" applyNumberFormat="1" applyFont="1" applyFill="1" applyBorder="1" applyAlignment="1">
      <alignment horizontal="right" vertical="center"/>
    </xf>
    <xf numFmtId="0" fontId="343" fillId="0" borderId="21" xfId="69" applyFont="1" applyBorder="1" applyAlignment="1">
      <alignment horizontal="left" vertical="center" wrapText="1"/>
    </xf>
    <xf numFmtId="0" fontId="343" fillId="0" borderId="36" xfId="69" applyFont="1" applyBorder="1" applyAlignment="1">
      <alignment horizontal="left" vertical="center" wrapText="1" indent="2"/>
    </xf>
    <xf numFmtId="170" fontId="343" fillId="0" borderId="2" xfId="94" applyNumberFormat="1" applyFont="1" applyFill="1" applyBorder="1" applyAlignment="1">
      <alignment horizontal="right" vertical="center"/>
    </xf>
    <xf numFmtId="170" fontId="343" fillId="0" borderId="5" xfId="94" applyNumberFormat="1" applyFont="1" applyFill="1" applyBorder="1" applyAlignment="1">
      <alignment horizontal="right" vertical="center"/>
    </xf>
    <xf numFmtId="0" fontId="343" fillId="0" borderId="4" xfId="69" applyFont="1" applyBorder="1" applyAlignment="1">
      <alignment horizontal="left" vertical="center" wrapText="1" indent="2"/>
    </xf>
    <xf numFmtId="0" fontId="343" fillId="0" borderId="36" xfId="69" applyFont="1" applyBorder="1" applyAlignment="1">
      <alignment horizontal="left" vertical="center" wrapText="1"/>
    </xf>
    <xf numFmtId="0" fontId="343" fillId="0" borderId="4" xfId="69" applyFont="1" applyBorder="1" applyAlignment="1">
      <alignment horizontal="left" vertical="center" wrapText="1"/>
    </xf>
    <xf numFmtId="2" fontId="343" fillId="0" borderId="2" xfId="94" applyNumberFormat="1" applyFont="1" applyFill="1" applyBorder="1" applyAlignment="1">
      <alignment horizontal="right" vertical="center"/>
    </xf>
    <xf numFmtId="166" fontId="343" fillId="0" borderId="2" xfId="94" applyNumberFormat="1" applyFont="1" applyFill="1" applyBorder="1" applyAlignment="1">
      <alignment horizontal="right" vertical="center"/>
    </xf>
    <xf numFmtId="173" fontId="343" fillId="0" borderId="2" xfId="94" applyNumberFormat="1" applyFont="1" applyFill="1" applyBorder="1" applyAlignment="1">
      <alignment horizontal="right" vertical="center"/>
    </xf>
    <xf numFmtId="173" fontId="343" fillId="0" borderId="5" xfId="94" applyNumberFormat="1" applyFont="1" applyFill="1" applyBorder="1" applyAlignment="1">
      <alignment horizontal="right" vertical="center"/>
    </xf>
    <xf numFmtId="0" fontId="343" fillId="0" borderId="116" xfId="69" applyFont="1" applyBorder="1" applyAlignment="1">
      <alignment horizontal="left" vertical="center" wrapText="1"/>
    </xf>
    <xf numFmtId="170" fontId="343" fillId="0" borderId="117" xfId="94" applyNumberFormat="1" applyFont="1" applyFill="1" applyBorder="1" applyAlignment="1">
      <alignment horizontal="right" vertical="center"/>
    </xf>
    <xf numFmtId="170" fontId="343" fillId="0" borderId="118" xfId="94" applyNumberFormat="1" applyFont="1" applyFill="1" applyBorder="1" applyAlignment="1">
      <alignment horizontal="right" vertical="center"/>
    </xf>
    <xf numFmtId="0" fontId="343" fillId="0" borderId="117" xfId="69" applyFont="1" applyBorder="1" applyAlignment="1">
      <alignment horizontal="left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2" fillId="9" borderId="6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center" vertical="center" wrapText="1"/>
    </xf>
    <xf numFmtId="0" fontId="17" fillId="9" borderId="6" xfId="26" applyFont="1" applyFill="1" applyBorder="1" applyAlignment="1">
      <alignment horizontal="center" vertical="center" wrapText="1"/>
    </xf>
    <xf numFmtId="0" fontId="18" fillId="9" borderId="6" xfId="26" applyFont="1" applyFill="1" applyBorder="1" applyAlignment="1">
      <alignment horizontal="center" vertical="center" wrapText="1"/>
    </xf>
    <xf numFmtId="0" fontId="43" fillId="9" borderId="6" xfId="0" applyFont="1" applyFill="1" applyBorder="1" applyAlignment="1">
      <alignment horizontal="center" vertical="center" wrapText="1"/>
    </xf>
    <xf numFmtId="0" fontId="42" fillId="9" borderId="9" xfId="0" applyFont="1" applyFill="1" applyBorder="1" applyAlignment="1">
      <alignment horizontal="center" vertical="center"/>
    </xf>
    <xf numFmtId="0" fontId="42" fillId="9" borderId="10" xfId="0" applyFont="1" applyFill="1" applyBorder="1" applyAlignment="1">
      <alignment horizontal="center" vertical="center"/>
    </xf>
    <xf numFmtId="0" fontId="42" fillId="9" borderId="11" xfId="0" applyFont="1" applyFill="1" applyBorder="1" applyAlignment="1">
      <alignment horizontal="center" vertical="center"/>
    </xf>
    <xf numFmtId="0" fontId="134" fillId="9" borderId="57" xfId="22" applyFont="1" applyFill="1" applyBorder="1" applyAlignment="1">
      <alignment horizontal="center" vertical="center" wrapText="1"/>
    </xf>
    <xf numFmtId="0" fontId="99" fillId="0" borderId="0" xfId="0" applyFont="1" applyAlignment="1">
      <alignment vertical="center"/>
    </xf>
    <xf numFmtId="0" fontId="100" fillId="0" borderId="0" xfId="0" applyFont="1" applyAlignment="1">
      <alignment vertical="center"/>
    </xf>
    <xf numFmtId="0" fontId="220" fillId="3" borderId="0" xfId="0" applyFont="1" applyFill="1" applyAlignment="1">
      <alignment vertical="justify"/>
    </xf>
    <xf numFmtId="0" fontId="308" fillId="0" borderId="0" xfId="0" applyFont="1" applyAlignment="1">
      <alignment vertical="center"/>
    </xf>
    <xf numFmtId="166" fontId="99" fillId="0" borderId="2" xfId="0" applyNumberFormat="1" applyFont="1" applyBorder="1" applyAlignment="1">
      <alignment horizontal="center" vertical="center"/>
    </xf>
    <xf numFmtId="166" fontId="108" fillId="0" borderId="2" xfId="0" applyNumberFormat="1" applyFont="1" applyBorder="1" applyAlignment="1">
      <alignment horizontal="center" vertical="center"/>
    </xf>
    <xf numFmtId="166" fontId="108" fillId="0" borderId="2" xfId="0" applyNumberFormat="1" applyFont="1" applyBorder="1" applyAlignment="1">
      <alignment horizontal="center"/>
    </xf>
    <xf numFmtId="0" fontId="100" fillId="0" borderId="2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166" fontId="17" fillId="0" borderId="0" xfId="0" applyNumberFormat="1" applyFont="1" applyAlignment="1">
      <alignment vertical="center"/>
    </xf>
    <xf numFmtId="0" fontId="99" fillId="4" borderId="0" xfId="0" applyFont="1" applyFill="1" applyAlignment="1">
      <alignment vertical="center"/>
    </xf>
    <xf numFmtId="1" fontId="18" fillId="0" borderId="0" xfId="0" applyNumberFormat="1" applyFont="1" applyAlignment="1">
      <alignment vertical="center"/>
    </xf>
    <xf numFmtId="0" fontId="17" fillId="0" borderId="5" xfId="0" applyFont="1" applyBorder="1" applyAlignment="1">
      <alignment vertical="center"/>
    </xf>
    <xf numFmtId="0" fontId="18" fillId="0" borderId="163" xfId="0" applyFont="1" applyBorder="1" applyAlignment="1">
      <alignment vertical="center"/>
    </xf>
    <xf numFmtId="166" fontId="18" fillId="0" borderId="163" xfId="0" applyNumberFormat="1" applyFont="1" applyBorder="1" applyAlignment="1">
      <alignment vertical="center"/>
    </xf>
    <xf numFmtId="1" fontId="18" fillId="0" borderId="163" xfId="0" applyNumberFormat="1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67" fillId="11" borderId="0" xfId="0" applyFont="1" applyFill="1" applyAlignment="1">
      <alignment horizontal="center" vertical="center"/>
    </xf>
    <xf numFmtId="0" fontId="99" fillId="0" borderId="0" xfId="0" applyFont="1"/>
    <xf numFmtId="0" fontId="135" fillId="0" borderId="126" xfId="22" applyFont="1" applyBorder="1" applyAlignment="1">
      <alignment horizontal="left" vertical="center" wrapText="1" indent="2"/>
    </xf>
    <xf numFmtId="0" fontId="152" fillId="0" borderId="0" xfId="0" applyFont="1" applyAlignment="1">
      <alignment vertical="center"/>
    </xf>
    <xf numFmtId="2" fontId="99" fillId="0" borderId="0" xfId="0" applyNumberFormat="1" applyFont="1" applyAlignment="1">
      <alignment vertical="center"/>
    </xf>
    <xf numFmtId="49" fontId="99" fillId="0" borderId="0" xfId="0" applyNumberFormat="1" applyFont="1" applyAlignment="1">
      <alignment vertical="center"/>
    </xf>
    <xf numFmtId="49" fontId="99" fillId="0" borderId="163" xfId="0" applyNumberFormat="1" applyFont="1" applyBorder="1" applyAlignment="1">
      <alignment vertical="center"/>
    </xf>
    <xf numFmtId="0" fontId="18" fillId="0" borderId="1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81" fillId="12" borderId="0" xfId="22" applyNumberFormat="1" applyFont="1" applyFill="1"/>
    <xf numFmtId="1" fontId="81" fillId="0" borderId="0" xfId="22" applyNumberFormat="1" applyFont="1"/>
    <xf numFmtId="0" fontId="45" fillId="0" borderId="0" xfId="22" applyFont="1"/>
    <xf numFmtId="0" fontId="213" fillId="3" borderId="0" xfId="0" applyFont="1" applyFill="1" applyAlignment="1">
      <alignment vertical="center"/>
    </xf>
    <xf numFmtId="0" fontId="9" fillId="0" borderId="145" xfId="22" applyFont="1" applyBorder="1" applyAlignment="1">
      <alignment vertical="center"/>
    </xf>
    <xf numFmtId="0" fontId="9" fillId="0" borderId="143" xfId="22" applyFont="1" applyBorder="1" applyAlignment="1">
      <alignment vertical="center"/>
    </xf>
    <xf numFmtId="0" fontId="9" fillId="0" borderId="133" xfId="22" applyFont="1" applyBorder="1" applyAlignment="1">
      <alignment vertical="center"/>
    </xf>
    <xf numFmtId="0" fontId="9" fillId="0" borderId="131" xfId="22" applyFont="1" applyBorder="1" applyAlignment="1">
      <alignment vertical="center"/>
    </xf>
    <xf numFmtId="0" fontId="9" fillId="0" borderId="133" xfId="22" applyFont="1" applyBorder="1" applyAlignment="1">
      <alignment vertical="center" wrapText="1"/>
    </xf>
    <xf numFmtId="0" fontId="9" fillId="0" borderId="131" xfId="22" applyFont="1" applyBorder="1" applyAlignment="1">
      <alignment vertical="center" wrapText="1"/>
    </xf>
    <xf numFmtId="0" fontId="9" fillId="3" borderId="133" xfId="22" applyFont="1" applyFill="1" applyBorder="1" applyAlignment="1">
      <alignment vertical="center" wrapText="1"/>
    </xf>
    <xf numFmtId="0" fontId="24" fillId="0" borderId="133" xfId="22" applyFont="1" applyBorder="1" applyAlignment="1">
      <alignment horizontal="center" vertical="center"/>
    </xf>
    <xf numFmtId="0" fontId="24" fillId="0" borderId="131" xfId="22" applyFont="1" applyBorder="1" applyAlignment="1">
      <alignment horizontal="center" vertical="center"/>
    </xf>
    <xf numFmtId="1" fontId="41" fillId="9" borderId="57" xfId="0" applyNumberFormat="1" applyFont="1" applyFill="1" applyBorder="1" applyAlignment="1">
      <alignment horizontal="center" vertical="center" wrapText="1"/>
    </xf>
    <xf numFmtId="1" fontId="51" fillId="9" borderId="57" xfId="22" applyNumberFormat="1" applyFont="1" applyFill="1" applyBorder="1" applyAlignment="1">
      <alignment horizontal="center" vertical="center" wrapText="1"/>
    </xf>
    <xf numFmtId="0" fontId="161" fillId="11" borderId="0" xfId="22" applyFont="1" applyFill="1" applyAlignment="1">
      <alignment vertical="center"/>
    </xf>
    <xf numFmtId="0" fontId="161" fillId="11" borderId="0" xfId="22" applyFont="1" applyFill="1" applyAlignment="1">
      <alignment horizontal="center" vertical="center"/>
    </xf>
    <xf numFmtId="0" fontId="159" fillId="11" borderId="0" xfId="22" applyFont="1" applyFill="1" applyAlignment="1">
      <alignment horizontal="center" vertical="center"/>
    </xf>
    <xf numFmtId="0" fontId="205" fillId="10" borderId="0" xfId="26" applyFont="1" applyFill="1" applyAlignment="1">
      <alignment vertical="center"/>
    </xf>
    <xf numFmtId="0" fontId="205" fillId="10" borderId="0" xfId="26" applyFont="1" applyFill="1" applyAlignment="1">
      <alignment horizontal="center" vertical="center"/>
    </xf>
    <xf numFmtId="1" fontId="99" fillId="0" borderId="0" xfId="0" applyNumberFormat="1" applyFont="1" applyAlignment="1">
      <alignment vertical="center"/>
    </xf>
    <xf numFmtId="0" fontId="222" fillId="3" borderId="0" xfId="0" applyFont="1" applyFill="1" applyAlignment="1">
      <alignment horizontal="left" vertical="justify"/>
    </xf>
    <xf numFmtId="1" fontId="222" fillId="3" borderId="0" xfId="0" applyNumberFormat="1" applyFont="1" applyFill="1" applyAlignment="1">
      <alignment horizontal="left" vertical="center"/>
    </xf>
    <xf numFmtId="1" fontId="18" fillId="0" borderId="3" xfId="0" applyNumberFormat="1" applyFont="1" applyBorder="1" applyAlignment="1">
      <alignment horizontal="center" vertical="center"/>
    </xf>
    <xf numFmtId="1" fontId="18" fillId="0" borderId="3" xfId="26" applyNumberFormat="1" applyFont="1" applyBorder="1" applyAlignment="1">
      <alignment horizontal="center" vertical="center"/>
    </xf>
    <xf numFmtId="2" fontId="18" fillId="0" borderId="3" xfId="26" applyNumberFormat="1" applyFont="1" applyBorder="1" applyAlignment="1">
      <alignment horizontal="center" vertical="center"/>
    </xf>
    <xf numFmtId="166" fontId="18" fillId="0" borderId="3" xfId="26" applyNumberFormat="1" applyFont="1" applyBorder="1" applyAlignment="1">
      <alignment horizontal="center" vertical="center"/>
    </xf>
    <xf numFmtId="1" fontId="99" fillId="0" borderId="3" xfId="0" applyNumberFormat="1" applyFont="1" applyBorder="1" applyAlignment="1">
      <alignment horizontal="center" vertical="center"/>
    </xf>
    <xf numFmtId="1" fontId="99" fillId="0" borderId="2" xfId="0" applyNumberFormat="1" applyFont="1" applyBorder="1" applyAlignment="1">
      <alignment horizontal="center" vertical="center"/>
    </xf>
    <xf numFmtId="1" fontId="18" fillId="0" borderId="2" xfId="26" applyNumberFormat="1" applyFont="1" applyBorder="1" applyAlignment="1">
      <alignment horizontal="center" vertical="center"/>
    </xf>
    <xf numFmtId="2" fontId="18" fillId="0" borderId="2" xfId="26" applyNumberFormat="1" applyFont="1" applyBorder="1" applyAlignment="1">
      <alignment horizontal="center" vertical="center"/>
    </xf>
    <xf numFmtId="166" fontId="18" fillId="0" borderId="2" xfId="26" applyNumberFormat="1" applyFont="1" applyBorder="1" applyAlignment="1">
      <alignment horizontal="center" vertical="center"/>
    </xf>
    <xf numFmtId="2" fontId="99" fillId="0" borderId="2" xfId="0" applyNumberFormat="1" applyFont="1" applyBorder="1" applyAlignment="1">
      <alignment horizontal="center" vertical="center"/>
    </xf>
    <xf numFmtId="1" fontId="108" fillId="0" borderId="2" xfId="0" applyNumberFormat="1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5" fillId="0" borderId="2" xfId="26" applyNumberFormat="1" applyFont="1" applyBorder="1" applyAlignment="1">
      <alignment horizontal="center" vertical="center"/>
    </xf>
    <xf numFmtId="2" fontId="5" fillId="0" borderId="2" xfId="26" applyNumberFormat="1" applyFont="1" applyBorder="1" applyAlignment="1">
      <alignment horizontal="center" vertical="center"/>
    </xf>
    <xf numFmtId="2" fontId="108" fillId="0" borderId="2" xfId="0" applyNumberFormat="1" applyFont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1" fontId="44" fillId="0" borderId="2" xfId="0" applyNumberFormat="1" applyFont="1" applyBorder="1" applyAlignment="1">
      <alignment horizontal="center" vertical="center"/>
    </xf>
    <xf numFmtId="1" fontId="58" fillId="0" borderId="2" xfId="0" applyNumberFormat="1" applyFont="1" applyBorder="1" applyAlignment="1">
      <alignment horizontal="center" vertical="center"/>
    </xf>
    <xf numFmtId="166" fontId="44" fillId="0" borderId="2" xfId="0" applyNumberFormat="1" applyFont="1" applyBorder="1" applyAlignment="1">
      <alignment horizontal="center" vertical="center"/>
    </xf>
    <xf numFmtId="1" fontId="4" fillId="0" borderId="2" xfId="26" applyNumberFormat="1" applyFont="1" applyBorder="1" applyAlignment="1">
      <alignment horizontal="center" vertical="center"/>
    </xf>
    <xf numFmtId="1" fontId="81" fillId="0" borderId="2" xfId="0" applyNumberFormat="1" applyFont="1" applyBorder="1" applyAlignment="1">
      <alignment horizontal="center" vertical="center"/>
    </xf>
    <xf numFmtId="166" fontId="81" fillId="0" borderId="2" xfId="0" applyNumberFormat="1" applyFont="1" applyBorder="1" applyAlignment="1">
      <alignment horizontal="center" vertical="center"/>
    </xf>
    <xf numFmtId="0" fontId="17" fillId="0" borderId="2" xfId="26" applyFont="1" applyBorder="1" applyAlignment="1">
      <alignment horizontal="center" vertical="center"/>
    </xf>
    <xf numFmtId="0" fontId="5" fillId="0" borderId="2" xfId="26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7" fillId="0" borderId="1" xfId="26" applyFont="1" applyBorder="1" applyAlignment="1">
      <alignment horizontal="center" vertical="center"/>
    </xf>
    <xf numFmtId="0" fontId="18" fillId="0" borderId="4" xfId="26" applyFont="1" applyBorder="1" applyAlignment="1">
      <alignment vertical="center"/>
    </xf>
    <xf numFmtId="0" fontId="18" fillId="0" borderId="0" xfId="26" applyFont="1" applyAlignment="1">
      <alignment vertical="center"/>
    </xf>
    <xf numFmtId="0" fontId="18" fillId="9" borderId="0" xfId="26" applyFont="1" applyFill="1" applyAlignment="1">
      <alignment vertical="center"/>
    </xf>
    <xf numFmtId="49" fontId="17" fillId="0" borderId="0" xfId="26" applyNumberFormat="1" applyFont="1" applyAlignment="1">
      <alignment horizontal="right" vertical="center"/>
    </xf>
    <xf numFmtId="49" fontId="17" fillId="9" borderId="0" xfId="26" applyNumberFormat="1" applyFont="1" applyFill="1" applyAlignment="1">
      <alignment horizontal="right" vertical="center"/>
    </xf>
    <xf numFmtId="0" fontId="179" fillId="10" borderId="0" xfId="26" applyFont="1" applyFill="1" applyAlignment="1">
      <alignment horizontal="center" vertical="center"/>
    </xf>
    <xf numFmtId="0" fontId="155" fillId="0" borderId="0" xfId="0" applyFont="1" applyAlignment="1">
      <alignment vertical="center"/>
    </xf>
    <xf numFmtId="49" fontId="98" fillId="0" borderId="2" xfId="0" applyNumberFormat="1" applyFont="1" applyBorder="1" applyAlignment="1">
      <alignment horizontal="center" vertical="center"/>
    </xf>
    <xf numFmtId="166" fontId="109" fillId="0" borderId="2" xfId="0" applyNumberFormat="1" applyFont="1" applyBorder="1" applyAlignment="1">
      <alignment vertical="center"/>
    </xf>
    <xf numFmtId="2" fontId="109" fillId="0" borderId="2" xfId="0" applyNumberFormat="1" applyFont="1" applyBorder="1" applyAlignment="1">
      <alignment vertical="center"/>
    </xf>
    <xf numFmtId="49" fontId="98" fillId="0" borderId="2" xfId="0" applyNumberFormat="1" applyFont="1" applyBorder="1" applyAlignment="1">
      <alignment vertical="center"/>
    </xf>
    <xf numFmtId="166" fontId="97" fillId="0" borderId="0" xfId="0" applyNumberFormat="1" applyFont="1" applyAlignment="1">
      <alignment vertical="center" wrapText="1"/>
    </xf>
    <xf numFmtId="0" fontId="116" fillId="0" borderId="0" xfId="0" applyFont="1" applyAlignment="1">
      <alignment vertical="center"/>
    </xf>
    <xf numFmtId="0" fontId="97" fillId="3" borderId="0" xfId="0" applyFont="1" applyFill="1"/>
    <xf numFmtId="0" fontId="98" fillId="0" borderId="0" xfId="0" applyFont="1" applyAlignment="1">
      <alignment horizontal="center"/>
    </xf>
    <xf numFmtId="0" fontId="152" fillId="0" borderId="0" xfId="0" applyFont="1"/>
    <xf numFmtId="0" fontId="99" fillId="0" borderId="3" xfId="0" applyFont="1" applyBorder="1" applyAlignment="1">
      <alignment horizontal="center" vertical="center"/>
    </xf>
    <xf numFmtId="49" fontId="47" fillId="0" borderId="3" xfId="0" applyNumberFormat="1" applyFont="1" applyBorder="1" applyAlignment="1">
      <alignment horizontal="center" vertical="center"/>
    </xf>
    <xf numFmtId="0" fontId="99" fillId="0" borderId="2" xfId="0" applyFont="1" applyBorder="1" applyAlignment="1">
      <alignment horizontal="center" vertical="center"/>
    </xf>
    <xf numFmtId="49" fontId="47" fillId="0" borderId="2" xfId="0" applyNumberFormat="1" applyFont="1" applyBorder="1" applyAlignment="1">
      <alignment horizontal="center" vertical="center"/>
    </xf>
    <xf numFmtId="0" fontId="108" fillId="0" borderId="2" xfId="0" applyFont="1" applyBorder="1" applyAlignment="1">
      <alignment horizontal="center" vertical="center"/>
    </xf>
    <xf numFmtId="1" fontId="100" fillId="0" borderId="2" xfId="0" applyNumberFormat="1" applyFont="1" applyBorder="1" applyAlignment="1">
      <alignment horizontal="center" vertical="center"/>
    </xf>
    <xf numFmtId="49" fontId="100" fillId="0" borderId="2" xfId="0" applyNumberFormat="1" applyFont="1" applyBorder="1" applyAlignment="1">
      <alignment horizontal="center" vertical="center"/>
    </xf>
    <xf numFmtId="1" fontId="47" fillId="0" borderId="2" xfId="0" applyNumberFormat="1" applyFont="1" applyBorder="1" applyAlignment="1">
      <alignment horizontal="center" vertical="center"/>
    </xf>
    <xf numFmtId="1" fontId="211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" fontId="47" fillId="0" borderId="1" xfId="0" applyNumberFormat="1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220" fillId="3" borderId="0" xfId="0" applyFont="1" applyFill="1" applyAlignment="1">
      <alignment vertical="center"/>
    </xf>
    <xf numFmtId="0" fontId="135" fillId="0" borderId="136" xfId="22" applyFont="1" applyBorder="1" applyAlignment="1">
      <alignment horizontal="left" vertical="center" wrapText="1" indent="1"/>
    </xf>
    <xf numFmtId="0" fontId="135" fillId="0" borderId="128" xfId="22" applyFont="1" applyBorder="1" applyAlignment="1">
      <alignment horizontal="left" vertical="center" wrapText="1" indent="1"/>
    </xf>
    <xf numFmtId="0" fontId="135" fillId="0" borderId="56" xfId="22" applyFont="1" applyBorder="1" applyAlignment="1">
      <alignment horizontal="left" vertical="center" wrapText="1" indent="1"/>
    </xf>
    <xf numFmtId="0" fontId="135" fillId="0" borderId="126" xfId="22" applyFont="1" applyBorder="1" applyAlignment="1">
      <alignment horizontal="left" vertical="center" wrapText="1" indent="1"/>
    </xf>
    <xf numFmtId="0" fontId="134" fillId="0" borderId="56" xfId="22" applyFont="1" applyBorder="1" applyAlignment="1">
      <alignment horizontal="left" vertical="center" wrapText="1"/>
    </xf>
    <xf numFmtId="0" fontId="134" fillId="0" borderId="126" xfId="22" applyFont="1" applyBorder="1" applyAlignment="1">
      <alignment horizontal="left" vertical="center" wrapText="1"/>
    </xf>
    <xf numFmtId="0" fontId="150" fillId="11" borderId="18" xfId="22" applyFont="1" applyFill="1" applyBorder="1"/>
    <xf numFmtId="0" fontId="230" fillId="3" borderId="0" xfId="0" applyFont="1" applyFill="1" applyAlignment="1">
      <alignment vertical="justify"/>
    </xf>
    <xf numFmtId="166" fontId="44" fillId="0" borderId="3" xfId="0" applyNumberFormat="1" applyFont="1" applyBorder="1" applyAlignment="1">
      <alignment horizontal="center" vertical="center"/>
    </xf>
    <xf numFmtId="166" fontId="58" fillId="0" borderId="2" xfId="0" applyNumberFormat="1" applyFont="1" applyBorder="1" applyAlignment="1">
      <alignment horizontal="center" vertical="center"/>
    </xf>
    <xf numFmtId="166" fontId="100" fillId="0" borderId="4" xfId="0" applyNumberFormat="1" applyFont="1" applyBorder="1" applyAlignment="1">
      <alignment vertical="center"/>
    </xf>
    <xf numFmtId="166" fontId="100" fillId="0" borderId="0" xfId="0" applyNumberFormat="1" applyFont="1" applyAlignment="1">
      <alignment vertical="center"/>
    </xf>
    <xf numFmtId="166" fontId="47" fillId="0" borderId="4" xfId="0" applyNumberFormat="1" applyFont="1" applyBorder="1" applyAlignment="1">
      <alignment vertical="center"/>
    </xf>
    <xf numFmtId="166" fontId="47" fillId="0" borderId="0" xfId="0" applyNumberFormat="1" applyFont="1" applyAlignment="1">
      <alignment vertical="center"/>
    </xf>
    <xf numFmtId="166" fontId="47" fillId="0" borderId="0" xfId="0" applyNumberFormat="1" applyFont="1" applyAlignment="1">
      <alignment horizontal="right" vertical="center"/>
    </xf>
    <xf numFmtId="0" fontId="44" fillId="0" borderId="4" xfId="0" applyFont="1" applyBorder="1" applyAlignment="1">
      <alignment vertical="center"/>
    </xf>
    <xf numFmtId="0" fontId="44" fillId="0" borderId="0" xfId="0" applyFont="1" applyAlignment="1">
      <alignment vertical="center"/>
    </xf>
    <xf numFmtId="4" fontId="44" fillId="0" borderId="0" xfId="0" applyNumberFormat="1" applyFont="1" applyAlignment="1">
      <alignment vertical="center"/>
    </xf>
    <xf numFmtId="0" fontId="47" fillId="0" borderId="164" xfId="0" applyFont="1" applyBorder="1" applyAlignment="1">
      <alignment horizontal="center" vertical="center"/>
    </xf>
    <xf numFmtId="0" fontId="47" fillId="0" borderId="163" xfId="0" applyFont="1" applyBorder="1" applyAlignment="1">
      <alignment horizontal="center" vertical="center"/>
    </xf>
    <xf numFmtId="0" fontId="170" fillId="0" borderId="0" xfId="0" applyFont="1" applyAlignment="1">
      <alignment horizontal="center" vertical="center"/>
    </xf>
    <xf numFmtId="2" fontId="22" fillId="9" borderId="6" xfId="28" applyNumberFormat="1" applyFont="1" applyFill="1" applyBorder="1" applyAlignment="1">
      <alignment horizontal="center" vertical="center" wrapText="1"/>
    </xf>
    <xf numFmtId="0" fontId="22" fillId="9" borderId="6" xfId="28" applyFont="1" applyFill="1" applyBorder="1" applyAlignment="1">
      <alignment horizontal="center" vertical="center" wrapText="1"/>
    </xf>
    <xf numFmtId="0" fontId="22" fillId="0" borderId="0" xfId="28" applyFont="1" applyAlignment="1">
      <alignment vertical="center"/>
    </xf>
    <xf numFmtId="0" fontId="201" fillId="10" borderId="0" xfId="28" applyFont="1" applyFill="1" applyAlignment="1">
      <alignment horizontal="center" vertical="center"/>
    </xf>
    <xf numFmtId="0" fontId="201" fillId="0" borderId="0" xfId="28" applyFont="1" applyAlignment="1">
      <alignment vertical="center"/>
    </xf>
    <xf numFmtId="0" fontId="21" fillId="0" borderId="0" xfId="28" applyFont="1" applyAlignment="1">
      <alignment vertical="center"/>
    </xf>
    <xf numFmtId="0" fontId="22" fillId="0" borderId="0" xfId="28" applyFont="1" applyAlignment="1">
      <alignment horizontal="center" vertical="center"/>
    </xf>
    <xf numFmtId="0" fontId="21" fillId="0" borderId="5" xfId="28" applyFont="1" applyBorder="1" applyAlignment="1">
      <alignment horizontal="center" vertical="center"/>
    </xf>
    <xf numFmtId="166" fontId="24" fillId="0" borderId="0" xfId="28" applyNumberFormat="1" applyFont="1" applyAlignment="1">
      <alignment vertical="center"/>
    </xf>
    <xf numFmtId="166" fontId="22" fillId="0" borderId="4" xfId="28" applyNumberFormat="1" applyFont="1" applyBorder="1" applyAlignment="1">
      <alignment vertical="center"/>
    </xf>
    <xf numFmtId="0" fontId="21" fillId="0" borderId="1" xfId="28" applyFont="1" applyBorder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31" fillId="0" borderId="0" xfId="28" applyNumberFormat="1" applyFont="1" applyAlignment="1">
      <alignment vertical="center"/>
    </xf>
    <xf numFmtId="166" fontId="31" fillId="0" borderId="4" xfId="28" applyNumberFormat="1" applyFont="1" applyBorder="1" applyAlignment="1">
      <alignment vertical="center"/>
    </xf>
    <xf numFmtId="166" fontId="22" fillId="0" borderId="5" xfId="0" applyNumberFormat="1" applyFont="1" applyBorder="1" applyAlignment="1">
      <alignment horizontal="center" vertical="center"/>
    </xf>
    <xf numFmtId="166" fontId="22" fillId="0" borderId="17" xfId="0" applyNumberFormat="1" applyFont="1" applyBorder="1" applyAlignment="1">
      <alignment horizontal="center" vertical="center"/>
    </xf>
    <xf numFmtId="0" fontId="217" fillId="0" borderId="0" xfId="28" applyFont="1" applyAlignment="1">
      <alignment vertical="center"/>
    </xf>
    <xf numFmtId="0" fontId="206" fillId="10" borderId="0" xfId="0" applyFont="1" applyFill="1" applyAlignment="1">
      <alignment horizontal="center" vertical="center"/>
    </xf>
    <xf numFmtId="0" fontId="186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55" fillId="0" borderId="0" xfId="0" applyFont="1" applyAlignment="1">
      <alignment vertical="center"/>
    </xf>
    <xf numFmtId="1" fontId="51" fillId="0" borderId="2" xfId="0" applyNumberFormat="1" applyFont="1" applyBorder="1" applyAlignment="1">
      <alignment horizontal="center" vertical="center"/>
    </xf>
    <xf numFmtId="1" fontId="43" fillId="0" borderId="2" xfId="0" applyNumberFormat="1" applyFont="1" applyBorder="1" applyAlignment="1">
      <alignment horizontal="center" vertical="center"/>
    </xf>
    <xf numFmtId="1" fontId="46" fillId="0" borderId="2" xfId="0" applyNumberFormat="1" applyFont="1" applyBorder="1" applyAlignment="1">
      <alignment horizontal="center" vertical="center"/>
    </xf>
    <xf numFmtId="166" fontId="45" fillId="0" borderId="2" xfId="0" applyNumberFormat="1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66" fontId="45" fillId="0" borderId="0" xfId="0" applyNumberFormat="1" applyFont="1" applyAlignment="1">
      <alignment vertical="center"/>
    </xf>
    <xf numFmtId="200" fontId="118" fillId="0" borderId="0" xfId="69" applyNumberFormat="1" applyFont="1"/>
    <xf numFmtId="0" fontId="167" fillId="10" borderId="0" xfId="38" applyFont="1" applyFill="1" applyAlignment="1">
      <alignment horizontal="center" vertical="center"/>
    </xf>
    <xf numFmtId="14" fontId="28" fillId="0" borderId="0" xfId="38" applyNumberFormat="1" applyFont="1" applyAlignment="1">
      <alignment horizontal="center" vertical="center"/>
    </xf>
    <xf numFmtId="1" fontId="28" fillId="0" borderId="0" xfId="38" applyNumberFormat="1" applyFont="1" applyAlignment="1">
      <alignment horizontal="center" vertical="center"/>
    </xf>
    <xf numFmtId="4" fontId="28" fillId="0" borderId="0" xfId="38" applyNumberFormat="1" applyFont="1" applyAlignment="1">
      <alignment horizontal="center" vertical="center"/>
    </xf>
    <xf numFmtId="2" fontId="28" fillId="0" borderId="0" xfId="38" applyNumberFormat="1" applyFont="1" applyAlignment="1">
      <alignment horizontal="center" vertical="center"/>
    </xf>
    <xf numFmtId="10" fontId="28" fillId="0" borderId="0" xfId="38" applyNumberFormat="1" applyFont="1" applyAlignment="1">
      <alignment horizontal="center" vertical="center"/>
    </xf>
    <xf numFmtId="0" fontId="28" fillId="0" borderId="0" xfId="38" applyFont="1" applyAlignment="1">
      <alignment horizontal="center" vertical="center"/>
    </xf>
    <xf numFmtId="0" fontId="28" fillId="2" borderId="0" xfId="38" applyFont="1" applyFill="1" applyAlignment="1">
      <alignment horizontal="center" vertical="center"/>
    </xf>
    <xf numFmtId="0" fontId="28" fillId="6" borderId="6" xfId="38" applyFont="1" applyFill="1" applyBorder="1" applyAlignment="1">
      <alignment horizontal="center" vertical="center"/>
    </xf>
    <xf numFmtId="14" fontId="28" fillId="0" borderId="2" xfId="38" applyNumberFormat="1" applyFont="1" applyBorder="1" applyAlignment="1">
      <alignment horizontal="center" vertical="center"/>
    </xf>
    <xf numFmtId="0" fontId="28" fillId="0" borderId="2" xfId="38" applyFont="1" applyBorder="1" applyAlignment="1">
      <alignment horizontal="center" vertical="center"/>
    </xf>
    <xf numFmtId="1" fontId="28" fillId="0" borderId="2" xfId="38" applyNumberFormat="1" applyFont="1" applyBorder="1" applyAlignment="1">
      <alignment horizontal="center" vertical="center"/>
    </xf>
    <xf numFmtId="4" fontId="28" fillId="0" borderId="2" xfId="38" applyNumberFormat="1" applyFont="1" applyBorder="1" applyAlignment="1">
      <alignment horizontal="center" vertical="center"/>
    </xf>
    <xf numFmtId="2" fontId="28" fillId="0" borderId="2" xfId="38" applyNumberFormat="1" applyFont="1" applyBorder="1" applyAlignment="1">
      <alignment horizontal="center" vertical="center"/>
    </xf>
    <xf numFmtId="0" fontId="35" fillId="0" borderId="2" xfId="38" applyBorder="1" applyAlignment="1">
      <alignment vertical="center"/>
    </xf>
    <xf numFmtId="0" fontId="28" fillId="0" borderId="4" xfId="38" applyFont="1" applyBorder="1" applyAlignment="1">
      <alignment horizontal="center" vertical="center"/>
    </xf>
    <xf numFmtId="1" fontId="28" fillId="0" borderId="5" xfId="38" applyNumberFormat="1" applyFont="1" applyBorder="1" applyAlignment="1">
      <alignment horizontal="center" vertical="center"/>
    </xf>
    <xf numFmtId="4" fontId="28" fillId="0" borderId="4" xfId="38" applyNumberFormat="1" applyFont="1" applyBorder="1" applyAlignment="1">
      <alignment horizontal="center" vertical="center"/>
    </xf>
    <xf numFmtId="14" fontId="28" fillId="0" borderId="3" xfId="38" applyNumberFormat="1" applyFont="1" applyBorder="1" applyAlignment="1">
      <alignment horizontal="center" vertical="center"/>
    </xf>
    <xf numFmtId="0" fontId="28" fillId="0" borderId="3" xfId="38" applyFont="1" applyBorder="1" applyAlignment="1">
      <alignment horizontal="center" vertical="center"/>
    </xf>
    <xf numFmtId="1" fontId="28" fillId="0" borderId="3" xfId="38" applyNumberFormat="1" applyFont="1" applyBorder="1" applyAlignment="1">
      <alignment horizontal="center" vertical="center"/>
    </xf>
    <xf numFmtId="2" fontId="28" fillId="0" borderId="3" xfId="38" applyNumberFormat="1" applyFont="1" applyBorder="1" applyAlignment="1">
      <alignment horizontal="center" vertical="center"/>
    </xf>
    <xf numFmtId="0" fontId="35" fillId="0" borderId="3" xfId="38" applyBorder="1" applyAlignment="1">
      <alignment vertical="center"/>
    </xf>
    <xf numFmtId="0" fontId="170" fillId="10" borderId="0" xfId="69" applyFont="1" applyFill="1" applyAlignment="1">
      <alignment horizontal="center" vertical="center"/>
    </xf>
    <xf numFmtId="0" fontId="170" fillId="11" borderId="0" xfId="69" applyFont="1" applyFill="1" applyAlignment="1">
      <alignment horizontal="center" vertical="center"/>
    </xf>
    <xf numFmtId="0" fontId="21" fillId="0" borderId="6" xfId="69" applyFont="1" applyBorder="1" applyAlignment="1">
      <alignment horizontal="center" vertical="center"/>
    </xf>
    <xf numFmtId="0" fontId="22" fillId="0" borderId="1" xfId="69" applyFont="1" applyBorder="1" applyAlignment="1">
      <alignment horizontal="center" vertical="center"/>
    </xf>
    <xf numFmtId="0" fontId="22" fillId="0" borderId="6" xfId="69" applyFont="1" applyBorder="1" applyAlignment="1">
      <alignment horizontal="center" vertical="center"/>
    </xf>
    <xf numFmtId="0" fontId="21" fillId="0" borderId="6" xfId="69" applyFont="1" applyBorder="1" applyAlignment="1">
      <alignment horizontal="left" vertical="center"/>
    </xf>
    <xf numFmtId="0" fontId="22" fillId="0" borderId="2" xfId="69" applyFont="1" applyBorder="1" applyAlignment="1">
      <alignment horizontal="center" vertical="center"/>
    </xf>
    <xf numFmtId="0" fontId="22" fillId="0" borderId="6" xfId="69" applyFont="1" applyBorder="1" applyAlignment="1">
      <alignment horizontal="left" vertical="center"/>
    </xf>
    <xf numFmtId="0" fontId="21" fillId="0" borderId="6" xfId="69" quotePrefix="1" applyFont="1" applyBorder="1" applyAlignment="1">
      <alignment horizontal="left" vertical="center"/>
    </xf>
    <xf numFmtId="0" fontId="21" fillId="0" borderId="6" xfId="69" applyFont="1" applyBorder="1" applyAlignment="1">
      <alignment vertical="center"/>
    </xf>
    <xf numFmtId="0" fontId="22" fillId="0" borderId="6" xfId="69" applyFont="1" applyBorder="1" applyAlignment="1">
      <alignment vertical="center"/>
    </xf>
    <xf numFmtId="0" fontId="22" fillId="0" borderId="6" xfId="69" quotePrefix="1" applyFont="1" applyBorder="1" applyAlignment="1">
      <alignment horizontal="left" vertical="center"/>
    </xf>
    <xf numFmtId="14" fontId="21" fillId="0" borderId="6" xfId="69" applyNumberFormat="1" applyFont="1" applyBorder="1" applyAlignment="1">
      <alignment vertical="center"/>
    </xf>
    <xf numFmtId="14" fontId="22" fillId="0" borderId="6" xfId="69" applyNumberFormat="1" applyFont="1" applyBorder="1" applyAlignment="1">
      <alignment vertical="center"/>
    </xf>
    <xf numFmtId="0" fontId="21" fillId="0" borderId="9" xfId="69" applyFont="1" applyBorder="1" applyAlignment="1">
      <alignment vertical="center"/>
    </xf>
    <xf numFmtId="0" fontId="22" fillId="0" borderId="11" xfId="69" applyFont="1" applyBorder="1" applyAlignment="1">
      <alignment vertical="center"/>
    </xf>
    <xf numFmtId="0" fontId="22" fillId="0" borderId="19" xfId="69" applyFont="1" applyBorder="1" applyAlignment="1">
      <alignment vertical="center"/>
    </xf>
    <xf numFmtId="0" fontId="22" fillId="0" borderId="3" xfId="69" applyFont="1" applyBorder="1" applyAlignment="1">
      <alignment horizontal="center" vertical="center"/>
    </xf>
    <xf numFmtId="0" fontId="21" fillId="0" borderId="7" xfId="69" applyFont="1" applyBorder="1" applyAlignment="1">
      <alignment vertical="center"/>
    </xf>
    <xf numFmtId="0" fontId="22" fillId="0" borderId="164" xfId="69" applyFont="1" applyBorder="1" applyAlignment="1">
      <alignment vertical="center"/>
    </xf>
    <xf numFmtId="0" fontId="21" fillId="0" borderId="7" xfId="69" applyFont="1" applyBorder="1" applyAlignment="1">
      <alignment vertical="center" wrapText="1"/>
    </xf>
    <xf numFmtId="0" fontId="22" fillId="0" borderId="164" xfId="69" applyFont="1" applyBorder="1" applyAlignment="1">
      <alignment vertical="center" wrapText="1"/>
    </xf>
    <xf numFmtId="0" fontId="22" fillId="0" borderId="6" xfId="69" applyFont="1" applyBorder="1" applyAlignment="1">
      <alignment vertical="center" wrapText="1"/>
    </xf>
    <xf numFmtId="0" fontId="21" fillId="0" borderId="9" xfId="69" applyFont="1" applyBorder="1" applyAlignment="1">
      <alignment vertical="center" wrapText="1"/>
    </xf>
    <xf numFmtId="0" fontId="219" fillId="0" borderId="0" xfId="69" applyFont="1" applyAlignment="1">
      <alignment vertical="center"/>
    </xf>
    <xf numFmtId="0" fontId="9" fillId="0" borderId="9" xfId="69" applyFont="1" applyBorder="1" applyAlignment="1">
      <alignment horizontal="left" vertical="center"/>
    </xf>
    <xf numFmtId="0" fontId="22" fillId="0" borderId="9" xfId="69" applyFont="1" applyBorder="1" applyAlignment="1">
      <alignment vertical="center" wrapText="1"/>
    </xf>
    <xf numFmtId="178" fontId="45" fillId="0" borderId="0" xfId="40" applyNumberFormat="1" applyFont="1" applyAlignment="1">
      <alignment vertical="center"/>
    </xf>
    <xf numFmtId="0" fontId="91" fillId="0" borderId="0" xfId="69" applyFont="1" applyAlignment="1">
      <alignment horizontal="center" vertical="center" wrapText="1"/>
    </xf>
    <xf numFmtId="0" fontId="125" fillId="0" borderId="0" xfId="69" applyFont="1"/>
    <xf numFmtId="0" fontId="302" fillId="0" borderId="0" xfId="69" applyFont="1" applyAlignment="1">
      <alignment horizontal="center" vertical="center" wrapText="1"/>
    </xf>
    <xf numFmtId="0" fontId="92" fillId="0" borderId="0" xfId="69" applyFont="1" applyAlignment="1">
      <alignment wrapText="1"/>
    </xf>
    <xf numFmtId="0" fontId="125" fillId="0" borderId="0" xfId="69" applyFont="1" applyAlignment="1">
      <alignment vertical="center"/>
    </xf>
    <xf numFmtId="0" fontId="87" fillId="0" borderId="5" xfId="69" applyFont="1" applyBorder="1" applyAlignment="1">
      <alignment horizontal="center" vertical="center" wrapText="1"/>
    </xf>
    <xf numFmtId="0" fontId="87" fillId="0" borderId="2" xfId="69" applyFont="1" applyBorder="1" applyAlignment="1">
      <alignment horizontal="left" vertical="center" wrapText="1" indent="1"/>
    </xf>
    <xf numFmtId="0" fontId="87" fillId="0" borderId="2" xfId="69" applyFont="1" applyBorder="1" applyAlignment="1">
      <alignment vertical="center" wrapText="1"/>
    </xf>
    <xf numFmtId="0" fontId="88" fillId="0" borderId="5" xfId="69" applyFont="1" applyBorder="1" applyAlignment="1">
      <alignment horizontal="center" vertical="center" wrapText="1"/>
    </xf>
    <xf numFmtId="0" fontId="88" fillId="0" borderId="2" xfId="69" applyFont="1" applyBorder="1" applyAlignment="1">
      <alignment horizontal="left" vertical="center" wrapText="1"/>
    </xf>
    <xf numFmtId="0" fontId="298" fillId="0" borderId="0" xfId="69" applyFont="1"/>
    <xf numFmtId="0" fontId="87" fillId="0" borderId="17" xfId="69" applyFont="1" applyBorder="1" applyAlignment="1">
      <alignment horizontal="center" vertical="center" wrapText="1"/>
    </xf>
    <xf numFmtId="0" fontId="88" fillId="0" borderId="3" xfId="69" applyFont="1" applyBorder="1" applyAlignment="1">
      <alignment horizontal="center" vertical="center" wrapText="1"/>
    </xf>
    <xf numFmtId="0" fontId="125" fillId="0" borderId="0" xfId="69" applyFont="1" applyAlignment="1">
      <alignment horizontal="center" vertical="center"/>
    </xf>
    <xf numFmtId="1" fontId="5" fillId="0" borderId="2" xfId="4" applyNumberFormat="1" applyFont="1" applyFill="1" applyBorder="1" applyAlignment="1">
      <alignment horizontal="left" vertical="center"/>
    </xf>
    <xf numFmtId="1" fontId="5" fillId="0" borderId="2" xfId="38" applyNumberFormat="1" applyFont="1" applyBorder="1" applyAlignment="1">
      <alignment horizontal="left" vertical="center"/>
    </xf>
    <xf numFmtId="1" fontId="300" fillId="7" borderId="56" xfId="22" applyNumberFormat="1" applyFont="1" applyFill="1" applyBorder="1" applyAlignment="1">
      <alignment horizontal="center" vertical="center" wrapText="1"/>
    </xf>
    <xf numFmtId="1" fontId="135" fillId="0" borderId="56" xfId="22" applyNumberFormat="1" applyFont="1" applyBorder="1" applyAlignment="1">
      <alignment horizontal="center" vertical="center"/>
    </xf>
    <xf numFmtId="1" fontId="300" fillId="7" borderId="136" xfId="22" applyNumberFormat="1" applyFont="1" applyFill="1" applyBorder="1" applyAlignment="1">
      <alignment horizontal="center" vertical="center" wrapText="1"/>
    </xf>
    <xf numFmtId="0" fontId="231" fillId="0" borderId="0" xfId="0" applyFont="1" applyAlignment="1">
      <alignment horizontal="left" vertical="center" wrapText="1"/>
    </xf>
    <xf numFmtId="178" fontId="18" fillId="0" borderId="0" xfId="40" applyNumberFormat="1" applyFont="1" applyFill="1" applyBorder="1" applyAlignment="1">
      <alignment vertical="center"/>
    </xf>
    <xf numFmtId="178" fontId="9" fillId="0" borderId="0" xfId="40" applyNumberFormat="1" applyFont="1" applyFill="1" applyBorder="1" applyAlignment="1">
      <alignment vertical="center"/>
    </xf>
    <xf numFmtId="178" fontId="4" fillId="0" borderId="0" xfId="40" applyNumberFormat="1" applyFont="1" applyFill="1" applyBorder="1" applyAlignment="1">
      <alignment vertical="center"/>
    </xf>
    <xf numFmtId="0" fontId="10" fillId="9" borderId="1" xfId="22" applyFont="1" applyFill="1" applyBorder="1" applyAlignment="1">
      <alignment horizontal="center" vertical="center"/>
    </xf>
    <xf numFmtId="0" fontId="6" fillId="9" borderId="1" xfId="22" applyFont="1" applyFill="1" applyBorder="1" applyAlignment="1">
      <alignment horizontal="center" vertical="center"/>
    </xf>
    <xf numFmtId="0" fontId="4" fillId="0" borderId="0" xfId="22" applyFont="1" applyAlignment="1">
      <alignment vertical="center"/>
    </xf>
    <xf numFmtId="0" fontId="5" fillId="0" borderId="0" xfId="22" applyFont="1" applyAlignment="1">
      <alignment vertical="center"/>
    </xf>
    <xf numFmtId="0" fontId="4" fillId="0" borderId="1" xfId="22" applyFont="1" applyBorder="1" applyAlignment="1">
      <alignment horizontal="center" vertical="center"/>
    </xf>
    <xf numFmtId="0" fontId="4" fillId="0" borderId="2" xfId="22" applyFont="1" applyBorder="1" applyAlignment="1">
      <alignment horizontal="center" vertical="center"/>
    </xf>
    <xf numFmtId="0" fontId="6" fillId="0" borderId="0" xfId="22" applyFont="1" applyAlignment="1">
      <alignment horizontal="center" vertical="center"/>
    </xf>
    <xf numFmtId="0" fontId="4" fillId="0" borderId="1" xfId="22" applyFont="1" applyBorder="1" applyAlignment="1">
      <alignment vertical="center"/>
    </xf>
    <xf numFmtId="0" fontId="6" fillId="0" borderId="2" xfId="22" applyFont="1" applyBorder="1" applyAlignment="1">
      <alignment horizontal="center" vertical="center"/>
    </xf>
    <xf numFmtId="0" fontId="7" fillId="0" borderId="2" xfId="22" applyFont="1" applyBorder="1" applyAlignment="1">
      <alignment horizontal="center" vertical="center"/>
    </xf>
    <xf numFmtId="0" fontId="8" fillId="0" borderId="2" xfId="22" applyFont="1" applyBorder="1" applyAlignment="1">
      <alignment horizontal="center" vertical="center"/>
    </xf>
    <xf numFmtId="166" fontId="8" fillId="0" borderId="2" xfId="22" applyNumberFormat="1" applyFont="1" applyBorder="1" applyAlignment="1">
      <alignment horizontal="center" vertical="center"/>
    </xf>
    <xf numFmtId="166" fontId="8" fillId="0" borderId="0" xfId="22" applyNumberFormat="1" applyFont="1" applyAlignment="1">
      <alignment horizontal="center" vertical="center"/>
    </xf>
    <xf numFmtId="0" fontId="8" fillId="0" borderId="0" xfId="22" applyFont="1" applyAlignment="1">
      <alignment horizontal="center" vertical="center"/>
    </xf>
    <xf numFmtId="166" fontId="8" fillId="0" borderId="4" xfId="22" applyNumberFormat="1" applyFont="1" applyBorder="1" applyAlignment="1">
      <alignment horizontal="center" vertical="center"/>
    </xf>
    <xf numFmtId="166" fontId="8" fillId="0" borderId="2" xfId="22" quotePrefix="1" applyNumberFormat="1" applyFont="1" applyBorder="1" applyAlignment="1">
      <alignment horizontal="center" vertical="center"/>
    </xf>
    <xf numFmtId="166" fontId="8" fillId="0" borderId="5" xfId="22" applyNumberFormat="1" applyFont="1" applyBorder="1" applyAlignment="1">
      <alignment horizontal="center" vertical="center"/>
    </xf>
    <xf numFmtId="49" fontId="7" fillId="0" borderId="2" xfId="22" applyNumberFormat="1" applyFont="1" applyBorder="1" applyAlignment="1">
      <alignment horizontal="center" vertical="center"/>
    </xf>
    <xf numFmtId="0" fontId="8" fillId="0" borderId="0" xfId="22" applyFont="1" applyAlignment="1">
      <alignment vertical="center"/>
    </xf>
    <xf numFmtId="0" fontId="8" fillId="0" borderId="2" xfId="22" applyFont="1" applyBorder="1" applyAlignment="1">
      <alignment vertical="center"/>
    </xf>
    <xf numFmtId="166" fontId="7" fillId="0" borderId="2" xfId="22" applyNumberFormat="1" applyFont="1" applyBorder="1" applyAlignment="1">
      <alignment horizontal="center" vertical="center"/>
    </xf>
    <xf numFmtId="166" fontId="7" fillId="0" borderId="4" xfId="22" applyNumberFormat="1" applyFont="1" applyBorder="1" applyAlignment="1">
      <alignment horizontal="center" vertical="center"/>
    </xf>
    <xf numFmtId="0" fontId="7" fillId="0" borderId="0" xfId="22" applyFont="1" applyAlignment="1">
      <alignment vertical="center"/>
    </xf>
    <xf numFmtId="176" fontId="4" fillId="0" borderId="2" xfId="22" applyNumberFormat="1" applyFont="1" applyBorder="1" applyAlignment="1">
      <alignment horizontal="center" vertical="center"/>
    </xf>
    <xf numFmtId="49" fontId="5" fillId="0" borderId="5" xfId="22" applyNumberFormat="1" applyFont="1" applyBorder="1" applyAlignment="1">
      <alignment horizontal="center" vertical="center"/>
    </xf>
    <xf numFmtId="49" fontId="5" fillId="0" borderId="3" xfId="22" applyNumberFormat="1" applyFont="1" applyBorder="1" applyAlignment="1">
      <alignment horizontal="center" vertical="center"/>
    </xf>
    <xf numFmtId="166" fontId="4" fillId="0" borderId="3" xfId="22" applyNumberFormat="1" applyFont="1" applyBorder="1" applyAlignment="1">
      <alignment horizontal="center" vertical="center"/>
    </xf>
    <xf numFmtId="0" fontId="215" fillId="0" borderId="0" xfId="22" applyFont="1" applyAlignment="1">
      <alignment vertical="center"/>
    </xf>
    <xf numFmtId="0" fontId="151" fillId="0" borderId="0" xfId="22" applyFont="1" applyAlignment="1">
      <alignment vertical="center"/>
    </xf>
    <xf numFmtId="166" fontId="4" fillId="0" borderId="0" xfId="22" applyNumberFormat="1" applyFont="1" applyAlignment="1">
      <alignment vertical="center"/>
    </xf>
    <xf numFmtId="0" fontId="4" fillId="0" borderId="0" xfId="22" applyFont="1" applyAlignment="1">
      <alignment horizontal="center" vertical="center"/>
    </xf>
    <xf numFmtId="186" fontId="22" fillId="0" borderId="0" xfId="28" applyNumberFormat="1" applyFont="1" applyAlignment="1">
      <alignment vertical="center"/>
    </xf>
    <xf numFmtId="170" fontId="135" fillId="13" borderId="129" xfId="98" applyNumberFormat="1" applyFont="1" applyFill="1" applyBorder="1" applyAlignment="1">
      <alignment horizontal="center" vertical="center" wrapText="1"/>
    </xf>
    <xf numFmtId="3" fontId="17" fillId="0" borderId="2" xfId="0" applyNumberFormat="1" applyFont="1" applyBorder="1" applyAlignment="1">
      <alignment vertical="center"/>
    </xf>
    <xf numFmtId="173" fontId="17" fillId="0" borderId="2" xfId="0" applyNumberFormat="1" applyFont="1" applyBorder="1" applyAlignment="1">
      <alignment vertical="center"/>
    </xf>
    <xf numFmtId="0" fontId="188" fillId="11" borderId="0" xfId="0" applyFont="1" applyFill="1" applyAlignment="1">
      <alignment horizontal="right"/>
    </xf>
    <xf numFmtId="0" fontId="188" fillId="11" borderId="0" xfId="44" applyFont="1" applyFill="1" applyAlignment="1">
      <alignment horizontal="right"/>
    </xf>
    <xf numFmtId="0" fontId="71" fillId="9" borderId="11" xfId="0" applyFont="1" applyFill="1" applyBorder="1" applyAlignment="1">
      <alignment horizontal="center" vertical="center"/>
    </xf>
    <xf numFmtId="0" fontId="71" fillId="9" borderId="6" xfId="0" applyFont="1" applyFill="1" applyBorder="1" applyAlignment="1">
      <alignment horizontal="center" vertical="center"/>
    </xf>
    <xf numFmtId="0" fontId="188" fillId="11" borderId="0" xfId="0" applyFont="1" applyFill="1" applyAlignment="1">
      <alignment horizontal="right" vertical="center"/>
    </xf>
    <xf numFmtId="0" fontId="345" fillId="0" borderId="85" xfId="3" applyFont="1" applyBorder="1" applyAlignment="1">
      <alignment horizontal="left" vertical="center"/>
    </xf>
    <xf numFmtId="0" fontId="346" fillId="0" borderId="85" xfId="3" applyFont="1" applyBorder="1" applyAlignment="1">
      <alignment horizontal="left" vertical="center"/>
    </xf>
    <xf numFmtId="0" fontId="347" fillId="0" borderId="85" xfId="3" applyFont="1" applyBorder="1" applyAlignment="1">
      <alignment horizontal="left" vertical="center"/>
    </xf>
    <xf numFmtId="0" fontId="249" fillId="0" borderId="85" xfId="3" applyFont="1" applyBorder="1" applyAlignment="1">
      <alignment horizontal="left" vertical="center"/>
    </xf>
    <xf numFmtId="0" fontId="345" fillId="0" borderId="85" xfId="3" applyFont="1" applyBorder="1" applyAlignment="1">
      <alignment horizontal="left" vertical="center" indent="2"/>
    </xf>
    <xf numFmtId="0" fontId="346" fillId="0" borderId="85" xfId="3" applyFont="1" applyBorder="1" applyAlignment="1">
      <alignment horizontal="left" vertical="center" indent="2"/>
    </xf>
    <xf numFmtId="0" fontId="347" fillId="0" borderId="85" xfId="3" applyFont="1" applyBorder="1" applyAlignment="1">
      <alignment horizontal="left" vertical="center" indent="2"/>
    </xf>
    <xf numFmtId="0" fontId="347" fillId="0" borderId="84" xfId="3" applyFont="1" applyBorder="1" applyAlignment="1">
      <alignment horizontal="left" vertical="center" indent="2"/>
    </xf>
    <xf numFmtId="0" fontId="188" fillId="11" borderId="0" xfId="44" applyFont="1" applyFill="1"/>
    <xf numFmtId="0" fontId="188" fillId="11" borderId="0" xfId="0" applyFont="1" applyFill="1" applyAlignment="1">
      <alignment vertical="center"/>
    </xf>
    <xf numFmtId="0" fontId="249" fillId="0" borderId="85" xfId="3" applyFont="1" applyBorder="1" applyAlignment="1">
      <alignment horizontal="left"/>
    </xf>
    <xf numFmtId="0" fontId="346" fillId="0" borderId="85" xfId="3" applyFont="1" applyBorder="1" applyAlignment="1">
      <alignment horizontal="left"/>
    </xf>
    <xf numFmtId="0" fontId="345" fillId="0" borderId="85" xfId="3" applyFont="1" applyBorder="1" applyAlignment="1">
      <alignment horizontal="left"/>
    </xf>
    <xf numFmtId="0" fontId="347" fillId="0" borderId="85" xfId="3" applyFont="1" applyBorder="1" applyAlignment="1">
      <alignment horizontal="left"/>
    </xf>
    <xf numFmtId="0" fontId="249" fillId="0" borderId="85" xfId="3" applyFont="1" applyBorder="1" applyAlignment="1">
      <alignment horizontal="left" vertical="center" wrapText="1"/>
    </xf>
    <xf numFmtId="0" fontId="346" fillId="0" borderId="84" xfId="3" applyFont="1" applyBorder="1" applyAlignment="1">
      <alignment horizontal="left"/>
    </xf>
    <xf numFmtId="0" fontId="346" fillId="0" borderId="85" xfId="3" applyFont="1" applyBorder="1" applyAlignment="1">
      <alignment horizontal="left" indent="1"/>
    </xf>
    <xf numFmtId="0" fontId="190" fillId="9" borderId="86" xfId="0" applyFont="1" applyFill="1" applyBorder="1" applyAlignment="1">
      <alignment horizontal="center" vertical="center"/>
    </xf>
    <xf numFmtId="0" fontId="82" fillId="9" borderId="86" xfId="0" applyFont="1" applyFill="1" applyBorder="1" applyAlignment="1">
      <alignment horizontal="center" vertical="center"/>
    </xf>
    <xf numFmtId="0" fontId="82" fillId="9" borderId="96" xfId="0" applyFont="1" applyFill="1" applyBorder="1" applyAlignment="1">
      <alignment horizontal="center" vertical="center"/>
    </xf>
    <xf numFmtId="0" fontId="82" fillId="9" borderId="166" xfId="0" applyFont="1" applyFill="1" applyBorder="1" applyAlignment="1">
      <alignment horizontal="center" vertical="center"/>
    </xf>
    <xf numFmtId="14" fontId="65" fillId="9" borderId="82" xfId="3" applyNumberFormat="1" applyFont="1" applyFill="1" applyBorder="1" applyAlignment="1">
      <alignment vertical="center"/>
    </xf>
    <xf numFmtId="0" fontId="72" fillId="9" borderId="86" xfId="0" applyFont="1" applyFill="1" applyBorder="1" applyAlignment="1">
      <alignment horizontal="center" vertical="center"/>
    </xf>
    <xf numFmtId="0" fontId="72" fillId="9" borderId="96" xfId="0" applyFont="1" applyFill="1" applyBorder="1" applyAlignment="1">
      <alignment horizontal="center" vertical="center"/>
    </xf>
    <xf numFmtId="14" fontId="65" fillId="9" borderId="98" xfId="3" applyNumberFormat="1" applyFont="1" applyFill="1" applyBorder="1" applyAlignment="1">
      <alignment vertical="center"/>
    </xf>
    <xf numFmtId="14" fontId="190" fillId="9" borderId="82" xfId="3" applyNumberFormat="1" applyFont="1" applyFill="1" applyBorder="1" applyAlignment="1">
      <alignment vertical="center"/>
    </xf>
    <xf numFmtId="14" fontId="190" fillId="9" borderId="84" xfId="3" applyNumberFormat="1" applyFont="1" applyFill="1" applyBorder="1" applyAlignment="1">
      <alignment vertical="center"/>
    </xf>
    <xf numFmtId="0" fontId="190" fillId="9" borderId="170" xfId="0" applyFont="1" applyFill="1" applyBorder="1" applyAlignment="1">
      <alignment horizontal="center" vertical="center"/>
    </xf>
    <xf numFmtId="14" fontId="190" fillId="9" borderId="0" xfId="3" applyNumberFormat="1" applyFont="1" applyFill="1" applyAlignment="1">
      <alignment vertical="center"/>
    </xf>
    <xf numFmtId="14" fontId="68" fillId="9" borderId="82" xfId="3" applyNumberFormat="1" applyFont="1" applyFill="1" applyBorder="1" applyAlignment="1">
      <alignment vertical="center"/>
    </xf>
    <xf numFmtId="0" fontId="190" fillId="9" borderId="87" xfId="0" applyFont="1" applyFill="1" applyBorder="1" applyAlignment="1">
      <alignment horizontal="center" vertical="center"/>
    </xf>
    <xf numFmtId="0" fontId="67" fillId="9" borderId="96" xfId="0" applyFont="1" applyFill="1" applyBorder="1" applyAlignment="1">
      <alignment horizontal="center" vertical="center"/>
    </xf>
    <xf numFmtId="14" fontId="68" fillId="9" borderId="85" xfId="3" applyNumberFormat="1" applyFont="1" applyFill="1" applyBorder="1" applyAlignment="1">
      <alignment vertical="center"/>
    </xf>
    <xf numFmtId="14" fontId="68" fillId="9" borderId="84" xfId="3" applyNumberFormat="1" applyFont="1" applyFill="1" applyBorder="1" applyAlignment="1">
      <alignment vertical="center"/>
    </xf>
    <xf numFmtId="0" fontId="345" fillId="0" borderId="85" xfId="3" applyFont="1" applyBorder="1" applyAlignment="1">
      <alignment horizontal="left" indent="2"/>
    </xf>
    <xf numFmtId="0" fontId="347" fillId="0" borderId="85" xfId="3" applyFont="1" applyBorder="1" applyAlignment="1">
      <alignment horizontal="left" indent="2"/>
    </xf>
    <xf numFmtId="0" fontId="346" fillId="0" borderId="85" xfId="3" applyFont="1" applyBorder="1" applyAlignment="1">
      <alignment horizontal="left" indent="2"/>
    </xf>
    <xf numFmtId="0" fontId="347" fillId="0" borderId="84" xfId="3" applyFont="1" applyBorder="1" applyAlignment="1">
      <alignment horizontal="left" indent="2"/>
    </xf>
    <xf numFmtId="0" fontId="346" fillId="0" borderId="165" xfId="3" applyFont="1" applyBorder="1" applyAlignment="1">
      <alignment horizontal="left" indent="1"/>
    </xf>
    <xf numFmtId="201" fontId="118" fillId="0" borderId="0" xfId="69" applyNumberFormat="1" applyFont="1"/>
    <xf numFmtId="0" fontId="88" fillId="0" borderId="2" xfId="69" applyFont="1" applyBorder="1" applyAlignment="1">
      <alignment vertical="center" wrapText="1"/>
    </xf>
    <xf numFmtId="170" fontId="83" fillId="3" borderId="2" xfId="94" applyNumberFormat="1" applyFont="1" applyFill="1" applyBorder="1" applyAlignment="1" applyProtection="1">
      <alignment horizontal="right" vertical="center" wrapText="1"/>
    </xf>
    <xf numFmtId="170" fontId="82" fillId="0" borderId="45" xfId="94" applyNumberFormat="1" applyFont="1" applyFill="1" applyBorder="1" applyAlignment="1" applyProtection="1">
      <alignment horizontal="right" wrapText="1"/>
    </xf>
    <xf numFmtId="3" fontId="4" fillId="0" borderId="0" xfId="0" applyNumberFormat="1" applyFont="1" applyAlignment="1">
      <alignment vertical="center"/>
    </xf>
    <xf numFmtId="3" fontId="161" fillId="10" borderId="0" xfId="0" applyNumberFormat="1" applyFont="1" applyFill="1" applyAlignment="1">
      <alignment horizontal="center" vertical="center"/>
    </xf>
    <xf numFmtId="3" fontId="4" fillId="11" borderId="0" xfId="0" applyNumberFormat="1" applyFont="1" applyFill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/>
    </xf>
    <xf numFmtId="173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10" fillId="0" borderId="3" xfId="38" applyFont="1" applyBorder="1" applyAlignment="1">
      <alignment horizontal="center" vertical="center"/>
    </xf>
    <xf numFmtId="14" fontId="10" fillId="3" borderId="36" xfId="0" applyNumberFormat="1" applyFont="1" applyFill="1" applyBorder="1" applyAlignment="1">
      <alignment horizontal="left"/>
    </xf>
    <xf numFmtId="0" fontId="6" fillId="3" borderId="36" xfId="0" applyFont="1" applyFill="1" applyBorder="1"/>
    <xf numFmtId="0" fontId="6" fillId="3" borderId="25" xfId="0" applyFont="1" applyFill="1" applyBorder="1"/>
    <xf numFmtId="2" fontId="4" fillId="3" borderId="28" xfId="0" applyNumberFormat="1" applyFont="1" applyFill="1" applyBorder="1" applyAlignment="1">
      <alignment horizontal="center"/>
    </xf>
    <xf numFmtId="0" fontId="207" fillId="11" borderId="18" xfId="69" applyFont="1" applyFill="1" applyBorder="1" applyAlignment="1">
      <alignment horizontal="right" vertical="center" wrapText="1"/>
    </xf>
    <xf numFmtId="0" fontId="87" fillId="0" borderId="2" xfId="69" applyFont="1" applyBorder="1" applyAlignment="1">
      <alignment horizontal="center" vertical="center" wrapText="1"/>
    </xf>
    <xf numFmtId="0" fontId="91" fillId="0" borderId="0" xfId="27" applyFont="1" applyAlignment="1">
      <alignment horizontal="center" vertical="center"/>
    </xf>
    <xf numFmtId="0" fontId="31" fillId="0" borderId="0" xfId="27" applyFont="1" applyAlignment="1">
      <alignment vertical="center"/>
    </xf>
    <xf numFmtId="0" fontId="92" fillId="0" borderId="0" xfId="27" applyFont="1" applyAlignment="1">
      <alignment horizontal="right" wrapText="1"/>
    </xf>
    <xf numFmtId="0" fontId="84" fillId="0" borderId="0" xfId="27" applyFont="1" applyAlignment="1">
      <alignment wrapText="1"/>
    </xf>
    <xf numFmtId="0" fontId="88" fillId="9" borderId="6" xfId="27" applyFont="1" applyFill="1" applyBorder="1" applyAlignment="1">
      <alignment horizontal="left" wrapText="1"/>
    </xf>
    <xf numFmtId="0" fontId="299" fillId="0" borderId="0" xfId="27" applyFont="1" applyAlignment="1">
      <alignment vertical="center"/>
    </xf>
    <xf numFmtId="0" fontId="89" fillId="0" borderId="0" xfId="27" applyFont="1" applyAlignment="1">
      <alignment vertical="center"/>
    </xf>
    <xf numFmtId="4" fontId="123" fillId="9" borderId="6" xfId="27" applyNumberFormat="1" applyFont="1" applyFill="1" applyBorder="1" applyAlignment="1">
      <alignment horizontal="center" vertical="center" wrapText="1"/>
    </xf>
    <xf numFmtId="4" fontId="84" fillId="9" borderId="6" xfId="27" applyNumberFormat="1" applyFont="1" applyFill="1" applyBorder="1" applyAlignment="1">
      <alignment horizontal="center" vertical="center" wrapText="1"/>
    </xf>
    <xf numFmtId="0" fontId="84" fillId="0" borderId="121" xfId="27" applyFont="1" applyBorder="1" applyAlignment="1">
      <alignment horizontal="left" wrapText="1"/>
    </xf>
    <xf numFmtId="3" fontId="123" fillId="0" borderId="64" xfId="27" applyNumberFormat="1" applyFont="1" applyBorder="1" applyAlignment="1">
      <alignment horizontal="center" vertical="center"/>
    </xf>
    <xf numFmtId="3" fontId="123" fillId="0" borderId="134" xfId="27" applyNumberFormat="1" applyFont="1" applyBorder="1" applyAlignment="1">
      <alignment horizontal="center" vertical="center"/>
    </xf>
    <xf numFmtId="3" fontId="123" fillId="3" borderId="123" xfId="27" applyNumberFormat="1" applyFont="1" applyFill="1" applyBorder="1" applyAlignment="1">
      <alignment horizontal="center" vertical="center"/>
    </xf>
    <xf numFmtId="3" fontId="123" fillId="3" borderId="125" xfId="27" applyNumberFormat="1" applyFont="1" applyFill="1" applyBorder="1" applyAlignment="1">
      <alignment horizontal="center" vertical="center"/>
    </xf>
    <xf numFmtId="3" fontId="123" fillId="0" borderId="63" xfId="27" applyNumberFormat="1" applyFont="1" applyBorder="1" applyAlignment="1">
      <alignment horizontal="center" vertical="center"/>
    </xf>
    <xf numFmtId="3" fontId="123" fillId="0" borderId="123" xfId="27" applyNumberFormat="1" applyFont="1" applyBorder="1" applyAlignment="1">
      <alignment horizontal="center" vertical="center"/>
    </xf>
    <xf numFmtId="3" fontId="123" fillId="0" borderId="125" xfId="27" applyNumberFormat="1" applyFont="1" applyBorder="1" applyAlignment="1">
      <alignment horizontal="center" vertical="center"/>
    </xf>
    <xf numFmtId="3" fontId="123" fillId="0" borderId="146" xfId="27" applyNumberFormat="1" applyFont="1" applyBorder="1" applyAlignment="1">
      <alignment horizontal="center" vertical="center"/>
    </xf>
    <xf numFmtId="3" fontId="123" fillId="0" borderId="149" xfId="27" applyNumberFormat="1" applyFont="1" applyBorder="1" applyAlignment="1">
      <alignment horizontal="center" vertical="center"/>
    </xf>
    <xf numFmtId="0" fontId="90" fillId="0" borderId="126" xfId="27" applyFont="1" applyBorder="1" applyAlignment="1">
      <alignment horizontal="left" wrapText="1"/>
    </xf>
    <xf numFmtId="3" fontId="123" fillId="0" borderId="57" xfId="27" applyNumberFormat="1" applyFont="1" applyBorder="1" applyAlignment="1">
      <alignment horizontal="center" vertical="center"/>
    </xf>
    <xf numFmtId="3" fontId="123" fillId="0" borderId="58" xfId="27" applyNumberFormat="1" applyFont="1" applyBorder="1" applyAlignment="1">
      <alignment horizontal="center" vertical="center"/>
    </xf>
    <xf numFmtId="3" fontId="123" fillId="0" borderId="126" xfId="27" applyNumberFormat="1" applyFont="1" applyBorder="1" applyAlignment="1">
      <alignment horizontal="center" vertical="center"/>
    </xf>
    <xf numFmtId="3" fontId="123" fillId="0" borderId="127" xfId="27" applyNumberFormat="1" applyFont="1" applyBorder="1" applyAlignment="1">
      <alignment horizontal="center" vertical="center"/>
    </xf>
    <xf numFmtId="3" fontId="123" fillId="0" borderId="56" xfId="27" applyNumberFormat="1" applyFont="1" applyBorder="1" applyAlignment="1">
      <alignment horizontal="center" vertical="center"/>
    </xf>
    <xf numFmtId="3" fontId="123" fillId="0" borderId="133" xfId="27" applyNumberFormat="1" applyFont="1" applyBorder="1" applyAlignment="1">
      <alignment horizontal="center" vertical="center"/>
    </xf>
    <xf numFmtId="0" fontId="84" fillId="0" borderId="126" xfId="27" applyFont="1" applyBorder="1" applyAlignment="1">
      <alignment horizontal="left" wrapText="1"/>
    </xf>
    <xf numFmtId="0" fontId="85" fillId="0" borderId="126" xfId="27" applyFont="1" applyBorder="1" applyAlignment="1">
      <alignment horizontal="left" wrapText="1"/>
    </xf>
    <xf numFmtId="3" fontId="124" fillId="0" borderId="57" xfId="27" applyNumberFormat="1" applyFont="1" applyBorder="1" applyAlignment="1">
      <alignment horizontal="center" vertical="center"/>
    </xf>
    <xf numFmtId="3" fontId="124" fillId="0" borderId="58" xfId="27" applyNumberFormat="1" applyFont="1" applyBorder="1" applyAlignment="1">
      <alignment horizontal="center" vertical="center"/>
    </xf>
    <xf numFmtId="3" fontId="124" fillId="0" borderId="126" xfId="27" applyNumberFormat="1" applyFont="1" applyBorder="1" applyAlignment="1">
      <alignment horizontal="center" vertical="center"/>
    </xf>
    <xf numFmtId="3" fontId="124" fillId="0" borderId="127" xfId="27" applyNumberFormat="1" applyFont="1" applyBorder="1" applyAlignment="1">
      <alignment horizontal="center" vertical="center"/>
    </xf>
    <xf numFmtId="3" fontId="124" fillId="0" borderId="56" xfId="27" applyNumberFormat="1" applyFont="1" applyBorder="1" applyAlignment="1">
      <alignment horizontal="center" vertical="center"/>
    </xf>
    <xf numFmtId="3" fontId="124" fillId="0" borderId="133" xfId="27" applyNumberFormat="1" applyFont="1" applyBorder="1" applyAlignment="1">
      <alignment horizontal="center" vertical="center"/>
    </xf>
    <xf numFmtId="0" fontId="85" fillId="0" borderId="126" xfId="27" applyFont="1" applyBorder="1" applyAlignment="1">
      <alignment horizontal="left" wrapText="1" indent="1"/>
    </xf>
    <xf numFmtId="178" fontId="89" fillId="0" borderId="0" xfId="27" applyNumberFormat="1" applyFont="1" applyAlignment="1">
      <alignment vertical="center"/>
    </xf>
    <xf numFmtId="0" fontId="85" fillId="0" borderId="126" xfId="27" applyFont="1" applyBorder="1" applyAlignment="1">
      <alignment horizontal="left" wrapText="1" indent="2"/>
    </xf>
    <xf numFmtId="3" fontId="89" fillId="0" borderId="0" xfId="27" applyNumberFormat="1" applyFont="1" applyAlignment="1">
      <alignment vertical="center"/>
    </xf>
    <xf numFmtId="3" fontId="123" fillId="3" borderId="126" xfId="27" applyNumberFormat="1" applyFont="1" applyFill="1" applyBorder="1" applyAlignment="1">
      <alignment horizontal="center" vertical="center"/>
    </xf>
    <xf numFmtId="3" fontId="123" fillId="3" borderId="127" xfId="27" applyNumberFormat="1" applyFont="1" applyFill="1" applyBorder="1" applyAlignment="1">
      <alignment horizontal="center" vertical="center"/>
    </xf>
    <xf numFmtId="3" fontId="124" fillId="3" borderId="127" xfId="27" applyNumberFormat="1" applyFont="1" applyFill="1" applyBorder="1" applyAlignment="1">
      <alignment horizontal="center" vertical="center"/>
    </xf>
    <xf numFmtId="0" fontId="85" fillId="0" borderId="126" xfId="27" applyFont="1" applyBorder="1" applyAlignment="1">
      <alignment horizontal="left"/>
    </xf>
    <xf numFmtId="0" fontId="85" fillId="0" borderId="126" xfId="27" applyFont="1" applyBorder="1" applyAlignment="1">
      <alignment horizontal="left" indent="1"/>
    </xf>
    <xf numFmtId="3" fontId="124" fillId="3" borderId="126" xfId="27" applyNumberFormat="1" applyFont="1" applyFill="1" applyBorder="1" applyAlignment="1">
      <alignment horizontal="center" vertical="center"/>
    </xf>
    <xf numFmtId="178" fontId="89" fillId="0" borderId="0" xfId="93" applyNumberFormat="1" applyFont="1" applyFill="1" applyAlignment="1">
      <alignment vertical="center"/>
    </xf>
    <xf numFmtId="202" fontId="89" fillId="0" borderId="0" xfId="2618" applyNumberFormat="1" applyFont="1" applyFill="1" applyAlignment="1">
      <alignment vertical="center"/>
    </xf>
    <xf numFmtId="3" fontId="123" fillId="3" borderId="56" xfId="27" applyNumberFormat="1" applyFont="1" applyFill="1" applyBorder="1" applyAlignment="1">
      <alignment horizontal="center" vertical="center"/>
    </xf>
    <xf numFmtId="3" fontId="123" fillId="3" borderId="58" xfId="27" applyNumberFormat="1" applyFont="1" applyFill="1" applyBorder="1" applyAlignment="1">
      <alignment horizontal="center" vertical="center"/>
    </xf>
    <xf numFmtId="3" fontId="124" fillId="3" borderId="56" xfId="27" applyNumberFormat="1" applyFont="1" applyFill="1" applyBorder="1" applyAlignment="1">
      <alignment horizontal="center" vertical="center"/>
    </xf>
    <xf numFmtId="3" fontId="124" fillId="3" borderId="58" xfId="27" applyNumberFormat="1" applyFont="1" applyFill="1" applyBorder="1" applyAlignment="1">
      <alignment horizontal="center" vertical="center"/>
    </xf>
    <xf numFmtId="3" fontId="123" fillId="0" borderId="57" xfId="27" applyNumberFormat="1" applyFont="1" applyBorder="1" applyAlignment="1">
      <alignment horizontal="center" vertical="center" wrapText="1"/>
    </xf>
    <xf numFmtId="3" fontId="123" fillId="0" borderId="58" xfId="27" applyNumberFormat="1" applyFont="1" applyBorder="1" applyAlignment="1">
      <alignment horizontal="center" vertical="center" wrapText="1"/>
    </xf>
    <xf numFmtId="3" fontId="123" fillId="3" borderId="126" xfId="27" applyNumberFormat="1" applyFont="1" applyFill="1" applyBorder="1" applyAlignment="1">
      <alignment horizontal="center" vertical="center" wrapText="1"/>
    </xf>
    <xf numFmtId="3" fontId="123" fillId="3" borderId="127" xfId="27" applyNumberFormat="1" applyFont="1" applyFill="1" applyBorder="1" applyAlignment="1">
      <alignment horizontal="center" vertical="center" wrapText="1"/>
    </xf>
    <xf numFmtId="3" fontId="123" fillId="0" borderId="56" xfId="27" applyNumberFormat="1" applyFont="1" applyBorder="1" applyAlignment="1">
      <alignment horizontal="center" vertical="center" wrapText="1"/>
    </xf>
    <xf numFmtId="3" fontId="123" fillId="0" borderId="126" xfId="27" applyNumberFormat="1" applyFont="1" applyBorder="1" applyAlignment="1">
      <alignment horizontal="center" vertical="center" wrapText="1"/>
    </xf>
    <xf numFmtId="3" fontId="123" fillId="0" borderId="127" xfId="27" applyNumberFormat="1" applyFont="1" applyBorder="1" applyAlignment="1">
      <alignment horizontal="center" vertical="center" wrapText="1"/>
    </xf>
    <xf numFmtId="3" fontId="123" fillId="0" borderId="133" xfId="27" applyNumberFormat="1" applyFont="1" applyBorder="1" applyAlignment="1">
      <alignment horizontal="center" vertical="center" wrapText="1"/>
    </xf>
    <xf numFmtId="0" fontId="84" fillId="0" borderId="128" xfId="27" applyFont="1" applyBorder="1" applyAlignment="1">
      <alignment horizontal="left" wrapText="1"/>
    </xf>
    <xf numFmtId="3" fontId="123" fillId="0" borderId="129" xfId="27" applyNumberFormat="1" applyFont="1" applyBorder="1" applyAlignment="1">
      <alignment horizontal="center" vertical="center" wrapText="1"/>
    </xf>
    <xf numFmtId="3" fontId="123" fillId="0" borderId="135" xfId="27" applyNumberFormat="1" applyFont="1" applyBorder="1" applyAlignment="1">
      <alignment horizontal="center" vertical="center" wrapText="1"/>
    </xf>
    <xf numFmtId="3" fontId="123" fillId="0" borderId="136" xfId="27" applyNumberFormat="1" applyFont="1" applyBorder="1" applyAlignment="1">
      <alignment horizontal="center" vertical="center" wrapText="1"/>
    </xf>
    <xf numFmtId="3" fontId="123" fillId="0" borderId="128" xfId="27" applyNumberFormat="1" applyFont="1" applyBorder="1" applyAlignment="1">
      <alignment horizontal="center" vertical="center" wrapText="1"/>
    </xf>
    <xf numFmtId="3" fontId="123" fillId="0" borderId="130" xfId="27" applyNumberFormat="1" applyFont="1" applyBorder="1" applyAlignment="1">
      <alignment horizontal="center" vertical="center" wrapText="1"/>
    </xf>
    <xf numFmtId="3" fontId="123" fillId="0" borderId="145" xfId="27" applyNumberFormat="1" applyFont="1" applyBorder="1" applyAlignment="1">
      <alignment horizontal="center" vertical="center" wrapText="1"/>
    </xf>
    <xf numFmtId="178" fontId="89" fillId="0" borderId="0" xfId="2618" applyNumberFormat="1" applyFont="1" applyFill="1" applyAlignment="1">
      <alignment vertical="center"/>
    </xf>
    <xf numFmtId="0" fontId="31" fillId="0" borderId="0" xfId="27" applyFont="1" applyAlignment="1">
      <alignment horizontal="left"/>
    </xf>
    <xf numFmtId="173" fontId="31" fillId="0" borderId="0" xfId="27" applyNumberFormat="1" applyFont="1" applyAlignment="1">
      <alignment vertical="center"/>
    </xf>
    <xf numFmtId="4" fontId="122" fillId="0" borderId="0" xfId="27" applyNumberFormat="1" applyFont="1" applyAlignment="1">
      <alignment horizontal="center" vertical="center"/>
    </xf>
    <xf numFmtId="0" fontId="31" fillId="0" borderId="4" xfId="27" applyFont="1" applyBorder="1" applyAlignment="1">
      <alignment vertical="center"/>
    </xf>
    <xf numFmtId="4" fontId="31" fillId="0" borderId="0" xfId="27" applyNumberFormat="1" applyFont="1" applyAlignment="1">
      <alignment horizontal="center" vertical="center"/>
    </xf>
    <xf numFmtId="9" fontId="124" fillId="0" borderId="0" xfId="72" applyFont="1" applyFill="1"/>
    <xf numFmtId="49" fontId="243" fillId="0" borderId="36" xfId="69" applyNumberFormat="1" applyFont="1" applyBorder="1" applyAlignment="1">
      <alignment horizontal="left" vertical="center" wrapText="1" indent="4"/>
    </xf>
    <xf numFmtId="49" fontId="243" fillId="0" borderId="25" xfId="69" applyNumberFormat="1" applyFont="1" applyBorder="1" applyAlignment="1">
      <alignment horizontal="left" vertical="center" wrapText="1" indent="4"/>
    </xf>
    <xf numFmtId="3" fontId="4" fillId="9" borderId="10" xfId="0" applyNumberFormat="1" applyFont="1" applyFill="1" applyBorder="1" applyAlignment="1">
      <alignment horizontal="center" vertical="center"/>
    </xf>
    <xf numFmtId="3" fontId="4" fillId="9" borderId="11" xfId="0" applyNumberFormat="1" applyFont="1" applyFill="1" applyBorder="1" applyAlignment="1">
      <alignment horizontal="center" vertical="center"/>
    </xf>
    <xf numFmtId="3" fontId="4" fillId="9" borderId="9" xfId="0" applyNumberFormat="1" applyFont="1" applyFill="1" applyBorder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3" fontId="161" fillId="0" borderId="0" xfId="0" applyNumberFormat="1" applyFont="1" applyAlignment="1">
      <alignment vertical="center"/>
    </xf>
    <xf numFmtId="3" fontId="164" fillId="11" borderId="0" xfId="0" applyNumberFormat="1" applyFont="1" applyFill="1" applyAlignment="1">
      <alignment horizontal="right" vertical="center"/>
    </xf>
    <xf numFmtId="3" fontId="27" fillId="9" borderId="164" xfId="0" applyNumberFormat="1" applyFont="1" applyFill="1" applyBorder="1" applyAlignment="1">
      <alignment horizontal="center" vertical="center" wrapText="1" shrinkToFit="1"/>
    </xf>
    <xf numFmtId="3" fontId="4" fillId="0" borderId="0" xfId="0" applyNumberFormat="1" applyFont="1" applyAlignment="1">
      <alignment horizontal="center" vertical="center"/>
    </xf>
    <xf numFmtId="3" fontId="5" fillId="0" borderId="1" xfId="0" applyNumberFormat="1" applyFont="1" applyBorder="1" applyAlignment="1">
      <alignment horizontal="left" vertical="center" wrapText="1" shrinkToFit="1"/>
    </xf>
    <xf numFmtId="3" fontId="5" fillId="0" borderId="164" xfId="0" applyNumberFormat="1" applyFont="1" applyBorder="1" applyAlignment="1">
      <alignment horizontal="center" vertical="center" wrapText="1"/>
    </xf>
    <xf numFmtId="3" fontId="5" fillId="4" borderId="164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18" fillId="0" borderId="164" xfId="0" applyNumberFormat="1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left" vertical="center" wrapText="1" shrinkToFit="1"/>
    </xf>
    <xf numFmtId="3" fontId="4" fillId="0" borderId="5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18" fillId="0" borderId="4" xfId="0" applyNumberFormat="1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vertical="center"/>
    </xf>
    <xf numFmtId="3" fontId="18" fillId="0" borderId="4" xfId="0" applyNumberFormat="1" applyFont="1" applyBorder="1" applyAlignment="1">
      <alignment vertical="center"/>
    </xf>
    <xf numFmtId="3" fontId="19" fillId="0" borderId="2" xfId="0" applyNumberFormat="1" applyFont="1" applyBorder="1" applyAlignment="1">
      <alignment horizontal="left" vertical="center" wrapText="1"/>
    </xf>
    <xf numFmtId="3" fontId="20" fillId="0" borderId="4" xfId="0" applyNumberFormat="1" applyFont="1" applyBorder="1" applyAlignment="1">
      <alignment horizontal="left" vertical="center" wrapText="1"/>
    </xf>
    <xf numFmtId="3" fontId="17" fillId="0" borderId="2" xfId="0" applyNumberFormat="1" applyFont="1" applyBorder="1" applyAlignment="1">
      <alignment horizontal="left" vertical="center" wrapText="1"/>
    </xf>
    <xf numFmtId="3" fontId="112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left" vertical="center" wrapText="1"/>
    </xf>
    <xf numFmtId="3" fontId="18" fillId="0" borderId="4" xfId="0" applyNumberFormat="1" applyFont="1" applyBorder="1" applyAlignment="1">
      <alignment horizontal="left" vertical="center"/>
    </xf>
    <xf numFmtId="3" fontId="4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left" vertical="center"/>
    </xf>
    <xf numFmtId="3" fontId="5" fillId="0" borderId="4" xfId="0" applyNumberFormat="1" applyFont="1" applyBorder="1" applyAlignment="1">
      <alignment horizontal="center" vertical="center"/>
    </xf>
    <xf numFmtId="3" fontId="112" fillId="0" borderId="4" xfId="0" applyNumberFormat="1" applyFont="1" applyBorder="1" applyAlignment="1">
      <alignment horizontal="center" vertical="center"/>
    </xf>
    <xf numFmtId="3" fontId="113" fillId="0" borderId="4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left" vertical="center" wrapText="1"/>
    </xf>
    <xf numFmtId="3" fontId="5" fillId="0" borderId="18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18" fillId="0" borderId="19" xfId="0" applyNumberFormat="1" applyFont="1" applyBorder="1" applyAlignment="1">
      <alignment horizontal="left" vertical="center" wrapText="1"/>
    </xf>
    <xf numFmtId="3" fontId="215" fillId="0" borderId="0" xfId="0" applyNumberFormat="1" applyFont="1" applyAlignment="1">
      <alignment vertical="center"/>
    </xf>
    <xf numFmtId="3" fontId="4" fillId="4" borderId="0" xfId="0" applyNumberFormat="1" applyFont="1" applyFill="1" applyAlignment="1">
      <alignment vertical="center"/>
    </xf>
    <xf numFmtId="14" fontId="10" fillId="3" borderId="4" xfId="0" applyNumberFormat="1" applyFont="1" applyFill="1" applyBorder="1" applyAlignment="1">
      <alignment horizontal="left"/>
    </xf>
    <xf numFmtId="166" fontId="24" fillId="3" borderId="2" xfId="0" applyNumberFormat="1" applyFont="1" applyFill="1" applyBorder="1" applyAlignment="1">
      <alignment horizontal="center" vertical="center"/>
    </xf>
    <xf numFmtId="1" fontId="28" fillId="0" borderId="17" xfId="38" applyNumberFormat="1" applyFont="1" applyBorder="1" applyAlignment="1">
      <alignment horizontal="center" vertical="center"/>
    </xf>
    <xf numFmtId="4" fontId="28" fillId="0" borderId="19" xfId="38" applyNumberFormat="1" applyFont="1" applyBorder="1" applyAlignment="1">
      <alignment horizontal="center" vertical="center"/>
    </xf>
    <xf numFmtId="0" fontId="136" fillId="9" borderId="113" xfId="0" applyFont="1" applyFill="1" applyBorder="1" applyAlignment="1">
      <alignment horizontal="center" vertical="center"/>
    </xf>
    <xf numFmtId="0" fontId="136" fillId="9" borderId="114" xfId="0" applyFont="1" applyFill="1" applyBorder="1" applyAlignment="1">
      <alignment vertical="center"/>
    </xf>
    <xf numFmtId="0" fontId="136" fillId="9" borderId="110" xfId="0" applyFont="1" applyFill="1" applyBorder="1" applyAlignment="1">
      <alignment vertical="center"/>
    </xf>
    <xf numFmtId="0" fontId="301" fillId="0" borderId="131" xfId="22" applyFont="1" applyBorder="1" applyAlignment="1">
      <alignment vertical="center" wrapText="1"/>
    </xf>
    <xf numFmtId="0" fontId="301" fillId="0" borderId="132" xfId="22" applyFont="1" applyBorder="1" applyAlignment="1">
      <alignment vertical="center" wrapText="1"/>
    </xf>
    <xf numFmtId="0" fontId="301" fillId="0" borderId="138" xfId="22" applyFont="1" applyBorder="1" applyAlignment="1">
      <alignment vertical="center" wrapText="1"/>
    </xf>
    <xf numFmtId="2" fontId="99" fillId="0" borderId="3" xfId="0" applyNumberFormat="1" applyFont="1" applyBorder="1" applyAlignment="1">
      <alignment horizontal="center" vertical="center"/>
    </xf>
    <xf numFmtId="0" fontId="99" fillId="0" borderId="18" xfId="0" applyFont="1" applyBorder="1" applyAlignment="1">
      <alignment vertical="center"/>
    </xf>
    <xf numFmtId="170" fontId="118" fillId="0" borderId="0" xfId="69" applyNumberFormat="1" applyFont="1"/>
    <xf numFmtId="199" fontId="138" fillId="0" borderId="0" xfId="69" applyNumberFormat="1" applyFont="1"/>
    <xf numFmtId="166" fontId="105" fillId="0" borderId="2" xfId="0" applyNumberFormat="1" applyFont="1" applyBorder="1" applyAlignment="1">
      <alignment horizontal="center" vertical="center"/>
    </xf>
    <xf numFmtId="49" fontId="24" fillId="0" borderId="7" xfId="0" applyNumberFormat="1" applyFont="1" applyBorder="1" applyAlignment="1">
      <alignment horizontal="center" vertical="center"/>
    </xf>
    <xf numFmtId="3" fontId="4" fillId="0" borderId="163" xfId="0" applyNumberFormat="1" applyFont="1" applyBorder="1" applyAlignment="1">
      <alignment horizontal="centerContinuous" vertical="center"/>
    </xf>
    <xf numFmtId="173" fontId="4" fillId="0" borderId="163" xfId="0" applyNumberFormat="1" applyFont="1" applyBorder="1" applyAlignment="1">
      <alignment horizontal="centerContinuous" vertical="center"/>
    </xf>
    <xf numFmtId="3" fontId="8" fillId="0" borderId="0" xfId="0" applyNumberFormat="1" applyFont="1" applyAlignment="1">
      <alignment vertical="center"/>
    </xf>
    <xf numFmtId="3" fontId="159" fillId="10" borderId="5" xfId="0" applyNumberFormat="1" applyFont="1" applyFill="1" applyBorder="1" applyAlignment="1">
      <alignment horizontal="center" vertical="center"/>
    </xf>
    <xf numFmtId="3" fontId="159" fillId="10" borderId="4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173" fontId="4" fillId="0" borderId="1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173" fontId="5" fillId="0" borderId="2" xfId="0" applyNumberFormat="1" applyFont="1" applyBorder="1" applyAlignment="1">
      <alignment vertical="center"/>
    </xf>
    <xf numFmtId="49" fontId="4" fillId="0" borderId="2" xfId="0" quotePrefix="1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3" fontId="17" fillId="0" borderId="0" xfId="0" applyNumberFormat="1" applyFont="1" applyAlignment="1">
      <alignment vertical="center"/>
    </xf>
    <xf numFmtId="3" fontId="18" fillId="0" borderId="2" xfId="0" applyNumberFormat="1" applyFont="1" applyBorder="1" applyAlignment="1">
      <alignment vertical="center"/>
    </xf>
    <xf numFmtId="173" fontId="18" fillId="0" borderId="2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173" fontId="4" fillId="0" borderId="0" xfId="0" applyNumberFormat="1" applyFont="1" applyAlignment="1">
      <alignment vertical="center"/>
    </xf>
    <xf numFmtId="192" fontId="4" fillId="0" borderId="0" xfId="0" applyNumberFormat="1" applyFont="1" applyAlignment="1">
      <alignment vertical="center"/>
    </xf>
    <xf numFmtId="178" fontId="9" fillId="0" borderId="0" xfId="40" applyNumberFormat="1" applyFont="1" applyFill="1" applyBorder="1" applyAlignment="1">
      <alignment horizontal="center" vertical="center" wrapText="1"/>
    </xf>
    <xf numFmtId="203" fontId="135" fillId="13" borderId="57" xfId="98" applyNumberFormat="1" applyFont="1" applyFill="1" applyBorder="1" applyAlignment="1">
      <alignment horizontal="right" vertical="center" wrapText="1"/>
    </xf>
    <xf numFmtId="3" fontId="114" fillId="0" borderId="2" xfId="0" quotePrefix="1" applyNumberFormat="1" applyFont="1" applyBorder="1" applyAlignment="1">
      <alignment horizontal="center" vertical="center" wrapText="1"/>
    </xf>
    <xf numFmtId="10" fontId="134" fillId="0" borderId="2" xfId="40" applyNumberFormat="1" applyFont="1" applyBorder="1" applyAlignment="1">
      <alignment horizontal="center" vertical="center"/>
    </xf>
    <xf numFmtId="181" fontId="114" fillId="0" borderId="2" xfId="4" applyNumberFormat="1" applyFont="1" applyFill="1" applyBorder="1" applyAlignment="1">
      <alignment horizontal="center" vertical="center"/>
    </xf>
    <xf numFmtId="10" fontId="114" fillId="0" borderId="2" xfId="40" quotePrefix="1" applyNumberFormat="1" applyFont="1" applyFill="1" applyBorder="1" applyAlignment="1">
      <alignment horizontal="center" vertical="center" wrapText="1"/>
    </xf>
    <xf numFmtId="181" fontId="114" fillId="0" borderId="2" xfId="4" quotePrefix="1" applyNumberFormat="1" applyFont="1" applyFill="1" applyBorder="1" applyAlignment="1">
      <alignment horizontal="center" vertical="center" wrapText="1"/>
    </xf>
    <xf numFmtId="3" fontId="208" fillId="0" borderId="2" xfId="0" quotePrefix="1" applyNumberFormat="1" applyFont="1" applyBorder="1" applyAlignment="1">
      <alignment horizontal="center" vertical="center" wrapText="1"/>
    </xf>
    <xf numFmtId="10" fontId="208" fillId="0" borderId="2" xfId="40" quotePrefix="1" applyNumberFormat="1" applyFont="1" applyFill="1" applyBorder="1" applyAlignment="1">
      <alignment horizontal="center" vertical="center" wrapText="1"/>
    </xf>
    <xf numFmtId="181" fontId="115" fillId="0" borderId="2" xfId="4" applyNumberFormat="1" applyFont="1" applyFill="1" applyBorder="1" applyAlignment="1">
      <alignment horizontal="center" vertical="center"/>
    </xf>
    <xf numFmtId="10" fontId="208" fillId="0" borderId="2" xfId="40" quotePrefix="1" applyNumberFormat="1" applyFont="1" applyFill="1" applyBorder="1" applyAlignment="1">
      <alignment horizontal="center" vertical="center"/>
    </xf>
    <xf numFmtId="181" fontId="208" fillId="0" borderId="2" xfId="4" quotePrefix="1" applyNumberFormat="1" applyFont="1" applyFill="1" applyBorder="1" applyAlignment="1">
      <alignment horizontal="center" vertical="center"/>
    </xf>
    <xf numFmtId="3" fontId="115" fillId="0" borderId="2" xfId="0" applyNumberFormat="1" applyFont="1" applyBorder="1" applyAlignment="1">
      <alignment horizontal="center" vertical="center"/>
    </xf>
    <xf numFmtId="10" fontId="115" fillId="0" borderId="2" xfId="40" applyNumberFormat="1" applyFont="1" applyBorder="1" applyAlignment="1">
      <alignment horizontal="center" vertical="center"/>
    </xf>
    <xf numFmtId="170" fontId="115" fillId="0" borderId="2" xfId="4" applyNumberFormat="1" applyFont="1" applyFill="1" applyBorder="1" applyAlignment="1">
      <alignment horizontal="center" vertical="center"/>
    </xf>
    <xf numFmtId="2" fontId="115" fillId="0" borderId="2" xfId="40" applyNumberFormat="1" applyFont="1" applyFill="1" applyBorder="1" applyAlignment="1">
      <alignment horizontal="center" vertical="center"/>
    </xf>
    <xf numFmtId="3" fontId="115" fillId="0" borderId="3" xfId="0" applyNumberFormat="1" applyFont="1" applyBorder="1" applyAlignment="1">
      <alignment horizontal="center" vertical="center"/>
    </xf>
    <xf numFmtId="181" fontId="115" fillId="0" borderId="3" xfId="4" applyNumberFormat="1" applyFont="1" applyFill="1" applyBorder="1" applyAlignment="1">
      <alignment horizontal="center" vertical="center"/>
    </xf>
    <xf numFmtId="3" fontId="134" fillId="0" borderId="2" xfId="0" applyNumberFormat="1" applyFont="1" applyBorder="1" applyAlignment="1">
      <alignment horizontal="center" vertical="center"/>
    </xf>
    <xf numFmtId="3" fontId="115" fillId="0" borderId="2" xfId="0" quotePrefix="1" applyNumberFormat="1" applyFont="1" applyBorder="1" applyAlignment="1">
      <alignment horizontal="center" vertical="center" wrapText="1"/>
    </xf>
    <xf numFmtId="3" fontId="208" fillId="0" borderId="2" xfId="0" applyNumberFormat="1" applyFont="1" applyBorder="1" applyAlignment="1">
      <alignment horizontal="center" vertical="center"/>
    </xf>
    <xf numFmtId="0" fontId="6" fillId="3" borderId="29" xfId="0" applyFont="1" applyFill="1" applyBorder="1"/>
    <xf numFmtId="2" fontId="118" fillId="0" borderId="0" xfId="72" applyNumberFormat="1" applyFont="1" applyFill="1"/>
    <xf numFmtId="0" fontId="243" fillId="0" borderId="42" xfId="69" applyFont="1" applyBorder="1" applyAlignment="1">
      <alignment horizontal="left" vertical="center" wrapText="1"/>
    </xf>
    <xf numFmtId="181" fontId="241" fillId="0" borderId="45" xfId="94" applyNumberFormat="1" applyFont="1" applyFill="1" applyBorder="1" applyAlignment="1" applyProtection="1">
      <alignment horizontal="center" vertical="center" wrapText="1"/>
    </xf>
    <xf numFmtId="181" fontId="241" fillId="0" borderId="46" xfId="94" applyNumberFormat="1" applyFont="1" applyFill="1" applyBorder="1" applyAlignment="1" applyProtection="1">
      <alignment horizontal="center" vertical="center" wrapText="1"/>
    </xf>
    <xf numFmtId="0" fontId="222" fillId="3" borderId="163" xfId="0" applyFont="1" applyFill="1" applyBorder="1" applyAlignment="1">
      <alignment vertical="center"/>
    </xf>
    <xf numFmtId="1" fontId="24" fillId="0" borderId="3" xfId="28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vertical="center"/>
    </xf>
    <xf numFmtId="166" fontId="5" fillId="0" borderId="164" xfId="0" applyNumberFormat="1" applyFont="1" applyBorder="1" applyAlignment="1">
      <alignment horizontal="center" vertical="center"/>
    </xf>
    <xf numFmtId="49" fontId="21" fillId="0" borderId="3" xfId="28" applyNumberFormat="1" applyFont="1" applyBorder="1" applyAlignment="1">
      <alignment horizontal="center" vertical="center"/>
    </xf>
    <xf numFmtId="166" fontId="31" fillId="0" borderId="3" xfId="28" applyNumberFormat="1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166" fontId="45" fillId="0" borderId="3" xfId="0" applyNumberFormat="1" applyFont="1" applyBorder="1" applyAlignment="1">
      <alignment horizontal="center" vertical="center"/>
    </xf>
    <xf numFmtId="178" fontId="99" fillId="0" borderId="0" xfId="40" applyNumberFormat="1" applyFont="1" applyAlignment="1">
      <alignment vertical="center"/>
    </xf>
    <xf numFmtId="9" fontId="99" fillId="0" borderId="0" xfId="40" applyFont="1" applyAlignment="1">
      <alignment vertical="center"/>
    </xf>
    <xf numFmtId="3" fontId="17" fillId="0" borderId="5" xfId="0" applyNumberFormat="1" applyFont="1" applyBorder="1" applyAlignment="1">
      <alignment vertical="center"/>
    </xf>
    <xf numFmtId="3" fontId="17" fillId="0" borderId="4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173" fontId="18" fillId="0" borderId="0" xfId="0" applyNumberFormat="1" applyFont="1" applyAlignment="1">
      <alignment vertical="center"/>
    </xf>
    <xf numFmtId="173" fontId="4" fillId="2" borderId="1" xfId="38" applyNumberFormat="1" applyFont="1" applyFill="1" applyBorder="1" applyAlignment="1">
      <alignment horizontal="center"/>
    </xf>
    <xf numFmtId="173" fontId="4" fillId="0" borderId="2" xfId="38" applyNumberFormat="1" applyFont="1" applyBorder="1" applyAlignment="1">
      <alignment horizontal="center"/>
    </xf>
    <xf numFmtId="173" fontId="4" fillId="2" borderId="2" xfId="38" applyNumberFormat="1" applyFont="1" applyFill="1" applyBorder="1" applyAlignment="1">
      <alignment horizontal="center"/>
    </xf>
    <xf numFmtId="173" fontId="4" fillId="2" borderId="2" xfId="38" applyNumberFormat="1" applyFont="1" applyFill="1" applyBorder="1"/>
    <xf numFmtId="173" fontId="4" fillId="0" borderId="5" xfId="38" applyNumberFormat="1" applyFont="1" applyBorder="1"/>
    <xf numFmtId="173" fontId="4" fillId="2" borderId="5" xfId="38" applyNumberFormat="1" applyFont="1" applyFill="1" applyBorder="1"/>
    <xf numFmtId="173" fontId="4" fillId="6" borderId="5" xfId="38" applyNumberFormat="1" applyFont="1" applyFill="1" applyBorder="1"/>
    <xf numFmtId="173" fontId="5" fillId="0" borderId="1" xfId="38" applyNumberFormat="1" applyFont="1" applyBorder="1" applyAlignment="1">
      <alignment horizontal="center"/>
    </xf>
    <xf numFmtId="173" fontId="6" fillId="0" borderId="2" xfId="38" applyNumberFormat="1" applyFont="1" applyBorder="1" applyAlignment="1">
      <alignment horizontal="center"/>
    </xf>
    <xf numFmtId="173" fontId="6" fillId="0" borderId="2" xfId="38" applyNumberFormat="1" applyFont="1" applyBorder="1" applyAlignment="1">
      <alignment horizontal="right"/>
    </xf>
    <xf numFmtId="173" fontId="6" fillId="0" borderId="3" xfId="38" applyNumberFormat="1" applyFont="1" applyBorder="1" applyAlignment="1">
      <alignment horizontal="center"/>
    </xf>
    <xf numFmtId="4" fontId="6" fillId="0" borderId="2" xfId="38" applyNumberFormat="1" applyFont="1" applyBorder="1" applyAlignment="1">
      <alignment horizontal="center"/>
    </xf>
    <xf numFmtId="4" fontId="6" fillId="0" borderId="3" xfId="38" applyNumberFormat="1" applyFont="1" applyBorder="1" applyAlignment="1">
      <alignment horizontal="center"/>
    </xf>
    <xf numFmtId="204" fontId="9" fillId="0" borderId="0" xfId="28" applyNumberFormat="1" applyFont="1" applyAlignment="1">
      <alignment vertical="center"/>
    </xf>
    <xf numFmtId="205" fontId="9" fillId="0" borderId="0" xfId="28" applyNumberFormat="1" applyFont="1" applyAlignment="1">
      <alignment vertical="center"/>
    </xf>
    <xf numFmtId="49" fontId="17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88" fontId="28" fillId="0" borderId="0" xfId="0" applyNumberFormat="1" applyFont="1" applyAlignment="1">
      <alignment vertical="center"/>
    </xf>
    <xf numFmtId="0" fontId="354" fillId="0" borderId="0" xfId="0" applyFont="1" applyAlignment="1">
      <alignment vertical="center"/>
    </xf>
    <xf numFmtId="0" fontId="353" fillId="9" borderId="6" xfId="1" applyFont="1" applyFill="1" applyBorder="1" applyAlignment="1">
      <alignment horizontal="center" vertical="center" textRotation="90" wrapText="1"/>
    </xf>
    <xf numFmtId="0" fontId="355" fillId="9" borderId="6" xfId="1" applyFont="1" applyFill="1" applyBorder="1" applyAlignment="1">
      <alignment horizontal="center" vertical="center" textRotation="90"/>
    </xf>
    <xf numFmtId="0" fontId="355" fillId="9" borderId="6" xfId="1" applyFont="1" applyFill="1" applyBorder="1" applyAlignment="1">
      <alignment horizontal="center" vertical="center" textRotation="90" wrapText="1"/>
    </xf>
    <xf numFmtId="1" fontId="51" fillId="0" borderId="1" xfId="0" applyNumberFormat="1" applyFont="1" applyBorder="1" applyAlignment="1">
      <alignment horizontal="center" vertical="center"/>
    </xf>
    <xf numFmtId="166" fontId="43" fillId="0" borderId="1" xfId="0" applyNumberFormat="1" applyFont="1" applyBorder="1" applyAlignment="1">
      <alignment horizontal="center" vertical="center"/>
    </xf>
    <xf numFmtId="166" fontId="46" fillId="0" borderId="2" xfId="0" applyNumberFormat="1" applyFont="1" applyBorder="1" applyAlignment="1">
      <alignment horizontal="center" vertical="center"/>
    </xf>
    <xf numFmtId="0" fontId="45" fillId="4" borderId="0" xfId="0" applyFont="1" applyFill="1" applyAlignment="1">
      <alignment vertical="center"/>
    </xf>
    <xf numFmtId="173" fontId="18" fillId="0" borderId="3" xfId="0" applyNumberFormat="1" applyFont="1" applyBorder="1" applyAlignment="1">
      <alignment vertical="center"/>
    </xf>
    <xf numFmtId="197" fontId="9" fillId="0" borderId="0" xfId="28" applyNumberFormat="1" applyFont="1" applyAlignment="1">
      <alignment vertical="center"/>
    </xf>
    <xf numFmtId="167" fontId="4" fillId="0" borderId="0" xfId="0" applyNumberFormat="1" applyFont="1" applyAlignment="1">
      <alignment horizontal="center" vertical="center"/>
    </xf>
    <xf numFmtId="166" fontId="4" fillId="4" borderId="0" xfId="69" applyNumberFormat="1" applyFont="1" applyFill="1" applyAlignment="1">
      <alignment vertical="center"/>
    </xf>
    <xf numFmtId="2" fontId="36" fillId="3" borderId="27" xfId="0" applyNumberFormat="1" applyFont="1" applyFill="1" applyBorder="1" applyAlignment="1">
      <alignment horizontal="center"/>
    </xf>
    <xf numFmtId="166" fontId="22" fillId="3" borderId="3" xfId="0" applyNumberFormat="1" applyFont="1" applyFill="1" applyBorder="1" applyAlignment="1">
      <alignment horizontal="center" vertical="center"/>
    </xf>
    <xf numFmtId="1" fontId="5" fillId="0" borderId="2" xfId="38" applyNumberFormat="1" applyFont="1" applyBorder="1" applyAlignment="1">
      <alignment horizontal="center" vertical="center"/>
    </xf>
    <xf numFmtId="3" fontId="135" fillId="0" borderId="67" xfId="4" applyNumberFormat="1" applyFont="1" applyBorder="1" applyAlignment="1">
      <alignment horizontal="center" wrapText="1"/>
    </xf>
    <xf numFmtId="3" fontId="135" fillId="0" borderId="163" xfId="4" applyNumberFormat="1" applyFont="1" applyBorder="1" applyAlignment="1">
      <alignment horizontal="center" wrapText="1"/>
    </xf>
    <xf numFmtId="3" fontId="135" fillId="0" borderId="5" xfId="4" applyNumberFormat="1" applyFont="1" applyBorder="1" applyAlignment="1">
      <alignment horizontal="center" wrapText="1"/>
    </xf>
    <xf numFmtId="3" fontId="135" fillId="0" borderId="49" xfId="4" applyNumberFormat="1" applyFont="1" applyBorder="1" applyAlignment="1">
      <alignment horizontal="center" wrapText="1"/>
    </xf>
    <xf numFmtId="3" fontId="135" fillId="0" borderId="0" xfId="4" applyNumberFormat="1" applyFont="1" applyAlignment="1">
      <alignment horizontal="center" wrapText="1"/>
    </xf>
    <xf numFmtId="3" fontId="135" fillId="0" borderId="4" xfId="4" applyNumberFormat="1" applyFont="1" applyBorder="1" applyAlignment="1">
      <alignment horizontal="center" wrapText="1"/>
    </xf>
    <xf numFmtId="3" fontId="134" fillId="3" borderId="18" xfId="4" applyNumberFormat="1" applyFont="1" applyFill="1" applyBorder="1" applyAlignment="1">
      <alignment horizontal="center" wrapText="1"/>
    </xf>
    <xf numFmtId="3" fontId="134" fillId="3" borderId="19" xfId="4" applyNumberFormat="1" applyFont="1" applyFill="1" applyBorder="1" applyAlignment="1">
      <alignment horizontal="center" wrapText="1"/>
    </xf>
    <xf numFmtId="3" fontId="134" fillId="3" borderId="17" xfId="4" applyNumberFormat="1" applyFont="1" applyFill="1" applyBorder="1" applyAlignment="1">
      <alignment horizontal="center" wrapText="1"/>
    </xf>
    <xf numFmtId="49" fontId="7" fillId="0" borderId="0" xfId="0" applyNumberFormat="1" applyFont="1" applyAlignment="1">
      <alignment horizontal="center" vertical="center"/>
    </xf>
    <xf numFmtId="14" fontId="244" fillId="9" borderId="45" xfId="69" applyNumberFormat="1" applyFont="1" applyFill="1" applyBorder="1" applyAlignment="1">
      <alignment horizontal="center" vertical="center"/>
    </xf>
    <xf numFmtId="206" fontId="135" fillId="13" borderId="57" xfId="98" applyNumberFormat="1" applyFont="1" applyFill="1" applyBorder="1" applyAlignment="1">
      <alignment horizontal="right" vertical="center" wrapText="1"/>
    </xf>
    <xf numFmtId="2" fontId="4" fillId="3" borderId="0" xfId="0" applyNumberFormat="1" applyFont="1" applyFill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178" fontId="18" fillId="0" borderId="0" xfId="40" applyNumberFormat="1" applyFont="1" applyAlignment="1">
      <alignment vertical="center"/>
    </xf>
    <xf numFmtId="178" fontId="4" fillId="0" borderId="0" xfId="40" applyNumberFormat="1" applyFont="1" applyAlignment="1">
      <alignment vertical="center"/>
    </xf>
    <xf numFmtId="205" fontId="22" fillId="0" borderId="0" xfId="69" applyNumberFormat="1" applyFont="1" applyAlignment="1">
      <alignment vertical="center"/>
    </xf>
    <xf numFmtId="3" fontId="18" fillId="0" borderId="3" xfId="0" applyNumberFormat="1" applyFont="1" applyBorder="1" applyAlignment="1">
      <alignment vertical="center"/>
    </xf>
    <xf numFmtId="195" fontId="28" fillId="0" borderId="0" xfId="0" applyNumberFormat="1" applyFont="1" applyAlignment="1">
      <alignment vertical="center"/>
    </xf>
    <xf numFmtId="204" fontId="28" fillId="0" borderId="0" xfId="0" applyNumberFormat="1" applyFont="1" applyAlignment="1">
      <alignment vertical="center"/>
    </xf>
    <xf numFmtId="49" fontId="5" fillId="0" borderId="3" xfId="26" applyNumberFormat="1" applyFont="1" applyBorder="1" applyAlignment="1">
      <alignment horizontal="center" vertical="center"/>
    </xf>
    <xf numFmtId="207" fontId="118" fillId="0" borderId="0" xfId="69" applyNumberFormat="1" applyFont="1"/>
    <xf numFmtId="49" fontId="17" fillId="0" borderId="4" xfId="0" applyNumberFormat="1" applyFont="1" applyBorder="1" applyAlignment="1">
      <alignment horizontal="center" vertical="center"/>
    </xf>
    <xf numFmtId="173" fontId="18" fillId="0" borderId="4" xfId="0" applyNumberFormat="1" applyFont="1" applyBorder="1" applyAlignment="1">
      <alignment vertical="center"/>
    </xf>
    <xf numFmtId="49" fontId="17" fillId="0" borderId="19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vertical="center"/>
    </xf>
    <xf numFmtId="173" fontId="18" fillId="0" borderId="19" xfId="0" applyNumberFormat="1" applyFont="1" applyBorder="1" applyAlignment="1">
      <alignment vertical="center"/>
    </xf>
    <xf numFmtId="173" fontId="5" fillId="0" borderId="4" xfId="0" applyNumberFormat="1" applyFont="1" applyBorder="1" applyAlignment="1">
      <alignment vertical="center"/>
    </xf>
    <xf numFmtId="0" fontId="88" fillId="9" borderId="5" xfId="69" applyFont="1" applyFill="1" applyBorder="1" applyAlignment="1">
      <alignment horizontal="center" vertical="center" wrapText="1"/>
    </xf>
    <xf numFmtId="168" fontId="98" fillId="0" borderId="0" xfId="0" applyNumberFormat="1" applyFont="1" applyAlignment="1">
      <alignment vertical="center"/>
    </xf>
    <xf numFmtId="1" fontId="99" fillId="3" borderId="2" xfId="0" applyNumberFormat="1" applyFont="1" applyFill="1" applyBorder="1" applyAlignment="1">
      <alignment horizontal="center" vertical="center"/>
    </xf>
    <xf numFmtId="1" fontId="108" fillId="3" borderId="2" xfId="0" applyNumberFormat="1" applyFont="1" applyFill="1" applyBorder="1" applyAlignment="1">
      <alignment horizontal="center" vertical="center"/>
    </xf>
    <xf numFmtId="0" fontId="279" fillId="0" borderId="0" xfId="22" applyFont="1" applyAlignment="1">
      <alignment horizontal="center" vertical="center"/>
    </xf>
    <xf numFmtId="0" fontId="158" fillId="10" borderId="0" xfId="22" applyFont="1" applyFill="1" applyAlignment="1">
      <alignment horizontal="center" vertical="center"/>
    </xf>
    <xf numFmtId="0" fontId="113" fillId="11" borderId="18" xfId="22" applyFont="1" applyFill="1" applyBorder="1" applyAlignment="1">
      <alignment horizontal="right" vertical="center"/>
    </xf>
    <xf numFmtId="0" fontId="276" fillId="0" borderId="0" xfId="22" applyFont="1" applyAlignment="1">
      <alignment horizontal="left" vertical="center"/>
    </xf>
    <xf numFmtId="0" fontId="276" fillId="3" borderId="0" xfId="22" applyFont="1" applyFill="1" applyAlignment="1">
      <alignment horizontal="left" vertical="center"/>
    </xf>
    <xf numFmtId="0" fontId="6" fillId="9" borderId="9" xfId="22" applyFont="1" applyFill="1" applyBorder="1" applyAlignment="1">
      <alignment horizontal="center" vertical="center" wrapText="1"/>
    </xf>
    <xf numFmtId="0" fontId="185" fillId="9" borderId="11" xfId="22" applyFont="1" applyFill="1" applyBorder="1"/>
    <xf numFmtId="0" fontId="6" fillId="9" borderId="10" xfId="22" applyFont="1" applyFill="1" applyBorder="1" applyAlignment="1">
      <alignment horizontal="center" vertical="center" wrapText="1"/>
    </xf>
    <xf numFmtId="0" fontId="6" fillId="9" borderId="1" xfId="22" applyFont="1" applyFill="1" applyBorder="1" applyAlignment="1">
      <alignment horizontal="center" vertical="center" wrapText="1"/>
    </xf>
    <xf numFmtId="0" fontId="185" fillId="9" borderId="3" xfId="22" applyFont="1" applyFill="1" applyBorder="1"/>
    <xf numFmtId="0" fontId="6" fillId="9" borderId="3" xfId="22" applyFont="1" applyFill="1" applyBorder="1" applyAlignment="1">
      <alignment horizontal="center" vertical="center" wrapText="1"/>
    </xf>
    <xf numFmtId="0" fontId="6" fillId="9" borderId="1" xfId="22" applyFont="1" applyFill="1" applyBorder="1" applyAlignment="1">
      <alignment horizontal="center" vertical="center"/>
    </xf>
    <xf numFmtId="0" fontId="6" fillId="9" borderId="2" xfId="22" applyFont="1" applyFill="1" applyBorder="1" applyAlignment="1">
      <alignment horizontal="center" vertical="center"/>
    </xf>
    <xf numFmtId="0" fontId="6" fillId="9" borderId="3" xfId="22" applyFont="1" applyFill="1" applyBorder="1" applyAlignment="1">
      <alignment horizontal="center" vertical="center"/>
    </xf>
    <xf numFmtId="0" fontId="6" fillId="9" borderId="9" xfId="22" applyFont="1" applyFill="1" applyBorder="1" applyAlignment="1">
      <alignment horizontal="center" vertical="center"/>
    </xf>
    <xf numFmtId="0" fontId="6" fillId="9" borderId="11" xfId="22" applyFont="1" applyFill="1" applyBorder="1" applyAlignment="1">
      <alignment horizontal="center" vertical="center"/>
    </xf>
    <xf numFmtId="0" fontId="185" fillId="9" borderId="2" xfId="22" applyFont="1" applyFill="1" applyBorder="1"/>
    <xf numFmtId="0" fontId="6" fillId="9" borderId="11" xfId="22" applyFont="1" applyFill="1" applyBorder="1" applyAlignment="1">
      <alignment horizontal="center" vertical="center" wrapText="1"/>
    </xf>
    <xf numFmtId="0" fontId="10" fillId="9" borderId="9" xfId="22" applyFont="1" applyFill="1" applyBorder="1" applyAlignment="1">
      <alignment horizontal="center" vertical="center" wrapText="1"/>
    </xf>
    <xf numFmtId="0" fontId="10" fillId="9" borderId="10" xfId="22" applyFont="1" applyFill="1" applyBorder="1" applyAlignment="1">
      <alignment horizontal="center" vertical="center" wrapText="1"/>
    </xf>
    <xf numFmtId="0" fontId="10" fillId="9" borderId="1" xfId="22" applyFont="1" applyFill="1" applyBorder="1" applyAlignment="1">
      <alignment horizontal="center" vertical="center" wrapText="1"/>
    </xf>
    <xf numFmtId="0" fontId="10" fillId="9" borderId="3" xfId="22" applyFont="1" applyFill="1" applyBorder="1" applyAlignment="1">
      <alignment horizontal="center" vertical="center" wrapText="1"/>
    </xf>
    <xf numFmtId="0" fontId="149" fillId="0" borderId="0" xfId="22" applyFont="1" applyAlignment="1">
      <alignment horizontal="center" vertical="center"/>
    </xf>
    <xf numFmtId="0" fontId="160" fillId="0" borderId="0" xfId="22" applyFont="1" applyAlignment="1">
      <alignment horizontal="center"/>
    </xf>
    <xf numFmtId="0" fontId="161" fillId="0" borderId="0" xfId="22" applyFont="1" applyAlignment="1">
      <alignment horizontal="center" vertical="top"/>
    </xf>
    <xf numFmtId="0" fontId="148" fillId="11" borderId="18" xfId="22" applyFont="1" applyFill="1" applyBorder="1" applyAlignment="1">
      <alignment horizontal="center" vertical="center"/>
    </xf>
    <xf numFmtId="0" fontId="10" fillId="9" borderId="1" xfId="22" applyFont="1" applyFill="1" applyBorder="1" applyAlignment="1">
      <alignment horizontal="center" vertical="center"/>
    </xf>
    <xf numFmtId="0" fontId="10" fillId="9" borderId="2" xfId="22" applyFont="1" applyFill="1" applyBorder="1" applyAlignment="1">
      <alignment horizontal="center" vertical="center"/>
    </xf>
    <xf numFmtId="0" fontId="10" fillId="9" borderId="3" xfId="22" applyFont="1" applyFill="1" applyBorder="1" applyAlignment="1">
      <alignment horizontal="center" vertical="center"/>
    </xf>
    <xf numFmtId="0" fontId="10" fillId="9" borderId="9" xfId="22" applyFont="1" applyFill="1" applyBorder="1" applyAlignment="1">
      <alignment horizontal="center" vertical="center" wrapText="1" shrinkToFit="1"/>
    </xf>
    <xf numFmtId="0" fontId="216" fillId="0" borderId="0" xfId="36" applyFont="1" applyAlignment="1">
      <alignment horizontal="left" vertical="center" wrapText="1"/>
    </xf>
    <xf numFmtId="0" fontId="216" fillId="0" borderId="0" xfId="36" applyFont="1" applyAlignment="1">
      <alignment horizontal="left" vertical="center"/>
    </xf>
    <xf numFmtId="0" fontId="21" fillId="7" borderId="70" xfId="36" applyFont="1" applyFill="1" applyBorder="1" applyAlignment="1">
      <alignment horizontal="left" vertical="center" indent="2"/>
    </xf>
    <xf numFmtId="0" fontId="21" fillId="7" borderId="69" xfId="36" applyFont="1" applyFill="1" applyBorder="1" applyAlignment="1">
      <alignment horizontal="left" vertical="center" indent="2"/>
    </xf>
    <xf numFmtId="0" fontId="21" fillId="7" borderId="68" xfId="36" applyFont="1" applyFill="1" applyBorder="1" applyAlignment="1">
      <alignment horizontal="left" vertical="center" indent="2"/>
    </xf>
    <xf numFmtId="0" fontId="275" fillId="0" borderId="0" xfId="36" applyFont="1" applyAlignment="1">
      <alignment horizontal="left" vertical="center" wrapText="1"/>
    </xf>
    <xf numFmtId="0" fontId="275" fillId="0" borderId="0" xfId="36" applyFont="1" applyAlignment="1">
      <alignment horizontal="left" vertical="center"/>
    </xf>
    <xf numFmtId="0" fontId="13" fillId="0" borderId="0" xfId="36" applyFont="1" applyAlignment="1">
      <alignment horizontal="center" vertical="center"/>
    </xf>
    <xf numFmtId="0" fontId="180" fillId="0" borderId="0" xfId="36" applyFont="1" applyAlignment="1">
      <alignment horizontal="center"/>
    </xf>
    <xf numFmtId="0" fontId="181" fillId="0" borderId="0" xfId="36" applyFont="1" applyAlignment="1">
      <alignment horizontal="center" vertical="top"/>
    </xf>
    <xf numFmtId="0" fontId="166" fillId="0" borderId="0" xfId="36" applyFont="1" applyAlignment="1">
      <alignment horizontal="center" vertical="top"/>
    </xf>
    <xf numFmtId="0" fontId="16" fillId="8" borderId="76" xfId="36" applyFont="1" applyFill="1" applyBorder="1" applyAlignment="1">
      <alignment horizontal="center" vertical="center"/>
    </xf>
    <xf numFmtId="0" fontId="16" fillId="8" borderId="151" xfId="36" applyFont="1" applyFill="1" applyBorder="1" applyAlignment="1">
      <alignment horizontal="center" vertical="center"/>
    </xf>
    <xf numFmtId="0" fontId="16" fillId="8" borderId="73" xfId="36" applyFont="1" applyFill="1" applyBorder="1" applyAlignment="1">
      <alignment horizontal="center" vertical="center"/>
    </xf>
    <xf numFmtId="49" fontId="7" fillId="8" borderId="152" xfId="22" applyNumberFormat="1" applyFont="1" applyFill="1" applyBorder="1" applyAlignment="1">
      <alignment horizontal="center" vertical="center" wrapText="1"/>
    </xf>
    <xf numFmtId="49" fontId="7" fillId="8" borderId="69" xfId="22" applyNumberFormat="1" applyFont="1" applyFill="1" applyBorder="1" applyAlignment="1">
      <alignment horizontal="center" vertical="center" wrapText="1"/>
    </xf>
    <xf numFmtId="49" fontId="7" fillId="8" borderId="153" xfId="22" applyNumberFormat="1" applyFont="1" applyFill="1" applyBorder="1" applyAlignment="1">
      <alignment horizontal="center" vertical="center" wrapText="1"/>
    </xf>
    <xf numFmtId="0" fontId="218" fillId="0" borderId="0" xfId="36" applyFont="1" applyAlignment="1">
      <alignment horizontal="left" vertical="center"/>
    </xf>
    <xf numFmtId="0" fontId="273" fillId="0" borderId="12" xfId="36" applyFont="1" applyBorder="1" applyAlignment="1">
      <alignment horizontal="left" vertical="center" wrapText="1"/>
    </xf>
    <xf numFmtId="0" fontId="273" fillId="0" borderId="12" xfId="36" applyFont="1" applyBorder="1" applyAlignment="1">
      <alignment horizontal="left" vertical="center"/>
    </xf>
    <xf numFmtId="0" fontId="273" fillId="0" borderId="8" xfId="36" applyFont="1" applyBorder="1" applyAlignment="1">
      <alignment horizontal="left" vertical="center"/>
    </xf>
    <xf numFmtId="0" fontId="212" fillId="0" borderId="0" xfId="36" applyFont="1" applyAlignment="1">
      <alignment horizontal="left" vertical="center"/>
    </xf>
    <xf numFmtId="0" fontId="9" fillId="0" borderId="0" xfId="36" applyFont="1" applyAlignment="1">
      <alignment horizontal="center" vertical="center"/>
    </xf>
    <xf numFmtId="0" fontId="157" fillId="0" borderId="0" xfId="36" applyFont="1" applyAlignment="1">
      <alignment horizontal="center"/>
    </xf>
    <xf numFmtId="0" fontId="159" fillId="0" borderId="0" xfId="36" applyFont="1" applyAlignment="1">
      <alignment horizontal="center" vertical="top"/>
    </xf>
    <xf numFmtId="0" fontId="5" fillId="9" borderId="1" xfId="36" applyFont="1" applyFill="1" applyBorder="1" applyAlignment="1">
      <alignment horizontal="center" vertical="center"/>
    </xf>
    <xf numFmtId="0" fontId="5" fillId="9" borderId="2" xfId="36" applyFont="1" applyFill="1" applyBorder="1" applyAlignment="1">
      <alignment horizontal="center" vertical="center"/>
    </xf>
    <xf numFmtId="0" fontId="5" fillId="9" borderId="3" xfId="36" applyFont="1" applyFill="1" applyBorder="1" applyAlignment="1">
      <alignment horizontal="center" vertical="center"/>
    </xf>
    <xf numFmtId="0" fontId="5" fillId="9" borderId="9" xfId="36" applyFont="1" applyFill="1" applyBorder="1" applyAlignment="1">
      <alignment horizontal="center" vertical="center"/>
    </xf>
    <xf numFmtId="0" fontId="5" fillId="9" borderId="10" xfId="36" applyFont="1" applyFill="1" applyBorder="1" applyAlignment="1">
      <alignment horizontal="center" vertical="center"/>
    </xf>
    <xf numFmtId="0" fontId="5" fillId="9" borderId="11" xfId="36" applyFont="1" applyFill="1" applyBorder="1" applyAlignment="1">
      <alignment horizontal="center" vertical="center"/>
    </xf>
    <xf numFmtId="0" fontId="4" fillId="9" borderId="9" xfId="36" applyFont="1" applyFill="1" applyBorder="1" applyAlignment="1">
      <alignment horizontal="center" vertical="center"/>
    </xf>
    <xf numFmtId="0" fontId="4" fillId="9" borderId="10" xfId="36" applyFont="1" applyFill="1" applyBorder="1" applyAlignment="1">
      <alignment horizontal="center" vertical="center"/>
    </xf>
    <xf numFmtId="0" fontId="4" fillId="9" borderId="11" xfId="36" applyFont="1" applyFill="1" applyBorder="1" applyAlignment="1">
      <alignment horizontal="center" vertical="center"/>
    </xf>
    <xf numFmtId="0" fontId="4" fillId="9" borderId="1" xfId="36" applyFont="1" applyFill="1" applyBorder="1" applyAlignment="1">
      <alignment horizontal="center" vertical="center"/>
    </xf>
    <xf numFmtId="0" fontId="4" fillId="9" borderId="2" xfId="36" applyFont="1" applyFill="1" applyBorder="1" applyAlignment="1">
      <alignment horizontal="center" vertical="center"/>
    </xf>
    <xf numFmtId="0" fontId="4" fillId="9" borderId="3" xfId="36" applyFont="1" applyFill="1" applyBorder="1" applyAlignment="1">
      <alignment horizontal="center" vertical="center"/>
    </xf>
    <xf numFmtId="3" fontId="222" fillId="0" borderId="0" xfId="0" applyNumberFormat="1" applyFont="1" applyAlignment="1">
      <alignment horizontal="left" vertical="center"/>
    </xf>
    <xf numFmtId="3" fontId="205" fillId="0" borderId="0" xfId="0" applyNumberFormat="1" applyFont="1" applyAlignment="1">
      <alignment horizontal="center" vertical="center"/>
    </xf>
    <xf numFmtId="3" fontId="195" fillId="0" borderId="0" xfId="0" applyNumberFormat="1" applyFont="1" applyAlignment="1">
      <alignment horizontal="center" vertical="top"/>
    </xf>
    <xf numFmtId="3" fontId="4" fillId="11" borderId="18" xfId="0" applyNumberFormat="1" applyFont="1" applyFill="1" applyBorder="1" applyAlignment="1">
      <alignment horizontal="center" vertical="center"/>
    </xf>
    <xf numFmtId="3" fontId="4" fillId="9" borderId="9" xfId="0" applyNumberFormat="1" applyFont="1" applyFill="1" applyBorder="1" applyAlignment="1">
      <alignment horizontal="center" vertical="center"/>
    </xf>
    <xf numFmtId="3" fontId="4" fillId="9" borderId="10" xfId="0" applyNumberFormat="1" applyFont="1" applyFill="1" applyBorder="1" applyAlignment="1">
      <alignment horizontal="center" vertical="center"/>
    </xf>
    <xf numFmtId="3" fontId="4" fillId="9" borderId="11" xfId="0" applyNumberFormat="1" applyFont="1" applyFill="1" applyBorder="1" applyAlignment="1">
      <alignment horizontal="center" vertical="center"/>
    </xf>
    <xf numFmtId="3" fontId="4" fillId="9" borderId="164" xfId="0" applyNumberFormat="1" applyFont="1" applyFill="1" applyBorder="1" applyAlignment="1">
      <alignment horizontal="center" vertical="center"/>
    </xf>
    <xf numFmtId="3" fontId="4" fillId="9" borderId="4" xfId="0" applyNumberFormat="1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center" vertical="center" wrapText="1"/>
    </xf>
    <xf numFmtId="3" fontId="4" fillId="9" borderId="2" xfId="0" applyNumberFormat="1" applyFont="1" applyFill="1" applyBorder="1" applyAlignment="1">
      <alignment horizontal="center" vertical="center" wrapText="1"/>
    </xf>
    <xf numFmtId="173" fontId="4" fillId="9" borderId="1" xfId="0" applyNumberFormat="1" applyFont="1" applyFill="1" applyBorder="1" applyAlignment="1">
      <alignment horizontal="center" vertical="center" wrapText="1"/>
    </xf>
    <xf numFmtId="173" fontId="4" fillId="9" borderId="2" xfId="0" applyNumberFormat="1" applyFont="1" applyFill="1" applyBorder="1" applyAlignment="1">
      <alignment horizontal="center" vertical="center" wrapText="1"/>
    </xf>
    <xf numFmtId="49" fontId="4" fillId="9" borderId="1" xfId="0" applyNumberFormat="1" applyFont="1" applyFill="1" applyBorder="1" applyAlignment="1">
      <alignment horizontal="center" vertical="center" wrapText="1"/>
    </xf>
    <xf numFmtId="49" fontId="4" fillId="9" borderId="2" xfId="0" applyNumberFormat="1" applyFont="1" applyFill="1" applyBorder="1" applyAlignment="1">
      <alignment horizontal="center" vertical="center" wrapText="1"/>
    </xf>
    <xf numFmtId="3" fontId="4" fillId="9" borderId="1" xfId="0" applyNumberFormat="1" applyFont="1" applyFill="1" applyBorder="1" applyAlignment="1">
      <alignment horizontal="center" vertical="center"/>
    </xf>
    <xf numFmtId="3" fontId="4" fillId="9" borderId="2" xfId="0" applyNumberFormat="1" applyFont="1" applyFill="1" applyBorder="1" applyAlignment="1">
      <alignment horizontal="center" vertical="center"/>
    </xf>
    <xf numFmtId="173" fontId="5" fillId="9" borderId="1" xfId="0" applyNumberFormat="1" applyFont="1" applyFill="1" applyBorder="1" applyAlignment="1">
      <alignment horizontal="center" vertical="center" wrapText="1"/>
    </xf>
    <xf numFmtId="173" fontId="5" fillId="9" borderId="2" xfId="0" applyNumberFormat="1" applyFont="1" applyFill="1" applyBorder="1" applyAlignment="1">
      <alignment horizontal="center" vertical="center" wrapText="1"/>
    </xf>
    <xf numFmtId="173" fontId="5" fillId="9" borderId="3" xfId="0" applyNumberFormat="1" applyFont="1" applyFill="1" applyBorder="1" applyAlignment="1">
      <alignment horizontal="center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49" fontId="5" fillId="9" borderId="2" xfId="0" applyNumberFormat="1" applyFont="1" applyFill="1" applyBorder="1" applyAlignment="1">
      <alignment horizontal="center" vertical="center" wrapText="1"/>
    </xf>
    <xf numFmtId="49" fontId="5" fillId="9" borderId="3" xfId="0" applyNumberFormat="1" applyFont="1" applyFill="1" applyBorder="1" applyAlignment="1">
      <alignment horizontal="center" vertical="center" wrapText="1"/>
    </xf>
    <xf numFmtId="3" fontId="5" fillId="9" borderId="9" xfId="0" applyNumberFormat="1" applyFont="1" applyFill="1" applyBorder="1" applyAlignment="1">
      <alignment horizontal="center" vertical="center"/>
    </xf>
    <xf numFmtId="3" fontId="5" fillId="9" borderId="10" xfId="0" applyNumberFormat="1" applyFont="1" applyFill="1" applyBorder="1" applyAlignment="1">
      <alignment horizontal="center" vertical="center"/>
    </xf>
    <xf numFmtId="3" fontId="5" fillId="9" borderId="11" xfId="0" applyNumberFormat="1" applyFont="1" applyFill="1" applyBorder="1" applyAlignment="1">
      <alignment horizontal="center" vertical="center"/>
    </xf>
    <xf numFmtId="3" fontId="5" fillId="9" borderId="1" xfId="0" applyNumberFormat="1" applyFont="1" applyFill="1" applyBorder="1" applyAlignment="1">
      <alignment horizontal="center" vertical="center"/>
    </xf>
    <xf numFmtId="3" fontId="5" fillId="9" borderId="2" xfId="0" applyNumberFormat="1" applyFont="1" applyFill="1" applyBorder="1" applyAlignment="1">
      <alignment horizontal="center" vertical="center"/>
    </xf>
    <xf numFmtId="3" fontId="5" fillId="9" borderId="3" xfId="0" applyNumberFormat="1" applyFont="1" applyFill="1" applyBorder="1" applyAlignment="1">
      <alignment horizontal="center" vertical="center"/>
    </xf>
    <xf numFmtId="3" fontId="5" fillId="9" borderId="1" xfId="0" applyNumberFormat="1" applyFont="1" applyFill="1" applyBorder="1" applyAlignment="1">
      <alignment horizontal="center" vertical="center" wrapText="1"/>
    </xf>
    <xf numFmtId="3" fontId="5" fillId="9" borderId="2" xfId="0" applyNumberFormat="1" applyFont="1" applyFill="1" applyBorder="1" applyAlignment="1">
      <alignment horizontal="center" vertical="center" wrapText="1"/>
    </xf>
    <xf numFmtId="3" fontId="5" fillId="9" borderId="3" xfId="0" applyNumberFormat="1" applyFont="1" applyFill="1" applyBorder="1" applyAlignment="1">
      <alignment horizontal="center" vertical="center" wrapText="1"/>
    </xf>
    <xf numFmtId="3" fontId="33" fillId="0" borderId="163" xfId="0" applyNumberFormat="1" applyFont="1" applyBorder="1" applyAlignment="1">
      <alignment horizontal="center" vertical="center"/>
    </xf>
    <xf numFmtId="3" fontId="33" fillId="0" borderId="164" xfId="0" applyNumberFormat="1" applyFont="1" applyBorder="1" applyAlignment="1">
      <alignment horizontal="center" vertical="center"/>
    </xf>
    <xf numFmtId="3" fontId="162" fillId="0" borderId="5" xfId="0" applyNumberFormat="1" applyFont="1" applyBorder="1" applyAlignment="1">
      <alignment horizontal="center"/>
    </xf>
    <xf numFmtId="3" fontId="162" fillId="0" borderId="0" xfId="0" applyNumberFormat="1" applyFont="1" applyAlignment="1">
      <alignment horizontal="center"/>
    </xf>
    <xf numFmtId="3" fontId="162" fillId="0" borderId="4" xfId="0" applyNumberFormat="1" applyFont="1" applyBorder="1" applyAlignment="1">
      <alignment horizontal="center"/>
    </xf>
    <xf numFmtId="3" fontId="163" fillId="0" borderId="5" xfId="0" applyNumberFormat="1" applyFont="1" applyBorder="1" applyAlignment="1">
      <alignment horizontal="center" vertical="top"/>
    </xf>
    <xf numFmtId="3" fontId="163" fillId="0" borderId="0" xfId="0" applyNumberFormat="1" applyFont="1" applyAlignment="1">
      <alignment horizontal="center" vertical="top"/>
    </xf>
    <xf numFmtId="3" fontId="163" fillId="0" borderId="4" xfId="0" applyNumberFormat="1" applyFont="1" applyBorder="1" applyAlignment="1">
      <alignment horizontal="center" vertical="top"/>
    </xf>
    <xf numFmtId="49" fontId="4" fillId="11" borderId="17" xfId="0" applyNumberFormat="1" applyFont="1" applyFill="1" applyBorder="1" applyAlignment="1">
      <alignment horizontal="center" vertical="center"/>
    </xf>
    <xf numFmtId="49" fontId="4" fillId="11" borderId="18" xfId="0" applyNumberFormat="1" applyFont="1" applyFill="1" applyBorder="1" applyAlignment="1">
      <alignment horizontal="center" vertical="center"/>
    </xf>
    <xf numFmtId="3" fontId="164" fillId="11" borderId="18" xfId="0" applyNumberFormat="1" applyFont="1" applyFill="1" applyBorder="1" applyAlignment="1">
      <alignment horizontal="right" vertical="center"/>
    </xf>
    <xf numFmtId="3" fontId="164" fillId="11" borderId="19" xfId="0" applyNumberFormat="1" applyFont="1" applyFill="1" applyBorder="1" applyAlignment="1">
      <alignment horizontal="right" vertical="center"/>
    </xf>
    <xf numFmtId="0" fontId="224" fillId="0" borderId="49" xfId="0" applyFont="1" applyBorder="1" applyAlignment="1">
      <alignment horizontal="left" vertical="center" wrapText="1"/>
    </xf>
    <xf numFmtId="0" fontId="224" fillId="0" borderId="49" xfId="0" applyFont="1" applyBorder="1" applyAlignment="1">
      <alignment horizontal="left" vertical="center"/>
    </xf>
    <xf numFmtId="0" fontId="224" fillId="0" borderId="67" xfId="0" applyFont="1" applyBorder="1" applyAlignment="1">
      <alignment horizontal="left" vertical="center"/>
    </xf>
    <xf numFmtId="0" fontId="312" fillId="0" borderId="0" xfId="0" applyFont="1" applyAlignment="1">
      <alignment horizontal="center" vertical="center"/>
    </xf>
    <xf numFmtId="0" fontId="168" fillId="0" borderId="0" xfId="0" applyFont="1" applyAlignment="1">
      <alignment horizontal="center" vertical="top"/>
    </xf>
    <xf numFmtId="0" fontId="17" fillId="9" borderId="1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11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28" fillId="9" borderId="11" xfId="0" applyFont="1" applyFill="1" applyBorder="1" applyAlignment="1">
      <alignment horizontal="center" vertical="center" wrapText="1"/>
    </xf>
    <xf numFmtId="0" fontId="28" fillId="9" borderId="6" xfId="0" applyFont="1" applyFill="1" applyBorder="1" applyAlignment="1">
      <alignment horizontal="center" vertical="center" wrapText="1"/>
    </xf>
    <xf numFmtId="0" fontId="224" fillId="0" borderId="0" xfId="0" applyFont="1" applyAlignment="1">
      <alignment horizontal="left" vertical="center" wrapText="1"/>
    </xf>
    <xf numFmtId="0" fontId="224" fillId="0" borderId="0" xfId="0" applyFont="1" applyAlignment="1">
      <alignment horizontal="left" vertical="center"/>
    </xf>
    <xf numFmtId="0" fontId="180" fillId="0" borderId="0" xfId="0" applyFont="1" applyAlignment="1">
      <alignment horizontal="center" vertical="center"/>
    </xf>
    <xf numFmtId="0" fontId="170" fillId="0" borderId="0" xfId="0" applyFont="1" applyAlignment="1">
      <alignment horizontal="center" vertical="top" wrapText="1"/>
    </xf>
    <xf numFmtId="0" fontId="227" fillId="0" borderId="0" xfId="0" applyFont="1" applyAlignment="1">
      <alignment horizontal="left" vertical="center" wrapText="1"/>
    </xf>
    <xf numFmtId="0" fontId="22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20" fillId="0" borderId="0" xfId="0" applyFont="1" applyAlignment="1">
      <alignment horizontal="left" vertical="center" wrapText="1"/>
    </xf>
    <xf numFmtId="0" fontId="22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57" fillId="0" borderId="0" xfId="0" applyFont="1" applyAlignment="1">
      <alignment horizontal="center" vertical="center"/>
    </xf>
    <xf numFmtId="0" fontId="159" fillId="0" borderId="0" xfId="0" applyFont="1" applyAlignment="1">
      <alignment horizontal="center" vertical="top"/>
    </xf>
    <xf numFmtId="0" fontId="113" fillId="11" borderId="18" xfId="0" applyFont="1" applyFill="1" applyBorder="1" applyAlignment="1">
      <alignment horizontal="right" vertical="center"/>
    </xf>
    <xf numFmtId="0" fontId="165" fillId="0" borderId="0" xfId="0" applyFont="1" applyAlignment="1">
      <alignment horizontal="center" vertical="center"/>
    </xf>
    <xf numFmtId="0" fontId="166" fillId="0" borderId="0" xfId="0" applyFont="1" applyAlignment="1">
      <alignment horizontal="center" vertical="top"/>
    </xf>
    <xf numFmtId="0" fontId="224" fillId="0" borderId="67" xfId="0" applyFont="1" applyBorder="1" applyAlignment="1">
      <alignment horizontal="left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49" fontId="213" fillId="0" borderId="0" xfId="0" applyNumberFormat="1" applyFont="1" applyAlignment="1">
      <alignment horizontal="left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24" fillId="9" borderId="6" xfId="28" applyFont="1" applyFill="1" applyBorder="1" applyAlignment="1">
      <alignment horizontal="center" vertical="center" wrapText="1"/>
    </xf>
    <xf numFmtId="0" fontId="9" fillId="9" borderId="6" xfId="28" applyFont="1" applyFill="1" applyBorder="1" applyAlignment="1">
      <alignment horizontal="center" vertical="center" wrapText="1"/>
    </xf>
    <xf numFmtId="0" fontId="210" fillId="0" borderId="0" xfId="28" applyFont="1" applyAlignment="1">
      <alignment horizontal="center" vertical="center"/>
    </xf>
    <xf numFmtId="0" fontId="195" fillId="0" borderId="0" xfId="28" applyFont="1" applyAlignment="1">
      <alignment horizontal="center" vertical="top"/>
    </xf>
    <xf numFmtId="0" fontId="187" fillId="11" borderId="18" xfId="0" applyFont="1" applyFill="1" applyBorder="1" applyAlignment="1">
      <alignment horizontal="right" vertical="center"/>
    </xf>
    <xf numFmtId="49" fontId="268" fillId="0" borderId="0" xfId="0" applyNumberFormat="1" applyFont="1" applyAlignment="1">
      <alignment horizontal="left" vertical="center" wrapText="1"/>
    </xf>
    <xf numFmtId="0" fontId="9" fillId="9" borderId="6" xfId="28" applyFont="1" applyFill="1" applyBorder="1" applyAlignment="1">
      <alignment vertical="center" wrapText="1"/>
    </xf>
    <xf numFmtId="0" fontId="356" fillId="0" borderId="0" xfId="0" applyFont="1" applyAlignment="1">
      <alignment horizontal="left" vertical="center" wrapText="1" readingOrder="1"/>
    </xf>
    <xf numFmtId="0" fontId="356" fillId="0" borderId="0" xfId="0" applyFont="1" applyAlignment="1">
      <alignment horizontal="left" vertical="center" readingOrder="1"/>
    </xf>
    <xf numFmtId="0" fontId="356" fillId="0" borderId="4" xfId="0" applyFont="1" applyBorder="1" applyAlignment="1">
      <alignment horizontal="left" vertical="center" readingOrder="1"/>
    </xf>
    <xf numFmtId="0" fontId="169" fillId="0" borderId="0" xfId="0" applyFont="1" applyAlignment="1">
      <alignment horizontal="center"/>
    </xf>
    <xf numFmtId="0" fontId="170" fillId="0" borderId="0" xfId="0" applyFont="1" applyAlignment="1">
      <alignment horizontal="center" vertical="top"/>
    </xf>
    <xf numFmtId="0" fontId="18" fillId="9" borderId="2" xfId="0" applyFont="1" applyFill="1" applyBorder="1" applyAlignment="1">
      <alignment horizontal="center" vertical="center" wrapText="1"/>
    </xf>
    <xf numFmtId="0" fontId="356" fillId="0" borderId="4" xfId="0" applyFont="1" applyBorder="1" applyAlignment="1">
      <alignment horizontal="left" vertical="center" wrapText="1" readingOrder="1"/>
    </xf>
    <xf numFmtId="0" fontId="18" fillId="0" borderId="0" xfId="0" applyFont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62" fillId="0" borderId="0" xfId="28" applyFont="1" applyAlignment="1">
      <alignment horizontal="center"/>
    </xf>
    <xf numFmtId="0" fontId="163" fillId="0" borderId="0" xfId="28" applyFont="1" applyAlignment="1">
      <alignment horizontal="center" vertical="top"/>
    </xf>
    <xf numFmtId="0" fontId="230" fillId="0" borderId="0" xfId="0" applyFont="1" applyAlignment="1">
      <alignment horizontal="left" vertical="center"/>
    </xf>
    <xf numFmtId="1" fontId="230" fillId="0" borderId="0" xfId="0" applyNumberFormat="1" applyFont="1" applyAlignment="1">
      <alignment horizontal="left" vertical="center"/>
    </xf>
    <xf numFmtId="0" fontId="24" fillId="9" borderId="1" xfId="28" applyFont="1" applyFill="1" applyBorder="1" applyAlignment="1">
      <alignment horizontal="center" vertical="center" wrapText="1"/>
    </xf>
    <xf numFmtId="0" fontId="24" fillId="9" borderId="2" xfId="28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vertical="center"/>
    </xf>
    <xf numFmtId="0" fontId="5" fillId="9" borderId="6" xfId="0" applyFont="1" applyFill="1" applyBorder="1" applyAlignment="1">
      <alignment horizontal="center" vertical="center" wrapText="1"/>
    </xf>
    <xf numFmtId="0" fontId="164" fillId="11" borderId="18" xfId="0" applyFont="1" applyFill="1" applyBorder="1" applyAlignment="1">
      <alignment horizontal="right" vertical="center"/>
    </xf>
    <xf numFmtId="0" fontId="220" fillId="3" borderId="0" xfId="0" applyFont="1" applyFill="1" applyAlignment="1">
      <alignment horizontal="left" vertical="center"/>
    </xf>
    <xf numFmtId="0" fontId="160" fillId="0" borderId="0" xfId="0" applyFont="1" applyAlignment="1">
      <alignment horizontal="center"/>
    </xf>
    <xf numFmtId="0" fontId="161" fillId="0" borderId="0" xfId="0" applyFont="1" applyAlignment="1">
      <alignment horizontal="center" vertical="top"/>
    </xf>
    <xf numFmtId="0" fontId="5" fillId="9" borderId="6" xfId="0" applyFont="1" applyFill="1" applyBorder="1" applyAlignment="1">
      <alignment horizontal="center" vertical="center"/>
    </xf>
    <xf numFmtId="0" fontId="160" fillId="0" borderId="0" xfId="69" applyFont="1" applyAlignment="1">
      <alignment horizontal="center" vertical="top"/>
    </xf>
    <xf numFmtId="0" fontId="161" fillId="0" borderId="0" xfId="69" applyFont="1" applyAlignment="1">
      <alignment horizontal="center" vertical="top"/>
    </xf>
    <xf numFmtId="0" fontId="5" fillId="9" borderId="6" xfId="69" applyFont="1" applyFill="1" applyBorder="1" applyAlignment="1">
      <alignment horizontal="center" vertical="center" wrapText="1"/>
    </xf>
    <xf numFmtId="0" fontId="5" fillId="9" borderId="7" xfId="69" applyFont="1" applyFill="1" applyBorder="1" applyAlignment="1">
      <alignment horizontal="center" vertical="center" wrapText="1"/>
    </xf>
    <xf numFmtId="0" fontId="5" fillId="9" borderId="8" xfId="69" applyFont="1" applyFill="1" applyBorder="1" applyAlignment="1">
      <alignment horizontal="center" vertical="center" wrapText="1"/>
    </xf>
    <xf numFmtId="0" fontId="5" fillId="9" borderId="17" xfId="69" applyFont="1" applyFill="1" applyBorder="1" applyAlignment="1">
      <alignment horizontal="center" vertical="center" wrapText="1"/>
    </xf>
    <xf numFmtId="0" fontId="5" fillId="9" borderId="19" xfId="69" applyFont="1" applyFill="1" applyBorder="1" applyAlignment="1">
      <alignment horizontal="center" vertical="center" wrapText="1"/>
    </xf>
    <xf numFmtId="0" fontId="5" fillId="9" borderId="1" xfId="69" applyFont="1" applyFill="1" applyBorder="1" applyAlignment="1">
      <alignment horizontal="center" vertical="center" wrapText="1"/>
    </xf>
    <xf numFmtId="0" fontId="5" fillId="9" borderId="2" xfId="69" applyFont="1" applyFill="1" applyBorder="1" applyAlignment="1">
      <alignment horizontal="center" vertical="center" wrapText="1"/>
    </xf>
    <xf numFmtId="0" fontId="5" fillId="9" borderId="3" xfId="69" applyFont="1" applyFill="1" applyBorder="1" applyAlignment="1">
      <alignment horizontal="center" vertical="center" wrapText="1"/>
    </xf>
    <xf numFmtId="0" fontId="7" fillId="9" borderId="9" xfId="69" applyFont="1" applyFill="1" applyBorder="1" applyAlignment="1">
      <alignment horizontal="center" vertical="center"/>
    </xf>
    <xf numFmtId="0" fontId="7" fillId="9" borderId="10" xfId="69" applyFont="1" applyFill="1" applyBorder="1" applyAlignment="1">
      <alignment horizontal="center" vertical="center"/>
    </xf>
    <xf numFmtId="0" fontId="5" fillId="9" borderId="9" xfId="69" applyFont="1" applyFill="1" applyBorder="1" applyAlignment="1">
      <alignment horizontal="center" vertical="center" wrapText="1"/>
    </xf>
    <xf numFmtId="0" fontId="5" fillId="9" borderId="11" xfId="69" applyFont="1" applyFill="1" applyBorder="1" applyAlignment="1">
      <alignment horizontal="center" vertical="center" wrapText="1"/>
    </xf>
    <xf numFmtId="0" fontId="4" fillId="9" borderId="6" xfId="69" applyFont="1" applyFill="1" applyBorder="1" applyAlignment="1">
      <alignment horizontal="center" vertical="center" wrapText="1"/>
    </xf>
    <xf numFmtId="0" fontId="4" fillId="9" borderId="7" xfId="69" applyFont="1" applyFill="1" applyBorder="1" applyAlignment="1">
      <alignment horizontal="center" vertical="center" wrapText="1"/>
    </xf>
    <xf numFmtId="0" fontId="4" fillId="9" borderId="8" xfId="69" applyFont="1" applyFill="1" applyBorder="1" applyAlignment="1">
      <alignment horizontal="center" vertical="center" wrapText="1"/>
    </xf>
    <xf numFmtId="0" fontId="4" fillId="9" borderId="17" xfId="69" applyFont="1" applyFill="1" applyBorder="1" applyAlignment="1">
      <alignment horizontal="center" vertical="center" wrapText="1"/>
    </xf>
    <xf numFmtId="0" fontId="4" fillId="9" borderId="19" xfId="69" applyFont="1" applyFill="1" applyBorder="1" applyAlignment="1">
      <alignment horizontal="center" vertical="center" wrapText="1"/>
    </xf>
    <xf numFmtId="0" fontId="4" fillId="9" borderId="1" xfId="69" applyFont="1" applyFill="1" applyBorder="1" applyAlignment="1">
      <alignment horizontal="center" vertical="center" wrapText="1"/>
    </xf>
    <xf numFmtId="0" fontId="4" fillId="9" borderId="2" xfId="69" applyFont="1" applyFill="1" applyBorder="1" applyAlignment="1">
      <alignment horizontal="center" vertical="center" wrapText="1"/>
    </xf>
    <xf numFmtId="0" fontId="4" fillId="9" borderId="3" xfId="69" applyFont="1" applyFill="1" applyBorder="1" applyAlignment="1">
      <alignment horizontal="center" vertical="center" wrapText="1"/>
    </xf>
    <xf numFmtId="0" fontId="4" fillId="9" borderId="6" xfId="69" applyFont="1" applyFill="1" applyBorder="1" applyAlignment="1">
      <alignment horizontal="center" vertical="center"/>
    </xf>
    <xf numFmtId="0" fontId="4" fillId="9" borderId="6" xfId="69" applyFont="1" applyFill="1" applyBorder="1" applyAlignment="1">
      <alignment vertical="center"/>
    </xf>
    <xf numFmtId="0" fontId="4" fillId="9" borderId="9" xfId="69" applyFont="1" applyFill="1" applyBorder="1" applyAlignment="1">
      <alignment horizontal="center" vertical="center" wrapText="1"/>
    </xf>
    <xf numFmtId="0" fontId="4" fillId="9" borderId="11" xfId="69" applyFont="1" applyFill="1" applyBorder="1" applyAlignment="1">
      <alignment horizontal="center" vertical="center" wrapText="1"/>
    </xf>
    <xf numFmtId="0" fontId="285" fillId="0" borderId="0" xfId="69" applyFont="1" applyAlignment="1">
      <alignment horizontal="left" vertical="center"/>
    </xf>
    <xf numFmtId="0" fontId="285" fillId="3" borderId="0" xfId="69" applyFont="1" applyFill="1" applyAlignment="1">
      <alignment horizontal="left" vertical="center"/>
    </xf>
    <xf numFmtId="0" fontId="220" fillId="0" borderId="0" xfId="69" applyFont="1" applyAlignment="1">
      <alignment horizontal="left" vertical="center"/>
    </xf>
    <xf numFmtId="0" fontId="285" fillId="0" borderId="49" xfId="69" applyFont="1" applyBorder="1" applyAlignment="1">
      <alignment horizontal="left" vertical="center"/>
    </xf>
    <xf numFmtId="0" fontId="220" fillId="3" borderId="0" xfId="69" applyFont="1" applyFill="1" applyAlignment="1">
      <alignment horizontal="left" vertical="center"/>
    </xf>
    <xf numFmtId="0" fontId="164" fillId="11" borderId="18" xfId="69" applyFont="1" applyFill="1" applyBorder="1" applyAlignment="1">
      <alignment horizontal="right" vertical="center"/>
    </xf>
    <xf numFmtId="0" fontId="5" fillId="9" borderId="6" xfId="69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horizontal="center" vertical="center"/>
    </xf>
    <xf numFmtId="0" fontId="21" fillId="9" borderId="10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21" fillId="9" borderId="6" xfId="0" applyFont="1" applyFill="1" applyBorder="1" applyAlignment="1">
      <alignment horizontal="center" vertical="center"/>
    </xf>
    <xf numFmtId="0" fontId="175" fillId="0" borderId="0" xfId="0" applyFont="1" applyAlignment="1">
      <alignment horizontal="center"/>
    </xf>
    <xf numFmtId="0" fontId="179" fillId="0" borderId="0" xfId="0" applyFont="1" applyAlignment="1">
      <alignment horizontal="center" vertical="top"/>
    </xf>
    <xf numFmtId="0" fontId="188" fillId="11" borderId="18" xfId="0" applyFont="1" applyFill="1" applyBorder="1" applyAlignment="1">
      <alignment horizontal="right" vertical="center"/>
    </xf>
    <xf numFmtId="0" fontId="21" fillId="9" borderId="6" xfId="0" applyFont="1" applyFill="1" applyBorder="1" applyAlignment="1">
      <alignment horizontal="center" vertical="center" wrapText="1"/>
    </xf>
    <xf numFmtId="0" fontId="21" fillId="9" borderId="7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17" xfId="0" applyFont="1" applyFill="1" applyBorder="1" applyAlignment="1">
      <alignment horizontal="center" vertical="center" wrapText="1"/>
    </xf>
    <xf numFmtId="0" fontId="21" fillId="9" borderId="19" xfId="0" applyFont="1" applyFill="1" applyBorder="1" applyAlignment="1">
      <alignment horizontal="center" vertical="center" wrapText="1"/>
    </xf>
    <xf numFmtId="2" fontId="21" fillId="9" borderId="6" xfId="28" applyNumberFormat="1" applyFont="1" applyFill="1" applyBorder="1" applyAlignment="1">
      <alignment horizontal="center" vertical="center" wrapText="1"/>
    </xf>
    <xf numFmtId="2" fontId="21" fillId="9" borderId="9" xfId="28" applyNumberFormat="1" applyFont="1" applyFill="1" applyBorder="1" applyAlignment="1">
      <alignment horizontal="center" vertical="center" wrapText="1"/>
    </xf>
    <xf numFmtId="2" fontId="21" fillId="9" borderId="6" xfId="28" applyNumberFormat="1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horizontal="center" vertical="center" wrapText="1"/>
    </xf>
    <xf numFmtId="166" fontId="21" fillId="9" borderId="6" xfId="0" applyNumberFormat="1" applyFont="1" applyFill="1" applyBorder="1" applyAlignment="1">
      <alignment horizontal="center" vertical="center" wrapText="1"/>
    </xf>
    <xf numFmtId="0" fontId="22" fillId="9" borderId="6" xfId="0" applyFont="1" applyFill="1" applyBorder="1" applyAlignment="1">
      <alignment horizontal="center" vertical="center"/>
    </xf>
    <xf numFmtId="0" fontId="22" fillId="9" borderId="6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2" fillId="9" borderId="8" xfId="0" applyFont="1" applyFill="1" applyBorder="1" applyAlignment="1">
      <alignment horizontal="center" vertical="center" wrapText="1"/>
    </xf>
    <xf numFmtId="0" fontId="22" fillId="9" borderId="17" xfId="0" applyFont="1" applyFill="1" applyBorder="1" applyAlignment="1">
      <alignment horizontal="center" vertical="center" wrapText="1"/>
    </xf>
    <xf numFmtId="0" fontId="22" fillId="9" borderId="19" xfId="0" applyFont="1" applyFill="1" applyBorder="1" applyAlignment="1">
      <alignment horizontal="center" vertical="center" wrapText="1"/>
    </xf>
    <xf numFmtId="0" fontId="216" fillId="3" borderId="0" xfId="0" applyFont="1" applyFill="1" applyAlignment="1">
      <alignment horizontal="left" vertical="center"/>
    </xf>
    <xf numFmtId="0" fontId="216" fillId="0" borderId="0" xfId="0" applyFont="1" applyAlignment="1">
      <alignment horizontal="left" vertical="center"/>
    </xf>
    <xf numFmtId="2" fontId="22" fillId="9" borderId="6" xfId="28" applyNumberFormat="1" applyFont="1" applyFill="1" applyBorder="1" applyAlignment="1">
      <alignment horizontal="center" vertical="center"/>
    </xf>
    <xf numFmtId="2" fontId="22" fillId="9" borderId="6" xfId="28" applyNumberFormat="1" applyFont="1" applyFill="1" applyBorder="1" applyAlignment="1">
      <alignment horizontal="center" vertical="center" wrapText="1"/>
    </xf>
    <xf numFmtId="2" fontId="22" fillId="9" borderId="9" xfId="28" applyNumberFormat="1" applyFont="1" applyFill="1" applyBorder="1" applyAlignment="1">
      <alignment horizontal="center" vertical="center" wrapText="1"/>
    </xf>
    <xf numFmtId="0" fontId="175" fillId="0" borderId="0" xfId="69" applyFont="1" applyAlignment="1">
      <alignment horizontal="center"/>
    </xf>
    <xf numFmtId="0" fontId="179" fillId="0" borderId="0" xfId="69" applyFont="1" applyAlignment="1">
      <alignment horizontal="center" vertical="top"/>
    </xf>
    <xf numFmtId="0" fontId="287" fillId="11" borderId="18" xfId="69" applyFont="1" applyFill="1" applyBorder="1" applyAlignment="1">
      <alignment horizontal="right" vertical="center"/>
    </xf>
    <xf numFmtId="0" fontId="21" fillId="9" borderId="6" xfId="69" applyFont="1" applyFill="1" applyBorder="1" applyAlignment="1">
      <alignment horizontal="center" vertical="center" wrapText="1"/>
    </xf>
    <xf numFmtId="0" fontId="21" fillId="9" borderId="6" xfId="69" applyFont="1" applyFill="1" applyBorder="1" applyAlignment="1">
      <alignment horizontal="center" vertical="center"/>
    </xf>
    <xf numFmtId="0" fontId="21" fillId="9" borderId="7" xfId="69" applyFont="1" applyFill="1" applyBorder="1" applyAlignment="1">
      <alignment horizontal="center" vertical="center" wrapText="1"/>
    </xf>
    <xf numFmtId="0" fontId="21" fillId="9" borderId="8" xfId="69" applyFont="1" applyFill="1" applyBorder="1" applyAlignment="1">
      <alignment horizontal="center" vertical="center" wrapText="1"/>
    </xf>
    <xf numFmtId="0" fontId="21" fillId="9" borderId="17" xfId="69" applyFont="1" applyFill="1" applyBorder="1" applyAlignment="1">
      <alignment horizontal="center" vertical="center" wrapText="1"/>
    </xf>
    <xf numFmtId="0" fontId="21" fillId="9" borderId="19" xfId="69" applyFont="1" applyFill="1" applyBorder="1" applyAlignment="1">
      <alignment horizontal="center" vertical="center" wrapText="1"/>
    </xf>
    <xf numFmtId="0" fontId="21" fillId="9" borderId="7" xfId="69" applyFont="1" applyFill="1" applyBorder="1" applyAlignment="1">
      <alignment horizontal="center" vertical="center"/>
    </xf>
    <xf numFmtId="0" fontId="21" fillId="9" borderId="8" xfId="69" applyFont="1" applyFill="1" applyBorder="1" applyAlignment="1">
      <alignment horizontal="center" vertical="center"/>
    </xf>
    <xf numFmtId="0" fontId="21" fillId="9" borderId="17" xfId="69" applyFont="1" applyFill="1" applyBorder="1" applyAlignment="1">
      <alignment horizontal="center" vertical="center"/>
    </xf>
    <xf numFmtId="0" fontId="21" fillId="9" borderId="19" xfId="69" applyFont="1" applyFill="1" applyBorder="1" applyAlignment="1">
      <alignment horizontal="center" vertical="center"/>
    </xf>
    <xf numFmtId="2" fontId="21" fillId="9" borderId="7" xfId="28" applyNumberFormat="1" applyFont="1" applyFill="1" applyBorder="1" applyAlignment="1">
      <alignment horizontal="center" vertical="center" wrapText="1"/>
    </xf>
    <xf numFmtId="2" fontId="21" fillId="9" borderId="8" xfId="28" applyNumberFormat="1" applyFont="1" applyFill="1" applyBorder="1" applyAlignment="1">
      <alignment horizontal="center" vertical="center" wrapText="1"/>
    </xf>
    <xf numFmtId="2" fontId="21" fillId="9" borderId="17" xfId="28" applyNumberFormat="1" applyFont="1" applyFill="1" applyBorder="1" applyAlignment="1">
      <alignment horizontal="center" vertical="center" wrapText="1"/>
    </xf>
    <xf numFmtId="2" fontId="21" fillId="9" borderId="19" xfId="28" applyNumberFormat="1" applyFont="1" applyFill="1" applyBorder="1" applyAlignment="1">
      <alignment horizontal="center" vertical="center" wrapText="1"/>
    </xf>
    <xf numFmtId="0" fontId="16" fillId="9" borderId="6" xfId="69" applyFont="1" applyFill="1" applyBorder="1" applyAlignment="1">
      <alignment horizontal="center" vertical="center" wrapText="1"/>
    </xf>
    <xf numFmtId="2" fontId="21" fillId="9" borderId="7" xfId="28" applyNumberFormat="1" applyFont="1" applyFill="1" applyBorder="1" applyAlignment="1">
      <alignment horizontal="center" vertical="center"/>
    </xf>
    <xf numFmtId="2" fontId="21" fillId="9" borderId="8" xfId="28" applyNumberFormat="1" applyFont="1" applyFill="1" applyBorder="1" applyAlignment="1">
      <alignment horizontal="center" vertical="center"/>
    </xf>
    <xf numFmtId="2" fontId="21" fillId="9" borderId="17" xfId="28" applyNumberFormat="1" applyFont="1" applyFill="1" applyBorder="1" applyAlignment="1">
      <alignment horizontal="center" vertical="center"/>
    </xf>
    <xf numFmtId="2" fontId="21" fillId="9" borderId="19" xfId="28" applyNumberFormat="1" applyFont="1" applyFill="1" applyBorder="1" applyAlignment="1">
      <alignment horizontal="center" vertical="center"/>
    </xf>
    <xf numFmtId="0" fontId="288" fillId="3" borderId="0" xfId="69" applyFont="1" applyFill="1" applyAlignment="1">
      <alignment horizontal="left" vertical="center"/>
    </xf>
    <xf numFmtId="0" fontId="288" fillId="0" borderId="0" xfId="69" applyFont="1" applyAlignment="1">
      <alignment horizontal="left" vertical="center"/>
    </xf>
    <xf numFmtId="0" fontId="7" fillId="9" borderId="1" xfId="69" applyFont="1" applyFill="1" applyBorder="1" applyAlignment="1">
      <alignment horizontal="center" vertical="center" wrapText="1"/>
    </xf>
    <xf numFmtId="0" fontId="7" fillId="9" borderId="2" xfId="69" applyFont="1" applyFill="1" applyBorder="1" applyAlignment="1">
      <alignment horizontal="center" vertical="center" wrapText="1"/>
    </xf>
    <xf numFmtId="0" fontId="7" fillId="9" borderId="6" xfId="69" applyFont="1" applyFill="1" applyBorder="1" applyAlignment="1">
      <alignment horizontal="center" vertical="center" wrapText="1"/>
    </xf>
    <xf numFmtId="0" fontId="189" fillId="9" borderId="111" xfId="0" applyFont="1" applyFill="1" applyBorder="1" applyAlignment="1">
      <alignment horizontal="center" vertical="center"/>
    </xf>
    <xf numFmtId="0" fontId="189" fillId="9" borderId="110" xfId="0" applyFont="1" applyFill="1" applyBorder="1" applyAlignment="1">
      <alignment horizontal="center" vertical="center"/>
    </xf>
    <xf numFmtId="0" fontId="189" fillId="9" borderId="113" xfId="0" applyFont="1" applyFill="1" applyBorder="1" applyAlignment="1">
      <alignment horizontal="center" vertical="center"/>
    </xf>
    <xf numFmtId="0" fontId="247" fillId="0" borderId="0" xfId="3" applyFont="1" applyAlignment="1">
      <alignment horizontal="center" vertical="center" wrapText="1"/>
    </xf>
    <xf numFmtId="0" fontId="302" fillId="0" borderId="0" xfId="3" applyFont="1" applyAlignment="1">
      <alignment horizontal="center" vertical="top" wrapText="1"/>
    </xf>
    <xf numFmtId="0" fontId="188" fillId="11" borderId="18" xfId="0" applyFont="1" applyFill="1" applyBorder="1" applyAlignment="1">
      <alignment horizontal="right"/>
    </xf>
    <xf numFmtId="14" fontId="190" fillId="9" borderId="98" xfId="3" applyNumberFormat="1" applyFont="1" applyFill="1" applyBorder="1" applyAlignment="1">
      <alignment horizontal="center" vertical="center"/>
    </xf>
    <xf numFmtId="14" fontId="190" fillId="9" borderId="167" xfId="3" applyNumberFormat="1" applyFont="1" applyFill="1" applyBorder="1" applyAlignment="1">
      <alignment horizontal="center" vertical="center"/>
    </xf>
    <xf numFmtId="14" fontId="190" fillId="9" borderId="168" xfId="3" applyNumberFormat="1" applyFont="1" applyFill="1" applyBorder="1" applyAlignment="1">
      <alignment horizontal="center" vertical="center"/>
    </xf>
    <xf numFmtId="0" fontId="189" fillId="9" borderId="114" xfId="0" applyFont="1" applyFill="1" applyBorder="1" applyAlignment="1">
      <alignment horizontal="center" vertical="center"/>
    </xf>
    <xf numFmtId="0" fontId="189" fillId="9" borderId="112" xfId="0" applyFont="1" applyFill="1" applyBorder="1" applyAlignment="1">
      <alignment horizontal="center" vertical="center"/>
    </xf>
    <xf numFmtId="0" fontId="231" fillId="0" borderId="49" xfId="0" applyFont="1" applyBorder="1" applyAlignment="1">
      <alignment horizontal="left" vertical="center" wrapText="1"/>
    </xf>
    <xf numFmtId="0" fontId="231" fillId="0" borderId="163" xfId="0" applyFont="1" applyBorder="1" applyAlignment="1">
      <alignment horizontal="left" vertical="center" wrapText="1"/>
    </xf>
    <xf numFmtId="0" fontId="190" fillId="9" borderId="83" xfId="0" applyFont="1" applyFill="1" applyBorder="1" applyAlignment="1">
      <alignment horizontal="center" vertical="center"/>
    </xf>
    <xf numFmtId="0" fontId="189" fillId="9" borderId="109" xfId="0" applyFont="1" applyFill="1" applyBorder="1" applyAlignment="1">
      <alignment horizontal="center" vertical="center"/>
    </xf>
    <xf numFmtId="0" fontId="247" fillId="0" borderId="0" xfId="3" applyFont="1" applyAlignment="1">
      <alignment horizontal="center" wrapText="1"/>
    </xf>
    <xf numFmtId="14" fontId="65" fillId="9" borderId="85" xfId="3" applyNumberFormat="1" applyFont="1" applyFill="1" applyBorder="1" applyAlignment="1">
      <alignment horizontal="center" vertical="center"/>
    </xf>
    <xf numFmtId="14" fontId="65" fillId="9" borderId="84" xfId="3" applyNumberFormat="1" applyFont="1" applyFill="1" applyBorder="1" applyAlignment="1">
      <alignment horizontal="center" vertical="center"/>
    </xf>
    <xf numFmtId="14" fontId="65" fillId="9" borderId="169" xfId="3" applyNumberFormat="1" applyFont="1" applyFill="1" applyBorder="1" applyAlignment="1">
      <alignment horizontal="center" vertical="center"/>
    </xf>
    <xf numFmtId="14" fontId="65" fillId="9" borderId="165" xfId="3" applyNumberFormat="1" applyFont="1" applyFill="1" applyBorder="1" applyAlignment="1">
      <alignment horizontal="center" vertical="center"/>
    </xf>
    <xf numFmtId="0" fontId="188" fillId="11" borderId="0" xfId="0" applyFont="1" applyFill="1" applyAlignment="1">
      <alignment horizontal="right"/>
    </xf>
    <xf numFmtId="0" fontId="71" fillId="9" borderId="83" xfId="0" applyFont="1" applyFill="1" applyBorder="1" applyAlignment="1">
      <alignment horizontal="center" vertical="center"/>
    </xf>
    <xf numFmtId="0" fontId="189" fillId="9" borderId="100" xfId="0" applyFont="1" applyFill="1" applyBorder="1" applyAlignment="1">
      <alignment horizontal="center" vertical="center"/>
    </xf>
    <xf numFmtId="0" fontId="136" fillId="9" borderId="111" xfId="0" applyFont="1" applyFill="1" applyBorder="1" applyAlignment="1">
      <alignment horizontal="center" vertical="center"/>
    </xf>
    <xf numFmtId="0" fontId="136" fillId="9" borderId="110" xfId="0" applyFont="1" applyFill="1" applyBorder="1" applyAlignment="1">
      <alignment horizontal="center" vertical="center"/>
    </xf>
    <xf numFmtId="0" fontId="136" fillId="9" borderId="113" xfId="0" applyFont="1" applyFill="1" applyBorder="1" applyAlignment="1">
      <alignment horizontal="center" vertical="center"/>
    </xf>
    <xf numFmtId="0" fontId="136" fillId="9" borderId="114" xfId="0" applyFont="1" applyFill="1" applyBorder="1" applyAlignment="1">
      <alignment horizontal="center" vertical="center"/>
    </xf>
    <xf numFmtId="14" fontId="68" fillId="9" borderId="82" xfId="3" applyNumberFormat="1" applyFont="1" applyFill="1" applyBorder="1" applyAlignment="1">
      <alignment horizontal="center" vertical="center"/>
    </xf>
    <xf numFmtId="14" fontId="68" fillId="9" borderId="85" xfId="3" applyNumberFormat="1" applyFont="1" applyFill="1" applyBorder="1" applyAlignment="1">
      <alignment horizontal="center" vertical="center"/>
    </xf>
    <xf numFmtId="14" fontId="68" fillId="9" borderId="84" xfId="3" applyNumberFormat="1" applyFont="1" applyFill="1" applyBorder="1" applyAlignment="1">
      <alignment horizontal="center" vertical="center"/>
    </xf>
    <xf numFmtId="14" fontId="68" fillId="9" borderId="163" xfId="3" applyNumberFormat="1" applyFont="1" applyFill="1" applyBorder="1" applyAlignment="1">
      <alignment horizontal="center" vertical="center"/>
    </xf>
    <xf numFmtId="14" fontId="68" fillId="9" borderId="0" xfId="3" applyNumberFormat="1" applyFont="1" applyFill="1" applyAlignment="1">
      <alignment horizontal="center" vertical="center"/>
    </xf>
    <xf numFmtId="14" fontId="68" fillId="9" borderId="18" xfId="3" applyNumberFormat="1" applyFont="1" applyFill="1" applyBorder="1" applyAlignment="1">
      <alignment horizontal="center" vertical="center"/>
    </xf>
    <xf numFmtId="0" fontId="71" fillId="9" borderId="9" xfId="0" applyFont="1" applyFill="1" applyBorder="1" applyAlignment="1">
      <alignment horizontal="center" vertical="center"/>
    </xf>
    <xf numFmtId="0" fontId="71" fillId="9" borderId="10" xfId="0" applyFont="1" applyFill="1" applyBorder="1" applyAlignment="1">
      <alignment horizontal="center" vertical="center"/>
    </xf>
    <xf numFmtId="0" fontId="71" fillId="9" borderId="11" xfId="0" applyFont="1" applyFill="1" applyBorder="1" applyAlignment="1">
      <alignment horizontal="center" vertical="center"/>
    </xf>
    <xf numFmtId="0" fontId="136" fillId="9" borderId="9" xfId="0" applyFont="1" applyFill="1" applyBorder="1" applyAlignment="1">
      <alignment horizontal="center" vertical="center"/>
    </xf>
    <xf numFmtId="0" fontId="136" fillId="9" borderId="10" xfId="0" applyFont="1" applyFill="1" applyBorder="1" applyAlignment="1">
      <alignment horizontal="center" vertical="center"/>
    </xf>
    <xf numFmtId="0" fontId="136" fillId="9" borderId="11" xfId="0" applyFont="1" applyFill="1" applyBorder="1" applyAlignment="1">
      <alignment horizontal="center" vertical="center"/>
    </xf>
    <xf numFmtId="14" fontId="82" fillId="9" borderId="82" xfId="3" applyNumberFormat="1" applyFont="1" applyFill="1" applyBorder="1" applyAlignment="1">
      <alignment horizontal="center" vertical="center"/>
    </xf>
    <xf numFmtId="14" fontId="82" fillId="9" borderId="85" xfId="3" applyNumberFormat="1" applyFont="1" applyFill="1" applyBorder="1" applyAlignment="1">
      <alignment horizontal="center" vertical="center"/>
    </xf>
    <xf numFmtId="14" fontId="82" fillId="9" borderId="163" xfId="3" applyNumberFormat="1" applyFont="1" applyFill="1" applyBorder="1" applyAlignment="1">
      <alignment horizontal="center" vertical="center"/>
    </xf>
    <xf numFmtId="14" fontId="82" fillId="9" borderId="0" xfId="3" applyNumberFormat="1" applyFont="1" applyFill="1" applyAlignment="1">
      <alignment horizontal="center" vertical="center"/>
    </xf>
    <xf numFmtId="14" fontId="82" fillId="9" borderId="18" xfId="3" applyNumberFormat="1" applyFont="1" applyFill="1" applyBorder="1" applyAlignment="1">
      <alignment horizontal="center" vertical="center"/>
    </xf>
    <xf numFmtId="0" fontId="231" fillId="0" borderId="0" xfId="0" applyFont="1" applyAlignment="1">
      <alignment horizontal="left" vertical="center" wrapText="1"/>
    </xf>
    <xf numFmtId="0" fontId="82" fillId="9" borderId="83" xfId="0" applyFont="1" applyFill="1" applyBorder="1" applyAlignment="1">
      <alignment horizontal="center" vertical="center"/>
    </xf>
    <xf numFmtId="0" fontId="189" fillId="9" borderId="101" xfId="0" applyFont="1" applyFill="1" applyBorder="1" applyAlignment="1">
      <alignment horizontal="center" vertical="center"/>
    </xf>
    <xf numFmtId="0" fontId="205" fillId="0" borderId="0" xfId="3" applyFont="1" applyAlignment="1">
      <alignment horizontal="center" wrapText="1"/>
    </xf>
    <xf numFmtId="0" fontId="200" fillId="0" borderId="0" xfId="3" applyFont="1" applyAlignment="1">
      <alignment horizontal="center" vertical="top" wrapText="1"/>
    </xf>
    <xf numFmtId="14" fontId="65" fillId="9" borderId="82" xfId="3" applyNumberFormat="1" applyFont="1" applyFill="1" applyBorder="1" applyAlignment="1">
      <alignment horizontal="center" vertical="center"/>
    </xf>
    <xf numFmtId="14" fontId="65" fillId="9" borderId="98" xfId="3" applyNumberFormat="1" applyFont="1" applyFill="1" applyBorder="1" applyAlignment="1">
      <alignment horizontal="center" vertical="center"/>
    </xf>
    <xf numFmtId="14" fontId="65" fillId="9" borderId="167" xfId="3" applyNumberFormat="1" applyFont="1" applyFill="1" applyBorder="1" applyAlignment="1">
      <alignment horizontal="center" vertical="center"/>
    </xf>
    <xf numFmtId="14" fontId="65" fillId="9" borderId="168" xfId="3" applyNumberFormat="1" applyFont="1" applyFill="1" applyBorder="1" applyAlignment="1">
      <alignment horizontal="center" vertical="center"/>
    </xf>
    <xf numFmtId="0" fontId="188" fillId="11" borderId="0" xfId="0" applyFont="1" applyFill="1" applyAlignment="1">
      <alignment horizontal="right" vertical="center"/>
    </xf>
    <xf numFmtId="0" fontId="69" fillId="9" borderId="83" xfId="0" applyFont="1" applyFill="1" applyBorder="1" applyAlignment="1">
      <alignment horizontal="center" vertical="center"/>
    </xf>
    <xf numFmtId="0" fontId="69" fillId="9" borderId="92" xfId="0" applyFont="1" applyFill="1" applyBorder="1" applyAlignment="1">
      <alignment horizontal="center" vertical="center"/>
    </xf>
    <xf numFmtId="0" fontId="69" fillId="9" borderId="163" xfId="0" applyFont="1" applyFill="1" applyBorder="1" applyAlignment="1">
      <alignment horizontal="center" vertical="center"/>
    </xf>
    <xf numFmtId="0" fontId="69" fillId="9" borderId="98" xfId="0" applyFont="1" applyFill="1" applyBorder="1" applyAlignment="1">
      <alignment horizontal="center" vertical="center"/>
    </xf>
    <xf numFmtId="0" fontId="230" fillId="0" borderId="49" xfId="0" applyFont="1" applyBorder="1" applyAlignment="1">
      <alignment horizontal="left" vertical="center" wrapText="1"/>
    </xf>
    <xf numFmtId="0" fontId="230" fillId="0" borderId="67" xfId="0" applyFont="1" applyBorder="1" applyAlignment="1">
      <alignment horizontal="left" vertical="center" wrapText="1"/>
    </xf>
    <xf numFmtId="0" fontId="305" fillId="9" borderId="6" xfId="0" applyFont="1" applyFill="1" applyBorder="1" applyAlignment="1">
      <alignment horizontal="center" vertical="center" wrapText="1"/>
    </xf>
    <xf numFmtId="0" fontId="305" fillId="9" borderId="6" xfId="0" applyFont="1" applyFill="1" applyBorder="1" applyAlignment="1">
      <alignment horizontal="center" vertical="center"/>
    </xf>
    <xf numFmtId="0" fontId="180" fillId="0" borderId="0" xfId="0" applyFont="1" applyAlignment="1">
      <alignment horizontal="center"/>
    </xf>
    <xf numFmtId="0" fontId="181" fillId="0" borderId="0" xfId="0" applyFont="1" applyAlignment="1">
      <alignment horizontal="center" vertical="top"/>
    </xf>
    <xf numFmtId="0" fontId="42" fillId="9" borderId="6" xfId="0" applyFont="1" applyFill="1" applyBorder="1" applyAlignment="1">
      <alignment horizontal="center" vertical="center" wrapText="1"/>
    </xf>
    <xf numFmtId="0" fontId="42" fillId="9" borderId="6" xfId="0" applyFont="1" applyFill="1" applyBorder="1" applyAlignment="1">
      <alignment horizontal="center" vertical="center"/>
    </xf>
    <xf numFmtId="0" fontId="233" fillId="0" borderId="0" xfId="28" applyFont="1" applyAlignment="1">
      <alignment horizontal="left" vertical="center" wrapText="1" readingOrder="1"/>
    </xf>
    <xf numFmtId="0" fontId="233" fillId="0" borderId="0" xfId="28" applyFont="1" applyAlignment="1">
      <alignment horizontal="left" vertical="center" readingOrder="1"/>
    </xf>
    <xf numFmtId="0" fontId="97" fillId="9" borderId="6" xfId="0" applyFont="1" applyFill="1" applyBorder="1" applyAlignment="1">
      <alignment horizontal="center" vertical="center"/>
    </xf>
    <xf numFmtId="0" fontId="97" fillId="9" borderId="6" xfId="0" quotePrefix="1" applyFont="1" applyFill="1" applyBorder="1" applyAlignment="1">
      <alignment horizontal="center" vertical="center"/>
    </xf>
    <xf numFmtId="0" fontId="98" fillId="9" borderId="6" xfId="0" applyFont="1" applyFill="1" applyBorder="1" applyAlignment="1">
      <alignment horizontal="center" vertical="center" wrapText="1"/>
    </xf>
    <xf numFmtId="0" fontId="97" fillId="9" borderId="6" xfId="0" applyFont="1" applyFill="1" applyBorder="1" applyAlignment="1">
      <alignment horizontal="center" vertical="center" wrapText="1"/>
    </xf>
    <xf numFmtId="0" fontId="97" fillId="9" borderId="6" xfId="0" quotePrefix="1" applyFont="1" applyFill="1" applyBorder="1" applyAlignment="1">
      <alignment horizontal="center" vertical="center" wrapText="1"/>
    </xf>
    <xf numFmtId="0" fontId="171" fillId="0" borderId="0" xfId="0" applyFont="1" applyAlignment="1">
      <alignment horizontal="center" vertical="center"/>
    </xf>
    <xf numFmtId="0" fontId="98" fillId="9" borderId="6" xfId="0" applyFont="1" applyFill="1" applyBorder="1" applyAlignment="1">
      <alignment horizontal="center" vertical="center"/>
    </xf>
    <xf numFmtId="0" fontId="98" fillId="9" borderId="6" xfId="0" quotePrefix="1" applyFont="1" applyFill="1" applyBorder="1" applyAlignment="1">
      <alignment horizontal="center" vertical="center" wrapText="1"/>
    </xf>
    <xf numFmtId="0" fontId="98" fillId="9" borderId="6" xfId="0" quotePrefix="1" applyFont="1" applyFill="1" applyBorder="1" applyAlignment="1">
      <alignment horizontal="center" vertical="center"/>
    </xf>
    <xf numFmtId="0" fontId="200" fillId="0" borderId="0" xfId="0" applyFont="1" applyAlignment="1">
      <alignment horizontal="center" vertical="top"/>
    </xf>
    <xf numFmtId="14" fontId="199" fillId="11" borderId="0" xfId="0" applyNumberFormat="1" applyFont="1" applyFill="1" applyAlignment="1">
      <alignment horizontal="center" vertical="center"/>
    </xf>
    <xf numFmtId="0" fontId="266" fillId="11" borderId="0" xfId="0" applyFont="1" applyFill="1" applyAlignment="1">
      <alignment horizontal="right" vertical="center"/>
    </xf>
    <xf numFmtId="0" fontId="21" fillId="9" borderId="6" xfId="28" applyFont="1" applyFill="1" applyBorder="1" applyAlignment="1">
      <alignment horizontal="center" vertical="center" wrapText="1"/>
    </xf>
    <xf numFmtId="0" fontId="180" fillId="0" borderId="0" xfId="28" applyFont="1" applyAlignment="1">
      <alignment horizontal="center" vertical="center"/>
    </xf>
    <xf numFmtId="0" fontId="181" fillId="0" borderId="0" xfId="28" applyFont="1" applyAlignment="1">
      <alignment horizontal="center" vertical="top"/>
    </xf>
    <xf numFmtId="0" fontId="202" fillId="11" borderId="18" xfId="0" applyFont="1" applyFill="1" applyBorder="1" applyAlignment="1">
      <alignment horizontal="right" vertical="center"/>
    </xf>
    <xf numFmtId="0" fontId="22" fillId="9" borderId="6" xfId="28" applyFont="1" applyFill="1" applyBorder="1" applyAlignment="1">
      <alignment horizontal="center" vertical="center" wrapText="1"/>
    </xf>
    <xf numFmtId="0" fontId="222" fillId="0" borderId="0" xfId="0" applyFont="1" applyAlignment="1">
      <alignment vertical="center" wrapText="1"/>
    </xf>
    <xf numFmtId="0" fontId="222" fillId="0" borderId="0" xfId="0" applyFont="1" applyAlignment="1">
      <alignment horizontal="left" vertical="center" wrapText="1"/>
    </xf>
    <xf numFmtId="0" fontId="221" fillId="0" borderId="0" xfId="0" applyFont="1" applyAlignment="1">
      <alignment horizontal="left" vertical="top" wrapText="1"/>
    </xf>
    <xf numFmtId="0" fontId="220" fillId="0" borderId="0" xfId="0" applyFont="1" applyAlignment="1">
      <alignment horizontal="left" vertical="top" wrapText="1"/>
    </xf>
    <xf numFmtId="0" fontId="31" fillId="9" borderId="6" xfId="28" applyFont="1" applyFill="1" applyBorder="1" applyAlignment="1">
      <alignment horizontal="center"/>
    </xf>
    <xf numFmtId="2" fontId="31" fillId="9" borderId="6" xfId="28" applyNumberFormat="1" applyFont="1" applyFill="1" applyBorder="1" applyAlignment="1">
      <alignment horizontal="center" vertical="center" wrapText="1"/>
    </xf>
    <xf numFmtId="2" fontId="31" fillId="9" borderId="6" xfId="28" applyNumberFormat="1" applyFont="1" applyFill="1" applyBorder="1" applyAlignment="1">
      <alignment horizontal="center"/>
    </xf>
    <xf numFmtId="0" fontId="176" fillId="0" borderId="0" xfId="0" applyFont="1" applyAlignment="1">
      <alignment horizontal="center"/>
    </xf>
    <xf numFmtId="0" fontId="177" fillId="0" borderId="0" xfId="0" applyFont="1" applyAlignment="1">
      <alignment horizontal="center" vertical="top"/>
    </xf>
    <xf numFmtId="2" fontId="34" fillId="9" borderId="6" xfId="28" applyNumberFormat="1" applyFont="1" applyFill="1" applyBorder="1" applyAlignment="1">
      <alignment horizontal="center" vertical="center" wrapText="1"/>
    </xf>
    <xf numFmtId="2" fontId="34" fillId="9" borderId="6" xfId="28" applyNumberFormat="1" applyFont="1" applyFill="1" applyBorder="1" applyAlignment="1">
      <alignment horizontal="center"/>
    </xf>
    <xf numFmtId="0" fontId="21" fillId="9" borderId="1" xfId="28" applyFont="1" applyFill="1" applyBorder="1" applyAlignment="1">
      <alignment horizontal="center" vertical="center"/>
    </xf>
    <xf numFmtId="0" fontId="21" fillId="9" borderId="2" xfId="28" applyFont="1" applyFill="1" applyBorder="1" applyAlignment="1">
      <alignment horizontal="center" vertical="center"/>
    </xf>
    <xf numFmtId="0" fontId="21" fillId="9" borderId="3" xfId="28" applyFont="1" applyFill="1" applyBorder="1" applyAlignment="1">
      <alignment horizontal="center" vertical="center"/>
    </xf>
    <xf numFmtId="2" fontId="204" fillId="11" borderId="18" xfId="0" applyNumberFormat="1" applyFont="1" applyFill="1" applyBorder="1" applyAlignment="1">
      <alignment horizontal="right"/>
    </xf>
    <xf numFmtId="0" fontId="353" fillId="9" borderId="6" xfId="1" applyFont="1" applyFill="1" applyBorder="1" applyAlignment="1">
      <alignment horizontal="center" vertical="center"/>
    </xf>
    <xf numFmtId="1" fontId="230" fillId="0" borderId="0" xfId="0" applyNumberFormat="1" applyFont="1" applyAlignment="1">
      <alignment horizontal="left" vertical="center" wrapText="1"/>
    </xf>
    <xf numFmtId="1" fontId="230" fillId="0" borderId="4" xfId="0" applyNumberFormat="1" applyFont="1" applyBorder="1" applyAlignment="1">
      <alignment horizontal="left" vertical="center" wrapText="1"/>
    </xf>
    <xf numFmtId="0" fontId="230" fillId="0" borderId="0" xfId="28" applyFont="1" applyAlignment="1">
      <alignment horizontal="left" vertical="center"/>
    </xf>
    <xf numFmtId="0" fontId="353" fillId="9" borderId="6" xfId="1" applyFont="1" applyFill="1" applyBorder="1" applyAlignment="1">
      <alignment horizontal="center" vertical="center" textRotation="90" wrapText="1"/>
    </xf>
    <xf numFmtId="0" fontId="13" fillId="9" borderId="6" xfId="1" applyFont="1" applyFill="1" applyBorder="1" applyAlignment="1">
      <alignment horizontal="center" vertical="center" textRotation="90" wrapText="1"/>
    </xf>
    <xf numFmtId="0" fontId="352" fillId="9" borderId="6" xfId="1" applyFont="1" applyFill="1" applyBorder="1" applyAlignment="1">
      <alignment horizontal="center" vertical="center" textRotation="90"/>
    </xf>
    <xf numFmtId="0" fontId="352" fillId="9" borderId="6" xfId="1" applyFont="1" applyFill="1" applyBorder="1" applyAlignment="1">
      <alignment horizontal="center" vertical="center" textRotation="90" wrapText="1"/>
    </xf>
    <xf numFmtId="0" fontId="52" fillId="9" borderId="6" xfId="1" applyFont="1" applyFill="1" applyBorder="1" applyAlignment="1">
      <alignment horizontal="center" vertical="center" textRotation="90" wrapText="1"/>
    </xf>
    <xf numFmtId="0" fontId="52" fillId="9" borderId="1" xfId="1" applyFont="1" applyFill="1" applyBorder="1" applyAlignment="1">
      <alignment horizontal="center" vertical="center" textRotation="90" wrapText="1"/>
    </xf>
    <xf numFmtId="0" fontId="52" fillId="9" borderId="2" xfId="1" applyFont="1" applyFill="1" applyBorder="1" applyAlignment="1">
      <alignment horizontal="center" vertical="center" textRotation="90" wrapText="1"/>
    </xf>
    <xf numFmtId="0" fontId="52" fillId="9" borderId="3" xfId="1" applyFont="1" applyFill="1" applyBorder="1" applyAlignment="1">
      <alignment horizontal="center" vertical="center" textRotation="90" wrapText="1"/>
    </xf>
    <xf numFmtId="0" fontId="42" fillId="9" borderId="6" xfId="0" applyFont="1" applyFill="1" applyBorder="1" applyAlignment="1">
      <alignment horizontal="center" vertical="center" textRotation="90"/>
    </xf>
    <xf numFmtId="0" fontId="353" fillId="9" borderId="6" xfId="1" applyFont="1" applyFill="1" applyBorder="1" applyAlignment="1">
      <alignment horizontal="center" vertical="center" textRotation="90"/>
    </xf>
    <xf numFmtId="0" fontId="353" fillId="9" borderId="9" xfId="1" applyFont="1" applyFill="1" applyBorder="1" applyAlignment="1">
      <alignment horizontal="center" vertical="center"/>
    </xf>
    <xf numFmtId="0" fontId="353" fillId="9" borderId="11" xfId="1" applyFont="1" applyFill="1" applyBorder="1" applyAlignment="1">
      <alignment horizontal="center" vertical="center"/>
    </xf>
    <xf numFmtId="0" fontId="13" fillId="9" borderId="6" xfId="1" applyFont="1" applyFill="1" applyBorder="1" applyAlignment="1">
      <alignment horizontal="center" vertical="center" textRotation="90"/>
    </xf>
    <xf numFmtId="0" fontId="54" fillId="9" borderId="6" xfId="0" applyFont="1" applyFill="1" applyBorder="1" applyAlignment="1">
      <alignment horizontal="center" vertical="center"/>
    </xf>
    <xf numFmtId="0" fontId="352" fillId="9" borderId="1" xfId="1" applyFont="1" applyFill="1" applyBorder="1" applyAlignment="1">
      <alignment horizontal="center" vertical="center" textRotation="90" wrapText="1"/>
    </xf>
    <xf numFmtId="0" fontId="352" fillId="9" borderId="3" xfId="1" applyFont="1" applyFill="1" applyBorder="1" applyAlignment="1">
      <alignment horizontal="center" vertical="center" textRotation="90" wrapText="1"/>
    </xf>
    <xf numFmtId="0" fontId="162" fillId="0" borderId="0" xfId="0" applyFont="1" applyAlignment="1">
      <alignment horizontal="center"/>
    </xf>
    <xf numFmtId="0" fontId="163" fillId="0" borderId="0" xfId="0" applyFont="1" applyAlignment="1">
      <alignment horizontal="center" vertical="top"/>
    </xf>
    <xf numFmtId="0" fontId="43" fillId="9" borderId="1" xfId="0" applyFont="1" applyFill="1" applyBorder="1" applyAlignment="1">
      <alignment horizontal="center" vertical="center" textRotation="90"/>
    </xf>
    <xf numFmtId="0" fontId="43" fillId="9" borderId="2" xfId="0" applyFont="1" applyFill="1" applyBorder="1" applyAlignment="1">
      <alignment horizontal="center" vertical="center" textRotation="90"/>
    </xf>
    <xf numFmtId="0" fontId="43" fillId="9" borderId="3" xfId="0" applyFont="1" applyFill="1" applyBorder="1" applyAlignment="1">
      <alignment horizontal="center" vertical="center" textRotation="90"/>
    </xf>
    <xf numFmtId="0" fontId="52" fillId="9" borderId="6" xfId="1" applyFont="1" applyFill="1" applyBorder="1" applyAlignment="1">
      <alignment horizontal="center" vertical="center" textRotation="90"/>
    </xf>
    <xf numFmtId="0" fontId="54" fillId="9" borderId="7" xfId="0" applyFont="1" applyFill="1" applyBorder="1" applyAlignment="1">
      <alignment horizontal="center" vertical="center"/>
    </xf>
    <xf numFmtId="0" fontId="54" fillId="9" borderId="164" xfId="0" applyFont="1" applyFill="1" applyBorder="1" applyAlignment="1">
      <alignment horizontal="center" vertical="center"/>
    </xf>
    <xf numFmtId="0" fontId="54" fillId="9" borderId="17" xfId="0" applyFont="1" applyFill="1" applyBorder="1" applyAlignment="1">
      <alignment horizontal="center" vertical="center"/>
    </xf>
    <xf numFmtId="0" fontId="54" fillId="9" borderId="19" xfId="0" applyFont="1" applyFill="1" applyBorder="1" applyAlignment="1">
      <alignment horizontal="center" vertical="center"/>
    </xf>
    <xf numFmtId="0" fontId="16" fillId="9" borderId="6" xfId="1" applyFont="1" applyFill="1" applyBorder="1" applyAlignment="1">
      <alignment horizontal="center" vertical="center" textRotation="90"/>
    </xf>
    <xf numFmtId="0" fontId="16" fillId="9" borderId="6" xfId="1" applyFont="1" applyFill="1" applyBorder="1" applyAlignment="1">
      <alignment horizontal="center" vertical="center" textRotation="90" wrapText="1"/>
    </xf>
    <xf numFmtId="0" fontId="222" fillId="0" borderId="0" xfId="69" applyFont="1" applyAlignment="1">
      <alignment horizontal="left" vertical="center" wrapText="1"/>
    </xf>
    <xf numFmtId="0" fontId="222" fillId="0" borderId="0" xfId="69" applyFont="1" applyAlignment="1">
      <alignment horizontal="left" vertical="center"/>
    </xf>
    <xf numFmtId="0" fontId="22" fillId="9" borderId="6" xfId="69" applyFont="1" applyFill="1" applyBorder="1" applyAlignment="1">
      <alignment horizontal="center" vertical="center" wrapText="1"/>
    </xf>
    <xf numFmtId="0" fontId="180" fillId="0" borderId="0" xfId="69" applyFont="1" applyAlignment="1">
      <alignment horizontal="center"/>
    </xf>
    <xf numFmtId="0" fontId="181" fillId="0" borderId="0" xfId="69" applyFont="1" applyAlignment="1">
      <alignment horizontal="center" vertical="top"/>
    </xf>
    <xf numFmtId="0" fontId="14" fillId="9" borderId="6" xfId="69" applyFont="1" applyFill="1" applyBorder="1" applyAlignment="1">
      <alignment horizontal="center" vertical="center" wrapText="1"/>
    </xf>
    <xf numFmtId="0" fontId="17" fillId="9" borderId="6" xfId="69" applyFont="1" applyFill="1" applyBorder="1" applyAlignment="1">
      <alignment horizontal="center" vertical="center" wrapText="1"/>
    </xf>
    <xf numFmtId="0" fontId="99" fillId="9" borderId="6" xfId="69" applyFont="1" applyFill="1" applyBorder="1" applyAlignment="1">
      <alignment vertical="center"/>
    </xf>
    <xf numFmtId="0" fontId="15" fillId="9" borderId="6" xfId="69" applyFont="1" applyFill="1" applyBorder="1" applyAlignment="1">
      <alignment horizontal="center" vertical="center" wrapText="1"/>
    </xf>
    <xf numFmtId="0" fontId="17" fillId="9" borderId="1" xfId="69" applyFont="1" applyFill="1" applyBorder="1" applyAlignment="1">
      <alignment horizontal="center" vertical="center" wrapText="1"/>
    </xf>
    <xf numFmtId="0" fontId="17" fillId="9" borderId="3" xfId="69" applyFont="1" applyFill="1" applyBorder="1" applyAlignment="1">
      <alignment horizontal="center" vertical="center" wrapText="1"/>
    </xf>
    <xf numFmtId="0" fontId="18" fillId="9" borderId="6" xfId="69" applyFont="1" applyFill="1" applyBorder="1" applyAlignment="1">
      <alignment horizontal="center" vertical="center" wrapText="1"/>
    </xf>
    <xf numFmtId="0" fontId="18" fillId="9" borderId="6" xfId="69" applyFont="1" applyFill="1" applyBorder="1" applyAlignment="1">
      <alignment vertical="center"/>
    </xf>
    <xf numFmtId="0" fontId="222" fillId="0" borderId="49" xfId="38" applyFont="1" applyBorder="1" applyAlignment="1">
      <alignment horizontal="left" vertical="center"/>
    </xf>
    <xf numFmtId="0" fontId="222" fillId="0" borderId="163" xfId="38" applyFont="1" applyBorder="1" applyAlignment="1">
      <alignment horizontal="left" vertical="center"/>
    </xf>
    <xf numFmtId="0" fontId="222" fillId="0" borderId="8" xfId="38" applyFont="1" applyBorder="1" applyAlignment="1">
      <alignment horizontal="left" vertical="center"/>
    </xf>
    <xf numFmtId="0" fontId="222" fillId="0" borderId="0" xfId="38" applyFont="1" applyAlignment="1">
      <alignment horizontal="left" vertical="center"/>
    </xf>
    <xf numFmtId="0" fontId="222" fillId="0" borderId="0" xfId="0" applyFont="1" applyAlignment="1">
      <alignment horizontal="left" vertical="center"/>
    </xf>
    <xf numFmtId="0" fontId="210" fillId="0" borderId="0" xfId="38" applyFont="1" applyAlignment="1">
      <alignment horizontal="center"/>
    </xf>
    <xf numFmtId="0" fontId="195" fillId="0" borderId="0" xfId="38" applyFont="1" applyAlignment="1">
      <alignment horizontal="center" vertical="top"/>
    </xf>
    <xf numFmtId="0" fontId="160" fillId="0" borderId="0" xfId="0" applyFont="1" applyAlignment="1">
      <alignment horizontal="center" vertical="center"/>
    </xf>
    <xf numFmtId="0" fontId="161" fillId="0" borderId="0" xfId="0" applyFont="1" applyAlignment="1">
      <alignment horizontal="center" vertical="top" wrapText="1"/>
    </xf>
    <xf numFmtId="173" fontId="10" fillId="9" borderId="9" xfId="38" applyNumberFormat="1" applyFont="1" applyFill="1" applyBorder="1" applyAlignment="1">
      <alignment horizontal="center"/>
    </xf>
    <xf numFmtId="173" fontId="10" fillId="9" borderId="11" xfId="38" applyNumberFormat="1" applyFont="1" applyFill="1" applyBorder="1" applyAlignment="1">
      <alignment horizontal="center"/>
    </xf>
    <xf numFmtId="173" fontId="10" fillId="9" borderId="6" xfId="38" applyNumberFormat="1" applyFont="1" applyFill="1" applyBorder="1" applyAlignment="1">
      <alignment horizontal="center" vertical="center"/>
    </xf>
    <xf numFmtId="173" fontId="10" fillId="9" borderId="6" xfId="38" applyNumberFormat="1" applyFont="1" applyFill="1" applyBorder="1" applyAlignment="1">
      <alignment horizontal="center" vertical="center" wrapText="1"/>
    </xf>
    <xf numFmtId="173" fontId="6" fillId="9" borderId="6" xfId="38" applyNumberFormat="1" applyFont="1" applyFill="1" applyBorder="1" applyAlignment="1">
      <alignment horizontal="center"/>
    </xf>
    <xf numFmtId="173" fontId="157" fillId="0" borderId="0" xfId="38" applyNumberFormat="1" applyFont="1" applyAlignment="1">
      <alignment horizontal="center" wrapText="1"/>
    </xf>
    <xf numFmtId="173" fontId="159" fillId="0" borderId="0" xfId="38" applyNumberFormat="1" applyFont="1" applyAlignment="1">
      <alignment horizontal="center" vertical="top" wrapText="1"/>
    </xf>
    <xf numFmtId="0" fontId="10" fillId="9" borderId="6" xfId="38" applyFont="1" applyFill="1" applyBorder="1" applyAlignment="1">
      <alignment horizontal="center" vertical="center"/>
    </xf>
    <xf numFmtId="173" fontId="142" fillId="9" borderId="6" xfId="38" applyNumberFormat="1" applyFont="1" applyFill="1" applyBorder="1" applyAlignment="1">
      <alignment horizontal="center" vertical="center" wrapText="1"/>
    </xf>
    <xf numFmtId="0" fontId="6" fillId="9" borderId="1" xfId="38" applyFont="1" applyFill="1" applyBorder="1" applyAlignment="1">
      <alignment horizontal="center" vertical="center" wrapText="1"/>
    </xf>
    <xf numFmtId="0" fontId="6" fillId="9" borderId="2" xfId="38" applyFont="1" applyFill="1" applyBorder="1" applyAlignment="1">
      <alignment horizontal="center" vertical="center" wrapText="1"/>
    </xf>
    <xf numFmtId="0" fontId="6" fillId="9" borderId="3" xfId="38" applyFont="1" applyFill="1" applyBorder="1" applyAlignment="1">
      <alignment horizontal="center" vertical="center" wrapText="1"/>
    </xf>
    <xf numFmtId="173" fontId="6" fillId="9" borderId="6" xfId="38" applyNumberFormat="1" applyFont="1" applyFill="1" applyBorder="1" applyAlignment="1">
      <alignment horizontal="center" vertical="center"/>
    </xf>
    <xf numFmtId="173" fontId="6" fillId="9" borderId="9" xfId="38" applyNumberFormat="1" applyFont="1" applyFill="1" applyBorder="1" applyAlignment="1">
      <alignment horizontal="center"/>
    </xf>
    <xf numFmtId="173" fontId="6" fillId="9" borderId="11" xfId="38" applyNumberFormat="1" applyFont="1" applyFill="1" applyBorder="1" applyAlignment="1">
      <alignment horizontal="center"/>
    </xf>
    <xf numFmtId="173" fontId="6" fillId="9" borderId="6" xfId="38" applyNumberFormat="1" applyFont="1" applyFill="1" applyBorder="1" applyAlignment="1">
      <alignment horizontal="center" vertical="center" wrapText="1"/>
    </xf>
    <xf numFmtId="49" fontId="213" fillId="0" borderId="0" xfId="38" applyNumberFormat="1" applyFont="1" applyAlignment="1">
      <alignment horizontal="left" vertical="center" wrapText="1"/>
    </xf>
    <xf numFmtId="0" fontId="160" fillId="3" borderId="0" xfId="0" applyFont="1" applyFill="1" applyAlignment="1">
      <alignment horizontal="center"/>
    </xf>
    <xf numFmtId="0" fontId="161" fillId="3" borderId="0" xfId="0" applyFont="1" applyFill="1" applyAlignment="1">
      <alignment horizontal="center" vertical="top"/>
    </xf>
    <xf numFmtId="0" fontId="36" fillId="9" borderId="23" xfId="0" applyFont="1" applyFill="1" applyBorder="1" applyAlignment="1">
      <alignment horizontal="center" vertical="center"/>
    </xf>
    <xf numFmtId="0" fontId="36" fillId="9" borderId="28" xfId="0" applyFont="1" applyFill="1" applyBorder="1" applyAlignment="1">
      <alignment horizontal="center" vertical="center"/>
    </xf>
    <xf numFmtId="0" fontId="37" fillId="9" borderId="20" xfId="0" applyFont="1" applyFill="1" applyBorder="1" applyAlignment="1">
      <alignment horizontal="center" vertical="center" wrapText="1"/>
    </xf>
    <xf numFmtId="0" fontId="37" fillId="9" borderId="25" xfId="0" applyFont="1" applyFill="1" applyBorder="1" applyAlignment="1">
      <alignment horizontal="center" vertical="center" wrapText="1"/>
    </xf>
    <xf numFmtId="0" fontId="10" fillId="9" borderId="41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0" fillId="9" borderId="47" xfId="0" applyFont="1" applyFill="1" applyBorder="1" applyAlignment="1">
      <alignment horizontal="center" vertical="center"/>
    </xf>
    <xf numFmtId="172" fontId="37" fillId="9" borderId="40" xfId="0" applyNumberFormat="1" applyFont="1" applyFill="1" applyBorder="1" applyAlignment="1">
      <alignment horizontal="center"/>
    </xf>
    <xf numFmtId="172" fontId="37" fillId="9" borderId="44" xfId="0" applyNumberFormat="1" applyFont="1" applyFill="1" applyBorder="1" applyAlignment="1">
      <alignment horizontal="center"/>
    </xf>
    <xf numFmtId="172" fontId="37" fillId="9" borderId="39" xfId="0" applyNumberFormat="1" applyFont="1" applyFill="1" applyBorder="1" applyAlignment="1">
      <alignment horizontal="center"/>
    </xf>
    <xf numFmtId="0" fontId="220" fillId="3" borderId="31" xfId="0" applyFont="1" applyFill="1" applyBorder="1" applyAlignment="1">
      <alignment horizontal="left" vertical="center" wrapText="1"/>
    </xf>
    <xf numFmtId="0" fontId="220" fillId="3" borderId="31" xfId="0" applyFont="1" applyFill="1" applyBorder="1" applyAlignment="1">
      <alignment horizontal="left" vertical="center"/>
    </xf>
    <xf numFmtId="0" fontId="220" fillId="3" borderId="22" xfId="0" applyFont="1" applyFill="1" applyBorder="1" applyAlignment="1">
      <alignment horizontal="left" vertical="center"/>
    </xf>
    <xf numFmtId="0" fontId="4" fillId="9" borderId="44" xfId="0" applyFont="1" applyFill="1" applyBorder="1"/>
    <xf numFmtId="0" fontId="4" fillId="9" borderId="39" xfId="0" applyFont="1" applyFill="1" applyBorder="1"/>
    <xf numFmtId="0" fontId="220" fillId="3" borderId="0" xfId="0" applyFont="1" applyFill="1" applyAlignment="1">
      <alignment horizontal="left" vertical="center" wrapText="1"/>
    </xf>
    <xf numFmtId="0" fontId="220" fillId="3" borderId="24" xfId="0" applyFont="1" applyFill="1" applyBorder="1" applyAlignment="1">
      <alignment horizontal="left" vertical="center"/>
    </xf>
    <xf numFmtId="0" fontId="270" fillId="3" borderId="0" xfId="0" applyFont="1" applyFill="1" applyAlignment="1">
      <alignment horizontal="center"/>
    </xf>
    <xf numFmtId="0" fontId="158" fillId="3" borderId="0" xfId="0" applyFont="1" applyFill="1" applyAlignment="1">
      <alignment horizontal="center" vertical="top"/>
    </xf>
    <xf numFmtId="0" fontId="6" fillId="9" borderId="1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27" fillId="9" borderId="6" xfId="38" applyFont="1" applyFill="1" applyBorder="1" applyAlignment="1">
      <alignment horizontal="center" vertical="center" wrapText="1"/>
    </xf>
    <xf numFmtId="0" fontId="169" fillId="0" borderId="0" xfId="38" applyFont="1" applyAlignment="1">
      <alignment horizontal="center" vertical="center"/>
    </xf>
    <xf numFmtId="0" fontId="170" fillId="0" borderId="0" xfId="38" applyFont="1" applyAlignment="1">
      <alignment horizontal="center" vertical="top"/>
    </xf>
    <xf numFmtId="0" fontId="27" fillId="9" borderId="9" xfId="38" applyFont="1" applyFill="1" applyBorder="1" applyAlignment="1">
      <alignment horizontal="center" vertical="center" wrapText="1"/>
    </xf>
    <xf numFmtId="14" fontId="27" fillId="9" borderId="6" xfId="38" applyNumberFormat="1" applyFont="1" applyFill="1" applyBorder="1" applyAlignment="1">
      <alignment horizontal="center" vertical="center" wrapText="1"/>
    </xf>
    <xf numFmtId="0" fontId="27" fillId="9" borderId="6" xfId="38" applyFont="1" applyFill="1" applyBorder="1" applyAlignment="1">
      <alignment horizontal="center" vertical="center"/>
    </xf>
    <xf numFmtId="0" fontId="27" fillId="9" borderId="1" xfId="38" applyFont="1" applyFill="1" applyBorder="1" applyAlignment="1">
      <alignment horizontal="center" vertical="center" wrapText="1"/>
    </xf>
    <xf numFmtId="0" fontId="27" fillId="9" borderId="2" xfId="38" applyFont="1" applyFill="1" applyBorder="1" applyAlignment="1">
      <alignment horizontal="center" vertical="center" wrapText="1"/>
    </xf>
    <xf numFmtId="0" fontId="27" fillId="9" borderId="3" xfId="38" applyFont="1" applyFill="1" applyBorder="1" applyAlignment="1">
      <alignment horizontal="center" vertical="center" wrapText="1"/>
    </xf>
    <xf numFmtId="2" fontId="27" fillId="9" borderId="6" xfId="38" applyNumberFormat="1" applyFont="1" applyFill="1" applyBorder="1" applyAlignment="1">
      <alignment horizontal="center" vertical="center" wrapText="1"/>
    </xf>
    <xf numFmtId="0" fontId="220" fillId="3" borderId="0" xfId="38" applyFont="1" applyFill="1" applyAlignment="1">
      <alignment horizontal="left" vertical="center" wrapText="1"/>
    </xf>
    <xf numFmtId="0" fontId="220" fillId="3" borderId="0" xfId="38" applyFont="1" applyFill="1" applyAlignment="1">
      <alignment horizontal="left" vertical="center"/>
    </xf>
    <xf numFmtId="0" fontId="28" fillId="9" borderId="7" xfId="38" applyFont="1" applyFill="1" applyBorder="1" applyAlignment="1">
      <alignment horizontal="center" vertical="center" wrapText="1"/>
    </xf>
    <xf numFmtId="0" fontId="28" fillId="9" borderId="17" xfId="38" applyFont="1" applyFill="1" applyBorder="1" applyAlignment="1">
      <alignment horizontal="center" vertical="center" wrapText="1"/>
    </xf>
    <xf numFmtId="0" fontId="28" fillId="9" borderId="1" xfId="38" applyFont="1" applyFill="1" applyBorder="1" applyAlignment="1">
      <alignment horizontal="center" vertical="center" wrapText="1"/>
    </xf>
    <xf numFmtId="0" fontId="28" fillId="9" borderId="3" xfId="38" applyFont="1" applyFill="1" applyBorder="1" applyAlignment="1">
      <alignment horizontal="center" vertical="center" wrapText="1"/>
    </xf>
    <xf numFmtId="0" fontId="4" fillId="9" borderId="1" xfId="38" applyFont="1" applyFill="1" applyBorder="1" applyAlignment="1">
      <alignment horizontal="center" vertical="center" wrapText="1"/>
    </xf>
    <xf numFmtId="0" fontId="4" fillId="9" borderId="3" xfId="38" applyFont="1" applyFill="1" applyBorder="1" applyAlignment="1">
      <alignment horizontal="center" vertical="center" wrapText="1"/>
    </xf>
    <xf numFmtId="14" fontId="28" fillId="9" borderId="1" xfId="38" applyNumberFormat="1" applyFont="1" applyFill="1" applyBorder="1" applyAlignment="1">
      <alignment horizontal="center" vertical="center" wrapText="1"/>
    </xf>
    <xf numFmtId="14" fontId="28" fillId="9" borderId="3" xfId="38" applyNumberFormat="1" applyFont="1" applyFill="1" applyBorder="1" applyAlignment="1">
      <alignment horizontal="center" vertical="center" wrapText="1"/>
    </xf>
    <xf numFmtId="0" fontId="157" fillId="0" borderId="0" xfId="38" applyFont="1" applyAlignment="1">
      <alignment horizontal="center"/>
    </xf>
    <xf numFmtId="0" fontId="4" fillId="9" borderId="6" xfId="38" applyFont="1" applyFill="1" applyBorder="1" applyAlignment="1">
      <alignment horizontal="center" vertical="center" textRotation="90" wrapText="1"/>
    </xf>
    <xf numFmtId="0" fontId="4" fillId="9" borderId="6" xfId="38" applyFont="1" applyFill="1" applyBorder="1" applyAlignment="1">
      <alignment horizontal="center" vertical="center" wrapText="1"/>
    </xf>
    <xf numFmtId="0" fontId="4" fillId="11" borderId="18" xfId="38" applyFont="1" applyFill="1" applyBorder="1" applyAlignment="1">
      <alignment horizontal="center" vertical="center"/>
    </xf>
    <xf numFmtId="0" fontId="4" fillId="9" borderId="1" xfId="38" applyFont="1" applyFill="1" applyBorder="1" applyAlignment="1">
      <alignment horizontal="center" vertical="center" textRotation="90" wrapText="1"/>
    </xf>
    <xf numFmtId="0" fontId="4" fillId="9" borderId="2" xfId="38" applyFont="1" applyFill="1" applyBorder="1" applyAlignment="1">
      <alignment horizontal="center" vertical="center" textRotation="90" wrapText="1"/>
    </xf>
    <xf numFmtId="0" fontId="4" fillId="9" borderId="3" xfId="38" applyFont="1" applyFill="1" applyBorder="1" applyAlignment="1">
      <alignment horizontal="center" vertical="center" textRotation="90" wrapText="1"/>
    </xf>
    <xf numFmtId="14" fontId="4" fillId="9" borderId="6" xfId="38" applyNumberFormat="1" applyFont="1" applyFill="1" applyBorder="1" applyAlignment="1">
      <alignment horizontal="center" vertical="center" textRotation="90" wrapText="1"/>
    </xf>
    <xf numFmtId="0" fontId="4" fillId="9" borderId="9" xfId="38" applyFont="1" applyFill="1" applyBorder="1" applyAlignment="1">
      <alignment horizontal="center" vertical="center" textRotation="90" wrapText="1"/>
    </xf>
    <xf numFmtId="0" fontId="105" fillId="9" borderId="6" xfId="38" applyFont="1" applyFill="1" applyBorder="1" applyAlignment="1">
      <alignment horizontal="center" vertical="center" textRotation="90" wrapText="1"/>
    </xf>
    <xf numFmtId="0" fontId="4" fillId="9" borderId="6" xfId="38" applyFont="1" applyFill="1" applyBorder="1" applyAlignment="1">
      <alignment horizontal="center" textRotation="90" wrapText="1"/>
    </xf>
    <xf numFmtId="0" fontId="159" fillId="0" borderId="0" xfId="38" applyFont="1" applyAlignment="1">
      <alignment horizontal="center" vertical="top"/>
    </xf>
    <xf numFmtId="49" fontId="213" fillId="0" borderId="49" xfId="38" applyNumberFormat="1" applyFont="1" applyBorder="1" applyAlignment="1">
      <alignment horizontal="left" wrapText="1"/>
    </xf>
    <xf numFmtId="0" fontId="4" fillId="0" borderId="9" xfId="38" applyFont="1" applyBorder="1" applyAlignment="1">
      <alignment horizontal="center" vertical="center" wrapText="1"/>
    </xf>
    <xf numFmtId="0" fontId="4" fillId="0" borderId="10" xfId="38" applyFont="1" applyBorder="1" applyAlignment="1">
      <alignment horizontal="center" vertical="center" wrapText="1"/>
    </xf>
    <xf numFmtId="0" fontId="4" fillId="0" borderId="7" xfId="38" applyFont="1" applyBorder="1" applyAlignment="1">
      <alignment horizontal="center" vertical="center" wrapText="1"/>
    </xf>
    <xf numFmtId="0" fontId="4" fillId="0" borderId="17" xfId="38" applyFont="1" applyBorder="1" applyAlignment="1">
      <alignment horizontal="center" vertical="center" wrapText="1"/>
    </xf>
    <xf numFmtId="0" fontId="4" fillId="0" borderId="1" xfId="38" applyFont="1" applyBorder="1" applyAlignment="1">
      <alignment horizontal="center" vertical="center" wrapText="1"/>
    </xf>
    <xf numFmtId="0" fontId="4" fillId="0" borderId="3" xfId="38" applyFont="1" applyBorder="1" applyAlignment="1">
      <alignment horizontal="center" vertical="center" wrapText="1"/>
    </xf>
    <xf numFmtId="14" fontId="4" fillId="0" borderId="1" xfId="38" applyNumberFormat="1" applyFont="1" applyBorder="1" applyAlignment="1">
      <alignment horizontal="center" vertical="center" wrapText="1"/>
    </xf>
    <xf numFmtId="14" fontId="4" fillId="0" borderId="3" xfId="38" applyNumberFormat="1" applyFont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230" fillId="0" borderId="12" xfId="0" applyFont="1" applyBorder="1" applyAlignment="1">
      <alignment horizontal="left" vertical="center" wrapText="1"/>
    </xf>
    <xf numFmtId="0" fontId="230" fillId="0" borderId="12" xfId="0" applyFont="1" applyBorder="1" applyAlignment="1">
      <alignment horizontal="left" vertical="center"/>
    </xf>
    <xf numFmtId="0" fontId="230" fillId="0" borderId="8" xfId="0" applyFont="1" applyBorder="1" applyAlignment="1">
      <alignment horizontal="left" vertical="center"/>
    </xf>
    <xf numFmtId="0" fontId="222" fillId="0" borderId="49" xfId="0" applyFont="1" applyBorder="1" applyAlignment="1">
      <alignment horizontal="left" vertical="center" wrapText="1"/>
    </xf>
    <xf numFmtId="0" fontId="222" fillId="0" borderId="49" xfId="0" applyFont="1" applyBorder="1" applyAlignment="1">
      <alignment horizontal="left" vertical="center"/>
    </xf>
    <xf numFmtId="0" fontId="222" fillId="0" borderId="8" xfId="0" applyFont="1" applyBorder="1" applyAlignment="1">
      <alignment horizontal="left" vertical="center"/>
    </xf>
    <xf numFmtId="0" fontId="13" fillId="9" borderId="1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center" vertical="center" wrapText="1"/>
    </xf>
    <xf numFmtId="0" fontId="13" fillId="9" borderId="11" xfId="0" applyFont="1" applyFill="1" applyBorder="1" applyAlignment="1">
      <alignment horizontal="center" vertical="center" wrapText="1"/>
    </xf>
    <xf numFmtId="0" fontId="220" fillId="3" borderId="0" xfId="0" applyFont="1" applyFill="1" applyAlignment="1">
      <alignment horizontal="left" vertical="justify"/>
    </xf>
    <xf numFmtId="0" fontId="18" fillId="9" borderId="6" xfId="0" applyFont="1" applyFill="1" applyBorder="1" applyAlignment="1">
      <alignment horizontal="center" vertical="center" wrapText="1"/>
    </xf>
    <xf numFmtId="49" fontId="220" fillId="0" borderId="163" xfId="0" applyNumberFormat="1" applyFont="1" applyBorder="1" applyAlignment="1">
      <alignment horizontal="left" vertical="center"/>
    </xf>
    <xf numFmtId="0" fontId="301" fillId="0" borderId="132" xfId="22" applyFont="1" applyBorder="1" applyAlignment="1">
      <alignment horizontal="center" vertical="center" wrapText="1"/>
    </xf>
    <xf numFmtId="0" fontId="301" fillId="0" borderId="133" xfId="22" applyFont="1" applyBorder="1" applyAlignment="1">
      <alignment horizontal="center" vertical="center" wrapText="1"/>
    </xf>
    <xf numFmtId="0" fontId="301" fillId="0" borderId="131" xfId="22" applyFont="1" applyBorder="1" applyAlignment="1">
      <alignment horizontal="center" vertical="center" wrapText="1"/>
    </xf>
    <xf numFmtId="0" fontId="134" fillId="9" borderId="7" xfId="22" applyFont="1" applyFill="1" applyBorder="1" applyAlignment="1">
      <alignment horizontal="center" vertical="center"/>
    </xf>
    <xf numFmtId="0" fontId="134" fillId="9" borderId="5" xfId="22" applyFont="1" applyFill="1" applyBorder="1" applyAlignment="1">
      <alignment horizontal="center" vertical="center"/>
    </xf>
    <xf numFmtId="0" fontId="134" fillId="9" borderId="137" xfId="22" applyFont="1" applyFill="1" applyBorder="1" applyAlignment="1">
      <alignment horizontal="center" vertical="center"/>
    </xf>
    <xf numFmtId="0" fontId="134" fillId="9" borderId="124" xfId="22" applyFont="1" applyFill="1" applyBorder="1" applyAlignment="1">
      <alignment horizontal="center" vertical="center"/>
    </xf>
    <xf numFmtId="0" fontId="246" fillId="9" borderId="146" xfId="22" applyFont="1" applyFill="1" applyBorder="1" applyAlignment="1">
      <alignment horizontal="center" vertical="center"/>
    </xf>
    <xf numFmtId="0" fontId="246" fillId="9" borderId="147" xfId="22" applyFont="1" applyFill="1" applyBorder="1" applyAlignment="1">
      <alignment horizontal="center" vertical="center"/>
    </xf>
    <xf numFmtId="0" fontId="246" fillId="9" borderId="149" xfId="22" applyFont="1" applyFill="1" applyBorder="1" applyAlignment="1">
      <alignment horizontal="center" vertical="center"/>
    </xf>
    <xf numFmtId="0" fontId="246" fillId="9" borderId="150" xfId="22" applyFont="1" applyFill="1" applyBorder="1" applyAlignment="1">
      <alignment horizontal="center" vertical="center"/>
    </xf>
    <xf numFmtId="0" fontId="228" fillId="0" borderId="163" xfId="0" applyFont="1" applyBorder="1" applyAlignment="1">
      <alignment horizontal="left" vertical="center" wrapText="1"/>
    </xf>
    <xf numFmtId="0" fontId="228" fillId="0" borderId="0" xfId="0" applyFont="1" applyAlignment="1">
      <alignment horizontal="left" vertical="center" wrapText="1"/>
    </xf>
    <xf numFmtId="0" fontId="18" fillId="9" borderId="7" xfId="0" applyFont="1" applyFill="1" applyBorder="1" applyAlignment="1">
      <alignment horizontal="center" vertical="center" wrapText="1"/>
    </xf>
    <xf numFmtId="0" fontId="18" fillId="9" borderId="164" xfId="0" applyFont="1" applyFill="1" applyBorder="1" applyAlignment="1">
      <alignment horizontal="center" vertical="center" wrapText="1"/>
    </xf>
    <xf numFmtId="0" fontId="18" fillId="9" borderId="17" xfId="0" applyFont="1" applyFill="1" applyBorder="1" applyAlignment="1">
      <alignment horizontal="center" vertical="center" wrapText="1"/>
    </xf>
    <xf numFmtId="0" fontId="18" fillId="9" borderId="19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/>
    </xf>
    <xf numFmtId="0" fontId="17" fillId="9" borderId="164" xfId="0" applyFont="1" applyFill="1" applyBorder="1" applyAlignment="1">
      <alignment horizontal="center" vertical="center"/>
    </xf>
    <xf numFmtId="0" fontId="17" fillId="9" borderId="17" xfId="0" applyFont="1" applyFill="1" applyBorder="1" applyAlignment="1">
      <alignment horizontal="center" vertical="center"/>
    </xf>
    <xf numFmtId="0" fontId="17" fillId="9" borderId="19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 wrapText="1"/>
    </xf>
    <xf numFmtId="0" fontId="17" fillId="9" borderId="163" xfId="0" applyFont="1" applyFill="1" applyBorder="1" applyAlignment="1">
      <alignment horizontal="center" vertical="center" wrapText="1"/>
    </xf>
    <xf numFmtId="0" fontId="17" fillId="9" borderId="164" xfId="0" applyFont="1" applyFill="1" applyBorder="1" applyAlignment="1">
      <alignment horizontal="center" vertical="center" wrapText="1"/>
    </xf>
    <xf numFmtId="0" fontId="17" fillId="9" borderId="17" xfId="0" applyFont="1" applyFill="1" applyBorder="1" applyAlignment="1">
      <alignment horizontal="center" vertical="center" wrapText="1"/>
    </xf>
    <xf numFmtId="0" fontId="17" fillId="9" borderId="19" xfId="0" applyFont="1" applyFill="1" applyBorder="1" applyAlignment="1">
      <alignment horizontal="center" vertical="center" wrapText="1"/>
    </xf>
    <xf numFmtId="0" fontId="198" fillId="11" borderId="18" xfId="0" applyFont="1" applyFill="1" applyBorder="1" applyAlignment="1">
      <alignment horizontal="right" vertical="center"/>
    </xf>
    <xf numFmtId="0" fontId="18" fillId="9" borderId="7" xfId="0" applyFont="1" applyFill="1" applyBorder="1" applyAlignment="1">
      <alignment horizontal="center" vertical="center"/>
    </xf>
    <xf numFmtId="0" fontId="18" fillId="9" borderId="164" xfId="0" applyFont="1" applyFill="1" applyBorder="1" applyAlignment="1">
      <alignment horizontal="center" vertical="center"/>
    </xf>
    <xf numFmtId="0" fontId="18" fillId="9" borderId="17" xfId="0" applyFont="1" applyFill="1" applyBorder="1" applyAlignment="1">
      <alignment horizontal="center" vertical="center"/>
    </xf>
    <xf numFmtId="0" fontId="18" fillId="9" borderId="19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 wrapText="1"/>
    </xf>
    <xf numFmtId="1" fontId="213" fillId="3" borderId="163" xfId="22" applyNumberFormat="1" applyFont="1" applyFill="1" applyBorder="1" applyAlignment="1">
      <alignment horizontal="left" vertical="center"/>
    </xf>
    <xf numFmtId="1" fontId="213" fillId="3" borderId="0" xfId="22" applyNumberFormat="1" applyFont="1" applyFill="1" applyAlignment="1">
      <alignment horizontal="left" vertical="center"/>
    </xf>
    <xf numFmtId="0" fontId="213" fillId="3" borderId="0" xfId="0" applyFont="1" applyFill="1" applyAlignment="1">
      <alignment horizontal="left" vertical="center"/>
    </xf>
    <xf numFmtId="0" fontId="160" fillId="0" borderId="0" xfId="26" applyFont="1" applyAlignment="1">
      <alignment horizontal="center" vertical="center" wrapText="1"/>
    </xf>
    <xf numFmtId="0" fontId="161" fillId="0" borderId="0" xfId="26" applyFont="1" applyAlignment="1">
      <alignment horizontal="center" vertical="top" wrapText="1"/>
    </xf>
    <xf numFmtId="0" fontId="161" fillId="0" borderId="0" xfId="26" applyFont="1" applyAlignment="1">
      <alignment horizontal="center" vertical="top"/>
    </xf>
    <xf numFmtId="0" fontId="24" fillId="9" borderId="139" xfId="22" applyFont="1" applyFill="1" applyBorder="1" applyAlignment="1">
      <alignment horizontal="center" vertical="center"/>
    </xf>
    <xf numFmtId="0" fontId="24" fillId="9" borderId="140" xfId="22" applyFont="1" applyFill="1" applyBorder="1" applyAlignment="1">
      <alignment horizontal="center" vertical="center"/>
    </xf>
    <xf numFmtId="0" fontId="24" fillId="9" borderId="121" xfId="22" applyFont="1" applyFill="1" applyBorder="1" applyAlignment="1">
      <alignment horizontal="center" vertical="center"/>
    </xf>
    <xf numFmtId="14" fontId="51" fillId="9" borderId="146" xfId="22" applyNumberFormat="1" applyFont="1" applyFill="1" applyBorder="1" applyAlignment="1">
      <alignment horizontal="center" vertical="center" wrapText="1"/>
    </xf>
    <xf numFmtId="0" fontId="51" fillId="9" borderId="147" xfId="22" applyFont="1" applyFill="1" applyBorder="1" applyAlignment="1">
      <alignment horizontal="center" vertical="center" wrapText="1"/>
    </xf>
    <xf numFmtId="0" fontId="51" fillId="9" borderId="148" xfId="22" applyFont="1" applyFill="1" applyBorder="1" applyAlignment="1">
      <alignment horizontal="center" vertical="center" wrapText="1"/>
    </xf>
    <xf numFmtId="0" fontId="24" fillId="9" borderId="144" xfId="22" applyFont="1" applyFill="1" applyBorder="1" applyAlignment="1">
      <alignment horizontal="center" vertical="center"/>
    </xf>
    <xf numFmtId="0" fontId="24" fillId="9" borderId="79" xfId="22" applyFont="1" applyFill="1" applyBorder="1" applyAlignment="1">
      <alignment horizontal="center" vertical="center"/>
    </xf>
    <xf numFmtId="0" fontId="24" fillId="9" borderId="122" xfId="22" applyFont="1" applyFill="1" applyBorder="1" applyAlignment="1">
      <alignment horizontal="center" vertical="center"/>
    </xf>
    <xf numFmtId="1" fontId="51" fillId="9" borderId="66" xfId="22" applyNumberFormat="1" applyFont="1" applyFill="1" applyBorder="1" applyAlignment="1">
      <alignment horizontal="center" vertical="center" wrapText="1"/>
    </xf>
    <xf numFmtId="1" fontId="51" fillId="9" borderId="64" xfId="22" applyNumberFormat="1" applyFont="1" applyFill="1" applyBorder="1" applyAlignment="1">
      <alignment horizontal="center" vertical="center" wrapText="1"/>
    </xf>
    <xf numFmtId="1" fontId="51" fillId="9" borderId="58" xfId="22" applyNumberFormat="1" applyFont="1" applyFill="1" applyBorder="1" applyAlignment="1">
      <alignment horizontal="center" vertical="center" wrapText="1"/>
    </xf>
    <xf numFmtId="1" fontId="51" fillId="9" borderId="56" xfId="22" applyNumberFormat="1" applyFont="1" applyFill="1" applyBorder="1" applyAlignment="1">
      <alignment horizontal="center" vertical="center" wrapText="1"/>
    </xf>
    <xf numFmtId="14" fontId="41" fillId="9" borderId="58" xfId="0" applyNumberFormat="1" applyFont="1" applyFill="1" applyBorder="1" applyAlignment="1">
      <alignment horizontal="center" vertical="center" wrapText="1"/>
    </xf>
    <xf numFmtId="14" fontId="41" fillId="9" borderId="132" xfId="0" applyNumberFormat="1" applyFont="1" applyFill="1" applyBorder="1" applyAlignment="1">
      <alignment horizontal="center" vertical="center" wrapText="1"/>
    </xf>
    <xf numFmtId="14" fontId="41" fillId="9" borderId="56" xfId="0" applyNumberFormat="1" applyFont="1" applyFill="1" applyBorder="1" applyAlignment="1">
      <alignment horizontal="center" vertical="center" wrapText="1"/>
    </xf>
    <xf numFmtId="1" fontId="41" fillId="9" borderId="66" xfId="0" applyNumberFormat="1" applyFont="1" applyFill="1" applyBorder="1" applyAlignment="1">
      <alignment horizontal="center" vertical="center" wrapText="1"/>
    </xf>
    <xf numFmtId="1" fontId="41" fillId="9" borderId="64" xfId="0" applyNumberFormat="1" applyFont="1" applyFill="1" applyBorder="1" applyAlignment="1">
      <alignment horizontal="center" vertical="center" wrapText="1"/>
    </xf>
    <xf numFmtId="0" fontId="41" fillId="9" borderId="58" xfId="0" applyFont="1" applyFill="1" applyBorder="1" applyAlignment="1">
      <alignment horizontal="center" vertical="center" wrapText="1"/>
    </xf>
    <xf numFmtId="0" fontId="41" fillId="9" borderId="56" xfId="0" applyFont="1" applyFill="1" applyBorder="1" applyAlignment="1">
      <alignment horizontal="center" vertical="center" wrapText="1"/>
    </xf>
    <xf numFmtId="0" fontId="17" fillId="9" borderId="6" xfId="26" applyFont="1" applyFill="1" applyBorder="1" applyAlignment="1">
      <alignment horizontal="center" vertical="center" wrapText="1"/>
    </xf>
    <xf numFmtId="0" fontId="17" fillId="9" borderId="7" xfId="26" applyFont="1" applyFill="1" applyBorder="1" applyAlignment="1">
      <alignment horizontal="center" vertical="center" wrapText="1"/>
    </xf>
    <xf numFmtId="0" fontId="17" fillId="9" borderId="163" xfId="26" applyFont="1" applyFill="1" applyBorder="1" applyAlignment="1">
      <alignment horizontal="center" vertical="center" wrapText="1"/>
    </xf>
    <xf numFmtId="0" fontId="17" fillId="9" borderId="164" xfId="26" applyFont="1" applyFill="1" applyBorder="1" applyAlignment="1">
      <alignment horizontal="center" vertical="center" wrapText="1"/>
    </xf>
    <xf numFmtId="0" fontId="17" fillId="9" borderId="17" xfId="26" applyFont="1" applyFill="1" applyBorder="1" applyAlignment="1">
      <alignment horizontal="center" vertical="center" wrapText="1"/>
    </xf>
    <xf numFmtId="0" fontId="17" fillId="9" borderId="18" xfId="26" applyFont="1" applyFill="1" applyBorder="1" applyAlignment="1">
      <alignment horizontal="center" vertical="center" wrapText="1"/>
    </xf>
    <xf numFmtId="0" fontId="17" fillId="9" borderId="19" xfId="26" applyFont="1" applyFill="1" applyBorder="1" applyAlignment="1">
      <alignment horizontal="center" vertical="center" wrapText="1"/>
    </xf>
    <xf numFmtId="0" fontId="17" fillId="9" borderId="9" xfId="26" applyFont="1" applyFill="1" applyBorder="1" applyAlignment="1">
      <alignment horizontal="center" vertical="center" wrapText="1"/>
    </xf>
    <xf numFmtId="0" fontId="17" fillId="9" borderId="10" xfId="26" applyFont="1" applyFill="1" applyBorder="1" applyAlignment="1">
      <alignment horizontal="center" vertical="center" wrapText="1"/>
    </xf>
    <xf numFmtId="0" fontId="17" fillId="9" borderId="11" xfId="26" applyFont="1" applyFill="1" applyBorder="1" applyAlignment="1">
      <alignment horizontal="center" vertical="center" wrapText="1"/>
    </xf>
    <xf numFmtId="0" fontId="47" fillId="9" borderId="6" xfId="26" applyFont="1" applyFill="1" applyBorder="1" applyAlignment="1">
      <alignment horizontal="center" vertical="center"/>
    </xf>
    <xf numFmtId="0" fontId="17" fillId="9" borderId="1" xfId="26" applyFont="1" applyFill="1" applyBorder="1" applyAlignment="1">
      <alignment horizontal="center" vertical="center" wrapText="1"/>
    </xf>
    <xf numFmtId="0" fontId="17" fillId="9" borderId="3" xfId="26" applyFont="1" applyFill="1" applyBorder="1" applyAlignment="1">
      <alignment horizontal="center" vertical="center" wrapText="1"/>
    </xf>
    <xf numFmtId="0" fontId="17" fillId="9" borderId="5" xfId="26" applyFont="1" applyFill="1" applyBorder="1" applyAlignment="1">
      <alignment horizontal="center" vertical="center" wrapText="1"/>
    </xf>
    <xf numFmtId="0" fontId="17" fillId="9" borderId="4" xfId="26" applyFont="1" applyFill="1" applyBorder="1" applyAlignment="1">
      <alignment horizontal="center" vertical="center" wrapText="1"/>
    </xf>
    <xf numFmtId="0" fontId="194" fillId="0" borderId="0" xfId="26" applyFont="1" applyAlignment="1">
      <alignment horizontal="center" vertical="center"/>
    </xf>
    <xf numFmtId="0" fontId="307" fillId="0" borderId="0" xfId="26" applyFont="1" applyAlignment="1">
      <alignment horizontal="center" vertical="top"/>
    </xf>
    <xf numFmtId="49" fontId="17" fillId="9" borderId="6" xfId="26" applyNumberFormat="1" applyFont="1" applyFill="1" applyBorder="1" applyAlignment="1">
      <alignment horizontal="center" vertical="center"/>
    </xf>
    <xf numFmtId="0" fontId="47" fillId="9" borderId="6" xfId="26" applyFont="1" applyFill="1" applyBorder="1" applyAlignment="1">
      <alignment horizontal="center" vertical="center" wrapText="1"/>
    </xf>
    <xf numFmtId="0" fontId="18" fillId="9" borderId="7" xfId="26" applyFont="1" applyFill="1" applyBorder="1" applyAlignment="1">
      <alignment horizontal="center" vertical="center" wrapText="1"/>
    </xf>
    <xf numFmtId="0" fontId="18" fillId="9" borderId="163" xfId="26" applyFont="1" applyFill="1" applyBorder="1" applyAlignment="1">
      <alignment horizontal="center" vertical="center" wrapText="1"/>
    </xf>
    <xf numFmtId="0" fontId="18" fillId="9" borderId="164" xfId="26" applyFont="1" applyFill="1" applyBorder="1" applyAlignment="1">
      <alignment horizontal="center" vertical="center" wrapText="1"/>
    </xf>
    <xf numFmtId="0" fontId="18" fillId="9" borderId="17" xfId="26" applyFont="1" applyFill="1" applyBorder="1" applyAlignment="1">
      <alignment horizontal="center" vertical="center" wrapText="1"/>
    </xf>
    <xf numFmtId="0" fontId="18" fillId="9" borderId="18" xfId="26" applyFont="1" applyFill="1" applyBorder="1" applyAlignment="1">
      <alignment horizontal="center" vertical="center" wrapText="1"/>
    </xf>
    <xf numFmtId="0" fontId="18" fillId="9" borderId="19" xfId="26" applyFont="1" applyFill="1" applyBorder="1" applyAlignment="1">
      <alignment horizontal="center" vertical="center" wrapText="1"/>
    </xf>
    <xf numFmtId="0" fontId="18" fillId="9" borderId="9" xfId="26" applyFont="1" applyFill="1" applyBorder="1" applyAlignment="1">
      <alignment horizontal="center" vertical="center" wrapText="1"/>
    </xf>
    <xf numFmtId="0" fontId="18" fillId="9" borderId="11" xfId="26" applyFont="1" applyFill="1" applyBorder="1" applyAlignment="1">
      <alignment horizontal="center" vertical="center" wrapText="1"/>
    </xf>
    <xf numFmtId="0" fontId="18" fillId="9" borderId="6" xfId="26" applyFont="1" applyFill="1" applyBorder="1" applyAlignment="1">
      <alignment horizontal="center" vertical="center" wrapText="1"/>
    </xf>
    <xf numFmtId="0" fontId="18" fillId="9" borderId="10" xfId="26" applyFont="1" applyFill="1" applyBorder="1" applyAlignment="1">
      <alignment horizontal="center" vertical="center" wrapText="1"/>
    </xf>
    <xf numFmtId="49" fontId="18" fillId="9" borderId="6" xfId="26" applyNumberFormat="1" applyFont="1" applyFill="1" applyBorder="1" applyAlignment="1">
      <alignment horizontal="center" vertical="center"/>
    </xf>
    <xf numFmtId="0" fontId="44" fillId="9" borderId="6" xfId="26" applyFont="1" applyFill="1" applyBorder="1" applyAlignment="1">
      <alignment horizontal="center" vertical="center" wrapText="1"/>
    </xf>
    <xf numFmtId="0" fontId="44" fillId="9" borderId="6" xfId="26" applyFont="1" applyFill="1" applyBorder="1" applyAlignment="1">
      <alignment horizontal="center" vertical="center"/>
    </xf>
    <xf numFmtId="0" fontId="18" fillId="9" borderId="1" xfId="26" applyFont="1" applyFill="1" applyBorder="1" applyAlignment="1">
      <alignment horizontal="center" vertical="center" wrapText="1"/>
    </xf>
    <xf numFmtId="0" fontId="18" fillId="9" borderId="2" xfId="26" applyFont="1" applyFill="1" applyBorder="1" applyAlignment="1">
      <alignment horizontal="center" vertical="center" wrapText="1"/>
    </xf>
    <xf numFmtId="0" fontId="18" fillId="9" borderId="3" xfId="26" applyFont="1" applyFill="1" applyBorder="1" applyAlignment="1">
      <alignment horizontal="center" vertical="center" wrapText="1"/>
    </xf>
    <xf numFmtId="0" fontId="216" fillId="3" borderId="0" xfId="0" applyFont="1" applyFill="1" applyAlignment="1">
      <alignment horizontal="left" vertical="justify"/>
    </xf>
    <xf numFmtId="1" fontId="216" fillId="3" borderId="0" xfId="0" applyNumberFormat="1" applyFont="1" applyFill="1" applyAlignment="1">
      <alignment horizontal="left" vertical="center"/>
    </xf>
    <xf numFmtId="0" fontId="18" fillId="9" borderId="5" xfId="26" applyFont="1" applyFill="1" applyBorder="1" applyAlignment="1">
      <alignment horizontal="center" vertical="center" wrapText="1"/>
    </xf>
    <xf numFmtId="0" fontId="194" fillId="0" borderId="0" xfId="0" applyFont="1" applyAlignment="1">
      <alignment horizontal="center"/>
    </xf>
    <xf numFmtId="0" fontId="307" fillId="0" borderId="0" xfId="0" applyFont="1" applyAlignment="1">
      <alignment horizontal="center" vertical="top"/>
    </xf>
    <xf numFmtId="0" fontId="43" fillId="9" borderId="6" xfId="0" applyFont="1" applyFill="1" applyBorder="1" applyAlignment="1">
      <alignment horizontal="center" vertical="center" wrapText="1"/>
    </xf>
    <xf numFmtId="0" fontId="46" fillId="9" borderId="6" xfId="0" applyFont="1" applyFill="1" applyBorder="1" applyAlignment="1">
      <alignment horizontal="center" vertical="center" wrapText="1"/>
    </xf>
    <xf numFmtId="0" fontId="237" fillId="0" borderId="163" xfId="0" applyFont="1" applyBorder="1" applyAlignment="1">
      <alignment horizontal="left" vertical="center" wrapText="1" readingOrder="1"/>
    </xf>
    <xf numFmtId="0" fontId="237" fillId="0" borderId="164" xfId="0" applyFont="1" applyBorder="1" applyAlignment="1">
      <alignment horizontal="left" vertical="center" wrapText="1" readingOrder="1"/>
    </xf>
    <xf numFmtId="0" fontId="237" fillId="0" borderId="0" xfId="0" applyFont="1" applyAlignment="1">
      <alignment horizontal="left" vertical="center" wrapText="1" readingOrder="1"/>
    </xf>
    <xf numFmtId="0" fontId="237" fillId="0" borderId="0" xfId="0" applyFont="1" applyAlignment="1">
      <alignment horizontal="left" vertical="center" readingOrder="1"/>
    </xf>
    <xf numFmtId="0" fontId="42" fillId="9" borderId="9" xfId="0" applyFont="1" applyFill="1" applyBorder="1" applyAlignment="1">
      <alignment horizontal="center" vertical="center" wrapText="1"/>
    </xf>
    <xf numFmtId="0" fontId="42" fillId="9" borderId="10" xfId="0" applyFont="1" applyFill="1" applyBorder="1" applyAlignment="1">
      <alignment horizontal="center" vertical="center" wrapText="1"/>
    </xf>
    <xf numFmtId="0" fontId="42" fillId="9" borderId="11" xfId="0" applyFont="1" applyFill="1" applyBorder="1" applyAlignment="1">
      <alignment horizontal="center" vertical="center" wrapText="1"/>
    </xf>
    <xf numFmtId="0" fontId="224" fillId="0" borderId="163" xfId="0" applyFont="1" applyBorder="1" applyAlignment="1">
      <alignment horizontal="left" vertical="center" wrapText="1"/>
    </xf>
    <xf numFmtId="0" fontId="42" fillId="9" borderId="1" xfId="0" applyFont="1" applyFill="1" applyBorder="1" applyAlignment="1">
      <alignment horizontal="center" vertical="center"/>
    </xf>
    <xf numFmtId="0" fontId="42" fillId="9" borderId="2" xfId="0" applyFont="1" applyFill="1" applyBorder="1" applyAlignment="1">
      <alignment horizontal="center" vertical="center"/>
    </xf>
    <xf numFmtId="0" fontId="42" fillId="9" borderId="3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center" vertical="center" wrapText="1"/>
    </xf>
    <xf numFmtId="0" fontId="42" fillId="9" borderId="2" xfId="0" applyFont="1" applyFill="1" applyBorder="1" applyAlignment="1">
      <alignment horizontal="center" vertical="center" wrapText="1"/>
    </xf>
    <xf numFmtId="0" fontId="42" fillId="9" borderId="3" xfId="0" applyFont="1" applyFill="1" applyBorder="1" applyAlignment="1">
      <alignment horizontal="center" vertical="center" wrapText="1"/>
    </xf>
    <xf numFmtId="0" fontId="42" fillId="9" borderId="9" xfId="0" applyFont="1" applyFill="1" applyBorder="1" applyAlignment="1">
      <alignment horizontal="center" vertical="center"/>
    </xf>
    <xf numFmtId="0" fontId="42" fillId="9" borderId="10" xfId="0" applyFont="1" applyFill="1" applyBorder="1" applyAlignment="1">
      <alignment horizontal="center" vertical="center"/>
    </xf>
    <xf numFmtId="0" fontId="42" fillId="9" borderId="11" xfId="0" applyFont="1" applyFill="1" applyBorder="1" applyAlignment="1">
      <alignment horizontal="center" vertical="center"/>
    </xf>
    <xf numFmtId="0" fontId="42" fillId="9" borderId="7" xfId="0" applyFont="1" applyFill="1" applyBorder="1" applyAlignment="1">
      <alignment horizontal="center" vertical="center" wrapText="1"/>
    </xf>
    <xf numFmtId="0" fontId="42" fillId="9" borderId="163" xfId="0" applyFont="1" applyFill="1" applyBorder="1" applyAlignment="1">
      <alignment horizontal="center" vertical="center" wrapText="1"/>
    </xf>
    <xf numFmtId="0" fontId="43" fillId="9" borderId="1" xfId="0" applyFont="1" applyFill="1" applyBorder="1" applyAlignment="1">
      <alignment horizontal="center" vertical="center"/>
    </xf>
    <xf numFmtId="0" fontId="43" fillId="9" borderId="2" xfId="0" applyFont="1" applyFill="1" applyBorder="1" applyAlignment="1">
      <alignment horizontal="center" vertical="center"/>
    </xf>
    <xf numFmtId="0" fontId="43" fillId="9" borderId="3" xfId="0" applyFont="1" applyFill="1" applyBorder="1" applyAlignment="1">
      <alignment horizontal="center" vertical="center"/>
    </xf>
    <xf numFmtId="0" fontId="43" fillId="9" borderId="1" xfId="0" applyFont="1" applyFill="1" applyBorder="1" applyAlignment="1">
      <alignment horizontal="center" vertical="center" wrapText="1"/>
    </xf>
    <xf numFmtId="0" fontId="43" fillId="9" borderId="2" xfId="0" applyFont="1" applyFill="1" applyBorder="1" applyAlignment="1">
      <alignment horizontal="center" vertical="center" wrapText="1"/>
    </xf>
    <xf numFmtId="0" fontId="43" fillId="9" borderId="3" xfId="0" applyFont="1" applyFill="1" applyBorder="1" applyAlignment="1">
      <alignment horizontal="center" vertical="center" wrapText="1"/>
    </xf>
    <xf numFmtId="0" fontId="46" fillId="9" borderId="6" xfId="0" applyFont="1" applyFill="1" applyBorder="1" applyAlignment="1">
      <alignment horizontal="center" vertical="center" textRotation="90" wrapText="1"/>
    </xf>
    <xf numFmtId="0" fontId="42" fillId="9" borderId="6" xfId="0" applyFont="1" applyFill="1" applyBorder="1" applyAlignment="1">
      <alignment horizontal="center" vertical="center" textRotation="90" wrapText="1"/>
    </xf>
    <xf numFmtId="0" fontId="164" fillId="11" borderId="18" xfId="0" applyFont="1" applyFill="1" applyBorder="1" applyAlignment="1">
      <alignment horizontal="center" vertical="center"/>
    </xf>
    <xf numFmtId="0" fontId="43" fillId="9" borderId="6" xfId="0" applyFont="1" applyFill="1" applyBorder="1" applyAlignment="1">
      <alignment horizontal="center" vertical="center"/>
    </xf>
    <xf numFmtId="0" fontId="43" fillId="9" borderId="9" xfId="0" applyFont="1" applyFill="1" applyBorder="1" applyAlignment="1">
      <alignment horizontal="center" vertical="center" wrapText="1"/>
    </xf>
    <xf numFmtId="0" fontId="43" fillId="9" borderId="10" xfId="0" applyFont="1" applyFill="1" applyBorder="1" applyAlignment="1">
      <alignment horizontal="center" vertical="center" wrapText="1"/>
    </xf>
    <xf numFmtId="0" fontId="43" fillId="9" borderId="11" xfId="0" applyFont="1" applyFill="1" applyBorder="1" applyAlignment="1">
      <alignment horizontal="center" vertical="center" wrapText="1"/>
    </xf>
    <xf numFmtId="1" fontId="220" fillId="3" borderId="163" xfId="22" applyNumberFormat="1" applyFont="1" applyFill="1" applyBorder="1" applyAlignment="1">
      <alignment horizontal="left" vertical="center"/>
    </xf>
    <xf numFmtId="14" fontId="135" fillId="9" borderId="58" xfId="22" applyNumberFormat="1" applyFont="1" applyFill="1" applyBorder="1" applyAlignment="1">
      <alignment horizontal="center" vertical="center" wrapText="1"/>
    </xf>
    <xf numFmtId="0" fontId="135" fillId="9" borderId="56" xfId="22" applyFont="1" applyFill="1" applyBorder="1" applyAlignment="1">
      <alignment horizontal="center" vertical="center" wrapText="1"/>
    </xf>
    <xf numFmtId="0" fontId="134" fillId="9" borderId="139" xfId="22" applyFont="1" applyFill="1" applyBorder="1" applyAlignment="1">
      <alignment horizontal="center" vertical="center" wrapText="1"/>
    </xf>
    <xf numFmtId="0" fontId="134" fillId="9" borderId="140" xfId="22" applyFont="1" applyFill="1" applyBorder="1" applyAlignment="1">
      <alignment horizontal="center" vertical="center" wrapText="1"/>
    </xf>
    <xf numFmtId="0" fontId="134" fillId="9" borderId="121" xfId="22" applyFont="1" applyFill="1" applyBorder="1" applyAlignment="1">
      <alignment horizontal="center" vertical="center" wrapText="1"/>
    </xf>
    <xf numFmtId="0" fontId="134" fillId="9" borderId="141" xfId="22" applyFont="1" applyFill="1" applyBorder="1" applyAlignment="1">
      <alignment horizontal="center" vertical="center" wrapText="1"/>
    </xf>
    <xf numFmtId="0" fontId="134" fillId="9" borderId="142" xfId="22" applyFont="1" applyFill="1" applyBorder="1" applyAlignment="1">
      <alignment horizontal="center" vertical="center" wrapText="1"/>
    </xf>
    <xf numFmtId="0" fontId="134" fillId="9" borderId="63" xfId="22" applyFont="1" applyFill="1" applyBorder="1" applyAlignment="1">
      <alignment horizontal="center" vertical="center" wrapText="1"/>
    </xf>
    <xf numFmtId="14" fontId="134" fillId="9" borderId="146" xfId="22" applyNumberFormat="1" applyFont="1" applyFill="1" applyBorder="1" applyAlignment="1">
      <alignment horizontal="center" vertical="center" wrapText="1"/>
    </xf>
    <xf numFmtId="14" fontId="134" fillId="9" borderId="148" xfId="22" applyNumberFormat="1" applyFont="1" applyFill="1" applyBorder="1" applyAlignment="1">
      <alignment horizontal="center" vertical="center" wrapText="1"/>
    </xf>
    <xf numFmtId="0" fontId="134" fillId="9" borderId="57" xfId="22" applyFont="1" applyFill="1" applyBorder="1" applyAlignment="1">
      <alignment horizontal="center" vertical="center" wrapText="1"/>
    </xf>
    <xf numFmtId="0" fontId="230" fillId="3" borderId="0" xfId="0" applyFont="1" applyFill="1" applyAlignment="1">
      <alignment horizontal="left" vertical="justify"/>
    </xf>
    <xf numFmtId="0" fontId="100" fillId="0" borderId="0" xfId="0" applyFont="1" applyAlignment="1">
      <alignment horizontal="center" vertical="center"/>
    </xf>
    <xf numFmtId="0" fontId="47" fillId="9" borderId="6" xfId="0" applyFont="1" applyFill="1" applyBorder="1" applyAlignment="1">
      <alignment horizontal="center" vertical="center"/>
    </xf>
    <xf numFmtId="0" fontId="44" fillId="9" borderId="6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center" vertical="center"/>
    </xf>
    <xf numFmtId="0" fontId="44" fillId="9" borderId="6" xfId="0" applyFont="1" applyFill="1" applyBorder="1" applyAlignment="1">
      <alignment horizontal="center" vertical="center"/>
    </xf>
    <xf numFmtId="0" fontId="220" fillId="3" borderId="0" xfId="0" applyFont="1" applyFill="1" applyAlignment="1">
      <alignment horizontal="left" vertical="top" wrapText="1"/>
    </xf>
    <xf numFmtId="0" fontId="170" fillId="0" borderId="0" xfId="0" applyFont="1" applyAlignment="1">
      <alignment horizontal="center" vertical="center"/>
    </xf>
    <xf numFmtId="0" fontId="136" fillId="9" borderId="40" xfId="69" applyFont="1" applyFill="1" applyBorder="1" applyAlignment="1">
      <alignment horizontal="center" vertical="center"/>
    </xf>
    <xf numFmtId="0" fontId="136" fillId="9" borderId="44" xfId="69" applyFont="1" applyFill="1" applyBorder="1" applyAlignment="1">
      <alignment horizontal="center" vertical="center"/>
    </xf>
    <xf numFmtId="0" fontId="247" fillId="0" borderId="0" xfId="69" applyFont="1" applyAlignment="1">
      <alignment horizontal="center" wrapText="1"/>
    </xf>
    <xf numFmtId="0" fontId="302" fillId="0" borderId="0" xfId="69" applyFont="1" applyAlignment="1">
      <alignment horizontal="center" vertical="top" wrapText="1"/>
    </xf>
    <xf numFmtId="14" fontId="82" fillId="9" borderId="46" xfId="69" applyNumberFormat="1" applyFont="1" applyFill="1" applyBorder="1" applyAlignment="1">
      <alignment horizontal="center" vertical="center" wrapText="1"/>
    </xf>
    <xf numFmtId="14" fontId="82" fillId="9" borderId="115" xfId="69" applyNumberFormat="1" applyFont="1" applyFill="1" applyBorder="1" applyAlignment="1">
      <alignment horizontal="center" vertical="center" wrapText="1"/>
    </xf>
    <xf numFmtId="14" fontId="82" fillId="9" borderId="44" xfId="69" applyNumberFormat="1" applyFont="1" applyFill="1" applyBorder="1" applyAlignment="1">
      <alignment horizontal="center" vertical="center" wrapText="1"/>
    </xf>
    <xf numFmtId="14" fontId="84" fillId="9" borderId="46" xfId="69" applyNumberFormat="1" applyFont="1" applyFill="1" applyBorder="1" applyAlignment="1">
      <alignment horizontal="center" vertical="center" wrapText="1"/>
    </xf>
    <xf numFmtId="14" fontId="84" fillId="9" borderId="115" xfId="69" applyNumberFormat="1" applyFont="1" applyFill="1" applyBorder="1" applyAlignment="1">
      <alignment horizontal="center" vertical="center" wrapText="1"/>
    </xf>
    <xf numFmtId="14" fontId="84" fillId="9" borderId="45" xfId="69" applyNumberFormat="1" applyFont="1" applyFill="1" applyBorder="1" applyAlignment="1">
      <alignment horizontal="center" vertical="center" wrapText="1"/>
    </xf>
    <xf numFmtId="14" fontId="82" fillId="9" borderId="45" xfId="69" applyNumberFormat="1" applyFont="1" applyFill="1" applyBorder="1" applyAlignment="1">
      <alignment horizontal="center" vertical="center" wrapText="1"/>
    </xf>
    <xf numFmtId="14" fontId="84" fillId="9" borderId="40" xfId="69" applyNumberFormat="1" applyFont="1" applyFill="1" applyBorder="1" applyAlignment="1">
      <alignment horizontal="center" vertical="center" wrapText="1"/>
    </xf>
    <xf numFmtId="0" fontId="218" fillId="0" borderId="31" xfId="69" applyFont="1" applyBorder="1" applyAlignment="1">
      <alignment horizontal="left" vertical="center"/>
    </xf>
    <xf numFmtId="0" fontId="218" fillId="0" borderId="0" xfId="69" applyFont="1" applyAlignment="1">
      <alignment horizontal="left" vertical="center" wrapText="1"/>
    </xf>
    <xf numFmtId="0" fontId="247" fillId="0" borderId="0" xfId="69" applyFont="1" applyAlignment="1">
      <alignment horizontal="center" vertical="center"/>
    </xf>
    <xf numFmtId="0" fontId="302" fillId="0" borderId="0" xfId="69" applyFont="1" applyAlignment="1">
      <alignment horizontal="center" vertical="top"/>
    </xf>
    <xf numFmtId="0" fontId="188" fillId="11" borderId="0" xfId="69" applyFont="1" applyFill="1" applyAlignment="1">
      <alignment horizontal="right" vertical="center"/>
    </xf>
    <xf numFmtId="0" fontId="84" fillId="9" borderId="41" xfId="69" applyFont="1" applyFill="1" applyBorder="1" applyAlignment="1">
      <alignment horizontal="center" vertical="center" wrapText="1"/>
    </xf>
    <xf numFmtId="0" fontId="84" fillId="9" borderId="47" xfId="69" applyFont="1" applyFill="1" applyBorder="1" applyAlignment="1">
      <alignment horizontal="center" vertical="center" wrapText="1"/>
    </xf>
    <xf numFmtId="0" fontId="82" fillId="9" borderId="41" xfId="69" applyFont="1" applyFill="1" applyBorder="1" applyAlignment="1">
      <alignment horizontal="center" vertical="center" wrapText="1"/>
    </xf>
    <xf numFmtId="0" fontId="82" fillId="9" borderId="47" xfId="69" applyFont="1" applyFill="1" applyBorder="1" applyAlignment="1">
      <alignment horizontal="center" vertical="center" wrapText="1"/>
    </xf>
    <xf numFmtId="0" fontId="144" fillId="9" borderId="41" xfId="69" applyFont="1" applyFill="1" applyBorder="1" applyAlignment="1">
      <alignment horizontal="center" vertical="center" wrapText="1"/>
    </xf>
    <xf numFmtId="0" fontId="144" fillId="9" borderId="47" xfId="69" applyFont="1" applyFill="1" applyBorder="1" applyAlignment="1">
      <alignment horizontal="center" vertical="center" wrapText="1"/>
    </xf>
    <xf numFmtId="0" fontId="23" fillId="9" borderId="14" xfId="69" applyFont="1" applyFill="1" applyBorder="1" applyAlignment="1">
      <alignment horizontal="center"/>
    </xf>
    <xf numFmtId="0" fontId="23" fillId="9" borderId="0" xfId="69" applyFont="1" applyFill="1" applyAlignment="1">
      <alignment horizontal="center"/>
    </xf>
    <xf numFmtId="0" fontId="135" fillId="9" borderId="13" xfId="69" applyFont="1" applyFill="1" applyBorder="1" applyAlignment="1">
      <alignment horizontal="center"/>
    </xf>
    <xf numFmtId="0" fontId="135" fillId="9" borderId="31" xfId="69" applyFont="1" applyFill="1" applyBorder="1" applyAlignment="1">
      <alignment horizontal="center"/>
    </xf>
    <xf numFmtId="14" fontId="82" fillId="9" borderId="40" xfId="69" applyNumberFormat="1" applyFont="1" applyFill="1" applyBorder="1" applyAlignment="1">
      <alignment horizontal="center" vertical="center" wrapText="1"/>
    </xf>
    <xf numFmtId="14" fontId="82" fillId="9" borderId="39" xfId="69" applyNumberFormat="1" applyFont="1" applyFill="1" applyBorder="1" applyAlignment="1">
      <alignment horizontal="center" vertical="center" wrapText="1"/>
    </xf>
    <xf numFmtId="0" fontId="207" fillId="11" borderId="0" xfId="69" applyFont="1" applyFill="1" applyAlignment="1">
      <alignment horizontal="right" vertical="center"/>
    </xf>
    <xf numFmtId="0" fontId="318" fillId="0" borderId="0" xfId="69" applyFont="1" applyAlignment="1">
      <alignment horizontal="center" vertical="top" wrapText="1"/>
    </xf>
    <xf numFmtId="0" fontId="319" fillId="0" borderId="0" xfId="69" applyFont="1" applyAlignment="1">
      <alignment horizontal="center" vertical="top" wrapText="1"/>
    </xf>
    <xf numFmtId="0" fontId="239" fillId="0" borderId="31" xfId="69" applyFont="1" applyBorder="1" applyAlignment="1">
      <alignment horizontal="left" vertical="center" wrapText="1"/>
    </xf>
    <xf numFmtId="0" fontId="205" fillId="0" borderId="0" xfId="69" applyFont="1" applyAlignment="1">
      <alignment horizontal="center" vertical="center" wrapText="1"/>
    </xf>
    <xf numFmtId="0" fontId="200" fillId="0" borderId="0" xfId="69" applyFont="1" applyAlignment="1">
      <alignment horizontal="center" vertical="top" wrapText="1"/>
    </xf>
    <xf numFmtId="0" fontId="207" fillId="11" borderId="0" xfId="69" applyFont="1" applyFill="1" applyAlignment="1">
      <alignment horizontal="right" vertical="center" wrapText="1"/>
    </xf>
    <xf numFmtId="0" fontId="184" fillId="10" borderId="0" xfId="69" applyFont="1" applyFill="1" applyAlignment="1">
      <alignment horizontal="center" vertical="center" wrapText="1"/>
    </xf>
    <xf numFmtId="0" fontId="207" fillId="11" borderId="16" xfId="69" applyFont="1" applyFill="1" applyBorder="1" applyAlignment="1">
      <alignment horizontal="right" vertical="center" wrapText="1"/>
    </xf>
    <xf numFmtId="0" fontId="310" fillId="0" borderId="31" xfId="69" applyFont="1" applyBorder="1" applyAlignment="1">
      <alignment horizontal="left" vertical="top" wrapText="1"/>
    </xf>
    <xf numFmtId="0" fontId="195" fillId="0" borderId="0" xfId="69" applyFont="1" applyAlignment="1">
      <alignment horizontal="center" vertical="top" wrapText="1"/>
    </xf>
    <xf numFmtId="0" fontId="218" fillId="0" borderId="31" xfId="69" applyFont="1" applyBorder="1" applyAlignment="1">
      <alignment horizontal="left" vertical="center" wrapText="1"/>
    </xf>
    <xf numFmtId="0" fontId="349" fillId="0" borderId="0" xfId="69" applyFont="1" applyAlignment="1">
      <alignment horizontal="left" vertical="center" wrapText="1"/>
    </xf>
    <xf numFmtId="0" fontId="188" fillId="11" borderId="16" xfId="69" applyFont="1" applyFill="1" applyBorder="1" applyAlignment="1">
      <alignment horizontal="right" vertical="center" wrapText="1"/>
    </xf>
    <xf numFmtId="0" fontId="187" fillId="11" borderId="16" xfId="69" applyFont="1" applyFill="1" applyBorder="1" applyAlignment="1">
      <alignment horizontal="right" vertical="center" wrapText="1"/>
    </xf>
    <xf numFmtId="0" fontId="86" fillId="9" borderId="17" xfId="69" applyFont="1" applyFill="1" applyBorder="1" applyAlignment="1">
      <alignment horizontal="center" vertical="center" wrapText="1"/>
    </xf>
    <xf numFmtId="0" fontId="86" fillId="9" borderId="18" xfId="69" applyFont="1" applyFill="1" applyBorder="1" applyAlignment="1">
      <alignment horizontal="center" vertical="center" wrapText="1"/>
    </xf>
    <xf numFmtId="0" fontId="86" fillId="9" borderId="19" xfId="69" applyFont="1" applyFill="1" applyBorder="1" applyAlignment="1">
      <alignment horizontal="center" vertical="center" wrapText="1"/>
    </xf>
    <xf numFmtId="0" fontId="88" fillId="9" borderId="7" xfId="69" applyFont="1" applyFill="1" applyBorder="1" applyAlignment="1">
      <alignment horizontal="center" vertical="center" wrapText="1"/>
    </xf>
    <xf numFmtId="0" fontId="88" fillId="9" borderId="5" xfId="69" applyFont="1" applyFill="1" applyBorder="1" applyAlignment="1">
      <alignment horizontal="center" vertical="center" wrapText="1"/>
    </xf>
    <xf numFmtId="0" fontId="88" fillId="9" borderId="17" xfId="69" applyFont="1" applyFill="1" applyBorder="1" applyAlignment="1">
      <alignment horizontal="center" vertical="center" wrapText="1"/>
    </xf>
    <xf numFmtId="0" fontId="88" fillId="9" borderId="6" xfId="69" applyFont="1" applyFill="1" applyBorder="1" applyAlignment="1">
      <alignment horizontal="center" vertical="center" wrapText="1"/>
    </xf>
    <xf numFmtId="0" fontId="88" fillId="9" borderId="137" xfId="69" applyFont="1" applyFill="1" applyBorder="1" applyAlignment="1">
      <alignment horizontal="center" vertical="center" wrapText="1"/>
    </xf>
    <xf numFmtId="182" fontId="92" fillId="9" borderId="6" xfId="4" applyNumberFormat="1" applyFont="1" applyFill="1" applyBorder="1" applyAlignment="1">
      <alignment horizontal="center" vertical="center"/>
    </xf>
    <xf numFmtId="0" fontId="178" fillId="0" borderId="0" xfId="69" applyFont="1" applyAlignment="1">
      <alignment horizontal="center" vertical="center" wrapText="1"/>
    </xf>
    <xf numFmtId="0" fontId="303" fillId="0" borderId="0" xfId="69" applyFont="1" applyAlignment="1">
      <alignment horizontal="center" vertical="center" wrapText="1"/>
    </xf>
    <xf numFmtId="0" fontId="303" fillId="0" borderId="0" xfId="69" applyFont="1" applyAlignment="1">
      <alignment horizontal="center" vertical="center"/>
    </xf>
    <xf numFmtId="0" fontId="344" fillId="9" borderId="6" xfId="69" applyFont="1" applyFill="1" applyBorder="1" applyAlignment="1">
      <alignment horizontal="center" vertical="center" wrapText="1"/>
    </xf>
    <xf numFmtId="182" fontId="86" fillId="9" borderId="9" xfId="4" applyNumberFormat="1" applyFont="1" applyFill="1" applyBorder="1" applyAlignment="1">
      <alignment horizontal="center" vertical="center"/>
    </xf>
    <xf numFmtId="182" fontId="86" fillId="9" borderId="11" xfId="4" applyNumberFormat="1" applyFont="1" applyFill="1" applyBorder="1" applyAlignment="1">
      <alignment horizontal="center" vertical="center"/>
    </xf>
    <xf numFmtId="182" fontId="92" fillId="0" borderId="43" xfId="4" applyNumberFormat="1" applyFont="1" applyFill="1" applyBorder="1" applyAlignment="1">
      <alignment horizontal="center" vertical="center"/>
    </xf>
    <xf numFmtId="182" fontId="92" fillId="0" borderId="48" xfId="4" applyNumberFormat="1" applyFont="1" applyFill="1" applyBorder="1" applyAlignment="1">
      <alignment horizontal="center" vertical="center"/>
    </xf>
    <xf numFmtId="182" fontId="86" fillId="9" borderId="7" xfId="4" applyNumberFormat="1" applyFont="1" applyFill="1" applyBorder="1" applyAlignment="1">
      <alignment horizontal="center" vertical="center"/>
    </xf>
    <xf numFmtId="182" fontId="86" fillId="9" borderId="67" xfId="4" applyNumberFormat="1" applyFont="1" applyFill="1" applyBorder="1" applyAlignment="1">
      <alignment horizontal="center" vertical="center"/>
    </xf>
    <xf numFmtId="0" fontId="303" fillId="0" borderId="0" xfId="69" applyFont="1" applyAlignment="1">
      <alignment horizontal="center" vertical="top" wrapText="1"/>
    </xf>
    <xf numFmtId="0" fontId="88" fillId="9" borderId="6" xfId="27" applyFont="1" applyFill="1" applyBorder="1" applyAlignment="1">
      <alignment horizontal="center" wrapText="1"/>
    </xf>
    <xf numFmtId="0" fontId="88" fillId="9" borderId="6" xfId="27" applyFont="1" applyFill="1" applyBorder="1" applyAlignment="1">
      <alignment horizontal="center" vertical="center" wrapText="1"/>
    </xf>
    <xf numFmtId="0" fontId="249" fillId="9" borderId="6" xfId="27" applyFont="1" applyFill="1" applyBorder="1" applyAlignment="1">
      <alignment horizontal="center" vertical="center"/>
    </xf>
    <xf numFmtId="0" fontId="88" fillId="9" borderId="17" xfId="27" applyFont="1" applyFill="1" applyBorder="1" applyAlignment="1">
      <alignment horizontal="center" vertical="center" wrapText="1"/>
    </xf>
    <xf numFmtId="0" fontId="88" fillId="9" borderId="18" xfId="27" applyFont="1" applyFill="1" applyBorder="1" applyAlignment="1">
      <alignment horizontal="center" vertical="center" wrapText="1"/>
    </xf>
    <xf numFmtId="0" fontId="88" fillId="9" borderId="19" xfId="27" applyFont="1" applyFill="1" applyBorder="1" applyAlignment="1">
      <alignment horizontal="center" vertical="center" wrapText="1"/>
    </xf>
    <xf numFmtId="4" fontId="304" fillId="9" borderId="5" xfId="27" applyNumberFormat="1" applyFont="1" applyFill="1" applyBorder="1" applyAlignment="1">
      <alignment horizontal="center" vertical="center" wrapText="1"/>
    </xf>
    <xf numFmtId="4" fontId="304" fillId="9" borderId="17" xfId="27" applyNumberFormat="1" applyFont="1" applyFill="1" applyBorder="1" applyAlignment="1">
      <alignment horizontal="center" vertical="center" wrapText="1"/>
    </xf>
    <xf numFmtId="4" fontId="304" fillId="9" borderId="1" xfId="27" applyNumberFormat="1" applyFont="1" applyFill="1" applyBorder="1" applyAlignment="1">
      <alignment horizontal="center" vertical="center" wrapText="1"/>
    </xf>
    <xf numFmtId="4" fontId="304" fillId="9" borderId="2" xfId="27" applyNumberFormat="1" applyFont="1" applyFill="1" applyBorder="1" applyAlignment="1">
      <alignment horizontal="center" vertical="center" wrapText="1"/>
    </xf>
    <xf numFmtId="4" fontId="304" fillId="9" borderId="3" xfId="27" applyNumberFormat="1" applyFont="1" applyFill="1" applyBorder="1" applyAlignment="1">
      <alignment horizontal="center" vertical="center" wrapText="1"/>
    </xf>
    <xf numFmtId="182" fontId="90" fillId="9" borderId="6" xfId="6" applyNumberFormat="1" applyFont="1" applyFill="1" applyBorder="1" applyAlignment="1">
      <alignment horizontal="center" vertical="center"/>
    </xf>
    <xf numFmtId="182" fontId="84" fillId="9" borderId="6" xfId="6" applyNumberFormat="1" applyFont="1" applyFill="1" applyBorder="1" applyAlignment="1">
      <alignment horizontal="center" vertical="center"/>
    </xf>
    <xf numFmtId="182" fontId="90" fillId="9" borderId="9" xfId="6" applyNumberFormat="1" applyFont="1" applyFill="1" applyBorder="1" applyAlignment="1">
      <alignment horizontal="center" vertical="center"/>
    </xf>
    <xf numFmtId="182" fontId="90" fillId="9" borderId="11" xfId="6" applyNumberFormat="1" applyFont="1" applyFill="1" applyBorder="1" applyAlignment="1">
      <alignment horizontal="center" vertical="center"/>
    </xf>
    <xf numFmtId="0" fontId="162" fillId="0" borderId="0" xfId="69" applyFont="1" applyAlignment="1">
      <alignment horizontal="center" vertical="center" wrapText="1"/>
    </xf>
    <xf numFmtId="0" fontId="163" fillId="0" borderId="0" xfId="69" applyFont="1" applyAlignment="1">
      <alignment horizontal="center" vertical="top" wrapText="1"/>
    </xf>
    <xf numFmtId="0" fontId="134" fillId="9" borderId="6" xfId="22" applyFont="1" applyFill="1" applyBorder="1" applyAlignment="1">
      <alignment horizontal="center" vertical="center"/>
    </xf>
    <xf numFmtId="0" fontId="134" fillId="9" borderId="6" xfId="22" applyFont="1" applyFill="1" applyBorder="1" applyAlignment="1">
      <alignment horizontal="center" vertical="center" wrapText="1"/>
    </xf>
    <xf numFmtId="0" fontId="24" fillId="9" borderId="6" xfId="22" applyFont="1" applyFill="1" applyBorder="1" applyAlignment="1">
      <alignment horizontal="center" textRotation="90" wrapText="1"/>
    </xf>
    <xf numFmtId="0" fontId="109" fillId="9" borderId="6" xfId="22" applyFont="1" applyFill="1" applyBorder="1" applyAlignment="1">
      <alignment horizontal="center" vertical="center" wrapText="1"/>
    </xf>
    <xf numFmtId="0" fontId="150" fillId="9" borderId="6" xfId="22" applyFont="1" applyFill="1" applyBorder="1" applyAlignment="1">
      <alignment horizontal="center" textRotation="90" wrapText="1"/>
    </xf>
    <xf numFmtId="0" fontId="7" fillId="9" borderId="6" xfId="22" applyFont="1" applyFill="1" applyBorder="1" applyAlignment="1">
      <alignment horizontal="center" textRotation="90" wrapText="1"/>
    </xf>
    <xf numFmtId="0" fontId="150" fillId="0" borderId="0" xfId="96" applyFont="1" applyAlignment="1">
      <alignment horizontal="left" wrapText="1"/>
    </xf>
    <xf numFmtId="0" fontId="160" fillId="0" borderId="0" xfId="96" applyFont="1" applyAlignment="1">
      <alignment horizontal="center" vertical="center" wrapText="1"/>
    </xf>
    <xf numFmtId="0" fontId="161" fillId="0" borderId="0" xfId="96" applyFont="1" applyAlignment="1">
      <alignment horizontal="center" vertical="center" wrapText="1"/>
    </xf>
    <xf numFmtId="0" fontId="134" fillId="9" borderId="1" xfId="96" applyFont="1" applyFill="1" applyBorder="1" applyAlignment="1">
      <alignment horizontal="center" vertical="center" wrapText="1"/>
    </xf>
    <xf numFmtId="0" fontId="134" fillId="9" borderId="2" xfId="96" applyFont="1" applyFill="1" applyBorder="1" applyAlignment="1">
      <alignment horizontal="center" vertical="center" wrapText="1"/>
    </xf>
    <xf numFmtId="0" fontId="134" fillId="9" borderId="3" xfId="96" applyFont="1" applyFill="1" applyBorder="1" applyAlignment="1">
      <alignment horizontal="center" vertical="center" wrapText="1"/>
    </xf>
    <xf numFmtId="0" fontId="134" fillId="9" borderId="6" xfId="96" applyFont="1" applyFill="1" applyBorder="1" applyAlignment="1">
      <alignment horizontal="center" vertical="center" wrapText="1"/>
    </xf>
    <xf numFmtId="0" fontId="135" fillId="9" borderId="9" xfId="96" applyFont="1" applyFill="1" applyBorder="1" applyAlignment="1">
      <alignment horizontal="center" vertical="center" wrapText="1"/>
    </xf>
    <xf numFmtId="0" fontId="135" fillId="9" borderId="10" xfId="96" applyFont="1" applyFill="1" applyBorder="1" applyAlignment="1">
      <alignment horizontal="center" vertical="center" wrapText="1"/>
    </xf>
    <xf numFmtId="0" fontId="135" fillId="9" borderId="11" xfId="96" applyFont="1" applyFill="1" applyBorder="1" applyAlignment="1">
      <alignment horizontal="center" vertical="center" wrapText="1"/>
    </xf>
    <xf numFmtId="0" fontId="296" fillId="0" borderId="0" xfId="96" applyFont="1" applyAlignment="1">
      <alignment horizontal="left" vertical="center" wrapText="1"/>
    </xf>
  </cellXfs>
  <cellStyles count="2622">
    <cellStyle name="=C:\WINNT35\SYSTEM32\COMMAND.COM" xfId="1" xr:uid="{00000000-0005-0000-0000-000000000000}"/>
    <cellStyle name="=C:\WINNT35\SYSTEM32\COMMAND.COM 10" xfId="2" xr:uid="{00000000-0005-0000-0000-000001000000}"/>
    <cellStyle name="=C:\WINNT35\SYSTEM32\COMMAND.COM 10 10" xfId="103" xr:uid="{3AACDDEA-CE0F-4728-ADC0-930C23D63D98}"/>
    <cellStyle name="=C:\WINNT35\SYSTEM32\COMMAND.COM 11" xfId="104" xr:uid="{3CD01360-D1EA-4FEF-AE85-1DDE5B540A15}"/>
    <cellStyle name="=C:\WINNT35\SYSTEM32\COMMAND.COM 11 2" xfId="105" xr:uid="{0CE6CC6A-4891-4113-9EA5-66573113B284}"/>
    <cellStyle name="=C:\WINNT35\SYSTEM32\COMMAND.COM 12" xfId="106" xr:uid="{A628B92A-A32D-4B00-8D24-3A6AB54E12B9}"/>
    <cellStyle name="=C:\WINNT35\SYSTEM32\COMMAND.COM 12 10" xfId="2617" xr:uid="{6DC36A45-2BB2-4B89-9301-DD750B4CCC88}"/>
    <cellStyle name="=C:\WINNT35\SYSTEM32\COMMAND.COM 12 2" xfId="107" xr:uid="{9352DAF2-3CF9-4363-990C-748D501DB95C}"/>
    <cellStyle name="=C:\WINNT35\SYSTEM32\COMMAND.COM 13" xfId="108" xr:uid="{AB40AC3E-2639-4DEA-8DEC-E6859DA90E3D}"/>
    <cellStyle name="=C:\WINNT35\SYSTEM32\COMMAND.COM 14" xfId="109" xr:uid="{D838EE6E-1C84-44C2-9897-BBFAC14A3DEF}"/>
    <cellStyle name="=C:\WINNT35\SYSTEM32\COMMAND.COM 14 2" xfId="110" xr:uid="{4CF0A065-A320-4105-A447-7E720BF7C433}"/>
    <cellStyle name="=C:\WINNT35\SYSTEM32\COMMAND.COM 15" xfId="111" xr:uid="{7A41CE4A-6258-4137-8A4C-2904E0A3444B}"/>
    <cellStyle name="=C:\WINNT35\SYSTEM32\COMMAND.COM 16" xfId="112" xr:uid="{7AF56D5D-E263-4536-A73E-4D155A245E58}"/>
    <cellStyle name="=C:\WINNT35\SYSTEM32\COMMAND.COM 17" xfId="113" xr:uid="{04093FA4-0A7A-4ADB-BFBB-0701893C6AE6}"/>
    <cellStyle name="=C:\WINNT35\SYSTEM32\COMMAND.COM 18" xfId="114" xr:uid="{2CC8B7E7-3338-4A0B-947E-C2884D8A76A5}"/>
    <cellStyle name="=C:\WINNT35\SYSTEM32\COMMAND.COM 19" xfId="115" xr:uid="{1B68DE74-3DC4-46CA-925E-B0ED43C690C7}"/>
    <cellStyle name="=C:\WINNT35\SYSTEM32\COMMAND.COM 2" xfId="3" xr:uid="{00000000-0005-0000-0000-000002000000}"/>
    <cellStyle name="=C:\WINNT35\SYSTEM32\COMMAND.COM 2 10" xfId="117" xr:uid="{E010471C-EAB7-426C-839F-666410B8A922}"/>
    <cellStyle name="=C:\WINNT35\SYSTEM32\COMMAND.COM 2 11" xfId="118" xr:uid="{5FC31BDB-88FC-4D5F-BE79-043DE82F2FFE}"/>
    <cellStyle name="=C:\WINNT35\SYSTEM32\COMMAND.COM 2 12" xfId="119" xr:uid="{41CDB1C8-ABF6-4A74-A8E0-2FC2248CDFDC}"/>
    <cellStyle name="=C:\WINNT35\SYSTEM32\COMMAND.COM 2 13" xfId="120" xr:uid="{87FDD7B4-4730-4173-849D-1506EA9A5A3B}"/>
    <cellStyle name="=C:\WINNT35\SYSTEM32\COMMAND.COM 2 14" xfId="121" xr:uid="{2F4AD409-92F8-4F33-A641-F31FF0E4951E}"/>
    <cellStyle name="=C:\WINNT35\SYSTEM32\COMMAND.COM 2 15" xfId="122" xr:uid="{F45C4B5C-9D96-4869-AE56-2C1D2F0E39D0}"/>
    <cellStyle name="=C:\WINNT35\SYSTEM32\COMMAND.COM 2 16" xfId="116" xr:uid="{9E662E40-34DC-469C-B67E-410349A12332}"/>
    <cellStyle name="=C:\WINNT35\SYSTEM32\COMMAND.COM 2 2" xfId="123" xr:uid="{A1D3B727-0E3E-42A3-AF3B-88505C982EC9}"/>
    <cellStyle name="=C:\WINNT35\SYSTEM32\COMMAND.COM 2 3" xfId="124" xr:uid="{08196BA6-8CC3-4E4F-8B1A-40662ECAB009}"/>
    <cellStyle name="=C:\WINNT35\SYSTEM32\COMMAND.COM 2 4" xfId="125" xr:uid="{57F00FC6-DBB0-45F0-B747-187B9BD55B9A}"/>
    <cellStyle name="=C:\WINNT35\SYSTEM32\COMMAND.COM 2 5" xfId="126" xr:uid="{8939ABEA-7946-4D97-8AB4-64B675FE4E0A}"/>
    <cellStyle name="=C:\WINNT35\SYSTEM32\COMMAND.COM 2 6" xfId="127" xr:uid="{2C5E023A-5ADE-49FC-831E-D6D92FAFE001}"/>
    <cellStyle name="=C:\WINNT35\SYSTEM32\COMMAND.COM 2 7" xfId="128" xr:uid="{CE0D7623-C4F9-42CA-A223-341BDFA5FBF6}"/>
    <cellStyle name="=C:\WINNT35\SYSTEM32\COMMAND.COM 2 8" xfId="129" xr:uid="{87D53FA2-426D-4907-9853-1A7515F33880}"/>
    <cellStyle name="=C:\WINNT35\SYSTEM32\COMMAND.COM 2 9" xfId="130" xr:uid="{59D5BBAE-A031-450A-9D85-949515986372}"/>
    <cellStyle name="=C:\WINNT35\SYSTEM32\COMMAND.COM 3" xfId="131" xr:uid="{BA7C8A8A-0BE7-42D7-ABB5-76D83EE59EEB}"/>
    <cellStyle name="=C:\WINNT35\SYSTEM32\COMMAND.COM 4" xfId="132" xr:uid="{F4DDD23F-8401-4A18-BA8F-12CCA3193A91}"/>
    <cellStyle name="=C:\WINNT35\SYSTEM32\COMMAND.COM 5" xfId="133" xr:uid="{2DE6C5F2-CA0E-4331-93E9-28CA0AC3059C}"/>
    <cellStyle name="=C:\WINNT35\SYSTEM32\COMMAND.COM 5 2" xfId="134" xr:uid="{2C366EFB-0F84-4939-B318-25ADF9583A20}"/>
    <cellStyle name="=C:\WINNT35\SYSTEM32\COMMAND.COM 5 3" xfId="135" xr:uid="{C90F8E1A-7A7C-479E-A677-E8262FC23750}"/>
    <cellStyle name="=C:\WINNT35\SYSTEM32\COMMAND.COM 5 4" xfId="136" xr:uid="{267973DF-6E43-46F2-B223-C743899EE96F}"/>
    <cellStyle name="=C:\WINNT35\SYSTEM32\COMMAND.COM 5 5" xfId="137" xr:uid="{11A82430-62AD-42CB-82A4-4E81EB518FDF}"/>
    <cellStyle name="=C:\WINNT35\SYSTEM32\COMMAND.COM 5 6" xfId="138" xr:uid="{BFAB0795-5A17-4388-A38B-4EB0B229F525}"/>
    <cellStyle name="=C:\WINNT35\SYSTEM32\COMMAND.COM 5 7" xfId="139" xr:uid="{51C6DEE5-3CDF-4ADF-89E7-1FF93523A4F9}"/>
    <cellStyle name="=C:\WINNT35\SYSTEM32\COMMAND.COM 6" xfId="140" xr:uid="{29EBD940-5C31-47F6-A6D2-1ECA15036516}"/>
    <cellStyle name="=C:\WINNT35\SYSTEM32\COMMAND.COM 7" xfId="141" xr:uid="{794D658F-24AA-414B-89AC-E60684C3E223}"/>
    <cellStyle name="=C:\WINNT35\SYSTEM32\COMMAND.COM 8" xfId="142" xr:uid="{B8A7CECC-6468-4D8C-AFC4-C0642F4F2FD2}"/>
    <cellStyle name="=C:\WINNT35\SYSTEM32\COMMAND.COM 8 2" xfId="143" xr:uid="{CB8075E4-5A36-4F35-AE79-2E3207B98F67}"/>
    <cellStyle name="=C:\WINNT35\SYSTEM32\COMMAND.COM 8 3" xfId="144" xr:uid="{CDDEC57B-BECA-4FC3-8F21-B3C045ACF46C}"/>
    <cellStyle name="=C:\WINNT35\SYSTEM32\COMMAND.COM 8 4" xfId="145" xr:uid="{229B617E-C2D6-45D2-A27B-B62D9DF5DD2B}"/>
    <cellStyle name="=C:\WINNT35\SYSTEM32\COMMAND.COM 8 5" xfId="146" xr:uid="{EEA820B3-ECF9-4832-B986-703115125600}"/>
    <cellStyle name="=C:\WINNT35\SYSTEM32\COMMAND.COM 8 6" xfId="147" xr:uid="{7BA5B61E-8F6D-4313-A59E-2E479FAC9F6C}"/>
    <cellStyle name="=C:\WINNT35\SYSTEM32\COMMAND.COM 9" xfId="148" xr:uid="{B8B0B823-D9B8-4EFA-92FB-149510520A40}"/>
    <cellStyle name="=C:\WINNT35\SYSTEM32\COMMAND.COM_Icmdin" xfId="149" xr:uid="{B62FE259-E54E-46A0-9977-36943FBB27F5}"/>
    <cellStyle name="20% - Accent1 10" xfId="150" xr:uid="{1E14C87D-3B4C-463E-BE03-DA1B242DB034}"/>
    <cellStyle name="20% - Accent1 11" xfId="151" xr:uid="{9EA54709-FB25-4175-8863-2E1930412F98}"/>
    <cellStyle name="20% - Accent1 12" xfId="152" xr:uid="{7E1EFC3F-C26C-49B4-A0E9-783F1428F21F}"/>
    <cellStyle name="20% - Accent1 13" xfId="153" xr:uid="{007B2228-FC20-4AD2-B8F2-B71C2CC9DC98}"/>
    <cellStyle name="20% - Accent1 14" xfId="154" xr:uid="{0E8E08F8-8D00-42F6-B846-B226BE65E8DB}"/>
    <cellStyle name="20% - Accent1 15" xfId="155" xr:uid="{F097CAB7-E530-408E-BB8C-8A532B12C3ED}"/>
    <cellStyle name="20% - Accent1 2" xfId="156" xr:uid="{BC2673DE-B975-4ABB-B60D-532B97599997}"/>
    <cellStyle name="20% - Accent1 2 2" xfId="157" xr:uid="{3310FE0C-9B14-426C-B8B9-FB0A3D6BAA4E}"/>
    <cellStyle name="20% - Accent1 2 3" xfId="158" xr:uid="{1B664EBF-D590-4B05-B498-247F08643C71}"/>
    <cellStyle name="20% - Accent1 3" xfId="159" xr:uid="{659E29CD-3160-4C82-AD74-84A10CC907C8}"/>
    <cellStyle name="20% - Accent1 3 2" xfId="160" xr:uid="{7F2B2F19-5E46-46AF-BFB3-74741039C49B}"/>
    <cellStyle name="20% - Accent1 3 3" xfId="161" xr:uid="{155606AA-5179-4AB9-912C-0BE84F892D51}"/>
    <cellStyle name="20% - Accent1 4" xfId="162" xr:uid="{8AD959F8-0F33-4A4F-A917-903FE28A2FF6}"/>
    <cellStyle name="20% - Accent1 4 2" xfId="163" xr:uid="{448FFA48-0C6F-46C0-86BC-0963E1FB6899}"/>
    <cellStyle name="20% - Accent1 4 3" xfId="164" xr:uid="{BCC72A35-0559-4B48-BEF6-65891942F6B6}"/>
    <cellStyle name="20% - Accent1 5" xfId="165" xr:uid="{0C15B309-E4EC-48EA-81B0-7D73250642A8}"/>
    <cellStyle name="20% - Accent1 5 2" xfId="166" xr:uid="{B9AFFFBA-EBAD-4D8F-B32F-7217A9225E7A}"/>
    <cellStyle name="20% - Accent1 5 3" xfId="167" xr:uid="{55A340FA-9AF2-4C5A-ACB9-322DAFFA80A0}"/>
    <cellStyle name="20% - Accent1 6" xfId="168" xr:uid="{BE6D87B6-3927-4280-89C2-FF6AAE5ECB98}"/>
    <cellStyle name="20% - Accent1 6 2" xfId="169" xr:uid="{E8A6E849-37C7-4F65-8DF4-327B1B8237E2}"/>
    <cellStyle name="20% - Accent1 6 3" xfId="170" xr:uid="{7813044D-001A-4DC1-98EA-700562682610}"/>
    <cellStyle name="20% - Accent1 7" xfId="171" xr:uid="{697E0637-C27C-4B58-A941-2FF18E6C4E20}"/>
    <cellStyle name="20% - Accent1 7 2" xfId="172" xr:uid="{6516F6DF-880D-46F3-9AE0-42F4011E0A5F}"/>
    <cellStyle name="20% - Accent1 7 3" xfId="173" xr:uid="{E39FF3A2-B042-420C-AE42-1B268352EADB}"/>
    <cellStyle name="20% - Accent1 8" xfId="174" xr:uid="{44D81FB1-CD9A-4374-8C14-7134CEBEDE98}"/>
    <cellStyle name="20% - Accent1 8 2" xfId="175" xr:uid="{6BF20A9B-53BE-4486-B56F-B99C70784063}"/>
    <cellStyle name="20% - Accent1 8 3" xfId="176" xr:uid="{522DD110-DF9F-4F4A-9F99-7F2DFE391DD6}"/>
    <cellStyle name="20% - Accent1 9" xfId="177" xr:uid="{C2E7131F-4313-4C3A-8E61-0F5177947546}"/>
    <cellStyle name="20% - Accent2 10" xfId="178" xr:uid="{4CCFB0C0-4604-4050-A80B-1395CAB58E64}"/>
    <cellStyle name="20% - Accent2 11" xfId="179" xr:uid="{067FFFC8-20EB-45E0-AD58-D07B80DD03AC}"/>
    <cellStyle name="20% - Accent2 12" xfId="180" xr:uid="{C7A2182C-98DA-4AE9-8A49-46A1C885B3A6}"/>
    <cellStyle name="20% - Accent2 13" xfId="181" xr:uid="{0C0FE3AB-869E-4CA0-8F48-0480CA340D96}"/>
    <cellStyle name="20% - Accent2 14" xfId="182" xr:uid="{0DD1BA69-9D71-401B-AAF9-D9396D04962A}"/>
    <cellStyle name="20% - Accent2 15" xfId="183" xr:uid="{0552921C-E8E1-4401-B943-DBA1C4B02554}"/>
    <cellStyle name="20% - Accent2 2" xfId="184" xr:uid="{C0E3782F-FF2D-4783-A1D7-DB6A4F4F9990}"/>
    <cellStyle name="20% - Accent2 2 2" xfId="185" xr:uid="{23DCF5D3-3816-4907-8089-8A68A5172B1A}"/>
    <cellStyle name="20% - Accent2 2 3" xfId="186" xr:uid="{E4D6206F-F95A-4D2E-80DD-E310538674FB}"/>
    <cellStyle name="20% - Accent2 3" xfId="187" xr:uid="{9B8B7BCA-49F2-4EB7-AEC6-501A79571CCD}"/>
    <cellStyle name="20% - Accent2 3 2" xfId="188" xr:uid="{597BABFD-DBC1-499A-8B4A-4F337C165B5F}"/>
    <cellStyle name="20% - Accent2 3 3" xfId="189" xr:uid="{2EB98F9E-B5FD-40E6-B3E3-3C4B4BBC2B82}"/>
    <cellStyle name="20% - Accent2 4" xfId="190" xr:uid="{8B29A16F-6C73-4C8D-9858-9735C9D95175}"/>
    <cellStyle name="20% - Accent2 4 2" xfId="191" xr:uid="{B2D6E37C-86B7-4C8F-8641-C54BEDFEBB2D}"/>
    <cellStyle name="20% - Accent2 4 3" xfId="192" xr:uid="{008AD39B-90ED-46AF-8035-13FC8EAB68B6}"/>
    <cellStyle name="20% - Accent2 5" xfId="193" xr:uid="{BAC60FC7-F39E-4F03-A58E-DB521809E7BC}"/>
    <cellStyle name="20% - Accent2 5 2" xfId="194" xr:uid="{87D9B613-19D2-426B-9381-7886B7024D5F}"/>
    <cellStyle name="20% - Accent2 5 3" xfId="195" xr:uid="{93AF50C5-6478-4C97-B36D-C7036A8E8096}"/>
    <cellStyle name="20% - Accent2 6" xfId="196" xr:uid="{6F225572-C6EE-4DF3-A55B-475DE20D5FFC}"/>
    <cellStyle name="20% - Accent2 6 2" xfId="197" xr:uid="{D15FF2D9-E975-4FD0-88AD-E0B8A106736C}"/>
    <cellStyle name="20% - Accent2 6 3" xfId="198" xr:uid="{B78C3629-0980-4515-8880-B08BB9FBD59E}"/>
    <cellStyle name="20% - Accent2 7" xfId="199" xr:uid="{9A5E4EFD-9F83-42FC-8E82-97EB7DB720B6}"/>
    <cellStyle name="20% - Accent2 7 2" xfId="200" xr:uid="{C5D8E841-B8E2-49ED-942A-594B8548808A}"/>
    <cellStyle name="20% - Accent2 7 3" xfId="201" xr:uid="{5F715A32-6E2B-45EB-A8B0-317E676F2648}"/>
    <cellStyle name="20% - Accent2 8" xfId="202" xr:uid="{FB21792C-8B36-4F2F-9D21-A8FFACD8E232}"/>
    <cellStyle name="20% - Accent2 8 2" xfId="203" xr:uid="{5098B207-CA65-4DB5-AF30-9CE485620AC8}"/>
    <cellStyle name="20% - Accent2 8 3" xfId="204" xr:uid="{70095730-8311-4ABA-94EB-006D01D022AF}"/>
    <cellStyle name="20% - Accent2 9" xfId="205" xr:uid="{31D27624-BAAB-4E81-B663-A079CA748EA7}"/>
    <cellStyle name="20% - Accent3 10" xfId="206" xr:uid="{16F415DC-73D9-4E51-AAC2-DA30A00D567F}"/>
    <cellStyle name="20% - Accent3 11" xfId="207" xr:uid="{7E87E707-E2C6-45CB-8A50-697FB4D7946B}"/>
    <cellStyle name="20% - Accent3 12" xfId="208" xr:uid="{0414D406-71DE-430A-A42B-2EB325DD696B}"/>
    <cellStyle name="20% - Accent3 13" xfId="209" xr:uid="{F33D95D0-F924-4260-A5D4-5004A15A218A}"/>
    <cellStyle name="20% - Accent3 14" xfId="210" xr:uid="{6130FD70-3CEB-4E93-A698-4E806B6177E9}"/>
    <cellStyle name="20% - Accent3 15" xfId="211" xr:uid="{8E38039F-F3CF-47EE-8553-2C9FE2F12C0C}"/>
    <cellStyle name="20% - Accent3 2" xfId="212" xr:uid="{697585C9-B524-4187-A390-D8F35FFD1B00}"/>
    <cellStyle name="20% - Accent3 2 2" xfId="213" xr:uid="{4325426B-EDF6-4787-B6CE-3B899373CA69}"/>
    <cellStyle name="20% - Accent3 2 3" xfId="214" xr:uid="{8E01729E-F186-4FB2-96AC-B53C06D224E0}"/>
    <cellStyle name="20% - Accent3 3" xfId="215" xr:uid="{4C82ABBD-5A17-4EB8-B20D-E22B470C0D1A}"/>
    <cellStyle name="20% - Accent3 3 2" xfId="216" xr:uid="{9A526B17-2247-48AF-84A0-91FA72BFD05E}"/>
    <cellStyle name="20% - Accent3 3 3" xfId="217" xr:uid="{285AEA50-E19A-4AC4-98E7-6043AC17F157}"/>
    <cellStyle name="20% - Accent3 4" xfId="218" xr:uid="{D0618EBF-BDA3-4BF6-A35B-6A3640AA0F30}"/>
    <cellStyle name="20% - Accent3 4 2" xfId="219" xr:uid="{80D4FFBD-A1BE-4953-A392-1F533C597424}"/>
    <cellStyle name="20% - Accent3 4 3" xfId="220" xr:uid="{C26509EB-AD44-4195-8161-A37886BD5B39}"/>
    <cellStyle name="20% - Accent3 5" xfId="221" xr:uid="{44FCC8F2-3F2A-44CF-8A2C-98AA638E67A6}"/>
    <cellStyle name="20% - Accent3 5 2" xfId="222" xr:uid="{D46E8956-4CBB-4619-BB48-C046420F6E69}"/>
    <cellStyle name="20% - Accent3 5 3" xfId="223" xr:uid="{3BE94395-1FA0-475B-883D-2720D0CAE6F7}"/>
    <cellStyle name="20% - Accent3 6" xfId="224" xr:uid="{36375832-FFAE-4AB2-A565-12F10953D7C8}"/>
    <cellStyle name="20% - Accent3 6 2" xfId="225" xr:uid="{2F5BFB0A-EDFE-477F-8642-C2C17AB1478A}"/>
    <cellStyle name="20% - Accent3 6 3" xfId="226" xr:uid="{98F4CF98-2E31-48A9-9A5D-DD336EC3EDEF}"/>
    <cellStyle name="20% - Accent3 7" xfId="227" xr:uid="{E14628EE-78AD-4D15-B117-D378DAD299B0}"/>
    <cellStyle name="20% - Accent3 7 2" xfId="228" xr:uid="{EA46612A-7E7D-47F4-B302-7E2C97F1EC4F}"/>
    <cellStyle name="20% - Accent3 7 3" xfId="229" xr:uid="{B51D9AA3-B797-4FB4-BF33-143FC896A2D8}"/>
    <cellStyle name="20% - Accent3 8" xfId="230" xr:uid="{E1ABEAD2-9AB2-4B9A-ACDF-20C895DF6E1E}"/>
    <cellStyle name="20% - Accent3 8 2" xfId="231" xr:uid="{3CD9F593-E14E-44FF-9F9F-2E1F40851262}"/>
    <cellStyle name="20% - Accent3 8 3" xfId="232" xr:uid="{18214172-CA97-4B11-94C4-8B7DFA019989}"/>
    <cellStyle name="20% - Accent3 9" xfId="233" xr:uid="{4B290F73-70C5-4607-AE9E-0FE00E60DE25}"/>
    <cellStyle name="20% - Accent4 10" xfId="234" xr:uid="{5C017B38-1FE4-4F5F-B84B-0ECFC61D3224}"/>
    <cellStyle name="20% - Accent4 11" xfId="235" xr:uid="{0C60FEE0-4B2C-49E2-AE50-F45F5EF0D624}"/>
    <cellStyle name="20% - Accent4 12" xfId="236" xr:uid="{098D5187-0A8E-4D9C-9A47-2415B95E0903}"/>
    <cellStyle name="20% - Accent4 13" xfId="237" xr:uid="{F3C048FD-3D68-4ED9-BF16-7A8C646D0195}"/>
    <cellStyle name="20% - Accent4 14" xfId="238" xr:uid="{068DFC47-57BC-4780-B600-C5706A8BC32A}"/>
    <cellStyle name="20% - Accent4 15" xfId="239" xr:uid="{26553250-0A3D-44E2-953C-3B6624E43458}"/>
    <cellStyle name="20% - Accent4 2" xfId="240" xr:uid="{55CE4F54-C080-41FC-A971-0BE3747F79E6}"/>
    <cellStyle name="20% - Accent4 2 2" xfId="241" xr:uid="{DD87D376-B4EC-4390-8A4E-E7AD2659DEFD}"/>
    <cellStyle name="20% - Accent4 2 3" xfId="242" xr:uid="{A64D45BD-6BD0-4826-B0C7-1744E4948875}"/>
    <cellStyle name="20% - Accent4 3" xfId="243" xr:uid="{6EAA9CC5-CBE5-40F4-8327-355CC5F963B6}"/>
    <cellStyle name="20% - Accent4 3 2" xfId="244" xr:uid="{242302CE-6734-4807-91B1-904EECDB2371}"/>
    <cellStyle name="20% - Accent4 3 3" xfId="245" xr:uid="{7472E979-08D4-4954-A731-DB158E7AFBFF}"/>
    <cellStyle name="20% - Accent4 4" xfId="246" xr:uid="{05CE1D1C-4249-429F-BC79-C26530A36D33}"/>
    <cellStyle name="20% - Accent4 4 2" xfId="247" xr:uid="{53D86611-3D23-4435-90A4-222B347B5A27}"/>
    <cellStyle name="20% - Accent4 4 3" xfId="248" xr:uid="{7FBC0665-8671-400D-A673-E64656ACB556}"/>
    <cellStyle name="20% - Accent4 5" xfId="249" xr:uid="{16F5E111-5A75-49C3-93C0-BBA5B768B808}"/>
    <cellStyle name="20% - Accent4 5 2" xfId="250" xr:uid="{9016247E-B667-4A74-9D0E-8E59238A9509}"/>
    <cellStyle name="20% - Accent4 5 3" xfId="251" xr:uid="{49469333-2563-4FF7-A024-DA0285C88BC5}"/>
    <cellStyle name="20% - Accent4 6" xfId="252" xr:uid="{701CF49F-F7CC-4C43-8FA0-A0468E98C85C}"/>
    <cellStyle name="20% - Accent4 6 2" xfId="253" xr:uid="{1729ECDE-E93A-47D5-9A38-87539B49A70F}"/>
    <cellStyle name="20% - Accent4 6 3" xfId="254" xr:uid="{A98FDD5F-94FF-4DB3-BA26-C5A5D2C01558}"/>
    <cellStyle name="20% - Accent4 7" xfId="255" xr:uid="{E46857F1-0767-486F-AD20-22885DCC3E26}"/>
    <cellStyle name="20% - Accent4 7 2" xfId="256" xr:uid="{992C0533-23AB-43A7-BC7A-F7601234FB9B}"/>
    <cellStyle name="20% - Accent4 7 3" xfId="257" xr:uid="{3521BCAC-D7B6-4256-8618-7E9D4BF2ADCF}"/>
    <cellStyle name="20% - Accent4 8" xfId="258" xr:uid="{CCDD440C-B314-4168-BB47-8DABA139988B}"/>
    <cellStyle name="20% - Accent4 8 2" xfId="259" xr:uid="{106AF6DD-1D83-44C0-94D1-B54DE8E9BC09}"/>
    <cellStyle name="20% - Accent4 8 3" xfId="260" xr:uid="{90F969E9-612E-4796-BCC8-3FFFD74DD4B9}"/>
    <cellStyle name="20% - Accent4 9" xfId="261" xr:uid="{E1FD164E-16A2-4840-AAA2-4B3A643E44CB}"/>
    <cellStyle name="20% - Accent5 10" xfId="262" xr:uid="{67E8CA32-ACA3-41C2-86D8-879F124D8F58}"/>
    <cellStyle name="20% - Accent5 11" xfId="263" xr:uid="{F0E06011-34C3-4DA3-8498-1A8EB06C7E46}"/>
    <cellStyle name="20% - Accent5 12" xfId="264" xr:uid="{E7A12FE8-10E5-4BF9-A5BC-76630DE9A1E3}"/>
    <cellStyle name="20% - Accent5 13" xfId="265" xr:uid="{EB1BE822-3406-4245-AC7C-8C0431B8A693}"/>
    <cellStyle name="20% - Accent5 14" xfId="266" xr:uid="{42B953F6-F90D-457B-AE23-5FA71F73ADB5}"/>
    <cellStyle name="20% - Accent5 15" xfId="267" xr:uid="{CCA2BAC4-6D53-4DE6-BE97-69354AFB22CD}"/>
    <cellStyle name="20% - Accent5 2" xfId="268" xr:uid="{42279A0F-B92E-4AC7-83A0-C10BDC1C605B}"/>
    <cellStyle name="20% - Accent5 2 2" xfId="269" xr:uid="{FB808F59-85CC-4366-9160-82A56688A745}"/>
    <cellStyle name="20% - Accent5 2 3" xfId="270" xr:uid="{1B70C8D4-93BD-4E0D-9B6B-ACD5FAB98A7D}"/>
    <cellStyle name="20% - Accent5 3" xfId="271" xr:uid="{40EE29B2-11DA-4EDC-A169-8E7B159DB929}"/>
    <cellStyle name="20% - Accent5 3 2" xfId="272" xr:uid="{77F7005B-6815-4C81-B790-568385640B5C}"/>
    <cellStyle name="20% - Accent5 3 3" xfId="273" xr:uid="{2F462031-6A54-4627-A132-828563D5A8B2}"/>
    <cellStyle name="20% - Accent5 4" xfId="274" xr:uid="{AF50485C-830A-4D88-828D-2DD54FD56C16}"/>
    <cellStyle name="20% - Accent5 4 2" xfId="275" xr:uid="{3A29CE05-8F43-4345-901A-D5D1408757C8}"/>
    <cellStyle name="20% - Accent5 4 3" xfId="276" xr:uid="{0C78983A-C050-4E74-8844-06E31AB27337}"/>
    <cellStyle name="20% - Accent5 5" xfId="277" xr:uid="{A00AE068-A736-4592-9D83-538ACBDCA68E}"/>
    <cellStyle name="20% - Accent5 5 2" xfId="278" xr:uid="{77A63F8B-844E-49BA-A3FB-897DDBFF0C4F}"/>
    <cellStyle name="20% - Accent5 5 3" xfId="279" xr:uid="{00D008AB-1937-42E3-A326-BF973F7AB37D}"/>
    <cellStyle name="20% - Accent5 6" xfId="280" xr:uid="{E6BAD73A-9D40-4BEC-934C-9A53E82C1922}"/>
    <cellStyle name="20% - Accent5 6 2" xfId="281" xr:uid="{229CCE8B-02C5-4F48-A3D0-0E79C448B18E}"/>
    <cellStyle name="20% - Accent5 6 3" xfId="282" xr:uid="{8641AD42-8D77-4C0E-8057-CACCCE8F4A22}"/>
    <cellStyle name="20% - Accent5 7" xfId="283" xr:uid="{0962FEF4-C4EF-4C9F-A1E2-107802D615FB}"/>
    <cellStyle name="20% - Accent5 7 2" xfId="284" xr:uid="{1DBDB14E-FCD6-4141-A2EB-CA0E33D6A0A2}"/>
    <cellStyle name="20% - Accent5 7 3" xfId="285" xr:uid="{6C13ED0A-D477-4948-8FC0-81B684CD8E5A}"/>
    <cellStyle name="20% - Accent5 8" xfId="286" xr:uid="{20FFE6E7-CE71-48A5-8656-76D9F91139A4}"/>
    <cellStyle name="20% - Accent5 8 2" xfId="287" xr:uid="{DB39270F-9E5F-4649-B811-EF8924F79668}"/>
    <cellStyle name="20% - Accent5 8 3" xfId="288" xr:uid="{A06ADD34-3EB4-40F0-AC1C-3E60E6426F1A}"/>
    <cellStyle name="20% - Accent5 9" xfId="289" xr:uid="{3E5C3FD7-E411-4D69-9536-6A8AF00CAD0A}"/>
    <cellStyle name="20% - Accent6 10" xfId="290" xr:uid="{A9E8615D-C25D-482E-AEBE-A1EC85CEF755}"/>
    <cellStyle name="20% - Accent6 11" xfId="291" xr:uid="{85393FC6-36D4-4A1F-940D-CBAC705D9505}"/>
    <cellStyle name="20% - Accent6 12" xfId="292" xr:uid="{9D862CA1-A847-4AFB-94A1-3DA61BCF172E}"/>
    <cellStyle name="20% - Accent6 13" xfId="293" xr:uid="{E7B03F9B-FC20-4A9D-BE03-DE0EAEA3366C}"/>
    <cellStyle name="20% - Accent6 14" xfId="294" xr:uid="{9CB509BC-2840-4443-AE0A-EB9AD765110A}"/>
    <cellStyle name="20% - Accent6 15" xfId="295" xr:uid="{2787DCAB-C085-4BCC-B597-FBE5F0598BB4}"/>
    <cellStyle name="20% - Accent6 2" xfId="296" xr:uid="{8F5A28C9-945D-4C87-ABD5-41EDCE164214}"/>
    <cellStyle name="20% - Accent6 2 2" xfId="297" xr:uid="{717C7FA5-E60E-4C08-9FB6-05C1216C730C}"/>
    <cellStyle name="20% - Accent6 2 3" xfId="298" xr:uid="{168CEE6F-49AD-470A-B45D-9D5F8ED939AD}"/>
    <cellStyle name="20% - Accent6 3" xfId="299" xr:uid="{34970E17-9F07-4EA8-A8B2-BF309BBC85C2}"/>
    <cellStyle name="20% - Accent6 3 2" xfId="300" xr:uid="{357B2473-4510-4C7B-8A13-81444896FAF4}"/>
    <cellStyle name="20% - Accent6 3 3" xfId="301" xr:uid="{12FEBA26-A66D-4398-B8C9-4138CEF954C2}"/>
    <cellStyle name="20% - Accent6 4" xfId="302" xr:uid="{5C16D6A3-E8FF-494E-B232-0EFBA2E4686E}"/>
    <cellStyle name="20% - Accent6 4 2" xfId="303" xr:uid="{2B594024-E40C-48DB-816F-F96594EEE5EE}"/>
    <cellStyle name="20% - Accent6 4 3" xfId="304" xr:uid="{7CFCFA49-4936-4399-ACC6-84EB57446C5E}"/>
    <cellStyle name="20% - Accent6 5" xfId="305" xr:uid="{3CEA5A02-2080-4369-BE4E-3C14B6F00FC6}"/>
    <cellStyle name="20% - Accent6 5 2" xfId="306" xr:uid="{27D140C6-A0BD-4095-9338-6B3F9C0B62A1}"/>
    <cellStyle name="20% - Accent6 5 3" xfId="307" xr:uid="{FC09C685-9561-47BE-8352-5A31446E23CD}"/>
    <cellStyle name="20% - Accent6 6" xfId="308" xr:uid="{A06A8537-B9BC-4903-8AB3-F878E6968D38}"/>
    <cellStyle name="20% - Accent6 6 2" xfId="309" xr:uid="{C95B9B7B-677F-4A32-8992-6A2D741E3C10}"/>
    <cellStyle name="20% - Accent6 6 3" xfId="310" xr:uid="{AD612942-6E84-4389-848A-D2001E8E0A05}"/>
    <cellStyle name="20% - Accent6 7" xfId="311" xr:uid="{98048B56-A795-4FB3-BA9C-7CDDD0779403}"/>
    <cellStyle name="20% - Accent6 7 2" xfId="312" xr:uid="{BFFCFC48-1B46-4BFE-8ADC-E170C7375962}"/>
    <cellStyle name="20% - Accent6 7 3" xfId="313" xr:uid="{BFD03BFD-4455-427F-A82C-1935AAB18B94}"/>
    <cellStyle name="20% - Accent6 8" xfId="314" xr:uid="{90917903-749D-4D7D-9FC8-50853B8F8F01}"/>
    <cellStyle name="20% - Accent6 8 2" xfId="315" xr:uid="{CC31D0DB-B819-41B1-90BB-8FFD281172A6}"/>
    <cellStyle name="20% - Accent6 8 3" xfId="316" xr:uid="{A4A4EEE1-EAEB-464B-8DB3-BF766300FC2F}"/>
    <cellStyle name="20% - Accent6 9" xfId="317" xr:uid="{3A17C437-AA9F-41A7-AFF0-97BA33251F8F}"/>
    <cellStyle name="40% - Accent1 10" xfId="318" xr:uid="{3DED4B8F-EA0F-4B65-8CB6-AB231081DBBF}"/>
    <cellStyle name="40% - Accent1 11" xfId="319" xr:uid="{2FF99075-B148-4650-867F-7B094186F40F}"/>
    <cellStyle name="40% - Accent1 12" xfId="320" xr:uid="{FA67E3F2-1945-442C-8949-381C9A0DF2C0}"/>
    <cellStyle name="40% - Accent1 13" xfId="321" xr:uid="{998F4CD0-CA62-4176-8831-02751FF19183}"/>
    <cellStyle name="40% - Accent1 14" xfId="322" xr:uid="{B8545E02-1DAD-43BC-99F9-0446B7757636}"/>
    <cellStyle name="40% - Accent1 15" xfId="323" xr:uid="{24B98087-EE62-4F41-927F-C8F7C582668B}"/>
    <cellStyle name="40% - Accent1 2" xfId="324" xr:uid="{9038242F-FA62-4593-8C38-6A2069BD9933}"/>
    <cellStyle name="40% - Accent1 2 2" xfId="325" xr:uid="{036A3164-DEE8-46D8-973F-84358A0E29BE}"/>
    <cellStyle name="40% - Accent1 2 3" xfId="326" xr:uid="{446AC086-4868-49D7-A329-B06AAA620088}"/>
    <cellStyle name="40% - Accent1 3" xfId="327" xr:uid="{690E8B57-6947-4DF8-B59D-C5FADE4917B3}"/>
    <cellStyle name="40% - Accent1 3 2" xfId="328" xr:uid="{C5FDEB9D-96FB-43BF-8D96-CC2B9B4F17EA}"/>
    <cellStyle name="40% - Accent1 3 3" xfId="329" xr:uid="{BDC8B274-AD58-428A-A042-DCF6B4CC2E82}"/>
    <cellStyle name="40% - Accent1 4" xfId="330" xr:uid="{106A3787-6DB6-4C09-B284-233937EB0BE7}"/>
    <cellStyle name="40% - Accent1 4 2" xfId="331" xr:uid="{33F1B381-0A74-44AC-A8BC-EA46BD1C7325}"/>
    <cellStyle name="40% - Accent1 4 3" xfId="332" xr:uid="{F2968622-8C61-4406-9FEC-DEAE38F3C53B}"/>
    <cellStyle name="40% - Accent1 5" xfId="333" xr:uid="{200B68C3-3391-4A5A-96AB-85C35501483E}"/>
    <cellStyle name="40% - Accent1 5 2" xfId="334" xr:uid="{436FFE48-DC5E-4864-A16B-F14F1FC27CED}"/>
    <cellStyle name="40% - Accent1 5 3" xfId="335" xr:uid="{290C7F82-FC4C-4AFF-9A96-ADC22CCBBDE0}"/>
    <cellStyle name="40% - Accent1 6" xfId="336" xr:uid="{F51E1889-DBEB-49F1-950D-0FE5ADF2FCE2}"/>
    <cellStyle name="40% - Accent1 6 2" xfId="337" xr:uid="{D80EC663-38D7-4A6D-A28E-6B4377F690FA}"/>
    <cellStyle name="40% - Accent1 6 3" xfId="338" xr:uid="{6D9A2126-8BAD-4A1C-9515-6AA2A08CF804}"/>
    <cellStyle name="40% - Accent1 7" xfId="339" xr:uid="{7FB91E02-7FBC-4067-8EA8-ED5CD5538ABA}"/>
    <cellStyle name="40% - Accent1 7 2" xfId="340" xr:uid="{A7D625A7-20C5-4810-B756-A436F337EB92}"/>
    <cellStyle name="40% - Accent1 7 3" xfId="341" xr:uid="{AD237E94-67D2-4305-AE96-796A8B19FB45}"/>
    <cellStyle name="40% - Accent1 8" xfId="342" xr:uid="{2DDDEB45-2E61-470F-9479-FD5507724FF9}"/>
    <cellStyle name="40% - Accent1 8 2" xfId="343" xr:uid="{E4C6A27E-6A31-4846-9DAC-D2E6CD08F4B1}"/>
    <cellStyle name="40% - Accent1 8 3" xfId="344" xr:uid="{C091AA37-84E8-4E60-BD4C-6AE94F6A095D}"/>
    <cellStyle name="40% - Accent1 9" xfId="345" xr:uid="{0128BB3A-EAAC-4240-9565-23627320EF76}"/>
    <cellStyle name="40% - Accent2 10" xfId="346" xr:uid="{6488B99C-A6CC-4E99-9C4F-0E56BDBD254D}"/>
    <cellStyle name="40% - Accent2 11" xfId="347" xr:uid="{5767EEB3-29DE-4A9E-9534-3E7D7EE69480}"/>
    <cellStyle name="40% - Accent2 12" xfId="348" xr:uid="{20240D1E-A787-4464-8BB9-5D5A49BA089A}"/>
    <cellStyle name="40% - Accent2 13" xfId="349" xr:uid="{21CFF896-F09F-4FE1-B0BB-39FA1F2C7BD0}"/>
    <cellStyle name="40% - Accent2 14" xfId="350" xr:uid="{1F1A8090-40CC-4740-B3F4-600C8166C9EA}"/>
    <cellStyle name="40% - Accent2 15" xfId="351" xr:uid="{F52B171B-46C2-460D-91ED-1CAC514DB185}"/>
    <cellStyle name="40% - Accent2 2" xfId="352" xr:uid="{27B585D4-C461-4894-8642-7BC5751AF895}"/>
    <cellStyle name="40% - Accent2 2 2" xfId="353" xr:uid="{791453AE-A9F4-4056-AB95-9FE8434B2028}"/>
    <cellStyle name="40% - Accent2 2 3" xfId="354" xr:uid="{E1EFF127-6E1C-4D3A-AD5C-83B97435E9D2}"/>
    <cellStyle name="40% - Accent2 3" xfId="355" xr:uid="{ABC5BAD3-15DA-4970-A200-565B9785B469}"/>
    <cellStyle name="40% - Accent2 3 2" xfId="356" xr:uid="{2D71E8D8-2BCD-46C3-BE1E-E29DBEECE69F}"/>
    <cellStyle name="40% - Accent2 3 3" xfId="357" xr:uid="{26933637-E52C-49B0-AEAA-075F5E38B7F3}"/>
    <cellStyle name="40% - Accent2 4" xfId="358" xr:uid="{570C18EC-603F-4865-B52C-2EF540BCF0B2}"/>
    <cellStyle name="40% - Accent2 4 2" xfId="359" xr:uid="{6948AF20-01EA-48C0-BF49-99C9ABBF79D0}"/>
    <cellStyle name="40% - Accent2 4 3" xfId="360" xr:uid="{5BAC9EE9-2848-4A08-ACCA-A05CB5574D15}"/>
    <cellStyle name="40% - Accent2 5" xfId="361" xr:uid="{4D41B146-0D51-40CA-8ED9-991A02D9B48F}"/>
    <cellStyle name="40% - Accent2 5 2" xfId="362" xr:uid="{6385C521-09A4-49EC-B7DA-99FB6CB72012}"/>
    <cellStyle name="40% - Accent2 5 3" xfId="363" xr:uid="{9F0DE297-7CA9-4B54-9C11-260782FCC5EE}"/>
    <cellStyle name="40% - Accent2 6" xfId="364" xr:uid="{58520610-42AB-4CEF-B545-19402715CED7}"/>
    <cellStyle name="40% - Accent2 6 2" xfId="365" xr:uid="{867CA6A4-BECD-460B-871A-0F6605442079}"/>
    <cellStyle name="40% - Accent2 6 3" xfId="366" xr:uid="{18BF80C3-72D4-43F5-AC72-64BFBB91F91D}"/>
    <cellStyle name="40% - Accent2 7" xfId="367" xr:uid="{75C88B10-0AD7-4EEC-AD40-9B156A476FBF}"/>
    <cellStyle name="40% - Accent2 7 2" xfId="368" xr:uid="{1A3887CB-A93E-419C-A122-4B2BD2E4F2C7}"/>
    <cellStyle name="40% - Accent2 7 3" xfId="369" xr:uid="{1C251C6E-ABE6-448A-B57E-C7083B791E3D}"/>
    <cellStyle name="40% - Accent2 8" xfId="370" xr:uid="{A0C7BFCA-F680-4164-95A2-107C0007983C}"/>
    <cellStyle name="40% - Accent2 8 2" xfId="371" xr:uid="{0AC5AB99-5588-45E9-8EA5-7859BD702709}"/>
    <cellStyle name="40% - Accent2 8 3" xfId="372" xr:uid="{4EE414BD-5294-4A2F-9687-3EFF9FFC6516}"/>
    <cellStyle name="40% - Accent2 9" xfId="373" xr:uid="{EC836560-0825-466B-9472-FE22238EE6FE}"/>
    <cellStyle name="40% - Accent3 10" xfId="374" xr:uid="{365C2CE5-4187-47BA-91F8-BDB47503FF93}"/>
    <cellStyle name="40% - Accent3 11" xfId="375" xr:uid="{AAF832EA-1454-4870-A230-ADBD67968850}"/>
    <cellStyle name="40% - Accent3 12" xfId="376" xr:uid="{FEB2C746-578A-49CA-913F-63D5DC916B6D}"/>
    <cellStyle name="40% - Accent3 13" xfId="377" xr:uid="{86DD17B5-63D8-46FD-95CE-6EAAC9BFF65A}"/>
    <cellStyle name="40% - Accent3 14" xfId="378" xr:uid="{A36BCD2B-DB33-4D62-AD4E-1DACFC725267}"/>
    <cellStyle name="40% - Accent3 15" xfId="379" xr:uid="{5A678ECF-E948-471C-A1FD-DAE62DD8C12C}"/>
    <cellStyle name="40% - Accent3 2" xfId="380" xr:uid="{1AE4D68D-6040-47A4-A2DF-F4CEB28EECBF}"/>
    <cellStyle name="40% - Accent3 2 2" xfId="381" xr:uid="{4FC1E925-B348-487D-ABF5-2E84F89A1C23}"/>
    <cellStyle name="40% - Accent3 2 3" xfId="382" xr:uid="{015D9CA5-21E5-49E9-90CF-625A46B7DF0F}"/>
    <cellStyle name="40% - Accent3 3" xfId="383" xr:uid="{1D258263-BDA0-4D42-9DA1-A7CF350B7E32}"/>
    <cellStyle name="40% - Accent3 3 2" xfId="384" xr:uid="{E1295E23-06EA-49DB-BCCE-501BC9F1C5B9}"/>
    <cellStyle name="40% - Accent3 3 3" xfId="385" xr:uid="{A32138F9-4A0F-4EC3-B8DC-807D9B0AFD43}"/>
    <cellStyle name="40% - Accent3 4" xfId="386" xr:uid="{E0B6FB4E-152C-4F0A-889A-2531BFDCDB81}"/>
    <cellStyle name="40% - Accent3 4 2" xfId="387" xr:uid="{A3A229C4-54A1-43AE-890F-89416BC351A4}"/>
    <cellStyle name="40% - Accent3 4 3" xfId="388" xr:uid="{6A73D82F-7025-40FF-9FD9-7353BB3BB781}"/>
    <cellStyle name="40% - Accent3 5" xfId="389" xr:uid="{C989B91E-60D6-4394-A0D0-F0FBCC5534B0}"/>
    <cellStyle name="40% - Accent3 5 2" xfId="390" xr:uid="{7A06A832-1476-4749-AF1A-7847B77D6A75}"/>
    <cellStyle name="40% - Accent3 5 3" xfId="391" xr:uid="{D35C1FA8-0EA3-45AA-A226-0D2ADB87F85B}"/>
    <cellStyle name="40% - Accent3 6" xfId="392" xr:uid="{3DC3CA20-6B8C-4E41-92EB-5FF8D8AA1C8C}"/>
    <cellStyle name="40% - Accent3 6 2" xfId="393" xr:uid="{DF4F1F2E-4690-4A04-A57E-5E91D6F53DCE}"/>
    <cellStyle name="40% - Accent3 6 3" xfId="394" xr:uid="{4B4B5F89-9F91-4DF4-B287-5A586E4FFA39}"/>
    <cellStyle name="40% - Accent3 7" xfId="395" xr:uid="{3FF4FE36-10E0-46AC-B98B-EA1ECB79EFFA}"/>
    <cellStyle name="40% - Accent3 7 2" xfId="396" xr:uid="{92AB5942-98E7-4AC1-9B81-942CA3481C38}"/>
    <cellStyle name="40% - Accent3 7 3" xfId="397" xr:uid="{520BC010-E79E-4BD1-A722-F7EEE96B8239}"/>
    <cellStyle name="40% - Accent3 8" xfId="398" xr:uid="{F536B179-2BFD-4E8C-9EE8-186C6F9E255F}"/>
    <cellStyle name="40% - Accent3 8 2" xfId="399" xr:uid="{581C5971-0AE6-4408-AE82-E53E35148A7F}"/>
    <cellStyle name="40% - Accent3 8 3" xfId="400" xr:uid="{7574400F-5BCA-4494-B672-49A6F332D918}"/>
    <cellStyle name="40% - Accent3 9" xfId="401" xr:uid="{AA3984CA-AC47-4069-917C-57F3B4C981E8}"/>
    <cellStyle name="40% - Accent4 10" xfId="402" xr:uid="{EA672724-3141-4DFD-84C5-8300940C0D6F}"/>
    <cellStyle name="40% - Accent4 11" xfId="403" xr:uid="{EA0C520A-29A2-41CD-A51F-0246F3868FF0}"/>
    <cellStyle name="40% - Accent4 12" xfId="404" xr:uid="{2C5581CA-3C95-4E91-B653-D8E03AB25907}"/>
    <cellStyle name="40% - Accent4 13" xfId="405" xr:uid="{D9942961-276C-41EA-8B7D-4739632EEDBA}"/>
    <cellStyle name="40% - Accent4 14" xfId="406" xr:uid="{73D6215C-AAF9-4C63-A747-85D8E2B95A36}"/>
    <cellStyle name="40% - Accent4 15" xfId="407" xr:uid="{7279B7DF-34BC-4C58-AC90-0916321D9222}"/>
    <cellStyle name="40% - Accent4 2" xfId="408" xr:uid="{668866B0-D220-4F69-A3BC-AE6E0B4A4A64}"/>
    <cellStyle name="40% - Accent4 2 2" xfId="409" xr:uid="{82C37A18-8147-4D9E-B411-6CED2E6C5CA6}"/>
    <cellStyle name="40% - Accent4 2 3" xfId="410" xr:uid="{33DCE652-7CFF-4A34-BEE5-76DFDC9DB92F}"/>
    <cellStyle name="40% - Accent4 3" xfId="411" xr:uid="{E2763699-0AF9-4638-BEE7-AA1A80906994}"/>
    <cellStyle name="40% - Accent4 3 2" xfId="412" xr:uid="{4E90575F-10AC-4F74-8778-9B7B5B780D68}"/>
    <cellStyle name="40% - Accent4 3 3" xfId="413" xr:uid="{A697C165-C8F7-40D1-9334-72879AD79A02}"/>
    <cellStyle name="40% - Accent4 4" xfId="414" xr:uid="{8659517C-3B7A-422C-BD79-3028DCB586C9}"/>
    <cellStyle name="40% - Accent4 4 2" xfId="415" xr:uid="{B884BF15-D0F0-4EE7-B4E0-CC5DE818A392}"/>
    <cellStyle name="40% - Accent4 4 3" xfId="416" xr:uid="{7F3865CF-F778-4445-8BF0-231C3694D978}"/>
    <cellStyle name="40% - Accent4 5" xfId="417" xr:uid="{767B1AB7-9AF3-4A0F-BC47-B14CBFF95F94}"/>
    <cellStyle name="40% - Accent4 5 2" xfId="418" xr:uid="{7BFE5D9B-B40A-4802-8B52-0ED646424939}"/>
    <cellStyle name="40% - Accent4 5 3" xfId="419" xr:uid="{07CA6C10-659B-44BD-9020-CA55C1EB66FA}"/>
    <cellStyle name="40% - Accent4 6" xfId="420" xr:uid="{D5FFC929-6974-487E-A60C-41ACB036E139}"/>
    <cellStyle name="40% - Accent4 6 2" xfId="421" xr:uid="{CCE82C91-7CD5-4066-8CE2-BBB124A96160}"/>
    <cellStyle name="40% - Accent4 6 3" xfId="422" xr:uid="{3638DEE1-AFAD-4A41-9F8B-D528AB3AA3B4}"/>
    <cellStyle name="40% - Accent4 7" xfId="423" xr:uid="{6533F7CB-BC1F-4D5D-8A99-D6DB6041E777}"/>
    <cellStyle name="40% - Accent4 7 2" xfId="424" xr:uid="{F80949B0-098A-45CF-BDBE-E3DEB7F84983}"/>
    <cellStyle name="40% - Accent4 7 3" xfId="425" xr:uid="{3E1EC369-AF15-48FA-B9AF-C8B85FB44D9F}"/>
    <cellStyle name="40% - Accent4 8" xfId="426" xr:uid="{58566FD8-8FD7-4942-BA48-260853DDA464}"/>
    <cellStyle name="40% - Accent4 8 2" xfId="427" xr:uid="{62FD8D0E-1E69-4370-937D-DDB404E561DB}"/>
    <cellStyle name="40% - Accent4 8 3" xfId="428" xr:uid="{AE02F01C-7B45-42A8-935C-192AA6D302BB}"/>
    <cellStyle name="40% - Accent4 9" xfId="429" xr:uid="{639830E4-174B-47BF-8A47-A0FA0883E6FD}"/>
    <cellStyle name="40% - Accent5 10" xfId="430" xr:uid="{BBBF2756-D8E4-4483-A3C7-333B6B0FCF30}"/>
    <cellStyle name="40% - Accent5 11" xfId="431" xr:uid="{F628911E-4887-4A14-8E5A-E236DB7EC184}"/>
    <cellStyle name="40% - Accent5 12" xfId="432" xr:uid="{357158FF-3ACA-473F-BC42-F7E851DAFF31}"/>
    <cellStyle name="40% - Accent5 13" xfId="433" xr:uid="{19BD9FA7-8B79-47E7-9806-4EF18101B1FF}"/>
    <cellStyle name="40% - Accent5 14" xfId="434" xr:uid="{54159C51-FF5E-4D27-9552-AFB9E76E547B}"/>
    <cellStyle name="40% - Accent5 15" xfId="435" xr:uid="{ABB2286A-AB7B-4D0F-88C5-B171391E633B}"/>
    <cellStyle name="40% - Accent5 2" xfId="436" xr:uid="{01A3BD02-9EAF-4ED3-ACB1-A263F55ACBA7}"/>
    <cellStyle name="40% - Accent5 2 2" xfId="437" xr:uid="{6B431E75-29FF-40AC-AF8D-8A87342707F1}"/>
    <cellStyle name="40% - Accent5 2 3" xfId="438" xr:uid="{2C786B34-B28B-43F3-8EF6-5859DC67684A}"/>
    <cellStyle name="40% - Accent5 3" xfId="439" xr:uid="{171FC76B-6C58-4011-BAA5-6A90D03C7737}"/>
    <cellStyle name="40% - Accent5 3 2" xfId="440" xr:uid="{71654CCE-1A86-4FE9-9EA0-3F1A59DFA175}"/>
    <cellStyle name="40% - Accent5 3 3" xfId="441" xr:uid="{87D8CDEE-E238-4E5F-A4F5-C7419D5C0797}"/>
    <cellStyle name="40% - Accent5 4" xfId="442" xr:uid="{1FDA7F48-44DB-40C5-BE78-AC3E34646F86}"/>
    <cellStyle name="40% - Accent5 4 2" xfId="443" xr:uid="{9E93974F-1A9C-404A-963E-BDD0BFD443C4}"/>
    <cellStyle name="40% - Accent5 4 3" xfId="444" xr:uid="{9C320BF2-0370-4E06-A95E-B52E4131094E}"/>
    <cellStyle name="40% - Accent5 5" xfId="445" xr:uid="{4338A5CB-A920-40DF-A10E-F5A9C2295194}"/>
    <cellStyle name="40% - Accent5 5 2" xfId="446" xr:uid="{DC0E268A-C27C-4F26-A898-C3A99DAAFD3F}"/>
    <cellStyle name="40% - Accent5 5 3" xfId="447" xr:uid="{F7233F23-DE35-4642-BE1C-513432BD7295}"/>
    <cellStyle name="40% - Accent5 6" xfId="448" xr:uid="{322BB51B-376D-4B9F-9272-375BC31ACEB0}"/>
    <cellStyle name="40% - Accent5 6 2" xfId="449" xr:uid="{DCFEE65F-74D8-43EF-93C6-16F26F188BC5}"/>
    <cellStyle name="40% - Accent5 6 3" xfId="450" xr:uid="{FECB534F-622D-4703-8FA3-D9E7442D323D}"/>
    <cellStyle name="40% - Accent5 7" xfId="451" xr:uid="{E28856A1-CBA1-4B25-B2B0-77BCFE7E0C0D}"/>
    <cellStyle name="40% - Accent5 7 2" xfId="452" xr:uid="{F947C450-963C-48A0-BAA7-CFB8560A3CE6}"/>
    <cellStyle name="40% - Accent5 7 3" xfId="453" xr:uid="{9AFE37C5-36B9-4179-B0DB-7AF091A9159B}"/>
    <cellStyle name="40% - Accent5 8" xfId="454" xr:uid="{3818C6C9-E89E-442C-AFC3-4B98C55B3A17}"/>
    <cellStyle name="40% - Accent5 8 2" xfId="455" xr:uid="{652A57A1-C7C6-44C1-A01E-DF5ACEC5A485}"/>
    <cellStyle name="40% - Accent5 8 3" xfId="456" xr:uid="{F6C3C0F8-FD54-40AE-B52D-8931E4CA90EF}"/>
    <cellStyle name="40% - Accent5 9" xfId="457" xr:uid="{337A5AC4-FD1F-4B39-BA70-7AC7AAF3480F}"/>
    <cellStyle name="40% - Accent6 10" xfId="458" xr:uid="{3F66CC62-7027-471E-A8EB-6D59C58C76DD}"/>
    <cellStyle name="40% - Accent6 11" xfId="459" xr:uid="{E22C334A-E4C9-42E0-BC60-E4D94CF10404}"/>
    <cellStyle name="40% - Accent6 12" xfId="460" xr:uid="{7404366B-6871-4B50-98C8-E9132007342B}"/>
    <cellStyle name="40% - Accent6 13" xfId="461" xr:uid="{86A67B56-5CBF-48CD-9BEA-1F6731A075EC}"/>
    <cellStyle name="40% - Accent6 14" xfId="462" xr:uid="{893603EB-C8AC-4031-96A3-960568B420C9}"/>
    <cellStyle name="40% - Accent6 15" xfId="463" xr:uid="{313405F5-5406-411F-8022-A8F1DAF782D3}"/>
    <cellStyle name="40% - Accent6 2" xfId="464" xr:uid="{B7B48865-5BCF-41F4-8654-66DECFD918C6}"/>
    <cellStyle name="40% - Accent6 2 2" xfId="465" xr:uid="{A0876B9D-2EA0-4138-8ADA-4ADA11A9939B}"/>
    <cellStyle name="40% - Accent6 2 3" xfId="466" xr:uid="{CB55EFDB-05FD-44F8-9EDB-155C23805BF4}"/>
    <cellStyle name="40% - Accent6 3" xfId="467" xr:uid="{EB0274D4-B889-45FC-A3E1-466EDA414D2A}"/>
    <cellStyle name="40% - Accent6 3 2" xfId="468" xr:uid="{06499084-0DA2-4F16-886A-100E2843BD51}"/>
    <cellStyle name="40% - Accent6 3 3" xfId="469" xr:uid="{AE2DC591-F2C7-4F3F-A6B7-3BA925069B73}"/>
    <cellStyle name="40% - Accent6 4" xfId="470" xr:uid="{05D1CF95-9837-48EE-AA3A-DE2712F3CC64}"/>
    <cellStyle name="40% - Accent6 4 2" xfId="471" xr:uid="{4B3E4360-0BC4-4511-9F41-ACFD104085CC}"/>
    <cellStyle name="40% - Accent6 4 3" xfId="472" xr:uid="{E7503C42-5E90-4C12-AB2F-7AD157B89494}"/>
    <cellStyle name="40% - Accent6 5" xfId="473" xr:uid="{628D2CDC-34D1-477A-9326-170F613EBE5A}"/>
    <cellStyle name="40% - Accent6 5 2" xfId="474" xr:uid="{0FFD2460-1BB4-4DD3-BFF8-FFB041B616BC}"/>
    <cellStyle name="40% - Accent6 5 3" xfId="475" xr:uid="{E2BDA785-212D-4A0E-A096-A5018AA21A61}"/>
    <cellStyle name="40% - Accent6 6" xfId="476" xr:uid="{DFD02460-9C3F-49E5-A437-1F08251C3B33}"/>
    <cellStyle name="40% - Accent6 6 2" xfId="477" xr:uid="{0ECBF095-ED1F-45D0-B10F-1248C8EA2C25}"/>
    <cellStyle name="40% - Accent6 6 3" xfId="478" xr:uid="{F4A81EE7-BD1E-4CE6-9333-8583AF90A829}"/>
    <cellStyle name="40% - Accent6 7" xfId="479" xr:uid="{14C0B9C4-CCAD-4786-946A-AEE8AC6E1BB2}"/>
    <cellStyle name="40% - Accent6 7 2" xfId="480" xr:uid="{BAD0E955-420F-4DEF-8F22-54A1DAF69D6A}"/>
    <cellStyle name="40% - Accent6 7 3" xfId="481" xr:uid="{0778334A-A8E3-4924-B1CD-3EE6CEBAB73F}"/>
    <cellStyle name="40% - Accent6 8" xfId="482" xr:uid="{58435BB3-FFF7-477C-A2BF-F8C2BE1DEFDA}"/>
    <cellStyle name="40% - Accent6 8 2" xfId="483" xr:uid="{CDD92E5C-E9D5-40B9-A301-EF0E2FD5EA27}"/>
    <cellStyle name="40% - Accent6 8 3" xfId="484" xr:uid="{955F2CCE-93B9-4022-B051-BDF600F2F420}"/>
    <cellStyle name="40% - Accent6 9" xfId="485" xr:uid="{AC8518E8-5160-4054-B2AC-6181C5D8B92C}"/>
    <cellStyle name="60% - Accent1 10" xfId="486" xr:uid="{84F9E329-4BFE-4CD6-B009-AF241EE801D4}"/>
    <cellStyle name="60% - Accent1 11" xfId="487" xr:uid="{32C944D4-7BF6-4D77-8844-C8F5EAEBA0F8}"/>
    <cellStyle name="60% - Accent1 12" xfId="488" xr:uid="{B5037F0A-F977-4600-871D-E2455305CD78}"/>
    <cellStyle name="60% - Accent1 13" xfId="489" xr:uid="{18CC3ED1-4BA0-4E67-941E-5738848F4436}"/>
    <cellStyle name="60% - Accent1 14" xfId="490" xr:uid="{1542514F-9AA8-4139-A420-E75A6B5C1CF8}"/>
    <cellStyle name="60% - Accent1 15" xfId="491" xr:uid="{A5B61FD0-8C96-42AA-A12D-242DE830F7F2}"/>
    <cellStyle name="60% - Accent1 2" xfId="492" xr:uid="{A6D69069-07D0-47DC-8474-C0CEB88B6242}"/>
    <cellStyle name="60% - Accent1 2 2" xfId="493" xr:uid="{534DBB89-917B-44A7-A9D0-32594F88E5BA}"/>
    <cellStyle name="60% - Accent1 2 3" xfId="494" xr:uid="{828B3584-1645-43BB-935D-7F5A1FDB79A2}"/>
    <cellStyle name="60% - Accent1 3" xfId="495" xr:uid="{76808FAB-7AF8-4484-96AE-756516EEC7FE}"/>
    <cellStyle name="60% - Accent1 3 2" xfId="496" xr:uid="{497FF6B7-F108-4B45-B13C-15BFAAB3D62B}"/>
    <cellStyle name="60% - Accent1 3 3" xfId="497" xr:uid="{9BDE175E-5D3F-4FD7-9216-D7AACB29BB5B}"/>
    <cellStyle name="60% - Accent1 4" xfId="498" xr:uid="{02B19F9E-B585-42AD-B5CC-3CBE946189E1}"/>
    <cellStyle name="60% - Accent1 4 2" xfId="499" xr:uid="{447AE63B-99B6-407A-86E9-FA969CFF54B6}"/>
    <cellStyle name="60% - Accent1 4 3" xfId="500" xr:uid="{AF4CD589-7708-4139-A351-6168B0696153}"/>
    <cellStyle name="60% - Accent1 5" xfId="501" xr:uid="{7F5541C6-113D-43D4-8913-2578709BC849}"/>
    <cellStyle name="60% - Accent1 5 2" xfId="502" xr:uid="{75D88239-03C4-40A2-B704-AAC9299BAEF0}"/>
    <cellStyle name="60% - Accent1 5 3" xfId="503" xr:uid="{CA7D8ED2-1C65-48EC-818C-B48303A0E7BA}"/>
    <cellStyle name="60% - Accent1 6" xfId="504" xr:uid="{BC438F77-3D36-4E92-8278-30C3AB276469}"/>
    <cellStyle name="60% - Accent1 6 2" xfId="505" xr:uid="{F9A36A15-8536-4741-B8B0-056C88AC699C}"/>
    <cellStyle name="60% - Accent1 6 3" xfId="506" xr:uid="{E08D72F9-42A5-47EC-8AAB-61F19C5527A1}"/>
    <cellStyle name="60% - Accent1 7" xfId="507" xr:uid="{998E6653-9384-450B-82F0-CF2B7F623FBF}"/>
    <cellStyle name="60% - Accent1 7 2" xfId="508" xr:uid="{8568868C-B93B-455D-9D94-AB8CF8DDFBA3}"/>
    <cellStyle name="60% - Accent1 7 3" xfId="509" xr:uid="{CBA19EA5-A8D0-42C4-90AF-AAFEE96B5136}"/>
    <cellStyle name="60% - Accent1 8" xfId="510" xr:uid="{2BBE73B9-2322-4017-95F6-7E8729E6EBFA}"/>
    <cellStyle name="60% - Accent1 8 2" xfId="511" xr:uid="{03D39BCF-3FC7-4130-AF2C-842E82764488}"/>
    <cellStyle name="60% - Accent1 8 3" xfId="512" xr:uid="{0D3E0CC8-2A80-49BF-B4F0-B9AEC7930878}"/>
    <cellStyle name="60% - Accent1 9" xfId="513" xr:uid="{DEBA69D9-9809-4FC0-AC14-96A0F44DD626}"/>
    <cellStyle name="60% - Accent2 10" xfId="514" xr:uid="{BE745B2B-2657-4DB7-BB9A-A237659DFD89}"/>
    <cellStyle name="60% - Accent2 11" xfId="515" xr:uid="{A8689887-4ABC-48D2-95BA-3706CF036F83}"/>
    <cellStyle name="60% - Accent2 12" xfId="516" xr:uid="{DD881681-A135-4C88-87A2-DB88D2BA9C3A}"/>
    <cellStyle name="60% - Accent2 13" xfId="517" xr:uid="{1CF1CD6A-5790-4F93-BE96-59934D22FD43}"/>
    <cellStyle name="60% - Accent2 14" xfId="518" xr:uid="{FA0E6CC2-024B-4210-B6DA-13BFE82EACD9}"/>
    <cellStyle name="60% - Accent2 15" xfId="519" xr:uid="{11075C38-97C3-4699-A9D9-42AD2DB3715A}"/>
    <cellStyle name="60% - Accent2 2" xfId="520" xr:uid="{956B451F-F841-4408-B835-44FED52292DB}"/>
    <cellStyle name="60% - Accent2 2 2" xfId="521" xr:uid="{1A3611F6-C795-496D-8228-2D9B2C2CD47D}"/>
    <cellStyle name="60% - Accent2 2 3" xfId="522" xr:uid="{6C652268-14F1-4E5B-904C-7338EBACB808}"/>
    <cellStyle name="60% - Accent2 3" xfId="523" xr:uid="{1D8D5307-57F9-4830-8AE6-6E077605624E}"/>
    <cellStyle name="60% - Accent2 3 2" xfId="524" xr:uid="{6B3ED571-1F55-4097-A6EC-031AA41F7006}"/>
    <cellStyle name="60% - Accent2 3 3" xfId="525" xr:uid="{AA0272E4-D31C-43C5-BFEC-6602D8D3C56B}"/>
    <cellStyle name="60% - Accent2 4" xfId="526" xr:uid="{27B6053B-7DF2-4BDD-9B37-309AF2A374A3}"/>
    <cellStyle name="60% - Accent2 4 2" xfId="527" xr:uid="{8D557DA0-4DF3-4877-A887-BCCC33E32711}"/>
    <cellStyle name="60% - Accent2 4 3" xfId="528" xr:uid="{A06A61F4-0CE7-40FA-9110-8C4F5E5AEBAF}"/>
    <cellStyle name="60% - Accent2 5" xfId="529" xr:uid="{9E2DD45E-3E95-4E64-B261-4879BAAC6434}"/>
    <cellStyle name="60% - Accent2 5 2" xfId="530" xr:uid="{9039129A-D69E-42FA-BF54-7E63E9903F42}"/>
    <cellStyle name="60% - Accent2 5 3" xfId="531" xr:uid="{18E10B9C-04CA-4019-ADF2-552EE90F8C02}"/>
    <cellStyle name="60% - Accent2 6" xfId="532" xr:uid="{873F4CD0-263C-4E5C-A14C-9CA0A0746FC8}"/>
    <cellStyle name="60% - Accent2 6 2" xfId="533" xr:uid="{D9D8D13D-75E9-4726-99AE-4021F8D3193E}"/>
    <cellStyle name="60% - Accent2 6 3" xfId="534" xr:uid="{1B7D73AD-CF27-4069-A337-8D5C021AFF56}"/>
    <cellStyle name="60% - Accent2 7" xfId="535" xr:uid="{221344C4-0DE9-4DE2-8C10-E09B496566A5}"/>
    <cellStyle name="60% - Accent2 7 2" xfId="536" xr:uid="{7EA03721-1D20-4DC1-9C9A-90FA83B9340F}"/>
    <cellStyle name="60% - Accent2 7 3" xfId="537" xr:uid="{F736EBE7-F01F-4493-8B47-43F817AC583C}"/>
    <cellStyle name="60% - Accent2 8" xfId="538" xr:uid="{389FDA2A-8BF4-4C13-8C57-0D0FCC37E60F}"/>
    <cellStyle name="60% - Accent2 8 2" xfId="539" xr:uid="{2D58E706-A49D-44DE-8ACD-6D848C56689F}"/>
    <cellStyle name="60% - Accent2 8 3" xfId="540" xr:uid="{51F6D864-0022-48D6-AAAE-505451812E42}"/>
    <cellStyle name="60% - Accent2 9" xfId="541" xr:uid="{D00FAF4F-45E7-4C42-9229-ADF43B08C568}"/>
    <cellStyle name="60% - Accent3 10" xfId="542" xr:uid="{7D0DF294-1543-43DF-BE61-CAD7D2824FEC}"/>
    <cellStyle name="60% - Accent3 11" xfId="543" xr:uid="{5582D695-7D4C-490F-AC8B-81C94AAA8BF1}"/>
    <cellStyle name="60% - Accent3 12" xfId="544" xr:uid="{2E2176B9-6A45-4B54-99C9-0B91A7A877BD}"/>
    <cellStyle name="60% - Accent3 13" xfId="545" xr:uid="{D9E3595B-B4B0-4679-9100-839EC36338B5}"/>
    <cellStyle name="60% - Accent3 14" xfId="546" xr:uid="{5C234D2E-A2D6-4615-856F-B34D22D7CDFE}"/>
    <cellStyle name="60% - Accent3 15" xfId="547" xr:uid="{57163B67-F8ED-47EC-8C92-E634FB0A67FE}"/>
    <cellStyle name="60% - Accent3 2" xfId="548" xr:uid="{AD8D8C1D-54A4-4D87-AEDE-61B834826BFB}"/>
    <cellStyle name="60% - Accent3 2 2" xfId="549" xr:uid="{27399ABE-ED0C-468F-9C49-064078F5CB58}"/>
    <cellStyle name="60% - Accent3 2 3" xfId="550" xr:uid="{5E642F8F-0993-4444-8737-244E3CBE7CB8}"/>
    <cellStyle name="60% - Accent3 3" xfId="551" xr:uid="{EF60F98B-AC36-4689-89FB-1956EFA59464}"/>
    <cellStyle name="60% - Accent3 3 2" xfId="552" xr:uid="{C8C88FCC-B9CB-48DD-A6EB-E729F0ED8380}"/>
    <cellStyle name="60% - Accent3 3 3" xfId="553" xr:uid="{0FF73542-7D7C-46D6-BADF-7D36617F8E0E}"/>
    <cellStyle name="60% - Accent3 4" xfId="554" xr:uid="{038892AF-47DA-477C-B6A9-1C13E0D2E7CF}"/>
    <cellStyle name="60% - Accent3 4 2" xfId="555" xr:uid="{5CA81F6D-91C0-4537-B447-EE5A71040C77}"/>
    <cellStyle name="60% - Accent3 4 3" xfId="556" xr:uid="{DF1F7F25-6DFE-4FEA-A781-72160695E882}"/>
    <cellStyle name="60% - Accent3 5" xfId="557" xr:uid="{CCB84BA8-1D09-407F-90B2-88383B2ED05A}"/>
    <cellStyle name="60% - Accent3 5 2" xfId="558" xr:uid="{398750B4-4A98-498C-AEB3-167793A3B567}"/>
    <cellStyle name="60% - Accent3 5 3" xfId="559" xr:uid="{22EBED4B-19AF-4576-A003-183F34EA5D79}"/>
    <cellStyle name="60% - Accent3 6" xfId="560" xr:uid="{17C42E4A-6CF9-4B6F-850A-BC566B630F17}"/>
    <cellStyle name="60% - Accent3 6 2" xfId="561" xr:uid="{CC63AC65-B045-49F8-B233-6A34A225A712}"/>
    <cellStyle name="60% - Accent3 6 3" xfId="562" xr:uid="{FBE292A0-47DA-4706-B70B-D89470F02AB6}"/>
    <cellStyle name="60% - Accent3 7" xfId="563" xr:uid="{E4A418AD-96E6-4377-B488-7564507F474A}"/>
    <cellStyle name="60% - Accent3 7 2" xfId="564" xr:uid="{AFA783CD-AE06-48A3-8C97-F3FC7995B6C8}"/>
    <cellStyle name="60% - Accent3 7 3" xfId="565" xr:uid="{D1B9CDC6-BE02-418F-A48B-652494CF2A7F}"/>
    <cellStyle name="60% - Accent3 8" xfId="566" xr:uid="{5CEBD72E-E6C9-46DD-BB3F-E4904235C426}"/>
    <cellStyle name="60% - Accent3 8 2" xfId="567" xr:uid="{08167905-7019-4254-B03A-936C00E98293}"/>
    <cellStyle name="60% - Accent3 8 3" xfId="568" xr:uid="{7956F46A-CA2C-4AE1-899F-A17CCC188CD6}"/>
    <cellStyle name="60% - Accent3 9" xfId="569" xr:uid="{A43F2DD0-76BF-4EB1-A900-7234CC1C8C0F}"/>
    <cellStyle name="60% - Accent4 10" xfId="570" xr:uid="{D32E8F18-AE45-4982-8694-0D1E635FEFDE}"/>
    <cellStyle name="60% - Accent4 11" xfId="571" xr:uid="{CF77448F-AE67-41EB-ACA7-AF251D01EBD6}"/>
    <cellStyle name="60% - Accent4 12" xfId="572" xr:uid="{B3E3A051-B574-46D8-945D-D707B13754A4}"/>
    <cellStyle name="60% - Accent4 13" xfId="573" xr:uid="{66FBC0BB-DA6A-43B7-A527-ABC1F6119403}"/>
    <cellStyle name="60% - Accent4 14" xfId="574" xr:uid="{F261883A-BEAF-4928-B096-91D15D55B1D8}"/>
    <cellStyle name="60% - Accent4 15" xfId="575" xr:uid="{CE03B3D6-A987-4654-B2B0-5F6CA62053A7}"/>
    <cellStyle name="60% - Accent4 2" xfId="576" xr:uid="{68AF1EAF-91C2-44F4-8F36-8F0F96EAF71F}"/>
    <cellStyle name="60% - Accent4 2 2" xfId="577" xr:uid="{FFD08EBE-96DF-4C55-A568-041C4F44D885}"/>
    <cellStyle name="60% - Accent4 2 3" xfId="578" xr:uid="{B1F55E1B-E05B-405B-8B45-B267B188B607}"/>
    <cellStyle name="60% - Accent4 3" xfId="579" xr:uid="{5898981B-5D75-45A9-97A7-80D338AF791D}"/>
    <cellStyle name="60% - Accent4 3 2" xfId="580" xr:uid="{76B5AA10-7044-4BCA-98B5-FB84B175A921}"/>
    <cellStyle name="60% - Accent4 3 3" xfId="581" xr:uid="{7A8D6FC3-3693-4F2F-A737-BFD46D5C04CD}"/>
    <cellStyle name="60% - Accent4 4" xfId="582" xr:uid="{F9FB1164-0391-496B-8DDA-4CFFE5BA66E5}"/>
    <cellStyle name="60% - Accent4 4 2" xfId="583" xr:uid="{A6354C87-5E6D-47E4-8B68-E2E3A21D4BA9}"/>
    <cellStyle name="60% - Accent4 4 3" xfId="584" xr:uid="{04F73093-DFE4-4F3E-8B7F-718917AF1358}"/>
    <cellStyle name="60% - Accent4 5" xfId="585" xr:uid="{D8F7678A-CC2F-4117-BBE8-A9CF5AFD2A6A}"/>
    <cellStyle name="60% - Accent4 5 2" xfId="586" xr:uid="{59BEFAB6-3A27-4565-960F-F0EC600A79A4}"/>
    <cellStyle name="60% - Accent4 5 3" xfId="587" xr:uid="{131DEE5B-9C2A-4285-9619-64B694C1DB0E}"/>
    <cellStyle name="60% - Accent4 6" xfId="588" xr:uid="{6373A211-9376-41DA-87FD-239E13B2F9F6}"/>
    <cellStyle name="60% - Accent4 6 2" xfId="589" xr:uid="{1B844507-4CC8-40EA-B765-64B6CFB1D0A5}"/>
    <cellStyle name="60% - Accent4 6 3" xfId="590" xr:uid="{5F70D9E3-F89A-4953-BDF5-A184B769D6B5}"/>
    <cellStyle name="60% - Accent4 7" xfId="591" xr:uid="{A19C1F10-8E1F-493B-980F-E5D71C8C88AD}"/>
    <cellStyle name="60% - Accent4 7 2" xfId="592" xr:uid="{9DAB4FD6-76C8-4B5B-A8AB-2EE94BEC930A}"/>
    <cellStyle name="60% - Accent4 7 3" xfId="593" xr:uid="{F02663B0-AB32-4FC3-BC98-21D5094CED52}"/>
    <cellStyle name="60% - Accent4 8" xfId="594" xr:uid="{7799B87A-FFE1-42D9-A47C-EE8826A1D451}"/>
    <cellStyle name="60% - Accent4 8 2" xfId="595" xr:uid="{7590A228-6BB0-478B-87D8-2F7B2431AB44}"/>
    <cellStyle name="60% - Accent4 8 3" xfId="596" xr:uid="{0E221D7C-5AA0-46EB-8A2F-61C796BAE77B}"/>
    <cellStyle name="60% - Accent4 9" xfId="597" xr:uid="{8B035902-F649-45FE-8525-3202CC285D25}"/>
    <cellStyle name="60% - Accent5 10" xfId="598" xr:uid="{0E962D84-C08B-4C1B-90F6-1EFA47F6AB37}"/>
    <cellStyle name="60% - Accent5 11" xfId="599" xr:uid="{477A6EE0-B1E3-446B-BC3E-80C930CD1832}"/>
    <cellStyle name="60% - Accent5 12" xfId="600" xr:uid="{05465610-E341-40B7-92E1-16DFED6B9604}"/>
    <cellStyle name="60% - Accent5 13" xfId="601" xr:uid="{23B60AA5-131C-4517-A56E-C6FCEA580658}"/>
    <cellStyle name="60% - Accent5 14" xfId="602" xr:uid="{7BF5DE1E-1518-4F3B-B749-8689C3D368DC}"/>
    <cellStyle name="60% - Accent5 15" xfId="603" xr:uid="{347E8AF9-A8AD-43EC-88D1-61F33A736AE3}"/>
    <cellStyle name="60% - Accent5 2" xfId="604" xr:uid="{90010DD9-09CA-41DD-9D4E-FC6469746FDF}"/>
    <cellStyle name="60% - Accent5 2 2" xfId="605" xr:uid="{608AE268-E4F5-4620-91AA-BC4AC75B30C9}"/>
    <cellStyle name="60% - Accent5 2 3" xfId="606" xr:uid="{834EF088-E070-4A70-A72F-6DA13EE33250}"/>
    <cellStyle name="60% - Accent5 3" xfId="607" xr:uid="{127142D8-7DDC-49E6-B19C-665CF95A4217}"/>
    <cellStyle name="60% - Accent5 3 2" xfId="608" xr:uid="{7B4D259F-BBFD-4741-86C1-EACD66CD29D0}"/>
    <cellStyle name="60% - Accent5 3 3" xfId="609" xr:uid="{90879B9A-7552-4131-B7BD-6E2AD9EDACDB}"/>
    <cellStyle name="60% - Accent5 4" xfId="610" xr:uid="{CFD5D04E-6190-4577-9960-5EEEFE78CF32}"/>
    <cellStyle name="60% - Accent5 4 2" xfId="611" xr:uid="{5A2AD1CA-83AE-4AA5-A620-78C22CA316BF}"/>
    <cellStyle name="60% - Accent5 4 3" xfId="612" xr:uid="{6E6DE913-3AA2-43F5-9D9A-713816C3E2FA}"/>
    <cellStyle name="60% - Accent5 5" xfId="613" xr:uid="{E9159792-483D-4E49-BB65-FD8CA204DA34}"/>
    <cellStyle name="60% - Accent5 5 2" xfId="614" xr:uid="{E10D926C-7AC9-427F-BB6A-73C8094FDDFC}"/>
    <cellStyle name="60% - Accent5 5 3" xfId="615" xr:uid="{9814624E-7A90-4887-BB71-5971922BC08D}"/>
    <cellStyle name="60% - Accent5 6" xfId="616" xr:uid="{CBB196A4-1790-488C-A019-6A564BD207E0}"/>
    <cellStyle name="60% - Accent5 6 2" xfId="617" xr:uid="{514B740E-C582-4F75-9474-28CA85CF573E}"/>
    <cellStyle name="60% - Accent5 6 3" xfId="618" xr:uid="{49ACAAED-82F4-4B13-A645-89CFA4C6F81D}"/>
    <cellStyle name="60% - Accent5 7" xfId="619" xr:uid="{787674F0-7A00-4EC5-A736-031FDCC7DDEE}"/>
    <cellStyle name="60% - Accent5 7 2" xfId="620" xr:uid="{6876A985-7F0C-40E0-8879-81B7A16C572F}"/>
    <cellStyle name="60% - Accent5 7 3" xfId="621" xr:uid="{CA8EAA24-C4A4-49AD-8C6F-C7AC6D3E69C8}"/>
    <cellStyle name="60% - Accent5 8" xfId="622" xr:uid="{84BCE6A8-8C79-442E-9CEA-CAB3267037C2}"/>
    <cellStyle name="60% - Accent5 8 2" xfId="623" xr:uid="{83556878-DB83-4BBA-8B41-B37F94D9317D}"/>
    <cellStyle name="60% - Accent5 8 3" xfId="624" xr:uid="{4990833C-016E-41D3-B8CB-B5F754694495}"/>
    <cellStyle name="60% - Accent5 9" xfId="625" xr:uid="{4579B77C-F7BC-4B6B-BCBE-14A8BA5E8ED9}"/>
    <cellStyle name="60% - Accent6 10" xfId="626" xr:uid="{561D4ADB-1F1F-4157-9605-2081875884F4}"/>
    <cellStyle name="60% - Accent6 11" xfId="627" xr:uid="{A0379839-C307-4B4B-8629-8C64C82674A0}"/>
    <cellStyle name="60% - Accent6 12" xfId="628" xr:uid="{7AF06925-2BD5-40FF-A97A-1A68E7D978AF}"/>
    <cellStyle name="60% - Accent6 13" xfId="629" xr:uid="{5D8317EA-72FE-40B3-A25E-A905A5EAF0F7}"/>
    <cellStyle name="60% - Accent6 14" xfId="630" xr:uid="{148DEFB3-566F-4AE1-B4E5-F89330F4C4FB}"/>
    <cellStyle name="60% - Accent6 15" xfId="631" xr:uid="{00647C1C-E805-494D-8213-AB9D62CDEF56}"/>
    <cellStyle name="60% - Accent6 2" xfId="632" xr:uid="{2E2EDEDA-1629-49DB-BC7B-9820061547D5}"/>
    <cellStyle name="60% - Accent6 2 2" xfId="633" xr:uid="{7660A4F5-A93F-4939-9735-AB14897811C2}"/>
    <cellStyle name="60% - Accent6 2 3" xfId="634" xr:uid="{8F8BD50D-0325-4800-B0D1-857A40D96D35}"/>
    <cellStyle name="60% - Accent6 3" xfId="635" xr:uid="{5D6451BC-92D3-43C2-AE7E-9BC7AC3AB8A8}"/>
    <cellStyle name="60% - Accent6 3 2" xfId="636" xr:uid="{AC063DC3-09E4-401A-8806-49D330986AB0}"/>
    <cellStyle name="60% - Accent6 3 3" xfId="637" xr:uid="{64A7BFC9-2496-4E08-8394-40356958CDF9}"/>
    <cellStyle name="60% - Accent6 4" xfId="638" xr:uid="{8D01F439-AEF2-455E-9C01-AED4CE4A1392}"/>
    <cellStyle name="60% - Accent6 4 2" xfId="639" xr:uid="{8CCDE661-20E1-4249-95B5-16C65E685658}"/>
    <cellStyle name="60% - Accent6 4 3" xfId="640" xr:uid="{EDAECA76-2708-4B64-AEFD-AD9596B1EF1E}"/>
    <cellStyle name="60% - Accent6 5" xfId="641" xr:uid="{E7E97B4D-DA60-4E1E-B8C0-ECF40EE7CAEB}"/>
    <cellStyle name="60% - Accent6 5 2" xfId="642" xr:uid="{5849FEC3-F526-43F9-8BE5-AEFE1C8C1DE6}"/>
    <cellStyle name="60% - Accent6 5 3" xfId="643" xr:uid="{9A824759-7EB1-4D40-9E65-3EC0B091E204}"/>
    <cellStyle name="60% - Accent6 6" xfId="644" xr:uid="{322243C0-7276-470C-84C6-45F5004B5814}"/>
    <cellStyle name="60% - Accent6 6 2" xfId="645" xr:uid="{D19F5BED-2AC7-4E9B-B051-3CB4E35E6EDE}"/>
    <cellStyle name="60% - Accent6 6 3" xfId="646" xr:uid="{C3E1979D-7C4B-4D2B-959A-6045FCE45690}"/>
    <cellStyle name="60% - Accent6 7" xfId="647" xr:uid="{2BD719BA-D5FC-49A9-AE94-F4F5DA45581E}"/>
    <cellStyle name="60% - Accent6 7 2" xfId="648" xr:uid="{D513D514-CEA0-41CD-BAF6-7D6E67BF32B3}"/>
    <cellStyle name="60% - Accent6 7 3" xfId="649" xr:uid="{0F2C44F5-7D58-43FA-A4B6-0D81B2DB910A}"/>
    <cellStyle name="60% - Accent6 8" xfId="650" xr:uid="{C23ECC64-01A6-4750-AA63-4F54DD747A00}"/>
    <cellStyle name="60% - Accent6 8 2" xfId="651" xr:uid="{66AF6C9A-5676-4A7A-8A66-B6FD0B7B56E0}"/>
    <cellStyle name="60% - Accent6 8 3" xfId="652" xr:uid="{AEE924A7-B15D-46B1-80F3-50928B0F14B5}"/>
    <cellStyle name="60% - Accent6 9" xfId="653" xr:uid="{21921D3C-07A7-4164-A4CA-BC2D8CE78662}"/>
    <cellStyle name="Accent1 10" xfId="654" xr:uid="{4CB71A6C-023A-4579-912A-DDF7395E6B5A}"/>
    <cellStyle name="Accent1 11" xfId="655" xr:uid="{F5843C35-8A77-465F-B7F1-3EAACDCBF214}"/>
    <cellStyle name="Accent1 12" xfId="656" xr:uid="{7956E80D-89C9-4D21-BC01-5D68109B92CD}"/>
    <cellStyle name="Accent1 13" xfId="657" xr:uid="{6A5F7B3B-B0E5-4379-8AD5-849BE9808DFC}"/>
    <cellStyle name="Accent1 14" xfId="658" xr:uid="{0418132A-54F2-4170-8E18-3B3685F2579F}"/>
    <cellStyle name="Accent1 15" xfId="659" xr:uid="{6E983342-121D-42E2-93CF-CC84EA471EEA}"/>
    <cellStyle name="Accent1 2" xfId="660" xr:uid="{57E29C0E-14EE-4DEA-9C2E-3655A83B6A6D}"/>
    <cellStyle name="Accent1 2 2" xfId="661" xr:uid="{A8B3EFAD-46C4-46DC-B72D-FD2B9AB7BD51}"/>
    <cellStyle name="Accent1 2 3" xfId="662" xr:uid="{DA7E3F96-168B-4F5C-8716-942EF1099750}"/>
    <cellStyle name="Accent1 3" xfId="663" xr:uid="{4226C6B6-9864-4B6D-B49E-4FA473F572A8}"/>
    <cellStyle name="Accent1 3 2" xfId="664" xr:uid="{AE742691-4D30-40BA-8EE8-FBE77E3CE81F}"/>
    <cellStyle name="Accent1 3 3" xfId="665" xr:uid="{FA222B7B-C6B7-42C9-8AA3-6B36848D57B0}"/>
    <cellStyle name="Accent1 4" xfId="666" xr:uid="{6DD20A58-CCB3-4874-A8E9-C05903CBFCEC}"/>
    <cellStyle name="Accent1 4 2" xfId="667" xr:uid="{075E780A-0BDC-433B-8486-595B79432D08}"/>
    <cellStyle name="Accent1 4 3" xfId="668" xr:uid="{ABD3C03F-2C14-4941-AEEB-FA064C7B4486}"/>
    <cellStyle name="Accent1 5" xfId="669" xr:uid="{1E418C50-282A-4E11-8774-ED8CEB6412D3}"/>
    <cellStyle name="Accent1 5 2" xfId="670" xr:uid="{588D814B-BE5C-4A35-B2A0-70E53CD1CE6C}"/>
    <cellStyle name="Accent1 5 3" xfId="671" xr:uid="{EA72C4DC-701B-4358-B79C-A391BE58231C}"/>
    <cellStyle name="Accent1 6" xfId="672" xr:uid="{EC56EBB2-9C1F-4547-82C9-415E5F37AE44}"/>
    <cellStyle name="Accent1 6 2" xfId="673" xr:uid="{409627F9-E010-44F6-BA41-C7D51FFF6D82}"/>
    <cellStyle name="Accent1 6 3" xfId="674" xr:uid="{04A916CA-81CF-4921-9B6C-63D7411BDE2D}"/>
    <cellStyle name="Accent1 7" xfId="675" xr:uid="{2C36022D-5CF7-425D-AC43-67FEB7A890F5}"/>
    <cellStyle name="Accent1 7 2" xfId="676" xr:uid="{71C6C834-A939-4555-B1CE-DF8240F0A4E6}"/>
    <cellStyle name="Accent1 7 3" xfId="677" xr:uid="{19DDA543-F5A5-4303-B76C-592708E78F6F}"/>
    <cellStyle name="Accent1 8" xfId="678" xr:uid="{C17A6C81-320C-499C-90A4-E0F8AB6F6495}"/>
    <cellStyle name="Accent1 8 2" xfId="679" xr:uid="{1BEF7126-8453-45BB-AFF2-E5C939948CE8}"/>
    <cellStyle name="Accent1 8 3" xfId="680" xr:uid="{66A98B2C-4DF7-4EDF-9EE9-2D9389587378}"/>
    <cellStyle name="Accent1 9" xfId="681" xr:uid="{76500A81-8BB5-4DCF-8FA0-FB8D0C0E7504}"/>
    <cellStyle name="Accent2 10" xfId="682" xr:uid="{99995396-2689-4A96-BDD4-742B4C4A30EA}"/>
    <cellStyle name="Accent2 11" xfId="683" xr:uid="{1927F70C-3E2E-4663-8F49-85D740776CDD}"/>
    <cellStyle name="Accent2 12" xfId="684" xr:uid="{BDA60F27-507E-4BE5-B009-7B313DA980D4}"/>
    <cellStyle name="Accent2 13" xfId="685" xr:uid="{B10FB8FE-E683-48B4-A8FB-13F0AB4DEA0A}"/>
    <cellStyle name="Accent2 14" xfId="686" xr:uid="{CA89D2AB-3580-4A3B-93DB-EB7E3448B00C}"/>
    <cellStyle name="Accent2 15" xfId="687" xr:uid="{232A9724-B179-456F-84FD-E4C33512ACF0}"/>
    <cellStyle name="Accent2 2" xfId="688" xr:uid="{E50D1958-DA6F-4B7C-8A6B-58EA3EDCD3FE}"/>
    <cellStyle name="Accent2 2 2" xfId="689" xr:uid="{FEED2862-3C60-450F-A349-B6376EAFDE12}"/>
    <cellStyle name="Accent2 2 3" xfId="690" xr:uid="{28C406DC-0AF6-4149-A1E1-1B91E8A378D5}"/>
    <cellStyle name="Accent2 3" xfId="691" xr:uid="{53A6BBF8-FC46-4C27-9BB5-D2BCD36E3359}"/>
    <cellStyle name="Accent2 3 2" xfId="692" xr:uid="{961AD104-7180-48AB-B732-75E78B009E33}"/>
    <cellStyle name="Accent2 3 3" xfId="693" xr:uid="{7D07409B-CAD1-4E64-BD5A-B2D13E05DFDE}"/>
    <cellStyle name="Accent2 4" xfId="694" xr:uid="{38EB3F78-4C99-43B1-AA0C-CA5DBD2E5006}"/>
    <cellStyle name="Accent2 4 2" xfId="695" xr:uid="{BDAF0A94-6A82-466E-B919-13A3F7D62565}"/>
    <cellStyle name="Accent2 4 3" xfId="696" xr:uid="{66F51A9A-65F8-4B90-8965-55079EE4290B}"/>
    <cellStyle name="Accent2 5" xfId="697" xr:uid="{2A5FE50A-1F5E-4218-8F6B-2AB70B686A6B}"/>
    <cellStyle name="Accent2 5 2" xfId="698" xr:uid="{C0CE17AB-8CB5-4672-A546-F3EA7D876807}"/>
    <cellStyle name="Accent2 5 3" xfId="699" xr:uid="{EE1AC096-1060-4081-85ED-C7FB3D9A6C90}"/>
    <cellStyle name="Accent2 6" xfId="700" xr:uid="{B9CEACD1-2863-42DE-805A-72300E960D86}"/>
    <cellStyle name="Accent2 6 2" xfId="701" xr:uid="{DD560653-DA29-44D7-B3B7-F4F98027BC76}"/>
    <cellStyle name="Accent2 6 3" xfId="702" xr:uid="{374C0928-100B-4DDF-89AA-D029AF82655A}"/>
    <cellStyle name="Accent2 7" xfId="703" xr:uid="{A8C0F911-F201-404B-9DCA-6A525F15C638}"/>
    <cellStyle name="Accent2 7 2" xfId="704" xr:uid="{A433DB24-BD99-4EA4-9E17-C3133A0FF892}"/>
    <cellStyle name="Accent2 7 3" xfId="705" xr:uid="{1CA9B9AA-66F3-4776-8479-C39F30606913}"/>
    <cellStyle name="Accent2 8" xfId="706" xr:uid="{DEB4BB29-C1C6-424F-8E40-89939D3F11B4}"/>
    <cellStyle name="Accent2 8 2" xfId="707" xr:uid="{E20FCB37-7D0E-44C9-A2A4-8E1D2C4C2526}"/>
    <cellStyle name="Accent2 8 3" xfId="708" xr:uid="{913E98DB-259A-438C-8B8E-E46129041245}"/>
    <cellStyle name="Accent2 9" xfId="709" xr:uid="{00E6B21F-D3A8-474B-8EB1-5BABCF35CE9D}"/>
    <cellStyle name="Accent3 10" xfId="710" xr:uid="{82749CB5-7FA2-47A4-923D-4868F8938727}"/>
    <cellStyle name="Accent3 11" xfId="711" xr:uid="{10EE9D12-8CB7-4FD3-9777-4B961CA7FCFE}"/>
    <cellStyle name="Accent3 12" xfId="712" xr:uid="{2E7EC1B7-C891-4ACD-AC84-772FD072EED2}"/>
    <cellStyle name="Accent3 13" xfId="713" xr:uid="{E1A9711F-00A6-4FD0-BEC2-906D5CB7189A}"/>
    <cellStyle name="Accent3 14" xfId="714" xr:uid="{1303D028-CD92-40CB-BB6C-F2F5948A313D}"/>
    <cellStyle name="Accent3 15" xfId="715" xr:uid="{F9730732-2605-42C0-AD98-856DF9BF008E}"/>
    <cellStyle name="Accent3 2" xfId="716" xr:uid="{1CFE8F42-B32D-4E14-96E9-CBC0116EBE66}"/>
    <cellStyle name="Accent3 2 2" xfId="717" xr:uid="{FD45A8BC-F093-4E69-8DCB-36C08C546332}"/>
    <cellStyle name="Accent3 2 3" xfId="718" xr:uid="{DE499286-5891-4672-84E2-7D2849453679}"/>
    <cellStyle name="Accent3 3" xfId="719" xr:uid="{D64B49D2-0DEE-4D82-AFE7-F1AA62AF595C}"/>
    <cellStyle name="Accent3 3 2" xfId="720" xr:uid="{42CE4793-7FBE-46B4-A364-D32B34D3D634}"/>
    <cellStyle name="Accent3 3 3" xfId="721" xr:uid="{9FFB6A77-AAD6-4F36-B6F8-4CEEF2BD7B44}"/>
    <cellStyle name="Accent3 4" xfId="722" xr:uid="{E5E850E8-0156-4464-8FE8-5FAE51CF12AF}"/>
    <cellStyle name="Accent3 4 2" xfId="723" xr:uid="{B026BD23-DA5D-4A47-9D99-C8E11518F5A7}"/>
    <cellStyle name="Accent3 4 3" xfId="724" xr:uid="{B9E12620-B113-4FE3-B005-2D112F6E4A57}"/>
    <cellStyle name="Accent3 5" xfId="725" xr:uid="{0D4A8D6C-9EA8-4C6C-9785-17CD007603E5}"/>
    <cellStyle name="Accent3 5 2" xfId="726" xr:uid="{D6D8F5D0-3A50-4C25-A00E-1331161404D0}"/>
    <cellStyle name="Accent3 5 3" xfId="727" xr:uid="{85E0F4AA-D9EB-49AA-8C90-924259D4CFEE}"/>
    <cellStyle name="Accent3 6" xfId="728" xr:uid="{4D02B8C2-B76F-4ABF-BA60-373C7AD3AA60}"/>
    <cellStyle name="Accent3 6 2" xfId="729" xr:uid="{2F65595E-B4A7-4E39-85FA-DC56F814B996}"/>
    <cellStyle name="Accent3 6 3" xfId="730" xr:uid="{BD99B009-626B-4554-B710-D4C3690473B4}"/>
    <cellStyle name="Accent3 7" xfId="731" xr:uid="{9986F6C4-7A2F-467F-9B34-F83B50883786}"/>
    <cellStyle name="Accent3 7 2" xfId="732" xr:uid="{F566CD6F-6727-489D-B094-4843CD430CD5}"/>
    <cellStyle name="Accent3 7 3" xfId="733" xr:uid="{799567BF-38AF-4FE7-ADB0-23158F17B2EE}"/>
    <cellStyle name="Accent3 8" xfId="734" xr:uid="{2C15FFB8-E585-46A4-B8B9-845A77908119}"/>
    <cellStyle name="Accent3 8 2" xfId="735" xr:uid="{CE27CECC-D6FA-408D-803B-EB17EFDE1FA8}"/>
    <cellStyle name="Accent3 8 3" xfId="736" xr:uid="{6E628F94-77D9-448E-972B-823C0E7ACA04}"/>
    <cellStyle name="Accent3 9" xfId="737" xr:uid="{B560D409-CD8B-4893-824E-6E7E660917EE}"/>
    <cellStyle name="Accent4 10" xfId="738" xr:uid="{48DC15C3-1745-40A5-838B-DF69C7E07AAB}"/>
    <cellStyle name="Accent4 11" xfId="739" xr:uid="{9B28F985-56CC-4846-A74A-3D97B61EC3CE}"/>
    <cellStyle name="Accent4 12" xfId="740" xr:uid="{CD2BCC26-1606-436F-8B71-1ADB8494FCCF}"/>
    <cellStyle name="Accent4 13" xfId="741" xr:uid="{45A669EC-39BE-4DA5-A4A4-F89E7C37E29E}"/>
    <cellStyle name="Accent4 14" xfId="742" xr:uid="{3959225C-C436-4FF1-B59E-49475ADADC9C}"/>
    <cellStyle name="Accent4 15" xfId="743" xr:uid="{293317F2-B063-4489-9EDB-0BA6E3DEB711}"/>
    <cellStyle name="Accent4 2" xfId="744" xr:uid="{325095C4-9C5B-440A-873F-7ADD01546F7C}"/>
    <cellStyle name="Accent4 2 2" xfId="745" xr:uid="{7F768545-A583-4E60-9878-528D60ABCC2B}"/>
    <cellStyle name="Accent4 2 3" xfId="746" xr:uid="{4EE75FC1-9B6F-487F-B732-C23FF7CD991E}"/>
    <cellStyle name="Accent4 3" xfId="747" xr:uid="{B684D8BA-E685-48E2-9508-7D8F0C9547D0}"/>
    <cellStyle name="Accent4 3 2" xfId="748" xr:uid="{23FC13CA-C611-471C-B511-6553969ECC40}"/>
    <cellStyle name="Accent4 3 3" xfId="749" xr:uid="{B03DE539-4C06-4D16-98E1-051E577E50B0}"/>
    <cellStyle name="Accent4 4" xfId="750" xr:uid="{EE83146F-297D-48E1-B5DA-2B3048A92BA7}"/>
    <cellStyle name="Accent4 4 2" xfId="751" xr:uid="{3739FF10-4F1A-4558-A2A6-BFD7FD9E4F44}"/>
    <cellStyle name="Accent4 4 3" xfId="752" xr:uid="{F1889F98-29BF-43BF-AE2B-3F48E28D89CD}"/>
    <cellStyle name="Accent4 5" xfId="753" xr:uid="{7F3D38F9-C9D9-410D-AF08-FA20AA8BC315}"/>
    <cellStyle name="Accent4 5 2" xfId="754" xr:uid="{B3810C8E-2EDD-4D5C-B9C8-CD3D61BBB46D}"/>
    <cellStyle name="Accent4 5 3" xfId="755" xr:uid="{F5AD87FB-F721-4C06-8A7D-15F37F3DE199}"/>
    <cellStyle name="Accent4 6" xfId="756" xr:uid="{F01B34A9-A923-4FB0-9A9E-E84BC4F3135C}"/>
    <cellStyle name="Accent4 6 2" xfId="757" xr:uid="{258837C8-2197-4383-9289-26BC3DF95212}"/>
    <cellStyle name="Accent4 6 3" xfId="758" xr:uid="{04F7109B-2A07-476F-B103-CD546ADB9A33}"/>
    <cellStyle name="Accent4 7" xfId="759" xr:uid="{C156A584-CC72-43DE-BD1D-488227DA78F2}"/>
    <cellStyle name="Accent4 7 2" xfId="760" xr:uid="{FC8E32A5-7E28-40D0-8F11-3C750BE74386}"/>
    <cellStyle name="Accent4 7 3" xfId="761" xr:uid="{37303B27-B7A7-4779-90D2-AB1D66B26E98}"/>
    <cellStyle name="Accent4 8" xfId="762" xr:uid="{A7D0CDDF-0A99-4C27-8074-DA667AA67413}"/>
    <cellStyle name="Accent4 8 2" xfId="763" xr:uid="{D28F1263-F628-45EC-9692-36F8745E275C}"/>
    <cellStyle name="Accent4 8 3" xfId="764" xr:uid="{124DFC76-B921-45F7-96F1-4B383DCAE8BF}"/>
    <cellStyle name="Accent4 9" xfId="765" xr:uid="{8E0E5CEA-4E45-4705-9C88-760CC01F1CD6}"/>
    <cellStyle name="Accent5 10" xfId="766" xr:uid="{89F7F6A6-1B23-4BCB-931D-035E2C6A7368}"/>
    <cellStyle name="Accent5 11" xfId="767" xr:uid="{D097BBC5-AB86-434E-A134-02B473724A82}"/>
    <cellStyle name="Accent5 12" xfId="768" xr:uid="{079B7BFA-1C55-45C8-953E-A82429ECF81F}"/>
    <cellStyle name="Accent5 13" xfId="769" xr:uid="{0A971CD8-DA20-4E69-A781-B7F90365619A}"/>
    <cellStyle name="Accent5 14" xfId="770" xr:uid="{33400CAA-16C7-4E05-9E79-6A32F1165501}"/>
    <cellStyle name="Accent5 15" xfId="771" xr:uid="{F963592A-A15C-4850-8562-AAAE17BE25A3}"/>
    <cellStyle name="Accent5 2" xfId="772" xr:uid="{4E394777-5517-4B0B-8F33-C465D84722A0}"/>
    <cellStyle name="Accent5 2 2" xfId="773" xr:uid="{9698A1DA-1E43-4B9E-B210-55D90D8FD6A5}"/>
    <cellStyle name="Accent5 2 3" xfId="774" xr:uid="{C52B2C66-47AA-4922-9BB4-27D6AE8B8417}"/>
    <cellStyle name="Accent5 3" xfId="775" xr:uid="{3815EE36-16B4-49F8-B8AA-D9852057375B}"/>
    <cellStyle name="Accent5 3 2" xfId="776" xr:uid="{792C0E78-481F-402F-93D3-FE0F1C57B41F}"/>
    <cellStyle name="Accent5 3 3" xfId="777" xr:uid="{89330548-6C4F-4829-B83F-725CD1B2F04C}"/>
    <cellStyle name="Accent5 4" xfId="778" xr:uid="{63FAF90F-5A97-41BE-9056-B99079164F74}"/>
    <cellStyle name="Accent5 4 2" xfId="779" xr:uid="{78E999DE-0881-43EF-92B5-04EFBC392360}"/>
    <cellStyle name="Accent5 4 3" xfId="780" xr:uid="{91CAD7DE-0D8F-41C4-9370-6CDEBFE348AF}"/>
    <cellStyle name="Accent5 5" xfId="781" xr:uid="{B3E3DE08-A0E8-4660-8530-633652AC8526}"/>
    <cellStyle name="Accent5 5 2" xfId="782" xr:uid="{F64FC561-7597-4F21-80B4-C5CCFBFB5284}"/>
    <cellStyle name="Accent5 5 3" xfId="783" xr:uid="{45125DF6-5626-4DD5-9B7C-BAD8FE9C5118}"/>
    <cellStyle name="Accent5 6" xfId="784" xr:uid="{AB6CAECA-9D87-43AA-879A-9C7CCCD871EF}"/>
    <cellStyle name="Accent5 6 2" xfId="785" xr:uid="{890DCC87-0E72-4A3C-A3B3-A726BB884D84}"/>
    <cellStyle name="Accent5 6 3" xfId="786" xr:uid="{3E7F4FC8-14F8-4CDA-8343-1352EA79B71B}"/>
    <cellStyle name="Accent5 7" xfId="787" xr:uid="{BB0420B1-4504-4FB4-8392-EEF3D927C223}"/>
    <cellStyle name="Accent5 7 2" xfId="788" xr:uid="{7EE84468-1FA0-41FE-83EC-CB9DDDA8B304}"/>
    <cellStyle name="Accent5 7 3" xfId="789" xr:uid="{ECFA6D6B-60C8-46A4-8F0E-5D6B0988EA27}"/>
    <cellStyle name="Accent5 8" xfId="790" xr:uid="{A94AF8B2-1E17-4218-A5C6-B4AF191981AC}"/>
    <cellStyle name="Accent5 8 2" xfId="791" xr:uid="{86A87CCC-0630-450F-9D72-157D42645061}"/>
    <cellStyle name="Accent5 8 3" xfId="792" xr:uid="{96F352F4-0897-4402-B552-7E51CFD89E87}"/>
    <cellStyle name="Accent5 9" xfId="793" xr:uid="{52E494D9-A0E3-4588-B95D-091D333A5655}"/>
    <cellStyle name="Accent6 10" xfId="794" xr:uid="{FCB4B814-13BB-4972-97C5-40ED7504639A}"/>
    <cellStyle name="Accent6 11" xfId="795" xr:uid="{D11A14BA-00EB-47D9-A7E0-CEEC898A9ECF}"/>
    <cellStyle name="Accent6 12" xfId="796" xr:uid="{EF16E718-7BE6-421B-8337-9380194811D3}"/>
    <cellStyle name="Accent6 13" xfId="797" xr:uid="{15059983-154D-497D-ABFD-285BE84CD282}"/>
    <cellStyle name="Accent6 14" xfId="798" xr:uid="{EB787ED5-F8AD-4343-BEBD-BAE953A5B2AF}"/>
    <cellStyle name="Accent6 15" xfId="799" xr:uid="{BB60BA08-3867-4707-BF73-67556B202607}"/>
    <cellStyle name="Accent6 2" xfId="800" xr:uid="{AE7013CD-461B-46E7-946D-BCA9C32EB66F}"/>
    <cellStyle name="Accent6 2 2" xfId="801" xr:uid="{8DE0C015-69CC-4F1D-A832-9915516F749E}"/>
    <cellStyle name="Accent6 2 3" xfId="802" xr:uid="{3122DA35-BCEC-4FBB-9BFB-7168D14957DB}"/>
    <cellStyle name="Accent6 3" xfId="803" xr:uid="{0443A834-A79E-41E0-9BD4-F1D61ED9011E}"/>
    <cellStyle name="Accent6 3 2" xfId="804" xr:uid="{85FDB22F-6C58-437C-A6F2-D13DC7AFD10D}"/>
    <cellStyle name="Accent6 3 3" xfId="805" xr:uid="{1331D11F-BEEE-4D2F-8D12-6AF498CCBF83}"/>
    <cellStyle name="Accent6 4" xfId="806" xr:uid="{505F3CBF-5CD5-4CD6-988A-FB6DE8093992}"/>
    <cellStyle name="Accent6 4 2" xfId="807" xr:uid="{940E254D-35AE-4506-926B-B595BC7C893E}"/>
    <cellStyle name="Accent6 4 3" xfId="808" xr:uid="{41F9C196-374F-46D5-AC8A-5E02975C7E63}"/>
    <cellStyle name="Accent6 5" xfId="809" xr:uid="{EAA5770A-0A8E-4A60-AC7D-C88BF5CFE597}"/>
    <cellStyle name="Accent6 5 2" xfId="810" xr:uid="{75F8D46F-11AF-41B2-9FA4-A462742F6E0C}"/>
    <cellStyle name="Accent6 5 3" xfId="811" xr:uid="{A92A924B-571F-4EB5-9A00-83C6D4E18C93}"/>
    <cellStyle name="Accent6 6" xfId="812" xr:uid="{D012DF4E-02DD-423C-82F3-0C519517FC88}"/>
    <cellStyle name="Accent6 6 2" xfId="813" xr:uid="{A4F0C635-19C8-4E38-BA7A-42FC3C51BC3D}"/>
    <cellStyle name="Accent6 6 3" xfId="814" xr:uid="{580CBFAB-D454-4DF9-B045-5E0A74DA1073}"/>
    <cellStyle name="Accent6 7" xfId="815" xr:uid="{F5EA2B37-2F5C-4866-B985-B012B5D468D8}"/>
    <cellStyle name="Accent6 7 2" xfId="816" xr:uid="{E0CC76D5-7694-4A96-8C4A-55FC141EFCD7}"/>
    <cellStyle name="Accent6 7 3" xfId="817" xr:uid="{54439B2D-F8D4-47AA-853F-68A1374530A9}"/>
    <cellStyle name="Accent6 8" xfId="818" xr:uid="{570C0CEC-804E-4BC3-BA69-EFB43824C31A}"/>
    <cellStyle name="Accent6 8 2" xfId="819" xr:uid="{831ADB93-F07E-439E-A12A-011D0DA14F69}"/>
    <cellStyle name="Accent6 8 3" xfId="820" xr:uid="{A330A0B2-DAC1-413B-B152-696096A0C874}"/>
    <cellStyle name="Accent6 9" xfId="821" xr:uid="{DF31EB9E-B2E0-4C5F-BD05-096E02192C07}"/>
    <cellStyle name="Bad 10" xfId="822" xr:uid="{F1CFB014-5ED0-4C73-AD96-96DD00034404}"/>
    <cellStyle name="Bad 11" xfId="823" xr:uid="{53D9AEBC-DEBC-47C7-9D0B-D99ABF664B50}"/>
    <cellStyle name="Bad 12" xfId="824" xr:uid="{624C4259-2E6B-4A68-8C0D-93F4A09CA985}"/>
    <cellStyle name="Bad 13" xfId="825" xr:uid="{F0294E43-AB21-42D6-B3C3-05E59150CF45}"/>
    <cellStyle name="Bad 14" xfId="826" xr:uid="{74BD51F1-E54D-4423-8462-BD50D232BE0B}"/>
    <cellStyle name="Bad 15" xfId="827" xr:uid="{6CB84FB3-CFA5-4830-9CFE-94A030760D43}"/>
    <cellStyle name="Bad 2" xfId="828" xr:uid="{DB4A179A-6133-41B9-B312-3F17BDEDF75F}"/>
    <cellStyle name="Bad 2 2" xfId="829" xr:uid="{22B267CC-0383-43B7-9CC7-C56D397EA5EA}"/>
    <cellStyle name="Bad 2 3" xfId="830" xr:uid="{BBE2AABB-AA91-4692-A21D-6298AFC6B43B}"/>
    <cellStyle name="Bad 3" xfId="831" xr:uid="{5C29C9EA-4E01-4E03-ADD2-1B2DFB3603DD}"/>
    <cellStyle name="Bad 3 2" xfId="832" xr:uid="{76C2DA68-9112-4DC4-9031-E74054CC4135}"/>
    <cellStyle name="Bad 3 3" xfId="833" xr:uid="{964C1C1F-71BA-47C7-9988-81725272B8B3}"/>
    <cellStyle name="Bad 4" xfId="834" xr:uid="{FEAFC28E-8B7D-4C81-9E49-693E91029FBD}"/>
    <cellStyle name="Bad 4 2" xfId="835" xr:uid="{CF55E6A9-7FB6-45D8-BB91-9BFBB4B448B2}"/>
    <cellStyle name="Bad 4 3" xfId="836" xr:uid="{40C8B7DC-DE99-4BCA-BD52-31BAC75E4686}"/>
    <cellStyle name="Bad 5" xfId="837" xr:uid="{4500E133-8152-41A9-9A2F-694C00112988}"/>
    <cellStyle name="Bad 5 2" xfId="838" xr:uid="{C52D3859-2D96-45FE-91B5-5C318AC1F7BE}"/>
    <cellStyle name="Bad 5 3" xfId="839" xr:uid="{2B86657D-013B-42EC-98DB-B2E48AE1B9A2}"/>
    <cellStyle name="Bad 6" xfId="840" xr:uid="{F61A0695-1DDC-4F24-AE00-AE80A92AAB33}"/>
    <cellStyle name="Bad 6 2" xfId="841" xr:uid="{4FDCAFCB-C8B9-44EA-9105-A2A1056F94AA}"/>
    <cellStyle name="Bad 6 3" xfId="842" xr:uid="{332E0421-146C-4A41-BEDF-90CCAACA108A}"/>
    <cellStyle name="Bad 7" xfId="843" xr:uid="{C2DDC396-45D6-4B57-92A4-A50C125F6258}"/>
    <cellStyle name="Bad 7 2" xfId="844" xr:uid="{D56DF67F-CCD7-4EBF-B761-FA045BEF202C}"/>
    <cellStyle name="Bad 7 3" xfId="845" xr:uid="{70CE2588-F315-4FA9-84BE-8F32C8096F38}"/>
    <cellStyle name="Bad 8" xfId="846" xr:uid="{3EE54DDD-025E-4BF3-AEA7-B16C37D952AB}"/>
    <cellStyle name="Bad 8 2" xfId="847" xr:uid="{8EA5A9A1-E72E-4BEF-AC77-683FB6A28FE3}"/>
    <cellStyle name="Bad 8 3" xfId="848" xr:uid="{AFF7D9F7-6254-41E9-8FDF-4C92A5D3A5C5}"/>
    <cellStyle name="Bad 9" xfId="849" xr:uid="{97AB36F5-C55F-4F86-B8A4-F832BFA95621}"/>
    <cellStyle name="Calculation 10" xfId="850" xr:uid="{19AA31A0-42BF-4A94-9FD7-59A8F1E351CB}"/>
    <cellStyle name="Calculation 11" xfId="851" xr:uid="{A2006305-6F5F-4EE8-9B33-FE180B344629}"/>
    <cellStyle name="Calculation 12" xfId="852" xr:uid="{2F204DE0-5333-4F70-B321-DF697B91D33D}"/>
    <cellStyle name="Calculation 13" xfId="853" xr:uid="{83086DB3-A390-4E87-84E5-147CC199B4E3}"/>
    <cellStyle name="Calculation 14" xfId="854" xr:uid="{1D6BAB6A-1D98-47E5-8D9A-7F234A22B1F3}"/>
    <cellStyle name="Calculation 15" xfId="855" xr:uid="{C5C59035-9897-45F1-B3D2-92901B5F5615}"/>
    <cellStyle name="Calculation 2" xfId="856" xr:uid="{63261DBF-6BCD-46C5-B64E-57E1CE422FA8}"/>
    <cellStyle name="Calculation 2 2" xfId="857" xr:uid="{432698EF-3975-4BFB-962F-92429208E054}"/>
    <cellStyle name="Calculation 2 3" xfId="858" xr:uid="{BC6F6DD2-4589-4767-8222-35B188568EAE}"/>
    <cellStyle name="Calculation 3" xfId="859" xr:uid="{0611D507-1DBB-444D-9C29-B488A795AD64}"/>
    <cellStyle name="Calculation 3 2" xfId="860" xr:uid="{56C74BA0-38AA-4182-B649-D790FB76AF01}"/>
    <cellStyle name="Calculation 3 3" xfId="861" xr:uid="{190D7A85-D55B-4FA1-8213-B128FE471C99}"/>
    <cellStyle name="Calculation 4" xfId="862" xr:uid="{61ED9B24-2E9D-4822-BB62-252119F9C23E}"/>
    <cellStyle name="Calculation 4 2" xfId="863" xr:uid="{9E602327-E554-40D6-934C-DE4666C7F098}"/>
    <cellStyle name="Calculation 4 3" xfId="864" xr:uid="{26A1A268-040A-4B59-A968-F75E7BBDCCCD}"/>
    <cellStyle name="Calculation 5" xfId="865" xr:uid="{98F2412D-B827-4C09-9CA0-BDFA2351700E}"/>
    <cellStyle name="Calculation 5 2" xfId="866" xr:uid="{B2C916F3-5F4C-450D-A6A4-970BB802EF4B}"/>
    <cellStyle name="Calculation 5 3" xfId="867" xr:uid="{245F8335-1EEF-4739-939D-27CACC535BDA}"/>
    <cellStyle name="Calculation 6" xfId="868" xr:uid="{2D08A645-6918-4347-B9A0-0C1E58692F47}"/>
    <cellStyle name="Calculation 6 2" xfId="869" xr:uid="{17B12EE2-21B9-4DC5-AC32-57514B1E8366}"/>
    <cellStyle name="Calculation 6 3" xfId="870" xr:uid="{1BE695D5-C1AE-46CA-BD98-557341C5A787}"/>
    <cellStyle name="Calculation 7" xfId="871" xr:uid="{65B6C7C7-AA80-4213-99C4-C74CDBDF6EB3}"/>
    <cellStyle name="Calculation 7 2" xfId="872" xr:uid="{335BFC79-417E-4B20-BDBE-F924B0977659}"/>
    <cellStyle name="Calculation 7 3" xfId="873" xr:uid="{109453B7-8257-4706-A519-2DD7A81257E0}"/>
    <cellStyle name="Calculation 8" xfId="874" xr:uid="{D3949557-917C-4747-92AE-F8DAAC64DE44}"/>
    <cellStyle name="Calculation 8 2" xfId="875" xr:uid="{B6173650-0288-43E1-8A48-002A44C9BF92}"/>
    <cellStyle name="Calculation 8 3" xfId="876" xr:uid="{A77E3FDA-BFCB-4FE8-964D-58FF17CC19AE}"/>
    <cellStyle name="Calculation 9" xfId="877" xr:uid="{DD35359A-1015-4505-9029-A41F501598FB}"/>
    <cellStyle name="Check Cell 10" xfId="878" xr:uid="{1AC66236-F5A3-4AAC-8D3D-6990C0E66D06}"/>
    <cellStyle name="Check Cell 11" xfId="879" xr:uid="{EB580280-7387-419D-AF6C-E4F247D9B256}"/>
    <cellStyle name="Check Cell 12" xfId="880" xr:uid="{497970E3-0498-4024-8321-178890DEFD73}"/>
    <cellStyle name="Check Cell 13" xfId="881" xr:uid="{F243A55B-A397-4216-A81E-0B1795A34AAE}"/>
    <cellStyle name="Check Cell 14" xfId="882" xr:uid="{874C87E9-E747-44A5-9E5D-4A076318109F}"/>
    <cellStyle name="Check Cell 15" xfId="883" xr:uid="{2E495E75-65E0-4DEE-930D-DFFC3E65B91F}"/>
    <cellStyle name="Check Cell 2" xfId="884" xr:uid="{4613785B-11D6-4274-BAC8-124A1C05BC3F}"/>
    <cellStyle name="Check Cell 2 2" xfId="885" xr:uid="{B4E433AB-BA59-4E35-9C30-FD352B48C573}"/>
    <cellStyle name="Check Cell 2 3" xfId="886" xr:uid="{FF5CE633-0179-4A67-8E3C-AACE503A3E3B}"/>
    <cellStyle name="Check Cell 3" xfId="887" xr:uid="{B0686BAB-57E5-459C-8502-B02D5D8CC066}"/>
    <cellStyle name="Check Cell 3 2" xfId="888" xr:uid="{7026B3E3-4969-48F9-A963-89D8C1E27D9B}"/>
    <cellStyle name="Check Cell 3 3" xfId="889" xr:uid="{CE9B92D3-69E9-471C-83F2-6685EBD7221F}"/>
    <cellStyle name="Check Cell 4" xfId="890" xr:uid="{B9A62559-AA74-4F6B-A201-062DC03C5A31}"/>
    <cellStyle name="Check Cell 4 2" xfId="891" xr:uid="{E5E4289A-FA72-429A-98AF-5BFDA8280DFB}"/>
    <cellStyle name="Check Cell 4 3" xfId="892" xr:uid="{8F5114BC-5F5F-49D4-A7C8-FC9B3D537130}"/>
    <cellStyle name="Check Cell 5" xfId="893" xr:uid="{E19BE2FD-EA15-4A63-AF17-4D33FD90A7C7}"/>
    <cellStyle name="Check Cell 5 2" xfId="894" xr:uid="{0D317416-97BF-4AE3-9005-3259491DCBD8}"/>
    <cellStyle name="Check Cell 5 3" xfId="895" xr:uid="{9F0EE2C7-9A99-4252-9DD8-D9282C88F329}"/>
    <cellStyle name="Check Cell 6" xfId="896" xr:uid="{4D43A870-1382-456E-9DEB-52D4C84FBE91}"/>
    <cellStyle name="Check Cell 6 2" xfId="897" xr:uid="{CA4B638B-0038-4DDE-B498-6FEEAACC8B02}"/>
    <cellStyle name="Check Cell 6 3" xfId="898" xr:uid="{96510086-5898-4C5A-B536-7D9C727C5A73}"/>
    <cellStyle name="Check Cell 7" xfId="899" xr:uid="{CFD3A49D-7B87-4DF4-A4BF-A51CB858F506}"/>
    <cellStyle name="Check Cell 7 2" xfId="900" xr:uid="{7751B817-FC2C-4E19-A461-5A9B9F5B6C17}"/>
    <cellStyle name="Check Cell 7 3" xfId="901" xr:uid="{FBCA7311-2995-4AFD-9BE5-141FD3F65353}"/>
    <cellStyle name="Check Cell 8" xfId="902" xr:uid="{16BCB6BB-0DDD-4A6A-8101-C82093EFA7DD}"/>
    <cellStyle name="Check Cell 8 2" xfId="903" xr:uid="{1BDFDE04-E91F-4CCE-9117-11F649ADE4FC}"/>
    <cellStyle name="Check Cell 8 3" xfId="904" xr:uid="{276FDBB1-765D-40BB-8F44-CC43F0E4CF41}"/>
    <cellStyle name="Check Cell 9" xfId="905" xr:uid="{41FECF82-0540-4BA4-BF8B-C9FF94CA19FA}"/>
    <cellStyle name="Comma" xfId="4" builtinId="3"/>
    <cellStyle name="Comma 10" xfId="906" xr:uid="{C828A2B8-DA5A-4EEE-A16C-C1832042DFAF}"/>
    <cellStyle name="Comma 10 10" xfId="907" xr:uid="{70AC5D14-B3B2-4279-909E-A27380CC55C4}"/>
    <cellStyle name="Comma 10 2" xfId="908" xr:uid="{4F0C7986-1459-4CDF-AC68-03734F1D80B9}"/>
    <cellStyle name="Comma 10 24 6 25" xfId="5" xr:uid="{00000000-0005-0000-0000-000004000000}"/>
    <cellStyle name="Comma 10 3" xfId="909" xr:uid="{6573CD1A-0EAB-42C0-8F45-3C2801DDF6FE}"/>
    <cellStyle name="Comma 10 4" xfId="910" xr:uid="{732ACC06-4665-407E-A07E-3D2AC1C34668}"/>
    <cellStyle name="Comma 10 4 2" xfId="911" xr:uid="{DF524509-F41B-4A2A-AADB-D379011FE7D6}"/>
    <cellStyle name="Comma 10 4 3" xfId="912" xr:uid="{02DEBFBE-0D52-4E7F-AD60-FB1C62501B7A}"/>
    <cellStyle name="Comma 10 4 4" xfId="913" xr:uid="{7F5A433D-B9E7-4565-9A6E-5099FCF88702}"/>
    <cellStyle name="Comma 10 4 5" xfId="914" xr:uid="{DBA5EBEE-05BC-4522-9582-5B4F0A2EF4B1}"/>
    <cellStyle name="Comma 10 4 6" xfId="915" xr:uid="{D66709B5-99CD-4C3A-B284-21A962C7E5E6}"/>
    <cellStyle name="Comma 10 5" xfId="916" xr:uid="{460CAAF6-5C9C-46B2-97A9-286FC732593E}"/>
    <cellStyle name="Comma 10 5 2" xfId="917" xr:uid="{52D6D884-1DC1-4B99-8718-C1F1E7063015}"/>
    <cellStyle name="Comma 10 6" xfId="918" xr:uid="{0F68ECF8-35E1-42AD-9B70-8D62E84B7FC0}"/>
    <cellStyle name="Comma 10 6 2" xfId="919" xr:uid="{96B97CEF-F7A1-4E8B-90F0-9D5CC5B1E196}"/>
    <cellStyle name="Comma 10 7" xfId="920" xr:uid="{825C59FD-414F-4524-B46F-8F6B7220F88E}"/>
    <cellStyle name="Comma 10 8" xfId="921" xr:uid="{BAE843E3-2092-4432-93CD-529F9DDB6A0C}"/>
    <cellStyle name="Comma 10 8 2" xfId="922" xr:uid="{02EE3B4A-1B49-4E6F-8816-BA8E5453E97E}"/>
    <cellStyle name="Comma 10 9" xfId="923" xr:uid="{8967F9DB-D9A6-4788-86A2-2C3052445077}"/>
    <cellStyle name="Comma 12 2" xfId="924" xr:uid="{DF3F21DA-6D9F-4A95-A071-4FBA20572A71}"/>
    <cellStyle name="Comma 13" xfId="925" xr:uid="{0B526B12-06D2-4BE9-BCEE-9322FD068935}"/>
    <cellStyle name="Comma 13 10" xfId="926" xr:uid="{38DBE3D8-C75A-4EFB-B0E2-7412BD983223}"/>
    <cellStyle name="Comma 13 2" xfId="927" xr:uid="{56B3B362-0394-43F1-AFCF-55CC003333B6}"/>
    <cellStyle name="Comma 13 3" xfId="928" xr:uid="{D35565D1-688F-4387-A3EE-36C1B21C4AA5}"/>
    <cellStyle name="Comma 13 4" xfId="929" xr:uid="{3307E660-A54C-41AD-B4C7-D736855E70A1}"/>
    <cellStyle name="Comma 13 4 2" xfId="930" xr:uid="{09994283-CBAE-4C20-808B-9D6C74E7A656}"/>
    <cellStyle name="Comma 13 4 3" xfId="931" xr:uid="{6EB6DC1E-7E1D-429B-ACE4-A3EBB827BE20}"/>
    <cellStyle name="Comma 13 4 4" xfId="932" xr:uid="{EE9CBC22-C426-4FD1-A3F3-D94A66E47FB7}"/>
    <cellStyle name="Comma 13 4 5" xfId="933" xr:uid="{1F162C36-7557-479C-A194-874A2D1544F2}"/>
    <cellStyle name="Comma 13 4 6" xfId="934" xr:uid="{3FAE6E28-BF6F-4B00-A734-594023D11789}"/>
    <cellStyle name="Comma 13 5" xfId="935" xr:uid="{FE9FFF93-EEBD-458E-821F-07AFE0628A42}"/>
    <cellStyle name="Comma 13 5 2" xfId="936" xr:uid="{E03C6539-6119-4A7F-AF56-E27C24EAF861}"/>
    <cellStyle name="Comma 13 6" xfId="937" xr:uid="{780983F5-ABC3-40E2-9486-29D0C9804393}"/>
    <cellStyle name="Comma 13 6 2" xfId="938" xr:uid="{976D28D7-8E73-43D9-9257-8C9B7AB35137}"/>
    <cellStyle name="Comma 13 7" xfId="939" xr:uid="{7029B69A-1EE6-4063-8B10-05F4E322FE5C}"/>
    <cellStyle name="Comma 13 8" xfId="940" xr:uid="{7548B5EF-644F-4A84-BAC4-53A549F51063}"/>
    <cellStyle name="Comma 13 9" xfId="941" xr:uid="{240B6592-CFD9-480C-9EDA-F34CAFFD703C}"/>
    <cellStyle name="Comma 15" xfId="942" xr:uid="{783B35C6-F125-499D-BD16-778A72FA8FEF}"/>
    <cellStyle name="Comma 17" xfId="943" xr:uid="{321ADD31-FFB2-46B8-8467-354ECE12FFF5}"/>
    <cellStyle name="Comma 17 2" xfId="944" xr:uid="{5BFA19B8-268B-418B-90F7-2CE17FD273BA}"/>
    <cellStyle name="Comma 17 3" xfId="945" xr:uid="{76DFDD56-7A77-4EF9-B21A-D06C3A8E4537}"/>
    <cellStyle name="Comma 17 4" xfId="946" xr:uid="{12C73516-3B23-4D8F-81C6-5519EF008717}"/>
    <cellStyle name="Comma 18" xfId="947" xr:uid="{42104FD8-3B0B-42B7-84F3-A732671261F1}"/>
    <cellStyle name="Comma 18 2" xfId="948" xr:uid="{AD5D3493-5E20-4D19-9A49-015244FB5FAF}"/>
    <cellStyle name="Comma 18 3" xfId="949" xr:uid="{CCBECEFE-6F7A-4EC5-A2AE-293A79F05E2F}"/>
    <cellStyle name="Comma 19" xfId="950" xr:uid="{116BCB18-1BF5-42FF-83B6-F2A1D3E9E5BC}"/>
    <cellStyle name="Comma 19 2" xfId="951" xr:uid="{57804388-9F74-4464-BFD7-627F89815D12}"/>
    <cellStyle name="Comma 19 3" xfId="952" xr:uid="{32387373-AE8A-4200-B953-C466A687EBD8}"/>
    <cellStyle name="Comma 19 4" xfId="953" xr:uid="{2066EA57-A065-4B0A-B3D1-862EBBBFC5F8}"/>
    <cellStyle name="Comma 19 5" xfId="954" xr:uid="{84269C9E-EE96-4070-A24E-0748B626845A}"/>
    <cellStyle name="Comma 19 6" xfId="955" xr:uid="{0B909CA1-77DE-47C8-8EA7-FFE92095BA9A}"/>
    <cellStyle name="Comma 2" xfId="6" xr:uid="{00000000-0005-0000-0000-000005000000}"/>
    <cellStyle name="Comma 2 10" xfId="956" xr:uid="{33315ADB-6A97-46D1-9665-D10088B5CAB0}"/>
    <cellStyle name="Comma 2 11" xfId="957" xr:uid="{2243A750-0D6B-4DE2-AEE5-36472B481791}"/>
    <cellStyle name="Comma 2 2" xfId="70" xr:uid="{00000000-0005-0000-0000-000006000000}"/>
    <cellStyle name="Comma 2 2 2" xfId="959" xr:uid="{0B64D580-27BB-4915-B49E-2C86A8D4383C}"/>
    <cellStyle name="Comma 2 2 3" xfId="960" xr:uid="{8C0A9737-C205-4737-9AE8-13B4D8CFA67F}"/>
    <cellStyle name="Comma 2 2 4" xfId="961" xr:uid="{F3B7850D-1E7B-442A-A500-EE47092DF7B3}"/>
    <cellStyle name="Comma 2 2 5" xfId="958" xr:uid="{7E95AF81-03F0-40EB-B06A-4752D04EB66D}"/>
    <cellStyle name="Comma 2 3" xfId="86" xr:uid="{00000000-0005-0000-0000-000007000000}"/>
    <cellStyle name="Comma 2 3 2" xfId="963" xr:uid="{576209AF-4828-411E-A47D-29D0ACECF6F0}"/>
    <cellStyle name="Comma 2 3 3" xfId="964" xr:uid="{434B58AE-0EED-48C1-99E9-C2F857E588C7}"/>
    <cellStyle name="Comma 2 3 4" xfId="965" xr:uid="{BB5DF961-9DCE-454D-B949-B27E5F530288}"/>
    <cellStyle name="Comma 2 3 5" xfId="962" xr:uid="{B093FFC6-26D2-45E3-B21D-708B8708B41E}"/>
    <cellStyle name="Comma 2 4" xfId="94" xr:uid="{00000000-0005-0000-0000-000008000000}"/>
    <cellStyle name="Comma 2 4 2" xfId="966" xr:uid="{D7110381-CB53-4693-99C2-E0516A6091C6}"/>
    <cellStyle name="Comma 2 4 3" xfId="2621" xr:uid="{10CA54D4-CC1B-4C15-84BD-8CF0884D3172}"/>
    <cellStyle name="Comma 2 5" xfId="95" xr:uid="{00000000-0005-0000-0000-000009000000}"/>
    <cellStyle name="Comma 2 5 2" xfId="967" xr:uid="{6A9C2B0E-3C71-408A-8CC5-D6353ECEE3AC}"/>
    <cellStyle name="Comma 2 6" xfId="98" xr:uid="{00000000-0005-0000-0000-00000A000000}"/>
    <cellStyle name="Comma 2 6 2" xfId="968" xr:uid="{9E56A5D1-9AC4-41B1-A079-CA6B71DD479E}"/>
    <cellStyle name="Comma 2 7" xfId="969" xr:uid="{A1635756-ED2F-47FA-B7A6-9296B49B698C}"/>
    <cellStyle name="Comma 2 8" xfId="970" xr:uid="{66DBAC01-08B7-4A12-8769-B9E3C86AF705}"/>
    <cellStyle name="Comma 2 9" xfId="971" xr:uid="{2A74125E-728C-4B3C-97CB-B5EC7C4BDCCF}"/>
    <cellStyle name="Comma 21" xfId="972" xr:uid="{96237F0D-B5D7-49C0-B9D3-7FD2A8510807}"/>
    <cellStyle name="Comma 21 2" xfId="973" xr:uid="{C2F8472A-765C-4812-8474-A63C03B9B318}"/>
    <cellStyle name="Comma 21 3" xfId="974" xr:uid="{82ABBCDF-548D-4052-BFB5-D5709175391C}"/>
    <cellStyle name="Comma 22" xfId="975" xr:uid="{4B30EF0C-AC1D-4728-9381-8D4A0E46DBC3}"/>
    <cellStyle name="Comma 22 2" xfId="976" xr:uid="{1CC573E2-ACE4-4E2F-93C8-242BC3F3E01F}"/>
    <cellStyle name="Comma 22 3" xfId="977" xr:uid="{350E82D8-B23D-4A25-BF34-D5248C183FCF}"/>
    <cellStyle name="Comma 22 4" xfId="978" xr:uid="{3581600F-FEE8-4936-B2EC-590F4D27F674}"/>
    <cellStyle name="Comma 3" xfId="64" xr:uid="{00000000-0005-0000-0000-00000B000000}"/>
    <cellStyle name="Comma 3 2" xfId="979" xr:uid="{7561A552-9AF6-4C34-B23E-BB6B855F3F84}"/>
    <cellStyle name="Comma 3 2 2" xfId="980" xr:uid="{14D76411-1412-4676-A5FD-B5A6386D8EC4}"/>
    <cellStyle name="Comma 3 2 3" xfId="981" xr:uid="{AA63E9E3-CA0B-4BBE-87B7-BC377D7C7BB1}"/>
    <cellStyle name="Comma 3 2 4" xfId="982" xr:uid="{CCF64171-5884-4EEB-85B8-F97BE357941F}"/>
    <cellStyle name="Comma 3 3" xfId="983" xr:uid="{FEDF0528-1363-4095-B1E4-51297CD6BD4A}"/>
    <cellStyle name="Comma 3 3 2" xfId="984" xr:uid="{142EF4B2-EC1D-494F-BF94-D2C31418DDD6}"/>
    <cellStyle name="Comma 3 3 3" xfId="985" xr:uid="{08509AA0-A110-400A-A457-5D84FB8FBD6E}"/>
    <cellStyle name="Comma 3 3 4" xfId="986" xr:uid="{B63224E7-1950-4EFA-AB48-3AC910BEF1C6}"/>
    <cellStyle name="Comma 3 4" xfId="987" xr:uid="{9712E44C-9307-4F75-91BC-85C31F5F4832}"/>
    <cellStyle name="Comma 3 5" xfId="988" xr:uid="{731A36D9-ECC9-48F7-9067-AF4DA29B8C3F}"/>
    <cellStyle name="Comma 3 6" xfId="989" xr:uid="{7316AE3B-D4DD-4E23-9EF3-454A0325AAB0}"/>
    <cellStyle name="Comma 4" xfId="7" xr:uid="{00000000-0005-0000-0000-00000C000000}"/>
    <cellStyle name="Comma 4 10" xfId="991" xr:uid="{F1646672-9A3D-4408-9493-C4DFE717FC43}"/>
    <cellStyle name="Comma 4 11" xfId="990" xr:uid="{09465177-B0D4-45C8-ABE4-EBEA9673597E}"/>
    <cellStyle name="Comma 4 2" xfId="992" xr:uid="{7D14068A-086A-4E66-8DAC-39B4B68CB2D5}"/>
    <cellStyle name="Comma 4 2 2" xfId="993" xr:uid="{53F64D67-CED3-4ADF-926A-55C75549C808}"/>
    <cellStyle name="Comma 4 2 2 2" xfId="994" xr:uid="{D2B40CCB-38F9-487F-9A6C-AE598C7DEC2D}"/>
    <cellStyle name="Comma 4 2 3" xfId="995" xr:uid="{D7DD19E1-1333-4588-91D7-89ABACDDC7AA}"/>
    <cellStyle name="Comma 4 2 4" xfId="996" xr:uid="{E2CCAD6A-EC63-4437-88E9-6B01C6FE9D01}"/>
    <cellStyle name="Comma 4 2 5" xfId="997" xr:uid="{06D6E7F4-2FEF-4AE6-A29F-403E4A1EDE1F}"/>
    <cellStyle name="Comma 4 2 6" xfId="998" xr:uid="{A160DF09-43B0-4701-AB6C-CE5217F721F8}"/>
    <cellStyle name="Comma 4 3" xfId="999" xr:uid="{D93A7E63-2170-4118-97FB-B2221A3FFEB1}"/>
    <cellStyle name="Comma 4 3 2" xfId="1000" xr:uid="{EAE8CA62-B012-40C4-A85B-39FB12B7C13C}"/>
    <cellStyle name="Comma 4 3 2 2" xfId="1001" xr:uid="{BBA6FE10-AB5C-413F-A0F7-4DB58564CB22}"/>
    <cellStyle name="Comma 4 3 3" xfId="1002" xr:uid="{B89B1DF7-85E9-441D-A008-EAEE551C58B7}"/>
    <cellStyle name="Comma 4 3 4" xfId="1003" xr:uid="{0236FCDB-1369-4BD0-A7F7-517DFDA251E7}"/>
    <cellStyle name="Comma 4 3 5" xfId="1004" xr:uid="{1FA495AB-BA68-4C65-A024-6EC49B473B06}"/>
    <cellStyle name="Comma 4 3 6" xfId="1005" xr:uid="{1407C9A2-D7F4-4CD7-9A5A-21CD113647DF}"/>
    <cellStyle name="Comma 4 4" xfId="1006" xr:uid="{5136AF2C-E8D6-4B3F-9DBD-45EBEF08D6E3}"/>
    <cellStyle name="Comma 4 4 2" xfId="1007" xr:uid="{2B8F81B2-AFA4-4B2D-96CD-AF712E9B9A44}"/>
    <cellStyle name="Comma 4 4 3" xfId="1008" xr:uid="{97FFF42D-6811-45F9-A3B4-1C5FC3B9D790}"/>
    <cellStyle name="Comma 4 4 4" xfId="1009" xr:uid="{44AAEBD9-2A22-47CE-BE81-291587A49042}"/>
    <cellStyle name="Comma 4 4 5" xfId="1010" xr:uid="{19F23C95-CB07-42EA-AFF2-072B5AA8815D}"/>
    <cellStyle name="Comma 4 4 6" xfId="1011" xr:uid="{3C33935F-D766-4C0B-AE0F-3688857DE213}"/>
    <cellStyle name="Comma 4 5" xfId="1012" xr:uid="{D7540FE5-4CC6-4523-8EB3-05ECD5A5EB12}"/>
    <cellStyle name="Comma 4 5 2" xfId="1013" xr:uid="{39121B23-98E2-4D3B-A9A0-F47EC1220167}"/>
    <cellStyle name="Comma 4 6" xfId="1014" xr:uid="{C8A5A4D2-9367-42B7-99E8-3CA1171E48B6}"/>
    <cellStyle name="Comma 4 6 2" xfId="1015" xr:uid="{83775179-A4C1-42D5-AEE7-B3C3EFC659AB}"/>
    <cellStyle name="Comma 4 7" xfId="1016" xr:uid="{559B8632-8BA9-4DF3-8720-596A8842F815}"/>
    <cellStyle name="Comma 4 8" xfId="1017" xr:uid="{1E55C9EF-84DC-4597-8D3B-64B102413F7E}"/>
    <cellStyle name="Comma 4 8 2" xfId="1018" xr:uid="{7198FEDB-558E-4391-B30D-5CE5BCB166BE}"/>
    <cellStyle name="Comma 4 9" xfId="1019" xr:uid="{6A910132-A0A6-4898-98A0-46B072ED63A8}"/>
    <cellStyle name="Comma 48" xfId="1020" xr:uid="{AEA580C2-8D52-4309-B7BC-FDCCF6F037BD}"/>
    <cellStyle name="Comma 48 2" xfId="1021" xr:uid="{14A0E0B8-A710-4ED7-B28B-6B6C9583CB89}"/>
    <cellStyle name="Comma 48 3" xfId="1022" xr:uid="{E828BA76-70AD-4861-9BDD-6E5AD6279DC5}"/>
    <cellStyle name="Comma 48 4" xfId="1023" xr:uid="{F5F1D6D7-8BF6-4B26-AA04-A3FBA5DE821D}"/>
    <cellStyle name="Comma 49" xfId="1024" xr:uid="{AE57160A-2B2A-4F4F-A11B-86C0ADCBF157}"/>
    <cellStyle name="Comma 49 2" xfId="1025" xr:uid="{C4AC7ADD-E4A5-41C6-870E-62B64EC9E4F5}"/>
    <cellStyle name="Comma 49 3" xfId="1026" xr:uid="{10BF481F-E8FD-4C22-A678-1598359E3798}"/>
    <cellStyle name="Comma 49 4" xfId="1027" xr:uid="{6BCC9058-1066-49F4-BBD1-68EB6B6472FB}"/>
    <cellStyle name="Comma 5" xfId="73" xr:uid="{00000000-0005-0000-0000-00000D000000}"/>
    <cellStyle name="Comma 5 2" xfId="1028" xr:uid="{C9A15432-042D-4EC4-8FC8-C68BB65FBC8F}"/>
    <cellStyle name="Comma 5 2 2" xfId="1029" xr:uid="{097F70AB-A2B7-4DBE-BFCA-619DFD5AD073}"/>
    <cellStyle name="Comma 5 2 3" xfId="1030" xr:uid="{A0B839CC-3EED-4D3B-A74F-7C9775AF10DA}"/>
    <cellStyle name="Comma 5 2 4" xfId="1031" xr:uid="{8F7D1303-5B80-45A2-B996-7A1A6031C3B8}"/>
    <cellStyle name="Comma 5 3" xfId="1032" xr:uid="{3E81EBA4-A726-4CF9-9A8A-088DF0CFA110}"/>
    <cellStyle name="Comma 5 3 2" xfId="1033" xr:uid="{75963D19-90FC-40FF-8686-F070359699A5}"/>
    <cellStyle name="Comma 5 3 3" xfId="1034" xr:uid="{56F80B6B-C642-46EF-B49E-4594F0B2CEB5}"/>
    <cellStyle name="Comma 5 3 4" xfId="1035" xr:uid="{1F6A9310-849E-4AC8-889E-02C28311AF1E}"/>
    <cellStyle name="Comma 5 4" xfId="1036" xr:uid="{4B075F36-A0EA-4313-A984-0874C1F9FB55}"/>
    <cellStyle name="Comma 5 5" xfId="1037" xr:uid="{758E1915-D595-4850-B3CF-6B4A48CC94C3}"/>
    <cellStyle name="Comma 5 6" xfId="1038" xr:uid="{4DB21484-8695-421E-9032-6AA29C390259}"/>
    <cellStyle name="Comma 50" xfId="1039" xr:uid="{87565C6D-08ED-4393-B0B9-039D333994F1}"/>
    <cellStyle name="Comma 50 2" xfId="1040" xr:uid="{B9B9AE40-8A34-4328-A9F6-324DDF176402}"/>
    <cellStyle name="Comma 50 3" xfId="1041" xr:uid="{2731F32F-ED3E-47CB-ADE1-E5219FD873FE}"/>
    <cellStyle name="Comma 50 4" xfId="1042" xr:uid="{160CF311-EF21-423B-9B22-FBDEE3A797A9}"/>
    <cellStyle name="Comma 51" xfId="1043" xr:uid="{6BC41457-2F96-48CC-9910-0A1C0FEB760E}"/>
    <cellStyle name="Comma 51 2" xfId="1044" xr:uid="{C201D635-172C-41C6-85B5-02F5FE30E1E5}"/>
    <cellStyle name="Comma 51 3" xfId="1045" xr:uid="{95C4C014-95C1-4E03-B6B5-1A8D3A8C02A2}"/>
    <cellStyle name="Comma 51 4" xfId="1046" xr:uid="{D092A9AA-0DEC-4FE1-B60A-19201B8B7B8B}"/>
    <cellStyle name="Comma 6" xfId="90" xr:uid="{00000000-0005-0000-0000-00000E000000}"/>
    <cellStyle name="Comma 6 2" xfId="1047" xr:uid="{91633423-AE3F-4768-86E8-4132A0FFDC49}"/>
    <cellStyle name="Comma 6 2 2" xfId="1048" xr:uid="{9D55F3E0-D527-465C-AD54-FE872A928375}"/>
    <cellStyle name="Comma 6 2 3" xfId="1049" xr:uid="{26D15DD5-E4CB-4065-88E5-36944584E9DD}"/>
    <cellStyle name="Comma 6 2 4" xfId="1050" xr:uid="{B2D4912F-6B9E-4020-B3CE-9B7EB39C6799}"/>
    <cellStyle name="Comma 6 3" xfId="1051" xr:uid="{42694013-A298-4B5E-908F-62099409B7D3}"/>
    <cellStyle name="Comma 6 3 2" xfId="1052" xr:uid="{47DAF56D-A07A-43D4-BE48-306A51E6F2ED}"/>
    <cellStyle name="Comma 6 3 3" xfId="1053" xr:uid="{0B34DFD2-CBB2-4AB7-B125-5AC2B3205831}"/>
    <cellStyle name="Comma 6 3 4" xfId="1054" xr:uid="{A1B4930D-B208-4635-8A02-DE1A1475AE7E}"/>
    <cellStyle name="Comma 6 4" xfId="1055" xr:uid="{A6540EAF-3F92-4D57-8BDC-18DDF7768414}"/>
    <cellStyle name="Comma 6 5" xfId="1056" xr:uid="{C2D7D869-5432-42DC-972D-54DB5275DEB1}"/>
    <cellStyle name="Comma 6 6" xfId="1057" xr:uid="{1E3CE2DB-7414-4400-9A51-6FF5C6B0DF14}"/>
    <cellStyle name="Comma 7" xfId="8" xr:uid="{00000000-0005-0000-0000-00000F000000}"/>
    <cellStyle name="Comma 7 2" xfId="1058" xr:uid="{239BD5D5-A538-4480-BF08-5D48B151A771}"/>
    <cellStyle name="Comma 7 2 2" xfId="1059" xr:uid="{7B9F7E79-1F41-468B-8398-F879CFECB78E}"/>
    <cellStyle name="Comma 7 2 3" xfId="1060" xr:uid="{3F2FFA5E-F98C-417C-8FA8-AE36819046B8}"/>
    <cellStyle name="Comma 7 2 4" xfId="1061" xr:uid="{B76E255A-BB25-4779-BF12-C39B1706CE49}"/>
    <cellStyle name="Comma 7 3" xfId="1062" xr:uid="{6F239403-2D47-4BC9-B371-21A81597B327}"/>
    <cellStyle name="Comma 7 3 2" xfId="1063" xr:uid="{7D3CE9EE-2E91-4B7A-8920-0520C947791C}"/>
    <cellStyle name="Comma 7 3 3" xfId="1064" xr:uid="{E607F978-E642-4EF1-A8B5-A8504F4F127E}"/>
    <cellStyle name="Comma 7 3 4" xfId="1065" xr:uid="{1A76CBF3-2BBB-4A47-9A44-230C4485897E}"/>
    <cellStyle name="Comma 7 4" xfId="1066" xr:uid="{AE1B472F-B593-4C91-B331-51BE7EBC879F}"/>
    <cellStyle name="Comma 7 5" xfId="1067" xr:uid="{85D879F0-3AB9-4CF3-809D-973231C80A35}"/>
    <cellStyle name="Comma 7 6" xfId="1068" xr:uid="{6A1CC898-36A1-4259-8737-BAB3C76D6006}"/>
    <cellStyle name="Comma 8" xfId="97" xr:uid="{00000000-0005-0000-0000-000010000000}"/>
    <cellStyle name="Comma 8 10" xfId="1070" xr:uid="{CC9ED2C5-1F1C-40B8-89DA-8769A37B3D90}"/>
    <cellStyle name="Comma 8 11" xfId="1069" xr:uid="{477EB2A5-F9FA-4E84-8A11-230F72093095}"/>
    <cellStyle name="Comma 8 2" xfId="1071" xr:uid="{D3D80428-FECD-4744-A833-B8B99ABEA5E5}"/>
    <cellStyle name="Comma 8 2 2" xfId="1072" xr:uid="{ABDABDEB-0784-40B9-95A7-9C4A24BD5D1C}"/>
    <cellStyle name="Comma 8 2 2 2" xfId="1073" xr:uid="{513982AA-8381-441D-810A-FC6DEC0DE56B}"/>
    <cellStyle name="Comma 8 2 3" xfId="1074" xr:uid="{FF37E775-E5E2-407B-8C12-531D519E58C2}"/>
    <cellStyle name="Comma 8 2 4" xfId="1075" xr:uid="{73BAA1ED-7191-4FA4-97F2-EE92F1865448}"/>
    <cellStyle name="Comma 8 2 5" xfId="1076" xr:uid="{867F9F3C-4D3C-4EA0-9C5E-A61FBD56E0C4}"/>
    <cellStyle name="Comma 8 2 6" xfId="1077" xr:uid="{37AD70F7-2384-409B-9816-E2B8B35C4B40}"/>
    <cellStyle name="Comma 8 3" xfId="1078" xr:uid="{50CAD5C4-DDFB-46A9-A946-360109938A22}"/>
    <cellStyle name="Comma 8 3 2" xfId="1079" xr:uid="{89DC6164-421C-40BF-BE69-6DF04F66DF2D}"/>
    <cellStyle name="Comma 8 3 2 2" xfId="1080" xr:uid="{8CF3DEB8-6207-4C86-8BA6-810354F862DB}"/>
    <cellStyle name="Comma 8 3 3" xfId="1081" xr:uid="{5FC9A45D-D1E7-4F3C-B308-C2CA76978602}"/>
    <cellStyle name="Comma 8 3 4" xfId="1082" xr:uid="{39FEFDAE-7331-438B-95CA-E2C3E0A61296}"/>
    <cellStyle name="Comma 8 3 5" xfId="1083" xr:uid="{B1FCFBB3-EBE5-4FFC-A2AC-4CA31E6B71BA}"/>
    <cellStyle name="Comma 8 3 6" xfId="1084" xr:uid="{DAD8CC25-CE65-4F33-A7EE-CEEE8E45F81C}"/>
    <cellStyle name="Comma 8 4" xfId="1085" xr:uid="{8EC96CD2-0EA9-4EF8-B4BE-825F086E81F2}"/>
    <cellStyle name="Comma 8 4 2" xfId="1086" xr:uid="{07F4C2E8-140F-4E75-BF6C-6857E8289EA8}"/>
    <cellStyle name="Comma 8 4 3" xfId="1087" xr:uid="{7236A3F9-9E57-46ED-B8FB-C54D097D6373}"/>
    <cellStyle name="Comma 8 4 4" xfId="1088" xr:uid="{4E4D5118-3504-4C0D-9A2C-0B108B500B89}"/>
    <cellStyle name="Comma 8 4 5" xfId="1089" xr:uid="{1505F517-0827-4C23-9E80-939E95989038}"/>
    <cellStyle name="Comma 8 4 6" xfId="1090" xr:uid="{F0416ABA-B078-43E9-8628-D4129149F030}"/>
    <cellStyle name="Comma 8 5" xfId="1091" xr:uid="{46403F0D-A1FE-4BEC-AB3B-663055F90E16}"/>
    <cellStyle name="Comma 8 5 2" xfId="1092" xr:uid="{034BD5D0-6E48-44DA-9B06-5DA1280FE080}"/>
    <cellStyle name="Comma 8 6" xfId="1093" xr:uid="{3B161ED5-A43B-4199-AE24-134495E68DC6}"/>
    <cellStyle name="Comma 8 6 2" xfId="1094" xr:uid="{1E08205C-AEF9-44DC-8B22-B719307DFD57}"/>
    <cellStyle name="Comma 8 7" xfId="1095" xr:uid="{2A022E68-7A5F-450F-946E-CD24F771B964}"/>
    <cellStyle name="Comma 8 8" xfId="1096" xr:uid="{0CE7A4C4-7FCD-46C4-BC65-6C191B7032A5}"/>
    <cellStyle name="Comma 8 8 2" xfId="1097" xr:uid="{6CCB4A64-58E1-4CA5-94C4-F608264B2E28}"/>
    <cellStyle name="Comma 8 9" xfId="1098" xr:uid="{3E725ED6-9EAA-45C8-8219-C4FFA5CBE01F}"/>
    <cellStyle name="Comma 9" xfId="2618" xr:uid="{7934D0DD-3C34-4AFA-9677-4740374F7A77}"/>
    <cellStyle name="Comma 9 2" xfId="1099" xr:uid="{AA8AC2C2-A997-40B7-A5F3-712FECB0C354}"/>
    <cellStyle name="Comma 9 2 2" xfId="1100" xr:uid="{7451D3A8-3589-444C-BF5F-E963F6C54A49}"/>
    <cellStyle name="Comma 9 3" xfId="1101" xr:uid="{A7CA3C38-2E01-4DA7-A477-28932F6518E8}"/>
    <cellStyle name="Comma 9 4" xfId="1102" xr:uid="{5B98F5C1-CFE0-4DCA-B1A3-AB5E2C4DD17E}"/>
    <cellStyle name="Currency 6" xfId="9" xr:uid="{00000000-0005-0000-0000-000011000000}"/>
    <cellStyle name="Currency 7" xfId="10" xr:uid="{00000000-0005-0000-0000-000012000000}"/>
    <cellStyle name="Date" xfId="11" xr:uid="{00000000-0005-0000-0000-000013000000}"/>
    <cellStyle name="Date 10" xfId="1104" xr:uid="{BF1BBE39-760E-456D-92C5-2E38F91EE287}"/>
    <cellStyle name="Date 100" xfId="1103" xr:uid="{093AF1CA-8F11-4E50-97DA-89133BF52B10}"/>
    <cellStyle name="Date 11" xfId="1105" xr:uid="{5A5E2591-7986-4B69-99AD-109025D98BA4}"/>
    <cellStyle name="Date 11 2" xfId="1106" xr:uid="{E1A15FE9-F830-4783-96BE-090EBAAD9547}"/>
    <cellStyle name="Date 12" xfId="1107" xr:uid="{44B6D0CB-D2CC-4DD1-B063-A294087FB5DD}"/>
    <cellStyle name="Date 12 2" xfId="1108" xr:uid="{377AD567-0EF9-4E12-B255-2E6F75206666}"/>
    <cellStyle name="Date 13" xfId="1109" xr:uid="{ABCADF7C-DCBB-4FAB-9D1C-1C07D2EABE45}"/>
    <cellStyle name="Date 13 2" xfId="1110" xr:uid="{1FD142C6-CF98-41F7-8934-6B4E1892E652}"/>
    <cellStyle name="Date 14" xfId="1111" xr:uid="{12C4A857-77C9-48D2-9848-75094035E38E}"/>
    <cellStyle name="Date 15" xfId="1112" xr:uid="{21D8C771-564C-417A-BC13-1D760B64E33B}"/>
    <cellStyle name="Date 16" xfId="1113" xr:uid="{54960DFF-0F17-4E9C-8598-11A258D03FBD}"/>
    <cellStyle name="Date 17" xfId="1114" xr:uid="{0E25A977-0DF6-4406-84B8-A88843C9308A}"/>
    <cellStyle name="Date 18" xfId="1115" xr:uid="{5C3CE7FB-2BD7-41D8-AA2D-A2412E4B449D}"/>
    <cellStyle name="Date 19" xfId="1116" xr:uid="{8465504D-6CE0-4E15-B486-B26748A58EE6}"/>
    <cellStyle name="Date 2" xfId="1117" xr:uid="{9F2256DF-7A83-410A-A809-1DA255959D4F}"/>
    <cellStyle name="Date 2 10" xfId="1118" xr:uid="{90F1A359-BFCB-4AC6-A245-FDA5880A666C}"/>
    <cellStyle name="Date 2 10 2" xfId="1119" xr:uid="{AA6CBFFC-4DBF-45A8-ABCE-F04F16FF2A05}"/>
    <cellStyle name="Date 2 10 2 2" xfId="1120" xr:uid="{A0C224F2-CAAD-4E83-B405-175B49C70113}"/>
    <cellStyle name="Date 2 10 3" xfId="1121" xr:uid="{39E1FFAF-109F-47F8-8158-87FDF78E9B26}"/>
    <cellStyle name="Date 2 11" xfId="1122" xr:uid="{FC51BC39-55CA-4F80-8FF2-603590EDA89E}"/>
    <cellStyle name="Date 2 11 2" xfId="1123" xr:uid="{A1796F98-C5CC-442D-8E3C-E3934A15999F}"/>
    <cellStyle name="Date 2 11 3" xfId="1124" xr:uid="{8C054E92-17D4-40EE-9ED7-F3477C4D3CF1}"/>
    <cellStyle name="Date 2 12" xfId="1125" xr:uid="{94FBD926-F55D-48B3-8C20-50C2A2E29563}"/>
    <cellStyle name="Date 2 12 2" xfId="1126" xr:uid="{2ADE1224-E0B1-4510-AB50-938E61A7FE21}"/>
    <cellStyle name="Date 2 12 3" xfId="1127" xr:uid="{BF88988F-22BA-4880-8622-9C6AA6C2F079}"/>
    <cellStyle name="Date 2 13" xfId="1128" xr:uid="{1548F2DB-CF30-43FC-A63E-8336787C53F6}"/>
    <cellStyle name="Date 2 13 2" xfId="1129" xr:uid="{C27BAFB1-94D2-46B4-9965-D1EA3B50A27B}"/>
    <cellStyle name="Date 2 13 3" xfId="1130" xr:uid="{46748882-33C0-4E19-9AC8-E04B3E0F95E2}"/>
    <cellStyle name="Date 2 14" xfId="1131" xr:uid="{675568BA-605D-451E-9B85-7876C57AD195}"/>
    <cellStyle name="Date 2 15" xfId="1132" xr:uid="{D222C557-B24B-489A-84E5-4331AE9E91CC}"/>
    <cellStyle name="Date 2 2" xfId="1133" xr:uid="{81272BCE-4D8D-41AA-85F4-32126EB7DC46}"/>
    <cellStyle name="Date 2 2 10" xfId="1134" xr:uid="{15F970F5-DAA5-4566-AB28-4203ED072FE1}"/>
    <cellStyle name="Date 2 2 11" xfId="1135" xr:uid="{5C2A035B-436E-4B58-B0BB-33CC3B4E2FDB}"/>
    <cellStyle name="Date 2 2 12" xfId="1136" xr:uid="{26FD1C5C-68D1-4BAB-941A-8F95B6EA8C7E}"/>
    <cellStyle name="Date 2 2 2" xfId="1137" xr:uid="{DD743701-855B-45D1-92DE-CDCF9E4D257B}"/>
    <cellStyle name="Date 2 2 2 2" xfId="1138" xr:uid="{1E700C1A-E55A-469E-AFF1-230833167D2B}"/>
    <cellStyle name="Date 2 2 3" xfId="1139" xr:uid="{F9B3CC80-6F43-4CB1-ABB5-77144DD9F61B}"/>
    <cellStyle name="Date 2 2 4" xfId="1140" xr:uid="{5815381F-8905-4BA9-8A17-A13C36F13FFE}"/>
    <cellStyle name="Date 2 2 5" xfId="1141" xr:uid="{E5793A56-E1FA-4D2F-8377-64D441C09339}"/>
    <cellStyle name="Date 2 2 6" xfId="1142" xr:uid="{FB0A0164-B9A1-4DE9-9FCD-A4922F6DB6EC}"/>
    <cellStyle name="Date 2 2 7" xfId="1143" xr:uid="{FCC6EEE2-EE00-46C7-A85A-D1BDA8296A16}"/>
    <cellStyle name="Date 2 2 8" xfId="1144" xr:uid="{983DE682-7A79-4A50-A146-6034D5BEC4CC}"/>
    <cellStyle name="Date 2 2 9" xfId="1145" xr:uid="{D0306E78-5013-42BE-B07D-A7F04FA9B93C}"/>
    <cellStyle name="Date 2 3" xfId="1146" xr:uid="{853D85E8-ADA4-43BA-A076-AAEF4F859105}"/>
    <cellStyle name="Date 2 4" xfId="1147" xr:uid="{97DB2D3E-538C-4041-8659-2E68B22DB4D1}"/>
    <cellStyle name="Date 2 5" xfId="1148" xr:uid="{68E186CF-50BF-42A2-AA0E-DD74BEAE86B0}"/>
    <cellStyle name="Date 2 6" xfId="1149" xr:uid="{E9504555-6962-498A-A0FC-0CCA53DD1FEA}"/>
    <cellStyle name="Date 2 7" xfId="1150" xr:uid="{18AA7C8E-2F64-41A1-B53D-2A17AD74A1B1}"/>
    <cellStyle name="Date 2 8" xfId="1151" xr:uid="{1E64448D-9556-4F5B-B782-848CB75C4D83}"/>
    <cellStyle name="Date 2 9" xfId="1152" xr:uid="{641AEEB3-3BDF-436D-8506-069A08A3D57D}"/>
    <cellStyle name="Date 2 9 2" xfId="1153" xr:uid="{4D771C33-D310-4A16-B6FC-62543B49AC8C}"/>
    <cellStyle name="Date 2 9 2 2" xfId="1154" xr:uid="{2475BD9C-B01E-4FC8-BED9-9EA50516DD77}"/>
    <cellStyle name="Date 2 9 3" xfId="1155" xr:uid="{1B4BCB05-D518-46B5-A95D-BBB5FA769E18}"/>
    <cellStyle name="Date 20" xfId="1156" xr:uid="{5C18B7EA-A246-4FB4-BE49-7077F9859FFC}"/>
    <cellStyle name="Date 21" xfId="1157" xr:uid="{48238CC4-8CFA-489C-998A-3C9C348323AB}"/>
    <cellStyle name="Date 22" xfId="1158" xr:uid="{D10CE3C2-6FFE-40C5-B782-3643B6762C08}"/>
    <cellStyle name="Date 23" xfId="1159" xr:uid="{353F598B-0DE6-442E-AB96-196FB081BDA2}"/>
    <cellStyle name="Date 24" xfId="1160" xr:uid="{D80EBEAD-B8F0-40C7-9461-CDB45768245F}"/>
    <cellStyle name="Date 25" xfId="1161" xr:uid="{F36C635D-F582-47AA-A76F-D85A97A159F7}"/>
    <cellStyle name="Date 26" xfId="1162" xr:uid="{BEB4FC51-47A0-4D02-AA34-6B097308E6CE}"/>
    <cellStyle name="Date 27" xfId="1163" xr:uid="{AAC016FB-35CC-4C89-8C0F-12789D94F1CB}"/>
    <cellStyle name="Date 28" xfId="1164" xr:uid="{5762E6ED-13F7-4A7A-A4BB-8B28D3003BA9}"/>
    <cellStyle name="Date 29" xfId="1165" xr:uid="{DAEB377F-EBAD-472A-8EAE-3045274674FB}"/>
    <cellStyle name="Date 3" xfId="1166" xr:uid="{B63C31D4-B031-4258-A697-E317DB8EA127}"/>
    <cellStyle name="Date 30" xfId="1167" xr:uid="{36AF674D-6F16-4B9B-A311-FA3F7F38E382}"/>
    <cellStyle name="Date 31" xfId="1168" xr:uid="{E1BD0084-DFE3-467D-8AC6-8DA063A8EBE3}"/>
    <cellStyle name="Date 32" xfId="1169" xr:uid="{67135DD8-A46B-424D-9A9E-5F7D357D510E}"/>
    <cellStyle name="Date 33" xfId="1170" xr:uid="{6D0E1DE5-169C-44CA-9B2C-9CE15206767F}"/>
    <cellStyle name="Date 34" xfId="1171" xr:uid="{CFF439CD-93E7-4C19-A2CC-F4D57C29115B}"/>
    <cellStyle name="Date 35" xfId="1172" xr:uid="{51E0008F-DCA5-4EDD-ACE8-7F740F33EA3D}"/>
    <cellStyle name="Date 36" xfId="1173" xr:uid="{12754458-71D7-4EE6-8208-BDE2F650CCCE}"/>
    <cellStyle name="Date 37" xfId="1174" xr:uid="{C717D9BF-A408-4F69-BC76-9BFBC0FAE357}"/>
    <cellStyle name="Date 38" xfId="1175" xr:uid="{DCC19B20-52E7-4792-810A-EA33B7789740}"/>
    <cellStyle name="Date 39" xfId="1176" xr:uid="{D371C04B-CA47-43D7-9068-517B7AE44EF1}"/>
    <cellStyle name="Date 4" xfId="1177" xr:uid="{1D5981B1-A7C4-449F-A624-5A5F490925CA}"/>
    <cellStyle name="Date 40" xfId="1178" xr:uid="{7FE79601-CBD2-41C4-A803-D0D5C29DFBE0}"/>
    <cellStyle name="Date 41" xfId="1179" xr:uid="{4CD0C718-E14C-48B0-9567-2219F05F4C1F}"/>
    <cellStyle name="Date 42" xfId="1180" xr:uid="{52A1FD2D-0744-4E3E-8EFD-270CE69A9483}"/>
    <cellStyle name="Date 43" xfId="1181" xr:uid="{4B7373E0-43EF-429A-9687-176DE849AF2E}"/>
    <cellStyle name="Date 44" xfId="1182" xr:uid="{C29F28D6-0DEC-4FBB-9F84-F8D4F9F23AA7}"/>
    <cellStyle name="Date 45" xfId="1183" xr:uid="{37FFAAF0-8C23-4FDA-8E13-594761F61139}"/>
    <cellStyle name="Date 46" xfId="1184" xr:uid="{5C5DFD93-296E-4FAC-B828-5B0743290C58}"/>
    <cellStyle name="Date 47" xfId="1185" xr:uid="{6B02D02B-A9FF-4C34-B48F-06318182DEDB}"/>
    <cellStyle name="Date 48" xfId="1186" xr:uid="{FE745609-D9B8-455D-BBFA-368E1571BC4E}"/>
    <cellStyle name="Date 49" xfId="1187" xr:uid="{266933DD-0A42-40F1-B2B5-D3FDBFAB4565}"/>
    <cellStyle name="Date 5" xfId="1188" xr:uid="{1C3A8AEE-9EAD-4450-BC54-D32E3181BB04}"/>
    <cellStyle name="Date 5 2" xfId="1189" xr:uid="{B1C672A8-70BE-45CC-A836-B70C682E9C52}"/>
    <cellStyle name="Date 5 3" xfId="1190" xr:uid="{9AF5DD85-F15C-4E28-AD43-9BED63320EDA}"/>
    <cellStyle name="Date 5 4" xfId="1191" xr:uid="{5B2AC054-5FB8-4BE1-94FA-5A8B2418417C}"/>
    <cellStyle name="Date 5 5" xfId="1192" xr:uid="{D6846155-A97D-4312-9944-E36E47C2759D}"/>
    <cellStyle name="Date 5 6" xfId="1193" xr:uid="{F0001633-8C8B-405B-8F62-8079ED52E7FD}"/>
    <cellStyle name="Date 5 7" xfId="1194" xr:uid="{80ECAC43-8690-4910-AFFA-40C0F3358826}"/>
    <cellStyle name="Date 50" xfId="1195" xr:uid="{F719ADDE-C8F5-4CB8-8132-159273DDE264}"/>
    <cellStyle name="Date 51" xfId="1196" xr:uid="{39517BC1-53E6-4650-BBF0-3AF9BEB92E67}"/>
    <cellStyle name="Date 52" xfId="1197" xr:uid="{5FB4522D-E7E8-4D43-B04E-F0120BACAFB2}"/>
    <cellStyle name="Date 53" xfId="1198" xr:uid="{941B09B9-0F21-4881-A575-F918ED68B554}"/>
    <cellStyle name="Date 54" xfId="1199" xr:uid="{1AB79401-1559-46CB-AEDE-E9B1F471535C}"/>
    <cellStyle name="Date 55" xfId="1200" xr:uid="{E0A1F01D-D814-4679-AD82-10C9E98579E1}"/>
    <cellStyle name="Date 56" xfId="1201" xr:uid="{272DF49D-EA3B-4F03-9DCF-D9911EA64DF9}"/>
    <cellStyle name="Date 57" xfId="1202" xr:uid="{2AE32E5D-4092-49A9-AE1F-A1E78280DF67}"/>
    <cellStyle name="Date 58" xfId="1203" xr:uid="{18EF57DC-699E-4FE1-955F-15B210F73D76}"/>
    <cellStyle name="Date 59" xfId="1204" xr:uid="{92159B87-C047-4C49-A182-A711E24EC7F6}"/>
    <cellStyle name="Date 6" xfId="1205" xr:uid="{939D9F49-9AA6-47FD-AA9F-0E9B4B9C8D32}"/>
    <cellStyle name="Date 6 2" xfId="1206" xr:uid="{9876FD03-664A-4390-B589-0DE374D5E45D}"/>
    <cellStyle name="Date 6 3" xfId="1207" xr:uid="{5CD33256-665B-486A-98E6-61EBA61B2BD3}"/>
    <cellStyle name="Date 6 4" xfId="1208" xr:uid="{86A5F367-747F-4A69-AFB5-02F34385BC26}"/>
    <cellStyle name="Date 6 5" xfId="1209" xr:uid="{32CAFA52-C9E4-41B3-A975-D3F4DD980870}"/>
    <cellStyle name="Date 6 6" xfId="1210" xr:uid="{213D1F9E-0BB2-4B2C-B7E7-4EB324877EFC}"/>
    <cellStyle name="Date 60" xfId="1211" xr:uid="{0CEE82D1-D2B3-42C5-845D-7700F1784A42}"/>
    <cellStyle name="Date 61" xfId="1212" xr:uid="{9BD8616D-123E-42FE-827D-E80C7AA7112F}"/>
    <cellStyle name="Date 62" xfId="1213" xr:uid="{6FF4A898-602C-45BE-B7B9-E62D77C0B83D}"/>
    <cellStyle name="Date 63" xfId="1214" xr:uid="{82B97DA6-74B7-4381-9E2F-3FA45EEB0EA3}"/>
    <cellStyle name="Date 64" xfId="1215" xr:uid="{21C161AE-4424-4741-A0BF-23B59676CAAA}"/>
    <cellStyle name="Date 65" xfId="1216" xr:uid="{7341346A-035A-4A4C-A6D5-8DA5E66EDA7F}"/>
    <cellStyle name="Date 66" xfId="1217" xr:uid="{D60BE23F-6E3C-4801-B1D9-825B4FCC0120}"/>
    <cellStyle name="Date 67" xfId="1218" xr:uid="{2C367708-1B3A-4E71-BEE2-0FDAAE92C07C}"/>
    <cellStyle name="Date 68" xfId="1219" xr:uid="{ADF9CE21-CEE7-4018-B7A8-20418062F0DF}"/>
    <cellStyle name="Date 69" xfId="1220" xr:uid="{8ED816C8-8558-417D-880F-A5100DCB2786}"/>
    <cellStyle name="Date 7" xfId="1221" xr:uid="{BCF90932-30DC-43A7-82B9-6F776CE19B38}"/>
    <cellStyle name="Date 70" xfId="1222" xr:uid="{2D71A2CE-F9A7-4B04-9F88-8085BC9902EC}"/>
    <cellStyle name="Date 71" xfId="1223" xr:uid="{C3FED614-E4B1-4E41-963C-17215DAFF651}"/>
    <cellStyle name="Date 72" xfId="1224" xr:uid="{66B48112-447E-4148-88E2-7D6E7D939415}"/>
    <cellStyle name="Date 73" xfId="1225" xr:uid="{58C22DC1-0D29-4FC4-9E94-D2417A8E59BC}"/>
    <cellStyle name="Date 74" xfId="1226" xr:uid="{332789D6-55CD-4A06-9207-A3B8F9F3482C}"/>
    <cellStyle name="Date 75" xfId="1227" xr:uid="{47E6F045-E1AB-4A17-8E3B-127C13229655}"/>
    <cellStyle name="Date 76" xfId="1228" xr:uid="{AE41BC70-6A95-406F-B8D5-D6361255642E}"/>
    <cellStyle name="Date 77" xfId="1229" xr:uid="{8E7EBBC0-B944-4173-9823-CC4BBE0C01BC}"/>
    <cellStyle name="Date 78" xfId="1230" xr:uid="{63EB7B15-C11A-4B32-9E82-338280CFB5AC}"/>
    <cellStyle name="Date 79" xfId="1231" xr:uid="{70413C00-20FE-42DC-A1F0-0AB0CE09B768}"/>
    <cellStyle name="Date 8" xfId="1232" xr:uid="{C4D6BE12-E943-457C-A713-33A1D5FBE4E9}"/>
    <cellStyle name="Date 80" xfId="1233" xr:uid="{B8AF375F-BF98-48C7-8912-498C54F29079}"/>
    <cellStyle name="Date 81" xfId="1234" xr:uid="{5B2716B7-6245-492A-A7B9-813D1CB3E025}"/>
    <cellStyle name="Date 82" xfId="1235" xr:uid="{D0297164-82AF-4E90-A8E8-45BAFFB7B8D0}"/>
    <cellStyle name="Date 82 2" xfId="1236" xr:uid="{6B7382CE-67E1-499D-8A95-513273F9562D}"/>
    <cellStyle name="Date 82 3" xfId="1237" xr:uid="{B0CB36D6-D7B1-41E3-992B-3E139AF8223C}"/>
    <cellStyle name="Date 82 4" xfId="1238" xr:uid="{EB759EC9-EA4F-4D0A-9350-797315390CAD}"/>
    <cellStyle name="Date 83" xfId="1239" xr:uid="{B706A044-FAA9-4B77-BD28-156E852F7D6D}"/>
    <cellStyle name="Date 83 2" xfId="1240" xr:uid="{F472ACA8-3D93-4F4C-9C7B-9C1C953B32FD}"/>
    <cellStyle name="Date 83 3" xfId="1241" xr:uid="{A751FA26-E377-4F00-800B-ADEB9844D8E2}"/>
    <cellStyle name="Date 83 4" xfId="1242" xr:uid="{E51116BE-B908-4D67-BF3B-52D6CC27CBA1}"/>
    <cellStyle name="Date 84" xfId="1243" xr:uid="{70B75A4E-4116-4ADA-B968-6073F6FEFBFB}"/>
    <cellStyle name="Date 84 2" xfId="1244" xr:uid="{895BC159-6F2C-4BB2-96E6-49F13946A393}"/>
    <cellStyle name="Date 84 3" xfId="1245" xr:uid="{5650ABA2-B05A-4EFA-87EB-07BD45D6354E}"/>
    <cellStyle name="Date 84 4" xfId="1246" xr:uid="{056FAAC3-0316-430A-B365-1D641A57345D}"/>
    <cellStyle name="Date 85" xfId="1247" xr:uid="{A170BB6E-8111-43A6-AE78-DDD11BA5923C}"/>
    <cellStyle name="Date 85 2" xfId="1248" xr:uid="{3BACB180-D70E-4DC2-A67C-69ED1A967F9E}"/>
    <cellStyle name="Date 85 3" xfId="1249" xr:uid="{A2774571-1D66-4411-8947-511DD8559558}"/>
    <cellStyle name="Date 85 4" xfId="1250" xr:uid="{2E999B31-6F23-4D76-B760-9D28F7ED6297}"/>
    <cellStyle name="Date 86" xfId="1251" xr:uid="{B826D08C-3225-4A9E-84E5-30F7E8DF203C}"/>
    <cellStyle name="Date 86 2" xfId="1252" xr:uid="{86A2885F-2BEC-44CE-9A0F-A24121D36909}"/>
    <cellStyle name="Date 86 3" xfId="1253" xr:uid="{4F22E07E-522E-4B28-BB50-CD8FACE75B7E}"/>
    <cellStyle name="Date 86 4" xfId="1254" xr:uid="{7C08DED2-3AE5-4F41-B949-FF532440BA6E}"/>
    <cellStyle name="Date 87" xfId="1255" xr:uid="{7E8EB2D0-1C74-4C4A-A55D-233BFFFC7D6F}"/>
    <cellStyle name="Date 87 2" xfId="1256" xr:uid="{16F46B51-1A9B-476E-A07B-FAF5C72C7BC6}"/>
    <cellStyle name="Date 87 3" xfId="1257" xr:uid="{7E102BF7-C945-42F1-B539-304D7AB773CF}"/>
    <cellStyle name="Date 87 4" xfId="1258" xr:uid="{60668710-715A-456E-B4B5-261118FD7B84}"/>
    <cellStyle name="Date 88" xfId="1259" xr:uid="{9640F6B5-F9B8-40DF-B211-B98A6616873A}"/>
    <cellStyle name="Date 88 2" xfId="1260" xr:uid="{073A6448-295D-4A2E-9430-31BA9FEA6F83}"/>
    <cellStyle name="Date 88 3" xfId="1261" xr:uid="{AEFB4EC9-CFE2-44F5-8A17-037902DA4F62}"/>
    <cellStyle name="Date 88 4" xfId="1262" xr:uid="{E24A62A8-8DEE-4D0E-9F66-9F26E829BC5C}"/>
    <cellStyle name="Date 89" xfId="1263" xr:uid="{DD6ADB8E-3A7C-4916-BA94-568ACBD7786A}"/>
    <cellStyle name="Date 89 2" xfId="1264" xr:uid="{B354FD32-8BC4-436E-82EC-1427A8E884DF}"/>
    <cellStyle name="Date 89 3" xfId="1265" xr:uid="{9DE5BD9B-29D7-4099-A29B-C01336444A64}"/>
    <cellStyle name="Date 89 4" xfId="1266" xr:uid="{37DE3EA3-C3DA-4C82-BE88-23F42F44CC85}"/>
    <cellStyle name="Date 9" xfId="1267" xr:uid="{0C9B6CD7-4C55-49FF-8101-002C6585DC08}"/>
    <cellStyle name="Date 90" xfId="1268" xr:uid="{41EFB37D-E512-4E26-BB0C-5428BFA9AC4E}"/>
    <cellStyle name="Date 91" xfId="1269" xr:uid="{97F08147-ABA6-422F-85EC-B2CDE812C74F}"/>
    <cellStyle name="Date 92" xfId="1270" xr:uid="{7B29BE78-2468-4746-8FA5-1FE279D7FC4B}"/>
    <cellStyle name="Date 93" xfId="1271" xr:uid="{F44EA1BC-053C-4963-837D-7C02ABB86F6E}"/>
    <cellStyle name="Date 94" xfId="1272" xr:uid="{3FB05049-D802-4D39-B3D9-BCE56302B187}"/>
    <cellStyle name="Date 95" xfId="1273" xr:uid="{88995DB4-FF3C-4CB6-B861-EE1BEC3AB3C1}"/>
    <cellStyle name="Date 96" xfId="1274" xr:uid="{4004BA72-3FB0-47CC-97AF-96C9078C75A7}"/>
    <cellStyle name="Date 97" xfId="1275" xr:uid="{B26D0297-6C91-4AE6-BF2B-4D0E27FAE42E}"/>
    <cellStyle name="Date 98" xfId="1276" xr:uid="{8CCDA737-06A5-47D1-9562-47477CF3607B}"/>
    <cellStyle name="Date 99" xfId="1277" xr:uid="{220126CF-09A8-4626-AD3B-BEDD4E5C4F01}"/>
    <cellStyle name="Date_ANB" xfId="1278" xr:uid="{43630E3F-85C0-4EEE-A14A-61BD63EDF982}"/>
    <cellStyle name="Explanatory Text 10" xfId="1279" xr:uid="{9B06B0B9-E305-4DFD-B649-B9088065C6FB}"/>
    <cellStyle name="Explanatory Text 11" xfId="1280" xr:uid="{603EC57B-8785-4D1A-819F-E12A9EE8F515}"/>
    <cellStyle name="Explanatory Text 12" xfId="1281" xr:uid="{1CA845C6-59BD-4271-A2A0-C39653975809}"/>
    <cellStyle name="Explanatory Text 13" xfId="1282" xr:uid="{AEC4038E-5B6C-4FE6-8DF1-43A68A9CF923}"/>
    <cellStyle name="Explanatory Text 14" xfId="1283" xr:uid="{8CF1DF0D-A86F-4F60-8923-F747768729FD}"/>
    <cellStyle name="Explanatory Text 15" xfId="1284" xr:uid="{65DE1B8D-ED45-42FD-9409-C36E969DF84F}"/>
    <cellStyle name="Explanatory Text 2" xfId="1285" xr:uid="{02403206-7864-48D5-8310-FAE8E256F08A}"/>
    <cellStyle name="Explanatory Text 2 2" xfId="1286" xr:uid="{27EE1742-17C4-4E4C-8E09-9FF151DABEA2}"/>
    <cellStyle name="Explanatory Text 2 3" xfId="1287" xr:uid="{B857583C-8A54-440B-A218-F68B4477E169}"/>
    <cellStyle name="Explanatory Text 3" xfId="1288" xr:uid="{1832F13E-9960-431A-90C1-94A9B955F631}"/>
    <cellStyle name="Explanatory Text 3 2" xfId="1289" xr:uid="{F4A73F49-26A5-47C0-86D2-9656B3FDB200}"/>
    <cellStyle name="Explanatory Text 3 3" xfId="1290" xr:uid="{106E90C2-8735-4FCA-A0AB-1BB71E3F145C}"/>
    <cellStyle name="Explanatory Text 4" xfId="1291" xr:uid="{BB5BC52A-D031-4F17-8C08-647BF80CBC4B}"/>
    <cellStyle name="Explanatory Text 4 2" xfId="1292" xr:uid="{4AE285FE-6A91-4922-A5DF-FE24826E88D9}"/>
    <cellStyle name="Explanatory Text 4 3" xfId="1293" xr:uid="{66014784-2D57-428D-A2E7-4A227E42230F}"/>
    <cellStyle name="Explanatory Text 5" xfId="1294" xr:uid="{537D6F19-8C1A-4BB7-95FD-19094293EEDD}"/>
    <cellStyle name="Explanatory Text 5 2" xfId="1295" xr:uid="{F471174D-EA09-48E9-9769-F6D2400721F9}"/>
    <cellStyle name="Explanatory Text 5 3" xfId="1296" xr:uid="{62B97841-72C0-483D-B5DA-AA238F6FA4AC}"/>
    <cellStyle name="Explanatory Text 6" xfId="1297" xr:uid="{B968998A-89C3-4403-8B7F-DA18F1D667CF}"/>
    <cellStyle name="Explanatory Text 6 2" xfId="1298" xr:uid="{8047A522-3EBC-4D9E-B8EB-E4806123A7F6}"/>
    <cellStyle name="Explanatory Text 6 3" xfId="1299" xr:uid="{33439E27-3B3D-4046-A636-D6202F71FDFD}"/>
    <cellStyle name="Explanatory Text 7" xfId="1300" xr:uid="{5D297176-90BB-4D35-875B-EE35C5A3C337}"/>
    <cellStyle name="Explanatory Text 7 2" xfId="1301" xr:uid="{4528390B-1233-4ECF-99B0-AB0C457AB2E0}"/>
    <cellStyle name="Explanatory Text 7 3" xfId="1302" xr:uid="{34C4C586-D101-4B53-AEDD-6B43A52287C1}"/>
    <cellStyle name="Explanatory Text 8" xfId="1303" xr:uid="{9B09CCCD-3887-4E45-AD81-1CC5C0291F85}"/>
    <cellStyle name="Explanatory Text 8 2" xfId="1304" xr:uid="{BB988BBD-A591-4018-9E56-EEDDCD08C057}"/>
    <cellStyle name="Explanatory Text 8 3" xfId="1305" xr:uid="{46B32B07-3219-4BC7-9C1C-26AE54BB50A0}"/>
    <cellStyle name="Explanatory Text 9" xfId="1306" xr:uid="{12F6081E-78F0-467F-9E53-5AA2E4EC2F4A}"/>
    <cellStyle name="Fixed" xfId="12" xr:uid="{00000000-0005-0000-0000-000014000000}"/>
    <cellStyle name="Fixed 10" xfId="1308" xr:uid="{4D88236E-AE10-48EB-A72B-F566127FD9E8}"/>
    <cellStyle name="Fixed 100" xfId="1307" xr:uid="{9B145240-E7A8-459D-9F49-F95B89E3C1FB}"/>
    <cellStyle name="Fixed 11" xfId="1309" xr:uid="{906AF7B4-7788-43CA-9D04-64E871EC7C6D}"/>
    <cellStyle name="Fixed 11 2" xfId="1310" xr:uid="{8CBB7624-0817-46A2-B713-249EA8986298}"/>
    <cellStyle name="Fixed 12" xfId="1311" xr:uid="{A1B96AF5-7500-4589-A0C7-509DCA314796}"/>
    <cellStyle name="Fixed 12 2" xfId="1312" xr:uid="{AA837EBA-1F4D-4F28-B7B6-5572E717EE22}"/>
    <cellStyle name="Fixed 13" xfId="1313" xr:uid="{D2E908CA-420E-4BDA-B29F-BEDFED5067F3}"/>
    <cellStyle name="Fixed 13 2" xfId="1314" xr:uid="{5D16B1A6-AA78-4BCC-A49F-A7C74F283CC5}"/>
    <cellStyle name="Fixed 14" xfId="1315" xr:uid="{03DCD091-D548-40BA-91EA-A38A09753771}"/>
    <cellStyle name="Fixed 15" xfId="1316" xr:uid="{CAF0F0D9-0952-4264-BB0F-0790892D9798}"/>
    <cellStyle name="Fixed 16" xfId="1317" xr:uid="{0CEB83DD-79A8-4756-B2CB-1412690A6358}"/>
    <cellStyle name="Fixed 17" xfId="1318" xr:uid="{D1E29802-4BCE-4FC7-A32B-947BC9F1C087}"/>
    <cellStyle name="Fixed 18" xfId="1319" xr:uid="{253B73E1-CB31-4801-8002-61CFAA3E62C2}"/>
    <cellStyle name="Fixed 19" xfId="1320" xr:uid="{1873B015-10F6-405B-9F89-4E9B623BC0AC}"/>
    <cellStyle name="Fixed 2" xfId="1321" xr:uid="{B1FD822E-DA04-4E50-9C08-0BACD38F6D39}"/>
    <cellStyle name="Fixed 2 10" xfId="1322" xr:uid="{26FBBD0E-2F29-49A5-83BB-FE2891D66436}"/>
    <cellStyle name="Fixed 2 10 2" xfId="1323" xr:uid="{E40D607B-DE9E-4CDF-920E-506AFAE1463F}"/>
    <cellStyle name="Fixed 2 10 2 2" xfId="1324" xr:uid="{9D286169-B94A-484F-8953-D5513D19F597}"/>
    <cellStyle name="Fixed 2 10 3" xfId="1325" xr:uid="{DD2FF443-0080-407A-8035-7345B1D9171B}"/>
    <cellStyle name="Fixed 2 11" xfId="1326" xr:uid="{D3374FDF-578C-465B-AE3D-28704B8BAE97}"/>
    <cellStyle name="Fixed 2 11 2" xfId="1327" xr:uid="{64617AEE-28C9-46A1-A168-948167D35889}"/>
    <cellStyle name="Fixed 2 11 3" xfId="1328" xr:uid="{185D8CD7-2FA1-44F1-B0A7-6CF84E6F2774}"/>
    <cellStyle name="Fixed 2 12" xfId="1329" xr:uid="{7A102A84-7893-456B-B638-B8D3A4AB3519}"/>
    <cellStyle name="Fixed 2 12 2" xfId="1330" xr:uid="{62A0FFDA-5D64-4332-8389-ED486395795B}"/>
    <cellStyle name="Fixed 2 12 3" xfId="1331" xr:uid="{735342EA-C09D-4B37-9271-2B3ADA43E7BE}"/>
    <cellStyle name="Fixed 2 13" xfId="1332" xr:uid="{7D32E1DD-300C-4535-B50A-38B7CF7D0CEA}"/>
    <cellStyle name="Fixed 2 13 2" xfId="1333" xr:uid="{FCD3E431-2492-4410-B85D-AB41E1F8EAFB}"/>
    <cellStyle name="Fixed 2 13 3" xfId="1334" xr:uid="{6CCEA582-DE3D-4C7B-AAE2-E33AE99FB811}"/>
    <cellStyle name="Fixed 2 14" xfId="1335" xr:uid="{BF00FC07-62B2-4600-95E5-FC7BF3D5F4D1}"/>
    <cellStyle name="Fixed 2 15" xfId="1336" xr:uid="{B4D52A87-F5F8-4F8B-8841-861D07882F77}"/>
    <cellStyle name="Fixed 2 2" xfId="1337" xr:uid="{27C10C00-4EFF-4D36-A555-339FA87CA5DF}"/>
    <cellStyle name="Fixed 2 2 10" xfId="1338" xr:uid="{5A81E99D-F32D-49EA-8FE5-624464FD9FCD}"/>
    <cellStyle name="Fixed 2 2 11" xfId="1339" xr:uid="{090F139F-E7AD-44F4-8F97-3CA2BA606086}"/>
    <cellStyle name="Fixed 2 2 12" xfId="1340" xr:uid="{2B13B1C5-280E-4D74-999A-D17282A7ECA3}"/>
    <cellStyle name="Fixed 2 2 2" xfId="1341" xr:uid="{6AC0CC88-BB0A-403B-9FA6-D59E9DBA3E8A}"/>
    <cellStyle name="Fixed 2 2 2 2" xfId="1342" xr:uid="{90ACF653-9C32-4BA3-B0B9-2BCDAB7426B1}"/>
    <cellStyle name="Fixed 2 2 3" xfId="1343" xr:uid="{1E748A6E-D0A4-44B5-B803-9D66396F745F}"/>
    <cellStyle name="Fixed 2 2 4" xfId="1344" xr:uid="{7365634C-9AD9-4FAD-9012-D393869BB6B2}"/>
    <cellStyle name="Fixed 2 2 5" xfId="1345" xr:uid="{07BA3A6D-C561-4F3E-9D8A-1D612373FB67}"/>
    <cellStyle name="Fixed 2 2 6" xfId="1346" xr:uid="{5FDE7952-FE0C-4C51-AAB9-E122C5E159DD}"/>
    <cellStyle name="Fixed 2 2 7" xfId="1347" xr:uid="{5773DA0C-6FB9-474B-BDC7-507970B6C54C}"/>
    <cellStyle name="Fixed 2 2 8" xfId="1348" xr:uid="{949959FE-E7BC-4902-A553-1DED293350CA}"/>
    <cellStyle name="Fixed 2 2 9" xfId="1349" xr:uid="{91F832B8-64DD-49EF-9752-9ED239D5CD17}"/>
    <cellStyle name="Fixed 2 3" xfId="1350" xr:uid="{99F38E95-A6B3-4095-A9E1-BEE7A523DD9A}"/>
    <cellStyle name="Fixed 2 4" xfId="1351" xr:uid="{41F6261A-4807-42CF-AFFF-E072B6197AE1}"/>
    <cellStyle name="Fixed 2 5" xfId="1352" xr:uid="{AEDFCA4D-1F43-4320-8C9B-F93D0697CCAA}"/>
    <cellStyle name="Fixed 2 6" xfId="1353" xr:uid="{EC7917F4-73DA-45B5-9940-FD302FE7D5A1}"/>
    <cellStyle name="Fixed 2 7" xfId="1354" xr:uid="{728C5664-5655-4640-BA46-604C56DC388B}"/>
    <cellStyle name="Fixed 2 8" xfId="1355" xr:uid="{CC17D538-53D6-42BC-A3AA-DC4808FF06F3}"/>
    <cellStyle name="Fixed 2 9" xfId="1356" xr:uid="{CF54B5DA-1741-4C08-828F-2ECA6721609B}"/>
    <cellStyle name="Fixed 2 9 2" xfId="1357" xr:uid="{7848D71C-F3AF-4D4F-92DB-C56DB95A3988}"/>
    <cellStyle name="Fixed 2 9 2 2" xfId="1358" xr:uid="{B751A84D-D58E-4C36-8B53-E89C5E5D3654}"/>
    <cellStyle name="Fixed 2 9 3" xfId="1359" xr:uid="{4D13340B-EF13-4A36-A192-1D47001F1DA8}"/>
    <cellStyle name="Fixed 20" xfId="1360" xr:uid="{ABD628BF-3187-4183-8AFD-F445A2BD02CF}"/>
    <cellStyle name="Fixed 21" xfId="1361" xr:uid="{820CC7C6-0E9D-457B-AE2E-F41DF47E3DEF}"/>
    <cellStyle name="Fixed 22" xfId="1362" xr:uid="{4C142F8A-D35B-4A26-8861-E6BA40F5CF15}"/>
    <cellStyle name="Fixed 23" xfId="1363" xr:uid="{17A08B1D-36CA-4710-9698-4BCB71EF41A7}"/>
    <cellStyle name="Fixed 24" xfId="1364" xr:uid="{5058A442-608A-4CE9-8143-E4ED7CACFD81}"/>
    <cellStyle name="Fixed 25" xfId="1365" xr:uid="{F8D1B28A-4F84-4BBD-A50B-381C52A003C9}"/>
    <cellStyle name="Fixed 26" xfId="1366" xr:uid="{DEB6F95A-D4EE-4DE5-BD51-E20233BD792B}"/>
    <cellStyle name="Fixed 27" xfId="1367" xr:uid="{BB146FCF-06C5-48AE-BD14-B7446AB8E3F8}"/>
    <cellStyle name="Fixed 28" xfId="1368" xr:uid="{5549C9D1-9132-433C-8DE9-CFF7164B2B47}"/>
    <cellStyle name="Fixed 29" xfId="1369" xr:uid="{C4CFB04E-3752-4F7D-AE21-3E69DAF25D43}"/>
    <cellStyle name="Fixed 3" xfId="1370" xr:uid="{152FBCF5-BB57-46FF-B749-F59EBE0E4BE9}"/>
    <cellStyle name="Fixed 30" xfId="1371" xr:uid="{C352832C-97D5-4EA4-A194-1DEDB1E1A59C}"/>
    <cellStyle name="Fixed 31" xfId="1372" xr:uid="{BB956D66-214B-4CB3-8BBE-6B02B9858F27}"/>
    <cellStyle name="Fixed 32" xfId="1373" xr:uid="{C65C940D-C97C-475D-955F-405065200E14}"/>
    <cellStyle name="Fixed 33" xfId="1374" xr:uid="{D6ABF4E9-42CD-4988-90E8-521CE6257303}"/>
    <cellStyle name="Fixed 34" xfId="1375" xr:uid="{CDE6EF84-C2C2-4D1D-822E-925A2CC5EA57}"/>
    <cellStyle name="Fixed 35" xfId="1376" xr:uid="{BCC8AEDB-53DD-4B22-B607-D8952BAFDBC0}"/>
    <cellStyle name="Fixed 36" xfId="1377" xr:uid="{7BB13D90-663E-44C5-9FC0-527EFC59D5A3}"/>
    <cellStyle name="Fixed 37" xfId="1378" xr:uid="{FDC4DB53-8164-4B0C-A359-276761250075}"/>
    <cellStyle name="Fixed 38" xfId="1379" xr:uid="{2EA87A2A-CA6B-4658-B540-FC97B2E4F4A5}"/>
    <cellStyle name="Fixed 39" xfId="1380" xr:uid="{57BA1DC0-E59A-44B1-90F7-6D35243D094E}"/>
    <cellStyle name="Fixed 4" xfId="1381" xr:uid="{1BC3A0A8-1E11-44D2-9CBA-D2E3945A14D8}"/>
    <cellStyle name="Fixed 40" xfId="1382" xr:uid="{AD5686A6-ABF6-4ABE-AF97-DFB543DA8BBB}"/>
    <cellStyle name="Fixed 41" xfId="1383" xr:uid="{C0B4AABE-923D-433B-A38A-16186C511FF1}"/>
    <cellStyle name="Fixed 42" xfId="1384" xr:uid="{171F4942-5FA5-4A11-9270-8BAC7B9D0C26}"/>
    <cellStyle name="Fixed 43" xfId="1385" xr:uid="{1A312303-B5FE-4F3A-B116-2D8FE1FD9950}"/>
    <cellStyle name="Fixed 44" xfId="1386" xr:uid="{9B63E8CB-DDE9-4FC8-9F9F-0C3F3FCE4D1A}"/>
    <cellStyle name="Fixed 45" xfId="1387" xr:uid="{97C605DE-CC9F-4C72-B36E-622AEE165EBB}"/>
    <cellStyle name="Fixed 46" xfId="1388" xr:uid="{28E17146-8392-482E-806E-E02F59B2457F}"/>
    <cellStyle name="Fixed 47" xfId="1389" xr:uid="{5B1B025C-5144-4161-A437-B65AE46B6343}"/>
    <cellStyle name="Fixed 48" xfId="1390" xr:uid="{B2E65A99-253B-40C5-AE1B-883F53E3A2E0}"/>
    <cellStyle name="Fixed 49" xfId="1391" xr:uid="{6A9D5726-7902-488F-B65F-18EEC9835F8C}"/>
    <cellStyle name="Fixed 5" xfId="1392" xr:uid="{C9BA1D95-D3BF-44CC-82FF-3892CD3A9A1B}"/>
    <cellStyle name="Fixed 5 2" xfId="1393" xr:uid="{FF9EB55E-FBFC-4BBD-BC23-9F70597D100C}"/>
    <cellStyle name="Fixed 5 3" xfId="1394" xr:uid="{75AB1C53-7152-4911-963A-74A614F21269}"/>
    <cellStyle name="Fixed 5 4" xfId="1395" xr:uid="{9DEDE12E-D0FC-4266-BB19-5BCBEB4D95D4}"/>
    <cellStyle name="Fixed 5 5" xfId="1396" xr:uid="{5358F89F-276A-4CE8-9278-5CE656B9987D}"/>
    <cellStyle name="Fixed 5 6" xfId="1397" xr:uid="{9872BC88-B6D1-4897-9F78-5A77A75AC7E2}"/>
    <cellStyle name="Fixed 5 7" xfId="1398" xr:uid="{6D108179-F2C5-4F27-A5E5-B92B0E80A1E2}"/>
    <cellStyle name="Fixed 50" xfId="1399" xr:uid="{0A728156-C432-478B-A2F1-C43C720A9E61}"/>
    <cellStyle name="Fixed 51" xfId="1400" xr:uid="{D08BBF87-5CC5-44E5-9822-9AE01541E64F}"/>
    <cellStyle name="Fixed 52" xfId="1401" xr:uid="{65CC91D7-25AF-4643-91BD-5165FF1D832B}"/>
    <cellStyle name="Fixed 53" xfId="1402" xr:uid="{C06DE5C3-717B-453D-85E2-AB4F026BB212}"/>
    <cellStyle name="Fixed 54" xfId="1403" xr:uid="{C68E9028-7183-47FA-A0BA-8DBB6C899B62}"/>
    <cellStyle name="Fixed 55" xfId="1404" xr:uid="{F805FD29-2DCC-4BC6-88E4-9CC290C93315}"/>
    <cellStyle name="Fixed 56" xfId="1405" xr:uid="{9057ED90-B936-48B3-B2FC-C5B5B67A0FA8}"/>
    <cellStyle name="Fixed 57" xfId="1406" xr:uid="{BEC8A262-F489-45AF-B5E4-8AE1EA8AAFB3}"/>
    <cellStyle name="Fixed 58" xfId="1407" xr:uid="{B39304F4-B7BC-4A2D-8558-9B037502CBD9}"/>
    <cellStyle name="Fixed 59" xfId="1408" xr:uid="{4C54F8EE-8963-4839-ADCE-439D8CF40042}"/>
    <cellStyle name="Fixed 6" xfId="1409" xr:uid="{E637B4E5-EFAE-4D11-A2D3-C38499925690}"/>
    <cellStyle name="Fixed 6 2" xfId="1410" xr:uid="{BE964041-CC09-41A3-85C7-EB0C4B0C1DF6}"/>
    <cellStyle name="Fixed 6 3" xfId="1411" xr:uid="{5E993CC9-240D-4EBA-B8FB-8C0EEDA07433}"/>
    <cellStyle name="Fixed 6 4" xfId="1412" xr:uid="{2C863569-0935-4780-9FBF-26FD4524D778}"/>
    <cellStyle name="Fixed 6 5" xfId="1413" xr:uid="{74DD576F-0108-4642-9829-6EEE2CE74A1A}"/>
    <cellStyle name="Fixed 6 6" xfId="1414" xr:uid="{DEFEA654-9A6D-4E6C-932D-A95DE9C04B7C}"/>
    <cellStyle name="Fixed 60" xfId="1415" xr:uid="{D166F611-C383-4B17-BBDE-EF1218117305}"/>
    <cellStyle name="Fixed 61" xfId="1416" xr:uid="{0C0936FA-D6E9-4C29-885D-33C456731B9C}"/>
    <cellStyle name="Fixed 62" xfId="1417" xr:uid="{8FE0ECE2-E388-44EC-AF02-5015F288621B}"/>
    <cellStyle name="Fixed 63" xfId="1418" xr:uid="{8E6BDD35-690E-4DF2-BF78-7BEC89204EEB}"/>
    <cellStyle name="Fixed 64" xfId="1419" xr:uid="{EC1A16AB-3908-41F7-B0F8-6A035329E202}"/>
    <cellStyle name="Fixed 65" xfId="1420" xr:uid="{F5A3CF31-7714-4C98-9683-41567AB220B7}"/>
    <cellStyle name="Fixed 66" xfId="1421" xr:uid="{E470480D-C5F4-48C1-99E3-46FC156A8A64}"/>
    <cellStyle name="Fixed 67" xfId="1422" xr:uid="{72B81FB0-B708-4A90-BB78-3ADDDB569747}"/>
    <cellStyle name="Fixed 68" xfId="1423" xr:uid="{854D43F1-15CD-4F6D-9250-7C26E700E62E}"/>
    <cellStyle name="Fixed 69" xfId="1424" xr:uid="{6E9EBBBA-B0CC-4382-811A-38645C68CE8C}"/>
    <cellStyle name="Fixed 7" xfId="1425" xr:uid="{32470E52-50C5-426C-9992-4068D9F4471A}"/>
    <cellStyle name="Fixed 70" xfId="1426" xr:uid="{E3144D69-6C84-44F6-8686-E6739B8C5B76}"/>
    <cellStyle name="Fixed 71" xfId="1427" xr:uid="{FBB6AE3F-CAF8-4BFF-BCBA-2017290C822B}"/>
    <cellStyle name="Fixed 72" xfId="1428" xr:uid="{0AC193DA-93BC-454C-9083-F108BCF5EEF5}"/>
    <cellStyle name="Fixed 73" xfId="1429" xr:uid="{9EA1CCCE-8724-477E-A6B4-980D1363B412}"/>
    <cellStyle name="Fixed 74" xfId="1430" xr:uid="{3D2D9A7A-F2D5-48E0-90C8-24CA44907A26}"/>
    <cellStyle name="Fixed 75" xfId="1431" xr:uid="{13B362F2-073D-4EC3-95E5-5E0D644AE3D2}"/>
    <cellStyle name="Fixed 76" xfId="1432" xr:uid="{B72D2562-C85D-4D00-9744-31729E937219}"/>
    <cellStyle name="Fixed 77" xfId="1433" xr:uid="{87C906F4-9A42-4710-8E8C-79447B005F00}"/>
    <cellStyle name="Fixed 78" xfId="1434" xr:uid="{E11C4313-F654-46F1-970A-B23C82153D4F}"/>
    <cellStyle name="Fixed 79" xfId="1435" xr:uid="{3A3CB8FE-3169-49CC-B34B-F87567E4D65F}"/>
    <cellStyle name="Fixed 8" xfId="1436" xr:uid="{E04159EE-428D-4FCF-9E0F-838C7DD07C0C}"/>
    <cellStyle name="Fixed 80" xfId="1437" xr:uid="{A7C9B24B-62DB-4713-AFBF-579847FEA2F3}"/>
    <cellStyle name="Fixed 81" xfId="1438" xr:uid="{853AF547-F983-42F4-9644-7EEC34C4B074}"/>
    <cellStyle name="Fixed 82" xfId="1439" xr:uid="{7B133246-953C-4235-9CA0-87B0CF83ECAC}"/>
    <cellStyle name="Fixed 82 2" xfId="1440" xr:uid="{DF27B6B0-7663-4548-90E5-F81A74A094E5}"/>
    <cellStyle name="Fixed 82 3" xfId="1441" xr:uid="{6AB8589C-10D4-4A42-AF7E-A6E2DE874150}"/>
    <cellStyle name="Fixed 82 4" xfId="1442" xr:uid="{C6CEFAA4-2E0B-4A72-87E4-D7E875990FC5}"/>
    <cellStyle name="Fixed 83" xfId="1443" xr:uid="{E3026636-F51A-4A44-92DA-0ACD59B12A06}"/>
    <cellStyle name="Fixed 83 2" xfId="1444" xr:uid="{E33B81B2-8293-4345-840C-6E9726260865}"/>
    <cellStyle name="Fixed 83 3" xfId="1445" xr:uid="{FC624857-3E21-494D-AE63-1BB7ED1C5240}"/>
    <cellStyle name="Fixed 83 4" xfId="1446" xr:uid="{84AD5C2C-EF30-48DA-9B13-4DBE6636FFE0}"/>
    <cellStyle name="Fixed 84" xfId="1447" xr:uid="{B8D8A2B6-07FD-47EE-BB3B-F12ED2C617C6}"/>
    <cellStyle name="Fixed 84 2" xfId="1448" xr:uid="{3DC5C91E-6DDF-43E7-8FDB-BDAADFAF4D27}"/>
    <cellStyle name="Fixed 84 3" xfId="1449" xr:uid="{281FF840-3374-49F3-ACD0-58B76F3E8B7C}"/>
    <cellStyle name="Fixed 84 4" xfId="1450" xr:uid="{402F3848-4384-48C1-8616-A849661CE956}"/>
    <cellStyle name="Fixed 85" xfId="1451" xr:uid="{073B8B5B-E95C-4DD8-B2C4-5F6BBC807953}"/>
    <cellStyle name="Fixed 85 2" xfId="1452" xr:uid="{E3A1EF1E-AFE6-4BF9-81C8-6533CC976B4A}"/>
    <cellStyle name="Fixed 85 3" xfId="1453" xr:uid="{F6449B8F-8698-418F-8243-DA40EDA813B5}"/>
    <cellStyle name="Fixed 85 4" xfId="1454" xr:uid="{A67D6CAF-808E-4B01-94A5-789BC9F0506B}"/>
    <cellStyle name="Fixed 86" xfId="1455" xr:uid="{7B3736BE-23D8-45C6-B261-359CB1A7544C}"/>
    <cellStyle name="Fixed 86 2" xfId="1456" xr:uid="{F1D7E0A1-28AB-404A-AE1C-F06B5AE89C20}"/>
    <cellStyle name="Fixed 86 3" xfId="1457" xr:uid="{9CE8BCA2-BEAC-4B75-8DB3-D499EB9BE31B}"/>
    <cellStyle name="Fixed 86 4" xfId="1458" xr:uid="{D00A112F-7FDF-403C-AA41-A1FCE116F5BE}"/>
    <cellStyle name="Fixed 87" xfId="1459" xr:uid="{439FC803-E24C-476D-81DE-7539394BC136}"/>
    <cellStyle name="Fixed 87 2" xfId="1460" xr:uid="{236B6CEB-5819-4884-8BA2-90322E5A5279}"/>
    <cellStyle name="Fixed 87 3" xfId="1461" xr:uid="{66DF85CE-545F-4634-9E42-34DFBE7D3417}"/>
    <cellStyle name="Fixed 87 4" xfId="1462" xr:uid="{AD3B90DB-0BAC-481C-A5E4-7F9A0231595F}"/>
    <cellStyle name="Fixed 88" xfId="1463" xr:uid="{C6B86386-6CC3-42EA-A020-BEA3AAEE4D55}"/>
    <cellStyle name="Fixed 88 2" xfId="1464" xr:uid="{F8E9D8A8-9B86-4C90-999F-4091069A9705}"/>
    <cellStyle name="Fixed 88 3" xfId="1465" xr:uid="{4A75FD5E-FC8F-49F7-AF85-BC78087AAE4C}"/>
    <cellStyle name="Fixed 88 4" xfId="1466" xr:uid="{59700C7D-6C68-4F49-8CB5-A799E5A8D8EE}"/>
    <cellStyle name="Fixed 89" xfId="1467" xr:uid="{1C137250-69A7-4B25-8519-08BDC87EFD5C}"/>
    <cellStyle name="Fixed 89 2" xfId="1468" xr:uid="{EF440333-745F-468E-BA30-AE5D5B56C0C4}"/>
    <cellStyle name="Fixed 89 3" xfId="1469" xr:uid="{4FE63AEA-06FA-4A94-AAA2-9DD662265061}"/>
    <cellStyle name="Fixed 89 4" xfId="1470" xr:uid="{49634AE1-4029-4638-A1C9-F1D79A297E97}"/>
    <cellStyle name="Fixed 9" xfId="1471" xr:uid="{2AF1738A-93CB-483B-80E1-5F8E16E59179}"/>
    <cellStyle name="Fixed 90" xfId="1472" xr:uid="{40339956-5FA5-493E-97A7-29CDA1C1255B}"/>
    <cellStyle name="Fixed 91" xfId="1473" xr:uid="{161BD953-41CB-466B-9220-D50BA3CB239F}"/>
    <cellStyle name="Fixed 92" xfId="1474" xr:uid="{9EDACAAA-BCC7-43E8-898F-A1FD6D8EEC0E}"/>
    <cellStyle name="Fixed 93" xfId="1475" xr:uid="{6F36E9C6-5BD8-4A01-869F-F56D3EB7CF9E}"/>
    <cellStyle name="Fixed 94" xfId="1476" xr:uid="{1FC4D482-15FE-4D35-8193-113AB2DFE393}"/>
    <cellStyle name="Fixed 95" xfId="1477" xr:uid="{AEB61A52-B26C-426E-AF0E-4B91E54E27F0}"/>
    <cellStyle name="Fixed 96" xfId="1478" xr:uid="{DE8EC5AC-4023-4043-A18C-47049C22D406}"/>
    <cellStyle name="Fixed 97" xfId="1479" xr:uid="{D96B3BBA-D83A-4D14-BE55-6EC8B213344B}"/>
    <cellStyle name="Fixed 98" xfId="1480" xr:uid="{09121E79-6397-46D0-8FA8-214AE6AA19C2}"/>
    <cellStyle name="Fixed 99" xfId="1481" xr:uid="{8EA4B062-A371-472F-83E8-732290173176}"/>
    <cellStyle name="Fixed_ANB" xfId="1482" xr:uid="{8111A1D3-432E-48E5-BC60-70E18B3D2B03}"/>
    <cellStyle name="Good 10" xfId="1483" xr:uid="{8D514F7F-07C4-4105-8941-3196CAD07E63}"/>
    <cellStyle name="Good 11" xfId="1484" xr:uid="{6C3D7CDA-DD72-45A1-BAF7-155FDB61416E}"/>
    <cellStyle name="Good 12" xfId="1485" xr:uid="{C44E5CE4-B972-45B2-B99C-BFBC243B0FE7}"/>
    <cellStyle name="Good 13" xfId="1486" xr:uid="{E13EF7DC-1C62-46AD-9A8B-38B54B8782A3}"/>
    <cellStyle name="Good 14" xfId="1487" xr:uid="{5884D637-38DF-4153-85CA-E14D7957577C}"/>
    <cellStyle name="Good 15" xfId="1488" xr:uid="{57A3F537-D027-4999-B0FD-83D51278D76F}"/>
    <cellStyle name="Good 2" xfId="1489" xr:uid="{358C4512-C7D4-4B4E-B3F7-C1E40C90D7D6}"/>
    <cellStyle name="Good 2 2" xfId="1490" xr:uid="{F13CF979-60C8-48F5-9C9A-7FF20187E427}"/>
    <cellStyle name="Good 2 3" xfId="1491" xr:uid="{1CE04198-9351-4ECC-8E2B-8034C48A0555}"/>
    <cellStyle name="Good 3" xfId="1492" xr:uid="{693D6071-20CF-4365-A5FD-6FDBCC8373F5}"/>
    <cellStyle name="Good 3 2" xfId="1493" xr:uid="{0CF73F47-099E-4165-92AD-1BCC2DE0D52A}"/>
    <cellStyle name="Good 3 3" xfId="1494" xr:uid="{22BA3EF6-2A81-4388-AF1A-B645D79BA47B}"/>
    <cellStyle name="Good 4" xfId="1495" xr:uid="{1DF81918-6282-45F2-A4A3-985287743A33}"/>
    <cellStyle name="Good 4 2" xfId="1496" xr:uid="{35746F0E-4E9D-41A1-9DB8-C6A97BA05C75}"/>
    <cellStyle name="Good 4 3" xfId="1497" xr:uid="{FADA57BC-2CCD-4628-875A-E2544DFACCB5}"/>
    <cellStyle name="Good 5" xfId="1498" xr:uid="{C6C3152C-6EDA-42D8-BE09-9C1F2BF5E979}"/>
    <cellStyle name="Good 5 2" xfId="1499" xr:uid="{8A4FEB5D-350C-48C0-8C40-48C79598283D}"/>
    <cellStyle name="Good 5 3" xfId="1500" xr:uid="{A773C40E-31EA-4A2A-9C7D-452FB364AF47}"/>
    <cellStyle name="Good 6" xfId="1501" xr:uid="{A133A4A2-48AC-45AC-92EA-8B21CFA6472A}"/>
    <cellStyle name="Good 6 2" xfId="1502" xr:uid="{2941D79A-A71A-4AFF-A9A8-CE4B8482A280}"/>
    <cellStyle name="Good 6 3" xfId="1503" xr:uid="{B971B860-79A5-48F4-9F35-FD1C965D3F25}"/>
    <cellStyle name="Good 7" xfId="1504" xr:uid="{6FB0ED9B-3738-4BA9-A3F3-961ADB489388}"/>
    <cellStyle name="Good 7 2" xfId="1505" xr:uid="{FE072B4A-6209-4878-993C-8D95A32ED408}"/>
    <cellStyle name="Good 7 3" xfId="1506" xr:uid="{5AC0FEB2-7760-405D-8ABA-612260311AD6}"/>
    <cellStyle name="Good 8" xfId="1507" xr:uid="{D3837746-CF73-46E1-AFE0-8B50871052F8}"/>
    <cellStyle name="Good 8 2" xfId="1508" xr:uid="{DB6C6AB6-BB52-4680-A932-71C475955025}"/>
    <cellStyle name="Good 8 3" xfId="1509" xr:uid="{C21A4A6B-9788-4F6F-A30E-02EBDF43D393}"/>
    <cellStyle name="Good 9" xfId="1510" xr:uid="{493D34AD-E717-4E77-AD75-8FF9993EF9AE}"/>
    <cellStyle name="Heading 1 10" xfId="1511" xr:uid="{388EA7B2-7F62-47D7-B74D-6D23335C52D9}"/>
    <cellStyle name="Heading 1 11" xfId="1512" xr:uid="{A25CF440-A30A-49C1-9FDE-7769B6BF43B1}"/>
    <cellStyle name="Heading 1 12" xfId="1513" xr:uid="{F73F9080-5A76-4420-9535-A02FF0FC147C}"/>
    <cellStyle name="Heading 1 13" xfId="1514" xr:uid="{0D295C91-8739-4E71-A6EF-EF81F01C3CCB}"/>
    <cellStyle name="Heading 1 14" xfId="1515" xr:uid="{BF74F58B-ED71-4D2A-BD93-3ECEB59117C5}"/>
    <cellStyle name="Heading 1 15" xfId="1516" xr:uid="{BA21109F-78CC-4754-8045-C401CD59D9F5}"/>
    <cellStyle name="Heading 1 2" xfId="1517" xr:uid="{56D6C694-536E-4484-AE61-E48A31902FBF}"/>
    <cellStyle name="Heading 1 2 2" xfId="1518" xr:uid="{6CF44A0B-37D6-4E80-BFB6-CB21F5E39F30}"/>
    <cellStyle name="Heading 1 2 3" xfId="1519" xr:uid="{7ED3FBC5-E1F8-4C0C-B739-71B1F95665B4}"/>
    <cellStyle name="Heading 1 3" xfId="1520" xr:uid="{D61171F8-D0F9-4ADC-B26B-164111B06371}"/>
    <cellStyle name="Heading 1 3 2" xfId="1521" xr:uid="{FF498506-B574-426A-89BB-A51F5F73874B}"/>
    <cellStyle name="Heading 1 3 3" xfId="1522" xr:uid="{9F6D7992-A441-4E7A-B2FD-9913EB5797C4}"/>
    <cellStyle name="Heading 1 4" xfId="1523" xr:uid="{305E601B-9178-4D0B-B948-A68D6DE85B37}"/>
    <cellStyle name="Heading 1 4 2" xfId="1524" xr:uid="{6B602754-94F6-4871-B497-B55602C783B8}"/>
    <cellStyle name="Heading 1 4 3" xfId="1525" xr:uid="{6D7214F7-039F-4966-81CE-363EA52E9859}"/>
    <cellStyle name="Heading 1 5" xfId="1526" xr:uid="{784CEA9A-0E8F-40CB-9484-709E9172E337}"/>
    <cellStyle name="Heading 1 5 2" xfId="1527" xr:uid="{950691B4-EBE8-4EDB-A44E-E4A3AEDEE4EE}"/>
    <cellStyle name="Heading 1 5 3" xfId="1528" xr:uid="{E01AA75E-4F89-46B4-8B9C-B808EAB5967F}"/>
    <cellStyle name="Heading 1 6" xfId="1529" xr:uid="{FCA18A16-783E-432F-AEB7-B91B4A5974C1}"/>
    <cellStyle name="Heading 1 6 2" xfId="1530" xr:uid="{03C1C17B-9606-418F-BC83-48BD44DBAFC3}"/>
    <cellStyle name="Heading 1 6 3" xfId="1531" xr:uid="{F43E428C-9D03-4327-A17A-1C885ED025CA}"/>
    <cellStyle name="Heading 1 7" xfId="1532" xr:uid="{380348BA-800A-4970-ABF3-1DA2E191D738}"/>
    <cellStyle name="Heading 1 7 2" xfId="1533" xr:uid="{065BE65E-6B75-422D-B2D5-2D07DFE6A3D3}"/>
    <cellStyle name="Heading 1 7 3" xfId="1534" xr:uid="{A29D1F20-861D-4F49-BB5E-FBAB5439E383}"/>
    <cellStyle name="Heading 1 8" xfId="1535" xr:uid="{0B1B211D-5B51-4493-B4A6-C0CAD6E8A865}"/>
    <cellStyle name="Heading 1 8 2" xfId="1536" xr:uid="{FAED6888-030E-49A6-8227-383723C6DAAD}"/>
    <cellStyle name="Heading 1 8 3" xfId="1537" xr:uid="{C7C6EE55-1046-4C04-A7F6-E8965B85E75B}"/>
    <cellStyle name="Heading 1 9" xfId="1538" xr:uid="{3F75E46E-3354-4EB4-B04A-E5BFC3F40346}"/>
    <cellStyle name="Heading 2 10" xfId="1539" xr:uid="{E0408088-C4E8-4B71-AA55-4F70FFB725C5}"/>
    <cellStyle name="Heading 2 11" xfId="1540" xr:uid="{F7EA2B53-3B46-4954-9008-740E1124A97B}"/>
    <cellStyle name="Heading 2 12" xfId="1541" xr:uid="{BEA226CD-0FC4-473D-B2D7-E295AF63ADAB}"/>
    <cellStyle name="Heading 2 13" xfId="1542" xr:uid="{3B24D535-EC42-4727-8E8E-870436BFC2A3}"/>
    <cellStyle name="Heading 2 14" xfId="1543" xr:uid="{B3B81BF5-6D81-4EBB-9253-E1A399605BF5}"/>
    <cellStyle name="Heading 2 15" xfId="1544" xr:uid="{A2B3FB31-72F1-464E-AF6A-0201264B5707}"/>
    <cellStyle name="Heading 2 2" xfId="1545" xr:uid="{02F0DF10-6FD5-4A1C-A3A2-7B493171D50A}"/>
    <cellStyle name="Heading 2 2 2" xfId="1546" xr:uid="{4A32D808-B055-48D7-81E4-B3994816FF0C}"/>
    <cellStyle name="Heading 2 2 3" xfId="1547" xr:uid="{894D9CEB-FC38-48F1-AD58-1083A74C08E0}"/>
    <cellStyle name="Heading 2 3" xfId="1548" xr:uid="{27BAB092-5156-4B2E-9821-75BF5AB86ADF}"/>
    <cellStyle name="Heading 2 3 2" xfId="1549" xr:uid="{D8F39121-3146-4372-896C-213EF0ADE937}"/>
    <cellStyle name="Heading 2 3 3" xfId="1550" xr:uid="{0670EABA-CECE-4BF1-907C-08D2FAD89AB9}"/>
    <cellStyle name="Heading 2 4" xfId="1551" xr:uid="{53A676F4-E1E1-488F-9EE8-CE477CEC909D}"/>
    <cellStyle name="Heading 2 4 2" xfId="1552" xr:uid="{3EB7591C-1821-4B29-8D15-82405CE962A4}"/>
    <cellStyle name="Heading 2 4 3" xfId="1553" xr:uid="{869E1209-01CA-4E72-9AC1-58D0BA510C41}"/>
    <cellStyle name="Heading 2 5" xfId="1554" xr:uid="{D1EE9111-51A8-491D-B1D6-D77CDF1CDDBB}"/>
    <cellStyle name="Heading 2 5 2" xfId="1555" xr:uid="{259C089A-A093-4E59-9F2D-57BACECE87A0}"/>
    <cellStyle name="Heading 2 5 3" xfId="1556" xr:uid="{BB5AC727-B2F7-4138-A487-FBB917A0F63E}"/>
    <cellStyle name="Heading 2 6" xfId="1557" xr:uid="{5E8E534D-B942-42DE-8549-83213341E5FC}"/>
    <cellStyle name="Heading 2 6 2" xfId="1558" xr:uid="{39D1BA19-E6CF-4CCB-9552-E91FDD0C011A}"/>
    <cellStyle name="Heading 2 6 3" xfId="1559" xr:uid="{DBB6CAB2-8498-4A9A-96AF-DABB16DBF102}"/>
    <cellStyle name="Heading 2 7" xfId="1560" xr:uid="{E973C164-3E02-433B-B226-D83B2C4F728E}"/>
    <cellStyle name="Heading 2 7 2" xfId="1561" xr:uid="{C5662BDF-3B7B-4DE8-8D03-D3DF18DB6116}"/>
    <cellStyle name="Heading 2 7 3" xfId="1562" xr:uid="{CE171EEE-9E4C-401B-872F-45912A8ED3F3}"/>
    <cellStyle name="Heading 2 8" xfId="1563" xr:uid="{C6D67950-C71B-45CD-B2AD-60C8F1AE486E}"/>
    <cellStyle name="Heading 2 8 2" xfId="1564" xr:uid="{C518B4B4-827F-4BDC-80D7-65EBBD00D873}"/>
    <cellStyle name="Heading 2 8 3" xfId="1565" xr:uid="{B04E3E83-86F8-4E7A-B3D7-8E7DCAE7E820}"/>
    <cellStyle name="Heading 2 9" xfId="1566" xr:uid="{84C99DCB-5E96-41D7-A822-EE9537026EE2}"/>
    <cellStyle name="Heading 3 10" xfId="1567" xr:uid="{E819EFCE-1694-4AFF-B80C-FECE1031B16A}"/>
    <cellStyle name="Heading 3 11" xfId="1568" xr:uid="{44667B3D-6B9F-43C8-9FA3-68C594C6FCDB}"/>
    <cellStyle name="Heading 3 12" xfId="1569" xr:uid="{72E0FDCD-7ED1-4E70-92EB-17B70F457745}"/>
    <cellStyle name="Heading 3 13" xfId="1570" xr:uid="{7569CADC-8967-4088-A44F-F41BBF0083CC}"/>
    <cellStyle name="Heading 3 14" xfId="1571" xr:uid="{66F5A755-FE1A-4F67-9F7C-6E658B71138B}"/>
    <cellStyle name="Heading 3 15" xfId="1572" xr:uid="{D14D70C1-2ADE-4D52-8351-AC0ADF1DF684}"/>
    <cellStyle name="Heading 3 2" xfId="1573" xr:uid="{8F8241DC-3EFE-4401-A0BF-3BA0D26CF259}"/>
    <cellStyle name="Heading 3 2 2" xfId="1574" xr:uid="{A1220545-C777-467B-A4A0-084BC8AD880A}"/>
    <cellStyle name="Heading 3 2 3" xfId="1575" xr:uid="{55B2291A-30B4-4DAC-9728-19AE01849D0B}"/>
    <cellStyle name="Heading 3 3" xfId="1576" xr:uid="{D20B645D-8E9B-4D57-8D6C-6880A92BEF63}"/>
    <cellStyle name="Heading 3 3 2" xfId="1577" xr:uid="{751E8488-A298-4725-BAB6-34091BA873D2}"/>
    <cellStyle name="Heading 3 3 3" xfId="1578" xr:uid="{D5F2C48A-6ADD-453B-A041-6FE88E031DCE}"/>
    <cellStyle name="Heading 3 4" xfId="1579" xr:uid="{F199A37B-E4EE-4B40-ABC5-71A6DE4F8F22}"/>
    <cellStyle name="Heading 3 4 2" xfId="1580" xr:uid="{C27FD1D4-7DD0-47F5-A08D-F99FE66009DF}"/>
    <cellStyle name="Heading 3 4 3" xfId="1581" xr:uid="{FC8DC2CE-6540-4F2B-94ED-D23F93050109}"/>
    <cellStyle name="Heading 3 5" xfId="1582" xr:uid="{2ABDB86A-2532-429D-A675-E1450584E10F}"/>
    <cellStyle name="Heading 3 5 2" xfId="1583" xr:uid="{B8331D33-F1DA-4346-B969-783EA6865262}"/>
    <cellStyle name="Heading 3 5 3" xfId="1584" xr:uid="{A37783B4-B576-431C-BCC6-C79A2487E013}"/>
    <cellStyle name="Heading 3 6" xfId="1585" xr:uid="{A3B24427-4E80-4AB5-A884-487434878B68}"/>
    <cellStyle name="Heading 3 6 2" xfId="1586" xr:uid="{8B44EED3-3F42-4963-AC30-E417F885F465}"/>
    <cellStyle name="Heading 3 6 3" xfId="1587" xr:uid="{8CAD01A9-63D8-4AD5-A529-0E60A5DBCA79}"/>
    <cellStyle name="Heading 3 7" xfId="1588" xr:uid="{64B0DFA0-D9E7-437E-86C0-5725DE98BE49}"/>
    <cellStyle name="Heading 3 7 2" xfId="1589" xr:uid="{A87A6322-AF3F-4C5E-9CD6-4AD744BF3C06}"/>
    <cellStyle name="Heading 3 7 3" xfId="1590" xr:uid="{B063FEDE-FF1F-490B-96BB-F10B26204F7B}"/>
    <cellStyle name="Heading 3 8" xfId="1591" xr:uid="{B39EDA20-323A-400E-B01E-816EC88A87EE}"/>
    <cellStyle name="Heading 3 8 2" xfId="1592" xr:uid="{995CEED2-A832-49D0-893D-9970FD5FF9C0}"/>
    <cellStyle name="Heading 3 8 3" xfId="1593" xr:uid="{62A40CA9-9811-4BF5-8F95-61B005BA5AD8}"/>
    <cellStyle name="Heading 3 9" xfId="1594" xr:uid="{42F8E2A9-641E-4232-81A1-1489CE60E3E0}"/>
    <cellStyle name="Heading 4 10" xfId="1595" xr:uid="{20256253-049B-4CF6-9E14-CCD9DF69431C}"/>
    <cellStyle name="Heading 4 11" xfId="1596" xr:uid="{D91A9168-E852-4F10-B290-9D95A0AFEED9}"/>
    <cellStyle name="Heading 4 12" xfId="1597" xr:uid="{19035253-9119-4225-8984-4C968E754365}"/>
    <cellStyle name="Heading 4 13" xfId="1598" xr:uid="{A651244F-49E9-433B-8F9F-EF67A62C284F}"/>
    <cellStyle name="Heading 4 14" xfId="1599" xr:uid="{4B240C9E-0306-414B-BA91-46E878D6559E}"/>
    <cellStyle name="Heading 4 15" xfId="1600" xr:uid="{5DE340C0-5DB5-4EEB-969D-CA25E245B276}"/>
    <cellStyle name="Heading 4 2" xfId="1601" xr:uid="{CA019BB6-D5AD-4642-AE23-3A3F6D412709}"/>
    <cellStyle name="Heading 4 2 2" xfId="1602" xr:uid="{BF720363-334E-4BE2-B073-99A0AA81AFAB}"/>
    <cellStyle name="Heading 4 2 3" xfId="1603" xr:uid="{361DA4D3-8C7C-48A6-8269-7FE76C0FDB58}"/>
    <cellStyle name="Heading 4 3" xfId="1604" xr:uid="{30261C0C-6CCA-4181-A0FD-960950265AB4}"/>
    <cellStyle name="Heading 4 3 2" xfId="1605" xr:uid="{307BDCBC-E5A9-4685-969D-09463E6EB558}"/>
    <cellStyle name="Heading 4 3 3" xfId="1606" xr:uid="{D237FB44-EF74-4E57-A2E4-CEDE023CACF9}"/>
    <cellStyle name="Heading 4 4" xfId="1607" xr:uid="{A8A4A372-C358-4630-948F-D799B2E617C3}"/>
    <cellStyle name="Heading 4 4 2" xfId="1608" xr:uid="{7D46738B-D362-409A-B937-2473FCE177F1}"/>
    <cellStyle name="Heading 4 4 3" xfId="1609" xr:uid="{66481213-68E3-4529-BD2B-84319CB20368}"/>
    <cellStyle name="Heading 4 5" xfId="1610" xr:uid="{7C4CFC4A-4915-4A09-AC81-4192B664884F}"/>
    <cellStyle name="Heading 4 5 2" xfId="1611" xr:uid="{2BFAD4A7-D644-4C59-B296-5EC839E9E828}"/>
    <cellStyle name="Heading 4 5 3" xfId="1612" xr:uid="{A2446393-B3D7-44A4-83CF-D60D83498675}"/>
    <cellStyle name="Heading 4 6" xfId="1613" xr:uid="{D6D95781-323F-4EBC-9909-AFB7943E7670}"/>
    <cellStyle name="Heading 4 6 2" xfId="1614" xr:uid="{059FD830-7A10-40B9-BC56-5508D22B1006}"/>
    <cellStyle name="Heading 4 6 3" xfId="1615" xr:uid="{438E139D-65FB-4896-9FEA-F3D4F3EE1789}"/>
    <cellStyle name="Heading 4 7" xfId="1616" xr:uid="{B70B41AF-E29C-4C86-94AA-6C07AB7530AF}"/>
    <cellStyle name="Heading 4 7 2" xfId="1617" xr:uid="{3645C239-C454-4A02-A172-001081662160}"/>
    <cellStyle name="Heading 4 7 3" xfId="1618" xr:uid="{7B37B495-CF56-49F0-AC63-6319F20FC4BA}"/>
    <cellStyle name="Heading 4 8" xfId="1619" xr:uid="{DC63850D-7CA3-44B5-B702-5058D3702B60}"/>
    <cellStyle name="Heading 4 8 2" xfId="1620" xr:uid="{B941395B-3929-4CBC-BA19-F86D8CE14600}"/>
    <cellStyle name="Heading 4 8 3" xfId="1621" xr:uid="{B9E703DF-144B-4025-AB76-C30E5B08F7C3}"/>
    <cellStyle name="Heading 4 9" xfId="1622" xr:uid="{C137389F-8BBE-4E68-9540-EC45630D88CD}"/>
    <cellStyle name="Heading1" xfId="13" xr:uid="{00000000-0005-0000-0000-000015000000}"/>
    <cellStyle name="Heading1 10" xfId="1624" xr:uid="{77E0F712-7087-4505-B57C-095D54CEE8B1}"/>
    <cellStyle name="Heading1 100" xfId="1623" xr:uid="{5BD5CCB1-4CEF-4EE5-9BDE-461D4F2E06BB}"/>
    <cellStyle name="Heading1 11" xfId="1625" xr:uid="{47E30773-BED0-46C8-8D48-F70EB23992A6}"/>
    <cellStyle name="Heading1 11 2" xfId="1626" xr:uid="{3B33A88F-23CD-45DD-8E25-9A552921966F}"/>
    <cellStyle name="Heading1 12" xfId="1627" xr:uid="{C1BE2415-B64F-4A12-BB7E-9465F97B637A}"/>
    <cellStyle name="Heading1 12 2" xfId="1628" xr:uid="{6B724D75-17AF-4512-97F1-6F923D42E57A}"/>
    <cellStyle name="Heading1 13" xfId="1629" xr:uid="{673194D4-578E-4AA5-A153-F1E7DBC86E5A}"/>
    <cellStyle name="Heading1 13 2" xfId="1630" xr:uid="{F0DB4FC5-EE69-42AC-821B-AB6D74A5E356}"/>
    <cellStyle name="Heading1 14" xfId="1631" xr:uid="{68A691CF-0634-4AB9-95F1-DDC88982CB38}"/>
    <cellStyle name="Heading1 15" xfId="1632" xr:uid="{87D514E8-EFE0-47D3-8ECA-9167247E4C25}"/>
    <cellStyle name="Heading1 16" xfId="1633" xr:uid="{8D1A5A2F-8893-4448-BC96-B52037D05636}"/>
    <cellStyle name="Heading1 17" xfId="1634" xr:uid="{F87C46C8-5C1E-4D87-95EA-B3B138CF34A3}"/>
    <cellStyle name="Heading1 18" xfId="1635" xr:uid="{5B4DD533-E99C-42BD-8ABD-B7AD7D21EBD4}"/>
    <cellStyle name="Heading1 19" xfId="1636" xr:uid="{DD20A357-348F-4C92-A12B-EBAE2A0C17EF}"/>
    <cellStyle name="Heading1 2" xfId="1637" xr:uid="{CF9FDD44-7DAC-4530-9849-1867762428AE}"/>
    <cellStyle name="Heading1 2 10" xfId="1638" xr:uid="{0521C27C-800C-4EB2-A81D-323BC206B698}"/>
    <cellStyle name="Heading1 2 10 2" xfId="1639" xr:uid="{8AC7EB25-8F95-489C-8D29-EF4F4419D3B0}"/>
    <cellStyle name="Heading1 2 10 2 2" xfId="1640" xr:uid="{C59F470F-3060-4693-A1A7-CB3CD7B503E8}"/>
    <cellStyle name="Heading1 2 10 3" xfId="1641" xr:uid="{6689ED12-5174-4B5F-8860-3CF42BBC12C7}"/>
    <cellStyle name="Heading1 2 11" xfId="1642" xr:uid="{F724059C-D767-41F6-A310-C0061F882A13}"/>
    <cellStyle name="Heading1 2 11 2" xfId="1643" xr:uid="{4CD8FFC7-CC1F-4D2D-879F-ADAB378B9447}"/>
    <cellStyle name="Heading1 2 11 3" xfId="1644" xr:uid="{E2AEDF1A-8566-4687-B9F8-AC6AC14653FA}"/>
    <cellStyle name="Heading1 2 12" xfId="1645" xr:uid="{AA96D0E4-3B8E-47A9-927B-1A5F74BBB940}"/>
    <cellStyle name="Heading1 2 12 2" xfId="1646" xr:uid="{651995B6-0556-4DF2-9FCF-173748C2555B}"/>
    <cellStyle name="Heading1 2 12 3" xfId="1647" xr:uid="{2510520F-F058-47D2-B0F0-45A687ADAA71}"/>
    <cellStyle name="Heading1 2 13" xfId="1648" xr:uid="{C4E24336-B7B4-4430-BA8C-651917C36F84}"/>
    <cellStyle name="Heading1 2 13 2" xfId="1649" xr:uid="{A19B64AD-F992-4188-8AAC-CA3F5D4487ED}"/>
    <cellStyle name="Heading1 2 13 3" xfId="1650" xr:uid="{A85E79FA-C7C3-48D7-A8C0-61A7CA8211BB}"/>
    <cellStyle name="Heading1 2 14" xfId="1651" xr:uid="{718212C6-DAAD-4026-B185-40B816877F3C}"/>
    <cellStyle name="Heading1 2 15" xfId="1652" xr:uid="{EFA25ED5-32FF-4C29-9930-65DD2D9F1C42}"/>
    <cellStyle name="Heading1 2 2" xfId="1653" xr:uid="{3EF1CA6F-2B7D-4A7B-99EC-01037E726D63}"/>
    <cellStyle name="Heading1 2 2 10" xfId="1654" xr:uid="{B72C20D2-E7D9-4D07-99A4-0AD7F587015F}"/>
    <cellStyle name="Heading1 2 2 11" xfId="1655" xr:uid="{08F98CD0-0C40-4075-933E-1950CB44D3D2}"/>
    <cellStyle name="Heading1 2 2 12" xfId="1656" xr:uid="{797B5B65-3986-4588-957E-540CBC27E371}"/>
    <cellStyle name="Heading1 2 2 2" xfId="1657" xr:uid="{E9C088E9-8ACB-4CBD-8C8C-FC568D903673}"/>
    <cellStyle name="Heading1 2 2 2 2" xfId="1658" xr:uid="{8ACB50C2-0FA4-49AC-98BD-61C1844E7F23}"/>
    <cellStyle name="Heading1 2 2 3" xfId="1659" xr:uid="{AF9FEA53-74D1-48F9-951C-CD4E128B1283}"/>
    <cellStyle name="Heading1 2 2 4" xfId="1660" xr:uid="{D52AD9A3-67B1-47B0-867C-06F1805F2F3D}"/>
    <cellStyle name="Heading1 2 2 5" xfId="1661" xr:uid="{903D3C8D-5056-424B-A9F9-285DED2A18F1}"/>
    <cellStyle name="Heading1 2 2 6" xfId="1662" xr:uid="{292C91C6-8047-46E7-8C6A-D8728C1E73BE}"/>
    <cellStyle name="Heading1 2 2 7" xfId="1663" xr:uid="{6D87BF0C-DE7F-48F5-97AA-94A2D34543E2}"/>
    <cellStyle name="Heading1 2 2 8" xfId="1664" xr:uid="{078B7EEB-125D-4B77-B401-997BD0F0A657}"/>
    <cellStyle name="Heading1 2 2 9" xfId="1665" xr:uid="{0A43A64A-AD23-4DCE-A0F5-DEE2673435A6}"/>
    <cellStyle name="Heading1 2 3" xfId="1666" xr:uid="{3C534173-8BD2-450B-836D-E1BE902775F2}"/>
    <cellStyle name="Heading1 2 4" xfId="1667" xr:uid="{91CF0BB1-3563-480F-8740-0254CFB0A656}"/>
    <cellStyle name="Heading1 2 5" xfId="1668" xr:uid="{41801523-1659-49A7-940B-110226A6A3B4}"/>
    <cellStyle name="Heading1 2 6" xfId="1669" xr:uid="{AF914FA6-8239-4A2A-96E1-0EB4634463AC}"/>
    <cellStyle name="Heading1 2 7" xfId="1670" xr:uid="{786D96C4-42BA-48C2-B36E-D45C26C4646A}"/>
    <cellStyle name="Heading1 2 8" xfId="1671" xr:uid="{7CC3C65F-3ABB-40DA-8C91-13DC90D73CCC}"/>
    <cellStyle name="Heading1 2 9" xfId="1672" xr:uid="{1082D59D-37E7-4B55-8E58-A1E3629D0E4C}"/>
    <cellStyle name="Heading1 2 9 2" xfId="1673" xr:uid="{8B596A3B-CD8D-4BFC-B724-B10DDA1406C8}"/>
    <cellStyle name="Heading1 2 9 2 2" xfId="1674" xr:uid="{8A461300-36CF-45CE-B36E-7BE595B947AC}"/>
    <cellStyle name="Heading1 2 9 3" xfId="1675" xr:uid="{483861A7-057F-4121-8F90-861A9D5740F6}"/>
    <cellStyle name="Heading1 20" xfId="1676" xr:uid="{4FAC7C70-9276-4E9B-B581-C4E92E347731}"/>
    <cellStyle name="Heading1 21" xfId="1677" xr:uid="{9E95E53A-AAB2-4DB5-A975-EE4BCFC1246D}"/>
    <cellStyle name="Heading1 22" xfId="1678" xr:uid="{407011BC-22C5-4315-8D17-E21ADB3D149A}"/>
    <cellStyle name="Heading1 23" xfId="1679" xr:uid="{4288C898-D1F7-4CF2-AFED-1EEF7E5D5CC3}"/>
    <cellStyle name="Heading1 24" xfId="1680" xr:uid="{8D4F57D7-A165-47F9-984F-4EECE715A7BB}"/>
    <cellStyle name="Heading1 25" xfId="1681" xr:uid="{05D1C237-7F1F-4373-BD14-A0EE4955B53D}"/>
    <cellStyle name="Heading1 26" xfId="1682" xr:uid="{07558628-8974-40FC-AC04-806CAF108D67}"/>
    <cellStyle name="Heading1 27" xfId="1683" xr:uid="{0DB8D926-5EF8-4AAE-92C8-D2188DC94F91}"/>
    <cellStyle name="Heading1 28" xfId="1684" xr:uid="{BDD47F8E-2218-46DC-8FE9-11E2018459B9}"/>
    <cellStyle name="Heading1 29" xfId="1685" xr:uid="{C0A36D83-712E-44B2-9E1E-3C766C311B35}"/>
    <cellStyle name="Heading1 3" xfId="1686" xr:uid="{5C3BB34D-38F7-4AD4-A1DB-B70BAFF25028}"/>
    <cellStyle name="Heading1 30" xfId="1687" xr:uid="{F49F8DEF-2D85-4AD7-96CC-D338F83EDD35}"/>
    <cellStyle name="Heading1 31" xfId="1688" xr:uid="{DD627931-0C80-4B9D-8B6A-D66AB4EE5AF9}"/>
    <cellStyle name="Heading1 32" xfId="1689" xr:uid="{840EE9FD-8A21-4208-8E99-948074E89232}"/>
    <cellStyle name="Heading1 33" xfId="1690" xr:uid="{00ED70FC-5DBF-4B7B-A311-54261A9A85D1}"/>
    <cellStyle name="Heading1 34" xfId="1691" xr:uid="{81450FA4-CFD5-479F-A9AE-D894871EB6A1}"/>
    <cellStyle name="Heading1 35" xfId="1692" xr:uid="{4E06586D-4644-4F98-B2F9-E283050BD9AC}"/>
    <cellStyle name="Heading1 36" xfId="1693" xr:uid="{BBDEC1E7-F4CD-49FD-B219-A488C177CA7D}"/>
    <cellStyle name="Heading1 37" xfId="1694" xr:uid="{A6978A48-76DF-4018-8EF5-CF994BF7B0E1}"/>
    <cellStyle name="Heading1 38" xfId="1695" xr:uid="{F60D2AFA-B9A1-4913-8192-DA790B31E749}"/>
    <cellStyle name="Heading1 39" xfId="1696" xr:uid="{4303EE2B-9D86-4679-81E7-8C76C275A299}"/>
    <cellStyle name="Heading1 4" xfId="1697" xr:uid="{75AE399A-53D0-4A6B-8771-D2646D9232A4}"/>
    <cellStyle name="Heading1 40" xfId="1698" xr:uid="{132CAB9C-3AA8-4BC6-B6ED-4BE546A0943E}"/>
    <cellStyle name="Heading1 41" xfId="1699" xr:uid="{29BFB6A9-57C7-4CF7-A5A8-5187AB5E7CC3}"/>
    <cellStyle name="Heading1 42" xfId="1700" xr:uid="{92E5C01F-C420-4F14-B23C-5D2C9C19040A}"/>
    <cellStyle name="Heading1 43" xfId="1701" xr:uid="{25D54B78-F07A-4ED7-BE9C-887722D22764}"/>
    <cellStyle name="Heading1 44" xfId="1702" xr:uid="{D27320FE-43CD-474C-ADF4-CA6E785438E1}"/>
    <cellStyle name="Heading1 45" xfId="1703" xr:uid="{238AAFA5-71F3-4136-8619-A167F497D703}"/>
    <cellStyle name="Heading1 46" xfId="1704" xr:uid="{902D5925-FE18-43F8-8C24-7600A4CB3DF3}"/>
    <cellStyle name="Heading1 47" xfId="1705" xr:uid="{8CC7B492-811C-4497-A51E-2D2471A13407}"/>
    <cellStyle name="Heading1 48" xfId="1706" xr:uid="{FA24A743-93C3-4B6B-B9BD-64B0E1558ECE}"/>
    <cellStyle name="Heading1 49" xfId="1707" xr:uid="{845878EA-B1A5-4D71-9EB7-0BC0B0B6301A}"/>
    <cellStyle name="Heading1 5" xfId="1708" xr:uid="{F21BE639-AE41-4B1A-87B3-4A4B78336E5B}"/>
    <cellStyle name="Heading1 5 2" xfId="1709" xr:uid="{6B50EE17-B90B-437D-B92E-049C6972BD11}"/>
    <cellStyle name="Heading1 5 3" xfId="1710" xr:uid="{DA401331-34A1-4922-BC3F-E8BF18ADD423}"/>
    <cellStyle name="Heading1 5 4" xfId="1711" xr:uid="{E9C883E1-375B-418E-913B-CBFC5F289AD5}"/>
    <cellStyle name="Heading1 5 5" xfId="1712" xr:uid="{D5155AD4-0213-4B44-8BAA-68E35371D519}"/>
    <cellStyle name="Heading1 5 6" xfId="1713" xr:uid="{FA5E4DB2-3F90-4D38-826B-13F95D03A642}"/>
    <cellStyle name="Heading1 5 7" xfId="1714" xr:uid="{14BA368D-AF57-4F0E-8837-EAA7640D2840}"/>
    <cellStyle name="Heading1 50" xfId="1715" xr:uid="{01E978E1-3ABC-49ED-93C5-15E0F3901CC5}"/>
    <cellStyle name="Heading1 51" xfId="1716" xr:uid="{53873DCA-AA10-4CD8-9C79-BD0015B3AF1F}"/>
    <cellStyle name="Heading1 52" xfId="1717" xr:uid="{EA1526C9-A307-4956-85AD-B3139825B863}"/>
    <cellStyle name="Heading1 53" xfId="1718" xr:uid="{31CCD34A-D410-447E-8DE8-20BE3924E308}"/>
    <cellStyle name="Heading1 54" xfId="1719" xr:uid="{60E40950-B450-4A7A-BD67-1A56710F8E77}"/>
    <cellStyle name="Heading1 55" xfId="1720" xr:uid="{E3236A73-216D-4CF3-A5A9-812B08264E80}"/>
    <cellStyle name="Heading1 56" xfId="1721" xr:uid="{17B00097-2985-44CC-AD16-B718F1321CE9}"/>
    <cellStyle name="Heading1 57" xfId="1722" xr:uid="{26FCDE55-DEC3-411D-B827-D08FDECC6902}"/>
    <cellStyle name="Heading1 58" xfId="1723" xr:uid="{BFA550AA-EBF3-4BA8-9993-08B2645D4EEE}"/>
    <cellStyle name="Heading1 59" xfId="1724" xr:uid="{21841F12-2CAD-4039-A53F-136DA7D556A7}"/>
    <cellStyle name="Heading1 6" xfId="1725" xr:uid="{6DBE2906-3B9D-486D-A5BB-53AEF0768DBD}"/>
    <cellStyle name="Heading1 6 2" xfId="1726" xr:uid="{C8C3D2EB-25E9-46DA-B511-F13520925270}"/>
    <cellStyle name="Heading1 6 3" xfId="1727" xr:uid="{7F481D1C-7769-44D1-A7A3-9FD41DE38574}"/>
    <cellStyle name="Heading1 6 4" xfId="1728" xr:uid="{8DEBC9BE-9C3F-4EC5-9784-F006F0217176}"/>
    <cellStyle name="Heading1 6 5" xfId="1729" xr:uid="{26A8656E-31A9-40B0-B272-C746393AC93F}"/>
    <cellStyle name="Heading1 6 6" xfId="1730" xr:uid="{93076830-F853-4AF1-95A7-300E3DDF0073}"/>
    <cellStyle name="Heading1 60" xfId="1731" xr:uid="{F097337E-428B-4346-9B83-1D8F9AD42469}"/>
    <cellStyle name="Heading1 61" xfId="1732" xr:uid="{A53BCDBE-CACE-4B0E-BB0C-93B8889ED261}"/>
    <cellStyle name="Heading1 62" xfId="1733" xr:uid="{6FF936C7-70AB-456A-BB84-30DC1E71467F}"/>
    <cellStyle name="Heading1 63" xfId="1734" xr:uid="{62951CC2-8131-4267-8CD5-A02C1D144108}"/>
    <cellStyle name="Heading1 64" xfId="1735" xr:uid="{A918BBB0-2597-46B4-A826-DFB1BE8A4B84}"/>
    <cellStyle name="Heading1 65" xfId="1736" xr:uid="{344715D7-552B-4635-BAAE-4D7781B3184C}"/>
    <cellStyle name="Heading1 66" xfId="1737" xr:uid="{EEFBCCB9-4834-4AD8-AC79-3B47EF0C43E7}"/>
    <cellStyle name="Heading1 67" xfId="1738" xr:uid="{B7FD6BE7-F4F6-4A3A-8416-2F4A71733F79}"/>
    <cellStyle name="Heading1 68" xfId="1739" xr:uid="{465458FE-CDD4-4BC7-8A39-17ED7640E88C}"/>
    <cellStyle name="Heading1 69" xfId="1740" xr:uid="{4B6D78F6-3277-4CE2-A58C-A267AF999B79}"/>
    <cellStyle name="Heading1 7" xfId="1741" xr:uid="{089A90FC-2158-4105-8535-E706DEAEA434}"/>
    <cellStyle name="Heading1 70" xfId="1742" xr:uid="{F9026006-F872-4F7A-A77E-804A9C4DE1C7}"/>
    <cellStyle name="Heading1 71" xfId="1743" xr:uid="{8C2F141F-3D1D-4238-905B-BA94F2934A2D}"/>
    <cellStyle name="Heading1 72" xfId="1744" xr:uid="{62BBA921-9C52-40A7-9500-A4B52EE8D773}"/>
    <cellStyle name="Heading1 73" xfId="1745" xr:uid="{15435ACB-0220-4052-90FB-D38BC298BEDE}"/>
    <cellStyle name="Heading1 74" xfId="1746" xr:uid="{BDD4F13A-92B1-4A9C-BC9D-3FF0ACF0BC34}"/>
    <cellStyle name="Heading1 75" xfId="1747" xr:uid="{9D218726-56B6-4FC1-8BD6-6557A18C0927}"/>
    <cellStyle name="Heading1 76" xfId="1748" xr:uid="{689C333C-7FA4-41FE-9667-B015CECC9EA1}"/>
    <cellStyle name="Heading1 77" xfId="1749" xr:uid="{1A41BDB7-0E44-48F0-BB9B-7A094261F4F2}"/>
    <cellStyle name="Heading1 78" xfId="1750" xr:uid="{C6A5DF25-9C2D-4441-BF82-03CE4692DA2F}"/>
    <cellStyle name="Heading1 79" xfId="1751" xr:uid="{9E2D1CA6-DB20-4393-AD4F-AFF2A9C43072}"/>
    <cellStyle name="Heading1 8" xfId="1752" xr:uid="{649CBF38-ECAE-40BF-A766-542A63FCF0EF}"/>
    <cellStyle name="Heading1 80" xfId="1753" xr:uid="{9535E724-3C1E-4581-A853-3C6F3BC5A4D2}"/>
    <cellStyle name="Heading1 81" xfId="1754" xr:uid="{3B5437C6-BE29-4A4A-88F6-80CBFF849128}"/>
    <cellStyle name="Heading1 82" xfId="1755" xr:uid="{BDCFD3D3-9959-47AC-9704-03C5F082B8A2}"/>
    <cellStyle name="Heading1 82 2" xfId="1756" xr:uid="{E55C4E7D-48DE-469F-ADA0-C4CC5616825A}"/>
    <cellStyle name="Heading1 82 3" xfId="1757" xr:uid="{0B4906A6-8E97-4A2B-B043-A87D8280E490}"/>
    <cellStyle name="Heading1 82 4" xfId="1758" xr:uid="{10A1E614-FB88-4285-9E11-5E6FD1DFE6E5}"/>
    <cellStyle name="Heading1 83" xfId="1759" xr:uid="{38B12109-DBC7-4634-B2BE-E35CA42FDB70}"/>
    <cellStyle name="Heading1 83 2" xfId="1760" xr:uid="{868708B3-3432-45B4-9F60-2570530F301C}"/>
    <cellStyle name="Heading1 83 3" xfId="1761" xr:uid="{35356AA8-F612-41A7-8134-6F2F8A70A3B5}"/>
    <cellStyle name="Heading1 83 4" xfId="1762" xr:uid="{50339D73-70B6-4A96-92B6-1F44C6A2D520}"/>
    <cellStyle name="Heading1 84" xfId="1763" xr:uid="{B48B4A6E-41E6-4879-A065-E4D7DAE2430A}"/>
    <cellStyle name="Heading1 84 2" xfId="1764" xr:uid="{F70B2E0E-76CF-47A7-BA21-38BD8639FB1B}"/>
    <cellStyle name="Heading1 84 3" xfId="1765" xr:uid="{D8D163F7-E63E-4806-BCA1-A44B0614782C}"/>
    <cellStyle name="Heading1 84 4" xfId="1766" xr:uid="{B7025CED-77CF-401D-8D9A-15C5947D5B71}"/>
    <cellStyle name="Heading1 85" xfId="1767" xr:uid="{9E7F66BE-8EA0-4939-9C39-2B42051F4442}"/>
    <cellStyle name="Heading1 85 2" xfId="1768" xr:uid="{E503EAB5-129C-4374-8D50-32BEEEA1851B}"/>
    <cellStyle name="Heading1 85 3" xfId="1769" xr:uid="{BA8D4773-AF6D-4002-B2A9-EED00ED36F24}"/>
    <cellStyle name="Heading1 85 4" xfId="1770" xr:uid="{BF5DBA9D-4C93-4281-9A38-A03139CC3638}"/>
    <cellStyle name="Heading1 86" xfId="1771" xr:uid="{8625A777-2BE1-4529-AF85-A0EDD5193D8C}"/>
    <cellStyle name="Heading1 86 2" xfId="1772" xr:uid="{85CA939F-785C-4B13-A8C6-42602F589B36}"/>
    <cellStyle name="Heading1 86 3" xfId="1773" xr:uid="{88E032C1-1671-4714-A36D-FA66CB5DEFEC}"/>
    <cellStyle name="Heading1 86 4" xfId="1774" xr:uid="{C13BB8AC-EEC0-44C3-A05A-6F268372D260}"/>
    <cellStyle name="Heading1 87" xfId="1775" xr:uid="{DE1C215B-F709-4133-A95E-5AE68D69C7A1}"/>
    <cellStyle name="Heading1 87 2" xfId="1776" xr:uid="{ABD40C64-F500-474B-9B6B-A7CFB1E06036}"/>
    <cellStyle name="Heading1 87 3" xfId="1777" xr:uid="{EFBDFF80-370A-438C-81AC-0EE9F9582B4A}"/>
    <cellStyle name="Heading1 87 4" xfId="1778" xr:uid="{115FDC6D-9F09-4C5A-970F-A40CEDB82653}"/>
    <cellStyle name="Heading1 88" xfId="1779" xr:uid="{EE5B5D35-672E-4CAE-B81C-934F5D9F447C}"/>
    <cellStyle name="Heading1 88 2" xfId="1780" xr:uid="{8C30FF23-BF77-431F-9CAA-D2A64B32229A}"/>
    <cellStyle name="Heading1 88 3" xfId="1781" xr:uid="{5850F162-771D-4641-BAF2-0C35BE7DD32B}"/>
    <cellStyle name="Heading1 88 4" xfId="1782" xr:uid="{E8F40C0E-212E-4CB4-B1E6-7194DF1CB17B}"/>
    <cellStyle name="Heading1 89" xfId="1783" xr:uid="{2964E9F1-1C64-4661-A8AA-D14306430EDF}"/>
    <cellStyle name="Heading1 89 2" xfId="1784" xr:uid="{C2CC2A12-C4EB-46C8-8AFA-4C4D5E1F5118}"/>
    <cellStyle name="Heading1 89 3" xfId="1785" xr:uid="{2B0A1448-C0A2-463E-BC4E-28D0314C2B08}"/>
    <cellStyle name="Heading1 89 4" xfId="1786" xr:uid="{AA18EA16-45CD-4BD4-A2B1-B55C0556490F}"/>
    <cellStyle name="Heading1 9" xfId="1787" xr:uid="{808AC54B-EE63-4D33-B5A8-F0A210912296}"/>
    <cellStyle name="Heading1 90" xfId="1788" xr:uid="{EDC1B4F6-9742-4037-8F33-E9401854581B}"/>
    <cellStyle name="Heading1 91" xfId="1789" xr:uid="{D2AED67A-4E9B-4637-AFFC-2E7B99433120}"/>
    <cellStyle name="Heading1 92" xfId="1790" xr:uid="{7EC3986B-C5CD-4FD3-84DF-4947435DAB8C}"/>
    <cellStyle name="Heading1 93" xfId="1791" xr:uid="{BEE1C609-F674-42FB-B150-F95722C14882}"/>
    <cellStyle name="Heading1 94" xfId="1792" xr:uid="{BF040047-37EE-4544-8DF6-9E3833118DA4}"/>
    <cellStyle name="Heading1 95" xfId="1793" xr:uid="{EEB879C7-DFBC-47D9-B6A6-4FA951A4C428}"/>
    <cellStyle name="Heading1 96" xfId="1794" xr:uid="{376DB8AC-B3C3-47FD-B842-E74E85D4C107}"/>
    <cellStyle name="Heading1 97" xfId="1795" xr:uid="{161FE60B-4218-496C-AB9C-CA065FAB246B}"/>
    <cellStyle name="Heading1 98" xfId="1796" xr:uid="{2FEB838A-DA0A-4084-95C2-31E374968E02}"/>
    <cellStyle name="Heading1 99" xfId="1797" xr:uid="{43F56A1D-6D9C-48C8-AB8A-85C365EA8757}"/>
    <cellStyle name="Heading1_ANB" xfId="1798" xr:uid="{3F4581E0-B4B8-459C-A3DF-372B2431397D}"/>
    <cellStyle name="Heading2" xfId="14" xr:uid="{00000000-0005-0000-0000-000016000000}"/>
    <cellStyle name="Heading2 10" xfId="1800" xr:uid="{CB3A6EF2-3C0C-4C43-9348-A927A47B591A}"/>
    <cellStyle name="Heading2 100" xfId="1799" xr:uid="{D91DF78D-15DC-4EF6-A696-3C76BEA184C8}"/>
    <cellStyle name="Heading2 11" xfId="1801" xr:uid="{2ECB213F-684D-47A0-82F3-A61319DDD1A9}"/>
    <cellStyle name="Heading2 11 2" xfId="1802" xr:uid="{CBB4B815-B42F-4445-9E6D-C2DD788EF299}"/>
    <cellStyle name="Heading2 12" xfId="1803" xr:uid="{53591DCD-A733-4802-B5E2-879FC5D1FC9E}"/>
    <cellStyle name="Heading2 12 2" xfId="1804" xr:uid="{B88D1257-336D-4A0D-9C13-68E445B2EF08}"/>
    <cellStyle name="Heading2 13" xfId="1805" xr:uid="{33C7116C-93A9-4B22-94FB-1BEE32E2554F}"/>
    <cellStyle name="Heading2 13 2" xfId="1806" xr:uid="{38B94364-AFB2-49B7-8D9F-83DD586FC2EB}"/>
    <cellStyle name="Heading2 14" xfId="1807" xr:uid="{C7077FA2-A404-4748-BF95-CD72F3FE1773}"/>
    <cellStyle name="Heading2 15" xfId="1808" xr:uid="{4F619F0C-3A29-4503-94DB-C85ECE5E1C22}"/>
    <cellStyle name="Heading2 16" xfId="1809" xr:uid="{A5279B97-9691-462E-93FE-86E85168BF22}"/>
    <cellStyle name="Heading2 17" xfId="1810" xr:uid="{BA494D4D-C66B-4932-98C3-04DFF5C36713}"/>
    <cellStyle name="Heading2 18" xfId="1811" xr:uid="{A8118838-AF9A-450C-8A7E-55388436C48D}"/>
    <cellStyle name="Heading2 19" xfId="1812" xr:uid="{01A6E192-0E29-4226-940B-5B259CDDAFB0}"/>
    <cellStyle name="Heading2 2" xfId="1813" xr:uid="{C882A335-22CD-4877-8F28-DA842C84AF5F}"/>
    <cellStyle name="Heading2 2 10" xfId="1814" xr:uid="{A70AE6D7-4263-454A-B069-8744FFF710E1}"/>
    <cellStyle name="Heading2 2 10 2" xfId="1815" xr:uid="{319745FA-72D1-4831-9DF3-DA73908E36A4}"/>
    <cellStyle name="Heading2 2 10 2 2" xfId="1816" xr:uid="{AB4798C5-6D98-4EBC-B157-649374AE25E2}"/>
    <cellStyle name="Heading2 2 10 3" xfId="1817" xr:uid="{CC75585F-C4D2-435D-B4A4-CDF3F71EE417}"/>
    <cellStyle name="Heading2 2 11" xfId="1818" xr:uid="{394AC9A2-6445-4FCE-9B52-DB4CF4440FAC}"/>
    <cellStyle name="Heading2 2 11 2" xfId="1819" xr:uid="{88F203CE-9A8F-426B-BF19-CD484A12A7AF}"/>
    <cellStyle name="Heading2 2 11 3" xfId="1820" xr:uid="{6A590D5B-0DE5-4D6E-9DF3-2F889A1DEE89}"/>
    <cellStyle name="Heading2 2 12" xfId="1821" xr:uid="{1FCF6CE0-5E6A-4BF1-B076-BBB899C0F07D}"/>
    <cellStyle name="Heading2 2 12 2" xfId="1822" xr:uid="{664CC928-ACBF-41DC-9F17-691F8B2B12CF}"/>
    <cellStyle name="Heading2 2 12 3" xfId="1823" xr:uid="{F672D747-F89B-41C4-B9B7-8212977FD5DE}"/>
    <cellStyle name="Heading2 2 13" xfId="1824" xr:uid="{E553B65B-8C15-4FA8-B6BE-2DBA83A9676C}"/>
    <cellStyle name="Heading2 2 13 2" xfId="1825" xr:uid="{7D5CDAE7-B1AD-4B24-9370-8549C7FE4841}"/>
    <cellStyle name="Heading2 2 13 3" xfId="1826" xr:uid="{B11DE589-0F98-440B-A9B3-4BCDFDB9A9B3}"/>
    <cellStyle name="Heading2 2 14" xfId="1827" xr:uid="{12F1EEC6-F966-4BBF-A408-A0A40DD658A6}"/>
    <cellStyle name="Heading2 2 15" xfId="1828" xr:uid="{EACF150A-739E-4A27-B21A-D315B379C675}"/>
    <cellStyle name="Heading2 2 2" xfId="1829" xr:uid="{CFB819A3-C388-421D-A8AA-EB10ABC151FC}"/>
    <cellStyle name="Heading2 2 2 10" xfId="1830" xr:uid="{5CC81803-A7D0-4778-BB69-9C4DE9A678A3}"/>
    <cellStyle name="Heading2 2 2 11" xfId="1831" xr:uid="{6F63D867-13B8-4BBF-BE3B-6AB606D1B511}"/>
    <cellStyle name="Heading2 2 2 12" xfId="1832" xr:uid="{26860160-8DCE-41AE-A57E-1DBF7E001BBF}"/>
    <cellStyle name="Heading2 2 2 2" xfId="1833" xr:uid="{FDFB6DF8-66DF-4AEC-B079-63462451F70F}"/>
    <cellStyle name="Heading2 2 2 2 2" xfId="1834" xr:uid="{21831937-7E8A-4FDA-8BB7-EEBD11B3AFBB}"/>
    <cellStyle name="Heading2 2 2 3" xfId="1835" xr:uid="{96BBDBD7-AD11-44FC-A890-528C615D5467}"/>
    <cellStyle name="Heading2 2 2 4" xfId="1836" xr:uid="{93BF83AF-F123-41E5-96C7-F2846ED90A7C}"/>
    <cellStyle name="Heading2 2 2 5" xfId="1837" xr:uid="{7E8A8767-DC37-4075-93B3-87DD0296977D}"/>
    <cellStyle name="Heading2 2 2 6" xfId="1838" xr:uid="{7CC1270A-CC34-422F-BECB-87AB2A8732D2}"/>
    <cellStyle name="Heading2 2 2 7" xfId="1839" xr:uid="{4FC1EBF2-F327-4C22-B59E-4256B5C793D8}"/>
    <cellStyle name="Heading2 2 2 8" xfId="1840" xr:uid="{EFD22B35-2263-4368-9EF3-E9C8624430DE}"/>
    <cellStyle name="Heading2 2 2 9" xfId="1841" xr:uid="{A597471C-AC93-468F-92FE-5CF2D3AE83CF}"/>
    <cellStyle name="Heading2 2 3" xfId="1842" xr:uid="{E294580C-2260-4CF1-AD28-55348A6E0EE5}"/>
    <cellStyle name="Heading2 2 4" xfId="1843" xr:uid="{3C560AE0-195C-40BA-937D-6EAD261EDDFF}"/>
    <cellStyle name="Heading2 2 5" xfId="1844" xr:uid="{4B97422F-546F-49FB-BA00-21BB370784A6}"/>
    <cellStyle name="Heading2 2 6" xfId="1845" xr:uid="{A62E0449-F377-4A31-B3FF-05ABE3C89729}"/>
    <cellStyle name="Heading2 2 7" xfId="1846" xr:uid="{11FD0956-988C-4177-A131-099153933DB8}"/>
    <cellStyle name="Heading2 2 8" xfId="1847" xr:uid="{90EA8668-473C-4F67-B008-DBA7D5BEDA76}"/>
    <cellStyle name="Heading2 2 9" xfId="1848" xr:uid="{4B78B80D-BA47-4D26-89DE-FE8A3793DE65}"/>
    <cellStyle name="Heading2 2 9 2" xfId="1849" xr:uid="{824E99B3-6499-4B2E-89FB-7524B9C7A998}"/>
    <cellStyle name="Heading2 2 9 2 2" xfId="1850" xr:uid="{C84A7BEF-F8C3-40CF-919A-4F8155579BE2}"/>
    <cellStyle name="Heading2 2 9 3" xfId="1851" xr:uid="{43A253D7-D44E-4FE7-ACBB-677E2AEBE07B}"/>
    <cellStyle name="Heading2 20" xfId="1852" xr:uid="{1B9B85B6-2254-46CF-9572-72E3B4A3854E}"/>
    <cellStyle name="Heading2 21" xfId="1853" xr:uid="{344C4FFC-58ED-4679-B6D8-E7C0284AA62C}"/>
    <cellStyle name="Heading2 22" xfId="1854" xr:uid="{8105CB95-DED2-4383-A2EE-DA64801823A3}"/>
    <cellStyle name="Heading2 23" xfId="1855" xr:uid="{AC86F3E5-9DB2-463C-AA6D-D7BB585661EE}"/>
    <cellStyle name="Heading2 24" xfId="1856" xr:uid="{A75082EF-7231-4CB6-8FEA-94F13D6296C5}"/>
    <cellStyle name="Heading2 25" xfId="1857" xr:uid="{578BCF56-517E-441D-996C-9A370A00E007}"/>
    <cellStyle name="Heading2 26" xfId="1858" xr:uid="{747CBA13-4CFB-42B3-A2E4-E2BFEB8E59C3}"/>
    <cellStyle name="Heading2 27" xfId="1859" xr:uid="{E5C5F625-4362-4EC0-8D68-47C891311604}"/>
    <cellStyle name="Heading2 28" xfId="1860" xr:uid="{FCCC1BB0-B8BE-4C15-AAB9-874F05370A6C}"/>
    <cellStyle name="Heading2 29" xfId="1861" xr:uid="{B84BAE63-732F-43DA-A29D-BA0CE48A7A9E}"/>
    <cellStyle name="Heading2 3" xfId="1862" xr:uid="{8C742C5C-F428-4906-929A-6E4A665B1CA1}"/>
    <cellStyle name="Heading2 30" xfId="1863" xr:uid="{992B8B7E-E2A9-4E0D-A35D-B7D313B8D9B8}"/>
    <cellStyle name="Heading2 31" xfId="1864" xr:uid="{54B088E8-6942-429E-B722-9358302FE7A6}"/>
    <cellStyle name="Heading2 32" xfId="1865" xr:uid="{4CE02B9A-0EA6-4E2E-AA15-032452497428}"/>
    <cellStyle name="Heading2 33" xfId="1866" xr:uid="{F8CB3FDC-6235-441B-91F2-90605583C7F1}"/>
    <cellStyle name="Heading2 34" xfId="1867" xr:uid="{8A4D0901-3AFF-4C6C-9509-D53D4DED9CA1}"/>
    <cellStyle name="Heading2 35" xfId="1868" xr:uid="{BA76111C-391A-46FC-8940-7DC18A7D2C63}"/>
    <cellStyle name="Heading2 36" xfId="1869" xr:uid="{9610FC34-AB2E-4C37-B7A0-3DE2D48AEAF5}"/>
    <cellStyle name="Heading2 37" xfId="1870" xr:uid="{95E7EF43-5309-4E68-A378-D9B2201EF7B0}"/>
    <cellStyle name="Heading2 38" xfId="1871" xr:uid="{6936CF31-5F0A-4098-84B5-0AFE7CB2D985}"/>
    <cellStyle name="Heading2 39" xfId="1872" xr:uid="{BE67F417-F2D8-418D-99C7-BEA12518F5D4}"/>
    <cellStyle name="Heading2 4" xfId="1873" xr:uid="{16F7A6A6-0608-41C9-B30A-A76ED6AE28BB}"/>
    <cellStyle name="Heading2 40" xfId="1874" xr:uid="{8AB9C374-6535-4B98-B306-A720F40B7F4C}"/>
    <cellStyle name="Heading2 41" xfId="1875" xr:uid="{738B407B-9C47-40B9-BBC9-B1C8B2E1F20D}"/>
    <cellStyle name="Heading2 42" xfId="1876" xr:uid="{C01B939D-DA14-4EF3-81C9-EA718E0FDE9F}"/>
    <cellStyle name="Heading2 43" xfId="1877" xr:uid="{1D068503-EE00-42FF-B4B4-73F07A7616A2}"/>
    <cellStyle name="Heading2 44" xfId="1878" xr:uid="{2D572F22-A9F5-4C1E-994A-9B2A597FB14A}"/>
    <cellStyle name="Heading2 45" xfId="1879" xr:uid="{6900A16B-7F82-4A30-8BFB-4FB42DEDEE3D}"/>
    <cellStyle name="Heading2 46" xfId="1880" xr:uid="{BD4D18D5-0B13-4784-894C-392316BE7108}"/>
    <cellStyle name="Heading2 47" xfId="1881" xr:uid="{F47533EF-34DD-4292-8C04-3AA5489E4C7F}"/>
    <cellStyle name="Heading2 48" xfId="1882" xr:uid="{313DE22A-BB9A-4CBE-B2DD-9694C6CA8D21}"/>
    <cellStyle name="Heading2 49" xfId="1883" xr:uid="{747BD7F8-461C-481C-A9EA-CFAFD39054FE}"/>
    <cellStyle name="Heading2 5" xfId="1884" xr:uid="{B791AEB7-6849-4D54-91D6-D3723692CAB7}"/>
    <cellStyle name="Heading2 5 2" xfId="1885" xr:uid="{1D707C59-A66C-4196-A814-4BFEB7A7D7B1}"/>
    <cellStyle name="Heading2 5 3" xfId="1886" xr:uid="{46B8AAA9-D574-4780-9D8E-4D4BC3C3DE57}"/>
    <cellStyle name="Heading2 5 4" xfId="1887" xr:uid="{0E31466B-A45E-4E80-A8FB-2F1C94C91300}"/>
    <cellStyle name="Heading2 5 5" xfId="1888" xr:uid="{B9C23354-EF68-41E1-B540-0ED0CB7F98F2}"/>
    <cellStyle name="Heading2 5 6" xfId="1889" xr:uid="{D4056665-8C1A-4A59-804E-FDFB01412DAC}"/>
    <cellStyle name="Heading2 5 7" xfId="1890" xr:uid="{F7869412-5AD8-4F8F-BEAD-45FAECBF8544}"/>
    <cellStyle name="Heading2 50" xfId="1891" xr:uid="{6F207C2D-01EF-45BF-B30E-CD242132B08E}"/>
    <cellStyle name="Heading2 51" xfId="1892" xr:uid="{526DFC2E-DBAF-43B0-B57C-03CA79FBCA50}"/>
    <cellStyle name="Heading2 52" xfId="1893" xr:uid="{2149F96B-F27A-4A77-8FFC-6B3B8A50854D}"/>
    <cellStyle name="Heading2 53" xfId="1894" xr:uid="{122ED910-C232-4A17-9B77-31430665A2AD}"/>
    <cellStyle name="Heading2 54" xfId="1895" xr:uid="{BBC959BA-08E6-4DB7-8AA9-6B6C6AAF3585}"/>
    <cellStyle name="Heading2 55" xfId="1896" xr:uid="{B00982A7-56AF-4BB3-AE33-17123BACC724}"/>
    <cellStyle name="Heading2 56" xfId="1897" xr:uid="{1E25FED0-F047-4984-B321-5EE72B0A40D4}"/>
    <cellStyle name="Heading2 57" xfId="1898" xr:uid="{1D0EC8BF-B9A3-41C0-B74A-58ED5615B6AB}"/>
    <cellStyle name="Heading2 58" xfId="1899" xr:uid="{988DF31A-91BA-41AE-9AB1-761D494C4F7E}"/>
    <cellStyle name="Heading2 59" xfId="1900" xr:uid="{EEE7D863-B51E-4A9C-A653-6B4083CFE1A1}"/>
    <cellStyle name="Heading2 6" xfId="1901" xr:uid="{9DDEDB27-1E0B-4A63-ACFE-C12EED192618}"/>
    <cellStyle name="Heading2 6 2" xfId="1902" xr:uid="{8AFD1022-5ADA-4E29-89F1-2A8690AF9F2F}"/>
    <cellStyle name="Heading2 6 3" xfId="1903" xr:uid="{A8142489-446C-4A8F-B318-0C0E4A67F96E}"/>
    <cellStyle name="Heading2 6 4" xfId="1904" xr:uid="{DAE41048-420B-4828-A58B-0B709AB69AD3}"/>
    <cellStyle name="Heading2 6 5" xfId="1905" xr:uid="{C2833E7E-829C-408D-B867-2D1449F6B49C}"/>
    <cellStyle name="Heading2 6 6" xfId="1906" xr:uid="{9C94329D-E308-476F-8D32-03B5EF6E111E}"/>
    <cellStyle name="Heading2 60" xfId="1907" xr:uid="{04A86F69-FB38-4AD8-9DC1-965981DB7A84}"/>
    <cellStyle name="Heading2 61" xfId="1908" xr:uid="{54917FAB-E63A-47A4-AFA3-953EAC1D3C58}"/>
    <cellStyle name="Heading2 62" xfId="1909" xr:uid="{BC1A952D-EEC4-4353-8463-51C7A07E5A2A}"/>
    <cellStyle name="Heading2 63" xfId="1910" xr:uid="{1E2F9028-D42B-40D1-B36C-E22687CCA991}"/>
    <cellStyle name="Heading2 64" xfId="1911" xr:uid="{C527E524-2FCB-4B0B-AD87-663CF4F90944}"/>
    <cellStyle name="Heading2 65" xfId="1912" xr:uid="{749A6546-AAA0-4F34-AB39-9659EE586BD4}"/>
    <cellStyle name="Heading2 66" xfId="1913" xr:uid="{A99DCCD9-9E9B-4D62-ACD7-A529D82F9441}"/>
    <cellStyle name="Heading2 67" xfId="1914" xr:uid="{FB12A90F-DA0E-4FA7-A1B2-8976FDF78CC7}"/>
    <cellStyle name="Heading2 68" xfId="1915" xr:uid="{030E7D33-BFD3-44BE-82A4-396CA9F3CD49}"/>
    <cellStyle name="Heading2 69" xfId="1916" xr:uid="{9CE4DCF1-07D4-4A83-A9FC-9F1F329E859E}"/>
    <cellStyle name="Heading2 7" xfId="1917" xr:uid="{15CA51CF-FF07-40EC-A3F5-2E77A7FFAAEA}"/>
    <cellStyle name="Heading2 70" xfId="1918" xr:uid="{2CA86B76-7FE9-48E9-81E3-37DCC8B63E98}"/>
    <cellStyle name="Heading2 71" xfId="1919" xr:uid="{70059DAE-A9D7-40F6-9433-88BFBD994D7A}"/>
    <cellStyle name="Heading2 72" xfId="1920" xr:uid="{FE256AE5-055A-4711-A1A2-9E36445FC091}"/>
    <cellStyle name="Heading2 73" xfId="1921" xr:uid="{78D74B90-67DE-4937-9A1B-59158DB3C78E}"/>
    <cellStyle name="Heading2 74" xfId="1922" xr:uid="{EE521AB0-6382-4970-B37A-2AE11B238AAF}"/>
    <cellStyle name="Heading2 75" xfId="1923" xr:uid="{26C85973-ADB8-4784-B157-3C74ED72CBD7}"/>
    <cellStyle name="Heading2 76" xfId="1924" xr:uid="{1E8E44D9-C612-4850-92B6-5C8C9E9DBEAF}"/>
    <cellStyle name="Heading2 77" xfId="1925" xr:uid="{AF80D813-FCF9-4766-AC60-45A9DE62E6F7}"/>
    <cellStyle name="Heading2 78" xfId="1926" xr:uid="{0A5E1E48-5483-4A76-9FE2-9E02702EB3E0}"/>
    <cellStyle name="Heading2 79" xfId="1927" xr:uid="{9A1955F0-3FC7-4C07-A6C7-33F599B4CC2B}"/>
    <cellStyle name="Heading2 8" xfId="1928" xr:uid="{56D4D0CA-C062-4E0E-B574-3BCFD254A24C}"/>
    <cellStyle name="Heading2 80" xfId="1929" xr:uid="{53FCF039-9FA0-4D28-9796-DF2B1F572B91}"/>
    <cellStyle name="Heading2 81" xfId="1930" xr:uid="{028D3805-B74A-4112-B87C-B7095256E6B3}"/>
    <cellStyle name="Heading2 82" xfId="1931" xr:uid="{C5B88E89-5775-4F6F-983E-DA6B5CBC0296}"/>
    <cellStyle name="Heading2 82 2" xfId="1932" xr:uid="{3ED4ACAC-F4A3-43A8-A04E-493DA0E50D67}"/>
    <cellStyle name="Heading2 82 3" xfId="1933" xr:uid="{3CD27988-48CE-446D-93F7-F8AACCD9C4FD}"/>
    <cellStyle name="Heading2 82 4" xfId="1934" xr:uid="{A74F6110-90A0-478C-B73B-998FCFAB3F44}"/>
    <cellStyle name="Heading2 83" xfId="1935" xr:uid="{BFA090D7-7861-4585-9058-D022909086D3}"/>
    <cellStyle name="Heading2 83 2" xfId="1936" xr:uid="{3CB5813D-12AA-4578-B315-071285A81B2E}"/>
    <cellStyle name="Heading2 83 3" xfId="1937" xr:uid="{0FE7274D-EDB6-4143-B8CC-3031B38AFBBD}"/>
    <cellStyle name="Heading2 83 4" xfId="1938" xr:uid="{01518D42-8F04-4F0B-94E4-DE96E92AB4FF}"/>
    <cellStyle name="Heading2 84" xfId="1939" xr:uid="{379151EF-C904-43F8-A5F5-84D0E7D1D599}"/>
    <cellStyle name="Heading2 84 2" xfId="1940" xr:uid="{C8E11E1F-EF3F-49D9-8888-7E4AEEF79974}"/>
    <cellStyle name="Heading2 84 3" xfId="1941" xr:uid="{F258E10D-9E1B-41CC-BFDF-3C733343E909}"/>
    <cellStyle name="Heading2 84 4" xfId="1942" xr:uid="{0ED0279C-6EB0-4821-BBB7-971B083D77FF}"/>
    <cellStyle name="Heading2 85" xfId="1943" xr:uid="{FD2EBDA8-33FC-49D0-98E0-9DDAA6FA7840}"/>
    <cellStyle name="Heading2 85 2" xfId="1944" xr:uid="{7E53E7AF-31E6-49FD-99CC-CEB12156A961}"/>
    <cellStyle name="Heading2 85 3" xfId="1945" xr:uid="{D7CB6DEF-FC3E-4D7F-86DB-90FC7D4D4B2D}"/>
    <cellStyle name="Heading2 85 4" xfId="1946" xr:uid="{42106C6A-7AE3-494E-8A3C-9A30D91A99B6}"/>
    <cellStyle name="Heading2 86" xfId="1947" xr:uid="{BFEC159F-8B6D-40C3-B449-E052ADCD9968}"/>
    <cellStyle name="Heading2 86 2" xfId="1948" xr:uid="{9A950C97-57DD-457B-BF52-58CEE8D184C2}"/>
    <cellStyle name="Heading2 86 3" xfId="1949" xr:uid="{BB7EEE38-C90A-449B-AE24-78846EF703A1}"/>
    <cellStyle name="Heading2 86 4" xfId="1950" xr:uid="{79B46F49-8D7D-4D54-801A-023737E05FBD}"/>
    <cellStyle name="Heading2 87" xfId="1951" xr:uid="{3BA504A9-8CE5-45DB-BCE9-3E7FED66920C}"/>
    <cellStyle name="Heading2 87 2" xfId="1952" xr:uid="{B05FCFF2-7FB3-4578-B35D-F4C5BB3D376B}"/>
    <cellStyle name="Heading2 87 3" xfId="1953" xr:uid="{000A9604-7D71-418F-AF73-9ED2EAEE85C3}"/>
    <cellStyle name="Heading2 87 4" xfId="1954" xr:uid="{AF0960DE-A22E-4040-AA96-93761A5DF205}"/>
    <cellStyle name="Heading2 88" xfId="1955" xr:uid="{36152306-2CFC-4F56-8FEC-B657BB68DCC4}"/>
    <cellStyle name="Heading2 88 2" xfId="1956" xr:uid="{CBF71377-DE5B-49E6-9055-EB318F5AC4A9}"/>
    <cellStyle name="Heading2 88 3" xfId="1957" xr:uid="{2CC002DD-E226-47B1-B2C8-61877AF517E0}"/>
    <cellStyle name="Heading2 88 4" xfId="1958" xr:uid="{28D0E56C-95A2-4B46-9D39-17E11B4F5655}"/>
    <cellStyle name="Heading2 89" xfId="1959" xr:uid="{3FBDB954-8A4A-4FE4-ABF1-553F5D2428C4}"/>
    <cellStyle name="Heading2 89 2" xfId="1960" xr:uid="{0CB9925B-4A49-4F09-93B1-9D820CDBE30F}"/>
    <cellStyle name="Heading2 89 3" xfId="1961" xr:uid="{C206AE8F-B60E-40B7-9CEB-9D5A077575EB}"/>
    <cellStyle name="Heading2 89 4" xfId="1962" xr:uid="{1B5B728B-E41B-4BCC-9C2B-0743F171BD94}"/>
    <cellStyle name="Heading2 9" xfId="1963" xr:uid="{9B8298A0-0F60-45F4-98AD-83C8A20F54FD}"/>
    <cellStyle name="Heading2 90" xfId="1964" xr:uid="{BD5D14C2-79D9-45B5-BAB1-05618E16C930}"/>
    <cellStyle name="Heading2 91" xfId="1965" xr:uid="{A5D4737B-01E9-4C0C-9CF0-DF83B9A2FA22}"/>
    <cellStyle name="Heading2 92" xfId="1966" xr:uid="{40841F47-202A-4C47-A447-24A214637800}"/>
    <cellStyle name="Heading2 93" xfId="1967" xr:uid="{14D94E2F-9B83-40CF-9311-26167AD3642B}"/>
    <cellStyle name="Heading2 94" xfId="1968" xr:uid="{2E3B6AE8-3C18-4253-A309-52995894C58A}"/>
    <cellStyle name="Heading2 95" xfId="1969" xr:uid="{074BD56E-FD18-486F-975D-D9F58A6492B4}"/>
    <cellStyle name="Heading2 96" xfId="1970" xr:uid="{CB49D9B7-FC53-4A4A-B21E-0B154474DB71}"/>
    <cellStyle name="Heading2 97" xfId="1971" xr:uid="{0B56E74A-8B60-47CA-A1A0-3FA46AB4AB2D}"/>
    <cellStyle name="Heading2 98" xfId="1972" xr:uid="{DCCEDA61-3690-47C7-B56C-470454A0DE15}"/>
    <cellStyle name="Heading2 99" xfId="1973" xr:uid="{7CF398EB-E749-49B3-8A6A-05BA08941F1B}"/>
    <cellStyle name="Heading2_ANB" xfId="1974" xr:uid="{9BD5C44C-2519-4E50-8D85-E61201A266C0}"/>
    <cellStyle name="Input 10" xfId="1975" xr:uid="{CDEE72AF-05A5-4BF0-94B8-FE703E38362A}"/>
    <cellStyle name="Input 11" xfId="1976" xr:uid="{9B3B48D9-DCD8-41F1-9A89-92D5DA26A0DD}"/>
    <cellStyle name="Input 12" xfId="1977" xr:uid="{8332BC47-2F26-4FEA-819B-08D77E4C67A9}"/>
    <cellStyle name="Input 13" xfId="1978" xr:uid="{0A90C9A1-7392-4D80-84DC-8D3ECC918FE6}"/>
    <cellStyle name="Input 14" xfId="1979" xr:uid="{1C5D3EB6-0382-40F6-A149-CF42E80658C4}"/>
    <cellStyle name="Input 15" xfId="1980" xr:uid="{210AE7C8-A9B4-42DB-8143-0DFDC54B5D96}"/>
    <cellStyle name="Input 2" xfId="1981" xr:uid="{B569780E-CAF4-4BBF-BE78-0C249BCDA076}"/>
    <cellStyle name="Input 2 2" xfId="1982" xr:uid="{E827F507-3E97-40CC-BE64-BCEBF3AA2A1A}"/>
    <cellStyle name="Input 2 3" xfId="1983" xr:uid="{05343A20-C997-49AF-8830-AFDBF63E98C4}"/>
    <cellStyle name="Input 3" xfId="1984" xr:uid="{C2275049-0446-4848-8842-30A95839A42E}"/>
    <cellStyle name="Input 3 2" xfId="1985" xr:uid="{38CD743B-F453-4DE4-AE51-879819B76809}"/>
    <cellStyle name="Input 3 3" xfId="1986" xr:uid="{7C1FDD4D-8F3A-4D64-8047-010644A81339}"/>
    <cellStyle name="Input 4" xfId="1987" xr:uid="{36C15394-D0D7-400A-BD2D-47F832A8053F}"/>
    <cellStyle name="Input 4 2" xfId="1988" xr:uid="{7AD71E47-36DF-495C-89FF-189896B31134}"/>
    <cellStyle name="Input 4 3" xfId="1989" xr:uid="{58B19316-AF66-4F91-B488-3874F3E61EE2}"/>
    <cellStyle name="Input 5" xfId="1990" xr:uid="{DBFD03FB-B7A9-4C78-9F1D-7EF07899CF90}"/>
    <cellStyle name="Input 5 2" xfId="1991" xr:uid="{A4E1A3E5-6970-40C9-BB9F-E1B34A61BD8A}"/>
    <cellStyle name="Input 5 3" xfId="1992" xr:uid="{FA0A8742-BFC6-4CAE-8EAC-320D5713FAB2}"/>
    <cellStyle name="Input 6" xfId="1993" xr:uid="{A27C6CCF-8C36-481F-97EC-DE6C6C17E533}"/>
    <cellStyle name="Input 6 2" xfId="1994" xr:uid="{7974AB98-EEAB-4AEC-AC95-6D808174DFD9}"/>
    <cellStyle name="Input 6 3" xfId="1995" xr:uid="{49D80788-EE55-4ECE-86E9-843F40DFED29}"/>
    <cellStyle name="Input 7" xfId="1996" xr:uid="{88D72599-A135-4E0F-AAAB-D0BD2CE31FEC}"/>
    <cellStyle name="Input 7 2" xfId="1997" xr:uid="{41F590B6-C997-448C-A5A0-6BFBAB7A28CA}"/>
    <cellStyle name="Input 7 3" xfId="1998" xr:uid="{08148EEC-5EC8-4FE2-A5F9-3DF1BD26D6C5}"/>
    <cellStyle name="Input 8" xfId="1999" xr:uid="{C3F02AAA-2C72-4701-84F4-A4DBA9CD109B}"/>
    <cellStyle name="Input 8 2" xfId="2000" xr:uid="{4941263B-75F8-4520-A055-3F1420C9CDDC}"/>
    <cellStyle name="Input 8 3" xfId="2001" xr:uid="{1AB02F61-1C84-4CB5-85A9-27DD21DECF3D}"/>
    <cellStyle name="Input 9" xfId="2002" xr:uid="{B29583CA-DDF3-45A7-A8D1-D429084646DC}"/>
    <cellStyle name="Linked Cell 10" xfId="2003" xr:uid="{35FC5403-1336-4FCE-9263-C816A77594E4}"/>
    <cellStyle name="Linked Cell 11" xfId="2004" xr:uid="{EAA64545-B4C9-4690-8D49-7F04C4097CCC}"/>
    <cellStyle name="Linked Cell 12" xfId="2005" xr:uid="{5C60A42F-BEAB-452A-BAE1-BFAE5A751918}"/>
    <cellStyle name="Linked Cell 13" xfId="2006" xr:uid="{C686F6A9-72A9-4D67-825D-3B69DBF56812}"/>
    <cellStyle name="Linked Cell 14" xfId="2007" xr:uid="{629BAB84-ACE8-4E88-B564-7C42B1890CB5}"/>
    <cellStyle name="Linked Cell 15" xfId="2008" xr:uid="{FCBFC447-B789-496A-8F0A-AF9E2F178BC9}"/>
    <cellStyle name="Linked Cell 2" xfId="2009" xr:uid="{11333D9A-CCC6-497D-A43D-C8801A1D13BA}"/>
    <cellStyle name="Linked Cell 2 2" xfId="2010" xr:uid="{0F08C069-2178-4DE7-A6C1-D343E182CEE8}"/>
    <cellStyle name="Linked Cell 2 3" xfId="2011" xr:uid="{B868E4B7-E454-4DBC-B402-5FDF19723B65}"/>
    <cellStyle name="Linked Cell 3" xfId="2012" xr:uid="{8FF345A7-7F05-4BC3-A784-CD7794F980ED}"/>
    <cellStyle name="Linked Cell 3 2" xfId="2013" xr:uid="{878BC3E6-7325-4C7E-A200-060ACFEC2CC0}"/>
    <cellStyle name="Linked Cell 3 3" xfId="2014" xr:uid="{9421B432-5162-4A0E-B7C6-DAA33D5895B5}"/>
    <cellStyle name="Linked Cell 4" xfId="2015" xr:uid="{0F674FAC-5487-4443-8834-98CDE7E82A0F}"/>
    <cellStyle name="Linked Cell 4 2" xfId="2016" xr:uid="{1664B6D3-31CE-40B7-89F0-41B402C3BD4F}"/>
    <cellStyle name="Linked Cell 4 3" xfId="2017" xr:uid="{DE6B4CB8-6CE9-4CA5-9C73-318B61362A33}"/>
    <cellStyle name="Linked Cell 5" xfId="2018" xr:uid="{2EBED012-0B34-4744-BB43-95124025FA76}"/>
    <cellStyle name="Linked Cell 5 2" xfId="2019" xr:uid="{583B274D-8C70-44E6-A77E-1AFB1C1F4BC5}"/>
    <cellStyle name="Linked Cell 5 3" xfId="2020" xr:uid="{E48B029C-106A-4BAD-93EC-1FC7623D7B6A}"/>
    <cellStyle name="Linked Cell 6" xfId="2021" xr:uid="{0BA3F4E3-A158-4C0A-8048-30695B1A9A4E}"/>
    <cellStyle name="Linked Cell 6 2" xfId="2022" xr:uid="{20658E5F-18D6-4B69-94AF-77038B3E281B}"/>
    <cellStyle name="Linked Cell 6 3" xfId="2023" xr:uid="{401BEB20-A28E-4E89-9F5E-5D693D599470}"/>
    <cellStyle name="Linked Cell 7" xfId="2024" xr:uid="{854D2C50-1199-440B-AAE7-A09D4FFC979F}"/>
    <cellStyle name="Linked Cell 7 2" xfId="2025" xr:uid="{52A4ECA9-6F21-42C2-9B74-08D79105DC1C}"/>
    <cellStyle name="Linked Cell 7 3" xfId="2026" xr:uid="{5920B720-F2CB-424D-92F9-9C1A2EA574E4}"/>
    <cellStyle name="Linked Cell 8" xfId="2027" xr:uid="{954AC618-609B-4B32-827A-CBE9A192A387}"/>
    <cellStyle name="Linked Cell 8 2" xfId="2028" xr:uid="{BCF4240F-3CC6-4BE9-95A9-E99B09FFC6EA}"/>
    <cellStyle name="Linked Cell 8 3" xfId="2029" xr:uid="{0166C5C3-20C2-4EF8-BA2B-58B28CED9424}"/>
    <cellStyle name="Linked Cell 9" xfId="2030" xr:uid="{C0D294F5-4304-481E-A684-E9CCE3E719A9}"/>
    <cellStyle name="Neutral 10" xfId="2031" xr:uid="{DD06F8A5-C322-4148-9566-3C2237EB39CC}"/>
    <cellStyle name="Neutral 11" xfId="2032" xr:uid="{3DC880E0-EE5A-4E5E-AC5C-C3FD14AF4CA7}"/>
    <cellStyle name="Neutral 12" xfId="2033" xr:uid="{AC02788D-0719-422A-8E62-10138C604C23}"/>
    <cellStyle name="Neutral 13" xfId="2034" xr:uid="{5FBF8729-6256-4218-A941-761CEEC6875F}"/>
    <cellStyle name="Neutral 14" xfId="2035" xr:uid="{7F68BE6A-E6C1-494C-B3B2-8473104FE464}"/>
    <cellStyle name="Neutral 15" xfId="2036" xr:uid="{D4F0B0F8-1AE4-458A-B824-542D991CDE88}"/>
    <cellStyle name="Neutral 2" xfId="2037" xr:uid="{FAD60253-FDD5-4B17-8D1A-546FBB89EC85}"/>
    <cellStyle name="Neutral 2 2" xfId="2038" xr:uid="{619B0546-32EB-415A-A2B7-1D7FAD77702A}"/>
    <cellStyle name="Neutral 2 3" xfId="2039" xr:uid="{BE19BB49-2B42-40C7-A74F-7696F6D6784A}"/>
    <cellStyle name="Neutral 3" xfId="2040" xr:uid="{54FA18E4-8DCB-46AA-91C3-84A618D4DE3C}"/>
    <cellStyle name="Neutral 3 2" xfId="2041" xr:uid="{2F86E963-9C68-4A33-A560-6DCA34EDAA47}"/>
    <cellStyle name="Neutral 3 3" xfId="2042" xr:uid="{2C0C84AF-7D6D-4C67-A51E-092C1CA8104D}"/>
    <cellStyle name="Neutral 4" xfId="2043" xr:uid="{4C68A8D1-EE40-4446-AA58-F005E4C414D9}"/>
    <cellStyle name="Neutral 4 2" xfId="2044" xr:uid="{28A135E0-FF75-4AE4-B686-E37C94F8EE78}"/>
    <cellStyle name="Neutral 4 3" xfId="2045" xr:uid="{8F461DF6-AF69-4DE9-9535-90511C9A63F3}"/>
    <cellStyle name="Neutral 5" xfId="2046" xr:uid="{CC4F1A62-8A0A-4C4F-B82D-6588F0B745D2}"/>
    <cellStyle name="Neutral 5 2" xfId="2047" xr:uid="{DD149DBB-7C69-4B19-BD74-A816DCDFB2F0}"/>
    <cellStyle name="Neutral 5 3" xfId="2048" xr:uid="{3483AC65-65D5-4C72-BE0E-1C8D8823466D}"/>
    <cellStyle name="Neutral 6" xfId="2049" xr:uid="{D3A9A99B-FBFA-43AC-AC2A-40F62F77D105}"/>
    <cellStyle name="Neutral 6 2" xfId="2050" xr:uid="{DCB3DC01-C5DC-461F-ABD8-26CEFA85BCA9}"/>
    <cellStyle name="Neutral 6 3" xfId="2051" xr:uid="{B1EA51A1-29CB-4E1B-97C4-9076238F2B68}"/>
    <cellStyle name="Neutral 7" xfId="2052" xr:uid="{5A2D6F23-0C6D-4E5E-B99A-BBE6AA4F7990}"/>
    <cellStyle name="Neutral 7 2" xfId="2053" xr:uid="{49A37A5F-C38F-47FF-A28A-96110D848F88}"/>
    <cellStyle name="Neutral 7 3" xfId="2054" xr:uid="{E9F5423F-0B85-457C-9ABE-564704DB9DBD}"/>
    <cellStyle name="Neutral 8" xfId="2055" xr:uid="{C5CA1EBE-931F-4E65-B414-21D94573D821}"/>
    <cellStyle name="Neutral 8 2" xfId="2056" xr:uid="{29225424-470E-44C2-9CA4-D39764B51D3B}"/>
    <cellStyle name="Neutral 8 3" xfId="2057" xr:uid="{EA64685F-5267-40D3-A406-256067DD2EAF}"/>
    <cellStyle name="Neutral 9" xfId="2058" xr:uid="{906864A2-3FC1-42FF-A75B-E8B29A7BFD21}"/>
    <cellStyle name="Normal" xfId="0" builtinId="0"/>
    <cellStyle name="Normal - Style1" xfId="15" xr:uid="{00000000-0005-0000-0000-000018000000}"/>
    <cellStyle name="Normal - Style2" xfId="16" xr:uid="{00000000-0005-0000-0000-000019000000}"/>
    <cellStyle name="Normal - Style3" xfId="17" xr:uid="{00000000-0005-0000-0000-00001A000000}"/>
    <cellStyle name="Normal 10" xfId="18" xr:uid="{00000000-0005-0000-0000-00001B000000}"/>
    <cellStyle name="Normal 11" xfId="19" xr:uid="{00000000-0005-0000-0000-00001C000000}"/>
    <cellStyle name="Normal 11 2" xfId="62" xr:uid="{00000000-0005-0000-0000-00001D000000}"/>
    <cellStyle name="Normal 11 3" xfId="2059" xr:uid="{CD86CA7C-58CD-49E6-9CDA-DDA355AF7823}"/>
    <cellStyle name="Normal 12" xfId="20" xr:uid="{00000000-0005-0000-0000-00001E000000}"/>
    <cellStyle name="Normal 12 2" xfId="2060" xr:uid="{94002AA4-A7B7-41A5-AF40-AEB141D011F0}"/>
    <cellStyle name="Normal 13" xfId="21" xr:uid="{00000000-0005-0000-0000-00001F000000}"/>
    <cellStyle name="Normal 13 2" xfId="2061" xr:uid="{D7AB7C14-1FC3-4E57-A303-B96934152F96}"/>
    <cellStyle name="Normal 14" xfId="22" xr:uid="{00000000-0005-0000-0000-000020000000}"/>
    <cellStyle name="Normal 14 2" xfId="2062" xr:uid="{9918E706-6F6E-4617-8439-C78573506E01}"/>
    <cellStyle name="Normal 15" xfId="23" xr:uid="{00000000-0005-0000-0000-000021000000}"/>
    <cellStyle name="Normal 16" xfId="24" xr:uid="{00000000-0005-0000-0000-000022000000}"/>
    <cellStyle name="Normal 17" xfId="25" xr:uid="{00000000-0005-0000-0000-000023000000}"/>
    <cellStyle name="Normal 18" xfId="46" xr:uid="{00000000-0005-0000-0000-000024000000}"/>
    <cellStyle name="Normal 19" xfId="47" xr:uid="{00000000-0005-0000-0000-000025000000}"/>
    <cellStyle name="Normal 2" xfId="26" xr:uid="{00000000-0005-0000-0000-000026000000}"/>
    <cellStyle name="Normal 2 2" xfId="27" xr:uid="{00000000-0005-0000-0000-000027000000}"/>
    <cellStyle name="Normal 2 2 2" xfId="2063" xr:uid="{51E81123-B9FA-4A4D-A45A-1DBDDDF0D1A6}"/>
    <cellStyle name="Normal 2 3" xfId="69" xr:uid="{00000000-0005-0000-0000-000028000000}"/>
    <cellStyle name="Normal 2 3 2" xfId="2064" xr:uid="{5F4DC8CC-075D-4FC9-8AD2-0A330074AF15}"/>
    <cellStyle name="Normal 2 4" xfId="2065" xr:uid="{91A664FB-3B33-4727-9B31-5300FF6FEEA6}"/>
    <cellStyle name="Normal 2 5" xfId="2066" xr:uid="{373EE804-5121-4C8F-9A78-1FFF849E6B60}"/>
    <cellStyle name="Normal 2 6" xfId="2067" xr:uid="{06DA19CE-3E03-4C79-B081-CE94A4087908}"/>
    <cellStyle name="Normal 2 7" xfId="2068" xr:uid="{5D7AA672-BDA5-4782-9500-F77235E8AA40}"/>
    <cellStyle name="Normal 2 8" xfId="2069" xr:uid="{7B5B5271-5FC1-42A0-840F-922B2F5A4AEC}"/>
    <cellStyle name="Normal 2 9" xfId="2070" xr:uid="{6BE1DFBD-3508-4CCC-BC26-53F5461A1403}"/>
    <cellStyle name="Normal 20" xfId="48" xr:uid="{00000000-0005-0000-0000-000029000000}"/>
    <cellStyle name="Normal 21" xfId="49" xr:uid="{00000000-0005-0000-0000-00002A000000}"/>
    <cellStyle name="Normal 22" xfId="50" xr:uid="{00000000-0005-0000-0000-00002B000000}"/>
    <cellStyle name="Normal 23" xfId="51" xr:uid="{00000000-0005-0000-0000-00002C000000}"/>
    <cellStyle name="Normal 24" xfId="52" xr:uid="{00000000-0005-0000-0000-00002D000000}"/>
    <cellStyle name="Normal 25" xfId="53" xr:uid="{00000000-0005-0000-0000-00002E000000}"/>
    <cellStyle name="Normal 26" xfId="55" xr:uid="{00000000-0005-0000-0000-00002F000000}"/>
    <cellStyle name="Normal 27" xfId="56" xr:uid="{00000000-0005-0000-0000-000030000000}"/>
    <cellStyle name="Normal 28" xfId="57" xr:uid="{00000000-0005-0000-0000-000031000000}"/>
    <cellStyle name="Normal 29" xfId="58" xr:uid="{00000000-0005-0000-0000-000032000000}"/>
    <cellStyle name="Normal 3" xfId="28" xr:uid="{00000000-0005-0000-0000-000033000000}"/>
    <cellStyle name="Normal 3 2" xfId="29" xr:uid="{00000000-0005-0000-0000-000034000000}"/>
    <cellStyle name="Normal 3 2 2" xfId="89" xr:uid="{00000000-0005-0000-0000-000035000000}"/>
    <cellStyle name="Normal 3 2 3" xfId="2071" xr:uid="{DDC3CC40-3600-4A86-B825-95274C1AA9D2}"/>
    <cellStyle name="Normal 3 3" xfId="87" xr:uid="{00000000-0005-0000-0000-000036000000}"/>
    <cellStyle name="Normal 3 3 2" xfId="2072" xr:uid="{2F5C1087-5A1C-4AA3-A948-F2FEB46D1F95}"/>
    <cellStyle name="Normal 3 4" xfId="2073" xr:uid="{5461BAFC-4BC7-4E9F-80D3-E454C84A9097}"/>
    <cellStyle name="Normal 30" xfId="59" xr:uid="{00000000-0005-0000-0000-000037000000}"/>
    <cellStyle name="Normal 31" xfId="60" xr:uid="{00000000-0005-0000-0000-000038000000}"/>
    <cellStyle name="Normal 32" xfId="61" xr:uid="{00000000-0005-0000-0000-000039000000}"/>
    <cellStyle name="Normal 33" xfId="63" xr:uid="{00000000-0005-0000-0000-00003A000000}"/>
    <cellStyle name="Normal 34" xfId="65" xr:uid="{00000000-0005-0000-0000-00003B000000}"/>
    <cellStyle name="Normal 35" xfId="66" xr:uid="{00000000-0005-0000-0000-00003C000000}"/>
    <cellStyle name="Normal 36" xfId="67" xr:uid="{00000000-0005-0000-0000-00003D000000}"/>
    <cellStyle name="Normal 37" xfId="68" xr:uid="{00000000-0005-0000-0000-00003E000000}"/>
    <cellStyle name="Normal 38" xfId="74" xr:uid="{00000000-0005-0000-0000-00003F000000}"/>
    <cellStyle name="Normal 39" xfId="75" xr:uid="{00000000-0005-0000-0000-000040000000}"/>
    <cellStyle name="Normal 4" xfId="30" xr:uid="{00000000-0005-0000-0000-000041000000}"/>
    <cellStyle name="Normal 4 2" xfId="31" xr:uid="{00000000-0005-0000-0000-000042000000}"/>
    <cellStyle name="Normal 4 3" xfId="96" xr:uid="{00000000-0005-0000-0000-000043000000}"/>
    <cellStyle name="Normal 40" xfId="76" xr:uid="{00000000-0005-0000-0000-000044000000}"/>
    <cellStyle name="Normal 41" xfId="79" xr:uid="{00000000-0005-0000-0000-000045000000}"/>
    <cellStyle name="Normal 42" xfId="78" xr:uid="{00000000-0005-0000-0000-000046000000}"/>
    <cellStyle name="Normal 43" xfId="77" xr:uid="{00000000-0005-0000-0000-000047000000}"/>
    <cellStyle name="Normal 44" xfId="80" xr:uid="{00000000-0005-0000-0000-000048000000}"/>
    <cellStyle name="Normal 45" xfId="81" xr:uid="{00000000-0005-0000-0000-000049000000}"/>
    <cellStyle name="Normal 46" xfId="82" xr:uid="{00000000-0005-0000-0000-00004A000000}"/>
    <cellStyle name="Normal 47" xfId="83" xr:uid="{00000000-0005-0000-0000-00004B000000}"/>
    <cellStyle name="Normal 48" xfId="84" xr:uid="{00000000-0005-0000-0000-00004C000000}"/>
    <cellStyle name="Normal 49" xfId="85" xr:uid="{00000000-0005-0000-0000-00004D000000}"/>
    <cellStyle name="Normal 5" xfId="32" xr:uid="{00000000-0005-0000-0000-00004E000000}"/>
    <cellStyle name="Normal 5 2" xfId="33" xr:uid="{00000000-0005-0000-0000-00004F000000}"/>
    <cellStyle name="Normal 5 2 2" xfId="2075" xr:uid="{139FD593-F9C5-4392-9EE6-CD0D081C4F5D}"/>
    <cellStyle name="Normal 5 3" xfId="2076" xr:uid="{D29356C5-6EE1-452C-A821-C61365CEEFE8}"/>
    <cellStyle name="Normal 5 4" xfId="2077" xr:uid="{789CBEC3-E8E5-417A-895C-86A215F68784}"/>
    <cellStyle name="Normal 5 5" xfId="2078" xr:uid="{1AB6EC2A-CC2E-422D-AF78-1C415E7C7013}"/>
    <cellStyle name="Normal 5 6" xfId="2079" xr:uid="{C0B74F1B-A25A-4AEC-8E27-38595FD0EB35}"/>
    <cellStyle name="Normal 5 7" xfId="2074" xr:uid="{E17E2815-2CFF-48E7-97D5-700B7CE3D980}"/>
    <cellStyle name="Normal 50" xfId="88" xr:uid="{00000000-0005-0000-0000-000050000000}"/>
    <cellStyle name="Normal 51" xfId="91" xr:uid="{00000000-0005-0000-0000-000051000000}"/>
    <cellStyle name="Normal 52" xfId="99" xr:uid="{00000000-0005-0000-0000-000052000000}"/>
    <cellStyle name="Normal 53" xfId="100" xr:uid="{3828482F-8E67-46CD-8D41-665C32B0F26A}"/>
    <cellStyle name="Normal 54" xfId="101" xr:uid="{82525F20-4785-4F0B-9BE8-73862AE07EE9}"/>
    <cellStyle name="Normal 55" xfId="102" xr:uid="{31A4A4B1-4177-4A4C-B283-D46083AFACBF}"/>
    <cellStyle name="Normal 56" xfId="2319" xr:uid="{B708A8DD-A19B-4956-9CDD-680E8E0C7AE0}"/>
    <cellStyle name="Normal 57" xfId="2318" xr:uid="{D231153F-7A07-4E07-8F43-584C34BBBDD7}"/>
    <cellStyle name="Normal 58" xfId="2619" xr:uid="{D42EBFBD-EE18-4FD5-AC45-6CBDD0491A19}"/>
    <cellStyle name="Normal 59" xfId="2620" xr:uid="{E3D69DF1-31DE-434D-B2A6-0BEEDB9FE54C}"/>
    <cellStyle name="Normal 6" xfId="34" xr:uid="{00000000-0005-0000-0000-000053000000}"/>
    <cellStyle name="Normal 6 2" xfId="2080" xr:uid="{48BDA585-2332-49F6-887E-7618A01A54F2}"/>
    <cellStyle name="Normal 7" xfId="35" xr:uid="{00000000-0005-0000-0000-000054000000}"/>
    <cellStyle name="Normal 8" xfId="36" xr:uid="{00000000-0005-0000-0000-000055000000}"/>
    <cellStyle name="Normal 9" xfId="37" xr:uid="{00000000-0005-0000-0000-000056000000}"/>
    <cellStyle name="Normal_New Bulletin 2006" xfId="38" xr:uid="{00000000-0005-0000-0000-000057000000}"/>
    <cellStyle name="Note 10" xfId="2081" xr:uid="{9B908838-9824-46A6-BF6C-98D3A81B248A}"/>
    <cellStyle name="Note 10 2" xfId="2082" xr:uid="{F83D2AC9-20A6-463F-95FB-FF69E4ECBE87}"/>
    <cellStyle name="Note 10 2 2" xfId="2083" xr:uid="{AD6C11F3-29A0-4C6D-AC28-28231EEE90D5}"/>
    <cellStyle name="Note 10 3" xfId="2084" xr:uid="{6245ADC9-A857-47F4-A1FC-9FF848240F9C}"/>
    <cellStyle name="Note 10 4" xfId="2085" xr:uid="{67F9CADD-9085-477B-A6C8-A46F5240A901}"/>
    <cellStyle name="Note 10 5" xfId="2086" xr:uid="{3A6BD55F-5F76-4F19-8EF9-DFFF02388C0D}"/>
    <cellStyle name="Note 10 6" xfId="2087" xr:uid="{D2A62761-6441-458C-BD8F-EE55FF24646B}"/>
    <cellStyle name="Note 11" xfId="2088" xr:uid="{C1A3376F-E767-41FC-9A3C-7180F5D097BF}"/>
    <cellStyle name="Note 11 2" xfId="2089" xr:uid="{87530935-3A47-42C9-BE22-2E864720571B}"/>
    <cellStyle name="Note 12" xfId="2090" xr:uid="{948BA958-5496-4FEA-8BAC-E0F70B015380}"/>
    <cellStyle name="Note 12 2" xfId="2091" xr:uid="{DFE56C0E-33D2-43A5-9787-A420F1BA4893}"/>
    <cellStyle name="Note 13" xfId="2092" xr:uid="{B7A56015-318E-480A-8A33-AB384A64A380}"/>
    <cellStyle name="Note 14" xfId="2093" xr:uid="{C6DE957E-7E63-42DE-9347-66061816DB5E}"/>
    <cellStyle name="Note 15" xfId="2094" xr:uid="{6AA191AB-13C5-48B2-B410-85759DC91E64}"/>
    <cellStyle name="Note 16" xfId="2095" xr:uid="{0B587B7B-7940-4D82-B3FD-1FC8CE9CA50A}"/>
    <cellStyle name="Note 17" xfId="2096" xr:uid="{8EF6A2FE-8DCD-416D-B06C-5FE4C2F6AE62}"/>
    <cellStyle name="Note 2" xfId="2097" xr:uid="{8694F2A3-B1D7-4842-856D-123BF2FE7F08}"/>
    <cellStyle name="Note 2 10" xfId="2098" xr:uid="{E031970E-14E2-42B4-994A-72109972E4CD}"/>
    <cellStyle name="Note 2 10 2" xfId="2099" xr:uid="{6BDC179F-8079-4B02-9A58-40BEE97AC50C}"/>
    <cellStyle name="Note 2 11" xfId="2100" xr:uid="{4DBE5C5E-A407-4FB1-8BF5-F2EC9EC8242A}"/>
    <cellStyle name="Note 2 12" xfId="2101" xr:uid="{E465492A-1782-44AF-8967-460D5B30C1C9}"/>
    <cellStyle name="Note 2 13" xfId="2102" xr:uid="{AA8BA024-608A-4136-9B36-E21284FBA278}"/>
    <cellStyle name="Note 2 14" xfId="2103" xr:uid="{9D9DCAB6-99B4-44F5-9CDA-6136C6F82028}"/>
    <cellStyle name="Note 2 15" xfId="2104" xr:uid="{12A70C9F-6953-4FE0-A1A9-6008BAE5D335}"/>
    <cellStyle name="Note 2 16" xfId="2105" xr:uid="{27E6BCB2-989E-4604-ADD6-67FE07C41ECB}"/>
    <cellStyle name="Note 2 2" xfId="2106" xr:uid="{5F4F0FA2-9252-41F8-A8B2-18398B224DA7}"/>
    <cellStyle name="Note 2 2 2" xfId="2107" xr:uid="{ED66519C-679F-4AAF-850A-27FD9ABBDF99}"/>
    <cellStyle name="Note 2 2 3" xfId="2108" xr:uid="{EBF08D44-FA71-4B37-81C7-3C932F531577}"/>
    <cellStyle name="Note 2 2 4" xfId="2109" xr:uid="{6CA38DA4-786B-4769-B2CE-70C5628BC966}"/>
    <cellStyle name="Note 2 2 5" xfId="2110" xr:uid="{A9EB58A2-7156-48F3-B8AF-7F189F6AF8C3}"/>
    <cellStyle name="Note 2 2 6" xfId="2111" xr:uid="{07D9606B-6069-48F1-B15A-B0A84558E211}"/>
    <cellStyle name="Note 2 2 6 2" xfId="2112" xr:uid="{96688F18-C4E2-40F3-94B1-62F0F8FF6395}"/>
    <cellStyle name="Note 2 2 7" xfId="2113" xr:uid="{1022A817-3649-414C-B0A4-46FD93AD44C7}"/>
    <cellStyle name="Note 2 2 8" xfId="2114" xr:uid="{12FD4D46-455A-424D-B969-8CD934F05E77}"/>
    <cellStyle name="Note 2 2 9" xfId="2115" xr:uid="{440EB19A-C906-4EF0-820B-298FB0B9A05B}"/>
    <cellStyle name="Note 2 3" xfId="2116" xr:uid="{8DB4522B-F4D8-4EEC-961F-3E6AAE918F2E}"/>
    <cellStyle name="Note 2 3 2" xfId="2117" xr:uid="{1E9050C7-45C6-4BAB-B6E8-2CC0B9DEFE4F}"/>
    <cellStyle name="Note 2 3 3" xfId="2118" xr:uid="{85826366-4191-4653-A783-3F9F7022F06E}"/>
    <cellStyle name="Note 2 3 4" xfId="2119" xr:uid="{FCDFCD3F-DC03-47FA-AD7F-1CA83FAABAB8}"/>
    <cellStyle name="Note 2 3 5" xfId="2120" xr:uid="{E8841A03-CD41-4FF0-97C8-0A29E4D36BF5}"/>
    <cellStyle name="Note 2 3 6" xfId="2121" xr:uid="{4212B87A-E996-45EF-9E10-F48AB5E99031}"/>
    <cellStyle name="Note 2 3 6 2" xfId="2122" xr:uid="{A12512E6-3EA1-441E-87A6-2A789A492DEE}"/>
    <cellStyle name="Note 2 4" xfId="2123" xr:uid="{EF2C0DC4-0E22-4031-8BB0-B36E124609ED}"/>
    <cellStyle name="Note 2 5" xfId="2124" xr:uid="{DC12FA99-1D55-4CDF-A347-B8769317D1F5}"/>
    <cellStyle name="Note 2 6" xfId="2125" xr:uid="{8D2FD89D-DE08-4506-90F9-49262ABE79F1}"/>
    <cellStyle name="Note 2 6 2" xfId="2126" xr:uid="{A6CA9A24-6221-44CB-81F6-F2094CCF12DA}"/>
    <cellStyle name="Note 2 6 3" xfId="2127" xr:uid="{2A344575-5CDC-4B42-96C6-AE5FE06CBF34}"/>
    <cellStyle name="Note 2 6 4" xfId="2128" xr:uid="{5D7D8F99-64ED-4803-8790-9F5665F70E0E}"/>
    <cellStyle name="Note 2 6 5" xfId="2129" xr:uid="{BC7F4707-A72B-46C4-A00E-572119404159}"/>
    <cellStyle name="Note 2 6 6" xfId="2130" xr:uid="{6CA234D0-43BA-4D95-A0A4-CE69C5EA2D61}"/>
    <cellStyle name="Note 2 7" xfId="2131" xr:uid="{FF068547-0120-45DE-8C79-0572A200F7FE}"/>
    <cellStyle name="Note 2 7 2" xfId="2132" xr:uid="{A03A6BE9-0741-42ED-9E61-464BB924B59D}"/>
    <cellStyle name="Note 2 8" xfId="2133" xr:uid="{29ACBD8A-129F-4B64-B435-D7FF2F80A657}"/>
    <cellStyle name="Note 2 8 2" xfId="2134" xr:uid="{A205A513-4692-4EC8-910E-10B43D9B1DC2}"/>
    <cellStyle name="Note 2 9" xfId="2135" xr:uid="{D3279D38-ABBC-45A3-90F1-96AD591A848F}"/>
    <cellStyle name="Note 3" xfId="2136" xr:uid="{D2123035-CBC4-43D1-9056-12C9AD1F7CE3}"/>
    <cellStyle name="Note 3 10" xfId="2137" xr:uid="{BF204FF0-8F56-4E13-B06C-8ABBB52D7A15}"/>
    <cellStyle name="Note 3 2" xfId="2138" xr:uid="{D66CD53C-C9C7-489B-86AC-9EFD86039E5B}"/>
    <cellStyle name="Note 3 2 2" xfId="2139" xr:uid="{D6FE110D-06F5-45C7-9488-DA19C6CA815C}"/>
    <cellStyle name="Note 3 2 2 2" xfId="2140" xr:uid="{ABDB6DD8-2ED4-41C7-B734-FC0A140BBBB9}"/>
    <cellStyle name="Note 3 2 3" xfId="2141" xr:uid="{85621076-65B3-4E23-BFA6-D4AD3B350D2F}"/>
    <cellStyle name="Note 3 2 4" xfId="2142" xr:uid="{24AD6CBF-AC24-45EA-8777-786547624CC6}"/>
    <cellStyle name="Note 3 2 5" xfId="2143" xr:uid="{BE8585CB-EE5F-4818-9E15-3265D6974B24}"/>
    <cellStyle name="Note 3 2 6" xfId="2144" xr:uid="{430658E4-51BF-4703-94E4-53AC3A172DDA}"/>
    <cellStyle name="Note 3 3" xfId="2145" xr:uid="{3D2A8B8D-745C-45CB-8B79-F456D5911190}"/>
    <cellStyle name="Note 3 3 2" xfId="2146" xr:uid="{C5ED0CC2-A8BD-48EB-A745-4D83A57D4DEA}"/>
    <cellStyle name="Note 3 3 2 2" xfId="2147" xr:uid="{B141BD10-540D-4F8D-A78F-2652B66520D5}"/>
    <cellStyle name="Note 3 3 3" xfId="2148" xr:uid="{5B72085E-DAB2-47AC-928B-A5CC41B45826}"/>
    <cellStyle name="Note 3 3 4" xfId="2149" xr:uid="{54A6357E-F630-4F48-9D00-5EF5EC7FABC0}"/>
    <cellStyle name="Note 3 3 5" xfId="2150" xr:uid="{29420E24-0D40-4BA4-9E7A-1AB501FDEFE9}"/>
    <cellStyle name="Note 3 3 6" xfId="2151" xr:uid="{34262581-0B0A-4DC2-AC6D-7BC3BDF2FC18}"/>
    <cellStyle name="Note 3 4" xfId="2152" xr:uid="{16173371-07A0-4287-8044-D90530F20EB7}"/>
    <cellStyle name="Note 3 4 2" xfId="2153" xr:uid="{88D387EF-5F2A-43D6-817F-916B7FABDF88}"/>
    <cellStyle name="Note 3 4 3" xfId="2154" xr:uid="{BAD562A1-1311-4C73-9298-F75BEA05471D}"/>
    <cellStyle name="Note 3 4 4" xfId="2155" xr:uid="{15955BE3-8A9F-4697-AE02-5296B12D2556}"/>
    <cellStyle name="Note 3 4 5" xfId="2156" xr:uid="{615F41B8-5336-42E3-87AF-2151203B45AE}"/>
    <cellStyle name="Note 3 4 6" xfId="2157" xr:uid="{E488E4C7-EC4D-4111-B65E-11ECF720A6E0}"/>
    <cellStyle name="Note 3 5" xfId="2158" xr:uid="{68FA7BB0-0824-49DF-B4AE-C1D8FD7DD33C}"/>
    <cellStyle name="Note 3 5 2" xfId="2159" xr:uid="{8330F597-742F-455F-8C21-C9D65BBBB102}"/>
    <cellStyle name="Note 3 6" xfId="2160" xr:uid="{905CCCBB-1383-42D7-94B4-0839FC4A5222}"/>
    <cellStyle name="Note 3 6 2" xfId="2161" xr:uid="{46D0BAFB-650B-454A-8892-8C0E95F31CC7}"/>
    <cellStyle name="Note 3 7" xfId="2162" xr:uid="{76166DEA-AE33-4374-ADA7-D6D5ABA8DAAB}"/>
    <cellStyle name="Note 3 8" xfId="2163" xr:uid="{4EB0E166-64E8-4EEF-9C97-2325096A466A}"/>
    <cellStyle name="Note 3 8 2" xfId="2164" xr:uid="{76EA4FC3-7FDF-4422-90F6-7AE163AC6454}"/>
    <cellStyle name="Note 3 9" xfId="2165" xr:uid="{F2033419-ADF5-46FB-B08A-6A2BF06D956C}"/>
    <cellStyle name="Note 4" xfId="2166" xr:uid="{9544CCF5-F6A5-44EF-8E2A-DCDD69BD36E2}"/>
    <cellStyle name="Note 4 10" xfId="2167" xr:uid="{6ACB70AB-B20E-42E1-9243-5B48F9BD33B2}"/>
    <cellStyle name="Note 4 2" xfId="2168" xr:uid="{62718BCE-ABD1-4140-894A-667ED1D1B339}"/>
    <cellStyle name="Note 4 2 2" xfId="2169" xr:uid="{022DD826-184A-4A08-9A79-2D4D94B3872C}"/>
    <cellStyle name="Note 4 2 2 2" xfId="2170" xr:uid="{83E2B744-952D-4DD6-BDD5-6CFC542E92AC}"/>
    <cellStyle name="Note 4 2 3" xfId="2171" xr:uid="{4B6866DD-6E40-457F-9071-FB525D3B5FB3}"/>
    <cellStyle name="Note 4 2 4" xfId="2172" xr:uid="{04EC5F17-29C7-49CB-8A48-2955710B51A8}"/>
    <cellStyle name="Note 4 2 5" xfId="2173" xr:uid="{0EA1E164-D03A-4AE1-9F45-4FAB9EAB12FA}"/>
    <cellStyle name="Note 4 2 6" xfId="2174" xr:uid="{C7936A1F-9204-4281-BEAD-A601D56B768B}"/>
    <cellStyle name="Note 4 3" xfId="2175" xr:uid="{470FE8E7-2133-4F68-9EF1-2D88D456F695}"/>
    <cellStyle name="Note 4 3 2" xfId="2176" xr:uid="{3835723F-499B-41C0-B8DC-0F5718541941}"/>
    <cellStyle name="Note 4 3 2 2" xfId="2177" xr:uid="{447FC37C-F3A4-4C19-988B-73A714C350AA}"/>
    <cellStyle name="Note 4 3 3" xfId="2178" xr:uid="{CCA0926E-4EAD-4199-B37E-716A774314B5}"/>
    <cellStyle name="Note 4 3 4" xfId="2179" xr:uid="{3C75D07F-0B90-4509-8F8F-122DCABE02F7}"/>
    <cellStyle name="Note 4 3 5" xfId="2180" xr:uid="{A75B6505-6CB8-4647-896E-A1B7052E509C}"/>
    <cellStyle name="Note 4 3 6" xfId="2181" xr:uid="{B799406E-B778-4C0F-967C-81D3DBF26BE9}"/>
    <cellStyle name="Note 4 4" xfId="2182" xr:uid="{B8DA3427-A837-46B2-8004-5D41C3332FE9}"/>
    <cellStyle name="Note 4 4 2" xfId="2183" xr:uid="{86BE1CBD-DB88-4A88-889F-845440562F97}"/>
    <cellStyle name="Note 4 4 3" xfId="2184" xr:uid="{72E6AF8C-6A46-40F4-B3F8-51F777A13CF5}"/>
    <cellStyle name="Note 4 4 4" xfId="2185" xr:uid="{8C98552A-BE2C-45AE-A7FA-F5CC3AB8918A}"/>
    <cellStyle name="Note 4 4 5" xfId="2186" xr:uid="{EBFBBF3A-ED2B-4764-B426-3F3E253EDAEF}"/>
    <cellStyle name="Note 4 4 6" xfId="2187" xr:uid="{625E6CF5-E0B9-4B2E-83A7-7BC017437828}"/>
    <cellStyle name="Note 4 5" xfId="2188" xr:uid="{1343242A-0394-4B9C-B30D-A5605428AA8D}"/>
    <cellStyle name="Note 4 5 2" xfId="2189" xr:uid="{189308D5-AE40-4945-A845-306F43E78847}"/>
    <cellStyle name="Note 4 6" xfId="2190" xr:uid="{28853DC2-1E2C-4DA0-8718-EE3266DF7D90}"/>
    <cellStyle name="Note 4 6 2" xfId="2191" xr:uid="{23AC8826-54C2-4CA1-826D-64D1DE432D75}"/>
    <cellStyle name="Note 4 7" xfId="2192" xr:uid="{0B921EE2-837F-4311-817A-DEBF28C57C7E}"/>
    <cellStyle name="Note 4 8" xfId="2193" xr:uid="{79E51019-F775-47DF-BB61-46A67C441616}"/>
    <cellStyle name="Note 4 8 2" xfId="2194" xr:uid="{5D8364BE-3D03-4096-834E-5F97EFD29929}"/>
    <cellStyle name="Note 4 9" xfId="2195" xr:uid="{11B423BB-1824-4301-9FE2-2E25E707C6DA}"/>
    <cellStyle name="Note 5" xfId="2196" xr:uid="{9848B1E0-FC35-402F-8B9F-50DAC32B4925}"/>
    <cellStyle name="Note 5 2" xfId="2197" xr:uid="{3D2DD589-8501-4EF5-8E7B-57E4376903F5}"/>
    <cellStyle name="Note 5 2 2" xfId="2198" xr:uid="{81D6968D-DAE6-4530-9236-A59C03570790}"/>
    <cellStyle name="Note 5 2 2 2" xfId="2199" xr:uid="{60A10FBF-7A5D-4495-86DF-C208BE7DEE14}"/>
    <cellStyle name="Note 5 2 3" xfId="2200" xr:uid="{3161F629-16FA-4290-8B25-3936C47F7337}"/>
    <cellStyle name="Note 5 2 4" xfId="2201" xr:uid="{6CCCE2FE-33CE-4F7E-AAFA-B68510714132}"/>
    <cellStyle name="Note 5 2 5" xfId="2202" xr:uid="{8B7AF9DE-F57A-434B-9030-0681FF307071}"/>
    <cellStyle name="Note 5 2 6" xfId="2203" xr:uid="{02857559-7307-46A0-89F5-02A1230CCACB}"/>
    <cellStyle name="Note 5 3" xfId="2204" xr:uid="{451B2D67-5DD0-4EFF-A1F4-591441720293}"/>
    <cellStyle name="Note 5 3 2" xfId="2205" xr:uid="{F5713852-319E-4354-879C-CF07E1EA69F8}"/>
    <cellStyle name="Note 5 3 2 2" xfId="2206" xr:uid="{B46839AD-3053-455E-A8AB-DA28CB4F92A1}"/>
    <cellStyle name="Note 5 3 3" xfId="2207" xr:uid="{1AD84FD5-062E-48DB-A59A-B68F87F4CF46}"/>
    <cellStyle name="Note 5 3 4" xfId="2208" xr:uid="{671A9F8A-FF1B-4C48-BBB9-2066FA306037}"/>
    <cellStyle name="Note 5 3 5" xfId="2209" xr:uid="{2CF00F84-7214-4359-BF51-6D58ED10E06C}"/>
    <cellStyle name="Note 5 3 6" xfId="2210" xr:uid="{349AC88B-8632-425C-B786-054CDF023E20}"/>
    <cellStyle name="Note 5 4" xfId="2211" xr:uid="{FD27E108-F33A-47C5-9855-19B34B2009C4}"/>
    <cellStyle name="Note 5 5" xfId="2212" xr:uid="{51B261E4-5444-475B-9920-B847FC98CB96}"/>
    <cellStyle name="Note 5 6" xfId="2213" xr:uid="{D60D3CF3-7B2A-4889-873B-3651E5592CD6}"/>
    <cellStyle name="Note 5 7" xfId="2214" xr:uid="{B2318F7E-0CAF-43E2-B209-7AFAAD83CEC1}"/>
    <cellStyle name="Note 5 7 2" xfId="2215" xr:uid="{A1AE432E-014C-42EC-ADFA-0254112AF9F9}"/>
    <cellStyle name="Note 5 8" xfId="2216" xr:uid="{3722352B-AFCE-4733-93DE-DE5180EC4C43}"/>
    <cellStyle name="Note 5 9" xfId="2217" xr:uid="{89AD9CF2-886E-4E4C-8E91-F0DDC2E1F3EC}"/>
    <cellStyle name="Note 6" xfId="2218" xr:uid="{E4341970-A1B5-4F3F-A444-824FA7396896}"/>
    <cellStyle name="Note 6 2" xfId="2219" xr:uid="{87DAE745-AF5F-4D04-BE09-4381DE7ACA00}"/>
    <cellStyle name="Note 6 2 2" xfId="2220" xr:uid="{2E645FB5-378C-45F8-9CC1-0FE1F229DDCE}"/>
    <cellStyle name="Note 6 2 2 2" xfId="2221" xr:uid="{9BB360AA-35ED-47EB-ABC0-E47699B830B7}"/>
    <cellStyle name="Note 6 2 3" xfId="2222" xr:uid="{E3A6857E-421E-44C6-8AF3-14D494ACB82D}"/>
    <cellStyle name="Note 6 2 4" xfId="2223" xr:uid="{BD26EC91-1174-4D98-B069-4468695221A1}"/>
    <cellStyle name="Note 6 2 5" xfId="2224" xr:uid="{627A1522-D44D-4DFD-A24B-DC2EBD36D7AB}"/>
    <cellStyle name="Note 6 2 6" xfId="2225" xr:uid="{30D74370-5C9B-46A0-B265-02FF8D2CB62C}"/>
    <cellStyle name="Note 6 3" xfId="2226" xr:uid="{8E48C461-F83C-416F-B6BA-40E979C0A212}"/>
    <cellStyle name="Note 6 3 2" xfId="2227" xr:uid="{95AAF0B8-535A-47FE-91C8-EC2CB94F3C33}"/>
    <cellStyle name="Note 6 3 2 2" xfId="2228" xr:uid="{720F4A0A-6432-439B-A693-FD8E0A126480}"/>
    <cellStyle name="Note 6 3 3" xfId="2229" xr:uid="{E5B4936D-6CC0-4EAE-8CFD-032302C5D1CE}"/>
    <cellStyle name="Note 6 3 4" xfId="2230" xr:uid="{DEEF7830-8B22-45E6-96A9-5AD00918707C}"/>
    <cellStyle name="Note 6 3 5" xfId="2231" xr:uid="{CB875D4F-0202-4749-85C7-699952A38BC3}"/>
    <cellStyle name="Note 6 3 6" xfId="2232" xr:uid="{6BD842B6-10D7-42EF-A019-8C2354347A6C}"/>
    <cellStyle name="Note 6 4" xfId="2233" xr:uid="{A9B380F7-2507-42D7-B204-C0EC3B9CE196}"/>
    <cellStyle name="Note 6 5" xfId="2234" xr:uid="{1DA4D6C3-AD16-465F-9495-65676C584EC5}"/>
    <cellStyle name="Note 6 6" xfId="2235" xr:uid="{61CC9CEF-2ABD-4B42-A7D2-50D2E31BC574}"/>
    <cellStyle name="Note 6 6 2" xfId="2236" xr:uid="{BE2CBCAC-86F0-4525-9701-BCE7619313C8}"/>
    <cellStyle name="Note 6 7" xfId="2237" xr:uid="{9DD77060-1E18-4F52-B2B3-63D7AB126F6B}"/>
    <cellStyle name="Note 6 8" xfId="2238" xr:uid="{E26C5118-3F37-4275-BEBF-56B30E04C36D}"/>
    <cellStyle name="Note 6 9" xfId="2239" xr:uid="{CB38098D-5F60-4619-A473-ADFC34EDE5BF}"/>
    <cellStyle name="Note 7" xfId="2240" xr:uid="{57AC371D-5EDA-4988-8A43-C9CEDC63154D}"/>
    <cellStyle name="Note 7 2" xfId="2241" xr:uid="{B95E1352-E20D-426C-A552-8DC64A782EBA}"/>
    <cellStyle name="Note 7 2 2" xfId="2242" xr:uid="{697F81DD-AD62-4B0E-9FB3-5BD60D92CF9D}"/>
    <cellStyle name="Note 7 2 2 2" xfId="2243" xr:uid="{755C1A51-FB30-4B90-9936-4739E7848F31}"/>
    <cellStyle name="Note 7 2 3" xfId="2244" xr:uid="{86E9A2E0-8BDD-48BE-95D3-417364902B1C}"/>
    <cellStyle name="Note 7 2 4" xfId="2245" xr:uid="{92183E55-2950-4219-94C8-DF5FADE469B4}"/>
    <cellStyle name="Note 7 2 5" xfId="2246" xr:uid="{455A8334-FB1D-4145-BD88-FD53EDF904BD}"/>
    <cellStyle name="Note 7 2 6" xfId="2247" xr:uid="{7D962D77-32CA-43F7-A15F-0AFD0DCD4595}"/>
    <cellStyle name="Note 7 3" xfId="2248" xr:uid="{3F5A0B20-94C0-44CA-8980-E14CDC0962FF}"/>
    <cellStyle name="Note 7 3 2" xfId="2249" xr:uid="{B8788F35-31B9-456E-AF9F-C5A94456F3A2}"/>
    <cellStyle name="Note 7 3 2 2" xfId="2250" xr:uid="{1F0DDA41-313F-4F7E-9201-C7F4A53C635A}"/>
    <cellStyle name="Note 7 3 3" xfId="2251" xr:uid="{AD9D824D-CBBE-453E-B911-1E7D4A642979}"/>
    <cellStyle name="Note 7 3 4" xfId="2252" xr:uid="{3FC473F8-1431-4121-A31F-9C25D97FB256}"/>
    <cellStyle name="Note 7 3 5" xfId="2253" xr:uid="{3E289D1F-F8A4-4D44-82AC-1B030C8CACCA}"/>
    <cellStyle name="Note 7 3 6" xfId="2254" xr:uid="{A803D6A0-ED2B-4063-85F8-20105853AF75}"/>
    <cellStyle name="Note 7 4" xfId="2255" xr:uid="{BC466273-759D-438C-A158-90B9C5EC7DF5}"/>
    <cellStyle name="Note 7 5" xfId="2256" xr:uid="{585F6182-CEFA-4E11-AEB5-5E17120117DF}"/>
    <cellStyle name="Note 7 6" xfId="2257" xr:uid="{4D890F27-9306-4D33-95FE-5FCBDDB3ED40}"/>
    <cellStyle name="Note 7 6 2" xfId="2258" xr:uid="{8FDA4230-028D-4B20-8675-1FA72A8CA1E3}"/>
    <cellStyle name="Note 7 7" xfId="2259" xr:uid="{AE2685AE-0BDB-4E66-BFCF-90E42F682BCE}"/>
    <cellStyle name="Note 7 8" xfId="2260" xr:uid="{5DCD4341-314E-4035-806F-96A790F3CDAA}"/>
    <cellStyle name="Note 7 9" xfId="2261" xr:uid="{B25C30CC-7FE9-4B8D-9493-62512C4778C8}"/>
    <cellStyle name="Note 8" xfId="2262" xr:uid="{8D93EE9F-0435-4CE8-908E-FE89AC55E533}"/>
    <cellStyle name="Note 8 2" xfId="2263" xr:uid="{B1317900-9301-4CC3-9D93-56A8F2B9662C}"/>
    <cellStyle name="Note 8 2 2" xfId="2264" xr:uid="{154C338C-153E-4F9B-884F-5A4E4B8233A8}"/>
    <cellStyle name="Note 8 2 2 2" xfId="2265" xr:uid="{25BF0F2B-5249-48E1-9825-22FF4F02D9BE}"/>
    <cellStyle name="Note 8 2 3" xfId="2266" xr:uid="{8AE74706-3BF5-4786-89EC-42B08AA89F32}"/>
    <cellStyle name="Note 8 2 4" xfId="2267" xr:uid="{065D213B-84C3-46F3-9E78-475DD626120D}"/>
    <cellStyle name="Note 8 2 5" xfId="2268" xr:uid="{DCFEC8B0-398C-4B38-BB2F-9B38EDD5ADBE}"/>
    <cellStyle name="Note 8 2 6" xfId="2269" xr:uid="{278F72C4-7A5F-4497-A7FF-257B958DB8DE}"/>
    <cellStyle name="Note 8 3" xfId="2270" xr:uid="{7F53C41C-40BA-4FC9-8004-C0E6EE60F782}"/>
    <cellStyle name="Note 8 3 2" xfId="2271" xr:uid="{5FEB9653-87FD-4963-97FE-65D6E5EB1CE6}"/>
    <cellStyle name="Note 8 3 2 2" xfId="2272" xr:uid="{71147784-840C-419F-8B31-917E555B10A6}"/>
    <cellStyle name="Note 8 3 3" xfId="2273" xr:uid="{24AB6A4E-6C0E-4D68-9AC6-032246FDBFBD}"/>
    <cellStyle name="Note 8 3 4" xfId="2274" xr:uid="{973B9B72-8D71-44C0-B14F-C143AF5770D2}"/>
    <cellStyle name="Note 8 3 5" xfId="2275" xr:uid="{198297D7-0B2A-4B89-84DB-5D2E97423587}"/>
    <cellStyle name="Note 8 3 6" xfId="2276" xr:uid="{94403897-EEC9-4F79-89B4-DB4C02221F2E}"/>
    <cellStyle name="Note 8 4" xfId="2277" xr:uid="{B2DF3500-AF9A-47E6-9CF3-5356DAC0CB44}"/>
    <cellStyle name="Note 8 5" xfId="2278" xr:uid="{B1CA7A88-6B8C-4DFD-811B-EF71B71DBC6F}"/>
    <cellStyle name="Note 8 6" xfId="2279" xr:uid="{97286FFB-7F68-4EC7-8EA5-F49E95581EC8}"/>
    <cellStyle name="Note 8 6 2" xfId="2280" xr:uid="{8588E38C-B322-46CF-B105-377C5B610FBC}"/>
    <cellStyle name="Note 8 7" xfId="2281" xr:uid="{4D6A73C8-B862-42C2-9AC1-EE26E33CC30A}"/>
    <cellStyle name="Note 8 8" xfId="2282" xr:uid="{6B74EDFD-3382-4A4D-82B8-0CC046423122}"/>
    <cellStyle name="Note 9" xfId="2283" xr:uid="{F250D6B0-90CB-4807-97A7-56FA199EAC3D}"/>
    <cellStyle name="Note 9 2" xfId="2284" xr:uid="{BBF4307C-175A-47F4-8D2A-5A3A06EFAD89}"/>
    <cellStyle name="Note 9 2 2" xfId="2285" xr:uid="{CE7A5764-6569-4AB3-92F3-AAFD3C2CD0F8}"/>
    <cellStyle name="Note 9 3" xfId="2286" xr:uid="{3BCA67C8-CAFE-4D94-8F54-12B1A9F3195C}"/>
    <cellStyle name="Note 9 4" xfId="2287" xr:uid="{EBE9ADBA-FF21-4B1B-922E-946BB8F144E4}"/>
    <cellStyle name="Note 9 5" xfId="2288" xr:uid="{ACDA1D97-53B2-4048-A8CB-7E35D8C74713}"/>
    <cellStyle name="Note 9 6" xfId="2289" xr:uid="{4A9B75B1-993C-467D-B191-F189CB5F5028}"/>
    <cellStyle name="Output 10" xfId="2290" xr:uid="{2A8EA56A-01BA-4B72-BAA8-7B94190DBC86}"/>
    <cellStyle name="Output 11" xfId="2291" xr:uid="{64B325D9-70BD-4B66-9ABF-AD3F2A474A2B}"/>
    <cellStyle name="Output 12" xfId="2292" xr:uid="{64E2720C-A652-4EB1-8981-51AD8B66B4C2}"/>
    <cellStyle name="Output 13" xfId="2293" xr:uid="{358CA32C-9562-4911-8D7B-5D9FD7576348}"/>
    <cellStyle name="Output 14" xfId="2294" xr:uid="{887BDADE-88B7-422F-ADEA-3A6E5A4EBE88}"/>
    <cellStyle name="Output 15" xfId="2295" xr:uid="{A03886B6-01C4-4E40-AC0E-C15E4904FDEF}"/>
    <cellStyle name="Output 2" xfId="2296" xr:uid="{D1E8715D-2C8E-45EA-A3BD-DB23A6C27399}"/>
    <cellStyle name="Output 2 2" xfId="2297" xr:uid="{2F67C541-4B30-49FD-9DE7-8CD6E42837A2}"/>
    <cellStyle name="Output 2 3" xfId="2298" xr:uid="{1AE824C4-13B3-47D6-B137-1AA84C482EF8}"/>
    <cellStyle name="Output 3" xfId="2299" xr:uid="{9B0B830C-C455-493F-BACB-E241CF1D1690}"/>
    <cellStyle name="Output 3 2" xfId="2300" xr:uid="{4992A151-B5BF-46A9-B4BD-3564BB2B0AE1}"/>
    <cellStyle name="Output 3 3" xfId="2301" xr:uid="{F1FEA0F3-FD5A-47B1-8DE5-A0DCA6EB8CC9}"/>
    <cellStyle name="Output 4" xfId="2302" xr:uid="{50E9D317-D42B-411C-BA52-3CF12698D2BE}"/>
    <cellStyle name="Output 4 2" xfId="2303" xr:uid="{1B07354F-4481-44B5-B08C-841C935F449A}"/>
    <cellStyle name="Output 4 3" xfId="2304" xr:uid="{A8DFDE03-F211-4F24-A7F8-E420277E5EE4}"/>
    <cellStyle name="Output 5" xfId="2305" xr:uid="{FD8A30AD-A94E-4709-8DBF-E8B39C0D87BE}"/>
    <cellStyle name="Output 5 2" xfId="2306" xr:uid="{C64FB1EF-65A1-47E3-901E-9EC31746FDCB}"/>
    <cellStyle name="Output 5 3" xfId="2307" xr:uid="{5348307B-D046-4F98-AC74-0AB7B85CFE52}"/>
    <cellStyle name="Output 6" xfId="2308" xr:uid="{74640D2F-45A0-4245-BB6B-0DEF40EB06C4}"/>
    <cellStyle name="Output 6 2" xfId="2309" xr:uid="{38122C84-E000-4FA7-BDAE-574E7E6C2F71}"/>
    <cellStyle name="Output 6 3" xfId="2310" xr:uid="{DD9D6E3E-B0D6-4732-8B3B-2F4AF127BD9F}"/>
    <cellStyle name="Output 7" xfId="2311" xr:uid="{0B730A6A-7B97-4669-A9C3-C9827811FB59}"/>
    <cellStyle name="Output 7 2" xfId="2312" xr:uid="{83B8AF96-8A80-471F-9F50-31F201CB285D}"/>
    <cellStyle name="Output 7 3" xfId="2313" xr:uid="{D20AC1E8-1C1B-44E8-B140-C816FC749D14}"/>
    <cellStyle name="Output 8" xfId="2314" xr:uid="{4DD31879-DED8-4EE7-A99D-EDA2E5B4E155}"/>
    <cellStyle name="Output 8 2" xfId="2315" xr:uid="{A703E4F0-127E-4E17-8BC9-AAAFE2E04636}"/>
    <cellStyle name="Output 8 3" xfId="2316" xr:uid="{940ED3DE-01C3-48D2-9811-F70FE62F6BFF}"/>
    <cellStyle name="Output 9" xfId="2317" xr:uid="{B40269B2-4522-47C6-88B2-3659A7782688}"/>
    <cellStyle name="Percen - Style1" xfId="39" xr:uid="{00000000-0005-0000-0000-000058000000}"/>
    <cellStyle name="Percent" xfId="40" builtinId="5"/>
    <cellStyle name="Percent 2" xfId="41" xr:uid="{00000000-0005-0000-0000-00005A000000}"/>
    <cellStyle name="Percent 2 2" xfId="71" xr:uid="{00000000-0005-0000-0000-00005B000000}"/>
    <cellStyle name="Percent 3" xfId="42" xr:uid="{00000000-0005-0000-0000-00005C000000}"/>
    <cellStyle name="Percent 4" xfId="54" xr:uid="{00000000-0005-0000-0000-00005D000000}"/>
    <cellStyle name="Percent 5" xfId="72" xr:uid="{00000000-0005-0000-0000-00005E000000}"/>
    <cellStyle name="Percent 6" xfId="92" xr:uid="{00000000-0005-0000-0000-00005F000000}"/>
    <cellStyle name="Percent 6 2" xfId="93" xr:uid="{00000000-0005-0000-0000-000060000000}"/>
    <cellStyle name="Publication" xfId="43" xr:uid="{00000000-0005-0000-0000-000061000000}"/>
    <cellStyle name="Style1" xfId="44" xr:uid="{00000000-0005-0000-0000-000062000000}"/>
    <cellStyle name="Title 10" xfId="2320" xr:uid="{7B4475B4-73C8-447A-A6D0-E6298C6604A4}"/>
    <cellStyle name="Title 11" xfId="2321" xr:uid="{23C17CFC-EB61-4E27-B599-B917210B2069}"/>
    <cellStyle name="Title 12" xfId="2322" xr:uid="{E0AF0A54-3F35-4A2B-ADF6-A77BD34C916E}"/>
    <cellStyle name="Title 13" xfId="2323" xr:uid="{27CC457E-0E03-4183-BDEB-5D6A98947BC1}"/>
    <cellStyle name="Title 14" xfId="2324" xr:uid="{FB53573E-9DF5-4463-8906-20A2B705D6AE}"/>
    <cellStyle name="Title 15" xfId="2325" xr:uid="{44A9F8C0-AAF0-4CD8-B5F9-7B3241739262}"/>
    <cellStyle name="Title 2" xfId="2326" xr:uid="{61D93DAE-04A6-4EA1-ABE8-D65C85743E2E}"/>
    <cellStyle name="Title 2 2" xfId="2327" xr:uid="{BC22277A-5DD9-48CB-932C-75B91968A2AA}"/>
    <cellStyle name="Title 2 3" xfId="2328" xr:uid="{D38A3FE3-860E-4669-B66E-E92671FC32F6}"/>
    <cellStyle name="Title 3" xfId="2329" xr:uid="{3A2DA96A-AF31-407F-A9C9-5DCC66377886}"/>
    <cellStyle name="Title 3 2" xfId="2330" xr:uid="{1D7B9AFA-4EEA-45E6-9F8F-3F919B029A89}"/>
    <cellStyle name="Title 3 3" xfId="2331" xr:uid="{E57B6F9A-6C76-41FA-8CD4-086E99035A53}"/>
    <cellStyle name="Title 4" xfId="2332" xr:uid="{A911B74F-4827-4A6E-B185-762DD43110A5}"/>
    <cellStyle name="Title 4 2" xfId="2333" xr:uid="{226FC220-E461-43BA-83AD-640AE241E085}"/>
    <cellStyle name="Title 4 3" xfId="2334" xr:uid="{E20D6E09-5397-429B-81A4-E3DAE8B4441A}"/>
    <cellStyle name="Title 5" xfId="2335" xr:uid="{EDC7915C-EFAE-47F2-8E29-D14724D765CF}"/>
    <cellStyle name="Title 5 2" xfId="2336" xr:uid="{024910A1-1FDE-4A0B-A91A-5E2505234349}"/>
    <cellStyle name="Title 5 3" xfId="2337" xr:uid="{5A6F4FF0-C4AC-4D68-96EA-5C4E465CFDA8}"/>
    <cellStyle name="Title 6" xfId="2338" xr:uid="{8AB95F91-19A1-45A1-A2A2-8456C7753A19}"/>
    <cellStyle name="Title 6 2" xfId="2339" xr:uid="{BE854BE6-BE1C-4954-A530-8B59EC0E86E7}"/>
    <cellStyle name="Title 6 3" xfId="2340" xr:uid="{6399A449-F66A-4F86-8A2E-E08AFA130355}"/>
    <cellStyle name="Title 7" xfId="2341" xr:uid="{CE08404A-3D41-41F8-8023-4170C2282302}"/>
    <cellStyle name="Title 7 2" xfId="2342" xr:uid="{3BD238A5-648D-4678-BC55-8FCA83BD1692}"/>
    <cellStyle name="Title 7 3" xfId="2343" xr:uid="{354D8E6F-63E8-42E6-ADC9-D36E0827EE03}"/>
    <cellStyle name="Title 8" xfId="2344" xr:uid="{88A23A37-77F4-46CB-A11E-156E6EACE89F}"/>
    <cellStyle name="Title 8 2" xfId="2345" xr:uid="{351DFAC0-0B3E-46E3-9B99-B88786CDC4F8}"/>
    <cellStyle name="Title 8 3" xfId="2346" xr:uid="{78661D45-1B1E-4ADA-BC22-24CBEEFFD074}"/>
    <cellStyle name="Title 9" xfId="2347" xr:uid="{593B2A94-AFB8-427B-A1F8-603C8967C9E7}"/>
    <cellStyle name="Total 10" xfId="2348" xr:uid="{718A198D-8470-4CD8-A823-E989875C121A}"/>
    <cellStyle name="Total 11" xfId="2349" xr:uid="{0E3080C2-36CA-4B62-8470-A3625116B471}"/>
    <cellStyle name="Total 11 2" xfId="2350" xr:uid="{31BB482E-F8A8-460E-A91E-62698637D92F}"/>
    <cellStyle name="Total 12" xfId="2351" xr:uid="{01AF9829-56E8-49DA-8D2A-D356E71B0297}"/>
    <cellStyle name="Total 12 2" xfId="2352" xr:uid="{ED953DCF-76EB-4405-BCEB-F9170E1ACFB3}"/>
    <cellStyle name="Total 13" xfId="2353" xr:uid="{E23C2E69-DFDB-4745-89B3-231D66F84149}"/>
    <cellStyle name="Total 13 2" xfId="2354" xr:uid="{6F54AF83-96E3-490E-A0C4-467232BFC721}"/>
    <cellStyle name="Total 14" xfId="2355" xr:uid="{C600B3F1-D28D-44E2-8A1F-EB8604448371}"/>
    <cellStyle name="Total 15" xfId="2356" xr:uid="{BF07D2E9-E7A4-4B19-A0C8-E511F91A3375}"/>
    <cellStyle name="Total 16" xfId="2357" xr:uid="{D552F8B8-4CA3-4893-B773-B8343DFF30BC}"/>
    <cellStyle name="Total 17" xfId="2358" xr:uid="{89D05175-72B1-4E70-97B0-6CE8C45B2F4B}"/>
    <cellStyle name="Total 18" xfId="2359" xr:uid="{0F93398C-85B6-4A0B-8C57-BDF1E9199916}"/>
    <cellStyle name="Total 19" xfId="2360" xr:uid="{813BF7BF-D55A-40E9-A84A-BCCB3853DD78}"/>
    <cellStyle name="Total 2" xfId="2361" xr:uid="{096ACECF-93F8-440F-B8A0-50E277A24875}"/>
    <cellStyle name="Total 2 10" xfId="2362" xr:uid="{38F02D57-B0ED-4923-AB9D-6F52D349D158}"/>
    <cellStyle name="Total 2 10 2" xfId="2363" xr:uid="{DB6BF437-35A3-40CD-BD01-85A793116FD9}"/>
    <cellStyle name="Total 2 10 2 2" xfId="2364" xr:uid="{31A1A00E-FD37-401E-8237-0D67DE61395D}"/>
    <cellStyle name="Total 2 10 3" xfId="2365" xr:uid="{2E7C50C8-6741-42D9-81A7-3A72578A7562}"/>
    <cellStyle name="Total 2 10 4" xfId="2366" xr:uid="{AF62A9D8-B8C8-4904-A14E-648DC28A0194}"/>
    <cellStyle name="Total 2 10 5" xfId="2367" xr:uid="{E636305A-F1D5-4188-9BD4-CAE4AF81C8B9}"/>
    <cellStyle name="Total 2 10 6" xfId="2368" xr:uid="{1FDB1F8C-B5A4-4A62-B7B3-23A34F30AE38}"/>
    <cellStyle name="Total 2 11" xfId="2369" xr:uid="{DB4AF0AA-BA4E-4300-9B9D-42923B7F1B88}"/>
    <cellStyle name="Total 2 11 2" xfId="2370" xr:uid="{296F0A16-E51B-40FC-9C59-1DB5A217CDDA}"/>
    <cellStyle name="Total 2 11 3" xfId="2371" xr:uid="{0E59C170-095C-48C2-85DB-E90159D3C5FA}"/>
    <cellStyle name="Total 2 12" xfId="2372" xr:uid="{4512AFB7-D4A9-47E8-9867-275FBC6237DD}"/>
    <cellStyle name="Total 2 12 2" xfId="2373" xr:uid="{28F8F25A-1496-4CC2-98B7-B0EAE3F2ECBC}"/>
    <cellStyle name="Total 2 12 3" xfId="2374" xr:uid="{64881C8F-2C2E-46F0-BC3F-BCB93619624E}"/>
    <cellStyle name="Total 2 13" xfId="2375" xr:uid="{2779ACFA-E7F6-4002-BC40-B46066056CF5}"/>
    <cellStyle name="Total 2 13 2" xfId="2376" xr:uid="{902F38A1-A7EB-4B19-9F7C-3DECE091E53A}"/>
    <cellStyle name="Total 2 13 3" xfId="2377" xr:uid="{5C2E4D31-5F75-4BBA-ACF1-21E251BCB8E6}"/>
    <cellStyle name="Total 2 14" xfId="2378" xr:uid="{DC670EDF-AF30-4F7C-A60A-6A530EB78370}"/>
    <cellStyle name="Total 2 14 2" xfId="2379" xr:uid="{C3496694-CCF7-4FD3-AC3A-C456BC2242F2}"/>
    <cellStyle name="Total 2 14 3" xfId="2380" xr:uid="{2147A1D1-AF40-4FC8-BD20-B44159D06F6A}"/>
    <cellStyle name="Total 2 15" xfId="2381" xr:uid="{1572F049-F29F-4E15-B1E4-91CEE5CD5A52}"/>
    <cellStyle name="Total 2 15 2" xfId="2382" xr:uid="{E5B1CFD1-C651-45C2-B092-D777D51E9EB2}"/>
    <cellStyle name="Total 2 15 3" xfId="2383" xr:uid="{A0101FA6-53C9-4A07-BF14-B8B69625BE29}"/>
    <cellStyle name="Total 2 16" xfId="2384" xr:uid="{800275E4-06D8-440B-929C-AC5DA136E996}"/>
    <cellStyle name="Total 2 17" xfId="2385" xr:uid="{54008AFE-81B7-4387-9F9F-2B877E27C966}"/>
    <cellStyle name="Total 2 18" xfId="2386" xr:uid="{3E728CDA-54E2-40F4-97D3-2FAD58FD7E75}"/>
    <cellStyle name="Total 2 19" xfId="2387" xr:uid="{C10EBEDF-CB26-4426-88FE-518924CBEAF7}"/>
    <cellStyle name="Total 2 2" xfId="2388" xr:uid="{037F3146-3CA9-4E44-BA4A-4D0288183330}"/>
    <cellStyle name="Total 2 2 10" xfId="2389" xr:uid="{98576AFF-6C2D-47A7-911A-9AB61A290F4F}"/>
    <cellStyle name="Total 2 2 11" xfId="2390" xr:uid="{DA08549F-A2E7-4CE9-BBEA-CD3FBC64D5BB}"/>
    <cellStyle name="Total 2 2 12" xfId="2391" xr:uid="{56AEF908-9F99-4860-BE1A-78753A664D8B}"/>
    <cellStyle name="Total 2 2 2" xfId="2392" xr:uid="{30D3A944-F268-4608-AEF9-ED5E030290B8}"/>
    <cellStyle name="Total 2 2 2 2" xfId="2393" xr:uid="{EF8B45E8-1FE8-45F6-BC4B-5C68D4877049}"/>
    <cellStyle name="Total 2 2 3" xfId="2394" xr:uid="{1BAF75BF-F5D9-414D-BEFA-3D0029FDFBE5}"/>
    <cellStyle name="Total 2 2 4" xfId="2395" xr:uid="{8D78BA82-B493-485C-A6CB-9C5C807849CE}"/>
    <cellStyle name="Total 2 2 5" xfId="2396" xr:uid="{B34C671C-9719-4D42-A3D5-F9B8961CDD5C}"/>
    <cellStyle name="Total 2 2 6" xfId="2397" xr:uid="{34E35EEA-05AD-42A7-A301-F4A0CDD88867}"/>
    <cellStyle name="Total 2 2 7" xfId="2398" xr:uid="{19803500-E00F-480E-BC98-6CC2FDF3CEEA}"/>
    <cellStyle name="Total 2 2 8" xfId="2399" xr:uid="{CA1C4A8D-A320-4EA3-8B4D-A8CC2593BC90}"/>
    <cellStyle name="Total 2 2 9" xfId="2400" xr:uid="{05879388-E134-4D10-8441-C22F9665A7FE}"/>
    <cellStyle name="Total 2 20" xfId="2401" xr:uid="{AE494D85-C4CE-4775-9406-4D725B0971BD}"/>
    <cellStyle name="Total 2 3" xfId="2402" xr:uid="{E2577EC1-15F3-430E-9136-198086E9FE63}"/>
    <cellStyle name="Total 2 4" xfId="2403" xr:uid="{7B01BC98-085B-46CD-AB0B-E380C809844F}"/>
    <cellStyle name="Total 2 5" xfId="2404" xr:uid="{B16551F9-E380-4161-831B-67B2F0DF6FA6}"/>
    <cellStyle name="Total 2 6" xfId="2405" xr:uid="{18A9D1F2-AE9F-4DF5-8FCE-2E54DC44D842}"/>
    <cellStyle name="Total 2 7" xfId="2406" xr:uid="{DF271E11-1131-4FCC-A5B2-69D4F7F65E14}"/>
    <cellStyle name="Total 2 8" xfId="2407" xr:uid="{86AA8BB3-8079-4107-AD07-B5976ADAE345}"/>
    <cellStyle name="Total 2 9" xfId="2408" xr:uid="{4FE3E0EC-9507-4A9D-A5F8-10A1C727D6D2}"/>
    <cellStyle name="Total 2 9 2" xfId="2409" xr:uid="{45696328-0271-4B4B-B1E8-A7E2E3F8D323}"/>
    <cellStyle name="Total 2 9 2 2" xfId="2410" xr:uid="{63A6433F-E169-4805-A8D8-3EB75096C293}"/>
    <cellStyle name="Total 2 9 3" xfId="2411" xr:uid="{8647B20B-3704-4979-8B52-E25CE50E3956}"/>
    <cellStyle name="Total 2 9 4" xfId="2412" xr:uid="{64444E7B-C8DF-4E42-A318-5BFBF0414C3B}"/>
    <cellStyle name="Total 2 9 5" xfId="2413" xr:uid="{2B222D92-7ADD-4BF1-AD84-E29A415A2F92}"/>
    <cellStyle name="Total 2 9 6" xfId="2414" xr:uid="{CFCA90DE-917D-449C-A129-D92A314FDDF1}"/>
    <cellStyle name="Total 20" xfId="2415" xr:uid="{5CF17139-652F-47AB-80E0-92C5345D5E52}"/>
    <cellStyle name="Total 21" xfId="2416" xr:uid="{E685D783-2074-46EE-A897-E06A2DCB7703}"/>
    <cellStyle name="Total 22" xfId="2417" xr:uid="{88ACD919-4EC5-49F2-ABC0-6E7A76FD0AA7}"/>
    <cellStyle name="Total 23" xfId="2418" xr:uid="{659A7629-A62D-4CDD-9B0C-3828B3FCED21}"/>
    <cellStyle name="Total 24" xfId="2419" xr:uid="{3014C2AA-13F7-4B72-B389-EEE94BC83F7A}"/>
    <cellStyle name="Total 25" xfId="2420" xr:uid="{16B7612C-8D20-4CC8-BEF2-A1C7E45D0054}"/>
    <cellStyle name="Total 26" xfId="2421" xr:uid="{41789568-649D-4CE5-B254-95BB29B35329}"/>
    <cellStyle name="Total 27" xfId="2422" xr:uid="{57A4D4B4-9384-4C10-BD52-50EC639C2EAB}"/>
    <cellStyle name="Total 28" xfId="2423" xr:uid="{1295E98F-E623-4879-9B39-EE31CB9DD77D}"/>
    <cellStyle name="Total 29" xfId="2424" xr:uid="{8B82591E-39A7-43E3-9437-82C2FE73574F}"/>
    <cellStyle name="Total 3" xfId="2425" xr:uid="{78C07B80-0CFF-408F-AED6-F431B5225F5A}"/>
    <cellStyle name="Total 3 2" xfId="2426" xr:uid="{84DD6B7B-C4BE-4A64-9BF8-AAFAF396033B}"/>
    <cellStyle name="Total 3 3" xfId="2427" xr:uid="{82E27176-661C-4A1D-8819-62C43B09326E}"/>
    <cellStyle name="Total 30" xfId="2428" xr:uid="{5FBD7C42-2D02-456C-B814-6E909B94E489}"/>
    <cellStyle name="Total 31" xfId="2429" xr:uid="{515D751F-73FA-4595-AC44-39F9FABC9CE7}"/>
    <cellStyle name="Total 32" xfId="2430" xr:uid="{7E9719AF-5D77-445F-814F-E171F43220D7}"/>
    <cellStyle name="Total 33" xfId="2431" xr:uid="{F00AF49D-19F0-4F32-9D2B-BF1B1526B088}"/>
    <cellStyle name="Total 34" xfId="2432" xr:uid="{82BBA9E1-B180-45B7-9E60-82808C2F23EB}"/>
    <cellStyle name="Total 35" xfId="2433" xr:uid="{D3E57CB6-E4F4-4F56-889A-47CBA6561556}"/>
    <cellStyle name="Total 36" xfId="2434" xr:uid="{6AF1CBE1-DCC8-4476-94DD-86894B0FF81D}"/>
    <cellStyle name="Total 37" xfId="2435" xr:uid="{AFC51894-DB8E-49F2-8090-CC41B548D0F9}"/>
    <cellStyle name="Total 38" xfId="2436" xr:uid="{24E9936C-ADD9-4A62-BE13-11A3600C8214}"/>
    <cellStyle name="Total 39" xfId="2437" xr:uid="{3C614E5C-4021-4EC5-B6ED-C1060C5CB303}"/>
    <cellStyle name="Total 4" xfId="2438" xr:uid="{B0FD1705-71C4-4070-B22C-71AEFF68C2F2}"/>
    <cellStyle name="Total 4 2" xfId="2439" xr:uid="{4413AB3E-2DE2-4400-95AB-C2144B242079}"/>
    <cellStyle name="Total 4 3" xfId="2440" xr:uid="{0099E250-82A1-43F1-908E-DE97412E1E17}"/>
    <cellStyle name="Total 40" xfId="2441" xr:uid="{7C100E24-A379-472D-88FE-51F21F32DBB6}"/>
    <cellStyle name="Total 41" xfId="2442" xr:uid="{CE63DDA0-7104-407B-BDF4-93FC7D45BE89}"/>
    <cellStyle name="Total 42" xfId="2443" xr:uid="{2E4B37F9-16BF-4D4A-AB9B-7B2D21859943}"/>
    <cellStyle name="Total 43" xfId="2444" xr:uid="{1B7C02A0-1895-4E28-8806-AE19447C6E2B}"/>
    <cellStyle name="Total 44" xfId="2445" xr:uid="{319ED8BE-609E-4607-9B49-2CE581B38D6C}"/>
    <cellStyle name="Total 45" xfId="2446" xr:uid="{40D567DB-5CA7-4006-AF24-1F3F9C99FD37}"/>
    <cellStyle name="Total 46" xfId="2447" xr:uid="{F98BA4E3-1E96-4740-8CFE-6B502245395F}"/>
    <cellStyle name="Total 47" xfId="2448" xr:uid="{2C472E5A-E997-43B6-B204-3B3E6EFA0082}"/>
    <cellStyle name="Total 48" xfId="2449" xr:uid="{E87DB6CF-E793-44E5-A3BB-0722B3DA8D47}"/>
    <cellStyle name="Total 49" xfId="2450" xr:uid="{7CCCB6B1-AC90-41ED-8922-4FC0290BD662}"/>
    <cellStyle name="Total 5" xfId="2451" xr:uid="{0EB00E66-04A0-4A50-AC6B-5D91776FCEBA}"/>
    <cellStyle name="Total 5 2" xfId="2452" xr:uid="{290F9D57-FFD6-4073-A16F-54FE2397395E}"/>
    <cellStyle name="Total 5 3" xfId="2453" xr:uid="{3550F5D8-D1A1-4030-A2D5-3653CA32A28E}"/>
    <cellStyle name="Total 5 4" xfId="2454" xr:uid="{48AFED97-834A-4783-8BD8-F1E4E0A3FE44}"/>
    <cellStyle name="Total 5 5" xfId="2455" xr:uid="{499A72E8-D633-44FC-8A51-E612CA683B98}"/>
    <cellStyle name="Total 5 6" xfId="2456" xr:uid="{869013FA-EE39-4E05-AD2E-D55F03AC2F99}"/>
    <cellStyle name="Total 5 7" xfId="2457" xr:uid="{A7C9D652-81B7-4B1B-88E8-774D76E77C08}"/>
    <cellStyle name="Total 50" xfId="2458" xr:uid="{3CC20B7E-019B-455E-A362-16215232DB6F}"/>
    <cellStyle name="Total 51" xfId="2459" xr:uid="{71C6502F-3599-479D-8077-45564C76E65A}"/>
    <cellStyle name="Total 52" xfId="2460" xr:uid="{F0C959FF-66CA-4E24-A5C5-B7356BF5C201}"/>
    <cellStyle name="Total 53" xfId="2461" xr:uid="{B9B5F176-9CC4-4514-941D-9ED8B3B676EB}"/>
    <cellStyle name="Total 54" xfId="2462" xr:uid="{1FCCF44F-AD88-42B2-BC2D-47FCA4C8BD39}"/>
    <cellStyle name="Total 55" xfId="2463" xr:uid="{85F2A3EB-DFC1-43F6-911D-2876D4A4EE4E}"/>
    <cellStyle name="Total 56" xfId="2464" xr:uid="{8B7711CE-E54C-4D2D-86C7-429E2D872D89}"/>
    <cellStyle name="Total 57" xfId="2465" xr:uid="{864E118E-BCA7-45DE-BE50-A0DB5F67F354}"/>
    <cellStyle name="Total 58" xfId="2466" xr:uid="{DAD04711-7811-4A5C-9456-355263D77B4F}"/>
    <cellStyle name="Total 59" xfId="2467" xr:uid="{6979D53A-6F05-4805-8761-676AF502058E}"/>
    <cellStyle name="Total 6" xfId="2468" xr:uid="{62527546-67F3-4F8E-AFA6-2FB14DADF8E9}"/>
    <cellStyle name="Total 6 2" xfId="2469" xr:uid="{01E7EA0C-A23F-423E-A011-4A82B978D66C}"/>
    <cellStyle name="Total 6 3" xfId="2470" xr:uid="{529571A0-006D-4128-BC53-09C41996B295}"/>
    <cellStyle name="Total 6 4" xfId="2471" xr:uid="{2CC80D88-F274-49D7-BD7B-B7AEC35BE324}"/>
    <cellStyle name="Total 6 5" xfId="2472" xr:uid="{AAD8375C-3E24-43BD-99E6-7BDF1A1B2B2A}"/>
    <cellStyle name="Total 6 6" xfId="2473" xr:uid="{B1C3189B-5EE7-4E48-B5C3-A2463D2BEF99}"/>
    <cellStyle name="Total 60" xfId="2474" xr:uid="{EEB373D5-FDD6-40F6-9B73-5B7987F6D22A}"/>
    <cellStyle name="Total 61" xfId="2475" xr:uid="{FE1E70D2-B95B-4604-B910-6366481A6A3A}"/>
    <cellStyle name="Total 62" xfId="2476" xr:uid="{90E3B099-D420-447D-AFD7-FF9FE8ECB118}"/>
    <cellStyle name="Total 63" xfId="2477" xr:uid="{212C5F4D-DB4E-487D-8BD0-92FBBC91DF40}"/>
    <cellStyle name="Total 64" xfId="2478" xr:uid="{BDB32126-7B1D-47F2-8F9D-76A2ED10640F}"/>
    <cellStyle name="Total 65" xfId="2479" xr:uid="{E21BDA9F-7E5E-44AB-A548-0C8A51626E99}"/>
    <cellStyle name="Total 66" xfId="2480" xr:uid="{FA3E19B8-B963-4B1C-B4C0-D983B449933D}"/>
    <cellStyle name="Total 67" xfId="2481" xr:uid="{1081A5C4-4E7D-4C3D-9319-B5BE9614575B}"/>
    <cellStyle name="Total 68" xfId="2482" xr:uid="{C16503C4-AB9A-4003-BC0C-5E1D1F8D9A67}"/>
    <cellStyle name="Total 69" xfId="2483" xr:uid="{C773DC6F-6C35-4C0E-B9A1-9F0D6E0D7D61}"/>
    <cellStyle name="Total 7" xfId="2484" xr:uid="{09C672F9-60DF-4E42-B6D8-DC8F8AACAF7F}"/>
    <cellStyle name="Total 70" xfId="2485" xr:uid="{A19B9975-996D-415C-BAB7-B8B31B0678E8}"/>
    <cellStyle name="Total 71" xfId="2486" xr:uid="{DD6437FC-D798-4477-8890-57EBF304A592}"/>
    <cellStyle name="Total 72" xfId="2487" xr:uid="{3CF437FB-2B40-4C36-9F7C-484C2D3CBA2B}"/>
    <cellStyle name="Total 73" xfId="2488" xr:uid="{8E25AB2A-3EA7-4CEB-AAFC-4C471270C8EF}"/>
    <cellStyle name="Total 74" xfId="2489" xr:uid="{EFED4A58-01B3-4EC6-8212-1E4579F6D575}"/>
    <cellStyle name="Total 75" xfId="2490" xr:uid="{DB7FD0E7-178A-4F73-B4EA-1C9F0B16B66A}"/>
    <cellStyle name="Total 76" xfId="2491" xr:uid="{86CB9619-9B6B-4D19-AB74-D56E99541712}"/>
    <cellStyle name="Total 77" xfId="2492" xr:uid="{4CCD669D-3754-47B9-BEA2-E16768B60CA1}"/>
    <cellStyle name="Total 78" xfId="2493" xr:uid="{0EFE955A-A37C-4F9F-8EAC-469D21488A70}"/>
    <cellStyle name="Total 79" xfId="2494" xr:uid="{D1584E2E-38C5-4063-AD8D-9433D0336283}"/>
    <cellStyle name="Total 8" xfId="2495" xr:uid="{58B75613-546F-4659-8D68-6CFA2026EC87}"/>
    <cellStyle name="Total 80" xfId="2496" xr:uid="{32E65DCB-51D2-47C9-B082-536C63F08490}"/>
    <cellStyle name="Total 81" xfId="2497" xr:uid="{D01424C1-0E9C-4CB6-B16A-DE7EECB76ABB}"/>
    <cellStyle name="Total 82" xfId="2498" xr:uid="{BB27C8BE-4907-47C8-A95E-6F8F03D550EC}"/>
    <cellStyle name="Total 82 2" xfId="2499" xr:uid="{3F56A921-FEC2-459F-9C45-FC99F8A7FDC3}"/>
    <cellStyle name="Total 82 2 2" xfId="2500" xr:uid="{930C028F-AB0B-4DAC-81F7-ABD1722EB65F}"/>
    <cellStyle name="Total 82 2 3" xfId="2501" xr:uid="{BD618E77-F114-4E16-BA40-39838BEC6DDA}"/>
    <cellStyle name="Total 82 2 4" xfId="2502" xr:uid="{607C2C3A-60F4-44C1-8DCE-D4D839524914}"/>
    <cellStyle name="Total 82 3" xfId="2503" xr:uid="{0D7FBCB5-EAB0-4CC2-9226-7FFCA1081ADC}"/>
    <cellStyle name="Total 82 3 2" xfId="2504" xr:uid="{8876EFFF-84DE-4896-A80E-458D0B71C050}"/>
    <cellStyle name="Total 82 3 3" xfId="2505" xr:uid="{586A56B6-08E5-4B4C-A180-FB12D17C7B40}"/>
    <cellStyle name="Total 82 3 4" xfId="2506" xr:uid="{1915905C-4D3C-431F-A0A6-25C4199ABC5C}"/>
    <cellStyle name="Total 82 4" xfId="2507" xr:uid="{2B8E3EEB-13D1-4DB7-8188-690C8CE30F88}"/>
    <cellStyle name="Total 82 5" xfId="2508" xr:uid="{7671108A-CBFA-4AB1-A389-59E5AAA2B675}"/>
    <cellStyle name="Total 82 6" xfId="2509" xr:uid="{E0FEC732-B3E6-4FF7-BF14-773176075B59}"/>
    <cellStyle name="Total 83" xfId="2510" xr:uid="{8CD13D60-95E7-4C4A-85ED-AA82A8827A66}"/>
    <cellStyle name="Total 83 2" xfId="2511" xr:uid="{8EF6D4D5-527B-4D8D-8BCE-CF5E5604AC99}"/>
    <cellStyle name="Total 83 2 2" xfId="2512" xr:uid="{4D0EF85F-069B-4ECE-9B34-7FD64766365F}"/>
    <cellStyle name="Total 83 2 3" xfId="2513" xr:uid="{B5D671AE-4E1C-470A-8785-A359BCC8E88F}"/>
    <cellStyle name="Total 83 2 4" xfId="2514" xr:uid="{0F41FB90-611E-4F87-ADD5-07DFEC984D81}"/>
    <cellStyle name="Total 83 3" xfId="2515" xr:uid="{0FB93E50-5E5E-4B1C-AD73-49F9D2075AAD}"/>
    <cellStyle name="Total 83 3 2" xfId="2516" xr:uid="{BFCEE841-3E26-4645-ABBE-0DFB8B21F3C5}"/>
    <cellStyle name="Total 83 3 3" xfId="2517" xr:uid="{1BA7A5A4-1ACA-4450-BA18-8BC20D35824C}"/>
    <cellStyle name="Total 83 3 4" xfId="2518" xr:uid="{2DDDF844-3821-485C-B441-DD0DBAA1D7A4}"/>
    <cellStyle name="Total 83 4" xfId="2519" xr:uid="{D84E4A9A-1574-42F9-9E23-E961DC366D65}"/>
    <cellStyle name="Total 83 5" xfId="2520" xr:uid="{EDCF8A9F-E8F6-4635-A3A1-D587AD412D4B}"/>
    <cellStyle name="Total 83 6" xfId="2521" xr:uid="{6802CE4A-5755-499C-9057-247E1D782FDA}"/>
    <cellStyle name="Total 84" xfId="2522" xr:uid="{1067C4D7-2EBD-4D15-8CC9-FD28A0746E4F}"/>
    <cellStyle name="Total 84 2" xfId="2523" xr:uid="{E7E01F98-2283-4FAB-BD98-87C87F40F00E}"/>
    <cellStyle name="Total 84 2 2" xfId="2524" xr:uid="{21443CAB-A3EF-4710-899F-9CE56D733CB9}"/>
    <cellStyle name="Total 84 2 3" xfId="2525" xr:uid="{90AE2F63-B849-464E-808F-05AD5A0D910D}"/>
    <cellStyle name="Total 84 2 4" xfId="2526" xr:uid="{038A22B4-9CBF-4EB1-98B5-672DCF594F9A}"/>
    <cellStyle name="Total 84 3" xfId="2527" xr:uid="{ECF7DF12-E4A9-4302-90CC-FBBC28A76DA3}"/>
    <cellStyle name="Total 84 3 2" xfId="2528" xr:uid="{F81A5363-6C62-45A4-B78B-8CF2F404DF22}"/>
    <cellStyle name="Total 84 3 3" xfId="2529" xr:uid="{8ED7ACE0-D538-4B75-88DC-63A481AC1290}"/>
    <cellStyle name="Total 84 3 4" xfId="2530" xr:uid="{60C7F00B-0EE2-404F-84CC-A95D36B3BFB1}"/>
    <cellStyle name="Total 84 4" xfId="2531" xr:uid="{E0C5F2B4-619D-41F0-90BB-80F1F6F4B359}"/>
    <cellStyle name="Total 84 5" xfId="2532" xr:uid="{33E7FC8C-62C3-4949-9A4D-22CF90718ED9}"/>
    <cellStyle name="Total 84 6" xfId="2533" xr:uid="{635E74AE-38AB-46B6-AB2B-CC67747B0533}"/>
    <cellStyle name="Total 85" xfId="2534" xr:uid="{87A080B6-076D-4D5C-9F45-9ADA3C75C625}"/>
    <cellStyle name="Total 85 2" xfId="2535" xr:uid="{761AA6E8-1152-4E7F-BC10-E2C38DC7936B}"/>
    <cellStyle name="Total 85 2 2" xfId="2536" xr:uid="{6F808223-D991-42D9-9B24-FB16BE08FBCA}"/>
    <cellStyle name="Total 85 2 3" xfId="2537" xr:uid="{F5324883-9851-4ECA-93DF-1EBEE5A1B7B7}"/>
    <cellStyle name="Total 85 2 4" xfId="2538" xr:uid="{2528B632-4B2A-4181-A467-41FD707383AC}"/>
    <cellStyle name="Total 85 3" xfId="2539" xr:uid="{03C4FABD-5441-45DA-B02C-61E7DC0AAB18}"/>
    <cellStyle name="Total 85 3 2" xfId="2540" xr:uid="{9E6A27EB-3948-43CB-8271-8F82D1339A47}"/>
    <cellStyle name="Total 85 3 3" xfId="2541" xr:uid="{56FE5575-0D24-4F30-8ECA-43F020EB8887}"/>
    <cellStyle name="Total 85 3 4" xfId="2542" xr:uid="{41102A55-1D0D-43AA-987F-C8FEC055F1C9}"/>
    <cellStyle name="Total 85 4" xfId="2543" xr:uid="{30FE3B51-8707-4765-A45E-2D496E2F31F5}"/>
    <cellStyle name="Total 85 5" xfId="2544" xr:uid="{C9845304-FEEE-4012-A726-D7492F3905E1}"/>
    <cellStyle name="Total 85 6" xfId="2545" xr:uid="{5C117CFF-13E1-49CF-9A5F-5B1D9FACEDD3}"/>
    <cellStyle name="Total 86" xfId="2546" xr:uid="{A04F260B-B2A9-4117-9328-0B06B412CC80}"/>
    <cellStyle name="Total 86 2" xfId="2547" xr:uid="{C0E0862A-153A-4A51-8318-C68E2F6C03F9}"/>
    <cellStyle name="Total 86 2 2" xfId="2548" xr:uid="{1CFBC4A6-E533-462C-881B-03166EE1699D}"/>
    <cellStyle name="Total 86 2 3" xfId="2549" xr:uid="{8767068F-0448-4F1B-BD86-740C8B463C11}"/>
    <cellStyle name="Total 86 2 4" xfId="2550" xr:uid="{ECC6A2D4-6725-4D1E-837A-F60A4DF2187B}"/>
    <cellStyle name="Total 86 3" xfId="2551" xr:uid="{B48B359B-5E5F-4F88-9CA0-E7F03C34AE1E}"/>
    <cellStyle name="Total 86 3 2" xfId="2552" xr:uid="{878BF3D0-DC5E-4180-B3B9-E065A3468640}"/>
    <cellStyle name="Total 86 3 3" xfId="2553" xr:uid="{1D942183-B8F3-4BA1-A3CE-1482BD893405}"/>
    <cellStyle name="Total 86 3 4" xfId="2554" xr:uid="{D19A391D-4BD9-49C6-8C70-D542AD9747FD}"/>
    <cellStyle name="Total 86 4" xfId="2555" xr:uid="{18DB2169-D8F1-48A3-B194-178D2A2FEABD}"/>
    <cellStyle name="Total 86 5" xfId="2556" xr:uid="{789CF465-FFB9-4177-8A3F-7F47BA989B7F}"/>
    <cellStyle name="Total 86 6" xfId="2557" xr:uid="{2050787B-5E62-4EFA-AE68-B509672C222E}"/>
    <cellStyle name="Total 87" xfId="2558" xr:uid="{B57A8C2B-D80B-45A5-8B21-CFF4EE6D797D}"/>
    <cellStyle name="Total 87 2" xfId="2559" xr:uid="{D0FADAB6-E32C-45C2-A11D-F659B5D2C465}"/>
    <cellStyle name="Total 87 2 2" xfId="2560" xr:uid="{A1CBDF46-D584-4781-A4EF-9A2BB36707C1}"/>
    <cellStyle name="Total 87 2 3" xfId="2561" xr:uid="{58E164CF-E422-4DE4-811F-21BE388336B3}"/>
    <cellStyle name="Total 87 2 4" xfId="2562" xr:uid="{36B238B2-C218-436F-9474-7EA39CFD98A7}"/>
    <cellStyle name="Total 87 3" xfId="2563" xr:uid="{D40CDFA6-A61C-4D06-BFBE-240090EA8A58}"/>
    <cellStyle name="Total 87 3 2" xfId="2564" xr:uid="{B40D321C-8689-42C5-BA80-1FDEE3B5A3C4}"/>
    <cellStyle name="Total 87 3 3" xfId="2565" xr:uid="{0D1573A7-7AE8-46E1-BCD3-19F6E1BC0A15}"/>
    <cellStyle name="Total 87 3 4" xfId="2566" xr:uid="{BB4B4E54-821F-4D18-A990-2C1D422C72BD}"/>
    <cellStyle name="Total 87 4" xfId="2567" xr:uid="{308DF3D0-D343-4592-9050-0B4FE29294A8}"/>
    <cellStyle name="Total 87 5" xfId="2568" xr:uid="{990FCA1D-1BE0-4A5C-AF9B-99DD6381DBBC}"/>
    <cellStyle name="Total 87 6" xfId="2569" xr:uid="{B3329238-CC14-45D7-9955-6647B53060B6}"/>
    <cellStyle name="Total 88" xfId="2570" xr:uid="{209FBA7F-270B-4330-B87D-7DA4EA68EE48}"/>
    <cellStyle name="Total 88 2" xfId="2571" xr:uid="{C3AD487E-B0DE-472F-B2AD-2ADBBC01ED7E}"/>
    <cellStyle name="Total 88 3" xfId="2572" xr:uid="{91D9D26F-C147-4ADD-B769-26B8ECDCD1A1}"/>
    <cellStyle name="Total 88 4" xfId="2573" xr:uid="{6DE9F2B5-0938-4F80-AA4E-9F2D58A6AFEF}"/>
    <cellStyle name="Total 89" xfId="2574" xr:uid="{02D79D52-08DD-4497-B69D-98F8BA04D8D2}"/>
    <cellStyle name="Total 89 2" xfId="2575" xr:uid="{FD91F0E5-1B55-48C4-93D1-54199282A58E}"/>
    <cellStyle name="Total 89 3" xfId="2576" xr:uid="{B52CF860-786F-45D4-9336-17FB975FBA72}"/>
    <cellStyle name="Total 89 4" xfId="2577" xr:uid="{78CA5AEA-5098-42C0-80BA-84A87FD95F6D}"/>
    <cellStyle name="Total 9" xfId="2578" xr:uid="{77D33560-86E9-491D-AE6C-CC9C2E7EB77C}"/>
    <cellStyle name="Total 90" xfId="2579" xr:uid="{93223159-8407-438B-8801-536374A91FE2}"/>
    <cellStyle name="Total 91" xfId="2580" xr:uid="{05242AC3-C34F-4323-97F7-55E8FEFE6945}"/>
    <cellStyle name="Total 92" xfId="2581" xr:uid="{D6595FBB-AE3F-45C9-BF38-2A6A50D842D0}"/>
    <cellStyle name="Total 93" xfId="2582" xr:uid="{4748D545-DD4B-4D3C-9F23-8B10F7307ACC}"/>
    <cellStyle name="Total 94" xfId="2583" xr:uid="{DF5CDA9D-37DB-4F1E-A6F3-E5CBC468AF93}"/>
    <cellStyle name="Total 95" xfId="2584" xr:uid="{116040EE-DCC8-45BC-BC36-71E5A93B6170}"/>
    <cellStyle name="Total 96" xfId="2585" xr:uid="{D35B4C75-62C9-47E6-B97A-E05FC09BF075}"/>
    <cellStyle name="Total 97" xfId="2586" xr:uid="{030884F1-B50B-4718-A92D-C6BFF2898AD9}"/>
    <cellStyle name="Total 98" xfId="2587" xr:uid="{35A15125-D019-4948-B081-E1B8A787BFA3}"/>
    <cellStyle name="Total 99" xfId="2588" xr:uid="{70A3A0FA-DA66-4196-9FF6-35B300814E65}"/>
    <cellStyle name="Warning Text 10" xfId="2589" xr:uid="{770C4374-38EA-44BE-B723-79E1E3DB9318}"/>
    <cellStyle name="Warning Text 11" xfId="2590" xr:uid="{BD9D5456-7C05-4619-B758-D10BB4A9F672}"/>
    <cellStyle name="Warning Text 12" xfId="2591" xr:uid="{476E82B7-BC59-4949-AF37-671A4EA7033D}"/>
    <cellStyle name="Warning Text 13" xfId="2592" xr:uid="{1978D0B6-2305-4745-ABC7-4C356F26E0CB}"/>
    <cellStyle name="Warning Text 14" xfId="2593" xr:uid="{2C545AAA-AC3F-4AFA-840B-CA891C515429}"/>
    <cellStyle name="Warning Text 15" xfId="2594" xr:uid="{D498B9B5-6052-436F-A804-3B153CF07A88}"/>
    <cellStyle name="Warning Text 2" xfId="2595" xr:uid="{82751153-436E-476A-9B1D-92671F19F30F}"/>
    <cellStyle name="Warning Text 2 2" xfId="2596" xr:uid="{DE3902DC-8F39-4F73-86AC-EE062FEA7DA7}"/>
    <cellStyle name="Warning Text 2 3" xfId="2597" xr:uid="{5F2BE499-55C5-4369-9DA6-BB7859062C77}"/>
    <cellStyle name="Warning Text 3" xfId="2598" xr:uid="{A7888EA1-50CE-4639-ACD8-08C2EC20D4C5}"/>
    <cellStyle name="Warning Text 3 2" xfId="2599" xr:uid="{334A488D-990D-4C9D-8253-45D69DF7DA3B}"/>
    <cellStyle name="Warning Text 3 3" xfId="2600" xr:uid="{51464F6C-684C-4E68-9C7B-8084459D86EE}"/>
    <cellStyle name="Warning Text 4" xfId="2601" xr:uid="{7FFECB2A-882E-4A72-BA5E-B727E6994EF0}"/>
    <cellStyle name="Warning Text 4 2" xfId="2602" xr:uid="{FE0692FD-C26B-4192-8B28-890D7EFCA534}"/>
    <cellStyle name="Warning Text 4 3" xfId="2603" xr:uid="{B86CCAB2-90BF-4449-AC9E-BAC4021FC5B0}"/>
    <cellStyle name="Warning Text 5" xfId="2604" xr:uid="{EA91CA36-0E09-49EA-9C1D-27FF2134B37B}"/>
    <cellStyle name="Warning Text 5 2" xfId="2605" xr:uid="{31C67643-DF21-4C83-880C-08FDBB3518DC}"/>
    <cellStyle name="Warning Text 5 3" xfId="2606" xr:uid="{43A0E6F8-C8FC-4D77-97BE-AFF6F0F008FD}"/>
    <cellStyle name="Warning Text 6" xfId="2607" xr:uid="{BB878DF5-6175-4A4C-99D9-0C7BDFD6390C}"/>
    <cellStyle name="Warning Text 6 2" xfId="2608" xr:uid="{16840245-F77A-45E8-ABD4-8ABF3BB348CC}"/>
    <cellStyle name="Warning Text 6 3" xfId="2609" xr:uid="{74E1E109-2C04-4D0D-9BA6-6CE07EBD0DEE}"/>
    <cellStyle name="Warning Text 7" xfId="2610" xr:uid="{3E6107E5-CDA1-4B86-9CDB-947F59077EE4}"/>
    <cellStyle name="Warning Text 7 2" xfId="2611" xr:uid="{43D38688-0E25-450A-A1E3-0B7BA8032A94}"/>
    <cellStyle name="Warning Text 7 3" xfId="2612" xr:uid="{21951B5D-D287-4BB3-BFBE-C779CB190F03}"/>
    <cellStyle name="Warning Text 8" xfId="2613" xr:uid="{49FDAF35-BBC1-4204-81A0-2519290D1ADF}"/>
    <cellStyle name="Warning Text 8 2" xfId="2614" xr:uid="{90C3AB6E-32A4-40AD-970E-E99317FE8C19}"/>
    <cellStyle name="Warning Text 8 3" xfId="2615" xr:uid="{FA0664EB-41DD-4C38-ABC3-5A0D9D1F2A9D}"/>
    <cellStyle name="Warning Text 9" xfId="2616" xr:uid="{5F128DF8-A8B5-4618-9B5D-904DF7146B7C}"/>
    <cellStyle name="Обычный 3" xfId="45" xr:uid="{00000000-0005-0000-0000-000063000000}"/>
  </cellStyles>
  <dxfs count="0"/>
  <tableStyles count="0" defaultTableStyle="TableStyleMedium9" defaultPivotStyle="PivotStyleLight16"/>
  <colors>
    <mruColors>
      <color rgb="FFEBF6F9"/>
      <color rgb="FF31869B"/>
      <color rgb="FFFEF4EC"/>
      <color rgb="FFC8E6EE"/>
      <color rgb="FFB7DEE8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6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1.xml"/><Relationship Id="rId77" Type="http://schemas.openxmlformats.org/officeDocument/2006/relationships/externalLink" Target="externalLinks/externalLink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4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externalLink" Target="externalLinks/externalLink2.xml"/><Relationship Id="rId75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5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ar.az\dfs-r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ar.az\dfs-r\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ar.az\dfs-r\DOCUME~1\SAlizade\LOCALS~1\Temp\notes0F6B36\1113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44\bazar_emeliyyatlari\DOCUME~1\SAlizade\LOCALS~1\Temp\notes0F6B36\1113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SAlizade\LOCALS~1\Temp\notes0F6B36\1113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ar.az\dfs-r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ar.az\dfs-r\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"/>
      <sheetName val="1.4"/>
      <sheetName val="2.2"/>
      <sheetName val="2.10"/>
      <sheetName val="2.11"/>
      <sheetName val="3.1"/>
      <sheetName val="3.3"/>
      <sheetName val="3.5"/>
      <sheetName val="3.6"/>
      <sheetName val="3.6 (2)"/>
      <sheetName val="3.7"/>
      <sheetName val="4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2">
          <cell r="A2" t="str">
            <v>Cədvəl 3.6. Xarici valyuta bazarı</v>
          </cell>
        </row>
        <row r="15">
          <cell r="A15" t="str">
            <v>Xaric valyutanın alışı</v>
          </cell>
        </row>
        <row r="16">
          <cell r="A16" t="str">
            <v xml:space="preserve">          o cümlədən:</v>
          </cell>
        </row>
        <row r="17">
          <cell r="A17" t="str">
            <v>- BEST</v>
          </cell>
        </row>
        <row r="18">
          <cell r="A18" t="str">
            <v>- ABVB</v>
          </cell>
        </row>
        <row r="19">
          <cell r="A19" t="str">
            <v>- BDMƏ</v>
          </cell>
        </row>
        <row r="20">
          <cell r="A20" t="str">
            <v xml:space="preserve">        Məqsədlər üzrə:</v>
          </cell>
        </row>
        <row r="21">
          <cell r="A21" t="str">
            <v xml:space="preserve"> - Valyuta movqeyinin
    tənzimlənməsi</v>
          </cell>
        </row>
        <row r="22">
          <cell r="A22" t="str">
            <v xml:space="preserve"> - Kreditlərin ödənilməsi</v>
          </cell>
        </row>
        <row r="23">
          <cell r="A23" t="str">
            <v xml:space="preserve"> - Digər banklara depozitlərin
   qaytarılması</v>
          </cell>
        </row>
        <row r="24">
          <cell r="A24" t="str">
            <v xml:space="preserve"> - Mübadilə məntəqələri üçün</v>
          </cell>
        </row>
        <row r="25">
          <cell r="A25" t="str">
            <v xml:space="preserve"> - Müştərilərin tapşırığı ilə</v>
          </cell>
        </row>
        <row r="26">
          <cell r="A26" t="str">
            <v xml:space="preserve">          o cümlədən:</v>
          </cell>
        </row>
        <row r="27">
          <cell r="A27" t="str">
            <v xml:space="preserve">            - idxal kontrakları üçün</v>
          </cell>
        </row>
        <row r="32">
          <cell r="A32" t="str">
            <v>Xaric valyutanın satışı</v>
          </cell>
        </row>
        <row r="33">
          <cell r="A33" t="str">
            <v xml:space="preserve">          o cümlədən:</v>
          </cell>
        </row>
        <row r="34">
          <cell r="A34" t="str">
            <v>- BEST</v>
          </cell>
        </row>
        <row r="35">
          <cell r="A35" t="str">
            <v>- ABVB</v>
          </cell>
        </row>
        <row r="36">
          <cell r="A36" t="str">
            <v>- BDMƏ</v>
          </cell>
        </row>
        <row r="37">
          <cell r="A37" t="str">
            <v xml:space="preserve">        Məqsədlər üzrə:</v>
          </cell>
        </row>
        <row r="38">
          <cell r="A38" t="str">
            <v xml:space="preserve"> - Valyuta movqeyinin
    tənzimlənməsi</v>
          </cell>
        </row>
        <row r="39">
          <cell r="A39" t="str">
            <v xml:space="preserve"> - Kreditlərin ödənilməsi</v>
          </cell>
        </row>
        <row r="40">
          <cell r="A40" t="str">
            <v xml:space="preserve"> - Digər banklara depozitlərin
   qaytarılması</v>
          </cell>
        </row>
        <row r="41">
          <cell r="A41" t="str">
            <v xml:space="preserve"> - Mübadilə məntəqələri üçün</v>
          </cell>
        </row>
        <row r="42">
          <cell r="A42" t="str">
            <v xml:space="preserve"> - Müştərilərin tapşırığı ilə</v>
          </cell>
        </row>
        <row r="43">
          <cell r="A43" t="str">
            <v xml:space="preserve"> - Sair məqsədlər</v>
          </cell>
        </row>
      </sheetData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"/>
      <sheetName val="1.4"/>
      <sheetName val="2.2"/>
      <sheetName val="2.10"/>
      <sheetName val="2.11"/>
      <sheetName val="3.1"/>
      <sheetName val="3.3"/>
      <sheetName val="3.5"/>
      <sheetName val="3.6"/>
      <sheetName val="3.6 (2)"/>
      <sheetName val="3.7"/>
      <sheetName val="4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2">
          <cell r="A2" t="str">
            <v>Cədvəl 3.6. Xarici valyuta bazarı</v>
          </cell>
        </row>
        <row r="15">
          <cell r="A15" t="str">
            <v>Xaric valyutanın alışı</v>
          </cell>
        </row>
        <row r="16">
          <cell r="A16" t="str">
            <v xml:space="preserve">          o cümlədən:</v>
          </cell>
        </row>
        <row r="17">
          <cell r="A17" t="str">
            <v>- BEST</v>
          </cell>
        </row>
        <row r="18">
          <cell r="A18" t="str">
            <v>- ABVB</v>
          </cell>
        </row>
        <row r="19">
          <cell r="A19" t="str">
            <v>- BDMƏ</v>
          </cell>
        </row>
        <row r="20">
          <cell r="A20" t="str">
            <v xml:space="preserve">        Məqsədlər üzrə:</v>
          </cell>
        </row>
        <row r="21">
          <cell r="A21" t="str">
            <v xml:space="preserve"> - Valyuta movqeyinin
    tənzimlənməsi</v>
          </cell>
        </row>
        <row r="22">
          <cell r="A22" t="str">
            <v xml:space="preserve"> - Kreditlərin ödənilməsi</v>
          </cell>
        </row>
        <row r="23">
          <cell r="A23" t="str">
            <v xml:space="preserve"> - Digər banklara depozitlərin
   qaytarılması</v>
          </cell>
        </row>
        <row r="24">
          <cell r="A24" t="str">
            <v xml:space="preserve"> - Mübadilə məntəqələri üçün</v>
          </cell>
        </row>
        <row r="25">
          <cell r="A25" t="str">
            <v xml:space="preserve"> - Müştərilərin tapşırığı ilə</v>
          </cell>
        </row>
        <row r="26">
          <cell r="A26" t="str">
            <v xml:space="preserve">          o cümlədən:</v>
          </cell>
        </row>
        <row r="27">
          <cell r="A27" t="str">
            <v xml:space="preserve">            - idxal kontrakları üçün</v>
          </cell>
        </row>
        <row r="32">
          <cell r="A32" t="str">
            <v>Xaric valyutanın satışı</v>
          </cell>
        </row>
        <row r="33">
          <cell r="A33" t="str">
            <v xml:space="preserve">          o cümlədən:</v>
          </cell>
        </row>
        <row r="34">
          <cell r="A34" t="str">
            <v>- BEST</v>
          </cell>
        </row>
        <row r="35">
          <cell r="A35" t="str">
            <v>- ABVB</v>
          </cell>
        </row>
        <row r="36">
          <cell r="A36" t="str">
            <v>- BDMƏ</v>
          </cell>
        </row>
        <row r="37">
          <cell r="A37" t="str">
            <v xml:space="preserve">        Məqsədlər üzrə:</v>
          </cell>
        </row>
        <row r="38">
          <cell r="A38" t="str">
            <v xml:space="preserve"> - Valyuta movqeyinin
    tənzimlənməsi</v>
          </cell>
        </row>
        <row r="39">
          <cell r="A39" t="str">
            <v xml:space="preserve"> - Kreditlərin ödənilməsi</v>
          </cell>
        </row>
        <row r="40">
          <cell r="A40" t="str">
            <v xml:space="preserve"> - Digər banklara depozitlərin
   qaytarılması</v>
          </cell>
        </row>
        <row r="41">
          <cell r="A41" t="str">
            <v xml:space="preserve"> - Mübadilə məntəqələri üçün</v>
          </cell>
        </row>
        <row r="42">
          <cell r="A42" t="str">
            <v xml:space="preserve"> - Müştərilərin tapşırığı ilə</v>
          </cell>
        </row>
        <row r="43">
          <cell r="A43" t="str">
            <v xml:space="preserve"> - Sair məqsədlər</v>
          </cell>
        </row>
      </sheetData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"/>
      <sheetName val="1.4"/>
      <sheetName val="2.2"/>
      <sheetName val="2.10"/>
      <sheetName val="2.11"/>
      <sheetName val="3.1"/>
      <sheetName val="3.3"/>
      <sheetName val="3.5"/>
      <sheetName val="3.6"/>
      <sheetName val="3.6 (2)"/>
      <sheetName val="3.7"/>
      <sheetName val="4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2">
          <cell r="A2" t="str">
            <v>Cədvəl 3.6. Xarici valyuta bazarı</v>
          </cell>
        </row>
        <row r="15">
          <cell r="A15" t="str">
            <v>Xaric valyutanın alışı</v>
          </cell>
        </row>
        <row r="16">
          <cell r="A16" t="str">
            <v xml:space="preserve">          o cümlədən:</v>
          </cell>
        </row>
        <row r="17">
          <cell r="A17" t="str">
            <v>- BEST</v>
          </cell>
        </row>
        <row r="18">
          <cell r="A18" t="str">
            <v>- ABVB</v>
          </cell>
        </row>
        <row r="19">
          <cell r="A19" t="str">
            <v>- BDMƏ</v>
          </cell>
        </row>
        <row r="20">
          <cell r="A20" t="str">
            <v xml:space="preserve">        Məqsədlər üzrə:</v>
          </cell>
        </row>
        <row r="21">
          <cell r="A21" t="str">
            <v xml:space="preserve"> - Valyuta movqeyinin
    tənzimlənməsi</v>
          </cell>
        </row>
        <row r="22">
          <cell r="A22" t="str">
            <v xml:space="preserve"> - Kreditlərin ödənilməsi</v>
          </cell>
        </row>
        <row r="23">
          <cell r="A23" t="str">
            <v xml:space="preserve"> - Digər banklara depozitlərin
   qaytarılması</v>
          </cell>
        </row>
        <row r="24">
          <cell r="A24" t="str">
            <v xml:space="preserve"> - Mübadilə məntəqələri üçün</v>
          </cell>
        </row>
        <row r="25">
          <cell r="A25" t="str">
            <v xml:space="preserve"> - Müştərilərin tapşırığı ilə</v>
          </cell>
        </row>
        <row r="26">
          <cell r="A26" t="str">
            <v xml:space="preserve">          o cümlədən:</v>
          </cell>
        </row>
        <row r="27">
          <cell r="A27" t="str">
            <v xml:space="preserve">            - idxal kontrakları üçün</v>
          </cell>
        </row>
        <row r="32">
          <cell r="A32" t="str">
            <v>Xaric valyutanın satışı</v>
          </cell>
        </row>
        <row r="33">
          <cell r="A33" t="str">
            <v xml:space="preserve">          o cümlədən:</v>
          </cell>
        </row>
        <row r="34">
          <cell r="A34" t="str">
            <v>- BEST</v>
          </cell>
        </row>
        <row r="35">
          <cell r="A35" t="str">
            <v>- ABVB</v>
          </cell>
        </row>
        <row r="36">
          <cell r="A36" t="str">
            <v>- BDMƏ</v>
          </cell>
        </row>
        <row r="37">
          <cell r="A37" t="str">
            <v xml:space="preserve">        Məqsədlər üzrə:</v>
          </cell>
        </row>
        <row r="38">
          <cell r="A38" t="str">
            <v xml:space="preserve"> - Valyuta movqeyinin
    tənzimlənməsi</v>
          </cell>
        </row>
        <row r="39">
          <cell r="A39" t="str">
            <v xml:space="preserve"> - Kreditlərin ödənilməsi</v>
          </cell>
        </row>
        <row r="40">
          <cell r="A40" t="str">
            <v xml:space="preserve"> - Digər banklara depozitlərin
   qaytarılması</v>
          </cell>
        </row>
        <row r="41">
          <cell r="A41" t="str">
            <v xml:space="preserve"> - Mübadilə məntəqələri üçün</v>
          </cell>
        </row>
        <row r="42">
          <cell r="A42" t="str">
            <v xml:space="preserve"> - Müştərilərin tapşırığı ilə</v>
          </cell>
        </row>
        <row r="43">
          <cell r="A43" t="str">
            <v xml:space="preserve"> - Sair məqsədlər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B72"/>
  <sheetViews>
    <sheetView showGridLines="0" view="pageBreakPreview" topLeftCell="B1" zoomScaleNormal="100" zoomScaleSheetLayoutView="100" workbookViewId="0">
      <pane ySplit="5" topLeftCell="A6" activePane="bottomLeft" state="frozen"/>
      <selection activeCell="FD27" sqref="FD27"/>
      <selection pane="bottomLeft" activeCell="F33" sqref="F33"/>
    </sheetView>
  </sheetViews>
  <sheetFormatPr defaultColWidth="9.140625" defaultRowHeight="15"/>
  <cols>
    <col min="1" max="1" width="8.140625" style="906" customWidth="1"/>
    <col min="2" max="2" width="101.5703125" style="907" customWidth="1"/>
    <col min="3" max="16384" width="9.140625" style="907"/>
  </cols>
  <sheetData>
    <row r="1" spans="1:2" ht="6" customHeight="1"/>
    <row r="2" spans="1:2" ht="30" customHeight="1">
      <c r="A2" s="2026" t="s">
        <v>2882</v>
      </c>
      <c r="B2" s="2026"/>
    </row>
    <row r="3" spans="1:2" ht="12" customHeight="1">
      <c r="A3" s="2027"/>
      <c r="B3" s="2027"/>
    </row>
    <row r="4" spans="1:2" ht="10.5" customHeight="1">
      <c r="A4" s="2028"/>
      <c r="B4" s="2028"/>
    </row>
    <row r="5" spans="1:2" ht="19.5" customHeight="1">
      <c r="A5" s="908" t="s">
        <v>2343</v>
      </c>
      <c r="B5" s="909" t="s">
        <v>2270</v>
      </c>
    </row>
    <row r="6" spans="1:2" ht="18" customHeight="1">
      <c r="A6" s="910">
        <v>1.1000000000000001</v>
      </c>
      <c r="B6" s="912" t="s">
        <v>2883</v>
      </c>
    </row>
    <row r="7" spans="1:2" ht="18" customHeight="1">
      <c r="A7" s="911">
        <v>1.2</v>
      </c>
      <c r="B7" s="912" t="s">
        <v>2954</v>
      </c>
    </row>
    <row r="8" spans="1:2" ht="18" customHeight="1">
      <c r="A8" s="911">
        <v>1.3</v>
      </c>
      <c r="B8" s="912" t="s">
        <v>2884</v>
      </c>
    </row>
    <row r="9" spans="1:2" ht="18" customHeight="1">
      <c r="A9" s="911">
        <v>1.4</v>
      </c>
      <c r="B9" s="912" t="s">
        <v>2885</v>
      </c>
    </row>
    <row r="10" spans="1:2" ht="18" customHeight="1">
      <c r="A10" s="911">
        <v>1.5</v>
      </c>
      <c r="B10" s="912" t="s">
        <v>2886</v>
      </c>
    </row>
    <row r="11" spans="1:2" ht="18" customHeight="1">
      <c r="A11" s="911">
        <v>1.6</v>
      </c>
      <c r="B11" s="912" t="s">
        <v>2887</v>
      </c>
    </row>
    <row r="12" spans="1:2" ht="18" customHeight="1">
      <c r="A12" s="911" t="s">
        <v>3492</v>
      </c>
      <c r="B12" s="912" t="s">
        <v>3491</v>
      </c>
    </row>
    <row r="13" spans="1:2" ht="18" customHeight="1">
      <c r="A13" s="911">
        <v>2.1</v>
      </c>
      <c r="B13" s="912" t="s">
        <v>2888</v>
      </c>
    </row>
    <row r="14" spans="1:2" ht="18" customHeight="1">
      <c r="A14" s="911">
        <v>2.2000000000000002</v>
      </c>
      <c r="B14" s="912" t="s">
        <v>2889</v>
      </c>
    </row>
    <row r="15" spans="1:2" ht="18" customHeight="1">
      <c r="A15" s="911">
        <v>2.2999999999999998</v>
      </c>
      <c r="B15" s="912" t="s">
        <v>2890</v>
      </c>
    </row>
    <row r="16" spans="1:2" ht="18" customHeight="1">
      <c r="A16" s="911">
        <v>2.4</v>
      </c>
      <c r="B16" s="912" t="s">
        <v>2891</v>
      </c>
    </row>
    <row r="17" spans="1:2" ht="18" customHeight="1">
      <c r="A17" s="911">
        <v>2.5</v>
      </c>
      <c r="B17" s="912" t="s">
        <v>2892</v>
      </c>
    </row>
    <row r="18" spans="1:2" ht="18" customHeight="1">
      <c r="A18" s="911">
        <v>2.6</v>
      </c>
      <c r="B18" s="912" t="s">
        <v>2893</v>
      </c>
    </row>
    <row r="19" spans="1:2" ht="18" customHeight="1">
      <c r="A19" s="911">
        <v>2.7</v>
      </c>
      <c r="B19" s="912" t="s">
        <v>2894</v>
      </c>
    </row>
    <row r="20" spans="1:2" ht="18" customHeight="1">
      <c r="A20" s="911" t="s">
        <v>2968</v>
      </c>
      <c r="B20" s="912" t="s">
        <v>2972</v>
      </c>
    </row>
    <row r="21" spans="1:2" ht="18" customHeight="1">
      <c r="A21" s="911" t="s">
        <v>3083</v>
      </c>
      <c r="B21" s="912" t="s">
        <v>3084</v>
      </c>
    </row>
    <row r="22" spans="1:2" ht="18" customHeight="1">
      <c r="A22" s="911">
        <v>2.8</v>
      </c>
      <c r="B22" s="912" t="s">
        <v>2895</v>
      </c>
    </row>
    <row r="23" spans="1:2" ht="18" customHeight="1">
      <c r="A23" s="911" t="s">
        <v>2966</v>
      </c>
      <c r="B23" s="912" t="s">
        <v>2967</v>
      </c>
    </row>
    <row r="24" spans="1:2" ht="18" customHeight="1">
      <c r="A24" s="911" t="s">
        <v>2896</v>
      </c>
      <c r="B24" s="912" t="s">
        <v>2897</v>
      </c>
    </row>
    <row r="25" spans="1:2" ht="18" customHeight="1">
      <c r="A25" s="911" t="s">
        <v>2898</v>
      </c>
      <c r="B25" s="912" t="s">
        <v>2899</v>
      </c>
    </row>
    <row r="26" spans="1:2" ht="18" customHeight="1">
      <c r="A26" s="911" t="s">
        <v>2900</v>
      </c>
      <c r="B26" s="912" t="s">
        <v>2901</v>
      </c>
    </row>
    <row r="27" spans="1:2" ht="18" customHeight="1">
      <c r="A27" s="911" t="s">
        <v>2902</v>
      </c>
      <c r="B27" s="912" t="s">
        <v>2903</v>
      </c>
    </row>
    <row r="28" spans="1:2" ht="18" customHeight="1">
      <c r="A28" s="911" t="s">
        <v>2904</v>
      </c>
      <c r="B28" s="912" t="s">
        <v>2905</v>
      </c>
    </row>
    <row r="29" spans="1:2" ht="18" customHeight="1">
      <c r="A29" s="911" t="s">
        <v>2906</v>
      </c>
      <c r="B29" s="912" t="s">
        <v>2907</v>
      </c>
    </row>
    <row r="30" spans="1:2" ht="18" customHeight="1">
      <c r="A30" s="911" t="s">
        <v>2908</v>
      </c>
      <c r="B30" s="912" t="s">
        <v>2909</v>
      </c>
    </row>
    <row r="31" spans="1:2" ht="18" customHeight="1">
      <c r="A31" s="911" t="s">
        <v>2910</v>
      </c>
      <c r="B31" s="912" t="s">
        <v>2911</v>
      </c>
    </row>
    <row r="32" spans="1:2" ht="18" customHeight="1">
      <c r="A32" s="911" t="s">
        <v>2912</v>
      </c>
      <c r="B32" s="912" t="s">
        <v>2913</v>
      </c>
    </row>
    <row r="33" spans="1:2" ht="18" customHeight="1">
      <c r="A33" s="911" t="s">
        <v>2914</v>
      </c>
      <c r="B33" s="912" t="s">
        <v>2915</v>
      </c>
    </row>
    <row r="34" spans="1:2" ht="18" customHeight="1">
      <c r="A34" s="911" t="s">
        <v>2916</v>
      </c>
      <c r="B34" s="912" t="s">
        <v>2917</v>
      </c>
    </row>
    <row r="35" spans="1:2" ht="18" customHeight="1">
      <c r="A35" s="911" t="s">
        <v>2918</v>
      </c>
      <c r="B35" s="912" t="s">
        <v>2952</v>
      </c>
    </row>
    <row r="36" spans="1:2" ht="18" customHeight="1">
      <c r="A36" s="911" t="s">
        <v>2919</v>
      </c>
      <c r="B36" s="912" t="s">
        <v>2920</v>
      </c>
    </row>
    <row r="37" spans="1:2" ht="18" customHeight="1">
      <c r="A37" s="911" t="s">
        <v>2921</v>
      </c>
      <c r="B37" s="912" t="s">
        <v>2922</v>
      </c>
    </row>
    <row r="38" spans="1:2" ht="18" customHeight="1">
      <c r="A38" s="911" t="s">
        <v>2923</v>
      </c>
      <c r="B38" s="912" t="s">
        <v>2924</v>
      </c>
    </row>
    <row r="39" spans="1:2" ht="18" customHeight="1">
      <c r="A39" s="911" t="s">
        <v>2925</v>
      </c>
      <c r="B39" s="912" t="s">
        <v>2953</v>
      </c>
    </row>
    <row r="40" spans="1:2" ht="18" customHeight="1">
      <c r="A40" s="911" t="s">
        <v>2926</v>
      </c>
      <c r="B40" s="912" t="s">
        <v>3650</v>
      </c>
    </row>
    <row r="41" spans="1:2" ht="18" customHeight="1">
      <c r="A41" s="911" t="s">
        <v>3493</v>
      </c>
      <c r="B41" s="912" t="s">
        <v>3494</v>
      </c>
    </row>
    <row r="42" spans="1:2" ht="18" customHeight="1">
      <c r="A42" s="911" t="s">
        <v>2927</v>
      </c>
      <c r="B42" s="912" t="s">
        <v>3254</v>
      </c>
    </row>
    <row r="43" spans="1:2" ht="18" customHeight="1">
      <c r="A43" s="911" t="s">
        <v>2928</v>
      </c>
      <c r="B43" s="912" t="s">
        <v>3304</v>
      </c>
    </row>
    <row r="44" spans="1:2" ht="18" customHeight="1">
      <c r="A44" s="911" t="s">
        <v>2929</v>
      </c>
      <c r="B44" s="912" t="s">
        <v>3305</v>
      </c>
    </row>
    <row r="45" spans="1:2" ht="18" customHeight="1">
      <c r="A45" s="911" t="s">
        <v>2930</v>
      </c>
      <c r="B45" s="912" t="s">
        <v>2931</v>
      </c>
    </row>
    <row r="46" spans="1:2" ht="18" customHeight="1">
      <c r="A46" s="911" t="s">
        <v>2932</v>
      </c>
      <c r="B46" s="912" t="s">
        <v>2933</v>
      </c>
    </row>
    <row r="47" spans="1:2" ht="18" customHeight="1">
      <c r="A47" s="911" t="s">
        <v>2934</v>
      </c>
      <c r="B47" s="912" t="s">
        <v>2935</v>
      </c>
    </row>
    <row r="48" spans="1:2" ht="18" customHeight="1">
      <c r="A48" s="911" t="s">
        <v>2936</v>
      </c>
      <c r="B48" s="912" t="s">
        <v>2937</v>
      </c>
    </row>
    <row r="49" spans="1:2" ht="18" customHeight="1">
      <c r="A49" s="911" t="s">
        <v>2938</v>
      </c>
      <c r="B49" s="912" t="s">
        <v>3236</v>
      </c>
    </row>
    <row r="50" spans="1:2" ht="18" customHeight="1">
      <c r="A50" s="911" t="s">
        <v>2939</v>
      </c>
      <c r="B50" s="912" t="s">
        <v>3355</v>
      </c>
    </row>
    <row r="51" spans="1:2" ht="18" customHeight="1">
      <c r="A51" s="911" t="s">
        <v>2941</v>
      </c>
      <c r="B51" s="912" t="s">
        <v>3905</v>
      </c>
    </row>
    <row r="52" spans="1:2" ht="18" customHeight="1">
      <c r="A52" s="911" t="s">
        <v>2942</v>
      </c>
      <c r="B52" s="912" t="s">
        <v>3089</v>
      </c>
    </row>
    <row r="53" spans="1:2" ht="18" customHeight="1">
      <c r="A53" s="911" t="s">
        <v>2944</v>
      </c>
      <c r="B53" s="912" t="s">
        <v>2940</v>
      </c>
    </row>
    <row r="54" spans="1:2" ht="18" customHeight="1">
      <c r="A54" s="911" t="s">
        <v>3085</v>
      </c>
      <c r="B54" s="912" t="s">
        <v>2943</v>
      </c>
    </row>
    <row r="55" spans="1:2" ht="18" customHeight="1">
      <c r="A55" s="911" t="s">
        <v>3086</v>
      </c>
      <c r="B55" s="912" t="s">
        <v>3870</v>
      </c>
    </row>
    <row r="56" spans="1:2" ht="18" customHeight="1">
      <c r="A56" s="911" t="s">
        <v>3087</v>
      </c>
      <c r="B56" s="912" t="s">
        <v>3090</v>
      </c>
    </row>
    <row r="57" spans="1:2" ht="18" customHeight="1">
      <c r="A57" s="911" t="s">
        <v>3088</v>
      </c>
      <c r="B57" s="912" t="s">
        <v>3235</v>
      </c>
    </row>
    <row r="58" spans="1:2" ht="18" customHeight="1">
      <c r="A58" s="911" t="s">
        <v>3770</v>
      </c>
      <c r="B58" s="912" t="s">
        <v>3769</v>
      </c>
    </row>
    <row r="59" spans="1:2" ht="18" customHeight="1">
      <c r="A59" s="911" t="s">
        <v>2945</v>
      </c>
      <c r="B59" s="912" t="s">
        <v>2225</v>
      </c>
    </row>
    <row r="60" spans="1:2" ht="18" customHeight="1">
      <c r="A60" s="911" t="s">
        <v>2946</v>
      </c>
      <c r="B60" s="912" t="s">
        <v>2947</v>
      </c>
    </row>
    <row r="61" spans="1:2" ht="18" customHeight="1">
      <c r="A61" s="911" t="s">
        <v>2948</v>
      </c>
      <c r="B61" s="912" t="s">
        <v>2949</v>
      </c>
    </row>
    <row r="62" spans="1:2" ht="18" customHeight="1">
      <c r="A62" s="911" t="s">
        <v>2950</v>
      </c>
      <c r="B62" s="912" t="s">
        <v>2951</v>
      </c>
    </row>
    <row r="63" spans="1:2" ht="18" customHeight="1">
      <c r="A63" s="911" t="s">
        <v>3091</v>
      </c>
      <c r="B63" s="912" t="s">
        <v>3092</v>
      </c>
    </row>
    <row r="64" spans="1:2" ht="18" customHeight="1">
      <c r="A64" s="911" t="s">
        <v>3623</v>
      </c>
      <c r="B64" s="912" t="s">
        <v>3624</v>
      </c>
    </row>
    <row r="65" spans="1:2" ht="18" customHeight="1">
      <c r="A65" s="911" t="s">
        <v>3805</v>
      </c>
      <c r="B65" s="912" t="s">
        <v>3806</v>
      </c>
    </row>
    <row r="66" spans="1:2" ht="18" customHeight="1">
      <c r="A66" s="911" t="s">
        <v>4173</v>
      </c>
      <c r="B66" s="912" t="s">
        <v>4174</v>
      </c>
    </row>
    <row r="67" spans="1:2" ht="18" customHeight="1">
      <c r="A67" s="911" t="s">
        <v>4247</v>
      </c>
      <c r="B67" s="912" t="s">
        <v>4250</v>
      </c>
    </row>
    <row r="68" spans="1:2" ht="18" customHeight="1">
      <c r="A68" s="911" t="s">
        <v>3093</v>
      </c>
      <c r="B68" s="912" t="s">
        <v>2344</v>
      </c>
    </row>
    <row r="69" spans="1:2" ht="18" customHeight="1">
      <c r="A69" s="911" t="s">
        <v>3094</v>
      </c>
      <c r="B69" s="912" t="s">
        <v>2316</v>
      </c>
    </row>
    <row r="70" spans="1:2" ht="18" customHeight="1">
      <c r="A70" s="911" t="s">
        <v>286</v>
      </c>
      <c r="B70" s="912" t="s">
        <v>3095</v>
      </c>
    </row>
    <row r="71" spans="1:2" ht="18" customHeight="1">
      <c r="A71" s="911" t="s">
        <v>287</v>
      </c>
      <c r="B71" s="912" t="s">
        <v>3230</v>
      </c>
    </row>
    <row r="72" spans="1:2" ht="9.6" customHeight="1"/>
  </sheetData>
  <mergeCells count="3">
    <mergeCell ref="A2:B2"/>
    <mergeCell ref="A3:B3"/>
    <mergeCell ref="A4:B4"/>
  </mergeCells>
  <hyperlinks>
    <hyperlink ref="B6" location="'1.1'!A1" display="Əsas makroiqtisadi göstəricilər" xr:uid="{00000000-0004-0000-0000-000000000000}"/>
    <hyperlink ref="B7" location="'1.2'!A1" display="Qiymət indekslərinin dəyişməsi, %-lə" xr:uid="{00000000-0004-0000-0000-000001000000}"/>
    <hyperlink ref="B8" location="'1.3'!A1" display="Azərbaycan Respublikasının dövlət büdcəsinin əsas göstəriciləri" xr:uid="{00000000-0004-0000-0000-000002000000}"/>
    <hyperlink ref="B9" location="'1.4'!A1" display="Azərbaycan Respublikasının tədiyə balansı" xr:uid="{00000000-0004-0000-0000-000003000000}"/>
    <hyperlink ref="B10" location="'1.5'!A1" display="Azərbaycan Respublikasının xarici ticarəti (tədiyə balansı metodologiyasına əsasən)" xr:uid="{00000000-0004-0000-0000-000004000000}"/>
    <hyperlink ref="B11" location="'1.6'!A1" display="Manatın xarici valyutalara nisbətən nominal və real effektiv məzənnəsi (dekabr 2000=100) " xr:uid="{00000000-0004-0000-0000-000005000000}"/>
    <hyperlink ref="B13" location="'2.1'!A1" display="Pul icmalı (dövrün sonuna)" xr:uid="{00000000-0004-0000-0000-000006000000}"/>
    <hyperlink ref="B14" location="'2.2'!A1" display="AMB-nin analitik balansı (dövrün sonuna)" xr:uid="{00000000-0004-0000-0000-000007000000}"/>
    <hyperlink ref="B15" location="'2.3'!A1" display="Kommersiya banklarının analitik balansı (dövrün sonuna)" xr:uid="{00000000-0004-0000-0000-000008000000}"/>
    <hyperlink ref="B16" location="'2.4'!A1" display="Pul aqreqatları (dövrün sonuna)" xr:uid="{00000000-0004-0000-0000-000009000000}"/>
    <hyperlink ref="B17" location="'2.5'!A1" display="Pul bazası (dövrün sonuna)" xr:uid="{00000000-0004-0000-0000-00000A000000}"/>
    <hyperlink ref="B18" location="'2.6'!A1" display="İqtisadiyyata kredit qoyuluşlarının kredit təşkilatları üzrə strukturu (dövrün sonuna)" xr:uid="{00000000-0004-0000-0000-00000B000000}"/>
    <hyperlink ref="B19" location="'2.7'!A1" display="Kredit təşkilatlarının müddətlər üzrə kredit qoyuluşları (dövrün sonuna)" xr:uid="{00000000-0004-0000-0000-00000C000000}"/>
    <hyperlink ref="B22" location="'2.8'!A1" display="Kredit qoyuluşlarının sahələr üzrə strukturu (dövrün sonuna)" xr:uid="{00000000-0004-0000-0000-00000D000000}"/>
    <hyperlink ref="B24" location="'2.8.1'!A1" display="Ev təsərrüfatlarına verilən kreditlər" xr:uid="{00000000-0004-0000-0000-00000E000000}"/>
    <hyperlink ref="B25" location="'2.8.2'!A1" display="Ticarət və xidmət sektorunda fəaliyyət göstərən hüquqi şəxslərə verilən kreditlər" xr:uid="{00000000-0004-0000-0000-00000F000000}"/>
    <hyperlink ref="B26" location="'2.8.3'!A1" display="Mədənçıxarma sektorunda fəaliyyət göstərən hüquqi şəxslərə verilən kreditlər" xr:uid="{00000000-0004-0000-0000-000010000000}"/>
    <hyperlink ref="B27" location="'2.8.4'!A1" display="Elektrik enerjisi, qaz, buxar və su təsərrüfatı sektoruna verilən kreditlər" xr:uid="{00000000-0004-0000-0000-000011000000}"/>
    <hyperlink ref="B28" location="'2.8.5'!A1" display="Kənd təsərrüfatı, meşə təsərrüfatı və balıqçılıq sektorunda fəaliyyət göstərən hüquqi şəxslərə verilən kreditlər" xr:uid="{00000000-0004-0000-0000-000012000000}"/>
    <hyperlink ref="B29" location="'2.8.6'!A1" display="İnşaat və tikinti sektorunda fəaliyyət göstərən hüquqi şəxslərə verilən kreditlər" xr:uid="{00000000-0004-0000-0000-000013000000}"/>
    <hyperlink ref="B30" location="'2.8.7'!A1" display="Daşınmaz əmlak sektorunda fəaliyyət göstərən hüquqi şəxslərə verilən kreditlər" xr:uid="{00000000-0004-0000-0000-000014000000}"/>
    <hyperlink ref="B31" location="'2.8.8'!A1" display="Sənaye və istehsal sektorunda fəaliyyət göstərən hüquqi şəxslərə verilən kreditlər" xr:uid="{00000000-0004-0000-0000-000015000000}"/>
    <hyperlink ref="B32" location="'2.8.9'!A1" display="Nəqliyyat və rabitə sektorunda fəaliyyət göstərən hüquqi şəxslərə verilən kreditlər" xr:uid="{00000000-0004-0000-0000-000016000000}"/>
    <hyperlink ref="B33" location="'2.9'!A1" display="İpoteka kreditləri haqqında məlumat" xr:uid="{00000000-0004-0000-0000-000017000000}"/>
    <hyperlink ref="B34" location="'2.10'!A1" display="Regionlar üzrə kredit qoyuluşu" xr:uid="{00000000-0004-0000-0000-000018000000}"/>
    <hyperlink ref="B35" location="'2.11'!A1" display="Kredit təşkilatlarında yerləşdirilmiş depozit və əmanətlər (dövrün sonuna)" xr:uid="{00000000-0004-0000-0000-000019000000}"/>
    <hyperlink ref="B36" location="'2.12'!A1" display="Cəmi depozit bazasının valyutalar üzrə strukturu (dövrün sonuna)" xr:uid="{00000000-0004-0000-0000-00001A000000}"/>
    <hyperlink ref="B37" location="'2.13'!A1" display="Fiziki şəxslərin əmanətlərinin strukturu  " xr:uid="{00000000-0004-0000-0000-00001B000000}"/>
    <hyperlink ref="B38" location="'2.14'!A1" display="Regionlar üzrə cəlb olunmuş əmanətlər" xr:uid="{00000000-0004-0000-0000-00001C000000}"/>
    <hyperlink ref="B39" location="'2.15'!A1" display="Mərkəzi Bankın məcburi ehtiyat normaları, %-lə" xr:uid="{00000000-0004-0000-0000-00001D000000}"/>
    <hyperlink ref="B40" location="'2.16'!A1" display="Manatın  xarici valyutalara qarşı rəsmi orta məzənnəsi " xr:uid="{00000000-0004-0000-0000-00001E000000}"/>
    <hyperlink ref="B42" location="'3.1 '!A1" display="Mərkəzi Bankın likvidliyin idarə edilməsi üzrə əməliyyatlarının həcmi və faiz dərəcələri (dövrün sonuna)" xr:uid="{00000000-0004-0000-0000-00001F000000}"/>
    <hyperlink ref="B43" location="'3.2'!A1" display="Depozit və kreditlər üzrə orta faiz dərəcələri" xr:uid="{00000000-0004-0000-0000-000020000000}"/>
    <hyperlink ref="B44" location="'3.2.1'!A1" display="Yeni cəlb olunmuş depozit və yeni verilmiş kreditlər üzrə orta faiz dərəcələri" xr:uid="{00000000-0004-0000-0000-000021000000}"/>
    <hyperlink ref="B45" location="'3.3 '!A1" display="Dövlət istiqrazları" xr:uid="{00000000-0004-0000-0000-000022000000}"/>
    <hyperlink ref="B46" location="'3.4'!A1" display="Mərkəzi Bankın notları" xr:uid="{00000000-0004-0000-0000-000023000000}"/>
    <hyperlink ref="B47" location="'3.5'!A1" display="Qiymətli kağızlar bazarı üzrə əsas göstəricilər " xr:uid="{00000000-0004-0000-0000-000024000000}"/>
    <hyperlink ref="B48" location="'3.6'!A1" display="Nağd xarici valyuta ilə mübadilə əməliyyatları" xr:uid="{00000000-0004-0000-0000-000025000000}"/>
    <hyperlink ref="B49" location="'4.1'!A1" display="Ödəniş və pul köçürmə sistemləri üzrə əməliyyatlar" xr:uid="{00000000-0004-0000-0000-000026000000}"/>
    <hyperlink ref="B50" location="'4.2'!A1" display="Debet və kredit kartları ilə aparılan əməliyyatlar" xr:uid="{00000000-0004-0000-0000-000027000000}"/>
    <hyperlink ref="B51" location="'4.3'!A1" display="Bankomatlar və Pos-terminallar (dövrün sonuna)" xr:uid="{00000000-0004-0000-0000-000028000000}"/>
    <hyperlink ref="B52" location="'4.4'!A1" display="Ödəniş kartları və terminallardan istifadə göstəriciləri" xr:uid="{00000000-0004-0000-0000-000029000000}"/>
    <hyperlink ref="B53" location="'4.5'!A1" display="Müştərilərin bank hesablarının sayı və tərkibi " xr:uid="{00000000-0004-0000-0000-00002A000000}"/>
    <hyperlink ref="B59" location="'5.1'!A1" display="Maliyyə bazarlarının iştirakçıları haqqında ümumi məlumat " xr:uid="{00000000-0004-0000-0000-00002B000000}"/>
    <hyperlink ref="B60" location="'5.2'!A1" display="Bank sektorunun icmal balansı" xr:uid="{00000000-0004-0000-0000-00002C000000}"/>
    <hyperlink ref="B61" location="'5.3'!A1" display="Bank sektorunun mənfəət və zərər haqqında hesabatı" xr:uid="{00000000-0004-0000-0000-00002D000000}"/>
    <hyperlink ref="B23" location="'2.8.d.'!A1" display="Kredit qoyuluşlarının sahələr üzrə strukturu (detallı)" xr:uid="{00000000-0004-0000-0000-00002E000000}"/>
    <hyperlink ref="B20" location="'2.7.d.'!A1" display="Kredit təşkilatlarının müddətlər üzrə kredit qoyuluşları (detallı)" xr:uid="{00000000-0004-0000-0000-00002F000000}"/>
    <hyperlink ref="A21:B21" location="'2.7.1'!Print_Area" display="2.7.1" xr:uid="{00000000-0004-0000-0000-000030000000}"/>
    <hyperlink ref="B55" location="'4.7'!A1" display="Milli Ödəniş Sistemi vasitəsilə aparılan ödəniş əməliyyatlarının iştirakçılar üzrə bölgüsü " xr:uid="{00000000-0004-0000-0000-000031000000}"/>
    <hyperlink ref="B56" location="'4.8'!A1" display="Ödəniş kartları vasitəsilə elektron ticarət əməliyyatları haqqında statistik hesabat " xr:uid="{00000000-0004-0000-0000-000032000000}"/>
    <hyperlink ref="B57" location="'4.9'!A1" display="Statistik vahidlərə məxsus ödəniş xidmət şəbəkəsində ödəniş əməliyyatlarının  təyinatı haqqında statistik hesabat " xr:uid="{00000000-0004-0000-0000-000033000000}"/>
    <hyperlink ref="B62" location="'5.4'!A1" display="Bankların kredit portfelinin strukturu barədə məlumat" xr:uid="{00000000-0004-0000-0000-000034000000}"/>
    <hyperlink ref="B63" location="'5.5'!A1" display="Vəsaitlərin mənbəyinə görə biznes kreditləri barədə məlumat" xr:uid="{00000000-0004-0000-0000-000035000000}"/>
    <hyperlink ref="B69" location="'6.2'!A1" display="Sığorta növləri üzrə sığorta haqları və sığorta ödənişləri" xr:uid="{00000000-0004-0000-0000-000036000000}"/>
    <hyperlink ref="B70" location="'7'!A1" display="Real sektorda İşgüzar Fəallıq İndeksləri " xr:uid="{00000000-0004-0000-0000-000038000000}"/>
    <hyperlink ref="B71" location="'8'!A1" display="Daşınar əmlaka dair Reyestrdə qeydə alınan yüklülüklərin statistikası" xr:uid="{00000000-0004-0000-0000-000039000000}"/>
    <hyperlink ref="B54" location="'4.6'!A1" display="Milli Ödəniş sistemləri üzrə əməliyyatlar" xr:uid="{00000000-0004-0000-0000-00003A000000}"/>
    <hyperlink ref="B12" location="'1.6.1'!A1" display="Manatın əsas ticarət tərəfdaşı olan ölkələrin valyutalarına qarşı real məzənnəsi (dekabr 2000=100) " xr:uid="{00000000-0004-0000-0000-00003B000000}"/>
    <hyperlink ref="B41" location="'2.16.1'!A1" display="Əsas ticarət tərəfdaşı olan ölkələrin valyutalarının manata qarşı dəyişimi, (ilin əvvəlinə nəzərən %-lə)" xr:uid="{00000000-0004-0000-0000-00003C000000}"/>
    <hyperlink ref="B64" location="'5.6'!A1" display="Bankların qeyri-işlək kreditlərinin strukturu barədə məlumat" xr:uid="{00000000-0004-0000-0000-00003D000000}"/>
    <hyperlink ref="B21" location="'2.7.1'!A1" display="Kredit təşkilatlarının müddətlər üzrə yeni kredit qoyuluşları" xr:uid="{00000000-0004-0000-0000-00003E000000}"/>
    <hyperlink ref="B58" location="'4.10'!A1" display="Banklararası Kart Mərkəzi (BKM) vasitəsilə emal olunmuş ödəniş əməliyyatları" xr:uid="{00000000-0004-0000-0000-00003F000000}"/>
    <hyperlink ref="B65" location="'5.7'!A1" display="Biznes portfelinin sahibkarlıq subyektləri üzrə bölgüsü barədə məlumat" xr:uid="{00000000-0004-0000-0000-000040000000}"/>
    <hyperlink ref="B68" location="'6.1'!A1" display="Sığorta şirkətləri üzrə sığorta haqları və sığorta ödənişləri " xr:uid="{00000000-0004-0000-0000-000037000000}"/>
    <hyperlink ref="B66" location="'5.8'!A1" display="Biznes portfelinin sahələr üzrə bölgüsü barədə məlumat" xr:uid="{322A8C3C-41A1-4B1C-B7C6-F370BEE5CDD1}"/>
    <hyperlink ref="B67" location="'5.9'!A1" display="'5.9'!A1" xr:uid="{93FB4DFE-C6D1-4AC0-85A8-30D2D0E09791}"/>
  </hyperlinks>
  <pageMargins left="0.2" right="0.2" top="0.25" bottom="0.2" header="0.3" footer="0.3"/>
  <pageSetup paperSize="9" scale="69" orientation="portrait" verticalDpi="4294967295" r:id="rId1"/>
  <ignoredErrors>
    <ignoredError sqref="A42:A43 A45:A53 A59:A61 A33:A40" numberStoredAsText="1"/>
    <ignoredError sqref="A24:A26 A44 A28:A32" twoDigitTextYear="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tabColor rgb="FF92D050"/>
  </sheetPr>
  <dimension ref="A2:CD301"/>
  <sheetViews>
    <sheetView showGridLines="0" view="pageBreakPreview" zoomScale="120" zoomScaleSheetLayoutView="120" workbookViewId="0">
      <pane ySplit="7" topLeftCell="A287" activePane="bottomLeft" state="frozen"/>
      <selection activeCell="F40" sqref="F40"/>
      <selection pane="bottomLeft" activeCell="F311" sqref="F311"/>
    </sheetView>
  </sheetViews>
  <sheetFormatPr defaultColWidth="9.140625" defaultRowHeight="12.75"/>
  <cols>
    <col min="1" max="1" width="8.140625" style="6" customWidth="1"/>
    <col min="2" max="7" width="18" style="6" customWidth="1"/>
    <col min="8" max="8" width="10.7109375" style="6" customWidth="1"/>
    <col min="9" max="9" width="12.85546875" style="6" customWidth="1"/>
    <col min="10" max="79" width="9.140625" style="6"/>
    <col min="80" max="80" width="0" style="6" hidden="1" customWidth="1"/>
    <col min="81" max="16384" width="9.140625" style="6"/>
  </cols>
  <sheetData>
    <row r="2" spans="1:82" s="1" customFormat="1" ht="13.5" customHeight="1">
      <c r="A2" s="2160" t="s">
        <v>2710</v>
      </c>
      <c r="B2" s="2160"/>
      <c r="C2" s="2160"/>
      <c r="D2" s="2160"/>
      <c r="E2" s="2160"/>
      <c r="F2" s="2160"/>
      <c r="G2" s="2160"/>
    </row>
    <row r="3" spans="1:82" s="1" customFormat="1" ht="18.75" customHeight="1">
      <c r="A3" s="2161" t="s">
        <v>2711</v>
      </c>
      <c r="B3" s="2161"/>
      <c r="C3" s="2161"/>
      <c r="D3" s="2161"/>
      <c r="E3" s="2161"/>
      <c r="F3" s="2161"/>
      <c r="G3" s="2161"/>
    </row>
    <row r="4" spans="1:82" s="1" customFormat="1" ht="12.75" customHeight="1">
      <c r="A4" s="487"/>
      <c r="B4" s="487"/>
      <c r="C4" s="487"/>
      <c r="D4" s="487"/>
      <c r="E4" s="487"/>
      <c r="F4" s="487"/>
      <c r="G4" s="487"/>
    </row>
    <row r="5" spans="1:82" s="1" customFormat="1" ht="12.75" customHeight="1">
      <c r="A5" s="2162" t="s">
        <v>8</v>
      </c>
      <c r="B5" s="2162"/>
      <c r="C5" s="2162"/>
      <c r="D5" s="2162"/>
      <c r="E5" s="2162"/>
      <c r="F5" s="2162"/>
      <c r="G5" s="2162"/>
    </row>
    <row r="6" spans="1:82" s="38" customFormat="1" ht="45.75" customHeight="1">
      <c r="A6" s="579" t="s">
        <v>182</v>
      </c>
      <c r="B6" s="579" t="s">
        <v>116</v>
      </c>
      <c r="C6" s="579" t="s">
        <v>117</v>
      </c>
      <c r="D6" s="579" t="s">
        <v>2046</v>
      </c>
      <c r="E6" s="579" t="s">
        <v>1192</v>
      </c>
      <c r="F6" s="579" t="s">
        <v>1193</v>
      </c>
      <c r="G6" s="579" t="s">
        <v>1194</v>
      </c>
    </row>
    <row r="7" spans="1:82" ht="33" customHeight="1">
      <c r="A7" s="460" t="s">
        <v>283</v>
      </c>
      <c r="B7" s="460" t="s">
        <v>118</v>
      </c>
      <c r="C7" s="460" t="s">
        <v>119</v>
      </c>
      <c r="D7" s="460" t="s">
        <v>2802</v>
      </c>
      <c r="E7" s="460" t="s">
        <v>120</v>
      </c>
      <c r="F7" s="460" t="s">
        <v>2672</v>
      </c>
      <c r="G7" s="460" t="s">
        <v>1195</v>
      </c>
      <c r="CD7" s="229"/>
    </row>
    <row r="8" spans="1:82" hidden="1">
      <c r="A8" s="35">
        <v>1995</v>
      </c>
      <c r="B8" s="39">
        <v>134.10000000000002</v>
      </c>
      <c r="C8" s="39">
        <v>125.82000000000001</v>
      </c>
      <c r="D8" s="39">
        <v>61.443999999999996</v>
      </c>
      <c r="E8" s="39">
        <v>259.92</v>
      </c>
      <c r="F8" s="39">
        <v>191.52</v>
      </c>
      <c r="G8" s="392">
        <v>11.141395154553051</v>
      </c>
      <c r="CC8" s="6">
        <f>CC10+CC11</f>
        <v>4361</v>
      </c>
      <c r="CD8" s="229">
        <f>BY8+BZ8+CA8+CC8</f>
        <v>4361</v>
      </c>
    </row>
    <row r="9" spans="1:82" hidden="1">
      <c r="A9" s="5">
        <v>1996</v>
      </c>
      <c r="B9" s="28">
        <v>118.87999999999997</v>
      </c>
      <c r="C9" s="28">
        <v>190.14000000000001</v>
      </c>
      <c r="D9" s="28">
        <v>377.6</v>
      </c>
      <c r="E9" s="28">
        <v>309.02</v>
      </c>
      <c r="F9" s="28">
        <v>240.84</v>
      </c>
      <c r="G9" s="105">
        <v>11.346121906660022</v>
      </c>
      <c r="CD9" s="229"/>
    </row>
    <row r="10" spans="1:82" hidden="1">
      <c r="A10" s="5">
        <v>1997</v>
      </c>
      <c r="B10" s="28">
        <v>246.68</v>
      </c>
      <c r="C10" s="28">
        <v>166.06</v>
      </c>
      <c r="D10" s="28">
        <v>406.22</v>
      </c>
      <c r="E10" s="28">
        <v>412.74</v>
      </c>
      <c r="F10" s="28">
        <v>311.26</v>
      </c>
      <c r="G10" s="105">
        <v>10.146501317226756</v>
      </c>
      <c r="CC10" s="6">
        <v>3917</v>
      </c>
      <c r="CD10" s="229">
        <f>BY10+BZ10+CA10+CC10</f>
        <v>3917</v>
      </c>
    </row>
    <row r="11" spans="1:82" hidden="1">
      <c r="A11" s="5">
        <v>1998</v>
      </c>
      <c r="B11" s="28">
        <v>138.97999999999999</v>
      </c>
      <c r="C11" s="28">
        <v>203.6</v>
      </c>
      <c r="D11" s="28">
        <v>438.08</v>
      </c>
      <c r="E11" s="28">
        <v>342.58</v>
      </c>
      <c r="F11" s="28">
        <v>243.7</v>
      </c>
      <c r="G11" s="105">
        <v>14.118178087812884</v>
      </c>
      <c r="CC11" s="6">
        <v>444</v>
      </c>
      <c r="CD11" s="229">
        <f t="shared" ref="CD11:CD52" si="0">BY11+BZ11+CA11+CC11</f>
        <v>444</v>
      </c>
    </row>
    <row r="12" spans="1:82" hidden="1">
      <c r="A12" s="5">
        <v>1999</v>
      </c>
      <c r="B12" s="28">
        <v>317.21999999999997</v>
      </c>
      <c r="C12" s="28">
        <v>101.28</v>
      </c>
      <c r="D12" s="28">
        <v>456.66</v>
      </c>
      <c r="E12" s="28">
        <v>418.5</v>
      </c>
      <c r="F12" s="28">
        <v>280.86</v>
      </c>
      <c r="G12" s="105">
        <v>13.440860215053762</v>
      </c>
      <c r="CD12" s="229"/>
    </row>
    <row r="13" spans="1:82" hidden="1">
      <c r="A13" s="5">
        <v>2000</v>
      </c>
      <c r="B13" s="28">
        <v>578.66000000000008</v>
      </c>
      <c r="C13" s="28">
        <v>202.7</v>
      </c>
      <c r="D13" s="28">
        <v>424.18</v>
      </c>
      <c r="E13" s="28">
        <v>781.36</v>
      </c>
      <c r="F13" s="28">
        <v>325.82</v>
      </c>
      <c r="G13" s="105">
        <v>14.481001780123995</v>
      </c>
      <c r="CC13" s="6">
        <f>CC15+CC16</f>
        <v>-2648</v>
      </c>
      <c r="CD13" s="229">
        <f t="shared" si="0"/>
        <v>-2648</v>
      </c>
    </row>
    <row r="14" spans="1:82" ht="7.5" hidden="1" customHeight="1">
      <c r="A14" s="5"/>
      <c r="B14" s="28"/>
      <c r="C14" s="28"/>
      <c r="D14" s="28"/>
      <c r="E14" s="28"/>
      <c r="F14" s="28"/>
      <c r="G14" s="105"/>
      <c r="CD14" s="229"/>
    </row>
    <row r="15" spans="1:82" hidden="1">
      <c r="A15" s="5">
        <v>2001</v>
      </c>
      <c r="B15" s="28">
        <v>666.70134153614254</v>
      </c>
      <c r="C15" s="28">
        <v>20.615555115547579</v>
      </c>
      <c r="D15" s="28">
        <v>365.13</v>
      </c>
      <c r="E15" s="28">
        <v>687.31689665169006</v>
      </c>
      <c r="F15" s="28">
        <v>350.72034710799807</v>
      </c>
      <c r="G15" s="105">
        <v>15.156234999856329</v>
      </c>
      <c r="CC15" s="6">
        <v>-367</v>
      </c>
      <c r="CD15" s="229">
        <f t="shared" si="0"/>
        <v>-367</v>
      </c>
    </row>
    <row r="16" spans="1:82" hidden="1">
      <c r="A16" s="5">
        <v>2002</v>
      </c>
      <c r="B16" s="28">
        <v>535.12949244603442</v>
      </c>
      <c r="C16" s="28">
        <v>250.6294381295495</v>
      </c>
      <c r="D16" s="28">
        <v>426.31</v>
      </c>
      <c r="E16" s="28">
        <v>785.75893057558392</v>
      </c>
      <c r="F16" s="28">
        <v>405.02481057558396</v>
      </c>
      <c r="G16" s="105">
        <v>14.968218839197858</v>
      </c>
      <c r="CC16" s="6">
        <v>-2281</v>
      </c>
      <c r="CD16" s="229">
        <f t="shared" si="0"/>
        <v>-2281</v>
      </c>
    </row>
    <row r="17" spans="1:82" hidden="1">
      <c r="A17" s="5">
        <v>2003</v>
      </c>
      <c r="B17" s="28">
        <v>649.67457614809166</v>
      </c>
      <c r="C17" s="28">
        <v>370.39215656874046</v>
      </c>
      <c r="D17" s="28">
        <v>589.75</v>
      </c>
      <c r="E17" s="28">
        <v>1020.0667327168321</v>
      </c>
      <c r="F17" s="28">
        <v>519.04552047792799</v>
      </c>
      <c r="G17" s="105">
        <v>13.768541906343067</v>
      </c>
      <c r="CD17" s="229"/>
    </row>
    <row r="18" spans="1:82" hidden="1">
      <c r="A18" s="5">
        <v>2004</v>
      </c>
      <c r="B18" s="393">
        <v>960.71047693507967</v>
      </c>
      <c r="C18" s="393">
        <v>545.16788435032413</v>
      </c>
      <c r="D18" s="393">
        <v>944.74</v>
      </c>
      <c r="E18" s="393">
        <v>1505.8783612854038</v>
      </c>
      <c r="F18" s="393">
        <v>685.66962160337187</v>
      </c>
      <c r="G18" s="394">
        <v>12.440685326050986</v>
      </c>
      <c r="CC18" s="6">
        <f>CC20+CC21</f>
        <v>-797</v>
      </c>
      <c r="CD18" s="229">
        <f t="shared" si="0"/>
        <v>-797</v>
      </c>
    </row>
    <row r="19" spans="1:82" hidden="1">
      <c r="A19" s="5">
        <v>2005</v>
      </c>
      <c r="B19" s="393">
        <v>1036.0004879875071</v>
      </c>
      <c r="C19" s="393">
        <v>802.69085712110882</v>
      </c>
      <c r="D19" s="393">
        <v>1451.673865221082</v>
      </c>
      <c r="E19" s="393">
        <v>1838.6913451086159</v>
      </c>
      <c r="F19" s="393">
        <v>796.45042524850601</v>
      </c>
      <c r="G19" s="394">
        <v>15.722886953187034</v>
      </c>
      <c r="CD19" s="229"/>
    </row>
    <row r="20" spans="1:82" ht="15" hidden="1">
      <c r="A20" s="119" t="s">
        <v>18</v>
      </c>
      <c r="B20" s="395">
        <v>942.00474171046619</v>
      </c>
      <c r="C20" s="393">
        <v>502.76538743438368</v>
      </c>
      <c r="D20" s="393">
        <v>944.76346551250992</v>
      </c>
      <c r="E20" s="393">
        <v>1444.7701291448498</v>
      </c>
      <c r="F20" s="393">
        <v>618.41400162516391</v>
      </c>
      <c r="G20" s="394">
        <v>1.0608750744257149</v>
      </c>
      <c r="H20" s="40"/>
      <c r="I20" s="40"/>
      <c r="CC20" s="6">
        <v>-644</v>
      </c>
      <c r="CD20" s="229">
        <f t="shared" si="0"/>
        <v>-644</v>
      </c>
    </row>
    <row r="21" spans="1:82" hidden="1">
      <c r="A21" s="119" t="s">
        <v>19</v>
      </c>
      <c r="B21" s="396">
        <v>898.68403275957837</v>
      </c>
      <c r="C21" s="393">
        <v>544.18132761489369</v>
      </c>
      <c r="D21" s="393">
        <v>998.52206972653198</v>
      </c>
      <c r="E21" s="393">
        <v>1442.8653603744719</v>
      </c>
      <c r="F21" s="393">
        <v>639.79639097140785</v>
      </c>
      <c r="G21" s="394">
        <v>2.1981368132832269</v>
      </c>
      <c r="H21" s="40"/>
      <c r="I21" s="40"/>
      <c r="CC21" s="6">
        <v>-153</v>
      </c>
      <c r="CD21" s="229">
        <f t="shared" si="0"/>
        <v>-153</v>
      </c>
    </row>
    <row r="22" spans="1:82" hidden="1">
      <c r="A22" s="119" t="s">
        <v>20</v>
      </c>
      <c r="B22" s="396">
        <v>892.21515947397927</v>
      </c>
      <c r="C22" s="393">
        <v>556.58481139308469</v>
      </c>
      <c r="D22" s="393">
        <v>1055.30965780519</v>
      </c>
      <c r="E22" s="393">
        <v>1448.7999708670638</v>
      </c>
      <c r="F22" s="393">
        <v>639.81767324583598</v>
      </c>
      <c r="G22" s="394">
        <v>3.3313865639047848</v>
      </c>
      <c r="H22" s="40"/>
      <c r="I22" s="40"/>
      <c r="CD22" s="229"/>
    </row>
    <row r="23" spans="1:82" hidden="1">
      <c r="A23" s="119" t="s">
        <v>21</v>
      </c>
      <c r="B23" s="396">
        <v>1003.1229480410176</v>
      </c>
      <c r="C23" s="393">
        <v>581.65869265508491</v>
      </c>
      <c r="D23" s="393">
        <v>1082.8349468781405</v>
      </c>
      <c r="E23" s="393">
        <v>1584.7816406961019</v>
      </c>
      <c r="F23" s="393">
        <v>681.24733238799013</v>
      </c>
      <c r="G23" s="394">
        <v>4.534270966129446</v>
      </c>
      <c r="H23" s="40"/>
      <c r="I23" s="40"/>
      <c r="CD23" s="229"/>
    </row>
    <row r="24" spans="1:82" hidden="1">
      <c r="A24" s="119" t="s">
        <v>22</v>
      </c>
      <c r="B24" s="396">
        <v>1036.4872921166273</v>
      </c>
      <c r="C24" s="393">
        <v>621.42532569840546</v>
      </c>
      <c r="D24" s="393">
        <v>1099.3367620315685</v>
      </c>
      <c r="E24" s="393">
        <v>1657.9126178150323</v>
      </c>
      <c r="F24" s="393">
        <v>731.29756130039812</v>
      </c>
      <c r="G24" s="394">
        <v>5.4257257373378858</v>
      </c>
      <c r="H24" s="40"/>
      <c r="I24" s="40"/>
      <c r="CD24" s="229"/>
    </row>
    <row r="25" spans="1:82" hidden="1">
      <c r="A25" s="119" t="s">
        <v>23</v>
      </c>
      <c r="B25" s="396">
        <v>1100.3384840961137</v>
      </c>
      <c r="C25" s="393">
        <v>592.14768338986187</v>
      </c>
      <c r="D25" s="393">
        <v>1101.0951560996098</v>
      </c>
      <c r="E25" s="393">
        <v>1692.4861674859758</v>
      </c>
      <c r="F25" s="393">
        <v>775.44086006359987</v>
      </c>
      <c r="G25" s="394">
        <v>6.3203014599953242</v>
      </c>
      <c r="H25" s="40"/>
      <c r="I25" s="40"/>
      <c r="CC25" s="6">
        <v>-31</v>
      </c>
      <c r="CD25" s="229">
        <f t="shared" si="0"/>
        <v>-31</v>
      </c>
    </row>
    <row r="26" spans="1:82" hidden="1">
      <c r="A26" s="119" t="s">
        <v>24</v>
      </c>
      <c r="B26" s="396">
        <v>1082.9939380977798</v>
      </c>
      <c r="C26" s="393">
        <v>691.54060884527803</v>
      </c>
      <c r="D26" s="393">
        <v>1136.9263587689998</v>
      </c>
      <c r="E26" s="393">
        <v>1774.5345469430581</v>
      </c>
      <c r="F26" s="393">
        <v>811.45976042374605</v>
      </c>
      <c r="G26" s="394">
        <v>7.2344437596442654</v>
      </c>
      <c r="H26" s="40"/>
      <c r="I26" s="40"/>
      <c r="CC26" s="6">
        <v>-440</v>
      </c>
      <c r="CD26" s="229">
        <f t="shared" si="0"/>
        <v>-440</v>
      </c>
    </row>
    <row r="27" spans="1:82" hidden="1">
      <c r="A27" s="119" t="s">
        <v>25</v>
      </c>
      <c r="B27" s="396">
        <v>1071.4864969725661</v>
      </c>
      <c r="C27" s="393">
        <v>761.19386633676208</v>
      </c>
      <c r="D27" s="393">
        <v>1226.7760169591581</v>
      </c>
      <c r="E27" s="393">
        <v>1832.6803633093282</v>
      </c>
      <c r="F27" s="393">
        <v>832.04509136438014</v>
      </c>
      <c r="G27" s="394">
        <v>8.5846308981731987</v>
      </c>
      <c r="H27" s="40"/>
      <c r="I27" s="40"/>
      <c r="CD27" s="229"/>
    </row>
    <row r="28" spans="1:82" hidden="1">
      <c r="A28" s="119" t="s">
        <v>26</v>
      </c>
      <c r="B28" s="396">
        <v>1145.196852069382</v>
      </c>
      <c r="C28" s="393">
        <v>728.34411314199565</v>
      </c>
      <c r="D28" s="393">
        <v>1261.4407799139096</v>
      </c>
      <c r="E28" s="393">
        <v>1873.5409652113781</v>
      </c>
      <c r="F28" s="393">
        <v>843.40775928979792</v>
      </c>
      <c r="G28" s="394">
        <v>9.6994364942629403</v>
      </c>
      <c r="H28" s="40"/>
      <c r="I28" s="40"/>
      <c r="CC28" s="6">
        <f>CC30+CC31</f>
        <v>-498</v>
      </c>
      <c r="CD28" s="229">
        <f>BY28+BZ28+CA28+CC28</f>
        <v>-498</v>
      </c>
    </row>
    <row r="29" spans="1:82" hidden="1">
      <c r="A29" s="119" t="s">
        <v>27</v>
      </c>
      <c r="B29" s="396">
        <v>1122.2922589680441</v>
      </c>
      <c r="C29" s="393">
        <v>741.89058961024216</v>
      </c>
      <c r="D29" s="393">
        <v>1338.8969367714942</v>
      </c>
      <c r="E29" s="393">
        <v>1864.1828485782862</v>
      </c>
      <c r="F29" s="393">
        <v>796.90697123063808</v>
      </c>
      <c r="G29" s="394">
        <v>11.643567361032094</v>
      </c>
      <c r="H29" s="40"/>
      <c r="I29" s="40"/>
      <c r="CD29" s="229"/>
    </row>
    <row r="30" spans="1:82" hidden="1">
      <c r="A30" s="119" t="s">
        <v>28</v>
      </c>
      <c r="B30" s="396">
        <v>1098.4971849432382</v>
      </c>
      <c r="C30" s="393">
        <v>706.95883187496793</v>
      </c>
      <c r="D30" s="393">
        <v>1393.8364500878258</v>
      </c>
      <c r="E30" s="393">
        <v>1805.4560168182061</v>
      </c>
      <c r="F30" s="393">
        <v>773.44285378011011</v>
      </c>
      <c r="G30" s="394">
        <v>13.531626737319973</v>
      </c>
      <c r="H30" s="40"/>
      <c r="I30" s="40"/>
      <c r="CC30" s="6">
        <v>-521</v>
      </c>
      <c r="CD30" s="229">
        <f>BY30+BZ30+CA30+CC30</f>
        <v>-521</v>
      </c>
    </row>
    <row r="31" spans="1:82" hidden="1">
      <c r="A31" s="119" t="s">
        <v>29</v>
      </c>
      <c r="B31" s="396">
        <v>1036.0004879875073</v>
      </c>
      <c r="C31" s="393">
        <v>802.69085712110882</v>
      </c>
      <c r="D31" s="393">
        <v>1451.673865221082</v>
      </c>
      <c r="E31" s="393">
        <v>1838.6913451086161</v>
      </c>
      <c r="F31" s="393">
        <v>796.45042524850601</v>
      </c>
      <c r="G31" s="394">
        <v>15.722886953187034</v>
      </c>
      <c r="H31" s="40"/>
      <c r="I31" s="40"/>
      <c r="CC31" s="6">
        <v>23</v>
      </c>
      <c r="CD31" s="229">
        <f>BY31+BZ31+CA31+CC31</f>
        <v>23</v>
      </c>
    </row>
    <row r="32" spans="1:82" hidden="1">
      <c r="A32" s="120">
        <v>2006</v>
      </c>
      <c r="B32" s="393">
        <v>1957.2939453609158</v>
      </c>
      <c r="C32" s="393">
        <v>1477.6651191990834</v>
      </c>
      <c r="D32" s="393">
        <v>2369.0709289899992</v>
      </c>
      <c r="E32" s="393">
        <v>3434.9590645600006</v>
      </c>
      <c r="F32" s="393">
        <v>2135.4512166600002</v>
      </c>
      <c r="G32" s="394"/>
      <c r="H32" s="40"/>
      <c r="I32" s="40"/>
      <c r="CD32" s="229"/>
    </row>
    <row r="33" spans="1:82" hidden="1">
      <c r="A33" s="119" t="s">
        <v>18</v>
      </c>
      <c r="B33" s="393">
        <v>1105.486402558196</v>
      </c>
      <c r="C33" s="393">
        <v>673.5574450718035</v>
      </c>
      <c r="D33" s="393">
        <v>1405.0779187999997</v>
      </c>
      <c r="E33" s="393">
        <v>1779.0438476300001</v>
      </c>
      <c r="F33" s="393">
        <v>707.85783872000013</v>
      </c>
      <c r="G33" s="394">
        <v>1.4307957680194916</v>
      </c>
      <c r="H33" s="40"/>
      <c r="I33" s="40"/>
      <c r="CC33" s="6">
        <v>433</v>
      </c>
      <c r="CD33" s="229">
        <f t="shared" si="0"/>
        <v>433</v>
      </c>
    </row>
    <row r="34" spans="1:82" hidden="1">
      <c r="A34" s="119" t="s">
        <v>19</v>
      </c>
      <c r="B34" s="393">
        <v>1155.1237011387882</v>
      </c>
      <c r="C34" s="393">
        <v>690.58563345121195</v>
      </c>
      <c r="D34" s="393">
        <v>1364.1025199999997</v>
      </c>
      <c r="E34" s="393">
        <v>1845.7093345899996</v>
      </c>
      <c r="F34" s="393">
        <v>764.2260487399999</v>
      </c>
      <c r="G34" s="394">
        <v>2.9165454431641629</v>
      </c>
      <c r="H34" s="40"/>
      <c r="I34" s="40"/>
      <c r="CC34" s="6">
        <v>-931</v>
      </c>
      <c r="CD34" s="229">
        <f t="shared" si="0"/>
        <v>-931</v>
      </c>
    </row>
    <row r="35" spans="1:82" hidden="1">
      <c r="A35" s="119" t="s">
        <v>20</v>
      </c>
      <c r="B35" s="393">
        <v>1252.2659811012934</v>
      </c>
      <c r="C35" s="393">
        <v>674.23729065870577</v>
      </c>
      <c r="D35" s="393">
        <v>1398.9087918199998</v>
      </c>
      <c r="E35" s="393">
        <v>1926.5032717600002</v>
      </c>
      <c r="F35" s="393">
        <v>841.32249034000006</v>
      </c>
      <c r="G35" s="394">
        <v>3.8308734605412758</v>
      </c>
      <c r="H35" s="40"/>
      <c r="I35" s="40"/>
      <c r="CD35" s="229"/>
    </row>
    <row r="36" spans="1:82" hidden="1">
      <c r="A36" s="119" t="s">
        <v>21</v>
      </c>
      <c r="B36" s="393">
        <v>1445.1790252374435</v>
      </c>
      <c r="C36" s="393">
        <v>610.3784273725571</v>
      </c>
      <c r="D36" s="393">
        <v>1504.7018845800005</v>
      </c>
      <c r="E36" s="393">
        <v>2055.5574526100004</v>
      </c>
      <c r="F36" s="393">
        <v>915.66259446000004</v>
      </c>
      <c r="G36" s="394">
        <v>4.8903384577381175</v>
      </c>
      <c r="H36" s="40"/>
      <c r="I36" s="40"/>
      <c r="CC36" s="6">
        <v>204</v>
      </c>
      <c r="CD36" s="229">
        <f t="shared" si="0"/>
        <v>204</v>
      </c>
    </row>
    <row r="37" spans="1:82" hidden="1">
      <c r="A37" s="119" t="s">
        <v>22</v>
      </c>
      <c r="B37" s="393">
        <v>1516.6699195310116</v>
      </c>
      <c r="C37" s="393">
        <v>636.68527485898858</v>
      </c>
      <c r="D37" s="393">
        <v>1577.85957433</v>
      </c>
      <c r="E37" s="393">
        <v>2153.3551943900002</v>
      </c>
      <c r="F37" s="393">
        <v>986.21397751000006</v>
      </c>
      <c r="G37" s="394">
        <v>5.9357301087741297</v>
      </c>
      <c r="CC37" s="6">
        <v>200</v>
      </c>
      <c r="CD37" s="229">
        <f t="shared" si="0"/>
        <v>200</v>
      </c>
    </row>
    <row r="38" spans="1:82" hidden="1">
      <c r="A38" s="119" t="s">
        <v>23</v>
      </c>
      <c r="B38" s="393">
        <v>1585.4926098653332</v>
      </c>
      <c r="C38" s="393">
        <v>763.96339595466634</v>
      </c>
      <c r="D38" s="393">
        <v>1677.1738760599997</v>
      </c>
      <c r="E38" s="393">
        <v>2349.45600582</v>
      </c>
      <c r="F38" s="393">
        <v>1131.2472143800001</v>
      </c>
      <c r="G38" s="394">
        <v>6.3172752243343293</v>
      </c>
      <c r="CD38" s="229"/>
    </row>
    <row r="39" spans="1:82" hidden="1">
      <c r="A39" s="119" t="s">
        <v>24</v>
      </c>
      <c r="B39" s="393">
        <v>1884.5023596718318</v>
      </c>
      <c r="C39" s="393">
        <v>661.60083833816827</v>
      </c>
      <c r="D39" s="393">
        <v>1785.2472700100002</v>
      </c>
      <c r="E39" s="393">
        <v>2546.1031978499996</v>
      </c>
      <c r="F39" s="393">
        <v>1293.6081918599998</v>
      </c>
      <c r="G39" s="394">
        <v>6.8053836203232354</v>
      </c>
      <c r="CC39" s="6">
        <v>295</v>
      </c>
      <c r="CD39" s="229">
        <f t="shared" si="0"/>
        <v>295</v>
      </c>
    </row>
    <row r="40" spans="1:82" hidden="1">
      <c r="A40" s="119" t="s">
        <v>25</v>
      </c>
      <c r="B40" s="393">
        <v>1588.2240708241015</v>
      </c>
      <c r="C40" s="393">
        <v>1071.4717123958985</v>
      </c>
      <c r="D40" s="393">
        <v>1913.3265658300002</v>
      </c>
      <c r="E40" s="393">
        <v>2659.6957829799999</v>
      </c>
      <c r="F40" s="393">
        <v>1411.4761434100001</v>
      </c>
      <c r="G40" s="394">
        <v>7.2949869171179147</v>
      </c>
      <c r="CC40" s="6">
        <v>-95</v>
      </c>
      <c r="CD40" s="229">
        <f t="shared" si="0"/>
        <v>-95</v>
      </c>
    </row>
    <row r="41" spans="1:82" hidden="1">
      <c r="A41" s="119" t="s">
        <v>26</v>
      </c>
      <c r="B41" s="393">
        <v>1638.6151015690937</v>
      </c>
      <c r="C41" s="393">
        <v>1159.5437563109065</v>
      </c>
      <c r="D41" s="393">
        <v>2033.0709613599995</v>
      </c>
      <c r="E41" s="393">
        <v>2798.1588578800006</v>
      </c>
      <c r="F41" s="393">
        <v>1529.3885263800003</v>
      </c>
      <c r="G41" s="394">
        <v>8.3237187806893385</v>
      </c>
      <c r="CD41" s="229"/>
    </row>
    <row r="42" spans="1:82" hidden="1">
      <c r="A42" s="119" t="s">
        <v>27</v>
      </c>
      <c r="B42" s="393">
        <v>2014.0511970996029</v>
      </c>
      <c r="C42" s="393">
        <v>937.11467580039721</v>
      </c>
      <c r="D42" s="393">
        <v>2170.7026661899995</v>
      </c>
      <c r="E42" s="393">
        <v>2951.16587265</v>
      </c>
      <c r="F42" s="393">
        <v>1714.3926982600001</v>
      </c>
      <c r="G42" s="394">
        <v>8.6105126409965997</v>
      </c>
      <c r="CC42" s="6">
        <v>0</v>
      </c>
      <c r="CD42" s="229">
        <f t="shared" si="0"/>
        <v>0</v>
      </c>
    </row>
    <row r="43" spans="1:82" hidden="1">
      <c r="A43" s="119" t="s">
        <v>28</v>
      </c>
      <c r="B43" s="393">
        <v>1649.3031889469619</v>
      </c>
      <c r="C43" s="393">
        <v>1391.3515558130375</v>
      </c>
      <c r="D43" s="393">
        <v>2250.3402722599994</v>
      </c>
      <c r="E43" s="393">
        <v>3040.6547447600001</v>
      </c>
      <c r="F43" s="393">
        <v>1820.3852246000001</v>
      </c>
      <c r="G43" s="394">
        <v>8.9702991319258363</v>
      </c>
      <c r="CD43" s="229"/>
    </row>
    <row r="44" spans="1:82" hidden="1">
      <c r="A44" s="119" t="s">
        <v>29</v>
      </c>
      <c r="B44" s="393">
        <v>1957.2939453609158</v>
      </c>
      <c r="C44" s="393">
        <v>1477.6651191990834</v>
      </c>
      <c r="D44" s="393">
        <v>2369.0709289899992</v>
      </c>
      <c r="E44" s="393">
        <v>3434.9590645600006</v>
      </c>
      <c r="F44" s="393">
        <v>2135.4512166600002</v>
      </c>
      <c r="G44" s="394">
        <v>8.4465052909105189</v>
      </c>
      <c r="CC44" s="6">
        <f>CC45-CC49</f>
        <v>481</v>
      </c>
      <c r="CD44" s="229">
        <f t="shared" si="0"/>
        <v>481</v>
      </c>
    </row>
    <row r="45" spans="1:82" hidden="1">
      <c r="A45" s="121" t="s">
        <v>121</v>
      </c>
      <c r="B45" s="393">
        <v>2871.6757064960207</v>
      </c>
      <c r="C45" s="393">
        <v>3025.579504403981</v>
      </c>
      <c r="D45" s="393">
        <v>4644.1000000000004</v>
      </c>
      <c r="E45" s="393">
        <v>5897.2552108999998</v>
      </c>
      <c r="F45" s="393">
        <v>4401.6000000000004</v>
      </c>
      <c r="G45" s="394"/>
      <c r="CC45" s="6">
        <f>CC47+CC48</f>
        <v>965</v>
      </c>
      <c r="CD45" s="229">
        <f t="shared" si="0"/>
        <v>965</v>
      </c>
    </row>
    <row r="46" spans="1:82" hidden="1">
      <c r="A46" s="119" t="s">
        <v>18</v>
      </c>
      <c r="B46" s="393">
        <v>2114.3700751026372</v>
      </c>
      <c r="C46" s="393">
        <v>1138.1046796473629</v>
      </c>
      <c r="D46" s="393">
        <v>2520.1305085299991</v>
      </c>
      <c r="E46" s="393">
        <v>3252.4747547500001</v>
      </c>
      <c r="F46" s="393">
        <v>1950.7451824</v>
      </c>
      <c r="G46" s="394">
        <v>0.84429274251683528</v>
      </c>
      <c r="CD46" s="229"/>
    </row>
    <row r="47" spans="1:82" hidden="1">
      <c r="A47" s="119" t="s">
        <v>19</v>
      </c>
      <c r="B47" s="393">
        <v>1748.9776398929316</v>
      </c>
      <c r="C47" s="393">
        <v>1599.4913577270686</v>
      </c>
      <c r="D47" s="393">
        <v>2693.2072224200001</v>
      </c>
      <c r="E47" s="393">
        <v>3348.4689976199998</v>
      </c>
      <c r="F47" s="393">
        <v>2078.7716244099997</v>
      </c>
      <c r="G47" s="394">
        <v>1.574535635163375</v>
      </c>
      <c r="CC47" s="6">
        <v>954</v>
      </c>
      <c r="CD47" s="229">
        <f t="shared" si="0"/>
        <v>954</v>
      </c>
    </row>
    <row r="48" spans="1:82" hidden="1">
      <c r="A48" s="119" t="s">
        <v>20</v>
      </c>
      <c r="B48" s="393">
        <v>1805.2500934654174</v>
      </c>
      <c r="C48" s="393">
        <v>1659.1831381645818</v>
      </c>
      <c r="D48" s="393">
        <v>2906.1031668499995</v>
      </c>
      <c r="E48" s="393">
        <v>3464.4332316299997</v>
      </c>
      <c r="F48" s="393">
        <v>2216.0282588099999</v>
      </c>
      <c r="G48" s="394">
        <v>2.3219017986544372</v>
      </c>
      <c r="CC48" s="6">
        <v>11</v>
      </c>
      <c r="CD48" s="229">
        <f t="shared" si="0"/>
        <v>11</v>
      </c>
    </row>
    <row r="49" spans="1:82" hidden="1">
      <c r="A49" s="119" t="s">
        <v>21</v>
      </c>
      <c r="B49" s="393">
        <v>2126.9685358907027</v>
      </c>
      <c r="C49" s="393">
        <v>1418.2946958292966</v>
      </c>
      <c r="D49" s="393">
        <v>3111.6</v>
      </c>
      <c r="E49" s="393">
        <v>3545.26323172</v>
      </c>
      <c r="F49" s="393">
        <v>2340.6354799700002</v>
      </c>
      <c r="G49" s="394">
        <v>2.9411670714690841</v>
      </c>
      <c r="CC49" s="6">
        <f>CC51+CC52+CC53+CC54</f>
        <v>484</v>
      </c>
      <c r="CD49" s="229">
        <f t="shared" si="0"/>
        <v>484</v>
      </c>
    </row>
    <row r="50" spans="1:82" hidden="1">
      <c r="A50" s="119" t="s">
        <v>22</v>
      </c>
      <c r="B50" s="393">
        <v>1831.8186928825041</v>
      </c>
      <c r="C50" s="393">
        <v>1953.1499846174961</v>
      </c>
      <c r="D50" s="393">
        <v>3329.7</v>
      </c>
      <c r="E50" s="393">
        <v>3784.9686775</v>
      </c>
      <c r="F50" s="393">
        <v>2523.2134007700001</v>
      </c>
      <c r="G50" s="394">
        <v>3.4730316497707907</v>
      </c>
      <c r="CD50" s="229"/>
    </row>
    <row r="51" spans="1:82" hidden="1">
      <c r="A51" s="119" t="s">
        <v>23</v>
      </c>
      <c r="B51" s="393">
        <v>2140.3657838791883</v>
      </c>
      <c r="C51" s="393">
        <v>1900.8716703008108</v>
      </c>
      <c r="D51" s="393">
        <v>3462.2</v>
      </c>
      <c r="E51" s="393">
        <v>4041.23745418</v>
      </c>
      <c r="F51" s="393">
        <v>2739.73652227</v>
      </c>
      <c r="G51" s="394">
        <v>3.8954110781271098</v>
      </c>
      <c r="CC51" s="6">
        <v>1214</v>
      </c>
      <c r="CD51" s="229">
        <f t="shared" si="0"/>
        <v>1214</v>
      </c>
    </row>
    <row r="52" spans="1:82" hidden="1">
      <c r="A52" s="119" t="s">
        <v>24</v>
      </c>
      <c r="B52" s="393">
        <v>2800.913101097166</v>
      </c>
      <c r="C52" s="393">
        <v>1540.2822771128333</v>
      </c>
      <c r="D52" s="393">
        <v>3452.6</v>
      </c>
      <c r="E52" s="393">
        <v>4341.1953782099999</v>
      </c>
      <c r="F52" s="393">
        <v>3024.8366283599998</v>
      </c>
      <c r="G52" s="394">
        <v>4.21169853623043</v>
      </c>
      <c r="CC52" s="6">
        <v>-745</v>
      </c>
      <c r="CD52" s="229">
        <f t="shared" si="0"/>
        <v>-745</v>
      </c>
    </row>
    <row r="53" spans="1:82" hidden="1">
      <c r="A53" s="119" t="s">
        <v>25</v>
      </c>
      <c r="B53" s="393">
        <v>2516.90987649923</v>
      </c>
      <c r="C53" s="393">
        <v>2119.1866557407702</v>
      </c>
      <c r="D53" s="393">
        <v>3586</v>
      </c>
      <c r="E53" s="393">
        <v>4636.0965322399998</v>
      </c>
      <c r="F53" s="393">
        <v>3259.80839982</v>
      </c>
      <c r="G53" s="394">
        <v>4.5451751093156672</v>
      </c>
      <c r="CC53" s="6">
        <v>0</v>
      </c>
      <c r="CD53" s="229">
        <f>BY53+BZ53+CA53+CC53</f>
        <v>0</v>
      </c>
    </row>
    <row r="54" spans="1:82" hidden="1">
      <c r="A54" s="119" t="s">
        <v>26</v>
      </c>
      <c r="B54" s="393">
        <v>2744.5623244850672</v>
      </c>
      <c r="C54" s="393">
        <v>2200.4853187249337</v>
      </c>
      <c r="D54" s="393">
        <v>3771.3</v>
      </c>
      <c r="E54" s="393">
        <v>4945.0476432100004</v>
      </c>
      <c r="F54" s="393">
        <v>3417.3791418999999</v>
      </c>
      <c r="G54" s="394">
        <v>4.8598646244344597</v>
      </c>
      <c r="CC54" s="6">
        <v>15</v>
      </c>
      <c r="CD54" s="229">
        <f>BY54+BZ54+CA54+CC54</f>
        <v>15</v>
      </c>
    </row>
    <row r="55" spans="1:82" hidden="1">
      <c r="A55" s="119" t="s">
        <v>27</v>
      </c>
      <c r="B55" s="393">
        <v>3239.6269183050667</v>
      </c>
      <c r="C55" s="393">
        <v>1905.1886028849335</v>
      </c>
      <c r="D55" s="393">
        <v>4077.5</v>
      </c>
      <c r="E55" s="393">
        <v>5144.8155211900003</v>
      </c>
      <c r="F55" s="393">
        <v>3530.0808482500001</v>
      </c>
      <c r="G55" s="394">
        <v>5.3085469725969467</v>
      </c>
      <c r="CC55" s="6">
        <v>-372</v>
      </c>
      <c r="CD55" s="229">
        <f>BY55+BZ55+CA55+CC55</f>
        <v>-372</v>
      </c>
    </row>
    <row r="56" spans="1:82" hidden="1">
      <c r="A56" s="119" t="s">
        <v>28</v>
      </c>
      <c r="B56" s="393">
        <v>3079.6416690861297</v>
      </c>
      <c r="C56" s="393">
        <v>2232.0405344938699</v>
      </c>
      <c r="D56" s="393">
        <v>4387.3999999999996</v>
      </c>
      <c r="E56" s="393">
        <v>5311.6822035799996</v>
      </c>
      <c r="F56" s="393">
        <v>3769.7125072700001</v>
      </c>
      <c r="G56" s="394">
        <v>5.5224370452260967</v>
      </c>
      <c r="CC56" s="6">
        <v>-231</v>
      </c>
      <c r="CD56" s="229">
        <f>BY56+BZ56+CA56+CC56</f>
        <v>-231</v>
      </c>
    </row>
    <row r="57" spans="1:82" hidden="1">
      <c r="A57" s="119" t="s">
        <v>29</v>
      </c>
      <c r="B57" s="393">
        <v>2871.6757064960207</v>
      </c>
      <c r="C57" s="393">
        <v>3025.579504403981</v>
      </c>
      <c r="D57" s="393">
        <v>4644.1000000000004</v>
      </c>
      <c r="E57" s="393">
        <v>5897.2552108999998</v>
      </c>
      <c r="F57" s="393">
        <v>4401.6000000000004</v>
      </c>
      <c r="G57" s="394">
        <v>6.0921255906942919</v>
      </c>
      <c r="CD57" s="229"/>
    </row>
    <row r="58" spans="1:82" ht="17.25" customHeight="1">
      <c r="A58" s="311" t="s">
        <v>114</v>
      </c>
      <c r="B58" s="575">
        <v>4036.0885673581779</v>
      </c>
      <c r="C58" s="575">
        <v>4458.1136025118212</v>
      </c>
      <c r="D58" s="575">
        <v>7224.9</v>
      </c>
      <c r="E58" s="575">
        <v>8494.2021698699991</v>
      </c>
      <c r="F58" s="575">
        <v>6081.0003026699997</v>
      </c>
      <c r="G58" s="571"/>
      <c r="CC58" s="6" t="e">
        <f>#REF!+CC42-CC44+CC55-CC56</f>
        <v>#REF!</v>
      </c>
      <c r="CD58" s="229" t="e">
        <f>BY58+BZ58+CA58+CC58</f>
        <v>#REF!</v>
      </c>
    </row>
    <row r="59" spans="1:82" ht="18.75" hidden="1" customHeight="1">
      <c r="A59" s="576" t="s">
        <v>18</v>
      </c>
      <c r="B59" s="577">
        <v>3540.2907294331403</v>
      </c>
      <c r="C59" s="577">
        <v>2110.0584309268597</v>
      </c>
      <c r="D59" s="577">
        <v>4801.8</v>
      </c>
      <c r="E59" s="577">
        <v>5650.3491603600005</v>
      </c>
      <c r="F59" s="577">
        <v>4095.9496440200001</v>
      </c>
      <c r="G59" s="578">
        <v>0.55811233014973993</v>
      </c>
    </row>
    <row r="60" spans="1:82" ht="17.25" hidden="1" customHeight="1">
      <c r="A60" s="576" t="s">
        <v>19</v>
      </c>
      <c r="B60" s="577">
        <v>3542.9353284594913</v>
      </c>
      <c r="C60" s="577">
        <v>2652.0249402405093</v>
      </c>
      <c r="D60" s="577">
        <v>4857.6000000000004</v>
      </c>
      <c r="E60" s="577">
        <v>6194.9602687000006</v>
      </c>
      <c r="F60" s="577">
        <v>4246.36731977</v>
      </c>
      <c r="G60" s="578">
        <v>1.1226066048987489</v>
      </c>
    </row>
    <row r="61" spans="1:82" ht="15.75" hidden="1" customHeight="1">
      <c r="A61" s="576" t="s">
        <v>20</v>
      </c>
      <c r="B61" s="577">
        <v>3601.5234624221089</v>
      </c>
      <c r="C61" s="577">
        <v>2739.7297048278897</v>
      </c>
      <c r="D61" s="577">
        <v>4969.1000000000004</v>
      </c>
      <c r="E61" s="577">
        <v>6341.2531672499999</v>
      </c>
      <c r="F61" s="577">
        <v>4428.2279845800003</v>
      </c>
      <c r="G61" s="578">
        <v>1.8539695852580784</v>
      </c>
    </row>
    <row r="62" spans="1:82" ht="15.75" hidden="1" customHeight="1">
      <c r="A62" s="576" t="s">
        <v>21</v>
      </c>
      <c r="B62" s="577">
        <v>4315.0298191111997</v>
      </c>
      <c r="C62" s="577">
        <v>2234.8895687087979</v>
      </c>
      <c r="D62" s="577">
        <v>5261</v>
      </c>
      <c r="E62" s="577">
        <v>6549.9193878199994</v>
      </c>
      <c r="F62" s="577">
        <v>4563.1478739799995</v>
      </c>
      <c r="G62" s="578">
        <v>2.4483975335770523</v>
      </c>
    </row>
    <row r="63" spans="1:82" ht="14.25" hidden="1" customHeight="1">
      <c r="A63" s="576" t="s">
        <v>22</v>
      </c>
      <c r="B63" s="577">
        <v>3132.6474541564075</v>
      </c>
      <c r="C63" s="577">
        <v>3696.7593459235904</v>
      </c>
      <c r="D63" s="577">
        <v>6128.2</v>
      </c>
      <c r="E63" s="577">
        <v>6829.4068000799998</v>
      </c>
      <c r="F63" s="577">
        <v>4598.2767978000002</v>
      </c>
      <c r="G63" s="578">
        <v>3.1117309003333178</v>
      </c>
    </row>
    <row r="64" spans="1:82" ht="15.75" hidden="1" customHeight="1">
      <c r="A64" s="576" t="s">
        <v>23</v>
      </c>
      <c r="B64" s="577">
        <v>3842.2920691327045</v>
      </c>
      <c r="C64" s="577">
        <v>3494.7082214072943</v>
      </c>
      <c r="D64" s="577">
        <v>6243.7</v>
      </c>
      <c r="E64" s="577">
        <v>7337.0002905399997</v>
      </c>
      <c r="F64" s="577">
        <v>4933.15039075</v>
      </c>
      <c r="G64" s="578">
        <v>3.7512945144951337</v>
      </c>
    </row>
    <row r="65" spans="1:7" ht="14.25" hidden="1" customHeight="1">
      <c r="A65" s="576" t="s">
        <v>24</v>
      </c>
      <c r="B65" s="577">
        <v>4144.1876290580358</v>
      </c>
      <c r="C65" s="577">
        <v>3393.1324747419662</v>
      </c>
      <c r="D65" s="577">
        <v>6438.3</v>
      </c>
      <c r="E65" s="577">
        <v>7537.3201038000007</v>
      </c>
      <c r="F65" s="577">
        <v>5211.7479659500004</v>
      </c>
      <c r="G65" s="578">
        <v>4.4163877743854849</v>
      </c>
    </row>
    <row r="66" spans="1:7" ht="16.5" hidden="1" customHeight="1">
      <c r="A66" s="576" t="s">
        <v>25</v>
      </c>
      <c r="B66" s="577">
        <v>3962.0719948913643</v>
      </c>
      <c r="C66" s="577">
        <v>3674.5599309386384</v>
      </c>
      <c r="D66" s="577">
        <v>6560.3</v>
      </c>
      <c r="E66" s="577">
        <v>7636.6319258300009</v>
      </c>
      <c r="F66" s="577">
        <v>5365.0975741000002</v>
      </c>
      <c r="G66" s="578">
        <v>4.8259886502331488</v>
      </c>
    </row>
    <row r="67" spans="1:7" ht="16.5" hidden="1" customHeight="1">
      <c r="A67" s="576" t="s">
        <v>26</v>
      </c>
      <c r="B67" s="577">
        <v>3870.2094703189027</v>
      </c>
      <c r="C67" s="577">
        <v>3779.5303113011018</v>
      </c>
      <c r="D67" s="577">
        <v>6687.5</v>
      </c>
      <c r="E67" s="577">
        <v>7649.73978162</v>
      </c>
      <c r="F67" s="577">
        <v>5514.4881937399996</v>
      </c>
      <c r="G67" s="578">
        <v>5.5073832662251814</v>
      </c>
    </row>
    <row r="68" spans="1:7" ht="18.75" hidden="1" customHeight="1">
      <c r="A68" s="576" t="s">
        <v>27</v>
      </c>
      <c r="B68" s="577">
        <v>3915.4523760223565</v>
      </c>
      <c r="C68" s="577">
        <v>3692.5677385876447</v>
      </c>
      <c r="D68" s="577">
        <v>6794.1</v>
      </c>
      <c r="E68" s="577">
        <v>7608.0201146099998</v>
      </c>
      <c r="F68" s="577">
        <v>5443.8339595699999</v>
      </c>
      <c r="G68" s="578">
        <v>5.9778458053063899</v>
      </c>
    </row>
    <row r="69" spans="1:7" ht="16.5" hidden="1" customHeight="1">
      <c r="A69" s="576" t="s">
        <v>28</v>
      </c>
      <c r="B69" s="577">
        <v>3544.2965664101239</v>
      </c>
      <c r="C69" s="577">
        <v>4174.3551066098735</v>
      </c>
      <c r="D69" s="577">
        <v>6958.4</v>
      </c>
      <c r="E69" s="577">
        <v>7718.6516730200001</v>
      </c>
      <c r="F69" s="577">
        <v>5512.8204870700001</v>
      </c>
      <c r="G69" s="578">
        <v>6.2872716572749683</v>
      </c>
    </row>
    <row r="70" spans="1:7" ht="16.5" hidden="1" customHeight="1">
      <c r="A70" s="576" t="s">
        <v>29</v>
      </c>
      <c r="B70" s="572">
        <v>4036.0885673581779</v>
      </c>
      <c r="C70" s="572">
        <v>4458.1136025118212</v>
      </c>
      <c r="D70" s="572">
        <v>7224.9</v>
      </c>
      <c r="E70" s="572">
        <v>8494.2021698699991</v>
      </c>
      <c r="F70" s="572">
        <v>6081.0003026699997</v>
      </c>
      <c r="G70" s="573">
        <v>6.6004272327328879</v>
      </c>
    </row>
    <row r="71" spans="1:7" ht="16.5" customHeight="1">
      <c r="A71" s="37" t="s">
        <v>43</v>
      </c>
      <c r="B71" s="570">
        <v>3529.3299135213997</v>
      </c>
      <c r="C71" s="570">
        <v>4939.8527167585999</v>
      </c>
      <c r="D71" s="570">
        <v>8556.4</v>
      </c>
      <c r="E71" s="570">
        <v>8469.18263028</v>
      </c>
      <c r="F71" s="570">
        <v>6169.2249880700001</v>
      </c>
      <c r="G71" s="571"/>
    </row>
    <row r="72" spans="1:7" ht="18.75" hidden="1" customHeight="1">
      <c r="A72" s="312" t="s">
        <v>18</v>
      </c>
      <c r="B72" s="572">
        <v>4094.828060680517</v>
      </c>
      <c r="C72" s="572">
        <v>3914.4301659494859</v>
      </c>
      <c r="D72" s="572">
        <v>7255.2</v>
      </c>
      <c r="E72" s="572">
        <v>8009.2582266299996</v>
      </c>
      <c r="F72" s="572">
        <v>5594.6607752999998</v>
      </c>
      <c r="G72" s="573">
        <v>0.68981840990941135</v>
      </c>
    </row>
    <row r="73" spans="1:7" ht="15.75" hidden="1" customHeight="1">
      <c r="A73" s="312" t="s">
        <v>19</v>
      </c>
      <c r="B73" s="572">
        <v>3787.356214899678</v>
      </c>
      <c r="C73" s="572">
        <v>3541.033001920322</v>
      </c>
      <c r="D73" s="572">
        <v>6770.2</v>
      </c>
      <c r="E73" s="572">
        <v>7328.38921682</v>
      </c>
      <c r="F73" s="572">
        <v>5264.8158648999997</v>
      </c>
      <c r="G73" s="573">
        <v>0.73303608312867441</v>
      </c>
    </row>
    <row r="74" spans="1:7" ht="15" hidden="1" customHeight="1">
      <c r="A74" s="312" t="s">
        <v>20</v>
      </c>
      <c r="B74" s="572">
        <v>3189.0613707546263</v>
      </c>
      <c r="C74" s="572">
        <v>3208.3223166553739</v>
      </c>
      <c r="D74" s="572">
        <v>6299.8</v>
      </c>
      <c r="E74" s="572">
        <v>6397.3836874099998</v>
      </c>
      <c r="F74" s="572">
        <v>4740.8666567799992</v>
      </c>
      <c r="G74" s="573">
        <v>1.4220606669791966</v>
      </c>
    </row>
    <row r="75" spans="1:7" ht="17.25" hidden="1" customHeight="1">
      <c r="A75" s="312" t="s">
        <v>21</v>
      </c>
      <c r="B75" s="572">
        <v>3217.4189168434937</v>
      </c>
      <c r="C75" s="572">
        <v>3285.0097464865057</v>
      </c>
      <c r="D75" s="572">
        <v>6381.1</v>
      </c>
      <c r="E75" s="572">
        <v>6502.4286633299998</v>
      </c>
      <c r="F75" s="572">
        <v>4732.2624489400005</v>
      </c>
      <c r="G75" s="573">
        <v>1.900993467092057</v>
      </c>
    </row>
    <row r="76" spans="1:7" ht="17.25" hidden="1" customHeight="1">
      <c r="A76" s="312" t="s">
        <v>22</v>
      </c>
      <c r="B76" s="572">
        <v>3245.4877517428868</v>
      </c>
      <c r="C76" s="572">
        <v>3366.4842491071126</v>
      </c>
      <c r="D76" s="572">
        <v>6487.6</v>
      </c>
      <c r="E76" s="572">
        <v>6611.9720008499989</v>
      </c>
      <c r="F76" s="572">
        <v>4811.1753836499993</v>
      </c>
      <c r="G76" s="573">
        <v>2.362437261926857</v>
      </c>
    </row>
    <row r="77" spans="1:7" ht="17.25" hidden="1" customHeight="1">
      <c r="A77" s="312" t="s">
        <v>23</v>
      </c>
      <c r="B77" s="572">
        <v>3348.0183800322197</v>
      </c>
      <c r="C77" s="572">
        <v>3345.90775259778</v>
      </c>
      <c r="D77" s="572">
        <v>6569</v>
      </c>
      <c r="E77" s="572">
        <v>6693.9261326299993</v>
      </c>
      <c r="F77" s="572">
        <v>4872.0269019699999</v>
      </c>
      <c r="G77" s="573">
        <v>2.9325987494491832</v>
      </c>
    </row>
    <row r="78" spans="1:7" ht="17.25" hidden="1" customHeight="1">
      <c r="A78" s="312" t="s">
        <v>24</v>
      </c>
      <c r="B78" s="572">
        <v>3426.4139952291048</v>
      </c>
      <c r="C78" s="572">
        <v>4155.9721593008981</v>
      </c>
      <c r="D78" s="572">
        <v>7322.8</v>
      </c>
      <c r="E78" s="572">
        <v>7582.3861545300006</v>
      </c>
      <c r="F78" s="572">
        <v>5091.55427401</v>
      </c>
      <c r="G78" s="573">
        <v>3.4049524107981552</v>
      </c>
    </row>
    <row r="79" spans="1:7" ht="19.5" hidden="1" customHeight="1">
      <c r="A79" s="312" t="s">
        <v>25</v>
      </c>
      <c r="B79" s="572">
        <v>3316.7335057105502</v>
      </c>
      <c r="C79" s="572">
        <v>4252.3173844294488</v>
      </c>
      <c r="D79" s="572">
        <v>7733.7</v>
      </c>
      <c r="E79" s="572">
        <v>7569.0508901399999</v>
      </c>
      <c r="F79" s="572">
        <v>5333.4637649400001</v>
      </c>
      <c r="G79" s="573">
        <v>3.8676554129044614</v>
      </c>
    </row>
    <row r="80" spans="1:7" ht="16.5" hidden="1" customHeight="1">
      <c r="A80" s="312" t="s">
        <v>26</v>
      </c>
      <c r="B80" s="572">
        <v>3193.8457408628246</v>
      </c>
      <c r="C80" s="572">
        <v>4264.5089945971758</v>
      </c>
      <c r="D80" s="572">
        <v>7906.4</v>
      </c>
      <c r="E80" s="572">
        <v>7458.3547354599996</v>
      </c>
      <c r="F80" s="572">
        <v>5222.3727558999999</v>
      </c>
      <c r="G80" s="573">
        <v>4.4859111164619803</v>
      </c>
    </row>
    <row r="81" spans="1:7" ht="17.25" hidden="1" customHeight="1">
      <c r="A81" s="312" t="s">
        <v>27</v>
      </c>
      <c r="B81" s="572">
        <v>3676.8798485942398</v>
      </c>
      <c r="C81" s="572">
        <v>3998.7418354157576</v>
      </c>
      <c r="D81" s="572">
        <v>8128.2</v>
      </c>
      <c r="E81" s="572">
        <v>7675.6216840100005</v>
      </c>
      <c r="F81" s="572">
        <v>5388.5222151300004</v>
      </c>
      <c r="G81" s="573">
        <v>4.9452333935227388</v>
      </c>
    </row>
    <row r="82" spans="1:7" ht="15.75" hidden="1" customHeight="1">
      <c r="A82" s="312" t="s">
        <v>28</v>
      </c>
      <c r="B82" s="572">
        <v>3707.3092519136003</v>
      </c>
      <c r="C82" s="572">
        <v>4197.5760347863998</v>
      </c>
      <c r="D82" s="572">
        <v>8253.7999999999993</v>
      </c>
      <c r="E82" s="572">
        <v>7904.8852866999987</v>
      </c>
      <c r="F82" s="572">
        <v>5575.5593386</v>
      </c>
      <c r="G82" s="573">
        <v>5.3186053988703579</v>
      </c>
    </row>
    <row r="83" spans="1:7" ht="18" hidden="1" customHeight="1">
      <c r="A83" s="312" t="s">
        <v>29</v>
      </c>
      <c r="B83" s="572">
        <v>3529.3299135213997</v>
      </c>
      <c r="C83" s="572">
        <v>4939.8527167585999</v>
      </c>
      <c r="D83" s="572">
        <v>8556.4</v>
      </c>
      <c r="E83" s="572">
        <v>8469.18263028</v>
      </c>
      <c r="F83" s="572">
        <v>6169.2249880700001</v>
      </c>
      <c r="G83" s="573">
        <v>5.605031436990549</v>
      </c>
    </row>
    <row r="84" spans="1:7" ht="17.25" customHeight="1">
      <c r="A84" s="37" t="s">
        <v>48</v>
      </c>
      <c r="B84" s="570">
        <v>4638.2789533463601</v>
      </c>
      <c r="C84" s="570">
        <v>5889.2101490436416</v>
      </c>
      <c r="D84" s="570">
        <v>9388.0786196000026</v>
      </c>
      <c r="E84" s="570">
        <v>10527.48910239</v>
      </c>
      <c r="F84" s="570">
        <v>8297.46906709</v>
      </c>
      <c r="G84" s="571"/>
    </row>
    <row r="85" spans="1:7" ht="15" hidden="1" customHeight="1">
      <c r="A85" s="312" t="s">
        <v>18</v>
      </c>
      <c r="B85" s="572">
        <v>3668.1501651784997</v>
      </c>
      <c r="C85" s="572">
        <v>4475.6204525714975</v>
      </c>
      <c r="D85" s="572">
        <v>8613.4</v>
      </c>
      <c r="E85" s="572">
        <v>8143.7706177500004</v>
      </c>
      <c r="F85" s="572">
        <v>5837.6964127600004</v>
      </c>
      <c r="G85" s="573">
        <v>5.4516333487503639</v>
      </c>
    </row>
    <row r="86" spans="1:7" ht="14.25" hidden="1" customHeight="1">
      <c r="A86" s="312" t="s">
        <v>19</v>
      </c>
      <c r="B86" s="572">
        <v>3547.8373440769988</v>
      </c>
      <c r="C86" s="572">
        <v>4584.7193941429996</v>
      </c>
      <c r="D86" s="572">
        <v>8550.5</v>
      </c>
      <c r="E86" s="572">
        <v>8132.5567382199988</v>
      </c>
      <c r="F86" s="572">
        <v>5853.1111007499994</v>
      </c>
      <c r="G86" s="573">
        <v>6.2817993883583059</v>
      </c>
    </row>
    <row r="87" spans="1:7" ht="15.75" hidden="1" customHeight="1">
      <c r="A87" s="312" t="s">
        <v>20</v>
      </c>
      <c r="B87" s="572">
        <v>4003.4407711724007</v>
      </c>
      <c r="C87" s="572">
        <v>4669.9762340275984</v>
      </c>
      <c r="D87" s="572">
        <v>8658.5</v>
      </c>
      <c r="E87" s="572">
        <v>8673.4170052000009</v>
      </c>
      <c r="F87" s="572">
        <v>6182.5589487400002</v>
      </c>
      <c r="G87" s="573">
        <v>6.1796655128910167</v>
      </c>
    </row>
    <row r="88" spans="1:7" ht="16.5" hidden="1" customHeight="1">
      <c r="A88" s="312" t="s">
        <v>21</v>
      </c>
      <c r="B88" s="572">
        <v>3891.044689624101</v>
      </c>
      <c r="C88" s="572">
        <v>4844.4220380058996</v>
      </c>
      <c r="D88" s="572">
        <v>8797.5</v>
      </c>
      <c r="E88" s="572">
        <v>8735.4667276299988</v>
      </c>
      <c r="F88" s="572">
        <v>6347.7163216399995</v>
      </c>
      <c r="G88" s="573">
        <v>6.1368212108322693</v>
      </c>
    </row>
    <row r="89" spans="1:7" ht="17.25" hidden="1" customHeight="1">
      <c r="A89" s="312" t="s">
        <v>22</v>
      </c>
      <c r="B89" s="572">
        <v>3823.2081689596812</v>
      </c>
      <c r="C89" s="572">
        <v>5106.558011780322</v>
      </c>
      <c r="D89" s="572">
        <v>8945.5</v>
      </c>
      <c r="E89" s="572">
        <v>8929.76618074</v>
      </c>
      <c r="F89" s="572">
        <v>6453.9733412699998</v>
      </c>
      <c r="G89" s="573">
        <v>6.1483359157111872</v>
      </c>
    </row>
    <row r="90" spans="1:7" ht="19.5" hidden="1" customHeight="1">
      <c r="A90" s="312" t="s">
        <v>23</v>
      </c>
      <c r="B90" s="572">
        <v>3682.3204846679605</v>
      </c>
      <c r="C90" s="572">
        <v>5400.1562917620377</v>
      </c>
      <c r="D90" s="572">
        <v>9033.5</v>
      </c>
      <c r="E90" s="572">
        <v>9082.4767764299995</v>
      </c>
      <c r="F90" s="572">
        <v>6629.4488834099993</v>
      </c>
      <c r="G90" s="573">
        <v>5.9371888858720245</v>
      </c>
    </row>
    <row r="91" spans="1:7" ht="18" hidden="1" customHeight="1">
      <c r="A91" s="312" t="s">
        <v>24</v>
      </c>
      <c r="B91" s="572">
        <v>3854.6548589143995</v>
      </c>
      <c r="C91" s="572">
        <v>5199.8102829856016</v>
      </c>
      <c r="D91" s="572">
        <v>8852.5</v>
      </c>
      <c r="E91" s="572">
        <v>9054.4651419000002</v>
      </c>
      <c r="F91" s="572">
        <v>6892.0023660900006</v>
      </c>
      <c r="G91" s="573">
        <v>5.7594022054556016</v>
      </c>
    </row>
    <row r="92" spans="1:7" ht="17.25" hidden="1" customHeight="1">
      <c r="A92" s="312" t="s">
        <v>25</v>
      </c>
      <c r="B92" s="572">
        <v>4026.5998572004796</v>
      </c>
      <c r="C92" s="572">
        <v>5288.4060610195193</v>
      </c>
      <c r="D92" s="572">
        <v>9011.2999999999993</v>
      </c>
      <c r="E92" s="572">
        <v>9315.0059182199984</v>
      </c>
      <c r="F92" s="572">
        <v>7046.6076046599992</v>
      </c>
      <c r="G92" s="573">
        <v>5.5749439445973934</v>
      </c>
    </row>
    <row r="93" spans="1:7" ht="17.25" hidden="1" customHeight="1">
      <c r="A93" s="312" t="s">
        <v>26</v>
      </c>
      <c r="B93" s="572">
        <v>4070.8463910498099</v>
      </c>
      <c r="C93" s="572">
        <v>5319.1216225301914</v>
      </c>
      <c r="D93" s="572">
        <v>9160.7000000000007</v>
      </c>
      <c r="E93" s="572">
        <v>9389.968013579999</v>
      </c>
      <c r="F93" s="572">
        <v>7156.0729733199987</v>
      </c>
      <c r="G93" s="573">
        <v>5.4606978661561465</v>
      </c>
    </row>
    <row r="94" spans="1:7" ht="16.5" hidden="1" customHeight="1">
      <c r="A94" s="312" t="s">
        <v>27</v>
      </c>
      <c r="B94" s="572">
        <v>4046.5815493722507</v>
      </c>
      <c r="C94" s="572">
        <v>5573.3372700677555</v>
      </c>
      <c r="D94" s="572">
        <v>9257</v>
      </c>
      <c r="E94" s="572">
        <v>9619.9188194400012</v>
      </c>
      <c r="F94" s="572">
        <v>7314.5376940000006</v>
      </c>
      <c r="G94" s="573">
        <v>5.3317930138765455</v>
      </c>
    </row>
    <row r="95" spans="1:7" ht="14.25" hidden="1" customHeight="1">
      <c r="A95" s="312" t="s">
        <v>28</v>
      </c>
      <c r="B95" s="572">
        <v>4253.3071951301599</v>
      </c>
      <c r="C95" s="572">
        <v>5367.4674216098392</v>
      </c>
      <c r="D95" s="572">
        <v>9352.5</v>
      </c>
      <c r="E95" s="572">
        <v>9620.7746167400001</v>
      </c>
      <c r="F95" s="572">
        <v>7417.6583926100002</v>
      </c>
      <c r="G95" s="573">
        <v>5.3790797686614455</v>
      </c>
    </row>
    <row r="96" spans="1:7" ht="16.5" hidden="1" customHeight="1">
      <c r="A96" s="312" t="s">
        <v>29</v>
      </c>
      <c r="B96" s="572">
        <v>4638.2789533463601</v>
      </c>
      <c r="C96" s="572">
        <v>5889.2101490436416</v>
      </c>
      <c r="D96" s="572">
        <v>9388.0786196000026</v>
      </c>
      <c r="E96" s="572">
        <v>10527.48910239</v>
      </c>
      <c r="F96" s="572">
        <v>8297.46906709</v>
      </c>
      <c r="G96" s="573">
        <v>5.0105091895149139</v>
      </c>
    </row>
    <row r="97" spans="1:7" ht="13.5" customHeight="1">
      <c r="A97" s="37" t="s">
        <v>1024</v>
      </c>
      <c r="B97" s="570">
        <v>7849.8831809402491</v>
      </c>
      <c r="C97" s="570">
        <v>6053.2924071797524</v>
      </c>
      <c r="D97" s="570">
        <v>11814.156175560001</v>
      </c>
      <c r="E97" s="570">
        <v>13903.175588120001</v>
      </c>
      <c r="F97" s="570">
        <v>10997.158822920001</v>
      </c>
      <c r="G97" s="571"/>
    </row>
    <row r="98" spans="1:7" ht="16.5" hidden="1" customHeight="1">
      <c r="A98" s="312" t="s">
        <v>18</v>
      </c>
      <c r="B98" s="572">
        <v>5059.3703026452013</v>
      </c>
      <c r="C98" s="572">
        <v>5047.8902188148004</v>
      </c>
      <c r="D98" s="572">
        <v>9385.0613247399997</v>
      </c>
      <c r="E98" s="572">
        <v>10107.260521460001</v>
      </c>
      <c r="F98" s="572">
        <v>7763.8045956900005</v>
      </c>
      <c r="G98" s="573">
        <v>5.3208480383317447</v>
      </c>
    </row>
    <row r="99" spans="1:7" ht="15" hidden="1" customHeight="1">
      <c r="A99" s="312" t="s">
        <v>19</v>
      </c>
      <c r="B99" s="572">
        <v>4993.7096705192007</v>
      </c>
      <c r="C99" s="572">
        <v>5278.896107180798</v>
      </c>
      <c r="D99" s="572">
        <v>9403.6249008399973</v>
      </c>
      <c r="E99" s="572">
        <v>10272.605777700001</v>
      </c>
      <c r="F99" s="572">
        <v>7907.6871624700007</v>
      </c>
      <c r="G99" s="573">
        <v>5.0923783148070871</v>
      </c>
    </row>
    <row r="100" spans="1:7" ht="16.5" hidden="1" customHeight="1">
      <c r="A100" s="312" t="s">
        <v>20</v>
      </c>
      <c r="B100" s="572">
        <v>5201.6591942505493</v>
      </c>
      <c r="C100" s="572">
        <v>5555.7410697094501</v>
      </c>
      <c r="D100" s="572">
        <v>8598.9848898</v>
      </c>
      <c r="E100" s="572">
        <v>10757.400264010001</v>
      </c>
      <c r="F100" s="572">
        <v>8115.4929009299995</v>
      </c>
      <c r="G100" s="573">
        <v>5.1363933214219708</v>
      </c>
    </row>
    <row r="101" spans="1:7" ht="16.5" hidden="1" customHeight="1">
      <c r="A101" s="312" t="s">
        <v>21</v>
      </c>
      <c r="B101" s="572">
        <v>5607.7632550175222</v>
      </c>
      <c r="C101" s="572">
        <v>5152.8061162224822</v>
      </c>
      <c r="D101" s="572">
        <v>10354.34255773</v>
      </c>
      <c r="E101" s="572">
        <v>10760.569371239999</v>
      </c>
      <c r="F101" s="572">
        <v>8176.43909859</v>
      </c>
      <c r="G101" s="573">
        <v>5.0321290543515484</v>
      </c>
    </row>
    <row r="102" spans="1:7" ht="14.25" hidden="1" customHeight="1">
      <c r="A102" s="312" t="s">
        <v>22</v>
      </c>
      <c r="B102" s="572">
        <v>5530.0868574797987</v>
      </c>
      <c r="C102" s="572">
        <v>5526.046390690195</v>
      </c>
      <c r="D102" s="572">
        <v>10542.867697859994</v>
      </c>
      <c r="E102" s="572">
        <v>11056.133248170001</v>
      </c>
      <c r="F102" s="572">
        <v>8392.0020107100008</v>
      </c>
      <c r="G102" s="573">
        <v>5.0323879885605338</v>
      </c>
    </row>
    <row r="103" spans="1:7" ht="14.25" hidden="1" customHeight="1">
      <c r="A103" s="312" t="s">
        <v>23</v>
      </c>
      <c r="B103" s="572">
        <v>5226.8616327624595</v>
      </c>
      <c r="C103" s="572">
        <v>6185.6545389375387</v>
      </c>
      <c r="D103" s="572">
        <v>10708.556130879999</v>
      </c>
      <c r="E103" s="572">
        <v>11412.516171699999</v>
      </c>
      <c r="F103" s="572">
        <v>8735.36012544</v>
      </c>
      <c r="G103" s="573">
        <v>5.1552304416512129</v>
      </c>
    </row>
    <row r="104" spans="1:7" ht="14.25" hidden="1" customHeight="1">
      <c r="A104" s="312" t="s">
        <v>24</v>
      </c>
      <c r="B104" s="572">
        <v>5605.0630788195194</v>
      </c>
      <c r="C104" s="572">
        <v>6316.1646247204781</v>
      </c>
      <c r="D104" s="572">
        <v>10910.089063099998</v>
      </c>
      <c r="E104" s="572">
        <v>11921.22770354</v>
      </c>
      <c r="F104" s="572">
        <v>9351.3794538900001</v>
      </c>
      <c r="G104" s="573">
        <v>4.8583634536005302</v>
      </c>
    </row>
    <row r="105" spans="1:7" ht="14.25" hidden="1" customHeight="1">
      <c r="A105" s="312" t="s">
        <v>25</v>
      </c>
      <c r="B105" s="572">
        <v>4966.9644559154995</v>
      </c>
      <c r="C105" s="572">
        <v>7369.2815616044973</v>
      </c>
      <c r="D105" s="572">
        <v>11328.251774179998</v>
      </c>
      <c r="E105" s="572">
        <v>12336.246017520003</v>
      </c>
      <c r="F105" s="572">
        <v>9569.8319123600013</v>
      </c>
      <c r="G105" s="573">
        <v>4.8384710234278669</v>
      </c>
    </row>
    <row r="106" spans="1:7" ht="14.25" hidden="1" customHeight="1">
      <c r="A106" s="312" t="s">
        <v>26</v>
      </c>
      <c r="B106" s="572">
        <v>4996.0327912871089</v>
      </c>
      <c r="C106" s="572">
        <v>7656.139593962891</v>
      </c>
      <c r="D106" s="572">
        <v>11487.75340066</v>
      </c>
      <c r="E106" s="572">
        <v>12652.172385250002</v>
      </c>
      <c r="F106" s="572">
        <v>9630.2770908400016</v>
      </c>
      <c r="G106" s="573">
        <v>4.7880959056311854</v>
      </c>
    </row>
    <row r="107" spans="1:7" ht="14.25" hidden="1" customHeight="1">
      <c r="A107" s="312" t="s">
        <v>27</v>
      </c>
      <c r="B107" s="572">
        <v>5449.4394000178991</v>
      </c>
      <c r="C107" s="572">
        <v>7202.781769612101</v>
      </c>
      <c r="D107" s="572">
        <v>11600.475687729999</v>
      </c>
      <c r="E107" s="572">
        <v>12652.22116963</v>
      </c>
      <c r="F107" s="572">
        <v>9748.6448836399995</v>
      </c>
      <c r="G107" s="573">
        <v>5.0087192007057419</v>
      </c>
    </row>
    <row r="108" spans="1:7" ht="14.25" hidden="1" customHeight="1">
      <c r="A108" s="312" t="s">
        <v>28</v>
      </c>
      <c r="B108" s="572">
        <v>5247.1810448815995</v>
      </c>
      <c r="C108" s="572">
        <v>7583.5584755884047</v>
      </c>
      <c r="D108" s="572">
        <v>11677.472621020004</v>
      </c>
      <c r="E108" s="572">
        <v>12830.739520470001</v>
      </c>
      <c r="F108" s="572">
        <v>9991.944854450001</v>
      </c>
      <c r="G108" s="573">
        <v>4.9651017324032471</v>
      </c>
    </row>
    <row r="109" spans="1:7" ht="14.25" hidden="1" customHeight="1">
      <c r="A109" s="312" t="s">
        <v>29</v>
      </c>
      <c r="B109" s="572">
        <v>7849.8831809402491</v>
      </c>
      <c r="C109" s="572">
        <v>6053.2924071797524</v>
      </c>
      <c r="D109" s="572">
        <v>11814.156175560001</v>
      </c>
      <c r="E109" s="572">
        <v>13903.175588120001</v>
      </c>
      <c r="F109" s="572">
        <v>10997.158822920001</v>
      </c>
      <c r="G109" s="573">
        <v>4.5528861892117991</v>
      </c>
    </row>
    <row r="110" spans="1:7" ht="13.5" customHeight="1">
      <c r="A110" s="37" t="s">
        <v>1288</v>
      </c>
      <c r="B110" s="570">
        <v>8283.1419850940001</v>
      </c>
      <c r="C110" s="570">
        <v>8492.1598212959962</v>
      </c>
      <c r="D110" s="570">
        <v>15603.110140220002</v>
      </c>
      <c r="E110" s="570">
        <v>16775.301806390002</v>
      </c>
      <c r="F110" s="570">
        <v>13806.376126880001</v>
      </c>
      <c r="G110" s="571"/>
    </row>
    <row r="111" spans="1:7" ht="16.5" hidden="1" customHeight="1">
      <c r="A111" s="312" t="s">
        <v>18</v>
      </c>
      <c r="B111" s="572">
        <v>8179.2003237670415</v>
      </c>
      <c r="C111" s="572">
        <v>5295.426421032962</v>
      </c>
      <c r="D111" s="572">
        <v>11960.857928580001</v>
      </c>
      <c r="E111" s="572">
        <v>13474.6267448</v>
      </c>
      <c r="F111" s="572">
        <v>10550.646729730001</v>
      </c>
      <c r="G111" s="573">
        <v>4.6532329914886361</v>
      </c>
    </row>
    <row r="112" spans="1:7" ht="16.5" hidden="1" customHeight="1">
      <c r="A112" s="312" t="s">
        <v>19</v>
      </c>
      <c r="B112" s="572">
        <v>8320.9053566173188</v>
      </c>
      <c r="C112" s="572">
        <v>5478.2565195426796</v>
      </c>
      <c r="D112" s="572">
        <v>12101.508401289999</v>
      </c>
      <c r="E112" s="572">
        <v>13799.16187616</v>
      </c>
      <c r="F112" s="572">
        <v>10694.32494869</v>
      </c>
      <c r="G112" s="573">
        <v>4.4894382989068946</v>
      </c>
    </row>
    <row r="113" spans="1:7" ht="16.5" hidden="1" customHeight="1">
      <c r="A113" s="312" t="s">
        <v>20</v>
      </c>
      <c r="B113" s="572">
        <v>8374.4350423209999</v>
      </c>
      <c r="C113" s="572">
        <v>5945.4477897390016</v>
      </c>
      <c r="D113" s="572">
        <v>12123.262548840001</v>
      </c>
      <c r="E113" s="572">
        <v>14319.88283205</v>
      </c>
      <c r="F113" s="572">
        <v>11263.437944789999</v>
      </c>
      <c r="G113" s="573">
        <v>4.364259459843387</v>
      </c>
    </row>
    <row r="114" spans="1:7" ht="16.5" hidden="1" customHeight="1">
      <c r="A114" s="312" t="s">
        <v>21</v>
      </c>
      <c r="B114" s="572">
        <v>9022.7760185473235</v>
      </c>
      <c r="C114" s="572">
        <v>5323.4255901326833</v>
      </c>
      <c r="D114" s="572">
        <v>12291.642298090002</v>
      </c>
      <c r="E114" s="572">
        <v>14346.201608679999</v>
      </c>
      <c r="F114" s="572">
        <v>11202.396400419999</v>
      </c>
      <c r="G114" s="573">
        <v>4.4521709633649937</v>
      </c>
    </row>
    <row r="115" spans="1:7" ht="16.5" hidden="1" customHeight="1">
      <c r="A115" s="312" t="s">
        <v>22</v>
      </c>
      <c r="B115" s="572">
        <v>8503.9337522758015</v>
      </c>
      <c r="C115" s="572">
        <v>6075.5504954642056</v>
      </c>
      <c r="D115" s="572">
        <v>12453.759248170005</v>
      </c>
      <c r="E115" s="572">
        <v>14579.48424774</v>
      </c>
      <c r="F115" s="572">
        <v>11456.70347266</v>
      </c>
      <c r="G115" s="573">
        <v>4.3681688444316418</v>
      </c>
    </row>
    <row r="116" spans="1:7" ht="16.5" hidden="1" customHeight="1">
      <c r="A116" s="312" t="s">
        <v>23</v>
      </c>
      <c r="B116" s="572">
        <v>8130.6310187444815</v>
      </c>
      <c r="C116" s="572">
        <v>6396.851249085521</v>
      </c>
      <c r="D116" s="572">
        <v>12791.04749839</v>
      </c>
      <c r="E116" s="572">
        <v>14527.482267830001</v>
      </c>
      <c r="F116" s="572">
        <v>11753.663751780001</v>
      </c>
      <c r="G116" s="573">
        <v>4.4005377030211763</v>
      </c>
    </row>
    <row r="117" spans="1:7" ht="16.5" hidden="1" customHeight="1">
      <c r="A117" s="312" t="s">
        <v>24</v>
      </c>
      <c r="B117" s="572">
        <v>8419.5579046270013</v>
      </c>
      <c r="C117" s="572">
        <v>6283.4852380130023</v>
      </c>
      <c r="D117" s="572">
        <v>12753.53298939</v>
      </c>
      <c r="E117" s="572">
        <v>14703.043142640003</v>
      </c>
      <c r="F117" s="572">
        <v>11971.003045320002</v>
      </c>
      <c r="G117" s="573">
        <v>4.4082365717149781</v>
      </c>
    </row>
    <row r="118" spans="1:7" ht="16.5" hidden="1" customHeight="1">
      <c r="A118" s="312" t="s">
        <v>25</v>
      </c>
      <c r="B118" s="572">
        <v>8337.3287172766995</v>
      </c>
      <c r="C118" s="572">
        <v>6665.6634768433023</v>
      </c>
      <c r="D118" s="572">
        <v>13125.689057630003</v>
      </c>
      <c r="E118" s="572">
        <v>15002.992194119999</v>
      </c>
      <c r="F118" s="572">
        <v>12218.2895424</v>
      </c>
      <c r="G118" s="573">
        <v>4.3135788121097001</v>
      </c>
    </row>
    <row r="119" spans="1:7" ht="16.5" hidden="1" customHeight="1">
      <c r="A119" s="312" t="s">
        <v>26</v>
      </c>
      <c r="B119" s="572">
        <v>8492.1448392023995</v>
      </c>
      <c r="C119" s="572">
        <v>6851.1854589375989</v>
      </c>
      <c r="D119" s="572">
        <v>13553.82171255</v>
      </c>
      <c r="E119" s="572">
        <v>15343.330298140001</v>
      </c>
      <c r="F119" s="572">
        <v>12402.361989680001</v>
      </c>
      <c r="G119" s="573">
        <v>4.2745057408243561</v>
      </c>
    </row>
    <row r="120" spans="1:7" ht="16.5" hidden="1" customHeight="1">
      <c r="A120" s="312" t="s">
        <v>27</v>
      </c>
      <c r="B120" s="572">
        <v>8815.5726432672018</v>
      </c>
      <c r="C120" s="572">
        <v>6790.9985671728</v>
      </c>
      <c r="D120" s="572">
        <v>13827.021194729998</v>
      </c>
      <c r="E120" s="572">
        <v>15606.571210440001</v>
      </c>
      <c r="F120" s="572">
        <v>12563.57153646</v>
      </c>
      <c r="G120" s="573">
        <v>4.7822916998312586</v>
      </c>
    </row>
    <row r="121" spans="1:7" ht="16.5" hidden="1" customHeight="1">
      <c r="A121" s="312" t="s">
        <v>28</v>
      </c>
      <c r="B121" s="572">
        <v>8896.8298966765487</v>
      </c>
      <c r="C121" s="572">
        <v>6890.9140451234489</v>
      </c>
      <c r="D121" s="572">
        <v>14367.090263119999</v>
      </c>
      <c r="E121" s="572">
        <v>15787.743941799999</v>
      </c>
      <c r="F121" s="572">
        <v>12649.589319520001</v>
      </c>
      <c r="G121" s="573">
        <v>4.1558823994434606</v>
      </c>
    </row>
    <row r="122" spans="1:7" ht="16.5" hidden="1" customHeight="1">
      <c r="A122" s="312" t="s">
        <v>29</v>
      </c>
      <c r="B122" s="572">
        <v>8283.1419850940001</v>
      </c>
      <c r="C122" s="572">
        <v>8492.1598212959962</v>
      </c>
      <c r="D122" s="572">
        <v>15603.110140220002</v>
      </c>
      <c r="E122" s="572">
        <v>16775.301806390002</v>
      </c>
      <c r="F122" s="572">
        <v>13806.376126880001</v>
      </c>
      <c r="G122" s="573">
        <v>3.9108674238034538</v>
      </c>
    </row>
    <row r="123" spans="1:7" ht="13.5" customHeight="1">
      <c r="A123" s="37" t="s">
        <v>1410</v>
      </c>
      <c r="B123" s="570">
        <v>9975.526182756601</v>
      </c>
      <c r="C123" s="570">
        <v>9127.7610041334046</v>
      </c>
      <c r="D123" s="570">
        <v>16582.112609380005</v>
      </c>
      <c r="E123" s="570">
        <v>19289.435054590002</v>
      </c>
      <c r="F123" s="570">
        <v>16434.781617190001</v>
      </c>
      <c r="G123" s="571"/>
    </row>
    <row r="124" spans="1:7" ht="16.5" hidden="1" customHeight="1">
      <c r="A124" s="312" t="s">
        <v>18</v>
      </c>
      <c r="B124" s="572">
        <v>8753.8249211743969</v>
      </c>
      <c r="C124" s="572">
        <v>7865.4690825056005</v>
      </c>
      <c r="D124" s="572">
        <v>14419.78952009</v>
      </c>
      <c r="E124" s="572">
        <v>16619.294003679996</v>
      </c>
      <c r="F124" s="572">
        <v>13685.938089679998</v>
      </c>
      <c r="G124" s="573">
        <v>3.9231216485252571</v>
      </c>
    </row>
    <row r="125" spans="1:7" ht="16.5" hidden="1" customHeight="1">
      <c r="A125" s="312" t="s">
        <v>19</v>
      </c>
      <c r="B125" s="572">
        <v>8577.0188716651992</v>
      </c>
      <c r="C125" s="572">
        <v>8188.0517459047987</v>
      </c>
      <c r="D125" s="572">
        <v>13634.921192759999</v>
      </c>
      <c r="E125" s="572">
        <v>16765.07061757</v>
      </c>
      <c r="F125" s="572">
        <v>13905.86568132</v>
      </c>
      <c r="G125" s="573">
        <v>3.6004662454964391</v>
      </c>
    </row>
    <row r="126" spans="1:7" ht="16.5" hidden="1" customHeight="1">
      <c r="A126" s="312" t="s">
        <v>20</v>
      </c>
      <c r="B126" s="572">
        <v>9156.4418342964018</v>
      </c>
      <c r="C126" s="572">
        <v>8288.7049269435993</v>
      </c>
      <c r="D126" s="572">
        <v>13678.840231869999</v>
      </c>
      <c r="E126" s="572">
        <v>17445.146761240001</v>
      </c>
      <c r="F126" s="572">
        <v>14184.517696760002</v>
      </c>
      <c r="G126" s="573">
        <v>3.6510229749883782</v>
      </c>
    </row>
    <row r="127" spans="1:7" ht="16.5" hidden="1" customHeight="1">
      <c r="A127" s="312" t="s">
        <v>21</v>
      </c>
      <c r="B127" s="572">
        <v>9176.8903917599982</v>
      </c>
      <c r="C127" s="572">
        <v>8303.4849263099968</v>
      </c>
      <c r="D127" s="572">
        <v>14364.643777299996</v>
      </c>
      <c r="E127" s="572">
        <v>17480.375318070004</v>
      </c>
      <c r="F127" s="572">
        <v>14369.789669550002</v>
      </c>
      <c r="G127" s="573">
        <v>3.5972342802995771</v>
      </c>
    </row>
    <row r="128" spans="1:7" ht="16.5" hidden="1" customHeight="1">
      <c r="A128" s="312" t="s">
        <v>22</v>
      </c>
      <c r="B128" s="572">
        <v>9218.9531737847992</v>
      </c>
      <c r="C128" s="572">
        <v>8414.8986516652021</v>
      </c>
      <c r="D128" s="572">
        <v>14752.904465990003</v>
      </c>
      <c r="E128" s="572">
        <v>17633.851825450001</v>
      </c>
      <c r="F128" s="572">
        <v>14515.321340959999</v>
      </c>
      <c r="G128" s="573">
        <v>3.6572597156494666</v>
      </c>
    </row>
    <row r="129" spans="1:7" ht="16.5" hidden="1" customHeight="1">
      <c r="A129" s="312" t="s">
        <v>23</v>
      </c>
      <c r="B129" s="572">
        <v>8793.607174044253</v>
      </c>
      <c r="C129" s="572">
        <v>8712.6722171757519</v>
      </c>
      <c r="D129" s="572">
        <v>15071.089690870003</v>
      </c>
      <c r="E129" s="572">
        <v>17506.27939122</v>
      </c>
      <c r="F129" s="572">
        <v>14682.522197119999</v>
      </c>
      <c r="G129" s="573">
        <v>3.7053579262200218</v>
      </c>
    </row>
    <row r="130" spans="1:7" ht="16.5" hidden="1" customHeight="1">
      <c r="A130" s="312" t="s">
        <v>24</v>
      </c>
      <c r="B130" s="572">
        <v>9284.6306146360002</v>
      </c>
      <c r="C130" s="572">
        <v>8669.4924534340007</v>
      </c>
      <c r="D130" s="572">
        <v>15521.622974330001</v>
      </c>
      <c r="E130" s="572">
        <v>17954.123068069999</v>
      </c>
      <c r="F130" s="572">
        <v>14916.31385235</v>
      </c>
      <c r="G130" s="573">
        <v>3.7117615349235469</v>
      </c>
    </row>
    <row r="131" spans="1:7" ht="16.5" hidden="1" customHeight="1">
      <c r="A131" s="312" t="s">
        <v>25</v>
      </c>
      <c r="B131" s="572">
        <v>9155.66704560168</v>
      </c>
      <c r="C131" s="572">
        <v>8847.1074589683176</v>
      </c>
      <c r="D131" s="572">
        <v>15681.06523186</v>
      </c>
      <c r="E131" s="572">
        <v>18002.774504569999</v>
      </c>
      <c r="F131" s="572">
        <v>15163.179898129998</v>
      </c>
      <c r="G131" s="573">
        <v>3.7017103521222618</v>
      </c>
    </row>
    <row r="132" spans="1:7" ht="16.5" hidden="1" customHeight="1">
      <c r="A132" s="312" t="s">
        <v>26</v>
      </c>
      <c r="B132" s="572">
        <v>9262.2368177244007</v>
      </c>
      <c r="C132" s="572">
        <v>8947.9169661155975</v>
      </c>
      <c r="D132" s="572">
        <v>16024.718345569998</v>
      </c>
      <c r="E132" s="572">
        <v>18210.15378384</v>
      </c>
      <c r="F132" s="572">
        <v>15264.92949411</v>
      </c>
      <c r="G132" s="573">
        <v>3.7338746540117214</v>
      </c>
    </row>
    <row r="133" spans="1:7" ht="16.5" hidden="1" customHeight="1">
      <c r="A133" s="312" t="s">
        <v>27</v>
      </c>
      <c r="B133" s="572">
        <v>9884.5211664189974</v>
      </c>
      <c r="C133" s="572">
        <v>8565.0180041710009</v>
      </c>
      <c r="D133" s="572">
        <v>16190.7225745</v>
      </c>
      <c r="E133" s="572">
        <v>18449.53917059</v>
      </c>
      <c r="F133" s="572">
        <v>15495.52054265</v>
      </c>
      <c r="G133" s="573">
        <v>3.6834838715420637</v>
      </c>
    </row>
    <row r="134" spans="1:7" ht="16.5" hidden="1" customHeight="1">
      <c r="A134" s="312" t="s">
        <v>28</v>
      </c>
      <c r="B134" s="572">
        <v>9943.594772619761</v>
      </c>
      <c r="C134" s="572">
        <v>8912.7867856502417</v>
      </c>
      <c r="D134" s="572">
        <v>16484.559871459998</v>
      </c>
      <c r="E134" s="572">
        <v>18856.381558270001</v>
      </c>
      <c r="F134" s="572">
        <v>15673.90127194</v>
      </c>
      <c r="G134" s="573">
        <v>3.6242476594960049</v>
      </c>
    </row>
    <row r="135" spans="1:7" ht="16.5" hidden="1" customHeight="1">
      <c r="A135" s="312" t="s">
        <v>29</v>
      </c>
      <c r="B135" s="572">
        <v>9975.526182756601</v>
      </c>
      <c r="C135" s="572">
        <v>9313.9088718334042</v>
      </c>
      <c r="D135" s="572">
        <v>16582.112609380005</v>
      </c>
      <c r="E135" s="572">
        <v>19289.435054590002</v>
      </c>
      <c r="F135" s="572">
        <v>16434.781617190001</v>
      </c>
      <c r="G135" s="573">
        <v>3.5113457144839675</v>
      </c>
    </row>
    <row r="136" spans="1:7" ht="13.5" customHeight="1">
      <c r="A136" s="37" t="s">
        <v>1621</v>
      </c>
      <c r="B136" s="572"/>
      <c r="C136" s="572"/>
      <c r="D136" s="572"/>
      <c r="E136" s="572"/>
      <c r="F136" s="572"/>
      <c r="G136" s="573"/>
    </row>
    <row r="137" spans="1:7" ht="16.5" customHeight="1">
      <c r="A137" s="37" t="s">
        <v>18</v>
      </c>
      <c r="B137" s="572">
        <v>10313.828678065041</v>
      </c>
      <c r="C137" s="572">
        <v>8731.0219437849628</v>
      </c>
      <c r="D137" s="572">
        <v>16663.613278920002</v>
      </c>
      <c r="E137" s="572">
        <v>19044.850621850001</v>
      </c>
      <c r="F137" s="572">
        <v>15982.879134549999</v>
      </c>
      <c r="G137" s="573">
        <v>3.272752021688409</v>
      </c>
    </row>
    <row r="138" spans="1:7" ht="16.5" customHeight="1">
      <c r="A138" s="37" t="s">
        <v>19</v>
      </c>
      <c r="B138" s="572">
        <v>10730.386405456722</v>
      </c>
      <c r="C138" s="572">
        <v>8543.1733030732776</v>
      </c>
      <c r="D138" s="572">
        <v>16933.433028599997</v>
      </c>
      <c r="E138" s="572">
        <v>19273.559708530003</v>
      </c>
      <c r="F138" s="572">
        <v>16124.661814100004</v>
      </c>
      <c r="G138" s="573">
        <v>3.148866040440053</v>
      </c>
    </row>
    <row r="139" spans="1:7" ht="16.5" customHeight="1">
      <c r="A139" s="37" t="s">
        <v>20</v>
      </c>
      <c r="B139" s="572">
        <v>11792.215780226838</v>
      </c>
      <c r="C139" s="572">
        <v>7584.8011703231596</v>
      </c>
      <c r="D139" s="572">
        <v>17313.647154999999</v>
      </c>
      <c r="E139" s="572">
        <v>19377.016950549998</v>
      </c>
      <c r="F139" s="572">
        <v>16132.314188839999</v>
      </c>
      <c r="G139" s="573">
        <v>3.2607101116583466</v>
      </c>
    </row>
    <row r="140" spans="1:7" ht="16.5" customHeight="1">
      <c r="A140" s="37" t="s">
        <v>21</v>
      </c>
      <c r="B140" s="572">
        <v>12216.608476437083</v>
      </c>
      <c r="C140" s="572">
        <v>7575.9506153929215</v>
      </c>
      <c r="D140" s="572">
        <v>17716.84290394</v>
      </c>
      <c r="E140" s="572">
        <v>19792.55909183</v>
      </c>
      <c r="F140" s="572">
        <v>16489.676849340001</v>
      </c>
      <c r="G140" s="573">
        <v>3.3123086946477134</v>
      </c>
    </row>
    <row r="141" spans="1:7" ht="16.5" customHeight="1">
      <c r="A141" s="37" t="s">
        <v>22</v>
      </c>
      <c r="B141" s="572">
        <v>12112.184756759523</v>
      </c>
      <c r="C141" s="572">
        <v>7856.3767399104836</v>
      </c>
      <c r="D141" s="572">
        <v>18123.072748740004</v>
      </c>
      <c r="E141" s="572">
        <v>19968.561496670001</v>
      </c>
      <c r="F141" s="572">
        <v>16695.74778433</v>
      </c>
      <c r="G141" s="573">
        <v>3.3701695022495821</v>
      </c>
    </row>
    <row r="142" spans="1:7" ht="16.5" customHeight="1">
      <c r="A142" s="37" t="s">
        <v>23</v>
      </c>
      <c r="B142" s="572">
        <v>12068.196271351564</v>
      </c>
      <c r="C142" s="572">
        <v>8501.0502020184431</v>
      </c>
      <c r="D142" s="572">
        <v>18209.982750170002</v>
      </c>
      <c r="E142" s="572">
        <v>20569.24647337</v>
      </c>
      <c r="F142" s="572">
        <v>17005.082993600001</v>
      </c>
      <c r="G142" s="573">
        <v>3.3805186379646202</v>
      </c>
    </row>
    <row r="143" spans="1:7" ht="16.5" customHeight="1">
      <c r="A143" s="37" t="s">
        <v>24</v>
      </c>
      <c r="B143" s="572">
        <v>12429.804703018724</v>
      </c>
      <c r="C143" s="572">
        <v>8795.5950047212791</v>
      </c>
      <c r="D143" s="572">
        <v>18477.874276729999</v>
      </c>
      <c r="E143" s="572">
        <v>21225.399707740002</v>
      </c>
      <c r="F143" s="572">
        <v>17435.081794850001</v>
      </c>
      <c r="G143" s="573">
        <v>3.3425022426458524</v>
      </c>
    </row>
    <row r="144" spans="1:7" ht="16.5" customHeight="1">
      <c r="A144" s="37" t="s">
        <v>25</v>
      </c>
      <c r="B144" s="572">
        <v>12073.92507237732</v>
      </c>
      <c r="C144" s="572">
        <v>9232.470557712677</v>
      </c>
      <c r="D144" s="572">
        <v>18777.822485639997</v>
      </c>
      <c r="E144" s="572">
        <v>21306.395630089999</v>
      </c>
      <c r="F144" s="572">
        <v>17452.391032289997</v>
      </c>
      <c r="G144" s="573">
        <v>3.3667249313454222</v>
      </c>
    </row>
    <row r="145" spans="1:7" ht="16.5" customHeight="1">
      <c r="A145" s="37" t="s">
        <v>26</v>
      </c>
      <c r="B145" s="572">
        <v>11912.041999287285</v>
      </c>
      <c r="C145" s="572">
        <v>9221.0862821627234</v>
      </c>
      <c r="D145" s="572">
        <v>19082.944819290002</v>
      </c>
      <c r="E145" s="572">
        <v>21133.128281450001</v>
      </c>
      <c r="F145" s="572">
        <v>17367.805316220001</v>
      </c>
      <c r="G145" s="573">
        <v>3.3890580259458272</v>
      </c>
    </row>
    <row r="146" spans="1:7" ht="16.5" customHeight="1">
      <c r="A146" s="37" t="s">
        <v>27</v>
      </c>
      <c r="B146" s="572">
        <v>12189.504669240039</v>
      </c>
      <c r="C146" s="572">
        <v>9182.6088926099637</v>
      </c>
      <c r="D146" s="572">
        <v>19307.721907270003</v>
      </c>
      <c r="E146" s="572">
        <v>21372.113561850005</v>
      </c>
      <c r="F146" s="572">
        <v>17370.041469000003</v>
      </c>
      <c r="G146" s="573">
        <v>3.400696544416522</v>
      </c>
    </row>
    <row r="147" spans="1:7" ht="16.5" customHeight="1">
      <c r="A147" s="37" t="s">
        <v>28</v>
      </c>
      <c r="B147" s="572">
        <v>11986.022929026241</v>
      </c>
      <c r="C147" s="572">
        <v>9703.7364830537572</v>
      </c>
      <c r="D147" s="572">
        <v>19758.176670529996</v>
      </c>
      <c r="E147" s="572">
        <v>21689.759412079999</v>
      </c>
      <c r="F147" s="572">
        <v>17525.152211059998</v>
      </c>
      <c r="G147" s="573">
        <v>3.3454448380196884</v>
      </c>
    </row>
    <row r="148" spans="1:7" ht="16.5" customHeight="1">
      <c r="A148" s="37" t="s">
        <v>29</v>
      </c>
      <c r="B148" s="572">
        <v>10477.630813157359</v>
      </c>
      <c r="C148" s="572">
        <v>11088.726110782638</v>
      </c>
      <c r="D148" s="572">
        <v>20041.87220582</v>
      </c>
      <c r="E148" s="572">
        <v>21566.356923939999</v>
      </c>
      <c r="F148" s="572">
        <v>17435.832346269999</v>
      </c>
      <c r="G148" s="573">
        <v>3.3825629215009609</v>
      </c>
    </row>
    <row r="149" spans="1:7" ht="16.5" customHeight="1">
      <c r="A149" s="37" t="s">
        <v>1816</v>
      </c>
      <c r="B149" s="572"/>
      <c r="C149" s="572"/>
      <c r="D149" s="572"/>
      <c r="E149" s="572"/>
      <c r="F149" s="572"/>
      <c r="G149" s="573"/>
    </row>
    <row r="150" spans="1:7" ht="16.5" customHeight="1">
      <c r="A150" s="37" t="s">
        <v>18</v>
      </c>
      <c r="B150" s="572">
        <v>9805.7262237300019</v>
      </c>
      <c r="C150" s="572">
        <v>10762.770555879999</v>
      </c>
      <c r="D150" s="572">
        <v>19899.446903470001</v>
      </c>
      <c r="E150" s="572">
        <v>20568.496779610003</v>
      </c>
      <c r="F150" s="572">
        <v>16236.448099690002</v>
      </c>
      <c r="G150" s="573">
        <v>2.6841092172635999</v>
      </c>
    </row>
    <row r="151" spans="1:7" ht="16.5" customHeight="1">
      <c r="A151" s="37" t="s">
        <v>19</v>
      </c>
      <c r="B151" s="572">
        <v>10926.39392425</v>
      </c>
      <c r="C151" s="572">
        <v>9188.7745882199979</v>
      </c>
      <c r="D151" s="572">
        <v>22155.680821059996</v>
      </c>
      <c r="E151" s="572">
        <v>20115.168512470002</v>
      </c>
      <c r="F151" s="572">
        <v>13607.043731039999</v>
      </c>
      <c r="G151" s="573">
        <v>3.1367283624315809</v>
      </c>
    </row>
    <row r="152" spans="1:7" ht="16.5" customHeight="1">
      <c r="A152" s="37" t="s">
        <v>20</v>
      </c>
      <c r="B152" s="572">
        <v>9368.00387013</v>
      </c>
      <c r="C152" s="572">
        <v>10139.384984620006</v>
      </c>
      <c r="D152" s="572">
        <v>22099.479051470007</v>
      </c>
      <c r="E152" s="572">
        <v>19507.388854749999</v>
      </c>
      <c r="F152" s="572">
        <v>12493.102293259999</v>
      </c>
      <c r="G152" s="573">
        <v>3.690036223018109</v>
      </c>
    </row>
    <row r="153" spans="1:7" ht="16.5" customHeight="1">
      <c r="A153" s="37" t="s">
        <v>21</v>
      </c>
      <c r="B153" s="572">
        <v>8845.1355185200009</v>
      </c>
      <c r="C153" s="572">
        <v>10137.745574610002</v>
      </c>
      <c r="D153" s="572">
        <v>22082.80706562</v>
      </c>
      <c r="E153" s="572">
        <v>18982.881093129999</v>
      </c>
      <c r="F153" s="572">
        <v>11004.003724679998</v>
      </c>
      <c r="G153" s="573">
        <v>4.5362580065331279</v>
      </c>
    </row>
    <row r="154" spans="1:7" ht="16.5" customHeight="1">
      <c r="A154" s="37" t="s">
        <v>22</v>
      </c>
      <c r="B154" s="572">
        <v>8801.645188460001</v>
      </c>
      <c r="C154" s="572">
        <v>10165.164992949998</v>
      </c>
      <c r="D154" s="572">
        <v>22074.494394220001</v>
      </c>
      <c r="E154" s="572">
        <v>18966.810181410001</v>
      </c>
      <c r="F154" s="572">
        <v>11051.43324894</v>
      </c>
      <c r="G154" s="573">
        <v>4.6352648426767065</v>
      </c>
    </row>
    <row r="155" spans="1:7" ht="16.5" customHeight="1">
      <c r="A155" s="37" t="s">
        <v>23</v>
      </c>
      <c r="B155" s="572">
        <v>8676.7089770900002</v>
      </c>
      <c r="C155" s="572">
        <v>10172.653723980002</v>
      </c>
      <c r="D155" s="572">
        <v>22042.853342460003</v>
      </c>
      <c r="E155" s="572">
        <v>18849.36270107</v>
      </c>
      <c r="F155" s="572">
        <v>10991.807172730001</v>
      </c>
      <c r="G155" s="573">
        <v>4.7790321622748442</v>
      </c>
    </row>
    <row r="156" spans="1:7" ht="16.5" customHeight="1">
      <c r="A156" s="37" t="s">
        <v>24</v>
      </c>
      <c r="B156" s="572">
        <v>8888.991460119998</v>
      </c>
      <c r="C156" s="572">
        <v>9966.4036213800027</v>
      </c>
      <c r="D156" s="572">
        <v>21909.448119130004</v>
      </c>
      <c r="E156" s="572">
        <v>18855.395081499999</v>
      </c>
      <c r="F156" s="572">
        <v>10853.4799398</v>
      </c>
      <c r="G156" s="573">
        <v>5.0634187919940974</v>
      </c>
    </row>
    <row r="157" spans="1:7" ht="16.5" customHeight="1">
      <c r="A157" s="37" t="s">
        <v>25</v>
      </c>
      <c r="B157" s="572">
        <v>8488.722814900002</v>
      </c>
      <c r="C157" s="572">
        <v>9245.5467057100032</v>
      </c>
      <c r="D157" s="572">
        <v>21877.230808510005</v>
      </c>
      <c r="E157" s="572">
        <v>17734.26952061</v>
      </c>
      <c r="F157" s="572">
        <v>9545.6573157900002</v>
      </c>
      <c r="G157" s="573">
        <v>5.6613597379624263</v>
      </c>
    </row>
    <row r="158" spans="1:7" ht="16.5" customHeight="1">
      <c r="A158" s="37" t="s">
        <v>26</v>
      </c>
      <c r="B158" s="572">
        <v>8349.6931199899936</v>
      </c>
      <c r="C158" s="572">
        <v>9334.3310063300032</v>
      </c>
      <c r="D158" s="572">
        <v>21203.703947240003</v>
      </c>
      <c r="E158" s="572">
        <v>17684.024126320001</v>
      </c>
      <c r="F158" s="572">
        <v>9368.9163284799997</v>
      </c>
      <c r="G158" s="573">
        <v>5.7891291548620485</v>
      </c>
    </row>
    <row r="159" spans="1:7" ht="16.5" customHeight="1">
      <c r="A159" s="37" t="s">
        <v>27</v>
      </c>
      <c r="B159" s="572">
        <v>8717.5732322799995</v>
      </c>
      <c r="C159" s="572">
        <v>8651.9128977800046</v>
      </c>
      <c r="D159" s="572">
        <v>20910.811603430007</v>
      </c>
      <c r="E159" s="572">
        <v>17369.486130060002</v>
      </c>
      <c r="F159" s="572">
        <v>9363.6434162200003</v>
      </c>
      <c r="G159" s="573">
        <v>5.8867854690532475</v>
      </c>
    </row>
    <row r="160" spans="1:7" ht="16.5" customHeight="1">
      <c r="A160" s="37" t="s">
        <v>28</v>
      </c>
      <c r="B160" s="572">
        <v>8766.7500764899996</v>
      </c>
      <c r="C160" s="572">
        <v>8677.7290508000042</v>
      </c>
      <c r="D160" s="572">
        <v>21248.51733812</v>
      </c>
      <c r="E160" s="572">
        <v>17444.47912729</v>
      </c>
      <c r="F160" s="572">
        <v>9050.0356780599996</v>
      </c>
      <c r="G160" s="573">
        <v>6.0340294514604427</v>
      </c>
    </row>
    <row r="161" spans="1:9" ht="16.5" customHeight="1">
      <c r="A161" s="37" t="s">
        <v>29</v>
      </c>
      <c r="B161" s="572">
        <v>10680.57673565</v>
      </c>
      <c r="C161" s="572">
        <v>10606.32995677</v>
      </c>
      <c r="D161" s="572">
        <v>24627.246070779998</v>
      </c>
      <c r="E161" s="572">
        <v>21286.906692420001</v>
      </c>
      <c r="F161" s="572">
        <v>8678.2990421599989</v>
      </c>
      <c r="G161" s="573">
        <v>6.2629899863962208</v>
      </c>
    </row>
    <row r="162" spans="1:9" ht="16.5" customHeight="1">
      <c r="A162" s="37" t="s">
        <v>1839</v>
      </c>
      <c r="B162" s="572"/>
      <c r="C162" s="572"/>
      <c r="D162" s="572"/>
      <c r="E162" s="572"/>
      <c r="F162" s="572"/>
      <c r="G162" s="573"/>
    </row>
    <row r="163" spans="1:9" ht="16.5" customHeight="1">
      <c r="A163" s="37" t="s">
        <v>18</v>
      </c>
      <c r="B163" s="572">
        <v>10181.611797529999</v>
      </c>
      <c r="C163" s="572">
        <v>9748.5779503600061</v>
      </c>
      <c r="D163" s="572">
        <v>24204.942155520006</v>
      </c>
      <c r="E163" s="572">
        <v>19930.189747889999</v>
      </c>
      <c r="F163" s="572">
        <v>8001.7370589799993</v>
      </c>
      <c r="G163" s="573">
        <v>6.0154938415504251</v>
      </c>
      <c r="I163" s="28"/>
    </row>
    <row r="164" spans="1:9" ht="16.5" customHeight="1">
      <c r="A164" s="37" t="s">
        <v>19</v>
      </c>
      <c r="B164" s="572">
        <v>10029.378411110001</v>
      </c>
      <c r="C164" s="572">
        <v>9569.4649208600076</v>
      </c>
      <c r="D164" s="572">
        <v>23355.908324403506</v>
      </c>
      <c r="E164" s="572">
        <v>19598.843331969998</v>
      </c>
      <c r="F164" s="572">
        <v>8686.374386129999</v>
      </c>
      <c r="G164" s="573">
        <v>5.4490168044768907</v>
      </c>
    </row>
    <row r="165" spans="1:9" ht="16.5" customHeight="1">
      <c r="A165" s="37" t="s">
        <v>20</v>
      </c>
      <c r="B165" s="572">
        <v>11909.642779999996</v>
      </c>
      <c r="C165" s="572">
        <v>8725.4731387399952</v>
      </c>
      <c r="D165" s="572">
        <v>22629.552759573737</v>
      </c>
      <c r="E165" s="572">
        <v>20635.115918739997</v>
      </c>
      <c r="F165" s="572">
        <v>8943.0222278000001</v>
      </c>
      <c r="G165" s="573">
        <v>5.6306244933025704</v>
      </c>
    </row>
    <row r="166" spans="1:9" ht="16.5" customHeight="1">
      <c r="A166" s="37" t="s">
        <v>21</v>
      </c>
      <c r="B166" s="572">
        <v>11689.993301909999</v>
      </c>
      <c r="C166" s="572">
        <v>8875.7390559199976</v>
      </c>
      <c r="D166" s="572">
        <v>21736.177713950001</v>
      </c>
      <c r="E166" s="572">
        <v>20565.732357829998</v>
      </c>
      <c r="F166" s="572">
        <v>9205.7599008199995</v>
      </c>
      <c r="G166" s="573">
        <v>5.4969606578043058</v>
      </c>
    </row>
    <row r="167" spans="1:9" ht="16.5" customHeight="1">
      <c r="A167" s="37" t="s">
        <v>22</v>
      </c>
      <c r="B167" s="572">
        <v>8691.5180625699959</v>
      </c>
      <c r="C167" s="572">
        <v>11938.220276070002</v>
      </c>
      <c r="D167" s="572">
        <v>21206.458284820001</v>
      </c>
      <c r="E167" s="572">
        <v>20629.73833864</v>
      </c>
      <c r="F167" s="572">
        <v>9600.709636919999</v>
      </c>
      <c r="G167" s="573">
        <v>5.3778024700852871</v>
      </c>
    </row>
    <row r="168" spans="1:9" ht="16.5" customHeight="1">
      <c r="A168" s="37" t="s">
        <v>23</v>
      </c>
      <c r="B168" s="572">
        <v>9375.8426324999982</v>
      </c>
      <c r="C168" s="572">
        <v>11475.642199420003</v>
      </c>
      <c r="D168" s="572">
        <v>21203.648283040002</v>
      </c>
      <c r="E168" s="572">
        <v>20851.484831909998</v>
      </c>
      <c r="F168" s="572">
        <v>9806.5437926800005</v>
      </c>
      <c r="G168" s="573">
        <v>5.5069962610385943</v>
      </c>
    </row>
    <row r="169" spans="1:9" ht="16.5" customHeight="1">
      <c r="A169" s="37" t="s">
        <v>24</v>
      </c>
      <c r="B169" s="572">
        <v>8552.6384638200016</v>
      </c>
      <c r="C169" s="572">
        <v>12549.255828089999</v>
      </c>
      <c r="D169" s="572">
        <v>19363.994178419998</v>
      </c>
      <c r="E169" s="572">
        <v>21101.894291910001</v>
      </c>
      <c r="F169" s="572">
        <v>10096.59923992</v>
      </c>
      <c r="G169" s="573">
        <v>5.4540457610705966</v>
      </c>
    </row>
    <row r="170" spans="1:9" ht="16.5" customHeight="1">
      <c r="A170" s="37" t="s">
        <v>25</v>
      </c>
      <c r="B170" s="572">
        <v>8842.8224372700006</v>
      </c>
      <c r="C170" s="572">
        <v>12311.232067360002</v>
      </c>
      <c r="D170" s="572">
        <v>19567.956046391038</v>
      </c>
      <c r="E170" s="572">
        <v>21154.054504630003</v>
      </c>
      <c r="F170" s="572">
        <v>9861.4011032900016</v>
      </c>
      <c r="G170" s="573">
        <v>5.7843403186358087</v>
      </c>
    </row>
    <row r="171" spans="1:9" ht="16.5" customHeight="1">
      <c r="A171" s="37" t="s">
        <v>26</v>
      </c>
      <c r="B171" s="572">
        <v>8401.6128056299985</v>
      </c>
      <c r="C171" s="572">
        <v>11732.53741148</v>
      </c>
      <c r="D171" s="572">
        <v>19489.634150261038</v>
      </c>
      <c r="E171" s="572">
        <v>20134.15021711</v>
      </c>
      <c r="F171" s="572">
        <v>9966.4070786500015</v>
      </c>
      <c r="G171" s="573">
        <v>5.8110276059997688</v>
      </c>
    </row>
    <row r="172" spans="1:9" ht="16.5" customHeight="1">
      <c r="A172" s="37" t="s">
        <v>27</v>
      </c>
      <c r="B172" s="572">
        <v>8163.6268637900002</v>
      </c>
      <c r="C172" s="572">
        <v>11958.957116480002</v>
      </c>
      <c r="D172" s="572">
        <v>19057.325024561036</v>
      </c>
      <c r="E172" s="572">
        <v>20122.583980269999</v>
      </c>
      <c r="F172" s="572">
        <v>10679.03181364</v>
      </c>
      <c r="G172" s="573">
        <v>5.5312205292388166</v>
      </c>
    </row>
    <row r="173" spans="1:9" ht="16.5" customHeight="1">
      <c r="A173" s="37" t="s">
        <v>28</v>
      </c>
      <c r="B173" s="572">
        <v>7502.1303790200018</v>
      </c>
      <c r="C173" s="572">
        <v>12769.745173680003</v>
      </c>
      <c r="D173" s="572">
        <v>19799.13768470104</v>
      </c>
      <c r="E173" s="572">
        <v>20271.875552699999</v>
      </c>
      <c r="F173" s="572">
        <v>10942.423036390001</v>
      </c>
      <c r="G173" s="573">
        <v>5.4267289282168099</v>
      </c>
    </row>
    <row r="174" spans="1:9" ht="16.5" customHeight="1">
      <c r="A174" s="37" t="s">
        <v>29</v>
      </c>
      <c r="B174" s="572">
        <v>7591.6417212400011</v>
      </c>
      <c r="C174" s="572">
        <v>13297.958496220001</v>
      </c>
      <c r="D174" s="572">
        <v>17661.766609731036</v>
      </c>
      <c r="E174" s="572">
        <v>20889.60021746</v>
      </c>
      <c r="F174" s="572">
        <v>11546.34558836</v>
      </c>
      <c r="G174" s="573">
        <v>5.1953840755012797</v>
      </c>
    </row>
    <row r="175" spans="1:9" ht="16.5" customHeight="1">
      <c r="A175" s="37" t="s">
        <v>1902</v>
      </c>
      <c r="B175" s="572"/>
      <c r="C175" s="572"/>
      <c r="D175" s="572"/>
      <c r="E175" s="572"/>
      <c r="F175" s="572"/>
      <c r="G175" s="573"/>
    </row>
    <row r="176" spans="1:9" ht="16.5" customHeight="1">
      <c r="A176" s="37" t="s">
        <v>18</v>
      </c>
      <c r="B176" s="572">
        <v>9686.2611908000017</v>
      </c>
      <c r="C176" s="572">
        <v>11348.592694390001</v>
      </c>
      <c r="D176" s="572">
        <v>16055.80105774104</v>
      </c>
      <c r="E176" s="572">
        <v>21034.853885190001</v>
      </c>
      <c r="F176" s="572">
        <v>10749.334211820002</v>
      </c>
      <c r="G176" s="573">
        <v>5.8419618148022607</v>
      </c>
    </row>
    <row r="177" spans="1:7" ht="16.5" customHeight="1">
      <c r="A177" s="37" t="s">
        <v>19</v>
      </c>
      <c r="B177" s="572">
        <v>7579.4802593500017</v>
      </c>
      <c r="C177" s="572">
        <v>12571.724120029996</v>
      </c>
      <c r="D177" s="572">
        <v>15349.225691871037</v>
      </c>
      <c r="E177" s="572">
        <v>20151.204379379997</v>
      </c>
      <c r="F177" s="572">
        <v>10764.027273759999</v>
      </c>
      <c r="G177" s="573">
        <v>5.5978676444724416</v>
      </c>
    </row>
    <row r="178" spans="1:7" ht="16.5" customHeight="1">
      <c r="A178" s="37" t="s">
        <v>20</v>
      </c>
      <c r="B178" s="572">
        <v>8259.7188025500054</v>
      </c>
      <c r="C178" s="572">
        <v>11643.207625820003</v>
      </c>
      <c r="D178" s="572">
        <v>14953.03136745104</v>
      </c>
      <c r="E178" s="572">
        <v>19902.926428370003</v>
      </c>
      <c r="F178" s="572">
        <v>10981.981760760002</v>
      </c>
      <c r="G178" s="573">
        <v>5.5471590945152105</v>
      </c>
    </row>
    <row r="179" spans="1:7" ht="16.5" customHeight="1">
      <c r="A179" s="37" t="s">
        <v>21</v>
      </c>
      <c r="B179" s="572">
        <v>8656.3365086799986</v>
      </c>
      <c r="C179" s="572">
        <v>12425.470219749994</v>
      </c>
      <c r="D179" s="572">
        <v>15051.610971511036</v>
      </c>
      <c r="E179" s="572">
        <v>21081.806728430001</v>
      </c>
      <c r="F179" s="572">
        <v>11610.051899549999</v>
      </c>
      <c r="G179" s="573">
        <v>5.2040594239153943</v>
      </c>
    </row>
    <row r="180" spans="1:7" ht="16.5" customHeight="1">
      <c r="A180" s="37" t="s">
        <v>22</v>
      </c>
      <c r="B180" s="572">
        <v>9246.3859576599989</v>
      </c>
      <c r="C180" s="572">
        <v>11609.979976169992</v>
      </c>
      <c r="D180" s="572">
        <v>14254.772286781041</v>
      </c>
      <c r="E180" s="572">
        <v>20856.365933830002</v>
      </c>
      <c r="F180" s="572">
        <v>11568.538726760002</v>
      </c>
      <c r="G180" s="573">
        <v>5.2567468922699323</v>
      </c>
    </row>
    <row r="181" spans="1:7" ht="16.5" customHeight="1">
      <c r="A181" s="37" t="s">
        <v>23</v>
      </c>
      <c r="B181" s="572">
        <v>9423.3952125599972</v>
      </c>
      <c r="C181" s="572">
        <v>11549.609276900004</v>
      </c>
      <c r="D181" s="572">
        <v>13329.53336102104</v>
      </c>
      <c r="E181" s="572">
        <v>20973.004489459996</v>
      </c>
      <c r="F181" s="572">
        <v>11435.887373869999</v>
      </c>
      <c r="G181" s="573">
        <v>5.47584966104895</v>
      </c>
    </row>
    <row r="182" spans="1:7" ht="16.5" customHeight="1">
      <c r="A182" s="37" t="s">
        <v>24</v>
      </c>
      <c r="B182" s="572">
        <v>9715.0228328499998</v>
      </c>
      <c r="C182" s="572">
        <v>11109.361999189996</v>
      </c>
      <c r="D182" s="572">
        <v>12094.787673261037</v>
      </c>
      <c r="E182" s="572">
        <v>20824.384832039999</v>
      </c>
      <c r="F182" s="572">
        <v>11338.46891634</v>
      </c>
      <c r="G182" s="573">
        <v>5.6916830574513746</v>
      </c>
    </row>
    <row r="183" spans="1:7" ht="16.5" customHeight="1">
      <c r="A183" s="37" t="s">
        <v>25</v>
      </c>
      <c r="B183" s="572">
        <v>10145.448565560002</v>
      </c>
      <c r="C183" s="572">
        <v>10410.854755249993</v>
      </c>
      <c r="D183" s="572">
        <v>11728.830825641035</v>
      </c>
      <c r="E183" s="572">
        <v>20556.303320809995</v>
      </c>
      <c r="F183" s="572">
        <v>11137.546011989998</v>
      </c>
      <c r="G183" s="573">
        <v>5.887275341391323</v>
      </c>
    </row>
    <row r="184" spans="1:7">
      <c r="A184" s="37" t="s">
        <v>26</v>
      </c>
      <c r="B184" s="572">
        <v>13649.886896820004</v>
      </c>
      <c r="C184" s="572">
        <v>7483.8322918499998</v>
      </c>
      <c r="D184" s="572">
        <v>11862.255660601038</v>
      </c>
      <c r="E184" s="572">
        <v>21133.719188670002</v>
      </c>
      <c r="F184" s="572">
        <v>11464.497166829999</v>
      </c>
      <c r="G184" s="573">
        <v>5.8228807621100884</v>
      </c>
    </row>
    <row r="185" spans="1:7" ht="16.5" customHeight="1">
      <c r="A185" s="37" t="s">
        <v>27</v>
      </c>
      <c r="B185" s="572">
        <v>14490.233194789998</v>
      </c>
      <c r="C185" s="572">
        <v>6959.3879467099996</v>
      </c>
      <c r="D185" s="572">
        <v>11674.205142721039</v>
      </c>
      <c r="E185" s="572">
        <v>21449.6211415</v>
      </c>
      <c r="F185" s="572">
        <v>11546.72964532</v>
      </c>
      <c r="G185" s="573">
        <v>5.8698698317121316</v>
      </c>
    </row>
    <row r="186" spans="1:7" ht="16.5" customHeight="1">
      <c r="A186" s="37" t="s">
        <v>28</v>
      </c>
      <c r="B186" s="572">
        <v>12879.959697359996</v>
      </c>
      <c r="C186" s="572">
        <v>8637.9607756900004</v>
      </c>
      <c r="D186" s="572">
        <v>11817.19033116</v>
      </c>
      <c r="E186" s="572">
        <v>21517.920473049999</v>
      </c>
      <c r="F186" s="572">
        <v>12044.7137398</v>
      </c>
      <c r="G186" s="573">
        <v>5.7124690575333714</v>
      </c>
    </row>
    <row r="187" spans="1:7" ht="16.5" customHeight="1">
      <c r="A187" s="37" t="s">
        <v>29</v>
      </c>
      <c r="B187" s="572">
        <v>15051.31524702</v>
      </c>
      <c r="C187" s="572">
        <v>7720.7552040000028</v>
      </c>
      <c r="D187" s="572">
        <v>11363.186676810003</v>
      </c>
      <c r="E187" s="572">
        <v>22772.070451020001</v>
      </c>
      <c r="F187" s="572">
        <v>12466.432601680001</v>
      </c>
      <c r="G187" s="573">
        <v>5.6259157884949751</v>
      </c>
    </row>
    <row r="188" spans="1:7" ht="16.5" customHeight="1">
      <c r="A188" s="37" t="s">
        <v>2038</v>
      </c>
      <c r="B188" s="570"/>
      <c r="C188" s="570"/>
      <c r="D188" s="570"/>
      <c r="E188" s="570"/>
      <c r="F188" s="570"/>
      <c r="G188" s="571"/>
    </row>
    <row r="189" spans="1:7" ht="16.5" customHeight="1">
      <c r="A189" s="37" t="s">
        <v>18</v>
      </c>
      <c r="B189" s="572">
        <v>15215.15271205</v>
      </c>
      <c r="C189" s="572">
        <v>7540.2460617299976</v>
      </c>
      <c r="D189" s="572">
        <v>11439.614230220001</v>
      </c>
      <c r="E189" s="572">
        <v>22755.398773779998</v>
      </c>
      <c r="F189" s="572">
        <v>12272.674945000001</v>
      </c>
      <c r="G189" s="573">
        <v>5.9150918870849303</v>
      </c>
    </row>
    <row r="190" spans="1:7" ht="16.5" customHeight="1">
      <c r="A190" s="37" t="s">
        <v>19</v>
      </c>
      <c r="B190" s="572">
        <v>15209.074641149999</v>
      </c>
      <c r="C190" s="572">
        <v>7659.0022269400033</v>
      </c>
      <c r="D190" s="572">
        <v>11216.25471754</v>
      </c>
      <c r="E190" s="572">
        <v>22868.07686809</v>
      </c>
      <c r="F190" s="572">
        <v>12744.878943899999</v>
      </c>
      <c r="G190" s="573">
        <v>5.4334764814022973</v>
      </c>
    </row>
    <row r="191" spans="1:7" ht="16.5" customHeight="1">
      <c r="A191" s="37" t="s">
        <v>20</v>
      </c>
      <c r="B191" s="572">
        <v>14827.697943479998</v>
      </c>
      <c r="C191" s="572">
        <v>7631.8016116400031</v>
      </c>
      <c r="D191" s="572">
        <v>10921.316064299999</v>
      </c>
      <c r="E191" s="572">
        <v>22459.499555119997</v>
      </c>
      <c r="F191" s="572">
        <v>13005.875008679999</v>
      </c>
      <c r="G191" s="573">
        <v>5.2853345087603332</v>
      </c>
    </row>
    <row r="192" spans="1:7" ht="16.5" customHeight="1">
      <c r="A192" s="37" t="s">
        <v>21</v>
      </c>
      <c r="B192" s="572">
        <v>15207.835717920001</v>
      </c>
      <c r="C192" s="572">
        <v>6912.1456042400068</v>
      </c>
      <c r="D192" s="572">
        <v>11295.221409450003</v>
      </c>
      <c r="E192" s="572">
        <v>22119.981322159998</v>
      </c>
      <c r="F192" s="572">
        <v>12425.141375929999</v>
      </c>
      <c r="G192" s="573">
        <v>5.5457719083572545</v>
      </c>
    </row>
    <row r="193" spans="1:7" ht="16.5" customHeight="1">
      <c r="A193" s="37" t="s">
        <v>22</v>
      </c>
      <c r="B193" s="572">
        <v>14685.559832260002</v>
      </c>
      <c r="C193" s="572">
        <v>7459.5814682800055</v>
      </c>
      <c r="D193" s="572">
        <v>11567.469745009997</v>
      </c>
      <c r="E193" s="572">
        <v>22145.141300540003</v>
      </c>
      <c r="F193" s="572">
        <v>12599.04958142</v>
      </c>
      <c r="G193" s="573">
        <v>5.5802304408485455</v>
      </c>
    </row>
    <row r="194" spans="1:7" ht="16.5" customHeight="1">
      <c r="A194" s="37" t="s">
        <v>23</v>
      </c>
      <c r="B194" s="572">
        <v>14866.660805050002</v>
      </c>
      <c r="C194" s="572">
        <v>7816.9508409700011</v>
      </c>
      <c r="D194" s="572">
        <v>11601.38508041</v>
      </c>
      <c r="E194" s="572">
        <v>22683.611646020006</v>
      </c>
      <c r="F194" s="572">
        <v>12984.69515177</v>
      </c>
      <c r="G194" s="573">
        <v>5.7004187726278852</v>
      </c>
    </row>
    <row r="195" spans="1:7" ht="16.5" customHeight="1">
      <c r="A195" s="37" t="s">
        <v>24</v>
      </c>
      <c r="B195" s="572">
        <v>14898.302429340003</v>
      </c>
      <c r="C195" s="572">
        <v>7829.6722971600011</v>
      </c>
      <c r="D195" s="572">
        <v>11658.179657479999</v>
      </c>
      <c r="E195" s="572">
        <v>22727.974726499997</v>
      </c>
      <c r="F195" s="572">
        <v>13347.24488812</v>
      </c>
      <c r="G195" s="573">
        <v>5.5842792637665681</v>
      </c>
    </row>
    <row r="196" spans="1:7" ht="16.5" customHeight="1">
      <c r="A196" s="37" t="s">
        <v>25</v>
      </c>
      <c r="B196" s="572">
        <v>14742.815107280003</v>
      </c>
      <c r="C196" s="572">
        <v>7688.7912995700081</v>
      </c>
      <c r="D196" s="572">
        <v>11908.097342610003</v>
      </c>
      <c r="E196" s="572">
        <v>22431.606406849998</v>
      </c>
      <c r="F196" s="572">
        <v>12875.444561080003</v>
      </c>
      <c r="G196" s="573">
        <v>5.8858433695623225</v>
      </c>
    </row>
    <row r="197" spans="1:7" ht="16.5" customHeight="1">
      <c r="A197" s="37" t="s">
        <v>26</v>
      </c>
      <c r="B197" s="572">
        <v>14925.815097000002</v>
      </c>
      <c r="C197" s="572">
        <v>8220.5482064299977</v>
      </c>
      <c r="D197" s="572">
        <v>11994.595670209999</v>
      </c>
      <c r="E197" s="572">
        <v>23146.363303429996</v>
      </c>
      <c r="F197" s="572">
        <v>13498.862857829999</v>
      </c>
      <c r="G197" s="573">
        <v>5.7053595904927432</v>
      </c>
    </row>
    <row r="198" spans="1:7" ht="16.5" customHeight="1">
      <c r="A198" s="37" t="s">
        <v>27</v>
      </c>
      <c r="B198" s="572">
        <v>15278.428414849997</v>
      </c>
      <c r="C198" s="572">
        <v>8312.2667972200034</v>
      </c>
      <c r="D198" s="572">
        <v>12155.465655079997</v>
      </c>
      <c r="E198" s="572">
        <v>23590.695212070001</v>
      </c>
      <c r="F198" s="572">
        <v>13995.88495462</v>
      </c>
      <c r="G198" s="573">
        <v>5.5930439735545372</v>
      </c>
    </row>
    <row r="199" spans="1:7" ht="16.5" customHeight="1">
      <c r="A199" s="37" t="s">
        <v>28</v>
      </c>
      <c r="B199" s="572">
        <v>15623.576645599996</v>
      </c>
      <c r="C199" s="572">
        <v>8103.9560301999991</v>
      </c>
      <c r="D199" s="572">
        <v>12613.941619519996</v>
      </c>
      <c r="E199" s="572">
        <v>23727.532675800001</v>
      </c>
      <c r="F199" s="572">
        <v>14130.015342300001</v>
      </c>
      <c r="G199" s="573">
        <v>5.5921267209873013</v>
      </c>
    </row>
    <row r="200" spans="1:7" ht="16.5" customHeight="1">
      <c r="A200" s="37" t="s">
        <v>29</v>
      </c>
      <c r="B200" s="572">
        <v>14951.341600259995</v>
      </c>
      <c r="C200" s="572">
        <v>9109.0515746599976</v>
      </c>
      <c r="D200" s="572">
        <v>13057.835329099997</v>
      </c>
      <c r="E200" s="572">
        <v>24060.393174920002</v>
      </c>
      <c r="F200" s="572">
        <v>14643.622398930002</v>
      </c>
      <c r="G200" s="573">
        <v>5.4492869200062639</v>
      </c>
    </row>
    <row r="201" spans="1:7" ht="16.5" customHeight="1">
      <c r="A201" s="37" t="s">
        <v>2131</v>
      </c>
      <c r="B201" s="572"/>
      <c r="C201" s="572"/>
      <c r="D201" s="572"/>
      <c r="E201" s="572"/>
      <c r="F201" s="572"/>
      <c r="G201" s="573"/>
    </row>
    <row r="202" spans="1:7" ht="16.5" customHeight="1">
      <c r="A202" s="37" t="s">
        <v>18</v>
      </c>
      <c r="B202" s="572">
        <v>15436.09738542</v>
      </c>
      <c r="C202" s="572">
        <v>8243.1699539799993</v>
      </c>
      <c r="D202" s="572">
        <v>12703.17767779</v>
      </c>
      <c r="E202" s="572">
        <v>23679.267339400001</v>
      </c>
      <c r="F202" s="572">
        <v>13961.6501642</v>
      </c>
      <c r="G202" s="573">
        <v>5.0963889771748274</v>
      </c>
    </row>
    <row r="203" spans="1:7" ht="16.5" customHeight="1">
      <c r="A203" s="37" t="s">
        <v>19</v>
      </c>
      <c r="B203" s="572">
        <v>16412.663800009996</v>
      </c>
      <c r="C203" s="572">
        <v>8147.605019550002</v>
      </c>
      <c r="D203" s="572">
        <v>12778.940305229999</v>
      </c>
      <c r="E203" s="572">
        <v>24560.268819559999</v>
      </c>
      <c r="F203" s="572">
        <v>14392.6817524</v>
      </c>
      <c r="G203" s="573">
        <v>4.7876414684504267</v>
      </c>
    </row>
    <row r="204" spans="1:7" ht="16.5" customHeight="1">
      <c r="A204" s="37" t="s">
        <v>20</v>
      </c>
      <c r="B204" s="572">
        <v>16294.604472880001</v>
      </c>
      <c r="C204" s="572">
        <v>7904.114186490001</v>
      </c>
      <c r="D204" s="572">
        <v>12776.212547229999</v>
      </c>
      <c r="E204" s="572">
        <v>24198.718659369999</v>
      </c>
      <c r="F204" s="572">
        <v>14293.507187650001</v>
      </c>
      <c r="G204" s="573">
        <v>5.0685111112964716</v>
      </c>
    </row>
    <row r="205" spans="1:7" ht="16.5" customHeight="1">
      <c r="A205" s="37" t="s">
        <v>21</v>
      </c>
      <c r="B205" s="572">
        <v>16354.029426420002</v>
      </c>
      <c r="C205" s="572">
        <v>8119.345586970001</v>
      </c>
      <c r="D205" s="572">
        <v>12746.491232320001</v>
      </c>
      <c r="E205" s="572">
        <v>24473.375013390003</v>
      </c>
      <c r="F205" s="572">
        <v>14965.257296850003</v>
      </c>
      <c r="G205" s="573">
        <v>4.7737368347844757</v>
      </c>
    </row>
    <row r="206" spans="1:7" ht="16.5" customHeight="1">
      <c r="A206" s="37" t="s">
        <v>22</v>
      </c>
      <c r="B206" s="572">
        <v>16144.320443900002</v>
      </c>
      <c r="C206" s="572">
        <v>8689.707201660005</v>
      </c>
      <c r="D206" s="572">
        <v>12764.291382460002</v>
      </c>
      <c r="E206" s="572">
        <v>24834.027645559996</v>
      </c>
      <c r="F206" s="572">
        <v>15491.78615055</v>
      </c>
      <c r="G206" s="573">
        <v>4.7419244808896321</v>
      </c>
    </row>
    <row r="207" spans="1:7" ht="16.5" customHeight="1">
      <c r="A207" s="37" t="s">
        <v>23</v>
      </c>
      <c r="B207" s="572">
        <v>15922.972550980003</v>
      </c>
      <c r="C207" s="572">
        <v>9361.1948192100062</v>
      </c>
      <c r="D207" s="572">
        <v>13104.776029759998</v>
      </c>
      <c r="E207" s="572">
        <v>25284.16737019</v>
      </c>
      <c r="F207" s="572">
        <v>15834.294932270001</v>
      </c>
      <c r="G207" s="573">
        <v>4.7776298422878227</v>
      </c>
    </row>
    <row r="208" spans="1:7" ht="16.5" customHeight="1">
      <c r="A208" s="37" t="s">
        <v>24</v>
      </c>
      <c r="B208" s="572">
        <v>16082.351295590004</v>
      </c>
      <c r="C208" s="572">
        <v>9559.9255516899993</v>
      </c>
      <c r="D208" s="572">
        <v>13371.491012979996</v>
      </c>
      <c r="E208" s="572">
        <v>25642.276847279998</v>
      </c>
      <c r="F208" s="572">
        <v>16182.182113769999</v>
      </c>
      <c r="G208" s="573">
        <v>4.7113299964116084</v>
      </c>
    </row>
    <row r="209" spans="1:7" ht="16.5" customHeight="1">
      <c r="A209" s="37" t="s">
        <v>25</v>
      </c>
      <c r="B209" s="572">
        <v>16474.534192860006</v>
      </c>
      <c r="C209" s="572">
        <v>9008.1436978899965</v>
      </c>
      <c r="D209" s="572">
        <v>13594.453350999996</v>
      </c>
      <c r="E209" s="572">
        <v>25482.677890749997</v>
      </c>
      <c r="F209" s="572">
        <v>15948.621320620001</v>
      </c>
      <c r="G209" s="573">
        <v>4.7849621898874775</v>
      </c>
    </row>
    <row r="210" spans="1:7" ht="16.5" customHeight="1">
      <c r="A210" s="37" t="s">
        <v>26</v>
      </c>
      <c r="B210" s="572">
        <v>16841.025754920003</v>
      </c>
      <c r="C210" s="572">
        <v>9709.6121694800004</v>
      </c>
      <c r="D210" s="572">
        <v>13944.7088059</v>
      </c>
      <c r="E210" s="572">
        <v>26550.637924399998</v>
      </c>
      <c r="F210" s="572">
        <v>16217.440250410002</v>
      </c>
      <c r="G210" s="573">
        <v>4.806693625074149</v>
      </c>
    </row>
    <row r="211" spans="1:7" ht="16.5" customHeight="1">
      <c r="A211" s="37" t="s">
        <v>27</v>
      </c>
      <c r="B211" s="572">
        <v>17194.459753770003</v>
      </c>
      <c r="C211" s="572">
        <v>9252.4802077999993</v>
      </c>
      <c r="D211" s="572">
        <v>14176.468375749999</v>
      </c>
      <c r="E211" s="572">
        <v>26446.939961569999</v>
      </c>
      <c r="F211" s="572">
        <v>16339.016886419999</v>
      </c>
      <c r="G211" s="573">
        <v>4.8043355696169749</v>
      </c>
    </row>
    <row r="212" spans="1:7" ht="16.5" customHeight="1">
      <c r="A212" s="37" t="s">
        <v>28</v>
      </c>
      <c r="B212" s="572">
        <v>16611.147235610006</v>
      </c>
      <c r="C212" s="572">
        <v>10131.010045580004</v>
      </c>
      <c r="D212" s="572">
        <v>14828.83944168</v>
      </c>
      <c r="E212" s="572">
        <v>26742.157281189997</v>
      </c>
      <c r="F212" s="572">
        <v>16663.40605034</v>
      </c>
      <c r="G212" s="573">
        <v>4.7694407153395666</v>
      </c>
    </row>
    <row r="213" spans="1:7" ht="16.5" customHeight="1">
      <c r="A213" s="37" t="s">
        <v>29</v>
      </c>
      <c r="B213" s="572">
        <v>16923.436541439994</v>
      </c>
      <c r="C213" s="572">
        <v>11942.869630390003</v>
      </c>
      <c r="D213" s="572">
        <v>15036.395868329997</v>
      </c>
      <c r="E213" s="572">
        <v>28866.306171830001</v>
      </c>
      <c r="F213" s="572">
        <v>18238.611014260001</v>
      </c>
      <c r="G213" s="573">
        <v>4.4784660375802234</v>
      </c>
    </row>
    <row r="214" spans="1:7" ht="16.5" customHeight="1">
      <c r="A214" s="37" t="s">
        <v>2362</v>
      </c>
      <c r="B214" s="572"/>
      <c r="C214" s="572"/>
      <c r="D214" s="572"/>
      <c r="E214" s="572"/>
      <c r="F214" s="572"/>
      <c r="G214" s="573"/>
    </row>
    <row r="215" spans="1:7" ht="16.5" customHeight="1">
      <c r="A215" s="37" t="s">
        <v>18</v>
      </c>
      <c r="B215" s="572">
        <v>17461.082540930005</v>
      </c>
      <c r="C215" s="572">
        <v>11069.35546377</v>
      </c>
      <c r="D215" s="572">
        <v>15174.153975789997</v>
      </c>
      <c r="E215" s="572">
        <v>28530.438004700001</v>
      </c>
      <c r="F215" s="572">
        <v>17946.08479271</v>
      </c>
      <c r="G215" s="573">
        <v>4.3598590391026883</v>
      </c>
    </row>
    <row r="216" spans="1:7" ht="16.5" customHeight="1">
      <c r="A216" s="37" t="s">
        <v>19</v>
      </c>
      <c r="B216" s="572">
        <v>16935.301778849996</v>
      </c>
      <c r="C216" s="572">
        <v>11681.391002660001</v>
      </c>
      <c r="D216" s="572">
        <v>15453.481209539999</v>
      </c>
      <c r="E216" s="572">
        <v>28616.692781509999</v>
      </c>
      <c r="F216" s="572">
        <v>18299.3697938</v>
      </c>
      <c r="G216" s="573">
        <v>4.1240764491009561</v>
      </c>
    </row>
    <row r="217" spans="1:7" ht="16.5" customHeight="1">
      <c r="A217" s="37" t="s">
        <v>20</v>
      </c>
      <c r="B217" s="572">
        <v>17405.766731319996</v>
      </c>
      <c r="C217" s="572">
        <v>9315.4246295400044</v>
      </c>
      <c r="D217" s="572">
        <v>15339.275539660002</v>
      </c>
      <c r="E217" s="572">
        <v>26721.191360860001</v>
      </c>
      <c r="F217" s="572">
        <v>16442.773718979999</v>
      </c>
      <c r="G217" s="573">
        <v>4.4569366003867916</v>
      </c>
    </row>
    <row r="218" spans="1:7" ht="16.5" customHeight="1">
      <c r="A218" s="37" t="s">
        <v>21</v>
      </c>
      <c r="B218" s="572">
        <v>17442.282064709994</v>
      </c>
      <c r="C218" s="572">
        <v>8849.5218228400045</v>
      </c>
      <c r="D218" s="572">
        <v>15072.395578970001</v>
      </c>
      <c r="E218" s="572">
        <v>26291.803887549999</v>
      </c>
      <c r="F218" s="572">
        <v>16484.154980579999</v>
      </c>
      <c r="G218" s="573">
        <v>4.076733085752358</v>
      </c>
    </row>
    <row r="219" spans="1:7" ht="16.5" customHeight="1">
      <c r="A219" s="37" t="s">
        <v>22</v>
      </c>
      <c r="B219" s="572">
        <v>17340.418617129999</v>
      </c>
      <c r="C219" s="572">
        <v>9289.8043930899948</v>
      </c>
      <c r="D219" s="572">
        <v>14523.218296129999</v>
      </c>
      <c r="E219" s="572">
        <v>26630.223010220001</v>
      </c>
      <c r="F219" s="572">
        <v>17021.310660290001</v>
      </c>
      <c r="G219" s="573">
        <v>3.8746581456775053</v>
      </c>
    </row>
    <row r="220" spans="1:7" ht="16.5" customHeight="1">
      <c r="A220" s="37" t="s">
        <v>23</v>
      </c>
      <c r="B220" s="572">
        <v>16389.94843484</v>
      </c>
      <c r="C220" s="572">
        <v>9823.5611701899961</v>
      </c>
      <c r="D220" s="572">
        <v>14373.889682129999</v>
      </c>
      <c r="E220" s="572">
        <v>26213.509605029998</v>
      </c>
      <c r="F220" s="572">
        <v>17169.070671429999</v>
      </c>
      <c r="G220" s="573">
        <v>3.937767005205588</v>
      </c>
    </row>
    <row r="221" spans="1:7" ht="16.5" customHeight="1">
      <c r="A221" s="37" t="s">
        <v>24</v>
      </c>
      <c r="B221" s="572">
        <v>16346.638948270001</v>
      </c>
      <c r="C221" s="572">
        <v>10365.167312649999</v>
      </c>
      <c r="D221" s="572">
        <v>14714.01681705</v>
      </c>
      <c r="E221" s="572">
        <v>26711.806260919999</v>
      </c>
      <c r="F221" s="572">
        <v>17927.599440489998</v>
      </c>
      <c r="G221" s="573">
        <v>3.8257213536964993</v>
      </c>
    </row>
    <row r="222" spans="1:7" ht="16.5" customHeight="1">
      <c r="A222" s="37" t="s">
        <v>25</v>
      </c>
      <c r="B222" s="572">
        <v>16420.152464160001</v>
      </c>
      <c r="C222" s="572">
        <v>10503.255776259994</v>
      </c>
      <c r="D222" s="572">
        <v>14835.452325189999</v>
      </c>
      <c r="E222" s="572">
        <v>26923.408240420002</v>
      </c>
      <c r="F222" s="572">
        <v>18109.264225810002</v>
      </c>
      <c r="G222" s="573">
        <v>3.8070983525514408</v>
      </c>
    </row>
    <row r="223" spans="1:7" ht="16.5" customHeight="1">
      <c r="A223" s="37" t="s">
        <v>26</v>
      </c>
      <c r="B223" s="572">
        <v>15472.272472590004</v>
      </c>
      <c r="C223" s="572">
        <v>11311.003160490003</v>
      </c>
      <c r="D223" s="572">
        <v>14944.390646930002</v>
      </c>
      <c r="E223" s="572">
        <v>26783.27563308</v>
      </c>
      <c r="F223" s="572">
        <v>18427.77644216</v>
      </c>
      <c r="G223" s="573">
        <v>3.767790444925843</v>
      </c>
    </row>
    <row r="224" spans="1:7" ht="16.5" customHeight="1">
      <c r="A224" s="37" t="s">
        <v>27</v>
      </c>
      <c r="B224" s="572">
        <v>15614.192489770001</v>
      </c>
      <c r="C224" s="572">
        <v>11333.686743449998</v>
      </c>
      <c r="D224" s="572">
        <v>15302.399984839998</v>
      </c>
      <c r="E224" s="572">
        <v>26947.879233220003</v>
      </c>
      <c r="F224" s="572">
        <v>18573.56709312</v>
      </c>
      <c r="G224" s="573">
        <v>3.7775942363806809</v>
      </c>
    </row>
    <row r="225" spans="1:7" ht="16.5" customHeight="1">
      <c r="A225" s="37" t="s">
        <v>28</v>
      </c>
      <c r="B225" s="572">
        <v>17371.823992289996</v>
      </c>
      <c r="C225" s="572">
        <v>9775.2789636100006</v>
      </c>
      <c r="D225" s="572">
        <v>15140.635196690002</v>
      </c>
      <c r="E225" s="572">
        <v>27147.102955900002</v>
      </c>
      <c r="F225" s="572">
        <v>18613.844544650001</v>
      </c>
      <c r="G225" s="573">
        <v>3.7924440309486314</v>
      </c>
    </row>
    <row r="226" spans="1:7" ht="16.5" customHeight="1">
      <c r="A226" s="37" t="s">
        <v>29</v>
      </c>
      <c r="B226" s="572">
        <v>18435.934671379997</v>
      </c>
      <c r="C226" s="572">
        <v>10749.872900919996</v>
      </c>
      <c r="D226" s="572">
        <v>14933.871500879997</v>
      </c>
      <c r="E226" s="572">
        <v>29185.8075723</v>
      </c>
      <c r="F226" s="572">
        <v>20305.478031890001</v>
      </c>
      <c r="G226" s="573">
        <v>3.5671260674702827</v>
      </c>
    </row>
    <row r="227" spans="1:7" ht="16.5" customHeight="1">
      <c r="A227" s="37" t="s">
        <v>2523</v>
      </c>
      <c r="B227" s="572"/>
      <c r="C227" s="572"/>
      <c r="D227" s="572"/>
      <c r="E227" s="572"/>
      <c r="F227" s="572"/>
      <c r="G227" s="573"/>
    </row>
    <row r="228" spans="1:7" ht="16.5" customHeight="1">
      <c r="A228" s="37" t="s">
        <v>18</v>
      </c>
      <c r="B228" s="572">
        <v>18629.755840289999</v>
      </c>
      <c r="C228" s="572">
        <v>9482.522564750001</v>
      </c>
      <c r="D228" s="572">
        <v>14877.395116979997</v>
      </c>
      <c r="E228" s="572">
        <v>28112.278405040001</v>
      </c>
      <c r="F228" s="572">
        <v>19488.342999029999</v>
      </c>
      <c r="G228" s="573">
        <v>3.852641551092213</v>
      </c>
    </row>
    <row r="229" spans="1:7" ht="16.5" customHeight="1">
      <c r="A229" s="37" t="s">
        <v>19</v>
      </c>
      <c r="B229" s="572">
        <v>18655.831137790003</v>
      </c>
      <c r="C229" s="572">
        <v>9922.2023884100036</v>
      </c>
      <c r="D229" s="572">
        <v>14940.178832529999</v>
      </c>
      <c r="E229" s="572">
        <v>28578.033526200001</v>
      </c>
      <c r="F229" s="572">
        <v>19587.868783219998</v>
      </c>
      <c r="G229" s="573">
        <v>3.6815643803871434</v>
      </c>
    </row>
    <row r="230" spans="1:7" ht="16.5" customHeight="1">
      <c r="A230" s="37" t="s">
        <v>20</v>
      </c>
      <c r="B230" s="572">
        <v>18731.7518734</v>
      </c>
      <c r="C230" s="572">
        <v>10567.742744940004</v>
      </c>
      <c r="D230" s="572">
        <v>14973.671767880001</v>
      </c>
      <c r="E230" s="572">
        <v>29299.494618340002</v>
      </c>
      <c r="F230" s="572">
        <v>20319.899299190001</v>
      </c>
      <c r="G230" s="573">
        <v>3.7247231832008647</v>
      </c>
    </row>
    <row r="231" spans="1:7" ht="16.5" customHeight="1">
      <c r="A231" s="37" t="s">
        <v>21</v>
      </c>
      <c r="B231" s="572">
        <v>18641.517583209999</v>
      </c>
      <c r="C231" s="572">
        <v>11112.358257790002</v>
      </c>
      <c r="D231" s="572">
        <v>15250.671643320004</v>
      </c>
      <c r="E231" s="572">
        <v>29753.875841000001</v>
      </c>
      <c r="F231" s="572">
        <v>20889.349868739999</v>
      </c>
      <c r="G231" s="573">
        <v>3.6016343482564328</v>
      </c>
    </row>
    <row r="232" spans="1:7" ht="16.5" customHeight="1">
      <c r="A232" s="37" t="s">
        <v>22</v>
      </c>
      <c r="B232" s="572">
        <v>18878.328296079999</v>
      </c>
      <c r="C232" s="572">
        <v>11578.641411040002</v>
      </c>
      <c r="D232" s="572">
        <v>15323.944778999999</v>
      </c>
      <c r="E232" s="572">
        <v>30456.969707119999</v>
      </c>
      <c r="F232" s="572">
        <v>21612.49612172</v>
      </c>
      <c r="G232" s="573">
        <v>3.5015853594044404</v>
      </c>
    </row>
    <row r="233" spans="1:7" ht="16.5" customHeight="1">
      <c r="A233" s="37" t="s">
        <v>23</v>
      </c>
      <c r="B233" s="572">
        <v>17913.220910579999</v>
      </c>
      <c r="C233" s="572">
        <v>12380.715167719998</v>
      </c>
      <c r="D233" s="572">
        <v>15573.909282170001</v>
      </c>
      <c r="E233" s="572">
        <v>30293.936078300005</v>
      </c>
      <c r="F233" s="572">
        <v>21480.734456600003</v>
      </c>
      <c r="G233" s="573">
        <v>3.7163533752204669</v>
      </c>
    </row>
    <row r="234" spans="1:7" ht="16.5" customHeight="1">
      <c r="A234" s="37" t="s">
        <v>24</v>
      </c>
      <c r="B234" s="572">
        <v>18590.749985130002</v>
      </c>
      <c r="C234" s="572">
        <v>12916.566683020004</v>
      </c>
      <c r="D234" s="572">
        <v>15633.965863520005</v>
      </c>
      <c r="E234" s="572">
        <v>31507.316668149997</v>
      </c>
      <c r="F234" s="572">
        <v>21840.937861349998</v>
      </c>
      <c r="G234" s="573">
        <v>3.709597372998422</v>
      </c>
    </row>
    <row r="235" spans="1:7" ht="16.5" customHeight="1">
      <c r="A235" s="37" t="s">
        <v>25</v>
      </c>
      <c r="B235" s="572">
        <v>18028.229270430002</v>
      </c>
      <c r="C235" s="572">
        <v>13260.928285479999</v>
      </c>
      <c r="D235" s="572">
        <v>15866.601328869998</v>
      </c>
      <c r="E235" s="572">
        <v>31289.157555909998</v>
      </c>
      <c r="F235" s="572">
        <v>21946.90603559</v>
      </c>
      <c r="G235" s="573">
        <v>3.7406320447570556</v>
      </c>
    </row>
    <row r="236" spans="1:7" ht="16.5" customHeight="1">
      <c r="A236" s="37" t="s">
        <v>26</v>
      </c>
      <c r="B236" s="572">
        <v>18583.587132689998</v>
      </c>
      <c r="C236" s="572">
        <v>13628.549177099998</v>
      </c>
      <c r="D236" s="572">
        <v>16176.23063507</v>
      </c>
      <c r="E236" s="572">
        <v>32212.136309789996</v>
      </c>
      <c r="F236" s="572">
        <v>22407.213064969998</v>
      </c>
      <c r="G236" s="573">
        <v>3.7414975744751584</v>
      </c>
    </row>
    <row r="237" spans="1:7" ht="16.5" customHeight="1">
      <c r="A237" s="37" t="s">
        <v>27</v>
      </c>
      <c r="B237" s="572">
        <v>18807.258126690002</v>
      </c>
      <c r="C237" s="572">
        <v>13655.549796100006</v>
      </c>
      <c r="D237" s="572">
        <v>16637.722099530001</v>
      </c>
      <c r="E237" s="572">
        <v>32462.807922790002</v>
      </c>
      <c r="F237" s="572">
        <v>22578.347080029998</v>
      </c>
      <c r="G237" s="573">
        <v>3.8048312259307271</v>
      </c>
    </row>
    <row r="238" spans="1:7" ht="16.5" customHeight="1">
      <c r="A238" s="37" t="s">
        <v>28</v>
      </c>
      <c r="B238" s="572">
        <v>19212.29293517</v>
      </c>
      <c r="C238" s="572">
        <v>13819.00268611</v>
      </c>
      <c r="D238" s="572">
        <v>16903.345898200001</v>
      </c>
      <c r="E238" s="572">
        <v>33031.295621280005</v>
      </c>
      <c r="F238" s="572">
        <v>22743.662187120004</v>
      </c>
      <c r="G238" s="573">
        <v>3.870242627809501</v>
      </c>
    </row>
    <row r="239" spans="1:7" ht="16.5" customHeight="1">
      <c r="A239" s="37" t="s">
        <v>29</v>
      </c>
      <c r="B239" s="572">
        <v>20171.006019230001</v>
      </c>
      <c r="C239" s="572">
        <v>14475.635467280003</v>
      </c>
      <c r="D239" s="572">
        <v>17432.947822030004</v>
      </c>
      <c r="E239" s="572">
        <v>34646.641486510001</v>
      </c>
      <c r="F239" s="572">
        <v>23874.89363441</v>
      </c>
      <c r="G239" s="573">
        <v>3.889345076124973</v>
      </c>
    </row>
    <row r="240" spans="1:7" ht="16.5" customHeight="1">
      <c r="A240" s="37" t="s">
        <v>2812</v>
      </c>
      <c r="B240" s="572"/>
      <c r="C240" s="572"/>
      <c r="D240" s="572"/>
      <c r="E240" s="572"/>
      <c r="F240" s="572"/>
      <c r="G240" s="573"/>
    </row>
    <row r="241" spans="1:7" ht="16.5" customHeight="1">
      <c r="A241" s="37" t="s">
        <v>18</v>
      </c>
      <c r="B241" s="572">
        <v>20644.00900419</v>
      </c>
      <c r="C241" s="572">
        <v>14003.592208620003</v>
      </c>
      <c r="D241" s="572">
        <v>17664.256217129998</v>
      </c>
      <c r="E241" s="572">
        <v>34647.601212809997</v>
      </c>
      <c r="F241" s="572">
        <v>23113.733211639999</v>
      </c>
      <c r="G241" s="573">
        <v>4.8062854659953782</v>
      </c>
    </row>
    <row r="242" spans="1:7" ht="16.5" customHeight="1">
      <c r="A242" s="37" t="s">
        <v>19</v>
      </c>
      <c r="B242" s="572">
        <v>20806.759282540002</v>
      </c>
      <c r="C242" s="572">
        <v>13077.34499216</v>
      </c>
      <c r="D242" s="572">
        <v>18108.422533050001</v>
      </c>
      <c r="E242" s="572">
        <v>33884.104274700003</v>
      </c>
      <c r="F242" s="572">
        <v>23010.41155588</v>
      </c>
      <c r="G242" s="573">
        <v>4.9999627221182941</v>
      </c>
    </row>
    <row r="243" spans="1:7" ht="16.5" customHeight="1">
      <c r="A243" s="37" t="s">
        <v>20</v>
      </c>
      <c r="B243" s="572">
        <v>21167.649971120001</v>
      </c>
      <c r="C243" s="572">
        <v>13742.878801230007</v>
      </c>
      <c r="D243" s="572">
        <v>18431.213404970007</v>
      </c>
      <c r="E243" s="572">
        <v>34910.528772350001</v>
      </c>
      <c r="F243" s="572">
        <v>23597.13338761</v>
      </c>
      <c r="G243" s="573">
        <v>5.0916354129305113</v>
      </c>
    </row>
    <row r="244" spans="1:7" ht="16.5" customHeight="1">
      <c r="A244" s="37" t="s">
        <v>21</v>
      </c>
      <c r="B244" s="572">
        <v>21284.639338749999</v>
      </c>
      <c r="C244" s="572">
        <v>14354.179341939996</v>
      </c>
      <c r="D244" s="572">
        <v>18778.023275389998</v>
      </c>
      <c r="E244" s="572">
        <v>35638.818680690005</v>
      </c>
      <c r="F244" s="572">
        <v>24214.973517330003</v>
      </c>
      <c r="G244" s="573">
        <v>4.9004554935843769</v>
      </c>
    </row>
    <row r="245" spans="1:7" ht="16.5" customHeight="1">
      <c r="A245" s="37" t="s">
        <v>22</v>
      </c>
      <c r="B245" s="572">
        <v>20984.274289159999</v>
      </c>
      <c r="C245" s="572">
        <v>16016.839450910004</v>
      </c>
      <c r="D245" s="572">
        <v>19105.334922900001</v>
      </c>
      <c r="E245" s="572">
        <v>37001.113740070003</v>
      </c>
      <c r="F245" s="572">
        <v>25371.124111100002</v>
      </c>
      <c r="G245" s="573">
        <v>4.8118482833241307</v>
      </c>
    </row>
    <row r="246" spans="1:7" ht="16.5" customHeight="1">
      <c r="A246" s="37" t="s">
        <v>23</v>
      </c>
      <c r="B246" s="572">
        <v>21843.776461989994</v>
      </c>
      <c r="C246" s="572">
        <v>16446.592322800003</v>
      </c>
      <c r="D246" s="572">
        <v>19447.286774370004</v>
      </c>
      <c r="E246" s="572">
        <v>38290.368884790005</v>
      </c>
      <c r="F246" s="572">
        <v>26164.281564559999</v>
      </c>
      <c r="G246" s="573">
        <v>4.843580347784382</v>
      </c>
    </row>
    <row r="247" spans="1:7" ht="16.5" customHeight="1">
      <c r="A247" s="37" t="s">
        <v>24</v>
      </c>
      <c r="B247" s="572">
        <v>22007.304013479999</v>
      </c>
      <c r="C247" s="572">
        <v>16250.072628029999</v>
      </c>
      <c r="D247" s="572">
        <v>19647.958738629997</v>
      </c>
      <c r="E247" s="572">
        <v>38257.376641509996</v>
      </c>
      <c r="F247" s="572">
        <v>26265.92058921</v>
      </c>
      <c r="G247" s="573">
        <v>4.8398532070572857</v>
      </c>
    </row>
    <row r="248" spans="1:7" ht="16.5" customHeight="1">
      <c r="A248" s="37" t="s">
        <v>25</v>
      </c>
      <c r="B248" s="572">
        <v>22153.519507969999</v>
      </c>
      <c r="C248" s="572">
        <v>16911.346218070001</v>
      </c>
      <c r="D248" s="572">
        <v>19828.250462769996</v>
      </c>
      <c r="E248" s="572">
        <v>39064.86572604</v>
      </c>
      <c r="F248" s="572">
        <v>26973.767824449998</v>
      </c>
      <c r="G248" s="573">
        <v>4.7201637097429154</v>
      </c>
    </row>
    <row r="249" spans="1:7" ht="16.5" customHeight="1">
      <c r="A249" s="37" t="s">
        <v>26</v>
      </c>
      <c r="B249" s="572">
        <v>22267.239252699997</v>
      </c>
      <c r="C249" s="572">
        <v>17883.182544539992</v>
      </c>
      <c r="D249" s="572">
        <v>20352.808314019992</v>
      </c>
      <c r="E249" s="572">
        <v>40150.42179724</v>
      </c>
      <c r="F249" s="572">
        <v>27698.74506401</v>
      </c>
      <c r="G249" s="573">
        <v>4.7211669589289373</v>
      </c>
    </row>
    <row r="250" spans="1:7" ht="16.5" customHeight="1">
      <c r="A250" s="37" t="s">
        <v>27</v>
      </c>
      <c r="B250" s="572">
        <v>24658.507956729998</v>
      </c>
      <c r="C250" s="572">
        <v>16519.659770829992</v>
      </c>
      <c r="D250" s="572">
        <v>20638.016606299996</v>
      </c>
      <c r="E250" s="572">
        <v>41178.167727560001</v>
      </c>
      <c r="F250" s="572">
        <v>28702.123430260002</v>
      </c>
      <c r="G250" s="573">
        <v>4.641950632110186</v>
      </c>
    </row>
    <row r="251" spans="1:7" ht="16.5" customHeight="1">
      <c r="A251" s="37" t="s">
        <v>28</v>
      </c>
      <c r="B251" s="572">
        <v>22692.495799500008</v>
      </c>
      <c r="C251" s="572">
        <v>19039.985192260003</v>
      </c>
      <c r="D251" s="572">
        <v>21105.466911740001</v>
      </c>
      <c r="E251" s="572">
        <v>41732.48099176</v>
      </c>
      <c r="F251" s="572">
        <v>28664.181435909999</v>
      </c>
      <c r="G251" s="573">
        <v>4.6220167692195337</v>
      </c>
    </row>
    <row r="252" spans="1:7" ht="16.5" customHeight="1">
      <c r="A252" s="37" t="s">
        <v>29</v>
      </c>
      <c r="B252" s="572">
        <v>25030.791140590009</v>
      </c>
      <c r="C252" s="572">
        <v>17794.138854120007</v>
      </c>
      <c r="D252" s="572">
        <v>20472.839225040007</v>
      </c>
      <c r="E252" s="572">
        <v>42824.929994710001</v>
      </c>
      <c r="F252" s="572">
        <v>29565.60384879</v>
      </c>
      <c r="G252" s="573">
        <v>4.526401716144111</v>
      </c>
    </row>
    <row r="253" spans="1:7" ht="16.5" customHeight="1">
      <c r="A253" s="37" t="s">
        <v>3500</v>
      </c>
      <c r="B253" s="572"/>
      <c r="C253" s="572"/>
      <c r="D253" s="572"/>
      <c r="E253" s="572"/>
      <c r="F253" s="572"/>
      <c r="G253" s="573"/>
    </row>
    <row r="254" spans="1:7" ht="16.5" customHeight="1">
      <c r="A254" s="37" t="s">
        <v>18</v>
      </c>
      <c r="B254" s="572">
        <v>25868.055113970007</v>
      </c>
      <c r="C254" s="572">
        <v>16146.762710270003</v>
      </c>
      <c r="D254" s="572">
        <v>21288.890944710001</v>
      </c>
      <c r="E254" s="572">
        <v>42014.817824240003</v>
      </c>
      <c r="F254" s="572">
        <v>28914.779509910004</v>
      </c>
      <c r="G254" s="573">
        <v>4.0215558261527251</v>
      </c>
    </row>
    <row r="255" spans="1:7" ht="16.5" customHeight="1">
      <c r="A255" s="37" t="s">
        <v>19</v>
      </c>
      <c r="B255" s="572">
        <v>23298.165353230008</v>
      </c>
      <c r="C255" s="572">
        <v>18434.834957210001</v>
      </c>
      <c r="D255" s="572">
        <v>21116.176848379997</v>
      </c>
      <c r="E255" s="572">
        <v>41733.000310440002</v>
      </c>
      <c r="F255" s="572">
        <v>29018.297662320001</v>
      </c>
      <c r="G255" s="573">
        <v>4.0965531949297675</v>
      </c>
    </row>
    <row r="256" spans="1:7" ht="16.5" customHeight="1">
      <c r="A256" s="37" t="s">
        <v>20</v>
      </c>
      <c r="B256" s="572">
        <v>21484.841118709999</v>
      </c>
      <c r="C256" s="572">
        <v>19593.412260490004</v>
      </c>
      <c r="D256" s="572">
        <v>21403.629193590001</v>
      </c>
      <c r="E256" s="572">
        <v>41078.253379200003</v>
      </c>
      <c r="F256" s="572">
        <v>29693.952624060003</v>
      </c>
      <c r="G256" s="573">
        <v>4.0830670653714654</v>
      </c>
    </row>
    <row r="257" spans="1:7" ht="16.5" customHeight="1">
      <c r="A257" s="37" t="s">
        <v>21</v>
      </c>
      <c r="B257" s="572">
        <v>23585.935239589991</v>
      </c>
      <c r="C257" s="572">
        <v>17591.534631979994</v>
      </c>
      <c r="D257" s="572">
        <v>21520.688835459991</v>
      </c>
      <c r="E257" s="572">
        <v>41177.46987157</v>
      </c>
      <c r="F257" s="572">
        <v>30189.143619710001</v>
      </c>
      <c r="G257" s="573">
        <v>3.9735973140251781</v>
      </c>
    </row>
    <row r="258" spans="1:7" ht="16.5" customHeight="1">
      <c r="A258" s="37" t="s">
        <v>22</v>
      </c>
      <c r="B258" s="572">
        <v>22451.585595700002</v>
      </c>
      <c r="C258" s="572">
        <v>18920.234159929994</v>
      </c>
      <c r="D258" s="572">
        <v>21471.025684899989</v>
      </c>
      <c r="E258" s="572">
        <v>41371.81975563</v>
      </c>
      <c r="F258" s="572">
        <v>30368.844427370001</v>
      </c>
      <c r="G258" s="573">
        <v>3.9182893601561086</v>
      </c>
    </row>
    <row r="259" spans="1:7" ht="16.5" customHeight="1">
      <c r="A259" s="37" t="s">
        <v>23</v>
      </c>
      <c r="B259" s="572">
        <v>20991.644776169993</v>
      </c>
      <c r="C259" s="572">
        <v>20248.293868329998</v>
      </c>
      <c r="D259" s="572">
        <v>22335.133190169996</v>
      </c>
      <c r="E259" s="572">
        <v>41239.938644499998</v>
      </c>
      <c r="F259" s="572">
        <v>31403.953318119999</v>
      </c>
      <c r="G259" s="573">
        <v>3.840414573868689</v>
      </c>
    </row>
    <row r="260" spans="1:7" ht="16.5" customHeight="1">
      <c r="A260" s="37" t="s">
        <v>24</v>
      </c>
      <c r="B260" s="572">
        <v>20638.096375329991</v>
      </c>
      <c r="C260" s="572">
        <v>20432.483649409998</v>
      </c>
      <c r="D260" s="572">
        <v>22513.200543559997</v>
      </c>
      <c r="E260" s="572">
        <v>41070.580024739997</v>
      </c>
      <c r="F260" s="572">
        <v>31713.095934369998</v>
      </c>
      <c r="G260" s="573">
        <v>3.8040454136838817</v>
      </c>
    </row>
    <row r="261" spans="1:7" ht="16.5" customHeight="1">
      <c r="A261" s="37" t="s">
        <v>25</v>
      </c>
      <c r="B261" s="572">
        <v>21126.532039799993</v>
      </c>
      <c r="C261" s="572">
        <v>19983.770695990006</v>
      </c>
      <c r="D261" s="572">
        <v>22719.850545200003</v>
      </c>
      <c r="E261" s="572">
        <v>41110.302735789999</v>
      </c>
      <c r="F261" s="572">
        <v>32027.483827459997</v>
      </c>
      <c r="G261" s="573">
        <v>3.7512968751229026</v>
      </c>
    </row>
    <row r="262" spans="1:7" ht="16.5" customHeight="1">
      <c r="A262" s="1390" t="s">
        <v>26</v>
      </c>
      <c r="B262" s="1388">
        <v>20621.750711860001</v>
      </c>
      <c r="C262" s="1388">
        <v>21402.317896349996</v>
      </c>
      <c r="D262" s="1388">
        <v>23087.726836369999</v>
      </c>
      <c r="E262" s="1388">
        <v>42024.06860821</v>
      </c>
      <c r="F262" s="1388">
        <v>33180.734471010001</v>
      </c>
      <c r="G262" s="1389">
        <v>3.6492059402459525</v>
      </c>
    </row>
    <row r="263" spans="1:7" ht="16.5" customHeight="1">
      <c r="A263" s="1390" t="s">
        <v>27</v>
      </c>
      <c r="B263" s="1388">
        <v>22371.923932239999</v>
      </c>
      <c r="C263" s="1388">
        <v>20522.285646640001</v>
      </c>
      <c r="D263" s="1388">
        <v>22961.073278830001</v>
      </c>
      <c r="E263" s="1388">
        <v>42894.209578879992</v>
      </c>
      <c r="F263" s="1388">
        <v>33433.653526879993</v>
      </c>
      <c r="G263" s="1389">
        <v>3.6208941359839844</v>
      </c>
    </row>
    <row r="264" spans="1:7" ht="16.5" customHeight="1">
      <c r="A264" s="1390" t="s">
        <v>28</v>
      </c>
      <c r="B264" s="1388">
        <v>23021.823576949999</v>
      </c>
      <c r="C264" s="1388">
        <v>20339.941090730001</v>
      </c>
      <c r="D264" s="1388">
        <v>23286.30599253</v>
      </c>
      <c r="E264" s="1388">
        <v>43361.764667709998</v>
      </c>
      <c r="F264" s="1388">
        <v>34199.027360200002</v>
      </c>
      <c r="G264" s="1389">
        <v>3.515659793134021</v>
      </c>
    </row>
    <row r="265" spans="1:7" ht="16.5" customHeight="1">
      <c r="A265" s="1390" t="s">
        <v>29</v>
      </c>
      <c r="B265" s="1388">
        <v>25216.533737230002</v>
      </c>
      <c r="C265" s="1388">
        <v>19856.920698250004</v>
      </c>
      <c r="D265" s="1388">
        <v>23505.793842999999</v>
      </c>
      <c r="E265" s="1388">
        <v>45073.454435480002</v>
      </c>
      <c r="F265" s="1388">
        <v>35371.828297100001</v>
      </c>
      <c r="G265" s="1389">
        <v>3.4774990697917851</v>
      </c>
    </row>
    <row r="266" spans="1:7" ht="16.5" customHeight="1">
      <c r="A266" s="1390" t="s">
        <v>3971</v>
      </c>
      <c r="B266" s="1388"/>
      <c r="C266" s="1388"/>
      <c r="D266" s="1388"/>
      <c r="E266" s="1388"/>
      <c r="F266" s="1388"/>
      <c r="G266" s="1389"/>
    </row>
    <row r="267" spans="1:7" ht="16.5" customHeight="1">
      <c r="A267" s="1390" t="s">
        <v>18</v>
      </c>
      <c r="B267" s="1388">
        <v>24559.443468530004</v>
      </c>
      <c r="C267" s="1388">
        <v>20339.217273909999</v>
      </c>
      <c r="D267" s="1388">
        <v>23979.402651959997</v>
      </c>
      <c r="E267" s="1388">
        <v>44898.660742440006</v>
      </c>
      <c r="F267" s="1388">
        <v>34235.278261960004</v>
      </c>
      <c r="G267" s="1389">
        <v>3.2005581833330452</v>
      </c>
    </row>
    <row r="268" spans="1:7" ht="16.5" customHeight="1">
      <c r="A268" s="1390" t="s">
        <v>19</v>
      </c>
      <c r="B268" s="1388">
        <v>24688.383061890007</v>
      </c>
      <c r="C268" s="1388">
        <v>20074.220093179996</v>
      </c>
      <c r="D268" s="1388">
        <v>24395.710689939995</v>
      </c>
      <c r="E268" s="1388">
        <v>44762.603155070006</v>
      </c>
      <c r="F268" s="1388">
        <v>34263.958200840003</v>
      </c>
      <c r="G268" s="1389">
        <v>3.2530217129808272</v>
      </c>
    </row>
    <row r="269" spans="1:7" ht="16.5" customHeight="1">
      <c r="A269" s="1390" t="s">
        <v>20</v>
      </c>
      <c r="B269" s="1388">
        <v>25532.34104336</v>
      </c>
      <c r="C269" s="1388">
        <v>19297.972344409995</v>
      </c>
      <c r="D269" s="1388">
        <v>24565.355564489997</v>
      </c>
      <c r="E269" s="1388">
        <v>44830.313387770002</v>
      </c>
      <c r="F269" s="1388">
        <v>34453.60653723</v>
      </c>
      <c r="G269" s="1389">
        <v>3.3780846679790661</v>
      </c>
    </row>
    <row r="270" spans="1:7" ht="16.5" customHeight="1">
      <c r="A270" s="1390" t="s">
        <v>21</v>
      </c>
      <c r="B270" s="1388">
        <v>26281.27450592001</v>
      </c>
      <c r="C270" s="1388">
        <v>18995.971190810003</v>
      </c>
      <c r="D270" s="1388">
        <v>25042.42226499</v>
      </c>
      <c r="E270" s="1388">
        <v>45277.245696729995</v>
      </c>
      <c r="F270" s="1388">
        <v>34268.325425639996</v>
      </c>
      <c r="G270" s="1389">
        <v>3.3426115392932352</v>
      </c>
    </row>
    <row r="271" spans="1:7" ht="16.5" customHeight="1">
      <c r="A271" s="1390" t="s">
        <v>22</v>
      </c>
      <c r="B271" s="1388">
        <v>25162.177145440004</v>
      </c>
      <c r="C271" s="1388">
        <v>19685.414133419996</v>
      </c>
      <c r="D271" s="1388">
        <v>25449.952293029997</v>
      </c>
      <c r="E271" s="1388">
        <v>44847.591278860004</v>
      </c>
      <c r="F271" s="1388">
        <v>34409.422908100001</v>
      </c>
      <c r="G271" s="1389">
        <v>3.3497335979112619</v>
      </c>
    </row>
    <row r="272" spans="1:7" ht="16.5" customHeight="1">
      <c r="A272" s="1390" t="s">
        <v>23</v>
      </c>
      <c r="B272" s="1388">
        <v>24772.441914570005</v>
      </c>
      <c r="C272" s="1388">
        <v>20289.874317440001</v>
      </c>
      <c r="D272" s="1388">
        <v>25785.013632470007</v>
      </c>
      <c r="E272" s="1388">
        <v>45062.316232010002</v>
      </c>
      <c r="F272" s="1388">
        <v>35127.500930790004</v>
      </c>
      <c r="G272" s="1389">
        <v>3.3888206347084093</v>
      </c>
    </row>
    <row r="273" spans="1:7" ht="16.5" customHeight="1">
      <c r="A273" s="1390" t="s">
        <v>24</v>
      </c>
      <c r="B273" s="1388">
        <v>24884.496230970006</v>
      </c>
      <c r="C273" s="1388">
        <v>20036.241992980002</v>
      </c>
      <c r="D273" s="1388">
        <v>25954.730567039998</v>
      </c>
      <c r="E273" s="1388">
        <v>44920.738223950008</v>
      </c>
      <c r="F273" s="1388">
        <v>35452.560310510009</v>
      </c>
      <c r="G273" s="1389">
        <v>3.4111096735859903</v>
      </c>
    </row>
    <row r="274" spans="1:7" ht="16.5" customHeight="1">
      <c r="A274" s="1390" t="s">
        <v>25</v>
      </c>
      <c r="B274" s="1388">
        <v>25373.403856425335</v>
      </c>
      <c r="C274" s="1388">
        <v>19647.934270374673</v>
      </c>
      <c r="D274" s="1388">
        <v>26160.352005145294</v>
      </c>
      <c r="E274" s="1388">
        <v>45021.338126800008</v>
      </c>
      <c r="F274" s="1388">
        <v>35273.357112380007</v>
      </c>
      <c r="G274" s="1389">
        <v>3.4428378793970156</v>
      </c>
    </row>
    <row r="275" spans="1:7" ht="16.5" customHeight="1">
      <c r="A275" s="1390" t="s">
        <v>26</v>
      </c>
      <c r="B275" s="1388">
        <v>25487.462569676474</v>
      </c>
      <c r="C275" s="1388">
        <v>20098.997175993522</v>
      </c>
      <c r="D275" s="1388">
        <v>26704.28693854493</v>
      </c>
      <c r="E275" s="1388">
        <v>45586.459745669999</v>
      </c>
      <c r="F275" s="1388">
        <v>35772.72729391</v>
      </c>
      <c r="G275" s="1389">
        <v>3.4599728907932019</v>
      </c>
    </row>
    <row r="276" spans="1:7" ht="16.5" customHeight="1">
      <c r="A276" s="1390" t="s">
        <v>27</v>
      </c>
      <c r="B276" s="1388">
        <v>26286.867557450649</v>
      </c>
      <c r="C276" s="1388">
        <v>18165.763777059354</v>
      </c>
      <c r="D276" s="1388">
        <v>26885.704399570845</v>
      </c>
      <c r="E276" s="1388">
        <v>44452.631334509999</v>
      </c>
      <c r="F276" s="1388">
        <v>34624.966100289996</v>
      </c>
      <c r="G276" s="1389">
        <v>3.5868615622690765</v>
      </c>
    </row>
    <row r="277" spans="1:7" ht="16.5" customHeight="1">
      <c r="A277" s="1390" t="s">
        <v>28</v>
      </c>
      <c r="B277" s="1388">
        <v>27186.921005491386</v>
      </c>
      <c r="C277" s="1388">
        <v>17504.915756198614</v>
      </c>
      <c r="D277" s="1388">
        <v>27092.107084653653</v>
      </c>
      <c r="E277" s="1388">
        <v>44691.83676169</v>
      </c>
      <c r="F277" s="1388">
        <v>34639.020912669999</v>
      </c>
      <c r="G277" s="1389">
        <v>3.5676758968322209</v>
      </c>
    </row>
    <row r="278" spans="1:7" ht="16.5" customHeight="1">
      <c r="A278" s="1390" t="s">
        <v>29</v>
      </c>
      <c r="B278" s="1388">
        <v>26603.759150867496</v>
      </c>
      <c r="C278" s="1388">
        <v>19891.089172762495</v>
      </c>
      <c r="D278" s="1388">
        <v>27234.28993079592</v>
      </c>
      <c r="E278" s="1388">
        <v>46494.848323629994</v>
      </c>
      <c r="F278" s="1388">
        <v>36651.984366730001</v>
      </c>
      <c r="G278" s="1389">
        <v>3.4520422887348339</v>
      </c>
    </row>
    <row r="279" spans="1:7" ht="16.5" customHeight="1">
      <c r="A279" s="1390" t="s">
        <v>4202</v>
      </c>
      <c r="B279" s="1388"/>
      <c r="C279" s="1388"/>
      <c r="D279" s="1388"/>
      <c r="E279" s="1388"/>
      <c r="F279" s="1388"/>
      <c r="G279" s="1389"/>
    </row>
    <row r="280" spans="1:7" ht="16.5" customHeight="1">
      <c r="A280" s="1390" t="s">
        <v>18</v>
      </c>
      <c r="B280" s="1388">
        <v>28317.706443196843</v>
      </c>
      <c r="C280" s="1388">
        <v>17246.55393498316</v>
      </c>
      <c r="D280" s="1388">
        <v>27219.348685858917</v>
      </c>
      <c r="E280" s="1388">
        <v>45564.260378179999</v>
      </c>
      <c r="F280" s="1388">
        <v>34752.165367709997</v>
      </c>
      <c r="G280" s="1389">
        <v>3.2562690354007393</v>
      </c>
    </row>
    <row r="281" spans="1:7" ht="16.5" customHeight="1">
      <c r="A281" s="1390" t="s">
        <v>19</v>
      </c>
      <c r="B281" s="1388">
        <v>28543.549321486746</v>
      </c>
      <c r="C281" s="1388">
        <v>18131.119792483256</v>
      </c>
      <c r="D281" s="1388">
        <v>27315.963145143411</v>
      </c>
      <c r="E281" s="1388">
        <v>46674.669113970005</v>
      </c>
      <c r="F281" s="1388">
        <v>35436.529078170002</v>
      </c>
      <c r="G281" s="1389">
        <v>3.229244030857819</v>
      </c>
    </row>
    <row r="282" spans="1:7" ht="16.5" customHeight="1">
      <c r="A282" s="1390" t="s">
        <v>20</v>
      </c>
      <c r="B282" s="1388">
        <v>28259.027714914591</v>
      </c>
      <c r="C282" s="1388">
        <v>18471.818722215419</v>
      </c>
      <c r="D282" s="1388">
        <v>27633.610587143692</v>
      </c>
      <c r="E282" s="1388">
        <v>46730.846437129992</v>
      </c>
      <c r="F282" s="1388">
        <v>35559.117870169997</v>
      </c>
      <c r="G282" s="1389">
        <v>3.3626143493370177</v>
      </c>
    </row>
    <row r="283" spans="1:7" ht="16.5" customHeight="1">
      <c r="A283" s="1390" t="s">
        <v>21</v>
      </c>
      <c r="B283" s="1388">
        <v>28924.81621485934</v>
      </c>
      <c r="C283" s="1388">
        <v>18282.871314670669</v>
      </c>
      <c r="D283" s="1388">
        <v>27803.202181655983</v>
      </c>
      <c r="E283" s="1388">
        <v>47207.687529529998</v>
      </c>
      <c r="F283" s="1388">
        <v>35438.831222859997</v>
      </c>
      <c r="G283" s="1389">
        <v>3.3273501391303446</v>
      </c>
    </row>
    <row r="284" spans="1:7" ht="16.5" customHeight="1">
      <c r="A284" s="1390" t="s">
        <v>22</v>
      </c>
      <c r="B284" s="1388">
        <v>29791.157823620077</v>
      </c>
      <c r="C284" s="1388">
        <v>18514.856948809913</v>
      </c>
      <c r="D284" s="1388">
        <v>28141.505057382998</v>
      </c>
      <c r="E284" s="1388">
        <v>48306.014772430004</v>
      </c>
      <c r="F284" s="1388">
        <v>35768.5371227</v>
      </c>
      <c r="G284" s="1389">
        <v>3.3615800273724954</v>
      </c>
    </row>
    <row r="285" spans="1:7" ht="16.5" customHeight="1">
      <c r="A285" s="1390" t="s">
        <v>23</v>
      </c>
      <c r="B285" s="1388">
        <v>26123.173665346967</v>
      </c>
      <c r="C285" s="1388">
        <v>22344.864720663027</v>
      </c>
      <c r="D285" s="1388">
        <v>28161.613348731</v>
      </c>
      <c r="E285" s="1388">
        <v>48468.038386009997</v>
      </c>
      <c r="F285" s="1388">
        <v>36817.809426399996</v>
      </c>
      <c r="G285" s="1389">
        <v>3.3721832432261536</v>
      </c>
    </row>
    <row r="286" spans="1:7" ht="16.5" customHeight="1">
      <c r="A286" s="1390" t="s">
        <v>24</v>
      </c>
      <c r="B286" s="1388">
        <v>26492.942099067179</v>
      </c>
      <c r="C286" s="1388">
        <v>21187.315342602822</v>
      </c>
      <c r="D286" s="1388">
        <v>28164.995095689996</v>
      </c>
      <c r="E286" s="1388">
        <v>47680.257441670001</v>
      </c>
      <c r="F286" s="1388">
        <v>36662.595946319998</v>
      </c>
      <c r="G286" s="1389">
        <v>3.3867089782442412</v>
      </c>
    </row>
    <row r="287" spans="1:7" ht="16.5" customHeight="1">
      <c r="A287" s="1390" t="s">
        <v>25</v>
      </c>
      <c r="B287" s="1388">
        <v>27004.270142892197</v>
      </c>
      <c r="C287" s="1388">
        <v>20762.634629467804</v>
      </c>
      <c r="D287" s="1388">
        <v>28356.871649123994</v>
      </c>
      <c r="E287" s="1388">
        <v>47766.904772359994</v>
      </c>
      <c r="F287" s="1388">
        <v>36806.171277589994</v>
      </c>
      <c r="G287" s="1389">
        <v>3.3841254245273342</v>
      </c>
    </row>
    <row r="288" spans="1:7" ht="16.5" customHeight="1">
      <c r="A288" s="1390" t="s">
        <v>26</v>
      </c>
      <c r="B288" s="1388">
        <v>26750.919369970954</v>
      </c>
      <c r="C288" s="1388">
        <v>21234.780524649046</v>
      </c>
      <c r="D288" s="1388">
        <v>28825.599802978988</v>
      </c>
      <c r="E288" s="1388">
        <v>47985.699894619989</v>
      </c>
      <c r="F288" s="1388">
        <v>37188.144294059995</v>
      </c>
      <c r="G288" s="1389">
        <v>3.4143211251051251</v>
      </c>
    </row>
    <row r="289" spans="1:13" ht="16.5" customHeight="1">
      <c r="A289" s="1390" t="s">
        <v>27</v>
      </c>
      <c r="B289" s="1388">
        <v>28576.607450753214</v>
      </c>
      <c r="C289" s="1388">
        <v>18914.062653956782</v>
      </c>
      <c r="D289" s="1388">
        <v>28926.471838888614</v>
      </c>
      <c r="E289" s="1388">
        <v>47490.670104710007</v>
      </c>
      <c r="F289" s="1388">
        <v>37027.351025790005</v>
      </c>
      <c r="G289" s="1389">
        <v>3.4494090574029914</v>
      </c>
    </row>
    <row r="290" spans="1:13" ht="16.5" customHeight="1">
      <c r="A290" s="1390" t="s">
        <v>28</v>
      </c>
      <c r="B290" s="1388">
        <v>28148.230062314844</v>
      </c>
      <c r="C290" s="1388">
        <v>20513.899157335152</v>
      </c>
      <c r="D290" s="1388">
        <v>29245.179052585398</v>
      </c>
      <c r="E290" s="1388">
        <v>48662.129219650007</v>
      </c>
      <c r="F290" s="1388">
        <v>37596.154621880007</v>
      </c>
      <c r="G290" s="1389">
        <v>3.3752030180130466</v>
      </c>
    </row>
    <row r="291" spans="1:13" ht="16.5" customHeight="1">
      <c r="A291" s="1390" t="s">
        <v>29</v>
      </c>
      <c r="B291" s="1388">
        <v>25844.245009869494</v>
      </c>
      <c r="C291" s="1388">
        <v>24016.062192590507</v>
      </c>
      <c r="D291" s="1388">
        <v>29592.511431789495</v>
      </c>
      <c r="E291" s="1388">
        <v>49860.307202460004</v>
      </c>
      <c r="F291" s="1388">
        <v>40393.692276870002</v>
      </c>
      <c r="G291" s="1389">
        <v>3.1958950203203149</v>
      </c>
    </row>
    <row r="292" spans="1:13" ht="16.5" customHeight="1">
      <c r="A292" s="1390" t="s">
        <v>4465</v>
      </c>
      <c r="B292" s="1388"/>
      <c r="C292" s="1388"/>
      <c r="D292" s="1388"/>
      <c r="E292" s="1388"/>
      <c r="F292" s="1388"/>
      <c r="G292" s="1389"/>
    </row>
    <row r="293" spans="1:13" ht="16.5" customHeight="1">
      <c r="A293" s="1390" t="s">
        <v>18</v>
      </c>
      <c r="B293" s="1388">
        <v>26647.551083959643</v>
      </c>
      <c r="C293" s="1388">
        <v>21538.594425600357</v>
      </c>
      <c r="D293" s="1388">
        <v>29525.979555733011</v>
      </c>
      <c r="E293" s="1388">
        <v>48186.145509559996</v>
      </c>
      <c r="F293" s="1388">
        <v>38308.695735139998</v>
      </c>
      <c r="G293" s="1389">
        <v>2.8438556288426944</v>
      </c>
    </row>
    <row r="294" spans="1:13" ht="16.5" customHeight="1">
      <c r="A294" s="1390" t="s">
        <v>19</v>
      </c>
      <c r="B294" s="1388">
        <v>26516.745992514025</v>
      </c>
      <c r="C294" s="1388">
        <v>22599.336951555968</v>
      </c>
      <c r="D294" s="1388">
        <v>29666.30928340408</v>
      </c>
      <c r="E294" s="1388">
        <v>49116.082944070004</v>
      </c>
      <c r="F294" s="1388">
        <v>39190.743032080005</v>
      </c>
      <c r="G294" s="1389">
        <v>2.8281831734925733</v>
      </c>
    </row>
    <row r="295" spans="1:13" ht="16.5" customHeight="1">
      <c r="A295" s="1390" t="s">
        <v>20</v>
      </c>
      <c r="B295" s="1388">
        <v>28524.798878528061</v>
      </c>
      <c r="C295" s="1388">
        <v>21454.55410526193</v>
      </c>
      <c r="D295" s="1388">
        <v>29562.886254170993</v>
      </c>
      <c r="E295" s="1388">
        <v>49979.352983789999</v>
      </c>
      <c r="F295" s="1388">
        <v>40000.493504099999</v>
      </c>
      <c r="G295" s="1389">
        <v>2.9702833538246685</v>
      </c>
    </row>
    <row r="296" spans="1:13" ht="16.5" customHeight="1">
      <c r="A296" s="1390" t="s">
        <v>21</v>
      </c>
      <c r="B296" s="1388">
        <v>29522.505084394459</v>
      </c>
      <c r="C296" s="1388">
        <v>20645.638435405541</v>
      </c>
      <c r="D296" s="1388">
        <v>29850.437864368996</v>
      </c>
      <c r="E296" s="1388">
        <v>50168.143519800004</v>
      </c>
      <c r="F296" s="1388">
        <v>40480.417723520004</v>
      </c>
      <c r="G296" s="1389">
        <v>2.9551399596969841</v>
      </c>
    </row>
    <row r="297" spans="1:13" ht="16.5" customHeight="1">
      <c r="A297" s="1390" t="s">
        <v>22</v>
      </c>
      <c r="B297" s="1388">
        <v>30088.559370781433</v>
      </c>
      <c r="C297" s="1388">
        <v>21411.853147118578</v>
      </c>
      <c r="D297" s="1388">
        <v>30169.222651610009</v>
      </c>
      <c r="E297" s="1388">
        <v>51500.412517900004</v>
      </c>
      <c r="F297" s="1388">
        <v>41961.771399720004</v>
      </c>
      <c r="G297" s="1389">
        <v>2.9617701029854349</v>
      </c>
    </row>
    <row r="298" spans="1:13" ht="16.149999999999999" customHeight="1">
      <c r="A298" s="1391" t="s">
        <v>23</v>
      </c>
      <c r="B298" s="1392">
        <v>31216.998761690636</v>
      </c>
      <c r="C298" s="1392">
        <v>21707.509548509355</v>
      </c>
      <c r="D298" s="1392">
        <v>31059.950607660998</v>
      </c>
      <c r="E298" s="1392">
        <v>52924.508310200006</v>
      </c>
      <c r="F298" s="1392">
        <v>43254.179722740009</v>
      </c>
      <c r="G298" s="1393">
        <v>3.0150612226600031</v>
      </c>
    </row>
    <row r="299" spans="1:13" s="725" customFormat="1" ht="30" customHeight="1">
      <c r="A299" s="2157" t="s">
        <v>2677</v>
      </c>
      <c r="B299" s="2158"/>
      <c r="C299" s="2158"/>
      <c r="D299" s="2158"/>
      <c r="E299" s="2158"/>
      <c r="F299" s="2158"/>
      <c r="G299" s="2158"/>
      <c r="H299" s="724"/>
      <c r="I299" s="724"/>
      <c r="J299" s="724"/>
      <c r="K299" s="724"/>
      <c r="L299" s="724"/>
      <c r="M299" s="724"/>
    </row>
    <row r="300" spans="1:13">
      <c r="A300" s="2159"/>
      <c r="B300" s="2159"/>
      <c r="C300" s="2159"/>
    </row>
    <row r="301" spans="1:13">
      <c r="A301" s="2156"/>
      <c r="B301" s="2156"/>
      <c r="C301" s="2156"/>
      <c r="G301" s="229"/>
    </row>
  </sheetData>
  <mergeCells count="6">
    <mergeCell ref="A301:C301"/>
    <mergeCell ref="A299:G299"/>
    <mergeCell ref="A300:C300"/>
    <mergeCell ref="A2:G2"/>
    <mergeCell ref="A3:G3"/>
    <mergeCell ref="A5:G5"/>
  </mergeCells>
  <pageMargins left="1.27" right="0.7" top="0.35" bottom="0.48" header="0.3" footer="0.3"/>
  <pageSetup scale="24" orientation="portrait" r:id="rId1"/>
  <ignoredErrors>
    <ignoredError sqref="A184:A23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3">
    <tabColor rgb="FF92D050"/>
  </sheetPr>
  <dimension ref="A1:H299"/>
  <sheetViews>
    <sheetView showGridLines="0" view="pageBreakPreview" zoomScale="115" zoomScaleSheetLayoutView="115" workbookViewId="0">
      <pane ySplit="7" topLeftCell="A286" activePane="bottomLeft" state="frozen"/>
      <selection activeCell="F40" sqref="F40"/>
      <selection pane="bottomLeft" activeCell="F40" sqref="F40"/>
    </sheetView>
  </sheetViews>
  <sheetFormatPr defaultColWidth="9.140625" defaultRowHeight="12.75"/>
  <cols>
    <col min="1" max="1" width="8.42578125" style="12" customWidth="1"/>
    <col min="2" max="5" width="19.5703125" style="12" customWidth="1"/>
    <col min="6" max="6" width="19.5703125" style="6" customWidth="1"/>
    <col min="7" max="7" width="9.140625" style="12" customWidth="1"/>
    <col min="8" max="16384" width="9.140625" style="12"/>
  </cols>
  <sheetData>
    <row r="1" spans="1:8" ht="7.5" customHeight="1"/>
    <row r="2" spans="1:8" ht="19.5" customHeight="1">
      <c r="A2" s="2163" t="s">
        <v>3826</v>
      </c>
      <c r="B2" s="2163"/>
      <c r="C2" s="2163"/>
      <c r="D2" s="2163"/>
      <c r="E2" s="2163"/>
      <c r="F2" s="2163"/>
    </row>
    <row r="3" spans="1:8" ht="19.5" customHeight="1">
      <c r="A3" s="2164" t="s">
        <v>3827</v>
      </c>
      <c r="B3" s="2164"/>
      <c r="C3" s="2164"/>
      <c r="D3" s="2164"/>
      <c r="E3" s="2164"/>
      <c r="F3" s="2164"/>
    </row>
    <row r="4" spans="1:8">
      <c r="A4" s="488"/>
      <c r="B4" s="488"/>
      <c r="C4" s="488"/>
      <c r="D4" s="488"/>
      <c r="E4" s="488"/>
      <c r="F4" s="488"/>
    </row>
    <row r="5" spans="1:8">
      <c r="A5" s="2162" t="s">
        <v>8</v>
      </c>
      <c r="B5" s="2162"/>
      <c r="C5" s="2162"/>
      <c r="D5" s="2162"/>
      <c r="E5" s="2162"/>
      <c r="F5" s="2162"/>
    </row>
    <row r="6" spans="1:8" s="90" customFormat="1" ht="47.25" customHeight="1">
      <c r="A6" s="1362" t="s">
        <v>182</v>
      </c>
      <c r="B6" s="1362" t="s">
        <v>3828</v>
      </c>
      <c r="C6" s="1364" t="s">
        <v>3829</v>
      </c>
      <c r="D6" s="1362" t="s">
        <v>3830</v>
      </c>
      <c r="E6" s="1362" t="s">
        <v>3831</v>
      </c>
      <c r="F6" s="1362" t="s">
        <v>3832</v>
      </c>
    </row>
    <row r="7" spans="1:8" ht="47.25" customHeight="1">
      <c r="A7" s="460" t="s">
        <v>283</v>
      </c>
      <c r="B7" s="460" t="s">
        <v>3833</v>
      </c>
      <c r="C7" s="1365" t="s">
        <v>3834</v>
      </c>
      <c r="D7" s="460" t="s">
        <v>3835</v>
      </c>
      <c r="E7" s="460" t="s">
        <v>3836</v>
      </c>
      <c r="F7" s="460" t="s">
        <v>3837</v>
      </c>
    </row>
    <row r="8" spans="1:8" hidden="1">
      <c r="A8" s="1366">
        <v>1995</v>
      </c>
      <c r="B8" s="1367">
        <v>250</v>
      </c>
      <c r="C8" s="1367">
        <v>60.88</v>
      </c>
      <c r="D8" s="1367">
        <v>49.58</v>
      </c>
      <c r="E8" s="1368">
        <v>180.12</v>
      </c>
      <c r="F8" s="1369">
        <v>147.26</v>
      </c>
      <c r="G8" s="92"/>
      <c r="H8" s="92"/>
    </row>
    <row r="9" spans="1:8" hidden="1">
      <c r="A9" s="1366">
        <v>1996</v>
      </c>
      <c r="B9" s="1368">
        <v>268</v>
      </c>
      <c r="C9" s="1368">
        <v>72.900000000000006</v>
      </c>
      <c r="D9" s="1368">
        <v>152.36000000000001</v>
      </c>
      <c r="E9" s="1368">
        <v>212.38</v>
      </c>
      <c r="F9" s="1369">
        <v>197.38</v>
      </c>
      <c r="G9" s="92"/>
      <c r="H9" s="92"/>
    </row>
    <row r="10" spans="1:8" hidden="1">
      <c r="A10" s="1366">
        <v>1997</v>
      </c>
      <c r="B10" s="1368">
        <v>550.20000000000005</v>
      </c>
      <c r="C10" s="1368">
        <v>32.64</v>
      </c>
      <c r="D10" s="1368">
        <v>155.76</v>
      </c>
      <c r="E10" s="1368">
        <v>284.45999999999998</v>
      </c>
      <c r="F10" s="1369">
        <v>267.86</v>
      </c>
      <c r="G10" s="92"/>
      <c r="H10" s="92"/>
    </row>
    <row r="11" spans="1:8" hidden="1">
      <c r="A11" s="1366">
        <v>1998</v>
      </c>
      <c r="B11" s="1368">
        <v>521.29999999999995</v>
      </c>
      <c r="C11" s="1368">
        <v>46.44</v>
      </c>
      <c r="D11" s="1368">
        <v>133.4</v>
      </c>
      <c r="E11" s="1368">
        <v>228.04</v>
      </c>
      <c r="F11" s="1369">
        <v>211.42</v>
      </c>
      <c r="G11" s="92"/>
      <c r="H11" s="92"/>
    </row>
    <row r="12" spans="1:8" hidden="1">
      <c r="A12" s="1366">
        <v>1999</v>
      </c>
      <c r="B12" s="1368">
        <v>726.9</v>
      </c>
      <c r="C12" s="1368">
        <v>73.12</v>
      </c>
      <c r="D12" s="1368">
        <v>134.72</v>
      </c>
      <c r="E12" s="1368">
        <v>264.94</v>
      </c>
      <c r="F12" s="1369">
        <v>251.32</v>
      </c>
      <c r="G12" s="92"/>
      <c r="H12" s="92"/>
    </row>
    <row r="13" spans="1:8" hidden="1">
      <c r="A13" s="1366">
        <v>2000</v>
      </c>
      <c r="B13" s="1368">
        <v>691.4</v>
      </c>
      <c r="C13" s="1368">
        <v>89.78</v>
      </c>
      <c r="D13" s="1368">
        <v>140.22</v>
      </c>
      <c r="E13" s="1368">
        <v>353.08</v>
      </c>
      <c r="F13" s="1369">
        <v>308.39999999999998</v>
      </c>
      <c r="G13" s="92"/>
      <c r="H13" s="92"/>
    </row>
    <row r="14" spans="1:8" hidden="1">
      <c r="A14" s="1366">
        <v>2001</v>
      </c>
      <c r="B14" s="1368">
        <v>698.4</v>
      </c>
      <c r="C14" s="1368">
        <v>-139.58874511884201</v>
      </c>
      <c r="D14" s="1368">
        <v>20.199011821302001</v>
      </c>
      <c r="E14" s="1368">
        <v>359.48</v>
      </c>
      <c r="F14" s="1369">
        <v>336.86</v>
      </c>
      <c r="G14" s="92"/>
      <c r="H14" s="92"/>
    </row>
    <row r="15" spans="1:8" hidden="1">
      <c r="A15" s="1366">
        <v>2002</v>
      </c>
      <c r="B15" s="1368">
        <v>681.71</v>
      </c>
      <c r="C15" s="1368">
        <v>21.991962001619996</v>
      </c>
      <c r="D15" s="1368">
        <v>17.28</v>
      </c>
      <c r="E15" s="1368">
        <v>409.92</v>
      </c>
      <c r="F15" s="1369">
        <v>374.38</v>
      </c>
      <c r="G15" s="92"/>
      <c r="H15" s="92"/>
    </row>
    <row r="16" spans="1:8" hidden="1">
      <c r="A16" s="1366">
        <v>2003</v>
      </c>
      <c r="B16" s="1368">
        <v>757.1</v>
      </c>
      <c r="C16" s="1368">
        <v>12.445196676278</v>
      </c>
      <c r="D16" s="1368">
        <v>39.096577698252005</v>
      </c>
      <c r="E16" s="1368">
        <v>506.12</v>
      </c>
      <c r="F16" s="1369">
        <v>463.2</v>
      </c>
      <c r="G16" s="92"/>
      <c r="H16" s="92"/>
    </row>
    <row r="17" spans="1:8" hidden="1">
      <c r="A17" s="1366">
        <v>2004</v>
      </c>
      <c r="B17" s="1368">
        <v>876.86</v>
      </c>
      <c r="C17" s="1368">
        <v>20.190830154036011</v>
      </c>
      <c r="D17" s="1368">
        <v>43.136173873040008</v>
      </c>
      <c r="E17" s="1368">
        <v>833.62</v>
      </c>
      <c r="F17" s="1369">
        <v>640.04</v>
      </c>
      <c r="G17" s="92"/>
      <c r="H17" s="92"/>
    </row>
    <row r="18" spans="1:8" ht="15" hidden="1" customHeight="1">
      <c r="A18" s="1366">
        <v>2005</v>
      </c>
      <c r="B18" s="1368">
        <v>961.71</v>
      </c>
      <c r="C18" s="1368">
        <v>-51.834081518653996</v>
      </c>
      <c r="D18" s="1368">
        <v>41.85877699319802</v>
      </c>
      <c r="E18" s="1368">
        <v>885.82</v>
      </c>
      <c r="F18" s="1369">
        <v>687.76</v>
      </c>
    </row>
    <row r="19" spans="1:8" ht="12.75" hidden="1" customHeight="1">
      <c r="A19" s="1366" t="s">
        <v>18</v>
      </c>
      <c r="B19" s="1368">
        <v>876.56</v>
      </c>
      <c r="C19" s="1368">
        <v>-42.266091558507995</v>
      </c>
      <c r="D19" s="1368">
        <v>38.929472279694004</v>
      </c>
      <c r="E19" s="1368">
        <v>638.04</v>
      </c>
      <c r="F19" s="1369">
        <v>571.1</v>
      </c>
    </row>
    <row r="20" spans="1:8" ht="12.75" hidden="1" customHeight="1">
      <c r="A20" s="1366" t="s">
        <v>19</v>
      </c>
      <c r="B20" s="1368">
        <v>884.77</v>
      </c>
      <c r="C20" s="1368">
        <v>-38.534742968880003</v>
      </c>
      <c r="D20" s="1368">
        <v>40.527083865599991</v>
      </c>
      <c r="E20" s="1368">
        <v>646.4</v>
      </c>
      <c r="F20" s="1369">
        <v>582.24</v>
      </c>
    </row>
    <row r="21" spans="1:8" ht="12.75" hidden="1" customHeight="1">
      <c r="A21" s="1366" t="s">
        <v>20</v>
      </c>
      <c r="B21" s="1368">
        <v>891.34</v>
      </c>
      <c r="C21" s="1368">
        <v>-66.55234814181</v>
      </c>
      <c r="D21" s="1368">
        <v>38.31116792555801</v>
      </c>
      <c r="E21" s="1368">
        <v>650.14</v>
      </c>
      <c r="F21" s="1369">
        <v>561.9</v>
      </c>
    </row>
    <row r="22" spans="1:8" ht="12.75" hidden="1" customHeight="1">
      <c r="A22" s="1366" t="s">
        <v>21</v>
      </c>
      <c r="B22" s="1368">
        <v>930.95</v>
      </c>
      <c r="C22" s="1368">
        <v>-88.947985050589935</v>
      </c>
      <c r="D22" s="1368">
        <v>48.743863181230004</v>
      </c>
      <c r="E22" s="1368">
        <v>647.62</v>
      </c>
      <c r="F22" s="1369">
        <v>584.26</v>
      </c>
    </row>
    <row r="23" spans="1:8" ht="12.75" hidden="1" customHeight="1">
      <c r="A23" s="1366" t="s">
        <v>22</v>
      </c>
      <c r="B23" s="1368">
        <v>942.52</v>
      </c>
      <c r="C23" s="1368">
        <v>-85.793463804361991</v>
      </c>
      <c r="D23" s="1368">
        <v>54.410660861124001</v>
      </c>
      <c r="E23" s="1368">
        <v>684.48</v>
      </c>
      <c r="F23" s="1369">
        <v>613.48</v>
      </c>
    </row>
    <row r="24" spans="1:8" ht="12.75" hidden="1" customHeight="1">
      <c r="A24" s="1366" t="s">
        <v>23</v>
      </c>
      <c r="B24" s="1368">
        <v>989.37</v>
      </c>
      <c r="C24" s="1368">
        <v>-88.21250159697199</v>
      </c>
      <c r="D24" s="1368">
        <v>59.260763175258006</v>
      </c>
      <c r="E24" s="1368">
        <v>745.34</v>
      </c>
      <c r="F24" s="1369">
        <v>670.96</v>
      </c>
    </row>
    <row r="25" spans="1:8" ht="12.75" hidden="1" customHeight="1">
      <c r="A25" s="1366" t="s">
        <v>24</v>
      </c>
      <c r="B25" s="1368">
        <v>948.59</v>
      </c>
      <c r="C25" s="1368">
        <v>-12.35910988391802</v>
      </c>
      <c r="D25" s="1368">
        <v>53.837094099824007</v>
      </c>
      <c r="E25" s="1368">
        <v>794.8</v>
      </c>
      <c r="F25" s="1369">
        <v>719.62</v>
      </c>
    </row>
    <row r="26" spans="1:8" ht="12.75" hidden="1" customHeight="1">
      <c r="A26" s="1366" t="s">
        <v>25</v>
      </c>
      <c r="B26" s="1368">
        <v>975.93</v>
      </c>
      <c r="C26" s="1368">
        <v>-14.921094714659981</v>
      </c>
      <c r="D26" s="1368">
        <v>47.184107424152003</v>
      </c>
      <c r="E26" s="1368">
        <v>813</v>
      </c>
      <c r="F26" s="1369">
        <v>733.08</v>
      </c>
    </row>
    <row r="27" spans="1:8" ht="12.75" hidden="1" customHeight="1">
      <c r="A27" s="1366" t="s">
        <v>26</v>
      </c>
      <c r="B27" s="1368">
        <v>1025.81</v>
      </c>
      <c r="C27" s="1368">
        <v>-58.154580164374011</v>
      </c>
      <c r="D27" s="1368">
        <v>42.277631570652005</v>
      </c>
      <c r="E27" s="1368">
        <v>822.78</v>
      </c>
      <c r="F27" s="1369">
        <v>733.82</v>
      </c>
    </row>
    <row r="28" spans="1:8" ht="12.75" hidden="1" customHeight="1">
      <c r="A28" s="1366" t="s">
        <v>27</v>
      </c>
      <c r="B28" s="1368">
        <v>990.96</v>
      </c>
      <c r="C28" s="1368">
        <v>-49.741837992209994</v>
      </c>
      <c r="D28" s="1368">
        <v>42.599513627127997</v>
      </c>
      <c r="E28" s="1368">
        <v>793.78</v>
      </c>
      <c r="F28" s="1369">
        <v>709.4</v>
      </c>
    </row>
    <row r="29" spans="1:8" ht="12.75" hidden="1" customHeight="1">
      <c r="A29" s="1366" t="s">
        <v>28</v>
      </c>
      <c r="B29" s="1368">
        <v>990.93</v>
      </c>
      <c r="C29" s="1368">
        <v>-114.31044674374199</v>
      </c>
      <c r="D29" s="1368">
        <v>39.648521401656012</v>
      </c>
      <c r="E29" s="1368">
        <v>734.78</v>
      </c>
      <c r="F29" s="1369">
        <v>648.74</v>
      </c>
    </row>
    <row r="30" spans="1:8" ht="12.75" hidden="1" customHeight="1">
      <c r="A30" s="1366" t="s">
        <v>29</v>
      </c>
      <c r="B30" s="1368">
        <v>961.71</v>
      </c>
      <c r="C30" s="1368">
        <v>-51.834081518653996</v>
      </c>
      <c r="D30" s="1368">
        <v>41.85877699319802</v>
      </c>
      <c r="E30" s="1368">
        <v>885.82</v>
      </c>
      <c r="F30" s="1369">
        <v>687.76</v>
      </c>
    </row>
    <row r="31" spans="1:8">
      <c r="A31" s="1370">
        <v>2006</v>
      </c>
      <c r="B31" s="1371">
        <v>1967.33</v>
      </c>
      <c r="C31" s="1371">
        <v>25.4</v>
      </c>
      <c r="D31" s="1371">
        <v>-19.075273459999991</v>
      </c>
      <c r="E31" s="1371">
        <v>2044.6</v>
      </c>
      <c r="F31" s="1372">
        <v>1599.5</v>
      </c>
    </row>
    <row r="32" spans="1:8" ht="12.75" hidden="1" customHeight="1">
      <c r="A32" s="409" t="s">
        <v>18</v>
      </c>
      <c r="B32" s="424">
        <v>941.81</v>
      </c>
      <c r="C32" s="424">
        <v>-122.16774437000001</v>
      </c>
      <c r="D32" s="424">
        <v>43.604475560000004</v>
      </c>
      <c r="E32" s="424">
        <v>690.96</v>
      </c>
      <c r="F32" s="1373">
        <v>604.02</v>
      </c>
    </row>
    <row r="33" spans="1:6" ht="12.75" hidden="1" customHeight="1">
      <c r="A33" s="409" t="s">
        <v>19</v>
      </c>
      <c r="B33" s="424">
        <v>939.66</v>
      </c>
      <c r="C33" s="424">
        <v>-80.295672270000011</v>
      </c>
      <c r="D33" s="424">
        <v>41.883703860000018</v>
      </c>
      <c r="E33" s="424">
        <v>757.04</v>
      </c>
      <c r="F33" s="1373">
        <v>645.20000000000005</v>
      </c>
    </row>
    <row r="34" spans="1:6" ht="12.75" hidden="1" customHeight="1">
      <c r="A34" s="409" t="s">
        <v>20</v>
      </c>
      <c r="B34" s="424">
        <v>1026.56</v>
      </c>
      <c r="C34" s="424">
        <v>-88.032961770000014</v>
      </c>
      <c r="D34" s="424">
        <v>41.837376859999999</v>
      </c>
      <c r="E34" s="424">
        <v>826.18</v>
      </c>
      <c r="F34" s="1373">
        <v>712.38</v>
      </c>
    </row>
    <row r="35" spans="1:6" ht="12.75" hidden="1" customHeight="1">
      <c r="A35" s="409" t="s">
        <v>21</v>
      </c>
      <c r="B35" s="424">
        <v>1306.28</v>
      </c>
      <c r="C35" s="424">
        <v>-300.98824904999992</v>
      </c>
      <c r="D35" s="424">
        <v>38.512252720000014</v>
      </c>
      <c r="E35" s="424">
        <v>857.64</v>
      </c>
      <c r="F35" s="1373">
        <v>742.14</v>
      </c>
    </row>
    <row r="36" spans="1:6" ht="12.75" hidden="1" customHeight="1">
      <c r="A36" s="409" t="s">
        <v>22</v>
      </c>
      <c r="B36" s="424">
        <v>1357.57</v>
      </c>
      <c r="C36" s="424">
        <v>-270.81661683999994</v>
      </c>
      <c r="D36" s="424">
        <v>41.434133400000007</v>
      </c>
      <c r="E36" s="424">
        <v>932.8</v>
      </c>
      <c r="F36" s="1373">
        <v>808.6</v>
      </c>
    </row>
    <row r="37" spans="1:6" ht="12.75" hidden="1" customHeight="1">
      <c r="A37" s="409" t="s">
        <v>23</v>
      </c>
      <c r="B37" s="424">
        <v>1444.63</v>
      </c>
      <c r="C37" s="424">
        <v>-185.1</v>
      </c>
      <c r="D37" s="424">
        <v>28.93067648000001</v>
      </c>
      <c r="E37" s="424">
        <v>1083.7</v>
      </c>
      <c r="F37" s="1373">
        <v>963.1</v>
      </c>
    </row>
    <row r="38" spans="1:6" ht="12.75" hidden="1" customHeight="1">
      <c r="A38" s="409" t="s">
        <v>24</v>
      </c>
      <c r="B38" s="424">
        <v>1811.93</v>
      </c>
      <c r="C38" s="424">
        <v>-401.6</v>
      </c>
      <c r="D38" s="424">
        <v>28.740283510000005</v>
      </c>
      <c r="E38" s="424">
        <v>1202.0999999999999</v>
      </c>
      <c r="F38" s="1373">
        <v>1073.3</v>
      </c>
    </row>
    <row r="39" spans="1:6" ht="12.75" hidden="1" customHeight="1">
      <c r="A39" s="409" t="s">
        <v>25</v>
      </c>
      <c r="B39" s="424">
        <v>1397.1</v>
      </c>
      <c r="C39" s="424">
        <v>-10.6</v>
      </c>
      <c r="D39" s="424">
        <v>0.63103229000000072</v>
      </c>
      <c r="E39" s="424">
        <v>1295.5</v>
      </c>
      <c r="F39" s="1373">
        <v>1159.7</v>
      </c>
    </row>
    <row r="40" spans="1:6" ht="12.75" hidden="1" customHeight="1">
      <c r="A40" s="409" t="s">
        <v>26</v>
      </c>
      <c r="B40" s="424">
        <v>1522.32</v>
      </c>
      <c r="C40" s="424">
        <v>-71.8</v>
      </c>
      <c r="D40" s="424">
        <v>14.909655930000014</v>
      </c>
      <c r="E40" s="424">
        <v>1325.1</v>
      </c>
      <c r="F40" s="1373">
        <v>1193.4000000000001</v>
      </c>
    </row>
    <row r="41" spans="1:6" ht="12.75" hidden="1" customHeight="1">
      <c r="A41" s="409" t="s">
        <v>27</v>
      </c>
      <c r="B41" s="424">
        <v>1600.11</v>
      </c>
      <c r="C41" s="424">
        <v>-412.1</v>
      </c>
      <c r="D41" s="424">
        <v>16.885257010000011</v>
      </c>
      <c r="E41" s="424">
        <v>1465.3</v>
      </c>
      <c r="F41" s="1373">
        <v>1333.7</v>
      </c>
    </row>
    <row r="42" spans="1:6" ht="12.75" hidden="1" customHeight="1">
      <c r="A42" s="409" t="s">
        <v>28</v>
      </c>
      <c r="B42" s="424">
        <v>1721.62</v>
      </c>
      <c r="C42" s="424">
        <v>-9.4</v>
      </c>
      <c r="D42" s="424">
        <v>18.972823840000018</v>
      </c>
      <c r="E42" s="424">
        <v>1546.9</v>
      </c>
      <c r="F42" s="1373">
        <v>1413</v>
      </c>
    </row>
    <row r="43" spans="1:6" ht="12.75" hidden="1" customHeight="1">
      <c r="A43" s="409" t="s">
        <v>29</v>
      </c>
      <c r="B43" s="424">
        <v>1967.33</v>
      </c>
      <c r="C43" s="424">
        <v>25.4</v>
      </c>
      <c r="D43" s="424">
        <v>-19.075273459999991</v>
      </c>
      <c r="E43" s="424">
        <v>2044.6</v>
      </c>
      <c r="F43" s="1373">
        <v>1599.5</v>
      </c>
    </row>
    <row r="44" spans="1:6">
      <c r="A44" s="409" t="s">
        <v>121</v>
      </c>
      <c r="B44" s="424">
        <v>4015.26</v>
      </c>
      <c r="C44" s="424">
        <v>93.1</v>
      </c>
      <c r="D44" s="424">
        <v>-154.43452151</v>
      </c>
      <c r="E44" s="424">
        <v>3440.8</v>
      </c>
      <c r="F44" s="1373">
        <v>3220.8</v>
      </c>
    </row>
    <row r="45" spans="1:6" hidden="1">
      <c r="A45" s="409" t="s">
        <v>18</v>
      </c>
      <c r="B45" s="424">
        <v>1961.74</v>
      </c>
      <c r="C45" s="424">
        <v>-373</v>
      </c>
      <c r="D45" s="424">
        <v>-2.8152636999999903</v>
      </c>
      <c r="E45" s="424">
        <v>1596.8</v>
      </c>
      <c r="F45" s="1373">
        <v>1460.3</v>
      </c>
    </row>
    <row r="46" spans="1:6" hidden="1">
      <c r="A46" s="409" t="s">
        <v>19</v>
      </c>
      <c r="B46" s="424">
        <v>1935.93</v>
      </c>
      <c r="C46" s="424">
        <v>-43.1</v>
      </c>
      <c r="D46" s="424">
        <v>10.432424970000014</v>
      </c>
      <c r="E46" s="424">
        <v>1698.8</v>
      </c>
      <c r="F46" s="1373">
        <v>1563.7</v>
      </c>
    </row>
    <row r="47" spans="1:6" hidden="1">
      <c r="A47" s="409" t="s">
        <v>20</v>
      </c>
      <c r="B47" s="424">
        <v>2007.62</v>
      </c>
      <c r="C47" s="424">
        <v>-65.099999999999994</v>
      </c>
      <c r="D47" s="424">
        <v>23.914148060000002</v>
      </c>
      <c r="E47" s="424">
        <v>1798.4</v>
      </c>
      <c r="F47" s="1373">
        <v>1662.5</v>
      </c>
    </row>
    <row r="48" spans="1:6" hidden="1">
      <c r="A48" s="409" t="s">
        <v>21</v>
      </c>
      <c r="B48" s="424">
        <v>2035.39</v>
      </c>
      <c r="C48" s="424">
        <v>-398.91891887000008</v>
      </c>
      <c r="D48" s="424">
        <v>-22.90566777999998</v>
      </c>
      <c r="E48" s="424">
        <v>1819.5</v>
      </c>
      <c r="F48" s="1373">
        <v>1685.8</v>
      </c>
    </row>
    <row r="49" spans="1:6" hidden="1">
      <c r="A49" s="409" t="s">
        <v>22</v>
      </c>
      <c r="B49" s="424">
        <v>2177.64</v>
      </c>
      <c r="C49" s="424">
        <v>-4.9000000000000004</v>
      </c>
      <c r="D49" s="424">
        <v>-57.65890661000001</v>
      </c>
      <c r="E49" s="424">
        <v>1907.8</v>
      </c>
      <c r="F49" s="1373">
        <v>1779</v>
      </c>
    </row>
    <row r="50" spans="1:6" hidden="1">
      <c r="A50" s="409" t="s">
        <v>23</v>
      </c>
      <c r="B50" s="424">
        <v>2477.1</v>
      </c>
      <c r="C50" s="424">
        <v>2.1</v>
      </c>
      <c r="D50" s="424">
        <v>-28.4102897</v>
      </c>
      <c r="E50" s="424">
        <v>2226</v>
      </c>
      <c r="F50" s="1373">
        <v>2032.4</v>
      </c>
    </row>
    <row r="51" spans="1:6" hidden="1">
      <c r="A51" s="409" t="s">
        <v>24</v>
      </c>
      <c r="B51" s="424">
        <v>2814.29</v>
      </c>
      <c r="C51" s="424">
        <v>-452.8</v>
      </c>
      <c r="D51" s="424">
        <v>-106.40486285</v>
      </c>
      <c r="E51" s="424">
        <v>2388.1</v>
      </c>
      <c r="F51" s="1373">
        <v>2245.9</v>
      </c>
    </row>
    <row r="52" spans="1:6" hidden="1">
      <c r="A52" s="409" t="s">
        <v>25</v>
      </c>
      <c r="B52" s="424">
        <v>2979.52</v>
      </c>
      <c r="C52" s="424">
        <v>-18.899999999999999</v>
      </c>
      <c r="D52" s="424">
        <v>-67.531915239999975</v>
      </c>
      <c r="E52" s="424">
        <v>2541.3000000000002</v>
      </c>
      <c r="F52" s="1373">
        <v>2392.3000000000002</v>
      </c>
    </row>
    <row r="53" spans="1:6" hidden="1">
      <c r="A53" s="409" t="s">
        <v>26</v>
      </c>
      <c r="B53" s="424">
        <v>3135.65</v>
      </c>
      <c r="C53" s="424">
        <v>-44.8</v>
      </c>
      <c r="D53" s="424">
        <v>-86.565789079999988</v>
      </c>
      <c r="E53" s="424">
        <v>2632.9</v>
      </c>
      <c r="F53" s="1373">
        <v>2480.6</v>
      </c>
    </row>
    <row r="54" spans="1:6" hidden="1">
      <c r="A54" s="409" t="s">
        <v>27</v>
      </c>
      <c r="B54" s="424">
        <v>3237.42</v>
      </c>
      <c r="C54" s="424">
        <v>-580</v>
      </c>
      <c r="D54" s="424">
        <v>-106.37440273000001</v>
      </c>
      <c r="E54" s="424">
        <v>2690.7</v>
      </c>
      <c r="F54" s="1373">
        <v>2520.5</v>
      </c>
    </row>
    <row r="55" spans="1:6" hidden="1">
      <c r="A55" s="409" t="s">
        <v>28</v>
      </c>
      <c r="B55" s="424">
        <v>3370.9</v>
      </c>
      <c r="C55" s="424">
        <v>-508.3</v>
      </c>
      <c r="D55" s="424">
        <v>-102.38862255999997</v>
      </c>
      <c r="E55" s="424">
        <v>2785.1</v>
      </c>
      <c r="F55" s="1373">
        <v>2612.5</v>
      </c>
    </row>
    <row r="56" spans="1:6" hidden="1">
      <c r="A56" s="409" t="s">
        <v>29</v>
      </c>
      <c r="B56" s="424">
        <v>4015.26</v>
      </c>
      <c r="C56" s="424">
        <v>93.1</v>
      </c>
      <c r="D56" s="424">
        <v>-154.43452151</v>
      </c>
      <c r="E56" s="424">
        <v>3440.8</v>
      </c>
      <c r="F56" s="1373">
        <v>3220.8</v>
      </c>
    </row>
    <row r="57" spans="1:6" ht="14.25" customHeight="1">
      <c r="A57" s="409" t="s">
        <v>114</v>
      </c>
      <c r="B57" s="424">
        <v>6136.99</v>
      </c>
      <c r="C57" s="424">
        <v>-476.1</v>
      </c>
      <c r="D57" s="424">
        <v>54.075419130000014</v>
      </c>
      <c r="E57" s="424">
        <v>4963.8999999999996</v>
      </c>
      <c r="F57" s="1373">
        <v>4781.3</v>
      </c>
    </row>
    <row r="58" spans="1:6" ht="14.25" hidden="1" customHeight="1">
      <c r="A58" s="580" t="s">
        <v>18</v>
      </c>
      <c r="B58" s="424">
        <v>3928.51</v>
      </c>
      <c r="C58" s="424">
        <v>-847.9</v>
      </c>
      <c r="D58" s="424">
        <v>-142.28263827000001</v>
      </c>
      <c r="E58" s="424">
        <v>3074.5</v>
      </c>
      <c r="F58" s="1373">
        <v>2895.6</v>
      </c>
    </row>
    <row r="59" spans="1:6" hidden="1">
      <c r="A59" s="580" t="s">
        <v>19</v>
      </c>
      <c r="B59" s="424">
        <v>4013.59</v>
      </c>
      <c r="C59" s="424">
        <v>-289.8</v>
      </c>
      <c r="D59" s="424">
        <v>-94.136231139999978</v>
      </c>
      <c r="E59" s="424">
        <v>3194.3</v>
      </c>
      <c r="F59" s="1373">
        <v>3022</v>
      </c>
    </row>
    <row r="60" spans="1:6" ht="13.5" hidden="1" customHeight="1">
      <c r="A60" s="580" t="s">
        <v>20</v>
      </c>
      <c r="B60" s="424">
        <v>4260.71</v>
      </c>
      <c r="C60" s="424">
        <v>-276.3</v>
      </c>
      <c r="D60" s="424">
        <v>-59.304956680000004</v>
      </c>
      <c r="E60" s="424">
        <v>3468</v>
      </c>
      <c r="F60" s="1373">
        <v>3246.4</v>
      </c>
    </row>
    <row r="61" spans="1:6" hidden="1">
      <c r="A61" s="580" t="s">
        <v>21</v>
      </c>
      <c r="B61" s="424">
        <v>4306.6400000000003</v>
      </c>
      <c r="C61" s="424">
        <v>-966</v>
      </c>
      <c r="D61" s="424">
        <v>-70.568276089999998</v>
      </c>
      <c r="E61" s="424">
        <v>3463.4</v>
      </c>
      <c r="F61" s="1373">
        <v>3291.2</v>
      </c>
    </row>
    <row r="62" spans="1:6" hidden="1">
      <c r="A62" s="580" t="s">
        <v>22</v>
      </c>
      <c r="B62" s="424">
        <v>4323.43</v>
      </c>
      <c r="C62" s="424">
        <v>-196.2</v>
      </c>
      <c r="D62" s="424">
        <v>-0.65509246999998805</v>
      </c>
      <c r="E62" s="424">
        <v>3489.1</v>
      </c>
      <c r="F62" s="1373">
        <v>3321.2</v>
      </c>
    </row>
    <row r="63" spans="1:6" ht="15.75" hidden="1" customHeight="1">
      <c r="A63" s="580" t="s">
        <v>23</v>
      </c>
      <c r="B63" s="424">
        <v>5225.1899999999996</v>
      </c>
      <c r="C63" s="424">
        <v>-459.9</v>
      </c>
      <c r="D63" s="424">
        <v>-23.496919709999997</v>
      </c>
      <c r="E63" s="424">
        <v>3959</v>
      </c>
      <c r="F63" s="1373">
        <v>3748.5</v>
      </c>
    </row>
    <row r="64" spans="1:6" hidden="1">
      <c r="A64" s="580" t="s">
        <v>24</v>
      </c>
      <c r="B64" s="424">
        <v>5223.68</v>
      </c>
      <c r="C64" s="424">
        <v>-904.4</v>
      </c>
      <c r="D64" s="424">
        <v>-21.665553179999989</v>
      </c>
      <c r="E64" s="424">
        <v>4072</v>
      </c>
      <c r="F64" s="1373">
        <v>3873</v>
      </c>
    </row>
    <row r="65" spans="1:6" ht="15.75" hidden="1" customHeight="1">
      <c r="A65" s="580" t="s">
        <v>25</v>
      </c>
      <c r="B65" s="424">
        <v>5338.1980000000003</v>
      </c>
      <c r="C65" s="424">
        <v>-622.6</v>
      </c>
      <c r="D65" s="424">
        <v>76.798452769999997</v>
      </c>
      <c r="E65" s="424">
        <v>4315.2</v>
      </c>
      <c r="F65" s="1373">
        <v>4046.7</v>
      </c>
    </row>
    <row r="66" spans="1:6" ht="18.75" hidden="1" customHeight="1">
      <c r="A66" s="580" t="s">
        <v>26</v>
      </c>
      <c r="B66" s="424">
        <v>5438.61</v>
      </c>
      <c r="C66" s="424">
        <v>-438.8</v>
      </c>
      <c r="D66" s="424">
        <v>22.665929800000001</v>
      </c>
      <c r="E66" s="424">
        <v>4453.3999999999996</v>
      </c>
      <c r="F66" s="424">
        <v>4172.6000000000004</v>
      </c>
    </row>
    <row r="67" spans="1:6" ht="14.25" hidden="1" customHeight="1">
      <c r="A67" s="580" t="s">
        <v>27</v>
      </c>
      <c r="B67" s="424">
        <v>5316.04</v>
      </c>
      <c r="C67" s="424">
        <v>-862.5</v>
      </c>
      <c r="D67" s="424">
        <v>-20.649522649999994</v>
      </c>
      <c r="E67" s="424">
        <v>4265.6000000000004</v>
      </c>
      <c r="F67" s="1373">
        <v>4082</v>
      </c>
    </row>
    <row r="68" spans="1:6" ht="15.75" hidden="1" customHeight="1">
      <c r="A68" s="580" t="s">
        <v>28</v>
      </c>
      <c r="B68" s="424">
        <v>5348.57</v>
      </c>
      <c r="C68" s="424">
        <v>-614.1</v>
      </c>
      <c r="D68" s="424">
        <v>-0.33802315999999166</v>
      </c>
      <c r="E68" s="424">
        <v>4382.3</v>
      </c>
      <c r="F68" s="1373">
        <v>4212.5</v>
      </c>
    </row>
    <row r="69" spans="1:6" ht="14.25" hidden="1" customHeight="1">
      <c r="A69" s="580" t="s">
        <v>29</v>
      </c>
      <c r="B69" s="424">
        <v>6136.99</v>
      </c>
      <c r="C69" s="424">
        <v>-476.1</v>
      </c>
      <c r="D69" s="424">
        <v>54.075419130000014</v>
      </c>
      <c r="E69" s="424">
        <v>4963.8999999999996</v>
      </c>
      <c r="F69" s="1373">
        <v>4781.3</v>
      </c>
    </row>
    <row r="70" spans="1:6" ht="16.5" customHeight="1">
      <c r="A70" s="409" t="s">
        <v>43</v>
      </c>
      <c r="B70" s="424">
        <v>5161.67</v>
      </c>
      <c r="C70" s="424">
        <v>-591.1</v>
      </c>
      <c r="D70" s="424">
        <v>1472.8</v>
      </c>
      <c r="E70" s="424">
        <v>4907.7</v>
      </c>
      <c r="F70" s="1373">
        <v>4861</v>
      </c>
    </row>
    <row r="71" spans="1:6" ht="18" hidden="1" customHeight="1">
      <c r="A71" s="409" t="s">
        <v>18</v>
      </c>
      <c r="B71" s="581">
        <v>5975.93</v>
      </c>
      <c r="C71" s="581">
        <v>-1083.8</v>
      </c>
      <c r="D71" s="581">
        <v>100.9</v>
      </c>
      <c r="E71" s="581">
        <v>4452</v>
      </c>
      <c r="F71" s="1374">
        <v>4300.2</v>
      </c>
    </row>
    <row r="72" spans="1:6" ht="16.5" hidden="1" customHeight="1">
      <c r="A72" s="409" t="s">
        <v>19</v>
      </c>
      <c r="B72" s="581">
        <v>5635.96</v>
      </c>
      <c r="C72" s="581">
        <v>-1129.3</v>
      </c>
      <c r="D72" s="581">
        <v>204.8</v>
      </c>
      <c r="E72" s="581">
        <v>4215.3999999999996</v>
      </c>
      <c r="F72" s="1374">
        <v>4127.8</v>
      </c>
    </row>
    <row r="73" spans="1:6" ht="16.5" hidden="1" customHeight="1">
      <c r="A73" s="409" t="s">
        <v>20</v>
      </c>
      <c r="B73" s="581">
        <v>4961.83</v>
      </c>
      <c r="C73" s="581">
        <v>-938.6</v>
      </c>
      <c r="D73" s="581">
        <v>224.8</v>
      </c>
      <c r="E73" s="581">
        <v>3751.8</v>
      </c>
      <c r="F73" s="1374">
        <v>3702.1</v>
      </c>
    </row>
    <row r="74" spans="1:6" ht="18.75" hidden="1" customHeight="1">
      <c r="A74" s="409" t="s">
        <v>21</v>
      </c>
      <c r="B74" s="581">
        <v>4906.6400000000003</v>
      </c>
      <c r="C74" s="581">
        <v>-1026.2</v>
      </c>
      <c r="D74" s="581">
        <v>334.5</v>
      </c>
      <c r="E74" s="581">
        <v>3742.3</v>
      </c>
      <c r="F74" s="1374">
        <v>3679.6</v>
      </c>
    </row>
    <row r="75" spans="1:6" ht="17.25" hidden="1" customHeight="1">
      <c r="A75" s="409" t="s">
        <v>22</v>
      </c>
      <c r="B75" s="581">
        <v>5026.01</v>
      </c>
      <c r="C75" s="581">
        <v>-866.2</v>
      </c>
      <c r="D75" s="581">
        <v>360.9</v>
      </c>
      <c r="E75" s="581">
        <v>3880.5</v>
      </c>
      <c r="F75" s="1374">
        <v>3820.5</v>
      </c>
    </row>
    <row r="76" spans="1:6" ht="18.75" hidden="1" customHeight="1">
      <c r="A76" s="409" t="s">
        <v>23</v>
      </c>
      <c r="B76" s="581">
        <v>5077.1499999999996</v>
      </c>
      <c r="C76" s="581">
        <v>-602.79999999999995</v>
      </c>
      <c r="D76" s="581">
        <v>389.8</v>
      </c>
      <c r="E76" s="581">
        <v>3935.6</v>
      </c>
      <c r="F76" s="1374">
        <v>3888.9</v>
      </c>
    </row>
    <row r="77" spans="1:6" ht="15.75" hidden="1" customHeight="1">
      <c r="A77" s="409" t="s">
        <v>24</v>
      </c>
      <c r="B77" s="581">
        <v>4787.03</v>
      </c>
      <c r="C77" s="581">
        <v>-501.9</v>
      </c>
      <c r="D77" s="581">
        <v>801.3</v>
      </c>
      <c r="E77" s="581">
        <v>4177.7</v>
      </c>
      <c r="F77" s="1374">
        <v>4129.1000000000004</v>
      </c>
    </row>
    <row r="78" spans="1:6" ht="18" hidden="1" customHeight="1">
      <c r="A78" s="409" t="s">
        <v>25</v>
      </c>
      <c r="B78" s="581">
        <v>5001.21</v>
      </c>
      <c r="C78" s="581">
        <v>-787</v>
      </c>
      <c r="D78" s="581">
        <v>1128.5999999999999</v>
      </c>
      <c r="E78" s="581">
        <v>4233.8999999999996</v>
      </c>
      <c r="F78" s="1374">
        <v>4172</v>
      </c>
    </row>
    <row r="79" spans="1:6" ht="16.5" hidden="1" customHeight="1">
      <c r="A79" s="409" t="s">
        <v>26</v>
      </c>
      <c r="B79" s="581">
        <v>5103.6499999999996</v>
      </c>
      <c r="C79" s="581">
        <v>-902.5</v>
      </c>
      <c r="D79" s="581">
        <v>1255.7</v>
      </c>
      <c r="E79" s="581">
        <v>4180.6000000000004</v>
      </c>
      <c r="F79" s="1374">
        <v>4170.3999999999996</v>
      </c>
    </row>
    <row r="80" spans="1:6" ht="17.25" hidden="1" customHeight="1">
      <c r="A80" s="409" t="s">
        <v>27</v>
      </c>
      <c r="B80" s="581">
        <v>5092.88</v>
      </c>
      <c r="C80" s="581">
        <v>-1206.2</v>
      </c>
      <c r="D80" s="581">
        <v>1341.8</v>
      </c>
      <c r="E80" s="581">
        <v>4214</v>
      </c>
      <c r="F80" s="1374">
        <v>4193.5</v>
      </c>
    </row>
    <row r="81" spans="1:6" ht="18" hidden="1" customHeight="1">
      <c r="A81" s="409" t="s">
        <v>28</v>
      </c>
      <c r="B81" s="581">
        <v>5181.1040000000003</v>
      </c>
      <c r="C81" s="581">
        <v>-1115</v>
      </c>
      <c r="D81" s="581">
        <v>1339.9</v>
      </c>
      <c r="E81" s="581">
        <v>4360.6000000000004</v>
      </c>
      <c r="F81" s="1374">
        <v>4337.1000000000004</v>
      </c>
    </row>
    <row r="82" spans="1:6" ht="20.25" hidden="1" customHeight="1">
      <c r="A82" s="409" t="s">
        <v>29</v>
      </c>
      <c r="B82" s="581">
        <v>5161.67</v>
      </c>
      <c r="C82" s="581">
        <v>-591.1</v>
      </c>
      <c r="D82" s="581">
        <v>1472.8</v>
      </c>
      <c r="E82" s="581">
        <v>4907.7</v>
      </c>
      <c r="F82" s="1374">
        <v>4861</v>
      </c>
    </row>
    <row r="83" spans="1:6" ht="16.5" customHeight="1">
      <c r="A83" s="409" t="s">
        <v>48</v>
      </c>
      <c r="B83" s="424">
        <v>6407.6</v>
      </c>
      <c r="C83" s="424">
        <v>-828.5</v>
      </c>
      <c r="D83" s="424">
        <v>1930.8</v>
      </c>
      <c r="E83" s="424">
        <v>6520.9</v>
      </c>
      <c r="F83" s="1373">
        <v>6397.1</v>
      </c>
    </row>
    <row r="84" spans="1:6" ht="14.25" hidden="1" customHeight="1">
      <c r="A84" s="409" t="s">
        <v>18</v>
      </c>
      <c r="B84" s="581">
        <v>5139.5200000000004</v>
      </c>
      <c r="C84" s="581">
        <v>-1197.7</v>
      </c>
      <c r="D84" s="581">
        <v>1543.2</v>
      </c>
      <c r="E84" s="581">
        <v>4594.2</v>
      </c>
      <c r="F84" s="1374">
        <v>4559.1000000000004</v>
      </c>
    </row>
    <row r="85" spans="1:6" ht="16.5" hidden="1" customHeight="1">
      <c r="A85" s="409" t="s">
        <v>19</v>
      </c>
      <c r="B85" s="581">
        <v>5074.45</v>
      </c>
      <c r="C85" s="581">
        <v>-1103.0999999999999</v>
      </c>
      <c r="D85" s="581">
        <v>1571.7</v>
      </c>
      <c r="E85" s="581">
        <v>4677.8</v>
      </c>
      <c r="F85" s="1374">
        <v>4658.1000000000004</v>
      </c>
    </row>
    <row r="86" spans="1:6" ht="15" hidden="1" customHeight="1">
      <c r="A86" s="409" t="s">
        <v>20</v>
      </c>
      <c r="B86" s="581">
        <v>5509.95</v>
      </c>
      <c r="C86" s="581">
        <v>-1097.5</v>
      </c>
      <c r="D86" s="581">
        <v>1440.9</v>
      </c>
      <c r="E86" s="581">
        <v>4916.7</v>
      </c>
      <c r="F86" s="1374">
        <v>4902</v>
      </c>
    </row>
    <row r="87" spans="1:6" ht="15.75" hidden="1" customHeight="1">
      <c r="A87" s="409" t="s">
        <v>21</v>
      </c>
      <c r="B87" s="581">
        <v>5501.73</v>
      </c>
      <c r="C87" s="581">
        <v>-1206.9000000000001</v>
      </c>
      <c r="D87" s="581">
        <v>1453.4</v>
      </c>
      <c r="E87" s="581">
        <v>4967.8</v>
      </c>
      <c r="F87" s="1374">
        <v>4956.1000000000004</v>
      </c>
    </row>
    <row r="88" spans="1:6" ht="15" hidden="1" customHeight="1">
      <c r="A88" s="409" t="s">
        <v>22</v>
      </c>
      <c r="B88" s="581">
        <v>5360.95</v>
      </c>
      <c r="C88" s="581">
        <v>-1025.5</v>
      </c>
      <c r="D88" s="581">
        <v>1444.2</v>
      </c>
      <c r="E88" s="581">
        <v>5048</v>
      </c>
      <c r="F88" s="1374">
        <v>5012.6000000000004</v>
      </c>
    </row>
    <row r="89" spans="1:6" ht="14.25" hidden="1" customHeight="1">
      <c r="A89" s="409" t="s">
        <v>23</v>
      </c>
      <c r="B89" s="581">
        <v>5470.74</v>
      </c>
      <c r="C89" s="581">
        <v>-929.3</v>
      </c>
      <c r="D89" s="581">
        <v>1595.2</v>
      </c>
      <c r="E89" s="581">
        <v>5137.3</v>
      </c>
      <c r="F89" s="1374">
        <v>5116.3999999999996</v>
      </c>
    </row>
    <row r="90" spans="1:6" ht="14.25" hidden="1" customHeight="1">
      <c r="A90" s="409" t="s">
        <v>24</v>
      </c>
      <c r="B90" s="581">
        <v>5658.49</v>
      </c>
      <c r="C90" s="581">
        <v>-929.7</v>
      </c>
      <c r="D90" s="581">
        <v>1446.9</v>
      </c>
      <c r="E90" s="581">
        <v>5311.8</v>
      </c>
      <c r="F90" s="1374">
        <v>5299.4</v>
      </c>
    </row>
    <row r="91" spans="1:6" ht="15" hidden="1" customHeight="1">
      <c r="A91" s="409" t="s">
        <v>25</v>
      </c>
      <c r="B91" s="581">
        <v>5899.71</v>
      </c>
      <c r="C91" s="581">
        <v>-1078.0999999999999</v>
      </c>
      <c r="D91" s="581">
        <v>1497</v>
      </c>
      <c r="E91" s="581">
        <v>5385.2</v>
      </c>
      <c r="F91" s="1374">
        <v>5373.5</v>
      </c>
    </row>
    <row r="92" spans="1:6" ht="15.75" hidden="1" customHeight="1">
      <c r="A92" s="409" t="s">
        <v>26</v>
      </c>
      <c r="B92" s="581">
        <v>6057.63</v>
      </c>
      <c r="C92" s="581">
        <v>-1089.0999999999999</v>
      </c>
      <c r="D92" s="581">
        <v>1689</v>
      </c>
      <c r="E92" s="581">
        <v>5516.1</v>
      </c>
      <c r="F92" s="1374">
        <v>5504.6</v>
      </c>
    </row>
    <row r="93" spans="1:6" ht="15" hidden="1" customHeight="1">
      <c r="A93" s="409" t="s">
        <v>27</v>
      </c>
      <c r="B93" s="581">
        <v>6127.9</v>
      </c>
      <c r="C93" s="581">
        <v>-1235.3</v>
      </c>
      <c r="D93" s="581">
        <v>1821.4</v>
      </c>
      <c r="E93" s="581">
        <v>5660.9</v>
      </c>
      <c r="F93" s="1374">
        <v>5646.3</v>
      </c>
    </row>
    <row r="94" spans="1:6" ht="13.5" hidden="1" customHeight="1">
      <c r="A94" s="409" t="s">
        <v>28</v>
      </c>
      <c r="B94" s="581">
        <v>6079.3</v>
      </c>
      <c r="C94" s="581">
        <v>-1331.6</v>
      </c>
      <c r="D94" s="581">
        <v>1799.5</v>
      </c>
      <c r="E94" s="581">
        <v>5622.9</v>
      </c>
      <c r="F94" s="1374">
        <v>5605.5</v>
      </c>
    </row>
    <row r="95" spans="1:6" ht="15" hidden="1" customHeight="1">
      <c r="A95" s="409" t="s">
        <v>29</v>
      </c>
      <c r="B95" s="581">
        <v>6407.6</v>
      </c>
      <c r="C95" s="581">
        <v>-828.5</v>
      </c>
      <c r="D95" s="581">
        <v>1930.8</v>
      </c>
      <c r="E95" s="581">
        <v>6520.9</v>
      </c>
      <c r="F95" s="1374">
        <v>6397.1</v>
      </c>
    </row>
    <row r="96" spans="1:6" ht="12.75" customHeight="1">
      <c r="A96" s="409" t="s">
        <v>1024</v>
      </c>
      <c r="B96" s="424">
        <v>10481.5</v>
      </c>
      <c r="C96" s="424">
        <v>-2083.1999999999998</v>
      </c>
      <c r="D96" s="424">
        <v>515.5</v>
      </c>
      <c r="E96" s="424">
        <v>8489.4</v>
      </c>
      <c r="F96" s="1373">
        <v>8275.2999999999993</v>
      </c>
    </row>
    <row r="97" spans="1:6" ht="15" hidden="1" customHeight="1">
      <c r="A97" s="409" t="s">
        <v>18</v>
      </c>
      <c r="B97" s="581">
        <v>6566.9</v>
      </c>
      <c r="C97" s="581">
        <v>-1577.6</v>
      </c>
      <c r="D97" s="581">
        <v>648.6</v>
      </c>
      <c r="E97" s="581">
        <v>6015.6</v>
      </c>
      <c r="F97" s="1374">
        <v>5960.9435422899996</v>
      </c>
    </row>
    <row r="98" spans="1:6" ht="13.5" hidden="1" customHeight="1">
      <c r="A98" s="409" t="s">
        <v>19</v>
      </c>
      <c r="B98" s="581">
        <v>6705.2</v>
      </c>
      <c r="C98" s="581">
        <v>-1412.8</v>
      </c>
      <c r="D98" s="581">
        <v>607.79999999999995</v>
      </c>
      <c r="E98" s="581">
        <v>6120.5</v>
      </c>
      <c r="F98" s="1374">
        <v>6099.5</v>
      </c>
    </row>
    <row r="99" spans="1:6" ht="15" hidden="1" customHeight="1">
      <c r="A99" s="409" t="s">
        <v>20</v>
      </c>
      <c r="B99" s="581">
        <v>6718.4</v>
      </c>
      <c r="C99" s="581">
        <v>-1349.9</v>
      </c>
      <c r="D99" s="581">
        <v>621.29999999999995</v>
      </c>
      <c r="E99" s="581">
        <v>6282.9</v>
      </c>
      <c r="F99" s="1374">
        <v>6269</v>
      </c>
    </row>
    <row r="100" spans="1:6" ht="15" hidden="1" customHeight="1">
      <c r="A100" s="409" t="s">
        <v>21</v>
      </c>
      <c r="B100" s="581">
        <v>6949.2</v>
      </c>
      <c r="C100" s="581">
        <v>-1797.4</v>
      </c>
      <c r="D100" s="581">
        <v>498.9</v>
      </c>
      <c r="E100" s="581">
        <v>6191.6</v>
      </c>
      <c r="F100" s="1374">
        <v>6167.3</v>
      </c>
    </row>
    <row r="101" spans="1:6" ht="15" hidden="1" customHeight="1">
      <c r="A101" s="409" t="s">
        <v>22</v>
      </c>
      <c r="B101" s="581">
        <v>6898.8</v>
      </c>
      <c r="C101" s="581">
        <v>-1664.2</v>
      </c>
      <c r="D101" s="581">
        <v>447.7</v>
      </c>
      <c r="E101" s="581">
        <v>6294.4</v>
      </c>
      <c r="F101" s="1374">
        <v>6244.9</v>
      </c>
    </row>
    <row r="102" spans="1:6" ht="15" hidden="1" customHeight="1">
      <c r="A102" s="409" t="s">
        <v>23</v>
      </c>
      <c r="B102" s="581">
        <v>6947.5</v>
      </c>
      <c r="C102" s="581">
        <v>-1088.5999999999999</v>
      </c>
      <c r="D102" s="581">
        <v>599.1</v>
      </c>
      <c r="E102" s="581">
        <v>6552.4</v>
      </c>
      <c r="F102" s="1374">
        <v>6497.7</v>
      </c>
    </row>
    <row r="103" spans="1:6" ht="15" hidden="1" customHeight="1">
      <c r="A103" s="409" t="s">
        <v>24</v>
      </c>
      <c r="B103" s="581">
        <v>7073.8</v>
      </c>
      <c r="C103" s="581">
        <v>-1085.3</v>
      </c>
      <c r="D103" s="581">
        <v>503.1</v>
      </c>
      <c r="E103" s="581">
        <v>6940.6</v>
      </c>
      <c r="F103" s="1374">
        <v>6858.1</v>
      </c>
    </row>
    <row r="104" spans="1:6" ht="15" hidden="1" customHeight="1">
      <c r="A104" s="409" t="s">
        <v>25</v>
      </c>
      <c r="B104" s="581">
        <v>7114.2</v>
      </c>
      <c r="C104" s="581">
        <v>-424.6</v>
      </c>
      <c r="D104" s="581">
        <v>570.9</v>
      </c>
      <c r="E104" s="581">
        <v>7202.8</v>
      </c>
      <c r="F104" s="1374">
        <v>7119.3</v>
      </c>
    </row>
    <row r="105" spans="1:6" ht="15" hidden="1" customHeight="1">
      <c r="A105" s="409" t="s">
        <v>26</v>
      </c>
      <c r="B105" s="581">
        <v>6943.3</v>
      </c>
      <c r="C105" s="581">
        <v>-333.5</v>
      </c>
      <c r="D105" s="581">
        <v>640.1</v>
      </c>
      <c r="E105" s="581">
        <v>7281.5</v>
      </c>
      <c r="F105" s="1374">
        <v>7206.5</v>
      </c>
    </row>
    <row r="106" spans="1:6" ht="15" hidden="1" customHeight="1">
      <c r="A106" s="409" t="s">
        <v>27</v>
      </c>
      <c r="B106" s="581">
        <v>7074.3</v>
      </c>
      <c r="C106" s="581">
        <v>-804.1</v>
      </c>
      <c r="D106" s="581">
        <v>656.3</v>
      </c>
      <c r="E106" s="581">
        <v>7270.4</v>
      </c>
      <c r="F106" s="1374">
        <v>7189.7</v>
      </c>
    </row>
    <row r="107" spans="1:6" ht="15" hidden="1" customHeight="1">
      <c r="A107" s="409" t="s">
        <v>28</v>
      </c>
      <c r="B107" s="581">
        <v>7027.6</v>
      </c>
      <c r="C107" s="581">
        <v>-500.6</v>
      </c>
      <c r="D107" s="581">
        <v>658.1</v>
      </c>
      <c r="E107" s="581">
        <v>7494.4</v>
      </c>
      <c r="F107" s="1374">
        <v>7417.4</v>
      </c>
    </row>
    <row r="108" spans="1:6" ht="15" hidden="1" customHeight="1">
      <c r="A108" s="409" t="s">
        <v>29</v>
      </c>
      <c r="B108" s="581">
        <v>10481.5</v>
      </c>
      <c r="C108" s="581">
        <v>-2083.1999999999998</v>
      </c>
      <c r="D108" s="581">
        <v>515.5</v>
      </c>
      <c r="E108" s="581">
        <v>8489.4</v>
      </c>
      <c r="F108" s="1374">
        <v>8275.2999999999993</v>
      </c>
    </row>
    <row r="109" spans="1:6" ht="12.75" customHeight="1">
      <c r="A109" s="409" t="s">
        <v>1288</v>
      </c>
      <c r="B109" s="581"/>
      <c r="C109" s="581"/>
      <c r="D109" s="581"/>
      <c r="E109" s="581"/>
      <c r="F109" s="1374"/>
    </row>
    <row r="110" spans="1:6" ht="15" customHeight="1">
      <c r="A110" s="409" t="s">
        <v>18</v>
      </c>
      <c r="B110" s="581">
        <v>10583.8</v>
      </c>
      <c r="C110" s="581">
        <v>-3042.6</v>
      </c>
      <c r="D110" s="581">
        <v>494.4</v>
      </c>
      <c r="E110" s="581">
        <v>7686.7</v>
      </c>
      <c r="F110" s="1374">
        <v>7601.5</v>
      </c>
    </row>
    <row r="111" spans="1:6" ht="15" customHeight="1">
      <c r="A111" s="409" t="s">
        <v>19</v>
      </c>
      <c r="B111" s="581">
        <v>10769.7</v>
      </c>
      <c r="C111" s="581">
        <v>-2864.6</v>
      </c>
      <c r="D111" s="581">
        <v>533.20000000000005</v>
      </c>
      <c r="E111" s="581">
        <v>7908.7</v>
      </c>
      <c r="F111" s="1374">
        <v>7825.2</v>
      </c>
    </row>
    <row r="112" spans="1:6" ht="15" customHeight="1">
      <c r="A112" s="409" t="s">
        <v>20</v>
      </c>
      <c r="B112" s="581">
        <v>10822.6</v>
      </c>
      <c r="C112" s="581">
        <v>-2285.3000000000002</v>
      </c>
      <c r="D112" s="581">
        <v>551.9</v>
      </c>
      <c r="E112" s="581">
        <v>8468.2999999999993</v>
      </c>
      <c r="F112" s="1374">
        <v>8347.7000000000007</v>
      </c>
    </row>
    <row r="113" spans="1:6" ht="15" customHeight="1">
      <c r="A113" s="409" t="s">
        <v>21</v>
      </c>
      <c r="B113" s="1375">
        <v>10951.7</v>
      </c>
      <c r="C113" s="1375">
        <v>-2981.4</v>
      </c>
      <c r="D113" s="1375">
        <v>559.4</v>
      </c>
      <c r="E113" s="1375">
        <v>8223</v>
      </c>
      <c r="F113" s="1374">
        <v>8145.9</v>
      </c>
    </row>
    <row r="114" spans="1:6" ht="15" customHeight="1">
      <c r="A114" s="409" t="s">
        <v>22</v>
      </c>
      <c r="B114" s="1375">
        <v>10891.9</v>
      </c>
      <c r="C114" s="1375">
        <v>-2512</v>
      </c>
      <c r="D114" s="1375">
        <v>606.79999999999995</v>
      </c>
      <c r="E114" s="1375">
        <v>8457.9</v>
      </c>
      <c r="F114" s="1374">
        <v>8373.1</v>
      </c>
    </row>
    <row r="115" spans="1:6" ht="15" customHeight="1">
      <c r="A115" s="409" t="s">
        <v>23</v>
      </c>
      <c r="B115" s="1375">
        <v>11046.3</v>
      </c>
      <c r="C115" s="1375">
        <v>-2368.5</v>
      </c>
      <c r="D115" s="1375">
        <v>650.4</v>
      </c>
      <c r="E115" s="1375">
        <v>8730.4</v>
      </c>
      <c r="F115" s="1374">
        <v>8654.4</v>
      </c>
    </row>
    <row r="116" spans="1:6" ht="15" customHeight="1">
      <c r="A116" s="409" t="s">
        <v>24</v>
      </c>
      <c r="B116" s="1375">
        <v>11122.7</v>
      </c>
      <c r="C116" s="1375">
        <v>-2492.6</v>
      </c>
      <c r="D116" s="1375">
        <v>722.7</v>
      </c>
      <c r="E116" s="1375">
        <v>9039.6</v>
      </c>
      <c r="F116" s="1374">
        <v>8940.2000000000007</v>
      </c>
    </row>
    <row r="117" spans="1:6" ht="15" customHeight="1">
      <c r="A117" s="409" t="s">
        <v>25</v>
      </c>
      <c r="B117" s="1375">
        <v>11279.3</v>
      </c>
      <c r="C117" s="1375">
        <v>-2505.1</v>
      </c>
      <c r="D117" s="1375">
        <v>798.8</v>
      </c>
      <c r="E117" s="1375">
        <v>9195.7000000000007</v>
      </c>
      <c r="F117" s="1374">
        <v>9076.4</v>
      </c>
    </row>
    <row r="118" spans="1:6" ht="15" customHeight="1">
      <c r="A118" s="409" t="s">
        <v>26</v>
      </c>
      <c r="B118" s="1375">
        <v>11506.5</v>
      </c>
      <c r="C118" s="1375">
        <v>-2447.9</v>
      </c>
      <c r="D118" s="1375">
        <v>795.2</v>
      </c>
      <c r="E118" s="1375">
        <v>9399.7000000000007</v>
      </c>
      <c r="F118" s="1374">
        <v>9299.7999999999993</v>
      </c>
    </row>
    <row r="119" spans="1:6" ht="15" customHeight="1">
      <c r="A119" s="409" t="s">
        <v>27</v>
      </c>
      <c r="B119" s="1375">
        <v>11743.2</v>
      </c>
      <c r="C119" s="1375">
        <v>-2845.4</v>
      </c>
      <c r="D119" s="1375">
        <v>794.2</v>
      </c>
      <c r="E119" s="1375">
        <v>9365.1</v>
      </c>
      <c r="F119" s="1374">
        <v>9291.2999999999993</v>
      </c>
    </row>
    <row r="120" spans="1:6" ht="15" customHeight="1">
      <c r="A120" s="409" t="s">
        <v>28</v>
      </c>
      <c r="B120" s="1375">
        <v>11686</v>
      </c>
      <c r="C120" s="1375">
        <v>-2910</v>
      </c>
      <c r="D120" s="1375">
        <v>731.20000420999997</v>
      </c>
      <c r="E120" s="1375">
        <v>9427.2999999999993</v>
      </c>
      <c r="F120" s="1374">
        <v>9346</v>
      </c>
    </row>
    <row r="121" spans="1:6" ht="15" customHeight="1">
      <c r="A121" s="409" t="s">
        <v>29</v>
      </c>
      <c r="B121" s="1375">
        <v>11694.8</v>
      </c>
      <c r="C121" s="1375">
        <v>-1933.9</v>
      </c>
      <c r="D121" s="1375">
        <v>852</v>
      </c>
      <c r="E121" s="1375">
        <v>10660.3</v>
      </c>
      <c r="F121" s="1374">
        <v>10515</v>
      </c>
    </row>
    <row r="122" spans="1:6" ht="12.75" customHeight="1">
      <c r="A122" s="409" t="s">
        <v>1410</v>
      </c>
      <c r="B122" s="581"/>
      <c r="C122" s="581"/>
      <c r="D122" s="581"/>
      <c r="E122" s="581"/>
      <c r="F122" s="1374"/>
    </row>
    <row r="123" spans="1:6" ht="15" customHeight="1">
      <c r="A123" s="409" t="s">
        <v>18</v>
      </c>
      <c r="B123" s="581">
        <v>11964</v>
      </c>
      <c r="C123" s="581">
        <v>-3167.4</v>
      </c>
      <c r="D123" s="581">
        <v>897.87505942000018</v>
      </c>
      <c r="E123" s="581">
        <v>9938.8954381399981</v>
      </c>
      <c r="F123" s="1374">
        <v>9842.5224666099984</v>
      </c>
    </row>
    <row r="124" spans="1:6" ht="15" customHeight="1">
      <c r="A124" s="409" t="s">
        <v>19</v>
      </c>
      <c r="B124" s="581">
        <v>11948.3</v>
      </c>
      <c r="C124" s="581">
        <v>-2655.5</v>
      </c>
      <c r="D124" s="581">
        <v>988.38018140000042</v>
      </c>
      <c r="E124" s="581">
        <v>10117.00896714</v>
      </c>
      <c r="F124" s="1374">
        <v>10042.278477350001</v>
      </c>
    </row>
    <row r="125" spans="1:6" ht="15" customHeight="1">
      <c r="A125" s="409" t="s">
        <v>20</v>
      </c>
      <c r="B125" s="581">
        <v>12332.6</v>
      </c>
      <c r="C125" s="581">
        <v>-2641.9</v>
      </c>
      <c r="D125" s="581">
        <v>1024.4047944899999</v>
      </c>
      <c r="E125" s="581">
        <v>10281.538850699999</v>
      </c>
      <c r="F125" s="1374">
        <v>10196.195094999999</v>
      </c>
    </row>
    <row r="126" spans="1:6" ht="15" customHeight="1">
      <c r="A126" s="409" t="s">
        <v>21</v>
      </c>
      <c r="B126" s="581">
        <v>12499.9</v>
      </c>
      <c r="C126" s="581">
        <v>-3006.2</v>
      </c>
      <c r="D126" s="581">
        <v>994.05148968000049</v>
      </c>
      <c r="E126" s="581">
        <v>10191.12480883</v>
      </c>
      <c r="F126" s="1374">
        <v>10094.551942800001</v>
      </c>
    </row>
    <row r="127" spans="1:6" ht="15" customHeight="1">
      <c r="A127" s="409" t="s">
        <v>22</v>
      </c>
      <c r="B127" s="581">
        <v>12572.3</v>
      </c>
      <c r="C127" s="581">
        <v>-3273</v>
      </c>
      <c r="D127" s="581">
        <v>1207.6276752900003</v>
      </c>
      <c r="E127" s="581">
        <v>10201.401611349998</v>
      </c>
      <c r="F127" s="1374">
        <v>10122.983837369999</v>
      </c>
    </row>
    <row r="128" spans="1:6" ht="15" customHeight="1">
      <c r="A128" s="409" t="s">
        <v>23</v>
      </c>
      <c r="B128" s="581">
        <v>12720.4</v>
      </c>
      <c r="C128" s="581">
        <v>-3242.4</v>
      </c>
      <c r="D128" s="581">
        <v>1284.6458706300004</v>
      </c>
      <c r="E128" s="581">
        <v>10331.388455559998</v>
      </c>
      <c r="F128" s="1374">
        <v>10266.594539619999</v>
      </c>
    </row>
    <row r="129" spans="1:6" ht="15" customHeight="1">
      <c r="A129" s="409" t="s">
        <v>24</v>
      </c>
      <c r="B129" s="581">
        <v>12880.3</v>
      </c>
      <c r="C129" s="581">
        <v>-3518.6</v>
      </c>
      <c r="D129" s="581">
        <v>1310.0206117700006</v>
      </c>
      <c r="E129" s="581">
        <v>10529.225237050001</v>
      </c>
      <c r="F129" s="1374">
        <v>10428.005373100001</v>
      </c>
    </row>
    <row r="130" spans="1:6" ht="15" customHeight="1">
      <c r="A130" s="409" t="s">
        <v>25</v>
      </c>
      <c r="B130" s="581">
        <v>12958.9</v>
      </c>
      <c r="C130" s="581">
        <v>-3514.1</v>
      </c>
      <c r="D130" s="581">
        <v>1424.1010539399999</v>
      </c>
      <c r="E130" s="581">
        <v>10688.93542118</v>
      </c>
      <c r="F130" s="1374">
        <v>10617.02397176</v>
      </c>
    </row>
    <row r="131" spans="1:6" ht="15" customHeight="1">
      <c r="A131" s="409" t="s">
        <v>26</v>
      </c>
      <c r="B131" s="581">
        <v>13262.7</v>
      </c>
      <c r="C131" s="581">
        <v>-3692.1</v>
      </c>
      <c r="D131" s="581">
        <v>1441.3250712100005</v>
      </c>
      <c r="E131" s="581">
        <v>10697.737923710001</v>
      </c>
      <c r="F131" s="1374">
        <v>10616.446083440002</v>
      </c>
    </row>
    <row r="132" spans="1:6" ht="15" customHeight="1">
      <c r="A132" s="409" t="s">
        <v>27</v>
      </c>
      <c r="B132" s="581">
        <v>13584.1</v>
      </c>
      <c r="C132" s="581">
        <v>-4084.8</v>
      </c>
      <c r="D132" s="581">
        <v>1435.11725828</v>
      </c>
      <c r="E132" s="581">
        <v>10823.582633259999</v>
      </c>
      <c r="F132" s="1374">
        <v>10732.614357859999</v>
      </c>
    </row>
    <row r="133" spans="1:6" ht="15" customHeight="1">
      <c r="A133" s="409" t="s">
        <v>28</v>
      </c>
      <c r="B133" s="581">
        <v>13742.5</v>
      </c>
      <c r="C133" s="581">
        <v>-4018</v>
      </c>
      <c r="D133" s="581">
        <v>1393.7650887600005</v>
      </c>
      <c r="E133" s="581">
        <v>10899.871209200001</v>
      </c>
      <c r="F133" s="1374">
        <v>10792.02597456</v>
      </c>
    </row>
    <row r="134" spans="1:6" ht="15" customHeight="1">
      <c r="A134" s="409" t="s">
        <v>29</v>
      </c>
      <c r="B134" s="581">
        <v>14152</v>
      </c>
      <c r="C134" s="581">
        <v>-3289.9</v>
      </c>
      <c r="D134" s="581">
        <v>1439.4479640800002</v>
      </c>
      <c r="E134" s="581">
        <v>11793.1</v>
      </c>
      <c r="F134" s="1374">
        <v>11642</v>
      </c>
    </row>
    <row r="135" spans="1:6" ht="12.75" customHeight="1">
      <c r="A135" s="409" t="s">
        <v>1621</v>
      </c>
      <c r="B135" s="581"/>
      <c r="C135" s="581"/>
      <c r="D135" s="581"/>
      <c r="E135" s="581"/>
      <c r="F135" s="1374"/>
    </row>
    <row r="136" spans="1:6" ht="15" customHeight="1">
      <c r="A136" s="409" t="s">
        <v>18</v>
      </c>
      <c r="B136" s="581">
        <v>14219.3</v>
      </c>
      <c r="C136" s="581">
        <v>-4260.95</v>
      </c>
      <c r="D136" s="581">
        <v>1408.2830303400006</v>
      </c>
      <c r="E136" s="581">
        <v>11142.6</v>
      </c>
      <c r="F136" s="1374">
        <v>11038.1</v>
      </c>
    </row>
    <row r="137" spans="1:6" ht="15" customHeight="1">
      <c r="A137" s="409" t="s">
        <v>19</v>
      </c>
      <c r="B137" s="581">
        <v>14444.8</v>
      </c>
      <c r="C137" s="581">
        <v>-4235.1000000000004</v>
      </c>
      <c r="D137" s="581">
        <v>1383.2</v>
      </c>
      <c r="E137" s="581">
        <v>11244.6</v>
      </c>
      <c r="F137" s="1374">
        <v>11136.5</v>
      </c>
    </row>
    <row r="138" spans="1:6" ht="15" customHeight="1">
      <c r="A138" s="409" t="s">
        <v>20</v>
      </c>
      <c r="B138" s="581">
        <v>14715.7</v>
      </c>
      <c r="C138" s="581">
        <v>-5229.1000000000004</v>
      </c>
      <c r="D138" s="581">
        <v>1334.6</v>
      </c>
      <c r="E138" s="581">
        <v>11205.6</v>
      </c>
      <c r="F138" s="1374">
        <v>11107.1</v>
      </c>
    </row>
    <row r="139" spans="1:6" ht="15" customHeight="1">
      <c r="A139" s="409" t="s">
        <v>21</v>
      </c>
      <c r="B139" s="581">
        <v>14871.1</v>
      </c>
      <c r="C139" s="581">
        <v>-5454.7</v>
      </c>
      <c r="D139" s="581">
        <v>1328.6</v>
      </c>
      <c r="E139" s="581">
        <v>11229.3</v>
      </c>
      <c r="F139" s="1374">
        <v>11105</v>
      </c>
    </row>
    <row r="140" spans="1:6" ht="15" customHeight="1">
      <c r="A140" s="409" t="s">
        <v>22</v>
      </c>
      <c r="B140" s="581">
        <v>15091.3</v>
      </c>
      <c r="C140" s="581">
        <v>-5494.8</v>
      </c>
      <c r="D140" s="581">
        <v>1392.4</v>
      </c>
      <c r="E140" s="581">
        <v>11366.4</v>
      </c>
      <c r="F140" s="1374">
        <v>11272.2</v>
      </c>
    </row>
    <row r="141" spans="1:6" ht="15" customHeight="1">
      <c r="A141" s="409" t="s">
        <v>23</v>
      </c>
      <c r="B141" s="581">
        <v>15163.2</v>
      </c>
      <c r="C141" s="581">
        <v>-5234.8</v>
      </c>
      <c r="D141" s="581">
        <v>1458.7</v>
      </c>
      <c r="E141" s="581">
        <v>11580.6</v>
      </c>
      <c r="F141" s="1374">
        <v>11485.2</v>
      </c>
    </row>
    <row r="142" spans="1:6" ht="15" customHeight="1">
      <c r="A142" s="409" t="s">
        <v>24</v>
      </c>
      <c r="B142" s="581">
        <v>15193.4</v>
      </c>
      <c r="C142" s="581">
        <v>-5038.2</v>
      </c>
      <c r="D142" s="581">
        <v>1471.5</v>
      </c>
      <c r="E142" s="581">
        <v>11858.1</v>
      </c>
      <c r="F142" s="1374">
        <v>11736.5</v>
      </c>
    </row>
    <row r="143" spans="1:6" ht="15" customHeight="1">
      <c r="A143" s="409" t="s">
        <v>25</v>
      </c>
      <c r="B143" s="581">
        <v>15190.9</v>
      </c>
      <c r="C143" s="581">
        <v>-4980</v>
      </c>
      <c r="D143" s="581">
        <v>1471.6</v>
      </c>
      <c r="E143" s="581">
        <v>11863.4</v>
      </c>
      <c r="F143" s="1374">
        <v>11743.6</v>
      </c>
    </row>
    <row r="144" spans="1:6" ht="15" customHeight="1">
      <c r="A144" s="409" t="s">
        <v>26</v>
      </c>
      <c r="B144" s="581">
        <v>15042.4</v>
      </c>
      <c r="C144" s="581">
        <v>-5232</v>
      </c>
      <c r="D144" s="581">
        <v>1482.8</v>
      </c>
      <c r="E144" s="581">
        <v>11646.2</v>
      </c>
      <c r="F144" s="1374">
        <v>11546.5</v>
      </c>
    </row>
    <row r="145" spans="1:6" ht="15" customHeight="1">
      <c r="A145" s="409" t="s">
        <v>27</v>
      </c>
      <c r="B145" s="581">
        <v>15033.6</v>
      </c>
      <c r="C145" s="581">
        <v>-5537</v>
      </c>
      <c r="D145" s="581">
        <v>1443.3</v>
      </c>
      <c r="E145" s="581">
        <v>11587.4</v>
      </c>
      <c r="F145" s="1374">
        <v>11478</v>
      </c>
    </row>
    <row r="146" spans="1:6" ht="15" customHeight="1">
      <c r="A146" s="409" t="s">
        <v>28</v>
      </c>
      <c r="B146" s="581">
        <v>14996.3</v>
      </c>
      <c r="C146" s="581">
        <v>-5393.1</v>
      </c>
      <c r="D146" s="581">
        <v>1504.3</v>
      </c>
      <c r="E146" s="581">
        <v>11601.1</v>
      </c>
      <c r="F146" s="1374">
        <v>11519.673289699998</v>
      </c>
    </row>
    <row r="147" spans="1:6" ht="15" customHeight="1">
      <c r="A147" s="409" t="s">
        <v>29</v>
      </c>
      <c r="B147" s="581">
        <v>13758.27</v>
      </c>
      <c r="C147" s="581">
        <v>-4192.5940071099994</v>
      </c>
      <c r="D147" s="581">
        <v>1482.3477654399999</v>
      </c>
      <c r="E147" s="581">
        <v>11866.942363640001</v>
      </c>
      <c r="F147" s="1374">
        <v>11541.85058185</v>
      </c>
    </row>
    <row r="148" spans="1:6" ht="15" customHeight="1">
      <c r="A148" s="409" t="s">
        <v>1816</v>
      </c>
      <c r="B148" s="581"/>
      <c r="C148" s="581"/>
      <c r="D148" s="581"/>
      <c r="E148" s="581"/>
      <c r="F148" s="581"/>
    </row>
    <row r="149" spans="1:6" ht="15" customHeight="1">
      <c r="A149" s="409" t="s">
        <v>18</v>
      </c>
      <c r="B149" s="581">
        <v>12680.8</v>
      </c>
      <c r="C149" s="581">
        <v>-4975.7651899000002</v>
      </c>
      <c r="D149" s="581">
        <v>1697.27247375</v>
      </c>
      <c r="E149" s="581">
        <v>10760.302754689999</v>
      </c>
      <c r="F149" s="1374">
        <v>10550.98263348</v>
      </c>
    </row>
    <row r="150" spans="1:6" ht="15" customHeight="1">
      <c r="A150" s="409" t="s">
        <v>19</v>
      </c>
      <c r="B150" s="581">
        <v>11004.43</v>
      </c>
      <c r="C150" s="581">
        <v>-5798.7434746999998</v>
      </c>
      <c r="D150" s="581">
        <v>1909.1907807100006</v>
      </c>
      <c r="E150" s="581">
        <v>9736.0533009599985</v>
      </c>
      <c r="F150" s="1374">
        <v>9109.8742473199982</v>
      </c>
    </row>
    <row r="151" spans="1:6" ht="15" customHeight="1">
      <c r="A151" s="409" t="s">
        <v>20</v>
      </c>
      <c r="B151" s="581">
        <v>9472.1299999999992</v>
      </c>
      <c r="C151" s="581">
        <v>-4776.898226620001</v>
      </c>
      <c r="D151" s="581">
        <v>2089.4379742000001</v>
      </c>
      <c r="E151" s="581">
        <v>8919.1828803299995</v>
      </c>
      <c r="F151" s="1374">
        <v>8339.4258388500002</v>
      </c>
    </row>
    <row r="152" spans="1:6" ht="15" customHeight="1">
      <c r="A152" s="409" t="s">
        <v>21</v>
      </c>
      <c r="B152" s="581">
        <v>8387.92</v>
      </c>
      <c r="C152" s="581">
        <v>-4641.9943332100011</v>
      </c>
      <c r="D152" s="581">
        <v>2266.4213900399996</v>
      </c>
      <c r="E152" s="581">
        <v>7870.1980502399992</v>
      </c>
      <c r="F152" s="1374">
        <v>7418.6134919299993</v>
      </c>
    </row>
    <row r="153" spans="1:6" ht="15" customHeight="1">
      <c r="A153" s="409" t="s">
        <v>22</v>
      </c>
      <c r="B153" s="581">
        <v>8430.7800000000007</v>
      </c>
      <c r="C153" s="581">
        <v>-4480.6492558899999</v>
      </c>
      <c r="D153" s="581">
        <v>2244.4379572500002</v>
      </c>
      <c r="E153" s="581">
        <v>7983.6680595399994</v>
      </c>
      <c r="F153" s="1374">
        <v>7597.2826965399991</v>
      </c>
    </row>
    <row r="154" spans="1:6" ht="15" customHeight="1">
      <c r="A154" s="409" t="s">
        <v>23</v>
      </c>
      <c r="B154" s="581">
        <v>8520.15</v>
      </c>
      <c r="C154" s="581">
        <v>-4455.2760769400002</v>
      </c>
      <c r="D154" s="581">
        <v>2179.8588592499996</v>
      </c>
      <c r="E154" s="581">
        <v>7805.9569541199999</v>
      </c>
      <c r="F154" s="1374">
        <v>7487.0474245200003</v>
      </c>
    </row>
    <row r="155" spans="1:6" ht="15" customHeight="1">
      <c r="A155" s="409" t="s">
        <v>24</v>
      </c>
      <c r="B155" s="581">
        <v>8501.51</v>
      </c>
      <c r="C155" s="581">
        <v>-4604.2718522199993</v>
      </c>
      <c r="D155" s="581">
        <v>2394.4539659100005</v>
      </c>
      <c r="E155" s="581">
        <v>7793.4260408500004</v>
      </c>
      <c r="F155" s="1374">
        <v>7467.4627806899998</v>
      </c>
    </row>
    <row r="156" spans="1:6" ht="15" customHeight="1">
      <c r="A156" s="409" t="s">
        <v>25</v>
      </c>
      <c r="B156" s="581">
        <v>7315.44</v>
      </c>
      <c r="C156" s="581">
        <v>-5306.15157301</v>
      </c>
      <c r="D156" s="581">
        <v>2951.3969358500008</v>
      </c>
      <c r="E156" s="581">
        <v>6886.2807920499999</v>
      </c>
      <c r="F156" s="1374">
        <v>6352.0686349199996</v>
      </c>
    </row>
    <row r="157" spans="1:6" ht="15" customHeight="1">
      <c r="A157" s="409" t="s">
        <v>26</v>
      </c>
      <c r="B157" s="581">
        <v>7014.74</v>
      </c>
      <c r="C157" s="581">
        <v>-5382.2579440200007</v>
      </c>
      <c r="D157" s="581">
        <v>3859.6111284399999</v>
      </c>
      <c r="E157" s="581">
        <v>7434.2946894699999</v>
      </c>
      <c r="F157" s="1374">
        <v>7050.4451382899997</v>
      </c>
    </row>
    <row r="158" spans="1:6" ht="15" customHeight="1">
      <c r="A158" s="409" t="s">
        <v>27</v>
      </c>
      <c r="B158" s="581">
        <v>6834.56</v>
      </c>
      <c r="C158" s="581">
        <v>-6475.3689597400007</v>
      </c>
      <c r="D158" s="581">
        <v>4822.4878872599993</v>
      </c>
      <c r="E158" s="581">
        <v>7355.3705613900001</v>
      </c>
      <c r="F158" s="1374">
        <v>7055.8749215899998</v>
      </c>
    </row>
    <row r="159" spans="1:6" ht="14.25" customHeight="1">
      <c r="A159" s="409" t="s">
        <v>28</v>
      </c>
      <c r="B159" s="581">
        <v>6245.64</v>
      </c>
      <c r="C159" s="581">
        <v>-6242.9908215800006</v>
      </c>
      <c r="D159" s="581">
        <v>4901.3927343400001</v>
      </c>
      <c r="E159" s="581">
        <v>7002.2079040099998</v>
      </c>
      <c r="F159" s="1374">
        <v>6730.5800266299993</v>
      </c>
    </row>
    <row r="160" spans="1:6" ht="14.25" customHeight="1">
      <c r="A160" s="409" t="s">
        <v>29</v>
      </c>
      <c r="B160" s="581">
        <v>5016.6899999999996</v>
      </c>
      <c r="C160" s="581">
        <v>-5651.23827093</v>
      </c>
      <c r="D160" s="581">
        <v>5374.9700775599995</v>
      </c>
      <c r="E160" s="581">
        <v>7560.6734860699999</v>
      </c>
      <c r="F160" s="1374">
        <v>6901.8423380800004</v>
      </c>
    </row>
    <row r="161" spans="1:6" ht="14.25" customHeight="1">
      <c r="A161" s="409" t="s">
        <v>1839</v>
      </c>
      <c r="B161" s="581"/>
      <c r="C161" s="581"/>
      <c r="D161" s="581"/>
      <c r="E161" s="581"/>
      <c r="F161" s="1374"/>
    </row>
    <row r="162" spans="1:6" ht="14.25" customHeight="1">
      <c r="A162" s="409" t="s">
        <v>18</v>
      </c>
      <c r="B162" s="581">
        <v>4398.5200000000004</v>
      </c>
      <c r="C162" s="581">
        <v>-6542.7097631800007</v>
      </c>
      <c r="D162" s="581">
        <v>5880.5604253099991</v>
      </c>
      <c r="E162" s="581">
        <v>6681.8523943</v>
      </c>
      <c r="F162" s="1374">
        <v>5786.8521675800002</v>
      </c>
    </row>
    <row r="163" spans="1:6" ht="14.25" customHeight="1">
      <c r="A163" s="409" t="s">
        <v>19</v>
      </c>
      <c r="B163" s="581">
        <v>4026.25</v>
      </c>
      <c r="C163" s="581">
        <v>-6081.6141112800005</v>
      </c>
      <c r="D163" s="581">
        <v>6425.2714593865003</v>
      </c>
      <c r="E163" s="581">
        <v>7318.4052416199993</v>
      </c>
      <c r="F163" s="1374">
        <v>6388.5472950699987</v>
      </c>
    </row>
    <row r="164" spans="1:6" ht="14.25" customHeight="1">
      <c r="A164" s="409" t="s">
        <v>20</v>
      </c>
      <c r="B164" s="581">
        <v>4065.8</v>
      </c>
      <c r="C164" s="581">
        <v>-5899.3786624499999</v>
      </c>
      <c r="D164" s="581">
        <v>6422.8676134262623</v>
      </c>
      <c r="E164" s="581">
        <v>7401.9125061799996</v>
      </c>
      <c r="F164" s="1374">
        <v>6535.8084241099996</v>
      </c>
    </row>
    <row r="165" spans="1:6" ht="14.25" customHeight="1">
      <c r="A165" s="409" t="s">
        <v>21</v>
      </c>
      <c r="B165" s="581">
        <v>4120.63</v>
      </c>
      <c r="C165" s="581">
        <v>-5755.6470949300001</v>
      </c>
      <c r="D165" s="581">
        <v>6307.4261621799997</v>
      </c>
      <c r="E165" s="581">
        <v>7472.7052993199995</v>
      </c>
      <c r="F165" s="1374">
        <v>6726.0725825299996</v>
      </c>
    </row>
    <row r="166" spans="1:6" ht="14.25" customHeight="1">
      <c r="A166" s="409" t="s">
        <v>22</v>
      </c>
      <c r="B166" s="581">
        <v>4284.26</v>
      </c>
      <c r="C166" s="581">
        <v>-5758.9402841400015</v>
      </c>
      <c r="D166" s="581">
        <v>6945.6664337500006</v>
      </c>
      <c r="E166" s="581">
        <v>8343.5829335300004</v>
      </c>
      <c r="F166" s="1374">
        <v>7641.6268355399998</v>
      </c>
    </row>
    <row r="167" spans="1:6" ht="14.25" customHeight="1">
      <c r="A167" s="409" t="s">
        <v>23</v>
      </c>
      <c r="B167" s="581">
        <v>4283.9399999999996</v>
      </c>
      <c r="C167" s="581">
        <v>-5933.6050098099995</v>
      </c>
      <c r="D167" s="581">
        <v>6919.0878051199988</v>
      </c>
      <c r="E167" s="581">
        <v>8337.9684701599999</v>
      </c>
      <c r="F167" s="1374">
        <v>7689.3512139399991</v>
      </c>
    </row>
    <row r="168" spans="1:6" ht="14.25" customHeight="1">
      <c r="A168" s="409" t="s">
        <v>24</v>
      </c>
      <c r="B168" s="581">
        <v>4162.88</v>
      </c>
      <c r="C168" s="581">
        <v>-6234.5640553000003</v>
      </c>
      <c r="D168" s="581">
        <v>7093.0593390200011</v>
      </c>
      <c r="E168" s="581">
        <v>8623.2592612000008</v>
      </c>
      <c r="F168" s="1374">
        <v>7638.1249938200008</v>
      </c>
    </row>
    <row r="169" spans="1:6" ht="14.25" customHeight="1">
      <c r="A169" s="409" t="s">
        <v>25</v>
      </c>
      <c r="B169" s="581">
        <v>4192.5200000000004</v>
      </c>
      <c r="C169" s="581">
        <v>-6637.9299187800007</v>
      </c>
      <c r="D169" s="581">
        <v>7254.0840388089628</v>
      </c>
      <c r="E169" s="581">
        <v>8477.8879030800017</v>
      </c>
      <c r="F169" s="1374">
        <v>7412.1772067400007</v>
      </c>
    </row>
    <row r="170" spans="1:6" ht="14.25" customHeight="1">
      <c r="A170" s="409" t="s">
        <v>26</v>
      </c>
      <c r="B170" s="581">
        <v>4132.67</v>
      </c>
      <c r="C170" s="581">
        <v>-7144.3582126400015</v>
      </c>
      <c r="D170" s="581">
        <v>7243.508882718962</v>
      </c>
      <c r="E170" s="581">
        <v>7985.9435525199997</v>
      </c>
      <c r="F170" s="1374">
        <v>6810.3119202299995</v>
      </c>
    </row>
    <row r="171" spans="1:6" ht="14.25" customHeight="1">
      <c r="A171" s="409" t="s">
        <v>27</v>
      </c>
      <c r="B171" s="581">
        <v>4005.48</v>
      </c>
      <c r="C171" s="581">
        <v>-6594.8051028899999</v>
      </c>
      <c r="D171" s="581">
        <v>7507.0025445089614</v>
      </c>
      <c r="E171" s="581">
        <v>8792.8452389400009</v>
      </c>
      <c r="F171" s="1374">
        <v>7448.9083649700005</v>
      </c>
    </row>
    <row r="172" spans="1:6" ht="14.25" customHeight="1">
      <c r="A172" s="409" t="s">
        <v>28</v>
      </c>
      <c r="B172" s="581">
        <v>4010.95</v>
      </c>
      <c r="C172" s="581">
        <v>-6094.4799778200004</v>
      </c>
      <c r="D172" s="581">
        <v>7322.2467782089643</v>
      </c>
      <c r="E172" s="581">
        <v>9055.768697380001</v>
      </c>
      <c r="F172" s="1374">
        <v>7702.215091080001</v>
      </c>
    </row>
    <row r="173" spans="1:6" ht="14.25" customHeight="1">
      <c r="A173" s="409" t="s">
        <v>29</v>
      </c>
      <c r="B173" s="581">
        <v>3974.37</v>
      </c>
      <c r="C173" s="581">
        <v>-3663.9285512200008</v>
      </c>
      <c r="D173" s="581">
        <v>7046.8426651189602</v>
      </c>
      <c r="E173" s="581">
        <v>9232.7881355600002</v>
      </c>
      <c r="F173" s="1374">
        <v>7860.4837056300003</v>
      </c>
    </row>
    <row r="174" spans="1:6" ht="14.25" customHeight="1">
      <c r="A174" s="409" t="s">
        <v>1902</v>
      </c>
      <c r="B174" s="581"/>
      <c r="C174" s="581"/>
      <c r="D174" s="581"/>
      <c r="E174" s="581"/>
      <c r="F174" s="1374"/>
    </row>
    <row r="175" spans="1:6" ht="14.25" customHeight="1">
      <c r="A175" s="409" t="s">
        <v>18</v>
      </c>
      <c r="B175" s="581">
        <v>4327.17</v>
      </c>
      <c r="C175" s="581">
        <v>-3437.0982505699994</v>
      </c>
      <c r="D175" s="581">
        <v>6833.2550431589616</v>
      </c>
      <c r="E175" s="581">
        <v>8731.8619273800032</v>
      </c>
      <c r="F175" s="1374">
        <v>7331.6690958400013</v>
      </c>
    </row>
    <row r="176" spans="1:6" ht="14.25" customHeight="1">
      <c r="A176" s="409" t="s">
        <v>19</v>
      </c>
      <c r="B176" s="581">
        <v>4369.28</v>
      </c>
      <c r="C176" s="581">
        <v>-2505.4754732099996</v>
      </c>
      <c r="D176" s="581">
        <v>6383.9072480789619</v>
      </c>
      <c r="E176" s="581">
        <v>8336.4134713400017</v>
      </c>
      <c r="F176" s="1374">
        <v>6986.960843580001</v>
      </c>
    </row>
    <row r="177" spans="1:6" ht="14.25" customHeight="1">
      <c r="A177" s="409" t="s">
        <v>20</v>
      </c>
      <c r="B177" s="581">
        <v>4432.72</v>
      </c>
      <c r="C177" s="581">
        <v>-2044.7378705600001</v>
      </c>
      <c r="D177" s="581">
        <v>6571.4732768389586</v>
      </c>
      <c r="E177" s="581">
        <v>9557.3477016000015</v>
      </c>
      <c r="F177" s="1374">
        <v>7277.5359397400016</v>
      </c>
    </row>
    <row r="178" spans="1:6" ht="14.25" customHeight="1">
      <c r="A178" s="409" t="s">
        <v>21</v>
      </c>
      <c r="B178" s="581">
        <v>4619.3</v>
      </c>
      <c r="C178" s="581">
        <v>-1581.3920804700003</v>
      </c>
      <c r="D178" s="581">
        <v>6586.1940043789618</v>
      </c>
      <c r="E178" s="581">
        <v>10363.75818338</v>
      </c>
      <c r="F178" s="1374">
        <v>7628.1178079899992</v>
      </c>
    </row>
    <row r="179" spans="1:6" ht="14.25" customHeight="1">
      <c r="A179" s="409" t="s">
        <v>22</v>
      </c>
      <c r="B179" s="581">
        <v>4825.4189999999999</v>
      </c>
      <c r="C179" s="581">
        <v>-1598.5441601999999</v>
      </c>
      <c r="D179" s="581">
        <v>6450.5691342889595</v>
      </c>
      <c r="E179" s="581">
        <v>10088.03619836</v>
      </c>
      <c r="F179" s="1374">
        <v>7788.6733876100006</v>
      </c>
    </row>
    <row r="180" spans="1:6" ht="14.25" customHeight="1">
      <c r="A180" s="409" t="s">
        <v>23</v>
      </c>
      <c r="B180" s="581">
        <v>4964.0600907293865</v>
      </c>
      <c r="C180" s="581">
        <v>-1555.1911793099998</v>
      </c>
      <c r="D180" s="581">
        <v>6847.8876676189611</v>
      </c>
      <c r="E180" s="581">
        <v>10525.852064319999</v>
      </c>
      <c r="F180" s="1374">
        <v>8274.47549703</v>
      </c>
    </row>
    <row r="181" spans="1:6" ht="14.25" customHeight="1">
      <c r="A181" s="409" t="s">
        <v>24</v>
      </c>
      <c r="B181" s="581">
        <v>5033.0514360755251</v>
      </c>
      <c r="C181" s="581">
        <v>-2074.9427606499999</v>
      </c>
      <c r="D181" s="581">
        <v>7117.3713263589616</v>
      </c>
      <c r="E181" s="581">
        <v>10718.18429874</v>
      </c>
      <c r="F181" s="1374">
        <v>8332.8540120800008</v>
      </c>
    </row>
    <row r="182" spans="1:6" ht="14.25" customHeight="1">
      <c r="A182" s="409" t="s">
        <v>25</v>
      </c>
      <c r="B182" s="581">
        <v>5101.2079581848066</v>
      </c>
      <c r="C182" s="581">
        <v>-1800.7639583999999</v>
      </c>
      <c r="D182" s="581">
        <v>7012.4600890289603</v>
      </c>
      <c r="E182" s="581">
        <v>10660.60308101</v>
      </c>
      <c r="F182" s="1374">
        <v>8468.4398282700004</v>
      </c>
    </row>
    <row r="183" spans="1:6" ht="14.25" customHeight="1">
      <c r="A183" s="409" t="s">
        <v>26</v>
      </c>
      <c r="B183" s="581">
        <v>5167.459476965988</v>
      </c>
      <c r="C183" s="581">
        <v>-1640.1744250300001</v>
      </c>
      <c r="D183" s="581">
        <v>7036.8140077689604</v>
      </c>
      <c r="E183" s="581">
        <v>10032.272046389999</v>
      </c>
      <c r="F183" s="1374">
        <v>8671.2016743799995</v>
      </c>
    </row>
    <row r="184" spans="1:6" ht="14.25" customHeight="1">
      <c r="A184" s="409" t="s">
        <v>27</v>
      </c>
      <c r="B184" s="581">
        <v>5200.6554885443002</v>
      </c>
      <c r="C184" s="581">
        <v>-4161.7151650600008</v>
      </c>
      <c r="D184" s="581">
        <v>6985.8785573389614</v>
      </c>
      <c r="E184" s="581">
        <v>9829.0430620700008</v>
      </c>
      <c r="F184" s="1374">
        <v>8531.6469131100021</v>
      </c>
    </row>
    <row r="185" spans="1:6" ht="14.25" customHeight="1">
      <c r="A185" s="409" t="s">
        <v>28</v>
      </c>
      <c r="B185" s="581">
        <v>5254.2423316823606</v>
      </c>
      <c r="C185" s="581">
        <v>-2991.2841644499995</v>
      </c>
      <c r="D185" s="581">
        <v>6549.0005966299996</v>
      </c>
      <c r="E185" s="581">
        <v>10001.93815468</v>
      </c>
      <c r="F185" s="1374">
        <v>8686.8413463500001</v>
      </c>
    </row>
    <row r="186" spans="1:6" ht="14.25" customHeight="1">
      <c r="A186" s="409" t="s">
        <v>29</v>
      </c>
      <c r="B186" s="581">
        <v>5334.5998997171873</v>
      </c>
      <c r="C186" s="581">
        <v>-1480.0310585399998</v>
      </c>
      <c r="D186" s="581">
        <v>5718.4878603800007</v>
      </c>
      <c r="E186" s="581">
        <v>9872.6132871700011</v>
      </c>
      <c r="F186" s="1374">
        <v>8543.2044720300019</v>
      </c>
    </row>
    <row r="187" spans="1:6" ht="14.25" customHeight="1">
      <c r="A187" s="409" t="s">
        <v>2038</v>
      </c>
      <c r="B187" s="424"/>
      <c r="C187" s="424"/>
      <c r="D187" s="424"/>
      <c r="E187" s="424"/>
      <c r="F187" s="1373"/>
    </row>
    <row r="188" spans="1:6" ht="14.25" customHeight="1">
      <c r="A188" s="409" t="s">
        <v>18</v>
      </c>
      <c r="B188" s="581">
        <v>5381.2068722227705</v>
      </c>
      <c r="C188" s="581">
        <v>-2012.5200456499999</v>
      </c>
      <c r="D188" s="581">
        <v>6262.2027275399996</v>
      </c>
      <c r="E188" s="581">
        <v>9829.3884574200001</v>
      </c>
      <c r="F188" s="1374">
        <v>8761.5609664799995</v>
      </c>
    </row>
    <row r="189" spans="1:6" ht="14.25" customHeight="1">
      <c r="A189" s="409" t="s">
        <v>19</v>
      </c>
      <c r="B189" s="581">
        <v>5387.3180298026346</v>
      </c>
      <c r="C189" s="581">
        <v>-1360.9036155200001</v>
      </c>
      <c r="D189" s="581">
        <v>6344.72667052</v>
      </c>
      <c r="E189" s="581">
        <v>10248.502778329999</v>
      </c>
      <c r="F189" s="1374">
        <v>9180.5560188300005</v>
      </c>
    </row>
    <row r="190" spans="1:6" ht="14.25" customHeight="1">
      <c r="A190" s="409" t="s">
        <v>20</v>
      </c>
      <c r="B190" s="581">
        <v>5507.9970343947225</v>
      </c>
      <c r="C190" s="581">
        <v>-1316.6213811299999</v>
      </c>
      <c r="D190" s="581">
        <v>6391.8596595100016</v>
      </c>
      <c r="E190" s="581">
        <v>10782.977859649998</v>
      </c>
      <c r="F190" s="1374">
        <v>9471.0484987299988</v>
      </c>
    </row>
    <row r="191" spans="1:6" ht="14.25" customHeight="1">
      <c r="A191" s="409" t="s">
        <v>21</v>
      </c>
      <c r="B191" s="581">
        <v>5465.7915155104338</v>
      </c>
      <c r="C191" s="581">
        <v>-2197.5238495500003</v>
      </c>
      <c r="D191" s="581">
        <v>6093.8135672800017</v>
      </c>
      <c r="E191" s="581">
        <v>9684.2921908099997</v>
      </c>
      <c r="F191" s="1374">
        <v>8412.9733237500004</v>
      </c>
    </row>
    <row r="192" spans="1:6" ht="14.25" customHeight="1">
      <c r="A192" s="409" t="s">
        <v>22</v>
      </c>
      <c r="B192" s="581">
        <v>5471.3750945429711</v>
      </c>
      <c r="C192" s="581">
        <v>-2183.3685772199997</v>
      </c>
      <c r="D192" s="581">
        <v>6014.0223240800024</v>
      </c>
      <c r="E192" s="581">
        <v>9731.5376101399997</v>
      </c>
      <c r="F192" s="1374">
        <v>8404.4068456700006</v>
      </c>
    </row>
    <row r="193" spans="1:6" ht="14.25" customHeight="1">
      <c r="A193" s="409" t="s">
        <v>23</v>
      </c>
      <c r="B193" s="581">
        <v>5512.6635748421659</v>
      </c>
      <c r="C193" s="581">
        <v>-1924.3872799899998</v>
      </c>
      <c r="D193" s="581">
        <v>6005.9190182399998</v>
      </c>
      <c r="E193" s="581">
        <v>9674.4502738600004</v>
      </c>
      <c r="F193" s="1374">
        <v>8588.03503705</v>
      </c>
    </row>
    <row r="194" spans="1:6" ht="14.25" customHeight="1">
      <c r="A194" s="409" t="s">
        <v>24</v>
      </c>
      <c r="B194" s="581">
        <v>5546.9300035058022</v>
      </c>
      <c r="C194" s="581">
        <v>-1881.63452504</v>
      </c>
      <c r="D194" s="581">
        <v>6050.7393597700002</v>
      </c>
      <c r="E194" s="581">
        <v>10079.05528153</v>
      </c>
      <c r="F194" s="1374">
        <v>8888.8569364699997</v>
      </c>
    </row>
    <row r="195" spans="1:6" ht="14.25" customHeight="1">
      <c r="A195" s="409" t="s">
        <v>25</v>
      </c>
      <c r="B195" s="581">
        <v>5503.4769034956043</v>
      </c>
      <c r="C195" s="581">
        <v>-2368.8353860500001</v>
      </c>
      <c r="D195" s="581">
        <v>6036.3878105900003</v>
      </c>
      <c r="E195" s="581">
        <v>9329.3632530899995</v>
      </c>
      <c r="F195" s="1374">
        <v>8318.2212724799992</v>
      </c>
    </row>
    <row r="196" spans="1:6" ht="14.25" customHeight="1">
      <c r="A196" s="409" t="s">
        <v>26</v>
      </c>
      <c r="B196" s="581">
        <v>5534.5485068348689</v>
      </c>
      <c r="C196" s="581">
        <v>-1722.0524434199997</v>
      </c>
      <c r="D196" s="581">
        <v>5977.5587336900007</v>
      </c>
      <c r="E196" s="581">
        <v>9754.0301530100005</v>
      </c>
      <c r="F196" s="1374">
        <v>8871.45735565</v>
      </c>
    </row>
    <row r="197" spans="1:6" ht="14.25" customHeight="1">
      <c r="A197" s="409" t="s">
        <v>27</v>
      </c>
      <c r="B197" s="581">
        <v>5536.3774238938713</v>
      </c>
      <c r="C197" s="581">
        <v>-1662.5644128700001</v>
      </c>
      <c r="D197" s="581">
        <v>5970.1748995100006</v>
      </c>
      <c r="E197" s="581">
        <v>10059.50504419</v>
      </c>
      <c r="F197" s="1374">
        <v>9153.3159421199998</v>
      </c>
    </row>
    <row r="198" spans="1:6" ht="14.25" customHeight="1">
      <c r="A198" s="409" t="s">
        <v>28</v>
      </c>
      <c r="B198" s="581">
        <v>5590.9317330487975</v>
      </c>
      <c r="C198" s="581">
        <v>-1885.50014397</v>
      </c>
      <c r="D198" s="581">
        <v>6063.2200216800002</v>
      </c>
      <c r="E198" s="581">
        <v>9716.6719579600012</v>
      </c>
      <c r="F198" s="1374">
        <v>8985.1594870900008</v>
      </c>
    </row>
    <row r="199" spans="1:6" ht="14.25" customHeight="1">
      <c r="A199" s="409" t="s">
        <v>29</v>
      </c>
      <c r="B199" s="581">
        <v>5625.7434993212628</v>
      </c>
      <c r="C199" s="581">
        <v>-1579.6651132099998</v>
      </c>
      <c r="D199" s="581">
        <v>6245.507101279999</v>
      </c>
      <c r="E199" s="581">
        <v>10643.679051069999</v>
      </c>
      <c r="F199" s="1374">
        <v>9545.7262990999989</v>
      </c>
    </row>
    <row r="200" spans="1:6" ht="14.25" customHeight="1">
      <c r="A200" s="409" t="s">
        <v>2131</v>
      </c>
      <c r="B200" s="581"/>
      <c r="C200" s="581"/>
      <c r="D200" s="581"/>
      <c r="E200" s="581"/>
      <c r="F200" s="1374"/>
    </row>
    <row r="201" spans="1:6" ht="14.25" customHeight="1">
      <c r="A201" s="409" t="s">
        <v>18</v>
      </c>
      <c r="B201" s="581">
        <v>5655.9450825125223</v>
      </c>
      <c r="C201" s="581">
        <v>-2632.0862208100002</v>
      </c>
      <c r="D201" s="581">
        <v>6137.0319445300011</v>
      </c>
      <c r="E201" s="581">
        <v>9356.9150563700023</v>
      </c>
      <c r="F201" s="1374">
        <v>8709.2276391800006</v>
      </c>
    </row>
    <row r="202" spans="1:6" ht="14.25" customHeight="1">
      <c r="A202" s="409" t="s">
        <v>19</v>
      </c>
      <c r="B202" s="581">
        <v>5761.9179299361012</v>
      </c>
      <c r="C202" s="581">
        <v>-2390.5609332600002</v>
      </c>
      <c r="D202" s="581">
        <v>6134.8454063600002</v>
      </c>
      <c r="E202" s="581">
        <v>9776.3184573999988</v>
      </c>
      <c r="F202" s="1374">
        <v>9014.1419027799984</v>
      </c>
    </row>
    <row r="203" spans="1:6" ht="14.25" customHeight="1">
      <c r="A203" s="409" t="s">
        <v>20</v>
      </c>
      <c r="B203" s="581">
        <v>5778.5601883884683</v>
      </c>
      <c r="C203" s="581">
        <v>-2387.2078326400001</v>
      </c>
      <c r="D203" s="581">
        <v>6196.2807710200013</v>
      </c>
      <c r="E203" s="581">
        <v>9734.8745247399984</v>
      </c>
      <c r="F203" s="1374">
        <v>8946.2544290799979</v>
      </c>
    </row>
    <row r="204" spans="1:6" ht="14.25" customHeight="1">
      <c r="A204" s="409" t="s">
        <v>21</v>
      </c>
      <c r="B204" s="581">
        <v>5788.957906991237</v>
      </c>
      <c r="C204" s="581">
        <v>-2348.1688947300008</v>
      </c>
      <c r="D204" s="581">
        <v>6469.1268623900014</v>
      </c>
      <c r="E204" s="581">
        <v>10012.380729480003</v>
      </c>
      <c r="F204" s="1374">
        <v>9495.0742352800025</v>
      </c>
    </row>
    <row r="205" spans="1:6" ht="14.25" customHeight="1">
      <c r="A205" s="409" t="s">
        <v>22</v>
      </c>
      <c r="B205" s="581">
        <v>5870.9274834049766</v>
      </c>
      <c r="C205" s="581">
        <v>-1898.7200413600003</v>
      </c>
      <c r="D205" s="581">
        <v>6649.7448511300008</v>
      </c>
      <c r="E205" s="581">
        <v>11095.957607389997</v>
      </c>
      <c r="F205" s="1374">
        <v>10172.390385009998</v>
      </c>
    </row>
    <row r="206" spans="1:6" ht="14.25" customHeight="1">
      <c r="A206" s="409" t="s">
        <v>23</v>
      </c>
      <c r="B206" s="581">
        <v>5939.4335888851701</v>
      </c>
      <c r="C206" s="581">
        <v>-3722.7660032799999</v>
      </c>
      <c r="D206" s="581">
        <v>6757.2977631899994</v>
      </c>
      <c r="E206" s="581">
        <v>11255.612272279999</v>
      </c>
      <c r="F206" s="1374">
        <v>10376.906186889999</v>
      </c>
    </row>
    <row r="207" spans="1:6" ht="14.25" customHeight="1">
      <c r="A207" s="409" t="s">
        <v>24</v>
      </c>
      <c r="B207" s="581">
        <v>5962.8047662763875</v>
      </c>
      <c r="C207" s="581">
        <v>-3521.7220473499997</v>
      </c>
      <c r="D207" s="581">
        <v>6658.029172110002</v>
      </c>
      <c r="E207" s="581">
        <v>11668.047325330002</v>
      </c>
      <c r="F207" s="1374">
        <v>10574.283058750001</v>
      </c>
    </row>
    <row r="208" spans="1:6" ht="15" customHeight="1">
      <c r="A208" s="409" t="s">
        <v>25</v>
      </c>
      <c r="B208" s="581">
        <v>6004.2869922898417</v>
      </c>
      <c r="C208" s="581">
        <v>-3998.8050769400006</v>
      </c>
      <c r="D208" s="581">
        <v>6669.6903233800003</v>
      </c>
      <c r="E208" s="581">
        <v>11416.972533090004</v>
      </c>
      <c r="F208" s="1374">
        <v>10157.646670730002</v>
      </c>
    </row>
    <row r="209" spans="1:6" ht="15" customHeight="1">
      <c r="A209" s="409" t="s">
        <v>26</v>
      </c>
      <c r="B209" s="581">
        <v>6034.1087713265779</v>
      </c>
      <c r="C209" s="581">
        <v>-3922.0600097400002</v>
      </c>
      <c r="D209" s="581">
        <v>6671.2393342900004</v>
      </c>
      <c r="E209" s="581">
        <v>11498.2638658</v>
      </c>
      <c r="F209" s="1374">
        <v>10217.26660046</v>
      </c>
    </row>
    <row r="210" spans="1:6" ht="15" customHeight="1">
      <c r="A210" s="409" t="s">
        <v>27</v>
      </c>
      <c r="B210" s="581">
        <v>6144.6723368055236</v>
      </c>
      <c r="C210" s="581">
        <v>-4549.3311883899987</v>
      </c>
      <c r="D210" s="581">
        <v>6689.6457160400005</v>
      </c>
      <c r="E210" s="581">
        <v>11427.484053389999</v>
      </c>
      <c r="F210" s="1374">
        <v>10298.833747049997</v>
      </c>
    </row>
    <row r="211" spans="1:6" ht="15" customHeight="1">
      <c r="A211" s="409" t="s">
        <v>28</v>
      </c>
      <c r="B211" s="581">
        <v>6183.1162897687436</v>
      </c>
      <c r="C211" s="581">
        <v>-4203.8082333100001</v>
      </c>
      <c r="D211" s="581">
        <v>6835.4547701200008</v>
      </c>
      <c r="E211" s="581">
        <v>11622.7870291</v>
      </c>
      <c r="F211" s="1374">
        <v>10674.527353169999</v>
      </c>
    </row>
    <row r="212" spans="1:6" ht="15" customHeight="1">
      <c r="A212" s="409" t="s">
        <v>29</v>
      </c>
      <c r="B212" s="581">
        <v>6258.0206035702868</v>
      </c>
      <c r="C212" s="581">
        <v>-2708.6279168599999</v>
      </c>
      <c r="D212" s="581">
        <v>7063.5436390000013</v>
      </c>
      <c r="E212" s="581">
        <v>13125.27651143</v>
      </c>
      <c r="F212" s="1374">
        <v>12152.50801965</v>
      </c>
    </row>
    <row r="213" spans="1:6" ht="15" customHeight="1">
      <c r="A213" s="409" t="s">
        <v>2362</v>
      </c>
      <c r="B213" s="581"/>
      <c r="C213" s="581"/>
      <c r="D213" s="581"/>
      <c r="E213" s="581"/>
      <c r="F213" s="1374"/>
    </row>
    <row r="214" spans="1:6" ht="15" customHeight="1">
      <c r="A214" s="409" t="s">
        <v>18</v>
      </c>
      <c r="B214" s="581">
        <v>6340.7729967071782</v>
      </c>
      <c r="C214" s="581">
        <v>-3287.0138509499993</v>
      </c>
      <c r="D214" s="581">
        <v>6709.1017183400018</v>
      </c>
      <c r="E214" s="581">
        <v>12602.824915190002</v>
      </c>
      <c r="F214" s="1374">
        <v>11543.405625900001</v>
      </c>
    </row>
    <row r="215" spans="1:6" ht="15" customHeight="1">
      <c r="A215" s="409" t="s">
        <v>19</v>
      </c>
      <c r="B215" s="581">
        <v>6400.8807681514218</v>
      </c>
      <c r="C215" s="581">
        <v>-3162.4534499199999</v>
      </c>
      <c r="D215" s="581">
        <v>6782.756077510001</v>
      </c>
      <c r="E215" s="581">
        <v>13348.45337465</v>
      </c>
      <c r="F215" s="1374">
        <v>12112.34670455</v>
      </c>
    </row>
    <row r="216" spans="1:6" ht="15" customHeight="1">
      <c r="A216" s="409" t="s">
        <v>20</v>
      </c>
      <c r="B216" s="581">
        <v>6393.8471483803569</v>
      </c>
      <c r="C216" s="581">
        <v>-5419.3984246500004</v>
      </c>
      <c r="D216" s="581">
        <v>7233.0431053200009</v>
      </c>
      <c r="E216" s="581">
        <v>11360.740389489998</v>
      </c>
      <c r="F216" s="1374">
        <v>10066.898366729998</v>
      </c>
    </row>
    <row r="217" spans="1:6" ht="15" customHeight="1">
      <c r="A217" s="409" t="s">
        <v>21</v>
      </c>
      <c r="B217" s="581">
        <v>6401.7439822555543</v>
      </c>
      <c r="C217" s="581">
        <v>-5590.8061241599999</v>
      </c>
      <c r="D217" s="581">
        <v>7135.3754791000001</v>
      </c>
      <c r="E217" s="581">
        <v>11773.892088780001</v>
      </c>
      <c r="F217" s="1374">
        <v>10065.709438690001</v>
      </c>
    </row>
    <row r="218" spans="1:6" ht="15" customHeight="1">
      <c r="A218" s="409" t="s">
        <v>22</v>
      </c>
      <c r="B218" s="581">
        <v>6414.3893862143032</v>
      </c>
      <c r="C218" s="581">
        <v>-5110.02644384</v>
      </c>
      <c r="D218" s="581">
        <v>7578.2025643600009</v>
      </c>
      <c r="E218" s="581">
        <v>12480.829736399999</v>
      </c>
      <c r="F218" s="1374">
        <v>10921.206972239999</v>
      </c>
    </row>
    <row r="219" spans="1:6" ht="15" customHeight="1">
      <c r="A219" s="409" t="s">
        <v>23</v>
      </c>
      <c r="B219" s="581">
        <v>6436.3122981789302</v>
      </c>
      <c r="C219" s="581">
        <v>-4235.5488188700001</v>
      </c>
      <c r="D219" s="581">
        <v>7380.5318115800001</v>
      </c>
      <c r="E219" s="581">
        <v>12754.724676150001</v>
      </c>
      <c r="F219" s="1374">
        <v>11251.77431065</v>
      </c>
    </row>
    <row r="220" spans="1:6" ht="15" customHeight="1">
      <c r="A220" s="409" t="s">
        <v>24</v>
      </c>
      <c r="B220" s="581">
        <v>6468.6836759924481</v>
      </c>
      <c r="C220" s="581">
        <v>-3904.2695486899993</v>
      </c>
      <c r="D220" s="581">
        <v>7335.5055478800004</v>
      </c>
      <c r="E220" s="581">
        <v>12771.147726130002</v>
      </c>
      <c r="F220" s="1374">
        <v>11676.935499960002</v>
      </c>
    </row>
    <row r="221" spans="1:6" ht="15" customHeight="1">
      <c r="A221" s="409" t="s">
        <v>25</v>
      </c>
      <c r="B221" s="581">
        <v>6483.8689124108132</v>
      </c>
      <c r="C221" s="581">
        <v>-3471.8620452799996</v>
      </c>
      <c r="D221" s="581">
        <v>7273.2242030200014</v>
      </c>
      <c r="E221" s="581">
        <v>13012.733262090003</v>
      </c>
      <c r="F221" s="1374">
        <v>11907.489257140003</v>
      </c>
    </row>
    <row r="222" spans="1:6" ht="15" customHeight="1">
      <c r="A222" s="409" t="s">
        <v>26</v>
      </c>
      <c r="B222" s="581">
        <v>6491.3905920541256</v>
      </c>
      <c r="C222" s="581">
        <v>-2979.2559676599999</v>
      </c>
      <c r="D222" s="581">
        <v>7201.7986901900003</v>
      </c>
      <c r="E222" s="581">
        <v>13233.603302260002</v>
      </c>
      <c r="F222" s="1374">
        <v>12230.095657750002</v>
      </c>
    </row>
    <row r="223" spans="1:6" ht="15" customHeight="1">
      <c r="A223" s="409" t="s">
        <v>27</v>
      </c>
      <c r="B223" s="581">
        <v>6467.7717844155541</v>
      </c>
      <c r="C223" s="581">
        <v>-3995.3252026900004</v>
      </c>
      <c r="D223" s="581">
        <v>7055.5868399400006</v>
      </c>
      <c r="E223" s="581">
        <v>13477.575708620003</v>
      </c>
      <c r="F223" s="581">
        <v>12103.611000920002</v>
      </c>
    </row>
    <row r="224" spans="1:6" ht="15" customHeight="1">
      <c r="A224" s="409" t="s">
        <v>28</v>
      </c>
      <c r="B224" s="581">
        <v>6411.455882902359</v>
      </c>
      <c r="C224" s="581">
        <v>-5778.4019707999987</v>
      </c>
      <c r="D224" s="581">
        <v>7069.2307145700006</v>
      </c>
      <c r="E224" s="581">
        <v>13241.241082749999</v>
      </c>
      <c r="F224" s="581">
        <v>11803.62807689</v>
      </c>
    </row>
    <row r="225" spans="1:6" ht="15" customHeight="1">
      <c r="A225" s="409" t="s">
        <v>29</v>
      </c>
      <c r="B225" s="581">
        <v>6369.4441464616193</v>
      </c>
      <c r="C225" s="581">
        <v>-4624.8777174899997</v>
      </c>
      <c r="D225" s="581">
        <v>7247.4852294600005</v>
      </c>
      <c r="E225" s="581">
        <v>15052.883723020001</v>
      </c>
      <c r="F225" s="581">
        <v>13564.16827113</v>
      </c>
    </row>
    <row r="226" spans="1:6" ht="15" customHeight="1">
      <c r="A226" s="409" t="s">
        <v>2523</v>
      </c>
      <c r="B226" s="581"/>
      <c r="C226" s="581"/>
      <c r="D226" s="581"/>
      <c r="E226" s="581"/>
      <c r="F226" s="581"/>
    </row>
    <row r="227" spans="1:6" ht="15" customHeight="1">
      <c r="A227" s="409" t="s">
        <v>18</v>
      </c>
      <c r="B227" s="581">
        <v>6365.2239446115764</v>
      </c>
      <c r="C227" s="581">
        <v>-5686.6431226799996</v>
      </c>
      <c r="D227" s="581">
        <v>7176.0321009200015</v>
      </c>
      <c r="E227" s="581">
        <v>14109.267730200003</v>
      </c>
      <c r="F227" s="581">
        <v>12782.042175830002</v>
      </c>
    </row>
    <row r="228" spans="1:6" ht="15" customHeight="1">
      <c r="A228" s="409" t="s">
        <v>19</v>
      </c>
      <c r="B228" s="581">
        <v>6367.6196156170399</v>
      </c>
      <c r="C228" s="581">
        <v>-5365.1246469100006</v>
      </c>
      <c r="D228" s="581">
        <v>7160.0462225800002</v>
      </c>
      <c r="E228" s="581">
        <v>14148.474008169998</v>
      </c>
      <c r="F228" s="1374">
        <v>12862.995351079999</v>
      </c>
    </row>
    <row r="229" spans="1:6" ht="15" customHeight="1">
      <c r="A229" s="409" t="s">
        <v>20</v>
      </c>
      <c r="B229" s="581">
        <v>6356.2219111099384</v>
      </c>
      <c r="C229" s="581">
        <v>-5063.72947346</v>
      </c>
      <c r="D229" s="581">
        <v>7344.3984332100017</v>
      </c>
      <c r="E229" s="581">
        <v>14820.991516580003</v>
      </c>
      <c r="F229" s="1374">
        <v>13314.967326430002</v>
      </c>
    </row>
    <row r="230" spans="1:6" ht="15" customHeight="1">
      <c r="A230" s="409" t="s">
        <v>21</v>
      </c>
      <c r="B230" s="581">
        <v>6367.61768075076</v>
      </c>
      <c r="C230" s="581">
        <v>-5161.56357862</v>
      </c>
      <c r="D230" s="581">
        <v>7476.923160639999</v>
      </c>
      <c r="E230" s="581">
        <v>14692.819125990001</v>
      </c>
      <c r="F230" s="1374">
        <v>13281.584169410002</v>
      </c>
    </row>
    <row r="231" spans="1:6" ht="15" customHeight="1">
      <c r="A231" s="409" t="s">
        <v>22</v>
      </c>
      <c r="B231" s="581">
        <v>6460.3514766113285</v>
      </c>
      <c r="C231" s="581">
        <v>-4916.160488030001</v>
      </c>
      <c r="D231" s="581">
        <v>7617.4630409200017</v>
      </c>
      <c r="E231" s="581">
        <v>15189.946663819999</v>
      </c>
      <c r="F231" s="1374">
        <v>13856.76540126</v>
      </c>
    </row>
    <row r="232" spans="1:6" ht="15" customHeight="1">
      <c r="A232" s="409" t="s">
        <v>23</v>
      </c>
      <c r="B232" s="581">
        <v>6455.2589645242306</v>
      </c>
      <c r="C232" s="581">
        <v>-4488.5164425100002</v>
      </c>
      <c r="D232" s="581">
        <v>7707.6243373399993</v>
      </c>
      <c r="E232" s="581">
        <v>15181.921383729999</v>
      </c>
      <c r="F232" s="1374">
        <v>13802.977317270001</v>
      </c>
    </row>
    <row r="233" spans="1:6" ht="15" customHeight="1">
      <c r="A233" s="409" t="s">
        <v>24</v>
      </c>
      <c r="B233" s="581">
        <v>6496.5122216975496</v>
      </c>
      <c r="C233" s="581">
        <v>-4763.9436396600004</v>
      </c>
      <c r="D233" s="581">
        <v>7985.5146329300005</v>
      </c>
      <c r="E233" s="581">
        <v>15643.82057193</v>
      </c>
      <c r="F233" s="1374">
        <v>14213.38429102</v>
      </c>
    </row>
    <row r="234" spans="1:6" ht="15" customHeight="1">
      <c r="A234" s="409" t="s">
        <v>25</v>
      </c>
      <c r="B234" s="581">
        <v>7042.5534806167352</v>
      </c>
      <c r="C234" s="581">
        <v>-4671.2393571499997</v>
      </c>
      <c r="D234" s="581">
        <v>7973.3876551199992</v>
      </c>
      <c r="E234" s="581">
        <v>15460.227133350001</v>
      </c>
      <c r="F234" s="1374">
        <v>14172.33178405</v>
      </c>
    </row>
    <row r="235" spans="1:6" ht="15" customHeight="1">
      <c r="A235" s="409" t="s">
        <v>26</v>
      </c>
      <c r="B235" s="581">
        <v>7033.8460781342592</v>
      </c>
      <c r="C235" s="581">
        <v>-4425.93041816</v>
      </c>
      <c r="D235" s="581">
        <v>7966.7005941000007</v>
      </c>
      <c r="E235" s="581">
        <v>15724.71971781</v>
      </c>
      <c r="F235" s="1374">
        <v>14498.74134884</v>
      </c>
    </row>
    <row r="236" spans="1:6" ht="15" customHeight="1">
      <c r="A236" s="409" t="s">
        <v>27</v>
      </c>
      <c r="B236" s="581">
        <v>7041.1274565992717</v>
      </c>
      <c r="C236" s="581">
        <v>-4657.1851116900007</v>
      </c>
      <c r="D236" s="581">
        <v>8044.584765730001</v>
      </c>
      <c r="E236" s="581">
        <v>16065.780464840003</v>
      </c>
      <c r="F236" s="1374">
        <v>14621.233465130003</v>
      </c>
    </row>
    <row r="237" spans="1:6" ht="15" customHeight="1">
      <c r="A237" s="409" t="s">
        <v>28</v>
      </c>
      <c r="B237" s="581">
        <v>7018.6619981789727</v>
      </c>
      <c r="C237" s="581">
        <v>-4713.0293249899996</v>
      </c>
      <c r="D237" s="581">
        <v>7989.4385309900008</v>
      </c>
      <c r="E237" s="581">
        <v>15487.161826160002</v>
      </c>
      <c r="F237" s="1374">
        <v>14279.102331930002</v>
      </c>
    </row>
    <row r="238" spans="1:6" ht="15" customHeight="1">
      <c r="A238" s="409" t="s">
        <v>29</v>
      </c>
      <c r="B238" s="581">
        <v>7074.9986620290329</v>
      </c>
      <c r="C238" s="581">
        <v>-3678.7917116100002</v>
      </c>
      <c r="D238" s="581">
        <v>10377.256796000001</v>
      </c>
      <c r="E238" s="581">
        <v>19761.4066164</v>
      </c>
      <c r="F238" s="1374">
        <v>17937.554502260002</v>
      </c>
    </row>
    <row r="239" spans="1:6" ht="15" customHeight="1">
      <c r="A239" s="409" t="s">
        <v>2812</v>
      </c>
      <c r="B239" s="581"/>
      <c r="C239" s="581"/>
      <c r="D239" s="581"/>
      <c r="E239" s="581"/>
      <c r="F239" s="1374"/>
    </row>
    <row r="240" spans="1:6" ht="15" customHeight="1">
      <c r="A240" s="409" t="s">
        <v>18</v>
      </c>
      <c r="B240" s="581">
        <v>7074.1164971587641</v>
      </c>
      <c r="C240" s="581">
        <v>-5550.7281721899999</v>
      </c>
      <c r="D240" s="581">
        <v>7769.2752748100011</v>
      </c>
      <c r="E240" s="581">
        <v>15421.207929630002</v>
      </c>
      <c r="F240" s="1374">
        <v>14044.248861950002</v>
      </c>
    </row>
    <row r="241" spans="1:6" ht="15" customHeight="1">
      <c r="A241" s="409" t="s">
        <v>19</v>
      </c>
      <c r="B241" s="581">
        <v>7159.9415331700329</v>
      </c>
      <c r="C241" s="581">
        <v>-5596.7439958600007</v>
      </c>
      <c r="D241" s="581">
        <v>7394.290647079999</v>
      </c>
      <c r="E241" s="581">
        <v>15368.86442881</v>
      </c>
      <c r="F241" s="1374">
        <v>13945.622092490001</v>
      </c>
    </row>
    <row r="242" spans="1:6" ht="15" customHeight="1">
      <c r="A242" s="409" t="s">
        <v>20</v>
      </c>
      <c r="B242" s="581">
        <v>7138.4432596318493</v>
      </c>
      <c r="C242" s="581">
        <v>-5195.5820095700001</v>
      </c>
      <c r="D242" s="581">
        <v>7457.9275879099996</v>
      </c>
      <c r="E242" s="581">
        <v>16403.964037680002</v>
      </c>
      <c r="F242" s="1374">
        <v>14359.583505760002</v>
      </c>
    </row>
    <row r="243" spans="1:6" ht="15" customHeight="1">
      <c r="A243" s="409" t="s">
        <v>21</v>
      </c>
      <c r="B243" s="581">
        <v>7087.7539344771021</v>
      </c>
      <c r="C243" s="581">
        <v>-5378.4392237499997</v>
      </c>
      <c r="D243" s="581">
        <v>7569.0245239100004</v>
      </c>
      <c r="E243" s="581">
        <v>16012.793593580001</v>
      </c>
      <c r="F243" s="1374">
        <v>14564.534771010003</v>
      </c>
    </row>
    <row r="244" spans="1:6" ht="15" customHeight="1">
      <c r="A244" s="409" t="s">
        <v>22</v>
      </c>
      <c r="B244" s="581">
        <v>7230.7002711399946</v>
      </c>
      <c r="C244" s="581">
        <v>-4721.1143639700003</v>
      </c>
      <c r="D244" s="581">
        <v>7558.7193815199989</v>
      </c>
      <c r="E244" s="581">
        <v>17025.012353530001</v>
      </c>
      <c r="F244" s="1374">
        <v>14883.586254350002</v>
      </c>
    </row>
    <row r="245" spans="1:6" ht="15" customHeight="1">
      <c r="A245" s="409" t="s">
        <v>23</v>
      </c>
      <c r="B245" s="581">
        <v>7371.9023554278556</v>
      </c>
      <c r="C245" s="581">
        <v>-4194.7042865000003</v>
      </c>
      <c r="D245" s="581">
        <v>7620.6238561700011</v>
      </c>
      <c r="E245" s="581">
        <v>17530.809179430002</v>
      </c>
      <c r="F245" s="1374">
        <v>15652.816622270002</v>
      </c>
    </row>
    <row r="246" spans="1:6" ht="15" customHeight="1">
      <c r="A246" s="409" t="s">
        <v>24</v>
      </c>
      <c r="B246" s="581">
        <v>7407.2260309142139</v>
      </c>
      <c r="C246" s="581">
        <v>-4525.2426090199997</v>
      </c>
      <c r="D246" s="581">
        <v>8432.5998922600011</v>
      </c>
      <c r="E246" s="581">
        <v>18015.001649310001</v>
      </c>
      <c r="F246" s="1374">
        <v>16120.4379274</v>
      </c>
    </row>
    <row r="247" spans="1:6" ht="15" customHeight="1">
      <c r="A247" s="409" t="s">
        <v>25</v>
      </c>
      <c r="B247" s="581">
        <v>7503.5704006588585</v>
      </c>
      <c r="C247" s="581">
        <v>-3983.4663426900006</v>
      </c>
      <c r="D247" s="581">
        <v>7983.3315921000003</v>
      </c>
      <c r="E247" s="581">
        <v>17855.30838563</v>
      </c>
      <c r="F247" s="1374">
        <v>16204.82873126</v>
      </c>
    </row>
    <row r="248" spans="1:6" ht="15" customHeight="1">
      <c r="A248" s="409" t="s">
        <v>26</v>
      </c>
      <c r="B248" s="581">
        <v>7667.3034434579577</v>
      </c>
      <c r="C248" s="581">
        <v>-3804.66978715</v>
      </c>
      <c r="D248" s="581">
        <v>7565.5794774799997</v>
      </c>
      <c r="E248" s="581">
        <v>17703.294185750001</v>
      </c>
      <c r="F248" s="1374">
        <v>16144.852498050001</v>
      </c>
    </row>
    <row r="249" spans="1:6" ht="15" customHeight="1">
      <c r="A249" s="409" t="s">
        <v>27</v>
      </c>
      <c r="B249" s="581">
        <v>7803.0407141027363</v>
      </c>
      <c r="C249" s="581">
        <v>-5615.8449982399998</v>
      </c>
      <c r="D249" s="581">
        <v>7284.0996847800006</v>
      </c>
      <c r="E249" s="581">
        <v>18408.423289830003</v>
      </c>
      <c r="F249" s="1374">
        <v>16670.989240350005</v>
      </c>
    </row>
    <row r="250" spans="1:6" ht="15" customHeight="1">
      <c r="A250" s="409" t="s">
        <v>28</v>
      </c>
      <c r="B250" s="581">
        <v>7969.2328116736553</v>
      </c>
      <c r="C250" s="581">
        <v>-3318.5968028500001</v>
      </c>
      <c r="D250" s="581">
        <v>7054.2474867400015</v>
      </c>
      <c r="E250" s="581">
        <v>18753.574553070001</v>
      </c>
      <c r="F250" s="1374">
        <v>16708.172107660001</v>
      </c>
    </row>
    <row r="251" spans="1:6" ht="15" customHeight="1">
      <c r="A251" s="409" t="s">
        <v>29</v>
      </c>
      <c r="B251" s="581">
        <v>8995.6599256680947</v>
      </c>
      <c r="C251" s="581">
        <v>-3975.8979470100003</v>
      </c>
      <c r="D251" s="581">
        <v>7439.7436596900025</v>
      </c>
      <c r="E251" s="581">
        <v>20900.260452980005</v>
      </c>
      <c r="F251" s="1374">
        <v>17460.274460720004</v>
      </c>
    </row>
    <row r="252" spans="1:6" ht="15" customHeight="1">
      <c r="A252" s="409" t="s">
        <v>3500</v>
      </c>
      <c r="B252" s="581"/>
      <c r="C252" s="581"/>
      <c r="D252" s="581"/>
      <c r="E252" s="581"/>
      <c r="F252" s="1374"/>
    </row>
    <row r="253" spans="1:6" ht="15" customHeight="1">
      <c r="A253" s="409" t="s">
        <v>18</v>
      </c>
      <c r="B253" s="581">
        <v>9061.4186246267673</v>
      </c>
      <c r="C253" s="581">
        <v>-6395.5264805099996</v>
      </c>
      <c r="D253" s="581">
        <v>7398.0067534700011</v>
      </c>
      <c r="E253" s="581">
        <v>18626.765334310003</v>
      </c>
      <c r="F253" s="1374">
        <v>16884.882542810003</v>
      </c>
    </row>
    <row r="254" spans="1:6" ht="15" customHeight="1">
      <c r="A254" s="409" t="s">
        <v>19</v>
      </c>
      <c r="B254" s="581">
        <v>9043.7945346232045</v>
      </c>
      <c r="C254" s="581">
        <v>-3911.0864986299998</v>
      </c>
      <c r="D254" s="581">
        <v>7225.250141290001</v>
      </c>
      <c r="E254" s="581">
        <v>18911.679152650006</v>
      </c>
      <c r="F254" s="1374">
        <v>17248.685680310005</v>
      </c>
    </row>
    <row r="255" spans="1:6" ht="15" customHeight="1">
      <c r="A255" s="409" t="s">
        <v>20</v>
      </c>
      <c r="B255" s="581">
        <v>9132.9696203952972</v>
      </c>
      <c r="C255" s="581">
        <v>-3386.1758224199998</v>
      </c>
      <c r="D255" s="581">
        <v>7330.9293727400018</v>
      </c>
      <c r="E255" s="581">
        <v>19438.388410329997</v>
      </c>
      <c r="F255" s="1374">
        <v>17688.949252909999</v>
      </c>
    </row>
    <row r="256" spans="1:6" ht="15" customHeight="1">
      <c r="A256" s="409" t="s">
        <v>21</v>
      </c>
      <c r="B256" s="581">
        <v>9189.1734194612563</v>
      </c>
      <c r="C256" s="581">
        <v>-5002.6237481099997</v>
      </c>
      <c r="D256" s="581">
        <v>7447.0475746000011</v>
      </c>
      <c r="E256" s="581">
        <v>19024.700017860003</v>
      </c>
      <c r="F256" s="1374">
        <v>17609.946463520002</v>
      </c>
    </row>
    <row r="257" spans="1:6" ht="15" customHeight="1">
      <c r="A257" s="409" t="s">
        <v>22</v>
      </c>
      <c r="B257" s="581">
        <v>9175.6953275939704</v>
      </c>
      <c r="C257" s="581">
        <v>-3499.743418779999</v>
      </c>
      <c r="D257" s="581">
        <v>7174.5069328100017</v>
      </c>
      <c r="E257" s="581">
        <v>19116.760338709999</v>
      </c>
      <c r="F257" s="1374">
        <v>17350.46711112</v>
      </c>
    </row>
    <row r="258" spans="1:6" ht="15" customHeight="1">
      <c r="A258" s="409" t="s">
        <v>23</v>
      </c>
      <c r="B258" s="581">
        <v>9195.9375092697155</v>
      </c>
      <c r="C258" s="581">
        <v>-2819.0936198099998</v>
      </c>
      <c r="D258" s="581">
        <v>7551.3787672899998</v>
      </c>
      <c r="E258" s="581">
        <v>19963.433359180006</v>
      </c>
      <c r="F258" s="1374">
        <v>18401.718879660006</v>
      </c>
    </row>
    <row r="259" spans="1:6" ht="15" customHeight="1">
      <c r="A259" s="409" t="s">
        <v>24</v>
      </c>
      <c r="B259" s="581">
        <v>9243.980611007044</v>
      </c>
      <c r="C259" s="581">
        <v>-2483.9864068499996</v>
      </c>
      <c r="D259" s="581">
        <v>6808.8231565200022</v>
      </c>
      <c r="E259" s="581">
        <v>19566.763979630003</v>
      </c>
      <c r="F259" s="1374">
        <v>18262.643928190002</v>
      </c>
    </row>
    <row r="260" spans="1:6" ht="15" customHeight="1">
      <c r="A260" s="409" t="s">
        <v>25</v>
      </c>
      <c r="B260" s="581">
        <v>9364.3780010023911</v>
      </c>
      <c r="C260" s="581">
        <v>-3077.4013341000004</v>
      </c>
      <c r="D260" s="581">
        <v>6614.8793767499992</v>
      </c>
      <c r="E260" s="581">
        <v>19816.583937430001</v>
      </c>
      <c r="F260" s="1374">
        <v>18116.87461454</v>
      </c>
    </row>
    <row r="261" spans="1:6" ht="15" customHeight="1">
      <c r="A261" s="409" t="s">
        <v>26</v>
      </c>
      <c r="B261" s="581">
        <v>9775.339752447635</v>
      </c>
      <c r="C261" s="581">
        <v>-2829.4028629499999</v>
      </c>
      <c r="D261" s="581">
        <v>6006.2833440400009</v>
      </c>
      <c r="E261" s="581">
        <v>19432.514785309999</v>
      </c>
      <c r="F261" s="1374">
        <v>17896.178054439999</v>
      </c>
    </row>
    <row r="262" spans="1:6" ht="15" customHeight="1">
      <c r="A262" s="409" t="s">
        <v>27</v>
      </c>
      <c r="B262" s="581">
        <v>10508.115744740609</v>
      </c>
      <c r="C262" s="581">
        <v>-3551.1388759000001</v>
      </c>
      <c r="D262" s="581">
        <v>5807.1684552400002</v>
      </c>
      <c r="E262" s="581">
        <v>19955.28193134</v>
      </c>
      <c r="F262" s="1374">
        <v>18401.99067264</v>
      </c>
    </row>
    <row r="263" spans="1:6" ht="15" customHeight="1">
      <c r="A263" s="409" t="s">
        <v>28</v>
      </c>
      <c r="B263" s="581">
        <v>10615.905396279366</v>
      </c>
      <c r="C263" s="581">
        <v>-4263.8929406899997</v>
      </c>
      <c r="D263" s="581">
        <v>5482.2620358900003</v>
      </c>
      <c r="E263" s="581">
        <v>19752.470663329997</v>
      </c>
      <c r="F263" s="1374">
        <v>18334.378930759998</v>
      </c>
    </row>
    <row r="264" spans="1:6" ht="15" customHeight="1">
      <c r="A264" s="409" t="s">
        <v>29</v>
      </c>
      <c r="B264" s="581">
        <v>11612.954205166468</v>
      </c>
      <c r="C264" s="581">
        <v>-3205.0042044599995</v>
      </c>
      <c r="D264" s="581">
        <v>6557.4268872899993</v>
      </c>
      <c r="E264" s="581">
        <v>23884.63747682</v>
      </c>
      <c r="F264" s="1374">
        <v>20875.191369710003</v>
      </c>
    </row>
    <row r="265" spans="1:6" ht="15" customHeight="1">
      <c r="A265" s="409" t="s">
        <v>3971</v>
      </c>
      <c r="B265" s="581"/>
      <c r="C265" s="581"/>
      <c r="D265" s="581"/>
      <c r="E265" s="581"/>
      <c r="F265" s="1374"/>
    </row>
    <row r="266" spans="1:6" ht="15" customHeight="1">
      <c r="A266" s="409" t="s">
        <v>18</v>
      </c>
      <c r="B266" s="581">
        <v>11637.045374008969</v>
      </c>
      <c r="C266" s="581">
        <v>-3930.7708726500005</v>
      </c>
      <c r="D266" s="581">
        <v>6893.9515966200006</v>
      </c>
      <c r="E266" s="581">
        <v>22781.832874150001</v>
      </c>
      <c r="F266" s="1374">
        <v>20271.14124787</v>
      </c>
    </row>
    <row r="267" spans="1:6" ht="15" customHeight="1">
      <c r="A267" s="409" t="s">
        <v>19</v>
      </c>
      <c r="B267" s="581">
        <v>11650.322749046125</v>
      </c>
      <c r="C267" s="581">
        <v>-4162.1633163699998</v>
      </c>
      <c r="D267" s="581">
        <v>6938.1763717800022</v>
      </c>
      <c r="E267" s="581">
        <v>23030.41038677</v>
      </c>
      <c r="F267" s="1374">
        <v>20131.75628383</v>
      </c>
    </row>
    <row r="268" spans="1:6" ht="15" customHeight="1">
      <c r="A268" s="409" t="s">
        <v>20</v>
      </c>
      <c r="B268" s="581">
        <v>11654.375663775209</v>
      </c>
      <c r="C268" s="581">
        <v>-4336.0972200300002</v>
      </c>
      <c r="D268" s="581">
        <v>7635.2835488799992</v>
      </c>
      <c r="E268" s="581">
        <v>23966.717804100001</v>
      </c>
      <c r="F268" s="1374">
        <v>20396.378195500001</v>
      </c>
    </row>
    <row r="269" spans="1:6" ht="15" customHeight="1">
      <c r="A269" s="409" t="s">
        <v>21</v>
      </c>
      <c r="B269" s="581">
        <v>11660.7606919142</v>
      </c>
      <c r="C269" s="581">
        <v>-5991.6178125900005</v>
      </c>
      <c r="D269" s="581">
        <v>8310.2467675999997</v>
      </c>
      <c r="E269" s="581">
        <v>22898.340120140001</v>
      </c>
      <c r="F269" s="1374">
        <v>19995.864733509999</v>
      </c>
    </row>
    <row r="270" spans="1:6" ht="15" customHeight="1">
      <c r="A270" s="409" t="s">
        <v>22</v>
      </c>
      <c r="B270" s="581">
        <v>11713.707460050991</v>
      </c>
      <c r="C270" s="581">
        <v>-5703.0530645500003</v>
      </c>
      <c r="D270" s="581">
        <v>8270.0869144899989</v>
      </c>
      <c r="E270" s="581">
        <v>22581.131786770005</v>
      </c>
      <c r="F270" s="1374">
        <v>19948.032343850005</v>
      </c>
    </row>
    <row r="271" spans="1:6" ht="15" customHeight="1">
      <c r="A271" s="409" t="s">
        <v>23</v>
      </c>
      <c r="B271" s="581">
        <v>11737.639278279668</v>
      </c>
      <c r="C271" s="581">
        <v>-5498.9555882700006</v>
      </c>
      <c r="D271" s="581">
        <v>8552.1985389399997</v>
      </c>
      <c r="E271" s="581">
        <v>23250.641038410002</v>
      </c>
      <c r="F271" s="1374">
        <v>20401.02812454</v>
      </c>
    </row>
    <row r="272" spans="1:6" ht="15" customHeight="1">
      <c r="A272" s="409" t="s">
        <v>24</v>
      </c>
      <c r="B272" s="581">
        <v>11765.655644892719</v>
      </c>
      <c r="C272" s="581">
        <v>-5997.7600216200008</v>
      </c>
      <c r="D272" s="581">
        <v>9318.1121273099998</v>
      </c>
      <c r="E272" s="581">
        <v>23392.01512091</v>
      </c>
      <c r="F272" s="1374">
        <v>20731.47916151</v>
      </c>
    </row>
    <row r="273" spans="1:6" ht="15" customHeight="1">
      <c r="A273" s="409" t="s">
        <v>25</v>
      </c>
      <c r="B273" s="581">
        <v>11783.502659017446</v>
      </c>
      <c r="C273" s="581">
        <v>-6057.2638356700008</v>
      </c>
      <c r="D273" s="581">
        <v>9419.8330064299989</v>
      </c>
      <c r="E273" s="581">
        <v>23205.413315220001</v>
      </c>
      <c r="F273" s="1374">
        <v>20549.979732190004</v>
      </c>
    </row>
    <row r="274" spans="1:6" ht="15" customHeight="1">
      <c r="A274" s="409" t="s">
        <v>26</v>
      </c>
      <c r="B274" s="581">
        <v>11795.756150092047</v>
      </c>
      <c r="C274" s="581">
        <v>-5787.9582897400005</v>
      </c>
      <c r="D274" s="581">
        <v>9616.1923217799995</v>
      </c>
      <c r="E274" s="581">
        <v>23490.306349900002</v>
      </c>
      <c r="F274" s="1374">
        <v>20897.415117020002</v>
      </c>
    </row>
    <row r="275" spans="1:6" ht="15" customHeight="1">
      <c r="A275" s="409" t="s">
        <v>27</v>
      </c>
      <c r="B275" s="581">
        <v>11371.705831574733</v>
      </c>
      <c r="C275" s="581">
        <v>-8456.2468911199994</v>
      </c>
      <c r="D275" s="581">
        <v>10353.863988430001</v>
      </c>
      <c r="E275" s="581">
        <v>22705.601071549998</v>
      </c>
      <c r="F275" s="1374">
        <v>20474.897506489997</v>
      </c>
    </row>
    <row r="276" spans="1:6" ht="15" customHeight="1">
      <c r="A276" s="409" t="s">
        <v>28</v>
      </c>
      <c r="B276" s="581">
        <v>10967.777208517122</v>
      </c>
      <c r="C276" s="581">
        <v>-8927.4909727199993</v>
      </c>
      <c r="D276" s="581">
        <v>10222.560912049998</v>
      </c>
      <c r="E276" s="581">
        <v>23074.21479111</v>
      </c>
      <c r="F276" s="1374">
        <v>20576.83058166</v>
      </c>
    </row>
    <row r="277" spans="1:6" ht="15" customHeight="1">
      <c r="A277" s="409" t="s">
        <v>29</v>
      </c>
      <c r="B277" s="581">
        <v>10959.492945433205</v>
      </c>
      <c r="C277" s="581">
        <v>-7601.0522956799996</v>
      </c>
      <c r="D277" s="581">
        <v>9429.5415706500007</v>
      </c>
      <c r="E277" s="581">
        <v>23717.918324089995</v>
      </c>
      <c r="F277" s="1374">
        <v>20916.522813409996</v>
      </c>
    </row>
    <row r="278" spans="1:6" ht="15" customHeight="1">
      <c r="A278" s="409" t="s">
        <v>4202</v>
      </c>
      <c r="B278" s="581"/>
      <c r="C278" s="581"/>
      <c r="D278" s="581"/>
      <c r="E278" s="581"/>
      <c r="F278" s="1374"/>
    </row>
    <row r="279" spans="1:6" ht="15" customHeight="1">
      <c r="A279" s="409" t="s">
        <v>18</v>
      </c>
      <c r="B279" s="581">
        <v>10988.472546699591</v>
      </c>
      <c r="C279" s="581">
        <v>-9855.2629054999998</v>
      </c>
      <c r="D279" s="581">
        <v>10868.05867556</v>
      </c>
      <c r="E279" s="581">
        <v>22441.515983489997</v>
      </c>
      <c r="F279" s="1374">
        <v>20124.054502159997</v>
      </c>
    </row>
    <row r="280" spans="1:6" ht="15" customHeight="1">
      <c r="A280" s="409" t="s">
        <v>19</v>
      </c>
      <c r="B280" s="581">
        <v>10991.814138455109</v>
      </c>
      <c r="C280" s="581">
        <v>-8922.8289491800006</v>
      </c>
      <c r="D280" s="581">
        <v>9887.6609110099998</v>
      </c>
      <c r="E280" s="581">
        <v>22402.38915155</v>
      </c>
      <c r="F280" s="1374">
        <v>19841.950489480001</v>
      </c>
    </row>
    <row r="281" spans="1:6" ht="15" customHeight="1">
      <c r="A281" s="409" t="s">
        <v>20</v>
      </c>
      <c r="B281" s="581">
        <v>11026.511500749295</v>
      </c>
      <c r="C281" s="581">
        <v>-8629.0262346300005</v>
      </c>
      <c r="D281" s="581">
        <v>11411.70286711</v>
      </c>
      <c r="E281" s="581">
        <v>23703.218129779998</v>
      </c>
      <c r="F281" s="1374">
        <v>21498.137739949998</v>
      </c>
    </row>
    <row r="282" spans="1:6" ht="15" customHeight="1">
      <c r="A282" s="409" t="s">
        <v>21</v>
      </c>
      <c r="B282" s="581">
        <v>11062.532702823944</v>
      </c>
      <c r="C282" s="581">
        <v>-7782.1693591999992</v>
      </c>
      <c r="D282" s="581">
        <v>9459.3551078599994</v>
      </c>
      <c r="E282" s="581">
        <v>22939.986270530004</v>
      </c>
      <c r="F282" s="1374">
        <v>20719.279020810005</v>
      </c>
    </row>
    <row r="283" spans="1:6" ht="15" customHeight="1">
      <c r="A283" s="409" t="s">
        <v>22</v>
      </c>
      <c r="B283" s="581">
        <v>11094.622833133466</v>
      </c>
      <c r="C283" s="581">
        <v>-7049.70836676</v>
      </c>
      <c r="D283" s="581">
        <v>8938.0947749000024</v>
      </c>
      <c r="E283" s="581">
        <v>23105.795536869999</v>
      </c>
      <c r="F283" s="1374">
        <v>20629.666031459998</v>
      </c>
    </row>
    <row r="284" spans="1:6" ht="15" customHeight="1">
      <c r="A284" s="409" t="s">
        <v>23</v>
      </c>
      <c r="B284" s="581">
        <v>11153.911881023374</v>
      </c>
      <c r="C284" s="581">
        <v>-2592.5984828300002</v>
      </c>
      <c r="D284" s="581">
        <v>7961.0850051199996</v>
      </c>
      <c r="E284" s="581">
        <v>24130.17857321</v>
      </c>
      <c r="F284" s="1374">
        <v>21471.345709750003</v>
      </c>
    </row>
    <row r="285" spans="1:6" ht="15" customHeight="1">
      <c r="A285" s="409" t="s">
        <v>24</v>
      </c>
      <c r="B285" s="581">
        <v>11191.21592600644</v>
      </c>
      <c r="C285" s="581">
        <v>-3340.4849445899999</v>
      </c>
      <c r="D285" s="581">
        <v>7866.1606493399995</v>
      </c>
      <c r="E285" s="581">
        <v>23651.534062610001</v>
      </c>
      <c r="F285" s="1374">
        <v>21243.00539015</v>
      </c>
    </row>
    <row r="286" spans="1:6" ht="15" customHeight="1">
      <c r="A286" s="409" t="s">
        <v>25</v>
      </c>
      <c r="B286" s="581">
        <v>11249.378078312742</v>
      </c>
      <c r="C286" s="581">
        <v>-3925.2391445099997</v>
      </c>
      <c r="D286" s="581">
        <v>8072.9315831399999</v>
      </c>
      <c r="E286" s="581">
        <v>23271.657101289999</v>
      </c>
      <c r="F286" s="1374">
        <v>21121.762259619998</v>
      </c>
    </row>
    <row r="287" spans="1:6" ht="15" customHeight="1">
      <c r="A287" s="409" t="s">
        <v>26</v>
      </c>
      <c r="B287" s="581">
        <v>11310.458426254459</v>
      </c>
      <c r="C287" s="581">
        <v>-4423.0549892400004</v>
      </c>
      <c r="D287" s="581">
        <v>8756.6124231800004</v>
      </c>
      <c r="E287" s="581">
        <v>23570.2627206</v>
      </c>
      <c r="F287" s="1374">
        <v>21541.152023120001</v>
      </c>
    </row>
    <row r="288" spans="1:6" ht="15" customHeight="1">
      <c r="A288" s="409" t="s">
        <v>27</v>
      </c>
      <c r="B288" s="581">
        <v>11368.263136724274</v>
      </c>
      <c r="C288" s="581">
        <v>-4633.3535561999997</v>
      </c>
      <c r="D288" s="581">
        <v>7992.3383698100006</v>
      </c>
      <c r="E288" s="581">
        <v>23384.081005280008</v>
      </c>
      <c r="F288" s="1374">
        <v>21395.075606160008</v>
      </c>
    </row>
    <row r="289" spans="1:6" ht="15" customHeight="1">
      <c r="A289" s="409" t="s">
        <v>28</v>
      </c>
      <c r="B289" s="581">
        <v>11433.848471259174</v>
      </c>
      <c r="C289" s="581">
        <v>-3067.1735596799999</v>
      </c>
      <c r="D289" s="581">
        <v>7409.5295313600018</v>
      </c>
      <c r="E289" s="581">
        <v>24197.301903240001</v>
      </c>
      <c r="F289" s="1374">
        <v>22128.44482262</v>
      </c>
    </row>
    <row r="290" spans="1:6" ht="15" customHeight="1">
      <c r="A290" s="409" t="s">
        <v>29</v>
      </c>
      <c r="B290" s="581">
        <v>11514.930917719999</v>
      </c>
      <c r="C290" s="581">
        <v>-3093.7844516200003</v>
      </c>
      <c r="D290" s="581">
        <v>8198.4118069799988</v>
      </c>
      <c r="E290" s="581">
        <v>24718.070681789999</v>
      </c>
      <c r="F290" s="1374">
        <v>22470.18244475</v>
      </c>
    </row>
    <row r="291" spans="1:6" ht="15" customHeight="1">
      <c r="A291" s="409" t="s">
        <v>4465</v>
      </c>
      <c r="B291" s="581"/>
      <c r="C291" s="581"/>
      <c r="D291" s="581"/>
      <c r="E291" s="581"/>
      <c r="F291" s="1374"/>
    </row>
    <row r="292" spans="1:6" ht="15" customHeight="1">
      <c r="A292" s="409" t="s">
        <v>18</v>
      </c>
      <c r="B292" s="581">
        <v>11563.545970789233</v>
      </c>
      <c r="C292" s="581">
        <v>-4626.0661895200001</v>
      </c>
      <c r="D292" s="581">
        <v>8928.315355130002</v>
      </c>
      <c r="E292" s="581">
        <v>24484.568496530002</v>
      </c>
      <c r="F292" s="1374">
        <v>22545.298284730001</v>
      </c>
    </row>
    <row r="293" spans="1:6" ht="15" customHeight="1">
      <c r="A293" s="409" t="s">
        <v>19</v>
      </c>
      <c r="B293" s="581">
        <v>11614.130989099147</v>
      </c>
      <c r="C293" s="581">
        <v>-3785.9493330899995</v>
      </c>
      <c r="D293" s="581">
        <v>8520.5717832400005</v>
      </c>
      <c r="E293" s="581">
        <v>24660.326356180005</v>
      </c>
      <c r="F293" s="1374">
        <v>22817.018352420004</v>
      </c>
    </row>
    <row r="294" spans="1:6" ht="15" customHeight="1">
      <c r="A294" s="409" t="s">
        <v>20</v>
      </c>
      <c r="B294" s="581">
        <v>11656.788920157449</v>
      </c>
      <c r="C294" s="581">
        <v>-3784.4221007999995</v>
      </c>
      <c r="D294" s="581">
        <v>8414.4596952099982</v>
      </c>
      <c r="E294" s="581">
        <v>25768.032675440001</v>
      </c>
      <c r="F294" s="1374">
        <v>23765.036426350001</v>
      </c>
    </row>
    <row r="295" spans="1:6" ht="15" customHeight="1">
      <c r="A295" s="409" t="s">
        <v>21</v>
      </c>
      <c r="B295" s="581">
        <v>12686.527690263638</v>
      </c>
      <c r="C295" s="581">
        <v>-4857.6362129400004</v>
      </c>
      <c r="D295" s="581">
        <v>7587.5783158499999</v>
      </c>
      <c r="E295" s="581">
        <v>25160.014411999997</v>
      </c>
      <c r="F295" s="1374">
        <v>23311.789986239997</v>
      </c>
    </row>
    <row r="296" spans="1:6" ht="15" customHeight="1">
      <c r="A296" s="409" t="s">
        <v>22</v>
      </c>
      <c r="B296" s="581">
        <v>12712.421565140148</v>
      </c>
      <c r="C296" s="581">
        <v>-4231.2289699200001</v>
      </c>
      <c r="D296" s="581">
        <v>6993.9697694099996</v>
      </c>
      <c r="E296" s="581">
        <v>25917.803590770003</v>
      </c>
      <c r="F296" s="1374">
        <v>24105.632063780005</v>
      </c>
    </row>
    <row r="297" spans="1:6" ht="15" customHeight="1">
      <c r="A297" s="1394" t="s">
        <v>23</v>
      </c>
      <c r="B297" s="1395">
        <v>13157.553756200603</v>
      </c>
      <c r="C297" s="1395">
        <v>-3667.3594808299999</v>
      </c>
      <c r="D297" s="1395">
        <v>5749.5247702700017</v>
      </c>
      <c r="E297" s="1395">
        <v>26272.239344460006</v>
      </c>
      <c r="F297" s="1396">
        <v>24381.209307770005</v>
      </c>
    </row>
    <row r="298" spans="1:6" s="723" customFormat="1" ht="30" customHeight="1">
      <c r="A298" s="2137" t="s">
        <v>2676</v>
      </c>
      <c r="B298" s="2137"/>
      <c r="C298" s="2137"/>
      <c r="D298" s="2137"/>
      <c r="E298" s="2137"/>
      <c r="F298" s="2165"/>
    </row>
    <row r="299" spans="1:6" ht="14.25" customHeight="1">
      <c r="A299" s="1376"/>
      <c r="B299" s="92"/>
      <c r="C299" s="92"/>
      <c r="D299" s="92"/>
      <c r="E299" s="92"/>
      <c r="F299" s="28"/>
    </row>
  </sheetData>
  <mergeCells count="4">
    <mergeCell ref="A2:F2"/>
    <mergeCell ref="A3:F3"/>
    <mergeCell ref="A5:F5"/>
    <mergeCell ref="A298:F298"/>
  </mergeCells>
  <pageMargins left="0.75" right="0.17" top="0.49" bottom="0.3" header="0.17" footer="0.17"/>
  <pageSetup scale="2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92D050"/>
  </sheetPr>
  <dimension ref="A1:CD299"/>
  <sheetViews>
    <sheetView showGridLines="0" view="pageBreakPreview" zoomScale="115" zoomScaleSheetLayoutView="115" workbookViewId="0">
      <pane ySplit="15" topLeftCell="A284" activePane="bottomLeft" state="frozen"/>
      <selection activeCell="F40" sqref="F40"/>
      <selection pane="bottomLeft" activeCell="D314" sqref="D314"/>
    </sheetView>
  </sheetViews>
  <sheetFormatPr defaultColWidth="9.140625" defaultRowHeight="12.75"/>
  <cols>
    <col min="1" max="1" width="7.7109375" style="6" customWidth="1"/>
    <col min="2" max="7" width="17.140625" style="6" customWidth="1"/>
    <col min="8" max="8" width="17.85546875" style="6" customWidth="1"/>
    <col min="9" max="9" width="14.5703125" style="6" customWidth="1"/>
    <col min="10" max="10" width="17.7109375" style="6" customWidth="1"/>
    <col min="11" max="79" width="9.140625" style="6"/>
    <col min="80" max="80" width="0" style="6" hidden="1" customWidth="1"/>
    <col min="81" max="16384" width="9.140625" style="6"/>
  </cols>
  <sheetData>
    <row r="1" spans="1:82" ht="8.25" customHeight="1"/>
    <row r="2" spans="1:82" ht="18" customHeight="1">
      <c r="A2" s="2163" t="s">
        <v>2746</v>
      </c>
      <c r="B2" s="2163"/>
      <c r="C2" s="2163"/>
      <c r="D2" s="2163"/>
      <c r="E2" s="2163"/>
      <c r="F2" s="2163"/>
      <c r="G2" s="2163"/>
    </row>
    <row r="3" spans="1:82" ht="22.5" customHeight="1">
      <c r="A3" s="2164" t="s">
        <v>2712</v>
      </c>
      <c r="B3" s="2164"/>
      <c r="C3" s="2164"/>
      <c r="D3" s="2164"/>
      <c r="E3" s="2164"/>
      <c r="F3" s="2164"/>
      <c r="G3" s="2164"/>
    </row>
    <row r="4" spans="1:82">
      <c r="A4" s="488"/>
      <c r="B4" s="488"/>
      <c r="C4" s="488"/>
      <c r="D4" s="488"/>
      <c r="E4" s="488"/>
      <c r="F4" s="488"/>
      <c r="G4" s="488"/>
    </row>
    <row r="5" spans="1:82">
      <c r="A5" s="2162" t="s">
        <v>8</v>
      </c>
      <c r="B5" s="2162"/>
      <c r="C5" s="2162"/>
      <c r="D5" s="2162"/>
      <c r="E5" s="2162"/>
      <c r="F5" s="2162"/>
      <c r="G5" s="2162"/>
    </row>
    <row r="6" spans="1:82" s="41" customFormat="1" ht="21.75" customHeight="1">
      <c r="A6" s="2168" t="s">
        <v>182</v>
      </c>
      <c r="B6" s="2168" t="s">
        <v>116</v>
      </c>
      <c r="C6" s="2166" t="s">
        <v>122</v>
      </c>
      <c r="D6" s="2167"/>
      <c r="E6" s="2168" t="s">
        <v>2047</v>
      </c>
      <c r="F6" s="2168" t="s">
        <v>1307</v>
      </c>
      <c r="G6" s="2168" t="s">
        <v>1308</v>
      </c>
    </row>
    <row r="7" spans="1:82" s="41" customFormat="1" ht="30" customHeight="1">
      <c r="A7" s="2169"/>
      <c r="B7" s="2169"/>
      <c r="C7" s="582" t="s">
        <v>124</v>
      </c>
      <c r="D7" s="582" t="s">
        <v>2747</v>
      </c>
      <c r="E7" s="2169"/>
      <c r="F7" s="2169"/>
      <c r="G7" s="2169"/>
      <c r="CC7" s="41" t="s">
        <v>2049</v>
      </c>
      <c r="CD7" s="299" t="s">
        <v>2050</v>
      </c>
    </row>
    <row r="8" spans="1:82" ht="21.75" customHeight="1">
      <c r="A8" s="2170" t="s">
        <v>283</v>
      </c>
      <c r="B8" s="2170" t="s">
        <v>118</v>
      </c>
      <c r="C8" s="2173" t="s">
        <v>106</v>
      </c>
      <c r="D8" s="2174"/>
      <c r="E8" s="2170" t="s">
        <v>2803</v>
      </c>
      <c r="F8" s="2170" t="s">
        <v>1856</v>
      </c>
      <c r="G8" s="2170" t="s">
        <v>2005</v>
      </c>
      <c r="CD8" s="229"/>
    </row>
    <row r="9" spans="1:82" ht="23.25" customHeight="1">
      <c r="A9" s="2171"/>
      <c r="B9" s="2171"/>
      <c r="C9" s="583" t="s">
        <v>2781</v>
      </c>
      <c r="D9" s="583" t="s">
        <v>2748</v>
      </c>
      <c r="E9" s="2171"/>
      <c r="F9" s="2171"/>
      <c r="G9" s="2171"/>
      <c r="CC9" s="6" t="e">
        <f>#REF!+CC10</f>
        <v>#REF!</v>
      </c>
      <c r="CD9" s="229" t="e">
        <f>BY9+BZ9+CA9+CC9</f>
        <v>#REF!</v>
      </c>
    </row>
    <row r="10" spans="1:82" hidden="1">
      <c r="A10" s="30">
        <v>2000</v>
      </c>
      <c r="B10" s="416">
        <v>264.66000000000003</v>
      </c>
      <c r="C10" s="416">
        <v>350.7</v>
      </c>
      <c r="D10" s="416">
        <v>-86.56</v>
      </c>
      <c r="E10" s="416">
        <v>424.18</v>
      </c>
      <c r="F10" s="416">
        <v>55.46</v>
      </c>
      <c r="G10" s="417">
        <v>461.26</v>
      </c>
      <c r="CC10" s="6">
        <f>CC12+CC13</f>
        <v>-2648</v>
      </c>
      <c r="CD10" s="229">
        <f t="shared" ref="CD10:CD49" si="0">BY10+BZ10+CA10+CC10</f>
        <v>-2648</v>
      </c>
    </row>
    <row r="11" spans="1:82" ht="0.75" hidden="1" customHeight="1">
      <c r="A11" s="13"/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9">
        <v>0</v>
      </c>
      <c r="CD11" s="229"/>
    </row>
    <row r="12" spans="1:82" hidden="1">
      <c r="A12" s="13">
        <f>A10+1</f>
        <v>2001</v>
      </c>
      <c r="B12" s="28">
        <v>96.03</v>
      </c>
      <c r="C12" s="28">
        <v>182.09</v>
      </c>
      <c r="D12" s="28">
        <v>-87.9</v>
      </c>
      <c r="E12" s="28">
        <v>365.13</v>
      </c>
      <c r="F12" s="28">
        <v>55.845064331846004</v>
      </c>
      <c r="G12" s="29">
        <v>336.6</v>
      </c>
      <c r="CC12" s="6">
        <v>-367</v>
      </c>
      <c r="CD12" s="229">
        <f t="shared" si="0"/>
        <v>-367</v>
      </c>
    </row>
    <row r="13" spans="1:82" hidden="1">
      <c r="A13" s="13">
        <f>A12+1</f>
        <v>2002</v>
      </c>
      <c r="B13" s="28">
        <v>98.9</v>
      </c>
      <c r="C13" s="28">
        <v>204.44</v>
      </c>
      <c r="D13" s="28">
        <v>-105.88</v>
      </c>
      <c r="E13" s="28">
        <v>427.22</v>
      </c>
      <c r="F13" s="28">
        <v>70.12</v>
      </c>
      <c r="G13" s="29">
        <v>380.73416869058201</v>
      </c>
      <c r="CC13" s="6">
        <v>-2281</v>
      </c>
      <c r="CD13" s="229">
        <f t="shared" si="0"/>
        <v>-2281</v>
      </c>
    </row>
    <row r="14" spans="1:82" hidden="1">
      <c r="A14" s="13">
        <f>A13+1</f>
        <v>2003</v>
      </c>
      <c r="B14" s="28">
        <v>114.81</v>
      </c>
      <c r="C14" s="28">
        <v>220.33</v>
      </c>
      <c r="D14" s="28">
        <v>-106.99</v>
      </c>
      <c r="E14" s="28">
        <v>593.97</v>
      </c>
      <c r="F14" s="28">
        <v>110.86</v>
      </c>
      <c r="G14" s="29">
        <v>501.02</v>
      </c>
      <c r="CD14" s="229"/>
    </row>
    <row r="15" spans="1:82" hidden="1">
      <c r="A15" s="13">
        <f>A14+1</f>
        <v>2004</v>
      </c>
      <c r="B15" s="28">
        <v>111.2</v>
      </c>
      <c r="C15" s="28">
        <v>199.77</v>
      </c>
      <c r="D15" s="28">
        <v>-86.55</v>
      </c>
      <c r="E15" s="28">
        <v>946.99</v>
      </c>
      <c r="F15" s="28">
        <v>207.87</v>
      </c>
      <c r="G15" s="29">
        <v>820.21</v>
      </c>
      <c r="CC15" s="6">
        <f>CC17+CC18</f>
        <v>-797</v>
      </c>
      <c r="CD15" s="229">
        <f t="shared" si="0"/>
        <v>-797</v>
      </c>
    </row>
    <row r="16" spans="1:82">
      <c r="A16" s="461">
        <v>2005</v>
      </c>
      <c r="B16" s="584">
        <v>105.86702456825405</v>
      </c>
      <c r="C16" s="584">
        <v>266.95066591038801</v>
      </c>
      <c r="D16" s="584">
        <v>-158.78541888091996</v>
      </c>
      <c r="E16" s="584">
        <v>1451.1272220204778</v>
      </c>
      <c r="F16" s="584">
        <v>249.03745754959803</v>
      </c>
      <c r="G16" s="584">
        <v>1042.2409198601101</v>
      </c>
      <c r="CD16" s="229"/>
    </row>
    <row r="17" spans="1:82" hidden="1">
      <c r="A17" s="37" t="s">
        <v>18</v>
      </c>
      <c r="B17" s="585">
        <v>226.31779738259198</v>
      </c>
      <c r="C17" s="585">
        <v>309.81536375124199</v>
      </c>
      <c r="D17" s="585">
        <v>-82.025807652004019</v>
      </c>
      <c r="E17" s="585">
        <v>944.26154165850596</v>
      </c>
      <c r="F17" s="585">
        <v>191.09764153841598</v>
      </c>
      <c r="G17" s="585">
        <v>826.35612751968597</v>
      </c>
      <c r="CC17" s="6">
        <v>-644</v>
      </c>
      <c r="CD17" s="229">
        <f t="shared" si="0"/>
        <v>-644</v>
      </c>
    </row>
    <row r="18" spans="1:82" hidden="1">
      <c r="A18" s="37" t="s">
        <v>19</v>
      </c>
      <c r="B18" s="585">
        <v>175.19358431000794</v>
      </c>
      <c r="C18" s="585">
        <v>258.00327424580598</v>
      </c>
      <c r="D18" s="585">
        <v>-81.322175700354009</v>
      </c>
      <c r="E18" s="585">
        <v>998.0141753036819</v>
      </c>
      <c r="F18" s="585">
        <v>198.99057707903197</v>
      </c>
      <c r="G18" s="585">
        <v>803.06896940306399</v>
      </c>
      <c r="CC18" s="6">
        <v>-153</v>
      </c>
      <c r="CD18" s="229">
        <f t="shared" si="0"/>
        <v>-153</v>
      </c>
    </row>
    <row r="19" spans="1:82" hidden="1">
      <c r="A19" s="37" t="s">
        <v>20</v>
      </c>
      <c r="B19" s="585">
        <v>141.369108762742</v>
      </c>
      <c r="C19" s="585">
        <v>226.25620282140201</v>
      </c>
      <c r="D19" s="585">
        <v>-83.177875314668015</v>
      </c>
      <c r="E19" s="585">
        <v>1054.8051885356522</v>
      </c>
      <c r="F19" s="585">
        <v>197.42766988909599</v>
      </c>
      <c r="G19" s="585">
        <v>808.98229762122787</v>
      </c>
      <c r="CD19" s="229"/>
    </row>
    <row r="20" spans="1:82" hidden="1">
      <c r="A20" s="37" t="s">
        <v>21</v>
      </c>
      <c r="B20" s="585">
        <v>241.71439015857604</v>
      </c>
      <c r="C20" s="585">
        <v>328.44628926722402</v>
      </c>
      <c r="D20" s="585">
        <v>-84.761384582609992</v>
      </c>
      <c r="E20" s="585">
        <v>1082.3312021329684</v>
      </c>
      <c r="F20" s="585">
        <v>210.88235612576202</v>
      </c>
      <c r="G20" s="585">
        <v>903.53430830811192</v>
      </c>
      <c r="CD20" s="229"/>
    </row>
    <row r="21" spans="1:82" hidden="1">
      <c r="A21" s="37" t="s">
        <v>22</v>
      </c>
      <c r="B21" s="585">
        <v>261.91530561403005</v>
      </c>
      <c r="C21" s="585">
        <v>354.62884856109804</v>
      </c>
      <c r="D21" s="585">
        <v>-90.635807685405993</v>
      </c>
      <c r="E21" s="585">
        <v>1098.8270172421767</v>
      </c>
      <c r="F21" s="585">
        <v>233.42076834517405</v>
      </c>
      <c r="G21" s="585">
        <v>926.61505651463415</v>
      </c>
      <c r="CD21" s="229"/>
    </row>
    <row r="22" spans="1:82" hidden="1">
      <c r="A22" s="37" t="s">
        <v>23</v>
      </c>
      <c r="B22" s="585">
        <v>273.887678374676</v>
      </c>
      <c r="C22" s="585">
        <v>371.23311050735799</v>
      </c>
      <c r="D22" s="585">
        <v>-95.094934800614013</v>
      </c>
      <c r="E22" s="585">
        <v>1100.59549698551</v>
      </c>
      <c r="F22" s="585">
        <v>240.71974991018004</v>
      </c>
      <c r="G22" s="585">
        <v>917.04530742237603</v>
      </c>
      <c r="CC22" s="6">
        <v>-31</v>
      </c>
      <c r="CD22" s="229">
        <f t="shared" si="0"/>
        <v>-31</v>
      </c>
    </row>
    <row r="23" spans="1:82" hidden="1">
      <c r="A23" s="37" t="s">
        <v>24</v>
      </c>
      <c r="B23" s="585">
        <v>287.94173326069807</v>
      </c>
      <c r="C23" s="585">
        <v>384.39139838503405</v>
      </c>
      <c r="D23" s="585">
        <v>-93.629800017072</v>
      </c>
      <c r="E23" s="585">
        <v>1136.4297556521899</v>
      </c>
      <c r="F23" s="585">
        <v>248.309655161352</v>
      </c>
      <c r="G23" s="585">
        <v>963.07478651931194</v>
      </c>
      <c r="CC23" s="6">
        <v>-440</v>
      </c>
      <c r="CD23" s="229">
        <f t="shared" si="0"/>
        <v>-440</v>
      </c>
    </row>
    <row r="24" spans="1:82" hidden="1">
      <c r="A24" s="37" t="s">
        <v>25</v>
      </c>
      <c r="B24" s="585">
        <v>254.40039895022991</v>
      </c>
      <c r="C24" s="585">
        <v>350.29725286513593</v>
      </c>
      <c r="D24" s="585">
        <v>-92.888435669553999</v>
      </c>
      <c r="E24" s="585">
        <v>1226.2619454779642</v>
      </c>
      <c r="F24" s="585">
        <v>259.31174310221002</v>
      </c>
      <c r="G24" s="585">
        <v>1000.6352719449479</v>
      </c>
      <c r="CD24" s="229"/>
    </row>
    <row r="25" spans="1:82" hidden="1">
      <c r="A25" s="37" t="s">
        <v>26</v>
      </c>
      <c r="B25" s="585">
        <v>274.91288724710199</v>
      </c>
      <c r="C25" s="585">
        <v>425.64806629671199</v>
      </c>
      <c r="D25" s="585">
        <v>-147.28264562891798</v>
      </c>
      <c r="E25" s="585">
        <v>1260.9014057023458</v>
      </c>
      <c r="F25" s="585">
        <v>240.11795367972002</v>
      </c>
      <c r="G25" s="585">
        <v>1030.1332059215802</v>
      </c>
      <c r="CC25" s="6">
        <f>CC27+CC28</f>
        <v>-498</v>
      </c>
      <c r="CD25" s="229">
        <f>BY25+BZ25+CA25+CC25</f>
        <v>-498</v>
      </c>
    </row>
    <row r="26" spans="1:82" hidden="1">
      <c r="A26" s="37" t="s">
        <v>27</v>
      </c>
      <c r="B26" s="585">
        <v>288.61470354677215</v>
      </c>
      <c r="C26" s="585">
        <v>437.4458615041321</v>
      </c>
      <c r="D26" s="585">
        <v>-146.69159752805598</v>
      </c>
      <c r="E26" s="585">
        <v>1338.37008769158</v>
      </c>
      <c r="F26" s="585">
        <v>231.61050531635203</v>
      </c>
      <c r="G26" s="585">
        <v>1067.275877347648</v>
      </c>
      <c r="CD26" s="229"/>
    </row>
    <row r="27" spans="1:82" hidden="1">
      <c r="A27" s="37" t="s">
        <v>28</v>
      </c>
      <c r="B27" s="585">
        <v>257.058623413536</v>
      </c>
      <c r="C27" s="585">
        <v>411.16556567462601</v>
      </c>
      <c r="D27" s="585">
        <v>-151.70716688019399</v>
      </c>
      <c r="E27" s="585">
        <v>1393.2799725213758</v>
      </c>
      <c r="F27" s="585">
        <v>243.68546632667801</v>
      </c>
      <c r="G27" s="585">
        <v>1032.0131630380961</v>
      </c>
      <c r="CC27" s="6">
        <v>-521</v>
      </c>
      <c r="CD27" s="229">
        <f>BY27+BZ27+CA27+CC27</f>
        <v>-521</v>
      </c>
    </row>
    <row r="28" spans="1:82" hidden="1">
      <c r="A28" s="37" t="s">
        <v>29</v>
      </c>
      <c r="B28" s="585">
        <v>105.86702456825405</v>
      </c>
      <c r="C28" s="585">
        <v>266.95066591038801</v>
      </c>
      <c r="D28" s="585">
        <v>-158.78541888091996</v>
      </c>
      <c r="E28" s="585">
        <v>1451.1272220204778</v>
      </c>
      <c r="F28" s="585">
        <v>249.03745754959803</v>
      </c>
      <c r="G28" s="585">
        <v>1042.2409198601101</v>
      </c>
      <c r="CC28" s="6">
        <v>23</v>
      </c>
      <c r="CD28" s="229">
        <f>BY28+BZ28+CA28+CC28</f>
        <v>23</v>
      </c>
    </row>
    <row r="29" spans="1:82" ht="0.75" customHeight="1">
      <c r="A29" s="37"/>
      <c r="B29" s="585">
        <v>0</v>
      </c>
      <c r="C29" s="585">
        <v>0</v>
      </c>
      <c r="D29" s="585">
        <v>0</v>
      </c>
      <c r="E29" s="585">
        <v>0</v>
      </c>
      <c r="F29" s="585">
        <v>0</v>
      </c>
      <c r="G29" s="585">
        <v>0</v>
      </c>
      <c r="CD29" s="229"/>
    </row>
    <row r="30" spans="1:82">
      <c r="A30" s="108">
        <v>2006</v>
      </c>
      <c r="B30" s="585">
        <v>-113.29190724000001</v>
      </c>
      <c r="C30" s="585">
        <v>304.16222184999998</v>
      </c>
      <c r="D30" s="585">
        <v>-409.54046516</v>
      </c>
      <c r="E30" s="585">
        <v>2367.8748952299993</v>
      </c>
      <c r="F30" s="585">
        <v>823.71840786000007</v>
      </c>
      <c r="G30" s="585">
        <v>1299.5078479000001</v>
      </c>
      <c r="CC30" s="6">
        <v>433</v>
      </c>
      <c r="CD30" s="229">
        <f t="shared" si="0"/>
        <v>433</v>
      </c>
    </row>
    <row r="31" spans="1:82" hidden="1">
      <c r="A31" s="37" t="s">
        <v>18</v>
      </c>
      <c r="B31" s="585">
        <v>300.56181778999996</v>
      </c>
      <c r="C31" s="585">
        <v>461.09300507999995</v>
      </c>
      <c r="D31" s="585">
        <v>-157.95570436</v>
      </c>
      <c r="E31" s="585">
        <v>1404.5400549499998</v>
      </c>
      <c r="F31" s="585">
        <v>241.62172978000001</v>
      </c>
      <c r="G31" s="585">
        <v>1071.1860089099998</v>
      </c>
      <c r="CC31" s="6">
        <v>-931</v>
      </c>
      <c r="CD31" s="229">
        <f t="shared" si="0"/>
        <v>-931</v>
      </c>
    </row>
    <row r="32" spans="1:82" hidden="1">
      <c r="A32" s="37" t="s">
        <v>19</v>
      </c>
      <c r="B32" s="585">
        <v>325.34679913999997</v>
      </c>
      <c r="C32" s="585">
        <v>498.97467079999996</v>
      </c>
      <c r="D32" s="585">
        <v>-171.18699480999999</v>
      </c>
      <c r="E32" s="585">
        <v>1363.5740406399998</v>
      </c>
      <c r="F32" s="585">
        <v>291.81017402999993</v>
      </c>
      <c r="G32" s="585">
        <v>1081.4832858499999</v>
      </c>
      <c r="CD32" s="229"/>
    </row>
    <row r="33" spans="1:82" hidden="1">
      <c r="A33" s="37" t="s">
        <v>20</v>
      </c>
      <c r="B33" s="585">
        <v>342.83050071999992</v>
      </c>
      <c r="C33" s="585">
        <v>515.35390431999997</v>
      </c>
      <c r="D33" s="585">
        <v>-169.94028131000002</v>
      </c>
      <c r="E33" s="585">
        <v>1398.3771504899998</v>
      </c>
      <c r="F33" s="585">
        <v>321.78490283999997</v>
      </c>
      <c r="G33" s="585">
        <v>1085.1807814200001</v>
      </c>
      <c r="CC33" s="6">
        <v>204</v>
      </c>
      <c r="CD33" s="229">
        <f t="shared" si="0"/>
        <v>204</v>
      </c>
    </row>
    <row r="34" spans="1:82" hidden="1">
      <c r="A34" s="37" t="s">
        <v>21</v>
      </c>
      <c r="B34" s="585">
        <v>288.06934340000004</v>
      </c>
      <c r="C34" s="585">
        <v>466.35962813999998</v>
      </c>
      <c r="D34" s="585">
        <v>-174.76835029</v>
      </c>
      <c r="E34" s="585">
        <v>1504.1838813400004</v>
      </c>
      <c r="F34" s="585">
        <v>351.61407830999997</v>
      </c>
      <c r="G34" s="585">
        <v>1139.8948581500003</v>
      </c>
      <c r="CC34" s="6">
        <v>200</v>
      </c>
      <c r="CD34" s="229">
        <f t="shared" si="0"/>
        <v>200</v>
      </c>
    </row>
    <row r="35" spans="1:82" hidden="1">
      <c r="A35" s="37" t="s">
        <v>22</v>
      </c>
      <c r="B35" s="585">
        <v>312.35846918000004</v>
      </c>
      <c r="C35" s="585">
        <v>493.13203035000004</v>
      </c>
      <c r="D35" s="585">
        <v>-176.67265043999998</v>
      </c>
      <c r="E35" s="585">
        <v>1577.3447361799999</v>
      </c>
      <c r="F35" s="585">
        <v>356.86671254999999</v>
      </c>
      <c r="G35" s="585">
        <v>1167.14121688</v>
      </c>
      <c r="CD35" s="229"/>
    </row>
    <row r="36" spans="1:82" hidden="1">
      <c r="A36" s="37" t="s">
        <v>23</v>
      </c>
      <c r="B36" s="585">
        <v>305.57490925000008</v>
      </c>
      <c r="C36" s="585">
        <v>495.81780132000006</v>
      </c>
      <c r="D36" s="585">
        <v>-183.86065114000002</v>
      </c>
      <c r="E36" s="585">
        <v>1676.5183650199997</v>
      </c>
      <c r="F36" s="585">
        <v>403.11003255999998</v>
      </c>
      <c r="G36" s="585">
        <v>1218.2087914399999</v>
      </c>
      <c r="CC36" s="6">
        <v>295</v>
      </c>
      <c r="CD36" s="229">
        <f t="shared" si="0"/>
        <v>295</v>
      </c>
    </row>
    <row r="37" spans="1:82" hidden="1">
      <c r="A37" s="37" t="s">
        <v>24</v>
      </c>
      <c r="B37" s="585">
        <v>271.79204826</v>
      </c>
      <c r="C37" s="585">
        <v>465.90912352999999</v>
      </c>
      <c r="D37" s="585">
        <v>-188.71756236999997</v>
      </c>
      <c r="E37" s="585">
        <v>1784.5363579100001</v>
      </c>
      <c r="F37" s="585">
        <v>428.25928491999997</v>
      </c>
      <c r="G37" s="585">
        <v>1252.4950059900002</v>
      </c>
      <c r="CC37" s="6">
        <v>-95</v>
      </c>
      <c r="CD37" s="229">
        <f t="shared" si="0"/>
        <v>-95</v>
      </c>
    </row>
    <row r="38" spans="1:82" hidden="1">
      <c r="A38" s="37" t="s">
        <v>25</v>
      </c>
      <c r="B38" s="585">
        <v>251.47519954000001</v>
      </c>
      <c r="C38" s="585">
        <v>398.5411805</v>
      </c>
      <c r="D38" s="585">
        <v>-142.57577545000001</v>
      </c>
      <c r="E38" s="585">
        <v>1912.4597789200002</v>
      </c>
      <c r="F38" s="585">
        <v>492.44084806000001</v>
      </c>
      <c r="G38" s="585">
        <v>1248.2196395699998</v>
      </c>
      <c r="CD38" s="229"/>
    </row>
    <row r="39" spans="1:82" hidden="1">
      <c r="A39" s="37" t="s">
        <v>26</v>
      </c>
      <c r="B39" s="585">
        <v>228.55438325000009</v>
      </c>
      <c r="C39" s="585">
        <v>393.62743569000003</v>
      </c>
      <c r="D39" s="585">
        <v>-159.19948818999995</v>
      </c>
      <c r="E39" s="585">
        <v>2032.1994047699995</v>
      </c>
      <c r="F39" s="585">
        <v>528.56351084000005</v>
      </c>
      <c r="G39" s="585">
        <v>1268.7703315000003</v>
      </c>
      <c r="CC39" s="6">
        <v>0</v>
      </c>
      <c r="CD39" s="229">
        <f t="shared" si="0"/>
        <v>0</v>
      </c>
    </row>
    <row r="40" spans="1:82" hidden="1">
      <c r="A40" s="37" t="s">
        <v>27</v>
      </c>
      <c r="B40" s="585">
        <v>131.76616706000001</v>
      </c>
      <c r="C40" s="585">
        <v>304.66298760999996</v>
      </c>
      <c r="D40" s="585">
        <v>-168.16147842999996</v>
      </c>
      <c r="E40" s="585">
        <v>2169.7224147499992</v>
      </c>
      <c r="F40" s="585">
        <v>615.94271600000002</v>
      </c>
      <c r="G40" s="585">
        <v>1236.7731743899999</v>
      </c>
      <c r="CD40" s="229"/>
    </row>
    <row r="41" spans="1:82" hidden="1">
      <c r="A41" s="37" t="s">
        <v>28</v>
      </c>
      <c r="B41" s="585">
        <v>84.369812489999958</v>
      </c>
      <c r="C41" s="585">
        <v>371.79685331999997</v>
      </c>
      <c r="D41" s="585">
        <v>-281.41349485000001</v>
      </c>
      <c r="E41" s="585">
        <v>2249.2650426099995</v>
      </c>
      <c r="F41" s="585">
        <v>705.40156724000008</v>
      </c>
      <c r="G41" s="585">
        <v>1220.2695201599997</v>
      </c>
      <c r="CC41" s="6">
        <f>CC42-CC46</f>
        <v>481</v>
      </c>
      <c r="CD41" s="229">
        <f t="shared" si="0"/>
        <v>481</v>
      </c>
    </row>
    <row r="42" spans="1:82" hidden="1">
      <c r="A42" s="37" t="s">
        <v>29</v>
      </c>
      <c r="B42" s="585">
        <v>-113.29190724000001</v>
      </c>
      <c r="C42" s="585">
        <v>304.16222184999998</v>
      </c>
      <c r="D42" s="585">
        <v>-409.54046516</v>
      </c>
      <c r="E42" s="585">
        <v>2367.8748952299993</v>
      </c>
      <c r="F42" s="585">
        <v>823.71840786000007</v>
      </c>
      <c r="G42" s="585">
        <v>1299.5078479000001</v>
      </c>
      <c r="CC42" s="6">
        <f>CC44+CC45</f>
        <v>965</v>
      </c>
      <c r="CD42" s="229">
        <f t="shared" si="0"/>
        <v>965</v>
      </c>
    </row>
    <row r="43" spans="1:82">
      <c r="A43" s="37" t="s">
        <v>121</v>
      </c>
      <c r="B43" s="585">
        <v>-655.7</v>
      </c>
      <c r="C43" s="585">
        <v>503.7</v>
      </c>
      <c r="D43" s="585">
        <v>-971.6</v>
      </c>
      <c r="E43" s="585">
        <v>4642.6000000000004</v>
      </c>
      <c r="F43" s="585">
        <v>1687.8</v>
      </c>
      <c r="G43" s="585">
        <v>1495.6</v>
      </c>
      <c r="CD43" s="229"/>
    </row>
    <row r="44" spans="1:82" hidden="1">
      <c r="A44" s="37" t="s">
        <v>18</v>
      </c>
      <c r="B44" s="585">
        <v>105.32</v>
      </c>
      <c r="C44" s="585">
        <v>419.6</v>
      </c>
      <c r="D44" s="585">
        <v>-306.49446628000004</v>
      </c>
      <c r="E44" s="585">
        <v>2518.956833409999</v>
      </c>
      <c r="F44" s="585">
        <v>740.10036146000004</v>
      </c>
      <c r="G44" s="585">
        <v>1301.7295723499999</v>
      </c>
      <c r="CC44" s="6">
        <v>954</v>
      </c>
      <c r="CD44" s="229">
        <f t="shared" si="0"/>
        <v>954</v>
      </c>
    </row>
    <row r="45" spans="1:82" hidden="1">
      <c r="A45" s="37" t="s">
        <v>19</v>
      </c>
      <c r="B45" s="585">
        <v>-19.7</v>
      </c>
      <c r="C45" s="585">
        <v>356.5</v>
      </c>
      <c r="D45" s="585">
        <v>-361.68408433000008</v>
      </c>
      <c r="E45" s="585">
        <v>2692.0418313599998</v>
      </c>
      <c r="F45" s="585">
        <v>790.45572708999998</v>
      </c>
      <c r="G45" s="585">
        <v>1269.69737321</v>
      </c>
      <c r="CC45" s="6">
        <v>11</v>
      </c>
      <c r="CD45" s="229">
        <f t="shared" si="0"/>
        <v>11</v>
      </c>
    </row>
    <row r="46" spans="1:82" hidden="1">
      <c r="A46" s="37" t="s">
        <v>20</v>
      </c>
      <c r="B46" s="585">
        <v>-76.7</v>
      </c>
      <c r="C46" s="585">
        <v>351.9</v>
      </c>
      <c r="D46" s="585">
        <v>-414.38195938000007</v>
      </c>
      <c r="E46" s="585">
        <v>2904.9610948799996</v>
      </c>
      <c r="F46" s="585">
        <v>858.09695017000001</v>
      </c>
      <c r="G46" s="585">
        <v>1248.40497282</v>
      </c>
      <c r="CC46" s="6">
        <f>CC48+CC49+CC50+CC51</f>
        <v>484</v>
      </c>
      <c r="CD46" s="229">
        <f t="shared" si="0"/>
        <v>484</v>
      </c>
    </row>
    <row r="47" spans="1:82" hidden="1">
      <c r="A47" s="37" t="s">
        <v>21</v>
      </c>
      <c r="B47" s="585">
        <v>-162.80000000000001</v>
      </c>
      <c r="C47" s="585">
        <v>342.45540765999999</v>
      </c>
      <c r="D47" s="585">
        <v>-443.13814659999997</v>
      </c>
      <c r="E47" s="585">
        <v>3110.3781674399997</v>
      </c>
      <c r="F47" s="585">
        <v>913.93312748000005</v>
      </c>
      <c r="G47" s="585">
        <v>1204.62775175</v>
      </c>
      <c r="CD47" s="229"/>
    </row>
    <row r="48" spans="1:82" hidden="1">
      <c r="A48" s="37" t="s">
        <v>22</v>
      </c>
      <c r="B48" s="585">
        <v>-180.3</v>
      </c>
      <c r="C48" s="585">
        <v>478.8</v>
      </c>
      <c r="D48" s="585">
        <v>-595.97926332000009</v>
      </c>
      <c r="E48" s="585">
        <v>3328.3245033399999</v>
      </c>
      <c r="F48" s="585">
        <v>987.05192137000017</v>
      </c>
      <c r="G48" s="585">
        <v>1261.7552767300001</v>
      </c>
      <c r="CC48" s="6">
        <v>1214</v>
      </c>
      <c r="CD48" s="229">
        <f t="shared" si="0"/>
        <v>1214</v>
      </c>
    </row>
    <row r="49" spans="1:82" hidden="1">
      <c r="A49" s="37" t="s">
        <v>23</v>
      </c>
      <c r="B49" s="585">
        <v>-153.19999999999999</v>
      </c>
      <c r="C49" s="585">
        <v>587.4</v>
      </c>
      <c r="D49" s="585">
        <v>-674.94249806000016</v>
      </c>
      <c r="E49" s="585">
        <v>3460.87982087</v>
      </c>
      <c r="F49" s="585">
        <v>1015.9529375599999</v>
      </c>
      <c r="G49" s="585">
        <v>1301.5009319100002</v>
      </c>
      <c r="CC49" s="6">
        <v>-745</v>
      </c>
      <c r="CD49" s="229">
        <f t="shared" si="0"/>
        <v>-745</v>
      </c>
    </row>
    <row r="50" spans="1:82" hidden="1">
      <c r="A50" s="37" t="s">
        <v>24</v>
      </c>
      <c r="B50" s="585">
        <v>-193.6</v>
      </c>
      <c r="C50" s="585">
        <v>598.6</v>
      </c>
      <c r="D50" s="585">
        <v>-686.21575077</v>
      </c>
      <c r="E50" s="585">
        <v>3451.1911663699989</v>
      </c>
      <c r="F50" s="585">
        <v>1146.07180498</v>
      </c>
      <c r="G50" s="585">
        <v>1316.3587498499999</v>
      </c>
      <c r="CC50" s="6">
        <v>0</v>
      </c>
      <c r="CD50" s="229">
        <f>BY50+BZ50+CA50+CC50</f>
        <v>0</v>
      </c>
    </row>
    <row r="51" spans="1:82" hidden="1">
      <c r="A51" s="37" t="s">
        <v>25</v>
      </c>
      <c r="B51" s="585">
        <v>-144.6</v>
      </c>
      <c r="C51" s="585">
        <v>661.35094558000003</v>
      </c>
      <c r="D51" s="585">
        <v>-701.51570378000008</v>
      </c>
      <c r="E51" s="585">
        <v>3584.5360302999998</v>
      </c>
      <c r="F51" s="585">
        <v>1321.36731175</v>
      </c>
      <c r="G51" s="585">
        <v>1376.28813242</v>
      </c>
      <c r="CC51" s="6">
        <v>15</v>
      </c>
      <c r="CD51" s="229">
        <f>BY51+BZ51+CA51+CC51</f>
        <v>15</v>
      </c>
    </row>
    <row r="52" spans="1:82" hidden="1">
      <c r="A52" s="37" t="s">
        <v>26</v>
      </c>
      <c r="B52" s="585">
        <v>-56.5</v>
      </c>
      <c r="C52" s="585">
        <v>806.5</v>
      </c>
      <c r="D52" s="585">
        <v>-756.0998976300001</v>
      </c>
      <c r="E52" s="585">
        <v>3769.8690415999999</v>
      </c>
      <c r="F52" s="585">
        <v>1364.9740055100001</v>
      </c>
      <c r="G52" s="585">
        <v>1527.6685013100002</v>
      </c>
      <c r="CC52" s="6">
        <v>-372</v>
      </c>
      <c r="CD52" s="229">
        <f>BY52+BZ52+CA52+CC52</f>
        <v>-372</v>
      </c>
    </row>
    <row r="53" spans="1:82" hidden="1">
      <c r="A53" s="37" t="s">
        <v>27</v>
      </c>
      <c r="B53" s="585">
        <v>-182.8</v>
      </c>
      <c r="C53" s="585">
        <v>744.34</v>
      </c>
      <c r="D53" s="585">
        <v>-781.95586589000004</v>
      </c>
      <c r="E53" s="585">
        <v>4074.5613771900003</v>
      </c>
      <c r="F53" s="585">
        <v>1387.0520770999997</v>
      </c>
      <c r="G53" s="585">
        <v>1614.7346729399999</v>
      </c>
      <c r="CC53" s="6">
        <v>-231</v>
      </c>
      <c r="CD53" s="229">
        <f>BY53+BZ53+CA53+CC53</f>
        <v>-231</v>
      </c>
    </row>
    <row r="54" spans="1:82" hidden="1">
      <c r="A54" s="37" t="s">
        <v>28</v>
      </c>
      <c r="B54" s="585">
        <v>-365.4</v>
      </c>
      <c r="C54" s="585">
        <v>526.57806665999999</v>
      </c>
      <c r="D54" s="585">
        <v>-752.90667431999998</v>
      </c>
      <c r="E54" s="585">
        <v>4384.4518599799994</v>
      </c>
      <c r="F54" s="585">
        <v>1513.8522416599999</v>
      </c>
      <c r="G54" s="585">
        <v>1541.96969631</v>
      </c>
      <c r="CD54" s="229"/>
    </row>
    <row r="55" spans="1:82" hidden="1">
      <c r="A55" s="37" t="s">
        <v>29</v>
      </c>
      <c r="B55" s="585">
        <v>-655.7</v>
      </c>
      <c r="C55" s="585">
        <v>503.7</v>
      </c>
      <c r="D55" s="585">
        <v>-971.6</v>
      </c>
      <c r="E55" s="585">
        <v>4642.6000000000004</v>
      </c>
      <c r="F55" s="585">
        <v>1687.8</v>
      </c>
      <c r="G55" s="585">
        <v>1495.6</v>
      </c>
      <c r="CC55" s="6" t="e">
        <f>#REF!+CC39-CC41+CC52-CC53</f>
        <v>#REF!</v>
      </c>
      <c r="CD55" s="229" t="e">
        <f>BY55+BZ55+CA55+CC55</f>
        <v>#REF!</v>
      </c>
    </row>
    <row r="56" spans="1:82" ht="16.5" customHeight="1">
      <c r="A56" s="37" t="s">
        <v>114</v>
      </c>
      <c r="B56" s="585">
        <v>-1076.56758969</v>
      </c>
      <c r="C56" s="585">
        <v>1179.7</v>
      </c>
      <c r="D56" s="585">
        <v>-2048.5</v>
      </c>
      <c r="E56" s="585">
        <v>7223.1</v>
      </c>
      <c r="F56" s="585">
        <v>1934.8</v>
      </c>
      <c r="G56" s="585">
        <v>2413.1999999999998</v>
      </c>
    </row>
    <row r="57" spans="1:82" hidden="1">
      <c r="A57" s="37" t="s">
        <v>18</v>
      </c>
      <c r="B57" s="572">
        <v>-568.5</v>
      </c>
      <c r="C57" s="572">
        <v>608.29999999999995</v>
      </c>
      <c r="D57" s="572">
        <v>-975</v>
      </c>
      <c r="E57" s="572">
        <v>4800.2</v>
      </c>
      <c r="F57" s="572">
        <v>1571.3</v>
      </c>
      <c r="G57" s="572">
        <v>1554.4</v>
      </c>
    </row>
    <row r="58" spans="1:82" ht="15" hidden="1" customHeight="1">
      <c r="A58" s="37" t="s">
        <v>19</v>
      </c>
      <c r="B58" s="572">
        <v>-106.3</v>
      </c>
      <c r="C58" s="572">
        <v>1083.3</v>
      </c>
      <c r="D58" s="572">
        <v>-964.6</v>
      </c>
      <c r="E58" s="572">
        <v>4856</v>
      </c>
      <c r="F58" s="572">
        <v>1680.1</v>
      </c>
      <c r="G58" s="572">
        <v>1948.6</v>
      </c>
    </row>
    <row r="59" spans="1:82" ht="15.75" hidden="1" customHeight="1">
      <c r="A59" s="37" t="s">
        <v>20</v>
      </c>
      <c r="B59" s="572">
        <v>-281</v>
      </c>
      <c r="C59" s="572">
        <v>919.5</v>
      </c>
      <c r="D59" s="572">
        <v>-980.6</v>
      </c>
      <c r="E59" s="572">
        <v>4967.3999999999996</v>
      </c>
      <c r="F59" s="572">
        <v>1693</v>
      </c>
      <c r="G59" s="572">
        <v>1913</v>
      </c>
    </row>
    <row r="60" spans="1:82" ht="15.75" hidden="1" customHeight="1">
      <c r="A60" s="37" t="s">
        <v>21</v>
      </c>
      <c r="B60" s="572">
        <v>-247.8</v>
      </c>
      <c r="C60" s="572">
        <v>1002.9</v>
      </c>
      <c r="D60" s="572">
        <v>-1020.8</v>
      </c>
      <c r="E60" s="572">
        <v>5259.3</v>
      </c>
      <c r="F60" s="572">
        <v>1693</v>
      </c>
      <c r="G60" s="572">
        <v>1986.8</v>
      </c>
    </row>
    <row r="61" spans="1:82" hidden="1">
      <c r="A61" s="37" t="s">
        <v>22</v>
      </c>
      <c r="B61" s="572">
        <v>-581.9</v>
      </c>
      <c r="C61" s="572">
        <v>861.4</v>
      </c>
      <c r="D61" s="572">
        <v>-1208.8</v>
      </c>
      <c r="E61" s="572">
        <v>6126.5</v>
      </c>
      <c r="F61" s="572">
        <v>1625.9</v>
      </c>
      <c r="G61" s="572">
        <v>2231.1</v>
      </c>
    </row>
    <row r="62" spans="1:82" ht="15" hidden="1" customHeight="1">
      <c r="A62" s="37" t="s">
        <v>23</v>
      </c>
      <c r="B62" s="572">
        <v>-593.5</v>
      </c>
      <c r="C62" s="572">
        <v>921.8</v>
      </c>
      <c r="D62" s="572">
        <v>-1262.2</v>
      </c>
      <c r="E62" s="572">
        <v>6241.9</v>
      </c>
      <c r="F62" s="572">
        <v>1738.5</v>
      </c>
      <c r="G62" s="572">
        <v>2403.8000000000002</v>
      </c>
    </row>
    <row r="63" spans="1:82" ht="15" hidden="1" customHeight="1">
      <c r="A63" s="37" t="s">
        <v>24</v>
      </c>
      <c r="B63" s="572">
        <v>-825.3</v>
      </c>
      <c r="C63" s="572">
        <v>896.9</v>
      </c>
      <c r="D63" s="572">
        <v>-1393.5</v>
      </c>
      <c r="E63" s="572">
        <v>6436.5</v>
      </c>
      <c r="F63" s="572">
        <v>1722.1</v>
      </c>
      <c r="G63" s="572">
        <v>2325.6</v>
      </c>
    </row>
    <row r="64" spans="1:82" ht="15" hidden="1" customHeight="1">
      <c r="A64" s="37" t="s">
        <v>25</v>
      </c>
      <c r="B64" s="572">
        <v>-795.6</v>
      </c>
      <c r="C64" s="572">
        <v>1132.7</v>
      </c>
      <c r="D64" s="572">
        <v>-1598.3</v>
      </c>
      <c r="E64" s="572">
        <v>6558.4</v>
      </c>
      <c r="F64" s="572">
        <v>1814.4</v>
      </c>
      <c r="G64" s="572">
        <v>2271.5</v>
      </c>
    </row>
    <row r="65" spans="1:7" ht="16.5" hidden="1" customHeight="1">
      <c r="A65" s="37" t="s">
        <v>26</v>
      </c>
      <c r="B65" s="572">
        <v>-869</v>
      </c>
      <c r="C65" s="572">
        <v>1458.1</v>
      </c>
      <c r="D65" s="572">
        <v>-2001</v>
      </c>
      <c r="E65" s="572">
        <v>6685.6</v>
      </c>
      <c r="F65" s="572">
        <v>1880.9</v>
      </c>
      <c r="G65" s="572">
        <v>2135.3000000000002</v>
      </c>
    </row>
    <row r="66" spans="1:7" ht="15" hidden="1" customHeight="1">
      <c r="A66" s="37" t="s">
        <v>27</v>
      </c>
      <c r="B66" s="572">
        <v>-900</v>
      </c>
      <c r="C66" s="572">
        <v>1542.9</v>
      </c>
      <c r="D66" s="572">
        <v>-2155.1999999999998</v>
      </c>
      <c r="E66" s="572">
        <v>6792.3</v>
      </c>
      <c r="F66" s="572">
        <v>1806.1</v>
      </c>
      <c r="G66" s="572">
        <v>2164.1999999999998</v>
      </c>
    </row>
    <row r="67" spans="1:7" ht="15" hidden="1" customHeight="1">
      <c r="A67" s="37" t="s">
        <v>28</v>
      </c>
      <c r="B67" s="572">
        <v>-1111.7</v>
      </c>
      <c r="C67" s="572">
        <v>1198.4000000000001</v>
      </c>
      <c r="D67" s="572">
        <v>-2044.7</v>
      </c>
      <c r="E67" s="572">
        <v>6956.6</v>
      </c>
      <c r="F67" s="572">
        <v>1843.9</v>
      </c>
      <c r="G67" s="572">
        <v>2205.8000000000002</v>
      </c>
    </row>
    <row r="68" spans="1:7" ht="15" hidden="1" customHeight="1">
      <c r="A68" s="37" t="s">
        <v>29</v>
      </c>
      <c r="B68" s="572">
        <v>-1076.56758969</v>
      </c>
      <c r="C68" s="572">
        <v>1179.7</v>
      </c>
      <c r="D68" s="572">
        <v>-2048.5</v>
      </c>
      <c r="E68" s="572">
        <v>7223.1</v>
      </c>
      <c r="F68" s="572">
        <v>1934.8</v>
      </c>
      <c r="G68" s="572">
        <v>2413.1999999999998</v>
      </c>
    </row>
    <row r="69" spans="1:7" ht="16.5" customHeight="1">
      <c r="A69" s="37" t="s">
        <v>43</v>
      </c>
      <c r="B69" s="585">
        <v>-727.8</v>
      </c>
      <c r="C69" s="585">
        <v>1273.7</v>
      </c>
      <c r="D69" s="585">
        <v>-1932.3</v>
      </c>
      <c r="E69" s="585">
        <v>8554.7000000000007</v>
      </c>
      <c r="F69" s="585">
        <v>1991.5</v>
      </c>
      <c r="G69" s="585">
        <v>2300</v>
      </c>
    </row>
    <row r="70" spans="1:7" ht="19.5" hidden="1" customHeight="1">
      <c r="A70" s="37" t="s">
        <v>18</v>
      </c>
      <c r="B70" s="572">
        <v>-976.8</v>
      </c>
      <c r="C70" s="572">
        <v>1263.7</v>
      </c>
      <c r="D70" s="572">
        <v>-2034.5</v>
      </c>
      <c r="E70" s="572">
        <v>7253.4</v>
      </c>
      <c r="F70" s="572">
        <v>1697.6</v>
      </c>
      <c r="G70" s="572">
        <v>2414.6</v>
      </c>
    </row>
    <row r="71" spans="1:7" ht="17.25" hidden="1" customHeight="1">
      <c r="A71" s="37" t="s">
        <v>19</v>
      </c>
      <c r="B71" s="572">
        <v>-964.6</v>
      </c>
      <c r="C71" s="572">
        <v>1195.5999999999999</v>
      </c>
      <c r="D71" s="572">
        <v>-1969.9</v>
      </c>
      <c r="E71" s="572">
        <v>6768.4</v>
      </c>
      <c r="F71" s="572">
        <v>1594.2</v>
      </c>
      <c r="G71" s="572">
        <v>2063.6</v>
      </c>
    </row>
    <row r="72" spans="1:7" ht="16.5" hidden="1" customHeight="1">
      <c r="A72" s="37" t="s">
        <v>20</v>
      </c>
      <c r="B72" s="572">
        <v>-941.1</v>
      </c>
      <c r="C72" s="572">
        <v>1101.8</v>
      </c>
      <c r="D72" s="572">
        <v>-1908.6</v>
      </c>
      <c r="E72" s="572">
        <v>6298.1</v>
      </c>
      <c r="F72" s="572">
        <v>1434.6</v>
      </c>
      <c r="G72" s="572">
        <v>1656.5</v>
      </c>
    </row>
    <row r="73" spans="1:7" ht="16.5" hidden="1" customHeight="1">
      <c r="A73" s="37" t="s">
        <v>21</v>
      </c>
      <c r="B73" s="572">
        <v>-888.3</v>
      </c>
      <c r="C73" s="572">
        <v>1142.4000000000001</v>
      </c>
      <c r="D73" s="572">
        <v>-1938.1</v>
      </c>
      <c r="E73" s="572">
        <v>6379.4</v>
      </c>
      <c r="F73" s="572">
        <v>1433.7</v>
      </c>
      <c r="G73" s="572">
        <v>1770.2</v>
      </c>
    </row>
    <row r="74" spans="1:7" ht="22.5" hidden="1" customHeight="1">
      <c r="A74" s="37" t="s">
        <v>22</v>
      </c>
      <c r="B74" s="572">
        <v>-887.6</v>
      </c>
      <c r="C74" s="572">
        <v>1120.4000000000001</v>
      </c>
      <c r="D74" s="572">
        <v>-1928.5</v>
      </c>
      <c r="E74" s="572">
        <v>6485.9</v>
      </c>
      <c r="F74" s="572">
        <v>1410.4</v>
      </c>
      <c r="G74" s="572">
        <v>1800.8</v>
      </c>
    </row>
    <row r="75" spans="1:7" ht="16.5" hidden="1" customHeight="1">
      <c r="A75" s="37" t="s">
        <v>23</v>
      </c>
      <c r="B75" s="572">
        <v>-827.2</v>
      </c>
      <c r="C75" s="572">
        <v>1088.8</v>
      </c>
      <c r="D75" s="572">
        <v>-1845.2</v>
      </c>
      <c r="E75" s="572">
        <v>6567.3</v>
      </c>
      <c r="F75" s="572">
        <v>1381.7</v>
      </c>
      <c r="G75" s="572">
        <v>1821.9</v>
      </c>
    </row>
    <row r="76" spans="1:7" ht="16.5" hidden="1" customHeight="1">
      <c r="A76" s="37" t="s">
        <v>24</v>
      </c>
      <c r="B76" s="572">
        <v>-482.4</v>
      </c>
      <c r="C76" s="572">
        <v>1424.6</v>
      </c>
      <c r="D76" s="572">
        <v>-1843.2</v>
      </c>
      <c r="E76" s="572">
        <v>7321.1</v>
      </c>
      <c r="F76" s="572">
        <v>1429.3</v>
      </c>
      <c r="G76" s="572">
        <v>2490.8000000000002</v>
      </c>
    </row>
    <row r="77" spans="1:7" ht="19.5" hidden="1" customHeight="1">
      <c r="A77" s="37" t="s">
        <v>25</v>
      </c>
      <c r="B77" s="572">
        <v>-612.70000000000005</v>
      </c>
      <c r="C77" s="572">
        <v>1266</v>
      </c>
      <c r="D77" s="572">
        <v>-1812.6</v>
      </c>
      <c r="E77" s="572">
        <v>7732.1</v>
      </c>
      <c r="F77" s="572">
        <v>1676.1</v>
      </c>
      <c r="G77" s="572">
        <v>2235.6</v>
      </c>
    </row>
    <row r="78" spans="1:7" ht="16.5" hidden="1" customHeight="1">
      <c r="A78" s="37" t="s">
        <v>26</v>
      </c>
      <c r="B78" s="572">
        <v>-693</v>
      </c>
      <c r="C78" s="572">
        <v>1167</v>
      </c>
      <c r="D78" s="572">
        <v>-1796.8</v>
      </c>
      <c r="E78" s="572">
        <v>7904.8</v>
      </c>
      <c r="F78" s="572">
        <v>1599.5</v>
      </c>
      <c r="G78" s="572">
        <v>2236</v>
      </c>
    </row>
    <row r="79" spans="1:7" ht="18" hidden="1" customHeight="1">
      <c r="A79" s="37" t="s">
        <v>27</v>
      </c>
      <c r="B79" s="572">
        <v>-690.8</v>
      </c>
      <c r="C79" s="572">
        <v>1182.2</v>
      </c>
      <c r="D79" s="572">
        <v>-1803.6</v>
      </c>
      <c r="E79" s="572">
        <v>8126.6</v>
      </c>
      <c r="F79" s="572">
        <v>1713.7</v>
      </c>
      <c r="G79" s="572">
        <v>2287.1</v>
      </c>
    </row>
    <row r="80" spans="1:7" ht="16.5" hidden="1" customHeight="1">
      <c r="A80" s="37" t="s">
        <v>28</v>
      </c>
      <c r="B80" s="572">
        <v>-755.5</v>
      </c>
      <c r="C80" s="572">
        <v>1140.5</v>
      </c>
      <c r="D80" s="572">
        <v>-1828.5</v>
      </c>
      <c r="E80" s="572">
        <v>8252.2000000000007</v>
      </c>
      <c r="F80" s="572">
        <v>1764</v>
      </c>
      <c r="G80" s="572">
        <v>2329.3000000000002</v>
      </c>
    </row>
    <row r="81" spans="1:7" ht="15.75" hidden="1" customHeight="1">
      <c r="A81" s="37" t="s">
        <v>29</v>
      </c>
      <c r="B81" s="572">
        <v>-727.8</v>
      </c>
      <c r="C81" s="572">
        <v>1273.7</v>
      </c>
      <c r="D81" s="572">
        <v>-1932.3</v>
      </c>
      <c r="E81" s="572">
        <v>8554.7000000000007</v>
      </c>
      <c r="F81" s="572">
        <v>1991.5</v>
      </c>
      <c r="G81" s="572">
        <v>2300</v>
      </c>
    </row>
    <row r="82" spans="1:7" ht="17.25" customHeight="1">
      <c r="A82" s="37" t="s">
        <v>48</v>
      </c>
      <c r="B82" s="572"/>
      <c r="C82" s="572"/>
      <c r="D82" s="572"/>
      <c r="E82" s="572"/>
      <c r="F82" s="572"/>
      <c r="G82" s="572"/>
    </row>
    <row r="83" spans="1:7" ht="15.75" customHeight="1">
      <c r="A83" s="37" t="s">
        <v>18</v>
      </c>
      <c r="B83" s="572">
        <v>-771.9</v>
      </c>
      <c r="C83" s="572">
        <v>1276.5</v>
      </c>
      <c r="D83" s="572">
        <v>-1976.9</v>
      </c>
      <c r="E83" s="572">
        <v>8611.7000000000007</v>
      </c>
      <c r="F83" s="572">
        <v>1862.4</v>
      </c>
      <c r="G83" s="572">
        <v>2306.1</v>
      </c>
    </row>
    <row r="84" spans="1:7" ht="17.25" customHeight="1">
      <c r="A84" s="37" t="s">
        <v>19</v>
      </c>
      <c r="B84" s="572">
        <v>-808.6</v>
      </c>
      <c r="C84" s="572">
        <v>1338</v>
      </c>
      <c r="D84" s="572">
        <v>-2066.8000000000002</v>
      </c>
      <c r="E84" s="572">
        <v>8548.9</v>
      </c>
      <c r="F84" s="572">
        <v>1762.4</v>
      </c>
      <c r="G84" s="572">
        <v>2279.4</v>
      </c>
    </row>
    <row r="85" spans="1:7" ht="15" customHeight="1">
      <c r="A85" s="37" t="s">
        <v>20</v>
      </c>
      <c r="B85" s="572">
        <v>-698.6</v>
      </c>
      <c r="C85" s="572">
        <v>1613.5</v>
      </c>
      <c r="D85" s="572">
        <v>-2233.5</v>
      </c>
      <c r="E85" s="572">
        <v>8656.7999999999993</v>
      </c>
      <c r="F85" s="572">
        <v>1863.2</v>
      </c>
      <c r="G85" s="572">
        <v>2490.9</v>
      </c>
    </row>
    <row r="86" spans="1:7" ht="16.5" customHeight="1">
      <c r="A86" s="37" t="s">
        <v>21</v>
      </c>
      <c r="B86" s="572">
        <v>-947.9</v>
      </c>
      <c r="C86" s="572">
        <v>1518.3</v>
      </c>
      <c r="D86" s="572">
        <v>-2381.4</v>
      </c>
      <c r="E86" s="572">
        <v>8795.9</v>
      </c>
      <c r="F86" s="572">
        <v>1904.1</v>
      </c>
      <c r="G86" s="572">
        <v>2387.8000000000002</v>
      </c>
    </row>
    <row r="87" spans="1:7" ht="15.75" customHeight="1">
      <c r="A87" s="37" t="s">
        <v>22</v>
      </c>
      <c r="B87" s="572">
        <v>-813.4</v>
      </c>
      <c r="C87" s="572">
        <v>1386.5</v>
      </c>
      <c r="D87" s="572">
        <v>-2117.4</v>
      </c>
      <c r="E87" s="572">
        <v>8943.9</v>
      </c>
      <c r="F87" s="572">
        <v>1901.3</v>
      </c>
      <c r="G87" s="572">
        <v>2475.8000000000002</v>
      </c>
    </row>
    <row r="88" spans="1:7" ht="18" customHeight="1">
      <c r="A88" s="37" t="s">
        <v>23</v>
      </c>
      <c r="B88" s="572">
        <v>-800.6</v>
      </c>
      <c r="C88" s="572">
        <v>1453.4</v>
      </c>
      <c r="D88" s="572">
        <v>-2170.1</v>
      </c>
      <c r="E88" s="572">
        <v>9031.7000000000007</v>
      </c>
      <c r="F88" s="572">
        <v>2035.8</v>
      </c>
      <c r="G88" s="572">
        <v>2453</v>
      </c>
    </row>
    <row r="89" spans="1:7" ht="16.5" customHeight="1">
      <c r="A89" s="37" t="s">
        <v>24</v>
      </c>
      <c r="B89" s="572">
        <v>-1053.4000000000001</v>
      </c>
      <c r="C89" s="572">
        <v>1297.4000000000001</v>
      </c>
      <c r="D89" s="572">
        <v>-2266.5</v>
      </c>
      <c r="E89" s="572">
        <v>8850.7000000000007</v>
      </c>
      <c r="F89" s="572">
        <v>2075.5</v>
      </c>
      <c r="G89" s="572">
        <v>2162.5</v>
      </c>
    </row>
    <row r="90" spans="1:7" ht="19.5" customHeight="1">
      <c r="A90" s="37" t="s">
        <v>25</v>
      </c>
      <c r="B90" s="572">
        <v>-1008.7</v>
      </c>
      <c r="C90" s="572">
        <v>1286.2</v>
      </c>
      <c r="D90" s="572">
        <v>-2209.6999999999998</v>
      </c>
      <c r="E90" s="572">
        <v>9009.5</v>
      </c>
      <c r="F90" s="572">
        <v>2191.5</v>
      </c>
      <c r="G90" s="572">
        <v>2268.4</v>
      </c>
    </row>
    <row r="91" spans="1:7" ht="15.75" customHeight="1">
      <c r="A91" s="37" t="s">
        <v>26</v>
      </c>
      <c r="B91" s="572">
        <v>-1027.0999999999999</v>
      </c>
      <c r="C91" s="572">
        <v>1357.8</v>
      </c>
      <c r="D91" s="572">
        <v>-2295.4</v>
      </c>
      <c r="E91" s="572">
        <v>9159</v>
      </c>
      <c r="F91" s="572">
        <v>2255.1999999999998</v>
      </c>
      <c r="G91" s="572">
        <v>2233.9</v>
      </c>
    </row>
    <row r="92" spans="1:7" ht="15.75" customHeight="1">
      <c r="A92" s="37" t="s">
        <v>27</v>
      </c>
      <c r="B92" s="572">
        <v>-1235.3</v>
      </c>
      <c r="C92" s="572">
        <v>1289.5</v>
      </c>
      <c r="D92" s="572">
        <v>-2504</v>
      </c>
      <c r="E92" s="572">
        <v>9255.2999999999993</v>
      </c>
      <c r="F92" s="572">
        <v>2368.1999999999998</v>
      </c>
      <c r="G92" s="572">
        <v>2305.4</v>
      </c>
    </row>
    <row r="93" spans="1:7" ht="14.25" customHeight="1">
      <c r="A93" s="37" t="s">
        <v>28</v>
      </c>
      <c r="B93" s="572">
        <v>-1006.9</v>
      </c>
      <c r="C93" s="572">
        <v>1532.1</v>
      </c>
      <c r="D93" s="572">
        <v>-2469.1</v>
      </c>
      <c r="E93" s="572">
        <v>9350.7999999999993</v>
      </c>
      <c r="F93" s="572">
        <v>2421.9</v>
      </c>
      <c r="G93" s="572">
        <v>2203.1</v>
      </c>
    </row>
    <row r="94" spans="1:7" ht="15.75" customHeight="1">
      <c r="A94" s="37" t="s">
        <v>29</v>
      </c>
      <c r="B94" s="572">
        <v>-850</v>
      </c>
      <c r="C94" s="572">
        <v>1691.9</v>
      </c>
      <c r="D94" s="572">
        <v>-2470.4</v>
      </c>
      <c r="E94" s="572">
        <v>9386.2999999999993</v>
      </c>
      <c r="F94" s="572">
        <v>2839.5</v>
      </c>
      <c r="G94" s="572">
        <v>2230</v>
      </c>
    </row>
    <row r="95" spans="1:7" ht="14.25" customHeight="1">
      <c r="A95" s="37" t="s">
        <v>1024</v>
      </c>
      <c r="B95" s="572"/>
      <c r="C95" s="572"/>
      <c r="D95" s="572"/>
      <c r="E95" s="572"/>
      <c r="F95" s="572"/>
      <c r="G95" s="572"/>
    </row>
    <row r="96" spans="1:7" ht="15.75" customHeight="1">
      <c r="A96" s="37" t="s">
        <v>18</v>
      </c>
      <c r="B96" s="572">
        <v>-717.5</v>
      </c>
      <c r="C96" s="572">
        <v>1833.7</v>
      </c>
      <c r="D96" s="572">
        <v>-2484.6999999999998</v>
      </c>
      <c r="E96" s="572">
        <v>9383.2999999999993</v>
      </c>
      <c r="F96" s="572">
        <v>2494.6999999999998</v>
      </c>
      <c r="G96" s="572">
        <v>2343.5</v>
      </c>
    </row>
    <row r="97" spans="1:7" ht="14.25" customHeight="1">
      <c r="A97" s="37" t="s">
        <v>19</v>
      </c>
      <c r="B97" s="572">
        <v>-764.6</v>
      </c>
      <c r="C97" s="572">
        <v>1793.3</v>
      </c>
      <c r="D97" s="572">
        <v>-2501.3000000000002</v>
      </c>
      <c r="E97" s="572">
        <v>9401.9</v>
      </c>
      <c r="F97" s="572">
        <v>2540.6</v>
      </c>
      <c r="G97" s="572">
        <v>2364.9</v>
      </c>
    </row>
    <row r="98" spans="1:7" ht="15.75" customHeight="1">
      <c r="A98" s="37" t="s">
        <v>20</v>
      </c>
      <c r="B98" s="572">
        <v>-624.29999999999995</v>
      </c>
      <c r="C98" s="572">
        <v>1954.4</v>
      </c>
      <c r="D98" s="572">
        <v>-2531.1999999999998</v>
      </c>
      <c r="E98" s="572">
        <v>8597.2999999999993</v>
      </c>
      <c r="F98" s="572">
        <v>2682.9</v>
      </c>
      <c r="G98" s="572">
        <v>2641.9</v>
      </c>
    </row>
    <row r="99" spans="1:7" ht="15.75" customHeight="1">
      <c r="A99" s="37" t="s">
        <v>21</v>
      </c>
      <c r="B99" s="572">
        <v>-719.3</v>
      </c>
      <c r="C99" s="572">
        <v>1827.8</v>
      </c>
      <c r="D99" s="572">
        <v>-2503.1999999999998</v>
      </c>
      <c r="E99" s="572">
        <v>8894.0219791599993</v>
      </c>
      <c r="F99" s="572">
        <v>2710.9</v>
      </c>
      <c r="G99" s="572">
        <v>2584.1</v>
      </c>
    </row>
    <row r="100" spans="1:7" ht="15.75" customHeight="1">
      <c r="A100" s="37" t="s">
        <v>22</v>
      </c>
      <c r="B100" s="572">
        <v>-702</v>
      </c>
      <c r="C100" s="572">
        <v>1811</v>
      </c>
      <c r="D100" s="572">
        <v>-2468</v>
      </c>
      <c r="E100" s="572">
        <v>9040.0538178499937</v>
      </c>
      <c r="F100" s="572">
        <v>2773.9</v>
      </c>
      <c r="G100" s="572">
        <v>2664.1</v>
      </c>
    </row>
    <row r="101" spans="1:7" ht="15.75" customHeight="1">
      <c r="A101" s="37" t="s">
        <v>23</v>
      </c>
      <c r="B101" s="572">
        <v>-553.29999999999995</v>
      </c>
      <c r="C101" s="572">
        <v>1893.6</v>
      </c>
      <c r="D101" s="572">
        <v>-2404.9</v>
      </c>
      <c r="E101" s="572">
        <v>9231.0705042799982</v>
      </c>
      <c r="F101" s="572">
        <v>2873.9</v>
      </c>
      <c r="G101" s="572">
        <v>2677.2</v>
      </c>
    </row>
    <row r="102" spans="1:7" ht="15.75" customHeight="1">
      <c r="A102" s="37" t="s">
        <v>24</v>
      </c>
      <c r="B102" s="572">
        <v>-636.1</v>
      </c>
      <c r="C102" s="572">
        <v>1833.3</v>
      </c>
      <c r="D102" s="572">
        <v>-2428.9</v>
      </c>
      <c r="E102" s="572">
        <v>9425.6461800399975</v>
      </c>
      <c r="F102" s="572">
        <v>3141.5</v>
      </c>
      <c r="G102" s="572">
        <v>2569.8000000000002</v>
      </c>
    </row>
    <row r="103" spans="1:7" ht="15.75" customHeight="1">
      <c r="A103" s="37" t="s">
        <v>25</v>
      </c>
      <c r="B103" s="572">
        <v>-837.1</v>
      </c>
      <c r="C103" s="572">
        <v>1686.2</v>
      </c>
      <c r="D103" s="572">
        <v>-2487.8000000000002</v>
      </c>
      <c r="E103" s="572">
        <v>9843.7767524999981</v>
      </c>
      <c r="F103" s="572">
        <v>3064.3</v>
      </c>
      <c r="G103" s="572">
        <v>2766.4</v>
      </c>
    </row>
    <row r="104" spans="1:7" ht="15.75" customHeight="1">
      <c r="A104" s="37" t="s">
        <v>26</v>
      </c>
      <c r="B104" s="572">
        <v>-577.70000000000005</v>
      </c>
      <c r="C104" s="572">
        <v>1875.8</v>
      </c>
      <c r="D104" s="572">
        <v>-2426.8000000000002</v>
      </c>
      <c r="E104" s="572">
        <v>9997.8195771700011</v>
      </c>
      <c r="F104" s="572">
        <v>3152.8</v>
      </c>
      <c r="G104" s="572">
        <v>3021.9</v>
      </c>
    </row>
    <row r="105" spans="1:7" ht="15.75" customHeight="1">
      <c r="A105" s="37" t="s">
        <v>27</v>
      </c>
      <c r="B105" s="572">
        <v>-647.70000000000005</v>
      </c>
      <c r="C105" s="572">
        <v>1741.7</v>
      </c>
      <c r="D105" s="572">
        <v>-2372</v>
      </c>
      <c r="E105" s="572">
        <v>10110.52391462</v>
      </c>
      <c r="F105" s="572">
        <v>3231.9</v>
      </c>
      <c r="G105" s="572">
        <v>2903.6</v>
      </c>
    </row>
    <row r="106" spans="1:7" ht="15.75" customHeight="1">
      <c r="A106" s="37" t="s">
        <v>28</v>
      </c>
      <c r="B106" s="572">
        <v>-663.7</v>
      </c>
      <c r="C106" s="572">
        <v>1689</v>
      </c>
      <c r="D106" s="572">
        <v>-2343.5</v>
      </c>
      <c r="E106" s="572">
        <v>10187.593105730004</v>
      </c>
      <c r="F106" s="572">
        <v>3448.3</v>
      </c>
      <c r="G106" s="572">
        <v>2838.8</v>
      </c>
    </row>
    <row r="107" spans="1:7" ht="15.75" customHeight="1">
      <c r="A107" s="37" t="s">
        <v>29</v>
      </c>
      <c r="B107" s="572">
        <v>-698.5</v>
      </c>
      <c r="C107" s="572">
        <v>1762.6</v>
      </c>
      <c r="D107" s="572">
        <v>-2432.3000000000002</v>
      </c>
      <c r="E107" s="572">
        <v>10294.254034680001</v>
      </c>
      <c r="F107" s="572">
        <v>3834.5</v>
      </c>
      <c r="G107" s="572">
        <v>2906</v>
      </c>
    </row>
    <row r="108" spans="1:7" ht="14.25" customHeight="1">
      <c r="A108" s="37" t="s">
        <v>1288</v>
      </c>
      <c r="B108" s="572"/>
      <c r="C108" s="572"/>
      <c r="D108" s="572"/>
      <c r="E108" s="572"/>
      <c r="F108" s="572"/>
      <c r="G108" s="572"/>
    </row>
    <row r="109" spans="1:7" ht="15.75" customHeight="1">
      <c r="A109" s="37" t="s">
        <v>18</v>
      </c>
      <c r="B109" s="572">
        <v>-608.4</v>
      </c>
      <c r="C109" s="572">
        <v>1860.8</v>
      </c>
      <c r="D109" s="572">
        <v>-2440.5</v>
      </c>
      <c r="E109" s="572">
        <v>10341</v>
      </c>
      <c r="F109" s="572">
        <v>3734.9</v>
      </c>
      <c r="G109" s="572">
        <v>2924</v>
      </c>
    </row>
    <row r="110" spans="1:7" ht="15.75" customHeight="1">
      <c r="A110" s="37" t="s">
        <v>19</v>
      </c>
      <c r="B110" s="572">
        <v>-512.79999999999995</v>
      </c>
      <c r="C110" s="572">
        <v>1992.2</v>
      </c>
      <c r="D110" s="572">
        <v>-2469</v>
      </c>
      <c r="E110" s="572">
        <v>10481.6</v>
      </c>
      <c r="F110" s="572">
        <v>3770.3</v>
      </c>
      <c r="G110" s="572">
        <v>3104.8</v>
      </c>
    </row>
    <row r="111" spans="1:7" ht="15.75" customHeight="1">
      <c r="A111" s="37" t="s">
        <v>20</v>
      </c>
      <c r="B111" s="572">
        <v>-419.1</v>
      </c>
      <c r="C111" s="572">
        <v>2152.6</v>
      </c>
      <c r="D111" s="572">
        <v>-2531.4</v>
      </c>
      <c r="E111" s="572">
        <v>10503.5</v>
      </c>
      <c r="F111" s="572">
        <v>4009.1</v>
      </c>
      <c r="G111" s="572">
        <v>3056.4</v>
      </c>
    </row>
    <row r="112" spans="1:7" ht="15.75" customHeight="1">
      <c r="A112" s="37" t="s">
        <v>21</v>
      </c>
      <c r="B112" s="572">
        <v>-269.10000000000002</v>
      </c>
      <c r="C112" s="572">
        <v>2280.6999999999998</v>
      </c>
      <c r="D112" s="572">
        <v>-2509.9</v>
      </c>
      <c r="E112" s="572">
        <v>10726.9</v>
      </c>
      <c r="F112" s="572">
        <v>3874.1</v>
      </c>
      <c r="G112" s="572">
        <v>3143.8</v>
      </c>
    </row>
    <row r="113" spans="1:7" ht="15.75" customHeight="1">
      <c r="A113" s="37" t="s">
        <v>22</v>
      </c>
      <c r="B113" s="572">
        <v>-323.8</v>
      </c>
      <c r="C113" s="572">
        <v>2147.3000000000002</v>
      </c>
      <c r="D113" s="572">
        <v>-2422.6</v>
      </c>
      <c r="E113" s="572">
        <v>10904.4</v>
      </c>
      <c r="F113" s="572">
        <v>3931</v>
      </c>
      <c r="G113" s="572">
        <v>3122.8</v>
      </c>
    </row>
    <row r="114" spans="1:7" ht="15.75" customHeight="1">
      <c r="A114" s="37" t="s">
        <v>23</v>
      </c>
      <c r="B114" s="572">
        <v>-710.2</v>
      </c>
      <c r="C114" s="572">
        <v>1807.6</v>
      </c>
      <c r="D114" s="572">
        <v>-2469.1</v>
      </c>
      <c r="E114" s="572">
        <v>11111.7</v>
      </c>
      <c r="F114" s="572">
        <v>3983.1</v>
      </c>
      <c r="G114" s="572">
        <v>2773.8</v>
      </c>
    </row>
    <row r="115" spans="1:7" ht="15.75" customHeight="1">
      <c r="A115" s="37" t="s">
        <v>24</v>
      </c>
      <c r="B115" s="572">
        <v>-735.6</v>
      </c>
      <c r="C115" s="572">
        <v>1833.3</v>
      </c>
      <c r="D115" s="572">
        <v>-2527</v>
      </c>
      <c r="E115" s="572">
        <v>11074.2</v>
      </c>
      <c r="F115" s="572">
        <v>3940.9</v>
      </c>
      <c r="G115" s="572">
        <v>2732</v>
      </c>
    </row>
    <row r="116" spans="1:7" ht="15.75" customHeight="1">
      <c r="A116" s="37" t="s">
        <v>25</v>
      </c>
      <c r="B116" s="572">
        <v>-942.3</v>
      </c>
      <c r="C116" s="572">
        <v>1800.4</v>
      </c>
      <c r="D116" s="572">
        <v>-2705.5</v>
      </c>
      <c r="E116" s="572">
        <v>11446.4</v>
      </c>
      <c r="F116" s="572">
        <v>4066</v>
      </c>
      <c r="G116" s="572">
        <v>2784.7</v>
      </c>
    </row>
    <row r="117" spans="1:7" ht="15.75" customHeight="1">
      <c r="A117" s="37" t="s">
        <v>26</v>
      </c>
      <c r="B117" s="572">
        <v>-900.2</v>
      </c>
      <c r="C117" s="572">
        <v>1978.3</v>
      </c>
      <c r="D117" s="572">
        <v>-2837.7</v>
      </c>
      <c r="E117" s="572">
        <v>11736.1</v>
      </c>
      <c r="F117" s="572">
        <v>4070.8</v>
      </c>
      <c r="G117" s="572">
        <v>2941</v>
      </c>
    </row>
    <row r="118" spans="1:7" ht="15.75" customHeight="1">
      <c r="A118" s="37" t="s">
        <v>27</v>
      </c>
      <c r="B118" s="572">
        <v>-924.6</v>
      </c>
      <c r="C118" s="572">
        <v>1968.8</v>
      </c>
      <c r="D118" s="572">
        <v>-2845.3</v>
      </c>
      <c r="E118" s="572">
        <v>12009.3</v>
      </c>
      <c r="F118" s="572">
        <v>4129.2</v>
      </c>
      <c r="G118" s="572">
        <v>3043</v>
      </c>
    </row>
    <row r="119" spans="1:7" ht="15.75" customHeight="1">
      <c r="A119" s="37" t="s">
        <v>28</v>
      </c>
      <c r="B119" s="572">
        <v>-847.8</v>
      </c>
      <c r="C119" s="572">
        <v>2095.6999999999998</v>
      </c>
      <c r="D119" s="572">
        <v>-2886.6</v>
      </c>
      <c r="E119" s="572">
        <v>12125.6</v>
      </c>
      <c r="F119" s="572">
        <v>4244</v>
      </c>
      <c r="G119" s="572">
        <v>3138.2</v>
      </c>
    </row>
    <row r="120" spans="1:7" ht="16.5" customHeight="1">
      <c r="A120" s="37" t="s">
        <v>29</v>
      </c>
      <c r="B120" s="572">
        <v>-1127.5999999999999</v>
      </c>
      <c r="C120" s="572">
        <v>2016.1</v>
      </c>
      <c r="D120" s="572">
        <v>-3073.6</v>
      </c>
      <c r="E120" s="572">
        <v>12656.3</v>
      </c>
      <c r="F120" s="572">
        <v>4535.6000000000004</v>
      </c>
      <c r="G120" s="572">
        <v>2968.9</v>
      </c>
    </row>
    <row r="121" spans="1:7" ht="14.25" customHeight="1">
      <c r="A121" s="37" t="s">
        <v>1410</v>
      </c>
      <c r="B121" s="572"/>
      <c r="C121" s="572"/>
      <c r="D121" s="572"/>
      <c r="E121" s="572"/>
      <c r="F121" s="572"/>
      <c r="G121" s="572"/>
    </row>
    <row r="122" spans="1:7" ht="15.75" customHeight="1">
      <c r="A122" s="37" t="s">
        <v>18</v>
      </c>
      <c r="B122" s="572">
        <v>-944.65710389000049</v>
      </c>
      <c r="C122" s="572">
        <v>2260.6321377300001</v>
      </c>
      <c r="D122" s="572">
        <v>-3123.7624453200006</v>
      </c>
      <c r="E122" s="572">
        <v>11945.563360509999</v>
      </c>
      <c r="F122" s="572">
        <v>4853.2337141300004</v>
      </c>
      <c r="G122" s="572">
        <v>2933.3503328599991</v>
      </c>
    </row>
    <row r="123" spans="1:7" ht="15.75" customHeight="1">
      <c r="A123" s="37" t="s">
        <v>19</v>
      </c>
      <c r="B123" s="572">
        <v>-1082.4762255299993</v>
      </c>
      <c r="C123" s="572">
        <v>2109.7419257999995</v>
      </c>
      <c r="D123" s="572">
        <v>-3131.859896949999</v>
      </c>
      <c r="E123" s="572">
        <v>11662.74066824</v>
      </c>
      <c r="F123" s="572">
        <v>5028.6653282799998</v>
      </c>
      <c r="G123" s="572">
        <v>2859.2012412199997</v>
      </c>
    </row>
    <row r="124" spans="1:7" ht="15.75" customHeight="1">
      <c r="A124" s="37" t="s">
        <v>20</v>
      </c>
      <c r="B124" s="572">
        <v>-696.03735523999967</v>
      </c>
      <c r="C124" s="572">
        <v>2488.1553495100002</v>
      </c>
      <c r="D124" s="572">
        <v>-3160.0316176699998</v>
      </c>
      <c r="E124" s="572">
        <v>11824.586201279999</v>
      </c>
      <c r="F124" s="572">
        <v>5165.0559255000007</v>
      </c>
      <c r="G124" s="572">
        <v>3260.62540399</v>
      </c>
    </row>
    <row r="125" spans="1:7" ht="15.75" customHeight="1">
      <c r="A125" s="37" t="s">
        <v>21</v>
      </c>
      <c r="B125" s="572">
        <v>-938.09110560000067</v>
      </c>
      <c r="C125" s="572">
        <v>2500.5469764799991</v>
      </c>
      <c r="D125" s="572">
        <v>-3417.4628642899997</v>
      </c>
      <c r="E125" s="572">
        <v>12385.504662919997</v>
      </c>
      <c r="F125" s="572">
        <v>5359.9754641899999</v>
      </c>
      <c r="G125" s="572">
        <v>3110.5819696300005</v>
      </c>
    </row>
    <row r="126" spans="1:7" ht="15.75" customHeight="1">
      <c r="A126" s="37" t="s">
        <v>22</v>
      </c>
      <c r="B126" s="572">
        <v>-942.88069798000083</v>
      </c>
      <c r="C126" s="572">
        <v>2525.7198820299991</v>
      </c>
      <c r="D126" s="572">
        <v>-3452.1512838399999</v>
      </c>
      <c r="E126" s="572">
        <v>12773.734028130004</v>
      </c>
      <c r="F126" s="572">
        <v>5382.6573775300003</v>
      </c>
      <c r="G126" s="572">
        <v>3118.5272214800002</v>
      </c>
    </row>
    <row r="127" spans="1:7" ht="15.75" customHeight="1">
      <c r="A127" s="37" t="s">
        <v>23</v>
      </c>
      <c r="B127" s="572">
        <v>-1380.1772533399985</v>
      </c>
      <c r="C127" s="572">
        <v>2279.8448922100006</v>
      </c>
      <c r="D127" s="572">
        <v>-3635.2836770499989</v>
      </c>
      <c r="E127" s="572">
        <v>13065.307436250005</v>
      </c>
      <c r="F127" s="572">
        <v>5435.9288016399996</v>
      </c>
      <c r="G127" s="572">
        <v>2823.7570112899998</v>
      </c>
    </row>
    <row r="128" spans="1:7" ht="15.75" customHeight="1">
      <c r="A128" s="37" t="s">
        <v>24</v>
      </c>
      <c r="B128" s="572">
        <v>-1344.8221988299995</v>
      </c>
      <c r="C128" s="572">
        <v>2464.5090043800005</v>
      </c>
      <c r="D128" s="572">
        <v>-3779.7908834</v>
      </c>
      <c r="E128" s="572">
        <v>13495.457277020001</v>
      </c>
      <c r="F128" s="572">
        <v>5436.6099973199998</v>
      </c>
      <c r="G128" s="572">
        <v>3037.80903291</v>
      </c>
    </row>
    <row r="129" spans="1:7" ht="15.75" customHeight="1">
      <c r="A129" s="37" t="s">
        <v>25</v>
      </c>
      <c r="B129" s="572">
        <v>-1520.593770720001</v>
      </c>
      <c r="C129" s="572">
        <v>2327.2204362699995</v>
      </c>
      <c r="D129" s="572">
        <v>-3784.1297370700004</v>
      </c>
      <c r="E129" s="572">
        <v>13626.724067990001</v>
      </c>
      <c r="F129" s="572">
        <v>5623.55217937</v>
      </c>
      <c r="G129" s="572">
        <v>2839.59442365</v>
      </c>
    </row>
    <row r="130" spans="1:7" ht="15.75" customHeight="1">
      <c r="A130" s="37" t="s">
        <v>26</v>
      </c>
      <c r="B130" s="572">
        <v>-1657.2634479099991</v>
      </c>
      <c r="C130" s="572">
        <v>2362.7929914500005</v>
      </c>
      <c r="D130" s="572">
        <v>-3978.5795170799997</v>
      </c>
      <c r="E130" s="572">
        <v>13935.324584949998</v>
      </c>
      <c r="F130" s="572">
        <v>5681.635409909999</v>
      </c>
      <c r="G130" s="572">
        <v>2945.224106919999</v>
      </c>
    </row>
    <row r="131" spans="1:7" ht="15.75" customHeight="1">
      <c r="A131" s="37" t="s">
        <v>27</v>
      </c>
      <c r="B131" s="572">
        <v>-1614.895307849999</v>
      </c>
      <c r="C131" s="572">
        <v>2461.6373334800005</v>
      </c>
      <c r="D131" s="572">
        <v>-4065.4660971299995</v>
      </c>
      <c r="E131" s="572">
        <v>14101.343214799999</v>
      </c>
      <c r="F131" s="572">
        <v>5746.0127448499998</v>
      </c>
      <c r="G131" s="572">
        <v>2954.0184568899999</v>
      </c>
    </row>
    <row r="132" spans="1:7" ht="15.75" customHeight="1">
      <c r="A132" s="37" t="s">
        <v>28</v>
      </c>
      <c r="B132" s="572">
        <v>-1566.5065488999999</v>
      </c>
      <c r="C132" s="572">
        <v>2727.6770678300013</v>
      </c>
      <c r="D132" s="572">
        <v>-4279.5094020200013</v>
      </c>
      <c r="E132" s="572">
        <v>14395.256042209998</v>
      </c>
      <c r="F132" s="572">
        <v>5797.7447458200004</v>
      </c>
      <c r="G132" s="572">
        <v>3182.4801153099997</v>
      </c>
    </row>
    <row r="133" spans="1:7" ht="15.75" customHeight="1">
      <c r="A133" s="37" t="s">
        <v>29</v>
      </c>
      <c r="B133" s="572">
        <v>-1745.1803926300004</v>
      </c>
      <c r="C133" s="572">
        <v>2533.6659378000008</v>
      </c>
      <c r="D133" s="572">
        <v>-4273.9113712500011</v>
      </c>
      <c r="E133" s="572">
        <v>14492.746447270001</v>
      </c>
      <c r="F133" s="572">
        <v>5965.5</v>
      </c>
      <c r="G133" s="572">
        <v>2854.6532663499997</v>
      </c>
    </row>
    <row r="134" spans="1:7" ht="14.25" customHeight="1">
      <c r="A134" s="37" t="s">
        <v>1621</v>
      </c>
      <c r="B134" s="572"/>
      <c r="C134" s="572"/>
      <c r="D134" s="572"/>
      <c r="E134" s="572"/>
      <c r="F134" s="572"/>
      <c r="G134" s="572"/>
    </row>
    <row r="135" spans="1:7" ht="15.75" customHeight="1">
      <c r="A135" s="37" t="s">
        <v>18</v>
      </c>
      <c r="B135" s="572">
        <v>-1688.4085730400016</v>
      </c>
      <c r="C135" s="572">
        <v>2592.6959930799994</v>
      </c>
      <c r="D135" s="572">
        <v>-4309.5825529400008</v>
      </c>
      <c r="E135" s="572">
        <v>14574.457826710002</v>
      </c>
      <c r="F135" s="572">
        <v>6057.2</v>
      </c>
      <c r="G135" s="572">
        <v>3061.9712525700002</v>
      </c>
    </row>
    <row r="136" spans="1:7" ht="15.75" customHeight="1">
      <c r="A136" s="37" t="s">
        <v>19</v>
      </c>
      <c r="B136" s="572">
        <v>-1578.7788008299972</v>
      </c>
      <c r="C136" s="572">
        <v>2799.8457317000011</v>
      </c>
      <c r="D136" s="572">
        <v>-4394.0847328799982</v>
      </c>
      <c r="E136" s="572">
        <v>14847.818625059999</v>
      </c>
      <c r="F136" s="572">
        <v>6159.4</v>
      </c>
      <c r="G136" s="572">
        <v>3148.8977077200002</v>
      </c>
    </row>
    <row r="137" spans="1:7" ht="15.75" customHeight="1">
      <c r="A137" s="37" t="s">
        <v>20</v>
      </c>
      <c r="B137" s="572">
        <v>-1516.66153571</v>
      </c>
      <c r="C137" s="572">
        <v>3040.8001508699995</v>
      </c>
      <c r="D137" s="572">
        <v>-4601.9514019399994</v>
      </c>
      <c r="E137" s="572">
        <v>15228.109717359999</v>
      </c>
      <c r="F137" s="572">
        <v>6169.2</v>
      </c>
      <c r="G137" s="572">
        <v>3244.7</v>
      </c>
    </row>
    <row r="138" spans="1:7" ht="15" customHeight="1">
      <c r="A138" s="37" t="s">
        <v>21</v>
      </c>
      <c r="B138" s="572">
        <v>-1329.4354866599995</v>
      </c>
      <c r="C138" s="572">
        <v>3143.7564729400005</v>
      </c>
      <c r="D138" s="572">
        <v>-4518.7582734699999</v>
      </c>
      <c r="E138" s="572">
        <v>15634.964043069998</v>
      </c>
      <c r="F138" s="572">
        <v>6429.3</v>
      </c>
      <c r="G138" s="572">
        <v>3302.9</v>
      </c>
    </row>
    <row r="139" spans="1:7" ht="15" customHeight="1">
      <c r="A139" s="37" t="s">
        <v>22</v>
      </c>
      <c r="B139" s="572">
        <v>-1624.9730067699988</v>
      </c>
      <c r="C139" s="572">
        <v>2911.7056099800006</v>
      </c>
      <c r="D139" s="572">
        <v>-4581.6950293399996</v>
      </c>
      <c r="E139" s="572">
        <v>16036.175753710004</v>
      </c>
      <c r="F139" s="572">
        <v>6472.7</v>
      </c>
      <c r="G139" s="572">
        <v>3272.7</v>
      </c>
    </row>
    <row r="140" spans="1:7" ht="15.75" customHeight="1">
      <c r="A140" s="37" t="s">
        <v>23</v>
      </c>
      <c r="B140" s="572">
        <v>-1444.185092939998</v>
      </c>
      <c r="C140" s="572">
        <v>3148.5938187200004</v>
      </c>
      <c r="D140" s="572">
        <v>-4630.0607184699984</v>
      </c>
      <c r="E140" s="572">
        <v>16123.148630310001</v>
      </c>
      <c r="F140" s="572">
        <v>6658.2</v>
      </c>
      <c r="G140" s="572">
        <v>3564.1</v>
      </c>
    </row>
    <row r="141" spans="1:7" ht="15.75" customHeight="1">
      <c r="A141" s="37" t="s">
        <v>24</v>
      </c>
      <c r="B141" s="572">
        <v>-1197.6603928099985</v>
      </c>
      <c r="C141" s="572">
        <v>3447.0984273899999</v>
      </c>
      <c r="D141" s="572">
        <v>-4695.8332580199985</v>
      </c>
      <c r="E141" s="572">
        <v>16417.850723740001</v>
      </c>
      <c r="F141" s="572">
        <v>6914.8</v>
      </c>
      <c r="G141" s="572">
        <v>3790.1</v>
      </c>
    </row>
    <row r="142" spans="1:7" ht="15.75" customHeight="1">
      <c r="A142" s="37" t="s">
        <v>25</v>
      </c>
      <c r="B142" s="572">
        <v>-1392.3962583499992</v>
      </c>
      <c r="C142" s="572">
        <v>3279.0771909100008</v>
      </c>
      <c r="D142" s="572">
        <v>-4713.4586376500001</v>
      </c>
      <c r="E142" s="572">
        <v>16744.60105311</v>
      </c>
      <c r="F142" s="572">
        <v>6951.4</v>
      </c>
      <c r="G142" s="572">
        <v>3854</v>
      </c>
    </row>
    <row r="143" spans="1:7" ht="15.75" customHeight="1">
      <c r="A143" s="37" t="s">
        <v>26</v>
      </c>
      <c r="B143" s="572">
        <v>-1557.9819082699994</v>
      </c>
      <c r="C143" s="572">
        <v>3132.0428804200001</v>
      </c>
      <c r="D143" s="572">
        <v>-4726.6059430799996</v>
      </c>
      <c r="E143" s="572">
        <v>17049.983864400001</v>
      </c>
      <c r="F143" s="572">
        <v>6967.2</v>
      </c>
      <c r="G143" s="572">
        <v>3765.3</v>
      </c>
    </row>
    <row r="144" spans="1:7" ht="15.75" customHeight="1">
      <c r="A144" s="37" t="s">
        <v>27</v>
      </c>
      <c r="B144" s="572">
        <v>-1515.1296545099983</v>
      </c>
      <c r="C144" s="572">
        <v>3293.2285732900004</v>
      </c>
      <c r="D144" s="572">
        <v>-4841.7042201799986</v>
      </c>
      <c r="E144" s="572">
        <v>17274.514971250002</v>
      </c>
      <c r="F144" s="572">
        <v>7034.7</v>
      </c>
      <c r="G144" s="572">
        <v>4002.1</v>
      </c>
    </row>
    <row r="145" spans="1:7" ht="15.75" customHeight="1">
      <c r="A145" s="37" t="s">
        <v>28</v>
      </c>
      <c r="B145" s="572">
        <v>-1287.8813396199996</v>
      </c>
      <c r="C145" s="572">
        <v>3665.3361290700009</v>
      </c>
      <c r="D145" s="572">
        <v>-4992.1725760300005</v>
      </c>
      <c r="E145" s="572">
        <v>17613.637115399997</v>
      </c>
      <c r="F145" s="572">
        <v>7189.4</v>
      </c>
      <c r="G145" s="572">
        <v>4164.3999999999996</v>
      </c>
    </row>
    <row r="146" spans="1:7" ht="15.75" customHeight="1">
      <c r="A146" s="37" t="s">
        <v>29</v>
      </c>
      <c r="B146" s="572">
        <v>-1805.627924840001</v>
      </c>
      <c r="C146" s="572">
        <v>3387.8689363599992</v>
      </c>
      <c r="D146" s="572">
        <v>-5242.3597403200001</v>
      </c>
      <c r="E146" s="572">
        <v>17896.836451949999</v>
      </c>
      <c r="F146" s="572">
        <v>7275.8</v>
      </c>
      <c r="G146" s="572">
        <v>4130.3</v>
      </c>
    </row>
    <row r="147" spans="1:7" ht="15.75" customHeight="1">
      <c r="A147" s="37" t="s">
        <v>1816</v>
      </c>
      <c r="B147" s="572"/>
      <c r="C147" s="572"/>
      <c r="D147" s="572"/>
      <c r="E147" s="572"/>
      <c r="F147" s="572"/>
      <c r="G147" s="572"/>
    </row>
    <row r="148" spans="1:7" ht="15.75" customHeight="1">
      <c r="A148" s="37" t="s">
        <v>18</v>
      </c>
      <c r="B148" s="572">
        <v>-1734.9105736299989</v>
      </c>
      <c r="C148" s="572">
        <v>3331.4081178500001</v>
      </c>
      <c r="D148" s="572">
        <v>-5138.7804128699991</v>
      </c>
      <c r="E148" s="572">
        <v>17758.091581010001</v>
      </c>
      <c r="F148" s="572">
        <v>6878.6093533100011</v>
      </c>
      <c r="G148" s="572">
        <v>4331.4927708200003</v>
      </c>
    </row>
    <row r="149" spans="1:7" ht="15.75" customHeight="1">
      <c r="A149" s="37" t="s">
        <v>19</v>
      </c>
      <c r="B149" s="572">
        <v>-3126.6945520600002</v>
      </c>
      <c r="C149" s="572">
        <v>4482.9042680099992</v>
      </c>
      <c r="D149" s="572">
        <v>-7736.2115726699994</v>
      </c>
      <c r="E149" s="572">
        <v>19834.382163069997</v>
      </c>
      <c r="F149" s="572">
        <v>5643.3262629000001</v>
      </c>
      <c r="G149" s="572">
        <v>6507.5951672600004</v>
      </c>
    </row>
    <row r="150" spans="1:7" ht="15.75" customHeight="1">
      <c r="A150" s="37" t="s">
        <v>20</v>
      </c>
      <c r="B150" s="572">
        <v>-2602.0168227900012</v>
      </c>
      <c r="C150" s="572">
        <v>4861.5508183599995</v>
      </c>
      <c r="D150" s="572">
        <v>-7599.7060326200008</v>
      </c>
      <c r="E150" s="572">
        <v>19729.008490550004</v>
      </c>
      <c r="F150" s="572">
        <v>5092.5902491500001</v>
      </c>
      <c r="G150" s="572">
        <v>7013.8795153299998</v>
      </c>
    </row>
    <row r="151" spans="1:7" ht="15.75" customHeight="1">
      <c r="A151" s="37" t="s">
        <v>21</v>
      </c>
      <c r="B151" s="572">
        <v>-1920.4881913500001</v>
      </c>
      <c r="C151" s="572">
        <v>5312.3738378399994</v>
      </c>
      <c r="D151" s="572">
        <v>-7381.4556557099995</v>
      </c>
      <c r="E151" s="572">
        <v>19717.097326090003</v>
      </c>
      <c r="F151" s="572">
        <v>4580.33506433</v>
      </c>
      <c r="G151" s="572">
        <v>7978.6870730800019</v>
      </c>
    </row>
    <row r="152" spans="1:7" ht="15.75" customHeight="1">
      <c r="A152" s="37" t="s">
        <v>22</v>
      </c>
      <c r="B152" s="572">
        <v>-2076.6141507299994</v>
      </c>
      <c r="C152" s="572">
        <v>5043.8532094800003</v>
      </c>
      <c r="D152" s="572">
        <v>-7246.7848869299996</v>
      </c>
      <c r="E152" s="572">
        <v>19708.305113650003</v>
      </c>
      <c r="F152" s="572">
        <v>4554.1832718900005</v>
      </c>
      <c r="G152" s="572">
        <v>7914.9119722200012</v>
      </c>
    </row>
    <row r="153" spans="1:7" ht="15.75" customHeight="1">
      <c r="A153" s="37" t="s">
        <v>23</v>
      </c>
      <c r="B153" s="572">
        <v>-2029.2156772999967</v>
      </c>
      <c r="C153" s="572">
        <v>4769.0458894500016</v>
      </c>
      <c r="D153" s="572">
        <v>-6926.2751237099983</v>
      </c>
      <c r="E153" s="572">
        <v>19622.373254300004</v>
      </c>
      <c r="F153" s="572">
        <v>4633.2296602300003</v>
      </c>
      <c r="G153" s="572">
        <v>7857.3233085800002</v>
      </c>
    </row>
    <row r="154" spans="1:7" ht="15.75" customHeight="1">
      <c r="A154" s="37" t="s">
        <v>24</v>
      </c>
      <c r="B154" s="572">
        <v>-1765.6060138800028</v>
      </c>
      <c r="C154" s="572">
        <v>4952.4026302699986</v>
      </c>
      <c r="D154" s="572">
        <v>-6823.8239818500015</v>
      </c>
      <c r="E154" s="572">
        <v>19493.113326610001</v>
      </c>
      <c r="F154" s="572">
        <v>4477.2368837800004</v>
      </c>
      <c r="G154" s="572">
        <v>8001.6960249400008</v>
      </c>
    </row>
    <row r="155" spans="1:7" ht="15.75" customHeight="1">
      <c r="A155" s="37" t="s">
        <v>25</v>
      </c>
      <c r="B155" s="572">
        <v>-1491.4169188600008</v>
      </c>
      <c r="C155" s="572">
        <v>4904.7459070099985</v>
      </c>
      <c r="D155" s="572">
        <v>-6524.4099915499992</v>
      </c>
      <c r="E155" s="572">
        <v>19309.197680590005</v>
      </c>
      <c r="F155" s="572">
        <v>4038.7197275000003</v>
      </c>
      <c r="G155" s="572">
        <v>8187.6833754799982</v>
      </c>
    </row>
    <row r="156" spans="1:7" ht="15.75" customHeight="1">
      <c r="A156" s="37" t="s">
        <v>26</v>
      </c>
      <c r="B156" s="572">
        <v>-1272.8679303300039</v>
      </c>
      <c r="C156" s="572">
        <v>4913.3011684099984</v>
      </c>
      <c r="D156" s="572">
        <v>-6311.4061940400024</v>
      </c>
      <c r="E156" s="572">
        <v>18387.245349370001</v>
      </c>
      <c r="F156" s="572">
        <v>3906.7503737700004</v>
      </c>
      <c r="G156" s="572">
        <v>8315.0105631900005</v>
      </c>
    </row>
    <row r="157" spans="1:7" ht="15.75" customHeight="1">
      <c r="A157" s="37" t="s">
        <v>27</v>
      </c>
      <c r="B157" s="572">
        <v>-992.19873984000026</v>
      </c>
      <c r="C157" s="572">
        <v>5039.6943665700001</v>
      </c>
      <c r="D157" s="572">
        <v>-6168.5911537000002</v>
      </c>
      <c r="E157" s="572">
        <v>17896.998184970009</v>
      </c>
      <c r="F157" s="572">
        <v>3924.6269119800004</v>
      </c>
      <c r="G157" s="572">
        <v>8004.8093400300004</v>
      </c>
    </row>
    <row r="158" spans="1:7" ht="15.75" customHeight="1">
      <c r="A158" s="37" t="s">
        <v>28</v>
      </c>
      <c r="B158" s="572">
        <v>-293.08665185999877</v>
      </c>
      <c r="C158" s="572">
        <v>5678.4673300900013</v>
      </c>
      <c r="D158" s="572">
        <v>-6097.48196921</v>
      </c>
      <c r="E158" s="572">
        <v>18062.559156980002</v>
      </c>
      <c r="F158" s="572">
        <v>3867.9456453000003</v>
      </c>
      <c r="G158" s="572">
        <v>8393.2747569000003</v>
      </c>
    </row>
    <row r="159" spans="1:7" ht="15.75" customHeight="1">
      <c r="A159" s="37" t="s">
        <v>29</v>
      </c>
      <c r="B159" s="572">
        <v>-381.84403809999827</v>
      </c>
      <c r="C159" s="572">
        <v>7650.5044214100017</v>
      </c>
      <c r="D159" s="572">
        <v>-8246.8994961699991</v>
      </c>
      <c r="E159" s="572">
        <v>20827.609560839999</v>
      </c>
      <c r="F159" s="572">
        <v>3895.8029514899999</v>
      </c>
      <c r="G159" s="572">
        <v>12608.498140200001</v>
      </c>
    </row>
    <row r="160" spans="1:7" ht="15.75" customHeight="1">
      <c r="A160" s="37" t="s">
        <v>1839</v>
      </c>
      <c r="B160" s="572"/>
      <c r="C160" s="572"/>
      <c r="D160" s="572"/>
      <c r="E160" s="572"/>
      <c r="F160" s="572"/>
      <c r="G160" s="572"/>
    </row>
    <row r="161" spans="1:7" ht="15.75" customHeight="1">
      <c r="A161" s="37" t="s">
        <v>18</v>
      </c>
      <c r="B161" s="572">
        <v>-201.29676440000105</v>
      </c>
      <c r="C161" s="572">
        <v>8009.4738433199991</v>
      </c>
      <c r="D161" s="572">
        <v>-8435.529301980001</v>
      </c>
      <c r="E161" s="572">
        <v>20305.450031090004</v>
      </c>
      <c r="F161" s="572">
        <v>3511.1933166999997</v>
      </c>
      <c r="G161" s="572">
        <v>11927.89790858</v>
      </c>
    </row>
    <row r="162" spans="1:7" ht="15.75" customHeight="1">
      <c r="A162" s="37" t="s">
        <v>19</v>
      </c>
      <c r="B162" s="572">
        <v>125.040998990002</v>
      </c>
      <c r="C162" s="572">
        <v>7350.3548348999993</v>
      </c>
      <c r="D162" s="572">
        <v>-7435.2672752699982</v>
      </c>
      <c r="E162" s="572">
        <v>19471.240562290004</v>
      </c>
      <c r="F162" s="572">
        <v>3717.2535188799998</v>
      </c>
      <c r="G162" s="572">
        <v>10910.386912459999</v>
      </c>
    </row>
    <row r="163" spans="1:7" ht="15.75" customHeight="1">
      <c r="A163" s="37" t="s">
        <v>20</v>
      </c>
      <c r="B163" s="572">
        <v>1891.6467564899963</v>
      </c>
      <c r="C163" s="572">
        <v>9127.5267238299984</v>
      </c>
      <c r="D163" s="572">
        <v>-7460.9849965100002</v>
      </c>
      <c r="E163" s="572">
        <v>18744.457143940002</v>
      </c>
      <c r="F163" s="572">
        <v>3901.8021862799997</v>
      </c>
      <c r="G163" s="572">
        <v>11692.052892049998</v>
      </c>
    </row>
    <row r="164" spans="1:7" ht="15.75" customHeight="1">
      <c r="A164" s="37" t="s">
        <v>21</v>
      </c>
      <c r="B164" s="572">
        <v>2011.6968336899999</v>
      </c>
      <c r="C164" s="572">
        <v>8557.8764045200005</v>
      </c>
      <c r="D164" s="572">
        <v>-6769.0439159300004</v>
      </c>
      <c r="E164" s="572">
        <v>17867.812120589999</v>
      </c>
      <c r="F164" s="572">
        <v>3894.8058592900002</v>
      </c>
      <c r="G164" s="572">
        <v>11359.940588299998</v>
      </c>
    </row>
    <row r="165" spans="1:7" ht="15.75" customHeight="1">
      <c r="A165" s="37" t="s">
        <v>22</v>
      </c>
      <c r="B165" s="572">
        <v>-1055.5446197900001</v>
      </c>
      <c r="C165" s="572">
        <v>5515.0281591300009</v>
      </c>
      <c r="D165" s="572">
        <v>-6722.6995824500009</v>
      </c>
      <c r="E165" s="572">
        <v>17302.279477950004</v>
      </c>
      <c r="F165" s="572">
        <v>4000.7744460499998</v>
      </c>
      <c r="G165" s="572">
        <v>11028.99703251</v>
      </c>
    </row>
    <row r="166" spans="1:7" ht="15.75" customHeight="1">
      <c r="A166" s="37" t="s">
        <v>23</v>
      </c>
      <c r="B166" s="572">
        <v>-1611.2116951100008</v>
      </c>
      <c r="C166" s="572">
        <v>4857.2781757499997</v>
      </c>
      <c r="D166" s="572">
        <v>-6654.2448096400012</v>
      </c>
      <c r="E166" s="572">
        <v>17268.505833039999</v>
      </c>
      <c r="F166" s="572">
        <v>4119.4479135299998</v>
      </c>
      <c r="G166" s="572">
        <v>11044.102895419999</v>
      </c>
    </row>
    <row r="167" spans="1:7" ht="15.75" customHeight="1">
      <c r="A167" s="37" t="s">
        <v>24</v>
      </c>
      <c r="B167" s="572">
        <v>-2102.9249831799984</v>
      </c>
      <c r="C167" s="572">
        <v>4496.1093418900009</v>
      </c>
      <c r="D167" s="572">
        <v>-6469.2430958799996</v>
      </c>
      <c r="E167" s="572">
        <v>15371.013200289999</v>
      </c>
      <c r="F167" s="572">
        <v>4248.29960381</v>
      </c>
      <c r="G167" s="572">
        <v>11003.235107749999</v>
      </c>
    </row>
    <row r="168" spans="1:7" ht="15.75" customHeight="1">
      <c r="A168" s="37" t="s">
        <v>25</v>
      </c>
      <c r="B168" s="572">
        <v>-2424.1354821</v>
      </c>
      <c r="C168" s="572">
        <v>4199.4177083400009</v>
      </c>
      <c r="D168" s="572">
        <v>-6488.6791796800007</v>
      </c>
      <c r="E168" s="572">
        <v>15602.968396580001</v>
      </c>
      <c r="F168" s="572">
        <v>4083.9524868300005</v>
      </c>
      <c r="G168" s="572">
        <v>11292.190008039999</v>
      </c>
    </row>
    <row r="169" spans="1:7" ht="15.75" customHeight="1">
      <c r="A169" s="37" t="s">
        <v>26</v>
      </c>
      <c r="B169" s="572">
        <v>-2628.491758350001</v>
      </c>
      <c r="C169" s="572">
        <v>3870.9183966799992</v>
      </c>
      <c r="D169" s="572">
        <v>-6357.9543645399999</v>
      </c>
      <c r="E169" s="572">
        <v>15539.344503199998</v>
      </c>
      <c r="F169" s="572">
        <v>4273.2557033600006</v>
      </c>
      <c r="G169" s="572">
        <v>10162.649538350001</v>
      </c>
    </row>
    <row r="170" spans="1:7" ht="15.75" customHeight="1">
      <c r="A170" s="37" t="s">
        <v>27</v>
      </c>
      <c r="B170" s="572">
        <v>-2692.2694512399994</v>
      </c>
      <c r="C170" s="572">
        <v>3649.7367286499998</v>
      </c>
      <c r="D170" s="572">
        <v>-6228.9924568299994</v>
      </c>
      <c r="E170" s="572">
        <v>15093.7118677</v>
      </c>
      <c r="F170" s="572">
        <v>4925.6839826599999</v>
      </c>
      <c r="G170" s="572">
        <v>9436.6169671300013</v>
      </c>
    </row>
    <row r="171" spans="1:7" ht="15.75" customHeight="1">
      <c r="A171" s="37" t="s">
        <v>28</v>
      </c>
      <c r="B171" s="572">
        <v>-3690.0380614799988</v>
      </c>
      <c r="C171" s="572">
        <v>3468.3682532299999</v>
      </c>
      <c r="D171" s="572">
        <v>-7039.124039979999</v>
      </c>
      <c r="E171" s="572">
        <v>15754.771128140001</v>
      </c>
      <c r="F171" s="572">
        <v>5106.9937883799994</v>
      </c>
      <c r="G171" s="572">
        <v>9323.2716604599991</v>
      </c>
    </row>
    <row r="172" spans="1:7" ht="15.75" customHeight="1">
      <c r="A172" s="37" t="s">
        <v>29</v>
      </c>
      <c r="B172" s="572">
        <v>-3916.39505715</v>
      </c>
      <c r="C172" s="572">
        <v>3422.4178004700002</v>
      </c>
      <c r="D172" s="572">
        <v>-7224.7670952300005</v>
      </c>
      <c r="E172" s="572">
        <v>15800.215137819996</v>
      </c>
      <c r="F172" s="572">
        <v>5163.1114129699999</v>
      </c>
      <c r="G172" s="572">
        <v>9336.2985531200011</v>
      </c>
    </row>
    <row r="173" spans="1:7" ht="15.75" customHeight="1">
      <c r="A173" s="37" t="s">
        <v>1902</v>
      </c>
      <c r="B173" s="572"/>
      <c r="C173" s="572"/>
      <c r="D173" s="572"/>
      <c r="E173" s="572"/>
      <c r="F173" s="572"/>
      <c r="G173" s="572"/>
    </row>
    <row r="174" spans="1:7" ht="15.75" customHeight="1">
      <c r="A174" s="37" t="s">
        <v>18</v>
      </c>
      <c r="B174" s="572">
        <v>-4190.7273737799978</v>
      </c>
      <c r="C174" s="572">
        <v>4012.9918495600023</v>
      </c>
      <c r="D174" s="572">
        <v>-8071.69103025</v>
      </c>
      <c r="E174" s="572">
        <v>16043.619452580002</v>
      </c>
      <c r="F174" s="572">
        <v>4818.7237495099998</v>
      </c>
      <c r="G174" s="572">
        <v>10276.775721460001</v>
      </c>
    </row>
    <row r="175" spans="1:7" ht="15.75" customHeight="1">
      <c r="A175" s="37" t="s">
        <v>19</v>
      </c>
      <c r="B175" s="572">
        <v>-3747.6469263699992</v>
      </c>
      <c r="C175" s="572">
        <v>3876.0289500799995</v>
      </c>
      <c r="D175" s="572">
        <v>-7511.3404605699989</v>
      </c>
      <c r="E175" s="572">
        <v>15336.818752289999</v>
      </c>
      <c r="F175" s="572">
        <v>4761.22743472</v>
      </c>
      <c r="G175" s="572">
        <v>9368.3620170199974</v>
      </c>
    </row>
    <row r="176" spans="1:7" ht="15.75" customHeight="1">
      <c r="A176" s="37" t="s">
        <v>20</v>
      </c>
      <c r="B176" s="572">
        <v>-4269.2662993600006</v>
      </c>
      <c r="C176" s="572">
        <v>3158.9824006499998</v>
      </c>
      <c r="D176" s="572">
        <v>-7310.9127355299997</v>
      </c>
      <c r="E176" s="572">
        <v>14940.71427762</v>
      </c>
      <c r="F176" s="572">
        <v>4821.3437977499998</v>
      </c>
      <c r="G176" s="572">
        <v>8901.0899751700017</v>
      </c>
    </row>
    <row r="177" spans="1:7" ht="15.75" customHeight="1">
      <c r="A177" s="37" t="s">
        <v>21</v>
      </c>
      <c r="B177" s="572">
        <v>-3796.3410458200001</v>
      </c>
      <c r="C177" s="572">
        <v>3438.2212839399995</v>
      </c>
      <c r="D177" s="572">
        <v>-7099.2776468599995</v>
      </c>
      <c r="E177" s="572">
        <v>15039.261344029997</v>
      </c>
      <c r="F177" s="572">
        <v>5244.3741332299996</v>
      </c>
      <c r="G177" s="572">
        <v>9444.2084124400026</v>
      </c>
    </row>
    <row r="178" spans="1:7" ht="15.75" customHeight="1">
      <c r="A178" s="37" t="s">
        <v>22</v>
      </c>
      <c r="B178" s="572">
        <v>-3161.3523634200001</v>
      </c>
      <c r="C178" s="572">
        <v>3813.4490577900006</v>
      </c>
      <c r="D178" s="572">
        <v>-6829.2161124700006</v>
      </c>
      <c r="E178" s="572">
        <v>14242.480911970002</v>
      </c>
      <c r="F178" s="572">
        <v>5007.6715363500007</v>
      </c>
      <c r="G178" s="572">
        <v>9263.0317598600013</v>
      </c>
    </row>
    <row r="179" spans="1:7" ht="15.75" customHeight="1">
      <c r="A179" s="37" t="s">
        <v>23</v>
      </c>
      <c r="B179" s="572">
        <v>-2986.0455763100003</v>
      </c>
      <c r="C179" s="572">
        <v>3970.3809256999994</v>
      </c>
      <c r="D179" s="572">
        <v>-6800.3995295999994</v>
      </c>
      <c r="E179" s="572">
        <v>13317.323353000002</v>
      </c>
      <c r="F179" s="572">
        <v>4647.7829626000002</v>
      </c>
      <c r="G179" s="572">
        <v>9517.867993089998</v>
      </c>
    </row>
    <row r="180" spans="1:7" ht="15.75" customHeight="1">
      <c r="A180" s="37" t="s">
        <v>24</v>
      </c>
      <c r="B180" s="572">
        <v>-3075.5598461400023</v>
      </c>
      <c r="C180" s="572">
        <v>3965.188330089999</v>
      </c>
      <c r="D180" s="572">
        <v>-6891.034180040001</v>
      </c>
      <c r="E180" s="572">
        <v>12082.472976659998</v>
      </c>
      <c r="F180" s="572">
        <v>4386.4365797899991</v>
      </c>
      <c r="G180" s="572">
        <v>9473.8703593300015</v>
      </c>
    </row>
    <row r="181" spans="1:7" ht="15.75" customHeight="1">
      <c r="A181" s="37" t="s">
        <v>25</v>
      </c>
      <c r="B181" s="572">
        <v>-2617.4671310099998</v>
      </c>
      <c r="C181" s="572">
        <v>3949.8266741799989</v>
      </c>
      <c r="D181" s="572">
        <v>-6428.2612694399986</v>
      </c>
      <c r="E181" s="572">
        <v>11716.552248449996</v>
      </c>
      <c r="F181" s="572">
        <v>4111.6456231299999</v>
      </c>
      <c r="G181" s="572">
        <v>9404.3639945199975</v>
      </c>
    </row>
    <row r="182" spans="1:7">
      <c r="A182" s="37" t="s">
        <v>26</v>
      </c>
      <c r="B182" s="572">
        <v>2404.3261412699994</v>
      </c>
      <c r="C182" s="572">
        <v>5268.1987389199994</v>
      </c>
      <c r="D182" s="572">
        <v>-2706.5493657600005</v>
      </c>
      <c r="E182" s="572">
        <v>11849.985710969999</v>
      </c>
      <c r="F182" s="572">
        <v>4344.3152026299995</v>
      </c>
      <c r="G182" s="572">
        <v>9653.3214406800016</v>
      </c>
    </row>
    <row r="183" spans="1:7" ht="15.75" customHeight="1">
      <c r="A183" s="37" t="s">
        <v>27</v>
      </c>
      <c r="B183" s="572">
        <v>2853.9399167100005</v>
      </c>
      <c r="C183" s="572">
        <v>5565.8885082200004</v>
      </c>
      <c r="D183" s="573">
        <v>-2550.2686528999998</v>
      </c>
      <c r="E183" s="572">
        <v>11661.937746970001</v>
      </c>
      <c r="F183" s="572">
        <v>4437.48570612</v>
      </c>
      <c r="G183" s="572">
        <v>9872.9580160499991</v>
      </c>
    </row>
    <row r="184" spans="1:7" ht="15.75" customHeight="1">
      <c r="A184" s="37" t="s">
        <v>28</v>
      </c>
      <c r="B184" s="572">
        <v>2194.6230655900004</v>
      </c>
      <c r="C184" s="572">
        <v>4868.7511328500004</v>
      </c>
      <c r="D184" s="573">
        <v>-2501.0180724800002</v>
      </c>
      <c r="E184" s="572">
        <v>11817.19033116</v>
      </c>
      <c r="F184" s="572">
        <v>4869.4568190199998</v>
      </c>
      <c r="G184" s="572">
        <v>9442.0783191299997</v>
      </c>
    </row>
    <row r="185" spans="1:7" ht="15.75" customHeight="1">
      <c r="A185" s="37" t="s">
        <v>29</v>
      </c>
      <c r="B185" s="572">
        <v>3409.9475811299994</v>
      </c>
      <c r="C185" s="572">
        <v>5873.9608721199993</v>
      </c>
      <c r="D185" s="573">
        <v>-2308.2827902499998</v>
      </c>
      <c r="E185" s="572">
        <v>11363.186676810003</v>
      </c>
      <c r="F185" s="572">
        <v>4943.7074549300005</v>
      </c>
      <c r="G185" s="572">
        <v>10301.494560519999</v>
      </c>
    </row>
    <row r="186" spans="1:7" ht="15.75" customHeight="1">
      <c r="A186" s="37" t="s">
        <v>2038</v>
      </c>
      <c r="B186" s="570"/>
      <c r="C186" s="570"/>
      <c r="D186" s="571"/>
      <c r="E186" s="570"/>
      <c r="F186" s="570"/>
      <c r="G186" s="570"/>
    </row>
    <row r="187" spans="1:7" ht="15.75" customHeight="1">
      <c r="A187" s="37" t="s">
        <v>18</v>
      </c>
      <c r="B187" s="572">
        <v>4212.3980666200005</v>
      </c>
      <c r="C187" s="572">
        <v>6639.0149916400005</v>
      </c>
      <c r="D187" s="573">
        <v>-2267.2078620900002</v>
      </c>
      <c r="E187" s="572">
        <v>11439.614230220001</v>
      </c>
      <c r="F187" s="572">
        <v>4848.8496793300001</v>
      </c>
      <c r="G187" s="572">
        <v>10470.961439159997</v>
      </c>
    </row>
    <row r="188" spans="1:7" ht="15.75" customHeight="1">
      <c r="A188" s="37" t="s">
        <v>19</v>
      </c>
      <c r="B188" s="572">
        <v>4047.0057169799998</v>
      </c>
      <c r="C188" s="572">
        <v>6472.2573729199994</v>
      </c>
      <c r="D188" s="573">
        <v>-2252.9045289299997</v>
      </c>
      <c r="E188" s="572">
        <v>11216.25471754</v>
      </c>
      <c r="F188" s="572">
        <v>5368.2276504900001</v>
      </c>
      <c r="G188" s="572">
        <v>10115.466074649999</v>
      </c>
    </row>
    <row r="189" spans="1:7" ht="15.75" customHeight="1">
      <c r="A189" s="37" t="s">
        <v>20</v>
      </c>
      <c r="B189" s="572">
        <v>3778.2984616699996</v>
      </c>
      <c r="C189" s="572">
        <v>5871.7940358699998</v>
      </c>
      <c r="D189" s="573">
        <v>-1892.2933891800003</v>
      </c>
      <c r="E189" s="572">
        <v>10921.316064299999</v>
      </c>
      <c r="F189" s="572">
        <v>5563.3513415199996</v>
      </c>
      <c r="G189" s="572">
        <v>9438.9916115300002</v>
      </c>
    </row>
    <row r="190" spans="1:7" ht="15.75" customHeight="1">
      <c r="A190" s="37" t="s">
        <v>21</v>
      </c>
      <c r="B190" s="572">
        <v>3592.7303806800005</v>
      </c>
      <c r="C190" s="572">
        <v>5680.1377143700001</v>
      </c>
      <c r="D190" s="573">
        <v>-1899.7644729699998</v>
      </c>
      <c r="E190" s="572">
        <v>11295.221409450003</v>
      </c>
      <c r="F190" s="572">
        <v>5490.7905435599996</v>
      </c>
      <c r="G190" s="572">
        <v>9681.7691543999972</v>
      </c>
    </row>
    <row r="191" spans="1:7" ht="15.75" customHeight="1">
      <c r="A191" s="37" t="s">
        <v>22</v>
      </c>
      <c r="B191" s="572">
        <v>3479.15590716</v>
      </c>
      <c r="C191" s="572">
        <v>5528.1117789500004</v>
      </c>
      <c r="D191" s="573">
        <v>-1863.8404007500003</v>
      </c>
      <c r="E191" s="572">
        <v>11567.469745009997</v>
      </c>
      <c r="F191" s="572">
        <v>5537.7048556199998</v>
      </c>
      <c r="G191" s="572">
        <v>9536.4588787200009</v>
      </c>
    </row>
    <row r="192" spans="1:7" ht="15.75" customHeight="1">
      <c r="A192" s="37" t="s">
        <v>23</v>
      </c>
      <c r="B192" s="572">
        <v>3943.2377465100003</v>
      </c>
      <c r="C192" s="572">
        <v>5848.0983816900007</v>
      </c>
      <c r="D192" s="573">
        <v>-1823.8675312300004</v>
      </c>
      <c r="E192" s="572">
        <v>11601.38508041</v>
      </c>
      <c r="F192" s="572">
        <v>5802.4542867</v>
      </c>
      <c r="G192" s="572">
        <v>9689.4353700600041</v>
      </c>
    </row>
    <row r="193" spans="1:7" ht="15.75" customHeight="1">
      <c r="A193" s="37" t="s">
        <v>24</v>
      </c>
      <c r="B193" s="572">
        <v>3847.09795519</v>
      </c>
      <c r="C193" s="572">
        <v>5800.5630324600006</v>
      </c>
      <c r="D193" s="573">
        <v>-1884.34041443</v>
      </c>
      <c r="E193" s="572">
        <v>11658.179657479999</v>
      </c>
      <c r="F193" s="572">
        <v>5948.8214082900004</v>
      </c>
      <c r="G193" s="572">
        <v>9368.212829879998</v>
      </c>
    </row>
    <row r="194" spans="1:7" ht="15.75" customHeight="1">
      <c r="A194" s="37" t="s">
        <v>25</v>
      </c>
      <c r="B194" s="572">
        <v>3842.6586807200019</v>
      </c>
      <c r="C194" s="572">
        <v>5763.1412269300017</v>
      </c>
      <c r="D194" s="573">
        <v>-1841.6169257200002</v>
      </c>
      <c r="E194" s="572">
        <v>11908.097342610003</v>
      </c>
      <c r="F194" s="572">
        <v>5955.0833541700013</v>
      </c>
      <c r="G194" s="572">
        <v>9540.559715829997</v>
      </c>
    </row>
    <row r="195" spans="1:7" ht="15.75" customHeight="1">
      <c r="A195" s="37" t="s">
        <v>26</v>
      </c>
      <c r="B195" s="572">
        <v>4276.1929900800014</v>
      </c>
      <c r="C195" s="572">
        <v>6337.8485085200018</v>
      </c>
      <c r="D195" s="573">
        <v>-1927.2737078</v>
      </c>
      <c r="E195" s="572">
        <v>11994.595670209999</v>
      </c>
      <c r="F195" s="572">
        <v>6600.2890993000001</v>
      </c>
      <c r="G195" s="572">
        <v>9626.6787994699971</v>
      </c>
    </row>
    <row r="196" spans="1:7" ht="15.75" customHeight="1">
      <c r="A196" s="37" t="s">
        <v>27</v>
      </c>
      <c r="B196" s="572">
        <v>4392.9443522199972</v>
      </c>
      <c r="C196" s="572">
        <v>6474.4377781199973</v>
      </c>
      <c r="D196" s="573">
        <v>-1932.5671330300002</v>
      </c>
      <c r="E196" s="572">
        <v>12155.465655079997</v>
      </c>
      <c r="F196" s="572">
        <v>6859.5087426600003</v>
      </c>
      <c r="G196" s="572">
        <v>9575.5026535100005</v>
      </c>
    </row>
    <row r="197" spans="1:7" ht="15.75" customHeight="1">
      <c r="A197" s="37" t="s">
        <v>28</v>
      </c>
      <c r="B197" s="572">
        <v>4728.6409499799984</v>
      </c>
      <c r="C197" s="572">
        <v>6822.3521505399985</v>
      </c>
      <c r="D197" s="573">
        <v>-1848.8306502300002</v>
      </c>
      <c r="E197" s="572">
        <v>12613.941619519996</v>
      </c>
      <c r="F197" s="572">
        <v>6807.1593996399997</v>
      </c>
      <c r="G197" s="572">
        <v>9580.0733562099977</v>
      </c>
    </row>
    <row r="198" spans="1:7" ht="15.75" customHeight="1">
      <c r="A198" s="37" t="s">
        <v>29</v>
      </c>
      <c r="B198" s="572">
        <v>3913.7503538499982</v>
      </c>
      <c r="C198" s="572">
        <v>5906.3006015799992</v>
      </c>
      <c r="D198" s="573">
        <v>-1828.1432298000009</v>
      </c>
      <c r="E198" s="572">
        <v>13057.835329099997</v>
      </c>
      <c r="F198" s="572">
        <v>7023.7769741900011</v>
      </c>
      <c r="G198" s="572">
        <v>9399.4873166699999</v>
      </c>
    </row>
    <row r="199" spans="1:7" ht="15.75" customHeight="1">
      <c r="A199" s="37" t="s">
        <v>2131</v>
      </c>
      <c r="B199" s="572"/>
      <c r="C199" s="572"/>
      <c r="D199" s="573"/>
      <c r="E199" s="572"/>
      <c r="F199" s="572"/>
      <c r="G199" s="572"/>
    </row>
    <row r="200" spans="1:7" ht="15.75" customHeight="1">
      <c r="A200" s="37" t="s">
        <v>18</v>
      </c>
      <c r="B200" s="572">
        <v>4557.3518622100009</v>
      </c>
      <c r="C200" s="572">
        <v>6755.4658210500011</v>
      </c>
      <c r="D200" s="572">
        <v>-1913.0635694300001</v>
      </c>
      <c r="E200" s="572">
        <v>12703.17767779</v>
      </c>
      <c r="F200" s="572">
        <v>6652.1843596799999</v>
      </c>
      <c r="G200" s="572">
        <v>9699.7572804800002</v>
      </c>
    </row>
    <row r="201" spans="1:7" ht="15.75" customHeight="1">
      <c r="A201" s="37" t="s">
        <v>19</v>
      </c>
      <c r="B201" s="572">
        <v>5219.7417752099982</v>
      </c>
      <c r="C201" s="572">
        <v>7170.7939403899991</v>
      </c>
      <c r="D201" s="572">
        <v>-1668.7878568700003</v>
      </c>
      <c r="E201" s="572">
        <v>12778.940305229999</v>
      </c>
      <c r="F201" s="572">
        <v>7048.9731638899993</v>
      </c>
      <c r="G201" s="572">
        <v>10152.496141309999</v>
      </c>
    </row>
    <row r="202" spans="1:7" ht="15.75" customHeight="1">
      <c r="A202" s="37" t="s">
        <v>20</v>
      </c>
      <c r="B202" s="572">
        <v>5201.6067936199988</v>
      </c>
      <c r="C202" s="572">
        <v>7077.9326326799992</v>
      </c>
      <c r="D202" s="572">
        <v>-1604.9484858400003</v>
      </c>
      <c r="E202" s="572">
        <v>12776.212547229999</v>
      </c>
      <c r="F202" s="572">
        <v>6744.58795138</v>
      </c>
      <c r="G202" s="572">
        <v>9903.7391661199981</v>
      </c>
    </row>
    <row r="203" spans="1:7" ht="15.75" customHeight="1">
      <c r="A203" s="37" t="s">
        <v>21</v>
      </c>
      <c r="B203" s="572">
        <v>5423.7092575900006</v>
      </c>
      <c r="C203" s="572">
        <v>7243.9871081600004</v>
      </c>
      <c r="D203" s="572">
        <v>-1550.7764948700001</v>
      </c>
      <c r="E203" s="572">
        <v>12746.491232320001</v>
      </c>
      <c r="F203" s="572">
        <v>7169.6070604500001</v>
      </c>
      <c r="G203" s="572">
        <v>9503.7525963400021</v>
      </c>
    </row>
    <row r="204" spans="1:7" ht="15.75" customHeight="1">
      <c r="A204" s="37" t="s">
        <v>22</v>
      </c>
      <c r="B204" s="572">
        <v>4814.2465802100014</v>
      </c>
      <c r="C204" s="572">
        <v>6590.330177740002</v>
      </c>
      <c r="D204" s="572">
        <v>-1507.5744686800006</v>
      </c>
      <c r="E204" s="572">
        <v>12764.291382460002</v>
      </c>
      <c r="F204" s="572">
        <v>7325.3737062600012</v>
      </c>
      <c r="G204" s="572">
        <v>9338.1097441399979</v>
      </c>
    </row>
    <row r="205" spans="1:7" ht="15.75" customHeight="1">
      <c r="A205" s="37" t="s">
        <v>23</v>
      </c>
      <c r="B205" s="572">
        <v>4719.0804133299989</v>
      </c>
      <c r="C205" s="572">
        <v>6482.3758083299981</v>
      </c>
      <c r="D205" s="572">
        <v>-1500.58060383</v>
      </c>
      <c r="E205" s="572">
        <v>13104.776029759998</v>
      </c>
      <c r="F205" s="572">
        <v>7444.3974589499994</v>
      </c>
      <c r="G205" s="572">
        <v>9445.285199599999</v>
      </c>
    </row>
    <row r="206" spans="1:7" ht="15.75" customHeight="1">
      <c r="A206" s="37" t="s">
        <v>24</v>
      </c>
      <c r="B206" s="572">
        <v>4495.9455179200004</v>
      </c>
      <c r="C206" s="572">
        <v>6291.915756970001</v>
      </c>
      <c r="D206" s="572">
        <v>-1471.2185664900003</v>
      </c>
      <c r="E206" s="572">
        <v>13371.491012979996</v>
      </c>
      <c r="F206" s="572">
        <v>7555.3907524399992</v>
      </c>
      <c r="G206" s="572">
        <v>9455.7014128599985</v>
      </c>
    </row>
    <row r="207" spans="1:7" ht="15.75" customHeight="1">
      <c r="A207" s="37" t="s">
        <v>25</v>
      </c>
      <c r="B207" s="572">
        <v>4510.9740653500003</v>
      </c>
      <c r="C207" s="572">
        <v>6368.0289655600009</v>
      </c>
      <c r="D207" s="572">
        <v>-1521.62287952</v>
      </c>
      <c r="E207" s="572">
        <v>13594.453350999996</v>
      </c>
      <c r="F207" s="572">
        <v>7387.61448827</v>
      </c>
      <c r="G207" s="572">
        <v>9530.3416567799977</v>
      </c>
    </row>
    <row r="208" spans="1:7" ht="15.75" customHeight="1">
      <c r="A208" s="37" t="s">
        <v>26</v>
      </c>
      <c r="B208" s="572">
        <v>5120.3525167600019</v>
      </c>
      <c r="C208" s="572">
        <v>6951.9588518500013</v>
      </c>
      <c r="D208" s="572">
        <v>-1480.1283389999999</v>
      </c>
      <c r="E208" s="572">
        <v>13944.7088059</v>
      </c>
      <c r="F208" s="572">
        <v>7625.5622652600014</v>
      </c>
      <c r="G208" s="572">
        <v>10332.835772319999</v>
      </c>
    </row>
    <row r="209" spans="1:7" ht="15.75" customHeight="1">
      <c r="A209" s="37" t="s">
        <v>27</v>
      </c>
      <c r="B209" s="572">
        <v>4988.581153430001</v>
      </c>
      <c r="C209" s="572">
        <v>6929.3245333500017</v>
      </c>
      <c r="D209" s="572">
        <v>-1607.1634390500003</v>
      </c>
      <c r="E209" s="572">
        <v>14176.468375749999</v>
      </c>
      <c r="F209" s="572">
        <v>7631.2049409800002</v>
      </c>
      <c r="G209" s="572">
        <v>10105.603013419999</v>
      </c>
    </row>
    <row r="210" spans="1:7" ht="15.75" customHeight="1">
      <c r="A210" s="37" t="s">
        <v>28</v>
      </c>
      <c r="B210" s="572">
        <v>4585.3430808400017</v>
      </c>
      <c r="C210" s="572">
        <v>6541.1472255900017</v>
      </c>
      <c r="D210" s="572">
        <v>-1666.1490139699999</v>
      </c>
      <c r="E210" s="572">
        <v>14828.83944168</v>
      </c>
      <c r="F210" s="572">
        <v>7821.9288620699999</v>
      </c>
      <c r="G210" s="572">
        <v>10077.374918279998</v>
      </c>
    </row>
    <row r="211" spans="1:7" ht="15.75" customHeight="1">
      <c r="A211" s="37" t="s">
        <v>29</v>
      </c>
      <c r="B211" s="572">
        <v>5231.8161922599993</v>
      </c>
      <c r="C211" s="572">
        <v>7157.0633727299992</v>
      </c>
      <c r="D211" s="572">
        <v>-1645.6228599599997</v>
      </c>
      <c r="E211" s="572">
        <v>15036.395868329997</v>
      </c>
      <c r="F211" s="572">
        <v>8726.4736178599996</v>
      </c>
      <c r="G211" s="572">
        <v>10627.634302310002</v>
      </c>
    </row>
    <row r="212" spans="1:7" ht="15.75" customHeight="1">
      <c r="A212" s="37" t="s">
        <v>2362</v>
      </c>
      <c r="B212" s="572"/>
      <c r="C212" s="572"/>
      <c r="D212" s="572"/>
      <c r="E212" s="572"/>
      <c r="F212" s="572"/>
      <c r="G212" s="572"/>
    </row>
    <row r="213" spans="1:7" ht="15.75" customHeight="1">
      <c r="A213" s="37" t="s">
        <v>18</v>
      </c>
      <c r="B213" s="572">
        <v>5196.687645840002</v>
      </c>
      <c r="C213" s="572">
        <v>7100.2470081000029</v>
      </c>
      <c r="D213" s="572">
        <v>-1604.11451276</v>
      </c>
      <c r="E213" s="572">
        <v>15174.153975789997</v>
      </c>
      <c r="F213" s="572">
        <v>8667.2788304299993</v>
      </c>
      <c r="G213" s="572">
        <v>10584.281511939998</v>
      </c>
    </row>
    <row r="214" spans="1:7" ht="15.75" customHeight="1">
      <c r="A214" s="37" t="s">
        <v>19</v>
      </c>
      <c r="B214" s="572">
        <v>4257.8960412700008</v>
      </c>
      <c r="C214" s="572">
        <v>6773.3073282100004</v>
      </c>
      <c r="D214" s="572">
        <v>-2079.5708070699998</v>
      </c>
      <c r="E214" s="572">
        <v>15453.481209539999</v>
      </c>
      <c r="F214" s="572">
        <v>8707.8784319799997</v>
      </c>
      <c r="G214" s="572">
        <v>10316.76741115</v>
      </c>
    </row>
    <row r="215" spans="1:7" ht="15.75" customHeight="1">
      <c r="A215" s="37" t="s">
        <v>20</v>
      </c>
      <c r="B215" s="572">
        <v>4584.2866505800002</v>
      </c>
      <c r="C215" s="572">
        <v>6701.80481676</v>
      </c>
      <c r="D215" s="572">
        <v>-1715.0402947599998</v>
      </c>
      <c r="E215" s="572">
        <v>15339.275539660002</v>
      </c>
      <c r="F215" s="572">
        <v>7902.6352148499991</v>
      </c>
      <c r="G215" s="572">
        <v>10277.916557160001</v>
      </c>
    </row>
    <row r="216" spans="1:7" ht="15.75" customHeight="1">
      <c r="A216" s="37" t="s">
        <v>21</v>
      </c>
      <c r="B216" s="572">
        <v>4095.7904446199982</v>
      </c>
      <c r="C216" s="572">
        <v>6081.3215812699982</v>
      </c>
      <c r="D216" s="572">
        <v>-1626.5729479200002</v>
      </c>
      <c r="E216" s="572">
        <v>15072.395578970001</v>
      </c>
      <c r="F216" s="572">
        <v>7769.3979194599979</v>
      </c>
      <c r="G216" s="572">
        <v>9807.2294133699997</v>
      </c>
    </row>
    <row r="217" spans="1:7" ht="15.75" customHeight="1">
      <c r="A217" s="37" t="s">
        <v>22</v>
      </c>
      <c r="B217" s="572">
        <v>4387.4734276299969</v>
      </c>
      <c r="C217" s="572">
        <v>6307.6649473199977</v>
      </c>
      <c r="D217" s="572">
        <v>-1599.5317552299998</v>
      </c>
      <c r="E217" s="572">
        <v>14523.218296129999</v>
      </c>
      <c r="F217" s="572">
        <v>8002.5380318799998</v>
      </c>
      <c r="G217" s="572">
        <v>9608.9109846299998</v>
      </c>
    </row>
    <row r="218" spans="1:7" ht="15.75" customHeight="1">
      <c r="A218" s="37" t="s">
        <v>23</v>
      </c>
      <c r="B218" s="572">
        <v>3911.7932920700005</v>
      </c>
      <c r="C218" s="572">
        <v>5642.77274261</v>
      </c>
      <c r="D218" s="572">
        <v>-1471.8138194000001</v>
      </c>
      <c r="E218" s="572">
        <v>14373.889682129999</v>
      </c>
      <c r="F218" s="572">
        <v>7912.4456502499997</v>
      </c>
      <c r="G218" s="572">
        <v>9044.3843893499998</v>
      </c>
    </row>
    <row r="219" spans="1:7" ht="15.75" customHeight="1">
      <c r="A219" s="37" t="s">
        <v>24</v>
      </c>
      <c r="B219" s="572">
        <v>3927.633543240001</v>
      </c>
      <c r="C219" s="572">
        <v>5622.768467070001</v>
      </c>
      <c r="D219" s="572">
        <v>-1419.4901462799999</v>
      </c>
      <c r="E219" s="572">
        <v>14714.01681705</v>
      </c>
      <c r="F219" s="572">
        <v>8194.4520252999991</v>
      </c>
      <c r="G219" s="572">
        <v>8784.2039442000005</v>
      </c>
    </row>
    <row r="220" spans="1:7" ht="15.75" customHeight="1">
      <c r="A220" s="37" t="s">
        <v>25</v>
      </c>
      <c r="B220" s="572">
        <v>4332.8828499999991</v>
      </c>
      <c r="C220" s="572">
        <v>5907.3873607399983</v>
      </c>
      <c r="D220" s="572">
        <v>-1318.1248724999998</v>
      </c>
      <c r="E220" s="572">
        <v>14835.452325189999</v>
      </c>
      <c r="F220" s="572">
        <v>8249.6216460399992</v>
      </c>
      <c r="G220" s="572">
        <v>8814.1426492499977</v>
      </c>
    </row>
    <row r="221" spans="1:7" ht="15.75" customHeight="1">
      <c r="A221" s="37" t="s">
        <v>26</v>
      </c>
      <c r="B221" s="572">
        <v>3591.7786087200002</v>
      </c>
      <c r="C221" s="572">
        <v>5096.4072644300004</v>
      </c>
      <c r="D221" s="572">
        <v>-1265.9736000099999</v>
      </c>
      <c r="E221" s="572">
        <v>14944.390646930002</v>
      </c>
      <c r="F221" s="572">
        <v>8555.3152490100001</v>
      </c>
      <c r="G221" s="572">
        <v>8355.4466016200004</v>
      </c>
    </row>
    <row r="222" spans="1:7" ht="15.75" customHeight="1">
      <c r="A222" s="37" t="s">
        <v>27</v>
      </c>
      <c r="B222" s="572">
        <v>3321.4977545299994</v>
      </c>
      <c r="C222" s="572">
        <v>4769.6523357499991</v>
      </c>
      <c r="D222" s="572">
        <v>-1230.1588439099999</v>
      </c>
      <c r="E222" s="572">
        <v>15302.399984839998</v>
      </c>
      <c r="F222" s="572">
        <v>8578.8494595699995</v>
      </c>
      <c r="G222" s="572">
        <v>8374.3006490700009</v>
      </c>
    </row>
    <row r="223" spans="1:7" ht="15.75" customHeight="1">
      <c r="A223" s="37" t="s">
        <v>28</v>
      </c>
      <c r="B223" s="572">
        <v>3589.9628707099996</v>
      </c>
      <c r="C223" s="572">
        <v>5027.4888536899998</v>
      </c>
      <c r="D223" s="572">
        <v>-1239.5303766400002</v>
      </c>
      <c r="E223" s="572">
        <v>15140.635196690002</v>
      </c>
      <c r="F223" s="572">
        <v>8442.7713959200009</v>
      </c>
      <c r="G223" s="572">
        <v>8533.2469202200009</v>
      </c>
    </row>
    <row r="224" spans="1:7" ht="15.75" customHeight="1">
      <c r="A224" s="37" t="s">
        <v>29</v>
      </c>
      <c r="B224" s="572">
        <v>4065.3819619800011</v>
      </c>
      <c r="C224" s="572">
        <v>5510.7906626700005</v>
      </c>
      <c r="D224" s="572">
        <v>-1220.7485675299999</v>
      </c>
      <c r="E224" s="572">
        <v>14933.871500879997</v>
      </c>
      <c r="F224" s="572">
        <v>9523.0317705399993</v>
      </c>
      <c r="G224" s="572">
        <v>8880.3237868100005</v>
      </c>
    </row>
    <row r="225" spans="1:7" ht="15.75" customHeight="1">
      <c r="A225" s="37" t="s">
        <v>2523</v>
      </c>
      <c r="B225" s="572"/>
      <c r="C225" s="572"/>
      <c r="D225" s="572"/>
      <c r="E225" s="572"/>
      <c r="F225" s="572"/>
      <c r="G225" s="572"/>
    </row>
    <row r="226" spans="1:7" ht="15.75" customHeight="1">
      <c r="A226" s="37" t="s">
        <v>18</v>
      </c>
      <c r="B226" s="572">
        <v>4191.8326471599985</v>
      </c>
      <c r="C226" s="572">
        <v>5675.9762252299988</v>
      </c>
      <c r="D226" s="572">
        <v>-1226.35395599</v>
      </c>
      <c r="E226" s="572">
        <v>14877.395116979997</v>
      </c>
      <c r="F226" s="572">
        <v>9151.1887685000002</v>
      </c>
      <c r="G226" s="572">
        <v>8623.9286387899992</v>
      </c>
    </row>
    <row r="227" spans="1:7" ht="15.75" customHeight="1">
      <c r="A227" s="37" t="s">
        <v>19</v>
      </c>
      <c r="B227" s="572">
        <v>4465.357434210001</v>
      </c>
      <c r="C227" s="572">
        <v>5849.8943403600006</v>
      </c>
      <c r="D227" s="572">
        <v>-1127.3335383100002</v>
      </c>
      <c r="E227" s="572">
        <v>14940.178832529999</v>
      </c>
      <c r="F227" s="572">
        <v>9122.2604139999985</v>
      </c>
      <c r="G227" s="572">
        <v>8990.1640575100009</v>
      </c>
    </row>
    <row r="228" spans="1:7" ht="15.75" customHeight="1">
      <c r="A228" s="37" t="s">
        <v>20</v>
      </c>
      <c r="B228" s="572">
        <v>4430.0668034999999</v>
      </c>
      <c r="C228" s="572">
        <v>5789.7991215100001</v>
      </c>
      <c r="D228" s="572">
        <v>-1094.52842556</v>
      </c>
      <c r="E228" s="572">
        <v>14973.671767880001</v>
      </c>
      <c r="F228" s="572">
        <v>9722.3021522000017</v>
      </c>
      <c r="G228" s="572">
        <v>8979.5857085899988</v>
      </c>
    </row>
    <row r="229" spans="1:7" ht="15.75" customHeight="1">
      <c r="A229" s="37" t="s">
        <v>21</v>
      </c>
      <c r="B229" s="572">
        <v>4438.0162638099982</v>
      </c>
      <c r="C229" s="572">
        <v>5780.8076527699986</v>
      </c>
      <c r="D229" s="572">
        <v>-1079.5003357100002</v>
      </c>
      <c r="E229" s="572">
        <v>15250.671643320004</v>
      </c>
      <c r="F229" s="572">
        <v>10326.086361130001</v>
      </c>
      <c r="G229" s="572">
        <v>8864.5251719500011</v>
      </c>
    </row>
    <row r="230" spans="1:7" ht="15.75" customHeight="1">
      <c r="A230" s="37" t="s">
        <v>22</v>
      </c>
      <c r="B230" s="572">
        <v>4623.3441563300012</v>
      </c>
      <c r="C230" s="572">
        <v>6055.5837866400007</v>
      </c>
      <c r="D230" s="572">
        <v>-1165.1373327800002</v>
      </c>
      <c r="E230" s="572">
        <v>15323.944778999999</v>
      </c>
      <c r="F230" s="572">
        <v>10947.416958760001</v>
      </c>
      <c r="G230" s="572">
        <v>8844.4727850899999</v>
      </c>
    </row>
    <row r="231" spans="1:7" ht="15.75" customHeight="1">
      <c r="A231" s="37" t="s">
        <v>23</v>
      </c>
      <c r="B231" s="572">
        <v>4093.5859992100031</v>
      </c>
      <c r="C231" s="572">
        <v>5494.2637564800025</v>
      </c>
      <c r="D231" s="572">
        <v>-1137.57432862</v>
      </c>
      <c r="E231" s="572">
        <v>15573.909282170001</v>
      </c>
      <c r="F231" s="572">
        <v>10734.663759840001</v>
      </c>
      <c r="G231" s="572">
        <v>8813.1533143600027</v>
      </c>
    </row>
    <row r="232" spans="1:7" ht="15.75" customHeight="1">
      <c r="A232" s="37" t="s">
        <v>24</v>
      </c>
      <c r="B232" s="572">
        <v>4533.756460470001</v>
      </c>
      <c r="C232" s="572">
        <v>5950.412689310001</v>
      </c>
      <c r="D232" s="572">
        <v>-1084.1605924199998</v>
      </c>
      <c r="E232" s="572">
        <v>15633.965863520005</v>
      </c>
      <c r="F232" s="572">
        <v>10782.785901339999</v>
      </c>
      <c r="G232" s="572">
        <v>9666.3776239099989</v>
      </c>
    </row>
    <row r="233" spans="1:7" ht="15.75" customHeight="1">
      <c r="A233" s="37" t="s">
        <v>25</v>
      </c>
      <c r="B233" s="572">
        <v>4230.2118402600008</v>
      </c>
      <c r="C233" s="572">
        <v>5663.4586897000008</v>
      </c>
      <c r="D233" s="572">
        <v>-1033.3976133699998</v>
      </c>
      <c r="E233" s="572">
        <v>15866.601328869998</v>
      </c>
      <c r="F233" s="572">
        <v>10948.186968370001</v>
      </c>
      <c r="G233" s="572">
        <v>9342.2503374299977</v>
      </c>
    </row>
    <row r="234" spans="1:7" ht="15.75" customHeight="1">
      <c r="A234" s="37" t="s">
        <v>26</v>
      </c>
      <c r="B234" s="572">
        <v>4762.2584204800014</v>
      </c>
      <c r="C234" s="572">
        <v>6273.721866750001</v>
      </c>
      <c r="D234" s="572">
        <v>-1117.6306915</v>
      </c>
      <c r="E234" s="572">
        <v>16176.23063507</v>
      </c>
      <c r="F234" s="572">
        <v>11357.60595739</v>
      </c>
      <c r="G234" s="572">
        <v>9804.8834209100005</v>
      </c>
    </row>
    <row r="235" spans="1:7" ht="15.75" customHeight="1">
      <c r="A235" s="37" t="s">
        <v>27</v>
      </c>
      <c r="B235" s="572">
        <v>4481.1597063400013</v>
      </c>
      <c r="C235" s="572">
        <v>5999.9271634900015</v>
      </c>
      <c r="D235" s="572">
        <v>-1113.1853218700001</v>
      </c>
      <c r="E235" s="572">
        <v>16637.722099530001</v>
      </c>
      <c r="F235" s="572">
        <v>11487.619885659999</v>
      </c>
      <c r="G235" s="572">
        <v>9884.4046074100006</v>
      </c>
    </row>
    <row r="236" spans="1:7" ht="15.75" customHeight="1">
      <c r="A236" s="37" t="s">
        <v>28</v>
      </c>
      <c r="B236" s="572">
        <v>5424.9355472999996</v>
      </c>
      <c r="C236" s="572">
        <v>6838.8724776199997</v>
      </c>
      <c r="D236" s="572">
        <v>-1021.8394985100001</v>
      </c>
      <c r="E236" s="572">
        <v>16903.345898200001</v>
      </c>
      <c r="F236" s="572">
        <v>11880.248749730001</v>
      </c>
      <c r="G236" s="572">
        <v>10287.63274843</v>
      </c>
    </row>
    <row r="237" spans="1:7" ht="15.75" customHeight="1">
      <c r="A237" s="37" t="s">
        <v>29</v>
      </c>
      <c r="B237" s="572">
        <v>5806.4240869600007</v>
      </c>
      <c r="C237" s="572">
        <v>7356.1658316200001</v>
      </c>
      <c r="D237" s="572">
        <v>-1063.24557622</v>
      </c>
      <c r="E237" s="572">
        <v>17432.947822030004</v>
      </c>
      <c r="F237" s="572">
        <v>12922.64351949</v>
      </c>
      <c r="G237" s="572">
        <v>10771.74716637</v>
      </c>
    </row>
    <row r="238" spans="1:7" ht="15.75" customHeight="1">
      <c r="A238" s="37" t="s">
        <v>2812</v>
      </c>
      <c r="B238" s="572"/>
      <c r="C238" s="572"/>
      <c r="D238" s="572"/>
      <c r="E238" s="572"/>
      <c r="F238" s="572"/>
      <c r="G238" s="572"/>
    </row>
    <row r="239" spans="1:7" ht="15.75" customHeight="1">
      <c r="A239" s="37" t="s">
        <v>18</v>
      </c>
      <c r="B239" s="572">
        <v>6137.7596728999988</v>
      </c>
      <c r="C239" s="572">
        <v>7657.1123233699991</v>
      </c>
      <c r="D239" s="572">
        <v>-1065.88950075</v>
      </c>
      <c r="E239" s="572">
        <v>17664.256217129998</v>
      </c>
      <c r="F239" s="572">
        <v>12774.936393629998</v>
      </c>
      <c r="G239" s="572">
        <v>11531.95160244</v>
      </c>
    </row>
    <row r="240" spans="1:7" ht="15.75" customHeight="1">
      <c r="A240" s="37" t="s">
        <v>19</v>
      </c>
      <c r="B240" s="572">
        <v>5748.1481050500024</v>
      </c>
      <c r="C240" s="572">
        <v>7461.501525810002</v>
      </c>
      <c r="D240" s="572">
        <v>-1257.9097359399998</v>
      </c>
      <c r="E240" s="572">
        <v>18108.422533050001</v>
      </c>
      <c r="F240" s="572">
        <v>12506.95964146</v>
      </c>
      <c r="G240" s="572">
        <v>10873.690736420003</v>
      </c>
    </row>
    <row r="241" spans="1:7" ht="15.75" customHeight="1">
      <c r="A241" s="37" t="s">
        <v>20</v>
      </c>
      <c r="B241" s="572">
        <v>5627.4933916700029</v>
      </c>
      <c r="C241" s="572">
        <v>7551.1496887500025</v>
      </c>
      <c r="D241" s="572">
        <v>-1409.7123251300002</v>
      </c>
      <c r="E241" s="572">
        <v>18431.213404970007</v>
      </c>
      <c r="F241" s="572">
        <v>13068.204833439999</v>
      </c>
      <c r="G241" s="572">
        <v>11313.393402340003</v>
      </c>
    </row>
    <row r="242" spans="1:7" ht="15.75" customHeight="1">
      <c r="A242" s="37" t="s">
        <v>21</v>
      </c>
      <c r="B242" s="572">
        <v>6331.6471631000004</v>
      </c>
      <c r="C242" s="572">
        <v>8290.7865563699997</v>
      </c>
      <c r="D242" s="572">
        <v>-1416.4237457199999</v>
      </c>
      <c r="E242" s="572">
        <v>18778.023275389998</v>
      </c>
      <c r="F242" s="572">
        <v>13352.83359423</v>
      </c>
      <c r="G242" s="572">
        <v>11421.928799060001</v>
      </c>
    </row>
    <row r="243" spans="1:7" ht="15.75" customHeight="1">
      <c r="A243" s="37" t="s">
        <v>22</v>
      </c>
      <c r="B243" s="572">
        <v>6247.7618802300003</v>
      </c>
      <c r="C243" s="572">
        <v>8274.17402081</v>
      </c>
      <c r="D243" s="572">
        <v>-1482.6513110799997</v>
      </c>
      <c r="E243" s="572">
        <v>19105.334922900001</v>
      </c>
      <c r="F243" s="572">
        <v>14114.45901653</v>
      </c>
      <c r="G243" s="572">
        <v>11629.988329289999</v>
      </c>
    </row>
    <row r="244" spans="1:7" ht="15.75" customHeight="1">
      <c r="A244" s="37" t="s">
        <v>23</v>
      </c>
      <c r="B244" s="572">
        <v>6656.7361235599983</v>
      </c>
      <c r="C244" s="572">
        <v>8759.5343765099988</v>
      </c>
      <c r="D244" s="572">
        <v>-1581.0903788800001</v>
      </c>
      <c r="E244" s="572">
        <v>19447.286774370004</v>
      </c>
      <c r="F244" s="572">
        <v>14446.128739329999</v>
      </c>
      <c r="G244" s="572">
        <v>12126.086020550003</v>
      </c>
    </row>
    <row r="245" spans="1:7" ht="15.75" customHeight="1">
      <c r="A245" s="37" t="s">
        <v>24</v>
      </c>
      <c r="B245" s="572">
        <v>6926.3784694000005</v>
      </c>
      <c r="C245" s="572">
        <v>9026.0548391299999</v>
      </c>
      <c r="D245" s="572">
        <v>-1624.4809430300002</v>
      </c>
      <c r="E245" s="572">
        <v>19647.958738629997</v>
      </c>
      <c r="F245" s="572">
        <v>14113.43569029</v>
      </c>
      <c r="G245" s="572">
        <v>11989.539702620001</v>
      </c>
    </row>
    <row r="246" spans="1:7" ht="15.75" customHeight="1">
      <c r="A246" s="37" t="s">
        <v>25</v>
      </c>
      <c r="B246" s="572">
        <v>6843.0038521500019</v>
      </c>
      <c r="C246" s="572">
        <v>9052.4252467900023</v>
      </c>
      <c r="D246" s="572">
        <v>-1686.48953011</v>
      </c>
      <c r="E246" s="572">
        <v>19828.250462769996</v>
      </c>
      <c r="F246" s="572">
        <v>14798.166153359998</v>
      </c>
      <c r="G246" s="572">
        <v>12091.095377910002</v>
      </c>
    </row>
    <row r="247" spans="1:7" ht="15.75" customHeight="1">
      <c r="A247" s="37" t="s">
        <v>26</v>
      </c>
      <c r="B247" s="572">
        <v>7029.4426297299988</v>
      </c>
      <c r="C247" s="572">
        <v>9346.6963265300001</v>
      </c>
      <c r="D247" s="572">
        <v>-1807.5861182900003</v>
      </c>
      <c r="E247" s="572">
        <v>20352.808314019992</v>
      </c>
      <c r="F247" s="572">
        <v>15390.747202359998</v>
      </c>
      <c r="G247" s="572">
        <v>12451.67459205</v>
      </c>
    </row>
    <row r="248" spans="1:7" ht="15.75" customHeight="1">
      <c r="A248" s="37" t="s">
        <v>27</v>
      </c>
      <c r="B248" s="572">
        <v>6654.2222445300004</v>
      </c>
      <c r="C248" s="572">
        <v>9081.4307249800004</v>
      </c>
      <c r="D248" s="572">
        <v>-1844.8756565200003</v>
      </c>
      <c r="E248" s="572">
        <v>20638.016606299996</v>
      </c>
      <c r="F248" s="572">
        <v>16029.904932810001</v>
      </c>
      <c r="G248" s="572">
        <v>12474.129656120002</v>
      </c>
    </row>
    <row r="249" spans="1:7" ht="15.75" customHeight="1">
      <c r="A249" s="37" t="s">
        <v>28</v>
      </c>
      <c r="B249" s="572">
        <v>6465.0405708800035</v>
      </c>
      <c r="C249" s="572">
        <v>8845.4109318300034</v>
      </c>
      <c r="D249" s="572">
        <v>-1769.2911849800003</v>
      </c>
      <c r="E249" s="572">
        <v>21105.466911740001</v>
      </c>
      <c r="F249" s="572">
        <v>15937.333966119999</v>
      </c>
      <c r="G249" s="572">
        <v>13068.296860040002</v>
      </c>
    </row>
    <row r="250" spans="1:7" ht="15.75" customHeight="1">
      <c r="A250" s="37" t="s">
        <v>29</v>
      </c>
      <c r="B250" s="572">
        <v>6427.7297985000014</v>
      </c>
      <c r="C250" s="572">
        <v>8802.8654382700006</v>
      </c>
      <c r="D250" s="572">
        <v>-1761.9476733299998</v>
      </c>
      <c r="E250" s="572">
        <v>20472.839225040007</v>
      </c>
      <c r="F250" s="572">
        <v>16251.92880792</v>
      </c>
      <c r="G250" s="572">
        <v>13259.326033890002</v>
      </c>
    </row>
    <row r="251" spans="1:7" ht="15.75" customHeight="1">
      <c r="A251" s="37" t="s">
        <v>3500</v>
      </c>
      <c r="B251" s="572"/>
      <c r="C251" s="572"/>
      <c r="D251" s="572"/>
      <c r="E251" s="572"/>
      <c r="F251" s="572"/>
      <c r="G251" s="572"/>
    </row>
    <row r="252" spans="1:7" ht="15.75" customHeight="1">
      <c r="A252" s="37" t="s">
        <v>18</v>
      </c>
      <c r="B252" s="572">
        <v>6870.4038068700011</v>
      </c>
      <c r="C252" s="572">
        <v>9280.3083577100006</v>
      </c>
      <c r="D252" s="572">
        <v>-1815.0200415199999</v>
      </c>
      <c r="E252" s="572">
        <v>21288.890944710001</v>
      </c>
      <c r="F252" s="572">
        <v>15656.682615970001</v>
      </c>
      <c r="G252" s="572">
        <v>13098.125702299996</v>
      </c>
    </row>
    <row r="253" spans="1:7" ht="15.75" customHeight="1">
      <c r="A253" s="37" t="s">
        <v>19</v>
      </c>
      <c r="B253" s="572">
        <v>6364.5668408699985</v>
      </c>
      <c r="C253" s="572">
        <v>9082.9587362899983</v>
      </c>
      <c r="D253" s="572">
        <v>-2087.7765365599998</v>
      </c>
      <c r="E253" s="572">
        <v>21116.176848379997</v>
      </c>
      <c r="F253" s="572">
        <v>15438.993411279998</v>
      </c>
      <c r="G253" s="572">
        <v>12714.27263159</v>
      </c>
    </row>
    <row r="254" spans="1:7" ht="15.75" customHeight="1">
      <c r="A254" s="37" t="s">
        <v>20</v>
      </c>
      <c r="B254" s="572">
        <v>4630.2659166499989</v>
      </c>
      <c r="C254" s="572">
        <v>7455.4698765599996</v>
      </c>
      <c r="D254" s="572">
        <v>-2152.0668421199998</v>
      </c>
      <c r="E254" s="572">
        <v>21403.629193590001</v>
      </c>
      <c r="F254" s="572">
        <v>16004.873711070002</v>
      </c>
      <c r="G254" s="572">
        <v>11384.296746960001</v>
      </c>
    </row>
    <row r="255" spans="1:7" ht="15.75" customHeight="1">
      <c r="A255" s="37" t="s">
        <v>21</v>
      </c>
      <c r="B255" s="572">
        <v>5467.665318289999</v>
      </c>
      <c r="C255" s="572">
        <v>8683.169084879999</v>
      </c>
      <c r="D255" s="572">
        <v>-2543.9890756399996</v>
      </c>
      <c r="E255" s="572">
        <v>21520.688835459991</v>
      </c>
      <c r="F255" s="572">
        <v>16283.53410683</v>
      </c>
      <c r="G255" s="572">
        <v>10986.40940368</v>
      </c>
    </row>
    <row r="256" spans="1:7" ht="15.75" customHeight="1">
      <c r="A256" s="37" t="s">
        <v>22</v>
      </c>
      <c r="B256" s="572">
        <v>5445.1955113499998</v>
      </c>
      <c r="C256" s="572">
        <v>8723.2978415400012</v>
      </c>
      <c r="D256" s="572">
        <v>-2555.0728779600008</v>
      </c>
      <c r="E256" s="572">
        <v>21471.025684899989</v>
      </c>
      <c r="F256" s="572">
        <v>16389.915054519999</v>
      </c>
      <c r="G256" s="572">
        <v>11002.97143908</v>
      </c>
    </row>
    <row r="257" spans="1:7" ht="15.75" customHeight="1">
      <c r="A257" s="37" t="s">
        <v>23</v>
      </c>
      <c r="B257" s="572">
        <v>4251.2573894599991</v>
      </c>
      <c r="C257" s="572">
        <v>7568.7598715200002</v>
      </c>
      <c r="D257" s="572">
        <v>-2569.79178116</v>
      </c>
      <c r="E257" s="572">
        <v>22335.133190169996</v>
      </c>
      <c r="F257" s="572">
        <v>16861.469248489997</v>
      </c>
      <c r="G257" s="572">
        <v>9835.9814372399997</v>
      </c>
    </row>
    <row r="258" spans="1:7" ht="15.75" customHeight="1">
      <c r="A258" s="37" t="s">
        <v>24</v>
      </c>
      <c r="B258" s="572">
        <v>3597.1391804699992</v>
      </c>
      <c r="C258" s="572">
        <v>6735.2438901599999</v>
      </c>
      <c r="D258" s="572">
        <v>-2331.2165324799998</v>
      </c>
      <c r="E258" s="572">
        <v>22513.200543559997</v>
      </c>
      <c r="F258" s="572">
        <v>16983.56178684</v>
      </c>
      <c r="G258" s="572">
        <v>9355.5675312299991</v>
      </c>
    </row>
    <row r="259" spans="1:7" ht="15.75" customHeight="1">
      <c r="A259" s="37" t="s">
        <v>25</v>
      </c>
      <c r="B259" s="572">
        <v>3037.535828569999</v>
      </c>
      <c r="C259" s="572">
        <v>6152.3340265299994</v>
      </c>
      <c r="D259" s="572">
        <v>-2353.0502440500004</v>
      </c>
      <c r="E259" s="572">
        <v>22719.850545200003</v>
      </c>
      <c r="F259" s="572">
        <v>17422.495845680001</v>
      </c>
      <c r="G259" s="572">
        <v>9082.8117849399987</v>
      </c>
    </row>
    <row r="260" spans="1:7" ht="15.75" customHeight="1">
      <c r="A260" s="1398" t="s">
        <v>26</v>
      </c>
      <c r="B260" s="1397">
        <v>2879.3142490599989</v>
      </c>
      <c r="C260" s="1397">
        <v>6048.5899231899994</v>
      </c>
      <c r="D260" s="1397">
        <v>-2364.4109169300004</v>
      </c>
      <c r="E260" s="1397">
        <v>23087.726836369999</v>
      </c>
      <c r="F260" s="1397">
        <v>18438.66185524</v>
      </c>
      <c r="G260" s="1397">
        <v>8843.329898330001</v>
      </c>
    </row>
    <row r="261" spans="1:7" ht="15.75" customHeight="1">
      <c r="A261" s="1398" t="s">
        <v>27</v>
      </c>
      <c r="B261" s="1397">
        <v>3155.1445346100013</v>
      </c>
      <c r="C261" s="1397">
        <v>6320.7827869600005</v>
      </c>
      <c r="D261" s="1397">
        <v>-2328.8096229699995</v>
      </c>
      <c r="E261" s="1397">
        <v>22961.073278830001</v>
      </c>
      <c r="F261" s="1397">
        <v>18492.134779239997</v>
      </c>
      <c r="G261" s="1397">
        <v>9458.639313130001</v>
      </c>
    </row>
    <row r="262" spans="1:7" ht="15.75" customHeight="1">
      <c r="A262" s="1398" t="s">
        <v>28</v>
      </c>
      <c r="B262" s="1397">
        <v>2825.8880662700012</v>
      </c>
      <c r="C262" s="1397">
        <v>5886.6510849700007</v>
      </c>
      <c r="D262" s="1397">
        <v>-2227.14281957</v>
      </c>
      <c r="E262" s="1397">
        <v>23286.30599253</v>
      </c>
      <c r="F262" s="1397">
        <v>19081.098897309999</v>
      </c>
      <c r="G262" s="1397">
        <v>9162.3474958899969</v>
      </c>
    </row>
    <row r="263" spans="1:7" ht="15.75" customHeight="1">
      <c r="A263" s="1398" t="s">
        <v>29</v>
      </c>
      <c r="B263" s="1397">
        <v>2672.8708134400008</v>
      </c>
      <c r="C263" s="1397">
        <v>6281.7434747700008</v>
      </c>
      <c r="D263" s="1397">
        <v>-2598.1537920499995</v>
      </c>
      <c r="E263" s="1397">
        <v>23489.571247119999</v>
      </c>
      <c r="F263" s="1397">
        <v>19453.203078050003</v>
      </c>
      <c r="G263" s="1397">
        <v>9701.6225689100011</v>
      </c>
    </row>
    <row r="264" spans="1:7" ht="15.75" customHeight="1">
      <c r="A264" s="1398" t="s">
        <v>3971</v>
      </c>
      <c r="B264" s="1397"/>
      <c r="C264" s="1397"/>
      <c r="D264" s="1397"/>
      <c r="E264" s="1397"/>
      <c r="F264" s="1397"/>
      <c r="G264" s="1397"/>
    </row>
    <row r="265" spans="1:7" ht="15.75" customHeight="1">
      <c r="A265" s="1398" t="s">
        <v>18</v>
      </c>
      <c r="B265" s="1397">
        <v>2885.6390079699991</v>
      </c>
      <c r="C265" s="1397">
        <v>6382.5893970899997</v>
      </c>
      <c r="D265" s="1397">
        <v>-2496.1450008700003</v>
      </c>
      <c r="E265" s="1397">
        <v>23979.402651959997</v>
      </c>
      <c r="F265" s="1397">
        <v>18818.605601449999</v>
      </c>
      <c r="G265" s="1397">
        <v>10661.465875510001</v>
      </c>
    </row>
    <row r="266" spans="1:7" ht="15.75" customHeight="1">
      <c r="A266" s="1398" t="s">
        <v>19</v>
      </c>
      <c r="B266" s="1397">
        <v>2531.3146955300017</v>
      </c>
      <c r="C266" s="1397">
        <v>5636.8101454300022</v>
      </c>
      <c r="D266" s="1397">
        <v>-2120.53756337</v>
      </c>
      <c r="E266" s="1397">
        <v>24395.710689939995</v>
      </c>
      <c r="F266" s="1397">
        <v>19018.336162079999</v>
      </c>
      <c r="G266" s="1397">
        <v>10498.637445010001</v>
      </c>
    </row>
    <row r="267" spans="1:7" ht="15.75" customHeight="1">
      <c r="A267" s="1398" t="s">
        <v>20</v>
      </c>
      <c r="B267" s="1397">
        <v>2722.5354007900019</v>
      </c>
      <c r="C267" s="1397">
        <v>5989.2335392200021</v>
      </c>
      <c r="D267" s="1397">
        <v>-2408.7865536400004</v>
      </c>
      <c r="E267" s="1397">
        <v>24565.355564489997</v>
      </c>
      <c r="F267" s="1397">
        <v>19017.70378181</v>
      </c>
      <c r="G267" s="1397">
        <v>10376.65241608</v>
      </c>
    </row>
    <row r="268" spans="1:7" ht="15.75" customHeight="1">
      <c r="A268" s="1398" t="s">
        <v>21</v>
      </c>
      <c r="B268" s="1397">
        <v>3863.8817207300035</v>
      </c>
      <c r="C268" s="1397">
        <v>7150.0077065000032</v>
      </c>
      <c r="D268" s="1397">
        <v>-2417.5933474400003</v>
      </c>
      <c r="E268" s="1397">
        <v>25042.42226499</v>
      </c>
      <c r="F268" s="1397">
        <v>18970.19203853</v>
      </c>
      <c r="G268" s="1397">
        <v>11007.004201650001</v>
      </c>
    </row>
    <row r="269" spans="1:7" ht="15.75" customHeight="1">
      <c r="A269" s="1398" t="s">
        <v>22</v>
      </c>
      <c r="B269" s="1397">
        <v>3430.6665952899984</v>
      </c>
      <c r="C269" s="1397">
        <v>6577.3144637999985</v>
      </c>
      <c r="D269" s="1397">
        <v>-2273.1376452500008</v>
      </c>
      <c r="E269" s="1397">
        <v>25449.952293029997</v>
      </c>
      <c r="F269" s="1397">
        <v>18979.2086203</v>
      </c>
      <c r="G269" s="1397">
        <v>10438.161188820002</v>
      </c>
    </row>
    <row r="270" spans="1:7" ht="15.75" customHeight="1">
      <c r="A270" s="1398" t="s">
        <v>23</v>
      </c>
      <c r="B270" s="1397">
        <v>2774.9401531000021</v>
      </c>
      <c r="C270" s="1397">
        <v>6305.835174220002</v>
      </c>
      <c r="D270" s="1397">
        <v>-2574.2449505999998</v>
      </c>
      <c r="E270" s="1397">
        <v>25785.013632470007</v>
      </c>
      <c r="F270" s="1397">
        <v>19536.85609782</v>
      </c>
      <c r="G270" s="1397">
        <v>9934.8117318099994</v>
      </c>
    </row>
    <row r="271" spans="1:7" ht="15.75" customHeight="1">
      <c r="A271" s="1398" t="s">
        <v>24</v>
      </c>
      <c r="B271" s="1397">
        <v>2782.1155156300019</v>
      </c>
      <c r="C271" s="1397">
        <v>6191.0935811300023</v>
      </c>
      <c r="D271" s="1397">
        <v>-2519.3069927000006</v>
      </c>
      <c r="E271" s="1397">
        <v>25954.730567039998</v>
      </c>
      <c r="F271" s="1397">
        <v>19551.283973370002</v>
      </c>
      <c r="G271" s="1397">
        <v>9466.2616060299988</v>
      </c>
    </row>
    <row r="272" spans="1:7" ht="15.75" customHeight="1">
      <c r="A272" s="1398" t="s">
        <v>25</v>
      </c>
      <c r="B272" s="1397">
        <v>3485.7361115253348</v>
      </c>
      <c r="C272" s="1397">
        <v>6711.9543293603292</v>
      </c>
      <c r="D272" s="1397">
        <v>-2548.8668709549947</v>
      </c>
      <c r="E272" s="1397">
        <v>26160.352005145294</v>
      </c>
      <c r="F272" s="1397">
        <v>19376.879313869998</v>
      </c>
      <c r="G272" s="1397">
        <v>9747.9723258700014</v>
      </c>
    </row>
    <row r="273" spans="1:7" ht="15.75" customHeight="1">
      <c r="A273" s="1398" t="s">
        <v>26</v>
      </c>
      <c r="B273" s="1397">
        <v>3358.8987816464746</v>
      </c>
      <c r="C273" s="1397">
        <v>6689.6601356175333</v>
      </c>
      <c r="D273" s="1397">
        <v>-2619.3430171618397</v>
      </c>
      <c r="E273" s="1397">
        <v>26704.28693854493</v>
      </c>
      <c r="F273" s="1397">
        <v>19859.72854769</v>
      </c>
      <c r="G273" s="1397">
        <v>9813.7227865099994</v>
      </c>
    </row>
    <row r="274" spans="1:7" ht="15.75" customHeight="1">
      <c r="A274" s="1398" t="s">
        <v>27</v>
      </c>
      <c r="B274" s="1397">
        <v>3341.7792923606476</v>
      </c>
      <c r="C274" s="1397">
        <v>6718.1029022607154</v>
      </c>
      <c r="D274" s="1397">
        <v>-2634.7682059690683</v>
      </c>
      <c r="E274" s="1397">
        <v>26885.704399570845</v>
      </c>
      <c r="F274" s="1397">
        <v>18876.432501889998</v>
      </c>
      <c r="G274" s="1397">
        <v>9825.7487416300028</v>
      </c>
    </row>
    <row r="275" spans="1:7" ht="15.75" customHeight="1">
      <c r="A275" s="1398" t="s">
        <v>28</v>
      </c>
      <c r="B275" s="1397">
        <v>3274.5394817113906</v>
      </c>
      <c r="C275" s="1397">
        <v>6799.0571979522992</v>
      </c>
      <c r="D275" s="1397">
        <v>-2674.0400532609087</v>
      </c>
      <c r="E275" s="1397">
        <v>27092.107084653653</v>
      </c>
      <c r="F275" s="1397">
        <v>19025.009256099998</v>
      </c>
      <c r="G275" s="1397">
        <v>10052.812278219999</v>
      </c>
    </row>
    <row r="276" spans="1:7" ht="15.75" customHeight="1">
      <c r="A276" s="1398" t="s">
        <v>29</v>
      </c>
      <c r="B276" s="1397">
        <v>2777.6572268674995</v>
      </c>
      <c r="C276" s="1397">
        <v>6572.0470841884799</v>
      </c>
      <c r="D276" s="1397">
        <v>-2585.4770984199999</v>
      </c>
      <c r="E276" s="1397">
        <v>27234.28993079592</v>
      </c>
      <c r="F276" s="1397">
        <v>20790.518069099999</v>
      </c>
      <c r="G276" s="1397">
        <v>9842.8603842499979</v>
      </c>
    </row>
    <row r="277" spans="1:7" ht="15.75" customHeight="1">
      <c r="A277" s="1398" t="s">
        <v>4202</v>
      </c>
      <c r="B277" s="1397"/>
      <c r="C277" s="1397"/>
      <c r="D277" s="1397"/>
      <c r="E277" s="1397"/>
      <c r="F277" s="1397"/>
      <c r="G277" s="1397"/>
    </row>
    <row r="278" spans="1:7" ht="15.75" customHeight="1">
      <c r="A278" s="1398" t="s">
        <v>18</v>
      </c>
      <c r="B278" s="1397">
        <v>4730.9446944168358</v>
      </c>
      <c r="C278" s="1397">
        <v>8486.8834875360244</v>
      </c>
      <c r="D278" s="1397">
        <v>-2623.6274602094259</v>
      </c>
      <c r="E278" s="1397">
        <v>27219.348685858917</v>
      </c>
      <c r="F278" s="1397">
        <v>19466.689896390002</v>
      </c>
      <c r="G278" s="1397">
        <v>10810.177519659999</v>
      </c>
    </row>
    <row r="279" spans="1:7" ht="15.75" customHeight="1">
      <c r="A279" s="1398" t="s">
        <v>19</v>
      </c>
      <c r="B279" s="1397">
        <v>4908.6066850667457</v>
      </c>
      <c r="C279" s="1397">
        <v>8679.4598993771742</v>
      </c>
      <c r="D279" s="1397">
        <v>-2607.2726040889543</v>
      </c>
      <c r="E279" s="1397">
        <v>27315.963145143411</v>
      </c>
      <c r="F279" s="1397">
        <v>19886.21689956</v>
      </c>
      <c r="G279" s="1397">
        <v>11233.031912790002</v>
      </c>
    </row>
    <row r="280" spans="1:7" ht="15.75" customHeight="1">
      <c r="A280" s="1398" t="s">
        <v>20</v>
      </c>
      <c r="B280" s="1397">
        <v>5145.8258167245849</v>
      </c>
      <c r="C280" s="1397">
        <v>8965.6511774421087</v>
      </c>
      <c r="D280" s="1397">
        <v>-2683.3278280643417</v>
      </c>
      <c r="E280" s="1397">
        <v>27633.610587143692</v>
      </c>
      <c r="F280" s="1397">
        <v>19483.79074837</v>
      </c>
      <c r="G280" s="1397">
        <v>11171.723995569999</v>
      </c>
    </row>
    <row r="281" spans="1:7" ht="15.75" customHeight="1">
      <c r="A281" s="1398" t="s">
        <v>21</v>
      </c>
      <c r="B281" s="1397">
        <v>5168.7360188993407</v>
      </c>
      <c r="C281" s="1397">
        <v>8778.4219058033468</v>
      </c>
      <c r="D281" s="1397">
        <v>-2369.6600273841782</v>
      </c>
      <c r="E281" s="1397">
        <v>27803.202181655983</v>
      </c>
      <c r="F281" s="1397">
        <v>19392.341444809997</v>
      </c>
      <c r="G281" s="1397">
        <v>11766.940221449999</v>
      </c>
    </row>
    <row r="282" spans="1:7" ht="15.75" customHeight="1">
      <c r="A282" s="1398" t="s">
        <v>22</v>
      </c>
      <c r="B282" s="1397">
        <v>6340.3282932900756</v>
      </c>
      <c r="C282" s="1397">
        <v>10286.809677506319</v>
      </c>
      <c r="D282" s="1397">
        <v>-2716.2396193294171</v>
      </c>
      <c r="E282" s="1397">
        <v>28141.505057382998</v>
      </c>
      <c r="F282" s="1397">
        <v>19591.109957510002</v>
      </c>
      <c r="G282" s="1397">
        <v>12537.272225590001</v>
      </c>
    </row>
    <row r="283" spans="1:7" ht="15.75" customHeight="1">
      <c r="A283" s="1398" t="s">
        <v>23</v>
      </c>
      <c r="B283" s="1397">
        <v>5047.4234336769696</v>
      </c>
      <c r="C283" s="1397">
        <v>8984.816587338124</v>
      </c>
      <c r="D283" s="1397">
        <v>-2716.8193968129381</v>
      </c>
      <c r="E283" s="1397">
        <v>28161.613348731</v>
      </c>
      <c r="F283" s="1397">
        <v>20225.623697179995</v>
      </c>
      <c r="G283" s="1397">
        <v>11650.210113750001</v>
      </c>
    </row>
    <row r="284" spans="1:7" ht="15.75" customHeight="1">
      <c r="A284" s="1398" t="s">
        <v>24</v>
      </c>
      <c r="B284" s="1397">
        <v>4849.3736025571707</v>
      </c>
      <c r="C284" s="1397">
        <v>8758.9206719997565</v>
      </c>
      <c r="D284" s="1397">
        <v>-2740.2498087285362</v>
      </c>
      <c r="E284" s="1397">
        <v>28164.995095689996</v>
      </c>
      <c r="F284" s="1397">
        <v>20005.185662849999</v>
      </c>
      <c r="G284" s="1397">
        <v>11015.745399700001</v>
      </c>
    </row>
    <row r="285" spans="1:7" ht="15.75" customHeight="1">
      <c r="A285" s="1398" t="s">
        <v>25</v>
      </c>
      <c r="B285" s="1397">
        <v>5442.8249924921975</v>
      </c>
      <c r="C285" s="1397">
        <v>9379.967766435233</v>
      </c>
      <c r="D285" s="1397">
        <v>-2763.5875498435744</v>
      </c>
      <c r="E285" s="1397">
        <v>28356.871649123994</v>
      </c>
      <c r="F285" s="1397">
        <v>19977.493421769999</v>
      </c>
      <c r="G285" s="1397">
        <v>10949.89193991</v>
      </c>
    </row>
    <row r="286" spans="1:7" ht="15.75" customHeight="1">
      <c r="A286" s="1398" t="s">
        <v>26</v>
      </c>
      <c r="B286" s="1397">
        <v>4978.3279986709522</v>
      </c>
      <c r="C286" s="1397">
        <v>8992.1881397880425</v>
      </c>
      <c r="D286" s="1397">
        <v>-2926.0721103553651</v>
      </c>
      <c r="E286" s="1397">
        <v>28825.599802978988</v>
      </c>
      <c r="F286" s="1397">
        <v>20176.724495779999</v>
      </c>
      <c r="G286" s="1397">
        <v>10797.537983439997</v>
      </c>
    </row>
    <row r="287" spans="1:7" ht="15.75" customHeight="1">
      <c r="A287" s="1398" t="s">
        <v>27</v>
      </c>
      <c r="B287" s="1397">
        <v>4993.0399746432104</v>
      </c>
      <c r="C287" s="1397">
        <v>9072.7630974377844</v>
      </c>
      <c r="D287" s="1397">
        <v>-2959.6280932556974</v>
      </c>
      <c r="E287" s="1397">
        <v>28926.471838888614</v>
      </c>
      <c r="F287" s="1397">
        <v>19944.561670510004</v>
      </c>
      <c r="G287" s="1397">
        <v>10461.377552800001</v>
      </c>
    </row>
    <row r="288" spans="1:7" ht="15.75" customHeight="1">
      <c r="A288" s="1398" t="s">
        <v>28</v>
      </c>
      <c r="B288" s="1397">
        <v>5627.0364606848489</v>
      </c>
      <c r="C288" s="1397">
        <v>9780.9376597394221</v>
      </c>
      <c r="D288" s="1397">
        <v>-3054.4975432088081</v>
      </c>
      <c r="E288" s="1397">
        <v>29245.179052585398</v>
      </c>
      <c r="F288" s="1397">
        <v>20345.429468410002</v>
      </c>
      <c r="G288" s="1397">
        <v>11060.83992391</v>
      </c>
    </row>
    <row r="289" spans="1:10" ht="15.75" customHeight="1">
      <c r="A289" s="1398" t="s">
        <v>29</v>
      </c>
      <c r="B289" s="1397">
        <v>4036.5682555994904</v>
      </c>
      <c r="C289" s="1397">
        <v>8432.0115250547369</v>
      </c>
      <c r="D289" s="1397">
        <v>-3261.7710541620531</v>
      </c>
      <c r="E289" s="1397">
        <v>29592.511431789495</v>
      </c>
      <c r="F289" s="1397">
        <v>22438.40944594</v>
      </c>
      <c r="G289" s="1397">
        <v>9466.5783526600026</v>
      </c>
    </row>
    <row r="290" spans="1:10" ht="15.75" customHeight="1">
      <c r="A290" s="1398" t="s">
        <v>4465</v>
      </c>
      <c r="B290" s="1397"/>
      <c r="C290" s="1397"/>
      <c r="D290" s="1397"/>
      <c r="E290" s="1397"/>
      <c r="F290" s="1397"/>
      <c r="G290" s="1397"/>
    </row>
    <row r="291" spans="1:10" ht="15.75" customHeight="1">
      <c r="A291" s="1398" t="s">
        <v>18</v>
      </c>
      <c r="B291" s="1397">
        <v>4126.3081695496458</v>
      </c>
      <c r="C291" s="1397">
        <v>8458.4770219309485</v>
      </c>
      <c r="D291" s="1397">
        <v>-3136.6887489257824</v>
      </c>
      <c r="E291" s="1397">
        <v>29525.979555733011</v>
      </c>
      <c r="F291" s="1397">
        <v>20765.027673829998</v>
      </c>
      <c r="G291" s="1397">
        <v>9875.4603019199985</v>
      </c>
    </row>
    <row r="292" spans="1:10" ht="15.75" customHeight="1">
      <c r="A292" s="1398" t="s">
        <v>19</v>
      </c>
      <c r="B292" s="1397">
        <v>4321.4325767440241</v>
      </c>
      <c r="C292" s="1397">
        <v>8656.6080495617462</v>
      </c>
      <c r="D292" s="1397">
        <v>-3166.1341992510274</v>
      </c>
      <c r="E292" s="1397">
        <v>29666.30928340408</v>
      </c>
      <c r="F292" s="1397">
        <v>21145.183052549997</v>
      </c>
      <c r="G292" s="1397">
        <v>9920.2361741900004</v>
      </c>
    </row>
    <row r="293" spans="1:10" ht="15.75" customHeight="1">
      <c r="A293" s="1398" t="s">
        <v>20</v>
      </c>
      <c r="B293" s="1397">
        <v>5131.1140722580585</v>
      </c>
      <c r="C293" s="1397">
        <v>9162.1438879665347</v>
      </c>
      <c r="D293" s="1397">
        <v>-2794.8024718027118</v>
      </c>
      <c r="E293" s="1397">
        <v>29562.886254170993</v>
      </c>
      <c r="F293" s="1397">
        <v>21637.437763230002</v>
      </c>
      <c r="G293" s="1397">
        <v>9978.15141038</v>
      </c>
    </row>
    <row r="294" spans="1:10" ht="15.75" customHeight="1">
      <c r="A294" s="1398" t="s">
        <v>21</v>
      </c>
      <c r="B294" s="1397">
        <v>4699.0396106644566</v>
      </c>
      <c r="C294" s="1397">
        <v>8583.6990620030192</v>
      </c>
      <c r="D294" s="1397">
        <v>-2499.6477751419025</v>
      </c>
      <c r="E294" s="1397">
        <v>29850.437864368996</v>
      </c>
      <c r="F294" s="1397">
        <v>22148.117666350001</v>
      </c>
      <c r="G294" s="1397">
        <v>9685.8094483299992</v>
      </c>
    </row>
    <row r="295" spans="1:10" ht="15.75" customHeight="1">
      <c r="A295" s="1398" t="s">
        <v>22</v>
      </c>
      <c r="B295" s="1397">
        <v>4645.3626325114292</v>
      </c>
      <c r="C295" s="1397">
        <v>9011.2591694102375</v>
      </c>
      <c r="D295" s="1397">
        <v>-3006.1103555664758</v>
      </c>
      <c r="E295" s="1397">
        <v>30169.222651610009</v>
      </c>
      <c r="F295" s="1397">
        <v>23076.707391489999</v>
      </c>
      <c r="G295" s="1397">
        <v>9538.5239345399987</v>
      </c>
    </row>
    <row r="296" spans="1:10" ht="13.9" customHeight="1">
      <c r="A296" s="1399" t="s">
        <v>23</v>
      </c>
      <c r="B296" s="1400">
        <v>4207.2642115506405</v>
      </c>
      <c r="C296" s="1400">
        <v>8810.2182511813189</v>
      </c>
      <c r="D296" s="1400">
        <v>-3113.0342732522913</v>
      </c>
      <c r="E296" s="1400">
        <v>31059.950607660998</v>
      </c>
      <c r="F296" s="1400">
        <v>24258.89985541</v>
      </c>
      <c r="G296" s="1400">
        <v>9670.3050259899992</v>
      </c>
    </row>
    <row r="297" spans="1:10" s="725" customFormat="1" ht="12.75" customHeight="1">
      <c r="A297" s="2172" t="s">
        <v>4186</v>
      </c>
      <c r="B297" s="2172"/>
      <c r="C297" s="2172"/>
      <c r="D297" s="2172"/>
      <c r="E297" s="2172"/>
      <c r="F297" s="2172"/>
      <c r="G297" s="2172"/>
      <c r="H297" s="726"/>
      <c r="I297" s="726"/>
      <c r="J297" s="726"/>
    </row>
    <row r="298" spans="1:10" s="725" customFormat="1" ht="12.75" customHeight="1">
      <c r="A298" s="2172" t="s">
        <v>2679</v>
      </c>
      <c r="B298" s="2172"/>
      <c r="C298" s="2172"/>
      <c r="D298" s="2172"/>
      <c r="E298" s="2172"/>
      <c r="F298" s="2172"/>
      <c r="G298" s="2172"/>
      <c r="H298" s="727"/>
      <c r="I298" s="728"/>
      <c r="J298" s="728"/>
    </row>
    <row r="299" spans="1:10" s="725" customFormat="1" ht="12.75" customHeight="1">
      <c r="A299" s="2172" t="s">
        <v>2680</v>
      </c>
      <c r="B299" s="2172"/>
      <c r="C299" s="2172"/>
      <c r="D299" s="2172"/>
      <c r="E299" s="2172"/>
      <c r="F299" s="2172"/>
      <c r="G299" s="2172"/>
      <c r="H299" s="728"/>
      <c r="I299" s="728"/>
      <c r="J299" s="728"/>
    </row>
  </sheetData>
  <mergeCells count="18">
    <mergeCell ref="B8:B9"/>
    <mergeCell ref="A8:A9"/>
    <mergeCell ref="A297:G297"/>
    <mergeCell ref="A298:G298"/>
    <mergeCell ref="A299:G299"/>
    <mergeCell ref="C8:D8"/>
    <mergeCell ref="G8:G9"/>
    <mergeCell ref="F8:F9"/>
    <mergeCell ref="E8:E9"/>
    <mergeCell ref="A2:G2"/>
    <mergeCell ref="A3:G3"/>
    <mergeCell ref="A5:G5"/>
    <mergeCell ref="C6:D6"/>
    <mergeCell ref="B6:B7"/>
    <mergeCell ref="A6:A7"/>
    <mergeCell ref="E6:E7"/>
    <mergeCell ref="F6:F7"/>
    <mergeCell ref="G6:G7"/>
  </mergeCells>
  <pageMargins left="0.39" right="0.17" top="0.49" bottom="0.17" header="0.17" footer="0.17"/>
  <pageSetup scale="20" orientation="portrait" r:id="rId1"/>
  <ignoredErrors>
    <ignoredError sqref="A191:A23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tabColor rgb="FF92D050"/>
  </sheetPr>
  <dimension ref="A2:CE316"/>
  <sheetViews>
    <sheetView showGridLines="0" view="pageBreakPreview" zoomScale="85" zoomScaleSheetLayoutView="85" workbookViewId="0">
      <pane ySplit="39" topLeftCell="A293" activePane="bottomLeft" state="frozen"/>
      <selection activeCell="F40" sqref="F40"/>
      <selection pane="bottomLeft" activeCell="J317" sqref="J317"/>
    </sheetView>
  </sheetViews>
  <sheetFormatPr defaultColWidth="8.85546875" defaultRowHeight="12.95" customHeight="1"/>
  <cols>
    <col min="1" max="1" width="10.7109375" style="44" customWidth="1"/>
    <col min="2" max="2" width="15" style="9" customWidth="1"/>
    <col min="3" max="4" width="16.7109375" style="9" customWidth="1"/>
    <col min="5" max="6" width="21.42578125" style="9" customWidth="1"/>
    <col min="7" max="8" width="16.7109375" style="9" customWidth="1"/>
    <col min="9" max="10" width="19.42578125" style="9" customWidth="1"/>
    <col min="11" max="11" width="17.85546875" style="9" hidden="1" customWidth="1"/>
    <col min="12" max="12" width="11.7109375" style="9" hidden="1" customWidth="1"/>
    <col min="13" max="13" width="13.7109375" style="9" hidden="1" customWidth="1"/>
    <col min="14" max="14" width="8.85546875" style="9" customWidth="1"/>
    <col min="15" max="15" width="13.7109375" style="9" bestFit="1" customWidth="1"/>
    <col min="16" max="80" width="8.85546875" style="9"/>
    <col min="81" max="81" width="0" style="9" hidden="1" customWidth="1"/>
    <col min="82" max="16384" width="8.85546875" style="9"/>
  </cols>
  <sheetData>
    <row r="2" spans="1:83" s="47" customFormat="1" ht="22.5" customHeight="1">
      <c r="A2" s="2177" t="s">
        <v>2713</v>
      </c>
      <c r="B2" s="2177"/>
      <c r="C2" s="2177"/>
      <c r="D2" s="2177"/>
      <c r="E2" s="2177"/>
      <c r="F2" s="2177"/>
      <c r="G2" s="2177"/>
      <c r="H2" s="2177"/>
      <c r="I2" s="2177"/>
      <c r="J2" s="2177"/>
      <c r="K2" s="46"/>
    </row>
    <row r="3" spans="1:83" s="47" customFormat="1" ht="29.25" customHeight="1">
      <c r="A3" s="2178" t="s">
        <v>2714</v>
      </c>
      <c r="B3" s="2178"/>
      <c r="C3" s="2178"/>
      <c r="D3" s="2178"/>
      <c r="E3" s="2178"/>
      <c r="F3" s="2178"/>
      <c r="G3" s="2178"/>
      <c r="H3" s="2178"/>
      <c r="I3" s="2178"/>
      <c r="J3" s="2178"/>
    </row>
    <row r="4" spans="1:83" s="47" customFormat="1" ht="17.25" customHeight="1">
      <c r="A4" s="489"/>
      <c r="B4" s="489"/>
      <c r="C4" s="489"/>
      <c r="D4" s="489"/>
      <c r="E4" s="489"/>
      <c r="F4" s="489"/>
      <c r="G4" s="489"/>
      <c r="H4" s="489"/>
      <c r="I4" s="489"/>
      <c r="J4" s="489"/>
    </row>
    <row r="5" spans="1:83" s="47" customFormat="1" ht="17.25" customHeight="1">
      <c r="A5" s="2179" t="s">
        <v>8</v>
      </c>
      <c r="B5" s="2179"/>
      <c r="C5" s="2179"/>
      <c r="D5" s="2179"/>
      <c r="E5" s="2179"/>
      <c r="F5" s="2179"/>
      <c r="G5" s="2179"/>
      <c r="H5" s="2179"/>
      <c r="I5" s="2179"/>
      <c r="J5" s="2179"/>
      <c r="K5" s="408"/>
    </row>
    <row r="6" spans="1:83" ht="15.75" customHeight="1">
      <c r="A6" s="2175" t="s">
        <v>182</v>
      </c>
      <c r="B6" s="2175" t="s">
        <v>1143</v>
      </c>
      <c r="C6" s="2175" t="s">
        <v>122</v>
      </c>
      <c r="D6" s="2175"/>
      <c r="E6" s="2175"/>
      <c r="F6" s="2175"/>
      <c r="G6" s="2175"/>
      <c r="H6" s="2175"/>
      <c r="I6" s="2175" t="s">
        <v>125</v>
      </c>
      <c r="J6" s="2175"/>
      <c r="K6" s="44"/>
      <c r="CD6" s="287" t="s">
        <v>2049</v>
      </c>
      <c r="CE6" s="306" t="s">
        <v>2050</v>
      </c>
    </row>
    <row r="7" spans="1:83" ht="15.75">
      <c r="A7" s="2175"/>
      <c r="B7" s="2175"/>
      <c r="C7" s="2175" t="s">
        <v>1144</v>
      </c>
      <c r="D7" s="2175" t="s">
        <v>123</v>
      </c>
      <c r="E7" s="2175"/>
      <c r="F7" s="2175"/>
      <c r="G7" s="2175"/>
      <c r="H7" s="2175" t="s">
        <v>1221</v>
      </c>
      <c r="I7" s="2175" t="s">
        <v>126</v>
      </c>
      <c r="J7" s="2175" t="s">
        <v>127</v>
      </c>
      <c r="K7" s="44"/>
      <c r="BZ7" s="9">
        <f>BZ9+BZ21+BZ31+BZ39</f>
        <v>0</v>
      </c>
      <c r="CD7" s="9">
        <f>CD9+CD21+CD31+CD39</f>
        <v>622</v>
      </c>
      <c r="CE7" s="307">
        <f>BZ7+CA7+CB7+CD7</f>
        <v>622</v>
      </c>
    </row>
    <row r="8" spans="1:83" ht="15.75">
      <c r="A8" s="2175"/>
      <c r="B8" s="2175"/>
      <c r="C8" s="2175"/>
      <c r="D8" s="2175" t="s">
        <v>128</v>
      </c>
      <c r="E8" s="2175" t="s">
        <v>122</v>
      </c>
      <c r="F8" s="2175"/>
      <c r="G8" s="2175" t="s">
        <v>1219</v>
      </c>
      <c r="H8" s="2175"/>
      <c r="I8" s="2175"/>
      <c r="J8" s="2175"/>
      <c r="K8" s="44"/>
      <c r="CE8" s="307"/>
    </row>
    <row r="9" spans="1:83" ht="15.75">
      <c r="A9" s="2175"/>
      <c r="B9" s="2175"/>
      <c r="C9" s="2175"/>
      <c r="D9" s="2175"/>
      <c r="E9" s="2175" t="s">
        <v>129</v>
      </c>
      <c r="F9" s="2175" t="s">
        <v>1216</v>
      </c>
      <c r="G9" s="2175"/>
      <c r="H9" s="2175"/>
      <c r="I9" s="2175"/>
      <c r="J9" s="2175"/>
      <c r="K9" s="44"/>
      <c r="CD9" s="9">
        <f>CD11+CD16</f>
        <v>1713</v>
      </c>
      <c r="CE9" s="307">
        <f>BZ9+CA9+CB9+CD9</f>
        <v>1713</v>
      </c>
    </row>
    <row r="10" spans="1:83" ht="30.75" customHeight="1">
      <c r="A10" s="2175"/>
      <c r="B10" s="2175"/>
      <c r="C10" s="2175"/>
      <c r="D10" s="2175"/>
      <c r="E10" s="2175"/>
      <c r="F10" s="2175"/>
      <c r="G10" s="2175"/>
      <c r="H10" s="2175"/>
      <c r="I10" s="2175"/>
      <c r="J10" s="2175"/>
      <c r="K10" s="44"/>
      <c r="CE10" s="307"/>
    </row>
    <row r="11" spans="1:83" ht="15.75">
      <c r="A11" s="2176" t="s">
        <v>283</v>
      </c>
      <c r="B11" s="2176" t="s">
        <v>130</v>
      </c>
      <c r="C11" s="2176" t="s">
        <v>131</v>
      </c>
      <c r="D11" s="2176"/>
      <c r="E11" s="2176"/>
      <c r="F11" s="2176"/>
      <c r="G11" s="2176"/>
      <c r="H11" s="2176"/>
      <c r="I11" s="2176" t="s">
        <v>132</v>
      </c>
      <c r="J11" s="2176"/>
      <c r="CD11" s="9">
        <f>CD13+CD14</f>
        <v>4361</v>
      </c>
      <c r="CE11" s="307">
        <f>BZ11+CA11+CB11+CD11</f>
        <v>4361</v>
      </c>
    </row>
    <row r="12" spans="1:83" ht="15.75">
      <c r="A12" s="2181"/>
      <c r="B12" s="2176"/>
      <c r="C12" s="2176" t="s">
        <v>133</v>
      </c>
      <c r="D12" s="2176" t="s">
        <v>131</v>
      </c>
      <c r="E12" s="2176"/>
      <c r="F12" s="2176"/>
      <c r="G12" s="2176"/>
      <c r="H12" s="2176" t="s">
        <v>1220</v>
      </c>
      <c r="I12" s="2176" t="s">
        <v>2750</v>
      </c>
      <c r="J12" s="2176" t="s">
        <v>2749</v>
      </c>
      <c r="CE12" s="307"/>
    </row>
    <row r="13" spans="1:83" ht="15.75">
      <c r="A13" s="2181"/>
      <c r="B13" s="2176"/>
      <c r="C13" s="2176"/>
      <c r="D13" s="2176" t="s">
        <v>134</v>
      </c>
      <c r="E13" s="2176" t="s">
        <v>106</v>
      </c>
      <c r="F13" s="2176"/>
      <c r="G13" s="2176" t="s">
        <v>1218</v>
      </c>
      <c r="H13" s="2176"/>
      <c r="I13" s="2176"/>
      <c r="J13" s="2176"/>
      <c r="CD13" s="9">
        <v>3917</v>
      </c>
      <c r="CE13" s="307">
        <f>BZ13+CA13+CB13+CD13</f>
        <v>3917</v>
      </c>
    </row>
    <row r="14" spans="1:83" ht="15.75">
      <c r="A14" s="2181"/>
      <c r="B14" s="2176"/>
      <c r="C14" s="2176"/>
      <c r="D14" s="2176"/>
      <c r="E14" s="2176" t="s">
        <v>135</v>
      </c>
      <c r="F14" s="2176" t="s">
        <v>1217</v>
      </c>
      <c r="G14" s="2176"/>
      <c r="H14" s="2176"/>
      <c r="I14" s="2176"/>
      <c r="J14" s="2176"/>
      <c r="CD14" s="9">
        <v>444</v>
      </c>
      <c r="CE14" s="307">
        <f t="shared" ref="CE14:CE55" si="0">BZ14+CA14+CB14+CD14</f>
        <v>444</v>
      </c>
    </row>
    <row r="15" spans="1:83" ht="27" customHeight="1">
      <c r="A15" s="2181"/>
      <c r="B15" s="2176"/>
      <c r="C15" s="2176"/>
      <c r="D15" s="2176"/>
      <c r="E15" s="2176"/>
      <c r="F15" s="2176"/>
      <c r="G15" s="2176"/>
      <c r="H15" s="2176"/>
      <c r="I15" s="2176"/>
      <c r="J15" s="2176"/>
      <c r="CE15" s="307"/>
    </row>
    <row r="16" spans="1:83" ht="15.75" hidden="1">
      <c r="A16" s="418">
        <v>1995</v>
      </c>
      <c r="B16" s="11">
        <f>1299.6/5</f>
        <v>259.91999999999996</v>
      </c>
      <c r="C16" s="11">
        <f>957.6/5</f>
        <v>191.52</v>
      </c>
      <c r="D16" s="11">
        <f>925/5</f>
        <v>185</v>
      </c>
      <c r="E16" s="8">
        <f>602.4/5</f>
        <v>120.47999999999999</v>
      </c>
      <c r="F16" s="8">
        <f>+D16-E16</f>
        <v>64.52000000000001</v>
      </c>
      <c r="G16" s="8">
        <f>+C16-D16</f>
        <v>6.5200000000000102</v>
      </c>
      <c r="H16" s="8">
        <f>+B16-C16</f>
        <v>68.399999999999949</v>
      </c>
      <c r="I16" s="45">
        <v>1.44</v>
      </c>
      <c r="J16" s="49">
        <v>1.3</v>
      </c>
      <c r="K16" s="45"/>
      <c r="CD16" s="9">
        <f>CD18+CD19</f>
        <v>-2648</v>
      </c>
      <c r="CE16" s="307">
        <f t="shared" si="0"/>
        <v>-2648</v>
      </c>
    </row>
    <row r="17" spans="1:83" ht="15.75" hidden="1">
      <c r="A17" s="418">
        <f>A16+1</f>
        <v>1996</v>
      </c>
      <c r="B17" s="11">
        <f>1545.1/5</f>
        <v>309.02</v>
      </c>
      <c r="C17" s="11">
        <f>1204.2/5</f>
        <v>240.84</v>
      </c>
      <c r="D17" s="11">
        <f>1173.7/5</f>
        <v>234.74</v>
      </c>
      <c r="E17" s="8">
        <f>865.4/5</f>
        <v>173.07999999999998</v>
      </c>
      <c r="F17" s="8">
        <f>+D17-E17</f>
        <v>61.660000000000025</v>
      </c>
      <c r="G17" s="8">
        <f>+C17-D17</f>
        <v>6.0999999999999943</v>
      </c>
      <c r="H17" s="8">
        <f>+B17-C17</f>
        <v>68.179999999999978</v>
      </c>
      <c r="I17" s="45">
        <v>1.46</v>
      </c>
      <c r="J17" s="49">
        <v>1.22</v>
      </c>
      <c r="K17" s="45"/>
      <c r="CE17" s="307"/>
    </row>
    <row r="18" spans="1:83" ht="15.75" hidden="1">
      <c r="A18" s="418">
        <f>A17+1</f>
        <v>1997</v>
      </c>
      <c r="B18" s="11">
        <f>2063.7/5</f>
        <v>412.73999999999995</v>
      </c>
      <c r="C18" s="11">
        <f>1556.3/5</f>
        <v>311.26</v>
      </c>
      <c r="D18" s="11">
        <f>1537.9/5</f>
        <v>307.58000000000004</v>
      </c>
      <c r="E18" s="9">
        <f>1170.5/5</f>
        <v>234.1</v>
      </c>
      <c r="F18" s="8">
        <f>+D18-E18</f>
        <v>73.480000000000047</v>
      </c>
      <c r="G18" s="8">
        <f>+C18-D18</f>
        <v>3.67999999999995</v>
      </c>
      <c r="H18" s="8">
        <f>+B18-C18</f>
        <v>101.47999999999996</v>
      </c>
      <c r="I18" s="45">
        <v>1.45</v>
      </c>
      <c r="J18" s="49">
        <v>1.1169884446996339</v>
      </c>
      <c r="K18" s="45"/>
      <c r="CD18" s="9">
        <v>-367</v>
      </c>
      <c r="CE18" s="307">
        <f t="shared" si="0"/>
        <v>-367</v>
      </c>
    </row>
    <row r="19" spans="1:83" ht="15.75" hidden="1">
      <c r="A19" s="418">
        <f>A18+1</f>
        <v>1998</v>
      </c>
      <c r="B19" s="11">
        <f>1712.9/5</f>
        <v>342.58000000000004</v>
      </c>
      <c r="C19" s="47">
        <f>1218.5/5</f>
        <v>243.7</v>
      </c>
      <c r="D19" s="47">
        <f>1202.5/5</f>
        <v>240.5</v>
      </c>
      <c r="E19" s="8">
        <v>185.2</v>
      </c>
      <c r="F19" s="8">
        <f>+D19-E19</f>
        <v>55.300000000000011</v>
      </c>
      <c r="G19" s="8">
        <f>+C19-D19</f>
        <v>3.1999999999999886</v>
      </c>
      <c r="H19" s="8">
        <f>+B19-C19</f>
        <v>98.880000000000052</v>
      </c>
      <c r="I19" s="45">
        <v>1.5</v>
      </c>
      <c r="J19" s="49">
        <v>1.1499999999999999</v>
      </c>
      <c r="K19" s="45"/>
      <c r="CD19" s="9">
        <v>-2281</v>
      </c>
      <c r="CE19" s="307">
        <f t="shared" si="0"/>
        <v>-2281</v>
      </c>
    </row>
    <row r="20" spans="1:83" ht="15.75" hidden="1">
      <c r="A20" s="418">
        <f>A19+1</f>
        <v>1999</v>
      </c>
      <c r="B20" s="8">
        <v>418.5</v>
      </c>
      <c r="C20" s="9">
        <v>280.89999999999998</v>
      </c>
      <c r="D20" s="8">
        <v>278</v>
      </c>
      <c r="E20" s="9">
        <v>227.2</v>
      </c>
      <c r="F20" s="8">
        <f>+D20-E20</f>
        <v>50.800000000000011</v>
      </c>
      <c r="G20" s="8">
        <f>+C20-D20</f>
        <v>2.8999999999999773</v>
      </c>
      <c r="H20" s="8">
        <f>+B20-C20</f>
        <v>137.60000000000002</v>
      </c>
      <c r="I20" s="45">
        <v>1.5796029289650486</v>
      </c>
      <c r="J20" s="49">
        <v>1.1200000000000001</v>
      </c>
      <c r="K20" s="45"/>
      <c r="CE20" s="307"/>
    </row>
    <row r="21" spans="1:83" ht="15.75" hidden="1">
      <c r="A21" s="418"/>
      <c r="E21" s="8"/>
      <c r="F21" s="8"/>
      <c r="G21" s="8"/>
      <c r="H21" s="8"/>
      <c r="I21" s="45"/>
      <c r="J21" s="49"/>
      <c r="K21" s="45"/>
      <c r="CD21" s="9">
        <f>CD23+CD24</f>
        <v>-797</v>
      </c>
      <c r="CE21" s="307">
        <f t="shared" si="0"/>
        <v>-797</v>
      </c>
    </row>
    <row r="22" spans="1:83" ht="15.75" hidden="1">
      <c r="A22" s="418">
        <f>A20+1</f>
        <v>2000</v>
      </c>
      <c r="B22" s="9">
        <v>781.36</v>
      </c>
      <c r="C22" s="9">
        <v>325.8</v>
      </c>
      <c r="D22" s="9">
        <v>315.5</v>
      </c>
      <c r="E22" s="8">
        <v>270</v>
      </c>
      <c r="F22" s="8">
        <f>+D22-E22</f>
        <v>45.5</v>
      </c>
      <c r="G22" s="8">
        <f>+C22-D22</f>
        <v>10.300000000000011</v>
      </c>
      <c r="H22" s="8">
        <f>+B22-C22</f>
        <v>455.56</v>
      </c>
      <c r="I22" s="45">
        <v>2.2129828933952647</v>
      </c>
      <c r="J22" s="49">
        <v>1.056420233463035</v>
      </c>
      <c r="K22" s="45"/>
      <c r="CE22" s="307"/>
    </row>
    <row r="23" spans="1:83" ht="15.75" hidden="1">
      <c r="A23" s="418">
        <f>A22+1</f>
        <v>2001</v>
      </c>
      <c r="B23" s="8">
        <v>687.31689665169006</v>
      </c>
      <c r="C23" s="8">
        <v>350.72034710799807</v>
      </c>
      <c r="D23" s="8">
        <v>338.62053305583208</v>
      </c>
      <c r="E23" s="8">
        <v>293.79736867848004</v>
      </c>
      <c r="F23" s="8">
        <f>+D23-E23</f>
        <v>44.823164377352043</v>
      </c>
      <c r="G23" s="8">
        <f>+C23-D23</f>
        <v>12.099814052165982</v>
      </c>
      <c r="H23" s="8">
        <f>+B23-C23</f>
        <v>336.59654954369199</v>
      </c>
      <c r="I23" s="45">
        <v>1.92</v>
      </c>
      <c r="J23" s="49">
        <v>1.0445674163989052</v>
      </c>
      <c r="K23" s="45"/>
      <c r="CD23" s="9">
        <v>-644</v>
      </c>
      <c r="CE23" s="307">
        <f t="shared" si="0"/>
        <v>-644</v>
      </c>
    </row>
    <row r="24" spans="1:83" ht="15.75" hidden="1">
      <c r="A24" s="418">
        <f>A23+1</f>
        <v>2002</v>
      </c>
      <c r="B24" s="8">
        <v>785.75896751412006</v>
      </c>
      <c r="C24" s="8">
        <v>405.02479882353805</v>
      </c>
      <c r="D24" s="8">
        <v>393.45344481966401</v>
      </c>
      <c r="E24" s="8">
        <v>333.74568082834202</v>
      </c>
      <c r="F24" s="8">
        <f>+D24-E24</f>
        <v>59.707763991321997</v>
      </c>
      <c r="G24" s="8">
        <f>+C24-D24</f>
        <v>11.571354003874035</v>
      </c>
      <c r="H24" s="8">
        <f>+B24-C24</f>
        <v>380.73416869058201</v>
      </c>
      <c r="I24" s="45">
        <v>1.92</v>
      </c>
      <c r="J24" s="49">
        <v>1.0823227736524388</v>
      </c>
      <c r="K24" s="45"/>
      <c r="CD24" s="9">
        <v>-153</v>
      </c>
      <c r="CE24" s="307">
        <f t="shared" si="0"/>
        <v>-153</v>
      </c>
    </row>
    <row r="25" spans="1:83" ht="15.75" hidden="1">
      <c r="A25" s="418">
        <f>A24+1</f>
        <v>2003</v>
      </c>
      <c r="B25" s="8">
        <v>1020.0667327168321</v>
      </c>
      <c r="C25" s="8">
        <v>519.04552047792811</v>
      </c>
      <c r="D25" s="8">
        <v>499.81892348548007</v>
      </c>
      <c r="E25" s="8">
        <v>408.17522567792406</v>
      </c>
      <c r="F25" s="8">
        <f>+D25-E25</f>
        <v>91.643697807556009</v>
      </c>
      <c r="G25" s="8">
        <f>+C25-D25</f>
        <v>19.226596992448037</v>
      </c>
      <c r="H25" s="8">
        <f>+B25-C25</f>
        <v>501.02121223890401</v>
      </c>
      <c r="I25" s="45">
        <v>2.0099999999999998</v>
      </c>
      <c r="J25" s="49">
        <v>1.1191709844559585</v>
      </c>
      <c r="K25" s="45"/>
      <c r="CE25" s="307"/>
    </row>
    <row r="26" spans="1:83" ht="15.75" hidden="1">
      <c r="A26" s="418">
        <f>A25+1</f>
        <v>2004</v>
      </c>
      <c r="B26" s="8">
        <v>1505.8783612854038</v>
      </c>
      <c r="C26" s="8">
        <v>685.66962160337198</v>
      </c>
      <c r="D26" s="8">
        <v>652.89988348548616</v>
      </c>
      <c r="E26" s="8">
        <v>477.793861111502</v>
      </c>
      <c r="F26" s="8">
        <f>+D26-E26</f>
        <v>175.10602237398416</v>
      </c>
      <c r="G26" s="8">
        <f>+C26-D26</f>
        <v>32.769738117885822</v>
      </c>
      <c r="H26" s="8">
        <f>+B26-C26</f>
        <v>820.20873968203182</v>
      </c>
      <c r="I26" s="45">
        <v>1.8</v>
      </c>
      <c r="J26" s="49">
        <v>1.0680582463596027</v>
      </c>
      <c r="K26" s="45"/>
      <c r="CE26" s="307"/>
    </row>
    <row r="27" spans="1:83" ht="15.75" hidden="1">
      <c r="A27" s="48">
        <v>2005</v>
      </c>
      <c r="B27" s="419">
        <v>1838.6913451086161</v>
      </c>
      <c r="C27" s="419">
        <v>796.45042524850601</v>
      </c>
      <c r="D27" s="419">
        <v>750.21738680547401</v>
      </c>
      <c r="E27" s="419">
        <v>547.40912764457403</v>
      </c>
      <c r="F27" s="419">
        <f>+F39</f>
        <v>202.80825916089998</v>
      </c>
      <c r="G27" s="419">
        <f>+G39</f>
        <v>46.233038443032001</v>
      </c>
      <c r="H27" s="419">
        <f>+H39</f>
        <v>1042.2409198601101</v>
      </c>
      <c r="I27" s="420">
        <f>+I39</f>
        <v>2.1</v>
      </c>
      <c r="J27" s="421">
        <f>+J39</f>
        <v>1.2</v>
      </c>
      <c r="K27" s="126"/>
      <c r="CE27" s="307"/>
    </row>
    <row r="28" spans="1:83" ht="15.75" hidden="1">
      <c r="A28" s="130" t="s">
        <v>18</v>
      </c>
      <c r="B28" s="125">
        <v>1444.7701291448498</v>
      </c>
      <c r="C28" s="125">
        <v>618.41400162516391</v>
      </c>
      <c r="D28" s="125">
        <v>587.31444198508586</v>
      </c>
      <c r="E28" s="125">
        <v>427.30582480154192</v>
      </c>
      <c r="F28" s="125">
        <f t="shared" ref="F28:F39" si="1">+D28-E28</f>
        <v>160.00861718354395</v>
      </c>
      <c r="G28" s="125">
        <f t="shared" ref="G28:G39" si="2">+C28-D28</f>
        <v>31.099559640078041</v>
      </c>
      <c r="H28" s="8">
        <f t="shared" ref="H28:H39" si="3">+B28-C28</f>
        <v>826.35612751968586</v>
      </c>
      <c r="I28" s="126">
        <v>2.2565356403987211</v>
      </c>
      <c r="J28" s="127">
        <v>1.077254421292243</v>
      </c>
      <c r="K28" s="126"/>
      <c r="CD28" s="9">
        <v>-31</v>
      </c>
      <c r="CE28" s="307">
        <f t="shared" si="0"/>
        <v>-31</v>
      </c>
    </row>
    <row r="29" spans="1:83" ht="15.75" hidden="1">
      <c r="A29" s="130" t="s">
        <v>19</v>
      </c>
      <c r="B29" s="125">
        <v>1442.8653603744719</v>
      </c>
      <c r="C29" s="125">
        <v>639.79639097140785</v>
      </c>
      <c r="D29" s="125">
        <v>609.16003285551199</v>
      </c>
      <c r="E29" s="125">
        <v>440.79863884778791</v>
      </c>
      <c r="F29" s="125">
        <f t="shared" si="1"/>
        <v>168.36139400772407</v>
      </c>
      <c r="G29" s="125">
        <f t="shared" si="2"/>
        <v>30.63635811589586</v>
      </c>
      <c r="H29" s="8">
        <f t="shared" si="3"/>
        <v>803.0689694030641</v>
      </c>
      <c r="I29" s="126">
        <v>2.221194306930693</v>
      </c>
      <c r="J29" s="127">
        <v>1.0904094531464688</v>
      </c>
      <c r="K29" s="126"/>
      <c r="CD29" s="9">
        <v>-440</v>
      </c>
      <c r="CE29" s="307">
        <f t="shared" si="0"/>
        <v>-440</v>
      </c>
    </row>
    <row r="30" spans="1:83" ht="15.75" hidden="1">
      <c r="A30" s="130" t="s">
        <v>20</v>
      </c>
      <c r="B30" s="125">
        <v>1448.7999708670638</v>
      </c>
      <c r="C30" s="125">
        <v>639.81767324583598</v>
      </c>
      <c r="D30" s="125">
        <v>607.92106516805609</v>
      </c>
      <c r="E30" s="125">
        <v>442.38544158775005</v>
      </c>
      <c r="F30" s="125">
        <f t="shared" si="1"/>
        <v>165.53562358030604</v>
      </c>
      <c r="G30" s="125">
        <f t="shared" si="2"/>
        <v>31.896608077779888</v>
      </c>
      <c r="H30" s="8">
        <f t="shared" si="3"/>
        <v>808.98229762122787</v>
      </c>
      <c r="I30" s="126">
        <v>2.2169071276955732</v>
      </c>
      <c r="J30" s="127">
        <v>1.1299163552233493</v>
      </c>
      <c r="K30" s="126"/>
      <c r="CE30" s="307"/>
    </row>
    <row r="31" spans="1:83" ht="15.75" hidden="1">
      <c r="A31" s="130" t="s">
        <v>21</v>
      </c>
      <c r="B31" s="125">
        <v>1584.7816406961019</v>
      </c>
      <c r="C31" s="125">
        <v>681.24733238799013</v>
      </c>
      <c r="D31" s="125">
        <v>650.60310643722414</v>
      </c>
      <c r="E31" s="125">
        <v>470.36183574431209</v>
      </c>
      <c r="F31" s="125">
        <f t="shared" si="1"/>
        <v>180.24127069291205</v>
      </c>
      <c r="G31" s="125">
        <f t="shared" si="2"/>
        <v>30.644225950765986</v>
      </c>
      <c r="H31" s="8">
        <f t="shared" si="3"/>
        <v>903.5343083081118</v>
      </c>
      <c r="I31" s="126">
        <v>2.4387758253296687</v>
      </c>
      <c r="J31" s="127">
        <v>1.1576352993530279</v>
      </c>
      <c r="K31" s="126"/>
      <c r="CD31" s="9">
        <f>CD33+CD34</f>
        <v>-498</v>
      </c>
      <c r="CE31" s="307">
        <f>BZ31+CA31+CB31+CD31</f>
        <v>-498</v>
      </c>
    </row>
    <row r="32" spans="1:83" ht="15.75" hidden="1">
      <c r="A32" s="130" t="s">
        <v>22</v>
      </c>
      <c r="B32" s="125">
        <v>1657.9126178150323</v>
      </c>
      <c r="C32" s="125">
        <v>731.29756130039812</v>
      </c>
      <c r="D32" s="125">
        <v>694.09723835849411</v>
      </c>
      <c r="E32" s="125">
        <v>497.87348272811806</v>
      </c>
      <c r="F32" s="125">
        <f t="shared" si="1"/>
        <v>196.22375563037605</v>
      </c>
      <c r="G32" s="125">
        <f t="shared" si="2"/>
        <v>37.200322941904005</v>
      </c>
      <c r="H32" s="8">
        <f t="shared" si="3"/>
        <v>926.61505651463415</v>
      </c>
      <c r="I32" s="126">
        <v>2.4146213183730714</v>
      </c>
      <c r="J32" s="127">
        <v>1.1839994783856034</v>
      </c>
      <c r="K32" s="126"/>
      <c r="CE32" s="307"/>
    </row>
    <row r="33" spans="1:83" ht="15.75" hidden="1">
      <c r="A33" s="130" t="s">
        <v>23</v>
      </c>
      <c r="B33" s="125">
        <v>1692.4861674859758</v>
      </c>
      <c r="C33" s="125">
        <v>775.44086006359987</v>
      </c>
      <c r="D33" s="125">
        <v>733.40829549368391</v>
      </c>
      <c r="E33" s="125">
        <v>534.71676655785586</v>
      </c>
      <c r="F33" s="125">
        <f t="shared" si="1"/>
        <v>198.69152893582805</v>
      </c>
      <c r="G33" s="125">
        <f t="shared" si="2"/>
        <v>42.032564569915962</v>
      </c>
      <c r="H33" s="8">
        <f>+B33-C33</f>
        <v>917.04530742237591</v>
      </c>
      <c r="I33" s="126">
        <v>2.2649797407894385</v>
      </c>
      <c r="J33" s="127">
        <v>1.1479968999642303</v>
      </c>
      <c r="K33" s="126"/>
      <c r="CD33" s="9">
        <v>-521</v>
      </c>
      <c r="CE33" s="307">
        <f>BZ33+CA33+CB33+CD33</f>
        <v>-521</v>
      </c>
    </row>
    <row r="34" spans="1:83" ht="15.75" hidden="1">
      <c r="A34" s="130" t="s">
        <v>24</v>
      </c>
      <c r="B34" s="125">
        <v>1774.5345469430581</v>
      </c>
      <c r="C34" s="125">
        <v>811.45976042374605</v>
      </c>
      <c r="D34" s="125">
        <v>769.21611068230607</v>
      </c>
      <c r="E34" s="125">
        <v>563.146593101706</v>
      </c>
      <c r="F34" s="125">
        <f t="shared" si="1"/>
        <v>206.06951758060006</v>
      </c>
      <c r="G34" s="125">
        <f t="shared" si="2"/>
        <v>42.243649741439981</v>
      </c>
      <c r="H34" s="8">
        <f t="shared" si="3"/>
        <v>963.07478651931206</v>
      </c>
      <c r="I34" s="126">
        <v>2.2274031202818318</v>
      </c>
      <c r="J34" s="127">
        <v>1.1209805174953447</v>
      </c>
      <c r="K34" s="126"/>
      <c r="CD34" s="9">
        <v>23</v>
      </c>
      <c r="CE34" s="307">
        <f>BZ34+CA34+CB34+CD34</f>
        <v>23</v>
      </c>
    </row>
    <row r="35" spans="1:83" ht="15.75" hidden="1">
      <c r="A35" s="130" t="s">
        <v>25</v>
      </c>
      <c r="B35" s="125">
        <v>1832.6803633093282</v>
      </c>
      <c r="C35" s="125">
        <v>832.04509136438014</v>
      </c>
      <c r="D35" s="125">
        <v>785.40322368143416</v>
      </c>
      <c r="E35" s="125">
        <v>572.72885636344608</v>
      </c>
      <c r="F35" s="125">
        <f t="shared" si="1"/>
        <v>212.67436731798807</v>
      </c>
      <c r="G35" s="125">
        <f t="shared" si="2"/>
        <v>46.641867682945986</v>
      </c>
      <c r="H35" s="8">
        <f t="shared" si="3"/>
        <v>1000.635271944948</v>
      </c>
      <c r="I35" s="126">
        <v>2.2506273062730626</v>
      </c>
      <c r="J35" s="127">
        <v>1.1294265291646204</v>
      </c>
      <c r="K35" s="126"/>
      <c r="CE35" s="307"/>
    </row>
    <row r="36" spans="1:83" ht="15.75" hidden="1">
      <c r="A36" s="130" t="s">
        <v>26</v>
      </c>
      <c r="B36" s="125">
        <v>1873.5409652113781</v>
      </c>
      <c r="C36" s="125">
        <v>843.40775928979792</v>
      </c>
      <c r="D36" s="125">
        <v>796.46969348898995</v>
      </c>
      <c r="E36" s="125">
        <v>603.28436740658992</v>
      </c>
      <c r="F36" s="125">
        <f t="shared" si="1"/>
        <v>193.18532608240002</v>
      </c>
      <c r="G36" s="125">
        <f t="shared" si="2"/>
        <v>46.938065800807976</v>
      </c>
      <c r="H36" s="8">
        <f t="shared" si="3"/>
        <v>1030.1332059215802</v>
      </c>
      <c r="I36" s="126">
        <v>2.2723692846204333</v>
      </c>
      <c r="J36" s="127">
        <v>1.1429778419775967</v>
      </c>
      <c r="K36" s="126"/>
      <c r="CD36" s="9">
        <v>433</v>
      </c>
      <c r="CE36" s="307">
        <f t="shared" si="0"/>
        <v>433</v>
      </c>
    </row>
    <row r="37" spans="1:83" ht="15.75" hidden="1">
      <c r="A37" s="130" t="s">
        <v>27</v>
      </c>
      <c r="B37" s="125">
        <v>1864.1828485782862</v>
      </c>
      <c r="C37" s="125">
        <v>796.90697123063808</v>
      </c>
      <c r="D37" s="125">
        <v>751.21286477372803</v>
      </c>
      <c r="E37" s="125">
        <v>565.28997535496808</v>
      </c>
      <c r="F37" s="125">
        <f t="shared" si="1"/>
        <v>185.92288941875995</v>
      </c>
      <c r="G37" s="125">
        <f t="shared" si="2"/>
        <v>45.694106456910049</v>
      </c>
      <c r="H37" s="8">
        <f t="shared" si="3"/>
        <v>1067.275877347648</v>
      </c>
      <c r="I37" s="126">
        <v>2.344982236891834</v>
      </c>
      <c r="J37" s="127">
        <v>1.1175359458697491</v>
      </c>
      <c r="K37" s="126"/>
      <c r="CD37" s="9">
        <v>-931</v>
      </c>
      <c r="CE37" s="307">
        <f t="shared" si="0"/>
        <v>-931</v>
      </c>
    </row>
    <row r="38" spans="1:83" ht="15.75" hidden="1">
      <c r="A38" s="130" t="s">
        <v>28</v>
      </c>
      <c r="B38" s="125">
        <v>1805.4560168182061</v>
      </c>
      <c r="C38" s="125">
        <v>773.44285378011011</v>
      </c>
      <c r="D38" s="125">
        <v>725.52213571271807</v>
      </c>
      <c r="E38" s="125">
        <v>529.74980950519614</v>
      </c>
      <c r="F38" s="125">
        <f t="shared" si="1"/>
        <v>195.77232620752193</v>
      </c>
      <c r="G38" s="125">
        <f t="shared" si="2"/>
        <v>47.920718067392045</v>
      </c>
      <c r="H38" s="8">
        <f t="shared" si="3"/>
        <v>1032.0131630380961</v>
      </c>
      <c r="I38" s="126">
        <v>2.45012112469038</v>
      </c>
      <c r="J38" s="127">
        <v>1.1843265406788499</v>
      </c>
      <c r="K38" s="126"/>
      <c r="CE38" s="307"/>
    </row>
    <row r="39" spans="1:83" ht="15.75" hidden="1">
      <c r="A39" s="130" t="s">
        <v>29</v>
      </c>
      <c r="B39" s="125">
        <v>1838.6913451086161</v>
      </c>
      <c r="C39" s="125">
        <v>796.45042524850601</v>
      </c>
      <c r="D39" s="125">
        <v>750.21738680547401</v>
      </c>
      <c r="E39" s="125">
        <v>547.40912764457403</v>
      </c>
      <c r="F39" s="125">
        <f t="shared" si="1"/>
        <v>202.80825916089998</v>
      </c>
      <c r="G39" s="125">
        <f t="shared" si="2"/>
        <v>46.233038443032001</v>
      </c>
      <c r="H39" s="8">
        <f t="shared" si="3"/>
        <v>1042.2409198601101</v>
      </c>
      <c r="I39" s="126">
        <v>2.1</v>
      </c>
      <c r="J39" s="127">
        <v>1.2</v>
      </c>
      <c r="K39" s="126"/>
      <c r="CD39" s="9">
        <v>204</v>
      </c>
      <c r="CE39" s="307">
        <f t="shared" si="0"/>
        <v>204</v>
      </c>
    </row>
    <row r="40" spans="1:83" ht="15.75">
      <c r="A40" s="586">
        <v>2006</v>
      </c>
      <c r="B40" s="587">
        <v>3434.9590645600001</v>
      </c>
      <c r="C40" s="587">
        <v>2135.4512166600002</v>
      </c>
      <c r="D40" s="587">
        <v>1839.56814044</v>
      </c>
      <c r="E40" s="587">
        <v>1311.3468033600002</v>
      </c>
      <c r="F40" s="587">
        <f>+F52</f>
        <v>528.22133707999978</v>
      </c>
      <c r="G40" s="587">
        <f>+G52</f>
        <v>295.88307622000025</v>
      </c>
      <c r="H40" s="587">
        <f>+H52</f>
        <v>1299.5078478999999</v>
      </c>
      <c r="I40" s="588">
        <f>+I52</f>
        <v>1.68</v>
      </c>
      <c r="J40" s="588">
        <f>+J52</f>
        <v>1.33</v>
      </c>
      <c r="K40" s="126"/>
      <c r="CD40" s="9">
        <v>200</v>
      </c>
      <c r="CE40" s="307">
        <f t="shared" si="0"/>
        <v>200</v>
      </c>
    </row>
    <row r="41" spans="1:83" ht="15.75" hidden="1">
      <c r="A41" s="589" t="s">
        <v>18</v>
      </c>
      <c r="B41" s="587">
        <v>1779.0438476300001</v>
      </c>
      <c r="C41" s="587">
        <v>707.85783872000013</v>
      </c>
      <c r="D41" s="587">
        <v>661.10696098000017</v>
      </c>
      <c r="E41" s="587">
        <v>466.22478698000009</v>
      </c>
      <c r="F41" s="587">
        <f t="shared" ref="F41:F52" si="4">+D41-E41</f>
        <v>194.88217400000008</v>
      </c>
      <c r="G41" s="587">
        <f t="shared" ref="G41:G52" si="5">+C41-D41</f>
        <v>46.750877739999964</v>
      </c>
      <c r="H41" s="590">
        <f t="shared" ref="H41:H52" si="6">+B41-C41</f>
        <v>1071.1860089100001</v>
      </c>
      <c r="I41" s="588">
        <v>2.58</v>
      </c>
      <c r="J41" s="591">
        <v>1.17</v>
      </c>
      <c r="K41" s="124"/>
      <c r="CE41" s="307"/>
    </row>
    <row r="42" spans="1:83" ht="15.75" hidden="1">
      <c r="A42" s="589" t="s">
        <v>19</v>
      </c>
      <c r="B42" s="587">
        <v>1845.7093345899998</v>
      </c>
      <c r="C42" s="587">
        <v>764.2260487399999</v>
      </c>
      <c r="D42" s="587">
        <v>711.21089476999987</v>
      </c>
      <c r="E42" s="587">
        <v>472.40871401999999</v>
      </c>
      <c r="F42" s="587">
        <f t="shared" si="4"/>
        <v>238.80218074999988</v>
      </c>
      <c r="G42" s="587">
        <f t="shared" si="5"/>
        <v>53.015153970000028</v>
      </c>
      <c r="H42" s="590">
        <f t="shared" si="6"/>
        <v>1081.4832858499999</v>
      </c>
      <c r="I42" s="588">
        <v>2.44</v>
      </c>
      <c r="J42" s="591">
        <v>1.19</v>
      </c>
      <c r="K42" s="124"/>
      <c r="CD42" s="9">
        <v>295</v>
      </c>
      <c r="CE42" s="307">
        <f t="shared" si="0"/>
        <v>295</v>
      </c>
    </row>
    <row r="43" spans="1:83" ht="15.75" hidden="1">
      <c r="A43" s="589" t="s">
        <v>20</v>
      </c>
      <c r="B43" s="587">
        <v>1926.5032717600002</v>
      </c>
      <c r="C43" s="587">
        <v>841.32249034000006</v>
      </c>
      <c r="D43" s="592">
        <v>783.16418420000014</v>
      </c>
      <c r="E43" s="587">
        <v>519.53356327000006</v>
      </c>
      <c r="F43" s="587">
        <f t="shared" si="4"/>
        <v>263.63062093000008</v>
      </c>
      <c r="G43" s="587">
        <f t="shared" si="5"/>
        <v>58.158306139999922</v>
      </c>
      <c r="H43" s="590">
        <f t="shared" si="6"/>
        <v>1085.1807814200001</v>
      </c>
      <c r="I43" s="591">
        <v>2.33</v>
      </c>
      <c r="J43" s="591">
        <v>1.18</v>
      </c>
      <c r="K43" s="124"/>
      <c r="CD43" s="9">
        <v>-95</v>
      </c>
      <c r="CE43" s="307">
        <f t="shared" si="0"/>
        <v>-95</v>
      </c>
    </row>
    <row r="44" spans="1:83" ht="15.75" hidden="1">
      <c r="A44" s="589" t="s">
        <v>21</v>
      </c>
      <c r="B44" s="587">
        <v>2055.5574526100004</v>
      </c>
      <c r="C44" s="587">
        <v>915.66259446000004</v>
      </c>
      <c r="D44" s="592">
        <v>848.85440532999996</v>
      </c>
      <c r="E44" s="587">
        <v>564.04256186999999</v>
      </c>
      <c r="F44" s="587">
        <f t="shared" si="4"/>
        <v>284.81184345999998</v>
      </c>
      <c r="G44" s="587">
        <f t="shared" si="5"/>
        <v>66.808189130000073</v>
      </c>
      <c r="H44" s="590">
        <f t="shared" si="6"/>
        <v>1139.8948581500003</v>
      </c>
      <c r="I44" s="588">
        <v>2.4</v>
      </c>
      <c r="J44" s="588">
        <v>1.2350000000000001</v>
      </c>
      <c r="K44" s="126"/>
      <c r="CE44" s="307"/>
    </row>
    <row r="45" spans="1:83" ht="15.75" hidden="1">
      <c r="A45" s="589" t="s">
        <v>22</v>
      </c>
      <c r="B45" s="587">
        <v>2153.3551943900002</v>
      </c>
      <c r="C45" s="587">
        <v>986.21397751000006</v>
      </c>
      <c r="D45" s="592">
        <v>910.18533269</v>
      </c>
      <c r="E45" s="587">
        <v>629.3409680100001</v>
      </c>
      <c r="F45" s="587">
        <f t="shared" si="4"/>
        <v>280.8443646799999</v>
      </c>
      <c r="G45" s="587">
        <f t="shared" si="5"/>
        <v>76.028644820000068</v>
      </c>
      <c r="H45" s="590">
        <f t="shared" si="6"/>
        <v>1167.1412168800002</v>
      </c>
      <c r="I45" s="588">
        <v>2.31</v>
      </c>
      <c r="J45" s="591">
        <v>1.22</v>
      </c>
      <c r="K45" s="124"/>
      <c r="CD45" s="9">
        <v>0</v>
      </c>
      <c r="CE45" s="307">
        <f t="shared" si="0"/>
        <v>0</v>
      </c>
    </row>
    <row r="46" spans="1:83" ht="15.75" hidden="1">
      <c r="A46" s="589" t="s">
        <v>23</v>
      </c>
      <c r="B46" s="587">
        <v>2349.45600582</v>
      </c>
      <c r="C46" s="587">
        <v>1131.2472143800001</v>
      </c>
      <c r="D46" s="592">
        <v>1028.3768966599998</v>
      </c>
      <c r="E46" s="587">
        <v>728.08926222000002</v>
      </c>
      <c r="F46" s="587">
        <f t="shared" si="4"/>
        <v>300.28763443999981</v>
      </c>
      <c r="G46" s="587">
        <f t="shared" si="5"/>
        <v>102.87031772000023</v>
      </c>
      <c r="H46" s="590">
        <f t="shared" si="6"/>
        <v>1218.2087914399999</v>
      </c>
      <c r="I46" s="588">
        <v>2.17</v>
      </c>
      <c r="J46" s="591">
        <v>1.18</v>
      </c>
      <c r="K46" s="124"/>
      <c r="CE46" s="307"/>
    </row>
    <row r="47" spans="1:83" ht="15.75" hidden="1">
      <c r="A47" s="589" t="s">
        <v>24</v>
      </c>
      <c r="B47" s="587">
        <v>2546.10319785</v>
      </c>
      <c r="C47" s="587">
        <v>1293.6081918599998</v>
      </c>
      <c r="D47" s="592">
        <v>1171.8001929499999</v>
      </c>
      <c r="E47" s="587">
        <v>861.72473530999991</v>
      </c>
      <c r="F47" s="587">
        <f t="shared" si="4"/>
        <v>310.07545763999997</v>
      </c>
      <c r="G47" s="587">
        <f t="shared" si="5"/>
        <v>121.80799890999992</v>
      </c>
      <c r="H47" s="590">
        <f t="shared" si="6"/>
        <v>1252.4950059900002</v>
      </c>
      <c r="I47" s="588">
        <v>2.12</v>
      </c>
      <c r="J47" s="591">
        <v>1.21</v>
      </c>
      <c r="K47" s="124"/>
      <c r="CD47" s="9">
        <f>CD48-CD52</f>
        <v>481</v>
      </c>
      <c r="CE47" s="307">
        <f t="shared" si="0"/>
        <v>481</v>
      </c>
    </row>
    <row r="48" spans="1:83" ht="15.75" hidden="1">
      <c r="A48" s="589" t="s">
        <v>25</v>
      </c>
      <c r="B48" s="587">
        <v>2659.6957829799999</v>
      </c>
      <c r="C48" s="587">
        <v>1411.4761434100001</v>
      </c>
      <c r="D48" s="592">
        <v>1268.1629514400001</v>
      </c>
      <c r="E48" s="587">
        <v>915.02635529000008</v>
      </c>
      <c r="F48" s="587">
        <f t="shared" si="4"/>
        <v>353.13659615000006</v>
      </c>
      <c r="G48" s="587">
        <f t="shared" si="5"/>
        <v>143.31319196999993</v>
      </c>
      <c r="H48" s="590">
        <f t="shared" si="6"/>
        <v>1248.2196395699998</v>
      </c>
      <c r="I48" s="588">
        <v>2.06</v>
      </c>
      <c r="J48" s="591">
        <v>1.22</v>
      </c>
      <c r="K48" s="124"/>
      <c r="CD48" s="9">
        <f>CD50+CD51</f>
        <v>965</v>
      </c>
      <c r="CE48" s="307">
        <f t="shared" si="0"/>
        <v>965</v>
      </c>
    </row>
    <row r="49" spans="1:83" ht="15.75" hidden="1">
      <c r="A49" s="589" t="s">
        <v>26</v>
      </c>
      <c r="B49" s="587">
        <v>2798.1588578800006</v>
      </c>
      <c r="C49" s="587">
        <v>1529.3885263800003</v>
      </c>
      <c r="D49" s="592">
        <v>1354.76533591</v>
      </c>
      <c r="E49" s="587">
        <v>996.81828699000005</v>
      </c>
      <c r="F49" s="587">
        <f t="shared" si="4"/>
        <v>357.94704891999993</v>
      </c>
      <c r="G49" s="587">
        <f t="shared" si="5"/>
        <v>174.62319047000028</v>
      </c>
      <c r="H49" s="590">
        <f t="shared" si="6"/>
        <v>1268.7703315000003</v>
      </c>
      <c r="I49" s="588">
        <v>2.12</v>
      </c>
      <c r="J49" s="591">
        <v>1.28</v>
      </c>
      <c r="K49" s="124"/>
      <c r="CE49" s="307"/>
    </row>
    <row r="50" spans="1:83" ht="15.75" hidden="1">
      <c r="A50" s="589" t="s">
        <v>27</v>
      </c>
      <c r="B50" s="587">
        <v>2951.16587265</v>
      </c>
      <c r="C50" s="587">
        <v>1714.3926982600001</v>
      </c>
      <c r="D50" s="592">
        <v>1505.60137822</v>
      </c>
      <c r="E50" s="587">
        <v>1096.2854915800001</v>
      </c>
      <c r="F50" s="587">
        <f t="shared" si="4"/>
        <v>409.31588663999992</v>
      </c>
      <c r="G50" s="587">
        <f t="shared" si="5"/>
        <v>208.79132004000007</v>
      </c>
      <c r="H50" s="590">
        <f t="shared" si="6"/>
        <v>1236.7731743899999</v>
      </c>
      <c r="I50" s="588">
        <v>2.02</v>
      </c>
      <c r="J50" s="591">
        <v>1.29</v>
      </c>
      <c r="K50" s="124"/>
      <c r="CD50" s="9">
        <v>954</v>
      </c>
      <c r="CE50" s="307">
        <f t="shared" si="0"/>
        <v>954</v>
      </c>
    </row>
    <row r="51" spans="1:83" ht="15.75" hidden="1">
      <c r="A51" s="589" t="s">
        <v>28</v>
      </c>
      <c r="B51" s="587">
        <v>3040.6547447599996</v>
      </c>
      <c r="C51" s="587">
        <v>1820.3852246000001</v>
      </c>
      <c r="D51" s="592">
        <v>1593.2180773</v>
      </c>
      <c r="E51" s="587">
        <v>1114.50949109</v>
      </c>
      <c r="F51" s="587">
        <f t="shared" si="4"/>
        <v>478.70858621000002</v>
      </c>
      <c r="G51" s="587">
        <f t="shared" si="5"/>
        <v>227.16714730000012</v>
      </c>
      <c r="H51" s="590">
        <f t="shared" si="6"/>
        <v>1220.2695201599995</v>
      </c>
      <c r="I51" s="588">
        <v>1.97</v>
      </c>
      <c r="J51" s="591">
        <v>1.29</v>
      </c>
      <c r="K51" s="124"/>
      <c r="CD51" s="9">
        <v>11</v>
      </c>
      <c r="CE51" s="307">
        <f t="shared" si="0"/>
        <v>11</v>
      </c>
    </row>
    <row r="52" spans="1:83" ht="15.75" hidden="1">
      <c r="A52" s="589" t="s">
        <v>29</v>
      </c>
      <c r="B52" s="587">
        <v>3434.9590645600001</v>
      </c>
      <c r="C52" s="587">
        <v>2135.4512166600002</v>
      </c>
      <c r="D52" s="592">
        <v>1839.56814044</v>
      </c>
      <c r="E52" s="587">
        <v>1311.3468033600002</v>
      </c>
      <c r="F52" s="587">
        <f t="shared" si="4"/>
        <v>528.22133707999978</v>
      </c>
      <c r="G52" s="587">
        <f t="shared" si="5"/>
        <v>295.88307622000025</v>
      </c>
      <c r="H52" s="590">
        <f t="shared" si="6"/>
        <v>1299.5078478999999</v>
      </c>
      <c r="I52" s="588">
        <v>1.68</v>
      </c>
      <c r="J52" s="591">
        <v>1.33</v>
      </c>
      <c r="K52" s="124"/>
      <c r="CD52" s="9">
        <f>CD54+CD55+CD56+CD57</f>
        <v>484</v>
      </c>
      <c r="CE52" s="307">
        <f t="shared" si="0"/>
        <v>484</v>
      </c>
    </row>
    <row r="53" spans="1:83" ht="15.75">
      <c r="A53" s="586">
        <v>2007</v>
      </c>
      <c r="B53" s="587">
        <v>5897.2552108999998</v>
      </c>
      <c r="C53" s="587">
        <v>4401.6104359399997</v>
      </c>
      <c r="D53" s="587">
        <v>3621.7123201999998</v>
      </c>
      <c r="E53" s="587">
        <v>2713.50601646</v>
      </c>
      <c r="F53" s="587">
        <f>+F65</f>
        <v>908.20630373999984</v>
      </c>
      <c r="G53" s="587">
        <f>+G65</f>
        <v>779.89811573999987</v>
      </c>
      <c r="H53" s="587">
        <f>+H65</f>
        <v>1495.6447749600002</v>
      </c>
      <c r="I53" s="588">
        <f>+I65</f>
        <v>1.7139197892641245</v>
      </c>
      <c r="J53" s="588">
        <f>+J65</f>
        <v>1.3666202297379531</v>
      </c>
      <c r="K53" s="126"/>
      <c r="CE53" s="307"/>
    </row>
    <row r="54" spans="1:83" ht="15.75" hidden="1">
      <c r="A54" s="589" t="s">
        <v>18</v>
      </c>
      <c r="B54" s="592">
        <v>3252.4747547500001</v>
      </c>
      <c r="C54" s="592">
        <v>1950.7451824</v>
      </c>
      <c r="D54" s="592">
        <v>1684.7088636399999</v>
      </c>
      <c r="E54" s="592">
        <v>1210.1969983199999</v>
      </c>
      <c r="F54" s="587">
        <f t="shared" ref="F54:F65" si="7">+D54-E54</f>
        <v>474.51186531999997</v>
      </c>
      <c r="G54" s="587">
        <f t="shared" ref="G54:G65" si="8">+C54-D54</f>
        <v>266.03631876000009</v>
      </c>
      <c r="H54" s="590">
        <f t="shared" ref="H54:H65" si="9">+B54-C54</f>
        <v>1301.7295723500001</v>
      </c>
      <c r="I54" s="588">
        <f>B54/1596.8</f>
        <v>2.0368704626440381</v>
      </c>
      <c r="J54" s="588">
        <f>C54/1460.3</f>
        <v>1.3358523470519756</v>
      </c>
      <c r="K54" s="126"/>
      <c r="CD54" s="9">
        <v>1214</v>
      </c>
      <c r="CE54" s="307">
        <f t="shared" si="0"/>
        <v>1214</v>
      </c>
    </row>
    <row r="55" spans="1:83" ht="15.75" hidden="1">
      <c r="A55" s="589" t="s">
        <v>19</v>
      </c>
      <c r="B55" s="592">
        <v>3348.4689976199998</v>
      </c>
      <c r="C55" s="592">
        <v>2078.7716244099997</v>
      </c>
      <c r="D55" s="592">
        <v>1787.5188286800001</v>
      </c>
      <c r="E55" s="592">
        <v>1287.6298033999999</v>
      </c>
      <c r="F55" s="587">
        <f t="shared" si="7"/>
        <v>499.88902528000017</v>
      </c>
      <c r="G55" s="587">
        <f t="shared" si="8"/>
        <v>291.25279572999966</v>
      </c>
      <c r="H55" s="590">
        <f t="shared" si="9"/>
        <v>1269.69737321</v>
      </c>
      <c r="I55" s="588">
        <f>B55/1698.8</f>
        <v>1.9710789955380268</v>
      </c>
      <c r="J55" s="588">
        <f>C55/1563.7</f>
        <v>1.3293928659013876</v>
      </c>
      <c r="K55" s="126"/>
      <c r="CD55" s="9">
        <v>-745</v>
      </c>
      <c r="CE55" s="307">
        <f t="shared" si="0"/>
        <v>-745</v>
      </c>
    </row>
    <row r="56" spans="1:83" ht="15.75" hidden="1">
      <c r="A56" s="589" t="s">
        <v>20</v>
      </c>
      <c r="B56" s="592">
        <v>3464.4332316299997</v>
      </c>
      <c r="C56" s="592">
        <v>2216.0282588099999</v>
      </c>
      <c r="D56" s="592">
        <v>1874.2666101700001</v>
      </c>
      <c r="E56" s="592">
        <v>1357.2281392</v>
      </c>
      <c r="F56" s="587">
        <f t="shared" si="7"/>
        <v>517.03847097000016</v>
      </c>
      <c r="G56" s="587">
        <f t="shared" si="8"/>
        <v>341.76164863999975</v>
      </c>
      <c r="H56" s="590">
        <f t="shared" si="9"/>
        <v>1248.4049728199998</v>
      </c>
      <c r="I56" s="588">
        <f>B56/1798.4</f>
        <v>1.9263974820006671</v>
      </c>
      <c r="J56" s="588">
        <f>C56/1662.5</f>
        <v>1.3329493286075187</v>
      </c>
      <c r="K56" s="126"/>
      <c r="CD56" s="9">
        <v>0</v>
      </c>
      <c r="CE56" s="307">
        <f>BZ56+CA56+CB56+CD56</f>
        <v>0</v>
      </c>
    </row>
    <row r="57" spans="1:83" ht="15.75" hidden="1">
      <c r="A57" s="589" t="s">
        <v>21</v>
      </c>
      <c r="B57" s="592">
        <v>3545.2632317200005</v>
      </c>
      <c r="C57" s="592">
        <v>2340.6354799700002</v>
      </c>
      <c r="D57" s="592">
        <v>1952.6528580300001</v>
      </c>
      <c r="E57" s="592">
        <v>1426.10882416</v>
      </c>
      <c r="F57" s="587">
        <f t="shared" si="7"/>
        <v>526.54403387000002</v>
      </c>
      <c r="G57" s="587">
        <f t="shared" si="8"/>
        <v>387.98262194000017</v>
      </c>
      <c r="H57" s="590">
        <f t="shared" si="9"/>
        <v>1204.6277517500002</v>
      </c>
      <c r="I57" s="588">
        <f>B57/1819.5</f>
        <v>1.9484821279032705</v>
      </c>
      <c r="J57" s="588">
        <f>C57/1685.8</f>
        <v>1.3884419741191127</v>
      </c>
      <c r="K57" s="126"/>
      <c r="CD57" s="9">
        <v>15</v>
      </c>
      <c r="CE57" s="307">
        <f>BZ57+CA57+CB57+CD57</f>
        <v>15</v>
      </c>
    </row>
    <row r="58" spans="1:83" ht="15.75" hidden="1">
      <c r="A58" s="589" t="s">
        <v>22</v>
      </c>
      <c r="B58" s="592">
        <v>3784.9686775000009</v>
      </c>
      <c r="C58" s="592">
        <v>2523.2134007700006</v>
      </c>
      <c r="D58" s="592">
        <v>2066.6299545500001</v>
      </c>
      <c r="E58" s="592">
        <v>1534.8437348000002</v>
      </c>
      <c r="F58" s="587">
        <f t="shared" si="7"/>
        <v>531.78621974999987</v>
      </c>
      <c r="G58" s="587">
        <f t="shared" si="8"/>
        <v>456.5834462200005</v>
      </c>
      <c r="H58" s="590">
        <f t="shared" si="9"/>
        <v>1261.7552767300003</v>
      </c>
      <c r="I58" s="588">
        <f>B58/1907.8</f>
        <v>1.9839441647447327</v>
      </c>
      <c r="J58" s="588">
        <f>C58/1779</f>
        <v>1.4183324343844861</v>
      </c>
      <c r="K58" s="126"/>
      <c r="CD58" s="9">
        <v>-372</v>
      </c>
      <c r="CE58" s="307">
        <f>BZ58+CA58+CB58+CD58</f>
        <v>-372</v>
      </c>
    </row>
    <row r="59" spans="1:83" ht="15.75" hidden="1">
      <c r="A59" s="589" t="s">
        <v>23</v>
      </c>
      <c r="B59" s="592">
        <v>4041.23745418</v>
      </c>
      <c r="C59" s="592">
        <v>2739.73652227</v>
      </c>
      <c r="D59" s="592">
        <v>2263.82087899</v>
      </c>
      <c r="E59" s="592">
        <v>1722.58105131</v>
      </c>
      <c r="F59" s="587">
        <f t="shared" si="7"/>
        <v>541.23982767999996</v>
      </c>
      <c r="G59" s="587">
        <f t="shared" si="8"/>
        <v>475.91564328000004</v>
      </c>
      <c r="H59" s="590">
        <f t="shared" si="9"/>
        <v>1301.50093191</v>
      </c>
      <c r="I59" s="588">
        <f>B59/2226</f>
        <v>1.8154705544384546</v>
      </c>
      <c r="J59" s="588">
        <f>C59/2032.4</f>
        <v>1.3480301723430426</v>
      </c>
      <c r="K59" s="126"/>
      <c r="CD59" s="9">
        <v>-231</v>
      </c>
      <c r="CE59" s="307">
        <f>BZ59+CA59+CB59+CD59</f>
        <v>-231</v>
      </c>
    </row>
    <row r="60" spans="1:83" ht="15.75" hidden="1">
      <c r="A60" s="589" t="s">
        <v>24</v>
      </c>
      <c r="B60" s="592">
        <v>4341.1953782099999</v>
      </c>
      <c r="C60" s="592">
        <v>3024.8366283599998</v>
      </c>
      <c r="D60" s="592">
        <v>2454.6423128800002</v>
      </c>
      <c r="E60" s="592">
        <v>1877.8959955</v>
      </c>
      <c r="F60" s="587">
        <f t="shared" si="7"/>
        <v>576.74631738000016</v>
      </c>
      <c r="G60" s="587">
        <f t="shared" si="8"/>
        <v>570.19431547999966</v>
      </c>
      <c r="H60" s="590">
        <f t="shared" si="9"/>
        <v>1316.3587498500001</v>
      </c>
      <c r="I60" s="588">
        <f>B60/2388.1</f>
        <v>1.8178448884929441</v>
      </c>
      <c r="J60" s="588">
        <f>C60/2245.9</f>
        <v>1.3468260511866066</v>
      </c>
      <c r="K60" s="126"/>
      <c r="CE60" s="307"/>
    </row>
    <row r="61" spans="1:83" ht="15.75" hidden="1">
      <c r="A61" s="589" t="s">
        <v>25</v>
      </c>
      <c r="B61" s="592">
        <v>4636.0965322399998</v>
      </c>
      <c r="C61" s="592">
        <v>3259.80839982</v>
      </c>
      <c r="D61" s="592">
        <v>2631.5413941099996</v>
      </c>
      <c r="E61" s="592">
        <v>1936.2161557699999</v>
      </c>
      <c r="F61" s="587">
        <f t="shared" si="7"/>
        <v>695.32523833999971</v>
      </c>
      <c r="G61" s="587">
        <f t="shared" si="8"/>
        <v>628.26700571000038</v>
      </c>
      <c r="H61" s="590">
        <f t="shared" si="9"/>
        <v>1376.2881324199998</v>
      </c>
      <c r="I61" s="588">
        <f>B61/2541.3</f>
        <v>1.8243011577696453</v>
      </c>
      <c r="J61" s="588">
        <f>C61/2392.3</f>
        <v>1.3626252559545207</v>
      </c>
      <c r="K61" s="126"/>
      <c r="CD61" s="9">
        <f>CD7+CD45-CD47+CD58-CD59</f>
        <v>0</v>
      </c>
      <c r="CE61" s="307">
        <f>BZ61+CA61+CB61+CD61</f>
        <v>0</v>
      </c>
    </row>
    <row r="62" spans="1:83" ht="15.75" hidden="1">
      <c r="A62" s="589" t="s">
        <v>26</v>
      </c>
      <c r="B62" s="592">
        <v>4945.0476432100004</v>
      </c>
      <c r="C62" s="592">
        <v>3417.3791418999999</v>
      </c>
      <c r="D62" s="592">
        <v>2765.3386028700002</v>
      </c>
      <c r="E62" s="592">
        <v>2051.98892123</v>
      </c>
      <c r="F62" s="587">
        <f t="shared" si="7"/>
        <v>713.3496816400002</v>
      </c>
      <c r="G62" s="587">
        <f t="shared" si="8"/>
        <v>652.04053902999976</v>
      </c>
      <c r="H62" s="590">
        <f t="shared" si="9"/>
        <v>1527.6685013100005</v>
      </c>
      <c r="I62" s="588">
        <f>B62/2632.9</f>
        <v>1.8781752604390596</v>
      </c>
      <c r="J62" s="588">
        <f>C62/2480.6</f>
        <v>1.3776421599209869</v>
      </c>
      <c r="K62" s="126"/>
    </row>
    <row r="63" spans="1:83" ht="15.75" hidden="1">
      <c r="A63" s="589" t="s">
        <v>27</v>
      </c>
      <c r="B63" s="592">
        <v>5144.8155211899993</v>
      </c>
      <c r="C63" s="592">
        <v>3530.0808482499997</v>
      </c>
      <c r="D63" s="592">
        <v>2831.8089585200005</v>
      </c>
      <c r="E63" s="592">
        <v>2142.5386467900003</v>
      </c>
      <c r="F63" s="587">
        <f t="shared" si="7"/>
        <v>689.27031173000023</v>
      </c>
      <c r="G63" s="587">
        <f t="shared" si="8"/>
        <v>698.2718897299992</v>
      </c>
      <c r="H63" s="590">
        <f t="shared" si="9"/>
        <v>1614.7346729399997</v>
      </c>
      <c r="I63" s="588">
        <f>B63/2690.7</f>
        <v>1.9120732601887984</v>
      </c>
      <c r="J63" s="588">
        <f>C63/2520.5</f>
        <v>1.400547846954969</v>
      </c>
      <c r="K63" s="126"/>
    </row>
    <row r="64" spans="1:83" ht="15.75" hidden="1">
      <c r="A64" s="589" t="s">
        <v>28</v>
      </c>
      <c r="B64" s="592">
        <v>5311.6822035799996</v>
      </c>
      <c r="C64" s="592">
        <v>3769.7125072700001</v>
      </c>
      <c r="D64" s="592">
        <v>3098.6645389199998</v>
      </c>
      <c r="E64" s="592">
        <v>2255.5180723399999</v>
      </c>
      <c r="F64" s="587">
        <f t="shared" si="7"/>
        <v>843.14646657999992</v>
      </c>
      <c r="G64" s="587">
        <f t="shared" si="8"/>
        <v>671.04796835000025</v>
      </c>
      <c r="H64" s="590">
        <f t="shared" si="9"/>
        <v>1541.9696963099996</v>
      </c>
      <c r="I64" s="588">
        <f>B64/2785.1</f>
        <v>1.9071782713654806</v>
      </c>
      <c r="J64" s="588">
        <f>C64/2612.5</f>
        <v>1.4429521558928229</v>
      </c>
      <c r="K64" s="126"/>
    </row>
    <row r="65" spans="1:11" ht="15.75" hidden="1">
      <c r="A65" s="589" t="s">
        <v>29</v>
      </c>
      <c r="B65" s="592">
        <v>5897.2552108999998</v>
      </c>
      <c r="C65" s="592">
        <v>4401.6104359399997</v>
      </c>
      <c r="D65" s="592">
        <v>3621.7123201999998</v>
      </c>
      <c r="E65" s="592">
        <v>2713.50601646</v>
      </c>
      <c r="F65" s="587">
        <f t="shared" si="7"/>
        <v>908.20630373999984</v>
      </c>
      <c r="G65" s="587">
        <f t="shared" si="8"/>
        <v>779.89811573999987</v>
      </c>
      <c r="H65" s="590">
        <f t="shared" si="9"/>
        <v>1495.6447749600002</v>
      </c>
      <c r="I65" s="588">
        <f>B65/3440.8</f>
        <v>1.7139197892641245</v>
      </c>
      <c r="J65" s="588">
        <f>C65/3220.8</f>
        <v>1.3666202297379531</v>
      </c>
      <c r="K65" s="126"/>
    </row>
    <row r="66" spans="1:11" ht="15.75">
      <c r="A66" s="589" t="s">
        <v>114</v>
      </c>
      <c r="B66" s="592">
        <v>8494.2021698699991</v>
      </c>
      <c r="C66" s="592">
        <v>6081.0003026699997</v>
      </c>
      <c r="D66" s="592">
        <v>5104.9499915000006</v>
      </c>
      <c r="E66" s="592">
        <v>4145.6740853499996</v>
      </c>
      <c r="F66" s="592">
        <f>+F78</f>
        <v>959.27590615000099</v>
      </c>
      <c r="G66" s="592">
        <f>+G78</f>
        <v>976.05031116999908</v>
      </c>
      <c r="H66" s="592">
        <f>+H78</f>
        <v>2413.2018671999995</v>
      </c>
      <c r="I66" s="593">
        <f>+I78</f>
        <v>1.7111952637784806</v>
      </c>
      <c r="J66" s="593">
        <f>+J78</f>
        <v>1.2718299003764666</v>
      </c>
      <c r="K66" s="129"/>
    </row>
    <row r="67" spans="1:11" ht="15.75" hidden="1">
      <c r="A67" s="589" t="s">
        <v>18</v>
      </c>
      <c r="B67" s="592">
        <v>5650.3491603600005</v>
      </c>
      <c r="C67" s="592">
        <v>4095.9496440200001</v>
      </c>
      <c r="D67" s="592">
        <v>3269.40837358</v>
      </c>
      <c r="E67" s="592">
        <v>2524.0448842800001</v>
      </c>
      <c r="F67" s="587">
        <f t="shared" ref="F67:F132" si="10">+D67-E67</f>
        <v>745.36348929999986</v>
      </c>
      <c r="G67" s="587">
        <f t="shared" ref="G67:G132" si="11">+C67-D67</f>
        <v>826.54127044000006</v>
      </c>
      <c r="H67" s="590">
        <f t="shared" ref="H67:H78" si="12">+B67-C67</f>
        <v>1554.3995163400004</v>
      </c>
      <c r="I67" s="588">
        <f>B67/3074.5</f>
        <v>1.8378107530850547</v>
      </c>
      <c r="J67" s="588">
        <f>C67/2895.6</f>
        <v>1.4145426315858545</v>
      </c>
      <c r="K67" s="126"/>
    </row>
    <row r="68" spans="1:11" ht="15.75" hidden="1">
      <c r="A68" s="589" t="s">
        <v>19</v>
      </c>
      <c r="B68" s="592">
        <v>6194.9602687000006</v>
      </c>
      <c r="C68" s="592">
        <v>4246.36731977</v>
      </c>
      <c r="D68" s="592">
        <v>3367.0258847700002</v>
      </c>
      <c r="E68" s="592">
        <v>2565.1752142199998</v>
      </c>
      <c r="F68" s="587">
        <f t="shared" si="10"/>
        <v>801.85067055000036</v>
      </c>
      <c r="G68" s="587">
        <f t="shared" si="11"/>
        <v>879.34143499999982</v>
      </c>
      <c r="H68" s="590">
        <f t="shared" si="12"/>
        <v>1948.5929489300006</v>
      </c>
      <c r="I68" s="588">
        <f>B68/3194.3</f>
        <v>1.9393796038881759</v>
      </c>
      <c r="J68" s="588">
        <f>C68/3022</f>
        <v>1.4051513301687624</v>
      </c>
      <c r="K68" s="126"/>
    </row>
    <row r="69" spans="1:11" ht="15.75" hidden="1">
      <c r="A69" s="589" t="s">
        <v>20</v>
      </c>
      <c r="B69" s="592">
        <v>6341.2531672499999</v>
      </c>
      <c r="C69" s="592">
        <v>4428.2279845800003</v>
      </c>
      <c r="D69" s="592">
        <v>3542.3869198499997</v>
      </c>
      <c r="E69" s="592">
        <v>2734.54678031</v>
      </c>
      <c r="F69" s="587">
        <f t="shared" si="10"/>
        <v>807.84013953999965</v>
      </c>
      <c r="G69" s="587">
        <f t="shared" si="11"/>
        <v>885.84106473000065</v>
      </c>
      <c r="H69" s="590">
        <f t="shared" si="12"/>
        <v>1913.0251826699996</v>
      </c>
      <c r="I69" s="588">
        <f>B69/3468</f>
        <v>1.8285043734861592</v>
      </c>
      <c r="J69" s="588">
        <f>C69/3246.4</f>
        <v>1.3640426270884674</v>
      </c>
      <c r="K69" s="126"/>
    </row>
    <row r="70" spans="1:11" ht="15.75" hidden="1">
      <c r="A70" s="589" t="s">
        <v>21</v>
      </c>
      <c r="B70" s="592">
        <v>6549.9193878199994</v>
      </c>
      <c r="C70" s="592">
        <v>4563.1478739799995</v>
      </c>
      <c r="D70" s="592">
        <v>3663.7250187499999</v>
      </c>
      <c r="E70" s="592">
        <v>2867.4752949899998</v>
      </c>
      <c r="F70" s="587">
        <f t="shared" si="10"/>
        <v>796.24972376000005</v>
      </c>
      <c r="G70" s="587">
        <f t="shared" si="11"/>
        <v>899.42285522999964</v>
      </c>
      <c r="H70" s="590">
        <f t="shared" si="12"/>
        <v>1986.7715138399999</v>
      </c>
      <c r="I70" s="588">
        <f>B70/3463.4</f>
        <v>1.8911818986602758</v>
      </c>
      <c r="J70" s="588">
        <f>C70/3291.2</f>
        <v>1.3864693345831307</v>
      </c>
      <c r="K70" s="126"/>
    </row>
    <row r="71" spans="1:11" ht="15.75" hidden="1">
      <c r="A71" s="589" t="s">
        <v>22</v>
      </c>
      <c r="B71" s="592">
        <v>6829.4068000799998</v>
      </c>
      <c r="C71" s="592">
        <v>4598.2767978000002</v>
      </c>
      <c r="D71" s="592">
        <v>3676.01546856</v>
      </c>
      <c r="E71" s="592">
        <v>2971.5302289900001</v>
      </c>
      <c r="F71" s="587">
        <f t="shared" si="10"/>
        <v>704.48523956999998</v>
      </c>
      <c r="G71" s="587">
        <f t="shared" si="11"/>
        <v>922.26132924000012</v>
      </c>
      <c r="H71" s="590">
        <f t="shared" si="12"/>
        <v>2231.1300022799996</v>
      </c>
      <c r="I71" s="588">
        <f>B71/3489.14817723</f>
        <v>1.957327821342858</v>
      </c>
      <c r="J71" s="588">
        <f>C71/3321.22264669</f>
        <v>1.3845132612180453</v>
      </c>
      <c r="K71" s="126"/>
    </row>
    <row r="72" spans="1:11" ht="15.75" hidden="1">
      <c r="A72" s="589" t="s">
        <v>23</v>
      </c>
      <c r="B72" s="592">
        <v>7337.0002905399997</v>
      </c>
      <c r="C72" s="592">
        <v>4933.15039075</v>
      </c>
      <c r="D72" s="592">
        <v>4078.9378283299998</v>
      </c>
      <c r="E72" s="592">
        <v>3193.76416595</v>
      </c>
      <c r="F72" s="587">
        <f t="shared" si="10"/>
        <v>885.17366237999977</v>
      </c>
      <c r="G72" s="587">
        <f t="shared" si="11"/>
        <v>854.21256242000027</v>
      </c>
      <c r="H72" s="590">
        <f t="shared" si="12"/>
        <v>2403.8498997899997</v>
      </c>
      <c r="I72" s="588">
        <f>B72/3959</f>
        <v>1.8532458425208385</v>
      </c>
      <c r="J72" s="588">
        <f>C72/3748.5</f>
        <v>1.3160331841403228</v>
      </c>
      <c r="K72" s="126"/>
    </row>
    <row r="73" spans="1:11" ht="15.75" hidden="1">
      <c r="A73" s="589" t="s">
        <v>24</v>
      </c>
      <c r="B73" s="592">
        <v>7537.3201038000007</v>
      </c>
      <c r="C73" s="592">
        <v>5211.7479659500004</v>
      </c>
      <c r="D73" s="592">
        <v>4282.1702753899999</v>
      </c>
      <c r="E73" s="592">
        <v>3488.2886821000002</v>
      </c>
      <c r="F73" s="587">
        <f t="shared" si="10"/>
        <v>793.88159328999973</v>
      </c>
      <c r="G73" s="587">
        <f t="shared" si="11"/>
        <v>929.57769056000052</v>
      </c>
      <c r="H73" s="590">
        <f t="shared" si="12"/>
        <v>2325.5721378500002</v>
      </c>
      <c r="I73" s="588">
        <f>B73/4072.04521858</f>
        <v>1.8509912584979615</v>
      </c>
      <c r="J73" s="588">
        <f>C73/3872.98985217</f>
        <v>1.3456652779582954</v>
      </c>
      <c r="K73" s="126"/>
    </row>
    <row r="74" spans="1:11" ht="15.75" hidden="1">
      <c r="A74" s="589" t="s">
        <v>25</v>
      </c>
      <c r="B74" s="592">
        <v>7636.6319258300009</v>
      </c>
      <c r="C74" s="592">
        <v>5365.0975741000002</v>
      </c>
      <c r="D74" s="592">
        <v>4403.9727454499998</v>
      </c>
      <c r="E74" s="592">
        <v>3548.55950411</v>
      </c>
      <c r="F74" s="587">
        <f t="shared" si="10"/>
        <v>855.41324133999979</v>
      </c>
      <c r="G74" s="587">
        <f t="shared" si="11"/>
        <v>961.12482865000038</v>
      </c>
      <c r="H74" s="590">
        <f t="shared" si="12"/>
        <v>2271.5343517300007</v>
      </c>
      <c r="I74" s="588">
        <f>B74/4315.17811333</f>
        <v>1.7697141868234154</v>
      </c>
      <c r="J74" s="588">
        <f>C74/4046.66093017</f>
        <v>1.3258085287305286</v>
      </c>
      <c r="K74" s="126"/>
    </row>
    <row r="75" spans="1:11" ht="15.75" hidden="1">
      <c r="A75" s="589" t="s">
        <v>26</v>
      </c>
      <c r="B75" s="592">
        <v>7649.73978162</v>
      </c>
      <c r="C75" s="592">
        <v>5514.4881937399996</v>
      </c>
      <c r="D75" s="592">
        <v>4572.6124263699994</v>
      </c>
      <c r="E75" s="592">
        <v>3632.2613440599998</v>
      </c>
      <c r="F75" s="587">
        <f t="shared" si="10"/>
        <v>940.35108230999958</v>
      </c>
      <c r="G75" s="587">
        <f t="shared" si="11"/>
        <v>941.87576737000018</v>
      </c>
      <c r="H75" s="590">
        <f t="shared" si="12"/>
        <v>2135.2515878800004</v>
      </c>
      <c r="I75" s="588">
        <f>B75/4453.4</f>
        <v>1.7177302244622088</v>
      </c>
      <c r="J75" s="588">
        <f>C75/4172.6</f>
        <v>1.3215952149115657</v>
      </c>
      <c r="K75" s="126"/>
    </row>
    <row r="76" spans="1:11" ht="15.75" hidden="1">
      <c r="A76" s="589" t="s">
        <v>27</v>
      </c>
      <c r="B76" s="592">
        <v>7608.0201146099998</v>
      </c>
      <c r="C76" s="592">
        <v>5443.8339595699999</v>
      </c>
      <c r="D76" s="592">
        <v>4484.6821775400003</v>
      </c>
      <c r="E76" s="592">
        <v>3636.4445339100002</v>
      </c>
      <c r="F76" s="587">
        <f t="shared" si="10"/>
        <v>848.23764363000009</v>
      </c>
      <c r="G76" s="587">
        <f t="shared" si="11"/>
        <v>959.15178202999959</v>
      </c>
      <c r="H76" s="590">
        <f t="shared" si="12"/>
        <v>2164.1861550399999</v>
      </c>
      <c r="I76" s="588">
        <f>B76/4265.6</f>
        <v>1.7835756082637846</v>
      </c>
      <c r="J76" s="588">
        <f>C76/4082</f>
        <v>1.3336192943581577</v>
      </c>
      <c r="K76" s="126"/>
    </row>
    <row r="77" spans="1:11" ht="15.75" hidden="1">
      <c r="A77" s="589" t="s">
        <v>28</v>
      </c>
      <c r="B77" s="592">
        <v>7718.6516730200001</v>
      </c>
      <c r="C77" s="592">
        <v>5512.8204870700001</v>
      </c>
      <c r="D77" s="592">
        <v>4547.8808505199995</v>
      </c>
      <c r="E77" s="592">
        <v>3668.4928589800002</v>
      </c>
      <c r="F77" s="587">
        <f t="shared" si="10"/>
        <v>879.38799153999935</v>
      </c>
      <c r="G77" s="587">
        <f t="shared" si="11"/>
        <v>964.93963655000061</v>
      </c>
      <c r="H77" s="590">
        <f t="shared" si="12"/>
        <v>2205.83118595</v>
      </c>
      <c r="I77" s="588">
        <f>B77/4382.3</f>
        <v>1.7613243440704651</v>
      </c>
      <c r="J77" s="588">
        <f>C77/4212.5</f>
        <v>1.3086814212629081</v>
      </c>
      <c r="K77" s="126"/>
    </row>
    <row r="78" spans="1:11" ht="15.75" hidden="1">
      <c r="A78" s="589" t="s">
        <v>29</v>
      </c>
      <c r="B78" s="592">
        <v>8494.2021698699991</v>
      </c>
      <c r="C78" s="592">
        <v>6081.0003026699997</v>
      </c>
      <c r="D78" s="592">
        <v>5104.9499915000006</v>
      </c>
      <c r="E78" s="592">
        <v>4145.6740853499996</v>
      </c>
      <c r="F78" s="587">
        <f t="shared" si="10"/>
        <v>959.27590615000099</v>
      </c>
      <c r="G78" s="587">
        <f t="shared" si="11"/>
        <v>976.05031116999908</v>
      </c>
      <c r="H78" s="590">
        <f t="shared" si="12"/>
        <v>2413.2018671999995</v>
      </c>
      <c r="I78" s="588">
        <f>B78/4963.9</f>
        <v>1.7111952637784806</v>
      </c>
      <c r="J78" s="588">
        <f>C78/4781.3</f>
        <v>1.2718299003764666</v>
      </c>
      <c r="K78" s="126"/>
    </row>
    <row r="79" spans="1:11" ht="15.75">
      <c r="A79" s="589" t="s">
        <v>43</v>
      </c>
      <c r="B79" s="592">
        <v>8469.18263028</v>
      </c>
      <c r="C79" s="592">
        <v>6169.2249880700001</v>
      </c>
      <c r="D79" s="592">
        <v>5231.2792583800001</v>
      </c>
      <c r="E79" s="592">
        <v>4174.7663068100001</v>
      </c>
      <c r="F79" s="592">
        <f>+F91</f>
        <v>1056.51295157</v>
      </c>
      <c r="G79" s="592">
        <f>+G91</f>
        <v>937.94572969000001</v>
      </c>
      <c r="H79" s="592">
        <f>+H91</f>
        <v>2299.9576422099999</v>
      </c>
      <c r="I79" s="593">
        <f>+I91</f>
        <v>1.7256868059830488</v>
      </c>
      <c r="J79" s="593">
        <f>+J91</f>
        <v>1.2691384628867959</v>
      </c>
      <c r="K79" s="129"/>
    </row>
    <row r="80" spans="1:11" ht="15.75" hidden="1">
      <c r="A80" s="589" t="s">
        <v>18</v>
      </c>
      <c r="B80" s="594">
        <v>8009.2582266299996</v>
      </c>
      <c r="C80" s="594">
        <v>5594.6607752999998</v>
      </c>
      <c r="D80" s="594">
        <v>4685.4993014499996</v>
      </c>
      <c r="E80" s="594">
        <v>3896.0596741599998</v>
      </c>
      <c r="F80" s="590">
        <f t="shared" si="10"/>
        <v>789.43962728999986</v>
      </c>
      <c r="G80" s="590">
        <f t="shared" si="11"/>
        <v>909.16147385000022</v>
      </c>
      <c r="H80" s="590">
        <f t="shared" ref="H80:H91" si="13">+B80-C80</f>
        <v>2414.5974513299998</v>
      </c>
      <c r="I80" s="595">
        <v>1.7990451594655925</v>
      </c>
      <c r="J80" s="595">
        <v>1.301043146556518</v>
      </c>
      <c r="K80" s="45"/>
    </row>
    <row r="81" spans="1:11" ht="15.75" hidden="1">
      <c r="A81" s="589" t="s">
        <v>19</v>
      </c>
      <c r="B81" s="594">
        <v>7328.38921682</v>
      </c>
      <c r="C81" s="594">
        <v>5264.8158648999997</v>
      </c>
      <c r="D81" s="594">
        <v>4486.0894968900002</v>
      </c>
      <c r="E81" s="594">
        <v>3666.8999512700002</v>
      </c>
      <c r="F81" s="590">
        <f t="shared" si="10"/>
        <v>819.18954561999999</v>
      </c>
      <c r="G81" s="590">
        <f t="shared" si="11"/>
        <v>778.72636800999953</v>
      </c>
      <c r="H81" s="590">
        <f t="shared" si="13"/>
        <v>2063.5733519200003</v>
      </c>
      <c r="I81" s="595">
        <v>1.7384663379392344</v>
      </c>
      <c r="J81" s="595">
        <v>1.2754526504594517</v>
      </c>
      <c r="K81" s="45"/>
    </row>
    <row r="82" spans="1:11" ht="15.75" hidden="1">
      <c r="A82" s="589" t="s">
        <v>20</v>
      </c>
      <c r="B82" s="594">
        <v>6397.3836874099998</v>
      </c>
      <c r="C82" s="594">
        <v>4740.8666567799992</v>
      </c>
      <c r="D82" s="594">
        <v>4051.9325383399996</v>
      </c>
      <c r="E82" s="594">
        <v>3304.1378418699996</v>
      </c>
      <c r="F82" s="590">
        <f t="shared" si="10"/>
        <v>747.79469646999996</v>
      </c>
      <c r="G82" s="590">
        <f t="shared" si="11"/>
        <v>688.93411843999957</v>
      </c>
      <c r="H82" s="590">
        <f t="shared" si="13"/>
        <v>1656.5170306300006</v>
      </c>
      <c r="I82" s="595">
        <v>1.7051548590010126</v>
      </c>
      <c r="J82" s="595">
        <v>1.2805974987169444</v>
      </c>
      <c r="K82" s="45"/>
    </row>
    <row r="83" spans="1:11" ht="15.75" hidden="1">
      <c r="A83" s="589" t="s">
        <v>21</v>
      </c>
      <c r="B83" s="594">
        <v>6502.4286633299998</v>
      </c>
      <c r="C83" s="594">
        <v>4732.2624489400005</v>
      </c>
      <c r="D83" s="594">
        <v>4073.9599859900004</v>
      </c>
      <c r="E83" s="594">
        <v>3297.0655940900001</v>
      </c>
      <c r="F83" s="590">
        <f t="shared" si="10"/>
        <v>776.8943919000003</v>
      </c>
      <c r="G83" s="590">
        <f t="shared" si="11"/>
        <v>658.30246295000006</v>
      </c>
      <c r="H83" s="590">
        <f t="shared" si="13"/>
        <v>1770.1662143899994</v>
      </c>
      <c r="I83" s="595">
        <v>1.7375410843598855</v>
      </c>
      <c r="J83" s="595">
        <v>1.2860908794434178</v>
      </c>
      <c r="K83" s="45"/>
    </row>
    <row r="84" spans="1:11" ht="15.75" hidden="1">
      <c r="A84" s="596" t="s">
        <v>22</v>
      </c>
      <c r="B84" s="597">
        <v>6611.9720008499989</v>
      </c>
      <c r="C84" s="597">
        <v>4811.1753836499993</v>
      </c>
      <c r="D84" s="597">
        <v>4138.5047339299999</v>
      </c>
      <c r="E84" s="597">
        <v>3396.6899968799999</v>
      </c>
      <c r="F84" s="590">
        <f t="shared" si="10"/>
        <v>741.81473705000008</v>
      </c>
      <c r="G84" s="590">
        <f t="shared" si="11"/>
        <v>672.67064971999935</v>
      </c>
      <c r="H84" s="590">
        <f t="shared" si="13"/>
        <v>1800.7966171999997</v>
      </c>
      <c r="I84" s="598">
        <v>1.7039041360649401</v>
      </c>
      <c r="J84" s="598">
        <v>1.2593116084282161</v>
      </c>
      <c r="K84" s="397"/>
    </row>
    <row r="85" spans="1:11" ht="15.75" hidden="1">
      <c r="A85" s="589" t="s">
        <v>23</v>
      </c>
      <c r="B85" s="594">
        <v>6693.9261326299993</v>
      </c>
      <c r="C85" s="594">
        <v>4872.0269019699999</v>
      </c>
      <c r="D85" s="594">
        <v>4188.4217330499996</v>
      </c>
      <c r="E85" s="594">
        <v>3486.3568428899998</v>
      </c>
      <c r="F85" s="590">
        <f t="shared" si="10"/>
        <v>702.06489015999978</v>
      </c>
      <c r="G85" s="590">
        <f t="shared" si="11"/>
        <v>683.60516892000032</v>
      </c>
      <c r="H85" s="590">
        <f t="shared" si="13"/>
        <v>1821.8992306599994</v>
      </c>
      <c r="I85" s="595">
        <v>1.7008654671790833</v>
      </c>
      <c r="J85" s="595">
        <v>1.2528033382113193</v>
      </c>
      <c r="K85" s="45"/>
    </row>
    <row r="86" spans="1:11" s="7" customFormat="1" ht="15.75" hidden="1">
      <c r="A86" s="596" t="s">
        <v>24</v>
      </c>
      <c r="B86" s="597">
        <v>7582.3861545300006</v>
      </c>
      <c r="C86" s="597">
        <v>5091.55427401</v>
      </c>
      <c r="D86" s="597">
        <v>4356.1868993100006</v>
      </c>
      <c r="E86" s="597">
        <v>3657.4841615200003</v>
      </c>
      <c r="F86" s="590">
        <f t="shared" si="10"/>
        <v>698.70273779000036</v>
      </c>
      <c r="G86" s="590">
        <f t="shared" si="11"/>
        <v>735.36737469999935</v>
      </c>
      <c r="H86" s="590">
        <f t="shared" si="13"/>
        <v>2490.8318805200006</v>
      </c>
      <c r="I86" s="598">
        <v>1.8149699595471191</v>
      </c>
      <c r="J86" s="598">
        <v>1.233101644426146</v>
      </c>
      <c r="K86" s="397"/>
    </row>
    <row r="87" spans="1:11" s="7" customFormat="1" ht="15.75" hidden="1">
      <c r="A87" s="596" t="s">
        <v>25</v>
      </c>
      <c r="B87" s="597">
        <v>7569.0508901399999</v>
      </c>
      <c r="C87" s="597">
        <v>5333.4637649400001</v>
      </c>
      <c r="D87" s="597">
        <v>4541.0178756200003</v>
      </c>
      <c r="E87" s="597">
        <v>3651.87011497</v>
      </c>
      <c r="F87" s="590">
        <f t="shared" si="10"/>
        <v>889.14776065000024</v>
      </c>
      <c r="G87" s="590">
        <f t="shared" si="11"/>
        <v>792.44588931999988</v>
      </c>
      <c r="H87" s="590">
        <f t="shared" si="13"/>
        <v>2235.5871251999997</v>
      </c>
      <c r="I87" s="598">
        <v>1.7877254753631404</v>
      </c>
      <c r="J87" s="598">
        <v>1.2783949580393097</v>
      </c>
      <c r="K87" s="397"/>
    </row>
    <row r="88" spans="1:11" ht="15.75" hidden="1">
      <c r="A88" s="596" t="s">
        <v>26</v>
      </c>
      <c r="B88" s="590">
        <v>7458.3547354599996</v>
      </c>
      <c r="C88" s="590">
        <v>5222.3727558999999</v>
      </c>
      <c r="D88" s="590">
        <v>4441.7321645299999</v>
      </c>
      <c r="E88" s="590">
        <v>3620.0601578599999</v>
      </c>
      <c r="F88" s="590">
        <f t="shared" si="10"/>
        <v>821.67200666999997</v>
      </c>
      <c r="G88" s="590">
        <f t="shared" si="11"/>
        <v>780.64059137000004</v>
      </c>
      <c r="H88" s="590">
        <f t="shared" si="13"/>
        <v>2235.9819795599997</v>
      </c>
      <c r="I88" s="595">
        <v>1.7840350416470323</v>
      </c>
      <c r="J88" s="595">
        <v>1.2522564558780156</v>
      </c>
      <c r="K88" s="45"/>
    </row>
    <row r="89" spans="1:11" ht="15.75" hidden="1">
      <c r="A89" s="596" t="s">
        <v>27</v>
      </c>
      <c r="B89" s="590">
        <v>7675.6216840100005</v>
      </c>
      <c r="C89" s="590">
        <v>5388.5222151300004</v>
      </c>
      <c r="D89" s="590">
        <v>4530.5438588400002</v>
      </c>
      <c r="E89" s="590">
        <v>3670.3036857800003</v>
      </c>
      <c r="F89" s="590">
        <f t="shared" si="10"/>
        <v>860.24017305999996</v>
      </c>
      <c r="G89" s="590">
        <f t="shared" si="11"/>
        <v>857.97835629000019</v>
      </c>
      <c r="H89" s="590">
        <f t="shared" si="13"/>
        <v>2287.0994688800001</v>
      </c>
      <c r="I89" s="595">
        <v>1.8214389407357163</v>
      </c>
      <c r="J89" s="595">
        <v>1.284982690948653</v>
      </c>
      <c r="K89" s="45"/>
    </row>
    <row r="90" spans="1:11" ht="15.75" hidden="1">
      <c r="A90" s="589" t="s">
        <v>28</v>
      </c>
      <c r="B90" s="594">
        <v>7904.8852866999987</v>
      </c>
      <c r="C90" s="594">
        <v>5575.5593386</v>
      </c>
      <c r="D90" s="594">
        <v>4694.5699221099994</v>
      </c>
      <c r="E90" s="594">
        <v>3805.7037065799996</v>
      </c>
      <c r="F90" s="590">
        <f t="shared" si="10"/>
        <v>888.86621552999986</v>
      </c>
      <c r="G90" s="590">
        <f t="shared" si="11"/>
        <v>880.98941649000062</v>
      </c>
      <c r="H90" s="590">
        <f t="shared" si="13"/>
        <v>2329.3259480999986</v>
      </c>
      <c r="I90" s="595">
        <v>1.81279982466648</v>
      </c>
      <c r="J90" s="595">
        <v>1.2855564752599749</v>
      </c>
      <c r="K90" s="45"/>
    </row>
    <row r="91" spans="1:11" ht="15.75" hidden="1">
      <c r="A91" s="589" t="s">
        <v>29</v>
      </c>
      <c r="B91" s="594">
        <v>8469.18263028</v>
      </c>
      <c r="C91" s="594">
        <v>6169.2249880700001</v>
      </c>
      <c r="D91" s="594">
        <v>5231.2792583800001</v>
      </c>
      <c r="E91" s="594">
        <v>4174.7663068100001</v>
      </c>
      <c r="F91" s="590">
        <f t="shared" si="10"/>
        <v>1056.51295157</v>
      </c>
      <c r="G91" s="590">
        <f t="shared" si="11"/>
        <v>937.94572969000001</v>
      </c>
      <c r="H91" s="590">
        <f t="shared" si="13"/>
        <v>2299.9576422099999</v>
      </c>
      <c r="I91" s="595">
        <v>1.7256868059830488</v>
      </c>
      <c r="J91" s="595">
        <v>1.2691384628867959</v>
      </c>
      <c r="K91" s="45"/>
    </row>
    <row r="92" spans="1:11" ht="15.75">
      <c r="A92" s="596" t="s">
        <v>48</v>
      </c>
      <c r="B92" s="599">
        <v>10527.48910239</v>
      </c>
      <c r="C92" s="599">
        <v>8297.46906709</v>
      </c>
      <c r="D92" s="599">
        <v>6838.3537267299989</v>
      </c>
      <c r="E92" s="599">
        <v>5455.7837350199998</v>
      </c>
      <c r="F92" s="599">
        <v>1382.5699917099992</v>
      </c>
      <c r="G92" s="599">
        <v>1459.115340360001</v>
      </c>
      <c r="H92" s="599">
        <v>2230.0200353</v>
      </c>
      <c r="I92" s="600">
        <v>1.6144200063892737</v>
      </c>
      <c r="J92" s="600">
        <v>1.2970602237978386</v>
      </c>
      <c r="K92" s="399"/>
    </row>
    <row r="93" spans="1:11" ht="15.75" hidden="1">
      <c r="A93" s="596" t="s">
        <v>18</v>
      </c>
      <c r="B93" s="597">
        <v>8143.7706177500004</v>
      </c>
      <c r="C93" s="597">
        <v>5837.6964127600004</v>
      </c>
      <c r="D93" s="597">
        <v>4848.347930580001</v>
      </c>
      <c r="E93" s="597">
        <v>3972.7692841200001</v>
      </c>
      <c r="F93" s="590">
        <f t="shared" si="10"/>
        <v>875.57864646000098</v>
      </c>
      <c r="G93" s="590">
        <f t="shared" si="11"/>
        <v>989.34848217999934</v>
      </c>
      <c r="H93" s="590">
        <f t="shared" ref="H93:H104" si="14">+B93-C93</f>
        <v>2306.07420499</v>
      </c>
      <c r="I93" s="598">
        <v>1.7726129858431543</v>
      </c>
      <c r="J93" s="598">
        <v>1.2804520090473794</v>
      </c>
      <c r="K93" s="397"/>
    </row>
    <row r="94" spans="1:11" ht="15.75" hidden="1">
      <c r="A94" s="596" t="s">
        <v>19</v>
      </c>
      <c r="B94" s="597">
        <v>8132.5567382199988</v>
      </c>
      <c r="C94" s="597">
        <v>5853.1111007499994</v>
      </c>
      <c r="D94" s="597">
        <v>4970.4537853399997</v>
      </c>
      <c r="E94" s="597">
        <v>4083.8688414499998</v>
      </c>
      <c r="F94" s="590">
        <f t="shared" si="10"/>
        <v>886.58494388999998</v>
      </c>
      <c r="G94" s="590">
        <f t="shared" si="11"/>
        <v>882.65731540999968</v>
      </c>
      <c r="H94" s="590">
        <f t="shared" si="14"/>
        <v>2279.4456374699994</v>
      </c>
      <c r="I94" s="598">
        <v>1.7385562403620247</v>
      </c>
      <c r="J94" s="598">
        <v>1.2565393620508165</v>
      </c>
      <c r="K94" s="397"/>
    </row>
    <row r="95" spans="1:11" ht="15.75" hidden="1">
      <c r="A95" s="596" t="s">
        <v>20</v>
      </c>
      <c r="B95" s="597">
        <v>8673.4170052000009</v>
      </c>
      <c r="C95" s="597">
        <v>6182.5589487400002</v>
      </c>
      <c r="D95" s="597">
        <v>5177.4952226300002</v>
      </c>
      <c r="E95" s="597">
        <v>4312.13321894</v>
      </c>
      <c r="F95" s="590">
        <f t="shared" si="10"/>
        <v>865.36200369000017</v>
      </c>
      <c r="G95" s="590">
        <f t="shared" si="11"/>
        <v>1005.0637261100001</v>
      </c>
      <c r="H95" s="590">
        <f t="shared" si="14"/>
        <v>2490.8580564600006</v>
      </c>
      <c r="I95" s="598">
        <v>1.7640777740366431</v>
      </c>
      <c r="J95" s="598">
        <v>1.2612310929447965</v>
      </c>
      <c r="K95" s="397"/>
    </row>
    <row r="96" spans="1:11" ht="15.75" hidden="1">
      <c r="A96" s="596" t="s">
        <v>21</v>
      </c>
      <c r="B96" s="597">
        <v>8735.4667276299988</v>
      </c>
      <c r="C96" s="597">
        <v>6347.7163216399995</v>
      </c>
      <c r="D96" s="597">
        <v>5318.9574413299997</v>
      </c>
      <c r="E96" s="597">
        <v>4434.3171367899995</v>
      </c>
      <c r="F96" s="590">
        <f t="shared" si="10"/>
        <v>884.64030454000022</v>
      </c>
      <c r="G96" s="590">
        <f t="shared" si="11"/>
        <v>1028.7588803099998</v>
      </c>
      <c r="H96" s="590">
        <f t="shared" si="14"/>
        <v>2387.7504059899993</v>
      </c>
      <c r="I96" s="598">
        <v>1.7584212627728233</v>
      </c>
      <c r="J96" s="598">
        <v>1.2807876363030206</v>
      </c>
      <c r="K96" s="397"/>
    </row>
    <row r="97" spans="1:14" ht="15.75" hidden="1">
      <c r="A97" s="596" t="s">
        <v>22</v>
      </c>
      <c r="B97" s="597">
        <v>8929.76618074</v>
      </c>
      <c r="C97" s="597">
        <v>6453.9733412699998</v>
      </c>
      <c r="D97" s="597">
        <v>5415.6387429600009</v>
      </c>
      <c r="E97" s="597">
        <v>4543.4686922600004</v>
      </c>
      <c r="F97" s="590">
        <f t="shared" si="10"/>
        <v>872.1700507000005</v>
      </c>
      <c r="G97" s="590">
        <f t="shared" si="11"/>
        <v>1038.3345983099989</v>
      </c>
      <c r="H97" s="590">
        <f t="shared" si="14"/>
        <v>2475.7928394700002</v>
      </c>
      <c r="I97" s="598">
        <v>1.7689669790696818</v>
      </c>
      <c r="J97" s="598">
        <v>1.2875403278119288</v>
      </c>
      <c r="K97" s="397"/>
    </row>
    <row r="98" spans="1:14" ht="15.75" hidden="1">
      <c r="A98" s="596" t="s">
        <v>23</v>
      </c>
      <c r="B98" s="597">
        <v>9082.4767764299995</v>
      </c>
      <c r="C98" s="597">
        <v>6629.4488834099993</v>
      </c>
      <c r="D98" s="597">
        <v>5522.228011279999</v>
      </c>
      <c r="E98" s="597">
        <v>4587.3126537899989</v>
      </c>
      <c r="F98" s="590">
        <f t="shared" si="10"/>
        <v>934.91535749000013</v>
      </c>
      <c r="G98" s="590">
        <f t="shared" si="11"/>
        <v>1107.2208721300003</v>
      </c>
      <c r="H98" s="590">
        <f t="shared" si="14"/>
        <v>2453.0278930200002</v>
      </c>
      <c r="I98" s="598">
        <v>1.7679447607429613</v>
      </c>
      <c r="J98" s="598">
        <v>1.2957368582073303</v>
      </c>
      <c r="K98" s="397"/>
    </row>
    <row r="99" spans="1:14" ht="15.75" hidden="1">
      <c r="A99" s="596" t="s">
        <v>24</v>
      </c>
      <c r="B99" s="597">
        <v>9054.4651419000002</v>
      </c>
      <c r="C99" s="597">
        <v>6892.0023660900006</v>
      </c>
      <c r="D99" s="597">
        <v>5741.26512447</v>
      </c>
      <c r="E99" s="597">
        <v>4811.4484944200003</v>
      </c>
      <c r="F99" s="590">
        <f t="shared" si="10"/>
        <v>929.81663004999973</v>
      </c>
      <c r="G99" s="590">
        <f t="shared" si="11"/>
        <v>1150.7372416200005</v>
      </c>
      <c r="H99" s="590">
        <f t="shared" si="14"/>
        <v>2162.4627758099996</v>
      </c>
      <c r="I99" s="598">
        <v>1.7046010768477728</v>
      </c>
      <c r="J99" s="598">
        <v>1.3005245876891725</v>
      </c>
      <c r="K99" s="397"/>
    </row>
    <row r="100" spans="1:14" ht="15.75" hidden="1">
      <c r="A100" s="596" t="s">
        <v>25</v>
      </c>
      <c r="B100" s="597">
        <v>9315.0059182199984</v>
      </c>
      <c r="C100" s="597">
        <v>7046.6076046599992</v>
      </c>
      <c r="D100" s="597">
        <v>5790.0133649699992</v>
      </c>
      <c r="E100" s="597">
        <v>4850.8000458299994</v>
      </c>
      <c r="F100" s="590">
        <f t="shared" si="10"/>
        <v>939.21331913999984</v>
      </c>
      <c r="G100" s="590">
        <f t="shared" si="11"/>
        <v>1256.59423969</v>
      </c>
      <c r="H100" s="590">
        <f t="shared" si="14"/>
        <v>2268.3983135599992</v>
      </c>
      <c r="I100" s="598">
        <v>1.7297488067256579</v>
      </c>
      <c r="J100" s="598">
        <v>1.3113717116942596</v>
      </c>
      <c r="K100" s="397"/>
    </row>
    <row r="101" spans="1:14" ht="15.75" hidden="1">
      <c r="A101" s="596" t="s">
        <v>26</v>
      </c>
      <c r="B101" s="597">
        <v>9389.968013579999</v>
      </c>
      <c r="C101" s="597">
        <v>7156.0729733199987</v>
      </c>
      <c r="D101" s="597">
        <v>5884.0097125099992</v>
      </c>
      <c r="E101" s="597">
        <v>4897.4012645999992</v>
      </c>
      <c r="F101" s="590">
        <f t="shared" si="10"/>
        <v>986.60844791</v>
      </c>
      <c r="G101" s="590">
        <f t="shared" si="11"/>
        <v>1272.0632608099995</v>
      </c>
      <c r="H101" s="590">
        <f t="shared" si="14"/>
        <v>2233.8950402600003</v>
      </c>
      <c r="I101" s="598">
        <v>1.7022979460261123</v>
      </c>
      <c r="J101" s="598">
        <v>1.3000133142599655</v>
      </c>
      <c r="K101" s="397"/>
    </row>
    <row r="102" spans="1:14" ht="15.75" hidden="1">
      <c r="A102" s="596" t="s">
        <v>27</v>
      </c>
      <c r="B102" s="597">
        <v>9619.9188194400012</v>
      </c>
      <c r="C102" s="597">
        <v>7314.5376940000006</v>
      </c>
      <c r="D102" s="597">
        <v>5992.1865162500008</v>
      </c>
      <c r="E102" s="597">
        <v>4942.5934275</v>
      </c>
      <c r="F102" s="590">
        <f t="shared" si="10"/>
        <v>1049.5930887500008</v>
      </c>
      <c r="G102" s="590">
        <f t="shared" si="11"/>
        <v>1322.3511777499998</v>
      </c>
      <c r="H102" s="590">
        <f t="shared" si="14"/>
        <v>2305.3811254400007</v>
      </c>
      <c r="I102" s="598">
        <v>1.6993659449658796</v>
      </c>
      <c r="J102" s="598">
        <v>1.2954592707345145</v>
      </c>
      <c r="K102" s="397"/>
    </row>
    <row r="103" spans="1:14" ht="15.75" hidden="1">
      <c r="A103" s="596" t="s">
        <v>28</v>
      </c>
      <c r="B103" s="597">
        <v>9620.7746167400001</v>
      </c>
      <c r="C103" s="597">
        <v>7417.6583926100002</v>
      </c>
      <c r="D103" s="597">
        <v>5946.4804628800011</v>
      </c>
      <c r="E103" s="597">
        <v>4994.3238582200001</v>
      </c>
      <c r="F103" s="590">
        <f t="shared" si="10"/>
        <v>952.15660466000099</v>
      </c>
      <c r="G103" s="590">
        <f t="shared" si="11"/>
        <v>1471.1779297299991</v>
      </c>
      <c r="H103" s="590">
        <f t="shared" si="14"/>
        <v>2203.1162241299999</v>
      </c>
      <c r="I103" s="598">
        <v>1.7110129253076456</v>
      </c>
      <c r="J103" s="598">
        <v>1.3232798627129729</v>
      </c>
      <c r="K103" s="397"/>
    </row>
    <row r="104" spans="1:14" ht="15.75" hidden="1">
      <c r="A104" s="596" t="s">
        <v>29</v>
      </c>
      <c r="B104" s="597">
        <v>10527.48910239</v>
      </c>
      <c r="C104" s="597">
        <v>8297.46906709</v>
      </c>
      <c r="D104" s="597">
        <v>6838.3537267299989</v>
      </c>
      <c r="E104" s="597">
        <v>5455.7837350199998</v>
      </c>
      <c r="F104" s="590">
        <f t="shared" si="10"/>
        <v>1382.5699917099992</v>
      </c>
      <c r="G104" s="590">
        <f t="shared" si="11"/>
        <v>1459.115340360001</v>
      </c>
      <c r="H104" s="590">
        <f t="shared" si="14"/>
        <v>2230.0200353</v>
      </c>
      <c r="I104" s="598">
        <v>1.6144200063892737</v>
      </c>
      <c r="J104" s="598">
        <v>1.2970602237978386</v>
      </c>
      <c r="K104" s="397"/>
    </row>
    <row r="105" spans="1:14" ht="15.75">
      <c r="A105" s="596" t="s">
        <v>1024</v>
      </c>
      <c r="B105" s="601">
        <v>13903.175588120001</v>
      </c>
      <c r="C105" s="601">
        <v>10997.158822920001</v>
      </c>
      <c r="D105" s="601">
        <v>8796.0136600800015</v>
      </c>
      <c r="E105" s="601">
        <v>7158.1555464000012</v>
      </c>
      <c r="F105" s="602">
        <v>1637.8600000000006</v>
      </c>
      <c r="G105" s="602">
        <v>2201.1499999999996</v>
      </c>
      <c r="H105" s="602">
        <v>2906.0167652</v>
      </c>
      <c r="I105" s="603">
        <v>1.6377422401306216</v>
      </c>
      <c r="J105" s="603">
        <v>1.3289385404996497</v>
      </c>
      <c r="K105" s="400"/>
    </row>
    <row r="106" spans="1:14" ht="15.75" hidden="1">
      <c r="A106" s="596" t="s">
        <v>18</v>
      </c>
      <c r="B106" s="597">
        <v>10107.260521460001</v>
      </c>
      <c r="C106" s="597">
        <v>7763.8045956900005</v>
      </c>
      <c r="D106" s="597">
        <v>6294.9026814899998</v>
      </c>
      <c r="E106" s="597">
        <v>5266.8241358200003</v>
      </c>
      <c r="F106" s="590">
        <f t="shared" si="10"/>
        <v>1028.0785456699996</v>
      </c>
      <c r="G106" s="590">
        <f t="shared" si="11"/>
        <v>1468.9019142000006</v>
      </c>
      <c r="H106" s="590">
        <f t="shared" ref="H106:H117" si="15">+B106-C106</f>
        <v>2343.4559257700002</v>
      </c>
      <c r="I106" s="598">
        <v>1.6802706294479797</v>
      </c>
      <c r="J106" s="598">
        <v>1.302515061942485</v>
      </c>
      <c r="K106" s="397"/>
    </row>
    <row r="107" spans="1:14" ht="15.75" hidden="1">
      <c r="A107" s="596" t="s">
        <v>19</v>
      </c>
      <c r="B107" s="597">
        <v>10272.605777700001</v>
      </c>
      <c r="C107" s="597">
        <v>7907.6871624700007</v>
      </c>
      <c r="D107" s="597">
        <v>6481.7030081900002</v>
      </c>
      <c r="E107" s="597">
        <v>5363.0863719600002</v>
      </c>
      <c r="F107" s="590">
        <f t="shared" si="10"/>
        <v>1118.61663623</v>
      </c>
      <c r="G107" s="590">
        <f t="shared" si="11"/>
        <v>1425.9841542800004</v>
      </c>
      <c r="H107" s="590">
        <f t="shared" si="15"/>
        <v>2364.9186152299999</v>
      </c>
      <c r="I107" s="598">
        <v>1.6783976910372174</v>
      </c>
      <c r="J107" s="598">
        <v>1.2964408994156833</v>
      </c>
      <c r="K107" s="397"/>
    </row>
    <row r="108" spans="1:14" ht="15.75" hidden="1">
      <c r="A108" s="596" t="s">
        <v>20</v>
      </c>
      <c r="B108" s="597">
        <v>10757.400264010001</v>
      </c>
      <c r="C108" s="597">
        <v>8115.4929009299995</v>
      </c>
      <c r="D108" s="597">
        <v>6618.4061489300002</v>
      </c>
      <c r="E108" s="597">
        <v>5427.0536122099993</v>
      </c>
      <c r="F108" s="590">
        <f t="shared" si="10"/>
        <v>1191.3525367200009</v>
      </c>
      <c r="G108" s="590">
        <f t="shared" si="11"/>
        <v>1497.0867519999993</v>
      </c>
      <c r="H108" s="590">
        <f t="shared" si="15"/>
        <v>2641.9073630800012</v>
      </c>
      <c r="I108" s="598">
        <v>1.7121601821226011</v>
      </c>
      <c r="J108" s="598">
        <v>1.2945481505147456</v>
      </c>
      <c r="K108" s="397"/>
    </row>
    <row r="109" spans="1:14" ht="15.75" hidden="1">
      <c r="A109" s="589" t="s">
        <v>21</v>
      </c>
      <c r="B109" s="594">
        <v>10760.569371239999</v>
      </c>
      <c r="C109" s="594">
        <v>8176.43909859</v>
      </c>
      <c r="D109" s="594">
        <v>6635.0757591900001</v>
      </c>
      <c r="E109" s="594">
        <v>5457.8029094800004</v>
      </c>
      <c r="F109" s="590">
        <f t="shared" si="10"/>
        <v>1177.2728497099997</v>
      </c>
      <c r="G109" s="590">
        <f t="shared" si="11"/>
        <v>1541.3633393999999</v>
      </c>
      <c r="H109" s="590">
        <f t="shared" si="15"/>
        <v>2584.1302726499989</v>
      </c>
      <c r="I109" s="595">
        <f>B109/6191.62829426</f>
        <v>1.7379223783856135</v>
      </c>
      <c r="J109" s="595">
        <f>C109/6167.31288611</f>
        <v>1.3257701124593413</v>
      </c>
      <c r="K109" s="45"/>
      <c r="N109" s="213"/>
    </row>
    <row r="110" spans="1:14" ht="15.75" hidden="1">
      <c r="A110" s="589" t="s">
        <v>22</v>
      </c>
      <c r="B110" s="594">
        <v>11056.133248170001</v>
      </c>
      <c r="C110" s="594">
        <v>8392.0020107100008</v>
      </c>
      <c r="D110" s="594">
        <v>6809.2636371099998</v>
      </c>
      <c r="E110" s="594">
        <v>5610.2920020700003</v>
      </c>
      <c r="F110" s="590">
        <f t="shared" si="10"/>
        <v>1198.9716350399995</v>
      </c>
      <c r="G110" s="590">
        <f t="shared" si="11"/>
        <v>1582.7383736000011</v>
      </c>
      <c r="H110" s="590">
        <f t="shared" si="15"/>
        <v>2664.1312374600002</v>
      </c>
      <c r="I110" s="595">
        <f>B110/6294.42259615</f>
        <v>1.7564968159164456</v>
      </c>
      <c r="J110" s="595">
        <f>C110/6244.92660615</f>
        <v>1.3438111510302719</v>
      </c>
      <c r="K110" s="45"/>
    </row>
    <row r="111" spans="1:14" ht="15.75" hidden="1">
      <c r="A111" s="589" t="s">
        <v>23</v>
      </c>
      <c r="B111" s="594">
        <v>11412.516171699999</v>
      </c>
      <c r="C111" s="594">
        <v>8735.36012544</v>
      </c>
      <c r="D111" s="594">
        <v>7102.8384054399994</v>
      </c>
      <c r="E111" s="594">
        <v>5851.6340985999996</v>
      </c>
      <c r="F111" s="590">
        <f t="shared" si="10"/>
        <v>1251.2043068399998</v>
      </c>
      <c r="G111" s="590">
        <f t="shared" si="11"/>
        <v>1632.5217200000006</v>
      </c>
      <c r="H111" s="590">
        <f t="shared" si="15"/>
        <v>2677.1560462599991</v>
      </c>
      <c r="I111" s="595">
        <f>B111/6552.35453481</f>
        <v>1.7417427752222401</v>
      </c>
      <c r="J111" s="595">
        <f>C111/6497.69278658</f>
        <v>1.3443787529446702</v>
      </c>
      <c r="K111" s="45"/>
    </row>
    <row r="112" spans="1:14" ht="15.75" hidden="1">
      <c r="A112" s="589" t="s">
        <v>24</v>
      </c>
      <c r="B112" s="594">
        <v>11921.22770354</v>
      </c>
      <c r="C112" s="594">
        <v>9351.3794538900001</v>
      </c>
      <c r="D112" s="594">
        <v>7660.5257831799991</v>
      </c>
      <c r="E112" s="594">
        <v>6198.9877103499994</v>
      </c>
      <c r="F112" s="590">
        <f t="shared" si="10"/>
        <v>1461.5380728299997</v>
      </c>
      <c r="G112" s="590">
        <f t="shared" si="11"/>
        <v>1690.8536707100011</v>
      </c>
      <c r="H112" s="590">
        <f t="shared" si="15"/>
        <v>2569.8482496500001</v>
      </c>
      <c r="I112" s="595">
        <f>B112/6940.64675124</f>
        <v>1.7175960873401575</v>
      </c>
      <c r="J112" s="595">
        <f>C112/6858.11207583</f>
        <v>1.3635501068649791</v>
      </c>
      <c r="K112" s="45"/>
    </row>
    <row r="113" spans="1:11" ht="15.75" hidden="1">
      <c r="A113" s="589" t="s">
        <v>25</v>
      </c>
      <c r="B113" s="594">
        <v>12336.246017520003</v>
      </c>
      <c r="C113" s="594">
        <v>9569.8319123600013</v>
      </c>
      <c r="D113" s="594">
        <v>7870.5156765500005</v>
      </c>
      <c r="E113" s="594">
        <v>6493.7353910200009</v>
      </c>
      <c r="F113" s="590">
        <f t="shared" si="10"/>
        <v>1376.7802855299997</v>
      </c>
      <c r="G113" s="590">
        <f t="shared" si="11"/>
        <v>1699.3162358100008</v>
      </c>
      <c r="H113" s="590">
        <f t="shared" si="15"/>
        <v>2766.4141051600018</v>
      </c>
      <c r="I113" s="595">
        <f>B113/7202.82493406</f>
        <v>1.7126955230003709</v>
      </c>
      <c r="J113" s="595">
        <f>C113/7119.32928233</f>
        <v>1.3442041423919089</v>
      </c>
      <c r="K113" s="45"/>
    </row>
    <row r="114" spans="1:11" ht="15.75" hidden="1">
      <c r="A114" s="589" t="s">
        <v>26</v>
      </c>
      <c r="B114" s="594">
        <v>12652.172385250002</v>
      </c>
      <c r="C114" s="594">
        <v>9630.2770908400016</v>
      </c>
      <c r="D114" s="594">
        <v>7798.2984794500007</v>
      </c>
      <c r="E114" s="594">
        <v>6465.9048142400006</v>
      </c>
      <c r="F114" s="590">
        <f t="shared" si="10"/>
        <v>1332.3936652100001</v>
      </c>
      <c r="G114" s="590">
        <f t="shared" si="11"/>
        <v>1831.9786113900009</v>
      </c>
      <c r="H114" s="590">
        <f t="shared" si="15"/>
        <v>3021.8952944100001</v>
      </c>
      <c r="I114" s="595">
        <f>B114/7281.48469652</f>
        <v>1.7375814016744118</v>
      </c>
      <c r="J114" s="595">
        <f>C114/7206.52797317</f>
        <v>1.3363268867745539</v>
      </c>
      <c r="K114" s="45"/>
    </row>
    <row r="115" spans="1:11" ht="15.75" hidden="1">
      <c r="A115" s="589" t="s">
        <v>27</v>
      </c>
      <c r="B115" s="594">
        <v>12652.22116963</v>
      </c>
      <c r="C115" s="594">
        <v>9748.6448836399995</v>
      </c>
      <c r="D115" s="594">
        <v>7825.4983056599995</v>
      </c>
      <c r="E115" s="594">
        <v>6505.2744384799998</v>
      </c>
      <c r="F115" s="590">
        <f t="shared" si="10"/>
        <v>1320.2238671799996</v>
      </c>
      <c r="G115" s="590">
        <f t="shared" si="11"/>
        <v>1923.1465779800001</v>
      </c>
      <c r="H115" s="590">
        <f t="shared" si="15"/>
        <v>2903.5762859900005</v>
      </c>
      <c r="I115" s="595">
        <f>B115/7270.39415221</f>
        <v>1.7402386864794768</v>
      </c>
      <c r="J115" s="595">
        <f>C115/7189.74913467</f>
        <v>1.3559089060048894</v>
      </c>
      <c r="K115" s="45"/>
    </row>
    <row r="116" spans="1:11" ht="15.75" hidden="1">
      <c r="A116" s="589" t="s">
        <v>28</v>
      </c>
      <c r="B116" s="594">
        <v>12830.739520470001</v>
      </c>
      <c r="C116" s="594">
        <v>9991.944854450001</v>
      </c>
      <c r="D116" s="594">
        <v>8022.57158936</v>
      </c>
      <c r="E116" s="594">
        <v>6529.3823573</v>
      </c>
      <c r="F116" s="590">
        <f t="shared" si="10"/>
        <v>1493.18923206</v>
      </c>
      <c r="G116" s="590">
        <f t="shared" si="11"/>
        <v>1969.373265090001</v>
      </c>
      <c r="H116" s="590">
        <f t="shared" si="15"/>
        <v>2838.7946660199996</v>
      </c>
      <c r="I116" s="595">
        <f>B116/7494.35987203</f>
        <v>1.7120527622854245</v>
      </c>
      <c r="J116" s="595">
        <f>C116/7417.40260057</f>
        <v>1.3470948514621759</v>
      </c>
      <c r="K116" s="45"/>
    </row>
    <row r="117" spans="1:11" ht="15.75" hidden="1">
      <c r="A117" s="589" t="s">
        <v>29</v>
      </c>
      <c r="B117" s="594">
        <v>13903.175588120001</v>
      </c>
      <c r="C117" s="594">
        <v>10997.158822920001</v>
      </c>
      <c r="D117" s="594">
        <v>8796.0136600800015</v>
      </c>
      <c r="E117" s="594">
        <v>7158.1555464000012</v>
      </c>
      <c r="F117" s="590">
        <f t="shared" si="10"/>
        <v>1637.8581136800003</v>
      </c>
      <c r="G117" s="590">
        <f t="shared" si="11"/>
        <v>2201.1451628399991</v>
      </c>
      <c r="H117" s="590">
        <f t="shared" si="15"/>
        <v>2906.0167652</v>
      </c>
      <c r="I117" s="595">
        <f>B117/8489.40062686</f>
        <v>1.6377099160724151</v>
      </c>
      <c r="J117" s="595">
        <f>C117/8275.34883281</f>
        <v>1.3289057712369301</v>
      </c>
      <c r="K117" s="45"/>
    </row>
    <row r="118" spans="1:11" ht="15.75">
      <c r="A118" s="596" t="s">
        <v>1288</v>
      </c>
      <c r="B118" s="599">
        <v>16775.301806390002</v>
      </c>
      <c r="C118" s="599">
        <v>13806.376126880001</v>
      </c>
      <c r="D118" s="599">
        <v>11122.107094140001</v>
      </c>
      <c r="E118" s="599">
        <v>9256.6355256300012</v>
      </c>
      <c r="F118" s="604">
        <f>+D118-E118</f>
        <v>1865.47156851</v>
      </c>
      <c r="G118" s="604">
        <f>+C118-D118</f>
        <v>2684.2690327399996</v>
      </c>
      <c r="H118" s="604">
        <v>2968.92567951</v>
      </c>
      <c r="I118" s="605">
        <f>B118/10660.29095014</f>
        <v>1.5736251369546057</v>
      </c>
      <c r="J118" s="605">
        <f>C118/10514.97205168</f>
        <v>1.3130207155114715</v>
      </c>
      <c r="K118" s="401"/>
    </row>
    <row r="119" spans="1:11" ht="15.75" hidden="1">
      <c r="A119" s="596" t="s">
        <v>18</v>
      </c>
      <c r="B119" s="597">
        <v>13474.6267448</v>
      </c>
      <c r="C119" s="597">
        <v>10550.646729730001</v>
      </c>
      <c r="D119" s="597">
        <v>8326.303340020002</v>
      </c>
      <c r="E119" s="597">
        <v>6810.7901250100012</v>
      </c>
      <c r="F119" s="590">
        <f t="shared" si="10"/>
        <v>1515.5132150100007</v>
      </c>
      <c r="G119" s="590">
        <f t="shared" si="11"/>
        <v>2224.3433897099985</v>
      </c>
      <c r="H119" s="590">
        <f t="shared" ref="H119:H130" si="16">+B119-C119</f>
        <v>2923.9800150699994</v>
      </c>
      <c r="I119" s="598">
        <f>B119/7686.68382912</f>
        <v>1.7529830866404486</v>
      </c>
      <c r="J119" s="598">
        <f>C119/7601.48872794</f>
        <v>1.3879711076792218</v>
      </c>
      <c r="K119" s="397"/>
    </row>
    <row r="120" spans="1:11" ht="15.75" hidden="1">
      <c r="A120" s="596" t="s">
        <v>19</v>
      </c>
      <c r="B120" s="597">
        <v>13799.16187616</v>
      </c>
      <c r="C120" s="597">
        <v>10694.32494869</v>
      </c>
      <c r="D120" s="597">
        <v>8375.6163805699998</v>
      </c>
      <c r="E120" s="597">
        <v>6911.1925890399998</v>
      </c>
      <c r="F120" s="590">
        <f t="shared" si="10"/>
        <v>1464.42379153</v>
      </c>
      <c r="G120" s="590">
        <f t="shared" si="11"/>
        <v>2318.7085681200006</v>
      </c>
      <c r="H120" s="590">
        <f t="shared" si="16"/>
        <v>3104.8369274699999</v>
      </c>
      <c r="I120" s="598">
        <f>B120/7908.65826857</f>
        <v>1.7448170609418796</v>
      </c>
      <c r="J120" s="598">
        <f>C120/7825.1689925</f>
        <v>1.366657379404832</v>
      </c>
      <c r="K120" s="397"/>
    </row>
    <row r="121" spans="1:11" ht="15.75">
      <c r="A121" s="596" t="s">
        <v>20</v>
      </c>
      <c r="B121" s="597">
        <v>14319.88283205</v>
      </c>
      <c r="C121" s="597">
        <v>11263.437944789999</v>
      </c>
      <c r="D121" s="597">
        <v>9009.9064602899998</v>
      </c>
      <c r="E121" s="597">
        <v>7241.3228480300004</v>
      </c>
      <c r="F121" s="590">
        <f t="shared" si="10"/>
        <v>1768.5836122599994</v>
      </c>
      <c r="G121" s="590">
        <f t="shared" si="11"/>
        <v>2253.5314844999994</v>
      </c>
      <c r="H121" s="590">
        <f t="shared" si="16"/>
        <v>3056.4448872600005</v>
      </c>
      <c r="I121" s="598">
        <f>B121/8468.33373691</f>
        <v>1.6909917909394019</v>
      </c>
      <c r="J121" s="598">
        <f>C121/8347.67178633</f>
        <v>1.349290944001273</v>
      </c>
      <c r="K121" s="397"/>
    </row>
    <row r="122" spans="1:11" ht="18.75" hidden="1" customHeight="1">
      <c r="A122" s="596" t="s">
        <v>21</v>
      </c>
      <c r="B122" s="597">
        <v>14346.201608679999</v>
      </c>
      <c r="C122" s="597">
        <v>11202.396400419999</v>
      </c>
      <c r="D122" s="597">
        <v>8987.9618849499984</v>
      </c>
      <c r="E122" s="597">
        <v>7312.7794083499994</v>
      </c>
      <c r="F122" s="590">
        <f t="shared" si="10"/>
        <v>1675.1824765999991</v>
      </c>
      <c r="G122" s="590">
        <f t="shared" si="11"/>
        <v>2214.4345154700004</v>
      </c>
      <c r="H122" s="590">
        <f t="shared" si="16"/>
        <v>3143.8052082600007</v>
      </c>
      <c r="I122" s="598">
        <f>B122/8223.02870273</f>
        <v>1.7446371802055294</v>
      </c>
      <c r="J122" s="598">
        <f>C122/8145.87800788</f>
        <v>1.3752227064514402</v>
      </c>
      <c r="K122" s="397"/>
    </row>
    <row r="123" spans="1:11" ht="15.75" hidden="1">
      <c r="A123" s="596" t="s">
        <v>22</v>
      </c>
      <c r="B123" s="597">
        <v>14579.48424774</v>
      </c>
      <c r="C123" s="597">
        <v>11456.70347266</v>
      </c>
      <c r="D123" s="597">
        <v>9210.4648230599996</v>
      </c>
      <c r="E123" s="597">
        <v>7509.9198136299992</v>
      </c>
      <c r="F123" s="590">
        <f t="shared" si="10"/>
        <v>1700.5450094300004</v>
      </c>
      <c r="G123" s="590">
        <f t="shared" si="11"/>
        <v>2246.2386495999999</v>
      </c>
      <c r="H123" s="590">
        <f t="shared" si="16"/>
        <v>3122.7807750800002</v>
      </c>
      <c r="I123" s="598">
        <f>B123/8457.87975694</f>
        <v>1.7237753038256427</v>
      </c>
      <c r="J123" s="598">
        <f>C123/8373.10387126</f>
        <v>1.3682743757645484</v>
      </c>
      <c r="K123" s="397"/>
    </row>
    <row r="124" spans="1:11" ht="15.75">
      <c r="A124" s="596" t="s">
        <v>23</v>
      </c>
      <c r="B124" s="597">
        <v>14527.482267830001</v>
      </c>
      <c r="C124" s="597">
        <v>11753.663751780001</v>
      </c>
      <c r="D124" s="597">
        <v>9475.3794250899991</v>
      </c>
      <c r="E124" s="597">
        <v>7751.8143008900006</v>
      </c>
      <c r="F124" s="590">
        <f t="shared" si="10"/>
        <v>1723.5651241999985</v>
      </c>
      <c r="G124" s="590">
        <f t="shared" si="11"/>
        <v>2278.2843266900018</v>
      </c>
      <c r="H124" s="590">
        <f t="shared" si="16"/>
        <v>2773.8185160499997</v>
      </c>
      <c r="I124" s="598">
        <f>B124/8730.4</f>
        <v>1.6640110725545223</v>
      </c>
      <c r="J124" s="598">
        <f>C124/8654.4</f>
        <v>1.3581142253397118</v>
      </c>
      <c r="K124" s="397"/>
    </row>
    <row r="125" spans="1:11" ht="15.75" hidden="1">
      <c r="A125" s="596" t="s">
        <v>24</v>
      </c>
      <c r="B125" s="597">
        <v>14703.043142640003</v>
      </c>
      <c r="C125" s="597">
        <v>11971.003045320002</v>
      </c>
      <c r="D125" s="597">
        <v>9688.9205505299997</v>
      </c>
      <c r="E125" s="597">
        <v>8012.34845881</v>
      </c>
      <c r="F125" s="590">
        <f t="shared" si="10"/>
        <v>1676.5720917199997</v>
      </c>
      <c r="G125" s="590">
        <f t="shared" si="11"/>
        <v>2282.0824947900019</v>
      </c>
      <c r="H125" s="590">
        <f t="shared" si="16"/>
        <v>2732.0400973200012</v>
      </c>
      <c r="I125" s="598">
        <f>B125/9039.62873754</f>
        <v>1.6265096244031385</v>
      </c>
      <c r="J125" s="598">
        <f>C125/8940.15190669</f>
        <v>1.339015619674425</v>
      </c>
      <c r="K125" s="397"/>
    </row>
    <row r="126" spans="1:11" ht="15.75" hidden="1">
      <c r="A126" s="596" t="s">
        <v>25</v>
      </c>
      <c r="B126" s="597">
        <v>15002.992194119999</v>
      </c>
      <c r="C126" s="597">
        <v>12218.2895424</v>
      </c>
      <c r="D126" s="597">
        <v>9931.3003141499994</v>
      </c>
      <c r="E126" s="597">
        <v>8134.5739681499999</v>
      </c>
      <c r="F126" s="590">
        <f t="shared" si="10"/>
        <v>1796.7263459999995</v>
      </c>
      <c r="G126" s="590">
        <f t="shared" si="11"/>
        <v>2286.9892282500005</v>
      </c>
      <c r="H126" s="590">
        <f t="shared" si="16"/>
        <v>2784.7026517199993</v>
      </c>
      <c r="I126" s="598">
        <f>B126/9195.7436029</f>
        <v>1.6315148444752858</v>
      </c>
      <c r="J126" s="598">
        <f>C126/9076.35693192</f>
        <v>1.3461667091815614</v>
      </c>
      <c r="K126" s="397"/>
    </row>
    <row r="127" spans="1:11" ht="15.75">
      <c r="A127" s="596" t="s">
        <v>26</v>
      </c>
      <c r="B127" s="597">
        <v>15343.330298140001</v>
      </c>
      <c r="C127" s="597">
        <v>12402.361989680001</v>
      </c>
      <c r="D127" s="597">
        <v>10069.71359757</v>
      </c>
      <c r="E127" s="597">
        <v>8315.4327345600013</v>
      </c>
      <c r="F127" s="590">
        <f t="shared" si="10"/>
        <v>1754.2808630099989</v>
      </c>
      <c r="G127" s="590">
        <f t="shared" si="11"/>
        <v>2332.6483921100007</v>
      </c>
      <c r="H127" s="590">
        <f t="shared" si="16"/>
        <v>2940.9683084600001</v>
      </c>
      <c r="I127" s="598">
        <f>B127/9399.71039137</f>
        <v>1.6323194714836022</v>
      </c>
      <c r="J127" s="598">
        <f>C127/9299.77625118</f>
        <v>1.3336193962845431</v>
      </c>
      <c r="K127" s="397"/>
    </row>
    <row r="128" spans="1:11" ht="15.75" hidden="1">
      <c r="A128" s="596" t="s">
        <v>27</v>
      </c>
      <c r="B128" s="597">
        <v>15606.571210440001</v>
      </c>
      <c r="C128" s="597">
        <v>12563.57153646</v>
      </c>
      <c r="D128" s="597">
        <v>10114.95929513</v>
      </c>
      <c r="E128" s="597">
        <v>8415.5411511500006</v>
      </c>
      <c r="F128" s="590">
        <f t="shared" si="10"/>
        <v>1699.4181439799995</v>
      </c>
      <c r="G128" s="590">
        <f t="shared" si="11"/>
        <v>2448.61224133</v>
      </c>
      <c r="H128" s="590">
        <f t="shared" si="16"/>
        <v>3042.9996739800008</v>
      </c>
      <c r="I128" s="598">
        <f>B128/9365.06754874</f>
        <v>1.6664664861429375</v>
      </c>
      <c r="J128" s="598">
        <f>C128/9291.34120768</f>
        <v>1.3521806223277273</v>
      </c>
      <c r="K128" s="397"/>
    </row>
    <row r="129" spans="1:15" ht="15.75" hidden="1">
      <c r="A129" s="596" t="s">
        <v>28</v>
      </c>
      <c r="B129" s="597">
        <v>15787.743941799999</v>
      </c>
      <c r="C129" s="597">
        <v>12649.589319520001</v>
      </c>
      <c r="D129" s="597">
        <v>10122.484978250002</v>
      </c>
      <c r="E129" s="597">
        <v>8383.5896026300015</v>
      </c>
      <c r="F129" s="590">
        <f t="shared" si="10"/>
        <v>1738.8953756200008</v>
      </c>
      <c r="G129" s="590">
        <f t="shared" si="11"/>
        <v>2527.1043412699983</v>
      </c>
      <c r="H129" s="590">
        <f t="shared" si="16"/>
        <v>3138.1546222799989</v>
      </c>
      <c r="I129" s="598">
        <f>B129/9427.26449336</f>
        <v>1.6746898268230344</v>
      </c>
      <c r="J129" s="598">
        <f>C129/9345.97705817</f>
        <v>1.3534796031263605</v>
      </c>
      <c r="K129" s="397"/>
    </row>
    <row r="130" spans="1:15" ht="15" customHeight="1">
      <c r="A130" s="596" t="s">
        <v>29</v>
      </c>
      <c r="B130" s="597">
        <v>16775.301806390002</v>
      </c>
      <c r="C130" s="597">
        <v>13806.376126880001</v>
      </c>
      <c r="D130" s="597">
        <v>11122.107094140001</v>
      </c>
      <c r="E130" s="597">
        <v>9256.6355256300012</v>
      </c>
      <c r="F130" s="590">
        <f t="shared" si="10"/>
        <v>1865.47156851</v>
      </c>
      <c r="G130" s="590">
        <f t="shared" si="11"/>
        <v>2684.2690327399996</v>
      </c>
      <c r="H130" s="590">
        <f t="shared" si="16"/>
        <v>2968.9256795100009</v>
      </c>
      <c r="I130" s="598">
        <f>B130/10660.29095014</f>
        <v>1.5736251369546057</v>
      </c>
      <c r="J130" s="598">
        <f>C130/10514.97205168</f>
        <v>1.3130207155114715</v>
      </c>
      <c r="K130" s="397"/>
    </row>
    <row r="131" spans="1:15" ht="15.75">
      <c r="A131" s="596" t="s">
        <v>1410</v>
      </c>
      <c r="B131" s="599">
        <v>19289.435054590002</v>
      </c>
      <c r="C131" s="599">
        <v>16434.781617190001</v>
      </c>
      <c r="D131" s="599">
        <v>12736.891463010001</v>
      </c>
      <c r="E131" s="599">
        <v>10458.65191457</v>
      </c>
      <c r="F131" s="604">
        <f>+D131-E131</f>
        <v>2278.2395484400004</v>
      </c>
      <c r="G131" s="604">
        <f>+C131-D131</f>
        <v>3697.8901541800005</v>
      </c>
      <c r="H131" s="604">
        <v>2854.6534373999998</v>
      </c>
      <c r="I131" s="605">
        <f>B131/11793.1140687</f>
        <v>1.6356523766513817</v>
      </c>
      <c r="J131" s="605">
        <f>C131/11641.99818107</f>
        <v>1.4116804831590777</v>
      </c>
      <c r="K131" s="401"/>
      <c r="O131" s="902"/>
    </row>
    <row r="132" spans="1:15" ht="15.75">
      <c r="A132" s="596" t="s">
        <v>18</v>
      </c>
      <c r="B132" s="597">
        <v>16619.294003679996</v>
      </c>
      <c r="C132" s="606">
        <v>13685.938089679998</v>
      </c>
      <c r="D132" s="606">
        <v>10644.165181889997</v>
      </c>
      <c r="E132" s="597">
        <v>8817.6326269999972</v>
      </c>
      <c r="F132" s="590">
        <f t="shared" si="10"/>
        <v>1826.53255489</v>
      </c>
      <c r="G132" s="590">
        <f t="shared" si="11"/>
        <v>3041.7729077900003</v>
      </c>
      <c r="H132" s="590">
        <f t="shared" ref="H132:H143" si="17">+B132-C132</f>
        <v>2933.3559139999979</v>
      </c>
      <c r="I132" s="598">
        <v>1.6721464700455222</v>
      </c>
      <c r="J132" s="598">
        <v>1.3904910200478435</v>
      </c>
      <c r="K132" s="397"/>
    </row>
    <row r="133" spans="1:15" ht="15.75">
      <c r="A133" s="596" t="s">
        <v>19</v>
      </c>
      <c r="B133" s="597">
        <v>16765.07061757</v>
      </c>
      <c r="C133" s="606">
        <v>13905.86568132</v>
      </c>
      <c r="D133" s="606">
        <v>10857.353180279999</v>
      </c>
      <c r="E133" s="597">
        <v>8857.5871575799993</v>
      </c>
      <c r="F133" s="590">
        <f t="shared" ref="F133:F143" si="18">+D133-E133</f>
        <v>1999.7660226999997</v>
      </c>
      <c r="G133" s="590">
        <f t="shared" ref="G133:G143" si="19">+C133-D133</f>
        <v>3048.5125010400006</v>
      </c>
      <c r="H133" s="590">
        <f t="shared" si="17"/>
        <v>2859.2049362500002</v>
      </c>
      <c r="I133" s="598">
        <v>1.6571170565070443</v>
      </c>
      <c r="J133" s="598">
        <v>1.3847324051629002</v>
      </c>
      <c r="K133" s="397"/>
    </row>
    <row r="134" spans="1:15" ht="15.75">
      <c r="A134" s="596" t="s">
        <v>20</v>
      </c>
      <c r="B134" s="597">
        <v>17445.146761240001</v>
      </c>
      <c r="C134" s="606">
        <v>14184.51769676</v>
      </c>
      <c r="D134" s="606">
        <v>11100.924572399999</v>
      </c>
      <c r="E134" s="597">
        <v>8999.1675183099997</v>
      </c>
      <c r="F134" s="590">
        <f t="shared" si="18"/>
        <v>2101.7570540899997</v>
      </c>
      <c r="G134" s="590">
        <f t="shared" si="19"/>
        <v>3083.5931243600007</v>
      </c>
      <c r="H134" s="590">
        <f t="shared" si="17"/>
        <v>3260.629064480001</v>
      </c>
      <c r="I134" s="598">
        <v>1.6967448825795475</v>
      </c>
      <c r="J134" s="598">
        <v>1.3911580330283637</v>
      </c>
      <c r="K134" s="397"/>
    </row>
    <row r="135" spans="1:15" ht="15.75">
      <c r="A135" s="596" t="s">
        <v>21</v>
      </c>
      <c r="B135" s="597">
        <v>17480.375318070004</v>
      </c>
      <c r="C135" s="606">
        <v>14369.789669550002</v>
      </c>
      <c r="D135" s="606">
        <v>11226.771211430001</v>
      </c>
      <c r="E135" s="597">
        <v>8983.8684096800007</v>
      </c>
      <c r="F135" s="590">
        <f t="shared" si="18"/>
        <v>2242.9028017500004</v>
      </c>
      <c r="G135" s="590">
        <f t="shared" si="19"/>
        <v>3143.018458120001</v>
      </c>
      <c r="H135" s="590">
        <f t="shared" si="17"/>
        <v>3110.585648520002</v>
      </c>
      <c r="I135" s="598">
        <v>1.7152550949082357</v>
      </c>
      <c r="J135" s="598">
        <v>1.4235192453333125</v>
      </c>
      <c r="K135" s="397"/>
    </row>
    <row r="136" spans="1:15" ht="15.75">
      <c r="A136" s="596" t="s">
        <v>22</v>
      </c>
      <c r="B136" s="597">
        <v>17633.851825450001</v>
      </c>
      <c r="C136" s="606">
        <v>14515.321340959999</v>
      </c>
      <c r="D136" s="606">
        <v>11292.06201098</v>
      </c>
      <c r="E136" s="597">
        <v>9098.2413375800006</v>
      </c>
      <c r="F136" s="590">
        <f t="shared" si="18"/>
        <v>2193.8206733999996</v>
      </c>
      <c r="G136" s="590">
        <f t="shared" si="19"/>
        <v>3223.2593299799992</v>
      </c>
      <c r="H136" s="590">
        <f t="shared" si="17"/>
        <v>3118.530484490002</v>
      </c>
      <c r="I136" s="598">
        <v>1.7285712322473208</v>
      </c>
      <c r="J136" s="598">
        <v>1.4338973268459452</v>
      </c>
      <c r="K136" s="397"/>
    </row>
    <row r="137" spans="1:15" ht="15.75">
      <c r="A137" s="596" t="s">
        <v>23</v>
      </c>
      <c r="B137" s="597">
        <v>17506.27939122</v>
      </c>
      <c r="C137" s="606">
        <v>14682.522197119999</v>
      </c>
      <c r="D137" s="606">
        <v>11470.314637539999</v>
      </c>
      <c r="E137" s="597">
        <v>9219.7418899999993</v>
      </c>
      <c r="F137" s="590">
        <f t="shared" si="18"/>
        <v>2250.5727475399999</v>
      </c>
      <c r="G137" s="590">
        <f t="shared" si="19"/>
        <v>3212.2075595799997</v>
      </c>
      <c r="H137" s="590">
        <f t="shared" si="17"/>
        <v>2823.7571941000006</v>
      </c>
      <c r="I137" s="598">
        <v>1.6944744665427538</v>
      </c>
      <c r="J137" s="598">
        <v>1.4301251335412597</v>
      </c>
      <c r="K137" s="397"/>
    </row>
    <row r="138" spans="1:15" ht="15.75">
      <c r="A138" s="596" t="s">
        <v>24</v>
      </c>
      <c r="B138" s="597">
        <v>17954.123068069999</v>
      </c>
      <c r="C138" s="606">
        <v>14916.31385235</v>
      </c>
      <c r="D138" s="606">
        <v>11630.12138758</v>
      </c>
      <c r="E138" s="597">
        <v>9455.0916630200009</v>
      </c>
      <c r="F138" s="590">
        <f t="shared" si="18"/>
        <v>2175.0297245599995</v>
      </c>
      <c r="G138" s="590">
        <f t="shared" si="19"/>
        <v>3286.1924647699998</v>
      </c>
      <c r="H138" s="590">
        <f t="shared" si="17"/>
        <v>3037.809215719999</v>
      </c>
      <c r="I138" s="598">
        <v>1.7051700634523843</v>
      </c>
      <c r="J138" s="598">
        <v>1.4304087105605003</v>
      </c>
      <c r="K138" s="397"/>
    </row>
    <row r="139" spans="1:15" ht="15.75">
      <c r="A139" s="596" t="s">
        <v>25</v>
      </c>
      <c r="B139" s="597">
        <v>18002.774504569999</v>
      </c>
      <c r="C139" s="606">
        <v>15163.179898129998</v>
      </c>
      <c r="D139" s="606">
        <v>11796.888803509999</v>
      </c>
      <c r="E139" s="597">
        <v>9516.862094189999</v>
      </c>
      <c r="F139" s="590">
        <f t="shared" si="18"/>
        <v>2280.02670932</v>
      </c>
      <c r="G139" s="590">
        <f t="shared" si="19"/>
        <v>3366.2910946199991</v>
      </c>
      <c r="H139" s="590">
        <f t="shared" si="17"/>
        <v>2839.5946064400014</v>
      </c>
      <c r="I139" s="598">
        <v>1.6842434995282807</v>
      </c>
      <c r="J139" s="598">
        <v>1.4281949480694616</v>
      </c>
      <c r="K139" s="397"/>
    </row>
    <row r="140" spans="1:15" ht="15.75">
      <c r="A140" s="596" t="s">
        <v>26</v>
      </c>
      <c r="B140" s="597">
        <v>18210.15378384</v>
      </c>
      <c r="C140" s="606">
        <v>15264.929494110002</v>
      </c>
      <c r="D140" s="606">
        <v>11817.306639800001</v>
      </c>
      <c r="E140" s="597">
        <v>9559.9543512400014</v>
      </c>
      <c r="F140" s="590">
        <f t="shared" si="18"/>
        <v>2257.3522885599996</v>
      </c>
      <c r="G140" s="590">
        <f t="shared" si="19"/>
        <v>3447.6228543100005</v>
      </c>
      <c r="H140" s="590">
        <f t="shared" si="17"/>
        <v>2945.2242897299984</v>
      </c>
      <c r="I140" s="598">
        <v>1.7022428598223125</v>
      </c>
      <c r="J140" s="598">
        <v>1.4378567166476752</v>
      </c>
      <c r="K140" s="397"/>
    </row>
    <row r="141" spans="1:15" ht="15.75">
      <c r="A141" s="596" t="s">
        <v>27</v>
      </c>
      <c r="B141" s="597">
        <v>18449.53917059</v>
      </c>
      <c r="C141" s="606">
        <v>15495.52054265</v>
      </c>
      <c r="D141" s="606">
        <v>11932.93009342</v>
      </c>
      <c r="E141" s="597">
        <v>9724.3504852099995</v>
      </c>
      <c r="F141" s="590">
        <f t="shared" si="18"/>
        <v>2208.5796082100005</v>
      </c>
      <c r="G141" s="590">
        <f t="shared" si="19"/>
        <v>3562.5904492299996</v>
      </c>
      <c r="H141" s="590">
        <f t="shared" si="17"/>
        <v>2954.0186279400004</v>
      </c>
      <c r="I141" s="598">
        <v>1.704568537878717</v>
      </c>
      <c r="J141" s="598">
        <v>1.443778575123204</v>
      </c>
      <c r="K141" s="397"/>
    </row>
    <row r="142" spans="1:15" ht="15.75">
      <c r="A142" s="596" t="s">
        <v>28</v>
      </c>
      <c r="B142" s="597">
        <v>18856.381558270001</v>
      </c>
      <c r="C142" s="606">
        <v>15673.90127194</v>
      </c>
      <c r="D142" s="606">
        <v>12078.14012874</v>
      </c>
      <c r="E142" s="597">
        <v>9849.35826094</v>
      </c>
      <c r="F142" s="590">
        <f t="shared" si="18"/>
        <v>2228.7818678000003</v>
      </c>
      <c r="G142" s="590">
        <f t="shared" si="19"/>
        <v>3595.7611431999994</v>
      </c>
      <c r="H142" s="590">
        <f t="shared" si="17"/>
        <v>3182.480286330001</v>
      </c>
      <c r="I142" s="598">
        <v>1.7299629583019163</v>
      </c>
      <c r="J142" s="598">
        <v>1.4523588556446883</v>
      </c>
      <c r="K142" s="397"/>
    </row>
    <row r="143" spans="1:15" ht="15.75">
      <c r="A143" s="596" t="s">
        <v>29</v>
      </c>
      <c r="B143" s="597">
        <v>19289.435054590002</v>
      </c>
      <c r="C143" s="597">
        <v>16434.781617190001</v>
      </c>
      <c r="D143" s="597">
        <v>12736.891463010001</v>
      </c>
      <c r="E143" s="597">
        <v>10458.65191457</v>
      </c>
      <c r="F143" s="590">
        <f t="shared" si="18"/>
        <v>2278.2395484400004</v>
      </c>
      <c r="G143" s="590">
        <f t="shared" si="19"/>
        <v>3697.8901541800005</v>
      </c>
      <c r="H143" s="590">
        <f t="shared" si="17"/>
        <v>2854.6534374000003</v>
      </c>
      <c r="I143" s="598">
        <f>B143/11793.1140687</f>
        <v>1.6356523766513817</v>
      </c>
      <c r="J143" s="598">
        <f>C143/11641.99818107</f>
        <v>1.4116804831590777</v>
      </c>
      <c r="K143" s="397"/>
    </row>
    <row r="144" spans="1:15" ht="15.75">
      <c r="A144" s="596" t="s">
        <v>1621</v>
      </c>
      <c r="B144" s="599">
        <v>21566.356923940002</v>
      </c>
      <c r="C144" s="599">
        <v>17435.832346269999</v>
      </c>
      <c r="D144" s="599">
        <v>12830.41682493</v>
      </c>
      <c r="E144" s="599">
        <v>10152.446650559999</v>
      </c>
      <c r="F144" s="604">
        <v>2677.9699999999993</v>
      </c>
      <c r="G144" s="604">
        <v>4605.4100000000017</v>
      </c>
      <c r="H144" s="607">
        <v>4130.5245776700003</v>
      </c>
      <c r="I144" s="605">
        <v>1.8173476654002096</v>
      </c>
      <c r="J144" s="605">
        <v>1.5106615595438837</v>
      </c>
      <c r="K144" s="401"/>
    </row>
    <row r="145" spans="1:11" ht="15.75">
      <c r="A145" s="596" t="s">
        <v>18</v>
      </c>
      <c r="B145" s="597">
        <v>19044.850621850001</v>
      </c>
      <c r="C145" s="597">
        <v>15982.879134549999</v>
      </c>
      <c r="D145" s="597">
        <v>12277.29921642</v>
      </c>
      <c r="E145" s="597">
        <v>9911.72793533</v>
      </c>
      <c r="F145" s="590">
        <f t="shared" ref="F145:F156" si="20">+D145-E145</f>
        <v>2365.5712810900004</v>
      </c>
      <c r="G145" s="590">
        <f t="shared" ref="G145:G156" si="21">+C145-D145</f>
        <v>3705.579918129999</v>
      </c>
      <c r="H145" s="590">
        <f t="shared" ref="H145:H156" si="22">+B145-C145</f>
        <v>3061.9714873000012</v>
      </c>
      <c r="I145" s="598">
        <f>B145/11142.59848311</f>
        <v>1.709192936523583</v>
      </c>
      <c r="J145" s="598">
        <f>C145/11038.06426639</f>
        <v>1.4479784452076943</v>
      </c>
      <c r="K145" s="397"/>
    </row>
    <row r="146" spans="1:11" ht="15.75">
      <c r="A146" s="596" t="s">
        <v>19</v>
      </c>
      <c r="B146" s="597">
        <v>19273.559708530003</v>
      </c>
      <c r="C146" s="597">
        <v>16124.661814100004</v>
      </c>
      <c r="D146" s="597">
        <v>12351.349887760003</v>
      </c>
      <c r="E146" s="597">
        <v>9956.127637800002</v>
      </c>
      <c r="F146" s="590">
        <f t="shared" si="20"/>
        <v>2395.2222499600011</v>
      </c>
      <c r="G146" s="590">
        <f t="shared" si="21"/>
        <v>3773.3119263400004</v>
      </c>
      <c r="H146" s="590">
        <f t="shared" si="22"/>
        <v>3148.8978944299997</v>
      </c>
      <c r="I146" s="598">
        <f>B146/11244.6306704</f>
        <v>1.714023365770927</v>
      </c>
      <c r="J146" s="598">
        <f>C146/11136.51575325</f>
        <v>1.4479090382819508</v>
      </c>
      <c r="K146" s="397"/>
    </row>
    <row r="147" spans="1:11" ht="15.75">
      <c r="A147" s="596" t="s">
        <v>20</v>
      </c>
      <c r="B147" s="597">
        <v>19377.016950549998</v>
      </c>
      <c r="C147" s="597">
        <v>16132.314188839999</v>
      </c>
      <c r="D147" s="597">
        <v>12300.490689139999</v>
      </c>
      <c r="E147" s="597">
        <v>9953.6108843599995</v>
      </c>
      <c r="F147" s="590">
        <f t="shared" si="20"/>
        <v>2346.8798047799992</v>
      </c>
      <c r="G147" s="590">
        <f t="shared" si="21"/>
        <v>3831.8234997</v>
      </c>
      <c r="H147" s="590">
        <f t="shared" si="22"/>
        <v>3244.7027617099993</v>
      </c>
      <c r="I147" s="598">
        <f>B147/11205.61089896</f>
        <v>1.7292245041587506</v>
      </c>
      <c r="J147" s="598">
        <f>C147/11107.08954202</f>
        <v>1.4524339727170401</v>
      </c>
      <c r="K147" s="397"/>
    </row>
    <row r="148" spans="1:11" ht="15.75">
      <c r="A148" s="596" t="s">
        <v>21</v>
      </c>
      <c r="B148" s="597">
        <v>19792.55909183</v>
      </c>
      <c r="C148" s="597">
        <v>16489.676849340001</v>
      </c>
      <c r="D148" s="597">
        <v>12437.767307470001</v>
      </c>
      <c r="E148" s="597">
        <v>10050.696633380001</v>
      </c>
      <c r="F148" s="590">
        <f t="shared" si="20"/>
        <v>2387.0706740900005</v>
      </c>
      <c r="G148" s="590">
        <f t="shared" si="21"/>
        <v>4051.9095418699999</v>
      </c>
      <c r="H148" s="590">
        <f t="shared" si="22"/>
        <v>3302.882242489999</v>
      </c>
      <c r="I148" s="598">
        <f>B148/11229.34687211</f>
        <v>1.7625743791910284</v>
      </c>
      <c r="J148" s="598">
        <f>C148/11105.02279736</f>
        <v>1.4848845563162731</v>
      </c>
      <c r="K148" s="397"/>
    </row>
    <row r="149" spans="1:11" ht="15.75">
      <c r="A149" s="596" t="s">
        <v>22</v>
      </c>
      <c r="B149" s="597">
        <v>19968.561496670001</v>
      </c>
      <c r="C149" s="597">
        <v>16695.74778433</v>
      </c>
      <c r="D149" s="597">
        <v>12545.777494470001</v>
      </c>
      <c r="E149" s="597">
        <v>10207.237598310001</v>
      </c>
      <c r="F149" s="590">
        <f t="shared" si="20"/>
        <v>2338.5398961600004</v>
      </c>
      <c r="G149" s="590">
        <f t="shared" si="21"/>
        <v>4149.970289859999</v>
      </c>
      <c r="H149" s="590">
        <f t="shared" si="22"/>
        <v>3272.8137123400011</v>
      </c>
      <c r="I149" s="598">
        <f>B149/11366.36131737</f>
        <v>1.7568121353096682</v>
      </c>
      <c r="J149" s="598">
        <f>C149/11272.23210588</f>
        <v>1.4811394608899953</v>
      </c>
      <c r="K149" s="397"/>
    </row>
    <row r="150" spans="1:11" ht="15.75">
      <c r="A150" s="596" t="s">
        <v>23</v>
      </c>
      <c r="B150" s="597">
        <v>20569.24647337</v>
      </c>
      <c r="C150" s="597">
        <v>17005.082993600001</v>
      </c>
      <c r="D150" s="597">
        <v>12710.57592689</v>
      </c>
      <c r="E150" s="597">
        <v>10335.523382650001</v>
      </c>
      <c r="F150" s="590">
        <f t="shared" si="20"/>
        <v>2375.0525442399994</v>
      </c>
      <c r="G150" s="590">
        <f t="shared" si="21"/>
        <v>4294.5070667100008</v>
      </c>
      <c r="H150" s="590">
        <f t="shared" si="22"/>
        <v>3564.163479769999</v>
      </c>
      <c r="I150" s="598">
        <f>B150/11858.05569204</f>
        <v>1.7346221849149852</v>
      </c>
      <c r="J150" s="598">
        <f>C150/11485.24218352</f>
        <v>1.4806029095320548</v>
      </c>
      <c r="K150" s="397"/>
    </row>
    <row r="151" spans="1:11" ht="15.75">
      <c r="A151" s="596" t="s">
        <v>24</v>
      </c>
      <c r="B151" s="597">
        <v>21225.399707740002</v>
      </c>
      <c r="C151" s="597">
        <v>17435.081794850001</v>
      </c>
      <c r="D151" s="597">
        <v>13036.8409484</v>
      </c>
      <c r="E151" s="597">
        <v>10508.858571300001</v>
      </c>
      <c r="F151" s="590">
        <f t="shared" si="20"/>
        <v>2527.9823770999992</v>
      </c>
      <c r="G151" s="590">
        <f t="shared" si="21"/>
        <v>4398.2408464500004</v>
      </c>
      <c r="H151" s="590">
        <f t="shared" si="22"/>
        <v>3790.317912890001</v>
      </c>
      <c r="I151" s="598">
        <f>B151/11580.61769406</f>
        <v>1.8328383052164015</v>
      </c>
      <c r="J151" s="598">
        <f>C151/11736.47385006</f>
        <v>1.4855468531343312</v>
      </c>
      <c r="K151" s="397"/>
    </row>
    <row r="152" spans="1:11" ht="15.75">
      <c r="A152" s="596" t="s">
        <v>25</v>
      </c>
      <c r="B152" s="597">
        <v>21306.395630089995</v>
      </c>
      <c r="C152" s="597">
        <v>17452.391032289997</v>
      </c>
      <c r="D152" s="597">
        <v>13000.9073837</v>
      </c>
      <c r="E152" s="597">
        <v>10488.02765717</v>
      </c>
      <c r="F152" s="590">
        <f t="shared" si="20"/>
        <v>2512.87972653</v>
      </c>
      <c r="G152" s="590">
        <f t="shared" si="21"/>
        <v>4451.4836485899978</v>
      </c>
      <c r="H152" s="590">
        <f t="shared" si="22"/>
        <v>3854.004597799998</v>
      </c>
      <c r="I152" s="598">
        <f>B152/11863.35000979</f>
        <v>1.7959847439810261</v>
      </c>
      <c r="J152" s="598">
        <f>C152/11743.63784422</f>
        <v>1.486114546769657</v>
      </c>
      <c r="K152" s="397"/>
    </row>
    <row r="153" spans="1:11" ht="15.75">
      <c r="A153" s="596" t="s">
        <v>26</v>
      </c>
      <c r="B153" s="597">
        <v>21133.128281450001</v>
      </c>
      <c r="C153" s="597">
        <v>17367.805316220001</v>
      </c>
      <c r="D153" s="597">
        <v>12834.779973070001</v>
      </c>
      <c r="E153" s="597">
        <v>10389.98032319</v>
      </c>
      <c r="F153" s="590">
        <f t="shared" si="20"/>
        <v>2444.7996498800003</v>
      </c>
      <c r="G153" s="590">
        <f t="shared" si="21"/>
        <v>4533.0253431500005</v>
      </c>
      <c r="H153" s="590">
        <f t="shared" si="22"/>
        <v>3765.3229652299997</v>
      </c>
      <c r="I153" s="598">
        <f>B153/11646.15601325</f>
        <v>1.8146011660333707</v>
      </c>
      <c r="J153" s="598">
        <f>C153/11546.46619261</f>
        <v>1.5041662987188054</v>
      </c>
      <c r="K153" s="397"/>
    </row>
    <row r="154" spans="1:11" ht="15.75">
      <c r="A154" s="596" t="s">
        <v>27</v>
      </c>
      <c r="B154" s="597">
        <v>21372.113561850001</v>
      </c>
      <c r="C154" s="597">
        <v>17370.041469</v>
      </c>
      <c r="D154" s="597">
        <v>12680.79816133</v>
      </c>
      <c r="E154" s="597">
        <v>10306.39262545</v>
      </c>
      <c r="F154" s="590">
        <f t="shared" si="20"/>
        <v>2374.4055358799997</v>
      </c>
      <c r="G154" s="590">
        <f t="shared" si="21"/>
        <v>4689.2433076699999</v>
      </c>
      <c r="H154" s="590">
        <f t="shared" si="22"/>
        <v>4002.0720928500014</v>
      </c>
      <c r="I154" s="598">
        <f>B154/11587.41070091</f>
        <v>1.8444253089408122</v>
      </c>
      <c r="J154" s="598">
        <f>C154/11478.00247364</f>
        <v>1.5133331351767403</v>
      </c>
      <c r="K154" s="397"/>
    </row>
    <row r="155" spans="1:11" ht="15.75">
      <c r="A155" s="596" t="s">
        <v>28</v>
      </c>
      <c r="B155" s="597">
        <v>21689.759412079999</v>
      </c>
      <c r="C155" s="597">
        <v>17525.152211060002</v>
      </c>
      <c r="D155" s="597">
        <v>12775.71631613</v>
      </c>
      <c r="E155" s="597">
        <v>10318.27858138</v>
      </c>
      <c r="F155" s="590">
        <f t="shared" si="20"/>
        <v>2457.4377347499994</v>
      </c>
      <c r="G155" s="590">
        <f t="shared" si="21"/>
        <v>4749.4358949300022</v>
      </c>
      <c r="H155" s="590">
        <f t="shared" si="22"/>
        <v>4164.6072010199969</v>
      </c>
      <c r="I155" s="598">
        <f>B155/11519.6732897</f>
        <v>1.8828450136231991</v>
      </c>
      <c r="J155" s="598">
        <f>C155/11601.09950925</f>
        <v>1.5106457967269851</v>
      </c>
      <c r="K155" s="397"/>
    </row>
    <row r="156" spans="1:11" ht="15.75">
      <c r="A156" s="596" t="s">
        <v>29</v>
      </c>
      <c r="B156" s="597">
        <v>21566.356923940002</v>
      </c>
      <c r="C156" s="597">
        <v>17435.832346269999</v>
      </c>
      <c r="D156" s="597">
        <v>12830.41682493</v>
      </c>
      <c r="E156" s="597">
        <v>10152.446650559999</v>
      </c>
      <c r="F156" s="590">
        <f t="shared" si="20"/>
        <v>2677.9701743700007</v>
      </c>
      <c r="G156" s="590">
        <f t="shared" si="21"/>
        <v>4605.415521339999</v>
      </c>
      <c r="H156" s="590">
        <f t="shared" si="22"/>
        <v>4130.5245776700031</v>
      </c>
      <c r="I156" s="598">
        <v>1.8173476654002096</v>
      </c>
      <c r="J156" s="598">
        <v>1.5106615595438837</v>
      </c>
      <c r="K156" s="397"/>
    </row>
    <row r="157" spans="1:11" ht="15.75">
      <c r="A157" s="596" t="s">
        <v>1816</v>
      </c>
      <c r="B157" s="599">
        <v>21286.906692420001</v>
      </c>
      <c r="C157" s="599">
        <v>8678.2990421600007</v>
      </c>
      <c r="D157" s="599">
        <v>6897.1760663599998</v>
      </c>
      <c r="E157" s="600">
        <v>4775.9298388499992</v>
      </c>
      <c r="F157" s="604">
        <v>2121.2462275099997</v>
      </c>
      <c r="G157" s="604">
        <v>1781.1229757999999</v>
      </c>
      <c r="H157" s="607">
        <v>12608.607650260003</v>
      </c>
      <c r="I157" s="607">
        <v>2.8196678929672037</v>
      </c>
      <c r="J157" s="607">
        <v>1.2479435709648579</v>
      </c>
      <c r="K157" s="402"/>
    </row>
    <row r="158" spans="1:11" ht="15.75">
      <c r="A158" s="596" t="s">
        <v>18</v>
      </c>
      <c r="B158" s="597">
        <v>20568.496779610003</v>
      </c>
      <c r="C158" s="597">
        <v>16236.448099690002</v>
      </c>
      <c r="D158" s="597">
        <v>11753.456382330001</v>
      </c>
      <c r="E158" s="597">
        <v>9347.9318318300011</v>
      </c>
      <c r="F158" s="590">
        <f t="shared" ref="F158:F169" si="23">+D158-E158</f>
        <v>2405.5245505000003</v>
      </c>
      <c r="G158" s="590">
        <f t="shared" ref="G158:G169" si="24">+C158-D158</f>
        <v>4482.9917173600006</v>
      </c>
      <c r="H158" s="590">
        <f t="shared" ref="H158:H169" si="25">+B158-C158</f>
        <v>4332.0486799200007</v>
      </c>
      <c r="I158" s="608">
        <f>B158/10760.3</f>
        <v>1.9115170375928183</v>
      </c>
      <c r="J158" s="608">
        <f>C158/10551</f>
        <v>1.5388539569415223</v>
      </c>
      <c r="K158" s="403"/>
    </row>
    <row r="159" spans="1:11" ht="15.75">
      <c r="A159" s="596" t="s">
        <v>19</v>
      </c>
      <c r="B159" s="597">
        <v>20106.168512470002</v>
      </c>
      <c r="C159" s="597">
        <v>13607.043731040001</v>
      </c>
      <c r="D159" s="597">
        <v>10108.17085468</v>
      </c>
      <c r="E159" s="597">
        <v>7957.7273295299992</v>
      </c>
      <c r="F159" s="590">
        <f t="shared" si="23"/>
        <v>2150.4435251500008</v>
      </c>
      <c r="G159" s="590">
        <f t="shared" si="24"/>
        <v>3498.8728763600011</v>
      </c>
      <c r="H159" s="590">
        <f t="shared" si="25"/>
        <v>6499.1247814300004</v>
      </c>
      <c r="I159" s="608">
        <f>B159/9736.1</f>
        <v>2.065115242496482</v>
      </c>
      <c r="J159" s="608">
        <f>C159/9109.9</f>
        <v>1.4936545660259719</v>
      </c>
      <c r="K159" s="403"/>
    </row>
    <row r="160" spans="1:11" ht="15.75">
      <c r="A160" s="596" t="s">
        <v>20</v>
      </c>
      <c r="B160" s="597">
        <v>19507.388854750003</v>
      </c>
      <c r="C160" s="597">
        <v>12493.102293259999</v>
      </c>
      <c r="D160" s="597">
        <v>9292.7423492199996</v>
      </c>
      <c r="E160" s="597">
        <v>7396.5971371999995</v>
      </c>
      <c r="F160" s="590">
        <f t="shared" si="23"/>
        <v>1896.1452120200001</v>
      </c>
      <c r="G160" s="590">
        <f t="shared" si="24"/>
        <v>3200.3599440399994</v>
      </c>
      <c r="H160" s="590">
        <f t="shared" si="25"/>
        <v>7014.2865614900038</v>
      </c>
      <c r="I160" s="608">
        <f>B160/8919.2</f>
        <v>2.1871231561967441</v>
      </c>
      <c r="J160" s="608">
        <f>C160/8339.4</f>
        <v>1.4980816717341774</v>
      </c>
      <c r="K160" s="403"/>
    </row>
    <row r="161" spans="1:11" ht="15.75">
      <c r="A161" s="596" t="s">
        <v>21</v>
      </c>
      <c r="B161" s="597">
        <v>18982.881093129996</v>
      </c>
      <c r="C161" s="597">
        <v>11004.003724679998</v>
      </c>
      <c r="D161" s="597">
        <v>8267.5681553599989</v>
      </c>
      <c r="E161" s="597">
        <v>6420.892682409999</v>
      </c>
      <c r="F161" s="590">
        <f t="shared" si="23"/>
        <v>1846.6754729499999</v>
      </c>
      <c r="G161" s="590">
        <f t="shared" si="24"/>
        <v>2736.4355693199996</v>
      </c>
      <c r="H161" s="590">
        <f t="shared" si="25"/>
        <v>7978.8773684499974</v>
      </c>
      <c r="I161" s="608">
        <v>2.4119946125892611</v>
      </c>
      <c r="J161" s="608">
        <v>1.4832987356104925</v>
      </c>
      <c r="K161" s="403"/>
    </row>
    <row r="162" spans="1:11" ht="15.75">
      <c r="A162" s="596" t="s">
        <v>22</v>
      </c>
      <c r="B162" s="597">
        <v>18966.810181410001</v>
      </c>
      <c r="C162" s="597">
        <v>11051.433248939999</v>
      </c>
      <c r="D162" s="597">
        <v>8363.1685384399989</v>
      </c>
      <c r="E162" s="597">
        <v>6492.6838619899991</v>
      </c>
      <c r="F162" s="590">
        <f t="shared" si="23"/>
        <v>1870.4846764499998</v>
      </c>
      <c r="G162" s="590">
        <f t="shared" si="24"/>
        <v>2688.2647104999996</v>
      </c>
      <c r="H162" s="590">
        <f t="shared" si="25"/>
        <v>7915.3769324700024</v>
      </c>
      <c r="I162" s="608">
        <v>2.3756917218833373</v>
      </c>
      <c r="J162" s="608">
        <v>1.4546527055664513</v>
      </c>
      <c r="K162" s="403"/>
    </row>
    <row r="163" spans="1:11" ht="15.75">
      <c r="A163" s="596" t="s">
        <v>23</v>
      </c>
      <c r="B163" s="597">
        <v>18849.36270107</v>
      </c>
      <c r="C163" s="597">
        <v>10991.807172729999</v>
      </c>
      <c r="D163" s="597">
        <v>8300.96849974</v>
      </c>
      <c r="E163" s="597">
        <v>6355.5817395400009</v>
      </c>
      <c r="F163" s="590">
        <f t="shared" si="23"/>
        <v>1945.3867601999991</v>
      </c>
      <c r="G163" s="590">
        <f t="shared" si="24"/>
        <v>2690.8386729899994</v>
      </c>
      <c r="H163" s="590">
        <f t="shared" si="25"/>
        <v>7857.5555283400008</v>
      </c>
      <c r="I163" s="608">
        <f>B163/7805.95695412</f>
        <v>2.4147407949926332</v>
      </c>
      <c r="J163" s="608">
        <f>C163/7487.04742452</f>
        <v>1.4681097299760582</v>
      </c>
      <c r="K163" s="403"/>
    </row>
    <row r="164" spans="1:11" ht="15.75">
      <c r="A164" s="596" t="s">
        <v>24</v>
      </c>
      <c r="B164" s="597">
        <v>18855.395081499999</v>
      </c>
      <c r="C164" s="597">
        <v>10853.4799398</v>
      </c>
      <c r="D164" s="597">
        <v>8213.610996129999</v>
      </c>
      <c r="E164" s="597">
        <v>6374.5305801599998</v>
      </c>
      <c r="F164" s="590">
        <f t="shared" si="23"/>
        <v>1839.0804159699992</v>
      </c>
      <c r="G164" s="590">
        <f t="shared" si="24"/>
        <v>2639.8689436700006</v>
      </c>
      <c r="H164" s="590">
        <f t="shared" si="25"/>
        <v>8001.9151416999994</v>
      </c>
      <c r="I164" s="608">
        <v>2.4193974489098391</v>
      </c>
      <c r="J164" s="608">
        <v>1.4534360945013147</v>
      </c>
      <c r="K164" s="403"/>
    </row>
    <row r="165" spans="1:11" ht="15.75">
      <c r="A165" s="596" t="s">
        <v>25</v>
      </c>
      <c r="B165" s="597">
        <v>17734.26952061</v>
      </c>
      <c r="C165" s="597">
        <v>9545.6573157900002</v>
      </c>
      <c r="D165" s="597">
        <v>7089.4702486599999</v>
      </c>
      <c r="E165" s="597">
        <v>5502.7975276999996</v>
      </c>
      <c r="F165" s="590">
        <f t="shared" si="23"/>
        <v>1586.6727209600003</v>
      </c>
      <c r="G165" s="590">
        <f t="shared" si="24"/>
        <v>2456.1870671300003</v>
      </c>
      <c r="H165" s="590">
        <f t="shared" si="25"/>
        <v>8188.6122048199995</v>
      </c>
      <c r="I165" s="608">
        <v>2.5753044431594585</v>
      </c>
      <c r="J165" s="608">
        <v>1.5027635663937096</v>
      </c>
      <c r="K165" s="403"/>
    </row>
    <row r="166" spans="1:11" ht="15.75">
      <c r="A166" s="596" t="s">
        <v>26</v>
      </c>
      <c r="B166" s="597">
        <v>17684.024126320001</v>
      </c>
      <c r="C166" s="597">
        <v>9368.9163284799997</v>
      </c>
      <c r="D166" s="597">
        <v>7189.0388596799994</v>
      </c>
      <c r="E166" s="597">
        <v>5456.9277923699992</v>
      </c>
      <c r="F166" s="590">
        <f t="shared" si="23"/>
        <v>1732.1110673100002</v>
      </c>
      <c r="G166" s="590">
        <f t="shared" si="24"/>
        <v>2179.8774688000003</v>
      </c>
      <c r="H166" s="590">
        <f t="shared" si="25"/>
        <v>8315.1077978400008</v>
      </c>
      <c r="I166" s="608">
        <v>2.3787092797675209</v>
      </c>
      <c r="J166" s="608">
        <v>1.3288404247504946</v>
      </c>
      <c r="K166" s="403"/>
    </row>
    <row r="167" spans="1:11" ht="15.75">
      <c r="A167" s="596" t="s">
        <v>27</v>
      </c>
      <c r="B167" s="597">
        <v>17369.486130060002</v>
      </c>
      <c r="C167" s="597">
        <v>9363.6434162200003</v>
      </c>
      <c r="D167" s="597">
        <v>7214.6952885000001</v>
      </c>
      <c r="E167" s="597">
        <v>5429.3218914600002</v>
      </c>
      <c r="F167" s="590">
        <f t="shared" si="23"/>
        <v>1785.3733970399999</v>
      </c>
      <c r="G167" s="590">
        <f t="shared" si="24"/>
        <v>2148.9481277200002</v>
      </c>
      <c r="H167" s="590">
        <f t="shared" si="25"/>
        <v>8005.842713840002</v>
      </c>
      <c r="I167" s="608">
        <v>2.3614700728936815</v>
      </c>
      <c r="J167" s="608">
        <v>1.3270714194309137</v>
      </c>
      <c r="K167" s="403"/>
    </row>
    <row r="168" spans="1:11" ht="15.75">
      <c r="A168" s="596" t="s">
        <v>28</v>
      </c>
      <c r="B168" s="597">
        <v>17444.479127290004</v>
      </c>
      <c r="C168" s="597">
        <v>9050.0356780599996</v>
      </c>
      <c r="D168" s="597">
        <v>6980.3385701999996</v>
      </c>
      <c r="E168" s="597">
        <v>5176.8949734799999</v>
      </c>
      <c r="F168" s="590">
        <f t="shared" si="23"/>
        <v>1803.4435967199997</v>
      </c>
      <c r="G168" s="590">
        <f t="shared" si="24"/>
        <v>2069.69710786</v>
      </c>
      <c r="H168" s="590">
        <f t="shared" si="25"/>
        <v>8394.4434492300043</v>
      </c>
      <c r="I168" s="608">
        <v>2.4912826591881054</v>
      </c>
      <c r="J168" s="608">
        <v>1.3446145268688459</v>
      </c>
      <c r="K168" s="403"/>
    </row>
    <row r="169" spans="1:11" ht="15.75">
      <c r="A169" s="596" t="s">
        <v>29</v>
      </c>
      <c r="B169" s="597">
        <v>21286.906692420001</v>
      </c>
      <c r="C169" s="597">
        <v>8678.2990421600007</v>
      </c>
      <c r="D169" s="597">
        <v>6897.1760663599998</v>
      </c>
      <c r="E169" s="597">
        <v>4775.9298388499992</v>
      </c>
      <c r="F169" s="590">
        <f t="shared" si="23"/>
        <v>2121.2462275100006</v>
      </c>
      <c r="G169" s="590">
        <f t="shared" si="24"/>
        <v>1781.1229758000009</v>
      </c>
      <c r="H169" s="590">
        <f t="shared" si="25"/>
        <v>12608.607650260001</v>
      </c>
      <c r="I169" s="608">
        <v>2.8196678929672037</v>
      </c>
      <c r="J169" s="608">
        <v>1.2479435709648579</v>
      </c>
      <c r="K169" s="403"/>
    </row>
    <row r="170" spans="1:11" ht="15.75">
      <c r="A170" s="596" t="s">
        <v>1839</v>
      </c>
      <c r="B170" s="599">
        <v>20889.60021746</v>
      </c>
      <c r="C170" s="599">
        <v>11546.345588359998</v>
      </c>
      <c r="D170" s="599">
        <v>8960.3194293800007</v>
      </c>
      <c r="E170" s="599">
        <v>6376.8612587300004</v>
      </c>
      <c r="F170" s="604">
        <v>2583.4581706500003</v>
      </c>
      <c r="G170" s="604">
        <v>2586.0261589799975</v>
      </c>
      <c r="H170" s="607">
        <v>9343.2546291000017</v>
      </c>
      <c r="I170" s="609">
        <v>2.262545171702131</v>
      </c>
      <c r="J170" s="609">
        <v>1.4689103140166848</v>
      </c>
      <c r="K170" s="404"/>
    </row>
    <row r="171" spans="1:11" ht="15.75">
      <c r="A171" s="596" t="s">
        <v>18</v>
      </c>
      <c r="B171" s="597">
        <v>19930.189747889999</v>
      </c>
      <c r="C171" s="597">
        <v>8001.7370589800003</v>
      </c>
      <c r="D171" s="597">
        <v>6273.7305376800005</v>
      </c>
      <c r="E171" s="597">
        <v>4485.0199975200003</v>
      </c>
      <c r="F171" s="590">
        <f t="shared" ref="F171:F182" si="26">+D171-E171</f>
        <v>1788.7105401600002</v>
      </c>
      <c r="G171" s="590">
        <f t="shared" ref="G171:G182" si="27">+C171-D171</f>
        <v>1728.0065212999998</v>
      </c>
      <c r="H171" s="590">
        <f t="shared" ref="H171:H182" si="28">+B171-C171</f>
        <v>11928.452688909998</v>
      </c>
      <c r="I171" s="608">
        <v>2.9878829273078433</v>
      </c>
      <c r="J171" s="608">
        <v>1.3714792706997698</v>
      </c>
      <c r="K171" s="403"/>
    </row>
    <row r="172" spans="1:11" ht="15.75">
      <c r="A172" s="596" t="s">
        <v>19</v>
      </c>
      <c r="B172" s="597">
        <v>19598.843331969998</v>
      </c>
      <c r="C172" s="597">
        <v>8686.374386129999</v>
      </c>
      <c r="D172" s="597">
        <v>6793.208220819999</v>
      </c>
      <c r="E172" s="597">
        <v>4960.2093008299989</v>
      </c>
      <c r="F172" s="590">
        <f t="shared" si="26"/>
        <v>1832.9989199900001</v>
      </c>
      <c r="G172" s="590">
        <f t="shared" si="27"/>
        <v>1893.16616531</v>
      </c>
      <c r="H172" s="590">
        <f t="shared" si="28"/>
        <v>10912.468945839999</v>
      </c>
      <c r="I172" s="608">
        <v>2.6780210558047215</v>
      </c>
      <c r="J172" s="608">
        <v>1.3596791234265759</v>
      </c>
      <c r="K172" s="403"/>
    </row>
    <row r="173" spans="1:11" ht="15.75">
      <c r="A173" s="596" t="s">
        <v>20</v>
      </c>
      <c r="B173" s="597">
        <v>20635.115918739997</v>
      </c>
      <c r="C173" s="597">
        <v>8943.0222277999983</v>
      </c>
      <c r="D173" s="597">
        <v>7054.626238339999</v>
      </c>
      <c r="E173" s="597">
        <v>5034.9219722600001</v>
      </c>
      <c r="F173" s="590">
        <f t="shared" si="26"/>
        <v>2019.7042660799989</v>
      </c>
      <c r="G173" s="590">
        <f t="shared" si="27"/>
        <v>1888.3959894599993</v>
      </c>
      <c r="H173" s="590">
        <f t="shared" si="28"/>
        <v>11692.093690939999</v>
      </c>
      <c r="I173" s="608">
        <v>2.7878086780290015</v>
      </c>
      <c r="J173" s="608">
        <v>1.3683115610931937</v>
      </c>
      <c r="K173" s="403"/>
    </row>
    <row r="174" spans="1:11" ht="15.75">
      <c r="A174" s="596" t="s">
        <v>21</v>
      </c>
      <c r="B174" s="597">
        <v>20565.732357829998</v>
      </c>
      <c r="C174" s="597">
        <v>9205.7599008200013</v>
      </c>
      <c r="D174" s="597">
        <v>7413.6629222600004</v>
      </c>
      <c r="E174" s="597">
        <v>5303.4540515999997</v>
      </c>
      <c r="F174" s="590">
        <f t="shared" si="26"/>
        <v>2110.2088706600007</v>
      </c>
      <c r="G174" s="590">
        <f t="shared" si="27"/>
        <v>1792.0969785600009</v>
      </c>
      <c r="H174" s="590">
        <f t="shared" si="28"/>
        <v>11359.972457009997</v>
      </c>
      <c r="I174" s="608">
        <v>2.7521133958944479</v>
      </c>
      <c r="J174" s="608">
        <v>1.3686679392563545</v>
      </c>
      <c r="K174" s="403"/>
    </row>
    <row r="175" spans="1:11" ht="15.75">
      <c r="A175" s="596" t="s">
        <v>22</v>
      </c>
      <c r="B175" s="597">
        <v>20629.738338640003</v>
      </c>
      <c r="C175" s="597">
        <v>9600.7096369200008</v>
      </c>
      <c r="D175" s="597">
        <v>7747.2930034299998</v>
      </c>
      <c r="E175" s="597">
        <v>5578.3520348499997</v>
      </c>
      <c r="F175" s="590">
        <f t="shared" si="26"/>
        <v>2168.9409685800001</v>
      </c>
      <c r="G175" s="590">
        <f t="shared" si="27"/>
        <v>1853.416633490001</v>
      </c>
      <c r="H175" s="590">
        <f t="shared" si="28"/>
        <v>11029.028701720003</v>
      </c>
      <c r="I175" s="608">
        <v>2.47252751042195</v>
      </c>
      <c r="J175" s="608">
        <v>1.2563698599189137</v>
      </c>
      <c r="K175" s="403"/>
    </row>
    <row r="176" spans="1:11" ht="15.75">
      <c r="A176" s="596" t="s">
        <v>23</v>
      </c>
      <c r="B176" s="597">
        <v>20851.484831909998</v>
      </c>
      <c r="C176" s="597">
        <v>9806.5437926799987</v>
      </c>
      <c r="D176" s="597">
        <v>8017.5761419299988</v>
      </c>
      <c r="E176" s="597">
        <v>5670.8826329499989</v>
      </c>
      <c r="F176" s="590">
        <f t="shared" si="26"/>
        <v>2346.6935089799999</v>
      </c>
      <c r="G176" s="590">
        <f t="shared" si="27"/>
        <v>1788.9676507499998</v>
      </c>
      <c r="H176" s="590">
        <f t="shared" si="28"/>
        <v>11044.94103923</v>
      </c>
      <c r="I176" s="608">
        <v>2.5007872009271188</v>
      </c>
      <c r="J176" s="608">
        <v>1.2753408603448557</v>
      </c>
      <c r="K176" s="403"/>
    </row>
    <row r="177" spans="1:11" ht="15.75">
      <c r="A177" s="596" t="s">
        <v>24</v>
      </c>
      <c r="B177" s="597">
        <v>21101.894291910001</v>
      </c>
      <c r="C177" s="597">
        <v>10096.59923992</v>
      </c>
      <c r="D177" s="597">
        <v>8401.8279695199999</v>
      </c>
      <c r="E177" s="597">
        <v>5839.5343421199996</v>
      </c>
      <c r="F177" s="590">
        <f t="shared" si="26"/>
        <v>2562.2936274000003</v>
      </c>
      <c r="G177" s="590">
        <f t="shared" si="27"/>
        <v>1694.7712704000005</v>
      </c>
      <c r="H177" s="590">
        <f t="shared" si="28"/>
        <v>11005.295051990001</v>
      </c>
      <c r="I177" s="608">
        <v>2.4470903231284145</v>
      </c>
      <c r="J177" s="608">
        <v>1.3218688157223337</v>
      </c>
      <c r="K177" s="403"/>
    </row>
    <row r="178" spans="1:11" ht="15.75">
      <c r="A178" s="596" t="s">
        <v>25</v>
      </c>
      <c r="B178" s="597">
        <v>21154.054504629999</v>
      </c>
      <c r="C178" s="597">
        <v>9861.4011032899998</v>
      </c>
      <c r="D178" s="597">
        <v>8159.2362568600001</v>
      </c>
      <c r="E178" s="597">
        <v>5763.4195158299999</v>
      </c>
      <c r="F178" s="590">
        <f t="shared" si="26"/>
        <v>2395.8167410300002</v>
      </c>
      <c r="G178" s="590">
        <f t="shared" si="27"/>
        <v>1702.1648464299997</v>
      </c>
      <c r="H178" s="590">
        <f t="shared" si="28"/>
        <v>11292.65340134</v>
      </c>
      <c r="I178" s="608">
        <v>2.4952033745273718</v>
      </c>
      <c r="J178" s="608">
        <v>1.3304324530075842</v>
      </c>
      <c r="K178" s="403"/>
    </row>
    <row r="179" spans="1:11" ht="15.75">
      <c r="A179" s="596" t="s">
        <v>26</v>
      </c>
      <c r="B179" s="597">
        <v>20134.15021711</v>
      </c>
      <c r="C179" s="597">
        <v>9966.4070786499997</v>
      </c>
      <c r="D179" s="597">
        <v>8346.1160196000001</v>
      </c>
      <c r="E179" s="597">
        <v>5682.6459268299996</v>
      </c>
      <c r="F179" s="590">
        <f t="shared" si="26"/>
        <v>2663.4700927700005</v>
      </c>
      <c r="G179" s="590">
        <f t="shared" si="27"/>
        <v>1620.2910590499996</v>
      </c>
      <c r="H179" s="590">
        <f t="shared" si="28"/>
        <v>10167.74313846</v>
      </c>
      <c r="I179" s="608">
        <v>2.5211986642150226</v>
      </c>
      <c r="J179" s="608">
        <v>1.4634288701292566</v>
      </c>
      <c r="K179" s="403"/>
    </row>
    <row r="180" spans="1:11" ht="15.75">
      <c r="A180" s="596" t="s">
        <v>27</v>
      </c>
      <c r="B180" s="597">
        <v>20122.583980270003</v>
      </c>
      <c r="C180" s="597">
        <v>10679.031813640002</v>
      </c>
      <c r="D180" s="597">
        <v>8157.7111382000003</v>
      </c>
      <c r="E180" s="597">
        <v>5742.2880397099998</v>
      </c>
      <c r="F180" s="590">
        <f t="shared" si="26"/>
        <v>2415.4230984900005</v>
      </c>
      <c r="G180" s="590">
        <f t="shared" si="27"/>
        <v>2521.3206754400017</v>
      </c>
      <c r="H180" s="590">
        <f t="shared" si="28"/>
        <v>9443.552166630001</v>
      </c>
      <c r="I180" s="608">
        <v>2.2885179294587275</v>
      </c>
      <c r="J180" s="608">
        <v>1.4336371573397666</v>
      </c>
      <c r="K180" s="403"/>
    </row>
    <row r="181" spans="1:11" ht="15.75">
      <c r="A181" s="596" t="s">
        <v>28</v>
      </c>
      <c r="B181" s="597">
        <v>20271.875552699999</v>
      </c>
      <c r="C181" s="597">
        <v>10942.423036389999</v>
      </c>
      <c r="D181" s="597">
        <v>8387.0036374700012</v>
      </c>
      <c r="E181" s="597">
        <v>5833.5362335000009</v>
      </c>
      <c r="F181" s="590">
        <f t="shared" si="26"/>
        <v>2553.4674039700003</v>
      </c>
      <c r="G181" s="590">
        <f t="shared" si="27"/>
        <v>2555.4193989199975</v>
      </c>
      <c r="H181" s="590">
        <f t="shared" si="28"/>
        <v>9329.4525163100006</v>
      </c>
      <c r="I181" s="608">
        <v>2.2385593349535338</v>
      </c>
      <c r="J181" s="608">
        <v>1.420685206397639</v>
      </c>
      <c r="K181" s="403"/>
    </row>
    <row r="182" spans="1:11" ht="15.75">
      <c r="A182" s="596" t="s">
        <v>29</v>
      </c>
      <c r="B182" s="597">
        <v>20889.60021746</v>
      </c>
      <c r="C182" s="597">
        <v>11546.345588359998</v>
      </c>
      <c r="D182" s="597">
        <v>8960.3194293800007</v>
      </c>
      <c r="E182" s="597">
        <v>6376.8612587300004</v>
      </c>
      <c r="F182" s="590">
        <f t="shared" si="26"/>
        <v>2583.4581706500003</v>
      </c>
      <c r="G182" s="590">
        <f t="shared" si="27"/>
        <v>2586.0261589799975</v>
      </c>
      <c r="H182" s="590">
        <f t="shared" si="28"/>
        <v>9343.2546291000017</v>
      </c>
      <c r="I182" s="598">
        <v>2.262545171702131</v>
      </c>
      <c r="J182" s="598">
        <v>1.4689103140166848</v>
      </c>
      <c r="K182" s="397"/>
    </row>
    <row r="183" spans="1:11" ht="15.75">
      <c r="A183" s="596" t="s">
        <v>1902</v>
      </c>
      <c r="B183" s="599">
        <v>22772.070451020001</v>
      </c>
      <c r="C183" s="599">
        <v>12466.432601679999</v>
      </c>
      <c r="D183" s="599">
        <v>10544.24328447</v>
      </c>
      <c r="E183" s="599">
        <v>7490.3292875799998</v>
      </c>
      <c r="F183" s="604">
        <v>3053.9139968899999</v>
      </c>
      <c r="G183" s="604">
        <v>1922.1893172100008</v>
      </c>
      <c r="H183" s="607">
        <v>10305.637849340001</v>
      </c>
      <c r="I183" s="609">
        <v>2.3065899360824305</v>
      </c>
      <c r="J183" s="609">
        <v>1.4592220802503841</v>
      </c>
      <c r="K183" s="404"/>
    </row>
    <row r="184" spans="1:11" ht="15.75">
      <c r="A184" s="596" t="s">
        <v>18</v>
      </c>
      <c r="B184" s="597">
        <v>21034.853885190001</v>
      </c>
      <c r="C184" s="597">
        <v>10749.334211820002</v>
      </c>
      <c r="D184" s="597">
        <v>8185.5091272900008</v>
      </c>
      <c r="E184" s="597">
        <v>5922.8646124000006</v>
      </c>
      <c r="F184" s="590">
        <f t="shared" ref="F184:F195" si="29">+D184-E184</f>
        <v>2262.6445148900002</v>
      </c>
      <c r="G184" s="590">
        <f t="shared" ref="G184:G195" si="30">+C184-D184</f>
        <v>2563.8250845300008</v>
      </c>
      <c r="H184" s="590">
        <f t="shared" ref="H184:H195" si="31">+B184-C184</f>
        <v>10285.51967337</v>
      </c>
      <c r="I184" s="608">
        <v>2.4089769238370815</v>
      </c>
      <c r="J184" s="608">
        <v>1.4661510320916127</v>
      </c>
      <c r="K184" s="403"/>
    </row>
    <row r="185" spans="1:11" ht="15.75">
      <c r="A185" s="596" t="s">
        <v>19</v>
      </c>
      <c r="B185" s="597">
        <v>20151.20437938</v>
      </c>
      <c r="C185" s="597">
        <v>10764.027273760001</v>
      </c>
      <c r="D185" s="597">
        <v>8240.1815955700004</v>
      </c>
      <c r="E185" s="597">
        <v>5993.1957093400006</v>
      </c>
      <c r="F185" s="590">
        <f t="shared" si="29"/>
        <v>2246.9858862299998</v>
      </c>
      <c r="G185" s="590">
        <f t="shared" si="30"/>
        <v>2523.8456781900004</v>
      </c>
      <c r="H185" s="590">
        <f t="shared" si="31"/>
        <v>9387.1771056199996</v>
      </c>
      <c r="I185" s="608">
        <v>2.4172510694987022</v>
      </c>
      <c r="J185" s="608">
        <v>1.5405878914650819</v>
      </c>
      <c r="K185" s="403"/>
    </row>
    <row r="186" spans="1:11" ht="15.75">
      <c r="A186" s="596" t="s">
        <v>20</v>
      </c>
      <c r="B186" s="597">
        <v>19902.926428369996</v>
      </c>
      <c r="C186" s="597">
        <v>10981.98176076</v>
      </c>
      <c r="D186" s="597">
        <v>8410.8354666600007</v>
      </c>
      <c r="E186" s="597">
        <v>6145.2257449200006</v>
      </c>
      <c r="F186" s="590">
        <f t="shared" si="29"/>
        <v>2265.6097217400002</v>
      </c>
      <c r="G186" s="590">
        <f t="shared" si="30"/>
        <v>2571.1462940999991</v>
      </c>
      <c r="H186" s="590">
        <f t="shared" si="31"/>
        <v>8920.944667609996</v>
      </c>
      <c r="I186" s="608">
        <v>2.0824738253519901</v>
      </c>
      <c r="J186" s="608">
        <v>1.5090247374514991</v>
      </c>
      <c r="K186" s="403"/>
    </row>
    <row r="187" spans="1:11" ht="15.75">
      <c r="A187" s="596" t="s">
        <v>21</v>
      </c>
      <c r="B187" s="597">
        <v>21081.806728429998</v>
      </c>
      <c r="C187" s="597">
        <v>11610.051899549999</v>
      </c>
      <c r="D187" s="597">
        <v>8955.4247405699989</v>
      </c>
      <c r="E187" s="597">
        <v>6348.5955752299997</v>
      </c>
      <c r="F187" s="590">
        <f t="shared" si="29"/>
        <v>2606.8291653399992</v>
      </c>
      <c r="G187" s="590">
        <f t="shared" si="30"/>
        <v>2654.6271589799999</v>
      </c>
      <c r="H187" s="590">
        <f t="shared" si="31"/>
        <v>9471.754828879999</v>
      </c>
      <c r="I187" s="608">
        <v>2.034185510256131</v>
      </c>
      <c r="J187" s="608">
        <v>1.5220074193648607</v>
      </c>
      <c r="K187" s="403"/>
    </row>
    <row r="188" spans="1:11" ht="15.75">
      <c r="A188" s="596" t="s">
        <v>22</v>
      </c>
      <c r="B188" s="597">
        <v>20856.365933829999</v>
      </c>
      <c r="C188" s="597">
        <v>11568.538726760002</v>
      </c>
      <c r="D188" s="597">
        <v>8930.5077434800005</v>
      </c>
      <c r="E188" s="597">
        <v>6538.2719209699999</v>
      </c>
      <c r="F188" s="590">
        <f t="shared" si="29"/>
        <v>2392.2358225100006</v>
      </c>
      <c r="G188" s="590">
        <f t="shared" si="30"/>
        <v>2638.0309832800012</v>
      </c>
      <c r="H188" s="590">
        <f t="shared" si="31"/>
        <v>9287.8272070699968</v>
      </c>
      <c r="I188" s="608">
        <v>2.0674356756591137</v>
      </c>
      <c r="J188" s="608">
        <v>1.4853028431212567</v>
      </c>
      <c r="K188" s="403"/>
    </row>
    <row r="189" spans="1:11" ht="15.75">
      <c r="A189" s="596" t="s">
        <v>23</v>
      </c>
      <c r="B189" s="597">
        <v>20973.00448946</v>
      </c>
      <c r="C189" s="597">
        <v>11435.887373869999</v>
      </c>
      <c r="D189" s="597">
        <v>9263.3680122499991</v>
      </c>
      <c r="E189" s="597">
        <v>6774.4474925899995</v>
      </c>
      <c r="F189" s="590">
        <f t="shared" si="29"/>
        <v>2488.9205196599996</v>
      </c>
      <c r="G189" s="590">
        <f t="shared" si="30"/>
        <v>2172.5193616199995</v>
      </c>
      <c r="H189" s="590">
        <f t="shared" si="31"/>
        <v>9537.117115590001</v>
      </c>
      <c r="I189" s="608">
        <v>1.9925232048959938</v>
      </c>
      <c r="J189" s="608">
        <v>1.382067948352103</v>
      </c>
      <c r="K189" s="403"/>
    </row>
    <row r="190" spans="1:11" ht="15.75">
      <c r="A190" s="596" t="s">
        <v>24</v>
      </c>
      <c r="B190" s="597">
        <v>20824.384832039999</v>
      </c>
      <c r="C190" s="597">
        <v>11338.46891634</v>
      </c>
      <c r="D190" s="597">
        <v>9288.6927007600007</v>
      </c>
      <c r="E190" s="597">
        <v>6937.0088353600004</v>
      </c>
      <c r="F190" s="590">
        <f t="shared" si="29"/>
        <v>2351.6838654000003</v>
      </c>
      <c r="G190" s="590">
        <f t="shared" si="30"/>
        <v>2049.7762155799992</v>
      </c>
      <c r="H190" s="590">
        <f t="shared" si="31"/>
        <v>9485.9159156999995</v>
      </c>
      <c r="I190" s="608">
        <v>1.9429022912479734</v>
      </c>
      <c r="J190" s="608">
        <v>1.3606945351379982</v>
      </c>
      <c r="K190" s="403"/>
    </row>
    <row r="191" spans="1:11" ht="15.75">
      <c r="A191" s="596" t="s">
        <v>25</v>
      </c>
      <c r="B191" s="597">
        <v>20556.303320810002</v>
      </c>
      <c r="C191" s="597">
        <v>11137.54601199</v>
      </c>
      <c r="D191" s="597">
        <v>9402.3546518900002</v>
      </c>
      <c r="E191" s="597">
        <v>7001.1362198799998</v>
      </c>
      <c r="F191" s="590">
        <f t="shared" si="29"/>
        <v>2401.2184320100005</v>
      </c>
      <c r="G191" s="590">
        <f t="shared" si="30"/>
        <v>1735.1913600999997</v>
      </c>
      <c r="H191" s="590">
        <f t="shared" si="31"/>
        <v>9418.7573088200024</v>
      </c>
      <c r="I191" s="608">
        <v>1.9282495713049725</v>
      </c>
      <c r="J191" s="608">
        <v>1.3151827535940901</v>
      </c>
      <c r="K191" s="403"/>
    </row>
    <row r="192" spans="1:11" ht="15.75">
      <c r="A192" s="596" t="s">
        <v>26</v>
      </c>
      <c r="B192" s="597">
        <v>21133.719188669998</v>
      </c>
      <c r="C192" s="597">
        <v>11464.497166829999</v>
      </c>
      <c r="D192" s="597">
        <v>9800.7255201099979</v>
      </c>
      <c r="E192" s="597">
        <v>7092.301789789999</v>
      </c>
      <c r="F192" s="590">
        <f t="shared" si="29"/>
        <v>2708.4237303199989</v>
      </c>
      <c r="G192" s="590">
        <f t="shared" si="30"/>
        <v>1663.7716467200007</v>
      </c>
      <c r="H192" s="590">
        <f t="shared" si="31"/>
        <v>9669.2220218399998</v>
      </c>
      <c r="I192" s="608">
        <v>2.106573574853837</v>
      </c>
      <c r="J192" s="608">
        <v>1.3221347625558166</v>
      </c>
      <c r="K192" s="403"/>
    </row>
    <row r="193" spans="1:11" ht="15.75">
      <c r="A193" s="596" t="s">
        <v>27</v>
      </c>
      <c r="B193" s="597">
        <v>21449.6211415</v>
      </c>
      <c r="C193" s="597">
        <v>11546.72964532</v>
      </c>
      <c r="D193" s="597">
        <v>9718.6465609300012</v>
      </c>
      <c r="E193" s="597">
        <v>7089.7548597200011</v>
      </c>
      <c r="F193" s="590">
        <f t="shared" si="29"/>
        <v>2628.8917012100001</v>
      </c>
      <c r="G193" s="590">
        <f t="shared" si="30"/>
        <v>1828.0830843899985</v>
      </c>
      <c r="H193" s="590">
        <f t="shared" si="31"/>
        <v>9902.8914961800001</v>
      </c>
      <c r="I193" s="608">
        <v>2.1822695257357738</v>
      </c>
      <c r="J193" s="608">
        <v>1.3533998491635806</v>
      </c>
      <c r="K193" s="403"/>
    </row>
    <row r="194" spans="1:11" ht="15.75">
      <c r="A194" s="596" t="s">
        <v>28</v>
      </c>
      <c r="B194" s="597">
        <v>21517.920473049999</v>
      </c>
      <c r="C194" s="597">
        <v>12044.713739800001</v>
      </c>
      <c r="D194" s="597">
        <v>10104.986625630001</v>
      </c>
      <c r="E194" s="597">
        <v>7149.3576378600001</v>
      </c>
      <c r="F194" s="590">
        <f t="shared" si="29"/>
        <v>2955.628987770001</v>
      </c>
      <c r="G194" s="590">
        <f t="shared" si="30"/>
        <v>1939.7271141700003</v>
      </c>
      <c r="H194" s="590">
        <f t="shared" si="31"/>
        <v>9473.2067332499973</v>
      </c>
      <c r="I194" s="608">
        <v>2.1513750775375038</v>
      </c>
      <c r="J194" s="608">
        <v>1.3865469921193967</v>
      </c>
      <c r="K194" s="403"/>
    </row>
    <row r="195" spans="1:11" ht="15.75">
      <c r="A195" s="596" t="s">
        <v>29</v>
      </c>
      <c r="B195" s="597">
        <v>22772.070451020001</v>
      </c>
      <c r="C195" s="597">
        <v>12466.432601679999</v>
      </c>
      <c r="D195" s="597">
        <v>10544.24328447</v>
      </c>
      <c r="E195" s="597">
        <v>7490.3292875799998</v>
      </c>
      <c r="F195" s="590">
        <f t="shared" si="29"/>
        <v>3053.9139968899999</v>
      </c>
      <c r="G195" s="590">
        <f t="shared" si="30"/>
        <v>1922.189317209999</v>
      </c>
      <c r="H195" s="590">
        <f t="shared" si="31"/>
        <v>10305.637849340003</v>
      </c>
      <c r="I195" s="608">
        <v>2.3065899360824305</v>
      </c>
      <c r="J195" s="608">
        <v>1.4592220802503841</v>
      </c>
      <c r="K195" s="403"/>
    </row>
    <row r="196" spans="1:11" ht="15.75">
      <c r="A196" s="596" t="s">
        <v>2038</v>
      </c>
      <c r="B196" s="599">
        <v>24060.393174919998</v>
      </c>
      <c r="C196" s="599">
        <v>14643.622398929998</v>
      </c>
      <c r="D196" s="599">
        <v>12274.634531</v>
      </c>
      <c r="E196" s="599">
        <v>7601.3712782100001</v>
      </c>
      <c r="F196" s="604">
        <v>4673.2632527899996</v>
      </c>
      <c r="G196" s="604">
        <v>2368.98786793</v>
      </c>
      <c r="H196" s="607">
        <v>9416.7707759899986</v>
      </c>
      <c r="I196" s="609">
        <v>2.3317880221202123</v>
      </c>
      <c r="J196" s="609">
        <v>1.5340501015947468</v>
      </c>
      <c r="K196" s="404"/>
    </row>
    <row r="197" spans="1:11" ht="15.75">
      <c r="A197" s="596" t="s">
        <v>18</v>
      </c>
      <c r="B197" s="597">
        <v>22755.398773780002</v>
      </c>
      <c r="C197" s="597">
        <v>12272.674945000001</v>
      </c>
      <c r="D197" s="597">
        <v>10192.185682630001</v>
      </c>
      <c r="E197" s="597">
        <v>7381.4869843100005</v>
      </c>
      <c r="F197" s="590">
        <f t="shared" ref="F197:F208" si="32">+D197-E197</f>
        <v>2810.6986983200004</v>
      </c>
      <c r="G197" s="590">
        <f t="shared" ref="G197:G208" si="33">+C197-D197</f>
        <v>2080.4892623699998</v>
      </c>
      <c r="H197" s="590">
        <f t="shared" ref="H197:H208" si="34">+B197-C197</f>
        <v>10482.723828780001</v>
      </c>
      <c r="I197" s="598">
        <v>2.3150370821495443</v>
      </c>
      <c r="J197" s="598">
        <v>1.4007406890111056</v>
      </c>
      <c r="K197" s="397"/>
    </row>
    <row r="198" spans="1:11" ht="15.75">
      <c r="A198" s="596" t="s">
        <v>19</v>
      </c>
      <c r="B198" s="597">
        <v>22868.076868089996</v>
      </c>
      <c r="C198" s="597">
        <v>12744.878943899997</v>
      </c>
      <c r="D198" s="597">
        <v>10434.352877309999</v>
      </c>
      <c r="E198" s="597">
        <v>7311.6928763799997</v>
      </c>
      <c r="F198" s="590">
        <f t="shared" si="32"/>
        <v>3122.6600009299991</v>
      </c>
      <c r="G198" s="590">
        <f t="shared" si="33"/>
        <v>2310.5260665899987</v>
      </c>
      <c r="H198" s="590">
        <f t="shared" si="34"/>
        <v>10123.197924189999</v>
      </c>
      <c r="I198" s="598">
        <v>2.2313578249150234</v>
      </c>
      <c r="J198" s="598">
        <v>1.3882469556047923</v>
      </c>
      <c r="K198" s="397"/>
    </row>
    <row r="199" spans="1:11" ht="15.75">
      <c r="A199" s="596" t="s">
        <v>20</v>
      </c>
      <c r="B199" s="597">
        <v>22459.499555119997</v>
      </c>
      <c r="C199" s="597">
        <v>13005.875008679997</v>
      </c>
      <c r="D199" s="597">
        <v>10691.735644159999</v>
      </c>
      <c r="E199" s="597">
        <v>7404.1666002099992</v>
      </c>
      <c r="F199" s="590">
        <f t="shared" si="32"/>
        <v>3287.5690439499995</v>
      </c>
      <c r="G199" s="590">
        <f t="shared" si="33"/>
        <v>2314.1393645199987</v>
      </c>
      <c r="H199" s="590">
        <f t="shared" si="34"/>
        <v>9453.6245464399999</v>
      </c>
      <c r="I199" s="598">
        <v>2.0828661476866839</v>
      </c>
      <c r="J199" s="598">
        <v>1.3732244123154893</v>
      </c>
      <c r="K199" s="397"/>
    </row>
    <row r="200" spans="1:11" ht="15.75">
      <c r="A200" s="596" t="s">
        <v>21</v>
      </c>
      <c r="B200" s="597">
        <v>22119.981322159998</v>
      </c>
      <c r="C200" s="597">
        <v>12425.141375929999</v>
      </c>
      <c r="D200" s="597">
        <v>10201.029013769999</v>
      </c>
      <c r="E200" s="597">
        <v>6919.2920401500005</v>
      </c>
      <c r="F200" s="590">
        <f t="shared" si="32"/>
        <v>3281.7369736199989</v>
      </c>
      <c r="G200" s="590">
        <f t="shared" si="33"/>
        <v>2224.11236216</v>
      </c>
      <c r="H200" s="590">
        <f t="shared" si="34"/>
        <v>9694.8399462299985</v>
      </c>
      <c r="I200" s="598">
        <v>2.2841092447779472</v>
      </c>
      <c r="J200" s="598">
        <v>1.4769025049507249</v>
      </c>
      <c r="K200" s="397"/>
    </row>
    <row r="201" spans="1:11" ht="15.75">
      <c r="A201" s="596" t="s">
        <v>22</v>
      </c>
      <c r="B201" s="597">
        <v>22145.141300539995</v>
      </c>
      <c r="C201" s="597">
        <v>12599.049581419999</v>
      </c>
      <c r="D201" s="597">
        <v>10273.594519849999</v>
      </c>
      <c r="E201" s="597">
        <v>7053.4999614500002</v>
      </c>
      <c r="F201" s="590">
        <f t="shared" si="32"/>
        <v>3220.0945583999992</v>
      </c>
      <c r="G201" s="590">
        <f t="shared" si="33"/>
        <v>2325.4550615699991</v>
      </c>
      <c r="H201" s="590">
        <f t="shared" si="34"/>
        <v>9546.0917191199969</v>
      </c>
      <c r="I201" s="598">
        <v>2.2756056923075918</v>
      </c>
      <c r="J201" s="598">
        <v>1.4991005186655266</v>
      </c>
      <c r="K201" s="397"/>
    </row>
    <row r="202" spans="1:11" ht="15.75">
      <c r="A202" s="596" t="s">
        <v>23</v>
      </c>
      <c r="B202" s="597">
        <v>22683.611646019999</v>
      </c>
      <c r="C202" s="597">
        <v>12984.69515177</v>
      </c>
      <c r="D202" s="597">
        <v>10656.116442300001</v>
      </c>
      <c r="E202" s="597">
        <v>7173.8074000100005</v>
      </c>
      <c r="F202" s="590">
        <f t="shared" si="32"/>
        <v>3482.3090422900004</v>
      </c>
      <c r="G202" s="590">
        <f t="shared" si="33"/>
        <v>2328.578709469999</v>
      </c>
      <c r="H202" s="590">
        <f t="shared" si="34"/>
        <v>9698.9164942499992</v>
      </c>
      <c r="I202" s="598">
        <v>2.34469256690587</v>
      </c>
      <c r="J202" s="598">
        <v>1.5119518138610506</v>
      </c>
      <c r="K202" s="397"/>
    </row>
    <row r="203" spans="1:11" ht="15.75">
      <c r="A203" s="596" t="s">
        <v>24</v>
      </c>
      <c r="B203" s="597">
        <v>22727.974726500001</v>
      </c>
      <c r="C203" s="597">
        <v>13347.24488812</v>
      </c>
      <c r="D203" s="597">
        <v>11036.893226119999</v>
      </c>
      <c r="E203" s="597">
        <v>7381.3978546199996</v>
      </c>
      <c r="F203" s="590">
        <f t="shared" si="32"/>
        <v>3655.4953714999992</v>
      </c>
      <c r="G203" s="590">
        <f t="shared" si="33"/>
        <v>2310.3516620000009</v>
      </c>
      <c r="H203" s="590">
        <f t="shared" si="34"/>
        <v>9380.7298383800007</v>
      </c>
      <c r="I203" s="598">
        <v>2.2549707379965773</v>
      </c>
      <c r="J203" s="598">
        <v>1.5015704475293923</v>
      </c>
      <c r="K203" s="397"/>
    </row>
    <row r="204" spans="1:11" ht="15.75">
      <c r="A204" s="596" t="s">
        <v>25</v>
      </c>
      <c r="B204" s="597">
        <v>22431.606406850002</v>
      </c>
      <c r="C204" s="597">
        <v>12875.444561079999</v>
      </c>
      <c r="D204" s="597">
        <v>10601.76435963</v>
      </c>
      <c r="E204" s="597">
        <v>6905.6102707400005</v>
      </c>
      <c r="F204" s="590">
        <f t="shared" si="32"/>
        <v>3696.1540888899999</v>
      </c>
      <c r="G204" s="590">
        <f t="shared" si="33"/>
        <v>2273.680201449999</v>
      </c>
      <c r="H204" s="590">
        <f t="shared" si="34"/>
        <v>9556.1618457700024</v>
      </c>
      <c r="I204" s="598">
        <v>2.4044091540138477</v>
      </c>
      <c r="J204" s="598">
        <v>1.5478603104340489</v>
      </c>
      <c r="K204" s="397"/>
    </row>
    <row r="205" spans="1:11" ht="15.75">
      <c r="A205" s="596" t="s">
        <v>26</v>
      </c>
      <c r="B205" s="597">
        <v>23146.36330343</v>
      </c>
      <c r="C205" s="597">
        <v>13498.862857830001</v>
      </c>
      <c r="D205" s="597">
        <v>11108.12272182</v>
      </c>
      <c r="E205" s="597">
        <v>6878.3513826299995</v>
      </c>
      <c r="F205" s="590">
        <f t="shared" si="32"/>
        <v>4229.7713391900006</v>
      </c>
      <c r="G205" s="590">
        <f t="shared" si="33"/>
        <v>2390.7401360100012</v>
      </c>
      <c r="H205" s="590">
        <f t="shared" si="34"/>
        <v>9647.5004455999988</v>
      </c>
      <c r="I205" s="598">
        <v>2.3730051004904116</v>
      </c>
      <c r="J205" s="598">
        <v>1.5216060131577962</v>
      </c>
      <c r="K205" s="397"/>
    </row>
    <row r="206" spans="1:11" ht="15.75">
      <c r="A206" s="596" t="s">
        <v>27</v>
      </c>
      <c r="B206" s="597">
        <v>23590.695212070001</v>
      </c>
      <c r="C206" s="597">
        <v>13995.88495462</v>
      </c>
      <c r="D206" s="597">
        <v>11613.439098450001</v>
      </c>
      <c r="E206" s="597">
        <v>7122.6943297500002</v>
      </c>
      <c r="F206" s="590">
        <f t="shared" si="32"/>
        <v>4490.7447687000003</v>
      </c>
      <c r="G206" s="590">
        <f t="shared" si="33"/>
        <v>2382.4458561699994</v>
      </c>
      <c r="H206" s="590">
        <f t="shared" si="34"/>
        <v>9594.8102574500008</v>
      </c>
      <c r="I206" s="598">
        <v>2.3451149046040904</v>
      </c>
      <c r="J206" s="598">
        <v>1.5290507880555482</v>
      </c>
      <c r="K206" s="397"/>
    </row>
    <row r="207" spans="1:11" ht="15.75">
      <c r="A207" s="596" t="s">
        <v>28</v>
      </c>
      <c r="B207" s="597">
        <v>23727.532675800001</v>
      </c>
      <c r="C207" s="597">
        <v>14130.015342300001</v>
      </c>
      <c r="D207" s="597">
        <v>11747.181728110001</v>
      </c>
      <c r="E207" s="597">
        <v>7309.0843174500005</v>
      </c>
      <c r="F207" s="590">
        <f t="shared" si="32"/>
        <v>4438.0974106600006</v>
      </c>
      <c r="G207" s="590">
        <f t="shared" si="33"/>
        <v>2382.8336141899999</v>
      </c>
      <c r="H207" s="590">
        <f t="shared" si="34"/>
        <v>9597.5173334999999</v>
      </c>
      <c r="I207" s="598">
        <v>2.441940283510565</v>
      </c>
      <c r="J207" s="598">
        <v>1.5725948284615536</v>
      </c>
      <c r="K207" s="397"/>
    </row>
    <row r="208" spans="1:11" ht="15.75">
      <c r="A208" s="596" t="s">
        <v>29</v>
      </c>
      <c r="B208" s="597">
        <v>24060.393174919998</v>
      </c>
      <c r="C208" s="597">
        <v>14643.622398929998</v>
      </c>
      <c r="D208" s="597">
        <v>12274.634531</v>
      </c>
      <c r="E208" s="597">
        <v>7601.3712782100001</v>
      </c>
      <c r="F208" s="590">
        <f t="shared" si="32"/>
        <v>4673.2632527899996</v>
      </c>
      <c r="G208" s="590">
        <f t="shared" si="33"/>
        <v>2368.9878679299982</v>
      </c>
      <c r="H208" s="590">
        <f t="shared" si="34"/>
        <v>9416.7707759900004</v>
      </c>
      <c r="I208" s="598">
        <v>2.3317880221202123</v>
      </c>
      <c r="J208" s="598">
        <v>1.5340501015947468</v>
      </c>
      <c r="K208" s="397"/>
    </row>
    <row r="209" spans="1:11" ht="15.75">
      <c r="A209" s="596" t="s">
        <v>2131</v>
      </c>
      <c r="B209" s="599">
        <v>28866.306171830001</v>
      </c>
      <c r="C209" s="599">
        <v>18238.611014260001</v>
      </c>
      <c r="D209" s="599">
        <v>15397.917067630002</v>
      </c>
      <c r="E209" s="599">
        <v>9501.0686436600008</v>
      </c>
      <c r="F209" s="604">
        <v>5896.848423970001</v>
      </c>
      <c r="G209" s="604">
        <v>2840.6939466299991</v>
      </c>
      <c r="H209" s="607">
        <v>10627.69515757</v>
      </c>
      <c r="I209" s="609">
        <v>2.1992912794402542</v>
      </c>
      <c r="J209" s="609">
        <v>1.5008104487377483</v>
      </c>
      <c r="K209" s="404"/>
    </row>
    <row r="210" spans="1:11" ht="15.75">
      <c r="A210" s="596" t="s">
        <v>18</v>
      </c>
      <c r="B210" s="597">
        <v>23679.267339400001</v>
      </c>
      <c r="C210" s="597">
        <v>13961.6501642</v>
      </c>
      <c r="D210" s="597">
        <v>11567.361000409999</v>
      </c>
      <c r="E210" s="597">
        <v>7294.8560352599998</v>
      </c>
      <c r="F210" s="590">
        <f t="shared" ref="F210:F221" si="35">+D210-E210</f>
        <v>4272.5049651499994</v>
      </c>
      <c r="G210" s="590">
        <f t="shared" ref="G210:G221" si="36">+C210-D210</f>
        <v>2394.2891637900011</v>
      </c>
      <c r="H210" s="590">
        <f t="shared" ref="H210:H221" si="37">+B210-C210</f>
        <v>9717.6171752000009</v>
      </c>
      <c r="I210" s="598">
        <v>2.5306703327695192</v>
      </c>
      <c r="J210" s="598">
        <v>1.603087063816204</v>
      </c>
      <c r="K210" s="397"/>
    </row>
    <row r="211" spans="1:11" ht="15.75">
      <c r="A211" s="596" t="s">
        <v>19</v>
      </c>
      <c r="B211" s="597">
        <v>24560.268819559999</v>
      </c>
      <c r="C211" s="597">
        <v>14392.6817524</v>
      </c>
      <c r="D211" s="597">
        <v>11963.61943205</v>
      </c>
      <c r="E211" s="597">
        <v>7328.5128599899999</v>
      </c>
      <c r="F211" s="590">
        <f t="shared" si="35"/>
        <v>4635.10657206</v>
      </c>
      <c r="G211" s="590">
        <f t="shared" si="36"/>
        <v>2429.0623203499999</v>
      </c>
      <c r="H211" s="590">
        <f t="shared" si="37"/>
        <v>10167.587067159999</v>
      </c>
      <c r="I211" s="598">
        <v>2.5122206203266186</v>
      </c>
      <c r="J211" s="598">
        <v>1.5966779653159484</v>
      </c>
      <c r="K211" s="397"/>
    </row>
    <row r="212" spans="1:11" ht="15.75">
      <c r="A212" s="596" t="s">
        <v>20</v>
      </c>
      <c r="B212" s="597">
        <v>24198.718659370003</v>
      </c>
      <c r="C212" s="597">
        <v>14293.507187650001</v>
      </c>
      <c r="D212" s="597">
        <v>11726.32872705</v>
      </c>
      <c r="E212" s="597">
        <v>7535.0246510699999</v>
      </c>
      <c r="F212" s="590">
        <f t="shared" si="35"/>
        <v>4191.3040759800006</v>
      </c>
      <c r="G212" s="590">
        <f t="shared" si="36"/>
        <v>2567.1784606000001</v>
      </c>
      <c r="H212" s="590">
        <f t="shared" si="37"/>
        <v>9905.211471720002</v>
      </c>
      <c r="I212" s="598">
        <v>2.4857761235516596</v>
      </c>
      <c r="J212" s="598">
        <v>1.5977085495342764</v>
      </c>
      <c r="K212" s="397"/>
    </row>
    <row r="213" spans="1:11" ht="15.75">
      <c r="A213" s="596" t="s">
        <v>21</v>
      </c>
      <c r="B213" s="597">
        <v>24473.375013390003</v>
      </c>
      <c r="C213" s="597">
        <v>14965.257296850001</v>
      </c>
      <c r="D213" s="597">
        <v>12340.278256290001</v>
      </c>
      <c r="E213" s="597">
        <v>7780.8048372400017</v>
      </c>
      <c r="F213" s="590">
        <f t="shared" si="35"/>
        <v>4559.4734190499994</v>
      </c>
      <c r="G213" s="590">
        <f t="shared" si="36"/>
        <v>2624.9790405599997</v>
      </c>
      <c r="H213" s="590">
        <f t="shared" si="37"/>
        <v>9508.1177165400022</v>
      </c>
      <c r="I213" s="598">
        <v>2.4443112656844637</v>
      </c>
      <c r="J213" s="598">
        <v>1.5761074559317214</v>
      </c>
      <c r="K213" s="397"/>
    </row>
    <row r="214" spans="1:11" ht="15.75">
      <c r="A214" s="596" t="s">
        <v>22</v>
      </c>
      <c r="B214" s="597">
        <v>24834.027645559996</v>
      </c>
      <c r="C214" s="597">
        <v>15491.786150549997</v>
      </c>
      <c r="D214" s="597">
        <v>12917.208396639999</v>
      </c>
      <c r="E214" s="597">
        <v>8151.1907722199985</v>
      </c>
      <c r="F214" s="590">
        <f t="shared" si="35"/>
        <v>4766.0176244200002</v>
      </c>
      <c r="G214" s="590">
        <f t="shared" si="36"/>
        <v>2574.5777539099981</v>
      </c>
      <c r="H214" s="590">
        <f t="shared" si="37"/>
        <v>9342.2414950099992</v>
      </c>
      <c r="I214" s="598">
        <v>2.2381148634724717</v>
      </c>
      <c r="J214" s="598">
        <v>1.5229248548481431</v>
      </c>
      <c r="K214" s="397"/>
    </row>
    <row r="215" spans="1:11" ht="15.75">
      <c r="A215" s="596" t="s">
        <v>23</v>
      </c>
      <c r="B215" s="597">
        <v>25284.16737019</v>
      </c>
      <c r="C215" s="597">
        <v>15834.294932270001</v>
      </c>
      <c r="D215" s="597">
        <v>13250.512669520002</v>
      </c>
      <c r="E215" s="597">
        <v>8376.2610829100013</v>
      </c>
      <c r="F215" s="590">
        <f t="shared" si="35"/>
        <v>4874.2515866100002</v>
      </c>
      <c r="G215" s="590">
        <f t="shared" si="36"/>
        <v>2583.7822627499991</v>
      </c>
      <c r="H215" s="590">
        <f t="shared" si="37"/>
        <v>9449.8724379199994</v>
      </c>
      <c r="I215" s="598">
        <v>2.2463609049912932</v>
      </c>
      <c r="J215" s="598">
        <v>1.5259167469659474</v>
      </c>
      <c r="K215" s="397"/>
    </row>
    <row r="216" spans="1:11" ht="15.75">
      <c r="A216" s="596" t="s">
        <v>24</v>
      </c>
      <c r="B216" s="597">
        <v>25642.276847279998</v>
      </c>
      <c r="C216" s="597">
        <v>16182.182113769999</v>
      </c>
      <c r="D216" s="597">
        <v>13520.414786329999</v>
      </c>
      <c r="E216" s="597">
        <v>8576.7865155399995</v>
      </c>
      <c r="F216" s="590">
        <f t="shared" si="35"/>
        <v>4943.6282707899991</v>
      </c>
      <c r="G216" s="590">
        <f t="shared" si="36"/>
        <v>2661.7673274400004</v>
      </c>
      <c r="H216" s="590">
        <f t="shared" si="37"/>
        <v>9460.0947335099991</v>
      </c>
      <c r="I216" s="598">
        <v>2.197649369454779</v>
      </c>
      <c r="J216" s="598">
        <v>1.5303337374139589</v>
      </c>
      <c r="K216" s="397"/>
    </row>
    <row r="217" spans="1:11" ht="15.75">
      <c r="A217" s="596" t="s">
        <v>25</v>
      </c>
      <c r="B217" s="597">
        <v>25482.677890749997</v>
      </c>
      <c r="C217" s="597">
        <v>15948.621320619997</v>
      </c>
      <c r="D217" s="597">
        <v>13227.429159179999</v>
      </c>
      <c r="E217" s="597">
        <v>8542.6512433400003</v>
      </c>
      <c r="F217" s="590">
        <f t="shared" si="35"/>
        <v>4684.777915839999</v>
      </c>
      <c r="G217" s="590">
        <f t="shared" si="36"/>
        <v>2721.192161439998</v>
      </c>
      <c r="H217" s="590">
        <f t="shared" si="37"/>
        <v>9534.0565701300002</v>
      </c>
      <c r="I217" s="598">
        <v>2.2319995793011782</v>
      </c>
      <c r="J217" s="598">
        <v>1.5701098726516163</v>
      </c>
      <c r="K217" s="397"/>
    </row>
    <row r="218" spans="1:11" ht="15.75">
      <c r="A218" s="596" t="s">
        <v>26</v>
      </c>
      <c r="B218" s="597">
        <v>26550.637924399998</v>
      </c>
      <c r="C218" s="597">
        <v>16217.44025041</v>
      </c>
      <c r="D218" s="597">
        <v>13485.831445190001</v>
      </c>
      <c r="E218" s="597">
        <v>8578.7292310600005</v>
      </c>
      <c r="F218" s="590">
        <f t="shared" si="35"/>
        <v>4907.10221413</v>
      </c>
      <c r="G218" s="590">
        <f t="shared" si="36"/>
        <v>2731.6088052199993</v>
      </c>
      <c r="H218" s="590">
        <f t="shared" si="37"/>
        <v>10333.197673989998</v>
      </c>
      <c r="I218" s="598">
        <v>2.3090997244698142</v>
      </c>
      <c r="J218" s="598">
        <v>1.5872582056026474</v>
      </c>
      <c r="K218" s="397"/>
    </row>
    <row r="219" spans="1:11" ht="15.75">
      <c r="A219" s="596" t="s">
        <v>27</v>
      </c>
      <c r="B219" s="597">
        <v>26446.939961569999</v>
      </c>
      <c r="C219" s="597">
        <v>16339.016886419999</v>
      </c>
      <c r="D219" s="597">
        <v>13579.861621929998</v>
      </c>
      <c r="E219" s="597">
        <v>8693.8154654499995</v>
      </c>
      <c r="F219" s="590">
        <f t="shared" si="35"/>
        <v>4886.0461564799989</v>
      </c>
      <c r="G219" s="590">
        <f t="shared" si="36"/>
        <v>2759.1552644900003</v>
      </c>
      <c r="H219" s="590">
        <f t="shared" si="37"/>
        <v>10107.92307515</v>
      </c>
      <c r="I219" s="598">
        <v>2.3143274440820094</v>
      </c>
      <c r="J219" s="598">
        <v>1.5864919550818222</v>
      </c>
      <c r="K219" s="397"/>
    </row>
    <row r="220" spans="1:11" ht="15.75">
      <c r="A220" s="596" t="s">
        <v>28</v>
      </c>
      <c r="B220" s="597">
        <v>26742.157281190001</v>
      </c>
      <c r="C220" s="597">
        <v>16663.40605034</v>
      </c>
      <c r="D220" s="597">
        <v>13917.7641602</v>
      </c>
      <c r="E220" s="597">
        <v>8827.3702125399996</v>
      </c>
      <c r="F220" s="590">
        <f t="shared" si="35"/>
        <v>5090.3939476600008</v>
      </c>
      <c r="G220" s="590">
        <f t="shared" si="36"/>
        <v>2745.6418901399993</v>
      </c>
      <c r="H220" s="590">
        <f t="shared" si="37"/>
        <v>10078.751230850001</v>
      </c>
      <c r="I220" s="598">
        <v>2.3008386210842198</v>
      </c>
      <c r="J220" s="598">
        <v>1.561043922510676</v>
      </c>
      <c r="K220" s="397"/>
    </row>
    <row r="221" spans="1:11" ht="15.75">
      <c r="A221" s="596" t="s">
        <v>29</v>
      </c>
      <c r="B221" s="597">
        <v>28866.306171830001</v>
      </c>
      <c r="C221" s="597">
        <v>18238.611014260001</v>
      </c>
      <c r="D221" s="597">
        <v>15397.917067630002</v>
      </c>
      <c r="E221" s="597">
        <v>9501.0686436600008</v>
      </c>
      <c r="F221" s="590">
        <f t="shared" si="35"/>
        <v>5896.848423970001</v>
      </c>
      <c r="G221" s="590">
        <f t="shared" si="36"/>
        <v>2840.6939466299991</v>
      </c>
      <c r="H221" s="590">
        <f t="shared" si="37"/>
        <v>10627.69515757</v>
      </c>
      <c r="I221" s="598">
        <v>2.1992912794402542</v>
      </c>
      <c r="J221" s="598">
        <v>1.5008104487377483</v>
      </c>
      <c r="K221" s="397"/>
    </row>
    <row r="222" spans="1:11" ht="15.75">
      <c r="A222" s="596" t="s">
        <v>2362</v>
      </c>
      <c r="B222" s="599">
        <v>29185.8075723</v>
      </c>
      <c r="C222" s="599">
        <v>20305.478031890001</v>
      </c>
      <c r="D222" s="599">
        <v>17864.586730620002</v>
      </c>
      <c r="E222" s="599">
        <v>10773.38561295</v>
      </c>
      <c r="F222" s="604">
        <v>7091.2011176700016</v>
      </c>
      <c r="G222" s="604">
        <v>2440.8913012699995</v>
      </c>
      <c r="H222" s="607">
        <v>8880.329540409999</v>
      </c>
      <c r="I222" s="605">
        <v>1.9388848083418642</v>
      </c>
      <c r="J222" s="605">
        <v>1.4969939642453578</v>
      </c>
      <c r="K222" s="397"/>
    </row>
    <row r="223" spans="1:11" ht="15.75">
      <c r="A223" s="596" t="s">
        <v>18</v>
      </c>
      <c r="B223" s="597">
        <v>28530.438004700001</v>
      </c>
      <c r="C223" s="597">
        <v>17946.084792710004</v>
      </c>
      <c r="D223" s="597">
        <v>15095.747673960002</v>
      </c>
      <c r="E223" s="597">
        <v>9266.6770643600012</v>
      </c>
      <c r="F223" s="590">
        <f t="shared" ref="F223:F234" si="38">+D223-E223</f>
        <v>5829.0706096000013</v>
      </c>
      <c r="G223" s="590">
        <f t="shared" ref="G223:G236" si="39">+C223-D223</f>
        <v>2850.3371187500015</v>
      </c>
      <c r="H223" s="590">
        <f t="shared" ref="H223:H234" si="40">+B223-C223</f>
        <v>10584.353211989997</v>
      </c>
      <c r="I223" s="598">
        <v>2.2638129305686601</v>
      </c>
      <c r="J223" s="598">
        <v>1.5546611956911813</v>
      </c>
      <c r="K223" s="397"/>
    </row>
    <row r="224" spans="1:11" ht="15.75">
      <c r="A224" s="596" t="s">
        <v>19</v>
      </c>
      <c r="B224" s="597">
        <v>28616.692781510006</v>
      </c>
      <c r="C224" s="597">
        <v>18299.369793800004</v>
      </c>
      <c r="D224" s="597">
        <v>15398.179885100002</v>
      </c>
      <c r="E224" s="597">
        <v>9579.1853838200004</v>
      </c>
      <c r="F224" s="590">
        <f t="shared" si="38"/>
        <v>5818.9945012800017</v>
      </c>
      <c r="G224" s="590">
        <f t="shared" si="39"/>
        <v>2901.189908700002</v>
      </c>
      <c r="H224" s="590">
        <f t="shared" si="40"/>
        <v>10317.322987710002</v>
      </c>
      <c r="I224" s="598">
        <v>2.1438208591158481</v>
      </c>
      <c r="J224" s="598">
        <v>1.5108030045842273</v>
      </c>
      <c r="K224" s="397"/>
    </row>
    <row r="225" spans="1:13" ht="15.75">
      <c r="A225" s="596" t="s">
        <v>20</v>
      </c>
      <c r="B225" s="597">
        <v>26721.191360860001</v>
      </c>
      <c r="C225" s="597">
        <v>16442.773718979999</v>
      </c>
      <c r="D225" s="597">
        <v>13835.413800359998</v>
      </c>
      <c r="E225" s="597">
        <v>8530.7902558099995</v>
      </c>
      <c r="F225" s="590">
        <f t="shared" si="38"/>
        <v>5304.6235445499988</v>
      </c>
      <c r="G225" s="590">
        <f t="shared" si="39"/>
        <v>2607.3599186200008</v>
      </c>
      <c r="H225" s="590">
        <f t="shared" si="40"/>
        <v>10278.417641880002</v>
      </c>
      <c r="I225" s="598">
        <v>2.3520642532752709</v>
      </c>
      <c r="J225" s="598">
        <v>1.6333505236649228</v>
      </c>
      <c r="K225" s="397"/>
    </row>
    <row r="226" spans="1:13" ht="15.75">
      <c r="A226" s="596" t="s">
        <v>21</v>
      </c>
      <c r="B226" s="597">
        <v>26291.803887550002</v>
      </c>
      <c r="C226" s="597">
        <v>16484.154980580002</v>
      </c>
      <c r="D226" s="597">
        <v>14104.232106200001</v>
      </c>
      <c r="E226" s="597">
        <v>8705.0063684699999</v>
      </c>
      <c r="F226" s="590">
        <f t="shared" si="38"/>
        <v>5399.2257377300011</v>
      </c>
      <c r="G226" s="590">
        <f t="shared" si="39"/>
        <v>2379.9228743800013</v>
      </c>
      <c r="H226" s="590">
        <f t="shared" si="40"/>
        <v>9807.6489069700001</v>
      </c>
      <c r="I226" s="598">
        <v>2.2330596959186444</v>
      </c>
      <c r="J226" s="598">
        <v>1.6376545618552376</v>
      </c>
      <c r="K226" s="267"/>
    </row>
    <row r="227" spans="1:13" ht="15.75">
      <c r="A227" s="596" t="s">
        <v>22</v>
      </c>
      <c r="B227" s="597">
        <v>26630.223010220001</v>
      </c>
      <c r="C227" s="597">
        <v>17021.310660290001</v>
      </c>
      <c r="D227" s="597">
        <v>14796.009574129999</v>
      </c>
      <c r="E227" s="597">
        <v>9009.7746494900002</v>
      </c>
      <c r="F227" s="590">
        <f t="shared" si="38"/>
        <v>5786.234924639999</v>
      </c>
      <c r="G227" s="590">
        <f t="shared" si="39"/>
        <v>2225.3010861600014</v>
      </c>
      <c r="H227" s="590">
        <f t="shared" si="40"/>
        <v>9608.9123499300003</v>
      </c>
      <c r="I227" s="598">
        <v>2.1336901129701085</v>
      </c>
      <c r="J227" s="598">
        <v>1.5585558174618896</v>
      </c>
      <c r="K227" s="397"/>
    </row>
    <row r="228" spans="1:13" ht="15.75">
      <c r="A228" s="596" t="s">
        <v>23</v>
      </c>
      <c r="B228" s="597">
        <v>26213.509605029998</v>
      </c>
      <c r="C228" s="597">
        <v>17169.070671429996</v>
      </c>
      <c r="D228" s="597">
        <v>14942.896773009998</v>
      </c>
      <c r="E228" s="597">
        <v>9246.6252634299999</v>
      </c>
      <c r="F228" s="590">
        <f t="shared" si="38"/>
        <v>5696.2715095799977</v>
      </c>
      <c r="G228" s="590">
        <f t="shared" si="39"/>
        <v>2226.1738984199983</v>
      </c>
      <c r="H228" s="590">
        <f t="shared" si="40"/>
        <v>9044.4389336000022</v>
      </c>
      <c r="I228" s="598">
        <v>2.0551999569262764</v>
      </c>
      <c r="J228" s="598">
        <v>1.5258989557921698</v>
      </c>
      <c r="K228" s="397"/>
    </row>
    <row r="229" spans="1:13" ht="15.75">
      <c r="A229" s="596" t="s">
        <v>24</v>
      </c>
      <c r="B229" s="597">
        <v>26711.806260920002</v>
      </c>
      <c r="C229" s="597">
        <v>17927.599440490001</v>
      </c>
      <c r="D229" s="597">
        <v>15575.276604620001</v>
      </c>
      <c r="E229" s="597">
        <v>9722.9362969900012</v>
      </c>
      <c r="F229" s="590">
        <f t="shared" si="38"/>
        <v>5852.3403076300001</v>
      </c>
      <c r="G229" s="590">
        <f t="shared" si="39"/>
        <v>2352.3228358699998</v>
      </c>
      <c r="H229" s="590">
        <f t="shared" si="40"/>
        <v>8784.2068204300012</v>
      </c>
      <c r="I229" s="598">
        <v>2.0915744484160306</v>
      </c>
      <c r="J229" s="598">
        <v>1.5353000314638554</v>
      </c>
      <c r="K229" s="397"/>
    </row>
    <row r="230" spans="1:13" ht="15.75">
      <c r="A230" s="596" t="s">
        <v>25</v>
      </c>
      <c r="B230" s="597">
        <v>26923.408240420002</v>
      </c>
      <c r="C230" s="597">
        <v>18109.264225810002</v>
      </c>
      <c r="D230" s="597">
        <v>15699.041465110004</v>
      </c>
      <c r="E230" s="597">
        <v>9848.237784490002</v>
      </c>
      <c r="F230" s="590">
        <f t="shared" si="38"/>
        <v>5850.8036806200016</v>
      </c>
      <c r="G230" s="590">
        <f t="shared" si="39"/>
        <v>2410.2227606999986</v>
      </c>
      <c r="H230" s="590">
        <f t="shared" si="40"/>
        <v>8814.1440146099994</v>
      </c>
      <c r="I230" s="598">
        <v>2.0690048507223282</v>
      </c>
      <c r="J230" s="598">
        <v>1.5208297765165963</v>
      </c>
      <c r="K230" s="397"/>
    </row>
    <row r="231" spans="1:13" ht="15.75">
      <c r="A231" s="596" t="s">
        <v>26</v>
      </c>
      <c r="B231" s="597">
        <v>26783.275633080004</v>
      </c>
      <c r="C231" s="597">
        <v>18427.776442160004</v>
      </c>
      <c r="D231" s="597">
        <v>15925.502069640002</v>
      </c>
      <c r="E231" s="597">
        <v>9865.6260706300018</v>
      </c>
      <c r="F231" s="590">
        <f t="shared" si="38"/>
        <v>6059.8759990100007</v>
      </c>
      <c r="G231" s="590">
        <f t="shared" si="39"/>
        <v>2502.2743725200016</v>
      </c>
      <c r="H231" s="590">
        <f t="shared" si="40"/>
        <v>8355.4991909199998</v>
      </c>
      <c r="I231" s="598">
        <v>2.023883822216888</v>
      </c>
      <c r="J231" s="598">
        <v>1.5067565256926374</v>
      </c>
      <c r="K231" s="267"/>
    </row>
    <row r="232" spans="1:13" ht="15.75">
      <c r="A232" s="596" t="s">
        <v>27</v>
      </c>
      <c r="B232" s="597">
        <v>26947.879233219999</v>
      </c>
      <c r="C232" s="597">
        <v>18573.567093120004</v>
      </c>
      <c r="D232" s="597">
        <v>16171.274612620004</v>
      </c>
      <c r="E232" s="597">
        <v>9988.0682326200022</v>
      </c>
      <c r="F232" s="590">
        <f t="shared" si="38"/>
        <v>6183.2063800000014</v>
      </c>
      <c r="G232" s="590">
        <f t="shared" si="39"/>
        <v>2402.2924805000002</v>
      </c>
      <c r="H232" s="590">
        <f t="shared" si="40"/>
        <v>8374.3121400999953</v>
      </c>
      <c r="I232" s="598">
        <v>1.9994604234339151</v>
      </c>
      <c r="J232" s="598">
        <v>1.5345475901124233</v>
      </c>
      <c r="K232" s="397"/>
    </row>
    <row r="233" spans="1:13" ht="15.75">
      <c r="A233" s="596" t="s">
        <v>28</v>
      </c>
      <c r="B233" s="597">
        <v>27147.102955900002</v>
      </c>
      <c r="C233" s="597">
        <v>18613.844544650001</v>
      </c>
      <c r="D233" s="597">
        <v>16232.407969469999</v>
      </c>
      <c r="E233" s="597">
        <v>10164.55864732</v>
      </c>
      <c r="F233" s="590">
        <f t="shared" si="38"/>
        <v>6067.8493221499994</v>
      </c>
      <c r="G233" s="590">
        <f t="shared" si="39"/>
        <v>2381.4365751800015</v>
      </c>
      <c r="H233" s="590">
        <f t="shared" si="40"/>
        <v>8533.2584112500008</v>
      </c>
      <c r="I233" s="598">
        <v>2.0501932399120681</v>
      </c>
      <c r="J233" s="598">
        <v>1.5769595944058536</v>
      </c>
      <c r="K233" s="397"/>
    </row>
    <row r="234" spans="1:13" ht="15.75">
      <c r="A234" s="596" t="s">
        <v>29</v>
      </c>
      <c r="B234" s="597">
        <v>29185.8075723</v>
      </c>
      <c r="C234" s="597">
        <v>20305.478031890001</v>
      </c>
      <c r="D234" s="597">
        <v>17864.586730620002</v>
      </c>
      <c r="E234" s="597">
        <v>10773.38561295</v>
      </c>
      <c r="F234" s="590">
        <f t="shared" si="38"/>
        <v>7091.2011176700016</v>
      </c>
      <c r="G234" s="590">
        <f t="shared" si="39"/>
        <v>2440.8913012699995</v>
      </c>
      <c r="H234" s="590">
        <f t="shared" si="40"/>
        <v>8880.329540409999</v>
      </c>
      <c r="I234" s="598">
        <v>1.9388848083418642</v>
      </c>
      <c r="J234" s="598">
        <v>1.4969939642453578</v>
      </c>
      <c r="K234" s="397"/>
    </row>
    <row r="235" spans="1:13" ht="15.75">
      <c r="A235" s="596" t="s">
        <v>2523</v>
      </c>
      <c r="B235" s="599">
        <v>34646.641486510001</v>
      </c>
      <c r="C235" s="599">
        <v>23874.89363441</v>
      </c>
      <c r="D235" s="599">
        <v>20572.53776404</v>
      </c>
      <c r="E235" s="599">
        <v>10940.841220230001</v>
      </c>
      <c r="F235" s="604">
        <v>9631.6965438099996</v>
      </c>
      <c r="G235" s="604">
        <v>3302.35587037</v>
      </c>
      <c r="H235" s="607">
        <v>10771.747852100001</v>
      </c>
      <c r="I235" s="605">
        <v>1.7532477398525235</v>
      </c>
      <c r="J235" s="605">
        <v>1.3310004789895935</v>
      </c>
      <c r="K235" s="398"/>
      <c r="L235" s="8"/>
      <c r="M235" s="8"/>
    </row>
    <row r="236" spans="1:13" ht="15.75">
      <c r="A236" s="596" t="s">
        <v>18</v>
      </c>
      <c r="B236" s="597">
        <v>28112.278405040001</v>
      </c>
      <c r="C236" s="597">
        <v>19488.342999029999</v>
      </c>
      <c r="D236" s="597">
        <v>16944.07643614</v>
      </c>
      <c r="E236" s="597">
        <v>10329.90163409</v>
      </c>
      <c r="F236" s="590">
        <f t="shared" ref="F236" si="41">+D236-E236</f>
        <v>6614.1748020499999</v>
      </c>
      <c r="G236" s="590">
        <f t="shared" si="39"/>
        <v>2544.2665628899995</v>
      </c>
      <c r="H236" s="590">
        <f t="shared" ref="H236:H241" si="42">+B236-C236</f>
        <v>8623.9354060100013</v>
      </c>
      <c r="I236" s="598">
        <v>1.9924689886539917</v>
      </c>
      <c r="J236" s="598">
        <v>1.5246658343751338</v>
      </c>
      <c r="K236" s="398">
        <f>C236/M236</f>
        <v>1.5246658343751338</v>
      </c>
      <c r="L236" s="8">
        <f>'2.5'!B229</f>
        <v>14109.267730200003</v>
      </c>
      <c r="M236" s="8">
        <f>'2.5'!C229</f>
        <v>12782.042175830002</v>
      </c>
    </row>
    <row r="237" spans="1:13" ht="15.75">
      <c r="A237" s="596" t="s">
        <v>19</v>
      </c>
      <c r="B237" s="597">
        <v>28578.033526200001</v>
      </c>
      <c r="C237" s="597">
        <v>19587.868783220001</v>
      </c>
      <c r="D237" s="597">
        <v>16988.62193601</v>
      </c>
      <c r="E237" s="597">
        <v>10457.955805019999</v>
      </c>
      <c r="F237" s="590">
        <f t="shared" ref="F237" si="43">+D237-E237</f>
        <v>6530.666130990001</v>
      </c>
      <c r="G237" s="590">
        <f t="shared" ref="G237" si="44">+C237-D237</f>
        <v>2599.2468472100009</v>
      </c>
      <c r="H237" s="590">
        <f t="shared" si="42"/>
        <v>8990.1647429799996</v>
      </c>
      <c r="I237" s="598">
        <f t="shared" ref="I237:I247" si="45">B237/L237</f>
        <v>2.0198668428621835</v>
      </c>
      <c r="J237" s="598">
        <f t="shared" ref="J237:J247" si="46">C237/M237</f>
        <v>1.5228077324598714</v>
      </c>
      <c r="K237" s="397"/>
      <c r="L237" s="8">
        <f>'2.5'!B230</f>
        <v>14148.474008169998</v>
      </c>
      <c r="M237" s="8">
        <f>'2.5'!C230</f>
        <v>12862.995351079999</v>
      </c>
    </row>
    <row r="238" spans="1:13" ht="15.75">
      <c r="A238" s="596" t="s">
        <v>20</v>
      </c>
      <c r="B238" s="597">
        <v>29299.494618340002</v>
      </c>
      <c r="C238" s="597">
        <v>20319.899299190001</v>
      </c>
      <c r="D238" s="597">
        <v>17633.320740970001</v>
      </c>
      <c r="E238" s="597">
        <v>10589.623156830001</v>
      </c>
      <c r="F238" s="590">
        <f t="shared" ref="F238" si="47">+D238-E238</f>
        <v>7043.6975841399999</v>
      </c>
      <c r="G238" s="590">
        <f t="shared" ref="G238" si="48">+C238-D238</f>
        <v>2686.5785582200006</v>
      </c>
      <c r="H238" s="590">
        <f t="shared" si="42"/>
        <v>8979.5953191500012</v>
      </c>
      <c r="I238" s="598">
        <f t="shared" si="45"/>
        <v>1.976891666496343</v>
      </c>
      <c r="J238" s="598">
        <f t="shared" si="46"/>
        <v>1.5260945671909625</v>
      </c>
      <c r="K238" s="397"/>
      <c r="L238" s="8">
        <f>'2.5'!B231</f>
        <v>14820.991516580003</v>
      </c>
      <c r="M238" s="8">
        <f>'2.5'!C231</f>
        <v>13314.967326430002</v>
      </c>
    </row>
    <row r="239" spans="1:13" ht="15.75">
      <c r="A239" s="596" t="s">
        <v>21</v>
      </c>
      <c r="B239" s="597">
        <v>29753.875841000001</v>
      </c>
      <c r="C239" s="597">
        <v>20889.349868739999</v>
      </c>
      <c r="D239" s="597">
        <v>18075.243998049998</v>
      </c>
      <c r="E239" s="597">
        <v>10555.483952099999</v>
      </c>
      <c r="F239" s="590">
        <f t="shared" ref="F239" si="49">+D239-E239</f>
        <v>7519.760045949999</v>
      </c>
      <c r="G239" s="590">
        <f t="shared" ref="G239" si="50">+C239-D239</f>
        <v>2814.1058706900003</v>
      </c>
      <c r="H239" s="590">
        <f t="shared" si="42"/>
        <v>8864.5259722600022</v>
      </c>
      <c r="I239" s="598">
        <f t="shared" si="45"/>
        <v>2.0250624189859265</v>
      </c>
      <c r="J239" s="598">
        <f t="shared" si="46"/>
        <v>1.5728055932403093</v>
      </c>
      <c r="K239" s="397"/>
      <c r="L239" s="8">
        <f>'2.5'!B232</f>
        <v>14692.819125990001</v>
      </c>
      <c r="M239" s="8">
        <f>'2.5'!C232</f>
        <v>13281.584169410002</v>
      </c>
    </row>
    <row r="240" spans="1:13" ht="15.75">
      <c r="A240" s="596" t="s">
        <v>22</v>
      </c>
      <c r="B240" s="597">
        <v>30456.969707119999</v>
      </c>
      <c r="C240" s="597">
        <v>21612.49612172</v>
      </c>
      <c r="D240" s="597">
        <v>18735.663815849999</v>
      </c>
      <c r="E240" s="597">
        <v>10654.934174459999</v>
      </c>
      <c r="F240" s="590">
        <f t="shared" ref="F240:F241" si="51">+D240-E240</f>
        <v>8080.7296413900003</v>
      </c>
      <c r="G240" s="590">
        <f t="shared" ref="G240" si="52">+C240-D240</f>
        <v>2876.8323058700007</v>
      </c>
      <c r="H240" s="590">
        <f t="shared" si="42"/>
        <v>8844.4735853999991</v>
      </c>
      <c r="I240" s="598">
        <f t="shared" si="45"/>
        <v>2.0050741705146065</v>
      </c>
      <c r="J240" s="598">
        <f t="shared" si="46"/>
        <v>1.5597071535724181</v>
      </c>
      <c r="K240" s="397"/>
      <c r="L240" s="8">
        <f>'2.5'!B233</f>
        <v>15189.946663819999</v>
      </c>
      <c r="M240" s="8">
        <f>'2.5'!C233</f>
        <v>13856.76540126</v>
      </c>
    </row>
    <row r="241" spans="1:13" ht="15.75">
      <c r="A241" s="596" t="s">
        <v>23</v>
      </c>
      <c r="B241" s="597">
        <v>30293.936078300005</v>
      </c>
      <c r="C241" s="597">
        <v>21480.734456599999</v>
      </c>
      <c r="D241" s="597">
        <v>18542.401700269998</v>
      </c>
      <c r="E241" s="597">
        <v>10737.548461589999</v>
      </c>
      <c r="F241" s="590">
        <f t="shared" si="51"/>
        <v>7804.8532386799998</v>
      </c>
      <c r="G241" s="590">
        <f t="shared" ref="G241" si="53">+C241-D241</f>
        <v>2938.3327563300008</v>
      </c>
      <c r="H241" s="590">
        <f t="shared" si="42"/>
        <v>8813.2016217000055</v>
      </c>
      <c r="I241" s="598">
        <f t="shared" si="45"/>
        <v>1.9953953990807178</v>
      </c>
      <c r="J241" s="598">
        <f t="shared" si="46"/>
        <v>1.5562392057055507</v>
      </c>
      <c r="K241" s="397"/>
      <c r="L241" s="8">
        <f>'2.5'!B234</f>
        <v>15181.921383729999</v>
      </c>
      <c r="M241" s="8">
        <f>'2.5'!C234</f>
        <v>13802.977317270001</v>
      </c>
    </row>
    <row r="242" spans="1:13" ht="15.75">
      <c r="A242" s="596" t="s">
        <v>24</v>
      </c>
      <c r="B242" s="597">
        <v>31507.316668150001</v>
      </c>
      <c r="C242" s="597">
        <v>21840.937861350001</v>
      </c>
      <c r="D242" s="597">
        <v>18791.42961444</v>
      </c>
      <c r="E242" s="597">
        <v>11049.627339399998</v>
      </c>
      <c r="F242" s="590">
        <f t="shared" ref="F242" si="54">+D242-E242</f>
        <v>7741.8022750400014</v>
      </c>
      <c r="G242" s="590">
        <f t="shared" ref="G242" si="55">+C242-D242</f>
        <v>3049.5082469100016</v>
      </c>
      <c r="H242" s="590">
        <f t="shared" ref="H242" si="56">+B242-C242</f>
        <v>9666.3788067999994</v>
      </c>
      <c r="I242" s="598">
        <f t="shared" si="45"/>
        <v>2.0140423193477539</v>
      </c>
      <c r="J242" s="598">
        <f t="shared" si="46"/>
        <v>1.5366458412827888</v>
      </c>
      <c r="K242" s="397"/>
      <c r="L242" s="8">
        <f>'2.5'!B235</f>
        <v>15643.82057193</v>
      </c>
      <c r="M242" s="8">
        <f>'2.5'!C235</f>
        <v>14213.38429102</v>
      </c>
    </row>
    <row r="243" spans="1:13" ht="15.75">
      <c r="A243" s="596" t="s">
        <v>25</v>
      </c>
      <c r="B243" s="597">
        <v>31289.157555910002</v>
      </c>
      <c r="C243" s="597">
        <v>21946.90603559</v>
      </c>
      <c r="D243" s="597">
        <v>18944.11376144</v>
      </c>
      <c r="E243" s="597">
        <v>10989.504211420001</v>
      </c>
      <c r="F243" s="590">
        <f t="shared" ref="F243" si="57">+D243-E243</f>
        <v>7954.609550019999</v>
      </c>
      <c r="G243" s="590">
        <f t="shared" ref="G243" si="58">+C243-D243</f>
        <v>3002.7922741500006</v>
      </c>
      <c r="H243" s="590">
        <f t="shared" ref="H243" si="59">+B243-C243</f>
        <v>9342.2515203200019</v>
      </c>
      <c r="I243" s="598">
        <f t="shared" si="45"/>
        <v>2.0238485040374763</v>
      </c>
      <c r="J243" s="598">
        <f t="shared" si="46"/>
        <v>1.548574106929232</v>
      </c>
      <c r="K243" s="397"/>
      <c r="L243" s="8">
        <f>'2.5'!B236</f>
        <v>15460.227133350001</v>
      </c>
      <c r="M243" s="8">
        <f>'2.5'!C236</f>
        <v>14172.33178405</v>
      </c>
    </row>
    <row r="244" spans="1:13" ht="15.75">
      <c r="A244" s="596" t="s">
        <v>26</v>
      </c>
      <c r="B244" s="597">
        <v>32212.136309789996</v>
      </c>
      <c r="C244" s="597">
        <v>22407.213064970001</v>
      </c>
      <c r="D244" s="597">
        <v>19265.41110012</v>
      </c>
      <c r="E244" s="597">
        <v>11039.448140099999</v>
      </c>
      <c r="F244" s="590">
        <f t="shared" ref="F244:F245" si="60">+D244-E244</f>
        <v>8225.9629600200005</v>
      </c>
      <c r="G244" s="590">
        <f t="shared" ref="G244:G245" si="61">+C244-D244</f>
        <v>3141.8019648500012</v>
      </c>
      <c r="H244" s="590">
        <f t="shared" ref="H244:H245" si="62">+B244-C244</f>
        <v>9804.9232448199946</v>
      </c>
      <c r="I244" s="598">
        <f t="shared" si="45"/>
        <v>2.0485030504744803</v>
      </c>
      <c r="J244" s="598">
        <f t="shared" si="46"/>
        <v>1.5454591902739705</v>
      </c>
      <c r="K244" s="397"/>
      <c r="L244" s="8">
        <f>'2.5'!B237</f>
        <v>15724.71971781</v>
      </c>
      <c r="M244" s="8">
        <f>'2.5'!C237</f>
        <v>14498.74134884</v>
      </c>
    </row>
    <row r="245" spans="1:13" ht="15.75">
      <c r="A245" s="596" t="s">
        <v>27</v>
      </c>
      <c r="B245" s="597">
        <v>32462.807922790002</v>
      </c>
      <c r="C245" s="597">
        <v>22578.347080030002</v>
      </c>
      <c r="D245" s="597">
        <v>19392.333370760003</v>
      </c>
      <c r="E245" s="597">
        <v>11080.009622400003</v>
      </c>
      <c r="F245" s="590">
        <f t="shared" si="60"/>
        <v>8312.3237483600005</v>
      </c>
      <c r="G245" s="590">
        <f t="shared" si="61"/>
        <v>3186.0137092699988</v>
      </c>
      <c r="H245" s="590">
        <f t="shared" si="62"/>
        <v>9884.4608427599997</v>
      </c>
      <c r="I245" s="598">
        <f t="shared" si="45"/>
        <v>2.0206181700188752</v>
      </c>
      <c r="J245" s="598">
        <f t="shared" si="46"/>
        <v>1.5442163025354065</v>
      </c>
      <c r="K245" s="397"/>
      <c r="L245" s="8">
        <f>'2.5'!B238</f>
        <v>16065.780464840003</v>
      </c>
      <c r="M245" s="8">
        <f>'2.5'!C238</f>
        <v>14621.233465130003</v>
      </c>
    </row>
    <row r="246" spans="1:13" ht="15.75">
      <c r="A246" s="596" t="s">
        <v>28</v>
      </c>
      <c r="B246" s="597">
        <v>33031.295621280005</v>
      </c>
      <c r="C246" s="597">
        <v>22743.669427119996</v>
      </c>
      <c r="D246" s="597">
        <v>19513.868746059998</v>
      </c>
      <c r="E246" s="597">
        <v>10852.38754025</v>
      </c>
      <c r="F246" s="590">
        <f t="shared" ref="F246" si="63">+D246-E246</f>
        <v>8661.4812058099978</v>
      </c>
      <c r="G246" s="590">
        <f t="shared" ref="G246" si="64">+C246-D246</f>
        <v>3229.8006810599982</v>
      </c>
      <c r="H246" s="590">
        <f t="shared" ref="H246" si="65">+B246-C246</f>
        <v>10287.62619416001</v>
      </c>
      <c r="I246" s="598">
        <f t="shared" si="45"/>
        <v>2.1328178779332885</v>
      </c>
      <c r="J246" s="598">
        <f t="shared" si="46"/>
        <v>1.5927940635499249</v>
      </c>
      <c r="K246" s="397"/>
      <c r="L246" s="8">
        <f>'2.5'!B239</f>
        <v>15487.161826160002</v>
      </c>
      <c r="M246" s="8">
        <f>'2.5'!C239</f>
        <v>14279.102331930002</v>
      </c>
    </row>
    <row r="247" spans="1:13" ht="15.75">
      <c r="A247" s="596" t="s">
        <v>29</v>
      </c>
      <c r="B247" s="597">
        <v>34646.641486510001</v>
      </c>
      <c r="C247" s="597">
        <v>23874.89363441</v>
      </c>
      <c r="D247" s="597">
        <v>20572.53776404</v>
      </c>
      <c r="E247" s="597">
        <v>10940.841220230001</v>
      </c>
      <c r="F247" s="590">
        <f t="shared" ref="F247:F273" si="66">+D247-E247</f>
        <v>9631.6965438099996</v>
      </c>
      <c r="G247" s="590">
        <f t="shared" ref="G247:G273" si="67">+C247-D247</f>
        <v>3302.35587037</v>
      </c>
      <c r="H247" s="590">
        <f t="shared" ref="H247:H260" si="68">+B247-C247</f>
        <v>10771.747852100001</v>
      </c>
      <c r="I247" s="598">
        <f t="shared" si="45"/>
        <v>1.7532477398525235</v>
      </c>
      <c r="J247" s="598">
        <f t="shared" si="46"/>
        <v>1.3310004789895935</v>
      </c>
      <c r="K247" s="397"/>
      <c r="L247" s="8">
        <f>'2.5'!B240</f>
        <v>19761.4066164</v>
      </c>
      <c r="M247" s="8">
        <f>'2.5'!C240</f>
        <v>17937.554502260002</v>
      </c>
    </row>
    <row r="248" spans="1:13" ht="15.75">
      <c r="A248" s="596" t="s">
        <v>2812</v>
      </c>
      <c r="B248" s="599">
        <v>42824.929994710001</v>
      </c>
      <c r="C248" s="599">
        <v>29565.60384879</v>
      </c>
      <c r="D248" s="599">
        <v>25365.805405030005</v>
      </c>
      <c r="E248" s="599">
        <v>13297.493267379999</v>
      </c>
      <c r="F248" s="1244">
        <f t="shared" si="66"/>
        <v>12068.312137650006</v>
      </c>
      <c r="G248" s="1244">
        <f t="shared" si="67"/>
        <v>4199.7984437599953</v>
      </c>
      <c r="H248" s="1244">
        <f t="shared" si="68"/>
        <v>13259.32614592</v>
      </c>
      <c r="I248" s="605">
        <v>2.0490141781273299</v>
      </c>
      <c r="J248" s="605">
        <v>1.6933069359993795</v>
      </c>
      <c r="K248" s="397"/>
      <c r="L248" s="8"/>
      <c r="M248" s="8"/>
    </row>
    <row r="249" spans="1:13" ht="15.75">
      <c r="A249" s="596" t="s">
        <v>18</v>
      </c>
      <c r="B249" s="597">
        <v>34647.601212809997</v>
      </c>
      <c r="C249" s="597">
        <v>23113.733211639999</v>
      </c>
      <c r="D249" s="597">
        <v>19761.854880719999</v>
      </c>
      <c r="E249" s="597">
        <v>10284.268519800002</v>
      </c>
      <c r="F249" s="590">
        <f t="shared" si="66"/>
        <v>9477.5863609199969</v>
      </c>
      <c r="G249" s="590">
        <f t="shared" si="67"/>
        <v>3351.8783309200007</v>
      </c>
      <c r="H249" s="590">
        <f t="shared" si="68"/>
        <v>11533.868001169998</v>
      </c>
      <c r="I249" s="598">
        <f t="shared" ref="I249:I258" si="69">B249/L249</f>
        <v>2.2467501489451283</v>
      </c>
      <c r="J249" s="598">
        <f t="shared" ref="J249:J258" si="70">C249/M249</f>
        <v>1.6457792395193094</v>
      </c>
      <c r="K249" s="397"/>
      <c r="L249" s="8">
        <f>'2.5'!B242</f>
        <v>15421.207929630002</v>
      </c>
      <c r="M249" s="8">
        <f>'2.5'!C242</f>
        <v>14044.248861950002</v>
      </c>
    </row>
    <row r="250" spans="1:13" ht="15.75">
      <c r="A250" s="596" t="s">
        <v>19</v>
      </c>
      <c r="B250" s="597">
        <v>33884.104274700003</v>
      </c>
      <c r="C250" s="597">
        <v>23010.41155588</v>
      </c>
      <c r="D250" s="597">
        <v>19632.115868050001</v>
      </c>
      <c r="E250" s="597">
        <v>10482.60273024</v>
      </c>
      <c r="F250" s="590">
        <f t="shared" si="66"/>
        <v>9149.5131378100014</v>
      </c>
      <c r="G250" s="590">
        <f t="shared" si="67"/>
        <v>3378.2956878299992</v>
      </c>
      <c r="H250" s="590">
        <f t="shared" si="68"/>
        <v>10873.692718820002</v>
      </c>
      <c r="I250" s="598">
        <f t="shared" si="69"/>
        <v>2.2047240010252094</v>
      </c>
      <c r="J250" s="598">
        <f t="shared" si="70"/>
        <v>1.6500096878626571</v>
      </c>
      <c r="K250" s="397"/>
      <c r="L250" s="8">
        <v>15368.86442881</v>
      </c>
      <c r="M250" s="8">
        <v>13945.622092490001</v>
      </c>
    </row>
    <row r="251" spans="1:13" ht="15.75">
      <c r="A251" s="596" t="s">
        <v>20</v>
      </c>
      <c r="B251" s="597">
        <v>34910.528772350001</v>
      </c>
      <c r="C251" s="597">
        <v>23597.133387610003</v>
      </c>
      <c r="D251" s="597">
        <v>20249.671750380003</v>
      </c>
      <c r="E251" s="597">
        <v>10525.19638263</v>
      </c>
      <c r="F251" s="590">
        <f t="shared" si="66"/>
        <v>9724.475367750003</v>
      </c>
      <c r="G251" s="590">
        <f t="shared" si="67"/>
        <v>3347.4616372300006</v>
      </c>
      <c r="H251" s="590">
        <f t="shared" si="68"/>
        <v>11313.395384739997</v>
      </c>
      <c r="I251" s="598">
        <f t="shared" si="69"/>
        <v>2.1281763781096026</v>
      </c>
      <c r="J251" s="598">
        <f t="shared" si="70"/>
        <v>1.6433020761461905</v>
      </c>
      <c r="K251" s="397"/>
      <c r="L251" s="8">
        <v>16403.964037680002</v>
      </c>
      <c r="M251" s="8">
        <v>14359.583505760002</v>
      </c>
    </row>
    <row r="252" spans="1:13" ht="15.75">
      <c r="A252" s="596" t="s">
        <v>21</v>
      </c>
      <c r="B252" s="597">
        <v>35638.818680690005</v>
      </c>
      <c r="C252" s="597">
        <v>24214.973517330007</v>
      </c>
      <c r="D252" s="597">
        <v>20796.869242420005</v>
      </c>
      <c r="E252" s="597">
        <v>10835.501029360003</v>
      </c>
      <c r="F252" s="590">
        <f t="shared" si="66"/>
        <v>9961.3682130600027</v>
      </c>
      <c r="G252" s="590">
        <f t="shared" si="67"/>
        <v>3418.1042749100015</v>
      </c>
      <c r="H252" s="590">
        <f t="shared" si="68"/>
        <v>11423.845163359998</v>
      </c>
      <c r="I252" s="598">
        <f t="shared" si="69"/>
        <v>2.2256465414616131</v>
      </c>
      <c r="J252" s="598">
        <f t="shared" si="70"/>
        <v>1.6625984899654147</v>
      </c>
      <c r="K252" s="397"/>
      <c r="L252" s="8">
        <v>16012.793593580001</v>
      </c>
      <c r="M252" s="8">
        <v>14564.534771010003</v>
      </c>
    </row>
    <row r="253" spans="1:13" ht="15.75">
      <c r="A253" s="596" t="s">
        <v>22</v>
      </c>
      <c r="B253" s="597">
        <v>37001.113740070003</v>
      </c>
      <c r="C253" s="597">
        <v>25371.124111100002</v>
      </c>
      <c r="D253" s="597">
        <v>21888.373005880003</v>
      </c>
      <c r="E253" s="597">
        <v>11252.010695250001</v>
      </c>
      <c r="F253" s="590">
        <f t="shared" si="66"/>
        <v>10636.362310630002</v>
      </c>
      <c r="G253" s="590">
        <f t="shared" si="67"/>
        <v>3482.7511052199989</v>
      </c>
      <c r="H253" s="590">
        <f t="shared" si="68"/>
        <v>11629.989628970001</v>
      </c>
      <c r="I253" s="598">
        <f t="shared" si="69"/>
        <v>2.1733384371024034</v>
      </c>
      <c r="J253" s="598">
        <f t="shared" si="70"/>
        <v>1.7046378256910242</v>
      </c>
      <c r="K253" s="397"/>
      <c r="L253" s="8">
        <v>17025.012353530001</v>
      </c>
      <c r="M253" s="8">
        <v>14883.586254350002</v>
      </c>
    </row>
    <row r="254" spans="1:13" ht="15.75">
      <c r="A254" s="596" t="s">
        <v>23</v>
      </c>
      <c r="B254" s="597">
        <v>38290.368884790005</v>
      </c>
      <c r="C254" s="597">
        <v>26164.281564559999</v>
      </c>
      <c r="D254" s="597">
        <v>22549.767804349998</v>
      </c>
      <c r="E254" s="597">
        <v>11712.44285928</v>
      </c>
      <c r="F254" s="590">
        <f t="shared" si="66"/>
        <v>10837.324945069999</v>
      </c>
      <c r="G254" s="590">
        <f t="shared" si="67"/>
        <v>3614.5137602100003</v>
      </c>
      <c r="H254" s="590">
        <f t="shared" si="68"/>
        <v>12126.087320230006</v>
      </c>
      <c r="I254" s="598">
        <f t="shared" si="69"/>
        <v>2.1841757840658316</v>
      </c>
      <c r="J254" s="598">
        <f t="shared" si="70"/>
        <v>1.671538241068693</v>
      </c>
      <c r="K254" s="397"/>
      <c r="L254" s="8">
        <v>17530.809179430002</v>
      </c>
      <c r="M254" s="8">
        <v>15652.816622270002</v>
      </c>
    </row>
    <row r="255" spans="1:13" ht="15.75">
      <c r="A255" s="596" t="s">
        <v>24</v>
      </c>
      <c r="B255" s="597">
        <v>38257.376641509996</v>
      </c>
      <c r="C255" s="597">
        <v>26265.92058921</v>
      </c>
      <c r="D255" s="597">
        <v>22448.756854389998</v>
      </c>
      <c r="E255" s="597">
        <v>12146.521917949998</v>
      </c>
      <c r="F255" s="590">
        <f t="shared" si="66"/>
        <v>10302.23493644</v>
      </c>
      <c r="G255" s="590">
        <f t="shared" si="67"/>
        <v>3817.163734820002</v>
      </c>
      <c r="H255" s="590">
        <f t="shared" si="68"/>
        <v>11991.456052299996</v>
      </c>
      <c r="I255" s="598">
        <f t="shared" si="69"/>
        <v>2.1236399188992197</v>
      </c>
      <c r="J255" s="598">
        <f t="shared" si="70"/>
        <v>1.6293552760477843</v>
      </c>
      <c r="K255" s="397"/>
      <c r="L255" s="8">
        <v>18015.001649310001</v>
      </c>
      <c r="M255" s="8">
        <v>16120.4379274</v>
      </c>
    </row>
    <row r="256" spans="1:13" ht="15.75">
      <c r="A256" s="596" t="s">
        <v>25</v>
      </c>
      <c r="B256" s="597">
        <v>39064.86572604</v>
      </c>
      <c r="C256" s="597">
        <v>26973.767824449998</v>
      </c>
      <c r="D256" s="597">
        <v>23066.441070699999</v>
      </c>
      <c r="E256" s="597">
        <v>12169.26614639</v>
      </c>
      <c r="F256" s="590">
        <f t="shared" si="66"/>
        <v>10897.174924309998</v>
      </c>
      <c r="G256" s="590">
        <f t="shared" si="67"/>
        <v>3907.3267537499996</v>
      </c>
      <c r="H256" s="590">
        <f t="shared" si="68"/>
        <v>12091.097901590001</v>
      </c>
      <c r="I256" s="598">
        <f t="shared" si="69"/>
        <v>2.187857240117987</v>
      </c>
      <c r="J256" s="598">
        <f t="shared" si="70"/>
        <v>1.6645512440632049</v>
      </c>
      <c r="K256" s="397"/>
      <c r="L256" s="8">
        <v>17855.30838563</v>
      </c>
      <c r="M256" s="8">
        <v>16204.82873126</v>
      </c>
    </row>
    <row r="257" spans="1:13" ht="15.75">
      <c r="A257" s="596" t="s">
        <v>26</v>
      </c>
      <c r="B257" s="597">
        <v>40150.421797239993</v>
      </c>
      <c r="C257" s="597">
        <v>27698.745064009996</v>
      </c>
      <c r="D257" s="597">
        <v>23717.158577019996</v>
      </c>
      <c r="E257" s="597">
        <v>12301.510788199999</v>
      </c>
      <c r="F257" s="590">
        <f t="shared" si="66"/>
        <v>11415.647788819997</v>
      </c>
      <c r="G257" s="590">
        <f t="shared" si="67"/>
        <v>3981.5864869899997</v>
      </c>
      <c r="H257" s="590">
        <f t="shared" si="68"/>
        <v>12451.676733229997</v>
      </c>
      <c r="I257" s="598">
        <f t="shared" si="69"/>
        <v>2.267963316655409</v>
      </c>
      <c r="J257" s="598">
        <f t="shared" si="70"/>
        <v>1.7156394006916751</v>
      </c>
      <c r="K257" s="397"/>
      <c r="L257" s="8">
        <v>17703.294185750001</v>
      </c>
      <c r="M257" s="8">
        <v>16144.852498050001</v>
      </c>
    </row>
    <row r="258" spans="1:13" ht="15.75">
      <c r="A258" s="596" t="s">
        <v>27</v>
      </c>
      <c r="B258" s="597">
        <v>41178.167727560001</v>
      </c>
      <c r="C258" s="597">
        <v>28702.123430259999</v>
      </c>
      <c r="D258" s="597">
        <v>24636.848113879998</v>
      </c>
      <c r="E258" s="597">
        <v>12542.762842100001</v>
      </c>
      <c r="F258" s="590">
        <f t="shared" si="66"/>
        <v>12094.085271779997</v>
      </c>
      <c r="G258" s="590">
        <f t="shared" si="67"/>
        <v>4065.2753163800007</v>
      </c>
      <c r="H258" s="590">
        <f t="shared" si="68"/>
        <v>12476.044297300003</v>
      </c>
      <c r="I258" s="598">
        <f t="shared" si="69"/>
        <v>2.2369198643052428</v>
      </c>
      <c r="J258" s="598">
        <f t="shared" si="70"/>
        <v>1.7216808802677508</v>
      </c>
      <c r="K258" s="397"/>
      <c r="L258" s="8">
        <v>18408.423289830003</v>
      </c>
      <c r="M258" s="8">
        <v>16670.989240350005</v>
      </c>
    </row>
    <row r="259" spans="1:13" ht="15.75">
      <c r="A259" s="596" t="s">
        <v>28</v>
      </c>
      <c r="B259" s="597">
        <v>41732.480991759992</v>
      </c>
      <c r="C259" s="597">
        <v>28664.181435909999</v>
      </c>
      <c r="D259" s="597">
        <v>24532.729245579998</v>
      </c>
      <c r="E259" s="597">
        <v>12726.75383118</v>
      </c>
      <c r="F259" s="590">
        <f t="shared" si="66"/>
        <v>11805.975414399998</v>
      </c>
      <c r="G259" s="590">
        <f t="shared" si="67"/>
        <v>4131.452190330001</v>
      </c>
      <c r="H259" s="590">
        <f t="shared" si="68"/>
        <v>13068.299555849993</v>
      </c>
      <c r="I259" s="598">
        <v>2.2253080805295489</v>
      </c>
      <c r="J259" s="598">
        <v>1.7155785355340376</v>
      </c>
      <c r="K259" s="397"/>
      <c r="L259" s="8">
        <v>18753.574553070001</v>
      </c>
      <c r="M259" s="8">
        <v>16708.172107660001</v>
      </c>
    </row>
    <row r="260" spans="1:13" ht="15.75">
      <c r="A260" s="596" t="s">
        <v>29</v>
      </c>
      <c r="B260" s="597">
        <v>42824.929994710001</v>
      </c>
      <c r="C260" s="597">
        <v>29565.603848790008</v>
      </c>
      <c r="D260" s="597">
        <v>25365.805405030005</v>
      </c>
      <c r="E260" s="597">
        <v>13297.493267379999</v>
      </c>
      <c r="F260" s="590">
        <f t="shared" si="66"/>
        <v>12068.312137650006</v>
      </c>
      <c r="G260" s="590">
        <f t="shared" si="67"/>
        <v>4199.7984437600026</v>
      </c>
      <c r="H260" s="590">
        <f t="shared" si="68"/>
        <v>13259.326145919993</v>
      </c>
      <c r="I260" s="598">
        <f>B260/L260</f>
        <v>2.0490141781273317</v>
      </c>
      <c r="J260" s="598">
        <f>C260/M260</f>
        <v>1.6933069359993795</v>
      </c>
      <c r="K260" s="397"/>
      <c r="L260" s="8">
        <v>20900.260452980005</v>
      </c>
      <c r="M260" s="8">
        <v>17460.274460720004</v>
      </c>
    </row>
    <row r="261" spans="1:13" ht="15.75">
      <c r="A261" s="596" t="s">
        <v>3500</v>
      </c>
      <c r="B261" s="599">
        <v>45073.454435480002</v>
      </c>
      <c r="C261" s="599">
        <v>35371.828297100001</v>
      </c>
      <c r="D261" s="599">
        <v>29678.599827820002</v>
      </c>
      <c r="E261" s="599">
        <v>15873.293199200001</v>
      </c>
      <c r="F261" s="1244">
        <v>13805.306628620001</v>
      </c>
      <c r="G261" s="1244">
        <v>5693.2284692799985</v>
      </c>
      <c r="H261" s="1244">
        <v>9701.6261383800011</v>
      </c>
      <c r="I261" s="605">
        <v>1.8871316124945883</v>
      </c>
      <c r="J261" s="605">
        <v>1.6944433069209934</v>
      </c>
      <c r="K261" s="397"/>
      <c r="L261" s="8"/>
      <c r="M261" s="8"/>
    </row>
    <row r="262" spans="1:13" ht="15.75">
      <c r="A262" s="596" t="s">
        <v>18</v>
      </c>
      <c r="B262" s="597">
        <v>42014.817824240003</v>
      </c>
      <c r="C262" s="597">
        <v>28914.779509910004</v>
      </c>
      <c r="D262" s="597">
        <v>24707.252560940004</v>
      </c>
      <c r="E262" s="597">
        <v>13257.987665800001</v>
      </c>
      <c r="F262" s="590">
        <f t="shared" si="66"/>
        <v>11449.264895140002</v>
      </c>
      <c r="G262" s="590">
        <f t="shared" si="67"/>
        <v>4207.5269489700004</v>
      </c>
      <c r="H262" s="590">
        <f t="shared" ref="H262:H273" si="71">+B262-C262</f>
        <v>13100.038314329999</v>
      </c>
      <c r="I262" s="598">
        <f t="shared" ref="I262:I273" si="72">B262/L262</f>
        <v>2.2556153508226053</v>
      </c>
      <c r="J262" s="598">
        <f t="shared" ref="J262:J273" si="73">C262/M262</f>
        <v>1.7124655404975042</v>
      </c>
      <c r="K262" s="397"/>
      <c r="L262" s="8">
        <v>18626.765334310003</v>
      </c>
      <c r="M262" s="8">
        <v>16884.882542810003</v>
      </c>
    </row>
    <row r="263" spans="1:13" ht="15.75">
      <c r="A263" s="596" t="s">
        <v>19</v>
      </c>
      <c r="B263" s="597">
        <v>41733.000310439995</v>
      </c>
      <c r="C263" s="597">
        <v>29018.297662320001</v>
      </c>
      <c r="D263" s="597">
        <v>24680.764874619999</v>
      </c>
      <c r="E263" s="597">
        <v>13578.954223320001</v>
      </c>
      <c r="F263" s="590">
        <f t="shared" si="66"/>
        <v>11101.810651299998</v>
      </c>
      <c r="G263" s="590">
        <f t="shared" si="67"/>
        <v>4337.5327877000018</v>
      </c>
      <c r="H263" s="590">
        <f t="shared" si="71"/>
        <v>12714.702648119994</v>
      </c>
      <c r="I263" s="598">
        <f t="shared" si="72"/>
        <v>2.2067316166683244</v>
      </c>
      <c r="J263" s="598">
        <f t="shared" si="73"/>
        <v>1.682348336571837</v>
      </c>
      <c r="K263" s="397"/>
      <c r="L263" s="8">
        <v>18911.679152650006</v>
      </c>
      <c r="M263" s="8">
        <v>17248.685680310005</v>
      </c>
    </row>
    <row r="264" spans="1:13" ht="15.75">
      <c r="A264" s="596" t="s">
        <v>20</v>
      </c>
      <c r="B264" s="597">
        <v>41078.253379200003</v>
      </c>
      <c r="C264" s="597">
        <v>29693.952624060003</v>
      </c>
      <c r="D264" s="597">
        <v>25305.375001060002</v>
      </c>
      <c r="E264" s="597">
        <v>13688.942531370001</v>
      </c>
      <c r="F264" s="590">
        <f t="shared" si="66"/>
        <v>11616.43246969</v>
      </c>
      <c r="G264" s="590">
        <f t="shared" si="67"/>
        <v>4388.577623000001</v>
      </c>
      <c r="H264" s="590">
        <f t="shared" si="71"/>
        <v>11384.300755140001</v>
      </c>
      <c r="I264" s="598">
        <f t="shared" si="72"/>
        <v>2.1132540677791014</v>
      </c>
      <c r="J264" s="598">
        <f t="shared" si="73"/>
        <v>1.6786724976993797</v>
      </c>
      <c r="K264" s="397"/>
      <c r="L264" s="8">
        <v>19438.388410329997</v>
      </c>
      <c r="M264" s="8">
        <v>17688.949252909999</v>
      </c>
    </row>
    <row r="265" spans="1:13" ht="15.75">
      <c r="A265" s="596" t="s">
        <v>21</v>
      </c>
      <c r="B265" s="597">
        <v>41177.46987157</v>
      </c>
      <c r="C265" s="597">
        <v>30189.143619710001</v>
      </c>
      <c r="D265" s="597">
        <v>25721.310296610001</v>
      </c>
      <c r="E265" s="597">
        <v>13905.476173270001</v>
      </c>
      <c r="F265" s="590">
        <f t="shared" si="66"/>
        <v>11815.834123340001</v>
      </c>
      <c r="G265" s="590">
        <f t="shared" si="67"/>
        <v>4467.8333230999997</v>
      </c>
      <c r="H265" s="590">
        <f t="shared" si="71"/>
        <v>10988.326251859999</v>
      </c>
      <c r="I265" s="598">
        <f t="shared" si="72"/>
        <v>2.1644215064055374</v>
      </c>
      <c r="J265" s="598">
        <f t="shared" si="73"/>
        <v>1.714323418429949</v>
      </c>
      <c r="K265" s="397"/>
      <c r="L265" s="8">
        <v>19024.700017860003</v>
      </c>
      <c r="M265" s="8">
        <v>17609.946463520002</v>
      </c>
    </row>
    <row r="266" spans="1:13" ht="15.75">
      <c r="A266" s="596" t="s">
        <v>22</v>
      </c>
      <c r="B266" s="597">
        <v>41371.81975563</v>
      </c>
      <c r="C266" s="597">
        <v>30368.844427370001</v>
      </c>
      <c r="D266" s="597">
        <v>25737.90202809</v>
      </c>
      <c r="E266" s="597">
        <v>13978.7521244</v>
      </c>
      <c r="F266" s="590">
        <f t="shared" si="66"/>
        <v>11759.14990369</v>
      </c>
      <c r="G266" s="590">
        <f t="shared" si="67"/>
        <v>4630.9423992800002</v>
      </c>
      <c r="H266" s="590">
        <f t="shared" si="71"/>
        <v>11002.97532826</v>
      </c>
      <c r="I266" s="598">
        <f t="shared" si="72"/>
        <v>2.1641647968905686</v>
      </c>
      <c r="J266" s="598">
        <f t="shared" si="73"/>
        <v>1.7503185495165405</v>
      </c>
      <c r="K266" s="397"/>
      <c r="L266" s="8">
        <v>19116.760338709999</v>
      </c>
      <c r="M266" s="8">
        <v>17350.46711112</v>
      </c>
    </row>
    <row r="267" spans="1:13" ht="15.75">
      <c r="A267" s="596" t="s">
        <v>23</v>
      </c>
      <c r="B267" s="597">
        <v>41239.938644500005</v>
      </c>
      <c r="C267" s="597">
        <v>31403.953318120006</v>
      </c>
      <c r="D267" s="597">
        <v>26609.587875230005</v>
      </c>
      <c r="E267" s="597">
        <v>14534.687712530002</v>
      </c>
      <c r="F267" s="590">
        <f t="shared" si="66"/>
        <v>12074.900162700003</v>
      </c>
      <c r="G267" s="590">
        <f t="shared" si="67"/>
        <v>4794.3654428900008</v>
      </c>
      <c r="H267" s="590">
        <f t="shared" si="71"/>
        <v>9835.9853263799996</v>
      </c>
      <c r="I267" s="598">
        <f t="shared" si="72"/>
        <v>2.0657738527494414</v>
      </c>
      <c r="J267" s="598">
        <f t="shared" si="73"/>
        <v>1.7065771694203946</v>
      </c>
      <c r="K267" s="397"/>
      <c r="L267" s="8">
        <v>19963.433359180006</v>
      </c>
      <c r="M267" s="8">
        <v>18401.718879660006</v>
      </c>
    </row>
    <row r="268" spans="1:13" ht="15.75">
      <c r="A268" s="596" t="s">
        <v>24</v>
      </c>
      <c r="B268" s="597">
        <v>41070.580024740004</v>
      </c>
      <c r="C268" s="597">
        <v>31713.095934370001</v>
      </c>
      <c r="D268" s="597">
        <v>26824.884184800001</v>
      </c>
      <c r="E268" s="597">
        <v>14725.274609399999</v>
      </c>
      <c r="F268" s="590">
        <f t="shared" si="66"/>
        <v>12099.609575400002</v>
      </c>
      <c r="G268" s="590">
        <f t="shared" si="67"/>
        <v>4888.2117495700004</v>
      </c>
      <c r="H268" s="590">
        <f t="shared" si="71"/>
        <v>9357.4840903700024</v>
      </c>
      <c r="I268" s="598">
        <f t="shared" si="72"/>
        <v>2.0989970578423991</v>
      </c>
      <c r="J268" s="598">
        <f t="shared" si="73"/>
        <v>1.7365008078276136</v>
      </c>
      <c r="K268" s="397"/>
      <c r="L268" s="8">
        <v>19566.763979630003</v>
      </c>
      <c r="M268" s="8">
        <v>18262.643928190002</v>
      </c>
    </row>
    <row r="269" spans="1:13" ht="15.75">
      <c r="A269" s="596" t="s">
        <v>25</v>
      </c>
      <c r="B269" s="597">
        <v>41110.302735789999</v>
      </c>
      <c r="C269" s="597">
        <v>32027.483827460001</v>
      </c>
      <c r="D269" s="597">
        <v>26955.835413550001</v>
      </c>
      <c r="E269" s="597">
        <v>14604.80832387</v>
      </c>
      <c r="F269" s="590">
        <f t="shared" si="66"/>
        <v>12351.027089680001</v>
      </c>
      <c r="G269" s="590">
        <f t="shared" si="67"/>
        <v>5071.6484139099994</v>
      </c>
      <c r="H269" s="590">
        <f t="shared" si="71"/>
        <v>9082.8189083299985</v>
      </c>
      <c r="I269" s="598">
        <f t="shared" si="72"/>
        <v>2.0745403378096845</v>
      </c>
      <c r="J269" s="598">
        <f t="shared" si="73"/>
        <v>1.767826101846276</v>
      </c>
      <c r="K269" s="397"/>
      <c r="L269" s="8">
        <v>19816.583937430001</v>
      </c>
      <c r="M269" s="8">
        <v>18116.87461454</v>
      </c>
    </row>
    <row r="270" spans="1:13" ht="15.75">
      <c r="A270" s="596" t="s">
        <v>26</v>
      </c>
      <c r="B270" s="597">
        <v>42024.068608210007</v>
      </c>
      <c r="C270" s="597">
        <v>33180.734471010008</v>
      </c>
      <c r="D270" s="597">
        <v>27879.462798890003</v>
      </c>
      <c r="E270" s="597">
        <v>14741.89901487</v>
      </c>
      <c r="F270" s="590">
        <f t="shared" si="66"/>
        <v>13137.563784020003</v>
      </c>
      <c r="G270" s="590">
        <f t="shared" si="67"/>
        <v>5301.271672120005</v>
      </c>
      <c r="H270" s="590">
        <f t="shared" si="71"/>
        <v>8843.3341371999995</v>
      </c>
      <c r="I270" s="598">
        <f t="shared" si="72"/>
        <v>2.1625646022911087</v>
      </c>
      <c r="J270" s="598">
        <f t="shared" si="73"/>
        <v>1.8540681909888546</v>
      </c>
      <c r="K270" s="397"/>
      <c r="L270" s="8">
        <v>19432.514785309999</v>
      </c>
      <c r="M270" s="8">
        <v>17896.178054439999</v>
      </c>
    </row>
    <row r="271" spans="1:13" ht="15.75">
      <c r="A271" s="596" t="s">
        <v>27</v>
      </c>
      <c r="B271" s="597">
        <v>42894.20957888</v>
      </c>
      <c r="C271" s="597">
        <v>33433.65352688</v>
      </c>
      <c r="D271" s="597">
        <v>28076.588598260001</v>
      </c>
      <c r="E271" s="597">
        <v>14941.352366700001</v>
      </c>
      <c r="F271" s="590">
        <f t="shared" si="66"/>
        <v>13135.23623156</v>
      </c>
      <c r="G271" s="590">
        <f t="shared" si="67"/>
        <v>5357.0649286199987</v>
      </c>
      <c r="H271" s="590">
        <f t="shared" si="71"/>
        <v>9460.5560519999999</v>
      </c>
      <c r="I271" s="598">
        <f t="shared" si="72"/>
        <v>2.1495165904679179</v>
      </c>
      <c r="J271" s="598">
        <f t="shared" si="73"/>
        <v>1.8168498246545146</v>
      </c>
      <c r="K271" s="397"/>
      <c r="L271" s="8">
        <v>19955.28193134</v>
      </c>
      <c r="M271" s="8">
        <v>18401.99067264</v>
      </c>
    </row>
    <row r="272" spans="1:13" ht="15.75">
      <c r="A272" s="596" t="s">
        <v>28</v>
      </c>
      <c r="B272" s="597">
        <v>43361.764667709998</v>
      </c>
      <c r="C272" s="597">
        <v>34199.027360200002</v>
      </c>
      <c r="D272" s="597">
        <v>28673.838069500001</v>
      </c>
      <c r="E272" s="597">
        <v>15117.740253280002</v>
      </c>
      <c r="F272" s="590">
        <f t="shared" si="66"/>
        <v>13556.097816219999</v>
      </c>
      <c r="G272" s="590">
        <f t="shared" si="67"/>
        <v>5525.1892907000001</v>
      </c>
      <c r="H272" s="590">
        <f t="shared" si="71"/>
        <v>9162.7373075099968</v>
      </c>
      <c r="I272" s="598">
        <f t="shared" si="72"/>
        <v>2.1952577683464227</v>
      </c>
      <c r="J272" s="598">
        <f t="shared" si="73"/>
        <v>1.8652951097690866</v>
      </c>
      <c r="K272" s="397"/>
      <c r="L272" s="8">
        <v>19752.470663329997</v>
      </c>
      <c r="M272" s="8">
        <v>18334.378930759998</v>
      </c>
    </row>
    <row r="273" spans="1:13" ht="15.75">
      <c r="A273" s="596" t="s">
        <v>29</v>
      </c>
      <c r="B273" s="597">
        <v>45073.454435480002</v>
      </c>
      <c r="C273" s="597">
        <v>35371.828297100001</v>
      </c>
      <c r="D273" s="597">
        <v>29678.599827820002</v>
      </c>
      <c r="E273" s="597">
        <v>15873.293199200001</v>
      </c>
      <c r="F273" s="590">
        <f t="shared" si="66"/>
        <v>13805.306628620001</v>
      </c>
      <c r="G273" s="590">
        <f t="shared" si="67"/>
        <v>5693.2284692799985</v>
      </c>
      <c r="H273" s="590">
        <f t="shared" si="71"/>
        <v>9701.6261383800011</v>
      </c>
      <c r="I273" s="598">
        <f t="shared" si="72"/>
        <v>1.8871316124945883</v>
      </c>
      <c r="J273" s="598">
        <f t="shared" si="73"/>
        <v>1.6944433069209934</v>
      </c>
      <c r="K273" s="397"/>
      <c r="L273" s="8">
        <v>23884.63747682</v>
      </c>
      <c r="M273" s="8">
        <v>20875.191369710003</v>
      </c>
    </row>
    <row r="274" spans="1:13" ht="15.75">
      <c r="A274" s="596" t="s">
        <v>3971</v>
      </c>
      <c r="B274" s="599">
        <v>46494.848323629994</v>
      </c>
      <c r="C274" s="599">
        <v>36651.984366729994</v>
      </c>
      <c r="D274" s="599">
        <v>29647.168054999995</v>
      </c>
      <c r="E274" s="599">
        <v>15857.864183669997</v>
      </c>
      <c r="F274" s="1244">
        <v>13789.303871329997</v>
      </c>
      <c r="G274" s="1244">
        <v>7004.8163117299991</v>
      </c>
      <c r="H274" s="1244">
        <v>9842.8639569000006</v>
      </c>
      <c r="I274" s="605">
        <v>1.9603258468263529</v>
      </c>
      <c r="J274" s="605">
        <v>1.7522981565191937</v>
      </c>
      <c r="K274" s="397"/>
      <c r="L274" s="8"/>
      <c r="M274" s="8"/>
    </row>
    <row r="275" spans="1:13" ht="15.75">
      <c r="A275" s="596" t="s">
        <v>18</v>
      </c>
      <c r="B275" s="597">
        <v>44898.660742440006</v>
      </c>
      <c r="C275" s="597">
        <v>34235.278261960004</v>
      </c>
      <c r="D275" s="597">
        <v>28785.707060780001</v>
      </c>
      <c r="E275" s="597">
        <v>15416.519995090002</v>
      </c>
      <c r="F275" s="590">
        <f t="shared" ref="F275:F279" si="74">+D275-E275</f>
        <v>13369.187065689999</v>
      </c>
      <c r="G275" s="590">
        <f t="shared" ref="G275:G279" si="75">+C275-D275</f>
        <v>5449.5712011800024</v>
      </c>
      <c r="H275" s="590">
        <f t="shared" ref="H275:H279" si="76">+B275-C275</f>
        <v>10663.382480480002</v>
      </c>
      <c r="I275" s="598">
        <f>B275/L275</f>
        <v>1.9708098549605919</v>
      </c>
      <c r="J275" s="598">
        <f>C275/M275</f>
        <v>1.6888678265984305</v>
      </c>
      <c r="K275" s="397"/>
      <c r="L275" s="8">
        <v>22781.832874150001</v>
      </c>
      <c r="M275" s="8">
        <v>20271.14124787</v>
      </c>
    </row>
    <row r="276" spans="1:13" ht="15.75">
      <c r="A276" s="596" t="s">
        <v>19</v>
      </c>
      <c r="B276" s="597">
        <v>44762.603155069999</v>
      </c>
      <c r="C276" s="597">
        <v>34263.958200839996</v>
      </c>
      <c r="D276" s="597">
        <v>28643.007836739998</v>
      </c>
      <c r="E276" s="597">
        <v>15245.458378809999</v>
      </c>
      <c r="F276" s="590">
        <f t="shared" si="74"/>
        <v>13397.549457929999</v>
      </c>
      <c r="G276" s="590">
        <f t="shared" si="75"/>
        <v>5620.9503640999974</v>
      </c>
      <c r="H276" s="590">
        <f t="shared" si="76"/>
        <v>10498.644954230003</v>
      </c>
      <c r="I276" s="598">
        <f t="shared" ref="I276:I280" si="77">B276/L276</f>
        <v>1.9436302872303235</v>
      </c>
      <c r="J276" s="598">
        <f t="shared" ref="J276:J280" si="78">C276/M276</f>
        <v>1.7019855455115509</v>
      </c>
      <c r="K276" s="397"/>
      <c r="L276" s="8">
        <v>23030.41038677</v>
      </c>
      <c r="M276" s="8">
        <v>20131.75628383</v>
      </c>
    </row>
    <row r="277" spans="1:13" ht="15.75">
      <c r="A277" s="596" t="s">
        <v>20</v>
      </c>
      <c r="B277" s="597">
        <v>44830.313387769987</v>
      </c>
      <c r="C277" s="597">
        <v>34453.606537229993</v>
      </c>
      <c r="D277" s="597">
        <v>28698.957398339997</v>
      </c>
      <c r="E277" s="597">
        <v>15435.81402706</v>
      </c>
      <c r="F277" s="590">
        <f t="shared" si="74"/>
        <v>13263.143371279997</v>
      </c>
      <c r="G277" s="590">
        <f t="shared" si="75"/>
        <v>5754.6491388899958</v>
      </c>
      <c r="H277" s="590">
        <f t="shared" si="76"/>
        <v>10376.706850539995</v>
      </c>
      <c r="I277" s="598">
        <f t="shared" si="77"/>
        <v>1.8705236884835703</v>
      </c>
      <c r="J277" s="598">
        <f t="shared" si="78"/>
        <v>1.6892021812397753</v>
      </c>
      <c r="K277" s="397"/>
      <c r="L277" s="8">
        <v>23966.717804100001</v>
      </c>
      <c r="M277" s="8">
        <v>20396.378195500001</v>
      </c>
    </row>
    <row r="278" spans="1:13" ht="15.75">
      <c r="A278" s="596" t="s">
        <v>21</v>
      </c>
      <c r="B278" s="597">
        <v>45277.245696730002</v>
      </c>
      <c r="C278" s="597">
        <v>34268.325425640003</v>
      </c>
      <c r="D278" s="597">
        <v>28315.79526708</v>
      </c>
      <c r="E278" s="597">
        <v>15298.011487789998</v>
      </c>
      <c r="F278" s="590">
        <f t="shared" si="74"/>
        <v>13017.783779290003</v>
      </c>
      <c r="G278" s="590">
        <f t="shared" si="75"/>
        <v>5952.5301585600027</v>
      </c>
      <c r="H278" s="590">
        <f t="shared" si="76"/>
        <v>11008.920271089999</v>
      </c>
      <c r="I278" s="598">
        <f t="shared" si="77"/>
        <v>1.9773156245900489</v>
      </c>
      <c r="J278" s="598">
        <f t="shared" si="78"/>
        <v>1.7137706161920345</v>
      </c>
      <c r="K278" s="397"/>
      <c r="L278" s="8">
        <v>22898.340120140001</v>
      </c>
      <c r="M278" s="8">
        <v>19995.864733509999</v>
      </c>
    </row>
    <row r="279" spans="1:13" ht="15.75">
      <c r="A279" s="596" t="s">
        <v>22</v>
      </c>
      <c r="B279" s="597">
        <v>44847.591278859996</v>
      </c>
      <c r="C279" s="597">
        <v>34409.422908099994</v>
      </c>
      <c r="D279" s="597">
        <v>28055.807422309997</v>
      </c>
      <c r="E279" s="597">
        <v>15430.076936330002</v>
      </c>
      <c r="F279" s="590">
        <f t="shared" si="74"/>
        <v>12625.730485979995</v>
      </c>
      <c r="G279" s="590">
        <f t="shared" si="75"/>
        <v>6353.6154857899965</v>
      </c>
      <c r="H279" s="590">
        <f t="shared" si="76"/>
        <v>10438.168370760002</v>
      </c>
      <c r="I279" s="598">
        <f t="shared" si="77"/>
        <v>1.9860648129752125</v>
      </c>
      <c r="J279" s="598">
        <f t="shared" si="78"/>
        <v>1.7249532342325706</v>
      </c>
      <c r="K279" s="397"/>
      <c r="L279" s="8">
        <v>22581.131786770005</v>
      </c>
      <c r="M279" s="8">
        <v>19948.032343850005</v>
      </c>
    </row>
    <row r="280" spans="1:13" ht="15.75">
      <c r="A280" s="596" t="s">
        <v>23</v>
      </c>
      <c r="B280" s="597">
        <v>45062.316232010002</v>
      </c>
      <c r="C280" s="597">
        <v>35127.500930790004</v>
      </c>
      <c r="D280" s="597">
        <v>28556.171880630005</v>
      </c>
      <c r="E280" s="597">
        <v>15590.511889710002</v>
      </c>
      <c r="F280" s="590">
        <f t="shared" ref="F280:F286" si="79">+D280-E280</f>
        <v>12965.659990920003</v>
      </c>
      <c r="G280" s="590">
        <f t="shared" ref="G280:G286" si="80">+C280-D280</f>
        <v>6571.3290501599986</v>
      </c>
      <c r="H280" s="590">
        <f t="shared" ref="H280:H286" si="81">+B280-C280</f>
        <v>9934.8153012199982</v>
      </c>
      <c r="I280" s="598">
        <f t="shared" si="77"/>
        <v>1.9381107023056769</v>
      </c>
      <c r="J280" s="598">
        <f t="shared" si="78"/>
        <v>1.7218495419128321</v>
      </c>
      <c r="K280" s="397"/>
      <c r="L280" s="8">
        <v>23250.641038410002</v>
      </c>
      <c r="M280" s="8">
        <v>20401.02812454</v>
      </c>
    </row>
    <row r="281" spans="1:13" ht="15.75">
      <c r="A281" s="596" t="s">
        <v>24</v>
      </c>
      <c r="B281" s="597">
        <v>44920.73822395</v>
      </c>
      <c r="C281" s="597">
        <v>35452.560310510002</v>
      </c>
      <c r="D281" s="597">
        <v>28648.212403360005</v>
      </c>
      <c r="E281" s="597">
        <v>15901.152510210004</v>
      </c>
      <c r="F281" s="590">
        <f t="shared" si="79"/>
        <v>12747.059893150001</v>
      </c>
      <c r="G281" s="590">
        <f t="shared" si="80"/>
        <v>6804.3479071499969</v>
      </c>
      <c r="H281" s="590">
        <f t="shared" si="81"/>
        <v>9468.1779134399985</v>
      </c>
      <c r="I281" s="598">
        <f t="shared" ref="I281:I286" si="82">B281/L281</f>
        <v>1.9203449549669445</v>
      </c>
      <c r="J281" s="598">
        <f t="shared" ref="J281:J286" si="83">C281/M281</f>
        <v>1.7100834935276163</v>
      </c>
      <c r="K281" s="397"/>
      <c r="L281" s="8">
        <v>23392.01512091</v>
      </c>
      <c r="M281" s="8">
        <v>20731.47916151</v>
      </c>
    </row>
    <row r="282" spans="1:13" ht="15.75">
      <c r="A282" s="596" t="s">
        <v>25</v>
      </c>
      <c r="B282" s="597">
        <v>45021.338126799994</v>
      </c>
      <c r="C282" s="597">
        <v>35273.357112379999</v>
      </c>
      <c r="D282" s="597">
        <v>28306.431263720002</v>
      </c>
      <c r="E282" s="597">
        <v>15896.400670950003</v>
      </c>
      <c r="F282" s="590">
        <f t="shared" si="79"/>
        <v>12410.030592769999</v>
      </c>
      <c r="G282" s="590">
        <f t="shared" si="80"/>
        <v>6966.9258486599974</v>
      </c>
      <c r="H282" s="590">
        <f t="shared" si="81"/>
        <v>9747.9810144199946</v>
      </c>
      <c r="I282" s="598">
        <f t="shared" si="82"/>
        <v>1.9401222255873949</v>
      </c>
      <c r="J282" s="598">
        <f t="shared" si="83"/>
        <v>1.7164667591923182</v>
      </c>
      <c r="K282" s="397"/>
      <c r="L282" s="8">
        <v>23205.413315220001</v>
      </c>
      <c r="M282" s="8">
        <v>20549.979732190004</v>
      </c>
    </row>
    <row r="283" spans="1:13" ht="15.75">
      <c r="A283" s="596" t="s">
        <v>26</v>
      </c>
      <c r="B283" s="597">
        <v>45586.459745669999</v>
      </c>
      <c r="C283" s="597">
        <v>35772.72729391</v>
      </c>
      <c r="D283" s="597">
        <v>28692.306231510003</v>
      </c>
      <c r="E283" s="597">
        <v>15831.35940189</v>
      </c>
      <c r="F283" s="590">
        <f t="shared" si="79"/>
        <v>12860.946829620003</v>
      </c>
      <c r="G283" s="590">
        <f t="shared" si="80"/>
        <v>7080.421062399997</v>
      </c>
      <c r="H283" s="590">
        <f t="shared" si="81"/>
        <v>9813.7324517599991</v>
      </c>
      <c r="I283" s="598">
        <f t="shared" si="82"/>
        <v>1.9406498606972855</v>
      </c>
      <c r="J283" s="598">
        <f t="shared" si="83"/>
        <v>1.7118254623163764</v>
      </c>
      <c r="K283" s="397"/>
      <c r="L283" s="8">
        <v>23490.306349900002</v>
      </c>
      <c r="M283" s="8">
        <v>20897.415117020002</v>
      </c>
    </row>
    <row r="284" spans="1:13" ht="15.75">
      <c r="A284" s="596" t="s">
        <v>27</v>
      </c>
      <c r="B284" s="597">
        <v>44452.631334509992</v>
      </c>
      <c r="C284" s="597">
        <v>34624.966100289996</v>
      </c>
      <c r="D284" s="597">
        <v>27426.390885779998</v>
      </c>
      <c r="E284" s="597">
        <v>15748.481850729999</v>
      </c>
      <c r="F284" s="590">
        <f t="shared" si="79"/>
        <v>11677.909035049999</v>
      </c>
      <c r="G284" s="590">
        <f t="shared" si="80"/>
        <v>7198.5752145099977</v>
      </c>
      <c r="H284" s="590">
        <f t="shared" si="81"/>
        <v>9827.6652342199959</v>
      </c>
      <c r="I284" s="598">
        <f t="shared" si="82"/>
        <v>1.9577826279265036</v>
      </c>
      <c r="J284" s="598">
        <f t="shared" si="83"/>
        <v>1.6910935006788095</v>
      </c>
      <c r="K284" s="397"/>
      <c r="L284" s="8">
        <v>22705.601071549998</v>
      </c>
      <c r="M284" s="8">
        <v>20474.897506489997</v>
      </c>
    </row>
    <row r="285" spans="1:13" ht="15.75">
      <c r="A285" s="596" t="s">
        <v>28</v>
      </c>
      <c r="B285" s="597">
        <v>44691.836761690007</v>
      </c>
      <c r="C285" s="597">
        <v>34639.020912670007</v>
      </c>
      <c r="D285" s="597">
        <v>27704.862173300004</v>
      </c>
      <c r="E285" s="597">
        <v>15613.937850850001</v>
      </c>
      <c r="F285" s="590">
        <f t="shared" si="79"/>
        <v>12090.924322450002</v>
      </c>
      <c r="G285" s="590">
        <f t="shared" si="80"/>
        <v>6934.1587393700029</v>
      </c>
      <c r="H285" s="590">
        <f t="shared" si="81"/>
        <v>10052.81584902</v>
      </c>
      <c r="I285" s="598">
        <f t="shared" si="82"/>
        <v>1.9368735693189791</v>
      </c>
      <c r="J285" s="598">
        <f t="shared" si="83"/>
        <v>1.6833992375649702</v>
      </c>
      <c r="K285" s="397"/>
      <c r="L285" s="8">
        <v>23074.21479111</v>
      </c>
      <c r="M285" s="8">
        <v>20576.83058166</v>
      </c>
    </row>
    <row r="286" spans="1:13" ht="15.75">
      <c r="A286" s="596" t="s">
        <v>29</v>
      </c>
      <c r="B286" s="597">
        <v>46494.848323629994</v>
      </c>
      <c r="C286" s="597">
        <v>36651.984366729994</v>
      </c>
      <c r="D286" s="597">
        <v>29647.168054999995</v>
      </c>
      <c r="E286" s="597">
        <v>15857.864183669997</v>
      </c>
      <c r="F286" s="590">
        <f t="shared" si="79"/>
        <v>13789.303871329997</v>
      </c>
      <c r="G286" s="590">
        <f t="shared" si="80"/>
        <v>7004.8163117299991</v>
      </c>
      <c r="H286" s="590">
        <f t="shared" si="81"/>
        <v>9842.8639569000006</v>
      </c>
      <c r="I286" s="598">
        <f t="shared" si="82"/>
        <v>1.9603258468263529</v>
      </c>
      <c r="J286" s="598">
        <f t="shared" si="83"/>
        <v>1.7522981565191937</v>
      </c>
      <c r="K286" s="397"/>
      <c r="L286" s="8">
        <v>23717.918324089995</v>
      </c>
      <c r="M286" s="8">
        <v>20916.522813409996</v>
      </c>
    </row>
    <row r="287" spans="1:13" ht="15.75">
      <c r="A287" s="596" t="s">
        <v>4202</v>
      </c>
      <c r="B287" s="599">
        <v>49860.307202460004</v>
      </c>
      <c r="C287" s="599">
        <v>40393.692276870002</v>
      </c>
      <c r="D287" s="599">
        <v>32182.693691150002</v>
      </c>
      <c r="E287" s="599">
        <v>17947.79572392</v>
      </c>
      <c r="F287" s="1244">
        <v>14234.897967230001</v>
      </c>
      <c r="G287" s="1244">
        <v>8210.9985857200008</v>
      </c>
      <c r="H287" s="1244">
        <v>9466.6149255900018</v>
      </c>
      <c r="I287" s="605">
        <v>2.0171601515482553</v>
      </c>
      <c r="J287" s="605">
        <v>1.7976575124029623</v>
      </c>
      <c r="K287" s="397"/>
      <c r="L287" s="8"/>
      <c r="M287" s="8"/>
    </row>
    <row r="288" spans="1:13" ht="15.75">
      <c r="A288" s="596" t="s">
        <v>18</v>
      </c>
      <c r="B288" s="597">
        <v>45564.260378179999</v>
      </c>
      <c r="C288" s="597">
        <v>34752.165367709997</v>
      </c>
      <c r="D288" s="597">
        <v>27630.412175099998</v>
      </c>
      <c r="E288" s="597">
        <v>15285.339712069997</v>
      </c>
      <c r="F288" s="590">
        <f t="shared" ref="F288:F296" si="84">+D288-E288</f>
        <v>12345.072463030001</v>
      </c>
      <c r="G288" s="590">
        <f t="shared" ref="G288:G296" si="85">+C288-D288</f>
        <v>7121.7531926099982</v>
      </c>
      <c r="H288" s="590">
        <f t="shared" ref="H288:H296" si="86">+B288-C288</f>
        <v>10812.095010470002</v>
      </c>
      <c r="I288" s="598">
        <f t="shared" ref="I288:J293" si="87">B288/L288</f>
        <v>2.0303557215876671</v>
      </c>
      <c r="J288" s="598">
        <f t="shared" si="87"/>
        <v>1.7268968022313747</v>
      </c>
      <c r="K288" s="397"/>
      <c r="L288" s="8">
        <v>22441.515983489997</v>
      </c>
      <c r="M288" s="8">
        <v>20124.054502159997</v>
      </c>
    </row>
    <row r="289" spans="1:13" ht="15.75">
      <c r="A289" s="596" t="s">
        <v>19</v>
      </c>
      <c r="B289" s="597">
        <v>46674.669113970005</v>
      </c>
      <c r="C289" s="597">
        <v>35436.529078170002</v>
      </c>
      <c r="D289" s="597">
        <v>28155.676911490002</v>
      </c>
      <c r="E289" s="597">
        <v>15550.150610370003</v>
      </c>
      <c r="F289" s="590">
        <f t="shared" si="84"/>
        <v>12605.526301119999</v>
      </c>
      <c r="G289" s="590">
        <f t="shared" si="85"/>
        <v>7280.8521666800007</v>
      </c>
      <c r="H289" s="590">
        <f t="shared" si="86"/>
        <v>11238.140035800003</v>
      </c>
      <c r="I289" s="598">
        <f t="shared" si="87"/>
        <v>2.0834683657274398</v>
      </c>
      <c r="J289" s="598">
        <f t="shared" si="87"/>
        <v>1.7859397994646791</v>
      </c>
      <c r="K289" s="397"/>
      <c r="L289" s="8">
        <v>22402.38915155</v>
      </c>
      <c r="M289" s="8">
        <v>19841.950489480001</v>
      </c>
    </row>
    <row r="290" spans="1:13" ht="15.75">
      <c r="A290" s="596" t="s">
        <v>20</v>
      </c>
      <c r="B290" s="597">
        <v>46730.846437129992</v>
      </c>
      <c r="C290" s="597">
        <v>35559.117870169997</v>
      </c>
      <c r="D290" s="597">
        <v>28311.982693869999</v>
      </c>
      <c r="E290" s="597">
        <v>16075.196253899998</v>
      </c>
      <c r="F290" s="590">
        <f t="shared" si="84"/>
        <v>12236.786439970001</v>
      </c>
      <c r="G290" s="590">
        <f t="shared" si="85"/>
        <v>7247.1351762999984</v>
      </c>
      <c r="H290" s="590">
        <f t="shared" si="86"/>
        <v>11171.728566959995</v>
      </c>
      <c r="I290" s="598">
        <f t="shared" si="87"/>
        <v>1.9714979704978872</v>
      </c>
      <c r="J290" s="598">
        <f t="shared" si="87"/>
        <v>1.654055728003383</v>
      </c>
      <c r="K290" s="397"/>
      <c r="L290" s="8">
        <v>23703.218129779998</v>
      </c>
      <c r="M290" s="8">
        <v>21498.137739949998</v>
      </c>
    </row>
    <row r="291" spans="1:13" ht="15.75">
      <c r="A291" s="596" t="s">
        <v>21</v>
      </c>
      <c r="B291" s="597">
        <v>47207.687529530005</v>
      </c>
      <c r="C291" s="597">
        <v>35438.831222860004</v>
      </c>
      <c r="D291" s="597">
        <v>28061.612857020002</v>
      </c>
      <c r="E291" s="597">
        <v>16046.342656510002</v>
      </c>
      <c r="F291" s="590">
        <f t="shared" si="84"/>
        <v>12015.27020051</v>
      </c>
      <c r="G291" s="590">
        <f t="shared" si="85"/>
        <v>7377.2183658400027</v>
      </c>
      <c r="H291" s="590">
        <f t="shared" si="86"/>
        <v>11768.856306670001</v>
      </c>
      <c r="I291" s="598">
        <f t="shared" si="87"/>
        <v>2.0578777586356125</v>
      </c>
      <c r="J291" s="598">
        <f t="shared" si="87"/>
        <v>1.7104278188090423</v>
      </c>
      <c r="K291" s="397"/>
      <c r="L291" s="8">
        <v>22939.986270530004</v>
      </c>
      <c r="M291" s="8">
        <v>20719.279020810005</v>
      </c>
    </row>
    <row r="292" spans="1:13" ht="15.75">
      <c r="A292" s="596" t="s">
        <v>22</v>
      </c>
      <c r="B292" s="597">
        <v>48306.014772430004</v>
      </c>
      <c r="C292" s="597">
        <v>35768.5371227</v>
      </c>
      <c r="D292" s="597">
        <v>28351.534752879998</v>
      </c>
      <c r="E292" s="597">
        <v>16177.269858599999</v>
      </c>
      <c r="F292" s="590">
        <f t="shared" si="84"/>
        <v>12174.264894279999</v>
      </c>
      <c r="G292" s="590">
        <f t="shared" si="85"/>
        <v>7417.0023698200021</v>
      </c>
      <c r="H292" s="590">
        <f t="shared" si="86"/>
        <v>12537.477649730004</v>
      </c>
      <c r="I292" s="598">
        <f t="shared" si="87"/>
        <v>2.0906449507591258</v>
      </c>
      <c r="J292" s="598">
        <f t="shared" si="87"/>
        <v>1.7338398531587182</v>
      </c>
      <c r="K292" s="397"/>
      <c r="L292" s="8">
        <v>23105.795536869999</v>
      </c>
      <c r="M292" s="8">
        <v>20629.666031459998</v>
      </c>
    </row>
    <row r="293" spans="1:13" ht="15.75">
      <c r="A293" s="596" t="s">
        <v>23</v>
      </c>
      <c r="B293" s="597">
        <v>48468.038386010005</v>
      </c>
      <c r="C293" s="597">
        <v>36817.809426400003</v>
      </c>
      <c r="D293" s="597">
        <v>29429.979689630003</v>
      </c>
      <c r="E293" s="597">
        <v>16513.523233460004</v>
      </c>
      <c r="F293" s="590">
        <f t="shared" si="84"/>
        <v>12916.456456169999</v>
      </c>
      <c r="G293" s="590">
        <f t="shared" si="85"/>
        <v>7387.8297367699997</v>
      </c>
      <c r="H293" s="590">
        <f t="shared" si="86"/>
        <v>11650.228959610002</v>
      </c>
      <c r="I293" s="598">
        <f t="shared" si="87"/>
        <v>2.008606701312214</v>
      </c>
      <c r="J293" s="598">
        <f t="shared" si="87"/>
        <v>1.7147415874209164</v>
      </c>
      <c r="K293" s="397"/>
      <c r="L293" s="8">
        <v>24130.17857321</v>
      </c>
      <c r="M293" s="8">
        <v>21471.345709750003</v>
      </c>
    </row>
    <row r="294" spans="1:13" ht="15.75">
      <c r="A294" s="596" t="s">
        <v>24</v>
      </c>
      <c r="B294" s="597">
        <v>47680.257441669994</v>
      </c>
      <c r="C294" s="597">
        <v>36662.595946319998</v>
      </c>
      <c r="D294" s="597">
        <v>29021.038537529999</v>
      </c>
      <c r="E294" s="597">
        <v>16657.31388749</v>
      </c>
      <c r="F294" s="590">
        <f t="shared" si="84"/>
        <v>12363.72465004</v>
      </c>
      <c r="G294" s="590">
        <f t="shared" si="85"/>
        <v>7641.5574087899986</v>
      </c>
      <c r="H294" s="590">
        <f t="shared" si="86"/>
        <v>11017.661495349996</v>
      </c>
      <c r="I294" s="598">
        <v>2.0159477738505882</v>
      </c>
      <c r="J294" s="598">
        <v>1.7258667157952983</v>
      </c>
      <c r="K294" s="397"/>
      <c r="L294" s="8">
        <v>23651.534062610001</v>
      </c>
      <c r="M294" s="8">
        <v>21243.00539015</v>
      </c>
    </row>
    <row r="295" spans="1:13" ht="15.75">
      <c r="A295" s="596" t="s">
        <v>25</v>
      </c>
      <c r="B295" s="597">
        <v>47766.904772359994</v>
      </c>
      <c r="C295" s="597">
        <v>36806.171277589994</v>
      </c>
      <c r="D295" s="597">
        <v>29126.689189459998</v>
      </c>
      <c r="E295" s="597">
        <v>16828.587719749998</v>
      </c>
      <c r="F295" s="590">
        <f t="shared" si="84"/>
        <v>12298.10146971</v>
      </c>
      <c r="G295" s="590">
        <f t="shared" si="85"/>
        <v>7679.4820881299966</v>
      </c>
      <c r="H295" s="590">
        <f t="shared" si="86"/>
        <v>10960.73349477</v>
      </c>
      <c r="I295" s="598">
        <v>2.0525785750646941</v>
      </c>
      <c r="J295" s="598">
        <v>1.7425710423772269</v>
      </c>
      <c r="K295" s="397"/>
      <c r="L295" s="8">
        <v>23271.657101289999</v>
      </c>
      <c r="M295" s="8">
        <v>21121.762259619998</v>
      </c>
    </row>
    <row r="296" spans="1:13" ht="15.75">
      <c r="A296" s="596" t="s">
        <v>26</v>
      </c>
      <c r="B296" s="597">
        <v>47985.699894619996</v>
      </c>
      <c r="C296" s="597">
        <v>37188.144294060003</v>
      </c>
      <c r="D296" s="597">
        <v>29468.367928330001</v>
      </c>
      <c r="E296" s="597">
        <v>17011.346722220002</v>
      </c>
      <c r="F296" s="590">
        <f t="shared" si="84"/>
        <v>12457.021206109999</v>
      </c>
      <c r="G296" s="590">
        <f t="shared" si="85"/>
        <v>7719.776365730002</v>
      </c>
      <c r="H296" s="590">
        <f t="shared" si="86"/>
        <v>10797.555600559994</v>
      </c>
      <c r="I296" s="598">
        <v>2.0358576594346287</v>
      </c>
      <c r="J296" s="598">
        <v>1.7263767626794597</v>
      </c>
      <c r="K296" s="397"/>
      <c r="L296" s="8">
        <v>23570.2627206</v>
      </c>
      <c r="M296" s="8">
        <v>21541.152023120001</v>
      </c>
    </row>
    <row r="297" spans="1:13" ht="15.75">
      <c r="A297" s="596" t="s">
        <v>27</v>
      </c>
      <c r="B297" s="597">
        <v>47490.67010471</v>
      </c>
      <c r="C297" s="597">
        <v>37027.351025789998</v>
      </c>
      <c r="D297" s="597">
        <v>29030.591945880002</v>
      </c>
      <c r="E297" s="597">
        <v>17082.68957291</v>
      </c>
      <c r="F297" s="590">
        <f t="shared" ref="F297" si="88">+D297-E297</f>
        <v>11947.902372970002</v>
      </c>
      <c r="G297" s="590">
        <f t="shared" ref="G297" si="89">+C297-D297</f>
        <v>7996.7590799099962</v>
      </c>
      <c r="H297" s="590">
        <f t="shared" ref="H297" si="90">+B297-C297</f>
        <v>10463.319078920002</v>
      </c>
      <c r="I297" s="598">
        <f>B297/L297</f>
        <v>2.0308974337707282</v>
      </c>
      <c r="J297" s="598">
        <f>C297/M297</f>
        <v>1.7306482906341865</v>
      </c>
      <c r="K297" s="397"/>
      <c r="L297" s="8">
        <v>23384.081005280008</v>
      </c>
      <c r="M297" s="8">
        <v>21395.075606160008</v>
      </c>
    </row>
    <row r="298" spans="1:13" ht="15.75">
      <c r="A298" s="596" t="s">
        <v>28</v>
      </c>
      <c r="B298" s="597">
        <v>48662.12921965</v>
      </c>
      <c r="C298" s="597">
        <v>37596.154621879999</v>
      </c>
      <c r="D298" s="597">
        <v>29482.95449299</v>
      </c>
      <c r="E298" s="597">
        <v>17233.657052040002</v>
      </c>
      <c r="F298" s="590">
        <v>12249.297440949998</v>
      </c>
      <c r="G298" s="590">
        <v>8113.2001288899992</v>
      </c>
      <c r="H298" s="590">
        <v>11065.97459777</v>
      </c>
      <c r="I298" s="598">
        <v>2.0110560017906036</v>
      </c>
      <c r="J298" s="598">
        <v>1.6989966951246702</v>
      </c>
      <c r="K298" s="397"/>
      <c r="L298" s="8">
        <v>24197.301903240001</v>
      </c>
      <c r="M298" s="8">
        <v>22128.44482262</v>
      </c>
    </row>
    <row r="299" spans="1:13" ht="15.75">
      <c r="A299" s="596" t="s">
        <v>29</v>
      </c>
      <c r="B299" s="597">
        <v>49860.307202460004</v>
      </c>
      <c r="C299" s="597">
        <v>40393.692276870002</v>
      </c>
      <c r="D299" s="597">
        <v>32182.693691150002</v>
      </c>
      <c r="E299" s="597">
        <v>17947.79572392</v>
      </c>
      <c r="F299" s="590">
        <v>14234.897967230001</v>
      </c>
      <c r="G299" s="590">
        <v>8210.9985857200008</v>
      </c>
      <c r="H299" s="590">
        <v>9466.6149255900018</v>
      </c>
      <c r="I299" s="598">
        <v>2.0171601515482553</v>
      </c>
      <c r="J299" s="598">
        <v>1.7976575124029623</v>
      </c>
      <c r="K299" s="397"/>
      <c r="L299" s="8">
        <v>24718.070681789999</v>
      </c>
      <c r="M299" s="8">
        <v>22470.18244475</v>
      </c>
    </row>
    <row r="300" spans="1:13" ht="15.75">
      <c r="A300" s="596" t="s">
        <v>4465</v>
      </c>
      <c r="B300" s="597"/>
      <c r="C300" s="597"/>
      <c r="D300" s="597"/>
      <c r="E300" s="597"/>
      <c r="F300" s="590"/>
      <c r="G300" s="590"/>
      <c r="H300" s="590"/>
      <c r="I300" s="598"/>
      <c r="J300" s="598"/>
      <c r="K300" s="397"/>
      <c r="L300" s="8"/>
      <c r="M300" s="8"/>
    </row>
    <row r="301" spans="1:13" ht="15.75">
      <c r="A301" s="596" t="s">
        <v>18</v>
      </c>
      <c r="B301" s="597">
        <v>48186.145509560003</v>
      </c>
      <c r="C301" s="597">
        <v>38308.695735140005</v>
      </c>
      <c r="D301" s="597">
        <v>29859.078763190002</v>
      </c>
      <c r="E301" s="597">
        <v>17543.49386056</v>
      </c>
      <c r="F301" s="590">
        <v>12315.584902630002</v>
      </c>
      <c r="G301" s="590">
        <v>8449.6169719500031</v>
      </c>
      <c r="H301" s="590">
        <v>9877.449774419998</v>
      </c>
      <c r="I301" s="598">
        <v>1.9680210217463718</v>
      </c>
      <c r="J301" s="598">
        <v>1.6991877974436294</v>
      </c>
      <c r="K301" s="397"/>
      <c r="L301" s="8">
        <v>24484.568496530002</v>
      </c>
      <c r="M301" s="8">
        <v>22545.298284730001</v>
      </c>
    </row>
    <row r="302" spans="1:13" ht="15.75">
      <c r="A302" s="596" t="s">
        <v>19</v>
      </c>
      <c r="B302" s="597">
        <v>49116.082944070004</v>
      </c>
      <c r="C302" s="597">
        <v>39190.743032080005</v>
      </c>
      <c r="D302" s="597">
        <v>30769.314936430004</v>
      </c>
      <c r="E302" s="597">
        <v>17859.014231770005</v>
      </c>
      <c r="F302" s="590">
        <v>12910.30070466</v>
      </c>
      <c r="G302" s="590">
        <v>8421.4280956500006</v>
      </c>
      <c r="H302" s="590">
        <v>9925.3399119899987</v>
      </c>
      <c r="I302" s="598">
        <v>1.9917044987428263</v>
      </c>
      <c r="J302" s="598">
        <v>1.7176101814338673</v>
      </c>
      <c r="K302" s="397"/>
      <c r="L302" s="8">
        <v>24660.326356180005</v>
      </c>
      <c r="M302" s="8">
        <v>22817.018352420004</v>
      </c>
    </row>
    <row r="303" spans="1:13" ht="15.75">
      <c r="A303" s="596" t="s">
        <v>20</v>
      </c>
      <c r="B303" s="597">
        <v>49979.352983789999</v>
      </c>
      <c r="C303" s="597">
        <v>40000.493504099999</v>
      </c>
      <c r="D303" s="597">
        <v>31493.508342089997</v>
      </c>
      <c r="E303" s="597">
        <v>18362.825244979998</v>
      </c>
      <c r="F303" s="590">
        <v>13130.683097109999</v>
      </c>
      <c r="G303" s="590">
        <v>8506.9851620100017</v>
      </c>
      <c r="H303" s="590">
        <v>9978.8594796899997</v>
      </c>
      <c r="I303" s="598">
        <v>1.9395874575798044</v>
      </c>
      <c r="J303" s="598">
        <v>1.6831656718921997</v>
      </c>
      <c r="K303" s="397"/>
      <c r="L303" s="8">
        <v>25768.032675440001</v>
      </c>
      <c r="M303" s="8">
        <v>23765.036426350001</v>
      </c>
    </row>
    <row r="304" spans="1:13" ht="15.75">
      <c r="A304" s="596" t="s">
        <v>21</v>
      </c>
      <c r="B304" s="597">
        <v>50168.143519800004</v>
      </c>
      <c r="C304" s="597">
        <v>40480.417723520004</v>
      </c>
      <c r="D304" s="597">
        <v>31555.237588110002</v>
      </c>
      <c r="E304" s="597">
        <v>18331.868194800001</v>
      </c>
      <c r="F304" s="590">
        <v>13223.36939331</v>
      </c>
      <c r="G304" s="590">
        <v>8925.1801354100025</v>
      </c>
      <c r="H304" s="590">
        <v>9687.7257962799995</v>
      </c>
      <c r="I304" s="598">
        <v>1.9939632266614462</v>
      </c>
      <c r="J304" s="598">
        <v>1.7364783119363185</v>
      </c>
      <c r="K304" s="397"/>
      <c r="L304" s="8">
        <v>25160.014411999997</v>
      </c>
      <c r="M304" s="8">
        <v>23311.789986239997</v>
      </c>
    </row>
    <row r="305" spans="1:13" ht="15.75">
      <c r="A305" s="596" t="s">
        <v>22</v>
      </c>
      <c r="B305" s="597">
        <v>51500.412517900004</v>
      </c>
      <c r="C305" s="597">
        <v>41961.771399720004</v>
      </c>
      <c r="D305" s="597">
        <v>32641.717725780003</v>
      </c>
      <c r="E305" s="597">
        <v>18884.804730320004</v>
      </c>
      <c r="F305" s="590">
        <v>13756.912995459999</v>
      </c>
      <c r="G305" s="590">
        <v>9320.0536739400013</v>
      </c>
      <c r="H305" s="590">
        <v>9538.6411181799995</v>
      </c>
      <c r="I305" s="598">
        <v>1.9870670111969142</v>
      </c>
      <c r="J305" s="598">
        <v>1.740745535677938</v>
      </c>
      <c r="K305" s="397"/>
      <c r="L305" s="8">
        <v>25917.803590770003</v>
      </c>
      <c r="M305" s="8">
        <v>24105.632063780005</v>
      </c>
    </row>
    <row r="306" spans="1:13" ht="15.75">
      <c r="A306" s="610" t="s">
        <v>23</v>
      </c>
      <c r="B306" s="611">
        <v>52924.508310200006</v>
      </c>
      <c r="C306" s="611">
        <v>43254.179722740009</v>
      </c>
      <c r="D306" s="611">
        <v>33632.077668510006</v>
      </c>
      <c r="E306" s="611">
        <v>18994.834956710005</v>
      </c>
      <c r="F306" s="612">
        <f t="shared" ref="F306" si="91">+D306-E306</f>
        <v>14637.242711800001</v>
      </c>
      <c r="G306" s="612">
        <f t="shared" ref="G306" si="92">+C306-D306</f>
        <v>9622.102054230003</v>
      </c>
      <c r="H306" s="612">
        <f t="shared" ref="H306" si="93">+B306-C306</f>
        <v>9670.3285874599969</v>
      </c>
      <c r="I306" s="613">
        <f t="shared" ref="I306:J306" si="94">B306/L306</f>
        <v>2.0144650639139421</v>
      </c>
      <c r="J306" s="613">
        <f t="shared" si="94"/>
        <v>1.7740785199262208</v>
      </c>
      <c r="K306" s="397"/>
      <c r="L306" s="8">
        <v>26272.239344460006</v>
      </c>
      <c r="M306" s="8">
        <v>24381.209307770005</v>
      </c>
    </row>
    <row r="307" spans="1:13" s="730" customFormat="1" ht="20.25" customHeight="1">
      <c r="A307" s="2180" t="s">
        <v>2782</v>
      </c>
      <c r="B307" s="2180"/>
      <c r="C307" s="2180"/>
      <c r="D307" s="2180"/>
      <c r="E307" s="2180"/>
      <c r="F307" s="2180"/>
      <c r="G307" s="2180"/>
      <c r="H307" s="2180"/>
      <c r="I307" s="2180"/>
      <c r="J307" s="2180"/>
      <c r="K307" s="729"/>
    </row>
    <row r="308" spans="1:13" s="730" customFormat="1" ht="20.25" customHeight="1">
      <c r="A308" s="2180" t="s">
        <v>2783</v>
      </c>
      <c r="B308" s="2180"/>
      <c r="C308" s="2180"/>
      <c r="D308" s="2180"/>
      <c r="E308" s="2180"/>
      <c r="F308" s="2180"/>
      <c r="G308" s="2180"/>
      <c r="H308" s="2180"/>
      <c r="I308" s="2180"/>
      <c r="J308" s="2180"/>
      <c r="K308" s="731"/>
    </row>
    <row r="309" spans="1:13" ht="12.95" customHeight="1">
      <c r="H309" s="8"/>
    </row>
    <row r="310" spans="1:13" ht="12.95" customHeight="1">
      <c r="B310" s="8"/>
      <c r="C310" s="8"/>
      <c r="D310" s="8"/>
      <c r="E310" s="8"/>
    </row>
    <row r="311" spans="1:13" ht="12.95" customHeight="1">
      <c r="C311" s="1918"/>
      <c r="D311" s="1918"/>
      <c r="E311" s="1918"/>
    </row>
    <row r="316" spans="1:13" ht="12.95" customHeight="1">
      <c r="C316" s="1918"/>
      <c r="D316" s="1918"/>
      <c r="E316" s="1918"/>
    </row>
  </sheetData>
  <mergeCells count="33">
    <mergeCell ref="A308:J308"/>
    <mergeCell ref="A11:A15"/>
    <mergeCell ref="B11:B15"/>
    <mergeCell ref="C11:H11"/>
    <mergeCell ref="I11:J11"/>
    <mergeCell ref="C12:C15"/>
    <mergeCell ref="D12:G12"/>
    <mergeCell ref="H12:H15"/>
    <mergeCell ref="I12:I15"/>
    <mergeCell ref="J12:J15"/>
    <mergeCell ref="D13:D15"/>
    <mergeCell ref="E13:F13"/>
    <mergeCell ref="F9:F10"/>
    <mergeCell ref="A307:J307"/>
    <mergeCell ref="G13:G15"/>
    <mergeCell ref="E9:E10"/>
    <mergeCell ref="F14:F15"/>
    <mergeCell ref="E8:F8"/>
    <mergeCell ref="E14:E15"/>
    <mergeCell ref="A2:J2"/>
    <mergeCell ref="A3:J3"/>
    <mergeCell ref="A5:J5"/>
    <mergeCell ref="A6:A10"/>
    <mergeCell ref="B6:B10"/>
    <mergeCell ref="C6:H6"/>
    <mergeCell ref="I6:J6"/>
    <mergeCell ref="C7:C10"/>
    <mergeCell ref="D7:G7"/>
    <mergeCell ref="H7:H10"/>
    <mergeCell ref="I7:I10"/>
    <mergeCell ref="J7:J10"/>
    <mergeCell ref="D8:D10"/>
    <mergeCell ref="G8:G10"/>
  </mergeCells>
  <pageMargins left="0.92" right="0.7" top="0.17" bottom="0.17" header="0.17" footer="0.17"/>
  <pageSetup scale="17" orientation="landscape" r:id="rId1"/>
  <ignoredErrors>
    <ignoredError sqref="A29:A24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tabColor rgb="FF92D050"/>
  </sheetPr>
  <dimension ref="A1:CB302"/>
  <sheetViews>
    <sheetView showGridLines="0" view="pageBreakPreview" zoomScale="130" zoomScaleSheetLayoutView="130" workbookViewId="0">
      <pane ySplit="32" topLeftCell="A291" activePane="bottomLeft" state="frozen"/>
      <selection activeCell="F40" sqref="F40"/>
      <selection pane="bottomLeft" activeCell="F40" sqref="F40"/>
    </sheetView>
  </sheetViews>
  <sheetFormatPr defaultColWidth="9.140625" defaultRowHeight="12.75"/>
  <cols>
    <col min="1" max="1" width="7.5703125" style="18" customWidth="1"/>
    <col min="2" max="3" width="13.140625" style="18" customWidth="1"/>
    <col min="4" max="4" width="15.140625" style="18" customWidth="1"/>
    <col min="5" max="6" width="13.140625" style="18" customWidth="1"/>
    <col min="7" max="7" width="20.7109375" style="18" customWidth="1"/>
    <col min="8" max="8" width="9.7109375" style="18" customWidth="1"/>
    <col min="9" max="9" width="9.28515625" style="18" customWidth="1"/>
    <col min="10" max="11" width="9.140625" style="18" customWidth="1"/>
    <col min="12" max="77" width="9.140625" style="18"/>
    <col min="78" max="78" width="0" style="18" hidden="1" customWidth="1"/>
    <col min="79" max="16384" width="9.140625" style="18"/>
  </cols>
  <sheetData>
    <row r="1" spans="1:80" ht="5.25" customHeight="1"/>
    <row r="2" spans="1:80" ht="19.5" customHeight="1">
      <c r="A2" s="2185" t="s">
        <v>2784</v>
      </c>
      <c r="B2" s="2185"/>
      <c r="C2" s="2185"/>
      <c r="D2" s="2185"/>
      <c r="E2" s="2185"/>
      <c r="F2" s="2185"/>
      <c r="G2" s="2185"/>
    </row>
    <row r="3" spans="1:80" s="55" customFormat="1" ht="19.5" customHeight="1">
      <c r="A3" s="2186" t="s">
        <v>2715</v>
      </c>
      <c r="B3" s="2186"/>
      <c r="C3" s="2186"/>
      <c r="D3" s="2186"/>
      <c r="E3" s="2186"/>
      <c r="F3" s="2186"/>
      <c r="G3" s="2186"/>
    </row>
    <row r="4" spans="1:80" s="55" customFormat="1" ht="12" customHeight="1">
      <c r="A4" s="490"/>
      <c r="B4" s="490"/>
      <c r="C4" s="490"/>
      <c r="D4" s="490"/>
      <c r="E4" s="490"/>
      <c r="F4" s="490"/>
      <c r="G4" s="490"/>
    </row>
    <row r="5" spans="1:80" s="55" customFormat="1" ht="12" customHeight="1">
      <c r="A5" s="2162" t="s">
        <v>8</v>
      </c>
      <c r="B5" s="2162"/>
      <c r="C5" s="2162"/>
      <c r="D5" s="2162"/>
      <c r="E5" s="2162"/>
      <c r="F5" s="2162"/>
      <c r="G5" s="2162"/>
    </row>
    <row r="6" spans="1:80" s="38" customFormat="1" ht="12.75" customHeight="1">
      <c r="A6" s="2142" t="s">
        <v>182</v>
      </c>
      <c r="B6" s="2142" t="s">
        <v>136</v>
      </c>
      <c r="C6" s="2142" t="s">
        <v>2751</v>
      </c>
      <c r="D6" s="2142" t="s">
        <v>138</v>
      </c>
      <c r="E6" s="2142" t="s">
        <v>1855</v>
      </c>
      <c r="F6" s="2142" t="s">
        <v>139</v>
      </c>
      <c r="G6" s="2142" t="s">
        <v>137</v>
      </c>
      <c r="H6" s="13"/>
      <c r="CA6" s="41" t="s">
        <v>2049</v>
      </c>
      <c r="CB6" s="299" t="s">
        <v>2050</v>
      </c>
    </row>
    <row r="7" spans="1:80" s="38" customFormat="1" ht="36" customHeight="1">
      <c r="A7" s="2143"/>
      <c r="B7" s="2143"/>
      <c r="C7" s="2143"/>
      <c r="D7" s="2143"/>
      <c r="E7" s="2143"/>
      <c r="F7" s="2143"/>
      <c r="G7" s="2143"/>
      <c r="H7" s="13"/>
      <c r="BW7" s="38">
        <f>BW8+BW20+BW30+BW38</f>
        <v>0</v>
      </c>
      <c r="CA7" s="38">
        <f>CA8+CA20+CA30+CA38</f>
        <v>622</v>
      </c>
      <c r="CB7" s="303">
        <f>BW7+BX7+BY7+CA7</f>
        <v>622</v>
      </c>
    </row>
    <row r="8" spans="1:80" s="173" customFormat="1" ht="12" customHeight="1">
      <c r="A8" s="2146" t="s">
        <v>283</v>
      </c>
      <c r="B8" s="2187" t="s">
        <v>2752</v>
      </c>
      <c r="C8" s="2187" t="s">
        <v>2753</v>
      </c>
      <c r="D8" s="2146" t="s">
        <v>141</v>
      </c>
      <c r="E8" s="2190" t="s">
        <v>1854</v>
      </c>
      <c r="F8" s="2146" t="s">
        <v>142</v>
      </c>
      <c r="G8" s="2146" t="s">
        <v>140</v>
      </c>
      <c r="H8" s="2191"/>
      <c r="I8" s="2189"/>
      <c r="CA8" s="173">
        <f>CA10+CA15</f>
        <v>1713</v>
      </c>
      <c r="CB8" s="304">
        <f>BW8+BX8+BY8+CA8</f>
        <v>1713</v>
      </c>
    </row>
    <row r="9" spans="1:80" s="173" customFormat="1" ht="36" customHeight="1">
      <c r="A9" s="2147"/>
      <c r="B9" s="2147"/>
      <c r="C9" s="2147"/>
      <c r="D9" s="2147"/>
      <c r="E9" s="2171"/>
      <c r="F9" s="2147"/>
      <c r="G9" s="2147"/>
      <c r="H9" s="2191"/>
      <c r="I9" s="2189"/>
      <c r="CB9" s="304"/>
    </row>
    <row r="10" spans="1:80" hidden="1">
      <c r="A10" s="109">
        <v>1995</v>
      </c>
      <c r="B10" s="422">
        <v>180.12</v>
      </c>
      <c r="C10" s="422">
        <v>147.26</v>
      </c>
      <c r="D10" s="422">
        <v>121.28</v>
      </c>
      <c r="E10" s="422">
        <v>58.84</v>
      </c>
      <c r="F10" s="422">
        <v>9.6199999999999992</v>
      </c>
      <c r="G10" s="423">
        <f t="shared" ref="G10:G32" si="0">D10*100/B10</f>
        <v>67.332889184987778</v>
      </c>
      <c r="H10" s="118"/>
      <c r="CA10" s="18">
        <f>CA12+CA13</f>
        <v>4361</v>
      </c>
      <c r="CB10" s="305">
        <f>BW10+BX10+BY10+CA10</f>
        <v>4361</v>
      </c>
    </row>
    <row r="11" spans="1:80" hidden="1">
      <c r="A11" s="113">
        <f>A10+1</f>
        <v>1996</v>
      </c>
      <c r="B11" s="117">
        <v>212.38</v>
      </c>
      <c r="C11" s="117">
        <v>197.38</v>
      </c>
      <c r="D11" s="117">
        <v>174.46</v>
      </c>
      <c r="E11" s="117">
        <v>38.020000000000003</v>
      </c>
      <c r="F11" s="117">
        <v>3.66</v>
      </c>
      <c r="G11" s="174">
        <f t="shared" si="0"/>
        <v>82.1452114135041</v>
      </c>
      <c r="H11" s="118"/>
      <c r="CB11" s="305"/>
    </row>
    <row r="12" spans="1:80" hidden="1">
      <c r="A12" s="113">
        <f t="shared" ref="A12:A19" si="1">A11+1</f>
        <v>1997</v>
      </c>
      <c r="B12" s="117">
        <v>284.45999999999998</v>
      </c>
      <c r="C12" s="117">
        <v>278.66000000000003</v>
      </c>
      <c r="D12" s="117">
        <v>241.82</v>
      </c>
      <c r="E12" s="117">
        <v>42.62</v>
      </c>
      <c r="F12" s="117">
        <v>4.68</v>
      </c>
      <c r="G12" s="174">
        <f t="shared" si="0"/>
        <v>85.01019475497435</v>
      </c>
      <c r="H12" s="118"/>
      <c r="CA12" s="18">
        <v>3917</v>
      </c>
      <c r="CB12" s="305">
        <f>BW12+BX12+BY12+CA12</f>
        <v>3917</v>
      </c>
    </row>
    <row r="13" spans="1:80" hidden="1">
      <c r="A13" s="113">
        <f t="shared" si="1"/>
        <v>1998</v>
      </c>
      <c r="B13" s="117">
        <v>228.04</v>
      </c>
      <c r="C13" s="117">
        <v>211.42</v>
      </c>
      <c r="D13" s="117">
        <v>193.9</v>
      </c>
      <c r="E13" s="117">
        <v>34.14</v>
      </c>
      <c r="F13" s="117">
        <v>2.86</v>
      </c>
      <c r="G13" s="174">
        <f t="shared" si="0"/>
        <v>85.02894229082618</v>
      </c>
      <c r="H13" s="118"/>
      <c r="CA13" s="18">
        <v>444</v>
      </c>
      <c r="CB13" s="305">
        <f t="shared" ref="CB13:CB54" si="2">BW13+BX13+BY13+CA13</f>
        <v>444</v>
      </c>
    </row>
    <row r="14" spans="1:80" hidden="1">
      <c r="A14" s="113">
        <f t="shared" si="1"/>
        <v>1999</v>
      </c>
      <c r="B14" s="117">
        <v>264.94</v>
      </c>
      <c r="C14" s="117">
        <v>251.32</v>
      </c>
      <c r="D14" s="117">
        <v>236.9</v>
      </c>
      <c r="E14" s="117">
        <v>28.04</v>
      </c>
      <c r="F14" s="117">
        <v>0.96</v>
      </c>
      <c r="G14" s="174">
        <f t="shared" si="0"/>
        <v>89.416471653959391</v>
      </c>
      <c r="H14" s="118"/>
      <c r="CB14" s="305"/>
    </row>
    <row r="15" spans="1:80" hidden="1">
      <c r="A15" s="113">
        <f>A14+1</f>
        <v>2000</v>
      </c>
      <c r="B15" s="117">
        <v>353.08</v>
      </c>
      <c r="C15" s="117">
        <v>308.39999999999998</v>
      </c>
      <c r="D15" s="117">
        <v>284</v>
      </c>
      <c r="E15" s="117">
        <v>69.08</v>
      </c>
      <c r="F15" s="117">
        <v>0.8</v>
      </c>
      <c r="G15" s="174">
        <f t="shared" si="0"/>
        <v>80.435028888637135</v>
      </c>
      <c r="H15" s="118"/>
      <c r="CA15" s="18">
        <f>CA17+CA18</f>
        <v>-2648</v>
      </c>
      <c r="CB15" s="305">
        <f t="shared" si="2"/>
        <v>-2648</v>
      </c>
    </row>
    <row r="16" spans="1:80" hidden="1">
      <c r="A16" s="113">
        <f>A15+1</f>
        <v>2001</v>
      </c>
      <c r="B16" s="117">
        <v>359.48</v>
      </c>
      <c r="C16" s="117">
        <v>336.12</v>
      </c>
      <c r="D16" s="117">
        <v>306.74</v>
      </c>
      <c r="E16" s="117">
        <v>51.66</v>
      </c>
      <c r="F16" s="117">
        <v>23.677651845711999</v>
      </c>
      <c r="G16" s="174">
        <f t="shared" si="0"/>
        <v>85.328808278624678</v>
      </c>
      <c r="H16" s="118"/>
      <c r="CB16" s="305"/>
    </row>
    <row r="17" spans="1:80" hidden="1">
      <c r="A17" s="113">
        <f t="shared" si="1"/>
        <v>2002</v>
      </c>
      <c r="B17" s="117">
        <v>409.92</v>
      </c>
      <c r="C17" s="117">
        <v>374.38</v>
      </c>
      <c r="D17" s="117">
        <v>351.3</v>
      </c>
      <c r="E17" s="117">
        <v>57.46</v>
      </c>
      <c r="F17" s="117">
        <v>37.801172282212001</v>
      </c>
      <c r="G17" s="174">
        <f t="shared" si="0"/>
        <v>85.699648711943794</v>
      </c>
      <c r="H17" s="118"/>
      <c r="CA17" s="18">
        <v>-367</v>
      </c>
      <c r="CB17" s="305">
        <f t="shared" si="2"/>
        <v>-367</v>
      </c>
    </row>
    <row r="18" spans="1:80" hidden="1">
      <c r="A18" s="113">
        <f t="shared" si="1"/>
        <v>2003</v>
      </c>
      <c r="B18" s="117">
        <v>506.12</v>
      </c>
      <c r="C18" s="117">
        <v>463.2</v>
      </c>
      <c r="D18" s="117">
        <v>433.7</v>
      </c>
      <c r="E18" s="117">
        <v>72.400000000000006</v>
      </c>
      <c r="F18" s="117">
        <v>35.829919390211998</v>
      </c>
      <c r="G18" s="174">
        <f t="shared" si="0"/>
        <v>85.691140441002133</v>
      </c>
      <c r="H18" s="118"/>
      <c r="CA18" s="18">
        <v>-2281</v>
      </c>
      <c r="CB18" s="305">
        <f t="shared" si="2"/>
        <v>-2281</v>
      </c>
    </row>
    <row r="19" spans="1:80" hidden="1">
      <c r="A19" s="113">
        <f t="shared" si="1"/>
        <v>2004</v>
      </c>
      <c r="B19" s="117">
        <v>833.62</v>
      </c>
      <c r="C19" s="117">
        <v>640.04</v>
      </c>
      <c r="D19" s="117">
        <v>526.20000000000005</v>
      </c>
      <c r="E19" s="117">
        <v>307.39999999999998</v>
      </c>
      <c r="F19" s="117">
        <v>69.464292473963994</v>
      </c>
      <c r="G19" s="174">
        <f t="shared" si="0"/>
        <v>63.122285933638835</v>
      </c>
      <c r="H19" s="118"/>
      <c r="CB19" s="305"/>
    </row>
    <row r="20" spans="1:80" ht="13.5" hidden="1" customHeight="1">
      <c r="A20" s="113">
        <v>2005</v>
      </c>
      <c r="B20" s="175">
        <v>885.82</v>
      </c>
      <c r="C20" s="175">
        <v>687.76</v>
      </c>
      <c r="D20" s="117">
        <v>594.08000000000004</v>
      </c>
      <c r="E20" s="117">
        <v>291.7</v>
      </c>
      <c r="F20" s="117">
        <v>83.866874915644004</v>
      </c>
      <c r="G20" s="174">
        <f t="shared" si="0"/>
        <v>67.06554378993475</v>
      </c>
      <c r="H20" s="176">
        <v>83.86</v>
      </c>
      <c r="I20" s="18">
        <v>25.53</v>
      </c>
      <c r="CA20" s="18">
        <f>CA22+CA23</f>
        <v>-797</v>
      </c>
      <c r="CB20" s="305">
        <f t="shared" si="2"/>
        <v>-797</v>
      </c>
    </row>
    <row r="21" spans="1:80" hidden="1">
      <c r="A21" s="111" t="s">
        <v>18</v>
      </c>
      <c r="B21" s="175">
        <v>638.04</v>
      </c>
      <c r="C21" s="175">
        <v>571.1</v>
      </c>
      <c r="D21" s="117">
        <v>485.1</v>
      </c>
      <c r="E21" s="117">
        <v>152.91999999999999</v>
      </c>
      <c r="F21" s="117">
        <v>65.865375615851988</v>
      </c>
      <c r="G21" s="174">
        <f t="shared" si="0"/>
        <v>76.029716005266138</v>
      </c>
      <c r="H21" s="176"/>
      <c r="CB21" s="305"/>
    </row>
    <row r="22" spans="1:80" hidden="1">
      <c r="A22" s="111" t="s">
        <v>19</v>
      </c>
      <c r="B22" s="175">
        <v>646.4</v>
      </c>
      <c r="C22" s="175">
        <v>582.24</v>
      </c>
      <c r="D22" s="117">
        <v>490.94</v>
      </c>
      <c r="E22" s="117">
        <v>155.44</v>
      </c>
      <c r="F22" s="117">
        <v>63.126025947326596</v>
      </c>
      <c r="G22" s="174">
        <f t="shared" si="0"/>
        <v>75.949876237623769</v>
      </c>
      <c r="H22" s="176"/>
      <c r="CA22" s="18">
        <v>-644</v>
      </c>
      <c r="CB22" s="305">
        <f t="shared" si="2"/>
        <v>-644</v>
      </c>
    </row>
    <row r="23" spans="1:80" hidden="1">
      <c r="A23" s="111" t="s">
        <v>20</v>
      </c>
      <c r="B23" s="175">
        <v>650.14</v>
      </c>
      <c r="C23" s="175">
        <v>561.9</v>
      </c>
      <c r="D23" s="117">
        <v>499.26</v>
      </c>
      <c r="E23" s="117">
        <v>150.86000000000001</v>
      </c>
      <c r="F23" s="117">
        <v>60.599741348599999</v>
      </c>
      <c r="G23" s="174">
        <f t="shared" si="0"/>
        <v>76.792690805057376</v>
      </c>
      <c r="H23" s="176"/>
      <c r="CA23" s="18">
        <v>-153</v>
      </c>
      <c r="CB23" s="305">
        <f t="shared" si="2"/>
        <v>-153</v>
      </c>
    </row>
    <row r="24" spans="1:80" hidden="1">
      <c r="A24" s="111" t="s">
        <v>21</v>
      </c>
      <c r="B24" s="175">
        <v>647.62</v>
      </c>
      <c r="C24" s="175">
        <v>584.26</v>
      </c>
      <c r="D24" s="117">
        <v>514.05999999999995</v>
      </c>
      <c r="E24" s="117">
        <v>133.56</v>
      </c>
      <c r="F24" s="117">
        <v>63.080844025105513</v>
      </c>
      <c r="G24" s="174">
        <f t="shared" si="0"/>
        <v>79.376795034124939</v>
      </c>
      <c r="H24" s="176"/>
      <c r="CB24" s="305"/>
    </row>
    <row r="25" spans="1:80" hidden="1">
      <c r="A25" s="111" t="s">
        <v>22</v>
      </c>
      <c r="B25" s="175">
        <v>684.48</v>
      </c>
      <c r="C25" s="175">
        <v>613.48</v>
      </c>
      <c r="D25" s="117">
        <v>548.88</v>
      </c>
      <c r="E25" s="117">
        <v>135.58000000000001</v>
      </c>
      <c r="F25" s="117">
        <v>70.212258458720001</v>
      </c>
      <c r="G25" s="174">
        <f t="shared" si="0"/>
        <v>80.189340813464227</v>
      </c>
      <c r="H25" s="176"/>
      <c r="CB25" s="305"/>
    </row>
    <row r="26" spans="1:80" hidden="1">
      <c r="A26" s="111" t="s">
        <v>23</v>
      </c>
      <c r="B26" s="175">
        <v>745.34</v>
      </c>
      <c r="C26" s="175">
        <v>670.96</v>
      </c>
      <c r="D26" s="117">
        <v>597.52</v>
      </c>
      <c r="E26" s="117">
        <v>147.80000000000001</v>
      </c>
      <c r="F26" s="117">
        <v>72.957527415908004</v>
      </c>
      <c r="G26" s="174">
        <f t="shared" si="0"/>
        <v>80.167440362787445</v>
      </c>
      <c r="H26" s="176"/>
      <c r="CB26" s="305"/>
    </row>
    <row r="27" spans="1:80" hidden="1">
      <c r="A27" s="111" t="s">
        <v>24</v>
      </c>
      <c r="B27" s="175">
        <v>794.8</v>
      </c>
      <c r="C27" s="175">
        <v>719.62</v>
      </c>
      <c r="D27" s="117">
        <v>626.96</v>
      </c>
      <c r="E27" s="117">
        <v>167.84</v>
      </c>
      <c r="F27" s="117">
        <v>74.484374637931978</v>
      </c>
      <c r="G27" s="174">
        <f t="shared" si="0"/>
        <v>78.882737795671872</v>
      </c>
      <c r="H27" s="176"/>
      <c r="CA27" s="18">
        <v>-31</v>
      </c>
      <c r="CB27" s="305">
        <f t="shared" si="2"/>
        <v>-31</v>
      </c>
    </row>
    <row r="28" spans="1:80" hidden="1">
      <c r="A28" s="111" t="s">
        <v>25</v>
      </c>
      <c r="B28" s="175">
        <v>813</v>
      </c>
      <c r="C28" s="175">
        <v>733.08</v>
      </c>
      <c r="D28" s="117">
        <v>637.67999999999995</v>
      </c>
      <c r="E28" s="117">
        <v>175.32</v>
      </c>
      <c r="F28" s="117">
        <v>79.165375298447998</v>
      </c>
      <c r="G28" s="174">
        <f t="shared" si="0"/>
        <v>78.435424354243537</v>
      </c>
      <c r="H28" s="176"/>
      <c r="CA28" s="18">
        <v>-440</v>
      </c>
      <c r="CB28" s="305">
        <f t="shared" si="2"/>
        <v>-440</v>
      </c>
    </row>
    <row r="29" spans="1:80" hidden="1">
      <c r="A29" s="111" t="s">
        <v>26</v>
      </c>
      <c r="B29" s="175">
        <v>822.78</v>
      </c>
      <c r="C29" s="175">
        <v>733.82</v>
      </c>
      <c r="D29" s="117">
        <v>655.74</v>
      </c>
      <c r="E29" s="117">
        <v>167.04</v>
      </c>
      <c r="F29" s="117">
        <v>84.806742949711989</v>
      </c>
      <c r="G29" s="174">
        <f t="shared" si="0"/>
        <v>79.698096696565301</v>
      </c>
      <c r="H29" s="176"/>
      <c r="CB29" s="305"/>
    </row>
    <row r="30" spans="1:80" hidden="1">
      <c r="A30" s="111" t="s">
        <v>27</v>
      </c>
      <c r="B30" s="175">
        <v>793.78</v>
      </c>
      <c r="C30" s="175">
        <v>709.4</v>
      </c>
      <c r="D30" s="117">
        <v>639.20000000000005</v>
      </c>
      <c r="E30" s="117">
        <v>154.56</v>
      </c>
      <c r="F30" s="117">
        <v>84.381368413608016</v>
      </c>
      <c r="G30" s="174">
        <f t="shared" si="0"/>
        <v>80.526090352490627</v>
      </c>
      <c r="H30" s="176"/>
      <c r="CA30" s="18">
        <f>CA32+CA33</f>
        <v>-498</v>
      </c>
      <c r="CB30" s="305">
        <f>BW30+BX30+BY30+CA30</f>
        <v>-498</v>
      </c>
    </row>
    <row r="31" spans="1:80" hidden="1">
      <c r="A31" s="111" t="s">
        <v>28</v>
      </c>
      <c r="B31" s="175">
        <v>734.78</v>
      </c>
      <c r="C31" s="175">
        <v>648.74</v>
      </c>
      <c r="D31" s="117">
        <v>593.82000000000005</v>
      </c>
      <c r="E31" s="117">
        <v>140.96</v>
      </c>
      <c r="F31" s="117">
        <v>83.704652027567988</v>
      </c>
      <c r="G31" s="174">
        <f t="shared" si="0"/>
        <v>80.816026565774806</v>
      </c>
      <c r="H31" s="176"/>
      <c r="CB31" s="305"/>
    </row>
    <row r="32" spans="1:80" hidden="1">
      <c r="A32" s="111" t="s">
        <v>29</v>
      </c>
      <c r="B32" s="175">
        <v>885.82</v>
      </c>
      <c r="C32" s="175">
        <v>687.76</v>
      </c>
      <c r="D32" s="117">
        <v>594.08000000000004</v>
      </c>
      <c r="E32" s="117">
        <v>291.72000000000003</v>
      </c>
      <c r="F32" s="117">
        <v>83.866874915644004</v>
      </c>
      <c r="G32" s="174">
        <f t="shared" si="0"/>
        <v>67.06554378993475</v>
      </c>
      <c r="H32" s="176"/>
      <c r="CA32" s="18">
        <v>-521</v>
      </c>
      <c r="CB32" s="305">
        <f>BW32+BX32+BY32+CA32</f>
        <v>-521</v>
      </c>
    </row>
    <row r="33" spans="1:80">
      <c r="A33" s="107">
        <v>2006</v>
      </c>
      <c r="B33" s="258">
        <v>2044.6</v>
      </c>
      <c r="C33" s="258">
        <v>1599.5</v>
      </c>
      <c r="D33" s="258">
        <v>1449.3</v>
      </c>
      <c r="E33" s="258">
        <v>594.9</v>
      </c>
      <c r="F33" s="258">
        <v>210.6</v>
      </c>
      <c r="G33" s="258">
        <v>70.884280543871668</v>
      </c>
      <c r="H33" s="176"/>
      <c r="CA33" s="18">
        <v>23</v>
      </c>
      <c r="CB33" s="305">
        <f>BW33+BX33+BY33+CA33</f>
        <v>23</v>
      </c>
    </row>
    <row r="34" spans="1:80" ht="15" hidden="1">
      <c r="A34" s="37" t="s">
        <v>18</v>
      </c>
      <c r="B34" s="257">
        <v>690.96</v>
      </c>
      <c r="C34" s="257">
        <v>604.02</v>
      </c>
      <c r="D34" s="257">
        <v>528.29999999999995</v>
      </c>
      <c r="E34" s="257">
        <v>162.66</v>
      </c>
      <c r="F34" s="257">
        <v>84.757518522400005</v>
      </c>
      <c r="G34" s="257">
        <f t="shared" ref="G34:G45" si="3">D34*100/B34</f>
        <v>76.458839874956567</v>
      </c>
      <c r="H34" s="177">
        <v>84.8</v>
      </c>
      <c r="I34" s="178">
        <v>26.02</v>
      </c>
      <c r="CB34" s="305"/>
    </row>
    <row r="35" spans="1:80" ht="15" hidden="1">
      <c r="A35" s="37" t="s">
        <v>19</v>
      </c>
      <c r="B35" s="257">
        <v>757.04</v>
      </c>
      <c r="C35" s="257">
        <v>645.20000000000005</v>
      </c>
      <c r="D35" s="257">
        <v>547.1</v>
      </c>
      <c r="E35" s="257">
        <v>209.92</v>
      </c>
      <c r="F35" s="257">
        <v>110.1569167</v>
      </c>
      <c r="G35" s="257">
        <f t="shared" si="3"/>
        <v>72.268308147521935</v>
      </c>
      <c r="H35" s="177">
        <v>110.2</v>
      </c>
      <c r="I35" s="178">
        <v>28.02</v>
      </c>
      <c r="CA35" s="18">
        <v>433</v>
      </c>
      <c r="CB35" s="305">
        <f t="shared" si="2"/>
        <v>433</v>
      </c>
    </row>
    <row r="36" spans="1:80" ht="15" hidden="1">
      <c r="A36" s="37" t="s">
        <v>20</v>
      </c>
      <c r="B36" s="257">
        <v>826.18</v>
      </c>
      <c r="C36" s="257">
        <v>712.38</v>
      </c>
      <c r="D36" s="257">
        <v>601.55999999999995</v>
      </c>
      <c r="E36" s="257">
        <v>224.62</v>
      </c>
      <c r="F36" s="257">
        <v>143.21556368500001</v>
      </c>
      <c r="G36" s="257">
        <f t="shared" si="3"/>
        <v>72.812220097315347</v>
      </c>
      <c r="H36" s="177">
        <v>110.2</v>
      </c>
      <c r="I36" s="178">
        <v>32.96</v>
      </c>
      <c r="CA36" s="18">
        <v>-931</v>
      </c>
      <c r="CB36" s="305">
        <f t="shared" si="2"/>
        <v>-931</v>
      </c>
    </row>
    <row r="37" spans="1:80" ht="15" hidden="1">
      <c r="A37" s="37" t="s">
        <v>21</v>
      </c>
      <c r="B37" s="257">
        <v>857.64</v>
      </c>
      <c r="C37" s="257">
        <v>742.14</v>
      </c>
      <c r="D37" s="257">
        <v>646.64</v>
      </c>
      <c r="E37" s="257">
        <v>211</v>
      </c>
      <c r="F37" s="257">
        <f t="shared" ref="F37:F84" si="4">H37+I37</f>
        <v>150.05000000000001</v>
      </c>
      <c r="G37" s="257">
        <f t="shared" si="3"/>
        <v>75.39760272375355</v>
      </c>
      <c r="H37" s="177">
        <v>114</v>
      </c>
      <c r="I37" s="178">
        <v>36.049999999999997</v>
      </c>
      <c r="CB37" s="305"/>
    </row>
    <row r="38" spans="1:80" ht="15" hidden="1">
      <c r="A38" s="37" t="s">
        <v>22</v>
      </c>
      <c r="B38" s="108">
        <v>932.8</v>
      </c>
      <c r="C38" s="108">
        <v>808.6</v>
      </c>
      <c r="D38" s="108">
        <v>725.6</v>
      </c>
      <c r="E38" s="108">
        <v>207.1</v>
      </c>
      <c r="F38" s="257">
        <f t="shared" si="4"/>
        <v>159.23000000000002</v>
      </c>
      <c r="G38" s="257">
        <f t="shared" si="3"/>
        <v>77.78730703259005</v>
      </c>
      <c r="H38" s="177">
        <v>121.7</v>
      </c>
      <c r="I38" s="178">
        <v>37.53</v>
      </c>
      <c r="CA38" s="18">
        <v>204</v>
      </c>
      <c r="CB38" s="305">
        <f t="shared" si="2"/>
        <v>204</v>
      </c>
    </row>
    <row r="39" spans="1:80" ht="15" hidden="1">
      <c r="A39" s="37" t="s">
        <v>23</v>
      </c>
      <c r="B39" s="108">
        <v>1083.7</v>
      </c>
      <c r="C39" s="108">
        <v>963.1</v>
      </c>
      <c r="D39" s="108">
        <v>824.2</v>
      </c>
      <c r="E39" s="108">
        <v>259.5</v>
      </c>
      <c r="F39" s="257">
        <f t="shared" si="4"/>
        <v>160.69999999999999</v>
      </c>
      <c r="G39" s="257">
        <f t="shared" si="3"/>
        <v>76.054258558641692</v>
      </c>
      <c r="H39" s="177">
        <v>119.9</v>
      </c>
      <c r="I39" s="178">
        <v>40.799999999999997</v>
      </c>
      <c r="CA39" s="18">
        <v>200</v>
      </c>
      <c r="CB39" s="305">
        <f t="shared" si="2"/>
        <v>200</v>
      </c>
    </row>
    <row r="40" spans="1:80" ht="15" hidden="1">
      <c r="A40" s="37" t="s">
        <v>24</v>
      </c>
      <c r="B40" s="108">
        <v>1202.0999999999999</v>
      </c>
      <c r="C40" s="108">
        <v>1073.3</v>
      </c>
      <c r="D40" s="108">
        <v>952.1</v>
      </c>
      <c r="E40" s="108">
        <v>246.4</v>
      </c>
      <c r="F40" s="257">
        <f t="shared" si="4"/>
        <v>172.4</v>
      </c>
      <c r="G40" s="257">
        <f t="shared" si="3"/>
        <v>79.203061309375272</v>
      </c>
      <c r="H40" s="177">
        <v>127.7</v>
      </c>
      <c r="I40" s="178">
        <v>44.7</v>
      </c>
      <c r="CB40" s="305"/>
    </row>
    <row r="41" spans="1:80" ht="15" hidden="1">
      <c r="A41" s="37" t="s">
        <v>25</v>
      </c>
      <c r="B41" s="108">
        <v>1295.5</v>
      </c>
      <c r="C41" s="108">
        <v>1159.7</v>
      </c>
      <c r="D41" s="108">
        <v>1016.9</v>
      </c>
      <c r="E41" s="108">
        <v>274.60000000000002</v>
      </c>
      <c r="F41" s="257">
        <f t="shared" si="4"/>
        <v>177.4</v>
      </c>
      <c r="G41" s="257">
        <f t="shared" si="3"/>
        <v>78.494789656503286</v>
      </c>
      <c r="H41" s="177">
        <v>126.9</v>
      </c>
      <c r="I41" s="178">
        <v>50.5</v>
      </c>
      <c r="CA41" s="18">
        <v>295</v>
      </c>
      <c r="CB41" s="305">
        <f t="shared" si="2"/>
        <v>295</v>
      </c>
    </row>
    <row r="42" spans="1:80" ht="15" hidden="1">
      <c r="A42" s="37" t="s">
        <v>26</v>
      </c>
      <c r="B42" s="108">
        <v>1325.1</v>
      </c>
      <c r="C42" s="108">
        <v>1193.4000000000001</v>
      </c>
      <c r="D42" s="257">
        <v>1102</v>
      </c>
      <c r="E42" s="108">
        <v>219.1</v>
      </c>
      <c r="F42" s="257">
        <f t="shared" si="4"/>
        <v>183.89999999999998</v>
      </c>
      <c r="G42" s="257">
        <f t="shared" si="3"/>
        <v>83.163534827560184</v>
      </c>
      <c r="H42" s="177">
        <v>130.19999999999999</v>
      </c>
      <c r="I42" s="178">
        <v>53.7</v>
      </c>
      <c r="CA42" s="18">
        <v>-95</v>
      </c>
      <c r="CB42" s="305">
        <f t="shared" si="2"/>
        <v>-95</v>
      </c>
    </row>
    <row r="43" spans="1:80" ht="15" hidden="1">
      <c r="A43" s="37" t="s">
        <v>27</v>
      </c>
      <c r="B43" s="108">
        <v>1465.3</v>
      </c>
      <c r="C43" s="108">
        <v>1333.7</v>
      </c>
      <c r="D43" s="108">
        <v>1202.4000000000001</v>
      </c>
      <c r="E43" s="108">
        <v>260.8</v>
      </c>
      <c r="F43" s="257">
        <f t="shared" si="4"/>
        <v>187.4</v>
      </c>
      <c r="G43" s="257">
        <f t="shared" si="3"/>
        <v>82.058281580563715</v>
      </c>
      <c r="H43" s="177">
        <v>128.9</v>
      </c>
      <c r="I43" s="178">
        <v>58.5</v>
      </c>
      <c r="CB43" s="305"/>
    </row>
    <row r="44" spans="1:80" ht="15" hidden="1">
      <c r="A44" s="37" t="s">
        <v>28</v>
      </c>
      <c r="B44" s="108">
        <v>1546.9</v>
      </c>
      <c r="C44" s="257">
        <v>1413</v>
      </c>
      <c r="D44" s="108">
        <v>1230.0999999999999</v>
      </c>
      <c r="E44" s="108">
        <v>316.39999999999998</v>
      </c>
      <c r="F44" s="257">
        <v>194.19941679999999</v>
      </c>
      <c r="G44" s="257">
        <f t="shared" si="3"/>
        <v>79.52033098454973</v>
      </c>
      <c r="H44" s="177">
        <v>127.3</v>
      </c>
      <c r="I44" s="178">
        <v>66.8</v>
      </c>
      <c r="CA44" s="18">
        <v>0</v>
      </c>
      <c r="CB44" s="305">
        <f t="shared" si="2"/>
        <v>0</v>
      </c>
    </row>
    <row r="45" spans="1:80" ht="15" hidden="1">
      <c r="A45" s="37" t="s">
        <v>29</v>
      </c>
      <c r="B45" s="108">
        <v>2044.6</v>
      </c>
      <c r="C45" s="108">
        <v>1599.5</v>
      </c>
      <c r="D45" s="108">
        <v>1449.3</v>
      </c>
      <c r="E45" s="108">
        <v>594.9</v>
      </c>
      <c r="F45" s="257">
        <f t="shared" si="4"/>
        <v>210.6</v>
      </c>
      <c r="G45" s="257">
        <f t="shared" si="3"/>
        <v>70.884280543871668</v>
      </c>
      <c r="H45" s="177">
        <v>132.19999999999999</v>
      </c>
      <c r="I45" s="178">
        <v>78.400000000000006</v>
      </c>
      <c r="CB45" s="305"/>
    </row>
    <row r="46" spans="1:80" ht="15">
      <c r="A46" s="37" t="s">
        <v>121</v>
      </c>
      <c r="B46" s="108">
        <v>3440.8</v>
      </c>
      <c r="C46" s="108">
        <v>3220.8</v>
      </c>
      <c r="D46" s="108">
        <v>2911.2</v>
      </c>
      <c r="E46" s="108">
        <v>529.29999999999995</v>
      </c>
      <c r="F46" s="257">
        <v>334.8</v>
      </c>
      <c r="G46" s="257">
        <v>84.608230644036269</v>
      </c>
      <c r="H46" s="177"/>
      <c r="I46" s="178"/>
      <c r="CA46" s="18">
        <f>CA47-CA51</f>
        <v>481</v>
      </c>
      <c r="CB46" s="305">
        <f t="shared" si="2"/>
        <v>481</v>
      </c>
    </row>
    <row r="47" spans="1:80" ht="15" hidden="1">
      <c r="A47" s="37" t="s">
        <v>18</v>
      </c>
      <c r="B47" s="257">
        <v>1596.8</v>
      </c>
      <c r="C47" s="257">
        <v>1460.3</v>
      </c>
      <c r="D47" s="257">
        <v>1324.4</v>
      </c>
      <c r="E47" s="257">
        <v>271.89999999999998</v>
      </c>
      <c r="F47" s="257">
        <f t="shared" si="4"/>
        <v>216.2</v>
      </c>
      <c r="G47" s="257">
        <f t="shared" ref="G47:G58" si="5">D47*100/B47</f>
        <v>82.940881763527059</v>
      </c>
      <c r="H47" s="177">
        <v>133.6</v>
      </c>
      <c r="I47" s="178">
        <v>82.6</v>
      </c>
      <c r="CA47" s="18">
        <f>CA49+CA50</f>
        <v>965</v>
      </c>
      <c r="CB47" s="305">
        <f t="shared" si="2"/>
        <v>965</v>
      </c>
    </row>
    <row r="48" spans="1:80" ht="15" hidden="1">
      <c r="A48" s="37" t="s">
        <v>19</v>
      </c>
      <c r="B48" s="257">
        <v>1698.8</v>
      </c>
      <c r="C48" s="257">
        <v>1563.7</v>
      </c>
      <c r="D48" s="257">
        <v>1388.6</v>
      </c>
      <c r="E48" s="257">
        <v>309.5</v>
      </c>
      <c r="F48" s="257">
        <f t="shared" si="4"/>
        <v>209.3</v>
      </c>
      <c r="G48" s="257">
        <f t="shared" si="5"/>
        <v>81.740051801271491</v>
      </c>
      <c r="H48" s="177">
        <v>132</v>
      </c>
      <c r="I48" s="178">
        <v>77.3</v>
      </c>
      <c r="CB48" s="305"/>
    </row>
    <row r="49" spans="1:80" ht="15" hidden="1">
      <c r="A49" s="37" t="s">
        <v>20</v>
      </c>
      <c r="B49" s="257">
        <v>1798.4</v>
      </c>
      <c r="C49" s="257">
        <v>1662.5</v>
      </c>
      <c r="D49" s="257">
        <v>1482.8</v>
      </c>
      <c r="E49" s="257">
        <v>314.89999999999998</v>
      </c>
      <c r="F49" s="257">
        <f t="shared" si="4"/>
        <v>222.2</v>
      </c>
      <c r="G49" s="257">
        <f t="shared" si="5"/>
        <v>82.45106761565836</v>
      </c>
      <c r="H49" s="177">
        <v>131.9</v>
      </c>
      <c r="I49" s="178">
        <v>90.3</v>
      </c>
      <c r="CA49" s="18">
        <v>954</v>
      </c>
      <c r="CB49" s="305">
        <f t="shared" si="2"/>
        <v>954</v>
      </c>
    </row>
    <row r="50" spans="1:80" ht="15" hidden="1">
      <c r="A50" s="37" t="s">
        <v>21</v>
      </c>
      <c r="B50" s="257">
        <v>1819.5</v>
      </c>
      <c r="C50" s="257">
        <v>1685.8</v>
      </c>
      <c r="D50" s="257">
        <v>1546.4</v>
      </c>
      <c r="E50" s="257">
        <v>272.5</v>
      </c>
      <c r="F50" s="257">
        <f t="shared" si="4"/>
        <v>225.5</v>
      </c>
      <c r="G50" s="257">
        <f t="shared" si="5"/>
        <v>84.990381973069518</v>
      </c>
      <c r="H50" s="177">
        <v>127.5</v>
      </c>
      <c r="I50" s="178">
        <v>98</v>
      </c>
      <c r="CA50" s="18">
        <v>11</v>
      </c>
      <c r="CB50" s="305">
        <f t="shared" si="2"/>
        <v>11</v>
      </c>
    </row>
    <row r="51" spans="1:80" ht="15" hidden="1">
      <c r="A51" s="37" t="s">
        <v>22</v>
      </c>
      <c r="B51" s="257">
        <v>1907.8</v>
      </c>
      <c r="C51" s="257">
        <v>1779</v>
      </c>
      <c r="D51" s="257">
        <v>1660.3</v>
      </c>
      <c r="E51" s="257">
        <v>246.2</v>
      </c>
      <c r="F51" s="257">
        <f t="shared" si="4"/>
        <v>229.8</v>
      </c>
      <c r="G51" s="257">
        <f t="shared" si="5"/>
        <v>87.026942027466191</v>
      </c>
      <c r="H51" s="177">
        <v>126</v>
      </c>
      <c r="I51" s="178">
        <v>103.8</v>
      </c>
      <c r="CA51" s="18">
        <f>CA53+CA54+CA55+CA56</f>
        <v>484</v>
      </c>
      <c r="CB51" s="305">
        <f t="shared" si="2"/>
        <v>484</v>
      </c>
    </row>
    <row r="52" spans="1:80" ht="15" hidden="1">
      <c r="A52" s="37" t="s">
        <v>23</v>
      </c>
      <c r="B52" s="257">
        <v>2226</v>
      </c>
      <c r="C52" s="257">
        <v>2032.4</v>
      </c>
      <c r="D52" s="257">
        <v>1854.9</v>
      </c>
      <c r="E52" s="257">
        <v>369.9</v>
      </c>
      <c r="F52" s="257">
        <f t="shared" si="4"/>
        <v>238.6</v>
      </c>
      <c r="G52" s="257">
        <f t="shared" si="5"/>
        <v>83.328840970350399</v>
      </c>
      <c r="H52" s="177">
        <v>129.19999999999999</v>
      </c>
      <c r="I52" s="178">
        <v>109.4</v>
      </c>
      <c r="CB52" s="305"/>
    </row>
    <row r="53" spans="1:80" ht="15" hidden="1">
      <c r="A53" s="37" t="s">
        <v>24</v>
      </c>
      <c r="B53" s="257">
        <v>2388.1</v>
      </c>
      <c r="C53" s="257">
        <v>2245.9</v>
      </c>
      <c r="D53" s="257">
        <v>2009.3</v>
      </c>
      <c r="E53" s="257">
        <v>378</v>
      </c>
      <c r="F53" s="257">
        <f t="shared" si="4"/>
        <v>246.3</v>
      </c>
      <c r="G53" s="257">
        <f t="shared" si="5"/>
        <v>84.138017670951811</v>
      </c>
      <c r="H53" s="177">
        <v>137.9</v>
      </c>
      <c r="I53" s="178">
        <v>108.4</v>
      </c>
      <c r="CA53" s="18">
        <v>1214</v>
      </c>
      <c r="CB53" s="305">
        <f t="shared" si="2"/>
        <v>1214</v>
      </c>
    </row>
    <row r="54" spans="1:80" ht="15" hidden="1">
      <c r="A54" s="37" t="s">
        <v>25</v>
      </c>
      <c r="B54" s="257">
        <v>2541.3000000000002</v>
      </c>
      <c r="C54" s="257">
        <v>2392.3000000000002</v>
      </c>
      <c r="D54" s="257">
        <v>2059.9</v>
      </c>
      <c r="E54" s="257">
        <v>479.1</v>
      </c>
      <c r="F54" s="257">
        <v>249.45809219999998</v>
      </c>
      <c r="G54" s="257">
        <f t="shared" si="5"/>
        <v>81.056939361743986</v>
      </c>
      <c r="H54" s="177">
        <v>141.9</v>
      </c>
      <c r="I54" s="178">
        <v>111.8</v>
      </c>
      <c r="CA54" s="18">
        <v>-745</v>
      </c>
      <c r="CB54" s="305">
        <f t="shared" si="2"/>
        <v>-745</v>
      </c>
    </row>
    <row r="55" spans="1:80" ht="15" hidden="1">
      <c r="A55" s="37" t="s">
        <v>26</v>
      </c>
      <c r="B55" s="257">
        <v>2632.9</v>
      </c>
      <c r="C55" s="257">
        <v>2480.6</v>
      </c>
      <c r="D55" s="257">
        <v>2189.6999999999998</v>
      </c>
      <c r="E55" s="257">
        <v>442.8</v>
      </c>
      <c r="F55" s="257">
        <v>263.55651039999998</v>
      </c>
      <c r="G55" s="257">
        <f t="shared" si="5"/>
        <v>83.166850241178921</v>
      </c>
      <c r="H55" s="177">
        <v>147.6</v>
      </c>
      <c r="I55" s="178">
        <v>125.9</v>
      </c>
      <c r="CA55" s="18">
        <v>0</v>
      </c>
      <c r="CB55" s="305">
        <f>BW55+BX55+BY55+CA55</f>
        <v>0</v>
      </c>
    </row>
    <row r="56" spans="1:80" ht="15" hidden="1">
      <c r="A56" s="37" t="s">
        <v>27</v>
      </c>
      <c r="B56" s="257">
        <v>2690.7</v>
      </c>
      <c r="C56" s="257">
        <v>2520.5</v>
      </c>
      <c r="D56" s="257">
        <v>2289</v>
      </c>
      <c r="E56" s="257">
        <v>401.2</v>
      </c>
      <c r="F56" s="257">
        <f t="shared" si="4"/>
        <v>304.8</v>
      </c>
      <c r="G56" s="257">
        <f t="shared" si="5"/>
        <v>85.070799420225228</v>
      </c>
      <c r="H56" s="177">
        <v>166.8</v>
      </c>
      <c r="I56" s="178">
        <v>138</v>
      </c>
      <c r="CA56" s="18">
        <v>15</v>
      </c>
      <c r="CB56" s="305">
        <f>BW56+BX56+BY56+CA56</f>
        <v>15</v>
      </c>
    </row>
    <row r="57" spans="1:80" ht="15" hidden="1">
      <c r="A57" s="37" t="s">
        <v>28</v>
      </c>
      <c r="B57" s="257">
        <v>2785.1</v>
      </c>
      <c r="C57" s="257">
        <v>2612.5</v>
      </c>
      <c r="D57" s="257">
        <v>2409</v>
      </c>
      <c r="E57" s="257">
        <v>375.8</v>
      </c>
      <c r="F57" s="257">
        <f t="shared" si="4"/>
        <v>312.39999999999998</v>
      </c>
      <c r="G57" s="257">
        <f t="shared" si="5"/>
        <v>86.495996553086073</v>
      </c>
      <c r="H57" s="177">
        <v>167.5</v>
      </c>
      <c r="I57" s="178">
        <v>144.9</v>
      </c>
      <c r="CA57" s="18">
        <v>-372</v>
      </c>
      <c r="CB57" s="305">
        <f>BW57+BX57+BY57+CA57</f>
        <v>-372</v>
      </c>
    </row>
    <row r="58" spans="1:80" ht="15" hidden="1">
      <c r="A58" s="37" t="s">
        <v>29</v>
      </c>
      <c r="B58" s="257">
        <v>3440.8</v>
      </c>
      <c r="C58" s="257">
        <v>3220.8</v>
      </c>
      <c r="D58" s="257">
        <v>2911.2</v>
      </c>
      <c r="E58" s="257">
        <v>529.29999999999995</v>
      </c>
      <c r="F58" s="257">
        <f t="shared" si="4"/>
        <v>334.8</v>
      </c>
      <c r="G58" s="257">
        <f t="shared" si="5"/>
        <v>84.608230644036269</v>
      </c>
      <c r="H58" s="177">
        <v>179.8</v>
      </c>
      <c r="I58" s="178">
        <v>155</v>
      </c>
      <c r="CA58" s="18">
        <v>-231</v>
      </c>
      <c r="CB58" s="305">
        <f>BW58+BX58+BY58+CA58</f>
        <v>-231</v>
      </c>
    </row>
    <row r="59" spans="1:80" ht="15">
      <c r="A59" s="37" t="s">
        <v>114</v>
      </c>
      <c r="B59" s="257">
        <v>4963.8999999999996</v>
      </c>
      <c r="C59" s="257">
        <v>4781.3</v>
      </c>
      <c r="D59" s="257">
        <v>4425.8</v>
      </c>
      <c r="E59" s="257">
        <v>537.5</v>
      </c>
      <c r="F59" s="257">
        <v>223.90902680000002</v>
      </c>
      <c r="G59" s="257">
        <v>89.159733274240025</v>
      </c>
      <c r="H59" s="177"/>
      <c r="I59" s="178"/>
      <c r="CB59" s="305"/>
    </row>
    <row r="60" spans="1:80" ht="12.75" hidden="1" customHeight="1">
      <c r="A60" s="37" t="s">
        <v>18</v>
      </c>
      <c r="B60" s="614">
        <v>3074.5</v>
      </c>
      <c r="C60" s="614">
        <v>2895.6</v>
      </c>
      <c r="D60" s="614">
        <v>2701.5</v>
      </c>
      <c r="E60" s="614">
        <v>372.3</v>
      </c>
      <c r="F60" s="614">
        <f t="shared" si="4"/>
        <v>342.6</v>
      </c>
      <c r="G60" s="614">
        <f t="shared" ref="G60:G71" si="6">D60*100/B60</f>
        <v>87.867946007480896</v>
      </c>
      <c r="H60" s="177">
        <v>176.3</v>
      </c>
      <c r="I60" s="178">
        <v>166.3</v>
      </c>
      <c r="CA60" s="18">
        <f>CA7+CA44-CA46+CA57-CA58</f>
        <v>0</v>
      </c>
      <c r="CB60" s="305">
        <f>BW60+BX60+BY60+CA60</f>
        <v>0</v>
      </c>
    </row>
    <row r="61" spans="1:80" ht="15" hidden="1">
      <c r="A61" s="37" t="s">
        <v>19</v>
      </c>
      <c r="B61" s="614">
        <v>3194.3</v>
      </c>
      <c r="C61" s="614">
        <v>3022</v>
      </c>
      <c r="D61" s="614">
        <v>2735.7</v>
      </c>
      <c r="E61" s="614">
        <v>457.5</v>
      </c>
      <c r="F61" s="614">
        <f t="shared" si="4"/>
        <v>333.6</v>
      </c>
      <c r="G61" s="614">
        <f t="shared" si="6"/>
        <v>85.643176908868924</v>
      </c>
      <c r="H61" s="177">
        <v>170.5</v>
      </c>
      <c r="I61" s="178">
        <v>163.1</v>
      </c>
    </row>
    <row r="62" spans="1:80" ht="15" hidden="1">
      <c r="A62" s="37" t="s">
        <v>20</v>
      </c>
      <c r="B62" s="614">
        <v>3468</v>
      </c>
      <c r="C62" s="614">
        <v>3246.4</v>
      </c>
      <c r="D62" s="614">
        <v>2949.2</v>
      </c>
      <c r="E62" s="614">
        <v>518</v>
      </c>
      <c r="F62" s="614">
        <f t="shared" si="4"/>
        <v>378.7</v>
      </c>
      <c r="G62" s="614">
        <f t="shared" si="6"/>
        <v>85.040369088812</v>
      </c>
      <c r="H62" s="177">
        <v>212.1</v>
      </c>
      <c r="I62" s="18">
        <v>166.6</v>
      </c>
    </row>
    <row r="63" spans="1:80" hidden="1">
      <c r="A63" s="37" t="s">
        <v>21</v>
      </c>
      <c r="B63" s="614">
        <v>3463.4</v>
      </c>
      <c r="C63" s="614">
        <v>3291.2</v>
      </c>
      <c r="D63" s="614">
        <v>3070</v>
      </c>
      <c r="E63" s="614">
        <v>390.8</v>
      </c>
      <c r="F63" s="614">
        <f t="shared" si="4"/>
        <v>341.79999999999995</v>
      </c>
      <c r="G63" s="614">
        <f t="shared" si="6"/>
        <v>88.64121961078709</v>
      </c>
      <c r="H63" s="176">
        <v>170.2</v>
      </c>
      <c r="I63" s="18">
        <v>171.6</v>
      </c>
    </row>
    <row r="64" spans="1:80" hidden="1">
      <c r="A64" s="37" t="s">
        <v>22</v>
      </c>
      <c r="B64" s="614">
        <v>3489.1</v>
      </c>
      <c r="C64" s="614">
        <v>3321.2</v>
      </c>
      <c r="D64" s="614">
        <v>3160.8</v>
      </c>
      <c r="E64" s="614">
        <v>327.53356411000004</v>
      </c>
      <c r="F64" s="614">
        <v>337.7664934</v>
      </c>
      <c r="G64" s="614">
        <f t="shared" si="6"/>
        <v>90.590696741279984</v>
      </c>
      <c r="H64" s="117">
        <v>165.7</v>
      </c>
      <c r="I64" s="117">
        <v>172</v>
      </c>
    </row>
    <row r="65" spans="1:9" hidden="1">
      <c r="A65" s="37" t="s">
        <v>23</v>
      </c>
      <c r="B65" s="614">
        <v>3959</v>
      </c>
      <c r="C65" s="614">
        <v>3748.5</v>
      </c>
      <c r="D65" s="614">
        <v>3412</v>
      </c>
      <c r="E65" s="614">
        <v>546</v>
      </c>
      <c r="F65" s="614">
        <f t="shared" si="4"/>
        <v>379.8</v>
      </c>
      <c r="G65" s="614">
        <f t="shared" si="6"/>
        <v>86.183379641323569</v>
      </c>
      <c r="H65" s="117">
        <v>208.5</v>
      </c>
      <c r="I65" s="18">
        <v>171.3</v>
      </c>
    </row>
    <row r="66" spans="1:9" hidden="1">
      <c r="A66" s="37" t="s">
        <v>24</v>
      </c>
      <c r="B66" s="614">
        <v>4072</v>
      </c>
      <c r="C66" s="614">
        <v>3873</v>
      </c>
      <c r="D66" s="614">
        <v>3690.2</v>
      </c>
      <c r="E66" s="614">
        <v>380.5</v>
      </c>
      <c r="F66" s="614">
        <f t="shared" si="4"/>
        <v>364.8</v>
      </c>
      <c r="G66" s="614">
        <f t="shared" si="6"/>
        <v>90.623772102161098</v>
      </c>
      <c r="H66" s="117">
        <v>191.3</v>
      </c>
      <c r="I66" s="18">
        <v>173.5</v>
      </c>
    </row>
    <row r="67" spans="1:9" ht="14.25" hidden="1" customHeight="1">
      <c r="A67" s="37" t="s">
        <v>25</v>
      </c>
      <c r="B67" s="614">
        <v>4315.2</v>
      </c>
      <c r="C67" s="614">
        <v>4046.7</v>
      </c>
      <c r="D67" s="614">
        <v>3760.3</v>
      </c>
      <c r="E67" s="614">
        <v>552.79999999999995</v>
      </c>
      <c r="F67" s="614">
        <f t="shared" si="4"/>
        <v>476.90000000000003</v>
      </c>
      <c r="G67" s="614">
        <f t="shared" si="6"/>
        <v>87.140804597701148</v>
      </c>
      <c r="H67" s="117">
        <v>256.60000000000002</v>
      </c>
      <c r="I67" s="18">
        <v>220.3</v>
      </c>
    </row>
    <row r="68" spans="1:9" ht="15.75" hidden="1" customHeight="1">
      <c r="A68" s="37" t="s">
        <v>26</v>
      </c>
      <c r="B68" s="614">
        <v>4453.3999999999996</v>
      </c>
      <c r="C68" s="614">
        <v>4172.6000000000004</v>
      </c>
      <c r="D68" s="614">
        <v>3857.1</v>
      </c>
      <c r="E68" s="614">
        <v>595</v>
      </c>
      <c r="F68" s="614">
        <v>489.63989670000001</v>
      </c>
      <c r="G68" s="614">
        <f t="shared" si="6"/>
        <v>86.610230385772681</v>
      </c>
      <c r="H68" s="117">
        <v>256.60000000000002</v>
      </c>
      <c r="I68" s="18">
        <v>232.8</v>
      </c>
    </row>
    <row r="69" spans="1:9" ht="15.75" hidden="1" customHeight="1">
      <c r="A69" s="37" t="s">
        <v>27</v>
      </c>
      <c r="B69" s="614">
        <v>4265.6000000000004</v>
      </c>
      <c r="C69" s="614">
        <v>4082</v>
      </c>
      <c r="D69" s="614">
        <v>3858.9</v>
      </c>
      <c r="E69" s="614">
        <v>405.4</v>
      </c>
      <c r="F69" s="614">
        <v>311.68815119999999</v>
      </c>
      <c r="G69" s="614">
        <f t="shared" si="6"/>
        <v>90.465585146286557</v>
      </c>
      <c r="H69" s="117">
        <v>145.19999999999999</v>
      </c>
      <c r="I69" s="18">
        <v>166.5</v>
      </c>
    </row>
    <row r="70" spans="1:9" ht="15.75" hidden="1" customHeight="1">
      <c r="A70" s="37" t="s">
        <v>28</v>
      </c>
      <c r="B70" s="614">
        <v>4382.3</v>
      </c>
      <c r="C70" s="614">
        <v>4212.5</v>
      </c>
      <c r="D70" s="614">
        <v>3938.5</v>
      </c>
      <c r="E70" s="614">
        <v>443.4</v>
      </c>
      <c r="F70" s="614">
        <v>303.2587906</v>
      </c>
      <c r="G70" s="614">
        <f t="shared" si="6"/>
        <v>89.872897793396163</v>
      </c>
      <c r="H70" s="117">
        <v>138.9</v>
      </c>
      <c r="I70" s="18">
        <v>164.3</v>
      </c>
    </row>
    <row r="71" spans="1:9" ht="18.75" hidden="1" customHeight="1">
      <c r="A71" s="37" t="s">
        <v>29</v>
      </c>
      <c r="B71" s="614">
        <v>4963.8999999999996</v>
      </c>
      <c r="C71" s="614">
        <v>4781.3</v>
      </c>
      <c r="D71" s="614">
        <v>4425.8</v>
      </c>
      <c r="E71" s="614">
        <v>537.5</v>
      </c>
      <c r="F71" s="614">
        <v>223.90902680000002</v>
      </c>
      <c r="G71" s="614">
        <f t="shared" si="6"/>
        <v>89.159733274240025</v>
      </c>
      <c r="H71" s="117">
        <v>123.5</v>
      </c>
      <c r="I71" s="18">
        <v>108</v>
      </c>
    </row>
    <row r="72" spans="1:9" ht="15.75" customHeight="1">
      <c r="A72" s="37" t="s">
        <v>43</v>
      </c>
      <c r="B72" s="456">
        <v>4907.7</v>
      </c>
      <c r="C72" s="456">
        <v>4861</v>
      </c>
      <c r="D72" s="456">
        <v>4512.7</v>
      </c>
      <c r="E72" s="456">
        <v>392</v>
      </c>
      <c r="F72" s="456">
        <v>20.399999999999999</v>
      </c>
      <c r="G72" s="456">
        <v>91.951423273631235</v>
      </c>
      <c r="H72" s="117"/>
    </row>
    <row r="73" spans="1:9" ht="14.25" hidden="1" customHeight="1">
      <c r="A73" s="37" t="s">
        <v>18</v>
      </c>
      <c r="B73" s="456">
        <v>4452</v>
      </c>
      <c r="C73" s="456">
        <v>4300.2</v>
      </c>
      <c r="D73" s="456">
        <v>4134.8</v>
      </c>
      <c r="E73" s="456">
        <v>316.10000000000002</v>
      </c>
      <c r="F73" s="456">
        <v>206.76007239999998</v>
      </c>
      <c r="G73" s="456">
        <f>D73*100/B73</f>
        <v>92.875112309074566</v>
      </c>
      <c r="H73" s="117">
        <v>98.8</v>
      </c>
      <c r="I73" s="18">
        <v>109.8</v>
      </c>
    </row>
    <row r="74" spans="1:9" ht="15.75" hidden="1" customHeight="1">
      <c r="A74" s="37" t="s">
        <v>19</v>
      </c>
      <c r="B74" s="456">
        <v>4215.3999999999996</v>
      </c>
      <c r="C74" s="456">
        <v>4127.8</v>
      </c>
      <c r="D74" s="456">
        <v>3926</v>
      </c>
      <c r="E74" s="456">
        <v>285.7</v>
      </c>
      <c r="F74" s="456">
        <f t="shared" si="4"/>
        <v>102.80000000000001</v>
      </c>
      <c r="G74" s="456">
        <f>D74*100/B74</f>
        <v>93.134696588698588</v>
      </c>
      <c r="H74" s="117">
        <v>50.2</v>
      </c>
      <c r="I74" s="18">
        <v>52.6</v>
      </c>
    </row>
    <row r="75" spans="1:9" ht="18" hidden="1" customHeight="1">
      <c r="A75" s="37" t="s">
        <v>20</v>
      </c>
      <c r="B75" s="456">
        <v>3751.8</v>
      </c>
      <c r="C75" s="456">
        <v>3702.1</v>
      </c>
      <c r="D75" s="456">
        <v>3571.6</v>
      </c>
      <c r="E75" s="456">
        <v>178</v>
      </c>
      <c r="F75" s="456">
        <f t="shared" si="4"/>
        <v>17.600000000000001</v>
      </c>
      <c r="G75" s="456">
        <f t="shared" ref="G75:G84" si="7">D75*100/B75</f>
        <v>95.19697212004904</v>
      </c>
      <c r="H75" s="117">
        <v>9.6</v>
      </c>
      <c r="I75" s="117">
        <v>8</v>
      </c>
    </row>
    <row r="76" spans="1:9" ht="16.5" hidden="1" customHeight="1">
      <c r="A76" s="37" t="s">
        <v>21</v>
      </c>
      <c r="B76" s="456">
        <v>3742.3</v>
      </c>
      <c r="C76" s="456">
        <v>3679.6</v>
      </c>
      <c r="D76" s="456">
        <v>3528.8</v>
      </c>
      <c r="E76" s="456">
        <v>211.9</v>
      </c>
      <c r="F76" s="456">
        <f t="shared" si="4"/>
        <v>16.8</v>
      </c>
      <c r="G76" s="456">
        <f t="shared" si="7"/>
        <v>94.294952302060224</v>
      </c>
      <c r="H76" s="117">
        <v>9.3000000000000007</v>
      </c>
      <c r="I76" s="18">
        <v>7.5</v>
      </c>
    </row>
    <row r="77" spans="1:9" ht="15.75" hidden="1" customHeight="1">
      <c r="A77" s="37" t="s">
        <v>22</v>
      </c>
      <c r="B77" s="456">
        <v>3880.5</v>
      </c>
      <c r="C77" s="456">
        <v>3820.5</v>
      </c>
      <c r="D77" s="456">
        <v>3633</v>
      </c>
      <c r="E77" s="456">
        <v>243.4</v>
      </c>
      <c r="F77" s="456">
        <f t="shared" si="4"/>
        <v>12.4</v>
      </c>
      <c r="G77" s="456">
        <f t="shared" si="7"/>
        <v>93.621955933513718</v>
      </c>
      <c r="H77" s="18">
        <v>5.5</v>
      </c>
      <c r="I77" s="18">
        <v>6.9</v>
      </c>
    </row>
    <row r="78" spans="1:9" ht="16.5" hidden="1" customHeight="1">
      <c r="A78" s="37" t="s">
        <v>23</v>
      </c>
      <c r="B78" s="456">
        <v>3935.6</v>
      </c>
      <c r="C78" s="456">
        <v>3888.9</v>
      </c>
      <c r="D78" s="456">
        <v>3726.1</v>
      </c>
      <c r="E78" s="456">
        <v>205.5</v>
      </c>
      <c r="F78" s="456">
        <f t="shared" si="4"/>
        <v>12.1</v>
      </c>
      <c r="G78" s="456">
        <f t="shared" si="7"/>
        <v>94.676796422400656</v>
      </c>
      <c r="H78" s="117">
        <v>5.0999999999999996</v>
      </c>
      <c r="I78" s="117">
        <v>7</v>
      </c>
    </row>
    <row r="79" spans="1:9" ht="17.25" hidden="1" customHeight="1">
      <c r="A79" s="37" t="s">
        <v>24</v>
      </c>
      <c r="B79" s="456">
        <v>4177.7</v>
      </c>
      <c r="C79" s="456">
        <v>4129.1000000000004</v>
      </c>
      <c r="D79" s="456">
        <v>3868.9</v>
      </c>
      <c r="E79" s="456">
        <v>304</v>
      </c>
      <c r="F79" s="456">
        <f t="shared" si="4"/>
        <v>12.100000000000001</v>
      </c>
      <c r="G79" s="456">
        <f t="shared" si="7"/>
        <v>92.60837302822128</v>
      </c>
      <c r="H79" s="18">
        <v>5.4</v>
      </c>
      <c r="I79" s="18">
        <v>6.7</v>
      </c>
    </row>
    <row r="80" spans="1:9" ht="18" hidden="1" customHeight="1">
      <c r="A80" s="37" t="s">
        <v>25</v>
      </c>
      <c r="B80" s="456">
        <v>4233.8999999999996</v>
      </c>
      <c r="C80" s="456">
        <v>4172</v>
      </c>
      <c r="D80" s="456">
        <v>3890.9</v>
      </c>
      <c r="E80" s="456">
        <v>337.5</v>
      </c>
      <c r="F80" s="456">
        <f t="shared" si="4"/>
        <v>12.2</v>
      </c>
      <c r="G80" s="456">
        <f t="shared" si="7"/>
        <v>91.898722218285755</v>
      </c>
      <c r="H80" s="18">
        <v>5.4</v>
      </c>
      <c r="I80" s="18">
        <v>6.8</v>
      </c>
    </row>
    <row r="81" spans="1:9" ht="17.25" hidden="1" customHeight="1">
      <c r="A81" s="37" t="s">
        <v>26</v>
      </c>
      <c r="B81" s="456">
        <v>4180.6000000000004</v>
      </c>
      <c r="C81" s="456">
        <v>4170.3999999999996</v>
      </c>
      <c r="D81" s="456">
        <v>3887.6</v>
      </c>
      <c r="E81" s="456">
        <v>290.3</v>
      </c>
      <c r="F81" s="456">
        <f t="shared" si="4"/>
        <v>13.9</v>
      </c>
      <c r="G81" s="456">
        <f t="shared" si="7"/>
        <v>92.991436635889571</v>
      </c>
      <c r="H81" s="117">
        <v>6</v>
      </c>
      <c r="I81" s="18">
        <v>7.9</v>
      </c>
    </row>
    <row r="82" spans="1:9" ht="18.75" hidden="1" customHeight="1">
      <c r="A82" s="37" t="s">
        <v>27</v>
      </c>
      <c r="B82" s="456">
        <v>4214</v>
      </c>
      <c r="C82" s="456">
        <v>4193.5</v>
      </c>
      <c r="D82" s="456">
        <v>3920.6</v>
      </c>
      <c r="E82" s="456">
        <v>289</v>
      </c>
      <c r="F82" s="456">
        <f t="shared" si="4"/>
        <v>13.8</v>
      </c>
      <c r="G82" s="456">
        <f t="shared" si="7"/>
        <v>93.037494067394405</v>
      </c>
      <c r="H82" s="117">
        <v>6.2</v>
      </c>
      <c r="I82" s="18">
        <v>7.6</v>
      </c>
    </row>
    <row r="83" spans="1:9" ht="17.25" hidden="1" customHeight="1">
      <c r="A83" s="37" t="s">
        <v>28</v>
      </c>
      <c r="B83" s="456">
        <v>4360.6000000000004</v>
      </c>
      <c r="C83" s="456">
        <v>4337.1000000000004</v>
      </c>
      <c r="D83" s="456">
        <v>4106.2</v>
      </c>
      <c r="E83" s="456">
        <v>248.5</v>
      </c>
      <c r="F83" s="456">
        <f t="shared" si="4"/>
        <v>17.899999999999999</v>
      </c>
      <c r="G83" s="456">
        <f t="shared" si="7"/>
        <v>94.165940466908211</v>
      </c>
      <c r="H83" s="18">
        <v>10.5</v>
      </c>
      <c r="I83" s="18">
        <v>7.4</v>
      </c>
    </row>
    <row r="84" spans="1:9" ht="18.75" hidden="1" customHeight="1">
      <c r="A84" s="37" t="s">
        <v>29</v>
      </c>
      <c r="B84" s="456">
        <v>4907.7</v>
      </c>
      <c r="C84" s="456">
        <v>4861</v>
      </c>
      <c r="D84" s="456">
        <v>4512.7</v>
      </c>
      <c r="E84" s="456">
        <v>392</v>
      </c>
      <c r="F84" s="456">
        <f t="shared" si="4"/>
        <v>20.399999999999999</v>
      </c>
      <c r="G84" s="456">
        <f t="shared" si="7"/>
        <v>91.951423273631235</v>
      </c>
      <c r="H84" s="18">
        <v>12.6</v>
      </c>
      <c r="I84" s="18">
        <v>7.8</v>
      </c>
    </row>
    <row r="85" spans="1:9" ht="15" customHeight="1">
      <c r="A85" s="37" t="s">
        <v>48</v>
      </c>
      <c r="B85" s="456">
        <v>6520.9</v>
      </c>
      <c r="C85" s="456">
        <v>6397.1</v>
      </c>
      <c r="D85" s="456">
        <v>5793.2</v>
      </c>
      <c r="E85" s="456">
        <v>725.5</v>
      </c>
      <c r="F85" s="456">
        <v>20.9</v>
      </c>
      <c r="G85" s="456">
        <v>88.840497477342083</v>
      </c>
    </row>
    <row r="86" spans="1:9" ht="18.75" hidden="1" customHeight="1">
      <c r="A86" s="37" t="s">
        <v>18</v>
      </c>
      <c r="B86" s="456">
        <v>4594.2</v>
      </c>
      <c r="C86" s="456">
        <v>4559.1000000000004</v>
      </c>
      <c r="D86" s="456">
        <v>4256.1000000000004</v>
      </c>
      <c r="E86" s="456">
        <v>335.5</v>
      </c>
      <c r="F86" s="456">
        <v>13.4</v>
      </c>
      <c r="G86" s="456">
        <v>92.640720908972199</v>
      </c>
      <c r="H86" s="18">
        <v>5.9</v>
      </c>
      <c r="I86" s="18">
        <v>7.5</v>
      </c>
    </row>
    <row r="87" spans="1:9" ht="15.75" hidden="1" customHeight="1">
      <c r="A87" s="37" t="s">
        <v>19</v>
      </c>
      <c r="B87" s="456">
        <v>4677.8</v>
      </c>
      <c r="C87" s="456">
        <v>4658.1000000000004</v>
      </c>
      <c r="D87" s="456">
        <v>4359.1000000000004</v>
      </c>
      <c r="E87" s="456">
        <v>311.8</v>
      </c>
      <c r="F87" s="456">
        <v>14.4</v>
      </c>
      <c r="G87" s="456">
        <v>93.186968232930013</v>
      </c>
      <c r="H87" s="18">
        <v>6.7</v>
      </c>
      <c r="I87" s="18">
        <v>7.7</v>
      </c>
    </row>
    <row r="88" spans="1:9" ht="17.25" hidden="1" customHeight="1">
      <c r="A88" s="37" t="s">
        <v>20</v>
      </c>
      <c r="B88" s="456">
        <v>4916.7</v>
      </c>
      <c r="C88" s="456">
        <v>4902</v>
      </c>
      <c r="D88" s="456">
        <v>4608.1000000000004</v>
      </c>
      <c r="E88" s="456">
        <v>301.39999999999998</v>
      </c>
      <c r="F88" s="456">
        <v>15.3</v>
      </c>
      <c r="G88" s="456">
        <v>93.723432383509277</v>
      </c>
      <c r="H88" s="18">
        <v>6.9</v>
      </c>
      <c r="I88" s="18">
        <v>8.4</v>
      </c>
    </row>
    <row r="89" spans="1:9" ht="16.5" hidden="1" customHeight="1">
      <c r="A89" s="37" t="s">
        <v>21</v>
      </c>
      <c r="B89" s="456">
        <v>4967.8</v>
      </c>
      <c r="C89" s="456">
        <v>4956.1000000000004</v>
      </c>
      <c r="D89" s="456">
        <v>4704.1000000000004</v>
      </c>
      <c r="E89" s="456">
        <v>254.4</v>
      </c>
      <c r="F89" s="456">
        <v>13.4</v>
      </c>
      <c r="G89" s="456">
        <v>94.691815290470643</v>
      </c>
      <c r="H89" s="117">
        <v>7</v>
      </c>
      <c r="I89" s="18">
        <v>6.4</v>
      </c>
    </row>
    <row r="90" spans="1:9" ht="15" hidden="1" customHeight="1">
      <c r="A90" s="37" t="s">
        <v>22</v>
      </c>
      <c r="B90" s="456">
        <v>5048</v>
      </c>
      <c r="C90" s="456">
        <v>5012.6000000000004</v>
      </c>
      <c r="D90" s="456">
        <v>4803.5</v>
      </c>
      <c r="E90" s="456">
        <v>235.3</v>
      </c>
      <c r="F90" s="456">
        <v>12.9</v>
      </c>
      <c r="G90" s="456">
        <v>95.156497622820922</v>
      </c>
      <c r="H90" s="117">
        <v>6.4</v>
      </c>
      <c r="I90" s="18">
        <v>6.5</v>
      </c>
    </row>
    <row r="91" spans="1:9" ht="17.25" hidden="1" customHeight="1">
      <c r="A91" s="37" t="s">
        <v>23</v>
      </c>
      <c r="B91" s="456">
        <v>5137.3</v>
      </c>
      <c r="C91" s="456">
        <v>5116.3999999999996</v>
      </c>
      <c r="D91" s="456">
        <v>4855.2</v>
      </c>
      <c r="E91" s="456">
        <v>275.8</v>
      </c>
      <c r="F91" s="456">
        <v>13</v>
      </c>
      <c r="G91" s="456">
        <v>94.508788663305623</v>
      </c>
      <c r="H91" s="117">
        <v>6.5</v>
      </c>
      <c r="I91" s="18">
        <v>6.5</v>
      </c>
    </row>
    <row r="92" spans="1:9" ht="15" hidden="1" customHeight="1">
      <c r="A92" s="37" t="s">
        <v>24</v>
      </c>
      <c r="B92" s="456">
        <v>5311.8</v>
      </c>
      <c r="C92" s="456">
        <v>5299.4</v>
      </c>
      <c r="D92" s="456">
        <v>5086.6000000000004</v>
      </c>
      <c r="E92" s="456">
        <v>220.1</v>
      </c>
      <c r="F92" s="456">
        <v>14.399999999999999</v>
      </c>
      <c r="G92" s="456">
        <v>95.760382544523523</v>
      </c>
      <c r="H92" s="117">
        <v>7.3</v>
      </c>
      <c r="I92" s="18">
        <v>7.1</v>
      </c>
    </row>
    <row r="93" spans="1:9" ht="16.5" hidden="1" customHeight="1">
      <c r="A93" s="37" t="s">
        <v>25</v>
      </c>
      <c r="B93" s="456">
        <v>5385.2</v>
      </c>
      <c r="C93" s="456">
        <v>5373.5</v>
      </c>
      <c r="D93" s="456">
        <v>5131.8999999999996</v>
      </c>
      <c r="E93" s="456">
        <v>249</v>
      </c>
      <c r="F93" s="456">
        <v>13.2</v>
      </c>
      <c r="G93" s="456">
        <v>95.296367822922079</v>
      </c>
      <c r="H93" s="117">
        <v>6.2</v>
      </c>
      <c r="I93" s="117">
        <v>7</v>
      </c>
    </row>
    <row r="94" spans="1:9" ht="14.25" hidden="1" customHeight="1">
      <c r="A94" s="37" t="s">
        <v>26</v>
      </c>
      <c r="B94" s="456">
        <v>5516.1</v>
      </c>
      <c r="C94" s="456">
        <v>5504.6</v>
      </c>
      <c r="D94" s="456">
        <v>5197.8</v>
      </c>
      <c r="E94" s="456">
        <v>314.8</v>
      </c>
      <c r="F94" s="456">
        <v>13.6</v>
      </c>
      <c r="G94" s="456">
        <v>94.229618752379395</v>
      </c>
      <c r="H94" s="117">
        <v>6.6</v>
      </c>
      <c r="I94" s="117">
        <v>7</v>
      </c>
    </row>
    <row r="95" spans="1:9" ht="15" hidden="1" customHeight="1">
      <c r="A95" s="37" t="s">
        <v>27</v>
      </c>
      <c r="B95" s="456">
        <v>5660.9</v>
      </c>
      <c r="C95" s="456">
        <v>5646.3</v>
      </c>
      <c r="D95" s="456">
        <v>5251.3</v>
      </c>
      <c r="E95" s="456">
        <v>405.8</v>
      </c>
      <c r="F95" s="456">
        <v>14.8</v>
      </c>
      <c r="G95" s="456">
        <v>92.764401420268868</v>
      </c>
      <c r="H95" s="117">
        <v>7.6</v>
      </c>
      <c r="I95" s="117">
        <v>7.2</v>
      </c>
    </row>
    <row r="96" spans="1:9" ht="17.25" hidden="1" customHeight="1">
      <c r="A96" s="37" t="s">
        <v>28</v>
      </c>
      <c r="B96" s="456">
        <v>5622.9</v>
      </c>
      <c r="C96" s="456">
        <v>5605.5</v>
      </c>
      <c r="D96" s="456">
        <v>5292.6</v>
      </c>
      <c r="E96" s="456">
        <v>328.8</v>
      </c>
      <c r="F96" s="456">
        <v>15</v>
      </c>
      <c r="G96" s="456">
        <v>94.125806967934707</v>
      </c>
      <c r="H96" s="117">
        <v>7.2</v>
      </c>
      <c r="I96" s="117">
        <v>7.8</v>
      </c>
    </row>
    <row r="97" spans="1:9" ht="15" hidden="1" customHeight="1">
      <c r="A97" s="37" t="s">
        <v>29</v>
      </c>
      <c r="B97" s="456">
        <v>6520.9</v>
      </c>
      <c r="C97" s="456">
        <v>6397.1</v>
      </c>
      <c r="D97" s="456">
        <v>5793.2</v>
      </c>
      <c r="E97" s="456">
        <v>725.5</v>
      </c>
      <c r="F97" s="456">
        <v>20.9</v>
      </c>
      <c r="G97" s="456">
        <v>88.840497477342083</v>
      </c>
      <c r="H97" s="117">
        <v>12.8</v>
      </c>
      <c r="I97" s="117">
        <v>8.1</v>
      </c>
    </row>
    <row r="98" spans="1:9" ht="14.25" customHeight="1">
      <c r="A98" s="37" t="s">
        <v>1024</v>
      </c>
      <c r="B98" s="456">
        <v>8489.4</v>
      </c>
      <c r="C98" s="456">
        <v>8275.2999999999993</v>
      </c>
      <c r="D98" s="456">
        <v>7658.5</v>
      </c>
      <c r="E98" s="456">
        <v>826.4</v>
      </c>
      <c r="F98" s="456">
        <v>100.8</v>
      </c>
      <c r="G98" s="456">
        <v>90.212500294484897</v>
      </c>
      <c r="H98" s="117"/>
      <c r="I98" s="117"/>
    </row>
    <row r="99" spans="1:9" ht="15" hidden="1" customHeight="1">
      <c r="A99" s="37" t="s">
        <v>18</v>
      </c>
      <c r="B99" s="614">
        <v>6015.5754722599995</v>
      </c>
      <c r="C99" s="614">
        <v>5960.9435422899996</v>
      </c>
      <c r="D99" s="614">
        <v>5563.5</v>
      </c>
      <c r="E99" s="614">
        <v>449.8</v>
      </c>
      <c r="F99" s="614">
        <v>20.896174600000002</v>
      </c>
      <c r="G99" s="614">
        <v>92.489152660715177</v>
      </c>
      <c r="H99" s="117">
        <v>21</v>
      </c>
      <c r="I99" s="117">
        <v>8.4</v>
      </c>
    </row>
    <row r="100" spans="1:9" ht="14.25" hidden="1" customHeight="1">
      <c r="A100" s="37" t="s">
        <v>19</v>
      </c>
      <c r="B100" s="614">
        <v>6120.5</v>
      </c>
      <c r="C100" s="614">
        <v>6099.5</v>
      </c>
      <c r="D100" s="614">
        <v>5685.1</v>
      </c>
      <c r="E100" s="614">
        <v>431.4</v>
      </c>
      <c r="F100" s="614">
        <v>18.7</v>
      </c>
      <c r="G100" s="614">
        <v>92.88620210767094</v>
      </c>
      <c r="H100" s="117">
        <v>9.6999999999999993</v>
      </c>
      <c r="I100" s="117">
        <v>9</v>
      </c>
    </row>
    <row r="101" spans="1:9" ht="15" hidden="1" customHeight="1">
      <c r="A101" s="37" t="s">
        <v>20</v>
      </c>
      <c r="B101" s="614">
        <v>6282.9</v>
      </c>
      <c r="C101" s="614">
        <v>6269</v>
      </c>
      <c r="D101" s="614">
        <v>5749.7</v>
      </c>
      <c r="E101" s="614">
        <v>527.6</v>
      </c>
      <c r="F101" s="614">
        <v>18.8</v>
      </c>
      <c r="G101" s="614">
        <v>91.513473077718899</v>
      </c>
      <c r="H101" s="117">
        <v>10</v>
      </c>
      <c r="I101" s="117">
        <v>8.8000000000000007</v>
      </c>
    </row>
    <row r="102" spans="1:9" ht="15" hidden="1" customHeight="1">
      <c r="A102" s="37" t="s">
        <v>21</v>
      </c>
      <c r="B102" s="614">
        <v>6191.6</v>
      </c>
      <c r="C102" s="614">
        <v>6167.3</v>
      </c>
      <c r="D102" s="614">
        <v>5769.5</v>
      </c>
      <c r="E102" s="614">
        <v>414.3</v>
      </c>
      <c r="F102" s="614">
        <v>25.9</v>
      </c>
      <c r="G102" s="614">
        <v>93.182699140771362</v>
      </c>
      <c r="H102" s="117">
        <v>16.3</v>
      </c>
      <c r="I102" s="117">
        <v>9.6</v>
      </c>
    </row>
    <row r="103" spans="1:9" ht="15" hidden="1" customHeight="1">
      <c r="A103" s="37" t="s">
        <v>22</v>
      </c>
      <c r="B103" s="614">
        <v>6294.4</v>
      </c>
      <c r="C103" s="614">
        <v>6244.9</v>
      </c>
      <c r="D103" s="614">
        <v>5949.5</v>
      </c>
      <c r="E103" s="614">
        <v>337.1</v>
      </c>
      <c r="F103" s="614">
        <v>75.3</v>
      </c>
      <c r="G103" s="614">
        <v>94.520526182003053</v>
      </c>
      <c r="H103" s="117">
        <v>38.4</v>
      </c>
      <c r="I103" s="117">
        <v>36.9</v>
      </c>
    </row>
    <row r="104" spans="1:9" ht="15" hidden="1" customHeight="1">
      <c r="A104" s="37" t="s">
        <v>23</v>
      </c>
      <c r="B104" s="614">
        <v>6552.4</v>
      </c>
      <c r="C104" s="614">
        <v>6497.7</v>
      </c>
      <c r="D104" s="614">
        <v>6198.3</v>
      </c>
      <c r="E104" s="614">
        <v>344.2</v>
      </c>
      <c r="F104" s="614">
        <v>76.599999999999994</v>
      </c>
      <c r="G104" s="614">
        <v>94.595873267810276</v>
      </c>
      <c r="H104" s="117">
        <v>39</v>
      </c>
      <c r="I104" s="117">
        <v>37.6</v>
      </c>
    </row>
    <row r="105" spans="1:9" ht="15" hidden="1" customHeight="1">
      <c r="A105" s="37" t="s">
        <v>24</v>
      </c>
      <c r="B105" s="614">
        <v>6940.6</v>
      </c>
      <c r="C105" s="614">
        <v>6858.1</v>
      </c>
      <c r="D105" s="614">
        <v>6521.2</v>
      </c>
      <c r="E105" s="614">
        <v>408.5</v>
      </c>
      <c r="F105" s="614">
        <v>95</v>
      </c>
      <c r="G105" s="614">
        <v>93.957294758378239</v>
      </c>
      <c r="H105" s="117">
        <v>58.3</v>
      </c>
      <c r="I105" s="117">
        <v>36.700000000000003</v>
      </c>
    </row>
    <row r="106" spans="1:9" ht="15" hidden="1" customHeight="1">
      <c r="A106" s="37" t="s">
        <v>25</v>
      </c>
      <c r="B106" s="614">
        <v>7202.8</v>
      </c>
      <c r="C106" s="614">
        <v>7119.3</v>
      </c>
      <c r="D106" s="614">
        <v>6883.8</v>
      </c>
      <c r="E106" s="614">
        <v>307.3</v>
      </c>
      <c r="F106" s="614">
        <v>95.1</v>
      </c>
      <c r="G106" s="614">
        <v>95.571166768478918</v>
      </c>
      <c r="H106" s="117">
        <v>59.6</v>
      </c>
      <c r="I106" s="117">
        <v>35.5</v>
      </c>
    </row>
    <row r="107" spans="1:9" ht="15" hidden="1" customHeight="1">
      <c r="A107" s="37" t="s">
        <v>26</v>
      </c>
      <c r="B107" s="614">
        <v>7281.5</v>
      </c>
      <c r="C107" s="614">
        <v>7206.5</v>
      </c>
      <c r="D107" s="614">
        <v>6818.6</v>
      </c>
      <c r="E107" s="614">
        <v>451.2</v>
      </c>
      <c r="F107" s="614">
        <v>96.5</v>
      </c>
      <c r="G107" s="614">
        <v>93.64279338048479</v>
      </c>
      <c r="H107" s="117">
        <v>58.5</v>
      </c>
      <c r="I107" s="117">
        <v>38</v>
      </c>
    </row>
    <row r="108" spans="1:9" ht="15" hidden="1" customHeight="1">
      <c r="A108" s="37" t="s">
        <v>27</v>
      </c>
      <c r="B108" s="614">
        <v>7270.4</v>
      </c>
      <c r="C108" s="614">
        <v>7189.7</v>
      </c>
      <c r="D108" s="614">
        <v>6849.3</v>
      </c>
      <c r="E108" s="614">
        <v>409.6</v>
      </c>
      <c r="F108" s="614">
        <v>108.1</v>
      </c>
      <c r="G108" s="614">
        <v>94.208021566901408</v>
      </c>
      <c r="H108" s="117">
        <v>66.599999999999994</v>
      </c>
      <c r="I108" s="117">
        <v>41.5</v>
      </c>
    </row>
    <row r="109" spans="1:9" ht="15" hidden="1" customHeight="1">
      <c r="A109" s="37" t="s">
        <v>28</v>
      </c>
      <c r="B109" s="614">
        <v>7494.4</v>
      </c>
      <c r="C109" s="614">
        <v>7417.4</v>
      </c>
      <c r="D109" s="614">
        <v>6937.2</v>
      </c>
      <c r="E109" s="614">
        <v>542.9</v>
      </c>
      <c r="F109" s="614">
        <v>101.19999999999999</v>
      </c>
      <c r="G109" s="614">
        <v>92.565115286080271</v>
      </c>
      <c r="H109" s="117">
        <v>60.3</v>
      </c>
      <c r="I109" s="117">
        <v>40.9</v>
      </c>
    </row>
    <row r="110" spans="1:9" ht="15" hidden="1" customHeight="1">
      <c r="A110" s="37" t="s">
        <v>29</v>
      </c>
      <c r="B110" s="614">
        <v>8489.4</v>
      </c>
      <c r="C110" s="614">
        <v>8275.2999999999993</v>
      </c>
      <c r="D110" s="614">
        <v>7658.5</v>
      </c>
      <c r="E110" s="614">
        <v>826.4</v>
      </c>
      <c r="F110" s="614">
        <v>100.8</v>
      </c>
      <c r="G110" s="614">
        <v>90.212500294484897</v>
      </c>
      <c r="H110" s="117">
        <v>58.8</v>
      </c>
      <c r="I110" s="117">
        <v>42</v>
      </c>
    </row>
    <row r="111" spans="1:9" ht="14.25" customHeight="1">
      <c r="A111" s="37" t="s">
        <v>1288</v>
      </c>
      <c r="B111" s="615">
        <v>10660.3</v>
      </c>
      <c r="C111" s="615">
        <v>10515</v>
      </c>
      <c r="D111" s="615">
        <v>9777.5</v>
      </c>
      <c r="E111" s="615">
        <v>868.6</v>
      </c>
      <c r="F111" s="615">
        <v>106.3496748</v>
      </c>
      <c r="G111" s="615">
        <v>91.718807163025431</v>
      </c>
      <c r="H111" s="117"/>
      <c r="I111" s="117"/>
    </row>
    <row r="112" spans="1:9" ht="15" hidden="1" customHeight="1">
      <c r="A112" s="37" t="s">
        <v>18</v>
      </c>
      <c r="B112" s="614">
        <v>7686.7</v>
      </c>
      <c r="C112" s="614">
        <v>7601.5</v>
      </c>
      <c r="D112" s="614">
        <v>7222.3</v>
      </c>
      <c r="E112" s="614">
        <v>459.4</v>
      </c>
      <c r="F112" s="614">
        <v>106.4</v>
      </c>
      <c r="G112" s="614">
        <v>93.95839567044375</v>
      </c>
      <c r="H112" s="117">
        <v>67.400000000000006</v>
      </c>
      <c r="I112" s="117">
        <v>39</v>
      </c>
    </row>
    <row r="113" spans="1:9" ht="15" hidden="1" customHeight="1">
      <c r="A113" s="37" t="s">
        <v>19</v>
      </c>
      <c r="B113" s="614">
        <v>7908.7</v>
      </c>
      <c r="C113" s="614">
        <v>7825.2</v>
      </c>
      <c r="D113" s="614">
        <v>7323.9</v>
      </c>
      <c r="E113" s="614">
        <v>571.9</v>
      </c>
      <c r="F113" s="614">
        <v>158.39999999999998</v>
      </c>
      <c r="G113" s="614">
        <v>92.605611541719881</v>
      </c>
      <c r="H113" s="117">
        <v>66.8</v>
      </c>
      <c r="I113" s="117">
        <v>91.6</v>
      </c>
    </row>
    <row r="114" spans="1:9" ht="15" hidden="1" customHeight="1">
      <c r="A114" s="37" t="s">
        <v>20</v>
      </c>
      <c r="B114" s="614">
        <v>8468.2999999999993</v>
      </c>
      <c r="C114" s="614">
        <v>8347.7000000000007</v>
      </c>
      <c r="D114" s="614">
        <v>7650.1</v>
      </c>
      <c r="E114" s="614">
        <v>805.1</v>
      </c>
      <c r="F114" s="614">
        <v>163.5</v>
      </c>
      <c r="G114" s="614">
        <v>90.338084385295758</v>
      </c>
      <c r="H114" s="117">
        <v>66.900000000000006</v>
      </c>
      <c r="I114" s="117">
        <v>96.6</v>
      </c>
    </row>
    <row r="115" spans="1:9" ht="15" hidden="1" customHeight="1">
      <c r="A115" s="37" t="s">
        <v>21</v>
      </c>
      <c r="B115" s="616">
        <v>8223</v>
      </c>
      <c r="C115" s="616">
        <v>8145.9</v>
      </c>
      <c r="D115" s="616">
        <v>7710.8</v>
      </c>
      <c r="E115" s="616">
        <v>496.6</v>
      </c>
      <c r="F115" s="616">
        <v>132.69652170000001</v>
      </c>
      <c r="G115" s="616">
        <v>93.771129757995865</v>
      </c>
      <c r="H115" s="117">
        <v>64.8</v>
      </c>
      <c r="I115" s="117">
        <v>67.8</v>
      </c>
    </row>
    <row r="116" spans="1:9" ht="15" hidden="1" customHeight="1">
      <c r="A116" s="37" t="s">
        <v>22</v>
      </c>
      <c r="B116" s="616">
        <v>8457.9</v>
      </c>
      <c r="C116" s="616">
        <v>8373.1</v>
      </c>
      <c r="D116" s="616">
        <v>7971.9</v>
      </c>
      <c r="E116" s="616">
        <v>470.1</v>
      </c>
      <c r="F116" s="616">
        <v>131.5</v>
      </c>
      <c r="G116" s="616">
        <v>94.253892810272063</v>
      </c>
      <c r="H116" s="117">
        <v>59.1</v>
      </c>
      <c r="I116" s="117">
        <v>72.400000000000006</v>
      </c>
    </row>
    <row r="117" spans="1:9" ht="15" hidden="1" customHeight="1">
      <c r="A117" s="37" t="s">
        <v>23</v>
      </c>
      <c r="B117" s="616">
        <v>8730.4</v>
      </c>
      <c r="C117" s="616">
        <v>8654.4</v>
      </c>
      <c r="D117" s="616">
        <v>8183.9</v>
      </c>
      <c r="E117" s="616">
        <v>527.79999999999995</v>
      </c>
      <c r="F117" s="616">
        <v>138.5</v>
      </c>
      <c r="G117" s="616">
        <v>93.740263905433892</v>
      </c>
      <c r="H117" s="117">
        <v>63.1</v>
      </c>
      <c r="I117" s="117">
        <v>75.400000000000006</v>
      </c>
    </row>
    <row r="118" spans="1:9" ht="15" hidden="1" customHeight="1">
      <c r="A118" s="37" t="s">
        <v>24</v>
      </c>
      <c r="B118" s="616">
        <v>9039.6</v>
      </c>
      <c r="C118" s="616">
        <v>8940.2000000000007</v>
      </c>
      <c r="D118" s="616">
        <v>8458.1</v>
      </c>
      <c r="E118" s="616">
        <v>563.70000000000005</v>
      </c>
      <c r="F118" s="616">
        <v>138</v>
      </c>
      <c r="G118" s="616">
        <v>93.567193238638879</v>
      </c>
      <c r="H118" s="117">
        <v>62.8</v>
      </c>
      <c r="I118" s="117">
        <v>75.2</v>
      </c>
    </row>
    <row r="119" spans="1:9" ht="15" hidden="1" customHeight="1">
      <c r="A119" s="37" t="s">
        <v>25</v>
      </c>
      <c r="B119" s="616">
        <v>9195.7000000000007</v>
      </c>
      <c r="C119" s="616">
        <v>9076.4</v>
      </c>
      <c r="D119" s="616">
        <v>8617.5</v>
      </c>
      <c r="E119" s="616">
        <v>560.5</v>
      </c>
      <c r="F119" s="616">
        <v>138.4</v>
      </c>
      <c r="G119" s="616">
        <v>93.712278564981446</v>
      </c>
      <c r="H119" s="117">
        <v>65.5</v>
      </c>
      <c r="I119" s="117">
        <v>72.900000000000006</v>
      </c>
    </row>
    <row r="120" spans="1:9" ht="15" hidden="1" customHeight="1">
      <c r="A120" s="37" t="s">
        <v>26</v>
      </c>
      <c r="B120" s="616">
        <v>9399.7000000000007</v>
      </c>
      <c r="C120" s="616">
        <v>9299.7999999999993</v>
      </c>
      <c r="D120" s="616">
        <v>8793.7000000000007</v>
      </c>
      <c r="E120" s="616">
        <v>589.9</v>
      </c>
      <c r="F120" s="616">
        <v>146.10000000000002</v>
      </c>
      <c r="G120" s="616">
        <v>93.552985733587249</v>
      </c>
      <c r="H120" s="117">
        <v>66.400000000000006</v>
      </c>
      <c r="I120" s="117">
        <v>79.7</v>
      </c>
    </row>
    <row r="121" spans="1:9" ht="15" hidden="1" customHeight="1">
      <c r="A121" s="37" t="s">
        <v>27</v>
      </c>
      <c r="B121" s="616">
        <v>9365.1</v>
      </c>
      <c r="C121" s="616">
        <v>9291.2999999999993</v>
      </c>
      <c r="D121" s="616">
        <v>8887.5</v>
      </c>
      <c r="E121" s="616">
        <v>458.8</v>
      </c>
      <c r="F121" s="616">
        <v>130.19999999999999</v>
      </c>
      <c r="G121" s="616">
        <v>94.900214626645734</v>
      </c>
      <c r="H121" s="117">
        <v>56.3</v>
      </c>
      <c r="I121" s="117">
        <v>73.900000000000006</v>
      </c>
    </row>
    <row r="122" spans="1:9" ht="15" hidden="1" customHeight="1">
      <c r="A122" s="37" t="s">
        <v>28</v>
      </c>
      <c r="B122" s="616">
        <v>9427.2999999999993</v>
      </c>
      <c r="C122" s="616">
        <v>9346</v>
      </c>
      <c r="D122" s="616">
        <v>8826.2999999999993</v>
      </c>
      <c r="E122" s="616">
        <v>579</v>
      </c>
      <c r="F122" s="616">
        <v>125.19999999999999</v>
      </c>
      <c r="G122" s="616">
        <v>93.624897902899022</v>
      </c>
      <c r="H122" s="117">
        <v>43.6</v>
      </c>
      <c r="I122" s="117">
        <v>81.599999999999994</v>
      </c>
    </row>
    <row r="123" spans="1:9" ht="15" hidden="1" customHeight="1">
      <c r="A123" s="37" t="s">
        <v>29</v>
      </c>
      <c r="B123" s="616">
        <v>10660.3</v>
      </c>
      <c r="C123" s="616">
        <v>10515</v>
      </c>
      <c r="D123" s="616">
        <v>9777.5</v>
      </c>
      <c r="E123" s="616">
        <v>868.6</v>
      </c>
      <c r="F123" s="616">
        <v>106.3496748</v>
      </c>
      <c r="G123" s="616">
        <v>91.718807163025431</v>
      </c>
      <c r="H123" s="117"/>
      <c r="I123" s="117"/>
    </row>
    <row r="124" spans="1:9" ht="14.25" customHeight="1">
      <c r="A124" s="37" t="s">
        <v>1410</v>
      </c>
      <c r="B124" s="456">
        <v>11793.1</v>
      </c>
      <c r="C124" s="456">
        <v>11642</v>
      </c>
      <c r="D124" s="456">
        <v>11033.3</v>
      </c>
      <c r="E124" s="456">
        <v>749.2</v>
      </c>
      <c r="F124" s="456">
        <v>157</v>
      </c>
      <c r="G124" s="456">
        <v>93.557249578143143</v>
      </c>
      <c r="H124" s="117"/>
      <c r="I124" s="117"/>
    </row>
    <row r="125" spans="1:9" ht="15" hidden="1" customHeight="1">
      <c r="A125" s="37" t="s">
        <v>18</v>
      </c>
      <c r="B125" s="614">
        <v>9938.8954381399981</v>
      </c>
      <c r="C125" s="614">
        <v>9842.5224666099984</v>
      </c>
      <c r="D125" s="614">
        <v>9360.6</v>
      </c>
      <c r="E125" s="614">
        <v>563.20000000000005</v>
      </c>
      <c r="F125" s="614">
        <v>127.2</v>
      </c>
      <c r="G125" s="614">
        <v>94.185239221210438</v>
      </c>
      <c r="H125" s="117">
        <v>40.200000000000003</v>
      </c>
      <c r="I125" s="117">
        <v>87</v>
      </c>
    </row>
    <row r="126" spans="1:9" ht="15" hidden="1" customHeight="1">
      <c r="A126" s="37" t="s">
        <v>19</v>
      </c>
      <c r="B126" s="614">
        <v>10117.00896714</v>
      </c>
      <c r="C126" s="614">
        <v>10042.278477350001</v>
      </c>
      <c r="D126" s="614">
        <v>9440.7999999999993</v>
      </c>
      <c r="E126" s="614">
        <v>656.56517364000001</v>
      </c>
      <c r="F126" s="614">
        <v>132.5</v>
      </c>
      <c r="G126" s="614">
        <v>93.318045231693816</v>
      </c>
      <c r="H126" s="117">
        <v>38.4</v>
      </c>
      <c r="I126" s="117">
        <v>94.1</v>
      </c>
    </row>
    <row r="127" spans="1:9" ht="15" hidden="1" customHeight="1">
      <c r="A127" s="37" t="s">
        <v>20</v>
      </c>
      <c r="B127" s="614">
        <v>10281.538850699999</v>
      </c>
      <c r="C127" s="614">
        <v>10196.195094999999</v>
      </c>
      <c r="D127" s="614">
        <v>9604.7000000000007</v>
      </c>
      <c r="E127" s="614">
        <v>656.57494804999988</v>
      </c>
      <c r="F127" s="614">
        <v>136.5</v>
      </c>
      <c r="G127" s="614">
        <v>93.427298548694623</v>
      </c>
      <c r="H127" s="117">
        <v>36.799999999999997</v>
      </c>
      <c r="I127" s="117">
        <v>99.7</v>
      </c>
    </row>
    <row r="128" spans="1:9" ht="15" hidden="1" customHeight="1">
      <c r="A128" s="37" t="s">
        <v>21</v>
      </c>
      <c r="B128" s="614">
        <v>10191.12480883</v>
      </c>
      <c r="C128" s="614">
        <v>10094.551942800001</v>
      </c>
      <c r="D128" s="614">
        <v>9518.6</v>
      </c>
      <c r="E128" s="614">
        <v>646.5</v>
      </c>
      <c r="F128" s="614">
        <v>169.5</v>
      </c>
      <c r="G128" s="614">
        <v>93.403854456961184</v>
      </c>
      <c r="H128" s="117">
        <v>39.1</v>
      </c>
      <c r="I128" s="117">
        <v>130.4</v>
      </c>
    </row>
    <row r="129" spans="1:9" ht="15" hidden="1" customHeight="1">
      <c r="A129" s="37" t="s">
        <v>22</v>
      </c>
      <c r="B129" s="614">
        <v>10201.401611349998</v>
      </c>
      <c r="C129" s="614">
        <v>10122.983837369999</v>
      </c>
      <c r="D129" s="614">
        <v>9608.4</v>
      </c>
      <c r="E129" s="614">
        <v>558.6</v>
      </c>
      <c r="F129" s="614">
        <v>137.30000000000001</v>
      </c>
      <c r="G129" s="614">
        <v>94.27671536642562</v>
      </c>
      <c r="H129" s="117">
        <v>35.200000000000003</v>
      </c>
      <c r="I129" s="117">
        <v>102.1</v>
      </c>
    </row>
    <row r="130" spans="1:9" ht="15" hidden="1" customHeight="1">
      <c r="A130" s="37" t="s">
        <v>23</v>
      </c>
      <c r="B130" s="614">
        <v>10331.388455559998</v>
      </c>
      <c r="C130" s="614">
        <v>10266.594539619999</v>
      </c>
      <c r="D130" s="614">
        <v>9765.2000000000007</v>
      </c>
      <c r="E130" s="614">
        <v>539.29999999999995</v>
      </c>
      <c r="F130" s="614">
        <v>140.9</v>
      </c>
      <c r="G130" s="614">
        <v>94.533344950096335</v>
      </c>
      <c r="H130" s="117">
        <v>38.200000000000003</v>
      </c>
      <c r="I130" s="117">
        <v>102.7</v>
      </c>
    </row>
    <row r="131" spans="1:9" ht="15" hidden="1" customHeight="1">
      <c r="A131" s="37" t="s">
        <v>24</v>
      </c>
      <c r="B131" s="614">
        <v>10529.225237050001</v>
      </c>
      <c r="C131" s="614">
        <v>10428.005373100001</v>
      </c>
      <c r="D131" s="614">
        <v>9924.7999999999993</v>
      </c>
      <c r="E131" s="614">
        <v>579.79999999999995</v>
      </c>
      <c r="F131" s="614">
        <v>142.1</v>
      </c>
      <c r="G131" s="614">
        <v>94.263353848491747</v>
      </c>
      <c r="H131" s="117">
        <v>43.1</v>
      </c>
      <c r="I131" s="117">
        <v>99</v>
      </c>
    </row>
    <row r="132" spans="1:9" ht="15" hidden="1" customHeight="1">
      <c r="A132" s="37" t="s">
        <v>25</v>
      </c>
      <c r="B132" s="614">
        <v>10688.93542118</v>
      </c>
      <c r="C132" s="614">
        <v>10617.02397176</v>
      </c>
      <c r="D132" s="614">
        <v>10105.200000000001</v>
      </c>
      <c r="E132" s="614">
        <v>561</v>
      </c>
      <c r="F132" s="614">
        <v>139.39999999999998</v>
      </c>
      <c r="G132" s="614">
        <v>94.540079335379104</v>
      </c>
      <c r="H132" s="117">
        <v>39.299999999999997</v>
      </c>
      <c r="I132" s="117">
        <v>100.1</v>
      </c>
    </row>
    <row r="133" spans="1:9" ht="15" hidden="1" customHeight="1">
      <c r="A133" s="37" t="s">
        <v>26</v>
      </c>
      <c r="B133" s="614">
        <v>10697.737923710001</v>
      </c>
      <c r="C133" s="614">
        <v>10616.446083440002</v>
      </c>
      <c r="D133" s="614">
        <v>10137.6</v>
      </c>
      <c r="E133" s="614">
        <v>536.79999999999995</v>
      </c>
      <c r="F133" s="614">
        <v>152.6</v>
      </c>
      <c r="G133" s="614">
        <v>94.768724526044195</v>
      </c>
      <c r="H133" s="117">
        <v>45.8</v>
      </c>
      <c r="I133" s="117">
        <v>106.8</v>
      </c>
    </row>
    <row r="134" spans="1:9" ht="15" hidden="1" customHeight="1">
      <c r="A134" s="37" t="s">
        <v>27</v>
      </c>
      <c r="B134" s="614">
        <v>10823.582633259999</v>
      </c>
      <c r="C134" s="614">
        <v>10732.614357859999</v>
      </c>
      <c r="D134" s="614">
        <v>10216.5</v>
      </c>
      <c r="E134" s="614">
        <v>582</v>
      </c>
      <c r="F134" s="614">
        <v>162.30000000000001</v>
      </c>
      <c r="G134" s="614">
        <v>94.394448961490127</v>
      </c>
      <c r="H134" s="117">
        <v>54.1</v>
      </c>
      <c r="I134" s="117">
        <v>108.2</v>
      </c>
    </row>
    <row r="135" spans="1:9" ht="15" hidden="1" customHeight="1">
      <c r="A135" s="37" t="s">
        <v>28</v>
      </c>
      <c r="B135" s="614">
        <v>10899.871209200001</v>
      </c>
      <c r="C135" s="614">
        <v>10792.02597456</v>
      </c>
      <c r="D135" s="614">
        <v>10372.799999999999</v>
      </c>
      <c r="E135" s="614">
        <v>500.3</v>
      </c>
      <c r="F135" s="614">
        <v>143.69999999999999</v>
      </c>
      <c r="G135" s="614">
        <v>95.201732809574494</v>
      </c>
      <c r="H135" s="117">
        <v>42.6</v>
      </c>
      <c r="I135" s="117">
        <v>101.1</v>
      </c>
    </row>
    <row r="136" spans="1:9" ht="15" hidden="1" customHeight="1">
      <c r="A136" s="37" t="s">
        <v>29</v>
      </c>
      <c r="B136" s="614">
        <v>11793.1</v>
      </c>
      <c r="C136" s="614">
        <v>11642</v>
      </c>
      <c r="D136" s="614">
        <v>11033.3</v>
      </c>
      <c r="E136" s="614">
        <v>749.2</v>
      </c>
      <c r="F136" s="614">
        <v>157</v>
      </c>
      <c r="G136" s="614">
        <v>93.557249578143143</v>
      </c>
      <c r="H136" s="117">
        <v>44.7</v>
      </c>
      <c r="I136" s="117">
        <v>112.3</v>
      </c>
    </row>
    <row r="137" spans="1:9" ht="14.25" customHeight="1">
      <c r="A137" s="37" t="s">
        <v>1621</v>
      </c>
      <c r="B137" s="456">
        <v>11866.9</v>
      </c>
      <c r="C137" s="456">
        <v>11541.9</v>
      </c>
      <c r="D137" s="456">
        <v>10845.9</v>
      </c>
      <c r="E137" s="456">
        <v>1013.1</v>
      </c>
      <c r="F137" s="456">
        <v>228</v>
      </c>
      <c r="G137" s="456">
        <v>91.396236590853547</v>
      </c>
      <c r="H137" s="117"/>
      <c r="I137" s="117"/>
    </row>
    <row r="138" spans="1:9" ht="15" hidden="1" customHeight="1">
      <c r="A138" s="37" t="s">
        <v>18</v>
      </c>
      <c r="B138" s="614">
        <v>11142.6</v>
      </c>
      <c r="C138" s="614">
        <v>11038.1</v>
      </c>
      <c r="D138" s="614">
        <v>10530.2</v>
      </c>
      <c r="E138" s="614">
        <v>598.4</v>
      </c>
      <c r="F138" s="614">
        <v>162</v>
      </c>
      <c r="G138" s="614">
        <v>94.503975732773313</v>
      </c>
      <c r="H138" s="117">
        <v>44.6</v>
      </c>
      <c r="I138" s="117">
        <v>117.4</v>
      </c>
    </row>
    <row r="139" spans="1:9" ht="15" hidden="1" customHeight="1">
      <c r="A139" s="37" t="s">
        <v>19</v>
      </c>
      <c r="B139" s="614">
        <v>11244.6</v>
      </c>
      <c r="C139" s="614">
        <v>11136.5</v>
      </c>
      <c r="D139" s="614">
        <v>10617.8</v>
      </c>
      <c r="E139" s="614">
        <v>617.70000000000005</v>
      </c>
      <c r="F139" s="614">
        <v>158.30000000000001</v>
      </c>
      <c r="G139" s="614">
        <v>94.425768813474903</v>
      </c>
      <c r="H139" s="117">
        <v>44.8</v>
      </c>
      <c r="I139" s="117">
        <v>113.5</v>
      </c>
    </row>
    <row r="140" spans="1:9" ht="15" hidden="1" customHeight="1">
      <c r="A140" s="37" t="s">
        <v>20</v>
      </c>
      <c r="B140" s="614">
        <v>11205.6</v>
      </c>
      <c r="C140" s="614">
        <v>11107.1</v>
      </c>
      <c r="D140" s="614">
        <v>10676.7</v>
      </c>
      <c r="E140" s="614">
        <v>519.4</v>
      </c>
      <c r="F140" s="614">
        <v>165.1</v>
      </c>
      <c r="G140" s="614">
        <v>95.28003855215249</v>
      </c>
      <c r="H140" s="117">
        <v>48.8</v>
      </c>
      <c r="I140" s="117">
        <v>116.3</v>
      </c>
    </row>
    <row r="141" spans="1:9" ht="15" hidden="1" customHeight="1">
      <c r="A141" s="37" t="s">
        <v>21</v>
      </c>
      <c r="B141" s="614">
        <v>11229.3</v>
      </c>
      <c r="C141" s="614">
        <v>11105</v>
      </c>
      <c r="D141" s="614">
        <v>10607.4</v>
      </c>
      <c r="E141" s="614">
        <v>612.29999999999995</v>
      </c>
      <c r="F141" s="614">
        <v>170.3</v>
      </c>
      <c r="G141" s="614">
        <v>94.461809729903024</v>
      </c>
      <c r="H141" s="117">
        <v>60.8</v>
      </c>
      <c r="I141" s="117">
        <v>109.5</v>
      </c>
    </row>
    <row r="142" spans="1:9" ht="15" hidden="1" customHeight="1">
      <c r="A142" s="37" t="s">
        <v>22</v>
      </c>
      <c r="B142" s="614">
        <v>11366.4</v>
      </c>
      <c r="C142" s="614">
        <v>11272.2</v>
      </c>
      <c r="D142" s="614">
        <v>10750.5</v>
      </c>
      <c r="E142" s="614">
        <v>599.9</v>
      </c>
      <c r="F142" s="614">
        <v>179.2</v>
      </c>
      <c r="G142" s="614">
        <v>94.581397804054063</v>
      </c>
      <c r="H142" s="117">
        <v>66.400000000000006</v>
      </c>
      <c r="I142" s="117">
        <v>112.8</v>
      </c>
    </row>
    <row r="143" spans="1:9" ht="15" hidden="1" customHeight="1">
      <c r="A143" s="37" t="s">
        <v>23</v>
      </c>
      <c r="B143" s="614">
        <v>11580.6</v>
      </c>
      <c r="C143" s="614">
        <v>11485.2</v>
      </c>
      <c r="D143" s="614">
        <v>10905.9</v>
      </c>
      <c r="E143" s="614">
        <v>663.3</v>
      </c>
      <c r="F143" s="614">
        <v>133.19999999999999</v>
      </c>
      <c r="G143" s="614">
        <v>94.173877001191642</v>
      </c>
      <c r="H143" s="117">
        <v>57.8</v>
      </c>
      <c r="I143" s="117">
        <v>75.400000000000006</v>
      </c>
    </row>
    <row r="144" spans="1:9" ht="18" hidden="1" customHeight="1">
      <c r="A144" s="37" t="s">
        <v>24</v>
      </c>
      <c r="B144" s="614">
        <v>11858.1</v>
      </c>
      <c r="C144" s="614">
        <v>11736.5</v>
      </c>
      <c r="D144" s="614">
        <v>11144.4</v>
      </c>
      <c r="E144" s="614">
        <v>702.1</v>
      </c>
      <c r="F144" s="614">
        <v>190.5</v>
      </c>
      <c r="G144" s="614">
        <v>93.981329218002884</v>
      </c>
      <c r="H144" s="18">
        <v>70</v>
      </c>
      <c r="I144" s="18">
        <v>120.5</v>
      </c>
    </row>
    <row r="145" spans="1:9" ht="18" hidden="1" customHeight="1">
      <c r="A145" s="37" t="s">
        <v>25</v>
      </c>
      <c r="B145" s="614">
        <v>11863.4</v>
      </c>
      <c r="C145" s="614">
        <v>11743.6</v>
      </c>
      <c r="D145" s="614">
        <v>11134.4</v>
      </c>
      <c r="E145" s="614">
        <v>716</v>
      </c>
      <c r="F145" s="614">
        <v>183.4</v>
      </c>
      <c r="G145" s="614">
        <v>93.85504998567022</v>
      </c>
      <c r="H145" s="18">
        <v>64.2</v>
      </c>
      <c r="I145" s="18">
        <v>119.2</v>
      </c>
    </row>
    <row r="146" spans="1:9" ht="18" hidden="1" customHeight="1">
      <c r="A146" s="37" t="s">
        <v>26</v>
      </c>
      <c r="B146" s="614">
        <v>11646.2</v>
      </c>
      <c r="C146" s="614">
        <v>11546.5</v>
      </c>
      <c r="D146" s="614">
        <v>11042.3</v>
      </c>
      <c r="E146" s="614">
        <v>593.20000000000005</v>
      </c>
      <c r="F146" s="614">
        <v>118.5</v>
      </c>
      <c r="G146" s="614">
        <v>94.814617643523206</v>
      </c>
      <c r="H146" s="18">
        <v>49.1</v>
      </c>
      <c r="I146" s="18">
        <v>69.400000000000006</v>
      </c>
    </row>
    <row r="147" spans="1:9" ht="18" hidden="1" customHeight="1">
      <c r="A147" s="37" t="s">
        <v>27</v>
      </c>
      <c r="B147" s="614">
        <v>11587.4</v>
      </c>
      <c r="C147" s="614">
        <v>11478</v>
      </c>
      <c r="D147" s="614">
        <v>10993.9</v>
      </c>
      <c r="E147" s="614">
        <v>564.5</v>
      </c>
      <c r="F147" s="614">
        <v>130</v>
      </c>
      <c r="G147" s="614">
        <v>94.878057200062145</v>
      </c>
      <c r="H147" s="18">
        <v>58.2</v>
      </c>
      <c r="I147" s="18">
        <v>71.8</v>
      </c>
    </row>
    <row r="148" spans="1:9" ht="18" hidden="1" customHeight="1">
      <c r="A148" s="37" t="s">
        <v>28</v>
      </c>
      <c r="B148" s="614">
        <v>11601.1</v>
      </c>
      <c r="C148" s="614">
        <v>11519.7</v>
      </c>
      <c r="D148" s="614">
        <v>10955.7</v>
      </c>
      <c r="E148" s="614">
        <v>627.70000000000005</v>
      </c>
      <c r="F148" s="614">
        <v>115.10000000000001</v>
      </c>
      <c r="G148" s="614">
        <v>94.436734447595498</v>
      </c>
      <c r="H148" s="18">
        <v>44.7</v>
      </c>
      <c r="I148" s="18">
        <v>70.400000000000006</v>
      </c>
    </row>
    <row r="149" spans="1:9" ht="18" hidden="1" customHeight="1">
      <c r="A149" s="37" t="s">
        <v>29</v>
      </c>
      <c r="B149" s="614">
        <v>11866.9</v>
      </c>
      <c r="C149" s="614">
        <v>11541.9</v>
      </c>
      <c r="D149" s="614">
        <v>10845.9</v>
      </c>
      <c r="E149" s="614">
        <v>1013.1</v>
      </c>
      <c r="F149" s="614">
        <v>228</v>
      </c>
      <c r="G149" s="614">
        <v>91.396236590853547</v>
      </c>
      <c r="H149" s="18">
        <v>139.19999999999999</v>
      </c>
      <c r="I149" s="18">
        <v>88.8</v>
      </c>
    </row>
    <row r="150" spans="1:9" ht="18" customHeight="1">
      <c r="A150" s="37" t="s">
        <v>1816</v>
      </c>
      <c r="B150" s="456">
        <v>7560.6734860699999</v>
      </c>
      <c r="C150" s="456">
        <v>6901.8423380799995</v>
      </c>
      <c r="D150" s="456">
        <v>5416.7508947899996</v>
      </c>
      <c r="E150" s="456">
        <v>2137.2468294</v>
      </c>
      <c r="F150" s="456">
        <v>47.384</v>
      </c>
      <c r="G150" s="456">
        <v>71.643761693584253</v>
      </c>
    </row>
    <row r="151" spans="1:9" ht="18" hidden="1" customHeight="1">
      <c r="A151" s="37" t="s">
        <v>18</v>
      </c>
      <c r="B151" s="614">
        <v>10760.302754689999</v>
      </c>
      <c r="C151" s="614">
        <v>10550.98263348</v>
      </c>
      <c r="D151" s="614">
        <v>10145.295551970001</v>
      </c>
      <c r="E151" s="614">
        <v>604.54437906999999</v>
      </c>
      <c r="F151" s="614">
        <f>H151+I151</f>
        <v>0</v>
      </c>
      <c r="G151" s="614">
        <f>D151*100/B151</f>
        <v>94.284480495198508</v>
      </c>
      <c r="H151" s="212"/>
      <c r="I151" s="212"/>
    </row>
    <row r="152" spans="1:9" ht="18" hidden="1" customHeight="1">
      <c r="A152" s="37" t="s">
        <v>19</v>
      </c>
      <c r="B152" s="614">
        <v>9736.0533009599985</v>
      </c>
      <c r="C152" s="614">
        <v>9109.8742473199982</v>
      </c>
      <c r="D152" s="614">
        <v>8701.1223736899992</v>
      </c>
      <c r="E152" s="614">
        <v>1028.4111744900001</v>
      </c>
      <c r="F152" s="614">
        <v>155.14499999999998</v>
      </c>
      <c r="G152" s="614">
        <v>89.370118514368116</v>
      </c>
      <c r="H152" s="212"/>
      <c r="I152" s="212"/>
    </row>
    <row r="153" spans="1:9" ht="18" hidden="1" customHeight="1">
      <c r="A153" s="37" t="s">
        <v>20</v>
      </c>
      <c r="B153" s="614">
        <v>8919.1828803299995</v>
      </c>
      <c r="C153" s="614">
        <v>8339.4258388500002</v>
      </c>
      <c r="D153" s="614">
        <v>8055.4742089399997</v>
      </c>
      <c r="E153" s="614">
        <v>859.38671832</v>
      </c>
      <c r="F153" s="614">
        <v>165.524</v>
      </c>
      <c r="G153" s="614">
        <v>90.316280280620916</v>
      </c>
      <c r="H153" s="212"/>
      <c r="I153" s="212"/>
    </row>
    <row r="154" spans="1:9" ht="18" hidden="1" customHeight="1">
      <c r="A154" s="37" t="s">
        <v>21</v>
      </c>
      <c r="B154" s="614">
        <v>7870.1980502399992</v>
      </c>
      <c r="C154" s="614">
        <v>7418.6134919299993</v>
      </c>
      <c r="D154" s="614">
        <v>7008.894394599999</v>
      </c>
      <c r="E154" s="614">
        <v>858.33738232999997</v>
      </c>
      <c r="F154" s="614">
        <v>60.143999999999998</v>
      </c>
      <c r="G154" s="614">
        <v>89.056137467674844</v>
      </c>
      <c r="H154" s="212"/>
      <c r="I154" s="212"/>
    </row>
    <row r="155" spans="1:9" ht="18" hidden="1" customHeight="1">
      <c r="A155" s="37" t="s">
        <v>22</v>
      </c>
      <c r="B155" s="614">
        <v>7983.6680595399994</v>
      </c>
      <c r="C155" s="614">
        <v>7597.2826965399991</v>
      </c>
      <c r="D155" s="614">
        <v>7129.4125273699992</v>
      </c>
      <c r="E155" s="614">
        <v>849.22445685999992</v>
      </c>
      <c r="F155" s="614">
        <v>49.918999999999997</v>
      </c>
      <c r="G155" s="614">
        <v>89.299961799523757</v>
      </c>
      <c r="H155" s="212"/>
      <c r="I155" s="212"/>
    </row>
    <row r="156" spans="1:9" ht="18" hidden="1" customHeight="1">
      <c r="A156" s="37" t="s">
        <v>23</v>
      </c>
      <c r="B156" s="614">
        <v>7805.9569541199999</v>
      </c>
      <c r="C156" s="614">
        <v>7487.0474245200003</v>
      </c>
      <c r="D156" s="614">
        <v>7084.4067262200006</v>
      </c>
      <c r="E156" s="614">
        <v>718.32223518000001</v>
      </c>
      <c r="F156" s="614">
        <v>62.841000000000001</v>
      </c>
      <c r="G156" s="614">
        <v>90.756415489593962</v>
      </c>
      <c r="H156" s="212"/>
      <c r="I156" s="212"/>
    </row>
    <row r="157" spans="1:9" ht="18" hidden="1" customHeight="1">
      <c r="A157" s="37" t="s">
        <v>24</v>
      </c>
      <c r="B157" s="614">
        <v>7793.4260408499986</v>
      </c>
      <c r="C157" s="614">
        <v>7467.4627806899989</v>
      </c>
      <c r="D157" s="614">
        <v>7013.6752276299994</v>
      </c>
      <c r="E157" s="614">
        <v>777.81922059999999</v>
      </c>
      <c r="F157" s="614">
        <v>47.674000000000007</v>
      </c>
      <c r="G157" s="614">
        <v>89.994762134998666</v>
      </c>
      <c r="H157" s="212"/>
      <c r="I157" s="212"/>
    </row>
    <row r="158" spans="1:9" ht="18" hidden="1" customHeight="1">
      <c r="A158" s="37" t="s">
        <v>25</v>
      </c>
      <c r="B158" s="614">
        <v>6886.2807920499999</v>
      </c>
      <c r="C158" s="614">
        <v>6352.0686349199996</v>
      </c>
      <c r="D158" s="614">
        <v>6118.5081162399993</v>
      </c>
      <c r="E158" s="614">
        <v>762.70378588000005</v>
      </c>
      <c r="F158" s="614">
        <v>57.058000000000007</v>
      </c>
      <c r="G158" s="614">
        <v>88.850691701442528</v>
      </c>
      <c r="H158" s="212"/>
      <c r="I158" s="212"/>
    </row>
    <row r="159" spans="1:9" ht="18" hidden="1" customHeight="1">
      <c r="A159" s="37" t="s">
        <v>26</v>
      </c>
      <c r="B159" s="614">
        <v>7434.2946894699999</v>
      </c>
      <c r="C159" s="614">
        <v>7050.4451382899997</v>
      </c>
      <c r="D159" s="614">
        <v>6050.0254289899995</v>
      </c>
      <c r="E159" s="614">
        <v>1378.93386349</v>
      </c>
      <c r="F159" s="614">
        <v>47.332999999999998</v>
      </c>
      <c r="G159" s="614">
        <v>81.379951719687796</v>
      </c>
      <c r="H159" s="212"/>
      <c r="I159" s="212"/>
    </row>
    <row r="160" spans="1:9" ht="18" hidden="1" customHeight="1">
      <c r="A160" s="37" t="s">
        <v>27</v>
      </c>
      <c r="B160" s="614">
        <v>7355.3705613900001</v>
      </c>
      <c r="C160" s="614">
        <v>7055.8749215899998</v>
      </c>
      <c r="D160" s="614">
        <v>5994.91554851</v>
      </c>
      <c r="E160" s="614">
        <v>1349.7270262899999</v>
      </c>
      <c r="F160" s="614">
        <v>45.860999999999997</v>
      </c>
      <c r="G160" s="614">
        <v>81.503922861190219</v>
      </c>
      <c r="H160" s="212"/>
      <c r="I160" s="212"/>
    </row>
    <row r="161" spans="1:14" ht="18" hidden="1" customHeight="1">
      <c r="A161" s="37" t="s">
        <v>28</v>
      </c>
      <c r="B161" s="614">
        <v>7002.2079040099998</v>
      </c>
      <c r="C161" s="614">
        <v>6730.5800266299993</v>
      </c>
      <c r="D161" s="614">
        <v>5738.1171962999997</v>
      </c>
      <c r="E161" s="614">
        <v>1257.7269561000001</v>
      </c>
      <c r="F161" s="614">
        <v>43.741</v>
      </c>
      <c r="G161" s="614">
        <v>81.94725542230637</v>
      </c>
      <c r="H161" s="212"/>
      <c r="I161" s="212"/>
    </row>
    <row r="162" spans="1:14" ht="18" hidden="1" customHeight="1">
      <c r="A162" s="37" t="s">
        <v>29</v>
      </c>
      <c r="B162" s="614">
        <v>7560.6734860699999</v>
      </c>
      <c r="C162" s="614">
        <v>6901.8423380799995</v>
      </c>
      <c r="D162" s="614">
        <v>5416.7508947899996</v>
      </c>
      <c r="E162" s="614">
        <v>2137.2468294</v>
      </c>
      <c r="F162" s="614">
        <v>47.384</v>
      </c>
      <c r="G162" s="614">
        <v>71.643761693584253</v>
      </c>
      <c r="H162" s="212"/>
      <c r="I162" s="212"/>
    </row>
    <row r="163" spans="1:14" ht="16.5" customHeight="1">
      <c r="A163" s="37" t="s">
        <v>1839</v>
      </c>
      <c r="B163" s="456">
        <v>9232.7881355600002</v>
      </c>
      <c r="C163" s="456">
        <v>7860.4837056300003</v>
      </c>
      <c r="D163" s="456">
        <v>6960.7782469500007</v>
      </c>
      <c r="E163" s="456">
        <v>2258.6808959700002</v>
      </c>
      <c r="F163" s="456">
        <v>147.708</v>
      </c>
      <c r="G163" s="456">
        <v>75.391941683797839</v>
      </c>
      <c r="H163" s="212"/>
      <c r="I163" s="212"/>
    </row>
    <row r="164" spans="1:14" ht="16.5" customHeight="1">
      <c r="A164" s="37" t="s">
        <v>18</v>
      </c>
      <c r="B164" s="614">
        <v>6681.8523943</v>
      </c>
      <c r="C164" s="614">
        <v>5786.8521675800002</v>
      </c>
      <c r="D164" s="614">
        <v>4954.6986693200006</v>
      </c>
      <c r="E164" s="614">
        <v>1721.07519989</v>
      </c>
      <c r="F164" s="614">
        <v>96.173000000000002</v>
      </c>
      <c r="G164" s="614">
        <v>74.151573200668722</v>
      </c>
      <c r="H164" s="212"/>
      <c r="I164" s="212"/>
    </row>
    <row r="165" spans="1:14" ht="16.5" customHeight="1">
      <c r="A165" s="37" t="s">
        <v>19</v>
      </c>
      <c r="B165" s="614">
        <v>7318.4052416199993</v>
      </c>
      <c r="C165" s="614">
        <v>6388.5472950699987</v>
      </c>
      <c r="D165" s="614">
        <v>5499.0821602699989</v>
      </c>
      <c r="E165" s="614">
        <v>1808.3294815499999</v>
      </c>
      <c r="F165" s="614">
        <v>113.24299999999999</v>
      </c>
      <c r="G165" s="614">
        <v>75.140443562711539</v>
      </c>
      <c r="H165" s="212"/>
      <c r="I165" s="212"/>
    </row>
    <row r="166" spans="1:14" ht="16.5" customHeight="1">
      <c r="A166" s="37" t="s">
        <v>20</v>
      </c>
      <c r="B166" s="614">
        <v>7401.9125061799996</v>
      </c>
      <c r="C166" s="614">
        <v>6535.8084241099996</v>
      </c>
      <c r="D166" s="614">
        <v>5613.5217606599999</v>
      </c>
      <c r="E166" s="614">
        <v>1782.0518773700001</v>
      </c>
      <c r="F166" s="614">
        <v>106.666</v>
      </c>
      <c r="G166" s="614">
        <v>75.838801876854973</v>
      </c>
      <c r="H166" s="212"/>
      <c r="I166" s="212"/>
    </row>
    <row r="167" spans="1:14" ht="16.5" customHeight="1">
      <c r="A167" s="37" t="s">
        <v>21</v>
      </c>
      <c r="B167" s="614">
        <v>7472.7052993199995</v>
      </c>
      <c r="C167" s="614">
        <v>6726.0725825299996</v>
      </c>
      <c r="D167" s="614">
        <v>5834.5716874399996</v>
      </c>
      <c r="E167" s="614">
        <v>1630.6017532400001</v>
      </c>
      <c r="F167" s="614">
        <v>107.657</v>
      </c>
      <c r="G167" s="614">
        <v>78.078439517358362</v>
      </c>
      <c r="H167" s="212"/>
      <c r="I167" s="212"/>
    </row>
    <row r="168" spans="1:14" ht="16.5" customHeight="1">
      <c r="A168" s="37" t="s">
        <v>22</v>
      </c>
      <c r="B168" s="614">
        <v>8343.5829335300004</v>
      </c>
      <c r="C168" s="614">
        <v>7641.6268355399998</v>
      </c>
      <c r="D168" s="614">
        <v>6244.3332581199993</v>
      </c>
      <c r="E168" s="614">
        <v>2077.6348501800003</v>
      </c>
      <c r="F168" s="614">
        <v>107.991</v>
      </c>
      <c r="G168" s="614">
        <v>74.839949550044793</v>
      </c>
      <c r="H168" s="212"/>
      <c r="I168" s="212"/>
    </row>
    <row r="169" spans="1:14" ht="16.5" customHeight="1">
      <c r="A169" s="37" t="s">
        <v>23</v>
      </c>
      <c r="B169" s="614">
        <v>8337.9684701599999</v>
      </c>
      <c r="C169" s="614">
        <v>7689.3512139399991</v>
      </c>
      <c r="D169" s="614">
        <v>6306.9578185899991</v>
      </c>
      <c r="E169" s="614">
        <v>2013.95926156</v>
      </c>
      <c r="F169" s="614">
        <v>142.97900000000001</v>
      </c>
      <c r="G169" s="614">
        <v>75.641420822846698</v>
      </c>
      <c r="H169" s="212"/>
      <c r="I169" s="212"/>
    </row>
    <row r="170" spans="1:14" ht="16.5" customHeight="1">
      <c r="A170" s="37" t="s">
        <v>24</v>
      </c>
      <c r="B170" s="614">
        <v>8623.2592612000008</v>
      </c>
      <c r="C170" s="614">
        <v>7638.1249938200008</v>
      </c>
      <c r="D170" s="614">
        <v>6442.4021686999995</v>
      </c>
      <c r="E170" s="614">
        <v>2170.0318542699997</v>
      </c>
      <c r="F170" s="614">
        <v>131.10400000000001</v>
      </c>
      <c r="G170" s="614">
        <v>74.709596146405133</v>
      </c>
      <c r="H170" s="212"/>
      <c r="I170" s="212"/>
    </row>
    <row r="171" spans="1:14" ht="16.5" customHeight="1">
      <c r="A171" s="37" t="s">
        <v>25</v>
      </c>
      <c r="B171" s="614">
        <v>8477.8879030800017</v>
      </c>
      <c r="C171" s="614">
        <v>7412.1772067400007</v>
      </c>
      <c r="D171" s="614">
        <v>6326.0632323700002</v>
      </c>
      <c r="E171" s="614">
        <v>2137.3321767799998</v>
      </c>
      <c r="F171" s="614">
        <v>158.75299999999999</v>
      </c>
      <c r="G171" s="614">
        <v>74.618387323471836</v>
      </c>
      <c r="H171" s="212"/>
      <c r="I171" s="212"/>
    </row>
    <row r="172" spans="1:14" ht="16.5" customHeight="1">
      <c r="A172" s="37" t="s">
        <v>26</v>
      </c>
      <c r="B172" s="614">
        <v>7985.9435525199997</v>
      </c>
      <c r="C172" s="614">
        <v>6810.3119202299995</v>
      </c>
      <c r="D172" s="614">
        <v>6194.0429283099993</v>
      </c>
      <c r="E172" s="614">
        <v>1776.30157564</v>
      </c>
      <c r="F172" s="614">
        <v>161.87100000000001</v>
      </c>
      <c r="G172" s="614">
        <v>77.561817054860626</v>
      </c>
      <c r="H172" s="172"/>
      <c r="I172" s="172"/>
      <c r="J172" s="172"/>
      <c r="K172" s="172"/>
      <c r="L172" s="172"/>
      <c r="M172" s="172"/>
      <c r="N172" s="172"/>
    </row>
    <row r="173" spans="1:14" ht="16.5" customHeight="1">
      <c r="A173" s="37" t="s">
        <v>27</v>
      </c>
      <c r="B173" s="614">
        <v>8792.8452389400009</v>
      </c>
      <c r="C173" s="614">
        <v>7448.9083649700005</v>
      </c>
      <c r="D173" s="614">
        <v>6290.8613980099999</v>
      </c>
      <c r="E173" s="614">
        <v>2483.9888501599999</v>
      </c>
      <c r="F173" s="614">
        <v>157.56700000000001</v>
      </c>
      <c r="G173" s="614">
        <v>71.545230548927293</v>
      </c>
      <c r="H173" s="172"/>
      <c r="I173" s="172"/>
      <c r="J173" s="172"/>
      <c r="K173" s="172"/>
      <c r="L173" s="172"/>
      <c r="M173" s="172"/>
      <c r="N173" s="172"/>
    </row>
    <row r="174" spans="1:14" ht="16.5" customHeight="1">
      <c r="A174" s="37" t="s">
        <v>28</v>
      </c>
      <c r="B174" s="614">
        <v>9055.768697380001</v>
      </c>
      <c r="C174" s="614">
        <v>7702.215091080001</v>
      </c>
      <c r="D174" s="614">
        <v>6332.203030820001</v>
      </c>
      <c r="E174" s="614">
        <v>2715.4917962</v>
      </c>
      <c r="F174" s="614">
        <v>146.97800000000001</v>
      </c>
      <c r="G174" s="614">
        <v>69.924522615645245</v>
      </c>
      <c r="H174" s="172"/>
      <c r="I174" s="172"/>
      <c r="J174" s="172"/>
      <c r="K174" s="172"/>
      <c r="L174" s="172"/>
      <c r="M174" s="172"/>
      <c r="N174" s="172"/>
    </row>
    <row r="175" spans="1:14" ht="16.5" customHeight="1">
      <c r="A175" s="37" t="s">
        <v>29</v>
      </c>
      <c r="B175" s="614">
        <v>9232.7881355600002</v>
      </c>
      <c r="C175" s="614">
        <v>7860.4837056300003</v>
      </c>
      <c r="D175" s="614">
        <v>6960.7782469500007</v>
      </c>
      <c r="E175" s="614">
        <v>2258.6808959700002</v>
      </c>
      <c r="F175" s="614">
        <v>147.708</v>
      </c>
      <c r="G175" s="614">
        <v>75.391941683797839</v>
      </c>
      <c r="H175" s="172"/>
      <c r="I175" s="172"/>
      <c r="J175" s="172"/>
      <c r="K175" s="172"/>
      <c r="L175" s="172"/>
      <c r="M175" s="172"/>
      <c r="N175" s="172"/>
    </row>
    <row r="176" spans="1:14" ht="16.5" customHeight="1">
      <c r="A176" s="37" t="s">
        <v>1902</v>
      </c>
      <c r="B176" s="456">
        <v>9872.6132871700011</v>
      </c>
      <c r="C176" s="456">
        <v>8543.2044720300019</v>
      </c>
      <c r="D176" s="456">
        <v>8140.2378426499999</v>
      </c>
      <c r="E176" s="456">
        <v>1695.8362965299998</v>
      </c>
      <c r="F176" s="456">
        <v>141.2157501867097</v>
      </c>
      <c r="G176" s="456">
        <v>82.452716478104975</v>
      </c>
      <c r="H176" s="172"/>
      <c r="I176" s="172"/>
      <c r="J176" s="172"/>
      <c r="K176" s="172"/>
      <c r="L176" s="172"/>
      <c r="M176" s="172"/>
      <c r="N176" s="172"/>
    </row>
    <row r="177" spans="1:14" ht="16.5" customHeight="1">
      <c r="A177" s="37" t="s">
        <v>18</v>
      </c>
      <c r="B177" s="614">
        <v>8731.8619273800032</v>
      </c>
      <c r="C177" s="614">
        <v>7331.6690958400013</v>
      </c>
      <c r="D177" s="614">
        <v>6541.0499213400008</v>
      </c>
      <c r="E177" s="614">
        <v>2174.3222042200005</v>
      </c>
      <c r="F177" s="614">
        <v>148.02500000000001</v>
      </c>
      <c r="G177" s="614">
        <v>74.910139163213316</v>
      </c>
      <c r="H177" s="172"/>
      <c r="I177" s="172"/>
      <c r="J177" s="172"/>
      <c r="K177" s="172"/>
      <c r="L177" s="172"/>
      <c r="M177" s="172"/>
      <c r="N177" s="172"/>
    </row>
    <row r="178" spans="1:14" ht="16.5" customHeight="1">
      <c r="A178" s="37" t="s">
        <v>19</v>
      </c>
      <c r="B178" s="614">
        <v>8336.4134713400017</v>
      </c>
      <c r="C178" s="614">
        <v>6986.960843580001</v>
      </c>
      <c r="D178" s="614">
        <v>6534.3201266200003</v>
      </c>
      <c r="E178" s="614">
        <v>1773.6741264200002</v>
      </c>
      <c r="F178" s="614">
        <v>148.86099999999999</v>
      </c>
      <c r="G178" s="614">
        <v>78.382869912637247</v>
      </c>
    </row>
    <row r="179" spans="1:14" ht="16.5" customHeight="1">
      <c r="A179" s="37" t="s">
        <v>20</v>
      </c>
      <c r="B179" s="614">
        <v>9557.3477016000015</v>
      </c>
      <c r="C179" s="614">
        <v>7277.5359397400016</v>
      </c>
      <c r="D179" s="614">
        <v>6661.8412195800011</v>
      </c>
      <c r="E179" s="614">
        <v>2860.2395714900003</v>
      </c>
      <c r="F179" s="614">
        <v>140.74600000000001</v>
      </c>
      <c r="G179" s="614">
        <v>69.703870023110468</v>
      </c>
    </row>
    <row r="180" spans="1:14" ht="16.5" customHeight="1">
      <c r="A180" s="37" t="s">
        <v>21</v>
      </c>
      <c r="B180" s="614">
        <v>10363.75818338</v>
      </c>
      <c r="C180" s="614">
        <v>7628.1178079899992</v>
      </c>
      <c r="D180" s="614">
        <v>6829.6581519900001</v>
      </c>
      <c r="E180" s="614">
        <v>3489.47142386</v>
      </c>
      <c r="F180" s="614">
        <v>138.239</v>
      </c>
      <c r="G180" s="614">
        <v>65.899435621167683</v>
      </c>
    </row>
    <row r="181" spans="1:14" ht="16.5" customHeight="1">
      <c r="A181" s="37" t="s">
        <v>22</v>
      </c>
      <c r="B181" s="614">
        <v>10088.03619836</v>
      </c>
      <c r="C181" s="614">
        <v>7788.6733876100006</v>
      </c>
      <c r="D181" s="614">
        <v>7056.81023448</v>
      </c>
      <c r="E181" s="614">
        <v>2983.8352472299998</v>
      </c>
      <c r="F181" s="614">
        <v>137.00684827213797</v>
      </c>
      <c r="G181" s="614">
        <v>69.95226916044588</v>
      </c>
    </row>
    <row r="182" spans="1:14" ht="16.5" customHeight="1">
      <c r="A182" s="37" t="s">
        <v>23</v>
      </c>
      <c r="B182" s="614">
        <v>10525.852064319999</v>
      </c>
      <c r="C182" s="614">
        <v>8274.47549703</v>
      </c>
      <c r="D182" s="614">
        <v>7353.0761847999993</v>
      </c>
      <c r="E182" s="614">
        <v>3139.8698383400001</v>
      </c>
      <c r="F182" s="614">
        <v>138.15100000000001</v>
      </c>
      <c r="G182" s="614">
        <v>69.857301241436645</v>
      </c>
    </row>
    <row r="183" spans="1:14" ht="16.5" customHeight="1">
      <c r="A183" s="37" t="s">
        <v>24</v>
      </c>
      <c r="B183" s="614">
        <v>10718.18429874</v>
      </c>
      <c r="C183" s="614">
        <v>8332.8540120800008</v>
      </c>
      <c r="D183" s="614">
        <v>7479.6131373600001</v>
      </c>
      <c r="E183" s="614">
        <v>3211.5021038199998</v>
      </c>
      <c r="F183" s="614">
        <v>142.83823538386901</v>
      </c>
      <c r="G183" s="614">
        <v>69.7843303388549</v>
      </c>
    </row>
    <row r="184" spans="1:14" ht="16.5" customHeight="1">
      <c r="A184" s="37" t="s">
        <v>25</v>
      </c>
      <c r="B184" s="614">
        <v>10660.60308101</v>
      </c>
      <c r="C184" s="614">
        <v>8468.4398282700004</v>
      </c>
      <c r="D184" s="614">
        <v>7592.91862124</v>
      </c>
      <c r="E184" s="614">
        <v>3028.5269764900004</v>
      </c>
      <c r="F184" s="614">
        <v>140.70274900000001</v>
      </c>
      <c r="G184" s="614">
        <v>71.224100208415564</v>
      </c>
    </row>
    <row r="185" spans="1:14" ht="16.5" customHeight="1">
      <c r="A185" s="37" t="s">
        <v>26</v>
      </c>
      <c r="B185" s="614">
        <v>10032.272046389999</v>
      </c>
      <c r="C185" s="614">
        <v>8671.2016743799995</v>
      </c>
      <c r="D185" s="614">
        <v>7707.8299925699994</v>
      </c>
      <c r="E185" s="614">
        <v>2280.6612982499996</v>
      </c>
      <c r="F185" s="614">
        <v>141.25235585309144</v>
      </c>
      <c r="G185" s="614">
        <v>76.830352655195156</v>
      </c>
    </row>
    <row r="186" spans="1:14" ht="16.5" customHeight="1">
      <c r="A186" s="37" t="s">
        <v>27</v>
      </c>
      <c r="B186" s="614">
        <v>9829.0430620700008</v>
      </c>
      <c r="C186" s="614">
        <v>8531.6469131100021</v>
      </c>
      <c r="D186" s="614">
        <v>7674.4135468400009</v>
      </c>
      <c r="E186" s="614">
        <v>2105.2069556199999</v>
      </c>
      <c r="F186" s="614">
        <v>140.15816288294369</v>
      </c>
      <c r="G186" s="614">
        <v>78.078949276917371</v>
      </c>
    </row>
    <row r="187" spans="1:14" ht="16.5" customHeight="1">
      <c r="A187" s="37" t="s">
        <v>28</v>
      </c>
      <c r="B187" s="614">
        <v>10001.93815468</v>
      </c>
      <c r="C187" s="614">
        <v>8686.8413463500001</v>
      </c>
      <c r="D187" s="614">
        <v>7759.3969475900003</v>
      </c>
      <c r="E187" s="614">
        <v>2185.5135100500001</v>
      </c>
      <c r="F187" s="614">
        <v>140.7947161531005</v>
      </c>
      <c r="G187" s="614">
        <v>77.578933478600902</v>
      </c>
    </row>
    <row r="188" spans="1:14" ht="16.5" customHeight="1">
      <c r="A188" s="37">
        <v>12</v>
      </c>
      <c r="B188" s="614">
        <v>9872.6132871700011</v>
      </c>
      <c r="C188" s="614">
        <v>8543.2044720300019</v>
      </c>
      <c r="D188" s="614">
        <v>8140.2378426499999</v>
      </c>
      <c r="E188" s="614">
        <v>1695.8362965299998</v>
      </c>
      <c r="F188" s="614">
        <v>141.2157501867097</v>
      </c>
      <c r="G188" s="614">
        <v>82.452716478104975</v>
      </c>
    </row>
    <row r="189" spans="1:14" ht="16.5" customHeight="1">
      <c r="A189" s="37" t="s">
        <v>2038</v>
      </c>
      <c r="B189" s="456">
        <v>10643.679051069999</v>
      </c>
      <c r="C189" s="456">
        <v>9545.7262990999989</v>
      </c>
      <c r="D189" s="456">
        <v>8364.1285379000001</v>
      </c>
      <c r="E189" s="456">
        <v>2243.7929073199989</v>
      </c>
      <c r="F189" s="456">
        <v>163.017611837608</v>
      </c>
      <c r="G189" s="456">
        <v>78.583058524854351</v>
      </c>
    </row>
    <row r="190" spans="1:14" ht="16.5" customHeight="1">
      <c r="A190" s="37" t="s">
        <v>18</v>
      </c>
      <c r="B190" s="614">
        <v>9829.3884574200001</v>
      </c>
      <c r="C190" s="614">
        <v>8761.5609664799995</v>
      </c>
      <c r="D190" s="614">
        <v>7956.3312852000008</v>
      </c>
      <c r="E190" s="614">
        <v>1818.9565012399999</v>
      </c>
      <c r="F190" s="614">
        <v>140.46836647361417</v>
      </c>
      <c r="G190" s="614">
        <v>80.94431631902728</v>
      </c>
    </row>
    <row r="191" spans="1:14" ht="16.5" customHeight="1">
      <c r="A191" s="37" t="s">
        <v>19</v>
      </c>
      <c r="B191" s="614">
        <v>10248.502778329999</v>
      </c>
      <c r="C191" s="614">
        <v>9180.5560188300005</v>
      </c>
      <c r="D191" s="614">
        <v>7929.4931649499995</v>
      </c>
      <c r="E191" s="614">
        <v>2246.3193468099998</v>
      </c>
      <c r="F191" s="614">
        <v>153.68657266541052</v>
      </c>
      <c r="G191" s="614">
        <v>77.372210716638122</v>
      </c>
    </row>
    <row r="192" spans="1:14" ht="16.5" customHeight="1">
      <c r="A192" s="37" t="s">
        <v>20</v>
      </c>
      <c r="B192" s="614">
        <v>10782.977859649998</v>
      </c>
      <c r="C192" s="614">
        <v>9471.0484987299988</v>
      </c>
      <c r="D192" s="614">
        <v>8110.534068599999</v>
      </c>
      <c r="E192" s="614">
        <v>2619.45378919</v>
      </c>
      <c r="F192" s="614">
        <v>154.49193097762225</v>
      </c>
      <c r="G192" s="614">
        <v>75.216087561022377</v>
      </c>
    </row>
    <row r="193" spans="1:7" ht="16.5" customHeight="1">
      <c r="A193" s="37" t="s">
        <v>21</v>
      </c>
      <c r="B193" s="614">
        <v>9684.2921908099997</v>
      </c>
      <c r="C193" s="614">
        <v>8412.9733237500004</v>
      </c>
      <c r="D193" s="614">
        <v>7551.3492722800002</v>
      </c>
      <c r="E193" s="614">
        <v>2104.8133344799999</v>
      </c>
      <c r="F193" s="614">
        <v>149.76033902622069</v>
      </c>
      <c r="G193" s="614">
        <v>77.975231679253994</v>
      </c>
    </row>
    <row r="194" spans="1:7" ht="16.5" customHeight="1">
      <c r="A194" s="37" t="s">
        <v>22</v>
      </c>
      <c r="B194" s="614">
        <v>9731.5376101399997</v>
      </c>
      <c r="C194" s="614">
        <v>8404.4068456700006</v>
      </c>
      <c r="D194" s="614">
        <v>7678.6819718500001</v>
      </c>
      <c r="E194" s="614">
        <v>2035.3780335399999</v>
      </c>
      <c r="F194" s="614">
        <v>147.73451496350054</v>
      </c>
      <c r="G194" s="614">
        <v>78.905125576959406</v>
      </c>
    </row>
    <row r="195" spans="1:7" ht="16.5" customHeight="1">
      <c r="A195" s="37" t="s">
        <v>23</v>
      </c>
      <c r="B195" s="614">
        <v>9674.4502738600004</v>
      </c>
      <c r="C195" s="614">
        <v>8588.03503705</v>
      </c>
      <c r="D195" s="614">
        <v>7814.48978317</v>
      </c>
      <c r="E195" s="614">
        <v>1842.0459014399999</v>
      </c>
      <c r="F195" s="614">
        <v>159.41554756833455</v>
      </c>
      <c r="G195" s="614">
        <v>80.774509785682156</v>
      </c>
    </row>
    <row r="196" spans="1:7" ht="16.5" customHeight="1">
      <c r="A196" s="37" t="s">
        <v>24</v>
      </c>
      <c r="B196" s="614">
        <v>10079.05528153</v>
      </c>
      <c r="C196" s="614">
        <v>8888.8569364699997</v>
      </c>
      <c r="D196" s="614">
        <v>7987.6448758400002</v>
      </c>
      <c r="E196" s="614">
        <v>2061.8677719799998</v>
      </c>
      <c r="F196" s="614">
        <v>149.44588546282597</v>
      </c>
      <c r="G196" s="614">
        <v>79.249936156987488</v>
      </c>
    </row>
    <row r="197" spans="1:7" ht="16.5" customHeight="1">
      <c r="A197" s="37" t="s">
        <v>25</v>
      </c>
      <c r="B197" s="614">
        <v>9329.3632530899995</v>
      </c>
      <c r="C197" s="614">
        <v>8318.2212724799992</v>
      </c>
      <c r="D197" s="614">
        <v>7509.5632074200003</v>
      </c>
      <c r="E197" s="614">
        <v>1789.4469795599998</v>
      </c>
      <c r="F197" s="614">
        <v>150.80149693818748</v>
      </c>
      <c r="G197" s="614">
        <v>80.493845117808448</v>
      </c>
    </row>
    <row r="198" spans="1:7" ht="16.5" customHeight="1">
      <c r="A198" s="37" t="s">
        <v>26</v>
      </c>
      <c r="B198" s="614">
        <v>9754.0301530100005</v>
      </c>
      <c r="C198" s="614">
        <v>8871.45735565</v>
      </c>
      <c r="D198" s="614">
        <v>7527.0656247799998</v>
      </c>
      <c r="E198" s="614">
        <v>2185.9205062000001</v>
      </c>
      <c r="F198" s="614">
        <v>152.61537979909329</v>
      </c>
      <c r="G198" s="614">
        <v>77.168775436450943</v>
      </c>
    </row>
    <row r="199" spans="1:7" ht="16.5" customHeight="1">
      <c r="A199" s="37" t="s">
        <v>27</v>
      </c>
      <c r="B199" s="614">
        <v>10059.50504419</v>
      </c>
      <c r="C199" s="614">
        <v>9153.3159421199998</v>
      </c>
      <c r="D199" s="614">
        <v>7758.5337813200003</v>
      </c>
      <c r="E199" s="614">
        <v>2267.9817767200002</v>
      </c>
      <c r="F199" s="614">
        <v>154.84192493417629</v>
      </c>
      <c r="G199" s="614">
        <v>77.126396847934814</v>
      </c>
    </row>
    <row r="200" spans="1:7" ht="16.5" customHeight="1">
      <c r="A200" s="37" t="s">
        <v>28</v>
      </c>
      <c r="B200" s="614">
        <v>9716.6719579600012</v>
      </c>
      <c r="C200" s="614">
        <v>8985.1594870900008</v>
      </c>
      <c r="D200" s="614">
        <v>7934.6306639300001</v>
      </c>
      <c r="E200" s="614">
        <v>1750.8256915300001</v>
      </c>
      <c r="F200" s="614">
        <v>159.31187833541691</v>
      </c>
      <c r="G200" s="614">
        <v>81.659962364272943</v>
      </c>
    </row>
    <row r="201" spans="1:7" ht="16.5" customHeight="1">
      <c r="A201" s="37" t="s">
        <v>29</v>
      </c>
      <c r="B201" s="614">
        <v>10643.679051069999</v>
      </c>
      <c r="C201" s="614">
        <v>9545.7262990999989</v>
      </c>
      <c r="D201" s="614">
        <v>8364.1285379000001</v>
      </c>
      <c r="E201" s="614">
        <v>2243.7929073199989</v>
      </c>
      <c r="F201" s="614">
        <v>163.017611837608</v>
      </c>
      <c r="G201" s="614">
        <v>78.583058524854351</v>
      </c>
    </row>
    <row r="202" spans="1:7" ht="16.5" customHeight="1">
      <c r="A202" s="37" t="s">
        <v>2131</v>
      </c>
      <c r="B202" s="456">
        <v>13125.27651143</v>
      </c>
      <c r="C202" s="456">
        <v>12152.50801965</v>
      </c>
      <c r="D202" s="456">
        <v>10405.51348281</v>
      </c>
      <c r="E202" s="456">
        <v>2708.6334206199999</v>
      </c>
      <c r="F202" s="456">
        <v>165.4383144547688</v>
      </c>
      <c r="G202" s="456">
        <v>79.27843252481938</v>
      </c>
    </row>
    <row r="203" spans="1:7" ht="16.5" customHeight="1">
      <c r="A203" s="37" t="s">
        <v>18</v>
      </c>
      <c r="B203" s="614">
        <v>9356.9150563700023</v>
      </c>
      <c r="C203" s="614">
        <v>8709.2276391800006</v>
      </c>
      <c r="D203" s="614">
        <v>7911.3744766899999</v>
      </c>
      <c r="E203" s="614">
        <v>1413.0709157000001</v>
      </c>
      <c r="F203" s="614">
        <v>159.6117144008999</v>
      </c>
      <c r="G203" s="614">
        <v>84.551098615607216</v>
      </c>
    </row>
    <row r="204" spans="1:7" ht="16.5" customHeight="1">
      <c r="A204" s="37" t="s">
        <v>19</v>
      </c>
      <c r="B204" s="614">
        <v>9776.3184573999988</v>
      </c>
      <c r="C204" s="614">
        <v>9014.1419027799984</v>
      </c>
      <c r="D204" s="614">
        <v>7959.1588936999997</v>
      </c>
      <c r="E204" s="614">
        <v>1786.8729093299999</v>
      </c>
      <c r="F204" s="614">
        <v>161.61597564477981</v>
      </c>
      <c r="G204" s="614">
        <v>81.412639414129004</v>
      </c>
    </row>
    <row r="205" spans="1:7" ht="16.5" customHeight="1">
      <c r="A205" s="37" t="s">
        <v>20</v>
      </c>
      <c r="B205" s="614">
        <v>9734.8745247399984</v>
      </c>
      <c r="C205" s="614">
        <v>8946.2544290799979</v>
      </c>
      <c r="D205" s="614">
        <v>8219.8755523500004</v>
      </c>
      <c r="E205" s="614">
        <v>1499.6320815899999</v>
      </c>
      <c r="F205" s="614">
        <v>163.33456210392248</v>
      </c>
      <c r="G205" s="614">
        <v>84.43740627021117</v>
      </c>
    </row>
    <row r="206" spans="1:7" ht="16.5" customHeight="1">
      <c r="A206" s="37" t="s">
        <v>21</v>
      </c>
      <c r="B206" s="614">
        <v>10012.380729480003</v>
      </c>
      <c r="C206" s="614">
        <v>9495.0742352800025</v>
      </c>
      <c r="D206" s="614">
        <v>8458.1571194600019</v>
      </c>
      <c r="E206" s="614">
        <v>1535.01309066</v>
      </c>
      <c r="F206" s="614">
        <v>165.86800707884674</v>
      </c>
      <c r="G206" s="614">
        <v>84.476982527803656</v>
      </c>
    </row>
    <row r="207" spans="1:7" ht="16.5" customHeight="1">
      <c r="A207" s="37" t="s">
        <v>22</v>
      </c>
      <c r="B207" s="614">
        <v>11095.957607389997</v>
      </c>
      <c r="C207" s="614">
        <v>10172.390385009998</v>
      </c>
      <c r="D207" s="614">
        <v>8845.1120775999989</v>
      </c>
      <c r="E207" s="614">
        <v>2231.4921068499998</v>
      </c>
      <c r="F207" s="614">
        <v>158.2584940534247</v>
      </c>
      <c r="G207" s="614">
        <v>79.714724862584944</v>
      </c>
    </row>
    <row r="208" spans="1:7" ht="16.5" customHeight="1">
      <c r="A208" s="37" t="s">
        <v>23</v>
      </c>
      <c r="B208" s="614">
        <v>11255.612272279999</v>
      </c>
      <c r="C208" s="614">
        <v>10376.906186889999</v>
      </c>
      <c r="D208" s="614">
        <v>9173.2529824800004</v>
      </c>
      <c r="E208" s="614">
        <v>2064.13566107</v>
      </c>
      <c r="F208" s="614">
        <v>156.65462258831155</v>
      </c>
      <c r="G208" s="614">
        <v>81.499369030964445</v>
      </c>
    </row>
    <row r="209" spans="1:10" ht="16.5" customHeight="1">
      <c r="A209" s="37" t="s">
        <v>24</v>
      </c>
      <c r="B209" s="614">
        <v>11668.047325330002</v>
      </c>
      <c r="C209" s="614">
        <v>10574.283058750001</v>
      </c>
      <c r="D209" s="614">
        <v>9310.1083104600002</v>
      </c>
      <c r="E209" s="614">
        <v>2303.5408484300001</v>
      </c>
      <c r="F209" s="614">
        <v>157.57632796849248</v>
      </c>
      <c r="G209" s="614">
        <v>79.791485677717603</v>
      </c>
    </row>
    <row r="210" spans="1:10" ht="16.5" customHeight="1">
      <c r="A210" s="37" t="s">
        <v>25</v>
      </c>
      <c r="B210" s="614">
        <v>11416.972533090004</v>
      </c>
      <c r="C210" s="614">
        <v>10157.646670730002</v>
      </c>
      <c r="D210" s="614">
        <v>9288.3708442200004</v>
      </c>
      <c r="E210" s="614">
        <v>2106.5311865100002</v>
      </c>
      <c r="F210" s="614">
        <v>157.78640039095245</v>
      </c>
      <c r="G210" s="614">
        <v>81.35581317463415</v>
      </c>
    </row>
    <row r="211" spans="1:10" ht="16.5" customHeight="1">
      <c r="A211" s="37" t="s">
        <v>26</v>
      </c>
      <c r="B211" s="614">
        <v>11498.2638658</v>
      </c>
      <c r="C211" s="614">
        <v>10217.26660046</v>
      </c>
      <c r="D211" s="614">
        <v>9352.5613155999999</v>
      </c>
      <c r="E211" s="614">
        <v>2132.1918944399999</v>
      </c>
      <c r="F211" s="614">
        <v>159.77926480621088</v>
      </c>
      <c r="G211" s="614">
        <v>81.338899722225932</v>
      </c>
    </row>
    <row r="212" spans="1:10" ht="16.5" customHeight="1">
      <c r="A212" s="37" t="s">
        <v>27</v>
      </c>
      <c r="B212" s="614">
        <v>11427.484053389999</v>
      </c>
      <c r="C212" s="614">
        <v>10298.833747049997</v>
      </c>
      <c r="D212" s="614">
        <v>9437.2516326299992</v>
      </c>
      <c r="E212" s="614">
        <v>1973.9158790399997</v>
      </c>
      <c r="F212" s="614">
        <v>163.27522512867449</v>
      </c>
      <c r="G212" s="614">
        <v>82.583809249161973</v>
      </c>
    </row>
    <row r="213" spans="1:10" ht="16.5" customHeight="1">
      <c r="A213" s="37" t="s">
        <v>28</v>
      </c>
      <c r="B213" s="614">
        <v>11622.7870291</v>
      </c>
      <c r="C213" s="614">
        <v>10674.527353169999</v>
      </c>
      <c r="D213" s="614">
        <v>9614.2540054299989</v>
      </c>
      <c r="E213" s="614">
        <v>1993.04973537</v>
      </c>
      <c r="F213" s="614">
        <v>166.58173254854398</v>
      </c>
      <c r="G213" s="614">
        <v>82.719006907368836</v>
      </c>
    </row>
    <row r="214" spans="1:10" ht="16.5" customHeight="1">
      <c r="A214" s="37">
        <v>12</v>
      </c>
      <c r="B214" s="614">
        <v>13125.27651143</v>
      </c>
      <c r="C214" s="614">
        <v>12152.50801965</v>
      </c>
      <c r="D214" s="614">
        <v>10405.51348281</v>
      </c>
      <c r="E214" s="614">
        <v>2708.6334206199999</v>
      </c>
      <c r="F214" s="614">
        <v>165.4383144547688</v>
      </c>
      <c r="G214" s="614">
        <v>79.27843252481938</v>
      </c>
    </row>
    <row r="215" spans="1:10" ht="16.5" customHeight="1">
      <c r="A215" s="37" t="s">
        <v>2362</v>
      </c>
      <c r="B215" s="456">
        <v>15052.883723020001</v>
      </c>
      <c r="C215" s="456">
        <v>13564.16827113</v>
      </c>
      <c r="D215" s="456">
        <v>11839.66407006</v>
      </c>
      <c r="E215" s="456">
        <v>3204.1532509600002</v>
      </c>
      <c r="F215" s="456">
        <v>149.52766110788184</v>
      </c>
      <c r="G215" s="456">
        <v>78.653793438621307</v>
      </c>
    </row>
    <row r="216" spans="1:10" ht="16.5" customHeight="1">
      <c r="A216" s="37" t="s">
        <v>18</v>
      </c>
      <c r="B216" s="614">
        <v>12602.824915190002</v>
      </c>
      <c r="C216" s="614">
        <v>11543.405625900001</v>
      </c>
      <c r="D216" s="614">
        <v>10040.935631120001</v>
      </c>
      <c r="E216" s="614">
        <v>2549.6886860999998</v>
      </c>
      <c r="F216" s="614">
        <v>164.7211627116138</v>
      </c>
      <c r="G216" s="614">
        <v>79.67210287129997</v>
      </c>
    </row>
    <row r="217" spans="1:10" ht="16.5" customHeight="1">
      <c r="A217" s="37" t="s">
        <v>19</v>
      </c>
      <c r="B217" s="614">
        <v>13348.45337465</v>
      </c>
      <c r="C217" s="614">
        <v>12112.34670455</v>
      </c>
      <c r="D217" s="614">
        <v>10367.48460813</v>
      </c>
      <c r="E217" s="614">
        <v>2968.1072119600003</v>
      </c>
      <c r="F217" s="614">
        <v>174.09087354200835</v>
      </c>
      <c r="G217" s="614">
        <v>77.668058741688029</v>
      </c>
    </row>
    <row r="218" spans="1:10" ht="16.5" customHeight="1">
      <c r="A218" s="37" t="s">
        <v>20</v>
      </c>
      <c r="B218" s="614">
        <v>11360.740389489998</v>
      </c>
      <c r="C218" s="614">
        <v>10066.898366729998</v>
      </c>
      <c r="D218" s="614">
        <v>9463.6018108600001</v>
      </c>
      <c r="E218" s="614">
        <v>1887.2892455899998</v>
      </c>
      <c r="F218" s="614">
        <v>173.64494497250675</v>
      </c>
      <c r="G218" s="614">
        <v>83.300924820136984</v>
      </c>
    </row>
    <row r="219" spans="1:10" ht="16.5" customHeight="1">
      <c r="A219" s="37" t="s">
        <v>21</v>
      </c>
      <c r="B219" s="614">
        <v>11773.892088780001</v>
      </c>
      <c r="C219" s="614">
        <v>10065.709438690001</v>
      </c>
      <c r="D219" s="614">
        <v>9473.3341701200006</v>
      </c>
      <c r="E219" s="614">
        <v>2290.3877324099999</v>
      </c>
      <c r="F219" s="614">
        <v>169.5350255895755</v>
      </c>
      <c r="G219" s="614">
        <v>80.460514659784167</v>
      </c>
      <c r="J219" s="389"/>
    </row>
    <row r="220" spans="1:10" ht="16.5" customHeight="1">
      <c r="A220" s="37" t="s">
        <v>22</v>
      </c>
      <c r="B220" s="614">
        <v>12480.829736399999</v>
      </c>
      <c r="C220" s="614">
        <v>10921.206972239999</v>
      </c>
      <c r="D220" s="614">
        <v>9940.6719927200011</v>
      </c>
      <c r="E220" s="614">
        <v>2531.1583994600001</v>
      </c>
      <c r="F220" s="614">
        <v>162.5292504852622</v>
      </c>
      <c r="G220" s="614">
        <v>79.64752506580794</v>
      </c>
      <c r="J220" s="389"/>
    </row>
    <row r="221" spans="1:10" ht="16.5" customHeight="1">
      <c r="A221" s="37" t="s">
        <v>23</v>
      </c>
      <c r="B221" s="614">
        <v>12754.724676150001</v>
      </c>
      <c r="C221" s="614">
        <v>11251.77431065</v>
      </c>
      <c r="D221" s="614">
        <v>10052.3843689</v>
      </c>
      <c r="E221" s="614">
        <v>2692.28600525</v>
      </c>
      <c r="F221" s="614">
        <v>156.68651731872654</v>
      </c>
      <c r="G221" s="614">
        <v>78.813025166250014</v>
      </c>
      <c r="J221" s="389"/>
    </row>
    <row r="222" spans="1:10" ht="16.5" customHeight="1">
      <c r="A222" s="37" t="s">
        <v>24</v>
      </c>
      <c r="B222" s="614">
        <v>12771.147726130002</v>
      </c>
      <c r="C222" s="614">
        <v>11676.935499960002</v>
      </c>
      <c r="D222" s="614">
        <v>10609.281695860001</v>
      </c>
      <c r="E222" s="614">
        <v>2151.6520358400003</v>
      </c>
      <c r="F222" s="614">
        <v>153.58201855584841</v>
      </c>
      <c r="G222" s="614">
        <v>83.072265103888938</v>
      </c>
      <c r="J222" s="389"/>
    </row>
    <row r="223" spans="1:10" ht="16.5" customHeight="1">
      <c r="A223" s="37" t="s">
        <v>25</v>
      </c>
      <c r="B223" s="614">
        <v>13012.733262090003</v>
      </c>
      <c r="C223" s="614">
        <v>11907.489257140003</v>
      </c>
      <c r="D223" s="614">
        <v>10641.862170380002</v>
      </c>
      <c r="E223" s="614">
        <v>2359.4649310699997</v>
      </c>
      <c r="F223" s="614">
        <v>152.66862463508733</v>
      </c>
      <c r="G223" s="614">
        <v>81.780375852188868</v>
      </c>
    </row>
    <row r="224" spans="1:10" ht="16.5" customHeight="1">
      <c r="A224" s="37" t="s">
        <v>26</v>
      </c>
      <c r="B224" s="614">
        <v>13233.603302260002</v>
      </c>
      <c r="C224" s="614">
        <v>12230.095657750002</v>
      </c>
      <c r="D224" s="614">
        <v>10612.487131270002</v>
      </c>
      <c r="E224" s="614">
        <v>2614.22845917</v>
      </c>
      <c r="F224" s="614">
        <v>153.23695998721689</v>
      </c>
      <c r="G224" s="614">
        <v>80.193480859877582</v>
      </c>
    </row>
    <row r="225" spans="1:7" ht="16.5" customHeight="1">
      <c r="A225" s="37" t="s">
        <v>27</v>
      </c>
      <c r="B225" s="614">
        <v>13477.575708620003</v>
      </c>
      <c r="C225" s="614">
        <v>12103.611000920002</v>
      </c>
      <c r="D225" s="614">
        <v>10783.850074320002</v>
      </c>
      <c r="E225" s="614">
        <v>2687.0647423400001</v>
      </c>
      <c r="F225" s="614">
        <v>149.07101182211034</v>
      </c>
      <c r="G225" s="614">
        <v>80.013277665528946</v>
      </c>
    </row>
    <row r="226" spans="1:7" ht="16.5" customHeight="1">
      <c r="A226" s="37" t="s">
        <v>28</v>
      </c>
      <c r="B226" s="614">
        <v>13241.241082749999</v>
      </c>
      <c r="C226" s="614">
        <v>11803.62807689</v>
      </c>
      <c r="D226" s="614">
        <v>10971.98495951</v>
      </c>
      <c r="E226" s="614">
        <v>2262.7301307999996</v>
      </c>
      <c r="F226" s="614">
        <v>148.60350487718406</v>
      </c>
      <c r="G226" s="614">
        <v>82.862209750139911</v>
      </c>
    </row>
    <row r="227" spans="1:7" ht="16.5" customHeight="1">
      <c r="A227" s="37" t="s">
        <v>29</v>
      </c>
      <c r="B227" s="614">
        <v>15052.883723020001</v>
      </c>
      <c r="C227" s="614">
        <v>13564.16827113</v>
      </c>
      <c r="D227" s="614">
        <v>11839.66407006</v>
      </c>
      <c r="E227" s="614">
        <v>3204.1532509600002</v>
      </c>
      <c r="F227" s="614">
        <v>149.52766110788184</v>
      </c>
      <c r="G227" s="614">
        <v>78.653793438621307</v>
      </c>
    </row>
    <row r="228" spans="1:7" ht="16.5" customHeight="1">
      <c r="A228" s="37" t="s">
        <v>2523</v>
      </c>
      <c r="B228" s="456">
        <v>19761.4066164</v>
      </c>
      <c r="C228" s="456">
        <v>17937.554502260002</v>
      </c>
      <c r="D228" s="456">
        <v>12310.017773940001</v>
      </c>
      <c r="E228" s="456">
        <v>7439.9792620400003</v>
      </c>
      <c r="F228" s="456">
        <v>173.39153088557433</v>
      </c>
      <c r="G228" s="456">
        <v>62.293226453444419</v>
      </c>
    </row>
    <row r="229" spans="1:7" ht="16.5" customHeight="1">
      <c r="A229" s="37" t="s">
        <v>18</v>
      </c>
      <c r="B229" s="614">
        <v>14109.267730200003</v>
      </c>
      <c r="C229" s="614">
        <v>12782.042175830002</v>
      </c>
      <c r="D229" s="614">
        <v>11314.13291088</v>
      </c>
      <c r="E229" s="614">
        <v>2787.8754556599997</v>
      </c>
      <c r="F229" s="614">
        <v>152.9551540279295</v>
      </c>
      <c r="G229" s="614">
        <v>80.189370045497171</v>
      </c>
    </row>
    <row r="230" spans="1:7" ht="16.5" customHeight="1">
      <c r="A230" s="37" t="s">
        <v>19</v>
      </c>
      <c r="B230" s="614">
        <v>14148.474008169998</v>
      </c>
      <c r="C230" s="614">
        <v>12862.995351079999</v>
      </c>
      <c r="D230" s="614">
        <v>11438.49952788</v>
      </c>
      <c r="E230" s="614">
        <v>2702.3212306199998</v>
      </c>
      <c r="F230" s="614">
        <v>156.20408505218728</v>
      </c>
      <c r="G230" s="614">
        <v>80.84617126394599</v>
      </c>
    </row>
    <row r="231" spans="1:7" ht="16.5" customHeight="1">
      <c r="A231" s="37" t="s">
        <v>20</v>
      </c>
      <c r="B231" s="614">
        <v>14820.991516580003</v>
      </c>
      <c r="C231" s="614">
        <v>13314.967326430002</v>
      </c>
      <c r="D231" s="614">
        <v>11830.953342660001</v>
      </c>
      <c r="E231" s="614">
        <v>2982.0545731999996</v>
      </c>
      <c r="F231" s="614">
        <v>156.96800918120084</v>
      </c>
      <c r="G231" s="614">
        <v>79.825653563224208</v>
      </c>
    </row>
    <row r="232" spans="1:7" ht="16.5" customHeight="1">
      <c r="A232" s="37" t="s">
        <v>21</v>
      </c>
      <c r="B232" s="614">
        <v>14692.819125990001</v>
      </c>
      <c r="C232" s="614">
        <v>13281.584169410002</v>
      </c>
      <c r="D232" s="614">
        <v>11514.10853698</v>
      </c>
      <c r="E232" s="614">
        <v>3170.9302331899999</v>
      </c>
      <c r="F232" s="614">
        <v>159.82384179160266</v>
      </c>
      <c r="G232" s="614">
        <v>78.365550125181855</v>
      </c>
    </row>
    <row r="233" spans="1:7" ht="16.5" customHeight="1">
      <c r="A233" s="37" t="s">
        <v>22</v>
      </c>
      <c r="B233" s="614">
        <v>15189.946663819999</v>
      </c>
      <c r="C233" s="614">
        <v>13856.76540126</v>
      </c>
      <c r="D233" s="614">
        <v>11635.154521029999</v>
      </c>
      <c r="E233" s="614">
        <v>3544.6463539799997</v>
      </c>
      <c r="F233" s="614">
        <v>161.19940037686155</v>
      </c>
      <c r="G233" s="614">
        <v>76.597731239853914</v>
      </c>
    </row>
    <row r="234" spans="1:7" ht="16.5" customHeight="1">
      <c r="A234" s="37" t="s">
        <v>23</v>
      </c>
      <c r="B234" s="614">
        <v>15181.921383729999</v>
      </c>
      <c r="C234" s="614">
        <v>13802.977317270001</v>
      </c>
      <c r="D234" s="614">
        <v>11741.455830019999</v>
      </c>
      <c r="E234" s="614">
        <v>3431.8950112000002</v>
      </c>
      <c r="F234" s="614">
        <v>163.20072939339002</v>
      </c>
      <c r="G234" s="614">
        <v>77.338404891247549</v>
      </c>
    </row>
    <row r="235" spans="1:7" ht="16.5" customHeight="1">
      <c r="A235" s="37" t="s">
        <v>24</v>
      </c>
      <c r="B235" s="614">
        <v>15643.82057193</v>
      </c>
      <c r="C235" s="614">
        <v>14213.38429102</v>
      </c>
      <c r="D235" s="614">
        <v>12077.340058829999</v>
      </c>
      <c r="E235" s="614">
        <v>3557.9547095999997</v>
      </c>
      <c r="F235" s="614">
        <v>158.94110958244659</v>
      </c>
      <c r="G235" s="614">
        <v>77.20198530338935</v>
      </c>
    </row>
    <row r="236" spans="1:7" ht="16.5" customHeight="1">
      <c r="A236" s="37" t="s">
        <v>25</v>
      </c>
      <c r="B236" s="614">
        <v>15460.227133350001</v>
      </c>
      <c r="C236" s="614">
        <v>14172.33178405</v>
      </c>
      <c r="D236" s="614">
        <v>11981.43251855</v>
      </c>
      <c r="E236" s="614">
        <v>3469.5785761099996</v>
      </c>
      <c r="F236" s="614">
        <v>161.10042285753255</v>
      </c>
      <c r="G236" s="614">
        <v>77.498424927433788</v>
      </c>
    </row>
    <row r="237" spans="1:7" ht="16.5" customHeight="1">
      <c r="A237" s="37" t="s">
        <v>26</v>
      </c>
      <c r="B237" s="614">
        <v>15724.71971781</v>
      </c>
      <c r="C237" s="614">
        <v>14498.74134884</v>
      </c>
      <c r="D237" s="614">
        <v>12095.8236449</v>
      </c>
      <c r="E237" s="614">
        <v>3618.6972815199997</v>
      </c>
      <c r="F237" s="614">
        <v>164.86249422723412</v>
      </c>
      <c r="G237" s="614">
        <v>76.922348136991786</v>
      </c>
    </row>
    <row r="238" spans="1:7" ht="16.5" customHeight="1">
      <c r="A238" s="37" t="s">
        <v>27</v>
      </c>
      <c r="B238" s="614">
        <v>16065.780464840003</v>
      </c>
      <c r="C238" s="614">
        <v>14621.233465130003</v>
      </c>
      <c r="D238" s="614">
        <v>12177.918018450002</v>
      </c>
      <c r="E238" s="614">
        <v>3877.0886390699998</v>
      </c>
      <c r="F238" s="614">
        <v>165.64286091030823</v>
      </c>
      <c r="G238" s="614">
        <v>75.800351219172967</v>
      </c>
    </row>
    <row r="239" spans="1:7" ht="16.5" customHeight="1">
      <c r="A239" s="37" t="s">
        <v>28</v>
      </c>
      <c r="B239" s="614">
        <v>15487.161826160002</v>
      </c>
      <c r="C239" s="614">
        <v>14279.102331930002</v>
      </c>
      <c r="D239" s="614">
        <v>12004.699261040001</v>
      </c>
      <c r="E239" s="614">
        <v>3471.4287422500001</v>
      </c>
      <c r="F239" s="614">
        <v>169.39934763071784</v>
      </c>
      <c r="G239" s="614">
        <v>77.513875013318255</v>
      </c>
    </row>
    <row r="240" spans="1:7" ht="16.5" customHeight="1">
      <c r="A240" s="37" t="s">
        <v>29</v>
      </c>
      <c r="B240" s="614">
        <v>19761.4066164</v>
      </c>
      <c r="C240" s="614">
        <v>17937.554502260002</v>
      </c>
      <c r="D240" s="614">
        <v>12310.017773940001</v>
      </c>
      <c r="E240" s="614">
        <v>7439.9792620400003</v>
      </c>
      <c r="F240" s="614">
        <v>173.39153088557433</v>
      </c>
      <c r="G240" s="614">
        <v>62.293226453444419</v>
      </c>
    </row>
    <row r="241" spans="1:7" ht="16.5" customHeight="1">
      <c r="A241" s="37" t="s">
        <v>2812</v>
      </c>
      <c r="B241" s="456">
        <v>20900.260452980005</v>
      </c>
      <c r="C241" s="456">
        <v>17460.274460720004</v>
      </c>
      <c r="D241" s="456">
        <v>14714.36026879</v>
      </c>
      <c r="E241" s="456">
        <v>6169.71829867</v>
      </c>
      <c r="F241" s="456">
        <v>1389.205508179517</v>
      </c>
      <c r="G241" s="456">
        <v>70.402760300013369</v>
      </c>
    </row>
    <row r="242" spans="1:7" ht="16.5" customHeight="1">
      <c r="A242" s="37" t="s">
        <v>18</v>
      </c>
      <c r="B242" s="614">
        <v>15421.207929630002</v>
      </c>
      <c r="C242" s="614">
        <v>14044.248861950002</v>
      </c>
      <c r="D242" s="614">
        <v>11529.014941610001</v>
      </c>
      <c r="E242" s="614">
        <v>3835.7482910799999</v>
      </c>
      <c r="F242" s="614">
        <v>178.5376978326492</v>
      </c>
      <c r="G242" s="614">
        <v>74.760777458025061</v>
      </c>
    </row>
    <row r="243" spans="1:7" ht="16.5" customHeight="1">
      <c r="A243" s="37" t="s">
        <v>19</v>
      </c>
      <c r="B243" s="614">
        <v>15368.86442881</v>
      </c>
      <c r="C243" s="614">
        <v>13945.622092490001</v>
      </c>
      <c r="D243" s="614">
        <v>11565.98536855</v>
      </c>
      <c r="E243" s="614">
        <v>3782.0278936800005</v>
      </c>
      <c r="F243" s="614">
        <v>191.82273775979021</v>
      </c>
      <c r="G243" s="614">
        <v>75.255952852760942</v>
      </c>
    </row>
    <row r="244" spans="1:7" ht="16.5" customHeight="1">
      <c r="A244" s="37" t="s">
        <v>20</v>
      </c>
      <c r="B244" s="614">
        <v>16403.964037680002</v>
      </c>
      <c r="C244" s="614">
        <v>14359.583505760002</v>
      </c>
      <c r="D244" s="614">
        <v>11795.90849792</v>
      </c>
      <c r="E244" s="614">
        <v>4604.3213858199997</v>
      </c>
      <c r="F244" s="614">
        <v>184.64707187759799</v>
      </c>
      <c r="G244" s="614">
        <v>71.908890258627295</v>
      </c>
    </row>
    <row r="245" spans="1:7" ht="16.5" customHeight="1">
      <c r="A245" s="37" t="s">
        <v>21</v>
      </c>
      <c r="B245" s="614">
        <v>16012.793593580001</v>
      </c>
      <c r="C245" s="614">
        <v>14564.534771010003</v>
      </c>
      <c r="D245" s="614">
        <v>12020.648122730003</v>
      </c>
      <c r="E245" s="614">
        <v>3963.5902128100001</v>
      </c>
      <c r="F245" s="614">
        <v>193.6113773057657</v>
      </c>
      <c r="G245" s="614">
        <v>75.069025604310752</v>
      </c>
    </row>
    <row r="246" spans="1:7" ht="16.5" customHeight="1">
      <c r="A246" s="37" t="s">
        <v>22</v>
      </c>
      <c r="B246" s="614">
        <v>17025.012353530001</v>
      </c>
      <c r="C246" s="614">
        <v>14883.586254350002</v>
      </c>
      <c r="D246" s="614">
        <v>12461.379267320001</v>
      </c>
      <c r="E246" s="614">
        <v>4558.9773872099995</v>
      </c>
      <c r="F246" s="614">
        <v>198.48528042736314</v>
      </c>
      <c r="G246" s="614">
        <v>73.194538767757379</v>
      </c>
    </row>
    <row r="247" spans="1:7" ht="16.5" customHeight="1">
      <c r="A247" s="37" t="s">
        <v>23</v>
      </c>
      <c r="B247" s="614">
        <v>17530.809179430002</v>
      </c>
      <c r="C247" s="614">
        <v>15652.816622270002</v>
      </c>
      <c r="D247" s="614">
        <v>12893.752526169999</v>
      </c>
      <c r="E247" s="614">
        <v>4631.34538763</v>
      </c>
      <c r="F247" s="614">
        <v>198.23356646009154</v>
      </c>
      <c r="G247" s="614">
        <v>73.54910086694143</v>
      </c>
    </row>
    <row r="248" spans="1:7" ht="16.5" customHeight="1">
      <c r="A248" s="37" t="s">
        <v>24</v>
      </c>
      <c r="B248" s="614">
        <v>18015.001649310001</v>
      </c>
      <c r="C248" s="614">
        <v>16120.4379274</v>
      </c>
      <c r="D248" s="614">
        <v>13464.984708779999</v>
      </c>
      <c r="E248" s="614">
        <v>4542.1376098800001</v>
      </c>
      <c r="F248" s="614">
        <v>204.9784498108892</v>
      </c>
      <c r="G248" s="614">
        <v>74.743177774261966</v>
      </c>
    </row>
    <row r="249" spans="1:7" ht="16.5" customHeight="1">
      <c r="A249" s="37" t="s">
        <v>25</v>
      </c>
      <c r="B249" s="614">
        <v>17855.30838563</v>
      </c>
      <c r="C249" s="614">
        <v>16204.82873126</v>
      </c>
      <c r="D249" s="614">
        <v>13515.038482440001</v>
      </c>
      <c r="E249" s="614">
        <v>4333.93185481</v>
      </c>
      <c r="F249" s="614">
        <v>210.14611978827659</v>
      </c>
      <c r="G249" s="614">
        <v>75.691991370571557</v>
      </c>
    </row>
    <row r="250" spans="1:7" ht="16.5" customHeight="1">
      <c r="A250" s="37" t="s">
        <v>26</v>
      </c>
      <c r="B250" s="614">
        <v>17703.294185750001</v>
      </c>
      <c r="C250" s="614">
        <v>16144.852498050001</v>
      </c>
      <c r="D250" s="614">
        <v>13665.33717644</v>
      </c>
      <c r="E250" s="614">
        <v>4031.4677946799998</v>
      </c>
      <c r="F250" s="614">
        <v>1274.213578516597</v>
      </c>
      <c r="G250" s="614">
        <v>77.19092860943195</v>
      </c>
    </row>
    <row r="251" spans="1:7" ht="16.5" customHeight="1">
      <c r="A251" s="37" t="s">
        <v>27</v>
      </c>
      <c r="B251" s="614">
        <v>18408.423289830003</v>
      </c>
      <c r="C251" s="614">
        <v>16670.989240350005</v>
      </c>
      <c r="D251" s="614">
        <v>13943.88260565</v>
      </c>
      <c r="E251" s="614">
        <v>4333.1703876499996</v>
      </c>
      <c r="F251" s="614">
        <v>1306.0471953716381</v>
      </c>
      <c r="G251" s="614">
        <v>75.747294518990657</v>
      </c>
    </row>
    <row r="252" spans="1:7" ht="16.5" customHeight="1">
      <c r="A252" s="37" t="s">
        <v>28</v>
      </c>
      <c r="B252" s="614">
        <v>18753.574553070001</v>
      </c>
      <c r="C252" s="614">
        <v>16708.172107660001</v>
      </c>
      <c r="D252" s="614">
        <v>14163.746711739999</v>
      </c>
      <c r="E252" s="614">
        <v>4589.7315069099996</v>
      </c>
      <c r="F252" s="614">
        <v>1341.5602575064609</v>
      </c>
      <c r="G252" s="614">
        <v>75.525584051502136</v>
      </c>
    </row>
    <row r="253" spans="1:7" ht="16.5" customHeight="1">
      <c r="A253" s="37" t="s">
        <v>29</v>
      </c>
      <c r="B253" s="614">
        <v>20900.260452980005</v>
      </c>
      <c r="C253" s="614">
        <v>17460.274460720004</v>
      </c>
      <c r="D253" s="614">
        <v>14714.36026879</v>
      </c>
      <c r="E253" s="614">
        <v>6169.71829867</v>
      </c>
      <c r="F253" s="614">
        <v>1389.205508179517</v>
      </c>
      <c r="G253" s="614">
        <v>70.402760300013369</v>
      </c>
    </row>
    <row r="254" spans="1:7" ht="16.5" customHeight="1">
      <c r="A254" s="37" t="s">
        <v>3500</v>
      </c>
      <c r="B254" s="456">
        <v>23884.63747682</v>
      </c>
      <c r="C254" s="456">
        <v>20875.191369710003</v>
      </c>
      <c r="D254" s="456">
        <v>17318.194900760001</v>
      </c>
      <c r="E254" s="456">
        <v>6521.1069867400001</v>
      </c>
      <c r="F254" s="456">
        <v>5050.8181405949999</v>
      </c>
      <c r="G254" s="456">
        <v>72.507673258877304</v>
      </c>
    </row>
    <row r="255" spans="1:7" ht="16.5" customHeight="1">
      <c r="A255" s="37" t="s">
        <v>18</v>
      </c>
      <c r="B255" s="614">
        <v>18626.765334310003</v>
      </c>
      <c r="C255" s="614">
        <v>16884.882542810003</v>
      </c>
      <c r="D255" s="614">
        <v>14557.325995390001</v>
      </c>
      <c r="E255" s="614">
        <v>4067.41749875</v>
      </c>
      <c r="F255" s="614">
        <v>1419.2240900694069</v>
      </c>
      <c r="G255" s="614">
        <v>78.152732018241494</v>
      </c>
    </row>
    <row r="256" spans="1:7" ht="16.5" customHeight="1">
      <c r="A256" s="37" t="s">
        <v>19</v>
      </c>
      <c r="B256" s="614">
        <v>18911.679152650006</v>
      </c>
      <c r="C256" s="614">
        <v>17248.685680310005</v>
      </c>
      <c r="D256" s="614">
        <v>14830.11180986</v>
      </c>
      <c r="E256" s="614">
        <v>4080.7872985399999</v>
      </c>
      <c r="F256" s="614">
        <v>2389.41453967394</v>
      </c>
      <c r="G256" s="614">
        <v>78.417742233015446</v>
      </c>
    </row>
    <row r="257" spans="1:11" ht="16.5" customHeight="1">
      <c r="A257" s="37" t="s">
        <v>20</v>
      </c>
      <c r="B257" s="614">
        <v>19438.388410329997</v>
      </c>
      <c r="C257" s="614">
        <v>17688.949252909999</v>
      </c>
      <c r="D257" s="614">
        <v>15169.034821840001</v>
      </c>
      <c r="E257" s="614">
        <v>4269.2131986900004</v>
      </c>
      <c r="F257" s="614">
        <v>2351.5082657693501</v>
      </c>
      <c r="G257" s="614">
        <v>78.03648379501891</v>
      </c>
    </row>
    <row r="258" spans="1:11" ht="16.5" customHeight="1">
      <c r="A258" s="37" t="s">
        <v>21</v>
      </c>
      <c r="B258" s="614">
        <v>19024.700017860003</v>
      </c>
      <c r="C258" s="614">
        <v>17609.946463520002</v>
      </c>
      <c r="D258" s="614">
        <v>15238.47677551</v>
      </c>
      <c r="E258" s="614">
        <v>3784.1730545600003</v>
      </c>
      <c r="F258" s="614">
        <v>2239.5127650115201</v>
      </c>
      <c r="G258" s="614">
        <v>80.098381373711149</v>
      </c>
    </row>
    <row r="259" spans="1:11" ht="16.5" customHeight="1">
      <c r="A259" s="37" t="s">
        <v>22</v>
      </c>
      <c r="B259" s="614">
        <v>19116.760338709999</v>
      </c>
      <c r="C259" s="614">
        <v>17350.46711112</v>
      </c>
      <c r="D259" s="614">
        <v>15305.46074851</v>
      </c>
      <c r="E259" s="614">
        <v>3811.11845257</v>
      </c>
      <c r="F259" s="614">
        <v>2176.1299757623301</v>
      </c>
      <c r="G259" s="614">
        <v>80.063046652928918</v>
      </c>
    </row>
    <row r="260" spans="1:11" ht="16.5" customHeight="1">
      <c r="A260" s="37" t="s">
        <v>23</v>
      </c>
      <c r="B260" s="614">
        <v>19963.433359180006</v>
      </c>
      <c r="C260" s="614">
        <v>18401.718879660006</v>
      </c>
      <c r="D260" s="614">
        <v>15889.566620790001</v>
      </c>
      <c r="E260" s="614">
        <v>4066.0664921500002</v>
      </c>
      <c r="F260" s="614">
        <v>2316.7980048165</v>
      </c>
      <c r="G260" s="614">
        <v>79.59335618731798</v>
      </c>
    </row>
    <row r="261" spans="1:11" ht="16.5" customHeight="1">
      <c r="A261" s="37" t="s">
        <v>24</v>
      </c>
      <c r="B261" s="614">
        <v>19566.763979630003</v>
      </c>
      <c r="C261" s="614">
        <v>18262.643928190002</v>
      </c>
      <c r="D261" s="614">
        <v>16085.4533386</v>
      </c>
      <c r="E261" s="614">
        <v>3475.1345437600003</v>
      </c>
      <c r="F261" s="614">
        <v>2199.14351224136</v>
      </c>
      <c r="G261" s="614">
        <v>82.208040917475046</v>
      </c>
    </row>
    <row r="262" spans="1:11" ht="16.5" customHeight="1">
      <c r="A262" s="37" t="s">
        <v>25</v>
      </c>
      <c r="B262" s="614">
        <v>19816.583937430001</v>
      </c>
      <c r="C262" s="614">
        <v>18116.87461454</v>
      </c>
      <c r="D262" s="614">
        <v>15972.20565749</v>
      </c>
      <c r="E262" s="614">
        <v>3844.1914986400002</v>
      </c>
      <c r="F262" s="614">
        <v>2784.4137929198</v>
      </c>
      <c r="G262" s="614">
        <v>80.600196824647185</v>
      </c>
    </row>
    <row r="263" spans="1:11" ht="16.5" customHeight="1">
      <c r="A263" s="37" t="s">
        <v>26</v>
      </c>
      <c r="B263" s="614">
        <v>19432.514785309999</v>
      </c>
      <c r="C263" s="614">
        <v>17896.178054439999</v>
      </c>
      <c r="D263" s="614">
        <v>16157.726185949999</v>
      </c>
      <c r="E263" s="614">
        <v>3274.6107595899998</v>
      </c>
      <c r="F263" s="614">
        <v>2616.19069868222</v>
      </c>
      <c r="G263" s="614">
        <v>83.147890864667829</v>
      </c>
    </row>
    <row r="264" spans="1:11" ht="16.5" customHeight="1">
      <c r="A264" s="37" t="s">
        <v>27</v>
      </c>
      <c r="B264" s="614">
        <v>19955.28193134</v>
      </c>
      <c r="C264" s="614">
        <v>18401.99067264</v>
      </c>
      <c r="D264" s="614">
        <v>16343.182953660002</v>
      </c>
      <c r="E264" s="614">
        <v>3610.0158578699998</v>
      </c>
      <c r="F264" s="614">
        <v>2672.0249588786301</v>
      </c>
      <c r="G264" s="614">
        <v>81.899033097562224</v>
      </c>
    </row>
    <row r="265" spans="1:11" ht="16.5" customHeight="1">
      <c r="A265" s="37" t="s">
        <v>28</v>
      </c>
      <c r="B265" s="614">
        <v>19752.470663329997</v>
      </c>
      <c r="C265" s="614">
        <v>18334.378930759998</v>
      </c>
      <c r="D265" s="614">
        <v>16413.280041770002</v>
      </c>
      <c r="E265" s="614">
        <v>3338.6126003300005</v>
      </c>
      <c r="F265" s="614">
        <v>2711.91871579285</v>
      </c>
      <c r="G265" s="614">
        <v>83.09482049878892</v>
      </c>
    </row>
    <row r="266" spans="1:11" ht="16.5" customHeight="1">
      <c r="A266" s="37" t="s">
        <v>29</v>
      </c>
      <c r="B266" s="614">
        <v>23884.63747682</v>
      </c>
      <c r="C266" s="614">
        <v>20875.191369710003</v>
      </c>
      <c r="D266" s="614">
        <v>17318.194900760001</v>
      </c>
      <c r="E266" s="614">
        <v>6521.1069867400001</v>
      </c>
      <c r="F266" s="614">
        <v>5050.8181405949999</v>
      </c>
      <c r="G266" s="614">
        <v>72.507673258877304</v>
      </c>
    </row>
    <row r="267" spans="1:11" ht="16.5" customHeight="1">
      <c r="A267" s="37" t="s">
        <v>3971</v>
      </c>
      <c r="B267" s="456">
        <v>23717.918324089995</v>
      </c>
      <c r="C267" s="456">
        <v>20916.522813409996</v>
      </c>
      <c r="D267" s="456">
        <v>17449.094080469997</v>
      </c>
      <c r="E267" s="456">
        <v>6265.2185570100009</v>
      </c>
      <c r="F267" s="456">
        <v>4985.7296167349532</v>
      </c>
      <c r="G267" s="456">
        <v>73.569247697202712</v>
      </c>
    </row>
    <row r="268" spans="1:11" ht="16.5" customHeight="1">
      <c r="A268" s="37" t="s">
        <v>18</v>
      </c>
      <c r="B268" s="614">
        <v>22781.832874150001</v>
      </c>
      <c r="C268" s="614">
        <v>20271.14124787</v>
      </c>
      <c r="D268" s="614">
        <v>16986.574990470002</v>
      </c>
      <c r="E268" s="614">
        <v>5793.1886132899999</v>
      </c>
      <c r="F268" s="614">
        <v>4951.9881789248993</v>
      </c>
      <c r="G268" s="614">
        <v>74.561933117085857</v>
      </c>
    </row>
    <row r="269" spans="1:11" ht="16.5" customHeight="1">
      <c r="A269" s="37" t="s">
        <v>19</v>
      </c>
      <c r="B269" s="614">
        <v>23030.41038677</v>
      </c>
      <c r="C269" s="614">
        <v>20131.75628383</v>
      </c>
      <c r="D269" s="614">
        <v>16703.03475816</v>
      </c>
      <c r="E269" s="614">
        <v>6327.2044594399995</v>
      </c>
      <c r="F269" s="614">
        <v>5134.7011849339597</v>
      </c>
      <c r="G269" s="614">
        <v>72.525997051946547</v>
      </c>
    </row>
    <row r="270" spans="1:11" ht="16.5" customHeight="1">
      <c r="A270" s="37" t="s">
        <v>20</v>
      </c>
      <c r="B270" s="614">
        <v>23966.717804100001</v>
      </c>
      <c r="C270" s="614">
        <v>20396.378195500001</v>
      </c>
      <c r="D270" s="614">
        <v>17184.733663719999</v>
      </c>
      <c r="E270" s="614">
        <v>6781.8409775600003</v>
      </c>
      <c r="F270" s="614">
        <v>5400.8591426594703</v>
      </c>
      <c r="G270" s="614">
        <v>71.702490946758658</v>
      </c>
      <c r="K270" s="389"/>
    </row>
    <row r="271" spans="1:11" ht="16.5" customHeight="1">
      <c r="A271" s="37" t="s">
        <v>21</v>
      </c>
      <c r="B271" s="614">
        <v>22898.340120140001</v>
      </c>
      <c r="C271" s="614">
        <v>19995.864733509999</v>
      </c>
      <c r="D271" s="614">
        <v>16773.160720979999</v>
      </c>
      <c r="E271" s="614">
        <v>6123.1414304</v>
      </c>
      <c r="F271" s="614">
        <v>5269.6749666409596</v>
      </c>
      <c r="G271" s="614">
        <v>73.250552804163036</v>
      </c>
      <c r="K271" s="389"/>
    </row>
    <row r="272" spans="1:11" ht="16.5" customHeight="1">
      <c r="A272" s="37" t="s">
        <v>22</v>
      </c>
      <c r="B272" s="614">
        <v>22581.131786770005</v>
      </c>
      <c r="C272" s="614">
        <v>19948.032343850005</v>
      </c>
      <c r="D272" s="614">
        <v>16746.962134910002</v>
      </c>
      <c r="E272" s="614">
        <v>5834.0251184499994</v>
      </c>
      <c r="F272" s="614">
        <v>5026.1097623139103</v>
      </c>
      <c r="G272" s="614">
        <v>74.163519760873243</v>
      </c>
      <c r="K272" s="389"/>
    </row>
    <row r="273" spans="1:11" ht="16.5" customHeight="1">
      <c r="A273" s="37" t="s">
        <v>23</v>
      </c>
      <c r="B273" s="614">
        <v>23250.641038410002</v>
      </c>
      <c r="C273" s="614">
        <v>20401.02812454</v>
      </c>
      <c r="D273" s="614">
        <v>17252.756274840001</v>
      </c>
      <c r="E273" s="614">
        <v>5997.7482509000001</v>
      </c>
      <c r="F273" s="614">
        <v>5068.7952673591353</v>
      </c>
      <c r="G273" s="614">
        <v>74.203357431472483</v>
      </c>
      <c r="K273" s="389"/>
    </row>
    <row r="274" spans="1:11" ht="16.5" customHeight="1">
      <c r="A274" s="37" t="s">
        <v>24</v>
      </c>
      <c r="B274" s="614">
        <v>23392.01512091</v>
      </c>
      <c r="C274" s="614">
        <v>20731.47916151</v>
      </c>
      <c r="D274" s="614">
        <v>17364.615591570004</v>
      </c>
      <c r="E274" s="614">
        <v>6025.3593950000004</v>
      </c>
      <c r="F274" s="614">
        <v>5120.4584349379329</v>
      </c>
      <c r="G274" s="614">
        <v>74.233089803570891</v>
      </c>
      <c r="K274" s="389"/>
    </row>
    <row r="275" spans="1:11" ht="16.5" customHeight="1">
      <c r="A275" s="37" t="s">
        <v>25</v>
      </c>
      <c r="B275" s="614">
        <v>23205.413315220001</v>
      </c>
      <c r="C275" s="614">
        <v>20549.979732190004</v>
      </c>
      <c r="D275" s="614">
        <v>17409.196443920002</v>
      </c>
      <c r="E275" s="614">
        <v>5796.1310551900006</v>
      </c>
      <c r="F275" s="614">
        <v>5101.0065521245897</v>
      </c>
      <c r="G275" s="614">
        <v>75.02213473828381</v>
      </c>
      <c r="K275" s="389"/>
    </row>
    <row r="276" spans="1:11" ht="16.5" customHeight="1">
      <c r="A276" s="37" t="s">
        <v>26</v>
      </c>
      <c r="B276" s="614">
        <v>23490.306349900002</v>
      </c>
      <c r="C276" s="614">
        <v>20897.415117020002</v>
      </c>
      <c r="D276" s="614">
        <v>17245.701513510001</v>
      </c>
      <c r="E276" s="614">
        <v>6162.95582681</v>
      </c>
      <c r="F276" s="614">
        <v>5122.0509958343</v>
      </c>
      <c r="G276" s="614">
        <v>73.416247777387611</v>
      </c>
      <c r="K276" s="389"/>
    </row>
    <row r="277" spans="1:11" ht="16.5" customHeight="1">
      <c r="A277" s="37" t="s">
        <v>27</v>
      </c>
      <c r="B277" s="614">
        <v>22705.601071549998</v>
      </c>
      <c r="C277" s="614">
        <v>20474.897506489997</v>
      </c>
      <c r="D277" s="614">
        <v>17232.210383239999</v>
      </c>
      <c r="E277" s="614">
        <v>5471.4224480499997</v>
      </c>
      <c r="F277" s="614">
        <v>4601.0655163813872</v>
      </c>
      <c r="G277" s="614">
        <v>75.894094716707897</v>
      </c>
      <c r="I277" s="389"/>
      <c r="K277" s="389"/>
    </row>
    <row r="278" spans="1:11" ht="16.5" customHeight="1">
      <c r="A278" s="37" t="s">
        <v>28</v>
      </c>
      <c r="B278" s="614">
        <v>23074.21479111</v>
      </c>
      <c r="C278" s="614">
        <v>20576.83058166</v>
      </c>
      <c r="D278" s="614">
        <v>17260.93213832</v>
      </c>
      <c r="E278" s="614">
        <v>5813.2052762700005</v>
      </c>
      <c r="F278" s="614">
        <v>5117.8170848510772</v>
      </c>
      <c r="G278" s="614">
        <v>74.806151778435677</v>
      </c>
      <c r="I278" s="389"/>
      <c r="K278" s="389"/>
    </row>
    <row r="279" spans="1:11" ht="16.5" customHeight="1">
      <c r="A279" s="37" t="s">
        <v>29</v>
      </c>
      <c r="B279" s="614">
        <v>23717.918324089995</v>
      </c>
      <c r="C279" s="614">
        <v>20916.522813409996</v>
      </c>
      <c r="D279" s="614">
        <v>17449.094080469997</v>
      </c>
      <c r="E279" s="614">
        <v>6265.2185570100009</v>
      </c>
      <c r="F279" s="614">
        <v>4985.7296167349532</v>
      </c>
      <c r="G279" s="614">
        <v>73.569247697202712</v>
      </c>
      <c r="I279" s="389"/>
      <c r="K279" s="389"/>
    </row>
    <row r="280" spans="1:11" ht="16.5" customHeight="1">
      <c r="A280" s="37" t="s">
        <v>4202</v>
      </c>
      <c r="B280" s="456">
        <v>24718.070681789999</v>
      </c>
      <c r="C280" s="456">
        <v>22470.18244475</v>
      </c>
      <c r="D280" s="456">
        <v>19563.430219760001</v>
      </c>
      <c r="E280" s="456">
        <v>5147.11678209</v>
      </c>
      <c r="F280" s="456">
        <v>4574.1898716070564</v>
      </c>
      <c r="G280" s="456">
        <v>79.146267002839096</v>
      </c>
    </row>
    <row r="281" spans="1:11" ht="16.5" customHeight="1">
      <c r="A281" s="37" t="s">
        <v>18</v>
      </c>
      <c r="B281" s="614">
        <v>22441.515983489997</v>
      </c>
      <c r="C281" s="614">
        <v>20124.054502159997</v>
      </c>
      <c r="D281" s="614">
        <v>16900.671132839998</v>
      </c>
      <c r="E281" s="614">
        <v>5538.7916005900006</v>
      </c>
      <c r="F281" s="614">
        <v>4834.8314323212671</v>
      </c>
      <c r="G281" s="614">
        <v>75.309846024990719</v>
      </c>
      <c r="H281" s="389"/>
      <c r="I281" s="389"/>
      <c r="J281" s="389"/>
    </row>
    <row r="282" spans="1:11" ht="16.5" customHeight="1">
      <c r="A282" s="37" t="s">
        <v>19</v>
      </c>
      <c r="B282" s="614">
        <v>22402.38915155</v>
      </c>
      <c r="C282" s="614">
        <v>19841.950489480001</v>
      </c>
      <c r="D282" s="614">
        <v>17032.865326180003</v>
      </c>
      <c r="E282" s="614">
        <v>5364.2541341199994</v>
      </c>
      <c r="F282" s="614">
        <v>5036.9716792512872</v>
      </c>
      <c r="G282" s="614">
        <v>76.031467942790883</v>
      </c>
      <c r="H282" s="389"/>
      <c r="I282" s="389"/>
      <c r="J282" s="389"/>
    </row>
    <row r="283" spans="1:11" ht="16.5" customHeight="1">
      <c r="A283" s="37" t="s">
        <v>20</v>
      </c>
      <c r="B283" s="614">
        <v>23703.218129779998</v>
      </c>
      <c r="C283" s="614">
        <v>21498.137739949998</v>
      </c>
      <c r="D283" s="614">
        <v>18159.257348979998</v>
      </c>
      <c r="E283" s="614">
        <v>5543.8253415100007</v>
      </c>
      <c r="F283" s="614">
        <v>5004.37</v>
      </c>
      <c r="G283" s="614">
        <v>76.610936327524499</v>
      </c>
      <c r="H283" s="389"/>
      <c r="I283" s="389"/>
      <c r="J283" s="389"/>
    </row>
    <row r="284" spans="1:11" ht="16.5" customHeight="1">
      <c r="A284" s="37" t="s">
        <v>21</v>
      </c>
      <c r="B284" s="614">
        <v>22939.986270530004</v>
      </c>
      <c r="C284" s="614">
        <v>20719.279020810005</v>
      </c>
      <c r="D284" s="614">
        <v>17748.962351720002</v>
      </c>
      <c r="E284" s="614">
        <v>5188.9607120500004</v>
      </c>
      <c r="F284" s="614">
        <v>5006.9671103454039</v>
      </c>
      <c r="G284" s="614">
        <v>77.371285851732694</v>
      </c>
      <c r="H284" s="389"/>
      <c r="I284" s="389"/>
      <c r="J284" s="389"/>
    </row>
    <row r="285" spans="1:11" ht="16.5" customHeight="1">
      <c r="A285" s="37" t="s">
        <v>22</v>
      </c>
      <c r="B285" s="614">
        <v>23105.795536869999</v>
      </c>
      <c r="C285" s="614">
        <v>20629.666031459998</v>
      </c>
      <c r="D285" s="614">
        <v>17645.878612119999</v>
      </c>
      <c r="E285" s="614">
        <v>5459.5541940200001</v>
      </c>
      <c r="F285" s="614">
        <v>4984.9745557298229</v>
      </c>
      <c r="G285" s="614">
        <v>76.369924523751678</v>
      </c>
      <c r="H285" s="389"/>
      <c r="I285" s="389"/>
      <c r="J285" s="389"/>
    </row>
    <row r="286" spans="1:11" ht="16.5" customHeight="1">
      <c r="A286" s="37" t="s">
        <v>23</v>
      </c>
      <c r="B286" s="614">
        <v>24130.17857321</v>
      </c>
      <c r="C286" s="614">
        <v>21471.345709750003</v>
      </c>
      <c r="D286" s="614">
        <v>18092.157278820003</v>
      </c>
      <c r="E286" s="614">
        <v>5959.3399527700003</v>
      </c>
      <c r="F286" s="614">
        <v>5266.701895873849</v>
      </c>
      <c r="G286" s="614">
        <v>74.977303727484326</v>
      </c>
      <c r="H286" s="389"/>
      <c r="I286" s="389"/>
      <c r="J286" s="389"/>
    </row>
    <row r="287" spans="1:11" ht="16.5" customHeight="1">
      <c r="A287" s="37" t="s">
        <v>24</v>
      </c>
      <c r="B287" s="614">
        <v>23651.534062610001</v>
      </c>
      <c r="C287" s="614">
        <v>21243.00539015</v>
      </c>
      <c r="D287" s="614">
        <v>18234.706065229999</v>
      </c>
      <c r="E287" s="614">
        <v>5414.8155057500007</v>
      </c>
      <c r="F287" s="614">
        <v>5122.8500328556702</v>
      </c>
      <c r="G287" s="614">
        <v>77.097350290088357</v>
      </c>
      <c r="H287" s="389"/>
      <c r="I287" s="389"/>
      <c r="J287" s="389"/>
    </row>
    <row r="288" spans="1:11" ht="16.5" customHeight="1">
      <c r="A288" s="37" t="s">
        <v>25</v>
      </c>
      <c r="B288" s="614">
        <v>23271.657101289999</v>
      </c>
      <c r="C288" s="614">
        <v>21121.762259619998</v>
      </c>
      <c r="D288" s="614">
        <v>18240.859856889998</v>
      </c>
      <c r="E288" s="614">
        <v>5019.8655534699992</v>
      </c>
      <c r="F288" s="614">
        <v>4860.9272046493061</v>
      </c>
      <c r="G288" s="614">
        <v>78.382299023643085</v>
      </c>
      <c r="H288" s="389"/>
      <c r="I288" s="389"/>
      <c r="J288" s="389"/>
    </row>
    <row r="289" spans="1:14" ht="16.5" customHeight="1">
      <c r="A289" s="37" t="s">
        <v>26</v>
      </c>
      <c r="B289" s="614">
        <v>23570.2627206</v>
      </c>
      <c r="C289" s="614">
        <v>21541.152023120001</v>
      </c>
      <c r="D289" s="614">
        <v>18620.582472240003</v>
      </c>
      <c r="E289" s="614">
        <v>4949.5895551800004</v>
      </c>
      <c r="F289" s="614">
        <v>4743.7295087464518</v>
      </c>
      <c r="G289" s="614">
        <v>79.000317870729276</v>
      </c>
      <c r="H289" s="389"/>
      <c r="I289" s="389"/>
      <c r="J289" s="389"/>
    </row>
    <row r="290" spans="1:14" ht="16.5" customHeight="1">
      <c r="A290" s="37" t="s">
        <v>27</v>
      </c>
      <c r="B290" s="614">
        <v>23384.081005280008</v>
      </c>
      <c r="C290" s="614">
        <v>21395.075606160008</v>
      </c>
      <c r="D290" s="614">
        <v>18683.147914450004</v>
      </c>
      <c r="E290" s="614">
        <v>4698.8917823400006</v>
      </c>
      <c r="F290" s="614">
        <v>4700.204768961893</v>
      </c>
      <c r="G290" s="614">
        <v>79.896866206678993</v>
      </c>
      <c r="H290" s="389"/>
      <c r="I290" s="389"/>
      <c r="J290" s="389"/>
    </row>
    <row r="291" spans="1:14" ht="16.5" customHeight="1">
      <c r="A291" s="37" t="s">
        <v>28</v>
      </c>
      <c r="B291" s="614">
        <v>24197.301903240001</v>
      </c>
      <c r="C291" s="614">
        <v>22128.44482262</v>
      </c>
      <c r="D291" s="614">
        <v>18767.627511980001</v>
      </c>
      <c r="E291" s="614">
        <v>5407.4716159700001</v>
      </c>
      <c r="F291" s="614">
        <v>4644.5742507423947</v>
      </c>
      <c r="G291" s="614">
        <v>77.560827182418336</v>
      </c>
      <c r="H291" s="389"/>
      <c r="I291" s="389"/>
      <c r="J291" s="389"/>
    </row>
    <row r="292" spans="1:14" ht="16.5" customHeight="1">
      <c r="A292" s="37" t="s">
        <v>29</v>
      </c>
      <c r="B292" s="614">
        <v>24718.070681789999</v>
      </c>
      <c r="C292" s="614">
        <v>22470.18244475</v>
      </c>
      <c r="D292" s="614">
        <v>19563.430219760001</v>
      </c>
      <c r="E292" s="614">
        <v>5147.11678209</v>
      </c>
      <c r="F292" s="614">
        <v>4574.1898716070564</v>
      </c>
      <c r="G292" s="614">
        <v>79.146267002839096</v>
      </c>
      <c r="H292" s="389"/>
      <c r="I292" s="389"/>
      <c r="J292" s="389"/>
    </row>
    <row r="293" spans="1:14" ht="16.5" customHeight="1">
      <c r="A293" s="37" t="s">
        <v>4465</v>
      </c>
      <c r="B293" s="614"/>
      <c r="C293" s="614"/>
      <c r="D293" s="614"/>
      <c r="E293" s="614"/>
      <c r="F293" s="614"/>
      <c r="G293" s="614"/>
      <c r="H293" s="389"/>
      <c r="I293" s="389"/>
      <c r="J293" s="389"/>
    </row>
    <row r="294" spans="1:14" ht="16.5" customHeight="1">
      <c r="A294" s="37" t="s">
        <v>18</v>
      </c>
      <c r="B294" s="614">
        <v>24484.568496530002</v>
      </c>
      <c r="C294" s="614">
        <v>22545.298284730001</v>
      </c>
      <c r="D294" s="614">
        <v>19441.892780329999</v>
      </c>
      <c r="E294" s="614">
        <v>5040.5120429500003</v>
      </c>
      <c r="F294" s="614">
        <v>4708.7886070381101</v>
      </c>
      <c r="G294" s="614">
        <v>79.404678024386428</v>
      </c>
      <c r="H294" s="389"/>
      <c r="I294" s="389"/>
      <c r="J294" s="389"/>
    </row>
    <row r="295" spans="1:14" ht="16.5" customHeight="1">
      <c r="A295" s="37" t="s">
        <v>19</v>
      </c>
      <c r="B295" s="614">
        <v>24660.326356180005</v>
      </c>
      <c r="C295" s="614">
        <v>22817.018352420004</v>
      </c>
      <c r="D295" s="614">
        <v>19475.582397330003</v>
      </c>
      <c r="E295" s="614">
        <v>4993.0944732899998</v>
      </c>
      <c r="F295" s="614">
        <v>4655.2573514982196</v>
      </c>
      <c r="G295" s="614">
        <v>78.975363569952606</v>
      </c>
      <c r="H295" s="389"/>
      <c r="I295" s="389"/>
      <c r="J295" s="389"/>
    </row>
    <row r="296" spans="1:14" ht="16.5" customHeight="1">
      <c r="A296" s="37" t="s">
        <v>20</v>
      </c>
      <c r="B296" s="614">
        <v>25768.032675440001</v>
      </c>
      <c r="C296" s="614">
        <v>23765.036426350001</v>
      </c>
      <c r="D296" s="614">
        <v>20217.263672019999</v>
      </c>
      <c r="E296" s="614">
        <v>5549.8304382200004</v>
      </c>
      <c r="F296" s="614">
        <v>4691.0969553695431</v>
      </c>
      <c r="G296" s="614">
        <v>78.45870085103337</v>
      </c>
      <c r="H296" s="389"/>
      <c r="I296" s="389"/>
      <c r="J296" s="389"/>
    </row>
    <row r="297" spans="1:14" ht="16.5" customHeight="1">
      <c r="A297" s="37" t="s">
        <v>21</v>
      </c>
      <c r="B297" s="614">
        <v>25160.014411999997</v>
      </c>
      <c r="C297" s="614">
        <v>23311.789986239997</v>
      </c>
      <c r="D297" s="614">
        <v>19881.240661650001</v>
      </c>
      <c r="E297" s="614">
        <v>5276.4255400299999</v>
      </c>
      <c r="F297" s="614">
        <v>4774.6246493848585</v>
      </c>
      <c r="G297" s="614">
        <v>79.019194250412284</v>
      </c>
      <c r="H297" s="389"/>
      <c r="I297" s="389"/>
      <c r="J297" s="389"/>
    </row>
    <row r="298" spans="1:14" ht="16.5" customHeight="1">
      <c r="A298" s="37" t="s">
        <v>22</v>
      </c>
      <c r="B298" s="614">
        <v>25917.803590770003</v>
      </c>
      <c r="C298" s="614">
        <v>24105.632063780005</v>
      </c>
      <c r="D298" s="614">
        <v>20369.480110930002</v>
      </c>
      <c r="E298" s="614">
        <v>5547.9470182900004</v>
      </c>
      <c r="F298" s="614">
        <v>4766.656809613447</v>
      </c>
      <c r="G298" s="614">
        <v>78.592617000092162</v>
      </c>
      <c r="H298" s="389"/>
      <c r="I298" s="389"/>
      <c r="J298" s="389"/>
    </row>
    <row r="299" spans="1:14" ht="16.5" customHeight="1">
      <c r="A299" s="574" t="s">
        <v>23</v>
      </c>
      <c r="B299" s="617">
        <v>26272.239344460006</v>
      </c>
      <c r="C299" s="617">
        <v>24381.209307770005</v>
      </c>
      <c r="D299" s="617">
        <v>20484.445417370003</v>
      </c>
      <c r="E299" s="617">
        <v>5787.3254550000001</v>
      </c>
      <c r="F299" s="617">
        <v>4769.6691033491825</v>
      </c>
      <c r="G299" s="617">
        <v>77.969925398420713</v>
      </c>
      <c r="H299" s="389"/>
      <c r="I299" s="389"/>
      <c r="J299" s="389"/>
    </row>
    <row r="300" spans="1:14" ht="13.9" customHeight="1">
      <c r="A300" s="2182" t="s">
        <v>4427</v>
      </c>
      <c r="B300" s="2183"/>
      <c r="C300" s="2183"/>
      <c r="D300" s="2183"/>
      <c r="E300" s="2183"/>
      <c r="F300" s="2183"/>
      <c r="G300" s="2184"/>
      <c r="H300" s="389"/>
      <c r="I300" s="389"/>
      <c r="J300" s="389"/>
    </row>
    <row r="301" spans="1:14" ht="14.45" customHeight="1">
      <c r="A301" s="2182" t="s">
        <v>4428</v>
      </c>
      <c r="B301" s="2182"/>
      <c r="C301" s="2182"/>
      <c r="D301" s="2182"/>
      <c r="E301" s="2182"/>
      <c r="F301" s="2182"/>
      <c r="G301" s="2188"/>
      <c r="H301" s="389"/>
      <c r="I301" s="389"/>
      <c r="J301" s="389"/>
    </row>
    <row r="302" spans="1:14" s="723" customFormat="1" ht="18.600000000000001" customHeight="1">
      <c r="A302" s="2182" t="s">
        <v>4426</v>
      </c>
      <c r="B302" s="2183"/>
      <c r="C302" s="2183"/>
      <c r="D302" s="2183"/>
      <c r="E302" s="2183"/>
      <c r="F302" s="2183"/>
      <c r="G302" s="2184"/>
      <c r="H302" s="732"/>
      <c r="I302" s="732"/>
      <c r="J302" s="732"/>
      <c r="K302" s="732"/>
      <c r="L302" s="732"/>
      <c r="M302" s="732"/>
      <c r="N302" s="732"/>
    </row>
  </sheetData>
  <mergeCells count="22">
    <mergeCell ref="A301:G301"/>
    <mergeCell ref="I8:I9"/>
    <mergeCell ref="E8:E9"/>
    <mergeCell ref="D8:D9"/>
    <mergeCell ref="G8:G9"/>
    <mergeCell ref="H8:H9"/>
    <mergeCell ref="A302:G302"/>
    <mergeCell ref="A2:G2"/>
    <mergeCell ref="A3:G3"/>
    <mergeCell ref="A5:G5"/>
    <mergeCell ref="B8:B9"/>
    <mergeCell ref="A8:A9"/>
    <mergeCell ref="B6:B7"/>
    <mergeCell ref="A6:A7"/>
    <mergeCell ref="C8:C9"/>
    <mergeCell ref="E6:E7"/>
    <mergeCell ref="C6:C7"/>
    <mergeCell ref="D6:D7"/>
    <mergeCell ref="G6:G7"/>
    <mergeCell ref="F6:F7"/>
    <mergeCell ref="F8:F9"/>
    <mergeCell ref="A300:G300"/>
  </mergeCells>
  <pageMargins left="0.7" right="0.7" top="0.17" bottom="0.17" header="0.17" footer="0.17"/>
  <pageSetup scale="29" orientation="portrait" r:id="rId1"/>
  <ignoredErrors>
    <ignoredError sqref="A229:A23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rgb="FF92D050"/>
  </sheetPr>
  <dimension ref="A1:CD309"/>
  <sheetViews>
    <sheetView showGridLines="0" view="pageBreakPreview" zoomScaleSheetLayoutView="100" workbookViewId="0">
      <pane ySplit="17" topLeftCell="A286" activePane="bottomLeft" state="frozen"/>
      <selection activeCell="F40" sqref="F40"/>
      <selection pane="bottomLeft" activeCell="F40" sqref="F40"/>
    </sheetView>
  </sheetViews>
  <sheetFormatPr defaultColWidth="8.85546875" defaultRowHeight="15.75"/>
  <cols>
    <col min="1" max="1" width="9.85546875" style="133" customWidth="1"/>
    <col min="2" max="2" width="14" style="132" customWidth="1"/>
    <col min="3" max="3" width="13.28515625" style="132" customWidth="1"/>
    <col min="4" max="4" width="16.28515625" style="132" customWidth="1"/>
    <col min="5" max="5" width="13.42578125" style="132" customWidth="1"/>
    <col min="6" max="6" width="16.28515625" style="132" customWidth="1"/>
    <col min="7" max="7" width="13.28515625" style="132" customWidth="1"/>
    <col min="8" max="8" width="16.28515625" style="132" customWidth="1"/>
    <col min="9" max="9" width="14.28515625" style="132" customWidth="1"/>
    <col min="10" max="10" width="16.28515625" style="132" customWidth="1"/>
    <col min="11" max="11" width="13.28515625" style="132" customWidth="1"/>
    <col min="12" max="12" width="16.28515625" style="132" customWidth="1"/>
    <col min="13" max="13" width="16.140625" style="132" bestFit="1" customWidth="1"/>
    <col min="14" max="14" width="26.28515625" style="132" bestFit="1" customWidth="1"/>
    <col min="15" max="79" width="8.85546875" style="132"/>
    <col min="80" max="80" width="0" style="132" hidden="1" customWidth="1"/>
    <col min="81" max="16384" width="8.85546875" style="132"/>
  </cols>
  <sheetData>
    <row r="1" spans="1:82" ht="6" customHeight="1"/>
    <row r="2" spans="1:82" s="315" customFormat="1" ht="27" customHeight="1">
      <c r="A2" s="2192" t="s">
        <v>2717</v>
      </c>
      <c r="B2" s="2192"/>
      <c r="C2" s="2192"/>
      <c r="D2" s="2192"/>
      <c r="E2" s="2192"/>
      <c r="F2" s="2192"/>
      <c r="G2" s="2192"/>
      <c r="H2" s="2192"/>
      <c r="I2" s="2192"/>
      <c r="J2" s="2192"/>
      <c r="K2" s="2192"/>
      <c r="L2" s="2192"/>
    </row>
    <row r="3" spans="1:82" s="315" customFormat="1" ht="27" customHeight="1">
      <c r="A3" s="2193" t="s">
        <v>2716</v>
      </c>
      <c r="B3" s="2193"/>
      <c r="C3" s="2193"/>
      <c r="D3" s="2193"/>
      <c r="E3" s="2193"/>
      <c r="F3" s="2193"/>
      <c r="G3" s="2193"/>
      <c r="H3" s="2193"/>
      <c r="I3" s="2193"/>
      <c r="J3" s="2193"/>
      <c r="K3" s="2193"/>
      <c r="L3" s="2193"/>
    </row>
    <row r="4" spans="1:82" s="315" customFormat="1" ht="13.5" customHeight="1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</row>
    <row r="5" spans="1:82" s="315" customFormat="1" ht="13.5" customHeight="1">
      <c r="A5" s="470"/>
      <c r="B5" s="470"/>
      <c r="C5" s="470"/>
      <c r="D5" s="470"/>
      <c r="E5" s="470"/>
      <c r="F5" s="470"/>
      <c r="G5" s="470"/>
      <c r="H5" s="470"/>
      <c r="I5" s="470"/>
      <c r="J5" s="470"/>
      <c r="K5" s="470"/>
      <c r="L5" s="470"/>
    </row>
    <row r="6" spans="1:82" s="133" customFormat="1" ht="15.6" customHeight="1">
      <c r="A6" s="2175" t="s">
        <v>182</v>
      </c>
      <c r="B6" s="2196" t="s">
        <v>151</v>
      </c>
      <c r="C6" s="2175" t="s">
        <v>152</v>
      </c>
      <c r="D6" s="2175"/>
      <c r="E6" s="2175" t="s">
        <v>153</v>
      </c>
      <c r="F6" s="2175"/>
      <c r="G6" s="2175"/>
      <c r="H6" s="2175"/>
      <c r="I6" s="2175"/>
      <c r="J6" s="2175"/>
      <c r="K6" s="2175" t="s">
        <v>154</v>
      </c>
      <c r="L6" s="2175"/>
    </row>
    <row r="7" spans="1:82" s="133" customFormat="1" ht="39" customHeight="1">
      <c r="A7" s="2175"/>
      <c r="B7" s="2197"/>
      <c r="C7" s="2175"/>
      <c r="D7" s="2175"/>
      <c r="E7" s="2175" t="s">
        <v>155</v>
      </c>
      <c r="F7" s="2175"/>
      <c r="G7" s="2175" t="s">
        <v>156</v>
      </c>
      <c r="H7" s="2175"/>
      <c r="I7" s="2175" t="s">
        <v>157</v>
      </c>
      <c r="J7" s="2175"/>
      <c r="K7" s="2175"/>
      <c r="L7" s="2175"/>
      <c r="CC7" s="286" t="s">
        <v>2049</v>
      </c>
      <c r="CD7" s="298" t="s">
        <v>2050</v>
      </c>
    </row>
    <row r="8" spans="1:82" s="133" customFormat="1" ht="32.25" customHeight="1">
      <c r="A8" s="2175"/>
      <c r="B8" s="2197"/>
      <c r="C8" s="510" t="s">
        <v>8</v>
      </c>
      <c r="D8" s="510" t="s">
        <v>159</v>
      </c>
      <c r="E8" s="510" t="s">
        <v>8</v>
      </c>
      <c r="F8" s="510" t="s">
        <v>159</v>
      </c>
      <c r="G8" s="510" t="s">
        <v>8</v>
      </c>
      <c r="H8" s="510" t="s">
        <v>159</v>
      </c>
      <c r="I8" s="510" t="s">
        <v>8</v>
      </c>
      <c r="J8" s="510" t="s">
        <v>159</v>
      </c>
      <c r="K8" s="510" t="s">
        <v>8</v>
      </c>
      <c r="L8" s="510" t="s">
        <v>159</v>
      </c>
      <c r="BY8" s="133">
        <f>BY10+BY22+BY32+BY40</f>
        <v>0</v>
      </c>
      <c r="CC8" s="133">
        <f>CC10+CC22+CC32+CC40</f>
        <v>622</v>
      </c>
      <c r="CD8" s="301">
        <f>BY8+BZ8+CA8+CC8</f>
        <v>622</v>
      </c>
    </row>
    <row r="9" spans="1:82" ht="15.6" customHeight="1">
      <c r="A9" s="2176" t="s">
        <v>283</v>
      </c>
      <c r="B9" s="2176" t="s">
        <v>1152</v>
      </c>
      <c r="C9" s="2176" t="s">
        <v>160</v>
      </c>
      <c r="D9" s="2176"/>
      <c r="E9" s="2176" t="s">
        <v>161</v>
      </c>
      <c r="F9" s="2176"/>
      <c r="G9" s="2176"/>
      <c r="H9" s="2176"/>
      <c r="I9" s="2176"/>
      <c r="J9" s="2176"/>
      <c r="K9" s="2176" t="s">
        <v>1153</v>
      </c>
      <c r="L9" s="2176"/>
      <c r="CD9" s="302"/>
    </row>
    <row r="10" spans="1:82">
      <c r="A10" s="2176"/>
      <c r="B10" s="2176"/>
      <c r="C10" s="2176"/>
      <c r="D10" s="2176"/>
      <c r="E10" s="2176" t="s">
        <v>113</v>
      </c>
      <c r="F10" s="2176"/>
      <c r="G10" s="2176" t="s">
        <v>162</v>
      </c>
      <c r="H10" s="2176"/>
      <c r="I10" s="2176" t="s">
        <v>163</v>
      </c>
      <c r="J10" s="2176"/>
      <c r="K10" s="2176"/>
      <c r="L10" s="2176"/>
      <c r="CC10" s="132">
        <f>CC12+CC17</f>
        <v>1713</v>
      </c>
      <c r="CD10" s="302">
        <f>BY10+BZ10+CA10+CC10</f>
        <v>1713</v>
      </c>
    </row>
    <row r="11" spans="1:82" ht="32.25" customHeight="1">
      <c r="A11" s="2176"/>
      <c r="B11" s="2176"/>
      <c r="C11" s="511" t="s">
        <v>8</v>
      </c>
      <c r="D11" s="511" t="s">
        <v>164</v>
      </c>
      <c r="E11" s="511" t="s">
        <v>8</v>
      </c>
      <c r="F11" s="511" t="s">
        <v>164</v>
      </c>
      <c r="G11" s="511" t="s">
        <v>8</v>
      </c>
      <c r="H11" s="511" t="s">
        <v>164</v>
      </c>
      <c r="I11" s="511" t="s">
        <v>8</v>
      </c>
      <c r="J11" s="511" t="s">
        <v>164</v>
      </c>
      <c r="K11" s="511" t="s">
        <v>8</v>
      </c>
      <c r="L11" s="511" t="s">
        <v>164</v>
      </c>
      <c r="CD11" s="302"/>
    </row>
    <row r="12" spans="1:82" hidden="1">
      <c r="A12" s="46">
        <v>2000</v>
      </c>
      <c r="B12" s="47">
        <v>466.4</v>
      </c>
      <c r="C12" s="47">
        <v>305.48</v>
      </c>
      <c r="D12" s="11">
        <f>C12/B12*100</f>
        <v>65.497427101200685</v>
      </c>
      <c r="E12" s="47">
        <v>158.9</v>
      </c>
      <c r="F12" s="11">
        <f>E12/B12*100</f>
        <v>34.069468267581478</v>
      </c>
      <c r="G12" s="47">
        <v>63.4</v>
      </c>
      <c r="H12" s="11">
        <f>G12/B12*100</f>
        <v>13.593481989708406</v>
      </c>
      <c r="I12" s="47">
        <v>24.1</v>
      </c>
      <c r="J12" s="11">
        <f>I12/B12*100</f>
        <v>5.1672384219554033</v>
      </c>
      <c r="K12" s="47" t="s">
        <v>93</v>
      </c>
      <c r="L12" s="47" t="s">
        <v>93</v>
      </c>
      <c r="CC12" s="132">
        <f>CC14+CC15</f>
        <v>4361</v>
      </c>
      <c r="CD12" s="302">
        <f>BY12+BZ12+CA12+CC12</f>
        <v>4361</v>
      </c>
    </row>
    <row r="13" spans="1:82" hidden="1">
      <c r="A13" s="46">
        <v>2001</v>
      </c>
      <c r="B13" s="47">
        <v>486.2</v>
      </c>
      <c r="C13" s="47">
        <v>223.3</v>
      </c>
      <c r="D13" s="11">
        <f>C13/B13*100</f>
        <v>45.927601809954751</v>
      </c>
      <c r="E13" s="47">
        <v>172.1</v>
      </c>
      <c r="F13" s="11">
        <f>E13/B13*100</f>
        <v>35.396955985191283</v>
      </c>
      <c r="G13" s="47">
        <v>70.8</v>
      </c>
      <c r="H13" s="11">
        <f>G13/B13*100</f>
        <v>14.561908679555739</v>
      </c>
      <c r="I13" s="47">
        <v>26.5</v>
      </c>
      <c r="J13" s="11">
        <f>I13/B13*100</f>
        <v>5.4504319210201571</v>
      </c>
      <c r="K13" s="47">
        <v>90.89</v>
      </c>
      <c r="L13" s="11">
        <f>+K13/B13*100</f>
        <v>18.69395310571781</v>
      </c>
      <c r="CD13" s="302"/>
    </row>
    <row r="14" spans="1:82" hidden="1">
      <c r="A14" s="46">
        <v>2002</v>
      </c>
      <c r="B14" s="11">
        <f>2600.83634047766/5</f>
        <v>520.16726809553199</v>
      </c>
      <c r="C14" s="11">
        <v>248.14320000000001</v>
      </c>
      <c r="D14" s="11">
        <f>+C14/B14*100</f>
        <v>47.704501074917104</v>
      </c>
      <c r="E14" s="47">
        <v>202.6</v>
      </c>
      <c r="F14" s="11">
        <f>+E14/B14*100</f>
        <v>38.949009756375375</v>
      </c>
      <c r="G14" s="47">
        <v>63.3</v>
      </c>
      <c r="H14" s="11">
        <f>+G14/B14*100</f>
        <v>12.169162475708593</v>
      </c>
      <c r="I14" s="47">
        <v>23.2</v>
      </c>
      <c r="J14" s="11">
        <f>+I14/B14*100</f>
        <v>4.4601037825661827</v>
      </c>
      <c r="K14" s="47">
        <v>69.36</v>
      </c>
      <c r="L14" s="11">
        <f>+K14/B14*100</f>
        <v>13.334172343051312</v>
      </c>
      <c r="CC14" s="132">
        <v>3917</v>
      </c>
      <c r="CD14" s="302">
        <f>BY14+BZ14+CA14+CC14</f>
        <v>3917</v>
      </c>
    </row>
    <row r="15" spans="1:82" hidden="1">
      <c r="A15" s="46">
        <v>2003</v>
      </c>
      <c r="B15" s="11">
        <f>3351.5007119494/5</f>
        <v>670.30014238987997</v>
      </c>
      <c r="C15" s="11">
        <f>1456.008/5</f>
        <v>291.20159999999998</v>
      </c>
      <c r="D15" s="11">
        <f>+C15/B15*100</f>
        <v>43.443463843190209</v>
      </c>
      <c r="E15" s="11">
        <v>304.8</v>
      </c>
      <c r="F15" s="11">
        <f>+E15/B15*100</f>
        <v>45.47216697780636</v>
      </c>
      <c r="G15" s="11">
        <f>488.6/5</f>
        <v>97.72</v>
      </c>
      <c r="H15" s="11">
        <f>+G15/B15*100</f>
        <v>14.578543822412197</v>
      </c>
      <c r="I15" s="11">
        <f>105/5</f>
        <v>21</v>
      </c>
      <c r="J15" s="11">
        <f>+I15/B15*100</f>
        <v>3.1329248902031939</v>
      </c>
      <c r="K15" s="11">
        <f>371.5/5</f>
        <v>74.3</v>
      </c>
      <c r="L15" s="11">
        <f>+K15/B15*100</f>
        <v>11.084586635337967</v>
      </c>
      <c r="CC15" s="132">
        <v>444</v>
      </c>
      <c r="CD15" s="302">
        <f t="shared" ref="CD15:CD56" si="0">BY15+BZ15+CA15+CC15</f>
        <v>444</v>
      </c>
    </row>
    <row r="16" spans="1:82" hidden="1">
      <c r="A16" s="46">
        <v>2004</v>
      </c>
      <c r="B16" s="11">
        <v>989.46032019881397</v>
      </c>
      <c r="C16" s="11">
        <v>453.03339999999997</v>
      </c>
      <c r="D16" s="11">
        <f>+C16/B16*100</f>
        <v>45.785908818351722</v>
      </c>
      <c r="E16" s="11">
        <v>451.7</v>
      </c>
      <c r="F16" s="11">
        <f>+E16/B16*100</f>
        <v>45.65114848761587</v>
      </c>
      <c r="G16" s="11">
        <v>152.58000000000001</v>
      </c>
      <c r="H16" s="11">
        <f>+G16/B16*100</f>
        <v>15.420527421386826</v>
      </c>
      <c r="I16" s="11">
        <v>20.86</v>
      </c>
      <c r="J16" s="11">
        <f>+I16/B16*100</f>
        <v>2.1082199633643279</v>
      </c>
      <c r="K16" s="11">
        <v>84.82</v>
      </c>
      <c r="L16" s="11">
        <f>+K16/B16*100</f>
        <v>8.5723498222704837</v>
      </c>
      <c r="CD16" s="302"/>
    </row>
    <row r="17" spans="1:82" hidden="1">
      <c r="A17" s="46"/>
      <c r="B17" s="47"/>
      <c r="C17" s="11"/>
      <c r="D17" s="11"/>
      <c r="E17" s="11"/>
      <c r="F17" s="11"/>
      <c r="G17" s="47"/>
      <c r="H17" s="11"/>
      <c r="I17" s="47"/>
      <c r="J17" s="11"/>
      <c r="K17" s="47"/>
      <c r="L17" s="11"/>
      <c r="CC17" s="132">
        <f>CC19+CC20</f>
        <v>-2648</v>
      </c>
      <c r="CD17" s="302">
        <f t="shared" si="0"/>
        <v>-2648</v>
      </c>
    </row>
    <row r="18" spans="1:82">
      <c r="A18" s="618">
        <v>2005</v>
      </c>
      <c r="B18" s="619">
        <f>+B30</f>
        <v>1440.9632994538799</v>
      </c>
      <c r="C18" s="619">
        <f t="shared" ref="C18:L18" si="1">+C30</f>
        <v>748.273324</v>
      </c>
      <c r="D18" s="619">
        <f t="shared" si="1"/>
        <v>51.928687169450669</v>
      </c>
      <c r="E18" s="619">
        <f t="shared" si="1"/>
        <v>653.1</v>
      </c>
      <c r="F18" s="619">
        <f t="shared" si="1"/>
        <v>45.323846918760715</v>
      </c>
      <c r="G18" s="619">
        <f t="shared" si="1"/>
        <v>263.524</v>
      </c>
      <c r="H18" s="619">
        <f t="shared" si="1"/>
        <v>18.288043845382784</v>
      </c>
      <c r="I18" s="619">
        <f t="shared" si="1"/>
        <v>25.936</v>
      </c>
      <c r="J18" s="619">
        <f t="shared" si="1"/>
        <v>1.7999070489740894</v>
      </c>
      <c r="K18" s="619">
        <f t="shared" si="1"/>
        <v>39.6188</v>
      </c>
      <c r="L18" s="619">
        <f t="shared" si="1"/>
        <v>2.7494662782192569</v>
      </c>
      <c r="CD18" s="302"/>
    </row>
    <row r="19" spans="1:82" hidden="1">
      <c r="A19" s="586">
        <v>1</v>
      </c>
      <c r="B19" s="592">
        <v>970.37696426713205</v>
      </c>
      <c r="C19" s="592">
        <v>423.44979999999998</v>
      </c>
      <c r="D19" s="592">
        <f t="shared" ref="D19:D30" si="2">+C19/B19*100</f>
        <v>43.637659960302791</v>
      </c>
      <c r="E19" s="592">
        <v>462.2</v>
      </c>
      <c r="F19" s="592">
        <f t="shared" ref="F19:F30" si="3">+E19/B19*100</f>
        <v>47.630974046160723</v>
      </c>
      <c r="G19" s="592">
        <v>157.44</v>
      </c>
      <c r="H19" s="592">
        <f t="shared" ref="H19:H30" si="4">+G19/B19*100</f>
        <v>16.224622574269894</v>
      </c>
      <c r="I19" s="592">
        <v>21.64</v>
      </c>
      <c r="J19" s="592">
        <f t="shared" ref="J19:J30" si="5">+I19/B19*100</f>
        <v>2.2300611820833365</v>
      </c>
      <c r="K19" s="592">
        <v>84.82</v>
      </c>
      <c r="L19" s="592">
        <f t="shared" ref="L19:L30" si="6">+K19/B19*100</f>
        <v>8.7409329697000278</v>
      </c>
      <c r="CC19" s="132">
        <v>-367</v>
      </c>
      <c r="CD19" s="302">
        <f t="shared" si="0"/>
        <v>-367</v>
      </c>
    </row>
    <row r="20" spans="1:82" hidden="1">
      <c r="A20" s="586">
        <v>2</v>
      </c>
      <c r="B20" s="592">
        <v>1018.03088215995</v>
      </c>
      <c r="C20" s="592">
        <v>458.35755999999998</v>
      </c>
      <c r="D20" s="592">
        <f t="shared" si="2"/>
        <v>45.023934738355429</v>
      </c>
      <c r="E20" s="592">
        <v>474.84</v>
      </c>
      <c r="F20" s="592">
        <f t="shared" si="3"/>
        <v>46.642985819107452</v>
      </c>
      <c r="G20" s="592">
        <v>166.72</v>
      </c>
      <c r="H20" s="592">
        <f t="shared" si="4"/>
        <v>16.37671341033105</v>
      </c>
      <c r="I20" s="592">
        <v>22.28</v>
      </c>
      <c r="J20" s="592">
        <f t="shared" si="5"/>
        <v>2.1885387163038375</v>
      </c>
      <c r="K20" s="592">
        <v>84.82</v>
      </c>
      <c r="L20" s="592">
        <f t="shared" si="6"/>
        <v>8.3317708221225963</v>
      </c>
      <c r="CC20" s="132">
        <v>-2281</v>
      </c>
      <c r="CD20" s="302">
        <f t="shared" si="0"/>
        <v>-2281</v>
      </c>
    </row>
    <row r="21" spans="1:82" hidden="1">
      <c r="A21" s="586">
        <v>3</v>
      </c>
      <c r="B21" s="592">
        <v>1073.49730795293</v>
      </c>
      <c r="C21" s="592">
        <v>470.62920000000003</v>
      </c>
      <c r="D21" s="592">
        <f t="shared" si="2"/>
        <v>43.84074338271521</v>
      </c>
      <c r="E21" s="592">
        <v>517.26</v>
      </c>
      <c r="F21" s="592">
        <f t="shared" si="3"/>
        <v>48.184564243237062</v>
      </c>
      <c r="G21" s="592">
        <v>174.82</v>
      </c>
      <c r="H21" s="592">
        <f t="shared" si="4"/>
        <v>16.285089744041109</v>
      </c>
      <c r="I21" s="592">
        <v>24.74</v>
      </c>
      <c r="J21" s="592">
        <f t="shared" si="5"/>
        <v>2.3046168645897325</v>
      </c>
      <c r="K21" s="592">
        <v>85.6</v>
      </c>
      <c r="L21" s="592">
        <f t="shared" si="6"/>
        <v>7.9739370900922024</v>
      </c>
      <c r="CD21" s="302"/>
    </row>
    <row r="22" spans="1:82" hidden="1">
      <c r="A22" s="586">
        <v>4</v>
      </c>
      <c r="B22" s="592">
        <v>1098.39392782051</v>
      </c>
      <c r="C22" s="592">
        <v>495.50799999999998</v>
      </c>
      <c r="D22" s="592">
        <f t="shared" si="2"/>
        <v>45.112048368950155</v>
      </c>
      <c r="E22" s="592">
        <v>517.28</v>
      </c>
      <c r="F22" s="592">
        <f t="shared" si="3"/>
        <v>47.094215189846658</v>
      </c>
      <c r="G22" s="592">
        <v>184.7</v>
      </c>
      <c r="H22" s="592">
        <f t="shared" si="4"/>
        <v>16.815460767021108</v>
      </c>
      <c r="I22" s="592">
        <v>18.18</v>
      </c>
      <c r="J22" s="592">
        <f t="shared" si="5"/>
        <v>1.6551438914155048</v>
      </c>
      <c r="K22" s="592">
        <v>85.6</v>
      </c>
      <c r="L22" s="592">
        <f t="shared" si="6"/>
        <v>7.7931967604602415</v>
      </c>
      <c r="CC22" s="132">
        <f>CC24+CC25</f>
        <v>-797</v>
      </c>
      <c r="CD22" s="302">
        <f t="shared" si="0"/>
        <v>-797</v>
      </c>
    </row>
    <row r="23" spans="1:82" hidden="1">
      <c r="A23" s="586">
        <v>5</v>
      </c>
      <c r="B23" s="592">
        <v>1114.78937689698</v>
      </c>
      <c r="C23" s="592">
        <v>497.66460000000001</v>
      </c>
      <c r="D23" s="592">
        <f t="shared" si="2"/>
        <v>44.642029275992122</v>
      </c>
      <c r="E23" s="592">
        <v>531.52</v>
      </c>
      <c r="F23" s="592">
        <f t="shared" si="3"/>
        <v>47.678961695839597</v>
      </c>
      <c r="G23" s="592">
        <v>190.3</v>
      </c>
      <c r="H23" s="592">
        <f t="shared" si="4"/>
        <v>17.070489183320056</v>
      </c>
      <c r="I23" s="592">
        <v>19.18</v>
      </c>
      <c r="J23" s="592">
        <f t="shared" si="5"/>
        <v>1.7205043748611593</v>
      </c>
      <c r="K23" s="592">
        <v>85.6</v>
      </c>
      <c r="L23" s="592">
        <f t="shared" si="6"/>
        <v>7.6785805259705544</v>
      </c>
      <c r="CD23" s="302"/>
    </row>
    <row r="24" spans="1:82" hidden="1">
      <c r="A24" s="586">
        <v>6</v>
      </c>
      <c r="B24" s="592">
        <v>1079.6340253578201</v>
      </c>
      <c r="C24" s="592">
        <v>491.00819999999999</v>
      </c>
      <c r="D24" s="592">
        <f t="shared" si="2"/>
        <v>45.479133527425326</v>
      </c>
      <c r="E24" s="592">
        <v>547.70000000000005</v>
      </c>
      <c r="F24" s="592">
        <f t="shared" si="3"/>
        <v>50.730153657252266</v>
      </c>
      <c r="G24" s="592">
        <v>223.6</v>
      </c>
      <c r="H24" s="592">
        <f t="shared" si="4"/>
        <v>20.71072185094323</v>
      </c>
      <c r="I24" s="592">
        <v>20.239999999999998</v>
      </c>
      <c r="J24" s="592">
        <f t="shared" si="5"/>
        <v>1.8747093482249146</v>
      </c>
      <c r="K24" s="592">
        <v>40.9</v>
      </c>
      <c r="L24" s="592">
        <f t="shared" si="6"/>
        <v>3.7883207679050894</v>
      </c>
      <c r="CC24" s="132">
        <v>-644</v>
      </c>
      <c r="CD24" s="302">
        <f t="shared" si="0"/>
        <v>-644</v>
      </c>
    </row>
    <row r="25" spans="1:82" hidden="1">
      <c r="A25" s="586">
        <v>7</v>
      </c>
      <c r="B25" s="592">
        <v>1116.57347874425</v>
      </c>
      <c r="C25" s="592">
        <v>506.89679999999998</v>
      </c>
      <c r="D25" s="592">
        <f t="shared" si="2"/>
        <v>45.397531792540832</v>
      </c>
      <c r="E25" s="592">
        <v>568.75</v>
      </c>
      <c r="F25" s="592">
        <f t="shared" si="3"/>
        <v>50.937086616067795</v>
      </c>
      <c r="G25" s="592">
        <v>229.3</v>
      </c>
      <c r="H25" s="592">
        <f t="shared" si="4"/>
        <v>20.536042129343908</v>
      </c>
      <c r="I25" s="592">
        <v>19.8</v>
      </c>
      <c r="J25" s="592">
        <f t="shared" si="5"/>
        <v>1.7732823120846459</v>
      </c>
      <c r="K25" s="592">
        <v>40.94</v>
      </c>
      <c r="L25" s="592">
        <f t="shared" si="6"/>
        <v>3.6665746392295659</v>
      </c>
      <c r="CC25" s="132">
        <v>-153</v>
      </c>
      <c r="CD25" s="302">
        <f t="shared" si="0"/>
        <v>-153</v>
      </c>
    </row>
    <row r="26" spans="1:82" hidden="1">
      <c r="A26" s="586">
        <v>8</v>
      </c>
      <c r="B26" s="592">
        <v>1208.8811471966601</v>
      </c>
      <c r="C26" s="592">
        <v>580.3066</v>
      </c>
      <c r="D26" s="592">
        <f t="shared" si="2"/>
        <v>48.003610722667354</v>
      </c>
      <c r="E26" s="592">
        <v>587.65200000000004</v>
      </c>
      <c r="F26" s="592">
        <f t="shared" si="3"/>
        <v>48.611230422671248</v>
      </c>
      <c r="G26" s="592">
        <v>236.12</v>
      </c>
      <c r="H26" s="592">
        <f t="shared" si="4"/>
        <v>19.532110377231994</v>
      </c>
      <c r="I26" s="592">
        <v>20.76</v>
      </c>
      <c r="J26" s="592">
        <f t="shared" si="5"/>
        <v>1.7172904092467227</v>
      </c>
      <c r="K26" s="592">
        <v>40.94</v>
      </c>
      <c r="L26" s="592">
        <f t="shared" si="6"/>
        <v>3.3866025700655502</v>
      </c>
      <c r="CD26" s="302"/>
    </row>
    <row r="27" spans="1:82" hidden="1">
      <c r="A27" s="586">
        <v>9</v>
      </c>
      <c r="B27" s="592">
        <v>1245.13844420945</v>
      </c>
      <c r="C27" s="592">
        <v>596.98500000000001</v>
      </c>
      <c r="D27" s="592">
        <f t="shared" si="2"/>
        <v>47.945270887449901</v>
      </c>
      <c r="E27" s="592">
        <v>607.21199999999999</v>
      </c>
      <c r="F27" s="592">
        <f t="shared" si="3"/>
        <v>48.766625335829588</v>
      </c>
      <c r="G27" s="592">
        <v>242.62</v>
      </c>
      <c r="H27" s="592">
        <f t="shared" si="4"/>
        <v>19.485383422888507</v>
      </c>
      <c r="I27" s="592">
        <v>22.08</v>
      </c>
      <c r="J27" s="592">
        <f t="shared" si="5"/>
        <v>1.7732967850027954</v>
      </c>
      <c r="K27" s="592">
        <v>40.94</v>
      </c>
      <c r="L27" s="592">
        <f t="shared" si="6"/>
        <v>3.2879877888593492</v>
      </c>
      <c r="CD27" s="302"/>
    </row>
    <row r="28" spans="1:82" hidden="1">
      <c r="A28" s="586">
        <v>10</v>
      </c>
      <c r="B28" s="592">
        <v>1311.59635595949</v>
      </c>
      <c r="C28" s="592">
        <v>655.33280000000002</v>
      </c>
      <c r="D28" s="592">
        <f t="shared" si="2"/>
        <v>49.964518201226284</v>
      </c>
      <c r="E28" s="592">
        <v>616.65499999999997</v>
      </c>
      <c r="F28" s="592">
        <f t="shared" si="3"/>
        <v>47.015607903918728</v>
      </c>
      <c r="G28" s="592">
        <v>248.67</v>
      </c>
      <c r="H28" s="592">
        <f t="shared" si="4"/>
        <v>18.959339042848057</v>
      </c>
      <c r="I28" s="592">
        <v>23.722000000000001</v>
      </c>
      <c r="J28" s="592">
        <f t="shared" si="5"/>
        <v>1.8086357050486255</v>
      </c>
      <c r="K28" s="592">
        <v>39.6188</v>
      </c>
      <c r="L28" s="592">
        <f t="shared" si="6"/>
        <v>3.0206549309156259</v>
      </c>
      <c r="CD28" s="302"/>
    </row>
    <row r="29" spans="1:82" hidden="1">
      <c r="A29" s="586">
        <v>11</v>
      </c>
      <c r="B29" s="592">
        <v>1358.5165590987699</v>
      </c>
      <c r="C29" s="592">
        <v>684.62117599999999</v>
      </c>
      <c r="D29" s="592">
        <f t="shared" si="2"/>
        <v>50.394761213228989</v>
      </c>
      <c r="E29" s="592">
        <v>634.27600000000007</v>
      </c>
      <c r="F29" s="592">
        <f t="shared" si="3"/>
        <v>46.688867776538125</v>
      </c>
      <c r="G29" s="592">
        <v>255.18400000000003</v>
      </c>
      <c r="H29" s="592">
        <f t="shared" si="4"/>
        <v>18.784018368483284</v>
      </c>
      <c r="I29" s="592">
        <v>24.738999999999997</v>
      </c>
      <c r="J29" s="592">
        <f t="shared" si="5"/>
        <v>1.8210304345801769</v>
      </c>
      <c r="K29" s="592">
        <v>39.6188</v>
      </c>
      <c r="L29" s="592">
        <f t="shared" si="6"/>
        <v>2.9163280885058058</v>
      </c>
      <c r="CC29" s="132">
        <v>-31</v>
      </c>
      <c r="CD29" s="302">
        <f t="shared" si="0"/>
        <v>-31</v>
      </c>
    </row>
    <row r="30" spans="1:82" hidden="1">
      <c r="A30" s="586">
        <v>12</v>
      </c>
      <c r="B30" s="592">
        <v>1440.9632994538799</v>
      </c>
      <c r="C30" s="592">
        <v>748.273324</v>
      </c>
      <c r="D30" s="592">
        <f t="shared" si="2"/>
        <v>51.928687169450669</v>
      </c>
      <c r="E30" s="462">
        <v>653.1</v>
      </c>
      <c r="F30" s="592">
        <f t="shared" si="3"/>
        <v>45.323846918760715</v>
      </c>
      <c r="G30" s="592">
        <v>263.524</v>
      </c>
      <c r="H30" s="592">
        <f t="shared" si="4"/>
        <v>18.288043845382784</v>
      </c>
      <c r="I30" s="592">
        <v>25.936</v>
      </c>
      <c r="J30" s="592">
        <f t="shared" si="5"/>
        <v>1.7999070489740894</v>
      </c>
      <c r="K30" s="592">
        <v>39.6188</v>
      </c>
      <c r="L30" s="592">
        <f t="shared" si="6"/>
        <v>2.7494662782192569</v>
      </c>
      <c r="CC30" s="132">
        <v>-440</v>
      </c>
      <c r="CD30" s="302">
        <f t="shared" si="0"/>
        <v>-440</v>
      </c>
    </row>
    <row r="31" spans="1:82">
      <c r="A31" s="586">
        <v>2006</v>
      </c>
      <c r="B31" s="592">
        <f>+B43</f>
        <v>2362.721</v>
      </c>
      <c r="C31" s="592">
        <f t="shared" ref="C31:L31" si="7">+C43</f>
        <v>1068.3159999999998</v>
      </c>
      <c r="D31" s="592">
        <f t="shared" si="7"/>
        <v>45.215495185423919</v>
      </c>
      <c r="E31" s="592">
        <f t="shared" si="7"/>
        <v>1229.7260000000001</v>
      </c>
      <c r="F31" s="592">
        <f t="shared" si="7"/>
        <v>52.047025442276095</v>
      </c>
      <c r="G31" s="592">
        <f t="shared" si="7"/>
        <v>545.83000000000004</v>
      </c>
      <c r="H31" s="592">
        <f t="shared" si="7"/>
        <v>23.10175429092136</v>
      </c>
      <c r="I31" s="592">
        <f t="shared" si="7"/>
        <v>55.75</v>
      </c>
      <c r="J31" s="592">
        <f t="shared" si="7"/>
        <v>2.3595676340964507</v>
      </c>
      <c r="K31" s="592">
        <f t="shared" si="7"/>
        <v>64.679000000000002</v>
      </c>
      <c r="L31" s="592">
        <f t="shared" si="7"/>
        <v>2.7374793722999882</v>
      </c>
      <c r="CD31" s="302"/>
    </row>
    <row r="32" spans="1:82" hidden="1">
      <c r="A32" s="586">
        <v>1</v>
      </c>
      <c r="B32" s="592">
        <v>1380.3599047600001</v>
      </c>
      <c r="C32" s="592">
        <v>684.29769499999998</v>
      </c>
      <c r="D32" s="592">
        <f t="shared" ref="D32:D43" si="8">+C32/B32*100</f>
        <v>49.573860602606914</v>
      </c>
      <c r="E32" s="592">
        <v>656.45</v>
      </c>
      <c r="F32" s="592">
        <f t="shared" ref="F32:F51" si="9">+E32/B32*100</f>
        <v>47.556437834532403</v>
      </c>
      <c r="G32" s="592">
        <v>253.3</v>
      </c>
      <c r="H32" s="592">
        <f t="shared" ref="H32:H43" si="10">+G32/B32*100</f>
        <v>18.35028669889109</v>
      </c>
      <c r="I32" s="592">
        <v>25.02</v>
      </c>
      <c r="J32" s="592">
        <f t="shared" ref="J32:J51" si="11">+I32/B32*100</f>
        <v>1.8125707588087447</v>
      </c>
      <c r="K32" s="592">
        <v>48.29</v>
      </c>
      <c r="L32" s="592">
        <f t="shared" ref="L32:L51" si="12">+K32/B32*100</f>
        <v>3.4983629873251112</v>
      </c>
      <c r="CC32" s="132">
        <f>CC34+CC35</f>
        <v>-498</v>
      </c>
      <c r="CD32" s="302">
        <f>BY32+BZ32+CA32+CC32</f>
        <v>-498</v>
      </c>
    </row>
    <row r="33" spans="1:82" hidden="1">
      <c r="A33" s="586">
        <v>2</v>
      </c>
      <c r="B33" s="592">
        <v>1352.2</v>
      </c>
      <c r="C33" s="592">
        <v>629.49400000000003</v>
      </c>
      <c r="D33" s="592">
        <f t="shared" si="8"/>
        <v>46.553320514716759</v>
      </c>
      <c r="E33" s="592">
        <v>674.41600000000005</v>
      </c>
      <c r="F33" s="592">
        <f t="shared" si="9"/>
        <v>49.875462209732291</v>
      </c>
      <c r="G33" s="592">
        <v>262.76</v>
      </c>
      <c r="H33" s="592">
        <f t="shared" si="10"/>
        <v>19.432036680964355</v>
      </c>
      <c r="I33" s="592">
        <v>27.42</v>
      </c>
      <c r="J33" s="592">
        <f t="shared" si="11"/>
        <v>2.0278065374944534</v>
      </c>
      <c r="K33" s="592">
        <v>48.29</v>
      </c>
      <c r="L33" s="592">
        <f t="shared" si="12"/>
        <v>3.5712172755509539</v>
      </c>
      <c r="CD33" s="302"/>
    </row>
    <row r="34" spans="1:82" hidden="1">
      <c r="A34" s="586">
        <v>3</v>
      </c>
      <c r="B34" s="592">
        <v>1395.11</v>
      </c>
      <c r="C34" s="592">
        <v>643.13199999999995</v>
      </c>
      <c r="D34" s="592">
        <f t="shared" si="8"/>
        <v>46.099017281791397</v>
      </c>
      <c r="E34" s="592">
        <v>703.68299999999999</v>
      </c>
      <c r="F34" s="592">
        <f t="shared" si="9"/>
        <v>50.439248518038006</v>
      </c>
      <c r="G34" s="592">
        <v>271.08999999999997</v>
      </c>
      <c r="H34" s="592">
        <f t="shared" si="10"/>
        <v>19.43144268193906</v>
      </c>
      <c r="I34" s="592">
        <v>27.68</v>
      </c>
      <c r="J34" s="592">
        <f t="shared" si="11"/>
        <v>1.9840729404849797</v>
      </c>
      <c r="K34" s="592">
        <v>48.29</v>
      </c>
      <c r="L34" s="592">
        <f t="shared" si="12"/>
        <v>3.4613758054920405</v>
      </c>
      <c r="CC34" s="132">
        <v>-521</v>
      </c>
      <c r="CD34" s="302">
        <f>BY34+BZ34+CA34+CC34</f>
        <v>-521</v>
      </c>
    </row>
    <row r="35" spans="1:82" hidden="1">
      <c r="A35" s="586">
        <v>4</v>
      </c>
      <c r="B35" s="592">
        <v>1529.2349999999999</v>
      </c>
      <c r="C35" s="592">
        <v>741.30799999999999</v>
      </c>
      <c r="D35" s="592">
        <f t="shared" si="8"/>
        <v>48.475741138543135</v>
      </c>
      <c r="E35" s="592">
        <v>734.87900000000002</v>
      </c>
      <c r="F35" s="592">
        <f t="shared" si="9"/>
        <v>48.055334856970973</v>
      </c>
      <c r="G35" s="592">
        <v>292.20999999999998</v>
      </c>
      <c r="H35" s="592">
        <f t="shared" si="10"/>
        <v>19.108246933924477</v>
      </c>
      <c r="I35" s="592">
        <v>28.64</v>
      </c>
      <c r="J35" s="592">
        <f t="shared" si="11"/>
        <v>1.8728318407569797</v>
      </c>
      <c r="K35" s="592">
        <v>53.048000000000002</v>
      </c>
      <c r="L35" s="592">
        <f t="shared" si="12"/>
        <v>3.4689240044859035</v>
      </c>
      <c r="CC35" s="132">
        <v>23</v>
      </c>
      <c r="CD35" s="302">
        <f>BY35+BZ35+CA35+CC35</f>
        <v>23</v>
      </c>
    </row>
    <row r="36" spans="1:82" hidden="1">
      <c r="A36" s="586">
        <v>5</v>
      </c>
      <c r="B36" s="592">
        <v>1556.8</v>
      </c>
      <c r="C36" s="592">
        <v>725.5</v>
      </c>
      <c r="D36" s="592">
        <f t="shared" si="8"/>
        <v>46.602004110996923</v>
      </c>
      <c r="E36" s="592">
        <v>778.3</v>
      </c>
      <c r="F36" s="592">
        <f t="shared" si="9"/>
        <v>49.993576567317568</v>
      </c>
      <c r="G36" s="592">
        <v>342.9</v>
      </c>
      <c r="H36" s="592">
        <f t="shared" si="10"/>
        <v>22.025950668036998</v>
      </c>
      <c r="I36" s="592">
        <v>32.5</v>
      </c>
      <c r="J36" s="592">
        <f t="shared" si="11"/>
        <v>2.0876156217882835</v>
      </c>
      <c r="K36" s="592">
        <v>53.048000000000002</v>
      </c>
      <c r="L36" s="592">
        <f t="shared" si="12"/>
        <v>3.4075025693730736</v>
      </c>
      <c r="CD36" s="302"/>
    </row>
    <row r="37" spans="1:82" hidden="1">
      <c r="A37" s="586">
        <v>6</v>
      </c>
      <c r="B37" s="592">
        <v>1660.51</v>
      </c>
      <c r="C37" s="592">
        <f t="shared" ref="C37:C42" si="13">B37-E37-K37</f>
        <v>769.27800000000002</v>
      </c>
      <c r="D37" s="592">
        <f t="shared" si="8"/>
        <v>46.327814948419466</v>
      </c>
      <c r="E37" s="592">
        <v>838.18399999999997</v>
      </c>
      <c r="F37" s="592">
        <f t="shared" si="9"/>
        <v>50.477503899404397</v>
      </c>
      <c r="G37" s="592">
        <v>369.65</v>
      </c>
      <c r="H37" s="592">
        <f t="shared" si="10"/>
        <v>22.261232994682356</v>
      </c>
      <c r="I37" s="592">
        <v>34.17</v>
      </c>
      <c r="J37" s="592">
        <f t="shared" si="11"/>
        <v>2.0578015188104861</v>
      </c>
      <c r="K37" s="592">
        <v>53.048000000000002</v>
      </c>
      <c r="L37" s="592">
        <f t="shared" si="12"/>
        <v>3.1946811521761389</v>
      </c>
      <c r="CC37" s="132">
        <v>433</v>
      </c>
      <c r="CD37" s="302">
        <f t="shared" si="0"/>
        <v>433</v>
      </c>
    </row>
    <row r="38" spans="1:82" hidden="1">
      <c r="A38" s="586">
        <v>7</v>
      </c>
      <c r="B38" s="592">
        <v>1785</v>
      </c>
      <c r="C38" s="592">
        <f t="shared" si="13"/>
        <v>839.95300000000009</v>
      </c>
      <c r="D38" s="592">
        <f t="shared" si="8"/>
        <v>47.05619047619048</v>
      </c>
      <c r="E38" s="592">
        <v>885.86699999999996</v>
      </c>
      <c r="F38" s="592">
        <f t="shared" si="9"/>
        <v>49.628403361344539</v>
      </c>
      <c r="G38" s="592">
        <v>386.63</v>
      </c>
      <c r="H38" s="592">
        <f t="shared" si="10"/>
        <v>21.659943977591038</v>
      </c>
      <c r="I38" s="592">
        <v>34.950000000000003</v>
      </c>
      <c r="J38" s="592">
        <f t="shared" si="11"/>
        <v>1.9579831932773111</v>
      </c>
      <c r="K38" s="592">
        <v>59.18</v>
      </c>
      <c r="L38" s="592">
        <f t="shared" si="12"/>
        <v>3.3154061624649858</v>
      </c>
      <c r="CC38" s="132">
        <v>-931</v>
      </c>
      <c r="CD38" s="302">
        <f t="shared" si="0"/>
        <v>-931</v>
      </c>
    </row>
    <row r="39" spans="1:82" hidden="1">
      <c r="A39" s="586">
        <v>8</v>
      </c>
      <c r="B39" s="592">
        <v>1876.88</v>
      </c>
      <c r="C39" s="592">
        <f t="shared" si="13"/>
        <v>871.22000000000014</v>
      </c>
      <c r="D39" s="592">
        <f t="shared" si="8"/>
        <v>46.418524359575471</v>
      </c>
      <c r="E39" s="592">
        <v>946.48</v>
      </c>
      <c r="F39" s="592">
        <f t="shared" si="9"/>
        <v>50.428370487191508</v>
      </c>
      <c r="G39" s="592">
        <v>415.51</v>
      </c>
      <c r="H39" s="592">
        <f t="shared" si="10"/>
        <v>22.138335961808959</v>
      </c>
      <c r="I39" s="592">
        <v>38.659999999999997</v>
      </c>
      <c r="J39" s="592">
        <f t="shared" si="11"/>
        <v>2.059801372490516</v>
      </c>
      <c r="K39" s="592">
        <v>59.18</v>
      </c>
      <c r="L39" s="592">
        <f t="shared" si="12"/>
        <v>3.1531051532330245</v>
      </c>
      <c r="CD39" s="302"/>
    </row>
    <row r="40" spans="1:82" hidden="1">
      <c r="A40" s="586">
        <v>9</v>
      </c>
      <c r="B40" s="592">
        <v>2015.15</v>
      </c>
      <c r="C40" s="592">
        <f t="shared" si="13"/>
        <v>943.2600000000001</v>
      </c>
      <c r="D40" s="592">
        <f t="shared" si="8"/>
        <v>46.808426171749005</v>
      </c>
      <c r="E40" s="592">
        <v>1012.71</v>
      </c>
      <c r="F40" s="592">
        <f t="shared" si="9"/>
        <v>50.254819740465976</v>
      </c>
      <c r="G40" s="592">
        <v>445.83</v>
      </c>
      <c r="H40" s="592">
        <f t="shared" si="10"/>
        <v>22.123911371361931</v>
      </c>
      <c r="I40" s="592">
        <v>41.45</v>
      </c>
      <c r="J40" s="592">
        <f t="shared" si="11"/>
        <v>2.0569188397886013</v>
      </c>
      <c r="K40" s="592">
        <v>59.18</v>
      </c>
      <c r="L40" s="592">
        <f t="shared" si="12"/>
        <v>2.9367540877850282</v>
      </c>
      <c r="CC40" s="132">
        <v>204</v>
      </c>
      <c r="CD40" s="302">
        <f t="shared" si="0"/>
        <v>204</v>
      </c>
    </row>
    <row r="41" spans="1:82" hidden="1">
      <c r="A41" s="586">
        <v>10</v>
      </c>
      <c r="B41" s="592">
        <v>2159.9</v>
      </c>
      <c r="C41" s="592">
        <f t="shared" si="13"/>
        <v>1014.6800000000002</v>
      </c>
      <c r="D41" s="592">
        <f t="shared" si="8"/>
        <v>46.978100838001765</v>
      </c>
      <c r="E41" s="592">
        <v>1080.5409999999999</v>
      </c>
      <c r="F41" s="592">
        <f t="shared" si="9"/>
        <v>50.027362377887862</v>
      </c>
      <c r="G41" s="592">
        <v>486.03</v>
      </c>
      <c r="H41" s="592">
        <f t="shared" si="10"/>
        <v>22.502430668086486</v>
      </c>
      <c r="I41" s="592">
        <v>45.25</v>
      </c>
      <c r="J41" s="592">
        <f t="shared" si="11"/>
        <v>2.0950043983517754</v>
      </c>
      <c r="K41" s="592">
        <v>64.679000000000002</v>
      </c>
      <c r="L41" s="592">
        <f t="shared" si="12"/>
        <v>2.9945367841103754</v>
      </c>
      <c r="CC41" s="132">
        <v>200</v>
      </c>
      <c r="CD41" s="302">
        <f t="shared" si="0"/>
        <v>200</v>
      </c>
    </row>
    <row r="42" spans="1:82" hidden="1">
      <c r="A42" s="586">
        <v>11</v>
      </c>
      <c r="B42" s="592">
        <v>2242.0309999999999</v>
      </c>
      <c r="C42" s="592">
        <f t="shared" si="13"/>
        <v>1000.4019999999999</v>
      </c>
      <c r="D42" s="592">
        <f t="shared" si="8"/>
        <v>44.620346462649266</v>
      </c>
      <c r="E42" s="592">
        <v>1176.95</v>
      </c>
      <c r="F42" s="592">
        <f t="shared" si="9"/>
        <v>52.494813854045731</v>
      </c>
      <c r="G42" s="592">
        <v>519.91</v>
      </c>
      <c r="H42" s="592">
        <f t="shared" si="10"/>
        <v>23.189242254009869</v>
      </c>
      <c r="I42" s="592">
        <v>50.04</v>
      </c>
      <c r="J42" s="592">
        <f t="shared" si="11"/>
        <v>2.2319049112166605</v>
      </c>
      <c r="K42" s="592">
        <v>64.679000000000002</v>
      </c>
      <c r="L42" s="592">
        <f t="shared" si="12"/>
        <v>2.8848396833050032</v>
      </c>
      <c r="CD42" s="302"/>
    </row>
    <row r="43" spans="1:82" hidden="1">
      <c r="A43" s="586">
        <v>12</v>
      </c>
      <c r="B43" s="592">
        <v>2362.721</v>
      </c>
      <c r="C43" s="592">
        <f>B43-E43-K43</f>
        <v>1068.3159999999998</v>
      </c>
      <c r="D43" s="592">
        <f t="shared" si="8"/>
        <v>45.215495185423919</v>
      </c>
      <c r="E43" s="592">
        <v>1229.7260000000001</v>
      </c>
      <c r="F43" s="592">
        <f t="shared" si="9"/>
        <v>52.047025442276095</v>
      </c>
      <c r="G43" s="592">
        <v>545.83000000000004</v>
      </c>
      <c r="H43" s="592">
        <f t="shared" si="10"/>
        <v>23.10175429092136</v>
      </c>
      <c r="I43" s="592">
        <v>55.75</v>
      </c>
      <c r="J43" s="592">
        <f t="shared" si="11"/>
        <v>2.3595676340964507</v>
      </c>
      <c r="K43" s="592">
        <v>64.679000000000002</v>
      </c>
      <c r="L43" s="592">
        <f t="shared" si="12"/>
        <v>2.7374793722999882</v>
      </c>
      <c r="CC43" s="132">
        <v>295</v>
      </c>
      <c r="CD43" s="302">
        <f t="shared" si="0"/>
        <v>295</v>
      </c>
    </row>
    <row r="44" spans="1:82">
      <c r="A44" s="586">
        <v>2007</v>
      </c>
      <c r="B44" s="592">
        <f>+B56</f>
        <v>4681.7733614700001</v>
      </c>
      <c r="C44" s="592">
        <f t="shared" ref="C44:L44" si="14">+C56</f>
        <v>1990.7013100000001</v>
      </c>
      <c r="D44" s="592">
        <f t="shared" si="14"/>
        <v>42.520240863922396</v>
      </c>
      <c r="E44" s="592">
        <f t="shared" si="14"/>
        <v>2562.9523874699998</v>
      </c>
      <c r="F44" s="592">
        <f t="shared" si="14"/>
        <v>54.743196425579967</v>
      </c>
      <c r="G44" s="592">
        <f t="shared" si="14"/>
        <v>1437.6468533499997</v>
      </c>
      <c r="H44" s="592">
        <f t="shared" si="14"/>
        <v>30.707314138303399</v>
      </c>
      <c r="I44" s="592">
        <f t="shared" si="14"/>
        <v>216.18870413999997</v>
      </c>
      <c r="J44" s="592">
        <f t="shared" si="14"/>
        <v>4.6176670130849793</v>
      </c>
      <c r="K44" s="592">
        <f t="shared" si="14"/>
        <v>128.119664</v>
      </c>
      <c r="L44" s="592">
        <f t="shared" si="14"/>
        <v>2.7365627104976422</v>
      </c>
      <c r="CC44" s="132">
        <v>-95</v>
      </c>
      <c r="CD44" s="302">
        <f t="shared" si="0"/>
        <v>-95</v>
      </c>
    </row>
    <row r="45" spans="1:82" hidden="1">
      <c r="A45" s="586">
        <v>1</v>
      </c>
      <c r="B45" s="592">
        <v>2500.8557842800001</v>
      </c>
      <c r="C45" s="592">
        <f t="shared" ref="C45:C56" si="15">B45-E45-K45</f>
        <v>1149.02213127</v>
      </c>
      <c r="D45" s="592">
        <f t="shared" ref="D45:D56" si="16">+C45/B45*100</f>
        <v>45.945157593355795</v>
      </c>
      <c r="E45" s="592">
        <v>1271.42029501</v>
      </c>
      <c r="F45" s="592">
        <f t="shared" si="9"/>
        <v>50.839408773666797</v>
      </c>
      <c r="G45" s="592">
        <v>562.42999999999995</v>
      </c>
      <c r="H45" s="592">
        <f t="shared" ref="H45:H56" si="17">+G45/B45*100</f>
        <v>22.489501535248436</v>
      </c>
      <c r="I45" s="592">
        <v>58.34</v>
      </c>
      <c r="J45" s="592">
        <f t="shared" si="11"/>
        <v>2.3328014500762655</v>
      </c>
      <c r="K45" s="592">
        <v>80.413358000000002</v>
      </c>
      <c r="L45" s="592">
        <f t="shared" si="12"/>
        <v>3.215433632977406</v>
      </c>
      <c r="CD45" s="302"/>
    </row>
    <row r="46" spans="1:82" hidden="1">
      <c r="A46" s="586">
        <v>2</v>
      </c>
      <c r="B46" s="592">
        <v>2663.49710117</v>
      </c>
      <c r="C46" s="592">
        <f t="shared" si="15"/>
        <v>1256.8297731999999</v>
      </c>
      <c r="D46" s="592">
        <f t="shared" si="16"/>
        <v>47.187202593459162</v>
      </c>
      <c r="E46" s="592">
        <v>1326.2539699700001</v>
      </c>
      <c r="F46" s="592">
        <f t="shared" si="9"/>
        <v>49.793708030972276</v>
      </c>
      <c r="G46" s="592">
        <v>593.07000000000005</v>
      </c>
      <c r="H46" s="592">
        <f t="shared" si="17"/>
        <v>22.266590781701282</v>
      </c>
      <c r="I46" s="592">
        <v>63.81</v>
      </c>
      <c r="J46" s="592">
        <f t="shared" si="11"/>
        <v>2.3957225247953171</v>
      </c>
      <c r="K46" s="592">
        <v>80.413358000000002</v>
      </c>
      <c r="L46" s="592">
        <f t="shared" si="12"/>
        <v>3.0190893755685582</v>
      </c>
      <c r="CC46" s="132">
        <v>0</v>
      </c>
      <c r="CD46" s="302">
        <f t="shared" si="0"/>
        <v>0</v>
      </c>
    </row>
    <row r="47" spans="1:82" hidden="1">
      <c r="A47" s="586">
        <v>3</v>
      </c>
      <c r="B47" s="592">
        <v>2880.8536487800002</v>
      </c>
      <c r="C47" s="592">
        <f t="shared" si="15"/>
        <v>1401.4806140000001</v>
      </c>
      <c r="D47" s="592">
        <f t="shared" si="16"/>
        <v>48.648101738646346</v>
      </c>
      <c r="E47" s="592">
        <v>1398.9596767800001</v>
      </c>
      <c r="F47" s="592">
        <f t="shared" si="9"/>
        <v>48.560595133752777</v>
      </c>
      <c r="G47" s="592">
        <v>624.57000000000005</v>
      </c>
      <c r="H47" s="592">
        <f t="shared" si="17"/>
        <v>21.680032245459479</v>
      </c>
      <c r="I47" s="592">
        <v>68.790000000000006</v>
      </c>
      <c r="J47" s="592">
        <f t="shared" si="11"/>
        <v>2.3878338987866172</v>
      </c>
      <c r="K47" s="592">
        <v>80.413358000000002</v>
      </c>
      <c r="L47" s="592">
        <f t="shared" si="12"/>
        <v>2.7913031276008726</v>
      </c>
      <c r="CD47" s="302"/>
    </row>
    <row r="48" spans="1:82" hidden="1">
      <c r="A48" s="586">
        <v>4</v>
      </c>
      <c r="B48" s="592">
        <v>3091.2641826099998</v>
      </c>
      <c r="C48" s="592">
        <f t="shared" si="15"/>
        <v>1485.2448795099997</v>
      </c>
      <c r="D48" s="592">
        <f t="shared" si="16"/>
        <v>48.04652050980598</v>
      </c>
      <c r="E48" s="592">
        <v>1509.5071201000001</v>
      </c>
      <c r="F48" s="592">
        <f t="shared" si="9"/>
        <v>48.831385185121931</v>
      </c>
      <c r="G48" s="592">
        <v>664.96554585000001</v>
      </c>
      <c r="H48" s="592">
        <f t="shared" si="17"/>
        <v>21.511119935681453</v>
      </c>
      <c r="I48" s="592">
        <v>74.491120699999982</v>
      </c>
      <c r="J48" s="592">
        <f t="shared" si="11"/>
        <v>2.40973001010564</v>
      </c>
      <c r="K48" s="592">
        <v>96.512182999999993</v>
      </c>
      <c r="L48" s="592">
        <f t="shared" si="12"/>
        <v>3.1220943050720864</v>
      </c>
      <c r="CC48" s="132">
        <f>CC49-CC53</f>
        <v>481</v>
      </c>
      <c r="CD48" s="302">
        <f t="shared" si="0"/>
        <v>481</v>
      </c>
    </row>
    <row r="49" spans="1:82" hidden="1">
      <c r="A49" s="586">
        <v>5</v>
      </c>
      <c r="B49" s="592">
        <v>3315.4499153500001</v>
      </c>
      <c r="C49" s="592">
        <f t="shared" si="15"/>
        <v>1569.0301690000001</v>
      </c>
      <c r="D49" s="592">
        <f t="shared" si="16"/>
        <v>47.324803844438811</v>
      </c>
      <c r="E49" s="592">
        <v>1649.9075633499999</v>
      </c>
      <c r="F49" s="592">
        <f t="shared" si="9"/>
        <v>49.764213167908018</v>
      </c>
      <c r="G49" s="592">
        <v>708.62027383000009</v>
      </c>
      <c r="H49" s="592">
        <f t="shared" si="17"/>
        <v>21.37327638548247</v>
      </c>
      <c r="I49" s="592">
        <v>77.981396009999997</v>
      </c>
      <c r="J49" s="592">
        <f t="shared" si="11"/>
        <v>2.3520607459325102</v>
      </c>
      <c r="K49" s="592">
        <v>96.512182999999993</v>
      </c>
      <c r="L49" s="592">
        <f t="shared" si="12"/>
        <v>2.9109829876531719</v>
      </c>
      <c r="CC49" s="132">
        <f>CC51+CC52</f>
        <v>965</v>
      </c>
      <c r="CD49" s="302">
        <f t="shared" si="0"/>
        <v>965</v>
      </c>
    </row>
    <row r="50" spans="1:82" hidden="1">
      <c r="A50" s="586">
        <v>6</v>
      </c>
      <c r="B50" s="592">
        <v>3458.4920896200001</v>
      </c>
      <c r="C50" s="592">
        <f t="shared" si="15"/>
        <v>1573.4175890000001</v>
      </c>
      <c r="D50" s="592">
        <f t="shared" si="16"/>
        <v>45.494323775448578</v>
      </c>
      <c r="E50" s="592">
        <v>1788.5623176199999</v>
      </c>
      <c r="F50" s="592">
        <f t="shared" si="9"/>
        <v>51.71509060228955</v>
      </c>
      <c r="G50" s="592">
        <v>763.95995914999992</v>
      </c>
      <c r="H50" s="592">
        <f t="shared" si="17"/>
        <v>22.08939443414889</v>
      </c>
      <c r="I50" s="592">
        <v>81.70791921</v>
      </c>
      <c r="J50" s="592">
        <f t="shared" si="11"/>
        <v>2.3625301747900664</v>
      </c>
      <c r="K50" s="592">
        <v>96.512182999999993</v>
      </c>
      <c r="L50" s="592">
        <f t="shared" si="12"/>
        <v>2.7905856222618746</v>
      </c>
      <c r="CD50" s="302"/>
    </row>
    <row r="51" spans="1:82" hidden="1">
      <c r="A51" s="586">
        <v>7</v>
      </c>
      <c r="B51" s="592">
        <v>3443.9037720199999</v>
      </c>
      <c r="C51" s="592">
        <f t="shared" si="15"/>
        <v>1407.0802799999999</v>
      </c>
      <c r="D51" s="592">
        <f t="shared" si="16"/>
        <v>40.85713112636379</v>
      </c>
      <c r="E51" s="592">
        <v>1925.8696660200001</v>
      </c>
      <c r="F51" s="592">
        <f t="shared" si="9"/>
        <v>55.92112304840601</v>
      </c>
      <c r="G51" s="592">
        <v>820.42879941000001</v>
      </c>
      <c r="H51" s="592">
        <f t="shared" si="17"/>
        <v>23.822640053870689</v>
      </c>
      <c r="I51" s="592">
        <v>85.196252430000001</v>
      </c>
      <c r="J51" s="592">
        <f t="shared" si="11"/>
        <v>2.473827901992415</v>
      </c>
      <c r="K51" s="592">
        <v>110.95382600000001</v>
      </c>
      <c r="L51" s="592">
        <f t="shared" si="12"/>
        <v>3.221745825230208</v>
      </c>
      <c r="CC51" s="132">
        <v>954</v>
      </c>
      <c r="CD51" s="302">
        <f t="shared" si="0"/>
        <v>954</v>
      </c>
    </row>
    <row r="52" spans="1:82" hidden="1">
      <c r="A52" s="586">
        <v>8</v>
      </c>
      <c r="B52" s="592">
        <v>3573.0027270300002</v>
      </c>
      <c r="C52" s="592">
        <f t="shared" si="15"/>
        <v>1384.93599412</v>
      </c>
      <c r="D52" s="592">
        <f t="shared" si="16"/>
        <v>38.761123344319564</v>
      </c>
      <c r="E52" s="592">
        <v>2077.1129069100002</v>
      </c>
      <c r="F52" s="592">
        <f>+E52/B52*100</f>
        <v>58.133538247718221</v>
      </c>
      <c r="G52" s="592">
        <v>885.59553532999985</v>
      </c>
      <c r="H52" s="592">
        <f t="shared" si="17"/>
        <v>24.785750333477537</v>
      </c>
      <c r="I52" s="592">
        <v>90.869078280000011</v>
      </c>
      <c r="J52" s="592">
        <f>+I52/B52*100</f>
        <v>2.5432132360988553</v>
      </c>
      <c r="K52" s="592">
        <v>110.95382600000001</v>
      </c>
      <c r="L52" s="592">
        <f>+K52/B52*100</f>
        <v>3.1053384079622171</v>
      </c>
      <c r="CC52" s="132">
        <v>11</v>
      </c>
      <c r="CD52" s="302">
        <f t="shared" si="0"/>
        <v>11</v>
      </c>
    </row>
    <row r="53" spans="1:82" hidden="1">
      <c r="A53" s="586">
        <v>9</v>
      </c>
      <c r="B53" s="592">
        <v>3771.25162757</v>
      </c>
      <c r="C53" s="592">
        <f t="shared" si="15"/>
        <v>1478.2794400000002</v>
      </c>
      <c r="D53" s="592">
        <f t="shared" si="16"/>
        <v>39.198642413381663</v>
      </c>
      <c r="E53" s="592">
        <v>2182.0183615699998</v>
      </c>
      <c r="F53" s="592">
        <f>+E53/B53*100</f>
        <v>57.859262044945538</v>
      </c>
      <c r="G53" s="592">
        <v>944.36191806999977</v>
      </c>
      <c r="H53" s="592">
        <f t="shared" si="17"/>
        <v>25.041074193145207</v>
      </c>
      <c r="I53" s="592">
        <v>98.459150980000004</v>
      </c>
      <c r="J53" s="592">
        <f>+I53/B53*100</f>
        <v>2.6107817961603907</v>
      </c>
      <c r="K53" s="592">
        <v>110.95382600000001</v>
      </c>
      <c r="L53" s="592">
        <f>+K53/B53*100</f>
        <v>2.9420955416728032</v>
      </c>
      <c r="CC53" s="132">
        <f>CC55+CC56+CC57+CC58</f>
        <v>484</v>
      </c>
      <c r="CD53" s="302">
        <f t="shared" si="0"/>
        <v>484</v>
      </c>
    </row>
    <row r="54" spans="1:82" hidden="1">
      <c r="A54" s="586">
        <v>10</v>
      </c>
      <c r="B54" s="592">
        <v>4050.0154233600001</v>
      </c>
      <c r="C54" s="592">
        <f t="shared" si="15"/>
        <v>1586.955005</v>
      </c>
      <c r="D54" s="592">
        <f t="shared" si="16"/>
        <v>39.183924975856513</v>
      </c>
      <c r="E54" s="592">
        <v>2334.94075436</v>
      </c>
      <c r="F54" s="592">
        <f>+E54/B54*100</f>
        <v>57.652638577432171</v>
      </c>
      <c r="G54" s="592">
        <v>1007.1</v>
      </c>
      <c r="H54" s="592">
        <f t="shared" si="17"/>
        <v>24.86657196886631</v>
      </c>
      <c r="I54" s="592">
        <v>105.2</v>
      </c>
      <c r="J54" s="592">
        <f>+I54/B54*100</f>
        <v>2.5975209722219601</v>
      </c>
      <c r="K54" s="592">
        <v>128.119664</v>
      </c>
      <c r="L54" s="592">
        <f>+K54/B54*100</f>
        <v>3.1634364467113198</v>
      </c>
      <c r="CD54" s="302"/>
    </row>
    <row r="55" spans="1:82" hidden="1">
      <c r="A55" s="586">
        <v>11</v>
      </c>
      <c r="B55" s="592">
        <v>4340.2819493500001</v>
      </c>
      <c r="C55" s="592">
        <f t="shared" si="15"/>
        <v>1725.6668069999998</v>
      </c>
      <c r="D55" s="592">
        <f t="shared" si="16"/>
        <v>39.759325019390396</v>
      </c>
      <c r="E55" s="592">
        <v>2486.4954783500002</v>
      </c>
      <c r="F55" s="592">
        <f>+E55/B55*100</f>
        <v>57.288800759185179</v>
      </c>
      <c r="G55" s="592">
        <v>1378.9939727899998</v>
      </c>
      <c r="H55" s="592">
        <f t="shared" si="17"/>
        <v>31.77199059606065</v>
      </c>
      <c r="I55" s="592">
        <v>204.01737525999999</v>
      </c>
      <c r="J55" s="592">
        <f>+I55/B55*100</f>
        <v>4.7005558081440677</v>
      </c>
      <c r="K55" s="592">
        <v>128.119664</v>
      </c>
      <c r="L55" s="592">
        <f>+K55/B55*100</f>
        <v>2.9518742214244211</v>
      </c>
      <c r="CC55" s="132">
        <v>1214</v>
      </c>
      <c r="CD55" s="302">
        <f t="shared" si="0"/>
        <v>1214</v>
      </c>
    </row>
    <row r="56" spans="1:82" hidden="1">
      <c r="A56" s="586">
        <v>12</v>
      </c>
      <c r="B56" s="592">
        <v>4681.7733614700001</v>
      </c>
      <c r="C56" s="592">
        <f t="shared" si="15"/>
        <v>1990.7013100000001</v>
      </c>
      <c r="D56" s="592">
        <f t="shared" si="16"/>
        <v>42.520240863922396</v>
      </c>
      <c r="E56" s="592">
        <v>2562.9523874699998</v>
      </c>
      <c r="F56" s="592">
        <f>+E56/B56*100</f>
        <v>54.743196425579967</v>
      </c>
      <c r="G56" s="592">
        <v>1437.6468533499997</v>
      </c>
      <c r="H56" s="592">
        <f t="shared" si="17"/>
        <v>30.707314138303399</v>
      </c>
      <c r="I56" s="592">
        <v>216.18870413999997</v>
      </c>
      <c r="J56" s="592">
        <f>+I56/B56*100</f>
        <v>4.6176670130849793</v>
      </c>
      <c r="K56" s="592">
        <v>128.119664</v>
      </c>
      <c r="L56" s="592">
        <f>+K56/B56*100</f>
        <v>2.7365627104976422</v>
      </c>
      <c r="CC56" s="132">
        <v>-745</v>
      </c>
      <c r="CD56" s="302">
        <f t="shared" si="0"/>
        <v>-745</v>
      </c>
    </row>
    <row r="57" spans="1:82">
      <c r="A57" s="586">
        <v>2008</v>
      </c>
      <c r="B57" s="592">
        <f>+B69</f>
        <v>7191.2507889600001</v>
      </c>
      <c r="C57" s="592">
        <f t="shared" ref="C57:L57" si="18">+C69</f>
        <v>3027.474385</v>
      </c>
      <c r="D57" s="592">
        <f t="shared" si="18"/>
        <v>42.099413215400233</v>
      </c>
      <c r="E57" s="592">
        <f t="shared" si="18"/>
        <v>3989.00492596</v>
      </c>
      <c r="F57" s="592">
        <f t="shared" si="18"/>
        <v>55.470251880019482</v>
      </c>
      <c r="G57" s="592">
        <f t="shared" si="18"/>
        <v>2024.8969254599995</v>
      </c>
      <c r="H57" s="592">
        <f t="shared" si="18"/>
        <v>28.157784853903561</v>
      </c>
      <c r="I57" s="592">
        <f t="shared" si="18"/>
        <v>379.85306704999988</v>
      </c>
      <c r="J57" s="592">
        <f t="shared" si="18"/>
        <v>5.2821557500560248</v>
      </c>
      <c r="K57" s="592">
        <f t="shared" si="18"/>
        <v>174.771478</v>
      </c>
      <c r="L57" s="592">
        <f t="shared" si="18"/>
        <v>2.4303349045802851</v>
      </c>
      <c r="CC57" s="132">
        <v>0</v>
      </c>
      <c r="CD57" s="302">
        <f>BY57+BZ57+CA57+CC57</f>
        <v>0</v>
      </c>
    </row>
    <row r="58" spans="1:82" hidden="1">
      <c r="A58" s="586">
        <v>1</v>
      </c>
      <c r="B58" s="592">
        <v>4758.2469343599996</v>
      </c>
      <c r="C58" s="592">
        <f t="shared" ref="C58:C63" si="19">B58-E58-K58</f>
        <v>1972.0993569999994</v>
      </c>
      <c r="D58" s="592">
        <f t="shared" ref="D58:D63" si="20">+C58/B58*100</f>
        <v>41.445922925083615</v>
      </c>
      <c r="E58" s="592">
        <v>2658.0279133600002</v>
      </c>
      <c r="F58" s="592">
        <f t="shared" ref="F58:F63" si="21">+E58/B58*100</f>
        <v>55.861495841377852</v>
      </c>
      <c r="G58" s="592">
        <v>1492.8645488499999</v>
      </c>
      <c r="H58" s="592">
        <f t="shared" ref="H58:H63" si="22">+G58/B58*100</f>
        <v>31.374255465175754</v>
      </c>
      <c r="I58" s="592">
        <v>223.15237831999997</v>
      </c>
      <c r="J58" s="592">
        <f t="shared" ref="J58:J63" si="23">+I58/B58*100</f>
        <v>4.6898023872738479</v>
      </c>
      <c r="K58" s="592">
        <v>128.119664</v>
      </c>
      <c r="L58" s="592">
        <f t="shared" ref="L58:L63" si="24">+K58/B58*100</f>
        <v>2.6925812335385348</v>
      </c>
      <c r="CC58" s="132">
        <v>15</v>
      </c>
      <c r="CD58" s="302">
        <f>BY58+BZ58+CA58+CC58</f>
        <v>15</v>
      </c>
    </row>
    <row r="59" spans="1:82" hidden="1">
      <c r="A59" s="586">
        <v>2</v>
      </c>
      <c r="B59" s="592">
        <v>4812.1859055799996</v>
      </c>
      <c r="C59" s="592">
        <f t="shared" si="19"/>
        <v>1877.7479169999995</v>
      </c>
      <c r="D59" s="592">
        <f t="shared" si="20"/>
        <v>39.020685273664206</v>
      </c>
      <c r="E59" s="592">
        <v>2806.3183245800001</v>
      </c>
      <c r="F59" s="592">
        <f t="shared" si="21"/>
        <v>58.31691417669289</v>
      </c>
      <c r="G59" s="592">
        <v>1592.4532963700003</v>
      </c>
      <c r="H59" s="592">
        <f t="shared" si="22"/>
        <v>33.092098427109008</v>
      </c>
      <c r="I59" s="592">
        <v>236.62017796999999</v>
      </c>
      <c r="J59" s="592">
        <f t="shared" si="23"/>
        <v>4.9171038403904053</v>
      </c>
      <c r="K59" s="592">
        <v>128.119664</v>
      </c>
      <c r="L59" s="592">
        <f t="shared" si="24"/>
        <v>2.6624005496428982</v>
      </c>
      <c r="CC59" s="132">
        <v>-372</v>
      </c>
      <c r="CD59" s="302">
        <f>BY59+BZ59+CA59+CC59</f>
        <v>-372</v>
      </c>
    </row>
    <row r="60" spans="1:82" hidden="1">
      <c r="A60" s="586">
        <v>3</v>
      </c>
      <c r="B60" s="592">
        <v>4932.1251997099998</v>
      </c>
      <c r="C60" s="592">
        <f t="shared" si="19"/>
        <v>1913.4481779999999</v>
      </c>
      <c r="D60" s="592">
        <f t="shared" si="20"/>
        <v>38.795612449426613</v>
      </c>
      <c r="E60" s="592">
        <v>2890.5573577099999</v>
      </c>
      <c r="F60" s="592">
        <f t="shared" si="21"/>
        <v>58.606731189223652</v>
      </c>
      <c r="G60" s="592">
        <v>1633.3342302700005</v>
      </c>
      <c r="H60" s="592">
        <f t="shared" si="22"/>
        <v>33.116236188936114</v>
      </c>
      <c r="I60" s="592">
        <v>254.07300056000003</v>
      </c>
      <c r="J60" s="592">
        <f t="shared" si="23"/>
        <v>5.1513899236568257</v>
      </c>
      <c r="K60" s="592">
        <v>128.119664</v>
      </c>
      <c r="L60" s="592">
        <f t="shared" si="24"/>
        <v>2.5976563613497325</v>
      </c>
      <c r="CC60" s="132">
        <v>-231</v>
      </c>
      <c r="CD60" s="302">
        <f>BY60+BZ60+CA60+CC60</f>
        <v>-231</v>
      </c>
    </row>
    <row r="61" spans="1:82" hidden="1">
      <c r="A61" s="586">
        <v>4</v>
      </c>
      <c r="B61" s="592">
        <v>5216.6671280999999</v>
      </c>
      <c r="C61" s="592">
        <f t="shared" si="19"/>
        <v>2009.985913</v>
      </c>
      <c r="D61" s="592">
        <f t="shared" si="20"/>
        <v>38.530077991234066</v>
      </c>
      <c r="E61" s="592">
        <v>3065.5506700999999</v>
      </c>
      <c r="F61" s="592">
        <f t="shared" si="21"/>
        <v>58.764544388641617</v>
      </c>
      <c r="G61" s="592">
        <v>1669.1739465999999</v>
      </c>
      <c r="H61" s="592">
        <f t="shared" si="22"/>
        <v>31.996941833011721</v>
      </c>
      <c r="I61" s="592">
        <v>265.96987057000001</v>
      </c>
      <c r="J61" s="592">
        <f t="shared" si="23"/>
        <v>5.0984635216100287</v>
      </c>
      <c r="K61" s="592">
        <v>141.13054500000001</v>
      </c>
      <c r="L61" s="592">
        <f t="shared" si="24"/>
        <v>2.70537762012433</v>
      </c>
      <c r="CD61" s="302"/>
    </row>
    <row r="62" spans="1:82" hidden="1">
      <c r="A62" s="586">
        <v>5</v>
      </c>
      <c r="B62" s="592">
        <v>6063.9725886699998</v>
      </c>
      <c r="C62" s="592">
        <f t="shared" si="19"/>
        <v>2737.0322305899999</v>
      </c>
      <c r="D62" s="592">
        <f t="shared" si="20"/>
        <v>45.135959811294398</v>
      </c>
      <c r="E62" s="592">
        <v>3185.8098130799999</v>
      </c>
      <c r="F62" s="592">
        <f t="shared" si="21"/>
        <v>52.536678992124827</v>
      </c>
      <c r="G62" s="592">
        <v>1758.1016934100001</v>
      </c>
      <c r="H62" s="592">
        <f t="shared" si="22"/>
        <v>28.992573229880009</v>
      </c>
      <c r="I62" s="592">
        <v>275.01883701999998</v>
      </c>
      <c r="J62" s="592">
        <f t="shared" si="23"/>
        <v>4.5352915600879946</v>
      </c>
      <c r="K62" s="592">
        <v>141.13054500000001</v>
      </c>
      <c r="L62" s="592">
        <f t="shared" si="24"/>
        <v>2.3273611965807701</v>
      </c>
      <c r="CC62" s="132">
        <f>CC8+CC46-CC48+CC59-CC60</f>
        <v>0</v>
      </c>
      <c r="CD62" s="302">
        <f>BY62+BZ62+CA62+CC62</f>
        <v>0</v>
      </c>
    </row>
    <row r="63" spans="1:82" hidden="1">
      <c r="A63" s="586">
        <v>6</v>
      </c>
      <c r="B63" s="592">
        <v>6166.4525450000001</v>
      </c>
      <c r="C63" s="592">
        <f t="shared" si="19"/>
        <v>2753.279</v>
      </c>
      <c r="D63" s="592">
        <f t="shared" si="20"/>
        <v>44.649317900491518</v>
      </c>
      <c r="E63" s="592">
        <v>3272.0430000000001</v>
      </c>
      <c r="F63" s="592">
        <f t="shared" si="21"/>
        <v>53.061999198438656</v>
      </c>
      <c r="G63" s="592">
        <v>1850.2293975799996</v>
      </c>
      <c r="H63" s="592">
        <f t="shared" si="22"/>
        <v>30.004761799070966</v>
      </c>
      <c r="I63" s="592">
        <v>289.80153050999996</v>
      </c>
      <c r="J63" s="592">
        <f t="shared" si="23"/>
        <v>4.6996474617319857</v>
      </c>
      <c r="K63" s="592">
        <v>141.13054500000001</v>
      </c>
      <c r="L63" s="592">
        <f t="shared" si="24"/>
        <v>2.2886829010698242</v>
      </c>
    </row>
    <row r="64" spans="1:82" hidden="1">
      <c r="A64" s="586">
        <v>7</v>
      </c>
      <c r="B64" s="592">
        <v>6361.5450000000001</v>
      </c>
      <c r="C64" s="592">
        <v>2814.5376980000001</v>
      </c>
      <c r="D64" s="592">
        <v>44.242989682537811</v>
      </c>
      <c r="E64" s="592">
        <v>3387.2350000000001</v>
      </c>
      <c r="F64" s="592">
        <v>53.245477317224044</v>
      </c>
      <c r="G64" s="592">
        <v>1917.63004583</v>
      </c>
      <c r="H64" s="592">
        <v>30.14409307534569</v>
      </c>
      <c r="I64" s="592">
        <v>303.74657095999999</v>
      </c>
      <c r="J64" s="592">
        <v>4.7747295815717719</v>
      </c>
      <c r="K64" s="592">
        <v>159.772302</v>
      </c>
      <c r="L64" s="592">
        <v>2.5115330002381495</v>
      </c>
    </row>
    <row r="65" spans="1:12" hidden="1">
      <c r="A65" s="586">
        <v>8</v>
      </c>
      <c r="B65" s="592">
        <v>6455.0339999999997</v>
      </c>
      <c r="C65" s="592">
        <v>2800.6146979999999</v>
      </c>
      <c r="D65" s="592">
        <v>43.386521248377626</v>
      </c>
      <c r="E65" s="592">
        <v>3494.6469999999999</v>
      </c>
      <c r="F65" s="592">
        <v>54.13832057274989</v>
      </c>
      <c r="G65" s="592">
        <v>1980.3201329000001</v>
      </c>
      <c r="H65" s="592">
        <v>30.67869406884612</v>
      </c>
      <c r="I65" s="592">
        <v>315.55080291000002</v>
      </c>
      <c r="J65" s="592">
        <v>4.8884452492426842</v>
      </c>
      <c r="K65" s="592">
        <v>159.772302</v>
      </c>
      <c r="L65" s="592">
        <v>2.4751581788724892</v>
      </c>
    </row>
    <row r="66" spans="1:12" hidden="1">
      <c r="A66" s="586">
        <v>9</v>
      </c>
      <c r="B66" s="592">
        <v>6604.7275165600004</v>
      </c>
      <c r="C66" s="592">
        <v>2911.8742145600004</v>
      </c>
      <c r="D66" s="592">
        <v>44.08772666637757</v>
      </c>
      <c r="E66" s="592">
        <v>3533.0810000000001</v>
      </c>
      <c r="F66" s="592">
        <v>53.493213628291613</v>
      </c>
      <c r="G66" s="592">
        <v>1962.0086306799997</v>
      </c>
      <c r="H66" s="592">
        <v>29.706125283150065</v>
      </c>
      <c r="I66" s="592">
        <v>321.01343580999992</v>
      </c>
      <c r="J66" s="592">
        <v>4.8603585084339134</v>
      </c>
      <c r="K66" s="592">
        <v>159.772302</v>
      </c>
      <c r="L66" s="592">
        <v>2.4190597053308212</v>
      </c>
    </row>
    <row r="67" spans="1:12" hidden="1">
      <c r="A67" s="586">
        <v>10</v>
      </c>
      <c r="B67" s="592">
        <v>6697.4756245500002</v>
      </c>
      <c r="C67" s="592">
        <v>3002.065427</v>
      </c>
      <c r="D67" s="592">
        <v>44.823835058029154</v>
      </c>
      <c r="E67" s="592">
        <v>3520.6387195500001</v>
      </c>
      <c r="F67" s="592">
        <v>52.566652227070257</v>
      </c>
      <c r="G67" s="592">
        <v>1969.2729570399999</v>
      </c>
      <c r="H67" s="592">
        <v>29.403212007543729</v>
      </c>
      <c r="I67" s="592">
        <v>319.82520846</v>
      </c>
      <c r="J67" s="592">
        <v>4.775309779219822</v>
      </c>
      <c r="K67" s="592">
        <v>174.771478</v>
      </c>
      <c r="L67" s="592">
        <v>2.6095127149005908</v>
      </c>
    </row>
    <row r="68" spans="1:12" hidden="1">
      <c r="A68" s="586">
        <v>11</v>
      </c>
      <c r="B68" s="592">
        <v>6855.4556472699996</v>
      </c>
      <c r="C68" s="592">
        <v>2992.5602489999997</v>
      </c>
      <c r="D68" s="592">
        <v>43.65224432881724</v>
      </c>
      <c r="E68" s="592">
        <v>3688.1239202699999</v>
      </c>
      <c r="F68" s="592">
        <v>53.798377672222209</v>
      </c>
      <c r="G68" s="592">
        <v>1916.6272908800004</v>
      </c>
      <c r="H68" s="592">
        <v>27.957693689452217</v>
      </c>
      <c r="I68" s="592">
        <v>297.69103208000001</v>
      </c>
      <c r="J68" s="592">
        <v>4.342396003955586</v>
      </c>
      <c r="K68" s="592">
        <v>174.771478</v>
      </c>
      <c r="L68" s="592">
        <v>2.549377998960551</v>
      </c>
    </row>
    <row r="69" spans="1:12" hidden="1">
      <c r="A69" s="586">
        <v>12</v>
      </c>
      <c r="B69" s="592">
        <v>7191.2507889600001</v>
      </c>
      <c r="C69" s="592">
        <v>3027.474385</v>
      </c>
      <c r="D69" s="592">
        <v>42.099413215400233</v>
      </c>
      <c r="E69" s="592">
        <v>3989.00492596</v>
      </c>
      <c r="F69" s="592">
        <v>55.470251880019482</v>
      </c>
      <c r="G69" s="592">
        <v>2024.8969254599995</v>
      </c>
      <c r="H69" s="592">
        <v>28.157784853903561</v>
      </c>
      <c r="I69" s="593">
        <v>379.85306704999988</v>
      </c>
      <c r="J69" s="592">
        <v>5.2821557500560248</v>
      </c>
      <c r="K69" s="592">
        <v>174.771478</v>
      </c>
      <c r="L69" s="592">
        <v>2.4303349045802851</v>
      </c>
    </row>
    <row r="70" spans="1:12">
      <c r="A70" s="586">
        <v>2009</v>
      </c>
      <c r="B70" s="592">
        <f>+B82</f>
        <v>8407.4600296200006</v>
      </c>
      <c r="C70" s="592">
        <f t="shared" ref="C70:L70" si="25">+C82</f>
        <v>3911.7177701200003</v>
      </c>
      <c r="D70" s="592">
        <f t="shared" si="25"/>
        <v>46.526748344194054</v>
      </c>
      <c r="E70" s="592">
        <f t="shared" si="25"/>
        <v>4318.7270232000001</v>
      </c>
      <c r="F70" s="592">
        <f t="shared" si="25"/>
        <v>51.367797265581494</v>
      </c>
      <c r="G70" s="592">
        <f t="shared" si="25"/>
        <v>2074.3875668399996</v>
      </c>
      <c r="H70" s="592">
        <f t="shared" si="25"/>
        <v>24.673177862657738</v>
      </c>
      <c r="I70" s="592">
        <f t="shared" si="25"/>
        <v>386.61387504000004</v>
      </c>
      <c r="J70" s="592">
        <f t="shared" si="25"/>
        <v>4.5984622427931328</v>
      </c>
      <c r="K70" s="592">
        <f t="shared" si="25"/>
        <v>177.0152363</v>
      </c>
      <c r="L70" s="592">
        <f t="shared" si="25"/>
        <v>2.1054543902244482</v>
      </c>
    </row>
    <row r="71" spans="1:12" hidden="1">
      <c r="A71" s="586">
        <v>1</v>
      </c>
      <c r="B71" s="594">
        <v>7201.2873153199998</v>
      </c>
      <c r="C71" s="594">
        <v>3114.287617</v>
      </c>
      <c r="D71" s="594">
        <v>43.246262517184569</v>
      </c>
      <c r="E71" s="594">
        <v>3903.4864493199998</v>
      </c>
      <c r="F71" s="594">
        <v>54.205397985103765</v>
      </c>
      <c r="G71" s="594">
        <v>1975.7098319500003</v>
      </c>
      <c r="H71" s="594">
        <v>27.435509033876208</v>
      </c>
      <c r="I71" s="594">
        <v>379.91163437</v>
      </c>
      <c r="J71" s="594">
        <v>5.2756072315261884</v>
      </c>
      <c r="K71" s="594">
        <v>183.513249</v>
      </c>
      <c r="L71" s="594">
        <v>2.5483394977116718</v>
      </c>
    </row>
    <row r="72" spans="1:12" hidden="1">
      <c r="A72" s="586">
        <v>2</v>
      </c>
      <c r="B72" s="594">
        <v>6692.53476133</v>
      </c>
      <c r="C72" s="594">
        <v>2853.8074430000001</v>
      </c>
      <c r="D72" s="594">
        <v>42.64165289793528</v>
      </c>
      <c r="E72" s="594">
        <v>3655.2140693299998</v>
      </c>
      <c r="F72" s="594">
        <v>54.616288143172874</v>
      </c>
      <c r="G72" s="594">
        <v>2240.43658306</v>
      </c>
      <c r="H72" s="594">
        <v>33.476652164818347</v>
      </c>
      <c r="I72" s="594">
        <v>320.13812243000007</v>
      </c>
      <c r="J72" s="594">
        <v>4.7835107899593394</v>
      </c>
      <c r="K72" s="594">
        <v>183.513249</v>
      </c>
      <c r="L72" s="594">
        <v>2.7420589588918416</v>
      </c>
    </row>
    <row r="73" spans="1:12" hidden="1">
      <c r="A73" s="586">
        <v>3</v>
      </c>
      <c r="B73" s="594">
        <v>6221.28788678</v>
      </c>
      <c r="C73" s="594">
        <v>2376.5896779999998</v>
      </c>
      <c r="D73" s="594">
        <v>38.200927545085356</v>
      </c>
      <c r="E73" s="594">
        <v>3661.1849597800001</v>
      </c>
      <c r="F73" s="594">
        <v>58.849309442179631</v>
      </c>
      <c r="G73" s="594">
        <v>1923.1968078399998</v>
      </c>
      <c r="H73" s="594">
        <v>30.913162078975958</v>
      </c>
      <c r="I73" s="594">
        <v>330.51504509999995</v>
      </c>
      <c r="J73" s="594">
        <v>5.3126466917297277</v>
      </c>
      <c r="K73" s="594">
        <v>183.513249</v>
      </c>
      <c r="L73" s="594">
        <v>2.9497630127350107</v>
      </c>
    </row>
    <row r="74" spans="1:12" hidden="1">
      <c r="A74" s="586">
        <v>4</v>
      </c>
      <c r="B74" s="594">
        <v>6278.4440000000004</v>
      </c>
      <c r="C74" s="594">
        <v>2417.9910000000004</v>
      </c>
      <c r="D74" s="594">
        <v>38.51258369111838</v>
      </c>
      <c r="E74" s="594">
        <v>3684.3829999999998</v>
      </c>
      <c r="F74" s="594">
        <v>58.683059050936812</v>
      </c>
      <c r="G74" s="594">
        <v>1922.95866363</v>
      </c>
      <c r="H74" s="594">
        <v>30.627949594358089</v>
      </c>
      <c r="I74" s="594">
        <v>336.64509047000001</v>
      </c>
      <c r="J74" s="594">
        <v>5.3619191390414569</v>
      </c>
      <c r="K74" s="594">
        <v>176.07</v>
      </c>
      <c r="L74" s="594">
        <v>2.8043572579448028</v>
      </c>
    </row>
    <row r="75" spans="1:12" hidden="1">
      <c r="A75" s="586">
        <v>5</v>
      </c>
      <c r="B75" s="594">
        <v>6355.9960000000001</v>
      </c>
      <c r="C75" s="594">
        <v>2480.319</v>
      </c>
      <c r="D75" s="594">
        <v>39.023293910191256</v>
      </c>
      <c r="E75" s="594">
        <v>3699.607</v>
      </c>
      <c r="F75" s="594">
        <v>58.206565894629257</v>
      </c>
      <c r="G75" s="594">
        <v>1761</v>
      </c>
      <c r="H75" s="594">
        <v>27.706121904419074</v>
      </c>
      <c r="I75" s="594">
        <v>343.98</v>
      </c>
      <c r="J75" s="594">
        <v>5.4118976789790301</v>
      </c>
      <c r="K75" s="594">
        <v>176.07</v>
      </c>
      <c r="L75" s="594">
        <v>2.7701401951794806</v>
      </c>
    </row>
    <row r="76" spans="1:12" hidden="1">
      <c r="A76" s="586">
        <v>6</v>
      </c>
      <c r="B76" s="594">
        <v>6463.7888553100001</v>
      </c>
      <c r="C76" s="594">
        <v>2555.3876580000001</v>
      </c>
      <c r="D76" s="594">
        <v>39.533897458620579</v>
      </c>
      <c r="E76" s="594">
        <v>3732.3311973099999</v>
      </c>
      <c r="F76" s="594">
        <v>57.742158366511177</v>
      </c>
      <c r="G76" s="594">
        <v>1944.5124883200003</v>
      </c>
      <c r="H76" s="594">
        <v>30.083168430271112</v>
      </c>
      <c r="I76" s="594">
        <v>344.19363715000003</v>
      </c>
      <c r="J76" s="594">
        <v>5.3249517404524296</v>
      </c>
      <c r="K76" s="594">
        <v>176.07</v>
      </c>
      <c r="L76" s="594">
        <v>2.7239441748682518</v>
      </c>
    </row>
    <row r="77" spans="1:12" s="134" customFormat="1" hidden="1">
      <c r="A77" s="620">
        <v>7</v>
      </c>
      <c r="B77" s="10">
        <v>7229.1999974600003</v>
      </c>
      <c r="C77" s="10">
        <v>3298.7781050000003</v>
      </c>
      <c r="D77" s="10">
        <v>45.631302303976028</v>
      </c>
      <c r="E77" s="10">
        <v>3748.4564864600002</v>
      </c>
      <c r="F77" s="10">
        <v>51.851608584311279</v>
      </c>
      <c r="G77" s="10">
        <v>1974.68411664</v>
      </c>
      <c r="H77" s="10">
        <v>27.315389217808484</v>
      </c>
      <c r="I77" s="10">
        <v>350.69858863000002</v>
      </c>
      <c r="J77" s="10">
        <v>4.8511396662593231</v>
      </c>
      <c r="K77" s="10">
        <v>181.965406</v>
      </c>
      <c r="L77" s="10">
        <v>2.5170891117126937</v>
      </c>
    </row>
    <row r="78" spans="1:12" s="134" customFormat="1" hidden="1">
      <c r="A78" s="620">
        <v>8</v>
      </c>
      <c r="B78" s="10">
        <v>7629.8486843800001</v>
      </c>
      <c r="C78" s="10">
        <v>3632.7418500000003</v>
      </c>
      <c r="D78" s="10">
        <v>47.612239773994894</v>
      </c>
      <c r="E78" s="10">
        <v>3815.14142838</v>
      </c>
      <c r="F78" s="10">
        <v>50.002845222742678</v>
      </c>
      <c r="G78" s="10">
        <v>1995.2462021099998</v>
      </c>
      <c r="H78" s="10">
        <v>26.150534363737947</v>
      </c>
      <c r="I78" s="10">
        <v>347.78257830000007</v>
      </c>
      <c r="J78" s="10">
        <v>4.5581844763447075</v>
      </c>
      <c r="K78" s="10">
        <v>181.965406</v>
      </c>
      <c r="L78" s="10">
        <v>2.3849150032624333</v>
      </c>
    </row>
    <row r="79" spans="1:12" hidden="1">
      <c r="A79" s="620">
        <v>9</v>
      </c>
      <c r="B79" s="594">
        <v>7780.8130340600001</v>
      </c>
      <c r="C79" s="594">
        <v>3705.1037720000004</v>
      </c>
      <c r="D79" s="594">
        <v>47.618465522576507</v>
      </c>
      <c r="E79" s="594">
        <v>3893.7438560599999</v>
      </c>
      <c r="F79" s="594">
        <v>50.042891906223566</v>
      </c>
      <c r="G79" s="594">
        <v>2033.4195323100002</v>
      </c>
      <c r="H79" s="594">
        <v>26.133766785152645</v>
      </c>
      <c r="I79" s="594">
        <v>363.15107768000001</v>
      </c>
      <c r="J79" s="594">
        <v>4.6672638976200806</v>
      </c>
      <c r="K79" s="594">
        <v>181.965406</v>
      </c>
      <c r="L79" s="594">
        <v>2.3386425711999292</v>
      </c>
    </row>
    <row r="80" spans="1:12" hidden="1">
      <c r="A80" s="620">
        <v>10</v>
      </c>
      <c r="B80" s="594">
        <v>7963.7234947999996</v>
      </c>
      <c r="C80" s="594">
        <v>3764.8502552699993</v>
      </c>
      <c r="D80" s="594">
        <v>47.274999662259738</v>
      </c>
      <c r="E80" s="594">
        <v>4021.8580032300001</v>
      </c>
      <c r="F80" s="594">
        <v>50.502230594220357</v>
      </c>
      <c r="G80" s="594">
        <v>2040.1047268399998</v>
      </c>
      <c r="H80" s="594">
        <v>25.61747313517488</v>
      </c>
      <c r="I80" s="594">
        <v>372.88692522999997</v>
      </c>
      <c r="J80" s="594">
        <v>4.6823188358244803</v>
      </c>
      <c r="K80" s="594">
        <v>177.0152363</v>
      </c>
      <c r="L80" s="594">
        <v>2.2227697435199003</v>
      </c>
    </row>
    <row r="81" spans="1:13" hidden="1">
      <c r="A81" s="586">
        <v>11</v>
      </c>
      <c r="B81" s="594">
        <v>8064.5616917299994</v>
      </c>
      <c r="C81" s="594">
        <v>3827.6810721999991</v>
      </c>
      <c r="D81" s="594">
        <v>47.462977140161101</v>
      </c>
      <c r="E81" s="594">
        <v>4059.8653832300001</v>
      </c>
      <c r="F81" s="594">
        <v>50.342046330841363</v>
      </c>
      <c r="G81" s="594">
        <v>2049.49533006</v>
      </c>
      <c r="H81" s="594">
        <v>25.413598511642672</v>
      </c>
      <c r="I81" s="594">
        <v>374.59343258000001</v>
      </c>
      <c r="J81" s="594">
        <v>4.6449323211717246</v>
      </c>
      <c r="K81" s="594">
        <v>177.0152363</v>
      </c>
      <c r="L81" s="594">
        <v>2.1949765289975347</v>
      </c>
      <c r="M81" s="135"/>
    </row>
    <row r="82" spans="1:13" hidden="1">
      <c r="A82" s="586">
        <v>12</v>
      </c>
      <c r="B82" s="594">
        <v>8407.4600296200006</v>
      </c>
      <c r="C82" s="594">
        <v>3911.7177701200003</v>
      </c>
      <c r="D82" s="594">
        <v>46.526748344194054</v>
      </c>
      <c r="E82" s="594">
        <v>4318.7270232000001</v>
      </c>
      <c r="F82" s="594">
        <v>51.367797265581494</v>
      </c>
      <c r="G82" s="594">
        <v>2074.3875668399996</v>
      </c>
      <c r="H82" s="594">
        <v>24.673177862657738</v>
      </c>
      <c r="I82" s="594">
        <v>386.61387504000004</v>
      </c>
      <c r="J82" s="594">
        <v>4.5984622427931328</v>
      </c>
      <c r="K82" s="594">
        <v>177.0152363</v>
      </c>
      <c r="L82" s="594">
        <v>2.1054543902244482</v>
      </c>
      <c r="M82" s="135"/>
    </row>
    <row r="83" spans="1:13">
      <c r="A83" s="620">
        <v>2010</v>
      </c>
      <c r="B83" s="268">
        <v>9163.3597792399996</v>
      </c>
      <c r="C83" s="268">
        <v>3901.8549706899998</v>
      </c>
      <c r="D83" s="268">
        <v>42.58105176149283</v>
      </c>
      <c r="E83" s="268">
        <v>5069.9200005499997</v>
      </c>
      <c r="F83" s="268">
        <v>55.328177903001574</v>
      </c>
      <c r="G83" s="268">
        <v>2306.2661630700004</v>
      </c>
      <c r="H83" s="268">
        <v>25.168346748699634</v>
      </c>
      <c r="I83" s="268">
        <v>464.18420510999999</v>
      </c>
      <c r="J83" s="268">
        <v>5.0656551340658922</v>
      </c>
      <c r="K83" s="268">
        <v>191.58480800000001</v>
      </c>
      <c r="L83" s="268">
        <v>2.0907703355055851</v>
      </c>
      <c r="M83" s="135"/>
    </row>
    <row r="84" spans="1:13" hidden="1">
      <c r="A84" s="620">
        <v>1</v>
      </c>
      <c r="B84" s="268">
        <v>8431.1754328499992</v>
      </c>
      <c r="C84" s="268">
        <f t="shared" ref="C84:C90" si="26">B84-E84-K84</f>
        <v>3922.7993215999986</v>
      </c>
      <c r="D84" s="268">
        <f t="shared" ref="D84:D90" si="27">+C84/B84*100</f>
        <v>46.527312269126519</v>
      </c>
      <c r="E84" s="268">
        <v>4325.2067969500004</v>
      </c>
      <c r="F84" s="268">
        <f t="shared" ref="F84:F90" si="28">+E84/B84*100</f>
        <v>51.300163677034838</v>
      </c>
      <c r="G84" s="268">
        <v>2062.9233414799992</v>
      </c>
      <c r="H84" s="268">
        <f t="shared" ref="H84:H90" si="29">+G84/B84*100</f>
        <v>24.467802359352248</v>
      </c>
      <c r="I84" s="268">
        <v>396.53906537</v>
      </c>
      <c r="J84" s="268">
        <f t="shared" ref="J84:J90" si="30">+I84/B84*100</f>
        <v>4.7032477087949465</v>
      </c>
      <c r="K84" s="268">
        <v>183.1693143</v>
      </c>
      <c r="L84" s="268">
        <f t="shared" ref="L84:L90" si="31">+K84/B84*100</f>
        <v>2.1725240538386363</v>
      </c>
      <c r="M84" s="135"/>
    </row>
    <row r="85" spans="1:13" hidden="1">
      <c r="A85" s="620">
        <v>2</v>
      </c>
      <c r="B85" s="268">
        <v>8343.4665381899995</v>
      </c>
      <c r="C85" s="268">
        <f t="shared" si="26"/>
        <v>3941.7516635499996</v>
      </c>
      <c r="D85" s="268">
        <f t="shared" si="27"/>
        <v>47.243572506795338</v>
      </c>
      <c r="E85" s="268">
        <v>4218.5455603399996</v>
      </c>
      <c r="F85" s="268">
        <f t="shared" si="28"/>
        <v>50.561065248248184</v>
      </c>
      <c r="G85" s="268">
        <v>2066.6041981100002</v>
      </c>
      <c r="H85" s="268">
        <f t="shared" si="29"/>
        <v>24.769131495292381</v>
      </c>
      <c r="I85" s="268">
        <v>408.73403958</v>
      </c>
      <c r="J85" s="268">
        <f t="shared" si="30"/>
        <v>4.8988515470054157</v>
      </c>
      <c r="K85" s="268">
        <v>183.1693143</v>
      </c>
      <c r="L85" s="268">
        <f t="shared" si="31"/>
        <v>2.1953622449564718</v>
      </c>
      <c r="M85" s="135"/>
    </row>
    <row r="86" spans="1:13" hidden="1">
      <c r="A86" s="620">
        <v>3</v>
      </c>
      <c r="B86" s="268">
        <v>8485.212513729999</v>
      </c>
      <c r="C86" s="268">
        <f t="shared" si="26"/>
        <v>3923.3854515899984</v>
      </c>
      <c r="D86" s="268">
        <f t="shared" si="27"/>
        <v>46.237916201173903</v>
      </c>
      <c r="E86" s="268">
        <v>4378.6577478400004</v>
      </c>
      <c r="F86" s="268">
        <f t="shared" si="28"/>
        <v>51.603395209664512</v>
      </c>
      <c r="G86" s="268">
        <v>2088.6953865800001</v>
      </c>
      <c r="H86" s="268">
        <f t="shared" si="29"/>
        <v>24.615710958332077</v>
      </c>
      <c r="I86" s="268">
        <v>412.84957095000004</v>
      </c>
      <c r="J86" s="268">
        <f t="shared" si="30"/>
        <v>4.8655183388979877</v>
      </c>
      <c r="K86" s="268">
        <v>183.1693143</v>
      </c>
      <c r="L86" s="268">
        <f t="shared" si="31"/>
        <v>2.1586885891615806</v>
      </c>
      <c r="M86" s="135"/>
    </row>
    <row r="87" spans="1:13" hidden="1">
      <c r="A87" s="620">
        <v>4</v>
      </c>
      <c r="B87" s="268">
        <v>8605.4584439699993</v>
      </c>
      <c r="C87" s="268">
        <f t="shared" si="26"/>
        <v>3981.9968266699989</v>
      </c>
      <c r="D87" s="268">
        <f t="shared" si="27"/>
        <v>46.272919131464242</v>
      </c>
      <c r="E87" s="268">
        <v>4441.0331763000004</v>
      </c>
      <c r="F87" s="268">
        <f t="shared" si="28"/>
        <v>51.607165442904588</v>
      </c>
      <c r="G87" s="268">
        <v>2117.4881898199997</v>
      </c>
      <c r="H87" s="268">
        <f t="shared" si="29"/>
        <v>24.606337984279758</v>
      </c>
      <c r="I87" s="268">
        <v>419.37165761000006</v>
      </c>
      <c r="J87" s="268">
        <f t="shared" si="30"/>
        <v>4.873321512625064</v>
      </c>
      <c r="K87" s="268">
        <v>182.42844099999999</v>
      </c>
      <c r="L87" s="268">
        <f t="shared" si="31"/>
        <v>2.1199154256311692</v>
      </c>
      <c r="M87" s="135"/>
    </row>
    <row r="88" spans="1:13" hidden="1">
      <c r="A88" s="620">
        <v>5</v>
      </c>
      <c r="B88" s="268">
        <v>8733.4896446999992</v>
      </c>
      <c r="C88" s="268">
        <f t="shared" si="26"/>
        <v>4017.4354755199993</v>
      </c>
      <c r="D88" s="268">
        <f t="shared" si="27"/>
        <v>46.000346241413567</v>
      </c>
      <c r="E88" s="268">
        <v>4533.6257281799999</v>
      </c>
      <c r="F88" s="268">
        <f t="shared" si="28"/>
        <v>51.910815866499291</v>
      </c>
      <c r="G88" s="268">
        <v>2154.1776642899999</v>
      </c>
      <c r="H88" s="268">
        <f t="shared" si="29"/>
        <v>24.665714988249661</v>
      </c>
      <c r="I88" s="268">
        <v>435.28048030000002</v>
      </c>
      <c r="J88" s="268">
        <f t="shared" si="30"/>
        <v>4.9840384314665576</v>
      </c>
      <c r="K88" s="268">
        <v>182.42844099999999</v>
      </c>
      <c r="L88" s="268">
        <f t="shared" si="31"/>
        <v>2.0888378920871387</v>
      </c>
      <c r="M88" s="135"/>
    </row>
    <row r="89" spans="1:13" hidden="1">
      <c r="A89" s="620">
        <v>6</v>
      </c>
      <c r="B89" s="268">
        <v>8840.6992274799995</v>
      </c>
      <c r="C89" s="268">
        <f>B89-E89-K89</f>
        <v>4046.3802557799991</v>
      </c>
      <c r="D89" s="268">
        <f>+C89/B89*100</f>
        <v>45.769911990698965</v>
      </c>
      <c r="E89" s="268">
        <v>4611.8905307000005</v>
      </c>
      <c r="F89" s="268">
        <f>+E89/B89*100</f>
        <v>52.166581081783939</v>
      </c>
      <c r="G89" s="268">
        <v>2184.2852916700003</v>
      </c>
      <c r="H89" s="268">
        <f>+G89/B89*100</f>
        <v>24.707155344460471</v>
      </c>
      <c r="I89" s="268">
        <v>450.86469476000002</v>
      </c>
      <c r="J89" s="268">
        <f>+I89/B89*100</f>
        <v>5.0998759618306453</v>
      </c>
      <c r="K89" s="268">
        <v>182.42844099999999</v>
      </c>
      <c r="L89" s="268">
        <f>+K89/B89*100</f>
        <v>2.0635069275170936</v>
      </c>
      <c r="M89" s="135"/>
    </row>
    <row r="90" spans="1:13" hidden="1">
      <c r="A90" s="620">
        <v>7</v>
      </c>
      <c r="B90" s="268">
        <v>8656.2160000000003</v>
      </c>
      <c r="C90" s="268">
        <f t="shared" si="26"/>
        <v>3829.3103980000001</v>
      </c>
      <c r="D90" s="268">
        <f t="shared" si="27"/>
        <v>44.237694600042325</v>
      </c>
      <c r="E90" s="268">
        <v>4644.7159000000001</v>
      </c>
      <c r="F90" s="268">
        <f t="shared" si="28"/>
        <v>53.657578553954757</v>
      </c>
      <c r="G90" s="268">
        <v>2185.7800000000002</v>
      </c>
      <c r="H90" s="268">
        <f t="shared" si="29"/>
        <v>25.250987267415692</v>
      </c>
      <c r="I90" s="268">
        <v>453.95</v>
      </c>
      <c r="J90" s="268">
        <f t="shared" si="30"/>
        <v>5.2442083238218631</v>
      </c>
      <c r="K90" s="268">
        <v>182.18970200000001</v>
      </c>
      <c r="L90" s="268">
        <f t="shared" si="31"/>
        <v>2.1047268460029187</v>
      </c>
      <c r="M90" s="135"/>
    </row>
    <row r="91" spans="1:13" hidden="1">
      <c r="A91" s="620">
        <v>8</v>
      </c>
      <c r="B91" s="268">
        <v>8788.5652860400005</v>
      </c>
      <c r="C91" s="268">
        <f>B91-E91-K91</f>
        <v>3865.75118729</v>
      </c>
      <c r="D91" s="268">
        <f>+C91/B91*100</f>
        <v>43.986146333013714</v>
      </c>
      <c r="E91" s="268">
        <v>4740.6243967500004</v>
      </c>
      <c r="F91" s="268">
        <f>+E91/B91*100</f>
        <v>53.940822448917103</v>
      </c>
      <c r="G91" s="268">
        <v>2184.6271212900001</v>
      </c>
      <c r="H91" s="268">
        <f>+G91/B91*100</f>
        <v>24.857608155453111</v>
      </c>
      <c r="I91" s="268">
        <v>462.64373374000002</v>
      </c>
      <c r="J91" s="268">
        <f>+I91/B91*100</f>
        <v>5.2641553960448597</v>
      </c>
      <c r="K91" s="268">
        <v>182.18970200000001</v>
      </c>
      <c r="L91" s="268">
        <f>+K91/B91*100</f>
        <v>2.0730312180691786</v>
      </c>
      <c r="M91" s="135"/>
    </row>
    <row r="92" spans="1:13" hidden="1">
      <c r="A92" s="620">
        <v>9</v>
      </c>
      <c r="B92" s="268">
        <v>8936.6295108199993</v>
      </c>
      <c r="C92" s="268">
        <f>B92-E92-K92</f>
        <v>3930.8678217599995</v>
      </c>
      <c r="D92" s="268">
        <f>+C92/B92*100</f>
        <v>43.986021989618258</v>
      </c>
      <c r="E92" s="268">
        <v>4823.5719870599996</v>
      </c>
      <c r="F92" s="268">
        <f>+E92/B92*100</f>
        <v>53.975293271583801</v>
      </c>
      <c r="G92" s="268">
        <v>2219.3488730699996</v>
      </c>
      <c r="H92" s="268">
        <f>+G92/B92*100</f>
        <v>24.83429429834737</v>
      </c>
      <c r="I92" s="268">
        <v>470.52469735</v>
      </c>
      <c r="J92" s="268">
        <f>+I92/B92*100</f>
        <v>5.265124807740027</v>
      </c>
      <c r="K92" s="268">
        <v>182.18970200000001</v>
      </c>
      <c r="L92" s="268">
        <f>+K92/B92*100</f>
        <v>2.0386847387979365</v>
      </c>
      <c r="M92" s="135"/>
    </row>
    <row r="93" spans="1:13" hidden="1">
      <c r="A93" s="620">
        <v>10</v>
      </c>
      <c r="B93" s="268">
        <v>9065.2348196599996</v>
      </c>
      <c r="C93" s="268">
        <f>B93-E93-K93</f>
        <v>3938.5355519099999</v>
      </c>
      <c r="D93" s="268">
        <f>+C93/B93*100</f>
        <v>43.446591624614072</v>
      </c>
      <c r="E93" s="268">
        <v>4935.1144597499997</v>
      </c>
      <c r="F93" s="268">
        <f>+E93/B93*100</f>
        <v>54.440006882635785</v>
      </c>
      <c r="G93" s="268">
        <v>2278.11485266</v>
      </c>
      <c r="H93" s="268">
        <f>+G93/B93*100</f>
        <v>25.13023543217431</v>
      </c>
      <c r="I93" s="268">
        <v>471.38590097000008</v>
      </c>
      <c r="J93" s="268">
        <f>+I93/B93*100</f>
        <v>5.1999303972545068</v>
      </c>
      <c r="K93" s="268">
        <v>191.58480800000001</v>
      </c>
      <c r="L93" s="268">
        <f>+K93/B93*100</f>
        <v>2.1134014927501412</v>
      </c>
      <c r="M93" s="135"/>
    </row>
    <row r="94" spans="1:13" hidden="1">
      <c r="A94" s="620">
        <v>11</v>
      </c>
      <c r="B94" s="268">
        <v>9091.7448746400005</v>
      </c>
      <c r="C94" s="268">
        <f>B94-E94-K94</f>
        <v>3911.2637186900006</v>
      </c>
      <c r="D94" s="268">
        <f>+C94/B94*100</f>
        <v>43.019945814800174</v>
      </c>
      <c r="E94" s="268">
        <v>4988.8963479499998</v>
      </c>
      <c r="F94" s="268">
        <f>+E94/B94*100</f>
        <v>54.87281502878227</v>
      </c>
      <c r="G94" s="268">
        <v>2283.2681535000002</v>
      </c>
      <c r="H94" s="268">
        <f>+G94/B94*100</f>
        <v>25.113640835532237</v>
      </c>
      <c r="I94" s="268">
        <v>465.95960385000001</v>
      </c>
      <c r="J94" s="268">
        <f>+I94/B94*100</f>
        <v>5.1250844615066287</v>
      </c>
      <c r="K94" s="268">
        <v>191.58480800000001</v>
      </c>
      <c r="L94" s="268">
        <f>+K94/B94*100</f>
        <v>2.1072391564175526</v>
      </c>
      <c r="M94" s="135"/>
    </row>
    <row r="95" spans="1:13" ht="15.6" hidden="1" customHeight="1">
      <c r="A95" s="620">
        <v>12</v>
      </c>
      <c r="B95" s="268">
        <v>9163.3597792399996</v>
      </c>
      <c r="C95" s="268">
        <f>B95-E95-K95</f>
        <v>3901.8549706899998</v>
      </c>
      <c r="D95" s="268">
        <f>+C95/B95*100</f>
        <v>42.58105176149283</v>
      </c>
      <c r="E95" s="268">
        <v>5069.9200005499997</v>
      </c>
      <c r="F95" s="268">
        <f>+E95/B95*100</f>
        <v>55.328177903001574</v>
      </c>
      <c r="G95" s="268">
        <v>2306.2661630700004</v>
      </c>
      <c r="H95" s="268">
        <f>+G95/B95*100</f>
        <v>25.168346748699634</v>
      </c>
      <c r="I95" s="268">
        <v>464.18420510999999</v>
      </c>
      <c r="J95" s="268">
        <f>+I95/B95*100</f>
        <v>5.0656551340658922</v>
      </c>
      <c r="K95" s="268">
        <v>191.58480800000001</v>
      </c>
      <c r="L95" s="268">
        <f>+K95/B95*100</f>
        <v>2.0907703355055851</v>
      </c>
    </row>
    <row r="96" spans="1:13">
      <c r="A96" s="620">
        <v>2011</v>
      </c>
      <c r="B96" s="268">
        <v>9850.3003707400003</v>
      </c>
      <c r="C96" s="268">
        <v>3300.0444311000001</v>
      </c>
      <c r="D96" s="268">
        <v>33.501967522763834</v>
      </c>
      <c r="E96" s="268">
        <v>6298.76010864</v>
      </c>
      <c r="F96" s="268">
        <v>63.944853167627905</v>
      </c>
      <c r="G96" s="268">
        <v>3001.9660682050007</v>
      </c>
      <c r="H96" s="268">
        <v>30.4758835286104</v>
      </c>
      <c r="I96" s="268">
        <v>586.22559513499993</v>
      </c>
      <c r="J96" s="268">
        <v>5.9513474013073164</v>
      </c>
      <c r="K96" s="268">
        <v>251.49583100000001</v>
      </c>
      <c r="L96" s="268">
        <v>2.5531793096082658</v>
      </c>
    </row>
    <row r="97" spans="1:12" hidden="1">
      <c r="A97" s="620">
        <v>1</v>
      </c>
      <c r="B97" s="10">
        <f>+C97+E97+K97</f>
        <v>9149.7656655300016</v>
      </c>
      <c r="C97" s="10">
        <v>3921.4227739600001</v>
      </c>
      <c r="D97" s="10">
        <f t="shared" ref="D97:D102" si="32">+C97/B97*100</f>
        <v>42.858177108657692</v>
      </c>
      <c r="E97" s="10">
        <v>5019.4863855700005</v>
      </c>
      <c r="F97" s="10">
        <f t="shared" ref="F97:F102" si="33">+E97/B97*100</f>
        <v>54.859179667081079</v>
      </c>
      <c r="G97" s="10">
        <v>2303.7025583899999</v>
      </c>
      <c r="H97" s="10">
        <f t="shared" ref="H97:H102" si="34">+G97/B97*100</f>
        <v>25.177721950505905</v>
      </c>
      <c r="I97" s="10">
        <v>452.61935452</v>
      </c>
      <c r="J97" s="10">
        <f t="shared" ref="J97:J102" si="35">+I97/B97*100</f>
        <v>4.946786301043284</v>
      </c>
      <c r="K97" s="10">
        <v>208.85650600000002</v>
      </c>
      <c r="L97" s="10">
        <f t="shared" ref="L97:L102" si="36">+K97/B97*100</f>
        <v>2.2826432242612191</v>
      </c>
    </row>
    <row r="98" spans="1:12" hidden="1">
      <c r="A98" s="620">
        <v>2</v>
      </c>
      <c r="B98" s="10">
        <f>+C98+E98+K98</f>
        <v>9152.8044223100005</v>
      </c>
      <c r="C98" s="10">
        <v>3941.2755485500002</v>
      </c>
      <c r="D98" s="10">
        <f t="shared" si="32"/>
        <v>43.060851807814487</v>
      </c>
      <c r="E98" s="10">
        <v>5002.6723677600003</v>
      </c>
      <c r="F98" s="10">
        <f t="shared" si="33"/>
        <v>54.657262811887087</v>
      </c>
      <c r="G98" s="10">
        <v>2511.8289399499999</v>
      </c>
      <c r="H98" s="10">
        <f t="shared" si="34"/>
        <v>27.44327119923382</v>
      </c>
      <c r="I98" s="10">
        <v>495.16522669000005</v>
      </c>
      <c r="J98" s="10">
        <f t="shared" si="35"/>
        <v>5.4099836928999885</v>
      </c>
      <c r="K98" s="10">
        <v>208.856506</v>
      </c>
      <c r="L98" s="10">
        <f t="shared" si="36"/>
        <v>2.2818853802984291</v>
      </c>
    </row>
    <row r="99" spans="1:12" hidden="1">
      <c r="A99" s="620">
        <v>3</v>
      </c>
      <c r="B99" s="10">
        <f>+C99+E99+K99</f>
        <v>8365.9867119600003</v>
      </c>
      <c r="C99" s="10">
        <v>3020.5550350200001</v>
      </c>
      <c r="D99" s="10">
        <f t="shared" si="32"/>
        <v>36.105185664493348</v>
      </c>
      <c r="E99" s="10">
        <v>5136.5751709400001</v>
      </c>
      <c r="F99" s="10">
        <f t="shared" si="33"/>
        <v>61.398318546176526</v>
      </c>
      <c r="G99" s="10">
        <v>2498.8583513599997</v>
      </c>
      <c r="H99" s="10">
        <f t="shared" si="34"/>
        <v>29.869260344241717</v>
      </c>
      <c r="I99" s="10">
        <v>507.07663307999997</v>
      </c>
      <c r="J99" s="10">
        <f t="shared" si="35"/>
        <v>6.0611694775355556</v>
      </c>
      <c r="K99" s="10">
        <v>208.85650600000002</v>
      </c>
      <c r="L99" s="10">
        <f t="shared" si="36"/>
        <v>2.4964957893301354</v>
      </c>
    </row>
    <row r="100" spans="1:12" hidden="1">
      <c r="A100" s="620">
        <v>4</v>
      </c>
      <c r="B100" s="10">
        <f>+C100+E100+K100</f>
        <v>8569.6254799500002</v>
      </c>
      <c r="C100" s="10">
        <v>3071.54903534</v>
      </c>
      <c r="D100" s="10">
        <f t="shared" si="32"/>
        <v>35.842278551453347</v>
      </c>
      <c r="E100" s="10">
        <v>5279.0042403799998</v>
      </c>
      <c r="F100" s="10">
        <f t="shared" si="33"/>
        <v>61.601341304016941</v>
      </c>
      <c r="G100" s="10">
        <v>2558.8135245599992</v>
      </c>
      <c r="H100" s="10">
        <f t="shared" si="34"/>
        <v>29.85910563474156</v>
      </c>
      <c r="I100" s="10">
        <v>517.26029114999994</v>
      </c>
      <c r="J100" s="10">
        <f t="shared" si="35"/>
        <v>6.0359731281164217</v>
      </c>
      <c r="K100" s="10">
        <v>219.07220423000001</v>
      </c>
      <c r="L100" s="10">
        <f t="shared" si="36"/>
        <v>2.5563801445297023</v>
      </c>
    </row>
    <row r="101" spans="1:12" hidden="1">
      <c r="A101" s="620">
        <v>5</v>
      </c>
      <c r="B101" s="10">
        <f t="shared" ref="B101:B106" si="37">+C101+E101+K101</f>
        <v>8680.4269249299996</v>
      </c>
      <c r="C101" s="10">
        <v>3103.22113657</v>
      </c>
      <c r="D101" s="10">
        <f t="shared" si="32"/>
        <v>35.749637240279228</v>
      </c>
      <c r="E101" s="10">
        <v>5358.1335841299997</v>
      </c>
      <c r="F101" s="10">
        <f t="shared" si="33"/>
        <v>61.726613569449619</v>
      </c>
      <c r="G101" s="10">
        <v>2615.6153205099999</v>
      </c>
      <c r="H101" s="10">
        <f t="shared" si="34"/>
        <v>30.132335000689984</v>
      </c>
      <c r="I101" s="10">
        <v>522.26350820999994</v>
      </c>
      <c r="J101" s="10">
        <f t="shared" si="35"/>
        <v>6.0165647695284479</v>
      </c>
      <c r="K101" s="10">
        <v>219.07220423000001</v>
      </c>
      <c r="L101" s="10">
        <f t="shared" si="36"/>
        <v>2.5237491902711531</v>
      </c>
    </row>
    <row r="102" spans="1:12" hidden="1">
      <c r="A102" s="620">
        <v>6</v>
      </c>
      <c r="B102" s="10">
        <f t="shared" si="37"/>
        <v>8885.8892618499995</v>
      </c>
      <c r="C102" s="10">
        <v>3153.8894439300002</v>
      </c>
      <c r="D102" s="10">
        <f t="shared" si="32"/>
        <v>35.493233721363929</v>
      </c>
      <c r="E102" s="10">
        <v>5512.9276136899998</v>
      </c>
      <c r="F102" s="10">
        <f t="shared" si="33"/>
        <v>62.041372013927564</v>
      </c>
      <c r="G102" s="10">
        <v>2715.63766923</v>
      </c>
      <c r="H102" s="10">
        <f t="shared" si="34"/>
        <v>30.561236914003782</v>
      </c>
      <c r="I102" s="10">
        <v>531.2764009199999</v>
      </c>
      <c r="J102" s="10">
        <f t="shared" si="35"/>
        <v>5.9788771305190753</v>
      </c>
      <c r="K102" s="10">
        <v>219.07220423000001</v>
      </c>
      <c r="L102" s="10">
        <f t="shared" si="36"/>
        <v>2.4653942647085185</v>
      </c>
    </row>
    <row r="103" spans="1:12" hidden="1">
      <c r="A103" s="620">
        <v>7</v>
      </c>
      <c r="B103" s="10">
        <f t="shared" si="37"/>
        <v>9050.1703139700003</v>
      </c>
      <c r="C103" s="10">
        <v>3170.2912026700001</v>
      </c>
      <c r="D103" s="10">
        <f t="shared" ref="D103:D109" si="38">+C103/B103*100</f>
        <v>35.030182777624454</v>
      </c>
      <c r="E103" s="10">
        <v>5638.8410782999999</v>
      </c>
      <c r="F103" s="10">
        <f t="shared" ref="F103:F109" si="39">+E103/B103*100</f>
        <v>62.306463665062594</v>
      </c>
      <c r="G103" s="10">
        <v>2752.9903849599996</v>
      </c>
      <c r="H103" s="10">
        <f t="shared" ref="H103:H109" si="40">+G103/B103*100</f>
        <v>30.419210793308892</v>
      </c>
      <c r="I103" s="10">
        <v>540.28259676000005</v>
      </c>
      <c r="J103" s="10">
        <f t="shared" ref="J103:J109" si="41">+I103/B103*100</f>
        <v>5.9698610967134007</v>
      </c>
      <c r="K103" s="10">
        <v>241.03803300000001</v>
      </c>
      <c r="L103" s="10">
        <f t="shared" ref="L103:L109" si="42">+K103/B103*100</f>
        <v>2.6633535573129437</v>
      </c>
    </row>
    <row r="104" spans="1:12" hidden="1">
      <c r="A104" s="620">
        <v>8</v>
      </c>
      <c r="B104" s="10">
        <f t="shared" si="37"/>
        <v>9458.3536229800011</v>
      </c>
      <c r="C104" s="10">
        <v>3218.7447350100001</v>
      </c>
      <c r="D104" s="10">
        <f t="shared" si="38"/>
        <v>34.030708337968491</v>
      </c>
      <c r="E104" s="10">
        <v>5998.5708549700003</v>
      </c>
      <c r="F104" s="10">
        <f t="shared" si="39"/>
        <v>63.420877396631504</v>
      </c>
      <c r="G104" s="10">
        <v>2822.2134690899998</v>
      </c>
      <c r="H104" s="10">
        <f t="shared" si="40"/>
        <v>29.838316281949474</v>
      </c>
      <c r="I104" s="10">
        <v>543.56001016000005</v>
      </c>
      <c r="J104" s="10">
        <f t="shared" si="41"/>
        <v>5.746877647282794</v>
      </c>
      <c r="K104" s="10">
        <v>241.03803300000001</v>
      </c>
      <c r="L104" s="10">
        <f t="shared" si="42"/>
        <v>2.5484142653999995</v>
      </c>
    </row>
    <row r="105" spans="1:12" hidden="1">
      <c r="A105" s="620">
        <v>9</v>
      </c>
      <c r="B105" s="10">
        <f t="shared" si="37"/>
        <v>9597.6519703199992</v>
      </c>
      <c r="C105" s="10">
        <v>3215.5912394799998</v>
      </c>
      <c r="D105" s="10">
        <f t="shared" si="38"/>
        <v>33.503936686014121</v>
      </c>
      <c r="E105" s="10">
        <v>6141.0226978399996</v>
      </c>
      <c r="F105" s="10">
        <f t="shared" si="39"/>
        <v>63.984636209258682</v>
      </c>
      <c r="G105" s="10">
        <v>2876.5179329099992</v>
      </c>
      <c r="H105" s="10">
        <f t="shared" si="40"/>
        <v>29.971058981982363</v>
      </c>
      <c r="I105" s="10">
        <v>557.2900727</v>
      </c>
      <c r="J105" s="10">
        <f t="shared" si="41"/>
        <v>5.806525121179396</v>
      </c>
      <c r="K105" s="10">
        <v>241.03803300000001</v>
      </c>
      <c r="L105" s="10">
        <f t="shared" si="42"/>
        <v>2.5114271047271939</v>
      </c>
    </row>
    <row r="106" spans="1:12" hidden="1">
      <c r="A106" s="620">
        <v>10</v>
      </c>
      <c r="B106" s="10">
        <f t="shared" si="37"/>
        <v>9706.1501323600005</v>
      </c>
      <c r="C106" s="10">
        <v>3270.9263220799999</v>
      </c>
      <c r="D106" s="10">
        <f t="shared" si="38"/>
        <v>33.699523265922231</v>
      </c>
      <c r="E106" s="10">
        <v>6183.72797928</v>
      </c>
      <c r="F106" s="10">
        <f t="shared" si="39"/>
        <v>63.70937905301551</v>
      </c>
      <c r="G106" s="10">
        <v>2900.8982134824996</v>
      </c>
      <c r="H106" s="10">
        <f t="shared" si="40"/>
        <v>29.887217629273998</v>
      </c>
      <c r="I106" s="10">
        <v>563.97646214249994</v>
      </c>
      <c r="J106" s="10">
        <f t="shared" si="41"/>
        <v>5.8105062712992668</v>
      </c>
      <c r="K106" s="10">
        <v>251.49583100000001</v>
      </c>
      <c r="L106" s="10">
        <f t="shared" si="42"/>
        <v>2.5910976810622448</v>
      </c>
    </row>
    <row r="107" spans="1:12" hidden="1">
      <c r="A107" s="620">
        <v>11</v>
      </c>
      <c r="B107" s="10">
        <f>+C107+E107+K107</f>
        <v>9782.7863418199995</v>
      </c>
      <c r="C107" s="10">
        <v>3272.2835221300002</v>
      </c>
      <c r="D107" s="10">
        <f t="shared" si="38"/>
        <v>33.449401916726529</v>
      </c>
      <c r="E107" s="10">
        <v>6259.0069886900001</v>
      </c>
      <c r="F107" s="10">
        <f t="shared" si="39"/>
        <v>63.979798494971199</v>
      </c>
      <c r="G107" s="10">
        <v>2941.7016406700009</v>
      </c>
      <c r="H107" s="10">
        <f t="shared" si="40"/>
        <v>30.070181826364244</v>
      </c>
      <c r="I107" s="10">
        <v>566.2459839899999</v>
      </c>
      <c r="J107" s="10">
        <f t="shared" si="41"/>
        <v>5.7881871708613328</v>
      </c>
      <c r="K107" s="10">
        <v>251.49583100000001</v>
      </c>
      <c r="L107" s="10">
        <f t="shared" si="42"/>
        <v>2.5707995883022776</v>
      </c>
    </row>
    <row r="108" spans="1:12" hidden="1">
      <c r="A108" s="620">
        <v>12</v>
      </c>
      <c r="B108" s="10">
        <f>+C108+E108+K108</f>
        <v>9850.3003707400003</v>
      </c>
      <c r="C108" s="10">
        <v>3300.0444311000001</v>
      </c>
      <c r="D108" s="10">
        <f t="shared" si="38"/>
        <v>33.501967522763834</v>
      </c>
      <c r="E108" s="10">
        <v>6298.76010864</v>
      </c>
      <c r="F108" s="10">
        <f t="shared" si="39"/>
        <v>63.944853167627905</v>
      </c>
      <c r="G108" s="10">
        <v>3001.9660682050007</v>
      </c>
      <c r="H108" s="10">
        <f t="shared" si="40"/>
        <v>30.4758835286104</v>
      </c>
      <c r="I108" s="10">
        <v>586.22559513499993</v>
      </c>
      <c r="J108" s="10">
        <f t="shared" si="41"/>
        <v>5.9513474013073164</v>
      </c>
      <c r="K108" s="10">
        <v>251.49583100000001</v>
      </c>
      <c r="L108" s="10">
        <f t="shared" si="42"/>
        <v>2.5531793096082658</v>
      </c>
    </row>
    <row r="109" spans="1:12">
      <c r="A109" s="620">
        <v>2012</v>
      </c>
      <c r="B109" s="268">
        <f t="shared" ref="B109" si="43">+C109+E109+K109</f>
        <v>12243.721763699999</v>
      </c>
      <c r="C109" s="268">
        <v>4137.1396598700003</v>
      </c>
      <c r="D109" s="268">
        <f t="shared" si="38"/>
        <v>33.789886275721564</v>
      </c>
      <c r="E109" s="268">
        <v>7785.4661328299999</v>
      </c>
      <c r="F109" s="268">
        <f t="shared" si="39"/>
        <v>63.587414701894254</v>
      </c>
      <c r="G109" s="268">
        <v>3393.9917030785491</v>
      </c>
      <c r="H109" s="268">
        <f t="shared" si="40"/>
        <v>27.720261604939473</v>
      </c>
      <c r="I109" s="268">
        <v>759.27575881855</v>
      </c>
      <c r="J109" s="268">
        <f t="shared" si="41"/>
        <v>6.2013477067866676</v>
      </c>
      <c r="K109" s="268">
        <v>321.115971</v>
      </c>
      <c r="L109" s="268">
        <f t="shared" si="42"/>
        <v>2.6226990223841886</v>
      </c>
    </row>
    <row r="110" spans="1:12" hidden="1">
      <c r="A110" s="620">
        <v>1</v>
      </c>
      <c r="B110" s="10">
        <f>+C110+E110+K110</f>
        <v>9984.5625328200003</v>
      </c>
      <c r="C110" s="10">
        <v>3353.4214085200001</v>
      </c>
      <c r="D110" s="10">
        <f t="shared" ref="D110:D115" si="44">+C110/B110*100</f>
        <v>33.586062458891455</v>
      </c>
      <c r="E110" s="10">
        <v>6361.3041443000002</v>
      </c>
      <c r="F110" s="10">
        <f t="shared" ref="F110:F115" si="45">+E110/B110*100</f>
        <v>63.711395701012641</v>
      </c>
      <c r="G110" s="10">
        <v>3022.4392611999997</v>
      </c>
      <c r="H110" s="10">
        <f t="shared" ref="H110:H115" si="46">+G110/B110*100</f>
        <v>30.271123559645368</v>
      </c>
      <c r="I110" s="10">
        <v>576.93037689999983</v>
      </c>
      <c r="J110" s="10">
        <f t="shared" ref="J110:J115" si="47">+I110/B110*100</f>
        <v>5.7782238831554888</v>
      </c>
      <c r="K110" s="10">
        <v>269.83698000000004</v>
      </c>
      <c r="L110" s="10">
        <f t="shared" ref="L110:L115" si="48">+K110/B110*100</f>
        <v>2.7025418400959058</v>
      </c>
    </row>
    <row r="111" spans="1:12" hidden="1">
      <c r="A111" s="620">
        <v>2</v>
      </c>
      <c r="B111" s="10">
        <f t="shared" ref="B111:B121" si="49">+C111+E111+K111</f>
        <v>10106.91377657</v>
      </c>
      <c r="C111" s="10">
        <v>3396.4752936700002</v>
      </c>
      <c r="D111" s="10">
        <f t="shared" si="44"/>
        <v>33.60546422730706</v>
      </c>
      <c r="E111" s="10">
        <v>6440.6015029</v>
      </c>
      <c r="F111" s="10">
        <f t="shared" si="45"/>
        <v>63.724710087373062</v>
      </c>
      <c r="G111" s="10">
        <v>2941.1277830200002</v>
      </c>
      <c r="H111" s="10">
        <f t="shared" si="46"/>
        <v>29.100157061180905</v>
      </c>
      <c r="I111" s="10">
        <v>590.86427426999978</v>
      </c>
      <c r="J111" s="10">
        <f t="shared" si="47"/>
        <v>5.8461394579198869</v>
      </c>
      <c r="K111" s="10">
        <v>269.83698000000004</v>
      </c>
      <c r="L111" s="10">
        <f t="shared" si="48"/>
        <v>2.6698256853198865</v>
      </c>
    </row>
    <row r="112" spans="1:12" hidden="1">
      <c r="A112" s="620">
        <v>3</v>
      </c>
      <c r="B112" s="10">
        <f t="shared" si="49"/>
        <v>10163.207416879999</v>
      </c>
      <c r="C112" s="10">
        <v>3430.8989471300001</v>
      </c>
      <c r="D112" s="10">
        <f t="shared" si="44"/>
        <v>33.758033329435392</v>
      </c>
      <c r="E112" s="10">
        <v>6462.4714897499998</v>
      </c>
      <c r="F112" s="10">
        <f t="shared" si="45"/>
        <v>63.586929053681686</v>
      </c>
      <c r="G112" s="10">
        <v>3077.3752740999998</v>
      </c>
      <c r="H112" s="10">
        <f t="shared" si="46"/>
        <v>30.279567737531455</v>
      </c>
      <c r="I112" s="10">
        <v>600.95631922999985</v>
      </c>
      <c r="J112" s="10">
        <f t="shared" si="47"/>
        <v>5.9130577049118944</v>
      </c>
      <c r="K112" s="10">
        <v>269.83697999999998</v>
      </c>
      <c r="L112" s="10">
        <f t="shared" si="48"/>
        <v>2.6550376168829306</v>
      </c>
    </row>
    <row r="113" spans="1:12" hidden="1">
      <c r="A113" s="620">
        <v>4</v>
      </c>
      <c r="B113" s="10">
        <f t="shared" si="49"/>
        <v>10363.272338589999</v>
      </c>
      <c r="C113" s="10">
        <v>3560.5985937800001</v>
      </c>
      <c r="D113" s="10">
        <f t="shared" si="44"/>
        <v>34.357859925395402</v>
      </c>
      <c r="E113" s="10">
        <v>6524.5424448100002</v>
      </c>
      <c r="F113" s="10">
        <f t="shared" si="45"/>
        <v>62.958322734744542</v>
      </c>
      <c r="G113" s="10">
        <v>3118.85</v>
      </c>
      <c r="H113" s="10">
        <f t="shared" si="46"/>
        <v>30.095223768135991</v>
      </c>
      <c r="I113" s="10">
        <v>628.87</v>
      </c>
      <c r="J113" s="10">
        <f t="shared" si="47"/>
        <v>6.0682570085344532</v>
      </c>
      <c r="K113" s="10">
        <v>278.13130000000001</v>
      </c>
      <c r="L113" s="10">
        <f t="shared" si="48"/>
        <v>2.6838173398600644</v>
      </c>
    </row>
    <row r="114" spans="1:12" hidden="1">
      <c r="A114" s="620">
        <v>5</v>
      </c>
      <c r="B114" s="10">
        <f t="shared" si="49"/>
        <v>10511.52051213</v>
      </c>
      <c r="C114" s="10">
        <v>3570.3696697999999</v>
      </c>
      <c r="D114" s="10">
        <f t="shared" si="44"/>
        <v>33.966253176026186</v>
      </c>
      <c r="E114" s="10">
        <v>6663.01951233</v>
      </c>
      <c r="F114" s="10">
        <f t="shared" si="45"/>
        <v>63.387780146945083</v>
      </c>
      <c r="G114" s="10">
        <v>3156.6288060299999</v>
      </c>
      <c r="H114" s="10">
        <f t="shared" si="46"/>
        <v>30.030182620938035</v>
      </c>
      <c r="I114" s="10">
        <v>636.52221122999993</v>
      </c>
      <c r="J114" s="10">
        <f t="shared" si="47"/>
        <v>6.0554722839143125</v>
      </c>
      <c r="K114" s="10">
        <v>278.13132999999999</v>
      </c>
      <c r="L114" s="10">
        <f t="shared" si="48"/>
        <v>2.6459666770287344</v>
      </c>
    </row>
    <row r="115" spans="1:12" hidden="1">
      <c r="A115" s="620">
        <v>6</v>
      </c>
      <c r="B115" s="10">
        <f t="shared" si="49"/>
        <v>10734.81067669</v>
      </c>
      <c r="C115" s="10">
        <v>3697.0395606799998</v>
      </c>
      <c r="D115" s="10">
        <f t="shared" si="44"/>
        <v>34.439727648927246</v>
      </c>
      <c r="E115" s="10">
        <v>6759.6397860099996</v>
      </c>
      <c r="F115" s="10">
        <f t="shared" si="45"/>
        <v>62.969343285095412</v>
      </c>
      <c r="G115" s="10">
        <v>3072.2425172399999</v>
      </c>
      <c r="H115" s="10">
        <f t="shared" si="46"/>
        <v>28.619438290711457</v>
      </c>
      <c r="I115" s="10">
        <v>643.40683449999983</v>
      </c>
      <c r="J115" s="10">
        <f t="shared" si="47"/>
        <v>5.9936486434466829</v>
      </c>
      <c r="K115" s="10">
        <v>278.13132999999999</v>
      </c>
      <c r="L115" s="10">
        <f t="shared" si="48"/>
        <v>2.5909290659773401</v>
      </c>
    </row>
    <row r="116" spans="1:12" hidden="1">
      <c r="A116" s="620">
        <v>7</v>
      </c>
      <c r="B116" s="10">
        <f t="shared" si="49"/>
        <v>10726.412785960001</v>
      </c>
      <c r="C116" s="10">
        <v>3734.6016091900001</v>
      </c>
      <c r="D116" s="10">
        <f t="shared" ref="D116:D121" si="50">+C116/B116*100</f>
        <v>34.816873858129796</v>
      </c>
      <c r="E116" s="10">
        <v>6680.6571947700004</v>
      </c>
      <c r="F116" s="10">
        <f t="shared" ref="F116:F121" si="51">+E116/B116*100</f>
        <v>62.282305632638298</v>
      </c>
      <c r="G116" s="10">
        <v>3060.3690584400001</v>
      </c>
      <c r="H116" s="10">
        <f t="shared" ref="H116:H121" si="52">+G116/B116*100</f>
        <v>28.531151275902538</v>
      </c>
      <c r="I116" s="10">
        <v>660.87694880999993</v>
      </c>
      <c r="J116" s="10">
        <f t="shared" ref="J116:J121" si="53">+I116/B116*100</f>
        <v>6.1612112268794457</v>
      </c>
      <c r="K116" s="10">
        <v>311.15398200000004</v>
      </c>
      <c r="L116" s="10">
        <f t="shared" ref="L116:L121" si="54">+K116/B116*100</f>
        <v>2.9008205092318953</v>
      </c>
    </row>
    <row r="117" spans="1:12" hidden="1">
      <c r="A117" s="620">
        <v>8</v>
      </c>
      <c r="B117" s="10">
        <f t="shared" si="49"/>
        <v>11057.8023435</v>
      </c>
      <c r="C117" s="10">
        <v>3792.8978238200002</v>
      </c>
      <c r="D117" s="10">
        <f t="shared" si="50"/>
        <v>34.300647687463346</v>
      </c>
      <c r="E117" s="10">
        <v>6953.75053768</v>
      </c>
      <c r="F117" s="10">
        <f t="shared" si="51"/>
        <v>62.885466041700013</v>
      </c>
      <c r="G117" s="10">
        <v>3140.0001941800006</v>
      </c>
      <c r="H117" s="10">
        <f t="shared" si="52"/>
        <v>28.396240922372396</v>
      </c>
      <c r="I117" s="10">
        <v>673.54672918999995</v>
      </c>
      <c r="J117" s="10">
        <f t="shared" si="53"/>
        <v>6.0911445897378007</v>
      </c>
      <c r="K117" s="10">
        <v>311.15398200000004</v>
      </c>
      <c r="L117" s="10">
        <f t="shared" si="54"/>
        <v>2.8138862708366519</v>
      </c>
    </row>
    <row r="118" spans="1:12" hidden="1">
      <c r="A118" s="620">
        <v>9</v>
      </c>
      <c r="B118" s="10">
        <f t="shared" si="49"/>
        <v>11380.82251559</v>
      </c>
      <c r="C118" s="10">
        <v>3885.5878041199999</v>
      </c>
      <c r="D118" s="10">
        <f t="shared" si="50"/>
        <v>34.141537650704365</v>
      </c>
      <c r="E118" s="10">
        <v>7184.0807294699998</v>
      </c>
      <c r="F118" s="10">
        <f t="shared" si="51"/>
        <v>63.124442188856733</v>
      </c>
      <c r="G118" s="10">
        <v>3199.8205267000003</v>
      </c>
      <c r="H118" s="10">
        <f t="shared" si="52"/>
        <v>28.115898673551332</v>
      </c>
      <c r="I118" s="10">
        <v>686.26143812999999</v>
      </c>
      <c r="J118" s="10">
        <f t="shared" si="53"/>
        <v>6.0299810245694099</v>
      </c>
      <c r="K118" s="10">
        <v>311.15398200000004</v>
      </c>
      <c r="L118" s="10">
        <f t="shared" si="54"/>
        <v>2.7340201604388987</v>
      </c>
    </row>
    <row r="119" spans="1:12" hidden="1">
      <c r="A119" s="620">
        <v>10</v>
      </c>
      <c r="B119" s="10">
        <f t="shared" si="49"/>
        <v>11643.488717519998</v>
      </c>
      <c r="C119" s="10">
        <v>3954.4920864199999</v>
      </c>
      <c r="D119" s="10">
        <f t="shared" si="50"/>
        <v>33.963120353006069</v>
      </c>
      <c r="E119" s="10">
        <v>7367.8806600999997</v>
      </c>
      <c r="F119" s="10">
        <f t="shared" si="51"/>
        <v>63.278977966573912</v>
      </c>
      <c r="G119" s="10">
        <v>3270.34470676</v>
      </c>
      <c r="H119" s="10">
        <f t="shared" si="52"/>
        <v>28.087326626074717</v>
      </c>
      <c r="I119" s="10">
        <v>697.06237891000001</v>
      </c>
      <c r="J119" s="10">
        <f t="shared" si="53"/>
        <v>5.9867140839079251</v>
      </c>
      <c r="K119" s="10">
        <v>321.115971</v>
      </c>
      <c r="L119" s="10">
        <f t="shared" si="54"/>
        <v>2.7579016804200247</v>
      </c>
    </row>
    <row r="120" spans="1:12" hidden="1">
      <c r="A120" s="620">
        <v>11</v>
      </c>
      <c r="B120" s="10">
        <f t="shared" si="49"/>
        <v>11730.50687651</v>
      </c>
      <c r="C120" s="10">
        <v>3996.9803884399998</v>
      </c>
      <c r="D120" s="10">
        <f t="shared" si="50"/>
        <v>34.073381743152439</v>
      </c>
      <c r="E120" s="10">
        <v>7412.4105170700004</v>
      </c>
      <c r="F120" s="10">
        <f t="shared" si="51"/>
        <v>63.189174987085487</v>
      </c>
      <c r="G120" s="10">
        <v>3347.5757916999996</v>
      </c>
      <c r="H120" s="10">
        <f t="shared" si="52"/>
        <v>28.537349894090454</v>
      </c>
      <c r="I120" s="10">
        <v>728.16078690999996</v>
      </c>
      <c r="J120" s="10">
        <f t="shared" si="53"/>
        <v>6.207411108279735</v>
      </c>
      <c r="K120" s="10">
        <v>321.115971</v>
      </c>
      <c r="L120" s="10">
        <f t="shared" si="54"/>
        <v>2.7374432697620716</v>
      </c>
    </row>
    <row r="121" spans="1:12" hidden="1">
      <c r="A121" s="620">
        <v>12</v>
      </c>
      <c r="B121" s="10">
        <f t="shared" si="49"/>
        <v>12243.721763699999</v>
      </c>
      <c r="C121" s="10">
        <v>4137.1396598700003</v>
      </c>
      <c r="D121" s="10">
        <f t="shared" si="50"/>
        <v>33.789886275721564</v>
      </c>
      <c r="E121" s="10">
        <v>7785.4661328299999</v>
      </c>
      <c r="F121" s="10">
        <f t="shared" si="51"/>
        <v>63.587414701894254</v>
      </c>
      <c r="G121" s="10">
        <v>3393.9917030785491</v>
      </c>
      <c r="H121" s="10">
        <f t="shared" si="52"/>
        <v>27.720261604939473</v>
      </c>
      <c r="I121" s="10">
        <v>759.27575881855</v>
      </c>
      <c r="J121" s="10">
        <f t="shared" si="53"/>
        <v>6.2013477067866676</v>
      </c>
      <c r="K121" s="10">
        <v>321.115971</v>
      </c>
      <c r="L121" s="10">
        <f t="shared" si="54"/>
        <v>2.6226990223841886</v>
      </c>
    </row>
    <row r="122" spans="1:12">
      <c r="A122" s="620">
        <v>2013</v>
      </c>
      <c r="B122" s="268">
        <v>15422.937717560002</v>
      </c>
      <c r="C122" s="268">
        <v>5300.3902090399997</v>
      </c>
      <c r="D122" s="268">
        <v>34.366929998071413</v>
      </c>
      <c r="E122" s="268">
        <v>9689.4223595200019</v>
      </c>
      <c r="F122" s="268">
        <v>62.824751917969394</v>
      </c>
      <c r="G122" s="268">
        <v>4612.5328124099997</v>
      </c>
      <c r="H122" s="268">
        <v>29.90696647343869</v>
      </c>
      <c r="I122" s="268">
        <v>1034.7493456899999</v>
      </c>
      <c r="J122" s="268">
        <v>6.709158557463871</v>
      </c>
      <c r="K122" s="268">
        <v>433.12514900000002</v>
      </c>
      <c r="L122" s="268">
        <v>2.8083180839591884</v>
      </c>
    </row>
    <row r="123" spans="1:12">
      <c r="A123" s="620">
        <v>1</v>
      </c>
      <c r="B123" s="10">
        <f t="shared" ref="B123:B128" si="55">+C123+E123+K123</f>
        <v>12479.272292869999</v>
      </c>
      <c r="C123" s="10">
        <v>4206.3283653099998</v>
      </c>
      <c r="D123" s="10">
        <f t="shared" ref="D123:D128" si="56">+C123/B123*100</f>
        <v>33.706519631864076</v>
      </c>
      <c r="E123" s="10">
        <v>7925.2891625599996</v>
      </c>
      <c r="F123" s="10">
        <f t="shared" ref="F123:F128" si="57">+E123/B123*100</f>
        <v>63.507622692775875</v>
      </c>
      <c r="G123" s="10">
        <v>3541.5680367199998</v>
      </c>
      <c r="H123" s="10">
        <f t="shared" ref="H123:H128" si="58">+G123/B123*100</f>
        <v>28.379603823080824</v>
      </c>
      <c r="I123" s="10">
        <v>770.51050643999997</v>
      </c>
      <c r="J123" s="10">
        <f>+I123/B123*100</f>
        <v>6.1743224152599767</v>
      </c>
      <c r="K123" s="10">
        <v>347.654765</v>
      </c>
      <c r="L123" s="10">
        <f t="shared" ref="L123:L128" si="59">+K123/B123*100</f>
        <v>2.7858576753600586</v>
      </c>
    </row>
    <row r="124" spans="1:12">
      <c r="A124" s="620">
        <v>2</v>
      </c>
      <c r="B124" s="10">
        <f t="shared" si="55"/>
        <v>12207.917385979999</v>
      </c>
      <c r="C124" s="10">
        <v>4217.4409984799995</v>
      </c>
      <c r="D124" s="10">
        <f t="shared" si="56"/>
        <v>34.546768831540888</v>
      </c>
      <c r="E124" s="10">
        <v>7642.8216224999996</v>
      </c>
      <c r="F124" s="10">
        <f t="shared" si="57"/>
        <v>62.605450060444248</v>
      </c>
      <c r="G124" s="10">
        <v>3603.4586643299999</v>
      </c>
      <c r="H124" s="10">
        <f t="shared" si="58"/>
        <v>29.517390644110503</v>
      </c>
      <c r="I124" s="10">
        <v>790.16024533999996</v>
      </c>
      <c r="J124" s="10">
        <f>+I124/B124*100</f>
        <v>6.4725228747652546</v>
      </c>
      <c r="K124" s="10">
        <v>347.654765</v>
      </c>
      <c r="L124" s="10">
        <f t="shared" si="59"/>
        <v>2.8477811080148601</v>
      </c>
    </row>
    <row r="125" spans="1:12">
      <c r="A125" s="620">
        <v>3</v>
      </c>
      <c r="B125" s="10">
        <f t="shared" si="55"/>
        <v>12451.11375792</v>
      </c>
      <c r="C125" s="10">
        <v>4296.4936016800002</v>
      </c>
      <c r="D125" s="10">
        <f t="shared" si="56"/>
        <v>34.506901833958857</v>
      </c>
      <c r="E125" s="10">
        <v>7806.9653912399999</v>
      </c>
      <c r="F125" s="10">
        <f t="shared" si="57"/>
        <v>62.700940197209952</v>
      </c>
      <c r="G125" s="10">
        <v>3724.4867074200001</v>
      </c>
      <c r="H125" s="10">
        <f t="shared" si="58"/>
        <v>29.912879922496089</v>
      </c>
      <c r="I125" s="10">
        <v>808.40897232999998</v>
      </c>
      <c r="J125" s="10">
        <f>+I125/B125*100</f>
        <v>6.4926639339053587</v>
      </c>
      <c r="K125" s="10">
        <v>347.654765</v>
      </c>
      <c r="L125" s="10">
        <f t="shared" si="59"/>
        <v>2.7921579688311904</v>
      </c>
    </row>
    <row r="126" spans="1:12">
      <c r="A126" s="620">
        <v>4</v>
      </c>
      <c r="B126" s="10">
        <f t="shared" si="55"/>
        <v>13019.48671463</v>
      </c>
      <c r="C126" s="10">
        <v>4445.31613681</v>
      </c>
      <c r="D126" s="10">
        <f t="shared" si="56"/>
        <v>34.143559068383226</v>
      </c>
      <c r="E126" s="10">
        <v>8220.5139338200006</v>
      </c>
      <c r="F126" s="10">
        <f t="shared" si="57"/>
        <v>63.140076978477246</v>
      </c>
      <c r="G126" s="10">
        <v>3855.39926186</v>
      </c>
      <c r="H126" s="10">
        <f t="shared" si="58"/>
        <v>29.612528868190225</v>
      </c>
      <c r="I126" s="10">
        <v>836.25167277000003</v>
      </c>
      <c r="J126" s="10">
        <f>+I126/B126*100</f>
        <v>6.4230771235420816</v>
      </c>
      <c r="K126" s="10">
        <v>353.65664400000003</v>
      </c>
      <c r="L126" s="10">
        <f t="shared" si="59"/>
        <v>2.7163639531395347</v>
      </c>
    </row>
    <row r="127" spans="1:12">
      <c r="A127" s="620">
        <v>5</v>
      </c>
      <c r="B127" s="10">
        <f t="shared" si="55"/>
        <v>13406.32168666</v>
      </c>
      <c r="C127" s="10">
        <v>4570.5401277999999</v>
      </c>
      <c r="D127" s="10">
        <f t="shared" si="56"/>
        <v>34.092424712946652</v>
      </c>
      <c r="E127" s="10">
        <v>8482.12491486</v>
      </c>
      <c r="F127" s="10">
        <f t="shared" si="57"/>
        <v>63.269591116108778</v>
      </c>
      <c r="G127" s="10">
        <v>3977.69121718</v>
      </c>
      <c r="H127" s="10">
        <f t="shared" si="58"/>
        <v>29.670265343088204</v>
      </c>
      <c r="I127" s="10">
        <v>870.91028359999996</v>
      </c>
      <c r="J127" s="10">
        <f>+I127/B127*100</f>
        <v>6.4962657465291311</v>
      </c>
      <c r="K127" s="10">
        <v>353.65664400000003</v>
      </c>
      <c r="L127" s="10">
        <f t="shared" si="59"/>
        <v>2.6379841709445713</v>
      </c>
    </row>
    <row r="128" spans="1:12">
      <c r="A128" s="620">
        <v>6</v>
      </c>
      <c r="B128" s="10">
        <f t="shared" si="55"/>
        <v>13774.07890362</v>
      </c>
      <c r="C128" s="10">
        <v>4750.3589026600002</v>
      </c>
      <c r="D128" s="10">
        <f t="shared" si="56"/>
        <v>34.487670180338128</v>
      </c>
      <c r="E128" s="10">
        <v>8670.0633569599995</v>
      </c>
      <c r="F128" s="10">
        <f t="shared" si="57"/>
        <v>62.944777778798688</v>
      </c>
      <c r="G128" s="10">
        <v>4047.4960519900001</v>
      </c>
      <c r="H128" s="10">
        <f t="shared" si="58"/>
        <v>29.384876334099317</v>
      </c>
      <c r="I128" s="10">
        <v>889.59958317999997</v>
      </c>
      <c r="J128" s="10">
        <f t="shared" ref="J128:J134" si="60">+I128/B128*100</f>
        <v>6.4585050616067115</v>
      </c>
      <c r="K128" s="10">
        <v>353.65664400000003</v>
      </c>
      <c r="L128" s="10">
        <f t="shared" si="59"/>
        <v>2.56755204086318</v>
      </c>
    </row>
    <row r="129" spans="1:12">
      <c r="A129" s="620">
        <v>7</v>
      </c>
      <c r="B129" s="10">
        <f>+C129+E129+K129</f>
        <v>14199.279780229999</v>
      </c>
      <c r="C129" s="10">
        <v>4888.1331228099998</v>
      </c>
      <c r="D129" s="10">
        <f t="shared" ref="D129:D134" si="61">+C129/B129*100</f>
        <v>34.425218732684357</v>
      </c>
      <c r="E129" s="10">
        <v>8918.8279964199992</v>
      </c>
      <c r="F129" s="10">
        <f t="shared" ref="F129:F134" si="62">+E129/B129*100</f>
        <v>62.811833659605043</v>
      </c>
      <c r="G129" s="10">
        <v>4203.5553027699998</v>
      </c>
      <c r="H129" s="10">
        <f t="shared" ref="H129:H134" si="63">+G129/B129*100</f>
        <v>29.604003638428981</v>
      </c>
      <c r="I129" s="10">
        <v>919.91474614000003</v>
      </c>
      <c r="J129" s="10">
        <f t="shared" si="60"/>
        <v>6.4786014528766422</v>
      </c>
      <c r="K129" s="10">
        <v>392.31866100000002</v>
      </c>
      <c r="L129" s="10">
        <f t="shared" ref="L129:L134" si="64">+K129/B129*100</f>
        <v>2.7629476077106023</v>
      </c>
    </row>
    <row r="130" spans="1:12">
      <c r="A130" s="620">
        <v>8</v>
      </c>
      <c r="B130" s="10">
        <f>+C130+E130+K130</f>
        <v>14455.06697641</v>
      </c>
      <c r="C130" s="10">
        <v>5004.5208647400004</v>
      </c>
      <c r="D130" s="10">
        <f t="shared" si="61"/>
        <v>34.621222253118212</v>
      </c>
      <c r="E130" s="10">
        <v>9058.2274506699996</v>
      </c>
      <c r="F130" s="10">
        <f t="shared" si="62"/>
        <v>62.664721411893886</v>
      </c>
      <c r="G130" s="10">
        <v>4291.0825217499996</v>
      </c>
      <c r="H130" s="10">
        <f t="shared" si="63"/>
        <v>29.685663364637794</v>
      </c>
      <c r="I130" s="10">
        <v>937.05958865000002</v>
      </c>
      <c r="J130" s="10">
        <f t="shared" si="60"/>
        <v>6.4825682937286828</v>
      </c>
      <c r="K130" s="10">
        <v>392.31866100000002</v>
      </c>
      <c r="L130" s="10">
        <f t="shared" si="64"/>
        <v>2.7140563349879034</v>
      </c>
    </row>
    <row r="131" spans="1:12">
      <c r="A131" s="620">
        <v>9</v>
      </c>
      <c r="B131" s="10">
        <f t="shared" ref="B131:B142" si="65">+C131+E131+K131</f>
        <v>14793.329728139999</v>
      </c>
      <c r="C131" s="10">
        <v>5134.9996589800003</v>
      </c>
      <c r="D131" s="10">
        <f t="shared" si="61"/>
        <v>34.711587947723224</v>
      </c>
      <c r="E131" s="10">
        <v>9266.0114081600004</v>
      </c>
      <c r="F131" s="10">
        <f t="shared" si="62"/>
        <v>62.636415049507846</v>
      </c>
      <c r="G131" s="10">
        <v>4369.80416977</v>
      </c>
      <c r="H131" s="10">
        <f t="shared" si="63"/>
        <v>29.539016908801273</v>
      </c>
      <c r="I131" s="10">
        <v>969.72012930000005</v>
      </c>
      <c r="J131" s="10">
        <f t="shared" si="60"/>
        <v>6.5551173881792826</v>
      </c>
      <c r="K131" s="10">
        <v>392.31866100000002</v>
      </c>
      <c r="L131" s="10">
        <f t="shared" si="64"/>
        <v>2.6519970027689443</v>
      </c>
    </row>
    <row r="132" spans="1:12">
      <c r="A132" s="620">
        <v>10</v>
      </c>
      <c r="B132" s="10">
        <f t="shared" si="65"/>
        <v>14991.39518155</v>
      </c>
      <c r="C132" s="10">
        <v>5137.8369437499996</v>
      </c>
      <c r="D132" s="10">
        <f t="shared" si="61"/>
        <v>34.271906527240148</v>
      </c>
      <c r="E132" s="10">
        <v>9420.4330888000004</v>
      </c>
      <c r="F132" s="10">
        <f t="shared" si="62"/>
        <v>62.838935100542102</v>
      </c>
      <c r="G132" s="10">
        <v>4372.1328133099996</v>
      </c>
      <c r="H132" s="10">
        <f t="shared" si="63"/>
        <v>29.164282312368162</v>
      </c>
      <c r="I132" s="10">
        <v>969.74264840000001</v>
      </c>
      <c r="J132" s="10">
        <f t="shared" si="60"/>
        <v>6.4686617666744457</v>
      </c>
      <c r="K132" s="10">
        <v>433.12514900000002</v>
      </c>
      <c r="L132" s="10">
        <f t="shared" si="64"/>
        <v>2.8891583722177492</v>
      </c>
    </row>
    <row r="133" spans="1:12">
      <c r="A133" s="620">
        <v>11</v>
      </c>
      <c r="B133" s="10">
        <f t="shared" si="65"/>
        <v>15245.29202395</v>
      </c>
      <c r="C133" s="10">
        <v>5216.9800859400002</v>
      </c>
      <c r="D133" s="10">
        <f t="shared" si="61"/>
        <v>34.220269954450501</v>
      </c>
      <c r="E133" s="10">
        <v>9595.1867890100002</v>
      </c>
      <c r="F133" s="10">
        <f t="shared" si="62"/>
        <v>62.938688048324586</v>
      </c>
      <c r="G133" s="10">
        <v>4613.5585374800003</v>
      </c>
      <c r="H133" s="10">
        <f t="shared" si="63"/>
        <v>30.262185402760451</v>
      </c>
      <c r="I133" s="10">
        <v>1034.75047518</v>
      </c>
      <c r="J133" s="10">
        <f t="shared" si="60"/>
        <v>6.7873444047803808</v>
      </c>
      <c r="K133" s="10">
        <v>433.12514900000002</v>
      </c>
      <c r="L133" s="10">
        <f t="shared" si="64"/>
        <v>2.841041997224917</v>
      </c>
    </row>
    <row r="134" spans="1:12">
      <c r="A134" s="620">
        <v>12</v>
      </c>
      <c r="B134" s="10">
        <f t="shared" si="65"/>
        <v>15422.937717560002</v>
      </c>
      <c r="C134" s="10">
        <v>5300.3902090399997</v>
      </c>
      <c r="D134" s="10">
        <f t="shared" si="61"/>
        <v>34.366929998071413</v>
      </c>
      <c r="E134" s="10">
        <v>9689.4223595200019</v>
      </c>
      <c r="F134" s="10">
        <f t="shared" si="62"/>
        <v>62.824751917969394</v>
      </c>
      <c r="G134" s="10">
        <v>4612.5328124099997</v>
      </c>
      <c r="H134" s="10">
        <f t="shared" si="63"/>
        <v>29.90696647343869</v>
      </c>
      <c r="I134" s="10">
        <v>1034.7493456899999</v>
      </c>
      <c r="J134" s="10">
        <f t="shared" si="60"/>
        <v>6.709158557463871</v>
      </c>
      <c r="K134" s="10">
        <v>433.12514900000002</v>
      </c>
      <c r="L134" s="10">
        <f t="shared" si="64"/>
        <v>2.8083180839591884</v>
      </c>
    </row>
    <row r="135" spans="1:12">
      <c r="A135" s="620">
        <v>2014</v>
      </c>
      <c r="B135" s="268">
        <v>18542.609915010002</v>
      </c>
      <c r="C135" s="268">
        <v>6143.8378956299994</v>
      </c>
      <c r="D135" s="268">
        <f>+C135/B135*100</f>
        <v>33.133619936946644</v>
      </c>
      <c r="E135" s="268">
        <v>11873.60328738</v>
      </c>
      <c r="F135" s="268">
        <f>+E135/B135*100</f>
        <v>64.034153454139556</v>
      </c>
      <c r="G135" s="268">
        <f>5580052797.99/1000000</f>
        <v>5580.0527979899998</v>
      </c>
      <c r="H135" s="268">
        <f>+G135/B135*100</f>
        <v>30.093135883061528</v>
      </c>
      <c r="I135" s="260">
        <f>1388610429.99/1000000</f>
        <v>1388.6104299900001</v>
      </c>
      <c r="J135" s="268">
        <f>+I135/B135*100</f>
        <v>7.4887539367688367</v>
      </c>
      <c r="K135" s="268">
        <v>525.16873199999998</v>
      </c>
      <c r="L135" s="268">
        <f>+K135/B135*100</f>
        <v>2.83222660891379</v>
      </c>
    </row>
    <row r="136" spans="1:12">
      <c r="A136" s="620">
        <v>1</v>
      </c>
      <c r="B136" s="10">
        <f t="shared" si="65"/>
        <v>15484.635822389999</v>
      </c>
      <c r="C136" s="10">
        <v>5271.9943499999999</v>
      </c>
      <c r="D136" s="10">
        <f t="shared" ref="D136:D142" si="66">+C136/B136*100</f>
        <v>34.046615047781515</v>
      </c>
      <c r="E136" s="10">
        <v>9750.0806253899991</v>
      </c>
      <c r="F136" s="10">
        <f t="shared" ref="F136:F142" si="67">+E136/B136*100</f>
        <v>62.966160374865751</v>
      </c>
      <c r="G136" s="10">
        <v>4766.4069151399999</v>
      </c>
      <c r="H136" s="10">
        <f t="shared" ref="H136:H142" si="68">+G136/B136*100</f>
        <v>30.781524149557445</v>
      </c>
      <c r="I136" s="10">
        <v>1082.7243204599999</v>
      </c>
      <c r="J136" s="10">
        <f t="shared" ref="J136:J142" si="69">+I136/B136*100</f>
        <v>6.9922491744651527</v>
      </c>
      <c r="K136" s="10">
        <v>462.56084700000008</v>
      </c>
      <c r="L136" s="10">
        <f t="shared" ref="L136:L142" si="70">+K136/B136*100</f>
        <v>2.9872245773527366</v>
      </c>
    </row>
    <row r="137" spans="1:12">
      <c r="A137" s="620">
        <v>2</v>
      </c>
      <c r="B137" s="10">
        <f t="shared" si="65"/>
        <v>15616.299975900001</v>
      </c>
      <c r="C137" s="10">
        <v>5274.1656870699999</v>
      </c>
      <c r="D137" s="10">
        <f t="shared" si="66"/>
        <v>33.773465514938906</v>
      </c>
      <c r="E137" s="10">
        <v>9879.5734418299999</v>
      </c>
      <c r="F137" s="10">
        <f t="shared" si="67"/>
        <v>63.264495796550669</v>
      </c>
      <c r="G137" s="10">
        <v>4799.21768041</v>
      </c>
      <c r="H137" s="10">
        <f t="shared" si="68"/>
        <v>30.732104837998993</v>
      </c>
      <c r="I137" s="10">
        <v>1100.4611071700001</v>
      </c>
      <c r="J137" s="10">
        <f t="shared" si="69"/>
        <v>7.0468747966438707</v>
      </c>
      <c r="K137" s="10">
        <v>462.56084700000008</v>
      </c>
      <c r="L137" s="10">
        <f t="shared" si="70"/>
        <v>2.9620386885104115</v>
      </c>
    </row>
    <row r="138" spans="1:12">
      <c r="A138" s="620">
        <v>3</v>
      </c>
      <c r="B138" s="10">
        <f t="shared" si="65"/>
        <v>15889.52008421</v>
      </c>
      <c r="C138" s="10">
        <v>5416.1901998499998</v>
      </c>
      <c r="D138" s="10">
        <f t="shared" si="66"/>
        <v>34.086556240501352</v>
      </c>
      <c r="E138" s="10">
        <v>10010.76903736</v>
      </c>
      <c r="F138" s="10">
        <f t="shared" si="67"/>
        <v>63.002337290904521</v>
      </c>
      <c r="G138" s="10">
        <v>4839.1705808999995</v>
      </c>
      <c r="H138" s="10">
        <f t="shared" si="68"/>
        <v>30.455108494490414</v>
      </c>
      <c r="I138" s="10">
        <v>1125.37731373</v>
      </c>
      <c r="J138" s="10">
        <f t="shared" si="69"/>
        <v>7.0825129252854442</v>
      </c>
      <c r="K138" s="10">
        <v>462.56084700000008</v>
      </c>
      <c r="L138" s="10">
        <f t="shared" si="70"/>
        <v>2.9111064685941259</v>
      </c>
    </row>
    <row r="139" spans="1:12">
      <c r="A139" s="620">
        <v>4</v>
      </c>
      <c r="B139" s="10">
        <f t="shared" si="65"/>
        <v>16245.38347723</v>
      </c>
      <c r="C139" s="10">
        <v>5534.403880150001</v>
      </c>
      <c r="D139" s="10">
        <f t="shared" si="66"/>
        <v>34.067548407873424</v>
      </c>
      <c r="E139" s="10">
        <v>10241.156988079998</v>
      </c>
      <c r="F139" s="10">
        <f t="shared" si="67"/>
        <v>63.040413927035331</v>
      </c>
      <c r="G139" s="10">
        <v>4907.5328787099997</v>
      </c>
      <c r="H139" s="10">
        <f t="shared" si="68"/>
        <v>30.208784456141281</v>
      </c>
      <c r="I139" s="10">
        <v>1130.5799736500001</v>
      </c>
      <c r="J139" s="10">
        <f t="shared" si="69"/>
        <v>6.9593923420438406</v>
      </c>
      <c r="K139" s="10">
        <v>469.82260900000006</v>
      </c>
      <c r="L139" s="10">
        <f t="shared" si="70"/>
        <v>2.8920376650912365</v>
      </c>
    </row>
    <row r="140" spans="1:12">
      <c r="A140" s="620">
        <v>5</v>
      </c>
      <c r="B140" s="10">
        <f t="shared" si="65"/>
        <v>16595.366183030001</v>
      </c>
      <c r="C140" s="10">
        <v>5700.0429088700002</v>
      </c>
      <c r="D140" s="10">
        <f t="shared" si="66"/>
        <v>34.347195753346618</v>
      </c>
      <c r="E140" s="10">
        <v>10425.50066516</v>
      </c>
      <c r="F140" s="10">
        <f t="shared" si="67"/>
        <v>62.821757291627897</v>
      </c>
      <c r="G140" s="10">
        <v>5142.5345605599996</v>
      </c>
      <c r="H140" s="10">
        <f t="shared" si="68"/>
        <v>30.987773959568454</v>
      </c>
      <c r="I140" s="10">
        <v>1210.0142604499999</v>
      </c>
      <c r="J140" s="10">
        <f t="shared" si="69"/>
        <v>7.2912778609689841</v>
      </c>
      <c r="K140" s="10">
        <v>469.822609</v>
      </c>
      <c r="L140" s="10">
        <f t="shared" si="70"/>
        <v>2.8310469550254855</v>
      </c>
    </row>
    <row r="141" spans="1:12">
      <c r="A141" s="620">
        <v>6</v>
      </c>
      <c r="B141" s="10">
        <f t="shared" si="65"/>
        <v>16754.79692809</v>
      </c>
      <c r="C141" s="10">
        <v>5785.2405458900002</v>
      </c>
      <c r="D141" s="10">
        <f t="shared" si="66"/>
        <v>34.528861022426618</v>
      </c>
      <c r="E141" s="10">
        <v>10499.7337732</v>
      </c>
      <c r="F141" s="10">
        <f t="shared" si="67"/>
        <v>62.667030930090419</v>
      </c>
      <c r="G141" s="10">
        <v>5224.7</v>
      </c>
      <c r="H141" s="10">
        <f t="shared" si="68"/>
        <v>31.183308412652909</v>
      </c>
      <c r="I141" s="10">
        <v>1374</v>
      </c>
      <c r="J141" s="10">
        <f t="shared" si="69"/>
        <v>8.2006365454447323</v>
      </c>
      <c r="K141" s="10">
        <v>469.82260900000006</v>
      </c>
      <c r="L141" s="10">
        <f t="shared" si="70"/>
        <v>2.8041080474829636</v>
      </c>
    </row>
    <row r="142" spans="1:12">
      <c r="A142" s="620">
        <v>7</v>
      </c>
      <c r="B142" s="10">
        <f t="shared" si="65"/>
        <v>17034.049879449998</v>
      </c>
      <c r="C142" s="10">
        <v>5894.2695014000001</v>
      </c>
      <c r="D142" s="10">
        <f t="shared" si="66"/>
        <v>34.602866277331323</v>
      </c>
      <c r="E142" s="10">
        <v>10637.64786705</v>
      </c>
      <c r="F142" s="10">
        <f t="shared" si="67"/>
        <v>62.449317351614283</v>
      </c>
      <c r="G142" s="10">
        <v>5281.6885351600004</v>
      </c>
      <c r="H142" s="10">
        <f t="shared" si="68"/>
        <v>31.00665180939659</v>
      </c>
      <c r="I142" s="10">
        <v>1252.6253331400001</v>
      </c>
      <c r="J142" s="10">
        <f t="shared" si="69"/>
        <v>7.3536554254850239</v>
      </c>
      <c r="K142" s="10">
        <v>502.13251100000002</v>
      </c>
      <c r="L142" s="10">
        <f t="shared" si="70"/>
        <v>2.9478163710544041</v>
      </c>
    </row>
    <row r="143" spans="1:12">
      <c r="A143" s="620">
        <v>8</v>
      </c>
      <c r="B143" s="10">
        <v>17308.94879876</v>
      </c>
      <c r="C143" s="10">
        <v>5977.2145451200004</v>
      </c>
      <c r="D143" s="10">
        <f>+C143/B143*100</f>
        <v>34.532510406109715</v>
      </c>
      <c r="E143" s="10">
        <v>10829.601742639999</v>
      </c>
      <c r="F143" s="10">
        <f>+E143/B143*100</f>
        <v>62.5664901349516</v>
      </c>
      <c r="G143" s="10">
        <v>5279.84264876</v>
      </c>
      <c r="H143" s="10">
        <f>+G143/B143*100</f>
        <v>30.503543052471471</v>
      </c>
      <c r="I143" s="10">
        <v>1252.5016159199999</v>
      </c>
      <c r="J143" s="10">
        <f>+I143/B143*100</f>
        <v>7.2361506783689151</v>
      </c>
      <c r="K143" s="10">
        <v>502.13251100000002</v>
      </c>
      <c r="L143" s="10">
        <f>+K143/B143*100</f>
        <v>2.9009994589386756</v>
      </c>
    </row>
    <row r="144" spans="1:12">
      <c r="A144" s="620">
        <v>9</v>
      </c>
      <c r="B144" s="10">
        <v>17631.590882649998</v>
      </c>
      <c r="C144" s="10">
        <v>6061.6913152599991</v>
      </c>
      <c r="D144" s="10">
        <f>+C144/B144*100</f>
        <v>34.379718515502084</v>
      </c>
      <c r="E144" s="10">
        <v>11067.767056390001</v>
      </c>
      <c r="F144" s="10">
        <f>+E144/B144*100</f>
        <v>62.77236767829617</v>
      </c>
      <c r="G144" s="10">
        <v>5418.8705381399996</v>
      </c>
      <c r="H144" s="10">
        <f>+G144/B144*100</f>
        <v>30.733871799806373</v>
      </c>
      <c r="I144" s="10">
        <v>1296.7896851999999</v>
      </c>
      <c r="J144" s="10">
        <f>+I144/B144*100</f>
        <v>7.3549215940353907</v>
      </c>
      <c r="K144" s="10">
        <v>502.13251100000002</v>
      </c>
      <c r="L144" s="10">
        <f>+K144/B144*100</f>
        <v>2.8479138062017597</v>
      </c>
    </row>
    <row r="145" spans="1:14">
      <c r="A145" s="620">
        <v>10</v>
      </c>
      <c r="B145" s="10">
        <v>17841.51790323</v>
      </c>
      <c r="C145" s="10">
        <v>6065.3269245600004</v>
      </c>
      <c r="D145" s="10">
        <f>+C145/B145*100</f>
        <v>33.995576819514575</v>
      </c>
      <c r="E145" s="10">
        <v>11251.02224667</v>
      </c>
      <c r="F145" s="10">
        <f>+E145/B145*100</f>
        <v>63.060902708469293</v>
      </c>
      <c r="G145" s="10">
        <v>5445.4810208600002</v>
      </c>
      <c r="H145" s="10">
        <f>+G145/B145*100</f>
        <v>30.521399862923985</v>
      </c>
      <c r="I145" s="10">
        <v>1322.1305225200001</v>
      </c>
      <c r="J145" s="10">
        <f>+I145/B145*100</f>
        <v>7.4104150201292214</v>
      </c>
      <c r="K145" s="10">
        <v>525.16873199999998</v>
      </c>
      <c r="L145" s="10">
        <f>+K145/B145*100</f>
        <v>2.9435204720161408</v>
      </c>
    </row>
    <row r="146" spans="1:14">
      <c r="A146" s="620">
        <v>11</v>
      </c>
      <c r="B146" s="10">
        <v>18151.900000000001</v>
      </c>
      <c r="C146" s="10">
        <v>6137.9</v>
      </c>
      <c r="D146" s="10">
        <f>+C146/B146*100</f>
        <v>33.814091086883465</v>
      </c>
      <c r="E146" s="10">
        <f>B146-C146-K146</f>
        <v>11488.831268000002</v>
      </c>
      <c r="F146" s="10">
        <f>+E146/B146*100</f>
        <v>63.292720144998604</v>
      </c>
      <c r="G146" s="10">
        <f>5550640904.74/1000000</f>
        <v>5550.6409047400002</v>
      </c>
      <c r="H146" s="10">
        <f>+G146/B146*100</f>
        <v>30.578842461340134</v>
      </c>
      <c r="I146" s="621">
        <f>1343361254.33/1000000</f>
        <v>1343.3612543299998</v>
      </c>
      <c r="J146" s="10">
        <f>+I146/B146*100</f>
        <v>7.4006646925666164</v>
      </c>
      <c r="K146" s="10">
        <v>525.16873199999998</v>
      </c>
      <c r="L146" s="10">
        <f>+K146/B146*100</f>
        <v>2.8931887681179376</v>
      </c>
    </row>
    <row r="147" spans="1:14">
      <c r="A147" s="620">
        <v>12</v>
      </c>
      <c r="B147" s="10">
        <v>18542.609915010002</v>
      </c>
      <c r="C147" s="10">
        <v>6143.8378956299994</v>
      </c>
      <c r="D147" s="10">
        <f>+C147/B147*100</f>
        <v>33.133619936946644</v>
      </c>
      <c r="E147" s="10">
        <v>11873.60328738</v>
      </c>
      <c r="F147" s="10">
        <f>+E147/B147*100</f>
        <v>64.034153454139556</v>
      </c>
      <c r="G147" s="10">
        <f>5580052797.99/1000000</f>
        <v>5580.0527979899998</v>
      </c>
      <c r="H147" s="10">
        <f>+G147/B147*100</f>
        <v>30.093135883061528</v>
      </c>
      <c r="I147" s="621">
        <f>1388610429.99/1000000</f>
        <v>1388.6104299900001</v>
      </c>
      <c r="J147" s="10">
        <f>+I147/B147*100</f>
        <v>7.4887539367688367</v>
      </c>
      <c r="K147" s="10">
        <v>525.16873199999998</v>
      </c>
      <c r="L147" s="10">
        <f>+K147/B147*100</f>
        <v>2.83222660891379</v>
      </c>
    </row>
    <row r="148" spans="1:14">
      <c r="A148" s="620">
        <v>2015</v>
      </c>
      <c r="B148" s="268">
        <v>21730.445</v>
      </c>
      <c r="C148" s="268">
        <v>7289.2825999999995</v>
      </c>
      <c r="D148" s="268">
        <v>33.563355125550117</v>
      </c>
      <c r="E148" s="268">
        <v>13875.177699999998</v>
      </c>
      <c r="F148" s="268">
        <v>63.830579806447496</v>
      </c>
      <c r="G148" s="268">
        <v>6394.0649999999996</v>
      </c>
      <c r="H148" s="268">
        <v>29.441343665943382</v>
      </c>
      <c r="I148" s="268">
        <v>1564.5170000000001</v>
      </c>
      <c r="J148" s="268">
        <v>7.2037870538086093</v>
      </c>
      <c r="K148" s="268">
        <v>565.98467882809996</v>
      </c>
      <c r="L148" s="268">
        <v>2.6060650680023869</v>
      </c>
    </row>
    <row r="149" spans="1:14">
      <c r="A149" s="620">
        <v>1</v>
      </c>
      <c r="B149" s="10">
        <v>18579.8</v>
      </c>
      <c r="C149" s="10">
        <v>6391.08</v>
      </c>
      <c r="D149" s="10">
        <f>+C149/B149*100</f>
        <v>34.398002131346949</v>
      </c>
      <c r="E149" s="10">
        <f>11629</f>
        <v>11629</v>
      </c>
      <c r="F149" s="10">
        <f>+E149/B149*100</f>
        <v>62.589478896435914</v>
      </c>
      <c r="G149" s="10">
        <f>5834001912.48/1000000</f>
        <v>5834.0019124799992</v>
      </c>
      <c r="H149" s="10">
        <f>G149/B149*100</f>
        <v>31.399702432103677</v>
      </c>
      <c r="I149" s="621">
        <f>1397908618.21/1000000</f>
        <v>1397.90861821</v>
      </c>
      <c r="J149" s="621">
        <f>+I149/B149*100</f>
        <v>7.5238087504171203</v>
      </c>
      <c r="K149" s="10">
        <v>559.47699999999998</v>
      </c>
      <c r="L149" s="10">
        <f>K149/B149*100</f>
        <v>3.0112111002271282</v>
      </c>
    </row>
    <row r="150" spans="1:14">
      <c r="A150" s="620">
        <v>2</v>
      </c>
      <c r="B150" s="10">
        <v>20697.2</v>
      </c>
      <c r="C150" s="10">
        <v>7438.7</v>
      </c>
      <c r="D150" s="10">
        <f>+C150/B150*100</f>
        <v>35.940610324101804</v>
      </c>
      <c r="E150" s="10">
        <v>12699.1</v>
      </c>
      <c r="F150" s="10">
        <f>+E150/B150*100</f>
        <v>61.356608623388674</v>
      </c>
      <c r="G150" s="10">
        <v>6450.3</v>
      </c>
      <c r="H150" s="10">
        <f>G150/B150*100</f>
        <v>31.165085132288421</v>
      </c>
      <c r="I150" s="621">
        <v>1587.3</v>
      </c>
      <c r="J150" s="621">
        <f>+I150/B150*100</f>
        <v>7.6691533154243086</v>
      </c>
      <c r="K150" s="10">
        <v>559.47699999999998</v>
      </c>
      <c r="L150" s="10">
        <f>K150/B150*100</f>
        <v>2.7031530835088802</v>
      </c>
    </row>
    <row r="151" spans="1:14">
      <c r="A151" s="620">
        <v>3</v>
      </c>
      <c r="B151" s="10">
        <v>20632.326099999998</v>
      </c>
      <c r="C151" s="10">
        <v>7440.8326999999999</v>
      </c>
      <c r="D151" s="10">
        <f>+C151/B151*100</f>
        <v>36.063954514561495</v>
      </c>
      <c r="E151" s="10">
        <v>12632.016</v>
      </c>
      <c r="F151" s="10">
        <f>+E151/B151*100</f>
        <v>61.224390981296096</v>
      </c>
      <c r="G151" s="10">
        <v>6302.9660000000003</v>
      </c>
      <c r="H151" s="10">
        <f>G151/B151*100</f>
        <v>30.548984004280548</v>
      </c>
      <c r="I151" s="621">
        <v>1525.278</v>
      </c>
      <c r="J151" s="621">
        <f>+I151/B151*100</f>
        <v>7.3926613635677274</v>
      </c>
      <c r="K151" s="10">
        <v>559.47699999999998</v>
      </c>
      <c r="L151" s="10">
        <f>K151/B151*100</f>
        <v>2.7116525654371082</v>
      </c>
    </row>
    <row r="152" spans="1:14">
      <c r="A152" s="620">
        <v>4</v>
      </c>
      <c r="B152" s="10">
        <v>20595.455000000002</v>
      </c>
      <c r="C152" s="10">
        <v>7413.9790000000003</v>
      </c>
      <c r="D152" s="10">
        <v>35.998131626613734</v>
      </c>
      <c r="E152" s="10">
        <v>12590.89</v>
      </c>
      <c r="F152" s="10">
        <v>61.134313371566684</v>
      </c>
      <c r="G152" s="10">
        <v>6183.2569999999996</v>
      </c>
      <c r="H152" s="10">
        <v>30.022434561411725</v>
      </c>
      <c r="I152" s="621">
        <v>1483.883</v>
      </c>
      <c r="J152" s="621">
        <v>7.2049051599005693</v>
      </c>
      <c r="K152" s="10">
        <v>590.58000000000004</v>
      </c>
      <c r="L152" s="10">
        <v>2.8675258691784182</v>
      </c>
    </row>
    <row r="153" spans="1:14">
      <c r="A153" s="620">
        <v>5</v>
      </c>
      <c r="B153" s="10">
        <v>20468.142632049003</v>
      </c>
      <c r="C153" s="10">
        <v>7335.5918780500006</v>
      </c>
      <c r="D153" s="10">
        <v>35.83906957226268</v>
      </c>
      <c r="E153" s="10">
        <v>12541.966004920001</v>
      </c>
      <c r="F153" s="10">
        <v>61.27554527239711</v>
      </c>
      <c r="G153" s="10">
        <v>6053.5615775300002</v>
      </c>
      <c r="H153" s="10">
        <v>29.575529574683234</v>
      </c>
      <c r="I153" s="621">
        <v>1445.2608528599999</v>
      </c>
      <c r="J153" s="621">
        <v>7.0610259017689829</v>
      </c>
      <c r="K153" s="10">
        <v>590.58000000000004</v>
      </c>
      <c r="L153" s="10">
        <v>2.8853619530443875</v>
      </c>
      <c r="N153" s="1974"/>
    </row>
    <row r="154" spans="1:14">
      <c r="A154" s="620">
        <v>6</v>
      </c>
      <c r="B154" s="10">
        <v>20288.462762638999</v>
      </c>
      <c r="C154" s="10">
        <v>7228.7329122299989</v>
      </c>
      <c r="D154" s="10">
        <f>+C154/B154*100</f>
        <v>35.629771445974889</v>
      </c>
      <c r="E154" s="10">
        <v>12469.145101330001</v>
      </c>
      <c r="F154" s="10">
        <f>+E154/B154*100</f>
        <v>61.459289682073923</v>
      </c>
      <c r="G154" s="10">
        <v>5913.0540622999997</v>
      </c>
      <c r="H154" s="10">
        <f>G154/B154*100</f>
        <v>29.144909259408401</v>
      </c>
      <c r="I154" s="10">
        <v>1410.78098819</v>
      </c>
      <c r="J154" s="10">
        <f>+I154/B154*100</f>
        <v>6.9536120340666665</v>
      </c>
      <c r="K154" s="10">
        <v>590.58000000000004</v>
      </c>
      <c r="L154" s="10">
        <f>K154/B154*100</f>
        <v>2.9109154641698489</v>
      </c>
      <c r="N154" s="1974"/>
    </row>
    <row r="155" spans="1:14">
      <c r="A155" s="620">
        <v>7</v>
      </c>
      <c r="B155" s="10">
        <v>20187.489584469764</v>
      </c>
      <c r="C155" s="10">
        <v>7225.1091152999998</v>
      </c>
      <c r="D155" s="10">
        <v>35.79003265893089</v>
      </c>
      <c r="E155" s="10">
        <v>12376.33596835</v>
      </c>
      <c r="F155" s="10">
        <v>61.30695902808597</v>
      </c>
      <c r="G155" s="10">
        <v>5833.3701156200004</v>
      </c>
      <c r="H155" s="10">
        <v>28.89596594569942</v>
      </c>
      <c r="I155" s="10">
        <v>1401.2975434099999</v>
      </c>
      <c r="J155" s="10">
        <v>6.9414155610909551</v>
      </c>
      <c r="K155" s="10">
        <v>586.04450081976404</v>
      </c>
      <c r="L155" s="10">
        <v>2.9030083129831463</v>
      </c>
      <c r="N155" s="1974"/>
    </row>
    <row r="156" spans="1:14">
      <c r="A156" s="620">
        <v>8</v>
      </c>
      <c r="B156" s="10">
        <v>20095.83823182977</v>
      </c>
      <c r="C156" s="10">
        <v>7261.848637189999</v>
      </c>
      <c r="D156" s="10">
        <v>36.136082274428183</v>
      </c>
      <c r="E156" s="10">
        <v>12247.945093819999</v>
      </c>
      <c r="F156" s="10">
        <v>60.947669624551892</v>
      </c>
      <c r="G156" s="10">
        <v>5742.7150000000001</v>
      </c>
      <c r="H156" s="10">
        <v>28.57663827580042</v>
      </c>
      <c r="I156" s="10">
        <v>1373.4176722899999</v>
      </c>
      <c r="J156" s="10">
        <v>6.8343388140667134</v>
      </c>
      <c r="K156" s="10">
        <v>586.04450081976404</v>
      </c>
      <c r="L156" s="10">
        <v>2.9162481010198866</v>
      </c>
      <c r="N156" s="1974"/>
    </row>
    <row r="157" spans="1:14">
      <c r="A157" s="620">
        <v>9</v>
      </c>
      <c r="B157" s="10">
        <v>19113.5</v>
      </c>
      <c r="C157" s="10">
        <v>6384.75000912</v>
      </c>
      <c r="D157" s="10">
        <f>+C157/19113.5113147398*100</f>
        <v>33.404380304503547</v>
      </c>
      <c r="E157" s="10">
        <v>12142.7168048</v>
      </c>
      <c r="F157" s="10">
        <f>+E157/19113.5113147398*100</f>
        <v>63.529492853758796</v>
      </c>
      <c r="G157" s="10">
        <v>5689.5767175199999</v>
      </c>
      <c r="H157" s="10">
        <f>G157/19113.5113147398*100</f>
        <v>29.767302427222564</v>
      </c>
      <c r="I157" s="10">
        <v>1348.4778199100001</v>
      </c>
      <c r="J157" s="10">
        <f>+I157/19113.5113147398*100</f>
        <v>7.0551025277605168</v>
      </c>
      <c r="K157" s="10">
        <v>586.04450081976404</v>
      </c>
      <c r="L157" s="10">
        <f>K157/19113.5113147398*100</f>
        <v>3.0661268417374625</v>
      </c>
      <c r="N157" s="1974"/>
    </row>
    <row r="158" spans="1:14">
      <c r="A158" s="620">
        <v>10</v>
      </c>
      <c r="B158" s="10">
        <v>18566.400000000001</v>
      </c>
      <c r="C158" s="10">
        <v>5836.7451687900002</v>
      </c>
      <c r="D158" s="10">
        <v>34.388706024300546</v>
      </c>
      <c r="E158" s="10">
        <v>12163.685546459999</v>
      </c>
      <c r="F158" s="10">
        <v>65.514453319512072</v>
      </c>
      <c r="G158" s="10">
        <v>5568.6453546000002</v>
      </c>
      <c r="H158" s="10">
        <f>G158/18566.4*100</f>
        <v>29.993134665847982</v>
      </c>
      <c r="I158" s="10">
        <v>1309.3817220799999</v>
      </c>
      <c r="J158" s="10">
        <f>I158/18566.4*100</f>
        <v>7.0524265451568411</v>
      </c>
      <c r="K158" s="10">
        <v>565.98467882809996</v>
      </c>
      <c r="L158" s="10">
        <v>3.0484327039705525</v>
      </c>
      <c r="N158" s="1974"/>
    </row>
    <row r="159" spans="1:14">
      <c r="A159" s="620">
        <v>11</v>
      </c>
      <c r="B159" s="10" t="s">
        <v>1838</v>
      </c>
      <c r="C159" s="10">
        <v>6148.5836420200003</v>
      </c>
      <c r="D159" s="10">
        <v>32.8024180258532</v>
      </c>
      <c r="E159" s="10">
        <v>12029.699111010003</v>
      </c>
      <c r="F159" s="10">
        <v>64.177905341943969</v>
      </c>
      <c r="G159" s="10">
        <v>5540.5159000000003</v>
      </c>
      <c r="H159" s="10">
        <v>29.558403888115325</v>
      </c>
      <c r="I159" s="10">
        <v>1275.501</v>
      </c>
      <c r="J159" s="10">
        <v>6.8047406411549121</v>
      </c>
      <c r="K159" s="10">
        <v>565.98467882809996</v>
      </c>
      <c r="L159" s="10">
        <v>3.0195028826261847</v>
      </c>
      <c r="N159" s="1974"/>
    </row>
    <row r="160" spans="1:14">
      <c r="A160" s="620">
        <v>12</v>
      </c>
      <c r="B160" s="10">
        <v>21730.445</v>
      </c>
      <c r="C160" s="10">
        <v>7289.2825999999995</v>
      </c>
      <c r="D160" s="10">
        <v>33.563355125550117</v>
      </c>
      <c r="E160" s="10">
        <v>13875.177699999998</v>
      </c>
      <c r="F160" s="10">
        <v>63.830579806447496</v>
      </c>
      <c r="G160" s="10">
        <v>6394.0649999999996</v>
      </c>
      <c r="H160" s="10">
        <v>29.441343665943382</v>
      </c>
      <c r="I160" s="10">
        <v>1564.5170000000001</v>
      </c>
      <c r="J160" s="10">
        <v>7.2037870538086093</v>
      </c>
      <c r="K160" s="10">
        <v>565.98467882809996</v>
      </c>
      <c r="L160" s="10">
        <v>2.6060650680023869</v>
      </c>
      <c r="N160" s="1974"/>
    </row>
    <row r="161" spans="1:14">
      <c r="A161" s="620">
        <v>2016</v>
      </c>
      <c r="B161" s="268">
        <v>16444.561727330001</v>
      </c>
      <c r="C161" s="268">
        <v>5749.2115696199999</v>
      </c>
      <c r="D161" s="268">
        <v>34.961172361712208</v>
      </c>
      <c r="E161" s="268">
        <v>10221.976421360001</v>
      </c>
      <c r="F161" s="268">
        <v>62.160224096283521</v>
      </c>
      <c r="G161" s="268">
        <v>4328.8400243999986</v>
      </c>
      <c r="H161" s="268">
        <v>26.323839432009265</v>
      </c>
      <c r="I161" s="268">
        <v>1248.7765111199994</v>
      </c>
      <c r="J161" s="268">
        <v>7.5938570563701804</v>
      </c>
      <c r="K161" s="268">
        <v>473.37373634999994</v>
      </c>
      <c r="L161" s="268">
        <v>2.8786035420042695</v>
      </c>
      <c r="N161" s="1974"/>
    </row>
    <row r="162" spans="1:14">
      <c r="A162" s="620">
        <v>1</v>
      </c>
      <c r="B162" s="10">
        <v>21199.450080179002</v>
      </c>
      <c r="C162" s="10">
        <v>7707.0342162100005</v>
      </c>
      <c r="D162" s="10">
        <v>36.377678804134689</v>
      </c>
      <c r="E162" s="10">
        <v>12896.911554990002</v>
      </c>
      <c r="F162" s="10">
        <v>60.811503977362122</v>
      </c>
      <c r="G162" s="10">
        <v>5594.3507517999997</v>
      </c>
      <c r="H162" s="10">
        <v>26.405682011715182</v>
      </c>
      <c r="I162" s="10">
        <v>1545.84721517</v>
      </c>
      <c r="J162" s="10">
        <v>7.2964945913233601</v>
      </c>
      <c r="K162" s="10">
        <v>595.50430897899992</v>
      </c>
      <c r="L162" s="10">
        <v>2.8108172185031814</v>
      </c>
      <c r="N162" s="1974"/>
    </row>
    <row r="163" spans="1:14">
      <c r="A163" s="620">
        <v>2</v>
      </c>
      <c r="B163" s="10">
        <v>20327.413122969003</v>
      </c>
      <c r="C163" s="10">
        <v>7170.0655310799993</v>
      </c>
      <c r="D163" s="10">
        <v>35.272887345306955</v>
      </c>
      <c r="E163" s="10">
        <v>12561.84328291</v>
      </c>
      <c r="F163" s="10">
        <v>61.797549973123331</v>
      </c>
      <c r="G163" s="10">
        <v>5594.3507517999997</v>
      </c>
      <c r="H163" s="10">
        <v>27.521213437034202</v>
      </c>
      <c r="I163" s="10">
        <v>1545.84721517</v>
      </c>
      <c r="J163" s="10">
        <v>7.6047414681766208</v>
      </c>
      <c r="K163" s="10">
        <v>595.50430897899992</v>
      </c>
      <c r="L163" s="10">
        <v>2.9295626815696907</v>
      </c>
      <c r="N163" s="1974"/>
    </row>
    <row r="164" spans="1:14">
      <c r="A164" s="620">
        <v>3</v>
      </c>
      <c r="B164" s="10">
        <v>19686.956662109002</v>
      </c>
      <c r="C164" s="10">
        <v>6796.7561584599998</v>
      </c>
      <c r="D164" s="10">
        <v>34.524158685946354</v>
      </c>
      <c r="E164" s="10">
        <v>12294.696194669999</v>
      </c>
      <c r="F164" s="10">
        <v>62.450974041779126</v>
      </c>
      <c r="G164" s="10">
        <v>5255.2093577799997</v>
      </c>
      <c r="H164" s="10">
        <v>26.693863596980282</v>
      </c>
      <c r="I164" s="10">
        <v>1413.60334941</v>
      </c>
      <c r="J164" s="10">
        <v>7.1804056547283777</v>
      </c>
      <c r="K164" s="10">
        <v>595.50430897899992</v>
      </c>
      <c r="L164" s="10">
        <v>3.024867272274502</v>
      </c>
      <c r="N164" s="1974"/>
    </row>
    <row r="165" spans="1:14">
      <c r="A165" s="620">
        <v>4</v>
      </c>
      <c r="B165" s="10">
        <v>18758.68189168</v>
      </c>
      <c r="C165" s="10">
        <v>6168.6413917199998</v>
      </c>
      <c r="D165" s="10">
        <v>32.884194248509353</v>
      </c>
      <c r="E165" s="10">
        <v>12041.183481869999</v>
      </c>
      <c r="F165" s="10">
        <v>64.189923105474705</v>
      </c>
      <c r="G165" s="10">
        <v>5097.8565199900004</v>
      </c>
      <c r="H165" s="10">
        <v>27.175984695657334</v>
      </c>
      <c r="I165" s="10">
        <v>1343.06843789</v>
      </c>
      <c r="J165" s="10">
        <v>7.1597164749922459</v>
      </c>
      <c r="K165" s="10">
        <v>548.85701809000011</v>
      </c>
      <c r="L165" s="10">
        <v>2.9258826460159417</v>
      </c>
      <c r="N165" s="1974"/>
    </row>
    <row r="166" spans="1:14">
      <c r="A166" s="620">
        <v>5</v>
      </c>
      <c r="B166" s="10">
        <v>18197.110367269997</v>
      </c>
      <c r="C166" s="10">
        <v>5834.3229912400002</v>
      </c>
      <c r="D166" s="10">
        <v>32.061810218691818</v>
      </c>
      <c r="E166" s="10">
        <v>11813.93035794</v>
      </c>
      <c r="F166" s="10">
        <v>64.922012998222939</v>
      </c>
      <c r="G166" s="10">
        <v>4707.4520723599999</v>
      </c>
      <c r="H166" s="10">
        <v>25.86922856074445</v>
      </c>
      <c r="I166" s="10">
        <v>1303.5531551500001</v>
      </c>
      <c r="J166" s="10">
        <v>7.1635173323706347</v>
      </c>
      <c r="K166" s="10">
        <v>548.85701809000011</v>
      </c>
      <c r="L166" s="10">
        <v>3.0161767830852684</v>
      </c>
      <c r="N166" s="1974"/>
    </row>
    <row r="167" spans="1:14">
      <c r="A167" s="620">
        <v>6</v>
      </c>
      <c r="B167" s="10">
        <v>18434.217382689993</v>
      </c>
      <c r="C167" s="10">
        <v>5878.1800472599998</v>
      </c>
      <c r="D167" s="10">
        <v>31.887331722472251</v>
      </c>
      <c r="E167" s="10">
        <v>12007.180317339997</v>
      </c>
      <c r="F167" s="10">
        <v>65.135286560171096</v>
      </c>
      <c r="G167" s="10">
        <v>4706.5652199600017</v>
      </c>
      <c r="H167" s="10">
        <v>25.531679063194389</v>
      </c>
      <c r="I167" s="10">
        <v>1303.4706014400001</v>
      </c>
      <c r="J167" s="10">
        <v>7.070929968873962</v>
      </c>
      <c r="K167" s="10">
        <v>548.85701809000011</v>
      </c>
      <c r="L167" s="10">
        <v>2.9773817173566863</v>
      </c>
      <c r="N167" s="1974"/>
    </row>
    <row r="168" spans="1:14">
      <c r="A168" s="620">
        <v>7</v>
      </c>
      <c r="B168" s="10">
        <v>16713.351003940003</v>
      </c>
      <c r="C168" s="10">
        <v>5417.7973825300005</v>
      </c>
      <c r="D168" s="10">
        <v>32.415985168101898</v>
      </c>
      <c r="E168" s="10">
        <v>10784.524531000001</v>
      </c>
      <c r="F168" s="10">
        <v>64.526404839207046</v>
      </c>
      <c r="G168" s="10">
        <v>4370.1933948400001</v>
      </c>
      <c r="H168" s="10">
        <v>26.147918474336901</v>
      </c>
      <c r="I168" s="10">
        <v>1303.7071080999999</v>
      </c>
      <c r="J168" s="10">
        <v>7.8003932771630549</v>
      </c>
      <c r="K168" s="10">
        <v>511.02909040999998</v>
      </c>
      <c r="L168" s="10">
        <v>3.0576099926910532</v>
      </c>
      <c r="N168" s="1974"/>
    </row>
    <row r="169" spans="1:14">
      <c r="A169" s="620">
        <v>8</v>
      </c>
      <c r="B169" s="10">
        <v>16839.653401849999</v>
      </c>
      <c r="C169" s="10">
        <v>5512.5931063099997</v>
      </c>
      <c r="D169" s="10">
        <v>32.735787220563509</v>
      </c>
      <c r="E169" s="10">
        <v>10816.031205129999</v>
      </c>
      <c r="F169" s="10">
        <v>64.229535769077955</v>
      </c>
      <c r="G169" s="10">
        <v>4368.8197552599977</v>
      </c>
      <c r="H169" s="10">
        <v>25.943644153507584</v>
      </c>
      <c r="I169" s="10">
        <v>1312.10599237</v>
      </c>
      <c r="J169" s="10">
        <v>7.7917636489231574</v>
      </c>
      <c r="K169" s="10">
        <v>511.02909040999998</v>
      </c>
      <c r="L169" s="10">
        <v>3.0346770103585294</v>
      </c>
      <c r="N169" s="1974"/>
    </row>
    <row r="170" spans="1:14">
      <c r="A170" s="620">
        <v>9</v>
      </c>
      <c r="B170" s="10">
        <v>16785.056773860004</v>
      </c>
      <c r="C170" s="10">
        <v>5509.4845696799994</v>
      </c>
      <c r="D170" s="10">
        <v>32.823747002513123</v>
      </c>
      <c r="E170" s="10">
        <v>10764.543113770003</v>
      </c>
      <c r="F170" s="10">
        <v>64.131705116029323</v>
      </c>
      <c r="G170" s="10">
        <v>4306.7636263500008</v>
      </c>
      <c r="H170" s="10">
        <v>25.658320280793355</v>
      </c>
      <c r="I170" s="10">
        <v>1288.4180879400001</v>
      </c>
      <c r="J170" s="10">
        <v>7.6759829013298404</v>
      </c>
      <c r="K170" s="10">
        <v>511.02909040999998</v>
      </c>
      <c r="L170" s="10">
        <v>3.0445478814575395</v>
      </c>
      <c r="N170" s="1974"/>
    </row>
    <row r="171" spans="1:14">
      <c r="A171" s="620">
        <v>10</v>
      </c>
      <c r="B171" s="10">
        <v>15820.032012370004</v>
      </c>
      <c r="C171" s="10">
        <v>5528.7770955400001</v>
      </c>
      <c r="D171" s="10">
        <v>34.94795137719656</v>
      </c>
      <c r="E171" s="10">
        <v>9817.8811804800025</v>
      </c>
      <c r="F171" s="10">
        <v>62.059806028225495</v>
      </c>
      <c r="G171" s="10">
        <v>4249.3130204200006</v>
      </c>
      <c r="H171" s="10">
        <v>26.86033136404134</v>
      </c>
      <c r="I171" s="10">
        <v>1282.6680255100002</v>
      </c>
      <c r="J171" s="10">
        <v>8.1078725030837866</v>
      </c>
      <c r="K171" s="10">
        <v>473.37373634999994</v>
      </c>
      <c r="L171" s="10">
        <v>2.9922425945779341</v>
      </c>
      <c r="N171" s="1974"/>
    </row>
    <row r="172" spans="1:14">
      <c r="A172" s="620">
        <v>11</v>
      </c>
      <c r="B172" s="10">
        <v>16275.489472970001</v>
      </c>
      <c r="C172" s="10">
        <v>5681.815099129999</v>
      </c>
      <c r="D172" s="10">
        <v>34.910256361667287</v>
      </c>
      <c r="E172" s="10">
        <v>10120.300637490003</v>
      </c>
      <c r="F172" s="10">
        <v>62.181236725922076</v>
      </c>
      <c r="G172" s="10">
        <v>4308.3288178700004</v>
      </c>
      <c r="H172" s="10">
        <v>26.471270341977636</v>
      </c>
      <c r="I172" s="10">
        <v>1274.96081912</v>
      </c>
      <c r="J172" s="10">
        <v>7.8336250423523586</v>
      </c>
      <c r="K172" s="10">
        <v>473.37373634999994</v>
      </c>
      <c r="L172" s="10">
        <v>2.9085069124106488</v>
      </c>
      <c r="N172" s="1974"/>
    </row>
    <row r="173" spans="1:14">
      <c r="A173" s="620">
        <v>12</v>
      </c>
      <c r="B173" s="10">
        <v>16444.561727330001</v>
      </c>
      <c r="C173" s="10">
        <v>5749.2115696199999</v>
      </c>
      <c r="D173" s="10">
        <v>34.961172361712208</v>
      </c>
      <c r="E173" s="10">
        <v>10221.976421360001</v>
      </c>
      <c r="F173" s="10">
        <v>62.160224096283521</v>
      </c>
      <c r="G173" s="10">
        <v>4328.8400243999986</v>
      </c>
      <c r="H173" s="10">
        <v>26.323839432009265</v>
      </c>
      <c r="I173" s="10">
        <v>1248.7765111199994</v>
      </c>
      <c r="J173" s="10">
        <v>7.5938570563701804</v>
      </c>
      <c r="K173" s="10">
        <v>473.37373634999994</v>
      </c>
      <c r="L173" s="10">
        <v>2.8786035420042695</v>
      </c>
      <c r="N173" s="1974"/>
    </row>
    <row r="174" spans="1:14">
      <c r="A174" s="620">
        <v>2017</v>
      </c>
      <c r="B174" s="268">
        <v>11757.786958620001</v>
      </c>
      <c r="C174" s="268">
        <v>1916.1605169699999</v>
      </c>
      <c r="D174" s="268">
        <v>16.296948768621824</v>
      </c>
      <c r="E174" s="268">
        <v>9421.3959492000013</v>
      </c>
      <c r="F174" s="268">
        <v>80.128990109766207</v>
      </c>
      <c r="G174" s="268">
        <v>3456.2944338799994</v>
      </c>
      <c r="H174" s="268">
        <v>29.395790602806272</v>
      </c>
      <c r="I174" s="268">
        <v>1063.5623707</v>
      </c>
      <c r="J174" s="268">
        <v>9.0455999453219302</v>
      </c>
      <c r="K174" s="268">
        <v>420.23049245000004</v>
      </c>
      <c r="L174" s="268">
        <v>3.5740611216119711</v>
      </c>
      <c r="N174" s="1974"/>
    </row>
    <row r="175" spans="1:14">
      <c r="A175" s="620">
        <v>1</v>
      </c>
      <c r="B175" s="10">
        <v>16705.157127140879</v>
      </c>
      <c r="C175" s="10">
        <v>5769.4076438299999</v>
      </c>
      <c r="D175" s="10">
        <v>34.536685886398757</v>
      </c>
      <c r="E175" s="10">
        <v>10481.35095211</v>
      </c>
      <c r="F175" s="10">
        <v>62.743204821946527</v>
      </c>
      <c r="G175" s="10">
        <v>4425.1076102500001</v>
      </c>
      <c r="H175" s="10">
        <v>26.489470147278798</v>
      </c>
      <c r="I175" s="10">
        <v>1296.0952736200004</v>
      </c>
      <c r="J175" s="10">
        <v>7.7586535927533031</v>
      </c>
      <c r="K175" s="10">
        <v>454.39853120088111</v>
      </c>
      <c r="L175" s="10">
        <v>2.7201092916547283</v>
      </c>
      <c r="N175" s="1974"/>
    </row>
    <row r="176" spans="1:14">
      <c r="A176" s="620">
        <v>2</v>
      </c>
      <c r="B176" s="10">
        <v>15878.566380650882</v>
      </c>
      <c r="C176" s="10">
        <v>4311.4658067699993</v>
      </c>
      <c r="D176" s="10">
        <v>27.152739758822403</v>
      </c>
      <c r="E176" s="10">
        <v>11112.702042679999</v>
      </c>
      <c r="F176" s="10">
        <v>69.985550183054229</v>
      </c>
      <c r="G176" s="10">
        <v>4128.5768365599997</v>
      </c>
      <c r="H176" s="10">
        <v>26.000942009418132</v>
      </c>
      <c r="I176" s="10">
        <v>1188.5443008099999</v>
      </c>
      <c r="J176" s="10">
        <v>7.4852116514644695</v>
      </c>
      <c r="K176" s="10">
        <v>454.39853120088111</v>
      </c>
      <c r="L176" s="10">
        <v>2.861710058123363</v>
      </c>
      <c r="N176" s="1974"/>
    </row>
    <row r="177" spans="1:15">
      <c r="A177" s="620">
        <v>3</v>
      </c>
      <c r="B177" s="10">
        <v>15533.337990800879</v>
      </c>
      <c r="C177" s="10">
        <v>5286.1553586700002</v>
      </c>
      <c r="D177" s="10">
        <v>34.031032877804861</v>
      </c>
      <c r="E177" s="10">
        <v>9792.7841009299991</v>
      </c>
      <c r="F177" s="10">
        <v>63.043655566687995</v>
      </c>
      <c r="G177" s="10">
        <v>4057.4750497199998</v>
      </c>
      <c r="H177" s="10">
        <v>26.121076179008718</v>
      </c>
      <c r="I177" s="10">
        <v>1156.6071268200001</v>
      </c>
      <c r="J177" s="10">
        <v>7.4459663950205908</v>
      </c>
      <c r="K177" s="10">
        <v>454.39853120088111</v>
      </c>
      <c r="L177" s="10">
        <f>K177/B177*100</f>
        <v>2.9253115555071556</v>
      </c>
      <c r="N177" s="1974"/>
    </row>
    <row r="178" spans="1:15">
      <c r="A178" s="620">
        <v>4</v>
      </c>
      <c r="B178" s="10">
        <v>15453.511481964539</v>
      </c>
      <c r="C178" s="10">
        <v>5383.7175419199993</v>
      </c>
      <c r="D178" s="10">
        <v>34.838150204264061</v>
      </c>
      <c r="E178" s="10">
        <v>9670.6328498399998</v>
      </c>
      <c r="F178" s="10">
        <v>62.578869929506887</v>
      </c>
      <c r="G178" s="10">
        <v>3997.9841687800013</v>
      </c>
      <c r="H178" s="10">
        <v>25.871040206272617</v>
      </c>
      <c r="I178" s="10">
        <v>1136.65306401</v>
      </c>
      <c r="J178" s="10">
        <v>7.3553060437853448</v>
      </c>
      <c r="K178" s="10">
        <v>399.16109020453808</v>
      </c>
      <c r="L178" s="10">
        <f>K178/B178*100</f>
        <v>2.5829798662290471</v>
      </c>
      <c r="N178" s="1974"/>
    </row>
    <row r="179" spans="1:15">
      <c r="A179" s="620">
        <v>5</v>
      </c>
      <c r="B179" s="10">
        <v>14794.004973694538</v>
      </c>
      <c r="C179" s="10">
        <v>4765.6318295600004</v>
      </c>
      <c r="D179" s="10">
        <f>C179/B179*100</f>
        <v>32.213263670208633</v>
      </c>
      <c r="E179" s="10">
        <v>9629.2120539299995</v>
      </c>
      <c r="F179" s="10">
        <f>E179/B179*100</f>
        <v>65.088609007850536</v>
      </c>
      <c r="G179" s="10">
        <v>3941.3674639800006</v>
      </c>
      <c r="H179" s="10">
        <f>G179/B179*100</f>
        <v>26.641652960021379</v>
      </c>
      <c r="I179" s="10">
        <v>1114.2346238500002</v>
      </c>
      <c r="J179" s="10">
        <f>I179/B179*100</f>
        <v>7.5316631691772367</v>
      </c>
      <c r="K179" s="10">
        <v>399.16109020453808</v>
      </c>
      <c r="L179" s="10">
        <f>K179/B179*100</f>
        <v>2.698127321940833</v>
      </c>
      <c r="N179" s="1974"/>
      <c r="O179" s="214"/>
    </row>
    <row r="180" spans="1:15">
      <c r="A180" s="620">
        <v>6</v>
      </c>
      <c r="B180" s="10">
        <v>13881.99544171454</v>
      </c>
      <c r="C180" s="10">
        <v>3855.6910709700005</v>
      </c>
      <c r="D180" s="10">
        <v>27.774761108074468</v>
      </c>
      <c r="E180" s="10">
        <v>9627.14328054</v>
      </c>
      <c r="F180" s="10">
        <v>69.349851906816141</v>
      </c>
      <c r="G180" s="10">
        <v>3877.44597901</v>
      </c>
      <c r="H180" s="10">
        <v>27.931474227102211</v>
      </c>
      <c r="I180" s="10">
        <v>1097.3545581100002</v>
      </c>
      <c r="J180" s="10">
        <v>7.9048762313558854</v>
      </c>
      <c r="K180" s="10">
        <v>399.16109020453808</v>
      </c>
      <c r="L180" s="10">
        <v>2.8753869851093858</v>
      </c>
      <c r="N180" s="1974"/>
      <c r="O180" s="214"/>
    </row>
    <row r="181" spans="1:15">
      <c r="A181" s="620">
        <v>7</v>
      </c>
      <c r="B181" s="10">
        <v>12860.844876327879</v>
      </c>
      <c r="C181" s="10">
        <v>2895.7111484000002</v>
      </c>
      <c r="D181" s="10">
        <v>22.515714762487708</v>
      </c>
      <c r="E181" s="10">
        <v>9512.7918661399981</v>
      </c>
      <c r="F181" s="10">
        <v>73.96708348181366</v>
      </c>
      <c r="G181" s="10">
        <v>3829.1198198099996</v>
      </c>
      <c r="H181" s="10">
        <v>29.773470224013131</v>
      </c>
      <c r="I181" s="10">
        <v>1091.9311276499998</v>
      </c>
      <c r="J181" s="10">
        <v>8.4903529911930313</v>
      </c>
      <c r="K181" s="10">
        <v>452.34186178788082</v>
      </c>
      <c r="L181" s="10">
        <v>3.517201755698625</v>
      </c>
      <c r="N181" s="1974"/>
    </row>
    <row r="182" spans="1:15">
      <c r="A182" s="620">
        <v>8</v>
      </c>
      <c r="B182" s="10">
        <v>12376.603710087882</v>
      </c>
      <c r="C182" s="10">
        <v>2426.7057194399999</v>
      </c>
      <c r="D182" s="10">
        <v>19.607202236442689</v>
      </c>
      <c r="E182" s="10">
        <v>9497.5561288600002</v>
      </c>
      <c r="F182" s="10">
        <v>76.737983628891357</v>
      </c>
      <c r="G182" s="10">
        <v>3769.7020814500006</v>
      </c>
      <c r="H182" s="10">
        <v>30.458291868692573</v>
      </c>
      <c r="I182" s="10">
        <v>1086.5359578</v>
      </c>
      <c r="J182" s="10">
        <v>8.7789508596319514</v>
      </c>
      <c r="K182" s="10">
        <v>452.34186178788082</v>
      </c>
      <c r="L182" s="10">
        <v>3.654814134665938</v>
      </c>
      <c r="N182" s="1974"/>
    </row>
    <row r="183" spans="1:15">
      <c r="A183" s="620">
        <v>9</v>
      </c>
      <c r="B183" s="10">
        <v>12437.248015267882</v>
      </c>
      <c r="C183" s="10">
        <v>2347.91655614</v>
      </c>
      <c r="D183" s="10">
        <v>18.878103526260098</v>
      </c>
      <c r="E183" s="10">
        <v>9636.9895973400016</v>
      </c>
      <c r="F183" s="10">
        <v>77.484903296209083</v>
      </c>
      <c r="G183" s="10">
        <v>3778.5411907900016</v>
      </c>
      <c r="H183" s="10">
        <v>30.38084619806158</v>
      </c>
      <c r="I183" s="10">
        <v>1085.14156243</v>
      </c>
      <c r="J183" s="10">
        <v>8.7249330486767462</v>
      </c>
      <c r="K183" s="10">
        <v>452.34186178788082</v>
      </c>
      <c r="L183" s="10">
        <v>3.6369931775308251</v>
      </c>
      <c r="N183" s="1974"/>
    </row>
    <row r="184" spans="1:15">
      <c r="A184" s="620">
        <v>10</v>
      </c>
      <c r="B184" s="10">
        <v>12152.182179499998</v>
      </c>
      <c r="C184" s="10">
        <v>2144.8202990100003</v>
      </c>
      <c r="D184" s="10">
        <v>17.649672028684556</v>
      </c>
      <c r="E184" s="10">
        <v>9587.1288497700007</v>
      </c>
      <c r="F184" s="10">
        <v>78.892240983211323</v>
      </c>
      <c r="G184" s="10">
        <v>3772.1436409600001</v>
      </c>
      <c r="H184" s="10">
        <v>31.040874677828484</v>
      </c>
      <c r="I184" s="10">
        <v>1089.5049662700001</v>
      </c>
      <c r="J184" s="10">
        <v>8.965508829417729</v>
      </c>
      <c r="K184" s="10">
        <v>420.23303071999999</v>
      </c>
      <c r="L184" s="10">
        <v>3.4580869881041441</v>
      </c>
      <c r="N184" s="1974"/>
    </row>
    <row r="185" spans="1:15">
      <c r="A185" s="620">
        <v>11</v>
      </c>
      <c r="B185" s="10">
        <v>12226.17449557</v>
      </c>
      <c r="C185" s="10">
        <v>2190.5497410100002</v>
      </c>
      <c r="D185" s="10">
        <v>17.916885954831731</v>
      </c>
      <c r="E185" s="10">
        <v>9615.3917238400027</v>
      </c>
      <c r="F185" s="10">
        <v>78.645955260363891</v>
      </c>
      <c r="G185" s="10">
        <v>3767.2430932600018</v>
      </c>
      <c r="H185" s="10">
        <v>30.812934124447633</v>
      </c>
      <c r="I185" s="10">
        <v>1082.9896267400006</v>
      </c>
      <c r="J185" s="10">
        <v>8.8579598396244741</v>
      </c>
      <c r="K185" s="10">
        <v>420.23303071999999</v>
      </c>
      <c r="L185" s="10">
        <v>3.4371587848044061</v>
      </c>
      <c r="N185" s="1974"/>
    </row>
    <row r="186" spans="1:15">
      <c r="A186" s="620">
        <v>12</v>
      </c>
      <c r="B186" s="10">
        <v>11757.786958620001</v>
      </c>
      <c r="C186" s="10">
        <v>1916.1605169699999</v>
      </c>
      <c r="D186" s="10">
        <v>16.296948768621824</v>
      </c>
      <c r="E186" s="10">
        <v>9421.3959492000013</v>
      </c>
      <c r="F186" s="10">
        <v>80.128990109766207</v>
      </c>
      <c r="G186" s="10">
        <v>3456.2944338799994</v>
      </c>
      <c r="H186" s="10">
        <v>29.395790602806272</v>
      </c>
      <c r="I186" s="10">
        <v>1063.5623707</v>
      </c>
      <c r="J186" s="10">
        <v>9.0455999453219302</v>
      </c>
      <c r="K186" s="10">
        <v>420.23049245000004</v>
      </c>
      <c r="L186" s="10">
        <v>3.5740611216119711</v>
      </c>
      <c r="N186" s="1974"/>
    </row>
    <row r="187" spans="1:15">
      <c r="A187" s="620">
        <v>2018</v>
      </c>
      <c r="B187" s="268">
        <v>13020.303367349999</v>
      </c>
      <c r="C187" s="268">
        <v>2098.4319377200004</v>
      </c>
      <c r="D187" s="268">
        <f>C187/B187*100</f>
        <v>16.11661325021101</v>
      </c>
      <c r="E187" s="268">
        <v>10529.823984429999</v>
      </c>
      <c r="F187" s="268">
        <f>+E187/B187*100</f>
        <v>80.872339816864923</v>
      </c>
      <c r="G187" s="268">
        <v>3349.49688668</v>
      </c>
      <c r="H187" s="268">
        <f>+G187/B187*100</f>
        <v>25.725183140350421</v>
      </c>
      <c r="I187" s="268">
        <v>1071.32301628</v>
      </c>
      <c r="J187" s="268">
        <f>+I187/B187*100</f>
        <v>8.2280956599404078</v>
      </c>
      <c r="K187" s="268">
        <v>392.04744520000003</v>
      </c>
      <c r="L187" s="268">
        <f>K187/B187*100</f>
        <v>3.0110469329240583</v>
      </c>
      <c r="N187" s="1974"/>
    </row>
    <row r="188" spans="1:15">
      <c r="A188" s="620">
        <v>1</v>
      </c>
      <c r="B188" s="10">
        <v>11656.141583430008</v>
      </c>
      <c r="C188" s="10">
        <v>1861.9422102500002</v>
      </c>
      <c r="D188" s="10">
        <v>15.973915527046076</v>
      </c>
      <c r="E188" s="10">
        <v>9380.2687822099997</v>
      </c>
      <c r="F188" s="10">
        <v>80.474904281745225</v>
      </c>
      <c r="G188" s="10">
        <v>3304.1642406400001</v>
      </c>
      <c r="H188" s="10">
        <v>28.346981005593591</v>
      </c>
      <c r="I188" s="10">
        <v>1046.11326261</v>
      </c>
      <c r="J188" s="10">
        <v>8.9747817073286118</v>
      </c>
      <c r="K188" s="10">
        <v>413.93059097000787</v>
      </c>
      <c r="L188" s="10">
        <v>3.5511801912087115</v>
      </c>
      <c r="N188" s="1974"/>
    </row>
    <row r="189" spans="1:15">
      <c r="A189" s="620">
        <v>2</v>
      </c>
      <c r="B189" s="10">
        <v>11561.095831580007</v>
      </c>
      <c r="C189" s="10">
        <v>1814.18733815</v>
      </c>
      <c r="D189" s="10">
        <v>15.692174553163118</v>
      </c>
      <c r="E189" s="10">
        <v>9332.9779024599993</v>
      </c>
      <c r="F189" s="10">
        <v>80.727450394159561</v>
      </c>
      <c r="G189" s="10">
        <v>3261.6062491500002</v>
      </c>
      <c r="H189" s="10">
        <v>28.211912578742549</v>
      </c>
      <c r="I189" s="10">
        <v>1046.9560222900002</v>
      </c>
      <c r="J189" s="10">
        <v>9.0558545447755971</v>
      </c>
      <c r="K189" s="10">
        <v>413.93059097000787</v>
      </c>
      <c r="L189" s="10">
        <v>3.5803750526773177</v>
      </c>
      <c r="N189" s="1974"/>
    </row>
    <row r="190" spans="1:15">
      <c r="A190" s="620">
        <v>3</v>
      </c>
      <c r="B190" s="10">
        <v>11663.483887770006</v>
      </c>
      <c r="C190" s="10">
        <v>1798.8277420900001</v>
      </c>
      <c r="D190" s="10">
        <v>15.422730973000265</v>
      </c>
      <c r="E190" s="10">
        <v>9450.7255547099994</v>
      </c>
      <c r="F190" s="10">
        <v>81.028324346722499</v>
      </c>
      <c r="G190" s="10">
        <v>3263.1429521800001</v>
      </c>
      <c r="H190" s="10">
        <v>27.977429244804274</v>
      </c>
      <c r="I190" s="10">
        <v>1037.0182161800001</v>
      </c>
      <c r="J190" s="10">
        <v>8.8911531593693685</v>
      </c>
      <c r="K190" s="10">
        <v>413.93059097000798</v>
      </c>
      <c r="L190" s="10">
        <v>3.5489446802772511</v>
      </c>
      <c r="N190" s="1974"/>
    </row>
    <row r="191" spans="1:15">
      <c r="A191" s="620">
        <v>4</v>
      </c>
      <c r="B191" s="10">
        <v>11815.783021536998</v>
      </c>
      <c r="C191" s="10">
        <v>1768.8861537400003</v>
      </c>
      <c r="D191" s="10">
        <v>14.970536870182841</v>
      </c>
      <c r="E191" s="10">
        <v>9653.7149833499989</v>
      </c>
      <c r="F191" s="10">
        <v>81.701864072434887</v>
      </c>
      <c r="G191" s="10">
        <v>3266.42627154</v>
      </c>
      <c r="H191" s="10">
        <v>27.64460269443153</v>
      </c>
      <c r="I191" s="10">
        <v>1042.0550810499999</v>
      </c>
      <c r="J191" s="10">
        <v>8.8191792211367908</v>
      </c>
      <c r="K191" s="10">
        <v>393.18188444700002</v>
      </c>
      <c r="L191" s="10">
        <v>3.3275990573822751</v>
      </c>
      <c r="N191" s="1974"/>
    </row>
    <row r="192" spans="1:15">
      <c r="A192" s="620">
        <v>5</v>
      </c>
      <c r="B192" s="10">
        <v>11945.500793076999</v>
      </c>
      <c r="C192" s="10">
        <v>1789.08435089</v>
      </c>
      <c r="D192" s="10">
        <f>+C192/B192*100</f>
        <v>14.977056063876883</v>
      </c>
      <c r="E192" s="10">
        <v>9763.2345577399992</v>
      </c>
      <c r="F192" s="10">
        <f>+E192/B192*100</f>
        <v>81.731479716599836</v>
      </c>
      <c r="G192" s="10">
        <v>3276.1959363999986</v>
      </c>
      <c r="H192" s="10">
        <f>G192/B192*100</f>
        <v>27.426191610976364</v>
      </c>
      <c r="I192" s="10">
        <v>1037.1681990199991</v>
      </c>
      <c r="J192" s="10">
        <f>+I192/B192*100</f>
        <v>8.682500775698653</v>
      </c>
      <c r="K192" s="10">
        <v>393.18188444700002</v>
      </c>
      <c r="L192" s="10">
        <f>K192/B192*100</f>
        <v>3.2914642195232879</v>
      </c>
      <c r="N192" s="1974"/>
    </row>
    <row r="193" spans="1:14">
      <c r="A193" s="620">
        <v>6</v>
      </c>
      <c r="B193" s="10">
        <v>12105.576494017001</v>
      </c>
      <c r="C193" s="10">
        <v>1819.44127256</v>
      </c>
      <c r="D193" s="10">
        <v>15.029777999083574</v>
      </c>
      <c r="E193" s="10">
        <v>9892.9533370099998</v>
      </c>
      <c r="F193" s="10">
        <v>81.722281808713888</v>
      </c>
      <c r="G193" s="10">
        <v>3308.8732698099998</v>
      </c>
      <c r="H193" s="10">
        <f>G193/B193*100</f>
        <v>27.333462982497036</v>
      </c>
      <c r="I193" s="10">
        <v>1070.33044253</v>
      </c>
      <c r="J193" s="10">
        <v>8.8416313180871207</v>
      </c>
      <c r="K193" s="10">
        <v>393.18188444700002</v>
      </c>
      <c r="L193" s="10">
        <v>3.2479401922025293</v>
      </c>
      <c r="N193" s="1974"/>
    </row>
    <row r="194" spans="1:14">
      <c r="A194" s="620">
        <v>7</v>
      </c>
      <c r="B194" s="10">
        <v>12170.671456159998</v>
      </c>
      <c r="C194" s="10">
        <v>1820.4169568</v>
      </c>
      <c r="D194" s="10">
        <v>14.957407759771741</v>
      </c>
      <c r="E194" s="10">
        <v>9949.1913162699966</v>
      </c>
      <c r="F194" s="10">
        <v>81.747267207959723</v>
      </c>
      <c r="G194" s="10">
        <v>3312.7087121699983</v>
      </c>
      <c r="H194" s="10">
        <v>27.218783483743795</v>
      </c>
      <c r="I194" s="10">
        <v>1078.8537864999994</v>
      </c>
      <c r="J194" s="10">
        <v>8.8643735917623019</v>
      </c>
      <c r="K194" s="10">
        <v>401.06318309</v>
      </c>
      <c r="L194" s="10">
        <v>3.2953250322685208</v>
      </c>
      <c r="N194" s="1974"/>
    </row>
    <row r="195" spans="1:14">
      <c r="A195" s="620">
        <v>8</v>
      </c>
      <c r="B195" s="10">
        <v>12306.538666899998</v>
      </c>
      <c r="C195" s="10">
        <v>1812.7196651199999</v>
      </c>
      <c r="D195" s="10">
        <v>14.729727945320159</v>
      </c>
      <c r="E195" s="10">
        <v>10092.755818689999</v>
      </c>
      <c r="F195" s="10">
        <v>82.011328220466652</v>
      </c>
      <c r="G195" s="10">
        <v>3334.1298646999999</v>
      </c>
      <c r="H195" s="10">
        <v>27.092344605941609</v>
      </c>
      <c r="I195" s="10">
        <v>1082.19553045</v>
      </c>
      <c r="J195" s="10">
        <v>8.7936629440794967</v>
      </c>
      <c r="K195" s="10">
        <v>401.06318309</v>
      </c>
      <c r="L195" s="10">
        <v>3.2953250322685208</v>
      </c>
      <c r="N195" s="1974"/>
    </row>
    <row r="196" spans="1:14">
      <c r="A196" s="620">
        <v>9</v>
      </c>
      <c r="B196" s="10">
        <v>12302.424515589999</v>
      </c>
      <c r="C196" s="10">
        <v>1858.7851828299999</v>
      </c>
      <c r="D196" s="10">
        <v>15.109096426273471</v>
      </c>
      <c r="E196" s="10">
        <v>10042.57614967</v>
      </c>
      <c r="F196" s="10">
        <v>81.63086989027039</v>
      </c>
      <c r="G196" s="10">
        <v>3403.2840862299977</v>
      </c>
      <c r="H196" s="10">
        <v>27.66352341294397</v>
      </c>
      <c r="I196" s="10">
        <v>1089.5430063500003</v>
      </c>
      <c r="J196" s="10">
        <v>8.8563275065764397</v>
      </c>
      <c r="K196" s="10">
        <v>401.06318309</v>
      </c>
      <c r="L196" s="10">
        <v>3.2953250322685208</v>
      </c>
      <c r="N196" s="1974"/>
    </row>
    <row r="197" spans="1:14">
      <c r="A197" s="620">
        <v>10</v>
      </c>
      <c r="B197" s="10">
        <v>12281.298870979997</v>
      </c>
      <c r="C197" s="10">
        <v>1862.22789549</v>
      </c>
      <c r="D197" s="10">
        <v>15.163118453947385</v>
      </c>
      <c r="E197" s="10">
        <v>10027.023530289998</v>
      </c>
      <c r="F197" s="10">
        <v>81.644650420349905</v>
      </c>
      <c r="G197" s="10">
        <v>3351.0699679899999</v>
      </c>
      <c r="H197" s="10">
        <v>27.285957317661126</v>
      </c>
      <c r="I197" s="10">
        <v>1058.5187163799999</v>
      </c>
      <c r="J197" s="10">
        <v>8.6189476170246024</v>
      </c>
      <c r="K197" s="10">
        <v>392.04744520000003</v>
      </c>
      <c r="L197" s="10">
        <v>3.1922311257027185</v>
      </c>
      <c r="N197" s="1974"/>
    </row>
    <row r="198" spans="1:14">
      <c r="A198" s="620">
        <v>11</v>
      </c>
      <c r="B198" s="10">
        <v>12564.15074323</v>
      </c>
      <c r="C198" s="10">
        <v>1848.72663685</v>
      </c>
      <c r="D198" s="10">
        <v>14.714298440315657</v>
      </c>
      <c r="E198" s="10">
        <v>10323.37666118</v>
      </c>
      <c r="F198" s="10">
        <v>82.165335900180864</v>
      </c>
      <c r="G198" s="10">
        <v>3385.9334036999999</v>
      </c>
      <c r="H198" s="10">
        <v>26.949162525166759</v>
      </c>
      <c r="I198" s="10">
        <v>1088.7210055</v>
      </c>
      <c r="J198" s="10">
        <v>8.665297223424675</v>
      </c>
      <c r="K198" s="10">
        <v>392.04744520000003</v>
      </c>
      <c r="L198" s="10">
        <v>3.120365659503479</v>
      </c>
      <c r="N198" s="1974"/>
    </row>
    <row r="199" spans="1:14">
      <c r="A199" s="620">
        <v>12</v>
      </c>
      <c r="B199" s="10">
        <v>13020.303367349999</v>
      </c>
      <c r="C199" s="10">
        <v>2098.4319377200004</v>
      </c>
      <c r="D199" s="10">
        <v>16.11661325021101</v>
      </c>
      <c r="E199" s="10">
        <v>10529.823984429999</v>
      </c>
      <c r="F199" s="10">
        <v>80.872339816864923</v>
      </c>
      <c r="G199" s="10">
        <v>3349.49688668</v>
      </c>
      <c r="H199" s="10">
        <v>25.725183140350421</v>
      </c>
      <c r="I199" s="10">
        <v>1071.32301628</v>
      </c>
      <c r="J199" s="10">
        <v>8.2280956599404078</v>
      </c>
      <c r="K199" s="10">
        <v>392.04744520000003</v>
      </c>
      <c r="L199" s="10">
        <v>3.0110469329240583</v>
      </c>
      <c r="N199" s="1974"/>
    </row>
    <row r="200" spans="1:14">
      <c r="A200" s="620">
        <v>2019</v>
      </c>
      <c r="B200" s="268">
        <v>15298.183505950001</v>
      </c>
      <c r="C200" s="268">
        <v>2561.4975234800004</v>
      </c>
      <c r="D200" s="268">
        <v>16.74380178851786</v>
      </c>
      <c r="E200" s="268">
        <v>12339.43841615</v>
      </c>
      <c r="F200" s="268">
        <v>80.659500595941722</v>
      </c>
      <c r="G200" s="268">
        <v>3655.8446672099999</v>
      </c>
      <c r="H200" s="268">
        <v>23.897246792654261</v>
      </c>
      <c r="I200" s="268">
        <v>1107.3703516600001</v>
      </c>
      <c r="J200" s="268">
        <v>7.2385741171774081</v>
      </c>
      <c r="K200" s="268">
        <v>397.24756632000003</v>
      </c>
      <c r="L200" s="268">
        <v>2.5966976155404105</v>
      </c>
      <c r="N200" s="1974"/>
    </row>
    <row r="201" spans="1:14">
      <c r="A201" s="620">
        <v>1</v>
      </c>
      <c r="B201" s="10">
        <v>12884.653253691562</v>
      </c>
      <c r="C201" s="10">
        <v>2062.3951842399997</v>
      </c>
      <c r="D201" s="10">
        <v>16.006602146232428</v>
      </c>
      <c r="E201" s="10">
        <v>10478.590339089998</v>
      </c>
      <c r="F201" s="10">
        <v>81.326133755968897</v>
      </c>
      <c r="G201" s="10">
        <v>3345.4798601399998</v>
      </c>
      <c r="H201" s="10">
        <v>25.964842004432608</v>
      </c>
      <c r="I201" s="10">
        <v>1071.7069957900001</v>
      </c>
      <c r="J201" s="10">
        <v>8.3177014909807294</v>
      </c>
      <c r="K201" s="10">
        <v>343.66773036156223</v>
      </c>
      <c r="L201" s="10">
        <v>2.6672640977986624</v>
      </c>
      <c r="N201" s="1974"/>
    </row>
    <row r="202" spans="1:14">
      <c r="A202" s="620">
        <v>2</v>
      </c>
      <c r="B202" s="10">
        <v>12974.579268571561</v>
      </c>
      <c r="C202" s="10">
        <v>2080.16964551</v>
      </c>
      <c r="D202" s="10">
        <v>16.032655876162501</v>
      </c>
      <c r="E202" s="10">
        <v>10550.7418927</v>
      </c>
      <c r="F202" s="10">
        <v>81.318566670266961</v>
      </c>
      <c r="G202" s="10">
        <v>3357.6840052299999</v>
      </c>
      <c r="H202" s="10">
        <v>25.878943245299276</v>
      </c>
      <c r="I202" s="10">
        <v>1070.95347434</v>
      </c>
      <c r="J202" s="10">
        <v>8.2542443355691706</v>
      </c>
      <c r="K202" s="10">
        <v>343.66773036156223</v>
      </c>
      <c r="L202" s="10">
        <v>2.6487774535705495</v>
      </c>
      <c r="N202" s="1974"/>
    </row>
    <row r="203" spans="1:14">
      <c r="A203" s="620">
        <v>3</v>
      </c>
      <c r="B203" s="10">
        <v>13058.03385171156</v>
      </c>
      <c r="C203" s="10">
        <v>2103.6708775099996</v>
      </c>
      <c r="D203" s="10">
        <v>16.110165599197497</v>
      </c>
      <c r="E203" s="10">
        <v>10610.69524384</v>
      </c>
      <c r="F203" s="10">
        <v>81.257985423657189</v>
      </c>
      <c r="G203" s="10">
        <v>3338.5880311000001</v>
      </c>
      <c r="H203" s="10">
        <v>25.567310278203948</v>
      </c>
      <c r="I203" s="10">
        <v>1026.0748575</v>
      </c>
      <c r="J203" s="10">
        <v>7.8578051577459274</v>
      </c>
      <c r="K203" s="10">
        <v>343.66773036156223</v>
      </c>
      <c r="L203" s="10">
        <v>2.6318489771453346</v>
      </c>
      <c r="N203" s="1974"/>
    </row>
    <row r="204" spans="1:14">
      <c r="A204" s="620">
        <v>4</v>
      </c>
      <c r="B204" s="10">
        <v>13011.354034490003</v>
      </c>
      <c r="C204" s="10">
        <v>2131.9342955799998</v>
      </c>
      <c r="D204" s="10">
        <v>16.385183970313538</v>
      </c>
      <c r="E204" s="10">
        <v>10542.851391160002</v>
      </c>
      <c r="F204" s="10">
        <v>81.02808795466953</v>
      </c>
      <c r="G204" s="10">
        <v>3308.1869106700001</v>
      </c>
      <c r="H204" s="10">
        <v>25.425385412623342</v>
      </c>
      <c r="I204" s="10">
        <v>1044.11939297</v>
      </c>
      <c r="J204" s="10">
        <v>8.0246789857711036</v>
      </c>
      <c r="K204" s="10">
        <v>336.56834774999999</v>
      </c>
      <c r="L204" s="10">
        <v>2.5867280750169228</v>
      </c>
      <c r="N204" s="1974"/>
    </row>
    <row r="205" spans="1:14">
      <c r="A205" s="620">
        <v>5</v>
      </c>
      <c r="B205" s="10">
        <v>13197.974708330001</v>
      </c>
      <c r="C205" s="10">
        <v>2158.4102194699999</v>
      </c>
      <c r="D205" s="10">
        <v>16.354101800996052</v>
      </c>
      <c r="E205" s="10">
        <v>10702.996141110001</v>
      </c>
      <c r="F205" s="10">
        <v>81.095746716007298</v>
      </c>
      <c r="G205" s="10">
        <v>3324.3078276599999</v>
      </c>
      <c r="H205" s="10">
        <v>25.188014836563056</v>
      </c>
      <c r="I205" s="10">
        <v>1049.3712782099999</v>
      </c>
      <c r="J205" s="10">
        <v>7.9510023424100167</v>
      </c>
      <c r="K205" s="10">
        <v>336.56834774999999</v>
      </c>
      <c r="L205" s="10">
        <v>2.5501514829966476</v>
      </c>
      <c r="N205" s="1974"/>
    </row>
    <row r="206" spans="1:14">
      <c r="A206" s="620">
        <v>6</v>
      </c>
      <c r="B206" s="10">
        <v>13482.586430900001</v>
      </c>
      <c r="C206" s="10">
        <v>2181.8421619200008</v>
      </c>
      <c r="D206" s="10">
        <v>16.182667718113464</v>
      </c>
      <c r="E206" s="10">
        <v>10964.17592123</v>
      </c>
      <c r="F206" s="10">
        <v>81.321013422927564</v>
      </c>
      <c r="G206" s="10">
        <v>3343.0864201400004</v>
      </c>
      <c r="H206" s="10">
        <v>24.795586790959959</v>
      </c>
      <c r="I206" s="10">
        <v>1042.2599336500002</v>
      </c>
      <c r="J206" s="10">
        <v>7.7304153694227526</v>
      </c>
      <c r="K206" s="10">
        <v>336.56834774999999</v>
      </c>
      <c r="L206" s="10">
        <v>2.4963188589589711</v>
      </c>
      <c r="M206" s="391"/>
      <c r="N206" s="1974"/>
    </row>
    <row r="207" spans="1:14">
      <c r="A207" s="620">
        <v>7</v>
      </c>
      <c r="B207" s="10">
        <v>13681.396710880001</v>
      </c>
      <c r="C207" s="10">
        <v>2202.8384778200002</v>
      </c>
      <c r="D207" s="10">
        <v>16.10097656234333</v>
      </c>
      <c r="E207" s="10">
        <v>11139.41266996</v>
      </c>
      <c r="F207" s="10">
        <v>81.420142295131953</v>
      </c>
      <c r="G207" s="10">
        <v>3358.30152387</v>
      </c>
      <c r="H207" s="10">
        <v>24.54648158253713</v>
      </c>
      <c r="I207" s="10">
        <v>1049.1553517500001</v>
      </c>
      <c r="J207" s="10">
        <v>7.6684813248319106</v>
      </c>
      <c r="K207" s="10">
        <v>339.1455631</v>
      </c>
      <c r="L207" s="10">
        <v>2.4788811425247079</v>
      </c>
      <c r="M207" s="391"/>
      <c r="N207" s="1974"/>
    </row>
    <row r="208" spans="1:14">
      <c r="A208" s="620">
        <v>8</v>
      </c>
      <c r="B208" s="10">
        <v>13865.532789560002</v>
      </c>
      <c r="C208" s="10">
        <v>2220.0078059500001</v>
      </c>
      <c r="D208" s="10">
        <f>+C208/B208*100</f>
        <v>16.010980895170118</v>
      </c>
      <c r="E208" s="10">
        <v>11306.379420509998</v>
      </c>
      <c r="F208" s="10">
        <f>+E208/B208*100</f>
        <v>81.543057826260323</v>
      </c>
      <c r="G208" s="10">
        <v>3438.7670966699998</v>
      </c>
      <c r="H208" s="10">
        <f>+G208/B208*100</f>
        <v>24.800829141302135</v>
      </c>
      <c r="I208" s="10">
        <v>1068.62538445</v>
      </c>
      <c r="J208" s="10">
        <f>+I208/B208*100</f>
        <v>7.70706326737489</v>
      </c>
      <c r="K208" s="10">
        <v>339.1455631</v>
      </c>
      <c r="L208" s="10">
        <f>+K208/B208*100</f>
        <v>2.4459612785695355</v>
      </c>
      <c r="M208" s="391"/>
      <c r="N208" s="1974"/>
    </row>
    <row r="209" spans="1:16">
      <c r="A209" s="620">
        <v>9</v>
      </c>
      <c r="B209" s="10">
        <v>14242.987622359999</v>
      </c>
      <c r="C209" s="10">
        <v>2419.8242963299999</v>
      </c>
      <c r="D209" s="10">
        <f>+C209/B209*100</f>
        <v>16.989583649789385</v>
      </c>
      <c r="E209" s="10">
        <v>11452.311012609998</v>
      </c>
      <c r="F209" s="10">
        <f>+E209/B209*100</f>
        <v>80.406662676804331</v>
      </c>
      <c r="G209" s="10">
        <v>3503.1888541200001</v>
      </c>
      <c r="H209" s="10">
        <f>+G209/B209*100</f>
        <v>24.59588498567787</v>
      </c>
      <c r="I209" s="10">
        <v>1092.2739223000001</v>
      </c>
      <c r="J209" s="10">
        <f>+I209/B209*100</f>
        <v>7.6688539740443522</v>
      </c>
      <c r="K209" s="10">
        <v>370.85231342000003</v>
      </c>
      <c r="L209" s="10">
        <f>+K209/B209*100</f>
        <v>2.6037536734062785</v>
      </c>
      <c r="M209" s="391"/>
      <c r="N209" s="1974"/>
    </row>
    <row r="210" spans="1:16">
      <c r="A210" s="620">
        <v>10</v>
      </c>
      <c r="B210" s="10">
        <v>14445.834273409999</v>
      </c>
      <c r="C210" s="10">
        <v>2425.4248260300001</v>
      </c>
      <c r="D210" s="10">
        <f>+C210/B210*100</f>
        <v>16.789787146419123</v>
      </c>
      <c r="E210" s="10">
        <v>11649.557133959999</v>
      </c>
      <c r="F210" s="10">
        <f>+E210/B210*100</f>
        <v>80.64302077314413</v>
      </c>
      <c r="G210" s="10">
        <v>3571.7183132599998</v>
      </c>
      <c r="H210" s="10">
        <f>+G210/B210*100</f>
        <v>24.724901626722602</v>
      </c>
      <c r="I210" s="10">
        <v>1111.0145345400001</v>
      </c>
      <c r="J210" s="10">
        <f>+I210/B210*100</f>
        <v>7.690899075209594</v>
      </c>
      <c r="K210" s="10">
        <v>370.85231342000003</v>
      </c>
      <c r="L210" s="10">
        <f>+K210/B210*100</f>
        <v>2.5671920804367554</v>
      </c>
      <c r="M210" s="391"/>
      <c r="N210" s="1974"/>
    </row>
    <row r="211" spans="1:16">
      <c r="A211" s="620">
        <v>11</v>
      </c>
      <c r="B211" s="10">
        <v>15116.424979360001</v>
      </c>
      <c r="C211" s="10">
        <v>2514.0373991500001</v>
      </c>
      <c r="D211" s="10">
        <f>+C211/B211*100</f>
        <v>16.631163800850217</v>
      </c>
      <c r="E211" s="10">
        <v>12231.535266789999</v>
      </c>
      <c r="F211" s="10">
        <f>+E211/B211*100</f>
        <v>80.915529190869947</v>
      </c>
      <c r="G211" s="10">
        <v>3657.2738204000002</v>
      </c>
      <c r="H211" s="10">
        <f>+G211/B211*100</f>
        <v>24.194039433223459</v>
      </c>
      <c r="I211" s="10">
        <v>1128.77820993</v>
      </c>
      <c r="J211" s="10">
        <f>+I211/B211*100</f>
        <v>7.467229926859269</v>
      </c>
      <c r="K211" s="10">
        <v>370.85231342000003</v>
      </c>
      <c r="L211" s="10">
        <f>+K211/B211*100</f>
        <v>2.4533070082798187</v>
      </c>
      <c r="M211" s="391"/>
      <c r="N211" s="1974"/>
    </row>
    <row r="212" spans="1:16">
      <c r="A212" s="620">
        <v>12</v>
      </c>
      <c r="B212" s="10">
        <v>15298.183505950001</v>
      </c>
      <c r="C212" s="10">
        <v>2561.4975234800004</v>
      </c>
      <c r="D212" s="10">
        <f>+C212/B212*100</f>
        <v>16.74380178851786</v>
      </c>
      <c r="E212" s="10">
        <v>12339.43841615</v>
      </c>
      <c r="F212" s="10">
        <f>+E212/B212*100</f>
        <v>80.659500595941722</v>
      </c>
      <c r="G212" s="10">
        <v>3655.8446672099999</v>
      </c>
      <c r="H212" s="10">
        <f>+G212/B212*100</f>
        <v>23.897246792654261</v>
      </c>
      <c r="I212" s="10">
        <v>1107.3703516600001</v>
      </c>
      <c r="J212" s="10">
        <f>+I212/B212*100</f>
        <v>7.2385741171774081</v>
      </c>
      <c r="K212" s="10">
        <v>397.24756632000003</v>
      </c>
      <c r="L212" s="10">
        <f>+K212/B212*100</f>
        <v>2.5966976155404105</v>
      </c>
      <c r="M212" s="391"/>
      <c r="N212" s="1974"/>
    </row>
    <row r="213" spans="1:16">
      <c r="A213" s="620">
        <v>2020</v>
      </c>
      <c r="B213" s="268">
        <v>14530.423128150002</v>
      </c>
      <c r="C213" s="268">
        <v>2776.4592247099999</v>
      </c>
      <c r="D213" s="268">
        <v>19.107903467250896</v>
      </c>
      <c r="E213" s="268">
        <v>11380.52024799</v>
      </c>
      <c r="F213" s="268">
        <v>78.322015454197967</v>
      </c>
      <c r="G213" s="268">
        <v>3112.3165906699992</v>
      </c>
      <c r="H213" s="268">
        <f t="shared" ref="H213" si="71">+G213/B213*100</f>
        <v>21.41931149025153</v>
      </c>
      <c r="I213" s="268">
        <v>968.15444204000016</v>
      </c>
      <c r="J213" s="10">
        <f>I213/B213*100</f>
        <v>6.6629473450389778</v>
      </c>
      <c r="K213" s="268">
        <v>373.44365544999994</v>
      </c>
      <c r="L213" s="268">
        <v>2.570081078551127</v>
      </c>
      <c r="M213" s="391"/>
      <c r="N213" s="1974"/>
    </row>
    <row r="214" spans="1:16">
      <c r="A214" s="620">
        <v>1</v>
      </c>
      <c r="B214" s="10">
        <v>15513.610178430001</v>
      </c>
      <c r="C214" s="10">
        <v>2533.1936912099995</v>
      </c>
      <c r="D214" s="10">
        <f>+C214/B214*100</f>
        <v>16.328847135350426</v>
      </c>
      <c r="E214" s="10">
        <v>12583.168920900001</v>
      </c>
      <c r="F214" s="10">
        <f>+E214/B214*100</f>
        <v>81.110513775804023</v>
      </c>
      <c r="G214" s="10">
        <v>3663.5541104899999</v>
      </c>
      <c r="H214" s="10">
        <f>+G214/B214*100</f>
        <v>23.615097120229152</v>
      </c>
      <c r="I214" s="10">
        <v>1105.92625961</v>
      </c>
      <c r="J214" s="10">
        <f>I214/B214*100</f>
        <v>7.1287485433124447</v>
      </c>
      <c r="K214" s="10">
        <v>397.24756632000003</v>
      </c>
      <c r="L214" s="10">
        <f>+K214/B214*100</f>
        <v>2.560639088845547</v>
      </c>
      <c r="M214" s="391"/>
      <c r="N214" s="1974"/>
    </row>
    <row r="215" spans="1:16">
      <c r="A215" s="620">
        <v>2</v>
      </c>
      <c r="B215" s="10">
        <v>15696.359848159998</v>
      </c>
      <c r="C215" s="10">
        <v>2564.0359698399998</v>
      </c>
      <c r="D215" s="10">
        <f>+C215/B215*100</f>
        <v>16.335226731824502</v>
      </c>
      <c r="E215" s="10">
        <v>12735.076312000001</v>
      </c>
      <c r="F215" s="10">
        <f>+E215/B215*100</f>
        <v>81.13394720300623</v>
      </c>
      <c r="G215" s="10">
        <v>3711.3806702500001</v>
      </c>
      <c r="H215" s="10">
        <f>+G215/B215*100</f>
        <v>23.644849545705757</v>
      </c>
      <c r="I215" s="10">
        <v>1123.1838584</v>
      </c>
      <c r="J215" s="10">
        <f>I215/B215*100</f>
        <v>7.1556964115578996</v>
      </c>
      <c r="K215" s="10">
        <v>397.24756632000003</v>
      </c>
      <c r="L215" s="10">
        <f>+K215/B215*100</f>
        <v>2.5308260651692902</v>
      </c>
      <c r="M215" s="391"/>
      <c r="N215" s="1974"/>
    </row>
    <row r="216" spans="1:16">
      <c r="A216" s="620">
        <v>3</v>
      </c>
      <c r="B216" s="10">
        <v>15637.419790709999</v>
      </c>
      <c r="C216" s="10">
        <v>2606.4136449400003</v>
      </c>
      <c r="D216" s="10">
        <f>+C216/B216*100</f>
        <v>16.667798651082062</v>
      </c>
      <c r="E216" s="10">
        <v>12626.32068809</v>
      </c>
      <c r="F216" s="10">
        <f>+E216/B216*100</f>
        <v>80.744271478796918</v>
      </c>
      <c r="G216" s="10">
        <v>3670.5110727599999</v>
      </c>
      <c r="H216" s="10">
        <f>+G216/B216*100</f>
        <v>23.472613269233879</v>
      </c>
      <c r="I216" s="10">
        <v>1101.7030176200001</v>
      </c>
      <c r="J216" s="10">
        <f>I216/B216*100</f>
        <v>7.0452992396770497</v>
      </c>
      <c r="K216" s="10">
        <v>404.68545768000001</v>
      </c>
      <c r="L216" s="10">
        <f>+K216/B216*100</f>
        <v>2.5879298701210205</v>
      </c>
      <c r="M216" s="391"/>
      <c r="N216" s="1974"/>
    </row>
    <row r="217" spans="1:16">
      <c r="A217" s="620">
        <v>4</v>
      </c>
      <c r="B217" s="10">
        <v>15146.8</v>
      </c>
      <c r="C217" s="10">
        <v>2646.1417917800004</v>
      </c>
      <c r="D217" s="10">
        <v>17.469917345237828</v>
      </c>
      <c r="E217" s="10">
        <v>12096.020554609997</v>
      </c>
      <c r="F217" s="10">
        <v>79.858335615940916</v>
      </c>
      <c r="G217" s="10">
        <v>3562.16702326</v>
      </c>
      <c r="H217" s="10">
        <v>23.517546814610732</v>
      </c>
      <c r="I217" s="10">
        <v>1069.45571518</v>
      </c>
      <c r="J217" s="10">
        <v>7.0605826969003695</v>
      </c>
      <c r="K217" s="10">
        <v>404.68545768000001</v>
      </c>
      <c r="L217" s="10">
        <v>2.6717470388212381</v>
      </c>
      <c r="M217" s="391"/>
      <c r="N217" s="1974"/>
    </row>
    <row r="218" spans="1:16">
      <c r="A218" s="620">
        <v>5</v>
      </c>
      <c r="B218" s="10">
        <v>14765.7</v>
      </c>
      <c r="C218" s="10">
        <v>2571.1817626600005</v>
      </c>
      <c r="D218" s="10">
        <v>17.413206029243451</v>
      </c>
      <c r="E218" s="10">
        <v>11789.83963364</v>
      </c>
      <c r="F218" s="10">
        <v>79.846127400935956</v>
      </c>
      <c r="G218" s="10">
        <v>3276.5164252499999</v>
      </c>
      <c r="H218" s="10">
        <v>22.190051438468885</v>
      </c>
      <c r="I218" s="10">
        <v>1039.8275214800001</v>
      </c>
      <c r="J218" s="10">
        <v>7.0605826969003695</v>
      </c>
      <c r="K218" s="10">
        <v>404.68545768000001</v>
      </c>
      <c r="L218" s="10">
        <v>2.7407129880737116</v>
      </c>
      <c r="M218" s="391"/>
      <c r="N218" s="1974"/>
    </row>
    <row r="219" spans="1:16">
      <c r="A219" s="620">
        <v>6</v>
      </c>
      <c r="B219" s="10">
        <v>14550.65617651</v>
      </c>
      <c r="C219" s="10">
        <v>2585.6356958800002</v>
      </c>
      <c r="D219" s="10">
        <f t="shared" ref="D219:D224" si="72">+C219/B219*100</f>
        <v>17.769890680628876</v>
      </c>
      <c r="E219" s="10">
        <v>11584.156546160002</v>
      </c>
      <c r="F219" s="10">
        <f t="shared" ref="F219:F224" si="73">+E219/B219*100</f>
        <v>79.61260582090452</v>
      </c>
      <c r="G219" s="10">
        <v>3229.46978954</v>
      </c>
      <c r="H219" s="10">
        <f t="shared" ref="H219:H224" si="74">+G219/B219*100</f>
        <v>22.194667720576941</v>
      </c>
      <c r="I219" s="10">
        <v>1003.71028125</v>
      </c>
      <c r="J219" s="10">
        <f t="shared" ref="J219:J225" si="75">I219/B219*100</f>
        <v>6.8980413602951458</v>
      </c>
      <c r="K219" s="10">
        <v>380.86393447</v>
      </c>
      <c r="L219" s="10">
        <f t="shared" ref="L219:L224" si="76">+K219/B219*100</f>
        <v>2.6175034984666299</v>
      </c>
      <c r="M219" s="391"/>
      <c r="N219" s="1974"/>
      <c r="P219" s="132" t="s">
        <v>2429</v>
      </c>
    </row>
    <row r="220" spans="1:16">
      <c r="A220" s="620">
        <v>7</v>
      </c>
      <c r="B220" s="10">
        <v>14585.314835290001</v>
      </c>
      <c r="C220" s="10">
        <v>2604.0722798699999</v>
      </c>
      <c r="D220" s="10">
        <f t="shared" si="72"/>
        <v>17.854069722028203</v>
      </c>
      <c r="E220" s="10">
        <v>11600.378620949999</v>
      </c>
      <c r="F220" s="10">
        <f t="shared" si="73"/>
        <v>79.534646676821964</v>
      </c>
      <c r="G220" s="10">
        <v>3229.3591259200002</v>
      </c>
      <c r="H220" s="10">
        <f t="shared" si="74"/>
        <v>22.141168445033369</v>
      </c>
      <c r="I220" s="10">
        <v>995.05601667999997</v>
      </c>
      <c r="J220" s="10">
        <f t="shared" si="75"/>
        <v>6.8223142792393148</v>
      </c>
      <c r="K220" s="10">
        <v>380.86393447</v>
      </c>
      <c r="L220" s="10">
        <f t="shared" si="76"/>
        <v>2.6112836011498222</v>
      </c>
      <c r="M220" s="391"/>
      <c r="N220" s="1974"/>
    </row>
    <row r="221" spans="1:16">
      <c r="A221" s="620">
        <v>8</v>
      </c>
      <c r="B221" s="10">
        <v>14685.098078150002</v>
      </c>
      <c r="C221" s="10">
        <v>2614.8185397400002</v>
      </c>
      <c r="D221" s="10">
        <f t="shared" si="72"/>
        <v>17.80593173994933</v>
      </c>
      <c r="E221" s="10">
        <v>11689.41560394</v>
      </c>
      <c r="F221" s="10">
        <f t="shared" si="73"/>
        <v>79.600527975585763</v>
      </c>
      <c r="G221" s="10">
        <v>3268.7520583400001</v>
      </c>
      <c r="H221" s="10">
        <f t="shared" si="74"/>
        <v>22.258973286692481</v>
      </c>
      <c r="I221" s="10">
        <v>999.75369963000014</v>
      </c>
      <c r="J221" s="10">
        <f t="shared" si="75"/>
        <v>6.8079470379400222</v>
      </c>
      <c r="K221" s="10">
        <v>380.86393447</v>
      </c>
      <c r="L221" s="10">
        <f t="shared" si="76"/>
        <v>2.5935402844648925</v>
      </c>
      <c r="M221" s="391"/>
      <c r="N221" s="1974"/>
    </row>
    <row r="222" spans="1:16">
      <c r="A222" s="620">
        <v>9</v>
      </c>
      <c r="B222" s="10">
        <v>14873.658797600001</v>
      </c>
      <c r="C222" s="10">
        <v>2642.01865993</v>
      </c>
      <c r="D222" s="10">
        <f t="shared" si="72"/>
        <v>17.763071587713934</v>
      </c>
      <c r="E222" s="10">
        <v>11855.014649820001</v>
      </c>
      <c r="F222" s="10">
        <f t="shared" si="73"/>
        <v>79.704764047249185</v>
      </c>
      <c r="G222" s="10">
        <v>3304.7776120699991</v>
      </c>
      <c r="H222" s="10">
        <f t="shared" si="74"/>
        <v>22.218995722849677</v>
      </c>
      <c r="I222" s="10">
        <v>1007.6314920499999</v>
      </c>
      <c r="J222" s="10">
        <f t="shared" si="75"/>
        <v>6.7746040551406912</v>
      </c>
      <c r="K222" s="10">
        <v>376.6254878499999</v>
      </c>
      <c r="L222" s="10">
        <f t="shared" si="76"/>
        <v>2.5321643650368784</v>
      </c>
      <c r="M222" s="391"/>
      <c r="N222" s="1974"/>
    </row>
    <row r="223" spans="1:16">
      <c r="A223" s="620">
        <v>10</v>
      </c>
      <c r="B223" s="10">
        <v>14785.940748229999</v>
      </c>
      <c r="C223" s="10">
        <v>2667.4874315500001</v>
      </c>
      <c r="D223" s="10">
        <f t="shared" si="72"/>
        <v>18.040701481029</v>
      </c>
      <c r="E223" s="10">
        <v>11741.827828829999</v>
      </c>
      <c r="F223" s="10">
        <f t="shared" si="73"/>
        <v>79.412112010766677</v>
      </c>
      <c r="G223" s="10">
        <v>3204.4864094199993</v>
      </c>
      <c r="H223" s="10">
        <f t="shared" si="74"/>
        <v>21.672522999955909</v>
      </c>
      <c r="I223" s="10">
        <v>1001.4943415100001</v>
      </c>
      <c r="J223" s="10">
        <f t="shared" si="75"/>
        <v>6.7732879399634243</v>
      </c>
      <c r="K223" s="10">
        <v>376.6254878499999</v>
      </c>
      <c r="L223" s="10">
        <f t="shared" si="76"/>
        <v>2.5471865082043235</v>
      </c>
      <c r="M223" s="391"/>
      <c r="N223" s="1974"/>
    </row>
    <row r="224" spans="1:16">
      <c r="A224" s="620">
        <v>11</v>
      </c>
      <c r="B224" s="10">
        <v>14681.276736809999</v>
      </c>
      <c r="C224" s="10">
        <v>2840.1135545099996</v>
      </c>
      <c r="D224" s="10">
        <f t="shared" si="72"/>
        <v>19.345140108891577</v>
      </c>
      <c r="E224" s="10">
        <v>11464.53769445</v>
      </c>
      <c r="F224" s="10">
        <f t="shared" si="73"/>
        <v>78.089514283899092</v>
      </c>
      <c r="G224" s="10">
        <v>3141.9845566699996</v>
      </c>
      <c r="H224" s="10">
        <f t="shared" si="74"/>
        <v>21.401303258538682</v>
      </c>
      <c r="I224" s="10">
        <v>991.58079973999997</v>
      </c>
      <c r="J224" s="10">
        <f t="shared" si="75"/>
        <v>6.7540501927453906</v>
      </c>
      <c r="K224" s="10">
        <v>376.6254878499999</v>
      </c>
      <c r="L224" s="10">
        <f t="shared" si="76"/>
        <v>2.5653456072093253</v>
      </c>
      <c r="M224" s="391"/>
      <c r="N224" s="1974"/>
    </row>
    <row r="225" spans="1:14">
      <c r="A225" s="620">
        <v>12</v>
      </c>
      <c r="B225" s="10">
        <v>14530.423128150002</v>
      </c>
      <c r="C225" s="10">
        <v>2776.4592247099999</v>
      </c>
      <c r="D225" s="10">
        <f>+C225/B225*100</f>
        <v>19.107903467250896</v>
      </c>
      <c r="E225" s="10">
        <v>11380.52024799</v>
      </c>
      <c r="F225" s="10">
        <f>+E225/B225*100</f>
        <v>78.322015454197967</v>
      </c>
      <c r="G225" s="10">
        <v>3112.3165906699992</v>
      </c>
      <c r="H225" s="10">
        <f>+G225/B225*100</f>
        <v>21.41931149025153</v>
      </c>
      <c r="I225" s="10">
        <v>968.15444204000016</v>
      </c>
      <c r="J225" s="10">
        <f t="shared" si="75"/>
        <v>6.6629473450389778</v>
      </c>
      <c r="K225" s="10">
        <v>373.44365544999994</v>
      </c>
      <c r="L225" s="10">
        <f>+K225/B225*100</f>
        <v>2.570081078551127</v>
      </c>
      <c r="M225" s="391"/>
      <c r="N225" s="1974"/>
    </row>
    <row r="226" spans="1:14">
      <c r="A226" s="620">
        <v>2021</v>
      </c>
      <c r="B226" s="268">
        <v>17119.816266530001</v>
      </c>
      <c r="C226" s="268">
        <v>3333.0311863500001</v>
      </c>
      <c r="D226" s="268">
        <v>19.468849048726206</v>
      </c>
      <c r="E226" s="268">
        <v>13326.07414828</v>
      </c>
      <c r="F226" s="268">
        <v>77.840053542706912</v>
      </c>
      <c r="G226" s="268">
        <v>3979.9949230799998</v>
      </c>
      <c r="H226" s="268">
        <v>23.247883394993359</v>
      </c>
      <c r="I226" s="268">
        <v>1267.2848855899999</v>
      </c>
      <c r="J226" s="268">
        <v>7.4024444296613048</v>
      </c>
      <c r="K226" s="268">
        <v>460.71093189999999</v>
      </c>
      <c r="L226" s="268">
        <v>2.69109740856688</v>
      </c>
      <c r="M226" s="391"/>
      <c r="N226" s="1974"/>
    </row>
    <row r="227" spans="1:14">
      <c r="A227" s="586" t="s">
        <v>18</v>
      </c>
      <c r="B227" s="10">
        <v>14587.203226589998</v>
      </c>
      <c r="C227" s="10">
        <v>2789.3953263200001</v>
      </c>
      <c r="D227" s="10">
        <f>+C227/B227*100</f>
        <v>19.12220788996348</v>
      </c>
      <c r="E227" s="10">
        <v>11424.364244819997</v>
      </c>
      <c r="F227" s="10">
        <f>+E227/B227*100</f>
        <v>78.317714968112043</v>
      </c>
      <c r="G227" s="10">
        <v>3131.4316273300001</v>
      </c>
      <c r="H227" s="10">
        <f>+G227/B227*100</f>
        <v>21.466977450632424</v>
      </c>
      <c r="I227" s="10">
        <v>975.12999701000001</v>
      </c>
      <c r="J227" s="10">
        <f>I227/B227*100</f>
        <v>6.6848317793537237</v>
      </c>
      <c r="K227" s="10">
        <v>373.44365544999994</v>
      </c>
      <c r="L227" s="10">
        <f>+K227/B227*100</f>
        <v>2.5600771419244746</v>
      </c>
      <c r="M227" s="391"/>
      <c r="N227" s="1974"/>
    </row>
    <row r="228" spans="1:14">
      <c r="A228" s="586" t="s">
        <v>19</v>
      </c>
      <c r="B228" s="10">
        <v>14619.545503339999</v>
      </c>
      <c r="C228" s="10">
        <v>2803.47978913</v>
      </c>
      <c r="D228" s="10">
        <f t="shared" ref="D228:D242" si="77">+C228/B228*100</f>
        <v>19.176244490565821</v>
      </c>
      <c r="E228" s="10">
        <v>11442.62205876</v>
      </c>
      <c r="F228" s="10">
        <f t="shared" ref="F228:F242" si="78">+E228/B228*100</f>
        <v>78.269341930949935</v>
      </c>
      <c r="G228" s="10">
        <v>3131.18225592</v>
      </c>
      <c r="H228" s="10">
        <f t="shared" ref="H228:H242" si="79">+G228/B228*100</f>
        <v>21.417781115046608</v>
      </c>
      <c r="I228" s="10">
        <v>991.02437240999996</v>
      </c>
      <c r="J228" s="10">
        <f t="shared" ref="J228:J242" si="80">I228/B228*100</f>
        <v>6.778763212465047</v>
      </c>
      <c r="K228" s="10">
        <v>373.44365544999999</v>
      </c>
      <c r="L228" s="10">
        <f t="shared" ref="L228:L237" si="81">+K228/B228*100</f>
        <v>2.5544135784842465</v>
      </c>
      <c r="M228" s="391"/>
      <c r="N228" s="1974"/>
    </row>
    <row r="229" spans="1:14">
      <c r="A229" s="586" t="s">
        <v>20</v>
      </c>
      <c r="B229" s="10">
        <v>14728.03039973</v>
      </c>
      <c r="C229" s="10">
        <v>2825.7778725100002</v>
      </c>
      <c r="D229" s="10">
        <f t="shared" si="77"/>
        <v>19.186393535430259</v>
      </c>
      <c r="E229" s="10">
        <v>11526.576256939999</v>
      </c>
      <c r="F229" s="10">
        <f t="shared" si="78"/>
        <v>78.26284943811163</v>
      </c>
      <c r="G229" s="10">
        <v>3209.7196706999998</v>
      </c>
      <c r="H229" s="10">
        <f t="shared" si="79"/>
        <v>21.793271629578125</v>
      </c>
      <c r="I229" s="10">
        <v>1007.23152664</v>
      </c>
      <c r="J229" s="10">
        <f t="shared" si="80"/>
        <v>6.8388745765928416</v>
      </c>
      <c r="K229" s="10">
        <v>375.67627027999998</v>
      </c>
      <c r="L229" s="10">
        <f t="shared" si="81"/>
        <v>2.5507570264581139</v>
      </c>
      <c r="M229" s="391"/>
      <c r="N229" s="1974"/>
    </row>
    <row r="230" spans="1:14">
      <c r="A230" s="586" t="s">
        <v>21</v>
      </c>
      <c r="B230" s="10">
        <v>14987.49584865</v>
      </c>
      <c r="C230" s="10">
        <v>2848.1112294</v>
      </c>
      <c r="D230" s="10">
        <f t="shared" si="77"/>
        <v>19.00324949652309</v>
      </c>
      <c r="E230" s="10">
        <v>11763.70834897</v>
      </c>
      <c r="F230" s="10">
        <f t="shared" si="78"/>
        <v>78.490152509564282</v>
      </c>
      <c r="G230" s="10">
        <v>3313.3036553299999</v>
      </c>
      <c r="H230" s="10">
        <f t="shared" si="79"/>
        <v>22.10711975362079</v>
      </c>
      <c r="I230" s="10">
        <v>1040.9813359699999</v>
      </c>
      <c r="J230" s="10">
        <f t="shared" si="80"/>
        <v>6.9456655500175932</v>
      </c>
      <c r="K230" s="10">
        <v>375.67627027999998</v>
      </c>
      <c r="L230" s="10">
        <f t="shared" si="81"/>
        <v>2.5065979939126324</v>
      </c>
      <c r="M230" s="391"/>
      <c r="N230" s="1974"/>
    </row>
    <row r="231" spans="1:14">
      <c r="A231" s="586" t="s">
        <v>22</v>
      </c>
      <c r="B231" s="10">
        <v>15067.068306839999</v>
      </c>
      <c r="C231" s="10">
        <v>2872.28112667</v>
      </c>
      <c r="D231" s="10">
        <f t="shared" si="77"/>
        <v>19.063304606949121</v>
      </c>
      <c r="E231" s="10">
        <v>11819.11090989</v>
      </c>
      <c r="F231" s="10">
        <f t="shared" si="78"/>
        <v>78.443335287226887</v>
      </c>
      <c r="G231" s="10">
        <v>3380.8179891999998</v>
      </c>
      <c r="H231" s="10">
        <f t="shared" si="79"/>
        <v>22.438459296459214</v>
      </c>
      <c r="I231" s="10">
        <v>1066.40562884</v>
      </c>
      <c r="J231" s="10">
        <f t="shared" si="80"/>
        <v>7.0777247910655827</v>
      </c>
      <c r="K231" s="10">
        <v>375.67627027999998</v>
      </c>
      <c r="L231" s="10">
        <f t="shared" si="81"/>
        <v>2.4933601058239989</v>
      </c>
      <c r="M231" s="391"/>
      <c r="N231" s="1974"/>
    </row>
    <row r="232" spans="1:14">
      <c r="A232" s="586" t="s">
        <v>23</v>
      </c>
      <c r="B232" s="10">
        <v>15258.05819419</v>
      </c>
      <c r="C232" s="10">
        <v>2882.3496157599998</v>
      </c>
      <c r="D232" s="10">
        <f t="shared" si="77"/>
        <v>18.890671270722692</v>
      </c>
      <c r="E232" s="10">
        <v>11974.533029419999</v>
      </c>
      <c r="F232" s="10">
        <f t="shared" si="78"/>
        <v>78.480058714022277</v>
      </c>
      <c r="G232" s="10">
        <v>3477.66270123</v>
      </c>
      <c r="H232" s="10">
        <f t="shared" si="79"/>
        <v>22.792301988691015</v>
      </c>
      <c r="I232" s="10">
        <v>1085.7094265200001</v>
      </c>
      <c r="J232" s="10">
        <f t="shared" si="80"/>
        <v>7.1156461241799374</v>
      </c>
      <c r="K232" s="10">
        <v>401.17554901</v>
      </c>
      <c r="L232" s="10">
        <f t="shared" si="81"/>
        <v>2.6292700152550248</v>
      </c>
      <c r="M232" s="391"/>
      <c r="N232" s="1974"/>
    </row>
    <row r="233" spans="1:14">
      <c r="A233" s="586" t="s">
        <v>24</v>
      </c>
      <c r="B233" s="10">
        <v>15367.672983369999</v>
      </c>
      <c r="C233" s="10">
        <v>2873.4821044</v>
      </c>
      <c r="D233" s="10">
        <f t="shared" si="77"/>
        <v>18.698225212818588</v>
      </c>
      <c r="E233" s="10">
        <v>12093.015329960001</v>
      </c>
      <c r="F233" s="10">
        <f t="shared" si="78"/>
        <v>78.691258872090515</v>
      </c>
      <c r="G233" s="10">
        <v>3537.60169408</v>
      </c>
      <c r="H233" s="10">
        <f t="shared" si="79"/>
        <v>23.019761664034537</v>
      </c>
      <c r="I233" s="10">
        <v>1106.40669015</v>
      </c>
      <c r="J233" s="10">
        <f t="shared" si="80"/>
        <v>7.1995720584846445</v>
      </c>
      <c r="K233" s="10">
        <v>401.17554901</v>
      </c>
      <c r="L233" s="10">
        <f t="shared" si="81"/>
        <v>2.610515915090911</v>
      </c>
      <c r="M233" s="391"/>
      <c r="N233" s="1974"/>
    </row>
    <row r="234" spans="1:14">
      <c r="A234" s="586" t="s">
        <v>25</v>
      </c>
      <c r="B234" s="10">
        <v>15607.979105320001</v>
      </c>
      <c r="C234" s="10">
        <v>2899.8529999000002</v>
      </c>
      <c r="D234" s="10">
        <f t="shared" si="77"/>
        <v>18.579298321277104</v>
      </c>
      <c r="E234" s="10">
        <v>12306.95055641</v>
      </c>
      <c r="F234" s="10">
        <f t="shared" si="78"/>
        <v>78.850378215941859</v>
      </c>
      <c r="G234" s="10">
        <v>3597.6987565999998</v>
      </c>
      <c r="H234" s="10">
        <f t="shared" si="79"/>
        <v>23.050381681852198</v>
      </c>
      <c r="I234" s="10">
        <v>1125.3298164299999</v>
      </c>
      <c r="J234" s="10">
        <f t="shared" si="80"/>
        <v>7.2099649085667323</v>
      </c>
      <c r="K234" s="10">
        <v>401.17554901</v>
      </c>
      <c r="L234" s="10">
        <f t="shared" si="81"/>
        <v>2.5703234627810256</v>
      </c>
      <c r="M234" s="391"/>
      <c r="N234" s="1974"/>
    </row>
    <row r="235" spans="1:14">
      <c r="A235" s="622" t="s">
        <v>26</v>
      </c>
      <c r="B235" s="10">
        <v>15957.303832469999</v>
      </c>
      <c r="C235" s="10">
        <v>2978.2459024300001</v>
      </c>
      <c r="D235" s="10">
        <f t="shared" si="77"/>
        <v>18.663841546777164</v>
      </c>
      <c r="E235" s="10">
        <v>12560.457737139999</v>
      </c>
      <c r="F235" s="10">
        <f t="shared" si="78"/>
        <v>78.712907073824837</v>
      </c>
      <c r="G235" s="10">
        <v>3687.11022826</v>
      </c>
      <c r="H235" s="10">
        <f t="shared" si="79"/>
        <v>23.106097790514273</v>
      </c>
      <c r="I235" s="10">
        <v>1163.20757981</v>
      </c>
      <c r="J235" s="10">
        <f t="shared" si="80"/>
        <v>7.2894994794991588</v>
      </c>
      <c r="K235" s="10">
        <v>418.60019290000002</v>
      </c>
      <c r="L235" s="10">
        <f t="shared" si="81"/>
        <v>2.6232513793980052</v>
      </c>
      <c r="M235" s="391"/>
      <c r="N235" s="1974"/>
    </row>
    <row r="236" spans="1:14">
      <c r="A236" s="622" t="s">
        <v>27</v>
      </c>
      <c r="B236" s="10">
        <v>16415.890409920001</v>
      </c>
      <c r="C236" s="10">
        <v>3151.4153293300001</v>
      </c>
      <c r="D236" s="10">
        <f t="shared" si="77"/>
        <v>19.197346294573357</v>
      </c>
      <c r="E236" s="10">
        <v>12845.874887690001</v>
      </c>
      <c r="F236" s="10">
        <f t="shared" si="78"/>
        <v>78.252684240188003</v>
      </c>
      <c r="G236" s="10">
        <v>3783.84027793</v>
      </c>
      <c r="H236" s="10">
        <f t="shared" si="79"/>
        <v>23.049863171865802</v>
      </c>
      <c r="I236" s="10">
        <v>1178.2561068299999</v>
      </c>
      <c r="J236" s="10">
        <f t="shared" si="80"/>
        <v>7.1775339467299828</v>
      </c>
      <c r="K236" s="10">
        <v>418.60019290000002</v>
      </c>
      <c r="L236" s="10">
        <f t="shared" si="81"/>
        <v>2.5499694652386511</v>
      </c>
      <c r="M236" s="391"/>
      <c r="N236" s="1974"/>
    </row>
    <row r="237" spans="1:14">
      <c r="A237" s="622">
        <v>11</v>
      </c>
      <c r="B237" s="10">
        <v>16700.565043179999</v>
      </c>
      <c r="C237" s="10">
        <v>3238.6355149599999</v>
      </c>
      <c r="D237" s="10">
        <f t="shared" si="77"/>
        <v>19.392370896352158</v>
      </c>
      <c r="E237" s="10">
        <v>13043.329335320001</v>
      </c>
      <c r="F237" s="10">
        <f t="shared" si="78"/>
        <v>78.101125929547507</v>
      </c>
      <c r="G237" s="10">
        <v>3866.2888934100001</v>
      </c>
      <c r="H237" s="10">
        <f t="shared" si="79"/>
        <v>23.150647199142966</v>
      </c>
      <c r="I237" s="10">
        <v>1214.5765968400001</v>
      </c>
      <c r="J237" s="10">
        <f t="shared" si="80"/>
        <v>7.2726676833967137</v>
      </c>
      <c r="K237" s="10">
        <v>418.60019290000002</v>
      </c>
      <c r="L237" s="10">
        <f t="shared" si="81"/>
        <v>2.5065031741003492</v>
      </c>
      <c r="M237" s="391"/>
      <c r="N237" s="1974"/>
    </row>
    <row r="238" spans="1:14">
      <c r="A238" s="622">
        <v>12</v>
      </c>
      <c r="B238" s="10">
        <v>17119.816266530001</v>
      </c>
      <c r="C238" s="10">
        <v>3333.0311863500001</v>
      </c>
      <c r="D238" s="10">
        <f t="shared" si="77"/>
        <v>19.468849048726206</v>
      </c>
      <c r="E238" s="10">
        <v>13326.07414828</v>
      </c>
      <c r="F238" s="10">
        <f t="shared" si="78"/>
        <v>77.840053542706912</v>
      </c>
      <c r="G238" s="10">
        <v>3979.9949230799998</v>
      </c>
      <c r="H238" s="10">
        <f t="shared" si="79"/>
        <v>23.247883394993359</v>
      </c>
      <c r="I238" s="10">
        <v>1267.2848855899999</v>
      </c>
      <c r="J238" s="10">
        <f t="shared" si="80"/>
        <v>7.4024444296613048</v>
      </c>
      <c r="K238" s="10">
        <v>460.71093189999999</v>
      </c>
      <c r="L238" s="10">
        <f t="shared" ref="L238:L242" si="82">+K238/B238*100</f>
        <v>2.69109740856688</v>
      </c>
      <c r="M238" s="391"/>
      <c r="N238" s="1974"/>
    </row>
    <row r="239" spans="1:14">
      <c r="A239" s="622">
        <v>2022</v>
      </c>
      <c r="B239" s="268">
        <v>20183.981847880001</v>
      </c>
      <c r="C239" s="268">
        <v>3852.3065288100001</v>
      </c>
      <c r="D239" s="268">
        <v>19.085959142470308</v>
      </c>
      <c r="E239" s="268">
        <v>15742.05443876</v>
      </c>
      <c r="F239" s="268">
        <v>77.99280913648586</v>
      </c>
      <c r="G239" s="268">
        <v>5032.7265066099999</v>
      </c>
      <c r="H239" s="268">
        <v>24.934259971793455</v>
      </c>
      <c r="I239" s="268">
        <v>1685.3491156</v>
      </c>
      <c r="J239" s="268">
        <v>8.3499337658045825</v>
      </c>
      <c r="K239" s="268">
        <v>589.62088030999996</v>
      </c>
      <c r="L239" s="268">
        <v>2.9212317210438337</v>
      </c>
      <c r="M239" s="391"/>
      <c r="N239" s="1974"/>
    </row>
    <row r="240" spans="1:14">
      <c r="A240" s="622" t="s">
        <v>18</v>
      </c>
      <c r="B240" s="10">
        <v>17242.149871199999</v>
      </c>
      <c r="C240" s="10">
        <v>3394.9201904500001</v>
      </c>
      <c r="D240" s="10">
        <f t="shared" si="77"/>
        <v>19.689657124026173</v>
      </c>
      <c r="E240" s="10">
        <v>13386.51874885</v>
      </c>
      <c r="F240" s="10">
        <f t="shared" si="78"/>
        <v>77.638338889571074</v>
      </c>
      <c r="G240" s="10">
        <v>3985.9375180900001</v>
      </c>
      <c r="H240" s="10">
        <f t="shared" si="79"/>
        <v>23.117404429640253</v>
      </c>
      <c r="I240" s="10">
        <v>1281.7559525199999</v>
      </c>
      <c r="J240" s="10">
        <f t="shared" si="80"/>
        <v>7.4338522869526233</v>
      </c>
      <c r="K240" s="10">
        <v>460.71093189999999</v>
      </c>
      <c r="L240" s="10">
        <f t="shared" si="82"/>
        <v>2.6720039864027467</v>
      </c>
      <c r="M240" s="391"/>
      <c r="N240" s="1974"/>
    </row>
    <row r="241" spans="1:14">
      <c r="A241" s="622" t="s">
        <v>19</v>
      </c>
      <c r="B241" s="10">
        <v>17587.221785509999</v>
      </c>
      <c r="C241" s="10">
        <v>3464.2788388700001</v>
      </c>
      <c r="D241" s="10">
        <f t="shared" si="77"/>
        <v>19.697703714205716</v>
      </c>
      <c r="E241" s="10">
        <v>13662.232014740001</v>
      </c>
      <c r="F241" s="10">
        <f t="shared" si="78"/>
        <v>77.682718631525006</v>
      </c>
      <c r="G241" s="10">
        <v>4098.08217547</v>
      </c>
      <c r="H241" s="10">
        <f t="shared" si="79"/>
        <v>23.301475499935894</v>
      </c>
      <c r="I241" s="10">
        <v>1312.40652204</v>
      </c>
      <c r="J241" s="10">
        <f t="shared" si="80"/>
        <v>7.462273109680595</v>
      </c>
      <c r="K241" s="10">
        <v>460.71093189999999</v>
      </c>
      <c r="L241" s="10">
        <f t="shared" si="82"/>
        <v>2.6195776542692877</v>
      </c>
      <c r="M241" s="391"/>
      <c r="N241" s="1974"/>
    </row>
    <row r="242" spans="1:14">
      <c r="A242" s="622" t="s">
        <v>20</v>
      </c>
      <c r="B242" s="10">
        <v>18007.769891451</v>
      </c>
      <c r="C242" s="10">
        <v>3522.9666775400001</v>
      </c>
      <c r="D242" s="10">
        <f t="shared" si="77"/>
        <v>19.563592264761731</v>
      </c>
      <c r="E242" s="10">
        <v>14005.203834649999</v>
      </c>
      <c r="F242" s="10">
        <f t="shared" si="78"/>
        <v>77.773116377385648</v>
      </c>
      <c r="G242" s="10">
        <v>4207.5835177999998</v>
      </c>
      <c r="H242" s="10">
        <f t="shared" si="79"/>
        <v>23.365378073814156</v>
      </c>
      <c r="I242" s="10">
        <v>1343.5468350599999</v>
      </c>
      <c r="J242" s="10">
        <f t="shared" si="80"/>
        <v>7.4609284945263257</v>
      </c>
      <c r="K242" s="10">
        <v>479.59937926100002</v>
      </c>
      <c r="L242" s="10">
        <f t="shared" si="82"/>
        <v>2.6632913578526165</v>
      </c>
      <c r="M242" s="391"/>
      <c r="N242" s="1974"/>
    </row>
    <row r="243" spans="1:14">
      <c r="A243" s="622" t="s">
        <v>21</v>
      </c>
      <c r="B243" s="10">
        <v>18319.964781931001</v>
      </c>
      <c r="C243" s="10">
        <v>3597.0777886000001</v>
      </c>
      <c r="D243" s="10">
        <f t="shared" ref="D243:D264" si="83">+C243/B243*100</f>
        <v>19.634741831751782</v>
      </c>
      <c r="E243" s="10">
        <v>14243.287614069999</v>
      </c>
      <c r="F243" s="10">
        <f t="shared" ref="F243:F264" si="84">+E243/B243*100</f>
        <v>77.74735259381157</v>
      </c>
      <c r="G243" s="10">
        <v>4374.0961267399998</v>
      </c>
      <c r="H243" s="10">
        <f t="shared" ref="H243:H264" si="85">+G243/B243*100</f>
        <v>23.876116459864459</v>
      </c>
      <c r="I243" s="10">
        <v>1409.01627252</v>
      </c>
      <c r="J243" s="10">
        <f t="shared" ref="J243:J264" si="86">I243/B243*100</f>
        <v>7.6911516440780172</v>
      </c>
      <c r="K243" s="10">
        <v>479.59937926100002</v>
      </c>
      <c r="L243" s="10">
        <f t="shared" ref="L243:L264" si="87">+K243/B243*100</f>
        <v>2.6179055744366351</v>
      </c>
      <c r="M243" s="391"/>
      <c r="N243" s="1974"/>
    </row>
    <row r="244" spans="1:14">
      <c r="A244" s="622" t="s">
        <v>22</v>
      </c>
      <c r="B244" s="10">
        <v>18577.875236771</v>
      </c>
      <c r="C244" s="10">
        <v>3634.4052587699998</v>
      </c>
      <c r="D244" s="10">
        <f t="shared" si="83"/>
        <v>19.563083573607269</v>
      </c>
      <c r="E244" s="10">
        <v>14463.870598740001</v>
      </c>
      <c r="F244" s="10">
        <f t="shared" si="84"/>
        <v>77.855354363193314</v>
      </c>
      <c r="G244" s="10">
        <v>4465.9729231199999</v>
      </c>
      <c r="H244" s="10">
        <f t="shared" si="85"/>
        <v>24.039201825839289</v>
      </c>
      <c r="I244" s="10">
        <v>1446.04669816</v>
      </c>
      <c r="J244" s="10">
        <f t="shared" si="86"/>
        <v>7.7837033553646346</v>
      </c>
      <c r="K244" s="10">
        <v>479.59937926100002</v>
      </c>
      <c r="L244" s="10">
        <f t="shared" si="87"/>
        <v>2.5815620631994225</v>
      </c>
      <c r="M244" s="391"/>
      <c r="N244" s="1974"/>
    </row>
    <row r="245" spans="1:14">
      <c r="A245" s="622" t="s">
        <v>23</v>
      </c>
      <c r="B245" s="10">
        <v>18818.200924164601</v>
      </c>
      <c r="C245" s="10">
        <v>3727.5802884300001</v>
      </c>
      <c r="D245" s="10">
        <f t="shared" si="83"/>
        <v>19.80837755666316</v>
      </c>
      <c r="E245" s="10">
        <v>14592.42675764</v>
      </c>
      <c r="F245" s="10">
        <f t="shared" si="84"/>
        <v>77.544218049567903</v>
      </c>
      <c r="G245" s="10">
        <v>4572.9586865800002</v>
      </c>
      <c r="H245" s="10">
        <f t="shared" si="85"/>
        <v>24.300721971290187</v>
      </c>
      <c r="I245" s="10">
        <v>1485.04636772</v>
      </c>
      <c r="J245" s="10">
        <f t="shared" si="86"/>
        <v>7.8915427341039814</v>
      </c>
      <c r="K245" s="10">
        <v>498.1938780946</v>
      </c>
      <c r="L245" s="10">
        <f t="shared" si="87"/>
        <v>2.6474043937689351</v>
      </c>
      <c r="M245" s="391"/>
      <c r="N245" s="1974"/>
    </row>
    <row r="246" spans="1:14">
      <c r="A246" s="622" t="s">
        <v>24</v>
      </c>
      <c r="B246" s="10">
        <v>18985.634951354601</v>
      </c>
      <c r="C246" s="10">
        <v>3782.7626578999998</v>
      </c>
      <c r="D246" s="10">
        <f t="shared" si="83"/>
        <v>19.924341048336149</v>
      </c>
      <c r="E246" s="10">
        <v>14704.67841536</v>
      </c>
      <c r="F246" s="10">
        <f t="shared" si="84"/>
        <v>77.45160197716136</v>
      </c>
      <c r="G246" s="10">
        <v>4614.3749575399997</v>
      </c>
      <c r="H246" s="10">
        <f t="shared" si="85"/>
        <v>24.304559575505639</v>
      </c>
      <c r="I246" s="10">
        <v>1498.9806173899999</v>
      </c>
      <c r="J246" s="10">
        <f t="shared" si="86"/>
        <v>7.8953409840161788</v>
      </c>
      <c r="K246" s="10">
        <v>498.1938780946</v>
      </c>
      <c r="L246" s="10">
        <f t="shared" si="87"/>
        <v>2.6240569745024751</v>
      </c>
      <c r="M246" s="391"/>
      <c r="N246" s="1974"/>
    </row>
    <row r="247" spans="1:14">
      <c r="A247" s="622" t="s">
        <v>25</v>
      </c>
      <c r="B247" s="10">
        <v>19136.822267444601</v>
      </c>
      <c r="C247" s="10">
        <v>3809.8508272099998</v>
      </c>
      <c r="D247" s="10">
        <f t="shared" si="83"/>
        <v>19.908482056037517</v>
      </c>
      <c r="E247" s="10">
        <v>14828.77756214</v>
      </c>
      <c r="F247" s="10">
        <f t="shared" si="84"/>
        <v>77.488191899898609</v>
      </c>
      <c r="G247" s="10">
        <v>4700.73653818</v>
      </c>
      <c r="H247" s="10">
        <f t="shared" si="85"/>
        <v>24.563830256065309</v>
      </c>
      <c r="I247" s="10">
        <v>1528.00884817</v>
      </c>
      <c r="J247" s="10">
        <f t="shared" si="86"/>
        <v>7.984652973286142</v>
      </c>
      <c r="K247" s="10">
        <v>498.1938780946</v>
      </c>
      <c r="L247" s="10">
        <f t="shared" si="87"/>
        <v>2.6033260440638735</v>
      </c>
      <c r="M247" s="391"/>
      <c r="N247" s="1974"/>
    </row>
    <row r="248" spans="1:14">
      <c r="A248" s="622" t="s">
        <v>26</v>
      </c>
      <c r="B248" s="10">
        <v>19701.683635566002</v>
      </c>
      <c r="C248" s="10">
        <v>3821.0816505900002</v>
      </c>
      <c r="D248" s="10">
        <f t="shared" si="83"/>
        <v>19.394696013147232</v>
      </c>
      <c r="E248" s="10">
        <v>15336.09637221</v>
      </c>
      <c r="F248" s="10">
        <f t="shared" si="84"/>
        <v>77.841552305331277</v>
      </c>
      <c r="G248" s="10">
        <v>4816.3280684499996</v>
      </c>
      <c r="H248" s="10">
        <f t="shared" si="85"/>
        <v>24.446276559610553</v>
      </c>
      <c r="I248" s="10">
        <v>1579.1240245900001</v>
      </c>
      <c r="J248" s="10">
        <f t="shared" si="86"/>
        <v>8.015172986228059</v>
      </c>
      <c r="K248" s="10">
        <v>544.50561276600001</v>
      </c>
      <c r="L248" s="10">
        <f t="shared" si="87"/>
        <v>2.7637516815214922</v>
      </c>
      <c r="M248" s="391"/>
      <c r="N248" s="1974"/>
    </row>
    <row r="249" spans="1:14">
      <c r="A249" s="622">
        <v>10</v>
      </c>
      <c r="B249" s="10">
        <v>20015.293326605999</v>
      </c>
      <c r="C249" s="10">
        <v>3862.5014761399998</v>
      </c>
      <c r="D249" s="10">
        <f t="shared" si="83"/>
        <v>19.297751040229024</v>
      </c>
      <c r="E249" s="10">
        <v>15608.2862377</v>
      </c>
      <c r="F249" s="10">
        <f t="shared" si="84"/>
        <v>77.981801130799127</v>
      </c>
      <c r="G249" s="10">
        <v>4884.0380598600004</v>
      </c>
      <c r="H249" s="10">
        <f t="shared" si="85"/>
        <v>24.401531269930125</v>
      </c>
      <c r="I249" s="10">
        <v>1617.67267823</v>
      </c>
      <c r="J249" s="10">
        <f t="shared" si="86"/>
        <v>8.0821832177680584</v>
      </c>
      <c r="K249" s="10">
        <v>544.50561276600001</v>
      </c>
      <c r="L249" s="10">
        <f t="shared" si="87"/>
        <v>2.7204478289718477</v>
      </c>
      <c r="M249" s="391"/>
      <c r="N249" s="1974"/>
    </row>
    <row r="250" spans="1:14">
      <c r="A250" s="622">
        <v>11</v>
      </c>
      <c r="B250" s="10">
        <v>20218.690699965999</v>
      </c>
      <c r="C250" s="10">
        <v>3898.4181698699999</v>
      </c>
      <c r="D250" s="10">
        <f t="shared" si="83"/>
        <v>19.281259245320744</v>
      </c>
      <c r="E250" s="10">
        <v>15775.76691733</v>
      </c>
      <c r="F250" s="10">
        <f t="shared" si="84"/>
        <v>78.025660273622606</v>
      </c>
      <c r="G250" s="10">
        <v>4947.0336513800003</v>
      </c>
      <c r="H250" s="10">
        <f t="shared" si="85"/>
        <v>24.467626142519304</v>
      </c>
      <c r="I250" s="10">
        <v>1656.20730712</v>
      </c>
      <c r="J250" s="10">
        <f t="shared" si="86"/>
        <v>8.1914666567543133</v>
      </c>
      <c r="K250" s="10">
        <v>544.50561276600001</v>
      </c>
      <c r="L250" s="10">
        <f t="shared" si="87"/>
        <v>2.693080481056648</v>
      </c>
      <c r="M250" s="391"/>
      <c r="N250" s="1974"/>
    </row>
    <row r="251" spans="1:14">
      <c r="A251" s="622">
        <v>12</v>
      </c>
      <c r="B251" s="10">
        <v>20183.981847880001</v>
      </c>
      <c r="C251" s="10">
        <v>3852.3065288100001</v>
      </c>
      <c r="D251" s="10">
        <f t="shared" si="83"/>
        <v>19.085959142470308</v>
      </c>
      <c r="E251" s="10">
        <v>15742.05443876</v>
      </c>
      <c r="F251" s="10">
        <f t="shared" si="84"/>
        <v>77.99280913648586</v>
      </c>
      <c r="G251" s="10">
        <v>5032.7265066099999</v>
      </c>
      <c r="H251" s="10">
        <f t="shared" si="85"/>
        <v>24.934259971793455</v>
      </c>
      <c r="I251" s="10">
        <v>1685.3491156</v>
      </c>
      <c r="J251" s="10">
        <f t="shared" si="86"/>
        <v>8.3499337658045825</v>
      </c>
      <c r="K251" s="10">
        <v>589.62088030999996</v>
      </c>
      <c r="L251" s="10">
        <f t="shared" si="87"/>
        <v>2.9212317210438337</v>
      </c>
      <c r="M251" s="1975"/>
      <c r="N251" s="1974"/>
    </row>
    <row r="252" spans="1:14">
      <c r="A252" s="622">
        <v>2023</v>
      </c>
      <c r="B252" s="268">
        <v>23979.124360810001</v>
      </c>
      <c r="C252" s="268">
        <v>5496.1708581800003</v>
      </c>
      <c r="D252" s="268">
        <v>22.920648708768539</v>
      </c>
      <c r="E252" s="268">
        <v>17686.789855669998</v>
      </c>
      <c r="F252" s="268">
        <v>73.759114759737415</v>
      </c>
      <c r="G252" s="268">
        <v>5913.4719193299998</v>
      </c>
      <c r="H252" s="268">
        <v>24.660916847299948</v>
      </c>
      <c r="I252" s="268">
        <v>2076.5305687700002</v>
      </c>
      <c r="J252" s="268">
        <v>8.6597431062318257</v>
      </c>
      <c r="K252" s="268">
        <v>796.16364696000005</v>
      </c>
      <c r="L252" s="268">
        <v>3.3202365314940385</v>
      </c>
      <c r="M252" s="1975"/>
      <c r="N252" s="1974"/>
    </row>
    <row r="253" spans="1:14">
      <c r="A253" s="622" t="s">
        <v>18</v>
      </c>
      <c r="B253" s="10">
        <v>20259.212448210001</v>
      </c>
      <c r="C253" s="10">
        <v>3916.08524446</v>
      </c>
      <c r="D253" s="10">
        <f t="shared" si="83"/>
        <v>19.329898703964698</v>
      </c>
      <c r="E253" s="10">
        <v>15753.50632344</v>
      </c>
      <c r="F253" s="10">
        <f t="shared" si="84"/>
        <v>77.759717282751026</v>
      </c>
      <c r="G253" s="10">
        <v>5076.1485584299999</v>
      </c>
      <c r="H253" s="10">
        <f t="shared" si="85"/>
        <v>25.056001418645973</v>
      </c>
      <c r="I253" s="10">
        <v>1712.0055096799999</v>
      </c>
      <c r="J253" s="10">
        <f t="shared" si="86"/>
        <v>8.4505037599882797</v>
      </c>
      <c r="K253" s="10">
        <v>589.62088030999996</v>
      </c>
      <c r="L253" s="10">
        <f t="shared" si="87"/>
        <v>2.9103840132842667</v>
      </c>
      <c r="M253" s="1975"/>
      <c r="N253" s="1974"/>
    </row>
    <row r="254" spans="1:14">
      <c r="A254" s="622" t="s">
        <v>19</v>
      </c>
      <c r="B254" s="10">
        <v>20347.050737609999</v>
      </c>
      <c r="C254" s="10">
        <v>3929.12535966</v>
      </c>
      <c r="D254" s="10">
        <f t="shared" si="83"/>
        <v>19.310539941777929</v>
      </c>
      <c r="E254" s="10">
        <v>15828.30449764</v>
      </c>
      <c r="F254" s="10">
        <f t="shared" si="84"/>
        <v>77.791640182931104</v>
      </c>
      <c r="G254" s="10">
        <v>5124.5646331899998</v>
      </c>
      <c r="H254" s="10">
        <f t="shared" si="85"/>
        <v>25.185785887473244</v>
      </c>
      <c r="I254" s="10">
        <v>1745.5419848700001</v>
      </c>
      <c r="J254" s="10">
        <f t="shared" si="86"/>
        <v>8.578845196682467</v>
      </c>
      <c r="K254" s="10">
        <v>589.62088030999996</v>
      </c>
      <c r="L254" s="10">
        <f t="shared" si="87"/>
        <v>2.8978198752909674</v>
      </c>
      <c r="M254" s="1975"/>
      <c r="N254" s="1974"/>
    </row>
    <row r="255" spans="1:14">
      <c r="A255" s="622" t="s">
        <v>20</v>
      </c>
      <c r="B255" s="10">
        <v>20664.848433421801</v>
      </c>
      <c r="C255" s="10">
        <v>3962.3288102699998</v>
      </c>
      <c r="D255" s="10">
        <f t="shared" si="83"/>
        <v>19.17424569086905</v>
      </c>
      <c r="E255" s="10">
        <v>16076.26726192</v>
      </c>
      <c r="F255" s="10">
        <f t="shared" si="84"/>
        <v>77.795234326129545</v>
      </c>
      <c r="G255" s="10">
        <v>5204.7516808299997</v>
      </c>
      <c r="H255" s="10">
        <f t="shared" si="85"/>
        <v>25.186498210227466</v>
      </c>
      <c r="I255" s="10">
        <v>1764.64020807</v>
      </c>
      <c r="J255" s="10">
        <f t="shared" si="86"/>
        <v>8.5393329341627364</v>
      </c>
      <c r="K255" s="10">
        <v>626.25236123181901</v>
      </c>
      <c r="L255" s="10">
        <f t="shared" si="87"/>
        <v>3.0305199830014948</v>
      </c>
      <c r="M255" s="1975"/>
      <c r="N255" s="1974"/>
    </row>
    <row r="256" spans="1:14">
      <c r="A256" s="622" t="s">
        <v>21</v>
      </c>
      <c r="B256" s="10">
        <v>21005.880584801798</v>
      </c>
      <c r="C256" s="10">
        <v>4072.1132760199998</v>
      </c>
      <c r="D256" s="10">
        <f t="shared" si="83"/>
        <v>19.385587095864292</v>
      </c>
      <c r="E256" s="10">
        <v>16307.51494755</v>
      </c>
      <c r="F256" s="10">
        <f t="shared" si="84"/>
        <v>77.633093655444441</v>
      </c>
      <c r="G256" s="10">
        <v>5335.2298686900003</v>
      </c>
      <c r="H256" s="10">
        <f t="shared" si="85"/>
        <v>25.39874416190937</v>
      </c>
      <c r="I256" s="10">
        <v>1816.8171001000001</v>
      </c>
      <c r="J256" s="10">
        <f t="shared" si="86"/>
        <v>8.6490880149747476</v>
      </c>
      <c r="K256" s="10">
        <v>626.25236123181901</v>
      </c>
      <c r="L256" s="10">
        <f t="shared" si="87"/>
        <v>2.9813192486913684</v>
      </c>
      <c r="M256" s="1975"/>
      <c r="N256" s="1974"/>
    </row>
    <row r="257" spans="1:14">
      <c r="A257" s="622" t="s">
        <v>22</v>
      </c>
      <c r="B257" s="10">
        <v>21285.5233731218</v>
      </c>
      <c r="C257" s="10">
        <v>4229.3848292700004</v>
      </c>
      <c r="D257" s="10">
        <f t="shared" si="83"/>
        <v>19.869771370576856</v>
      </c>
      <c r="E257" s="10">
        <v>16429.886182620001</v>
      </c>
      <c r="F257" s="10">
        <f t="shared" si="84"/>
        <v>77.188077054129508</v>
      </c>
      <c r="G257" s="10">
        <v>5446.8537087100003</v>
      </c>
      <c r="H257" s="10">
        <f t="shared" si="85"/>
        <v>25.58947512461916</v>
      </c>
      <c r="I257" s="10">
        <v>1855.00953774</v>
      </c>
      <c r="J257" s="10">
        <f t="shared" si="86"/>
        <v>8.7148880730948104</v>
      </c>
      <c r="K257" s="10">
        <v>626.25236123181901</v>
      </c>
      <c r="L257" s="10">
        <f t="shared" si="87"/>
        <v>2.9421515752937344</v>
      </c>
      <c r="M257" s="1975"/>
      <c r="N257" s="1974"/>
    </row>
    <row r="258" spans="1:14">
      <c r="A258" s="622" t="s">
        <v>23</v>
      </c>
      <c r="B258" s="10">
        <v>21966.172727879999</v>
      </c>
      <c r="C258" s="10">
        <v>4594.7721071799997</v>
      </c>
      <c r="D258" s="10">
        <f t="shared" si="83"/>
        <v>20.91749056196851</v>
      </c>
      <c r="E258" s="10">
        <v>16701.46442996</v>
      </c>
      <c r="F258" s="10">
        <f t="shared" si="84"/>
        <v>76.032655469207427</v>
      </c>
      <c r="G258" s="10">
        <v>5448.6690363600001</v>
      </c>
      <c r="H258" s="10">
        <f t="shared" si="85"/>
        <v>24.804817406559028</v>
      </c>
      <c r="I258" s="10">
        <v>1884.2063852399999</v>
      </c>
      <c r="J258" s="10">
        <f t="shared" si="86"/>
        <v>8.5777636759111857</v>
      </c>
      <c r="K258" s="10">
        <v>669.93619074000003</v>
      </c>
      <c r="L258" s="10">
        <f t="shared" si="87"/>
        <v>3.0498539688240767</v>
      </c>
      <c r="M258" s="1975"/>
      <c r="N258" s="1974"/>
    </row>
    <row r="259" spans="1:14">
      <c r="A259" s="622" t="s">
        <v>24</v>
      </c>
      <c r="B259" s="10">
        <v>22041.926831839999</v>
      </c>
      <c r="C259" s="10">
        <v>4635.8696142999997</v>
      </c>
      <c r="D259" s="10">
        <f t="shared" si="83"/>
        <v>21.032052459240518</v>
      </c>
      <c r="E259" s="10">
        <v>16736.1210268</v>
      </c>
      <c r="F259" s="10">
        <f t="shared" si="84"/>
        <v>75.928575366761237</v>
      </c>
      <c r="G259" s="10">
        <v>5454.9411844099996</v>
      </c>
      <c r="H259" s="10">
        <f t="shared" si="85"/>
        <v>24.748023283201491</v>
      </c>
      <c r="I259" s="10">
        <v>1881.1759974300001</v>
      </c>
      <c r="J259" s="10">
        <f t="shared" si="86"/>
        <v>8.5345351691876772</v>
      </c>
      <c r="K259" s="10">
        <v>669.93619074000003</v>
      </c>
      <c r="L259" s="10">
        <f t="shared" si="87"/>
        <v>3.0393721739982551</v>
      </c>
      <c r="M259" s="1975"/>
      <c r="N259" s="1974"/>
    </row>
    <row r="260" spans="1:14">
      <c r="A260" s="622" t="s">
        <v>25</v>
      </c>
      <c r="B260" s="10">
        <v>22484.122831910001</v>
      </c>
      <c r="C260" s="10">
        <v>4753.92157056</v>
      </c>
      <c r="D260" s="10">
        <f t="shared" si="83"/>
        <v>21.143460236808178</v>
      </c>
      <c r="E260" s="10">
        <v>17060.265070609999</v>
      </c>
      <c r="F260" s="10">
        <f t="shared" si="84"/>
        <v>75.876943023979862</v>
      </c>
      <c r="G260" s="10">
        <v>5579.5749236900001</v>
      </c>
      <c r="H260" s="10">
        <f t="shared" si="85"/>
        <v>24.815621963118502</v>
      </c>
      <c r="I260" s="10">
        <v>1935.2886947699999</v>
      </c>
      <c r="J260" s="10">
        <f t="shared" si="86"/>
        <v>8.607356885737131</v>
      </c>
      <c r="K260" s="10">
        <v>669.93619074000003</v>
      </c>
      <c r="L260" s="10">
        <f t="shared" si="87"/>
        <v>2.9795967392119502</v>
      </c>
      <c r="M260" s="1975"/>
      <c r="N260" s="1974"/>
    </row>
    <row r="261" spans="1:14">
      <c r="A261" s="622" t="s">
        <v>26</v>
      </c>
      <c r="B261" s="10">
        <v>23018.645831869999</v>
      </c>
      <c r="C261" s="10">
        <v>4923.90447941</v>
      </c>
      <c r="D261" s="10">
        <f t="shared" si="83"/>
        <v>21.390938960417508</v>
      </c>
      <c r="E261" s="10">
        <v>17357.98031829</v>
      </c>
      <c r="F261" s="10">
        <f t="shared" si="84"/>
        <v>75.408346976942326</v>
      </c>
      <c r="G261" s="10">
        <v>5661.4652834099998</v>
      </c>
      <c r="H261" s="10">
        <f t="shared" si="85"/>
        <v>24.595127466497324</v>
      </c>
      <c r="I261" s="10">
        <v>1973.35690559</v>
      </c>
      <c r="J261" s="10">
        <f t="shared" si="86"/>
        <v>8.5728627131394006</v>
      </c>
      <c r="K261" s="10">
        <v>736.76103417000002</v>
      </c>
      <c r="L261" s="10">
        <f t="shared" si="87"/>
        <v>3.2007140626401767</v>
      </c>
      <c r="M261" s="1975"/>
      <c r="N261" s="1974"/>
    </row>
    <row r="262" spans="1:14">
      <c r="A262" s="622">
        <v>10</v>
      </c>
      <c r="B262" s="10">
        <v>23196.472673640001</v>
      </c>
      <c r="C262" s="10">
        <v>5279.5777087899996</v>
      </c>
      <c r="D262" s="10">
        <f t="shared" si="83"/>
        <v>22.760260937386416</v>
      </c>
      <c r="E262" s="10">
        <v>17180.13393068</v>
      </c>
      <c r="F262" s="10">
        <f t="shared" si="84"/>
        <v>74.063562044082474</v>
      </c>
      <c r="G262" s="10">
        <v>5725.8682018500003</v>
      </c>
      <c r="H262" s="10">
        <f t="shared" si="85"/>
        <v>24.684219374253225</v>
      </c>
      <c r="I262" s="10">
        <v>1998.0030978899999</v>
      </c>
      <c r="J262" s="10">
        <f t="shared" si="86"/>
        <v>8.6133918979866699</v>
      </c>
      <c r="K262" s="10">
        <v>736.76103417000002</v>
      </c>
      <c r="L262" s="10">
        <f t="shared" si="87"/>
        <v>3.1761770185310989</v>
      </c>
      <c r="M262" s="1975"/>
      <c r="N262" s="1974"/>
    </row>
    <row r="263" spans="1:14">
      <c r="A263" s="622">
        <v>11</v>
      </c>
      <c r="B263" s="10">
        <v>23617.991556720001</v>
      </c>
      <c r="C263" s="10">
        <v>5398.0052931999999</v>
      </c>
      <c r="D263" s="10">
        <f t="shared" si="83"/>
        <v>22.855479816039274</v>
      </c>
      <c r="E263" s="10">
        <v>17483.225229349999</v>
      </c>
      <c r="F263" s="10">
        <f t="shared" si="84"/>
        <v>74.025029551573013</v>
      </c>
      <c r="G263" s="10">
        <v>5834.8347111499997</v>
      </c>
      <c r="H263" s="10">
        <f t="shared" si="85"/>
        <v>24.705041904758495</v>
      </c>
      <c r="I263" s="10">
        <v>2029.61815572</v>
      </c>
      <c r="J263" s="10">
        <f t="shared" si="86"/>
        <v>8.5935256215404774</v>
      </c>
      <c r="K263" s="10">
        <v>736.76103417000002</v>
      </c>
      <c r="L263" s="10">
        <f t="shared" si="87"/>
        <v>3.1194906323877074</v>
      </c>
      <c r="M263" s="1975"/>
      <c r="N263" s="1974"/>
    </row>
    <row r="264" spans="1:14">
      <c r="A264" s="622">
        <v>12</v>
      </c>
      <c r="B264" s="10">
        <v>23979.124360810001</v>
      </c>
      <c r="C264" s="10">
        <v>5496.1708581800003</v>
      </c>
      <c r="D264" s="10">
        <f t="shared" si="83"/>
        <v>22.920648708768539</v>
      </c>
      <c r="E264" s="10">
        <v>17686.789855669998</v>
      </c>
      <c r="F264" s="10">
        <f t="shared" si="84"/>
        <v>73.759114759737415</v>
      </c>
      <c r="G264" s="10">
        <v>5913.4719193299998</v>
      </c>
      <c r="H264" s="10">
        <f t="shared" si="85"/>
        <v>24.660916847299948</v>
      </c>
      <c r="I264" s="10">
        <v>2076.5305687700002</v>
      </c>
      <c r="J264" s="10">
        <f t="shared" si="86"/>
        <v>8.6597431062318257</v>
      </c>
      <c r="K264" s="10">
        <v>796.16364696000005</v>
      </c>
      <c r="L264" s="10">
        <f t="shared" si="87"/>
        <v>3.3202365314940385</v>
      </c>
      <c r="M264" s="1975"/>
      <c r="N264" s="1974"/>
    </row>
    <row r="265" spans="1:14">
      <c r="A265" s="622">
        <v>2024</v>
      </c>
      <c r="B265" s="268">
        <v>29288.227327680001</v>
      </c>
      <c r="C265" s="268">
        <v>7150.69392229</v>
      </c>
      <c r="D265" s="268">
        <v>24.41490856475275</v>
      </c>
      <c r="E265" s="268">
        <v>20326.98035328</v>
      </c>
      <c r="F265" s="268">
        <v>69.403245631288797</v>
      </c>
      <c r="G265" s="268">
        <v>6973.8897340100002</v>
      </c>
      <c r="H265" s="268">
        <v>23.811238747860472</v>
      </c>
      <c r="I265" s="268">
        <v>2407.40743496</v>
      </c>
      <c r="J265" s="268">
        <v>8.2197102884570423</v>
      </c>
      <c r="K265" s="268">
        <v>1810.55305211</v>
      </c>
      <c r="L265" s="268">
        <v>6.1818458039584554</v>
      </c>
      <c r="M265" s="1975"/>
      <c r="N265" s="1974"/>
    </row>
    <row r="266" spans="1:14">
      <c r="A266" s="622" t="s">
        <v>18</v>
      </c>
      <c r="B266" s="10">
        <v>24362.526631280001</v>
      </c>
      <c r="C266" s="10">
        <v>5780.0351815900003</v>
      </c>
      <c r="D266" s="10">
        <f t="shared" ref="D266" si="88">+C266/B266*100</f>
        <v>23.72510564716546</v>
      </c>
      <c r="E266" s="10">
        <v>17786.32780273</v>
      </c>
      <c r="F266" s="10">
        <f t="shared" ref="F266" si="89">+E266/B266*100</f>
        <v>73.006909635938328</v>
      </c>
      <c r="G266" s="10">
        <v>5912.9185379399996</v>
      </c>
      <c r="H266" s="10">
        <f t="shared" ref="H266" si="90">+G266/B266*100</f>
        <v>24.270547252468354</v>
      </c>
      <c r="I266" s="10">
        <v>2088.72399498</v>
      </c>
      <c r="J266" s="10">
        <f t="shared" ref="J266" si="91">I266/B266*100</f>
        <v>8.5735113873542392</v>
      </c>
      <c r="K266" s="10">
        <v>796.16364696000005</v>
      </c>
      <c r="L266" s="10">
        <f t="shared" ref="L266" si="92">+K266/B266*100</f>
        <v>3.2679847168962119</v>
      </c>
      <c r="M266" s="1975"/>
      <c r="N266" s="1974"/>
    </row>
    <row r="267" spans="1:14">
      <c r="A267" s="622" t="s">
        <v>19</v>
      </c>
      <c r="B267" s="10">
        <v>24629.126192600001</v>
      </c>
      <c r="C267" s="10">
        <v>5873.3721692099998</v>
      </c>
      <c r="D267" s="10">
        <f t="shared" ref="D267" si="93">+C267/B267*100</f>
        <v>23.84726166604602</v>
      </c>
      <c r="E267" s="10">
        <v>17959.590376429998</v>
      </c>
      <c r="F267" s="10">
        <f t="shared" ref="F267" si="94">+E267/B267*100</f>
        <v>72.920128127915831</v>
      </c>
      <c r="G267" s="10">
        <v>5952.5158388600003</v>
      </c>
      <c r="H267" s="10">
        <f t="shared" ref="H267" si="95">+G267/B267*100</f>
        <v>24.168603434451022</v>
      </c>
      <c r="I267" s="10">
        <v>2118.5088017600001</v>
      </c>
      <c r="J267" s="10">
        <f t="shared" ref="J267" si="96">I267/B267*100</f>
        <v>8.6016401280063342</v>
      </c>
      <c r="K267" s="10">
        <v>796.16364696000005</v>
      </c>
      <c r="L267" s="10">
        <f t="shared" ref="L267" si="97">+K267/B267*100</f>
        <v>3.2326102060381388</v>
      </c>
      <c r="M267" s="1975"/>
      <c r="N267" s="1974"/>
    </row>
    <row r="268" spans="1:14">
      <c r="A268" s="622" t="s">
        <v>20</v>
      </c>
      <c r="B268" s="10">
        <v>25442.69492468</v>
      </c>
      <c r="C268" s="10">
        <v>6015.9050565300004</v>
      </c>
      <c r="D268" s="10">
        <f t="shared" ref="D268:D269" si="98">+C268/B268*100</f>
        <v>23.644920769357785</v>
      </c>
      <c r="E268" s="10">
        <v>18086.707576519999</v>
      </c>
      <c r="F268" s="10">
        <f t="shared" ref="F268:F269" si="99">+E268/B268*100</f>
        <v>71.088018113110635</v>
      </c>
      <c r="G268" s="10">
        <v>5995.6244025799997</v>
      </c>
      <c r="H268" s="10">
        <f t="shared" ref="H268:H269" si="100">+G268/B268*100</f>
        <v>23.565209661670337</v>
      </c>
      <c r="I268" s="10">
        <v>2142.045541</v>
      </c>
      <c r="J268" s="10">
        <f t="shared" ref="J268:J269" si="101">I268/B268*100</f>
        <v>8.4190984773478785</v>
      </c>
      <c r="K268" s="10">
        <v>1340.0822916300001</v>
      </c>
      <c r="L268" s="10">
        <f t="shared" ref="L268:L269" si="102">+K268/B268*100</f>
        <v>5.2670611175315765</v>
      </c>
      <c r="M268" s="1975"/>
      <c r="N268" s="1974"/>
    </row>
    <row r="269" spans="1:14">
      <c r="A269" s="622" t="s">
        <v>21</v>
      </c>
      <c r="B269" s="10">
        <v>25984.53292089</v>
      </c>
      <c r="C269" s="10">
        <v>6200.0871597900004</v>
      </c>
      <c r="D269" s="10">
        <f t="shared" si="98"/>
        <v>23.86068350224415</v>
      </c>
      <c r="E269" s="10">
        <v>18444.363469470001</v>
      </c>
      <c r="F269" s="10">
        <f t="shared" si="99"/>
        <v>70.982085864787052</v>
      </c>
      <c r="G269" s="10">
        <v>6116.7632710400003</v>
      </c>
      <c r="H269" s="10">
        <f t="shared" si="100"/>
        <v>23.540016246058791</v>
      </c>
      <c r="I269" s="10">
        <v>2172.1677206899999</v>
      </c>
      <c r="J269" s="10">
        <f t="shared" si="101"/>
        <v>8.3594641754892116</v>
      </c>
      <c r="K269" s="10">
        <v>1340.0822916300001</v>
      </c>
      <c r="L269" s="10">
        <f t="shared" si="102"/>
        <v>5.157230632968794</v>
      </c>
      <c r="M269" s="1975"/>
      <c r="N269" s="1974"/>
    </row>
    <row r="270" spans="1:14">
      <c r="A270" s="622" t="s">
        <v>22</v>
      </c>
      <c r="B270" s="10">
        <v>26498.262998329999</v>
      </c>
      <c r="C270" s="10">
        <v>6449.2231738800001</v>
      </c>
      <c r="D270" s="10">
        <f t="shared" ref="D270:D279" si="103">+C270/B270*100</f>
        <v>24.338286529522517</v>
      </c>
      <c r="E270" s="10">
        <v>18708.957532820001</v>
      </c>
      <c r="F270" s="10">
        <f t="shared" ref="F270:F279" si="104">+E270/B270*100</f>
        <v>70.604467673972053</v>
      </c>
      <c r="G270" s="10">
        <v>6226.3398029500004</v>
      </c>
      <c r="H270" s="10">
        <f t="shared" ref="H270:H279" si="105">+G270/B270*100</f>
        <v>23.497162071877703</v>
      </c>
      <c r="I270" s="10">
        <v>2207.4186390099999</v>
      </c>
      <c r="J270" s="10">
        <f t="shared" ref="J270:J279" si="106">I270/B270*100</f>
        <v>8.3304276931250847</v>
      </c>
      <c r="K270" s="10">
        <v>1340.0822916300001</v>
      </c>
      <c r="L270" s="10">
        <f t="shared" ref="L270:L279" si="107">+K270/B270*100</f>
        <v>5.0572457965054394</v>
      </c>
      <c r="M270" s="1975"/>
      <c r="N270" s="1974"/>
    </row>
    <row r="271" spans="1:14">
      <c r="A271" s="622" t="s">
        <v>23</v>
      </c>
      <c r="B271" s="10">
        <v>27003.267941400001</v>
      </c>
      <c r="C271" s="10">
        <v>6559.5036269299999</v>
      </c>
      <c r="D271" s="10">
        <f t="shared" si="103"/>
        <v>24.291517756905677</v>
      </c>
      <c r="E271" s="10">
        <v>18870.014055669999</v>
      </c>
      <c r="F271" s="10">
        <f t="shared" si="104"/>
        <v>69.880482971986808</v>
      </c>
      <c r="G271" s="10">
        <v>6316.0463767199999</v>
      </c>
      <c r="H271" s="10">
        <f t="shared" si="105"/>
        <v>23.389933360756558</v>
      </c>
      <c r="I271" s="10">
        <v>2246.1058034500002</v>
      </c>
      <c r="J271" s="10">
        <f t="shared" si="106"/>
        <v>8.3179036267917343</v>
      </c>
      <c r="K271" s="10">
        <v>1573.7502588</v>
      </c>
      <c r="L271" s="10">
        <f t="shared" si="107"/>
        <v>5.8279992711075099</v>
      </c>
      <c r="M271" s="1975"/>
      <c r="N271" s="1974"/>
    </row>
    <row r="272" spans="1:14">
      <c r="A272" s="622" t="s">
        <v>24</v>
      </c>
      <c r="B272" s="10">
        <v>27268.459685689999</v>
      </c>
      <c r="C272" s="10">
        <v>6636.4421677099999</v>
      </c>
      <c r="D272" s="10">
        <f t="shared" si="103"/>
        <v>24.337429558563173</v>
      </c>
      <c r="E272" s="10">
        <v>19058.26725918</v>
      </c>
      <c r="F272" s="10">
        <f t="shared" si="104"/>
        <v>69.891249740011673</v>
      </c>
      <c r="G272" s="10">
        <v>6416.5224112899996</v>
      </c>
      <c r="H272" s="10">
        <f t="shared" si="105"/>
        <v>23.53093091890803</v>
      </c>
      <c r="I272" s="10">
        <v>2286.59891565</v>
      </c>
      <c r="J272" s="10">
        <f t="shared" si="106"/>
        <v>8.3855081732026342</v>
      </c>
      <c r="K272" s="10">
        <v>1573.7502588</v>
      </c>
      <c r="L272" s="10">
        <f t="shared" si="107"/>
        <v>5.7713207014251564</v>
      </c>
      <c r="M272" s="1975"/>
      <c r="N272" s="1974"/>
    </row>
    <row r="273" spans="1:14">
      <c r="A273" s="622" t="s">
        <v>25</v>
      </c>
      <c r="B273" s="10">
        <v>27649.3614151</v>
      </c>
      <c r="C273" s="10">
        <v>6712.1019632400003</v>
      </c>
      <c r="D273" s="10">
        <f t="shared" si="103"/>
        <v>24.275793796721668</v>
      </c>
      <c r="E273" s="10">
        <v>19363.509193059999</v>
      </c>
      <c r="F273" s="10">
        <f t="shared" si="104"/>
        <v>70.032392077182323</v>
      </c>
      <c r="G273" s="10">
        <v>6538.6598741999996</v>
      </c>
      <c r="H273" s="10">
        <f t="shared" si="105"/>
        <v>23.648502314520275</v>
      </c>
      <c r="I273" s="10">
        <v>2317.3184516000001</v>
      </c>
      <c r="J273" s="10">
        <f t="shared" si="106"/>
        <v>8.3810921229249633</v>
      </c>
      <c r="K273" s="10">
        <v>1573.7502588</v>
      </c>
      <c r="L273" s="10">
        <f t="shared" si="107"/>
        <v>5.6918141260960047</v>
      </c>
      <c r="M273" s="1975"/>
      <c r="N273" s="1974"/>
    </row>
    <row r="274" spans="1:14">
      <c r="A274" s="622" t="s">
        <v>26</v>
      </c>
      <c r="B274" s="10">
        <v>28404.620061260001</v>
      </c>
      <c r="C274" s="10">
        <v>6867.1601002400002</v>
      </c>
      <c r="D274" s="10">
        <f t="shared" si="103"/>
        <v>24.176208255662829</v>
      </c>
      <c r="E274" s="10">
        <v>19838.811636900002</v>
      </c>
      <c r="F274" s="10">
        <f t="shared" si="104"/>
        <v>69.843608519014893</v>
      </c>
      <c r="G274" s="10">
        <v>6647.3962377999997</v>
      </c>
      <c r="H274" s="10">
        <f t="shared" si="105"/>
        <v>23.402517701217679</v>
      </c>
      <c r="I274" s="10">
        <v>2348.3995059399999</v>
      </c>
      <c r="J274" s="10">
        <f t="shared" si="106"/>
        <v>8.2676673755016861</v>
      </c>
      <c r="K274" s="10">
        <v>1698.6483241200001</v>
      </c>
      <c r="L274" s="10">
        <f t="shared" si="107"/>
        <v>5.9801832253222891</v>
      </c>
      <c r="M274" s="1975"/>
      <c r="N274" s="1974"/>
    </row>
    <row r="275" spans="1:14">
      <c r="A275" s="622">
        <v>10</v>
      </c>
      <c r="B275" s="10">
        <v>28779.170425889999</v>
      </c>
      <c r="C275" s="10">
        <v>7010.4756051799995</v>
      </c>
      <c r="D275" s="10">
        <f t="shared" si="103"/>
        <v>24.359547205270772</v>
      </c>
      <c r="E275" s="10">
        <v>20070.046496589999</v>
      </c>
      <c r="F275" s="10">
        <f t="shared" si="104"/>
        <v>69.738099464238928</v>
      </c>
      <c r="G275" s="10">
        <v>6776.7386330700001</v>
      </c>
      <c r="H275" s="10">
        <f t="shared" si="105"/>
        <v>23.547373092358441</v>
      </c>
      <c r="I275" s="10">
        <v>2373.2280009199999</v>
      </c>
      <c r="J275" s="10">
        <f t="shared" si="106"/>
        <v>8.2463391605792182</v>
      </c>
      <c r="K275" s="10">
        <v>1698.6483241200001</v>
      </c>
      <c r="L275" s="10">
        <f t="shared" si="107"/>
        <v>5.9023533304903077</v>
      </c>
      <c r="M275" s="1975"/>
      <c r="N275" s="1974"/>
    </row>
    <row r="276" spans="1:14">
      <c r="A276" s="622">
        <v>11</v>
      </c>
      <c r="B276" s="10">
        <v>29066.795478110002</v>
      </c>
      <c r="C276" s="10">
        <v>7071.9924089200003</v>
      </c>
      <c r="D276" s="10">
        <f t="shared" si="103"/>
        <v>24.330141292134758</v>
      </c>
      <c r="E276" s="10">
        <v>20296.154745070002</v>
      </c>
      <c r="F276" s="10">
        <f t="shared" si="104"/>
        <v>69.825911013668133</v>
      </c>
      <c r="G276" s="10">
        <v>6879.3269566099998</v>
      </c>
      <c r="H276" s="10">
        <f t="shared" si="105"/>
        <v>23.667304370689131</v>
      </c>
      <c r="I276" s="10">
        <v>2384.7109165799998</v>
      </c>
      <c r="J276" s="10">
        <f t="shared" si="106"/>
        <v>8.2042443184901774</v>
      </c>
      <c r="K276" s="10">
        <v>1698.6483241200001</v>
      </c>
      <c r="L276" s="10">
        <f t="shared" si="107"/>
        <v>5.8439476941971131</v>
      </c>
      <c r="M276" s="1975"/>
      <c r="N276" s="1974"/>
    </row>
    <row r="277" spans="1:14">
      <c r="A277" s="622">
        <v>12</v>
      </c>
      <c r="B277" s="10">
        <v>29288.227327680001</v>
      </c>
      <c r="C277" s="10">
        <v>7150.69392229</v>
      </c>
      <c r="D277" s="10">
        <f t="shared" si="103"/>
        <v>24.41490856475275</v>
      </c>
      <c r="E277" s="10">
        <v>20326.98035328</v>
      </c>
      <c r="F277" s="10">
        <f t="shared" si="104"/>
        <v>69.403245631288797</v>
      </c>
      <c r="G277" s="10">
        <v>6973.8897340100002</v>
      </c>
      <c r="H277" s="10">
        <f t="shared" si="105"/>
        <v>23.811238747860472</v>
      </c>
      <c r="I277" s="10">
        <v>2407.40743496</v>
      </c>
      <c r="J277" s="10">
        <f t="shared" si="106"/>
        <v>8.2197102884570423</v>
      </c>
      <c r="K277" s="10">
        <v>1810.55305211</v>
      </c>
      <c r="L277" s="10">
        <f t="shared" si="107"/>
        <v>6.1818458039584554</v>
      </c>
      <c r="M277" s="1975"/>
      <c r="N277" s="1974"/>
    </row>
    <row r="278" spans="1:14">
      <c r="A278" s="622">
        <v>2025</v>
      </c>
      <c r="B278" s="268">
        <v>31946.74079942</v>
      </c>
      <c r="C278" s="268">
        <v>7867.3358952099998</v>
      </c>
      <c r="D278" s="268">
        <v>24.626411641192622</v>
      </c>
      <c r="E278" s="268">
        <v>22195.713048860001</v>
      </c>
      <c r="F278" s="268">
        <v>69.4772377195453</v>
      </c>
      <c r="G278" s="268">
        <v>8233.1570480099999</v>
      </c>
      <c r="H278" s="268">
        <v>25.771508585813159</v>
      </c>
      <c r="I278" s="268">
        <v>2893.7752430599999</v>
      </c>
      <c r="J278" s="268">
        <v>9.0581235226115364</v>
      </c>
      <c r="K278" s="268">
        <v>1883.69185535</v>
      </c>
      <c r="L278" s="268">
        <v>5.896350639262077</v>
      </c>
      <c r="M278" s="1975"/>
      <c r="N278" s="1974"/>
    </row>
    <row r="279" spans="1:14">
      <c r="A279" s="622" t="s">
        <v>18</v>
      </c>
      <c r="B279" s="10">
        <v>29325.25269265</v>
      </c>
      <c r="C279" s="10">
        <v>7210.5509026600002</v>
      </c>
      <c r="D279" s="10">
        <f t="shared" si="103"/>
        <v>24.588196999466035</v>
      </c>
      <c r="E279" s="10">
        <v>20304.148737880001</v>
      </c>
      <c r="F279" s="10">
        <f t="shared" si="104"/>
        <v>69.237762247719616</v>
      </c>
      <c r="G279" s="10">
        <v>6966.1780079299997</v>
      </c>
      <c r="H279" s="10">
        <f t="shared" si="105"/>
        <v>23.754878025913769</v>
      </c>
      <c r="I279" s="10">
        <v>2409.5413844300001</v>
      </c>
      <c r="J279" s="10">
        <f t="shared" si="106"/>
        <v>8.2166091105292374</v>
      </c>
      <c r="K279" s="10">
        <v>1810.55305211</v>
      </c>
      <c r="L279" s="10">
        <f t="shared" si="107"/>
        <v>6.1740407528143555</v>
      </c>
      <c r="M279" s="1975"/>
      <c r="N279" s="1974"/>
    </row>
    <row r="280" spans="1:14">
      <c r="A280" s="622" t="s">
        <v>19</v>
      </c>
      <c r="B280" s="10">
        <v>29402.91989112</v>
      </c>
      <c r="C280" s="10">
        <v>7210.1388391500004</v>
      </c>
      <c r="D280" s="10">
        <f t="shared" ref="D280" si="108">+C280/B280*100</f>
        <v>24.521846353523348</v>
      </c>
      <c r="E280" s="10">
        <v>20382.227999859999</v>
      </c>
      <c r="F280" s="10">
        <f t="shared" ref="F280" si="109">+E280/B280*100</f>
        <v>69.32042149329412</v>
      </c>
      <c r="G280" s="10">
        <v>7069.5771315900001</v>
      </c>
      <c r="H280" s="10">
        <f t="shared" ref="H280" si="110">+G280/B280*100</f>
        <v>24.043792785780738</v>
      </c>
      <c r="I280" s="10">
        <v>2435.8095728799999</v>
      </c>
      <c r="J280" s="10">
        <f t="shared" ref="J280" si="111">I280/B280*100</f>
        <v>8.284243816260032</v>
      </c>
      <c r="K280" s="10">
        <v>1810.55305211</v>
      </c>
      <c r="L280" s="10">
        <f t="shared" ref="L280" si="112">+K280/B280*100</f>
        <v>6.1577321531825362</v>
      </c>
      <c r="M280" s="1975"/>
      <c r="N280" s="1974"/>
    </row>
    <row r="281" spans="1:14">
      <c r="A281" s="622" t="s">
        <v>20</v>
      </c>
      <c r="B281" s="10">
        <v>29679.37509813</v>
      </c>
      <c r="C281" s="10">
        <v>7275.3489831200004</v>
      </c>
      <c r="D281" s="10">
        <f t="shared" ref="D281:D284" si="113">+C281/B281*100</f>
        <v>24.513147460366831</v>
      </c>
      <c r="E281" s="10">
        <v>20601.769803660001</v>
      </c>
      <c r="F281" s="10">
        <f t="shared" ref="F281:F284" si="114">+E281/B281*100</f>
        <v>69.414432532840124</v>
      </c>
      <c r="G281" s="10">
        <v>7152.3542262999999</v>
      </c>
      <c r="H281" s="10">
        <f t="shared" ref="H281:H284" si="115">+G281/B281*100</f>
        <v>24.09873591560439</v>
      </c>
      <c r="I281" s="10">
        <v>2469.8359572899999</v>
      </c>
      <c r="J281" s="10">
        <f t="shared" ref="J281:J284" si="116">I281/B281*100</f>
        <v>8.3217249322935238</v>
      </c>
      <c r="K281" s="10">
        <v>1802.25631135</v>
      </c>
      <c r="L281" s="10">
        <f t="shared" ref="L281:L284" si="117">+K281/B281*100</f>
        <v>6.0724200067930481</v>
      </c>
      <c r="M281" s="1975"/>
      <c r="N281" s="1974"/>
    </row>
    <row r="282" spans="1:14">
      <c r="A282" s="622" t="s">
        <v>21</v>
      </c>
      <c r="B282" s="10">
        <v>29898.773418969999</v>
      </c>
      <c r="C282" s="10">
        <v>7321.1910156900003</v>
      </c>
      <c r="D282" s="10">
        <f t="shared" si="113"/>
        <v>24.486593189287468</v>
      </c>
      <c r="E282" s="10">
        <v>20775.326091930001</v>
      </c>
      <c r="F282" s="10">
        <f t="shared" si="114"/>
        <v>69.485546449703492</v>
      </c>
      <c r="G282" s="10">
        <v>7252.6018670200001</v>
      </c>
      <c r="H282" s="10">
        <f t="shared" si="115"/>
        <v>24.257188632421997</v>
      </c>
      <c r="I282" s="10">
        <v>2524.7318043700002</v>
      </c>
      <c r="J282" s="10">
        <f t="shared" si="116"/>
        <v>8.4442654853798214</v>
      </c>
      <c r="K282" s="10">
        <v>1802.25631135</v>
      </c>
      <c r="L282" s="10">
        <f t="shared" si="117"/>
        <v>6.0278603610090409</v>
      </c>
      <c r="M282" s="1975"/>
      <c r="N282" s="1974"/>
    </row>
    <row r="283" spans="1:14">
      <c r="A283" s="622" t="s">
        <v>22</v>
      </c>
      <c r="B283" s="10">
        <v>30188.759704479999</v>
      </c>
      <c r="C283" s="10">
        <v>7406.1428833999998</v>
      </c>
      <c r="D283" s="10">
        <f t="shared" si="113"/>
        <v>24.532782916222065</v>
      </c>
      <c r="E283" s="10">
        <v>20980.360509729999</v>
      </c>
      <c r="F283" s="10">
        <f t="shared" si="114"/>
        <v>69.497258963628511</v>
      </c>
      <c r="G283" s="10">
        <v>7339.3264024600003</v>
      </c>
      <c r="H283" s="10">
        <f t="shared" si="115"/>
        <v>24.311453912996789</v>
      </c>
      <c r="I283" s="10">
        <v>2559.4632271</v>
      </c>
      <c r="J283" s="10">
        <f t="shared" si="116"/>
        <v>8.4781993435794476</v>
      </c>
      <c r="K283" s="10">
        <v>1802.25631135</v>
      </c>
      <c r="L283" s="10">
        <f t="shared" si="117"/>
        <v>5.9699581201494212</v>
      </c>
      <c r="M283" s="1975"/>
      <c r="N283" s="1974"/>
    </row>
    <row r="284" spans="1:14">
      <c r="A284" s="622" t="s">
        <v>23</v>
      </c>
      <c r="B284" s="10">
        <v>30231.82861271</v>
      </c>
      <c r="C284" s="10">
        <v>7449.1237332800001</v>
      </c>
      <c r="D284" s="10">
        <f t="shared" si="113"/>
        <v>24.640003847297066</v>
      </c>
      <c r="E284" s="10">
        <v>21023.022362299998</v>
      </c>
      <c r="F284" s="10">
        <f t="shared" si="114"/>
        <v>69.539367372113063</v>
      </c>
      <c r="G284" s="10">
        <v>7441.5100787399997</v>
      </c>
      <c r="H284" s="10">
        <f t="shared" si="115"/>
        <v>24.61481961303345</v>
      </c>
      <c r="I284" s="10">
        <v>2606.7682594900002</v>
      </c>
      <c r="J284" s="10">
        <f t="shared" si="116"/>
        <v>8.6225953874125505</v>
      </c>
      <c r="K284" s="10">
        <v>1759.68251713</v>
      </c>
      <c r="L284" s="10">
        <f t="shared" si="117"/>
        <v>5.8206287805898649</v>
      </c>
      <c r="M284" s="1975"/>
      <c r="N284" s="1974"/>
    </row>
    <row r="285" spans="1:14">
      <c r="A285" s="622" t="s">
        <v>24</v>
      </c>
      <c r="B285" s="10">
        <v>30257.866734399999</v>
      </c>
      <c r="C285" s="10">
        <v>7400.0980873099998</v>
      </c>
      <c r="D285" s="10">
        <f t="shared" ref="D285:D287" si="118">+C285/B285*100</f>
        <v>24.456774009440892</v>
      </c>
      <c r="E285" s="10">
        <v>21098.08612996</v>
      </c>
      <c r="F285" s="10">
        <f t="shared" ref="F285:F287" si="119">+E285/B285*100</f>
        <v>69.72760609714004</v>
      </c>
      <c r="G285" s="10">
        <v>7559.50161897</v>
      </c>
      <c r="H285" s="10">
        <f t="shared" ref="H285:H287" si="120">+G285/B285*100</f>
        <v>24.983590830531501</v>
      </c>
      <c r="I285" s="10">
        <v>2659.5173392199999</v>
      </c>
      <c r="J285" s="10">
        <f t="shared" ref="J285:J287" si="121">I285/B285*100</f>
        <v>8.7895070811334151</v>
      </c>
      <c r="K285" s="10">
        <v>1759.68251713</v>
      </c>
      <c r="L285" s="10">
        <f t="shared" ref="L285:L287" si="122">+K285/B285*100</f>
        <v>5.815619893419079</v>
      </c>
      <c r="M285" s="1975"/>
      <c r="N285" s="1974"/>
    </row>
    <row r="286" spans="1:14">
      <c r="A286" s="622" t="s">
        <v>25</v>
      </c>
      <c r="B286" s="10">
        <f>+C286+E286+K286</f>
        <v>30464.592508100002</v>
      </c>
      <c r="C286" s="10">
        <v>7419.0247147999999</v>
      </c>
      <c r="D286" s="10">
        <f t="shared" si="118"/>
        <v>24.352942560539457</v>
      </c>
      <c r="E286" s="10">
        <v>21285.88527617</v>
      </c>
      <c r="F286" s="10">
        <f t="shared" si="119"/>
        <v>69.870901015697001</v>
      </c>
      <c r="G286" s="10">
        <v>7752.0420709399996</v>
      </c>
      <c r="H286" s="10">
        <f t="shared" si="120"/>
        <v>25.446071759794155</v>
      </c>
      <c r="I286" s="10">
        <v>2737.4007388199998</v>
      </c>
      <c r="J286" s="10">
        <f t="shared" si="121"/>
        <v>8.9855156870789354</v>
      </c>
      <c r="K286" s="10">
        <v>1759.68251713</v>
      </c>
      <c r="L286" s="10">
        <f t="shared" si="122"/>
        <v>5.776156423763525</v>
      </c>
      <c r="M286" s="1975"/>
      <c r="N286" s="1974"/>
    </row>
    <row r="287" spans="1:14">
      <c r="A287" s="622" t="s">
        <v>26</v>
      </c>
      <c r="B287" s="10">
        <v>31041.837153820001</v>
      </c>
      <c r="C287" s="10">
        <v>7590.2097238599999</v>
      </c>
      <c r="D287" s="10">
        <f t="shared" si="118"/>
        <v>24.451548039017887</v>
      </c>
      <c r="E287" s="10">
        <v>21686.095207819999</v>
      </c>
      <c r="F287" s="10">
        <f t="shared" si="119"/>
        <v>69.860862616990161</v>
      </c>
      <c r="G287" s="10">
        <v>7884.1811898200003</v>
      </c>
      <c r="H287" s="10">
        <f t="shared" si="120"/>
        <v>25.398565010028008</v>
      </c>
      <c r="I287" s="10">
        <v>2788.36718135</v>
      </c>
      <c r="J287" s="10">
        <f t="shared" si="121"/>
        <v>8.9826100418378871</v>
      </c>
      <c r="K287" s="10">
        <v>1765.5322221399999</v>
      </c>
      <c r="L287" s="10">
        <f t="shared" si="122"/>
        <v>5.6875893439919487</v>
      </c>
      <c r="M287" s="1975"/>
      <c r="N287" s="1974"/>
    </row>
    <row r="288" spans="1:14">
      <c r="A288" s="622">
        <v>10</v>
      </c>
      <c r="B288" s="10">
        <v>31169.389489249999</v>
      </c>
      <c r="C288" s="10">
        <v>7561.4634337099997</v>
      </c>
      <c r="D288" s="10">
        <f t="shared" ref="D288" si="123">+C288/B288*100</f>
        <v>24.259260632351719</v>
      </c>
      <c r="E288" s="10">
        <v>21842.393833400001</v>
      </c>
      <c r="F288" s="10">
        <f t="shared" ref="F288" si="124">+E288/B288*100</f>
        <v>70.076424951901018</v>
      </c>
      <c r="G288" s="10">
        <v>8026.0184310100003</v>
      </c>
      <c r="H288" s="10">
        <f t="shared" ref="H288:H290" si="125">+G288/B288*100</f>
        <v>25.749681217779681</v>
      </c>
      <c r="I288" s="10">
        <v>2823.0373978699999</v>
      </c>
      <c r="J288" s="10">
        <f t="shared" ref="J288:J290" si="126">I288/B288*100</f>
        <v>9.057082747301278</v>
      </c>
      <c r="K288" s="10">
        <v>1765.5322221399999</v>
      </c>
      <c r="L288" s="10">
        <f t="shared" ref="L288" si="127">+K288/B288*100</f>
        <v>5.6643144157472634</v>
      </c>
      <c r="M288" s="1975"/>
      <c r="N288" s="1974"/>
    </row>
    <row r="289" spans="1:14">
      <c r="A289" s="622">
        <v>11</v>
      </c>
      <c r="B289" s="10">
        <v>31451.061556090001</v>
      </c>
      <c r="C289" s="10">
        <v>7635.2485082399999</v>
      </c>
      <c r="D289" s="10">
        <f>+C289/B289*100</f>
        <v>24.276600313230301</v>
      </c>
      <c r="E289" s="10">
        <v>22050.28082571</v>
      </c>
      <c r="F289" s="10">
        <f>+E289/B289*100</f>
        <v>70.109814215286207</v>
      </c>
      <c r="G289" s="10">
        <v>8148.2585803299999</v>
      </c>
      <c r="H289" s="10">
        <f t="shared" si="125"/>
        <v>25.907737854248097</v>
      </c>
      <c r="I289" s="10">
        <v>2866.6947707899999</v>
      </c>
      <c r="J289" s="10">
        <f t="shared" si="126"/>
        <v>9.1147790534113451</v>
      </c>
      <c r="K289" s="10">
        <v>1765.5322221399999</v>
      </c>
      <c r="L289" s="10">
        <f>+K289/B289*100</f>
        <v>5.6135854714834972</v>
      </c>
      <c r="M289" s="1975"/>
      <c r="N289" s="1974"/>
    </row>
    <row r="290" spans="1:14">
      <c r="A290" s="622">
        <v>12</v>
      </c>
      <c r="B290" s="10">
        <v>31946.74079942</v>
      </c>
      <c r="C290" s="10">
        <v>7867.3358952099998</v>
      </c>
      <c r="D290" s="10">
        <f>+C290/B290*100</f>
        <v>24.626411641192622</v>
      </c>
      <c r="E290" s="10">
        <v>22195.713048860001</v>
      </c>
      <c r="F290" s="10">
        <f>+E290/B290*100</f>
        <v>69.4772377195453</v>
      </c>
      <c r="G290" s="10">
        <v>8233.1570480099999</v>
      </c>
      <c r="H290" s="10">
        <f t="shared" si="125"/>
        <v>25.771508585813159</v>
      </c>
      <c r="I290" s="10">
        <v>2893.7752430599999</v>
      </c>
      <c r="J290" s="10">
        <f t="shared" si="126"/>
        <v>9.0581235226115364</v>
      </c>
      <c r="K290" s="10">
        <v>1883.69185535</v>
      </c>
      <c r="L290" s="10">
        <f>+K290/B290*100</f>
        <v>5.896350639262077</v>
      </c>
      <c r="M290" s="1975"/>
      <c r="N290" s="1974"/>
    </row>
    <row r="291" spans="1:14">
      <c r="A291" s="622">
        <v>2026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975"/>
      <c r="N291" s="1974"/>
    </row>
    <row r="292" spans="1:14">
      <c r="A292" s="622" t="s">
        <v>18</v>
      </c>
      <c r="B292" s="10">
        <v>31863.744891769999</v>
      </c>
      <c r="C292" s="10">
        <v>7837.3357923800004</v>
      </c>
      <c r="D292" s="10">
        <f>+C292/B292*100</f>
        <v>24.596405158906119</v>
      </c>
      <c r="E292" s="10">
        <v>22142.717244039999</v>
      </c>
      <c r="F292" s="10">
        <f>+E292/B292*100</f>
        <v>69.491885901205492</v>
      </c>
      <c r="G292" s="10">
        <v>8239.4529248800009</v>
      </c>
      <c r="H292" s="10">
        <f t="shared" ref="H292" si="128">+G292/B292*100</f>
        <v>25.85839471432671</v>
      </c>
      <c r="I292" s="10">
        <v>2879.4945183899999</v>
      </c>
      <c r="J292" s="10">
        <f t="shared" ref="J292" si="129">I292/B292*100</f>
        <v>9.0368992350730775</v>
      </c>
      <c r="K292" s="10">
        <v>1883.69185535</v>
      </c>
      <c r="L292" s="10">
        <f>+K292/B292*100</f>
        <v>5.9117089398883982</v>
      </c>
      <c r="M292" s="1975"/>
      <c r="N292" s="1974"/>
    </row>
    <row r="293" spans="1:14">
      <c r="A293" s="622" t="s">
        <v>19</v>
      </c>
      <c r="B293" s="10">
        <v>32002.54824611</v>
      </c>
      <c r="C293" s="10">
        <v>7887.3152845900004</v>
      </c>
      <c r="D293" s="10">
        <f>+C293/B293*100</f>
        <v>24.645897645193692</v>
      </c>
      <c r="E293" s="10">
        <v>22231.54110617</v>
      </c>
      <c r="F293" s="10">
        <f>+E293/B293*100</f>
        <v>69.468034030297275</v>
      </c>
      <c r="G293" s="10">
        <v>8331.9086502099999</v>
      </c>
      <c r="H293" s="10">
        <f t="shared" ref="H293" si="130">+G293/B293*100</f>
        <v>26.035141283546903</v>
      </c>
      <c r="I293" s="10">
        <v>2905.6956987399999</v>
      </c>
      <c r="J293" s="10">
        <f t="shared" ref="J293" si="131">I293/B293*100</f>
        <v>9.0795760274908588</v>
      </c>
      <c r="K293" s="10">
        <v>1883.69185535</v>
      </c>
      <c r="L293" s="10">
        <f>+K293/B293*100</f>
        <v>5.8860683245090275</v>
      </c>
      <c r="M293" s="1975"/>
      <c r="N293" s="1974"/>
    </row>
    <row r="294" spans="1:14">
      <c r="A294" s="622" t="s">
        <v>20</v>
      </c>
      <c r="B294" s="10">
        <v>32312.94759874</v>
      </c>
      <c r="C294" s="10">
        <v>7972.8440649599997</v>
      </c>
      <c r="D294" s="10">
        <f>+C294/B294*100</f>
        <v>24.673837137875005</v>
      </c>
      <c r="E294" s="10">
        <v>22317.504584009999</v>
      </c>
      <c r="F294" s="10">
        <f>+E294/B294*100</f>
        <v>69.06675572017528</v>
      </c>
      <c r="G294" s="10">
        <v>8415.1654132500007</v>
      </c>
      <c r="H294" s="10">
        <f t="shared" ref="H294" si="132">+G294/B294*100</f>
        <v>26.042704360335538</v>
      </c>
      <c r="I294" s="10">
        <v>2913.7494084300001</v>
      </c>
      <c r="J294" s="10">
        <f t="shared" ref="J294" si="133">I294/B294*100</f>
        <v>9.0172813839602117</v>
      </c>
      <c r="K294" s="10">
        <v>2022.59894977</v>
      </c>
      <c r="L294" s="10">
        <f>+K294/B294*100</f>
        <v>6.2594071419497137</v>
      </c>
      <c r="M294" s="1975"/>
      <c r="N294" s="1974"/>
    </row>
    <row r="295" spans="1:14">
      <c r="A295" s="622" t="s">
        <v>21</v>
      </c>
      <c r="B295" s="10">
        <v>32631.814251600001</v>
      </c>
      <c r="C295" s="10">
        <v>8168.5237914099998</v>
      </c>
      <c r="D295" s="10">
        <f>+C295/B295*100</f>
        <v>25.032392402176907</v>
      </c>
      <c r="E295" s="10">
        <v>22440.691510420002</v>
      </c>
      <c r="F295" s="10">
        <f>+E295/B295*100</f>
        <v>68.769365188819336</v>
      </c>
      <c r="G295" s="10">
        <v>8584.4598150799993</v>
      </c>
      <c r="H295" s="10">
        <f t="shared" ref="H295" si="134">+G295/B295*100</f>
        <v>26.30702586405868</v>
      </c>
      <c r="I295" s="10">
        <v>2933.1551353</v>
      </c>
      <c r="J295" s="10">
        <f t="shared" ref="J295" si="135">I295/B295*100</f>
        <v>8.9886364045976439</v>
      </c>
      <c r="K295" s="10">
        <v>2022.59894977</v>
      </c>
      <c r="L295" s="10">
        <f>+K295/B295*100</f>
        <v>6.1982424090037469</v>
      </c>
      <c r="M295" s="1975"/>
      <c r="N295" s="1974"/>
    </row>
    <row r="296" spans="1:14">
      <c r="A296" s="622" t="s">
        <v>22</v>
      </c>
      <c r="B296" s="10">
        <v>32908.42435478</v>
      </c>
      <c r="C296" s="10">
        <v>8242.2622660599991</v>
      </c>
      <c r="D296" s="10">
        <v>25.046055615430273</v>
      </c>
      <c r="E296" s="10">
        <v>22643.563138950001</v>
      </c>
      <c r="F296" s="10">
        <v>68.80780098990364</v>
      </c>
      <c r="G296" s="10">
        <v>8700.7034019099992</v>
      </c>
      <c r="H296" s="10">
        <v>26.439137006710588</v>
      </c>
      <c r="I296" s="10">
        <v>2963.70830105</v>
      </c>
      <c r="J296" s="10">
        <v>9.0059258659690791</v>
      </c>
      <c r="K296" s="10">
        <v>2022.59894977</v>
      </c>
      <c r="L296" s="10">
        <v>6.1461433946660966</v>
      </c>
      <c r="M296" s="1975"/>
      <c r="N296" s="1974"/>
    </row>
    <row r="297" spans="1:14" ht="15" customHeight="1">
      <c r="A297" s="1945" t="s">
        <v>23</v>
      </c>
      <c r="B297" s="623">
        <v>33881.094989997997</v>
      </c>
      <c r="C297" s="623">
        <v>8430.1522387500008</v>
      </c>
      <c r="D297" s="623">
        <f>+C297/B297*100</f>
        <v>24.881581428341253</v>
      </c>
      <c r="E297" s="623">
        <v>23391.189752599999</v>
      </c>
      <c r="F297" s="623">
        <f>+E297/B297*100</f>
        <v>69.039060749085252</v>
      </c>
      <c r="G297" s="623">
        <v>8852.2531282799991</v>
      </c>
      <c r="H297" s="623">
        <f t="shared" ref="H297" si="136">+G297/B297*100</f>
        <v>26.127411557664427</v>
      </c>
      <c r="I297" s="623">
        <v>2988.60942677</v>
      </c>
      <c r="J297" s="623">
        <f t="shared" ref="J297" si="137">I297/B297*100</f>
        <v>8.8208761483425029</v>
      </c>
      <c r="K297" s="623">
        <v>2059.7529986479999</v>
      </c>
      <c r="L297" s="623">
        <f>+K297/B297*100</f>
        <v>6.0793578225734954</v>
      </c>
      <c r="M297" s="1975"/>
      <c r="N297" s="1974"/>
    </row>
    <row r="298" spans="1:14" s="733" customFormat="1" ht="14.25" customHeight="1">
      <c r="A298" s="2195" t="s">
        <v>2696</v>
      </c>
      <c r="B298" s="2195"/>
      <c r="C298" s="2195"/>
      <c r="D298" s="2195"/>
      <c r="E298" s="2195"/>
      <c r="F298" s="2195"/>
      <c r="G298" s="2195"/>
      <c r="H298" s="2195"/>
      <c r="I298" s="2195"/>
      <c r="J298" s="2195"/>
      <c r="K298" s="2195"/>
      <c r="L298" s="2195"/>
    </row>
    <row r="299" spans="1:14" s="733" customFormat="1" ht="14.25" customHeight="1">
      <c r="A299" s="2194" t="s">
        <v>2687</v>
      </c>
      <c r="B299" s="2194"/>
      <c r="C299" s="2194"/>
      <c r="D299" s="2194"/>
      <c r="E299" s="2194"/>
      <c r="F299" s="2194"/>
      <c r="G299" s="2194"/>
      <c r="H299" s="2194"/>
      <c r="I299" s="2194"/>
      <c r="J299" s="2194"/>
      <c r="K299" s="2194"/>
      <c r="L299" s="2194"/>
    </row>
    <row r="300" spans="1:14">
      <c r="B300" s="1668"/>
      <c r="C300" s="214"/>
      <c r="K300" s="1668"/>
    </row>
    <row r="301" spans="1:14">
      <c r="C301" s="214"/>
      <c r="E301" s="214"/>
    </row>
    <row r="302" spans="1:14">
      <c r="C302" s="214"/>
      <c r="E302" s="214"/>
    </row>
    <row r="303" spans="1:14">
      <c r="C303" s="214"/>
      <c r="J303" s="214"/>
    </row>
    <row r="304" spans="1:14">
      <c r="C304" s="214"/>
      <c r="J304" s="1988"/>
    </row>
    <row r="305" spans="3:3">
      <c r="C305" s="214"/>
    </row>
    <row r="306" spans="3:3">
      <c r="C306" s="214"/>
    </row>
    <row r="307" spans="3:3">
      <c r="C307" s="214"/>
    </row>
    <row r="308" spans="3:3">
      <c r="C308" s="214"/>
    </row>
    <row r="309" spans="3:3">
      <c r="C309" s="214"/>
    </row>
  </sheetData>
  <mergeCells count="20">
    <mergeCell ref="G10:H10"/>
    <mergeCell ref="A299:L299"/>
    <mergeCell ref="E7:F7"/>
    <mergeCell ref="B9:B11"/>
    <mergeCell ref="G7:H7"/>
    <mergeCell ref="K9:L10"/>
    <mergeCell ref="C9:D10"/>
    <mergeCell ref="E9:J9"/>
    <mergeCell ref="A298:L298"/>
    <mergeCell ref="A9:A11"/>
    <mergeCell ref="B6:B8"/>
    <mergeCell ref="I10:J10"/>
    <mergeCell ref="I7:J7"/>
    <mergeCell ref="E10:F10"/>
    <mergeCell ref="A2:L2"/>
    <mergeCell ref="A3:L3"/>
    <mergeCell ref="A6:A8"/>
    <mergeCell ref="C6:D7"/>
    <mergeCell ref="E6:J6"/>
    <mergeCell ref="K6:L7"/>
  </mergeCells>
  <phoneticPr fontId="348" type="noConversion"/>
  <pageMargins left="0.35" right="0.4" top="0.24" bottom="0.75" header="0.3" footer="0.3"/>
  <pageSetup scale="16" orientation="landscape" r:id="rId1"/>
  <ignoredErrors>
    <ignoredError sqref="A227:A23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rgb="FF92D050"/>
  </sheetPr>
  <dimension ref="A2:CD343"/>
  <sheetViews>
    <sheetView showGridLines="0" view="pageBreakPreview" zoomScale="115" zoomScaleSheetLayoutView="115" workbookViewId="0">
      <pane ySplit="13" topLeftCell="A292" activePane="bottomLeft" state="frozen"/>
      <selection activeCell="F40" sqref="F40"/>
      <selection pane="bottomLeft" activeCell="F40" sqref="F40"/>
    </sheetView>
  </sheetViews>
  <sheetFormatPr defaultColWidth="8.85546875" defaultRowHeight="12" customHeight="1"/>
  <cols>
    <col min="1" max="1" width="8" style="12" customWidth="1"/>
    <col min="2" max="2" width="12.7109375" style="12" customWidth="1"/>
    <col min="3" max="3" width="13.140625" style="12" customWidth="1"/>
    <col min="4" max="4" width="13" style="12" bestFit="1" customWidth="1"/>
    <col min="5" max="5" width="13.140625" style="12" customWidth="1"/>
    <col min="6" max="6" width="15.7109375" style="12" customWidth="1"/>
    <col min="7" max="7" width="13.140625" style="12" customWidth="1"/>
    <col min="8" max="8" width="15.28515625" style="12" customWidth="1"/>
    <col min="9" max="9" width="13.140625" style="12" customWidth="1"/>
    <col min="10" max="10" width="9.42578125" style="12" customWidth="1"/>
    <col min="11" max="11" width="13.140625" style="12" customWidth="1"/>
    <col min="12" max="12" width="12.85546875" style="12" customWidth="1"/>
    <col min="13" max="13" width="13.140625" style="12" customWidth="1"/>
    <col min="14" max="14" width="13" style="12" customWidth="1"/>
    <col min="15" max="15" width="13.140625" style="12" customWidth="1"/>
    <col min="16" max="79" width="8.85546875" style="12" customWidth="1"/>
    <col min="80" max="80" width="8.85546875" style="12" hidden="1" customWidth="1"/>
    <col min="81" max="252" width="8.85546875" style="12" customWidth="1"/>
    <col min="253" max="253" width="7.7109375" style="12" customWidth="1"/>
    <col min="254" max="254" width="12.7109375" style="12" customWidth="1"/>
    <col min="255" max="255" width="11" style="12" customWidth="1"/>
    <col min="256" max="16384" width="8.85546875" style="12"/>
  </cols>
  <sheetData>
    <row r="2" spans="1:82" ht="19.5" customHeight="1">
      <c r="A2" s="2204" t="s">
        <v>2718</v>
      </c>
      <c r="B2" s="2204"/>
      <c r="C2" s="2204"/>
      <c r="D2" s="2204"/>
      <c r="E2" s="2204"/>
      <c r="F2" s="2204"/>
      <c r="G2" s="2204"/>
      <c r="H2" s="2204"/>
      <c r="I2" s="2204"/>
      <c r="J2" s="2204"/>
      <c r="K2" s="2204"/>
      <c r="L2" s="2204"/>
      <c r="M2" s="2204"/>
      <c r="N2" s="2204"/>
      <c r="O2" s="2204"/>
    </row>
    <row r="3" spans="1:82" ht="22.5" customHeight="1">
      <c r="A3" s="2205" t="s">
        <v>2719</v>
      </c>
      <c r="B3" s="2205"/>
      <c r="C3" s="2205"/>
      <c r="D3" s="2205"/>
      <c r="E3" s="2205"/>
      <c r="F3" s="2205"/>
      <c r="G3" s="2205"/>
      <c r="H3" s="2205"/>
      <c r="I3" s="2205"/>
      <c r="J3" s="2205"/>
      <c r="K3" s="2205"/>
      <c r="L3" s="2205"/>
      <c r="M3" s="2205"/>
      <c r="N3" s="2205"/>
      <c r="O3" s="2205"/>
    </row>
    <row r="4" spans="1:82" ht="10.5" customHeight="1">
      <c r="A4" s="487"/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  <c r="O4" s="487"/>
    </row>
    <row r="5" spans="1:82" ht="10.5" customHeight="1">
      <c r="A5" s="2202" t="s">
        <v>8</v>
      </c>
      <c r="B5" s="2202"/>
      <c r="C5" s="2202"/>
      <c r="D5" s="2202"/>
      <c r="E5" s="2202"/>
      <c r="F5" s="2202"/>
      <c r="G5" s="2202"/>
      <c r="H5" s="2202"/>
      <c r="I5" s="2202"/>
      <c r="J5" s="2202"/>
      <c r="K5" s="2202"/>
      <c r="L5" s="2202"/>
      <c r="M5" s="2202"/>
      <c r="N5" s="2202"/>
      <c r="O5" s="2202"/>
    </row>
    <row r="6" spans="1:82" s="90" customFormat="1" ht="12.75">
      <c r="A6" s="2201" t="s">
        <v>182</v>
      </c>
      <c r="B6" s="2201" t="s">
        <v>145</v>
      </c>
      <c r="C6" s="2201" t="s">
        <v>144</v>
      </c>
      <c r="D6" s="2206" t="s">
        <v>2755</v>
      </c>
      <c r="E6" s="2206"/>
      <c r="F6" s="2206"/>
      <c r="G6" s="2206"/>
      <c r="H6" s="2206"/>
      <c r="I6" s="2206"/>
      <c r="J6" s="2206" t="s">
        <v>2754</v>
      </c>
      <c r="K6" s="2206"/>
      <c r="L6" s="2206"/>
      <c r="M6" s="2206"/>
      <c r="N6" s="2206"/>
      <c r="O6" s="2206"/>
      <c r="CC6" s="90" t="s">
        <v>2049</v>
      </c>
      <c r="CD6" s="291" t="s">
        <v>2050</v>
      </c>
    </row>
    <row r="7" spans="1:82" s="90" customFormat="1" ht="12.75">
      <c r="A7" s="2201"/>
      <c r="B7" s="2201"/>
      <c r="C7" s="2201"/>
      <c r="D7" s="2201" t="s">
        <v>143</v>
      </c>
      <c r="E7" s="512" t="s">
        <v>144</v>
      </c>
      <c r="F7" s="2201" t="s">
        <v>146</v>
      </c>
      <c r="G7" s="512" t="s">
        <v>144</v>
      </c>
      <c r="H7" s="2201" t="s">
        <v>147</v>
      </c>
      <c r="I7" s="512" t="s">
        <v>144</v>
      </c>
      <c r="J7" s="2201" t="s">
        <v>143</v>
      </c>
      <c r="K7" s="512" t="s">
        <v>144</v>
      </c>
      <c r="L7" s="2201" t="s">
        <v>146</v>
      </c>
      <c r="M7" s="512" t="s">
        <v>144</v>
      </c>
      <c r="N7" s="2201" t="s">
        <v>147</v>
      </c>
      <c r="O7" s="512" t="s">
        <v>144</v>
      </c>
      <c r="BY7" s="90">
        <f>BY9+BY21+BY31+BY39</f>
        <v>0</v>
      </c>
      <c r="CC7" s="90">
        <f>CC9+CC21+CC31+CC39</f>
        <v>622</v>
      </c>
      <c r="CD7" s="291">
        <f>BY7+BZ7+CA7+CC7</f>
        <v>622</v>
      </c>
    </row>
    <row r="8" spans="1:82" s="90" customFormat="1" ht="12.75">
      <c r="A8" s="2201"/>
      <c r="B8" s="2201"/>
      <c r="C8" s="2201" t="s">
        <v>148</v>
      </c>
      <c r="D8" s="2201"/>
      <c r="E8" s="2201" t="s">
        <v>148</v>
      </c>
      <c r="F8" s="2201"/>
      <c r="G8" s="2201" t="s">
        <v>148</v>
      </c>
      <c r="H8" s="2201"/>
      <c r="I8" s="2201" t="s">
        <v>148</v>
      </c>
      <c r="J8" s="2201"/>
      <c r="K8" s="2201" t="s">
        <v>148</v>
      </c>
      <c r="L8" s="2201"/>
      <c r="M8" s="2201" t="s">
        <v>148</v>
      </c>
      <c r="N8" s="2201"/>
      <c r="O8" s="2201" t="s">
        <v>148</v>
      </c>
      <c r="CD8" s="291"/>
    </row>
    <row r="9" spans="1:82" s="90" customFormat="1" ht="12.75">
      <c r="A9" s="2201"/>
      <c r="B9" s="2201"/>
      <c r="C9" s="2201"/>
      <c r="D9" s="2201"/>
      <c r="E9" s="2201"/>
      <c r="F9" s="2201"/>
      <c r="G9" s="2201"/>
      <c r="H9" s="2201"/>
      <c r="I9" s="2201"/>
      <c r="J9" s="2201"/>
      <c r="K9" s="2201"/>
      <c r="L9" s="2201"/>
      <c r="M9" s="2201"/>
      <c r="N9" s="2201"/>
      <c r="O9" s="2201"/>
      <c r="CC9" s="90">
        <f>CC11+CC16</f>
        <v>1713</v>
      </c>
      <c r="CD9" s="291">
        <f>BY9+BZ9+CA9+CC9</f>
        <v>1713</v>
      </c>
    </row>
    <row r="10" spans="1:82" ht="12.75">
      <c r="A10" s="2198" t="s">
        <v>283</v>
      </c>
      <c r="B10" s="2198" t="s">
        <v>1149</v>
      </c>
      <c r="C10" s="2198" t="s">
        <v>149</v>
      </c>
      <c r="D10" s="2199" t="s">
        <v>1185</v>
      </c>
      <c r="E10" s="2200"/>
      <c r="F10" s="2200"/>
      <c r="G10" s="2200"/>
      <c r="H10" s="2200"/>
      <c r="I10" s="2200"/>
      <c r="J10" s="2199" t="s">
        <v>1186</v>
      </c>
      <c r="K10" s="2200"/>
      <c r="L10" s="2200"/>
      <c r="M10" s="2200"/>
      <c r="N10" s="2200"/>
      <c r="O10" s="2200"/>
      <c r="CD10" s="215"/>
    </row>
    <row r="11" spans="1:82" ht="12.75">
      <c r="A11" s="2198"/>
      <c r="B11" s="2198"/>
      <c r="C11" s="2198"/>
      <c r="D11" s="2198" t="s">
        <v>1149</v>
      </c>
      <c r="E11" s="513" t="s">
        <v>149</v>
      </c>
      <c r="F11" s="2198" t="s">
        <v>1151</v>
      </c>
      <c r="G11" s="513" t="s">
        <v>149</v>
      </c>
      <c r="H11" s="2198" t="s">
        <v>1150</v>
      </c>
      <c r="I11" s="513" t="s">
        <v>149</v>
      </c>
      <c r="J11" s="2198" t="s">
        <v>1152</v>
      </c>
      <c r="K11" s="513" t="s">
        <v>149</v>
      </c>
      <c r="L11" s="2198" t="s">
        <v>1151</v>
      </c>
      <c r="M11" s="513" t="s">
        <v>149</v>
      </c>
      <c r="N11" s="2198" t="s">
        <v>1150</v>
      </c>
      <c r="O11" s="513" t="s">
        <v>149</v>
      </c>
      <c r="CC11" s="12">
        <f>CC13+CC14</f>
        <v>4361</v>
      </c>
      <c r="CD11" s="215">
        <f>BY11+BZ11+CA11+CC11</f>
        <v>4361</v>
      </c>
    </row>
    <row r="12" spans="1:82" ht="12.75">
      <c r="A12" s="2198"/>
      <c r="B12" s="2198"/>
      <c r="C12" s="2199" t="s">
        <v>150</v>
      </c>
      <c r="D12" s="2198"/>
      <c r="E12" s="2199" t="s">
        <v>150</v>
      </c>
      <c r="F12" s="2198"/>
      <c r="G12" s="2199" t="s">
        <v>150</v>
      </c>
      <c r="H12" s="2198"/>
      <c r="I12" s="2199" t="s">
        <v>150</v>
      </c>
      <c r="J12" s="2198"/>
      <c r="K12" s="2199" t="s">
        <v>150</v>
      </c>
      <c r="L12" s="2198"/>
      <c r="M12" s="2199" t="s">
        <v>150</v>
      </c>
      <c r="N12" s="2198"/>
      <c r="O12" s="2199" t="s">
        <v>150</v>
      </c>
      <c r="CD12" s="215"/>
    </row>
    <row r="13" spans="1:82" ht="12.75">
      <c r="A13" s="2198"/>
      <c r="B13" s="2198"/>
      <c r="C13" s="2199"/>
      <c r="D13" s="2198"/>
      <c r="E13" s="2199"/>
      <c r="F13" s="2198"/>
      <c r="G13" s="2199"/>
      <c r="H13" s="2198"/>
      <c r="I13" s="2199"/>
      <c r="J13" s="2198"/>
      <c r="K13" s="2199"/>
      <c r="L13" s="2198"/>
      <c r="M13" s="2199"/>
      <c r="N13" s="2198"/>
      <c r="O13" s="2199"/>
      <c r="CC13" s="12">
        <v>3917</v>
      </c>
      <c r="CD13" s="215">
        <f>BY13+BZ13+CA13+CC13</f>
        <v>3917</v>
      </c>
    </row>
    <row r="14" spans="1:82" ht="12.75" hidden="1">
      <c r="A14" s="179">
        <v>2001</v>
      </c>
      <c r="B14" s="122">
        <f t="shared" ref="B14:C17" si="0">D14+J14</f>
        <v>486.17399999999998</v>
      </c>
      <c r="C14" s="122">
        <f t="shared" si="0"/>
        <v>134.447</v>
      </c>
      <c r="D14" s="122">
        <f t="shared" ref="D14:E17" si="1">F14+H14</f>
        <v>176.78200000000001</v>
      </c>
      <c r="E14" s="122">
        <f t="shared" si="1"/>
        <v>95.16</v>
      </c>
      <c r="F14" s="122">
        <v>167.185</v>
      </c>
      <c r="G14" s="122">
        <v>93.468999999999994</v>
      </c>
      <c r="H14" s="122">
        <v>9.5969999999999995</v>
      </c>
      <c r="I14" s="122">
        <v>1.6910000000000001</v>
      </c>
      <c r="J14" s="122">
        <f t="shared" ref="J14:K17" si="2">L14+N14</f>
        <v>309.392</v>
      </c>
      <c r="K14" s="122">
        <f t="shared" si="2"/>
        <v>39.286999999999999</v>
      </c>
      <c r="L14" s="122">
        <v>186.7</v>
      </c>
      <c r="M14" s="122">
        <v>23.916</v>
      </c>
      <c r="N14" s="122">
        <v>122.69199999999999</v>
      </c>
      <c r="O14" s="131">
        <v>15.371</v>
      </c>
      <c r="CC14" s="12">
        <v>444</v>
      </c>
      <c r="CD14" s="215">
        <f t="shared" ref="CD14:CD55" si="3">BY14+BZ14+CA14+CC14</f>
        <v>444</v>
      </c>
    </row>
    <row r="15" spans="1:82" ht="12.75" hidden="1">
      <c r="A15" s="150">
        <v>2002</v>
      </c>
      <c r="B15" s="92">
        <f t="shared" si="0"/>
        <v>520.21400000000006</v>
      </c>
      <c r="C15" s="92">
        <f t="shared" si="0"/>
        <v>111.624</v>
      </c>
      <c r="D15" s="92">
        <f>F15+H15</f>
        <v>173.37800000000001</v>
      </c>
      <c r="E15" s="92">
        <f t="shared" si="1"/>
        <v>66.643000000000001</v>
      </c>
      <c r="F15" s="92">
        <v>153.95500000000001</v>
      </c>
      <c r="G15" s="92">
        <v>64.498000000000005</v>
      </c>
      <c r="H15" s="92">
        <v>19.422999999999998</v>
      </c>
      <c r="I15" s="92">
        <v>2.145</v>
      </c>
      <c r="J15" s="92">
        <f t="shared" si="2"/>
        <v>346.83600000000001</v>
      </c>
      <c r="K15" s="92">
        <f t="shared" si="2"/>
        <v>44.980999999999995</v>
      </c>
      <c r="L15" s="92">
        <v>220.827</v>
      </c>
      <c r="M15" s="92">
        <v>32.131999999999998</v>
      </c>
      <c r="N15" s="92">
        <v>126.009</v>
      </c>
      <c r="O15" s="91">
        <v>12.849</v>
      </c>
      <c r="CD15" s="215"/>
    </row>
    <row r="16" spans="1:82" ht="12.75" hidden="1">
      <c r="A16" s="150">
        <v>2003</v>
      </c>
      <c r="B16" s="92">
        <f t="shared" si="0"/>
        <v>670.298</v>
      </c>
      <c r="C16" s="92">
        <f t="shared" si="0"/>
        <v>124.44500000000001</v>
      </c>
      <c r="D16" s="92">
        <f t="shared" si="1"/>
        <v>227.191</v>
      </c>
      <c r="E16" s="92">
        <f t="shared" si="1"/>
        <v>73.510000000000005</v>
      </c>
      <c r="F16" s="92">
        <v>187.637</v>
      </c>
      <c r="G16" s="92">
        <v>70.994</v>
      </c>
      <c r="H16" s="92">
        <v>39.554000000000002</v>
      </c>
      <c r="I16" s="92">
        <v>2.516</v>
      </c>
      <c r="J16" s="92">
        <f t="shared" si="2"/>
        <v>443.10699999999997</v>
      </c>
      <c r="K16" s="92">
        <f t="shared" si="2"/>
        <v>50.935000000000002</v>
      </c>
      <c r="L16" s="92">
        <v>299.43599999999998</v>
      </c>
      <c r="M16" s="92">
        <v>37</v>
      </c>
      <c r="N16" s="92">
        <v>143.67099999999999</v>
      </c>
      <c r="O16" s="91">
        <v>13.935</v>
      </c>
      <c r="CC16" s="12">
        <f>CC18+CC19</f>
        <v>-2648</v>
      </c>
      <c r="CD16" s="215">
        <f t="shared" si="3"/>
        <v>-2648</v>
      </c>
    </row>
    <row r="17" spans="1:82" ht="12.75" hidden="1">
      <c r="A17" s="150">
        <v>2004</v>
      </c>
      <c r="B17" s="92">
        <f t="shared" si="0"/>
        <v>989.56</v>
      </c>
      <c r="C17" s="92">
        <f t="shared" si="0"/>
        <v>109.036</v>
      </c>
      <c r="D17" s="92">
        <f t="shared" si="1"/>
        <v>357.45400000000001</v>
      </c>
      <c r="E17" s="92">
        <f t="shared" si="1"/>
        <v>63.63</v>
      </c>
      <c r="F17" s="92">
        <v>285.76600000000002</v>
      </c>
      <c r="G17" s="92">
        <v>61.625</v>
      </c>
      <c r="H17" s="92">
        <v>71.688000000000002</v>
      </c>
      <c r="I17" s="92">
        <v>2.0049999999999999</v>
      </c>
      <c r="J17" s="92">
        <f t="shared" si="2"/>
        <v>632.10599999999999</v>
      </c>
      <c r="K17" s="92">
        <f t="shared" si="2"/>
        <v>45.405999999999999</v>
      </c>
      <c r="L17" s="92">
        <v>415.11099999999999</v>
      </c>
      <c r="M17" s="92">
        <v>32.396000000000001</v>
      </c>
      <c r="N17" s="92">
        <v>216.995</v>
      </c>
      <c r="O17" s="91">
        <v>13.01</v>
      </c>
      <c r="CD17" s="215"/>
    </row>
    <row r="18" spans="1:82" ht="12.75">
      <c r="A18" s="1946">
        <v>2005</v>
      </c>
      <c r="B18" s="1948">
        <f>+B30</f>
        <v>1440.9570000000001</v>
      </c>
      <c r="C18" s="1948">
        <f t="shared" ref="C18:O18" si="4">+C30</f>
        <v>68.198000000000008</v>
      </c>
      <c r="D18" s="1950">
        <f t="shared" si="4"/>
        <v>542.91200000000003</v>
      </c>
      <c r="E18" s="1950">
        <f t="shared" si="4"/>
        <v>20.576999999999998</v>
      </c>
      <c r="F18" s="1950">
        <f t="shared" si="4"/>
        <v>353.13400000000001</v>
      </c>
      <c r="G18" s="1950">
        <f t="shared" si="4"/>
        <v>15.805</v>
      </c>
      <c r="H18" s="1950">
        <f t="shared" si="4"/>
        <v>189.77799999999999</v>
      </c>
      <c r="I18" s="1950">
        <f t="shared" si="4"/>
        <v>4.7720000000000002</v>
      </c>
      <c r="J18" s="1950">
        <f t="shared" si="4"/>
        <v>898.04500000000007</v>
      </c>
      <c r="K18" s="1950">
        <f t="shared" si="4"/>
        <v>47.621000000000002</v>
      </c>
      <c r="L18" s="1950">
        <f t="shared" si="4"/>
        <v>560.11500000000001</v>
      </c>
      <c r="M18" s="1950">
        <f t="shared" si="4"/>
        <v>32.804000000000002</v>
      </c>
      <c r="N18" s="1950">
        <f t="shared" si="4"/>
        <v>337.93</v>
      </c>
      <c r="O18" s="1950">
        <f t="shared" si="4"/>
        <v>14.817</v>
      </c>
      <c r="CC18" s="12">
        <v>-367</v>
      </c>
      <c r="CD18" s="215">
        <f t="shared" si="3"/>
        <v>-367</v>
      </c>
    </row>
    <row r="19" spans="1:82" ht="12.75" hidden="1">
      <c r="A19" s="1947" t="s">
        <v>18</v>
      </c>
      <c r="B19" s="456">
        <f t="shared" ref="B19:C30" si="5">D19+J19</f>
        <v>970.375</v>
      </c>
      <c r="C19" s="456">
        <f t="shared" si="5"/>
        <v>106.82000000000001</v>
      </c>
      <c r="D19" s="224">
        <f t="shared" ref="D19:E30" si="6">F19+H19</f>
        <v>347.31099999999998</v>
      </c>
      <c r="E19" s="224">
        <f t="shared" si="6"/>
        <v>62.763000000000005</v>
      </c>
      <c r="F19" s="224">
        <v>276.77</v>
      </c>
      <c r="G19" s="224">
        <v>60.761000000000003</v>
      </c>
      <c r="H19" s="224">
        <v>70.540999999999997</v>
      </c>
      <c r="I19" s="224">
        <v>2.0019999999999998</v>
      </c>
      <c r="J19" s="224">
        <f t="shared" ref="J19:K30" si="7">L19+N19</f>
        <v>623.06399999999996</v>
      </c>
      <c r="K19" s="224">
        <f t="shared" si="7"/>
        <v>44.057000000000002</v>
      </c>
      <c r="L19" s="224">
        <v>399.27199999999999</v>
      </c>
      <c r="M19" s="224">
        <v>31.024999999999999</v>
      </c>
      <c r="N19" s="224">
        <v>223.792</v>
      </c>
      <c r="O19" s="224">
        <v>13.032</v>
      </c>
      <c r="CC19" s="12">
        <v>-2281</v>
      </c>
      <c r="CD19" s="215">
        <f t="shared" si="3"/>
        <v>-2281</v>
      </c>
    </row>
    <row r="20" spans="1:82" ht="12.75" hidden="1">
      <c r="A20" s="1947" t="s">
        <v>19</v>
      </c>
      <c r="B20" s="456">
        <f t="shared" si="5"/>
        <v>1018.03</v>
      </c>
      <c r="C20" s="456">
        <f t="shared" si="5"/>
        <v>106.595</v>
      </c>
      <c r="D20" s="224">
        <f t="shared" si="6"/>
        <v>368.05899999999997</v>
      </c>
      <c r="E20" s="224">
        <f t="shared" si="6"/>
        <v>62.99</v>
      </c>
      <c r="F20" s="224">
        <v>297.88799999999998</v>
      </c>
      <c r="G20" s="224">
        <v>60.969000000000001</v>
      </c>
      <c r="H20" s="224">
        <v>70.171000000000006</v>
      </c>
      <c r="I20" s="224">
        <v>2.0209999999999999</v>
      </c>
      <c r="J20" s="224">
        <f t="shared" si="7"/>
        <v>649.971</v>
      </c>
      <c r="K20" s="224">
        <f t="shared" si="7"/>
        <v>43.605000000000004</v>
      </c>
      <c r="L20" s="224">
        <v>414.69099999999997</v>
      </c>
      <c r="M20" s="224">
        <v>30.632000000000001</v>
      </c>
      <c r="N20" s="224">
        <v>235.28</v>
      </c>
      <c r="O20" s="224">
        <v>12.973000000000001</v>
      </c>
      <c r="CD20" s="215"/>
    </row>
    <row r="21" spans="1:82" ht="12.75" hidden="1">
      <c r="A21" s="1947" t="s">
        <v>20</v>
      </c>
      <c r="B21" s="456">
        <f t="shared" si="5"/>
        <v>1073.4949999999999</v>
      </c>
      <c r="C21" s="456">
        <f t="shared" si="5"/>
        <v>104.194</v>
      </c>
      <c r="D21" s="224">
        <f t="shared" si="6"/>
        <v>412.54300000000001</v>
      </c>
      <c r="E21" s="224">
        <f t="shared" si="6"/>
        <v>62.828000000000003</v>
      </c>
      <c r="F21" s="224">
        <v>311.22500000000002</v>
      </c>
      <c r="G21" s="224">
        <v>60.639000000000003</v>
      </c>
      <c r="H21" s="224">
        <v>101.318</v>
      </c>
      <c r="I21" s="224">
        <v>2.1890000000000001</v>
      </c>
      <c r="J21" s="224">
        <f t="shared" si="7"/>
        <v>660.952</v>
      </c>
      <c r="K21" s="224">
        <f t="shared" si="7"/>
        <v>41.366</v>
      </c>
      <c r="L21" s="224">
        <v>415.15199999999999</v>
      </c>
      <c r="M21" s="224">
        <v>28.405999999999999</v>
      </c>
      <c r="N21" s="224">
        <v>245.8</v>
      </c>
      <c r="O21" s="224">
        <v>12.96</v>
      </c>
      <c r="CC21" s="12">
        <f>CC23+CC24</f>
        <v>-797</v>
      </c>
      <c r="CD21" s="215">
        <f t="shared" si="3"/>
        <v>-797</v>
      </c>
    </row>
    <row r="22" spans="1:82" ht="12.75" hidden="1">
      <c r="A22" s="1947" t="s">
        <v>21</v>
      </c>
      <c r="B22" s="456">
        <f t="shared" si="5"/>
        <v>1098.393</v>
      </c>
      <c r="C22" s="456">
        <f t="shared" si="5"/>
        <v>105.131</v>
      </c>
      <c r="D22" s="224">
        <f t="shared" si="6"/>
        <v>428.851</v>
      </c>
      <c r="E22" s="224">
        <f t="shared" si="6"/>
        <v>62.686999999999998</v>
      </c>
      <c r="F22" s="224">
        <v>314.32299999999998</v>
      </c>
      <c r="G22" s="224">
        <v>60.753</v>
      </c>
      <c r="H22" s="224">
        <v>114.52800000000001</v>
      </c>
      <c r="I22" s="224">
        <v>1.9339999999999999</v>
      </c>
      <c r="J22" s="224">
        <f t="shared" si="7"/>
        <v>669.54199999999992</v>
      </c>
      <c r="K22" s="224">
        <f t="shared" si="7"/>
        <v>42.444000000000003</v>
      </c>
      <c r="L22" s="224">
        <v>417.23899999999998</v>
      </c>
      <c r="M22" s="224">
        <v>29.693000000000001</v>
      </c>
      <c r="N22" s="224">
        <v>252.303</v>
      </c>
      <c r="O22" s="224">
        <v>12.750999999999999</v>
      </c>
      <c r="CD22" s="215"/>
    </row>
    <row r="23" spans="1:82" ht="12.75" hidden="1">
      <c r="A23" s="1947" t="s">
        <v>22</v>
      </c>
      <c r="B23" s="456">
        <f t="shared" si="5"/>
        <v>1114.7669999999998</v>
      </c>
      <c r="C23" s="456">
        <f t="shared" si="5"/>
        <v>106.94799999999999</v>
      </c>
      <c r="D23" s="224">
        <f t="shared" si="6"/>
        <v>443.774</v>
      </c>
      <c r="E23" s="224">
        <f t="shared" si="6"/>
        <v>63.830999999999996</v>
      </c>
      <c r="F23" s="1460">
        <v>316.89800000000002</v>
      </c>
      <c r="G23" s="224">
        <v>61.655999999999999</v>
      </c>
      <c r="H23" s="224">
        <v>126.876</v>
      </c>
      <c r="I23" s="224">
        <v>2.1749999999999998</v>
      </c>
      <c r="J23" s="224">
        <f t="shared" si="7"/>
        <v>670.99299999999994</v>
      </c>
      <c r="K23" s="224">
        <f t="shared" si="7"/>
        <v>43.116999999999997</v>
      </c>
      <c r="L23" s="224">
        <v>415.779</v>
      </c>
      <c r="M23" s="224">
        <v>30.155999999999999</v>
      </c>
      <c r="N23" s="224">
        <v>255.214</v>
      </c>
      <c r="O23" s="224">
        <v>12.961</v>
      </c>
      <c r="CC23" s="12">
        <v>-644</v>
      </c>
      <c r="CD23" s="215">
        <f t="shared" si="3"/>
        <v>-644</v>
      </c>
    </row>
    <row r="24" spans="1:82" ht="12.75" hidden="1">
      <c r="A24" s="1947" t="s">
        <v>23</v>
      </c>
      <c r="B24" s="456">
        <f t="shared" si="5"/>
        <v>1079.6320000000001</v>
      </c>
      <c r="C24" s="456">
        <f t="shared" si="5"/>
        <v>59.224999999999994</v>
      </c>
      <c r="D24" s="224">
        <f t="shared" si="6"/>
        <v>417.98500000000001</v>
      </c>
      <c r="E24" s="224">
        <f t="shared" si="6"/>
        <v>14.773</v>
      </c>
      <c r="F24" s="224">
        <v>273.97800000000001</v>
      </c>
      <c r="G24" s="224">
        <v>12.275</v>
      </c>
      <c r="H24" s="224">
        <v>144.00700000000001</v>
      </c>
      <c r="I24" s="224">
        <v>2.4980000000000002</v>
      </c>
      <c r="J24" s="224">
        <f t="shared" si="7"/>
        <v>661.64699999999993</v>
      </c>
      <c r="K24" s="224">
        <f t="shared" si="7"/>
        <v>44.451999999999998</v>
      </c>
      <c r="L24" s="224">
        <v>400.77499999999998</v>
      </c>
      <c r="M24" s="224">
        <v>31.457999999999998</v>
      </c>
      <c r="N24" s="224">
        <v>260.87200000000001</v>
      </c>
      <c r="O24" s="224">
        <v>12.994</v>
      </c>
      <c r="CC24" s="12">
        <v>-153</v>
      </c>
      <c r="CD24" s="215">
        <f t="shared" si="3"/>
        <v>-153</v>
      </c>
    </row>
    <row r="25" spans="1:82" ht="12.75" hidden="1">
      <c r="A25" s="1947" t="s">
        <v>24</v>
      </c>
      <c r="B25" s="456">
        <f t="shared" si="5"/>
        <v>1116.5730000000001</v>
      </c>
      <c r="C25" s="456">
        <f t="shared" si="5"/>
        <v>55.78</v>
      </c>
      <c r="D25" s="224">
        <f t="shared" si="6"/>
        <v>426.85200000000003</v>
      </c>
      <c r="E25" s="224">
        <f t="shared" si="6"/>
        <v>11.387</v>
      </c>
      <c r="F25" s="224">
        <v>275.98700000000002</v>
      </c>
      <c r="G25" s="224">
        <v>9.8789999999999996</v>
      </c>
      <c r="H25" s="224">
        <v>150.86500000000001</v>
      </c>
      <c r="I25" s="224">
        <v>1.508</v>
      </c>
      <c r="J25" s="224">
        <f t="shared" si="7"/>
        <v>689.721</v>
      </c>
      <c r="K25" s="224">
        <f t="shared" si="7"/>
        <v>44.393000000000001</v>
      </c>
      <c r="L25" s="224">
        <v>421.65300000000002</v>
      </c>
      <c r="M25" s="224">
        <v>31.530999999999999</v>
      </c>
      <c r="N25" s="224">
        <v>268.06799999999998</v>
      </c>
      <c r="O25" s="224">
        <v>12.862</v>
      </c>
      <c r="CD25" s="215"/>
    </row>
    <row r="26" spans="1:82" ht="12.75" hidden="1">
      <c r="A26" s="1947" t="s">
        <v>25</v>
      </c>
      <c r="B26" s="456">
        <f t="shared" si="5"/>
        <v>1208.8809999999999</v>
      </c>
      <c r="C26" s="456">
        <f t="shared" si="5"/>
        <v>57.463999999999999</v>
      </c>
      <c r="D26" s="224">
        <f t="shared" si="6"/>
        <v>446.84299999999996</v>
      </c>
      <c r="E26" s="224">
        <f t="shared" si="6"/>
        <v>13.077999999999999</v>
      </c>
      <c r="F26" s="224">
        <v>289.25</v>
      </c>
      <c r="G26" s="224">
        <v>11.484</v>
      </c>
      <c r="H26" s="224">
        <v>157.59299999999999</v>
      </c>
      <c r="I26" s="224">
        <v>1.5940000000000001</v>
      </c>
      <c r="J26" s="224">
        <f t="shared" si="7"/>
        <v>762.03800000000001</v>
      </c>
      <c r="K26" s="224">
        <f t="shared" si="7"/>
        <v>44.385999999999996</v>
      </c>
      <c r="L26" s="224">
        <v>488.07499999999999</v>
      </c>
      <c r="M26" s="224">
        <v>31.617999999999999</v>
      </c>
      <c r="N26" s="224">
        <v>273.96300000000002</v>
      </c>
      <c r="O26" s="224">
        <v>12.768000000000001</v>
      </c>
      <c r="CD26" s="215"/>
    </row>
    <row r="27" spans="1:82" ht="12.75" hidden="1">
      <c r="A27" s="1947" t="s">
        <v>26</v>
      </c>
      <c r="B27" s="456">
        <f t="shared" si="5"/>
        <v>1245.1379999999999</v>
      </c>
      <c r="C27" s="456">
        <f t="shared" si="5"/>
        <v>63.194000000000003</v>
      </c>
      <c r="D27" s="224">
        <f t="shared" si="6"/>
        <v>486.56099999999998</v>
      </c>
      <c r="E27" s="224">
        <f t="shared" si="6"/>
        <v>14.804</v>
      </c>
      <c r="F27" s="224">
        <v>313.44099999999997</v>
      </c>
      <c r="G27" s="224">
        <v>13.26</v>
      </c>
      <c r="H27" s="224">
        <v>173.12</v>
      </c>
      <c r="I27" s="224">
        <v>1.544</v>
      </c>
      <c r="J27" s="224">
        <f t="shared" si="7"/>
        <v>758.577</v>
      </c>
      <c r="K27" s="224">
        <f t="shared" si="7"/>
        <v>48.39</v>
      </c>
      <c r="L27" s="224">
        <v>466.05399999999997</v>
      </c>
      <c r="M27" s="224">
        <v>33.673999999999999</v>
      </c>
      <c r="N27" s="224">
        <v>292.52300000000002</v>
      </c>
      <c r="O27" s="224">
        <v>14.715999999999999</v>
      </c>
      <c r="CD27" s="215"/>
    </row>
    <row r="28" spans="1:82" ht="12.75" hidden="1">
      <c r="A28" s="1947" t="s">
        <v>27</v>
      </c>
      <c r="B28" s="456">
        <f t="shared" si="5"/>
        <v>1311.596</v>
      </c>
      <c r="C28" s="456">
        <f t="shared" si="5"/>
        <v>67.349999999999994</v>
      </c>
      <c r="D28" s="224">
        <f t="shared" si="6"/>
        <v>516.98299999999995</v>
      </c>
      <c r="E28" s="224">
        <f t="shared" si="6"/>
        <v>18.119</v>
      </c>
      <c r="F28" s="224">
        <v>334.24</v>
      </c>
      <c r="G28" s="224">
        <v>13.493</v>
      </c>
      <c r="H28" s="224">
        <v>182.74299999999999</v>
      </c>
      <c r="I28" s="224">
        <v>4.6260000000000003</v>
      </c>
      <c r="J28" s="224">
        <f t="shared" si="7"/>
        <v>794.61300000000006</v>
      </c>
      <c r="K28" s="224">
        <f t="shared" si="7"/>
        <v>49.230999999999995</v>
      </c>
      <c r="L28" s="224">
        <v>491.43799999999999</v>
      </c>
      <c r="M28" s="224">
        <v>34.406999999999996</v>
      </c>
      <c r="N28" s="224">
        <v>303.17500000000001</v>
      </c>
      <c r="O28" s="224">
        <v>14.824</v>
      </c>
      <c r="CC28" s="12">
        <v>-31</v>
      </c>
      <c r="CD28" s="215">
        <f t="shared" si="3"/>
        <v>-31</v>
      </c>
    </row>
    <row r="29" spans="1:82" ht="12.75" hidden="1">
      <c r="A29" s="1947" t="s">
        <v>28</v>
      </c>
      <c r="B29" s="456">
        <f t="shared" si="5"/>
        <v>1358.5160000000001</v>
      </c>
      <c r="C29" s="456">
        <f t="shared" si="5"/>
        <v>68.878</v>
      </c>
      <c r="D29" s="224">
        <f t="shared" si="6"/>
        <v>530.76</v>
      </c>
      <c r="E29" s="224">
        <f t="shared" si="6"/>
        <v>19.605</v>
      </c>
      <c r="F29" s="224">
        <v>346.32900000000001</v>
      </c>
      <c r="G29" s="224">
        <v>14.916</v>
      </c>
      <c r="H29" s="224">
        <v>184.43100000000001</v>
      </c>
      <c r="I29" s="224">
        <v>4.6890000000000001</v>
      </c>
      <c r="J29" s="224">
        <f t="shared" si="7"/>
        <v>827.75600000000009</v>
      </c>
      <c r="K29" s="224">
        <f t="shared" si="7"/>
        <v>49.272999999999996</v>
      </c>
      <c r="L29" s="224">
        <v>520.23900000000003</v>
      </c>
      <c r="M29" s="224">
        <v>34.354999999999997</v>
      </c>
      <c r="N29" s="224">
        <v>307.517</v>
      </c>
      <c r="O29" s="224">
        <v>14.917999999999999</v>
      </c>
      <c r="CC29" s="12">
        <v>-440</v>
      </c>
      <c r="CD29" s="215">
        <f t="shared" si="3"/>
        <v>-440</v>
      </c>
    </row>
    <row r="30" spans="1:82" ht="12.75" hidden="1">
      <c r="A30" s="1947" t="s">
        <v>29</v>
      </c>
      <c r="B30" s="456">
        <f t="shared" si="5"/>
        <v>1440.9570000000001</v>
      </c>
      <c r="C30" s="456">
        <f t="shared" si="5"/>
        <v>68.198000000000008</v>
      </c>
      <c r="D30" s="224">
        <f t="shared" si="6"/>
        <v>542.91200000000003</v>
      </c>
      <c r="E30" s="224">
        <f t="shared" si="6"/>
        <v>20.576999999999998</v>
      </c>
      <c r="F30" s="224">
        <v>353.13400000000001</v>
      </c>
      <c r="G30" s="224">
        <v>15.805</v>
      </c>
      <c r="H30" s="224">
        <v>189.77799999999999</v>
      </c>
      <c r="I30" s="224">
        <v>4.7720000000000002</v>
      </c>
      <c r="J30" s="224">
        <f t="shared" si="7"/>
        <v>898.04500000000007</v>
      </c>
      <c r="K30" s="224">
        <f t="shared" si="7"/>
        <v>47.621000000000002</v>
      </c>
      <c r="L30" s="224">
        <v>560.11500000000001</v>
      </c>
      <c r="M30" s="224">
        <v>32.804000000000002</v>
      </c>
      <c r="N30" s="224">
        <v>337.93</v>
      </c>
      <c r="O30" s="224">
        <v>14.817</v>
      </c>
      <c r="CD30" s="215"/>
    </row>
    <row r="31" spans="1:82" ht="12.75" hidden="1">
      <c r="A31" s="1947"/>
      <c r="B31" s="456"/>
      <c r="C31" s="45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CC31" s="12">
        <f>CC33+CC34</f>
        <v>-498</v>
      </c>
      <c r="CD31" s="215">
        <f>BY31+BZ31+CA31+CC31</f>
        <v>-498</v>
      </c>
    </row>
    <row r="32" spans="1:82" ht="12.75">
      <c r="A32" s="355">
        <v>2006</v>
      </c>
      <c r="B32" s="456">
        <f>+B44</f>
        <v>2362.6930000000002</v>
      </c>
      <c r="C32" s="456">
        <f t="shared" ref="C32:O32" si="8">+C44</f>
        <v>77.655000000000001</v>
      </c>
      <c r="D32" s="224">
        <f t="shared" si="8"/>
        <v>1170.4929999999999</v>
      </c>
      <c r="E32" s="224">
        <f t="shared" si="8"/>
        <v>23.056000000000001</v>
      </c>
      <c r="F32" s="224">
        <f t="shared" si="8"/>
        <v>597.36</v>
      </c>
      <c r="G32" s="224">
        <f t="shared" si="8"/>
        <v>18.57</v>
      </c>
      <c r="H32" s="224">
        <f t="shared" si="8"/>
        <v>573.13300000000004</v>
      </c>
      <c r="I32" s="224">
        <f t="shared" si="8"/>
        <v>4.4859999999999998</v>
      </c>
      <c r="J32" s="224">
        <f t="shared" si="8"/>
        <v>1192.2</v>
      </c>
      <c r="K32" s="224">
        <f t="shared" si="8"/>
        <v>54.598999999999997</v>
      </c>
      <c r="L32" s="224">
        <f t="shared" si="8"/>
        <v>544.6</v>
      </c>
      <c r="M32" s="224">
        <f t="shared" si="8"/>
        <v>34.662999999999997</v>
      </c>
      <c r="N32" s="224">
        <f t="shared" si="8"/>
        <v>647.6</v>
      </c>
      <c r="O32" s="224">
        <f t="shared" si="8"/>
        <v>19.936</v>
      </c>
      <c r="CD32" s="215"/>
    </row>
    <row r="33" spans="1:82" ht="12.75" hidden="1">
      <c r="A33" s="1947" t="s">
        <v>18</v>
      </c>
      <c r="B33" s="456">
        <f t="shared" ref="B33:C43" si="9">D33+J33</f>
        <v>1380.3589999999999</v>
      </c>
      <c r="C33" s="456">
        <f t="shared" si="9"/>
        <v>68.902000000000001</v>
      </c>
      <c r="D33" s="224">
        <f t="shared" ref="D33:E43" si="10">F33+H33</f>
        <v>543.23400000000004</v>
      </c>
      <c r="E33" s="224">
        <f t="shared" si="10"/>
        <v>21.103999999999999</v>
      </c>
      <c r="F33" s="224">
        <v>347.07100000000003</v>
      </c>
      <c r="G33" s="224">
        <v>16.117999999999999</v>
      </c>
      <c r="H33" s="224">
        <v>196.16300000000001</v>
      </c>
      <c r="I33" s="224">
        <v>4.9859999999999998</v>
      </c>
      <c r="J33" s="224">
        <f t="shared" ref="J33:K43" si="11">L33+N33</f>
        <v>837.125</v>
      </c>
      <c r="K33" s="224">
        <f t="shared" si="11"/>
        <v>47.798000000000002</v>
      </c>
      <c r="L33" s="224">
        <v>494.40899999999999</v>
      </c>
      <c r="M33" s="224">
        <v>33.978000000000002</v>
      </c>
      <c r="N33" s="224">
        <v>342.71600000000001</v>
      </c>
      <c r="O33" s="224">
        <v>13.82</v>
      </c>
      <c r="CC33" s="12">
        <v>-521</v>
      </c>
      <c r="CD33" s="215">
        <f>BY33+BZ33+CA33+CC33</f>
        <v>-521</v>
      </c>
    </row>
    <row r="34" spans="1:82" ht="12.75" hidden="1">
      <c r="A34" s="1947" t="s">
        <v>19</v>
      </c>
      <c r="B34" s="456">
        <f t="shared" si="9"/>
        <v>1352.0030000000002</v>
      </c>
      <c r="C34" s="456">
        <f t="shared" si="9"/>
        <v>66.677999999999997</v>
      </c>
      <c r="D34" s="224">
        <f t="shared" si="10"/>
        <v>554.89099999999996</v>
      </c>
      <c r="E34" s="224">
        <f t="shared" si="10"/>
        <v>19.98</v>
      </c>
      <c r="F34" s="224">
        <v>352.346</v>
      </c>
      <c r="G34" s="224">
        <v>15.289</v>
      </c>
      <c r="H34" s="224">
        <v>202.54499999999999</v>
      </c>
      <c r="I34" s="224">
        <v>4.6909999999999998</v>
      </c>
      <c r="J34" s="224">
        <f t="shared" si="11"/>
        <v>797.11200000000008</v>
      </c>
      <c r="K34" s="224">
        <f t="shared" si="11"/>
        <v>46.698</v>
      </c>
      <c r="L34" s="224">
        <v>444.75700000000001</v>
      </c>
      <c r="M34" s="224">
        <v>33.207999999999998</v>
      </c>
      <c r="N34" s="224">
        <v>352.35500000000002</v>
      </c>
      <c r="O34" s="224">
        <v>13.49</v>
      </c>
      <c r="CC34" s="12">
        <v>23</v>
      </c>
      <c r="CD34" s="215">
        <f>BY34+BZ34+CA34+CC34</f>
        <v>23</v>
      </c>
    </row>
    <row r="35" spans="1:82" ht="12.75" hidden="1">
      <c r="A35" s="1947" t="s">
        <v>20</v>
      </c>
      <c r="B35" s="456">
        <f t="shared" si="9"/>
        <v>1395.1109999999999</v>
      </c>
      <c r="C35" s="456">
        <f t="shared" si="9"/>
        <v>66.701999999999998</v>
      </c>
      <c r="D35" s="224">
        <f t="shared" si="10"/>
        <v>568.23099999999999</v>
      </c>
      <c r="E35" s="224">
        <f t="shared" si="10"/>
        <v>19.89</v>
      </c>
      <c r="F35" s="224">
        <v>328.529</v>
      </c>
      <c r="G35" s="224">
        <v>14.988</v>
      </c>
      <c r="H35" s="224">
        <v>239.702</v>
      </c>
      <c r="I35" s="224">
        <v>4.9020000000000001</v>
      </c>
      <c r="J35" s="224">
        <f t="shared" si="11"/>
        <v>826.88</v>
      </c>
      <c r="K35" s="224">
        <f t="shared" si="11"/>
        <v>46.811999999999998</v>
      </c>
      <c r="L35" s="224">
        <v>462.78</v>
      </c>
      <c r="M35" s="224">
        <v>33.357999999999997</v>
      </c>
      <c r="N35" s="224">
        <v>364.1</v>
      </c>
      <c r="O35" s="224">
        <v>13.454000000000001</v>
      </c>
      <c r="CD35" s="215"/>
    </row>
    <row r="36" spans="1:82" ht="12.75" hidden="1">
      <c r="A36" s="1947" t="s">
        <v>21</v>
      </c>
      <c r="B36" s="456">
        <f t="shared" si="9"/>
        <v>1529.2350000000001</v>
      </c>
      <c r="C36" s="456">
        <f t="shared" si="9"/>
        <v>64.657000000000011</v>
      </c>
      <c r="D36" s="224">
        <f t="shared" si="10"/>
        <v>632.38900000000001</v>
      </c>
      <c r="E36" s="224">
        <f t="shared" si="10"/>
        <v>19.149000000000001</v>
      </c>
      <c r="F36" s="224">
        <v>381.56799999999998</v>
      </c>
      <c r="G36" s="224">
        <v>14.653</v>
      </c>
      <c r="H36" s="224">
        <v>250.821</v>
      </c>
      <c r="I36" s="224">
        <v>4.4960000000000004</v>
      </c>
      <c r="J36" s="224">
        <f t="shared" si="11"/>
        <v>896.846</v>
      </c>
      <c r="K36" s="224">
        <f t="shared" si="11"/>
        <v>45.508000000000003</v>
      </c>
      <c r="L36" s="224">
        <v>478.90899999999999</v>
      </c>
      <c r="M36" s="224">
        <v>32.084000000000003</v>
      </c>
      <c r="N36" s="224">
        <v>417.93700000000001</v>
      </c>
      <c r="O36" s="224">
        <v>13.423999999999999</v>
      </c>
      <c r="CC36" s="12">
        <v>433</v>
      </c>
      <c r="CD36" s="215">
        <f t="shared" si="3"/>
        <v>433</v>
      </c>
    </row>
    <row r="37" spans="1:82" ht="12.75" hidden="1">
      <c r="A37" s="1947" t="s">
        <v>22</v>
      </c>
      <c r="B37" s="456">
        <f t="shared" si="9"/>
        <v>1556.8329444199999</v>
      </c>
      <c r="C37" s="456">
        <f t="shared" si="9"/>
        <v>64.430258479999992</v>
      </c>
      <c r="D37" s="224">
        <f t="shared" si="10"/>
        <v>621.58799999999997</v>
      </c>
      <c r="E37" s="224">
        <f t="shared" si="10"/>
        <v>20.477</v>
      </c>
      <c r="F37" s="224">
        <v>353.60500000000002</v>
      </c>
      <c r="G37" s="224">
        <v>15.901</v>
      </c>
      <c r="H37" s="224">
        <v>267.983</v>
      </c>
      <c r="I37" s="224">
        <v>4.5759999999999996</v>
      </c>
      <c r="J37" s="224">
        <f t="shared" si="11"/>
        <v>935.24494441999991</v>
      </c>
      <c r="K37" s="224">
        <f t="shared" si="11"/>
        <v>43.953258479999995</v>
      </c>
      <c r="L37" s="224">
        <v>498.32</v>
      </c>
      <c r="M37" s="224">
        <v>32.622999999999998</v>
      </c>
      <c r="N37" s="224">
        <v>436.92494441999997</v>
      </c>
      <c r="O37" s="224">
        <v>11.330258479999999</v>
      </c>
      <c r="CC37" s="12">
        <v>-931</v>
      </c>
      <c r="CD37" s="215">
        <f t="shared" si="3"/>
        <v>-931</v>
      </c>
    </row>
    <row r="38" spans="1:82" ht="12.75" hidden="1">
      <c r="A38" s="1947" t="s">
        <v>23</v>
      </c>
      <c r="B38" s="456">
        <f t="shared" si="9"/>
        <v>1660.3340000000001</v>
      </c>
      <c r="C38" s="456">
        <f t="shared" si="9"/>
        <v>63.100999999999999</v>
      </c>
      <c r="D38" s="224">
        <f t="shared" si="10"/>
        <v>685.76600000000008</v>
      </c>
      <c r="E38" s="224">
        <f t="shared" si="10"/>
        <v>19.617000000000001</v>
      </c>
      <c r="F38" s="224">
        <v>369.08199999999999</v>
      </c>
      <c r="G38" s="224">
        <v>15.035</v>
      </c>
      <c r="H38" s="224">
        <v>316.68400000000003</v>
      </c>
      <c r="I38" s="224">
        <v>4.5819999999999999</v>
      </c>
      <c r="J38" s="224">
        <f t="shared" si="11"/>
        <v>974.56799999999998</v>
      </c>
      <c r="K38" s="224">
        <f t="shared" si="11"/>
        <v>43.483999999999995</v>
      </c>
      <c r="L38" s="224">
        <v>508.90800000000002</v>
      </c>
      <c r="M38" s="224">
        <v>32.036999999999999</v>
      </c>
      <c r="N38" s="224">
        <v>465.66</v>
      </c>
      <c r="O38" s="224">
        <v>11.446999999999999</v>
      </c>
      <c r="CD38" s="215"/>
    </row>
    <row r="39" spans="1:82" ht="12.75" hidden="1">
      <c r="A39" s="1947" t="s">
        <v>24</v>
      </c>
      <c r="B39" s="456">
        <f t="shared" si="9"/>
        <v>1785.0259999999998</v>
      </c>
      <c r="C39" s="456">
        <f t="shared" si="9"/>
        <v>63.511000000000003</v>
      </c>
      <c r="D39" s="224">
        <f t="shared" si="10"/>
        <v>762.94499999999994</v>
      </c>
      <c r="E39" s="224">
        <f t="shared" si="10"/>
        <v>19.088000000000001</v>
      </c>
      <c r="F39" s="224">
        <v>413.565</v>
      </c>
      <c r="G39" s="224">
        <v>14.738</v>
      </c>
      <c r="H39" s="224">
        <v>349.38</v>
      </c>
      <c r="I39" s="224">
        <v>4.3499999999999996</v>
      </c>
      <c r="J39" s="224">
        <f t="shared" si="11"/>
        <v>1022.0809999999999</v>
      </c>
      <c r="K39" s="224">
        <f t="shared" si="11"/>
        <v>44.423000000000002</v>
      </c>
      <c r="L39" s="224">
        <v>531.14599999999996</v>
      </c>
      <c r="M39" s="224">
        <v>32.78</v>
      </c>
      <c r="N39" s="224">
        <v>490.935</v>
      </c>
      <c r="O39" s="224">
        <v>11.643000000000001</v>
      </c>
      <c r="CC39" s="12">
        <v>204</v>
      </c>
      <c r="CD39" s="215">
        <f t="shared" si="3"/>
        <v>204</v>
      </c>
    </row>
    <row r="40" spans="1:82" ht="12.75" hidden="1">
      <c r="A40" s="1947" t="s">
        <v>25</v>
      </c>
      <c r="B40" s="456">
        <f>D40+J40</f>
        <v>1876.864</v>
      </c>
      <c r="C40" s="456">
        <f t="shared" si="9"/>
        <v>63.52</v>
      </c>
      <c r="D40" s="224">
        <f t="shared" si="10"/>
        <v>799.37</v>
      </c>
      <c r="E40" s="224">
        <f t="shared" si="10"/>
        <v>19.53</v>
      </c>
      <c r="F40" s="224">
        <v>415.44</v>
      </c>
      <c r="G40" s="224">
        <v>15.1</v>
      </c>
      <c r="H40" s="224">
        <v>383.93</v>
      </c>
      <c r="I40" s="224">
        <v>4.43</v>
      </c>
      <c r="J40" s="224">
        <f t="shared" si="11"/>
        <v>1077.4940000000001</v>
      </c>
      <c r="K40" s="224">
        <f t="shared" si="11"/>
        <v>43.99</v>
      </c>
      <c r="L40" s="224">
        <v>524.14400000000001</v>
      </c>
      <c r="M40" s="224">
        <v>32.270000000000003</v>
      </c>
      <c r="N40" s="224">
        <v>553.35</v>
      </c>
      <c r="O40" s="224">
        <v>11.72</v>
      </c>
      <c r="CC40" s="12">
        <v>200</v>
      </c>
      <c r="CD40" s="215">
        <f t="shared" si="3"/>
        <v>200</v>
      </c>
    </row>
    <row r="41" spans="1:82" ht="12.75" hidden="1">
      <c r="A41" s="1947" t="s">
        <v>26</v>
      </c>
      <c r="B41" s="456">
        <f>D41+J41</f>
        <v>2015.1299999999999</v>
      </c>
      <c r="C41" s="456">
        <f t="shared" si="9"/>
        <v>68.183000000000007</v>
      </c>
      <c r="D41" s="224">
        <f t="shared" si="10"/>
        <v>883.28</v>
      </c>
      <c r="E41" s="224">
        <f t="shared" si="10"/>
        <v>21.87</v>
      </c>
      <c r="F41" s="224">
        <v>459.91</v>
      </c>
      <c r="G41" s="224">
        <v>17.28</v>
      </c>
      <c r="H41" s="224">
        <v>423.37</v>
      </c>
      <c r="I41" s="224">
        <v>4.59</v>
      </c>
      <c r="J41" s="224">
        <f t="shared" si="11"/>
        <v>1131.8499999999999</v>
      </c>
      <c r="K41" s="224">
        <f t="shared" si="11"/>
        <v>46.313000000000002</v>
      </c>
      <c r="L41" s="224">
        <v>545.14</v>
      </c>
      <c r="M41" s="224">
        <v>34.237000000000002</v>
      </c>
      <c r="N41" s="224">
        <v>586.71</v>
      </c>
      <c r="O41" s="224">
        <v>12.076000000000001</v>
      </c>
      <c r="CD41" s="215"/>
    </row>
    <row r="42" spans="1:82" ht="12.75" hidden="1">
      <c r="A42" s="1947" t="s">
        <v>27</v>
      </c>
      <c r="B42" s="456">
        <f>D42+J42</f>
        <v>2159.9029999999998</v>
      </c>
      <c r="C42" s="456">
        <f t="shared" si="9"/>
        <v>78.814000000000007</v>
      </c>
      <c r="D42" s="224">
        <f t="shared" si="10"/>
        <v>977.41699999999992</v>
      </c>
      <c r="E42" s="224">
        <f t="shared" si="10"/>
        <v>23.134</v>
      </c>
      <c r="F42" s="224">
        <v>520.94799999999998</v>
      </c>
      <c r="G42" s="224">
        <v>18.803000000000001</v>
      </c>
      <c r="H42" s="224">
        <v>456.46899999999999</v>
      </c>
      <c r="I42" s="224">
        <v>4.3310000000000004</v>
      </c>
      <c r="J42" s="224">
        <f t="shared" si="11"/>
        <v>1182.4859999999999</v>
      </c>
      <c r="K42" s="224">
        <f t="shared" si="11"/>
        <v>55.680000000000007</v>
      </c>
      <c r="L42" s="224">
        <v>572.13300000000004</v>
      </c>
      <c r="M42" s="224">
        <v>35.377000000000002</v>
      </c>
      <c r="N42" s="224">
        <v>610.35299999999995</v>
      </c>
      <c r="O42" s="224">
        <v>20.303000000000001</v>
      </c>
      <c r="CC42" s="12">
        <v>295</v>
      </c>
      <c r="CD42" s="215">
        <f t="shared" si="3"/>
        <v>295</v>
      </c>
    </row>
    <row r="43" spans="1:82" ht="12.75" hidden="1">
      <c r="A43" s="1947" t="s">
        <v>28</v>
      </c>
      <c r="B43" s="456">
        <f>D43+J43</f>
        <v>2242.0330000000004</v>
      </c>
      <c r="C43" s="456">
        <f t="shared" si="9"/>
        <v>80.212000000000003</v>
      </c>
      <c r="D43" s="224">
        <f t="shared" si="10"/>
        <v>1037.9660000000001</v>
      </c>
      <c r="E43" s="224">
        <f t="shared" si="10"/>
        <v>23.096</v>
      </c>
      <c r="F43" s="224">
        <v>553.94000000000005</v>
      </c>
      <c r="G43" s="224">
        <v>18.59</v>
      </c>
      <c r="H43" s="224">
        <v>484.02600000000001</v>
      </c>
      <c r="I43" s="224">
        <v>4.5060000000000002</v>
      </c>
      <c r="J43" s="224">
        <f t="shared" si="11"/>
        <v>1204.067</v>
      </c>
      <c r="K43" s="224">
        <f t="shared" si="11"/>
        <v>57.116</v>
      </c>
      <c r="L43" s="224">
        <v>564.4</v>
      </c>
      <c r="M43" s="224">
        <v>36.950000000000003</v>
      </c>
      <c r="N43" s="224">
        <v>639.66700000000003</v>
      </c>
      <c r="O43" s="224">
        <v>20.166</v>
      </c>
      <c r="CC43" s="12">
        <v>-95</v>
      </c>
      <c r="CD43" s="215">
        <f t="shared" si="3"/>
        <v>-95</v>
      </c>
    </row>
    <row r="44" spans="1:82" ht="12.75" hidden="1">
      <c r="A44" s="1947" t="s">
        <v>29</v>
      </c>
      <c r="B44" s="456">
        <f>D44+J44</f>
        <v>2362.6930000000002</v>
      </c>
      <c r="C44" s="456">
        <f>E44+K44</f>
        <v>77.655000000000001</v>
      </c>
      <c r="D44" s="224">
        <f>F44+H44</f>
        <v>1170.4929999999999</v>
      </c>
      <c r="E44" s="224">
        <f>G44+I44</f>
        <v>23.056000000000001</v>
      </c>
      <c r="F44" s="224">
        <v>597.36</v>
      </c>
      <c r="G44" s="224">
        <v>18.57</v>
      </c>
      <c r="H44" s="224">
        <v>573.13300000000004</v>
      </c>
      <c r="I44" s="224">
        <v>4.4859999999999998</v>
      </c>
      <c r="J44" s="224">
        <f>L44+N44</f>
        <v>1192.2</v>
      </c>
      <c r="K44" s="224">
        <f>M44+O44</f>
        <v>54.598999999999997</v>
      </c>
      <c r="L44" s="224">
        <v>544.6</v>
      </c>
      <c r="M44" s="224">
        <v>34.662999999999997</v>
      </c>
      <c r="N44" s="224">
        <v>647.6</v>
      </c>
      <c r="O44" s="224">
        <v>19.936</v>
      </c>
      <c r="CD44" s="215"/>
    </row>
    <row r="45" spans="1:82" ht="12.75" hidden="1">
      <c r="A45" s="1947"/>
      <c r="B45" s="456"/>
      <c r="C45" s="456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CC45" s="12">
        <v>0</v>
      </c>
      <c r="CD45" s="215">
        <f t="shared" si="3"/>
        <v>0</v>
      </c>
    </row>
    <row r="46" spans="1:82" ht="12.75">
      <c r="A46" s="355">
        <v>2007</v>
      </c>
      <c r="B46" s="456">
        <f>+B58</f>
        <v>4681.7733614700001</v>
      </c>
      <c r="C46" s="456">
        <f t="shared" ref="C46:O46" si="12">+C58</f>
        <v>100.26732249</v>
      </c>
      <c r="D46" s="224">
        <f t="shared" si="12"/>
        <v>2513.70177728</v>
      </c>
      <c r="E46" s="224">
        <f t="shared" si="12"/>
        <v>44.94659059</v>
      </c>
      <c r="F46" s="224">
        <f t="shared" si="12"/>
        <v>1066.4238625</v>
      </c>
      <c r="G46" s="224">
        <f t="shared" si="12"/>
        <v>35.695748559999998</v>
      </c>
      <c r="H46" s="224">
        <f t="shared" si="12"/>
        <v>1447.2779147799999</v>
      </c>
      <c r="I46" s="224">
        <f t="shared" si="12"/>
        <v>9.2508420299999994</v>
      </c>
      <c r="J46" s="224">
        <f t="shared" si="12"/>
        <v>2168.0715841900001</v>
      </c>
      <c r="K46" s="224">
        <f t="shared" si="12"/>
        <v>55.320731899999998</v>
      </c>
      <c r="L46" s="224">
        <f t="shared" si="12"/>
        <v>583.11922074999995</v>
      </c>
      <c r="M46" s="224">
        <f t="shared" si="12"/>
        <v>33.836045069999997</v>
      </c>
      <c r="N46" s="224">
        <f t="shared" si="12"/>
        <v>1584.95236344</v>
      </c>
      <c r="O46" s="224">
        <f t="shared" si="12"/>
        <v>21.484686830000001</v>
      </c>
      <c r="CD46" s="215"/>
    </row>
    <row r="47" spans="1:82" ht="12.75" hidden="1">
      <c r="A47" s="1947" t="s">
        <v>18</v>
      </c>
      <c r="B47" s="1949">
        <f t="shared" ref="B47:C57" si="13">D47+J47</f>
        <v>2500.8557842800001</v>
      </c>
      <c r="C47" s="93">
        <f t="shared" si="13"/>
        <v>104.03176047000001</v>
      </c>
      <c r="D47" s="93">
        <f t="shared" ref="D47:E58" si="14">F47+H47</f>
        <v>1207.85978727</v>
      </c>
      <c r="E47" s="93">
        <f t="shared" si="14"/>
        <v>25.756331160000002</v>
      </c>
      <c r="F47" s="93">
        <v>609.49943931999996</v>
      </c>
      <c r="G47" s="93">
        <v>21.860035150000002</v>
      </c>
      <c r="H47" s="93">
        <v>598.36034795</v>
      </c>
      <c r="I47" s="93">
        <v>3.8962960099999999</v>
      </c>
      <c r="J47" s="93">
        <f t="shared" ref="J47:K56" si="15">L47+N47</f>
        <v>1292.9959970099999</v>
      </c>
      <c r="K47" s="93">
        <f t="shared" si="15"/>
        <v>78.275429310000007</v>
      </c>
      <c r="L47" s="93">
        <v>618.34051072</v>
      </c>
      <c r="M47" s="93">
        <v>58.493118850000002</v>
      </c>
      <c r="N47" s="94">
        <v>674.65548629</v>
      </c>
      <c r="O47" s="94">
        <v>19.782310460000001</v>
      </c>
      <c r="CC47" s="12">
        <f>CC48-CC52</f>
        <v>481</v>
      </c>
      <c r="CD47" s="215">
        <f t="shared" si="3"/>
        <v>481</v>
      </c>
    </row>
    <row r="48" spans="1:82" ht="12.75" hidden="1">
      <c r="A48" s="1947" t="s">
        <v>19</v>
      </c>
      <c r="B48" s="1949">
        <f t="shared" si="13"/>
        <v>2663.49710117</v>
      </c>
      <c r="C48" s="93">
        <f t="shared" si="13"/>
        <v>129.88478082</v>
      </c>
      <c r="D48" s="93">
        <f t="shared" si="14"/>
        <v>1313.3975223399998</v>
      </c>
      <c r="E48" s="93">
        <f t="shared" si="14"/>
        <v>38.080660709999997</v>
      </c>
      <c r="F48" s="93">
        <v>680.20071729999995</v>
      </c>
      <c r="G48" s="93">
        <v>33.900263019999997</v>
      </c>
      <c r="H48" s="93">
        <v>633.19680503999996</v>
      </c>
      <c r="I48" s="93">
        <v>4.1803976900000004</v>
      </c>
      <c r="J48" s="93">
        <f t="shared" si="15"/>
        <v>1350.0995788299999</v>
      </c>
      <c r="K48" s="93">
        <f t="shared" si="15"/>
        <v>91.804120109999999</v>
      </c>
      <c r="L48" s="93">
        <v>618.88580824999997</v>
      </c>
      <c r="M48" s="93">
        <v>71.337631090000002</v>
      </c>
      <c r="N48" s="94">
        <v>731.21377057999996</v>
      </c>
      <c r="O48" s="94">
        <v>20.466489020000001</v>
      </c>
      <c r="CC48" s="12">
        <f>CC50+CC51</f>
        <v>965</v>
      </c>
      <c r="CD48" s="215">
        <f t="shared" si="3"/>
        <v>965</v>
      </c>
    </row>
    <row r="49" spans="1:82" ht="12.75" hidden="1">
      <c r="A49" s="1947" t="s">
        <v>20</v>
      </c>
      <c r="B49" s="1949">
        <f t="shared" si="13"/>
        <v>2880.8536487800002</v>
      </c>
      <c r="C49" s="93">
        <f t="shared" si="13"/>
        <v>130.48997767</v>
      </c>
      <c r="D49" s="93">
        <f t="shared" si="14"/>
        <v>1429.78933018</v>
      </c>
      <c r="E49" s="93">
        <f t="shared" si="14"/>
        <v>38.916336180000002</v>
      </c>
      <c r="F49" s="93">
        <v>703.72134679999999</v>
      </c>
      <c r="G49" s="93">
        <v>33.039883160000002</v>
      </c>
      <c r="H49" s="93">
        <v>726.06798337999999</v>
      </c>
      <c r="I49" s="93">
        <v>5.8764530199999996</v>
      </c>
      <c r="J49" s="93">
        <f t="shared" si="15"/>
        <v>1451.0643186</v>
      </c>
      <c r="K49" s="93">
        <f t="shared" si="15"/>
        <v>91.57364149</v>
      </c>
      <c r="L49" s="93">
        <v>561.46913816999995</v>
      </c>
      <c r="M49" s="93">
        <v>70.868136460000002</v>
      </c>
      <c r="N49" s="94">
        <v>889.59518043000003</v>
      </c>
      <c r="O49" s="94">
        <v>20.705505030000001</v>
      </c>
      <c r="CD49" s="215"/>
    </row>
    <row r="50" spans="1:82" ht="12.75" hidden="1">
      <c r="A50" s="1947" t="s">
        <v>21</v>
      </c>
      <c r="B50" s="1949">
        <f t="shared" si="13"/>
        <v>3091.2641826100003</v>
      </c>
      <c r="C50" s="93">
        <f t="shared" si="13"/>
        <v>129.09170431000001</v>
      </c>
      <c r="D50" s="93">
        <f t="shared" si="14"/>
        <v>1564.5252383900001</v>
      </c>
      <c r="E50" s="93">
        <f t="shared" si="14"/>
        <v>39.970433790000001</v>
      </c>
      <c r="F50" s="93">
        <v>786.36269514000003</v>
      </c>
      <c r="G50" s="93">
        <v>33.689409400000002</v>
      </c>
      <c r="H50" s="93">
        <v>778.16254325</v>
      </c>
      <c r="I50" s="93">
        <v>6.2810243899999998</v>
      </c>
      <c r="J50" s="93">
        <f t="shared" si="15"/>
        <v>1526.7389442200001</v>
      </c>
      <c r="K50" s="93">
        <f t="shared" si="15"/>
        <v>89.121270519999996</v>
      </c>
      <c r="L50" s="93">
        <v>567.63800263999997</v>
      </c>
      <c r="M50" s="93">
        <v>68.481148000000005</v>
      </c>
      <c r="N50" s="94">
        <v>959.10094158000004</v>
      </c>
      <c r="O50" s="94">
        <v>20.640122519999998</v>
      </c>
      <c r="CC50" s="12">
        <v>954</v>
      </c>
      <c r="CD50" s="215">
        <f t="shared" si="3"/>
        <v>954</v>
      </c>
    </row>
    <row r="51" spans="1:82" ht="12.75" hidden="1">
      <c r="A51" s="1947" t="s">
        <v>22</v>
      </c>
      <c r="B51" s="1949">
        <f t="shared" si="13"/>
        <v>3315.4499153500001</v>
      </c>
      <c r="C51" s="93">
        <f t="shared" si="13"/>
        <v>109.71650685</v>
      </c>
      <c r="D51" s="93">
        <f t="shared" si="14"/>
        <v>1700.66113341</v>
      </c>
      <c r="E51" s="93">
        <f t="shared" si="14"/>
        <v>43.641480100000003</v>
      </c>
      <c r="F51" s="93">
        <v>840.96081418000006</v>
      </c>
      <c r="G51" s="93">
        <v>36.756512010000002</v>
      </c>
      <c r="H51" s="93">
        <v>859.70031922999999</v>
      </c>
      <c r="I51" s="93">
        <v>6.8849680900000001</v>
      </c>
      <c r="J51" s="93">
        <f t="shared" si="15"/>
        <v>1614.78878194</v>
      </c>
      <c r="K51" s="93">
        <f t="shared" si="15"/>
        <v>66.075026750000006</v>
      </c>
      <c r="L51" s="93">
        <v>586.69029184999999</v>
      </c>
      <c r="M51" s="93">
        <v>45.257563070000003</v>
      </c>
      <c r="N51" s="94">
        <v>1028.09849009</v>
      </c>
      <c r="O51" s="94">
        <v>20.817463679999999</v>
      </c>
      <c r="CC51" s="12">
        <v>11</v>
      </c>
      <c r="CD51" s="215">
        <f t="shared" si="3"/>
        <v>11</v>
      </c>
    </row>
    <row r="52" spans="1:82" ht="12.75" hidden="1">
      <c r="A52" s="1947" t="s">
        <v>23</v>
      </c>
      <c r="B52" s="1949">
        <f t="shared" si="13"/>
        <v>3458.4920896200001</v>
      </c>
      <c r="C52" s="93">
        <f t="shared" si="13"/>
        <v>106.28669576999999</v>
      </c>
      <c r="D52" s="93">
        <f t="shared" si="14"/>
        <v>1820.6560213100001</v>
      </c>
      <c r="E52" s="93">
        <f t="shared" si="14"/>
        <v>42.403427190000002</v>
      </c>
      <c r="F52" s="93">
        <v>878.37206065999999</v>
      </c>
      <c r="G52" s="93">
        <v>34.81190411</v>
      </c>
      <c r="H52" s="93">
        <v>942.28396065000004</v>
      </c>
      <c r="I52" s="93">
        <v>7.59152308</v>
      </c>
      <c r="J52" s="93">
        <f t="shared" si="15"/>
        <v>1637.83606831</v>
      </c>
      <c r="K52" s="93">
        <f t="shared" si="15"/>
        <v>63.883268579999999</v>
      </c>
      <c r="L52" s="93">
        <v>549.61039925</v>
      </c>
      <c r="M52" s="93">
        <v>42.733137079999999</v>
      </c>
      <c r="N52" s="94">
        <v>1088.22566906</v>
      </c>
      <c r="O52" s="94">
        <v>21.150131500000001</v>
      </c>
      <c r="CC52" s="12">
        <f>CC54+CC55+CC56+CC57</f>
        <v>484</v>
      </c>
      <c r="CD52" s="215">
        <f t="shared" si="3"/>
        <v>484</v>
      </c>
    </row>
    <row r="53" spans="1:82" ht="12.75" hidden="1">
      <c r="A53" s="1947" t="s">
        <v>24</v>
      </c>
      <c r="B53" s="1949">
        <f t="shared" si="13"/>
        <v>3443.9037720199999</v>
      </c>
      <c r="C53" s="93">
        <f t="shared" si="13"/>
        <v>107.71368218999999</v>
      </c>
      <c r="D53" s="93">
        <f t="shared" si="14"/>
        <v>1838.23049614</v>
      </c>
      <c r="E53" s="93">
        <f t="shared" si="14"/>
        <v>44.215449159999999</v>
      </c>
      <c r="F53" s="93">
        <v>807.25287299000001</v>
      </c>
      <c r="G53" s="93">
        <v>35.53334838</v>
      </c>
      <c r="H53" s="93">
        <v>1030.97762315</v>
      </c>
      <c r="I53" s="93">
        <v>8.6821007800000007</v>
      </c>
      <c r="J53" s="93">
        <f t="shared" si="15"/>
        <v>1605.6732758799999</v>
      </c>
      <c r="K53" s="93">
        <f t="shared" si="15"/>
        <v>63.498233029999994</v>
      </c>
      <c r="L53" s="93">
        <v>527.74719088999996</v>
      </c>
      <c r="M53" s="93">
        <v>42.035959009999999</v>
      </c>
      <c r="N53" s="94">
        <v>1077.9260849899999</v>
      </c>
      <c r="O53" s="94">
        <v>21.462274019999999</v>
      </c>
      <c r="CD53" s="215"/>
    </row>
    <row r="54" spans="1:82" ht="12.75" hidden="1">
      <c r="A54" s="1947" t="s">
        <v>25</v>
      </c>
      <c r="B54" s="1949">
        <f t="shared" si="13"/>
        <v>3573.0027270299997</v>
      </c>
      <c r="C54" s="93">
        <f t="shared" si="13"/>
        <v>103.08589524</v>
      </c>
      <c r="D54" s="93">
        <f t="shared" si="14"/>
        <v>1979.26731178</v>
      </c>
      <c r="E54" s="93">
        <f t="shared" si="14"/>
        <v>41.428203920000001</v>
      </c>
      <c r="F54" s="93">
        <v>868.90736747000005</v>
      </c>
      <c r="G54" s="93">
        <v>31.938878190000001</v>
      </c>
      <c r="H54" s="93">
        <v>1110.3599443099999</v>
      </c>
      <c r="I54" s="93">
        <v>9.4893257299999991</v>
      </c>
      <c r="J54" s="93">
        <f t="shared" si="15"/>
        <v>1593.73541525</v>
      </c>
      <c r="K54" s="93">
        <f t="shared" si="15"/>
        <v>61.657691319999998</v>
      </c>
      <c r="L54" s="93">
        <v>540.18858597999997</v>
      </c>
      <c r="M54" s="93">
        <v>40.119622939999999</v>
      </c>
      <c r="N54" s="94">
        <v>1053.54682927</v>
      </c>
      <c r="O54" s="94">
        <v>21.538068379999999</v>
      </c>
      <c r="CC54" s="12">
        <v>1214</v>
      </c>
      <c r="CD54" s="215">
        <f t="shared" si="3"/>
        <v>1214</v>
      </c>
    </row>
    <row r="55" spans="1:82" ht="12.75" hidden="1">
      <c r="A55" s="1947" t="s">
        <v>26</v>
      </c>
      <c r="B55" s="1949">
        <f t="shared" si="13"/>
        <v>3771.25162757</v>
      </c>
      <c r="C55" s="93">
        <f t="shared" si="13"/>
        <v>96.306606109999905</v>
      </c>
      <c r="D55" s="93">
        <f t="shared" si="14"/>
        <v>2101.7462428399999</v>
      </c>
      <c r="E55" s="93">
        <f t="shared" si="14"/>
        <v>38.847426050000003</v>
      </c>
      <c r="F55" s="93">
        <v>905.94934911999997</v>
      </c>
      <c r="G55" s="93">
        <v>31.325000660000001</v>
      </c>
      <c r="H55" s="93">
        <v>1195.7968937200001</v>
      </c>
      <c r="I55" s="93">
        <v>7.5224253900000004</v>
      </c>
      <c r="J55" s="93">
        <f t="shared" si="15"/>
        <v>1669.5053847300001</v>
      </c>
      <c r="K55" s="93">
        <f t="shared" si="15"/>
        <v>57.459180059999902</v>
      </c>
      <c r="L55" s="93">
        <v>570.49333809999996</v>
      </c>
      <c r="M55" s="93">
        <v>36.1642611299999</v>
      </c>
      <c r="N55" s="94">
        <v>1099.01204663</v>
      </c>
      <c r="O55" s="94">
        <v>21.294918930000001</v>
      </c>
      <c r="CC55" s="12">
        <v>-745</v>
      </c>
      <c r="CD55" s="215">
        <f t="shared" si="3"/>
        <v>-745</v>
      </c>
    </row>
    <row r="56" spans="1:82" ht="12.75" hidden="1">
      <c r="A56" s="1947" t="s">
        <v>27</v>
      </c>
      <c r="B56" s="1949">
        <f t="shared" si="13"/>
        <v>4050.0154233600006</v>
      </c>
      <c r="C56" s="93">
        <f>E56+K56</f>
        <v>99.726926789999993</v>
      </c>
      <c r="D56" s="93">
        <f t="shared" si="14"/>
        <v>2183.2833227700003</v>
      </c>
      <c r="E56" s="93">
        <f t="shared" si="14"/>
        <v>42.94792459</v>
      </c>
      <c r="F56" s="93">
        <v>908.98237415000006</v>
      </c>
      <c r="G56" s="93">
        <v>34.965783020000003</v>
      </c>
      <c r="H56" s="93">
        <v>1274.3009486200001</v>
      </c>
      <c r="I56" s="93">
        <v>7.9821415699999996</v>
      </c>
      <c r="J56" s="93">
        <f t="shared" si="15"/>
        <v>1866.7321005900001</v>
      </c>
      <c r="K56" s="93">
        <f t="shared" si="15"/>
        <v>56.779002200000001</v>
      </c>
      <c r="L56" s="93">
        <v>587.28107178000005</v>
      </c>
      <c r="M56" s="93">
        <v>34.742478380000001</v>
      </c>
      <c r="N56" s="94">
        <v>1279.45102881</v>
      </c>
      <c r="O56" s="94">
        <v>22.036523819999999</v>
      </c>
      <c r="CC56" s="12">
        <v>0</v>
      </c>
      <c r="CD56" s="215">
        <f>BY56+BZ56+CA56+CC56</f>
        <v>0</v>
      </c>
    </row>
    <row r="57" spans="1:82" ht="12.75" hidden="1">
      <c r="A57" s="1947" t="s">
        <v>28</v>
      </c>
      <c r="B57" s="1949">
        <f t="shared" si="13"/>
        <v>4340.2819493499992</v>
      </c>
      <c r="C57" s="93">
        <f>E57+K57</f>
        <v>98.186749480000003</v>
      </c>
      <c r="D57" s="93">
        <f t="shared" si="14"/>
        <v>2323.2791536599998</v>
      </c>
      <c r="E57" s="93">
        <f t="shared" si="14"/>
        <v>40.930602820000004</v>
      </c>
      <c r="F57" s="93">
        <v>982.45195149999995</v>
      </c>
      <c r="G57" s="93">
        <v>32.388258</v>
      </c>
      <c r="H57" s="93">
        <v>1340.8272021600001</v>
      </c>
      <c r="I57" s="93">
        <v>8.5423448200000003</v>
      </c>
      <c r="J57" s="93">
        <f>L57+N57</f>
        <v>2017.0027956899999</v>
      </c>
      <c r="K57" s="93">
        <f>M57+O57</f>
        <v>57.256146659999999</v>
      </c>
      <c r="L57" s="93">
        <v>594.81931666000003</v>
      </c>
      <c r="M57" s="93">
        <v>35.481290399999999</v>
      </c>
      <c r="N57" s="94">
        <v>1422.1834790299999</v>
      </c>
      <c r="O57" s="94">
        <v>21.77485626</v>
      </c>
      <c r="CC57" s="12">
        <v>15</v>
      </c>
      <c r="CD57" s="215">
        <f>BY57+BZ57+CA57+CC57</f>
        <v>15</v>
      </c>
    </row>
    <row r="58" spans="1:82" ht="12.75" hidden="1">
      <c r="A58" s="311" t="s">
        <v>29</v>
      </c>
      <c r="B58" s="456">
        <f>D58+J58</f>
        <v>4681.7733614700001</v>
      </c>
      <c r="C58" s="232">
        <f>E58+K58</f>
        <v>100.26732249</v>
      </c>
      <c r="D58" s="232">
        <f t="shared" si="14"/>
        <v>2513.70177728</v>
      </c>
      <c r="E58" s="232">
        <f t="shared" si="14"/>
        <v>44.94659059</v>
      </c>
      <c r="F58" s="232">
        <v>1066.4238625</v>
      </c>
      <c r="G58" s="232">
        <v>35.695748559999998</v>
      </c>
      <c r="H58" s="232">
        <v>1447.2779147799999</v>
      </c>
      <c r="I58" s="232">
        <v>9.2508420299999994</v>
      </c>
      <c r="J58" s="232">
        <f>L58+N58</f>
        <v>2168.0715841900001</v>
      </c>
      <c r="K58" s="232">
        <f>M58+O58</f>
        <v>55.320731899999998</v>
      </c>
      <c r="L58" s="232">
        <v>583.11922074999995</v>
      </c>
      <c r="M58" s="232">
        <v>33.836045069999997</v>
      </c>
      <c r="N58" s="224">
        <v>1584.95236344</v>
      </c>
      <c r="O58" s="224">
        <v>21.484686830000001</v>
      </c>
      <c r="CC58" s="12">
        <v>-372</v>
      </c>
      <c r="CD58" s="215">
        <f>BY58+BZ58+CA58+CC58</f>
        <v>-372</v>
      </c>
    </row>
    <row r="59" spans="1:82" ht="12.75" hidden="1">
      <c r="A59" s="311"/>
      <c r="B59" s="456"/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24"/>
      <c r="O59" s="224"/>
      <c r="CC59" s="12">
        <v>-231</v>
      </c>
      <c r="CD59" s="215">
        <f>BY59+BZ59+CA59+CC59</f>
        <v>-231</v>
      </c>
    </row>
    <row r="60" spans="1:82" ht="12.75">
      <c r="A60" s="355">
        <v>2008</v>
      </c>
      <c r="B60" s="456">
        <f>+B72</f>
        <v>7191.2507889600001</v>
      </c>
      <c r="C60" s="224">
        <f t="shared" ref="C60:O60" si="16">+C72</f>
        <v>159.79559122000001</v>
      </c>
      <c r="D60" s="456">
        <f t="shared" si="16"/>
        <v>3672.89474685</v>
      </c>
      <c r="E60" s="456">
        <f t="shared" si="16"/>
        <v>93.198621410000001</v>
      </c>
      <c r="F60" s="456">
        <f t="shared" si="16"/>
        <v>1346.8910019299999</v>
      </c>
      <c r="G60" s="456">
        <f t="shared" si="16"/>
        <v>55.991019850000001</v>
      </c>
      <c r="H60" s="456">
        <f t="shared" si="16"/>
        <v>2326.0037449199999</v>
      </c>
      <c r="I60" s="456">
        <f t="shared" si="16"/>
        <v>37.207601560000001</v>
      </c>
      <c r="J60" s="456">
        <f t="shared" si="16"/>
        <v>3518.3560421099996</v>
      </c>
      <c r="K60" s="456">
        <f t="shared" si="16"/>
        <v>66.59696980999999</v>
      </c>
      <c r="L60" s="456">
        <f t="shared" si="16"/>
        <v>948.96527393999997</v>
      </c>
      <c r="M60" s="456">
        <f t="shared" si="16"/>
        <v>40.706334929999997</v>
      </c>
      <c r="N60" s="456">
        <f t="shared" si="16"/>
        <v>2569.3907681699998</v>
      </c>
      <c r="O60" s="224">
        <f t="shared" si="16"/>
        <v>25.89063488</v>
      </c>
      <c r="CD60" s="215"/>
    </row>
    <row r="61" spans="1:82" ht="12.75" hidden="1">
      <c r="A61" s="311" t="s">
        <v>18</v>
      </c>
      <c r="B61" s="456">
        <f t="shared" ref="B61:C72" si="17">D61+J61</f>
        <v>4758.2469343600005</v>
      </c>
      <c r="C61" s="456">
        <f t="shared" si="17"/>
        <v>99.579425850000007</v>
      </c>
      <c r="D61" s="456">
        <f t="shared" ref="D61:E70" si="18">F61+H61</f>
        <v>2546.9075938199999</v>
      </c>
      <c r="E61" s="456">
        <f t="shared" si="18"/>
        <v>42.433151000000002</v>
      </c>
      <c r="F61" s="456">
        <v>1042.6064011399999</v>
      </c>
      <c r="G61" s="456">
        <v>31.78955637</v>
      </c>
      <c r="H61" s="456">
        <v>1504.30119268</v>
      </c>
      <c r="I61" s="456">
        <v>10.643594630000001</v>
      </c>
      <c r="J61" s="456">
        <f t="shared" ref="J61:K70" si="19">L61+N61</f>
        <v>2211.3393405400002</v>
      </c>
      <c r="K61" s="456">
        <f t="shared" si="19"/>
        <v>57.146274849999998</v>
      </c>
      <c r="L61" s="456">
        <v>595.51169585000002</v>
      </c>
      <c r="M61" s="456">
        <v>34.47319194</v>
      </c>
      <c r="N61" s="456">
        <v>1615.8276446899999</v>
      </c>
      <c r="O61" s="456">
        <v>22.673082910000002</v>
      </c>
      <c r="CC61" s="12">
        <f>CC7+CC45-CC47+CC58-CC59</f>
        <v>0</v>
      </c>
      <c r="CD61" s="215">
        <f>BY61+BZ61+CA61+CC61</f>
        <v>0</v>
      </c>
    </row>
    <row r="62" spans="1:82" ht="12.75" hidden="1">
      <c r="A62" s="311" t="s">
        <v>19</v>
      </c>
      <c r="B62" s="456">
        <f t="shared" si="17"/>
        <v>4812.1859055799996</v>
      </c>
      <c r="C62" s="456">
        <f t="shared" si="17"/>
        <v>108.24244997</v>
      </c>
      <c r="D62" s="456">
        <f t="shared" si="18"/>
        <v>2653.1154218000001</v>
      </c>
      <c r="E62" s="456">
        <f t="shared" si="18"/>
        <v>49.466104229999999</v>
      </c>
      <c r="F62" s="456">
        <v>1108.68764622</v>
      </c>
      <c r="G62" s="456">
        <v>36.941597309999999</v>
      </c>
      <c r="H62" s="456">
        <v>1544.4277755799999</v>
      </c>
      <c r="I62" s="456">
        <v>12.52450692</v>
      </c>
      <c r="J62" s="456">
        <f t="shared" si="19"/>
        <v>2159.0704837799999</v>
      </c>
      <c r="K62" s="456">
        <f t="shared" si="19"/>
        <v>58.776345739999996</v>
      </c>
      <c r="L62" s="456">
        <v>614.69669904</v>
      </c>
      <c r="M62" s="456">
        <v>35.842498689999999</v>
      </c>
      <c r="N62" s="456">
        <v>1544.37378474</v>
      </c>
      <c r="O62" s="456">
        <v>22.933847050000001</v>
      </c>
    </row>
    <row r="63" spans="1:82" ht="12.75" hidden="1">
      <c r="A63" s="311" t="s">
        <v>20</v>
      </c>
      <c r="B63" s="456">
        <f t="shared" si="17"/>
        <v>4932.1251997100007</v>
      </c>
      <c r="C63" s="456">
        <f t="shared" si="17"/>
        <v>102.78926656</v>
      </c>
      <c r="D63" s="456">
        <f t="shared" si="18"/>
        <v>2763.2811403300002</v>
      </c>
      <c r="E63" s="456">
        <f t="shared" si="18"/>
        <v>44.984149930000001</v>
      </c>
      <c r="F63" s="456">
        <v>1106.3153144</v>
      </c>
      <c r="G63" s="456">
        <v>30.760468079999999</v>
      </c>
      <c r="H63" s="456">
        <v>1656.9658259299999</v>
      </c>
      <c r="I63" s="456">
        <v>14.22368185</v>
      </c>
      <c r="J63" s="456">
        <f t="shared" si="19"/>
        <v>2168.8440593800001</v>
      </c>
      <c r="K63" s="456">
        <f t="shared" si="19"/>
        <v>57.805116630000001</v>
      </c>
      <c r="L63" s="456">
        <v>612.92879736999998</v>
      </c>
      <c r="M63" s="456">
        <v>35.50611147</v>
      </c>
      <c r="N63" s="456">
        <v>1555.9152620100001</v>
      </c>
      <c r="O63" s="456">
        <v>22.29900516</v>
      </c>
    </row>
    <row r="64" spans="1:82" ht="12.75" hidden="1">
      <c r="A64" s="311" t="s">
        <v>21</v>
      </c>
      <c r="B64" s="456">
        <f t="shared" si="17"/>
        <v>5216.6671280999999</v>
      </c>
      <c r="C64" s="456">
        <f t="shared" si="17"/>
        <v>108.11394383999999</v>
      </c>
      <c r="D64" s="456">
        <f t="shared" si="18"/>
        <v>2967.8038667299998</v>
      </c>
      <c r="E64" s="456">
        <f t="shared" si="18"/>
        <v>50.019539039999998</v>
      </c>
      <c r="F64" s="456">
        <v>1219.31579141</v>
      </c>
      <c r="G64" s="456">
        <v>34.341788749999999</v>
      </c>
      <c r="H64" s="456">
        <v>1748.48807532</v>
      </c>
      <c r="I64" s="456">
        <v>15.677750290000001</v>
      </c>
      <c r="J64" s="456">
        <f t="shared" si="19"/>
        <v>2248.8632613700001</v>
      </c>
      <c r="K64" s="456">
        <f t="shared" si="19"/>
        <v>58.0944048</v>
      </c>
      <c r="L64" s="456">
        <v>615.33033164999995</v>
      </c>
      <c r="M64" s="456">
        <v>35.301565650000001</v>
      </c>
      <c r="N64" s="456">
        <v>1633.5329297200001</v>
      </c>
      <c r="O64" s="456">
        <v>22.792839149999999</v>
      </c>
    </row>
    <row r="65" spans="1:15" ht="12.75" hidden="1">
      <c r="A65" s="311" t="s">
        <v>22</v>
      </c>
      <c r="B65" s="456">
        <f t="shared" si="17"/>
        <v>6063.9725886700007</v>
      </c>
      <c r="C65" s="456">
        <f t="shared" si="17"/>
        <v>114.13362878</v>
      </c>
      <c r="D65" s="456">
        <f t="shared" si="18"/>
        <v>3135.3031295600003</v>
      </c>
      <c r="E65" s="456">
        <f t="shared" si="18"/>
        <v>56.954820589999997</v>
      </c>
      <c r="F65" s="456">
        <v>1246.8581863700001</v>
      </c>
      <c r="G65" s="456">
        <v>39.628800390000002</v>
      </c>
      <c r="H65" s="456">
        <v>1888.44494319</v>
      </c>
      <c r="I65" s="456">
        <v>17.326020199999999</v>
      </c>
      <c r="J65" s="456">
        <f t="shared" si="19"/>
        <v>2928.6694591100004</v>
      </c>
      <c r="K65" s="456">
        <f t="shared" si="19"/>
        <v>57.178808189999998</v>
      </c>
      <c r="L65" s="456">
        <v>618.67118245999995</v>
      </c>
      <c r="M65" s="456">
        <v>34.156726620000001</v>
      </c>
      <c r="N65" s="456">
        <v>2309.9982766500002</v>
      </c>
      <c r="O65" s="456">
        <v>23.022081570000001</v>
      </c>
    </row>
    <row r="66" spans="1:15" ht="12.75" hidden="1">
      <c r="A66" s="311" t="s">
        <v>23</v>
      </c>
      <c r="B66" s="456">
        <f t="shared" si="17"/>
        <v>6166.4532703000004</v>
      </c>
      <c r="C66" s="456">
        <f t="shared" si="17"/>
        <v>99.892589329999993</v>
      </c>
      <c r="D66" s="456">
        <f t="shared" si="18"/>
        <v>3278.6905256600003</v>
      </c>
      <c r="E66" s="456">
        <f t="shared" si="18"/>
        <v>48.24361743</v>
      </c>
      <c r="F66" s="456">
        <v>1263.1604646000001</v>
      </c>
      <c r="G66" s="456">
        <v>33.357679089999998</v>
      </c>
      <c r="H66" s="456">
        <v>2015.53006106</v>
      </c>
      <c r="I66" s="456">
        <v>14.885938339999999</v>
      </c>
      <c r="J66" s="456">
        <f t="shared" si="19"/>
        <v>2887.7627446400002</v>
      </c>
      <c r="K66" s="456">
        <f t="shared" si="19"/>
        <v>51.648971899999999</v>
      </c>
      <c r="L66" s="456">
        <v>585.25338438999995</v>
      </c>
      <c r="M66" s="456">
        <v>30.7342826</v>
      </c>
      <c r="N66" s="456">
        <v>2302.5093602500001</v>
      </c>
      <c r="O66" s="456">
        <v>20.914689299999999</v>
      </c>
    </row>
    <row r="67" spans="1:15" ht="12.75" hidden="1">
      <c r="A67" s="311" t="s">
        <v>24</v>
      </c>
      <c r="B67" s="456">
        <f t="shared" si="17"/>
        <v>6361.5449279599998</v>
      </c>
      <c r="C67" s="456">
        <f t="shared" si="17"/>
        <v>109.28017438000001</v>
      </c>
      <c r="D67" s="456">
        <f t="shared" si="18"/>
        <v>3448.6012749699998</v>
      </c>
      <c r="E67" s="456">
        <f t="shared" si="18"/>
        <v>55.787683130000005</v>
      </c>
      <c r="F67" s="456">
        <v>1339.6302089999999</v>
      </c>
      <c r="G67" s="456">
        <v>39.36447545</v>
      </c>
      <c r="H67" s="456">
        <v>2108.9710659699999</v>
      </c>
      <c r="I67" s="456">
        <v>16.423207680000001</v>
      </c>
      <c r="J67" s="456">
        <f t="shared" si="19"/>
        <v>2912.9436529899999</v>
      </c>
      <c r="K67" s="456">
        <f t="shared" si="19"/>
        <v>53.49249125</v>
      </c>
      <c r="L67" s="456">
        <v>591.01541699999996</v>
      </c>
      <c r="M67" s="456">
        <v>29.506099599999999</v>
      </c>
      <c r="N67" s="456">
        <v>2321.9282359899998</v>
      </c>
      <c r="O67" s="456">
        <v>23.986391650000002</v>
      </c>
    </row>
    <row r="68" spans="1:15" ht="12.75" hidden="1">
      <c r="A68" s="311" t="s">
        <v>25</v>
      </c>
      <c r="B68" s="456">
        <f t="shared" si="17"/>
        <v>6455.0337008500001</v>
      </c>
      <c r="C68" s="456">
        <f t="shared" si="17"/>
        <v>122.87884367000001</v>
      </c>
      <c r="D68" s="456">
        <f t="shared" si="18"/>
        <v>3526.2100869999999</v>
      </c>
      <c r="E68" s="456">
        <f t="shared" si="18"/>
        <v>67.700320480000002</v>
      </c>
      <c r="F68" s="456">
        <v>1362.18215577</v>
      </c>
      <c r="G68" s="456">
        <v>48.687316109999998</v>
      </c>
      <c r="H68" s="456">
        <v>2164.0279312299999</v>
      </c>
      <c r="I68" s="456">
        <v>19.013004370000001</v>
      </c>
      <c r="J68" s="456">
        <f t="shared" si="19"/>
        <v>2928.8236138500001</v>
      </c>
      <c r="K68" s="456">
        <f t="shared" si="19"/>
        <v>55.17852319</v>
      </c>
      <c r="L68" s="456">
        <v>617.63597505999996</v>
      </c>
      <c r="M68" s="456">
        <v>30.39619167</v>
      </c>
      <c r="N68" s="456">
        <v>2311.1876387900002</v>
      </c>
      <c r="O68" s="456">
        <v>24.78233152</v>
      </c>
    </row>
    <row r="69" spans="1:15" ht="12.75" hidden="1">
      <c r="A69" s="311" t="s">
        <v>26</v>
      </c>
      <c r="B69" s="456">
        <f t="shared" si="17"/>
        <v>6604.7275165600004</v>
      </c>
      <c r="C69" s="456">
        <f t="shared" si="17"/>
        <v>139.27907212</v>
      </c>
      <c r="D69" s="456">
        <f t="shared" si="18"/>
        <v>3648.09502432</v>
      </c>
      <c r="E69" s="456">
        <f t="shared" si="18"/>
        <v>72.195300579999994</v>
      </c>
      <c r="F69" s="456">
        <v>1410.19141954</v>
      </c>
      <c r="G69" s="456">
        <v>50.347783669999998</v>
      </c>
      <c r="H69" s="456">
        <v>2237.90360478</v>
      </c>
      <c r="I69" s="456">
        <v>21.84751691</v>
      </c>
      <c r="J69" s="456">
        <f t="shared" si="19"/>
        <v>2956.6324922399999</v>
      </c>
      <c r="K69" s="456">
        <f t="shared" si="19"/>
        <v>67.083771540000001</v>
      </c>
      <c r="L69" s="456">
        <v>628.92526644999998</v>
      </c>
      <c r="M69" s="456">
        <v>42.383606810000003</v>
      </c>
      <c r="N69" s="456">
        <v>2327.7072257899999</v>
      </c>
      <c r="O69" s="456">
        <v>24.700164730000001</v>
      </c>
    </row>
    <row r="70" spans="1:15" ht="12.75" hidden="1">
      <c r="A70" s="311" t="s">
        <v>27</v>
      </c>
      <c r="B70" s="456">
        <f t="shared" si="17"/>
        <v>6697.4756245499993</v>
      </c>
      <c r="C70" s="456">
        <f t="shared" si="17"/>
        <v>142.62396127</v>
      </c>
      <c r="D70" s="456">
        <f t="shared" si="18"/>
        <v>3612.2919727999997</v>
      </c>
      <c r="E70" s="456">
        <f t="shared" si="18"/>
        <v>70.029850859999996</v>
      </c>
      <c r="F70" s="456">
        <v>1363.61203946</v>
      </c>
      <c r="G70" s="456">
        <v>45.965200889999998</v>
      </c>
      <c r="H70" s="456">
        <v>2248.6799333399999</v>
      </c>
      <c r="I70" s="456">
        <v>24.064649970000001</v>
      </c>
      <c r="J70" s="456">
        <f t="shared" si="19"/>
        <v>3085.1836517500001</v>
      </c>
      <c r="K70" s="456">
        <f t="shared" si="19"/>
        <v>72.594110409999999</v>
      </c>
      <c r="L70" s="456">
        <v>718.64289448</v>
      </c>
      <c r="M70" s="456">
        <v>46.83966684</v>
      </c>
      <c r="N70" s="456">
        <v>2366.5407572700001</v>
      </c>
      <c r="O70" s="456">
        <v>25.754443569999999</v>
      </c>
    </row>
    <row r="71" spans="1:15" ht="12.75" hidden="1">
      <c r="A71" s="311" t="s">
        <v>28</v>
      </c>
      <c r="B71" s="456">
        <f t="shared" si="17"/>
        <v>6855.4556472700006</v>
      </c>
      <c r="C71" s="456">
        <f t="shared" si="17"/>
        <v>145.3081349599999</v>
      </c>
      <c r="D71" s="456">
        <f>F71+H71</f>
        <v>3552.4102552300001</v>
      </c>
      <c r="E71" s="456">
        <f>G71+I71</f>
        <v>83.076173370000006</v>
      </c>
      <c r="F71" s="456">
        <v>1291.84440647</v>
      </c>
      <c r="G71" s="456">
        <v>51.499284930000002</v>
      </c>
      <c r="H71" s="456">
        <v>2260.5658487599999</v>
      </c>
      <c r="I71" s="456">
        <v>31.576888440000001</v>
      </c>
      <c r="J71" s="456">
        <f>L71+N71</f>
        <v>3303.0453920400005</v>
      </c>
      <c r="K71" s="456">
        <f>M71+O71</f>
        <v>62.231961589999898</v>
      </c>
      <c r="L71" s="456">
        <v>821.18087476000005</v>
      </c>
      <c r="M71" s="456">
        <v>36.651625209999999</v>
      </c>
      <c r="N71" s="456">
        <v>2481.8645172800002</v>
      </c>
      <c r="O71" s="456">
        <v>25.580336379999899</v>
      </c>
    </row>
    <row r="72" spans="1:15" ht="12.75" hidden="1">
      <c r="A72" s="311" t="s">
        <v>29</v>
      </c>
      <c r="B72" s="456">
        <f t="shared" si="17"/>
        <v>7191.2507889600001</v>
      </c>
      <c r="C72" s="456">
        <f t="shared" si="17"/>
        <v>159.79559122000001</v>
      </c>
      <c r="D72" s="456">
        <f>F72+H72</f>
        <v>3672.89474685</v>
      </c>
      <c r="E72" s="456">
        <f>G72+I72</f>
        <v>93.198621410000001</v>
      </c>
      <c r="F72" s="456">
        <v>1346.8910019299999</v>
      </c>
      <c r="G72" s="456">
        <v>55.991019850000001</v>
      </c>
      <c r="H72" s="456">
        <v>2326.0037449199999</v>
      </c>
      <c r="I72" s="456">
        <v>37.207601560000001</v>
      </c>
      <c r="J72" s="456">
        <f>L72+N72</f>
        <v>3518.3560421099996</v>
      </c>
      <c r="K72" s="456">
        <f>M72+O72</f>
        <v>66.59696980999999</v>
      </c>
      <c r="L72" s="456">
        <v>948.96527393999997</v>
      </c>
      <c r="M72" s="456">
        <v>40.706334929999997</v>
      </c>
      <c r="N72" s="456">
        <v>2569.3907681699998</v>
      </c>
      <c r="O72" s="456">
        <v>25.89063488</v>
      </c>
    </row>
    <row r="73" spans="1:15" ht="12.75">
      <c r="A73" s="311" t="s">
        <v>43</v>
      </c>
      <c r="B73" s="456">
        <f>+B85</f>
        <v>8407.4600296200006</v>
      </c>
      <c r="C73" s="456">
        <f t="shared" ref="C73:O73" si="20">+C85</f>
        <v>303.52331758999998</v>
      </c>
      <c r="D73" s="456">
        <f t="shared" si="20"/>
        <v>4886.1981022700002</v>
      </c>
      <c r="E73" s="456">
        <f t="shared" si="20"/>
        <v>195.13151715999999</v>
      </c>
      <c r="F73" s="456">
        <f t="shared" si="20"/>
        <v>1452.7366927099999</v>
      </c>
      <c r="G73" s="456">
        <f t="shared" si="20"/>
        <v>92.069749439999995</v>
      </c>
      <c r="H73" s="456">
        <f t="shared" si="20"/>
        <v>3433.46140956</v>
      </c>
      <c r="I73" s="456">
        <f t="shared" si="20"/>
        <v>103.06176772000001</v>
      </c>
      <c r="J73" s="456">
        <f t="shared" si="20"/>
        <v>3521.26192735</v>
      </c>
      <c r="K73" s="456">
        <f t="shared" si="20"/>
        <v>108.39180043</v>
      </c>
      <c r="L73" s="456">
        <f t="shared" si="20"/>
        <v>907.21844865000003</v>
      </c>
      <c r="M73" s="456">
        <f t="shared" si="20"/>
        <v>66.135501680000004</v>
      </c>
      <c r="N73" s="456">
        <f t="shared" si="20"/>
        <v>2614.0434786999999</v>
      </c>
      <c r="O73" s="456">
        <f t="shared" si="20"/>
        <v>42.256298749999999</v>
      </c>
    </row>
    <row r="74" spans="1:15" ht="12.75" hidden="1">
      <c r="A74" s="311" t="s">
        <v>18</v>
      </c>
      <c r="B74" s="457">
        <f t="shared" ref="B74:C83" si="21">D74+J74</f>
        <v>7201.2873153199998</v>
      </c>
      <c r="C74" s="457">
        <f t="shared" si="21"/>
        <v>176.52751631000001</v>
      </c>
      <c r="D74" s="457">
        <f t="shared" ref="D74:E84" si="22">F74+H74</f>
        <v>3610.5896436100002</v>
      </c>
      <c r="E74" s="457">
        <f t="shared" si="22"/>
        <v>104.83367565</v>
      </c>
      <c r="F74" s="457">
        <v>1319.69853642</v>
      </c>
      <c r="G74" s="457">
        <v>63.273865800000003</v>
      </c>
      <c r="H74" s="457">
        <v>2290.8911071900002</v>
      </c>
      <c r="I74" s="457">
        <v>41.559809850000001</v>
      </c>
      <c r="J74" s="457">
        <f>L74+N74</f>
        <v>3590.6976717099997</v>
      </c>
      <c r="K74" s="457">
        <f t="shared" ref="K74:K83" si="23">M74+O74</f>
        <v>71.693840660000006</v>
      </c>
      <c r="L74" s="457">
        <v>969.92327141999999</v>
      </c>
      <c r="M74" s="457">
        <v>44.037169859999999</v>
      </c>
      <c r="N74" s="457">
        <v>2620.7744002899999</v>
      </c>
      <c r="O74" s="457">
        <v>27.656670800000001</v>
      </c>
    </row>
    <row r="75" spans="1:15" ht="12.75" hidden="1">
      <c r="A75" s="311" t="s">
        <v>19</v>
      </c>
      <c r="B75" s="457">
        <f t="shared" si="21"/>
        <v>6692.53476133</v>
      </c>
      <c r="C75" s="457">
        <f t="shared" si="21"/>
        <v>183.41390215000001</v>
      </c>
      <c r="D75" s="457">
        <f t="shared" si="22"/>
        <v>3553.5806159600002</v>
      </c>
      <c r="E75" s="457">
        <f t="shared" si="22"/>
        <v>108.4450075</v>
      </c>
      <c r="F75" s="457">
        <v>1271.77045228</v>
      </c>
      <c r="G75" s="457">
        <v>63.983731089999999</v>
      </c>
      <c r="H75" s="457">
        <v>2281.8101636800002</v>
      </c>
      <c r="I75" s="457">
        <v>44.461276410000004</v>
      </c>
      <c r="J75" s="457">
        <v>3138.9541453699999</v>
      </c>
      <c r="K75" s="457">
        <f t="shared" si="23"/>
        <v>74.96889465000001</v>
      </c>
      <c r="L75" s="457">
        <v>770.50758135000001</v>
      </c>
      <c r="M75" s="457">
        <v>46.304408440000003</v>
      </c>
      <c r="N75" s="457">
        <v>2368.4465640200001</v>
      </c>
      <c r="O75" s="457">
        <v>28.66448621</v>
      </c>
    </row>
    <row r="76" spans="1:15" ht="12.75" hidden="1">
      <c r="A76" s="311" t="s">
        <v>20</v>
      </c>
      <c r="B76" s="457">
        <f t="shared" si="21"/>
        <v>6221.2878867799991</v>
      </c>
      <c r="C76" s="457">
        <f t="shared" si="21"/>
        <v>195.86626412000001</v>
      </c>
      <c r="D76" s="457">
        <f t="shared" si="22"/>
        <v>3472.2304877399997</v>
      </c>
      <c r="E76" s="457">
        <f t="shared" si="22"/>
        <v>124.1653196</v>
      </c>
      <c r="F76" s="457">
        <v>1267.1236188299999</v>
      </c>
      <c r="G76" s="457">
        <v>74.319480110000001</v>
      </c>
      <c r="H76" s="457">
        <v>2205.1068689099998</v>
      </c>
      <c r="I76" s="457">
        <v>49.845839490000003</v>
      </c>
      <c r="J76" s="457">
        <v>2749.0573990399998</v>
      </c>
      <c r="K76" s="457">
        <f t="shared" si="23"/>
        <v>71.700944520000007</v>
      </c>
      <c r="L76" s="457">
        <v>803.06104772000003</v>
      </c>
      <c r="M76" s="457">
        <v>43.783841150000008</v>
      </c>
      <c r="N76" s="457">
        <v>1945.99635132</v>
      </c>
      <c r="O76" s="457">
        <v>27.917103369999992</v>
      </c>
    </row>
    <row r="77" spans="1:15" ht="12.75" hidden="1">
      <c r="A77" s="311" t="s">
        <v>21</v>
      </c>
      <c r="B77" s="457">
        <f t="shared" si="21"/>
        <v>6278.4443567199996</v>
      </c>
      <c r="C77" s="457">
        <f t="shared" si="21"/>
        <v>200.80396353</v>
      </c>
      <c r="D77" s="457">
        <f>F77+H77</f>
        <v>3477.1453540299999</v>
      </c>
      <c r="E77" s="457">
        <f>G77+I77</f>
        <v>122.71846779000001</v>
      </c>
      <c r="F77" s="457">
        <v>1265.9310301200001</v>
      </c>
      <c r="G77" s="457">
        <v>68.573703050000006</v>
      </c>
      <c r="H77" s="457">
        <v>2211.2143239100001</v>
      </c>
      <c r="I77" s="457">
        <v>54.144764739999999</v>
      </c>
      <c r="J77" s="457">
        <f t="shared" ref="J77:J84" si="24">L77+N77</f>
        <v>2801.2990026900002</v>
      </c>
      <c r="K77" s="457">
        <f t="shared" si="23"/>
        <v>78.085495739999999</v>
      </c>
      <c r="L77" s="457">
        <v>830.99839454000005</v>
      </c>
      <c r="M77" s="457">
        <v>47.553925659999997</v>
      </c>
      <c r="N77" s="457">
        <v>1970.30060815</v>
      </c>
      <c r="O77" s="457">
        <v>30.531570080000002</v>
      </c>
    </row>
    <row r="78" spans="1:15" ht="12.75" hidden="1">
      <c r="A78" s="311" t="s">
        <v>22</v>
      </c>
      <c r="B78" s="457">
        <f t="shared" si="21"/>
        <v>6355.9950000000008</v>
      </c>
      <c r="C78" s="457">
        <v>209.21199999999999</v>
      </c>
      <c r="D78" s="457">
        <f t="shared" si="22"/>
        <v>3446.4620000000004</v>
      </c>
      <c r="E78" s="457">
        <f t="shared" si="22"/>
        <v>131.91399999999999</v>
      </c>
      <c r="F78" s="457">
        <v>1238.606</v>
      </c>
      <c r="G78" s="457">
        <v>67.543000000000006</v>
      </c>
      <c r="H78" s="457">
        <v>2207.8560000000002</v>
      </c>
      <c r="I78" s="457">
        <v>64.370999999999995</v>
      </c>
      <c r="J78" s="457">
        <f t="shared" si="24"/>
        <v>2909.5329999999999</v>
      </c>
      <c r="K78" s="457">
        <f t="shared" si="23"/>
        <v>77.298000000000002</v>
      </c>
      <c r="L78" s="457">
        <v>874.68600000000004</v>
      </c>
      <c r="M78" s="457">
        <v>44.744999999999997</v>
      </c>
      <c r="N78" s="457">
        <v>2034.847</v>
      </c>
      <c r="O78" s="457">
        <v>32.552999999999997</v>
      </c>
    </row>
    <row r="79" spans="1:15" ht="12.75" hidden="1">
      <c r="A79" s="311" t="s">
        <v>23</v>
      </c>
      <c r="B79" s="457">
        <f t="shared" si="21"/>
        <v>6463.7888553100001</v>
      </c>
      <c r="C79" s="457">
        <v>242.75732969000001</v>
      </c>
      <c r="D79" s="457">
        <f t="shared" si="22"/>
        <v>3469.86105456</v>
      </c>
      <c r="E79" s="457">
        <f t="shared" si="22"/>
        <v>156.63998874000001</v>
      </c>
      <c r="F79" s="457">
        <v>1239.4289935500001</v>
      </c>
      <c r="G79" s="457">
        <v>77.138238830000006</v>
      </c>
      <c r="H79" s="457">
        <v>2230.4320610099999</v>
      </c>
      <c r="I79" s="457">
        <v>79.501749910000001</v>
      </c>
      <c r="J79" s="457">
        <f t="shared" si="24"/>
        <v>2993.9278007499997</v>
      </c>
      <c r="K79" s="457">
        <f t="shared" si="23"/>
        <v>86.117340949999999</v>
      </c>
      <c r="L79" s="457">
        <v>879.95478892000006</v>
      </c>
      <c r="M79" s="457">
        <v>50.723724470000001</v>
      </c>
      <c r="N79" s="457">
        <v>2113.9730118299999</v>
      </c>
      <c r="O79" s="457">
        <v>35.393616479999999</v>
      </c>
    </row>
    <row r="80" spans="1:15" ht="12.75" hidden="1">
      <c r="A80" s="311" t="s">
        <v>24</v>
      </c>
      <c r="B80" s="457">
        <f t="shared" si="21"/>
        <v>7229.1999974600003</v>
      </c>
      <c r="C80" s="457">
        <f t="shared" ref="C80:C85" si="25">+E80+K80</f>
        <v>262.43878831000001</v>
      </c>
      <c r="D80" s="457">
        <f t="shared" si="22"/>
        <v>3856.4756855999999</v>
      </c>
      <c r="E80" s="457">
        <f t="shared" si="22"/>
        <v>173.75265096999999</v>
      </c>
      <c r="F80" s="457">
        <v>1202.67554135</v>
      </c>
      <c r="G80" s="457">
        <v>86.446341110000006</v>
      </c>
      <c r="H80" s="457">
        <v>2653.8001442499999</v>
      </c>
      <c r="I80" s="457">
        <v>87.306309859999999</v>
      </c>
      <c r="J80" s="457">
        <f t="shared" si="24"/>
        <v>3372.7243118599999</v>
      </c>
      <c r="K80" s="457">
        <f t="shared" si="23"/>
        <v>88.686137340000002</v>
      </c>
      <c r="L80" s="457">
        <v>913.89950198999998</v>
      </c>
      <c r="M80" s="457">
        <v>54.810189860000001</v>
      </c>
      <c r="N80" s="457">
        <v>2458.8248098700001</v>
      </c>
      <c r="O80" s="457">
        <v>33.875947480000001</v>
      </c>
    </row>
    <row r="81" spans="1:15" ht="12.75" hidden="1">
      <c r="A81" s="311" t="s">
        <v>25</v>
      </c>
      <c r="B81" s="457">
        <f t="shared" si="21"/>
        <v>7629.8486843799992</v>
      </c>
      <c r="C81" s="457">
        <f t="shared" si="25"/>
        <v>274.92399977999997</v>
      </c>
      <c r="D81" s="457">
        <f t="shared" si="22"/>
        <v>4245.6556973999996</v>
      </c>
      <c r="E81" s="457">
        <f t="shared" si="22"/>
        <v>180.14971553999999</v>
      </c>
      <c r="F81" s="457">
        <v>1220.75213603</v>
      </c>
      <c r="G81" s="457">
        <v>91.932462319999999</v>
      </c>
      <c r="H81" s="457">
        <v>3024.9035613699998</v>
      </c>
      <c r="I81" s="457">
        <v>88.217253220000003</v>
      </c>
      <c r="J81" s="457">
        <f t="shared" si="24"/>
        <v>3384.1929869799997</v>
      </c>
      <c r="K81" s="457">
        <f t="shared" si="23"/>
        <v>94.77428424</v>
      </c>
      <c r="L81" s="457">
        <v>912.49400184000001</v>
      </c>
      <c r="M81" s="457">
        <v>59.542978769999998</v>
      </c>
      <c r="N81" s="457">
        <v>2471.6989851399999</v>
      </c>
      <c r="O81" s="457">
        <v>35.231305470000002</v>
      </c>
    </row>
    <row r="82" spans="1:15" ht="12.75" hidden="1">
      <c r="A82" s="311" t="s">
        <v>26</v>
      </c>
      <c r="B82" s="457">
        <f t="shared" si="21"/>
        <v>7780.8130340600001</v>
      </c>
      <c r="C82" s="457">
        <f t="shared" si="25"/>
        <v>309.36373753999999</v>
      </c>
      <c r="D82" s="457">
        <f t="shared" si="22"/>
        <v>4310.2353606899997</v>
      </c>
      <c r="E82" s="457">
        <f t="shared" si="22"/>
        <v>195.00176833</v>
      </c>
      <c r="F82" s="457">
        <v>1233.0757430399999</v>
      </c>
      <c r="G82" s="457">
        <v>104.92135708000001</v>
      </c>
      <c r="H82" s="457">
        <v>3077.1596176500002</v>
      </c>
      <c r="I82" s="457">
        <v>90.080411249999997</v>
      </c>
      <c r="J82" s="457">
        <f t="shared" si="24"/>
        <v>3470.57767337</v>
      </c>
      <c r="K82" s="457">
        <f t="shared" si="23"/>
        <v>114.36196921</v>
      </c>
      <c r="L82" s="457">
        <v>925.95097943999997</v>
      </c>
      <c r="M82" s="457">
        <v>76.805558509999997</v>
      </c>
      <c r="N82" s="457">
        <v>2544.6266939299999</v>
      </c>
      <c r="O82" s="457">
        <v>37.556410700000001</v>
      </c>
    </row>
    <row r="83" spans="1:15" ht="12.75" hidden="1">
      <c r="A83" s="311" t="s">
        <v>27</v>
      </c>
      <c r="B83" s="457">
        <f t="shared" si="21"/>
        <v>7963.7234948000005</v>
      </c>
      <c r="C83" s="457">
        <f t="shared" si="25"/>
        <v>290.01943205999999</v>
      </c>
      <c r="D83" s="457">
        <f t="shared" si="22"/>
        <v>4431.0267724699997</v>
      </c>
      <c r="E83" s="457">
        <f t="shared" si="22"/>
        <v>169.98255532000002</v>
      </c>
      <c r="F83" s="457">
        <v>1309.9614254799999</v>
      </c>
      <c r="G83" s="457">
        <v>82.425575789999996</v>
      </c>
      <c r="H83" s="457">
        <v>3121.0653469899999</v>
      </c>
      <c r="I83" s="457">
        <v>87.556979530000007</v>
      </c>
      <c r="J83" s="457">
        <f t="shared" si="24"/>
        <v>3532.6967223300003</v>
      </c>
      <c r="K83" s="457">
        <f t="shared" si="23"/>
        <v>120.03687674</v>
      </c>
      <c r="L83" s="457">
        <v>954.70809326000006</v>
      </c>
      <c r="M83" s="457">
        <v>82.331592760000007</v>
      </c>
      <c r="N83" s="457">
        <v>2577.9886290700001</v>
      </c>
      <c r="O83" s="457">
        <v>37.705283979999997</v>
      </c>
    </row>
    <row r="84" spans="1:15" ht="12.75" hidden="1">
      <c r="A84" s="311" t="s">
        <v>28</v>
      </c>
      <c r="B84" s="457">
        <f>D84+J84</f>
        <v>8064.5616917299994</v>
      </c>
      <c r="C84" s="457">
        <f t="shared" si="25"/>
        <v>272.89767503999997</v>
      </c>
      <c r="D84" s="457">
        <f t="shared" si="22"/>
        <v>4479.9237752999998</v>
      </c>
      <c r="E84" s="457">
        <f>G84+I84</f>
        <v>176.94820530999999</v>
      </c>
      <c r="F84" s="457">
        <v>1309.4257072400001</v>
      </c>
      <c r="G84" s="457">
        <v>81.890965440000002</v>
      </c>
      <c r="H84" s="457">
        <v>3170.4980680600002</v>
      </c>
      <c r="I84" s="457">
        <v>95.057239870000004</v>
      </c>
      <c r="J84" s="457">
        <f t="shared" si="24"/>
        <v>3584.6379164299997</v>
      </c>
      <c r="K84" s="457">
        <f>M84+O84</f>
        <v>95.949469730000004</v>
      </c>
      <c r="L84" s="457">
        <v>987.36144152999998</v>
      </c>
      <c r="M84" s="457">
        <v>57.371522130000002</v>
      </c>
      <c r="N84" s="457">
        <v>2597.2764748999998</v>
      </c>
      <c r="O84" s="457">
        <v>38.577947600000002</v>
      </c>
    </row>
    <row r="85" spans="1:15" ht="12.75" hidden="1">
      <c r="A85" s="311" t="s">
        <v>29</v>
      </c>
      <c r="B85" s="457">
        <f>D85+J85</f>
        <v>8407.4600296200006</v>
      </c>
      <c r="C85" s="457">
        <f t="shared" si="25"/>
        <v>303.52331758999998</v>
      </c>
      <c r="D85" s="457">
        <f>F85+H85</f>
        <v>4886.1981022700002</v>
      </c>
      <c r="E85" s="457">
        <f>G85+I85</f>
        <v>195.13151715999999</v>
      </c>
      <c r="F85" s="457">
        <v>1452.7366927099999</v>
      </c>
      <c r="G85" s="457">
        <v>92.069749439999995</v>
      </c>
      <c r="H85" s="457">
        <v>3433.46140956</v>
      </c>
      <c r="I85" s="457">
        <v>103.06176772000001</v>
      </c>
      <c r="J85" s="457">
        <f>L85+N85</f>
        <v>3521.26192735</v>
      </c>
      <c r="K85" s="457">
        <f>M85+O85</f>
        <v>108.39180043</v>
      </c>
      <c r="L85" s="457">
        <v>907.21844865000003</v>
      </c>
      <c r="M85" s="457">
        <v>66.135501680000004</v>
      </c>
      <c r="N85" s="457">
        <v>2614.0434786999999</v>
      </c>
      <c r="O85" s="457">
        <v>42.256298749999999</v>
      </c>
    </row>
    <row r="86" spans="1:15" ht="12.75">
      <c r="A86" s="311" t="s">
        <v>48</v>
      </c>
      <c r="B86" s="456">
        <v>9163.3597792400014</v>
      </c>
      <c r="C86" s="456">
        <v>492.87668797999993</v>
      </c>
      <c r="D86" s="456">
        <v>5865.2943068200011</v>
      </c>
      <c r="E86" s="456">
        <v>342.10889326999995</v>
      </c>
      <c r="F86" s="456">
        <v>1523.81092025</v>
      </c>
      <c r="G86" s="456">
        <v>156.84892257000001</v>
      </c>
      <c r="H86" s="456">
        <v>4341.4833865700011</v>
      </c>
      <c r="I86" s="456">
        <v>185.25997069999997</v>
      </c>
      <c r="J86" s="456">
        <v>3298.0654724200003</v>
      </c>
      <c r="K86" s="456">
        <v>150.76779470999998</v>
      </c>
      <c r="L86" s="456">
        <v>1043.30860082</v>
      </c>
      <c r="M86" s="456">
        <v>82.410484849999975</v>
      </c>
      <c r="N86" s="456">
        <v>2254.7568716000005</v>
      </c>
      <c r="O86" s="456">
        <v>68.357309860000001</v>
      </c>
    </row>
    <row r="87" spans="1:15" ht="12.75" hidden="1">
      <c r="A87" s="311" t="s">
        <v>18</v>
      </c>
      <c r="B87" s="456">
        <f t="shared" ref="B87:C92" si="26">D87+J87</f>
        <v>8431.1754328499992</v>
      </c>
      <c r="C87" s="456">
        <f t="shared" si="26"/>
        <v>331.42509939000001</v>
      </c>
      <c r="D87" s="456">
        <f t="shared" ref="D87:E96" si="27">F87+H87</f>
        <v>4923.2452812299998</v>
      </c>
      <c r="E87" s="456">
        <f t="shared" si="27"/>
        <v>210.99322375000003</v>
      </c>
      <c r="F87" s="456">
        <v>1462.77390107</v>
      </c>
      <c r="G87" s="456">
        <v>100.83808002000001</v>
      </c>
      <c r="H87" s="456">
        <v>3460.4713801600001</v>
      </c>
      <c r="I87" s="456">
        <v>110.15514373000001</v>
      </c>
      <c r="J87" s="456">
        <f t="shared" ref="J87:K96" si="28">L87+N87</f>
        <v>3507.9301516200003</v>
      </c>
      <c r="K87" s="456">
        <f t="shared" si="28"/>
        <v>120.43187564000002</v>
      </c>
      <c r="L87" s="456">
        <v>886.77092951999998</v>
      </c>
      <c r="M87" s="456">
        <v>68.304298220000007</v>
      </c>
      <c r="N87" s="456">
        <v>2621.1592221000001</v>
      </c>
      <c r="O87" s="456">
        <v>52.127577420000001</v>
      </c>
    </row>
    <row r="88" spans="1:15" ht="12.75" hidden="1">
      <c r="A88" s="311" t="s">
        <v>19</v>
      </c>
      <c r="B88" s="456">
        <f t="shared" si="26"/>
        <v>8343.4665381899995</v>
      </c>
      <c r="C88" s="456">
        <f t="shared" si="26"/>
        <v>358.36671996999996</v>
      </c>
      <c r="D88" s="456">
        <f t="shared" si="27"/>
        <v>4852.7135093699999</v>
      </c>
      <c r="E88" s="456">
        <f t="shared" si="27"/>
        <v>218.59607027999999</v>
      </c>
      <c r="F88" s="456">
        <v>1330.1786465800001</v>
      </c>
      <c r="G88" s="456">
        <v>99.661057020000001</v>
      </c>
      <c r="H88" s="456">
        <v>3522.5348627899998</v>
      </c>
      <c r="I88" s="456">
        <v>118.93501326000001</v>
      </c>
      <c r="J88" s="456">
        <f t="shared" si="28"/>
        <v>3490.7530288199996</v>
      </c>
      <c r="K88" s="456">
        <f t="shared" si="28"/>
        <v>139.77064969</v>
      </c>
      <c r="L88" s="456">
        <v>879.91907753999999</v>
      </c>
      <c r="M88" s="456">
        <v>77.999045319999993</v>
      </c>
      <c r="N88" s="456">
        <v>2610.8339512799998</v>
      </c>
      <c r="O88" s="456">
        <v>61.771604369999999</v>
      </c>
    </row>
    <row r="89" spans="1:15" ht="12.75" hidden="1">
      <c r="A89" s="311" t="s">
        <v>20</v>
      </c>
      <c r="B89" s="456">
        <f t="shared" si="26"/>
        <v>8485.212513729999</v>
      </c>
      <c r="C89" s="456">
        <f t="shared" si="26"/>
        <v>355.91081566000003</v>
      </c>
      <c r="D89" s="456">
        <f t="shared" si="27"/>
        <v>5044.30921855</v>
      </c>
      <c r="E89" s="456">
        <f t="shared" si="27"/>
        <v>223.65635245999999</v>
      </c>
      <c r="F89" s="456">
        <v>1391.84155994</v>
      </c>
      <c r="G89" s="456">
        <v>100.80256247</v>
      </c>
      <c r="H89" s="456">
        <v>3652.4676586099999</v>
      </c>
      <c r="I89" s="456">
        <v>122.85378999</v>
      </c>
      <c r="J89" s="456">
        <f t="shared" si="28"/>
        <v>3440.90329518</v>
      </c>
      <c r="K89" s="456">
        <f t="shared" si="28"/>
        <v>132.2544632</v>
      </c>
      <c r="L89" s="456">
        <v>897.14073584000005</v>
      </c>
      <c r="M89" s="456">
        <v>73.679884369999996</v>
      </c>
      <c r="N89" s="456">
        <v>2543.7625593399998</v>
      </c>
      <c r="O89" s="456">
        <v>58.57457883</v>
      </c>
    </row>
    <row r="90" spans="1:15" ht="12.75" hidden="1">
      <c r="A90" s="311" t="s">
        <v>21</v>
      </c>
      <c r="B90" s="456">
        <f t="shared" si="26"/>
        <v>8605.4584439699993</v>
      </c>
      <c r="C90" s="456">
        <f t="shared" si="26"/>
        <v>365.24831912000002</v>
      </c>
      <c r="D90" s="456">
        <f t="shared" si="27"/>
        <v>5126.0884319799998</v>
      </c>
      <c r="E90" s="456">
        <f t="shared" si="27"/>
        <v>231.87085711000003</v>
      </c>
      <c r="F90" s="456">
        <v>1417.8445892000002</v>
      </c>
      <c r="G90" s="456">
        <v>102.33495156000002</v>
      </c>
      <c r="H90" s="456">
        <v>3708.2438427799998</v>
      </c>
      <c r="I90" s="456">
        <v>129.53590555000002</v>
      </c>
      <c r="J90" s="456">
        <f t="shared" si="28"/>
        <v>3479.3700119899995</v>
      </c>
      <c r="K90" s="456">
        <f t="shared" si="28"/>
        <v>133.37746200999999</v>
      </c>
      <c r="L90" s="456">
        <v>896.32669306999992</v>
      </c>
      <c r="M90" s="456">
        <v>72.37199665</v>
      </c>
      <c r="N90" s="456">
        <v>2583.0433189199998</v>
      </c>
      <c r="O90" s="456">
        <v>61.005465360000002</v>
      </c>
    </row>
    <row r="91" spans="1:15" ht="12.75" hidden="1">
      <c r="A91" s="311" t="s">
        <v>22</v>
      </c>
      <c r="B91" s="456">
        <f t="shared" si="26"/>
        <v>8733.4896446999992</v>
      </c>
      <c r="C91" s="456">
        <f t="shared" si="26"/>
        <v>383.58905662000001</v>
      </c>
      <c r="D91" s="456">
        <f t="shared" si="27"/>
        <v>5223.3259211599998</v>
      </c>
      <c r="E91" s="456">
        <f t="shared" si="27"/>
        <v>242.14988371999999</v>
      </c>
      <c r="F91" s="456">
        <v>1424.11458429</v>
      </c>
      <c r="G91" s="456">
        <v>103.98742276</v>
      </c>
      <c r="H91" s="456">
        <v>3799.2113368700002</v>
      </c>
      <c r="I91" s="456">
        <v>138.16246096</v>
      </c>
      <c r="J91" s="456">
        <f t="shared" si="28"/>
        <v>3510.1637235400003</v>
      </c>
      <c r="K91" s="456">
        <f t="shared" si="28"/>
        <v>141.43917290000002</v>
      </c>
      <c r="L91" s="456">
        <v>920.8913824</v>
      </c>
      <c r="M91" s="456">
        <v>79.229082790000007</v>
      </c>
      <c r="N91" s="456">
        <v>2589.2723411400002</v>
      </c>
      <c r="O91" s="456">
        <v>62.210090110000003</v>
      </c>
    </row>
    <row r="92" spans="1:15" ht="12.75" hidden="1">
      <c r="A92" s="311" t="s">
        <v>23</v>
      </c>
      <c r="B92" s="456">
        <f t="shared" si="26"/>
        <v>8840.6992274799995</v>
      </c>
      <c r="C92" s="456">
        <f t="shared" si="26"/>
        <v>408.59221671999995</v>
      </c>
      <c r="D92" s="456">
        <f>F92+H92</f>
        <v>5311.30351668</v>
      </c>
      <c r="E92" s="456">
        <f>G92+I92</f>
        <v>266.91575949999998</v>
      </c>
      <c r="F92" s="456">
        <v>1390.8887382200005</v>
      </c>
      <c r="G92" s="456">
        <v>106.06446656000001</v>
      </c>
      <c r="H92" s="456">
        <v>3920.4147784599991</v>
      </c>
      <c r="I92" s="456">
        <v>160.85129293999995</v>
      </c>
      <c r="J92" s="456">
        <f>L92+N92</f>
        <v>3529.3957108</v>
      </c>
      <c r="K92" s="456">
        <f>M92+O92</f>
        <v>141.67645721999997</v>
      </c>
      <c r="L92" s="456">
        <v>956.90045928000006</v>
      </c>
      <c r="M92" s="456">
        <v>77.496031119999998</v>
      </c>
      <c r="N92" s="456">
        <v>2572.4952515199998</v>
      </c>
      <c r="O92" s="456">
        <v>64.180426099999991</v>
      </c>
    </row>
    <row r="93" spans="1:15" ht="12.75" hidden="1">
      <c r="A93" s="311" t="s">
        <v>24</v>
      </c>
      <c r="B93" s="456">
        <v>8656.2160000000003</v>
      </c>
      <c r="C93" s="456">
        <v>399.995</v>
      </c>
      <c r="D93" s="456">
        <f t="shared" si="27"/>
        <v>5357.58</v>
      </c>
      <c r="E93" s="456">
        <f t="shared" si="27"/>
        <v>258.95240000000001</v>
      </c>
      <c r="F93" s="456">
        <v>1390.67</v>
      </c>
      <c r="G93" s="456">
        <v>101.2629</v>
      </c>
      <c r="H93" s="456">
        <v>3966.91</v>
      </c>
      <c r="I93" s="456">
        <v>157.68950000000001</v>
      </c>
      <c r="J93" s="456">
        <f t="shared" si="28"/>
        <v>3293.636</v>
      </c>
      <c r="K93" s="456">
        <f t="shared" si="28"/>
        <v>141.042</v>
      </c>
      <c r="L93" s="456">
        <v>1010.7910000000001</v>
      </c>
      <c r="M93" s="456">
        <v>75.503</v>
      </c>
      <c r="N93" s="456">
        <v>2282.8449999999998</v>
      </c>
      <c r="O93" s="456">
        <v>65.539000000000001</v>
      </c>
    </row>
    <row r="94" spans="1:15" ht="12.75" hidden="1">
      <c r="A94" s="311" t="s">
        <v>25</v>
      </c>
      <c r="B94" s="456">
        <v>8788.5652860400005</v>
      </c>
      <c r="C94" s="456">
        <v>423.68329698000002</v>
      </c>
      <c r="D94" s="456">
        <f t="shared" si="27"/>
        <v>5448.6732444099998</v>
      </c>
      <c r="E94" s="456">
        <f t="shared" si="27"/>
        <v>284.66117152000004</v>
      </c>
      <c r="F94" s="456">
        <v>1424.3187801199999</v>
      </c>
      <c r="G94" s="456">
        <v>114.20943148000001</v>
      </c>
      <c r="H94" s="456">
        <v>4024.3544642900001</v>
      </c>
      <c r="I94" s="456">
        <v>170.45174004</v>
      </c>
      <c r="J94" s="456">
        <f t="shared" si="28"/>
        <v>3339.8920416299998</v>
      </c>
      <c r="K94" s="456">
        <f t="shared" si="28"/>
        <v>139.02212546000001</v>
      </c>
      <c r="L94" s="456">
        <v>1021.54448273</v>
      </c>
      <c r="M94" s="456">
        <v>74.212794990000006</v>
      </c>
      <c r="N94" s="456">
        <v>2318.3475589</v>
      </c>
      <c r="O94" s="456">
        <v>64.809330470000006</v>
      </c>
    </row>
    <row r="95" spans="1:15" ht="12.75" hidden="1">
      <c r="A95" s="311" t="s">
        <v>26</v>
      </c>
      <c r="B95" s="456">
        <f>D95+J95</f>
        <v>8936.6295108199993</v>
      </c>
      <c r="C95" s="456">
        <v>448.51428231</v>
      </c>
      <c r="D95" s="456">
        <f t="shared" si="27"/>
        <v>5562.0761444100008</v>
      </c>
      <c r="E95" s="456">
        <f t="shared" si="27"/>
        <v>301.42113802999995</v>
      </c>
      <c r="F95" s="456">
        <v>1448.0048032600002</v>
      </c>
      <c r="G95" s="456">
        <v>124.83487529999998</v>
      </c>
      <c r="H95" s="456">
        <v>4114.0713411500001</v>
      </c>
      <c r="I95" s="456">
        <v>176.58626272999999</v>
      </c>
      <c r="J95" s="456">
        <f t="shared" si="28"/>
        <v>3374.5533664099994</v>
      </c>
      <c r="K95" s="456">
        <f t="shared" si="28"/>
        <v>147.09314427999999</v>
      </c>
      <c r="L95" s="456">
        <v>1038.52730352</v>
      </c>
      <c r="M95" s="456">
        <v>78.960413599999995</v>
      </c>
      <c r="N95" s="456">
        <v>2336.0260628899996</v>
      </c>
      <c r="O95" s="456">
        <v>68.132730679999995</v>
      </c>
    </row>
    <row r="96" spans="1:15" ht="12.75" hidden="1">
      <c r="A96" s="311" t="s">
        <v>27</v>
      </c>
      <c r="B96" s="456">
        <f>D96+J96</f>
        <v>9065.2348196599996</v>
      </c>
      <c r="C96" s="456">
        <v>454.04449083999998</v>
      </c>
      <c r="D96" s="456">
        <f t="shared" si="27"/>
        <v>5680.473136829999</v>
      </c>
      <c r="E96" s="456">
        <f t="shared" si="27"/>
        <v>306.43030685999997</v>
      </c>
      <c r="F96" s="456">
        <v>1458.4576236799996</v>
      </c>
      <c r="G96" s="456">
        <v>128.30885957000001</v>
      </c>
      <c r="H96" s="456">
        <v>4222.0155131499996</v>
      </c>
      <c r="I96" s="456">
        <v>178.12144728999999</v>
      </c>
      <c r="J96" s="456">
        <f t="shared" si="28"/>
        <v>3384.7616828299997</v>
      </c>
      <c r="K96" s="456">
        <f t="shared" si="28"/>
        <v>147.61418398000001</v>
      </c>
      <c r="L96" s="456">
        <v>1058.4434223599999</v>
      </c>
      <c r="M96" s="456">
        <v>79.603050010000004</v>
      </c>
      <c r="N96" s="456">
        <v>2326.31826047</v>
      </c>
      <c r="O96" s="456">
        <v>68.011133969999989</v>
      </c>
    </row>
    <row r="97" spans="1:15" ht="12.75" hidden="1">
      <c r="A97" s="311" t="s">
        <v>28</v>
      </c>
      <c r="B97" s="456">
        <f>D97+J97</f>
        <v>9091.7448746400005</v>
      </c>
      <c r="C97" s="456">
        <f>+E97+K97</f>
        <v>458.08037351999997</v>
      </c>
      <c r="D97" s="456">
        <f>F97+H97</f>
        <v>5770.1788494699995</v>
      </c>
      <c r="E97" s="456">
        <f>G97+I97</f>
        <v>309.25708532999994</v>
      </c>
      <c r="F97" s="456">
        <v>1493.9749220899998</v>
      </c>
      <c r="G97" s="456">
        <v>130.58339618999997</v>
      </c>
      <c r="H97" s="456">
        <v>4276.2039273799992</v>
      </c>
      <c r="I97" s="456">
        <v>178.67368913999996</v>
      </c>
      <c r="J97" s="456">
        <f>L97+N97</f>
        <v>3321.5660251700001</v>
      </c>
      <c r="K97" s="456">
        <f>M97+O97</f>
        <v>148.82328819</v>
      </c>
      <c r="L97" s="456">
        <v>1051.95001742</v>
      </c>
      <c r="M97" s="456">
        <v>78.407537129999994</v>
      </c>
      <c r="N97" s="456">
        <v>2269.6160077499999</v>
      </c>
      <c r="O97" s="456">
        <v>70.415751060000005</v>
      </c>
    </row>
    <row r="98" spans="1:15" ht="12.75" hidden="1">
      <c r="A98" s="311" t="s">
        <v>29</v>
      </c>
      <c r="B98" s="456">
        <f>D98+J98</f>
        <v>9163.3597792400014</v>
      </c>
      <c r="C98" s="456">
        <f>+E98+K98</f>
        <v>492.87668797999993</v>
      </c>
      <c r="D98" s="456">
        <f>F98+H98</f>
        <v>5865.2943068200011</v>
      </c>
      <c r="E98" s="456">
        <f>G98+I98</f>
        <v>342.10889326999995</v>
      </c>
      <c r="F98" s="456">
        <v>1523.81092025</v>
      </c>
      <c r="G98" s="456">
        <v>156.84892257000001</v>
      </c>
      <c r="H98" s="456">
        <v>4341.4833865700011</v>
      </c>
      <c r="I98" s="456">
        <v>185.25997069999997</v>
      </c>
      <c r="J98" s="456">
        <f>L98+N98</f>
        <v>3298.0654724200003</v>
      </c>
      <c r="K98" s="456">
        <f>M98+O98</f>
        <v>150.76779470999998</v>
      </c>
      <c r="L98" s="456">
        <v>1043.30860082</v>
      </c>
      <c r="M98" s="456">
        <v>82.410484849999975</v>
      </c>
      <c r="N98" s="456">
        <v>2254.7568716000005</v>
      </c>
      <c r="O98" s="456">
        <v>68.357309860000001</v>
      </c>
    </row>
    <row r="99" spans="1:15" ht="12.75">
      <c r="A99" s="311" t="s">
        <v>1024</v>
      </c>
      <c r="B99" s="456">
        <v>9850.3003707400021</v>
      </c>
      <c r="C99" s="456">
        <v>633.80456287000004</v>
      </c>
      <c r="D99" s="456">
        <v>6326.5385144700012</v>
      </c>
      <c r="E99" s="456">
        <v>452.14121239000008</v>
      </c>
      <c r="F99" s="456">
        <v>1901.0288187400004</v>
      </c>
      <c r="G99" s="456">
        <v>233.81790409000001</v>
      </c>
      <c r="H99" s="456">
        <v>4425.5096957300011</v>
      </c>
      <c r="I99" s="456">
        <v>218.32330830000004</v>
      </c>
      <c r="J99" s="456">
        <v>3523.7618562700004</v>
      </c>
      <c r="K99" s="456">
        <v>181.66335047999999</v>
      </c>
      <c r="L99" s="456">
        <v>1050.1703003900002</v>
      </c>
      <c r="M99" s="456">
        <v>92.411289529999991</v>
      </c>
      <c r="N99" s="456">
        <v>2473.5915558800002</v>
      </c>
      <c r="O99" s="456">
        <v>89.252060950000001</v>
      </c>
    </row>
    <row r="100" spans="1:15" ht="12.75" hidden="1">
      <c r="A100" s="311" t="s">
        <v>18</v>
      </c>
      <c r="B100" s="457">
        <f t="shared" ref="B100:C102" si="29">D100+J100</f>
        <v>9149.7656655300016</v>
      </c>
      <c r="C100" s="457">
        <f t="shared" si="29"/>
        <v>496.97677403</v>
      </c>
      <c r="D100" s="457">
        <f t="shared" ref="D100:E102" si="30">F100+H100</f>
        <v>5876.8554155300008</v>
      </c>
      <c r="E100" s="457">
        <f t="shared" si="30"/>
        <v>337.99363398999998</v>
      </c>
      <c r="F100" s="457">
        <v>1521.0608483700003</v>
      </c>
      <c r="G100" s="457">
        <v>163.53275163999999</v>
      </c>
      <c r="H100" s="457">
        <v>4355.79456716</v>
      </c>
      <c r="I100" s="457">
        <v>174.46088234999999</v>
      </c>
      <c r="J100" s="457">
        <f t="shared" ref="J100:K102" si="31">L100+N100</f>
        <v>3272.9102499999999</v>
      </c>
      <c r="K100" s="457">
        <f t="shared" si="31"/>
        <v>158.98314004000002</v>
      </c>
      <c r="L100" s="457">
        <v>1030.23733793</v>
      </c>
      <c r="M100" s="457">
        <v>90.439909270000015</v>
      </c>
      <c r="N100" s="457">
        <v>2242.6729120699997</v>
      </c>
      <c r="O100" s="457">
        <v>68.543230770000008</v>
      </c>
    </row>
    <row r="101" spans="1:15" ht="12.75" hidden="1">
      <c r="A101" s="311" t="s">
        <v>19</v>
      </c>
      <c r="B101" s="457">
        <f t="shared" si="29"/>
        <v>9152.8044223100005</v>
      </c>
      <c r="C101" s="457">
        <f t="shared" si="29"/>
        <v>509.41080164000005</v>
      </c>
      <c r="D101" s="457">
        <f t="shared" si="30"/>
        <v>5888.6123619000009</v>
      </c>
      <c r="E101" s="457">
        <f t="shared" si="30"/>
        <v>345.29821598000001</v>
      </c>
      <c r="F101" s="457">
        <v>1477.46146619</v>
      </c>
      <c r="G101" s="457">
        <v>162.15388999999999</v>
      </c>
      <c r="H101" s="457">
        <v>4411.1508957100004</v>
      </c>
      <c r="I101" s="457">
        <v>183.14432597999999</v>
      </c>
      <c r="J101" s="457">
        <f t="shared" si="31"/>
        <v>3264.1920604099992</v>
      </c>
      <c r="K101" s="457">
        <f t="shared" si="31"/>
        <v>164.11258566000001</v>
      </c>
      <c r="L101" s="457">
        <v>1023.93320722</v>
      </c>
      <c r="M101" s="457">
        <v>96.079705560000008</v>
      </c>
      <c r="N101" s="457">
        <v>2240.2588531899992</v>
      </c>
      <c r="O101" s="457">
        <v>68.0328801</v>
      </c>
    </row>
    <row r="102" spans="1:15" ht="12.75" hidden="1">
      <c r="A102" s="311" t="s">
        <v>20</v>
      </c>
      <c r="B102" s="457">
        <f t="shared" si="29"/>
        <v>8365.9867119600003</v>
      </c>
      <c r="C102" s="457">
        <f t="shared" si="29"/>
        <v>539.92218613999989</v>
      </c>
      <c r="D102" s="457">
        <f t="shared" si="30"/>
        <v>5017.8658420000002</v>
      </c>
      <c r="E102" s="457">
        <f t="shared" si="30"/>
        <v>371.00768122999989</v>
      </c>
      <c r="F102" s="457">
        <v>1537.3566140099999</v>
      </c>
      <c r="G102" s="457">
        <v>181.68093388999995</v>
      </c>
      <c r="H102" s="457">
        <v>3480.50922799</v>
      </c>
      <c r="I102" s="457">
        <v>189.32674733999997</v>
      </c>
      <c r="J102" s="457">
        <f t="shared" si="31"/>
        <v>3348.1208699599997</v>
      </c>
      <c r="K102" s="457">
        <f t="shared" si="31"/>
        <v>168.91450491000003</v>
      </c>
      <c r="L102" s="457">
        <v>1099.7357182599999</v>
      </c>
      <c r="M102" s="457">
        <v>97.642378710000017</v>
      </c>
      <c r="N102" s="457">
        <v>2248.3851516999998</v>
      </c>
      <c r="O102" s="457">
        <v>71.272126200000017</v>
      </c>
    </row>
    <row r="103" spans="1:15" ht="12.75" hidden="1">
      <c r="A103" s="311" t="s">
        <v>21</v>
      </c>
      <c r="B103" s="457">
        <f t="shared" ref="B103:C105" si="32">D103+J103</f>
        <v>8569.625479950002</v>
      </c>
      <c r="C103" s="457">
        <f t="shared" si="32"/>
        <v>553.16266524000002</v>
      </c>
      <c r="D103" s="457">
        <f t="shared" ref="D103:E105" si="33">F103+H103</f>
        <v>5178.6961602300007</v>
      </c>
      <c r="E103" s="457">
        <f t="shared" si="33"/>
        <v>376.76540720000003</v>
      </c>
      <c r="F103" s="457">
        <v>1627.0852975200003</v>
      </c>
      <c r="G103" s="457">
        <v>182.81705453000004</v>
      </c>
      <c r="H103" s="457">
        <v>3551.6108627100002</v>
      </c>
      <c r="I103" s="457">
        <v>193.94835266999999</v>
      </c>
      <c r="J103" s="457">
        <f t="shared" ref="J103:K105" si="34">L103+N103</f>
        <v>3390.9293197200013</v>
      </c>
      <c r="K103" s="457">
        <f t="shared" si="34"/>
        <v>176.39725804</v>
      </c>
      <c r="L103" s="457">
        <v>1125.5794349</v>
      </c>
      <c r="M103" s="457">
        <v>100.78393094</v>
      </c>
      <c r="N103" s="457">
        <v>2265.3498848200011</v>
      </c>
      <c r="O103" s="457">
        <v>75.613327099999992</v>
      </c>
    </row>
    <row r="104" spans="1:15" ht="12.75" hidden="1">
      <c r="A104" s="311" t="s">
        <v>22</v>
      </c>
      <c r="B104" s="457">
        <f t="shared" si="32"/>
        <v>8680.4269249300014</v>
      </c>
      <c r="C104" s="457">
        <f t="shared" si="32"/>
        <v>551.82263233000003</v>
      </c>
      <c r="D104" s="457">
        <f t="shared" si="33"/>
        <v>5276.0389336499993</v>
      </c>
      <c r="E104" s="457">
        <f t="shared" si="33"/>
        <v>376.23776549000002</v>
      </c>
      <c r="F104" s="457">
        <v>1649.9613073500002</v>
      </c>
      <c r="G104" s="457">
        <v>182.17992809</v>
      </c>
      <c r="H104" s="457">
        <v>3626.0776262999989</v>
      </c>
      <c r="I104" s="457">
        <v>194.05783739999998</v>
      </c>
      <c r="J104" s="457">
        <f t="shared" si="34"/>
        <v>3404.3879912800012</v>
      </c>
      <c r="K104" s="457">
        <f t="shared" si="34"/>
        <v>175.58486683999996</v>
      </c>
      <c r="L104" s="457">
        <v>1171.9425042200003</v>
      </c>
      <c r="M104" s="457">
        <v>99.632511709999989</v>
      </c>
      <c r="N104" s="457">
        <v>2232.4454870600011</v>
      </c>
      <c r="O104" s="457">
        <v>75.952355129999987</v>
      </c>
    </row>
    <row r="105" spans="1:15" ht="12.75" hidden="1">
      <c r="A105" s="311" t="s">
        <v>23</v>
      </c>
      <c r="B105" s="457">
        <f t="shared" si="32"/>
        <v>8885.8892618499995</v>
      </c>
      <c r="C105" s="457">
        <f t="shared" si="32"/>
        <v>557.85969064999995</v>
      </c>
      <c r="D105" s="457">
        <f t="shared" si="33"/>
        <v>5464.8585656499999</v>
      </c>
      <c r="E105" s="457">
        <f t="shared" si="33"/>
        <v>383.27427196000002</v>
      </c>
      <c r="F105" s="457">
        <v>1724.02884838</v>
      </c>
      <c r="G105" s="457">
        <v>183.22703375</v>
      </c>
      <c r="H105" s="457">
        <v>3740.8297172699999</v>
      </c>
      <c r="I105" s="457">
        <v>200.04723821000002</v>
      </c>
      <c r="J105" s="457">
        <f t="shared" si="34"/>
        <v>3421.0306962</v>
      </c>
      <c r="K105" s="457">
        <f t="shared" si="34"/>
        <v>174.58541868999998</v>
      </c>
      <c r="L105" s="457">
        <v>1173.0402481499996</v>
      </c>
      <c r="M105" s="457">
        <v>98.192751869999995</v>
      </c>
      <c r="N105" s="457">
        <v>2247.9904480500004</v>
      </c>
      <c r="O105" s="457">
        <v>76.392666819999988</v>
      </c>
    </row>
    <row r="106" spans="1:15" ht="12.75" hidden="1">
      <c r="A106" s="311" t="s">
        <v>24</v>
      </c>
      <c r="B106" s="457">
        <f t="shared" ref="B106:C108" si="35">D106+J106</f>
        <v>9050.1703139700003</v>
      </c>
      <c r="C106" s="457">
        <f t="shared" si="35"/>
        <v>581.14177906999998</v>
      </c>
      <c r="D106" s="457">
        <f t="shared" ref="D106:E108" si="36">F106+H106</f>
        <v>5653.2882967799997</v>
      </c>
      <c r="E106" s="457">
        <f t="shared" si="36"/>
        <v>401.9138557</v>
      </c>
      <c r="F106" s="457">
        <v>1759.2014357799994</v>
      </c>
      <c r="G106" s="457">
        <v>192.20300341000001</v>
      </c>
      <c r="H106" s="457">
        <v>3894.0868610000007</v>
      </c>
      <c r="I106" s="457">
        <v>209.71085229000002</v>
      </c>
      <c r="J106" s="457">
        <f t="shared" ref="J106:K108" si="37">L106+N106</f>
        <v>3396.8820171899997</v>
      </c>
      <c r="K106" s="457">
        <f t="shared" si="37"/>
        <v>179.22792336999998</v>
      </c>
      <c r="L106" s="457">
        <v>1185.22084139</v>
      </c>
      <c r="M106" s="457">
        <v>101.41922487999997</v>
      </c>
      <c r="N106" s="457">
        <v>2211.6611757999999</v>
      </c>
      <c r="O106" s="457">
        <v>77.808698490000012</v>
      </c>
    </row>
    <row r="107" spans="1:15" ht="12.75" hidden="1">
      <c r="A107" s="311" t="s">
        <v>25</v>
      </c>
      <c r="B107" s="457">
        <f t="shared" si="35"/>
        <v>9458.3536229800011</v>
      </c>
      <c r="C107" s="457">
        <f t="shared" si="35"/>
        <v>592.54335994000007</v>
      </c>
      <c r="D107" s="457">
        <f t="shared" si="36"/>
        <v>5794.5581396099997</v>
      </c>
      <c r="E107" s="457">
        <f t="shared" si="36"/>
        <v>412.74201596</v>
      </c>
      <c r="F107" s="457">
        <v>1779.9598803199999</v>
      </c>
      <c r="G107" s="457">
        <v>204.30088148999999</v>
      </c>
      <c r="H107" s="457">
        <v>4014.5982592899995</v>
      </c>
      <c r="I107" s="457">
        <v>208.44113446999998</v>
      </c>
      <c r="J107" s="457">
        <f t="shared" si="37"/>
        <v>3663.7954833700005</v>
      </c>
      <c r="K107" s="457">
        <f t="shared" si="37"/>
        <v>179.80134398000001</v>
      </c>
      <c r="L107" s="457">
        <v>1221.3443412900003</v>
      </c>
      <c r="M107" s="457">
        <v>100.78183925</v>
      </c>
      <c r="N107" s="457">
        <v>2442.45114208</v>
      </c>
      <c r="O107" s="457">
        <v>79.019504729999994</v>
      </c>
    </row>
    <row r="108" spans="1:15" ht="12.75" hidden="1">
      <c r="A108" s="311" t="s">
        <v>26</v>
      </c>
      <c r="B108" s="457">
        <f t="shared" si="35"/>
        <v>9597.6519703199992</v>
      </c>
      <c r="C108" s="457">
        <f t="shared" si="35"/>
        <v>620.24163603</v>
      </c>
      <c r="D108" s="457">
        <f t="shared" si="36"/>
        <v>5949.6698833499995</v>
      </c>
      <c r="E108" s="457">
        <f t="shared" si="36"/>
        <v>433.27741323999999</v>
      </c>
      <c r="F108" s="457">
        <v>1856.0935624199997</v>
      </c>
      <c r="G108" s="457">
        <v>224.16248223999997</v>
      </c>
      <c r="H108" s="457">
        <v>4093.5763209299994</v>
      </c>
      <c r="I108" s="457">
        <v>209.11493099999998</v>
      </c>
      <c r="J108" s="457">
        <f t="shared" si="37"/>
        <v>3647.9820869699997</v>
      </c>
      <c r="K108" s="457">
        <f t="shared" si="37"/>
        <v>186.96422279000001</v>
      </c>
      <c r="L108" s="457">
        <v>1218.5356594200002</v>
      </c>
      <c r="M108" s="457">
        <v>97.893200940000014</v>
      </c>
      <c r="N108" s="457">
        <v>2429.4464275499995</v>
      </c>
      <c r="O108" s="457">
        <v>89.071021850000008</v>
      </c>
    </row>
    <row r="109" spans="1:15" ht="12.75" hidden="1">
      <c r="A109" s="311" t="s">
        <v>27</v>
      </c>
      <c r="B109" s="457">
        <f t="shared" ref="B109:C112" si="38">D109+J109</f>
        <v>9706.1501323599987</v>
      </c>
      <c r="C109" s="457">
        <f t="shared" si="38"/>
        <v>626.47045097</v>
      </c>
      <c r="D109" s="457">
        <f t="shared" ref="D109:E111" si="39">F109+H109</f>
        <v>6080.2291522899995</v>
      </c>
      <c r="E109" s="457">
        <f t="shared" si="39"/>
        <v>436.40281425000001</v>
      </c>
      <c r="F109" s="457">
        <v>1862.5809107800001</v>
      </c>
      <c r="G109" s="457">
        <v>218.52939634000001</v>
      </c>
      <c r="H109" s="457">
        <v>4217.6482415099999</v>
      </c>
      <c r="I109" s="457">
        <v>217.87341791000003</v>
      </c>
      <c r="J109" s="457">
        <f t="shared" ref="J109:K112" si="40">L109+N109</f>
        <v>3625.9209800699996</v>
      </c>
      <c r="K109" s="457">
        <f t="shared" si="40"/>
        <v>190.06763672</v>
      </c>
      <c r="L109" s="457">
        <v>1170.83075994</v>
      </c>
      <c r="M109" s="457">
        <v>98.958404939999994</v>
      </c>
      <c r="N109" s="457">
        <v>2455.0902201299996</v>
      </c>
      <c r="O109" s="457">
        <v>91.109231779999988</v>
      </c>
    </row>
    <row r="110" spans="1:15" ht="12.75" hidden="1">
      <c r="A110" s="311" t="s">
        <v>28</v>
      </c>
      <c r="B110" s="457">
        <f t="shared" si="38"/>
        <v>9782.7863418200013</v>
      </c>
      <c r="C110" s="457">
        <f t="shared" si="38"/>
        <v>636.67716684999994</v>
      </c>
      <c r="D110" s="457">
        <f t="shared" si="39"/>
        <v>6201.6395691100015</v>
      </c>
      <c r="E110" s="457">
        <f t="shared" si="39"/>
        <v>452.06186796999998</v>
      </c>
      <c r="F110" s="457">
        <v>1895.5024966700003</v>
      </c>
      <c r="G110" s="457">
        <v>231.14393423999996</v>
      </c>
      <c r="H110" s="457">
        <v>4306.1370724400012</v>
      </c>
      <c r="I110" s="457">
        <v>220.91793372999999</v>
      </c>
      <c r="J110" s="457">
        <f t="shared" si="40"/>
        <v>3581.1467727099994</v>
      </c>
      <c r="K110" s="457">
        <f t="shared" si="40"/>
        <v>184.61529887999995</v>
      </c>
      <c r="L110" s="457">
        <v>1128.3953477599998</v>
      </c>
      <c r="M110" s="457">
        <v>95.25461082999999</v>
      </c>
      <c r="N110" s="457">
        <v>2452.7514249499995</v>
      </c>
      <c r="O110" s="457">
        <v>89.360688049999979</v>
      </c>
    </row>
    <row r="111" spans="1:15" ht="12.75" hidden="1">
      <c r="A111" s="311" t="s">
        <v>29</v>
      </c>
      <c r="B111" s="457">
        <f t="shared" si="38"/>
        <v>9850.3003707400021</v>
      </c>
      <c r="C111" s="457">
        <f t="shared" si="38"/>
        <v>633.80456287000004</v>
      </c>
      <c r="D111" s="457">
        <f t="shared" si="39"/>
        <v>6326.5385144700012</v>
      </c>
      <c r="E111" s="457">
        <f t="shared" si="39"/>
        <v>452.14121239000008</v>
      </c>
      <c r="F111" s="457">
        <v>1901.0288187400004</v>
      </c>
      <c r="G111" s="457">
        <v>233.81790409000001</v>
      </c>
      <c r="H111" s="457">
        <v>4425.5096957300011</v>
      </c>
      <c r="I111" s="457">
        <v>218.32330830000004</v>
      </c>
      <c r="J111" s="457">
        <f t="shared" si="40"/>
        <v>3523.7618562700004</v>
      </c>
      <c r="K111" s="457">
        <f t="shared" si="40"/>
        <v>181.66335047999999</v>
      </c>
      <c r="L111" s="457">
        <v>1050.1703003900002</v>
      </c>
      <c r="M111" s="457">
        <v>92.411289529999991</v>
      </c>
      <c r="N111" s="457">
        <v>2473.5915558800002</v>
      </c>
      <c r="O111" s="457">
        <v>89.252060950000001</v>
      </c>
    </row>
    <row r="112" spans="1:15" ht="12.75">
      <c r="A112" s="311" t="s">
        <v>1288</v>
      </c>
      <c r="B112" s="456">
        <f t="shared" si="38"/>
        <v>12243.721763699998</v>
      </c>
      <c r="C112" s="456">
        <f t="shared" si="38"/>
        <v>748.82059921000018</v>
      </c>
      <c r="D112" s="456">
        <f>F112+H112</f>
        <v>8422.8208370499979</v>
      </c>
      <c r="E112" s="456">
        <f>G112+I112</f>
        <v>575.65162122000015</v>
      </c>
      <c r="F112" s="456">
        <v>2514.3488646700002</v>
      </c>
      <c r="G112" s="456">
        <v>304.70474288000003</v>
      </c>
      <c r="H112" s="456">
        <v>5908.4719723799981</v>
      </c>
      <c r="I112" s="456">
        <v>270.94687834000007</v>
      </c>
      <c r="J112" s="456">
        <f t="shared" si="40"/>
        <v>3820.9009266500002</v>
      </c>
      <c r="K112" s="456">
        <f t="shared" si="40"/>
        <v>173.16897799</v>
      </c>
      <c r="L112" s="456">
        <v>994.03447728000026</v>
      </c>
      <c r="M112" s="456">
        <v>80.657904180000003</v>
      </c>
      <c r="N112" s="456">
        <v>2826.8664493699998</v>
      </c>
      <c r="O112" s="456">
        <v>92.511073809999999</v>
      </c>
    </row>
    <row r="113" spans="1:15" ht="12.75" hidden="1">
      <c r="A113" s="311" t="s">
        <v>18</v>
      </c>
      <c r="B113" s="457">
        <f t="shared" ref="B113:C115" si="41">D113+J113</f>
        <v>9984.5625328200003</v>
      </c>
      <c r="C113" s="457">
        <f t="shared" si="41"/>
        <v>643.0820838599999</v>
      </c>
      <c r="D113" s="457">
        <f t="shared" ref="D113:E116" si="42">F113+H113</f>
        <v>6427.802118489999</v>
      </c>
      <c r="E113" s="457">
        <f t="shared" si="42"/>
        <v>462.67976650999992</v>
      </c>
      <c r="F113" s="457">
        <v>1927.8411135400002</v>
      </c>
      <c r="G113" s="457">
        <v>241.06951294999996</v>
      </c>
      <c r="H113" s="457">
        <v>4499.9610049499988</v>
      </c>
      <c r="I113" s="457">
        <v>221.61025355999999</v>
      </c>
      <c r="J113" s="457">
        <f t="shared" ref="J113:K115" si="43">L113+N113</f>
        <v>3556.7604143300009</v>
      </c>
      <c r="K113" s="457">
        <f t="shared" si="43"/>
        <v>180.40231734999998</v>
      </c>
      <c r="L113" s="457">
        <v>1062.2161536900003</v>
      </c>
      <c r="M113" s="457">
        <v>90.801820430000006</v>
      </c>
      <c r="N113" s="457">
        <v>2494.5442606400006</v>
      </c>
      <c r="O113" s="457">
        <v>89.600496919999983</v>
      </c>
    </row>
    <row r="114" spans="1:15" ht="12.75" hidden="1">
      <c r="A114" s="311" t="s">
        <v>19</v>
      </c>
      <c r="B114" s="457">
        <f t="shared" si="41"/>
        <v>10106.91377657</v>
      </c>
      <c r="C114" s="457">
        <f t="shared" si="41"/>
        <v>648.80625394999993</v>
      </c>
      <c r="D114" s="457">
        <f t="shared" si="42"/>
        <v>6516.8319462899999</v>
      </c>
      <c r="E114" s="457">
        <f t="shared" si="42"/>
        <v>467.00115691999997</v>
      </c>
      <c r="F114" s="457">
        <v>1887.4345175700005</v>
      </c>
      <c r="G114" s="457">
        <v>240.29457158000002</v>
      </c>
      <c r="H114" s="457">
        <v>4629.397428719999</v>
      </c>
      <c r="I114" s="457">
        <v>226.70658533999998</v>
      </c>
      <c r="J114" s="457">
        <f t="shared" si="43"/>
        <v>3590.0818302799998</v>
      </c>
      <c r="K114" s="457">
        <f t="shared" si="43"/>
        <v>181.80509703000001</v>
      </c>
      <c r="L114" s="457">
        <v>1070.9073272200001</v>
      </c>
      <c r="M114" s="457">
        <v>91.565095249999999</v>
      </c>
      <c r="N114" s="457">
        <v>2519.17450306</v>
      </c>
      <c r="O114" s="457">
        <v>90.24000178</v>
      </c>
    </row>
    <row r="115" spans="1:15" ht="12.75" hidden="1">
      <c r="A115" s="311" t="s">
        <v>20</v>
      </c>
      <c r="B115" s="457">
        <f t="shared" si="41"/>
        <v>10163.207416880003</v>
      </c>
      <c r="C115" s="457">
        <f t="shared" si="41"/>
        <v>663.85993113000006</v>
      </c>
      <c r="D115" s="457">
        <f t="shared" si="42"/>
        <v>6544.4821473800012</v>
      </c>
      <c r="E115" s="457">
        <f t="shared" si="42"/>
        <v>482.97505279000006</v>
      </c>
      <c r="F115" s="457">
        <v>1810.8599186900008</v>
      </c>
      <c r="G115" s="457">
        <v>245.00116394000003</v>
      </c>
      <c r="H115" s="457">
        <v>4733.6222286900002</v>
      </c>
      <c r="I115" s="457">
        <v>237.97388885000001</v>
      </c>
      <c r="J115" s="457">
        <f t="shared" si="43"/>
        <v>3618.7252695000006</v>
      </c>
      <c r="K115" s="457">
        <f t="shared" si="43"/>
        <v>180.88487834</v>
      </c>
      <c r="L115" s="457">
        <v>1059.9579456900001</v>
      </c>
      <c r="M115" s="457">
        <v>90.924872269999995</v>
      </c>
      <c r="N115" s="457">
        <v>2558.7673238100006</v>
      </c>
      <c r="O115" s="457">
        <v>89.960006070000006</v>
      </c>
    </row>
    <row r="116" spans="1:15" ht="12.75" hidden="1">
      <c r="A116" s="311" t="s">
        <v>21</v>
      </c>
      <c r="B116" s="457">
        <f t="shared" ref="B116:C118" si="44">D116+J116</f>
        <v>10363.272368590002</v>
      </c>
      <c r="C116" s="457">
        <f t="shared" si="44"/>
        <v>719.35310576000006</v>
      </c>
      <c r="D116" s="457">
        <f t="shared" ref="D116:D121" si="45">F116+H116</f>
        <v>6720.9336238600008</v>
      </c>
      <c r="E116" s="457">
        <f t="shared" si="42"/>
        <v>529.57891202999997</v>
      </c>
      <c r="F116" s="457">
        <v>1826.55624412</v>
      </c>
      <c r="G116" s="457">
        <v>279.46195783999997</v>
      </c>
      <c r="H116" s="457">
        <v>4894.3773797400008</v>
      </c>
      <c r="I116" s="457">
        <v>250.11695419</v>
      </c>
      <c r="J116" s="457">
        <f t="shared" ref="J116:K118" si="46">L116+N116</f>
        <v>3642.3387447300001</v>
      </c>
      <c r="K116" s="457">
        <f t="shared" si="46"/>
        <v>189.77419373000004</v>
      </c>
      <c r="L116" s="457">
        <v>1051.0661861599999</v>
      </c>
      <c r="M116" s="457">
        <v>96.565472030000009</v>
      </c>
      <c r="N116" s="457">
        <v>2591.27255857</v>
      </c>
      <c r="O116" s="457">
        <v>93.208721700000012</v>
      </c>
    </row>
    <row r="117" spans="1:15" ht="12.75" hidden="1">
      <c r="A117" s="311" t="s">
        <v>22</v>
      </c>
      <c r="B117" s="457">
        <f t="shared" si="44"/>
        <v>10511.52051213</v>
      </c>
      <c r="C117" s="457">
        <f t="shared" si="44"/>
        <v>720.07649569000012</v>
      </c>
      <c r="D117" s="457">
        <f t="shared" si="45"/>
        <v>6894.3288604099998</v>
      </c>
      <c r="E117" s="457">
        <f t="shared" ref="E117:E122" si="47">G117+I117</f>
        <v>523.34686927000007</v>
      </c>
      <c r="F117" s="457">
        <v>1828.6446102300001</v>
      </c>
      <c r="G117" s="457">
        <v>275.30770603000008</v>
      </c>
      <c r="H117" s="457">
        <v>5065.6842501799993</v>
      </c>
      <c r="I117" s="457">
        <v>248.03916323999999</v>
      </c>
      <c r="J117" s="457">
        <f t="shared" si="46"/>
        <v>3617.1916517200007</v>
      </c>
      <c r="K117" s="457">
        <f t="shared" si="46"/>
        <v>196.72962642000002</v>
      </c>
      <c r="L117" s="457">
        <v>1030.2272118900003</v>
      </c>
      <c r="M117" s="457">
        <v>101.63262519000001</v>
      </c>
      <c r="N117" s="457">
        <v>2586.9644398300002</v>
      </c>
      <c r="O117" s="457">
        <v>95.097001230000004</v>
      </c>
    </row>
    <row r="118" spans="1:15" ht="12.75" hidden="1">
      <c r="A118" s="311" t="s">
        <v>23</v>
      </c>
      <c r="B118" s="457">
        <f t="shared" si="44"/>
        <v>10734.810676689998</v>
      </c>
      <c r="C118" s="457">
        <f t="shared" si="44"/>
        <v>706.68413955999995</v>
      </c>
      <c r="D118" s="457">
        <f t="shared" si="45"/>
        <v>7074.347796439999</v>
      </c>
      <c r="E118" s="457">
        <f t="shared" si="47"/>
        <v>524.02773141</v>
      </c>
      <c r="F118" s="457">
        <v>1900.4673695099993</v>
      </c>
      <c r="G118" s="457">
        <v>282.57246920000006</v>
      </c>
      <c r="H118" s="457">
        <v>5173.8804269299999</v>
      </c>
      <c r="I118" s="457">
        <v>241.45526220999997</v>
      </c>
      <c r="J118" s="457">
        <f t="shared" si="46"/>
        <v>3660.4628802500001</v>
      </c>
      <c r="K118" s="457">
        <f t="shared" si="46"/>
        <v>182.65640815</v>
      </c>
      <c r="L118" s="457">
        <v>1029.36457539</v>
      </c>
      <c r="M118" s="457">
        <v>94.618551809999985</v>
      </c>
      <c r="N118" s="457">
        <v>2631.0983048600001</v>
      </c>
      <c r="O118" s="457">
        <v>88.037856340000005</v>
      </c>
    </row>
    <row r="119" spans="1:15" ht="12.75" hidden="1">
      <c r="A119" s="311" t="s">
        <v>24</v>
      </c>
      <c r="B119" s="457">
        <f t="shared" ref="B119:C121" si="48">D119+J119</f>
        <v>10726.412785959999</v>
      </c>
      <c r="C119" s="457">
        <f t="shared" si="48"/>
        <v>715.12585076000005</v>
      </c>
      <c r="D119" s="457">
        <f t="shared" si="45"/>
        <v>7083.8808814499989</v>
      </c>
      <c r="E119" s="457">
        <f t="shared" si="47"/>
        <v>542.74810759000002</v>
      </c>
      <c r="F119" s="457">
        <v>1867.2658698499997</v>
      </c>
      <c r="G119" s="457">
        <v>302.08427155999999</v>
      </c>
      <c r="H119" s="457">
        <v>5216.615011599999</v>
      </c>
      <c r="I119" s="457">
        <v>240.66383603</v>
      </c>
      <c r="J119" s="457">
        <f t="shared" ref="J119:K121" si="49">L119+N119</f>
        <v>3642.53190451</v>
      </c>
      <c r="K119" s="457">
        <f t="shared" si="49"/>
        <v>172.37774317</v>
      </c>
      <c r="L119" s="457">
        <v>1034.0363182999999</v>
      </c>
      <c r="M119" s="457">
        <v>84.171527589999997</v>
      </c>
      <c r="N119" s="457">
        <v>2608.4955862100001</v>
      </c>
      <c r="O119" s="457">
        <v>88.206215580000006</v>
      </c>
    </row>
    <row r="120" spans="1:15" ht="12.75" hidden="1">
      <c r="A120" s="311" t="s">
        <v>25</v>
      </c>
      <c r="B120" s="457">
        <f t="shared" si="48"/>
        <v>11057.8023435</v>
      </c>
      <c r="C120" s="457">
        <f t="shared" si="48"/>
        <v>731.74003091999998</v>
      </c>
      <c r="D120" s="457">
        <f t="shared" si="45"/>
        <v>7378.4604254299993</v>
      </c>
      <c r="E120" s="457">
        <f t="shared" si="47"/>
        <v>557.75598169</v>
      </c>
      <c r="F120" s="457">
        <v>1931.1375162799998</v>
      </c>
      <c r="G120" s="457">
        <v>311.64519950999994</v>
      </c>
      <c r="H120" s="457">
        <v>5447.3229091499998</v>
      </c>
      <c r="I120" s="457">
        <v>246.11078218</v>
      </c>
      <c r="J120" s="457">
        <f t="shared" si="49"/>
        <v>3679.3419180699993</v>
      </c>
      <c r="K120" s="457">
        <f t="shared" si="49"/>
        <v>173.98404922999998</v>
      </c>
      <c r="L120" s="457">
        <v>1029.65847745</v>
      </c>
      <c r="M120" s="457">
        <v>84.566903870000004</v>
      </c>
      <c r="N120" s="457">
        <v>2649.6834406199996</v>
      </c>
      <c r="O120" s="457">
        <v>89.417145359999992</v>
      </c>
    </row>
    <row r="121" spans="1:15" ht="12.75" hidden="1">
      <c r="A121" s="311" t="s">
        <v>26</v>
      </c>
      <c r="B121" s="457">
        <f t="shared" si="48"/>
        <v>11380.82251559</v>
      </c>
      <c r="C121" s="457">
        <f t="shared" si="48"/>
        <v>757.85437294000008</v>
      </c>
      <c r="D121" s="457">
        <f t="shared" si="45"/>
        <v>7641.3636666500006</v>
      </c>
      <c r="E121" s="457">
        <f t="shared" si="47"/>
        <v>582.60445884000001</v>
      </c>
      <c r="F121" s="457">
        <v>2098.5677766100002</v>
      </c>
      <c r="G121" s="457">
        <v>327.61830738999998</v>
      </c>
      <c r="H121" s="457">
        <v>5542.7958900399999</v>
      </c>
      <c r="I121" s="457">
        <v>254.98615144999997</v>
      </c>
      <c r="J121" s="457">
        <f t="shared" si="49"/>
        <v>3739.4588489399998</v>
      </c>
      <c r="K121" s="457">
        <f t="shared" si="49"/>
        <v>175.24991410000001</v>
      </c>
      <c r="L121" s="457">
        <v>1054.0602569299999</v>
      </c>
      <c r="M121" s="457">
        <v>85.063837009999986</v>
      </c>
      <c r="N121" s="457">
        <v>2685.3985920099999</v>
      </c>
      <c r="O121" s="457">
        <v>90.186077090000012</v>
      </c>
    </row>
    <row r="122" spans="1:15" ht="12.75" hidden="1">
      <c r="A122" s="311" t="s">
        <v>27</v>
      </c>
      <c r="B122" s="457">
        <f t="shared" ref="B122:C124" si="50">D122+J122</f>
        <v>11643.48871752</v>
      </c>
      <c r="C122" s="457">
        <f t="shared" si="50"/>
        <v>763.70977516999983</v>
      </c>
      <c r="D122" s="457">
        <f>F122+H122</f>
        <v>7895.2089865999997</v>
      </c>
      <c r="E122" s="457">
        <f t="shared" si="47"/>
        <v>590.63494597999988</v>
      </c>
      <c r="F122" s="457">
        <v>2217.3576747999996</v>
      </c>
      <c r="G122" s="457">
        <v>331.99447217999995</v>
      </c>
      <c r="H122" s="457">
        <v>5677.8513118000001</v>
      </c>
      <c r="I122" s="457">
        <v>258.6404738</v>
      </c>
      <c r="J122" s="457">
        <f t="shared" ref="J122:K124" si="51">L122+N122</f>
        <v>3748.2797309200005</v>
      </c>
      <c r="K122" s="457">
        <f t="shared" si="51"/>
        <v>173.07482919</v>
      </c>
      <c r="L122" s="457">
        <v>1060.2030316299999</v>
      </c>
      <c r="M122" s="457">
        <v>82.584906380000007</v>
      </c>
      <c r="N122" s="457">
        <v>2688.0766992900008</v>
      </c>
      <c r="O122" s="457">
        <v>90.489922809999996</v>
      </c>
    </row>
    <row r="123" spans="1:15" ht="12.75" hidden="1">
      <c r="A123" s="311" t="s">
        <v>28</v>
      </c>
      <c r="B123" s="457">
        <f t="shared" si="50"/>
        <v>11730.50687651</v>
      </c>
      <c r="C123" s="457">
        <f t="shared" si="50"/>
        <v>761.11775204999992</v>
      </c>
      <c r="D123" s="457">
        <f>F123+H123</f>
        <v>8008.2648884199998</v>
      </c>
      <c r="E123" s="457">
        <f>G123+I123</f>
        <v>589.89196229999993</v>
      </c>
      <c r="F123" s="457">
        <v>2231.44228905</v>
      </c>
      <c r="G123" s="457">
        <v>332.14137586999999</v>
      </c>
      <c r="H123" s="457">
        <v>5776.8225993699998</v>
      </c>
      <c r="I123" s="457">
        <v>257.75058643</v>
      </c>
      <c r="J123" s="457">
        <f t="shared" si="51"/>
        <v>3722.2419880900006</v>
      </c>
      <c r="K123" s="457">
        <f t="shared" si="51"/>
        <v>171.22578974999999</v>
      </c>
      <c r="L123" s="457">
        <v>1005.7632069100002</v>
      </c>
      <c r="M123" s="457">
        <v>83.78112557</v>
      </c>
      <c r="N123" s="457">
        <v>2716.4787811800006</v>
      </c>
      <c r="O123" s="457">
        <v>87.444664180000004</v>
      </c>
    </row>
    <row r="124" spans="1:15" ht="12.75" hidden="1">
      <c r="A124" s="311" t="s">
        <v>29</v>
      </c>
      <c r="B124" s="457">
        <f t="shared" si="50"/>
        <v>12243.721763699998</v>
      </c>
      <c r="C124" s="457">
        <f t="shared" si="50"/>
        <v>748.82059921000018</v>
      </c>
      <c r="D124" s="457">
        <f>F124+H124</f>
        <v>8422.8208370499979</v>
      </c>
      <c r="E124" s="457">
        <f>G124+I124</f>
        <v>575.65162122000015</v>
      </c>
      <c r="F124" s="457">
        <v>2514.3488646700002</v>
      </c>
      <c r="G124" s="457">
        <v>304.70474288000003</v>
      </c>
      <c r="H124" s="457">
        <v>5908.4719723799981</v>
      </c>
      <c r="I124" s="457">
        <v>270.94687834000007</v>
      </c>
      <c r="J124" s="457">
        <f t="shared" si="51"/>
        <v>3820.9009266500002</v>
      </c>
      <c r="K124" s="457">
        <f t="shared" si="51"/>
        <v>173.16897799</v>
      </c>
      <c r="L124" s="457">
        <v>994.03447728000026</v>
      </c>
      <c r="M124" s="457">
        <v>80.657904180000003</v>
      </c>
      <c r="N124" s="457">
        <v>2826.8664493699998</v>
      </c>
      <c r="O124" s="457">
        <v>92.511073809999999</v>
      </c>
    </row>
    <row r="125" spans="1:15" ht="12.75">
      <c r="A125" s="311" t="s">
        <v>1410</v>
      </c>
      <c r="B125" s="456">
        <v>15422.93771756</v>
      </c>
      <c r="C125" s="456">
        <v>792.78013636999992</v>
      </c>
      <c r="D125" s="456">
        <v>11076.680988389999</v>
      </c>
      <c r="E125" s="456">
        <v>627.4124604399999</v>
      </c>
      <c r="F125" s="456">
        <v>2297.4136052599997</v>
      </c>
      <c r="G125" s="456">
        <v>287.86448554999993</v>
      </c>
      <c r="H125" s="456">
        <v>8779.2673831299999</v>
      </c>
      <c r="I125" s="456">
        <v>339.54797489000003</v>
      </c>
      <c r="J125" s="456">
        <v>4346.2567291700016</v>
      </c>
      <c r="K125" s="456">
        <v>165.36767593000002</v>
      </c>
      <c r="L125" s="456">
        <v>1038.0883505200004</v>
      </c>
      <c r="M125" s="456">
        <v>74.233135300000001</v>
      </c>
      <c r="N125" s="456">
        <v>3308.1683786500007</v>
      </c>
      <c r="O125" s="456">
        <v>91.134540630000004</v>
      </c>
    </row>
    <row r="126" spans="1:15" ht="12.75">
      <c r="A126" s="311" t="s">
        <v>18</v>
      </c>
      <c r="B126" s="457">
        <f t="shared" ref="B126:C128" si="52">D126+J126</f>
        <v>12479.272292869999</v>
      </c>
      <c r="C126" s="457">
        <f t="shared" si="52"/>
        <v>763.83707374000005</v>
      </c>
      <c r="D126" s="457">
        <f t="shared" ref="D126:E128" si="53">F126+H126</f>
        <v>8580.6074758599989</v>
      </c>
      <c r="E126" s="457">
        <f t="shared" si="53"/>
        <v>581.56504565</v>
      </c>
      <c r="F126" s="457">
        <v>2610.9295350799989</v>
      </c>
      <c r="G126" s="457">
        <v>301.17801257999992</v>
      </c>
      <c r="H126" s="457">
        <v>5969.6779407800004</v>
      </c>
      <c r="I126" s="457">
        <v>280.38703307000009</v>
      </c>
      <c r="J126" s="457">
        <f t="shared" ref="J126:K128" si="54">L126+N126</f>
        <v>3898.6648170100002</v>
      </c>
      <c r="K126" s="457">
        <f t="shared" si="54"/>
        <v>182.27202809000005</v>
      </c>
      <c r="L126" s="457">
        <v>986.64807069999995</v>
      </c>
      <c r="M126" s="457">
        <v>89.918840130000007</v>
      </c>
      <c r="N126" s="457">
        <v>2912.0167463100001</v>
      </c>
      <c r="O126" s="457">
        <v>92.353187960000028</v>
      </c>
    </row>
    <row r="127" spans="1:15" ht="12.75">
      <c r="A127" s="311" t="s">
        <v>19</v>
      </c>
      <c r="B127" s="457">
        <f t="shared" si="52"/>
        <v>12207.917385979999</v>
      </c>
      <c r="C127" s="457">
        <f t="shared" si="52"/>
        <v>760.95946331000005</v>
      </c>
      <c r="D127" s="457">
        <f t="shared" si="53"/>
        <v>8366.1825928500002</v>
      </c>
      <c r="E127" s="457">
        <f t="shared" si="53"/>
        <v>590.06599222</v>
      </c>
      <c r="F127" s="457">
        <v>2118.5130753099997</v>
      </c>
      <c r="G127" s="457">
        <v>300.16287932999995</v>
      </c>
      <c r="H127" s="457">
        <v>6247.66951754</v>
      </c>
      <c r="I127" s="457">
        <v>289.90311288999999</v>
      </c>
      <c r="J127" s="457">
        <f t="shared" si="54"/>
        <v>3841.7347931300001</v>
      </c>
      <c r="K127" s="457">
        <f t="shared" si="54"/>
        <v>170.89347108999999</v>
      </c>
      <c r="L127" s="457">
        <v>976.93184593999979</v>
      </c>
      <c r="M127" s="457">
        <v>81.128748859999988</v>
      </c>
      <c r="N127" s="457">
        <v>2864.8029471900004</v>
      </c>
      <c r="O127" s="457">
        <v>89.764722230000018</v>
      </c>
    </row>
    <row r="128" spans="1:15" ht="12.75">
      <c r="A128" s="311" t="s">
        <v>20</v>
      </c>
      <c r="B128" s="457">
        <f t="shared" si="52"/>
        <v>12451.113757919999</v>
      </c>
      <c r="C128" s="457">
        <f t="shared" si="52"/>
        <v>760.75256074999993</v>
      </c>
      <c r="D128" s="457">
        <f t="shared" si="53"/>
        <v>8592.9204872299979</v>
      </c>
      <c r="E128" s="457">
        <f t="shared" si="53"/>
        <v>589.21190864999994</v>
      </c>
      <c r="F128" s="457">
        <v>2108.9893462300001</v>
      </c>
      <c r="G128" s="457">
        <v>297.74573096999995</v>
      </c>
      <c r="H128" s="457">
        <v>6483.9311409999982</v>
      </c>
      <c r="I128" s="457">
        <v>291.46617768000004</v>
      </c>
      <c r="J128" s="457">
        <f t="shared" si="54"/>
        <v>3858.1932706900002</v>
      </c>
      <c r="K128" s="457">
        <f t="shared" si="54"/>
        <v>171.54065209999999</v>
      </c>
      <c r="L128" s="457">
        <v>987.66299020999998</v>
      </c>
      <c r="M128" s="457">
        <v>79.137423539999986</v>
      </c>
      <c r="N128" s="457">
        <v>2870.5302804800003</v>
      </c>
      <c r="O128" s="457">
        <v>92.403228560000002</v>
      </c>
    </row>
    <row r="129" spans="1:15" ht="12.75">
      <c r="A129" s="311" t="s">
        <v>21</v>
      </c>
      <c r="B129" s="457">
        <f t="shared" ref="B129:C131" si="55">D129+J129</f>
        <v>13019.48671463</v>
      </c>
      <c r="C129" s="457">
        <f t="shared" si="55"/>
        <v>754.73232022000002</v>
      </c>
      <c r="D129" s="457">
        <f t="shared" ref="D129:E131" si="56">F129+H129</f>
        <v>9107.0244906799999</v>
      </c>
      <c r="E129" s="457">
        <f t="shared" si="56"/>
        <v>582.59594747000006</v>
      </c>
      <c r="F129" s="457">
        <v>2161.5266975</v>
      </c>
      <c r="G129" s="457">
        <v>293.81579022</v>
      </c>
      <c r="H129" s="457">
        <v>6945.4977931799995</v>
      </c>
      <c r="I129" s="457">
        <v>288.78015725</v>
      </c>
      <c r="J129" s="457">
        <f t="shared" ref="J129:K131" si="57">L129+N129</f>
        <v>3912.4622239500004</v>
      </c>
      <c r="K129" s="457">
        <f t="shared" si="57"/>
        <v>172.13637274999996</v>
      </c>
      <c r="L129" s="457">
        <v>978.31895943000018</v>
      </c>
      <c r="M129" s="457">
        <v>81.304805599999995</v>
      </c>
      <c r="N129" s="457">
        <v>2934.1432645200002</v>
      </c>
      <c r="O129" s="457">
        <v>90.831567149999984</v>
      </c>
    </row>
    <row r="130" spans="1:15" s="215" customFormat="1" ht="12.75">
      <c r="A130" s="311" t="s">
        <v>22</v>
      </c>
      <c r="B130" s="457">
        <f t="shared" si="55"/>
        <v>13406.321686660001</v>
      </c>
      <c r="C130" s="457">
        <f t="shared" si="55"/>
        <v>768.69702252999991</v>
      </c>
      <c r="D130" s="457">
        <f t="shared" si="56"/>
        <v>9444.2908854100024</v>
      </c>
      <c r="E130" s="457">
        <f t="shared" si="56"/>
        <v>597.8059743</v>
      </c>
      <c r="F130" s="457">
        <v>2217.2061740900003</v>
      </c>
      <c r="G130" s="457">
        <v>294.88469603999999</v>
      </c>
      <c r="H130" s="457">
        <v>7227.0847113200016</v>
      </c>
      <c r="I130" s="457">
        <v>302.92127826000001</v>
      </c>
      <c r="J130" s="457">
        <f t="shared" si="57"/>
        <v>3962.03080125</v>
      </c>
      <c r="K130" s="457">
        <f t="shared" si="57"/>
        <v>170.89104822999997</v>
      </c>
      <c r="L130" s="457">
        <v>980.50759199999982</v>
      </c>
      <c r="M130" s="457">
        <v>82.204416109999968</v>
      </c>
      <c r="N130" s="457">
        <v>2981.52320925</v>
      </c>
      <c r="O130" s="457">
        <v>88.686632119999985</v>
      </c>
    </row>
    <row r="131" spans="1:15" s="215" customFormat="1" ht="12.75">
      <c r="A131" s="311" t="s">
        <v>23</v>
      </c>
      <c r="B131" s="457">
        <f t="shared" si="55"/>
        <v>13774.078903620004</v>
      </c>
      <c r="C131" s="457">
        <f t="shared" si="55"/>
        <v>781.83677584999998</v>
      </c>
      <c r="D131" s="457">
        <f t="shared" si="56"/>
        <v>9750.289083620004</v>
      </c>
      <c r="E131" s="457">
        <f t="shared" si="56"/>
        <v>617.76290569999992</v>
      </c>
      <c r="F131" s="457">
        <v>2234.6073463000002</v>
      </c>
      <c r="G131" s="457">
        <v>287.81498986999992</v>
      </c>
      <c r="H131" s="457">
        <v>7515.6817373200038</v>
      </c>
      <c r="I131" s="457">
        <v>329.94791583</v>
      </c>
      <c r="J131" s="457">
        <f t="shared" si="57"/>
        <v>4023.7898199999991</v>
      </c>
      <c r="K131" s="457">
        <f t="shared" si="57"/>
        <v>164.07387015000003</v>
      </c>
      <c r="L131" s="457">
        <v>1005.4532551299998</v>
      </c>
      <c r="M131" s="457">
        <v>76.107976629999996</v>
      </c>
      <c r="N131" s="457">
        <v>3018.3365648699992</v>
      </c>
      <c r="O131" s="457">
        <v>87.965893520000037</v>
      </c>
    </row>
    <row r="132" spans="1:15" s="215" customFormat="1" ht="12.75">
      <c r="A132" s="311" t="s">
        <v>24</v>
      </c>
      <c r="B132" s="457">
        <f t="shared" ref="B132:C134" si="58">D132+J132</f>
        <v>14199.279780230001</v>
      </c>
      <c r="C132" s="457">
        <f t="shared" si="58"/>
        <v>776.64498170000013</v>
      </c>
      <c r="D132" s="457">
        <f t="shared" ref="D132:E134" si="59">F132+H132</f>
        <v>10058.848950559999</v>
      </c>
      <c r="E132" s="457">
        <f t="shared" si="59"/>
        <v>618.25493696000012</v>
      </c>
      <c r="F132" s="457">
        <v>2328.1732154100005</v>
      </c>
      <c r="G132" s="457">
        <v>288.71203685000006</v>
      </c>
      <c r="H132" s="457">
        <v>7730.6757351499982</v>
      </c>
      <c r="I132" s="457">
        <v>329.54290011000001</v>
      </c>
      <c r="J132" s="457">
        <f t="shared" ref="J132:K134" si="60">L132+N132</f>
        <v>4140.4308296700019</v>
      </c>
      <c r="K132" s="457">
        <f t="shared" si="60"/>
        <v>158.39004474000001</v>
      </c>
      <c r="L132" s="457">
        <v>998.56408563000025</v>
      </c>
      <c r="M132" s="457">
        <v>75.695626300000001</v>
      </c>
      <c r="N132" s="457">
        <v>3141.8667440400013</v>
      </c>
      <c r="O132" s="457">
        <v>82.694418440000007</v>
      </c>
    </row>
    <row r="133" spans="1:15" s="215" customFormat="1" ht="12.75">
      <c r="A133" s="311" t="s">
        <v>25</v>
      </c>
      <c r="B133" s="457">
        <f t="shared" si="58"/>
        <v>14455.066976410002</v>
      </c>
      <c r="C133" s="457">
        <f t="shared" si="58"/>
        <v>764.77188057000001</v>
      </c>
      <c r="D133" s="457">
        <f t="shared" si="59"/>
        <v>10261.405975450001</v>
      </c>
      <c r="E133" s="457">
        <f t="shared" si="59"/>
        <v>607.88575369</v>
      </c>
      <c r="F133" s="457">
        <v>2345.51356549</v>
      </c>
      <c r="G133" s="457">
        <v>281.54774261</v>
      </c>
      <c r="H133" s="457">
        <v>7915.8924099600008</v>
      </c>
      <c r="I133" s="457">
        <v>326.33801108</v>
      </c>
      <c r="J133" s="457">
        <f t="shared" si="60"/>
        <v>4193.6610009600008</v>
      </c>
      <c r="K133" s="457">
        <f t="shared" si="60"/>
        <v>156.88612688000001</v>
      </c>
      <c r="L133" s="457">
        <v>996.9019845700002</v>
      </c>
      <c r="M133" s="457">
        <v>74.102265499999987</v>
      </c>
      <c r="N133" s="457">
        <v>3196.7590163900004</v>
      </c>
      <c r="O133" s="457">
        <v>82.783861380000019</v>
      </c>
    </row>
    <row r="134" spans="1:15" s="215" customFormat="1" ht="12.75">
      <c r="A134" s="311" t="s">
        <v>26</v>
      </c>
      <c r="B134" s="457">
        <f t="shared" si="58"/>
        <v>14793.329728140003</v>
      </c>
      <c r="C134" s="457">
        <f t="shared" si="58"/>
        <v>794.96214473999999</v>
      </c>
      <c r="D134" s="457">
        <f t="shared" si="59"/>
        <v>10508.514704800002</v>
      </c>
      <c r="E134" s="457">
        <f t="shared" si="59"/>
        <v>634.33878677999996</v>
      </c>
      <c r="F134" s="457">
        <v>2408.9671586900004</v>
      </c>
      <c r="G134" s="457">
        <v>297.62185439000001</v>
      </c>
      <c r="H134" s="457">
        <v>8099.5475461100013</v>
      </c>
      <c r="I134" s="457">
        <v>336.71693238999995</v>
      </c>
      <c r="J134" s="457">
        <f t="shared" si="60"/>
        <v>4284.8150233400011</v>
      </c>
      <c r="K134" s="457">
        <f t="shared" si="60"/>
        <v>160.62335795999999</v>
      </c>
      <c r="L134" s="457">
        <v>1019.3080312300002</v>
      </c>
      <c r="M134" s="457">
        <v>76.828607019999993</v>
      </c>
      <c r="N134" s="457">
        <v>3265.5069921100007</v>
      </c>
      <c r="O134" s="457">
        <v>83.79475094</v>
      </c>
    </row>
    <row r="135" spans="1:15" s="215" customFormat="1" ht="12.75">
      <c r="A135" s="311" t="s">
        <v>27</v>
      </c>
      <c r="B135" s="457">
        <f t="shared" ref="B135:C137" si="61">D135+J135</f>
        <v>14991.395181549993</v>
      </c>
      <c r="C135" s="457">
        <f t="shared" si="61"/>
        <v>783.15707916000008</v>
      </c>
      <c r="D135" s="457">
        <f t="shared" ref="D135:E137" si="62">F135+H135</f>
        <v>10707.839709209995</v>
      </c>
      <c r="E135" s="457">
        <f t="shared" si="62"/>
        <v>628.0237500400001</v>
      </c>
      <c r="F135" s="457">
        <v>2367.64023791</v>
      </c>
      <c r="G135" s="457">
        <v>291.63139324999997</v>
      </c>
      <c r="H135" s="457">
        <v>8340.1994712999949</v>
      </c>
      <c r="I135" s="457">
        <v>336.39235679000006</v>
      </c>
      <c r="J135" s="457">
        <f t="shared" ref="J135:K137" si="63">L135+N135</f>
        <v>4283.5554723399991</v>
      </c>
      <c r="K135" s="457">
        <f t="shared" si="63"/>
        <v>155.13332911999998</v>
      </c>
      <c r="L135" s="457">
        <v>1007.91795734</v>
      </c>
      <c r="M135" s="457">
        <v>72.883335360000004</v>
      </c>
      <c r="N135" s="457">
        <v>3275.6375149999994</v>
      </c>
      <c r="O135" s="457">
        <v>82.249993759999995</v>
      </c>
    </row>
    <row r="136" spans="1:15" s="215" customFormat="1" ht="12.75">
      <c r="A136" s="311" t="s">
        <v>28</v>
      </c>
      <c r="B136" s="457">
        <f t="shared" si="61"/>
        <v>15245.292023950002</v>
      </c>
      <c r="C136" s="457">
        <f t="shared" si="61"/>
        <v>794.97631180999997</v>
      </c>
      <c r="D136" s="457">
        <f t="shared" si="62"/>
        <v>10926.588964340001</v>
      </c>
      <c r="E136" s="457">
        <f t="shared" si="62"/>
        <v>637.51542915999994</v>
      </c>
      <c r="F136" s="457">
        <v>2399.23555231</v>
      </c>
      <c r="G136" s="457">
        <v>293.71859962000002</v>
      </c>
      <c r="H136" s="457">
        <v>8527.353412030001</v>
      </c>
      <c r="I136" s="457">
        <v>343.79682953999998</v>
      </c>
      <c r="J136" s="457">
        <f t="shared" si="63"/>
        <v>4318.7030596100003</v>
      </c>
      <c r="K136" s="457">
        <f t="shared" si="63"/>
        <v>157.46088265000003</v>
      </c>
      <c r="L136" s="457">
        <v>1020.1792601699998</v>
      </c>
      <c r="M136" s="457">
        <v>72.905641380000006</v>
      </c>
      <c r="N136" s="457">
        <v>3298.5237994400009</v>
      </c>
      <c r="O136" s="457">
        <v>84.55524127000001</v>
      </c>
    </row>
    <row r="137" spans="1:15" s="215" customFormat="1" ht="12.75">
      <c r="A137" s="311" t="s">
        <v>29</v>
      </c>
      <c r="B137" s="457">
        <f t="shared" si="61"/>
        <v>15422.93771756</v>
      </c>
      <c r="C137" s="457">
        <f t="shared" si="61"/>
        <v>792.78013636999992</v>
      </c>
      <c r="D137" s="457">
        <f t="shared" si="62"/>
        <v>11076.680988389999</v>
      </c>
      <c r="E137" s="457">
        <f t="shared" si="62"/>
        <v>627.4124604399999</v>
      </c>
      <c r="F137" s="457">
        <v>2297.4136052599997</v>
      </c>
      <c r="G137" s="457">
        <v>287.86448554999993</v>
      </c>
      <c r="H137" s="457">
        <v>8779.2673831299999</v>
      </c>
      <c r="I137" s="457">
        <v>339.54797489000003</v>
      </c>
      <c r="J137" s="457">
        <f t="shared" si="63"/>
        <v>4346.2567291700016</v>
      </c>
      <c r="K137" s="457">
        <f t="shared" si="63"/>
        <v>165.36767593000002</v>
      </c>
      <c r="L137" s="457">
        <v>1038.0883505200004</v>
      </c>
      <c r="M137" s="457">
        <v>74.233135300000001</v>
      </c>
      <c r="N137" s="457">
        <v>3308.1683786500007</v>
      </c>
      <c r="O137" s="457">
        <v>91.134540630000004</v>
      </c>
    </row>
    <row r="138" spans="1:15" s="90" customFormat="1" ht="12.75">
      <c r="A138" s="311" t="s">
        <v>1621</v>
      </c>
      <c r="B138" s="456">
        <v>18542.609915009998</v>
      </c>
      <c r="C138" s="456">
        <v>976.32447814</v>
      </c>
      <c r="D138" s="456">
        <v>13505.650296169999</v>
      </c>
      <c r="E138" s="456">
        <v>767.55430122000007</v>
      </c>
      <c r="F138" s="456">
        <v>2494.1530108499996</v>
      </c>
      <c r="G138" s="456">
        <v>301.03321541000008</v>
      </c>
      <c r="H138" s="456">
        <v>11011.49728532</v>
      </c>
      <c r="I138" s="456">
        <v>466.5210858100001</v>
      </c>
      <c r="J138" s="456">
        <v>5036.9596188400001</v>
      </c>
      <c r="K138" s="456">
        <v>208.77017692000001</v>
      </c>
      <c r="L138" s="456">
        <v>1437.1988383099999</v>
      </c>
      <c r="M138" s="456">
        <v>90.635949969999984</v>
      </c>
      <c r="N138" s="456">
        <v>3599.7607805299995</v>
      </c>
      <c r="O138" s="456">
        <v>118.13422695</v>
      </c>
    </row>
    <row r="139" spans="1:15" ht="12.75">
      <c r="A139" s="311" t="s">
        <v>18</v>
      </c>
      <c r="B139" s="457">
        <f t="shared" ref="B139:C141" si="64">D139+J139</f>
        <v>15484.635822389995</v>
      </c>
      <c r="C139" s="457">
        <f t="shared" si="64"/>
        <v>815.1098263099999</v>
      </c>
      <c r="D139" s="457">
        <f t="shared" ref="D139:E141" si="65">F139+H139</f>
        <v>11140.542310189996</v>
      </c>
      <c r="E139" s="457">
        <f t="shared" si="65"/>
        <v>643.85619193999992</v>
      </c>
      <c r="F139" s="457">
        <v>2312.4489450999995</v>
      </c>
      <c r="G139" s="457">
        <v>294.72308188999989</v>
      </c>
      <c r="H139" s="457">
        <v>8828.093365089997</v>
      </c>
      <c r="I139" s="457">
        <v>349.13311005000008</v>
      </c>
      <c r="J139" s="457">
        <f t="shared" ref="J139:K141" si="66">L139+N139</f>
        <v>4344.0935122000001</v>
      </c>
      <c r="K139" s="457">
        <f t="shared" si="66"/>
        <v>171.25363436999999</v>
      </c>
      <c r="L139" s="457">
        <v>1056.1217358099998</v>
      </c>
      <c r="M139" s="457">
        <v>77.592404469999991</v>
      </c>
      <c r="N139" s="457">
        <v>3287.9717763900003</v>
      </c>
      <c r="O139" s="457">
        <v>93.661229899999995</v>
      </c>
    </row>
    <row r="140" spans="1:15" ht="12.75">
      <c r="A140" s="311" t="s">
        <v>19</v>
      </c>
      <c r="B140" s="457">
        <f t="shared" si="64"/>
        <v>15616.299975900001</v>
      </c>
      <c r="C140" s="457">
        <f t="shared" si="64"/>
        <v>831.63941404000002</v>
      </c>
      <c r="D140" s="457">
        <f t="shared" si="65"/>
        <v>11291.82594717</v>
      </c>
      <c r="E140" s="457">
        <f t="shared" si="65"/>
        <v>655.09568809000007</v>
      </c>
      <c r="F140" s="457">
        <v>2353.9315994199997</v>
      </c>
      <c r="G140" s="457">
        <v>298.85443703999999</v>
      </c>
      <c r="H140" s="457">
        <v>8937.8943477500015</v>
      </c>
      <c r="I140" s="457">
        <v>356.24125105000007</v>
      </c>
      <c r="J140" s="457">
        <f t="shared" si="66"/>
        <v>4324.4740287300001</v>
      </c>
      <c r="K140" s="457">
        <f t="shared" si="66"/>
        <v>176.54372594999998</v>
      </c>
      <c r="L140" s="457">
        <v>1067.4454040800001</v>
      </c>
      <c r="M140" s="457">
        <v>78.328818239999976</v>
      </c>
      <c r="N140" s="457">
        <v>3257.02862465</v>
      </c>
      <c r="O140" s="457">
        <v>98.214907710000006</v>
      </c>
    </row>
    <row r="141" spans="1:15" ht="12.75">
      <c r="A141" s="311" t="s">
        <v>20</v>
      </c>
      <c r="B141" s="457">
        <f t="shared" si="64"/>
        <v>15889.520084209998</v>
      </c>
      <c r="C141" s="457">
        <f t="shared" si="64"/>
        <v>853.67276348999985</v>
      </c>
      <c r="D141" s="457">
        <f t="shared" si="65"/>
        <v>11503.174987659997</v>
      </c>
      <c r="E141" s="457">
        <f t="shared" si="65"/>
        <v>675.13411775999987</v>
      </c>
      <c r="F141" s="457">
        <v>2394.3500431900002</v>
      </c>
      <c r="G141" s="457">
        <v>308.51569409999996</v>
      </c>
      <c r="H141" s="457">
        <v>9108.8249444699977</v>
      </c>
      <c r="I141" s="457">
        <v>366.61842365999991</v>
      </c>
      <c r="J141" s="457">
        <f t="shared" si="66"/>
        <v>4386.3450965500006</v>
      </c>
      <c r="K141" s="457">
        <f t="shared" si="66"/>
        <v>178.53864573000001</v>
      </c>
      <c r="L141" s="457">
        <v>1149.7637870899998</v>
      </c>
      <c r="M141" s="457">
        <v>80.254830700000014</v>
      </c>
      <c r="N141" s="457">
        <v>3236.5813094600007</v>
      </c>
      <c r="O141" s="457">
        <v>98.28381503</v>
      </c>
    </row>
    <row r="142" spans="1:15" ht="12.75">
      <c r="A142" s="311" t="s">
        <v>21</v>
      </c>
      <c r="B142" s="457">
        <f>D142+J142</f>
        <v>16245.38347723</v>
      </c>
      <c r="C142" s="457">
        <f>E142+K142</f>
        <v>895.62655745999996</v>
      </c>
      <c r="D142" s="457">
        <f>F142+H142</f>
        <v>11759.759156130001</v>
      </c>
      <c r="E142" s="457">
        <f>G142+I142</f>
        <v>708.35537259</v>
      </c>
      <c r="F142" s="457">
        <v>2400.6498196000007</v>
      </c>
      <c r="G142" s="457">
        <v>327.28028505000009</v>
      </c>
      <c r="H142" s="457">
        <v>9359.1093365300003</v>
      </c>
      <c r="I142" s="457">
        <v>381.07508753999991</v>
      </c>
      <c r="J142" s="457">
        <f>L142+N142</f>
        <v>4485.6243210999992</v>
      </c>
      <c r="K142" s="457">
        <f>M142+O142</f>
        <v>187.27118487000001</v>
      </c>
      <c r="L142" s="457">
        <v>1171.3577422400001</v>
      </c>
      <c r="M142" s="457">
        <v>80.705937330000012</v>
      </c>
      <c r="N142" s="457">
        <v>3314.2665788599993</v>
      </c>
      <c r="O142" s="457">
        <v>106.56524754000002</v>
      </c>
    </row>
    <row r="143" spans="1:15" ht="12.75">
      <c r="A143" s="311" t="s">
        <v>22</v>
      </c>
      <c r="B143" s="457">
        <v>16595.366183029997</v>
      </c>
      <c r="C143" s="457">
        <v>904.99897122999982</v>
      </c>
      <c r="D143" s="457">
        <v>12090.288353539996</v>
      </c>
      <c r="E143" s="457">
        <v>717.24448158999985</v>
      </c>
      <c r="F143" s="457">
        <v>2379.9067743400005</v>
      </c>
      <c r="G143" s="457">
        <v>334.22220105999992</v>
      </c>
      <c r="H143" s="457">
        <v>9710.381579199995</v>
      </c>
      <c r="I143" s="457">
        <v>383.02228052999993</v>
      </c>
      <c r="J143" s="457">
        <v>4505.0778294899992</v>
      </c>
      <c r="K143" s="457">
        <v>187.75448963999997</v>
      </c>
      <c r="L143" s="457">
        <v>1181.3246899500002</v>
      </c>
      <c r="M143" s="457">
        <v>83.836178819999986</v>
      </c>
      <c r="N143" s="457">
        <v>3323.7531395399992</v>
      </c>
      <c r="O143" s="457">
        <v>103.91831082</v>
      </c>
    </row>
    <row r="144" spans="1:15" ht="12.75">
      <c r="A144" s="311" t="s">
        <v>23</v>
      </c>
      <c r="B144" s="457">
        <v>16754.796928089996</v>
      </c>
      <c r="C144" s="457">
        <v>877.58034430999999</v>
      </c>
      <c r="D144" s="457">
        <v>12228.273561189997</v>
      </c>
      <c r="E144" s="457">
        <v>695.40578014000005</v>
      </c>
      <c r="F144" s="457">
        <v>2324.2109945900002</v>
      </c>
      <c r="G144" s="457">
        <v>297.17884528999997</v>
      </c>
      <c r="H144" s="457">
        <v>9904.062566599996</v>
      </c>
      <c r="I144" s="457">
        <v>398.22693485000002</v>
      </c>
      <c r="J144" s="457">
        <v>4526.5233668999999</v>
      </c>
      <c r="K144" s="457">
        <v>182.17456417000002</v>
      </c>
      <c r="L144" s="457">
        <v>1206.1118018699999</v>
      </c>
      <c r="M144" s="457">
        <v>81.46771169000003</v>
      </c>
      <c r="N144" s="457">
        <v>3320.41156503</v>
      </c>
      <c r="O144" s="457">
        <v>100.70685248000001</v>
      </c>
    </row>
    <row r="145" spans="1:15" ht="12.75">
      <c r="A145" s="311" t="s">
        <v>24</v>
      </c>
      <c r="B145" s="457">
        <f t="shared" ref="B145:C147" si="67">D145+J145</f>
        <v>17034.049879450002</v>
      </c>
      <c r="C145" s="457">
        <f t="shared" si="67"/>
        <v>900.08802919000004</v>
      </c>
      <c r="D145" s="457">
        <f t="shared" ref="D145:E147" si="68">F145+H145</f>
        <v>12467.120197170003</v>
      </c>
      <c r="E145" s="457">
        <f t="shared" si="68"/>
        <v>714.72896686000001</v>
      </c>
      <c r="F145" s="457">
        <v>2339.7067851500005</v>
      </c>
      <c r="G145" s="457">
        <v>301.87992603999999</v>
      </c>
      <c r="H145" s="457">
        <v>10127.413412020001</v>
      </c>
      <c r="I145" s="457">
        <v>412.84904082000003</v>
      </c>
      <c r="J145" s="457">
        <f t="shared" ref="J145:K147" si="69">L145+N145</f>
        <v>4566.9296822800006</v>
      </c>
      <c r="K145" s="457">
        <f t="shared" si="69"/>
        <v>185.35906233000003</v>
      </c>
      <c r="L145" s="457">
        <v>1219.0842622200003</v>
      </c>
      <c r="M145" s="457">
        <v>77.665164350000012</v>
      </c>
      <c r="N145" s="457">
        <v>3347.8454200599999</v>
      </c>
      <c r="O145" s="457">
        <v>107.69389798</v>
      </c>
    </row>
    <row r="146" spans="1:15" ht="12.75">
      <c r="A146" s="311" t="s">
        <v>25</v>
      </c>
      <c r="B146" s="457">
        <f t="shared" si="67"/>
        <v>17308.948798760004</v>
      </c>
      <c r="C146" s="457">
        <f t="shared" si="67"/>
        <v>938.78821328000004</v>
      </c>
      <c r="D146" s="457">
        <f t="shared" si="68"/>
        <v>12690.712000560005</v>
      </c>
      <c r="E146" s="457">
        <v>749</v>
      </c>
      <c r="F146" s="457">
        <v>2342.3652599000006</v>
      </c>
      <c r="G146" s="457">
        <v>327.23542578000001</v>
      </c>
      <c r="H146" s="457">
        <v>10348.346740660003</v>
      </c>
      <c r="I146" s="457">
        <v>421.74192195000001</v>
      </c>
      <c r="J146" s="457">
        <f t="shared" si="69"/>
        <v>4618.2367981999996</v>
      </c>
      <c r="K146" s="457">
        <f t="shared" si="69"/>
        <v>189.78821327999998</v>
      </c>
      <c r="L146" s="457">
        <v>1243.9727572500001</v>
      </c>
      <c r="M146" s="457">
        <v>84.208139709999983</v>
      </c>
      <c r="N146" s="457">
        <v>3374.2640409499995</v>
      </c>
      <c r="O146" s="457">
        <v>105.58007357000001</v>
      </c>
    </row>
    <row r="147" spans="1:15" ht="12.75">
      <c r="A147" s="311" t="s">
        <v>26</v>
      </c>
      <c r="B147" s="457">
        <f t="shared" si="67"/>
        <v>17631.590882650002</v>
      </c>
      <c r="C147" s="457">
        <f t="shared" si="67"/>
        <v>973.18827784999985</v>
      </c>
      <c r="D147" s="457">
        <f t="shared" si="68"/>
        <v>12980.86295689</v>
      </c>
      <c r="E147" s="457">
        <f t="shared" si="68"/>
        <v>767.17081672999984</v>
      </c>
      <c r="F147" s="457">
        <v>2418.83081447</v>
      </c>
      <c r="G147" s="457">
        <v>327.73468400999997</v>
      </c>
      <c r="H147" s="457">
        <v>10562.032142419999</v>
      </c>
      <c r="I147" s="457">
        <v>439.43613271999993</v>
      </c>
      <c r="J147" s="457">
        <f t="shared" si="69"/>
        <v>4650.7279257600003</v>
      </c>
      <c r="K147" s="457">
        <f t="shared" si="69"/>
        <v>206.01746111999995</v>
      </c>
      <c r="L147" s="457">
        <v>1208.3918522900001</v>
      </c>
      <c r="M147" s="457">
        <v>99.131905869999983</v>
      </c>
      <c r="N147" s="457">
        <v>3442.33607347</v>
      </c>
      <c r="O147" s="457">
        <v>106.88555524999997</v>
      </c>
    </row>
    <row r="148" spans="1:15" ht="12.75">
      <c r="A148" s="311" t="s">
        <v>27</v>
      </c>
      <c r="B148" s="457">
        <f>D148+J148</f>
        <v>17841.51790323</v>
      </c>
      <c r="C148" s="457">
        <f>E148+K148</f>
        <v>943.38504893000004</v>
      </c>
      <c r="D148" s="457">
        <f>F148+H148</f>
        <v>13160.736704880001</v>
      </c>
      <c r="E148" s="457">
        <f>G148+I148</f>
        <v>747.98372076999999</v>
      </c>
      <c r="F148" s="457">
        <v>2473.61606226</v>
      </c>
      <c r="G148" s="457">
        <v>292.30685384000003</v>
      </c>
      <c r="H148" s="457">
        <v>10687.120642620001</v>
      </c>
      <c r="I148" s="457">
        <v>455.67686693000002</v>
      </c>
      <c r="J148" s="457">
        <f>L148+N148</f>
        <v>4680.7811983499996</v>
      </c>
      <c r="K148" s="457">
        <f>M148+O148</f>
        <v>195.40132815999999</v>
      </c>
      <c r="L148" s="457">
        <v>1238.0075283199999</v>
      </c>
      <c r="M148" s="457">
        <v>87.043026379999986</v>
      </c>
      <c r="N148" s="457">
        <v>3442.7736700300002</v>
      </c>
      <c r="O148" s="457">
        <v>108.35830177999999</v>
      </c>
    </row>
    <row r="149" spans="1:15" ht="12.75">
      <c r="A149" s="311" t="s">
        <v>28</v>
      </c>
      <c r="B149" s="457">
        <v>18151.94684099</v>
      </c>
      <c r="C149" s="457">
        <v>981.4749022100001</v>
      </c>
      <c r="D149" s="457">
        <f>(F149+H149)</f>
        <v>13392.055936979999</v>
      </c>
      <c r="E149" s="457">
        <f>(G149+I149)</f>
        <v>780.50962401000004</v>
      </c>
      <c r="F149" s="457">
        <v>2475.3446378399995</v>
      </c>
      <c r="G149" s="457">
        <v>302.27074386999999</v>
      </c>
      <c r="H149" s="457">
        <v>10916.711299140001</v>
      </c>
      <c r="I149" s="457">
        <v>478.23888014000005</v>
      </c>
      <c r="J149" s="457">
        <f>(L149+N149)</f>
        <v>4759.8909040100007</v>
      </c>
      <c r="K149" s="457">
        <f>(M149+O149)</f>
        <v>200.9652782</v>
      </c>
      <c r="L149" s="457">
        <v>1240.4818790900001</v>
      </c>
      <c r="M149" s="457">
        <v>87.877229429999986</v>
      </c>
      <c r="N149" s="457">
        <v>3519.4090249200008</v>
      </c>
      <c r="O149" s="457">
        <v>113.08804877000001</v>
      </c>
    </row>
    <row r="150" spans="1:15" ht="12.75">
      <c r="A150" s="311" t="s">
        <v>29</v>
      </c>
      <c r="B150" s="457">
        <v>18542.609915009998</v>
      </c>
      <c r="C150" s="457">
        <v>976.32447814</v>
      </c>
      <c r="D150" s="457">
        <v>13505.650296169999</v>
      </c>
      <c r="E150" s="457">
        <v>767.55430122000007</v>
      </c>
      <c r="F150" s="457">
        <v>2494.1530108499996</v>
      </c>
      <c r="G150" s="457">
        <v>301.03321541000008</v>
      </c>
      <c r="H150" s="457">
        <v>11011.49728532</v>
      </c>
      <c r="I150" s="457">
        <v>466.5210858100001</v>
      </c>
      <c r="J150" s="457">
        <v>5036.9596188400001</v>
      </c>
      <c r="K150" s="457">
        <v>208.77017692000001</v>
      </c>
      <c r="L150" s="457">
        <v>1437.1988383099999</v>
      </c>
      <c r="M150" s="457">
        <v>90.635949969999984</v>
      </c>
      <c r="N150" s="457">
        <v>3599.7607805299995</v>
      </c>
      <c r="O150" s="457">
        <v>118.13422695</v>
      </c>
    </row>
    <row r="151" spans="1:15" ht="12.75">
      <c r="A151" s="311" t="s">
        <v>1816</v>
      </c>
      <c r="B151" s="456">
        <v>21730.445</v>
      </c>
      <c r="C151" s="456">
        <v>1508.4988455</v>
      </c>
      <c r="D151" s="456">
        <v>10994.5193</v>
      </c>
      <c r="E151" s="456">
        <v>840.18812631199683</v>
      </c>
      <c r="F151" s="456">
        <v>1773.8443717325883</v>
      </c>
      <c r="G151" s="456">
        <v>268.16511198448802</v>
      </c>
      <c r="H151" s="456">
        <v>9220.6749041775111</v>
      </c>
      <c r="I151" s="456">
        <v>572.02301432750892</v>
      </c>
      <c r="J151" s="456">
        <v>10735.925744528004</v>
      </c>
      <c r="K151" s="456">
        <v>668.31071918800319</v>
      </c>
      <c r="L151" s="456">
        <v>3523.4787029962263</v>
      </c>
      <c r="M151" s="456">
        <v>304.84419578622709</v>
      </c>
      <c r="N151" s="456">
        <v>7212.4470415317764</v>
      </c>
      <c r="O151" s="456">
        <v>363.46652340177616</v>
      </c>
    </row>
    <row r="152" spans="1:15" ht="12.75">
      <c r="A152" s="311" t="s">
        <v>18</v>
      </c>
      <c r="B152" s="457">
        <v>18579.8</v>
      </c>
      <c r="C152" s="457">
        <v>1030.9000000000001</v>
      </c>
      <c r="D152" s="457">
        <v>13561.4</v>
      </c>
      <c r="E152" s="457">
        <v>826.53</v>
      </c>
      <c r="F152" s="457">
        <v>2496.3440000000001</v>
      </c>
      <c r="G152" s="457">
        <v>322.65499999999997</v>
      </c>
      <c r="H152" s="457">
        <v>11065.054</v>
      </c>
      <c r="I152" s="457">
        <v>503.86799999999999</v>
      </c>
      <c r="J152" s="457">
        <v>5018.3680000000004</v>
      </c>
      <c r="K152" s="457">
        <v>204.35900000000001</v>
      </c>
      <c r="L152" s="457">
        <v>1347.3130000000001</v>
      </c>
      <c r="M152" s="457">
        <v>84.894000000000005</v>
      </c>
      <c r="N152" s="457">
        <v>3671.0540000000001</v>
      </c>
      <c r="O152" s="457">
        <v>119.464</v>
      </c>
    </row>
    <row r="153" spans="1:15" ht="12.75">
      <c r="A153" s="311" t="s">
        <v>19</v>
      </c>
      <c r="B153" s="457">
        <v>20697.2</v>
      </c>
      <c r="C153" s="457">
        <v>1138.2</v>
      </c>
      <c r="D153" s="457">
        <v>12319.4</v>
      </c>
      <c r="E153" s="457">
        <v>823.7</v>
      </c>
      <c r="F153" s="457">
        <v>2431.6999999999998</v>
      </c>
      <c r="G153" s="457">
        <v>303.89999999999998</v>
      </c>
      <c r="H153" s="457">
        <v>9887.7000000000007</v>
      </c>
      <c r="I153" s="457">
        <v>519.70000000000005</v>
      </c>
      <c r="J153" s="457">
        <v>8377.7999999999993</v>
      </c>
      <c r="K153" s="457">
        <v>314.5</v>
      </c>
      <c r="L153" s="457">
        <v>2082.8000000000002</v>
      </c>
      <c r="M153" s="457">
        <v>138.30000000000001</v>
      </c>
      <c r="N153" s="457">
        <v>6295</v>
      </c>
      <c r="O153" s="457">
        <v>176.2</v>
      </c>
    </row>
    <row r="154" spans="1:15" ht="12.75">
      <c r="A154" s="311" t="s">
        <v>20</v>
      </c>
      <c r="B154" s="457">
        <v>20632.326000000001</v>
      </c>
      <c r="C154" s="457">
        <v>1213.3209999999999</v>
      </c>
      <c r="D154" s="457">
        <v>12209.172</v>
      </c>
      <c r="E154" s="457">
        <v>851.47670000000005</v>
      </c>
      <c r="F154" s="457">
        <v>2422.6239999999998</v>
      </c>
      <c r="G154" s="457">
        <v>309.81959999999998</v>
      </c>
      <c r="H154" s="457">
        <v>9786.5478999999996</v>
      </c>
      <c r="I154" s="457">
        <v>541.65710000000001</v>
      </c>
      <c r="J154" s="457">
        <v>8423.1538</v>
      </c>
      <c r="K154" s="457">
        <v>361.84500000000003</v>
      </c>
      <c r="L154" s="457">
        <v>2163.2379999999998</v>
      </c>
      <c r="M154" s="457">
        <v>141.17609999999999</v>
      </c>
      <c r="N154" s="457">
        <v>6259.9156999999996</v>
      </c>
      <c r="O154" s="457">
        <v>220.66900000000001</v>
      </c>
    </row>
    <row r="155" spans="1:15" ht="12.75">
      <c r="A155" s="311" t="s">
        <v>21</v>
      </c>
      <c r="B155" s="457">
        <v>20595.455000000002</v>
      </c>
      <c r="C155" s="457">
        <v>1256.643</v>
      </c>
      <c r="D155" s="457">
        <v>12018.028899999999</v>
      </c>
      <c r="E155" s="457">
        <v>855.90729999999996</v>
      </c>
      <c r="F155" s="457">
        <v>2320.2347</v>
      </c>
      <c r="G155" s="457">
        <v>312.7423</v>
      </c>
      <c r="H155" s="457">
        <v>9697.7939999999999</v>
      </c>
      <c r="I155" s="457">
        <v>543.16499999999996</v>
      </c>
      <c r="J155" s="457">
        <v>8577.4259999999995</v>
      </c>
      <c r="K155" s="457">
        <v>400.7364</v>
      </c>
      <c r="L155" s="457">
        <v>2260.7620000000002</v>
      </c>
      <c r="M155" s="457">
        <v>167.51169999999999</v>
      </c>
      <c r="N155" s="457">
        <v>6316.7539999999999</v>
      </c>
      <c r="O155" s="457">
        <v>233.22470000000001</v>
      </c>
    </row>
    <row r="156" spans="1:15" ht="12.75">
      <c r="A156" s="311" t="s">
        <v>22</v>
      </c>
      <c r="B156" s="457">
        <v>20468.142632049003</v>
      </c>
      <c r="C156" s="457">
        <v>1313.1534961799998</v>
      </c>
      <c r="D156" s="457">
        <v>11729.210724309001</v>
      </c>
      <c r="E156" s="457">
        <v>917.18934189000004</v>
      </c>
      <c r="F156" s="457">
        <v>2168.9661458389996</v>
      </c>
      <c r="G156" s="457">
        <v>355.17509156000006</v>
      </c>
      <c r="H156" s="457">
        <v>9560.2445784700012</v>
      </c>
      <c r="I156" s="457">
        <v>562.01425032999998</v>
      </c>
      <c r="J156" s="457">
        <v>8738.9319077400032</v>
      </c>
      <c r="K156" s="457">
        <v>395.96415428999995</v>
      </c>
      <c r="L156" s="457">
        <v>2353.6627353000003</v>
      </c>
      <c r="M156" s="457">
        <v>163.14618628999997</v>
      </c>
      <c r="N156" s="457">
        <v>6385.2691724400011</v>
      </c>
      <c r="O156" s="457">
        <v>232.81796799999995</v>
      </c>
    </row>
    <row r="157" spans="1:15" ht="12.75">
      <c r="A157" s="311" t="s">
        <v>23</v>
      </c>
      <c r="B157" s="457">
        <v>20288.462762638999</v>
      </c>
      <c r="C157" s="457">
        <v>1338.66045882</v>
      </c>
      <c r="D157" s="457">
        <v>11519.014435448998</v>
      </c>
      <c r="E157" s="457">
        <v>920.98956297000007</v>
      </c>
      <c r="F157" s="457">
        <v>2067.2580634789997</v>
      </c>
      <c r="G157" s="457">
        <v>311.68212674</v>
      </c>
      <c r="H157" s="457">
        <v>9451.7563719700011</v>
      </c>
      <c r="I157" s="457">
        <v>609.30743623000001</v>
      </c>
      <c r="J157" s="457">
        <v>8769.4483271900026</v>
      </c>
      <c r="K157" s="457">
        <v>417.67089584999997</v>
      </c>
      <c r="L157" s="457">
        <v>2382.3034143600003</v>
      </c>
      <c r="M157" s="457">
        <v>176.55594108999998</v>
      </c>
      <c r="N157" s="457">
        <v>6387.144912830001</v>
      </c>
      <c r="O157" s="457">
        <v>241.11495475999996</v>
      </c>
    </row>
    <row r="158" spans="1:15" ht="12.75">
      <c r="A158" s="311" t="s">
        <v>24</v>
      </c>
      <c r="B158" s="457">
        <v>20187.489584469764</v>
      </c>
      <c r="C158" s="457">
        <v>1294.8200580000005</v>
      </c>
      <c r="D158" s="457">
        <v>11419.304572529763</v>
      </c>
      <c r="E158" s="457">
        <v>887.22562516000016</v>
      </c>
      <c r="F158" s="457">
        <v>2015.168344079764</v>
      </c>
      <c r="G158" s="457">
        <v>289.52077470000006</v>
      </c>
      <c r="H158" s="457">
        <v>9404.1362284499992</v>
      </c>
      <c r="I158" s="457">
        <v>597.7048504600001</v>
      </c>
      <c r="J158" s="457">
        <v>8768.1850119399987</v>
      </c>
      <c r="K158" s="457">
        <v>407.59443284000002</v>
      </c>
      <c r="L158" s="457">
        <v>2398.2357697400003</v>
      </c>
      <c r="M158" s="457">
        <v>163.12498473000002</v>
      </c>
      <c r="N158" s="457">
        <v>6369.9492422000003</v>
      </c>
      <c r="O158" s="457">
        <v>244.46944811</v>
      </c>
    </row>
    <row r="159" spans="1:15" ht="12.75">
      <c r="A159" s="311" t="s">
        <v>25</v>
      </c>
      <c r="B159" s="457">
        <v>20095.838231829763</v>
      </c>
      <c r="C159" s="457">
        <v>1333.6381339100001</v>
      </c>
      <c r="D159" s="457">
        <v>11428.864977189769</v>
      </c>
      <c r="E159" s="457">
        <v>906.68380773999979</v>
      </c>
      <c r="F159" s="457">
        <v>2029.0368484797646</v>
      </c>
      <c r="G159" s="457">
        <v>300.09978052999992</v>
      </c>
      <c r="H159" s="457">
        <v>9399.8281287100035</v>
      </c>
      <c r="I159" s="457">
        <v>606.58402720999993</v>
      </c>
      <c r="J159" s="457">
        <v>8666.973254640001</v>
      </c>
      <c r="K159" s="457">
        <v>426.95432617</v>
      </c>
      <c r="L159" s="457">
        <v>2293.62049531</v>
      </c>
      <c r="M159" s="457">
        <v>176.59869013000002</v>
      </c>
      <c r="N159" s="457">
        <v>6373.3527593300023</v>
      </c>
      <c r="O159" s="457">
        <v>250.35563604000001</v>
      </c>
    </row>
    <row r="160" spans="1:15" ht="12.75">
      <c r="A160" s="311" t="s">
        <v>26</v>
      </c>
      <c r="B160" s="457">
        <v>19113.5</v>
      </c>
      <c r="C160" s="457">
        <v>1353.7508176499998</v>
      </c>
      <c r="D160" s="457">
        <v>10682.747313299767</v>
      </c>
      <c r="E160" s="457">
        <v>910.95282502999999</v>
      </c>
      <c r="F160" s="457">
        <v>1922.0969612697638</v>
      </c>
      <c r="G160" s="457">
        <v>303.67539099999988</v>
      </c>
      <c r="H160" s="457">
        <v>8760.650352030003</v>
      </c>
      <c r="I160" s="457">
        <v>607.27743402999999</v>
      </c>
      <c r="J160" s="457">
        <v>8430.7640014400022</v>
      </c>
      <c r="K160" s="457">
        <v>442.79799262000006</v>
      </c>
      <c r="L160" s="457">
        <v>2336.2728955300008</v>
      </c>
      <c r="M160" s="457">
        <v>176.82220673999998</v>
      </c>
      <c r="N160" s="457">
        <v>6094.4911059100023</v>
      </c>
      <c r="O160" s="457">
        <v>265.97578588000005</v>
      </c>
    </row>
    <row r="161" spans="1:15" ht="12.75">
      <c r="A161" s="311" t="s">
        <v>27</v>
      </c>
      <c r="B161" s="457">
        <v>18566.400000000001</v>
      </c>
      <c r="C161" s="457">
        <v>1301.8673845200001</v>
      </c>
      <c r="D161" s="457">
        <v>11281.715901230094</v>
      </c>
      <c r="E161" s="457">
        <v>898.73483413199676</v>
      </c>
      <c r="F161" s="457">
        <v>2257.0350783825879</v>
      </c>
      <c r="G161" s="457">
        <v>287.03993420448802</v>
      </c>
      <c r="H161" s="457">
        <v>9024.6808228475074</v>
      </c>
      <c r="I161" s="457">
        <v>611.69489992750891</v>
      </c>
      <c r="J161" s="457">
        <v>7284.6994928480044</v>
      </c>
      <c r="K161" s="457">
        <v>403.13255038800315</v>
      </c>
      <c r="L161" s="457">
        <v>2090.5243450862272</v>
      </c>
      <c r="M161" s="457">
        <v>189.76545724622707</v>
      </c>
      <c r="N161" s="457">
        <v>5194.1751477617763</v>
      </c>
      <c r="O161" s="457">
        <v>213.36709314177614</v>
      </c>
    </row>
    <row r="162" spans="1:15" ht="12.75">
      <c r="A162" s="311" t="s">
        <v>28</v>
      </c>
      <c r="B162" s="457">
        <v>18744.3</v>
      </c>
      <c r="C162" s="457">
        <v>1229.5888907799997</v>
      </c>
      <c r="D162" s="457">
        <v>10893.119134640096</v>
      </c>
      <c r="E162" s="457">
        <v>846.03035844199667</v>
      </c>
      <c r="F162" s="457">
        <v>1848.7803885125882</v>
      </c>
      <c r="G162" s="457">
        <v>277.44962297448797</v>
      </c>
      <c r="H162" s="457">
        <v>9044.3387461275088</v>
      </c>
      <c r="I162" s="457">
        <v>568.58073546750882</v>
      </c>
      <c r="J162" s="457">
        <v>7851.1482972180029</v>
      </c>
      <c r="K162" s="457">
        <v>383.55853233800303</v>
      </c>
      <c r="L162" s="457">
        <v>2801.4811202762276</v>
      </c>
      <c r="M162" s="457">
        <v>184.57057678622701</v>
      </c>
      <c r="N162" s="457">
        <v>5049.6671769417753</v>
      </c>
      <c r="O162" s="457">
        <v>198.98795555177608</v>
      </c>
    </row>
    <row r="163" spans="1:15" ht="12.75">
      <c r="A163" s="311" t="s">
        <v>29</v>
      </c>
      <c r="B163" s="457">
        <v>21730.445</v>
      </c>
      <c r="C163" s="457">
        <v>1508.4988455</v>
      </c>
      <c r="D163" s="457">
        <v>10994.5193</v>
      </c>
      <c r="E163" s="457">
        <v>840.18812631199683</v>
      </c>
      <c r="F163" s="457">
        <v>1773.8443717325883</v>
      </c>
      <c r="G163" s="457">
        <v>268.16511198448802</v>
      </c>
      <c r="H163" s="457">
        <v>9220.6749041775111</v>
      </c>
      <c r="I163" s="457">
        <v>572.02301432750892</v>
      </c>
      <c r="J163" s="457">
        <v>10735.925744528004</v>
      </c>
      <c r="K163" s="457">
        <v>668.31071918800319</v>
      </c>
      <c r="L163" s="457">
        <v>3523.4787029962263</v>
      </c>
      <c r="M163" s="457">
        <v>304.84419578622709</v>
      </c>
      <c r="N163" s="457">
        <v>7212.4470415317764</v>
      </c>
      <c r="O163" s="457">
        <v>363.46652340177616</v>
      </c>
    </row>
    <row r="164" spans="1:15" ht="12.75">
      <c r="A164" s="311" t="s">
        <v>1839</v>
      </c>
      <c r="B164" s="456">
        <v>16444.561727330001</v>
      </c>
      <c r="C164" s="456">
        <v>1472.5995942200004</v>
      </c>
      <c r="D164" s="456">
        <v>8663.1322214200009</v>
      </c>
      <c r="E164" s="456">
        <v>682.40455387000009</v>
      </c>
      <c r="F164" s="456">
        <v>1362.3756578500002</v>
      </c>
      <c r="G164" s="456">
        <v>147.34122615000001</v>
      </c>
      <c r="H164" s="456">
        <v>7300.7565635700012</v>
      </c>
      <c r="I164" s="456">
        <v>535.06332772000007</v>
      </c>
      <c r="J164" s="456">
        <v>7781.4295059099995</v>
      </c>
      <c r="K164" s="456">
        <v>790.19504034999989</v>
      </c>
      <c r="L164" s="456">
        <v>2115.5578111999994</v>
      </c>
      <c r="M164" s="456">
        <v>192.85923648999997</v>
      </c>
      <c r="N164" s="456">
        <v>5665.8716947099992</v>
      </c>
      <c r="O164" s="456">
        <v>597.33580385999994</v>
      </c>
    </row>
    <row r="165" spans="1:15" ht="12.75">
      <c r="A165" s="311" t="s">
        <v>18</v>
      </c>
      <c r="B165" s="457">
        <v>21199.450080179002</v>
      </c>
      <c r="C165" s="457">
        <v>1314.6188215699999</v>
      </c>
      <c r="D165" s="457">
        <v>10188.166053848998</v>
      </c>
      <c r="E165" s="457">
        <v>659.47597757999984</v>
      </c>
      <c r="F165" s="457">
        <v>1556.6172759790002</v>
      </c>
      <c r="G165" s="457">
        <v>174.74767155999999</v>
      </c>
      <c r="H165" s="457">
        <v>8631.5487778699971</v>
      </c>
      <c r="I165" s="457">
        <v>484.72830601999982</v>
      </c>
      <c r="J165" s="457">
        <v>11011.284026330002</v>
      </c>
      <c r="K165" s="457">
        <v>655.14284399000007</v>
      </c>
      <c r="L165" s="457">
        <v>3460.8491328699997</v>
      </c>
      <c r="M165" s="457">
        <v>285.10437458000007</v>
      </c>
      <c r="N165" s="457">
        <v>7550.4348934600021</v>
      </c>
      <c r="O165" s="457">
        <v>370.03846941000006</v>
      </c>
    </row>
    <row r="166" spans="1:15" ht="12.75">
      <c r="A166" s="311" t="s">
        <v>19</v>
      </c>
      <c r="B166" s="457">
        <v>20327.413122968999</v>
      </c>
      <c r="C166" s="457">
        <v>1329.4548797100003</v>
      </c>
      <c r="D166" s="457">
        <v>10085.633747659002</v>
      </c>
      <c r="E166" s="457">
        <v>671.86305577999997</v>
      </c>
      <c r="F166" s="457">
        <v>1522.815200539</v>
      </c>
      <c r="G166" s="457">
        <v>173.82055604000001</v>
      </c>
      <c r="H166" s="457">
        <v>8562.8185471200013</v>
      </c>
      <c r="I166" s="457">
        <v>498.04249973999993</v>
      </c>
      <c r="J166" s="457">
        <v>10241.779375309998</v>
      </c>
      <c r="K166" s="457">
        <v>657.59182393000015</v>
      </c>
      <c r="L166" s="457">
        <v>3238.7067153900002</v>
      </c>
      <c r="M166" s="457">
        <v>290.94175493000006</v>
      </c>
      <c r="N166" s="457">
        <v>7003.0726599199988</v>
      </c>
      <c r="O166" s="457">
        <v>366.65006900000014</v>
      </c>
    </row>
    <row r="167" spans="1:15" ht="12.75">
      <c r="A167" s="311" t="s">
        <v>20</v>
      </c>
      <c r="B167" s="457">
        <v>19686.956662109005</v>
      </c>
      <c r="C167" s="457">
        <v>1326.5289649900001</v>
      </c>
      <c r="D167" s="457">
        <v>10029.654654539003</v>
      </c>
      <c r="E167" s="457">
        <v>691.53457663999995</v>
      </c>
      <c r="F167" s="457">
        <v>1479.0174856789999</v>
      </c>
      <c r="G167" s="457">
        <v>172.36907781999994</v>
      </c>
      <c r="H167" s="457">
        <v>8550.6371688600011</v>
      </c>
      <c r="I167" s="457">
        <v>519.16549882000004</v>
      </c>
      <c r="J167" s="457">
        <v>9657.3020075700042</v>
      </c>
      <c r="K167" s="457">
        <v>634.99438835000001</v>
      </c>
      <c r="L167" s="457">
        <v>3004.5528392300002</v>
      </c>
      <c r="M167" s="457">
        <v>284.42816813000002</v>
      </c>
      <c r="N167" s="457">
        <v>6652.7491683400031</v>
      </c>
      <c r="O167" s="457">
        <v>350.56622021999999</v>
      </c>
    </row>
    <row r="168" spans="1:15" ht="12.75">
      <c r="A168" s="311" t="s">
        <v>21</v>
      </c>
      <c r="B168" s="457">
        <v>18758.681891680004</v>
      </c>
      <c r="C168" s="457">
        <v>1381.301174834</v>
      </c>
      <c r="D168" s="457">
        <v>9723.1316309100002</v>
      </c>
      <c r="E168" s="457">
        <v>726.22112042000015</v>
      </c>
      <c r="F168" s="457">
        <v>1413.49338433</v>
      </c>
      <c r="G168" s="457">
        <v>191.97976265000003</v>
      </c>
      <c r="H168" s="457">
        <v>8309.6382465799998</v>
      </c>
      <c r="I168" s="457">
        <v>534.24135777000015</v>
      </c>
      <c r="J168" s="457">
        <v>9035.5502607700018</v>
      </c>
      <c r="K168" s="457">
        <v>655.08005441399985</v>
      </c>
      <c r="L168" s="457">
        <v>2789.67477005</v>
      </c>
      <c r="M168" s="457">
        <v>313.58154516399992</v>
      </c>
      <c r="N168" s="457">
        <v>6245.8754907200018</v>
      </c>
      <c r="O168" s="457">
        <v>341.49850924999993</v>
      </c>
    </row>
    <row r="169" spans="1:15" ht="12.75">
      <c r="A169" s="311" t="s">
        <v>22</v>
      </c>
      <c r="B169" s="457">
        <v>18197.110367269997</v>
      </c>
      <c r="C169" s="457">
        <v>1514.1593900339999</v>
      </c>
      <c r="D169" s="457">
        <v>9675.9693102999991</v>
      </c>
      <c r="E169" s="457">
        <v>777.69981674999997</v>
      </c>
      <c r="F169" s="457">
        <v>1394.6017394599999</v>
      </c>
      <c r="G169" s="457">
        <v>199.56110902999995</v>
      </c>
      <c r="H169" s="457">
        <v>8281.3675708399987</v>
      </c>
      <c r="I169" s="457">
        <v>578.13870772000007</v>
      </c>
      <c r="J169" s="457">
        <v>8521.1410569699983</v>
      </c>
      <c r="K169" s="457">
        <v>736.45957328399993</v>
      </c>
      <c r="L169" s="457">
        <v>2496.4021965099996</v>
      </c>
      <c r="M169" s="457">
        <v>331.20854962400006</v>
      </c>
      <c r="N169" s="457">
        <v>6024.7388604600001</v>
      </c>
      <c r="O169" s="457">
        <v>405.25102365999993</v>
      </c>
    </row>
    <row r="170" spans="1:15" ht="12.75">
      <c r="A170" s="311" t="s">
        <v>23</v>
      </c>
      <c r="B170" s="457">
        <v>18434.21738269</v>
      </c>
      <c r="C170" s="457">
        <v>1539.7624078840001</v>
      </c>
      <c r="D170" s="457">
        <v>9570.3603403000016</v>
      </c>
      <c r="E170" s="457">
        <v>778.96855077000009</v>
      </c>
      <c r="F170" s="457">
        <v>1406.3824855699997</v>
      </c>
      <c r="G170" s="457">
        <v>195.97412972999999</v>
      </c>
      <c r="H170" s="457">
        <v>8163.9778547300011</v>
      </c>
      <c r="I170" s="457">
        <v>582.99442104000013</v>
      </c>
      <c r="J170" s="457">
        <v>8863.8570423900001</v>
      </c>
      <c r="K170" s="457">
        <v>760.79385711399993</v>
      </c>
      <c r="L170" s="457">
        <v>2652.8948131799998</v>
      </c>
      <c r="M170" s="457">
        <v>322.56269348399996</v>
      </c>
      <c r="N170" s="457">
        <v>6210.9622292100003</v>
      </c>
      <c r="O170" s="457">
        <v>438.23116362999997</v>
      </c>
    </row>
    <row r="171" spans="1:15" ht="12.75">
      <c r="A171" s="311" t="s">
        <v>24</v>
      </c>
      <c r="B171" s="457">
        <v>16713.351003939999</v>
      </c>
      <c r="C171" s="457">
        <v>1504.4260400999999</v>
      </c>
      <c r="D171" s="457">
        <v>8643.4638444499979</v>
      </c>
      <c r="E171" s="457">
        <v>711.74818535999987</v>
      </c>
      <c r="F171" s="457">
        <v>1309.61738328</v>
      </c>
      <c r="G171" s="457">
        <v>169.56878911999999</v>
      </c>
      <c r="H171" s="457">
        <v>7333.8464611699992</v>
      </c>
      <c r="I171" s="457">
        <v>542.17939623999996</v>
      </c>
      <c r="J171" s="457">
        <v>8069.887159490002</v>
      </c>
      <c r="K171" s="457">
        <v>792.67785474000004</v>
      </c>
      <c r="L171" s="457">
        <v>2247.6001848599999</v>
      </c>
      <c r="M171" s="457">
        <v>337.25975965000003</v>
      </c>
      <c r="N171" s="457">
        <v>5822.2869746300012</v>
      </c>
      <c r="O171" s="457">
        <v>455.41809509000001</v>
      </c>
    </row>
    <row r="172" spans="1:15" ht="12.75">
      <c r="A172" s="311" t="s">
        <v>25</v>
      </c>
      <c r="B172" s="457">
        <v>16839.653401849999</v>
      </c>
      <c r="C172" s="457">
        <v>1592.87461192</v>
      </c>
      <c r="D172" s="457">
        <v>8755.1380323199992</v>
      </c>
      <c r="E172" s="457">
        <v>754.83052350000003</v>
      </c>
      <c r="F172" s="457">
        <v>1326.2400043099997</v>
      </c>
      <c r="G172" s="457">
        <v>176.38564744999996</v>
      </c>
      <c r="H172" s="457">
        <v>7428.8980280100004</v>
      </c>
      <c r="I172" s="457">
        <v>578.44487605000006</v>
      </c>
      <c r="J172" s="457">
        <v>8084.5153695300014</v>
      </c>
      <c r="K172" s="457">
        <v>838.04408841999998</v>
      </c>
      <c r="L172" s="457">
        <v>2302.1359894100005</v>
      </c>
      <c r="M172" s="457">
        <v>334.56767341999995</v>
      </c>
      <c r="N172" s="457">
        <v>5782.37938012</v>
      </c>
      <c r="O172" s="457">
        <v>503.47641500000003</v>
      </c>
    </row>
    <row r="173" spans="1:15" ht="12.75">
      <c r="A173" s="311" t="s">
        <v>26</v>
      </c>
      <c r="B173" s="457">
        <v>16785.05677386</v>
      </c>
      <c r="C173" s="457">
        <v>1597.3169740999997</v>
      </c>
      <c r="D173" s="457">
        <v>8848.0956371199991</v>
      </c>
      <c r="E173" s="457">
        <v>763.30310415000008</v>
      </c>
      <c r="F173" s="457">
        <v>1357.5237484499999</v>
      </c>
      <c r="G173" s="457">
        <v>175.02730504999997</v>
      </c>
      <c r="H173" s="457">
        <v>7490.5718886699997</v>
      </c>
      <c r="I173" s="457">
        <v>588.27579910000009</v>
      </c>
      <c r="J173" s="457">
        <v>7936.9611367400012</v>
      </c>
      <c r="K173" s="457">
        <v>834.01386994999984</v>
      </c>
      <c r="L173" s="457">
        <v>2253.8381897400004</v>
      </c>
      <c r="M173" s="457">
        <v>309.14325123999993</v>
      </c>
      <c r="N173" s="457">
        <v>5683.1229470000007</v>
      </c>
      <c r="O173" s="457">
        <v>524.87061870999992</v>
      </c>
    </row>
    <row r="174" spans="1:15" ht="12.75">
      <c r="A174" s="311" t="s">
        <v>27</v>
      </c>
      <c r="B174" s="457">
        <v>15820.03201237</v>
      </c>
      <c r="C174" s="457">
        <v>1375.5964992800004</v>
      </c>
      <c r="D174" s="457">
        <v>8509.4903532000008</v>
      </c>
      <c r="E174" s="457">
        <v>632.28516155000011</v>
      </c>
      <c r="F174" s="457">
        <v>1321.1638427299999</v>
      </c>
      <c r="G174" s="457">
        <v>154.69314312999998</v>
      </c>
      <c r="H174" s="457">
        <v>7188.3265104700013</v>
      </c>
      <c r="I174" s="457">
        <v>477.59201842000004</v>
      </c>
      <c r="J174" s="457">
        <v>7310.5416591699995</v>
      </c>
      <c r="K174" s="457">
        <v>743.31133772999999</v>
      </c>
      <c r="L174" s="457">
        <v>2001.77325453</v>
      </c>
      <c r="M174" s="457">
        <v>238.39743927999996</v>
      </c>
      <c r="N174" s="457">
        <v>5308.76840464</v>
      </c>
      <c r="O174" s="457">
        <v>504.91389845000009</v>
      </c>
    </row>
    <row r="175" spans="1:15" ht="12.75">
      <c r="A175" s="311" t="s">
        <v>28</v>
      </c>
      <c r="B175" s="457">
        <v>16275.489472970001</v>
      </c>
      <c r="C175" s="457">
        <v>1442.34083448</v>
      </c>
      <c r="D175" s="457">
        <v>8600.9950056000016</v>
      </c>
      <c r="E175" s="457">
        <v>637.85276339999996</v>
      </c>
      <c r="F175" s="457">
        <v>1332.6611324800001</v>
      </c>
      <c r="G175" s="457">
        <v>144.99699769000006</v>
      </c>
      <c r="H175" s="457">
        <v>7268.3338731200029</v>
      </c>
      <c r="I175" s="457">
        <v>492.8557657099999</v>
      </c>
      <c r="J175" s="457">
        <v>7674.4944673699993</v>
      </c>
      <c r="K175" s="457">
        <v>804.48807107999994</v>
      </c>
      <c r="L175" s="457">
        <v>2118.3361033900005</v>
      </c>
      <c r="M175" s="457">
        <v>231.39265567999999</v>
      </c>
      <c r="N175" s="457">
        <v>5556.1583639799992</v>
      </c>
      <c r="O175" s="457">
        <v>573.09541539999998</v>
      </c>
    </row>
    <row r="176" spans="1:15" ht="12.75">
      <c r="A176" s="311" t="s">
        <v>29</v>
      </c>
      <c r="B176" s="457">
        <v>16444.561727330001</v>
      </c>
      <c r="C176" s="457">
        <v>1472.5995942200004</v>
      </c>
      <c r="D176" s="457">
        <v>8663.1322214200009</v>
      </c>
      <c r="E176" s="457">
        <v>682.40455387000009</v>
      </c>
      <c r="F176" s="457">
        <v>1362.3756578500002</v>
      </c>
      <c r="G176" s="457">
        <v>147.34122615000001</v>
      </c>
      <c r="H176" s="457">
        <v>7300.7565635700012</v>
      </c>
      <c r="I176" s="457">
        <v>535.06332772000007</v>
      </c>
      <c r="J176" s="457">
        <v>7781.4295059099995</v>
      </c>
      <c r="K176" s="457">
        <v>790.19504034999989</v>
      </c>
      <c r="L176" s="457">
        <v>2115.5578111999994</v>
      </c>
      <c r="M176" s="457">
        <v>192.85923648999997</v>
      </c>
      <c r="N176" s="457">
        <v>5665.8716947099992</v>
      </c>
      <c r="O176" s="457">
        <v>597.33580385999994</v>
      </c>
    </row>
    <row r="177" spans="1:15" ht="12.75">
      <c r="A177" s="311" t="s">
        <v>1902</v>
      </c>
      <c r="B177" s="456">
        <v>11757.786958619999</v>
      </c>
      <c r="C177" s="456">
        <v>1626.7461591053998</v>
      </c>
      <c r="D177" s="456">
        <v>6953.5897436999985</v>
      </c>
      <c r="E177" s="456">
        <v>789.29033093999976</v>
      </c>
      <c r="F177" s="456">
        <v>1030.5972081899997</v>
      </c>
      <c r="G177" s="456">
        <v>164.49530154000001</v>
      </c>
      <c r="H177" s="456">
        <v>5922.9925355099986</v>
      </c>
      <c r="I177" s="456">
        <v>624.79502939999986</v>
      </c>
      <c r="J177" s="456">
        <v>4804.1972149199983</v>
      </c>
      <c r="K177" s="456">
        <v>837.45582816540002</v>
      </c>
      <c r="L177" s="456">
        <v>1070.6928773399998</v>
      </c>
      <c r="M177" s="456">
        <v>158.68022948539999</v>
      </c>
      <c r="N177" s="456">
        <v>3733.5043375799996</v>
      </c>
      <c r="O177" s="456">
        <v>678.77559868000003</v>
      </c>
    </row>
    <row r="178" spans="1:15" ht="12.75">
      <c r="A178" s="311" t="s">
        <v>18</v>
      </c>
      <c r="B178" s="457">
        <v>16705.157127140879</v>
      </c>
      <c r="C178" s="457">
        <v>1633.0919814715185</v>
      </c>
      <c r="D178" s="457">
        <v>8406.8374419008796</v>
      </c>
      <c r="E178" s="457">
        <v>738.90777888151854</v>
      </c>
      <c r="F178" s="457">
        <v>1326.6919450130006</v>
      </c>
      <c r="G178" s="457">
        <v>159.66485175956439</v>
      </c>
      <c r="H178" s="457">
        <v>7080.1454968878797</v>
      </c>
      <c r="I178" s="457">
        <v>579.24292712195415</v>
      </c>
      <c r="J178" s="457">
        <v>8298.3196852399979</v>
      </c>
      <c r="K178" s="457">
        <v>894.18420258999993</v>
      </c>
      <c r="L178" s="457">
        <v>2256.9233878599994</v>
      </c>
      <c r="M178" s="457">
        <v>214.45859174</v>
      </c>
      <c r="N178" s="457">
        <v>6041.3962973799999</v>
      </c>
      <c r="O178" s="457">
        <v>679.72561084999995</v>
      </c>
    </row>
    <row r="179" spans="1:15" ht="12.75">
      <c r="A179" s="311" t="s">
        <v>19</v>
      </c>
      <c r="B179" s="457">
        <v>15878.566380650882</v>
      </c>
      <c r="C179" s="457">
        <v>1556.4403998315188</v>
      </c>
      <c r="D179" s="457">
        <v>8356.1138446908844</v>
      </c>
      <c r="E179" s="457">
        <v>703.04478671151855</v>
      </c>
      <c r="F179" s="457">
        <v>1302.2769203730004</v>
      </c>
      <c r="G179" s="457">
        <v>156.4857632795644</v>
      </c>
      <c r="H179" s="457">
        <v>7053.8369243178822</v>
      </c>
      <c r="I179" s="457">
        <v>546.55902343195407</v>
      </c>
      <c r="J179" s="457">
        <v>7522.4525359599993</v>
      </c>
      <c r="K179" s="457">
        <v>853.39561312000012</v>
      </c>
      <c r="L179" s="457">
        <v>2051.8464358199999</v>
      </c>
      <c r="M179" s="457">
        <v>198.89207520999997</v>
      </c>
      <c r="N179" s="457">
        <v>5470.6061001400003</v>
      </c>
      <c r="O179" s="457">
        <v>654.50353791000009</v>
      </c>
    </row>
    <row r="180" spans="1:15" ht="12.75">
      <c r="A180" s="311" t="s">
        <v>20</v>
      </c>
      <c r="B180" s="457">
        <v>15533.337990800879</v>
      </c>
      <c r="C180" s="457">
        <v>1590.3156047015189</v>
      </c>
      <c r="D180" s="457">
        <v>8128.4094061208816</v>
      </c>
      <c r="E180" s="457">
        <v>719.86092461151861</v>
      </c>
      <c r="F180" s="457">
        <v>1310.4097331730004</v>
      </c>
      <c r="G180" s="457">
        <v>163.3265221495644</v>
      </c>
      <c r="H180" s="457">
        <v>6817.9996729478817</v>
      </c>
      <c r="I180" s="457">
        <v>556.5344024619543</v>
      </c>
      <c r="J180" s="457">
        <v>7404.9285846799994</v>
      </c>
      <c r="K180" s="457">
        <v>870.4546800899999</v>
      </c>
      <c r="L180" s="457">
        <v>2037.5064844000001</v>
      </c>
      <c r="M180" s="457">
        <v>201.06621921000004</v>
      </c>
      <c r="N180" s="457">
        <v>5367.4221002799995</v>
      </c>
      <c r="O180" s="457">
        <v>669.38846088000003</v>
      </c>
    </row>
    <row r="181" spans="1:15" ht="12.75">
      <c r="A181" s="311" t="s">
        <v>21</v>
      </c>
      <c r="B181" s="457">
        <v>15453.511481964539</v>
      </c>
      <c r="C181" s="457">
        <v>1594.0350948091698</v>
      </c>
      <c r="D181" s="457">
        <v>8034.6572523110972</v>
      </c>
      <c r="E181" s="457">
        <v>724.79063433306214</v>
      </c>
      <c r="F181" s="457">
        <v>1266.3008990532153</v>
      </c>
      <c r="G181" s="457">
        <v>169.22549568321534</v>
      </c>
      <c r="H181" s="457">
        <v>6768.3563532578828</v>
      </c>
      <c r="I181" s="457">
        <v>555.56513864984663</v>
      </c>
      <c r="J181" s="457">
        <v>7418.8542296534406</v>
      </c>
      <c r="K181" s="457">
        <v>869.24446047610786</v>
      </c>
      <c r="L181" s="457">
        <v>2149.0736775534428</v>
      </c>
      <c r="M181" s="457">
        <v>189.46289907610796</v>
      </c>
      <c r="N181" s="457">
        <v>5269.7805520999973</v>
      </c>
      <c r="O181" s="457">
        <v>679.78156139999987</v>
      </c>
    </row>
    <row r="182" spans="1:15" ht="12.75">
      <c r="A182" s="311" t="s">
        <v>22</v>
      </c>
      <c r="B182" s="457">
        <v>14794.00497369454</v>
      </c>
      <c r="C182" s="457">
        <v>1739.7585750491703</v>
      </c>
      <c r="D182" s="457">
        <v>8025.7464192210964</v>
      </c>
      <c r="E182" s="457">
        <v>858.14408161306221</v>
      </c>
      <c r="F182" s="457">
        <v>1244.9710807432155</v>
      </c>
      <c r="G182" s="457">
        <v>166.1320760132154</v>
      </c>
      <c r="H182" s="457">
        <v>6780.7753384778807</v>
      </c>
      <c r="I182" s="457">
        <v>692.01200559984659</v>
      </c>
      <c r="J182" s="457">
        <v>6768.2585544734447</v>
      </c>
      <c r="K182" s="457">
        <v>881.61449343610809</v>
      </c>
      <c r="L182" s="457">
        <v>1774.7860856934417</v>
      </c>
      <c r="M182" s="457">
        <v>194.23793116610801</v>
      </c>
      <c r="N182" s="457">
        <v>4993.4724687800017</v>
      </c>
      <c r="O182" s="457">
        <v>687.37656227000002</v>
      </c>
    </row>
    <row r="183" spans="1:15" ht="12.75">
      <c r="A183" s="311" t="s">
        <v>23</v>
      </c>
      <c r="B183" s="457">
        <v>13881.99544171454</v>
      </c>
      <c r="C183" s="457">
        <v>1810.7102516691702</v>
      </c>
      <c r="D183" s="457">
        <v>7960.9185650810969</v>
      </c>
      <c r="E183" s="457">
        <v>917.26046386306223</v>
      </c>
      <c r="F183" s="457">
        <v>1224.6034322732153</v>
      </c>
      <c r="G183" s="457">
        <v>179.14415172321534</v>
      </c>
      <c r="H183" s="457">
        <v>6736.3151328078811</v>
      </c>
      <c r="I183" s="457">
        <v>738.11631213984685</v>
      </c>
      <c r="J183" s="457">
        <v>5921.0768766334413</v>
      </c>
      <c r="K183" s="457">
        <v>893.44978780610802</v>
      </c>
      <c r="L183" s="457">
        <v>1631.8814894434415</v>
      </c>
      <c r="M183" s="457">
        <v>201.061982116108</v>
      </c>
      <c r="N183" s="457">
        <v>4289.1953871899996</v>
      </c>
      <c r="O183" s="457">
        <v>692.38780568999994</v>
      </c>
    </row>
    <row r="184" spans="1:15" ht="12.75">
      <c r="A184" s="311" t="s">
        <v>24</v>
      </c>
      <c r="B184" s="457">
        <v>12860.844876327881</v>
      </c>
      <c r="C184" s="457">
        <v>1812.8083793878807</v>
      </c>
      <c r="D184" s="457">
        <v>7256.6418725278827</v>
      </c>
      <c r="E184" s="457">
        <v>923.86427128788068</v>
      </c>
      <c r="F184" s="457">
        <v>1099.2882632600001</v>
      </c>
      <c r="G184" s="457">
        <v>165.68493056070409</v>
      </c>
      <c r="H184" s="457">
        <v>6157.3536092678823</v>
      </c>
      <c r="I184" s="457">
        <v>758.17934072717662</v>
      </c>
      <c r="J184" s="457">
        <v>5604.2030037999984</v>
      </c>
      <c r="K184" s="457">
        <v>888.94410809999999</v>
      </c>
      <c r="L184" s="457">
        <v>1425.1969315099996</v>
      </c>
      <c r="M184" s="457">
        <v>187.40533519999997</v>
      </c>
      <c r="N184" s="457">
        <v>4179.006072289998</v>
      </c>
      <c r="O184" s="457">
        <v>701.53877289999991</v>
      </c>
    </row>
    <row r="185" spans="1:15" ht="12.75">
      <c r="A185" s="311" t="s">
        <v>25</v>
      </c>
      <c r="B185" s="457">
        <v>12376.603710087882</v>
      </c>
      <c r="C185" s="457">
        <v>1823.9887068678806</v>
      </c>
      <c r="D185" s="457">
        <v>7222.3307909578807</v>
      </c>
      <c r="E185" s="457">
        <v>926.56528997788064</v>
      </c>
      <c r="F185" s="457">
        <v>1078.8362983</v>
      </c>
      <c r="G185" s="457">
        <v>160.1798610207041</v>
      </c>
      <c r="H185" s="457">
        <v>6143.4944926578819</v>
      </c>
      <c r="I185" s="457">
        <v>766.38542895717637</v>
      </c>
      <c r="J185" s="457">
        <v>5154.2729191300014</v>
      </c>
      <c r="K185" s="457">
        <v>897.42341689</v>
      </c>
      <c r="L185" s="457">
        <v>1276.8587946700002</v>
      </c>
      <c r="M185" s="457">
        <v>190.28141313999998</v>
      </c>
      <c r="N185" s="457">
        <v>3877.41412446</v>
      </c>
      <c r="O185" s="457">
        <v>707.14200374999996</v>
      </c>
    </row>
    <row r="186" spans="1:15" ht="12.75">
      <c r="A186" s="311" t="s">
        <v>26</v>
      </c>
      <c r="B186" s="457">
        <v>12437.248015267882</v>
      </c>
      <c r="C186" s="457">
        <v>1857.1320464578807</v>
      </c>
      <c r="D186" s="457">
        <v>7214.743501477883</v>
      </c>
      <c r="E186" s="457">
        <v>949.01266131788066</v>
      </c>
      <c r="F186" s="457">
        <v>1081.9130548800001</v>
      </c>
      <c r="G186" s="457">
        <v>163.59363310070412</v>
      </c>
      <c r="H186" s="457">
        <v>6132.8304465978827</v>
      </c>
      <c r="I186" s="457">
        <v>785.41902821717645</v>
      </c>
      <c r="J186" s="457">
        <v>5222.5045137900006</v>
      </c>
      <c r="K186" s="457">
        <v>908.11938514000019</v>
      </c>
      <c r="L186" s="457">
        <v>1368.7497354099994</v>
      </c>
      <c r="M186" s="457">
        <v>185.97982214000001</v>
      </c>
      <c r="N186" s="457">
        <v>3853.7547783800005</v>
      </c>
      <c r="O186" s="457">
        <v>722.13956300000007</v>
      </c>
    </row>
    <row r="187" spans="1:15" ht="12.75">
      <c r="A187" s="311" t="s">
        <v>27</v>
      </c>
      <c r="B187" s="457">
        <v>12152.182179499998</v>
      </c>
      <c r="C187" s="457">
        <v>1889.6276242253998</v>
      </c>
      <c r="D187" s="457">
        <v>7153.22834444</v>
      </c>
      <c r="E187" s="457">
        <v>945.00457463000021</v>
      </c>
      <c r="F187" s="457">
        <v>1063.5645195600002</v>
      </c>
      <c r="G187" s="457">
        <v>165.24081436999998</v>
      </c>
      <c r="H187" s="457">
        <v>6089.6638248799991</v>
      </c>
      <c r="I187" s="457">
        <v>779.76376026000014</v>
      </c>
      <c r="J187" s="457">
        <v>4998.9538350600005</v>
      </c>
      <c r="K187" s="457">
        <v>944.62304959539972</v>
      </c>
      <c r="L187" s="457">
        <v>1219.6603727700001</v>
      </c>
      <c r="M187" s="457">
        <v>212.9228083154</v>
      </c>
      <c r="N187" s="457">
        <v>3779.2934622900002</v>
      </c>
      <c r="O187" s="457">
        <v>731.70024127999989</v>
      </c>
    </row>
    <row r="188" spans="1:15" ht="12.75">
      <c r="A188" s="311" t="s">
        <v>28</v>
      </c>
      <c r="B188" s="457">
        <v>12226.17449557</v>
      </c>
      <c r="C188" s="457">
        <v>1890.3338067754</v>
      </c>
      <c r="D188" s="457">
        <v>7258.3829039399998</v>
      </c>
      <c r="E188" s="457">
        <v>971.42422765999981</v>
      </c>
      <c r="F188" s="457">
        <v>1146.8273574099999</v>
      </c>
      <c r="G188" s="457">
        <v>169.32102718000004</v>
      </c>
      <c r="H188" s="457">
        <v>6111.5555465299994</v>
      </c>
      <c r="I188" s="457">
        <v>802.10320047999983</v>
      </c>
      <c r="J188" s="457">
        <v>4967.7915916299999</v>
      </c>
      <c r="K188" s="457">
        <v>918.90957911539999</v>
      </c>
      <c r="L188" s="457">
        <v>1207.1087038500007</v>
      </c>
      <c r="M188" s="457">
        <v>194.54984400540002</v>
      </c>
      <c r="N188" s="457">
        <v>3760.6828877799999</v>
      </c>
      <c r="O188" s="457">
        <v>724.35973510999986</v>
      </c>
    </row>
    <row r="189" spans="1:15" ht="12.75">
      <c r="A189" s="311" t="s">
        <v>29</v>
      </c>
      <c r="B189" s="457">
        <v>11757.786958619999</v>
      </c>
      <c r="C189" s="457">
        <v>1626.7461591053998</v>
      </c>
      <c r="D189" s="457">
        <v>6953.5897436999985</v>
      </c>
      <c r="E189" s="457">
        <v>789.29033093999976</v>
      </c>
      <c r="F189" s="457">
        <v>1030.5972081899997</v>
      </c>
      <c r="G189" s="457">
        <v>164.49530154000001</v>
      </c>
      <c r="H189" s="457">
        <v>5922.9925355099986</v>
      </c>
      <c r="I189" s="457">
        <v>624.79502939999986</v>
      </c>
      <c r="J189" s="457">
        <v>4804.1972149199983</v>
      </c>
      <c r="K189" s="457">
        <v>837.45582816540002</v>
      </c>
      <c r="L189" s="457">
        <v>1070.6928773399998</v>
      </c>
      <c r="M189" s="457">
        <v>158.68022948539999</v>
      </c>
      <c r="N189" s="457">
        <v>3733.5043375799996</v>
      </c>
      <c r="O189" s="457">
        <v>678.77559868000003</v>
      </c>
    </row>
    <row r="190" spans="1:15" ht="12.75">
      <c r="A190" s="311" t="s">
        <v>2038</v>
      </c>
      <c r="B190" s="456">
        <v>13020.303367349998</v>
      </c>
      <c r="C190" s="456">
        <v>1584.9974706609999</v>
      </c>
      <c r="D190" s="456">
        <v>8073.5671271899982</v>
      </c>
      <c r="E190" s="456">
        <v>774.13947971999994</v>
      </c>
      <c r="F190" s="456">
        <v>1510.2206357500002</v>
      </c>
      <c r="G190" s="456">
        <v>157.89208671</v>
      </c>
      <c r="H190" s="456">
        <v>6563.3464914399992</v>
      </c>
      <c r="I190" s="456">
        <v>616.24739301</v>
      </c>
      <c r="J190" s="456">
        <v>4946.7362401599985</v>
      </c>
      <c r="K190" s="456">
        <v>810.85799094099991</v>
      </c>
      <c r="L190" s="456">
        <v>1184.9242434799994</v>
      </c>
      <c r="M190" s="456">
        <v>171.43400337100002</v>
      </c>
      <c r="N190" s="456">
        <v>3761.8119966799991</v>
      </c>
      <c r="O190" s="456">
        <v>639.42398756999989</v>
      </c>
    </row>
    <row r="191" spans="1:15" ht="12.75">
      <c r="A191" s="311" t="s">
        <v>18</v>
      </c>
      <c r="B191" s="457">
        <v>11656.14158343001</v>
      </c>
      <c r="C191" s="457">
        <v>1695.9035093999998</v>
      </c>
      <c r="D191" s="457">
        <v>6899.8575762100081</v>
      </c>
      <c r="E191" s="457">
        <v>806.94858805000001</v>
      </c>
      <c r="F191" s="457">
        <v>1037.3729399100077</v>
      </c>
      <c r="G191" s="457">
        <v>169.22575592999999</v>
      </c>
      <c r="H191" s="457">
        <v>5862.4846363000006</v>
      </c>
      <c r="I191" s="457">
        <v>637.72283211999991</v>
      </c>
      <c r="J191" s="457">
        <v>4756.2840072199997</v>
      </c>
      <c r="K191" s="457">
        <v>888.95492135000018</v>
      </c>
      <c r="L191" s="457">
        <v>1118.75083559</v>
      </c>
      <c r="M191" s="457">
        <v>198.23642109000002</v>
      </c>
      <c r="N191" s="457">
        <v>3637.5331716299993</v>
      </c>
      <c r="O191" s="457">
        <v>690.71850026000016</v>
      </c>
    </row>
    <row r="192" spans="1:15" ht="12.75">
      <c r="A192" s="311" t="s">
        <v>19</v>
      </c>
      <c r="B192" s="457">
        <v>11561.095831580009</v>
      </c>
      <c r="C192" s="457">
        <v>1700.8734333599998</v>
      </c>
      <c r="D192" s="457">
        <v>7007.31616846001</v>
      </c>
      <c r="E192" s="457">
        <v>807.69973873999993</v>
      </c>
      <c r="F192" s="457">
        <v>1068.5490164500079</v>
      </c>
      <c r="G192" s="457">
        <v>168.36786457000002</v>
      </c>
      <c r="H192" s="457">
        <v>5938.7671520100021</v>
      </c>
      <c r="I192" s="457">
        <v>639.33187416999999</v>
      </c>
      <c r="J192" s="457">
        <v>4553.7796631199999</v>
      </c>
      <c r="K192" s="457">
        <v>893.17369462000011</v>
      </c>
      <c r="L192" s="457">
        <v>1076.9273256299998</v>
      </c>
      <c r="M192" s="457">
        <v>203.1742639</v>
      </c>
      <c r="N192" s="457">
        <v>3476.8523374899996</v>
      </c>
      <c r="O192" s="457">
        <v>689.99943071999996</v>
      </c>
    </row>
    <row r="193" spans="1:15" ht="12.75">
      <c r="A193" s="311" t="s">
        <v>20</v>
      </c>
      <c r="B193" s="457">
        <v>11663.483887770006</v>
      </c>
      <c r="C193" s="457">
        <v>1710.2045596400001</v>
      </c>
      <c r="D193" s="457">
        <v>7058.4268231200094</v>
      </c>
      <c r="E193" s="457">
        <v>817.86198172000013</v>
      </c>
      <c r="F193" s="457">
        <v>1081.7079281200076</v>
      </c>
      <c r="G193" s="457">
        <v>171.05993385000002</v>
      </c>
      <c r="H193" s="457">
        <v>5976.7188950000027</v>
      </c>
      <c r="I193" s="457">
        <v>646.80204787000014</v>
      </c>
      <c r="J193" s="457">
        <v>4605.05706465</v>
      </c>
      <c r="K193" s="457">
        <v>892.34257791999994</v>
      </c>
      <c r="L193" s="457">
        <v>1165.9694041799999</v>
      </c>
      <c r="M193" s="457">
        <v>198.86482843000002</v>
      </c>
      <c r="N193" s="457">
        <v>3439.0876604700011</v>
      </c>
      <c r="O193" s="457">
        <v>693.47774948999995</v>
      </c>
    </row>
    <row r="194" spans="1:15" ht="12.75">
      <c r="A194" s="311" t="s">
        <v>21</v>
      </c>
      <c r="B194" s="457">
        <v>11815.783021537001</v>
      </c>
      <c r="C194" s="457">
        <v>1708.8377681700001</v>
      </c>
      <c r="D194" s="457">
        <v>7181.2950288070006</v>
      </c>
      <c r="E194" s="457">
        <v>831.45422497000004</v>
      </c>
      <c r="F194" s="457">
        <v>1133.7525029399999</v>
      </c>
      <c r="G194" s="457">
        <v>181.7665117</v>
      </c>
      <c r="H194" s="457">
        <v>6047.5425258669993</v>
      </c>
      <c r="I194" s="457">
        <v>649.68771327000002</v>
      </c>
      <c r="J194" s="457">
        <v>4634.4879927300008</v>
      </c>
      <c r="K194" s="457">
        <v>877.38354319999996</v>
      </c>
      <c r="L194" s="457">
        <v>1165.6601106199998</v>
      </c>
      <c r="M194" s="457">
        <v>194.43246153000001</v>
      </c>
      <c r="N194" s="457">
        <v>3468.8278821100012</v>
      </c>
      <c r="O194" s="457">
        <v>682.95108167000001</v>
      </c>
    </row>
    <row r="195" spans="1:15" ht="12.75">
      <c r="A195" s="311" t="s">
        <v>22</v>
      </c>
      <c r="B195" s="457">
        <v>11945.500793076999</v>
      </c>
      <c r="C195" s="457">
        <v>1710.7977509899999</v>
      </c>
      <c r="D195" s="457">
        <v>7331.5965373769995</v>
      </c>
      <c r="E195" s="457">
        <v>833.06061491999992</v>
      </c>
      <c r="F195" s="457">
        <v>1172.5855758599998</v>
      </c>
      <c r="G195" s="457">
        <v>177.67665792999998</v>
      </c>
      <c r="H195" s="457">
        <v>6159.0109615169995</v>
      </c>
      <c r="I195" s="457">
        <v>655.38395699</v>
      </c>
      <c r="J195" s="457">
        <v>4613.9042556999984</v>
      </c>
      <c r="K195" s="457">
        <v>877.73713606999991</v>
      </c>
      <c r="L195" s="457">
        <v>1171.0941845499995</v>
      </c>
      <c r="M195" s="457">
        <v>194.54116195</v>
      </c>
      <c r="N195" s="457">
        <v>3442.8100711499997</v>
      </c>
      <c r="O195" s="457">
        <v>683.19597411999985</v>
      </c>
    </row>
    <row r="196" spans="1:15" ht="12.75">
      <c r="A196" s="311" t="s">
        <v>23</v>
      </c>
      <c r="B196" s="457">
        <v>12105.576494017001</v>
      </c>
      <c r="C196" s="457">
        <v>1745.7337322799999</v>
      </c>
      <c r="D196" s="457">
        <v>7425.3619326270009</v>
      </c>
      <c r="E196" s="457">
        <v>836.76757817000009</v>
      </c>
      <c r="F196" s="457">
        <v>1192.1831654300001</v>
      </c>
      <c r="G196" s="457">
        <v>180.35390278</v>
      </c>
      <c r="H196" s="457">
        <v>6233.1787671970005</v>
      </c>
      <c r="I196" s="457">
        <v>656.41367539000009</v>
      </c>
      <c r="J196" s="457">
        <v>4680.2145613899993</v>
      </c>
      <c r="K196" s="457">
        <v>908.96615411000005</v>
      </c>
      <c r="L196" s="457">
        <v>1173.6531892699998</v>
      </c>
      <c r="M196" s="457">
        <v>213.28008883999999</v>
      </c>
      <c r="N196" s="457">
        <v>3506.5613721199993</v>
      </c>
      <c r="O196" s="457">
        <v>695.68606526999997</v>
      </c>
    </row>
    <row r="197" spans="1:15" ht="12.75">
      <c r="A197" s="311" t="s">
        <v>24</v>
      </c>
      <c r="B197" s="457">
        <v>12170.671456159997</v>
      </c>
      <c r="C197" s="457">
        <v>1782.0547715499999</v>
      </c>
      <c r="D197" s="457">
        <v>7501.1721621600018</v>
      </c>
      <c r="E197" s="457">
        <v>845.50284094999995</v>
      </c>
      <c r="F197" s="457">
        <v>1210.7751387100002</v>
      </c>
      <c r="G197" s="457">
        <v>177.91094719</v>
      </c>
      <c r="H197" s="457">
        <v>6290.3970234500021</v>
      </c>
      <c r="I197" s="457">
        <v>667.59189376000006</v>
      </c>
      <c r="J197" s="457">
        <v>4669.4992940000002</v>
      </c>
      <c r="K197" s="457">
        <v>936.55193059999999</v>
      </c>
      <c r="L197" s="457">
        <v>1176.0244757500002</v>
      </c>
      <c r="M197" s="457">
        <v>213.96510317999997</v>
      </c>
      <c r="N197" s="457">
        <v>3493.4748182500002</v>
      </c>
      <c r="O197" s="457">
        <v>722.58682741999996</v>
      </c>
    </row>
    <row r="198" spans="1:15" ht="12.75">
      <c r="A198" s="311" t="s">
        <v>25</v>
      </c>
      <c r="B198" s="457">
        <v>12306.538666899998</v>
      </c>
      <c r="C198" s="457">
        <v>1772.4388613299998</v>
      </c>
      <c r="D198" s="457">
        <v>7623.1701698799998</v>
      </c>
      <c r="E198" s="457">
        <v>846.76278944999979</v>
      </c>
      <c r="F198" s="457">
        <v>1257.3440637699998</v>
      </c>
      <c r="G198" s="457">
        <v>175.90146439999998</v>
      </c>
      <c r="H198" s="457">
        <v>6365.8261061100002</v>
      </c>
      <c r="I198" s="457">
        <v>670.86132504999989</v>
      </c>
      <c r="J198" s="457">
        <v>4683.3684970199984</v>
      </c>
      <c r="K198" s="457">
        <v>925.67607187999988</v>
      </c>
      <c r="L198" s="457">
        <v>1175.7633969799992</v>
      </c>
      <c r="M198" s="457">
        <v>194.64872075000002</v>
      </c>
      <c r="N198" s="457">
        <v>3507.6051000399998</v>
      </c>
      <c r="O198" s="457">
        <v>731.02735112999983</v>
      </c>
    </row>
    <row r="199" spans="1:15" ht="12.75">
      <c r="A199" s="311" t="s">
        <v>26</v>
      </c>
      <c r="B199" s="457">
        <v>12302.424515589997</v>
      </c>
      <c r="C199" s="457">
        <v>1748.6649660999997</v>
      </c>
      <c r="D199" s="457">
        <v>7557.2176146999982</v>
      </c>
      <c r="E199" s="457">
        <v>827.15486636999981</v>
      </c>
      <c r="F199" s="457">
        <v>1286.7306070199998</v>
      </c>
      <c r="G199" s="457">
        <v>174.74539154999999</v>
      </c>
      <c r="H199" s="457">
        <v>6270.4870076799989</v>
      </c>
      <c r="I199" s="457">
        <v>652.4094748199999</v>
      </c>
      <c r="J199" s="457">
        <v>4745.206900889998</v>
      </c>
      <c r="K199" s="457">
        <v>921.51009972999987</v>
      </c>
      <c r="L199" s="457">
        <v>1176.7396855099996</v>
      </c>
      <c r="M199" s="457">
        <v>183.91100592000004</v>
      </c>
      <c r="N199" s="457">
        <v>3568.4672153799988</v>
      </c>
      <c r="O199" s="457">
        <v>737.59909380999989</v>
      </c>
    </row>
    <row r="200" spans="1:15" ht="12.75">
      <c r="A200" s="311" t="s">
        <v>27</v>
      </c>
      <c r="B200" s="457">
        <v>12281.298870979996</v>
      </c>
      <c r="C200" s="457">
        <v>1698.5633427609998</v>
      </c>
      <c r="D200" s="457">
        <v>7639.5914988799977</v>
      </c>
      <c r="E200" s="457">
        <v>821.05281990000003</v>
      </c>
      <c r="F200" s="457">
        <v>1303.6124795599999</v>
      </c>
      <c r="G200" s="457">
        <v>172.02876626</v>
      </c>
      <c r="H200" s="457">
        <v>6335.9790193199988</v>
      </c>
      <c r="I200" s="457">
        <v>649.02405364000003</v>
      </c>
      <c r="J200" s="457">
        <v>4641.7073720999988</v>
      </c>
      <c r="K200" s="457">
        <v>877.51052286099991</v>
      </c>
      <c r="L200" s="457">
        <v>1198.5748110599995</v>
      </c>
      <c r="M200" s="457">
        <v>170.90738550099999</v>
      </c>
      <c r="N200" s="457">
        <v>3443.1325610399986</v>
      </c>
      <c r="O200" s="457">
        <v>706.60313735999978</v>
      </c>
    </row>
    <row r="201" spans="1:15" ht="12.75">
      <c r="A201" s="311" t="s">
        <v>28</v>
      </c>
      <c r="B201" s="457">
        <v>12564.150743229999</v>
      </c>
      <c r="C201" s="457">
        <v>1688.6722504009999</v>
      </c>
      <c r="D201" s="457">
        <v>7891.2759117999985</v>
      </c>
      <c r="E201" s="457">
        <v>818.17596376000017</v>
      </c>
      <c r="F201" s="457">
        <v>1501.6655426999998</v>
      </c>
      <c r="G201" s="457">
        <v>170.91501371000001</v>
      </c>
      <c r="H201" s="457">
        <v>6389.6103690999998</v>
      </c>
      <c r="I201" s="457">
        <v>647.26095005000013</v>
      </c>
      <c r="J201" s="457">
        <v>4672.8748314299992</v>
      </c>
      <c r="K201" s="457">
        <v>870.49628664099987</v>
      </c>
      <c r="L201" s="457">
        <v>1192.2946022900003</v>
      </c>
      <c r="M201" s="457">
        <v>169.894807321</v>
      </c>
      <c r="N201" s="457">
        <v>3480.58022914</v>
      </c>
      <c r="O201" s="457">
        <v>700.60147931999984</v>
      </c>
    </row>
    <row r="202" spans="1:15" ht="12.75">
      <c r="A202" s="311" t="s">
        <v>29</v>
      </c>
      <c r="B202" s="457">
        <v>13020.303367349998</v>
      </c>
      <c r="C202" s="457">
        <v>1584.9974706609999</v>
      </c>
      <c r="D202" s="457">
        <v>8073.5671271899982</v>
      </c>
      <c r="E202" s="457">
        <v>774.13947971999994</v>
      </c>
      <c r="F202" s="457">
        <v>1510.2206357500002</v>
      </c>
      <c r="G202" s="457">
        <v>157.89208671</v>
      </c>
      <c r="H202" s="457">
        <v>6563.3464914399992</v>
      </c>
      <c r="I202" s="457">
        <v>616.24739301</v>
      </c>
      <c r="J202" s="457">
        <v>4946.7362401599985</v>
      </c>
      <c r="K202" s="457">
        <v>810.85799094099991</v>
      </c>
      <c r="L202" s="457">
        <v>1184.9242434799994</v>
      </c>
      <c r="M202" s="457">
        <v>171.43400337100002</v>
      </c>
      <c r="N202" s="457">
        <v>3761.8119966799991</v>
      </c>
      <c r="O202" s="457">
        <v>639.42398756999989</v>
      </c>
    </row>
    <row r="203" spans="1:15" ht="12.75">
      <c r="A203" s="311" t="s">
        <v>2131</v>
      </c>
      <c r="B203" s="456">
        <v>15298.183505950001</v>
      </c>
      <c r="C203" s="456">
        <v>1273.0674075999998</v>
      </c>
      <c r="D203" s="456">
        <v>10000.82224388</v>
      </c>
      <c r="E203" s="456">
        <v>702.40343936999989</v>
      </c>
      <c r="F203" s="456">
        <v>1659.59703459</v>
      </c>
      <c r="G203" s="456">
        <v>106.04795082000001</v>
      </c>
      <c r="H203" s="456">
        <v>8341.2252092899998</v>
      </c>
      <c r="I203" s="456">
        <v>596.35548855000002</v>
      </c>
      <c r="J203" s="456">
        <v>5297.3612620700005</v>
      </c>
      <c r="K203" s="456">
        <v>570.66396823000002</v>
      </c>
      <c r="L203" s="456">
        <v>1259.1192320000002</v>
      </c>
      <c r="M203" s="456">
        <v>119.98133505000001</v>
      </c>
      <c r="N203" s="456">
        <v>4038.2420300700005</v>
      </c>
      <c r="O203" s="456">
        <v>450.68263317999998</v>
      </c>
    </row>
    <row r="204" spans="1:15" ht="12.75">
      <c r="A204" s="311" t="s">
        <v>18</v>
      </c>
      <c r="B204" s="457">
        <v>12884.65325369156</v>
      </c>
      <c r="C204" s="457">
        <v>1569.3794872799997</v>
      </c>
      <c r="D204" s="457">
        <v>8063.5535689915605</v>
      </c>
      <c r="E204" s="457">
        <v>776.28640919999975</v>
      </c>
      <c r="F204" s="457">
        <v>1482.4018023415622</v>
      </c>
      <c r="G204" s="457">
        <v>136.4569817</v>
      </c>
      <c r="H204" s="457">
        <v>6581.1517666499985</v>
      </c>
      <c r="I204" s="457">
        <v>639.82942749999972</v>
      </c>
      <c r="J204" s="457">
        <v>4821.0996846999988</v>
      </c>
      <c r="K204" s="457">
        <v>793.09307807999994</v>
      </c>
      <c r="L204" s="457">
        <v>1099.8912547299997</v>
      </c>
      <c r="M204" s="457">
        <v>147.43642731</v>
      </c>
      <c r="N204" s="457">
        <v>3721.2084299699995</v>
      </c>
      <c r="O204" s="457">
        <v>645.65665077000006</v>
      </c>
    </row>
    <row r="205" spans="1:15" ht="12.75">
      <c r="A205" s="311" t="s">
        <v>19</v>
      </c>
      <c r="B205" s="457">
        <v>12974.579268571562</v>
      </c>
      <c r="C205" s="457">
        <v>1574.7213720900002</v>
      </c>
      <c r="D205" s="457">
        <v>8166.9371882915639</v>
      </c>
      <c r="E205" s="457">
        <v>782.2913887000002</v>
      </c>
      <c r="F205" s="457">
        <v>1480.7189125415621</v>
      </c>
      <c r="G205" s="457">
        <v>138.71099382999998</v>
      </c>
      <c r="H205" s="457">
        <v>6686.2182757500013</v>
      </c>
      <c r="I205" s="457">
        <v>643.58039487000019</v>
      </c>
      <c r="J205" s="457">
        <v>4807.6420802799994</v>
      </c>
      <c r="K205" s="457">
        <v>792.42998338999996</v>
      </c>
      <c r="L205" s="457">
        <v>1114.1591397899997</v>
      </c>
      <c r="M205" s="457">
        <v>152.11238132</v>
      </c>
      <c r="N205" s="457">
        <v>3693.4829404900001</v>
      </c>
      <c r="O205" s="457">
        <v>640.31760206999991</v>
      </c>
    </row>
    <row r="206" spans="1:15" ht="12.75">
      <c r="A206" s="311" t="s">
        <v>20</v>
      </c>
      <c r="B206" s="457">
        <v>13058.03385171156</v>
      </c>
      <c r="C206" s="457">
        <v>1557.9521574100002</v>
      </c>
      <c r="D206" s="457">
        <v>8259.1090463315613</v>
      </c>
      <c r="E206" s="457">
        <v>780.28774131</v>
      </c>
      <c r="F206" s="457">
        <v>1486.1462602615625</v>
      </c>
      <c r="G206" s="457">
        <v>138.88682800999999</v>
      </c>
      <c r="H206" s="457">
        <v>6772.9627860699993</v>
      </c>
      <c r="I206" s="457">
        <v>641.40091330000007</v>
      </c>
      <c r="J206" s="457">
        <v>4798.9248053799993</v>
      </c>
      <c r="K206" s="457">
        <v>777.66441609999993</v>
      </c>
      <c r="L206" s="457">
        <v>1132.1635904699997</v>
      </c>
      <c r="M206" s="457">
        <v>148.91083743000002</v>
      </c>
      <c r="N206" s="457">
        <v>3666.76121491</v>
      </c>
      <c r="O206" s="457">
        <v>628.75357866999991</v>
      </c>
    </row>
    <row r="207" spans="1:15" ht="12.75">
      <c r="A207" s="311" t="s">
        <v>21</v>
      </c>
      <c r="B207" s="457">
        <v>13011.354034490001</v>
      </c>
      <c r="C207" s="457">
        <v>1503.7811409499998</v>
      </c>
      <c r="D207" s="457">
        <v>8367.9760429100006</v>
      </c>
      <c r="E207" s="457">
        <v>756.20230708999998</v>
      </c>
      <c r="F207" s="457">
        <v>1476.1377303599998</v>
      </c>
      <c r="G207" s="457">
        <v>136.86469986999998</v>
      </c>
      <c r="H207" s="457">
        <v>6891.8383125500013</v>
      </c>
      <c r="I207" s="457">
        <v>619.33760722</v>
      </c>
      <c r="J207" s="457">
        <v>4643.3779915799996</v>
      </c>
      <c r="K207" s="457">
        <v>747.57883385999992</v>
      </c>
      <c r="L207" s="457">
        <v>1129.38335581</v>
      </c>
      <c r="M207" s="457">
        <v>150.33732738</v>
      </c>
      <c r="N207" s="457">
        <v>3513.9946357700001</v>
      </c>
      <c r="O207" s="457">
        <v>597.24150647999988</v>
      </c>
    </row>
    <row r="208" spans="1:15" ht="12.75">
      <c r="A208" s="311" t="s">
        <v>22</v>
      </c>
      <c r="B208" s="457">
        <v>13197.974708330001</v>
      </c>
      <c r="C208" s="457">
        <v>1494.2622123900001</v>
      </c>
      <c r="D208" s="457">
        <v>8541.8739829500009</v>
      </c>
      <c r="E208" s="457">
        <v>769.56189274000008</v>
      </c>
      <c r="F208" s="457">
        <v>1484.6261854599998</v>
      </c>
      <c r="G208" s="457">
        <v>131.03492932</v>
      </c>
      <c r="H208" s="457">
        <v>7057.2477974900003</v>
      </c>
      <c r="I208" s="457">
        <v>638.52696342000002</v>
      </c>
      <c r="J208" s="457">
        <v>4656.1007253799999</v>
      </c>
      <c r="K208" s="457">
        <v>724.70031964999998</v>
      </c>
      <c r="L208" s="457">
        <v>1150.1202185299996</v>
      </c>
      <c r="M208" s="457">
        <v>137.83403217999998</v>
      </c>
      <c r="N208" s="457">
        <v>3505.9805068500009</v>
      </c>
      <c r="O208" s="457">
        <v>586.86628746999997</v>
      </c>
    </row>
    <row r="209" spans="1:15" ht="12.75">
      <c r="A209" s="311" t="s">
        <v>23</v>
      </c>
      <c r="B209" s="457">
        <v>13482.586430900003</v>
      </c>
      <c r="C209" s="457">
        <v>1486.4636973599997</v>
      </c>
      <c r="D209" s="457">
        <v>8718.0513382400022</v>
      </c>
      <c r="E209" s="457">
        <v>760.96756282000001</v>
      </c>
      <c r="F209" s="457">
        <v>1507.9692703999999</v>
      </c>
      <c r="G209" s="457">
        <v>131.50639429999998</v>
      </c>
      <c r="H209" s="457">
        <v>7210.0820678400014</v>
      </c>
      <c r="I209" s="457">
        <v>629.46116852</v>
      </c>
      <c r="J209" s="457">
        <v>4764.5350926599995</v>
      </c>
      <c r="K209" s="457">
        <v>725.49613453999984</v>
      </c>
      <c r="L209" s="457">
        <v>1143.3460084400003</v>
      </c>
      <c r="M209" s="457">
        <v>146.91226302999999</v>
      </c>
      <c r="N209" s="457">
        <v>3621.1890842199991</v>
      </c>
      <c r="O209" s="457">
        <v>578.58387150999977</v>
      </c>
    </row>
    <row r="210" spans="1:15" ht="12.75">
      <c r="A210" s="311" t="s">
        <v>24</v>
      </c>
      <c r="B210" s="457">
        <v>13681.366710880002</v>
      </c>
      <c r="C210" s="457">
        <v>1487.3638733499999</v>
      </c>
      <c r="D210" s="457">
        <v>8944.1055807800003</v>
      </c>
      <c r="E210" s="457">
        <v>755.37179114000014</v>
      </c>
      <c r="F210" s="457">
        <v>1508.4434082599998</v>
      </c>
      <c r="G210" s="457">
        <v>127.18814864999999</v>
      </c>
      <c r="H210" s="457">
        <v>7435.6621725200011</v>
      </c>
      <c r="I210" s="457">
        <v>628.18364249000012</v>
      </c>
      <c r="J210" s="457">
        <v>4737.2611301000006</v>
      </c>
      <c r="K210" s="457">
        <v>731.99208220999992</v>
      </c>
      <c r="L210" s="457">
        <v>1060.27689076</v>
      </c>
      <c r="M210" s="457">
        <v>138.37226946999999</v>
      </c>
      <c r="N210" s="457">
        <v>3676.9842393400004</v>
      </c>
      <c r="O210" s="457">
        <v>593.61981273999993</v>
      </c>
    </row>
    <row r="211" spans="1:15" ht="12.75">
      <c r="A211" s="311" t="s">
        <v>25</v>
      </c>
      <c r="B211" s="457">
        <v>13865.532789560002</v>
      </c>
      <c r="C211" s="457">
        <v>1491.26908237</v>
      </c>
      <c r="D211" s="457">
        <v>9107.3190006700006</v>
      </c>
      <c r="E211" s="457">
        <v>755.85807252000006</v>
      </c>
      <c r="F211" s="457">
        <v>1520.5281773699999</v>
      </c>
      <c r="G211" s="457">
        <v>125.85851599999999</v>
      </c>
      <c r="H211" s="457">
        <v>7586.7908233000007</v>
      </c>
      <c r="I211" s="457">
        <v>629.99955652000006</v>
      </c>
      <c r="J211" s="457">
        <v>4758.2137888900015</v>
      </c>
      <c r="K211" s="457">
        <v>735.41100984999991</v>
      </c>
      <c r="L211" s="457">
        <v>1072.8908095100001</v>
      </c>
      <c r="M211" s="457">
        <v>146.12387283999999</v>
      </c>
      <c r="N211" s="457">
        <v>3685.3229793800015</v>
      </c>
      <c r="O211" s="457">
        <v>589.28713700999992</v>
      </c>
    </row>
    <row r="212" spans="1:15" ht="12.75">
      <c r="A212" s="311" t="s">
        <v>26</v>
      </c>
      <c r="B212" s="457">
        <v>14242.98762236</v>
      </c>
      <c r="C212" s="457">
        <v>1442.8963405099998</v>
      </c>
      <c r="D212" s="457">
        <v>9375.6362017800002</v>
      </c>
      <c r="E212" s="457">
        <v>743.57578876000002</v>
      </c>
      <c r="F212" s="457">
        <v>1571.0981216799998</v>
      </c>
      <c r="G212" s="457">
        <v>120.85494549000001</v>
      </c>
      <c r="H212" s="457">
        <v>7804.5380801000001</v>
      </c>
      <c r="I212" s="457">
        <v>622.72084327000005</v>
      </c>
      <c r="J212" s="457">
        <v>4867.3514205800002</v>
      </c>
      <c r="K212" s="457">
        <v>699.32055174999994</v>
      </c>
      <c r="L212" s="457">
        <v>1086.1927997400001</v>
      </c>
      <c r="M212" s="457">
        <v>137.33986110999999</v>
      </c>
      <c r="N212" s="457">
        <v>3781.1586208400004</v>
      </c>
      <c r="O212" s="457">
        <v>561.98069063999992</v>
      </c>
    </row>
    <row r="213" spans="1:15" ht="12.75">
      <c r="A213" s="311" t="s">
        <v>27</v>
      </c>
      <c r="B213" s="457">
        <v>14445.834273410002</v>
      </c>
      <c r="C213" s="457">
        <v>1384.94292948</v>
      </c>
      <c r="D213" s="457">
        <v>9556.8067920000012</v>
      </c>
      <c r="E213" s="457">
        <v>729.25881729999992</v>
      </c>
      <c r="F213" s="457">
        <v>1607.5954294799999</v>
      </c>
      <c r="G213" s="457">
        <v>119.43865634000002</v>
      </c>
      <c r="H213" s="457">
        <v>7949.2113625200018</v>
      </c>
      <c r="I213" s="457">
        <v>609.82016095999995</v>
      </c>
      <c r="J213" s="457">
        <v>4889.0274814100003</v>
      </c>
      <c r="K213" s="457">
        <v>655.68411218000006</v>
      </c>
      <c r="L213" s="457">
        <v>1079.94091506</v>
      </c>
      <c r="M213" s="457">
        <v>132.68467351999999</v>
      </c>
      <c r="N213" s="457">
        <v>3809.0865663500008</v>
      </c>
      <c r="O213" s="457">
        <v>522.99943866000001</v>
      </c>
    </row>
    <row r="214" spans="1:15" ht="12.75">
      <c r="A214" s="311" t="s">
        <v>28</v>
      </c>
      <c r="B214" s="457">
        <v>15116.424979360001</v>
      </c>
      <c r="C214" s="457">
        <v>1410.4221754200003</v>
      </c>
      <c r="D214" s="457">
        <v>9799.0750926199999</v>
      </c>
      <c r="E214" s="457">
        <v>748.35883137000019</v>
      </c>
      <c r="F214" s="457">
        <v>1657.67475251</v>
      </c>
      <c r="G214" s="457">
        <v>114.35147695000001</v>
      </c>
      <c r="H214" s="457">
        <v>8141.4003401100008</v>
      </c>
      <c r="I214" s="457">
        <v>634.00735442000018</v>
      </c>
      <c r="J214" s="457">
        <v>5317.3498867399985</v>
      </c>
      <c r="K214" s="457">
        <v>662.06334405000007</v>
      </c>
      <c r="L214" s="457">
        <v>1350.0919196999998</v>
      </c>
      <c r="M214" s="457">
        <v>119.96884806000003</v>
      </c>
      <c r="N214" s="457">
        <v>3967.2579670399996</v>
      </c>
      <c r="O214" s="457">
        <v>542.09449599000004</v>
      </c>
    </row>
    <row r="215" spans="1:15" ht="12.75">
      <c r="A215" s="311" t="s">
        <v>29</v>
      </c>
      <c r="B215" s="457">
        <v>15298.183505950001</v>
      </c>
      <c r="C215" s="457">
        <v>1273.0674075999998</v>
      </c>
      <c r="D215" s="457">
        <v>10000.82224388</v>
      </c>
      <c r="E215" s="457">
        <v>702.40343936999989</v>
      </c>
      <c r="F215" s="457">
        <v>1659.59703459</v>
      </c>
      <c r="G215" s="457">
        <v>106.04795082000001</v>
      </c>
      <c r="H215" s="457">
        <v>8341.2252092899998</v>
      </c>
      <c r="I215" s="457">
        <v>596.35548855000002</v>
      </c>
      <c r="J215" s="457">
        <v>5297.3612620700005</v>
      </c>
      <c r="K215" s="457">
        <v>570.66396823000002</v>
      </c>
      <c r="L215" s="457">
        <v>1259.1192320000002</v>
      </c>
      <c r="M215" s="457">
        <v>119.98133505000001</v>
      </c>
      <c r="N215" s="457">
        <v>4038.2420300700005</v>
      </c>
      <c r="O215" s="457">
        <v>450.68263317999998</v>
      </c>
    </row>
    <row r="216" spans="1:15" ht="12.75">
      <c r="A216" s="311" t="s">
        <v>2362</v>
      </c>
      <c r="B216" s="456">
        <v>14530.423128149998</v>
      </c>
      <c r="C216" s="456">
        <v>893.13990544000001</v>
      </c>
      <c r="D216" s="456">
        <v>10203.978943079997</v>
      </c>
      <c r="E216" s="456">
        <v>653.86810708999997</v>
      </c>
      <c r="F216" s="456">
        <v>1754.1785430999998</v>
      </c>
      <c r="G216" s="456">
        <v>94.622461000000015</v>
      </c>
      <c r="H216" s="456">
        <v>8449.8003999799985</v>
      </c>
      <c r="I216" s="456">
        <v>559.24564609000004</v>
      </c>
      <c r="J216" s="456">
        <v>4326.4441850699995</v>
      </c>
      <c r="K216" s="456">
        <v>239.27179834999998</v>
      </c>
      <c r="L216" s="456">
        <v>720.73838853999985</v>
      </c>
      <c r="M216" s="456">
        <v>40.742700790000008</v>
      </c>
      <c r="N216" s="456">
        <v>3605.7057965299996</v>
      </c>
      <c r="O216" s="456">
        <v>198.52909755999997</v>
      </c>
    </row>
    <row r="217" spans="1:15" ht="12.75">
      <c r="A217" s="311" t="s">
        <v>18</v>
      </c>
      <c r="B217" s="457">
        <v>15513.610178430001</v>
      </c>
      <c r="C217" s="457">
        <v>1306.8619599599999</v>
      </c>
      <c r="D217" s="457">
        <v>10007.387286380001</v>
      </c>
      <c r="E217" s="457">
        <v>728.38359565999986</v>
      </c>
      <c r="F217" s="457">
        <v>1642.2571132799997</v>
      </c>
      <c r="G217" s="457">
        <v>108.91512322999999</v>
      </c>
      <c r="H217" s="457">
        <v>8365.1301731000021</v>
      </c>
      <c r="I217" s="457">
        <v>619.46847243000002</v>
      </c>
      <c r="J217" s="457">
        <v>5506.2228920500002</v>
      </c>
      <c r="K217" s="457">
        <v>578.47836429999995</v>
      </c>
      <c r="L217" s="457">
        <v>1211.6829901499998</v>
      </c>
      <c r="M217" s="457">
        <v>124.66481515000001</v>
      </c>
      <c r="N217" s="457">
        <v>4294.5399019000006</v>
      </c>
      <c r="O217" s="457">
        <v>453.81354914999997</v>
      </c>
    </row>
    <row r="218" spans="1:15" ht="12.75">
      <c r="A218" s="311" t="s">
        <v>19</v>
      </c>
      <c r="B218" s="457">
        <v>15696.359848159998</v>
      </c>
      <c r="C218" s="457">
        <v>1297.7919746600001</v>
      </c>
      <c r="D218" s="457">
        <v>10197.367379770001</v>
      </c>
      <c r="E218" s="457">
        <v>730.08705178000014</v>
      </c>
      <c r="F218" s="457">
        <v>1688.0197011100001</v>
      </c>
      <c r="G218" s="457">
        <v>108.03263208000003</v>
      </c>
      <c r="H218" s="457">
        <v>8509.3476786600022</v>
      </c>
      <c r="I218" s="457">
        <v>622.05441970000015</v>
      </c>
      <c r="J218" s="457">
        <v>5498.9924683899999</v>
      </c>
      <c r="K218" s="457">
        <v>567.70492288000003</v>
      </c>
      <c r="L218" s="457">
        <v>1213.4867311499997</v>
      </c>
      <c r="M218" s="457">
        <v>124.04899418000002</v>
      </c>
      <c r="N218" s="457">
        <v>4285.5057372400006</v>
      </c>
      <c r="O218" s="457">
        <v>443.65592869999995</v>
      </c>
    </row>
    <row r="219" spans="1:15" ht="12.75">
      <c r="A219" s="311" t="s">
        <v>20</v>
      </c>
      <c r="B219" s="457">
        <v>15637.419790709999</v>
      </c>
      <c r="C219" s="457">
        <v>1386.7515801299999</v>
      </c>
      <c r="D219" s="457">
        <v>10443.599225560001</v>
      </c>
      <c r="E219" s="457">
        <v>777.79502507000007</v>
      </c>
      <c r="F219" s="457">
        <v>1797.01206402</v>
      </c>
      <c r="G219" s="457">
        <v>116.90400399000002</v>
      </c>
      <c r="H219" s="457">
        <v>8646.587161540001</v>
      </c>
      <c r="I219" s="457">
        <v>660.89102108000009</v>
      </c>
      <c r="J219" s="457">
        <v>5193.8205651499993</v>
      </c>
      <c r="K219" s="457">
        <v>608.95655505999991</v>
      </c>
      <c r="L219" s="457">
        <v>1003.5212437399999</v>
      </c>
      <c r="M219" s="457">
        <v>165.40259683000002</v>
      </c>
      <c r="N219" s="457">
        <v>4190.2993214099997</v>
      </c>
      <c r="O219" s="457">
        <v>443.55395822999992</v>
      </c>
    </row>
    <row r="220" spans="1:15" ht="12.75">
      <c r="A220" s="311" t="s">
        <v>21</v>
      </c>
      <c r="B220" s="457">
        <v>15146.8</v>
      </c>
      <c r="C220" s="457">
        <v>1232.4418596000003</v>
      </c>
      <c r="D220" s="457">
        <v>10179.152394559998</v>
      </c>
      <c r="E220" s="457">
        <v>745.77714110000011</v>
      </c>
      <c r="F220" s="457">
        <v>1802.1615540199998</v>
      </c>
      <c r="G220" s="457">
        <v>128.16530624000001</v>
      </c>
      <c r="H220" s="457">
        <v>8376.9908405399983</v>
      </c>
      <c r="I220" s="457">
        <v>617.61183486000016</v>
      </c>
      <c r="J220" s="457">
        <v>4967.69540951</v>
      </c>
      <c r="K220" s="457">
        <v>486.66471850000005</v>
      </c>
      <c r="L220" s="457">
        <v>895.27010148999989</v>
      </c>
      <c r="M220" s="457">
        <v>72.324280580000021</v>
      </c>
      <c r="N220" s="457">
        <v>4072.4253080200001</v>
      </c>
      <c r="O220" s="457">
        <v>414.34043792</v>
      </c>
    </row>
    <row r="221" spans="1:15" ht="12.75">
      <c r="A221" s="311" t="s">
        <v>22</v>
      </c>
      <c r="B221" s="457">
        <v>14765.7</v>
      </c>
      <c r="C221" s="457">
        <v>1084.8214846800004</v>
      </c>
      <c r="D221" s="457">
        <v>9928.5330190000004</v>
      </c>
      <c r="E221" s="457">
        <v>657.68580231000021</v>
      </c>
      <c r="F221" s="457">
        <v>1760.2832394999998</v>
      </c>
      <c r="G221" s="457">
        <v>107.17698140000002</v>
      </c>
      <c r="H221" s="457">
        <v>8168.2497794999999</v>
      </c>
      <c r="I221" s="457">
        <v>550.50882091000017</v>
      </c>
      <c r="J221" s="457">
        <v>4837.1738349800007</v>
      </c>
      <c r="K221" s="457">
        <v>427.13568237000004</v>
      </c>
      <c r="L221" s="457">
        <v>817.95019378999973</v>
      </c>
      <c r="M221" s="457">
        <v>62.438278789999991</v>
      </c>
      <c r="N221" s="457">
        <v>4019.2236411900003</v>
      </c>
      <c r="O221" s="457">
        <v>364.69740358000007</v>
      </c>
    </row>
    <row r="222" spans="1:15" ht="12.75">
      <c r="A222" s="311" t="s">
        <v>23</v>
      </c>
      <c r="B222" s="457">
        <v>14550.65617651</v>
      </c>
      <c r="C222" s="457">
        <v>1065.5159760600002</v>
      </c>
      <c r="D222" s="457">
        <v>9897.7629030700009</v>
      </c>
      <c r="E222" s="457">
        <v>656.19959554000002</v>
      </c>
      <c r="F222" s="457">
        <v>1738.1614368800003</v>
      </c>
      <c r="G222" s="457">
        <v>104.21832792000001</v>
      </c>
      <c r="H222" s="457">
        <v>8159.6014661899999</v>
      </c>
      <c r="I222" s="457">
        <v>551.98126762000004</v>
      </c>
      <c r="J222" s="457">
        <v>4652.8932734400014</v>
      </c>
      <c r="K222" s="457">
        <v>409.31638052</v>
      </c>
      <c r="L222" s="457">
        <v>755.32276706000016</v>
      </c>
      <c r="M222" s="457">
        <v>51.728728400000001</v>
      </c>
      <c r="N222" s="457">
        <v>3897.570506380001</v>
      </c>
      <c r="O222" s="457">
        <v>357.58765211999997</v>
      </c>
    </row>
    <row r="223" spans="1:15" ht="12.75">
      <c r="A223" s="311" t="s">
        <v>24</v>
      </c>
      <c r="B223" s="457">
        <v>14585.314835290001</v>
      </c>
      <c r="C223" s="457">
        <v>1062.4228878200001</v>
      </c>
      <c r="D223" s="457">
        <v>9913.9480657999993</v>
      </c>
      <c r="E223" s="457">
        <v>665.33593518999999</v>
      </c>
      <c r="F223" s="457">
        <v>1741.5003841400003</v>
      </c>
      <c r="G223" s="457">
        <v>107.52460289</v>
      </c>
      <c r="H223" s="457">
        <v>8172.447681659999</v>
      </c>
      <c r="I223" s="457">
        <v>557.8113323</v>
      </c>
      <c r="J223" s="457">
        <v>4671.3667694900005</v>
      </c>
      <c r="K223" s="457">
        <v>397.08695263000004</v>
      </c>
      <c r="L223" s="457">
        <v>758.91884249999998</v>
      </c>
      <c r="M223" s="457">
        <v>52.053345960000009</v>
      </c>
      <c r="N223" s="457">
        <v>3912.4479269900003</v>
      </c>
      <c r="O223" s="457">
        <v>345.03360666999998</v>
      </c>
    </row>
    <row r="224" spans="1:15" ht="12.75">
      <c r="A224" s="311" t="s">
        <v>25</v>
      </c>
      <c r="B224" s="457">
        <v>14685.098078149998</v>
      </c>
      <c r="C224" s="457">
        <v>1065.4106116100002</v>
      </c>
      <c r="D224" s="457">
        <v>10044.562058459998</v>
      </c>
      <c r="E224" s="457">
        <v>662.61992013000008</v>
      </c>
      <c r="F224" s="457">
        <v>1756.9412022800002</v>
      </c>
      <c r="G224" s="457">
        <v>104.37121056000001</v>
      </c>
      <c r="H224" s="457">
        <v>8287.6208561799995</v>
      </c>
      <c r="I224" s="457">
        <v>558.24870957000007</v>
      </c>
      <c r="J224" s="457">
        <v>4640.536019690001</v>
      </c>
      <c r="K224" s="457">
        <v>402.79069147999996</v>
      </c>
      <c r="L224" s="457">
        <v>747.2908496099999</v>
      </c>
      <c r="M224" s="457">
        <v>56.13031817000001</v>
      </c>
      <c r="N224" s="457">
        <v>3893.2451700800011</v>
      </c>
      <c r="O224" s="457">
        <v>346.66037330999995</v>
      </c>
    </row>
    <row r="225" spans="1:15" ht="12.75">
      <c r="A225" s="311" t="s">
        <v>26</v>
      </c>
      <c r="B225" s="457">
        <v>14873.658797599997</v>
      </c>
      <c r="C225" s="457">
        <v>1069.5053917</v>
      </c>
      <c r="D225" s="457">
        <v>10211.329260919998</v>
      </c>
      <c r="E225" s="457">
        <v>672.68117094000002</v>
      </c>
      <c r="F225" s="457">
        <v>1740.2758229899998</v>
      </c>
      <c r="G225" s="457">
        <v>107.21670950000001</v>
      </c>
      <c r="H225" s="457">
        <v>8471.053437929997</v>
      </c>
      <c r="I225" s="457">
        <v>565.46446143999992</v>
      </c>
      <c r="J225" s="457">
        <v>4662.3295366799994</v>
      </c>
      <c r="K225" s="457">
        <v>396.82422076</v>
      </c>
      <c r="L225" s="457">
        <v>728.98077230999979</v>
      </c>
      <c r="M225" s="457">
        <v>55.589222129999996</v>
      </c>
      <c r="N225" s="457">
        <v>3933.3487643699996</v>
      </c>
      <c r="O225" s="457">
        <v>341.23499863000001</v>
      </c>
    </row>
    <row r="226" spans="1:15" ht="12.75">
      <c r="A226" s="311" t="s">
        <v>27</v>
      </c>
      <c r="B226" s="457">
        <v>14785.940748230001</v>
      </c>
      <c r="C226" s="457">
        <v>1006.52323186</v>
      </c>
      <c r="D226" s="457">
        <v>10254.288062869999</v>
      </c>
      <c r="E226" s="457">
        <v>678.32972275000009</v>
      </c>
      <c r="F226" s="457">
        <v>1722.0806266899999</v>
      </c>
      <c r="G226" s="457">
        <v>113.397586</v>
      </c>
      <c r="H226" s="457">
        <v>8532.2074361799987</v>
      </c>
      <c r="I226" s="457">
        <v>564.93213675000004</v>
      </c>
      <c r="J226" s="457">
        <v>4531.6526853600008</v>
      </c>
      <c r="K226" s="457">
        <v>328.19350910999998</v>
      </c>
      <c r="L226" s="457">
        <v>735.96929818000024</v>
      </c>
      <c r="M226" s="457">
        <v>45.364212570000007</v>
      </c>
      <c r="N226" s="457">
        <v>3795.68338718</v>
      </c>
      <c r="O226" s="457">
        <v>282.82929653999997</v>
      </c>
    </row>
    <row r="227" spans="1:15" ht="12.75">
      <c r="A227" s="311" t="s">
        <v>28</v>
      </c>
      <c r="B227" s="457">
        <v>14681.276736809998</v>
      </c>
      <c r="C227" s="457">
        <v>922.91633638000008</v>
      </c>
      <c r="D227" s="457">
        <v>10272.801011689997</v>
      </c>
      <c r="E227" s="457">
        <v>655.89601746000005</v>
      </c>
      <c r="F227" s="457">
        <v>1773.3773934499998</v>
      </c>
      <c r="G227" s="457">
        <v>97.262283610000011</v>
      </c>
      <c r="H227" s="457">
        <v>8499.4236182399964</v>
      </c>
      <c r="I227" s="457">
        <v>558.63373385</v>
      </c>
      <c r="J227" s="457">
        <v>4408.4757251199999</v>
      </c>
      <c r="K227" s="457">
        <v>267.02031892000002</v>
      </c>
      <c r="L227" s="457">
        <v>733.08998416000009</v>
      </c>
      <c r="M227" s="457">
        <v>43.563146709999998</v>
      </c>
      <c r="N227" s="457">
        <v>3675.38574096</v>
      </c>
      <c r="O227" s="457">
        <v>223.45717221000004</v>
      </c>
    </row>
    <row r="228" spans="1:15" ht="12.75">
      <c r="A228" s="311" t="s">
        <v>29</v>
      </c>
      <c r="B228" s="457">
        <v>14530.423128149998</v>
      </c>
      <c r="C228" s="457">
        <v>893.13990544000001</v>
      </c>
      <c r="D228" s="457">
        <v>10203.978943079997</v>
      </c>
      <c r="E228" s="457">
        <v>653.86810708999997</v>
      </c>
      <c r="F228" s="457">
        <v>1754.1785430999998</v>
      </c>
      <c r="G228" s="457">
        <v>94.622461000000015</v>
      </c>
      <c r="H228" s="457">
        <v>8449.8003999799985</v>
      </c>
      <c r="I228" s="457">
        <v>559.24564609000004</v>
      </c>
      <c r="J228" s="457">
        <v>4326.4441850699995</v>
      </c>
      <c r="K228" s="457">
        <v>239.27179834999998</v>
      </c>
      <c r="L228" s="457">
        <v>720.73838853999985</v>
      </c>
      <c r="M228" s="457">
        <v>40.742700790000008</v>
      </c>
      <c r="N228" s="457">
        <v>3605.7057965299996</v>
      </c>
      <c r="O228" s="457">
        <v>198.52909755999997</v>
      </c>
    </row>
    <row r="229" spans="1:15" ht="12.75">
      <c r="A229" s="355">
        <v>2021</v>
      </c>
      <c r="B229" s="456">
        <v>17119.816266530001</v>
      </c>
      <c r="C229" s="456">
        <v>719.44171244100005</v>
      </c>
      <c r="D229" s="456">
        <v>12696.45821837</v>
      </c>
      <c r="E229" s="456">
        <v>531.8240892</v>
      </c>
      <c r="F229" s="456">
        <v>2246.0035127800002</v>
      </c>
      <c r="G229" s="456">
        <v>80.629324749999995</v>
      </c>
      <c r="H229" s="456">
        <v>10450.45470559</v>
      </c>
      <c r="I229" s="456">
        <v>451.19476444999998</v>
      </c>
      <c r="J229" s="456">
        <v>4423.3580481600002</v>
      </c>
      <c r="K229" s="456">
        <v>187.61762324099999</v>
      </c>
      <c r="L229" s="456">
        <v>955.90965068000003</v>
      </c>
      <c r="M229" s="456">
        <v>51.405089330999999</v>
      </c>
      <c r="N229" s="456">
        <v>3467.44839748</v>
      </c>
      <c r="O229" s="456">
        <v>136.21253390999999</v>
      </c>
    </row>
    <row r="230" spans="1:15" ht="12.75">
      <c r="A230" s="311" t="s">
        <v>18</v>
      </c>
      <c r="B230" s="457">
        <v>14587.20322659</v>
      </c>
      <c r="C230" s="457">
        <v>900.3856763</v>
      </c>
      <c r="D230" s="457">
        <v>10299.48153924</v>
      </c>
      <c r="E230" s="457">
        <v>647.57022730000006</v>
      </c>
      <c r="F230" s="457">
        <v>1797.9787913600001</v>
      </c>
      <c r="G230" s="457">
        <v>96.844620739999996</v>
      </c>
      <c r="H230" s="457">
        <v>8501.5027478800002</v>
      </c>
      <c r="I230" s="457">
        <v>550.72560655999996</v>
      </c>
      <c r="J230" s="457">
        <v>4287.7216873500001</v>
      </c>
      <c r="K230" s="457">
        <v>252.815449</v>
      </c>
      <c r="L230" s="457">
        <v>767.61437115000001</v>
      </c>
      <c r="M230" s="457">
        <v>49.487015579999998</v>
      </c>
      <c r="N230" s="457">
        <v>3520.1073161999998</v>
      </c>
      <c r="O230" s="457">
        <v>203.32843342000001</v>
      </c>
    </row>
    <row r="231" spans="1:15" ht="12.75">
      <c r="A231" s="311" t="s">
        <v>19</v>
      </c>
      <c r="B231" s="457">
        <v>14619.545503339999</v>
      </c>
      <c r="C231" s="457">
        <v>917.51636970000004</v>
      </c>
      <c r="D231" s="457">
        <v>10407.57073186</v>
      </c>
      <c r="E231" s="457">
        <v>666.79700777999994</v>
      </c>
      <c r="F231" s="457">
        <v>1861.45343669</v>
      </c>
      <c r="G231" s="457">
        <v>96.466290380000004</v>
      </c>
      <c r="H231" s="457">
        <v>8546.1172951699991</v>
      </c>
      <c r="I231" s="457">
        <v>570.33071740000003</v>
      </c>
      <c r="J231" s="457">
        <v>4211.9747714799996</v>
      </c>
      <c r="K231" s="457">
        <v>250.71936192000001</v>
      </c>
      <c r="L231" s="457">
        <v>669.10362940000005</v>
      </c>
      <c r="M231" s="457">
        <v>46.876663729999997</v>
      </c>
      <c r="N231" s="457">
        <v>3542.87114208</v>
      </c>
      <c r="O231" s="457">
        <v>203.84269818999999</v>
      </c>
    </row>
    <row r="232" spans="1:15" ht="12.75">
      <c r="A232" s="311" t="s">
        <v>20</v>
      </c>
      <c r="B232" s="457">
        <v>14728.03039973</v>
      </c>
      <c r="C232" s="457">
        <v>918.15007710999998</v>
      </c>
      <c r="D232" s="457">
        <v>10574.997616189999</v>
      </c>
      <c r="E232" s="457">
        <v>668.94892829000003</v>
      </c>
      <c r="F232" s="457">
        <v>1896.7851862099999</v>
      </c>
      <c r="G232" s="457">
        <v>93.229735579999996</v>
      </c>
      <c r="H232" s="457">
        <v>8678.2124299799998</v>
      </c>
      <c r="I232" s="457">
        <v>575.71919271000002</v>
      </c>
      <c r="J232" s="457">
        <v>4153.0327835400003</v>
      </c>
      <c r="K232" s="457">
        <v>249.20114881999999</v>
      </c>
      <c r="L232" s="457">
        <v>680.75159910000002</v>
      </c>
      <c r="M232" s="457">
        <v>48.471003469999999</v>
      </c>
      <c r="N232" s="457">
        <v>3472.2811844399998</v>
      </c>
      <c r="O232" s="457">
        <v>200.73014534999999</v>
      </c>
    </row>
    <row r="233" spans="1:15" ht="12.75">
      <c r="A233" s="311" t="s">
        <v>21</v>
      </c>
      <c r="B233" s="457">
        <v>14987.49584865</v>
      </c>
      <c r="C233" s="457">
        <v>921.53370199999995</v>
      </c>
      <c r="D233" s="457">
        <v>10836.37640879</v>
      </c>
      <c r="E233" s="457">
        <v>699.32114547000003</v>
      </c>
      <c r="F233" s="457">
        <v>1929.22047694</v>
      </c>
      <c r="G233" s="457">
        <v>108.31807354</v>
      </c>
      <c r="H233" s="457">
        <v>8907.1559318500003</v>
      </c>
      <c r="I233" s="457">
        <v>591.00307193000003</v>
      </c>
      <c r="J233" s="457">
        <v>4151.1194398600001</v>
      </c>
      <c r="K233" s="457">
        <v>222.21255653</v>
      </c>
      <c r="L233" s="457">
        <v>692.91428226000005</v>
      </c>
      <c r="M233" s="457">
        <v>49.952667609999999</v>
      </c>
      <c r="N233" s="457">
        <v>3458.2051575999999</v>
      </c>
      <c r="O233" s="457">
        <v>172.25988892000001</v>
      </c>
    </row>
    <row r="234" spans="1:15" ht="12.75">
      <c r="A234" s="311" t="s">
        <v>22</v>
      </c>
      <c r="B234" s="457">
        <v>15067.068306839999</v>
      </c>
      <c r="C234" s="457">
        <v>906.90793025000005</v>
      </c>
      <c r="D234" s="457">
        <v>10926.986445299999</v>
      </c>
      <c r="E234" s="457">
        <v>685.46766498</v>
      </c>
      <c r="F234" s="457">
        <v>1933.1520366</v>
      </c>
      <c r="G234" s="457">
        <v>92.693554629999994</v>
      </c>
      <c r="H234" s="457">
        <v>8993.8344087000005</v>
      </c>
      <c r="I234" s="457">
        <v>592.77411035</v>
      </c>
      <c r="J234" s="457">
        <v>4140.0818615400003</v>
      </c>
      <c r="K234" s="457">
        <v>221.44026527</v>
      </c>
      <c r="L234" s="457">
        <v>672.52285202999997</v>
      </c>
      <c r="M234" s="457">
        <v>47.60378068</v>
      </c>
      <c r="N234" s="457">
        <v>3467.5590095100001</v>
      </c>
      <c r="O234" s="457">
        <v>173.83648459</v>
      </c>
    </row>
    <row r="235" spans="1:15" ht="12.75">
      <c r="A235" s="311" t="s">
        <v>23</v>
      </c>
      <c r="B235" s="457">
        <v>15258.05819419</v>
      </c>
      <c r="C235" s="457">
        <v>914.58348046000003</v>
      </c>
      <c r="D235" s="457">
        <v>11148.43213687</v>
      </c>
      <c r="E235" s="457">
        <v>694.13460823000003</v>
      </c>
      <c r="F235" s="457">
        <v>1964.5204642000001</v>
      </c>
      <c r="G235" s="457">
        <v>93.614316349999996</v>
      </c>
      <c r="H235" s="457">
        <v>9183.9116726699995</v>
      </c>
      <c r="I235" s="457">
        <v>600.52029187999995</v>
      </c>
      <c r="J235" s="457">
        <v>4109.6260573199997</v>
      </c>
      <c r="K235" s="457">
        <v>220.44887223000001</v>
      </c>
      <c r="L235" s="457">
        <v>693.65767127000004</v>
      </c>
      <c r="M235" s="457">
        <v>47.841762289999998</v>
      </c>
      <c r="N235" s="457">
        <v>3415.9683860499999</v>
      </c>
      <c r="O235" s="457">
        <v>172.60710993999999</v>
      </c>
    </row>
    <row r="236" spans="1:15" ht="12.75">
      <c r="A236" s="311" t="s">
        <v>24</v>
      </c>
      <c r="B236" s="457">
        <v>15367.672983369999</v>
      </c>
      <c r="C236" s="457">
        <v>937.46215344999996</v>
      </c>
      <c r="D236" s="457">
        <v>11251.546744769999</v>
      </c>
      <c r="E236" s="457">
        <v>712.25482284999998</v>
      </c>
      <c r="F236" s="457">
        <v>2013.5557064499999</v>
      </c>
      <c r="G236" s="457">
        <v>94.494357120000004</v>
      </c>
      <c r="H236" s="457">
        <v>9237.9910383200004</v>
      </c>
      <c r="I236" s="457">
        <v>617.76046572999996</v>
      </c>
      <c r="J236" s="457">
        <v>4116.1262385999999</v>
      </c>
      <c r="K236" s="457">
        <v>225.20733060000001</v>
      </c>
      <c r="L236" s="457">
        <v>714.16852926000001</v>
      </c>
      <c r="M236" s="457">
        <v>51.764850549999998</v>
      </c>
      <c r="N236" s="457">
        <v>3401.9577093399998</v>
      </c>
      <c r="O236" s="457">
        <v>173.44248005</v>
      </c>
    </row>
    <row r="237" spans="1:15" ht="12.75">
      <c r="A237" s="311" t="s">
        <v>25</v>
      </c>
      <c r="B237" s="457">
        <v>15607.979105320001</v>
      </c>
      <c r="C237" s="457">
        <v>904.16886915999999</v>
      </c>
      <c r="D237" s="457">
        <v>11426.73154547</v>
      </c>
      <c r="E237" s="457">
        <v>687.53866123</v>
      </c>
      <c r="F237" s="457">
        <v>2014.79062649</v>
      </c>
      <c r="G237" s="457">
        <v>94.177497819999999</v>
      </c>
      <c r="H237" s="457">
        <v>9411.9409189800008</v>
      </c>
      <c r="I237" s="457">
        <v>593.36116341000002</v>
      </c>
      <c r="J237" s="457">
        <v>4181.2475598499996</v>
      </c>
      <c r="K237" s="457">
        <v>216.63020793000001</v>
      </c>
      <c r="L237" s="457">
        <v>763.07305862999999</v>
      </c>
      <c r="M237" s="457">
        <v>45.313542130000002</v>
      </c>
      <c r="N237" s="457">
        <v>3418.1745012199999</v>
      </c>
      <c r="O237" s="457">
        <v>171.31666580000001</v>
      </c>
    </row>
    <row r="238" spans="1:15" ht="12.75">
      <c r="A238" s="311" t="s">
        <v>26</v>
      </c>
      <c r="B238" s="457">
        <v>15957.303832469999</v>
      </c>
      <c r="C238" s="457">
        <v>871.14004873999897</v>
      </c>
      <c r="D238" s="457">
        <v>11707.88823742</v>
      </c>
      <c r="E238" s="457">
        <v>660.70912521000002</v>
      </c>
      <c r="F238" s="457">
        <v>2074.0738854400001</v>
      </c>
      <c r="G238" s="457">
        <v>89.766116760000003</v>
      </c>
      <c r="H238" s="457">
        <v>9633.8143519799996</v>
      </c>
      <c r="I238" s="457">
        <v>570.94300844999998</v>
      </c>
      <c r="J238" s="457">
        <v>4249.4155950499999</v>
      </c>
      <c r="K238" s="457">
        <v>210.43092353</v>
      </c>
      <c r="L238" s="457">
        <v>814.07784002999995</v>
      </c>
      <c r="M238" s="457">
        <v>42.921859019999999</v>
      </c>
      <c r="N238" s="457">
        <v>3435.3377550199998</v>
      </c>
      <c r="O238" s="457">
        <v>167.50906451</v>
      </c>
    </row>
    <row r="239" spans="1:15" ht="12.75">
      <c r="A239" s="311" t="s">
        <v>27</v>
      </c>
      <c r="B239" s="457">
        <v>16415.890409920001</v>
      </c>
      <c r="C239" s="457">
        <v>815.87446340999998</v>
      </c>
      <c r="D239" s="457">
        <v>11913.468517990001</v>
      </c>
      <c r="E239" s="457">
        <v>597.93212702000005</v>
      </c>
      <c r="F239" s="457">
        <v>2140.4926438699999</v>
      </c>
      <c r="G239" s="457">
        <v>84.669884519999997</v>
      </c>
      <c r="H239" s="457">
        <v>9772.9758741200003</v>
      </c>
      <c r="I239" s="457">
        <v>513.26224249999996</v>
      </c>
      <c r="J239" s="457">
        <v>4502.4218919300001</v>
      </c>
      <c r="K239" s="457">
        <v>217.94233639000001</v>
      </c>
      <c r="L239" s="457">
        <v>946.4935031</v>
      </c>
      <c r="M239" s="457">
        <v>55.73458239</v>
      </c>
      <c r="N239" s="457">
        <v>3555.9283888300001</v>
      </c>
      <c r="O239" s="457">
        <v>162.20775399999999</v>
      </c>
    </row>
    <row r="240" spans="1:15" ht="12.75">
      <c r="A240" s="311" t="s">
        <v>28</v>
      </c>
      <c r="B240" s="457">
        <v>16700.565043179999</v>
      </c>
      <c r="C240" s="457">
        <v>786.28199433999998</v>
      </c>
      <c r="D240" s="457">
        <v>12271.32758225</v>
      </c>
      <c r="E240" s="457">
        <v>571.54338396000003</v>
      </c>
      <c r="F240" s="457">
        <v>2244.5868893500001</v>
      </c>
      <c r="G240" s="457">
        <v>85.640184000000005</v>
      </c>
      <c r="H240" s="457">
        <v>10026.740692900001</v>
      </c>
      <c r="I240" s="457">
        <v>485.90319995999999</v>
      </c>
      <c r="J240" s="457">
        <v>4429.2374609300005</v>
      </c>
      <c r="K240" s="457">
        <v>214.73861038000001</v>
      </c>
      <c r="L240" s="457">
        <v>932.74929309000004</v>
      </c>
      <c r="M240" s="457">
        <v>54.031234310000002</v>
      </c>
      <c r="N240" s="457">
        <v>3496.4881678400002</v>
      </c>
      <c r="O240" s="457">
        <v>160.70737607000001</v>
      </c>
    </row>
    <row r="241" spans="1:15" ht="12.75">
      <c r="A241" s="311" t="s">
        <v>29</v>
      </c>
      <c r="B241" s="457">
        <v>17119.816266530001</v>
      </c>
      <c r="C241" s="457">
        <v>719.44171244100005</v>
      </c>
      <c r="D241" s="457">
        <v>12696.45821837</v>
      </c>
      <c r="E241" s="457">
        <v>531.8240892</v>
      </c>
      <c r="F241" s="457">
        <v>2246.0035127800002</v>
      </c>
      <c r="G241" s="457">
        <v>80.629324749999995</v>
      </c>
      <c r="H241" s="457">
        <v>10450.45470559</v>
      </c>
      <c r="I241" s="457">
        <v>451.19476444999998</v>
      </c>
      <c r="J241" s="457">
        <v>4423.3580481600002</v>
      </c>
      <c r="K241" s="457">
        <v>187.61762324099999</v>
      </c>
      <c r="L241" s="457">
        <v>955.90965068000003</v>
      </c>
      <c r="M241" s="457">
        <v>51.405089330999999</v>
      </c>
      <c r="N241" s="457">
        <v>3467.44839748</v>
      </c>
      <c r="O241" s="457">
        <v>136.21253390999999</v>
      </c>
    </row>
    <row r="242" spans="1:15" ht="12.75">
      <c r="A242" s="311" t="s">
        <v>2812</v>
      </c>
      <c r="B242" s="456">
        <v>20183.981847880001</v>
      </c>
      <c r="C242" s="456">
        <v>593.74010190000001</v>
      </c>
      <c r="D242" s="456">
        <v>16194.32869187</v>
      </c>
      <c r="E242" s="456">
        <v>436.53477371999998</v>
      </c>
      <c r="F242" s="456">
        <v>2838.2065448600001</v>
      </c>
      <c r="G242" s="456">
        <v>74.676728499999996</v>
      </c>
      <c r="H242" s="456">
        <v>13356.122147010001</v>
      </c>
      <c r="I242" s="456">
        <v>361.85804522000001</v>
      </c>
      <c r="J242" s="456">
        <v>3989.6531560100002</v>
      </c>
      <c r="K242" s="456">
        <v>157.20532818000001</v>
      </c>
      <c r="L242" s="456">
        <v>770.83539777999999</v>
      </c>
      <c r="M242" s="456">
        <v>40.809313410000001</v>
      </c>
      <c r="N242" s="456">
        <v>3218.81775823</v>
      </c>
      <c r="O242" s="456">
        <v>116.39601476999999</v>
      </c>
    </row>
    <row r="243" spans="1:15" ht="12.75">
      <c r="A243" s="311" t="s">
        <v>18</v>
      </c>
      <c r="B243" s="457">
        <v>17242.149871199999</v>
      </c>
      <c r="C243" s="457">
        <v>706.54506468099999</v>
      </c>
      <c r="D243" s="457">
        <v>12817.82820563</v>
      </c>
      <c r="E243" s="457">
        <v>514.54677155000002</v>
      </c>
      <c r="F243" s="457">
        <v>2255.1230671500002</v>
      </c>
      <c r="G243" s="457">
        <v>83.849482890000004</v>
      </c>
      <c r="H243" s="457">
        <v>10562.70513848</v>
      </c>
      <c r="I243" s="457">
        <v>430.69728866000003</v>
      </c>
      <c r="J243" s="457">
        <v>4424.3216655699998</v>
      </c>
      <c r="K243" s="457">
        <v>191.998293131</v>
      </c>
      <c r="L243" s="457">
        <v>976.48917088999997</v>
      </c>
      <c r="M243" s="457">
        <v>51.256426150999999</v>
      </c>
      <c r="N243" s="457">
        <v>3447.8324946799999</v>
      </c>
      <c r="O243" s="457">
        <v>140.74186698</v>
      </c>
    </row>
    <row r="244" spans="1:15" ht="12.75">
      <c r="A244" s="311" t="s">
        <v>19</v>
      </c>
      <c r="B244" s="457">
        <v>17587.221785509999</v>
      </c>
      <c r="C244" s="457">
        <v>690.22803666100003</v>
      </c>
      <c r="D244" s="457">
        <v>13152.53778452</v>
      </c>
      <c r="E244" s="457">
        <v>500.31258965000001</v>
      </c>
      <c r="F244" s="457">
        <v>2371.6997349100002</v>
      </c>
      <c r="G244" s="457">
        <v>83.798901090000001</v>
      </c>
      <c r="H244" s="457">
        <v>10780.83804961</v>
      </c>
      <c r="I244" s="457">
        <v>416.51368855999999</v>
      </c>
      <c r="J244" s="457">
        <v>4434.6840009899997</v>
      </c>
      <c r="K244" s="457">
        <v>189.915447011</v>
      </c>
      <c r="L244" s="457">
        <v>1049.74013386</v>
      </c>
      <c r="M244" s="457">
        <v>50.666347760999997</v>
      </c>
      <c r="N244" s="457">
        <v>3384.9438671299999</v>
      </c>
      <c r="O244" s="457">
        <v>139.24909925</v>
      </c>
    </row>
    <row r="245" spans="1:15" ht="12.75">
      <c r="A245" s="311" t="s">
        <v>20</v>
      </c>
      <c r="B245" s="457">
        <v>18007.769891451</v>
      </c>
      <c r="C245" s="457">
        <v>685.18649990100005</v>
      </c>
      <c r="D245" s="457">
        <v>13498.31508642</v>
      </c>
      <c r="E245" s="457">
        <v>484.17742141999997</v>
      </c>
      <c r="F245" s="457">
        <v>2451.8548598100001</v>
      </c>
      <c r="G245" s="457">
        <v>91.229191940000007</v>
      </c>
      <c r="H245" s="457">
        <v>11046.460226609999</v>
      </c>
      <c r="I245" s="457">
        <v>392.94822948000001</v>
      </c>
      <c r="J245" s="457">
        <v>4509.4548050310004</v>
      </c>
      <c r="K245" s="457">
        <v>201.00907848099999</v>
      </c>
      <c r="L245" s="457">
        <v>978.22342058100003</v>
      </c>
      <c r="M245" s="457">
        <v>57.715947030999999</v>
      </c>
      <c r="N245" s="457">
        <v>3531.23138445</v>
      </c>
      <c r="O245" s="457">
        <v>143.29313145</v>
      </c>
    </row>
    <row r="246" spans="1:15" ht="12.75">
      <c r="A246" s="311" t="s">
        <v>21</v>
      </c>
      <c r="B246" s="457">
        <v>18319.964781931001</v>
      </c>
      <c r="C246" s="457">
        <v>674.77748304099998</v>
      </c>
      <c r="D246" s="457">
        <v>13872.12866036</v>
      </c>
      <c r="E246" s="457">
        <v>473.43038794</v>
      </c>
      <c r="F246" s="457">
        <v>2553.1129154300002</v>
      </c>
      <c r="G246" s="457">
        <v>86.027146729999998</v>
      </c>
      <c r="H246" s="457">
        <v>11319.01574493</v>
      </c>
      <c r="I246" s="457">
        <v>387.40324120999998</v>
      </c>
      <c r="J246" s="457">
        <v>4447.8361215710001</v>
      </c>
      <c r="K246" s="457">
        <v>201.34709510100001</v>
      </c>
      <c r="L246" s="457">
        <v>969.477541761</v>
      </c>
      <c r="M246" s="457">
        <v>60.260919121000001</v>
      </c>
      <c r="N246" s="457">
        <v>3478.3585798099998</v>
      </c>
      <c r="O246" s="457">
        <v>141.08617598000001</v>
      </c>
    </row>
    <row r="247" spans="1:15" ht="12.75">
      <c r="A247" s="311" t="s">
        <v>22</v>
      </c>
      <c r="B247" s="457">
        <v>18577.875236771</v>
      </c>
      <c r="C247" s="457">
        <v>673.73641594100002</v>
      </c>
      <c r="D247" s="457">
        <v>14106.29408756</v>
      </c>
      <c r="E247" s="457">
        <v>472.73205044000002</v>
      </c>
      <c r="F247" s="457">
        <v>2530.4130721900001</v>
      </c>
      <c r="G247" s="457">
        <v>85.956871759999999</v>
      </c>
      <c r="H247" s="457">
        <v>11575.88101537</v>
      </c>
      <c r="I247" s="457">
        <v>386.77517868000001</v>
      </c>
      <c r="J247" s="457">
        <v>4471.5811492109997</v>
      </c>
      <c r="K247" s="457">
        <v>201.004365501</v>
      </c>
      <c r="L247" s="457">
        <v>1000.477938541</v>
      </c>
      <c r="M247" s="457">
        <v>57.545981490999999</v>
      </c>
      <c r="N247" s="457">
        <v>3471.10321067</v>
      </c>
      <c r="O247" s="457">
        <v>143.45838401</v>
      </c>
    </row>
    <row r="248" spans="1:15" ht="12.75">
      <c r="A248" s="311" t="s">
        <v>23</v>
      </c>
      <c r="B248" s="457">
        <v>18818.200924164601</v>
      </c>
      <c r="C248" s="457">
        <v>661.21798656500005</v>
      </c>
      <c r="D248" s="457">
        <v>14484.9212792096</v>
      </c>
      <c r="E248" s="457">
        <v>475.93267407000002</v>
      </c>
      <c r="F248" s="457">
        <v>2690.44674089</v>
      </c>
      <c r="G248" s="457">
        <v>90.75005256</v>
      </c>
      <c r="H248" s="457">
        <v>11794.4745383196</v>
      </c>
      <c r="I248" s="457">
        <v>385.18262150999999</v>
      </c>
      <c r="J248" s="457">
        <v>4333.2796449549996</v>
      </c>
      <c r="K248" s="457">
        <v>185.285312495</v>
      </c>
      <c r="L248" s="457">
        <v>1053.3818257349999</v>
      </c>
      <c r="M248" s="457">
        <v>55.946921345</v>
      </c>
      <c r="N248" s="457">
        <v>3279.8978192200002</v>
      </c>
      <c r="O248" s="457">
        <v>129.33839115000001</v>
      </c>
    </row>
    <row r="249" spans="1:15" ht="12.75">
      <c r="A249" s="311" t="s">
        <v>24</v>
      </c>
      <c r="B249" s="457">
        <v>18985.634951354601</v>
      </c>
      <c r="C249" s="457">
        <v>662.33321448499998</v>
      </c>
      <c r="D249" s="457">
        <v>14645.7346083596</v>
      </c>
      <c r="E249" s="457">
        <v>467.36739869000002</v>
      </c>
      <c r="F249" s="457">
        <v>2702.5018960500001</v>
      </c>
      <c r="G249" s="457">
        <v>87.147762479999997</v>
      </c>
      <c r="H249" s="457">
        <v>11943.2327123096</v>
      </c>
      <c r="I249" s="457">
        <v>380.21963620999998</v>
      </c>
      <c r="J249" s="457">
        <v>4339.9003429949998</v>
      </c>
      <c r="K249" s="457">
        <v>194.965815795</v>
      </c>
      <c r="L249" s="457">
        <v>1127.3708482750001</v>
      </c>
      <c r="M249" s="457">
        <v>58.126071455000002</v>
      </c>
      <c r="N249" s="457">
        <v>3212.52949472</v>
      </c>
      <c r="O249" s="457">
        <v>136.83974434000001</v>
      </c>
    </row>
    <row r="250" spans="1:15" ht="12.75">
      <c r="A250" s="311" t="s">
        <v>25</v>
      </c>
      <c r="B250" s="457">
        <v>19136.822267444601</v>
      </c>
      <c r="C250" s="457">
        <v>659.66022400500003</v>
      </c>
      <c r="D250" s="457">
        <v>14901.5514048696</v>
      </c>
      <c r="E250" s="457">
        <v>469.64002125000002</v>
      </c>
      <c r="F250" s="457">
        <v>2733.9640943300001</v>
      </c>
      <c r="G250" s="457">
        <v>81.403059510000006</v>
      </c>
      <c r="H250" s="457">
        <v>12167.5873105396</v>
      </c>
      <c r="I250" s="457">
        <v>388.23696174000003</v>
      </c>
      <c r="J250" s="457">
        <v>4235.2708625750001</v>
      </c>
      <c r="K250" s="457">
        <v>190.02020275500001</v>
      </c>
      <c r="L250" s="457">
        <v>1087.988881705</v>
      </c>
      <c r="M250" s="457">
        <v>57.074502225000003</v>
      </c>
      <c r="N250" s="457">
        <v>3147.2819808700001</v>
      </c>
      <c r="O250" s="457">
        <v>132.94570053000001</v>
      </c>
    </row>
    <row r="251" spans="1:15" ht="12.75">
      <c r="A251" s="311" t="s">
        <v>26</v>
      </c>
      <c r="B251" s="457">
        <v>19701.683635566002</v>
      </c>
      <c r="C251" s="457">
        <v>649.54999275199998</v>
      </c>
      <c r="D251" s="457">
        <v>15392.30191407</v>
      </c>
      <c r="E251" s="457">
        <v>455.75330437000002</v>
      </c>
      <c r="F251" s="457">
        <v>2869.4910226299999</v>
      </c>
      <c r="G251" s="457">
        <v>83.34328859</v>
      </c>
      <c r="H251" s="457">
        <v>12522.81089144</v>
      </c>
      <c r="I251" s="457">
        <v>372.41001577999998</v>
      </c>
      <c r="J251" s="457">
        <v>4309.381721496</v>
      </c>
      <c r="K251" s="457">
        <v>193.79668838200001</v>
      </c>
      <c r="L251" s="457">
        <v>1148.330734656</v>
      </c>
      <c r="M251" s="457">
        <v>60.564510192</v>
      </c>
      <c r="N251" s="457">
        <v>3161.05098684</v>
      </c>
      <c r="O251" s="457">
        <v>133.23217819000001</v>
      </c>
    </row>
    <row r="252" spans="1:15" ht="12.75">
      <c r="A252" s="311" t="s">
        <v>27</v>
      </c>
      <c r="B252" s="457">
        <v>20015.293326605999</v>
      </c>
      <c r="C252" s="457">
        <v>646.04418552200002</v>
      </c>
      <c r="D252" s="457">
        <v>15657.57166688</v>
      </c>
      <c r="E252" s="457">
        <v>451.23529952000001</v>
      </c>
      <c r="F252" s="457">
        <v>2876.8919725300002</v>
      </c>
      <c r="G252" s="457">
        <v>83.754464170000006</v>
      </c>
      <c r="H252" s="457">
        <v>12780.679694349999</v>
      </c>
      <c r="I252" s="457">
        <v>367.48083535000001</v>
      </c>
      <c r="J252" s="457">
        <v>4357.7216597260003</v>
      </c>
      <c r="K252" s="457">
        <v>194.80888600200001</v>
      </c>
      <c r="L252" s="457">
        <v>1084.880580606</v>
      </c>
      <c r="M252" s="457">
        <v>62.664213252000003</v>
      </c>
      <c r="N252" s="457">
        <v>3272.8410791199999</v>
      </c>
      <c r="O252" s="457">
        <v>132.14467275000001</v>
      </c>
    </row>
    <row r="253" spans="1:15" ht="12.75">
      <c r="A253" s="311" t="s">
        <v>28</v>
      </c>
      <c r="B253" s="457">
        <v>20218.690699965999</v>
      </c>
      <c r="C253" s="457">
        <v>641.27898531200003</v>
      </c>
      <c r="D253" s="457">
        <v>15993.274657940001</v>
      </c>
      <c r="E253" s="457">
        <v>445.73706358999999</v>
      </c>
      <c r="F253" s="457">
        <v>2889.15260519</v>
      </c>
      <c r="G253" s="457">
        <v>81.62865042</v>
      </c>
      <c r="H253" s="457">
        <v>13104.122052750001</v>
      </c>
      <c r="I253" s="457">
        <v>364.10841317000001</v>
      </c>
      <c r="J253" s="457">
        <v>4225.4160420259996</v>
      </c>
      <c r="K253" s="457">
        <v>195.54192172200001</v>
      </c>
      <c r="L253" s="457">
        <v>1017.090647246</v>
      </c>
      <c r="M253" s="457">
        <v>63.192332221999997</v>
      </c>
      <c r="N253" s="457">
        <v>3208.3253947799999</v>
      </c>
      <c r="O253" s="457">
        <v>132.34958950000001</v>
      </c>
    </row>
    <row r="254" spans="1:15" ht="12.75">
      <c r="A254" s="311" t="s">
        <v>29</v>
      </c>
      <c r="B254" s="457">
        <v>20183.981847880001</v>
      </c>
      <c r="C254" s="457">
        <v>593.74010190000001</v>
      </c>
      <c r="D254" s="457">
        <v>16194.32869187</v>
      </c>
      <c r="E254" s="457">
        <v>436.53477371999998</v>
      </c>
      <c r="F254" s="457">
        <v>2838.2065448600001</v>
      </c>
      <c r="G254" s="457">
        <v>74.676728499999996</v>
      </c>
      <c r="H254" s="457">
        <v>13356.122147010001</v>
      </c>
      <c r="I254" s="457">
        <v>361.85804522000001</v>
      </c>
      <c r="J254" s="457">
        <v>3989.6531560100002</v>
      </c>
      <c r="K254" s="457">
        <v>157.20532818000001</v>
      </c>
      <c r="L254" s="457">
        <v>770.83539777999999</v>
      </c>
      <c r="M254" s="457">
        <v>40.809313410000001</v>
      </c>
      <c r="N254" s="457">
        <v>3218.81775823</v>
      </c>
      <c r="O254" s="457">
        <v>116.39601476999999</v>
      </c>
    </row>
    <row r="255" spans="1:15" ht="12.75">
      <c r="A255" s="311" t="s">
        <v>3500</v>
      </c>
      <c r="B255" s="456">
        <v>23979.124360810001</v>
      </c>
      <c r="C255" s="456">
        <v>437.84492763999998</v>
      </c>
      <c r="D255" s="456">
        <v>19538.67965604</v>
      </c>
      <c r="E255" s="456">
        <v>329.30543438000001</v>
      </c>
      <c r="F255" s="456">
        <v>3279.7510183999998</v>
      </c>
      <c r="G255" s="456">
        <v>71.92944722</v>
      </c>
      <c r="H255" s="456">
        <v>16258.92863764</v>
      </c>
      <c r="I255" s="456">
        <v>257.37598716000002</v>
      </c>
      <c r="J255" s="456">
        <v>4440.4447047699996</v>
      </c>
      <c r="K255" s="456">
        <v>108.53949326</v>
      </c>
      <c r="L255" s="456">
        <v>811.43953900999998</v>
      </c>
      <c r="M255" s="456">
        <v>29.35570839</v>
      </c>
      <c r="N255" s="456">
        <v>3629.0051657600002</v>
      </c>
      <c r="O255" s="456">
        <v>79.183784869999997</v>
      </c>
    </row>
    <row r="256" spans="1:15" ht="12.75">
      <c r="A256" s="311" t="s">
        <v>18</v>
      </c>
      <c r="B256" s="457">
        <v>20259.212448210001</v>
      </c>
      <c r="C256" s="457">
        <v>583.77188913999998</v>
      </c>
      <c r="D256" s="457">
        <v>16247.718249989999</v>
      </c>
      <c r="E256" s="457">
        <v>430.77420088999997</v>
      </c>
      <c r="F256" s="457">
        <v>2844.3798399299999</v>
      </c>
      <c r="G256" s="457">
        <v>75.117670590000003</v>
      </c>
      <c r="H256" s="457">
        <v>13403.33841006</v>
      </c>
      <c r="I256" s="457">
        <v>355.65653029999999</v>
      </c>
      <c r="J256" s="457">
        <v>4011.4941982199998</v>
      </c>
      <c r="K256" s="457">
        <v>152.99768825000001</v>
      </c>
      <c r="L256" s="457">
        <v>758.50949849000006</v>
      </c>
      <c r="M256" s="457">
        <v>38.512668329999997</v>
      </c>
      <c r="N256" s="457">
        <v>3252.9846997300001</v>
      </c>
      <c r="O256" s="457">
        <v>114.48501992</v>
      </c>
    </row>
    <row r="257" spans="1:15" ht="12.75">
      <c r="A257" s="311" t="s">
        <v>19</v>
      </c>
      <c r="B257" s="457">
        <v>20347.050737609999</v>
      </c>
      <c r="C257" s="457">
        <v>606.13546266000003</v>
      </c>
      <c r="D257" s="457">
        <v>16370.65888243</v>
      </c>
      <c r="E257" s="457">
        <v>448.55554411000003</v>
      </c>
      <c r="F257" s="457">
        <v>2844.7116245699999</v>
      </c>
      <c r="G257" s="457">
        <v>84.947585169999996</v>
      </c>
      <c r="H257" s="457">
        <v>13525.94725786</v>
      </c>
      <c r="I257" s="457">
        <v>363.60795894</v>
      </c>
      <c r="J257" s="457">
        <v>3976.3918551800002</v>
      </c>
      <c r="K257" s="457">
        <v>157.57991855</v>
      </c>
      <c r="L257" s="457">
        <v>746.06364025000005</v>
      </c>
      <c r="M257" s="457">
        <v>41.52491551</v>
      </c>
      <c r="N257" s="457">
        <v>3230.3282149299998</v>
      </c>
      <c r="O257" s="457">
        <v>116.05500304</v>
      </c>
    </row>
    <row r="258" spans="1:15" ht="12.75">
      <c r="A258" s="311" t="s">
        <v>20</v>
      </c>
      <c r="B258" s="457">
        <v>20664.848433421801</v>
      </c>
      <c r="C258" s="457">
        <v>590.48680544000001</v>
      </c>
      <c r="D258" s="457">
        <v>16623.2786518418</v>
      </c>
      <c r="E258" s="457">
        <v>432.54660754000002</v>
      </c>
      <c r="F258" s="457">
        <v>2859.8299566300002</v>
      </c>
      <c r="G258" s="457">
        <v>80.957747389999994</v>
      </c>
      <c r="H258" s="457">
        <v>13763.4486952118</v>
      </c>
      <c r="I258" s="457">
        <v>351.58886015000002</v>
      </c>
      <c r="J258" s="457">
        <v>4041.5697815799999</v>
      </c>
      <c r="K258" s="457">
        <v>157.94019789999999</v>
      </c>
      <c r="L258" s="457">
        <v>719.54302233999999</v>
      </c>
      <c r="M258" s="457">
        <v>45.26216179</v>
      </c>
      <c r="N258" s="457">
        <v>3322.02675924</v>
      </c>
      <c r="O258" s="457">
        <v>112.67803610999999</v>
      </c>
    </row>
    <row r="259" spans="1:15" ht="12.75">
      <c r="A259" s="311" t="s">
        <v>21</v>
      </c>
      <c r="B259" s="457">
        <v>21005.880584801798</v>
      </c>
      <c r="C259" s="457">
        <v>591.79680065000002</v>
      </c>
      <c r="D259" s="457">
        <v>16972.109734211801</v>
      </c>
      <c r="E259" s="457">
        <v>436.58304476000001</v>
      </c>
      <c r="F259" s="457">
        <v>2908.7417461999999</v>
      </c>
      <c r="G259" s="457">
        <v>81.497288589999997</v>
      </c>
      <c r="H259" s="457">
        <v>14063.3679880118</v>
      </c>
      <c r="I259" s="457">
        <v>355.08575617000002</v>
      </c>
      <c r="J259" s="457">
        <v>4033.77085059</v>
      </c>
      <c r="K259" s="457">
        <v>155.21375588999999</v>
      </c>
      <c r="L259" s="457">
        <v>719.04521380999995</v>
      </c>
      <c r="M259" s="457">
        <v>41.3135677</v>
      </c>
      <c r="N259" s="457">
        <v>3314.7256367800001</v>
      </c>
      <c r="O259" s="457">
        <v>113.90018818999999</v>
      </c>
    </row>
    <row r="260" spans="1:15" ht="12.75">
      <c r="A260" s="311" t="s">
        <v>22</v>
      </c>
      <c r="B260" s="457">
        <v>21285.5233731218</v>
      </c>
      <c r="C260" s="457">
        <v>490.09126863</v>
      </c>
      <c r="D260" s="457">
        <v>17227.2383752118</v>
      </c>
      <c r="E260" s="457">
        <v>350.11316103000001</v>
      </c>
      <c r="F260" s="457">
        <v>2944.3698886900002</v>
      </c>
      <c r="G260" s="457">
        <v>68.253597040000002</v>
      </c>
      <c r="H260" s="457">
        <v>14282.8684865218</v>
      </c>
      <c r="I260" s="457">
        <v>281.85956399000003</v>
      </c>
      <c r="J260" s="457">
        <v>4058.2849979100001</v>
      </c>
      <c r="K260" s="457">
        <v>139.97810759999999</v>
      </c>
      <c r="L260" s="457">
        <v>709.45523959000002</v>
      </c>
      <c r="M260" s="457">
        <v>43.993907569999998</v>
      </c>
      <c r="N260" s="457">
        <v>3348.8297583200001</v>
      </c>
      <c r="O260" s="457">
        <v>95.984200029999997</v>
      </c>
    </row>
    <row r="261" spans="1:15" ht="12.75">
      <c r="A261" s="311" t="s">
        <v>23</v>
      </c>
      <c r="B261" s="457">
        <v>21966.172727879999</v>
      </c>
      <c r="C261" s="457">
        <v>502.27205501999998</v>
      </c>
      <c r="D261" s="457">
        <v>17657.848817599999</v>
      </c>
      <c r="E261" s="457">
        <v>365.72840668999999</v>
      </c>
      <c r="F261" s="457">
        <v>3021.8267226399998</v>
      </c>
      <c r="G261" s="457">
        <v>68.551594949999995</v>
      </c>
      <c r="H261" s="457">
        <v>14636.022094960001</v>
      </c>
      <c r="I261" s="457">
        <v>297.17681174000001</v>
      </c>
      <c r="J261" s="457">
        <v>4308.3239102799998</v>
      </c>
      <c r="K261" s="457">
        <v>136.54364833</v>
      </c>
      <c r="L261" s="457">
        <v>747.16751140999997</v>
      </c>
      <c r="M261" s="457">
        <v>45.653695560000003</v>
      </c>
      <c r="N261" s="457">
        <v>3561.15639887</v>
      </c>
      <c r="O261" s="457">
        <v>90.889952769999994</v>
      </c>
    </row>
    <row r="262" spans="1:15" ht="12.75">
      <c r="A262" s="311" t="s">
        <v>24</v>
      </c>
      <c r="B262" s="457">
        <v>22041.926831839999</v>
      </c>
      <c r="C262" s="457">
        <v>494.71576025000002</v>
      </c>
      <c r="D262" s="457">
        <v>17895.416983340001</v>
      </c>
      <c r="E262" s="457">
        <v>361.13621083999999</v>
      </c>
      <c r="F262" s="457">
        <v>2990.5629049899999</v>
      </c>
      <c r="G262" s="457">
        <v>84.85508093</v>
      </c>
      <c r="H262" s="457">
        <v>14904.854078349999</v>
      </c>
      <c r="I262" s="457">
        <v>276.28112991</v>
      </c>
      <c r="J262" s="457">
        <v>4146.5098484999999</v>
      </c>
      <c r="K262" s="457">
        <v>133.57954941</v>
      </c>
      <c r="L262" s="457">
        <v>709.37412331999997</v>
      </c>
      <c r="M262" s="457">
        <v>42.163245019999998</v>
      </c>
      <c r="N262" s="457">
        <v>3437.13572518</v>
      </c>
      <c r="O262" s="457">
        <v>91.416304389999993</v>
      </c>
    </row>
    <row r="263" spans="1:15" ht="12.75">
      <c r="A263" s="311" t="s">
        <v>25</v>
      </c>
      <c r="B263" s="457">
        <v>22484.122831910001</v>
      </c>
      <c r="C263" s="457">
        <v>534.25918471</v>
      </c>
      <c r="D263" s="457">
        <v>18275.482691239999</v>
      </c>
      <c r="E263" s="457">
        <v>379.56958030999999</v>
      </c>
      <c r="F263" s="457">
        <v>3021.4689004699999</v>
      </c>
      <c r="G263" s="457">
        <v>87.157941719999997</v>
      </c>
      <c r="H263" s="457">
        <v>15254.013790769999</v>
      </c>
      <c r="I263" s="457">
        <v>292.41163859</v>
      </c>
      <c r="J263" s="457">
        <v>4208.6401406699997</v>
      </c>
      <c r="K263" s="457">
        <v>154.68960440000001</v>
      </c>
      <c r="L263" s="457">
        <v>755.78059089999999</v>
      </c>
      <c r="M263" s="457">
        <v>43.653620429999997</v>
      </c>
      <c r="N263" s="457">
        <v>3452.8595497699998</v>
      </c>
      <c r="O263" s="457">
        <v>111.03598397</v>
      </c>
    </row>
    <row r="264" spans="1:15" ht="12.75">
      <c r="A264" s="311" t="s">
        <v>26</v>
      </c>
      <c r="B264" s="457">
        <v>23018.645831869999</v>
      </c>
      <c r="C264" s="457">
        <v>519.77127536</v>
      </c>
      <c r="D264" s="457">
        <v>18707.488789669998</v>
      </c>
      <c r="E264" s="457">
        <v>377.23773401</v>
      </c>
      <c r="F264" s="457">
        <v>3139.8801073499999</v>
      </c>
      <c r="G264" s="457">
        <v>85.811350660000002</v>
      </c>
      <c r="H264" s="457">
        <v>15567.60868232</v>
      </c>
      <c r="I264" s="457">
        <v>291.42638334999998</v>
      </c>
      <c r="J264" s="457">
        <v>4311.1570422000004</v>
      </c>
      <c r="K264" s="457">
        <v>142.53354135000001</v>
      </c>
      <c r="L264" s="457">
        <v>799.08413307000001</v>
      </c>
      <c r="M264" s="457">
        <v>36.779894140000003</v>
      </c>
      <c r="N264" s="457">
        <v>3512.07290913</v>
      </c>
      <c r="O264" s="457">
        <v>105.75364721</v>
      </c>
    </row>
    <row r="265" spans="1:15" ht="12.75">
      <c r="A265" s="311" t="s">
        <v>27</v>
      </c>
      <c r="B265" s="457">
        <v>23196.472673640001</v>
      </c>
      <c r="C265" s="457">
        <v>440.37917463999997</v>
      </c>
      <c r="D265" s="457">
        <v>18704.813698549999</v>
      </c>
      <c r="E265" s="457">
        <v>323.97866716999999</v>
      </c>
      <c r="F265" s="457">
        <v>3109.7670577099998</v>
      </c>
      <c r="G265" s="457">
        <v>63.389407869999999</v>
      </c>
      <c r="H265" s="457">
        <v>15595.046640840001</v>
      </c>
      <c r="I265" s="457">
        <v>260.58925929999998</v>
      </c>
      <c r="J265" s="457">
        <v>4491.6589750900002</v>
      </c>
      <c r="K265" s="457">
        <v>116.40050746999999</v>
      </c>
      <c r="L265" s="457">
        <v>775.05342868000002</v>
      </c>
      <c r="M265" s="457">
        <v>33.447762769999997</v>
      </c>
      <c r="N265" s="457">
        <v>3716.60554641</v>
      </c>
      <c r="O265" s="457">
        <v>82.952744699999997</v>
      </c>
    </row>
    <row r="266" spans="1:15" ht="12.75">
      <c r="A266" s="311" t="s">
        <v>28</v>
      </c>
      <c r="B266" s="457">
        <v>23617.991556720001</v>
      </c>
      <c r="C266" s="457">
        <v>440.25735591</v>
      </c>
      <c r="D266" s="457">
        <v>19125.188977919999</v>
      </c>
      <c r="E266" s="457">
        <v>327.77839140999998</v>
      </c>
      <c r="F266" s="457">
        <v>3208.8082476300001</v>
      </c>
      <c r="G266" s="457">
        <v>62.234772130000003</v>
      </c>
      <c r="H266" s="457">
        <v>15916.38073029</v>
      </c>
      <c r="I266" s="457">
        <v>265.54361927999997</v>
      </c>
      <c r="J266" s="457">
        <v>4492.8025788000004</v>
      </c>
      <c r="K266" s="457">
        <v>112.4789645</v>
      </c>
      <c r="L266" s="457">
        <v>811.44160772999999</v>
      </c>
      <c r="M266" s="457">
        <v>32.785406879999996</v>
      </c>
      <c r="N266" s="457">
        <v>3681.3609710699998</v>
      </c>
      <c r="O266" s="457">
        <v>79.693557620000007</v>
      </c>
    </row>
    <row r="267" spans="1:15" ht="12.75">
      <c r="A267" s="311" t="s">
        <v>29</v>
      </c>
      <c r="B267" s="457">
        <v>23979.124360810001</v>
      </c>
      <c r="C267" s="457">
        <v>437.84492763999998</v>
      </c>
      <c r="D267" s="457">
        <v>19538.67965604</v>
      </c>
      <c r="E267" s="457">
        <v>329.30543438000001</v>
      </c>
      <c r="F267" s="457">
        <v>3279.7510183999998</v>
      </c>
      <c r="G267" s="457">
        <v>71.92944722</v>
      </c>
      <c r="H267" s="457">
        <v>16258.92863764</v>
      </c>
      <c r="I267" s="457">
        <v>257.37598716000002</v>
      </c>
      <c r="J267" s="457">
        <v>4440.4447047699996</v>
      </c>
      <c r="K267" s="457">
        <v>108.53949326</v>
      </c>
      <c r="L267" s="457">
        <v>811.43953900999998</v>
      </c>
      <c r="M267" s="457">
        <v>29.35570839</v>
      </c>
      <c r="N267" s="457">
        <v>3629.0051657600002</v>
      </c>
      <c r="O267" s="457">
        <v>79.183784869999997</v>
      </c>
    </row>
    <row r="268" spans="1:15" ht="12.75">
      <c r="A268" s="311" t="s">
        <v>3971</v>
      </c>
      <c r="B268" s="456">
        <v>29288.227327680001</v>
      </c>
      <c r="C268" s="456">
        <v>449.13973557000003</v>
      </c>
      <c r="D268" s="456">
        <v>24772.999937280001</v>
      </c>
      <c r="E268" s="456">
        <v>347.74381510000001</v>
      </c>
      <c r="F268" s="456">
        <v>4124.9867796400003</v>
      </c>
      <c r="G268" s="456">
        <v>87.706676470000005</v>
      </c>
      <c r="H268" s="456">
        <v>20648.013157640002</v>
      </c>
      <c r="I268" s="456">
        <v>260.03713863000002</v>
      </c>
      <c r="J268" s="456">
        <v>4515.2273904000003</v>
      </c>
      <c r="K268" s="456">
        <v>101.39592046999999</v>
      </c>
      <c r="L268" s="456">
        <v>789.71808405000002</v>
      </c>
      <c r="M268" s="456">
        <v>24.27745672</v>
      </c>
      <c r="N268" s="456">
        <v>3725.5093063499999</v>
      </c>
      <c r="O268" s="456">
        <v>77.118463750000004</v>
      </c>
    </row>
    <row r="269" spans="1:15" ht="12.75">
      <c r="A269" s="311" t="s">
        <v>18</v>
      </c>
      <c r="B269" s="457">
        <v>24362.526631280001</v>
      </c>
      <c r="C269" s="457">
        <v>454.06281114000001</v>
      </c>
      <c r="D269" s="457">
        <v>19606.879828519999</v>
      </c>
      <c r="E269" s="457">
        <v>344.75044946000003</v>
      </c>
      <c r="F269" s="457">
        <v>3218.1220804</v>
      </c>
      <c r="G269" s="457">
        <v>73.426248740000005</v>
      </c>
      <c r="H269" s="457">
        <v>16388.757748119999</v>
      </c>
      <c r="I269" s="457">
        <v>271.32420072000002</v>
      </c>
      <c r="J269" s="457">
        <v>4755.6468027600004</v>
      </c>
      <c r="K269" s="457">
        <v>109.31236168</v>
      </c>
      <c r="L269" s="457">
        <v>774.35494917000005</v>
      </c>
      <c r="M269" s="457">
        <v>28.912655879999999</v>
      </c>
      <c r="N269" s="457">
        <v>3981.2918535899998</v>
      </c>
      <c r="O269" s="457">
        <v>80.399705800000007</v>
      </c>
    </row>
    <row r="270" spans="1:15" ht="12.75">
      <c r="A270" s="311" t="s">
        <v>19</v>
      </c>
      <c r="B270" s="457">
        <v>24629.126192600001</v>
      </c>
      <c r="C270" s="457">
        <v>469.15723987000001</v>
      </c>
      <c r="D270" s="457">
        <v>19892.837348249999</v>
      </c>
      <c r="E270" s="457">
        <v>353.88525865000003</v>
      </c>
      <c r="F270" s="457">
        <v>3259.65036779</v>
      </c>
      <c r="G270" s="457">
        <v>80.992791220000001</v>
      </c>
      <c r="H270" s="457">
        <v>16633.186980459999</v>
      </c>
      <c r="I270" s="457">
        <v>272.89246743000001</v>
      </c>
      <c r="J270" s="457">
        <v>4736.2888443499996</v>
      </c>
      <c r="K270" s="457">
        <v>115.27198122</v>
      </c>
      <c r="L270" s="457">
        <v>753.62811952000004</v>
      </c>
      <c r="M270" s="457">
        <v>28.983696370000001</v>
      </c>
      <c r="N270" s="457">
        <v>3982.6607248300002</v>
      </c>
      <c r="O270" s="457">
        <v>86.288284849999997</v>
      </c>
    </row>
    <row r="271" spans="1:15" ht="12.75">
      <c r="A271" s="311" t="s">
        <v>20</v>
      </c>
      <c r="B271" s="457">
        <v>25442.69492468</v>
      </c>
      <c r="C271" s="457">
        <v>470.75581861000001</v>
      </c>
      <c r="D271" s="457">
        <v>20726.472554569998</v>
      </c>
      <c r="E271" s="457">
        <v>356.49317094999998</v>
      </c>
      <c r="F271" s="457">
        <v>3363.40449137</v>
      </c>
      <c r="G271" s="457">
        <v>79.180929539999994</v>
      </c>
      <c r="H271" s="457">
        <v>17363.0680632</v>
      </c>
      <c r="I271" s="457">
        <v>277.31224141000001</v>
      </c>
      <c r="J271" s="457">
        <v>4716.2223701100002</v>
      </c>
      <c r="K271" s="457">
        <v>114.26264766</v>
      </c>
      <c r="L271" s="457">
        <v>754.52586536000001</v>
      </c>
      <c r="M271" s="457">
        <v>32.104515769999999</v>
      </c>
      <c r="N271" s="457">
        <v>3961.6965047499998</v>
      </c>
      <c r="O271" s="457">
        <v>82.158131890000007</v>
      </c>
    </row>
    <row r="272" spans="1:15" ht="12.75">
      <c r="A272" s="311" t="s">
        <v>21</v>
      </c>
      <c r="B272" s="457">
        <v>25984.53292089</v>
      </c>
      <c r="C272" s="457">
        <v>462.24683622999999</v>
      </c>
      <c r="D272" s="457">
        <v>21295.683595639999</v>
      </c>
      <c r="E272" s="457">
        <v>355.71784070000001</v>
      </c>
      <c r="F272" s="457">
        <v>3517.2154219700001</v>
      </c>
      <c r="G272" s="457">
        <v>81.70442869</v>
      </c>
      <c r="H272" s="457">
        <v>17778.46817367</v>
      </c>
      <c r="I272" s="457">
        <v>274.01341201000002</v>
      </c>
      <c r="J272" s="457">
        <v>4688.8493252500002</v>
      </c>
      <c r="K272" s="457">
        <v>106.52899553</v>
      </c>
      <c r="L272" s="457">
        <v>735.84520079000004</v>
      </c>
      <c r="M272" s="457">
        <v>32.129931499999998</v>
      </c>
      <c r="N272" s="457">
        <v>3953.0041244600002</v>
      </c>
      <c r="O272" s="457">
        <v>74.399064030000005</v>
      </c>
    </row>
    <row r="273" spans="1:15" ht="12.75">
      <c r="A273" s="311" t="s">
        <v>22</v>
      </c>
      <c r="B273" s="457">
        <v>26498.262998329999</v>
      </c>
      <c r="C273" s="457">
        <v>466.54076087999999</v>
      </c>
      <c r="D273" s="457">
        <v>21815.774135520001</v>
      </c>
      <c r="E273" s="457">
        <v>361.32318459999999</v>
      </c>
      <c r="F273" s="457">
        <v>3581.6015422199998</v>
      </c>
      <c r="G273" s="457">
        <v>80.723460250000002</v>
      </c>
      <c r="H273" s="457">
        <v>18234.172593300002</v>
      </c>
      <c r="I273" s="457">
        <v>280.59972434999997</v>
      </c>
      <c r="J273" s="457">
        <v>4682.4888628099998</v>
      </c>
      <c r="K273" s="457">
        <v>105.21757628</v>
      </c>
      <c r="L273" s="457">
        <v>722.33841077</v>
      </c>
      <c r="M273" s="457">
        <v>28.359501529999999</v>
      </c>
      <c r="N273" s="457">
        <v>3960.1504520399999</v>
      </c>
      <c r="O273" s="457">
        <v>76.85807475</v>
      </c>
    </row>
    <row r="274" spans="1:15" ht="12.75">
      <c r="A274" s="311" t="s">
        <v>23</v>
      </c>
      <c r="B274" s="457">
        <v>27003.267941400001</v>
      </c>
      <c r="C274" s="457">
        <v>451.69949761999999</v>
      </c>
      <c r="D274" s="457">
        <v>22345.925751219998</v>
      </c>
      <c r="E274" s="457">
        <v>347.86828634</v>
      </c>
      <c r="F274" s="457">
        <v>3590.9376369900001</v>
      </c>
      <c r="G274" s="457">
        <v>79.519376969999996</v>
      </c>
      <c r="H274" s="457">
        <v>18754.98811423</v>
      </c>
      <c r="I274" s="457">
        <v>268.34890937</v>
      </c>
      <c r="J274" s="457">
        <v>4657.3421901800002</v>
      </c>
      <c r="K274" s="457">
        <v>103.83121128000001</v>
      </c>
      <c r="L274" s="457">
        <v>728.86460674</v>
      </c>
      <c r="M274" s="457">
        <v>27.845313050000001</v>
      </c>
      <c r="N274" s="457">
        <v>3928.4775834400002</v>
      </c>
      <c r="O274" s="457">
        <v>75.985898230000004</v>
      </c>
    </row>
    <row r="275" spans="1:15" ht="12.75">
      <c r="A275" s="311" t="s">
        <v>24</v>
      </c>
      <c r="B275" s="457">
        <v>27268.459685689999</v>
      </c>
      <c r="C275" s="457">
        <v>453.71234934</v>
      </c>
      <c r="D275" s="457">
        <v>22666.359928599999</v>
      </c>
      <c r="E275" s="457">
        <v>348.54496949999998</v>
      </c>
      <c r="F275" s="457">
        <v>3628.3493883900001</v>
      </c>
      <c r="G275" s="457">
        <v>74.620008749999997</v>
      </c>
      <c r="H275" s="457">
        <v>19038.010540210002</v>
      </c>
      <c r="I275" s="457">
        <v>273.92496075000003</v>
      </c>
      <c r="J275" s="457">
        <v>4602.0997570899999</v>
      </c>
      <c r="K275" s="457">
        <v>105.16737984</v>
      </c>
      <c r="L275" s="457">
        <v>707.97169618999999</v>
      </c>
      <c r="M275" s="457">
        <v>29.411618610000001</v>
      </c>
      <c r="N275" s="457">
        <v>3894.1280609</v>
      </c>
      <c r="O275" s="457">
        <v>75.755761230000005</v>
      </c>
    </row>
    <row r="276" spans="1:15" ht="12.75">
      <c r="A276" s="311" t="s">
        <v>25</v>
      </c>
      <c r="B276" s="457">
        <v>27649.3614151</v>
      </c>
      <c r="C276" s="457">
        <v>473.10461577000001</v>
      </c>
      <c r="D276" s="457">
        <v>23038.07482269</v>
      </c>
      <c r="E276" s="457">
        <v>369.04038188999999</v>
      </c>
      <c r="F276" s="457">
        <v>3619.2679830500001</v>
      </c>
      <c r="G276" s="457">
        <v>81.545688400000003</v>
      </c>
      <c r="H276" s="457">
        <v>19418.806839640001</v>
      </c>
      <c r="I276" s="457">
        <v>287.49469348999997</v>
      </c>
      <c r="J276" s="457">
        <v>4611.2865924099997</v>
      </c>
      <c r="K276" s="457">
        <v>104.06423388</v>
      </c>
      <c r="L276" s="457">
        <v>726.64301048000004</v>
      </c>
      <c r="M276" s="457">
        <v>29.306893509999998</v>
      </c>
      <c r="N276" s="457">
        <v>3884.64358193</v>
      </c>
      <c r="O276" s="457">
        <v>74.757340369999994</v>
      </c>
    </row>
    <row r="277" spans="1:15" ht="12.75">
      <c r="A277" s="311" t="s">
        <v>26</v>
      </c>
      <c r="B277" s="457">
        <v>28404.620061260001</v>
      </c>
      <c r="C277" s="457">
        <v>480.04100023000001</v>
      </c>
      <c r="D277" s="457">
        <v>23684.058572990001</v>
      </c>
      <c r="E277" s="457">
        <v>372.32652953000002</v>
      </c>
      <c r="F277" s="457">
        <v>3832.8364422099999</v>
      </c>
      <c r="G277" s="457">
        <v>74.313010950000006</v>
      </c>
      <c r="H277" s="457">
        <v>19851.222130779999</v>
      </c>
      <c r="I277" s="457">
        <v>298.01351857999998</v>
      </c>
      <c r="J277" s="457">
        <v>4720.5614882700002</v>
      </c>
      <c r="K277" s="457">
        <v>107.71447070000001</v>
      </c>
      <c r="L277" s="457">
        <v>743.85090855999999</v>
      </c>
      <c r="M277" s="457">
        <v>27.5701322</v>
      </c>
      <c r="N277" s="457">
        <v>3976.7105797099998</v>
      </c>
      <c r="O277" s="457">
        <v>80.144338500000003</v>
      </c>
    </row>
    <row r="278" spans="1:15" ht="12.75">
      <c r="A278" s="311" t="s">
        <v>27</v>
      </c>
      <c r="B278" s="457">
        <v>28779.170425889999</v>
      </c>
      <c r="C278" s="457">
        <v>479.76418251000001</v>
      </c>
      <c r="D278" s="457">
        <v>24084.66752649</v>
      </c>
      <c r="E278" s="457">
        <v>371.73544606000002</v>
      </c>
      <c r="F278" s="457">
        <v>3908.42588346</v>
      </c>
      <c r="G278" s="457">
        <v>80.322872919999995</v>
      </c>
      <c r="H278" s="457">
        <v>20176.24164303</v>
      </c>
      <c r="I278" s="457">
        <v>291.41257314000001</v>
      </c>
      <c r="J278" s="457">
        <v>4694.5028994000004</v>
      </c>
      <c r="K278" s="457">
        <v>108.02873645</v>
      </c>
      <c r="L278" s="457">
        <v>716.31315165000001</v>
      </c>
      <c r="M278" s="457">
        <v>23.569106049999998</v>
      </c>
      <c r="N278" s="457">
        <v>3978.1897477500002</v>
      </c>
      <c r="O278" s="457">
        <v>84.459630399999995</v>
      </c>
    </row>
    <row r="279" spans="1:15" ht="12.75">
      <c r="A279" s="311" t="s">
        <v>28</v>
      </c>
      <c r="B279" s="457">
        <v>29066.795478110002</v>
      </c>
      <c r="C279" s="457">
        <v>496.61938093999999</v>
      </c>
      <c r="D279" s="457">
        <v>24385.677927550001</v>
      </c>
      <c r="E279" s="457">
        <v>378.09449183999999</v>
      </c>
      <c r="F279" s="457">
        <v>4000.54442178</v>
      </c>
      <c r="G279" s="457">
        <v>83.482935299999994</v>
      </c>
      <c r="H279" s="457">
        <v>20385.133505770002</v>
      </c>
      <c r="I279" s="457">
        <v>294.61155653999998</v>
      </c>
      <c r="J279" s="457">
        <v>4681.1175505600004</v>
      </c>
      <c r="K279" s="457">
        <v>118.5248891</v>
      </c>
      <c r="L279" s="457">
        <v>788.73600943999998</v>
      </c>
      <c r="M279" s="457">
        <v>37.004458309999997</v>
      </c>
      <c r="N279" s="457">
        <v>3892.3815411199998</v>
      </c>
      <c r="O279" s="457">
        <v>81.520430790000006</v>
      </c>
    </row>
    <row r="280" spans="1:15" ht="12.75">
      <c r="A280" s="311" t="s">
        <v>29</v>
      </c>
      <c r="B280" s="457">
        <v>29288.227327680001</v>
      </c>
      <c r="C280" s="457">
        <v>449.13973557000003</v>
      </c>
      <c r="D280" s="457">
        <v>24772.999937280001</v>
      </c>
      <c r="E280" s="457">
        <v>347.74381510000001</v>
      </c>
      <c r="F280" s="457">
        <v>4124.9867796400003</v>
      </c>
      <c r="G280" s="457">
        <v>87.706676470000005</v>
      </c>
      <c r="H280" s="457">
        <v>20648.013157640002</v>
      </c>
      <c r="I280" s="457">
        <v>260.03713863000002</v>
      </c>
      <c r="J280" s="457">
        <v>4515.2273904000003</v>
      </c>
      <c r="K280" s="457">
        <v>101.39592046999999</v>
      </c>
      <c r="L280" s="457">
        <v>789.71808405000002</v>
      </c>
      <c r="M280" s="457">
        <v>24.27745672</v>
      </c>
      <c r="N280" s="457">
        <v>3725.5093063499999</v>
      </c>
      <c r="O280" s="457">
        <v>77.118463750000004</v>
      </c>
    </row>
    <row r="281" spans="1:15" ht="12.75">
      <c r="A281" s="311" t="s">
        <v>4202</v>
      </c>
      <c r="B281" s="456">
        <v>31946.74079942</v>
      </c>
      <c r="C281" s="456">
        <v>524.52293808000002</v>
      </c>
      <c r="D281" s="456">
        <v>27593.984601979999</v>
      </c>
      <c r="E281" s="456">
        <v>444.67607131</v>
      </c>
      <c r="F281" s="456">
        <v>4561.5789397600001</v>
      </c>
      <c r="G281" s="456">
        <v>104.53189707999999</v>
      </c>
      <c r="H281" s="456">
        <v>23032.405662220001</v>
      </c>
      <c r="I281" s="456">
        <v>340.14417422999998</v>
      </c>
      <c r="J281" s="456">
        <v>4352.7561974399996</v>
      </c>
      <c r="K281" s="456">
        <v>79.846866770000005</v>
      </c>
      <c r="L281" s="456">
        <v>1224.67218551</v>
      </c>
      <c r="M281" s="456">
        <v>10.90720044</v>
      </c>
      <c r="N281" s="456">
        <v>3128.0840119300001</v>
      </c>
      <c r="O281" s="456">
        <v>68.939666329999994</v>
      </c>
    </row>
    <row r="282" spans="1:15" ht="12.75">
      <c r="A282" s="311" t="s">
        <v>18</v>
      </c>
      <c r="B282" s="457">
        <v>29325.25269265</v>
      </c>
      <c r="C282" s="457">
        <v>475.08339328</v>
      </c>
      <c r="D282" s="457">
        <v>24890.347479529999</v>
      </c>
      <c r="E282" s="457">
        <v>369.05387346999998</v>
      </c>
      <c r="F282" s="457">
        <v>4105.8739798699999</v>
      </c>
      <c r="G282" s="457">
        <v>76.119052859999996</v>
      </c>
      <c r="H282" s="457">
        <v>20784.473499659998</v>
      </c>
      <c r="I282" s="457">
        <v>292.93482060999997</v>
      </c>
      <c r="J282" s="457">
        <v>4434.9052131199996</v>
      </c>
      <c r="K282" s="457">
        <v>106.02951981</v>
      </c>
      <c r="L282" s="457">
        <v>771.22179559000006</v>
      </c>
      <c r="M282" s="457">
        <v>27.7576021</v>
      </c>
      <c r="N282" s="457">
        <v>3663.68341753</v>
      </c>
      <c r="O282" s="457">
        <v>78.271917709999997</v>
      </c>
    </row>
    <row r="283" spans="1:15" ht="12.75">
      <c r="A283" s="311" t="s">
        <v>19</v>
      </c>
      <c r="B283" s="457">
        <v>29402.91989112</v>
      </c>
      <c r="C283" s="457">
        <v>480.14675621999999</v>
      </c>
      <c r="D283" s="457">
        <v>25055.001054150001</v>
      </c>
      <c r="E283" s="457">
        <v>377.39027275000001</v>
      </c>
      <c r="F283" s="457">
        <v>4080.66249595</v>
      </c>
      <c r="G283" s="457">
        <v>75.393529869999995</v>
      </c>
      <c r="H283" s="457">
        <v>20974.338558200001</v>
      </c>
      <c r="I283" s="457">
        <v>301.99674288</v>
      </c>
      <c r="J283" s="457">
        <v>4347.9188369699996</v>
      </c>
      <c r="K283" s="457">
        <v>102.75648347000001</v>
      </c>
      <c r="L283" s="457">
        <v>750.57077162999997</v>
      </c>
      <c r="M283" s="457">
        <v>24.238983919999999</v>
      </c>
      <c r="N283" s="457">
        <v>3597.3480653400002</v>
      </c>
      <c r="O283" s="457">
        <v>78.517499549999997</v>
      </c>
    </row>
    <row r="284" spans="1:15" ht="12.75">
      <c r="A284" s="311" t="s">
        <v>20</v>
      </c>
      <c r="B284" s="457">
        <v>29679.37509813</v>
      </c>
      <c r="C284" s="457">
        <v>481.55137305</v>
      </c>
      <c r="D284" s="457">
        <v>25287.427182949999</v>
      </c>
      <c r="E284" s="457">
        <v>383.32324929999999</v>
      </c>
      <c r="F284" s="457">
        <v>4147.0739613200003</v>
      </c>
      <c r="G284" s="457">
        <v>75.275105429999996</v>
      </c>
      <c r="H284" s="457">
        <v>21140.353221630001</v>
      </c>
      <c r="I284" s="457">
        <v>308.04814386999999</v>
      </c>
      <c r="J284" s="457">
        <v>4391.9479151799997</v>
      </c>
      <c r="K284" s="457">
        <v>98.228123749999995</v>
      </c>
      <c r="L284" s="457">
        <v>764.14570759000003</v>
      </c>
      <c r="M284" s="457">
        <v>21.970118410000001</v>
      </c>
      <c r="N284" s="457">
        <v>3627.8022075899999</v>
      </c>
      <c r="O284" s="457">
        <v>76.258005339999997</v>
      </c>
    </row>
    <row r="285" spans="1:15" ht="12.75">
      <c r="A285" s="311" t="s">
        <v>21</v>
      </c>
      <c r="B285" s="457">
        <v>29898.773418969999</v>
      </c>
      <c r="C285" s="457">
        <v>502.60593611000002</v>
      </c>
      <c r="D285" s="457">
        <v>25553.898530900002</v>
      </c>
      <c r="E285" s="457">
        <v>404.73874255999999</v>
      </c>
      <c r="F285" s="457">
        <v>4129.9156296199999</v>
      </c>
      <c r="G285" s="457">
        <v>81.703665360000002</v>
      </c>
      <c r="H285" s="457">
        <v>21423.98290128</v>
      </c>
      <c r="I285" s="457">
        <v>323.03507719999999</v>
      </c>
      <c r="J285" s="457">
        <v>4344.8748880700005</v>
      </c>
      <c r="K285" s="457">
        <v>97.867193549999996</v>
      </c>
      <c r="L285" s="457">
        <v>722.82011519000002</v>
      </c>
      <c r="M285" s="457">
        <v>21.780581160000001</v>
      </c>
      <c r="N285" s="457">
        <v>3622.0547728800002</v>
      </c>
      <c r="O285" s="457">
        <v>76.086612389999999</v>
      </c>
    </row>
    <row r="286" spans="1:15" ht="12.75">
      <c r="A286" s="311" t="s">
        <v>22</v>
      </c>
      <c r="B286" s="457">
        <v>30188.759704479999</v>
      </c>
      <c r="C286" s="457">
        <v>508.31303802999997</v>
      </c>
      <c r="D286" s="457">
        <v>25905.124317950002</v>
      </c>
      <c r="E286" s="457">
        <v>413.45249242</v>
      </c>
      <c r="F286" s="457">
        <v>4282.1272783900004</v>
      </c>
      <c r="G286" s="457">
        <v>86.889085300000005</v>
      </c>
      <c r="H286" s="457">
        <v>21622.997039559999</v>
      </c>
      <c r="I286" s="457">
        <v>326.56340712000002</v>
      </c>
      <c r="J286" s="457">
        <v>4283.6353865299998</v>
      </c>
      <c r="K286" s="457">
        <v>94.860545610000003</v>
      </c>
      <c r="L286" s="457">
        <v>674.35703154999999</v>
      </c>
      <c r="M286" s="457">
        <v>20.463180300000001</v>
      </c>
      <c r="N286" s="457">
        <v>3609.2783549800001</v>
      </c>
      <c r="O286" s="457">
        <v>74.397365309999998</v>
      </c>
    </row>
    <row r="287" spans="1:15" ht="12.75">
      <c r="A287" s="311" t="s">
        <v>23</v>
      </c>
      <c r="B287" s="457">
        <v>30231.82861271</v>
      </c>
      <c r="C287" s="457">
        <v>527.42732765000005</v>
      </c>
      <c r="D287" s="457">
        <v>25991.71295904</v>
      </c>
      <c r="E287" s="457">
        <v>437.13509454000001</v>
      </c>
      <c r="F287" s="457">
        <v>4246.11911263</v>
      </c>
      <c r="G287" s="457">
        <v>97.50100759</v>
      </c>
      <c r="H287" s="457">
        <v>21745.59384641</v>
      </c>
      <c r="I287" s="457">
        <v>339.63408694999998</v>
      </c>
      <c r="J287" s="457">
        <v>4240.11565367</v>
      </c>
      <c r="K287" s="457">
        <v>90.292233109999998</v>
      </c>
      <c r="L287" s="457">
        <v>663.06521075000001</v>
      </c>
      <c r="M287" s="457">
        <v>20.042064230000001</v>
      </c>
      <c r="N287" s="457">
        <v>3577.05044292</v>
      </c>
      <c r="O287" s="457">
        <v>70.250168880000004</v>
      </c>
    </row>
    <row r="288" spans="1:15" ht="12.75">
      <c r="A288" s="311" t="s">
        <v>24</v>
      </c>
      <c r="B288" s="457">
        <v>30257.866734399999</v>
      </c>
      <c r="C288" s="457">
        <v>529.38554863000002</v>
      </c>
      <c r="D288" s="457">
        <v>26114.884795350001</v>
      </c>
      <c r="E288" s="457">
        <v>433.62232299999999</v>
      </c>
      <c r="F288" s="457">
        <v>4174.5847408</v>
      </c>
      <c r="G288" s="457">
        <v>90.934143860000006</v>
      </c>
      <c r="H288" s="457">
        <v>21940.30005455</v>
      </c>
      <c r="I288" s="457">
        <v>342.68817913999999</v>
      </c>
      <c r="J288" s="457">
        <v>4142.9819390499997</v>
      </c>
      <c r="K288" s="457">
        <v>95.763225629999994</v>
      </c>
      <c r="L288" s="457">
        <v>669.98931054000002</v>
      </c>
      <c r="M288" s="457">
        <v>23.26715742</v>
      </c>
      <c r="N288" s="457">
        <v>3472.99262851</v>
      </c>
      <c r="O288" s="457">
        <v>72.496068210000004</v>
      </c>
    </row>
    <row r="289" spans="1:35" ht="12.75">
      <c r="A289" s="311" t="s">
        <v>25</v>
      </c>
      <c r="B289" s="457">
        <v>30464.592508099999</v>
      </c>
      <c r="C289" s="457">
        <v>530.93098662</v>
      </c>
      <c r="D289" s="457">
        <v>26386.956625859999</v>
      </c>
      <c r="E289" s="457">
        <v>434.34427352</v>
      </c>
      <c r="F289" s="457">
        <v>4246.7935619399996</v>
      </c>
      <c r="G289" s="457">
        <v>87.314347949999998</v>
      </c>
      <c r="H289" s="457">
        <v>22140.163063920001</v>
      </c>
      <c r="I289" s="457">
        <v>347.02992556999999</v>
      </c>
      <c r="J289" s="457">
        <v>4077.6358822399998</v>
      </c>
      <c r="K289" s="457">
        <v>96.586713099999997</v>
      </c>
      <c r="L289" s="457">
        <v>706.19053534</v>
      </c>
      <c r="M289" s="457">
        <v>25.370452490000002</v>
      </c>
      <c r="N289" s="457">
        <v>3371.4453469</v>
      </c>
      <c r="O289" s="457">
        <v>71.216260610000006</v>
      </c>
    </row>
    <row r="290" spans="1:35" ht="12.75">
      <c r="A290" s="311" t="s">
        <v>26</v>
      </c>
      <c r="B290" s="457">
        <v>31041.837153820001</v>
      </c>
      <c r="C290" s="457">
        <v>528.11218530999997</v>
      </c>
      <c r="D290" s="457">
        <v>26802.0980175</v>
      </c>
      <c r="E290" s="457">
        <v>438.42340838000001</v>
      </c>
      <c r="F290" s="457">
        <v>4356.4046499899996</v>
      </c>
      <c r="G290" s="457">
        <v>88.088407930000002</v>
      </c>
      <c r="H290" s="457">
        <v>22445.693367510001</v>
      </c>
      <c r="I290" s="457">
        <v>350.33500045</v>
      </c>
      <c r="J290" s="457">
        <v>4239.7391363200004</v>
      </c>
      <c r="K290" s="457">
        <v>89.688776930000003</v>
      </c>
      <c r="L290" s="457">
        <v>937.77645396000003</v>
      </c>
      <c r="M290" s="457">
        <v>19.883170849999999</v>
      </c>
      <c r="N290" s="457">
        <v>3301.9626823600001</v>
      </c>
      <c r="O290" s="457">
        <v>69.805606080000004</v>
      </c>
    </row>
    <row r="291" spans="1:35" ht="12.75">
      <c r="A291" s="311" t="s">
        <v>27</v>
      </c>
      <c r="B291" s="457">
        <v>31169.389489249999</v>
      </c>
      <c r="C291" s="457">
        <v>544.82034839000005</v>
      </c>
      <c r="D291" s="457">
        <v>26953.702157110001</v>
      </c>
      <c r="E291" s="457">
        <v>447.70975772999998</v>
      </c>
      <c r="F291" s="457">
        <v>4359.4106442900002</v>
      </c>
      <c r="G291" s="457">
        <v>85.556204399999999</v>
      </c>
      <c r="H291" s="457">
        <v>22594.29151282</v>
      </c>
      <c r="I291" s="457">
        <v>362.15355333000002</v>
      </c>
      <c r="J291" s="457">
        <v>4215.6873321399999</v>
      </c>
      <c r="K291" s="457">
        <v>97.11059066</v>
      </c>
      <c r="L291" s="457">
        <v>1108.3220249799999</v>
      </c>
      <c r="M291" s="457">
        <v>18.432502979999999</v>
      </c>
      <c r="N291" s="457">
        <v>3107.3653071600002</v>
      </c>
      <c r="O291" s="457">
        <v>78.678087680000004</v>
      </c>
    </row>
    <row r="292" spans="1:35" ht="12.75">
      <c r="A292" s="311" t="s">
        <v>28</v>
      </c>
      <c r="B292" s="457">
        <v>31451.061556090001</v>
      </c>
      <c r="C292" s="457">
        <v>557.58692733999999</v>
      </c>
      <c r="D292" s="457">
        <v>27171.42417808</v>
      </c>
      <c r="E292" s="457">
        <v>464.76872900000001</v>
      </c>
      <c r="F292" s="457">
        <v>4429.9995524400001</v>
      </c>
      <c r="G292" s="457">
        <v>105.94712751</v>
      </c>
      <c r="H292" s="457">
        <v>22741.42462564</v>
      </c>
      <c r="I292" s="457">
        <v>358.82160148999998</v>
      </c>
      <c r="J292" s="457">
        <v>4279.6373780100002</v>
      </c>
      <c r="K292" s="457">
        <v>92.818198339999995</v>
      </c>
      <c r="L292" s="457">
        <v>1176.0310038600001</v>
      </c>
      <c r="M292" s="457">
        <v>16.34954836</v>
      </c>
      <c r="N292" s="457">
        <v>3103.6063741500002</v>
      </c>
      <c r="O292" s="457">
        <v>76.468649979999995</v>
      </c>
    </row>
    <row r="293" spans="1:35" ht="12.75">
      <c r="A293" s="311" t="s">
        <v>29</v>
      </c>
      <c r="B293" s="457">
        <v>31946.74079942</v>
      </c>
      <c r="C293" s="457">
        <v>524.52293808000002</v>
      </c>
      <c r="D293" s="457">
        <v>27593.984601979999</v>
      </c>
      <c r="E293" s="457">
        <v>444.67607131</v>
      </c>
      <c r="F293" s="457">
        <v>4561.5789397600001</v>
      </c>
      <c r="G293" s="457">
        <v>104.53189707999999</v>
      </c>
      <c r="H293" s="457">
        <v>23032.405662220001</v>
      </c>
      <c r="I293" s="457">
        <v>340.14417422999998</v>
      </c>
      <c r="J293" s="457">
        <v>4352.7561974399996</v>
      </c>
      <c r="K293" s="457">
        <v>79.846866770000005</v>
      </c>
      <c r="L293" s="457">
        <v>1224.67218551</v>
      </c>
      <c r="M293" s="457">
        <v>10.90720044</v>
      </c>
      <c r="N293" s="457">
        <v>3128.0840119300001</v>
      </c>
      <c r="O293" s="457">
        <v>68.939666329999994</v>
      </c>
    </row>
    <row r="294" spans="1:35" ht="12.75">
      <c r="A294" s="311" t="s">
        <v>4465</v>
      </c>
      <c r="B294" s="457"/>
      <c r="C294" s="457"/>
      <c r="D294" s="457"/>
      <c r="E294" s="457"/>
      <c r="F294" s="457"/>
      <c r="G294" s="457"/>
      <c r="H294" s="457"/>
      <c r="I294" s="457"/>
      <c r="J294" s="457"/>
      <c r="K294" s="457"/>
      <c r="L294" s="457"/>
      <c r="M294" s="457"/>
      <c r="N294" s="457"/>
      <c r="O294" s="457"/>
    </row>
    <row r="295" spans="1:35" ht="12.75">
      <c r="A295" s="311" t="s">
        <v>18</v>
      </c>
      <c r="B295" s="457">
        <v>31863.744891769999</v>
      </c>
      <c r="C295" s="457">
        <v>557.48455834000004</v>
      </c>
      <c r="D295" s="457">
        <v>27530.35649034</v>
      </c>
      <c r="E295" s="457">
        <v>452.55263589999998</v>
      </c>
      <c r="F295" s="457">
        <v>4420.9381653399996</v>
      </c>
      <c r="G295" s="457">
        <v>104.32418443</v>
      </c>
      <c r="H295" s="457">
        <v>23109.418324999999</v>
      </c>
      <c r="I295" s="457">
        <v>348.22845146999998</v>
      </c>
      <c r="J295" s="457">
        <v>4333.3884014300002</v>
      </c>
      <c r="K295" s="457">
        <v>104.93192243999999</v>
      </c>
      <c r="L295" s="457">
        <v>1271.1989825999999</v>
      </c>
      <c r="M295" s="457">
        <v>31.29475635</v>
      </c>
      <c r="N295" s="457">
        <v>3062.1894188299998</v>
      </c>
      <c r="O295" s="457">
        <v>73.637166089999994</v>
      </c>
    </row>
    <row r="296" spans="1:35" ht="12.75">
      <c r="A296" s="311" t="s">
        <v>19</v>
      </c>
      <c r="B296" s="457">
        <v>32002.54824611</v>
      </c>
      <c r="C296" s="457">
        <v>561.97294440999997</v>
      </c>
      <c r="D296" s="457">
        <v>27670.466918139999</v>
      </c>
      <c r="E296" s="457">
        <v>462.50668970999999</v>
      </c>
      <c r="F296" s="457">
        <v>4457.5872356899999</v>
      </c>
      <c r="G296" s="457">
        <v>106.20199553</v>
      </c>
      <c r="H296" s="457">
        <v>23212.879682449999</v>
      </c>
      <c r="I296" s="457">
        <v>356.30469418000001</v>
      </c>
      <c r="J296" s="457">
        <v>4332.0813279699996</v>
      </c>
      <c r="K296" s="457">
        <v>99.466254699999993</v>
      </c>
      <c r="L296" s="457">
        <v>1314.6438711999999</v>
      </c>
      <c r="M296" s="457">
        <v>31.22137421</v>
      </c>
      <c r="N296" s="457">
        <v>3017.4374567700002</v>
      </c>
      <c r="O296" s="457">
        <v>68.24488049</v>
      </c>
    </row>
    <row r="297" spans="1:35" ht="12.75">
      <c r="A297" s="311" t="s">
        <v>20</v>
      </c>
      <c r="B297" s="457">
        <v>32312.94759874</v>
      </c>
      <c r="C297" s="457">
        <v>619.58458363</v>
      </c>
      <c r="D297" s="457">
        <v>27939.983062129999</v>
      </c>
      <c r="E297" s="457">
        <v>524.18686124999999</v>
      </c>
      <c r="F297" s="457">
        <v>4617.44671285</v>
      </c>
      <c r="G297" s="457">
        <v>125.92156906</v>
      </c>
      <c r="H297" s="457">
        <v>23322.536349279999</v>
      </c>
      <c r="I297" s="457">
        <v>398.26529219000003</v>
      </c>
      <c r="J297" s="457">
        <v>4372.9645366100003</v>
      </c>
      <c r="K297" s="457">
        <v>95.397722380000005</v>
      </c>
      <c r="L297" s="457">
        <v>1385.5677956699999</v>
      </c>
      <c r="M297" s="457">
        <v>11.17765275</v>
      </c>
      <c r="N297" s="457">
        <v>2987.3967409400002</v>
      </c>
      <c r="O297" s="457">
        <v>84.220069629999998</v>
      </c>
    </row>
    <row r="298" spans="1:35" ht="12.75">
      <c r="A298" s="311" t="s">
        <v>21</v>
      </c>
      <c r="B298" s="457">
        <v>32631.814251600001</v>
      </c>
      <c r="C298" s="457">
        <v>614.23724689999995</v>
      </c>
      <c r="D298" s="457">
        <v>28281.288353870001</v>
      </c>
      <c r="E298" s="457">
        <v>514.14241001000005</v>
      </c>
      <c r="F298" s="457">
        <v>4594.4212694500002</v>
      </c>
      <c r="G298" s="457">
        <v>105.90736821</v>
      </c>
      <c r="H298" s="457">
        <v>23686.867084419999</v>
      </c>
      <c r="I298" s="457">
        <v>408.23504179999998</v>
      </c>
      <c r="J298" s="457">
        <v>4350.52589773</v>
      </c>
      <c r="K298" s="457">
        <v>100.09483689</v>
      </c>
      <c r="L298" s="457">
        <v>1392.55856795</v>
      </c>
      <c r="M298" s="457">
        <v>15.519677890000001</v>
      </c>
      <c r="N298" s="457">
        <v>2957.96732978</v>
      </c>
      <c r="O298" s="457">
        <v>84.575158999999999</v>
      </c>
    </row>
    <row r="299" spans="1:35" ht="12.75">
      <c r="A299" s="311" t="s">
        <v>22</v>
      </c>
      <c r="B299" s="457">
        <v>32908.42435478</v>
      </c>
      <c r="C299" s="457">
        <v>635.41308357000003</v>
      </c>
      <c r="D299" s="457">
        <v>28601.56466502</v>
      </c>
      <c r="E299" s="457">
        <v>532.10584065</v>
      </c>
      <c r="F299" s="457">
        <v>4627.3835424500003</v>
      </c>
      <c r="G299" s="457">
        <v>110.9098465</v>
      </c>
      <c r="H299" s="457">
        <v>23974.18112257</v>
      </c>
      <c r="I299" s="457">
        <v>421.19599414999999</v>
      </c>
      <c r="J299" s="457">
        <v>4306.85968976</v>
      </c>
      <c r="K299" s="457">
        <v>103.30724291999999</v>
      </c>
      <c r="L299" s="457">
        <v>1409.8756557199999</v>
      </c>
      <c r="M299" s="457">
        <v>14.97672391</v>
      </c>
      <c r="N299" s="457">
        <v>2896.9840340400001</v>
      </c>
      <c r="O299" s="457">
        <v>88.330519010000003</v>
      </c>
    </row>
    <row r="300" spans="1:35" ht="12.75">
      <c r="A300" s="458" t="s">
        <v>23</v>
      </c>
      <c r="B300" s="1170">
        <v>33881.094989997997</v>
      </c>
      <c r="C300" s="1170">
        <v>719.27659745799997</v>
      </c>
      <c r="D300" s="1170">
        <v>28837.009361008</v>
      </c>
      <c r="E300" s="1170">
        <v>594.62400544800005</v>
      </c>
      <c r="F300" s="1170">
        <v>4588.0513804399998</v>
      </c>
      <c r="G300" s="1170">
        <v>168.98524187000001</v>
      </c>
      <c r="H300" s="1170">
        <v>24248.957980568</v>
      </c>
      <c r="I300" s="1170">
        <v>425.63876357800001</v>
      </c>
      <c r="J300" s="1170">
        <v>5044.0856289900003</v>
      </c>
      <c r="K300" s="1170">
        <v>124.65259201000001</v>
      </c>
      <c r="L300" s="1170">
        <v>1350.8161663599999</v>
      </c>
      <c r="M300" s="1170">
        <v>12.275301689999999</v>
      </c>
      <c r="N300" s="1170">
        <v>3693.2694626299999</v>
      </c>
      <c r="O300" s="1170">
        <v>112.37729032</v>
      </c>
    </row>
    <row r="301" spans="1:35" s="734" customFormat="1" ht="13.5" customHeight="1">
      <c r="A301" s="2203" t="s">
        <v>2697</v>
      </c>
      <c r="B301" s="2203"/>
      <c r="C301" s="2203"/>
      <c r="D301" s="2203"/>
      <c r="E301" s="2203"/>
      <c r="F301" s="2203"/>
      <c r="G301" s="2203"/>
      <c r="H301" s="2203"/>
      <c r="I301" s="2203"/>
      <c r="J301" s="2203"/>
      <c r="K301" s="2203"/>
      <c r="L301" s="2203"/>
      <c r="M301" s="2203"/>
      <c r="N301" s="2203"/>
      <c r="O301" s="2203"/>
      <c r="P301" s="2203"/>
      <c r="Q301" s="2203"/>
      <c r="R301" s="2203"/>
      <c r="S301" s="2203"/>
      <c r="T301" s="2203"/>
      <c r="U301" s="2203"/>
      <c r="V301" s="2203"/>
      <c r="W301" s="2203"/>
      <c r="X301" s="2203"/>
      <c r="Y301" s="2203"/>
      <c r="Z301" s="2203"/>
      <c r="AA301" s="2203"/>
      <c r="AB301" s="2203"/>
      <c r="AC301" s="2203"/>
      <c r="AD301" s="2203"/>
      <c r="AE301" s="2203"/>
      <c r="AF301" s="2203"/>
      <c r="AG301" s="2203"/>
      <c r="AH301" s="2203"/>
      <c r="AI301" s="2203"/>
    </row>
    <row r="302" spans="1:35" s="734" customFormat="1" ht="13.5" customHeight="1">
      <c r="A302" s="2158" t="s">
        <v>2678</v>
      </c>
      <c r="B302" s="2158"/>
      <c r="C302" s="2158"/>
      <c r="D302" s="2158"/>
      <c r="E302" s="2158"/>
      <c r="F302" s="2158"/>
      <c r="G302" s="2158"/>
      <c r="H302" s="2158"/>
      <c r="I302" s="2158"/>
      <c r="J302" s="2158"/>
      <c r="K302" s="2158"/>
      <c r="L302" s="2158"/>
      <c r="M302" s="2158"/>
      <c r="N302" s="2158"/>
      <c r="O302" s="2158"/>
      <c r="P302" s="2158"/>
      <c r="Q302" s="2158"/>
      <c r="R302" s="2158"/>
      <c r="S302" s="2158"/>
      <c r="T302" s="2158"/>
      <c r="U302" s="2158"/>
      <c r="V302" s="2158"/>
      <c r="W302" s="2158"/>
      <c r="X302" s="2158"/>
      <c r="Y302" s="2158"/>
      <c r="Z302" s="2158"/>
      <c r="AA302" s="2158"/>
      <c r="AB302" s="2158"/>
      <c r="AC302" s="2158"/>
      <c r="AD302" s="2158"/>
      <c r="AE302" s="2158"/>
      <c r="AF302" s="2158"/>
      <c r="AG302" s="2158"/>
      <c r="AH302" s="2158"/>
      <c r="AI302" s="2158"/>
    </row>
    <row r="303" spans="1:35" ht="12.75">
      <c r="B303" s="1669"/>
      <c r="C303" s="1669"/>
      <c r="H303" s="92"/>
    </row>
    <row r="304" spans="1:35" ht="12.75">
      <c r="B304" s="1266"/>
      <c r="C304" s="1333"/>
    </row>
    <row r="305" spans="2:8" ht="12.75">
      <c r="B305" s="1669"/>
      <c r="C305" s="1669"/>
      <c r="G305" s="215"/>
      <c r="H305" s="215"/>
    </row>
    <row r="306" spans="2:8" ht="12.75"/>
    <row r="307" spans="2:8" ht="12.75">
      <c r="D307" s="2009"/>
    </row>
    <row r="308" spans="2:8" ht="12.75"/>
    <row r="309" spans="2:8" ht="12.75"/>
    <row r="310" spans="2:8" ht="12.75"/>
    <row r="311" spans="2:8" ht="12.75"/>
    <row r="312" spans="2:8" ht="12.75"/>
    <row r="313" spans="2:8" ht="12.75"/>
    <row r="314" spans="2:8" ht="12.75"/>
    <row r="315" spans="2:8" ht="12.75"/>
    <row r="316" spans="2:8" ht="12.75"/>
    <row r="317" spans="2:8" ht="12.75"/>
    <row r="318" spans="2:8" ht="12.75"/>
    <row r="319" spans="2:8" ht="12.75"/>
    <row r="320" spans="2:8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</sheetData>
  <mergeCells count="41">
    <mergeCell ref="A301:AI301"/>
    <mergeCell ref="A302:AI302"/>
    <mergeCell ref="A2:O2"/>
    <mergeCell ref="A3:O3"/>
    <mergeCell ref="A6:A9"/>
    <mergeCell ref="B6:B9"/>
    <mergeCell ref="C6:C7"/>
    <mergeCell ref="D6:I6"/>
    <mergeCell ref="J6:O6"/>
    <mergeCell ref="D7:D9"/>
    <mergeCell ref="F7:F9"/>
    <mergeCell ref="J7:J9"/>
    <mergeCell ref="L7:L9"/>
    <mergeCell ref="N7:N9"/>
    <mergeCell ref="C8:C9"/>
    <mergeCell ref="E8:E9"/>
    <mergeCell ref="A5:O5"/>
    <mergeCell ref="C12:C13"/>
    <mergeCell ref="E12:E13"/>
    <mergeCell ref="G12:G13"/>
    <mergeCell ref="I12:I13"/>
    <mergeCell ref="K12:K13"/>
    <mergeCell ref="M12:M13"/>
    <mergeCell ref="J10:O10"/>
    <mergeCell ref="D11:D13"/>
    <mergeCell ref="F11:F13"/>
    <mergeCell ref="O8:O9"/>
    <mergeCell ref="A10:A13"/>
    <mergeCell ref="B10:B13"/>
    <mergeCell ref="G8:G9"/>
    <mergeCell ref="I8:I9"/>
    <mergeCell ref="K8:K9"/>
    <mergeCell ref="C10:C11"/>
    <mergeCell ref="D10:I10"/>
    <mergeCell ref="H7:H9"/>
    <mergeCell ref="O12:O13"/>
    <mergeCell ref="L11:L13"/>
    <mergeCell ref="N11:N13"/>
    <mergeCell ref="M8:M9"/>
    <mergeCell ref="H11:H13"/>
    <mergeCell ref="J11:J13"/>
  </mergeCells>
  <pageMargins left="0.18" right="0.17" top="0.75" bottom="0.75" header="0.3" footer="0.3"/>
  <pageSetup scale="19" orientation="landscape" r:id="rId1"/>
  <ignoredErrors>
    <ignoredError sqref="A230:A239 A217:A22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5">
    <tabColor rgb="FF92D050"/>
  </sheetPr>
  <dimension ref="A1:CJ141"/>
  <sheetViews>
    <sheetView showGridLines="0" view="pageBreakPreview" zoomScale="115" zoomScaleSheetLayoutView="115" workbookViewId="0">
      <pane ySplit="13" topLeftCell="A86" activePane="bottomLeft" state="frozen"/>
      <selection activeCell="F40" sqref="F40"/>
      <selection pane="bottomLeft" activeCell="F40" sqref="F40"/>
    </sheetView>
  </sheetViews>
  <sheetFormatPr defaultColWidth="8.85546875" defaultRowHeight="12" customHeight="1"/>
  <cols>
    <col min="1" max="1" width="8" style="914" customWidth="1"/>
    <col min="2" max="3" width="12.7109375" style="914" customWidth="1"/>
    <col min="4" max="4" width="12.7109375" style="919" customWidth="1"/>
    <col min="5" max="5" width="12.5703125" style="914" bestFit="1" customWidth="1"/>
    <col min="6" max="6" width="10.85546875" style="914" customWidth="1"/>
    <col min="7" max="7" width="11.7109375" style="919" customWidth="1"/>
    <col min="8" max="8" width="7.5703125" style="914" customWidth="1"/>
    <col min="9" max="10" width="11.7109375" style="914" customWidth="1"/>
    <col min="11" max="11" width="7.5703125" style="914" customWidth="1"/>
    <col min="12" max="13" width="11.7109375" style="914" customWidth="1"/>
    <col min="14" max="14" width="7.5703125" style="914" customWidth="1"/>
    <col min="15" max="16" width="11.7109375" style="914" customWidth="1"/>
    <col min="17" max="17" width="7.5703125" style="914" customWidth="1"/>
    <col min="18" max="19" width="11.7109375" style="914" customWidth="1"/>
    <col min="20" max="20" width="7.5703125" style="914" customWidth="1"/>
    <col min="21" max="22" width="11.7109375" style="914" customWidth="1"/>
    <col min="23" max="23" width="8.85546875" style="914" customWidth="1"/>
    <col min="24" max="24" width="11.5703125" style="914" customWidth="1"/>
    <col min="25" max="85" width="8.85546875" style="914" customWidth="1"/>
    <col min="86" max="86" width="8.85546875" style="914" hidden="1" customWidth="1"/>
    <col min="87" max="258" width="8.85546875" style="914" customWidth="1"/>
    <col min="259" max="259" width="7.7109375" style="914" customWidth="1"/>
    <col min="260" max="260" width="12.7109375" style="914" customWidth="1"/>
    <col min="261" max="261" width="11" style="914" customWidth="1"/>
    <col min="262" max="16384" width="8.85546875" style="914"/>
  </cols>
  <sheetData>
    <row r="1" spans="1:88" s="913" customFormat="1" ht="12" customHeight="1"/>
    <row r="2" spans="1:88" ht="19.5" customHeight="1">
      <c r="A2" s="2207" t="s">
        <v>2969</v>
      </c>
      <c r="B2" s="2207"/>
      <c r="C2" s="2207"/>
      <c r="D2" s="2207"/>
      <c r="E2" s="2207"/>
      <c r="F2" s="2207"/>
      <c r="G2" s="2207"/>
      <c r="H2" s="2207"/>
      <c r="I2" s="2207"/>
      <c r="J2" s="2207"/>
      <c r="K2" s="2207"/>
      <c r="L2" s="2207"/>
      <c r="M2" s="2207"/>
      <c r="N2" s="2207"/>
      <c r="O2" s="2207"/>
      <c r="P2" s="2207"/>
      <c r="Q2" s="2207"/>
      <c r="R2" s="2207"/>
      <c r="S2" s="2207"/>
      <c r="T2" s="2207"/>
      <c r="U2" s="2207"/>
      <c r="V2" s="2207"/>
    </row>
    <row r="3" spans="1:88" ht="22.5" customHeight="1">
      <c r="A3" s="2208" t="s">
        <v>2970</v>
      </c>
      <c r="B3" s="2208"/>
      <c r="C3" s="2208"/>
      <c r="D3" s="2208"/>
      <c r="E3" s="2208"/>
      <c r="F3" s="2208"/>
      <c r="G3" s="2208"/>
      <c r="H3" s="2208"/>
      <c r="I3" s="2208"/>
      <c r="J3" s="2208"/>
      <c r="K3" s="2208"/>
      <c r="L3" s="2208"/>
      <c r="M3" s="2208"/>
      <c r="N3" s="2208"/>
      <c r="O3" s="2208"/>
      <c r="P3" s="2208"/>
      <c r="Q3" s="2208"/>
      <c r="R3" s="2208"/>
      <c r="S3" s="2208"/>
      <c r="T3" s="2208"/>
      <c r="U3" s="2208"/>
      <c r="V3" s="2208"/>
    </row>
    <row r="4" spans="1:88" ht="10.5" customHeight="1">
      <c r="A4" s="915"/>
      <c r="B4" s="915"/>
      <c r="C4" s="915"/>
      <c r="D4" s="915"/>
      <c r="E4" s="915"/>
      <c r="F4" s="915"/>
      <c r="G4" s="915"/>
      <c r="H4" s="915"/>
      <c r="I4" s="915"/>
      <c r="J4" s="915"/>
      <c r="K4" s="915"/>
      <c r="L4" s="915"/>
      <c r="M4" s="915"/>
      <c r="N4" s="915"/>
      <c r="O4" s="915"/>
      <c r="P4" s="915"/>
      <c r="Q4" s="915"/>
      <c r="R4" s="915"/>
      <c r="S4" s="915"/>
      <c r="T4" s="915"/>
      <c r="U4" s="915"/>
      <c r="V4" s="915"/>
    </row>
    <row r="5" spans="1:88" ht="10.5" customHeight="1">
      <c r="A5" s="916"/>
      <c r="B5" s="916"/>
      <c r="C5" s="916"/>
      <c r="D5" s="916"/>
      <c r="E5" s="916"/>
      <c r="F5" s="916"/>
      <c r="G5" s="916"/>
      <c r="H5" s="916"/>
      <c r="I5" s="916"/>
      <c r="J5" s="916"/>
      <c r="K5" s="916"/>
      <c r="L5" s="916"/>
      <c r="M5" s="916"/>
      <c r="N5" s="916"/>
      <c r="O5" s="916"/>
      <c r="P5" s="916"/>
      <c r="Q5" s="916"/>
      <c r="R5" s="916"/>
      <c r="S5" s="916"/>
      <c r="T5" s="916"/>
      <c r="U5" s="916"/>
      <c r="V5" s="916" t="s">
        <v>8</v>
      </c>
    </row>
    <row r="6" spans="1:88" s="917" customFormat="1" ht="21" customHeight="1">
      <c r="A6" s="2209" t="s">
        <v>182</v>
      </c>
      <c r="B6" s="2210" t="s">
        <v>2971</v>
      </c>
      <c r="C6" s="2211"/>
      <c r="D6" s="2214" t="s">
        <v>2973</v>
      </c>
      <c r="E6" s="2217" t="s">
        <v>2755</v>
      </c>
      <c r="F6" s="2218"/>
      <c r="G6" s="2218"/>
      <c r="H6" s="2218"/>
      <c r="I6" s="2218"/>
      <c r="J6" s="2218"/>
      <c r="K6" s="2218"/>
      <c r="L6" s="2218"/>
      <c r="M6" s="2218"/>
      <c r="N6" s="2217" t="s">
        <v>2754</v>
      </c>
      <c r="O6" s="2218"/>
      <c r="P6" s="2218"/>
      <c r="Q6" s="2218"/>
      <c r="R6" s="2218"/>
      <c r="S6" s="2218"/>
      <c r="T6" s="2218"/>
      <c r="U6" s="2218"/>
      <c r="V6" s="2218"/>
      <c r="CI6" s="917" t="s">
        <v>2049</v>
      </c>
      <c r="CJ6" s="918" t="s">
        <v>2050</v>
      </c>
    </row>
    <row r="7" spans="1:88" s="917" customFormat="1" ht="17.25" customHeight="1">
      <c r="A7" s="2209"/>
      <c r="B7" s="2212"/>
      <c r="C7" s="2213"/>
      <c r="D7" s="2215"/>
      <c r="E7" s="2219" t="s">
        <v>143</v>
      </c>
      <c r="F7" s="2220"/>
      <c r="G7" s="2214" t="s">
        <v>2973</v>
      </c>
      <c r="H7" s="2219" t="s">
        <v>146</v>
      </c>
      <c r="I7" s="2220"/>
      <c r="J7" s="2214" t="s">
        <v>2973</v>
      </c>
      <c r="K7" s="2219" t="s">
        <v>147</v>
      </c>
      <c r="L7" s="2220"/>
      <c r="M7" s="2214" t="s">
        <v>2973</v>
      </c>
      <c r="N7" s="2219" t="s">
        <v>143</v>
      </c>
      <c r="O7" s="2220"/>
      <c r="P7" s="2214" t="s">
        <v>2973</v>
      </c>
      <c r="Q7" s="2219" t="s">
        <v>146</v>
      </c>
      <c r="R7" s="2220"/>
      <c r="S7" s="2214" t="s">
        <v>2973</v>
      </c>
      <c r="T7" s="2219" t="s">
        <v>147</v>
      </c>
      <c r="U7" s="2220"/>
      <c r="V7" s="2214" t="s">
        <v>2973</v>
      </c>
      <c r="CE7" s="917" t="e">
        <f>CE9+#REF!+#REF!+#REF!</f>
        <v>#REF!</v>
      </c>
      <c r="CI7" s="917" t="e">
        <f>CI9+#REF!+#REF!+#REF!</f>
        <v>#REF!</v>
      </c>
      <c r="CJ7" s="918" t="e">
        <f>CE7+CF7+CG7+CI7</f>
        <v>#REF!</v>
      </c>
    </row>
    <row r="8" spans="1:88" s="917" customFormat="1" ht="15" customHeight="1">
      <c r="A8" s="2209"/>
      <c r="B8" s="2214" t="s">
        <v>2956</v>
      </c>
      <c r="C8" s="2214" t="s">
        <v>2962</v>
      </c>
      <c r="D8" s="2215"/>
      <c r="E8" s="2214" t="s">
        <v>2956</v>
      </c>
      <c r="F8" s="2214" t="s">
        <v>2962</v>
      </c>
      <c r="G8" s="2215"/>
      <c r="H8" s="2214" t="s">
        <v>2956</v>
      </c>
      <c r="I8" s="2214" t="s">
        <v>2962</v>
      </c>
      <c r="J8" s="2215"/>
      <c r="K8" s="2214" t="s">
        <v>2956</v>
      </c>
      <c r="L8" s="2211" t="s">
        <v>2962</v>
      </c>
      <c r="M8" s="2215"/>
      <c r="N8" s="2214" t="s">
        <v>2956</v>
      </c>
      <c r="O8" s="2211" t="s">
        <v>2962</v>
      </c>
      <c r="P8" s="2215"/>
      <c r="Q8" s="2214" t="s">
        <v>2956</v>
      </c>
      <c r="R8" s="2211" t="s">
        <v>2962</v>
      </c>
      <c r="S8" s="2215"/>
      <c r="T8" s="2214" t="s">
        <v>2956</v>
      </c>
      <c r="U8" s="2211" t="s">
        <v>2962</v>
      </c>
      <c r="V8" s="2215"/>
      <c r="CJ8" s="918"/>
    </row>
    <row r="9" spans="1:88" s="917" customFormat="1" ht="15" customHeight="1">
      <c r="A9" s="2209"/>
      <c r="B9" s="2216"/>
      <c r="C9" s="2216"/>
      <c r="D9" s="2216"/>
      <c r="E9" s="2216"/>
      <c r="F9" s="2216"/>
      <c r="G9" s="2216"/>
      <c r="H9" s="2216"/>
      <c r="I9" s="2216"/>
      <c r="J9" s="2216"/>
      <c r="K9" s="2216"/>
      <c r="L9" s="2213"/>
      <c r="M9" s="2216"/>
      <c r="N9" s="2216"/>
      <c r="O9" s="2213"/>
      <c r="P9" s="2216"/>
      <c r="Q9" s="2216"/>
      <c r="R9" s="2213"/>
      <c r="S9" s="2216"/>
      <c r="T9" s="2216"/>
      <c r="U9" s="2213"/>
      <c r="V9" s="2216"/>
      <c r="CI9" s="917" t="e">
        <f>CI11+#REF!</f>
        <v>#REF!</v>
      </c>
      <c r="CJ9" s="918" t="e">
        <f>CE9+CF9+CG9+CI9</f>
        <v>#REF!</v>
      </c>
    </row>
    <row r="10" spans="1:88" ht="12.75" customHeight="1">
      <c r="A10" s="2221" t="s">
        <v>283</v>
      </c>
      <c r="B10" s="2222" t="s">
        <v>1149</v>
      </c>
      <c r="C10" s="2223"/>
      <c r="D10" s="2226" t="s">
        <v>2974</v>
      </c>
      <c r="E10" s="2229" t="s">
        <v>1185</v>
      </c>
      <c r="F10" s="2229"/>
      <c r="G10" s="2229"/>
      <c r="H10" s="2230"/>
      <c r="I10" s="2230"/>
      <c r="J10" s="2230"/>
      <c r="K10" s="2230"/>
      <c r="L10" s="2230"/>
      <c r="M10" s="2230"/>
      <c r="N10" s="2229" t="s">
        <v>1186</v>
      </c>
      <c r="O10" s="2229"/>
      <c r="P10" s="2229"/>
      <c r="Q10" s="2229"/>
      <c r="R10" s="2229"/>
      <c r="S10" s="2229"/>
      <c r="T10" s="2229"/>
      <c r="U10" s="2229"/>
      <c r="V10" s="2229"/>
      <c r="CJ10" s="919"/>
    </row>
    <row r="11" spans="1:88" ht="12.75" customHeight="1">
      <c r="A11" s="2221"/>
      <c r="B11" s="2224"/>
      <c r="C11" s="2225"/>
      <c r="D11" s="2227"/>
      <c r="E11" s="2231" t="s">
        <v>1149</v>
      </c>
      <c r="F11" s="2232"/>
      <c r="G11" s="2226" t="s">
        <v>2974</v>
      </c>
      <c r="H11" s="2231" t="s">
        <v>1151</v>
      </c>
      <c r="I11" s="2232"/>
      <c r="J11" s="2226" t="s">
        <v>2974</v>
      </c>
      <c r="K11" s="2231" t="s">
        <v>1150</v>
      </c>
      <c r="L11" s="2232"/>
      <c r="M11" s="2226" t="s">
        <v>2974</v>
      </c>
      <c r="N11" s="2231" t="s">
        <v>1152</v>
      </c>
      <c r="O11" s="2232"/>
      <c r="P11" s="2226" t="s">
        <v>2974</v>
      </c>
      <c r="Q11" s="2231" t="s">
        <v>1151</v>
      </c>
      <c r="R11" s="2232"/>
      <c r="S11" s="2226" t="s">
        <v>2974</v>
      </c>
      <c r="T11" s="2231" t="s">
        <v>1150</v>
      </c>
      <c r="U11" s="2232"/>
      <c r="V11" s="2226" t="s">
        <v>2974</v>
      </c>
      <c r="CI11" s="914" t="e">
        <f>CI13+#REF!</f>
        <v>#REF!</v>
      </c>
      <c r="CJ11" s="919" t="e">
        <f>CE11+CF11+CG11+CI11</f>
        <v>#REF!</v>
      </c>
    </row>
    <row r="12" spans="1:88" ht="12.75">
      <c r="A12" s="2221"/>
      <c r="B12" s="2226" t="s">
        <v>2956</v>
      </c>
      <c r="C12" s="2226" t="s">
        <v>2955</v>
      </c>
      <c r="D12" s="2227"/>
      <c r="E12" s="2226" t="s">
        <v>2956</v>
      </c>
      <c r="F12" s="2226" t="s">
        <v>2955</v>
      </c>
      <c r="G12" s="2227"/>
      <c r="H12" s="2226" t="s">
        <v>2956</v>
      </c>
      <c r="I12" s="2226" t="s">
        <v>2955</v>
      </c>
      <c r="J12" s="2227"/>
      <c r="K12" s="2226" t="s">
        <v>2956</v>
      </c>
      <c r="L12" s="2226" t="s">
        <v>2955</v>
      </c>
      <c r="M12" s="2227"/>
      <c r="N12" s="2226" t="s">
        <v>2956</v>
      </c>
      <c r="O12" s="2226" t="s">
        <v>2955</v>
      </c>
      <c r="P12" s="2227"/>
      <c r="Q12" s="2226" t="s">
        <v>2956</v>
      </c>
      <c r="R12" s="2226" t="s">
        <v>2955</v>
      </c>
      <c r="S12" s="2227"/>
      <c r="T12" s="2226" t="s">
        <v>2956</v>
      </c>
      <c r="U12" s="2226" t="s">
        <v>2955</v>
      </c>
      <c r="V12" s="2227"/>
      <c r="CJ12" s="919"/>
    </row>
    <row r="13" spans="1:88" ht="12.75">
      <c r="A13" s="2221"/>
      <c r="B13" s="2228"/>
      <c r="C13" s="2228"/>
      <c r="D13" s="2228"/>
      <c r="E13" s="2228"/>
      <c r="F13" s="2228"/>
      <c r="G13" s="2227"/>
      <c r="H13" s="2228"/>
      <c r="I13" s="2228"/>
      <c r="J13" s="2227"/>
      <c r="K13" s="2228"/>
      <c r="L13" s="2228"/>
      <c r="M13" s="2227"/>
      <c r="N13" s="2228"/>
      <c r="O13" s="2228"/>
      <c r="P13" s="2227"/>
      <c r="Q13" s="2228"/>
      <c r="R13" s="2228"/>
      <c r="S13" s="2227"/>
      <c r="T13" s="2228"/>
      <c r="U13" s="2228"/>
      <c r="V13" s="2227"/>
      <c r="CI13" s="914">
        <v>3917</v>
      </c>
      <c r="CJ13" s="919">
        <f>CE13+CF13+CG13+CI13</f>
        <v>3917</v>
      </c>
    </row>
    <row r="14" spans="1:88" ht="12.75">
      <c r="A14" s="920" t="s">
        <v>2362</v>
      </c>
      <c r="B14" s="921"/>
      <c r="C14" s="921"/>
      <c r="D14" s="922"/>
      <c r="E14" s="921"/>
      <c r="F14" s="921"/>
      <c r="G14" s="921"/>
      <c r="H14" s="921"/>
      <c r="I14" s="921"/>
      <c r="J14" s="921"/>
      <c r="K14" s="921"/>
      <c r="L14" s="921"/>
      <c r="M14" s="921"/>
      <c r="N14" s="921"/>
      <c r="O14" s="921"/>
      <c r="P14" s="921"/>
      <c r="Q14" s="921"/>
      <c r="R14" s="921"/>
      <c r="S14" s="921"/>
      <c r="T14" s="921"/>
      <c r="U14" s="921"/>
      <c r="V14" s="921"/>
    </row>
    <row r="15" spans="1:88" ht="12.75">
      <c r="A15" s="920" t="s">
        <v>18</v>
      </c>
      <c r="B15" s="921">
        <v>15116.362612110001</v>
      </c>
      <c r="C15" s="921">
        <v>397.24756631999998</v>
      </c>
      <c r="D15" s="922">
        <v>1306.8619599599999</v>
      </c>
      <c r="E15" s="923">
        <v>9658.2997291400006</v>
      </c>
      <c r="F15" s="923">
        <v>349.08755724000002</v>
      </c>
      <c r="G15" s="923">
        <v>728.38359565999986</v>
      </c>
      <c r="H15" s="923">
        <v>1532.6779413299996</v>
      </c>
      <c r="I15" s="923">
        <v>109.57917195</v>
      </c>
      <c r="J15" s="923">
        <v>108.91512322999999</v>
      </c>
      <c r="K15" s="923">
        <v>8125.6217878100024</v>
      </c>
      <c r="L15" s="923">
        <v>239.50838529000001</v>
      </c>
      <c r="M15" s="923">
        <v>619.46847243000002</v>
      </c>
      <c r="N15" s="923">
        <v>5458.0628829699999</v>
      </c>
      <c r="O15" s="923">
        <v>48.160009080000002</v>
      </c>
      <c r="P15" s="923">
        <v>578.47836429999995</v>
      </c>
      <c r="Q15" s="923">
        <v>1204.7457811599998</v>
      </c>
      <c r="R15" s="923">
        <v>6.9372089900000002</v>
      </c>
      <c r="S15" s="923">
        <v>124.66481515000001</v>
      </c>
      <c r="T15" s="923">
        <v>4253.3171018100002</v>
      </c>
      <c r="U15" s="923">
        <v>41.22280009</v>
      </c>
      <c r="V15" s="923">
        <v>453.81354914999997</v>
      </c>
      <c r="W15" s="924"/>
      <c r="X15" s="925"/>
    </row>
    <row r="16" spans="1:88" ht="12.75">
      <c r="A16" s="920" t="s">
        <v>19</v>
      </c>
      <c r="B16" s="921">
        <v>15299.112281839998</v>
      </c>
      <c r="C16" s="921">
        <v>397.24756631999998</v>
      </c>
      <c r="D16" s="922">
        <v>1297.7919746600001</v>
      </c>
      <c r="E16" s="923">
        <v>9848.2798225300012</v>
      </c>
      <c r="F16" s="923">
        <v>349.08755724000002</v>
      </c>
      <c r="G16" s="923">
        <v>730.08705178000014</v>
      </c>
      <c r="H16" s="923">
        <v>1578.4405291600001</v>
      </c>
      <c r="I16" s="923">
        <v>109.57917195</v>
      </c>
      <c r="J16" s="923">
        <v>108.03263208000003</v>
      </c>
      <c r="K16" s="923">
        <v>8269.8392933700015</v>
      </c>
      <c r="L16" s="923">
        <v>239.50838529000001</v>
      </c>
      <c r="M16" s="923">
        <v>622.05441970000015</v>
      </c>
      <c r="N16" s="923">
        <v>5450.8324593099996</v>
      </c>
      <c r="O16" s="923">
        <v>48.160009080000002</v>
      </c>
      <c r="P16" s="923">
        <v>567.70492288000003</v>
      </c>
      <c r="Q16" s="923">
        <v>1206.5495221599997</v>
      </c>
      <c r="R16" s="923">
        <v>6.9372089900000002</v>
      </c>
      <c r="S16" s="923">
        <v>124.04899418000002</v>
      </c>
      <c r="T16" s="923">
        <v>4244.2829371500002</v>
      </c>
      <c r="U16" s="923">
        <v>41.22280009</v>
      </c>
      <c r="V16" s="923">
        <v>443.65592869999995</v>
      </c>
      <c r="W16" s="924"/>
      <c r="X16" s="925"/>
    </row>
    <row r="17" spans="1:24" ht="12.75">
      <c r="A17" s="920" t="s">
        <v>20</v>
      </c>
      <c r="B17" s="921">
        <v>15232.734333029999</v>
      </c>
      <c r="C17" s="921">
        <v>404.68545768000001</v>
      </c>
      <c r="D17" s="922">
        <v>1386.7515801299999</v>
      </c>
      <c r="E17" s="923">
        <v>10086.868844390001</v>
      </c>
      <c r="F17" s="923">
        <v>356.73038116999999</v>
      </c>
      <c r="G17" s="923">
        <v>777.79502507000007</v>
      </c>
      <c r="H17" s="923">
        <v>1679.1181235700001</v>
      </c>
      <c r="I17" s="923">
        <v>117.89394045</v>
      </c>
      <c r="J17" s="923">
        <v>116.90400399000002</v>
      </c>
      <c r="K17" s="923">
        <v>8407.7507208200004</v>
      </c>
      <c r="L17" s="923">
        <v>238.83644072000001</v>
      </c>
      <c r="M17" s="923">
        <v>660.89102108000009</v>
      </c>
      <c r="N17" s="923">
        <v>5145.8654886399991</v>
      </c>
      <c r="O17" s="923">
        <v>47.955076509999998</v>
      </c>
      <c r="P17" s="923">
        <v>608.95655505999991</v>
      </c>
      <c r="Q17" s="923">
        <v>997.00011630999995</v>
      </c>
      <c r="R17" s="923">
        <v>6.5211274299999999</v>
      </c>
      <c r="S17" s="923">
        <v>165.40259683000002</v>
      </c>
      <c r="T17" s="923">
        <v>4148.8653723299994</v>
      </c>
      <c r="U17" s="923">
        <v>41.433949079999998</v>
      </c>
      <c r="V17" s="923">
        <v>443.55395822999992</v>
      </c>
      <c r="W17" s="924"/>
      <c r="X17" s="925"/>
    </row>
    <row r="18" spans="1:24" ht="12.75">
      <c r="A18" s="920" t="s">
        <v>21</v>
      </c>
      <c r="B18" s="921">
        <v>14742.1</v>
      </c>
      <c r="C18" s="921">
        <v>404.68545768000001</v>
      </c>
      <c r="D18" s="922">
        <v>1232.4418596000003</v>
      </c>
      <c r="E18" s="923">
        <v>9822.422013389998</v>
      </c>
      <c r="F18" s="923">
        <v>356.73038116999999</v>
      </c>
      <c r="G18" s="923">
        <v>745.77714110000011</v>
      </c>
      <c r="H18" s="923">
        <v>1684.2676135699999</v>
      </c>
      <c r="I18" s="923">
        <v>117.89394045</v>
      </c>
      <c r="J18" s="923">
        <v>128.16530624000001</v>
      </c>
      <c r="K18" s="923">
        <v>8138.1543998199986</v>
      </c>
      <c r="L18" s="923">
        <v>238.83644072000001</v>
      </c>
      <c r="M18" s="923">
        <v>617.61183486000016</v>
      </c>
      <c r="N18" s="923">
        <v>4919.7403329999997</v>
      </c>
      <c r="O18" s="923">
        <v>47.955076509999998</v>
      </c>
      <c r="P18" s="923">
        <v>486.66471850000005</v>
      </c>
      <c r="Q18" s="923">
        <v>888.74897405999991</v>
      </c>
      <c r="R18" s="923">
        <v>6.5211274299999999</v>
      </c>
      <c r="S18" s="923">
        <v>72.324280580000021</v>
      </c>
      <c r="T18" s="923">
        <v>4030.9913589400003</v>
      </c>
      <c r="U18" s="923">
        <v>41.433949079999998</v>
      </c>
      <c r="V18" s="923">
        <v>414.34043792</v>
      </c>
      <c r="W18" s="924"/>
      <c r="X18" s="925"/>
    </row>
    <row r="19" spans="1:24" ht="12.75">
      <c r="A19" s="920" t="s">
        <v>22</v>
      </c>
      <c r="B19" s="921">
        <v>14361</v>
      </c>
      <c r="C19" s="921">
        <v>404.68545768000001</v>
      </c>
      <c r="D19" s="922">
        <v>1084.8214846800004</v>
      </c>
      <c r="E19" s="923">
        <v>9571.8026378300001</v>
      </c>
      <c r="F19" s="923">
        <v>356.73038116999999</v>
      </c>
      <c r="G19" s="923">
        <v>657.68580231000021</v>
      </c>
      <c r="H19" s="923">
        <v>1642.3892990499999</v>
      </c>
      <c r="I19" s="923">
        <v>117.89394045</v>
      </c>
      <c r="J19" s="923">
        <v>107.17698140000002</v>
      </c>
      <c r="K19" s="923">
        <v>7929.4133387800002</v>
      </c>
      <c r="L19" s="923">
        <v>238.83644072000001</v>
      </c>
      <c r="M19" s="923">
        <v>550.50882091000017</v>
      </c>
      <c r="N19" s="923">
        <v>4789.2187584700005</v>
      </c>
      <c r="O19" s="923">
        <v>47.955076509999998</v>
      </c>
      <c r="P19" s="923">
        <v>427.13568237000004</v>
      </c>
      <c r="Q19" s="923">
        <v>811.42906635999975</v>
      </c>
      <c r="R19" s="923">
        <v>6.5211274299999999</v>
      </c>
      <c r="S19" s="923">
        <v>62.438278789999991</v>
      </c>
      <c r="T19" s="923">
        <v>3977.7896921100005</v>
      </c>
      <c r="U19" s="923">
        <v>41.433949079999998</v>
      </c>
      <c r="V19" s="923">
        <v>364.69740358000007</v>
      </c>
      <c r="W19" s="924"/>
      <c r="X19" s="925"/>
    </row>
    <row r="20" spans="1:24" ht="12.75">
      <c r="A20" s="920" t="s">
        <v>23</v>
      </c>
      <c r="B20" s="921">
        <v>14169.792242039999</v>
      </c>
      <c r="C20" s="921">
        <v>380.86393447</v>
      </c>
      <c r="D20" s="922">
        <v>1065.5159760600002</v>
      </c>
      <c r="E20" s="923">
        <v>9566.3729760900005</v>
      </c>
      <c r="F20" s="923">
        <v>331.38992697999998</v>
      </c>
      <c r="G20" s="923">
        <v>656.19959554000002</v>
      </c>
      <c r="H20" s="923">
        <v>1625.1390521700002</v>
      </c>
      <c r="I20" s="923">
        <v>113.02238471</v>
      </c>
      <c r="J20" s="923">
        <v>104.21832792000001</v>
      </c>
      <c r="K20" s="923">
        <v>7941.2339239200001</v>
      </c>
      <c r="L20" s="923">
        <v>218.36754227</v>
      </c>
      <c r="M20" s="923">
        <v>551.98126762000004</v>
      </c>
      <c r="N20" s="923">
        <v>4603.4192659500013</v>
      </c>
      <c r="O20" s="923">
        <v>49.474007489999998</v>
      </c>
      <c r="P20" s="923">
        <v>409.31638052</v>
      </c>
      <c r="Q20" s="923">
        <v>748.94647368000017</v>
      </c>
      <c r="R20" s="923">
        <v>6.3762933799999999</v>
      </c>
      <c r="S20" s="923">
        <v>51.728728400000001</v>
      </c>
      <c r="T20" s="923">
        <v>3854.4727922700008</v>
      </c>
      <c r="U20" s="923">
        <v>43.097714109999998</v>
      </c>
      <c r="V20" s="923">
        <v>357.58765212000003</v>
      </c>
      <c r="W20" s="924"/>
      <c r="X20" s="925"/>
    </row>
    <row r="21" spans="1:24" ht="12.75">
      <c r="A21" s="920" t="s">
        <v>24</v>
      </c>
      <c r="B21" s="921">
        <v>14204.45090082</v>
      </c>
      <c r="C21" s="921">
        <v>380.86393447</v>
      </c>
      <c r="D21" s="922">
        <v>1062.4228878200001</v>
      </c>
      <c r="E21" s="923">
        <v>9582.5581388200007</v>
      </c>
      <c r="F21" s="923">
        <v>331.38992697999998</v>
      </c>
      <c r="G21" s="923">
        <v>665.33593518999999</v>
      </c>
      <c r="H21" s="923">
        <v>1628.47799943</v>
      </c>
      <c r="I21" s="923">
        <v>113.02238471</v>
      </c>
      <c r="J21" s="923">
        <v>107.52460289</v>
      </c>
      <c r="K21" s="923">
        <v>7954.0801393899992</v>
      </c>
      <c r="L21" s="923">
        <v>218.36754227</v>
      </c>
      <c r="M21" s="923">
        <v>557.8113323</v>
      </c>
      <c r="N21" s="923">
        <v>4621.8927620000004</v>
      </c>
      <c r="O21" s="923">
        <v>49.474007489999998</v>
      </c>
      <c r="P21" s="923">
        <v>397.08695262999998</v>
      </c>
      <c r="Q21" s="923">
        <v>752.54254911999999</v>
      </c>
      <c r="R21" s="923">
        <v>6.3762933799999999</v>
      </c>
      <c r="S21" s="923">
        <v>52.053345960000009</v>
      </c>
      <c r="T21" s="923">
        <v>3869.3502128800001</v>
      </c>
      <c r="U21" s="923">
        <v>43.097714109999998</v>
      </c>
      <c r="V21" s="923">
        <v>345.03360667000004</v>
      </c>
      <c r="W21" s="924"/>
      <c r="X21" s="925"/>
    </row>
    <row r="22" spans="1:24" ht="12.75">
      <c r="A22" s="920" t="s">
        <v>25</v>
      </c>
      <c r="B22" s="921">
        <v>14304.23414368</v>
      </c>
      <c r="C22" s="921">
        <v>380.86393447</v>
      </c>
      <c r="D22" s="922">
        <v>1065.4106116099999</v>
      </c>
      <c r="E22" s="923">
        <v>9713.1721314799997</v>
      </c>
      <c r="F22" s="923">
        <v>331.38992697999998</v>
      </c>
      <c r="G22" s="923">
        <v>662.61992012999997</v>
      </c>
      <c r="H22" s="923">
        <v>1643.9188175700001</v>
      </c>
      <c r="I22" s="923">
        <v>113.02238471</v>
      </c>
      <c r="J22" s="923">
        <v>104.37121055999999</v>
      </c>
      <c r="K22" s="923">
        <v>8069.2533139099996</v>
      </c>
      <c r="L22" s="923">
        <v>218.36754227</v>
      </c>
      <c r="M22" s="923">
        <v>558.24870956999996</v>
      </c>
      <c r="N22" s="923">
        <v>4591.0620122</v>
      </c>
      <c r="O22" s="923">
        <v>49.474007489999998</v>
      </c>
      <c r="P22" s="923">
        <v>402.79069148000002</v>
      </c>
      <c r="Q22" s="923">
        <v>740.91455623000002</v>
      </c>
      <c r="R22" s="923">
        <v>6.3762933799999999</v>
      </c>
      <c r="S22" s="923">
        <v>56.130318170000002</v>
      </c>
      <c r="T22" s="923">
        <v>3850.14745597</v>
      </c>
      <c r="U22" s="923">
        <v>43.097714109999998</v>
      </c>
      <c r="V22" s="923">
        <v>346.66037330999995</v>
      </c>
      <c r="W22" s="924"/>
      <c r="X22" s="925"/>
    </row>
    <row r="23" spans="1:24" ht="12.75">
      <c r="A23" s="920" t="s">
        <v>26</v>
      </c>
      <c r="B23" s="921">
        <v>14497.033309750001</v>
      </c>
      <c r="C23" s="921">
        <v>376.62548785000001</v>
      </c>
      <c r="D23" s="922">
        <v>1069.5053917</v>
      </c>
      <c r="E23" s="923">
        <v>9883.2896260100006</v>
      </c>
      <c r="F23" s="923">
        <v>328.03963491000002</v>
      </c>
      <c r="G23" s="923">
        <v>672.68117094000002</v>
      </c>
      <c r="H23" s="923">
        <v>1627.7769445399999</v>
      </c>
      <c r="I23" s="923">
        <v>112.49887845000001</v>
      </c>
      <c r="J23" s="923">
        <v>107.21670949999999</v>
      </c>
      <c r="K23" s="923">
        <v>8255.5126814699997</v>
      </c>
      <c r="L23" s="923">
        <v>215.54075646000001</v>
      </c>
      <c r="M23" s="923">
        <v>565.46446143999992</v>
      </c>
      <c r="N23" s="923">
        <v>4613.7436837400001</v>
      </c>
      <c r="O23" s="923">
        <v>48.585852940000002</v>
      </c>
      <c r="P23" s="923">
        <v>396.82422076</v>
      </c>
      <c r="Q23" s="923">
        <v>722.79607514999998</v>
      </c>
      <c r="R23" s="923">
        <v>6.1846971599999998</v>
      </c>
      <c r="S23" s="923">
        <v>55.589222129999996</v>
      </c>
      <c r="T23" s="923">
        <v>3890.9476085900001</v>
      </c>
      <c r="U23" s="923">
        <v>42.401155780000003</v>
      </c>
      <c r="V23" s="923">
        <v>341.23499863000001</v>
      </c>
      <c r="W23" s="924"/>
      <c r="X23" s="925"/>
    </row>
    <row r="24" spans="1:24" ht="12.75">
      <c r="A24" s="920" t="s">
        <v>27</v>
      </c>
      <c r="B24" s="921">
        <v>14409.315260380001</v>
      </c>
      <c r="C24" s="921">
        <v>376.62548785000001</v>
      </c>
      <c r="D24" s="922">
        <v>1006.52323186</v>
      </c>
      <c r="E24" s="923">
        <v>9926.2484279599994</v>
      </c>
      <c r="F24" s="923">
        <v>328.03963491000002</v>
      </c>
      <c r="G24" s="923">
        <v>678.32972274999997</v>
      </c>
      <c r="H24" s="923">
        <v>1609.58174824</v>
      </c>
      <c r="I24" s="923">
        <v>112.49887845000001</v>
      </c>
      <c r="J24" s="923">
        <v>113.397586</v>
      </c>
      <c r="K24" s="923">
        <v>8316.6666797199996</v>
      </c>
      <c r="L24" s="923">
        <v>215.54075646000001</v>
      </c>
      <c r="M24" s="923">
        <v>564.93213674999993</v>
      </c>
      <c r="N24" s="923">
        <v>4483.0668324199996</v>
      </c>
      <c r="O24" s="923">
        <v>48.585852940000002</v>
      </c>
      <c r="P24" s="923">
        <v>328.19350910999998</v>
      </c>
      <c r="Q24" s="923">
        <v>729.78460101999997</v>
      </c>
      <c r="R24" s="923">
        <v>6.1846971599999998</v>
      </c>
      <c r="S24" s="923">
        <v>45.364212569999999</v>
      </c>
      <c r="T24" s="923">
        <v>3753.2822314</v>
      </c>
      <c r="U24" s="923">
        <v>42.401155780000003</v>
      </c>
      <c r="V24" s="923">
        <v>282.82929653999997</v>
      </c>
      <c r="W24" s="924"/>
      <c r="X24" s="925"/>
    </row>
    <row r="25" spans="1:24" ht="12.75">
      <c r="A25" s="920" t="s">
        <v>28</v>
      </c>
      <c r="B25" s="921">
        <v>14304.651248960001</v>
      </c>
      <c r="C25" s="921">
        <v>376.62548785000001</v>
      </c>
      <c r="D25" s="922">
        <v>922.91633637999996</v>
      </c>
      <c r="E25" s="923">
        <v>9944.7613767799994</v>
      </c>
      <c r="F25" s="923">
        <v>328.03963491000002</v>
      </c>
      <c r="G25" s="923">
        <v>655.89601746000005</v>
      </c>
      <c r="H25" s="923">
        <v>1660.8785150000001</v>
      </c>
      <c r="I25" s="923">
        <v>112.49887845000001</v>
      </c>
      <c r="J25" s="923">
        <v>97.262283609999997</v>
      </c>
      <c r="K25" s="923">
        <v>8283.8828617800009</v>
      </c>
      <c r="L25" s="923">
        <v>215.54075646000001</v>
      </c>
      <c r="M25" s="923">
        <v>558.63373385</v>
      </c>
      <c r="N25" s="923">
        <v>4359.8898721799997</v>
      </c>
      <c r="O25" s="923">
        <v>48.585852940000002</v>
      </c>
      <c r="P25" s="923">
        <v>267.02031891999997</v>
      </c>
      <c r="Q25" s="923">
        <v>726.90528700000004</v>
      </c>
      <c r="R25" s="923">
        <v>6.1846971599999998</v>
      </c>
      <c r="S25" s="923">
        <v>43.563146709999998</v>
      </c>
      <c r="T25" s="923">
        <v>3632.9845851800001</v>
      </c>
      <c r="U25" s="923">
        <v>42.401155780000003</v>
      </c>
      <c r="V25" s="923">
        <v>223.45717220999998</v>
      </c>
      <c r="W25" s="924"/>
      <c r="X25" s="925"/>
    </row>
    <row r="26" spans="1:24" ht="12.75">
      <c r="A26" s="920" t="s">
        <v>29</v>
      </c>
      <c r="B26" s="921">
        <v>14156.979472700001</v>
      </c>
      <c r="C26" s="921">
        <v>373.44365544999999</v>
      </c>
      <c r="D26" s="922">
        <v>893.13990544000001</v>
      </c>
      <c r="E26" s="923">
        <v>9879.8602331000002</v>
      </c>
      <c r="F26" s="923">
        <v>324.11870998000001</v>
      </c>
      <c r="G26" s="923">
        <v>653.86810708999997</v>
      </c>
      <c r="H26" s="923">
        <v>1641.81090621</v>
      </c>
      <c r="I26" s="923">
        <v>112.36763689</v>
      </c>
      <c r="J26" s="923">
        <v>94.622461000000001</v>
      </c>
      <c r="K26" s="923">
        <v>8238.0493268900009</v>
      </c>
      <c r="L26" s="923">
        <v>211.75107309000001</v>
      </c>
      <c r="M26" s="923">
        <v>559.24564609000004</v>
      </c>
      <c r="N26" s="923">
        <v>4277.1192395999997</v>
      </c>
      <c r="O26" s="923">
        <v>49.324945470000003</v>
      </c>
      <c r="P26" s="923">
        <v>239.27179835000001</v>
      </c>
      <c r="Q26" s="923">
        <v>714.41116101</v>
      </c>
      <c r="R26" s="923">
        <v>6.32722753</v>
      </c>
      <c r="S26" s="923">
        <v>40.742700790000001</v>
      </c>
      <c r="T26" s="923">
        <v>3562.7080785899998</v>
      </c>
      <c r="U26" s="923">
        <v>42.997717940000001</v>
      </c>
      <c r="V26" s="923">
        <v>198.52909756</v>
      </c>
      <c r="W26" s="924"/>
      <c r="X26" s="925"/>
    </row>
    <row r="27" spans="1:24" ht="12.75">
      <c r="A27" s="926">
        <v>2021</v>
      </c>
      <c r="B27" s="921"/>
      <c r="C27" s="921"/>
      <c r="D27" s="922"/>
      <c r="E27" s="921"/>
      <c r="F27" s="921"/>
      <c r="G27" s="921"/>
      <c r="H27" s="921"/>
      <c r="I27" s="921"/>
      <c r="J27" s="921"/>
      <c r="K27" s="921"/>
      <c r="L27" s="921"/>
      <c r="M27" s="921"/>
      <c r="N27" s="921"/>
      <c r="O27" s="921"/>
      <c r="P27" s="921"/>
      <c r="Q27" s="921"/>
      <c r="R27" s="921"/>
      <c r="S27" s="921"/>
      <c r="T27" s="921"/>
      <c r="U27" s="921"/>
      <c r="V27" s="921"/>
      <c r="W27" s="924"/>
      <c r="X27" s="925"/>
    </row>
    <row r="28" spans="1:24" ht="12.75">
      <c r="A28" s="920" t="s">
        <v>18</v>
      </c>
      <c r="B28" s="921">
        <v>14213.759571140001</v>
      </c>
      <c r="C28" s="921">
        <v>373.44365544999999</v>
      </c>
      <c r="D28" s="922">
        <v>900.3856763</v>
      </c>
      <c r="E28" s="923">
        <v>9975.3628292600006</v>
      </c>
      <c r="F28" s="923">
        <v>324.11870998000001</v>
      </c>
      <c r="G28" s="923">
        <v>647.57022729999994</v>
      </c>
      <c r="H28" s="923">
        <v>1685.61115447</v>
      </c>
      <c r="I28" s="923">
        <v>112.36763689</v>
      </c>
      <c r="J28" s="923">
        <v>96.844620739999996</v>
      </c>
      <c r="K28" s="923">
        <v>8289.7516747900008</v>
      </c>
      <c r="L28" s="923">
        <v>211.75107309000001</v>
      </c>
      <c r="M28" s="923">
        <v>550.72560656000007</v>
      </c>
      <c r="N28" s="923">
        <v>4238.3967418800003</v>
      </c>
      <c r="O28" s="923">
        <v>49.324945470000003</v>
      </c>
      <c r="P28" s="923">
        <v>252.815449</v>
      </c>
      <c r="Q28" s="923">
        <v>761.28714362000005</v>
      </c>
      <c r="R28" s="923">
        <v>6.32722753</v>
      </c>
      <c r="S28" s="923">
        <v>49.487015579999998</v>
      </c>
      <c r="T28" s="923">
        <v>3477.10959826</v>
      </c>
      <c r="U28" s="923">
        <v>42.997717940000001</v>
      </c>
      <c r="V28" s="923">
        <v>203.32843341999998</v>
      </c>
      <c r="W28" s="924"/>
      <c r="X28" s="925"/>
    </row>
    <row r="29" spans="1:24" ht="12.75">
      <c r="A29" s="920" t="s">
        <v>19</v>
      </c>
      <c r="B29" s="921">
        <v>14246.10184789</v>
      </c>
      <c r="C29" s="921">
        <v>373.44365544999999</v>
      </c>
      <c r="D29" s="922">
        <v>917.51636970000004</v>
      </c>
      <c r="E29" s="923">
        <v>10083.452021880001</v>
      </c>
      <c r="F29" s="923">
        <v>324.11870998000001</v>
      </c>
      <c r="G29" s="923">
        <v>666.79700777999994</v>
      </c>
      <c r="H29" s="923">
        <v>1749.0857997999999</v>
      </c>
      <c r="I29" s="923">
        <v>112.36763689</v>
      </c>
      <c r="J29" s="923">
        <v>96.46629037999999</v>
      </c>
      <c r="K29" s="923">
        <v>8334.3662220799997</v>
      </c>
      <c r="L29" s="923">
        <v>211.75107309000001</v>
      </c>
      <c r="M29" s="923">
        <v>570.33071740000003</v>
      </c>
      <c r="N29" s="923">
        <v>4162.6498260099997</v>
      </c>
      <c r="O29" s="923">
        <v>49.324945470000003</v>
      </c>
      <c r="P29" s="923">
        <v>250.71936192000001</v>
      </c>
      <c r="Q29" s="923">
        <v>662.77640186999997</v>
      </c>
      <c r="R29" s="923">
        <v>6.32722753</v>
      </c>
      <c r="S29" s="923">
        <v>46.876663730000004</v>
      </c>
      <c r="T29" s="923">
        <v>3499.8734241400002</v>
      </c>
      <c r="U29" s="923">
        <v>42.997717940000001</v>
      </c>
      <c r="V29" s="923">
        <v>203.84269818999999</v>
      </c>
      <c r="W29" s="924"/>
      <c r="X29" s="925"/>
    </row>
    <row r="30" spans="1:24" ht="12.75">
      <c r="A30" s="920" t="s">
        <v>20</v>
      </c>
      <c r="B30" s="921">
        <v>14352.354129449999</v>
      </c>
      <c r="C30" s="921">
        <v>375.67627027999998</v>
      </c>
      <c r="D30" s="922">
        <v>918.15007710999998</v>
      </c>
      <c r="E30" s="923">
        <v>10247.2472729</v>
      </c>
      <c r="F30" s="923">
        <v>327.75034328999999</v>
      </c>
      <c r="G30" s="923">
        <v>668.94892829000003</v>
      </c>
      <c r="H30" s="923">
        <v>1776.7042152700001</v>
      </c>
      <c r="I30" s="923">
        <v>120.08097094</v>
      </c>
      <c r="J30" s="923">
        <v>93.229735579999996</v>
      </c>
      <c r="K30" s="923">
        <v>8470.5430576300005</v>
      </c>
      <c r="L30" s="923">
        <v>207.66937235</v>
      </c>
      <c r="M30" s="923">
        <v>575.71919271000002</v>
      </c>
      <c r="N30" s="923">
        <v>4105.10685655</v>
      </c>
      <c r="O30" s="923">
        <v>47.925926990000001</v>
      </c>
      <c r="P30" s="923">
        <v>249.20114881999999</v>
      </c>
      <c r="Q30" s="923">
        <v>674.77642509999998</v>
      </c>
      <c r="R30" s="923">
        <v>5.975174</v>
      </c>
      <c r="S30" s="923">
        <v>48.471003469999999</v>
      </c>
      <c r="T30" s="923">
        <v>3430.3304314500001</v>
      </c>
      <c r="U30" s="923">
        <v>41.950752989999998</v>
      </c>
      <c r="V30" s="923">
        <v>200.73014535000002</v>
      </c>
      <c r="W30" s="924"/>
      <c r="X30" s="925"/>
    </row>
    <row r="31" spans="1:24" ht="12.75">
      <c r="A31" s="920" t="s">
        <v>21</v>
      </c>
      <c r="B31" s="921">
        <v>14611.819578369999</v>
      </c>
      <c r="C31" s="921">
        <v>375.67627027999998</v>
      </c>
      <c r="D31" s="922">
        <v>921.53370200000006</v>
      </c>
      <c r="E31" s="923">
        <v>10508.626065500001</v>
      </c>
      <c r="F31" s="923">
        <v>327.75034328999999</v>
      </c>
      <c r="G31" s="923">
        <v>699.32114547000003</v>
      </c>
      <c r="H31" s="923">
        <v>1809.139506</v>
      </c>
      <c r="I31" s="923">
        <v>120.08097094</v>
      </c>
      <c r="J31" s="923">
        <v>108.31807354</v>
      </c>
      <c r="K31" s="923">
        <v>8699.4865594999992</v>
      </c>
      <c r="L31" s="923">
        <v>207.66937235</v>
      </c>
      <c r="M31" s="923">
        <v>591.00307193000003</v>
      </c>
      <c r="N31" s="923">
        <v>4103.1935128699997</v>
      </c>
      <c r="O31" s="923">
        <v>47.925926990000001</v>
      </c>
      <c r="P31" s="923">
        <v>222.21255653</v>
      </c>
      <c r="Q31" s="923">
        <v>686.93910826000001</v>
      </c>
      <c r="R31" s="923">
        <v>5.975174</v>
      </c>
      <c r="S31" s="923">
        <v>49.952667609999999</v>
      </c>
      <c r="T31" s="923">
        <v>3416.2544046100002</v>
      </c>
      <c r="U31" s="923">
        <v>41.950752989999998</v>
      </c>
      <c r="V31" s="923">
        <v>172.25988892000001</v>
      </c>
      <c r="W31" s="924"/>
      <c r="X31" s="925"/>
    </row>
    <row r="32" spans="1:24" ht="12.75">
      <c r="A32" s="920" t="s">
        <v>22</v>
      </c>
      <c r="B32" s="921">
        <v>14691.392036560001</v>
      </c>
      <c r="C32" s="921">
        <v>375.67627027999998</v>
      </c>
      <c r="D32" s="922">
        <v>906.90793025000005</v>
      </c>
      <c r="E32" s="923">
        <v>10599.23610201</v>
      </c>
      <c r="F32" s="923">
        <v>327.75034328999999</v>
      </c>
      <c r="G32" s="923">
        <v>685.46766498</v>
      </c>
      <c r="H32" s="923">
        <v>1813.0710656599999</v>
      </c>
      <c r="I32" s="923">
        <v>120.08097094</v>
      </c>
      <c r="J32" s="923">
        <v>92.693554630000008</v>
      </c>
      <c r="K32" s="923">
        <v>8786.1650363499994</v>
      </c>
      <c r="L32" s="923">
        <v>207.66937235</v>
      </c>
      <c r="M32" s="923">
        <v>592.77411035</v>
      </c>
      <c r="N32" s="923">
        <v>4092.15593455</v>
      </c>
      <c r="O32" s="923">
        <v>47.925926990000001</v>
      </c>
      <c r="P32" s="923">
        <v>221.44026527</v>
      </c>
      <c r="Q32" s="923">
        <v>666.54767803000004</v>
      </c>
      <c r="R32" s="923">
        <v>5.975174</v>
      </c>
      <c r="S32" s="923">
        <v>47.60378068</v>
      </c>
      <c r="T32" s="923">
        <v>3425.6082565199999</v>
      </c>
      <c r="U32" s="923">
        <v>41.950752989999998</v>
      </c>
      <c r="V32" s="923">
        <v>173.83648459</v>
      </c>
      <c r="W32" s="924"/>
      <c r="X32" s="925"/>
    </row>
    <row r="33" spans="1:24" ht="12.75">
      <c r="A33" s="920" t="s">
        <v>23</v>
      </c>
      <c r="B33" s="921">
        <v>14856.88264518</v>
      </c>
      <c r="C33" s="921">
        <v>401.17554901</v>
      </c>
      <c r="D33" s="922">
        <v>914.58348045999992</v>
      </c>
      <c r="E33" s="923">
        <v>10800.240964389999</v>
      </c>
      <c r="F33" s="923">
        <v>348.19117247999998</v>
      </c>
      <c r="G33" s="923">
        <v>694.13460823000003</v>
      </c>
      <c r="H33" s="923">
        <v>1832.41460173</v>
      </c>
      <c r="I33" s="923">
        <v>132.10586247000001</v>
      </c>
      <c r="J33" s="923">
        <v>93.614316349999996</v>
      </c>
      <c r="K33" s="923">
        <v>8967.8263626600001</v>
      </c>
      <c r="L33" s="923">
        <v>216.08531001</v>
      </c>
      <c r="M33" s="923">
        <v>600.52029187999995</v>
      </c>
      <c r="N33" s="923">
        <v>4056.64168079</v>
      </c>
      <c r="O33" s="923">
        <v>52.984376529999999</v>
      </c>
      <c r="P33" s="923">
        <v>220.44887223000001</v>
      </c>
      <c r="Q33" s="923">
        <v>687.96934712999996</v>
      </c>
      <c r="R33" s="923">
        <v>5.6883241399999998</v>
      </c>
      <c r="S33" s="923">
        <v>47.841762289999998</v>
      </c>
      <c r="T33" s="923">
        <v>3368.6723336599998</v>
      </c>
      <c r="U33" s="923">
        <v>47.29605239</v>
      </c>
      <c r="V33" s="923">
        <v>172.60710993999999</v>
      </c>
      <c r="W33" s="924"/>
      <c r="X33" s="925"/>
    </row>
    <row r="34" spans="1:24" ht="12.75">
      <c r="A34" s="920" t="s">
        <v>24</v>
      </c>
      <c r="B34" s="921">
        <v>14966.497434360001</v>
      </c>
      <c r="C34" s="921">
        <v>401.17554901</v>
      </c>
      <c r="D34" s="922">
        <v>937.46215344999996</v>
      </c>
      <c r="E34" s="923">
        <v>10903.35557229</v>
      </c>
      <c r="F34" s="923">
        <v>348.19117247999998</v>
      </c>
      <c r="G34" s="923">
        <v>712.25482284999998</v>
      </c>
      <c r="H34" s="923">
        <v>1881.44984398</v>
      </c>
      <c r="I34" s="923">
        <v>132.10586247000001</v>
      </c>
      <c r="J34" s="923">
        <v>94.494357119999989</v>
      </c>
      <c r="K34" s="923">
        <v>9021.9057283099992</v>
      </c>
      <c r="L34" s="923">
        <v>216.08531001</v>
      </c>
      <c r="M34" s="923">
        <v>617.76046572999996</v>
      </c>
      <c r="N34" s="923">
        <v>4063.1418620700001</v>
      </c>
      <c r="O34" s="923">
        <v>52.984376529999999</v>
      </c>
      <c r="P34" s="923">
        <v>225.20733059999998</v>
      </c>
      <c r="Q34" s="923">
        <v>708.48020512000005</v>
      </c>
      <c r="R34" s="923">
        <v>5.6883241399999998</v>
      </c>
      <c r="S34" s="923">
        <v>51.764850549999998</v>
      </c>
      <c r="T34" s="923">
        <v>3354.6616569500002</v>
      </c>
      <c r="U34" s="923">
        <v>47.29605239</v>
      </c>
      <c r="V34" s="923">
        <v>173.44248005</v>
      </c>
      <c r="W34" s="924"/>
      <c r="X34" s="925"/>
    </row>
    <row r="35" spans="1:24" ht="12.75">
      <c r="A35" s="920" t="s">
        <v>25</v>
      </c>
      <c r="B35" s="921">
        <v>15206.80355631</v>
      </c>
      <c r="C35" s="921">
        <v>401.17554901</v>
      </c>
      <c r="D35" s="922">
        <v>904.16886915999999</v>
      </c>
      <c r="E35" s="923">
        <v>11078.540372990001</v>
      </c>
      <c r="F35" s="923">
        <v>348.19117247999998</v>
      </c>
      <c r="G35" s="923">
        <v>687.53866123</v>
      </c>
      <c r="H35" s="923">
        <v>1882.6847640200001</v>
      </c>
      <c r="I35" s="923">
        <v>132.10586247000001</v>
      </c>
      <c r="J35" s="923">
        <v>94.177497820000013</v>
      </c>
      <c r="K35" s="923">
        <v>9195.8556089699996</v>
      </c>
      <c r="L35" s="923">
        <v>216.08531001</v>
      </c>
      <c r="M35" s="923">
        <v>593.3611634099999</v>
      </c>
      <c r="N35" s="923">
        <v>4128.2631833200003</v>
      </c>
      <c r="O35" s="923">
        <v>52.984376529999999</v>
      </c>
      <c r="P35" s="923">
        <v>216.63020792999998</v>
      </c>
      <c r="Q35" s="923">
        <v>757.38473449000003</v>
      </c>
      <c r="R35" s="923">
        <v>5.6883241399999998</v>
      </c>
      <c r="S35" s="923">
        <v>45.313542130000002</v>
      </c>
      <c r="T35" s="923">
        <v>3370.8784488299998</v>
      </c>
      <c r="U35" s="923">
        <v>47.29605239</v>
      </c>
      <c r="V35" s="923">
        <v>171.31666579999998</v>
      </c>
      <c r="W35" s="924"/>
      <c r="X35" s="925"/>
    </row>
    <row r="36" spans="1:24" ht="12.75">
      <c r="A36" s="920" t="s">
        <v>26</v>
      </c>
      <c r="B36" s="921">
        <v>15538.70363957</v>
      </c>
      <c r="C36" s="921">
        <v>418.60019290000002</v>
      </c>
      <c r="D36" s="922">
        <v>871.14004874</v>
      </c>
      <c r="E36" s="923">
        <v>11344.42322649</v>
      </c>
      <c r="F36" s="923">
        <v>363.46501093000001</v>
      </c>
      <c r="G36" s="923">
        <v>660.70912520999991</v>
      </c>
      <c r="H36" s="923">
        <v>1934.2304067299999</v>
      </c>
      <c r="I36" s="923">
        <v>139.84347871</v>
      </c>
      <c r="J36" s="923">
        <v>89.766116760000003</v>
      </c>
      <c r="K36" s="923">
        <v>9410.1928197599991</v>
      </c>
      <c r="L36" s="923">
        <v>223.62153222000001</v>
      </c>
      <c r="M36" s="923">
        <v>570.94300844999998</v>
      </c>
      <c r="N36" s="923">
        <v>4194.2804130799996</v>
      </c>
      <c r="O36" s="923">
        <v>55.135181969999998</v>
      </c>
      <c r="P36" s="923">
        <v>210.43092353000003</v>
      </c>
      <c r="Q36" s="923">
        <v>808.49123672999997</v>
      </c>
      <c r="R36" s="923">
        <v>5.5866033000000002</v>
      </c>
      <c r="S36" s="923">
        <v>42.921859019999999</v>
      </c>
      <c r="T36" s="923">
        <v>3385.7891763500002</v>
      </c>
      <c r="U36" s="923">
        <v>49.548578669999998</v>
      </c>
      <c r="V36" s="923">
        <v>167.50906451</v>
      </c>
      <c r="W36" s="924"/>
      <c r="X36" s="925"/>
    </row>
    <row r="37" spans="1:24" ht="12.75">
      <c r="A37" s="920" t="s">
        <v>27</v>
      </c>
      <c r="B37" s="921">
        <v>15997.29021702</v>
      </c>
      <c r="C37" s="921">
        <v>418.60019290000002</v>
      </c>
      <c r="D37" s="922">
        <v>815.87446340999998</v>
      </c>
      <c r="E37" s="923">
        <v>11550.003507060001</v>
      </c>
      <c r="F37" s="923">
        <v>363.46501093000001</v>
      </c>
      <c r="G37" s="923">
        <v>597.93212702000005</v>
      </c>
      <c r="H37" s="923">
        <v>2000.6491651599999</v>
      </c>
      <c r="I37" s="923">
        <v>139.84347871</v>
      </c>
      <c r="J37" s="923">
        <v>84.669884519999997</v>
      </c>
      <c r="K37" s="923">
        <v>9549.3543418999998</v>
      </c>
      <c r="L37" s="923">
        <v>223.62153222000001</v>
      </c>
      <c r="M37" s="923">
        <v>513.26224249999996</v>
      </c>
      <c r="N37" s="923">
        <v>4447.2867099599998</v>
      </c>
      <c r="O37" s="923">
        <v>55.135181969999998</v>
      </c>
      <c r="P37" s="923">
        <v>217.94233638999998</v>
      </c>
      <c r="Q37" s="923">
        <v>940.90689980000002</v>
      </c>
      <c r="R37" s="923">
        <v>5.5866033000000002</v>
      </c>
      <c r="S37" s="923">
        <v>55.73458239</v>
      </c>
      <c r="T37" s="923">
        <v>3506.37981016</v>
      </c>
      <c r="U37" s="923">
        <v>49.548578669999998</v>
      </c>
      <c r="V37" s="923">
        <v>162.20775399999999</v>
      </c>
      <c r="W37" s="924"/>
      <c r="X37" s="925"/>
    </row>
    <row r="38" spans="1:24" ht="12.75">
      <c r="A38" s="920" t="s">
        <v>28</v>
      </c>
      <c r="B38" s="921">
        <v>16281.964850279999</v>
      </c>
      <c r="C38" s="921">
        <v>418.60019290000002</v>
      </c>
      <c r="D38" s="922">
        <v>786.28199433999998</v>
      </c>
      <c r="E38" s="923">
        <v>11907.86257132</v>
      </c>
      <c r="F38" s="923">
        <v>363.46501093000001</v>
      </c>
      <c r="G38" s="923">
        <v>571.54338396000003</v>
      </c>
      <c r="H38" s="923">
        <v>2104.7434106400001</v>
      </c>
      <c r="I38" s="923">
        <v>139.84347871</v>
      </c>
      <c r="J38" s="923">
        <v>85.640184000000005</v>
      </c>
      <c r="K38" s="923">
        <v>9803.1191606800003</v>
      </c>
      <c r="L38" s="923">
        <v>223.62153222000001</v>
      </c>
      <c r="M38" s="923">
        <v>485.90319995999999</v>
      </c>
      <c r="N38" s="923">
        <v>4374.1022789600001</v>
      </c>
      <c r="O38" s="923">
        <v>55.135181969999998</v>
      </c>
      <c r="P38" s="923">
        <v>214.73861038000001</v>
      </c>
      <c r="Q38" s="923">
        <v>927.16268978999994</v>
      </c>
      <c r="R38" s="923">
        <v>5.5866033000000002</v>
      </c>
      <c r="S38" s="923">
        <v>54.031234310000002</v>
      </c>
      <c r="T38" s="923">
        <v>3446.9395891700001</v>
      </c>
      <c r="U38" s="923">
        <v>49.548578669999998</v>
      </c>
      <c r="V38" s="923">
        <v>160.70737607000001</v>
      </c>
      <c r="W38" s="924"/>
      <c r="X38" s="925"/>
    </row>
    <row r="39" spans="1:24" ht="12.75">
      <c r="A39" s="920" t="s">
        <v>29</v>
      </c>
      <c r="B39" s="921">
        <v>16659.10533463</v>
      </c>
      <c r="C39" s="921">
        <v>460.71093189999999</v>
      </c>
      <c r="D39" s="922">
        <v>719.44171244099994</v>
      </c>
      <c r="E39" s="923">
        <v>12295.876158339999</v>
      </c>
      <c r="F39" s="923">
        <v>400.58206002999998</v>
      </c>
      <c r="G39" s="923">
        <v>531.8240892</v>
      </c>
      <c r="H39" s="923">
        <v>2102.3915146099998</v>
      </c>
      <c r="I39" s="923">
        <v>143.61199816999999</v>
      </c>
      <c r="J39" s="923">
        <v>80.629324750000009</v>
      </c>
      <c r="K39" s="923">
        <v>10193.48464373</v>
      </c>
      <c r="L39" s="923">
        <v>256.97006185999999</v>
      </c>
      <c r="M39" s="923">
        <v>451.19476444999998</v>
      </c>
      <c r="N39" s="923">
        <v>4363.2291762900004</v>
      </c>
      <c r="O39" s="923">
        <v>60.128871869999998</v>
      </c>
      <c r="P39" s="923">
        <v>187.61762324099999</v>
      </c>
      <c r="Q39" s="923">
        <v>950.81045275999998</v>
      </c>
      <c r="R39" s="923">
        <v>5.0991979199999999</v>
      </c>
      <c r="S39" s="923">
        <v>51.405089330999999</v>
      </c>
      <c r="T39" s="923">
        <v>3412.4187235300001</v>
      </c>
      <c r="U39" s="923">
        <v>55.029673950000003</v>
      </c>
      <c r="V39" s="923">
        <v>136.21253390999999</v>
      </c>
      <c r="W39" s="924"/>
      <c r="X39" s="925"/>
    </row>
    <row r="40" spans="1:24" ht="12.75">
      <c r="A40" s="920" t="s">
        <v>2812</v>
      </c>
      <c r="B40" s="921"/>
      <c r="C40" s="921"/>
      <c r="D40" s="922"/>
      <c r="E40" s="923"/>
      <c r="F40" s="923"/>
      <c r="G40" s="923"/>
      <c r="H40" s="923"/>
      <c r="I40" s="923"/>
      <c r="J40" s="923"/>
      <c r="K40" s="923"/>
      <c r="L40" s="923"/>
      <c r="M40" s="923"/>
      <c r="N40" s="923"/>
      <c r="O40" s="923"/>
      <c r="P40" s="923"/>
      <c r="Q40" s="923"/>
      <c r="R40" s="923"/>
      <c r="S40" s="923"/>
      <c r="T40" s="923"/>
      <c r="U40" s="923"/>
      <c r="V40" s="923"/>
      <c r="W40" s="924"/>
      <c r="X40" s="925"/>
    </row>
    <row r="41" spans="1:24" ht="12.75">
      <c r="A41" s="920" t="s">
        <v>18</v>
      </c>
      <c r="B41" s="921">
        <v>16781.438939299998</v>
      </c>
      <c r="C41" s="921">
        <v>460.71093189999999</v>
      </c>
      <c r="D41" s="922">
        <v>706.54506468099999</v>
      </c>
      <c r="E41" s="923">
        <v>12417.2461456</v>
      </c>
      <c r="F41" s="923">
        <v>400.58206002999998</v>
      </c>
      <c r="G41" s="923">
        <v>514.54677155000002</v>
      </c>
      <c r="H41" s="923">
        <v>2111.5110689799999</v>
      </c>
      <c r="I41" s="923">
        <v>143.61199816999999</v>
      </c>
      <c r="J41" s="923">
        <v>83.849482890000004</v>
      </c>
      <c r="K41" s="923">
        <v>10305.73507662</v>
      </c>
      <c r="L41" s="923">
        <v>256.97006185999999</v>
      </c>
      <c r="M41" s="923">
        <v>430.69728865999997</v>
      </c>
      <c r="N41" s="923">
        <v>4364.1927937</v>
      </c>
      <c r="O41" s="923">
        <v>60.128871869999998</v>
      </c>
      <c r="P41" s="923">
        <v>191.998293131</v>
      </c>
      <c r="Q41" s="923">
        <v>971.38997297000003</v>
      </c>
      <c r="R41" s="923">
        <v>5.0991979199999999</v>
      </c>
      <c r="S41" s="923">
        <v>51.256426150999999</v>
      </c>
      <c r="T41" s="923">
        <v>3392.8028207299999</v>
      </c>
      <c r="U41" s="923">
        <v>55.029673950000003</v>
      </c>
      <c r="V41" s="923">
        <v>140.74186698</v>
      </c>
      <c r="W41" s="924"/>
      <c r="X41" s="925"/>
    </row>
    <row r="42" spans="1:24" ht="12.75">
      <c r="A42" s="920" t="s">
        <v>19</v>
      </c>
      <c r="B42" s="921">
        <v>17126.510853610002</v>
      </c>
      <c r="C42" s="921">
        <v>460.71093189999999</v>
      </c>
      <c r="D42" s="922">
        <v>690.22803666099992</v>
      </c>
      <c r="E42" s="923">
        <v>12751.955724490001</v>
      </c>
      <c r="F42" s="923">
        <v>400.58206002999998</v>
      </c>
      <c r="G42" s="923">
        <v>500.31258965000001</v>
      </c>
      <c r="H42" s="923">
        <v>2228.0877367399999</v>
      </c>
      <c r="I42" s="923">
        <v>143.61199816999999</v>
      </c>
      <c r="J42" s="923">
        <v>83.798901090000001</v>
      </c>
      <c r="K42" s="923">
        <v>10523.86798775</v>
      </c>
      <c r="L42" s="923">
        <v>256.97006185999999</v>
      </c>
      <c r="M42" s="923">
        <v>416.51368855999999</v>
      </c>
      <c r="N42" s="923">
        <v>4374.5551291199999</v>
      </c>
      <c r="O42" s="923">
        <v>60.128871869999998</v>
      </c>
      <c r="P42" s="923">
        <v>189.915447011</v>
      </c>
      <c r="Q42" s="923">
        <v>1044.64093594</v>
      </c>
      <c r="R42" s="923">
        <v>5.0991979199999999</v>
      </c>
      <c r="S42" s="923">
        <v>50.666347761000004</v>
      </c>
      <c r="T42" s="923">
        <v>3329.91419318</v>
      </c>
      <c r="U42" s="923">
        <v>55.029673950000003</v>
      </c>
      <c r="V42" s="923">
        <v>139.24909925</v>
      </c>
      <c r="W42" s="924"/>
      <c r="X42" s="925"/>
    </row>
    <row r="43" spans="1:24" ht="12.75">
      <c r="A43" s="920" t="s">
        <v>20</v>
      </c>
      <c r="B43" s="921">
        <v>17528.170512190001</v>
      </c>
      <c r="C43" s="921">
        <v>479.59937926100002</v>
      </c>
      <c r="D43" s="922">
        <v>685.18649990099993</v>
      </c>
      <c r="E43" s="923">
        <v>13081.72942464</v>
      </c>
      <c r="F43" s="923">
        <v>416.58566178000001</v>
      </c>
      <c r="G43" s="923">
        <v>484.17742141999997</v>
      </c>
      <c r="H43" s="923">
        <v>2300.8940538699999</v>
      </c>
      <c r="I43" s="923">
        <v>150.96080594</v>
      </c>
      <c r="J43" s="923">
        <v>91.229191940000007</v>
      </c>
      <c r="K43" s="923">
        <v>10780.835370770001</v>
      </c>
      <c r="L43" s="923">
        <v>265.62485584000001</v>
      </c>
      <c r="M43" s="923">
        <v>392.94822948000001</v>
      </c>
      <c r="N43" s="923">
        <v>4446.4410875499998</v>
      </c>
      <c r="O43" s="923">
        <v>63.013717481</v>
      </c>
      <c r="P43" s="923">
        <v>201.00907848099999</v>
      </c>
      <c r="Q43" s="923">
        <v>973.19654422999997</v>
      </c>
      <c r="R43" s="923">
        <v>5.0268763510000003</v>
      </c>
      <c r="S43" s="923">
        <v>57.715947030999999</v>
      </c>
      <c r="T43" s="923">
        <v>3473.24454332</v>
      </c>
      <c r="U43" s="923">
        <v>57.986841130000002</v>
      </c>
      <c r="V43" s="923">
        <v>143.29313145</v>
      </c>
      <c r="W43" s="924"/>
      <c r="X43" s="925"/>
    </row>
    <row r="44" spans="1:24" ht="12.75">
      <c r="A44" s="920" t="s">
        <v>21</v>
      </c>
      <c r="B44" s="921">
        <v>17840.365402669999</v>
      </c>
      <c r="C44" s="921">
        <v>479.59937926100002</v>
      </c>
      <c r="D44" s="922">
        <v>674.77748304099998</v>
      </c>
      <c r="E44" s="923">
        <v>13455.54299858</v>
      </c>
      <c r="F44" s="923">
        <v>416.58566178000001</v>
      </c>
      <c r="G44" s="923">
        <v>473.43038794</v>
      </c>
      <c r="H44" s="923">
        <v>2402.1521094899999</v>
      </c>
      <c r="I44" s="923">
        <v>150.96080594</v>
      </c>
      <c r="J44" s="923">
        <v>86.027146730000013</v>
      </c>
      <c r="K44" s="923">
        <v>11053.39088909</v>
      </c>
      <c r="L44" s="923">
        <v>265.62485584000001</v>
      </c>
      <c r="M44" s="923">
        <v>387.40324120999998</v>
      </c>
      <c r="N44" s="923">
        <v>4384.8224040900004</v>
      </c>
      <c r="O44" s="923">
        <v>63.013717481</v>
      </c>
      <c r="P44" s="923">
        <v>201.34709510100001</v>
      </c>
      <c r="Q44" s="923">
        <v>964.45066541000006</v>
      </c>
      <c r="R44" s="923">
        <v>5.0268763510000003</v>
      </c>
      <c r="S44" s="923">
        <v>60.260919121000001</v>
      </c>
      <c r="T44" s="923">
        <v>3420.3717386799999</v>
      </c>
      <c r="U44" s="923">
        <v>57.986841130000002</v>
      </c>
      <c r="V44" s="923">
        <v>141.08617598000001</v>
      </c>
      <c r="W44" s="924"/>
      <c r="X44" s="925"/>
    </row>
    <row r="45" spans="1:24" ht="12.75">
      <c r="A45" s="920" t="s">
        <v>22</v>
      </c>
      <c r="B45" s="921">
        <v>18098.275857510002</v>
      </c>
      <c r="C45" s="921">
        <v>479.59937926100002</v>
      </c>
      <c r="D45" s="922">
        <v>673.73641594100002</v>
      </c>
      <c r="E45" s="923">
        <v>13689.70842578</v>
      </c>
      <c r="F45" s="923">
        <v>416.58566178000001</v>
      </c>
      <c r="G45" s="923">
        <v>472.73205044000002</v>
      </c>
      <c r="H45" s="923">
        <v>2379.4522662499999</v>
      </c>
      <c r="I45" s="923">
        <v>150.96080594</v>
      </c>
      <c r="J45" s="923">
        <v>85.956871760000013</v>
      </c>
      <c r="K45" s="923">
        <v>11310.256159529999</v>
      </c>
      <c r="L45" s="923">
        <v>265.62485584000001</v>
      </c>
      <c r="M45" s="923">
        <v>386.77517868000001</v>
      </c>
      <c r="N45" s="923">
        <v>4408.56743173</v>
      </c>
      <c r="O45" s="923">
        <v>63.013717481</v>
      </c>
      <c r="P45" s="923">
        <v>201.004365501</v>
      </c>
      <c r="Q45" s="923">
        <v>995.45106219000002</v>
      </c>
      <c r="R45" s="923">
        <v>5.0268763510000003</v>
      </c>
      <c r="S45" s="923">
        <v>57.545981490999999</v>
      </c>
      <c r="T45" s="923">
        <v>3413.1163695400001</v>
      </c>
      <c r="U45" s="923">
        <v>57.986841130000002</v>
      </c>
      <c r="V45" s="923">
        <v>143.45838401</v>
      </c>
      <c r="W45" s="924"/>
      <c r="X45" s="925"/>
    </row>
    <row r="46" spans="1:24" ht="12.75">
      <c r="A46" s="920" t="s">
        <v>23</v>
      </c>
      <c r="B46" s="921">
        <v>18320.007046070001</v>
      </c>
      <c r="C46" s="921">
        <v>498.1938780946</v>
      </c>
      <c r="D46" s="922">
        <v>661.21798656499993</v>
      </c>
      <c r="E46" s="923">
        <v>14048.20917308</v>
      </c>
      <c r="F46" s="923">
        <v>436.71210612959999</v>
      </c>
      <c r="G46" s="923">
        <v>475.93267406999996</v>
      </c>
      <c r="H46" s="923">
        <v>2534.1022826399999</v>
      </c>
      <c r="I46" s="923">
        <v>156.34445825</v>
      </c>
      <c r="J46" s="923">
        <v>90.75005256</v>
      </c>
      <c r="K46" s="923">
        <v>11514.10689044</v>
      </c>
      <c r="L46" s="923">
        <v>280.36764787959999</v>
      </c>
      <c r="M46" s="923">
        <v>385.18262150999999</v>
      </c>
      <c r="N46" s="923">
        <v>4271.7978729899996</v>
      </c>
      <c r="O46" s="923">
        <v>61.481771965</v>
      </c>
      <c r="P46" s="923">
        <v>185.285312495</v>
      </c>
      <c r="Q46" s="923">
        <v>1048.96559875</v>
      </c>
      <c r="R46" s="923">
        <v>4.4162269849999998</v>
      </c>
      <c r="S46" s="923">
        <v>55.946921345</v>
      </c>
      <c r="T46" s="923">
        <v>3222.8322742400001</v>
      </c>
      <c r="U46" s="923">
        <v>57.065544979999999</v>
      </c>
      <c r="V46" s="923">
        <v>129.33839115000001</v>
      </c>
      <c r="W46" s="924"/>
      <c r="X46" s="925"/>
    </row>
    <row r="47" spans="1:24" ht="12.75">
      <c r="A47" s="920" t="s">
        <v>24</v>
      </c>
      <c r="B47" s="921">
        <v>18487.441073260001</v>
      </c>
      <c r="C47" s="921">
        <v>498.1938780946</v>
      </c>
      <c r="D47" s="922">
        <v>662.33321448499998</v>
      </c>
      <c r="E47" s="923">
        <v>14209.02250223</v>
      </c>
      <c r="F47" s="923">
        <v>436.71210612959999</v>
      </c>
      <c r="G47" s="923">
        <v>467.36739868999996</v>
      </c>
      <c r="H47" s="923">
        <v>2546.1574378</v>
      </c>
      <c r="I47" s="923">
        <v>156.34445825</v>
      </c>
      <c r="J47" s="923">
        <v>87.147762479999997</v>
      </c>
      <c r="K47" s="923">
        <v>11662.86506443</v>
      </c>
      <c r="L47" s="923">
        <v>280.36764787959999</v>
      </c>
      <c r="M47" s="923">
        <v>380.21963621000003</v>
      </c>
      <c r="N47" s="923">
        <v>4278.4185710299998</v>
      </c>
      <c r="O47" s="923">
        <v>61.481771965</v>
      </c>
      <c r="P47" s="923">
        <v>194.965815795</v>
      </c>
      <c r="Q47" s="923">
        <v>1122.95462129</v>
      </c>
      <c r="R47" s="923">
        <v>4.4162269849999998</v>
      </c>
      <c r="S47" s="923">
        <v>58.126071455000002</v>
      </c>
      <c r="T47" s="923">
        <v>3155.4639497399999</v>
      </c>
      <c r="U47" s="923">
        <v>57.065544979999999</v>
      </c>
      <c r="V47" s="923">
        <v>136.83974433999998</v>
      </c>
      <c r="W47" s="924"/>
      <c r="X47" s="925"/>
    </row>
    <row r="48" spans="1:24" ht="12.75">
      <c r="A48" s="920" t="s">
        <v>25</v>
      </c>
      <c r="B48" s="921">
        <v>18638.62838935</v>
      </c>
      <c r="C48" s="921">
        <v>498.1938780946</v>
      </c>
      <c r="D48" s="922">
        <v>659.66022400500003</v>
      </c>
      <c r="E48" s="923">
        <v>14464.83929874</v>
      </c>
      <c r="F48" s="923">
        <v>436.71210612959999</v>
      </c>
      <c r="G48" s="923">
        <v>469.64002125000002</v>
      </c>
      <c r="H48" s="923">
        <v>2577.61963608</v>
      </c>
      <c r="I48" s="923">
        <v>156.34445825</v>
      </c>
      <c r="J48" s="923">
        <v>81.403059510000006</v>
      </c>
      <c r="K48" s="923">
        <v>11887.21966266</v>
      </c>
      <c r="L48" s="923">
        <v>280.36764787959999</v>
      </c>
      <c r="M48" s="923">
        <v>388.23696174000003</v>
      </c>
      <c r="N48" s="923">
        <v>4173.7890906100001</v>
      </c>
      <c r="O48" s="923">
        <v>61.481771965</v>
      </c>
      <c r="P48" s="923">
        <v>190.02020275499999</v>
      </c>
      <c r="Q48" s="923">
        <v>1083.5726547199999</v>
      </c>
      <c r="R48" s="923">
        <v>4.4162269849999998</v>
      </c>
      <c r="S48" s="923">
        <v>57.074502225000003</v>
      </c>
      <c r="T48" s="923">
        <v>3090.21643589</v>
      </c>
      <c r="U48" s="923">
        <v>57.065544979999999</v>
      </c>
      <c r="V48" s="923">
        <v>132.94570053000001</v>
      </c>
      <c r="W48" s="924"/>
      <c r="X48" s="925"/>
    </row>
    <row r="49" spans="1:24" ht="12.75">
      <c r="A49" s="920" t="s">
        <v>26</v>
      </c>
      <c r="B49" s="921">
        <v>19157.178022799999</v>
      </c>
      <c r="C49" s="921">
        <v>544.50561276600001</v>
      </c>
      <c r="D49" s="922">
        <v>649.52193192200002</v>
      </c>
      <c r="E49" s="923">
        <v>14909.434113470001</v>
      </c>
      <c r="F49" s="923">
        <v>482.86780060000001</v>
      </c>
      <c r="G49" s="923">
        <v>455.72288686999997</v>
      </c>
      <c r="H49" s="923">
        <v>2705.98178654</v>
      </c>
      <c r="I49" s="923">
        <v>163.50923609</v>
      </c>
      <c r="J49" s="923">
        <v>83.312871090000002</v>
      </c>
      <c r="K49" s="923">
        <v>12203.452326930001</v>
      </c>
      <c r="L49" s="923">
        <v>319.35856451000001</v>
      </c>
      <c r="M49" s="923">
        <v>372.41001577999998</v>
      </c>
      <c r="N49" s="923">
        <v>4247.74390933</v>
      </c>
      <c r="O49" s="923">
        <v>61.637812166000003</v>
      </c>
      <c r="P49" s="923">
        <v>193.799045052</v>
      </c>
      <c r="Q49" s="923">
        <v>1142.39719457</v>
      </c>
      <c r="R49" s="923">
        <v>5.9335400859999998</v>
      </c>
      <c r="S49" s="923">
        <v>60.564510192</v>
      </c>
      <c r="T49" s="923">
        <v>3105.3467147599999</v>
      </c>
      <c r="U49" s="923">
        <v>55.704272080000003</v>
      </c>
      <c r="V49" s="923">
        <v>133.23453486</v>
      </c>
      <c r="W49" s="924"/>
      <c r="X49" s="925"/>
    </row>
    <row r="50" spans="1:24" ht="12.75">
      <c r="A50" s="920" t="s">
        <v>27</v>
      </c>
      <c r="B50" s="921">
        <v>19470.78771384</v>
      </c>
      <c r="C50" s="921">
        <v>544.50561276600001</v>
      </c>
      <c r="D50" s="922">
        <v>646.04418552200002</v>
      </c>
      <c r="E50" s="923">
        <v>15174.703866280001</v>
      </c>
      <c r="F50" s="923">
        <v>482.86780060000001</v>
      </c>
      <c r="G50" s="923">
        <v>451.23529952000001</v>
      </c>
      <c r="H50" s="923">
        <v>2713.3827364399999</v>
      </c>
      <c r="I50" s="923">
        <v>163.50923609</v>
      </c>
      <c r="J50" s="923">
        <v>83.754464170000006</v>
      </c>
      <c r="K50" s="923">
        <v>12461.32112984</v>
      </c>
      <c r="L50" s="923">
        <v>319.35856451000001</v>
      </c>
      <c r="M50" s="923">
        <v>367.48083535000001</v>
      </c>
      <c r="N50" s="923">
        <v>4296.0838475600003</v>
      </c>
      <c r="O50" s="923">
        <v>61.637812166000003</v>
      </c>
      <c r="P50" s="923">
        <v>194.80888600200001</v>
      </c>
      <c r="Q50" s="923">
        <v>1078.94704052</v>
      </c>
      <c r="R50" s="923">
        <v>5.9335400859999998</v>
      </c>
      <c r="S50" s="923">
        <v>62.664213252000003</v>
      </c>
      <c r="T50" s="923">
        <v>3217.1368070399999</v>
      </c>
      <c r="U50" s="923">
        <v>55.704272080000003</v>
      </c>
      <c r="V50" s="923">
        <v>132.14467275000001</v>
      </c>
      <c r="W50" s="924"/>
      <c r="X50" s="925"/>
    </row>
    <row r="51" spans="1:24" ht="12.75">
      <c r="A51" s="920" t="s">
        <v>28</v>
      </c>
      <c r="B51" s="921">
        <v>19674.1850872</v>
      </c>
      <c r="C51" s="921">
        <v>544.50561276600001</v>
      </c>
      <c r="D51" s="922">
        <v>641.27898531200003</v>
      </c>
      <c r="E51" s="923">
        <v>15510.40685734</v>
      </c>
      <c r="F51" s="923">
        <v>482.86780060000001</v>
      </c>
      <c r="G51" s="923">
        <v>445.73706358999999</v>
      </c>
      <c r="H51" s="923">
        <v>2725.6433691000002</v>
      </c>
      <c r="I51" s="923">
        <v>163.50923609</v>
      </c>
      <c r="J51" s="923">
        <v>81.62865042</v>
      </c>
      <c r="K51" s="923">
        <v>12784.76348824</v>
      </c>
      <c r="L51" s="923">
        <v>319.35856451000001</v>
      </c>
      <c r="M51" s="923">
        <v>364.10841317000001</v>
      </c>
      <c r="N51" s="923">
        <v>4163.7782298599996</v>
      </c>
      <c r="O51" s="923">
        <v>61.637812166000003</v>
      </c>
      <c r="P51" s="923">
        <v>195.54192172200001</v>
      </c>
      <c r="Q51" s="923">
        <v>1011.15710716</v>
      </c>
      <c r="R51" s="923">
        <v>5.9335400859999998</v>
      </c>
      <c r="S51" s="923">
        <v>63.192332221999997</v>
      </c>
      <c r="T51" s="923">
        <v>3152.6211226999999</v>
      </c>
      <c r="U51" s="923">
        <v>55.704272080000003</v>
      </c>
      <c r="V51" s="923">
        <v>132.34958950000001</v>
      </c>
      <c r="W51" s="924"/>
      <c r="X51" s="925"/>
    </row>
    <row r="52" spans="1:24" ht="12.75">
      <c r="A52" s="920" t="s">
        <v>29</v>
      </c>
      <c r="B52" s="921">
        <v>19594.360967569999</v>
      </c>
      <c r="C52" s="921">
        <v>589.62088030999996</v>
      </c>
      <c r="D52" s="922">
        <v>593.74010190000001</v>
      </c>
      <c r="E52" s="923">
        <v>15662.04881824</v>
      </c>
      <c r="F52" s="923">
        <v>532.27987363</v>
      </c>
      <c r="G52" s="923">
        <v>436.53477371999998</v>
      </c>
      <c r="H52" s="923">
        <v>2658.1386314299998</v>
      </c>
      <c r="I52" s="923">
        <v>180.06791343</v>
      </c>
      <c r="J52" s="923">
        <v>74.676728499999996</v>
      </c>
      <c r="K52" s="923">
        <v>13003.910186810001</v>
      </c>
      <c r="L52" s="923">
        <v>352.21196020000002</v>
      </c>
      <c r="M52" s="923">
        <v>361.85804522000001</v>
      </c>
      <c r="N52" s="923">
        <v>3932.31214933</v>
      </c>
      <c r="O52" s="923">
        <v>57.34100668</v>
      </c>
      <c r="P52" s="923">
        <v>157.20532818000001</v>
      </c>
      <c r="Q52" s="923">
        <v>766.76617433000001</v>
      </c>
      <c r="R52" s="923">
        <v>4.06922345</v>
      </c>
      <c r="S52" s="923">
        <v>40.809313410000001</v>
      </c>
      <c r="T52" s="923">
        <v>3165.545975</v>
      </c>
      <c r="U52" s="923">
        <v>53.271783229999997</v>
      </c>
      <c r="V52" s="923">
        <v>116.39601476999999</v>
      </c>
      <c r="W52" s="924"/>
      <c r="X52" s="925"/>
    </row>
    <row r="53" spans="1:24" ht="12.75">
      <c r="A53" s="920" t="s">
        <v>3500</v>
      </c>
      <c r="B53" s="921"/>
      <c r="C53" s="921"/>
      <c r="D53" s="922"/>
      <c r="E53" s="923"/>
      <c r="F53" s="923"/>
      <c r="G53" s="923"/>
      <c r="H53" s="923"/>
      <c r="I53" s="923"/>
      <c r="J53" s="923"/>
      <c r="K53" s="923"/>
      <c r="L53" s="923"/>
      <c r="M53" s="923"/>
      <c r="N53" s="923"/>
      <c r="O53" s="923"/>
      <c r="P53" s="923"/>
      <c r="Q53" s="923"/>
      <c r="R53" s="923"/>
      <c r="S53" s="923"/>
      <c r="T53" s="923"/>
      <c r="U53" s="923"/>
      <c r="V53" s="923"/>
      <c r="W53" s="924"/>
      <c r="X53" s="925"/>
    </row>
    <row r="54" spans="1:24" ht="12.75">
      <c r="A54" s="920" t="s">
        <v>18</v>
      </c>
      <c r="B54" s="921">
        <v>19669.591567899999</v>
      </c>
      <c r="C54" s="921">
        <v>589.62088030999996</v>
      </c>
      <c r="D54" s="922">
        <v>583.77188913999998</v>
      </c>
      <c r="E54" s="923">
        <v>15715.43837636</v>
      </c>
      <c r="F54" s="923">
        <v>532.27987363</v>
      </c>
      <c r="G54" s="923">
        <v>430.77420088999997</v>
      </c>
      <c r="H54" s="923">
        <v>2664.3119265</v>
      </c>
      <c r="I54" s="923">
        <v>180.06791343</v>
      </c>
      <c r="J54" s="923">
        <v>75.117670590000003</v>
      </c>
      <c r="K54" s="923">
        <v>13051.126449859999</v>
      </c>
      <c r="L54" s="923">
        <v>352.21196020000002</v>
      </c>
      <c r="M54" s="923">
        <v>355.65653029999999</v>
      </c>
      <c r="N54" s="923">
        <v>3954.1531915400001</v>
      </c>
      <c r="O54" s="923">
        <v>57.34100668</v>
      </c>
      <c r="P54" s="923">
        <v>152.99768825000001</v>
      </c>
      <c r="Q54" s="923">
        <v>754.44027503999996</v>
      </c>
      <c r="R54" s="923">
        <v>4.06922345</v>
      </c>
      <c r="S54" s="923">
        <v>38.512668329999997</v>
      </c>
      <c r="T54" s="923">
        <v>3199.7129165000001</v>
      </c>
      <c r="U54" s="923">
        <v>53.271783229999997</v>
      </c>
      <c r="V54" s="923">
        <v>114.48501992</v>
      </c>
      <c r="W54" s="924"/>
      <c r="X54" s="925"/>
    </row>
    <row r="55" spans="1:24" ht="12.75">
      <c r="A55" s="920" t="s">
        <v>19</v>
      </c>
      <c r="B55" s="921">
        <v>19757.429857299998</v>
      </c>
      <c r="C55" s="921">
        <v>589.62088030999996</v>
      </c>
      <c r="D55" s="922">
        <v>606.13546266000003</v>
      </c>
      <c r="E55" s="923">
        <v>15838.379008800001</v>
      </c>
      <c r="F55" s="923">
        <v>532.27987363</v>
      </c>
      <c r="G55" s="923">
        <v>448.55554411000003</v>
      </c>
      <c r="H55" s="923">
        <v>2664.6437111400001</v>
      </c>
      <c r="I55" s="923">
        <v>180.06791343</v>
      </c>
      <c r="J55" s="923">
        <v>84.947585169999996</v>
      </c>
      <c r="K55" s="923">
        <v>13173.73529766</v>
      </c>
      <c r="L55" s="923">
        <v>352.21196020000002</v>
      </c>
      <c r="M55" s="923">
        <v>363.60795894</v>
      </c>
      <c r="N55" s="923">
        <v>3919.0508485</v>
      </c>
      <c r="O55" s="923">
        <v>57.34100668</v>
      </c>
      <c r="P55" s="923">
        <v>157.57991855</v>
      </c>
      <c r="Q55" s="923">
        <v>741.99441679999995</v>
      </c>
      <c r="R55" s="923">
        <v>4.06922345</v>
      </c>
      <c r="S55" s="923">
        <v>41.52491551</v>
      </c>
      <c r="T55" s="923">
        <v>3177.0564316999998</v>
      </c>
      <c r="U55" s="923">
        <v>53.271783229999997</v>
      </c>
      <c r="V55" s="923">
        <v>116.05500304</v>
      </c>
      <c r="W55" s="924"/>
      <c r="X55" s="925"/>
    </row>
    <row r="56" spans="1:24" ht="12.75">
      <c r="A56" s="920" t="s">
        <v>20</v>
      </c>
      <c r="B56" s="921">
        <v>20038.596072189997</v>
      </c>
      <c r="C56" s="921">
        <v>626.25236123181901</v>
      </c>
      <c r="D56" s="922">
        <v>590.48680544000001</v>
      </c>
      <c r="E56" s="923">
        <v>16056.556065969999</v>
      </c>
      <c r="F56" s="923">
        <v>566.72258587181898</v>
      </c>
      <c r="G56" s="923">
        <v>432.54660754000008</v>
      </c>
      <c r="H56" s="923">
        <v>2668.4086622200002</v>
      </c>
      <c r="I56" s="923">
        <v>191.42129441</v>
      </c>
      <c r="J56" s="923">
        <v>80.957747389999994</v>
      </c>
      <c r="K56" s="923">
        <v>13388.147403749997</v>
      </c>
      <c r="L56" s="923">
        <v>375.30129146181901</v>
      </c>
      <c r="M56" s="923">
        <v>351.58886015000007</v>
      </c>
      <c r="N56" s="923">
        <v>3982.0400062200006</v>
      </c>
      <c r="O56" s="923">
        <v>59.529775360000002</v>
      </c>
      <c r="P56" s="923">
        <v>157.94019790000004</v>
      </c>
      <c r="Q56" s="923">
        <v>715.59073494999996</v>
      </c>
      <c r="R56" s="923">
        <v>3.95228739</v>
      </c>
      <c r="S56" s="923">
        <v>45.262161790000015</v>
      </c>
      <c r="T56" s="923">
        <v>3266.4492712700007</v>
      </c>
      <c r="U56" s="923">
        <v>55.57748797</v>
      </c>
      <c r="V56" s="923">
        <v>112.67803611000002</v>
      </c>
      <c r="W56" s="924"/>
      <c r="X56" s="925"/>
    </row>
    <row r="57" spans="1:24" ht="12.75">
      <c r="A57" s="920" t="s">
        <v>21</v>
      </c>
      <c r="B57" s="921">
        <v>20379.628223569998</v>
      </c>
      <c r="C57" s="921">
        <v>626.25236123181901</v>
      </c>
      <c r="D57" s="922">
        <v>591.79680065000002</v>
      </c>
      <c r="E57" s="923">
        <v>16405.38714834</v>
      </c>
      <c r="F57" s="923">
        <v>566.72258587181898</v>
      </c>
      <c r="G57" s="923">
        <v>436.58304476000001</v>
      </c>
      <c r="H57" s="923">
        <v>2717.3204517899999</v>
      </c>
      <c r="I57" s="923">
        <v>191.42129441</v>
      </c>
      <c r="J57" s="923">
        <v>81.497288589999997</v>
      </c>
      <c r="K57" s="923">
        <v>13688.06669655</v>
      </c>
      <c r="L57" s="923">
        <v>375.30129146181901</v>
      </c>
      <c r="M57" s="923">
        <v>355.08575617000002</v>
      </c>
      <c r="N57" s="923">
        <v>3974.2410752300002</v>
      </c>
      <c r="O57" s="923">
        <v>59.529775360000002</v>
      </c>
      <c r="P57" s="923">
        <v>155.21375588999999</v>
      </c>
      <c r="Q57" s="923">
        <v>715.09292642000003</v>
      </c>
      <c r="R57" s="923">
        <v>3.95228739</v>
      </c>
      <c r="S57" s="923">
        <v>41.3135677</v>
      </c>
      <c r="T57" s="923">
        <v>3259.1481488099998</v>
      </c>
      <c r="U57" s="923">
        <v>55.57748797</v>
      </c>
      <c r="V57" s="923">
        <v>113.90018818999999</v>
      </c>
      <c r="W57" s="924"/>
      <c r="X57" s="925"/>
    </row>
    <row r="58" spans="1:24" ht="12.75">
      <c r="A58" s="920" t="s">
        <v>22</v>
      </c>
      <c r="B58" s="921">
        <v>20659.271011889999</v>
      </c>
      <c r="C58" s="921">
        <v>626.25236123181901</v>
      </c>
      <c r="D58" s="922">
        <v>490.09126863</v>
      </c>
      <c r="E58" s="923">
        <v>16660.515789339999</v>
      </c>
      <c r="F58" s="923">
        <v>566.72258587181898</v>
      </c>
      <c r="G58" s="923">
        <v>350.11316103000001</v>
      </c>
      <c r="H58" s="923">
        <v>2752.9485942800002</v>
      </c>
      <c r="I58" s="923">
        <v>191.42129441</v>
      </c>
      <c r="J58" s="923">
        <v>68.253597040000002</v>
      </c>
      <c r="K58" s="923">
        <v>13907.567195060001</v>
      </c>
      <c r="L58" s="923">
        <v>375.30129146181901</v>
      </c>
      <c r="M58" s="923">
        <v>281.85956399000003</v>
      </c>
      <c r="N58" s="923">
        <v>3998.7552225499999</v>
      </c>
      <c r="O58" s="923">
        <v>59.529775360000002</v>
      </c>
      <c r="P58" s="923">
        <v>139.97810759999999</v>
      </c>
      <c r="Q58" s="923">
        <v>705.50295219999998</v>
      </c>
      <c r="R58" s="923">
        <v>3.95228739</v>
      </c>
      <c r="S58" s="923">
        <v>43.993907569999998</v>
      </c>
      <c r="T58" s="923">
        <v>3293.2522703499999</v>
      </c>
      <c r="U58" s="923">
        <v>55.57748797</v>
      </c>
      <c r="V58" s="923">
        <v>95.984200029999997</v>
      </c>
      <c r="W58" s="924"/>
      <c r="X58" s="925"/>
    </row>
    <row r="59" spans="1:24" ht="12.75">
      <c r="A59" s="920" t="s">
        <v>23</v>
      </c>
      <c r="B59" s="921">
        <v>21296.236537140001</v>
      </c>
      <c r="C59" s="921">
        <v>669.93619074000003</v>
      </c>
      <c r="D59" s="922">
        <v>502.27205501999998</v>
      </c>
      <c r="E59" s="923">
        <v>17055.800562029999</v>
      </c>
      <c r="F59" s="923">
        <v>602.04825557000004</v>
      </c>
      <c r="G59" s="923">
        <v>365.72840668999999</v>
      </c>
      <c r="H59" s="923">
        <v>2809.7528983100001</v>
      </c>
      <c r="I59" s="923">
        <v>212.07382433000001</v>
      </c>
      <c r="J59" s="923">
        <v>68.551594949999995</v>
      </c>
      <c r="K59" s="923">
        <v>14246.047663720001</v>
      </c>
      <c r="L59" s="923">
        <v>389.97443124</v>
      </c>
      <c r="M59" s="923">
        <v>297.17681174000001</v>
      </c>
      <c r="N59" s="923">
        <v>4240.4359751100001</v>
      </c>
      <c r="O59" s="923">
        <v>67.887935170000006</v>
      </c>
      <c r="P59" s="923">
        <v>136.54364833</v>
      </c>
      <c r="Q59" s="923">
        <v>743.30632961000003</v>
      </c>
      <c r="R59" s="923">
        <v>3.8611818000000002</v>
      </c>
      <c r="S59" s="923">
        <v>45.653695560000003</v>
      </c>
      <c r="T59" s="923">
        <v>3497.1296455000002</v>
      </c>
      <c r="U59" s="923">
        <v>64.026753369999994</v>
      </c>
      <c r="V59" s="923">
        <v>90.889952769999994</v>
      </c>
      <c r="W59" s="924"/>
      <c r="X59" s="925"/>
    </row>
    <row r="60" spans="1:24" ht="12.75">
      <c r="A60" s="920" t="s">
        <v>24</v>
      </c>
      <c r="B60" s="921">
        <v>21371.990641100001</v>
      </c>
      <c r="C60" s="921">
        <v>669.93619074000003</v>
      </c>
      <c r="D60" s="922">
        <v>494.71576025000002</v>
      </c>
      <c r="E60" s="923">
        <v>17293.368727770001</v>
      </c>
      <c r="F60" s="923">
        <v>602.04825557000004</v>
      </c>
      <c r="G60" s="923">
        <v>361.13621083999999</v>
      </c>
      <c r="H60" s="923">
        <v>2778.4890806600001</v>
      </c>
      <c r="I60" s="923">
        <v>212.07382433000001</v>
      </c>
      <c r="J60" s="923">
        <v>84.85508093</v>
      </c>
      <c r="K60" s="923">
        <v>14514.879647109999</v>
      </c>
      <c r="L60" s="923">
        <v>389.97443124</v>
      </c>
      <c r="M60" s="923">
        <v>276.28112991</v>
      </c>
      <c r="N60" s="923">
        <v>4078.6219133300001</v>
      </c>
      <c r="O60" s="923">
        <v>67.887935170000006</v>
      </c>
      <c r="P60" s="923">
        <v>133.57954941</v>
      </c>
      <c r="Q60" s="923">
        <v>705.51294152000003</v>
      </c>
      <c r="R60" s="923">
        <v>3.8611818000000002</v>
      </c>
      <c r="S60" s="923">
        <v>42.163245019999998</v>
      </c>
      <c r="T60" s="923">
        <v>3373.1089718100002</v>
      </c>
      <c r="U60" s="923">
        <v>64.026753369999994</v>
      </c>
      <c r="V60" s="923">
        <v>91.416304389999993</v>
      </c>
      <c r="W60" s="924"/>
      <c r="X60" s="925"/>
    </row>
    <row r="61" spans="1:24" ht="12.75">
      <c r="A61" s="920" t="s">
        <v>25</v>
      </c>
      <c r="B61" s="921">
        <v>21814.186641169999</v>
      </c>
      <c r="C61" s="921">
        <v>669.93619074000003</v>
      </c>
      <c r="D61" s="922">
        <v>534.25918471</v>
      </c>
      <c r="E61" s="923">
        <v>17673.434435669998</v>
      </c>
      <c r="F61" s="923">
        <v>602.04825557000004</v>
      </c>
      <c r="G61" s="923">
        <v>379.56958030999999</v>
      </c>
      <c r="H61" s="923">
        <v>2809.3950761400001</v>
      </c>
      <c r="I61" s="923">
        <v>212.07382433000001</v>
      </c>
      <c r="J61" s="923">
        <v>87.157941719999997</v>
      </c>
      <c r="K61" s="923">
        <v>14864.039359529999</v>
      </c>
      <c r="L61" s="923">
        <v>389.97443124</v>
      </c>
      <c r="M61" s="923">
        <v>292.41163859</v>
      </c>
      <c r="N61" s="923">
        <v>4140.7522054999999</v>
      </c>
      <c r="O61" s="923">
        <v>67.887935170000006</v>
      </c>
      <c r="P61" s="923">
        <v>154.68960440000001</v>
      </c>
      <c r="Q61" s="923">
        <v>751.91940910000005</v>
      </c>
      <c r="R61" s="923">
        <v>3.8611818000000002</v>
      </c>
      <c r="S61" s="923">
        <v>43.653620429999997</v>
      </c>
      <c r="T61" s="923">
        <v>3388.8327964</v>
      </c>
      <c r="U61" s="923">
        <v>64.026753369999994</v>
      </c>
      <c r="V61" s="923">
        <v>111.03598397</v>
      </c>
      <c r="W61" s="924"/>
      <c r="X61" s="925"/>
    </row>
    <row r="62" spans="1:24" ht="12.75">
      <c r="A62" s="920" t="s">
        <v>26</v>
      </c>
      <c r="B62" s="921">
        <v>22281.8847977</v>
      </c>
      <c r="C62" s="921">
        <v>736.76103416999899</v>
      </c>
      <c r="D62" s="922">
        <v>519.77127536</v>
      </c>
      <c r="E62" s="923">
        <v>18038.128002950001</v>
      </c>
      <c r="F62" s="923">
        <v>669.36078671999996</v>
      </c>
      <c r="G62" s="923">
        <v>377.23773401</v>
      </c>
      <c r="H62" s="923">
        <v>2898.9747897000002</v>
      </c>
      <c r="I62" s="923">
        <v>240.90531765</v>
      </c>
      <c r="J62" s="923">
        <v>85.811350660000002</v>
      </c>
      <c r="K62" s="923">
        <v>15139.15321325</v>
      </c>
      <c r="L62" s="923">
        <v>428.45546906999999</v>
      </c>
      <c r="M62" s="923">
        <v>291.42638334999998</v>
      </c>
      <c r="N62" s="923">
        <v>4243.7567947500002</v>
      </c>
      <c r="O62" s="923">
        <v>67.400247449999995</v>
      </c>
      <c r="P62" s="923">
        <v>142.53354135000001</v>
      </c>
      <c r="Q62" s="923">
        <v>795.40217067000003</v>
      </c>
      <c r="R62" s="923">
        <v>3.6819624000000002</v>
      </c>
      <c r="S62" s="923">
        <v>36.779894140000003</v>
      </c>
      <c r="T62" s="923">
        <v>3448.3546240800001</v>
      </c>
      <c r="U62" s="923">
        <v>63.718285049999999</v>
      </c>
      <c r="V62" s="923">
        <v>105.75364721</v>
      </c>
      <c r="W62" s="924"/>
      <c r="X62" s="925"/>
    </row>
    <row r="63" spans="1:24" ht="12.75">
      <c r="A63" s="920" t="s">
        <v>27</v>
      </c>
      <c r="B63" s="921">
        <v>22459.711639469999</v>
      </c>
      <c r="C63" s="921">
        <v>736.76103416999899</v>
      </c>
      <c r="D63" s="922">
        <v>440.37917463999997</v>
      </c>
      <c r="E63" s="923">
        <v>18035.452911830002</v>
      </c>
      <c r="F63" s="923">
        <v>669.36078671999996</v>
      </c>
      <c r="G63" s="923">
        <v>323.97866716999999</v>
      </c>
      <c r="H63" s="923">
        <v>2868.8617400600001</v>
      </c>
      <c r="I63" s="923">
        <v>240.90531765</v>
      </c>
      <c r="J63" s="923">
        <v>63.389407869999999</v>
      </c>
      <c r="K63" s="923">
        <v>15166.59117177</v>
      </c>
      <c r="L63" s="923">
        <v>428.45546906999999</v>
      </c>
      <c r="M63" s="923">
        <v>260.58925929999998</v>
      </c>
      <c r="N63" s="923">
        <v>4424.25872764</v>
      </c>
      <c r="O63" s="923">
        <v>67.400247449999995</v>
      </c>
      <c r="P63" s="923">
        <v>116.40050746999999</v>
      </c>
      <c r="Q63" s="923">
        <v>771.37146628000005</v>
      </c>
      <c r="R63" s="923">
        <v>3.6819624000000002</v>
      </c>
      <c r="S63" s="923">
        <v>33.447762769999997</v>
      </c>
      <c r="T63" s="923">
        <v>3652.8872613600001</v>
      </c>
      <c r="U63" s="923">
        <v>63.718285049999999</v>
      </c>
      <c r="V63" s="923">
        <v>82.952744699999997</v>
      </c>
      <c r="W63" s="924"/>
      <c r="X63" s="925"/>
    </row>
    <row r="64" spans="1:24" ht="12.75">
      <c r="A64" s="920" t="s">
        <v>28</v>
      </c>
      <c r="B64" s="921">
        <v>22881.230522549999</v>
      </c>
      <c r="C64" s="921">
        <v>736.76103416999899</v>
      </c>
      <c r="D64" s="922">
        <v>440.25735591</v>
      </c>
      <c r="E64" s="923">
        <v>18455.828191199998</v>
      </c>
      <c r="F64" s="923">
        <v>669.36078671999996</v>
      </c>
      <c r="G64" s="923">
        <v>327.77839140999998</v>
      </c>
      <c r="H64" s="923">
        <v>2967.90292998</v>
      </c>
      <c r="I64" s="923">
        <v>240.90531765</v>
      </c>
      <c r="J64" s="923">
        <v>62.234772130000003</v>
      </c>
      <c r="K64" s="923">
        <v>15487.92526122</v>
      </c>
      <c r="L64" s="923">
        <v>428.45546906999999</v>
      </c>
      <c r="M64" s="923">
        <v>265.54361927999997</v>
      </c>
      <c r="N64" s="923">
        <v>4425.4023313500002</v>
      </c>
      <c r="O64" s="923">
        <v>67.400247449999995</v>
      </c>
      <c r="P64" s="923">
        <v>112.4789645</v>
      </c>
      <c r="Q64" s="923">
        <v>807.75964533000001</v>
      </c>
      <c r="R64" s="923">
        <v>3.6819624000000002</v>
      </c>
      <c r="S64" s="923">
        <v>32.785406879999996</v>
      </c>
      <c r="T64" s="923">
        <v>3617.6426860199999</v>
      </c>
      <c r="U64" s="923">
        <v>63.718285049999999</v>
      </c>
      <c r="V64" s="923">
        <v>79.693557620000007</v>
      </c>
      <c r="W64" s="924"/>
      <c r="X64" s="925"/>
    </row>
    <row r="65" spans="1:24" ht="12.75">
      <c r="A65" s="920" t="s">
        <v>29</v>
      </c>
      <c r="B65" s="921">
        <v>23182.96071385</v>
      </c>
      <c r="C65" s="921">
        <v>796.16364696000005</v>
      </c>
      <c r="D65" s="922">
        <v>437.84492763999998</v>
      </c>
      <c r="E65" s="923">
        <v>18816.129537659999</v>
      </c>
      <c r="F65" s="923">
        <v>722.55011837999996</v>
      </c>
      <c r="G65" s="923">
        <v>329.30543438000001</v>
      </c>
      <c r="H65" s="923">
        <v>3007.6613006500002</v>
      </c>
      <c r="I65" s="923">
        <v>272.08971774999998</v>
      </c>
      <c r="J65" s="923">
        <v>71.92944722</v>
      </c>
      <c r="K65" s="923">
        <v>15808.46823701</v>
      </c>
      <c r="L65" s="923">
        <v>450.46040062999998</v>
      </c>
      <c r="M65" s="923">
        <v>257.37598716000002</v>
      </c>
      <c r="N65" s="923">
        <v>4366.8311761900004</v>
      </c>
      <c r="O65" s="923">
        <v>73.613528579999993</v>
      </c>
      <c r="P65" s="923">
        <v>108.53949326</v>
      </c>
      <c r="Q65" s="923">
        <v>807.98950187000003</v>
      </c>
      <c r="R65" s="923">
        <v>3.4500371400000001</v>
      </c>
      <c r="S65" s="923">
        <v>29.35570839</v>
      </c>
      <c r="T65" s="923">
        <v>3558.84167432</v>
      </c>
      <c r="U65" s="923">
        <v>70.163491440000001</v>
      </c>
      <c r="V65" s="923">
        <v>79.183784869999997</v>
      </c>
      <c r="W65" s="924"/>
      <c r="X65" s="925"/>
    </row>
    <row r="66" spans="1:24" ht="12.75">
      <c r="A66" s="920" t="s">
        <v>3971</v>
      </c>
      <c r="B66" s="921"/>
      <c r="C66" s="921"/>
      <c r="D66" s="922"/>
      <c r="E66" s="923"/>
      <c r="F66" s="923"/>
      <c r="G66" s="923"/>
      <c r="H66" s="923"/>
      <c r="I66" s="923"/>
      <c r="J66" s="923"/>
      <c r="K66" s="923"/>
      <c r="L66" s="923"/>
      <c r="M66" s="923"/>
      <c r="N66" s="923"/>
      <c r="O66" s="923"/>
      <c r="P66" s="923"/>
      <c r="Q66" s="923"/>
      <c r="R66" s="923"/>
      <c r="S66" s="923"/>
      <c r="T66" s="923"/>
      <c r="U66" s="923"/>
      <c r="V66" s="923"/>
      <c r="W66" s="924"/>
      <c r="X66" s="925"/>
    </row>
    <row r="67" spans="1:24" ht="12.75">
      <c r="A67" s="920" t="s">
        <v>18</v>
      </c>
      <c r="B67" s="921">
        <v>23566.36298432</v>
      </c>
      <c r="C67" s="921">
        <v>796.16364696000005</v>
      </c>
      <c r="D67" s="922">
        <v>454.06281114000001</v>
      </c>
      <c r="E67" s="923">
        <v>18884.329710139998</v>
      </c>
      <c r="F67" s="923">
        <v>722.55011837999996</v>
      </c>
      <c r="G67" s="923">
        <v>344.75044946000003</v>
      </c>
      <c r="H67" s="923">
        <v>2946.0323626499999</v>
      </c>
      <c r="I67" s="923">
        <v>272.08971774999998</v>
      </c>
      <c r="J67" s="923">
        <v>73.426248740000005</v>
      </c>
      <c r="K67" s="923">
        <v>15938.297347490001</v>
      </c>
      <c r="L67" s="923">
        <v>450.46040062999998</v>
      </c>
      <c r="M67" s="923">
        <v>271.32420072000002</v>
      </c>
      <c r="N67" s="923">
        <v>4682.0332741800003</v>
      </c>
      <c r="O67" s="923">
        <v>73.613528579999993</v>
      </c>
      <c r="P67" s="923">
        <v>109.31236168</v>
      </c>
      <c r="Q67" s="923">
        <v>770.90491202999999</v>
      </c>
      <c r="R67" s="923">
        <v>3.4500371400000001</v>
      </c>
      <c r="S67" s="923">
        <v>28.912655879999999</v>
      </c>
      <c r="T67" s="923">
        <v>3911.1283621500002</v>
      </c>
      <c r="U67" s="923">
        <v>70.163491440000001</v>
      </c>
      <c r="V67" s="923">
        <v>80.399705800000007</v>
      </c>
      <c r="W67" s="924"/>
      <c r="X67" s="925"/>
    </row>
    <row r="68" spans="1:24" ht="12.75">
      <c r="A68" s="920" t="s">
        <v>19</v>
      </c>
      <c r="B68" s="921">
        <v>23832.962545639999</v>
      </c>
      <c r="C68" s="921">
        <v>796.16364696000005</v>
      </c>
      <c r="D68" s="922">
        <v>469.15723987000001</v>
      </c>
      <c r="E68" s="923">
        <v>19170.287229869999</v>
      </c>
      <c r="F68" s="923">
        <v>722.55011837999996</v>
      </c>
      <c r="G68" s="923">
        <v>353.88525865000003</v>
      </c>
      <c r="H68" s="923">
        <v>2987.5606500399999</v>
      </c>
      <c r="I68" s="923">
        <v>272.08971774999998</v>
      </c>
      <c r="J68" s="923">
        <v>80.992791220000001</v>
      </c>
      <c r="K68" s="923">
        <v>16182.72657983</v>
      </c>
      <c r="L68" s="923">
        <v>450.46040062999998</v>
      </c>
      <c r="M68" s="923">
        <v>272.89246743000001</v>
      </c>
      <c r="N68" s="923">
        <v>4662.6753157700005</v>
      </c>
      <c r="O68" s="923">
        <v>73.613528579999993</v>
      </c>
      <c r="P68" s="923">
        <v>115.27198122</v>
      </c>
      <c r="Q68" s="923">
        <v>750.17808237999998</v>
      </c>
      <c r="R68" s="923">
        <v>3.4500371400000001</v>
      </c>
      <c r="S68" s="923">
        <v>28.983696370000001</v>
      </c>
      <c r="T68" s="923">
        <v>3912.49723339</v>
      </c>
      <c r="U68" s="923">
        <v>70.163491440000001</v>
      </c>
      <c r="V68" s="923">
        <v>86.288284849999997</v>
      </c>
      <c r="W68" s="924"/>
      <c r="X68" s="925"/>
    </row>
    <row r="69" spans="1:24" ht="12.75">
      <c r="A69" s="920" t="s">
        <v>20</v>
      </c>
      <c r="B69" s="921">
        <v>24102.612633050001</v>
      </c>
      <c r="C69" s="921">
        <v>1340.0822916300001</v>
      </c>
      <c r="D69" s="922">
        <v>470.75581861000001</v>
      </c>
      <c r="E69" s="923">
        <v>19461.25439174</v>
      </c>
      <c r="F69" s="923">
        <v>1265.21816283</v>
      </c>
      <c r="G69" s="923">
        <v>356.49317094999998</v>
      </c>
      <c r="H69" s="923">
        <v>3069.9841273100001</v>
      </c>
      <c r="I69" s="923">
        <v>293.42036406</v>
      </c>
      <c r="J69" s="923">
        <v>79.180929539999994</v>
      </c>
      <c r="K69" s="923">
        <v>16391.270264430001</v>
      </c>
      <c r="L69" s="923">
        <v>971.79779876999999</v>
      </c>
      <c r="M69" s="923">
        <v>277.31224141000001</v>
      </c>
      <c r="N69" s="923">
        <v>4641.3582413100003</v>
      </c>
      <c r="O69" s="923">
        <v>74.864128800000003</v>
      </c>
      <c r="P69" s="923">
        <v>114.26264766</v>
      </c>
      <c r="Q69" s="923">
        <v>751.15184436000004</v>
      </c>
      <c r="R69" s="923">
        <v>3.3740209999999999</v>
      </c>
      <c r="S69" s="923">
        <v>32.104515769999999</v>
      </c>
      <c r="T69" s="923">
        <v>3890.20639695</v>
      </c>
      <c r="U69" s="923">
        <v>71.490107800000004</v>
      </c>
      <c r="V69" s="923">
        <v>82.158131890000007</v>
      </c>
      <c r="W69" s="924"/>
      <c r="X69" s="925"/>
    </row>
    <row r="70" spans="1:24" ht="12.75">
      <c r="A70" s="920" t="s">
        <v>21</v>
      </c>
      <c r="B70" s="921">
        <v>24644.450629260002</v>
      </c>
      <c r="C70" s="921">
        <v>1340.0822916300001</v>
      </c>
      <c r="D70" s="922">
        <v>462.24683622999999</v>
      </c>
      <c r="E70" s="923">
        <v>20030.46543281</v>
      </c>
      <c r="F70" s="923">
        <v>1265.21816283</v>
      </c>
      <c r="G70" s="923">
        <v>355.71784070000001</v>
      </c>
      <c r="H70" s="923">
        <v>3223.7950579100002</v>
      </c>
      <c r="I70" s="923">
        <v>293.42036406</v>
      </c>
      <c r="J70" s="923">
        <v>81.70442869</v>
      </c>
      <c r="K70" s="923">
        <v>16806.670374900001</v>
      </c>
      <c r="L70" s="923">
        <v>971.79779876999999</v>
      </c>
      <c r="M70" s="923">
        <v>274.01341201000002</v>
      </c>
      <c r="N70" s="923">
        <v>4613.9851964500003</v>
      </c>
      <c r="O70" s="923">
        <v>74.864128800000003</v>
      </c>
      <c r="P70" s="923">
        <v>106.52899553</v>
      </c>
      <c r="Q70" s="923">
        <v>732.47117978999995</v>
      </c>
      <c r="R70" s="923">
        <v>3.3740209999999999</v>
      </c>
      <c r="S70" s="923">
        <v>32.129931499999998</v>
      </c>
      <c r="T70" s="923">
        <v>3881.5140166599999</v>
      </c>
      <c r="U70" s="923">
        <v>71.490107800000004</v>
      </c>
      <c r="V70" s="923">
        <v>74.399064030000005</v>
      </c>
      <c r="W70" s="924"/>
      <c r="X70" s="925"/>
    </row>
    <row r="71" spans="1:24" ht="12.75">
      <c r="A71" s="920" t="s">
        <v>22</v>
      </c>
      <c r="B71" s="921">
        <v>25158.180706700001</v>
      </c>
      <c r="C71" s="921">
        <v>1340.0822916300001</v>
      </c>
      <c r="D71" s="922">
        <v>466.54076087999999</v>
      </c>
      <c r="E71" s="923">
        <v>20550.555972689999</v>
      </c>
      <c r="F71" s="923">
        <v>1265.21816283</v>
      </c>
      <c r="G71" s="923">
        <v>361.32318459999999</v>
      </c>
      <c r="H71" s="923">
        <v>3288.1811781599999</v>
      </c>
      <c r="I71" s="923">
        <v>293.42036406</v>
      </c>
      <c r="J71" s="923">
        <v>80.723460250000002</v>
      </c>
      <c r="K71" s="923">
        <v>17262.374794529998</v>
      </c>
      <c r="L71" s="923">
        <v>971.79779876999999</v>
      </c>
      <c r="M71" s="923">
        <v>280.59972434999997</v>
      </c>
      <c r="N71" s="923">
        <v>4607.6247340099999</v>
      </c>
      <c r="O71" s="923">
        <v>74.864128800000003</v>
      </c>
      <c r="P71" s="923">
        <v>105.21757628</v>
      </c>
      <c r="Q71" s="923">
        <v>718.96438977000003</v>
      </c>
      <c r="R71" s="923">
        <v>3.3740209999999999</v>
      </c>
      <c r="S71" s="923">
        <v>28.359501529999999</v>
      </c>
      <c r="T71" s="923">
        <v>3888.6603442400001</v>
      </c>
      <c r="U71" s="923">
        <v>71.490107800000004</v>
      </c>
      <c r="V71" s="923">
        <v>76.85807475</v>
      </c>
      <c r="W71" s="924"/>
      <c r="X71" s="925"/>
    </row>
    <row r="72" spans="1:24" ht="12.75">
      <c r="A72" s="920" t="s">
        <v>23</v>
      </c>
      <c r="B72" s="921">
        <v>25429.517682599999</v>
      </c>
      <c r="C72" s="921">
        <v>1573.7502588</v>
      </c>
      <c r="D72" s="922">
        <v>451.69949761999999</v>
      </c>
      <c r="E72" s="923">
        <v>20841.13610104</v>
      </c>
      <c r="F72" s="923">
        <v>1504.7896501800001</v>
      </c>
      <c r="G72" s="923">
        <v>347.86828634</v>
      </c>
      <c r="H72" s="923">
        <v>3272.4005705300001</v>
      </c>
      <c r="I72" s="923">
        <v>318.53706646000001</v>
      </c>
      <c r="J72" s="923">
        <v>79.519376969999996</v>
      </c>
      <c r="K72" s="923">
        <v>17568.735530509999</v>
      </c>
      <c r="L72" s="923">
        <v>1186.2525837200001</v>
      </c>
      <c r="M72" s="923">
        <v>268.34890937</v>
      </c>
      <c r="N72" s="923">
        <v>4588.3815815600001</v>
      </c>
      <c r="O72" s="923">
        <v>68.960608620000002</v>
      </c>
      <c r="P72" s="923">
        <v>103.83121128000001</v>
      </c>
      <c r="Q72" s="923">
        <v>725.82002194999995</v>
      </c>
      <c r="R72" s="923">
        <v>3.04458479</v>
      </c>
      <c r="S72" s="923">
        <v>27.845313050000001</v>
      </c>
      <c r="T72" s="923">
        <v>3862.5615596100001</v>
      </c>
      <c r="U72" s="923">
        <v>65.91602383</v>
      </c>
      <c r="V72" s="923">
        <v>75.985898230000004</v>
      </c>
      <c r="W72" s="924"/>
      <c r="X72" s="925"/>
    </row>
    <row r="73" spans="1:24" ht="12.75">
      <c r="A73" s="920" t="s">
        <v>24</v>
      </c>
      <c r="B73" s="921">
        <v>25694.70942689</v>
      </c>
      <c r="C73" s="921">
        <v>1573.7502588</v>
      </c>
      <c r="D73" s="922">
        <v>453.71234934</v>
      </c>
      <c r="E73" s="923">
        <v>21161.57027842</v>
      </c>
      <c r="F73" s="923">
        <v>1504.7896501800001</v>
      </c>
      <c r="G73" s="923">
        <v>348.54496949999998</v>
      </c>
      <c r="H73" s="923">
        <v>3309.8123219300001</v>
      </c>
      <c r="I73" s="923">
        <v>318.53706646000001</v>
      </c>
      <c r="J73" s="923">
        <v>74.620008749999997</v>
      </c>
      <c r="K73" s="923">
        <v>17851.757956490001</v>
      </c>
      <c r="L73" s="923">
        <v>1186.2525837200001</v>
      </c>
      <c r="M73" s="923">
        <v>273.92496075000003</v>
      </c>
      <c r="N73" s="923">
        <v>4533.1391484699998</v>
      </c>
      <c r="O73" s="923">
        <v>68.960608620000002</v>
      </c>
      <c r="P73" s="923">
        <v>105.16737984</v>
      </c>
      <c r="Q73" s="923">
        <v>704.92711139999994</v>
      </c>
      <c r="R73" s="923">
        <v>3.04458479</v>
      </c>
      <c r="S73" s="923">
        <v>29.411618610000001</v>
      </c>
      <c r="T73" s="923">
        <v>3828.21203707</v>
      </c>
      <c r="U73" s="923">
        <v>65.91602383</v>
      </c>
      <c r="V73" s="923">
        <v>75.755761230000005</v>
      </c>
      <c r="W73" s="924"/>
      <c r="X73" s="925"/>
    </row>
    <row r="74" spans="1:24" ht="12.75">
      <c r="A74" s="920" t="s">
        <v>25</v>
      </c>
      <c r="B74" s="921">
        <v>26075.611156300001</v>
      </c>
      <c r="C74" s="921">
        <v>1573.7502588</v>
      </c>
      <c r="D74" s="922">
        <v>473.10461577000001</v>
      </c>
      <c r="E74" s="923">
        <v>21533.285172510001</v>
      </c>
      <c r="F74" s="923">
        <v>1504.7896501800001</v>
      </c>
      <c r="G74" s="923">
        <v>369.04038188999999</v>
      </c>
      <c r="H74" s="923">
        <v>3300.7309165900001</v>
      </c>
      <c r="I74" s="923">
        <v>318.53706646000001</v>
      </c>
      <c r="J74" s="923">
        <v>81.545688400000003</v>
      </c>
      <c r="K74" s="923">
        <v>18232.55425592</v>
      </c>
      <c r="L74" s="923">
        <v>1186.2525837200001</v>
      </c>
      <c r="M74" s="923">
        <v>287.49469348999997</v>
      </c>
      <c r="N74" s="923">
        <v>4542.3259837899996</v>
      </c>
      <c r="O74" s="923">
        <v>68.960608620000002</v>
      </c>
      <c r="P74" s="923">
        <v>104.06423388</v>
      </c>
      <c r="Q74" s="923">
        <v>723.59842569</v>
      </c>
      <c r="R74" s="923">
        <v>3.04458479</v>
      </c>
      <c r="S74" s="923">
        <v>29.306893509999998</v>
      </c>
      <c r="T74" s="923">
        <v>3818.7275580999999</v>
      </c>
      <c r="U74" s="923">
        <v>65.91602383</v>
      </c>
      <c r="V74" s="923">
        <v>74.757340369999994</v>
      </c>
      <c r="W74" s="924"/>
      <c r="X74" s="925"/>
    </row>
    <row r="75" spans="1:24" ht="12.75">
      <c r="A75" s="920" t="s">
        <v>26</v>
      </c>
      <c r="B75" s="921">
        <v>26705.97173714</v>
      </c>
      <c r="C75" s="921">
        <v>1698.6483241200001</v>
      </c>
      <c r="D75" s="922">
        <v>480.04100023000001</v>
      </c>
      <c r="E75" s="923">
        <v>22092.715678379998</v>
      </c>
      <c r="F75" s="923">
        <v>1591.34289461</v>
      </c>
      <c r="G75" s="923">
        <v>372.32652953000002</v>
      </c>
      <c r="H75" s="923">
        <v>3499.0878874199998</v>
      </c>
      <c r="I75" s="923">
        <v>333.74855479000001</v>
      </c>
      <c r="J75" s="923">
        <v>74.313010950000006</v>
      </c>
      <c r="K75" s="923">
        <v>18593.627790959999</v>
      </c>
      <c r="L75" s="923">
        <v>1257.59433982</v>
      </c>
      <c r="M75" s="923">
        <v>298.01351857999998</v>
      </c>
      <c r="N75" s="923">
        <v>4613.2560587600001</v>
      </c>
      <c r="O75" s="923">
        <v>107.30542951</v>
      </c>
      <c r="P75" s="923">
        <v>107.71447070000001</v>
      </c>
      <c r="Q75" s="923">
        <v>740.72825059000002</v>
      </c>
      <c r="R75" s="923">
        <v>3.1226579700000001</v>
      </c>
      <c r="S75" s="923">
        <v>27.5701322</v>
      </c>
      <c r="T75" s="923">
        <v>3872.5278081699998</v>
      </c>
      <c r="U75" s="923">
        <v>104.18277154</v>
      </c>
      <c r="V75" s="923">
        <v>80.144338500000003</v>
      </c>
      <c r="W75" s="924"/>
      <c r="X75" s="925"/>
    </row>
    <row r="76" spans="1:24" ht="12.75">
      <c r="A76" s="920" t="s">
        <v>27</v>
      </c>
      <c r="B76" s="921">
        <v>27080.522101769999</v>
      </c>
      <c r="C76" s="921">
        <v>1698.6483241200001</v>
      </c>
      <c r="D76" s="922">
        <v>479.76418251000001</v>
      </c>
      <c r="E76" s="923">
        <v>22493.324631880001</v>
      </c>
      <c r="F76" s="923">
        <v>1591.34289461</v>
      </c>
      <c r="G76" s="923">
        <v>371.73544606000002</v>
      </c>
      <c r="H76" s="923">
        <v>3574.67732867</v>
      </c>
      <c r="I76" s="923">
        <v>333.74855479000001</v>
      </c>
      <c r="J76" s="923">
        <v>80.322872919999995</v>
      </c>
      <c r="K76" s="923">
        <v>18918.64730321</v>
      </c>
      <c r="L76" s="923">
        <v>1257.59433982</v>
      </c>
      <c r="M76" s="923">
        <v>291.41257314000001</v>
      </c>
      <c r="N76" s="923">
        <v>4587.1974698900003</v>
      </c>
      <c r="O76" s="923">
        <v>107.30542951</v>
      </c>
      <c r="P76" s="923">
        <v>108.02873645</v>
      </c>
      <c r="Q76" s="923">
        <v>713.19049368000003</v>
      </c>
      <c r="R76" s="923">
        <v>3.1226579700000001</v>
      </c>
      <c r="S76" s="923">
        <v>23.569106049999998</v>
      </c>
      <c r="T76" s="923">
        <v>3874.0069762100002</v>
      </c>
      <c r="U76" s="923">
        <v>104.18277154</v>
      </c>
      <c r="V76" s="923">
        <v>84.459630399999995</v>
      </c>
      <c r="W76" s="924"/>
      <c r="X76" s="925"/>
    </row>
    <row r="77" spans="1:24" ht="12.75">
      <c r="A77" s="920" t="s">
        <v>28</v>
      </c>
      <c r="B77" s="921">
        <v>27368.147153990001</v>
      </c>
      <c r="C77" s="921">
        <v>1698.6483241200001</v>
      </c>
      <c r="D77" s="922">
        <v>496.61938093999999</v>
      </c>
      <c r="E77" s="923">
        <v>22794.335032939998</v>
      </c>
      <c r="F77" s="923">
        <v>1591.34289461</v>
      </c>
      <c r="G77" s="923">
        <v>378.09449183999999</v>
      </c>
      <c r="H77" s="923">
        <v>3666.7958669899999</v>
      </c>
      <c r="I77" s="923">
        <v>333.74855479000001</v>
      </c>
      <c r="J77" s="923">
        <v>83.482935299999994</v>
      </c>
      <c r="K77" s="923">
        <v>19127.539165949998</v>
      </c>
      <c r="L77" s="923">
        <v>1257.59433982</v>
      </c>
      <c r="M77" s="923">
        <v>294.61155653999998</v>
      </c>
      <c r="N77" s="923">
        <v>4573.8121210500003</v>
      </c>
      <c r="O77" s="923">
        <v>107.30542951</v>
      </c>
      <c r="P77" s="923">
        <v>118.5248891</v>
      </c>
      <c r="Q77" s="923">
        <v>785.61335147</v>
      </c>
      <c r="R77" s="923">
        <v>3.1226579700000001</v>
      </c>
      <c r="S77" s="923">
        <v>37.004458309999997</v>
      </c>
      <c r="T77" s="923">
        <v>3788.1987695799999</v>
      </c>
      <c r="U77" s="923">
        <v>104.18277154</v>
      </c>
      <c r="V77" s="923">
        <v>81.520430790000006</v>
      </c>
      <c r="W77" s="924"/>
      <c r="X77" s="925"/>
    </row>
    <row r="78" spans="1:24" ht="12.75">
      <c r="A78" s="920" t="s">
        <v>29</v>
      </c>
      <c r="B78" s="921">
        <v>27477.67427557</v>
      </c>
      <c r="C78" s="921">
        <v>1810.55305211</v>
      </c>
      <c r="D78" s="922">
        <v>449.13973557000003</v>
      </c>
      <c r="E78" s="923">
        <v>23043.16781064</v>
      </c>
      <c r="F78" s="923">
        <v>1729.8321266400001</v>
      </c>
      <c r="G78" s="923">
        <v>347.74381510000001</v>
      </c>
      <c r="H78" s="923">
        <v>3732.6645380199998</v>
      </c>
      <c r="I78" s="923">
        <v>392.32224162</v>
      </c>
      <c r="J78" s="923">
        <v>87.706676470000005</v>
      </c>
      <c r="K78" s="923">
        <v>19310.503272620001</v>
      </c>
      <c r="L78" s="923">
        <v>1337.50988502</v>
      </c>
      <c r="M78" s="923">
        <v>260.03713863000002</v>
      </c>
      <c r="N78" s="923">
        <v>4434.5064649300002</v>
      </c>
      <c r="O78" s="923">
        <v>80.720925469999997</v>
      </c>
      <c r="P78" s="923">
        <v>101.39592046999999</v>
      </c>
      <c r="Q78" s="923">
        <v>786.93246027999999</v>
      </c>
      <c r="R78" s="923">
        <v>2.7856237699999999</v>
      </c>
      <c r="S78" s="923">
        <v>24.27745672</v>
      </c>
      <c r="T78" s="923">
        <v>3647.57400465</v>
      </c>
      <c r="U78" s="923">
        <v>77.935301699999997</v>
      </c>
      <c r="V78" s="923">
        <v>77.118463750000004</v>
      </c>
      <c r="W78" s="924"/>
      <c r="X78" s="925"/>
    </row>
    <row r="79" spans="1:24" ht="12.75">
      <c r="A79" s="920" t="s">
        <v>4202</v>
      </c>
      <c r="B79" s="921"/>
      <c r="C79" s="921"/>
      <c r="D79" s="922"/>
      <c r="E79" s="923"/>
      <c r="F79" s="923"/>
      <c r="G79" s="923"/>
      <c r="H79" s="923"/>
      <c r="I79" s="923"/>
      <c r="J79" s="923"/>
      <c r="K79" s="923"/>
      <c r="L79" s="923"/>
      <c r="M79" s="923"/>
      <c r="N79" s="923"/>
      <c r="O79" s="923"/>
      <c r="P79" s="923"/>
      <c r="Q79" s="923"/>
      <c r="R79" s="923"/>
      <c r="S79" s="923"/>
      <c r="T79" s="923"/>
      <c r="U79" s="923"/>
      <c r="V79" s="923"/>
      <c r="W79" s="924"/>
      <c r="X79" s="925"/>
    </row>
    <row r="80" spans="1:24" ht="12.75">
      <c r="A80" s="920" t="s">
        <v>18</v>
      </c>
      <c r="B80" s="921">
        <v>27514.699640539999</v>
      </c>
      <c r="C80" s="921">
        <v>1810.55305211</v>
      </c>
      <c r="D80" s="922">
        <v>475.08339328</v>
      </c>
      <c r="E80" s="923">
        <v>23160.515352890001</v>
      </c>
      <c r="F80" s="923">
        <v>1729.8321266400001</v>
      </c>
      <c r="G80" s="923">
        <v>369.05387346999998</v>
      </c>
      <c r="H80" s="923">
        <v>3713.5517382500002</v>
      </c>
      <c r="I80" s="923">
        <v>392.32224162</v>
      </c>
      <c r="J80" s="923">
        <v>76.119052859999996</v>
      </c>
      <c r="K80" s="923">
        <v>19446.963614640001</v>
      </c>
      <c r="L80" s="923">
        <v>1337.50988502</v>
      </c>
      <c r="M80" s="923">
        <v>292.93482060999997</v>
      </c>
      <c r="N80" s="923">
        <v>4354.1842876500004</v>
      </c>
      <c r="O80" s="923">
        <v>80.720925469999997</v>
      </c>
      <c r="P80" s="923">
        <v>106.02951981</v>
      </c>
      <c r="Q80" s="923">
        <v>768.43617182000003</v>
      </c>
      <c r="R80" s="923">
        <v>2.7856237699999999</v>
      </c>
      <c r="S80" s="923">
        <v>27.7576021</v>
      </c>
      <c r="T80" s="923">
        <v>3585.7481158300002</v>
      </c>
      <c r="U80" s="923">
        <v>77.935301699999997</v>
      </c>
      <c r="V80" s="923">
        <v>78.271917709999997</v>
      </c>
      <c r="W80" s="924"/>
      <c r="X80" s="925"/>
    </row>
    <row r="81" spans="1:24" ht="12.75">
      <c r="A81" s="920" t="s">
        <v>19</v>
      </c>
      <c r="B81" s="921">
        <v>27592.366839009999</v>
      </c>
      <c r="C81" s="921">
        <v>1810.55305211</v>
      </c>
      <c r="D81" s="922">
        <v>480.14675621999999</v>
      </c>
      <c r="E81" s="923">
        <v>23325.16892751</v>
      </c>
      <c r="F81" s="923">
        <v>1729.8321266400001</v>
      </c>
      <c r="G81" s="923">
        <v>377.39027275000001</v>
      </c>
      <c r="H81" s="923">
        <v>3688.3402543299999</v>
      </c>
      <c r="I81" s="923">
        <v>392.32224162</v>
      </c>
      <c r="J81" s="923">
        <v>75.393529869999995</v>
      </c>
      <c r="K81" s="923">
        <v>19636.82867318</v>
      </c>
      <c r="L81" s="923">
        <v>1337.50988502</v>
      </c>
      <c r="M81" s="923">
        <v>301.99674288</v>
      </c>
      <c r="N81" s="923">
        <v>4267.1979115000004</v>
      </c>
      <c r="O81" s="923">
        <v>80.720925469999997</v>
      </c>
      <c r="P81" s="923">
        <v>102.75648347000001</v>
      </c>
      <c r="Q81" s="923">
        <v>747.78514786000005</v>
      </c>
      <c r="R81" s="923">
        <v>2.7856237699999999</v>
      </c>
      <c r="S81" s="923">
        <v>24.238983919999999</v>
      </c>
      <c r="T81" s="923">
        <v>3519.4127636399999</v>
      </c>
      <c r="U81" s="923">
        <v>77.935301699999997</v>
      </c>
      <c r="V81" s="923">
        <v>78.517499549999997</v>
      </c>
      <c r="W81" s="924"/>
      <c r="X81" s="925"/>
    </row>
    <row r="82" spans="1:24" ht="12.75">
      <c r="A82" s="920" t="s">
        <v>20</v>
      </c>
      <c r="B82" s="921">
        <v>27877.11878678</v>
      </c>
      <c r="C82" s="921">
        <v>1802.25631135</v>
      </c>
      <c r="D82" s="922">
        <v>481.55137305</v>
      </c>
      <c r="E82" s="923">
        <v>23565.768669149998</v>
      </c>
      <c r="F82" s="923">
        <v>1721.6585138</v>
      </c>
      <c r="G82" s="923">
        <v>383.32324929999999</v>
      </c>
      <c r="H82" s="923">
        <v>3761.2958797599999</v>
      </c>
      <c r="I82" s="923">
        <v>385.77808155999998</v>
      </c>
      <c r="J82" s="923">
        <v>75.275105429999996</v>
      </c>
      <c r="K82" s="923">
        <v>19804.472789390002</v>
      </c>
      <c r="L82" s="923">
        <v>1335.8804322399999</v>
      </c>
      <c r="M82" s="923">
        <v>308.04814386999999</v>
      </c>
      <c r="N82" s="923">
        <v>4311.3501176299997</v>
      </c>
      <c r="O82" s="923">
        <v>80.597797549999996</v>
      </c>
      <c r="P82" s="923">
        <v>98.228123749999995</v>
      </c>
      <c r="Q82" s="923">
        <v>762.40547102999994</v>
      </c>
      <c r="R82" s="923">
        <v>1.74023656</v>
      </c>
      <c r="S82" s="923">
        <v>21.970118410000001</v>
      </c>
      <c r="T82" s="923">
        <v>3548.9446465999999</v>
      </c>
      <c r="U82" s="923">
        <v>78.857560989999996</v>
      </c>
      <c r="V82" s="923">
        <v>76.258005339999997</v>
      </c>
      <c r="W82" s="924"/>
      <c r="X82" s="925"/>
    </row>
    <row r="83" spans="1:24" ht="12.75">
      <c r="A83" s="920" t="s">
        <v>21</v>
      </c>
      <c r="B83" s="921">
        <v>28096.517107619999</v>
      </c>
      <c r="C83" s="921">
        <v>1802.25631135</v>
      </c>
      <c r="D83" s="922">
        <v>502.60593611000002</v>
      </c>
      <c r="E83" s="923">
        <v>23832.240017100001</v>
      </c>
      <c r="F83" s="923">
        <v>1721.6585138</v>
      </c>
      <c r="G83" s="923">
        <v>404.73874255999999</v>
      </c>
      <c r="H83" s="923">
        <v>3744.13754806</v>
      </c>
      <c r="I83" s="923">
        <v>385.77808155999998</v>
      </c>
      <c r="J83" s="923">
        <v>81.703665360000002</v>
      </c>
      <c r="K83" s="923">
        <v>20088.102469040001</v>
      </c>
      <c r="L83" s="923">
        <v>1335.8804322399999</v>
      </c>
      <c r="M83" s="923">
        <v>323.03507719999999</v>
      </c>
      <c r="N83" s="923">
        <v>4264.2770905199995</v>
      </c>
      <c r="O83" s="923">
        <v>80.597797549999996</v>
      </c>
      <c r="P83" s="923">
        <v>97.867193549999996</v>
      </c>
      <c r="Q83" s="923">
        <v>721.07987863000005</v>
      </c>
      <c r="R83" s="923">
        <v>1.74023656</v>
      </c>
      <c r="S83" s="923">
        <v>21.780581160000001</v>
      </c>
      <c r="T83" s="923">
        <v>3543.1972118899998</v>
      </c>
      <c r="U83" s="923">
        <v>78.857560989999996</v>
      </c>
      <c r="V83" s="923">
        <v>76.086612389999999</v>
      </c>
      <c r="W83" s="924"/>
      <c r="X83" s="925"/>
    </row>
    <row r="84" spans="1:24" ht="12.75">
      <c r="A84" s="920" t="s">
        <v>22</v>
      </c>
      <c r="B84" s="921">
        <v>28386.503393129999</v>
      </c>
      <c r="C84" s="921">
        <v>1802.25631135</v>
      </c>
      <c r="D84" s="922">
        <v>508.31303802999997</v>
      </c>
      <c r="E84" s="923">
        <v>24183.465804150001</v>
      </c>
      <c r="F84" s="923">
        <v>1721.6585138</v>
      </c>
      <c r="G84" s="923">
        <v>413.45249242</v>
      </c>
      <c r="H84" s="923">
        <v>3896.34919683</v>
      </c>
      <c r="I84" s="923">
        <v>385.77808155999998</v>
      </c>
      <c r="J84" s="923">
        <v>86.889085300000005</v>
      </c>
      <c r="K84" s="923">
        <v>20287.11660732</v>
      </c>
      <c r="L84" s="923">
        <v>1335.8804322399999</v>
      </c>
      <c r="M84" s="923">
        <v>326.56340712000002</v>
      </c>
      <c r="N84" s="923">
        <v>4203.0375889799998</v>
      </c>
      <c r="O84" s="923">
        <v>80.597797549999996</v>
      </c>
      <c r="P84" s="923">
        <v>94.860545610000003</v>
      </c>
      <c r="Q84" s="923">
        <v>672.61679499000002</v>
      </c>
      <c r="R84" s="923">
        <v>1.74023656</v>
      </c>
      <c r="S84" s="923">
        <v>20.463180300000001</v>
      </c>
      <c r="T84" s="923">
        <v>3530.4207939900002</v>
      </c>
      <c r="U84" s="923">
        <v>78.857560989999996</v>
      </c>
      <c r="V84" s="923">
        <v>74.397365309999998</v>
      </c>
      <c r="W84" s="924"/>
      <c r="X84" s="925"/>
    </row>
    <row r="85" spans="1:24" ht="12.75">
      <c r="A85" s="920" t="s">
        <v>23</v>
      </c>
      <c r="B85" s="921">
        <v>28472.146095579999</v>
      </c>
      <c r="C85" s="921">
        <v>1759.68251713</v>
      </c>
      <c r="D85" s="922">
        <v>527.42732765000005</v>
      </c>
      <c r="E85" s="923">
        <v>24319.79638801</v>
      </c>
      <c r="F85" s="923">
        <v>1671.9165710299999</v>
      </c>
      <c r="G85" s="923">
        <v>437.13509454000001</v>
      </c>
      <c r="H85" s="923">
        <v>3884.0655121499999</v>
      </c>
      <c r="I85" s="923">
        <v>362.05360048</v>
      </c>
      <c r="J85" s="923">
        <v>97.50100759</v>
      </c>
      <c r="K85" s="923">
        <v>20435.730875860001</v>
      </c>
      <c r="L85" s="923">
        <v>1309.86297055</v>
      </c>
      <c r="M85" s="923">
        <v>339.63408694999998</v>
      </c>
      <c r="N85" s="923">
        <v>4152.3497075699997</v>
      </c>
      <c r="O85" s="923">
        <v>87.765946099999994</v>
      </c>
      <c r="P85" s="923">
        <v>90.292233109999998</v>
      </c>
      <c r="Q85" s="923">
        <v>661.66505505999999</v>
      </c>
      <c r="R85" s="923">
        <v>1.4001556900000001</v>
      </c>
      <c r="S85" s="923">
        <v>20.042064230000001</v>
      </c>
      <c r="T85" s="923">
        <v>3490.68465251</v>
      </c>
      <c r="U85" s="923">
        <v>86.365790410000002</v>
      </c>
      <c r="V85" s="923">
        <v>70.250168880000004</v>
      </c>
      <c r="W85" s="924"/>
      <c r="X85" s="925"/>
    </row>
    <row r="86" spans="1:24" ht="12.75">
      <c r="A86" s="920" t="s">
        <v>24</v>
      </c>
      <c r="B86" s="921">
        <v>28498.184217270002</v>
      </c>
      <c r="C86" s="921">
        <v>1759.68251713</v>
      </c>
      <c r="D86" s="922">
        <v>529.38554863000002</v>
      </c>
      <c r="E86" s="923">
        <v>24442.96822432</v>
      </c>
      <c r="F86" s="923">
        <v>1671.9165710299999</v>
      </c>
      <c r="G86" s="923">
        <v>433.62232299999999</v>
      </c>
      <c r="H86" s="923">
        <v>3812.5311403199998</v>
      </c>
      <c r="I86" s="923">
        <v>362.05360048</v>
      </c>
      <c r="J86" s="923">
        <v>90.934143860000006</v>
      </c>
      <c r="K86" s="923">
        <v>20630.437084000001</v>
      </c>
      <c r="L86" s="923">
        <v>1309.86297055</v>
      </c>
      <c r="M86" s="923">
        <v>342.68817913999999</v>
      </c>
      <c r="N86" s="923">
        <v>4055.2159929499999</v>
      </c>
      <c r="O86" s="923">
        <v>87.765946099999994</v>
      </c>
      <c r="P86" s="923">
        <v>95.763225629999994</v>
      </c>
      <c r="Q86" s="923">
        <v>668.58915485</v>
      </c>
      <c r="R86" s="923">
        <v>1.4001556900000001</v>
      </c>
      <c r="S86" s="923">
        <v>23.26715742</v>
      </c>
      <c r="T86" s="923">
        <v>3386.6268381</v>
      </c>
      <c r="U86" s="923">
        <v>86.365790410000002</v>
      </c>
      <c r="V86" s="923">
        <v>72.496068210000004</v>
      </c>
      <c r="W86" s="924"/>
      <c r="X86" s="925"/>
    </row>
    <row r="87" spans="1:24" ht="12.75">
      <c r="A87" s="920" t="s">
        <v>25</v>
      </c>
      <c r="B87" s="921">
        <v>28704.909990970002</v>
      </c>
      <c r="C87" s="921">
        <v>1759.68251713</v>
      </c>
      <c r="D87" s="922">
        <v>530.93098662</v>
      </c>
      <c r="E87" s="923">
        <v>24715.040054829999</v>
      </c>
      <c r="F87" s="923">
        <v>1671.9165710299999</v>
      </c>
      <c r="G87" s="923">
        <v>434.34427352</v>
      </c>
      <c r="H87" s="923">
        <v>3884.7399614599999</v>
      </c>
      <c r="I87" s="923">
        <v>362.05360048</v>
      </c>
      <c r="J87" s="923">
        <v>87.314347949999998</v>
      </c>
      <c r="K87" s="923">
        <v>20830.300093369999</v>
      </c>
      <c r="L87" s="923">
        <v>1309.86297055</v>
      </c>
      <c r="M87" s="923">
        <v>347.02992556999999</v>
      </c>
      <c r="N87" s="923">
        <v>3989.8699361399999</v>
      </c>
      <c r="O87" s="923">
        <v>87.765946099999994</v>
      </c>
      <c r="P87" s="923">
        <v>96.586713099999997</v>
      </c>
      <c r="Q87" s="923">
        <v>704.79037964999998</v>
      </c>
      <c r="R87" s="923">
        <v>1.4001556900000001</v>
      </c>
      <c r="S87" s="923">
        <v>25.370452490000002</v>
      </c>
      <c r="T87" s="923">
        <v>3285.07955649</v>
      </c>
      <c r="U87" s="923">
        <v>86.365790410000002</v>
      </c>
      <c r="V87" s="923">
        <v>71.216260610000006</v>
      </c>
      <c r="W87" s="924"/>
      <c r="X87" s="925"/>
    </row>
    <row r="88" spans="1:24" ht="12.75">
      <c r="A88" s="920" t="s">
        <v>26</v>
      </c>
      <c r="B88" s="921">
        <v>29276.304931679999</v>
      </c>
      <c r="C88" s="921">
        <v>1765.5322221399999</v>
      </c>
      <c r="D88" s="922">
        <v>528.11218530999997</v>
      </c>
      <c r="E88" s="923">
        <v>25121.272984349998</v>
      </c>
      <c r="F88" s="923">
        <v>1680.8250331500001</v>
      </c>
      <c r="G88" s="923">
        <v>438.42340838000001</v>
      </c>
      <c r="H88" s="923">
        <v>3971.6654945300002</v>
      </c>
      <c r="I88" s="923">
        <v>384.73915546000001</v>
      </c>
      <c r="J88" s="923">
        <v>88.088407930000002</v>
      </c>
      <c r="K88" s="923">
        <v>21149.607489819999</v>
      </c>
      <c r="L88" s="923">
        <v>1296.08587769</v>
      </c>
      <c r="M88" s="923">
        <v>350.33500045</v>
      </c>
      <c r="N88" s="923">
        <v>4155.0319473299996</v>
      </c>
      <c r="O88" s="923">
        <v>84.707188990000006</v>
      </c>
      <c r="P88" s="923">
        <v>89.688776930000003</v>
      </c>
      <c r="Q88" s="923">
        <v>936.58775932000003</v>
      </c>
      <c r="R88" s="923">
        <v>1.18869464</v>
      </c>
      <c r="S88" s="923">
        <v>19.883170849999999</v>
      </c>
      <c r="T88" s="923">
        <v>3218.4441880099998</v>
      </c>
      <c r="U88" s="923">
        <v>83.518494349999997</v>
      </c>
      <c r="V88" s="923">
        <v>69.805606080000004</v>
      </c>
      <c r="W88" s="924"/>
      <c r="X88" s="925"/>
    </row>
    <row r="89" spans="1:24" ht="12.75">
      <c r="A89" s="920" t="s">
        <v>27</v>
      </c>
      <c r="B89" s="921">
        <v>29403.857267110001</v>
      </c>
      <c r="C89" s="921">
        <v>1765.5322221399999</v>
      </c>
      <c r="D89" s="922">
        <v>544.82034839000005</v>
      </c>
      <c r="E89" s="923">
        <v>25272.877123959999</v>
      </c>
      <c r="F89" s="923">
        <v>1680.8250331500001</v>
      </c>
      <c r="G89" s="923">
        <v>447.70975772999998</v>
      </c>
      <c r="H89" s="923">
        <v>3974.6714888299998</v>
      </c>
      <c r="I89" s="923">
        <v>384.73915546000001</v>
      </c>
      <c r="J89" s="923">
        <v>85.556204399999999</v>
      </c>
      <c r="K89" s="923">
        <v>21298.205635130002</v>
      </c>
      <c r="L89" s="923">
        <v>1296.08587769</v>
      </c>
      <c r="M89" s="923">
        <v>362.15355333000002</v>
      </c>
      <c r="N89" s="923">
        <v>4130.98014315</v>
      </c>
      <c r="O89" s="923">
        <v>84.707188990000006</v>
      </c>
      <c r="P89" s="923">
        <v>97.11059066</v>
      </c>
      <c r="Q89" s="923">
        <v>1107.1333303399999</v>
      </c>
      <c r="R89" s="923">
        <v>1.18869464</v>
      </c>
      <c r="S89" s="923">
        <v>18.432502979999999</v>
      </c>
      <c r="T89" s="923">
        <v>3023.8468128099998</v>
      </c>
      <c r="U89" s="923">
        <v>83.518494349999997</v>
      </c>
      <c r="V89" s="923">
        <v>78.678087680000004</v>
      </c>
      <c r="W89" s="924"/>
      <c r="X89" s="925"/>
    </row>
    <row r="90" spans="1:24" ht="12.75">
      <c r="A90" s="920" t="s">
        <v>28</v>
      </c>
      <c r="B90" s="921">
        <v>29685.529333949999</v>
      </c>
      <c r="C90" s="921">
        <v>1765.5322221399999</v>
      </c>
      <c r="D90" s="922">
        <v>557.58692733999999</v>
      </c>
      <c r="E90" s="923">
        <v>25490.599144930002</v>
      </c>
      <c r="F90" s="923">
        <v>1680.8250331500001</v>
      </c>
      <c r="G90" s="923">
        <v>464.76872900000001</v>
      </c>
      <c r="H90" s="923">
        <v>4045.2603969800002</v>
      </c>
      <c r="I90" s="923">
        <v>384.73915546000001</v>
      </c>
      <c r="J90" s="923">
        <v>105.94712751</v>
      </c>
      <c r="K90" s="923">
        <v>21445.338747950002</v>
      </c>
      <c r="L90" s="923">
        <v>1296.08587769</v>
      </c>
      <c r="M90" s="923">
        <v>358.82160148999998</v>
      </c>
      <c r="N90" s="923">
        <v>4194.9301890200004</v>
      </c>
      <c r="O90" s="923">
        <v>84.707188990000006</v>
      </c>
      <c r="P90" s="923">
        <v>92.818198339999995</v>
      </c>
      <c r="Q90" s="923">
        <v>1174.8423092200001</v>
      </c>
      <c r="R90" s="923">
        <v>1.18869464</v>
      </c>
      <c r="S90" s="923">
        <v>16.34954836</v>
      </c>
      <c r="T90" s="923">
        <v>3020.0878797999999</v>
      </c>
      <c r="U90" s="923">
        <v>83.518494349999997</v>
      </c>
      <c r="V90" s="923">
        <v>76.468649979999995</v>
      </c>
      <c r="W90" s="924"/>
      <c r="X90" s="925"/>
    </row>
    <row r="91" spans="1:24" ht="12.75">
      <c r="A91" s="920" t="s">
        <v>29</v>
      </c>
      <c r="B91" s="921">
        <v>30063.04894407</v>
      </c>
      <c r="C91" s="921">
        <v>1883.69185535</v>
      </c>
      <c r="D91" s="922">
        <v>524.52293808000002</v>
      </c>
      <c r="E91" s="923">
        <v>25802.612043590001</v>
      </c>
      <c r="F91" s="923">
        <v>1791.37255839</v>
      </c>
      <c r="G91" s="923">
        <v>444.67607131</v>
      </c>
      <c r="H91" s="923">
        <v>4107.7600564599998</v>
      </c>
      <c r="I91" s="923">
        <v>453.81888329999998</v>
      </c>
      <c r="J91" s="923">
        <v>104.53189707999999</v>
      </c>
      <c r="K91" s="923">
        <v>21694.851987130001</v>
      </c>
      <c r="L91" s="923">
        <v>1337.5536750900001</v>
      </c>
      <c r="M91" s="923">
        <v>340.14417422999998</v>
      </c>
      <c r="N91" s="923">
        <v>4260.4369004800001</v>
      </c>
      <c r="O91" s="923">
        <v>92.319296960000003</v>
      </c>
      <c r="P91" s="923">
        <v>79.846866770000005</v>
      </c>
      <c r="Q91" s="923">
        <v>1215.95668247</v>
      </c>
      <c r="R91" s="923">
        <v>8.7155030399999998</v>
      </c>
      <c r="S91" s="923">
        <v>10.90720044</v>
      </c>
      <c r="T91" s="923">
        <v>3044.48021801</v>
      </c>
      <c r="U91" s="923">
        <v>83.603793920000001</v>
      </c>
      <c r="V91" s="923">
        <v>68.939666329999994</v>
      </c>
      <c r="W91" s="924"/>
      <c r="X91" s="925"/>
    </row>
    <row r="92" spans="1:24" ht="12.75">
      <c r="A92" s="920" t="s">
        <v>4465</v>
      </c>
      <c r="B92" s="921"/>
      <c r="C92" s="921"/>
      <c r="D92" s="922"/>
      <c r="E92" s="923"/>
      <c r="F92" s="923"/>
      <c r="G92" s="923"/>
      <c r="H92" s="923"/>
      <c r="I92" s="923"/>
      <c r="J92" s="923"/>
      <c r="K92" s="923"/>
      <c r="L92" s="923"/>
      <c r="M92" s="923"/>
      <c r="N92" s="923"/>
      <c r="O92" s="923"/>
      <c r="P92" s="923"/>
      <c r="Q92" s="923"/>
      <c r="R92" s="923"/>
      <c r="S92" s="923"/>
      <c r="T92" s="923"/>
      <c r="U92" s="923"/>
      <c r="V92" s="923"/>
      <c r="W92" s="924"/>
      <c r="X92" s="925"/>
    </row>
    <row r="93" spans="1:24" ht="12.75">
      <c r="A93" s="920" t="s">
        <v>18</v>
      </c>
      <c r="B93" s="921">
        <v>29980.053036419999</v>
      </c>
      <c r="C93" s="921">
        <v>1883.69185535</v>
      </c>
      <c r="D93" s="922">
        <v>557.48455834000004</v>
      </c>
      <c r="E93" s="923">
        <v>25738.983931949999</v>
      </c>
      <c r="F93" s="923">
        <v>1791.37255839</v>
      </c>
      <c r="G93" s="923">
        <v>452.55263589999998</v>
      </c>
      <c r="H93" s="923">
        <v>3967.1192820400001</v>
      </c>
      <c r="I93" s="923">
        <v>453.81888329999998</v>
      </c>
      <c r="J93" s="923">
        <v>104.32418443</v>
      </c>
      <c r="K93" s="923">
        <v>21771.86464991</v>
      </c>
      <c r="L93" s="923">
        <v>1337.5536750900001</v>
      </c>
      <c r="M93" s="923">
        <v>348.22845146999998</v>
      </c>
      <c r="N93" s="923">
        <v>4241.0691044699997</v>
      </c>
      <c r="O93" s="923">
        <v>92.319296960000003</v>
      </c>
      <c r="P93" s="923">
        <v>104.93192243999999</v>
      </c>
      <c r="Q93" s="923">
        <v>1262.48347956</v>
      </c>
      <c r="R93" s="923">
        <v>8.7155030399999998</v>
      </c>
      <c r="S93" s="923">
        <v>31.29475635</v>
      </c>
      <c r="T93" s="923">
        <v>2978.5856249100002</v>
      </c>
      <c r="U93" s="923">
        <v>83.603793920000001</v>
      </c>
      <c r="V93" s="923">
        <v>73.637166089999994</v>
      </c>
      <c r="W93" s="924"/>
      <c r="X93" s="925"/>
    </row>
    <row r="94" spans="1:24" ht="12.75">
      <c r="A94" s="920" t="s">
        <v>19</v>
      </c>
      <c r="B94" s="921">
        <v>30118.85639076</v>
      </c>
      <c r="C94" s="921">
        <v>1883.69185535</v>
      </c>
      <c r="D94" s="922">
        <v>561.97294440999997</v>
      </c>
      <c r="E94" s="923">
        <v>25879.094359750001</v>
      </c>
      <c r="F94" s="923">
        <v>1791.37255839</v>
      </c>
      <c r="G94" s="923">
        <v>462.50668970999999</v>
      </c>
      <c r="H94" s="923">
        <v>4003.76835239</v>
      </c>
      <c r="I94" s="923">
        <v>453.81888329999998</v>
      </c>
      <c r="J94" s="923">
        <v>106.20199553</v>
      </c>
      <c r="K94" s="923">
        <v>21875.326007359999</v>
      </c>
      <c r="L94" s="923">
        <v>1337.5536750900001</v>
      </c>
      <c r="M94" s="923">
        <v>356.30469418000001</v>
      </c>
      <c r="N94" s="923">
        <v>4239.7620310100001</v>
      </c>
      <c r="O94" s="923">
        <v>92.319296960000003</v>
      </c>
      <c r="P94" s="923">
        <v>99.466254699999993</v>
      </c>
      <c r="Q94" s="923">
        <v>1305.92836816</v>
      </c>
      <c r="R94" s="923">
        <v>8.7155030399999998</v>
      </c>
      <c r="S94" s="923">
        <v>31.22137421</v>
      </c>
      <c r="T94" s="923">
        <v>2933.8336628500001</v>
      </c>
      <c r="U94" s="923">
        <v>83.603793920000001</v>
      </c>
      <c r="V94" s="923">
        <v>68.24488049</v>
      </c>
      <c r="W94" s="924"/>
      <c r="X94" s="925"/>
    </row>
    <row r="95" spans="1:24" ht="12.75">
      <c r="A95" s="920" t="s">
        <v>20</v>
      </c>
      <c r="B95" s="921">
        <v>30290.348648970001</v>
      </c>
      <c r="C95" s="921">
        <v>2022.59894977</v>
      </c>
      <c r="D95" s="922">
        <v>619.58458363</v>
      </c>
      <c r="E95" s="923">
        <v>26002.970593239999</v>
      </c>
      <c r="F95" s="923">
        <v>1937.01246889</v>
      </c>
      <c r="G95" s="923">
        <v>524.18686124999999</v>
      </c>
      <c r="H95" s="923">
        <v>4043.4118163100002</v>
      </c>
      <c r="I95" s="923">
        <v>574.03489653999998</v>
      </c>
      <c r="J95" s="923">
        <v>125.92156906</v>
      </c>
      <c r="K95" s="923">
        <v>21959.55877693</v>
      </c>
      <c r="L95" s="923">
        <v>1362.9775723499999</v>
      </c>
      <c r="M95" s="923">
        <v>398.26529219000003</v>
      </c>
      <c r="N95" s="923">
        <v>4287.3780557299997</v>
      </c>
      <c r="O95" s="923">
        <v>85.586480879999996</v>
      </c>
      <c r="P95" s="923">
        <v>95.397722380000005</v>
      </c>
      <c r="Q95" s="923">
        <v>1384.38761514</v>
      </c>
      <c r="R95" s="923">
        <v>1.1801805299999999</v>
      </c>
      <c r="S95" s="923">
        <v>11.17765275</v>
      </c>
      <c r="T95" s="923">
        <v>2902.9904405900002</v>
      </c>
      <c r="U95" s="923">
        <v>84.406300349999995</v>
      </c>
      <c r="V95" s="923">
        <v>84.220069629999998</v>
      </c>
      <c r="W95" s="924"/>
      <c r="X95" s="925"/>
    </row>
    <row r="96" spans="1:24" ht="12.75">
      <c r="A96" s="920" t="s">
        <v>21</v>
      </c>
      <c r="B96" s="921">
        <v>30609.215301830001</v>
      </c>
      <c r="C96" s="921">
        <v>2022.59894977</v>
      </c>
      <c r="D96" s="922">
        <v>614.23724689999995</v>
      </c>
      <c r="E96" s="923">
        <v>26344.275884980001</v>
      </c>
      <c r="F96" s="923">
        <v>1937.01246889</v>
      </c>
      <c r="G96" s="923">
        <v>514.14241001000005</v>
      </c>
      <c r="H96" s="923">
        <v>4020.3863729099999</v>
      </c>
      <c r="I96" s="923">
        <v>574.03489653999998</v>
      </c>
      <c r="J96" s="923">
        <v>105.90736821</v>
      </c>
      <c r="K96" s="923">
        <v>22323.88951207</v>
      </c>
      <c r="L96" s="923">
        <v>1362.9775723499999</v>
      </c>
      <c r="M96" s="923">
        <v>408.23504179999998</v>
      </c>
      <c r="N96" s="923">
        <v>4264.9394168500003</v>
      </c>
      <c r="O96" s="923">
        <v>85.586480879999996</v>
      </c>
      <c r="P96" s="923">
        <v>100.09483689</v>
      </c>
      <c r="Q96" s="923">
        <v>1391.3783874200001</v>
      </c>
      <c r="R96" s="923">
        <v>1.1801805299999999</v>
      </c>
      <c r="S96" s="923">
        <v>15.519677890000001</v>
      </c>
      <c r="T96" s="923">
        <v>2873.56102943</v>
      </c>
      <c r="U96" s="923">
        <v>84.406300349999995</v>
      </c>
      <c r="V96" s="923">
        <v>84.575158999999999</v>
      </c>
      <c r="W96" s="924"/>
      <c r="X96" s="925"/>
    </row>
    <row r="97" spans="1:41" ht="12.75">
      <c r="A97" s="920" t="s">
        <v>22</v>
      </c>
      <c r="B97" s="921">
        <v>30885.82540501</v>
      </c>
      <c r="C97" s="921">
        <v>2022.59894977</v>
      </c>
      <c r="D97" s="922">
        <v>635.41308357000003</v>
      </c>
      <c r="E97" s="923">
        <v>26664.55219613</v>
      </c>
      <c r="F97" s="923">
        <v>1937.01246889</v>
      </c>
      <c r="G97" s="923">
        <v>532.10584065</v>
      </c>
      <c r="H97" s="923">
        <v>4053.34864591</v>
      </c>
      <c r="I97" s="923">
        <v>574.03489653999998</v>
      </c>
      <c r="J97" s="923">
        <v>110.9098465</v>
      </c>
      <c r="K97" s="923">
        <v>22611.203550220001</v>
      </c>
      <c r="L97" s="923">
        <v>1362.9775723499999</v>
      </c>
      <c r="M97" s="923">
        <v>421.19599414999999</v>
      </c>
      <c r="N97" s="923">
        <v>4221.2732088800003</v>
      </c>
      <c r="O97" s="923">
        <v>85.586480879999996</v>
      </c>
      <c r="P97" s="923">
        <v>103.30724291999999</v>
      </c>
      <c r="Q97" s="923">
        <v>1408.69547519</v>
      </c>
      <c r="R97" s="923">
        <v>1.1801805299999999</v>
      </c>
      <c r="S97" s="923">
        <v>14.97672391</v>
      </c>
      <c r="T97" s="923">
        <v>2812.5777336900001</v>
      </c>
      <c r="U97" s="923">
        <v>84.406300349999995</v>
      </c>
      <c r="V97" s="923">
        <v>88.330519010000003</v>
      </c>
      <c r="W97" s="924"/>
      <c r="X97" s="925"/>
    </row>
    <row r="98" spans="1:41" ht="12.75">
      <c r="A98" s="927" t="s">
        <v>23</v>
      </c>
      <c r="B98" s="928">
        <v>31821.34199135</v>
      </c>
      <c r="C98" s="928">
        <v>2059.7529986479999</v>
      </c>
      <c r="D98" s="929">
        <v>719.27659745799997</v>
      </c>
      <c r="E98" s="930">
        <v>26852.229700849999</v>
      </c>
      <c r="F98" s="930">
        <v>1984.7796601580001</v>
      </c>
      <c r="G98" s="930">
        <v>594.62400544799993</v>
      </c>
      <c r="H98" s="930">
        <v>3990.9253836900002</v>
      </c>
      <c r="I98" s="930">
        <v>597.12599675000001</v>
      </c>
      <c r="J98" s="930">
        <v>168.98524187000001</v>
      </c>
      <c r="K98" s="930">
        <v>22861.30431716</v>
      </c>
      <c r="L98" s="930">
        <v>1387.6536634080001</v>
      </c>
      <c r="M98" s="930">
        <v>425.63876357800001</v>
      </c>
      <c r="N98" s="930">
        <v>4969.1122905000002</v>
      </c>
      <c r="O98" s="930">
        <v>74.973338490000003</v>
      </c>
      <c r="P98" s="930">
        <v>124.65259201000001</v>
      </c>
      <c r="Q98" s="930">
        <v>1349.6349398499999</v>
      </c>
      <c r="R98" s="930">
        <v>1.1812265099999999</v>
      </c>
      <c r="S98" s="930">
        <v>12.275301689999999</v>
      </c>
      <c r="T98" s="930">
        <v>3619.4773506500001</v>
      </c>
      <c r="U98" s="930">
        <v>73.792111980000001</v>
      </c>
      <c r="V98" s="930">
        <v>112.37729032</v>
      </c>
      <c r="W98" s="924"/>
      <c r="X98" s="925"/>
    </row>
    <row r="99" spans="1:41" s="932" customFormat="1" ht="13.5" customHeight="1">
      <c r="A99" s="2234" t="s">
        <v>2975</v>
      </c>
      <c r="B99" s="2234"/>
      <c r="C99" s="2234"/>
      <c r="D99" s="2234"/>
      <c r="E99" s="2234"/>
      <c r="F99" s="2234"/>
      <c r="G99" s="2234"/>
      <c r="H99" s="2234"/>
      <c r="I99" s="2234"/>
      <c r="J99" s="2234"/>
      <c r="K99" s="2234"/>
      <c r="L99" s="2234"/>
      <c r="M99" s="2234"/>
      <c r="N99" s="2234"/>
      <c r="O99" s="2234"/>
      <c r="P99" s="2234"/>
      <c r="Q99" s="2234"/>
      <c r="R99" s="2234"/>
      <c r="S99" s="2234"/>
      <c r="T99" s="2234"/>
      <c r="U99" s="2234"/>
      <c r="V99" s="2234"/>
      <c r="W99" s="2234"/>
      <c r="X99" s="2234"/>
      <c r="Y99" s="2234"/>
      <c r="Z99" s="2234"/>
      <c r="AA99" s="2234"/>
      <c r="AB99" s="2234"/>
      <c r="AC99" s="2234"/>
      <c r="AD99" s="2234"/>
      <c r="AE99" s="2234"/>
      <c r="AF99" s="2234"/>
      <c r="AG99" s="2234"/>
      <c r="AH99" s="2234"/>
      <c r="AI99" s="2234"/>
      <c r="AJ99" s="2234"/>
      <c r="AK99" s="2234"/>
      <c r="AL99" s="2234"/>
      <c r="AM99" s="2234"/>
      <c r="AN99" s="2234"/>
      <c r="AO99" s="2234"/>
    </row>
    <row r="100" spans="1:41" s="932" customFormat="1" ht="13.5" customHeight="1">
      <c r="A100" s="2233" t="s">
        <v>2976</v>
      </c>
      <c r="B100" s="2233"/>
      <c r="C100" s="2233"/>
      <c r="D100" s="2233"/>
      <c r="E100" s="2233"/>
      <c r="F100" s="2233"/>
      <c r="G100" s="2233"/>
      <c r="H100" s="2233"/>
      <c r="I100" s="2233"/>
      <c r="J100" s="2233"/>
      <c r="K100" s="2233"/>
      <c r="L100" s="2233"/>
      <c r="M100" s="2233"/>
      <c r="N100" s="2233"/>
      <c r="O100" s="2233"/>
      <c r="P100" s="2233"/>
      <c r="Q100" s="2233"/>
      <c r="R100" s="2233"/>
      <c r="S100" s="2233"/>
      <c r="T100" s="2233"/>
      <c r="U100" s="2233"/>
      <c r="V100" s="2233"/>
      <c r="W100" s="2233"/>
      <c r="X100" s="2233"/>
      <c r="Y100" s="2233"/>
      <c r="Z100" s="2233"/>
      <c r="AA100" s="2233"/>
      <c r="AB100" s="2233"/>
      <c r="AC100" s="2233"/>
      <c r="AD100" s="2233"/>
      <c r="AE100" s="2233"/>
      <c r="AF100" s="2233"/>
      <c r="AG100" s="2233"/>
      <c r="AH100" s="2233"/>
      <c r="AI100" s="2233"/>
      <c r="AJ100" s="2233"/>
      <c r="AK100" s="2233"/>
      <c r="AL100" s="2233"/>
      <c r="AM100" s="2233"/>
      <c r="AN100" s="2233"/>
      <c r="AO100" s="2233"/>
    </row>
    <row r="101" spans="1:41" ht="12.75">
      <c r="B101" s="1163"/>
      <c r="C101" s="1163"/>
      <c r="E101" s="1242"/>
      <c r="F101" s="1163"/>
      <c r="H101" s="1242"/>
      <c r="J101" s="1163"/>
      <c r="K101" s="1242"/>
      <c r="N101" s="1242"/>
      <c r="Q101" s="1242"/>
      <c r="T101" s="1242"/>
    </row>
    <row r="102" spans="1:41" ht="12.75">
      <c r="B102" s="924"/>
      <c r="E102" s="1242"/>
      <c r="H102" s="1163"/>
      <c r="K102" s="1163"/>
      <c r="N102" s="1163"/>
      <c r="Q102" s="1163"/>
      <c r="T102" s="1163"/>
    </row>
    <row r="103" spans="1:41" ht="12.75">
      <c r="B103" s="1163"/>
      <c r="E103" s="1163"/>
      <c r="H103" s="1163"/>
      <c r="K103" s="1163"/>
      <c r="L103" s="919"/>
      <c r="M103" s="919"/>
      <c r="N103" s="1163"/>
      <c r="Q103" s="1163"/>
      <c r="T103" s="1163"/>
    </row>
    <row r="104" spans="1:41" ht="12.75">
      <c r="B104" s="1338"/>
    </row>
    <row r="105" spans="1:41" ht="12.75"/>
    <row r="106" spans="1:41" ht="12.75">
      <c r="G106" s="1990"/>
    </row>
    <row r="107" spans="1:41" ht="12.75"/>
    <row r="108" spans="1:41" ht="12.75">
      <c r="C108" s="1165"/>
    </row>
    <row r="109" spans="1:41" ht="12.75">
      <c r="G109" s="1990"/>
    </row>
    <row r="110" spans="1:41" ht="12.75"/>
    <row r="111" spans="1:41" ht="12.75"/>
    <row r="112" spans="1:41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</sheetData>
  <mergeCells count="66">
    <mergeCell ref="A100:AO100"/>
    <mergeCell ref="Q12:Q13"/>
    <mergeCell ref="R12:R13"/>
    <mergeCell ref="T12:T13"/>
    <mergeCell ref="U12:U13"/>
    <mergeCell ref="A99:AO99"/>
    <mergeCell ref="K12:K13"/>
    <mergeCell ref="L12:L13"/>
    <mergeCell ref="N12:N13"/>
    <mergeCell ref="O12:O13"/>
    <mergeCell ref="Q11:R11"/>
    <mergeCell ref="S11:S13"/>
    <mergeCell ref="T11:U11"/>
    <mergeCell ref="V11:V13"/>
    <mergeCell ref="B12:B13"/>
    <mergeCell ref="C12:C13"/>
    <mergeCell ref="E12:E13"/>
    <mergeCell ref="F12:F13"/>
    <mergeCell ref="H12:H13"/>
    <mergeCell ref="I12:I13"/>
    <mergeCell ref="H11:I11"/>
    <mergeCell ref="J11:J13"/>
    <mergeCell ref="K11:L11"/>
    <mergeCell ref="M11:M13"/>
    <mergeCell ref="N11:O11"/>
    <mergeCell ref="P11:P13"/>
    <mergeCell ref="R8:R9"/>
    <mergeCell ref="T8:T9"/>
    <mergeCell ref="U8:U9"/>
    <mergeCell ref="A10:A13"/>
    <mergeCell ref="B10:C11"/>
    <mergeCell ref="D10:D13"/>
    <mergeCell ref="E10:M10"/>
    <mergeCell ref="N10:V10"/>
    <mergeCell ref="E11:F11"/>
    <mergeCell ref="G11:G13"/>
    <mergeCell ref="S7:S9"/>
    <mergeCell ref="T7:U7"/>
    <mergeCell ref="V7:V9"/>
    <mergeCell ref="B8:B9"/>
    <mergeCell ref="C8:C9"/>
    <mergeCell ref="E8:E9"/>
    <mergeCell ref="O8:O9"/>
    <mergeCell ref="Q8:Q9"/>
    <mergeCell ref="F8:F9"/>
    <mergeCell ref="H8:H9"/>
    <mergeCell ref="I8:I9"/>
    <mergeCell ref="K8:K9"/>
    <mergeCell ref="J7:J9"/>
    <mergeCell ref="K7:L7"/>
    <mergeCell ref="A2:V2"/>
    <mergeCell ref="A3:V3"/>
    <mergeCell ref="A6:A9"/>
    <mergeCell ref="B6:C7"/>
    <mergeCell ref="D6:D9"/>
    <mergeCell ref="E6:M6"/>
    <mergeCell ref="N6:V6"/>
    <mergeCell ref="E7:F7"/>
    <mergeCell ref="G7:G9"/>
    <mergeCell ref="H7:I7"/>
    <mergeCell ref="M7:M9"/>
    <mergeCell ref="N7:O7"/>
    <mergeCell ref="P7:P9"/>
    <mergeCell ref="Q7:R7"/>
    <mergeCell ref="L8:L9"/>
    <mergeCell ref="N8:N9"/>
  </mergeCells>
  <pageMargins left="0.19685039370078741" right="0.15748031496062992" top="0.27559055118110237" bottom="0.2" header="0.31496062992125984" footer="0.31496062992125984"/>
  <pageSetup scale="4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tabColor rgb="FF92D050"/>
  </sheetPr>
  <dimension ref="A1:BS152"/>
  <sheetViews>
    <sheetView showGridLines="0" view="pageBreakPreview" zoomScale="110" zoomScaleSheetLayoutView="110" workbookViewId="0">
      <pane ySplit="10" topLeftCell="A94" activePane="bottomLeft" state="frozen"/>
      <selection activeCell="F40" sqref="F40"/>
      <selection pane="bottomLeft" activeCell="F40" sqref="F40"/>
    </sheetView>
  </sheetViews>
  <sheetFormatPr defaultColWidth="8.85546875" defaultRowHeight="12" customHeight="1"/>
  <cols>
    <col min="1" max="1" width="11.28515625" style="914" customWidth="1"/>
    <col min="2" max="2" width="14.42578125" style="914" customWidth="1"/>
    <col min="3" max="8" width="16.42578125" style="914" customWidth="1"/>
    <col min="9" max="68" width="8.85546875" style="914" customWidth="1"/>
    <col min="69" max="69" width="8.85546875" style="914" hidden="1" customWidth="1"/>
    <col min="70" max="241" width="8.85546875" style="914" customWidth="1"/>
    <col min="242" max="242" width="7.7109375" style="914" customWidth="1"/>
    <col min="243" max="243" width="12.7109375" style="914" customWidth="1"/>
    <col min="244" max="244" width="11" style="914" customWidth="1"/>
    <col min="245" max="16384" width="8.85546875" style="914"/>
  </cols>
  <sheetData>
    <row r="1" spans="1:71" ht="9.75" customHeight="1"/>
    <row r="2" spans="1:71" ht="15.75" customHeight="1">
      <c r="A2" s="2207" t="s">
        <v>3130</v>
      </c>
      <c r="B2" s="2207"/>
      <c r="C2" s="2207"/>
      <c r="D2" s="2207"/>
      <c r="E2" s="2207"/>
      <c r="F2" s="2207"/>
      <c r="G2" s="2207"/>
      <c r="H2" s="2207"/>
    </row>
    <row r="3" spans="1:71" ht="15.75" customHeight="1">
      <c r="A3" s="2208" t="s">
        <v>3131</v>
      </c>
      <c r="B3" s="2208"/>
      <c r="C3" s="2208"/>
      <c r="D3" s="2208"/>
      <c r="E3" s="2208"/>
      <c r="F3" s="2208"/>
      <c r="G3" s="2208"/>
      <c r="H3" s="2208"/>
    </row>
    <row r="4" spans="1:71" ht="9.75" customHeight="1"/>
    <row r="5" spans="1:71" ht="12.75" customHeight="1">
      <c r="A5" s="915"/>
      <c r="B5" s="915"/>
      <c r="C5" s="915"/>
      <c r="D5" s="915"/>
      <c r="E5" s="915"/>
      <c r="F5" s="915"/>
      <c r="G5" s="915"/>
      <c r="H5" s="915"/>
    </row>
    <row r="6" spans="1:71" ht="12.75" customHeight="1">
      <c r="A6" s="2238" t="s">
        <v>8</v>
      </c>
      <c r="B6" s="2238"/>
      <c r="C6" s="2238"/>
      <c r="D6" s="2238"/>
      <c r="E6" s="2238"/>
      <c r="F6" s="2238"/>
      <c r="G6" s="2238"/>
      <c r="H6" s="2238"/>
    </row>
    <row r="7" spans="1:71" s="917" customFormat="1" ht="15" customHeight="1">
      <c r="A7" s="2214" t="s">
        <v>182</v>
      </c>
      <c r="B7" s="2214" t="s">
        <v>145</v>
      </c>
      <c r="C7" s="2239" t="s">
        <v>2755</v>
      </c>
      <c r="D7" s="2239"/>
      <c r="E7" s="2239"/>
      <c r="F7" s="2239" t="s">
        <v>2754</v>
      </c>
      <c r="G7" s="2239"/>
      <c r="H7" s="2239"/>
      <c r="BR7" s="917" t="s">
        <v>2049</v>
      </c>
      <c r="BS7" s="918" t="s">
        <v>2050</v>
      </c>
    </row>
    <row r="8" spans="1:71" s="917" customFormat="1" ht="27" customHeight="1">
      <c r="A8" s="2216"/>
      <c r="B8" s="2216"/>
      <c r="C8" s="1314" t="s">
        <v>143</v>
      </c>
      <c r="D8" s="1314" t="s">
        <v>146</v>
      </c>
      <c r="E8" s="1314" t="s">
        <v>147</v>
      </c>
      <c r="F8" s="1314" t="s">
        <v>143</v>
      </c>
      <c r="G8" s="1314" t="s">
        <v>146</v>
      </c>
      <c r="H8" s="1314" t="s">
        <v>147</v>
      </c>
      <c r="BN8" s="917" t="e">
        <f>#REF!+#REF!+#REF!+#REF!</f>
        <v>#REF!</v>
      </c>
      <c r="BR8" s="917" t="e">
        <f>#REF!+#REF!+#REF!+#REF!</f>
        <v>#REF!</v>
      </c>
      <c r="BS8" s="918" t="e">
        <f>BN8+BO8+BP8+BR8</f>
        <v>#REF!</v>
      </c>
    </row>
    <row r="9" spans="1:71" ht="15" customHeight="1">
      <c r="A9" s="2226" t="s">
        <v>283</v>
      </c>
      <c r="B9" s="2226" t="s">
        <v>1149</v>
      </c>
      <c r="C9" s="2229" t="s">
        <v>1185</v>
      </c>
      <c r="D9" s="2229"/>
      <c r="E9" s="2229"/>
      <c r="F9" s="2229" t="s">
        <v>1186</v>
      </c>
      <c r="G9" s="2229"/>
      <c r="H9" s="2229"/>
      <c r="BS9" s="919"/>
    </row>
    <row r="10" spans="1:71" ht="21.75" customHeight="1">
      <c r="A10" s="2228"/>
      <c r="B10" s="2228"/>
      <c r="C10" s="1315" t="s">
        <v>1149</v>
      </c>
      <c r="D10" s="1315" t="s">
        <v>1151</v>
      </c>
      <c r="E10" s="1315" t="s">
        <v>1150</v>
      </c>
      <c r="F10" s="1315" t="s">
        <v>1152</v>
      </c>
      <c r="G10" s="1315" t="s">
        <v>1151</v>
      </c>
      <c r="H10" s="1315" t="s">
        <v>1150</v>
      </c>
      <c r="BR10" s="914" t="e">
        <f>#REF!+#REF!</f>
        <v>#REF!</v>
      </c>
      <c r="BS10" s="919" t="e">
        <f>BN10+BO10+BP10+BR10</f>
        <v>#REF!</v>
      </c>
    </row>
    <row r="11" spans="1:71" ht="12.75">
      <c r="A11" s="920" t="s">
        <v>2131</v>
      </c>
      <c r="B11" s="921"/>
      <c r="C11" s="921"/>
      <c r="D11" s="921"/>
      <c r="E11" s="921"/>
      <c r="F11" s="921"/>
      <c r="G11" s="921"/>
      <c r="H11" s="921"/>
    </row>
    <row r="12" spans="1:71" ht="12.75">
      <c r="A12" s="920" t="s">
        <v>18</v>
      </c>
      <c r="B12" s="1104">
        <v>679.67676955000002</v>
      </c>
      <c r="C12" s="1104">
        <f>D12+E12</f>
        <v>525.50947876000009</v>
      </c>
      <c r="D12" s="1104">
        <v>180.77051759</v>
      </c>
      <c r="E12" s="1104">
        <v>344.73896117000004</v>
      </c>
      <c r="F12" s="1104">
        <f>G12+H12</f>
        <v>154.16729079000001</v>
      </c>
      <c r="G12" s="1104">
        <v>55.951709979999997</v>
      </c>
      <c r="H12" s="1104">
        <v>98.215580810000006</v>
      </c>
    </row>
    <row r="13" spans="1:71" ht="12.75">
      <c r="A13" s="920" t="s">
        <v>19</v>
      </c>
      <c r="B13" s="1104">
        <v>719.74791498000002</v>
      </c>
      <c r="C13" s="1104">
        <f t="shared" ref="C13:C57" si="0">D13+E13</f>
        <v>554.92592532999993</v>
      </c>
      <c r="D13" s="1104">
        <v>208.12512941</v>
      </c>
      <c r="E13" s="1104">
        <v>346.80079591999998</v>
      </c>
      <c r="F13" s="1104">
        <f t="shared" ref="F13:F57" si="1">G13+H13</f>
        <v>164.82198964999998</v>
      </c>
      <c r="G13" s="1104">
        <v>92.945323639999998</v>
      </c>
      <c r="H13" s="1104">
        <v>71.876666009999994</v>
      </c>
    </row>
    <row r="14" spans="1:71" ht="12.75">
      <c r="A14" s="920" t="s">
        <v>20</v>
      </c>
      <c r="B14" s="1104">
        <v>771.41000965199999</v>
      </c>
      <c r="C14" s="1104">
        <f t="shared" si="0"/>
        <v>607.40382624999995</v>
      </c>
      <c r="D14" s="1104">
        <v>218.20295508999999</v>
      </c>
      <c r="E14" s="1104">
        <v>389.20087115999996</v>
      </c>
      <c r="F14" s="1104">
        <f t="shared" si="1"/>
        <v>164.006183402</v>
      </c>
      <c r="G14" s="1104">
        <v>94.460630322</v>
      </c>
      <c r="H14" s="1104">
        <v>69.545553080000005</v>
      </c>
    </row>
    <row r="15" spans="1:71" ht="12.75">
      <c r="A15" s="920" t="s">
        <v>21</v>
      </c>
      <c r="B15" s="1104">
        <v>929.542598064</v>
      </c>
      <c r="C15" s="1104">
        <f t="shared" si="0"/>
        <v>748.81615298999998</v>
      </c>
      <c r="D15" s="1104">
        <v>298.79870598999997</v>
      </c>
      <c r="E15" s="1104">
        <v>450.017447</v>
      </c>
      <c r="F15" s="1104">
        <f t="shared" si="1"/>
        <v>180.726445074</v>
      </c>
      <c r="G15" s="1104">
        <v>76.916714933999998</v>
      </c>
      <c r="H15" s="1104">
        <v>103.80973014</v>
      </c>
    </row>
    <row r="16" spans="1:71" ht="12.75">
      <c r="A16" s="920" t="s">
        <v>22</v>
      </c>
      <c r="B16" s="1104">
        <v>911.03696386000001</v>
      </c>
      <c r="C16" s="1104">
        <f t="shared" si="0"/>
        <v>695.75443530999996</v>
      </c>
      <c r="D16" s="1104">
        <v>197.08954494</v>
      </c>
      <c r="E16" s="1104">
        <v>498.66489036999997</v>
      </c>
      <c r="F16" s="1104">
        <f t="shared" si="1"/>
        <v>215.28252854999999</v>
      </c>
      <c r="G16" s="1104">
        <v>111.14921955</v>
      </c>
      <c r="H16" s="1104">
        <v>104.133309</v>
      </c>
    </row>
    <row r="17" spans="1:8" ht="12.75">
      <c r="A17" s="920" t="s">
        <v>23</v>
      </c>
      <c r="B17" s="1104">
        <v>915.10105564000003</v>
      </c>
      <c r="C17" s="1104">
        <f t="shared" si="0"/>
        <v>631.50083087000007</v>
      </c>
      <c r="D17" s="1104">
        <v>184.83989184000001</v>
      </c>
      <c r="E17" s="1104">
        <v>446.66093903000001</v>
      </c>
      <c r="F17" s="1104">
        <f t="shared" si="1"/>
        <v>283.60022477000001</v>
      </c>
      <c r="G17" s="1104">
        <v>73.815156459999997</v>
      </c>
      <c r="H17" s="1104">
        <v>209.78506831000001</v>
      </c>
    </row>
    <row r="18" spans="1:8" ht="12.75">
      <c r="A18" s="920" t="s">
        <v>24</v>
      </c>
      <c r="B18" s="1104">
        <v>1116.80824605</v>
      </c>
      <c r="C18" s="1104">
        <f t="shared" si="0"/>
        <v>853.95220735999999</v>
      </c>
      <c r="D18" s="1104">
        <v>221.75348561000001</v>
      </c>
      <c r="E18" s="1104">
        <v>632.19872175</v>
      </c>
      <c r="F18" s="1104">
        <f t="shared" si="1"/>
        <v>262.85603868999999</v>
      </c>
      <c r="G18" s="1104">
        <v>80.006721339999999</v>
      </c>
      <c r="H18" s="1104">
        <v>182.84931735000001</v>
      </c>
    </row>
    <row r="19" spans="1:8" ht="12.75">
      <c r="A19" s="920" t="s">
        <v>25</v>
      </c>
      <c r="B19" s="1104">
        <v>1029.8075811230001</v>
      </c>
      <c r="C19" s="1104">
        <f t="shared" si="0"/>
        <v>749.55184587000008</v>
      </c>
      <c r="D19" s="1104">
        <v>245.12444918</v>
      </c>
      <c r="E19" s="1104">
        <v>504.42739669000002</v>
      </c>
      <c r="F19" s="1104">
        <f t="shared" si="1"/>
        <v>280.25573525300001</v>
      </c>
      <c r="G19" s="1104">
        <v>97.836514142999988</v>
      </c>
      <c r="H19" s="1104">
        <v>182.41922111000002</v>
      </c>
    </row>
    <row r="20" spans="1:8" ht="12.75">
      <c r="A20" s="920" t="s">
        <v>26</v>
      </c>
      <c r="B20" s="1104">
        <v>1380.9402717099999</v>
      </c>
      <c r="C20" s="1104">
        <f t="shared" si="0"/>
        <v>756.79635726000004</v>
      </c>
      <c r="D20" s="1104">
        <v>236.50315387999999</v>
      </c>
      <c r="E20" s="1104">
        <v>520.29320338000002</v>
      </c>
      <c r="F20" s="1104">
        <f t="shared" si="1"/>
        <v>624.14391445000001</v>
      </c>
      <c r="G20" s="1104">
        <v>155.89094406000001</v>
      </c>
      <c r="H20" s="1104">
        <v>468.25297038999997</v>
      </c>
    </row>
    <row r="21" spans="1:8" ht="12.75">
      <c r="A21" s="920" t="s">
        <v>27</v>
      </c>
      <c r="B21" s="1104">
        <v>1060.006496338</v>
      </c>
      <c r="C21" s="1104">
        <f t="shared" si="0"/>
        <v>777.79467319499986</v>
      </c>
      <c r="D21" s="1104">
        <v>247.52873545499997</v>
      </c>
      <c r="E21" s="1104">
        <v>530.26593773999991</v>
      </c>
      <c r="F21" s="1104">
        <f t="shared" si="1"/>
        <v>282.211823143</v>
      </c>
      <c r="G21" s="1104">
        <v>116.27379702</v>
      </c>
      <c r="H21" s="1104">
        <v>165.93802612299999</v>
      </c>
    </row>
    <row r="22" spans="1:8" ht="12.75">
      <c r="A22" s="920" t="s">
        <v>28</v>
      </c>
      <c r="B22" s="1104">
        <v>1545.0495561969999</v>
      </c>
      <c r="C22" s="1104">
        <f t="shared" si="0"/>
        <v>852.85817740999994</v>
      </c>
      <c r="D22" s="1104">
        <v>283.84104982999997</v>
      </c>
      <c r="E22" s="1104">
        <v>569.01712757999996</v>
      </c>
      <c r="F22" s="1104">
        <f t="shared" si="1"/>
        <v>692.19137878699996</v>
      </c>
      <c r="G22" s="1104">
        <v>410.14099469999996</v>
      </c>
      <c r="H22" s="1104">
        <v>282.050384087</v>
      </c>
    </row>
    <row r="23" spans="1:8" ht="12.75">
      <c r="A23" s="920" t="s">
        <v>29</v>
      </c>
      <c r="B23" s="1104">
        <v>1588.4409352100001</v>
      </c>
      <c r="C23" s="1104">
        <f t="shared" si="0"/>
        <v>1098.2558688000011</v>
      </c>
      <c r="D23" s="1104">
        <v>313.68584659999999</v>
      </c>
      <c r="E23" s="1104">
        <v>784.57002220000106</v>
      </c>
      <c r="F23" s="1104">
        <f t="shared" si="1"/>
        <v>490.18506640999999</v>
      </c>
      <c r="G23" s="1104">
        <v>128.41217562</v>
      </c>
      <c r="H23" s="1104">
        <v>361.77289078999996</v>
      </c>
    </row>
    <row r="24" spans="1:8" ht="12.75">
      <c r="A24" s="920" t="s">
        <v>2362</v>
      </c>
      <c r="B24" s="1105"/>
      <c r="C24" s="1104"/>
      <c r="D24" s="1105"/>
      <c r="E24" s="1105"/>
      <c r="F24" s="1104"/>
      <c r="G24" s="1105"/>
      <c r="H24" s="1105"/>
    </row>
    <row r="25" spans="1:8" ht="12.75">
      <c r="A25" s="920" t="s">
        <v>18</v>
      </c>
      <c r="B25" s="1104">
        <v>1109.9559999999999</v>
      </c>
      <c r="C25" s="1104">
        <v>709.40099999999995</v>
      </c>
      <c r="D25" s="1104">
        <v>185.73099999999999</v>
      </c>
      <c r="E25" s="1104">
        <v>523.66999999999996</v>
      </c>
      <c r="F25" s="1104">
        <v>400.55500000000001</v>
      </c>
      <c r="G25" s="1104">
        <v>58.537999999999997</v>
      </c>
      <c r="H25" s="1104">
        <v>342.017</v>
      </c>
    </row>
    <row r="26" spans="1:8" ht="12.75">
      <c r="A26" s="920" t="s">
        <v>19</v>
      </c>
      <c r="B26" s="1104">
        <v>1090.4429253000001</v>
      </c>
      <c r="C26" s="1104">
        <f t="shared" si="0"/>
        <v>901.90632789999995</v>
      </c>
      <c r="D26" s="1104">
        <v>272.56526881999997</v>
      </c>
      <c r="E26" s="1104">
        <v>629.34105908000004</v>
      </c>
      <c r="F26" s="1104">
        <f t="shared" si="1"/>
        <v>188.53659740000001</v>
      </c>
      <c r="G26" s="1104">
        <v>88.38636185</v>
      </c>
      <c r="H26" s="1104">
        <v>100.15023554999999</v>
      </c>
    </row>
    <row r="27" spans="1:8" ht="12.75">
      <c r="A27" s="920" t="s">
        <v>20</v>
      </c>
      <c r="B27" s="1104">
        <v>1057.63835535</v>
      </c>
      <c r="C27" s="1104">
        <f t="shared" si="0"/>
        <v>878.67674145000001</v>
      </c>
      <c r="D27" s="1104">
        <v>315.07092119999999</v>
      </c>
      <c r="E27" s="1104">
        <v>563.60582024999997</v>
      </c>
      <c r="F27" s="1104">
        <f t="shared" si="1"/>
        <v>178.9616139</v>
      </c>
      <c r="G27" s="1104">
        <v>101.78249169</v>
      </c>
      <c r="H27" s="1104">
        <v>77.179122210000003</v>
      </c>
    </row>
    <row r="28" spans="1:8" ht="12.75">
      <c r="A28" s="920" t="s">
        <v>21</v>
      </c>
      <c r="B28" s="1104">
        <v>731.64064145999998</v>
      </c>
      <c r="C28" s="1104">
        <f t="shared" si="0"/>
        <v>550.30363497999997</v>
      </c>
      <c r="D28" s="1104">
        <v>218.14409608</v>
      </c>
      <c r="E28" s="1104">
        <v>332.15953889999997</v>
      </c>
      <c r="F28" s="1104">
        <f t="shared" si="1"/>
        <v>181.33700648000001</v>
      </c>
      <c r="G28" s="1104">
        <v>79.30912991000001</v>
      </c>
      <c r="H28" s="1104">
        <v>102.02787656999999</v>
      </c>
    </row>
    <row r="29" spans="1:8" ht="12.75">
      <c r="A29" s="920" t="s">
        <v>22</v>
      </c>
      <c r="B29" s="1104">
        <v>1073.4463000000001</v>
      </c>
      <c r="C29" s="1104">
        <f t="shared" si="0"/>
        <v>698.98514</v>
      </c>
      <c r="D29" s="1104">
        <v>185.86939999999998</v>
      </c>
      <c r="E29" s="1104">
        <v>513.11573999999996</v>
      </c>
      <c r="F29" s="1104">
        <f t="shared" si="1"/>
        <v>374.46115999999995</v>
      </c>
      <c r="G29" s="1104">
        <v>89.153869999999998</v>
      </c>
      <c r="H29" s="1104">
        <v>285.30728999999997</v>
      </c>
    </row>
    <row r="30" spans="1:8" ht="12.75">
      <c r="A30" s="920" t="s">
        <v>23</v>
      </c>
      <c r="B30" s="1104">
        <v>879.30759</v>
      </c>
      <c r="C30" s="1104">
        <f t="shared" si="0"/>
        <v>620.80334000000005</v>
      </c>
      <c r="D30" s="1104">
        <v>166.46764000000002</v>
      </c>
      <c r="E30" s="1104">
        <v>454.33570000000003</v>
      </c>
      <c r="F30" s="1104">
        <f t="shared" si="1"/>
        <v>258.50425000000001</v>
      </c>
      <c r="G30" s="1104">
        <v>45.92165</v>
      </c>
      <c r="H30" s="1104">
        <v>212.58260000000001</v>
      </c>
    </row>
    <row r="31" spans="1:8" ht="12.75">
      <c r="A31" s="920" t="s">
        <v>24</v>
      </c>
      <c r="B31" s="1104">
        <v>860.23337363000098</v>
      </c>
      <c r="C31" s="1104">
        <f t="shared" si="0"/>
        <v>662.69643503999998</v>
      </c>
      <c r="D31" s="1104">
        <v>198.28176209</v>
      </c>
      <c r="E31" s="1104">
        <v>464.41467294999995</v>
      </c>
      <c r="F31" s="1104">
        <f t="shared" si="1"/>
        <v>197.53693859000001</v>
      </c>
      <c r="G31" s="1104">
        <v>59.02205</v>
      </c>
      <c r="H31" s="1104">
        <v>138.51488859</v>
      </c>
    </row>
    <row r="32" spans="1:8" ht="12.75">
      <c r="A32" s="920" t="s">
        <v>25</v>
      </c>
      <c r="B32" s="1104">
        <v>862.47583738000003</v>
      </c>
      <c r="C32" s="1104">
        <f t="shared" si="0"/>
        <v>749.85562889000005</v>
      </c>
      <c r="D32" s="1104">
        <v>196.08309423</v>
      </c>
      <c r="E32" s="1104">
        <v>553.77253466000002</v>
      </c>
      <c r="F32" s="1104">
        <f t="shared" si="1"/>
        <v>112.62020849000001</v>
      </c>
      <c r="G32" s="1104">
        <v>39.715425000000003</v>
      </c>
      <c r="H32" s="1104">
        <v>72.90478349</v>
      </c>
    </row>
    <row r="33" spans="1:8" ht="12.75">
      <c r="A33" s="920" t="s">
        <v>26</v>
      </c>
      <c r="B33" s="1104">
        <v>1133.8516495000001</v>
      </c>
      <c r="C33" s="1104">
        <f t="shared" si="0"/>
        <v>826.65215493999995</v>
      </c>
      <c r="D33" s="1104">
        <v>222.03830051999998</v>
      </c>
      <c r="E33" s="1104">
        <v>604.61385441999994</v>
      </c>
      <c r="F33" s="1104">
        <f t="shared" si="1"/>
        <v>307.19949456000001</v>
      </c>
      <c r="G33" s="1104">
        <v>117.54593</v>
      </c>
      <c r="H33" s="1104">
        <v>189.65356456000001</v>
      </c>
    </row>
    <row r="34" spans="1:8" ht="12.75">
      <c r="A34" s="920" t="s">
        <v>27</v>
      </c>
      <c r="B34" s="1104">
        <v>956.36385603000008</v>
      </c>
      <c r="C34" s="1104">
        <f t="shared" si="0"/>
        <v>828.23705510000002</v>
      </c>
      <c r="D34" s="1104">
        <v>218.06360182</v>
      </c>
      <c r="E34" s="1104">
        <v>610.17345327999999</v>
      </c>
      <c r="F34" s="1104">
        <f t="shared" si="1"/>
        <v>128.12680093</v>
      </c>
      <c r="G34" s="1104">
        <v>78.044774369999999</v>
      </c>
      <c r="H34" s="1104">
        <v>50.082026559999996</v>
      </c>
    </row>
    <row r="35" spans="1:8" ht="12.75">
      <c r="A35" s="920" t="s">
        <v>28</v>
      </c>
      <c r="B35" s="1104">
        <v>1090.2032848400002</v>
      </c>
      <c r="C35" s="1104">
        <f t="shared" si="0"/>
        <v>895.47830465999994</v>
      </c>
      <c r="D35" s="1104">
        <v>220.70577581000001</v>
      </c>
      <c r="E35" s="1104">
        <v>674.77252884999996</v>
      </c>
      <c r="F35" s="1104">
        <f t="shared" si="1"/>
        <v>194.72498018000002</v>
      </c>
      <c r="G35" s="1104">
        <v>41.576712409999999</v>
      </c>
      <c r="H35" s="1104">
        <v>153.14826777000002</v>
      </c>
    </row>
    <row r="36" spans="1:8" ht="12.75">
      <c r="A36" s="920" t="s">
        <v>29</v>
      </c>
      <c r="B36" s="1104">
        <v>1137.2753202899999</v>
      </c>
      <c r="C36" s="1104">
        <f t="shared" si="0"/>
        <v>894.46576512999991</v>
      </c>
      <c r="D36" s="1104">
        <v>269.78939962999999</v>
      </c>
      <c r="E36" s="1104">
        <v>624.67636549999997</v>
      </c>
      <c r="F36" s="1104">
        <f t="shared" si="1"/>
        <v>242.80955516</v>
      </c>
      <c r="G36" s="1104">
        <v>82.449512730000009</v>
      </c>
      <c r="H36" s="1104">
        <v>160.36004242999999</v>
      </c>
    </row>
    <row r="37" spans="1:8" ht="12.75">
      <c r="A37" s="926">
        <v>2021</v>
      </c>
      <c r="B37" s="1105"/>
      <c r="C37" s="1104"/>
      <c r="D37" s="1105"/>
      <c r="E37" s="1105"/>
      <c r="F37" s="1104"/>
      <c r="G37" s="1105"/>
      <c r="H37" s="1105"/>
    </row>
    <row r="38" spans="1:8" ht="12.75">
      <c r="A38" s="920" t="s">
        <v>18</v>
      </c>
      <c r="B38" s="1104">
        <v>892.40007973000002</v>
      </c>
      <c r="C38" s="1104">
        <f t="shared" si="0"/>
        <v>720.45865672000002</v>
      </c>
      <c r="D38" s="1104">
        <v>204.72704977000001</v>
      </c>
      <c r="E38" s="1104">
        <v>515.73160695000001</v>
      </c>
      <c r="F38" s="1104">
        <f t="shared" si="1"/>
        <v>171.94142300999999</v>
      </c>
      <c r="G38" s="1104">
        <v>124.5836</v>
      </c>
      <c r="H38" s="1104">
        <v>47.357823009999997</v>
      </c>
    </row>
    <row r="39" spans="1:8" ht="12.75">
      <c r="A39" s="920" t="s">
        <v>19</v>
      </c>
      <c r="B39" s="1104">
        <v>889.20482267</v>
      </c>
      <c r="C39" s="1104">
        <f t="shared" si="0"/>
        <v>743.20906779999996</v>
      </c>
      <c r="D39" s="1104">
        <v>234.45565160000001</v>
      </c>
      <c r="E39" s="1104">
        <v>508.7534162</v>
      </c>
      <c r="F39" s="1104">
        <f t="shared" si="1"/>
        <v>145.99575487000001</v>
      </c>
      <c r="G39" s="1104">
        <v>42.050569130000007</v>
      </c>
      <c r="H39" s="1104">
        <v>103.94518574</v>
      </c>
    </row>
    <row r="40" spans="1:8" ht="12.75">
      <c r="A40" s="920" t="s">
        <v>20</v>
      </c>
      <c r="B40" s="1104">
        <v>1146.8658583700001</v>
      </c>
      <c r="C40" s="1104">
        <f t="shared" si="0"/>
        <v>966.84641592000003</v>
      </c>
      <c r="D40" s="1104">
        <v>255.29451613999998</v>
      </c>
      <c r="E40" s="1104">
        <v>711.55189977999999</v>
      </c>
      <c r="F40" s="1104">
        <f t="shared" si="1"/>
        <v>180.01944245000001</v>
      </c>
      <c r="G40" s="1104">
        <v>62.42680266</v>
      </c>
      <c r="H40" s="1104">
        <v>117.59263979000001</v>
      </c>
    </row>
    <row r="41" spans="1:8" ht="12.75">
      <c r="A41" s="920" t="s">
        <v>21</v>
      </c>
      <c r="B41" s="1104">
        <v>1187.1359750399999</v>
      </c>
      <c r="C41" s="1104">
        <f t="shared" si="0"/>
        <v>1023.0443939300001</v>
      </c>
      <c r="D41" s="1104">
        <v>250.84312294</v>
      </c>
      <c r="E41" s="1104">
        <v>772.20127099000001</v>
      </c>
      <c r="F41" s="1104">
        <f t="shared" si="1"/>
        <v>164.09158110999999</v>
      </c>
      <c r="G41" s="1104">
        <v>56.393766909999997</v>
      </c>
      <c r="H41" s="1104">
        <v>107.6978142</v>
      </c>
    </row>
    <row r="42" spans="1:8" ht="12.75">
      <c r="A42" s="920" t="s">
        <v>22</v>
      </c>
      <c r="B42" s="1104">
        <v>968.03951714999994</v>
      </c>
      <c r="C42" s="1104">
        <f t="shared" si="0"/>
        <v>846.69120887999998</v>
      </c>
      <c r="D42" s="1104">
        <v>237.08599333000001</v>
      </c>
      <c r="E42" s="1104">
        <v>609.60521554999991</v>
      </c>
      <c r="F42" s="1104">
        <f t="shared" si="1"/>
        <v>121.34830827</v>
      </c>
      <c r="G42" s="1104">
        <v>39.363404889999998</v>
      </c>
      <c r="H42" s="1104">
        <v>81.984903380000006</v>
      </c>
    </row>
    <row r="43" spans="1:8" ht="12.75">
      <c r="A43" s="920" t="s">
        <v>23</v>
      </c>
      <c r="B43" s="1104">
        <v>1201.8490304300001</v>
      </c>
      <c r="C43" s="1104">
        <f t="shared" si="0"/>
        <v>1034.9595042200001</v>
      </c>
      <c r="D43" s="1104">
        <v>247.84973000000002</v>
      </c>
      <c r="E43" s="1104">
        <v>787.10977422000008</v>
      </c>
      <c r="F43" s="1104">
        <f t="shared" si="1"/>
        <v>166.88952620999999</v>
      </c>
      <c r="G43" s="1104">
        <v>67.940240110000005</v>
      </c>
      <c r="H43" s="1104">
        <v>98.949286099999995</v>
      </c>
    </row>
    <row r="44" spans="1:8" ht="12.75">
      <c r="A44" s="920" t="s">
        <v>24</v>
      </c>
      <c r="B44" s="1104">
        <v>1138.5634062501999</v>
      </c>
      <c r="C44" s="1104">
        <f t="shared" si="0"/>
        <v>990.71737805020007</v>
      </c>
      <c r="D44" s="1104">
        <v>270.75874119999997</v>
      </c>
      <c r="E44" s="1104">
        <v>719.95863685020004</v>
      </c>
      <c r="F44" s="1104">
        <f t="shared" si="1"/>
        <v>147.84602820000001</v>
      </c>
      <c r="G44" s="1104">
        <v>69.74945889</v>
      </c>
      <c r="H44" s="1104">
        <v>78.096569310000007</v>
      </c>
    </row>
    <row r="45" spans="1:8" ht="12.75">
      <c r="A45" s="920" t="s">
        <v>25</v>
      </c>
      <c r="B45" s="1104">
        <v>1279.8402086599999</v>
      </c>
      <c r="C45" s="1104">
        <f t="shared" si="0"/>
        <v>1056.09099539</v>
      </c>
      <c r="D45" s="1104">
        <v>266.90634941000002</v>
      </c>
      <c r="E45" s="1104">
        <v>789.18464598000003</v>
      </c>
      <c r="F45" s="1104">
        <f t="shared" si="1"/>
        <v>223.74921326999998</v>
      </c>
      <c r="G45" s="1104">
        <v>98.692249349999997</v>
      </c>
      <c r="H45" s="1104">
        <v>125.05696392</v>
      </c>
    </row>
    <row r="46" spans="1:8" ht="12.75">
      <c r="A46" s="920" t="s">
        <v>26</v>
      </c>
      <c r="B46" s="1104">
        <v>1377.6657185700001</v>
      </c>
      <c r="C46" s="1104">
        <f t="shared" si="0"/>
        <v>1155.1435519900001</v>
      </c>
      <c r="D46" s="1104">
        <v>238.79699103000002</v>
      </c>
      <c r="E46" s="1104">
        <v>916.34656096000003</v>
      </c>
      <c r="F46" s="1104">
        <f t="shared" si="1"/>
        <v>222.52216658</v>
      </c>
      <c r="G46" s="1104">
        <v>96.601908330000001</v>
      </c>
      <c r="H46" s="1104">
        <v>125.92025825</v>
      </c>
    </row>
    <row r="47" spans="1:8" ht="12.75">
      <c r="A47" s="920" t="s">
        <v>27</v>
      </c>
      <c r="B47" s="1104">
        <v>1594.2290979200002</v>
      </c>
      <c r="C47" s="1104">
        <f t="shared" si="0"/>
        <v>1184.25900555</v>
      </c>
      <c r="D47" s="1104">
        <v>270.14183599</v>
      </c>
      <c r="E47" s="1104">
        <v>914.11716955999998</v>
      </c>
      <c r="F47" s="1104">
        <f t="shared" si="1"/>
        <v>409.97009237000003</v>
      </c>
      <c r="G47" s="1104">
        <v>195.47908657000002</v>
      </c>
      <c r="H47" s="1104">
        <v>214.49100580000001</v>
      </c>
    </row>
    <row r="48" spans="1:8" ht="12.75">
      <c r="A48" s="920" t="s">
        <v>28</v>
      </c>
      <c r="B48" s="1104">
        <v>1572.4575460900001</v>
      </c>
      <c r="C48" s="1104">
        <f t="shared" si="0"/>
        <v>1357.1091158199999</v>
      </c>
      <c r="D48" s="1104">
        <v>280.14899407000001</v>
      </c>
      <c r="E48" s="1104">
        <v>1076.9601217499999</v>
      </c>
      <c r="F48" s="1104">
        <f t="shared" si="1"/>
        <v>215.34843027000002</v>
      </c>
      <c r="G48" s="1104">
        <v>63.529461219999995</v>
      </c>
      <c r="H48" s="1104">
        <v>151.81896905000002</v>
      </c>
    </row>
    <row r="49" spans="1:8" ht="12.75">
      <c r="A49" s="920" t="s">
        <v>29</v>
      </c>
      <c r="B49" s="1104">
        <v>1766.26174657</v>
      </c>
      <c r="C49" s="1104">
        <f t="shared" si="0"/>
        <v>1541.7286986899999</v>
      </c>
      <c r="D49" s="1104">
        <v>315.63430894999999</v>
      </c>
      <c r="E49" s="1104">
        <v>1226.09438974</v>
      </c>
      <c r="F49" s="1104">
        <f t="shared" si="1"/>
        <v>224.53304788</v>
      </c>
      <c r="G49" s="1104">
        <v>92.731937909999999</v>
      </c>
      <c r="H49" s="1104">
        <v>131.80110997</v>
      </c>
    </row>
    <row r="50" spans="1:8" ht="12.75">
      <c r="A50" s="920" t="s">
        <v>2812</v>
      </c>
      <c r="B50" s="1104"/>
      <c r="C50" s="1104"/>
      <c r="D50" s="1104"/>
      <c r="E50" s="1104"/>
      <c r="F50" s="1104"/>
      <c r="G50" s="1104"/>
      <c r="H50" s="1104"/>
    </row>
    <row r="51" spans="1:8" ht="12.75">
      <c r="A51" s="920" t="s">
        <v>18</v>
      </c>
      <c r="B51" s="1104">
        <v>1227.7738455000001</v>
      </c>
      <c r="C51" s="1104">
        <f t="shared" si="0"/>
        <v>1076.1017911700001</v>
      </c>
      <c r="D51" s="1104">
        <v>279.05039562999997</v>
      </c>
      <c r="E51" s="1104">
        <v>797.05139554000004</v>
      </c>
      <c r="F51" s="1104">
        <f t="shared" si="1"/>
        <v>151.67205432999998</v>
      </c>
      <c r="G51" s="1104">
        <v>85.745382960000001</v>
      </c>
      <c r="H51" s="1104">
        <v>65.926671369999994</v>
      </c>
    </row>
    <row r="52" spans="1:8" ht="12.75">
      <c r="A52" s="920" t="s">
        <v>19</v>
      </c>
      <c r="B52" s="1104">
        <v>1460.8511849499998</v>
      </c>
      <c r="C52" s="1104">
        <f t="shared" si="0"/>
        <v>1317.8380996999999</v>
      </c>
      <c r="D52" s="1104">
        <v>360.83667399000001</v>
      </c>
      <c r="E52" s="1104">
        <v>957.00142571000003</v>
      </c>
      <c r="F52" s="1104">
        <f t="shared" si="1"/>
        <v>143.01308524999999</v>
      </c>
      <c r="G52" s="1104">
        <v>107.20484316999999</v>
      </c>
      <c r="H52" s="1104">
        <v>35.808242080000007</v>
      </c>
    </row>
    <row r="53" spans="1:8" ht="12.75">
      <c r="A53" s="920" t="s">
        <v>20</v>
      </c>
      <c r="B53" s="1104">
        <v>1474.8802209600001</v>
      </c>
      <c r="C53" s="1104">
        <f t="shared" si="0"/>
        <v>1260.46097556</v>
      </c>
      <c r="D53" s="1104">
        <v>279.54624842999999</v>
      </c>
      <c r="E53" s="1104">
        <v>980.91472712999996</v>
      </c>
      <c r="F53" s="1104">
        <f t="shared" si="1"/>
        <v>214.41924539999997</v>
      </c>
      <c r="G53" s="1104">
        <v>71.433150569999995</v>
      </c>
      <c r="H53" s="1104">
        <v>142.98609482999998</v>
      </c>
    </row>
    <row r="54" spans="1:8" ht="12.75">
      <c r="A54" s="920" t="s">
        <v>21</v>
      </c>
      <c r="B54" s="1104">
        <v>1659.43432702</v>
      </c>
      <c r="C54" s="1104">
        <f t="shared" si="0"/>
        <v>1462.71950027</v>
      </c>
      <c r="D54" s="1104">
        <v>395.05655831000001</v>
      </c>
      <c r="E54" s="1104">
        <v>1067.6629419599999</v>
      </c>
      <c r="F54" s="1104">
        <f t="shared" si="1"/>
        <v>196.71482674999999</v>
      </c>
      <c r="G54" s="1104">
        <v>91.517134309999989</v>
      </c>
      <c r="H54" s="1104">
        <v>105.19769244</v>
      </c>
    </row>
    <row r="55" spans="1:8" ht="12.75">
      <c r="A55" s="920" t="s">
        <v>22</v>
      </c>
      <c r="B55" s="1104">
        <v>1501.8484075199999</v>
      </c>
      <c r="C55" s="1104">
        <f t="shared" si="0"/>
        <v>1335.8977455500001</v>
      </c>
      <c r="D55" s="1104">
        <v>311.91072717000003</v>
      </c>
      <c r="E55" s="1104">
        <v>1023.98701838</v>
      </c>
      <c r="F55" s="1104">
        <f t="shared" si="1"/>
        <v>165.95066197</v>
      </c>
      <c r="G55" s="1104">
        <v>119.9852173</v>
      </c>
      <c r="H55" s="1104">
        <v>45.965444669999997</v>
      </c>
    </row>
    <row r="56" spans="1:8" ht="12.75">
      <c r="A56" s="920" t="s">
        <v>23</v>
      </c>
      <c r="B56" s="1104">
        <v>1870.49859997</v>
      </c>
      <c r="C56" s="1104">
        <f t="shared" si="0"/>
        <v>1608.3510740500001</v>
      </c>
      <c r="D56" s="1104">
        <v>448.34257563</v>
      </c>
      <c r="E56" s="1104">
        <v>1160.00849842</v>
      </c>
      <c r="F56" s="1104">
        <f t="shared" si="1"/>
        <v>262.14752592000002</v>
      </c>
      <c r="G56" s="1104">
        <v>148.26522752</v>
      </c>
      <c r="H56" s="1104">
        <v>113.8822984</v>
      </c>
    </row>
    <row r="57" spans="1:8" ht="12.75">
      <c r="A57" s="920" t="s">
        <v>24</v>
      </c>
      <c r="B57" s="1104">
        <v>1572.91523678259</v>
      </c>
      <c r="C57" s="1104">
        <f t="shared" si="0"/>
        <v>1305.0248279699999</v>
      </c>
      <c r="D57" s="1104">
        <v>344.33448549000002</v>
      </c>
      <c r="E57" s="1104">
        <v>960.69034248000003</v>
      </c>
      <c r="F57" s="1104">
        <f t="shared" si="1"/>
        <v>267.89040881259302</v>
      </c>
      <c r="G57" s="1104">
        <v>116.604283262593</v>
      </c>
      <c r="H57" s="1104">
        <v>151.28612555000001</v>
      </c>
    </row>
    <row r="58" spans="1:8" ht="12.75">
      <c r="A58" s="920" t="s">
        <v>25</v>
      </c>
      <c r="B58" s="1104">
        <v>1682.8814617999999</v>
      </c>
      <c r="C58" s="1104">
        <v>1496.1297180400002</v>
      </c>
      <c r="D58" s="1104">
        <v>381.15441183000002</v>
      </c>
      <c r="E58" s="1104">
        <v>1114.9753062100001</v>
      </c>
      <c r="F58" s="1104">
        <v>186.75174376000001</v>
      </c>
      <c r="G58" s="1104">
        <v>82.224719410000006</v>
      </c>
      <c r="H58" s="1104">
        <v>104.52702435</v>
      </c>
    </row>
    <row r="59" spans="1:8" ht="12.75">
      <c r="A59" s="920" t="s">
        <v>26</v>
      </c>
      <c r="B59" s="1104">
        <v>1956.8583000000001</v>
      </c>
      <c r="C59" s="1104">
        <v>1659.1293000000001</v>
      </c>
      <c r="D59" s="1104">
        <v>450.25329999999997</v>
      </c>
      <c r="E59" s="1104">
        <v>1208.876</v>
      </c>
      <c r="F59" s="1104">
        <v>297.72899999999998</v>
      </c>
      <c r="G59" s="1104">
        <v>88.600999999999999</v>
      </c>
      <c r="H59" s="1104">
        <v>209.12799999999999</v>
      </c>
    </row>
    <row r="60" spans="1:8" ht="12.75">
      <c r="A60" s="920" t="s">
        <v>27</v>
      </c>
      <c r="B60" s="1104">
        <f>C60+F60</f>
        <v>1965.75709551</v>
      </c>
      <c r="C60" s="1104">
        <f>D60+E60</f>
        <v>1641.5784257400001</v>
      </c>
      <c r="D60" s="1104">
        <v>484.11466564</v>
      </c>
      <c r="E60" s="1104">
        <v>1157.4637601000002</v>
      </c>
      <c r="F60" s="1104">
        <f>G60+H60</f>
        <v>324.17866977</v>
      </c>
      <c r="G60" s="1104">
        <v>77.288710860000009</v>
      </c>
      <c r="H60" s="1104">
        <v>246.88995890999999</v>
      </c>
    </row>
    <row r="61" spans="1:8" ht="12.75">
      <c r="A61" s="920" t="s">
        <v>28</v>
      </c>
      <c r="B61" s="1104">
        <f>C61+F61</f>
        <v>2034.6283445845404</v>
      </c>
      <c r="C61" s="1104">
        <f>D61+E61</f>
        <v>1696.85331787</v>
      </c>
      <c r="D61" s="1104">
        <v>389.30537876</v>
      </c>
      <c r="E61" s="1104">
        <v>1307.54793911</v>
      </c>
      <c r="F61" s="1104">
        <f>G61+H61</f>
        <v>337.7750267145405</v>
      </c>
      <c r="G61" s="1104">
        <v>74.872493234540499</v>
      </c>
      <c r="H61" s="1104">
        <v>262.90253347999999</v>
      </c>
    </row>
    <row r="62" spans="1:8" ht="12.75">
      <c r="A62" s="920" t="s">
        <v>29</v>
      </c>
      <c r="B62" s="1104">
        <f>C62+F62</f>
        <v>2250.9269999999997</v>
      </c>
      <c r="C62" s="1104">
        <f>D62+E62</f>
        <v>1789.5349999999999</v>
      </c>
      <c r="D62" s="1104">
        <v>472.69499999999999</v>
      </c>
      <c r="E62" s="1104">
        <v>1316.84</v>
      </c>
      <c r="F62" s="1104">
        <f>G62+H62</f>
        <v>461.392</v>
      </c>
      <c r="G62" s="1104">
        <v>134.339</v>
      </c>
      <c r="H62" s="1104">
        <v>327.053</v>
      </c>
    </row>
    <row r="63" spans="1:8" ht="12.75">
      <c r="A63" s="920" t="s">
        <v>3500</v>
      </c>
      <c r="B63" s="1104"/>
      <c r="C63" s="1104"/>
      <c r="D63" s="1104"/>
      <c r="E63" s="1104"/>
      <c r="F63" s="1104"/>
      <c r="G63" s="1104"/>
      <c r="H63" s="1104"/>
    </row>
    <row r="64" spans="1:8" ht="12.75">
      <c r="A64" s="920" t="s">
        <v>18</v>
      </c>
      <c r="B64" s="1104">
        <f>C64+F64</f>
        <v>1561.8040000000001</v>
      </c>
      <c r="C64" s="1104">
        <f>D64+E64</f>
        <v>1394.992</v>
      </c>
      <c r="D64" s="1104">
        <v>335.71100000000001</v>
      </c>
      <c r="E64" s="1104">
        <v>1059.2809999999999</v>
      </c>
      <c r="F64" s="1104">
        <f>G64+H64</f>
        <v>166.81200000000001</v>
      </c>
      <c r="G64" s="1104">
        <v>46.825000000000003</v>
      </c>
      <c r="H64" s="1104">
        <v>119.98699999999999</v>
      </c>
    </row>
    <row r="65" spans="1:8" ht="12.75">
      <c r="A65" s="920" t="s">
        <v>19</v>
      </c>
      <c r="B65" s="1104">
        <f>C65+F65</f>
        <v>1603.5799999999997</v>
      </c>
      <c r="C65" s="1104">
        <f>D65+E65</f>
        <v>1480.5949999999998</v>
      </c>
      <c r="D65" s="1104">
        <v>392.43700000000001</v>
      </c>
      <c r="E65" s="1104">
        <v>1088.1579999999999</v>
      </c>
      <c r="F65" s="1104">
        <f>G65+H65</f>
        <v>122.98499999999999</v>
      </c>
      <c r="G65" s="1104">
        <v>42.26</v>
      </c>
      <c r="H65" s="1104">
        <v>80.724999999999994</v>
      </c>
    </row>
    <row r="66" spans="1:8" ht="12.75">
      <c r="A66" s="920" t="s">
        <v>20</v>
      </c>
      <c r="B66" s="1104">
        <v>1915.2670000000001</v>
      </c>
      <c r="C66" s="1104">
        <v>1705.2260000000001</v>
      </c>
      <c r="D66" s="1104">
        <v>412.50900000000001</v>
      </c>
      <c r="E66" s="1104">
        <v>1292.7170000000001</v>
      </c>
      <c r="F66" s="1104">
        <v>210.041</v>
      </c>
      <c r="G66" s="1104">
        <v>83.227999999999994</v>
      </c>
      <c r="H66" s="1104">
        <v>126.813</v>
      </c>
    </row>
    <row r="67" spans="1:8" ht="12.75">
      <c r="A67" s="920" t="s">
        <v>21</v>
      </c>
      <c r="B67" s="1104">
        <v>1936.6399999999999</v>
      </c>
      <c r="C67" s="1104">
        <v>1774.7849999999999</v>
      </c>
      <c r="D67" s="1104">
        <v>450.92700000000002</v>
      </c>
      <c r="E67" s="1104">
        <v>1323.8579999999999</v>
      </c>
      <c r="F67" s="1104">
        <v>161.85500000000002</v>
      </c>
      <c r="G67" s="1104">
        <v>77.403000000000006</v>
      </c>
      <c r="H67" s="1104">
        <v>84.451999999999998</v>
      </c>
    </row>
    <row r="68" spans="1:8" ht="12.75">
      <c r="A68" s="920" t="s">
        <v>22</v>
      </c>
      <c r="B68" s="1104">
        <v>2409.5239999999999</v>
      </c>
      <c r="C68" s="1104">
        <v>2082.1059999999998</v>
      </c>
      <c r="D68" s="1104">
        <v>442.12599999999998</v>
      </c>
      <c r="E68" s="1104">
        <v>1639.98</v>
      </c>
      <c r="F68" s="1104">
        <v>327.41800000000001</v>
      </c>
      <c r="G68" s="1104">
        <v>85.481999999999999</v>
      </c>
      <c r="H68" s="1104">
        <v>241.93600000000001</v>
      </c>
    </row>
    <row r="69" spans="1:8" ht="12.75">
      <c r="A69" s="920" t="s">
        <v>23</v>
      </c>
      <c r="B69" s="1104">
        <v>2317.85</v>
      </c>
      <c r="C69" s="1104">
        <v>1871.067</v>
      </c>
      <c r="D69" s="1104">
        <v>472.23</v>
      </c>
      <c r="E69" s="1104">
        <v>1398.837</v>
      </c>
      <c r="F69" s="1104">
        <v>446.78299999999996</v>
      </c>
      <c r="G69" s="1104">
        <v>98.978999999999999</v>
      </c>
      <c r="H69" s="1104">
        <v>347.80399999999997</v>
      </c>
    </row>
    <row r="70" spans="1:8" ht="12.75">
      <c r="A70" s="920" t="s">
        <v>24</v>
      </c>
      <c r="B70" s="1104">
        <v>2368.7939999999999</v>
      </c>
      <c r="C70" s="1104">
        <v>2122.7370000000001</v>
      </c>
      <c r="D70" s="1104">
        <v>507.44400000000002</v>
      </c>
      <c r="E70" s="1104">
        <v>1615.2929999999999</v>
      </c>
      <c r="F70" s="1104">
        <v>246.05699999999999</v>
      </c>
      <c r="G70" s="1104">
        <v>72.923000000000002</v>
      </c>
      <c r="H70" s="1104">
        <v>173.13399999999999</v>
      </c>
    </row>
    <row r="71" spans="1:8" ht="12.75">
      <c r="A71" s="920" t="s">
        <v>25</v>
      </c>
      <c r="B71" s="1104">
        <v>2364.8179999999998</v>
      </c>
      <c r="C71" s="1104">
        <v>2128.4989999999998</v>
      </c>
      <c r="D71" s="1104">
        <v>443.00799999999998</v>
      </c>
      <c r="E71" s="1104">
        <v>1685.491</v>
      </c>
      <c r="F71" s="1104">
        <v>236.31899999999999</v>
      </c>
      <c r="G71" s="1104">
        <v>112.61799999999999</v>
      </c>
      <c r="H71" s="1104">
        <v>123.70099999999999</v>
      </c>
    </row>
    <row r="72" spans="1:8" ht="12.75">
      <c r="A72" s="920" t="s">
        <v>26</v>
      </c>
      <c r="B72" s="1104">
        <v>2387.65</v>
      </c>
      <c r="C72" s="1104">
        <v>1981.6969999999999</v>
      </c>
      <c r="D72" s="1104">
        <v>450.84699999999998</v>
      </c>
      <c r="E72" s="1104">
        <v>1530.85</v>
      </c>
      <c r="F72" s="1104">
        <v>405.95300000000003</v>
      </c>
      <c r="G72" s="1104">
        <v>149.20400000000001</v>
      </c>
      <c r="H72" s="1104">
        <v>256.74900000000002</v>
      </c>
    </row>
    <row r="73" spans="1:8" ht="12.75">
      <c r="A73" s="920" t="s">
        <v>27</v>
      </c>
      <c r="B73" s="1104">
        <v>2700.509</v>
      </c>
      <c r="C73" s="1104">
        <v>2196.0439999999999</v>
      </c>
      <c r="D73" s="1104">
        <v>505.69099999999997</v>
      </c>
      <c r="E73" s="1104">
        <v>1690.3530000000001</v>
      </c>
      <c r="F73" s="1104">
        <v>504.46499999999997</v>
      </c>
      <c r="G73" s="1104">
        <v>114.435</v>
      </c>
      <c r="H73" s="1104">
        <v>390.03</v>
      </c>
    </row>
    <row r="74" spans="1:8" ht="12.75">
      <c r="A74" s="920" t="s">
        <v>28</v>
      </c>
      <c r="B74" s="1104">
        <v>2449.4319999999998</v>
      </c>
      <c r="C74" s="1104">
        <v>2213.991</v>
      </c>
      <c r="D74" s="1104">
        <v>472.77</v>
      </c>
      <c r="E74" s="1104">
        <v>1741.221</v>
      </c>
      <c r="F74" s="1104">
        <v>235.441</v>
      </c>
      <c r="G74" s="1104">
        <v>95.825999999999993</v>
      </c>
      <c r="H74" s="1104">
        <v>139.61500000000001</v>
      </c>
    </row>
    <row r="75" spans="1:8" ht="12.75">
      <c r="A75" s="920" t="s">
        <v>29</v>
      </c>
      <c r="B75" s="1104">
        <v>2813.788</v>
      </c>
      <c r="C75" s="1104">
        <v>2564.8110000000001</v>
      </c>
      <c r="D75" s="1104">
        <v>602.07000000000005</v>
      </c>
      <c r="E75" s="1104">
        <v>1962.741</v>
      </c>
      <c r="F75" s="1104">
        <v>248.97700000000003</v>
      </c>
      <c r="G75" s="1104">
        <v>108.498</v>
      </c>
      <c r="H75" s="1104">
        <v>140.47900000000001</v>
      </c>
    </row>
    <row r="76" spans="1:8" ht="12.75">
      <c r="A76" s="920" t="s">
        <v>3971</v>
      </c>
      <c r="B76" s="1104"/>
      <c r="C76" s="1104"/>
      <c r="D76" s="1104"/>
      <c r="E76" s="1104"/>
      <c r="F76" s="1104"/>
      <c r="G76" s="1104"/>
      <c r="H76" s="1104"/>
    </row>
    <row r="77" spans="1:8" ht="12.75">
      <c r="A77" s="920" t="s">
        <v>18</v>
      </c>
      <c r="B77" s="1104">
        <v>2482.4490000000001</v>
      </c>
      <c r="C77" s="1104">
        <v>1935.019</v>
      </c>
      <c r="D77" s="1104">
        <v>423.358</v>
      </c>
      <c r="E77" s="1104">
        <v>1511.6610000000001</v>
      </c>
      <c r="F77" s="1104">
        <v>547.43000000000006</v>
      </c>
      <c r="G77" s="1104">
        <v>65.022000000000006</v>
      </c>
      <c r="H77" s="1104">
        <v>482.40800000000002</v>
      </c>
    </row>
    <row r="78" spans="1:8" ht="12.75">
      <c r="A78" s="920" t="s">
        <v>19</v>
      </c>
      <c r="B78" s="1104">
        <v>2390.886</v>
      </c>
      <c r="C78" s="1104">
        <v>2209.4929999999999</v>
      </c>
      <c r="D78" s="1104">
        <v>469.57299999999998</v>
      </c>
      <c r="E78" s="1104">
        <v>1739.92</v>
      </c>
      <c r="F78" s="1104">
        <v>181.393</v>
      </c>
      <c r="G78" s="1104">
        <v>84.451999999999998</v>
      </c>
      <c r="H78" s="1104">
        <v>96.941000000000003</v>
      </c>
    </row>
    <row r="79" spans="1:8" ht="12.75">
      <c r="A79" s="920" t="s">
        <v>20</v>
      </c>
      <c r="B79" s="1104">
        <v>2525.5139999999997</v>
      </c>
      <c r="C79" s="1104">
        <v>2320.6019999999999</v>
      </c>
      <c r="D79" s="1104">
        <v>506.55900000000003</v>
      </c>
      <c r="E79" s="1104">
        <v>1814.0429999999999</v>
      </c>
      <c r="F79" s="1104">
        <v>204.91200000000001</v>
      </c>
      <c r="G79" s="1104">
        <v>80.725999999999999</v>
      </c>
      <c r="H79" s="1104">
        <v>124.18600000000001</v>
      </c>
    </row>
    <row r="80" spans="1:8" ht="12.75">
      <c r="A80" s="920" t="s">
        <v>21</v>
      </c>
      <c r="B80" s="1104">
        <v>2945.3250000000003</v>
      </c>
      <c r="C80" s="1104">
        <v>2707.2780000000002</v>
      </c>
      <c r="D80" s="1104">
        <v>559.02700000000004</v>
      </c>
      <c r="E80" s="1104">
        <v>2148.2510000000002</v>
      </c>
      <c r="F80" s="1104">
        <v>238.04700000000003</v>
      </c>
      <c r="G80" s="1104">
        <v>112.68300000000001</v>
      </c>
      <c r="H80" s="1104">
        <v>125.364</v>
      </c>
    </row>
    <row r="81" spans="1:8" ht="12.75">
      <c r="A81" s="920" t="s">
        <v>22</v>
      </c>
      <c r="B81" s="1104">
        <v>3068.87</v>
      </c>
      <c r="C81" s="1104">
        <v>2845.1669999999999</v>
      </c>
      <c r="D81" s="1104">
        <v>579.20500000000004</v>
      </c>
      <c r="E81" s="1104">
        <v>2265.962</v>
      </c>
      <c r="F81" s="1104">
        <v>223.70299999999997</v>
      </c>
      <c r="G81" s="1104">
        <v>106.58499999999999</v>
      </c>
      <c r="H81" s="1104">
        <v>117.11799999999999</v>
      </c>
    </row>
    <row r="82" spans="1:8" ht="12.75">
      <c r="A82" s="920" t="s">
        <v>23</v>
      </c>
      <c r="B82" s="1104">
        <v>2647.1239999999998</v>
      </c>
      <c r="C82" s="1104">
        <v>2430.049</v>
      </c>
      <c r="D82" s="1104">
        <v>523.32799999999997</v>
      </c>
      <c r="E82" s="1104">
        <v>1906.721</v>
      </c>
      <c r="F82" s="1104">
        <v>217.07499999999999</v>
      </c>
      <c r="G82" s="1104">
        <v>86.86</v>
      </c>
      <c r="H82" s="1104">
        <v>130.215</v>
      </c>
    </row>
    <row r="83" spans="1:8" ht="12.75">
      <c r="A83" s="920" t="s">
        <v>24</v>
      </c>
      <c r="B83" s="1104">
        <v>2689.962</v>
      </c>
      <c r="C83" s="1104">
        <v>2448.8389999999999</v>
      </c>
      <c r="D83" s="1104">
        <v>575.28700000000003</v>
      </c>
      <c r="E83" s="1104">
        <v>1873.5519999999999</v>
      </c>
      <c r="F83" s="1104">
        <v>241.12299999999999</v>
      </c>
      <c r="G83" s="1104">
        <v>73.671000000000006</v>
      </c>
      <c r="H83" s="1104">
        <v>167.452</v>
      </c>
    </row>
    <row r="84" spans="1:8" ht="12.75">
      <c r="A84" s="920" t="s">
        <v>25</v>
      </c>
      <c r="B84" s="1104">
        <v>2574.317</v>
      </c>
      <c r="C84" s="1104">
        <v>2396.6970000000001</v>
      </c>
      <c r="D84" s="1104">
        <v>472.78</v>
      </c>
      <c r="E84" s="1104">
        <v>1923.9169999999999</v>
      </c>
      <c r="F84" s="1104">
        <v>177.62</v>
      </c>
      <c r="G84" s="1104">
        <v>79.644000000000005</v>
      </c>
      <c r="H84" s="1104">
        <v>97.975999999999999</v>
      </c>
    </row>
    <row r="85" spans="1:8" ht="12.75">
      <c r="A85" s="920" t="s">
        <v>26</v>
      </c>
      <c r="B85" s="1104">
        <v>2774.9720000000002</v>
      </c>
      <c r="C85" s="1104">
        <v>2514.5990000000002</v>
      </c>
      <c r="D85" s="1104">
        <v>675.37599999999998</v>
      </c>
      <c r="E85" s="1104">
        <v>1839.223</v>
      </c>
      <c r="F85" s="1104">
        <v>260.37300000000005</v>
      </c>
      <c r="G85" s="1104">
        <v>84.549000000000007</v>
      </c>
      <c r="H85" s="1104">
        <v>175.82400000000001</v>
      </c>
    </row>
    <row r="86" spans="1:8" ht="12.75">
      <c r="A86" s="920" t="s">
        <v>27</v>
      </c>
      <c r="B86" s="1104">
        <v>3009.7280000000001</v>
      </c>
      <c r="C86" s="1104">
        <v>2679.1120000000001</v>
      </c>
      <c r="D86" s="1104">
        <v>721.76099999999997</v>
      </c>
      <c r="E86" s="1104">
        <v>1957.3510000000001</v>
      </c>
      <c r="F86" s="1104">
        <v>330.61599999999999</v>
      </c>
      <c r="G86" s="1104">
        <v>117.24</v>
      </c>
      <c r="H86" s="1104">
        <v>213.376</v>
      </c>
    </row>
    <row r="87" spans="1:8" ht="12.75">
      <c r="A87" s="920" t="s">
        <v>28</v>
      </c>
      <c r="B87" s="1104">
        <v>2581.2069999999999</v>
      </c>
      <c r="C87" s="1104">
        <v>2320.9690000000001</v>
      </c>
      <c r="D87" s="1104">
        <v>582.86</v>
      </c>
      <c r="E87" s="1104">
        <v>1738.1089999999999</v>
      </c>
      <c r="F87" s="1104">
        <v>260.238</v>
      </c>
      <c r="G87" s="1104">
        <v>159.44499999999999</v>
      </c>
      <c r="H87" s="1104">
        <v>100.79300000000001</v>
      </c>
    </row>
    <row r="88" spans="1:8" ht="12.75">
      <c r="A88" s="920" t="s">
        <v>29</v>
      </c>
      <c r="B88" s="1104">
        <v>3149.8739999999998</v>
      </c>
      <c r="C88" s="1104">
        <v>2822.377</v>
      </c>
      <c r="D88" s="1104">
        <v>783.46299999999997</v>
      </c>
      <c r="E88" s="1104">
        <v>2038.914</v>
      </c>
      <c r="F88" s="1104">
        <v>327.49699999999996</v>
      </c>
      <c r="G88" s="1104">
        <v>164.31399999999999</v>
      </c>
      <c r="H88" s="1104">
        <v>163.18299999999999</v>
      </c>
    </row>
    <row r="89" spans="1:8" ht="12.75">
      <c r="A89" s="920" t="s">
        <v>4202</v>
      </c>
      <c r="B89" s="1104"/>
      <c r="C89" s="1104"/>
      <c r="D89" s="1104"/>
      <c r="E89" s="1104"/>
      <c r="F89" s="1104"/>
      <c r="G89" s="1104"/>
      <c r="H89" s="1104"/>
    </row>
    <row r="90" spans="1:8" ht="12.75">
      <c r="A90" s="920" t="s">
        <v>18</v>
      </c>
      <c r="B90" s="1104">
        <v>2435.3389999999999</v>
      </c>
      <c r="C90" s="1104">
        <v>2257.1819999999998</v>
      </c>
      <c r="D90" s="1104">
        <v>535.15599999999995</v>
      </c>
      <c r="E90" s="1104">
        <v>1722.0260000000001</v>
      </c>
      <c r="F90" s="1104">
        <v>178.15699999999998</v>
      </c>
      <c r="G90" s="1104">
        <v>60.593000000000004</v>
      </c>
      <c r="H90" s="1104">
        <v>117.56399999999999</v>
      </c>
    </row>
    <row r="91" spans="1:8" ht="12.75">
      <c r="A91" s="920" t="s">
        <v>19</v>
      </c>
      <c r="B91" s="1104">
        <v>2443.7380000000003</v>
      </c>
      <c r="C91" s="1104">
        <v>2305.6440000000002</v>
      </c>
      <c r="D91" s="1104">
        <v>539.06700000000001</v>
      </c>
      <c r="E91" s="1104">
        <v>1766.577</v>
      </c>
      <c r="F91" s="1104">
        <v>138.09399999999999</v>
      </c>
      <c r="G91" s="1104">
        <v>85.347999999999999</v>
      </c>
      <c r="H91" s="1104">
        <v>52.746000000000002</v>
      </c>
    </row>
    <row r="92" spans="1:8" ht="12.75">
      <c r="A92" s="920" t="s">
        <v>20</v>
      </c>
      <c r="B92" s="1104">
        <v>2230.7809999999995</v>
      </c>
      <c r="C92" s="1104">
        <v>2081.2659999999996</v>
      </c>
      <c r="D92" s="1104">
        <v>563.81899999999996</v>
      </c>
      <c r="E92" s="1104">
        <v>1517.4469999999999</v>
      </c>
      <c r="F92" s="1104">
        <v>149.51499999999999</v>
      </c>
      <c r="G92" s="1104">
        <v>69.403000000000006</v>
      </c>
      <c r="H92" s="1104">
        <v>80.111999999999995</v>
      </c>
    </row>
    <row r="93" spans="1:8" ht="12.75">
      <c r="A93" s="920" t="s">
        <v>21</v>
      </c>
      <c r="B93" s="1104">
        <v>3146.672</v>
      </c>
      <c r="C93" s="1104">
        <v>2929.375</v>
      </c>
      <c r="D93" s="1104">
        <v>687.90200000000004</v>
      </c>
      <c r="E93" s="1104">
        <v>2241.473</v>
      </c>
      <c r="F93" s="1104">
        <v>217.29700000000003</v>
      </c>
      <c r="G93" s="1104">
        <v>92.016000000000005</v>
      </c>
      <c r="H93" s="1104">
        <v>125.28100000000001</v>
      </c>
    </row>
    <row r="94" spans="1:8" ht="12.75">
      <c r="A94" s="920" t="s">
        <v>22</v>
      </c>
      <c r="B94" s="1104">
        <v>2591.2419999999997</v>
      </c>
      <c r="C94" s="1104">
        <v>2446.35</v>
      </c>
      <c r="D94" s="1104">
        <v>672.85699999999997</v>
      </c>
      <c r="E94" s="1104">
        <v>1773.4929999999999</v>
      </c>
      <c r="F94" s="1104">
        <v>144.892</v>
      </c>
      <c r="G94" s="1104">
        <v>62.064999999999998</v>
      </c>
      <c r="H94" s="1104">
        <v>82.826999999999998</v>
      </c>
    </row>
    <row r="95" spans="1:8" ht="12.75">
      <c r="A95" s="920" t="s">
        <v>23</v>
      </c>
      <c r="B95" s="1104">
        <v>2675.6187999999997</v>
      </c>
      <c r="C95" s="1104">
        <v>2455.5594999999998</v>
      </c>
      <c r="D95" s="1104">
        <v>682.92449999999997</v>
      </c>
      <c r="E95" s="1104">
        <v>1772.635</v>
      </c>
      <c r="F95" s="1104">
        <v>220.05930000000001</v>
      </c>
      <c r="G95" s="1104">
        <v>82.769300000000001</v>
      </c>
      <c r="H95" s="1104">
        <v>137.29</v>
      </c>
    </row>
    <row r="96" spans="1:8" ht="12.75">
      <c r="A96" s="920" t="s">
        <v>24</v>
      </c>
      <c r="B96" s="1104">
        <v>2791.942</v>
      </c>
      <c r="C96" s="1104">
        <v>2583.9290000000001</v>
      </c>
      <c r="D96" s="1104">
        <v>721.62199999999996</v>
      </c>
      <c r="E96" s="1104">
        <v>1862.307</v>
      </c>
      <c r="F96" s="1104">
        <v>208.01299999999998</v>
      </c>
      <c r="G96" s="1104">
        <v>96.855999999999995</v>
      </c>
      <c r="H96" s="1104">
        <v>111.157</v>
      </c>
    </row>
    <row r="97" spans="1:24" ht="12.75">
      <c r="A97" s="920" t="s">
        <v>25</v>
      </c>
      <c r="B97" s="1104">
        <v>2691.0219999999999</v>
      </c>
      <c r="C97" s="1104">
        <v>2482.3069999999998</v>
      </c>
      <c r="D97" s="1104">
        <v>674.45299999999997</v>
      </c>
      <c r="E97" s="1104">
        <v>1807.854</v>
      </c>
      <c r="F97" s="1104">
        <v>208.71499999999997</v>
      </c>
      <c r="G97" s="1104">
        <v>116.82</v>
      </c>
      <c r="H97" s="1104">
        <v>91.894999999999996</v>
      </c>
    </row>
    <row r="98" spans="1:24" ht="12.75">
      <c r="A98" s="920" t="s">
        <v>26</v>
      </c>
      <c r="B98" s="1104">
        <v>3205.79</v>
      </c>
      <c r="C98" s="1104">
        <v>2788.58</v>
      </c>
      <c r="D98" s="1104">
        <v>813.04</v>
      </c>
      <c r="E98" s="1104">
        <v>1975.54</v>
      </c>
      <c r="F98" s="1104">
        <v>417.21</v>
      </c>
      <c r="G98" s="1104">
        <v>353.9</v>
      </c>
      <c r="H98" s="1104">
        <v>63.31</v>
      </c>
    </row>
    <row r="99" spans="1:24" ht="12.75">
      <c r="A99" s="920" t="s">
        <v>27</v>
      </c>
      <c r="B99" s="1104">
        <v>3041.3490132369998</v>
      </c>
      <c r="C99" s="1104">
        <v>2665.8569071699999</v>
      </c>
      <c r="D99" s="1104">
        <v>818.17355765000002</v>
      </c>
      <c r="E99" s="1104">
        <v>1847.6833495200001</v>
      </c>
      <c r="F99" s="1104">
        <v>375.49210606700001</v>
      </c>
      <c r="G99" s="1104">
        <v>270.33419888999998</v>
      </c>
      <c r="H99" s="1104">
        <v>105.157907177</v>
      </c>
    </row>
    <row r="100" spans="1:24" ht="12.75">
      <c r="A100" s="920" t="s">
        <v>28</v>
      </c>
      <c r="B100" s="1104">
        <v>2732.86</v>
      </c>
      <c r="C100" s="1104">
        <v>2427.88</v>
      </c>
      <c r="D100" s="1104">
        <v>696.77</v>
      </c>
      <c r="E100" s="1104">
        <v>1731.11</v>
      </c>
      <c r="F100" s="1104">
        <v>304.98</v>
      </c>
      <c r="G100" s="1104">
        <v>156.24</v>
      </c>
      <c r="H100" s="1104">
        <v>148.74</v>
      </c>
    </row>
    <row r="101" spans="1:24" ht="12.75">
      <c r="A101" s="920" t="s">
        <v>29</v>
      </c>
      <c r="B101" s="1104">
        <v>3624.4700000000003</v>
      </c>
      <c r="C101" s="1104">
        <v>3258.3500000000004</v>
      </c>
      <c r="D101" s="1104">
        <v>987.76</v>
      </c>
      <c r="E101" s="1104">
        <v>2270.59</v>
      </c>
      <c r="F101" s="1104">
        <v>366.12</v>
      </c>
      <c r="G101" s="1104">
        <v>196.64</v>
      </c>
      <c r="H101" s="1104">
        <v>169.48</v>
      </c>
    </row>
    <row r="102" spans="1:24" ht="12.75">
      <c r="A102" s="920" t="s">
        <v>4465</v>
      </c>
      <c r="B102" s="1104"/>
      <c r="C102" s="1104"/>
      <c r="D102" s="1104"/>
      <c r="E102" s="1104"/>
      <c r="F102" s="1104"/>
      <c r="G102" s="1104"/>
      <c r="H102" s="1104"/>
    </row>
    <row r="103" spans="1:24" ht="12.75">
      <c r="A103" s="920" t="s">
        <v>18</v>
      </c>
      <c r="B103" s="1104">
        <v>2530.4208383200003</v>
      </c>
      <c r="C103" s="1104">
        <v>2339.4421759000002</v>
      </c>
      <c r="D103" s="1104">
        <v>577.24057991999996</v>
      </c>
      <c r="E103" s="1104">
        <v>1762.2015959800001</v>
      </c>
      <c r="F103" s="1104">
        <v>190.97866242000001</v>
      </c>
      <c r="G103" s="1104">
        <v>154.11244094</v>
      </c>
      <c r="H103" s="1104">
        <v>36.86622148</v>
      </c>
    </row>
    <row r="104" spans="1:24" ht="12.75">
      <c r="A104" s="920" t="s">
        <v>19</v>
      </c>
      <c r="B104" s="1104">
        <v>2511.19</v>
      </c>
      <c r="C104" s="1104">
        <v>2364.85</v>
      </c>
      <c r="D104" s="1104">
        <v>642.17999999999995</v>
      </c>
      <c r="E104" s="1104">
        <v>1722.67</v>
      </c>
      <c r="F104" s="1104">
        <v>146.34</v>
      </c>
      <c r="G104" s="1104">
        <v>103.35</v>
      </c>
      <c r="H104" s="1104">
        <v>42.99</v>
      </c>
    </row>
    <row r="105" spans="1:24" ht="12.75">
      <c r="A105" s="920" t="s">
        <v>20</v>
      </c>
      <c r="B105" s="1104">
        <v>2743.5761580399999</v>
      </c>
      <c r="C105" s="1104">
        <v>2511.19803366</v>
      </c>
      <c r="D105" s="1104">
        <v>698.10725195999999</v>
      </c>
      <c r="E105" s="1104">
        <v>1813.0907817</v>
      </c>
      <c r="F105" s="1104">
        <v>232.37812438000003</v>
      </c>
      <c r="G105" s="1104">
        <v>165.97054607000001</v>
      </c>
      <c r="H105" s="1104">
        <v>66.407578310000005</v>
      </c>
    </row>
    <row r="106" spans="1:24" ht="12.75">
      <c r="A106" s="920" t="s">
        <v>21</v>
      </c>
      <c r="B106" s="1104">
        <v>3417.46</v>
      </c>
      <c r="C106" s="1104">
        <v>3211.14</v>
      </c>
      <c r="D106" s="1104">
        <v>771.54</v>
      </c>
      <c r="E106" s="1104">
        <v>2439.6</v>
      </c>
      <c r="F106" s="1104">
        <v>206.32</v>
      </c>
      <c r="G106" s="1104">
        <v>139.22</v>
      </c>
      <c r="H106" s="1104">
        <v>67.099999999999994</v>
      </c>
    </row>
    <row r="107" spans="1:24" ht="12.75">
      <c r="A107" s="920" t="s">
        <v>22</v>
      </c>
      <c r="B107" s="1104">
        <v>3025.4979747799998</v>
      </c>
      <c r="C107" s="1104">
        <v>2608.73522134</v>
      </c>
      <c r="D107" s="1104">
        <v>755.27046796000002</v>
      </c>
      <c r="E107" s="1104">
        <v>1853.46475338</v>
      </c>
      <c r="F107" s="1104">
        <v>416.76275343999998</v>
      </c>
      <c r="G107" s="1104">
        <v>289.27946989999998</v>
      </c>
      <c r="H107" s="1104">
        <v>127.48328354</v>
      </c>
    </row>
    <row r="108" spans="1:24" ht="12.75">
      <c r="A108" s="927" t="s">
        <v>23</v>
      </c>
      <c r="B108" s="1106">
        <v>4034.1648031839995</v>
      </c>
      <c r="C108" s="1104">
        <v>2956.9342842799997</v>
      </c>
      <c r="D108" s="1106">
        <v>781.10227048000002</v>
      </c>
      <c r="E108" s="1106">
        <v>2175.8320137999999</v>
      </c>
      <c r="F108" s="1104">
        <v>1077.2305189040001</v>
      </c>
      <c r="G108" s="1106">
        <v>177.52820340299999</v>
      </c>
      <c r="H108" s="1106">
        <v>899.70231550100004</v>
      </c>
    </row>
    <row r="109" spans="1:24" s="932" customFormat="1" ht="17.25" customHeight="1">
      <c r="A109" s="2236" t="s">
        <v>3000</v>
      </c>
      <c r="B109" s="2236"/>
      <c r="C109" s="2236"/>
      <c r="D109" s="2236"/>
      <c r="E109" s="2236"/>
      <c r="F109" s="2236"/>
      <c r="G109" s="2236"/>
      <c r="H109" s="2236"/>
      <c r="I109" s="931"/>
      <c r="J109" s="931"/>
      <c r="K109" s="931"/>
      <c r="L109" s="931"/>
      <c r="M109" s="931"/>
      <c r="N109" s="931"/>
      <c r="O109" s="931"/>
      <c r="P109" s="931"/>
      <c r="Q109" s="931"/>
      <c r="R109" s="931"/>
      <c r="S109" s="931"/>
      <c r="T109" s="931"/>
      <c r="U109" s="931"/>
      <c r="V109" s="931"/>
      <c r="W109" s="931"/>
      <c r="X109" s="931"/>
    </row>
    <row r="110" spans="1:24" s="932" customFormat="1" ht="13.5" customHeight="1">
      <c r="A110" s="2237"/>
      <c r="B110" s="2237"/>
      <c r="C110" s="2237"/>
      <c r="D110" s="2237"/>
      <c r="E110" s="2237"/>
      <c r="F110" s="2237"/>
      <c r="G110" s="2237"/>
      <c r="H110" s="2237"/>
      <c r="I110" s="2237"/>
      <c r="J110" s="2237"/>
      <c r="K110" s="2237"/>
      <c r="L110" s="2237"/>
      <c r="M110" s="2237"/>
      <c r="N110" s="2237"/>
      <c r="O110" s="2237"/>
      <c r="P110" s="2237"/>
      <c r="Q110" s="2237"/>
      <c r="R110" s="2237"/>
      <c r="S110" s="2237"/>
      <c r="T110" s="2237"/>
      <c r="U110" s="2237"/>
      <c r="V110" s="2237"/>
      <c r="W110" s="2237"/>
      <c r="X110" s="2237"/>
    </row>
    <row r="111" spans="1:24" s="932" customFormat="1" ht="13.5" customHeight="1">
      <c r="A111" s="2235"/>
      <c r="B111" s="2235"/>
      <c r="C111" s="2235"/>
      <c r="D111" s="2235"/>
      <c r="E111" s="2235"/>
      <c r="F111" s="2235"/>
      <c r="G111" s="2235"/>
      <c r="H111" s="2235"/>
      <c r="I111" s="2235"/>
      <c r="J111" s="2235"/>
      <c r="K111" s="2235"/>
      <c r="L111" s="2235"/>
      <c r="M111" s="2235"/>
      <c r="N111" s="2235"/>
      <c r="O111" s="2235"/>
      <c r="P111" s="2235"/>
      <c r="Q111" s="2235"/>
      <c r="R111" s="2235"/>
      <c r="S111" s="2235"/>
      <c r="T111" s="2235"/>
      <c r="U111" s="2235"/>
      <c r="V111" s="2235"/>
      <c r="W111" s="2235"/>
      <c r="X111" s="2235"/>
    </row>
    <row r="112" spans="1:24" ht="12.75"/>
    <row r="113" spans="5:5" ht="12.75"/>
    <row r="114" spans="5:5" ht="12.75">
      <c r="E114" s="919"/>
    </row>
    <row r="115" spans="5:5" ht="12.75"/>
    <row r="116" spans="5:5" ht="12.75"/>
    <row r="117" spans="5:5" ht="12.75"/>
    <row r="118" spans="5:5" ht="12.75"/>
    <row r="119" spans="5:5" ht="12.75"/>
    <row r="120" spans="5:5" ht="12.75"/>
    <row r="121" spans="5:5" ht="12.75"/>
    <row r="122" spans="5:5" ht="12.75"/>
    <row r="123" spans="5:5" ht="12.75"/>
    <row r="124" spans="5:5" ht="12.75"/>
    <row r="125" spans="5:5" ht="12.75"/>
    <row r="126" spans="5:5" ht="12.75"/>
    <row r="127" spans="5:5" ht="12.75"/>
    <row r="128" spans="5:5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</sheetData>
  <mergeCells count="14">
    <mergeCell ref="A2:H2"/>
    <mergeCell ref="A3:H3"/>
    <mergeCell ref="A6:H6"/>
    <mergeCell ref="A7:A8"/>
    <mergeCell ref="B7:B8"/>
    <mergeCell ref="C7:E7"/>
    <mergeCell ref="F7:H7"/>
    <mergeCell ref="A111:X111"/>
    <mergeCell ref="A9:A10"/>
    <mergeCell ref="B9:B10"/>
    <mergeCell ref="C9:E9"/>
    <mergeCell ref="F9:H9"/>
    <mergeCell ref="A109:H109"/>
    <mergeCell ref="A110:X110"/>
  </mergeCells>
  <pageMargins left="0.18" right="0.17" top="0.75" bottom="0.75" header="0.3" footer="0.3"/>
  <pageSetup scale="2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>
    <tabColor rgb="FF92D050"/>
  </sheetPr>
  <dimension ref="A1:CD314"/>
  <sheetViews>
    <sheetView showGridLines="0" view="pageBreakPreview" zoomScale="70" zoomScaleSheetLayoutView="70" workbookViewId="0">
      <pane ySplit="19" topLeftCell="A293" activePane="bottomLeft" state="frozen"/>
      <selection activeCell="F40" sqref="F40"/>
      <selection pane="bottomLeft" activeCell="P306" sqref="P306"/>
    </sheetView>
  </sheetViews>
  <sheetFormatPr defaultColWidth="8.85546875" defaultRowHeight="15.75"/>
  <cols>
    <col min="1" max="1" width="7.7109375" style="136" customWidth="1"/>
    <col min="2" max="2" width="13" style="55" bestFit="1" customWidth="1"/>
    <col min="3" max="3" width="10.7109375" style="55" bestFit="1" customWidth="1"/>
    <col min="4" max="4" width="14.28515625" style="55" bestFit="1" customWidth="1"/>
    <col min="5" max="5" width="12.140625" style="55" customWidth="1"/>
    <col min="6" max="6" width="15.5703125" style="55" customWidth="1"/>
    <col min="7" max="7" width="10.5703125" style="55" bestFit="1" customWidth="1"/>
    <col min="8" max="8" width="14.28515625" style="55" customWidth="1"/>
    <col min="9" max="9" width="10.5703125" style="55" bestFit="1" customWidth="1"/>
    <col min="10" max="10" width="14.28515625" style="55" customWidth="1"/>
    <col min="11" max="11" width="11.7109375" style="55" bestFit="1" customWidth="1"/>
    <col min="12" max="12" width="14.28515625" style="55" customWidth="1"/>
    <col min="13" max="13" width="11.7109375" style="55" bestFit="1" customWidth="1"/>
    <col min="14" max="14" width="14.28515625" style="55" customWidth="1"/>
    <col min="15" max="15" width="11.5703125" style="55" customWidth="1"/>
    <col min="16" max="16" width="14.28515625" style="55" customWidth="1"/>
    <col min="17" max="17" width="11.7109375" style="55" bestFit="1" customWidth="1"/>
    <col min="18" max="18" width="14.28515625" style="55" customWidth="1"/>
    <col min="19" max="19" width="12.28515625" style="55" customWidth="1"/>
    <col min="20" max="20" width="14.28515625" style="55" customWidth="1"/>
    <col min="21" max="21" width="8.85546875" style="55"/>
    <col min="22" max="22" width="14.28515625" style="55" customWidth="1"/>
    <col min="23" max="23" width="8.85546875" style="54"/>
    <col min="24" max="24" width="14.28515625" style="55" customWidth="1"/>
    <col min="25" max="25" width="13.28515625" style="55" customWidth="1"/>
    <col min="26" max="26" width="14.28515625" style="55" customWidth="1"/>
    <col min="27" max="27" width="8.85546875" style="57"/>
    <col min="28" max="28" width="14.28515625" style="57" customWidth="1"/>
    <col min="29" max="29" width="8.5703125" style="57" customWidth="1"/>
    <col min="30" max="30" width="14.28515625" style="57" customWidth="1"/>
    <col min="31" max="31" width="8.85546875" style="57"/>
    <col min="32" max="32" width="14.28515625" style="57" customWidth="1"/>
    <col min="33" max="33" width="9.28515625" style="57" bestFit="1" customWidth="1"/>
    <col min="34" max="34" width="14.28515625" style="57" customWidth="1"/>
    <col min="35" max="35" width="12.42578125" style="55" customWidth="1"/>
    <col min="36" max="79" width="8.85546875" style="55"/>
    <col min="80" max="80" width="0" style="55" hidden="1" customWidth="1"/>
    <col min="81" max="16384" width="8.85546875" style="55"/>
  </cols>
  <sheetData>
    <row r="1" spans="1:82" ht="21" customHeight="1"/>
    <row r="2" spans="1:82" ht="38.25" customHeight="1">
      <c r="A2" s="2244" t="s">
        <v>2720</v>
      </c>
      <c r="B2" s="2244"/>
      <c r="C2" s="2244"/>
      <c r="D2" s="2244"/>
      <c r="E2" s="2244"/>
      <c r="F2" s="2244"/>
      <c r="G2" s="2244"/>
      <c r="H2" s="2244"/>
      <c r="I2" s="2244"/>
      <c r="J2" s="2244"/>
      <c r="K2" s="2244"/>
      <c r="L2" s="2244"/>
      <c r="M2" s="2244"/>
      <c r="N2" s="2244"/>
      <c r="O2" s="2244"/>
      <c r="P2" s="2244"/>
      <c r="Q2" s="2244"/>
      <c r="R2" s="2244"/>
      <c r="S2" s="2244"/>
      <c r="T2" s="2244"/>
      <c r="U2" s="2244"/>
      <c r="V2" s="2244"/>
      <c r="W2" s="2244"/>
      <c r="X2" s="2244"/>
      <c r="Y2" s="2244"/>
      <c r="Z2" s="2244"/>
      <c r="AA2" s="2244"/>
      <c r="AB2" s="2244"/>
      <c r="AC2" s="2244"/>
      <c r="AD2" s="2244"/>
      <c r="AE2" s="2244"/>
      <c r="AF2" s="2244"/>
      <c r="AG2" s="2244"/>
      <c r="AH2" s="2244"/>
      <c r="AI2" s="2244"/>
    </row>
    <row r="3" spans="1:82" ht="38.25" customHeight="1">
      <c r="A3" s="2245" t="s">
        <v>2721</v>
      </c>
      <c r="B3" s="2245"/>
      <c r="C3" s="2245"/>
      <c r="D3" s="2245"/>
      <c r="E3" s="2245"/>
      <c r="F3" s="2245"/>
      <c r="G3" s="2245"/>
      <c r="H3" s="2245"/>
      <c r="I3" s="2245"/>
      <c r="J3" s="2245"/>
      <c r="K3" s="2245"/>
      <c r="L3" s="2245"/>
      <c r="M3" s="2245"/>
      <c r="N3" s="2245"/>
      <c r="O3" s="2245"/>
      <c r="P3" s="2245"/>
      <c r="Q3" s="2245"/>
      <c r="R3" s="2245"/>
      <c r="S3" s="2245"/>
      <c r="T3" s="2245"/>
      <c r="U3" s="2245"/>
      <c r="V3" s="2245"/>
      <c r="W3" s="2245"/>
      <c r="X3" s="2245"/>
      <c r="Y3" s="2245"/>
      <c r="Z3" s="2245"/>
      <c r="AA3" s="2245"/>
      <c r="AB3" s="2245"/>
      <c r="AC3" s="2245"/>
      <c r="AD3" s="2245"/>
      <c r="AE3" s="2245"/>
      <c r="AF3" s="2245"/>
      <c r="AG3" s="2245"/>
      <c r="AH3" s="2245"/>
      <c r="AI3" s="2245"/>
    </row>
    <row r="4" spans="1:82" ht="15.75" customHeight="1">
      <c r="A4" s="492"/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492"/>
      <c r="Z4" s="492"/>
      <c r="AA4" s="492"/>
      <c r="AB4" s="492"/>
      <c r="AC4" s="492"/>
      <c r="AD4" s="492"/>
      <c r="AE4" s="492"/>
      <c r="AF4" s="492"/>
      <c r="AG4" s="492"/>
      <c r="AH4" s="492"/>
      <c r="AI4" s="492"/>
    </row>
    <row r="5" spans="1:82" ht="15.75" customHeight="1">
      <c r="A5" s="2246" t="s">
        <v>8</v>
      </c>
      <c r="B5" s="2246"/>
      <c r="C5" s="2246"/>
      <c r="D5" s="2246"/>
      <c r="E5" s="2246"/>
      <c r="F5" s="2246"/>
      <c r="G5" s="2246"/>
      <c r="H5" s="2246"/>
      <c r="I5" s="2246"/>
      <c r="J5" s="2246"/>
      <c r="K5" s="2246"/>
      <c r="L5" s="2246"/>
      <c r="M5" s="2246"/>
      <c r="N5" s="2246"/>
      <c r="O5" s="2246"/>
      <c r="P5" s="2246"/>
      <c r="Q5" s="2246"/>
      <c r="R5" s="2246"/>
      <c r="S5" s="2246"/>
      <c r="T5" s="2246"/>
      <c r="U5" s="2246"/>
      <c r="V5" s="2246"/>
      <c r="W5" s="2246"/>
      <c r="X5" s="2246"/>
      <c r="Y5" s="2246"/>
      <c r="Z5" s="2246"/>
      <c r="AA5" s="2246"/>
      <c r="AB5" s="2246"/>
      <c r="AC5" s="2246"/>
      <c r="AD5" s="2246"/>
      <c r="AE5" s="2246"/>
      <c r="AF5" s="2246"/>
      <c r="AG5" s="2246"/>
      <c r="AH5" s="2246"/>
      <c r="AI5" s="2246"/>
    </row>
    <row r="6" spans="1:82" s="136" customFormat="1" ht="19.5" customHeight="1">
      <c r="A6" s="2247" t="s">
        <v>182</v>
      </c>
      <c r="B6" s="2240" t="s">
        <v>2431</v>
      </c>
      <c r="C6" s="2241"/>
      <c r="D6" s="2241"/>
      <c r="E6" s="2241"/>
      <c r="F6" s="2241"/>
      <c r="G6" s="2241"/>
      <c r="H6" s="2241"/>
      <c r="I6" s="2241"/>
      <c r="J6" s="2241"/>
      <c r="K6" s="2241"/>
      <c r="L6" s="2241"/>
      <c r="M6" s="2241"/>
      <c r="N6" s="2241"/>
      <c r="O6" s="2241"/>
      <c r="P6" s="2241"/>
      <c r="Q6" s="2241"/>
      <c r="R6" s="2241"/>
      <c r="S6" s="2241"/>
      <c r="T6" s="2241"/>
      <c r="U6" s="2241"/>
      <c r="V6" s="2241"/>
      <c r="W6" s="2241"/>
      <c r="X6" s="2241"/>
      <c r="Y6" s="2241"/>
      <c r="Z6" s="2241"/>
      <c r="AA6" s="2241"/>
      <c r="AB6" s="2241"/>
      <c r="AC6" s="2241"/>
      <c r="AD6" s="2241"/>
      <c r="AE6" s="2241"/>
      <c r="AF6" s="2241"/>
      <c r="AG6" s="2241"/>
      <c r="AH6" s="2242"/>
      <c r="AI6" s="2247" t="s">
        <v>165</v>
      </c>
      <c r="CC6" s="90"/>
      <c r="CD6" s="291"/>
    </row>
    <row r="7" spans="1:82" s="136" customFormat="1" ht="13.9" customHeight="1">
      <c r="A7" s="2247"/>
      <c r="B7" s="2243" t="s">
        <v>155</v>
      </c>
      <c r="C7" s="2243" t="s">
        <v>144</v>
      </c>
      <c r="D7" s="2243"/>
      <c r="E7" s="2247" t="s">
        <v>166</v>
      </c>
      <c r="F7" s="2247"/>
      <c r="G7" s="2247" t="s">
        <v>2590</v>
      </c>
      <c r="H7" s="2247"/>
      <c r="I7" s="2247" t="s">
        <v>2389</v>
      </c>
      <c r="J7" s="2247"/>
      <c r="K7" s="2248" t="s">
        <v>2390</v>
      </c>
      <c r="L7" s="2249"/>
      <c r="M7" s="2247" t="s">
        <v>167</v>
      </c>
      <c r="N7" s="2247"/>
      <c r="O7" s="2248" t="s">
        <v>2391</v>
      </c>
      <c r="P7" s="2249"/>
      <c r="Q7" s="2243" t="s">
        <v>168</v>
      </c>
      <c r="R7" s="2243"/>
      <c r="S7" s="2248" t="s">
        <v>3497</v>
      </c>
      <c r="T7" s="2249"/>
      <c r="U7" s="2247" t="s">
        <v>2591</v>
      </c>
      <c r="V7" s="2247"/>
      <c r="W7" s="2247" t="s">
        <v>2592</v>
      </c>
      <c r="X7" s="2247"/>
      <c r="Y7" s="2243" t="s">
        <v>169</v>
      </c>
      <c r="Z7" s="2243"/>
      <c r="AA7" s="2254" t="s">
        <v>170</v>
      </c>
      <c r="AB7" s="2254"/>
      <c r="AC7" s="2254" t="s">
        <v>2593</v>
      </c>
      <c r="AD7" s="2254"/>
      <c r="AE7" s="2252" t="s">
        <v>171</v>
      </c>
      <c r="AF7" s="2252"/>
      <c r="AG7" s="2252" t="s">
        <v>1047</v>
      </c>
      <c r="AH7" s="2253"/>
      <c r="AI7" s="2247"/>
      <c r="CD7" s="293"/>
    </row>
    <row r="8" spans="1:82" s="136" customFormat="1" ht="114" customHeight="1">
      <c r="A8" s="2247"/>
      <c r="B8" s="2243"/>
      <c r="C8" s="2243"/>
      <c r="D8" s="2243"/>
      <c r="E8" s="2247"/>
      <c r="F8" s="2247"/>
      <c r="G8" s="2247"/>
      <c r="H8" s="2247"/>
      <c r="I8" s="2247"/>
      <c r="J8" s="2247"/>
      <c r="K8" s="2250"/>
      <c r="L8" s="2251"/>
      <c r="M8" s="2247"/>
      <c r="N8" s="2247"/>
      <c r="O8" s="2250"/>
      <c r="P8" s="2251"/>
      <c r="Q8" s="2243"/>
      <c r="R8" s="2243"/>
      <c r="S8" s="2250"/>
      <c r="T8" s="2251"/>
      <c r="U8" s="2247"/>
      <c r="V8" s="2247"/>
      <c r="W8" s="2247"/>
      <c r="X8" s="2247"/>
      <c r="Y8" s="2243"/>
      <c r="Z8" s="2243"/>
      <c r="AA8" s="2254"/>
      <c r="AB8" s="2254"/>
      <c r="AC8" s="2254"/>
      <c r="AD8" s="2254"/>
      <c r="AE8" s="2252"/>
      <c r="AF8" s="2252"/>
      <c r="AG8" s="2252"/>
      <c r="AH8" s="2253"/>
      <c r="AI8" s="2247"/>
      <c r="CD8" s="293"/>
    </row>
    <row r="9" spans="1:82" s="136" customFormat="1" ht="15.6" customHeight="1">
      <c r="A9" s="2247"/>
      <c r="B9" s="2243"/>
      <c r="C9" s="2247" t="s">
        <v>172</v>
      </c>
      <c r="D9" s="2247" t="s">
        <v>173</v>
      </c>
      <c r="E9" s="2247" t="s">
        <v>174</v>
      </c>
      <c r="F9" s="2247" t="s">
        <v>173</v>
      </c>
      <c r="G9" s="2243" t="s">
        <v>174</v>
      </c>
      <c r="H9" s="2247" t="s">
        <v>173</v>
      </c>
      <c r="I9" s="2243" t="s">
        <v>174</v>
      </c>
      <c r="J9" s="2247" t="s">
        <v>173</v>
      </c>
      <c r="K9" s="2247" t="s">
        <v>174</v>
      </c>
      <c r="L9" s="2247" t="s">
        <v>173</v>
      </c>
      <c r="M9" s="2243" t="s">
        <v>174</v>
      </c>
      <c r="N9" s="2247" t="s">
        <v>173</v>
      </c>
      <c r="O9" s="2247" t="s">
        <v>174</v>
      </c>
      <c r="P9" s="2247" t="s">
        <v>173</v>
      </c>
      <c r="Q9" s="2247" t="s">
        <v>174</v>
      </c>
      <c r="R9" s="2247" t="s">
        <v>173</v>
      </c>
      <c r="S9" s="2247" t="s">
        <v>174</v>
      </c>
      <c r="T9" s="2247" t="s">
        <v>173</v>
      </c>
      <c r="U9" s="2247" t="s">
        <v>174</v>
      </c>
      <c r="V9" s="2247" t="s">
        <v>173</v>
      </c>
      <c r="W9" s="2256" t="s">
        <v>174</v>
      </c>
      <c r="X9" s="2247" t="s">
        <v>173</v>
      </c>
      <c r="Y9" s="2247" t="s">
        <v>174</v>
      </c>
      <c r="Z9" s="2247" t="s">
        <v>173</v>
      </c>
      <c r="AA9" s="2247" t="s">
        <v>174</v>
      </c>
      <c r="AB9" s="2247" t="s">
        <v>173</v>
      </c>
      <c r="AC9" s="2247" t="s">
        <v>174</v>
      </c>
      <c r="AD9" s="2247" t="s">
        <v>173</v>
      </c>
      <c r="AE9" s="2247" t="s">
        <v>174</v>
      </c>
      <c r="AF9" s="2247" t="s">
        <v>173</v>
      </c>
      <c r="AG9" s="2247" t="s">
        <v>174</v>
      </c>
      <c r="AH9" s="2255" t="s">
        <v>173</v>
      </c>
      <c r="AI9" s="2247"/>
      <c r="CD9" s="293"/>
    </row>
    <row r="10" spans="1:82" s="136" customFormat="1" ht="35.25" customHeight="1">
      <c r="A10" s="2247"/>
      <c r="B10" s="2243"/>
      <c r="C10" s="2247"/>
      <c r="D10" s="2247"/>
      <c r="E10" s="2247"/>
      <c r="F10" s="2247"/>
      <c r="G10" s="2243"/>
      <c r="H10" s="2247"/>
      <c r="I10" s="2243"/>
      <c r="J10" s="2247"/>
      <c r="K10" s="2247"/>
      <c r="L10" s="2247"/>
      <c r="M10" s="2243"/>
      <c r="N10" s="2247"/>
      <c r="O10" s="2247"/>
      <c r="P10" s="2247"/>
      <c r="Q10" s="2247"/>
      <c r="R10" s="2247"/>
      <c r="S10" s="2247"/>
      <c r="T10" s="2247"/>
      <c r="U10" s="2247"/>
      <c r="V10" s="2247"/>
      <c r="W10" s="2256"/>
      <c r="X10" s="2247"/>
      <c r="Y10" s="2247"/>
      <c r="Z10" s="2247"/>
      <c r="AA10" s="2247"/>
      <c r="AB10" s="2247"/>
      <c r="AC10" s="2247"/>
      <c r="AD10" s="2247"/>
      <c r="AE10" s="2247"/>
      <c r="AF10" s="2247"/>
      <c r="AG10" s="2247"/>
      <c r="AH10" s="2255"/>
      <c r="AI10" s="2247"/>
      <c r="CD10" s="293"/>
    </row>
    <row r="11" spans="1:82">
      <c r="A11" s="2258" t="s">
        <v>283</v>
      </c>
      <c r="B11" s="2240" t="s">
        <v>1155</v>
      </c>
      <c r="C11" s="2241"/>
      <c r="D11" s="2241"/>
      <c r="E11" s="2241"/>
      <c r="F11" s="2241"/>
      <c r="G11" s="2241"/>
      <c r="H11" s="2241"/>
      <c r="I11" s="2241"/>
      <c r="J11" s="2241"/>
      <c r="K11" s="2241"/>
      <c r="L11" s="2241"/>
      <c r="M11" s="2241"/>
      <c r="N11" s="2241"/>
      <c r="O11" s="2241"/>
      <c r="P11" s="2241"/>
      <c r="Q11" s="2241"/>
      <c r="R11" s="2241"/>
      <c r="S11" s="2241"/>
      <c r="T11" s="2241"/>
      <c r="U11" s="2241"/>
      <c r="V11" s="2241"/>
      <c r="W11" s="2241"/>
      <c r="X11" s="2241"/>
      <c r="Y11" s="2241"/>
      <c r="Z11" s="2241"/>
      <c r="AA11" s="2241"/>
      <c r="AB11" s="2241"/>
      <c r="AC11" s="2241"/>
      <c r="AD11" s="2241"/>
      <c r="AE11" s="2241"/>
      <c r="AF11" s="2241"/>
      <c r="AG11" s="2241"/>
      <c r="AH11" s="2242"/>
      <c r="AI11" s="514"/>
      <c r="CD11" s="226"/>
    </row>
    <row r="12" spans="1:82" ht="51.75" customHeight="1">
      <c r="A12" s="2258"/>
      <c r="B12" s="2257" t="s">
        <v>105</v>
      </c>
      <c r="C12" s="2257" t="s">
        <v>149</v>
      </c>
      <c r="D12" s="2257"/>
      <c r="E12" s="2257" t="s">
        <v>175</v>
      </c>
      <c r="F12" s="2257"/>
      <c r="G12" s="2258" t="s">
        <v>2594</v>
      </c>
      <c r="H12" s="2258"/>
      <c r="I12" s="2258" t="s">
        <v>2595</v>
      </c>
      <c r="J12" s="2258"/>
      <c r="K12" s="2258" t="s">
        <v>2597</v>
      </c>
      <c r="L12" s="2258"/>
      <c r="M12" s="2259" t="s">
        <v>176</v>
      </c>
      <c r="N12" s="2260"/>
      <c r="O12" s="2258" t="s">
        <v>2598</v>
      </c>
      <c r="P12" s="2258"/>
      <c r="Q12" s="2257" t="s">
        <v>177</v>
      </c>
      <c r="R12" s="2257"/>
      <c r="S12" s="2258" t="s">
        <v>3498</v>
      </c>
      <c r="T12" s="2258"/>
      <c r="U12" s="2258" t="s">
        <v>2596</v>
      </c>
      <c r="V12" s="2258"/>
      <c r="W12" s="2258" t="s">
        <v>2599</v>
      </c>
      <c r="X12" s="2258"/>
      <c r="Y12" s="2258" t="s">
        <v>178</v>
      </c>
      <c r="Z12" s="2258"/>
      <c r="AA12" s="2265" t="s">
        <v>1048</v>
      </c>
      <c r="AB12" s="2265"/>
      <c r="AC12" s="2265" t="s">
        <v>1049</v>
      </c>
      <c r="AD12" s="2265"/>
      <c r="AE12" s="2266" t="s">
        <v>1050</v>
      </c>
      <c r="AF12" s="2266"/>
      <c r="AG12" s="2266" t="s">
        <v>1047</v>
      </c>
      <c r="AH12" s="2267"/>
      <c r="AI12" s="2258" t="s">
        <v>1156</v>
      </c>
      <c r="CD12" s="226"/>
    </row>
    <row r="13" spans="1:82" ht="18.75" customHeight="1">
      <c r="A13" s="2258"/>
      <c r="B13" s="2257"/>
      <c r="C13" s="2257"/>
      <c r="D13" s="2257"/>
      <c r="E13" s="2257"/>
      <c r="F13" s="2257"/>
      <c r="G13" s="2258"/>
      <c r="H13" s="2258"/>
      <c r="I13" s="2258"/>
      <c r="J13" s="2258"/>
      <c r="K13" s="2258"/>
      <c r="L13" s="2258"/>
      <c r="M13" s="2261"/>
      <c r="N13" s="2262"/>
      <c r="O13" s="2258"/>
      <c r="P13" s="2258"/>
      <c r="Q13" s="2257"/>
      <c r="R13" s="2257"/>
      <c r="S13" s="2258"/>
      <c r="T13" s="2258"/>
      <c r="U13" s="2258"/>
      <c r="V13" s="2258"/>
      <c r="W13" s="2258"/>
      <c r="X13" s="2258"/>
      <c r="Y13" s="2258"/>
      <c r="Z13" s="2258"/>
      <c r="AA13" s="2265"/>
      <c r="AB13" s="2265"/>
      <c r="AC13" s="2265"/>
      <c r="AD13" s="2265"/>
      <c r="AE13" s="2266"/>
      <c r="AF13" s="2266"/>
      <c r="AG13" s="2266"/>
      <c r="AH13" s="2267"/>
      <c r="AI13" s="2258"/>
      <c r="CD13" s="226"/>
    </row>
    <row r="14" spans="1:82" ht="33" customHeight="1">
      <c r="A14" s="2258"/>
      <c r="B14" s="2257"/>
      <c r="C14" s="515" t="s">
        <v>1154</v>
      </c>
      <c r="D14" s="515" t="s">
        <v>179</v>
      </c>
      <c r="E14" s="515" t="s">
        <v>113</v>
      </c>
      <c r="F14" s="515" t="s">
        <v>179</v>
      </c>
      <c r="G14" s="515" t="s">
        <v>113</v>
      </c>
      <c r="H14" s="515" t="s">
        <v>179</v>
      </c>
      <c r="I14" s="515" t="s">
        <v>113</v>
      </c>
      <c r="J14" s="515" t="s">
        <v>179</v>
      </c>
      <c r="K14" s="515" t="s">
        <v>113</v>
      </c>
      <c r="L14" s="515" t="s">
        <v>179</v>
      </c>
      <c r="M14" s="515" t="s">
        <v>113</v>
      </c>
      <c r="N14" s="515" t="s">
        <v>179</v>
      </c>
      <c r="O14" s="515" t="s">
        <v>113</v>
      </c>
      <c r="P14" s="515" t="s">
        <v>179</v>
      </c>
      <c r="Q14" s="515" t="s">
        <v>113</v>
      </c>
      <c r="R14" s="515" t="s">
        <v>179</v>
      </c>
      <c r="S14" s="515" t="s">
        <v>113</v>
      </c>
      <c r="T14" s="515" t="s">
        <v>179</v>
      </c>
      <c r="U14" s="515" t="s">
        <v>113</v>
      </c>
      <c r="V14" s="515" t="s">
        <v>179</v>
      </c>
      <c r="W14" s="516" t="s">
        <v>113</v>
      </c>
      <c r="X14" s="515" t="s">
        <v>179</v>
      </c>
      <c r="Y14" s="515" t="s">
        <v>113</v>
      </c>
      <c r="Z14" s="515" t="s">
        <v>179</v>
      </c>
      <c r="AA14" s="515" t="s">
        <v>113</v>
      </c>
      <c r="AB14" s="515" t="s">
        <v>179</v>
      </c>
      <c r="AC14" s="515" t="s">
        <v>113</v>
      </c>
      <c r="AD14" s="515" t="s">
        <v>179</v>
      </c>
      <c r="AE14" s="515" t="s">
        <v>113</v>
      </c>
      <c r="AF14" s="515" t="s">
        <v>179</v>
      </c>
      <c r="AG14" s="515" t="s">
        <v>113</v>
      </c>
      <c r="AH14" s="517" t="s">
        <v>179</v>
      </c>
      <c r="AI14" s="2258"/>
      <c r="CD14" s="226"/>
    </row>
    <row r="15" spans="1:82" ht="15.6" hidden="1" customHeight="1">
      <c r="A15" s="425">
        <v>2000</v>
      </c>
      <c r="B15" s="95">
        <v>466.5</v>
      </c>
      <c r="C15" s="95" t="s">
        <v>93</v>
      </c>
      <c r="D15" s="95" t="s">
        <v>93</v>
      </c>
      <c r="E15" s="95">
        <v>76.456999999999994</v>
      </c>
      <c r="F15" s="95">
        <f t="shared" ref="F15:F32" si="0">E15/$B15*100</f>
        <v>16.389496248660233</v>
      </c>
      <c r="G15" s="95">
        <v>15.954000000000001</v>
      </c>
      <c r="H15" s="95">
        <f t="shared" ref="H15:H32" si="1">G15/$B15*100</f>
        <v>3.4199356913183281</v>
      </c>
      <c r="I15" s="95">
        <v>36.938000000000002</v>
      </c>
      <c r="J15" s="95">
        <f t="shared" ref="J15:J32" si="2">I15/$B15*100</f>
        <v>7.9181136120042881</v>
      </c>
      <c r="K15" s="95">
        <v>12.933999999999999</v>
      </c>
      <c r="L15" s="95">
        <f t="shared" ref="L15:L32" si="3">K15/$B15*100</f>
        <v>2.7725616291532686</v>
      </c>
      <c r="M15" s="95">
        <v>15.74</v>
      </c>
      <c r="N15" s="95">
        <f t="shared" ref="N15:N32" si="4">M15/$B15*100</f>
        <v>3.37406216505895</v>
      </c>
      <c r="O15" s="95">
        <v>70.42</v>
      </c>
      <c r="P15" s="95">
        <f t="shared" ref="P15:P32" si="5">O15/$B15*100</f>
        <v>15.095391211146838</v>
      </c>
      <c r="Q15" s="95">
        <v>41.737000000000002</v>
      </c>
      <c r="R15" s="95">
        <f t="shared" ref="R15:R32" si="6">Q15/$B15*100</f>
        <v>8.9468381564844588</v>
      </c>
      <c r="S15" s="95"/>
      <c r="T15" s="95"/>
      <c r="U15" s="95" t="s">
        <v>93</v>
      </c>
      <c r="V15" s="95" t="s">
        <v>180</v>
      </c>
      <c r="W15" s="95">
        <v>49.31</v>
      </c>
      <c r="X15" s="95">
        <f>W15/$B15*100</f>
        <v>10.570203644158628</v>
      </c>
      <c r="Y15" s="95">
        <v>46.86</v>
      </c>
      <c r="Z15" s="95">
        <f>Y15/$B15*100</f>
        <v>10.045016077170418</v>
      </c>
      <c r="AA15" s="426" t="s">
        <v>113</v>
      </c>
      <c r="AB15" s="426" t="s">
        <v>179</v>
      </c>
      <c r="AC15" s="426" t="s">
        <v>113</v>
      </c>
      <c r="AD15" s="426" t="s">
        <v>179</v>
      </c>
      <c r="AE15" s="426" t="s">
        <v>113</v>
      </c>
      <c r="AF15" s="426" t="s">
        <v>179</v>
      </c>
      <c r="AG15" s="426" t="s">
        <v>113</v>
      </c>
      <c r="AH15" s="182" t="s">
        <v>179</v>
      </c>
      <c r="AI15" s="427" t="s">
        <v>93</v>
      </c>
      <c r="CD15" s="226"/>
    </row>
    <row r="16" spans="1:82" hidden="1">
      <c r="A16" s="428">
        <v>2001</v>
      </c>
      <c r="B16" s="52">
        <v>486.2</v>
      </c>
      <c r="C16" s="52">
        <v>134.4</v>
      </c>
      <c r="D16" s="52">
        <f t="shared" ref="D16:D32" si="7">C16/$B16*100</f>
        <v>27.642945290004118</v>
      </c>
      <c r="E16" s="52">
        <v>85.614000000000004</v>
      </c>
      <c r="F16" s="52">
        <f t="shared" si="0"/>
        <v>17.608802961744139</v>
      </c>
      <c r="G16" s="52">
        <v>33.826999999999998</v>
      </c>
      <c r="H16" s="52">
        <f t="shared" si="1"/>
        <v>6.9574249280131628</v>
      </c>
      <c r="I16" s="52">
        <v>14.57</v>
      </c>
      <c r="J16" s="52">
        <f t="shared" si="2"/>
        <v>2.9967091731797617</v>
      </c>
      <c r="K16" s="52">
        <v>9.0129999999999999</v>
      </c>
      <c r="L16" s="52">
        <f t="shared" si="3"/>
        <v>1.8537638831756478</v>
      </c>
      <c r="M16" s="52">
        <v>15.736000000000001</v>
      </c>
      <c r="N16" s="52">
        <f t="shared" si="4"/>
        <v>3.2365281777046486</v>
      </c>
      <c r="O16" s="52">
        <v>69.055999999999997</v>
      </c>
      <c r="P16" s="52">
        <f t="shared" si="5"/>
        <v>14.203208556149733</v>
      </c>
      <c r="Q16" s="52">
        <v>54.901000000000003</v>
      </c>
      <c r="R16" s="52">
        <f t="shared" si="6"/>
        <v>11.29185520361991</v>
      </c>
      <c r="S16" s="52"/>
      <c r="T16" s="52"/>
      <c r="U16" s="52">
        <v>0.26</v>
      </c>
      <c r="V16" s="52">
        <f>U16/$B16*100</f>
        <v>5.3475935828877004E-2</v>
      </c>
      <c r="W16" s="52">
        <v>38.853000000000002</v>
      </c>
      <c r="X16" s="52">
        <f>W16/$B16*100</f>
        <v>7.9911559029206085</v>
      </c>
      <c r="Y16" s="52">
        <v>11.237</v>
      </c>
      <c r="Z16" s="52">
        <f>Y16/$B16*100</f>
        <v>2.3111888111888113</v>
      </c>
      <c r="AA16" s="52"/>
      <c r="AB16" s="52"/>
      <c r="AC16" s="52"/>
      <c r="AD16" s="52"/>
      <c r="AE16" s="52"/>
      <c r="AF16" s="52"/>
      <c r="AG16" s="52"/>
      <c r="AH16" s="52"/>
      <c r="AI16" s="180">
        <v>17.747</v>
      </c>
      <c r="CD16" s="226"/>
    </row>
    <row r="17" spans="1:82" hidden="1">
      <c r="A17" s="428">
        <v>2002</v>
      </c>
      <c r="B17" s="52">
        <v>520.16</v>
      </c>
      <c r="C17" s="52">
        <v>111.6</v>
      </c>
      <c r="D17" s="52">
        <f t="shared" si="7"/>
        <v>21.45493694247924</v>
      </c>
      <c r="E17" s="52">
        <v>102.235</v>
      </c>
      <c r="F17" s="52">
        <f t="shared" si="0"/>
        <v>19.654529375576747</v>
      </c>
      <c r="G17" s="52">
        <v>44.142000000000003</v>
      </c>
      <c r="H17" s="52">
        <f t="shared" si="1"/>
        <v>8.4862350046139667</v>
      </c>
      <c r="I17" s="52">
        <v>19.875</v>
      </c>
      <c r="J17" s="52">
        <f t="shared" si="2"/>
        <v>3.8209397108581977</v>
      </c>
      <c r="K17" s="52">
        <v>14.907</v>
      </c>
      <c r="L17" s="52">
        <f t="shared" si="3"/>
        <v>2.8658489695478315</v>
      </c>
      <c r="M17" s="52">
        <v>15.682</v>
      </c>
      <c r="N17" s="52">
        <f t="shared" si="4"/>
        <v>3.0148415872039376</v>
      </c>
      <c r="O17" s="52">
        <v>57</v>
      </c>
      <c r="P17" s="52">
        <f t="shared" si="5"/>
        <v>10.958166717932945</v>
      </c>
      <c r="Q17" s="52">
        <v>83.266999999999996</v>
      </c>
      <c r="R17" s="52">
        <f t="shared" si="6"/>
        <v>16.007959089510919</v>
      </c>
      <c r="S17" s="52"/>
      <c r="T17" s="52"/>
      <c r="U17" s="52">
        <v>0.6</v>
      </c>
      <c r="V17" s="52">
        <f>U17/$B17*100</f>
        <v>0.11534912334666259</v>
      </c>
      <c r="W17" s="52">
        <v>47.963000000000001</v>
      </c>
      <c r="X17" s="52">
        <f>W17/$B17*100</f>
        <v>9.2208166717932958</v>
      </c>
      <c r="Y17" s="53">
        <f>B17-C17-E17-G17-I17-K17-M17-W17-O17-Q17-U17-AA17-AC17-AE17-AG17</f>
        <v>22.888999999999946</v>
      </c>
      <c r="Z17" s="52">
        <f>Y17/$B17*100</f>
        <v>4.4003768071362552</v>
      </c>
      <c r="AA17" s="52"/>
      <c r="AB17" s="52"/>
      <c r="AC17" s="52"/>
      <c r="AD17" s="52"/>
      <c r="AE17" s="52"/>
      <c r="AF17" s="52"/>
      <c r="AG17" s="52"/>
      <c r="AH17" s="52"/>
      <c r="AI17" s="180">
        <v>20.89</v>
      </c>
      <c r="CD17" s="226"/>
    </row>
    <row r="18" spans="1:82" hidden="1">
      <c r="A18" s="428">
        <v>2003</v>
      </c>
      <c r="B18" s="52">
        <v>670.3</v>
      </c>
      <c r="C18" s="52">
        <v>124.4</v>
      </c>
      <c r="D18" s="52">
        <f t="shared" si="7"/>
        <v>18.558854244368195</v>
      </c>
      <c r="E18" s="52">
        <f>562.651/5</f>
        <v>112.53019999999999</v>
      </c>
      <c r="F18" s="52">
        <f t="shared" si="0"/>
        <v>16.788035208115769</v>
      </c>
      <c r="G18" s="52">
        <f>194.357/5</f>
        <v>38.871400000000001</v>
      </c>
      <c r="H18" s="52">
        <f t="shared" si="1"/>
        <v>5.7991048784126518</v>
      </c>
      <c r="I18" s="52">
        <f>150.886/5</f>
        <v>30.177199999999999</v>
      </c>
      <c r="J18" s="52">
        <f t="shared" si="2"/>
        <v>4.5020438609577802</v>
      </c>
      <c r="K18" s="52">
        <f>151.267/5</f>
        <v>30.253399999999999</v>
      </c>
      <c r="L18" s="52">
        <f t="shared" si="3"/>
        <v>4.5134119051171115</v>
      </c>
      <c r="M18" s="52">
        <f>217.929/5</f>
        <v>43.585799999999999</v>
      </c>
      <c r="N18" s="52">
        <f t="shared" si="4"/>
        <v>6.5024317469789654</v>
      </c>
      <c r="O18" s="52">
        <v>57.128</v>
      </c>
      <c r="P18" s="52">
        <f t="shared" si="5"/>
        <v>8.5227510070117862</v>
      </c>
      <c r="Q18" s="52">
        <f>714.74/5</f>
        <v>142.94800000000001</v>
      </c>
      <c r="R18" s="52">
        <f t="shared" si="6"/>
        <v>21.325973444726245</v>
      </c>
      <c r="S18" s="52"/>
      <c r="T18" s="52"/>
      <c r="U18" s="52">
        <f>2.108/5</f>
        <v>0.42160000000000003</v>
      </c>
      <c r="V18" s="52">
        <f>U18/$B18*100</f>
        <v>6.2897210204386114E-2</v>
      </c>
      <c r="W18" s="52">
        <f>176.156/5</f>
        <v>35.231200000000001</v>
      </c>
      <c r="X18" s="52">
        <f>W18/$B18*100</f>
        <v>5.2560346113680447</v>
      </c>
      <c r="Y18" s="53">
        <f>B18-C18-E18-G18-I18-K18-M18-W18-O18-Q18-U18-AA18-AC18-AE18-AG18</f>
        <v>29.630704373499981</v>
      </c>
      <c r="Z18" s="52">
        <f>Y18/$B18*100</f>
        <v>4.4205138555124552</v>
      </c>
      <c r="AA18" s="57">
        <v>1.7524956264999998</v>
      </c>
      <c r="AB18" s="56">
        <f>AA18/B18*100</f>
        <v>0.2614494445024616</v>
      </c>
      <c r="AC18" s="57">
        <v>3.37</v>
      </c>
      <c r="AD18" s="56">
        <f>AC18/$B18*100</f>
        <v>0.50275995822765929</v>
      </c>
      <c r="AE18" s="57">
        <v>20</v>
      </c>
      <c r="AF18" s="56">
        <f>AE18/$B18*100</f>
        <v>2.9837386244964943</v>
      </c>
      <c r="AG18" s="57">
        <v>0</v>
      </c>
      <c r="AH18" s="56">
        <f>AG18/$B18*100</f>
        <v>0</v>
      </c>
      <c r="AI18" s="180">
        <f>104.308/5</f>
        <v>20.861600000000003</v>
      </c>
      <c r="CD18" s="226"/>
    </row>
    <row r="19" spans="1:82" s="136" customFormat="1" ht="12.75" hidden="1" customHeight="1">
      <c r="A19" s="428">
        <v>2004</v>
      </c>
      <c r="B19" s="141">
        <v>989.5</v>
      </c>
      <c r="C19" s="141">
        <v>109</v>
      </c>
      <c r="D19" s="141">
        <f t="shared" si="7"/>
        <v>11.01566447700859</v>
      </c>
      <c r="E19" s="141">
        <v>217.6</v>
      </c>
      <c r="F19" s="141">
        <f t="shared" si="0"/>
        <v>21.990904497220818</v>
      </c>
      <c r="G19" s="141">
        <v>24.4</v>
      </c>
      <c r="H19" s="141">
        <f t="shared" si="1"/>
        <v>2.4658918645780696</v>
      </c>
      <c r="I19" s="141">
        <v>56.2</v>
      </c>
      <c r="J19" s="141">
        <f t="shared" si="2"/>
        <v>5.6796361798888331</v>
      </c>
      <c r="K19" s="141">
        <v>46.4</v>
      </c>
      <c r="L19" s="141">
        <f t="shared" si="3"/>
        <v>4.6892369883779681</v>
      </c>
      <c r="M19" s="141">
        <v>65.7</v>
      </c>
      <c r="N19" s="141">
        <f t="shared" si="4"/>
        <v>6.6397170288024263</v>
      </c>
      <c r="O19" s="141">
        <f>149.593</f>
        <v>149.59299999999999</v>
      </c>
      <c r="P19" s="141">
        <f t="shared" si="5"/>
        <v>15.118039413845374</v>
      </c>
      <c r="Q19" s="141">
        <v>276.89999999999998</v>
      </c>
      <c r="R19" s="141">
        <f t="shared" si="6"/>
        <v>27.983830217281451</v>
      </c>
      <c r="S19" s="141"/>
      <c r="T19" s="141"/>
      <c r="U19" s="141">
        <v>1.32</v>
      </c>
      <c r="V19" s="141">
        <f>U19/$B19*100</f>
        <v>0.13340070742799395</v>
      </c>
      <c r="W19" s="141">
        <v>14.24</v>
      </c>
      <c r="X19" s="141">
        <f>W19/$B19*100</f>
        <v>1.4391106619504801</v>
      </c>
      <c r="Y19" s="142">
        <f>B19-C19-E19-G19-I19-K19-M19-W19-O19-Q19-U19-AA19-AC19-AE19-AG19</f>
        <v>1.2913999999999861</v>
      </c>
      <c r="Z19" s="141">
        <f>Y19/$B19*100</f>
        <v>0.13051035876705266</v>
      </c>
      <c r="AA19" s="181">
        <v>0.30219999999999997</v>
      </c>
      <c r="AB19" s="141">
        <f>AA19/$B19*100</f>
        <v>3.0540677109651335E-2</v>
      </c>
      <c r="AC19" s="181">
        <v>3.3574750449599997</v>
      </c>
      <c r="AD19" s="141">
        <f>AC19/$B19*100</f>
        <v>0.33931026224962096</v>
      </c>
      <c r="AE19" s="181">
        <v>20.5002</v>
      </c>
      <c r="AF19" s="141">
        <f>AE19/$B19*100</f>
        <v>2.0717736230419401</v>
      </c>
      <c r="AG19" s="181">
        <v>2.6957249550399984</v>
      </c>
      <c r="AH19" s="141">
        <f>AG19/$B19*100</f>
        <v>0.27243304244972188</v>
      </c>
      <c r="AI19" s="31">
        <v>28.4</v>
      </c>
      <c r="CD19" s="293"/>
    </row>
    <row r="20" spans="1:82">
      <c r="A20" s="624">
        <v>2005</v>
      </c>
      <c r="B20" s="31">
        <f>+B32</f>
        <v>1441</v>
      </c>
      <c r="C20" s="31">
        <f t="shared" ref="C20:AI20" si="8">+C32</f>
        <v>68.2</v>
      </c>
      <c r="D20" s="31">
        <f t="shared" si="8"/>
        <v>4.7328244274809164</v>
      </c>
      <c r="E20" s="31">
        <f t="shared" si="8"/>
        <v>361.00200000000001</v>
      </c>
      <c r="F20" s="31">
        <f t="shared" si="8"/>
        <v>25.052185981956974</v>
      </c>
      <c r="G20" s="31">
        <f t="shared" si="8"/>
        <v>181.357</v>
      </c>
      <c r="H20" s="31">
        <f t="shared" si="8"/>
        <v>12.585496183206107</v>
      </c>
      <c r="I20" s="31">
        <f t="shared" si="8"/>
        <v>97.6</v>
      </c>
      <c r="J20" s="31">
        <f t="shared" si="8"/>
        <v>6.7730742539902842</v>
      </c>
      <c r="K20" s="31">
        <f t="shared" si="8"/>
        <v>82.234999999999999</v>
      </c>
      <c r="L20" s="31">
        <f t="shared" si="8"/>
        <v>5.7068008327550306</v>
      </c>
      <c r="M20" s="31">
        <f t="shared" si="8"/>
        <v>83.346000000000004</v>
      </c>
      <c r="N20" s="31">
        <f t="shared" si="8"/>
        <v>5.7839000693962532</v>
      </c>
      <c r="O20" s="31">
        <f t="shared" si="8"/>
        <v>128.161</v>
      </c>
      <c r="P20" s="31">
        <f t="shared" si="8"/>
        <v>8.8938931297709924</v>
      </c>
      <c r="Q20" s="31">
        <f t="shared" si="8"/>
        <v>389.2</v>
      </c>
      <c r="R20" s="31">
        <f t="shared" si="8"/>
        <v>27.009021512838306</v>
      </c>
      <c r="S20" s="31"/>
      <c r="T20" s="31"/>
      <c r="U20" s="31">
        <f t="shared" si="8"/>
        <v>0.5</v>
      </c>
      <c r="V20" s="31">
        <f t="shared" si="8"/>
        <v>3.4698126301179737E-2</v>
      </c>
      <c r="W20" s="31">
        <f t="shared" si="8"/>
        <v>8.2159999999999993</v>
      </c>
      <c r="X20" s="31">
        <f t="shared" si="8"/>
        <v>0.57015961138098536</v>
      </c>
      <c r="Y20" s="31">
        <f t="shared" ref="Y20:Y83" si="9">((B20-C20-E20-G20-I20-K20-M20-W20-O20-Q20-U20-AA20-AC20-AE20-AG20))</f>
        <v>11.591199999999985</v>
      </c>
      <c r="Z20" s="31">
        <f t="shared" si="8"/>
        <v>0.80438584316446815</v>
      </c>
      <c r="AA20" s="31">
        <f t="shared" si="8"/>
        <v>1.212</v>
      </c>
      <c r="AB20" s="31">
        <f t="shared" si="8"/>
        <v>8.4108258154059673E-2</v>
      </c>
      <c r="AC20" s="31">
        <f t="shared" si="8"/>
        <v>4.6452</v>
      </c>
      <c r="AD20" s="31">
        <f t="shared" si="8"/>
        <v>0.32235947258848019</v>
      </c>
      <c r="AE20" s="31">
        <f t="shared" si="8"/>
        <v>20.147200000000002</v>
      </c>
      <c r="AF20" s="31">
        <f t="shared" si="8"/>
        <v>1.3981401804302569</v>
      </c>
      <c r="AG20" s="31">
        <f t="shared" si="8"/>
        <v>3.5874000000000001</v>
      </c>
      <c r="AH20" s="31">
        <f t="shared" si="8"/>
        <v>0.2489521165857044</v>
      </c>
      <c r="AI20" s="31">
        <f t="shared" si="8"/>
        <v>45.781999999999996</v>
      </c>
      <c r="CD20" s="226"/>
    </row>
    <row r="21" spans="1:82" hidden="1">
      <c r="A21" s="625" t="s">
        <v>18</v>
      </c>
      <c r="B21" s="31">
        <v>970.3</v>
      </c>
      <c r="C21" s="31">
        <v>106.8</v>
      </c>
      <c r="D21" s="31">
        <f t="shared" si="7"/>
        <v>11.006905080902813</v>
      </c>
      <c r="E21" s="31">
        <f>232.776</f>
        <v>232.77600000000001</v>
      </c>
      <c r="F21" s="31">
        <f t="shared" si="0"/>
        <v>23.990106152736267</v>
      </c>
      <c r="G21" s="31">
        <f>31.518</f>
        <v>31.518000000000001</v>
      </c>
      <c r="H21" s="31">
        <f t="shared" si="1"/>
        <v>3.2482737297742967</v>
      </c>
      <c r="I21" s="31">
        <v>57.06</v>
      </c>
      <c r="J21" s="31">
        <f t="shared" si="2"/>
        <v>5.8806554673812226</v>
      </c>
      <c r="K21" s="31">
        <f>47.747</f>
        <v>47.747</v>
      </c>
      <c r="L21" s="31">
        <f t="shared" si="3"/>
        <v>4.9208492218901378</v>
      </c>
      <c r="M21" s="31">
        <f>66.635</f>
        <v>66.635000000000005</v>
      </c>
      <c r="N21" s="31">
        <f t="shared" si="4"/>
        <v>6.8674636710295793</v>
      </c>
      <c r="O21" s="31">
        <f>111.805</f>
        <v>111.80500000000001</v>
      </c>
      <c r="P21" s="31">
        <f t="shared" si="5"/>
        <v>11.522724930433888</v>
      </c>
      <c r="Q21" s="31">
        <v>280.10000000000002</v>
      </c>
      <c r="R21" s="31">
        <f t="shared" si="6"/>
        <v>28.867360610120585</v>
      </c>
      <c r="S21" s="31"/>
      <c r="T21" s="31"/>
      <c r="U21" s="31">
        <v>0.96</v>
      </c>
      <c r="V21" s="31">
        <f t="shared" ref="V21:V32" si="10">U21/$B21*100</f>
        <v>9.8938472637328662E-2</v>
      </c>
      <c r="W21" s="31">
        <f>2.889</f>
        <v>2.8889999999999998</v>
      </c>
      <c r="X21" s="31">
        <f t="shared" ref="X21:X32" si="11">W21/$B21*100</f>
        <v>0.29774296609296091</v>
      </c>
      <c r="Y21" s="626">
        <f t="shared" si="9"/>
        <v>-22.835536276760088</v>
      </c>
      <c r="Z21" s="31">
        <f t="shared" ref="Z21:Z32" si="12">Y21/$B21*100</f>
        <v>-2.3534511261218269</v>
      </c>
      <c r="AA21" s="592">
        <v>0.14319999999999999</v>
      </c>
      <c r="AB21" s="31">
        <f t="shared" ref="AB21:AB32" si="13">AA21/$B21*100</f>
        <v>1.4758322168401526E-2</v>
      </c>
      <c r="AC21" s="592">
        <v>3.3677362767600001</v>
      </c>
      <c r="AD21" s="31">
        <f t="shared" ref="AD21:AD32" si="14">AC21/$B21*100</f>
        <v>0.34708196194579</v>
      </c>
      <c r="AE21" s="592">
        <v>21.194600000000001</v>
      </c>
      <c r="AF21" s="31">
        <f t="shared" ref="AF21:AF32" si="15">AE21/$B21*100</f>
        <v>2.1843347418324233</v>
      </c>
      <c r="AG21" s="592">
        <v>30.14</v>
      </c>
      <c r="AH21" s="31">
        <f t="shared" ref="AH21:AH32" si="16">AG21/$B21*100</f>
        <v>3.1062557971761313</v>
      </c>
      <c r="AI21" s="31">
        <f>25.196</f>
        <v>25.196000000000002</v>
      </c>
      <c r="CD21" s="226"/>
    </row>
    <row r="22" spans="1:82" hidden="1">
      <c r="A22" s="625" t="s">
        <v>19</v>
      </c>
      <c r="B22" s="31">
        <v>1018</v>
      </c>
      <c r="C22" s="31">
        <v>106.6</v>
      </c>
      <c r="D22" s="31">
        <f t="shared" si="7"/>
        <v>10.471512770137524</v>
      </c>
      <c r="E22" s="31">
        <f>245.197</f>
        <v>245.197</v>
      </c>
      <c r="F22" s="31">
        <f t="shared" si="0"/>
        <v>24.086149312377213</v>
      </c>
      <c r="G22" s="31">
        <f>37.078</f>
        <v>37.078000000000003</v>
      </c>
      <c r="H22" s="31">
        <f t="shared" si="1"/>
        <v>3.6422396856581538</v>
      </c>
      <c r="I22" s="31">
        <v>57.3</v>
      </c>
      <c r="J22" s="31">
        <f t="shared" si="2"/>
        <v>5.6286836935166988</v>
      </c>
      <c r="K22" s="31">
        <f>49.6</f>
        <v>49.6</v>
      </c>
      <c r="L22" s="31">
        <f t="shared" si="3"/>
        <v>4.8722986247544204</v>
      </c>
      <c r="M22" s="31">
        <f>68.144</f>
        <v>68.144000000000005</v>
      </c>
      <c r="N22" s="31">
        <f t="shared" si="4"/>
        <v>6.6939096267190576</v>
      </c>
      <c r="O22" s="31">
        <f>129.891</f>
        <v>129.89099999999999</v>
      </c>
      <c r="P22" s="31">
        <f t="shared" si="5"/>
        <v>12.759430255402748</v>
      </c>
      <c r="Q22" s="31">
        <v>289.8</v>
      </c>
      <c r="R22" s="31">
        <f t="shared" si="6"/>
        <v>28.467583497053045</v>
      </c>
      <c r="S22" s="31"/>
      <c r="T22" s="31"/>
      <c r="U22" s="31">
        <v>0.4</v>
      </c>
      <c r="V22" s="31">
        <f t="shared" si="10"/>
        <v>3.9292730844793719E-2</v>
      </c>
      <c r="W22" s="31">
        <f>2.651</f>
        <v>2.6509999999999998</v>
      </c>
      <c r="X22" s="31">
        <f t="shared" si="11"/>
        <v>0.26041257367387033</v>
      </c>
      <c r="Y22" s="626">
        <f t="shared" si="9"/>
        <v>-22.390532717060022</v>
      </c>
      <c r="Z22" s="31">
        <f t="shared" si="12"/>
        <v>-2.1994629388074678</v>
      </c>
      <c r="AA22" s="592">
        <v>0.1749525129</v>
      </c>
      <c r="AB22" s="31">
        <f t="shared" si="13"/>
        <v>1.7185905000000001E-2</v>
      </c>
      <c r="AC22" s="592">
        <v>3.3574750449599997</v>
      </c>
      <c r="AD22" s="31">
        <f t="shared" si="14"/>
        <v>0.32981090814931235</v>
      </c>
      <c r="AE22" s="592">
        <v>21.3371051592</v>
      </c>
      <c r="AF22" s="31">
        <f t="shared" si="15"/>
        <v>2.0959828250687624</v>
      </c>
      <c r="AG22" s="592">
        <v>28.86</v>
      </c>
      <c r="AH22" s="31">
        <f t="shared" si="16"/>
        <v>2.8349705304518662</v>
      </c>
      <c r="AI22" s="31">
        <f>26.118</f>
        <v>26.117999999999999</v>
      </c>
      <c r="CD22" s="226"/>
    </row>
    <row r="23" spans="1:82" hidden="1">
      <c r="A23" s="625" t="s">
        <v>20</v>
      </c>
      <c r="B23" s="31">
        <v>1073.5</v>
      </c>
      <c r="C23" s="31">
        <v>104.2</v>
      </c>
      <c r="D23" s="31">
        <f t="shared" si="7"/>
        <v>9.7065673032137862</v>
      </c>
      <c r="E23" s="31">
        <f>275.384</f>
        <v>275.38400000000001</v>
      </c>
      <c r="F23" s="31">
        <f t="shared" si="0"/>
        <v>25.652911038658594</v>
      </c>
      <c r="G23" s="31">
        <f>41.203</f>
        <v>41.203000000000003</v>
      </c>
      <c r="H23" s="31">
        <f t="shared" si="1"/>
        <v>3.8381928272007455</v>
      </c>
      <c r="I23" s="31">
        <v>57.3</v>
      </c>
      <c r="J23" s="31">
        <f t="shared" si="2"/>
        <v>5.3376804843968326</v>
      </c>
      <c r="K23" s="31">
        <f>50.982</f>
        <v>50.981999999999999</v>
      </c>
      <c r="L23" s="31">
        <f t="shared" si="3"/>
        <v>4.749138332557056</v>
      </c>
      <c r="M23" s="31">
        <f>71.723</f>
        <v>71.722999999999999</v>
      </c>
      <c r="N23" s="31">
        <f t="shared" si="4"/>
        <v>6.6812296227293899</v>
      </c>
      <c r="O23" s="31">
        <f>130.674</f>
        <v>130.67400000000001</v>
      </c>
      <c r="P23" s="31">
        <f t="shared" si="5"/>
        <v>12.172706101537029</v>
      </c>
      <c r="Q23" s="31">
        <v>304.8</v>
      </c>
      <c r="R23" s="31">
        <f t="shared" si="6"/>
        <v>28.393106660456453</v>
      </c>
      <c r="S23" s="31"/>
      <c r="T23" s="31"/>
      <c r="U23" s="31">
        <v>0.4</v>
      </c>
      <c r="V23" s="31">
        <f t="shared" si="10"/>
        <v>3.7261294829995344E-2</v>
      </c>
      <c r="W23" s="31">
        <f>2.174</f>
        <v>2.1739999999999999</v>
      </c>
      <c r="X23" s="31">
        <f t="shared" si="11"/>
        <v>0.20251513740102467</v>
      </c>
      <c r="Y23" s="626">
        <f t="shared" si="9"/>
        <v>5.3460136068260011</v>
      </c>
      <c r="Z23" s="31">
        <f t="shared" si="12"/>
        <v>0.49799847292277605</v>
      </c>
      <c r="AA23" s="592">
        <v>0.279968053524</v>
      </c>
      <c r="AB23" s="31">
        <f t="shared" si="13"/>
        <v>2.6079930463344204E-2</v>
      </c>
      <c r="AC23" s="592">
        <v>3.3574750449599997</v>
      </c>
      <c r="AD23" s="31">
        <f t="shared" si="14"/>
        <v>0.31275966883651601</v>
      </c>
      <c r="AE23" s="592">
        <v>21.715683793215998</v>
      </c>
      <c r="AF23" s="31">
        <f t="shared" si="15"/>
        <v>2.0228862406349322</v>
      </c>
      <c r="AG23" s="592">
        <v>3.960859501474002</v>
      </c>
      <c r="AH23" s="31">
        <f t="shared" si="16"/>
        <v>0.3689668841615279</v>
      </c>
      <c r="AI23" s="31">
        <f>32.447</f>
        <v>32.447000000000003</v>
      </c>
      <c r="CD23" s="226"/>
    </row>
    <row r="24" spans="1:82" hidden="1">
      <c r="A24" s="625" t="s">
        <v>21</v>
      </c>
      <c r="B24" s="31">
        <v>1098.4000000000001</v>
      </c>
      <c r="C24" s="31">
        <v>105.1</v>
      </c>
      <c r="D24" s="31">
        <f t="shared" si="7"/>
        <v>9.5684632192279668</v>
      </c>
      <c r="E24" s="31">
        <f>290.961</f>
        <v>290.96100000000001</v>
      </c>
      <c r="F24" s="31">
        <f t="shared" si="0"/>
        <v>26.489530225782953</v>
      </c>
      <c r="G24" s="31">
        <f>37.644</f>
        <v>37.643999999999998</v>
      </c>
      <c r="H24" s="31">
        <f t="shared" si="1"/>
        <v>3.4271667880553522</v>
      </c>
      <c r="I24" s="31">
        <v>55.4</v>
      </c>
      <c r="J24" s="31">
        <f t="shared" si="2"/>
        <v>5.0436999271667871</v>
      </c>
      <c r="K24" s="31">
        <f>56.241</f>
        <v>56.241</v>
      </c>
      <c r="L24" s="31">
        <f t="shared" si="3"/>
        <v>5.1202658412235973</v>
      </c>
      <c r="M24" s="31">
        <f>77.593</f>
        <v>77.593000000000004</v>
      </c>
      <c r="N24" s="31">
        <f t="shared" si="4"/>
        <v>7.064184268026219</v>
      </c>
      <c r="O24" s="31">
        <f>126.316</f>
        <v>126.316</v>
      </c>
      <c r="P24" s="31">
        <f t="shared" si="5"/>
        <v>11.5</v>
      </c>
      <c r="Q24" s="31">
        <v>312.60000000000002</v>
      </c>
      <c r="R24" s="31">
        <f t="shared" si="6"/>
        <v>28.459577567370719</v>
      </c>
      <c r="S24" s="31"/>
      <c r="T24" s="31"/>
      <c r="U24" s="31">
        <v>0.4</v>
      </c>
      <c r="V24" s="31">
        <f t="shared" si="10"/>
        <v>3.6416605972323379E-2</v>
      </c>
      <c r="W24" s="31">
        <f>2.996</f>
        <v>2.996</v>
      </c>
      <c r="X24" s="31">
        <f t="shared" si="11"/>
        <v>0.27276037873270209</v>
      </c>
      <c r="Y24" s="626">
        <f t="shared" si="9"/>
        <v>3.6094134047160953</v>
      </c>
      <c r="Z24" s="31">
        <f t="shared" si="12"/>
        <v>0.32860646437692048</v>
      </c>
      <c r="AA24" s="592">
        <v>0.5</v>
      </c>
      <c r="AB24" s="31">
        <f t="shared" si="13"/>
        <v>4.5520757465404217E-2</v>
      </c>
      <c r="AC24" s="592">
        <v>3.4</v>
      </c>
      <c r="AD24" s="31">
        <f t="shared" si="14"/>
        <v>0.3095411507647487</v>
      </c>
      <c r="AE24" s="592">
        <v>21.5</v>
      </c>
      <c r="AF24" s="31">
        <f t="shared" si="15"/>
        <v>1.9573925710123816</v>
      </c>
      <c r="AG24" s="592">
        <v>4.1395865952839994</v>
      </c>
      <c r="AH24" s="31">
        <f t="shared" si="16"/>
        <v>0.37687423482192273</v>
      </c>
      <c r="AI24" s="31">
        <f>30.865</f>
        <v>30.864999999999998</v>
      </c>
      <c r="CD24" s="226"/>
    </row>
    <row r="25" spans="1:82" hidden="1">
      <c r="A25" s="625" t="s">
        <v>22</v>
      </c>
      <c r="B25" s="31">
        <v>1114.7</v>
      </c>
      <c r="C25" s="31">
        <v>106.9</v>
      </c>
      <c r="D25" s="31">
        <f t="shared" si="7"/>
        <v>9.5900242217637022</v>
      </c>
      <c r="E25" s="31">
        <f>289.847</f>
        <v>289.84699999999998</v>
      </c>
      <c r="F25" s="31">
        <f t="shared" si="0"/>
        <v>26.002242755898447</v>
      </c>
      <c r="G25" s="31">
        <f>33.681</f>
        <v>33.680999999999997</v>
      </c>
      <c r="H25" s="31">
        <f t="shared" si="1"/>
        <v>3.0215304566251007</v>
      </c>
      <c r="I25" s="31">
        <v>59.1</v>
      </c>
      <c r="J25" s="31">
        <f t="shared" si="2"/>
        <v>5.3018749439311019</v>
      </c>
      <c r="K25" s="31">
        <f>60.899</f>
        <v>60.899000000000001</v>
      </c>
      <c r="L25" s="31">
        <f t="shared" si="3"/>
        <v>5.463263658383422</v>
      </c>
      <c r="M25" s="31">
        <f>80.911</f>
        <v>80.911000000000001</v>
      </c>
      <c r="N25" s="31">
        <f t="shared" si="4"/>
        <v>7.2585448999730868</v>
      </c>
      <c r="O25" s="31">
        <f>126.126</f>
        <v>126.126</v>
      </c>
      <c r="P25" s="31">
        <f t="shared" si="5"/>
        <v>11.314793217906164</v>
      </c>
      <c r="Q25" s="31">
        <v>321.8</v>
      </c>
      <c r="R25" s="31">
        <f t="shared" si="6"/>
        <v>28.868753924822819</v>
      </c>
      <c r="S25" s="31"/>
      <c r="T25" s="31"/>
      <c r="U25" s="31">
        <v>0.4</v>
      </c>
      <c r="V25" s="31">
        <f t="shared" si="10"/>
        <v>3.5884094375168207E-2</v>
      </c>
      <c r="W25" s="31">
        <f>2.828</f>
        <v>2.8279999999999998</v>
      </c>
      <c r="X25" s="31">
        <f t="shared" si="11"/>
        <v>0.25370054723243918</v>
      </c>
      <c r="Y25" s="626">
        <f t="shared" si="9"/>
        <v>2.9622000000000037</v>
      </c>
      <c r="Z25" s="31">
        <f t="shared" si="12"/>
        <v>0.26573966089530848</v>
      </c>
      <c r="AA25" s="592">
        <v>1.4799999999999999E-2</v>
      </c>
      <c r="AB25" s="31">
        <f t="shared" si="13"/>
        <v>1.3277114918812236E-3</v>
      </c>
      <c r="AC25" s="592">
        <v>3.5954000000000002</v>
      </c>
      <c r="AD25" s="31">
        <f t="shared" si="14"/>
        <v>0.32254418229119941</v>
      </c>
      <c r="AE25" s="592">
        <v>21.56</v>
      </c>
      <c r="AF25" s="31">
        <f t="shared" si="15"/>
        <v>1.9341526868215659</v>
      </c>
      <c r="AG25" s="592">
        <v>4.0756000000000006</v>
      </c>
      <c r="AH25" s="31">
        <f t="shared" si="16"/>
        <v>0.36562303758858888</v>
      </c>
      <c r="AI25" s="31">
        <f>35.464</f>
        <v>35.463999999999999</v>
      </c>
      <c r="CD25" s="226"/>
    </row>
    <row r="26" spans="1:82" hidden="1">
      <c r="A26" s="625" t="s">
        <v>23</v>
      </c>
      <c r="B26" s="31">
        <v>1079.5999999999999</v>
      </c>
      <c r="C26" s="31">
        <v>59.2</v>
      </c>
      <c r="D26" s="31">
        <f t="shared" si="7"/>
        <v>5.4835124120044467</v>
      </c>
      <c r="E26" s="31">
        <f>290.784</f>
        <v>290.78399999999999</v>
      </c>
      <c r="F26" s="31">
        <f t="shared" si="0"/>
        <v>26.934420155613193</v>
      </c>
      <c r="G26" s="31">
        <f>29.642</f>
        <v>29.641999999999999</v>
      </c>
      <c r="H26" s="31">
        <f t="shared" si="1"/>
        <v>2.7456465357539832</v>
      </c>
      <c r="I26" s="31">
        <v>59.8</v>
      </c>
      <c r="J26" s="31">
        <f t="shared" si="2"/>
        <v>5.5390885513153023</v>
      </c>
      <c r="K26" s="31">
        <f>64.896</f>
        <v>64.896000000000001</v>
      </c>
      <c r="L26" s="31">
        <f t="shared" si="3"/>
        <v>6.011115227862172</v>
      </c>
      <c r="M26" s="31">
        <f>85.02</f>
        <v>85.02</v>
      </c>
      <c r="N26" s="31">
        <f t="shared" si="4"/>
        <v>7.8751389403482781</v>
      </c>
      <c r="O26" s="31">
        <f>115.771</f>
        <v>115.771</v>
      </c>
      <c r="P26" s="31">
        <f t="shared" si="5"/>
        <v>10.723508706928493</v>
      </c>
      <c r="Q26" s="31">
        <v>339.4</v>
      </c>
      <c r="R26" s="31">
        <f t="shared" si="6"/>
        <v>31.437569470174136</v>
      </c>
      <c r="S26" s="31"/>
      <c r="T26" s="31"/>
      <c r="U26" s="31">
        <v>0.4</v>
      </c>
      <c r="V26" s="31">
        <f t="shared" si="10"/>
        <v>3.7050759540570584E-2</v>
      </c>
      <c r="W26" s="31">
        <f>6.354</f>
        <v>6.3540000000000001</v>
      </c>
      <c r="X26" s="31">
        <f t="shared" si="11"/>
        <v>0.5885513153019637</v>
      </c>
      <c r="Y26" s="626">
        <f t="shared" si="9"/>
        <v>0.68139999999994938</v>
      </c>
      <c r="Z26" s="31">
        <f t="shared" si="12"/>
        <v>6.3115968877357306E-2</v>
      </c>
      <c r="AA26" s="592">
        <v>7.5200000000000003E-2</v>
      </c>
      <c r="AB26" s="31">
        <f t="shared" si="13"/>
        <v>6.9655427936272706E-3</v>
      </c>
      <c r="AC26" s="592">
        <v>3.5927999999999995</v>
      </c>
      <c r="AD26" s="31">
        <f t="shared" si="14"/>
        <v>0.33278992219340492</v>
      </c>
      <c r="AE26" s="592">
        <v>20.908799999999999</v>
      </c>
      <c r="AF26" s="31">
        <f t="shared" si="15"/>
        <v>1.9367173027047058</v>
      </c>
      <c r="AG26" s="592">
        <v>3.0748000000000006</v>
      </c>
      <c r="AH26" s="31">
        <f t="shared" si="16"/>
        <v>0.28480918858836618</v>
      </c>
      <c r="AI26" s="31">
        <f>38.128</f>
        <v>38.128</v>
      </c>
      <c r="CD26" s="226"/>
    </row>
    <row r="27" spans="1:82" hidden="1">
      <c r="A27" s="625" t="s">
        <v>24</v>
      </c>
      <c r="B27" s="31">
        <v>1116.5</v>
      </c>
      <c r="C27" s="31">
        <v>55.78</v>
      </c>
      <c r="D27" s="31">
        <f t="shared" si="7"/>
        <v>4.9959695476936856</v>
      </c>
      <c r="E27" s="31">
        <f>304.857</f>
        <v>304.85700000000003</v>
      </c>
      <c r="F27" s="31">
        <f t="shared" si="0"/>
        <v>27.304702194357372</v>
      </c>
      <c r="G27" s="31">
        <f>37.719</f>
        <v>37.719000000000001</v>
      </c>
      <c r="H27" s="31">
        <f t="shared" si="1"/>
        <v>3.3783251231527096</v>
      </c>
      <c r="I27" s="31">
        <v>60.2</v>
      </c>
      <c r="J27" s="31">
        <f t="shared" si="2"/>
        <v>5.3918495297805649</v>
      </c>
      <c r="K27" s="31">
        <f>67.497</f>
        <v>67.497</v>
      </c>
      <c r="L27" s="31">
        <f t="shared" si="3"/>
        <v>6.0454097626511416</v>
      </c>
      <c r="M27" s="31">
        <f>86.345</f>
        <v>86.344999999999999</v>
      </c>
      <c r="N27" s="31">
        <f t="shared" si="4"/>
        <v>7.7335423197492164</v>
      </c>
      <c r="O27" s="31">
        <f>114.745</f>
        <v>114.745</v>
      </c>
      <c r="P27" s="31">
        <f t="shared" si="5"/>
        <v>10.277205553067622</v>
      </c>
      <c r="Q27" s="31">
        <v>354.8</v>
      </c>
      <c r="R27" s="31">
        <f t="shared" si="6"/>
        <v>31.777877295118671</v>
      </c>
      <c r="S27" s="31"/>
      <c r="T27" s="31"/>
      <c r="U27" s="31">
        <v>0.4</v>
      </c>
      <c r="V27" s="31">
        <f t="shared" si="10"/>
        <v>3.582624272279445E-2</v>
      </c>
      <c r="W27" s="31">
        <f>3.145</f>
        <v>3.145</v>
      </c>
      <c r="X27" s="31">
        <f t="shared" si="11"/>
        <v>0.28168383340797132</v>
      </c>
      <c r="Y27" s="626">
        <f t="shared" si="9"/>
        <v>2.2063999999999795</v>
      </c>
      <c r="Z27" s="31">
        <f t="shared" si="12"/>
        <v>0.19761755485893234</v>
      </c>
      <c r="AA27" s="592">
        <v>0.31579999999999997</v>
      </c>
      <c r="AB27" s="31">
        <f t="shared" si="13"/>
        <v>2.8284818629646213E-2</v>
      </c>
      <c r="AC27" s="592">
        <v>3.9665999999999997</v>
      </c>
      <c r="AD27" s="31">
        <f t="shared" si="14"/>
        <v>0.35527093596059106</v>
      </c>
      <c r="AE27" s="592">
        <v>21</v>
      </c>
      <c r="AF27" s="31">
        <f t="shared" si="15"/>
        <v>1.8808777429467085</v>
      </c>
      <c r="AG27" s="592">
        <v>3.5232000000000006</v>
      </c>
      <c r="AH27" s="31">
        <f t="shared" si="16"/>
        <v>0.31555754590237356</v>
      </c>
      <c r="AI27" s="31">
        <f>32.296</f>
        <v>32.295999999999999</v>
      </c>
      <c r="CD27" s="226"/>
    </row>
    <row r="28" spans="1:82" hidden="1">
      <c r="A28" s="625" t="s">
        <v>25</v>
      </c>
      <c r="B28" s="31">
        <v>1208.8</v>
      </c>
      <c r="C28" s="31">
        <v>57.46</v>
      </c>
      <c r="D28" s="31">
        <f t="shared" si="7"/>
        <v>4.7534745201853079</v>
      </c>
      <c r="E28" s="31">
        <f>304.526</f>
        <v>304.52600000000001</v>
      </c>
      <c r="F28" s="31">
        <f t="shared" si="0"/>
        <v>25.192422236929186</v>
      </c>
      <c r="G28" s="31">
        <f>101.518</f>
        <v>101.518</v>
      </c>
      <c r="H28" s="31">
        <f t="shared" si="1"/>
        <v>8.3982461945731313</v>
      </c>
      <c r="I28" s="31">
        <v>65</v>
      </c>
      <c r="J28" s="31">
        <f t="shared" si="2"/>
        <v>5.3772336201191271</v>
      </c>
      <c r="K28" s="31">
        <f>66.862</f>
        <v>66.861999999999995</v>
      </c>
      <c r="L28" s="31">
        <f t="shared" si="3"/>
        <v>5.5312706816677695</v>
      </c>
      <c r="M28" s="31">
        <f>87.463</f>
        <v>87.462999999999994</v>
      </c>
      <c r="N28" s="31">
        <f t="shared" si="4"/>
        <v>7.2355228325612169</v>
      </c>
      <c r="O28" s="31">
        <f>122.483</f>
        <v>122.483</v>
      </c>
      <c r="P28" s="31">
        <f t="shared" si="5"/>
        <v>10.132610853739246</v>
      </c>
      <c r="Q28" s="31">
        <v>364.4</v>
      </c>
      <c r="R28" s="31">
        <f t="shared" si="6"/>
        <v>30.145598941098612</v>
      </c>
      <c r="S28" s="31"/>
      <c r="T28" s="31"/>
      <c r="U28" s="31">
        <v>0.4</v>
      </c>
      <c r="V28" s="31">
        <f t="shared" si="10"/>
        <v>3.3090668431502324E-2</v>
      </c>
      <c r="W28" s="31">
        <f>6.348</f>
        <v>6.3479999999999999</v>
      </c>
      <c r="X28" s="31">
        <f t="shared" si="11"/>
        <v>0.52514890800794178</v>
      </c>
      <c r="Y28" s="626">
        <f t="shared" si="9"/>
        <v>3.3509999999999494</v>
      </c>
      <c r="Z28" s="31">
        <f t="shared" si="12"/>
        <v>0.27721707478490648</v>
      </c>
      <c r="AA28" s="592">
        <v>0</v>
      </c>
      <c r="AB28" s="31">
        <f t="shared" si="13"/>
        <v>0</v>
      </c>
      <c r="AC28" s="592">
        <v>4.24</v>
      </c>
      <c r="AD28" s="31">
        <f t="shared" si="14"/>
        <v>0.35076108537392459</v>
      </c>
      <c r="AE28" s="592">
        <v>21</v>
      </c>
      <c r="AF28" s="31">
        <f t="shared" si="15"/>
        <v>1.7372600926538715</v>
      </c>
      <c r="AG28" s="592">
        <v>3.7490000000000023</v>
      </c>
      <c r="AH28" s="31">
        <f t="shared" si="16"/>
        <v>0.31014228987425563</v>
      </c>
      <c r="AI28" s="31">
        <f>32.021</f>
        <v>32.021000000000001</v>
      </c>
      <c r="CD28" s="226"/>
    </row>
    <row r="29" spans="1:82" hidden="1">
      <c r="A29" s="625" t="s">
        <v>26</v>
      </c>
      <c r="B29" s="31">
        <v>1245.0999999999999</v>
      </c>
      <c r="C29" s="31">
        <v>63.2</v>
      </c>
      <c r="D29" s="31">
        <f t="shared" si="7"/>
        <v>5.0758975182716259</v>
      </c>
      <c r="E29" s="31">
        <f>312.839</f>
        <v>312.839</v>
      </c>
      <c r="F29" s="31">
        <f t="shared" si="0"/>
        <v>25.125612400610393</v>
      </c>
      <c r="G29" s="31">
        <f>103.485</f>
        <v>103.485</v>
      </c>
      <c r="H29" s="31">
        <f t="shared" si="1"/>
        <v>8.3113806119990361</v>
      </c>
      <c r="I29" s="31">
        <v>85.31</v>
      </c>
      <c r="J29" s="31">
        <f t="shared" si="2"/>
        <v>6.851658501325196</v>
      </c>
      <c r="K29" s="31">
        <f>68.268</f>
        <v>68.268000000000001</v>
      </c>
      <c r="L29" s="31">
        <f t="shared" si="3"/>
        <v>5.4829330977431532</v>
      </c>
      <c r="M29" s="31">
        <f>78.202</f>
        <v>78.201999999999998</v>
      </c>
      <c r="N29" s="31">
        <f t="shared" si="4"/>
        <v>6.2807806601879372</v>
      </c>
      <c r="O29" s="31">
        <f>120.962</f>
        <v>120.962</v>
      </c>
      <c r="P29" s="31">
        <f t="shared" si="5"/>
        <v>9.715042968436272</v>
      </c>
      <c r="Q29" s="31">
        <v>345.9</v>
      </c>
      <c r="R29" s="31">
        <f t="shared" si="6"/>
        <v>27.780901132439162</v>
      </c>
      <c r="S29" s="31"/>
      <c r="T29" s="31"/>
      <c r="U29" s="31">
        <v>0.5</v>
      </c>
      <c r="V29" s="31">
        <f t="shared" si="10"/>
        <v>4.0157417074933741E-2</v>
      </c>
      <c r="W29" s="31">
        <f>4.431</f>
        <v>4.431</v>
      </c>
      <c r="X29" s="31">
        <f t="shared" si="11"/>
        <v>0.35587503011806287</v>
      </c>
      <c r="Y29" s="626">
        <f t="shared" si="9"/>
        <v>33.162799999999812</v>
      </c>
      <c r="Z29" s="31">
        <f t="shared" si="12"/>
        <v>2.6634647819452106</v>
      </c>
      <c r="AA29" s="592">
        <v>0.21800000000000003</v>
      </c>
      <c r="AB29" s="31">
        <f t="shared" si="13"/>
        <v>1.7508633844671113E-2</v>
      </c>
      <c r="AC29" s="592">
        <v>4.24</v>
      </c>
      <c r="AD29" s="31">
        <f t="shared" si="14"/>
        <v>0.34053489679543814</v>
      </c>
      <c r="AE29" s="592">
        <v>21</v>
      </c>
      <c r="AF29" s="31">
        <f t="shared" si="15"/>
        <v>1.6866115171472171</v>
      </c>
      <c r="AG29" s="592">
        <v>3.3821999999999983</v>
      </c>
      <c r="AH29" s="31">
        <f t="shared" si="16"/>
        <v>0.27164083206168171</v>
      </c>
      <c r="AI29" s="31">
        <v>42.354999999999997</v>
      </c>
      <c r="CD29" s="226"/>
    </row>
    <row r="30" spans="1:82" hidden="1">
      <c r="A30" s="625" t="s">
        <v>27</v>
      </c>
      <c r="B30" s="31">
        <v>1311.6</v>
      </c>
      <c r="C30" s="31">
        <v>67.400000000000006</v>
      </c>
      <c r="D30" s="31">
        <f t="shared" si="7"/>
        <v>5.1387618176273264</v>
      </c>
      <c r="E30" s="31">
        <f>330.175</f>
        <v>330.17500000000001</v>
      </c>
      <c r="F30" s="31">
        <f t="shared" si="0"/>
        <v>25.173452272034158</v>
      </c>
      <c r="G30" s="31">
        <f>125.999</f>
        <v>125.999</v>
      </c>
      <c r="H30" s="31">
        <f t="shared" si="1"/>
        <v>9.6065111314425131</v>
      </c>
      <c r="I30" s="31">
        <v>91.9</v>
      </c>
      <c r="J30" s="31">
        <f t="shared" si="2"/>
        <v>7.0067093626105521</v>
      </c>
      <c r="K30" s="31">
        <f>74.635</f>
        <v>74.635000000000005</v>
      </c>
      <c r="L30" s="31">
        <f t="shared" si="3"/>
        <v>5.6903781640744135</v>
      </c>
      <c r="M30" s="31">
        <f>81.848</f>
        <v>81.847999999999999</v>
      </c>
      <c r="N30" s="31">
        <f t="shared" si="4"/>
        <v>6.2403171698688631</v>
      </c>
      <c r="O30" s="31">
        <f>123.629</f>
        <v>123.629</v>
      </c>
      <c r="P30" s="31">
        <f t="shared" si="5"/>
        <v>9.4258157974992383</v>
      </c>
      <c r="Q30" s="31">
        <v>376.9</v>
      </c>
      <c r="R30" s="31">
        <f t="shared" si="6"/>
        <v>28.735895089966451</v>
      </c>
      <c r="S30" s="31"/>
      <c r="T30" s="31"/>
      <c r="U30" s="31">
        <v>0.5</v>
      </c>
      <c r="V30" s="31">
        <f t="shared" si="10"/>
        <v>3.8121378469045439E-2</v>
      </c>
      <c r="W30" s="31">
        <v>3</v>
      </c>
      <c r="X30" s="31">
        <f t="shared" si="11"/>
        <v>0.22872827081427266</v>
      </c>
      <c r="Y30" s="626">
        <f t="shared" si="9"/>
        <v>6.4771999999999261</v>
      </c>
      <c r="Z30" s="31">
        <f t="shared" si="12"/>
        <v>0.49383958523939669</v>
      </c>
      <c r="AA30" s="592">
        <v>0.68720000000000003</v>
      </c>
      <c r="AB30" s="31">
        <f t="shared" si="13"/>
        <v>5.2394022567856052E-2</v>
      </c>
      <c r="AC30" s="592">
        <v>4.5739999999999998</v>
      </c>
      <c r="AD30" s="31">
        <f t="shared" si="14"/>
        <v>0.34873437023482773</v>
      </c>
      <c r="AE30" s="592">
        <v>20.273199999999999</v>
      </c>
      <c r="AF30" s="31">
        <f t="shared" si="15"/>
        <v>1.545684659957304</v>
      </c>
      <c r="AG30" s="592">
        <v>3.6023999999999985</v>
      </c>
      <c r="AH30" s="31">
        <f t="shared" si="16"/>
        <v>0.27465690759377853</v>
      </c>
      <c r="AI30" s="31">
        <f>34.589</f>
        <v>34.588999999999999</v>
      </c>
      <c r="CD30" s="226"/>
    </row>
    <row r="31" spans="1:82" hidden="1">
      <c r="A31" s="625" t="s">
        <v>28</v>
      </c>
      <c r="B31" s="31">
        <v>1358.5</v>
      </c>
      <c r="C31" s="31">
        <v>68.8</v>
      </c>
      <c r="D31" s="31">
        <f t="shared" si="7"/>
        <v>5.0644092749355902</v>
      </c>
      <c r="E31" s="31">
        <f>343.424</f>
        <v>343.42399999999998</v>
      </c>
      <c r="F31" s="31">
        <f t="shared" si="0"/>
        <v>25.279646669120353</v>
      </c>
      <c r="G31" s="31">
        <f>144.505</f>
        <v>144.505</v>
      </c>
      <c r="H31" s="31">
        <f t="shared" si="1"/>
        <v>10.637099742362901</v>
      </c>
      <c r="I31" s="31">
        <v>96.2</v>
      </c>
      <c r="J31" s="31">
        <f t="shared" si="2"/>
        <v>7.0813397129186608</v>
      </c>
      <c r="K31" s="31">
        <f>76.933</f>
        <v>76.933000000000007</v>
      </c>
      <c r="L31" s="31">
        <f t="shared" si="3"/>
        <v>5.6630842841369162</v>
      </c>
      <c r="M31" s="31">
        <f>81.798</f>
        <v>81.798000000000002</v>
      </c>
      <c r="N31" s="31">
        <f t="shared" si="4"/>
        <v>6.0211998527788007</v>
      </c>
      <c r="O31" s="31">
        <f>122.754</f>
        <v>122.754</v>
      </c>
      <c r="P31" s="31">
        <f t="shared" si="5"/>
        <v>9.0359955833640058</v>
      </c>
      <c r="Q31" s="31">
        <v>382</v>
      </c>
      <c r="R31" s="31">
        <f t="shared" si="6"/>
        <v>28.11924917188075</v>
      </c>
      <c r="S31" s="31"/>
      <c r="T31" s="31"/>
      <c r="U31" s="31">
        <v>0.5</v>
      </c>
      <c r="V31" s="31">
        <f t="shared" si="10"/>
        <v>3.6805299963194697E-2</v>
      </c>
      <c r="W31" s="31">
        <f>3.539</f>
        <v>3.5390000000000001</v>
      </c>
      <c r="X31" s="31">
        <f t="shared" si="11"/>
        <v>0.26050791313949212</v>
      </c>
      <c r="Y31" s="626">
        <f t="shared" si="9"/>
        <v>8.7206000000000277</v>
      </c>
      <c r="Z31" s="31">
        <f t="shared" si="12"/>
        <v>0.64192859771807342</v>
      </c>
      <c r="AA31" s="592">
        <v>0.98</v>
      </c>
      <c r="AB31" s="31">
        <f t="shared" si="13"/>
        <v>7.2138387927861605E-2</v>
      </c>
      <c r="AC31" s="592">
        <v>4.5599999999999996</v>
      </c>
      <c r="AD31" s="31">
        <f t="shared" si="14"/>
        <v>0.33566433566433562</v>
      </c>
      <c r="AE31" s="592">
        <v>20.1538</v>
      </c>
      <c r="AF31" s="31">
        <f t="shared" si="15"/>
        <v>1.4835333087964668</v>
      </c>
      <c r="AG31" s="592">
        <v>3.6325999999999978</v>
      </c>
      <c r="AH31" s="31">
        <f t="shared" si="16"/>
        <v>0.26739786529260196</v>
      </c>
      <c r="AI31" s="31">
        <f>34.602</f>
        <v>34.601999999999997</v>
      </c>
      <c r="CD31" s="226"/>
    </row>
    <row r="32" spans="1:82" hidden="1">
      <c r="A32" s="625" t="s">
        <v>29</v>
      </c>
      <c r="B32" s="31">
        <v>1441</v>
      </c>
      <c r="C32" s="31">
        <v>68.2</v>
      </c>
      <c r="D32" s="31">
        <f t="shared" si="7"/>
        <v>4.7328244274809164</v>
      </c>
      <c r="E32" s="31">
        <f>361.002</f>
        <v>361.00200000000001</v>
      </c>
      <c r="F32" s="31">
        <f t="shared" si="0"/>
        <v>25.052185981956974</v>
      </c>
      <c r="G32" s="31">
        <f>181.357</f>
        <v>181.357</v>
      </c>
      <c r="H32" s="31">
        <f t="shared" si="1"/>
        <v>12.585496183206107</v>
      </c>
      <c r="I32" s="31">
        <v>97.6</v>
      </c>
      <c r="J32" s="31">
        <f t="shared" si="2"/>
        <v>6.7730742539902842</v>
      </c>
      <c r="K32" s="31">
        <f>82.235</f>
        <v>82.234999999999999</v>
      </c>
      <c r="L32" s="31">
        <f t="shared" si="3"/>
        <v>5.7068008327550306</v>
      </c>
      <c r="M32" s="31">
        <f>83.346</f>
        <v>83.346000000000004</v>
      </c>
      <c r="N32" s="31">
        <f t="shared" si="4"/>
        <v>5.7839000693962532</v>
      </c>
      <c r="O32" s="31">
        <f>128.161</f>
        <v>128.161</v>
      </c>
      <c r="P32" s="31">
        <f t="shared" si="5"/>
        <v>8.8938931297709924</v>
      </c>
      <c r="Q32" s="31">
        <v>389.2</v>
      </c>
      <c r="R32" s="31">
        <f t="shared" si="6"/>
        <v>27.009021512838306</v>
      </c>
      <c r="S32" s="31"/>
      <c r="T32" s="31"/>
      <c r="U32" s="31">
        <v>0.5</v>
      </c>
      <c r="V32" s="31">
        <f t="shared" si="10"/>
        <v>3.4698126301179737E-2</v>
      </c>
      <c r="W32" s="31">
        <f>8.216</f>
        <v>8.2159999999999993</v>
      </c>
      <c r="X32" s="31">
        <f t="shared" si="11"/>
        <v>0.57015961138098536</v>
      </c>
      <c r="Y32" s="626">
        <f t="shared" si="9"/>
        <v>11.591199999999985</v>
      </c>
      <c r="Z32" s="31">
        <f t="shared" si="12"/>
        <v>0.80438584316446815</v>
      </c>
      <c r="AA32" s="592">
        <v>1.212</v>
      </c>
      <c r="AB32" s="31">
        <f t="shared" si="13"/>
        <v>8.4108258154059673E-2</v>
      </c>
      <c r="AC32" s="592">
        <v>4.6452</v>
      </c>
      <c r="AD32" s="31">
        <f t="shared" si="14"/>
        <v>0.32235947258848019</v>
      </c>
      <c r="AE32" s="592">
        <v>20.147200000000002</v>
      </c>
      <c r="AF32" s="31">
        <f t="shared" si="15"/>
        <v>1.3981401804302569</v>
      </c>
      <c r="AG32" s="592">
        <v>3.5874000000000001</v>
      </c>
      <c r="AH32" s="31">
        <f t="shared" si="16"/>
        <v>0.2489521165857044</v>
      </c>
      <c r="AI32" s="31">
        <f>45.782</f>
        <v>45.781999999999996</v>
      </c>
      <c r="CD32" s="226"/>
    </row>
    <row r="33" spans="1:82" hidden="1">
      <c r="A33" s="625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>
        <f t="shared" si="9"/>
        <v>0</v>
      </c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CD33" s="226"/>
    </row>
    <row r="34" spans="1:82">
      <c r="A34" s="624">
        <v>2006</v>
      </c>
      <c r="B34" s="31">
        <f>+B46</f>
        <v>2362.721</v>
      </c>
      <c r="C34" s="31">
        <f t="shared" ref="C34:AI34" si="17">+C46</f>
        <v>77.655000000000001</v>
      </c>
      <c r="D34" s="31">
        <f t="shared" si="17"/>
        <v>3.2866766749015222</v>
      </c>
      <c r="E34" s="31">
        <f t="shared" si="17"/>
        <v>647.19000000000005</v>
      </c>
      <c r="F34" s="31">
        <f t="shared" si="17"/>
        <v>27.391723356249003</v>
      </c>
      <c r="G34" s="31">
        <f t="shared" si="17"/>
        <v>92.158000000000001</v>
      </c>
      <c r="H34" s="31">
        <f t="shared" si="17"/>
        <v>3.9005028524315826</v>
      </c>
      <c r="I34" s="31">
        <f t="shared" si="17"/>
        <v>136.48699999999999</v>
      </c>
      <c r="J34" s="31">
        <f t="shared" si="17"/>
        <v>5.7766871331824623</v>
      </c>
      <c r="K34" s="31">
        <f t="shared" si="17"/>
        <v>152.53100000000001</v>
      </c>
      <c r="L34" s="31">
        <f t="shared" si="17"/>
        <v>6.4557347228047668</v>
      </c>
      <c r="M34" s="31">
        <f t="shared" si="17"/>
        <v>192.57599999999999</v>
      </c>
      <c r="N34" s="31">
        <f t="shared" si="17"/>
        <v>8.150602631457545</v>
      </c>
      <c r="O34" s="31">
        <f t="shared" si="17"/>
        <v>214.85300000000001</v>
      </c>
      <c r="P34" s="31">
        <f t="shared" si="17"/>
        <v>9.0934562311842999</v>
      </c>
      <c r="Q34" s="31">
        <f t="shared" si="17"/>
        <v>778</v>
      </c>
      <c r="R34" s="31">
        <f t="shared" si="17"/>
        <v>32.928136669543292</v>
      </c>
      <c r="S34" s="31">
        <f t="shared" si="17"/>
        <v>63.300899999999999</v>
      </c>
      <c r="T34" s="31">
        <f t="shared" si="17"/>
        <v>2.6791525533484486</v>
      </c>
      <c r="U34" s="31">
        <f t="shared" si="17"/>
        <v>1.2170000000000001</v>
      </c>
      <c r="V34" s="31">
        <f t="shared" si="17"/>
        <v>5.1508409160455258E-2</v>
      </c>
      <c r="W34" s="31">
        <f t="shared" si="17"/>
        <v>18.163</v>
      </c>
      <c r="X34" s="31">
        <f t="shared" si="17"/>
        <v>0.76873232175953066</v>
      </c>
      <c r="Y34" s="31">
        <f t="shared" si="9"/>
        <v>10.403999999999719</v>
      </c>
      <c r="Z34" s="31">
        <f t="shared" si="17"/>
        <v>0.44033976080966475</v>
      </c>
      <c r="AA34" s="31">
        <f t="shared" si="17"/>
        <v>2.0459999999999998</v>
      </c>
      <c r="AB34" s="31">
        <f t="shared" si="17"/>
        <v>8.659507406926166E-2</v>
      </c>
      <c r="AC34" s="31">
        <f t="shared" si="17"/>
        <v>13.151</v>
      </c>
      <c r="AD34" s="31">
        <f t="shared" si="17"/>
        <v>0.55660401714802554</v>
      </c>
      <c r="AE34" s="31">
        <f t="shared" si="17"/>
        <v>20.363</v>
      </c>
      <c r="AF34" s="31">
        <f t="shared" si="17"/>
        <v>0.86184530462970443</v>
      </c>
      <c r="AG34" s="31">
        <f t="shared" si="17"/>
        <v>5.9269999999999996</v>
      </c>
      <c r="AH34" s="31">
        <f t="shared" si="17"/>
        <v>0.25085484066887287</v>
      </c>
      <c r="AI34" s="31">
        <f t="shared" si="17"/>
        <v>47.094000000000001</v>
      </c>
      <c r="CD34" s="226"/>
    </row>
    <row r="35" spans="1:82" hidden="1">
      <c r="A35" s="625" t="s">
        <v>18</v>
      </c>
      <c r="B35" s="31">
        <v>1389.0360000000001</v>
      </c>
      <c r="C35" s="31">
        <v>68.900000000000006</v>
      </c>
      <c r="D35" s="31">
        <f t="shared" ref="D35:D46" si="18">C35/$B35*100</f>
        <v>4.9602746077135507</v>
      </c>
      <c r="E35" s="31">
        <v>363.1</v>
      </c>
      <c r="F35" s="31">
        <f t="shared" ref="F35:F46" si="19">E35/$B35*100</f>
        <v>26.14043120552671</v>
      </c>
      <c r="G35" s="31">
        <v>117.7</v>
      </c>
      <c r="H35" s="31">
        <f t="shared" ref="H35:H46" si="20">G35/$B35*100</f>
        <v>8.4735024866166171</v>
      </c>
      <c r="I35" s="31">
        <v>102</v>
      </c>
      <c r="J35" s="31">
        <f t="shared" ref="J35:J46" si="21">I35/$B35*100</f>
        <v>7.3432222059039498</v>
      </c>
      <c r="K35" s="31">
        <v>89.4</v>
      </c>
      <c r="L35" s="31">
        <f t="shared" ref="L35:L46" si="22">K35/$B35*100</f>
        <v>6.4361182863511095</v>
      </c>
      <c r="M35" s="31">
        <v>85.2</v>
      </c>
      <c r="N35" s="31">
        <f t="shared" ref="N35:N46" si="23">M35/$B35*100</f>
        <v>6.1337503131668294</v>
      </c>
      <c r="O35" s="31">
        <v>121.4</v>
      </c>
      <c r="P35" s="31">
        <f t="shared" ref="P35:P46" si="24">O35/$B35*100</f>
        <v>8.7398742725170546</v>
      </c>
      <c r="Q35" s="31">
        <v>408.6</v>
      </c>
      <c r="R35" s="31">
        <f t="shared" ref="R35:R46" si="25">Q35/$B35*100</f>
        <v>29.416084248356416</v>
      </c>
      <c r="S35" s="31"/>
      <c r="T35" s="31"/>
      <c r="U35" s="31">
        <v>0.5</v>
      </c>
      <c r="V35" s="31">
        <f t="shared" ref="V35:V46" si="26">U35/$B35*100</f>
        <v>3.5996187283842893E-2</v>
      </c>
      <c r="W35" s="31">
        <v>2.7</v>
      </c>
      <c r="X35" s="31">
        <f t="shared" ref="X35:X70" si="27">W35/$B35*100</f>
        <v>0.19437941133275163</v>
      </c>
      <c r="Y35" s="626">
        <f t="shared" si="9"/>
        <v>2.5280115599998347</v>
      </c>
      <c r="Z35" s="31">
        <f t="shared" ref="Z35:Z46" si="28">Y35/$B35*100</f>
        <v>0.18199755513894778</v>
      </c>
      <c r="AA35" s="592">
        <v>1.252</v>
      </c>
      <c r="AB35" s="592">
        <f t="shared" ref="AB35:AB46" si="29">AA35/B35*100</f>
        <v>9.0134452958742617E-2</v>
      </c>
      <c r="AC35" s="592">
        <v>4.4029999999999996</v>
      </c>
      <c r="AD35" s="592">
        <f t="shared" ref="AD35:AF46" si="30">AC35/$B35*100</f>
        <v>0.31698242522152048</v>
      </c>
      <c r="AE35" s="592">
        <v>20.146999999999998</v>
      </c>
      <c r="AF35" s="592">
        <f t="shared" si="30"/>
        <v>1.4504303704151655</v>
      </c>
      <c r="AG35" s="592">
        <v>1.2059884400000001</v>
      </c>
      <c r="AH35" s="592">
        <f t="shared" ref="AH35:AH46" si="31">AG35/$B35*100</f>
        <v>8.682197149677906E-2</v>
      </c>
      <c r="AI35" s="31">
        <v>35.9</v>
      </c>
      <c r="CD35" s="226"/>
    </row>
    <row r="36" spans="1:82" hidden="1">
      <c r="A36" s="625" t="s">
        <v>19</v>
      </c>
      <c r="B36" s="31">
        <v>1352.2049999999999</v>
      </c>
      <c r="C36" s="31">
        <v>66.679000000000002</v>
      </c>
      <c r="D36" s="31">
        <f t="shared" si="18"/>
        <v>4.9311310045444294</v>
      </c>
      <c r="E36" s="31">
        <v>373.59500000000003</v>
      </c>
      <c r="F36" s="31">
        <f t="shared" si="19"/>
        <v>27.628577027891481</v>
      </c>
      <c r="G36" s="31">
        <v>52.609000000000002</v>
      </c>
      <c r="H36" s="31">
        <f t="shared" si="20"/>
        <v>3.8906083027351621</v>
      </c>
      <c r="I36" s="31">
        <v>103.095</v>
      </c>
      <c r="J36" s="31">
        <f t="shared" si="21"/>
        <v>7.6242137841525519</v>
      </c>
      <c r="K36" s="31">
        <v>87.283000000000001</v>
      </c>
      <c r="L36" s="31">
        <f t="shared" si="22"/>
        <v>6.4548644621192794</v>
      </c>
      <c r="M36" s="31">
        <v>89.116</v>
      </c>
      <c r="N36" s="31">
        <f t="shared" si="23"/>
        <v>6.590420831160956</v>
      </c>
      <c r="O36" s="31">
        <v>116.051</v>
      </c>
      <c r="P36" s="31">
        <f t="shared" si="24"/>
        <v>8.582352527908121</v>
      </c>
      <c r="Q36" s="31">
        <v>419.262</v>
      </c>
      <c r="R36" s="31">
        <f t="shared" si="25"/>
        <v>31.005801635107105</v>
      </c>
      <c r="S36" s="31"/>
      <c r="T36" s="31"/>
      <c r="U36" s="31">
        <v>0.48199999999999998</v>
      </c>
      <c r="V36" s="31">
        <f t="shared" si="26"/>
        <v>3.5645482748547744E-2</v>
      </c>
      <c r="W36" s="31">
        <v>13.128</v>
      </c>
      <c r="X36" s="31">
        <f t="shared" si="27"/>
        <v>0.97085870855380652</v>
      </c>
      <c r="Y36" s="626">
        <f t="shared" si="9"/>
        <v>3.1936451999997191</v>
      </c>
      <c r="Z36" s="31">
        <f t="shared" si="28"/>
        <v>0.23618054954683051</v>
      </c>
      <c r="AA36" s="592">
        <v>1.1100000000000001</v>
      </c>
      <c r="AB36" s="592">
        <f t="shared" si="29"/>
        <v>8.2088144918854772E-2</v>
      </c>
      <c r="AC36" s="592">
        <v>4.4939999999999998</v>
      </c>
      <c r="AD36" s="592">
        <f t="shared" si="30"/>
        <v>0.33234605699579572</v>
      </c>
      <c r="AE36" s="592">
        <v>20.146999999999998</v>
      </c>
      <c r="AF36" s="592">
        <f t="shared" si="30"/>
        <v>1.4899368069190693</v>
      </c>
      <c r="AG36" s="592">
        <v>1.9603548000000002</v>
      </c>
      <c r="AH36" s="592">
        <f t="shared" si="31"/>
        <v>0.1449746746979933</v>
      </c>
      <c r="AI36" s="31">
        <v>39.799999999999997</v>
      </c>
      <c r="CD36" s="226"/>
    </row>
    <row r="37" spans="1:82" hidden="1">
      <c r="A37" s="625" t="s">
        <v>20</v>
      </c>
      <c r="B37" s="31">
        <v>1395.11</v>
      </c>
      <c r="C37" s="31">
        <v>66.701999999999998</v>
      </c>
      <c r="D37" s="31">
        <f t="shared" si="18"/>
        <v>4.7811283698059652</v>
      </c>
      <c r="E37" s="31">
        <v>390.56799999999998</v>
      </c>
      <c r="F37" s="31">
        <f t="shared" si="19"/>
        <v>27.995498562837341</v>
      </c>
      <c r="G37" s="31">
        <v>46.938000000000002</v>
      </c>
      <c r="H37" s="31">
        <f t="shared" si="20"/>
        <v>3.3644658844105488</v>
      </c>
      <c r="I37" s="31">
        <v>103.00700000000001</v>
      </c>
      <c r="J37" s="31">
        <f t="shared" si="21"/>
        <v>7.383432130799723</v>
      </c>
      <c r="K37" s="31">
        <v>91.784999999999997</v>
      </c>
      <c r="L37" s="31">
        <f t="shared" si="22"/>
        <v>6.5790511142490553</v>
      </c>
      <c r="M37" s="31">
        <v>96.620999999999995</v>
      </c>
      <c r="N37" s="31">
        <f t="shared" si="23"/>
        <v>6.925690447348237</v>
      </c>
      <c r="O37" s="31">
        <v>123.29600000000001</v>
      </c>
      <c r="P37" s="31">
        <f t="shared" si="24"/>
        <v>8.8377260574435006</v>
      </c>
      <c r="Q37" s="31">
        <v>438.59899999999999</v>
      </c>
      <c r="R37" s="31">
        <f t="shared" si="25"/>
        <v>31.438309523980191</v>
      </c>
      <c r="S37" s="31"/>
      <c r="T37" s="31"/>
      <c r="U37" s="31">
        <v>0.47199999999999998</v>
      </c>
      <c r="V37" s="31">
        <f t="shared" si="26"/>
        <v>3.3832457655668731E-2</v>
      </c>
      <c r="W37" s="31">
        <v>6.8</v>
      </c>
      <c r="X37" s="31">
        <f t="shared" si="27"/>
        <v>0.48741676283590546</v>
      </c>
      <c r="Y37" s="626">
        <f t="shared" si="9"/>
        <v>3.5671574700000961</v>
      </c>
      <c r="Z37" s="31">
        <f t="shared" si="28"/>
        <v>0.25569005096373021</v>
      </c>
      <c r="AA37" s="592">
        <v>0.90400000000000003</v>
      </c>
      <c r="AB37" s="592">
        <f t="shared" si="29"/>
        <v>6.4797757882890966E-2</v>
      </c>
      <c r="AC37" s="592">
        <v>4.649</v>
      </c>
      <c r="AD37" s="592">
        <f t="shared" si="30"/>
        <v>0.33323537212119475</v>
      </c>
      <c r="AE37" s="592">
        <v>20.265999999999998</v>
      </c>
      <c r="AF37" s="592">
        <f t="shared" si="30"/>
        <v>1.4526453111224205</v>
      </c>
      <c r="AG37" s="592">
        <v>0.93584252999999995</v>
      </c>
      <c r="AH37" s="592">
        <f t="shared" si="31"/>
        <v>6.7080196543641724E-2</v>
      </c>
      <c r="AI37" s="31">
        <v>51.4</v>
      </c>
      <c r="CD37" s="226"/>
    </row>
    <row r="38" spans="1:82" hidden="1">
      <c r="A38" s="625" t="s">
        <v>21</v>
      </c>
      <c r="B38" s="31">
        <v>1529.2</v>
      </c>
      <c r="C38" s="31">
        <v>64.658000000000001</v>
      </c>
      <c r="D38" s="31">
        <f t="shared" si="18"/>
        <v>4.2282239079257131</v>
      </c>
      <c r="E38" s="31">
        <v>421.24799999999999</v>
      </c>
      <c r="F38" s="31">
        <f t="shared" si="19"/>
        <v>27.546952654982999</v>
      </c>
      <c r="G38" s="31">
        <v>77.519000000000005</v>
      </c>
      <c r="H38" s="31">
        <f t="shared" si="20"/>
        <v>5.0692518964164268</v>
      </c>
      <c r="I38" s="31">
        <v>103.303</v>
      </c>
      <c r="J38" s="31">
        <f t="shared" si="21"/>
        <v>6.7553622809312053</v>
      </c>
      <c r="K38" s="31">
        <v>95.581999999999994</v>
      </c>
      <c r="L38" s="31">
        <f t="shared" si="22"/>
        <v>6.250457755689248</v>
      </c>
      <c r="M38" s="31">
        <v>106.16800000000001</v>
      </c>
      <c r="N38" s="31">
        <f t="shared" si="23"/>
        <v>6.9427151451739473</v>
      </c>
      <c r="O38" s="31">
        <v>125.52</v>
      </c>
      <c r="P38" s="31">
        <f t="shared" si="24"/>
        <v>8.2082134449385293</v>
      </c>
      <c r="Q38" s="31">
        <v>460.32900000000001</v>
      </c>
      <c r="R38" s="31">
        <f t="shared" si="25"/>
        <v>30.102602668061728</v>
      </c>
      <c r="S38" s="31"/>
      <c r="T38" s="31"/>
      <c r="U38" s="31">
        <v>0.495</v>
      </c>
      <c r="V38" s="31">
        <f t="shared" si="26"/>
        <v>3.2369866596913419E-2</v>
      </c>
      <c r="W38" s="31">
        <v>42.38</v>
      </c>
      <c r="X38" s="31">
        <f t="shared" si="27"/>
        <v>2.7713837300549309</v>
      </c>
      <c r="Y38" s="626">
        <f t="shared" si="9"/>
        <v>5.433750370000106</v>
      </c>
      <c r="Z38" s="31">
        <f t="shared" si="28"/>
        <v>0.3553328779754189</v>
      </c>
      <c r="AA38" s="592">
        <v>0.47199999999999998</v>
      </c>
      <c r="AB38" s="592">
        <f t="shared" si="29"/>
        <v>3.0865812189380067E-2</v>
      </c>
      <c r="AC38" s="592">
        <v>4.7140000000000004</v>
      </c>
      <c r="AD38" s="592">
        <f t="shared" si="30"/>
        <v>0.30826575987444416</v>
      </c>
      <c r="AE38" s="592">
        <v>20.265999999999998</v>
      </c>
      <c r="AF38" s="592">
        <f t="shared" si="30"/>
        <v>1.3252681140465601</v>
      </c>
      <c r="AG38" s="592">
        <v>1.11224963</v>
      </c>
      <c r="AH38" s="592">
        <f t="shared" si="31"/>
        <v>7.2734085142558205E-2</v>
      </c>
      <c r="AI38" s="31">
        <v>49.363999999999997</v>
      </c>
      <c r="CD38" s="226"/>
    </row>
    <row r="39" spans="1:82" hidden="1">
      <c r="A39" s="625" t="s">
        <v>22</v>
      </c>
      <c r="B39" s="31">
        <v>1556.8330000000001</v>
      </c>
      <c r="C39" s="31">
        <v>64.430000000000007</v>
      </c>
      <c r="D39" s="31">
        <f t="shared" si="18"/>
        <v>4.1385299515105345</v>
      </c>
      <c r="E39" s="31">
        <v>446.041</v>
      </c>
      <c r="F39" s="31">
        <f t="shared" si="19"/>
        <v>28.65053605621155</v>
      </c>
      <c r="G39" s="31">
        <v>77.28</v>
      </c>
      <c r="H39" s="31">
        <f t="shared" si="20"/>
        <v>4.9639235550633884</v>
      </c>
      <c r="I39" s="31">
        <v>105.392</v>
      </c>
      <c r="J39" s="31">
        <f t="shared" si="21"/>
        <v>6.7696406743690556</v>
      </c>
      <c r="K39" s="31">
        <v>98.644999999999996</v>
      </c>
      <c r="L39" s="31">
        <f t="shared" si="22"/>
        <v>6.3362608577798643</v>
      </c>
      <c r="M39" s="31">
        <v>113.88500000000001</v>
      </c>
      <c r="N39" s="31">
        <f t="shared" si="23"/>
        <v>7.3151712482970241</v>
      </c>
      <c r="O39" s="31">
        <v>131.46299999999999</v>
      </c>
      <c r="P39" s="31">
        <f t="shared" si="24"/>
        <v>8.44425831158512</v>
      </c>
      <c r="Q39" s="31">
        <v>481.26499999999999</v>
      </c>
      <c r="R39" s="31">
        <f t="shared" si="25"/>
        <v>30.913078024425221</v>
      </c>
      <c r="S39" s="31"/>
      <c r="T39" s="31"/>
      <c r="U39" s="31">
        <v>0.49099999999999999</v>
      </c>
      <c r="V39" s="31">
        <f t="shared" si="26"/>
        <v>3.1538385941202424E-2</v>
      </c>
      <c r="W39" s="31">
        <v>4.5739999999999998</v>
      </c>
      <c r="X39" s="31">
        <f t="shared" si="27"/>
        <v>0.29380158308566168</v>
      </c>
      <c r="Y39" s="626">
        <f t="shared" si="9"/>
        <v>5.8785387100001731</v>
      </c>
      <c r="Z39" s="31">
        <f t="shared" si="28"/>
        <v>0.37759597272155543</v>
      </c>
      <c r="AA39" s="592">
        <v>0.52700000000000002</v>
      </c>
      <c r="AB39" s="592">
        <f t="shared" si="29"/>
        <v>3.3850772690455555E-2</v>
      </c>
      <c r="AC39" s="592">
        <v>4.8339999999999996</v>
      </c>
      <c r="AD39" s="592">
        <f t="shared" si="30"/>
        <v>0.31050215405248988</v>
      </c>
      <c r="AE39" s="592">
        <v>20.231000000000002</v>
      </c>
      <c r="AF39" s="592">
        <f t="shared" si="30"/>
        <v>1.2994971201150027</v>
      </c>
      <c r="AG39" s="592">
        <v>1.89646129</v>
      </c>
      <c r="AH39" s="592">
        <f t="shared" si="31"/>
        <v>0.12181533215187498</v>
      </c>
      <c r="AI39" s="31">
        <v>46.438000000000002</v>
      </c>
      <c r="CD39" s="226"/>
    </row>
    <row r="40" spans="1:82" hidden="1">
      <c r="A40" s="625" t="s">
        <v>23</v>
      </c>
      <c r="B40" s="31">
        <v>1660.51</v>
      </c>
      <c r="C40" s="31">
        <v>63.1</v>
      </c>
      <c r="D40" s="31">
        <f t="shared" si="18"/>
        <v>3.8000373379262999</v>
      </c>
      <c r="E40" s="31">
        <v>466.18900000000002</v>
      </c>
      <c r="F40" s="31">
        <f t="shared" si="19"/>
        <v>28.075049231862504</v>
      </c>
      <c r="G40" s="31">
        <v>64.932000000000002</v>
      </c>
      <c r="H40" s="31">
        <f t="shared" si="20"/>
        <v>3.9103648878958874</v>
      </c>
      <c r="I40" s="31">
        <v>113.411</v>
      </c>
      <c r="J40" s="31">
        <f t="shared" si="21"/>
        <v>6.8298896122275687</v>
      </c>
      <c r="K40" s="31">
        <v>106.578</v>
      </c>
      <c r="L40" s="31">
        <f t="shared" si="22"/>
        <v>6.4183895309272456</v>
      </c>
      <c r="M40" s="31">
        <v>122.74299999999999</v>
      </c>
      <c r="N40" s="31">
        <f t="shared" si="23"/>
        <v>7.3918856255005991</v>
      </c>
      <c r="O40" s="31">
        <v>160.13800000000001</v>
      </c>
      <c r="P40" s="31">
        <f t="shared" si="24"/>
        <v>9.6439045835315671</v>
      </c>
      <c r="Q40" s="31">
        <v>519.51400000000001</v>
      </c>
      <c r="R40" s="31">
        <f t="shared" si="25"/>
        <v>31.28641200594998</v>
      </c>
      <c r="S40" s="31"/>
      <c r="T40" s="31"/>
      <c r="U40" s="31">
        <v>0.52500000000000002</v>
      </c>
      <c r="V40" s="31">
        <f t="shared" si="26"/>
        <v>3.1616792431241006E-2</v>
      </c>
      <c r="W40" s="31">
        <v>7.6520000000000001</v>
      </c>
      <c r="X40" s="31">
        <f t="shared" si="27"/>
        <v>0.46082227749305937</v>
      </c>
      <c r="Y40" s="626">
        <f t="shared" si="9"/>
        <v>6.1746706499999302</v>
      </c>
      <c r="Z40" s="31">
        <f t="shared" si="28"/>
        <v>0.37185386718537861</v>
      </c>
      <c r="AA40" s="592">
        <v>0.35299999999999998</v>
      </c>
      <c r="AB40" s="592">
        <f t="shared" si="29"/>
        <v>2.1258529006148712E-2</v>
      </c>
      <c r="AC40" s="592">
        <v>5.3159999999999998</v>
      </c>
      <c r="AD40" s="592">
        <f t="shared" si="30"/>
        <v>0.32014260678948031</v>
      </c>
      <c r="AE40" s="592">
        <v>20.23</v>
      </c>
      <c r="AF40" s="592">
        <f t="shared" si="30"/>
        <v>1.2183004016838199</v>
      </c>
      <c r="AG40" s="592">
        <v>3.6543293499999998</v>
      </c>
      <c r="AH40" s="592">
        <f t="shared" si="31"/>
        <v>0.22007270958922259</v>
      </c>
      <c r="AI40" s="31">
        <v>59.539000000000001</v>
      </c>
      <c r="CD40" s="226"/>
    </row>
    <row r="41" spans="1:82" hidden="1">
      <c r="A41" s="625" t="s">
        <v>24</v>
      </c>
      <c r="B41" s="31">
        <v>1785.02</v>
      </c>
      <c r="C41" s="31">
        <v>63.52</v>
      </c>
      <c r="D41" s="31">
        <f t="shared" si="18"/>
        <v>3.5585035461787546</v>
      </c>
      <c r="E41" s="31">
        <v>476.77499999999998</v>
      </c>
      <c r="F41" s="31">
        <f t="shared" si="19"/>
        <v>26.709784764316364</v>
      </c>
      <c r="G41" s="31">
        <v>79.688000000000002</v>
      </c>
      <c r="H41" s="31">
        <f t="shared" si="20"/>
        <v>4.4642637057287873</v>
      </c>
      <c r="I41" s="31">
        <v>118.307</v>
      </c>
      <c r="J41" s="31">
        <f t="shared" si="21"/>
        <v>6.6277688765391991</v>
      </c>
      <c r="K41" s="31">
        <v>114.64100000000001</v>
      </c>
      <c r="L41" s="31">
        <f t="shared" si="22"/>
        <v>6.4223930264086686</v>
      </c>
      <c r="M41" s="31">
        <v>131.685</v>
      </c>
      <c r="N41" s="31">
        <f t="shared" si="23"/>
        <v>7.3772282663499569</v>
      </c>
      <c r="O41" s="31">
        <v>175.23099999999999</v>
      </c>
      <c r="P41" s="31">
        <f t="shared" si="24"/>
        <v>9.8167527534705492</v>
      </c>
      <c r="Q41" s="31">
        <v>555.27200000000005</v>
      </c>
      <c r="R41" s="31">
        <f t="shared" si="25"/>
        <v>31.107326528554307</v>
      </c>
      <c r="S41" s="31"/>
      <c r="T41" s="31"/>
      <c r="U41" s="31">
        <v>7.6999999999999999E-2</v>
      </c>
      <c r="V41" s="31">
        <f t="shared" si="26"/>
        <v>4.3136771576789057E-3</v>
      </c>
      <c r="W41" s="31">
        <v>30.827000000000002</v>
      </c>
      <c r="X41" s="31">
        <f t="shared" si="27"/>
        <v>1.7269834511658133</v>
      </c>
      <c r="Y41" s="626">
        <f t="shared" si="9"/>
        <v>8.0477543999997323</v>
      </c>
      <c r="Z41" s="31">
        <f t="shared" si="28"/>
        <v>0.45084953669985395</v>
      </c>
      <c r="AA41" s="592">
        <v>0.436</v>
      </c>
      <c r="AB41" s="592">
        <f t="shared" si="29"/>
        <v>2.4425496633090946E-2</v>
      </c>
      <c r="AC41" s="592">
        <v>5.6319999999999997</v>
      </c>
      <c r="AD41" s="592">
        <f t="shared" si="30"/>
        <v>0.31551467210451423</v>
      </c>
      <c r="AE41" s="592">
        <v>20.210999999999999</v>
      </c>
      <c r="AF41" s="592">
        <f t="shared" si="30"/>
        <v>1.1322562212188099</v>
      </c>
      <c r="AG41" s="592">
        <v>4.6702456000000003</v>
      </c>
      <c r="AH41" s="592">
        <f t="shared" si="31"/>
        <v>0.2616354774736418</v>
      </c>
      <c r="AI41" s="31">
        <v>39.039000000000001</v>
      </c>
      <c r="CD41" s="226"/>
    </row>
    <row r="42" spans="1:82" hidden="1">
      <c r="A42" s="625" t="s">
        <v>25</v>
      </c>
      <c r="B42" s="31">
        <v>1876.88</v>
      </c>
      <c r="C42" s="31">
        <v>63.53</v>
      </c>
      <c r="D42" s="31">
        <f t="shared" si="18"/>
        <v>3.3848727675717143</v>
      </c>
      <c r="E42" s="31">
        <v>536.28499999999997</v>
      </c>
      <c r="F42" s="31">
        <f t="shared" si="19"/>
        <v>28.573217254166483</v>
      </c>
      <c r="G42" s="31">
        <v>71.680999999999997</v>
      </c>
      <c r="H42" s="31">
        <f t="shared" si="20"/>
        <v>3.8191573249222106</v>
      </c>
      <c r="I42" s="31">
        <v>122.85599999999999</v>
      </c>
      <c r="J42" s="31">
        <f t="shared" si="21"/>
        <v>6.5457567878607046</v>
      </c>
      <c r="K42" s="31">
        <v>129.077</v>
      </c>
      <c r="L42" s="31">
        <f t="shared" si="22"/>
        <v>6.8772111163207015</v>
      </c>
      <c r="M42" s="31">
        <v>141.48500000000001</v>
      </c>
      <c r="N42" s="31">
        <f t="shared" si="23"/>
        <v>7.5383082562550623</v>
      </c>
      <c r="O42" s="31">
        <v>176.12799999999999</v>
      </c>
      <c r="P42" s="31">
        <f t="shared" si="24"/>
        <v>9.3840842248838481</v>
      </c>
      <c r="Q42" s="31">
        <v>590.53300000000002</v>
      </c>
      <c r="R42" s="31">
        <f t="shared" si="25"/>
        <v>31.463545884659649</v>
      </c>
      <c r="S42" s="31"/>
      <c r="T42" s="31"/>
      <c r="U42" s="31">
        <v>0.1</v>
      </c>
      <c r="V42" s="31">
        <f t="shared" si="26"/>
        <v>5.3279911342227534E-3</v>
      </c>
      <c r="W42" s="31">
        <v>3.9489999999999998</v>
      </c>
      <c r="X42" s="31">
        <f t="shared" si="27"/>
        <v>0.21040236989045649</v>
      </c>
      <c r="Y42" s="626">
        <f t="shared" si="9"/>
        <v>7.9319849600001131</v>
      </c>
      <c r="Z42" s="31">
        <f t="shared" si="28"/>
        <v>0.42261545543668816</v>
      </c>
      <c r="AA42" s="592">
        <v>0.28799999999999998</v>
      </c>
      <c r="AB42" s="592">
        <f t="shared" si="29"/>
        <v>1.5344614466561525E-2</v>
      </c>
      <c r="AC42" s="592">
        <v>6.4029999999999996</v>
      </c>
      <c r="AD42" s="592">
        <f t="shared" si="30"/>
        <v>0.34115127232428283</v>
      </c>
      <c r="AE42" s="592">
        <v>20.210999999999999</v>
      </c>
      <c r="AF42" s="592">
        <f t="shared" si="30"/>
        <v>1.0768402881377603</v>
      </c>
      <c r="AG42" s="592">
        <v>6.4220150399999998</v>
      </c>
      <c r="AH42" s="592">
        <f t="shared" si="31"/>
        <v>0.3421643919696517</v>
      </c>
      <c r="AI42" s="31">
        <v>43.81</v>
      </c>
      <c r="CD42" s="226"/>
    </row>
    <row r="43" spans="1:82" hidden="1">
      <c r="A43" s="625" t="s">
        <v>26</v>
      </c>
      <c r="B43" s="31">
        <v>2015.15</v>
      </c>
      <c r="C43" s="31">
        <v>68.180000000000007</v>
      </c>
      <c r="D43" s="31">
        <f t="shared" si="18"/>
        <v>3.3833709649405757</v>
      </c>
      <c r="E43" s="31">
        <v>567.26300000000003</v>
      </c>
      <c r="F43" s="31">
        <f t="shared" si="19"/>
        <v>28.149914398431878</v>
      </c>
      <c r="G43" s="31">
        <v>76.590999999999994</v>
      </c>
      <c r="H43" s="31">
        <f t="shared" si="20"/>
        <v>3.8007592486911643</v>
      </c>
      <c r="I43" s="31">
        <v>127.982</v>
      </c>
      <c r="J43" s="31">
        <f t="shared" si="21"/>
        <v>6.3509912413467982</v>
      </c>
      <c r="K43" s="31">
        <v>137.58600000000001</v>
      </c>
      <c r="L43" s="31">
        <f t="shared" si="22"/>
        <v>6.8275810733692284</v>
      </c>
      <c r="M43" s="31">
        <v>161.184</v>
      </c>
      <c r="N43" s="31">
        <f t="shared" si="23"/>
        <v>7.9986105252710713</v>
      </c>
      <c r="O43" s="31">
        <v>202.655</v>
      </c>
      <c r="P43" s="31">
        <f t="shared" si="24"/>
        <v>10.05657147110637</v>
      </c>
      <c r="Q43" s="31">
        <v>622.97500000000002</v>
      </c>
      <c r="R43" s="31">
        <f t="shared" si="25"/>
        <v>30.914572116219635</v>
      </c>
      <c r="S43" s="31"/>
      <c r="T43" s="31"/>
      <c r="U43" s="31">
        <v>0.32700000000000001</v>
      </c>
      <c r="V43" s="31">
        <f t="shared" si="26"/>
        <v>1.6227079869984864E-2</v>
      </c>
      <c r="W43" s="31">
        <v>7.2119999999999997</v>
      </c>
      <c r="X43" s="31">
        <f t="shared" si="27"/>
        <v>0.35788899089397808</v>
      </c>
      <c r="Y43" s="626">
        <f t="shared" si="9"/>
        <v>9.8651193400000494</v>
      </c>
      <c r="Z43" s="31">
        <f t="shared" si="28"/>
        <v>0.48954764359973441</v>
      </c>
      <c r="AA43" s="592">
        <v>0.11</v>
      </c>
      <c r="AB43" s="592">
        <f t="shared" si="29"/>
        <v>5.4586507207900151E-3</v>
      </c>
      <c r="AC43" s="592">
        <v>7.6849999999999996</v>
      </c>
      <c r="AD43" s="592">
        <f t="shared" si="30"/>
        <v>0.38136118899337512</v>
      </c>
      <c r="AE43" s="592">
        <v>20.178999999999998</v>
      </c>
      <c r="AF43" s="592">
        <f t="shared" si="30"/>
        <v>1.0013646626801975</v>
      </c>
      <c r="AG43" s="592">
        <v>5.3558806600000004</v>
      </c>
      <c r="AH43" s="592">
        <f t="shared" si="31"/>
        <v>0.26578074386522094</v>
      </c>
      <c r="AI43" s="31">
        <v>57.1</v>
      </c>
      <c r="CD43" s="226"/>
    </row>
    <row r="44" spans="1:82" hidden="1">
      <c r="A44" s="625" t="s">
        <v>27</v>
      </c>
      <c r="B44" s="31">
        <v>2159.9029999999998</v>
      </c>
      <c r="C44" s="31">
        <v>78.813999999999993</v>
      </c>
      <c r="D44" s="31">
        <f t="shared" si="18"/>
        <v>3.6489601616368885</v>
      </c>
      <c r="E44" s="31">
        <v>583.89599999999996</v>
      </c>
      <c r="F44" s="31">
        <f t="shared" si="19"/>
        <v>27.033436223756347</v>
      </c>
      <c r="G44" s="31">
        <v>100.342</v>
      </c>
      <c r="H44" s="31">
        <f t="shared" si="20"/>
        <v>4.6456715880296473</v>
      </c>
      <c r="I44" s="31">
        <v>133.55500000000001</v>
      </c>
      <c r="J44" s="31">
        <f t="shared" si="21"/>
        <v>6.1833795313956239</v>
      </c>
      <c r="K44" s="31">
        <v>144.43600000000001</v>
      </c>
      <c r="L44" s="31">
        <f t="shared" si="22"/>
        <v>6.6871521545180519</v>
      </c>
      <c r="M44" s="31">
        <v>173.816</v>
      </c>
      <c r="N44" s="31">
        <f t="shared" si="23"/>
        <v>8.0473984248366719</v>
      </c>
      <c r="O44" s="31">
        <v>200.25399999999999</v>
      </c>
      <c r="P44" s="31">
        <f t="shared" si="24"/>
        <v>9.2714348746216846</v>
      </c>
      <c r="Q44" s="31">
        <v>682.53099999999995</v>
      </c>
      <c r="R44" s="31">
        <f t="shared" si="25"/>
        <v>31.600076484916222</v>
      </c>
      <c r="S44" s="31"/>
      <c r="T44" s="31"/>
      <c r="U44" s="31">
        <v>0.65400000000000003</v>
      </c>
      <c r="V44" s="31">
        <f t="shared" si="26"/>
        <v>3.0279137535343024E-2</v>
      </c>
      <c r="W44" s="31">
        <v>16.132000000000001</v>
      </c>
      <c r="X44" s="31">
        <f t="shared" si="27"/>
        <v>0.74688539253846131</v>
      </c>
      <c r="Y44" s="626">
        <f t="shared" si="9"/>
        <v>10.571999999999949</v>
      </c>
      <c r="Z44" s="31">
        <f t="shared" si="28"/>
        <v>0.48946642511260696</v>
      </c>
      <c r="AA44" s="592">
        <v>0.443</v>
      </c>
      <c r="AB44" s="592">
        <f t="shared" si="29"/>
        <v>2.0510180318282816E-2</v>
      </c>
      <c r="AC44" s="592">
        <v>8.6539999999999999</v>
      </c>
      <c r="AD44" s="592">
        <f t="shared" si="30"/>
        <v>0.40066614102577758</v>
      </c>
      <c r="AE44" s="592">
        <v>20.178999999999998</v>
      </c>
      <c r="AF44" s="592">
        <f t="shared" si="30"/>
        <v>0.93425491792918469</v>
      </c>
      <c r="AG44" s="592">
        <v>5.625</v>
      </c>
      <c r="AH44" s="592">
        <f t="shared" si="31"/>
        <v>0.26042836182921181</v>
      </c>
      <c r="AI44" s="31">
        <v>42.988</v>
      </c>
      <c r="CD44" s="226"/>
    </row>
    <row r="45" spans="1:82" hidden="1">
      <c r="A45" s="625" t="s">
        <v>28</v>
      </c>
      <c r="B45" s="31">
        <v>2242.0309999999999</v>
      </c>
      <c r="C45" s="31">
        <v>80.216999999999999</v>
      </c>
      <c r="D45" s="31">
        <f t="shared" si="18"/>
        <v>3.5778720276392257</v>
      </c>
      <c r="E45" s="31">
        <v>610.471</v>
      </c>
      <c r="F45" s="31">
        <f t="shared" si="19"/>
        <v>27.228481675766304</v>
      </c>
      <c r="G45" s="31">
        <v>91.593000000000004</v>
      </c>
      <c r="H45" s="31">
        <f t="shared" si="20"/>
        <v>4.0852691153690568</v>
      </c>
      <c r="I45" s="31">
        <v>136.77099999999999</v>
      </c>
      <c r="J45" s="31">
        <f t="shared" si="21"/>
        <v>6.1003170785774143</v>
      </c>
      <c r="K45" s="31">
        <v>143.721</v>
      </c>
      <c r="L45" s="31">
        <f t="shared" si="22"/>
        <v>6.4103038718019523</v>
      </c>
      <c r="M45" s="31">
        <v>181.40100000000001</v>
      </c>
      <c r="N45" s="31">
        <f t="shared" si="23"/>
        <v>8.0909229176581423</v>
      </c>
      <c r="O45" s="31">
        <v>199.58600000000001</v>
      </c>
      <c r="P45" s="31">
        <f t="shared" si="24"/>
        <v>8.9020178579154354</v>
      </c>
      <c r="Q45" s="31">
        <v>720.56</v>
      </c>
      <c r="R45" s="31">
        <f t="shared" si="25"/>
        <v>32.138717082859245</v>
      </c>
      <c r="S45" s="31"/>
      <c r="T45" s="31"/>
      <c r="U45" s="31">
        <v>1.2</v>
      </c>
      <c r="V45" s="31">
        <f t="shared" si="26"/>
        <v>5.3522899549560195E-2</v>
      </c>
      <c r="W45" s="31">
        <v>27.911999999999999</v>
      </c>
      <c r="X45" s="31">
        <f t="shared" si="27"/>
        <v>1.2449426435227702</v>
      </c>
      <c r="Y45" s="626">
        <f t="shared" si="9"/>
        <v>10.53999999999975</v>
      </c>
      <c r="Z45" s="31">
        <f t="shared" si="28"/>
        <v>0.47010946771029261</v>
      </c>
      <c r="AA45" s="592">
        <v>2.4900000000000002</v>
      </c>
      <c r="AB45" s="592">
        <f t="shared" si="29"/>
        <v>0.11106001656533743</v>
      </c>
      <c r="AC45" s="592">
        <v>10.992000000000001</v>
      </c>
      <c r="AD45" s="592">
        <f t="shared" si="30"/>
        <v>0.49026975987397148</v>
      </c>
      <c r="AE45" s="592">
        <v>20.178999999999998</v>
      </c>
      <c r="AF45" s="592">
        <f t="shared" si="30"/>
        <v>0.90003215834214589</v>
      </c>
      <c r="AG45" s="592">
        <v>4.3979999999999997</v>
      </c>
      <c r="AH45" s="592">
        <f t="shared" si="31"/>
        <v>0.19616142684913809</v>
      </c>
      <c r="AI45" s="31">
        <v>38.201799999999999</v>
      </c>
      <c r="CD45" s="226"/>
    </row>
    <row r="46" spans="1:82" hidden="1">
      <c r="A46" s="625" t="s">
        <v>29</v>
      </c>
      <c r="B46" s="31">
        <v>2362.721</v>
      </c>
      <c r="C46" s="31">
        <v>77.655000000000001</v>
      </c>
      <c r="D46" s="31">
        <f t="shared" si="18"/>
        <v>3.2866766749015222</v>
      </c>
      <c r="E46" s="31">
        <v>647.19000000000005</v>
      </c>
      <c r="F46" s="31">
        <f t="shared" si="19"/>
        <v>27.391723356249003</v>
      </c>
      <c r="G46" s="31">
        <v>92.158000000000001</v>
      </c>
      <c r="H46" s="31">
        <f t="shared" si="20"/>
        <v>3.9005028524315826</v>
      </c>
      <c r="I46" s="31">
        <v>136.48699999999999</v>
      </c>
      <c r="J46" s="31">
        <f t="shared" si="21"/>
        <v>5.7766871331824623</v>
      </c>
      <c r="K46" s="31">
        <v>152.53100000000001</v>
      </c>
      <c r="L46" s="31">
        <f t="shared" si="22"/>
        <v>6.4557347228047668</v>
      </c>
      <c r="M46" s="31">
        <v>192.57599999999999</v>
      </c>
      <c r="N46" s="31">
        <f t="shared" si="23"/>
        <v>8.150602631457545</v>
      </c>
      <c r="O46" s="31">
        <v>214.85300000000001</v>
      </c>
      <c r="P46" s="31">
        <f t="shared" si="24"/>
        <v>9.0934562311842999</v>
      </c>
      <c r="Q46" s="31">
        <v>778</v>
      </c>
      <c r="R46" s="31">
        <f t="shared" si="25"/>
        <v>32.928136669543292</v>
      </c>
      <c r="S46" s="627">
        <v>63.300899999999999</v>
      </c>
      <c r="T46" s="31">
        <f>S46/$B46*100</f>
        <v>2.6791525533484486</v>
      </c>
      <c r="U46" s="31">
        <v>1.2170000000000001</v>
      </c>
      <c r="V46" s="31">
        <f t="shared" si="26"/>
        <v>5.1508409160455258E-2</v>
      </c>
      <c r="W46" s="31">
        <v>18.163</v>
      </c>
      <c r="X46" s="31">
        <f>W46/$B46*100</f>
        <v>0.76873232175953066</v>
      </c>
      <c r="Y46" s="626">
        <f t="shared" si="9"/>
        <v>10.403999999999719</v>
      </c>
      <c r="Z46" s="31">
        <f t="shared" si="28"/>
        <v>0.44033976080966475</v>
      </c>
      <c r="AA46" s="592">
        <v>2.0459999999999998</v>
      </c>
      <c r="AB46" s="592">
        <f t="shared" si="29"/>
        <v>8.659507406926166E-2</v>
      </c>
      <c r="AC46" s="592">
        <v>13.151</v>
      </c>
      <c r="AD46" s="592">
        <f t="shared" si="30"/>
        <v>0.55660401714802554</v>
      </c>
      <c r="AE46" s="592">
        <v>20.363</v>
      </c>
      <c r="AF46" s="592">
        <f t="shared" si="30"/>
        <v>0.86184530462970443</v>
      </c>
      <c r="AG46" s="592">
        <v>5.9269999999999996</v>
      </c>
      <c r="AH46" s="592">
        <f t="shared" si="31"/>
        <v>0.25085484066887287</v>
      </c>
      <c r="AI46" s="31">
        <v>47.094000000000001</v>
      </c>
      <c r="CD46" s="226"/>
    </row>
    <row r="47" spans="1:82">
      <c r="A47" s="624">
        <v>2007</v>
      </c>
      <c r="B47" s="31">
        <f>+B59</f>
        <v>4681.7733614700001</v>
      </c>
      <c r="C47" s="31">
        <f t="shared" ref="C47:AI47" si="32">+C59</f>
        <v>100.26732249</v>
      </c>
      <c r="D47" s="31">
        <f t="shared" si="32"/>
        <v>2.1416526334909496</v>
      </c>
      <c r="E47" s="31">
        <f t="shared" si="32"/>
        <v>1194.0235843999999</v>
      </c>
      <c r="F47" s="31">
        <f t="shared" si="32"/>
        <v>25.50366051946385</v>
      </c>
      <c r="G47" s="31">
        <f t="shared" si="32"/>
        <v>302.04128283</v>
      </c>
      <c r="H47" s="31">
        <f t="shared" si="32"/>
        <v>6.4514289674023004</v>
      </c>
      <c r="I47" s="31">
        <f t="shared" si="32"/>
        <v>197.23936623999998</v>
      </c>
      <c r="J47" s="31">
        <f t="shared" si="32"/>
        <v>4.2129199987175383</v>
      </c>
      <c r="K47" s="31">
        <f t="shared" si="32"/>
        <v>312.34511679000002</v>
      </c>
      <c r="L47" s="31">
        <f t="shared" si="32"/>
        <v>6.6715129647354123</v>
      </c>
      <c r="M47" s="31">
        <f t="shared" si="32"/>
        <v>308.04767585999997</v>
      </c>
      <c r="N47" s="31">
        <f t="shared" si="32"/>
        <v>6.5797220855491831</v>
      </c>
      <c r="O47" s="31">
        <f t="shared" si="32"/>
        <v>469.63488959999989</v>
      </c>
      <c r="P47" s="31">
        <f t="shared" si="32"/>
        <v>10.031132507715885</v>
      </c>
      <c r="Q47" s="31">
        <f t="shared" si="32"/>
        <v>1657.21590305</v>
      </c>
      <c r="R47" s="31">
        <f t="shared" si="32"/>
        <v>35.397183398251073</v>
      </c>
      <c r="S47" s="31">
        <f t="shared" si="32"/>
        <v>171.5556</v>
      </c>
      <c r="T47" s="31">
        <f t="shared" si="32"/>
        <v>3.6643294485774587</v>
      </c>
      <c r="U47" s="31">
        <f t="shared" si="32"/>
        <v>3.0617016499999998</v>
      </c>
      <c r="V47" s="31">
        <f t="shared" si="32"/>
        <v>6.5396195279275024E-2</v>
      </c>
      <c r="W47" s="31">
        <f t="shared" si="32"/>
        <v>64.761847590000002</v>
      </c>
      <c r="X47" s="31">
        <f t="shared" si="32"/>
        <v>1.383276006544363</v>
      </c>
      <c r="Y47" s="31">
        <f t="shared" si="9"/>
        <v>28.091952210000819</v>
      </c>
      <c r="Z47" s="31">
        <f t="shared" si="32"/>
        <v>0.60002802444884706</v>
      </c>
      <c r="AA47" s="31">
        <f t="shared" si="32"/>
        <v>12.78481955</v>
      </c>
      <c r="AB47" s="31">
        <f t="shared" si="32"/>
        <v>0.27307642986771524</v>
      </c>
      <c r="AC47" s="31">
        <f t="shared" si="32"/>
        <v>17.374851060000001</v>
      </c>
      <c r="AD47" s="31">
        <f t="shared" si="32"/>
        <v>0.3711168764167726</v>
      </c>
      <c r="AE47" s="31">
        <f t="shared" si="32"/>
        <v>9.7083710199999995</v>
      </c>
      <c r="AF47" s="31">
        <f t="shared" si="32"/>
        <v>0.20736524967008932</v>
      </c>
      <c r="AG47" s="31">
        <f t="shared" si="32"/>
        <v>5.1746771300000001</v>
      </c>
      <c r="AH47" s="31">
        <f t="shared" si="32"/>
        <v>0.11052814244675946</v>
      </c>
      <c r="AI47" s="31">
        <f t="shared" si="32"/>
        <v>111.54229775</v>
      </c>
      <c r="CD47" s="226"/>
    </row>
    <row r="48" spans="1:82" hidden="1">
      <c r="A48" s="625" t="s">
        <v>18</v>
      </c>
      <c r="B48" s="31">
        <v>2500.8557842800001</v>
      </c>
      <c r="C48" s="31">
        <v>104.03176046999999</v>
      </c>
      <c r="D48" s="31">
        <f t="shared" ref="D48:R50" si="33">C48/$B48*100</f>
        <v>4.1598464463216089</v>
      </c>
      <c r="E48" s="31">
        <v>644.63155166000001</v>
      </c>
      <c r="F48" s="31">
        <f t="shared" si="33"/>
        <v>25.77643843807612</v>
      </c>
      <c r="G48" s="31">
        <v>170.92006280999999</v>
      </c>
      <c r="H48" s="31">
        <f t="shared" si="33"/>
        <v>6.8344629820071017</v>
      </c>
      <c r="I48" s="31">
        <v>139.78622041</v>
      </c>
      <c r="J48" s="31">
        <f t="shared" si="33"/>
        <v>5.5895354417745704</v>
      </c>
      <c r="K48" s="31">
        <v>163.96990049999999</v>
      </c>
      <c r="L48" s="31">
        <f t="shared" si="33"/>
        <v>6.5565516224761904</v>
      </c>
      <c r="M48" s="31">
        <v>192.60703863999998</v>
      </c>
      <c r="N48" s="31">
        <f t="shared" si="33"/>
        <v>7.7016451668544263</v>
      </c>
      <c r="O48" s="31">
        <v>220.30830121999998</v>
      </c>
      <c r="P48" s="31">
        <f t="shared" si="33"/>
        <v>8.8093164989690536</v>
      </c>
      <c r="Q48" s="31">
        <v>806.62555090000001</v>
      </c>
      <c r="R48" s="31">
        <f t="shared" si="33"/>
        <v>32.253981056017942</v>
      </c>
      <c r="S48" s="31"/>
      <c r="T48" s="31"/>
      <c r="U48" s="31">
        <v>1.4630000000000001</v>
      </c>
      <c r="V48" s="31">
        <f t="shared" ref="V48:V59" si="34">U48/$B48*100</f>
        <v>5.8499974656523422E-2</v>
      </c>
      <c r="W48" s="31">
        <v>2.7789999999999999</v>
      </c>
      <c r="X48" s="31">
        <f t="shared" si="27"/>
        <v>0.11112196142889855</v>
      </c>
      <c r="Y48" s="626">
        <f t="shared" si="9"/>
        <v>10.863397670000355</v>
      </c>
      <c r="Z48" s="31">
        <f t="shared" ref="Z48:Z59" si="35">Y48/$B48*100</f>
        <v>0.43438721010167891</v>
      </c>
      <c r="AA48" s="592">
        <v>3.65</v>
      </c>
      <c r="AB48" s="592">
        <f t="shared" ref="AB48:AB59" si="36">AA48/B48*100</f>
        <v>0.14595003930028058</v>
      </c>
      <c r="AC48" s="592">
        <v>13.888</v>
      </c>
      <c r="AD48" s="592">
        <f t="shared" ref="AD48:AF59" si="37">AC48/$B48*100</f>
        <v>0.55532990295953333</v>
      </c>
      <c r="AE48" s="592">
        <v>20.344999999999999</v>
      </c>
      <c r="AF48" s="592">
        <f t="shared" si="37"/>
        <v>0.81352152042855008</v>
      </c>
      <c r="AG48" s="592">
        <v>4.9870000000000001</v>
      </c>
      <c r="AH48" s="592">
        <f t="shared" ref="AH48:AH59" si="38">AG48/$B48*100</f>
        <v>0.19941173862753403</v>
      </c>
      <c r="AI48" s="31">
        <v>41.551000000000002</v>
      </c>
      <c r="CC48" s="55">
        <f>CC50+CC51</f>
        <v>965</v>
      </c>
      <c r="CD48" s="226">
        <f t="shared" ref="CD48:CD55" si="39">BY48+BZ48+CA48+CC48</f>
        <v>965</v>
      </c>
    </row>
    <row r="49" spans="1:82" hidden="1">
      <c r="A49" s="625" t="s">
        <v>19</v>
      </c>
      <c r="B49" s="31">
        <v>2663.49710117</v>
      </c>
      <c r="C49" s="31">
        <v>129.88478082</v>
      </c>
      <c r="D49" s="31">
        <f t="shared" si="33"/>
        <v>4.8764753963105587</v>
      </c>
      <c r="E49" s="31">
        <v>673.54309951000005</v>
      </c>
      <c r="F49" s="31">
        <f t="shared" si="33"/>
        <v>25.287923129863042</v>
      </c>
      <c r="G49" s="31">
        <v>239.73402787000001</v>
      </c>
      <c r="H49" s="31">
        <f t="shared" si="33"/>
        <v>9.0007241894384471</v>
      </c>
      <c r="I49" s="31">
        <v>133.10883286000001</v>
      </c>
      <c r="J49" s="31">
        <f t="shared" si="33"/>
        <v>4.997521221311974</v>
      </c>
      <c r="K49" s="31">
        <v>172.05884362</v>
      </c>
      <c r="L49" s="31">
        <f t="shared" si="33"/>
        <v>6.4598847712062213</v>
      </c>
      <c r="M49" s="31">
        <v>189.29286172000002</v>
      </c>
      <c r="N49" s="31">
        <f t="shared" si="33"/>
        <v>7.1069295189714667</v>
      </c>
      <c r="O49" s="31">
        <v>220.88417112000002</v>
      </c>
      <c r="P49" s="31">
        <f t="shared" si="33"/>
        <v>8.2930133854086705</v>
      </c>
      <c r="Q49" s="31">
        <v>841.29791412999998</v>
      </c>
      <c r="R49" s="31">
        <f t="shared" si="33"/>
        <v>31.586214746035999</v>
      </c>
      <c r="S49" s="31"/>
      <c r="T49" s="31"/>
      <c r="U49" s="31">
        <v>1.99</v>
      </c>
      <c r="V49" s="31">
        <f t="shared" si="34"/>
        <v>7.4713803860565448E-2</v>
      </c>
      <c r="W49" s="31">
        <v>7.1180000000000003</v>
      </c>
      <c r="X49" s="31">
        <f t="shared" si="27"/>
        <v>0.2672426411454798</v>
      </c>
      <c r="Y49" s="626">
        <f t="shared" si="9"/>
        <v>11.121569519999841</v>
      </c>
      <c r="Z49" s="31">
        <f t="shared" si="35"/>
        <v>0.41755515765774426</v>
      </c>
      <c r="AA49" s="592">
        <v>3.677</v>
      </c>
      <c r="AB49" s="592">
        <f t="shared" si="36"/>
        <v>0.13805158632929604</v>
      </c>
      <c r="AC49" s="592">
        <v>14.538</v>
      </c>
      <c r="AD49" s="592">
        <f t="shared" si="37"/>
        <v>0.54582375905773883</v>
      </c>
      <c r="AE49" s="592">
        <v>20.323</v>
      </c>
      <c r="AF49" s="592">
        <f t="shared" si="37"/>
        <v>0.76301941500415649</v>
      </c>
      <c r="AG49" s="592">
        <v>4.9249999999999998</v>
      </c>
      <c r="AH49" s="592">
        <f t="shared" si="38"/>
        <v>0.18490727839863558</v>
      </c>
      <c r="AI49" s="31">
        <v>44.545000000000002</v>
      </c>
      <c r="CD49" s="226"/>
    </row>
    <row r="50" spans="1:82" hidden="1">
      <c r="A50" s="625" t="s">
        <v>20</v>
      </c>
      <c r="B50" s="31">
        <v>2880.8536487800002</v>
      </c>
      <c r="C50" s="31">
        <v>130.48997767</v>
      </c>
      <c r="D50" s="31">
        <f t="shared" si="33"/>
        <v>4.5295594146290847</v>
      </c>
      <c r="E50" s="31">
        <v>705.42599161999999</v>
      </c>
      <c r="F50" s="31">
        <f t="shared" si="33"/>
        <v>24.486700041799683</v>
      </c>
      <c r="G50" s="31">
        <v>348.31504611999998</v>
      </c>
      <c r="H50" s="31">
        <f t="shared" si="33"/>
        <v>12.090688684151184</v>
      </c>
      <c r="I50" s="31">
        <v>136.40225864000001</v>
      </c>
      <c r="J50" s="31">
        <f t="shared" si="33"/>
        <v>4.7347861179190547</v>
      </c>
      <c r="K50" s="31">
        <v>176.94534973</v>
      </c>
      <c r="L50" s="31">
        <f t="shared" si="33"/>
        <v>6.1421151957835072</v>
      </c>
      <c r="M50" s="31">
        <v>196.26314084000001</v>
      </c>
      <c r="N50" s="31">
        <f t="shared" si="33"/>
        <v>6.8126730742852759</v>
      </c>
      <c r="O50" s="31">
        <v>232.19589647999999</v>
      </c>
      <c r="P50" s="31">
        <f t="shared" si="33"/>
        <v>8.0599684950442239</v>
      </c>
      <c r="Q50" s="31">
        <v>883.71371453000006</v>
      </c>
      <c r="R50" s="31">
        <f t="shared" si="33"/>
        <v>30.675411606009213</v>
      </c>
      <c r="S50" s="31">
        <v>83.4084</v>
      </c>
      <c r="T50" s="31">
        <f t="shared" ref="D50:T59" si="40">S50/$B50*100</f>
        <v>2.8952668260438097</v>
      </c>
      <c r="U50" s="31">
        <v>2.145</v>
      </c>
      <c r="V50" s="31">
        <f t="shared" si="34"/>
        <v>7.4457097149255622E-2</v>
      </c>
      <c r="W50" s="31">
        <v>6.9249999999999998</v>
      </c>
      <c r="X50" s="31">
        <f t="shared" si="27"/>
        <v>0.24038013881519585</v>
      </c>
      <c r="Y50" s="626">
        <f t="shared" si="9"/>
        <v>12.26427315000036</v>
      </c>
      <c r="Z50" s="31">
        <f t="shared" si="35"/>
        <v>0.42571663281798788</v>
      </c>
      <c r="AA50" s="592">
        <v>2.5409999999999999</v>
      </c>
      <c r="AB50" s="592">
        <f t="shared" si="36"/>
        <v>8.8203022776810497E-2</v>
      </c>
      <c r="AC50" s="592">
        <v>17.036000000000001</v>
      </c>
      <c r="AD50" s="592">
        <f t="shared" si="37"/>
        <v>0.5913524974520834</v>
      </c>
      <c r="AE50" s="592">
        <v>20.478999999999999</v>
      </c>
      <c r="AF50" s="592">
        <f t="shared" si="37"/>
        <v>0.71086568415832441</v>
      </c>
      <c r="AG50" s="592">
        <v>9.7119999999999997</v>
      </c>
      <c r="AH50" s="592">
        <f t="shared" si="38"/>
        <v>0.33712229720912379</v>
      </c>
      <c r="AI50" s="31">
        <v>52.018999999999998</v>
      </c>
      <c r="CC50" s="55">
        <v>954</v>
      </c>
      <c r="CD50" s="226">
        <f t="shared" si="39"/>
        <v>954</v>
      </c>
    </row>
    <row r="51" spans="1:82" hidden="1">
      <c r="A51" s="625" t="s">
        <v>21</v>
      </c>
      <c r="B51" s="31">
        <v>3091.2641826099998</v>
      </c>
      <c r="C51" s="31">
        <v>129.09170431000001</v>
      </c>
      <c r="D51" s="31">
        <f t="shared" si="40"/>
        <v>4.176016564233147</v>
      </c>
      <c r="E51" s="31">
        <v>740.16257681000002</v>
      </c>
      <c r="F51" s="31">
        <f t="shared" si="40"/>
        <v>23.943685595485722</v>
      </c>
      <c r="G51" s="31">
        <v>397.72375906000002</v>
      </c>
      <c r="H51" s="31">
        <f t="shared" si="40"/>
        <v>12.866055295351561</v>
      </c>
      <c r="I51" s="31">
        <v>140.07191708000002</v>
      </c>
      <c r="J51" s="31">
        <f t="shared" si="40"/>
        <v>4.531217935625782</v>
      </c>
      <c r="K51" s="31">
        <v>189.23269594999999</v>
      </c>
      <c r="L51" s="31">
        <f t="shared" si="40"/>
        <v>6.1215310232795455</v>
      </c>
      <c r="M51" s="31">
        <v>211.14186412000001</v>
      </c>
      <c r="N51" s="31">
        <f t="shared" si="40"/>
        <v>6.8302756298793534</v>
      </c>
      <c r="O51" s="31">
        <v>242.91248505999999</v>
      </c>
      <c r="P51" s="31">
        <f t="shared" si="40"/>
        <v>7.8580305891198661</v>
      </c>
      <c r="Q51" s="31">
        <v>961.22581620999995</v>
      </c>
      <c r="R51" s="31">
        <f t="shared" si="40"/>
        <v>31.094910024753137</v>
      </c>
      <c r="S51" s="31"/>
      <c r="T51" s="31"/>
      <c r="U51" s="31">
        <v>2.1720000000000002</v>
      </c>
      <c r="V51" s="31">
        <f t="shared" si="34"/>
        <v>7.0262516294099089E-2</v>
      </c>
      <c r="W51" s="31">
        <v>8.8360000000000003</v>
      </c>
      <c r="X51" s="31">
        <f t="shared" si="27"/>
        <v>0.28583775044873827</v>
      </c>
      <c r="Y51" s="626">
        <f t="shared" si="9"/>
        <v>12.38736400999945</v>
      </c>
      <c r="Z51" s="31">
        <f t="shared" si="35"/>
        <v>0.40072162320143784</v>
      </c>
      <c r="AA51" s="592">
        <v>2.835</v>
      </c>
      <c r="AB51" s="592">
        <f t="shared" si="36"/>
        <v>9.1710052345198398E-2</v>
      </c>
      <c r="AC51" s="592">
        <v>17.779</v>
      </c>
      <c r="AD51" s="592">
        <f t="shared" si="37"/>
        <v>0.57513686795248053</v>
      </c>
      <c r="AE51" s="592">
        <v>20.452000000000002</v>
      </c>
      <c r="AF51" s="592">
        <f t="shared" si="37"/>
        <v>0.66160634587795331</v>
      </c>
      <c r="AG51" s="592">
        <v>15.24</v>
      </c>
      <c r="AH51" s="592">
        <f t="shared" si="38"/>
        <v>0.493002186151966</v>
      </c>
      <c r="AI51" s="31">
        <v>46.390999999999998</v>
      </c>
      <c r="CC51" s="55">
        <v>11</v>
      </c>
      <c r="CD51" s="226">
        <f t="shared" si="39"/>
        <v>11</v>
      </c>
    </row>
    <row r="52" spans="1:82" hidden="1">
      <c r="A52" s="625" t="s">
        <v>22</v>
      </c>
      <c r="B52" s="31">
        <v>3315.4499153500001</v>
      </c>
      <c r="C52" s="31">
        <v>109.71650685</v>
      </c>
      <c r="D52" s="31">
        <f t="shared" si="40"/>
        <v>3.309249412637187</v>
      </c>
      <c r="E52" s="31">
        <v>781.64590481000005</v>
      </c>
      <c r="F52" s="31">
        <f t="shared" si="40"/>
        <v>23.575862243947803</v>
      </c>
      <c r="G52" s="31">
        <v>459.83922330000001</v>
      </c>
      <c r="H52" s="31">
        <f t="shared" si="40"/>
        <v>13.869587387552389</v>
      </c>
      <c r="I52" s="31">
        <v>145.50070360999999</v>
      </c>
      <c r="J52" s="31">
        <f t="shared" si="40"/>
        <v>4.3885658756706025</v>
      </c>
      <c r="K52" s="31">
        <v>216.14399315000003</v>
      </c>
      <c r="L52" s="31">
        <f t="shared" si="40"/>
        <v>6.5192959830063515</v>
      </c>
      <c r="M52" s="31">
        <v>225.37826867000001</v>
      </c>
      <c r="N52" s="31">
        <f t="shared" si="40"/>
        <v>6.7978185291394349</v>
      </c>
      <c r="O52" s="31">
        <v>244.28758688000002</v>
      </c>
      <c r="P52" s="31">
        <f t="shared" si="40"/>
        <v>7.3681579609750028</v>
      </c>
      <c r="Q52" s="31">
        <v>1047.48991247</v>
      </c>
      <c r="R52" s="31">
        <f t="shared" si="40"/>
        <v>31.594201065149264</v>
      </c>
      <c r="S52" s="31"/>
      <c r="T52" s="31"/>
      <c r="U52" s="31">
        <v>2.14</v>
      </c>
      <c r="V52" s="31">
        <f t="shared" si="34"/>
        <v>6.4546292498407057E-2</v>
      </c>
      <c r="W52" s="31">
        <v>15.752000000000001</v>
      </c>
      <c r="X52" s="31">
        <f t="shared" si="27"/>
        <v>0.47510897169855509</v>
      </c>
      <c r="Y52" s="626">
        <f t="shared" si="9"/>
        <v>13.630815610000177</v>
      </c>
      <c r="Z52" s="31">
        <f t="shared" si="35"/>
        <v>0.4111301922219272</v>
      </c>
      <c r="AA52" s="592">
        <v>5.6820000000000004</v>
      </c>
      <c r="AB52" s="592">
        <f t="shared" si="36"/>
        <v>0.17137945512894806</v>
      </c>
      <c r="AC52" s="592">
        <v>18.571999999999999</v>
      </c>
      <c r="AD52" s="592">
        <f t="shared" si="37"/>
        <v>0.5601653010656148</v>
      </c>
      <c r="AE52" s="592">
        <v>20.41</v>
      </c>
      <c r="AF52" s="592">
        <f t="shared" si="37"/>
        <v>0.61560272424882612</v>
      </c>
      <c r="AG52" s="592">
        <v>9.2609999999999992</v>
      </c>
      <c r="AH52" s="592">
        <f t="shared" si="38"/>
        <v>0.27932860505969515</v>
      </c>
      <c r="AI52" s="31">
        <v>59.423000000000002</v>
      </c>
      <c r="CC52" s="55">
        <f>CC54+CC55+CC56+CC57</f>
        <v>484</v>
      </c>
      <c r="CD52" s="226">
        <f t="shared" si="39"/>
        <v>484</v>
      </c>
    </row>
    <row r="53" spans="1:82" hidden="1">
      <c r="A53" s="625" t="s">
        <v>23</v>
      </c>
      <c r="B53" s="31">
        <v>3458.4920896200001</v>
      </c>
      <c r="C53" s="31">
        <v>106.28669576999999</v>
      </c>
      <c r="D53" s="31">
        <f t="shared" si="40"/>
        <v>3.0732091621374269</v>
      </c>
      <c r="E53" s="31">
        <v>805.21722610999996</v>
      </c>
      <c r="F53" s="31">
        <f t="shared" si="40"/>
        <v>23.28232088564565</v>
      </c>
      <c r="G53" s="31">
        <v>424.59048203999998</v>
      </c>
      <c r="H53" s="31">
        <f t="shared" si="40"/>
        <v>12.276751573737203</v>
      </c>
      <c r="I53" s="31">
        <v>152.68519210000002</v>
      </c>
      <c r="J53" s="31">
        <f t="shared" si="40"/>
        <v>4.4147908436238819</v>
      </c>
      <c r="K53" s="31">
        <v>242.76657958000001</v>
      </c>
      <c r="L53" s="31">
        <f t="shared" si="40"/>
        <v>7.0194342878104967</v>
      </c>
      <c r="M53" s="31">
        <v>235.06712525</v>
      </c>
      <c r="N53" s="31">
        <f t="shared" si="40"/>
        <v>6.7968096834891956</v>
      </c>
      <c r="O53" s="31">
        <v>265.74100705000001</v>
      </c>
      <c r="P53" s="31">
        <f t="shared" si="40"/>
        <v>7.6837245875903726</v>
      </c>
      <c r="Q53" s="31">
        <v>1136.48750722</v>
      </c>
      <c r="R53" s="31">
        <f t="shared" si="40"/>
        <v>32.860780877046068</v>
      </c>
      <c r="S53" s="31">
        <v>126.64570999999999</v>
      </c>
      <c r="T53" s="31">
        <f t="shared" si="40"/>
        <v>3.6618765264810857</v>
      </c>
      <c r="U53" s="31">
        <v>2.1280000000000001</v>
      </c>
      <c r="V53" s="31">
        <f t="shared" si="34"/>
        <v>6.1529705572748991E-2</v>
      </c>
      <c r="W53" s="31">
        <v>20.657</v>
      </c>
      <c r="X53" s="31">
        <f t="shared" si="27"/>
        <v>0.59728342481967844</v>
      </c>
      <c r="Y53" s="626">
        <f t="shared" si="9"/>
        <v>14.776274500000092</v>
      </c>
      <c r="Z53" s="31">
        <f t="shared" si="35"/>
        <v>0.42724615575522762</v>
      </c>
      <c r="AA53" s="592">
        <v>6.8250000000000002</v>
      </c>
      <c r="AB53" s="592">
        <f t="shared" si="36"/>
        <v>0.19734033859681008</v>
      </c>
      <c r="AC53" s="592">
        <v>17.539000000000001</v>
      </c>
      <c r="AD53" s="592">
        <f t="shared" si="37"/>
        <v>0.50712852727464497</v>
      </c>
      <c r="AE53" s="592">
        <v>20.553000000000001</v>
      </c>
      <c r="AF53" s="592">
        <f t="shared" si="37"/>
        <v>0.59427633394582235</v>
      </c>
      <c r="AG53" s="592">
        <v>7.1719999999999997</v>
      </c>
      <c r="AH53" s="592">
        <f t="shared" si="38"/>
        <v>0.20737361295477241</v>
      </c>
      <c r="AI53" s="31">
        <v>68.468999999999994</v>
      </c>
      <c r="CD53" s="226"/>
    </row>
    <row r="54" spans="1:82" hidden="1">
      <c r="A54" s="625" t="s">
        <v>24</v>
      </c>
      <c r="B54" s="31">
        <v>3443.9037720199999</v>
      </c>
      <c r="C54" s="31">
        <v>107.71368219</v>
      </c>
      <c r="D54" s="31">
        <f t="shared" si="40"/>
        <v>3.1276623657466835</v>
      </c>
      <c r="E54" s="31">
        <v>862.55777506000004</v>
      </c>
      <c r="F54" s="31">
        <f t="shared" si="40"/>
        <v>25.045931366255108</v>
      </c>
      <c r="G54" s="31">
        <v>219.69313585</v>
      </c>
      <c r="H54" s="31">
        <f t="shared" si="40"/>
        <v>6.3791891525801949</v>
      </c>
      <c r="I54" s="31">
        <v>158.35913916000001</v>
      </c>
      <c r="J54" s="31">
        <f t="shared" si="40"/>
        <v>4.5982451788168133</v>
      </c>
      <c r="K54" s="31">
        <v>236.52816991</v>
      </c>
      <c r="L54" s="31">
        <f t="shared" si="40"/>
        <v>6.8680249382016241</v>
      </c>
      <c r="M54" s="31">
        <v>249.74008945</v>
      </c>
      <c r="N54" s="31">
        <f t="shared" si="40"/>
        <v>7.2516570143165326</v>
      </c>
      <c r="O54" s="31">
        <v>274.17963832999999</v>
      </c>
      <c r="P54" s="31">
        <f t="shared" si="40"/>
        <v>7.9613036972046887</v>
      </c>
      <c r="Q54" s="31">
        <v>1246.7164369800003</v>
      </c>
      <c r="R54" s="31">
        <f t="shared" si="40"/>
        <v>36.200675730516899</v>
      </c>
      <c r="S54" s="31">
        <v>135.37072000000001</v>
      </c>
      <c r="T54" s="31">
        <f t="shared" si="40"/>
        <v>3.9307346825372873</v>
      </c>
      <c r="U54" s="31">
        <v>2.2980933700000001</v>
      </c>
      <c r="V54" s="31">
        <f t="shared" si="34"/>
        <v>6.6729314235515591E-2</v>
      </c>
      <c r="W54" s="31">
        <v>13.059718309999999</v>
      </c>
      <c r="X54" s="31">
        <f t="shared" si="27"/>
        <v>0.37921263701104818</v>
      </c>
      <c r="Y54" s="626">
        <f t="shared" si="9"/>
        <v>18.401109329999734</v>
      </c>
      <c r="Z54" s="31">
        <f t="shared" si="35"/>
        <v>0.5343096250104189</v>
      </c>
      <c r="AA54" s="592">
        <v>6.6855125900000001</v>
      </c>
      <c r="AB54" s="592">
        <f t="shared" si="36"/>
        <v>0.19412599865061431</v>
      </c>
      <c r="AC54" s="592">
        <v>17.482585480000001</v>
      </c>
      <c r="AD54" s="592">
        <f t="shared" si="37"/>
        <v>0.50763861702633173</v>
      </c>
      <c r="AE54" s="592">
        <v>20.49223044</v>
      </c>
      <c r="AF54" s="592">
        <f t="shared" si="37"/>
        <v>0.59502912382422379</v>
      </c>
      <c r="AG54" s="592">
        <v>9.9964555700000002</v>
      </c>
      <c r="AH54" s="592">
        <f t="shared" si="38"/>
        <v>0.29026524060330067</v>
      </c>
      <c r="AI54" s="31">
        <v>67.951762689999995</v>
      </c>
      <c r="CC54" s="55">
        <v>1214</v>
      </c>
      <c r="CD54" s="226">
        <f t="shared" si="39"/>
        <v>1214</v>
      </c>
    </row>
    <row r="55" spans="1:82" hidden="1">
      <c r="A55" s="625" t="s">
        <v>25</v>
      </c>
      <c r="B55" s="31">
        <v>3573.0027270300002</v>
      </c>
      <c r="C55" s="31">
        <v>103.08589524</v>
      </c>
      <c r="D55" s="31">
        <f t="shared" si="40"/>
        <v>2.885133405025091</v>
      </c>
      <c r="E55" s="31">
        <v>912.61713148000001</v>
      </c>
      <c r="F55" s="31">
        <f t="shared" si="40"/>
        <v>25.542021688816284</v>
      </c>
      <c r="G55" s="31">
        <v>167.69609167999999</v>
      </c>
      <c r="H55" s="31">
        <f t="shared" si="40"/>
        <v>4.6934218776651928</v>
      </c>
      <c r="I55" s="31">
        <v>165.16409332000001</v>
      </c>
      <c r="J55" s="31">
        <f t="shared" si="40"/>
        <v>4.6225571581718317</v>
      </c>
      <c r="K55" s="31">
        <v>255.82276278000001</v>
      </c>
      <c r="L55" s="31">
        <f t="shared" si="40"/>
        <v>7.1598815429018288</v>
      </c>
      <c r="M55" s="31">
        <v>255.52799263</v>
      </c>
      <c r="N55" s="31">
        <f t="shared" si="40"/>
        <v>7.1516316149695029</v>
      </c>
      <c r="O55" s="31">
        <v>259.34234422000003</v>
      </c>
      <c r="P55" s="31">
        <f t="shared" si="40"/>
        <v>7.2583864058669247</v>
      </c>
      <c r="Q55" s="31">
        <v>1341.56379249</v>
      </c>
      <c r="R55" s="31">
        <f t="shared" si="40"/>
        <v>37.547236735672826</v>
      </c>
      <c r="S55" s="31">
        <v>129.49700000000001</v>
      </c>
      <c r="T55" s="31">
        <f t="shared" si="40"/>
        <v>3.6243185324306282</v>
      </c>
      <c r="U55" s="31">
        <v>2.5638477700000002</v>
      </c>
      <c r="V55" s="31">
        <f t="shared" si="34"/>
        <v>7.1756110080866256E-2</v>
      </c>
      <c r="W55" s="31">
        <v>27.827227350000001</v>
      </c>
      <c r="X55" s="31">
        <f t="shared" si="27"/>
        <v>0.77881909071843691</v>
      </c>
      <c r="Y55" s="626">
        <f t="shared" si="9"/>
        <v>21.037526280000478</v>
      </c>
      <c r="Z55" s="31">
        <f t="shared" si="35"/>
        <v>0.58879121812167146</v>
      </c>
      <c r="AA55" s="592">
        <v>9.9989545100000008</v>
      </c>
      <c r="AB55" s="592">
        <f t="shared" si="36"/>
        <v>0.27984737975029389</v>
      </c>
      <c r="AC55" s="592">
        <v>17.641120879999999</v>
      </c>
      <c r="AD55" s="592">
        <f t="shared" si="37"/>
        <v>0.49373376478399422</v>
      </c>
      <c r="AE55" s="592">
        <v>20.834470960000001</v>
      </c>
      <c r="AF55" s="592">
        <f t="shared" si="37"/>
        <v>0.58310817404044668</v>
      </c>
      <c r="AG55" s="592">
        <v>12.279475440000001</v>
      </c>
      <c r="AH55" s="592">
        <f t="shared" si="38"/>
        <v>0.34367383341481839</v>
      </c>
      <c r="AI55" s="31">
        <v>71.876329530000007</v>
      </c>
      <c r="CC55" s="55">
        <v>-745</v>
      </c>
      <c r="CD55" s="226">
        <f t="shared" si="39"/>
        <v>-745</v>
      </c>
    </row>
    <row r="56" spans="1:82" hidden="1">
      <c r="A56" s="625" t="s">
        <v>26</v>
      </c>
      <c r="B56" s="31">
        <v>3771.25162757</v>
      </c>
      <c r="C56" s="31">
        <v>96.306606110000004</v>
      </c>
      <c r="D56" s="31">
        <f t="shared" si="40"/>
        <v>2.5537040648771296</v>
      </c>
      <c r="E56" s="31">
        <v>988.80986357999996</v>
      </c>
      <c r="F56" s="31">
        <f t="shared" si="40"/>
        <v>26.219673499143788</v>
      </c>
      <c r="G56" s="31">
        <v>178.69679515999999</v>
      </c>
      <c r="H56" s="31">
        <f t="shared" si="40"/>
        <v>4.7383949098921043</v>
      </c>
      <c r="I56" s="31">
        <v>163.90586535</v>
      </c>
      <c r="J56" s="31">
        <f t="shared" si="40"/>
        <v>4.3461927640084967</v>
      </c>
      <c r="K56" s="31">
        <v>255.21651581999998</v>
      </c>
      <c r="L56" s="31">
        <f t="shared" si="40"/>
        <v>6.7674220928198396</v>
      </c>
      <c r="M56" s="31">
        <v>270.16705589999998</v>
      </c>
      <c r="N56" s="31">
        <f t="shared" si="40"/>
        <v>7.1638565277618902</v>
      </c>
      <c r="O56" s="31">
        <v>278.06630707000005</v>
      </c>
      <c r="P56" s="31">
        <f t="shared" si="40"/>
        <v>7.373316196595761</v>
      </c>
      <c r="Q56" s="31">
        <v>1411.9887624100002</v>
      </c>
      <c r="R56" s="31">
        <f t="shared" si="40"/>
        <v>37.440852582934461</v>
      </c>
      <c r="S56" s="31">
        <v>161.28359499999999</v>
      </c>
      <c r="T56" s="31">
        <f t="shared" si="40"/>
        <v>4.2766596060821014</v>
      </c>
      <c r="U56" s="31">
        <v>2.7064879199999998</v>
      </c>
      <c r="V56" s="31">
        <f t="shared" si="34"/>
        <v>7.1766304327561425E-2</v>
      </c>
      <c r="W56" s="31">
        <v>43.991380200000002</v>
      </c>
      <c r="X56" s="31">
        <f t="shared" si="27"/>
        <v>1.1664928396291014</v>
      </c>
      <c r="Y56" s="626">
        <f t="shared" si="9"/>
        <v>24.801507750000113</v>
      </c>
      <c r="Z56" s="31">
        <f t="shared" si="35"/>
        <v>0.6576465905559562</v>
      </c>
      <c r="AA56" s="592">
        <v>11.220624190000001</v>
      </c>
      <c r="AB56" s="592">
        <f t="shared" si="36"/>
        <v>0.2975305097111749</v>
      </c>
      <c r="AC56" s="592">
        <v>18.000423420000001</v>
      </c>
      <c r="AD56" s="592">
        <f t="shared" si="37"/>
        <v>0.47730634806775135</v>
      </c>
      <c r="AE56" s="592">
        <v>20.76767242</v>
      </c>
      <c r="AF56" s="592">
        <f t="shared" si="37"/>
        <v>0.55068381722864823</v>
      </c>
      <c r="AG56" s="592">
        <v>6.6057602700000002</v>
      </c>
      <c r="AH56" s="592">
        <f t="shared" si="38"/>
        <v>0.17516095244634766</v>
      </c>
      <c r="AI56" s="31">
        <v>83.360235110000005</v>
      </c>
      <c r="CC56" s="55">
        <v>0</v>
      </c>
      <c r="CD56" s="226">
        <f>BY56+BZ56+CA56+CC56</f>
        <v>0</v>
      </c>
    </row>
    <row r="57" spans="1:82" hidden="1">
      <c r="A57" s="625" t="s">
        <v>27</v>
      </c>
      <c r="B57" s="31">
        <v>4050.0154233600001</v>
      </c>
      <c r="C57" s="31">
        <v>99.726926789999993</v>
      </c>
      <c r="D57" s="31">
        <f t="shared" si="40"/>
        <v>2.462383876732595</v>
      </c>
      <c r="E57" s="31">
        <v>1065.40241483</v>
      </c>
      <c r="F57" s="31">
        <f t="shared" si="40"/>
        <v>26.306132284951001</v>
      </c>
      <c r="G57" s="31">
        <v>215.65127704</v>
      </c>
      <c r="H57" s="31">
        <f t="shared" si="40"/>
        <v>5.3247026121468446</v>
      </c>
      <c r="I57" s="31">
        <v>179.93590965999999</v>
      </c>
      <c r="J57" s="31">
        <f t="shared" si="40"/>
        <v>4.4428450475065207</v>
      </c>
      <c r="K57" s="31">
        <v>278.59950420999996</v>
      </c>
      <c r="L57" s="31">
        <f t="shared" si="40"/>
        <v>6.8789739071874063</v>
      </c>
      <c r="M57" s="31">
        <v>289.47983313000003</v>
      </c>
      <c r="N57" s="31">
        <f t="shared" si="40"/>
        <v>7.1476229808981788</v>
      </c>
      <c r="O57" s="31">
        <v>332.91495220000002</v>
      </c>
      <c r="P57" s="31">
        <f t="shared" si="40"/>
        <v>8.2200909724883218</v>
      </c>
      <c r="Q57" s="31">
        <v>1496.2285650399999</v>
      </c>
      <c r="R57" s="31">
        <f t="shared" si="40"/>
        <v>36.943774495522511</v>
      </c>
      <c r="S57" s="31">
        <v>154.89699999999999</v>
      </c>
      <c r="T57" s="31">
        <f t="shared" si="40"/>
        <v>3.8246027189568905</v>
      </c>
      <c r="U57" s="31">
        <v>2.9017343800000002</v>
      </c>
      <c r="V57" s="31">
        <f t="shared" si="34"/>
        <v>7.1647489618512222E-2</v>
      </c>
      <c r="W57" s="31">
        <v>2.2714433999999999</v>
      </c>
      <c r="X57" s="31">
        <f t="shared" si="27"/>
        <v>5.6084808637976748E-2</v>
      </c>
      <c r="Y57" s="626">
        <f t="shared" si="9"/>
        <v>26.810337120000113</v>
      </c>
      <c r="Z57" s="31">
        <f t="shared" si="35"/>
        <v>0.66198111161160833</v>
      </c>
      <c r="AA57" s="592">
        <v>12.20754359</v>
      </c>
      <c r="AB57" s="592">
        <f t="shared" si="36"/>
        <v>0.30141968150512127</v>
      </c>
      <c r="AC57" s="592">
        <v>18.87280075</v>
      </c>
      <c r="AD57" s="592">
        <f t="shared" si="37"/>
        <v>0.46599330563394809</v>
      </c>
      <c r="AE57" s="592">
        <v>22.37419036</v>
      </c>
      <c r="AF57" s="592">
        <f t="shared" si="37"/>
        <v>0.55244704084207608</v>
      </c>
      <c r="AG57" s="592">
        <v>6.6379908600000004</v>
      </c>
      <c r="AH57" s="592">
        <f t="shared" si="38"/>
        <v>0.16390038471737345</v>
      </c>
      <c r="AI57" s="31">
        <v>82.251150809999999</v>
      </c>
      <c r="CC57" s="55">
        <v>15</v>
      </c>
      <c r="CD57" s="226">
        <f>BY57+BZ57+CA57+CC57</f>
        <v>15</v>
      </c>
    </row>
    <row r="58" spans="1:82" hidden="1">
      <c r="A58" s="625" t="s">
        <v>28</v>
      </c>
      <c r="B58" s="31">
        <v>4340.2819493500001</v>
      </c>
      <c r="C58" s="31">
        <v>98.186749480000003</v>
      </c>
      <c r="D58" s="31">
        <f t="shared" si="40"/>
        <v>2.2622205337306358</v>
      </c>
      <c r="E58" s="31">
        <v>1119.7633581699999</v>
      </c>
      <c r="F58" s="31">
        <f t="shared" si="40"/>
        <v>25.799322975727314</v>
      </c>
      <c r="G58" s="31">
        <v>233.54055170999999</v>
      </c>
      <c r="H58" s="31">
        <f t="shared" si="40"/>
        <v>5.3807691397784652</v>
      </c>
      <c r="I58" s="31">
        <v>195.90338151999998</v>
      </c>
      <c r="J58" s="31">
        <f t="shared" si="40"/>
        <v>4.5136095720541478</v>
      </c>
      <c r="K58" s="31">
        <v>317.51357159000003</v>
      </c>
      <c r="L58" s="31">
        <f t="shared" si="40"/>
        <v>7.3155056582798919</v>
      </c>
      <c r="M58" s="31">
        <v>300.84869487000003</v>
      </c>
      <c r="N58" s="31">
        <f t="shared" si="40"/>
        <v>6.9315472676851115</v>
      </c>
      <c r="O58" s="31">
        <v>389.38392948000001</v>
      </c>
      <c r="P58" s="31">
        <f t="shared" si="40"/>
        <v>8.9713971125381402</v>
      </c>
      <c r="Q58" s="31">
        <v>1596.31234249</v>
      </c>
      <c r="R58" s="31">
        <f t="shared" si="40"/>
        <v>36.779001021559523</v>
      </c>
      <c r="S58" s="31">
        <v>154.89699999999999</v>
      </c>
      <c r="T58" s="31">
        <f t="shared" si="40"/>
        <v>3.5688234498958611</v>
      </c>
      <c r="U58" s="31">
        <v>2.9665320500000001</v>
      </c>
      <c r="V58" s="31">
        <f t="shared" si="34"/>
        <v>6.8348832739869983E-2</v>
      </c>
      <c r="W58" s="31">
        <v>2.62716159</v>
      </c>
      <c r="X58" s="31">
        <f t="shared" si="27"/>
        <v>6.0529744856631797E-2</v>
      </c>
      <c r="Y58" s="626">
        <f t="shared" si="9"/>
        <v>23.760934629999948</v>
      </c>
      <c r="Z58" s="31">
        <f t="shared" si="35"/>
        <v>0.54745140770309597</v>
      </c>
      <c r="AA58" s="592">
        <v>12.664874810000001</v>
      </c>
      <c r="AB58" s="592">
        <f t="shared" si="36"/>
        <v>0.29179843516609999</v>
      </c>
      <c r="AC58" s="592">
        <v>17.632137140000001</v>
      </c>
      <c r="AD58" s="592">
        <f t="shared" si="37"/>
        <v>0.40624404925215946</v>
      </c>
      <c r="AE58" s="592">
        <v>24.435199300000001</v>
      </c>
      <c r="AF58" s="592">
        <f t="shared" si="37"/>
        <v>0.56298645076869747</v>
      </c>
      <c r="AG58" s="592">
        <v>4.7425305199999999</v>
      </c>
      <c r="AH58" s="592">
        <f t="shared" si="38"/>
        <v>0.10926779816021492</v>
      </c>
      <c r="AI58" s="31">
        <v>100.85836845</v>
      </c>
      <c r="CC58" s="55">
        <v>-372</v>
      </c>
      <c r="CD58" s="226">
        <f>BY58+BZ58+CA58+CC58</f>
        <v>-372</v>
      </c>
    </row>
    <row r="59" spans="1:82" hidden="1">
      <c r="A59" s="625" t="s">
        <v>29</v>
      </c>
      <c r="B59" s="31">
        <v>4681.7733614700001</v>
      </c>
      <c r="C59" s="31">
        <v>100.26732249</v>
      </c>
      <c r="D59" s="31">
        <f t="shared" si="40"/>
        <v>2.1416526334909496</v>
      </c>
      <c r="E59" s="31">
        <v>1194.0235843999999</v>
      </c>
      <c r="F59" s="31">
        <f t="shared" si="40"/>
        <v>25.50366051946385</v>
      </c>
      <c r="G59" s="31">
        <v>302.04128283</v>
      </c>
      <c r="H59" s="31">
        <f t="shared" si="40"/>
        <v>6.4514289674023004</v>
      </c>
      <c r="I59" s="31">
        <v>197.23936623999998</v>
      </c>
      <c r="J59" s="31">
        <f t="shared" si="40"/>
        <v>4.2129199987175383</v>
      </c>
      <c r="K59" s="31">
        <v>312.34511679000002</v>
      </c>
      <c r="L59" s="31">
        <f t="shared" si="40"/>
        <v>6.6715129647354123</v>
      </c>
      <c r="M59" s="31">
        <v>308.04767585999997</v>
      </c>
      <c r="N59" s="31">
        <f t="shared" si="40"/>
        <v>6.5797220855491831</v>
      </c>
      <c r="O59" s="31">
        <v>469.63488959999989</v>
      </c>
      <c r="P59" s="31">
        <f t="shared" si="40"/>
        <v>10.031132507715885</v>
      </c>
      <c r="Q59" s="31">
        <v>1657.21590305</v>
      </c>
      <c r="R59" s="31">
        <f t="shared" si="40"/>
        <v>35.397183398251073</v>
      </c>
      <c r="S59" s="31">
        <v>171.5556</v>
      </c>
      <c r="T59" s="31">
        <f t="shared" si="40"/>
        <v>3.6643294485774587</v>
      </c>
      <c r="U59" s="31">
        <v>3.0617016499999998</v>
      </c>
      <c r="V59" s="31">
        <f t="shared" si="34"/>
        <v>6.5396195279275024E-2</v>
      </c>
      <c r="W59" s="31">
        <v>64.761847590000002</v>
      </c>
      <c r="X59" s="31">
        <f t="shared" si="27"/>
        <v>1.383276006544363</v>
      </c>
      <c r="Y59" s="626">
        <f t="shared" si="9"/>
        <v>28.091952210000819</v>
      </c>
      <c r="Z59" s="31">
        <f t="shared" si="35"/>
        <v>0.60002802444884706</v>
      </c>
      <c r="AA59" s="592">
        <v>12.78481955</v>
      </c>
      <c r="AB59" s="592">
        <f t="shared" si="36"/>
        <v>0.27307642986771524</v>
      </c>
      <c r="AC59" s="592">
        <v>17.374851060000001</v>
      </c>
      <c r="AD59" s="592">
        <f t="shared" si="37"/>
        <v>0.3711168764167726</v>
      </c>
      <c r="AE59" s="592">
        <v>9.7083710199999995</v>
      </c>
      <c r="AF59" s="592">
        <f t="shared" si="37"/>
        <v>0.20736524967008932</v>
      </c>
      <c r="AG59" s="592">
        <v>5.1746771300000001</v>
      </c>
      <c r="AH59" s="592">
        <f t="shared" si="38"/>
        <v>0.11052814244675946</v>
      </c>
      <c r="AI59" s="31">
        <v>111.54229775</v>
      </c>
      <c r="CC59" s="55">
        <v>-231</v>
      </c>
      <c r="CD59" s="226">
        <f>BY59+BZ59+CA59+CC59</f>
        <v>-231</v>
      </c>
    </row>
    <row r="60" spans="1:82">
      <c r="A60" s="624">
        <v>2008</v>
      </c>
      <c r="B60" s="31">
        <f>+B72</f>
        <v>7191.2507889600001</v>
      </c>
      <c r="C60" s="31">
        <f t="shared" ref="C60:AI60" si="41">+C72</f>
        <v>159.79559122000001</v>
      </c>
      <c r="D60" s="31">
        <f t="shared" si="41"/>
        <v>2.2220834164943604</v>
      </c>
      <c r="E60" s="31">
        <f t="shared" si="41"/>
        <v>1911.3072199400001</v>
      </c>
      <c r="F60" s="31">
        <f t="shared" si="41"/>
        <v>26.578230630952778</v>
      </c>
      <c r="G60" s="31">
        <f t="shared" si="41"/>
        <v>855.69988688000001</v>
      </c>
      <c r="H60" s="31">
        <f t="shared" si="41"/>
        <v>11.899180156443293</v>
      </c>
      <c r="I60" s="31">
        <f t="shared" si="41"/>
        <v>261.47057494000001</v>
      </c>
      <c r="J60" s="31">
        <f t="shared" si="41"/>
        <v>3.6359540588044754</v>
      </c>
      <c r="K60" s="31">
        <f t="shared" si="41"/>
        <v>461.37206370000001</v>
      </c>
      <c r="L60" s="31">
        <f t="shared" si="41"/>
        <v>6.4157415342585162</v>
      </c>
      <c r="M60" s="31">
        <f t="shared" si="41"/>
        <v>427.51873171</v>
      </c>
      <c r="N60" s="31">
        <f t="shared" si="41"/>
        <v>5.9449843185322679</v>
      </c>
      <c r="O60" s="31">
        <f t="shared" si="41"/>
        <v>669.11947628999997</v>
      </c>
      <c r="P60" s="31">
        <f t="shared" si="41"/>
        <v>9.3046327534179643</v>
      </c>
      <c r="Q60" s="31">
        <f t="shared" si="41"/>
        <v>2334.86644867</v>
      </c>
      <c r="R60" s="31">
        <f t="shared" si="41"/>
        <v>32.468154945374508</v>
      </c>
      <c r="S60" s="31">
        <f t="shared" si="41"/>
        <v>197.62110000000001</v>
      </c>
      <c r="T60" s="31">
        <f t="shared" si="41"/>
        <v>2.7480768756304217</v>
      </c>
      <c r="U60" s="31">
        <f t="shared" si="41"/>
        <v>7.0910000000000002</v>
      </c>
      <c r="V60" s="31">
        <f t="shared" si="41"/>
        <v>9.8605933906325383E-2</v>
      </c>
      <c r="W60" s="31">
        <f t="shared" si="41"/>
        <v>0.57177211999999999</v>
      </c>
      <c r="X60" s="31">
        <f t="shared" si="41"/>
        <v>7.9509411753207644E-3</v>
      </c>
      <c r="Y60" s="31">
        <f t="shared" si="9"/>
        <v>48.079620780000333</v>
      </c>
      <c r="Z60" s="31">
        <f t="shared" si="41"/>
        <v>0.66858495400844742</v>
      </c>
      <c r="AA60" s="31">
        <f t="shared" si="41"/>
        <v>43.629224700000002</v>
      </c>
      <c r="AB60" s="31">
        <f t="shared" si="41"/>
        <v>0.60669869512796759</v>
      </c>
      <c r="AC60" s="31">
        <f t="shared" si="41"/>
        <v>0</v>
      </c>
      <c r="AD60" s="31">
        <f t="shared" si="41"/>
        <v>0</v>
      </c>
      <c r="AE60" s="31">
        <f t="shared" si="41"/>
        <v>0.51973062000000003</v>
      </c>
      <c r="AF60" s="31">
        <f t="shared" si="41"/>
        <v>7.2272631737150634E-3</v>
      </c>
      <c r="AG60" s="31">
        <f t="shared" si="41"/>
        <v>10.209447389999999</v>
      </c>
      <c r="AH60" s="31">
        <f t="shared" si="41"/>
        <v>0.14197039833005867</v>
      </c>
      <c r="AI60" s="31">
        <f t="shared" si="41"/>
        <v>180.59689255999999</v>
      </c>
      <c r="CD60" s="226"/>
    </row>
    <row r="61" spans="1:82" hidden="1">
      <c r="A61" s="625" t="s">
        <v>18</v>
      </c>
      <c r="B61" s="31">
        <v>4758.2469343599996</v>
      </c>
      <c r="C61" s="31">
        <v>99.579425850000007</v>
      </c>
      <c r="D61" s="31">
        <f t="shared" ref="D61:R61" si="42">C61/$B61*100</f>
        <v>2.0927754953388895</v>
      </c>
      <c r="E61" s="31">
        <v>1240.5537354799999</v>
      </c>
      <c r="F61" s="31">
        <f t="shared" si="42"/>
        <v>26.071655224990099</v>
      </c>
      <c r="G61" s="31">
        <v>314.18942650000002</v>
      </c>
      <c r="H61" s="31">
        <f t="shared" si="42"/>
        <v>6.603050048352725</v>
      </c>
      <c r="I61" s="31">
        <v>199.01313359</v>
      </c>
      <c r="J61" s="31">
        <f t="shared" si="42"/>
        <v>4.182488557979136</v>
      </c>
      <c r="K61" s="31">
        <v>333.36898392000001</v>
      </c>
      <c r="L61" s="31">
        <f t="shared" si="42"/>
        <v>7.0061303778224211</v>
      </c>
      <c r="M61" s="31">
        <v>320.65054728000001</v>
      </c>
      <c r="N61" s="31">
        <f t="shared" si="42"/>
        <v>6.738837889318761</v>
      </c>
      <c r="O61" s="31">
        <v>473.15294684000003</v>
      </c>
      <c r="P61" s="31">
        <f t="shared" si="42"/>
        <v>9.9438501903567289</v>
      </c>
      <c r="Q61" s="31">
        <v>1694.33018292</v>
      </c>
      <c r="R61" s="31">
        <f t="shared" si="42"/>
        <v>35.60828612498004</v>
      </c>
      <c r="S61" s="31">
        <v>187.57599999999999</v>
      </c>
      <c r="T61" s="31">
        <f t="shared" ref="D61:T72" si="43">S61/$B61*100</f>
        <v>3.9421241181386817</v>
      </c>
      <c r="U61" s="31">
        <v>3.15549005</v>
      </c>
      <c r="V61" s="31">
        <f t="shared" ref="V61:V72" si="44">U61/$B61*100</f>
        <v>6.6316231450993912E-2</v>
      </c>
      <c r="W61" s="31">
        <v>0.96917964999999995</v>
      </c>
      <c r="X61" s="31">
        <f t="shared" si="27"/>
        <v>2.0368418524087335E-2</v>
      </c>
      <c r="Y61" s="626">
        <f t="shared" si="9"/>
        <v>27.616469989999512</v>
      </c>
      <c r="Z61" s="31">
        <f t="shared" ref="Z61:Z72" si="45">Y61/$B61*100</f>
        <v>0.58039169406230107</v>
      </c>
      <c r="AA61" s="592">
        <v>15.299684539999999</v>
      </c>
      <c r="AB61" s="592">
        <f t="shared" ref="AB61:AB72" si="46">AA61/B61*100</f>
        <v>0.32154036457248009</v>
      </c>
      <c r="AC61" s="592">
        <v>16.368736800000001</v>
      </c>
      <c r="AD61" s="592">
        <f t="shared" ref="AD61:AF72" si="47">AC61/$B61*100</f>
        <v>0.34400772019205117</v>
      </c>
      <c r="AE61" s="592">
        <v>8.3973347999999994</v>
      </c>
      <c r="AF61" s="592">
        <f t="shared" si="47"/>
        <v>0.17647959250205389</v>
      </c>
      <c r="AG61" s="592">
        <v>11.60165615</v>
      </c>
      <c r="AH61" s="592">
        <f t="shared" ref="AH61:AH72" si="48">AG61/$B61*100</f>
        <v>0.24382206955722996</v>
      </c>
      <c r="AI61" s="31">
        <v>110.71274722</v>
      </c>
      <c r="CC61" s="55">
        <f>CC7+CC45-CC47+CC58-CC59</f>
        <v>-141</v>
      </c>
      <c r="CD61" s="226">
        <f>BY61+BZ61+CA61+CC61</f>
        <v>-141</v>
      </c>
    </row>
    <row r="62" spans="1:82" hidden="1">
      <c r="A62" s="625" t="s">
        <v>19</v>
      </c>
      <c r="B62" s="31">
        <v>4812.1859055799996</v>
      </c>
      <c r="C62" s="31">
        <v>108.24244997</v>
      </c>
      <c r="D62" s="31">
        <f t="shared" si="43"/>
        <v>2.249340571911131</v>
      </c>
      <c r="E62" s="31">
        <v>1295.60176583</v>
      </c>
      <c r="F62" s="31">
        <f t="shared" si="43"/>
        <v>26.923352323684689</v>
      </c>
      <c r="G62" s="31">
        <v>364.99834043999999</v>
      </c>
      <c r="H62" s="31">
        <f t="shared" si="43"/>
        <v>7.5848761374069928</v>
      </c>
      <c r="I62" s="31">
        <v>206.10646295999999</v>
      </c>
      <c r="J62" s="31">
        <f t="shared" si="43"/>
        <v>4.2830112344788676</v>
      </c>
      <c r="K62" s="31">
        <v>347.91385271000001</v>
      </c>
      <c r="L62" s="31">
        <f t="shared" si="43"/>
        <v>7.229850623737839</v>
      </c>
      <c r="M62" s="31">
        <v>329.02567679999999</v>
      </c>
      <c r="N62" s="31">
        <f t="shared" si="43"/>
        <v>6.8373434288662089</v>
      </c>
      <c r="O62" s="31">
        <v>287.14354584</v>
      </c>
      <c r="P62" s="31">
        <f t="shared" si="43"/>
        <v>5.9670085793452188</v>
      </c>
      <c r="Q62" s="31">
        <v>1789.4664088100001</v>
      </c>
      <c r="R62" s="31">
        <f t="shared" si="43"/>
        <v>37.186144590445132</v>
      </c>
      <c r="S62" s="31">
        <v>188.9</v>
      </c>
      <c r="T62" s="31">
        <f t="shared" si="43"/>
        <v>3.9254510051442497</v>
      </c>
      <c r="U62" s="31">
        <v>3.71887144</v>
      </c>
      <c r="V62" s="31">
        <f t="shared" si="44"/>
        <v>7.7280294505824465E-2</v>
      </c>
      <c r="W62" s="31">
        <v>10.968326579999999</v>
      </c>
      <c r="X62" s="31">
        <f t="shared" si="27"/>
        <v>0.22792815562843508</v>
      </c>
      <c r="Y62" s="626">
        <f t="shared" si="9"/>
        <v>27.277727569999797</v>
      </c>
      <c r="Z62" s="31">
        <f t="shared" si="45"/>
        <v>0.56684691957494282</v>
      </c>
      <c r="AA62" s="592">
        <v>15.82346493</v>
      </c>
      <c r="AB62" s="592">
        <f t="shared" si="46"/>
        <v>0.32882073220928154</v>
      </c>
      <c r="AC62" s="592">
        <v>4.3049200799999996</v>
      </c>
      <c r="AD62" s="592">
        <f t="shared" si="47"/>
        <v>8.9458723425630826E-2</v>
      </c>
      <c r="AE62" s="592">
        <v>7.66128667</v>
      </c>
      <c r="AF62" s="592">
        <f t="shared" si="47"/>
        <v>0.15920595796426543</v>
      </c>
      <c r="AG62" s="592">
        <v>13.93280495</v>
      </c>
      <c r="AH62" s="592">
        <f t="shared" si="48"/>
        <v>0.28953172681554407</v>
      </c>
      <c r="AI62" s="31">
        <v>139.45542606999999</v>
      </c>
    </row>
    <row r="63" spans="1:82" hidden="1">
      <c r="A63" s="625" t="s">
        <v>20</v>
      </c>
      <c r="B63" s="31">
        <v>4932.1251997099998</v>
      </c>
      <c r="C63" s="31">
        <v>102.78926656</v>
      </c>
      <c r="D63" s="31">
        <f t="shared" si="43"/>
        <v>2.0840765876349576</v>
      </c>
      <c r="E63" s="31">
        <v>1332.2352727499999</v>
      </c>
      <c r="F63" s="31">
        <f t="shared" si="43"/>
        <v>27.011383912726565</v>
      </c>
      <c r="G63" s="31">
        <v>360.28087202</v>
      </c>
      <c r="H63" s="31">
        <f t="shared" si="43"/>
        <v>7.3047795307625982</v>
      </c>
      <c r="I63" s="31">
        <v>213.34152766</v>
      </c>
      <c r="J63" s="31">
        <f t="shared" si="43"/>
        <v>4.3255497178486886</v>
      </c>
      <c r="K63" s="31">
        <v>347.23472743000002</v>
      </c>
      <c r="L63" s="31">
        <f t="shared" si="43"/>
        <v>7.0402658766735442</v>
      </c>
      <c r="M63" s="31">
        <v>345.71170587</v>
      </c>
      <c r="N63" s="31">
        <f t="shared" si="43"/>
        <v>7.0093862558543165</v>
      </c>
      <c r="O63" s="31">
        <v>307.35975249000001</v>
      </c>
      <c r="P63" s="31">
        <f t="shared" si="43"/>
        <v>6.2317913687201658</v>
      </c>
      <c r="Q63" s="31">
        <v>1848.98235628</v>
      </c>
      <c r="R63" s="31">
        <f t="shared" si="43"/>
        <v>37.488552731563196</v>
      </c>
      <c r="S63" s="31">
        <v>181.16589999999999</v>
      </c>
      <c r="T63" s="31">
        <f t="shared" si="43"/>
        <v>3.6731812892878759</v>
      </c>
      <c r="U63" s="31">
        <v>7.9586439100000002</v>
      </c>
      <c r="V63" s="31">
        <f t="shared" si="44"/>
        <v>0.16136337963334657</v>
      </c>
      <c r="W63" s="31">
        <v>6.1126255299999999</v>
      </c>
      <c r="X63" s="31">
        <f t="shared" si="27"/>
        <v>0.12393492221891309</v>
      </c>
      <c r="Y63" s="626">
        <f t="shared" si="9"/>
        <v>22.610342779999286</v>
      </c>
      <c r="Z63" s="31">
        <f t="shared" si="45"/>
        <v>0.45843002487708001</v>
      </c>
      <c r="AA63" s="592">
        <v>16.11993953</v>
      </c>
      <c r="AB63" s="592">
        <f t="shared" si="46"/>
        <v>0.32683557041390238</v>
      </c>
      <c r="AC63" s="592">
        <v>3.8175442199999998</v>
      </c>
      <c r="AD63" s="592">
        <f t="shared" si="47"/>
        <v>7.7401608138910685E-2</v>
      </c>
      <c r="AE63" s="592">
        <v>6.1715610999999999</v>
      </c>
      <c r="AF63" s="592">
        <f t="shared" si="47"/>
        <v>0.12512985478071151</v>
      </c>
      <c r="AG63" s="592">
        <v>11.39906158</v>
      </c>
      <c r="AH63" s="592">
        <f t="shared" si="48"/>
        <v>0.23111865815308671</v>
      </c>
      <c r="AI63" s="31">
        <v>176.55846951999999</v>
      </c>
    </row>
    <row r="64" spans="1:82" hidden="1">
      <c r="A64" s="625" t="s">
        <v>21</v>
      </c>
      <c r="B64" s="31">
        <v>5216.6671280999999</v>
      </c>
      <c r="C64" s="31">
        <v>108.11394384</v>
      </c>
      <c r="D64" s="31">
        <f t="shared" si="43"/>
        <v>2.0724715835832326</v>
      </c>
      <c r="E64" s="31">
        <v>1402.9155777200001</v>
      </c>
      <c r="F64" s="31">
        <f t="shared" si="43"/>
        <v>26.892947992849336</v>
      </c>
      <c r="G64" s="31">
        <v>366.16147740999997</v>
      </c>
      <c r="H64" s="31">
        <f t="shared" si="43"/>
        <v>7.0190692336423295</v>
      </c>
      <c r="I64" s="31">
        <v>230.93276953</v>
      </c>
      <c r="J64" s="31">
        <f t="shared" si="43"/>
        <v>4.426825861402234</v>
      </c>
      <c r="K64" s="31">
        <v>419.6528404</v>
      </c>
      <c r="L64" s="31">
        <f t="shared" si="43"/>
        <v>8.0444626826869197</v>
      </c>
      <c r="M64" s="31">
        <v>352.18378815</v>
      </c>
      <c r="N64" s="31">
        <f t="shared" si="43"/>
        <v>6.7511263322310429</v>
      </c>
      <c r="O64" s="31">
        <v>241.11989061</v>
      </c>
      <c r="P64" s="31">
        <f t="shared" si="43"/>
        <v>4.6221061204229068</v>
      </c>
      <c r="Q64" s="31">
        <v>1996.42207422</v>
      </c>
      <c r="R64" s="31">
        <f t="shared" si="43"/>
        <v>38.270068325159393</v>
      </c>
      <c r="S64" s="31">
        <v>191.91901999999999</v>
      </c>
      <c r="T64" s="31">
        <f t="shared" si="43"/>
        <v>3.6789585244228569</v>
      </c>
      <c r="U64" s="31">
        <v>7.74629397</v>
      </c>
      <c r="V64" s="31">
        <f t="shared" si="44"/>
        <v>0.14849124507626643</v>
      </c>
      <c r="W64" s="31">
        <v>0.10171761999999999</v>
      </c>
      <c r="X64" s="31">
        <f t="shared" si="27"/>
        <v>1.9498583578793018E-3</v>
      </c>
      <c r="Y64" s="626">
        <f t="shared" si="9"/>
        <v>22.907601090000462</v>
      </c>
      <c r="Z64" s="31">
        <f t="shared" si="45"/>
        <v>0.43912330473621392</v>
      </c>
      <c r="AA64" s="592">
        <v>21.221039510000001</v>
      </c>
      <c r="AB64" s="592">
        <f t="shared" si="46"/>
        <v>0.40679305366622215</v>
      </c>
      <c r="AC64" s="592">
        <v>3.65797908</v>
      </c>
      <c r="AD64" s="592">
        <f t="shared" si="47"/>
        <v>7.0120998525974559E-2</v>
      </c>
      <c r="AE64" s="592">
        <v>6.1070864699999996</v>
      </c>
      <c r="AF64" s="592">
        <f t="shared" si="47"/>
        <v>0.11706873986848201</v>
      </c>
      <c r="AG64" s="592">
        <v>37.423048479999999</v>
      </c>
      <c r="AH64" s="592">
        <f t="shared" si="48"/>
        <v>0.71737466779158132</v>
      </c>
      <c r="AI64" s="31">
        <v>160.23920007000001</v>
      </c>
    </row>
    <row r="65" spans="1:35" hidden="1">
      <c r="A65" s="625" t="s">
        <v>22</v>
      </c>
      <c r="B65" s="31">
        <v>6063.9725886699998</v>
      </c>
      <c r="C65" s="31">
        <v>114.13362878</v>
      </c>
      <c r="D65" s="31">
        <f t="shared" si="43"/>
        <v>1.8821593783792601</v>
      </c>
      <c r="E65" s="31">
        <v>1461.5167391499999</v>
      </c>
      <c r="F65" s="31">
        <f t="shared" si="43"/>
        <v>24.101638287097728</v>
      </c>
      <c r="G65" s="31">
        <v>920.66991012999995</v>
      </c>
      <c r="H65" s="31">
        <f t="shared" si="43"/>
        <v>15.182619918998164</v>
      </c>
      <c r="I65" s="31">
        <v>241.72728119000001</v>
      </c>
      <c r="J65" s="31">
        <f t="shared" si="43"/>
        <v>3.9862858490100397</v>
      </c>
      <c r="K65" s="31">
        <v>421.01543251999999</v>
      </c>
      <c r="L65" s="31">
        <f t="shared" si="43"/>
        <v>6.9428980155126414</v>
      </c>
      <c r="M65" s="31">
        <v>361.30599027</v>
      </c>
      <c r="N65" s="31">
        <f t="shared" si="43"/>
        <v>5.958239173855576</v>
      </c>
      <c r="O65" s="31">
        <v>342.49756350000001</v>
      </c>
      <c r="P65" s="31">
        <f t="shared" si="43"/>
        <v>5.6480724226875072</v>
      </c>
      <c r="Q65" s="31">
        <v>2122.9451715199998</v>
      </c>
      <c r="R65" s="31">
        <f t="shared" si="43"/>
        <v>35.00914854870117</v>
      </c>
      <c r="S65" s="31">
        <v>191.91901999999999</v>
      </c>
      <c r="T65" s="31">
        <f t="shared" si="43"/>
        <v>3.1649057972093053</v>
      </c>
      <c r="U65" s="31">
        <v>7.6822537400000002</v>
      </c>
      <c r="V65" s="31">
        <f t="shared" si="44"/>
        <v>0.12668681508148003</v>
      </c>
      <c r="W65" s="31">
        <v>0.18036930000000001</v>
      </c>
      <c r="X65" s="31">
        <f t="shared" si="27"/>
        <v>2.9744412159283867E-3</v>
      </c>
      <c r="Y65" s="626">
        <f t="shared" si="9"/>
        <v>21.468223629998882</v>
      </c>
      <c r="Z65" s="31">
        <f t="shared" si="45"/>
        <v>0.35402903486256471</v>
      </c>
      <c r="AA65" s="592">
        <v>25.768725679999999</v>
      </c>
      <c r="AB65" s="592">
        <f t="shared" si="46"/>
        <v>0.4249479248660622</v>
      </c>
      <c r="AC65" s="592">
        <v>3.47230908</v>
      </c>
      <c r="AD65" s="592">
        <f t="shared" si="47"/>
        <v>5.7261292481560755E-2</v>
      </c>
      <c r="AE65" s="592">
        <v>6.0095681000000001</v>
      </c>
      <c r="AF65" s="592">
        <f t="shared" si="47"/>
        <v>9.9102824297529826E-2</v>
      </c>
      <c r="AG65" s="592">
        <v>13.579422080000001</v>
      </c>
      <c r="AH65" s="592">
        <f t="shared" si="48"/>
        <v>0.22393607295276957</v>
      </c>
      <c r="AI65" s="31">
        <v>160.98538593000001</v>
      </c>
    </row>
    <row r="66" spans="1:35" hidden="1">
      <c r="A66" s="625" t="s">
        <v>23</v>
      </c>
      <c r="B66" s="31">
        <v>6166.4532703000004</v>
      </c>
      <c r="C66" s="31">
        <v>99.892589330000007</v>
      </c>
      <c r="D66" s="31">
        <f t="shared" si="43"/>
        <v>1.6199358845565399</v>
      </c>
      <c r="E66" s="31">
        <v>1501.2851055599999</v>
      </c>
      <c r="F66" s="31">
        <f t="shared" si="43"/>
        <v>24.346006363021736</v>
      </c>
      <c r="G66" s="31">
        <v>899.25081998999997</v>
      </c>
      <c r="H66" s="31">
        <f t="shared" si="43"/>
        <v>14.582950369885006</v>
      </c>
      <c r="I66" s="31">
        <v>242.48630402000001</v>
      </c>
      <c r="J66" s="31">
        <f t="shared" si="43"/>
        <v>3.9323464135844</v>
      </c>
      <c r="K66" s="31">
        <v>455.96720755000001</v>
      </c>
      <c r="L66" s="31">
        <f t="shared" si="43"/>
        <v>7.3943187041749372</v>
      </c>
      <c r="M66" s="31">
        <v>364.9557858</v>
      </c>
      <c r="N66" s="31">
        <f t="shared" si="43"/>
        <v>5.9184067372693274</v>
      </c>
      <c r="O66" s="31">
        <v>359.87672910999999</v>
      </c>
      <c r="P66" s="31">
        <f t="shared" si="43"/>
        <v>5.8360408055519386</v>
      </c>
      <c r="Q66" s="31">
        <v>2171.2534645400001</v>
      </c>
      <c r="R66" s="31">
        <f t="shared" si="43"/>
        <v>35.210734102171628</v>
      </c>
      <c r="S66" s="31">
        <v>203.59516396000001</v>
      </c>
      <c r="T66" s="31">
        <f t="shared" si="43"/>
        <v>3.3016574526007072</v>
      </c>
      <c r="U66" s="31">
        <v>7.6234925499999999</v>
      </c>
      <c r="V66" s="31">
        <f t="shared" si="44"/>
        <v>0.12362848165440024</v>
      </c>
      <c r="W66" s="31">
        <v>1.46894787</v>
      </c>
      <c r="X66" s="31">
        <f t="shared" si="27"/>
        <v>2.3821600612381436E-2</v>
      </c>
      <c r="Y66" s="626">
        <f t="shared" si="9"/>
        <v>18.864423700000494</v>
      </c>
      <c r="Z66" s="31">
        <f t="shared" si="45"/>
        <v>0.30592015982442905</v>
      </c>
      <c r="AA66" s="592">
        <v>26.342192600000001</v>
      </c>
      <c r="AB66" s="592">
        <f t="shared" si="46"/>
        <v>0.42718547348561103</v>
      </c>
      <c r="AC66" s="592">
        <v>3.6220376299999999</v>
      </c>
      <c r="AD66" s="592">
        <f t="shared" si="47"/>
        <v>5.8737777961362654E-2</v>
      </c>
      <c r="AE66" s="592">
        <v>0.94044083999999994</v>
      </c>
      <c r="AF66" s="592">
        <f t="shared" si="47"/>
        <v>1.5250919755275259E-2</v>
      </c>
      <c r="AG66" s="592">
        <v>12.62372921</v>
      </c>
      <c r="AH66" s="592">
        <f t="shared" si="48"/>
        <v>0.20471620649102643</v>
      </c>
      <c r="AI66" s="31">
        <v>164.03330973999999</v>
      </c>
    </row>
    <row r="67" spans="1:35" hidden="1">
      <c r="A67" s="625" t="s">
        <v>24</v>
      </c>
      <c r="B67" s="31">
        <v>6361.5449279599998</v>
      </c>
      <c r="C67" s="31">
        <v>109.28017438000001</v>
      </c>
      <c r="D67" s="31">
        <f t="shared" si="43"/>
        <v>1.7178244532974416</v>
      </c>
      <c r="E67" s="31">
        <v>1544.5550000000001</v>
      </c>
      <c r="F67" s="31">
        <f t="shared" si="43"/>
        <v>24.279558149647514</v>
      </c>
      <c r="G67" s="31">
        <v>847.40220439999996</v>
      </c>
      <c r="H67" s="31">
        <f t="shared" si="43"/>
        <v>13.320698257989703</v>
      </c>
      <c r="I67" s="31">
        <v>247.50899999999999</v>
      </c>
      <c r="J67" s="31">
        <f t="shared" si="43"/>
        <v>3.8907058395855803</v>
      </c>
      <c r="K67" s="31">
        <v>477.30700000000002</v>
      </c>
      <c r="L67" s="31">
        <f t="shared" si="43"/>
        <v>7.5030044651914665</v>
      </c>
      <c r="M67" s="31">
        <v>380.56599999999997</v>
      </c>
      <c r="N67" s="31">
        <f t="shared" si="43"/>
        <v>5.9822889614023156</v>
      </c>
      <c r="O67" s="31">
        <v>362.44132743</v>
      </c>
      <c r="P67" s="31">
        <f t="shared" si="43"/>
        <v>5.6973790413239529</v>
      </c>
      <c r="Q67" s="31">
        <v>2314.442</v>
      </c>
      <c r="R67" s="31">
        <f t="shared" si="43"/>
        <v>36.381759874518217</v>
      </c>
      <c r="S67" s="31">
        <v>164.88300000000001</v>
      </c>
      <c r="T67" s="31">
        <f t="shared" si="43"/>
        <v>2.5918704004637783</v>
      </c>
      <c r="U67" s="31">
        <v>7.57</v>
      </c>
      <c r="V67" s="31">
        <f t="shared" si="44"/>
        <v>0.11899625147232158</v>
      </c>
      <c r="W67" s="31">
        <v>0.46400000000000002</v>
      </c>
      <c r="X67" s="31">
        <f t="shared" si="27"/>
        <v>7.2938257177222214E-3</v>
      </c>
      <c r="Y67" s="626">
        <f t="shared" si="9"/>
        <v>20.638221749999563</v>
      </c>
      <c r="Z67" s="31">
        <f t="shared" si="45"/>
        <v>0.32442153570732951</v>
      </c>
      <c r="AA67" s="592">
        <v>32.5</v>
      </c>
      <c r="AB67" s="592">
        <f t="shared" si="46"/>
        <v>0.51088218928011242</v>
      </c>
      <c r="AC67" s="592">
        <v>0.26</v>
      </c>
      <c r="AD67" s="592">
        <f t="shared" si="47"/>
        <v>4.0870575142408997E-3</v>
      </c>
      <c r="AE67" s="592">
        <v>0.86799999999999999</v>
      </c>
      <c r="AF67" s="592">
        <f t="shared" si="47"/>
        <v>1.3644484316773465E-2</v>
      </c>
      <c r="AG67" s="592">
        <v>15.742000000000001</v>
      </c>
      <c r="AH67" s="592">
        <f t="shared" si="48"/>
        <v>0.24745561303530866</v>
      </c>
      <c r="AI67" s="31">
        <v>178.22800000000001</v>
      </c>
    </row>
    <row r="68" spans="1:35" hidden="1">
      <c r="A68" s="625" t="s">
        <v>25</v>
      </c>
      <c r="B68" s="31">
        <v>6455.0339999999997</v>
      </c>
      <c r="C68" s="31">
        <v>122.87884366999999</v>
      </c>
      <c r="D68" s="31">
        <f t="shared" si="43"/>
        <v>1.9036126482060358</v>
      </c>
      <c r="E68" s="31">
        <v>1565.04141525</v>
      </c>
      <c r="F68" s="31">
        <f t="shared" si="43"/>
        <v>24.245285388891833</v>
      </c>
      <c r="G68" s="31">
        <v>793.67726954</v>
      </c>
      <c r="H68" s="31">
        <f t="shared" si="43"/>
        <v>12.295477754880919</v>
      </c>
      <c r="I68" s="31">
        <v>246.73682292000001</v>
      </c>
      <c r="J68" s="31">
        <f t="shared" si="43"/>
        <v>3.8223938544707901</v>
      </c>
      <c r="K68" s="31">
        <v>484.75122442000003</v>
      </c>
      <c r="L68" s="31">
        <f t="shared" si="43"/>
        <v>7.5096618301313365</v>
      </c>
      <c r="M68" s="31">
        <v>384.31110414</v>
      </c>
      <c r="N68" s="31">
        <f t="shared" si="43"/>
        <v>5.9536650641964091</v>
      </c>
      <c r="O68" s="31">
        <v>382.10543888000001</v>
      </c>
      <c r="P68" s="31">
        <f t="shared" si="43"/>
        <v>5.9194953718291803</v>
      </c>
      <c r="Q68" s="31">
        <v>2399.78801406</v>
      </c>
      <c r="R68" s="31">
        <f t="shared" si="43"/>
        <v>37.177000369943833</v>
      </c>
      <c r="S68" s="31">
        <v>207.53</v>
      </c>
      <c r="T68" s="31">
        <f t="shared" si="43"/>
        <v>3.2150101765536796</v>
      </c>
      <c r="U68" s="31">
        <v>7.5630374199999997</v>
      </c>
      <c r="V68" s="31">
        <f t="shared" si="44"/>
        <v>0.11716495095145897</v>
      </c>
      <c r="W68" s="31">
        <v>1.06413259</v>
      </c>
      <c r="X68" s="31">
        <f t="shared" si="27"/>
        <v>1.6485313477822117E-2</v>
      </c>
      <c r="Y68" s="626">
        <f t="shared" si="9"/>
        <v>20.732108210000135</v>
      </c>
      <c r="Z68" s="31">
        <f t="shared" si="45"/>
        <v>0.32117736653285073</v>
      </c>
      <c r="AA68" s="592">
        <v>32.794790120000002</v>
      </c>
      <c r="AB68" s="592">
        <f t="shared" si="46"/>
        <v>0.50804984326960956</v>
      </c>
      <c r="AC68" s="592">
        <v>0.14382</v>
      </c>
      <c r="AD68" s="592">
        <f t="shared" si="47"/>
        <v>2.2280285433043424E-3</v>
      </c>
      <c r="AE68" s="592">
        <v>0.80105466999999997</v>
      </c>
      <c r="AF68" s="592">
        <f t="shared" si="47"/>
        <v>1.2409766857928247E-2</v>
      </c>
      <c r="AG68" s="592">
        <v>12.64492411</v>
      </c>
      <c r="AH68" s="592">
        <f t="shared" si="48"/>
        <v>0.19589244781669626</v>
      </c>
      <c r="AI68" s="31">
        <v>149.28882658000001</v>
      </c>
    </row>
    <row r="69" spans="1:35" hidden="1">
      <c r="A69" s="625" t="s">
        <v>26</v>
      </c>
      <c r="B69" s="31">
        <v>6604.7275165600004</v>
      </c>
      <c r="C69" s="31">
        <v>139.27907212</v>
      </c>
      <c r="D69" s="31">
        <f t="shared" si="43"/>
        <v>2.1087784737642283</v>
      </c>
      <c r="E69" s="31">
        <v>1579.10699843</v>
      </c>
      <c r="F69" s="31">
        <f t="shared" si="43"/>
        <v>23.908738013350479</v>
      </c>
      <c r="G69" s="31">
        <v>829.92823048000002</v>
      </c>
      <c r="H69" s="31">
        <f t="shared" si="43"/>
        <v>12.56566949051456</v>
      </c>
      <c r="I69" s="31">
        <v>253.46743577999999</v>
      </c>
      <c r="J69" s="31">
        <f t="shared" si="43"/>
        <v>3.83766680978863</v>
      </c>
      <c r="K69" s="31">
        <v>470.60682910000003</v>
      </c>
      <c r="L69" s="31">
        <f t="shared" si="43"/>
        <v>7.125302715669191</v>
      </c>
      <c r="M69" s="31">
        <v>399.78630048000002</v>
      </c>
      <c r="N69" s="31">
        <f t="shared" si="43"/>
        <v>6.0530324601222052</v>
      </c>
      <c r="O69" s="31">
        <v>400.90335019999998</v>
      </c>
      <c r="P69" s="31">
        <f t="shared" si="43"/>
        <v>6.0699453413455284</v>
      </c>
      <c r="Q69" s="31">
        <v>2433.3362617399998</v>
      </c>
      <c r="R69" s="31">
        <f t="shared" si="43"/>
        <v>36.842341423456276</v>
      </c>
      <c r="S69" s="31">
        <v>234.5933545</v>
      </c>
      <c r="T69" s="31">
        <f t="shared" si="43"/>
        <v>3.5519005729124364</v>
      </c>
      <c r="U69" s="31">
        <v>7.51917831</v>
      </c>
      <c r="V69" s="31">
        <f t="shared" si="44"/>
        <v>0.11384539772681312</v>
      </c>
      <c r="W69" s="31">
        <v>1.8069187799999999</v>
      </c>
      <c r="X69" s="31">
        <f t="shared" si="27"/>
        <v>2.7357961028210802E-2</v>
      </c>
      <c r="Y69" s="626">
        <f t="shared" si="9"/>
        <v>20.820132770000367</v>
      </c>
      <c r="Z69" s="31">
        <f t="shared" si="45"/>
        <v>0.31523076035760977</v>
      </c>
      <c r="AA69" s="592">
        <v>35.905372579999998</v>
      </c>
      <c r="AB69" s="592">
        <f t="shared" si="46"/>
        <v>0.54363139872121347</v>
      </c>
      <c r="AC69" s="592">
        <v>0.5448366</v>
      </c>
      <c r="AD69" s="592">
        <f t="shared" si="47"/>
        <v>8.249191183647378E-3</v>
      </c>
      <c r="AE69" s="592">
        <v>20.73649314</v>
      </c>
      <c r="AF69" s="592">
        <f t="shared" si="47"/>
        <v>0.31396440031791611</v>
      </c>
      <c r="AG69" s="592">
        <v>10.98010605</v>
      </c>
      <c r="AH69" s="592">
        <f t="shared" si="48"/>
        <v>0.16624616265348774</v>
      </c>
      <c r="AI69" s="31">
        <v>194.29485148000001</v>
      </c>
    </row>
    <row r="70" spans="1:35" hidden="1">
      <c r="A70" s="625" t="s">
        <v>27</v>
      </c>
      <c r="B70" s="31">
        <v>6697.4756245500002</v>
      </c>
      <c r="C70" s="31">
        <v>142.62396127</v>
      </c>
      <c r="D70" s="31">
        <f t="shared" si="43"/>
        <v>2.1295181836452421</v>
      </c>
      <c r="E70" s="31">
        <v>1705.7200683799999</v>
      </c>
      <c r="F70" s="31">
        <f t="shared" si="43"/>
        <v>25.468104163419131</v>
      </c>
      <c r="G70" s="31">
        <v>810.59</v>
      </c>
      <c r="H70" s="31">
        <f t="shared" si="43"/>
        <v>12.102918255181603</v>
      </c>
      <c r="I70" s="31">
        <v>255.9</v>
      </c>
      <c r="J70" s="31">
        <f t="shared" si="43"/>
        <v>3.8208425733119973</v>
      </c>
      <c r="K70" s="31">
        <v>450.49</v>
      </c>
      <c r="L70" s="31">
        <f t="shared" si="43"/>
        <v>6.7262656148937934</v>
      </c>
      <c r="M70" s="31">
        <v>409.07799999999997</v>
      </c>
      <c r="N70" s="31">
        <f t="shared" si="43"/>
        <v>6.1079430957613337</v>
      </c>
      <c r="O70" s="31">
        <v>456.23</v>
      </c>
      <c r="P70" s="31">
        <f t="shared" si="43"/>
        <v>6.8119695475659743</v>
      </c>
      <c r="Q70" s="31">
        <v>2364.7800000000002</v>
      </c>
      <c r="R70" s="31">
        <f t="shared" si="43"/>
        <v>35.308527161065825</v>
      </c>
      <c r="S70" s="31">
        <v>204.565</v>
      </c>
      <c r="T70" s="31">
        <f t="shared" si="43"/>
        <v>3.0543597538474745</v>
      </c>
      <c r="U70" s="31">
        <v>7.3879999999999999</v>
      </c>
      <c r="V70" s="31">
        <f t="shared" si="44"/>
        <v>0.11031021856830417</v>
      </c>
      <c r="W70" s="31">
        <v>7.3000000000000001E-3</v>
      </c>
      <c r="X70" s="31">
        <f t="shared" si="27"/>
        <v>1.0899629068064704E-4</v>
      </c>
      <c r="Y70" s="626">
        <f t="shared" si="9"/>
        <v>18.1596111799991</v>
      </c>
      <c r="Z70" s="31">
        <f t="shared" si="45"/>
        <v>0.27114113134557671</v>
      </c>
      <c r="AA70" s="592">
        <v>37.347240749999997</v>
      </c>
      <c r="AB70" s="592">
        <f t="shared" si="46"/>
        <v>0.55763160395987765</v>
      </c>
      <c r="AC70" s="592">
        <v>0</v>
      </c>
      <c r="AD70" s="592">
        <f t="shared" si="47"/>
        <v>0</v>
      </c>
      <c r="AE70" s="592">
        <v>20.653561830000001</v>
      </c>
      <c r="AF70" s="592">
        <f t="shared" si="47"/>
        <v>0.30837830531690363</v>
      </c>
      <c r="AG70" s="592">
        <v>18.507881139999999</v>
      </c>
      <c r="AH70" s="592">
        <f t="shared" si="48"/>
        <v>0.27634114967374046</v>
      </c>
      <c r="AI70" s="31">
        <v>206.29377181999999</v>
      </c>
    </row>
    <row r="71" spans="1:35" hidden="1">
      <c r="A71" s="625" t="s">
        <v>28</v>
      </c>
      <c r="B71" s="31">
        <v>6855.4556472699996</v>
      </c>
      <c r="C71" s="31">
        <v>145.30813495999999</v>
      </c>
      <c r="D71" s="31">
        <f t="shared" si="43"/>
        <v>2.1195984984289851</v>
      </c>
      <c r="E71" s="31">
        <v>1714.59734084</v>
      </c>
      <c r="F71" s="31">
        <f t="shared" si="43"/>
        <v>25.01069847228597</v>
      </c>
      <c r="G71" s="31">
        <v>812.32328261999999</v>
      </c>
      <c r="H71" s="31">
        <f t="shared" si="43"/>
        <v>11.84929674139874</v>
      </c>
      <c r="I71" s="31">
        <v>258.65031905000001</v>
      </c>
      <c r="J71" s="31">
        <f t="shared" si="43"/>
        <v>3.7729121499458689</v>
      </c>
      <c r="K71" s="31">
        <v>425.76389989</v>
      </c>
      <c r="L71" s="31">
        <f t="shared" si="43"/>
        <v>6.2105849967762392</v>
      </c>
      <c r="M71" s="31">
        <v>405.85523706999999</v>
      </c>
      <c r="N71" s="31">
        <f t="shared" si="43"/>
        <v>5.9201788758070499</v>
      </c>
      <c r="O71" s="31">
        <v>660.60453307</v>
      </c>
      <c r="P71" s="31">
        <f t="shared" si="43"/>
        <v>9.6361871049821168</v>
      </c>
      <c r="Q71" s="31">
        <v>2354.16707679</v>
      </c>
      <c r="R71" s="31">
        <f t="shared" si="43"/>
        <v>34.340052622577808</v>
      </c>
      <c r="S71" s="31">
        <v>221.87611999999999</v>
      </c>
      <c r="T71" s="31">
        <f t="shared" si="43"/>
        <v>3.2364897596318949</v>
      </c>
      <c r="U71" s="31">
        <v>7.5225318000000003</v>
      </c>
      <c r="V71" s="31">
        <f t="shared" si="44"/>
        <v>0.10973058811919592</v>
      </c>
      <c r="W71" s="31">
        <v>1.5377222800000001</v>
      </c>
      <c r="X71" s="31">
        <f>W71/$B71*100</f>
        <v>2.2430635673536252E-2</v>
      </c>
      <c r="Y71" s="626">
        <f t="shared" si="9"/>
        <v>18.625489380000673</v>
      </c>
      <c r="Z71" s="31">
        <f t="shared" si="45"/>
        <v>0.27168856948870745</v>
      </c>
      <c r="AA71" s="592">
        <v>37.142753120000002</v>
      </c>
      <c r="AB71" s="592">
        <f t="shared" si="46"/>
        <v>0.54179845995781617</v>
      </c>
      <c r="AC71" s="592">
        <v>0.104</v>
      </c>
      <c r="AD71" s="592">
        <f t="shared" si="47"/>
        <v>1.5170399365272706E-3</v>
      </c>
      <c r="AE71" s="592">
        <v>0.58181159000000005</v>
      </c>
      <c r="AF71" s="592">
        <f t="shared" si="47"/>
        <v>8.4868405535041391E-3</v>
      </c>
      <c r="AG71" s="592">
        <v>12.67151481</v>
      </c>
      <c r="AH71" s="592">
        <f t="shared" si="48"/>
        <v>0.18483840406794971</v>
      </c>
      <c r="AI71" s="31">
        <v>208.08587616</v>
      </c>
    </row>
    <row r="72" spans="1:35" hidden="1">
      <c r="A72" s="625" t="s">
        <v>29</v>
      </c>
      <c r="B72" s="31">
        <v>7191.2507889600001</v>
      </c>
      <c r="C72" s="31">
        <v>159.79559122000001</v>
      </c>
      <c r="D72" s="31">
        <f t="shared" si="43"/>
        <v>2.2220834164943604</v>
      </c>
      <c r="E72" s="31">
        <v>1911.3072199400001</v>
      </c>
      <c r="F72" s="31">
        <f t="shared" si="43"/>
        <v>26.578230630952778</v>
      </c>
      <c r="G72" s="31">
        <v>855.69988688000001</v>
      </c>
      <c r="H72" s="31">
        <f t="shared" si="43"/>
        <v>11.899180156443293</v>
      </c>
      <c r="I72" s="31">
        <v>261.47057494000001</v>
      </c>
      <c r="J72" s="31">
        <f t="shared" si="43"/>
        <v>3.6359540588044754</v>
      </c>
      <c r="K72" s="31">
        <v>461.37206370000001</v>
      </c>
      <c r="L72" s="31">
        <f t="shared" si="43"/>
        <v>6.4157415342585162</v>
      </c>
      <c r="M72" s="31">
        <v>427.51873171</v>
      </c>
      <c r="N72" s="31">
        <f t="shared" si="43"/>
        <v>5.9449843185322679</v>
      </c>
      <c r="O72" s="31">
        <v>669.11947628999997</v>
      </c>
      <c r="P72" s="31">
        <f t="shared" si="43"/>
        <v>9.3046327534179643</v>
      </c>
      <c r="Q72" s="31">
        <v>2334.86644867</v>
      </c>
      <c r="R72" s="31">
        <f t="shared" si="43"/>
        <v>32.468154945374508</v>
      </c>
      <c r="S72" s="31">
        <v>197.62110000000001</v>
      </c>
      <c r="T72" s="31">
        <f t="shared" si="43"/>
        <v>2.7480768756304217</v>
      </c>
      <c r="U72" s="31">
        <v>7.0910000000000002</v>
      </c>
      <c r="V72" s="31">
        <f t="shared" si="44"/>
        <v>9.8605933906325383E-2</v>
      </c>
      <c r="W72" s="31">
        <v>0.57177211999999999</v>
      </c>
      <c r="X72" s="31">
        <f>W72/$B72*100</f>
        <v>7.9509411753207644E-3</v>
      </c>
      <c r="Y72" s="626">
        <f t="shared" si="9"/>
        <v>48.079620780000333</v>
      </c>
      <c r="Z72" s="31">
        <f t="shared" si="45"/>
        <v>0.66858495400844742</v>
      </c>
      <c r="AA72" s="592">
        <v>43.629224700000002</v>
      </c>
      <c r="AB72" s="592">
        <f t="shared" si="46"/>
        <v>0.60669869512796759</v>
      </c>
      <c r="AC72" s="592">
        <v>0</v>
      </c>
      <c r="AD72" s="592">
        <f t="shared" si="47"/>
        <v>0</v>
      </c>
      <c r="AE72" s="592">
        <v>0.51973062000000003</v>
      </c>
      <c r="AF72" s="592">
        <f t="shared" si="47"/>
        <v>7.2272631737150634E-3</v>
      </c>
      <c r="AG72" s="592">
        <v>10.209447389999999</v>
      </c>
      <c r="AH72" s="592">
        <f t="shared" si="48"/>
        <v>0.14197039833005867</v>
      </c>
      <c r="AI72" s="31">
        <v>180.59689255999999</v>
      </c>
    </row>
    <row r="73" spans="1:35">
      <c r="A73" s="625" t="s">
        <v>43</v>
      </c>
      <c r="B73" s="31">
        <f>+B85</f>
        <v>8407.4600296200006</v>
      </c>
      <c r="C73" s="31">
        <f t="shared" ref="C73:AI73" si="49">+C85</f>
        <v>303.52331758999998</v>
      </c>
      <c r="D73" s="31">
        <f t="shared" si="49"/>
        <v>3.6101666439170526</v>
      </c>
      <c r="E73" s="31">
        <f t="shared" si="49"/>
        <v>1833.9755674099999</v>
      </c>
      <c r="F73" s="31">
        <f t="shared" si="49"/>
        <v>21.813669775994068</v>
      </c>
      <c r="G73" s="31">
        <f t="shared" si="49"/>
        <v>1521.9513809699999</v>
      </c>
      <c r="H73" s="31">
        <f t="shared" si="49"/>
        <v>18.1023921090088</v>
      </c>
      <c r="I73" s="31">
        <f t="shared" si="49"/>
        <v>394.76353073000001</v>
      </c>
      <c r="J73" s="31">
        <f t="shared" si="49"/>
        <v>4.6953958667567104</v>
      </c>
      <c r="K73" s="31">
        <f t="shared" si="49"/>
        <v>576.51455678000002</v>
      </c>
      <c r="L73" s="31">
        <f t="shared" si="49"/>
        <v>6.8571786811819937</v>
      </c>
      <c r="M73" s="31">
        <f t="shared" si="49"/>
        <v>536.86002767000002</v>
      </c>
      <c r="N73" s="31">
        <f t="shared" si="49"/>
        <v>6.3855198333219425</v>
      </c>
      <c r="O73" s="31">
        <f t="shared" si="49"/>
        <v>520.36061713000004</v>
      </c>
      <c r="P73" s="31">
        <f t="shared" si="49"/>
        <v>6.1892725662297225</v>
      </c>
      <c r="Q73" s="31">
        <f t="shared" si="49"/>
        <v>2328.94564223</v>
      </c>
      <c r="R73" s="31">
        <f t="shared" si="49"/>
        <v>27.700942187354809</v>
      </c>
      <c r="S73" s="31">
        <f t="shared" si="49"/>
        <v>254.60599999999999</v>
      </c>
      <c r="T73" s="31">
        <f t="shared" si="49"/>
        <v>3.0283343495301476</v>
      </c>
      <c r="U73" s="31">
        <f t="shared" si="49"/>
        <v>0.99526274999999997</v>
      </c>
      <c r="V73" s="31">
        <f t="shared" si="49"/>
        <v>1.1837852888906137E-2</v>
      </c>
      <c r="W73" s="31">
        <f t="shared" si="49"/>
        <v>0.60261160000000003</v>
      </c>
      <c r="X73" s="31">
        <f t="shared" si="49"/>
        <v>7.1675820982432525E-3</v>
      </c>
      <c r="Y73" s="31">
        <f t="shared" si="9"/>
        <v>57.50058646000069</v>
      </c>
      <c r="Z73" s="31">
        <f t="shared" si="49"/>
        <v>0.68392339966437632</v>
      </c>
      <c r="AA73" s="31">
        <f t="shared" si="49"/>
        <v>284.51366710000002</v>
      </c>
      <c r="AB73" s="31">
        <f t="shared" si="49"/>
        <v>3.3840620841210165</v>
      </c>
      <c r="AC73" s="31">
        <f t="shared" si="49"/>
        <v>18.522100099999999</v>
      </c>
      <c r="AD73" s="31">
        <f t="shared" si="49"/>
        <v>0.22030553859007951</v>
      </c>
      <c r="AE73" s="31">
        <f t="shared" si="49"/>
        <v>19.77260862</v>
      </c>
      <c r="AF73" s="31">
        <f t="shared" si="49"/>
        <v>0.23517933538000629</v>
      </c>
      <c r="AG73" s="31">
        <f t="shared" si="49"/>
        <v>8.6585524800000009</v>
      </c>
      <c r="AH73" s="31">
        <f t="shared" si="49"/>
        <v>0.10298654349227218</v>
      </c>
      <c r="AI73" s="31">
        <f t="shared" si="49"/>
        <v>165.64595686000001</v>
      </c>
    </row>
    <row r="74" spans="1:35" hidden="1">
      <c r="A74" s="625" t="s">
        <v>18</v>
      </c>
      <c r="B74" s="180">
        <v>7201.2873153199998</v>
      </c>
      <c r="C74" s="180">
        <v>176.529</v>
      </c>
      <c r="D74" s="180">
        <f t="shared" ref="D74:R74" si="50">C74/$B74*100</f>
        <v>2.4513533798943512</v>
      </c>
      <c r="E74" s="180">
        <v>1764.11477079</v>
      </c>
      <c r="F74" s="180">
        <f t="shared" si="50"/>
        <v>24.497214088889731</v>
      </c>
      <c r="G74" s="180">
        <v>858.62995147000004</v>
      </c>
      <c r="H74" s="180">
        <f t="shared" si="50"/>
        <v>11.923284183417497</v>
      </c>
      <c r="I74" s="180">
        <v>262.52775550000001</v>
      </c>
      <c r="J74" s="180">
        <f t="shared" si="50"/>
        <v>3.6455670216281906</v>
      </c>
      <c r="K74" s="180">
        <v>463.44670269</v>
      </c>
      <c r="L74" s="180">
        <f t="shared" si="50"/>
        <v>6.4356091126105284</v>
      </c>
      <c r="M74" s="180">
        <v>395.71614741000002</v>
      </c>
      <c r="N74" s="180">
        <f t="shared" si="50"/>
        <v>5.4950751175856363</v>
      </c>
      <c r="O74" s="180">
        <v>675.50810476000004</v>
      </c>
      <c r="P74" s="180">
        <f t="shared" si="50"/>
        <v>9.38037985684762</v>
      </c>
      <c r="Q74" s="180">
        <v>2312.5425082500001</v>
      </c>
      <c r="R74" s="180">
        <f t="shared" si="50"/>
        <v>32.112904359895531</v>
      </c>
      <c r="S74" s="180">
        <v>188.03299999999999</v>
      </c>
      <c r="T74" s="180">
        <f t="shared" ref="D74:T85" si="51">S74/$B74*100</f>
        <v>2.6111025955037106</v>
      </c>
      <c r="U74" s="180">
        <v>1.92298262</v>
      </c>
      <c r="V74" s="180">
        <f t="shared" ref="V74:V85" si="52">U74/$B74*100</f>
        <v>2.6703317556974176E-2</v>
      </c>
      <c r="W74" s="180">
        <v>0.46320809000000002</v>
      </c>
      <c r="X74" s="180">
        <f t="shared" ref="X74:X85" si="53">W74/$B74*100</f>
        <v>6.4322956398999995E-3</v>
      </c>
      <c r="Y74" s="628">
        <f t="shared" si="9"/>
        <v>70.212857099998459</v>
      </c>
      <c r="Z74" s="180">
        <f t="shared" ref="Z74:Z85" si="54">Y74/$B74*100</f>
        <v>0.97500424612454795</v>
      </c>
      <c r="AA74" s="629">
        <v>187.79027335999999</v>
      </c>
      <c r="AB74" s="629">
        <f t="shared" ref="AB74:AB85" si="55">AA74/B74*100</f>
        <v>2.6077319948128643</v>
      </c>
      <c r="AC74" s="629">
        <v>0</v>
      </c>
      <c r="AD74" s="629">
        <f t="shared" ref="AD74:AF85" si="56">AC74/$B74*100</f>
        <v>0</v>
      </c>
      <c r="AE74" s="629">
        <v>0.45783354999999998</v>
      </c>
      <c r="AF74" s="629">
        <f t="shared" si="56"/>
        <v>6.3576625949364092E-3</v>
      </c>
      <c r="AG74" s="629">
        <v>31.425219729999998</v>
      </c>
      <c r="AH74" s="629">
        <f t="shared" ref="AH74:AH85" si="57">AG74/$B74*100</f>
        <v>0.43638336250167475</v>
      </c>
      <c r="AI74" s="180">
        <v>175.34764465999999</v>
      </c>
    </row>
    <row r="75" spans="1:35" hidden="1">
      <c r="A75" s="625" t="s">
        <v>19</v>
      </c>
      <c r="B75" s="180">
        <v>6692.53476133</v>
      </c>
      <c r="C75" s="180">
        <v>183.41390215000001</v>
      </c>
      <c r="D75" s="180">
        <f t="shared" si="51"/>
        <v>2.7405745160978494</v>
      </c>
      <c r="E75" s="180">
        <v>1549.0660861199999</v>
      </c>
      <c r="F75" s="180">
        <f t="shared" si="51"/>
        <v>23.146179158763992</v>
      </c>
      <c r="G75" s="180">
        <v>870.70990109000002</v>
      </c>
      <c r="H75" s="180">
        <f t="shared" si="51"/>
        <v>13.010166284395433</v>
      </c>
      <c r="I75" s="180">
        <v>262.42740742000001</v>
      </c>
      <c r="J75" s="180">
        <f t="shared" si="51"/>
        <v>3.9211960307823355</v>
      </c>
      <c r="K75" s="180">
        <v>448.47154315</v>
      </c>
      <c r="L75" s="180">
        <f t="shared" si="51"/>
        <v>6.7010715542533212</v>
      </c>
      <c r="M75" s="180">
        <v>398.48502414000001</v>
      </c>
      <c r="N75" s="180">
        <f t="shared" si="51"/>
        <v>5.9541718997483324</v>
      </c>
      <c r="O75" s="180">
        <v>400.64072320999998</v>
      </c>
      <c r="P75" s="180">
        <f t="shared" si="51"/>
        <v>5.986382402149542</v>
      </c>
      <c r="Q75" s="180">
        <v>2290.0150046499998</v>
      </c>
      <c r="R75" s="180">
        <f t="shared" si="51"/>
        <v>34.217454018795529</v>
      </c>
      <c r="S75" s="180">
        <v>201.46652680599999</v>
      </c>
      <c r="T75" s="180">
        <f t="shared" si="51"/>
        <v>3.0103172264429561</v>
      </c>
      <c r="U75" s="180">
        <v>1.7143286900000001</v>
      </c>
      <c r="V75" s="180">
        <f t="shared" si="52"/>
        <v>2.5615536581229701E-2</v>
      </c>
      <c r="W75" s="180">
        <v>0.74971105999999998</v>
      </c>
      <c r="X75" s="180">
        <f t="shared" si="53"/>
        <v>1.1202198968496814E-2</v>
      </c>
      <c r="Y75" s="628">
        <f t="shared" si="9"/>
        <v>69.273464080000764</v>
      </c>
      <c r="Z75" s="180">
        <f t="shared" si="54"/>
        <v>1.0350856073287564</v>
      </c>
      <c r="AA75" s="629">
        <v>200.66325956</v>
      </c>
      <c r="AB75" s="629">
        <f t="shared" si="55"/>
        <v>2.9983147897781319</v>
      </c>
      <c r="AC75" s="629">
        <v>0</v>
      </c>
      <c r="AD75" s="629">
        <f t="shared" si="56"/>
        <v>0</v>
      </c>
      <c r="AE75" s="629">
        <v>0.41473585000000002</v>
      </c>
      <c r="AF75" s="629">
        <f t="shared" si="56"/>
        <v>6.1969920932854446E-3</v>
      </c>
      <c r="AG75" s="629">
        <v>16.489670159999999</v>
      </c>
      <c r="AH75" s="629">
        <f t="shared" si="57"/>
        <v>0.24638901026377374</v>
      </c>
      <c r="AI75" s="180">
        <v>173.03939639999999</v>
      </c>
    </row>
    <row r="76" spans="1:35" hidden="1">
      <c r="A76" s="625" t="s">
        <v>20</v>
      </c>
      <c r="B76" s="180">
        <v>6221.28788678</v>
      </c>
      <c r="C76" s="180">
        <v>195.86626412000001</v>
      </c>
      <c r="D76" s="180">
        <f t="shared" si="51"/>
        <v>3.1483234289190887</v>
      </c>
      <c r="E76" s="180">
        <v>1268.7166515199999</v>
      </c>
      <c r="F76" s="180">
        <f t="shared" si="51"/>
        <v>20.393151299363183</v>
      </c>
      <c r="G76" s="180">
        <v>335.00216590999997</v>
      </c>
      <c r="H76" s="180">
        <f t="shared" si="51"/>
        <v>5.3847719637258198</v>
      </c>
      <c r="I76" s="180">
        <v>349.3304594</v>
      </c>
      <c r="J76" s="180">
        <f t="shared" si="51"/>
        <v>5.6150826928024653</v>
      </c>
      <c r="K76" s="180">
        <v>626.77369734000001</v>
      </c>
      <c r="L76" s="180">
        <f t="shared" si="51"/>
        <v>10.074661529035978</v>
      </c>
      <c r="M76" s="180">
        <v>466.20425289999997</v>
      </c>
      <c r="N76" s="180">
        <f t="shared" si="51"/>
        <v>7.49369361110368</v>
      </c>
      <c r="O76" s="180">
        <v>416.63064349000001</v>
      </c>
      <c r="P76" s="180">
        <f t="shared" si="51"/>
        <v>6.6968552343530714</v>
      </c>
      <c r="Q76" s="180">
        <v>2269.31217595</v>
      </c>
      <c r="R76" s="180">
        <f t="shared" si="51"/>
        <v>36.476565901606996</v>
      </c>
      <c r="S76" s="180">
        <v>189.75200000000001</v>
      </c>
      <c r="T76" s="180">
        <f t="shared" si="51"/>
        <v>3.0500437120618673</v>
      </c>
      <c r="U76" s="180">
        <v>1.1852814599999999</v>
      </c>
      <c r="V76" s="180">
        <f t="shared" si="52"/>
        <v>1.9052027193897873E-2</v>
      </c>
      <c r="W76" s="180">
        <v>0.48225227999999998</v>
      </c>
      <c r="X76" s="180">
        <f t="shared" si="53"/>
        <v>7.7516470669162845E-3</v>
      </c>
      <c r="Y76" s="628">
        <f t="shared" si="9"/>
        <v>68.822733460000151</v>
      </c>
      <c r="Z76" s="180">
        <f t="shared" si="54"/>
        <v>1.1062457599212832</v>
      </c>
      <c r="AA76" s="629">
        <v>209.37142047</v>
      </c>
      <c r="AB76" s="629">
        <f t="shared" si="55"/>
        <v>3.3654031814683627</v>
      </c>
      <c r="AC76" s="629">
        <v>0</v>
      </c>
      <c r="AD76" s="629">
        <f t="shared" si="56"/>
        <v>0</v>
      </c>
      <c r="AE76" s="629">
        <v>0.33833224000000001</v>
      </c>
      <c r="AF76" s="629">
        <f t="shared" si="56"/>
        <v>5.4382990492843637E-3</v>
      </c>
      <c r="AG76" s="629">
        <v>13.251556239999999</v>
      </c>
      <c r="AH76" s="629">
        <f t="shared" si="57"/>
        <v>0.21300342438997322</v>
      </c>
      <c r="AI76" s="180">
        <v>178.17091561999999</v>
      </c>
    </row>
    <row r="77" spans="1:35" hidden="1">
      <c r="A77" s="625" t="s">
        <v>21</v>
      </c>
      <c r="B77" s="180">
        <v>6278.4440000000004</v>
      </c>
      <c r="C77" s="180">
        <v>200.804</v>
      </c>
      <c r="D77" s="180">
        <f t="shared" si="51"/>
        <v>3.1983083706727333</v>
      </c>
      <c r="E77" s="180">
        <v>1263.835</v>
      </c>
      <c r="F77" s="180">
        <f t="shared" si="51"/>
        <v>20.129748708437951</v>
      </c>
      <c r="G77" s="180">
        <v>344.18700000000001</v>
      </c>
      <c r="H77" s="180">
        <f t="shared" si="51"/>
        <v>5.4820430030115741</v>
      </c>
      <c r="I77" s="180">
        <v>353.48200000000003</v>
      </c>
      <c r="J77" s="180">
        <f t="shared" si="51"/>
        <v>5.6300892386712373</v>
      </c>
      <c r="K77" s="180">
        <v>645.95299999999997</v>
      </c>
      <c r="L77" s="180">
        <f t="shared" si="51"/>
        <v>10.288424966440729</v>
      </c>
      <c r="M77" s="180">
        <v>499.70100000000002</v>
      </c>
      <c r="N77" s="180">
        <f t="shared" si="51"/>
        <v>7.9589942985873572</v>
      </c>
      <c r="O77" s="180">
        <v>424.25900000000001</v>
      </c>
      <c r="P77" s="180">
        <f t="shared" si="51"/>
        <v>6.7573908439734431</v>
      </c>
      <c r="Q77" s="180">
        <v>2251.4749999999999</v>
      </c>
      <c r="R77" s="180">
        <f t="shared" si="51"/>
        <v>35.860397894765008</v>
      </c>
      <c r="S77" s="180">
        <v>196.1</v>
      </c>
      <c r="T77" s="180">
        <f t="shared" si="51"/>
        <v>3.1233853483442706</v>
      </c>
      <c r="U77" s="180">
        <v>1.194</v>
      </c>
      <c r="V77" s="180">
        <f t="shared" si="52"/>
        <v>1.9017450820617336E-2</v>
      </c>
      <c r="W77" s="180">
        <v>0.69799999999999995</v>
      </c>
      <c r="X77" s="180">
        <f t="shared" si="53"/>
        <v>1.1117404248568592E-2</v>
      </c>
      <c r="Y77" s="628">
        <f t="shared" si="9"/>
        <v>65.936000000000618</v>
      </c>
      <c r="Z77" s="180">
        <f t="shared" si="54"/>
        <v>1.0501965136584894</v>
      </c>
      <c r="AA77" s="629">
        <v>214.89500000000001</v>
      </c>
      <c r="AB77" s="629">
        <f t="shared" si="55"/>
        <v>3.422742959879868</v>
      </c>
      <c r="AC77" s="629">
        <v>0</v>
      </c>
      <c r="AD77" s="629">
        <f t="shared" si="56"/>
        <v>0</v>
      </c>
      <c r="AE77" s="629">
        <v>0.30299999999999999</v>
      </c>
      <c r="AF77" s="629">
        <f t="shared" si="56"/>
        <v>4.8260365147797767E-3</v>
      </c>
      <c r="AG77" s="629">
        <v>11.722</v>
      </c>
      <c r="AH77" s="629">
        <f t="shared" si="57"/>
        <v>0.18670231031765194</v>
      </c>
      <c r="AI77" s="180">
        <v>175.39160000000001</v>
      </c>
    </row>
    <row r="78" spans="1:35" hidden="1">
      <c r="A78" s="625" t="s">
        <v>22</v>
      </c>
      <c r="B78" s="180">
        <v>6355.9960000000001</v>
      </c>
      <c r="C78" s="180">
        <v>209.21199999999999</v>
      </c>
      <c r="D78" s="180">
        <f t="shared" si="51"/>
        <v>3.2915690947571394</v>
      </c>
      <c r="E78" s="180">
        <v>1297.3109999999999</v>
      </c>
      <c r="F78" s="180">
        <f t="shared" si="51"/>
        <v>20.410821529780694</v>
      </c>
      <c r="G78" s="180">
        <v>334.96800000000002</v>
      </c>
      <c r="H78" s="180">
        <f t="shared" si="51"/>
        <v>5.2701103021461941</v>
      </c>
      <c r="I78" s="180">
        <v>353.62599999999998</v>
      </c>
      <c r="J78" s="180">
        <f t="shared" si="51"/>
        <v>5.5636598890244731</v>
      </c>
      <c r="K78" s="180">
        <v>646.05399999999997</v>
      </c>
      <c r="L78" s="180">
        <f t="shared" si="51"/>
        <v>10.164480909050289</v>
      </c>
      <c r="M78" s="180">
        <v>509.94200000000001</v>
      </c>
      <c r="N78" s="180">
        <f t="shared" si="51"/>
        <v>8.0230069370717043</v>
      </c>
      <c r="O78" s="180">
        <v>439.92500000000001</v>
      </c>
      <c r="P78" s="180">
        <f t="shared" si="51"/>
        <v>6.9214171940951505</v>
      </c>
      <c r="Q78" s="180">
        <v>2264.7130000000002</v>
      </c>
      <c r="R78" s="180">
        <f t="shared" si="51"/>
        <v>35.631126891835677</v>
      </c>
      <c r="S78" s="180">
        <v>192.8</v>
      </c>
      <c r="T78" s="180">
        <f t="shared" si="51"/>
        <v>3.0333562198591695</v>
      </c>
      <c r="U78" s="180">
        <v>1.19</v>
      </c>
      <c r="V78" s="180">
        <f t="shared" si="52"/>
        <v>1.8722478742906695E-2</v>
      </c>
      <c r="W78" s="180">
        <v>0.59499999999999997</v>
      </c>
      <c r="X78" s="180">
        <f t="shared" si="53"/>
        <v>9.3612393714533476E-3</v>
      </c>
      <c r="Y78" s="628">
        <f t="shared" si="9"/>
        <v>65.193999999999647</v>
      </c>
      <c r="Z78" s="180">
        <f t="shared" si="54"/>
        <v>1.0257086379538256</v>
      </c>
      <c r="AA78" s="180">
        <v>226.36099999999999</v>
      </c>
      <c r="AB78" s="629">
        <f t="shared" si="55"/>
        <v>3.5613773199353806</v>
      </c>
      <c r="AC78" s="180">
        <v>0</v>
      </c>
      <c r="AD78" s="629">
        <f t="shared" si="56"/>
        <v>0</v>
      </c>
      <c r="AE78" s="180">
        <v>0.255</v>
      </c>
      <c r="AF78" s="629">
        <f t="shared" si="56"/>
        <v>4.0119597306228641E-3</v>
      </c>
      <c r="AG78" s="180">
        <v>6.65</v>
      </c>
      <c r="AH78" s="629">
        <f t="shared" si="57"/>
        <v>0.10462561650447862</v>
      </c>
      <c r="AI78" s="180">
        <v>168.51179999999999</v>
      </c>
    </row>
    <row r="79" spans="1:35" hidden="1">
      <c r="A79" s="625" t="s">
        <v>23</v>
      </c>
      <c r="B79" s="180">
        <v>6463.7888553100001</v>
      </c>
      <c r="C79" s="180">
        <v>242.75732969000001</v>
      </c>
      <c r="D79" s="180">
        <f t="shared" si="51"/>
        <v>3.7556506736845985</v>
      </c>
      <c r="E79" s="180">
        <v>1343.3826448100001</v>
      </c>
      <c r="F79" s="180">
        <f t="shared" si="51"/>
        <v>20.783207417216477</v>
      </c>
      <c r="G79" s="180">
        <v>326.05263753000003</v>
      </c>
      <c r="H79" s="180">
        <f t="shared" si="51"/>
        <v>5.0442959203741307</v>
      </c>
      <c r="I79" s="180">
        <v>360.33966820000001</v>
      </c>
      <c r="J79" s="180">
        <f t="shared" si="51"/>
        <v>5.5747437960319681</v>
      </c>
      <c r="K79" s="180">
        <v>644.33418963999998</v>
      </c>
      <c r="L79" s="180">
        <f t="shared" si="51"/>
        <v>9.9683669139452125</v>
      </c>
      <c r="M79" s="180">
        <v>518.96311118000006</v>
      </c>
      <c r="N79" s="180">
        <f t="shared" si="51"/>
        <v>8.0287757350500719</v>
      </c>
      <c r="O79" s="180">
        <v>462.12912175999998</v>
      </c>
      <c r="P79" s="180">
        <f t="shared" si="51"/>
        <v>7.1495083163238089</v>
      </c>
      <c r="Q79" s="180">
        <v>2242.2699662199998</v>
      </c>
      <c r="R79" s="180">
        <f t="shared" si="51"/>
        <v>34.689715527727607</v>
      </c>
      <c r="S79" s="180">
        <v>192.2927</v>
      </c>
      <c r="T79" s="180">
        <f t="shared" si="51"/>
        <v>2.9749223606218451</v>
      </c>
      <c r="U79" s="180">
        <v>1.15723076</v>
      </c>
      <c r="V79" s="180"/>
      <c r="W79" s="180">
        <v>0.60005392999999996</v>
      </c>
      <c r="X79" s="180">
        <f t="shared" si="53"/>
        <v>9.2833157677645346E-3</v>
      </c>
      <c r="Y79" s="628">
        <f t="shared" si="9"/>
        <v>64.685343370000979</v>
      </c>
      <c r="Z79" s="180">
        <f t="shared" si="54"/>
        <v>1.000734164094206</v>
      </c>
      <c r="AA79" s="180">
        <v>236.34572392000001</v>
      </c>
      <c r="AB79" s="629">
        <f t="shared" si="55"/>
        <v>3.6564579878849557</v>
      </c>
      <c r="AC79" s="180">
        <v>0.41040777000000001</v>
      </c>
      <c r="AD79" s="629">
        <f t="shared" si="56"/>
        <v>6.3493375044707742E-3</v>
      </c>
      <c r="AE79" s="180">
        <v>11.09176293</v>
      </c>
      <c r="AF79" s="629">
        <f t="shared" si="56"/>
        <v>0.17159847232460448</v>
      </c>
      <c r="AG79" s="180">
        <v>9.2696635999999994</v>
      </c>
      <c r="AH79" s="629">
        <f t="shared" si="57"/>
        <v>0.14340913367528973</v>
      </c>
      <c r="AI79" s="180">
        <v>181.12499133</v>
      </c>
    </row>
    <row r="80" spans="1:35" hidden="1">
      <c r="A80" s="625" t="s">
        <v>24</v>
      </c>
      <c r="B80" s="180">
        <v>7229.1999974600003</v>
      </c>
      <c r="C80" s="180">
        <v>262.43878831000001</v>
      </c>
      <c r="D80" s="180">
        <f t="shared" si="51"/>
        <v>3.6302604493195458</v>
      </c>
      <c r="E80" s="180">
        <v>1372.8014593</v>
      </c>
      <c r="F80" s="180">
        <f t="shared" si="51"/>
        <v>18.989673266507189</v>
      </c>
      <c r="G80" s="180">
        <v>997.64935359000003</v>
      </c>
      <c r="H80" s="180">
        <f t="shared" si="51"/>
        <v>13.800273252096041</v>
      </c>
      <c r="I80" s="180">
        <v>351.05577627999998</v>
      </c>
      <c r="J80" s="180">
        <f t="shared" si="51"/>
        <v>4.8560805677439332</v>
      </c>
      <c r="K80" s="180">
        <v>657.76505277000001</v>
      </c>
      <c r="L80" s="180">
        <f t="shared" si="51"/>
        <v>9.098725349984889</v>
      </c>
      <c r="M80" s="180">
        <v>530.80898079999997</v>
      </c>
      <c r="N80" s="180">
        <f t="shared" si="51"/>
        <v>7.3425687626086038</v>
      </c>
      <c r="O80" s="180">
        <v>467.61243115000002</v>
      </c>
      <c r="P80" s="180">
        <f t="shared" si="51"/>
        <v>6.4683842100688445</v>
      </c>
      <c r="Q80" s="180">
        <v>2271.5663364000002</v>
      </c>
      <c r="R80" s="180">
        <f t="shared" si="51"/>
        <v>31.422098395370462</v>
      </c>
      <c r="S80" s="180">
        <v>204.87</v>
      </c>
      <c r="T80" s="180">
        <f t="shared" si="51"/>
        <v>2.8339235333367681</v>
      </c>
      <c r="U80" s="180">
        <v>1.1301769699999999</v>
      </c>
      <c r="V80" s="180">
        <f t="shared" si="52"/>
        <v>1.5633499839499403E-2</v>
      </c>
      <c r="W80" s="180">
        <v>0.49661414999999998</v>
      </c>
      <c r="X80" s="180">
        <f t="shared" si="53"/>
        <v>6.8695588747646587E-3</v>
      </c>
      <c r="Y80" s="628">
        <f t="shared" si="9"/>
        <v>65.544631680000762</v>
      </c>
      <c r="Z80" s="180">
        <f t="shared" si="54"/>
        <v>0.9066650763989107</v>
      </c>
      <c r="AA80" s="180">
        <v>222.83158180999999</v>
      </c>
      <c r="AB80" s="629">
        <f t="shared" si="55"/>
        <v>3.0823823090838887</v>
      </c>
      <c r="AC80" s="180">
        <v>0.39922887000000001</v>
      </c>
      <c r="AD80" s="629">
        <f t="shared" si="56"/>
        <v>5.5224488206201267E-3</v>
      </c>
      <c r="AE80" s="180">
        <v>19.28143884</v>
      </c>
      <c r="AF80" s="629">
        <f t="shared" si="56"/>
        <v>0.2667160798812398</v>
      </c>
      <c r="AG80" s="180">
        <v>7.8181465399999999</v>
      </c>
      <c r="AH80" s="629">
        <f t="shared" si="57"/>
        <v>0.1081467734015787</v>
      </c>
      <c r="AI80" s="180">
        <v>162.69198004</v>
      </c>
    </row>
    <row r="81" spans="1:35" hidden="1">
      <c r="A81" s="625" t="s">
        <v>25</v>
      </c>
      <c r="B81" s="180">
        <v>7629.8486843800001</v>
      </c>
      <c r="C81" s="180">
        <v>274.92399977999997</v>
      </c>
      <c r="D81" s="180">
        <f t="shared" si="51"/>
        <v>3.6032693589694729</v>
      </c>
      <c r="E81" s="180">
        <v>1401.5466573599999</v>
      </c>
      <c r="F81" s="180">
        <f t="shared" si="51"/>
        <v>18.369258884901324</v>
      </c>
      <c r="G81" s="180">
        <v>1349.54142127</v>
      </c>
      <c r="H81" s="180">
        <f t="shared" si="51"/>
        <v>17.687656428007699</v>
      </c>
      <c r="I81" s="180">
        <v>355.94603738000001</v>
      </c>
      <c r="J81" s="180">
        <f t="shared" si="51"/>
        <v>4.6651781982085812</v>
      </c>
      <c r="K81" s="180">
        <v>664.56197875999999</v>
      </c>
      <c r="L81" s="180">
        <f t="shared" si="51"/>
        <v>8.7100282882477913</v>
      </c>
      <c r="M81" s="180">
        <v>536.25050100999999</v>
      </c>
      <c r="N81" s="180">
        <f t="shared" si="51"/>
        <v>7.0283241934774434</v>
      </c>
      <c r="O81" s="180">
        <v>464.68492273999999</v>
      </c>
      <c r="P81" s="180">
        <f t="shared" si="51"/>
        <v>6.0903556802025909</v>
      </c>
      <c r="Q81" s="180">
        <v>2264.6322482</v>
      </c>
      <c r="R81" s="180">
        <f t="shared" si="51"/>
        <v>29.681220976717494</v>
      </c>
      <c r="S81" s="180">
        <v>211.505</v>
      </c>
      <c r="T81" s="180">
        <f t="shared" si="51"/>
        <v>2.7720733234591908</v>
      </c>
      <c r="U81" s="180">
        <v>1.1576218899999999</v>
      </c>
      <c r="V81" s="180">
        <f t="shared" si="52"/>
        <v>1.5172278480042597E-2</v>
      </c>
      <c r="W81" s="180">
        <v>0.44787774000000002</v>
      </c>
      <c r="X81" s="180">
        <f t="shared" si="53"/>
        <v>5.8700736872659811E-3</v>
      </c>
      <c r="Y81" s="628">
        <f t="shared" si="9"/>
        <v>61.800382810001274</v>
      </c>
      <c r="Z81" s="180">
        <f t="shared" si="54"/>
        <v>0.80998176197806426</v>
      </c>
      <c r="AA81" s="180">
        <v>238.52642612</v>
      </c>
      <c r="AB81" s="629">
        <f t="shared" si="55"/>
        <v>3.1262274782502137</v>
      </c>
      <c r="AC81" s="180">
        <v>0.35687341</v>
      </c>
      <c r="AD81" s="629">
        <f t="shared" si="56"/>
        <v>4.6773327330933753E-3</v>
      </c>
      <c r="AE81" s="180">
        <v>7.4731609900000002</v>
      </c>
      <c r="AF81" s="629">
        <f t="shared" si="56"/>
        <v>9.7946385297250069E-2</v>
      </c>
      <c r="AG81" s="180">
        <v>7.9985749200000003</v>
      </c>
      <c r="AH81" s="629">
        <f t="shared" si="57"/>
        <v>0.10483268084169042</v>
      </c>
      <c r="AI81" s="180">
        <v>140.0952757</v>
      </c>
    </row>
    <row r="82" spans="1:35" hidden="1">
      <c r="A82" s="625" t="s">
        <v>26</v>
      </c>
      <c r="B82" s="180">
        <v>7780.8130340600001</v>
      </c>
      <c r="C82" s="180">
        <v>309.36373753999999</v>
      </c>
      <c r="D82" s="180">
        <f t="shared" si="51"/>
        <v>3.9759821523249625</v>
      </c>
      <c r="E82" s="180">
        <v>1645.9977785900001</v>
      </c>
      <c r="F82" s="180">
        <f t="shared" si="51"/>
        <v>21.154573068196761</v>
      </c>
      <c r="G82" s="180">
        <v>1353.60815443</v>
      </c>
      <c r="H82" s="180">
        <f t="shared" si="51"/>
        <v>17.396744382684286</v>
      </c>
      <c r="I82" s="180">
        <v>367.58060509000001</v>
      </c>
      <c r="J82" s="180">
        <f t="shared" si="51"/>
        <v>4.7241927479935573</v>
      </c>
      <c r="K82" s="180">
        <v>443.28486605000001</v>
      </c>
      <c r="L82" s="180">
        <f t="shared" si="51"/>
        <v>5.6971535507863962</v>
      </c>
      <c r="M82" s="180">
        <v>544.39440499</v>
      </c>
      <c r="N82" s="180">
        <f t="shared" si="51"/>
        <v>6.9966262215394339</v>
      </c>
      <c r="O82" s="180">
        <v>475.60368820000002</v>
      </c>
      <c r="P82" s="180">
        <f t="shared" si="51"/>
        <v>6.1125191688590386</v>
      </c>
      <c r="Q82" s="180">
        <v>2300.0184254800001</v>
      </c>
      <c r="R82" s="180">
        <f t="shared" si="51"/>
        <v>29.560129711532973</v>
      </c>
      <c r="S82" s="180">
        <v>223.553</v>
      </c>
      <c r="T82" s="180">
        <f t="shared" si="51"/>
        <v>2.8731316254665336</v>
      </c>
      <c r="U82" s="180">
        <v>1.06450446</v>
      </c>
      <c r="V82" s="180">
        <f t="shared" si="52"/>
        <v>1.3681146884524807E-2</v>
      </c>
      <c r="W82" s="180">
        <v>0.64260275</v>
      </c>
      <c r="X82" s="180">
        <f t="shared" si="53"/>
        <v>8.2588123784371695E-3</v>
      </c>
      <c r="Y82" s="628">
        <f t="shared" si="9"/>
        <v>61.742304209999922</v>
      </c>
      <c r="Z82" s="180">
        <f t="shared" si="54"/>
        <v>0.79351995658714614</v>
      </c>
      <c r="AA82" s="180">
        <v>259.77765068999997</v>
      </c>
      <c r="AB82" s="629">
        <f t="shared" si="55"/>
        <v>3.3386954493423797</v>
      </c>
      <c r="AC82" s="180">
        <v>0.38230923</v>
      </c>
      <c r="AD82" s="629">
        <f t="shared" si="56"/>
        <v>4.9134869110267314E-3</v>
      </c>
      <c r="AE82" s="180">
        <v>8.2631040700000007</v>
      </c>
      <c r="AF82" s="629">
        <f t="shared" si="56"/>
        <v>0.10619846581364702</v>
      </c>
      <c r="AG82" s="180">
        <v>9.0888982800000004</v>
      </c>
      <c r="AH82" s="629">
        <f t="shared" si="57"/>
        <v>0.11681167816543003</v>
      </c>
      <c r="AI82" s="180">
        <v>149.34801235</v>
      </c>
    </row>
    <row r="83" spans="1:35" hidden="1">
      <c r="A83" s="625" t="s">
        <v>27</v>
      </c>
      <c r="B83" s="180">
        <v>7963.7234947999996</v>
      </c>
      <c r="C83" s="180">
        <v>290.01943205999999</v>
      </c>
      <c r="D83" s="180">
        <f t="shared" si="51"/>
        <v>3.641756676375961</v>
      </c>
      <c r="E83" s="180">
        <v>1735.3021489400001</v>
      </c>
      <c r="F83" s="180">
        <f t="shared" si="51"/>
        <v>21.790085379949272</v>
      </c>
      <c r="G83" s="180">
        <v>1428.3545655299999</v>
      </c>
      <c r="H83" s="180">
        <f t="shared" si="51"/>
        <v>17.93576291872338</v>
      </c>
      <c r="I83" s="180">
        <v>388.22547713</v>
      </c>
      <c r="J83" s="180">
        <f t="shared" si="51"/>
        <v>4.8749241153776381</v>
      </c>
      <c r="K83" s="180">
        <v>461.22628617999999</v>
      </c>
      <c r="L83" s="180">
        <f t="shared" si="51"/>
        <v>5.7915909119793367</v>
      </c>
      <c r="M83" s="180">
        <v>485.61600299000003</v>
      </c>
      <c r="N83" s="180">
        <f t="shared" si="51"/>
        <v>6.0978511283960115</v>
      </c>
      <c r="O83" s="180">
        <v>509.94234452000001</v>
      </c>
      <c r="P83" s="180">
        <f t="shared" si="51"/>
        <v>6.4033155452091277</v>
      </c>
      <c r="Q83" s="180">
        <v>2303.87076432</v>
      </c>
      <c r="R83" s="180">
        <f t="shared" si="51"/>
        <v>28.929567504752491</v>
      </c>
      <c r="S83" s="180">
        <v>237.4</v>
      </c>
      <c r="T83" s="180">
        <f t="shared" si="51"/>
        <v>2.9810176126156684</v>
      </c>
      <c r="U83" s="180">
        <v>0.96420932000000004</v>
      </c>
      <c r="V83" s="180">
        <f t="shared" si="52"/>
        <v>1.2107518808627536E-2</v>
      </c>
      <c r="W83" s="180">
        <v>0.67156216999999996</v>
      </c>
      <c r="X83" s="180">
        <f t="shared" si="53"/>
        <v>8.4327660351154049E-3</v>
      </c>
      <c r="Y83" s="628">
        <f t="shared" si="9"/>
        <v>60.321730209999281</v>
      </c>
      <c r="Z83" s="180">
        <f t="shared" si="54"/>
        <v>0.75745636132880578</v>
      </c>
      <c r="AA83" s="180">
        <v>257.56020864999999</v>
      </c>
      <c r="AB83" s="629">
        <f t="shared" si="55"/>
        <v>3.2341681478290494</v>
      </c>
      <c r="AC83" s="180">
        <v>17.058841109999999</v>
      </c>
      <c r="AD83" s="629">
        <f t="shared" si="56"/>
        <v>0.2142068483560329</v>
      </c>
      <c r="AE83" s="180">
        <v>15.700916619999999</v>
      </c>
      <c r="AF83" s="629">
        <f t="shared" si="56"/>
        <v>0.1971554716867315</v>
      </c>
      <c r="AG83" s="180">
        <v>8.8890050499999997</v>
      </c>
      <c r="AH83" s="629">
        <f t="shared" si="57"/>
        <v>0.11161870519241625</v>
      </c>
      <c r="AI83" s="180">
        <v>138.05307303999999</v>
      </c>
    </row>
    <row r="84" spans="1:35" hidden="1">
      <c r="A84" s="625" t="s">
        <v>28</v>
      </c>
      <c r="B84" s="180">
        <v>8064.5616917300003</v>
      </c>
      <c r="C84" s="180">
        <v>272.89767504000002</v>
      </c>
      <c r="D84" s="180">
        <f t="shared" si="51"/>
        <v>3.3839120521559103</v>
      </c>
      <c r="E84" s="180">
        <v>1839.8229197799999</v>
      </c>
      <c r="F84" s="180">
        <f t="shared" si="51"/>
        <v>22.813675313150505</v>
      </c>
      <c r="G84" s="180">
        <v>1420.5073482400001</v>
      </c>
      <c r="H84" s="180">
        <f t="shared" si="51"/>
        <v>17.614191601965096</v>
      </c>
      <c r="I84" s="180">
        <v>390.39869227000003</v>
      </c>
      <c r="J84" s="180">
        <f t="shared" si="51"/>
        <v>4.8409164340616773</v>
      </c>
      <c r="K84" s="180">
        <v>449.82142861</v>
      </c>
      <c r="L84" s="180">
        <f t="shared" si="51"/>
        <v>5.577754201710432</v>
      </c>
      <c r="M84" s="180">
        <v>434.04885870999999</v>
      </c>
      <c r="N84" s="180">
        <f t="shared" si="51"/>
        <v>5.3821754399263373</v>
      </c>
      <c r="O84" s="180">
        <v>518.06197213999997</v>
      </c>
      <c r="P84" s="180">
        <f t="shared" si="51"/>
        <v>6.4239321607677589</v>
      </c>
      <c r="Q84" s="180">
        <v>2324.9324610100002</v>
      </c>
      <c r="R84" s="180">
        <f t="shared" si="51"/>
        <v>28.828999639176402</v>
      </c>
      <c r="S84" s="180">
        <v>241.428</v>
      </c>
      <c r="T84" s="180">
        <f t="shared" si="51"/>
        <v>2.9936902863248993</v>
      </c>
      <c r="U84" s="180">
        <v>0.98081085000000001</v>
      </c>
      <c r="V84" s="180">
        <f t="shared" si="52"/>
        <v>1.2161985827522358E-2</v>
      </c>
      <c r="W84" s="180">
        <v>1.7104575799999999</v>
      </c>
      <c r="X84" s="180">
        <f t="shared" si="53"/>
        <v>2.1209554162801309E-2</v>
      </c>
      <c r="Y84" s="628">
        <f t="shared" ref="Y84:Y112" si="58">((B84-C84-E84-G84-I84-K84-M84-W84-O84-Q84-U84-AA84-AC84-AE84-AG84))</f>
        <v>58.789535000000598</v>
      </c>
      <c r="Z84" s="180">
        <f t="shared" si="54"/>
        <v>0.72898611539282721</v>
      </c>
      <c r="AA84" s="180">
        <v>300.15988088</v>
      </c>
      <c r="AB84" s="629">
        <f t="shared" si="55"/>
        <v>3.7219614946687831</v>
      </c>
      <c r="AC84" s="180">
        <v>34.026205449999999</v>
      </c>
      <c r="AD84" s="629">
        <f t="shared" si="56"/>
        <v>0.42192256381264953</v>
      </c>
      <c r="AE84" s="180">
        <v>9.5714064299999997</v>
      </c>
      <c r="AF84" s="629">
        <f t="shared" si="56"/>
        <v>0.11868476918981512</v>
      </c>
      <c r="AG84" s="180">
        <v>8.8320397400000008</v>
      </c>
      <c r="AH84" s="629">
        <f t="shared" si="57"/>
        <v>0.10951667403148554</v>
      </c>
      <c r="AI84" s="180">
        <v>134.64883083000001</v>
      </c>
    </row>
    <row r="85" spans="1:35" hidden="1">
      <c r="A85" s="625" t="s">
        <v>29</v>
      </c>
      <c r="B85" s="180">
        <v>8407.4600296200006</v>
      </c>
      <c r="C85" s="180">
        <v>303.52331758999998</v>
      </c>
      <c r="D85" s="180">
        <f t="shared" si="51"/>
        <v>3.6101666439170526</v>
      </c>
      <c r="E85" s="180">
        <v>1833.9755674099999</v>
      </c>
      <c r="F85" s="180">
        <f t="shared" si="51"/>
        <v>21.813669775994068</v>
      </c>
      <c r="G85" s="180">
        <v>1521.9513809699999</v>
      </c>
      <c r="H85" s="180">
        <f t="shared" si="51"/>
        <v>18.1023921090088</v>
      </c>
      <c r="I85" s="180">
        <v>394.76353073000001</v>
      </c>
      <c r="J85" s="180">
        <f t="shared" si="51"/>
        <v>4.6953958667567104</v>
      </c>
      <c r="K85" s="180">
        <v>576.51455678000002</v>
      </c>
      <c r="L85" s="180">
        <f t="shared" si="51"/>
        <v>6.8571786811819937</v>
      </c>
      <c r="M85" s="180">
        <v>536.86002767000002</v>
      </c>
      <c r="N85" s="180">
        <f t="shared" si="51"/>
        <v>6.3855198333219425</v>
      </c>
      <c r="O85" s="180">
        <v>520.36061713000004</v>
      </c>
      <c r="P85" s="180">
        <f t="shared" si="51"/>
        <v>6.1892725662297225</v>
      </c>
      <c r="Q85" s="180">
        <v>2328.94564223</v>
      </c>
      <c r="R85" s="180">
        <f t="shared" si="51"/>
        <v>27.700942187354809</v>
      </c>
      <c r="S85" s="180">
        <v>254.60599999999999</v>
      </c>
      <c r="T85" s="180">
        <f t="shared" si="51"/>
        <v>3.0283343495301476</v>
      </c>
      <c r="U85" s="180">
        <v>0.99526274999999997</v>
      </c>
      <c r="V85" s="180">
        <f t="shared" si="52"/>
        <v>1.1837852888906137E-2</v>
      </c>
      <c r="W85" s="180">
        <v>0.60261160000000003</v>
      </c>
      <c r="X85" s="180">
        <f t="shared" si="53"/>
        <v>7.1675820982432525E-3</v>
      </c>
      <c r="Y85" s="628">
        <f t="shared" si="58"/>
        <v>57.50058646000069</v>
      </c>
      <c r="Z85" s="180">
        <f t="shared" si="54"/>
        <v>0.68392339966437632</v>
      </c>
      <c r="AA85" s="180">
        <v>284.51366710000002</v>
      </c>
      <c r="AB85" s="629">
        <f t="shared" si="55"/>
        <v>3.3840620841210165</v>
      </c>
      <c r="AC85" s="180">
        <v>18.522100099999999</v>
      </c>
      <c r="AD85" s="629">
        <f t="shared" si="56"/>
        <v>0.22030553859007951</v>
      </c>
      <c r="AE85" s="180">
        <v>19.77260862</v>
      </c>
      <c r="AF85" s="629">
        <f t="shared" si="56"/>
        <v>0.23517933538000629</v>
      </c>
      <c r="AG85" s="180">
        <v>8.6585524800000009</v>
      </c>
      <c r="AH85" s="629">
        <f t="shared" si="57"/>
        <v>0.10298654349227218</v>
      </c>
      <c r="AI85" s="180">
        <v>165.64595686000001</v>
      </c>
    </row>
    <row r="86" spans="1:35">
      <c r="A86" s="625" t="s">
        <v>48</v>
      </c>
      <c r="B86" s="268">
        <v>9163.3597792400014</v>
      </c>
      <c r="C86" s="268">
        <v>492.87668797999999</v>
      </c>
      <c r="D86" s="268">
        <v>5.378776997238873</v>
      </c>
      <c r="E86" s="268">
        <v>2206.7763883799998</v>
      </c>
      <c r="F86" s="268">
        <v>24.082612071824897</v>
      </c>
      <c r="G86" s="268">
        <v>983.95156850000001</v>
      </c>
      <c r="H86" s="268">
        <v>10.737890819578928</v>
      </c>
      <c r="I86" s="268">
        <v>441.34799163000002</v>
      </c>
      <c r="J86" s="268">
        <v>4.8164429015424401</v>
      </c>
      <c r="K86" s="268">
        <v>660.64497155000004</v>
      </c>
      <c r="L86" s="268">
        <v>7.2096369395723237</v>
      </c>
      <c r="M86" s="268">
        <v>682.38481673000001</v>
      </c>
      <c r="N86" s="268">
        <v>7.4468844743603002</v>
      </c>
      <c r="O86" s="268">
        <v>454.41087775</v>
      </c>
      <c r="P86" s="268">
        <v>4.9589985409007733</v>
      </c>
      <c r="Q86" s="268">
        <v>2700.8020430699999</v>
      </c>
      <c r="R86" s="268">
        <v>29.47392777470974</v>
      </c>
      <c r="S86" s="268">
        <v>401.41500000000002</v>
      </c>
      <c r="T86" s="268">
        <v>4.380653053800458</v>
      </c>
      <c r="U86" s="268">
        <v>0.68196042999999995</v>
      </c>
      <c r="V86" s="268">
        <v>7.4422531301784264E-3</v>
      </c>
      <c r="W86" s="268">
        <v>0.97847786000000003</v>
      </c>
      <c r="X86" s="268">
        <v>1.0678156086556648E-2</v>
      </c>
      <c r="Y86" s="630">
        <f t="shared" si="58"/>
        <v>46.043434350000659</v>
      </c>
      <c r="Z86" s="268">
        <v>0.50247327900748928</v>
      </c>
      <c r="AA86" s="268">
        <v>430.83065515999999</v>
      </c>
      <c r="AB86" s="631">
        <v>4.7016669162774329</v>
      </c>
      <c r="AC86" s="268">
        <v>44.068022310000003</v>
      </c>
      <c r="AD86" s="631">
        <v>0.4809155525011477</v>
      </c>
      <c r="AE86" s="268">
        <v>7.71011062</v>
      </c>
      <c r="AF86" s="631">
        <v>8.4140651526829688E-2</v>
      </c>
      <c r="AG86" s="268">
        <v>9.8517729200000002</v>
      </c>
      <c r="AH86" s="631">
        <v>0.10751267174207904</v>
      </c>
      <c r="AI86" s="268">
        <v>146.31131445</v>
      </c>
    </row>
    <row r="87" spans="1:35" hidden="1">
      <c r="A87" s="625" t="s">
        <v>18</v>
      </c>
      <c r="B87" s="268">
        <v>8431.1754328499992</v>
      </c>
      <c r="C87" s="268">
        <v>331.42509939000001</v>
      </c>
      <c r="D87" s="268">
        <f t="shared" ref="D87:R87" si="59">C87/$B87*100</f>
        <v>3.9309477311868486</v>
      </c>
      <c r="E87" s="268">
        <v>1842.24816197</v>
      </c>
      <c r="F87" s="268">
        <f t="shared" si="59"/>
        <v>21.850430899493961</v>
      </c>
      <c r="G87" s="268">
        <v>1519.90390383</v>
      </c>
      <c r="H87" s="268">
        <f t="shared" si="59"/>
        <v>18.027188687215173</v>
      </c>
      <c r="I87" s="268">
        <v>391.68248686999999</v>
      </c>
      <c r="J87" s="268">
        <f t="shared" si="59"/>
        <v>4.645645082225494</v>
      </c>
      <c r="K87" s="268">
        <v>574.19820347999996</v>
      </c>
      <c r="L87" s="268">
        <f t="shared" si="59"/>
        <v>6.8104169822250178</v>
      </c>
      <c r="M87" s="268">
        <v>529.23666118000006</v>
      </c>
      <c r="N87" s="268">
        <f t="shared" si="59"/>
        <v>6.2771397107686759</v>
      </c>
      <c r="O87" s="268">
        <v>530.07371538999996</v>
      </c>
      <c r="P87" s="268">
        <f t="shared" si="59"/>
        <v>6.287067795134452</v>
      </c>
      <c r="Q87" s="268">
        <v>2324.9568689900002</v>
      </c>
      <c r="R87" s="268">
        <f t="shared" si="59"/>
        <v>27.575714531231053</v>
      </c>
      <c r="S87" s="268">
        <v>271.08199999999999</v>
      </c>
      <c r="T87" s="268">
        <f t="shared" ref="D87:T98" si="60">S87/$B87*100</f>
        <v>3.2152337732624532</v>
      </c>
      <c r="U87" s="268">
        <v>1.01570618</v>
      </c>
      <c r="V87" s="268">
        <f t="shared" ref="V87:V93" si="61">U87/$B87*100</f>
        <v>1.2047029362507995E-2</v>
      </c>
      <c r="W87" s="268">
        <v>2.5138465299999999</v>
      </c>
      <c r="X87" s="268">
        <f t="shared" ref="X87:X93" si="62">W87/$B87*100</f>
        <v>2.9816086143877589E-2</v>
      </c>
      <c r="Y87" s="630">
        <f t="shared" si="58"/>
        <v>57.932174959998754</v>
      </c>
      <c r="Z87" s="268">
        <f t="shared" ref="Z87:Z98" si="63">Y87/$B87*100</f>
        <v>0.68711860429662386</v>
      </c>
      <c r="AA87" s="631">
        <v>288.54346126000002</v>
      </c>
      <c r="AB87" s="631">
        <f t="shared" ref="AB87:AB98" si="64">AA87/B87*100</f>
        <v>3.4223396673227962</v>
      </c>
      <c r="AC87" s="631">
        <v>18.514744159999999</v>
      </c>
      <c r="AD87" s="631">
        <f t="shared" ref="AD87:AF98" si="65">AC87/$B87*100</f>
        <v>0.21959861121928337</v>
      </c>
      <c r="AE87" s="631">
        <v>11.4690999</v>
      </c>
      <c r="AF87" s="631">
        <f t="shared" si="65"/>
        <v>0.13603203955777599</v>
      </c>
      <c r="AG87" s="631">
        <v>7.46129876</v>
      </c>
      <c r="AH87" s="631">
        <f t="shared" ref="AH87:AH98" si="66">AG87/$B87*100</f>
        <v>8.8496542616452817E-2</v>
      </c>
      <c r="AI87" s="268">
        <v>139.20685248999999</v>
      </c>
    </row>
    <row r="88" spans="1:35" hidden="1">
      <c r="A88" s="625" t="s">
        <v>19</v>
      </c>
      <c r="B88" s="268">
        <v>8343.4665381899995</v>
      </c>
      <c r="C88" s="268">
        <v>358.36671997000002</v>
      </c>
      <c r="D88" s="268">
        <f t="shared" si="60"/>
        <v>4.2951777696916702</v>
      </c>
      <c r="E88" s="268">
        <v>1707.71920047</v>
      </c>
      <c r="F88" s="268">
        <f t="shared" si="60"/>
        <v>20.467741946987736</v>
      </c>
      <c r="G88" s="268">
        <v>1515.53282476</v>
      </c>
      <c r="H88" s="268">
        <f t="shared" si="60"/>
        <v>18.164306380603932</v>
      </c>
      <c r="I88" s="268">
        <v>392.70892785000001</v>
      </c>
      <c r="J88" s="268">
        <f t="shared" si="60"/>
        <v>4.7067837577160443</v>
      </c>
      <c r="K88" s="268">
        <v>576.36290809000002</v>
      </c>
      <c r="L88" s="268">
        <f t="shared" si="60"/>
        <v>6.9079549303859746</v>
      </c>
      <c r="M88" s="268">
        <v>567.25553474000003</v>
      </c>
      <c r="N88" s="268">
        <f t="shared" si="60"/>
        <v>6.7987991818932656</v>
      </c>
      <c r="O88" s="268">
        <v>497.47807957999999</v>
      </c>
      <c r="P88" s="268">
        <f t="shared" si="60"/>
        <v>5.9624866631025171</v>
      </c>
      <c r="Q88" s="268">
        <v>2330.9711280299998</v>
      </c>
      <c r="R88" s="268">
        <f t="shared" si="60"/>
        <v>27.937681746077597</v>
      </c>
      <c r="S88" s="268">
        <v>289</v>
      </c>
      <c r="T88" s="268">
        <f t="shared" si="60"/>
        <v>3.4637880870880147</v>
      </c>
      <c r="U88" s="268">
        <v>0.99192539000000002</v>
      </c>
      <c r="V88" s="268">
        <f t="shared" si="61"/>
        <v>1.1888648266997001E-2</v>
      </c>
      <c r="W88" s="268">
        <v>0.86308744000000004</v>
      </c>
      <c r="X88" s="268">
        <f t="shared" si="62"/>
        <v>1.0344470563277827E-2</v>
      </c>
      <c r="Y88" s="630">
        <f t="shared" si="58"/>
        <v>57.771892269998951</v>
      </c>
      <c r="Z88" s="268">
        <f t="shared" si="63"/>
        <v>0.69242073430226481</v>
      </c>
      <c r="AA88" s="631">
        <v>310.23641287999999</v>
      </c>
      <c r="AB88" s="631">
        <f t="shared" si="64"/>
        <v>3.7183155401891446</v>
      </c>
      <c r="AC88" s="631">
        <v>18.498768770000002</v>
      </c>
      <c r="AD88" s="631">
        <f t="shared" si="65"/>
        <v>0.22171562246132118</v>
      </c>
      <c r="AE88" s="631">
        <v>1.45456896</v>
      </c>
      <c r="AF88" s="631">
        <f t="shared" si="65"/>
        <v>1.7433628496525962E-2</v>
      </c>
      <c r="AG88" s="631">
        <v>7.2545589899999996</v>
      </c>
      <c r="AH88" s="631">
        <f t="shared" si="66"/>
        <v>8.6948979261727538E-2</v>
      </c>
      <c r="AI88" s="268">
        <v>139.55287720000001</v>
      </c>
    </row>
    <row r="89" spans="1:35" hidden="1">
      <c r="A89" s="625" t="s">
        <v>20</v>
      </c>
      <c r="B89" s="268">
        <v>8485.212513729999</v>
      </c>
      <c r="C89" s="268">
        <v>355.91081566000003</v>
      </c>
      <c r="D89" s="268">
        <f t="shared" si="60"/>
        <v>4.1944832269562786</v>
      </c>
      <c r="E89" s="268">
        <v>1843.17726455</v>
      </c>
      <c r="F89" s="268">
        <f t="shared" si="60"/>
        <v>21.722228660361047</v>
      </c>
      <c r="G89" s="268">
        <v>1508.1860343999999</v>
      </c>
      <c r="H89" s="268">
        <f t="shared" si="60"/>
        <v>17.774287113723911</v>
      </c>
      <c r="I89" s="268">
        <v>387.17245847999999</v>
      </c>
      <c r="J89" s="268">
        <f t="shared" si="60"/>
        <v>4.5629082106489705</v>
      </c>
      <c r="K89" s="268">
        <v>562.38271422000003</v>
      </c>
      <c r="L89" s="268">
        <f t="shared" si="60"/>
        <v>6.6277976339426194</v>
      </c>
      <c r="M89" s="268">
        <v>597.01334268000005</v>
      </c>
      <c r="N89" s="268">
        <f t="shared" si="60"/>
        <v>7.0359268163757527</v>
      </c>
      <c r="O89" s="268">
        <v>438.83372997999999</v>
      </c>
      <c r="P89" s="268">
        <f t="shared" si="60"/>
        <v>5.1717470749249843</v>
      </c>
      <c r="Q89" s="268">
        <v>2401.92130993</v>
      </c>
      <c r="R89" s="268">
        <f t="shared" si="60"/>
        <v>28.307143822779089</v>
      </c>
      <c r="S89" s="268">
        <v>360.58600000000001</v>
      </c>
      <c r="T89" s="268">
        <f t="shared" si="60"/>
        <v>4.2495812499278305</v>
      </c>
      <c r="U89" s="268">
        <v>0.7905063</v>
      </c>
      <c r="V89" s="268">
        <f t="shared" si="61"/>
        <v>9.3162816926609035E-3</v>
      </c>
      <c r="W89" s="268">
        <v>0.68047727000000002</v>
      </c>
      <c r="X89" s="268">
        <f t="shared" si="62"/>
        <v>8.019566615437311E-3</v>
      </c>
      <c r="Y89" s="630">
        <f t="shared" si="58"/>
        <v>53.242798919998563</v>
      </c>
      <c r="Z89" s="268">
        <f t="shared" si="63"/>
        <v>0.62747749492244187</v>
      </c>
      <c r="AA89" s="631">
        <v>304.29962330000001</v>
      </c>
      <c r="AB89" s="631">
        <f t="shared" si="64"/>
        <v>3.5862345557946846</v>
      </c>
      <c r="AC89" s="631">
        <v>18.501820349999999</v>
      </c>
      <c r="AD89" s="631">
        <f t="shared" si="65"/>
        <v>0.21804781341730728</v>
      </c>
      <c r="AE89" s="631">
        <v>5.5935107000000004</v>
      </c>
      <c r="AF89" s="631">
        <f t="shared" si="65"/>
        <v>6.5920690742265906E-2</v>
      </c>
      <c r="AG89" s="631">
        <v>7.5061069900000001</v>
      </c>
      <c r="AH89" s="631">
        <f t="shared" si="66"/>
        <v>8.8461037102539275E-2</v>
      </c>
      <c r="AI89" s="268">
        <v>151.38279889</v>
      </c>
    </row>
    <row r="90" spans="1:35" hidden="1">
      <c r="A90" s="625" t="s">
        <v>21</v>
      </c>
      <c r="B90" s="268">
        <v>8605.4584439699993</v>
      </c>
      <c r="C90" s="268">
        <v>365.24831912000002</v>
      </c>
      <c r="D90" s="268">
        <f t="shared" si="60"/>
        <v>4.2443795586037156</v>
      </c>
      <c r="E90" s="268">
        <v>1874.3911692700001</v>
      </c>
      <c r="F90" s="268">
        <f t="shared" si="60"/>
        <v>21.781421425414237</v>
      </c>
      <c r="G90" s="268">
        <v>1509.9414386999999</v>
      </c>
      <c r="H90" s="268">
        <f t="shared" si="60"/>
        <v>17.546321890125949</v>
      </c>
      <c r="I90" s="268">
        <v>388.87514071999999</v>
      </c>
      <c r="J90" s="268">
        <f t="shared" si="60"/>
        <v>4.5189357807252195</v>
      </c>
      <c r="K90" s="268">
        <v>567.58861449000005</v>
      </c>
      <c r="L90" s="268">
        <f t="shared" si="60"/>
        <v>6.59568131303591</v>
      </c>
      <c r="M90" s="268">
        <v>601.16608893</v>
      </c>
      <c r="N90" s="268">
        <f t="shared" si="60"/>
        <v>6.9858694088662761</v>
      </c>
      <c r="O90" s="268">
        <v>443.36540312</v>
      </c>
      <c r="P90" s="268">
        <f t="shared" si="60"/>
        <v>5.1521415855615942</v>
      </c>
      <c r="Q90" s="268">
        <v>2439.8551645500002</v>
      </c>
      <c r="R90" s="268">
        <f t="shared" si="60"/>
        <v>28.352413534222006</v>
      </c>
      <c r="S90" s="268">
        <v>317.7</v>
      </c>
      <c r="T90" s="268">
        <f t="shared" si="60"/>
        <v>3.6918428235815619</v>
      </c>
      <c r="U90" s="268">
        <v>0.97354397000000004</v>
      </c>
      <c r="V90" s="268">
        <f t="shared" si="61"/>
        <v>1.1313098265928877E-2</v>
      </c>
      <c r="W90" s="268">
        <v>0.62503045999999995</v>
      </c>
      <c r="X90" s="268">
        <f t="shared" si="62"/>
        <v>7.2631860820613244E-3</v>
      </c>
      <c r="Y90" s="630">
        <f t="shared" si="58"/>
        <v>48.657510479998628</v>
      </c>
      <c r="Z90" s="268">
        <f t="shared" si="63"/>
        <v>0.56542612804195025</v>
      </c>
      <c r="AA90" s="631">
        <v>332.51146863000002</v>
      </c>
      <c r="AB90" s="631">
        <f t="shared" si="64"/>
        <v>3.8639599597740992</v>
      </c>
      <c r="AC90" s="631">
        <v>18.492482899999999</v>
      </c>
      <c r="AD90" s="631">
        <f t="shared" si="65"/>
        <v>0.21489247807544776</v>
      </c>
      <c r="AE90" s="631">
        <v>6.63861554</v>
      </c>
      <c r="AF90" s="631">
        <f t="shared" si="65"/>
        <v>7.7144240289159699E-2</v>
      </c>
      <c r="AG90" s="631">
        <v>7.1284530899999998</v>
      </c>
      <c r="AH90" s="631">
        <f t="shared" si="66"/>
        <v>8.2836412916444169E-2</v>
      </c>
      <c r="AI90" s="268">
        <v>140.64108408999999</v>
      </c>
    </row>
    <row r="91" spans="1:35" hidden="1">
      <c r="A91" s="625" t="s">
        <v>22</v>
      </c>
      <c r="B91" s="268">
        <v>8733.4896446999992</v>
      </c>
      <c r="C91" s="268">
        <v>383.58905662000001</v>
      </c>
      <c r="D91" s="268">
        <f t="shared" si="60"/>
        <v>4.3921624943218962</v>
      </c>
      <c r="E91" s="268">
        <v>1882.2593486299997</v>
      </c>
      <c r="F91" s="268">
        <f t="shared" si="60"/>
        <v>21.552202214750054</v>
      </c>
      <c r="G91" s="268">
        <v>1503.3467280300001</v>
      </c>
      <c r="H91" s="268">
        <f t="shared" si="60"/>
        <v>17.213585739376473</v>
      </c>
      <c r="I91" s="268">
        <v>395.78665543</v>
      </c>
      <c r="J91" s="268">
        <f t="shared" si="60"/>
        <v>4.5318271565156873</v>
      </c>
      <c r="K91" s="268">
        <v>589.16889433999995</v>
      </c>
      <c r="L91" s="268">
        <f t="shared" si="60"/>
        <v>6.7460879706606471</v>
      </c>
      <c r="M91" s="268">
        <v>605.74556476999999</v>
      </c>
      <c r="N91" s="268">
        <f t="shared" si="60"/>
        <v>6.9358937768661848</v>
      </c>
      <c r="O91" s="268">
        <v>445.70633127999997</v>
      </c>
      <c r="P91" s="268">
        <f t="shared" si="60"/>
        <v>5.1034162678658586</v>
      </c>
      <c r="Q91" s="268">
        <v>2482.3394727199993</v>
      </c>
      <c r="R91" s="268">
        <f t="shared" si="60"/>
        <v>28.423225694512965</v>
      </c>
      <c r="S91" s="268">
        <v>324.67899999999997</v>
      </c>
      <c r="T91" s="268">
        <f t="shared" si="60"/>
        <v>3.7176319341837716</v>
      </c>
      <c r="U91" s="268">
        <v>0.93800456999999993</v>
      </c>
      <c r="V91" s="268">
        <f t="shared" si="61"/>
        <v>1.0740318110633324E-2</v>
      </c>
      <c r="W91" s="268">
        <v>0.58456328999999996</v>
      </c>
      <c r="X91" s="268">
        <f t="shared" si="62"/>
        <v>6.6933529869672168E-3</v>
      </c>
      <c r="Y91" s="630">
        <f t="shared" si="58"/>
        <v>49.777326420001081</v>
      </c>
      <c r="Z91" s="268">
        <f t="shared" si="63"/>
        <v>0.56995918521766287</v>
      </c>
      <c r="AA91" s="631">
        <v>360.33753009999998</v>
      </c>
      <c r="AB91" s="631">
        <f t="shared" si="64"/>
        <v>4.1259284061632133</v>
      </c>
      <c r="AC91" s="631">
        <v>18.789121959999999</v>
      </c>
      <c r="AD91" s="631">
        <f t="shared" si="65"/>
        <v>0.21513876725556499</v>
      </c>
      <c r="AE91" s="631">
        <v>6.63861554</v>
      </c>
      <c r="AF91" s="631">
        <f t="shared" si="65"/>
        <v>7.6013321250443189E-2</v>
      </c>
      <c r="AG91" s="631">
        <v>8.4824310000000001</v>
      </c>
      <c r="AH91" s="631">
        <f t="shared" si="66"/>
        <v>9.7125334145757455E-2</v>
      </c>
      <c r="AI91" s="268">
        <v>149.99179429000003</v>
      </c>
    </row>
    <row r="92" spans="1:35" hidden="1">
      <c r="A92" s="625" t="s">
        <v>23</v>
      </c>
      <c r="B92" s="268">
        <v>8840.6992274799995</v>
      </c>
      <c r="C92" s="268">
        <v>408.5922167199999</v>
      </c>
      <c r="D92" s="268">
        <f t="shared" si="60"/>
        <v>4.6217183302645539</v>
      </c>
      <c r="E92" s="268">
        <v>2014.7660075700001</v>
      </c>
      <c r="F92" s="268">
        <f t="shared" si="60"/>
        <v>22.789668053714568</v>
      </c>
      <c r="G92" s="268">
        <v>1394.7596282799998</v>
      </c>
      <c r="H92" s="268">
        <f t="shared" si="60"/>
        <v>15.776575951646413</v>
      </c>
      <c r="I92" s="268">
        <v>408.21257389999994</v>
      </c>
      <c r="J92" s="268">
        <f t="shared" si="60"/>
        <v>4.6174240678964829</v>
      </c>
      <c r="K92" s="268">
        <v>604.11590692999994</v>
      </c>
      <c r="L92" s="268">
        <f t="shared" si="60"/>
        <v>6.8333498446841796</v>
      </c>
      <c r="M92" s="268">
        <v>604.47354925999991</v>
      </c>
      <c r="N92" s="268">
        <f t="shared" si="60"/>
        <v>6.8373952524149182</v>
      </c>
      <c r="O92" s="268">
        <v>450.20410727000001</v>
      </c>
      <c r="P92" s="268">
        <f t="shared" si="60"/>
        <v>5.0924038436983299</v>
      </c>
      <c r="Q92" s="268">
        <v>2507.8118392700007</v>
      </c>
      <c r="R92" s="268">
        <f t="shared" si="60"/>
        <v>28.36666845847261</v>
      </c>
      <c r="S92" s="268">
        <v>324.67899999999997</v>
      </c>
      <c r="T92" s="268">
        <f t="shared" si="60"/>
        <v>3.6725488747630228</v>
      </c>
      <c r="U92" s="268">
        <v>0.91283855999999997</v>
      </c>
      <c r="V92" s="268">
        <f t="shared" si="61"/>
        <v>1.0325411333558063E-2</v>
      </c>
      <c r="W92" s="268">
        <v>0.56202349000000007</v>
      </c>
      <c r="X92" s="268">
        <f t="shared" si="62"/>
        <v>6.357228942401226E-3</v>
      </c>
      <c r="Y92" s="630">
        <f t="shared" si="58"/>
        <v>50.67926517999819</v>
      </c>
      <c r="Z92" s="268">
        <f t="shared" si="63"/>
        <v>0.57324951201223118</v>
      </c>
      <c r="AA92" s="631">
        <v>360.57285159000003</v>
      </c>
      <c r="AB92" s="631">
        <f t="shared" si="64"/>
        <v>4.0785558055092848</v>
      </c>
      <c r="AC92" s="631">
        <v>18.791283150000002</v>
      </c>
      <c r="AD92" s="631">
        <f t="shared" si="65"/>
        <v>0.21255426371242325</v>
      </c>
      <c r="AE92" s="631">
        <v>8.7411551700000008</v>
      </c>
      <c r="AF92" s="631">
        <f t="shared" si="65"/>
        <v>9.8874025063870732E-2</v>
      </c>
      <c r="AG92" s="631">
        <v>7.5039811400000005</v>
      </c>
      <c r="AH92" s="631">
        <f t="shared" si="66"/>
        <v>8.4879950634164675E-2</v>
      </c>
      <c r="AI92" s="268">
        <v>158.06744716</v>
      </c>
    </row>
    <row r="93" spans="1:35" hidden="1">
      <c r="A93" s="625" t="s">
        <v>24</v>
      </c>
      <c r="B93" s="268">
        <v>8656.2160000000003</v>
      </c>
      <c r="C93" s="268">
        <v>399.995</v>
      </c>
      <c r="D93" s="268">
        <f t="shared" si="60"/>
        <v>4.6208990163831398</v>
      </c>
      <c r="E93" s="268">
        <v>2029.04</v>
      </c>
      <c r="F93" s="268">
        <f t="shared" si="60"/>
        <v>23.440265353822038</v>
      </c>
      <c r="G93" s="268">
        <v>1073.5050000000001</v>
      </c>
      <c r="H93" s="268">
        <f t="shared" si="60"/>
        <v>12.401550515837407</v>
      </c>
      <c r="I93" s="268">
        <v>415.75799999999998</v>
      </c>
      <c r="J93" s="268">
        <f t="shared" si="60"/>
        <v>4.8029993706256864</v>
      </c>
      <c r="K93" s="268">
        <v>609.59</v>
      </c>
      <c r="L93" s="268">
        <f t="shared" si="60"/>
        <v>7.0422226062750743</v>
      </c>
      <c r="M93" s="268">
        <v>620.80600000000004</v>
      </c>
      <c r="N93" s="268">
        <f t="shared" si="60"/>
        <v>7.1717942343398082</v>
      </c>
      <c r="O93" s="268">
        <v>442.76799999999997</v>
      </c>
      <c r="P93" s="268">
        <f t="shared" si="60"/>
        <v>5.1150294770832883</v>
      </c>
      <c r="Q93" s="268">
        <v>2560.636</v>
      </c>
      <c r="R93" s="268">
        <f t="shared" si="60"/>
        <v>29.581470702671929</v>
      </c>
      <c r="S93" s="268">
        <v>324.67899999999997</v>
      </c>
      <c r="T93" s="268">
        <f t="shared" si="60"/>
        <v>3.7508190645889607</v>
      </c>
      <c r="U93" s="268">
        <v>0.91920000000000002</v>
      </c>
      <c r="V93" s="268">
        <f t="shared" si="61"/>
        <v>1.0618958676631913E-2</v>
      </c>
      <c r="W93" s="268">
        <v>0.59299999999999997</v>
      </c>
      <c r="X93" s="268">
        <f t="shared" si="62"/>
        <v>6.8505684238933029E-3</v>
      </c>
      <c r="Y93" s="630">
        <f t="shared" si="58"/>
        <v>50.201499999999683</v>
      </c>
      <c r="Z93" s="268">
        <f t="shared" si="63"/>
        <v>0.57994740426994518</v>
      </c>
      <c r="AA93" s="631">
        <v>392.15519999999998</v>
      </c>
      <c r="AB93" s="631">
        <f t="shared" si="64"/>
        <v>4.5303305740060082</v>
      </c>
      <c r="AC93" s="631">
        <v>43.228299999999997</v>
      </c>
      <c r="AD93" s="631">
        <f t="shared" si="65"/>
        <v>0.49939026475309767</v>
      </c>
      <c r="AE93" s="631">
        <v>9.9467999999999996</v>
      </c>
      <c r="AF93" s="631">
        <f t="shared" si="65"/>
        <v>0.11490933220705211</v>
      </c>
      <c r="AG93" s="631">
        <v>7.0739999999999998</v>
      </c>
      <c r="AH93" s="631">
        <f t="shared" si="66"/>
        <v>8.1721620624993649E-2</v>
      </c>
      <c r="AI93" s="268">
        <v>155.24299999999999</v>
      </c>
    </row>
    <row r="94" spans="1:35" hidden="1">
      <c r="A94" s="625" t="s">
        <v>25</v>
      </c>
      <c r="B94" s="268">
        <v>8788.5652860400005</v>
      </c>
      <c r="C94" s="268">
        <v>423.68329698000002</v>
      </c>
      <c r="D94" s="268">
        <f t="shared" si="60"/>
        <v>4.8208471256735184</v>
      </c>
      <c r="E94" s="268">
        <v>2041.1829799300001</v>
      </c>
      <c r="F94" s="268">
        <f t="shared" si="60"/>
        <v>23.225440256696636</v>
      </c>
      <c r="G94" s="268">
        <v>1078.03128952</v>
      </c>
      <c r="H94" s="268">
        <f t="shared" si="60"/>
        <v>12.266294377221895</v>
      </c>
      <c r="I94" s="268">
        <v>415.30673962999998</v>
      </c>
      <c r="J94" s="268">
        <f t="shared" si="60"/>
        <v>4.7255351256215237</v>
      </c>
      <c r="K94" s="268">
        <v>610.02370494000002</v>
      </c>
      <c r="L94" s="268">
        <f t="shared" si="60"/>
        <v>6.9411068255814001</v>
      </c>
      <c r="M94" s="268">
        <v>645.69957323000006</v>
      </c>
      <c r="N94" s="268">
        <f t="shared" si="60"/>
        <v>7.3470418915320233</v>
      </c>
      <c r="O94" s="268">
        <v>441.02378733</v>
      </c>
      <c r="P94" s="268">
        <f t="shared" si="60"/>
        <v>5.0181545334883539</v>
      </c>
      <c r="Q94" s="268">
        <v>2620.0822472700002</v>
      </c>
      <c r="R94" s="268">
        <f t="shared" si="60"/>
        <v>29.812400113040194</v>
      </c>
      <c r="S94" s="268">
        <v>359.46499999999997</v>
      </c>
      <c r="T94" s="268">
        <f t="shared" si="60"/>
        <v>4.0901442761196085</v>
      </c>
      <c r="U94" s="268">
        <v>0.89221033999999999</v>
      </c>
      <c r="V94" s="268">
        <f>U94/$B94*100</f>
        <v>1.0151945294383959E-2</v>
      </c>
      <c r="W94" s="268">
        <v>1.18801157</v>
      </c>
      <c r="X94" s="268">
        <f>W94/$B94*100</f>
        <v>1.3517696362648298E-2</v>
      </c>
      <c r="Y94" s="630">
        <f t="shared" si="58"/>
        <v>53.812408310000151</v>
      </c>
      <c r="Z94" s="268">
        <f t="shared" si="63"/>
        <v>0.61230026242710245</v>
      </c>
      <c r="AA94" s="631">
        <v>394.26492587000001</v>
      </c>
      <c r="AB94" s="631">
        <f t="shared" si="64"/>
        <v>4.4861125000261559</v>
      </c>
      <c r="AC94" s="631">
        <v>43.258617039999997</v>
      </c>
      <c r="AD94" s="631">
        <f t="shared" si="65"/>
        <v>0.49221477717999296</v>
      </c>
      <c r="AE94" s="631">
        <v>9.9468195500000007</v>
      </c>
      <c r="AF94" s="631">
        <f t="shared" si="65"/>
        <v>0.11317910519251421</v>
      </c>
      <c r="AG94" s="631">
        <v>10.168674530000001</v>
      </c>
      <c r="AH94" s="631">
        <f t="shared" si="66"/>
        <v>0.11570346466165762</v>
      </c>
      <c r="AI94" s="268">
        <v>154.36434367999999</v>
      </c>
    </row>
    <row r="95" spans="1:35" hidden="1">
      <c r="A95" s="625" t="s">
        <v>26</v>
      </c>
      <c r="B95" s="268">
        <v>8936.6295108199993</v>
      </c>
      <c r="C95" s="268">
        <v>448.51428231</v>
      </c>
      <c r="D95" s="268">
        <f t="shared" si="60"/>
        <v>5.0188304412414393</v>
      </c>
      <c r="E95" s="268">
        <v>2080.6857189100001</v>
      </c>
      <c r="F95" s="268">
        <f t="shared" si="60"/>
        <v>23.28266732318729</v>
      </c>
      <c r="G95" s="268">
        <v>1061.7641641299999</v>
      </c>
      <c r="H95" s="268">
        <f t="shared" si="60"/>
        <v>11.881035941396831</v>
      </c>
      <c r="I95" s="268">
        <v>435.24827262999997</v>
      </c>
      <c r="J95" s="268">
        <f t="shared" si="60"/>
        <v>4.8703851055146057</v>
      </c>
      <c r="K95" s="268">
        <v>623.66607327999998</v>
      </c>
      <c r="L95" s="268">
        <f t="shared" si="60"/>
        <v>6.9787616519729063</v>
      </c>
      <c r="M95" s="268">
        <v>659.99879017000001</v>
      </c>
      <c r="N95" s="268">
        <f t="shared" si="60"/>
        <v>7.3853211590668311</v>
      </c>
      <c r="O95" s="268">
        <v>462.99262822999998</v>
      </c>
      <c r="P95" s="268">
        <f t="shared" si="60"/>
        <v>5.1808416995404469</v>
      </c>
      <c r="Q95" s="268">
        <v>2631.1784742099999</v>
      </c>
      <c r="R95" s="268">
        <f t="shared" si="60"/>
        <v>29.442626787026448</v>
      </c>
      <c r="S95" s="268">
        <v>367.03500000000003</v>
      </c>
      <c r="T95" s="268">
        <f t="shared" si="60"/>
        <v>4.1070853340805211</v>
      </c>
      <c r="U95" s="268">
        <v>0.89235611000000004</v>
      </c>
      <c r="V95" s="268">
        <f>U95/$B95*100</f>
        <v>9.9853765775965355E-3</v>
      </c>
      <c r="W95" s="268">
        <v>1.2478576299999999</v>
      </c>
      <c r="X95" s="268">
        <f>W95/$B95*100</f>
        <v>1.3963403411645965E-2</v>
      </c>
      <c r="Y95" s="630">
        <f t="shared" si="58"/>
        <v>52.673412750000509</v>
      </c>
      <c r="Z95" s="268">
        <f t="shared" si="63"/>
        <v>0.58941027695314352</v>
      </c>
      <c r="AA95" s="631">
        <v>417.81064378999997</v>
      </c>
      <c r="AB95" s="631">
        <f t="shared" si="64"/>
        <v>4.6752597641441538</v>
      </c>
      <c r="AC95" s="631">
        <v>42.729035799999998</v>
      </c>
      <c r="AD95" s="631">
        <f t="shared" si="65"/>
        <v>0.4781336828192993</v>
      </c>
      <c r="AE95" s="631">
        <v>8.0885206299999997</v>
      </c>
      <c r="AF95" s="631">
        <f t="shared" si="65"/>
        <v>9.0509745538928807E-2</v>
      </c>
      <c r="AG95" s="631">
        <v>9.1392802399999997</v>
      </c>
      <c r="AH95" s="631">
        <f t="shared" si="66"/>
        <v>0.1022676416084458</v>
      </c>
      <c r="AI95" s="268">
        <v>180.01623324600001</v>
      </c>
    </row>
    <row r="96" spans="1:35" hidden="1">
      <c r="A96" s="625" t="s">
        <v>27</v>
      </c>
      <c r="B96" s="268">
        <v>9065.2348196599996</v>
      </c>
      <c r="C96" s="268">
        <v>454.04449083999998</v>
      </c>
      <c r="D96" s="268">
        <f t="shared" si="60"/>
        <v>5.0086346341001828</v>
      </c>
      <c r="E96" s="268">
        <v>2183.8326649800001</v>
      </c>
      <c r="F96" s="268">
        <f t="shared" si="60"/>
        <v>24.090194114374931</v>
      </c>
      <c r="G96" s="268">
        <v>1036.3403407999999</v>
      </c>
      <c r="H96" s="268">
        <f t="shared" si="60"/>
        <v>11.432029742378685</v>
      </c>
      <c r="I96" s="268">
        <v>442.44183034999998</v>
      </c>
      <c r="J96" s="268">
        <f t="shared" si="60"/>
        <v>4.8806439011426974</v>
      </c>
      <c r="K96" s="268">
        <v>620.59929281999996</v>
      </c>
      <c r="L96" s="268">
        <f t="shared" si="60"/>
        <v>6.8459262795277063</v>
      </c>
      <c r="M96" s="268">
        <v>662.88988413000004</v>
      </c>
      <c r="N96" s="268">
        <f t="shared" si="60"/>
        <v>7.3124402987595456</v>
      </c>
      <c r="O96" s="268">
        <v>464.10231335999998</v>
      </c>
      <c r="P96" s="268">
        <f t="shared" si="60"/>
        <v>5.1195840217342168</v>
      </c>
      <c r="Q96" s="268">
        <v>2655.7860128000002</v>
      </c>
      <c r="R96" s="268">
        <f t="shared" si="60"/>
        <v>29.29638410513461</v>
      </c>
      <c r="S96" s="268">
        <v>369.5</v>
      </c>
      <c r="T96" s="268">
        <f t="shared" si="60"/>
        <v>4.0760113483067881</v>
      </c>
      <c r="U96" s="268">
        <v>0.87529182999999999</v>
      </c>
      <c r="V96" s="268">
        <f>U96/$B96*100</f>
        <v>9.6554788421115458E-3</v>
      </c>
      <c r="W96" s="268">
        <v>2.1821215600000001</v>
      </c>
      <c r="X96" s="268">
        <f>W96/$B96*100</f>
        <v>2.4071318652083659E-2</v>
      </c>
      <c r="Y96" s="630">
        <f t="shared" si="58"/>
        <v>47.920827429999257</v>
      </c>
      <c r="Z96" s="268">
        <f t="shared" si="63"/>
        <v>0.52862202009452819</v>
      </c>
      <c r="AA96" s="631">
        <v>424.71866456999999</v>
      </c>
      <c r="AB96" s="631">
        <f t="shared" si="64"/>
        <v>4.6851369326793613</v>
      </c>
      <c r="AC96" s="631">
        <v>42.629594330000003</v>
      </c>
      <c r="AD96" s="631">
        <f t="shared" si="65"/>
        <v>0.4702536137017449</v>
      </c>
      <c r="AE96" s="631">
        <v>11.38202916</v>
      </c>
      <c r="AF96" s="631">
        <f t="shared" si="65"/>
        <v>0.12555691481168818</v>
      </c>
      <c r="AG96" s="631">
        <v>15.4894607</v>
      </c>
      <c r="AH96" s="631">
        <f t="shared" si="66"/>
        <v>0.1708666240659053</v>
      </c>
      <c r="AI96" s="268">
        <v>150.89726716000001</v>
      </c>
    </row>
    <row r="97" spans="1:35" hidden="1">
      <c r="A97" s="625" t="s">
        <v>28</v>
      </c>
      <c r="B97" s="268">
        <v>9091.7448746400005</v>
      </c>
      <c r="C97" s="268">
        <v>458.08037352000002</v>
      </c>
      <c r="D97" s="268">
        <f t="shared" si="60"/>
        <v>5.0384208953964764</v>
      </c>
      <c r="E97" s="268">
        <v>2404.4800781099998</v>
      </c>
      <c r="F97" s="268">
        <f t="shared" si="60"/>
        <v>26.446849436095821</v>
      </c>
      <c r="G97" s="268">
        <v>996.15122121000002</v>
      </c>
      <c r="H97" s="268">
        <f t="shared" si="60"/>
        <v>10.956656119867683</v>
      </c>
      <c r="I97" s="268">
        <v>334.76871578999999</v>
      </c>
      <c r="J97" s="268">
        <f t="shared" si="60"/>
        <v>3.6821173537742453</v>
      </c>
      <c r="K97" s="268">
        <v>651.23721748000003</v>
      </c>
      <c r="L97" s="268">
        <f t="shared" si="60"/>
        <v>7.1629508577228593</v>
      </c>
      <c r="M97" s="268">
        <v>572.70969448000005</v>
      </c>
      <c r="N97" s="268">
        <f t="shared" si="60"/>
        <v>6.2992275121740837</v>
      </c>
      <c r="O97" s="268">
        <v>459.51081069000003</v>
      </c>
      <c r="P97" s="268">
        <f t="shared" si="60"/>
        <v>5.0541542578007608</v>
      </c>
      <c r="Q97" s="268">
        <v>2670.0263732200001</v>
      </c>
      <c r="R97" s="268">
        <f t="shared" si="60"/>
        <v>29.367590160472069</v>
      </c>
      <c r="S97" s="268">
        <v>405.66500000000002</v>
      </c>
      <c r="T97" s="268">
        <f t="shared" si="60"/>
        <v>4.4619047893824986</v>
      </c>
      <c r="U97" s="268">
        <v>0.86146995000000004</v>
      </c>
      <c r="V97" s="268">
        <f>U97/$B97*100</f>
        <v>9.4752983269794089E-3</v>
      </c>
      <c r="W97" s="268">
        <v>3.83262744</v>
      </c>
      <c r="X97" s="268">
        <f>W97/$B97*100</f>
        <v>4.2155026266635733E-2</v>
      </c>
      <c r="Y97" s="630">
        <f t="shared" si="58"/>
        <v>47.926678609999215</v>
      </c>
      <c r="Z97" s="268">
        <f t="shared" si="63"/>
        <v>0.52714500099626838</v>
      </c>
      <c r="AA97" s="631">
        <v>423.83176522999997</v>
      </c>
      <c r="AB97" s="631">
        <f t="shared" si="64"/>
        <v>4.661720836582341</v>
      </c>
      <c r="AC97" s="631">
        <v>42.90915699</v>
      </c>
      <c r="AD97" s="631">
        <f t="shared" si="65"/>
        <v>0.47195733692097297</v>
      </c>
      <c r="AE97" s="631">
        <v>7.8429418999999996</v>
      </c>
      <c r="AF97" s="631">
        <f t="shared" si="65"/>
        <v>8.6264430075206552E-2</v>
      </c>
      <c r="AG97" s="631">
        <v>17.575750020000001</v>
      </c>
      <c r="AH97" s="631">
        <f t="shared" si="66"/>
        <v>0.19331547752758443</v>
      </c>
      <c r="AI97" s="268">
        <v>137.64011972</v>
      </c>
    </row>
    <row r="98" spans="1:35" hidden="1">
      <c r="A98" s="625" t="s">
        <v>29</v>
      </c>
      <c r="B98" s="268">
        <v>9163.3597792400014</v>
      </c>
      <c r="C98" s="268">
        <v>492.87668797999999</v>
      </c>
      <c r="D98" s="268">
        <f t="shared" si="60"/>
        <v>5.378776997238873</v>
      </c>
      <c r="E98" s="268">
        <v>2206.7763883799998</v>
      </c>
      <c r="F98" s="268">
        <f t="shared" si="60"/>
        <v>24.082612071824897</v>
      </c>
      <c r="G98" s="268">
        <v>983.95156850000001</v>
      </c>
      <c r="H98" s="268">
        <f t="shared" si="60"/>
        <v>10.737890819578928</v>
      </c>
      <c r="I98" s="268">
        <v>441.34799163000002</v>
      </c>
      <c r="J98" s="268">
        <f t="shared" si="60"/>
        <v>4.8164429015424401</v>
      </c>
      <c r="K98" s="268">
        <v>660.64497155000004</v>
      </c>
      <c r="L98" s="268">
        <f t="shared" si="60"/>
        <v>7.2096369395723237</v>
      </c>
      <c r="M98" s="268">
        <v>682.38481673000001</v>
      </c>
      <c r="N98" s="268">
        <f t="shared" si="60"/>
        <v>7.4468844743603002</v>
      </c>
      <c r="O98" s="268">
        <v>454.41087775</v>
      </c>
      <c r="P98" s="268">
        <f t="shared" si="60"/>
        <v>4.9589985409007733</v>
      </c>
      <c r="Q98" s="268">
        <v>2700.8020430699999</v>
      </c>
      <c r="R98" s="268">
        <f t="shared" si="60"/>
        <v>29.47392777470974</v>
      </c>
      <c r="S98" s="268">
        <v>401.41500000000002</v>
      </c>
      <c r="T98" s="268">
        <f t="shared" si="60"/>
        <v>4.380653053800458</v>
      </c>
      <c r="U98" s="268">
        <v>0.68196042999999995</v>
      </c>
      <c r="V98" s="268">
        <f>U98/$B98*100</f>
        <v>7.4422531301784264E-3</v>
      </c>
      <c r="W98" s="268">
        <v>0.97847786000000003</v>
      </c>
      <c r="X98" s="268">
        <f>W98/$B98*100</f>
        <v>1.0678156086556648E-2</v>
      </c>
      <c r="Y98" s="630">
        <f t="shared" si="58"/>
        <v>46.043434350000659</v>
      </c>
      <c r="Z98" s="268">
        <f t="shared" si="63"/>
        <v>0.50247327900748928</v>
      </c>
      <c r="AA98" s="631">
        <v>430.83065515999999</v>
      </c>
      <c r="AB98" s="631">
        <f t="shared" si="64"/>
        <v>4.7016669162774329</v>
      </c>
      <c r="AC98" s="631">
        <v>44.068022310000003</v>
      </c>
      <c r="AD98" s="631">
        <f t="shared" si="65"/>
        <v>0.4809155525011477</v>
      </c>
      <c r="AE98" s="631">
        <v>7.71011062</v>
      </c>
      <c r="AF98" s="631">
        <f t="shared" si="65"/>
        <v>8.4140651526829688E-2</v>
      </c>
      <c r="AG98" s="631">
        <v>9.8517729200000002</v>
      </c>
      <c r="AH98" s="631">
        <f t="shared" si="66"/>
        <v>0.10751267174207904</v>
      </c>
      <c r="AI98" s="268">
        <v>146.31131445</v>
      </c>
    </row>
    <row r="99" spans="1:35">
      <c r="A99" s="625" t="s">
        <v>1024</v>
      </c>
      <c r="B99" s="268">
        <v>9850.3003707400003</v>
      </c>
      <c r="C99" s="268">
        <v>633.80456287000004</v>
      </c>
      <c r="D99" s="268">
        <v>6.4343678772750534</v>
      </c>
      <c r="E99" s="268">
        <v>2744.4101818700001</v>
      </c>
      <c r="F99" s="268">
        <v>27.861182690653596</v>
      </c>
      <c r="G99" s="268">
        <v>289.68772906999999</v>
      </c>
      <c r="H99" s="268">
        <v>2.9409024919738291</v>
      </c>
      <c r="I99" s="268">
        <v>466.71578469000002</v>
      </c>
      <c r="J99" s="268">
        <v>4.7380868311017625</v>
      </c>
      <c r="K99" s="268">
        <v>875.34030221</v>
      </c>
      <c r="L99" s="268">
        <v>8.8864325884941557</v>
      </c>
      <c r="M99" s="268">
        <v>582.92162757000006</v>
      </c>
      <c r="N99" s="268">
        <v>5.9178056062285167</v>
      </c>
      <c r="O99" s="268">
        <v>409.66164846999999</v>
      </c>
      <c r="P99" s="268">
        <v>4.1588746845414661</v>
      </c>
      <c r="Q99" s="268">
        <v>3314.9694567000001</v>
      </c>
      <c r="R99" s="268">
        <v>33.653486004822859</v>
      </c>
      <c r="S99" s="268">
        <v>575.79999999999995</v>
      </c>
      <c r="T99" s="268">
        <v>5.845507023424334</v>
      </c>
      <c r="U99" s="268">
        <v>0.97424274999999994</v>
      </c>
      <c r="V99" s="268">
        <v>9.8904877347086445E-3</v>
      </c>
      <c r="W99" s="268">
        <v>0.95838124999999996</v>
      </c>
      <c r="X99" s="268">
        <v>9.7294621882479896E-3</v>
      </c>
      <c r="Y99" s="630">
        <f t="shared" si="58"/>
        <v>46.798042829999929</v>
      </c>
      <c r="Z99" s="268">
        <v>0.47509254610155854</v>
      </c>
      <c r="AA99" s="631">
        <v>419.86985619000006</v>
      </c>
      <c r="AB99" s="631">
        <v>4.2625081508906062</v>
      </c>
      <c r="AC99" s="631">
        <v>49.116020549999995</v>
      </c>
      <c r="AD99" s="631">
        <v>0.49862459723459351</v>
      </c>
      <c r="AE99" s="631">
        <v>2.8309023600000001</v>
      </c>
      <c r="AF99" s="631">
        <v>2.8739249093450027E-2</v>
      </c>
      <c r="AG99" s="631">
        <v>12.24163136</v>
      </c>
      <c r="AH99" s="631">
        <v>0.12427673166559845</v>
      </c>
      <c r="AI99" s="268">
        <v>176.36550674999998</v>
      </c>
    </row>
    <row r="100" spans="1:35" hidden="1">
      <c r="A100" s="625" t="s">
        <v>18</v>
      </c>
      <c r="B100" s="268">
        <v>9149.7656655299998</v>
      </c>
      <c r="C100" s="268">
        <v>496.97677403</v>
      </c>
      <c r="D100" s="268">
        <f t="shared" ref="D100:D111" si="67">C100/$B100*100</f>
        <v>5.4315792578411637</v>
      </c>
      <c r="E100" s="268">
        <v>2190.2161523599998</v>
      </c>
      <c r="F100" s="268">
        <f t="shared" ref="F100:F111" si="68">E100/$B100*100</f>
        <v>23.937401595007206</v>
      </c>
      <c r="G100" s="268">
        <v>980.29749227000002</v>
      </c>
      <c r="H100" s="268">
        <f t="shared" ref="H100:H111" si="69">G100/$B100*100</f>
        <v>10.713908181966717</v>
      </c>
      <c r="I100" s="268">
        <v>448.29195554</v>
      </c>
      <c r="J100" s="268">
        <f t="shared" ref="J100:J111" si="70">I100/$B100*100</f>
        <v>4.8994911118746414</v>
      </c>
      <c r="K100" s="268">
        <v>642.78986091000002</v>
      </c>
      <c r="L100" s="268">
        <f t="shared" ref="L100:L111" si="71">K100/$B100*100</f>
        <v>7.0252057200938873</v>
      </c>
      <c r="M100" s="268">
        <v>681.26383382999995</v>
      </c>
      <c r="N100" s="268">
        <f t="shared" ref="N100:N111" si="72">M100/$B100*100</f>
        <v>7.4456970673744332</v>
      </c>
      <c r="O100" s="268">
        <v>451.51647219</v>
      </c>
      <c r="P100" s="268">
        <f t="shared" ref="P100:P111" si="73">O100/$B100*100</f>
        <v>4.9347326335471342</v>
      </c>
      <c r="Q100" s="268">
        <v>2719.9722581400001</v>
      </c>
      <c r="R100" s="268">
        <f t="shared" ref="R100:R111" si="74">Q100/$B100*100</f>
        <v>29.727234090671612</v>
      </c>
      <c r="S100" s="268">
        <v>405.654</v>
      </c>
      <c r="T100" s="268">
        <f t="shared" ref="T100:T111" si="75">S100/$B100*100</f>
        <v>4.4334905923134649</v>
      </c>
      <c r="U100" s="268">
        <v>0.71123934</v>
      </c>
      <c r="V100" s="268">
        <f t="shared" ref="V100:V111" si="76">U100/$B100*100</f>
        <v>7.7733066178892292E-3</v>
      </c>
      <c r="W100" s="268">
        <v>2.1862370200000001</v>
      </c>
      <c r="X100" s="268">
        <f t="shared" ref="X100:X111" si="77">W100/$B100*100</f>
        <v>2.3893912695887195E-2</v>
      </c>
      <c r="Y100" s="630">
        <f t="shared" si="58"/>
        <v>44.543148709999279</v>
      </c>
      <c r="Z100" s="268">
        <f t="shared" ref="Z100:Z111" si="78">Y100/$B100*100</f>
        <v>0.4868228361061433</v>
      </c>
      <c r="AA100" s="631">
        <v>434.5540914</v>
      </c>
      <c r="AB100" s="631">
        <f t="shared" ref="AB100:AB111" si="79">AA100/B100*100</f>
        <v>4.7493466749328874</v>
      </c>
      <c r="AC100" s="631">
        <v>44.006350779999998</v>
      </c>
      <c r="AD100" s="631">
        <f t="shared" ref="AD100:AD109" si="80">AC100/$B100*100</f>
        <v>0.48095604181192908</v>
      </c>
      <c r="AE100" s="631">
        <v>2.8319034699999999</v>
      </c>
      <c r="AF100" s="631">
        <f t="shared" ref="AF100:AF111" si="81">AE100/$B100*100</f>
        <v>3.0950557353273612E-2</v>
      </c>
      <c r="AG100" s="631">
        <v>9.6078955399999995</v>
      </c>
      <c r="AH100" s="631">
        <f t="shared" ref="AH100:AH111" si="82">AG100/$B100*100</f>
        <v>0.10500701210519432</v>
      </c>
      <c r="AI100" s="268">
        <v>141.81967291999999</v>
      </c>
    </row>
    <row r="101" spans="1:35" hidden="1">
      <c r="A101" s="625" t="s">
        <v>19</v>
      </c>
      <c r="B101" s="268">
        <v>9152.8044223100005</v>
      </c>
      <c r="C101" s="268">
        <v>509.41080163999999</v>
      </c>
      <c r="D101" s="268">
        <f t="shared" si="67"/>
        <v>5.5656253333492955</v>
      </c>
      <c r="E101" s="268">
        <v>2144.2065533800001</v>
      </c>
      <c r="F101" s="268">
        <f t="shared" si="68"/>
        <v>23.426771232579682</v>
      </c>
      <c r="G101" s="268">
        <v>979.71843861000002</v>
      </c>
      <c r="H101" s="268">
        <f t="shared" si="69"/>
        <v>10.704024618093358</v>
      </c>
      <c r="I101" s="268">
        <v>439.80921855999998</v>
      </c>
      <c r="J101" s="268">
        <f t="shared" si="70"/>
        <v>4.805185364695034</v>
      </c>
      <c r="K101" s="268">
        <v>647.62620818000005</v>
      </c>
      <c r="L101" s="268">
        <f t="shared" si="71"/>
        <v>7.0757133912029007</v>
      </c>
      <c r="M101" s="268">
        <v>685.77140872999996</v>
      </c>
      <c r="N101" s="268">
        <f t="shared" si="72"/>
        <v>7.4924730944586679</v>
      </c>
      <c r="O101" s="268">
        <v>448.52894794000002</v>
      </c>
      <c r="P101" s="268">
        <f t="shared" si="73"/>
        <v>4.9004537543346691</v>
      </c>
      <c r="Q101" s="268">
        <v>2748.32464157</v>
      </c>
      <c r="R101" s="268">
        <f t="shared" si="74"/>
        <v>30.027131737579214</v>
      </c>
      <c r="S101" s="268">
        <v>423.3</v>
      </c>
      <c r="T101" s="268">
        <f t="shared" si="75"/>
        <v>4.6248120299413848</v>
      </c>
      <c r="U101" s="268">
        <v>0.68912799000000002</v>
      </c>
      <c r="V101" s="268">
        <f t="shared" si="76"/>
        <v>7.529145802790755E-3</v>
      </c>
      <c r="W101" s="268">
        <v>1.9701588800000001</v>
      </c>
      <c r="X101" s="268">
        <f t="shared" si="77"/>
        <v>2.1525193690337459E-2</v>
      </c>
      <c r="Y101" s="630">
        <f t="shared" si="58"/>
        <v>43.535314710001366</v>
      </c>
      <c r="Z101" s="268">
        <f t="shared" si="78"/>
        <v>0.47565000519276746</v>
      </c>
      <c r="AA101" s="631">
        <v>445.17747466999998</v>
      </c>
      <c r="AB101" s="631">
        <f t="shared" si="79"/>
        <v>4.8638368540343544</v>
      </c>
      <c r="AC101" s="631">
        <v>43.811693380000001</v>
      </c>
      <c r="AD101" s="631">
        <f t="shared" si="80"/>
        <v>0.47866961161334126</v>
      </c>
      <c r="AE101" s="631">
        <v>2.8319034699999999</v>
      </c>
      <c r="AF101" s="631">
        <f t="shared" si="81"/>
        <v>3.0940281681286916E-2</v>
      </c>
      <c r="AG101" s="631">
        <v>11.392530600000001</v>
      </c>
      <c r="AH101" s="631">
        <f t="shared" si="82"/>
        <v>0.12447038169231125</v>
      </c>
      <c r="AI101" s="268">
        <v>194.93276281999999</v>
      </c>
    </row>
    <row r="102" spans="1:35" hidden="1">
      <c r="A102" s="625" t="s">
        <v>20</v>
      </c>
      <c r="B102" s="268">
        <v>8365.9867119600003</v>
      </c>
      <c r="C102" s="268">
        <v>539.92218614000001</v>
      </c>
      <c r="D102" s="268">
        <f t="shared" si="67"/>
        <v>6.4537777160000527</v>
      </c>
      <c r="E102" s="268">
        <v>2183.6995904300002</v>
      </c>
      <c r="F102" s="268">
        <f t="shared" si="68"/>
        <v>26.10211641034747</v>
      </c>
      <c r="G102" s="268">
        <v>301.15811098</v>
      </c>
      <c r="H102" s="268">
        <f t="shared" si="69"/>
        <v>3.5997918876617971</v>
      </c>
      <c r="I102" s="268">
        <v>432.88104825999994</v>
      </c>
      <c r="J102" s="268">
        <f t="shared" si="70"/>
        <v>5.1742975833460738</v>
      </c>
      <c r="K102" s="268">
        <v>652.58418587000006</v>
      </c>
      <c r="L102" s="268">
        <f t="shared" si="71"/>
        <v>7.8004449246502725</v>
      </c>
      <c r="M102" s="268">
        <v>483.32464519000001</v>
      </c>
      <c r="N102" s="268">
        <f t="shared" si="72"/>
        <v>5.7772581027297107</v>
      </c>
      <c r="O102" s="268">
        <v>448.3753605</v>
      </c>
      <c r="P102" s="268">
        <f t="shared" si="73"/>
        <v>5.3595036178936715</v>
      </c>
      <c r="Q102" s="268">
        <v>2760.84761596</v>
      </c>
      <c r="R102" s="268">
        <f t="shared" si="74"/>
        <v>33.000860639822641</v>
      </c>
      <c r="S102" s="268">
        <v>402.88099999999997</v>
      </c>
      <c r="T102" s="268">
        <f t="shared" si="75"/>
        <v>4.8157021266127762</v>
      </c>
      <c r="U102" s="268">
        <v>0.81178722999999997</v>
      </c>
      <c r="V102" s="268">
        <f t="shared" si="76"/>
        <v>9.7034248074942594E-3</v>
      </c>
      <c r="W102" s="268">
        <v>1.0341541199999997</v>
      </c>
      <c r="X102" s="268">
        <f t="shared" si="77"/>
        <v>1.2361412414408629E-2</v>
      </c>
      <c r="Y102" s="630">
        <f t="shared" si="58"/>
        <v>42.576903770000058</v>
      </c>
      <c r="Z102" s="268">
        <f t="shared" si="78"/>
        <v>0.50892865642652996</v>
      </c>
      <c r="AA102" s="631">
        <v>458.54266514000005</v>
      </c>
      <c r="AB102" s="631">
        <f t="shared" si="79"/>
        <v>5.4810350640943311</v>
      </c>
      <c r="AC102" s="631">
        <v>43.710342609999998</v>
      </c>
      <c r="AD102" s="631">
        <f t="shared" si="80"/>
        <v>0.52247683524899424</v>
      </c>
      <c r="AE102" s="631">
        <v>3.8762518200000002</v>
      </c>
      <c r="AF102" s="631">
        <f t="shared" si="81"/>
        <v>4.6333468525099585E-2</v>
      </c>
      <c r="AG102" s="631">
        <v>12.641863939999999</v>
      </c>
      <c r="AH102" s="631">
        <f t="shared" si="82"/>
        <v>0.15111025603145187</v>
      </c>
      <c r="AI102" s="268">
        <v>161.02556691000001</v>
      </c>
    </row>
    <row r="103" spans="1:35" hidden="1">
      <c r="A103" s="625" t="s">
        <v>21</v>
      </c>
      <c r="B103" s="268">
        <v>8569.6254799500002</v>
      </c>
      <c r="C103" s="268">
        <v>553.16266524000002</v>
      </c>
      <c r="D103" s="268">
        <f t="shared" si="67"/>
        <v>6.4549222895937746</v>
      </c>
      <c r="E103" s="268">
        <v>2280.9460880000001</v>
      </c>
      <c r="F103" s="268">
        <f t="shared" si="68"/>
        <v>26.616636786947524</v>
      </c>
      <c r="G103" s="268">
        <v>295.25911791999999</v>
      </c>
      <c r="H103" s="268">
        <f t="shared" si="69"/>
        <v>3.4454144887755667</v>
      </c>
      <c r="I103" s="268">
        <v>431.98771991000001</v>
      </c>
      <c r="J103" s="268">
        <f t="shared" si="70"/>
        <v>5.0409171430035524</v>
      </c>
      <c r="K103" s="268">
        <v>667.27774612999997</v>
      </c>
      <c r="L103" s="268">
        <f t="shared" si="71"/>
        <v>7.7865450210304079</v>
      </c>
      <c r="M103" s="268">
        <v>493.47095916000001</v>
      </c>
      <c r="N103" s="268">
        <f t="shared" si="72"/>
        <v>5.7583725253169318</v>
      </c>
      <c r="O103" s="268">
        <v>455.14761211000001</v>
      </c>
      <c r="P103" s="268">
        <f t="shared" si="73"/>
        <v>5.3111727364852772</v>
      </c>
      <c r="Q103" s="268">
        <v>2832.9519947499998</v>
      </c>
      <c r="R103" s="268">
        <f t="shared" si="74"/>
        <v>33.058060721301544</v>
      </c>
      <c r="S103" s="268">
        <v>378.75683440500001</v>
      </c>
      <c r="T103" s="268">
        <f t="shared" si="75"/>
        <v>4.4197594783011436</v>
      </c>
      <c r="U103" s="268">
        <v>0.95343544999999996</v>
      </c>
      <c r="V103" s="268">
        <f t="shared" si="76"/>
        <v>1.1125754004427774E-2</v>
      </c>
      <c r="W103" s="268">
        <v>0.96436994999999992</v>
      </c>
      <c r="X103" s="268">
        <f t="shared" si="77"/>
        <v>1.1253350012276458E-2</v>
      </c>
      <c r="Y103" s="630">
        <f t="shared" si="58"/>
        <v>41.149121900000374</v>
      </c>
      <c r="Z103" s="268">
        <f t="shared" si="78"/>
        <v>0.480174098579632</v>
      </c>
      <c r="AA103" s="631">
        <v>457.32332653000003</v>
      </c>
      <c r="AB103" s="631">
        <f t="shared" si="79"/>
        <v>5.3365614121641674</v>
      </c>
      <c r="AC103" s="631">
        <v>43.663654530000002</v>
      </c>
      <c r="AD103" s="631">
        <f t="shared" si="80"/>
        <v>0.50951648508045133</v>
      </c>
      <c r="AE103" s="631">
        <v>4.3976874199999996</v>
      </c>
      <c r="AF103" s="631">
        <f t="shared" si="81"/>
        <v>5.1317148343169583E-2</v>
      </c>
      <c r="AG103" s="631">
        <v>10.969980949999998</v>
      </c>
      <c r="AH103" s="631">
        <f t="shared" si="82"/>
        <v>0.12801003936130012</v>
      </c>
      <c r="AI103" s="268">
        <v>162.24791894000001</v>
      </c>
    </row>
    <row r="104" spans="1:35" hidden="1">
      <c r="A104" s="625" t="s">
        <v>22</v>
      </c>
      <c r="B104" s="268">
        <v>8680.4269249299996</v>
      </c>
      <c r="C104" s="268">
        <v>551.82263233000003</v>
      </c>
      <c r="D104" s="268">
        <f t="shared" si="67"/>
        <v>6.3570909253918995</v>
      </c>
      <c r="E104" s="268">
        <v>2322.0302234699998</v>
      </c>
      <c r="F104" s="268">
        <f t="shared" si="68"/>
        <v>26.750184565245043</v>
      </c>
      <c r="G104" s="268">
        <v>290.21845540999999</v>
      </c>
      <c r="H104" s="268">
        <f t="shared" si="69"/>
        <v>3.3433661491521667</v>
      </c>
      <c r="I104" s="268">
        <v>428.90136669999998</v>
      </c>
      <c r="J104" s="268">
        <f t="shared" si="70"/>
        <v>4.9410169615990256</v>
      </c>
      <c r="K104" s="268">
        <v>671.23456868000005</v>
      </c>
      <c r="L104" s="268">
        <f t="shared" si="71"/>
        <v>7.732736816805966</v>
      </c>
      <c r="M104" s="268">
        <v>509.40545083000001</v>
      </c>
      <c r="N104" s="268">
        <f t="shared" si="72"/>
        <v>5.8684377535279806</v>
      </c>
      <c r="O104" s="268">
        <v>464.88643898999999</v>
      </c>
      <c r="P104" s="268">
        <f t="shared" si="73"/>
        <v>5.3555711373464376</v>
      </c>
      <c r="Q104" s="268">
        <v>2872.17626875</v>
      </c>
      <c r="R104" s="268">
        <f t="shared" si="74"/>
        <v>33.087960921612869</v>
      </c>
      <c r="S104" s="268">
        <v>383.6</v>
      </c>
      <c r="T104" s="268">
        <f t="shared" si="75"/>
        <v>4.4191374838754651</v>
      </c>
      <c r="U104" s="268">
        <v>0.86951122000000003</v>
      </c>
      <c r="V104" s="268">
        <f t="shared" si="76"/>
        <v>1.0016917687571132E-2</v>
      </c>
      <c r="W104" s="268">
        <v>0.97244262000000004</v>
      </c>
      <c r="X104" s="268">
        <f t="shared" si="77"/>
        <v>1.1202704986861484E-2</v>
      </c>
      <c r="Y104" s="630">
        <f t="shared" si="58"/>
        <v>42.100117579999441</v>
      </c>
      <c r="Z104" s="268">
        <f t="shared" si="78"/>
        <v>0.48500054137992693</v>
      </c>
      <c r="AA104" s="631">
        <v>467.63716241999998</v>
      </c>
      <c r="AB104" s="631">
        <f t="shared" si="79"/>
        <v>5.387259940832589</v>
      </c>
      <c r="AC104" s="631">
        <v>43.882808179999998</v>
      </c>
      <c r="AD104" s="631">
        <f t="shared" si="80"/>
        <v>0.50553744141281243</v>
      </c>
      <c r="AE104" s="631">
        <v>5.8882443200000001</v>
      </c>
      <c r="AF104" s="631">
        <f t="shared" si="81"/>
        <v>6.783357974121168E-2</v>
      </c>
      <c r="AG104" s="631">
        <v>8.4012334299999996</v>
      </c>
      <c r="AH104" s="631">
        <f t="shared" si="82"/>
        <v>9.6783643277634626E-2</v>
      </c>
      <c r="AI104" s="268">
        <v>162.19510994000001</v>
      </c>
    </row>
    <row r="105" spans="1:35" hidden="1">
      <c r="A105" s="625" t="s">
        <v>23</v>
      </c>
      <c r="B105" s="268">
        <v>8885.8892618499995</v>
      </c>
      <c r="C105" s="268">
        <v>557.85969064999995</v>
      </c>
      <c r="D105" s="268">
        <f t="shared" si="67"/>
        <v>6.2780400949297475</v>
      </c>
      <c r="E105" s="268">
        <v>2377.0655094700001</v>
      </c>
      <c r="F105" s="268">
        <f t="shared" si="68"/>
        <v>26.751014326450278</v>
      </c>
      <c r="G105" s="268">
        <v>304.54489135</v>
      </c>
      <c r="H105" s="268">
        <f t="shared" si="69"/>
        <v>3.4272865931101557</v>
      </c>
      <c r="I105" s="268">
        <v>434.57078517000002</v>
      </c>
      <c r="J105" s="268">
        <f t="shared" si="70"/>
        <v>4.8905716959106522</v>
      </c>
      <c r="K105" s="268">
        <v>697.01775180000004</v>
      </c>
      <c r="L105" s="268">
        <f t="shared" si="71"/>
        <v>7.8440967612833425</v>
      </c>
      <c r="M105" s="268">
        <v>530.95907560000001</v>
      </c>
      <c r="N105" s="268">
        <f t="shared" si="72"/>
        <v>5.9753060155676181</v>
      </c>
      <c r="O105" s="268">
        <v>464.34960897000002</v>
      </c>
      <c r="P105" s="268">
        <f t="shared" si="73"/>
        <v>5.2256965542391276</v>
      </c>
      <c r="Q105" s="268">
        <v>2945.8090357699998</v>
      </c>
      <c r="R105" s="268">
        <f t="shared" si="74"/>
        <v>33.1515389058168</v>
      </c>
      <c r="S105" s="268">
        <v>431.96199999999999</v>
      </c>
      <c r="T105" s="268">
        <f t="shared" si="75"/>
        <v>4.861212955405068</v>
      </c>
      <c r="U105" s="268">
        <v>0.87783475999999994</v>
      </c>
      <c r="V105" s="268">
        <f t="shared" si="76"/>
        <v>9.878974789488194E-3</v>
      </c>
      <c r="W105" s="268">
        <v>2.1427490799999998</v>
      </c>
      <c r="X105" s="268">
        <f t="shared" si="77"/>
        <v>2.4114064635033385E-2</v>
      </c>
      <c r="Y105" s="630">
        <f t="shared" si="58"/>
        <v>41.461094319998892</v>
      </c>
      <c r="Z105" s="268">
        <f t="shared" si="78"/>
        <v>0.46659476725649507</v>
      </c>
      <c r="AA105" s="631">
        <v>468.97917860000001</v>
      </c>
      <c r="AB105" s="631">
        <f t="shared" si="79"/>
        <v>5.2777967942215929</v>
      </c>
      <c r="AC105" s="631">
        <v>43.735477620000005</v>
      </c>
      <c r="AD105" s="631">
        <f t="shared" si="80"/>
        <v>0.49219021677178193</v>
      </c>
      <c r="AE105" s="631">
        <v>6.5511901100000003</v>
      </c>
      <c r="AF105" s="631">
        <f t="shared" si="81"/>
        <v>7.3725768090835669E-2</v>
      </c>
      <c r="AG105" s="631">
        <v>9.9653885799999991</v>
      </c>
      <c r="AH105" s="631">
        <f t="shared" si="82"/>
        <v>0.11214846692704848</v>
      </c>
      <c r="AI105" s="268">
        <v>173.43475409999999</v>
      </c>
    </row>
    <row r="106" spans="1:35" hidden="1">
      <c r="A106" s="625" t="s">
        <v>24</v>
      </c>
      <c r="B106" s="268">
        <v>9050.1703139700003</v>
      </c>
      <c r="C106" s="268">
        <v>581.14177906999998</v>
      </c>
      <c r="D106" s="268">
        <f t="shared" si="67"/>
        <v>6.4213352777785779</v>
      </c>
      <c r="E106" s="268">
        <v>2460.7363990700001</v>
      </c>
      <c r="F106" s="268">
        <f t="shared" si="68"/>
        <v>27.189945754629218</v>
      </c>
      <c r="G106" s="268">
        <v>293.92823862</v>
      </c>
      <c r="H106" s="268">
        <f t="shared" si="69"/>
        <v>3.2477647206957783</v>
      </c>
      <c r="I106" s="268">
        <v>442.07835722999999</v>
      </c>
      <c r="J106" s="268">
        <f t="shared" si="70"/>
        <v>4.8847517990639373</v>
      </c>
      <c r="K106" s="268">
        <v>681.30871654999999</v>
      </c>
      <c r="L106" s="268">
        <f t="shared" si="71"/>
        <v>7.5281314374638892</v>
      </c>
      <c r="M106" s="268">
        <v>540.08972892999998</v>
      </c>
      <c r="N106" s="268">
        <f t="shared" si="72"/>
        <v>5.9677300005758802</v>
      </c>
      <c r="O106" s="268">
        <v>447.40480160999999</v>
      </c>
      <c r="P106" s="268">
        <f t="shared" si="73"/>
        <v>4.9436064304710179</v>
      </c>
      <c r="Q106" s="268">
        <v>3012.4000034000001</v>
      </c>
      <c r="R106" s="268">
        <f t="shared" si="74"/>
        <v>33.285561474462057</v>
      </c>
      <c r="S106" s="268">
        <v>451.9</v>
      </c>
      <c r="T106" s="268">
        <f t="shared" si="75"/>
        <v>4.9932761961665992</v>
      </c>
      <c r="U106" s="268">
        <v>0.86971259999999995</v>
      </c>
      <c r="V106" s="268">
        <f t="shared" si="76"/>
        <v>9.6099031269886309E-3</v>
      </c>
      <c r="W106" s="268">
        <v>1.1619779600000002</v>
      </c>
      <c r="X106" s="268">
        <f t="shared" si="77"/>
        <v>1.2839293844076621E-2</v>
      </c>
      <c r="Y106" s="630">
        <f t="shared" si="58"/>
        <v>41.959761200000628</v>
      </c>
      <c r="Z106" s="268">
        <f t="shared" si="78"/>
        <v>0.46363504491435714</v>
      </c>
      <c r="AA106" s="631">
        <v>486.03643492000003</v>
      </c>
      <c r="AB106" s="631">
        <f t="shared" si="79"/>
        <v>5.370467273635124</v>
      </c>
      <c r="AC106" s="631">
        <v>47.64222075</v>
      </c>
      <c r="AD106" s="631">
        <f t="shared" si="80"/>
        <v>0.52642347157222713</v>
      </c>
      <c r="AE106" s="631">
        <v>2.72354568</v>
      </c>
      <c r="AF106" s="631">
        <f t="shared" si="81"/>
        <v>3.0093861060226542E-2</v>
      </c>
      <c r="AG106" s="631">
        <v>10.688636379999998</v>
      </c>
      <c r="AH106" s="631">
        <f t="shared" si="82"/>
        <v>0.1181042567066482</v>
      </c>
      <c r="AI106" s="268">
        <v>172.00800230999997</v>
      </c>
    </row>
    <row r="107" spans="1:35" hidden="1">
      <c r="A107" s="625" t="s">
        <v>25</v>
      </c>
      <c r="B107" s="268">
        <v>9458.3536229799993</v>
      </c>
      <c r="C107" s="268">
        <v>592.54335993999996</v>
      </c>
      <c r="D107" s="268">
        <f t="shared" si="67"/>
        <v>6.2647621727776981</v>
      </c>
      <c r="E107" s="268">
        <v>2734.9869400399998</v>
      </c>
      <c r="F107" s="268">
        <f t="shared" si="68"/>
        <v>28.916099450913745</v>
      </c>
      <c r="G107" s="268">
        <v>298.77178610999999</v>
      </c>
      <c r="H107" s="268">
        <f t="shared" si="69"/>
        <v>3.1588138699329722</v>
      </c>
      <c r="I107" s="268">
        <v>451.19133175000002</v>
      </c>
      <c r="J107" s="268">
        <f t="shared" si="70"/>
        <v>4.7702945960255319</v>
      </c>
      <c r="K107" s="268">
        <v>728.28556792999996</v>
      </c>
      <c r="L107" s="268">
        <f t="shared" si="71"/>
        <v>7.699919002399727</v>
      </c>
      <c r="M107" s="268">
        <v>549.35742028000004</v>
      </c>
      <c r="N107" s="268">
        <f t="shared" si="72"/>
        <v>5.8081717197090432</v>
      </c>
      <c r="O107" s="268">
        <v>421.14639258</v>
      </c>
      <c r="P107" s="268">
        <f t="shared" si="73"/>
        <v>4.4526395329181128</v>
      </c>
      <c r="Q107" s="268">
        <v>3090.8108148599999</v>
      </c>
      <c r="R107" s="268">
        <f t="shared" si="74"/>
        <v>32.678105916346496</v>
      </c>
      <c r="S107" s="268">
        <v>449.20100000000002</v>
      </c>
      <c r="T107" s="268">
        <f t="shared" si="75"/>
        <v>4.7492514861003086</v>
      </c>
      <c r="U107" s="268">
        <v>0.86923382000000005</v>
      </c>
      <c r="V107" s="268">
        <f t="shared" si="76"/>
        <v>9.1901175896840128E-3</v>
      </c>
      <c r="W107" s="268">
        <v>1.04143389</v>
      </c>
      <c r="X107" s="268">
        <f t="shared" si="77"/>
        <v>1.1010731164351204E-2</v>
      </c>
      <c r="Y107" s="630">
        <f t="shared" si="58"/>
        <v>44.923335969998497</v>
      </c>
      <c r="Z107" s="268">
        <f t="shared" si="78"/>
        <v>0.47495936143530137</v>
      </c>
      <c r="AA107" s="631">
        <v>480.61537840000005</v>
      </c>
      <c r="AB107" s="631">
        <f t="shared" si="79"/>
        <v>5.081385170800738</v>
      </c>
      <c r="AC107" s="631">
        <v>47.63692975</v>
      </c>
      <c r="AD107" s="631">
        <f t="shared" si="80"/>
        <v>0.50364927818157912</v>
      </c>
      <c r="AE107" s="631">
        <v>7.5003392099999999</v>
      </c>
      <c r="AF107" s="631">
        <f t="shared" si="81"/>
        <v>7.9298570438064292E-2</v>
      </c>
      <c r="AG107" s="631">
        <v>8.6733584500000003</v>
      </c>
      <c r="AH107" s="631">
        <f t="shared" si="82"/>
        <v>9.1700509366949706E-2</v>
      </c>
      <c r="AI107" s="268">
        <v>167.40083873000003</v>
      </c>
    </row>
    <row r="108" spans="1:35" hidden="1">
      <c r="A108" s="625" t="s">
        <v>26</v>
      </c>
      <c r="B108" s="268">
        <v>9597.6519703199992</v>
      </c>
      <c r="C108" s="268">
        <v>620.24163603</v>
      </c>
      <c r="D108" s="268">
        <f t="shared" si="67"/>
        <v>6.4624309982071608</v>
      </c>
      <c r="E108" s="268">
        <v>2809.05701318</v>
      </c>
      <c r="F108" s="268">
        <f t="shared" si="68"/>
        <v>29.268169150817229</v>
      </c>
      <c r="G108" s="268">
        <v>300.45586029999998</v>
      </c>
      <c r="H108" s="268">
        <f t="shared" si="69"/>
        <v>3.1305142260746344</v>
      </c>
      <c r="I108" s="268">
        <v>466.06024726999999</v>
      </c>
      <c r="J108" s="268">
        <f t="shared" si="70"/>
        <v>4.8559819496607659</v>
      </c>
      <c r="K108" s="268">
        <v>738.03916762999995</v>
      </c>
      <c r="L108" s="268">
        <f t="shared" si="71"/>
        <v>7.6897888141008801</v>
      </c>
      <c r="M108" s="268">
        <v>563.51744515999997</v>
      </c>
      <c r="N108" s="268">
        <f t="shared" si="72"/>
        <v>5.871409454131431</v>
      </c>
      <c r="O108" s="268">
        <v>385.23014396000002</v>
      </c>
      <c r="P108" s="268">
        <f t="shared" si="73"/>
        <v>4.0137957195290532</v>
      </c>
      <c r="Q108" s="268">
        <v>3146.1962457499999</v>
      </c>
      <c r="R108" s="268">
        <f t="shared" si="74"/>
        <v>32.78089532189091</v>
      </c>
      <c r="S108" s="268">
        <v>562.12400000000002</v>
      </c>
      <c r="T108" s="268">
        <f t="shared" si="75"/>
        <v>5.8568908493277867</v>
      </c>
      <c r="U108" s="268">
        <v>0.88842969999999999</v>
      </c>
      <c r="V108" s="268">
        <f t="shared" si="76"/>
        <v>9.2567401146384613E-3</v>
      </c>
      <c r="W108" s="268">
        <v>1.0413629799999999</v>
      </c>
      <c r="X108" s="268">
        <f t="shared" si="77"/>
        <v>1.0850184849589616E-2</v>
      </c>
      <c r="Y108" s="630">
        <f t="shared" si="58"/>
        <v>44.062521600001709</v>
      </c>
      <c r="Z108" s="268">
        <f t="shared" si="78"/>
        <v>0.45909688886679439</v>
      </c>
      <c r="AA108" s="631">
        <v>461.83439346</v>
      </c>
      <c r="AB108" s="631">
        <f t="shared" si="79"/>
        <v>4.8119518699801507</v>
      </c>
      <c r="AC108" s="631">
        <v>48.13454119</v>
      </c>
      <c r="AD108" s="631">
        <f t="shared" si="80"/>
        <v>0.50152413672481944</v>
      </c>
      <c r="AE108" s="631">
        <v>6.0931551099999997</v>
      </c>
      <c r="AF108" s="631">
        <f t="shared" si="81"/>
        <v>6.3485893516899899E-2</v>
      </c>
      <c r="AG108" s="631">
        <v>6.7998069999999995</v>
      </c>
      <c r="AH108" s="631">
        <f t="shared" si="82"/>
        <v>7.0848651535061702E-2</v>
      </c>
      <c r="AI108" s="268">
        <v>186.50762703000001</v>
      </c>
    </row>
    <row r="109" spans="1:35" hidden="1">
      <c r="A109" s="625" t="s">
        <v>27</v>
      </c>
      <c r="B109" s="268">
        <v>9706.1501323600005</v>
      </c>
      <c r="C109" s="268">
        <v>626.47045097</v>
      </c>
      <c r="D109" s="268">
        <f t="shared" si="67"/>
        <v>6.4543659682469485</v>
      </c>
      <c r="E109" s="268">
        <v>2814.4681719499999</v>
      </c>
      <c r="F109" s="268">
        <f t="shared" si="68"/>
        <v>28.996750859711629</v>
      </c>
      <c r="G109" s="268">
        <v>298.35310472999998</v>
      </c>
      <c r="H109" s="268">
        <f t="shared" si="69"/>
        <v>3.0738562732024932</v>
      </c>
      <c r="I109" s="268">
        <v>484.20184695</v>
      </c>
      <c r="J109" s="268">
        <f t="shared" si="70"/>
        <v>4.9886086692156777</v>
      </c>
      <c r="K109" s="268">
        <v>750.12857440000005</v>
      </c>
      <c r="L109" s="268">
        <f t="shared" si="71"/>
        <v>7.728384211769967</v>
      </c>
      <c r="M109" s="268">
        <v>582.90408720999994</v>
      </c>
      <c r="N109" s="268">
        <f t="shared" si="72"/>
        <v>6.0055127858224244</v>
      </c>
      <c r="O109" s="268">
        <v>385.34438302000001</v>
      </c>
      <c r="P109" s="268">
        <f t="shared" si="73"/>
        <v>3.9701053225549634</v>
      </c>
      <c r="Q109" s="268">
        <v>3212.4909234699999</v>
      </c>
      <c r="R109" s="268">
        <f t="shared" si="74"/>
        <v>33.097478193332861</v>
      </c>
      <c r="S109" s="268">
        <v>556.83900000000006</v>
      </c>
      <c r="T109" s="268">
        <f t="shared" si="75"/>
        <v>5.7369708113571853</v>
      </c>
      <c r="U109" s="268">
        <v>0.87853193000000007</v>
      </c>
      <c r="V109" s="268">
        <f t="shared" si="76"/>
        <v>9.0512913773196455E-3</v>
      </c>
      <c r="W109" s="268">
        <v>1.14475507</v>
      </c>
      <c r="X109" s="268">
        <f t="shared" si="77"/>
        <v>1.1794120783104545E-2</v>
      </c>
      <c r="Y109" s="630">
        <f t="shared" si="58"/>
        <v>46.411983180000107</v>
      </c>
      <c r="Z109" s="268">
        <f t="shared" si="78"/>
        <v>0.47817087668223895</v>
      </c>
      <c r="AA109" s="631">
        <v>447.89206051999997</v>
      </c>
      <c r="AB109" s="631">
        <f t="shared" si="79"/>
        <v>4.6145181602615226</v>
      </c>
      <c r="AC109" s="631">
        <v>48.122147700000006</v>
      </c>
      <c r="AD109" s="631">
        <f t="shared" si="80"/>
        <v>0.49579026744663951</v>
      </c>
      <c r="AE109" s="631">
        <v>1.08437329</v>
      </c>
      <c r="AF109" s="631">
        <f t="shared" si="81"/>
        <v>1.1172022637324901E-2</v>
      </c>
      <c r="AG109" s="631">
        <v>6.2547379699999999</v>
      </c>
      <c r="AH109" s="631">
        <f t="shared" si="82"/>
        <v>6.4440976954878326E-2</v>
      </c>
      <c r="AI109" s="268">
        <v>175.44406490000003</v>
      </c>
    </row>
    <row r="110" spans="1:35" hidden="1">
      <c r="A110" s="625" t="s">
        <v>28</v>
      </c>
      <c r="B110" s="268">
        <v>9782.7863418199995</v>
      </c>
      <c r="C110" s="268">
        <v>636.67716685000005</v>
      </c>
      <c r="D110" s="268">
        <f t="shared" si="67"/>
        <v>6.5081372995779025</v>
      </c>
      <c r="E110" s="268">
        <v>2812.1728263099999</v>
      </c>
      <c r="F110" s="268">
        <f t="shared" si="68"/>
        <v>28.746133545699216</v>
      </c>
      <c r="G110" s="268">
        <v>311.73169689999997</v>
      </c>
      <c r="H110" s="268">
        <f t="shared" si="69"/>
        <v>3.1865328139427107</v>
      </c>
      <c r="I110" s="268">
        <v>485.33436597999997</v>
      </c>
      <c r="J110" s="268">
        <f t="shared" si="70"/>
        <v>4.9611056504961741</v>
      </c>
      <c r="K110" s="268">
        <v>783.01359421999996</v>
      </c>
      <c r="L110" s="268">
        <f t="shared" si="71"/>
        <v>8.0039936155278149</v>
      </c>
      <c r="M110" s="268">
        <v>591.42058810000003</v>
      </c>
      <c r="N110" s="268">
        <f t="shared" si="72"/>
        <v>6.0455228953714588</v>
      </c>
      <c r="O110" s="268">
        <v>381.41932241000001</v>
      </c>
      <c r="P110" s="268">
        <f t="shared" si="73"/>
        <v>3.898882272216122</v>
      </c>
      <c r="Q110" s="268">
        <v>3250.9340875500002</v>
      </c>
      <c r="R110" s="268">
        <f t="shared" si="74"/>
        <v>33.231167215139166</v>
      </c>
      <c r="S110" s="268">
        <v>561.62699999999995</v>
      </c>
      <c r="T110" s="268">
        <f t="shared" si="75"/>
        <v>5.7409717474777677</v>
      </c>
      <c r="U110" s="268">
        <v>0.89583318000000001</v>
      </c>
      <c r="V110" s="268">
        <f t="shared" si="76"/>
        <v>9.1572395501519077E-3</v>
      </c>
      <c r="W110" s="268">
        <v>1.20211859</v>
      </c>
      <c r="X110" s="268">
        <f t="shared" si="77"/>
        <v>1.2288100220088798E-2</v>
      </c>
      <c r="Y110" s="630">
        <f t="shared" si="58"/>
        <v>45.381306389998365</v>
      </c>
      <c r="Z110" s="268">
        <f t="shared" si="78"/>
        <v>0.46388937470707942</v>
      </c>
      <c r="AA110" s="631">
        <v>421.68031010000004</v>
      </c>
      <c r="AB110" s="631">
        <f t="shared" si="79"/>
        <v>4.3104315617870297</v>
      </c>
      <c r="AC110" s="631">
        <v>48.097308099999999</v>
      </c>
      <c r="AD110" s="631">
        <f>AC110/$B110*100</f>
        <v>0.49165244358236621</v>
      </c>
      <c r="AE110" s="631">
        <v>5.5164217300000002</v>
      </c>
      <c r="AF110" s="631">
        <f t="shared" si="81"/>
        <v>5.6389064804759088E-2</v>
      </c>
      <c r="AG110" s="631">
        <v>7.3093954100000005</v>
      </c>
      <c r="AH110" s="631">
        <f t="shared" si="82"/>
        <v>7.4716907377945993E-2</v>
      </c>
      <c r="AI110" s="268">
        <v>173.63879934000005</v>
      </c>
    </row>
    <row r="111" spans="1:35" hidden="1">
      <c r="A111" s="625" t="s">
        <v>29</v>
      </c>
      <c r="B111" s="268">
        <v>9850.3003707400003</v>
      </c>
      <c r="C111" s="268">
        <v>633.80456287000004</v>
      </c>
      <c r="D111" s="268">
        <f t="shared" si="67"/>
        <v>6.4343678772750534</v>
      </c>
      <c r="E111" s="268">
        <v>2744.4101818700001</v>
      </c>
      <c r="F111" s="268">
        <f t="shared" si="68"/>
        <v>27.861182690653596</v>
      </c>
      <c r="G111" s="268">
        <v>289.68772906999999</v>
      </c>
      <c r="H111" s="268">
        <f t="shared" si="69"/>
        <v>2.9409024919738291</v>
      </c>
      <c r="I111" s="268">
        <v>466.71578469000002</v>
      </c>
      <c r="J111" s="268">
        <f t="shared" si="70"/>
        <v>4.7380868311017625</v>
      </c>
      <c r="K111" s="268">
        <v>875.34030221</v>
      </c>
      <c r="L111" s="268">
        <f t="shared" si="71"/>
        <v>8.8864325884941557</v>
      </c>
      <c r="M111" s="268">
        <v>582.92162757000006</v>
      </c>
      <c r="N111" s="268">
        <f t="shared" si="72"/>
        <v>5.9178056062285167</v>
      </c>
      <c r="O111" s="268">
        <v>409.66164846999999</v>
      </c>
      <c r="P111" s="268">
        <f t="shared" si="73"/>
        <v>4.1588746845414661</v>
      </c>
      <c r="Q111" s="268">
        <v>3314.9694567000001</v>
      </c>
      <c r="R111" s="268">
        <f t="shared" si="74"/>
        <v>33.653486004822859</v>
      </c>
      <c r="S111" s="268">
        <v>575.79999999999995</v>
      </c>
      <c r="T111" s="268">
        <f t="shared" si="75"/>
        <v>5.845507023424334</v>
      </c>
      <c r="U111" s="268">
        <v>0.97424274999999994</v>
      </c>
      <c r="V111" s="268">
        <f t="shared" si="76"/>
        <v>9.8904877347086445E-3</v>
      </c>
      <c r="W111" s="268">
        <v>0.95838124999999996</v>
      </c>
      <c r="X111" s="268">
        <f t="shared" si="77"/>
        <v>9.7294621882479896E-3</v>
      </c>
      <c r="Y111" s="630">
        <f t="shared" si="58"/>
        <v>46.798042829999929</v>
      </c>
      <c r="Z111" s="268">
        <f t="shared" si="78"/>
        <v>0.47509254610155854</v>
      </c>
      <c r="AA111" s="631">
        <v>419.86985619000006</v>
      </c>
      <c r="AB111" s="631">
        <f t="shared" si="79"/>
        <v>4.2625081508906062</v>
      </c>
      <c r="AC111" s="631">
        <v>49.116020549999995</v>
      </c>
      <c r="AD111" s="631">
        <f>AC111/$B111*100</f>
        <v>0.49862459723459351</v>
      </c>
      <c r="AE111" s="631">
        <v>2.8309023600000001</v>
      </c>
      <c r="AF111" s="631">
        <f t="shared" si="81"/>
        <v>2.8739249093450027E-2</v>
      </c>
      <c r="AG111" s="631">
        <v>12.24163136</v>
      </c>
      <c r="AH111" s="631">
        <f t="shared" si="82"/>
        <v>0.12427673166559845</v>
      </c>
      <c r="AI111" s="268">
        <v>176.36550674999998</v>
      </c>
    </row>
    <row r="112" spans="1:35">
      <c r="A112" s="625" t="s">
        <v>1288</v>
      </c>
      <c r="B112" s="268">
        <v>12243.721763699999</v>
      </c>
      <c r="C112" s="268">
        <v>748.82059920999995</v>
      </c>
      <c r="D112" s="268">
        <v>6.1159557009053556</v>
      </c>
      <c r="E112" s="268">
        <v>2649.32739201</v>
      </c>
      <c r="F112" s="268">
        <v>21.638252184598684</v>
      </c>
      <c r="G112" s="268">
        <v>396.74502281000002</v>
      </c>
      <c r="H112" s="268">
        <v>3.2403956122742321</v>
      </c>
      <c r="I112" s="268">
        <v>546.22941422999997</v>
      </c>
      <c r="J112" s="268">
        <v>4.4613020842196249</v>
      </c>
      <c r="K112" s="268">
        <v>1270.2709982199999</v>
      </c>
      <c r="L112" s="268">
        <v>10.374876387554641</v>
      </c>
      <c r="M112" s="268">
        <v>1297.60908647</v>
      </c>
      <c r="N112" s="268">
        <v>10.59815888921236</v>
      </c>
      <c r="O112" s="268">
        <v>429.11634155000002</v>
      </c>
      <c r="P112" s="268">
        <v>3.5047867783326936</v>
      </c>
      <c r="Q112" s="268">
        <v>4316.6580169099998</v>
      </c>
      <c r="R112" s="268">
        <v>35.256093696182823</v>
      </c>
      <c r="S112" s="268">
        <v>703.69352000000003</v>
      </c>
      <c r="T112" s="268">
        <v>5.7473824837011565</v>
      </c>
      <c r="U112" s="268">
        <v>0.61674861000000003</v>
      </c>
      <c r="V112" s="268">
        <v>5.0372641742687015E-3</v>
      </c>
      <c r="W112" s="268">
        <v>0.53953861000000003</v>
      </c>
      <c r="X112" s="268">
        <v>4.4066552671885757E-3</v>
      </c>
      <c r="Y112" s="630">
        <f t="shared" si="58"/>
        <v>17.221721410000228</v>
      </c>
      <c r="Z112" s="268">
        <v>0.14065756918014036</v>
      </c>
      <c r="AA112" s="631">
        <v>480.93407215000002</v>
      </c>
      <c r="AB112" s="631">
        <v>3.9280055642547032</v>
      </c>
      <c r="AC112" s="631">
        <v>44.144264329999999</v>
      </c>
      <c r="AD112" s="631">
        <v>0.36054612463408181</v>
      </c>
      <c r="AE112" s="631">
        <v>43.211517909999998</v>
      </c>
      <c r="AF112" s="631">
        <v>0.35292796376762542</v>
      </c>
      <c r="AG112" s="631">
        <v>2.2770292700000003</v>
      </c>
      <c r="AH112" s="631">
        <v>1.8597525441576942E-2</v>
      </c>
      <c r="AI112" s="268">
        <v>176.08680903999996</v>
      </c>
    </row>
    <row r="113" spans="1:35" hidden="1">
      <c r="A113" s="625" t="s">
        <v>18</v>
      </c>
      <c r="B113" s="180">
        <v>9984.5625328200003</v>
      </c>
      <c r="C113" s="180">
        <v>643.08208386000001</v>
      </c>
      <c r="D113" s="180">
        <f t="shared" ref="D113:D124" si="83">C113/$B113*100</f>
        <v>6.4407637464950653</v>
      </c>
      <c r="E113" s="180">
        <v>2792.0278147499998</v>
      </c>
      <c r="F113" s="180">
        <f t="shared" ref="F113:F124" si="84">E113/$B113*100</f>
        <v>27.963446626453553</v>
      </c>
      <c r="G113" s="180">
        <v>285.60228572</v>
      </c>
      <c r="H113" s="180">
        <f t="shared" ref="H113:H124" si="85">G113/$B113*100</f>
        <v>2.8604386499779437</v>
      </c>
      <c r="I113" s="180">
        <v>470.1170272</v>
      </c>
      <c r="J113" s="180">
        <f t="shared" ref="J113:J124" si="86">I113/$B113*100</f>
        <v>4.7084389091128465</v>
      </c>
      <c r="K113" s="180">
        <v>892.90232120999997</v>
      </c>
      <c r="L113" s="180">
        <f t="shared" ref="L113:L124" si="87">K113/$B113*100</f>
        <v>8.9428286745159191</v>
      </c>
      <c r="M113" s="180">
        <v>581.60358383000005</v>
      </c>
      <c r="N113" s="180">
        <f t="shared" ref="N113:N124" si="88">M113/$B113*100</f>
        <v>5.8250282064760048</v>
      </c>
      <c r="O113" s="180">
        <v>417.15367001999999</v>
      </c>
      <c r="P113" s="180">
        <f t="shared" ref="P113:P124" si="89">O113/$B113*100</f>
        <v>4.1779864530747828</v>
      </c>
      <c r="Q113" s="180">
        <v>3357.4851926000001</v>
      </c>
      <c r="R113" s="180">
        <f t="shared" ref="R113:R124" si="90">Q113/$B113*100</f>
        <v>33.626763131220791</v>
      </c>
      <c r="S113" s="180">
        <v>586.42629999999997</v>
      </c>
      <c r="T113" s="180">
        <f t="shared" ref="T113:T124" si="91">S113/$B113*100</f>
        <v>5.8733299338090479</v>
      </c>
      <c r="U113" s="180">
        <v>0.98563100999999997</v>
      </c>
      <c r="V113" s="180">
        <f t="shared" ref="V113:V124" si="92">U113/$B113*100</f>
        <v>9.8715492717898999E-3</v>
      </c>
      <c r="W113" s="180">
        <v>1.3211098700000001</v>
      </c>
      <c r="X113" s="180">
        <f t="shared" ref="X113:X124" si="93">W113/$B113*100</f>
        <v>1.3231524823019675E-2</v>
      </c>
      <c r="Y113" s="628">
        <f t="shared" ref="Y113:Y124" si="94">B113-C113-E113-G113-I113-K113-M113-W113-O113-Q113-U113-AA113-AC113-AE113-AG113</f>
        <v>51.556775910001221</v>
      </c>
      <c r="Z113" s="180">
        <f t="shared" ref="Z113:Z124" si="95">Y113/$B113*100</f>
        <v>0.51636489571305955</v>
      </c>
      <c r="AA113" s="629">
        <v>432.26369215</v>
      </c>
      <c r="AB113" s="629">
        <f t="shared" ref="AB113:AB124" si="96">AA113/B113*100</f>
        <v>4.329320295497344</v>
      </c>
      <c r="AC113" s="629">
        <v>48.842906480000003</v>
      </c>
      <c r="AD113" s="629">
        <f t="shared" ref="AD113:AD124" si="97">AC113/$B113*100</f>
        <v>0.48918424136710781</v>
      </c>
      <c r="AE113" s="629">
        <v>0.52715458000000004</v>
      </c>
      <c r="AF113" s="629">
        <f t="shared" ref="AF113:AF124" si="98">AE113/$B113*100</f>
        <v>5.2796963138565531E-3</v>
      </c>
      <c r="AG113" s="629">
        <v>9.0912836299999995</v>
      </c>
      <c r="AH113" s="629">
        <f t="shared" ref="AH113:AH124" si="99">AG113/$B113*100</f>
        <v>9.1053399686929423E-2</v>
      </c>
      <c r="AI113" s="180">
        <v>180.27205216999997</v>
      </c>
    </row>
    <row r="114" spans="1:35" hidden="1">
      <c r="A114" s="625" t="s">
        <v>19</v>
      </c>
      <c r="B114" s="180">
        <v>10106.91377657</v>
      </c>
      <c r="C114" s="180">
        <v>648.80625395000004</v>
      </c>
      <c r="D114" s="180">
        <f t="shared" si="83"/>
        <v>6.4194299891433966</v>
      </c>
      <c r="E114" s="180">
        <v>2810.9288768599999</v>
      </c>
      <c r="F114" s="180">
        <f t="shared" si="84"/>
        <v>27.811940806068197</v>
      </c>
      <c r="G114" s="180">
        <v>284.76483035000001</v>
      </c>
      <c r="H114" s="180">
        <f t="shared" si="85"/>
        <v>2.8175250788242217</v>
      </c>
      <c r="I114" s="180">
        <v>474.95028843</v>
      </c>
      <c r="J114" s="180">
        <f t="shared" si="86"/>
        <v>4.6992613069583804</v>
      </c>
      <c r="K114" s="180">
        <v>874.46036978999996</v>
      </c>
      <c r="L114" s="180">
        <f t="shared" si="87"/>
        <v>8.6521008205015786</v>
      </c>
      <c r="M114" s="180">
        <v>583.20181939999998</v>
      </c>
      <c r="N114" s="180">
        <f t="shared" si="88"/>
        <v>5.7703254652472378</v>
      </c>
      <c r="O114" s="180">
        <v>419.37113110000001</v>
      </c>
      <c r="P114" s="180">
        <f t="shared" si="89"/>
        <v>4.1493490532410844</v>
      </c>
      <c r="Q114" s="180">
        <v>3454.8482695600001</v>
      </c>
      <c r="R114" s="180">
        <f t="shared" si="90"/>
        <v>34.183019128639266</v>
      </c>
      <c r="S114" s="180">
        <v>595.00306332800005</v>
      </c>
      <c r="T114" s="180">
        <f t="shared" si="91"/>
        <v>5.887089535752696</v>
      </c>
      <c r="U114" s="180">
        <v>1.0590580200000002</v>
      </c>
      <c r="V114" s="180">
        <f t="shared" si="92"/>
        <v>1.0478550063968336E-2</v>
      </c>
      <c r="W114" s="180">
        <v>1.01689429</v>
      </c>
      <c r="X114" s="180">
        <f t="shared" si="93"/>
        <v>1.0061372961916226E-2</v>
      </c>
      <c r="Y114" s="628">
        <f t="shared" si="94"/>
        <v>48.792021899998545</v>
      </c>
      <c r="Z114" s="180">
        <f t="shared" si="95"/>
        <v>0.48275886169236892</v>
      </c>
      <c r="AA114" s="629">
        <v>447.24085879000006</v>
      </c>
      <c r="AB114" s="629">
        <f t="shared" si="96"/>
        <v>4.4250981919604433</v>
      </c>
      <c r="AC114" s="629">
        <v>48.830342800000004</v>
      </c>
      <c r="AD114" s="629">
        <f t="shared" si="97"/>
        <v>0.48313801699980108</v>
      </c>
      <c r="AE114" s="629">
        <v>0.22700659000000001</v>
      </c>
      <c r="AF114" s="629">
        <f t="shared" si="98"/>
        <v>2.2460525044376073E-3</v>
      </c>
      <c r="AG114" s="629">
        <v>8.4157547400000006</v>
      </c>
      <c r="AH114" s="629">
        <f t="shared" si="99"/>
        <v>8.3267305193693561E-2</v>
      </c>
      <c r="AI114" s="180">
        <v>180.86095100000003</v>
      </c>
    </row>
    <row r="115" spans="1:35" hidden="1">
      <c r="A115" s="625" t="s">
        <v>20</v>
      </c>
      <c r="B115" s="180">
        <v>10163.207416880001</v>
      </c>
      <c r="C115" s="180">
        <v>663.85993112999995</v>
      </c>
      <c r="D115" s="180">
        <f t="shared" si="83"/>
        <v>6.5319923514244094</v>
      </c>
      <c r="E115" s="180">
        <v>2795.2399057100001</v>
      </c>
      <c r="F115" s="180">
        <f t="shared" si="84"/>
        <v>27.503521192211483</v>
      </c>
      <c r="G115" s="180">
        <v>267.73334008</v>
      </c>
      <c r="H115" s="180">
        <f t="shared" si="85"/>
        <v>2.6343390339089563</v>
      </c>
      <c r="I115" s="180">
        <v>479.92791896</v>
      </c>
      <c r="J115" s="180">
        <f t="shared" si="86"/>
        <v>4.7222092325193623</v>
      </c>
      <c r="K115" s="180">
        <v>858.73333035999997</v>
      </c>
      <c r="L115" s="180">
        <f t="shared" si="87"/>
        <v>8.4494323015954169</v>
      </c>
      <c r="M115" s="180">
        <v>585.43288680000001</v>
      </c>
      <c r="N115" s="180">
        <f t="shared" si="88"/>
        <v>5.7603162346923922</v>
      </c>
      <c r="O115" s="180">
        <v>426.04153137999998</v>
      </c>
      <c r="P115" s="180">
        <f t="shared" si="89"/>
        <v>4.1919987844820579</v>
      </c>
      <c r="Q115" s="180">
        <v>3523.7234840400001</v>
      </c>
      <c r="R115" s="180">
        <f t="shared" si="90"/>
        <v>34.671372328655544</v>
      </c>
      <c r="S115" s="180">
        <v>620.02200000000005</v>
      </c>
      <c r="T115" s="180">
        <f t="shared" si="91"/>
        <v>6.1006528211773947</v>
      </c>
      <c r="U115" s="180">
        <v>0.84524688000000003</v>
      </c>
      <c r="V115" s="180">
        <f t="shared" si="92"/>
        <v>8.3167335402024294E-3</v>
      </c>
      <c r="W115" s="180">
        <v>0.95545718000000002</v>
      </c>
      <c r="X115" s="180">
        <f t="shared" si="93"/>
        <v>9.4011382510317352E-3</v>
      </c>
      <c r="Y115" s="628">
        <f t="shared" si="94"/>
        <v>48.574769040000227</v>
      </c>
      <c r="Z115" s="180">
        <f t="shared" si="95"/>
        <v>0.47794723700436076</v>
      </c>
      <c r="AA115" s="629">
        <v>461.26904721000005</v>
      </c>
      <c r="AB115" s="629">
        <f t="shared" si="96"/>
        <v>4.5386168784067271</v>
      </c>
      <c r="AC115" s="629">
        <v>47.033748729999999</v>
      </c>
      <c r="AD115" s="629">
        <f t="shared" si="97"/>
        <v>0.46278450100193735</v>
      </c>
      <c r="AE115" s="629">
        <v>0.22700659000000001</v>
      </c>
      <c r="AF115" s="629">
        <f t="shared" si="98"/>
        <v>2.233611700406373E-3</v>
      </c>
      <c r="AG115" s="629">
        <v>3.6098127900000003</v>
      </c>
      <c r="AH115" s="629">
        <f t="shared" si="99"/>
        <v>3.5518440605713582E-2</v>
      </c>
      <c r="AI115" s="180">
        <v>188.36713871000001</v>
      </c>
    </row>
    <row r="116" spans="1:35" hidden="1">
      <c r="A116" s="625" t="s">
        <v>21</v>
      </c>
      <c r="B116" s="180">
        <v>10363.27236859</v>
      </c>
      <c r="C116" s="180">
        <v>719.35310575999995</v>
      </c>
      <c r="D116" s="180">
        <f t="shared" si="83"/>
        <v>6.9413702561778106</v>
      </c>
      <c r="E116" s="180">
        <v>2764.5931553199998</v>
      </c>
      <c r="F116" s="180">
        <f t="shared" si="84"/>
        <v>26.67683581972808</v>
      </c>
      <c r="G116" s="180">
        <v>249.79974098</v>
      </c>
      <c r="H116" s="180">
        <f t="shared" si="85"/>
        <v>2.4104330378994669</v>
      </c>
      <c r="I116" s="180">
        <v>482.25641538999997</v>
      </c>
      <c r="J116" s="180">
        <f t="shared" si="86"/>
        <v>4.6535148188488122</v>
      </c>
      <c r="K116" s="180">
        <v>897.57304067999996</v>
      </c>
      <c r="L116" s="180">
        <f t="shared" si="87"/>
        <v>8.6610966956774238</v>
      </c>
      <c r="M116" s="180">
        <v>611.57766715000002</v>
      </c>
      <c r="N116" s="180">
        <f t="shared" si="88"/>
        <v>5.9013952871066895</v>
      </c>
      <c r="O116" s="180">
        <v>426.07412925</v>
      </c>
      <c r="P116" s="180">
        <f t="shared" si="89"/>
        <v>4.1113859994781796</v>
      </c>
      <c r="Q116" s="180">
        <v>3623.40930312</v>
      </c>
      <c r="R116" s="180">
        <f t="shared" si="90"/>
        <v>34.963949361228572</v>
      </c>
      <c r="S116" s="180">
        <v>633.178</v>
      </c>
      <c r="T116" s="180">
        <f t="shared" si="91"/>
        <v>6.1098268720515021</v>
      </c>
      <c r="U116" s="180">
        <v>0.83393165999999996</v>
      </c>
      <c r="V116" s="180">
        <f t="shared" si="92"/>
        <v>8.0469916290877401E-3</v>
      </c>
      <c r="W116" s="180">
        <v>0.90265901000000004</v>
      </c>
      <c r="X116" s="180">
        <f t="shared" si="93"/>
        <v>8.7101735619326721E-3</v>
      </c>
      <c r="Y116" s="628">
        <f t="shared" si="94"/>
        <v>44.350869190000616</v>
      </c>
      <c r="Z116" s="180">
        <f t="shared" si="95"/>
        <v>0.42796201443497212</v>
      </c>
      <c r="AA116" s="629">
        <v>495.03082351999996</v>
      </c>
      <c r="AB116" s="629">
        <f t="shared" si="96"/>
        <v>4.776780981076854</v>
      </c>
      <c r="AC116" s="629">
        <v>44.666871679999993</v>
      </c>
      <c r="AD116" s="629">
        <f t="shared" si="97"/>
        <v>0.43101126836519932</v>
      </c>
      <c r="AE116" s="629">
        <v>0.22700659000000001</v>
      </c>
      <c r="AF116" s="629">
        <f t="shared" si="98"/>
        <v>2.1904914000719826E-3</v>
      </c>
      <c r="AG116" s="629">
        <v>2.6236492900000004</v>
      </c>
      <c r="AH116" s="629">
        <f t="shared" si="99"/>
        <v>2.5316803386853062E-2</v>
      </c>
      <c r="AI116" s="180">
        <v>182.39958403999998</v>
      </c>
    </row>
    <row r="117" spans="1:35" hidden="1">
      <c r="A117" s="625" t="s">
        <v>22</v>
      </c>
      <c r="B117" s="180">
        <v>10511.52051213</v>
      </c>
      <c r="C117" s="180">
        <v>720.07649569</v>
      </c>
      <c r="D117" s="180">
        <f t="shared" si="83"/>
        <v>6.8503552350875587</v>
      </c>
      <c r="E117" s="180">
        <v>2729.3382412599999</v>
      </c>
      <c r="F117" s="180">
        <f t="shared" si="84"/>
        <v>25.965208726086964</v>
      </c>
      <c r="G117" s="180">
        <v>261.64576196000002</v>
      </c>
      <c r="H117" s="180">
        <f t="shared" si="85"/>
        <v>2.4891333433452196</v>
      </c>
      <c r="I117" s="180">
        <v>496.59502076000001</v>
      </c>
      <c r="J117" s="180">
        <f t="shared" si="86"/>
        <v>4.7242929335194015</v>
      </c>
      <c r="K117" s="180">
        <v>952.49895459000004</v>
      </c>
      <c r="L117" s="180">
        <f t="shared" si="87"/>
        <v>9.0614764390255722</v>
      </c>
      <c r="M117" s="180">
        <v>613.64659644000005</v>
      </c>
      <c r="N117" s="180">
        <f t="shared" si="88"/>
        <v>5.837848061390063</v>
      </c>
      <c r="O117" s="180">
        <v>424.86921467000002</v>
      </c>
      <c r="P117" s="180">
        <f t="shared" si="89"/>
        <v>4.0419386917402944</v>
      </c>
      <c r="Q117" s="180">
        <v>3733.8030205199998</v>
      </c>
      <c r="R117" s="180">
        <f t="shared" si="90"/>
        <v>35.521055362174252</v>
      </c>
      <c r="S117" s="180">
        <v>628.20000000000005</v>
      </c>
      <c r="T117" s="180">
        <f t="shared" si="91"/>
        <v>5.9762999965140606</v>
      </c>
      <c r="U117" s="180">
        <v>0.82905417999999997</v>
      </c>
      <c r="V117" s="180">
        <f t="shared" si="92"/>
        <v>7.8871004346449652E-3</v>
      </c>
      <c r="W117" s="180">
        <v>0.82483110999999998</v>
      </c>
      <c r="X117" s="180">
        <f t="shared" si="93"/>
        <v>7.8469248007285719E-3</v>
      </c>
      <c r="Y117" s="628">
        <f t="shared" si="94"/>
        <v>44.238021080000308</v>
      </c>
      <c r="Z117" s="180">
        <f t="shared" si="95"/>
        <v>0.42085273038235405</v>
      </c>
      <c r="AA117" s="629">
        <v>482.42762698000001</v>
      </c>
      <c r="AB117" s="629">
        <f t="shared" si="96"/>
        <v>4.5895132528475973</v>
      </c>
      <c r="AC117" s="629">
        <v>44.897023869999998</v>
      </c>
      <c r="AD117" s="629">
        <f t="shared" si="97"/>
        <v>0.42712206876436276</v>
      </c>
      <c r="AE117" s="629">
        <v>3.3552152299999998</v>
      </c>
      <c r="AF117" s="629">
        <f t="shared" si="98"/>
        <v>3.1919409053411209E-2</v>
      </c>
      <c r="AG117" s="629">
        <v>2.4754337899999999</v>
      </c>
      <c r="AH117" s="629">
        <f t="shared" si="99"/>
        <v>2.3549721347576866E-2</v>
      </c>
      <c r="AI117" s="180">
        <v>186.23733269000002</v>
      </c>
    </row>
    <row r="118" spans="1:35" hidden="1">
      <c r="A118" s="625" t="s">
        <v>23</v>
      </c>
      <c r="B118" s="180">
        <v>10734.81067669</v>
      </c>
      <c r="C118" s="180">
        <v>706.68413955999995</v>
      </c>
      <c r="D118" s="180">
        <f t="shared" si="83"/>
        <v>6.5831076191639069</v>
      </c>
      <c r="E118" s="180">
        <v>2791.2781174400002</v>
      </c>
      <c r="F118" s="180">
        <f t="shared" si="84"/>
        <v>26.002117797019874</v>
      </c>
      <c r="G118" s="180">
        <v>273.6942732</v>
      </c>
      <c r="H118" s="180">
        <f t="shared" si="85"/>
        <v>2.5495957166185588</v>
      </c>
      <c r="I118" s="180">
        <v>504.41599314000001</v>
      </c>
      <c r="J118" s="180">
        <f t="shared" si="86"/>
        <v>4.6988811291782655</v>
      </c>
      <c r="K118" s="180">
        <v>1008.17046641</v>
      </c>
      <c r="L118" s="180">
        <f t="shared" si="87"/>
        <v>9.391599877948309</v>
      </c>
      <c r="M118" s="180">
        <v>644.32238416999996</v>
      </c>
      <c r="N118" s="180">
        <f t="shared" si="88"/>
        <v>6.0021774354074777</v>
      </c>
      <c r="O118" s="180">
        <v>413.16445808999998</v>
      </c>
      <c r="P118" s="180">
        <f t="shared" si="89"/>
        <v>3.8488285497867412</v>
      </c>
      <c r="Q118" s="180">
        <v>3802.7735664699999</v>
      </c>
      <c r="R118" s="180">
        <f t="shared" si="90"/>
        <v>35.424691510652309</v>
      </c>
      <c r="S118" s="180">
        <v>649.29999999999995</v>
      </c>
      <c r="T118" s="180">
        <f t="shared" si="91"/>
        <v>6.0485463559214514</v>
      </c>
      <c r="U118" s="180">
        <v>0.73721144999999999</v>
      </c>
      <c r="V118" s="180">
        <f t="shared" si="92"/>
        <v>6.8674844131234722E-3</v>
      </c>
      <c r="W118" s="180">
        <v>0.81352645999999995</v>
      </c>
      <c r="X118" s="180">
        <f t="shared" si="93"/>
        <v>7.5783959727070364E-3</v>
      </c>
      <c r="Y118" s="628">
        <f t="shared" si="94"/>
        <v>48.594245109999761</v>
      </c>
      <c r="Z118" s="180">
        <f t="shared" si="95"/>
        <v>0.45267910700576452</v>
      </c>
      <c r="AA118" s="629">
        <v>491.78397663999999</v>
      </c>
      <c r="AB118" s="629">
        <f t="shared" si="96"/>
        <v>4.5812077311049322</v>
      </c>
      <c r="AC118" s="629">
        <v>44.93682467</v>
      </c>
      <c r="AD118" s="629">
        <f t="shared" si="97"/>
        <v>0.41860845079995335</v>
      </c>
      <c r="AE118" s="629">
        <v>0.84076993</v>
      </c>
      <c r="AF118" s="629">
        <f t="shared" si="98"/>
        <v>7.8321821904664031E-3</v>
      </c>
      <c r="AG118" s="629">
        <v>2.6007239499999999</v>
      </c>
      <c r="AH118" s="629">
        <f t="shared" si="99"/>
        <v>2.4227012737609958E-2</v>
      </c>
      <c r="AI118" s="180">
        <v>170.64799898000001</v>
      </c>
    </row>
    <row r="119" spans="1:35" hidden="1">
      <c r="A119" s="625" t="s">
        <v>24</v>
      </c>
      <c r="B119" s="180">
        <v>10726.412785959999</v>
      </c>
      <c r="C119" s="180">
        <v>715.12585076000005</v>
      </c>
      <c r="D119" s="180">
        <f t="shared" si="83"/>
        <v>6.6669618728084146</v>
      </c>
      <c r="E119" s="180">
        <v>2716.2331943700001</v>
      </c>
      <c r="F119" s="180">
        <f t="shared" si="84"/>
        <v>25.322847894920919</v>
      </c>
      <c r="G119" s="180">
        <v>282.89586773000002</v>
      </c>
      <c r="H119" s="180">
        <f t="shared" si="85"/>
        <v>2.637376291357048</v>
      </c>
      <c r="I119" s="180">
        <v>505.64988504000002</v>
      </c>
      <c r="J119" s="180">
        <f t="shared" si="86"/>
        <v>4.7140632672821852</v>
      </c>
      <c r="K119" s="180">
        <v>1029.6045947600001</v>
      </c>
      <c r="L119" s="180">
        <f t="shared" si="87"/>
        <v>9.5987784108744041</v>
      </c>
      <c r="M119" s="180">
        <v>660.17973448999999</v>
      </c>
      <c r="N119" s="180">
        <f t="shared" si="88"/>
        <v>6.1547112502897665</v>
      </c>
      <c r="O119" s="180">
        <v>396.94621217999997</v>
      </c>
      <c r="P119" s="180">
        <f t="shared" si="89"/>
        <v>3.7006427041440193</v>
      </c>
      <c r="Q119" s="180">
        <v>3833.8198001199999</v>
      </c>
      <c r="R119" s="180">
        <f t="shared" si="90"/>
        <v>35.741863348184374</v>
      </c>
      <c r="S119" s="180">
        <v>655.17352545599999</v>
      </c>
      <c r="T119" s="180">
        <f t="shared" si="91"/>
        <v>6.1080394585743409</v>
      </c>
      <c r="U119" s="180">
        <v>0.72241993000000004</v>
      </c>
      <c r="V119" s="180">
        <f t="shared" si="92"/>
        <v>6.73496297798262E-3</v>
      </c>
      <c r="W119" s="180">
        <v>0.76078383000000005</v>
      </c>
      <c r="X119" s="180">
        <f t="shared" si="93"/>
        <v>7.092621225576962E-3</v>
      </c>
      <c r="Y119" s="628">
        <f t="shared" si="94"/>
        <v>45.163522069999864</v>
      </c>
      <c r="Z119" s="180">
        <f t="shared" si="95"/>
        <v>0.42104963673517432</v>
      </c>
      <c r="AA119" s="629">
        <v>488.04474753</v>
      </c>
      <c r="AB119" s="629">
        <f t="shared" si="96"/>
        <v>4.5499344214014474</v>
      </c>
      <c r="AC119" s="629">
        <v>44.627974850000001</v>
      </c>
      <c r="AD119" s="629">
        <f t="shared" si="97"/>
        <v>0.41605684715410529</v>
      </c>
      <c r="AE119" s="629">
        <v>3.9329004300000001</v>
      </c>
      <c r="AF119" s="629">
        <f t="shared" si="98"/>
        <v>3.6665570386661288E-2</v>
      </c>
      <c r="AG119" s="629">
        <v>2.7052978699999999</v>
      </c>
      <c r="AH119" s="629">
        <f t="shared" si="99"/>
        <v>2.5220900257922334E-2</v>
      </c>
      <c r="AI119" s="180">
        <v>181.28019143999998</v>
      </c>
    </row>
    <row r="120" spans="1:35" hidden="1">
      <c r="A120" s="625" t="s">
        <v>25</v>
      </c>
      <c r="B120" s="180">
        <v>11057.8023435</v>
      </c>
      <c r="C120" s="180">
        <v>731.74003091999998</v>
      </c>
      <c r="D120" s="180">
        <f t="shared" si="83"/>
        <v>6.6174092119681589</v>
      </c>
      <c r="E120" s="180">
        <v>2773.6165999</v>
      </c>
      <c r="F120" s="180">
        <f t="shared" si="84"/>
        <v>25.082891823712046</v>
      </c>
      <c r="G120" s="180">
        <v>400.24505398999997</v>
      </c>
      <c r="H120" s="180">
        <f t="shared" si="85"/>
        <v>3.6195714261909568</v>
      </c>
      <c r="I120" s="180">
        <v>516.35346861999994</v>
      </c>
      <c r="J120" s="180">
        <f t="shared" si="86"/>
        <v>4.6695849010497374</v>
      </c>
      <c r="K120" s="180">
        <v>1063.73927099</v>
      </c>
      <c r="L120" s="180">
        <f t="shared" si="87"/>
        <v>9.6198072451103958</v>
      </c>
      <c r="M120" s="180">
        <v>644.09154883999997</v>
      </c>
      <c r="N120" s="180">
        <f t="shared" si="88"/>
        <v>5.8247699572836913</v>
      </c>
      <c r="O120" s="180">
        <v>420.11956894999997</v>
      </c>
      <c r="P120" s="180">
        <f t="shared" si="89"/>
        <v>3.7993043816428389</v>
      </c>
      <c r="Q120" s="180">
        <v>3942.2299599799999</v>
      </c>
      <c r="R120" s="180">
        <f t="shared" si="90"/>
        <v>35.651116175876687</v>
      </c>
      <c r="S120" s="180">
        <v>704.89748510799996</v>
      </c>
      <c r="T120" s="180">
        <f t="shared" si="91"/>
        <v>6.3746616480475708</v>
      </c>
      <c r="U120" s="180">
        <v>0.71865555000000003</v>
      </c>
      <c r="V120" s="180">
        <f t="shared" si="92"/>
        <v>6.4990811707033302E-3</v>
      </c>
      <c r="W120" s="180">
        <v>0.70111897000000001</v>
      </c>
      <c r="X120" s="180">
        <f t="shared" si="93"/>
        <v>6.3404910688436384E-3</v>
      </c>
      <c r="Y120" s="628">
        <f t="shared" si="94"/>
        <v>42.905359189999963</v>
      </c>
      <c r="Z120" s="180">
        <f t="shared" si="95"/>
        <v>0.38800982199885864</v>
      </c>
      <c r="AA120" s="629">
        <v>471.15183034</v>
      </c>
      <c r="AB120" s="629">
        <f t="shared" si="96"/>
        <v>4.2608089356648033</v>
      </c>
      <c r="AC120" s="629">
        <v>44.563893579999998</v>
      </c>
      <c r="AD120" s="629">
        <f t="shared" si="97"/>
        <v>0.40300859244599863</v>
      </c>
      <c r="AE120" s="629">
        <v>4.32365143</v>
      </c>
      <c r="AF120" s="629">
        <f t="shared" si="98"/>
        <v>3.910045862360282E-2</v>
      </c>
      <c r="AG120" s="629">
        <v>1.3023322500000001</v>
      </c>
      <c r="AH120" s="629">
        <f t="shared" si="99"/>
        <v>1.1777496192681879E-2</v>
      </c>
      <c r="AI120" s="180">
        <v>178.23717610999998</v>
      </c>
    </row>
    <row r="121" spans="1:35" hidden="1">
      <c r="A121" s="625" t="s">
        <v>26</v>
      </c>
      <c r="B121" s="180">
        <v>11380.82251559</v>
      </c>
      <c r="C121" s="180">
        <v>757.85437293999996</v>
      </c>
      <c r="D121" s="180">
        <f t="shared" si="83"/>
        <v>6.6590474625349314</v>
      </c>
      <c r="E121" s="180">
        <v>2746.1188033200001</v>
      </c>
      <c r="F121" s="180">
        <f t="shared" si="84"/>
        <v>24.129352685697665</v>
      </c>
      <c r="G121" s="180">
        <v>403.59834097999999</v>
      </c>
      <c r="H121" s="180">
        <f t="shared" si="85"/>
        <v>3.5463020394802882</v>
      </c>
      <c r="I121" s="180">
        <v>528.78819350000003</v>
      </c>
      <c r="J121" s="180">
        <f t="shared" si="86"/>
        <v>4.646309111451659</v>
      </c>
      <c r="K121" s="180">
        <v>1103.4198999</v>
      </c>
      <c r="L121" s="180">
        <f t="shared" si="87"/>
        <v>9.6954319284786514</v>
      </c>
      <c r="M121" s="180">
        <v>774.93862358000001</v>
      </c>
      <c r="N121" s="180">
        <f t="shared" si="88"/>
        <v>6.809161837981847</v>
      </c>
      <c r="O121" s="180">
        <v>439.10211154000001</v>
      </c>
      <c r="P121" s="180">
        <f t="shared" si="89"/>
        <v>3.8582634158339326</v>
      </c>
      <c r="Q121" s="180">
        <v>4042.51527687</v>
      </c>
      <c r="R121" s="180">
        <f t="shared" si="90"/>
        <v>35.520414023963269</v>
      </c>
      <c r="S121" s="180">
        <v>623.29999999999995</v>
      </c>
      <c r="T121" s="180">
        <f t="shared" si="91"/>
        <v>5.4767570546520119</v>
      </c>
      <c r="U121" s="180">
        <v>0.66055393000000007</v>
      </c>
      <c r="V121" s="180">
        <f t="shared" si="92"/>
        <v>5.8040965764569429E-3</v>
      </c>
      <c r="W121" s="180">
        <v>0.64398663</v>
      </c>
      <c r="X121" s="180">
        <f t="shared" si="93"/>
        <v>5.6585244969582478E-3</v>
      </c>
      <c r="Y121" s="628">
        <f t="shared" si="94"/>
        <v>42.315234400000016</v>
      </c>
      <c r="Z121" s="180">
        <f t="shared" si="95"/>
        <v>0.3718117415681913</v>
      </c>
      <c r="AA121" s="629">
        <v>491.45459178999999</v>
      </c>
      <c r="AB121" s="629">
        <f t="shared" si="96"/>
        <v>4.3182695373447899</v>
      </c>
      <c r="AC121" s="629">
        <v>44.674372490000003</v>
      </c>
      <c r="AD121" s="629">
        <f t="shared" si="97"/>
        <v>0.39254080650851814</v>
      </c>
      <c r="AE121" s="629">
        <v>3.0678991500000001</v>
      </c>
      <c r="AF121" s="629">
        <f t="shared" si="98"/>
        <v>2.6956743643066605E-2</v>
      </c>
      <c r="AG121" s="629">
        <v>1.67025457</v>
      </c>
      <c r="AH121" s="629">
        <f t="shared" si="99"/>
        <v>1.4676044439775814E-2</v>
      </c>
      <c r="AI121" s="180">
        <v>188.01630741000002</v>
      </c>
    </row>
    <row r="122" spans="1:35" hidden="1">
      <c r="A122" s="625" t="s">
        <v>27</v>
      </c>
      <c r="B122" s="180">
        <v>11643.48871752</v>
      </c>
      <c r="C122" s="180">
        <v>763.70977516999994</v>
      </c>
      <c r="D122" s="180">
        <f t="shared" si="83"/>
        <v>6.5591146579705368</v>
      </c>
      <c r="E122" s="180">
        <v>2815.5381158999999</v>
      </c>
      <c r="F122" s="180">
        <f t="shared" si="84"/>
        <v>24.181224237916332</v>
      </c>
      <c r="G122" s="180">
        <v>404.96495693000003</v>
      </c>
      <c r="H122" s="180">
        <f t="shared" si="85"/>
        <v>3.4780379554166423</v>
      </c>
      <c r="I122" s="180">
        <v>539.60252249999996</v>
      </c>
      <c r="J122" s="180">
        <f t="shared" si="86"/>
        <v>4.6343714980206761</v>
      </c>
      <c r="K122" s="180">
        <v>1122.2502054700001</v>
      </c>
      <c r="L122" s="180">
        <f t="shared" si="87"/>
        <v>9.6384359765071626</v>
      </c>
      <c r="M122" s="180">
        <v>815.52829933999999</v>
      </c>
      <c r="N122" s="180">
        <f t="shared" si="88"/>
        <v>7.0041575950760491</v>
      </c>
      <c r="O122" s="180">
        <v>461.95248722000002</v>
      </c>
      <c r="P122" s="180">
        <f t="shared" si="89"/>
        <v>3.9674748559243964</v>
      </c>
      <c r="Q122" s="180">
        <v>4136.6613513000002</v>
      </c>
      <c r="R122" s="180">
        <f t="shared" si="90"/>
        <v>35.527679475272308</v>
      </c>
      <c r="S122" s="180">
        <v>699.74372703999995</v>
      </c>
      <c r="T122" s="180">
        <f t="shared" si="91"/>
        <v>6.009742818637279</v>
      </c>
      <c r="U122" s="180">
        <v>0.59977864000000003</v>
      </c>
      <c r="V122" s="180">
        <f t="shared" si="92"/>
        <v>5.1511935516157705E-3</v>
      </c>
      <c r="W122" s="180">
        <v>0.63001511999999993</v>
      </c>
      <c r="X122" s="180">
        <f t="shared" si="93"/>
        <v>5.4108792930078926E-3</v>
      </c>
      <c r="Y122" s="628">
        <f t="shared" si="94"/>
        <v>45.155568689999825</v>
      </c>
      <c r="Z122" s="180">
        <f t="shared" si="95"/>
        <v>0.38781820282141105</v>
      </c>
      <c r="AA122" s="629">
        <v>486.66240521999998</v>
      </c>
      <c r="AB122" s="629">
        <f t="shared" si="96"/>
        <v>4.1796957683972957</v>
      </c>
      <c r="AC122" s="629">
        <v>43.864977279999991</v>
      </c>
      <c r="AD122" s="629">
        <f t="shared" si="97"/>
        <v>0.37673396989680763</v>
      </c>
      <c r="AE122" s="629">
        <v>4.9643910899999995</v>
      </c>
      <c r="AF122" s="629">
        <f t="shared" si="98"/>
        <v>4.2636629024512748E-2</v>
      </c>
      <c r="AG122" s="629">
        <v>1.4038676500000002</v>
      </c>
      <c r="AH122" s="629">
        <f t="shared" si="99"/>
        <v>1.2057104911241899E-2</v>
      </c>
      <c r="AI122" s="180">
        <v>180.04947742000004</v>
      </c>
    </row>
    <row r="123" spans="1:35" hidden="1">
      <c r="A123" s="625" t="s">
        <v>28</v>
      </c>
      <c r="B123" s="180">
        <v>11730.50687651</v>
      </c>
      <c r="C123" s="180">
        <v>761.11775205000004</v>
      </c>
      <c r="D123" s="180">
        <f t="shared" si="83"/>
        <v>6.4883620125070323</v>
      </c>
      <c r="E123" s="180">
        <v>2766.6378884999999</v>
      </c>
      <c r="F123" s="180">
        <f t="shared" si="84"/>
        <v>23.584981600753434</v>
      </c>
      <c r="G123" s="180">
        <v>406.19939654000001</v>
      </c>
      <c r="H123" s="180">
        <f t="shared" si="85"/>
        <v>3.4627608236895755</v>
      </c>
      <c r="I123" s="180">
        <v>541.92425406999996</v>
      </c>
      <c r="J123" s="180">
        <f t="shared" si="86"/>
        <v>4.6197854856143303</v>
      </c>
      <c r="K123" s="180">
        <v>1147.6666497900001</v>
      </c>
      <c r="L123" s="180">
        <f t="shared" si="87"/>
        <v>9.7836066409727724</v>
      </c>
      <c r="M123" s="180">
        <v>872.22612164999998</v>
      </c>
      <c r="N123" s="180">
        <f t="shared" si="88"/>
        <v>7.4355365103327919</v>
      </c>
      <c r="O123" s="180">
        <v>391.11202277000001</v>
      </c>
      <c r="P123" s="180">
        <f t="shared" si="89"/>
        <v>3.3341442691891729</v>
      </c>
      <c r="Q123" s="180">
        <v>4245.0927988100002</v>
      </c>
      <c r="R123" s="180">
        <f t="shared" si="90"/>
        <v>36.188485659649331</v>
      </c>
      <c r="S123" s="180">
        <v>706.83230646000004</v>
      </c>
      <c r="T123" s="180">
        <f t="shared" si="91"/>
        <v>6.0255904872739237</v>
      </c>
      <c r="U123" s="180">
        <v>0.54633701999999995</v>
      </c>
      <c r="V123" s="180">
        <f t="shared" si="92"/>
        <v>4.6574033479663528E-3</v>
      </c>
      <c r="W123" s="180">
        <v>0.57590806999999999</v>
      </c>
      <c r="X123" s="180">
        <f t="shared" si="93"/>
        <v>4.9094900677586163E-3</v>
      </c>
      <c r="Y123" s="628">
        <f t="shared" si="94"/>
        <v>49.831146329999939</v>
      </c>
      <c r="Z123" s="180">
        <f t="shared" si="95"/>
        <v>0.42479960034621661</v>
      </c>
      <c r="AA123" s="629">
        <v>481.49746983</v>
      </c>
      <c r="AB123" s="629">
        <f t="shared" si="96"/>
        <v>4.1046603944641529</v>
      </c>
      <c r="AC123" s="629">
        <v>44.971368609999999</v>
      </c>
      <c r="AD123" s="629">
        <f t="shared" si="97"/>
        <v>0.383371060461623</v>
      </c>
      <c r="AE123" s="629">
        <v>19.431052789999999</v>
      </c>
      <c r="AF123" s="629">
        <f t="shared" si="98"/>
        <v>0.16564546608731903</v>
      </c>
      <c r="AG123" s="629">
        <v>1.6767096799999999</v>
      </c>
      <c r="AH123" s="629">
        <f t="shared" si="99"/>
        <v>1.4293582516519915E-2</v>
      </c>
      <c r="AI123" s="180">
        <v>174.07808797000001</v>
      </c>
    </row>
    <row r="124" spans="1:35" hidden="1">
      <c r="A124" s="625" t="s">
        <v>29</v>
      </c>
      <c r="B124" s="180">
        <v>12243.721763699999</v>
      </c>
      <c r="C124" s="180">
        <v>748.82059920999995</v>
      </c>
      <c r="D124" s="180">
        <f t="shared" si="83"/>
        <v>6.1159557009053556</v>
      </c>
      <c r="E124" s="180">
        <v>2649.32739201</v>
      </c>
      <c r="F124" s="180">
        <f t="shared" si="84"/>
        <v>21.638252184598684</v>
      </c>
      <c r="G124" s="180">
        <v>396.74502281000002</v>
      </c>
      <c r="H124" s="180">
        <f t="shared" si="85"/>
        <v>3.2403956122742321</v>
      </c>
      <c r="I124" s="180">
        <v>546.22941422999997</v>
      </c>
      <c r="J124" s="180">
        <f t="shared" si="86"/>
        <v>4.4613020842196249</v>
      </c>
      <c r="K124" s="180">
        <v>1270.2709982199999</v>
      </c>
      <c r="L124" s="180">
        <f t="shared" si="87"/>
        <v>10.374876387554641</v>
      </c>
      <c r="M124" s="180">
        <v>1297.60908647</v>
      </c>
      <c r="N124" s="180">
        <f t="shared" si="88"/>
        <v>10.59815888921236</v>
      </c>
      <c r="O124" s="180">
        <v>429.11634155000002</v>
      </c>
      <c r="P124" s="180">
        <f t="shared" si="89"/>
        <v>3.5047867783326936</v>
      </c>
      <c r="Q124" s="180">
        <v>4316.6580169099998</v>
      </c>
      <c r="R124" s="180">
        <f t="shared" si="90"/>
        <v>35.256093696182823</v>
      </c>
      <c r="S124" s="180">
        <v>703.69352000000003</v>
      </c>
      <c r="T124" s="180">
        <f t="shared" si="91"/>
        <v>5.7473824837011565</v>
      </c>
      <c r="U124" s="180">
        <v>0.61674861000000003</v>
      </c>
      <c r="V124" s="180">
        <f t="shared" si="92"/>
        <v>5.0372641742687015E-3</v>
      </c>
      <c r="W124" s="180">
        <v>0.53953861000000003</v>
      </c>
      <c r="X124" s="180">
        <f t="shared" si="93"/>
        <v>4.4066552671885757E-3</v>
      </c>
      <c r="Y124" s="628">
        <f t="shared" si="94"/>
        <v>17.221721410000228</v>
      </c>
      <c r="Z124" s="180">
        <f t="shared" si="95"/>
        <v>0.14065756918014036</v>
      </c>
      <c r="AA124" s="629">
        <v>480.93407215000002</v>
      </c>
      <c r="AB124" s="629">
        <f t="shared" si="96"/>
        <v>3.9280055642547032</v>
      </c>
      <c r="AC124" s="629">
        <v>44.144264329999999</v>
      </c>
      <c r="AD124" s="629">
        <f t="shared" si="97"/>
        <v>0.36054612463408181</v>
      </c>
      <c r="AE124" s="629">
        <v>43.211517909999998</v>
      </c>
      <c r="AF124" s="629">
        <f t="shared" si="98"/>
        <v>0.35292796376762542</v>
      </c>
      <c r="AG124" s="629">
        <v>2.2770292700000003</v>
      </c>
      <c r="AH124" s="629">
        <f t="shared" si="99"/>
        <v>1.8597525441576942E-2</v>
      </c>
      <c r="AI124" s="180">
        <v>176.08680903999996</v>
      </c>
    </row>
    <row r="125" spans="1:35">
      <c r="A125" s="625" t="s">
        <v>1410</v>
      </c>
      <c r="B125" s="268">
        <v>15422.93771756</v>
      </c>
      <c r="C125" s="268">
        <v>792.78013636999992</v>
      </c>
      <c r="D125" s="268">
        <v>5.1402667305552887</v>
      </c>
      <c r="E125" s="268">
        <v>2219.8828612700004</v>
      </c>
      <c r="F125" s="268">
        <v>14.393385371338962</v>
      </c>
      <c r="G125" s="268">
        <v>288.15636638000001</v>
      </c>
      <c r="H125" s="268">
        <v>1.8683623811299943</v>
      </c>
      <c r="I125" s="268">
        <v>733.25136234999991</v>
      </c>
      <c r="J125" s="268">
        <v>4.7542911459413233</v>
      </c>
      <c r="K125" s="268">
        <v>2362.6414395499996</v>
      </c>
      <c r="L125" s="268">
        <v>15.319010442867711</v>
      </c>
      <c r="M125" s="268">
        <v>1516.4168226499999</v>
      </c>
      <c r="N125" s="268">
        <v>9.8322177682366085</v>
      </c>
      <c r="O125" s="268">
        <v>506.04149092999995</v>
      </c>
      <c r="P125" s="268">
        <v>3.281096637989009</v>
      </c>
      <c r="Q125" s="268">
        <v>6214.7086563899993</v>
      </c>
      <c r="R125" s="268">
        <v>40.295232790275463</v>
      </c>
      <c r="S125" s="268">
        <v>890.77710999999999</v>
      </c>
      <c r="T125" s="268">
        <v>5.7756643144956312</v>
      </c>
      <c r="U125" s="268">
        <v>6.1328336500000002</v>
      </c>
      <c r="V125" s="268">
        <v>3.9764367608237032E-2</v>
      </c>
      <c r="W125" s="268">
        <v>1.1713285499999999</v>
      </c>
      <c r="X125" s="268">
        <v>7.5947175009749759E-3</v>
      </c>
      <c r="Y125" s="630">
        <v>233.6665964100014</v>
      </c>
      <c r="Z125" s="268">
        <v>1.5150589381162907</v>
      </c>
      <c r="AA125" s="631">
        <v>492.45224848999999</v>
      </c>
      <c r="AB125" s="631">
        <v>3.1929860413642963</v>
      </c>
      <c r="AC125" s="631">
        <v>39.79410395</v>
      </c>
      <c r="AD125" s="631">
        <v>0.25801896291581256</v>
      </c>
      <c r="AE125" s="631">
        <v>3.0852378900000001</v>
      </c>
      <c r="AF125" s="631">
        <v>2.0004216748455515E-2</v>
      </c>
      <c r="AG125" s="631">
        <v>12.756232730000001</v>
      </c>
      <c r="AH125" s="631">
        <v>8.2709487411572788E-2</v>
      </c>
      <c r="AI125" s="268">
        <v>247.24514382999999</v>
      </c>
    </row>
    <row r="126" spans="1:35">
      <c r="A126" s="625" t="s">
        <v>18</v>
      </c>
      <c r="B126" s="180">
        <v>12479.27229287</v>
      </c>
      <c r="C126" s="180">
        <v>763.83707374000005</v>
      </c>
      <c r="D126" s="180">
        <f t="shared" ref="D126:D137" si="100">C126/$B126*100</f>
        <v>6.1208462786441187</v>
      </c>
      <c r="E126" s="180">
        <v>2546.44950939</v>
      </c>
      <c r="F126" s="180">
        <f t="shared" ref="F126:F137" si="101">E126/$B126*100</f>
        <v>20.405432701752225</v>
      </c>
      <c r="G126" s="180">
        <v>376.97497050999999</v>
      </c>
      <c r="H126" s="180">
        <f t="shared" ref="H126:H137" si="102">G126/$B126*100</f>
        <v>3.0208089194863041</v>
      </c>
      <c r="I126" s="180">
        <v>549.44296784000005</v>
      </c>
      <c r="J126" s="180">
        <f t="shared" ref="J126:J137" si="103">I126/$B126*100</f>
        <v>4.4028446126135323</v>
      </c>
      <c r="K126" s="180">
        <v>1291.0804609899999</v>
      </c>
      <c r="L126" s="180">
        <f t="shared" ref="L126:L137" si="104">K126/$B126*100</f>
        <v>10.345799263693086</v>
      </c>
      <c r="M126" s="180">
        <v>1428.183906</v>
      </c>
      <c r="N126" s="180">
        <f t="shared" ref="N126:N137" si="105">M126/$B126*100</f>
        <v>11.444448622344664</v>
      </c>
      <c r="O126" s="180">
        <v>391.27180147000001</v>
      </c>
      <c r="P126" s="180">
        <f t="shared" ref="P126:P137" si="106">O126/$B126*100</f>
        <v>3.1353735401186182</v>
      </c>
      <c r="Q126" s="180">
        <v>4452.0003956399996</v>
      </c>
      <c r="R126" s="180">
        <f t="shared" ref="R126:R137" si="107">Q126/$B126*100</f>
        <v>35.675160307092895</v>
      </c>
      <c r="S126" s="180">
        <v>704.25189999999998</v>
      </c>
      <c r="T126" s="180">
        <f t="shared" ref="T126:T137" si="108">S126/$B126*100</f>
        <v>5.6433731348451497</v>
      </c>
      <c r="U126" s="180">
        <v>6.62378059</v>
      </c>
      <c r="V126" s="180">
        <f t="shared" ref="V126:V137" si="109">U126/$B126*100</f>
        <v>5.3078259970210602E-2</v>
      </c>
      <c r="W126" s="180">
        <v>0.74295297999999999</v>
      </c>
      <c r="X126" s="180">
        <f t="shared" ref="X126:X137" si="110">W126/$B126*100</f>
        <v>5.9534960257617278E-3</v>
      </c>
      <c r="Y126" s="628">
        <f t="shared" ref="Y126:Y137" si="111">B126-C126-E126-G126-I126-K126-M126-W126-O126-Q126-U126-AA126-AC126-AE126-AG126</f>
        <v>142.0085838800004</v>
      </c>
      <c r="Z126" s="180">
        <f t="shared" ref="Z126:Z137" si="112">Y126/$B126*100</f>
        <v>1.1379556479518171</v>
      </c>
      <c r="AA126" s="629">
        <v>478.17058216999999</v>
      </c>
      <c r="AB126" s="629">
        <f t="shared" ref="AB126:AB137" si="113">AA126/B126*100</f>
        <v>3.8317184764307255</v>
      </c>
      <c r="AC126" s="629">
        <v>44.179691320000003</v>
      </c>
      <c r="AD126" s="629">
        <f t="shared" ref="AD126:AD137" si="114">AC126/$B126*100</f>
        <v>0.35402457998485981</v>
      </c>
      <c r="AE126" s="629">
        <v>8.3879999999999996E-2</v>
      </c>
      <c r="AF126" s="629">
        <f t="shared" ref="AF126:AF137" si="115">AE126/$B126*100</f>
        <v>6.7215457785887566E-4</v>
      </c>
      <c r="AG126" s="629">
        <v>8.2217363500000005</v>
      </c>
      <c r="AH126" s="629">
        <f t="shared" ref="AH126:AH137" si="116">AG126/$B126*100</f>
        <v>6.5883139313319322E-2</v>
      </c>
      <c r="AI126" s="180">
        <v>148.52589585999999</v>
      </c>
    </row>
    <row r="127" spans="1:35">
      <c r="A127" s="625" t="s">
        <v>19</v>
      </c>
      <c r="B127" s="180">
        <v>12207.917385979999</v>
      </c>
      <c r="C127" s="180">
        <v>760.95946331000005</v>
      </c>
      <c r="D127" s="180">
        <f t="shared" si="100"/>
        <v>6.2333274321131356</v>
      </c>
      <c r="E127" s="180">
        <v>2062.9160887100002</v>
      </c>
      <c r="F127" s="180">
        <f t="shared" si="101"/>
        <v>16.898181921505508</v>
      </c>
      <c r="G127" s="180">
        <v>294.92613609</v>
      </c>
      <c r="H127" s="180">
        <f t="shared" si="102"/>
        <v>2.4158595341471063</v>
      </c>
      <c r="I127" s="180">
        <v>592.84667864000005</v>
      </c>
      <c r="J127" s="180">
        <f t="shared" si="103"/>
        <v>4.8562474654427623</v>
      </c>
      <c r="K127" s="180">
        <v>1708.40979975</v>
      </c>
      <c r="L127" s="180">
        <f t="shared" si="104"/>
        <v>13.994277203349997</v>
      </c>
      <c r="M127" s="180">
        <v>1149.18645735</v>
      </c>
      <c r="N127" s="180">
        <f t="shared" si="105"/>
        <v>9.4134521148526602</v>
      </c>
      <c r="O127" s="180">
        <v>411.39028789999998</v>
      </c>
      <c r="P127" s="180">
        <f t="shared" si="106"/>
        <v>3.3698646123904394</v>
      </c>
      <c r="Q127" s="180">
        <v>4568.9321661800004</v>
      </c>
      <c r="R127" s="180">
        <f t="shared" si="107"/>
        <v>37.42597546922395</v>
      </c>
      <c r="S127" s="180">
        <v>715.97889999999995</v>
      </c>
      <c r="T127" s="180">
        <f t="shared" si="108"/>
        <v>5.8648734043880015</v>
      </c>
      <c r="U127" s="180">
        <v>6.6628857000000004</v>
      </c>
      <c r="V127" s="180">
        <f t="shared" si="109"/>
        <v>5.4578397685193146E-2</v>
      </c>
      <c r="W127" s="180">
        <v>0.71075483000000006</v>
      </c>
      <c r="X127" s="180">
        <f t="shared" si="110"/>
        <v>5.8220809293504545E-3</v>
      </c>
      <c r="Y127" s="628">
        <f t="shared" si="111"/>
        <v>143.46907499999773</v>
      </c>
      <c r="Z127" s="180">
        <f t="shared" si="112"/>
        <v>1.1752133510074587</v>
      </c>
      <c r="AA127" s="629">
        <v>455.97012004999999</v>
      </c>
      <c r="AB127" s="629">
        <f t="shared" si="113"/>
        <v>3.7350360887406731</v>
      </c>
      <c r="AC127" s="629">
        <v>44.251221149999999</v>
      </c>
      <c r="AD127" s="629">
        <f t="shared" si="114"/>
        <v>0.36247969044105471</v>
      </c>
      <c r="AE127" s="629">
        <v>8.3879999999999996E-2</v>
      </c>
      <c r="AF127" s="629">
        <f t="shared" si="115"/>
        <v>6.8709508221550327E-4</v>
      </c>
      <c r="AG127" s="629">
        <v>7.2023713200000001</v>
      </c>
      <c r="AH127" s="629">
        <f t="shared" si="116"/>
        <v>5.8997543088483352E-2</v>
      </c>
      <c r="AI127" s="180">
        <v>169.21283187</v>
      </c>
    </row>
    <row r="128" spans="1:35">
      <c r="A128" s="625" t="s">
        <v>20</v>
      </c>
      <c r="B128" s="180">
        <v>12451.11375792</v>
      </c>
      <c r="C128" s="180">
        <v>760.75256075000004</v>
      </c>
      <c r="D128" s="180">
        <f t="shared" si="100"/>
        <v>6.1099157516418536</v>
      </c>
      <c r="E128" s="180">
        <v>2092.45824167</v>
      </c>
      <c r="F128" s="180">
        <f t="shared" si="101"/>
        <v>16.805390122943926</v>
      </c>
      <c r="G128" s="180">
        <v>295.19308866</v>
      </c>
      <c r="H128" s="180">
        <f t="shared" si="102"/>
        <v>2.370816734946553</v>
      </c>
      <c r="I128" s="180">
        <v>606.09688549999998</v>
      </c>
      <c r="J128" s="180">
        <f t="shared" si="103"/>
        <v>4.8678126092492668</v>
      </c>
      <c r="K128" s="180">
        <v>1760.5347051399999</v>
      </c>
      <c r="L128" s="180">
        <f t="shared" si="104"/>
        <v>14.139576100331952</v>
      </c>
      <c r="M128" s="180">
        <v>1139.64230651</v>
      </c>
      <c r="N128" s="180">
        <f t="shared" si="105"/>
        <v>9.1529346584363793</v>
      </c>
      <c r="O128" s="180">
        <v>414.48034759000001</v>
      </c>
      <c r="P128" s="180">
        <f t="shared" si="106"/>
        <v>3.3288616235343134</v>
      </c>
      <c r="Q128" s="180">
        <v>4720.9266963999999</v>
      </c>
      <c r="R128" s="180">
        <f t="shared" si="107"/>
        <v>37.915698050683027</v>
      </c>
      <c r="S128" s="180">
        <v>621.77239999999995</v>
      </c>
      <c r="T128" s="180">
        <f t="shared" si="108"/>
        <v>4.993709093730657</v>
      </c>
      <c r="U128" s="180">
        <v>6.4808972300000001</v>
      </c>
      <c r="V128" s="180">
        <f t="shared" si="109"/>
        <v>5.205074305804637E-2</v>
      </c>
      <c r="W128" s="180">
        <v>0.66562326999999999</v>
      </c>
      <c r="X128" s="180">
        <f t="shared" si="110"/>
        <v>5.3458934111545254E-3</v>
      </c>
      <c r="Y128" s="628">
        <f t="shared" si="111"/>
        <v>148.58252837000248</v>
      </c>
      <c r="Z128" s="180">
        <f t="shared" si="112"/>
        <v>1.1933272095879048</v>
      </c>
      <c r="AA128" s="629">
        <v>452.36562629000002</v>
      </c>
      <c r="AB128" s="629">
        <f t="shared" si="113"/>
        <v>3.6331338311181667</v>
      </c>
      <c r="AC128" s="629">
        <v>44.279603260000002</v>
      </c>
      <c r="AD128" s="629">
        <f t="shared" si="114"/>
        <v>0.35562765003118124</v>
      </c>
      <c r="AE128" s="629">
        <v>2.4018570699999997</v>
      </c>
      <c r="AF128" s="629">
        <f t="shared" si="115"/>
        <v>1.9290298978050922E-2</v>
      </c>
      <c r="AG128" s="629">
        <v>6.2527902099999997</v>
      </c>
      <c r="AH128" s="629">
        <f t="shared" si="116"/>
        <v>5.0218722048239878E-2</v>
      </c>
      <c r="AI128" s="180">
        <v>153.27848051999999</v>
      </c>
    </row>
    <row r="129" spans="1:35">
      <c r="A129" s="625" t="s">
        <v>21</v>
      </c>
      <c r="B129" s="180">
        <v>13019.48671463</v>
      </c>
      <c r="C129" s="180">
        <v>754.73232022000002</v>
      </c>
      <c r="D129" s="180">
        <f t="shared" si="100"/>
        <v>5.7969437410455447</v>
      </c>
      <c r="E129" s="180">
        <v>2110.0996065499999</v>
      </c>
      <c r="F129" s="180">
        <f t="shared" si="101"/>
        <v>16.207241136310547</v>
      </c>
      <c r="G129" s="180">
        <v>301.15269490999998</v>
      </c>
      <c r="H129" s="180">
        <f t="shared" si="102"/>
        <v>2.3130919176068181</v>
      </c>
      <c r="I129" s="180">
        <v>602.10746256000004</v>
      </c>
      <c r="J129" s="180">
        <f t="shared" si="103"/>
        <v>4.6246635966332814</v>
      </c>
      <c r="K129" s="180">
        <v>1970.2321580600001</v>
      </c>
      <c r="L129" s="180">
        <f t="shared" si="104"/>
        <v>15.132948028174182</v>
      </c>
      <c r="M129" s="180">
        <v>1231.40272566</v>
      </c>
      <c r="N129" s="180">
        <f t="shared" si="105"/>
        <v>9.4581510980480701</v>
      </c>
      <c r="O129" s="180">
        <v>427.1084505</v>
      </c>
      <c r="P129" s="180">
        <f t="shared" si="106"/>
        <v>3.2805321735153976</v>
      </c>
      <c r="Q129" s="180">
        <v>4913.6786837899999</v>
      </c>
      <c r="R129" s="180">
        <f t="shared" si="107"/>
        <v>37.740955473064062</v>
      </c>
      <c r="S129" s="180">
        <v>694.399</v>
      </c>
      <c r="T129" s="180">
        <f t="shared" si="108"/>
        <v>5.3335359159720461</v>
      </c>
      <c r="U129" s="180">
        <v>6.5667850999999997</v>
      </c>
      <c r="V129" s="180">
        <f t="shared" si="109"/>
        <v>5.0438125894939484E-2</v>
      </c>
      <c r="W129" s="180">
        <v>0.80608997999999987</v>
      </c>
      <c r="X129" s="180">
        <f t="shared" si="110"/>
        <v>6.1914113641223373E-3</v>
      </c>
      <c r="Y129" s="628">
        <f t="shared" si="111"/>
        <v>210.15329738999895</v>
      </c>
      <c r="Z129" s="180">
        <f t="shared" si="112"/>
        <v>1.6141442592652262</v>
      </c>
      <c r="AA129" s="629">
        <v>428.33501888000001</v>
      </c>
      <c r="AB129" s="629">
        <f t="shared" si="113"/>
        <v>3.2899531929986141</v>
      </c>
      <c r="AC129" s="629">
        <v>46.081520170000005</v>
      </c>
      <c r="AD129" s="629">
        <f t="shared" si="114"/>
        <v>0.35394267976953492</v>
      </c>
      <c r="AE129" s="629">
        <v>2.8152853900000001</v>
      </c>
      <c r="AF129" s="629">
        <f t="shared" si="115"/>
        <v>2.162362811766199E-2</v>
      </c>
      <c r="AG129" s="629">
        <v>14.214615470000002</v>
      </c>
      <c r="AH129" s="629">
        <f t="shared" si="116"/>
        <v>0.10917953819198599</v>
      </c>
      <c r="AI129" s="180">
        <v>168.04585049999997</v>
      </c>
    </row>
    <row r="130" spans="1:35">
      <c r="A130" s="625" t="s">
        <v>22</v>
      </c>
      <c r="B130" s="180">
        <v>13406.32168666</v>
      </c>
      <c r="C130" s="180">
        <v>768.69702253000003</v>
      </c>
      <c r="D130" s="180">
        <f t="shared" si="100"/>
        <v>5.7338399040125543</v>
      </c>
      <c r="E130" s="180">
        <v>2132.5072735600002</v>
      </c>
      <c r="F130" s="180">
        <f t="shared" si="101"/>
        <v>15.906729104389298</v>
      </c>
      <c r="G130" s="180">
        <v>290.14279528999998</v>
      </c>
      <c r="H130" s="180">
        <f t="shared" si="102"/>
        <v>2.164223730202651</v>
      </c>
      <c r="I130" s="180">
        <v>609.85090147999995</v>
      </c>
      <c r="J130" s="180">
        <f t="shared" si="103"/>
        <v>4.5489800687599038</v>
      </c>
      <c r="K130" s="180">
        <v>2066.9386506000001</v>
      </c>
      <c r="L130" s="180">
        <f t="shared" si="104"/>
        <v>15.417641758191685</v>
      </c>
      <c r="M130" s="180">
        <v>1284.35502954</v>
      </c>
      <c r="N130" s="180">
        <f t="shared" si="105"/>
        <v>9.580219388723167</v>
      </c>
      <c r="O130" s="180">
        <v>448.45985101999997</v>
      </c>
      <c r="P130" s="180">
        <f t="shared" si="106"/>
        <v>3.3451371785762927</v>
      </c>
      <c r="Q130" s="180">
        <v>5088.6920606699996</v>
      </c>
      <c r="R130" s="180">
        <f t="shared" si="107"/>
        <v>37.957406808561949</v>
      </c>
      <c r="S130" s="180">
        <v>762.9</v>
      </c>
      <c r="T130" s="180">
        <f t="shared" si="108"/>
        <v>5.69059894153611</v>
      </c>
      <c r="U130" s="180">
        <v>6.3480361499999995</v>
      </c>
      <c r="V130" s="180">
        <f t="shared" si="109"/>
        <v>4.7351065403097345E-2</v>
      </c>
      <c r="W130" s="180">
        <v>0.51082572000000004</v>
      </c>
      <c r="X130" s="180">
        <f t="shared" si="110"/>
        <v>3.8103346461415936E-3</v>
      </c>
      <c r="Y130" s="628">
        <f t="shared" si="111"/>
        <v>209.62515208000028</v>
      </c>
      <c r="Z130" s="180">
        <f t="shared" si="112"/>
        <v>1.5636291369062731</v>
      </c>
      <c r="AA130" s="629">
        <v>440.63140103999996</v>
      </c>
      <c r="AB130" s="629">
        <f t="shared" si="113"/>
        <v>3.2867434583376558</v>
      </c>
      <c r="AC130" s="629">
        <v>45.913648100000003</v>
      </c>
      <c r="AD130" s="629">
        <f t="shared" si="114"/>
        <v>0.34247759507133502</v>
      </c>
      <c r="AE130" s="629">
        <v>2.9848236299999997</v>
      </c>
      <c r="AF130" s="629">
        <f t="shared" si="115"/>
        <v>2.2264299632389527E-2</v>
      </c>
      <c r="AG130" s="629">
        <v>10.66421525</v>
      </c>
      <c r="AH130" s="629">
        <f t="shared" si="116"/>
        <v>7.9546168585611809E-2</v>
      </c>
      <c r="AI130" s="180">
        <v>164.48459394999998</v>
      </c>
    </row>
    <row r="131" spans="1:35">
      <c r="A131" s="625" t="s">
        <v>23</v>
      </c>
      <c r="B131" s="180">
        <v>13774.07890362</v>
      </c>
      <c r="C131" s="180">
        <v>781.83677584999998</v>
      </c>
      <c r="D131" s="180">
        <f t="shared" si="100"/>
        <v>5.6761456161291735</v>
      </c>
      <c r="E131" s="180">
        <v>2162.5061068599998</v>
      </c>
      <c r="F131" s="180">
        <f t="shared" si="101"/>
        <v>15.699823719549524</v>
      </c>
      <c r="G131" s="180">
        <v>317.64889956000002</v>
      </c>
      <c r="H131" s="180">
        <f t="shared" si="102"/>
        <v>2.3061353269619929</v>
      </c>
      <c r="I131" s="180">
        <v>671.32877133</v>
      </c>
      <c r="J131" s="180">
        <f t="shared" si="103"/>
        <v>4.8738560017509878</v>
      </c>
      <c r="K131" s="180">
        <v>2132.24301719</v>
      </c>
      <c r="L131" s="180">
        <f t="shared" si="104"/>
        <v>15.48011327733588</v>
      </c>
      <c r="M131" s="180">
        <v>1342.11179952</v>
      </c>
      <c r="N131" s="180">
        <f t="shared" si="105"/>
        <v>9.7437499008901138</v>
      </c>
      <c r="O131" s="180">
        <v>442.89592489</v>
      </c>
      <c r="P131" s="180">
        <f t="shared" si="106"/>
        <v>3.2154304326919561</v>
      </c>
      <c r="Q131" s="180">
        <v>5199.0176160000001</v>
      </c>
      <c r="R131" s="180">
        <f t="shared" si="107"/>
        <v>37.744938535480827</v>
      </c>
      <c r="S131" s="180">
        <v>763.029</v>
      </c>
      <c r="T131" s="180">
        <f t="shared" si="108"/>
        <v>5.5396009079014821</v>
      </c>
      <c r="U131" s="180">
        <v>6.2618868200000009</v>
      </c>
      <c r="V131" s="180">
        <f t="shared" si="109"/>
        <v>4.5461383398597337E-2</v>
      </c>
      <c r="W131" s="180">
        <v>0.47869862000000007</v>
      </c>
      <c r="X131" s="180">
        <f t="shared" si="110"/>
        <v>3.4753584856711695E-3</v>
      </c>
      <c r="Y131" s="628">
        <f t="shared" si="111"/>
        <v>207.93002785000206</v>
      </c>
      <c r="Z131" s="180">
        <f t="shared" si="112"/>
        <v>1.5095748275070173</v>
      </c>
      <c r="AA131" s="629">
        <v>451.03102128</v>
      </c>
      <c r="AB131" s="629">
        <f t="shared" si="113"/>
        <v>3.2744913430215896</v>
      </c>
      <c r="AC131" s="629">
        <v>46.201820490000003</v>
      </c>
      <c r="AD131" s="629">
        <f t="shared" si="114"/>
        <v>0.33542584453946744</v>
      </c>
      <c r="AE131" s="629">
        <v>3.8415602999999998</v>
      </c>
      <c r="AF131" s="629">
        <f t="shared" si="115"/>
        <v>2.7889779976433778E-2</v>
      </c>
      <c r="AG131" s="629">
        <v>8.7449770600000001</v>
      </c>
      <c r="AH131" s="629">
        <f t="shared" si="116"/>
        <v>6.348865228078307E-2</v>
      </c>
      <c r="AI131" s="180">
        <v>197.48201545000001</v>
      </c>
    </row>
    <row r="132" spans="1:35">
      <c r="A132" s="625" t="s">
        <v>24</v>
      </c>
      <c r="B132" s="180">
        <v>14199.279780230003</v>
      </c>
      <c r="C132" s="180">
        <v>776.64498170000013</v>
      </c>
      <c r="D132" s="180">
        <f t="shared" si="100"/>
        <v>5.4696082739445808</v>
      </c>
      <c r="E132" s="180">
        <v>2166.9680132599997</v>
      </c>
      <c r="F132" s="180">
        <f t="shared" si="101"/>
        <v>15.261112160611983</v>
      </c>
      <c r="G132" s="180">
        <v>321.39758719999998</v>
      </c>
      <c r="H132" s="180">
        <f t="shared" si="102"/>
        <v>2.2634780930754639</v>
      </c>
      <c r="I132" s="180">
        <v>692.64870684000005</v>
      </c>
      <c r="J132" s="180">
        <f t="shared" si="103"/>
        <v>4.8780552081549331</v>
      </c>
      <c r="K132" s="180">
        <v>2201.7423534500003</v>
      </c>
      <c r="L132" s="180">
        <f t="shared" si="104"/>
        <v>15.506014301623516</v>
      </c>
      <c r="M132" s="180">
        <v>1371.95475347</v>
      </c>
      <c r="N132" s="180">
        <f t="shared" si="105"/>
        <v>9.6621432544783392</v>
      </c>
      <c r="O132" s="180">
        <v>488.90894050999998</v>
      </c>
      <c r="P132" s="180">
        <f t="shared" si="106"/>
        <v>3.4431953456591482</v>
      </c>
      <c r="Q132" s="180">
        <v>5427.3647796500009</v>
      </c>
      <c r="R132" s="180">
        <f t="shared" si="107"/>
        <v>38.22281737984099</v>
      </c>
      <c r="S132" s="180">
        <v>791.7</v>
      </c>
      <c r="T132" s="180">
        <f t="shared" si="108"/>
        <v>5.5756349072176388</v>
      </c>
      <c r="U132" s="180">
        <v>6.2659329899999996</v>
      </c>
      <c r="V132" s="180">
        <f t="shared" si="109"/>
        <v>4.4128526847708203E-2</v>
      </c>
      <c r="W132" s="180">
        <v>0.41931369000000002</v>
      </c>
      <c r="X132" s="180">
        <f t="shared" si="110"/>
        <v>2.9530630883393147E-3</v>
      </c>
      <c r="Y132" s="628">
        <f t="shared" si="111"/>
        <v>221.50943866000313</v>
      </c>
      <c r="Z132" s="180">
        <f t="shared" si="112"/>
        <v>1.5600047473422984</v>
      </c>
      <c r="AA132" s="629">
        <v>463.50539189</v>
      </c>
      <c r="AB132" s="629">
        <f t="shared" si="113"/>
        <v>3.2642880418156821</v>
      </c>
      <c r="AC132" s="632">
        <v>46.153006570000002</v>
      </c>
      <c r="AD132" s="629">
        <f t="shared" si="114"/>
        <v>0.32503765884140084</v>
      </c>
      <c r="AE132" s="629">
        <v>4.3907345199999996</v>
      </c>
      <c r="AF132" s="629">
        <f t="shared" si="115"/>
        <v>3.0922234000299961E-2</v>
      </c>
      <c r="AG132" s="629">
        <v>9.4058458300000005</v>
      </c>
      <c r="AH132" s="629">
        <f t="shared" si="116"/>
        <v>6.6241710675325832E-2</v>
      </c>
      <c r="AI132" s="180">
        <v>161.64778176999999</v>
      </c>
    </row>
    <row r="133" spans="1:35">
      <c r="A133" s="625" t="s">
        <v>25</v>
      </c>
      <c r="B133" s="180">
        <v>14455.06697641</v>
      </c>
      <c r="C133" s="180">
        <v>764.77188057000012</v>
      </c>
      <c r="D133" s="180">
        <f t="shared" si="100"/>
        <v>5.2906837569004166</v>
      </c>
      <c r="E133" s="180">
        <v>2206.9101145099999</v>
      </c>
      <c r="F133" s="180">
        <f t="shared" si="101"/>
        <v>15.267380760750365</v>
      </c>
      <c r="G133" s="180">
        <v>318.53611668999997</v>
      </c>
      <c r="H133" s="180">
        <f t="shared" si="102"/>
        <v>2.2036294761541826</v>
      </c>
      <c r="I133" s="180">
        <v>695.71759782000004</v>
      </c>
      <c r="J133" s="180">
        <f t="shared" si="103"/>
        <v>4.8129669613802477</v>
      </c>
      <c r="K133" s="180">
        <v>2239.4291437100001</v>
      </c>
      <c r="L133" s="180">
        <f t="shared" si="104"/>
        <v>15.492347059786335</v>
      </c>
      <c r="M133" s="180">
        <v>1413.0729526099999</v>
      </c>
      <c r="N133" s="180">
        <f t="shared" si="105"/>
        <v>9.7756236959404585</v>
      </c>
      <c r="O133" s="180">
        <v>482.49486396999998</v>
      </c>
      <c r="P133" s="180">
        <f t="shared" si="106"/>
        <v>3.3378943505236554</v>
      </c>
      <c r="Q133" s="180">
        <v>5572.5971188800004</v>
      </c>
      <c r="R133" s="180">
        <f t="shared" si="107"/>
        <v>38.551167752970088</v>
      </c>
      <c r="S133" s="180">
        <v>837.9</v>
      </c>
      <c r="T133" s="180">
        <f t="shared" si="108"/>
        <v>5.7965833113565921</v>
      </c>
      <c r="U133" s="180">
        <v>6.10353002</v>
      </c>
      <c r="V133" s="180">
        <f t="shared" si="109"/>
        <v>4.222415593065517E-2</v>
      </c>
      <c r="W133" s="180">
        <v>0.41444533</v>
      </c>
      <c r="X133" s="180">
        <f t="shared" si="110"/>
        <v>2.8671283964049115E-3</v>
      </c>
      <c r="Y133" s="628">
        <f t="shared" si="111"/>
        <v>221.13621117000073</v>
      </c>
      <c r="Z133" s="180">
        <f t="shared" si="112"/>
        <v>1.5298179630082986</v>
      </c>
      <c r="AA133" s="629">
        <v>472.98039385999999</v>
      </c>
      <c r="AB133" s="629">
        <f t="shared" si="113"/>
        <v>3.2720733472344476</v>
      </c>
      <c r="AC133" s="632">
        <v>46.097560739999999</v>
      </c>
      <c r="AD133" s="629">
        <f t="shared" si="114"/>
        <v>0.31890243618538111</v>
      </c>
      <c r="AE133" s="629">
        <v>4.8729199200000002</v>
      </c>
      <c r="AF133" s="629">
        <f t="shared" si="115"/>
        <v>3.3710808313461155E-2</v>
      </c>
      <c r="AG133" s="629">
        <v>9.9321266099999992</v>
      </c>
      <c r="AH133" s="629">
        <f t="shared" si="116"/>
        <v>6.8710346525607743E-2</v>
      </c>
      <c r="AI133" s="180">
        <v>150.02891824</v>
      </c>
    </row>
    <row r="134" spans="1:35">
      <c r="A134" s="625" t="s">
        <v>26</v>
      </c>
      <c r="B134" s="180">
        <v>14793.329728140001</v>
      </c>
      <c r="C134" s="180">
        <v>794.96214473999987</v>
      </c>
      <c r="D134" s="180">
        <f t="shared" si="100"/>
        <v>5.3737877769858393</v>
      </c>
      <c r="E134" s="180">
        <v>2197.3822061400001</v>
      </c>
      <c r="F134" s="180">
        <f t="shared" si="101"/>
        <v>14.853871619991816</v>
      </c>
      <c r="G134" s="180">
        <v>368.31887066000002</v>
      </c>
      <c r="H134" s="180">
        <f t="shared" si="102"/>
        <v>2.4897631393923483</v>
      </c>
      <c r="I134" s="180">
        <v>705.85343288000013</v>
      </c>
      <c r="J134" s="180">
        <f t="shared" si="103"/>
        <v>4.7714304071605973</v>
      </c>
      <c r="K134" s="180">
        <v>2283.8486851100001</v>
      </c>
      <c r="L134" s="180">
        <f t="shared" si="104"/>
        <v>15.438368015049669</v>
      </c>
      <c r="M134" s="180">
        <v>1467.44897638</v>
      </c>
      <c r="N134" s="180">
        <f t="shared" si="105"/>
        <v>9.919666520976719</v>
      </c>
      <c r="O134" s="180">
        <v>515.53094249000003</v>
      </c>
      <c r="P134" s="180">
        <f t="shared" si="106"/>
        <v>3.4848877971627479</v>
      </c>
      <c r="Q134" s="180">
        <v>5688.8505196999995</v>
      </c>
      <c r="R134" s="180">
        <f t="shared" si="107"/>
        <v>38.455510856887201</v>
      </c>
      <c r="S134" s="180">
        <v>848.49592342000005</v>
      </c>
      <c r="T134" s="180">
        <f t="shared" si="108"/>
        <v>5.7356655939736383</v>
      </c>
      <c r="U134" s="180">
        <v>6.0523928399999996</v>
      </c>
      <c r="V134" s="180">
        <f t="shared" si="109"/>
        <v>4.0912985455107409E-2</v>
      </c>
      <c r="W134" s="180">
        <v>0.33859154000000002</v>
      </c>
      <c r="X134" s="180">
        <f t="shared" si="110"/>
        <v>2.2888122297168045E-3</v>
      </c>
      <c r="Y134" s="628">
        <f t="shared" si="111"/>
        <v>224.61924733000046</v>
      </c>
      <c r="Z134" s="180">
        <f t="shared" si="112"/>
        <v>1.5183819427936347</v>
      </c>
      <c r="AA134" s="629">
        <v>479.60830871999997</v>
      </c>
      <c r="AB134" s="629">
        <f t="shared" si="113"/>
        <v>3.2420578567087897</v>
      </c>
      <c r="AC134" s="632">
        <v>45.66509765</v>
      </c>
      <c r="AD134" s="629">
        <f t="shared" si="114"/>
        <v>0.3086870805234298</v>
      </c>
      <c r="AE134" s="629">
        <v>4.5219986799999994</v>
      </c>
      <c r="AF134" s="629">
        <f t="shared" si="115"/>
        <v>3.0567821870408352E-2</v>
      </c>
      <c r="AG134" s="629">
        <v>10.32831328</v>
      </c>
      <c r="AH134" s="629">
        <f t="shared" si="116"/>
        <v>6.9817366811971968E-2</v>
      </c>
      <c r="AI134" s="180">
        <v>216.88082567999999</v>
      </c>
    </row>
    <row r="135" spans="1:35">
      <c r="A135" s="625" t="s">
        <v>27</v>
      </c>
      <c r="B135" s="180">
        <v>14991.39518155</v>
      </c>
      <c r="C135" s="180">
        <v>783.15707915999997</v>
      </c>
      <c r="D135" s="180">
        <f t="shared" si="100"/>
        <v>5.2240439910745335</v>
      </c>
      <c r="E135" s="180">
        <v>2226.99342957</v>
      </c>
      <c r="F135" s="180">
        <f t="shared" si="101"/>
        <v>14.855144585280321</v>
      </c>
      <c r="G135" s="180">
        <v>307.81759512999997</v>
      </c>
      <c r="H135" s="180">
        <f t="shared" si="102"/>
        <v>2.0532951830182755</v>
      </c>
      <c r="I135" s="180">
        <v>722.47953298000004</v>
      </c>
      <c r="J135" s="180">
        <f t="shared" si="103"/>
        <v>4.8192948303381389</v>
      </c>
      <c r="K135" s="180">
        <v>2302.9123314199996</v>
      </c>
      <c r="L135" s="180">
        <f t="shared" si="104"/>
        <v>15.361561105761576</v>
      </c>
      <c r="M135" s="180">
        <v>1456.38456032</v>
      </c>
      <c r="N135" s="180">
        <f t="shared" si="105"/>
        <v>9.7148033434031618</v>
      </c>
      <c r="O135" s="180">
        <v>497.00290584999999</v>
      </c>
      <c r="P135" s="180">
        <f t="shared" si="106"/>
        <v>3.3152545165486962</v>
      </c>
      <c r="Q135" s="180">
        <v>5886.71215674</v>
      </c>
      <c r="R135" s="180">
        <f t="shared" si="107"/>
        <v>39.267273562268649</v>
      </c>
      <c r="S135" s="180">
        <v>827.07896320999998</v>
      </c>
      <c r="T135" s="180">
        <f t="shared" si="108"/>
        <v>5.5170246210832401</v>
      </c>
      <c r="U135" s="180">
        <v>6.01394669</v>
      </c>
      <c r="V135" s="180">
        <f t="shared" si="109"/>
        <v>4.0115990654434885E-2</v>
      </c>
      <c r="W135" s="180">
        <v>0.33842934000000002</v>
      </c>
      <c r="X135" s="180">
        <f t="shared" si="110"/>
        <v>2.2574906197957282E-3</v>
      </c>
      <c r="Y135" s="628">
        <f t="shared" si="111"/>
        <v>259.32647688000014</v>
      </c>
      <c r="Z135" s="180">
        <f t="shared" si="112"/>
        <v>1.7298355072325406</v>
      </c>
      <c r="AA135" s="629">
        <v>480.92118159</v>
      </c>
      <c r="AB135" s="629">
        <f t="shared" si="113"/>
        <v>3.2079814838172807</v>
      </c>
      <c r="AC135" s="632">
        <v>45.742781350000001</v>
      </c>
      <c r="AD135" s="629">
        <f t="shared" si="114"/>
        <v>0.30512691311276963</v>
      </c>
      <c r="AE135" s="629">
        <v>4.1871113299999996</v>
      </c>
      <c r="AF135" s="629">
        <f t="shared" si="115"/>
        <v>2.7930097761368483E-2</v>
      </c>
      <c r="AG135" s="629">
        <v>11.405663199999999</v>
      </c>
      <c r="AH135" s="629">
        <f t="shared" si="116"/>
        <v>7.6081399108450007E-2</v>
      </c>
      <c r="AI135" s="180">
        <v>220.87113797999999</v>
      </c>
    </row>
    <row r="136" spans="1:35">
      <c r="A136" s="625" t="s">
        <v>28</v>
      </c>
      <c r="B136" s="180">
        <v>15245.292023950004</v>
      </c>
      <c r="C136" s="180">
        <v>794.97631180999997</v>
      </c>
      <c r="D136" s="180">
        <f>C136/$B136*100</f>
        <v>5.2145692621768767</v>
      </c>
      <c r="E136" s="180">
        <v>2243.8173912000002</v>
      </c>
      <c r="F136" s="180">
        <f t="shared" si="101"/>
        <v>14.718100431759618</v>
      </c>
      <c r="G136" s="180">
        <v>299.15839960000005</v>
      </c>
      <c r="H136" s="180">
        <f t="shared" si="102"/>
        <v>1.9623002244235732</v>
      </c>
      <c r="I136" s="180">
        <v>734.13349555000013</v>
      </c>
      <c r="J136" s="180">
        <f t="shared" si="103"/>
        <v>4.8154767674944718</v>
      </c>
      <c r="K136" s="180">
        <v>2360.3829304000001</v>
      </c>
      <c r="L136" s="180">
        <f t="shared" si="104"/>
        <v>15.482700670422664</v>
      </c>
      <c r="M136" s="180">
        <v>1461.20563808</v>
      </c>
      <c r="N136" s="180">
        <f t="shared" si="105"/>
        <v>9.5846352814001818</v>
      </c>
      <c r="O136" s="180">
        <v>500.85395933000001</v>
      </c>
      <c r="P136" s="180">
        <f t="shared" si="106"/>
        <v>3.2853024956371444</v>
      </c>
      <c r="Q136" s="180">
        <v>6035.1861438200012</v>
      </c>
      <c r="R136" s="180">
        <f t="shared" si="107"/>
        <v>39.587212460993612</v>
      </c>
      <c r="S136" s="180">
        <v>847.00435000000004</v>
      </c>
      <c r="T136" s="180">
        <f t="shared" si="108"/>
        <v>5.5558420833748263</v>
      </c>
      <c r="U136" s="180">
        <v>7.5997413199999997</v>
      </c>
      <c r="V136" s="180">
        <f t="shared" si="109"/>
        <v>4.9849758916136085E-2</v>
      </c>
      <c r="W136" s="180">
        <v>0.42624202999999999</v>
      </c>
      <c r="X136" s="180">
        <f t="shared" si="110"/>
        <v>2.795892852235192E-3</v>
      </c>
      <c r="Y136" s="628">
        <f t="shared" si="111"/>
        <v>254.0578780600008</v>
      </c>
      <c r="Z136" s="180">
        <f t="shared" si="112"/>
        <v>1.666467770252493</v>
      </c>
      <c r="AA136" s="629">
        <v>491.12168430000003</v>
      </c>
      <c r="AB136" s="629">
        <f t="shared" si="113"/>
        <v>3.221464590697634</v>
      </c>
      <c r="AC136" s="632">
        <v>46.424785219999997</v>
      </c>
      <c r="AD136" s="629">
        <f t="shared" si="114"/>
        <v>0.30451883208972136</v>
      </c>
      <c r="AE136" s="629">
        <v>3.7838559599999999</v>
      </c>
      <c r="AF136" s="629">
        <f t="shared" si="115"/>
        <v>2.4819832601800273E-2</v>
      </c>
      <c r="AG136" s="629">
        <v>12.16356727</v>
      </c>
      <c r="AH136" s="629">
        <f t="shared" si="116"/>
        <v>7.9785728281828339E-2</v>
      </c>
      <c r="AI136" s="180">
        <v>265.25638386000003</v>
      </c>
    </row>
    <row r="137" spans="1:35">
      <c r="A137" s="625" t="s">
        <v>29</v>
      </c>
      <c r="B137" s="180">
        <v>15422.93771756</v>
      </c>
      <c r="C137" s="180">
        <v>792.78013636999992</v>
      </c>
      <c r="D137" s="180">
        <f t="shared" si="100"/>
        <v>5.1402667305552887</v>
      </c>
      <c r="E137" s="180">
        <v>2219.8828612700004</v>
      </c>
      <c r="F137" s="180">
        <f t="shared" si="101"/>
        <v>14.393385371338962</v>
      </c>
      <c r="G137" s="180">
        <v>288.15636638000001</v>
      </c>
      <c r="H137" s="180">
        <f t="shared" si="102"/>
        <v>1.8683623811299943</v>
      </c>
      <c r="I137" s="180">
        <v>733.25136234999991</v>
      </c>
      <c r="J137" s="180">
        <f t="shared" si="103"/>
        <v>4.7542911459413233</v>
      </c>
      <c r="K137" s="180">
        <v>2362.6414395499996</v>
      </c>
      <c r="L137" s="180">
        <f t="shared" si="104"/>
        <v>15.319010442867711</v>
      </c>
      <c r="M137" s="180">
        <v>1516.4168226499999</v>
      </c>
      <c r="N137" s="180">
        <f t="shared" si="105"/>
        <v>9.8322177682366085</v>
      </c>
      <c r="O137" s="180">
        <v>506.04149092999995</v>
      </c>
      <c r="P137" s="180">
        <f t="shared" si="106"/>
        <v>3.281096637989009</v>
      </c>
      <c r="Q137" s="180">
        <v>6214.7086563899993</v>
      </c>
      <c r="R137" s="180">
        <f t="shared" si="107"/>
        <v>40.295232790275463</v>
      </c>
      <c r="S137" s="180">
        <v>890.77710999999999</v>
      </c>
      <c r="T137" s="180">
        <f t="shared" si="108"/>
        <v>5.7756643144956312</v>
      </c>
      <c r="U137" s="180">
        <v>6.1328336500000002</v>
      </c>
      <c r="V137" s="180">
        <f t="shared" si="109"/>
        <v>3.9764367608237032E-2</v>
      </c>
      <c r="W137" s="180">
        <v>1.1713285499999999</v>
      </c>
      <c r="X137" s="180">
        <f t="shared" si="110"/>
        <v>7.5947175009749759E-3</v>
      </c>
      <c r="Y137" s="628">
        <f t="shared" si="111"/>
        <v>233.6665964100014</v>
      </c>
      <c r="Z137" s="180">
        <f t="shared" si="112"/>
        <v>1.5150589381162907</v>
      </c>
      <c r="AA137" s="629">
        <v>492.45224848999999</v>
      </c>
      <c r="AB137" s="629">
        <f t="shared" si="113"/>
        <v>3.1929860413642963</v>
      </c>
      <c r="AC137" s="632">
        <v>39.79410395</v>
      </c>
      <c r="AD137" s="629">
        <f t="shared" si="114"/>
        <v>0.25801896291581256</v>
      </c>
      <c r="AE137" s="629">
        <v>3.0852378900000001</v>
      </c>
      <c r="AF137" s="629">
        <f t="shared" si="115"/>
        <v>2.0004216748455515E-2</v>
      </c>
      <c r="AG137" s="629">
        <v>12.756232730000001</v>
      </c>
      <c r="AH137" s="629">
        <f t="shared" si="116"/>
        <v>8.2709487411572788E-2</v>
      </c>
      <c r="AI137" s="180">
        <v>247.24514382999999</v>
      </c>
    </row>
    <row r="138" spans="1:35">
      <c r="A138" s="625" t="s">
        <v>1621</v>
      </c>
      <c r="B138" s="268">
        <v>18542.609915010002</v>
      </c>
      <c r="C138" s="268">
        <v>976.32447814</v>
      </c>
      <c r="D138" s="268">
        <v>5.2653023636639089</v>
      </c>
      <c r="E138" s="268">
        <v>2680.7114317600003</v>
      </c>
      <c r="F138" s="268">
        <v>14.457034063958812</v>
      </c>
      <c r="G138" s="268">
        <v>195.82566301</v>
      </c>
      <c r="H138" s="268">
        <v>1.0560846822942744</v>
      </c>
      <c r="I138" s="268">
        <v>847.28370650000011</v>
      </c>
      <c r="J138" s="268">
        <v>4.5693875370485735</v>
      </c>
      <c r="K138" s="268">
        <v>2555.06533481</v>
      </c>
      <c r="L138" s="268">
        <v>13.779426663890003</v>
      </c>
      <c r="M138" s="268">
        <v>2027.84494105</v>
      </c>
      <c r="N138" s="268">
        <v>10.936135475775101</v>
      </c>
      <c r="O138" s="268">
        <v>736.03862677000006</v>
      </c>
      <c r="P138" s="268">
        <v>3.9694445935261049</v>
      </c>
      <c r="Q138" s="268">
        <v>7731.8495643100005</v>
      </c>
      <c r="R138" s="268">
        <v>44.015279110070509</v>
      </c>
      <c r="S138" s="268">
        <v>1219.0572196200001</v>
      </c>
      <c r="T138" s="268">
        <v>6.5743561732007807</v>
      </c>
      <c r="U138" s="268">
        <v>3.8811900599999998</v>
      </c>
      <c r="V138" s="268">
        <v>2.1541294463388434E-2</v>
      </c>
      <c r="W138" s="268">
        <v>0.92742879</v>
      </c>
      <c r="X138" s="268">
        <v>5.001608696137529E-3</v>
      </c>
      <c r="Y138" s="630">
        <v>231.17891463000026</v>
      </c>
      <c r="Z138" s="268">
        <v>1.2467442053174183</v>
      </c>
      <c r="AA138" s="631">
        <v>464.15112331</v>
      </c>
      <c r="AB138" s="631">
        <v>2.5761212071982955</v>
      </c>
      <c r="AC138" s="633">
        <v>61.545874310000002</v>
      </c>
      <c r="AD138" s="631">
        <v>0.34159053821713736</v>
      </c>
      <c r="AE138" s="631">
        <v>2.1905423500000003</v>
      </c>
      <c r="AF138" s="631">
        <v>1.1813560011456559E-2</v>
      </c>
      <c r="AG138" s="631">
        <v>27.791095210000002</v>
      </c>
      <c r="AH138" s="631">
        <v>0.15424551648436249</v>
      </c>
      <c r="AI138" s="268">
        <v>274.64375505999999</v>
      </c>
    </row>
    <row r="139" spans="1:35">
      <c r="A139" s="625" t="s">
        <v>18</v>
      </c>
      <c r="B139" s="180">
        <v>15484.635822390001</v>
      </c>
      <c r="C139" s="180">
        <v>815.10982631000002</v>
      </c>
      <c r="D139" s="180">
        <f t="shared" ref="D139:D145" si="117">C139/$B139*100</f>
        <v>5.2639909369479163</v>
      </c>
      <c r="E139" s="180">
        <v>2211.3657961999997</v>
      </c>
      <c r="F139" s="180">
        <f t="shared" ref="F139:F145" si="118">E139/$B139*100</f>
        <v>14.281031995615139</v>
      </c>
      <c r="G139" s="180">
        <v>285.52514594000002</v>
      </c>
      <c r="H139" s="180">
        <f t="shared" ref="H139:H145" si="119">G139/$B139*100</f>
        <v>1.8439254833952576</v>
      </c>
      <c r="I139" s="180">
        <v>733.05040870000016</v>
      </c>
      <c r="J139" s="180">
        <f t="shared" ref="J139:J145" si="120">I139/$B139*100</f>
        <v>4.7340500423009395</v>
      </c>
      <c r="K139" s="180">
        <v>1997.3013366499999</v>
      </c>
      <c r="L139" s="180">
        <f t="shared" ref="L139:L145" si="121">K139/$B139*100</f>
        <v>12.898600648792808</v>
      </c>
      <c r="M139" s="180">
        <v>1841.3114409099999</v>
      </c>
      <c r="N139" s="180">
        <f t="shared" ref="N139:N145" si="122">M139/$B139*100</f>
        <v>11.891215667129586</v>
      </c>
      <c r="O139" s="180">
        <v>514.73581374999992</v>
      </c>
      <c r="P139" s="180">
        <f t="shared" ref="P139:P145" si="123">O139/$B139*100</f>
        <v>3.324171260170794</v>
      </c>
      <c r="Q139" s="180">
        <v>6307.2842271000009</v>
      </c>
      <c r="R139" s="180">
        <f t="shared" ref="R139:R145" si="124">Q139/$B139*100</f>
        <v>40.732531907401956</v>
      </c>
      <c r="S139" s="180">
        <v>877.97500000000002</v>
      </c>
      <c r="T139" s="180">
        <f t="shared" ref="T139:T150" si="125">S139/$B139*100</f>
        <v>5.6699751293504272</v>
      </c>
      <c r="U139" s="180">
        <v>5.8147335599999996</v>
      </c>
      <c r="V139" s="180">
        <f t="shared" ref="V139:V145" si="126">U139/$B139*100</f>
        <v>3.7551632642158682E-2</v>
      </c>
      <c r="W139" s="180">
        <v>1.1930652399999999</v>
      </c>
      <c r="X139" s="180">
        <f t="shared" ref="X139:X145" si="127">W139/$B139*100</f>
        <v>7.7048324137845587E-3</v>
      </c>
      <c r="Y139" s="628">
        <f>B139-C139-E139-G139-I139-K139-M139-W139-O139-Q139-U139-AA139-AC139-AE139-AG139</f>
        <v>222.89319672000011</v>
      </c>
      <c r="Z139" s="180">
        <f t="shared" ref="Z139:Z145" si="128">Y139/$B139*100</f>
        <v>1.4394474579615739</v>
      </c>
      <c r="AA139" s="629">
        <v>491.23061971000004</v>
      </c>
      <c r="AB139" s="629">
        <f t="shared" ref="AB139:AB145" si="129">AA139/B139*100</f>
        <v>3.1723743802854276</v>
      </c>
      <c r="AC139" s="632">
        <v>36.662709500000005</v>
      </c>
      <c r="AD139" s="629">
        <f t="shared" ref="AD139:AD145" si="130">AC139/$B139*100</f>
        <v>0.23676830324280265</v>
      </c>
      <c r="AE139" s="629">
        <v>2.7380726100000001</v>
      </c>
      <c r="AF139" s="629">
        <f t="shared" ref="AF139:AF145" si="131">AE139/$B139*100</f>
        <v>1.7682512145625572E-2</v>
      </c>
      <c r="AG139" s="629">
        <v>18.419429489999999</v>
      </c>
      <c r="AH139" s="629">
        <f t="shared" ref="AH139:AH145" si="132">AG139/$B139*100</f>
        <v>0.11895293955422855</v>
      </c>
      <c r="AI139" s="180">
        <v>305.21378427000002</v>
      </c>
    </row>
    <row r="140" spans="1:35">
      <c r="A140" s="625" t="s">
        <v>19</v>
      </c>
      <c r="B140" s="180">
        <v>15616.299975899998</v>
      </c>
      <c r="C140" s="180">
        <v>831.63941404000002</v>
      </c>
      <c r="D140" s="180">
        <f t="shared" si="117"/>
        <v>5.3254574727908368</v>
      </c>
      <c r="E140" s="180">
        <v>2240.5184552599999</v>
      </c>
      <c r="F140" s="180">
        <f t="shared" si="118"/>
        <v>14.347306716172852</v>
      </c>
      <c r="G140" s="180">
        <v>285.47473897999998</v>
      </c>
      <c r="H140" s="180">
        <f t="shared" si="119"/>
        <v>1.8280561939804023</v>
      </c>
      <c r="I140" s="180">
        <v>734.24552145000007</v>
      </c>
      <c r="J140" s="180">
        <f t="shared" si="120"/>
        <v>4.7017893008147347</v>
      </c>
      <c r="K140" s="180">
        <v>2056.6886312900001</v>
      </c>
      <c r="L140" s="180">
        <f t="shared" si="121"/>
        <v>13.17014039474142</v>
      </c>
      <c r="M140" s="180">
        <v>1801.4803269099998</v>
      </c>
      <c r="N140" s="180">
        <f t="shared" si="122"/>
        <v>11.535897297632291</v>
      </c>
      <c r="O140" s="180">
        <v>529.5908810200001</v>
      </c>
      <c r="P140" s="180">
        <f t="shared" si="123"/>
        <v>3.3912699028405977</v>
      </c>
      <c r="Q140" s="180">
        <v>6379.7593546600001</v>
      </c>
      <c r="R140" s="180">
        <f t="shared" si="124"/>
        <v>40.853206998492752</v>
      </c>
      <c r="S140" s="180">
        <v>892.35620302999996</v>
      </c>
      <c r="T140" s="180">
        <f t="shared" si="125"/>
        <v>5.7142614089581851</v>
      </c>
      <c r="U140" s="180">
        <v>6.8916508399999996</v>
      </c>
      <c r="V140" s="180">
        <f t="shared" si="126"/>
        <v>4.4131137661517807E-2</v>
      </c>
      <c r="W140" s="180">
        <v>1.19001712</v>
      </c>
      <c r="X140" s="180">
        <f t="shared" si="127"/>
        <v>7.6203525920769018E-3</v>
      </c>
      <c r="Y140" s="628">
        <f>B140-C140-E140-G140-I140-K140-M140-W140-O140-Q140-U140-AA140-AC140-AE140-AG140</f>
        <v>221.98200203999619</v>
      </c>
      <c r="Z140" s="180">
        <f t="shared" si="128"/>
        <v>1.4214762932485416</v>
      </c>
      <c r="AA140" s="629">
        <v>476.70926874000003</v>
      </c>
      <c r="AB140" s="629">
        <f t="shared" si="129"/>
        <v>3.0526390340585552</v>
      </c>
      <c r="AC140" s="632">
        <v>36.51305722</v>
      </c>
      <c r="AD140" s="629">
        <f t="shared" si="130"/>
        <v>0.2338137540668988</v>
      </c>
      <c r="AE140" s="629">
        <v>2.3936313</v>
      </c>
      <c r="AF140" s="629">
        <f t="shared" si="131"/>
        <v>1.5327774848677304E-2</v>
      </c>
      <c r="AG140" s="629">
        <v>11.223025030000001</v>
      </c>
      <c r="AH140" s="629">
        <f t="shared" si="132"/>
        <v>7.1867376057837259E-2</v>
      </c>
      <c r="AI140" s="180">
        <v>303.65052729000001</v>
      </c>
    </row>
    <row r="141" spans="1:35">
      <c r="A141" s="625" t="s">
        <v>20</v>
      </c>
      <c r="B141" s="180">
        <v>15889.520084209997</v>
      </c>
      <c r="C141" s="180">
        <v>853.67276348999997</v>
      </c>
      <c r="D141" s="180">
        <f t="shared" si="117"/>
        <v>5.3725522165916519</v>
      </c>
      <c r="E141" s="180">
        <v>2272.7847520199994</v>
      </c>
      <c r="F141" s="180">
        <f t="shared" si="118"/>
        <v>14.303671476387445</v>
      </c>
      <c r="G141" s="180">
        <v>286.90937102000004</v>
      </c>
      <c r="H141" s="180">
        <f t="shared" si="119"/>
        <v>1.8056515835560856</v>
      </c>
      <c r="I141" s="180">
        <v>741.52868523999996</v>
      </c>
      <c r="J141" s="180">
        <f t="shared" si="120"/>
        <v>4.6667783627831803</v>
      </c>
      <c r="K141" s="180">
        <v>2095.8886429400004</v>
      </c>
      <c r="L141" s="180">
        <f t="shared" si="121"/>
        <v>13.190383547346798</v>
      </c>
      <c r="M141" s="180">
        <v>1830.6190634100003</v>
      </c>
      <c r="N141" s="180">
        <f t="shared" si="122"/>
        <v>11.520921045495603</v>
      </c>
      <c r="O141" s="180">
        <v>579.24930182000003</v>
      </c>
      <c r="P141" s="180">
        <f t="shared" si="123"/>
        <v>3.6454801576771438</v>
      </c>
      <c r="Q141" s="180">
        <v>6458.5261940099999</v>
      </c>
      <c r="R141" s="180">
        <f t="shared" si="124"/>
        <v>40.646452251431278</v>
      </c>
      <c r="S141" s="180">
        <v>905.98644000000002</v>
      </c>
      <c r="T141" s="180">
        <f t="shared" si="125"/>
        <v>5.7017860526845761</v>
      </c>
      <c r="U141" s="180">
        <v>5.4934849100000003</v>
      </c>
      <c r="V141" s="180">
        <f t="shared" si="126"/>
        <v>3.4573007119699475E-2</v>
      </c>
      <c r="W141" s="180">
        <v>1.12545794</v>
      </c>
      <c r="X141" s="180">
        <f t="shared" si="127"/>
        <v>7.083020343190913E-3</v>
      </c>
      <c r="Y141" s="628">
        <f t="shared" ref="Y141:Y146" si="133">(B141-C141-E141-G141-I141-K141-M141-W141-O141-Q141-U141-AA141-AC141-AE141-AG141)</f>
        <v>226.08232766999598</v>
      </c>
      <c r="Z141" s="180">
        <f t="shared" si="128"/>
        <v>1.4228392454386483</v>
      </c>
      <c r="AA141" s="629">
        <v>482.70072324</v>
      </c>
      <c r="AB141" s="629">
        <f t="shared" si="129"/>
        <v>3.0378558992456766</v>
      </c>
      <c r="AC141" s="632">
        <v>36.602094449999996</v>
      </c>
      <c r="AD141" s="629">
        <f t="shared" si="130"/>
        <v>0.23035368126928418</v>
      </c>
      <c r="AE141" s="629">
        <v>2.3936313</v>
      </c>
      <c r="AF141" s="629">
        <f t="shared" si="131"/>
        <v>1.5064213942991518E-2</v>
      </c>
      <c r="AG141" s="629">
        <v>15.94359075</v>
      </c>
      <c r="AH141" s="629">
        <f t="shared" si="132"/>
        <v>0.10034029137131546</v>
      </c>
      <c r="AI141" s="180">
        <v>245.98465631000002</v>
      </c>
    </row>
    <row r="142" spans="1:35">
      <c r="A142" s="625" t="s">
        <v>21</v>
      </c>
      <c r="B142" s="180">
        <v>16245.38347723</v>
      </c>
      <c r="C142" s="180">
        <v>895.62655746000007</v>
      </c>
      <c r="D142" s="180">
        <f t="shared" si="117"/>
        <v>5.5131142869932015</v>
      </c>
      <c r="E142" s="180">
        <v>2322.3744470799998</v>
      </c>
      <c r="F142" s="180">
        <f t="shared" si="118"/>
        <v>14.295596347941601</v>
      </c>
      <c r="G142" s="180">
        <v>259.00114403999999</v>
      </c>
      <c r="H142" s="180">
        <f t="shared" si="119"/>
        <v>1.5943061264329248</v>
      </c>
      <c r="I142" s="180">
        <v>750.46184493999999</v>
      </c>
      <c r="J142" s="180">
        <f t="shared" si="120"/>
        <v>4.6195391200944504</v>
      </c>
      <c r="K142" s="180">
        <v>2126.9968158900001</v>
      </c>
      <c r="L142" s="180">
        <f t="shared" si="121"/>
        <v>13.092930793977628</v>
      </c>
      <c r="M142" s="180">
        <v>1907.9842716100002</v>
      </c>
      <c r="N142" s="180">
        <f t="shared" si="122"/>
        <v>11.744778289070776</v>
      </c>
      <c r="O142" s="180">
        <v>586.28539974</v>
      </c>
      <c r="P142" s="180">
        <f t="shared" si="123"/>
        <v>3.6089354280971859</v>
      </c>
      <c r="Q142" s="180">
        <v>6610.9446204400001</v>
      </c>
      <c r="R142" s="180">
        <f t="shared" si="124"/>
        <v>40.694297119585336</v>
      </c>
      <c r="S142" s="180">
        <v>964.9</v>
      </c>
      <c r="T142" s="180">
        <f t="shared" si="125"/>
        <v>5.9395335379582255</v>
      </c>
      <c r="U142" s="180">
        <v>5.3994503999999992</v>
      </c>
      <c r="V142" s="180">
        <f t="shared" si="126"/>
        <v>3.3236829451074673E-2</v>
      </c>
      <c r="W142" s="180">
        <v>1.2462017999999999</v>
      </c>
      <c r="X142" s="180">
        <f t="shared" si="127"/>
        <v>7.6711134689231098E-3</v>
      </c>
      <c r="Y142" s="628">
        <f t="shared" si="133"/>
        <v>233.13813172999969</v>
      </c>
      <c r="Z142" s="180">
        <f t="shared" si="128"/>
        <v>1.4351038992509648</v>
      </c>
      <c r="AA142" s="629">
        <v>489.91766695999996</v>
      </c>
      <c r="AB142" s="629">
        <f t="shared" si="129"/>
        <v>3.0157347017796337</v>
      </c>
      <c r="AC142" s="632">
        <v>36.694104939999995</v>
      </c>
      <c r="AD142" s="629">
        <f t="shared" si="130"/>
        <v>0.22587404594930932</v>
      </c>
      <c r="AE142" s="629">
        <v>2.74990706</v>
      </c>
      <c r="AF142" s="629">
        <f t="shared" si="131"/>
        <v>1.6927313928011299E-2</v>
      </c>
      <c r="AG142" s="629">
        <v>16.562913139999999</v>
      </c>
      <c r="AH142" s="629">
        <f t="shared" si="132"/>
        <v>0.1019545839789812</v>
      </c>
      <c r="AI142" s="180">
        <v>267.56454780000001</v>
      </c>
    </row>
    <row r="143" spans="1:35">
      <c r="A143" s="625" t="s">
        <v>22</v>
      </c>
      <c r="B143" s="180">
        <v>16595.366183030001</v>
      </c>
      <c r="C143" s="180">
        <v>904.99897122999982</v>
      </c>
      <c r="D143" s="180">
        <f t="shared" si="117"/>
        <v>5.4533233027146384</v>
      </c>
      <c r="E143" s="180">
        <v>2385.7514344700003</v>
      </c>
      <c r="F143" s="180">
        <f t="shared" si="118"/>
        <v>14.376009593024882</v>
      </c>
      <c r="G143" s="180">
        <v>296.24575742000002</v>
      </c>
      <c r="H143" s="180">
        <f t="shared" si="119"/>
        <v>1.7851113024726952</v>
      </c>
      <c r="I143" s="180">
        <v>757.7247384399999</v>
      </c>
      <c r="J143" s="180">
        <f t="shared" si="120"/>
        <v>4.5658814037790254</v>
      </c>
      <c r="K143" s="180">
        <v>2208.16883194</v>
      </c>
      <c r="L143" s="180">
        <f t="shared" si="121"/>
        <v>13.305936172701132</v>
      </c>
      <c r="M143" s="180">
        <v>1925.2843710400002</v>
      </c>
      <c r="N143" s="180">
        <f t="shared" si="122"/>
        <v>11.601337082930698</v>
      </c>
      <c r="O143" s="180">
        <v>581.96836254000004</v>
      </c>
      <c r="P143" s="180">
        <f t="shared" si="123"/>
        <v>3.506812420536439</v>
      </c>
      <c r="Q143" s="180">
        <v>6741.6080928900001</v>
      </c>
      <c r="R143" s="180">
        <f t="shared" si="124"/>
        <v>40.623436798784212</v>
      </c>
      <c r="S143" s="180">
        <v>966.85728348999999</v>
      </c>
      <c r="T143" s="180">
        <f t="shared" si="125"/>
        <v>5.8260677879990599</v>
      </c>
      <c r="U143" s="180">
        <v>5.2330883300000002</v>
      </c>
      <c r="V143" s="180">
        <f t="shared" si="126"/>
        <v>3.1533430912487025E-2</v>
      </c>
      <c r="W143" s="180">
        <v>1.35368723</v>
      </c>
      <c r="X143" s="180">
        <f t="shared" si="127"/>
        <v>8.1570193454619036E-3</v>
      </c>
      <c r="Y143" s="628">
        <f t="shared" si="133"/>
        <v>230.43928342999985</v>
      </c>
      <c r="Z143" s="180">
        <f t="shared" si="128"/>
        <v>1.3885760692984357</v>
      </c>
      <c r="AA143" s="629">
        <v>490.18038116000002</v>
      </c>
      <c r="AB143" s="629">
        <f t="shared" si="129"/>
        <v>2.9537183799008062</v>
      </c>
      <c r="AC143" s="632">
        <v>51.966357940000002</v>
      </c>
      <c r="AD143" s="629">
        <f t="shared" si="130"/>
        <v>0.31313776006424898</v>
      </c>
      <c r="AE143" s="629">
        <v>2.4020221699999995</v>
      </c>
      <c r="AF143" s="629">
        <f t="shared" si="131"/>
        <v>1.447405344062999E-2</v>
      </c>
      <c r="AG143" s="629">
        <v>12.040802800000002</v>
      </c>
      <c r="AH143" s="629">
        <f t="shared" si="132"/>
        <v>7.2555210094204611E-2</v>
      </c>
      <c r="AI143" s="180">
        <v>258.79788396000004</v>
      </c>
    </row>
    <row r="144" spans="1:35">
      <c r="A144" s="625" t="s">
        <v>23</v>
      </c>
      <c r="B144" s="180">
        <v>16754.79692809</v>
      </c>
      <c r="C144" s="180">
        <v>877.58034430999999</v>
      </c>
      <c r="D144" s="180">
        <f t="shared" si="117"/>
        <v>5.2377856208970579</v>
      </c>
      <c r="E144" s="180">
        <v>2428.9534896400005</v>
      </c>
      <c r="F144" s="180">
        <f t="shared" si="118"/>
        <v>14.497063139976202</v>
      </c>
      <c r="G144" s="180">
        <v>225.39464316999999</v>
      </c>
      <c r="H144" s="180">
        <f t="shared" si="119"/>
        <v>1.3452544016938697</v>
      </c>
      <c r="I144" s="180">
        <v>762.08303434999982</v>
      </c>
      <c r="J144" s="180">
        <f t="shared" si="120"/>
        <v>4.5484468574628982</v>
      </c>
      <c r="K144" s="180">
        <v>2283.0680627799998</v>
      </c>
      <c r="L144" s="180">
        <f t="shared" si="121"/>
        <v>13.626354724433314</v>
      </c>
      <c r="M144" s="180">
        <v>1965.7615578500004</v>
      </c>
      <c r="N144" s="180">
        <f t="shared" si="122"/>
        <v>11.73252989151025</v>
      </c>
      <c r="O144" s="180">
        <v>586.77895809999995</v>
      </c>
      <c r="P144" s="180">
        <f t="shared" si="123"/>
        <v>3.5021549984664073</v>
      </c>
      <c r="Q144" s="180">
        <v>6819.8936529100001</v>
      </c>
      <c r="R144" s="180">
        <f t="shared" si="124"/>
        <v>40.704126001528621</v>
      </c>
      <c r="S144" s="180">
        <v>956.38800000000003</v>
      </c>
      <c r="T144" s="180">
        <f t="shared" si="125"/>
        <v>5.7081443845886444</v>
      </c>
      <c r="U144" s="180">
        <v>5.0596408800000008</v>
      </c>
      <c r="V144" s="180">
        <f t="shared" si="126"/>
        <v>3.0198162960228644E-2</v>
      </c>
      <c r="W144" s="180">
        <v>1.4256672500000001</v>
      </c>
      <c r="X144" s="180">
        <f t="shared" si="127"/>
        <v>8.5090094264874041E-3</v>
      </c>
      <c r="Y144" s="628">
        <f t="shared" si="133"/>
        <v>228.98278829999995</v>
      </c>
      <c r="Z144" s="180">
        <f t="shared" si="128"/>
        <v>1.3666700305755561</v>
      </c>
      <c r="AA144" s="180">
        <v>502.67597662000003</v>
      </c>
      <c r="AB144" s="629">
        <f t="shared" si="129"/>
        <v>3.0001914005728487</v>
      </c>
      <c r="AC144" s="632">
        <v>51.829226809999994</v>
      </c>
      <c r="AD144" s="629">
        <f t="shared" si="130"/>
        <v>0.30933962991283104</v>
      </c>
      <c r="AE144" s="180">
        <v>2.87043304</v>
      </c>
      <c r="AF144" s="629">
        <f t="shared" si="131"/>
        <v>1.713200734285009E-2</v>
      </c>
      <c r="AG144" s="180">
        <v>12.439452080000002</v>
      </c>
      <c r="AH144" s="629">
        <f t="shared" si="132"/>
        <v>7.4244123240579718E-2</v>
      </c>
      <c r="AI144" s="180">
        <v>254.16555510000001</v>
      </c>
    </row>
    <row r="145" spans="1:35">
      <c r="A145" s="625" t="s">
        <v>24</v>
      </c>
      <c r="B145" s="180">
        <v>17034.049879450002</v>
      </c>
      <c r="C145" s="180">
        <v>900.08802919000004</v>
      </c>
      <c r="D145" s="180">
        <f t="shared" si="117"/>
        <v>5.2840518582481826</v>
      </c>
      <c r="E145" s="180">
        <v>2458.8127755099999</v>
      </c>
      <c r="F145" s="180">
        <f t="shared" si="118"/>
        <v>14.434692823556475</v>
      </c>
      <c r="G145" s="180">
        <f>223129.60716/1000</f>
        <v>223.12960716000001</v>
      </c>
      <c r="H145" s="180">
        <f t="shared" si="119"/>
        <v>1.3099034506713823</v>
      </c>
      <c r="I145" s="180">
        <v>761.99774221000007</v>
      </c>
      <c r="J145" s="180">
        <f t="shared" si="120"/>
        <v>4.4733797752305486</v>
      </c>
      <c r="K145" s="180">
        <f>2313929.87387/1000</f>
        <v>2313.9298738699999</v>
      </c>
      <c r="L145" s="180">
        <f t="shared" si="121"/>
        <v>13.584144054089812</v>
      </c>
      <c r="M145" s="180">
        <f>1994848.36003/1000</f>
        <v>1994.8483600300001</v>
      </c>
      <c r="N145" s="180">
        <f t="shared" si="122"/>
        <v>11.710945865179127</v>
      </c>
      <c r="O145" s="180">
        <f>578714.3735/1000</f>
        <v>578.71437349999997</v>
      </c>
      <c r="P145" s="180">
        <f t="shared" si="123"/>
        <v>3.3973974339370994</v>
      </c>
      <c r="Q145" s="180">
        <v>6986.0843993799999</v>
      </c>
      <c r="R145" s="180">
        <f t="shared" si="124"/>
        <v>41.012468842233822</v>
      </c>
      <c r="S145" s="180">
        <v>999.6</v>
      </c>
      <c r="T145" s="180">
        <f t="shared" si="125"/>
        <v>5.8682462894858869</v>
      </c>
      <c r="U145" s="180">
        <v>5.1133664300000001</v>
      </c>
      <c r="V145" s="180">
        <f t="shared" si="126"/>
        <v>3.001850098002121E-2</v>
      </c>
      <c r="W145" s="180">
        <v>0.92587111</v>
      </c>
      <c r="X145" s="180">
        <f t="shared" si="127"/>
        <v>5.4354138713482193E-3</v>
      </c>
      <c r="Y145" s="628">
        <f t="shared" si="133"/>
        <v>231.75069992000235</v>
      </c>
      <c r="Z145" s="180">
        <f t="shared" si="128"/>
        <v>1.3605143906475703</v>
      </c>
      <c r="AA145" s="180">
        <v>511.39461345000001</v>
      </c>
      <c r="AB145" s="629">
        <f t="shared" si="129"/>
        <v>3.0021904190086359</v>
      </c>
      <c r="AC145" s="632">
        <f>51313.25058/1000</f>
        <v>51.313250580000002</v>
      </c>
      <c r="AD145" s="629">
        <f t="shared" si="130"/>
        <v>0.30123928803275768</v>
      </c>
      <c r="AE145" s="180">
        <f>2614.91313/1000</f>
        <v>2.6149131299999997</v>
      </c>
      <c r="AF145" s="629">
        <f t="shared" si="131"/>
        <v>1.5351094710334561E-2</v>
      </c>
      <c r="AG145" s="180">
        <f>13332.00398/1000</f>
        <v>13.33200398</v>
      </c>
      <c r="AH145" s="629">
        <f t="shared" si="132"/>
        <v>7.826678960288723E-2</v>
      </c>
      <c r="AI145" s="180">
        <f>254653.32894/1000</f>
        <v>254.65332893999999</v>
      </c>
    </row>
    <row r="146" spans="1:35">
      <c r="A146" s="625" t="s">
        <v>25</v>
      </c>
      <c r="B146" s="180">
        <v>17308.94879876</v>
      </c>
      <c r="C146" s="180">
        <v>938.76556100999994</v>
      </c>
      <c r="D146" s="180">
        <f>C146/$B146*100</f>
        <v>5.4235850595228081</v>
      </c>
      <c r="E146" s="180">
        <v>2488.9409999999998</v>
      </c>
      <c r="F146" s="180">
        <f>E146/$B146*100</f>
        <v>14.379504087378811</v>
      </c>
      <c r="G146" s="180">
        <v>225.12130082000002</v>
      </c>
      <c r="H146" s="180">
        <f>G146/$B146*100</f>
        <v>1.3006064287169625</v>
      </c>
      <c r="I146" s="180">
        <v>786.37863798000012</v>
      </c>
      <c r="J146" s="180">
        <f>I146/$B146*100</f>
        <v>4.5431911961998273</v>
      </c>
      <c r="K146" s="180">
        <v>2364.3811294899997</v>
      </c>
      <c r="L146" s="180">
        <f>K146/$B146*100</f>
        <v>13.659877078493537</v>
      </c>
      <c r="M146" s="180">
        <v>2008.4568079000001</v>
      </c>
      <c r="N146" s="180">
        <f>M146/$B146*100</f>
        <v>11.603574724560307</v>
      </c>
      <c r="O146" s="180">
        <v>586.53495371999998</v>
      </c>
      <c r="P146" s="180">
        <f>O146/$B146*100</f>
        <v>3.3886226167704585</v>
      </c>
      <c r="Q146" s="180">
        <v>7102.8943497299997</v>
      </c>
      <c r="R146" s="180">
        <f>Q146/$B146*100</f>
        <v>41.035966033008577</v>
      </c>
      <c r="S146" s="180">
        <v>1052.65997567</v>
      </c>
      <c r="T146" s="180">
        <f t="shared" si="125"/>
        <v>6.081593907917803</v>
      </c>
      <c r="U146" s="180">
        <v>6.0558082899999999</v>
      </c>
      <c r="V146" s="180">
        <f>U146/$B146*100</f>
        <v>3.4986574634930073E-2</v>
      </c>
      <c r="W146" s="180">
        <v>0.94868229999999998</v>
      </c>
      <c r="X146" s="180">
        <f>W146/$B146*100</f>
        <v>5.4808776144046525E-3</v>
      </c>
      <c r="Y146" s="628">
        <f t="shared" si="133"/>
        <v>231.66898468000005</v>
      </c>
      <c r="Z146" s="180">
        <f>Y146/$B146*100</f>
        <v>1.338434744787024</v>
      </c>
      <c r="AA146" s="180">
        <v>500.77271932999997</v>
      </c>
      <c r="AB146" s="629">
        <f>AA146/B146*100</f>
        <v>2.8931434551697035</v>
      </c>
      <c r="AC146" s="632">
        <v>51.327101260000006</v>
      </c>
      <c r="AD146" s="629">
        <f>AC146/$B146*100</f>
        <v>0.296535057424614</v>
      </c>
      <c r="AE146" s="180">
        <v>2.8451939700000004</v>
      </c>
      <c r="AF146" s="629">
        <f>AE146/$B146*100</f>
        <v>1.6437705160950201E-2</v>
      </c>
      <c r="AG146" s="180">
        <v>13.856568279999998</v>
      </c>
      <c r="AH146" s="629">
        <f>AG146/$B146*100</f>
        <v>8.0054360557081719E-2</v>
      </c>
      <c r="AI146" s="180">
        <v>250.96828408999994</v>
      </c>
    </row>
    <row r="147" spans="1:35">
      <c r="A147" s="625" t="s">
        <v>26</v>
      </c>
      <c r="B147" s="180">
        <v>17631.590882649998</v>
      </c>
      <c r="C147" s="180">
        <v>973.18827784999996</v>
      </c>
      <c r="D147" s="180">
        <f>C147/$B147*100</f>
        <v>5.5195715708651436</v>
      </c>
      <c r="E147" s="180">
        <v>2536.2709621899999</v>
      </c>
      <c r="F147" s="180">
        <f>E147/$B147*100</f>
        <v>14.384810645111809</v>
      </c>
      <c r="G147" s="180">
        <v>221.01918049000002</v>
      </c>
      <c r="H147" s="180">
        <f>G147/$B147*100</f>
        <v>1.2535407721346881</v>
      </c>
      <c r="I147" s="180">
        <v>807.63148792000004</v>
      </c>
      <c r="J147" s="180">
        <f>I147/$B147*100</f>
        <v>4.5805933979260667</v>
      </c>
      <c r="K147" s="180">
        <v>2434.1500243500004</v>
      </c>
      <c r="L147" s="180">
        <f>K147/$B147*100</f>
        <v>13.805617658388813</v>
      </c>
      <c r="M147" s="180">
        <v>2021.0187138399999</v>
      </c>
      <c r="N147" s="180">
        <f>M147/$B147*100</f>
        <v>11.462486438638624</v>
      </c>
      <c r="O147" s="180">
        <v>582.64030193000008</v>
      </c>
      <c r="P147" s="180">
        <f>O147/$B147*100</f>
        <v>3.3045248486529664</v>
      </c>
      <c r="Q147" s="180">
        <v>7253.4306631600002</v>
      </c>
      <c r="R147" s="180">
        <f>Q147/$B147*100</f>
        <v>41.138832629661273</v>
      </c>
      <c r="S147" s="180">
        <v>999.72762999999998</v>
      </c>
      <c r="T147" s="180">
        <f t="shared" si="125"/>
        <v>5.6700931677342927</v>
      </c>
      <c r="U147" s="180">
        <v>6.6587045800000002</v>
      </c>
      <c r="V147" s="180">
        <f>U147/$B147*100</f>
        <v>3.7765761605507535E-2</v>
      </c>
      <c r="W147" s="180">
        <v>0.84865578999999991</v>
      </c>
      <c r="X147" s="180">
        <f>W147/$B147*100</f>
        <v>4.8132683865475916E-3</v>
      </c>
      <c r="Y147" s="628">
        <f>(B147-C147-E147-G147-I147-K147-M147-W147-O147-Q147-U147-AA147-AC147-AE147-AG147)</f>
        <v>228.62649264999931</v>
      </c>
      <c r="Z147" s="180">
        <f>Y147/$B147*100</f>
        <v>1.2966866924922498</v>
      </c>
      <c r="AA147" s="180">
        <v>499.71057367000003</v>
      </c>
      <c r="AB147" s="629">
        <f>AA147/B147*100</f>
        <v>2.8341774545241396</v>
      </c>
      <c r="AC147" s="632">
        <v>49.246803500000006</v>
      </c>
      <c r="AD147" s="629">
        <f>AC147/$B147*100</f>
        <v>0.2793100397336255</v>
      </c>
      <c r="AE147" s="180">
        <v>2.7120525600000001</v>
      </c>
      <c r="AF147" s="629">
        <f>AE147/$B147*100</f>
        <v>1.5381780226472581E-2</v>
      </c>
      <c r="AG147" s="180">
        <v>14.437988170000001</v>
      </c>
      <c r="AH147" s="629">
        <f>AG147/$B147*100</f>
        <v>8.1887041652080328E-2</v>
      </c>
      <c r="AI147" s="180">
        <v>222.15841217999997</v>
      </c>
    </row>
    <row r="148" spans="1:35">
      <c r="A148" s="625" t="s">
        <v>27</v>
      </c>
      <c r="B148" s="180">
        <v>17841.51790323</v>
      </c>
      <c r="C148" s="180">
        <v>943.38504892999993</v>
      </c>
      <c r="D148" s="180">
        <f>C148/$B148*100</f>
        <v>5.2875828953948529</v>
      </c>
      <c r="E148" s="180">
        <v>2540.7471608800001</v>
      </c>
      <c r="F148" s="180">
        <f>E148/$B148*100</f>
        <v>14.240644628224302</v>
      </c>
      <c r="G148" s="180">
        <v>220.61761913000001</v>
      </c>
      <c r="H148" s="180">
        <f>G148/$B148*100</f>
        <v>1.2365406369940066</v>
      </c>
      <c r="I148" s="180">
        <v>817.67782260000013</v>
      </c>
      <c r="J148" s="180">
        <f>I148/$B148*100</f>
        <v>4.5830059249161144</v>
      </c>
      <c r="K148" s="180">
        <v>2461.5514212900002</v>
      </c>
      <c r="L148" s="180">
        <f>K148/$B148*100</f>
        <v>13.796760088693826</v>
      </c>
      <c r="M148" s="180">
        <v>2078.34941669</v>
      </c>
      <c r="N148" s="180">
        <f>M148/$B148*100</f>
        <v>11.64894953424192</v>
      </c>
      <c r="O148" s="180">
        <v>569.07431792000011</v>
      </c>
      <c r="P148" s="180">
        <f>O148/$B148*100</f>
        <v>3.1896070783135317</v>
      </c>
      <c r="Q148" s="180">
        <v>7383.8061048999998</v>
      </c>
      <c r="R148" s="180">
        <f>Q148/$B148*100</f>
        <v>41.385526416243138</v>
      </c>
      <c r="S148" s="180">
        <v>1038.2306899999999</v>
      </c>
      <c r="T148" s="180">
        <f t="shared" si="125"/>
        <v>5.8191836346617132</v>
      </c>
      <c r="U148" s="180">
        <v>4.4869262299999999</v>
      </c>
      <c r="V148" s="180">
        <f>U148/$B148*100</f>
        <v>2.514879201610808E-2</v>
      </c>
      <c r="W148" s="180">
        <v>0.74765939999999997</v>
      </c>
      <c r="X148" s="180">
        <f>W148/$B148*100</f>
        <v>4.1905593686322219E-3</v>
      </c>
      <c r="Y148" s="628">
        <f>(B148-C148-E148-G148-I148-K148-M148-W148-O148-Q148-U148-AA148-AC148-AE148-AG148)</f>
        <v>250.07682169000105</v>
      </c>
      <c r="Z148" s="180">
        <f>Y148/$B148*100</f>
        <v>1.4016566474129846</v>
      </c>
      <c r="AA148" s="180">
        <v>489.23945638999999</v>
      </c>
      <c r="AB148" s="629">
        <f>AA148/B148*100</f>
        <v>2.7421403214881668</v>
      </c>
      <c r="AC148" s="632">
        <v>48.494692980000011</v>
      </c>
      <c r="AD148" s="629">
        <f>AC148/$B148*100</f>
        <v>0.2718081120845699</v>
      </c>
      <c r="AE148" s="180">
        <v>7.9030472100000004</v>
      </c>
      <c r="AF148" s="629">
        <f>AE148/$B148*100</f>
        <v>4.429582310689633E-2</v>
      </c>
      <c r="AG148" s="180">
        <v>25.360386989999999</v>
      </c>
      <c r="AH148" s="629">
        <f>AG148/$B148*100</f>
        <v>0.14214254150096048</v>
      </c>
      <c r="AI148" s="180">
        <v>233.43274164999997</v>
      </c>
    </row>
    <row r="149" spans="1:35">
      <c r="A149" s="625" t="s">
        <v>28</v>
      </c>
      <c r="B149" s="180">
        <v>18151.94684099</v>
      </c>
      <c r="C149" s="180">
        <v>981.4749022100001</v>
      </c>
      <c r="D149" s="180">
        <v>5.4069952430318535</v>
      </c>
      <c r="E149" s="180">
        <v>2592.7559999999999</v>
      </c>
      <c r="F149" s="180">
        <v>14.280186476122502</v>
      </c>
      <c r="G149" s="180">
        <v>216.35558580999998</v>
      </c>
      <c r="H149" s="180">
        <v>1.1919139456790082</v>
      </c>
      <c r="I149" s="180">
        <v>837.10729665999986</v>
      </c>
      <c r="J149" s="180">
        <v>4.6116667484375711</v>
      </c>
      <c r="K149" s="180">
        <v>2513.5982263999999</v>
      </c>
      <c r="L149" s="180">
        <f>K149/B149*100</f>
        <v>13.847540698631249</v>
      </c>
      <c r="M149" s="180">
        <v>2066.6721560299998</v>
      </c>
      <c r="N149" s="180">
        <v>11.385402205801547</v>
      </c>
      <c r="O149" s="180">
        <v>562.82478220999997</v>
      </c>
      <c r="P149" s="180">
        <v>3.1006304014677455</v>
      </c>
      <c r="Q149" s="180">
        <v>7528.1104851799992</v>
      </c>
      <c r="R149" s="180">
        <f>Q149/B149*100</f>
        <v>41.47274422476999</v>
      </c>
      <c r="S149" s="180">
        <v>1161.95321962</v>
      </c>
      <c r="T149" s="180">
        <f t="shared" si="125"/>
        <v>6.4012594891261125</v>
      </c>
      <c r="U149" s="180">
        <v>5.7653859000000001</v>
      </c>
      <c r="V149" s="180">
        <v>3.1761804673098956E-11</v>
      </c>
      <c r="W149" s="180">
        <v>1.1203859</v>
      </c>
      <c r="X149" s="180">
        <v>6.172263007458734E-3</v>
      </c>
      <c r="Y149" s="628">
        <v>252.3699697500011</v>
      </c>
      <c r="Z149" s="180">
        <v>1.390319021759745</v>
      </c>
      <c r="AA149" s="180">
        <v>491.16000564999996</v>
      </c>
      <c r="AB149" s="629">
        <v>2.7058254960337482</v>
      </c>
      <c r="AC149" s="632">
        <v>61.769817610000004</v>
      </c>
      <c r="AD149" s="629">
        <v>0.35043169675175184</v>
      </c>
      <c r="AE149" s="180">
        <v>10.804561489999999</v>
      </c>
      <c r="AF149" s="629">
        <v>5.9522879747540752E-2</v>
      </c>
      <c r="AG149" s="180">
        <v>30.681422250000001</v>
      </c>
      <c r="AH149" s="629">
        <v>0.1690255184128043</v>
      </c>
      <c r="AI149" s="180">
        <v>252.30320652</v>
      </c>
    </row>
    <row r="150" spans="1:35">
      <c r="A150" s="625" t="s">
        <v>29</v>
      </c>
      <c r="B150" s="180">
        <f>18542609.91501/1000</f>
        <v>18542.609915010002</v>
      </c>
      <c r="C150" s="180">
        <f>976324.47814/1000</f>
        <v>976.32447814</v>
      </c>
      <c r="D150" s="180">
        <f>C150/B150*100</f>
        <v>5.2653023636639089</v>
      </c>
      <c r="E150" s="180">
        <v>2680.7114317600003</v>
      </c>
      <c r="F150" s="180">
        <f>E150/B150*100</f>
        <v>14.457034063958812</v>
      </c>
      <c r="G150" s="180">
        <v>195.82566301</v>
      </c>
      <c r="H150" s="180">
        <f>G150/B150*100</f>
        <v>1.0560846822942744</v>
      </c>
      <c r="I150" s="180">
        <v>847.28370650000011</v>
      </c>
      <c r="J150" s="180">
        <f>I150/B150*100</f>
        <v>4.5693875370485735</v>
      </c>
      <c r="K150" s="180">
        <v>2555.06533481</v>
      </c>
      <c r="L150" s="180">
        <f>K150/B150*100</f>
        <v>13.779426663890003</v>
      </c>
      <c r="M150" s="180">
        <v>2027.84494105</v>
      </c>
      <c r="N150" s="180">
        <f>M150/B150*100</f>
        <v>10.936135475775101</v>
      </c>
      <c r="O150" s="180">
        <v>736.03862677000006</v>
      </c>
      <c r="P150" s="180">
        <f>O150/B150*100</f>
        <v>3.9694445935261049</v>
      </c>
      <c r="Q150" s="180">
        <v>7731.8495643100005</v>
      </c>
      <c r="R150" s="180">
        <v>44.015279110070509</v>
      </c>
      <c r="S150" s="180">
        <f>(1219057.21962/1000)</f>
        <v>1219.0572196200001</v>
      </c>
      <c r="T150" s="180">
        <f t="shared" si="125"/>
        <v>6.5743561732007807</v>
      </c>
      <c r="U150" s="180">
        <v>3.8811900599999998</v>
      </c>
      <c r="V150" s="180">
        <v>2.1541294463388434E-2</v>
      </c>
      <c r="W150" s="180">
        <v>0.92742879</v>
      </c>
      <c r="X150" s="180">
        <f>W150/$B150*100</f>
        <v>5.001608696137529E-3</v>
      </c>
      <c r="Y150" s="628">
        <f>((B150-C150-E150-G150-I150-K150-M150-W150-O150-Q150-U150-AA150-AC150-AE150-AG150))</f>
        <v>231.17891463000026</v>
      </c>
      <c r="Z150" s="180">
        <f>Y150/$B150*100</f>
        <v>1.2467442053174183</v>
      </c>
      <c r="AA150" s="180">
        <v>464.15112331</v>
      </c>
      <c r="AB150" s="629">
        <v>2.5761212071982955</v>
      </c>
      <c r="AC150" s="632">
        <v>61.545874310000002</v>
      </c>
      <c r="AD150" s="629">
        <v>0.34159053821713736</v>
      </c>
      <c r="AE150" s="180">
        <v>2.1905423500000003</v>
      </c>
      <c r="AF150" s="629">
        <f>AE150/$B150*100</f>
        <v>1.1813560011456559E-2</v>
      </c>
      <c r="AG150" s="180">
        <v>27.791095210000002</v>
      </c>
      <c r="AH150" s="629">
        <v>0.15424551648436249</v>
      </c>
      <c r="AI150" s="180">
        <f>274643.75506/1000</f>
        <v>274.64375505999999</v>
      </c>
    </row>
    <row r="151" spans="1:35">
      <c r="A151" s="625" t="s">
        <v>1816</v>
      </c>
      <c r="B151" s="268">
        <v>21730.445</v>
      </c>
      <c r="C151" s="634">
        <v>1508.4988000000001</v>
      </c>
      <c r="D151" s="268">
        <v>6.9</v>
      </c>
      <c r="E151" s="268">
        <v>3158.02423</v>
      </c>
      <c r="F151" s="268">
        <v>14.532717714708557</v>
      </c>
      <c r="G151" s="268">
        <v>316.54005999999998</v>
      </c>
      <c r="H151" s="268">
        <v>1.4566662578700069</v>
      </c>
      <c r="I151" s="268">
        <v>508.12902000000003</v>
      </c>
      <c r="J151" s="268">
        <v>2.3383277240756</v>
      </c>
      <c r="K151" s="268">
        <v>3063.1964199999998</v>
      </c>
      <c r="L151" s="268">
        <v>14.096335440898702</v>
      </c>
      <c r="M151" s="268">
        <v>1948.3333</v>
      </c>
      <c r="N151" s="268">
        <v>8.9659153321526546</v>
      </c>
      <c r="O151" s="268">
        <v>1465.58404</v>
      </c>
      <c r="P151" s="268">
        <v>6.7443811666074955</v>
      </c>
      <c r="Q151" s="268">
        <v>8383.6170999999995</v>
      </c>
      <c r="R151" s="268">
        <v>38.580052548394661</v>
      </c>
      <c r="S151" s="268">
        <v>1542.42472</v>
      </c>
      <c r="T151" s="268">
        <v>7.0979895717736108</v>
      </c>
      <c r="U151" s="268">
        <v>14.645200000000001</v>
      </c>
      <c r="V151" s="268">
        <v>6.7394846262927438E-2</v>
      </c>
      <c r="W151" s="268">
        <v>0.52739999999999998</v>
      </c>
      <c r="X151" s="268">
        <v>2.4270096631707266E-3</v>
      </c>
      <c r="Y151" s="630">
        <v>259.43742999999927</v>
      </c>
      <c r="Z151" s="268">
        <v>1.1938891725411021</v>
      </c>
      <c r="AA151" s="268">
        <v>934.58500000000004</v>
      </c>
      <c r="AB151" s="631">
        <v>4.3008093023405642</v>
      </c>
      <c r="AC151" s="633">
        <v>134.7662</v>
      </c>
      <c r="AD151" s="631">
        <v>0.6201722974379954</v>
      </c>
      <c r="AE151" s="268">
        <v>5.4794</v>
      </c>
      <c r="AF151" s="631">
        <v>2.5215314274512096E-2</v>
      </c>
      <c r="AG151" s="268">
        <v>29.081400000000002</v>
      </c>
      <c r="AH151" s="631">
        <v>0.13382790826418881</v>
      </c>
      <c r="AI151" s="268">
        <v>383.28996276000004</v>
      </c>
    </row>
    <row r="152" spans="1:35">
      <c r="A152" s="625" t="s">
        <v>18</v>
      </c>
      <c r="B152" s="180">
        <v>18579.8</v>
      </c>
      <c r="C152" s="180">
        <v>1030.893</v>
      </c>
      <c r="D152" s="180">
        <f>C152/B152*100</f>
        <v>5.5484612320907658</v>
      </c>
      <c r="E152" s="180">
        <v>2649.1439999999998</v>
      </c>
      <c r="F152" s="180">
        <f>E152/B152*100</f>
        <v>14.258194383147288</v>
      </c>
      <c r="G152" s="180">
        <v>235.685</v>
      </c>
      <c r="H152" s="180">
        <f>G152/B152*100</f>
        <v>1.2685012755788545</v>
      </c>
      <c r="I152" s="180">
        <v>842.5</v>
      </c>
      <c r="J152" s="180">
        <f>I152/B152*100</f>
        <v>4.5344944509628737</v>
      </c>
      <c r="K152" s="180">
        <v>2548.0520000000001</v>
      </c>
      <c r="L152" s="180">
        <f>K152/B152*100</f>
        <v>13.714098106545819</v>
      </c>
      <c r="M152" s="180">
        <v>2007.09</v>
      </c>
      <c r="N152" s="180">
        <f>M152/B152*100</f>
        <v>10.802538240454687</v>
      </c>
      <c r="O152" s="180">
        <v>726.45799999999997</v>
      </c>
      <c r="P152" s="180">
        <f>O152/B152*100</f>
        <v>3.9099344449348221</v>
      </c>
      <c r="Q152" s="180">
        <v>7724.09</v>
      </c>
      <c r="R152" s="180">
        <v>44.015279110070509</v>
      </c>
      <c r="S152" s="180">
        <v>1217.606</v>
      </c>
      <c r="T152" s="180">
        <f>S152/$B152*100</f>
        <v>6.5533859352630275</v>
      </c>
      <c r="U152" s="180">
        <v>4.0570000000000004</v>
      </c>
      <c r="V152" s="180">
        <v>2.15412944633884E-2</v>
      </c>
      <c r="W152" s="180">
        <v>2.8856000000000002</v>
      </c>
      <c r="X152" s="180">
        <f>W152/$B152*100</f>
        <v>1.5530845326645068E-2</v>
      </c>
      <c r="Y152" s="628">
        <f>((B152-C152-E152-G152-I152-K152-M152-W152-O152-Q152-U152-AA152-AC152-AE152-AG152))</f>
        <v>233.12989999999942</v>
      </c>
      <c r="Z152" s="180">
        <f>Y152/$B152*100</f>
        <v>1.2547492438024059</v>
      </c>
      <c r="AA152" s="180">
        <v>485.74299999999999</v>
      </c>
      <c r="AB152" s="629">
        <f>AA152/B148*100</f>
        <v>2.7225430181142931</v>
      </c>
      <c r="AC152" s="632">
        <v>59.789000000000001</v>
      </c>
      <c r="AD152" s="629">
        <f>AC152/B148*100</f>
        <v>0.33511162180419579</v>
      </c>
      <c r="AE152" s="180">
        <v>2.1905000000000001</v>
      </c>
      <c r="AF152" s="629">
        <f>AE152/B148*100</f>
        <v>1.2277542818279129E-2</v>
      </c>
      <c r="AG152" s="180">
        <v>28.093</v>
      </c>
      <c r="AH152" s="629">
        <f>AG152/B148*100</f>
        <v>0.15745857584748485</v>
      </c>
      <c r="AI152" s="180">
        <v>310.14100000000002</v>
      </c>
    </row>
    <row r="153" spans="1:35">
      <c r="A153" s="625" t="s">
        <v>19</v>
      </c>
      <c r="B153" s="180">
        <v>20697.2</v>
      </c>
      <c r="C153" s="180">
        <v>1138.2</v>
      </c>
      <c r="D153" s="180">
        <v>5.5</v>
      </c>
      <c r="E153" s="180">
        <v>2972.1709999999998</v>
      </c>
      <c r="F153" s="180">
        <f>E153/B153*100</f>
        <v>14.360256459810989</v>
      </c>
      <c r="G153" s="180">
        <v>269.39999999999998</v>
      </c>
      <c r="H153" s="180">
        <v>1.3</v>
      </c>
      <c r="I153" s="180">
        <v>936.4</v>
      </c>
      <c r="J153" s="180">
        <v>4.8</v>
      </c>
      <c r="K153" s="180">
        <v>2846.9</v>
      </c>
      <c r="L153" s="180">
        <v>14.6</v>
      </c>
      <c r="M153" s="180">
        <v>2248.1</v>
      </c>
      <c r="N153" s="180">
        <v>11.5</v>
      </c>
      <c r="O153" s="180">
        <v>831.8</v>
      </c>
      <c r="P153" s="180">
        <v>4.3</v>
      </c>
      <c r="Q153" s="180">
        <v>8416.7000000000007</v>
      </c>
      <c r="R153" s="180">
        <v>43</v>
      </c>
      <c r="S153" s="180">
        <v>1281.6690000000001</v>
      </c>
      <c r="T153" s="180">
        <f t="shared" ref="T153:T215" si="134">S153/$B153*100</f>
        <v>6.1924753106700425</v>
      </c>
      <c r="U153" s="180">
        <v>3.6</v>
      </c>
      <c r="V153" s="180">
        <v>0</v>
      </c>
      <c r="W153" s="180">
        <v>2.1</v>
      </c>
      <c r="X153" s="180">
        <f>W153/B153*100</f>
        <v>1.0146299982606343E-2</v>
      </c>
      <c r="Y153" s="628">
        <f>((B153-C153-E153-G153-I153-K153-M153-W153-O153-Q153-U153-AA153-AC153-AE153-AG153))</f>
        <v>253.27500000000202</v>
      </c>
      <c r="Z153" s="180">
        <f>Y153/B153*100</f>
        <v>1.223716251473639</v>
      </c>
      <c r="AA153" s="180">
        <v>668.5</v>
      </c>
      <c r="AB153" s="629">
        <f>AA153/B153*100</f>
        <v>3.2299054944630186</v>
      </c>
      <c r="AC153" s="632">
        <v>78.900000000000006</v>
      </c>
      <c r="AD153" s="629">
        <f>AC153/B153*100</f>
        <v>0.38121098506078116</v>
      </c>
      <c r="AE153" s="180">
        <v>1.954</v>
      </c>
      <c r="AF153" s="629">
        <f>AE153/B153*100</f>
        <v>9.4408905552441861E-3</v>
      </c>
      <c r="AG153" s="180">
        <v>29.2</v>
      </c>
      <c r="AH153" s="629">
        <f>AG153/B153*100</f>
        <v>0.14108188547243106</v>
      </c>
      <c r="AI153" s="180">
        <v>324.2</v>
      </c>
    </row>
    <row r="154" spans="1:35">
      <c r="A154" s="625" t="s">
        <v>20</v>
      </c>
      <c r="B154" s="180">
        <v>20632.326099999998</v>
      </c>
      <c r="C154" s="180">
        <v>1213.3217</v>
      </c>
      <c r="D154" s="180">
        <f>C154/B154*100</f>
        <v>5.8806830316626302</v>
      </c>
      <c r="E154" s="180">
        <v>2948.2919999999999</v>
      </c>
      <c r="F154" s="180">
        <f>E154/B154*100</f>
        <v>14.289673329659133</v>
      </c>
      <c r="G154" s="180">
        <v>267.86500000000001</v>
      </c>
      <c r="H154" s="180">
        <f>G154/B154*100</f>
        <v>1.298278239214143</v>
      </c>
      <c r="I154" s="180">
        <v>932.27599999999995</v>
      </c>
      <c r="J154" s="180">
        <f>I154/B154*100</f>
        <v>4.5185210600175614</v>
      </c>
      <c r="K154" s="180">
        <v>2812.9870000000001</v>
      </c>
      <c r="L154" s="180">
        <f>K154/B154*100</f>
        <v>13.633882027485017</v>
      </c>
      <c r="M154" s="180">
        <v>2238.002</v>
      </c>
      <c r="N154" s="180">
        <f>M154/B154*100</f>
        <v>10.847065857494371</v>
      </c>
      <c r="O154" s="180">
        <v>866.09699999999998</v>
      </c>
      <c r="P154" s="180">
        <f>O154/B154*100</f>
        <v>4.1977671145862701</v>
      </c>
      <c r="Q154" s="180">
        <v>8296.6319999999996</v>
      </c>
      <c r="R154" s="180">
        <f>Q154/B154*100</f>
        <v>40.211811115180076</v>
      </c>
      <c r="S154" s="180">
        <v>1309.92363841</v>
      </c>
      <c r="T154" s="180">
        <f t="shared" si="134"/>
        <v>6.3488897570788208</v>
      </c>
      <c r="U154" s="180">
        <v>3.2515999999999998</v>
      </c>
      <c r="V154" s="180">
        <f>U154/B154*100</f>
        <v>1.5759735398908802E-2</v>
      </c>
      <c r="W154" s="180">
        <v>1.4785900000000001</v>
      </c>
      <c r="X154" s="180">
        <f>W154/B154*100</f>
        <v>7.1663756807333525E-3</v>
      </c>
      <c r="Y154" s="628">
        <f>((B154-C154-E154-G154-I154-K154-M154-W154-O154-Q154-U154-AA154-AC154-AE154-AG154))</f>
        <v>251.76590999999567</v>
      </c>
      <c r="Z154" s="180">
        <f>Y154/B154*100</f>
        <v>1.2202497613683785</v>
      </c>
      <c r="AA154" s="180">
        <v>684.98</v>
      </c>
      <c r="AB154" s="629">
        <f>AA154/B154*100</f>
        <v>3.3199358941888772</v>
      </c>
      <c r="AC154" s="632">
        <v>77.534999999999997</v>
      </c>
      <c r="AD154" s="629">
        <f>AC154/B154*100</f>
        <v>0.37579378895140675</v>
      </c>
      <c r="AE154" s="180">
        <v>1.9473</v>
      </c>
      <c r="AF154" s="629">
        <f>AE154/B154*100</f>
        <v>9.4381020858331638E-3</v>
      </c>
      <c r="AG154" s="180">
        <v>35.895000000000003</v>
      </c>
      <c r="AH154" s="629">
        <f>AG154/B154*100</f>
        <v>0.17397456702664274</v>
      </c>
      <c r="AI154" s="180">
        <v>324.7484</v>
      </c>
    </row>
    <row r="155" spans="1:35">
      <c r="A155" s="625" t="s">
        <v>21</v>
      </c>
      <c r="B155" s="180">
        <v>20595.455099999999</v>
      </c>
      <c r="C155" s="180">
        <v>1256.6437000000001</v>
      </c>
      <c r="D155" s="180">
        <v>6.1015582996269897</v>
      </c>
      <c r="E155" s="180">
        <v>2960.788</v>
      </c>
      <c r="F155" s="180">
        <v>14.375928988332964</v>
      </c>
      <c r="G155" s="180">
        <v>268.51731999999998</v>
      </c>
      <c r="H155" s="180">
        <v>1.3037697817126654</v>
      </c>
      <c r="I155" s="180">
        <v>937.6</v>
      </c>
      <c r="J155" s="180">
        <v>4.5524607028470081</v>
      </c>
      <c r="K155" s="180">
        <v>2814.1419999999998</v>
      </c>
      <c r="L155" s="180">
        <v>13.663898109248384</v>
      </c>
      <c r="M155" s="180">
        <v>2210.9459999999999</v>
      </c>
      <c r="N155" s="180">
        <v>10.73511602081568</v>
      </c>
      <c r="O155" s="180">
        <v>871.72699999999998</v>
      </c>
      <c r="P155" s="180">
        <v>4.2326182925668876</v>
      </c>
      <c r="Q155" s="180">
        <v>8197.7289999999994</v>
      </c>
      <c r="R155" s="180">
        <v>39.803582684608898</v>
      </c>
      <c r="S155" s="180">
        <v>1337.9570000000001</v>
      </c>
      <c r="T155" s="180">
        <f t="shared" si="134"/>
        <v>6.4963701627549861</v>
      </c>
      <c r="U155" s="180">
        <v>3.0213999999999999</v>
      </c>
      <c r="V155" s="180">
        <v>1.4670226927881775E-2</v>
      </c>
      <c r="W155" s="180">
        <v>1.2611000000000001</v>
      </c>
      <c r="X155" s="180">
        <v>6.1231955976539711E-3</v>
      </c>
      <c r="Y155" s="628">
        <v>252.37037999999737</v>
      </c>
      <c r="Z155" s="180">
        <v>1.2253692806234584</v>
      </c>
      <c r="AA155" s="180">
        <v>710.28959999999995</v>
      </c>
      <c r="AB155" s="629">
        <v>3.4487686557603667</v>
      </c>
      <c r="AC155" s="632">
        <v>78.463200000000001</v>
      </c>
      <c r="AD155" s="629">
        <v>0.38097337310113633</v>
      </c>
      <c r="AE155" s="180">
        <v>2.2374999999999998</v>
      </c>
      <c r="AF155" s="629">
        <v>1.0864047379074425E-2</v>
      </c>
      <c r="AG155" s="180">
        <v>29.718900000000001</v>
      </c>
      <c r="AH155" s="629">
        <v>0.14429834085093854</v>
      </c>
      <c r="AI155" s="180">
        <v>291.18900000000002</v>
      </c>
    </row>
    <row r="156" spans="1:35" ht="14.25" customHeight="1">
      <c r="A156" s="625" t="s">
        <v>22</v>
      </c>
      <c r="B156" s="180">
        <v>20468.142632049003</v>
      </c>
      <c r="C156" s="180">
        <v>1313.1534961799998</v>
      </c>
      <c r="D156" s="180">
        <v>6.4155967631565405</v>
      </c>
      <c r="E156" s="180">
        <v>2912.2218749300005</v>
      </c>
      <c r="F156" s="180">
        <v>14.228071043290688</v>
      </c>
      <c r="G156" s="180">
        <v>276.17991833000002</v>
      </c>
      <c r="H156" s="180">
        <v>1.3493159750487458</v>
      </c>
      <c r="I156" s="180">
        <v>935.05388563999986</v>
      </c>
      <c r="J156" s="180">
        <v>4.5683377453892327</v>
      </c>
      <c r="K156" s="180">
        <v>2814.7813252300002</v>
      </c>
      <c r="L156" s="180">
        <v>13.752011483556</v>
      </c>
      <c r="M156" s="180">
        <v>2182.7752435699999</v>
      </c>
      <c r="N156" s="180">
        <v>10.664256561082452</v>
      </c>
      <c r="O156" s="180">
        <v>890.88034559999983</v>
      </c>
      <c r="P156" s="180">
        <v>4.3525216802283762</v>
      </c>
      <c r="Q156" s="180">
        <v>8043.4394210500022</v>
      </c>
      <c r="R156" s="180">
        <v>39.297358659478903</v>
      </c>
      <c r="S156" s="180">
        <v>1355.1472900000001</v>
      </c>
      <c r="T156" s="180">
        <f t="shared" si="134"/>
        <v>6.6207633704785289</v>
      </c>
      <c r="U156" s="180">
        <v>2.8281185899999999</v>
      </c>
      <c r="V156" s="180">
        <v>1.381717257320522E-2</v>
      </c>
      <c r="W156" s="180">
        <v>1.5576477899999999</v>
      </c>
      <c r="X156" s="180">
        <v>7.6101081470921353E-3</v>
      </c>
      <c r="Y156" s="628">
        <v>252.64879403899923</v>
      </c>
      <c r="Z156" s="180">
        <v>1.2343513458001898</v>
      </c>
      <c r="AA156" s="180">
        <v>732.72840119000011</v>
      </c>
      <c r="AB156" s="629">
        <v>3.5798480319493891</v>
      </c>
      <c r="AC156" s="632">
        <v>78.150069049999985</v>
      </c>
      <c r="AD156" s="629">
        <v>0.38181319358031374</v>
      </c>
      <c r="AE156" s="180">
        <v>0.78658292000000007</v>
      </c>
      <c r="AF156" s="629">
        <v>3.8429618854051231E-3</v>
      </c>
      <c r="AG156" s="180">
        <v>30.957507939999999</v>
      </c>
      <c r="AH156" s="629">
        <v>0.15124727483346123</v>
      </c>
      <c r="AI156" s="180">
        <v>298.27274945000005</v>
      </c>
    </row>
    <row r="157" spans="1:35" ht="14.25" customHeight="1">
      <c r="A157" s="625" t="s">
        <v>23</v>
      </c>
      <c r="B157" s="180">
        <v>20288.462762638999</v>
      </c>
      <c r="C157" s="180">
        <v>1338.66045882</v>
      </c>
      <c r="D157" s="180">
        <v>6.5981364605165158</v>
      </c>
      <c r="E157" s="180">
        <v>2888.8319757200002</v>
      </c>
      <c r="F157" s="180">
        <v>14.238791817385769</v>
      </c>
      <c r="G157" s="180">
        <v>280.23139501999998</v>
      </c>
      <c r="H157" s="180">
        <v>1.3812352286051128</v>
      </c>
      <c r="I157" s="180">
        <v>937.89442663</v>
      </c>
      <c r="J157" s="180">
        <v>4.6227968949777862</v>
      </c>
      <c r="K157" s="180">
        <v>2794.4671516899998</v>
      </c>
      <c r="L157" s="180">
        <v>13.773676125112758</v>
      </c>
      <c r="M157" s="180">
        <v>2172.1726600900006</v>
      </c>
      <c r="N157" s="180">
        <v>10.706442797085813</v>
      </c>
      <c r="O157" s="180">
        <v>894.92473717000007</v>
      </c>
      <c r="P157" s="180">
        <v>4.4110031777173129</v>
      </c>
      <c r="Q157" s="180">
        <v>7884.6195505300002</v>
      </c>
      <c r="R157" s="180">
        <v>38.862577430210479</v>
      </c>
      <c r="S157" s="180">
        <v>1363.3662099999999</v>
      </c>
      <c r="T157" s="180">
        <f t="shared" si="134"/>
        <v>6.7199088760466621</v>
      </c>
      <c r="U157" s="180">
        <v>12.54551142</v>
      </c>
      <c r="V157" s="180">
        <v>6.18356923674988E-2</v>
      </c>
      <c r="W157" s="180">
        <v>1.1164632400000001</v>
      </c>
      <c r="X157" s="180">
        <v>5.5029464433153409E-3</v>
      </c>
      <c r="Y157" s="628">
        <v>252.75951499899878</v>
      </c>
      <c r="Z157" s="180">
        <v>1.2458288139230187</v>
      </c>
      <c r="AA157" s="180">
        <v>724.25754331000007</v>
      </c>
      <c r="AB157" s="629">
        <v>3.5697999980743398</v>
      </c>
      <c r="AC157" s="632">
        <v>78.611222010000006</v>
      </c>
      <c r="AD157" s="629">
        <v>0.38746761117240375</v>
      </c>
      <c r="AE157" s="180">
        <v>1.0388636600000001</v>
      </c>
      <c r="AF157" s="629">
        <v>5.1204651242136353E-3</v>
      </c>
      <c r="AG157" s="180">
        <v>26.33128833</v>
      </c>
      <c r="AH157" s="629">
        <v>0.12978454128367381</v>
      </c>
      <c r="AI157" s="180">
        <v>324.08155119000003</v>
      </c>
    </row>
    <row r="158" spans="1:35" ht="14.25" customHeight="1">
      <c r="A158" s="625" t="s">
        <v>24</v>
      </c>
      <c r="B158" s="180">
        <v>20187.489584469764</v>
      </c>
      <c r="C158" s="180">
        <v>1294.8200580000005</v>
      </c>
      <c r="D158" s="180">
        <v>6.4139726367765189</v>
      </c>
      <c r="E158" s="180">
        <v>2863.0165570700005</v>
      </c>
      <c r="F158" s="180">
        <v>14.182132677222626</v>
      </c>
      <c r="G158" s="180">
        <v>279.53168287999995</v>
      </c>
      <c r="H158" s="180">
        <v>1.384677781307903</v>
      </c>
      <c r="I158" s="180">
        <v>946.74396726000009</v>
      </c>
      <c r="J158" s="180">
        <v>4.68975581782259</v>
      </c>
      <c r="K158" s="180">
        <v>2811.7365121000003</v>
      </c>
      <c r="L158" s="180">
        <v>13.928113747551201</v>
      </c>
      <c r="M158" s="180">
        <v>2177.4258837900002</v>
      </c>
      <c r="N158" s="180">
        <v>10.786016134790202</v>
      </c>
      <c r="O158" s="180">
        <v>921.72068871999988</v>
      </c>
      <c r="P158" s="180">
        <v>4.5658014329284384</v>
      </c>
      <c r="Q158" s="180">
        <v>7769.904207599765</v>
      </c>
      <c r="R158" s="180">
        <v>38.488709431098123</v>
      </c>
      <c r="S158" s="180">
        <v>1351.46503605</v>
      </c>
      <c r="T158" s="180">
        <f t="shared" si="134"/>
        <v>6.6945671000602376</v>
      </c>
      <c r="U158" s="180">
        <v>12.306257690000001</v>
      </c>
      <c r="V158" s="180">
        <v>6.0959821866445461E-2</v>
      </c>
      <c r="W158" s="180">
        <v>0.93900780000000006</v>
      </c>
      <c r="X158" s="180">
        <v>4.6514342264844001E-3</v>
      </c>
      <c r="Y158" s="628">
        <v>256.06993816999824</v>
      </c>
      <c r="Z158" s="180">
        <v>1.2684585525036893</v>
      </c>
      <c r="AA158" s="180">
        <v>738.34771580999995</v>
      </c>
      <c r="AB158" s="629">
        <v>3.657451872460709</v>
      </c>
      <c r="AC158" s="632">
        <v>87.254628580000002</v>
      </c>
      <c r="AD158" s="629">
        <v>0.43222129336539689</v>
      </c>
      <c r="AE158" s="180">
        <v>1.2923662499999999</v>
      </c>
      <c r="AF158" s="629">
        <v>6.4018175444371115E-3</v>
      </c>
      <c r="AG158" s="180">
        <v>26.380112749999999</v>
      </c>
      <c r="AH158" s="629">
        <v>0.13067554853523847</v>
      </c>
      <c r="AI158" s="180">
        <v>298.25574164999995</v>
      </c>
    </row>
    <row r="159" spans="1:35" ht="14.25" customHeight="1">
      <c r="A159" s="625" t="s">
        <v>25</v>
      </c>
      <c r="B159" s="180">
        <v>20095.838231829763</v>
      </c>
      <c r="C159" s="180">
        <v>1333.6381339100001</v>
      </c>
      <c r="D159" s="180">
        <v>6.6363896769314801</v>
      </c>
      <c r="E159" s="180">
        <v>2849.6560058600003</v>
      </c>
      <c r="F159" s="180">
        <v>14.180329145695625</v>
      </c>
      <c r="G159" s="180">
        <v>242.69786546</v>
      </c>
      <c r="H159" s="180">
        <v>1.2077021254858198</v>
      </c>
      <c r="I159" s="180">
        <v>949.0059847</v>
      </c>
      <c r="J159" s="180">
        <v>4.7224005973379652</v>
      </c>
      <c r="K159" s="180">
        <v>2744.52258222</v>
      </c>
      <c r="L159" s="180">
        <v>13.657168964830516</v>
      </c>
      <c r="M159" s="180">
        <v>2135.7989032400001</v>
      </c>
      <c r="N159" s="180">
        <v>10.628065764667195</v>
      </c>
      <c r="O159" s="180">
        <v>1006.4432903799999</v>
      </c>
      <c r="P159" s="180">
        <v>5.0082175163307996</v>
      </c>
      <c r="Q159" s="180">
        <v>7684.3381656097645</v>
      </c>
      <c r="R159" s="180">
        <v>38.238455529755186</v>
      </c>
      <c r="S159" s="180">
        <v>1359.6583800000001</v>
      </c>
      <c r="T159" s="180">
        <f t="shared" si="134"/>
        <v>6.7658704469786173</v>
      </c>
      <c r="U159" s="180">
        <v>12.05101359</v>
      </c>
      <c r="V159" s="180">
        <v>5.996770799494406E-2</v>
      </c>
      <c r="W159" s="180">
        <v>0.93454179000000004</v>
      </c>
      <c r="X159" s="180">
        <v>4.6504245268046644E-3</v>
      </c>
      <c r="Y159" s="628">
        <v>260.62104792999475</v>
      </c>
      <c r="Z159" s="180">
        <v>1.2968906542907852</v>
      </c>
      <c r="AA159" s="180">
        <v>760.06812403000004</v>
      </c>
      <c r="AB159" s="629">
        <v>3.7822165727136947</v>
      </c>
      <c r="AC159" s="632">
        <v>88.278539190000004</v>
      </c>
      <c r="AD159" s="629">
        <v>0.43928766828036953</v>
      </c>
      <c r="AE159" s="180">
        <v>1.5309030800000001</v>
      </c>
      <c r="AF159" s="629">
        <v>7.6180105668605816E-3</v>
      </c>
      <c r="AG159" s="180">
        <v>26.253130840000001</v>
      </c>
      <c r="AH159" s="629">
        <v>0.13063964059193964</v>
      </c>
      <c r="AI159" s="180">
        <v>306.42061322999996</v>
      </c>
    </row>
    <row r="160" spans="1:35" ht="14.25" customHeight="1">
      <c r="A160" s="625" t="s">
        <v>26</v>
      </c>
      <c r="B160" s="180" t="s">
        <v>1834</v>
      </c>
      <c r="C160" s="180">
        <v>1353.75081765</v>
      </c>
      <c r="D160" s="180">
        <v>7.0826903301960416</v>
      </c>
      <c r="E160" s="180">
        <v>2434.94966148</v>
      </c>
      <c r="F160" s="180">
        <v>12.739415701196876</v>
      </c>
      <c r="G160" s="180">
        <v>171.34702250000001</v>
      </c>
      <c r="H160" s="180">
        <v>0.89647066767822103</v>
      </c>
      <c r="I160" s="180">
        <v>757.54677633000006</v>
      </c>
      <c r="J160" s="180">
        <v>3.9634097778036343</v>
      </c>
      <c r="K160" s="180">
        <v>2728.4976025500005</v>
      </c>
      <c r="L160" s="180">
        <v>14.275229483584548</v>
      </c>
      <c r="M160" s="180">
        <v>1968.9254755100001</v>
      </c>
      <c r="N160" s="180">
        <v>10.301223271265826</v>
      </c>
      <c r="O160" s="180">
        <v>1014.8269032000001</v>
      </c>
      <c r="P160" s="180">
        <v>5.3094739448391968</v>
      </c>
      <c r="Q160" s="180">
        <v>7592.2001499897642</v>
      </c>
      <c r="R160" s="180">
        <v>39.721639969600382</v>
      </c>
      <c r="S160" s="180">
        <v>1357.27098</v>
      </c>
      <c r="T160" s="180">
        <v>7.1</v>
      </c>
      <c r="U160" s="180">
        <v>11.9204025</v>
      </c>
      <c r="V160" s="180">
        <v>6.2366366408077724E-2</v>
      </c>
      <c r="W160" s="180">
        <v>0.81012240000000002</v>
      </c>
      <c r="X160" s="180">
        <v>4.2384802387160428E-3</v>
      </c>
      <c r="Y160" s="628">
        <v>273.95916316000444</v>
      </c>
      <c r="Z160" s="180">
        <v>1.4333272345868511</v>
      </c>
      <c r="AA160" s="180">
        <v>690.03686635000008</v>
      </c>
      <c r="AB160" s="629">
        <v>3.6102046085999082</v>
      </c>
      <c r="AC160" s="632">
        <v>89.985687530000007</v>
      </c>
      <c r="AD160" s="629">
        <v>0.47079621346500433</v>
      </c>
      <c r="AE160" s="180">
        <v>2.0203947800000002</v>
      </c>
      <c r="AF160" s="629">
        <v>1.0570505579693941E-2</v>
      </c>
      <c r="AG160" s="180">
        <v>22.73426881</v>
      </c>
      <c r="AH160" s="629">
        <v>0.11894344495701326</v>
      </c>
      <c r="AI160" s="180">
        <v>308.09468064999999</v>
      </c>
    </row>
    <row r="161" spans="1:35" ht="14.25" customHeight="1">
      <c r="A161" s="625" t="s">
        <v>27</v>
      </c>
      <c r="B161" s="180" t="s">
        <v>1835</v>
      </c>
      <c r="C161" s="180">
        <v>1301.8673845200001</v>
      </c>
      <c r="D161" s="180">
        <v>7.0119479548822365</v>
      </c>
      <c r="E161" s="180">
        <v>2546.6813825999998</v>
      </c>
      <c r="F161" s="180">
        <v>13.71660241649168</v>
      </c>
      <c r="G161" s="180">
        <v>247.11627070999998</v>
      </c>
      <c r="H161" s="180">
        <v>1.3309853596662478</v>
      </c>
      <c r="I161" s="180">
        <v>685.46898859999988</v>
      </c>
      <c r="J161" s="180">
        <v>3.6919834768893267</v>
      </c>
      <c r="K161" s="180">
        <v>2467.9970493199999</v>
      </c>
      <c r="L161" s="180">
        <v>13.2928031444734</v>
      </c>
      <c r="M161" s="180">
        <v>1610.2726114500001</v>
      </c>
      <c r="N161" s="180">
        <v>8.6730398801893074</v>
      </c>
      <c r="O161" s="180">
        <v>1075.0305602699998</v>
      </c>
      <c r="P161" s="180">
        <v>5.7901890992533165</v>
      </c>
      <c r="Q161" s="180">
        <v>7557.0816981380995</v>
      </c>
      <c r="R161" s="180">
        <v>40.702965746142297</v>
      </c>
      <c r="S161" s="180">
        <v>1474.5229999999999</v>
      </c>
      <c r="T161" s="180">
        <v>7.9</v>
      </c>
      <c r="U161" s="180">
        <v>11.672549439999999</v>
      </c>
      <c r="V161" s="180">
        <v>6.2869160213462894E-2</v>
      </c>
      <c r="W161" s="180">
        <v>0.99635276000000006</v>
      </c>
      <c r="X161" s="180">
        <v>5.3664250144796095E-3</v>
      </c>
      <c r="Y161" s="628">
        <v>296.78359490000389</v>
      </c>
      <c r="Z161" s="180">
        <v>1.5984970097925595</v>
      </c>
      <c r="AA161" s="180">
        <v>627.15388402000008</v>
      </c>
      <c r="AB161" s="629">
        <v>3.3778942822750571</v>
      </c>
      <c r="AC161" s="632">
        <v>109.35861632000001</v>
      </c>
      <c r="AD161" s="629">
        <v>0.58901308625724691</v>
      </c>
      <c r="AE161" s="180">
        <v>2.3726751499999996</v>
      </c>
      <c r="AF161" s="629">
        <v>1.2779392788748992E-2</v>
      </c>
      <c r="AG161" s="180">
        <v>26.561775879999999</v>
      </c>
      <c r="AH161" s="629">
        <v>0.1430635656706899</v>
      </c>
      <c r="AI161" s="180">
        <v>317.59927278000004</v>
      </c>
    </row>
    <row r="162" spans="1:35">
      <c r="A162" s="625" t="s">
        <v>28</v>
      </c>
      <c r="B162" s="180">
        <v>18744.267431858105</v>
      </c>
      <c r="C162" s="180">
        <v>1229.5888907799997</v>
      </c>
      <c r="D162" s="180">
        <f>C162/$B$162*100</f>
        <v>6.5598129948261805</v>
      </c>
      <c r="E162" s="180">
        <v>2535.2013345500004</v>
      </c>
      <c r="F162" s="180">
        <f>E162/$B$162*100</f>
        <v>13.525208940633899</v>
      </c>
      <c r="G162" s="180">
        <v>254.73982409999999</v>
      </c>
      <c r="H162" s="180">
        <f>G162/$B$162*100</f>
        <v>1.3590279002690682</v>
      </c>
      <c r="I162" s="180">
        <v>621.49002730999996</v>
      </c>
      <c r="J162" s="180">
        <f>I162/$B$162*100</f>
        <v>3.3156271887889521</v>
      </c>
      <c r="K162" s="180">
        <v>2625.6152657299999</v>
      </c>
      <c r="L162" s="180">
        <f>K162/$B$162*100</f>
        <v>14.007564047381523</v>
      </c>
      <c r="M162" s="180">
        <v>1818.6654537099998</v>
      </c>
      <c r="N162" s="180">
        <f>M162/$B$162*100</f>
        <v>9.7025155041213402</v>
      </c>
      <c r="O162" s="180">
        <v>1060.3267777900001</v>
      </c>
      <c r="P162" s="180">
        <f>O162/$B$162*100</f>
        <v>5.6568056428166882</v>
      </c>
      <c r="Q162" s="180">
        <v>7530.0157831080996</v>
      </c>
      <c r="R162" s="180">
        <f>Q162/$B$162*100</f>
        <v>40.172366354045636</v>
      </c>
      <c r="S162" s="180">
        <v>1497.3124299999999</v>
      </c>
      <c r="T162" s="180">
        <f t="shared" si="134"/>
        <v>7.9881085534190568</v>
      </c>
      <c r="U162" s="180">
        <v>11.800347410000001</v>
      </c>
      <c r="V162" s="180">
        <f>U162/$B$162*100</f>
        <v>6.2954433684316247E-2</v>
      </c>
      <c r="W162" s="180">
        <v>0.65703473999999995</v>
      </c>
      <c r="X162" s="180">
        <f>W162/$B$162*100</f>
        <v>3.5052569666355247E-3</v>
      </c>
      <c r="Y162" s="628">
        <f>((B162-C162-E162-G162-I162-K162-M162-W162-O162-Q162-U162-AA162-AC162-AE162-AG162))</f>
        <v>292.18494371000634</v>
      </c>
      <c r="Z162" s="180">
        <f>Y162/$B$162*100</f>
        <v>1.5587962814348422</v>
      </c>
      <c r="AA162" s="180">
        <v>645.26360625999996</v>
      </c>
      <c r="AB162" s="180">
        <f>AA162/$B$162*100</f>
        <v>3.4424583868415044</v>
      </c>
      <c r="AC162" s="632">
        <v>96.65910796</v>
      </c>
      <c r="AD162" s="180">
        <f>AC162/$B$162*100</f>
        <v>0.5156729027228687</v>
      </c>
      <c r="AE162" s="180">
        <v>2.5893522699999996</v>
      </c>
      <c r="AF162" s="180">
        <f>AE162/$B$162*100</f>
        <v>1.3814102255066466E-2</v>
      </c>
      <c r="AG162" s="180">
        <v>19.469682429999999</v>
      </c>
      <c r="AH162" s="180">
        <f>AG162/$B$162*100</f>
        <v>0.10387006321148068</v>
      </c>
      <c r="AI162" s="180">
        <v>321.15509671000001</v>
      </c>
    </row>
    <row r="163" spans="1:35">
      <c r="A163" s="625" t="s">
        <v>29</v>
      </c>
      <c r="B163" s="180">
        <v>21730.445</v>
      </c>
      <c r="C163" s="180">
        <v>1508.4988000000001</v>
      </c>
      <c r="D163" s="180">
        <v>6.9</v>
      </c>
      <c r="E163" s="180">
        <v>3158.02423</v>
      </c>
      <c r="F163" s="180">
        <f>E163/$B$163*100</f>
        <v>14.532717714708557</v>
      </c>
      <c r="G163" s="180">
        <v>316.54005999999998</v>
      </c>
      <c r="H163" s="180">
        <f>G163/$B$163*100</f>
        <v>1.4566662578700069</v>
      </c>
      <c r="I163" s="180">
        <v>508.12902000000003</v>
      </c>
      <c r="J163" s="180">
        <f>I163/$B$163*100</f>
        <v>2.3383277240756</v>
      </c>
      <c r="K163" s="180">
        <v>3063.1964199999998</v>
      </c>
      <c r="L163" s="180">
        <f>K163/$B$163*100</f>
        <v>14.096335440898702</v>
      </c>
      <c r="M163" s="180">
        <v>1948.3333</v>
      </c>
      <c r="N163" s="180">
        <f>M163/$B$163*100</f>
        <v>8.9659153321526546</v>
      </c>
      <c r="O163" s="180">
        <v>1465.58404</v>
      </c>
      <c r="P163" s="180">
        <f>O163/$B$163*100</f>
        <v>6.7443811666074955</v>
      </c>
      <c r="Q163" s="180">
        <v>8383.6170999999995</v>
      </c>
      <c r="R163" s="180">
        <f>Q163/$B$163*100</f>
        <v>38.580052548394661</v>
      </c>
      <c r="S163" s="180">
        <v>1542.42472</v>
      </c>
      <c r="T163" s="180">
        <f t="shared" si="134"/>
        <v>7.0979895717736108</v>
      </c>
      <c r="U163" s="180">
        <v>14.645200000000001</v>
      </c>
      <c r="V163" s="180">
        <f>U163/$B$163*100</f>
        <v>6.7394846262927438E-2</v>
      </c>
      <c r="W163" s="180">
        <v>0.52739999999999998</v>
      </c>
      <c r="X163" s="180">
        <f>W163/$B$163*100</f>
        <v>2.4270096631707266E-3</v>
      </c>
      <c r="Y163" s="628">
        <f>(((B163-C163-E163-G163-I163-K163-M163-W163-O163-Q163-U163-AA163-AC163-AE163-AG163)))</f>
        <v>259.43742999999927</v>
      </c>
      <c r="Z163" s="180">
        <f>Y163/$B$163*100</f>
        <v>1.1938891725411021</v>
      </c>
      <c r="AA163" s="180">
        <v>934.58500000000004</v>
      </c>
      <c r="AB163" s="180">
        <f>AA163/$B$163*100</f>
        <v>4.3008093023405642</v>
      </c>
      <c r="AC163" s="632">
        <v>134.7662</v>
      </c>
      <c r="AD163" s="180">
        <f>AC163/$B$163*100</f>
        <v>0.6201722974379954</v>
      </c>
      <c r="AE163" s="180">
        <v>5.4794</v>
      </c>
      <c r="AF163" s="180">
        <f>AE163/$B$163*100</f>
        <v>2.5215314274512096E-2</v>
      </c>
      <c r="AG163" s="180">
        <v>29.081400000000002</v>
      </c>
      <c r="AH163" s="180">
        <f>AG163/$B$163*100</f>
        <v>0.13382790826418881</v>
      </c>
      <c r="AI163" s="180">
        <v>383.28996276000004</v>
      </c>
    </row>
    <row r="164" spans="1:35" s="1254" customFormat="1">
      <c r="A164" s="1253" t="s">
        <v>1839</v>
      </c>
      <c r="B164" s="268">
        <v>16444.561727330001</v>
      </c>
      <c r="C164" s="268">
        <v>1472.5995942200004</v>
      </c>
      <c r="D164" s="268">
        <v>8.9549336652287739</v>
      </c>
      <c r="E164" s="268">
        <v>2467.0027956899999</v>
      </c>
      <c r="F164" s="268">
        <v>15.00193703301907</v>
      </c>
      <c r="G164" s="268">
        <v>596.22871301999999</v>
      </c>
      <c r="H164" s="268">
        <v>3.6256892880829965</v>
      </c>
      <c r="I164" s="268">
        <v>441.26909290999993</v>
      </c>
      <c r="J164" s="268">
        <v>2.6833739945567157</v>
      </c>
      <c r="K164" s="268">
        <v>1908.56788125</v>
      </c>
      <c r="L164" s="268">
        <v>11.606073259332049</v>
      </c>
      <c r="M164" s="268">
        <v>1265.5546495100002</v>
      </c>
      <c r="N164" s="268">
        <v>7.6958855486352951</v>
      </c>
      <c r="O164" s="268">
        <v>1271.1043572999999</v>
      </c>
      <c r="P164" s="268">
        <v>7.7296335309897071</v>
      </c>
      <c r="Q164" s="268">
        <v>5858.7337056699998</v>
      </c>
      <c r="R164" s="268">
        <v>35.627180601189821</v>
      </c>
      <c r="S164" s="268">
        <v>1703.4574499999999</v>
      </c>
      <c r="T164" s="268">
        <v>10.35878899204071</v>
      </c>
      <c r="U164" s="268">
        <v>25.581052979999999</v>
      </c>
      <c r="V164" s="268">
        <v>0.15555934785106268</v>
      </c>
      <c r="W164" s="268">
        <v>0.86648340000000013</v>
      </c>
      <c r="X164" s="268">
        <v>5.2691182311046334E-3</v>
      </c>
      <c r="Y164" s="630">
        <f>(((B164-C164-E164-G164-I164-K164-M164-W164-O164-Q164-U164-AA164-AC164-AE164-AG164)))</f>
        <v>198.09825160999975</v>
      </c>
      <c r="Z164" s="268">
        <v>1.0669709117527593</v>
      </c>
      <c r="AA164" s="268">
        <v>837.33076181000001</v>
      </c>
      <c r="AB164" s="268">
        <v>5.0918399389045446</v>
      </c>
      <c r="AC164" s="633">
        <v>82.34059705</v>
      </c>
      <c r="AD164" s="268">
        <v>0.500716275783466</v>
      </c>
      <c r="AE164" s="268">
        <v>6.9581468499999994</v>
      </c>
      <c r="AF164" s="268">
        <v>4.2312753391511332E-2</v>
      </c>
      <c r="AG164" s="268">
        <v>12.32564406</v>
      </c>
      <c r="AH164" s="268">
        <v>7.495270633765462E-2</v>
      </c>
      <c r="AI164" s="268">
        <v>493.77563256000002</v>
      </c>
    </row>
    <row r="165" spans="1:35">
      <c r="A165" s="625" t="s">
        <v>18</v>
      </c>
      <c r="B165" s="180">
        <v>21199.450080179002</v>
      </c>
      <c r="C165" s="180">
        <v>1314.6188215699999</v>
      </c>
      <c r="D165" s="180">
        <f>C165/$B$165*100</f>
        <v>6.2011930337718439</v>
      </c>
      <c r="E165" s="180">
        <v>2912.9847189299999</v>
      </c>
      <c r="F165" s="180">
        <f>E165/$B$165*100</f>
        <v>13.740850389574838</v>
      </c>
      <c r="G165" s="180">
        <v>310.33868285</v>
      </c>
      <c r="H165" s="180">
        <f>G165/$B$165*100</f>
        <v>1.4638996845496455</v>
      </c>
      <c r="I165" s="180">
        <v>441.14897502999997</v>
      </c>
      <c r="J165" s="180">
        <f>I165/$B$165*100</f>
        <v>2.080945370571023</v>
      </c>
      <c r="K165" s="180">
        <v>3083.48934629</v>
      </c>
      <c r="L165" s="180">
        <f>K165/$B$165*100</f>
        <v>14.545138362683247</v>
      </c>
      <c r="M165" s="180">
        <v>1881.55497216</v>
      </c>
      <c r="N165" s="180">
        <f>M165/$B$165*100</f>
        <v>8.8754895294157219</v>
      </c>
      <c r="O165" s="180">
        <v>1501.8844209099998</v>
      </c>
      <c r="P165" s="180">
        <f>O165/$B$165*100</f>
        <v>7.0845442463350841</v>
      </c>
      <c r="Q165" s="180">
        <v>8066.4661161189997</v>
      </c>
      <c r="R165" s="180">
        <f>Q165/$B$165*100</f>
        <v>38.050355483800779</v>
      </c>
      <c r="S165" s="180">
        <v>1513.3164099999999</v>
      </c>
      <c r="T165" s="180">
        <f t="shared" si="134"/>
        <v>7.1384701219911166</v>
      </c>
      <c r="U165" s="180">
        <v>14.650855089999999</v>
      </c>
      <c r="V165" s="180">
        <f>U165/$B$165*100</f>
        <v>6.9109599704655592E-2</v>
      </c>
      <c r="W165" s="180">
        <v>1.37271337</v>
      </c>
      <c r="X165" s="180">
        <f>W165/$B$165*100</f>
        <v>6.4752310310325235E-3</v>
      </c>
      <c r="Y165" s="628">
        <f>(((B165-C165-E165-G165-I165-K165-M165-W165-O165-Q165-U165-AA165-AC165-AE165-AG165)))</f>
        <v>260.00674953000578</v>
      </c>
      <c r="Z165" s="180">
        <f>Y165/$B$165*100</f>
        <v>1.2264787461308069</v>
      </c>
      <c r="AA165" s="180">
        <v>1246.7152673000001</v>
      </c>
      <c r="AB165" s="180">
        <f>AA165/$B$165*100</f>
        <v>5.8808849408110362</v>
      </c>
      <c r="AC165" s="632">
        <v>137.41037517000001</v>
      </c>
      <c r="AD165" s="180">
        <f>AC165/$B$165*100</f>
        <v>0.64817896054046964</v>
      </c>
      <c r="AE165" s="180">
        <v>3.6036627999999999</v>
      </c>
      <c r="AF165" s="180">
        <f>AE165/$B$165*100</f>
        <v>1.6998850377582867E-2</v>
      </c>
      <c r="AG165" s="180">
        <v>23.204403060000001</v>
      </c>
      <c r="AH165" s="180">
        <f>AG165/$B$165*100</f>
        <v>0.10945757070224942</v>
      </c>
      <c r="AI165" s="180">
        <v>397.69746199999997</v>
      </c>
    </row>
    <row r="166" spans="1:35">
      <c r="A166" s="625" t="s">
        <v>19</v>
      </c>
      <c r="B166" s="180">
        <v>20327.413122969003</v>
      </c>
      <c r="C166" s="180">
        <v>1329.4548797100003</v>
      </c>
      <c r="D166" s="180">
        <v>6.5402069199242092</v>
      </c>
      <c r="E166" s="180">
        <v>2857.1265031700004</v>
      </c>
      <c r="F166" s="180">
        <v>14.055534198503519</v>
      </c>
      <c r="G166" s="180">
        <v>299.16341899999998</v>
      </c>
      <c r="H166" s="180">
        <v>1.471724007330572</v>
      </c>
      <c r="I166" s="180">
        <v>438.54389478999997</v>
      </c>
      <c r="J166" s="180">
        <v>2.1574013974973845</v>
      </c>
      <c r="K166" s="180">
        <v>3056.4085922900003</v>
      </c>
      <c r="L166" s="180">
        <v>15.035895486555567</v>
      </c>
      <c r="M166" s="180">
        <v>1723.1210283900004</v>
      </c>
      <c r="N166" s="180">
        <v>8.4768338104121881</v>
      </c>
      <c r="O166" s="180">
        <v>1537.43920742</v>
      </c>
      <c r="P166" s="180">
        <v>7.5633785672549125</v>
      </c>
      <c r="Q166" s="180">
        <v>7739.6794244490002</v>
      </c>
      <c r="R166" s="180">
        <v>38.075083030134969</v>
      </c>
      <c r="S166" s="180">
        <v>1532.24368</v>
      </c>
      <c r="T166" s="180">
        <f t="shared" si="134"/>
        <v>7.5378193512908833</v>
      </c>
      <c r="U166" s="180">
        <v>14.387640749999999</v>
      </c>
      <c r="V166" s="180">
        <v>7.0779496943182876E-2</v>
      </c>
      <c r="W166" s="180">
        <v>0.72260815999999994</v>
      </c>
      <c r="X166" s="180">
        <v>3.5548456442964071E-3</v>
      </c>
      <c r="Y166" s="628">
        <v>248.82790741000201</v>
      </c>
      <c r="Z166" s="180">
        <v>1.3402043535521002</v>
      </c>
      <c r="AA166" s="180">
        <v>915.02765162999992</v>
      </c>
      <c r="AB166" s="180">
        <v>4.501446623309203</v>
      </c>
      <c r="AC166" s="632">
        <v>134.63811995</v>
      </c>
      <c r="AD166" s="180">
        <v>0.66234753598757423</v>
      </c>
      <c r="AE166" s="180">
        <v>5.0227493499999998</v>
      </c>
      <c r="AF166" s="180">
        <v>2.4709240273788374E-2</v>
      </c>
      <c r="AG166" s="180">
        <v>27.849496500000001</v>
      </c>
      <c r="AH166" s="180">
        <v>0.13700462686288106</v>
      </c>
      <c r="AI166" s="180">
        <v>384.06938136999997</v>
      </c>
    </row>
    <row r="167" spans="1:35">
      <c r="A167" s="625" t="s">
        <v>20</v>
      </c>
      <c r="B167" s="180">
        <v>19686.956662108998</v>
      </c>
      <c r="C167" s="180">
        <v>1326.5289649900001</v>
      </c>
      <c r="D167" s="180">
        <v>6.7381108606955884</v>
      </c>
      <c r="E167" s="180">
        <v>2800.5113016000005</v>
      </c>
      <c r="F167" s="180">
        <v>14.225211898749571</v>
      </c>
      <c r="G167" s="180">
        <v>298.16427358000004</v>
      </c>
      <c r="H167" s="180">
        <v>1.5145269972268975</v>
      </c>
      <c r="I167" s="180">
        <v>432.88660826999995</v>
      </c>
      <c r="J167" s="180">
        <v>2.1988498054814443</v>
      </c>
      <c r="K167" s="180">
        <v>3054.8403476100002</v>
      </c>
      <c r="L167" s="180">
        <v>15.517077626780051</v>
      </c>
      <c r="M167" s="180">
        <v>1369.0885389099999</v>
      </c>
      <c r="N167" s="180">
        <v>6.9542924404616127</v>
      </c>
      <c r="O167" s="180">
        <v>1513.3677482200003</v>
      </c>
      <c r="P167" s="180">
        <v>7.6871594436571407</v>
      </c>
      <c r="Q167" s="180">
        <v>7583.2076768689994</v>
      </c>
      <c r="R167" s="180">
        <v>38.518943313692624</v>
      </c>
      <c r="S167" s="180">
        <v>1534.1</v>
      </c>
      <c r="T167" s="180">
        <f t="shared" si="134"/>
        <v>7.7924690257110409</v>
      </c>
      <c r="U167" s="180">
        <v>11.34367743</v>
      </c>
      <c r="V167" s="180">
        <v>5.7620269220345757E-2</v>
      </c>
      <c r="W167" s="180">
        <v>0.44926474000000005</v>
      </c>
      <c r="X167" s="180">
        <v>2.2820426118206928E-3</v>
      </c>
      <c r="Y167" s="628">
        <v>279.78869797999647</v>
      </c>
      <c r="Z167" s="180">
        <v>1.5069613172030891</v>
      </c>
      <c r="AA167" s="180">
        <v>897.11459667999998</v>
      </c>
      <c r="AB167" s="180">
        <v>4.5568983163693062</v>
      </c>
      <c r="AC167" s="632">
        <v>86.161606820000003</v>
      </c>
      <c r="AD167" s="180">
        <v>0.43765833540860649</v>
      </c>
      <c r="AE167" s="180">
        <v>6.1623595199999999</v>
      </c>
      <c r="AF167" s="180">
        <v>3.1301737621338609E-2</v>
      </c>
      <c r="AG167" s="180">
        <v>27.340998890000002</v>
      </c>
      <c r="AH167" s="180">
        <v>0.1388787477884916</v>
      </c>
      <c r="AI167" s="180">
        <v>363.67032284999999</v>
      </c>
    </row>
    <row r="168" spans="1:35">
      <c r="A168" s="625" t="s">
        <v>21</v>
      </c>
      <c r="B168" s="180">
        <v>18758.68189168</v>
      </c>
      <c r="C168" s="180">
        <v>1381.301174834</v>
      </c>
      <c r="D168" s="180">
        <v>7.3635300327079252</v>
      </c>
      <c r="E168" s="180">
        <v>2676.6403743599999</v>
      </c>
      <c r="F168" s="180">
        <v>14.268808383318046</v>
      </c>
      <c r="G168" s="180">
        <v>296.25036904000001</v>
      </c>
      <c r="H168" s="180">
        <v>1.5792707118264815</v>
      </c>
      <c r="I168" s="180">
        <v>432.00326386</v>
      </c>
      <c r="J168" s="180">
        <v>2.3029510620978413</v>
      </c>
      <c r="K168" s="180">
        <v>2846.53541326</v>
      </c>
      <c r="L168" s="180">
        <v>15.174495893139047</v>
      </c>
      <c r="M168" s="180">
        <v>1208.8120084499999</v>
      </c>
      <c r="N168" s="180">
        <v>6.4440135795796065</v>
      </c>
      <c r="O168" s="180">
        <v>1512.2607060900002</v>
      </c>
      <c r="P168" s="180">
        <v>8.0616576091134107</v>
      </c>
      <c r="Q168" s="180">
        <v>7185.4199944759985</v>
      </c>
      <c r="R168" s="180">
        <v>38.304503674444909</v>
      </c>
      <c r="S168" s="180">
        <v>1570.3</v>
      </c>
      <c r="T168" s="180">
        <f t="shared" si="134"/>
        <v>8.3710572473456786</v>
      </c>
      <c r="U168" s="180">
        <v>10.92994515</v>
      </c>
      <c r="V168" s="180">
        <v>5.8266061619434657E-2</v>
      </c>
      <c r="W168" s="180">
        <v>0.43692742000000001</v>
      </c>
      <c r="X168" s="180">
        <v>2.3292010735241988E-3</v>
      </c>
      <c r="Y168" s="628">
        <v>283.51240658999865</v>
      </c>
      <c r="Z168" s="180">
        <v>1.5270174698365688</v>
      </c>
      <c r="AA168" s="180">
        <v>799.01221382000006</v>
      </c>
      <c r="AB168" s="180">
        <v>4.2594262135997107</v>
      </c>
      <c r="AC168" s="632">
        <v>90.242772169999995</v>
      </c>
      <c r="AD168" s="180">
        <v>0.48107203209211186</v>
      </c>
      <c r="AE168" s="180">
        <v>9.30940631</v>
      </c>
      <c r="AF168" s="180">
        <v>4.9627187900280895E-2</v>
      </c>
      <c r="AG168" s="180">
        <v>26.014915849999998</v>
      </c>
      <c r="AH168" s="180">
        <v>0.13868200335300926</v>
      </c>
      <c r="AI168" s="180">
        <v>425.14762057000002</v>
      </c>
    </row>
    <row r="169" spans="1:35">
      <c r="A169" s="625" t="s">
        <v>22</v>
      </c>
      <c r="B169" s="180">
        <v>18197.110367269997</v>
      </c>
      <c r="C169" s="180">
        <v>1514.1593900339999</v>
      </c>
      <c r="D169" s="180">
        <v>8.3208782024943009</v>
      </c>
      <c r="E169" s="180">
        <v>2620.3571317400001</v>
      </c>
      <c r="F169" s="180">
        <v>14.399852937382148</v>
      </c>
      <c r="G169" s="180">
        <v>288.29691554999999</v>
      </c>
      <c r="H169" s="180">
        <v>1.5843005275636597</v>
      </c>
      <c r="I169" s="180">
        <v>427.38138985999996</v>
      </c>
      <c r="J169" s="180">
        <v>2.3486222880128489</v>
      </c>
      <c r="K169" s="180">
        <v>2776.5025821700001</v>
      </c>
      <c r="L169" s="180">
        <v>15.257931210682338</v>
      </c>
      <c r="M169" s="180">
        <v>1212.4725716400001</v>
      </c>
      <c r="N169" s="180">
        <v>6.6629950974018302</v>
      </c>
      <c r="O169" s="180">
        <v>1243.9262313699999</v>
      </c>
      <c r="P169" s="180">
        <v>6.83584484714327</v>
      </c>
      <c r="Q169" s="180">
        <v>6932.6727854159999</v>
      </c>
      <c r="R169" s="180">
        <v>38.097657515367736</v>
      </c>
      <c r="S169" s="180">
        <v>1573.5</v>
      </c>
      <c r="T169" s="180">
        <f t="shared" si="134"/>
        <v>8.6469772850867344</v>
      </c>
      <c r="U169" s="180">
        <v>12.541814710000001</v>
      </c>
      <c r="V169" s="180">
        <v>6.8922012654043005E-2</v>
      </c>
      <c r="W169" s="180">
        <v>0.82492617000000013</v>
      </c>
      <c r="X169" s="180">
        <v>4.5332811273362562E-3</v>
      </c>
      <c r="Y169" s="628">
        <v>269.82203649999525</v>
      </c>
      <c r="Z169" s="180">
        <v>1.4532801877634229</v>
      </c>
      <c r="AA169" s="180">
        <v>781.70088365000004</v>
      </c>
      <c r="AB169" s="180">
        <v>4.2957418396274409</v>
      </c>
      <c r="AC169" s="632">
        <v>82.826630859999995</v>
      </c>
      <c r="AD169" s="180">
        <v>0.45516364515200758</v>
      </c>
      <c r="AE169" s="180">
        <v>6.4989700699999995</v>
      </c>
      <c r="AF169" s="180">
        <v>3.5714297153955223E-2</v>
      </c>
      <c r="AG169" s="180">
        <v>27.126107529999999</v>
      </c>
      <c r="AH169" s="180">
        <v>0.14906821458197028</v>
      </c>
      <c r="AI169" s="180">
        <v>418.63323157999997</v>
      </c>
    </row>
    <row r="170" spans="1:35">
      <c r="A170" s="625" t="s">
        <v>23</v>
      </c>
      <c r="B170" s="180">
        <v>18434.217382689993</v>
      </c>
      <c r="C170" s="180">
        <v>1539.7624078840001</v>
      </c>
      <c r="D170" s="180">
        <v>8.3527408618380523</v>
      </c>
      <c r="E170" s="180">
        <v>2681.4022174800002</v>
      </c>
      <c r="F170" s="180">
        <v>14.54578820361464</v>
      </c>
      <c r="G170" s="180">
        <v>388.92222698</v>
      </c>
      <c r="H170" s="180">
        <v>2.1097843152549771</v>
      </c>
      <c r="I170" s="180">
        <v>424.80752186000007</v>
      </c>
      <c r="J170" s="180">
        <v>2.3044510816005714</v>
      </c>
      <c r="K170" s="180">
        <v>2621.6343526000001</v>
      </c>
      <c r="L170" s="180">
        <v>14.221565788096619</v>
      </c>
      <c r="M170" s="180">
        <v>1326.6429550099999</v>
      </c>
      <c r="N170" s="180">
        <v>7.1966329107941274</v>
      </c>
      <c r="O170" s="180">
        <v>1273.6551353200002</v>
      </c>
      <c r="P170" s="180">
        <v>6.9091901699932308</v>
      </c>
      <c r="Q170" s="180">
        <v>6911.8634902159993</v>
      </c>
      <c r="R170" s="180">
        <v>37.494748742120962</v>
      </c>
      <c r="S170" s="180">
        <v>1588.4</v>
      </c>
      <c r="T170" s="180">
        <f t="shared" si="134"/>
        <v>8.6165849464894091</v>
      </c>
      <c r="U170" s="180">
        <v>17.42135008</v>
      </c>
      <c r="V170" s="180">
        <v>9.4505504184619796E-2</v>
      </c>
      <c r="W170" s="180">
        <v>0.86251486999999993</v>
      </c>
      <c r="X170" s="180">
        <v>4.6788797815193088E-3</v>
      </c>
      <c r="Y170" s="628">
        <v>294.44803792999073</v>
      </c>
      <c r="Z170" s="180">
        <v>1.5859175380935793</v>
      </c>
      <c r="AA170" s="180">
        <v>833.58463786000004</v>
      </c>
      <c r="AB170" s="180">
        <v>4.5219421066540564</v>
      </c>
      <c r="AC170" s="632">
        <v>83.350034370000003</v>
      </c>
      <c r="AD170" s="180">
        <v>0.45214848365771654</v>
      </c>
      <c r="AE170" s="180">
        <v>9.6992505399999995</v>
      </c>
      <c r="AF170" s="180">
        <v>5.2615472296142836E-2</v>
      </c>
      <c r="AG170" s="180">
        <v>26.161249689999998</v>
      </c>
      <c r="AH170" s="180">
        <v>0.14191679064480278</v>
      </c>
      <c r="AI170" s="180">
        <v>400.25701327999997</v>
      </c>
    </row>
    <row r="171" spans="1:35">
      <c r="A171" s="625" t="s">
        <v>24</v>
      </c>
      <c r="B171" s="180">
        <v>16713.351003940003</v>
      </c>
      <c r="C171" s="180">
        <v>1504.4260400999999</v>
      </c>
      <c r="D171" s="180">
        <v>9.0013429368254556</v>
      </c>
      <c r="E171" s="180">
        <v>2565.3330977300002</v>
      </c>
      <c r="F171" s="180">
        <v>15.349005098530204</v>
      </c>
      <c r="G171" s="180">
        <v>371.62136804000005</v>
      </c>
      <c r="H171" s="180">
        <v>2.223500050662456</v>
      </c>
      <c r="I171" s="180">
        <v>400.10402630999988</v>
      </c>
      <c r="J171" s="180">
        <v>2.3939186475272338</v>
      </c>
      <c r="K171" s="180">
        <v>2018.88260926</v>
      </c>
      <c r="L171" s="180">
        <v>12.079460359469916</v>
      </c>
      <c r="M171" s="180">
        <v>1307.0735909099999</v>
      </c>
      <c r="N171" s="180">
        <v>7.820535753732873</v>
      </c>
      <c r="O171" s="180">
        <v>1156.6308325899997</v>
      </c>
      <c r="P171" s="180">
        <v>6.920400536776472</v>
      </c>
      <c r="Q171" s="180">
        <v>6237.4137732999989</v>
      </c>
      <c r="R171" s="180">
        <v>37.319947219618562</v>
      </c>
      <c r="S171" s="180">
        <v>1491.3</v>
      </c>
      <c r="T171" s="180">
        <f t="shared" si="134"/>
        <v>8.9228066810087405</v>
      </c>
      <c r="U171" s="180">
        <v>26.128350529999999</v>
      </c>
      <c r="V171" s="180">
        <v>0.15633220725060165</v>
      </c>
      <c r="W171" s="180">
        <v>0.44299424999999998</v>
      </c>
      <c r="X171" s="180">
        <v>2.6505411745111353E-3</v>
      </c>
      <c r="Y171" s="628">
        <v>299.9715893300064</v>
      </c>
      <c r="Z171" s="180">
        <v>1.615667768726561</v>
      </c>
      <c r="AA171" s="180">
        <v>710.03892450000001</v>
      </c>
      <c r="AB171" s="180">
        <v>4.2483337083785022</v>
      </c>
      <c r="AC171" s="632">
        <v>88.805951989999997</v>
      </c>
      <c r="AD171" s="180">
        <v>0.53134737593355696</v>
      </c>
      <c r="AE171" s="180">
        <v>5.7230263499999996</v>
      </c>
      <c r="AF171" s="180">
        <v>3.4242243513289791E-2</v>
      </c>
      <c r="AG171" s="180">
        <v>20.754828750000001</v>
      </c>
      <c r="AH171" s="180">
        <v>0.12418113366438162</v>
      </c>
      <c r="AI171" s="180">
        <v>388.70793996999998</v>
      </c>
    </row>
    <row r="172" spans="1:35">
      <c r="A172" s="625" t="s">
        <v>25</v>
      </c>
      <c r="B172" s="180">
        <v>16839.653401849999</v>
      </c>
      <c r="C172" s="180">
        <v>1592.87461192</v>
      </c>
      <c r="D172" s="180">
        <v>9.4590700527423408</v>
      </c>
      <c r="E172" s="180">
        <v>2504.0081794400003</v>
      </c>
      <c r="F172" s="180">
        <v>14.86971328735846</v>
      </c>
      <c r="G172" s="180">
        <v>370.30636047999997</v>
      </c>
      <c r="H172" s="180">
        <v>2.1990141462134738</v>
      </c>
      <c r="I172" s="180">
        <v>400.71504891999996</v>
      </c>
      <c r="J172" s="180">
        <v>2.3795920222204665</v>
      </c>
      <c r="K172" s="180">
        <v>2021.0706515000002</v>
      </c>
      <c r="L172" s="180">
        <v>12.001854214398296</v>
      </c>
      <c r="M172" s="180">
        <v>1321.3646400999999</v>
      </c>
      <c r="N172" s="180">
        <v>7.8467448739463679</v>
      </c>
      <c r="O172" s="180">
        <v>1175.8362199200001</v>
      </c>
      <c r="P172" s="180">
        <v>6.9825440694095464</v>
      </c>
      <c r="Q172" s="180">
        <v>6272.7068735100002</v>
      </c>
      <c r="R172" s="180">
        <v>37.249619833748376</v>
      </c>
      <c r="S172" s="180">
        <v>1592.1</v>
      </c>
      <c r="T172" s="180">
        <f t="shared" si="134"/>
        <v>9.4544701248132128</v>
      </c>
      <c r="U172" s="180">
        <v>26.451566679999999</v>
      </c>
      <c r="V172" s="180">
        <v>0.1570790446143864</v>
      </c>
      <c r="W172" s="180">
        <v>0.47333585</v>
      </c>
      <c r="X172" s="180">
        <v>2.8108408095145203E-3</v>
      </c>
      <c r="Y172" s="628">
        <v>304.2095440099979</v>
      </c>
      <c r="Z172" s="180">
        <v>1.6384936863312229</v>
      </c>
      <c r="AA172" s="180">
        <v>737.21243791999996</v>
      </c>
      <c r="AB172" s="180">
        <v>4.377836172322942</v>
      </c>
      <c r="AC172" s="632">
        <v>86.590754149999995</v>
      </c>
      <c r="AD172" s="180">
        <v>0.51420746070989298</v>
      </c>
      <c r="AE172" s="180">
        <v>4.6122983</v>
      </c>
      <c r="AF172" s="180">
        <v>2.7389508500770533E-2</v>
      </c>
      <c r="AG172" s="180">
        <v>21.220879150000002</v>
      </c>
      <c r="AH172" s="180">
        <v>0.12601731546130684</v>
      </c>
      <c r="AI172" s="180">
        <v>433.66405376</v>
      </c>
    </row>
    <row r="173" spans="1:35">
      <c r="A173" s="625" t="s">
        <v>26</v>
      </c>
      <c r="B173" s="180">
        <v>16785.056773860004</v>
      </c>
      <c r="C173" s="180">
        <v>1597.3169740999997</v>
      </c>
      <c r="D173" s="180">
        <v>9.51630367189202</v>
      </c>
      <c r="E173" s="180">
        <v>2555.4719370200005</v>
      </c>
      <c r="F173" s="180">
        <v>15.224684500321336</v>
      </c>
      <c r="G173" s="180">
        <v>371.99337359000009</v>
      </c>
      <c r="H173" s="180">
        <v>2.2162175475588457</v>
      </c>
      <c r="I173" s="180">
        <v>409.73824252999998</v>
      </c>
      <c r="J173" s="180">
        <v>2.4410894050004086</v>
      </c>
      <c r="K173" s="180">
        <v>1954.7948936799999</v>
      </c>
      <c r="L173" s="180">
        <v>11.646042786845232</v>
      </c>
      <c r="M173" s="180">
        <v>1333.1654199099999</v>
      </c>
      <c r="N173" s="180">
        <v>7.9425731939506345</v>
      </c>
      <c r="O173" s="180">
        <v>1163.1408173799998</v>
      </c>
      <c r="P173" s="180">
        <v>6.9296209899712844</v>
      </c>
      <c r="Q173" s="180">
        <v>6192.4901740999994</v>
      </c>
      <c r="R173" s="180">
        <v>36.892875952280342</v>
      </c>
      <c r="S173" s="180">
        <v>1650.46289</v>
      </c>
      <c r="T173" s="180">
        <f t="shared" si="134"/>
        <v>9.8329300415017205</v>
      </c>
      <c r="U173" s="180">
        <v>26.04308451</v>
      </c>
      <c r="V173" s="180">
        <v>0.15515636831540464</v>
      </c>
      <c r="W173" s="180">
        <v>0.32957281999999993</v>
      </c>
      <c r="X173" s="180">
        <v>1.9634894563672609E-3</v>
      </c>
      <c r="Y173" s="628">
        <v>310.04375707000565</v>
      </c>
      <c r="Z173" s="180">
        <v>1.6699171621943592</v>
      </c>
      <c r="AA173" s="180">
        <v>741.48234133000005</v>
      </c>
      <c r="AB173" s="180">
        <v>4.417514646031691</v>
      </c>
      <c r="AC173" s="632">
        <v>103.04668011999999</v>
      </c>
      <c r="AD173" s="180">
        <v>0.61391916338631891</v>
      </c>
      <c r="AE173" s="180">
        <v>7.8954057100000004</v>
      </c>
      <c r="AF173" s="180">
        <v>4.7038302082455928E-2</v>
      </c>
      <c r="AG173" s="180">
        <v>18.104099989999998</v>
      </c>
      <c r="AH173" s="180">
        <v>0.10785843762050415</v>
      </c>
      <c r="AI173" s="180">
        <v>408.30885190999999</v>
      </c>
    </row>
    <row r="174" spans="1:35">
      <c r="A174" s="625" t="s">
        <v>27</v>
      </c>
      <c r="B174" s="180">
        <v>15820.032012370004</v>
      </c>
      <c r="C174" s="180">
        <v>1375.5964992800004</v>
      </c>
      <c r="D174" s="180">
        <v>8.6952826530590688</v>
      </c>
      <c r="E174" s="180">
        <v>2483.30053967</v>
      </c>
      <c r="F174" s="180">
        <v>15.697190357947802</v>
      </c>
      <c r="G174" s="180">
        <v>366.35758547</v>
      </c>
      <c r="H174" s="180">
        <v>2.3157828326993117</v>
      </c>
      <c r="I174" s="180">
        <v>402.75996007999998</v>
      </c>
      <c r="J174" s="180">
        <v>2.5458858728292952</v>
      </c>
      <c r="K174" s="180">
        <v>1820.3935156000002</v>
      </c>
      <c r="L174" s="180">
        <v>11.506888950519174</v>
      </c>
      <c r="M174" s="180">
        <v>1211.1274567599999</v>
      </c>
      <c r="N174" s="180">
        <v>7.655657433644854</v>
      </c>
      <c r="O174" s="180">
        <v>1164.8543071899999</v>
      </c>
      <c r="P174" s="180">
        <v>7.3631602406314762</v>
      </c>
      <c r="Q174" s="180">
        <v>5906.0716317400002</v>
      </c>
      <c r="R174" s="180">
        <v>37.332867766145625</v>
      </c>
      <c r="S174" s="180">
        <v>1660.8</v>
      </c>
      <c r="T174" s="180">
        <f t="shared" si="134"/>
        <v>10.498082422977316</v>
      </c>
      <c r="U174" s="180">
        <v>25.498668590000001</v>
      </c>
      <c r="V174" s="180">
        <v>0.16117962700746796</v>
      </c>
      <c r="W174" s="180">
        <v>0.38195142999999998</v>
      </c>
      <c r="X174" s="180">
        <v>2.4143530790667455E-3</v>
      </c>
      <c r="Y174" s="628">
        <v>213.99930573000501</v>
      </c>
      <c r="Z174" s="180">
        <v>1.1526150912160553</v>
      </c>
      <c r="AA174" s="180">
        <v>747.56771261000006</v>
      </c>
      <c r="AB174" s="180">
        <v>4.7254500624617046</v>
      </c>
      <c r="AC174" s="632">
        <v>80.436928269999996</v>
      </c>
      <c r="AD174" s="180">
        <v>0.50844984515268188</v>
      </c>
      <c r="AE174" s="180">
        <v>5.1925049200000002</v>
      </c>
      <c r="AF174" s="180">
        <v>3.2822341420926805E-2</v>
      </c>
      <c r="AG174" s="180">
        <v>16.493445030000004</v>
      </c>
      <c r="AH174" s="180">
        <v>0.10425671084042967</v>
      </c>
      <c r="AI174" s="180">
        <v>378.11990868999999</v>
      </c>
    </row>
    <row r="175" spans="1:35">
      <c r="A175" s="625" t="s">
        <v>28</v>
      </c>
      <c r="B175" s="180">
        <v>16275.489472970001</v>
      </c>
      <c r="C175" s="180">
        <v>1442.34083448</v>
      </c>
      <c r="D175" s="180">
        <v>8.8620427476261785</v>
      </c>
      <c r="E175" s="180">
        <v>2382.9245671399999</v>
      </c>
      <c r="F175" s="180">
        <v>14.641185268790299</v>
      </c>
      <c r="G175" s="180">
        <v>601.83107380999991</v>
      </c>
      <c r="H175" s="180">
        <v>3.6977755711096036</v>
      </c>
      <c r="I175" s="180">
        <v>421.78445413999998</v>
      </c>
      <c r="J175" s="180">
        <v>2.5915316085607807</v>
      </c>
      <c r="K175" s="180">
        <v>1891.2086788300003</v>
      </c>
      <c r="L175" s="180">
        <v>11.619980351256906</v>
      </c>
      <c r="M175" s="180">
        <v>1240.8080833099998</v>
      </c>
      <c r="N175" s="180">
        <v>7.6237835142882089</v>
      </c>
      <c r="O175" s="180">
        <v>1233.7745069099999</v>
      </c>
      <c r="P175" s="180">
        <v>7.5805677547150108</v>
      </c>
      <c r="Q175" s="180">
        <v>5928.2283597900005</v>
      </c>
      <c r="R175" s="180">
        <v>36.424270800798219</v>
      </c>
      <c r="S175" s="180">
        <v>1694.4621032100001</v>
      </c>
      <c r="T175" s="180">
        <f t="shared" si="134"/>
        <v>10.411128378191808</v>
      </c>
      <c r="U175" s="180">
        <v>25.730262100000001</v>
      </c>
      <c r="V175" s="180">
        <v>0.15809209389820375</v>
      </c>
      <c r="W175" s="180">
        <v>0.12848107000000003</v>
      </c>
      <c r="X175" s="180">
        <v>7.8941447637183965E-4</v>
      </c>
      <c r="Y175" s="628">
        <v>221.79546790000151</v>
      </c>
      <c r="Z175" s="180">
        <v>1.1946057609523533</v>
      </c>
      <c r="AA175" s="180">
        <v>778.00503289999995</v>
      </c>
      <c r="AB175" s="180">
        <v>4.7802250997863673</v>
      </c>
      <c r="AC175" s="632">
        <v>85.587853460000005</v>
      </c>
      <c r="AD175" s="180">
        <v>0.52586961272127974</v>
      </c>
      <c r="AE175" s="180">
        <v>5.6588436</v>
      </c>
      <c r="AF175" s="180">
        <v>3.4769114682529773E-2</v>
      </c>
      <c r="AG175" s="180">
        <v>15.68297353</v>
      </c>
      <c r="AH175" s="180">
        <v>9.6359458534540296E-2</v>
      </c>
      <c r="AI175" s="180">
        <v>392.88928897</v>
      </c>
    </row>
    <row r="176" spans="1:35">
      <c r="A176" s="625" t="s">
        <v>29</v>
      </c>
      <c r="B176" s="180">
        <v>16444.561727330001</v>
      </c>
      <c r="C176" s="180">
        <v>1472.5995942200004</v>
      </c>
      <c r="D176" s="180">
        <v>8.9549336652287739</v>
      </c>
      <c r="E176" s="180">
        <v>2467.0027956899999</v>
      </c>
      <c r="F176" s="180">
        <v>15.00193703301907</v>
      </c>
      <c r="G176" s="180">
        <v>596.22871301999999</v>
      </c>
      <c r="H176" s="180">
        <v>3.6256892880829965</v>
      </c>
      <c r="I176" s="180">
        <v>441.26909290999993</v>
      </c>
      <c r="J176" s="180">
        <v>2.6833739945567157</v>
      </c>
      <c r="K176" s="180">
        <v>1908.56788125</v>
      </c>
      <c r="L176" s="180">
        <v>11.606073259332049</v>
      </c>
      <c r="M176" s="180">
        <v>1265.5546495100002</v>
      </c>
      <c r="N176" s="180">
        <v>7.6958855486352951</v>
      </c>
      <c r="O176" s="180">
        <v>1271.1043572999999</v>
      </c>
      <c r="P176" s="180">
        <v>7.7296335309897071</v>
      </c>
      <c r="Q176" s="180">
        <v>5858.7337056699998</v>
      </c>
      <c r="R176" s="180">
        <v>35.627180601189821</v>
      </c>
      <c r="S176" s="180">
        <v>1703.4574499999999</v>
      </c>
      <c r="T176" s="180">
        <f t="shared" si="134"/>
        <v>10.35878899204071</v>
      </c>
      <c r="U176" s="180">
        <v>25.581052979999999</v>
      </c>
      <c r="V176" s="180">
        <v>0.15555934785106268</v>
      </c>
      <c r="W176" s="180">
        <v>0.86648340000000013</v>
      </c>
      <c r="X176" s="180">
        <v>5.2691182311046334E-3</v>
      </c>
      <c r="Y176" s="628">
        <v>198.09825160999975</v>
      </c>
      <c r="Z176" s="180">
        <v>1.0669709117527593</v>
      </c>
      <c r="AA176" s="180">
        <v>837.33076181000001</v>
      </c>
      <c r="AB176" s="180">
        <v>5.0918399389045446</v>
      </c>
      <c r="AC176" s="632">
        <v>82.34059705</v>
      </c>
      <c r="AD176" s="180">
        <v>0.500716275783466</v>
      </c>
      <c r="AE176" s="180">
        <v>6.9581468499999994</v>
      </c>
      <c r="AF176" s="180">
        <v>4.2312753391511332E-2</v>
      </c>
      <c r="AG176" s="180">
        <v>12.32564406</v>
      </c>
      <c r="AH176" s="180">
        <v>7.495270633765462E-2</v>
      </c>
      <c r="AI176" s="180">
        <v>493.77563256000002</v>
      </c>
    </row>
    <row r="177" spans="1:35">
      <c r="A177" s="625" t="s">
        <v>1902</v>
      </c>
      <c r="B177" s="268">
        <v>11757.786958620001</v>
      </c>
      <c r="C177" s="268">
        <v>1626.7461591053998</v>
      </c>
      <c r="D177" s="268">
        <v>13.835479115504651</v>
      </c>
      <c r="E177" s="268">
        <v>2069.2089661499999</v>
      </c>
      <c r="F177" s="268">
        <v>17.598626114185528</v>
      </c>
      <c r="G177" s="268">
        <v>315.473367</v>
      </c>
      <c r="H177" s="268">
        <v>2.6831015743886786</v>
      </c>
      <c r="I177" s="268">
        <v>429.24484704000002</v>
      </c>
      <c r="J177" s="268">
        <v>3.650728224203001</v>
      </c>
      <c r="K177" s="268">
        <v>546.19935485999997</v>
      </c>
      <c r="L177" s="268">
        <v>4.6454265312195009</v>
      </c>
      <c r="M177" s="268">
        <v>621.19473878999997</v>
      </c>
      <c r="N177" s="268">
        <v>5.2832624113382378</v>
      </c>
      <c r="O177" s="268">
        <v>1126.7102225399999</v>
      </c>
      <c r="P177" s="268">
        <v>9.5826725429309931</v>
      </c>
      <c r="Q177" s="268">
        <v>4606.4676968645999</v>
      </c>
      <c r="R177" s="268">
        <v>39.178016348454541</v>
      </c>
      <c r="S177" s="268">
        <v>1737.27283257</v>
      </c>
      <c r="T177" s="268">
        <v>14.775508679346764</v>
      </c>
      <c r="U177" s="268">
        <v>54.43873468999999</v>
      </c>
      <c r="V177" s="268">
        <v>0.46300154001420524</v>
      </c>
      <c r="W177" s="268">
        <v>1.0507229</v>
      </c>
      <c r="X177" s="268">
        <v>8.9364002230851967E-3</v>
      </c>
      <c r="Y177" s="630">
        <f t="shared" ref="Y177" si="135">((B177-C177-E177-G177-I177-K177-M177-W177-O177-Q177-U177-AA177-AC177-AE177-AG177))</f>
        <v>146.752711860001</v>
      </c>
      <c r="Z177" s="268">
        <v>1.2481320879216304</v>
      </c>
      <c r="AA177" s="268">
        <v>185.00134285000001</v>
      </c>
      <c r="AB177" s="268">
        <v>1.573436765788393</v>
      </c>
      <c r="AC177" s="268">
        <v>0.50894074</v>
      </c>
      <c r="AD177" s="268">
        <v>4.3285419423838055E-3</v>
      </c>
      <c r="AE177" s="268">
        <v>9.1111433300000009</v>
      </c>
      <c r="AF177" s="268">
        <v>7.7490291005148176E-2</v>
      </c>
      <c r="AG177" s="268">
        <v>19.678009899999999</v>
      </c>
      <c r="AH177" s="268">
        <v>0.16736151088001672</v>
      </c>
      <c r="AI177" s="268">
        <v>200.48204397999999</v>
      </c>
    </row>
    <row r="178" spans="1:35">
      <c r="A178" s="625" t="s">
        <v>18</v>
      </c>
      <c r="B178" s="180">
        <v>16705.157127140879</v>
      </c>
      <c r="C178" s="180">
        <v>1633.0919814715185</v>
      </c>
      <c r="D178" s="180">
        <v>9.8000000000000007</v>
      </c>
      <c r="E178" s="180">
        <v>2432.1883911200002</v>
      </c>
      <c r="F178" s="180">
        <v>14.559506220797063</v>
      </c>
      <c r="G178" s="180">
        <v>456.45552760999999</v>
      </c>
      <c r="H178" s="180">
        <v>2.7324228328771385</v>
      </c>
      <c r="I178" s="180">
        <v>447.62134210999994</v>
      </c>
      <c r="J178" s="180">
        <v>2.6795398493004852</v>
      </c>
      <c r="K178" s="180">
        <v>1988.4771307599999</v>
      </c>
      <c r="L178" s="180">
        <v>11.903372806528829</v>
      </c>
      <c r="M178" s="180">
        <v>1300.9434022400001</v>
      </c>
      <c r="N178" s="180">
        <v>7.7876753408464294</v>
      </c>
      <c r="O178" s="180">
        <v>1396.5374278200002</v>
      </c>
      <c r="P178" s="180">
        <v>8.3599179414544089</v>
      </c>
      <c r="Q178" s="180">
        <v>5814.0239082193621</v>
      </c>
      <c r="R178" s="180">
        <v>34.803766668996566</v>
      </c>
      <c r="S178" s="180">
        <v>1711.7619999999999</v>
      </c>
      <c r="T178" s="180">
        <f t="shared" si="134"/>
        <v>10.246907508693223</v>
      </c>
      <c r="U178" s="180">
        <v>26.687103869999998</v>
      </c>
      <c r="V178" s="180">
        <v>0.15975368364923334</v>
      </c>
      <c r="W178" s="180">
        <v>1.1237447199999999</v>
      </c>
      <c r="X178" s="180">
        <v>6.7269329551785609E-3</v>
      </c>
      <c r="Y178" s="628">
        <v>176.58580401999848</v>
      </c>
      <c r="Z178" s="180">
        <v>1.0570735891678589</v>
      </c>
      <c r="AA178" s="180">
        <v>916.53184925000005</v>
      </c>
      <c r="AB178" s="180">
        <v>5.4865203737647592</v>
      </c>
      <c r="AC178" s="180">
        <v>104.35102718</v>
      </c>
      <c r="AD178" s="180">
        <v>0.62466354782416755</v>
      </c>
      <c r="AE178" s="180">
        <v>5.2209040200000008</v>
      </c>
      <c r="AF178" s="180">
        <v>3.1253247007881145E-2</v>
      </c>
      <c r="AG178" s="180">
        <v>5.3175827299999998</v>
      </c>
      <c r="AH178" s="180">
        <v>3.1831982719638836E-2</v>
      </c>
      <c r="AI178" s="180">
        <v>505.58008373999996</v>
      </c>
    </row>
    <row r="179" spans="1:35">
      <c r="A179" s="625" t="s">
        <v>19</v>
      </c>
      <c r="B179" s="180">
        <v>15878.566380650882</v>
      </c>
      <c r="C179" s="180">
        <v>1556.4403998315188</v>
      </c>
      <c r="D179" s="180">
        <v>9.802146884797784</v>
      </c>
      <c r="E179" s="180">
        <v>2313.3581660300006</v>
      </c>
      <c r="F179" s="180">
        <v>14.569061907559774</v>
      </c>
      <c r="G179" s="180">
        <v>416.11039373999995</v>
      </c>
      <c r="H179" s="180">
        <v>2.6205791112669901</v>
      </c>
      <c r="I179" s="180">
        <v>449.25813369000002</v>
      </c>
      <c r="J179" s="180">
        <v>2.8293368741239244</v>
      </c>
      <c r="K179" s="180">
        <v>1910.7982732099999</v>
      </c>
      <c r="L179" s="180">
        <v>12.033821110817902</v>
      </c>
      <c r="M179" s="180">
        <v>1256.8620616200003</v>
      </c>
      <c r="N179" s="180">
        <v>7.9154630933909287</v>
      </c>
      <c r="O179" s="180">
        <v>1269.7328849800001</v>
      </c>
      <c r="P179" s="180">
        <v>7.9965209360919154</v>
      </c>
      <c r="Q179" s="180">
        <v>5528.6464069993617</v>
      </c>
      <c r="R179" s="180">
        <v>34.818297033014233</v>
      </c>
      <c r="S179" s="180">
        <v>1696.1</v>
      </c>
      <c r="T179" s="180">
        <f t="shared" si="134"/>
        <v>10.681694803800509</v>
      </c>
      <c r="U179" s="180">
        <v>24.691808430000002</v>
      </c>
      <c r="V179" s="180">
        <v>0.15550401615657605</v>
      </c>
      <c r="W179" s="180">
        <v>0.85797978000000008</v>
      </c>
      <c r="X179" s="180">
        <v>5.4033831482765797E-3</v>
      </c>
      <c r="Y179" s="628">
        <v>203.39080674999749</v>
      </c>
      <c r="Z179" s="180">
        <v>1.2809141699205484</v>
      </c>
      <c r="AA179" s="180">
        <v>837.5540947500001</v>
      </c>
      <c r="AB179" s="180">
        <v>5.2747463131849051</v>
      </c>
      <c r="AC179" s="180">
        <v>92.593869999999995</v>
      </c>
      <c r="AD179" s="180">
        <v>0.62466354782416755</v>
      </c>
      <c r="AE179" s="180">
        <v>6.4923982200000001</v>
      </c>
      <c r="AF179" s="180">
        <v>4.0887811055231225E-2</v>
      </c>
      <c r="AG179" s="180">
        <v>11.778702619999999</v>
      </c>
      <c r="AH179" s="180">
        <v>7.4179887136115466E-2</v>
      </c>
      <c r="AI179" s="180">
        <v>351.91985068999998</v>
      </c>
    </row>
    <row r="180" spans="1:35">
      <c r="A180" s="625" t="s">
        <v>20</v>
      </c>
      <c r="B180" s="180">
        <v>15533.337990800879</v>
      </c>
      <c r="C180" s="180">
        <v>1590.3156047015189</v>
      </c>
      <c r="D180" s="180">
        <v>10.238080222314947</v>
      </c>
      <c r="E180" s="180">
        <v>2208.9530268800004</v>
      </c>
      <c r="F180" s="180">
        <v>14.220723376959812</v>
      </c>
      <c r="G180" s="180">
        <v>412.99326904999998</v>
      </c>
      <c r="H180" s="180">
        <v>2.6587541537728852</v>
      </c>
      <c r="I180" s="180">
        <v>449.73344159000004</v>
      </c>
      <c r="J180" s="180">
        <v>2.8952787987768001</v>
      </c>
      <c r="K180" s="180">
        <v>1878.1199399699999</v>
      </c>
      <c r="L180" s="180">
        <v>12.090897275796458</v>
      </c>
      <c r="M180" s="180">
        <v>1206.82030212</v>
      </c>
      <c r="N180" s="180">
        <v>7.7692270832882189</v>
      </c>
      <c r="O180" s="180">
        <v>1227.9482004599997</v>
      </c>
      <c r="P180" s="180">
        <v>7.9052435554239064</v>
      </c>
      <c r="Q180" s="180">
        <v>5393.342772469362</v>
      </c>
      <c r="R180" s="180">
        <v>34.72108039922518</v>
      </c>
      <c r="S180" s="180">
        <v>1721.44100549112</v>
      </c>
      <c r="T180" s="180">
        <f t="shared" si="134"/>
        <v>11.082234909911753</v>
      </c>
      <c r="U180" s="180">
        <v>24.29545804</v>
      </c>
      <c r="V180" s="180">
        <v>0.15640848125746187</v>
      </c>
      <c r="W180" s="180">
        <v>0.83230442999999998</v>
      </c>
      <c r="X180" s="180">
        <v>5.3581814191702107E-3</v>
      </c>
      <c r="Y180" s="628">
        <v>197.96938175999983</v>
      </c>
      <c r="Z180" s="180">
        <v>1.2744806163185327</v>
      </c>
      <c r="AA180" s="180">
        <v>834.08220318000008</v>
      </c>
      <c r="AB180" s="180">
        <v>5.3696263074553485</v>
      </c>
      <c r="AC180" s="180">
        <v>89.57096605000001</v>
      </c>
      <c r="AD180" s="180">
        <v>0.5766369475964892</v>
      </c>
      <c r="AE180" s="180">
        <v>7.64377876</v>
      </c>
      <c r="AF180" s="180">
        <v>4.9208861382703334E-2</v>
      </c>
      <c r="AG180" s="180">
        <v>10.717341340000001</v>
      </c>
      <c r="AH180" s="180">
        <v>6.899573901209774E-2</v>
      </c>
      <c r="AI180" s="180">
        <v>337.94174466999993</v>
      </c>
    </row>
    <row r="181" spans="1:35">
      <c r="A181" s="625" t="s">
        <v>21</v>
      </c>
      <c r="B181" s="180">
        <v>15453.511481964539</v>
      </c>
      <c r="C181" s="180">
        <v>1594.0350948091698</v>
      </c>
      <c r="D181" s="180">
        <v>10.315034849325565</v>
      </c>
      <c r="E181" s="180">
        <v>2198.85558391</v>
      </c>
      <c r="F181" s="180">
        <v>14.228841040279013</v>
      </c>
      <c r="G181" s="180">
        <v>549.18912821000004</v>
      </c>
      <c r="H181" s="180">
        <v>3.5538144767352517</v>
      </c>
      <c r="I181" s="180">
        <v>448.99543146999997</v>
      </c>
      <c r="J181" s="180">
        <v>2.9054589437100615</v>
      </c>
      <c r="K181" s="180">
        <v>1863.7355609900001</v>
      </c>
      <c r="L181" s="180">
        <v>12.0602722764022</v>
      </c>
      <c r="M181" s="180">
        <v>1209.2591003900002</v>
      </c>
      <c r="N181" s="180">
        <v>7.8251412425020721</v>
      </c>
      <c r="O181" s="180">
        <v>1208.8966163100001</v>
      </c>
      <c r="P181" s="180">
        <v>7.8227956003454446</v>
      </c>
      <c r="Q181" s="180">
        <v>5230.1978226953688</v>
      </c>
      <c r="R181" s="180">
        <v>33.844720850658575</v>
      </c>
      <c r="S181" s="180">
        <v>1721.5024074640748</v>
      </c>
      <c r="T181" s="180">
        <f t="shared" si="134"/>
        <v>11.139878528405685</v>
      </c>
      <c r="U181" s="180">
        <v>24.054855759999999</v>
      </c>
      <c r="V181" s="180">
        <v>0.15565948094110457</v>
      </c>
      <c r="W181" s="180">
        <v>0.90448993</v>
      </c>
      <c r="X181" s="180">
        <v>5.852973487971396E-3</v>
      </c>
      <c r="Y181" s="628">
        <v>199.76183430999833</v>
      </c>
      <c r="Z181" s="180">
        <v>1.2926630594162114</v>
      </c>
      <c r="AA181" s="180">
        <v>824.36959184</v>
      </c>
      <c r="AB181" s="180">
        <v>5.3345130833345165</v>
      </c>
      <c r="AC181" s="180">
        <v>87.899573559999993</v>
      </c>
      <c r="AD181" s="180">
        <v>0.56880000162154543</v>
      </c>
      <c r="AE181" s="180">
        <v>4.0636253099999999</v>
      </c>
      <c r="AF181" s="180">
        <v>2.6295805420939896E-2</v>
      </c>
      <c r="AG181" s="180">
        <v>9.2931724699999982</v>
      </c>
      <c r="AH181" s="180">
        <v>6.0136315819520114E-2</v>
      </c>
      <c r="AI181" s="180">
        <v>252.08392524999999</v>
      </c>
    </row>
    <row r="182" spans="1:35">
      <c r="A182" s="625" t="s">
        <v>22</v>
      </c>
      <c r="B182" s="180">
        <v>14794.004973694538</v>
      </c>
      <c r="C182" s="180">
        <v>1739.7585750491703</v>
      </c>
      <c r="D182" s="180">
        <v>11.759889077654519</v>
      </c>
      <c r="E182" s="180">
        <v>2191.76009527</v>
      </c>
      <c r="F182" s="180">
        <v>14.815191012624398</v>
      </c>
      <c r="G182" s="180">
        <v>556.35645809999994</v>
      </c>
      <c r="H182" s="180">
        <v>3.7606885970990711</v>
      </c>
      <c r="I182" s="180">
        <v>438.52466076000002</v>
      </c>
      <c r="J182" s="180">
        <v>2.9642051732424579</v>
      </c>
      <c r="K182" s="180">
        <v>1756.9748668100003</v>
      </c>
      <c r="L182" s="180">
        <v>11.876262512646885</v>
      </c>
      <c r="M182" s="180">
        <v>1074.7136205200002</v>
      </c>
      <c r="N182" s="180">
        <v>7.2645211518514827</v>
      </c>
      <c r="O182" s="180">
        <v>1002.0524992200001</v>
      </c>
      <c r="P182" s="180">
        <v>6.7733686787436254</v>
      </c>
      <c r="Q182" s="180">
        <v>5165.5506237453683</v>
      </c>
      <c r="R182" s="180">
        <v>34.916512688283653</v>
      </c>
      <c r="S182" s="180">
        <v>1731.4693193514599</v>
      </c>
      <c r="T182" s="180">
        <f t="shared" si="134"/>
        <v>11.703857896696762</v>
      </c>
      <c r="U182" s="180">
        <v>24.147527599999997</v>
      </c>
      <c r="V182" s="180">
        <v>0.16322508774964664</v>
      </c>
      <c r="W182" s="180">
        <v>0.81735442000000003</v>
      </c>
      <c r="X182" s="180">
        <v>5.5249029688265701E-3</v>
      </c>
      <c r="Y182" s="628">
        <v>193.47472368000035</v>
      </c>
      <c r="Z182" s="180">
        <v>1.3077913926892746</v>
      </c>
      <c r="AA182" s="180">
        <v>603.15400468999997</v>
      </c>
      <c r="AB182" s="180">
        <v>4.0770163709048219</v>
      </c>
      <c r="AC182" s="180">
        <v>29.375546920000005</v>
      </c>
      <c r="AD182" s="180">
        <v>0.19856385726673165</v>
      </c>
      <c r="AE182" s="180">
        <v>6.5665530200000006</v>
      </c>
      <c r="AF182" s="180">
        <v>4.4386581129829926E-2</v>
      </c>
      <c r="AG182" s="180">
        <v>10.777863890000003</v>
      </c>
      <c r="AH182" s="180">
        <v>7.2852915144778568E-2</v>
      </c>
      <c r="AI182" s="180">
        <v>249.03715993</v>
      </c>
    </row>
    <row r="183" spans="1:35">
      <c r="A183" s="625" t="s">
        <v>23</v>
      </c>
      <c r="B183" s="180">
        <v>13881.99544171454</v>
      </c>
      <c r="C183" s="180">
        <v>1810.7102516691702</v>
      </c>
      <c r="D183" s="180">
        <v>13.043587712383895</v>
      </c>
      <c r="E183" s="180">
        <v>2177.3745664100006</v>
      </c>
      <c r="F183" s="180">
        <v>15.68488172721282</v>
      </c>
      <c r="G183" s="180">
        <v>548.81614588000002</v>
      </c>
      <c r="H183" s="180">
        <v>3.953438453313717</v>
      </c>
      <c r="I183" s="180">
        <v>433.91264772</v>
      </c>
      <c r="J183" s="180">
        <v>3.1257224477694274</v>
      </c>
      <c r="K183" s="180">
        <v>891.91796591000002</v>
      </c>
      <c r="L183" s="180">
        <v>6.4249982623524104</v>
      </c>
      <c r="M183" s="180">
        <v>1043.4518445799999</v>
      </c>
      <c r="N183" s="180">
        <v>7.5165839735438293</v>
      </c>
      <c r="O183" s="180">
        <v>1022.7665849</v>
      </c>
      <c r="P183" s="180">
        <v>7.3675761470620396</v>
      </c>
      <c r="Q183" s="180">
        <v>5092.7102832653682</v>
      </c>
      <c r="R183" s="180">
        <v>36.685722197848357</v>
      </c>
      <c r="S183" s="180">
        <v>1730.5488938209501</v>
      </c>
      <c r="T183" s="180">
        <f t="shared" si="134"/>
        <v>12.466139331963454</v>
      </c>
      <c r="U183" s="180">
        <v>22.635603250000003</v>
      </c>
      <c r="V183" s="180">
        <v>0.163057273322403</v>
      </c>
      <c r="W183" s="180">
        <v>3.6050990600000006</v>
      </c>
      <c r="X183" s="180">
        <v>2.5969602678062406E-2</v>
      </c>
      <c r="Y183" s="628">
        <v>193.89592575</v>
      </c>
      <c r="Z183" s="180">
        <v>1.396743908785294</v>
      </c>
      <c r="AA183" s="180">
        <v>594.01621124000008</v>
      </c>
      <c r="AB183" s="180">
        <v>4.2790405293969336</v>
      </c>
      <c r="AC183" s="180">
        <v>28.811967760000002</v>
      </c>
      <c r="AD183" s="180">
        <v>0.20754918038239528</v>
      </c>
      <c r="AE183" s="180">
        <v>9.5312415500000007</v>
      </c>
      <c r="AF183" s="180">
        <v>6.8659016565869257E-2</v>
      </c>
      <c r="AG183" s="180">
        <v>7.8391027700000002</v>
      </c>
      <c r="AH183" s="180">
        <v>5.6469567382539117E-2</v>
      </c>
      <c r="AI183" s="180">
        <v>230.82488024000003</v>
      </c>
    </row>
    <row r="184" spans="1:35">
      <c r="A184" s="625" t="s">
        <v>24</v>
      </c>
      <c r="B184" s="180">
        <v>12860.844876327879</v>
      </c>
      <c r="C184" s="180">
        <v>1812.8083793878807</v>
      </c>
      <c r="D184" s="180">
        <v>14.095562125351494</v>
      </c>
      <c r="E184" s="180">
        <v>2162.07498876</v>
      </c>
      <c r="F184" s="180">
        <v>16.81129824324054</v>
      </c>
      <c r="G184" s="180">
        <v>382.14144432000006</v>
      </c>
      <c r="H184" s="180">
        <v>2.9713556768216911</v>
      </c>
      <c r="I184" s="180">
        <v>451.76563483000001</v>
      </c>
      <c r="J184" s="180">
        <v>3.5127212805554917</v>
      </c>
      <c r="K184" s="180">
        <v>620.75840267000012</v>
      </c>
      <c r="L184" s="180">
        <v>4.8267311256711425</v>
      </c>
      <c r="M184" s="180">
        <v>639.03806921</v>
      </c>
      <c r="N184" s="180">
        <v>4.9688653844681374</v>
      </c>
      <c r="O184" s="180">
        <v>1059.3478198800001</v>
      </c>
      <c r="P184" s="180">
        <v>8.237000213180961</v>
      </c>
      <c r="Q184" s="180">
        <v>4965.9487587399999</v>
      </c>
      <c r="R184" s="180">
        <v>38.612927894655655</v>
      </c>
      <c r="S184" s="180">
        <v>1718.6468788899999</v>
      </c>
      <c r="T184" s="180">
        <f t="shared" si="134"/>
        <v>13.363405712585816</v>
      </c>
      <c r="U184" s="180">
        <v>28.949903320000001</v>
      </c>
      <c r="V184" s="180">
        <v>0.22510110026508603</v>
      </c>
      <c r="W184" s="180">
        <v>0.73333634000000003</v>
      </c>
      <c r="X184" s="180">
        <v>5.7020852599645655E-3</v>
      </c>
      <c r="Y184" s="628">
        <v>156.98297229999955</v>
      </c>
      <c r="Z184" s="180">
        <v>1.2206272123610471</v>
      </c>
      <c r="AA184" s="180">
        <v>561.67022979000001</v>
      </c>
      <c r="AB184" s="180">
        <v>4.3672887371795452</v>
      </c>
      <c r="AC184" s="180">
        <v>5.1087958499999999</v>
      </c>
      <c r="AD184" s="180">
        <v>3.9723641013689762E-2</v>
      </c>
      <c r="AE184" s="180">
        <v>4.7953018700000003</v>
      </c>
      <c r="AF184" s="180">
        <v>3.7286056368088231E-2</v>
      </c>
      <c r="AG184" s="180">
        <v>8.7208390599999994</v>
      </c>
      <c r="AH184" s="180">
        <v>6.7809223607477612E-2</v>
      </c>
      <c r="AI184" s="180">
        <v>229.55236088999999</v>
      </c>
    </row>
    <row r="185" spans="1:35">
      <c r="A185" s="625" t="s">
        <v>25</v>
      </c>
      <c r="B185" s="180">
        <v>12376.60371008788</v>
      </c>
      <c r="C185" s="180">
        <v>1823.9887068678806</v>
      </c>
      <c r="D185" s="180">
        <v>14.737392822727207</v>
      </c>
      <c r="E185" s="180">
        <v>2108.4797816700002</v>
      </c>
      <c r="F185" s="180">
        <v>17.036012714468896</v>
      </c>
      <c r="G185" s="180">
        <v>368.85814570999997</v>
      </c>
      <c r="H185" s="180">
        <v>2.9802856611572071</v>
      </c>
      <c r="I185" s="180">
        <v>463.37619149999995</v>
      </c>
      <c r="J185" s="180">
        <v>3.7439688815624992</v>
      </c>
      <c r="K185" s="180">
        <v>541.41683345000001</v>
      </c>
      <c r="L185" s="180">
        <v>4.3745186169991355</v>
      </c>
      <c r="M185" s="180">
        <v>643.94114029000002</v>
      </c>
      <c r="N185" s="180">
        <v>5.2028905132119458</v>
      </c>
      <c r="O185" s="180">
        <v>1062.6630561699999</v>
      </c>
      <c r="P185" s="180">
        <v>8.5860635200256752</v>
      </c>
      <c r="Q185" s="180">
        <v>4923.0254892399998</v>
      </c>
      <c r="R185" s="180">
        <v>39.776869362209254</v>
      </c>
      <c r="S185" s="180">
        <v>1719.94967961</v>
      </c>
      <c r="T185" s="180">
        <f t="shared" si="134"/>
        <v>13.896782347552335</v>
      </c>
      <c r="U185" s="180">
        <v>30.774173200000003</v>
      </c>
      <c r="V185" s="180">
        <v>0.24864796450513071</v>
      </c>
      <c r="W185" s="180">
        <v>0.98246247000000009</v>
      </c>
      <c r="X185" s="180">
        <v>7.9380619515127399E-3</v>
      </c>
      <c r="Y185" s="628">
        <v>157.38130712000137</v>
      </c>
      <c r="Z185" s="180">
        <v>1.2716033477885662</v>
      </c>
      <c r="AA185" s="180">
        <v>233.70096344999999</v>
      </c>
      <c r="AB185" s="180">
        <v>1.8882479307268745</v>
      </c>
      <c r="AC185" s="180">
        <v>5.1217363799999998</v>
      </c>
      <c r="AD185" s="180">
        <v>4.1382405868141292E-2</v>
      </c>
      <c r="AE185" s="180">
        <v>4.3786712799999998</v>
      </c>
      <c r="AF185" s="180">
        <v>3.5378617450852426E-2</v>
      </c>
      <c r="AG185" s="180">
        <v>8.5150512899999988</v>
      </c>
      <c r="AH185" s="180">
        <v>6.8799579347115877E-2</v>
      </c>
      <c r="AI185" s="180">
        <v>224.28651430000002</v>
      </c>
    </row>
    <row r="186" spans="1:35">
      <c r="A186" s="625" t="s">
        <v>26</v>
      </c>
      <c r="B186" s="180">
        <v>12437.248015267882</v>
      </c>
      <c r="C186" s="180">
        <v>1857.1320464578807</v>
      </c>
      <c r="D186" s="180">
        <v>14.932017470248063</v>
      </c>
      <c r="E186" s="180">
        <v>2201.8776762700004</v>
      </c>
      <c r="F186" s="180">
        <v>17.703897788055606</v>
      </c>
      <c r="G186" s="180">
        <v>358.21119185999999</v>
      </c>
      <c r="H186" s="180">
        <v>2.8801483368367529</v>
      </c>
      <c r="I186" s="180">
        <v>461.90863253000003</v>
      </c>
      <c r="J186" s="180">
        <v>3.713913495678177</v>
      </c>
      <c r="K186" s="180">
        <v>545.36222850000001</v>
      </c>
      <c r="L186" s="180">
        <v>4.3849107763270219</v>
      </c>
      <c r="M186" s="180">
        <v>637.74982553999996</v>
      </c>
      <c r="N186" s="180">
        <v>5.1277406766923246</v>
      </c>
      <c r="O186" s="180">
        <v>1060.9382462800002</v>
      </c>
      <c r="P186" s="180">
        <v>8.5303295791609166</v>
      </c>
      <c r="Q186" s="180">
        <v>4881.4658590100007</v>
      </c>
      <c r="R186" s="180">
        <v>39.248761888623157</v>
      </c>
      <c r="S186" s="180">
        <v>1719.9550818299999</v>
      </c>
      <c r="T186" s="180">
        <f t="shared" si="134"/>
        <v>13.829064755471585</v>
      </c>
      <c r="U186" s="180">
        <v>29.59538203</v>
      </c>
      <c r="V186" s="180">
        <v>0.23795764138231312</v>
      </c>
      <c r="W186" s="180">
        <v>0.69938106000000011</v>
      </c>
      <c r="X186" s="180">
        <v>5.6232782295685081E-3</v>
      </c>
      <c r="Y186" s="628">
        <v>157.91416146000026</v>
      </c>
      <c r="Z186" s="180">
        <v>1.2696873236438311</v>
      </c>
      <c r="AA186" s="180">
        <v>225.61981032</v>
      </c>
      <c r="AB186" s="180">
        <v>1.8140653787962628</v>
      </c>
      <c r="AC186" s="180">
        <v>3.11292437</v>
      </c>
      <c r="AD186" s="180">
        <v>2.5029044738664012E-2</v>
      </c>
      <c r="AE186" s="180">
        <v>6.4466103600000002</v>
      </c>
      <c r="AF186" s="180">
        <v>5.1833093238039349E-2</v>
      </c>
      <c r="AG186" s="180">
        <v>9.2140392199999983</v>
      </c>
      <c r="AH186" s="180">
        <v>7.408422834930127E-2</v>
      </c>
      <c r="AI186" s="180">
        <v>220.94180325999997</v>
      </c>
    </row>
    <row r="187" spans="1:35">
      <c r="A187" s="625" t="s">
        <v>27</v>
      </c>
      <c r="B187" s="180">
        <v>12152.182179499998</v>
      </c>
      <c r="C187" s="180">
        <v>1889.6276242253998</v>
      </c>
      <c r="D187" s="180">
        <v>15.549697958059649</v>
      </c>
      <c r="E187" s="180">
        <v>2118.1524096100002</v>
      </c>
      <c r="F187" s="180">
        <v>17.430222640861952</v>
      </c>
      <c r="G187" s="180">
        <v>319.46786714000001</v>
      </c>
      <c r="H187" s="180">
        <v>2.628893003915981</v>
      </c>
      <c r="I187" s="180">
        <v>454.40625962000001</v>
      </c>
      <c r="J187" s="180">
        <v>3.7392976249694154</v>
      </c>
      <c r="K187" s="180">
        <v>543.87370874999999</v>
      </c>
      <c r="L187" s="180">
        <v>4.4755230025063506</v>
      </c>
      <c r="M187" s="180">
        <v>624.05637154999999</v>
      </c>
      <c r="N187" s="180">
        <v>5.1353441080133377</v>
      </c>
      <c r="O187" s="180">
        <v>1069.4876785700001</v>
      </c>
      <c r="P187" s="180">
        <v>8.800787074885708</v>
      </c>
      <c r="Q187" s="180">
        <v>4681.265679194601</v>
      </c>
      <c r="R187" s="180">
        <v>38.522016951750572</v>
      </c>
      <c r="S187" s="180">
        <v>1718.9648375899999</v>
      </c>
      <c r="T187" s="180">
        <f t="shared" si="134"/>
        <v>14.145318200461068</v>
      </c>
      <c r="U187" s="180">
        <v>46.116938259999998</v>
      </c>
      <c r="V187" s="180">
        <v>0.37949511930290597</v>
      </c>
      <c r="W187" s="180">
        <v>0.70003311999999995</v>
      </c>
      <c r="X187" s="180">
        <v>5.7605548506416719E-3</v>
      </c>
      <c r="Y187" s="628">
        <v>159.2986100299959</v>
      </c>
      <c r="Z187" s="180">
        <v>1.310864235550411</v>
      </c>
      <c r="AA187" s="180">
        <v>219.66620195000002</v>
      </c>
      <c r="AB187" s="180">
        <v>1.807627623626016</v>
      </c>
      <c r="AC187" s="180">
        <v>1.8505475100000002</v>
      </c>
      <c r="AD187" s="180">
        <v>1.5228108685876705E-2</v>
      </c>
      <c r="AE187" s="180">
        <v>6.4766020500000003</v>
      </c>
      <c r="AF187" s="180">
        <v>5.3295794568695973E-2</v>
      </c>
      <c r="AG187" s="180">
        <v>17.735647919999998</v>
      </c>
      <c r="AH187" s="180">
        <v>0.14594619845248016</v>
      </c>
      <c r="AI187" s="180">
        <v>214.54393543</v>
      </c>
    </row>
    <row r="188" spans="1:35">
      <c r="A188" s="625" t="s">
        <v>28</v>
      </c>
      <c r="B188" s="180">
        <v>12226.17449557</v>
      </c>
      <c r="C188" s="180">
        <v>1890.3338067754</v>
      </c>
      <c r="D188" s="180">
        <v>15.461367801190296</v>
      </c>
      <c r="E188" s="180">
        <v>2105.5968643599995</v>
      </c>
      <c r="F188" s="180">
        <v>17.22204165434524</v>
      </c>
      <c r="G188" s="180">
        <v>412.15867679999997</v>
      </c>
      <c r="H188" s="180">
        <v>3.371117244804092</v>
      </c>
      <c r="I188" s="180">
        <v>452.46003726999999</v>
      </c>
      <c r="J188" s="180">
        <v>3.7007490563294612</v>
      </c>
      <c r="K188" s="180">
        <v>540.18684793999989</v>
      </c>
      <c r="L188" s="180">
        <v>4.4182818438893525</v>
      </c>
      <c r="M188" s="180">
        <v>634.47006240999997</v>
      </c>
      <c r="N188" s="180">
        <v>5.1894405943567401</v>
      </c>
      <c r="O188" s="180">
        <v>1069.57037728</v>
      </c>
      <c r="P188" s="180">
        <v>8.748201472730047</v>
      </c>
      <c r="Q188" s="180">
        <v>4672.2114963946005</v>
      </c>
      <c r="R188" s="180">
        <v>38.214827525057146</v>
      </c>
      <c r="S188" s="180">
        <v>1727.11176959</v>
      </c>
      <c r="T188" s="180">
        <f t="shared" si="134"/>
        <v>14.126346472609214</v>
      </c>
      <c r="U188" s="180">
        <v>45.974578739999998</v>
      </c>
      <c r="V188" s="180">
        <v>0.37603404692660247</v>
      </c>
      <c r="W188" s="180">
        <v>0.60282583000000001</v>
      </c>
      <c r="X188" s="180">
        <v>4.9306169335177272E-3</v>
      </c>
      <c r="Y188" s="628">
        <v>158.41378684000165</v>
      </c>
      <c r="Z188" s="180">
        <v>1.2956938157344384</v>
      </c>
      <c r="AA188" s="180">
        <v>213.11365314</v>
      </c>
      <c r="AB188" s="180">
        <v>1.7430935017099507</v>
      </c>
      <c r="AC188" s="180">
        <v>1.2492522400000001</v>
      </c>
      <c r="AD188" s="180">
        <v>1.0217850566852706E-2</v>
      </c>
      <c r="AE188" s="180">
        <v>7.6998169599999997</v>
      </c>
      <c r="AF188" s="180">
        <v>6.297813729707466E-2</v>
      </c>
      <c r="AG188" s="180">
        <v>22.132412590000001</v>
      </c>
      <c r="AH188" s="180">
        <v>0.18102483812920714</v>
      </c>
      <c r="AI188" s="180">
        <v>206.80815031000003</v>
      </c>
    </row>
    <row r="189" spans="1:35">
      <c r="A189" s="625" t="s">
        <v>29</v>
      </c>
      <c r="B189" s="180">
        <v>11757.786958620001</v>
      </c>
      <c r="C189" s="180">
        <v>1626.7461591053998</v>
      </c>
      <c r="D189" s="180">
        <v>13.835479115504651</v>
      </c>
      <c r="E189" s="180">
        <v>2069.2089661499999</v>
      </c>
      <c r="F189" s="180">
        <v>17.598626114185528</v>
      </c>
      <c r="G189" s="180">
        <v>315.473367</v>
      </c>
      <c r="H189" s="180">
        <v>2.6831015743886786</v>
      </c>
      <c r="I189" s="180">
        <v>429.24484704000002</v>
      </c>
      <c r="J189" s="180">
        <v>3.650728224203001</v>
      </c>
      <c r="K189" s="180">
        <v>546.19935485999997</v>
      </c>
      <c r="L189" s="180">
        <v>4.6454265312195009</v>
      </c>
      <c r="M189" s="180">
        <v>621.19473878999997</v>
      </c>
      <c r="N189" s="180">
        <v>5.2832624113382378</v>
      </c>
      <c r="O189" s="180">
        <v>1126.7102225399999</v>
      </c>
      <c r="P189" s="180">
        <v>9.5826725429309931</v>
      </c>
      <c r="Q189" s="180">
        <v>4606.4676968645999</v>
      </c>
      <c r="R189" s="180">
        <v>39.178016348454541</v>
      </c>
      <c r="S189" s="180">
        <v>1737.27283257</v>
      </c>
      <c r="T189" s="180">
        <f t="shared" si="134"/>
        <v>14.775508679346764</v>
      </c>
      <c r="U189" s="180">
        <v>54.43873468999999</v>
      </c>
      <c r="V189" s="180">
        <v>0.46300154001420524</v>
      </c>
      <c r="W189" s="180">
        <v>1.0507229</v>
      </c>
      <c r="X189" s="180">
        <v>8.9364002230851967E-3</v>
      </c>
      <c r="Y189" s="628">
        <v>146.752711860001</v>
      </c>
      <c r="Z189" s="180">
        <v>1.2481320879216304</v>
      </c>
      <c r="AA189" s="180">
        <v>185.00134285000001</v>
      </c>
      <c r="AB189" s="180">
        <v>1.573436765788393</v>
      </c>
      <c r="AC189" s="180">
        <v>0.50894074</v>
      </c>
      <c r="AD189" s="180">
        <v>4.3285419423838055E-3</v>
      </c>
      <c r="AE189" s="180">
        <v>9.1111433300000009</v>
      </c>
      <c r="AF189" s="180">
        <v>7.7490291005148176E-2</v>
      </c>
      <c r="AG189" s="180">
        <v>19.678009899999999</v>
      </c>
      <c r="AH189" s="180">
        <v>0.16736151088001672</v>
      </c>
      <c r="AI189" s="180">
        <v>200.48204397999999</v>
      </c>
    </row>
    <row r="190" spans="1:35">
      <c r="A190" s="625" t="s">
        <v>2038</v>
      </c>
      <c r="B190" s="268">
        <v>13020.303367349999</v>
      </c>
      <c r="C190" s="268">
        <v>1584.9974706609999</v>
      </c>
      <c r="D190" s="268">
        <v>12.173276043902129</v>
      </c>
      <c r="E190" s="268">
        <v>2379.4941577499999</v>
      </c>
      <c r="F190" s="268">
        <v>18.275258959916957</v>
      </c>
      <c r="G190" s="268">
        <v>419.15198210000005</v>
      </c>
      <c r="H190" s="268">
        <v>3.2192182491774717</v>
      </c>
      <c r="I190" s="268">
        <v>469.97727143999992</v>
      </c>
      <c r="J190" s="268">
        <v>3.6095723592625757</v>
      </c>
      <c r="K190" s="268">
        <v>388.82759630999999</v>
      </c>
      <c r="L190" s="268">
        <v>2.9863174869260933</v>
      </c>
      <c r="M190" s="268">
        <v>706.61157455</v>
      </c>
      <c r="N190" s="268">
        <v>5.4269977788836687</v>
      </c>
      <c r="O190" s="268">
        <v>1370.6535793099999</v>
      </c>
      <c r="P190" s="268">
        <v>10.527047954559041</v>
      </c>
      <c r="Q190" s="268">
        <v>5319.6326080489998</v>
      </c>
      <c r="R190" s="268">
        <v>40.856441343668138</v>
      </c>
      <c r="S190" s="268">
        <v>1848</v>
      </c>
      <c r="T190" s="268">
        <v>14.193217683653097</v>
      </c>
      <c r="U190" s="268">
        <v>10.10455586</v>
      </c>
      <c r="V190" s="268">
        <v>7.7606147682690765E-2</v>
      </c>
      <c r="W190" s="268">
        <v>0.62470668000000007</v>
      </c>
      <c r="X190" s="268">
        <v>4.7979425853204643E-3</v>
      </c>
      <c r="Y190" s="630">
        <f t="shared" ref="Y190" si="136">((B190-C190-E190-G190-I190-K190-M190-W190-O190-Q190-U190-AA190-AC190-AE190-AG190))</f>
        <v>228.38757550000176</v>
      </c>
      <c r="Z190" s="268">
        <v>1.7540879736543735</v>
      </c>
      <c r="AA190" s="268">
        <v>41.455409499999995</v>
      </c>
      <c r="AB190" s="268">
        <v>0.31839050389528167</v>
      </c>
      <c r="AC190" s="268">
        <v>0.77153276999999998</v>
      </c>
      <c r="AD190" s="268">
        <v>5.9256128542650747E-3</v>
      </c>
      <c r="AE190" s="268">
        <v>27.702426319999997</v>
      </c>
      <c r="AF190" s="268">
        <v>0.21276329389887499</v>
      </c>
      <c r="AG190" s="268">
        <v>71.910920549999986</v>
      </c>
      <c r="AH190" s="268">
        <v>0.55229834913313469</v>
      </c>
      <c r="AI190" s="268">
        <v>293.92273483999998</v>
      </c>
    </row>
    <row r="191" spans="1:35">
      <c r="A191" s="625" t="s">
        <v>18</v>
      </c>
      <c r="B191" s="180">
        <v>11656.141583430008</v>
      </c>
      <c r="C191" s="180">
        <v>1695.9035093999998</v>
      </c>
      <c r="D191" s="180">
        <f t="shared" ref="D191:D201" si="137">C191/B191*100</f>
        <v>14.549441573452068</v>
      </c>
      <c r="E191" s="180">
        <v>2033.0644596000002</v>
      </c>
      <c r="F191" s="180">
        <f t="shared" ref="F191:F201" si="138">E191/B191*100</f>
        <v>17.442002098620168</v>
      </c>
      <c r="G191" s="180">
        <v>305.74856043</v>
      </c>
      <c r="H191" s="180">
        <f t="shared" ref="H191:H201" si="139">G191/B191*100</f>
        <v>2.6230683476309364</v>
      </c>
      <c r="I191" s="180">
        <v>449.16146827999995</v>
      </c>
      <c r="J191" s="180">
        <f t="shared" ref="J191:J201" si="140">I191/B191*100</f>
        <v>3.8534318158807652</v>
      </c>
      <c r="K191" s="180">
        <v>545.36230222999995</v>
      </c>
      <c r="L191" s="180">
        <f t="shared" ref="L191:L201" si="141">K191/B191*100</f>
        <v>4.6787549578607495</v>
      </c>
      <c r="M191" s="180">
        <v>621.43168186000003</v>
      </c>
      <c r="N191" s="180">
        <f t="shared" ref="N191:N201" si="142">M191/B191*100</f>
        <v>5.3313669657496874</v>
      </c>
      <c r="O191" s="180">
        <v>1120.4296421500001</v>
      </c>
      <c r="P191" s="180">
        <f t="shared" ref="P191:P201" si="143">O191/B191*100</f>
        <v>9.6123544324716033</v>
      </c>
      <c r="Q191" s="180">
        <v>4522.7713711400074</v>
      </c>
      <c r="R191" s="180">
        <f t="shared" ref="R191:R201" si="144">Q191/B191*100</f>
        <v>38.801616630750537</v>
      </c>
      <c r="S191" s="180">
        <v>1691.9</v>
      </c>
      <c r="T191" s="180">
        <f t="shared" si="134"/>
        <v>14.515094792646909</v>
      </c>
      <c r="U191" s="180">
        <v>9.25763626</v>
      </c>
      <c r="V191" s="180">
        <f t="shared" ref="V191:V201" si="145">U191/B191*100</f>
        <v>7.9422819238575096E-2</v>
      </c>
      <c r="W191" s="180">
        <v>1.341513</v>
      </c>
      <c r="X191" s="180">
        <f t="shared" ref="X191:X201" si="146">W191/B191*100</f>
        <v>1.1509065760723525E-2</v>
      </c>
      <c r="Y191" s="628">
        <v>142.86199121000053</v>
      </c>
      <c r="Z191" s="180">
        <f t="shared" ref="Z191:Z201" si="147">Y191/B191*100</f>
        <v>1.2256370616936267</v>
      </c>
      <c r="AA191" s="180">
        <v>178.98514718000001</v>
      </c>
      <c r="AB191" s="180">
        <f t="shared" ref="AB191:AB201" si="148">AA191/B191*100</f>
        <v>1.5355436951318393</v>
      </c>
      <c r="AC191" s="180">
        <v>0.51234869999999999</v>
      </c>
      <c r="AD191" s="180">
        <f t="shared" ref="AD191:AD201" si="149">AC191/B191*100</f>
        <v>4.3955257091964142E-3</v>
      </c>
      <c r="AE191" s="180">
        <v>12.492797840000001</v>
      </c>
      <c r="AF191" s="180">
        <f t="shared" ref="AF191:AF201" si="150">AE191/B191*100</f>
        <v>0.10717781480759771</v>
      </c>
      <c r="AG191" s="180">
        <v>16.81715415</v>
      </c>
      <c r="AH191" s="180">
        <f t="shared" ref="AH191:AH201" si="151">AG191/B191*100</f>
        <v>0.14427719524192054</v>
      </c>
      <c r="AI191" s="180">
        <v>270.42810402999999</v>
      </c>
    </row>
    <row r="192" spans="1:35">
      <c r="A192" s="625" t="s">
        <v>19</v>
      </c>
      <c r="B192" s="180">
        <v>11561.095831580007</v>
      </c>
      <c r="C192" s="180">
        <v>1700.8734333599998</v>
      </c>
      <c r="D192" s="180">
        <f t="shared" si="137"/>
        <v>14.71204337493627</v>
      </c>
      <c r="E192" s="180">
        <v>2001.28371584</v>
      </c>
      <c r="F192" s="180">
        <f t="shared" si="138"/>
        <v>17.310501919492289</v>
      </c>
      <c r="G192" s="180">
        <v>311.36558755999999</v>
      </c>
      <c r="H192" s="180">
        <f t="shared" si="139"/>
        <v>2.6932186368482594</v>
      </c>
      <c r="I192" s="180">
        <v>442.10031948999995</v>
      </c>
      <c r="J192" s="180">
        <f t="shared" si="140"/>
        <v>3.8240347275936379</v>
      </c>
      <c r="K192" s="180">
        <v>514.88871754000002</v>
      </c>
      <c r="L192" s="180">
        <f t="shared" si="141"/>
        <v>4.4536324673785908</v>
      </c>
      <c r="M192" s="180">
        <v>658.35557799999992</v>
      </c>
      <c r="N192" s="180">
        <f t="shared" si="142"/>
        <v>5.6945776385803493</v>
      </c>
      <c r="O192" s="180">
        <v>983.26888072999998</v>
      </c>
      <c r="P192" s="180">
        <f t="shared" si="143"/>
        <v>8.5049799348961947</v>
      </c>
      <c r="Q192" s="180">
        <v>4575.2561789100064</v>
      </c>
      <c r="R192" s="180">
        <f t="shared" si="144"/>
        <v>39.574589170105732</v>
      </c>
      <c r="S192" s="180">
        <v>1746</v>
      </c>
      <c r="T192" s="180">
        <f t="shared" si="134"/>
        <v>15.102374596970893</v>
      </c>
      <c r="U192" s="180">
        <v>10.236170839999998</v>
      </c>
      <c r="V192" s="180">
        <f t="shared" si="145"/>
        <v>8.8539797516764135E-2</v>
      </c>
      <c r="W192" s="180">
        <v>1.32405332</v>
      </c>
      <c r="X192" s="180">
        <f t="shared" si="146"/>
        <v>1.1452662786370547E-2</v>
      </c>
      <c r="Y192" s="628">
        <v>149.00794968000136</v>
      </c>
      <c r="Z192" s="180">
        <f t="shared" si="147"/>
        <v>1.2888739255406472</v>
      </c>
      <c r="AA192" s="180">
        <v>177.35163441999998</v>
      </c>
      <c r="AB192" s="180">
        <f t="shared" si="148"/>
        <v>1.534038269413446</v>
      </c>
      <c r="AC192" s="180">
        <v>0.4919635</v>
      </c>
      <c r="AD192" s="180">
        <f t="shared" si="149"/>
        <v>4.2553362342708416E-3</v>
      </c>
      <c r="AE192" s="180">
        <v>16.21903154</v>
      </c>
      <c r="AF192" s="180">
        <f t="shared" si="150"/>
        <v>0.14028974222059892</v>
      </c>
      <c r="AG192" s="180">
        <v>19.072616850000003</v>
      </c>
      <c r="AH192" s="180">
        <f t="shared" si="151"/>
        <v>0.16497239645658596</v>
      </c>
      <c r="AI192" s="180">
        <v>252.69203856000001</v>
      </c>
    </row>
    <row r="193" spans="1:35">
      <c r="A193" s="625" t="s">
        <v>20</v>
      </c>
      <c r="B193" s="180">
        <v>11663.483887770006</v>
      </c>
      <c r="C193" s="180">
        <v>1710.2045596400001</v>
      </c>
      <c r="D193" s="180">
        <f t="shared" si="137"/>
        <v>14.662896404677777</v>
      </c>
      <c r="E193" s="180">
        <v>2003.4947633800002</v>
      </c>
      <c r="F193" s="180">
        <f t="shared" si="138"/>
        <v>17.177498444361099</v>
      </c>
      <c r="G193" s="180">
        <v>311.66631981</v>
      </c>
      <c r="H193" s="180">
        <f t="shared" si="139"/>
        <v>2.6721545878483561</v>
      </c>
      <c r="I193" s="180">
        <v>451.24269704</v>
      </c>
      <c r="J193" s="180">
        <f t="shared" si="140"/>
        <v>3.8688500055558883</v>
      </c>
      <c r="K193" s="180">
        <v>529.35327649999988</v>
      </c>
      <c r="L193" s="180">
        <f t="shared" si="141"/>
        <v>4.5385519592054697</v>
      </c>
      <c r="M193" s="180">
        <v>654.13017887000001</v>
      </c>
      <c r="N193" s="180">
        <f t="shared" si="142"/>
        <v>5.6083601191913344</v>
      </c>
      <c r="O193" s="180">
        <v>992.91432654999994</v>
      </c>
      <c r="P193" s="180">
        <f t="shared" si="143"/>
        <v>8.5130166604091713</v>
      </c>
      <c r="Q193" s="180">
        <v>4635.1175896300083</v>
      </c>
      <c r="R193" s="180">
        <f t="shared" si="144"/>
        <v>39.740420908801184</v>
      </c>
      <c r="S193" s="180">
        <v>1761.5</v>
      </c>
      <c r="T193" s="180">
        <f t="shared" si="134"/>
        <v>15.102691588120237</v>
      </c>
      <c r="U193" s="180">
        <v>10.041762239999999</v>
      </c>
      <c r="V193" s="180">
        <f t="shared" si="145"/>
        <v>8.609573551629375E-2</v>
      </c>
      <c r="W193" s="180">
        <v>0.98612861000000007</v>
      </c>
      <c r="X193" s="180">
        <f t="shared" si="146"/>
        <v>8.4548375038613136E-3</v>
      </c>
      <c r="Y193" s="628">
        <v>148.59153968999695</v>
      </c>
      <c r="Z193" s="180">
        <f t="shared" si="147"/>
        <v>1.2739893253147609</v>
      </c>
      <c r="AA193" s="180">
        <v>178.25387185</v>
      </c>
      <c r="AB193" s="180">
        <f t="shared" si="148"/>
        <v>1.5283072670671916</v>
      </c>
      <c r="AC193" s="180">
        <v>0.61231402999999995</v>
      </c>
      <c r="AD193" s="180">
        <f t="shared" si="149"/>
        <v>5.2498381777854111E-3</v>
      </c>
      <c r="AE193" s="180">
        <v>16.954571259999998</v>
      </c>
      <c r="AF193" s="180">
        <f t="shared" si="150"/>
        <v>0.14536455336280849</v>
      </c>
      <c r="AG193" s="180">
        <v>19.919988670000002</v>
      </c>
      <c r="AH193" s="180">
        <f t="shared" si="151"/>
        <v>0.17078935300701645</v>
      </c>
      <c r="AI193" s="180">
        <v>237.51239071000001</v>
      </c>
    </row>
    <row r="194" spans="1:35">
      <c r="A194" s="625" t="s">
        <v>21</v>
      </c>
      <c r="B194" s="180">
        <v>11815.783021536998</v>
      </c>
      <c r="C194" s="180">
        <v>1708.8377681700001</v>
      </c>
      <c r="D194" s="180">
        <f t="shared" si="137"/>
        <v>14.462331993192901</v>
      </c>
      <c r="E194" s="180">
        <v>1991.8046282800001</v>
      </c>
      <c r="F194" s="180">
        <f t="shared" si="138"/>
        <v>16.857153052400129</v>
      </c>
      <c r="G194" s="180">
        <v>308.65081077000002</v>
      </c>
      <c r="H194" s="180">
        <f t="shared" si="139"/>
        <v>2.6121909162296948</v>
      </c>
      <c r="I194" s="180">
        <v>455.91897537</v>
      </c>
      <c r="J194" s="180">
        <f t="shared" si="140"/>
        <v>3.8585591368678838</v>
      </c>
      <c r="K194" s="180">
        <v>515.33990113000004</v>
      </c>
      <c r="L194" s="180">
        <f t="shared" si="141"/>
        <v>4.3614536606729644</v>
      </c>
      <c r="M194" s="180">
        <v>675.17201417000001</v>
      </c>
      <c r="N194" s="180">
        <f t="shared" si="142"/>
        <v>5.7141537969962952</v>
      </c>
      <c r="O194" s="180">
        <v>1104.84376737</v>
      </c>
      <c r="P194" s="180">
        <f t="shared" si="143"/>
        <v>9.3505759656906928</v>
      </c>
      <c r="Q194" s="180">
        <v>4689.4034377270009</v>
      </c>
      <c r="R194" s="180">
        <f t="shared" si="144"/>
        <v>39.68762314930359</v>
      </c>
      <c r="S194" s="180">
        <v>1768.1</v>
      </c>
      <c r="T194" s="180">
        <f t="shared" si="134"/>
        <v>14.963883449596432</v>
      </c>
      <c r="U194" s="180">
        <v>9.8467782799999988</v>
      </c>
      <c r="V194" s="180">
        <f t="shared" si="145"/>
        <v>8.3335808232530728E-2</v>
      </c>
      <c r="W194" s="180">
        <v>0.91174432999999999</v>
      </c>
      <c r="X194" s="180">
        <f t="shared" si="146"/>
        <v>7.7163259374189164E-3</v>
      </c>
      <c r="Y194" s="628">
        <v>149.40151352999578</v>
      </c>
      <c r="Z194" s="180">
        <f t="shared" si="147"/>
        <v>1.2644232993926596</v>
      </c>
      <c r="AA194" s="180">
        <v>173.99071329999998</v>
      </c>
      <c r="AB194" s="180">
        <f t="shared" si="148"/>
        <v>1.4725279990573765</v>
      </c>
      <c r="AC194" s="180">
        <v>0.69973138999999995</v>
      </c>
      <c r="AD194" s="180">
        <f t="shared" si="149"/>
        <v>5.9220060890131246E-3</v>
      </c>
      <c r="AE194" s="180">
        <v>10.697020489999998</v>
      </c>
      <c r="AF194" s="180">
        <f t="shared" si="150"/>
        <v>9.0531625965898352E-2</v>
      </c>
      <c r="AG194" s="180">
        <v>20.26421723</v>
      </c>
      <c r="AH194" s="180">
        <f t="shared" si="151"/>
        <v>0.17150126397094273</v>
      </c>
      <c r="AI194" s="180">
        <v>260.86841077999998</v>
      </c>
    </row>
    <row r="195" spans="1:35">
      <c r="A195" s="625" t="s">
        <v>22</v>
      </c>
      <c r="B195" s="180">
        <v>11945.500793076999</v>
      </c>
      <c r="C195" s="180">
        <v>1710.7977509899999</v>
      </c>
      <c r="D195" s="180">
        <f t="shared" si="137"/>
        <v>14.321691326507558</v>
      </c>
      <c r="E195" s="180">
        <v>1998.8300638600001</v>
      </c>
      <c r="F195" s="180">
        <f t="shared" si="138"/>
        <v>16.732911398896057</v>
      </c>
      <c r="G195" s="180">
        <v>302.60243201000003</v>
      </c>
      <c r="H195" s="180">
        <f t="shared" si="139"/>
        <v>2.5331916782038379</v>
      </c>
      <c r="I195" s="180">
        <v>466.14801505999998</v>
      </c>
      <c r="J195" s="180">
        <f t="shared" si="140"/>
        <v>3.9022894321028003</v>
      </c>
      <c r="K195" s="180">
        <v>510.15073849000004</v>
      </c>
      <c r="L195" s="180">
        <f t="shared" si="141"/>
        <v>4.2706517485282598</v>
      </c>
      <c r="M195" s="180">
        <v>691.65238806000002</v>
      </c>
      <c r="N195" s="180">
        <f t="shared" si="142"/>
        <v>5.790066067894335</v>
      </c>
      <c r="O195" s="180">
        <v>1101.37557242</v>
      </c>
      <c r="P195" s="180">
        <f t="shared" si="143"/>
        <v>9.2200033426668977</v>
      </c>
      <c r="Q195" s="180">
        <v>4799.8661793370002</v>
      </c>
      <c r="R195" s="180">
        <f t="shared" si="144"/>
        <v>40.181372572665659</v>
      </c>
      <c r="S195" s="180">
        <v>1772.7</v>
      </c>
      <c r="T195" s="180">
        <f t="shared" si="134"/>
        <v>14.8398968842509</v>
      </c>
      <c r="U195" s="180">
        <v>9.6516798700000006</v>
      </c>
      <c r="V195" s="180">
        <f t="shared" si="145"/>
        <v>8.0797616083150073E-2</v>
      </c>
      <c r="W195" s="180">
        <v>0.92797324000000003</v>
      </c>
      <c r="X195" s="180">
        <f t="shared" si="146"/>
        <v>7.768391263577713E-3</v>
      </c>
      <c r="Y195" s="628">
        <v>145.77561062999999</v>
      </c>
      <c r="Z195" s="180">
        <f t="shared" si="147"/>
        <v>1.2203390477734017</v>
      </c>
      <c r="AA195" s="180">
        <v>170.54333094</v>
      </c>
      <c r="AB195" s="180">
        <f t="shared" si="148"/>
        <v>1.4276783694061466</v>
      </c>
      <c r="AC195" s="180">
        <v>6.6814009999999993E-2</v>
      </c>
      <c r="AD195" s="180">
        <f t="shared" si="149"/>
        <v>5.5932364123839813E-4</v>
      </c>
      <c r="AE195" s="180">
        <v>14.495702170000001</v>
      </c>
      <c r="AF195" s="180">
        <f t="shared" si="150"/>
        <v>0.12134863511457777</v>
      </c>
      <c r="AG195" s="180">
        <v>22.616541990000002</v>
      </c>
      <c r="AH195" s="180">
        <f t="shared" si="151"/>
        <v>0.18933104925251348</v>
      </c>
      <c r="AI195" s="180">
        <v>258.20518451999999</v>
      </c>
    </row>
    <row r="196" spans="1:35">
      <c r="A196" s="625" t="s">
        <v>23</v>
      </c>
      <c r="B196" s="180">
        <v>12105.576494017001</v>
      </c>
      <c r="C196" s="180">
        <v>1745.7337322799999</v>
      </c>
      <c r="D196" s="180">
        <f t="shared" si="137"/>
        <v>14.420905383091853</v>
      </c>
      <c r="E196" s="180">
        <v>2039.3072375500005</v>
      </c>
      <c r="F196" s="180">
        <f t="shared" si="138"/>
        <v>16.846015045693179</v>
      </c>
      <c r="G196" s="180">
        <v>296.57786396</v>
      </c>
      <c r="H196" s="180">
        <f t="shared" si="139"/>
        <v>2.449927635470968</v>
      </c>
      <c r="I196" s="180">
        <v>465.08444477000006</v>
      </c>
      <c r="J196" s="180">
        <f t="shared" si="140"/>
        <v>3.841902490144613</v>
      </c>
      <c r="K196" s="180">
        <v>515.03970698000001</v>
      </c>
      <c r="L196" s="180">
        <f t="shared" si="141"/>
        <v>4.2545657138637765</v>
      </c>
      <c r="M196" s="180">
        <v>682.88505590999989</v>
      </c>
      <c r="N196" s="180">
        <f t="shared" si="142"/>
        <v>5.641078359609768</v>
      </c>
      <c r="O196" s="180">
        <v>1157.44073469</v>
      </c>
      <c r="P196" s="180">
        <f t="shared" si="143"/>
        <v>9.5612194533820638</v>
      </c>
      <c r="Q196" s="180">
        <v>4824.1952573070002</v>
      </c>
      <c r="R196" s="180">
        <f t="shared" si="144"/>
        <v>39.851016262557067</v>
      </c>
      <c r="S196" s="180">
        <v>1772.7</v>
      </c>
      <c r="T196" s="180">
        <f t="shared" si="134"/>
        <v>14.643664437427912</v>
      </c>
      <c r="U196" s="180">
        <v>9.569948440000001</v>
      </c>
      <c r="V196" s="180">
        <f t="shared" si="145"/>
        <v>7.9054049550880981E-2</v>
      </c>
      <c r="W196" s="180">
        <v>2.8514884700000001</v>
      </c>
      <c r="X196" s="180">
        <f t="shared" si="146"/>
        <v>2.3555164608718183E-2</v>
      </c>
      <c r="Y196" s="180">
        <f>((B196-C196-E196-G196-I196-K196-M196-W196-O196-Q196-U196-AA196-AC196-AE196-AG196))</f>
        <v>145.70224299000151</v>
      </c>
      <c r="Z196" s="180">
        <f t="shared" si="147"/>
        <v>1.2035960704722544</v>
      </c>
      <c r="AA196" s="180">
        <v>170.57673489000001</v>
      </c>
      <c r="AB196" s="180">
        <f t="shared" si="148"/>
        <v>1.4090756848656072</v>
      </c>
      <c r="AC196" s="180">
        <v>6.7579589999999995E-2</v>
      </c>
      <c r="AD196" s="180">
        <f t="shared" si="149"/>
        <v>5.5825172831215587E-4</v>
      </c>
      <c r="AE196" s="180">
        <v>14.1270291</v>
      </c>
      <c r="AF196" s="180">
        <f t="shared" si="150"/>
        <v>0.11669852408088181</v>
      </c>
      <c r="AG196" s="180">
        <v>36.41743709</v>
      </c>
      <c r="AH196" s="180">
        <f t="shared" si="151"/>
        <v>0.30083191088007061</v>
      </c>
      <c r="AI196" s="180">
        <v>234.81492606</v>
      </c>
    </row>
    <row r="197" spans="1:35">
      <c r="A197" s="625" t="s">
        <v>24</v>
      </c>
      <c r="B197" s="180">
        <v>12170.671456159998</v>
      </c>
      <c r="C197" s="180">
        <v>1782.0547715499999</v>
      </c>
      <c r="D197" s="180">
        <f t="shared" si="137"/>
        <v>14.642205879676757</v>
      </c>
      <c r="E197" s="180">
        <v>2029.3525126000002</v>
      </c>
      <c r="F197" s="180">
        <f t="shared" si="138"/>
        <v>16.67412122584966</v>
      </c>
      <c r="G197" s="180">
        <v>292.90927842999997</v>
      </c>
      <c r="H197" s="180">
        <f t="shared" si="139"/>
        <v>2.4066813362359598</v>
      </c>
      <c r="I197" s="180">
        <v>463.44302985000007</v>
      </c>
      <c r="J197" s="180">
        <f t="shared" si="140"/>
        <v>3.8078673926855164</v>
      </c>
      <c r="K197" s="180">
        <v>512.03328225999996</v>
      </c>
      <c r="L197" s="180">
        <f t="shared" si="141"/>
        <v>4.2071079159797895</v>
      </c>
      <c r="M197" s="180">
        <v>670.24153623999996</v>
      </c>
      <c r="N197" s="180">
        <f t="shared" si="142"/>
        <v>5.5070218488296101</v>
      </c>
      <c r="O197" s="180">
        <v>1176.20237238</v>
      </c>
      <c r="P197" s="180">
        <f t="shared" si="143"/>
        <v>9.6642356719331488</v>
      </c>
      <c r="Q197" s="180">
        <v>4874.4513295800007</v>
      </c>
      <c r="R197" s="180">
        <f t="shared" si="144"/>
        <v>40.050800378091481</v>
      </c>
      <c r="S197" s="180">
        <v>1716.3</v>
      </c>
      <c r="T197" s="180">
        <f t="shared" si="134"/>
        <v>14.101933539018679</v>
      </c>
      <c r="U197" s="180">
        <v>9.3917571599999992</v>
      </c>
      <c r="V197" s="180">
        <f t="shared" si="145"/>
        <v>7.7167124211922636E-2</v>
      </c>
      <c r="W197" s="180">
        <v>0.85998889000000001</v>
      </c>
      <c r="X197" s="180">
        <f t="shared" si="146"/>
        <v>7.0660759605397925E-3</v>
      </c>
      <c r="Y197" s="180">
        <v>149.41796925999719</v>
      </c>
      <c r="Z197" s="180">
        <f t="shared" si="147"/>
        <v>1.2276887910269862</v>
      </c>
      <c r="AA197" s="180">
        <v>167.49315672</v>
      </c>
      <c r="AB197" s="180">
        <f t="shared" si="148"/>
        <v>1.3762030905470373</v>
      </c>
      <c r="AC197" s="180">
        <v>6.8799920000000001E-2</v>
      </c>
      <c r="AD197" s="180">
        <f t="shared" si="149"/>
        <v>5.6529272232698361E-4</v>
      </c>
      <c r="AE197" s="180">
        <v>12.740721090000001</v>
      </c>
      <c r="AF197" s="180">
        <f t="shared" si="150"/>
        <v>0.10468379773370252</v>
      </c>
      <c r="AG197" s="180">
        <v>30.010950229999999</v>
      </c>
      <c r="AH197" s="180">
        <f t="shared" si="151"/>
        <v>0.246584178515561</v>
      </c>
      <c r="AI197" s="180">
        <v>240.19605958</v>
      </c>
    </row>
    <row r="198" spans="1:35">
      <c r="A198" s="625" t="s">
        <v>25</v>
      </c>
      <c r="B198" s="180">
        <v>12306.538666899998</v>
      </c>
      <c r="C198" s="180">
        <v>1772.4388613299998</v>
      </c>
      <c r="D198" s="180">
        <f t="shared" si="137"/>
        <v>14.402415734468049</v>
      </c>
      <c r="E198" s="180">
        <v>2047.53815558</v>
      </c>
      <c r="F198" s="180">
        <f t="shared" si="138"/>
        <v>16.637807030884439</v>
      </c>
      <c r="G198" s="180">
        <v>292.92369737000001</v>
      </c>
      <c r="H198" s="180">
        <f t="shared" si="139"/>
        <v>2.3802281478045129</v>
      </c>
      <c r="I198" s="180">
        <v>461.87773043999994</v>
      </c>
      <c r="J198" s="180">
        <f t="shared" si="140"/>
        <v>3.7531083511099581</v>
      </c>
      <c r="K198" s="180">
        <v>504.56107226999995</v>
      </c>
      <c r="L198" s="180">
        <f t="shared" si="141"/>
        <v>4.0999430134411483</v>
      </c>
      <c r="M198" s="180">
        <v>682.60002989999998</v>
      </c>
      <c r="N198" s="180">
        <f t="shared" si="142"/>
        <v>5.5466451483709198</v>
      </c>
      <c r="O198" s="180">
        <v>1175.08520795</v>
      </c>
      <c r="P198" s="180">
        <f t="shared" si="143"/>
        <v>9.5484623236145296</v>
      </c>
      <c r="Q198" s="180">
        <v>4977.6642227699995</v>
      </c>
      <c r="R198" s="180">
        <f t="shared" si="144"/>
        <v>40.447313070717932</v>
      </c>
      <c r="S198" s="180">
        <v>1774.3</v>
      </c>
      <c r="T198" s="180">
        <f t="shared" si="134"/>
        <v>14.417538903706575</v>
      </c>
      <c r="U198" s="180">
        <v>9.4444079400000014</v>
      </c>
      <c r="V198" s="180">
        <f t="shared" si="145"/>
        <v>7.6743007888984568E-2</v>
      </c>
      <c r="W198" s="180">
        <v>0.92213625999999993</v>
      </c>
      <c r="X198" s="180">
        <f t="shared" si="146"/>
        <v>7.4930594617981629E-3</v>
      </c>
      <c r="Y198" s="180">
        <v>181.21926215999827</v>
      </c>
      <c r="Z198" s="180">
        <f t="shared" si="147"/>
        <v>1.4725445315294912</v>
      </c>
      <c r="AA198" s="180">
        <v>141.99075812999999</v>
      </c>
      <c r="AB198" s="180">
        <f t="shared" si="148"/>
        <v>1.1537830577163197</v>
      </c>
      <c r="AC198" s="180">
        <v>6.9456649999999995E-2</v>
      </c>
      <c r="AD198" s="180">
        <f t="shared" si="149"/>
        <v>5.6438818322500784E-4</v>
      </c>
      <c r="AE198" s="180">
        <v>18.18999762</v>
      </c>
      <c r="AF198" s="180">
        <f t="shared" si="150"/>
        <v>0.14780758515734657</v>
      </c>
      <c r="AG198" s="180">
        <v>40.013670529999999</v>
      </c>
      <c r="AH198" s="180">
        <f t="shared" si="151"/>
        <v>0.32514154965133985</v>
      </c>
      <c r="AI198" s="180">
        <v>262.58401571000002</v>
      </c>
    </row>
    <row r="199" spans="1:35">
      <c r="A199" s="625" t="s">
        <v>26</v>
      </c>
      <c r="B199" s="180">
        <v>12302.424515589999</v>
      </c>
      <c r="C199" s="180">
        <v>1748.6649660999997</v>
      </c>
      <c r="D199" s="180">
        <f t="shared" si="137"/>
        <v>14.213986551057797</v>
      </c>
      <c r="E199" s="180">
        <v>2077.3704535000002</v>
      </c>
      <c r="F199" s="180">
        <f t="shared" si="138"/>
        <v>16.885862220633783</v>
      </c>
      <c r="G199" s="180">
        <v>286.35109136</v>
      </c>
      <c r="H199" s="180">
        <f t="shared" si="139"/>
        <v>2.3275988484800485</v>
      </c>
      <c r="I199" s="180">
        <v>463.80772493999996</v>
      </c>
      <c r="J199" s="180">
        <f t="shared" si="140"/>
        <v>3.7700513776959084</v>
      </c>
      <c r="K199" s="180">
        <v>387.96225466999994</v>
      </c>
      <c r="L199" s="180">
        <f t="shared" si="141"/>
        <v>3.1535430611938531</v>
      </c>
      <c r="M199" s="180">
        <v>677.75509700999999</v>
      </c>
      <c r="N199" s="180">
        <f t="shared" si="142"/>
        <v>5.5091181104271643</v>
      </c>
      <c r="O199" s="180">
        <v>1289.2964963599998</v>
      </c>
      <c r="P199" s="180">
        <f t="shared" si="143"/>
        <v>10.480019566274638</v>
      </c>
      <c r="Q199" s="180">
        <v>5051.0822655799993</v>
      </c>
      <c r="R199" s="180">
        <f t="shared" si="144"/>
        <v>41.057616400564925</v>
      </c>
      <c r="S199" s="180">
        <v>1786</v>
      </c>
      <c r="T199" s="180">
        <f t="shared" si="134"/>
        <v>14.517463592129564</v>
      </c>
      <c r="U199" s="180">
        <v>9.6398599600000008</v>
      </c>
      <c r="V199" s="180">
        <f t="shared" si="145"/>
        <v>7.8357399777451042E-2</v>
      </c>
      <c r="W199" s="180">
        <v>1.1714369100000002</v>
      </c>
      <c r="X199" s="180">
        <f t="shared" si="146"/>
        <v>9.5220003871230464E-3</v>
      </c>
      <c r="Y199" s="180">
        <v>181.86489376</v>
      </c>
      <c r="Z199" s="180">
        <f t="shared" si="147"/>
        <v>1.4782849797577329</v>
      </c>
      <c r="AA199" s="180">
        <v>52.941772020000002</v>
      </c>
      <c r="AB199" s="180">
        <f t="shared" si="148"/>
        <v>0.43033608499617787</v>
      </c>
      <c r="AC199" s="180">
        <v>0.14092945000000001</v>
      </c>
      <c r="AD199" s="180">
        <f t="shared" si="149"/>
        <v>1.1455420825497446E-3</v>
      </c>
      <c r="AE199" s="180">
        <v>23.458616839999998</v>
      </c>
      <c r="AF199" s="180">
        <f t="shared" si="150"/>
        <v>0.19068287564189107</v>
      </c>
      <c r="AG199" s="180">
        <v>50.916657130000004</v>
      </c>
      <c r="AH199" s="180">
        <f t="shared" si="151"/>
        <v>0.41387498102895814</v>
      </c>
      <c r="AI199" s="180">
        <v>253.50177575999999</v>
      </c>
    </row>
    <row r="200" spans="1:35">
      <c r="A200" s="625" t="s">
        <v>27</v>
      </c>
      <c r="B200" s="180">
        <v>12281.298870979997</v>
      </c>
      <c r="C200" s="180">
        <v>1698.5633427609998</v>
      </c>
      <c r="D200" s="180">
        <f t="shared" si="137"/>
        <v>13.830486177440134</v>
      </c>
      <c r="E200" s="180">
        <v>2065.9290391599998</v>
      </c>
      <c r="F200" s="180">
        <f t="shared" si="138"/>
        <v>16.821747120263243</v>
      </c>
      <c r="G200" s="180">
        <v>275.53330493999999</v>
      </c>
      <c r="H200" s="180">
        <f t="shared" si="139"/>
        <v>2.2435192550445078</v>
      </c>
      <c r="I200" s="180">
        <v>468.10713691999996</v>
      </c>
      <c r="J200" s="180">
        <f t="shared" si="140"/>
        <v>3.8115442172497747</v>
      </c>
      <c r="K200" s="180">
        <v>375.56156014000004</v>
      </c>
      <c r="L200" s="180">
        <f t="shared" si="141"/>
        <v>3.0579954456399592</v>
      </c>
      <c r="M200" s="180">
        <v>687.42989109999996</v>
      </c>
      <c r="N200" s="180">
        <f t="shared" si="142"/>
        <v>5.5973712416066776</v>
      </c>
      <c r="O200" s="180">
        <v>1288.9801127799999</v>
      </c>
      <c r="P200" s="180">
        <f t="shared" si="143"/>
        <v>10.495470603893418</v>
      </c>
      <c r="Q200" s="180">
        <v>5106.5776463789998</v>
      </c>
      <c r="R200" s="180">
        <f t="shared" si="144"/>
        <v>41.580110540633036</v>
      </c>
      <c r="S200" s="180">
        <v>1804.7</v>
      </c>
      <c r="T200" s="180">
        <f t="shared" si="134"/>
        <v>14.694699794859664</v>
      </c>
      <c r="U200" s="180">
        <v>9.6000749600000006</v>
      </c>
      <c r="V200" s="180">
        <f t="shared" si="145"/>
        <v>7.816823823646557E-2</v>
      </c>
      <c r="W200" s="180">
        <v>1.0585298700000001</v>
      </c>
      <c r="X200" s="180">
        <f t="shared" si="146"/>
        <v>8.61903843494311E-3</v>
      </c>
      <c r="Y200" s="180">
        <v>181.80954275000002</v>
      </c>
      <c r="Z200" s="180">
        <f t="shared" si="147"/>
        <v>1.4803771544034769</v>
      </c>
      <c r="AA200" s="180">
        <v>50.153420240000003</v>
      </c>
      <c r="AB200" s="180">
        <f t="shared" si="148"/>
        <v>0.40837228021955929</v>
      </c>
      <c r="AC200" s="180">
        <v>0.13995804000000001</v>
      </c>
      <c r="AD200" s="180">
        <f t="shared" si="149"/>
        <v>1.1396029155410655E-3</v>
      </c>
      <c r="AE200" s="180">
        <v>19.638614440000001</v>
      </c>
      <c r="AF200" s="180">
        <f t="shared" si="150"/>
        <v>0.15990665683093924</v>
      </c>
      <c r="AG200" s="180">
        <v>52.216696500000012</v>
      </c>
      <c r="AH200" s="180">
        <f t="shared" si="151"/>
        <v>0.42517242718834125</v>
      </c>
      <c r="AI200" s="180">
        <v>276.41192297999999</v>
      </c>
    </row>
    <row r="201" spans="1:35">
      <c r="A201" s="625" t="s">
        <v>28</v>
      </c>
      <c r="B201" s="180">
        <v>12564.15074323</v>
      </c>
      <c r="C201" s="180">
        <v>1688.6722504009999</v>
      </c>
      <c r="D201" s="180">
        <f t="shared" si="137"/>
        <v>13.440401065793603</v>
      </c>
      <c r="E201" s="180">
        <v>2084.2908867200003</v>
      </c>
      <c r="F201" s="180">
        <f t="shared" si="138"/>
        <v>16.58919038235106</v>
      </c>
      <c r="G201" s="180">
        <v>272.67751794999998</v>
      </c>
      <c r="H201" s="180">
        <f t="shared" si="139"/>
        <v>2.1702821266843526</v>
      </c>
      <c r="I201" s="180">
        <v>470.82333544999995</v>
      </c>
      <c r="J201" s="180">
        <f t="shared" si="140"/>
        <v>3.747355034749928</v>
      </c>
      <c r="K201" s="180">
        <v>401.68512582999995</v>
      </c>
      <c r="L201" s="180">
        <f t="shared" si="141"/>
        <v>3.1970734356752426</v>
      </c>
      <c r="M201" s="180">
        <v>685.55843461999996</v>
      </c>
      <c r="N201" s="180">
        <f t="shared" si="142"/>
        <v>5.4564645763216628</v>
      </c>
      <c r="O201" s="180">
        <v>1367.1655438299999</v>
      </c>
      <c r="P201" s="180">
        <f t="shared" si="143"/>
        <v>10.881479948548661</v>
      </c>
      <c r="Q201" s="180">
        <v>5297.7696438289995</v>
      </c>
      <c r="R201" s="180">
        <f t="shared" si="144"/>
        <v>42.165759963391245</v>
      </c>
      <c r="S201" s="180">
        <v>1820.3</v>
      </c>
      <c r="T201" s="180">
        <f t="shared" si="134"/>
        <v>14.488046484008008</v>
      </c>
      <c r="U201" s="180">
        <v>9.9738922899999984</v>
      </c>
      <c r="V201" s="180">
        <f t="shared" si="145"/>
        <v>7.9383736265455723E-2</v>
      </c>
      <c r="W201" s="180">
        <v>1.08985051</v>
      </c>
      <c r="X201" s="180">
        <f t="shared" si="146"/>
        <v>8.6742871227269321E-3</v>
      </c>
      <c r="Y201" s="180">
        <v>180.85586092999992</v>
      </c>
      <c r="Z201" s="180">
        <f t="shared" si="147"/>
        <v>1.4394594957200058</v>
      </c>
      <c r="AA201" s="180">
        <v>38.896891369999999</v>
      </c>
      <c r="AB201" s="180">
        <f t="shared" si="148"/>
        <v>0.30958631558093164</v>
      </c>
      <c r="AC201" s="180">
        <v>0.1367777</v>
      </c>
      <c r="AD201" s="180">
        <f t="shared" si="149"/>
        <v>1.0886346621851904E-3</v>
      </c>
      <c r="AE201" s="180">
        <v>20.116690760000001</v>
      </c>
      <c r="AF201" s="180">
        <f t="shared" si="150"/>
        <v>0.16011182268598276</v>
      </c>
      <c r="AG201" s="180">
        <v>44.438041040000002</v>
      </c>
      <c r="AH201" s="180">
        <f t="shared" si="151"/>
        <v>0.35368917444694586</v>
      </c>
      <c r="AI201" s="180">
        <v>292.73501434000002</v>
      </c>
    </row>
    <row r="202" spans="1:35">
      <c r="A202" s="625" t="s">
        <v>29</v>
      </c>
      <c r="B202" s="180">
        <v>13020.303367349999</v>
      </c>
      <c r="C202" s="180">
        <v>1584.9974706609999</v>
      </c>
      <c r="D202" s="180">
        <f>C202/B202*100</f>
        <v>12.173276043902129</v>
      </c>
      <c r="E202" s="180">
        <v>2379.4941577499999</v>
      </c>
      <c r="F202" s="180">
        <f>E202/B202*100</f>
        <v>18.275258959916957</v>
      </c>
      <c r="G202" s="180">
        <v>419.15198210000005</v>
      </c>
      <c r="H202" s="180">
        <f>G202/B202*100</f>
        <v>3.2192182491774717</v>
      </c>
      <c r="I202" s="180">
        <v>469.97727143999992</v>
      </c>
      <c r="J202" s="180">
        <f>I202/B202*100</f>
        <v>3.6095723592625757</v>
      </c>
      <c r="K202" s="180">
        <v>388.82759630999999</v>
      </c>
      <c r="L202" s="180">
        <f>K202/B202*100</f>
        <v>2.9863174869260933</v>
      </c>
      <c r="M202" s="180">
        <v>706.61157455</v>
      </c>
      <c r="N202" s="180">
        <f>M202/B202*100</f>
        <v>5.4269977788836687</v>
      </c>
      <c r="O202" s="180">
        <v>1370.6535793099999</v>
      </c>
      <c r="P202" s="180">
        <f>O202/B202*100</f>
        <v>10.527047954559041</v>
      </c>
      <c r="Q202" s="180">
        <v>5319.6326080489998</v>
      </c>
      <c r="R202" s="180">
        <f>Q202/B202*100</f>
        <v>40.856441343668138</v>
      </c>
      <c r="S202" s="180">
        <v>1848</v>
      </c>
      <c r="T202" s="180">
        <f t="shared" si="134"/>
        <v>14.193217683653097</v>
      </c>
      <c r="U202" s="180">
        <v>10.10455586</v>
      </c>
      <c r="V202" s="180">
        <f>U202/B202*100</f>
        <v>7.7606147682690765E-2</v>
      </c>
      <c r="W202" s="180">
        <v>0.62470668000000007</v>
      </c>
      <c r="X202" s="180">
        <f>W202/B202*100</f>
        <v>4.7979425853204643E-3</v>
      </c>
      <c r="Y202" s="180">
        <v>228.38757550000176</v>
      </c>
      <c r="Z202" s="180">
        <f>Y202/B202*100</f>
        <v>1.7540879736543735</v>
      </c>
      <c r="AA202" s="180">
        <v>41.455409499999995</v>
      </c>
      <c r="AB202" s="180">
        <f>AA202/B202*100</f>
        <v>0.31839050389528167</v>
      </c>
      <c r="AC202" s="180">
        <v>0.77153276999999998</v>
      </c>
      <c r="AD202" s="180">
        <f>AC202/B202*100</f>
        <v>5.9256128542650747E-3</v>
      </c>
      <c r="AE202" s="180">
        <v>27.702426319999997</v>
      </c>
      <c r="AF202" s="180">
        <f>AE202/B202*100</f>
        <v>0.21276329389887499</v>
      </c>
      <c r="AG202" s="180">
        <v>71.910920549999986</v>
      </c>
      <c r="AH202" s="180">
        <f>AG202/B202*100</f>
        <v>0.55229834913313469</v>
      </c>
      <c r="AI202" s="180">
        <v>293.92273483999998</v>
      </c>
    </row>
    <row r="203" spans="1:35">
      <c r="A203" s="625" t="s">
        <v>2131</v>
      </c>
      <c r="B203" s="268">
        <v>15298.183505950003</v>
      </c>
      <c r="C203" s="268">
        <v>1273.0674075999998</v>
      </c>
      <c r="D203" s="268">
        <v>8.3216900039462782</v>
      </c>
      <c r="E203" s="268">
        <v>2491.3275571199997</v>
      </c>
      <c r="F203" s="268">
        <v>16.285120100376847</v>
      </c>
      <c r="G203" s="268">
        <v>619.39557024999999</v>
      </c>
      <c r="H203" s="268">
        <v>4.0488177567558603</v>
      </c>
      <c r="I203" s="268">
        <v>543.39684594000005</v>
      </c>
      <c r="J203" s="268">
        <v>3.5520350878825178</v>
      </c>
      <c r="K203" s="268">
        <v>477.13003762999995</v>
      </c>
      <c r="L203" s="268">
        <v>3.1188672658059517</v>
      </c>
      <c r="M203" s="268">
        <v>872.64787317000003</v>
      </c>
      <c r="N203" s="268">
        <v>5.704258109014031</v>
      </c>
      <c r="O203" s="268">
        <v>1204.2609666499998</v>
      </c>
      <c r="P203" s="268">
        <v>7.8719213047851095</v>
      </c>
      <c r="Q203" s="268">
        <v>6978.7193832900002</v>
      </c>
      <c r="R203" s="268">
        <v>45.617960985863</v>
      </c>
      <c r="S203" s="268">
        <v>1939.1</v>
      </c>
      <c r="T203" s="268">
        <v>12.7</v>
      </c>
      <c r="U203" s="268">
        <v>37.973435389999999</v>
      </c>
      <c r="V203" s="268">
        <v>0.2482218583352121</v>
      </c>
      <c r="W203" s="268">
        <v>0.24328217999999999</v>
      </c>
      <c r="X203" s="268">
        <v>1.5902684126215311E-3</v>
      </c>
      <c r="Y203" s="630">
        <f t="shared" ref="Y203" si="152">((B203-C203-E203-G203-I203-K203-M203-W203-O203-Q203-U203-AA203-AC203-AE203-AG203))</f>
        <v>673.78496844000256</v>
      </c>
      <c r="Z203" s="268">
        <v>4.4043462295895708</v>
      </c>
      <c r="AA203" s="268">
        <v>19.718746280000001</v>
      </c>
      <c r="AB203" s="268">
        <v>0.12889599783092343</v>
      </c>
      <c r="AC203" s="268">
        <v>1.4439694199999999</v>
      </c>
      <c r="AD203" s="268">
        <v>9.4388292534103111E-3</v>
      </c>
      <c r="AE203" s="268">
        <v>45.386333559999997</v>
      </c>
      <c r="AF203" s="268">
        <v>0.29667792612337052</v>
      </c>
      <c r="AG203" s="268">
        <v>59.687129029999994</v>
      </c>
      <c r="AH203" s="268">
        <v>0.3901582760252913</v>
      </c>
      <c r="AI203" s="268">
        <v>320.91820552000001</v>
      </c>
    </row>
    <row r="204" spans="1:35">
      <c r="A204" s="625" t="s">
        <v>18</v>
      </c>
      <c r="B204" s="180">
        <v>12884.653253691562</v>
      </c>
      <c r="C204" s="180">
        <v>1569.3794872799997</v>
      </c>
      <c r="D204" s="180">
        <f>C204/B204*100</f>
        <v>12.180222908446209</v>
      </c>
      <c r="E204" s="180">
        <v>2272.8248868799997</v>
      </c>
      <c r="F204" s="180">
        <f>E204/B204*100</f>
        <v>17.639783097995409</v>
      </c>
      <c r="G204" s="180">
        <v>446.85101083000001</v>
      </c>
      <c r="H204" s="180">
        <f>G204/B204*100</f>
        <v>3.4680872044575461</v>
      </c>
      <c r="I204" s="180">
        <v>471.34954463000003</v>
      </c>
      <c r="J204" s="180">
        <f>I204/B204*100</f>
        <v>3.6582245198950494</v>
      </c>
      <c r="K204" s="180">
        <v>358.90494977999998</v>
      </c>
      <c r="L204" s="180">
        <f>K204/B204*100</f>
        <v>2.7855227666074032</v>
      </c>
      <c r="M204" s="180">
        <v>707.39239981999992</v>
      </c>
      <c r="N204" s="180">
        <f>M204/B204*100</f>
        <v>5.4901935340582488</v>
      </c>
      <c r="O204" s="180">
        <v>1368.1564542599999</v>
      </c>
      <c r="P204" s="180">
        <f>O204/B204*100</f>
        <v>10.618496495961283</v>
      </c>
      <c r="Q204" s="180">
        <v>5306.3037157915614</v>
      </c>
      <c r="R204" s="180">
        <f>Q204/B204*100</f>
        <v>41.183131678543702</v>
      </c>
      <c r="S204" s="180">
        <v>1799.3</v>
      </c>
      <c r="T204" s="180">
        <f t="shared" si="134"/>
        <v>13.964675374438077</v>
      </c>
      <c r="U204" s="180">
        <v>9.3712005299999994</v>
      </c>
      <c r="V204" s="180">
        <f>U204/B204*100</f>
        <v>7.2731491841389453E-2</v>
      </c>
      <c r="W204" s="180">
        <v>0.57836255000000003</v>
      </c>
      <c r="X204" s="180">
        <f>W204/B204*100</f>
        <v>4.4887707772368205E-3</v>
      </c>
      <c r="Y204" s="180">
        <v>229.92490340000211</v>
      </c>
      <c r="Z204" s="180">
        <f>Y204/B204*100</f>
        <v>1.7844865428111283</v>
      </c>
      <c r="AA204" s="180">
        <v>43.583414349999998</v>
      </c>
      <c r="AB204" s="180">
        <f>AA204/B204*100</f>
        <v>0.33825834108118497</v>
      </c>
      <c r="AC204" s="180">
        <v>7.2769729999999991E-2</v>
      </c>
      <c r="AD204" s="180">
        <f>AC204/B204*100</f>
        <v>5.6477833409409629E-4</v>
      </c>
      <c r="AE204" s="180">
        <v>26.704567149999999</v>
      </c>
      <c r="AF204" s="180">
        <f>AE204/B204*100</f>
        <v>0.20725871798178905</v>
      </c>
      <c r="AG204" s="180">
        <v>73.255586710000003</v>
      </c>
      <c r="AH204" s="180">
        <f>AG204/B204*100</f>
        <v>0.56854915120833116</v>
      </c>
      <c r="AI204" s="180">
        <v>288.55565068999999</v>
      </c>
    </row>
    <row r="205" spans="1:35">
      <c r="A205" s="625" t="s">
        <v>19</v>
      </c>
      <c r="B205" s="180">
        <v>12974.579268571561</v>
      </c>
      <c r="C205" s="180">
        <v>1574.7213720900002</v>
      </c>
      <c r="D205" s="180">
        <f t="shared" ref="D205:D223" si="153">C205/B205*100</f>
        <v>12.136974459776601</v>
      </c>
      <c r="E205" s="180">
        <v>2293.6712597799997</v>
      </c>
      <c r="F205" s="180">
        <f t="shared" ref="F205:F223" si="154">E205/B205*100</f>
        <v>17.678193737934762</v>
      </c>
      <c r="G205" s="180">
        <v>443.61220577999995</v>
      </c>
      <c r="H205" s="180">
        <f t="shared" ref="H205:H223" si="155">G205/B205*100</f>
        <v>3.4190874062064252</v>
      </c>
      <c r="I205" s="180">
        <v>468.43110524000002</v>
      </c>
      <c r="J205" s="180">
        <f t="shared" ref="J205:J223" si="156">I205/B205*100</f>
        <v>3.6103760711122623</v>
      </c>
      <c r="K205" s="180">
        <v>373.11719791000002</v>
      </c>
      <c r="L205" s="180">
        <f t="shared" ref="L205:L223" si="157">K205/B205*100</f>
        <v>2.8757556617947926</v>
      </c>
      <c r="M205" s="180">
        <v>726.20821447999992</v>
      </c>
      <c r="N205" s="180">
        <f t="shared" ref="N205:N223" si="158">M205/B205*100</f>
        <v>5.5971619537529094</v>
      </c>
      <c r="O205" s="180">
        <v>1359.0258615700002</v>
      </c>
      <c r="P205" s="180">
        <f t="shared" ref="P205:P223" si="159">O205/B205*100</f>
        <v>10.474527408083132</v>
      </c>
      <c r="Q205" s="180">
        <v>5368.2099775915631</v>
      </c>
      <c r="R205" s="180">
        <f t="shared" ref="R205:R223" si="160">Q205/B205*100</f>
        <v>41.374828936418972</v>
      </c>
      <c r="S205" s="180">
        <v>1819.3</v>
      </c>
      <c r="T205" s="180">
        <f t="shared" si="134"/>
        <v>14.022034644367288</v>
      </c>
      <c r="U205" s="180">
        <v>9.2367638700000008</v>
      </c>
      <c r="V205" s="180">
        <f t="shared" ref="V205:V223" si="161">U205/B205*100</f>
        <v>7.1191240030220454E-2</v>
      </c>
      <c r="W205" s="180">
        <v>0.64177067999999993</v>
      </c>
      <c r="X205" s="180">
        <f t="shared" ref="X205:X223" si="162">W205/B205*100</f>
        <v>4.9463698723130611E-3</v>
      </c>
      <c r="Y205" s="180">
        <v>225.08568912999647</v>
      </c>
      <c r="Z205" s="180">
        <f t="shared" ref="Z205:Z219" si="163">Y205/B205*100</f>
        <v>1.7348207172715309</v>
      </c>
      <c r="AA205" s="180">
        <v>38.148750159999999</v>
      </c>
      <c r="AB205" s="180">
        <f t="shared" ref="AB205:AB219" si="164">AA205/B205*100</f>
        <v>0.29402687648152148</v>
      </c>
      <c r="AC205" s="180">
        <v>7.2792549999999998E-2</v>
      </c>
      <c r="AD205" s="180">
        <f t="shared" ref="AD205:AD219" si="165">AC205/B205*100</f>
        <v>5.6103977241347654E-4</v>
      </c>
      <c r="AE205" s="180">
        <v>24.699483720000003</v>
      </c>
      <c r="AF205" s="180">
        <f t="shared" ref="AF205:AF219" si="166">AE205/B205*100</f>
        <v>0.19036828253714388</v>
      </c>
      <c r="AG205" s="180">
        <v>69.696824019999994</v>
      </c>
      <c r="AH205" s="180">
        <f t="shared" ref="AH205:AH219" si="167">AG205/B205*100</f>
        <v>0.53717983895498811</v>
      </c>
      <c r="AI205" s="180">
        <v>312.71779347</v>
      </c>
    </row>
    <row r="206" spans="1:35">
      <c r="A206" s="625" t="s">
        <v>20</v>
      </c>
      <c r="B206" s="180">
        <v>13058.033851711562</v>
      </c>
      <c r="C206" s="180">
        <v>1557.9521574100002</v>
      </c>
      <c r="D206" s="180">
        <f t="shared" si="153"/>
        <v>11.930985744885277</v>
      </c>
      <c r="E206" s="180">
        <v>2310.7309888799996</v>
      </c>
      <c r="F206" s="180">
        <f t="shared" si="154"/>
        <v>17.695856934672626</v>
      </c>
      <c r="G206" s="180">
        <v>444.14954216000001</v>
      </c>
      <c r="H206" s="180">
        <f t="shared" si="155"/>
        <v>3.4013508251227567</v>
      </c>
      <c r="I206" s="180">
        <v>477.07646024999997</v>
      </c>
      <c r="J206" s="180">
        <f t="shared" si="156"/>
        <v>3.6535091397964776</v>
      </c>
      <c r="K206" s="180">
        <v>370.20479340000003</v>
      </c>
      <c r="L206" s="180">
        <f t="shared" si="157"/>
        <v>2.8350730102562571</v>
      </c>
      <c r="M206" s="180">
        <v>748.73145756999998</v>
      </c>
      <c r="N206" s="180">
        <f t="shared" si="158"/>
        <v>5.7338759117388962</v>
      </c>
      <c r="O206" s="180">
        <v>1357.88037076</v>
      </c>
      <c r="P206" s="180">
        <f t="shared" si="159"/>
        <v>10.398811843959326</v>
      </c>
      <c r="Q206" s="180">
        <v>5432.2403626615633</v>
      </c>
      <c r="R206" s="180">
        <f t="shared" si="160"/>
        <v>41.600752642784279</v>
      </c>
      <c r="S206" s="180">
        <v>1827.6</v>
      </c>
      <c r="T206" s="180">
        <f t="shared" si="134"/>
        <v>13.995981483540495</v>
      </c>
      <c r="U206" s="180">
        <v>8.9344810799999994</v>
      </c>
      <c r="V206" s="180">
        <f t="shared" si="161"/>
        <v>6.8421334953339297E-2</v>
      </c>
      <c r="W206" s="180">
        <v>0.60361416999999995</v>
      </c>
      <c r="X206" s="180">
        <f t="shared" si="162"/>
        <v>4.6225502005486242E-3</v>
      </c>
      <c r="Y206" s="180">
        <v>225.01829643999946</v>
      </c>
      <c r="Z206" s="180">
        <f t="shared" si="163"/>
        <v>1.7232172852002947</v>
      </c>
      <c r="AA206" s="180">
        <v>35.956621589999997</v>
      </c>
      <c r="AB206" s="180">
        <f t="shared" si="164"/>
        <v>0.27536014991481311</v>
      </c>
      <c r="AC206" s="180">
        <v>1.5466275700000001</v>
      </c>
      <c r="AD206" s="180">
        <f t="shared" si="165"/>
        <v>1.1844260687050356E-2</v>
      </c>
      <c r="AE206" s="180">
        <v>25.358725029999999</v>
      </c>
      <c r="AF206" s="180">
        <f t="shared" si="166"/>
        <v>0.1942001783574496</v>
      </c>
      <c r="AG206" s="180">
        <v>61.649352739999998</v>
      </c>
      <c r="AH206" s="180">
        <f t="shared" si="167"/>
        <v>0.47211818747061529</v>
      </c>
      <c r="AI206" s="180">
        <v>269.86157463000001</v>
      </c>
    </row>
    <row r="207" spans="1:35">
      <c r="A207" s="625" t="s">
        <v>21</v>
      </c>
      <c r="B207" s="180">
        <v>13011.354034490003</v>
      </c>
      <c r="C207" s="180">
        <v>1503.7811409499998</v>
      </c>
      <c r="D207" s="180">
        <f t="shared" si="153"/>
        <v>11.557453105678578</v>
      </c>
      <c r="E207" s="180">
        <v>2274.1529084900003</v>
      </c>
      <c r="F207" s="180">
        <f t="shared" si="154"/>
        <v>17.47821865781042</v>
      </c>
      <c r="G207" s="180">
        <v>447.9374740400001</v>
      </c>
      <c r="H207" s="180">
        <f t="shared" si="155"/>
        <v>3.4426660964925282</v>
      </c>
      <c r="I207" s="180">
        <v>479.45580126000004</v>
      </c>
      <c r="J207" s="180">
        <f t="shared" si="156"/>
        <v>3.6849032006129172</v>
      </c>
      <c r="K207" s="180">
        <v>357.37534450000004</v>
      </c>
      <c r="L207" s="180">
        <f t="shared" si="157"/>
        <v>2.7466422291844728</v>
      </c>
      <c r="M207" s="180">
        <v>763.7232715099999</v>
      </c>
      <c r="N207" s="180">
        <f t="shared" si="158"/>
        <v>5.869667903014177</v>
      </c>
      <c r="O207" s="180">
        <v>1271.92489125</v>
      </c>
      <c r="P207" s="180">
        <f t="shared" si="159"/>
        <v>9.7754998279074545</v>
      </c>
      <c r="Q207" s="180">
        <v>5515.7658784699997</v>
      </c>
      <c r="R207" s="180">
        <f t="shared" si="160"/>
        <v>42.391943711999666</v>
      </c>
      <c r="S207" s="180">
        <v>1835.2</v>
      </c>
      <c r="T207" s="180">
        <f t="shared" si="134"/>
        <v>14.104604295105041</v>
      </c>
      <c r="U207" s="180">
        <v>8.4807223</v>
      </c>
      <c r="V207" s="180">
        <f t="shared" si="161"/>
        <v>6.5179398527775226E-2</v>
      </c>
      <c r="W207" s="180">
        <v>0.54394122</v>
      </c>
      <c r="X207" s="180">
        <f t="shared" si="162"/>
        <v>4.1805120247911266E-3</v>
      </c>
      <c r="Y207" s="180">
        <v>254.24511208000368</v>
      </c>
      <c r="Z207" s="180">
        <f t="shared" si="163"/>
        <v>1.9540250108179396</v>
      </c>
      <c r="AA207" s="180">
        <v>35.449455960000002</v>
      </c>
      <c r="AB207" s="180">
        <f t="shared" si="164"/>
        <v>0.27245016826098134</v>
      </c>
      <c r="AC207" s="180">
        <v>1.9514988400000002</v>
      </c>
      <c r="AD207" s="180">
        <f t="shared" si="165"/>
        <v>1.4998430100564793E-2</v>
      </c>
      <c r="AE207" s="180">
        <v>31.556357089999999</v>
      </c>
      <c r="AF207" s="180">
        <f t="shared" si="166"/>
        <v>0.24252938630638754</v>
      </c>
      <c r="AG207" s="180">
        <v>65.010236530000014</v>
      </c>
      <c r="AH207" s="180">
        <f t="shared" si="167"/>
        <v>0.49964236126135181</v>
      </c>
      <c r="AI207" s="180">
        <v>279.47993210999999</v>
      </c>
    </row>
    <row r="208" spans="1:35">
      <c r="A208" s="625" t="s">
        <v>22</v>
      </c>
      <c r="B208" s="180">
        <v>13197.974708330001</v>
      </c>
      <c r="C208" s="180">
        <v>1494.2622123900001</v>
      </c>
      <c r="D208" s="180">
        <f t="shared" si="153"/>
        <v>11.321905409069204</v>
      </c>
      <c r="E208" s="180">
        <v>2287.0035614600001</v>
      </c>
      <c r="F208" s="180">
        <f t="shared" si="154"/>
        <v>17.328443280138586</v>
      </c>
      <c r="G208" s="180">
        <v>444.37282797999995</v>
      </c>
      <c r="H208" s="180">
        <f t="shared" si="155"/>
        <v>3.3669774173724605</v>
      </c>
      <c r="I208" s="180">
        <v>497.36101735</v>
      </c>
      <c r="J208" s="180">
        <f t="shared" si="156"/>
        <v>3.7684646950875491</v>
      </c>
      <c r="K208" s="180">
        <v>365.80510866999998</v>
      </c>
      <c r="L208" s="180">
        <f t="shared" si="157"/>
        <v>2.7716760848095832</v>
      </c>
      <c r="M208" s="180">
        <v>772.91956983</v>
      </c>
      <c r="N208" s="180">
        <f t="shared" si="158"/>
        <v>5.8563498332980286</v>
      </c>
      <c r="O208" s="180">
        <v>1301.1727264900001</v>
      </c>
      <c r="P208" s="180">
        <f t="shared" si="159"/>
        <v>9.8588818000140215</v>
      </c>
      <c r="Q208" s="180">
        <v>5658.4731998100006</v>
      </c>
      <c r="R208" s="180">
        <f t="shared" si="160"/>
        <v>42.873799388618409</v>
      </c>
      <c r="S208" s="180">
        <v>1856.1</v>
      </c>
      <c r="T208" s="180">
        <f t="shared" si="134"/>
        <v>14.06352141915008</v>
      </c>
      <c r="U208" s="180">
        <v>8.3100535600000001</v>
      </c>
      <c r="V208" s="180">
        <f t="shared" si="161"/>
        <v>6.2964611947278912E-2</v>
      </c>
      <c r="W208" s="180">
        <v>0.56832296999999998</v>
      </c>
      <c r="X208" s="180">
        <f t="shared" si="162"/>
        <v>4.306137741280097E-3</v>
      </c>
      <c r="Y208" s="180">
        <v>231.69355309000051</v>
      </c>
      <c r="Z208" s="180">
        <f t="shared" si="163"/>
        <v>1.7555235421368505</v>
      </c>
      <c r="AA208" s="180">
        <v>35.036828829999997</v>
      </c>
      <c r="AB208" s="180">
        <f t="shared" si="164"/>
        <v>0.26547125300888957</v>
      </c>
      <c r="AC208" s="180">
        <v>1.5477815800000001</v>
      </c>
      <c r="AD208" s="180">
        <f t="shared" si="165"/>
        <v>1.1727417381873797E-2</v>
      </c>
      <c r="AE208" s="180">
        <v>33.602823399999998</v>
      </c>
      <c r="AF208" s="180">
        <f t="shared" si="166"/>
        <v>0.25460590842617181</v>
      </c>
      <c r="AG208" s="180">
        <v>65.845120920000028</v>
      </c>
      <c r="AH208" s="180">
        <f t="shared" si="167"/>
        <v>0.49890322094981271</v>
      </c>
      <c r="AI208" s="180">
        <v>295.46815784</v>
      </c>
    </row>
    <row r="209" spans="1:35">
      <c r="A209" s="625" t="s">
        <v>23</v>
      </c>
      <c r="B209" s="180">
        <v>13482.586430900001</v>
      </c>
      <c r="C209" s="180">
        <v>1486.4636973599997</v>
      </c>
      <c r="D209" s="180">
        <f t="shared" si="153"/>
        <v>11.025063365833541</v>
      </c>
      <c r="E209" s="180">
        <v>2303.3447418799997</v>
      </c>
      <c r="F209" s="180">
        <f t="shared" si="154"/>
        <v>17.083849257595634</v>
      </c>
      <c r="G209" s="180">
        <v>445.14702732000001</v>
      </c>
      <c r="H209" s="180">
        <f t="shared" si="155"/>
        <v>3.3016441585702867</v>
      </c>
      <c r="I209" s="180">
        <v>501.88159487999997</v>
      </c>
      <c r="J209" s="180">
        <f t="shared" si="156"/>
        <v>3.722443000474783</v>
      </c>
      <c r="K209" s="180">
        <v>368.65257788000002</v>
      </c>
      <c r="L209" s="180">
        <f t="shared" si="157"/>
        <v>2.7342867762753991</v>
      </c>
      <c r="M209" s="180">
        <v>783.96987130999992</v>
      </c>
      <c r="N209" s="180">
        <f t="shared" si="158"/>
        <v>5.8146845586931475</v>
      </c>
      <c r="O209" s="180">
        <v>1335.5882296099999</v>
      </c>
      <c r="P209" s="180">
        <f t="shared" si="159"/>
        <v>9.9060238660813518</v>
      </c>
      <c r="Q209" s="180">
        <v>5801.781351300001</v>
      </c>
      <c r="R209" s="180">
        <f t="shared" si="160"/>
        <v>43.0316644438727</v>
      </c>
      <c r="S209" s="180">
        <v>1853.3</v>
      </c>
      <c r="T209" s="180">
        <f t="shared" si="134"/>
        <v>13.745878874935475</v>
      </c>
      <c r="U209" s="180">
        <v>8.0756254900000002</v>
      </c>
      <c r="V209" s="180">
        <f t="shared" si="161"/>
        <v>5.9896708479405085E-2</v>
      </c>
      <c r="W209" s="180">
        <v>1.8368338400000002</v>
      </c>
      <c r="X209" s="180">
        <f t="shared" si="162"/>
        <v>1.3623749785799714E-2</v>
      </c>
      <c r="Y209" s="180">
        <v>305.92554808000091</v>
      </c>
      <c r="Z209" s="180">
        <f t="shared" si="163"/>
        <v>2.2690419946344043</v>
      </c>
      <c r="AA209" s="180">
        <v>35.152942440000004</v>
      </c>
      <c r="AB209" s="180">
        <f t="shared" si="164"/>
        <v>0.26072847832397278</v>
      </c>
      <c r="AC209" s="180">
        <v>1.49027095</v>
      </c>
      <c r="AD209" s="180">
        <f t="shared" si="165"/>
        <v>1.1053301661649501E-2</v>
      </c>
      <c r="AE209" s="180">
        <v>35.29632178</v>
      </c>
      <c r="AF209" s="180">
        <f t="shared" si="166"/>
        <v>0.26179191923521655</v>
      </c>
      <c r="AG209" s="180">
        <v>67.979796780000015</v>
      </c>
      <c r="AH209" s="180">
        <f t="shared" si="167"/>
        <v>0.5042044204827113</v>
      </c>
      <c r="AI209" s="180">
        <v>297.81667455999997</v>
      </c>
    </row>
    <row r="210" spans="1:35">
      <c r="A210" s="625" t="s">
        <v>24</v>
      </c>
      <c r="B210" s="180">
        <v>13681.36671088</v>
      </c>
      <c r="C210" s="180">
        <v>1487.3638733499999</v>
      </c>
      <c r="D210" s="180">
        <f t="shared" si="153"/>
        <v>10.871456812623737</v>
      </c>
      <c r="E210" s="180">
        <v>2289.6573016699999</v>
      </c>
      <c r="F210" s="180">
        <f t="shared" si="154"/>
        <v>16.73558899528048</v>
      </c>
      <c r="G210" s="180">
        <v>408.32402446000009</v>
      </c>
      <c r="H210" s="180">
        <f t="shared" si="155"/>
        <v>2.9845265687914324</v>
      </c>
      <c r="I210" s="180">
        <v>499.50039152000005</v>
      </c>
      <c r="J210" s="180">
        <f t="shared" si="156"/>
        <v>3.6509539001156681</v>
      </c>
      <c r="K210" s="180">
        <v>353.02862678000002</v>
      </c>
      <c r="L210" s="180">
        <f t="shared" si="157"/>
        <v>2.5803608238879878</v>
      </c>
      <c r="M210" s="180">
        <v>902.1172379599999</v>
      </c>
      <c r="N210" s="180">
        <f t="shared" si="158"/>
        <v>6.5937654989000354</v>
      </c>
      <c r="O210" s="180">
        <v>1274.3817415100002</v>
      </c>
      <c r="P210" s="180">
        <f t="shared" si="159"/>
        <v>9.3147254104120911</v>
      </c>
      <c r="Q210" s="180">
        <v>5938.2500646799999</v>
      </c>
      <c r="R210" s="180">
        <f t="shared" si="160"/>
        <v>43.40392440440656</v>
      </c>
      <c r="S210" s="180">
        <v>1858.8</v>
      </c>
      <c r="T210" s="180">
        <f t="shared" si="134"/>
        <v>13.586361942347496</v>
      </c>
      <c r="U210" s="180">
        <v>7.8462870599999999</v>
      </c>
      <c r="V210" s="180">
        <f t="shared" si="161"/>
        <v>5.7350169948739857E-2</v>
      </c>
      <c r="W210" s="180">
        <v>1.3154482700000001</v>
      </c>
      <c r="X210" s="180">
        <f t="shared" si="162"/>
        <v>9.6148893440148805E-3</v>
      </c>
      <c r="Y210" s="180">
        <v>405.76510696999992</v>
      </c>
      <c r="Z210" s="180">
        <f t="shared" si="163"/>
        <v>2.9658229001881691</v>
      </c>
      <c r="AA210" s="180">
        <v>31.684712709999999</v>
      </c>
      <c r="AB210" s="180">
        <f t="shared" si="164"/>
        <v>0.23159025980060149</v>
      </c>
      <c r="AC210" s="180">
        <v>1.5488708400000002</v>
      </c>
      <c r="AD210" s="180">
        <f t="shared" si="165"/>
        <v>1.1321024227559611E-2</v>
      </c>
      <c r="AE210" s="180">
        <v>32.181675890000001</v>
      </c>
      <c r="AF210" s="180">
        <f t="shared" si="166"/>
        <v>0.23522266868563485</v>
      </c>
      <c r="AG210" s="180">
        <v>48.401347210000012</v>
      </c>
      <c r="AH210" s="180">
        <f t="shared" si="167"/>
        <v>0.35377567338728827</v>
      </c>
      <c r="AI210" s="180">
        <v>277.92484053999999</v>
      </c>
    </row>
    <row r="211" spans="1:35" ht="15" customHeight="1">
      <c r="A211" s="625" t="s">
        <v>25</v>
      </c>
      <c r="B211" s="180">
        <v>13865.53278956</v>
      </c>
      <c r="C211" s="180">
        <v>1491.26908237</v>
      </c>
      <c r="D211" s="180">
        <f t="shared" si="153"/>
        <v>10.755223798488618</v>
      </c>
      <c r="E211" s="180">
        <v>2298.5805962699997</v>
      </c>
      <c r="F211" s="180">
        <f t="shared" si="154"/>
        <v>16.577657931765213</v>
      </c>
      <c r="G211" s="180">
        <v>374.29320861999997</v>
      </c>
      <c r="H211" s="180">
        <f t="shared" si="155"/>
        <v>2.6994506038875232</v>
      </c>
      <c r="I211" s="180">
        <v>503.68292389999999</v>
      </c>
      <c r="J211" s="180">
        <f t="shared" si="156"/>
        <v>3.6326258178787487</v>
      </c>
      <c r="K211" s="180">
        <v>373.47619191999996</v>
      </c>
      <c r="L211" s="180">
        <f t="shared" si="157"/>
        <v>2.693558174707916</v>
      </c>
      <c r="M211" s="180">
        <v>862.43482313999993</v>
      </c>
      <c r="N211" s="180">
        <f t="shared" si="158"/>
        <v>6.2199905061662468</v>
      </c>
      <c r="O211" s="180">
        <v>1269.0044130599999</v>
      </c>
      <c r="P211" s="180">
        <f t="shared" si="159"/>
        <v>9.1522225097292456</v>
      </c>
      <c r="Q211" s="180">
        <v>6091.5527847600006</v>
      </c>
      <c r="R211" s="180">
        <f t="shared" si="160"/>
        <v>43.933059603354096</v>
      </c>
      <c r="S211" s="180">
        <v>1867.7</v>
      </c>
      <c r="T211" s="180">
        <f t="shared" si="134"/>
        <v>13.470091833804451</v>
      </c>
      <c r="U211" s="180">
        <v>7.6223526100000001</v>
      </c>
      <c r="V211" s="180">
        <f t="shared" si="161"/>
        <v>5.4973384187149456E-2</v>
      </c>
      <c r="W211" s="180">
        <v>0.87201561000000005</v>
      </c>
      <c r="X211" s="180">
        <f t="shared" si="162"/>
        <v>6.2890883692300736E-3</v>
      </c>
      <c r="Y211" s="180">
        <f>((B211-C211-E211-G211-I211-K211-M211-W211-O211-Q211-U211-AA211-AC211-AE211-AG211))</f>
        <v>484.41056021000202</v>
      </c>
      <c r="Z211" s="180">
        <f t="shared" si="163"/>
        <v>3.493631060284514</v>
      </c>
      <c r="AA211" s="180">
        <v>25.816790839999999</v>
      </c>
      <c r="AB211" s="180">
        <f t="shared" si="164"/>
        <v>0.18619400517691359</v>
      </c>
      <c r="AC211" s="180">
        <v>1.5552101</v>
      </c>
      <c r="AD211" s="180">
        <f t="shared" si="165"/>
        <v>1.1216374614691976E-2</v>
      </c>
      <c r="AE211" s="180">
        <v>32.805013450000004</v>
      </c>
      <c r="AF211" s="180">
        <f t="shared" si="166"/>
        <v>0.23659396251040862</v>
      </c>
      <c r="AG211" s="180">
        <v>48.156822700000006</v>
      </c>
      <c r="AH211" s="180">
        <f t="shared" si="167"/>
        <v>0.34731317887949825</v>
      </c>
      <c r="AI211" s="180">
        <v>288.31857986</v>
      </c>
    </row>
    <row r="212" spans="1:35" ht="15" customHeight="1">
      <c r="A212" s="625" t="s">
        <v>26</v>
      </c>
      <c r="B212" s="180">
        <v>14242.98762236</v>
      </c>
      <c r="C212" s="180">
        <v>1442.8963405099998</v>
      </c>
      <c r="D212" s="180">
        <f t="shared" si="153"/>
        <v>10.13057357604386</v>
      </c>
      <c r="E212" s="180">
        <v>2384.9547273099997</v>
      </c>
      <c r="F212" s="180">
        <f t="shared" si="154"/>
        <v>16.744764445107503</v>
      </c>
      <c r="G212" s="180">
        <v>524.17324116999998</v>
      </c>
      <c r="H212" s="180">
        <f t="shared" si="155"/>
        <v>3.6802197338647042</v>
      </c>
      <c r="I212" s="180">
        <v>517.20991936999997</v>
      </c>
      <c r="J212" s="180">
        <f t="shared" si="156"/>
        <v>3.6313302593764427</v>
      </c>
      <c r="K212" s="180">
        <v>380.25941532000002</v>
      </c>
      <c r="L212" s="180">
        <f t="shared" si="157"/>
        <v>2.6698009252148229</v>
      </c>
      <c r="M212" s="180">
        <v>872.54092084000001</v>
      </c>
      <c r="N212" s="180">
        <f t="shared" si="158"/>
        <v>6.1261088191230471</v>
      </c>
      <c r="O212" s="180">
        <v>1167.8935276300001</v>
      </c>
      <c r="P212" s="180">
        <f t="shared" si="159"/>
        <v>8.1997791376054376</v>
      </c>
      <c r="Q212" s="180">
        <v>6292.0703725599997</v>
      </c>
      <c r="R212" s="180">
        <f t="shared" si="160"/>
        <v>44.176618974814716</v>
      </c>
      <c r="S212" s="180">
        <v>1875.9</v>
      </c>
      <c r="T212" s="180">
        <f t="shared" si="134"/>
        <v>13.170691779967802</v>
      </c>
      <c r="U212" s="180">
        <v>10.33276105</v>
      </c>
      <c r="V212" s="180">
        <f t="shared" si="161"/>
        <v>7.2546303654569252E-2</v>
      </c>
      <c r="W212" s="180">
        <v>1.20288846</v>
      </c>
      <c r="X212" s="180">
        <f t="shared" si="162"/>
        <v>8.4454785182259875E-3</v>
      </c>
      <c r="Y212" s="180">
        <f>((B212-C212-E212-G212-I212-K212-M212-W212-O212-Q212-U212-AA212-AC212-AE212-AG212))</f>
        <v>534.56938827000067</v>
      </c>
      <c r="Z212" s="180">
        <f t="shared" si="163"/>
        <v>3.7532110709046931</v>
      </c>
      <c r="AA212" s="180">
        <v>27.801495709999998</v>
      </c>
      <c r="AB212" s="180">
        <f t="shared" si="164"/>
        <v>0.19519426996028952</v>
      </c>
      <c r="AC212" s="180">
        <v>1.6879337300000001</v>
      </c>
      <c r="AD212" s="180">
        <f t="shared" si="165"/>
        <v>1.1850980810726261E-2</v>
      </c>
      <c r="AE212" s="180">
        <v>34.856934330000001</v>
      </c>
      <c r="AF212" s="180">
        <f t="shared" si="166"/>
        <v>0.24473049653766643</v>
      </c>
      <c r="AG212" s="180">
        <v>50.537756099999996</v>
      </c>
      <c r="AH212" s="180">
        <f t="shared" si="167"/>
        <v>0.35482552846329096</v>
      </c>
      <c r="AI212" s="180">
        <v>293.17452789999999</v>
      </c>
    </row>
    <row r="213" spans="1:35" ht="15" customHeight="1">
      <c r="A213" s="625" t="s">
        <v>27</v>
      </c>
      <c r="B213" s="180">
        <v>14445.834273410001</v>
      </c>
      <c r="C213" s="180">
        <v>1384.94292948</v>
      </c>
      <c r="D213" s="180">
        <f t="shared" si="153"/>
        <v>9.5871439701424617</v>
      </c>
      <c r="E213" s="180">
        <v>2416.2553300699997</v>
      </c>
      <c r="F213" s="180">
        <f t="shared" si="154"/>
        <v>16.726312128040441</v>
      </c>
      <c r="G213" s="180">
        <v>542.30487891999996</v>
      </c>
      <c r="H213" s="180">
        <f t="shared" si="155"/>
        <v>3.7540571811640104</v>
      </c>
      <c r="I213" s="180">
        <v>520.76455778000002</v>
      </c>
      <c r="J213" s="180">
        <f t="shared" si="156"/>
        <v>3.6049462282601095</v>
      </c>
      <c r="K213" s="180">
        <v>399.93007603999996</v>
      </c>
      <c r="L213" s="180">
        <f t="shared" si="157"/>
        <v>2.768480300069196</v>
      </c>
      <c r="M213" s="180">
        <v>904.88222534999989</v>
      </c>
      <c r="N213" s="180">
        <f t="shared" si="158"/>
        <v>6.263966540275133</v>
      </c>
      <c r="O213" s="180">
        <v>1163.9528965600002</v>
      </c>
      <c r="P213" s="180">
        <f t="shared" si="159"/>
        <v>8.0573601671621855</v>
      </c>
      <c r="Q213" s="180">
        <v>6430.9749958900002</v>
      </c>
      <c r="R213" s="180">
        <f t="shared" si="160"/>
        <v>44.517851127001343</v>
      </c>
      <c r="S213" s="180">
        <v>1887.2</v>
      </c>
      <c r="T213" s="180">
        <f t="shared" si="134"/>
        <v>13.063973767674399</v>
      </c>
      <c r="U213" s="180">
        <v>11.748187399999999</v>
      </c>
      <c r="V213" s="180">
        <f t="shared" si="161"/>
        <v>8.1325779997521663E-2</v>
      </c>
      <c r="W213" s="180">
        <v>0.38734111000000004</v>
      </c>
      <c r="X213" s="180">
        <f t="shared" si="162"/>
        <v>2.6813343048865432E-3</v>
      </c>
      <c r="Y213" s="180">
        <f>((B213-C213-E213-G213-I213-K213-M213-W213-O213-Q213-U213-AA213-AC213-AE213-AG213))</f>
        <v>556.6702958900014</v>
      </c>
      <c r="Z213" s="180">
        <f t="shared" si="163"/>
        <v>3.8535004995498752</v>
      </c>
      <c r="AA213" s="180">
        <v>26.603772299999999</v>
      </c>
      <c r="AB213" s="180">
        <f t="shared" si="164"/>
        <v>0.1841622421833313</v>
      </c>
      <c r="AC213" s="180">
        <v>1.4867795500000001</v>
      </c>
      <c r="AD213" s="180">
        <f t="shared" si="165"/>
        <v>1.029209889758094E-2</v>
      </c>
      <c r="AE213" s="180">
        <v>34.67056831</v>
      </c>
      <c r="AF213" s="180">
        <f t="shared" si="166"/>
        <v>0.24000391845708102</v>
      </c>
      <c r="AG213" s="180">
        <v>50.259438759999988</v>
      </c>
      <c r="AH213" s="180">
        <f t="shared" si="167"/>
        <v>0.3479164844948483</v>
      </c>
      <c r="AI213" s="180">
        <v>298.38112630000001</v>
      </c>
    </row>
    <row r="214" spans="1:35" ht="15" customHeight="1">
      <c r="A214" s="625" t="s">
        <v>28</v>
      </c>
      <c r="B214" s="180">
        <v>15116.424979359999</v>
      </c>
      <c r="C214" s="180">
        <v>1410.4221754200003</v>
      </c>
      <c r="D214" s="180">
        <f t="shared" si="153"/>
        <v>9.3303950990117954</v>
      </c>
      <c r="E214" s="180">
        <v>2339.4936194899997</v>
      </c>
      <c r="F214" s="180">
        <f t="shared" si="154"/>
        <v>15.476500711539598</v>
      </c>
      <c r="G214" s="180">
        <v>611.15848900000003</v>
      </c>
      <c r="H214" s="180">
        <f t="shared" si="155"/>
        <v>4.0430094406215566</v>
      </c>
      <c r="I214" s="180">
        <v>520.11083858000006</v>
      </c>
      <c r="J214" s="180">
        <f t="shared" si="156"/>
        <v>3.4407000285461709</v>
      </c>
      <c r="K214" s="180">
        <v>583.49459688999991</v>
      </c>
      <c r="L214" s="180">
        <f t="shared" si="157"/>
        <v>3.8600039208126575</v>
      </c>
      <c r="M214" s="180">
        <v>930.87742399999991</v>
      </c>
      <c r="N214" s="180">
        <f t="shared" si="158"/>
        <v>6.1580527490529144</v>
      </c>
      <c r="O214" s="180">
        <v>1207.81292177</v>
      </c>
      <c r="P214" s="180">
        <f t="shared" si="159"/>
        <v>7.9900698969442212</v>
      </c>
      <c r="Q214" s="180">
        <v>6814.5850019899999</v>
      </c>
      <c r="R214" s="180">
        <f t="shared" si="160"/>
        <v>45.080665642138598</v>
      </c>
      <c r="S214" s="180">
        <v>1902.4</v>
      </c>
      <c r="T214" s="180">
        <f t="shared" si="134"/>
        <v>12.58498621597065</v>
      </c>
      <c r="U214" s="180">
        <v>11.447988930000001</v>
      </c>
      <c r="V214" s="180">
        <f t="shared" si="161"/>
        <v>7.5732118841796994E-2</v>
      </c>
      <c r="W214" s="180">
        <v>0.75237586999999995</v>
      </c>
      <c r="X214" s="180">
        <f t="shared" si="162"/>
        <v>4.9772077129830346E-3</v>
      </c>
      <c r="Y214" s="180">
        <f>((B214-C214-E214-G214-I214-K214-M214-W214-O214-Q214-U214-AA214-AC214-AE214-AG214))</f>
        <v>577.31821219999927</v>
      </c>
      <c r="Z214" s="180">
        <f t="shared" si="163"/>
        <v>3.8191451549441804</v>
      </c>
      <c r="AA214" s="180">
        <v>23.03398563</v>
      </c>
      <c r="AB214" s="180">
        <f t="shared" si="164"/>
        <v>0.152377203349672</v>
      </c>
      <c r="AC214" s="180">
        <v>1.61888772</v>
      </c>
      <c r="AD214" s="180">
        <f t="shared" si="165"/>
        <v>1.0709461544051805E-2</v>
      </c>
      <c r="AE214" s="180">
        <v>33.928059699999999</v>
      </c>
      <c r="AF214" s="180">
        <f t="shared" si="166"/>
        <v>0.22444499771821347</v>
      </c>
      <c r="AG214" s="180">
        <v>50.370402170000006</v>
      </c>
      <c r="AH214" s="180">
        <f t="shared" si="167"/>
        <v>0.33321636722158754</v>
      </c>
      <c r="AI214" s="180">
        <v>299.26048521000001</v>
      </c>
    </row>
    <row r="215" spans="1:35" ht="15" customHeight="1">
      <c r="A215" s="625" t="s">
        <v>29</v>
      </c>
      <c r="B215" s="180">
        <v>15298.183505950003</v>
      </c>
      <c r="C215" s="180">
        <v>1273.0674075999998</v>
      </c>
      <c r="D215" s="180">
        <f t="shared" si="153"/>
        <v>8.3216900039462782</v>
      </c>
      <c r="E215" s="180">
        <v>2491.3275571199997</v>
      </c>
      <c r="F215" s="180">
        <f t="shared" si="154"/>
        <v>16.285120100376847</v>
      </c>
      <c r="G215" s="180">
        <v>625.91507024999999</v>
      </c>
      <c r="H215" s="180">
        <f t="shared" si="155"/>
        <v>4.0914339274761584</v>
      </c>
      <c r="I215" s="180">
        <v>543.39684594000005</v>
      </c>
      <c r="J215" s="180">
        <f t="shared" si="156"/>
        <v>3.5520350878825178</v>
      </c>
      <c r="K215" s="180">
        <v>477.13003762999995</v>
      </c>
      <c r="L215" s="180">
        <f t="shared" si="157"/>
        <v>3.1188672658059517</v>
      </c>
      <c r="M215" s="180">
        <v>872.64787317000003</v>
      </c>
      <c r="N215" s="180">
        <f t="shared" si="158"/>
        <v>5.704258109014031</v>
      </c>
      <c r="O215" s="180">
        <v>1204.2609666499998</v>
      </c>
      <c r="P215" s="180">
        <f t="shared" si="159"/>
        <v>7.8719213047851095</v>
      </c>
      <c r="Q215" s="180">
        <v>6978.7193832900002</v>
      </c>
      <c r="R215" s="180">
        <f t="shared" si="160"/>
        <v>45.617960985863</v>
      </c>
      <c r="S215" s="180">
        <v>1939.1</v>
      </c>
      <c r="T215" s="180">
        <f t="shared" si="134"/>
        <v>12.675361092680157</v>
      </c>
      <c r="U215" s="180">
        <v>37.973435389999999</v>
      </c>
      <c r="V215" s="180">
        <f t="shared" si="161"/>
        <v>0.2482218583352121</v>
      </c>
      <c r="W215" s="180">
        <v>0.24328217999999999</v>
      </c>
      <c r="X215" s="180">
        <f t="shared" si="162"/>
        <v>1.5902684126215311E-3</v>
      </c>
      <c r="Y215" s="180">
        <f>((B215-C215-E215-G215-I215-K215-M215-W215-O215-Q215-U215-AA215-AC215-AE215-AG215))</f>
        <v>667.26546844000404</v>
      </c>
      <c r="Z215" s="180">
        <f t="shared" si="163"/>
        <v>4.3617300588692833</v>
      </c>
      <c r="AA215" s="180">
        <v>19.718746280000001</v>
      </c>
      <c r="AB215" s="180">
        <f t="shared" si="164"/>
        <v>0.12889599783092343</v>
      </c>
      <c r="AC215" s="180">
        <v>1.4439694199999999</v>
      </c>
      <c r="AD215" s="180">
        <f t="shared" si="165"/>
        <v>9.4388292534103111E-3</v>
      </c>
      <c r="AE215" s="180">
        <v>45.386333559999997</v>
      </c>
      <c r="AF215" s="180">
        <f t="shared" si="166"/>
        <v>0.29667792612337052</v>
      </c>
      <c r="AG215" s="180">
        <v>59.687129029999994</v>
      </c>
      <c r="AH215" s="180">
        <f t="shared" si="167"/>
        <v>0.3901582760252913</v>
      </c>
      <c r="AI215" s="180">
        <v>320.91820552000001</v>
      </c>
    </row>
    <row r="216" spans="1:35" ht="15" customHeight="1">
      <c r="A216" s="625" t="s">
        <v>2362</v>
      </c>
      <c r="B216" s="268">
        <v>14530.423128150002</v>
      </c>
      <c r="C216" s="268">
        <v>893.13990544000001</v>
      </c>
      <c r="D216" s="268">
        <v>6.1466888993047082</v>
      </c>
      <c r="E216" s="268">
        <v>2606.8456367699996</v>
      </c>
      <c r="F216" s="268">
        <v>17.940603751034061</v>
      </c>
      <c r="G216" s="268">
        <v>524.48663853999994</v>
      </c>
      <c r="H216" s="268">
        <v>3.6095758114841425</v>
      </c>
      <c r="I216" s="268">
        <v>566.24991748999992</v>
      </c>
      <c r="J216" s="268">
        <v>3.8969953765007412</v>
      </c>
      <c r="K216" s="268">
        <v>492.95189799000002</v>
      </c>
      <c r="L216" s="268">
        <v>3.3925501937723825</v>
      </c>
      <c r="M216" s="268">
        <v>1250.05735697</v>
      </c>
      <c r="N216" s="268">
        <v>8.6030347908330729</v>
      </c>
      <c r="O216" s="268">
        <v>848.51894512000001</v>
      </c>
      <c r="P216" s="268">
        <v>5.8396024509166002</v>
      </c>
      <c r="Q216" s="268">
        <v>6709.271535320001</v>
      </c>
      <c r="R216" s="268">
        <v>46.173958432924309</v>
      </c>
      <c r="S216" s="268">
        <v>2093.380062575</v>
      </c>
      <c r="T216" s="268">
        <v>14.406876139205224</v>
      </c>
      <c r="U216" s="268">
        <v>23.964750299999999</v>
      </c>
      <c r="V216" s="268">
        <v>0.16492809664690863</v>
      </c>
      <c r="W216" s="268">
        <v>0.77283535000000003</v>
      </c>
      <c r="X216" s="268">
        <v>5.3187394694843727E-3</v>
      </c>
      <c r="Y216" s="268">
        <f t="shared" ref="Y216" si="168">((B216-C216-E216-G216-I216-K216-M216-W216-O216-Q216-U216-AA216-AC216-AE216-AG216))</f>
        <v>527.90435741999704</v>
      </c>
      <c r="Z216" s="268">
        <v>3.6330969357477287</v>
      </c>
      <c r="AA216" s="268">
        <v>7.44049213</v>
      </c>
      <c r="AB216" s="268">
        <v>5.1206300493654759E-2</v>
      </c>
      <c r="AC216" s="268">
        <v>1.9654957500000001</v>
      </c>
      <c r="AD216" s="268">
        <v>1.3526761971523159E-2</v>
      </c>
      <c r="AE216" s="268">
        <v>40.020341620000004</v>
      </c>
      <c r="AF216" s="268">
        <v>0.27542447502762679</v>
      </c>
      <c r="AG216" s="268">
        <v>36.833021939999995</v>
      </c>
      <c r="AH216" s="268">
        <v>0.25348898387303564</v>
      </c>
      <c r="AI216" s="268">
        <v>472.36382140000001</v>
      </c>
    </row>
    <row r="217" spans="1:35" ht="15" customHeight="1">
      <c r="A217" s="625" t="s">
        <v>18</v>
      </c>
      <c r="B217" s="180">
        <v>15513.610178430001</v>
      </c>
      <c r="C217" s="180">
        <v>1306.8619599599999</v>
      </c>
      <c r="D217" s="180">
        <f t="shared" si="153"/>
        <v>8.4239705969732981</v>
      </c>
      <c r="E217" s="180">
        <v>2426.8794658699994</v>
      </c>
      <c r="F217" s="180">
        <f t="shared" si="154"/>
        <v>15.643550649766313</v>
      </c>
      <c r="G217" s="180">
        <v>629.40582794000011</v>
      </c>
      <c r="H217" s="180">
        <f t="shared" si="155"/>
        <v>4.0571203008254066</v>
      </c>
      <c r="I217" s="180">
        <v>540.29166874000009</v>
      </c>
      <c r="J217" s="180">
        <f t="shared" si="156"/>
        <v>3.4826946308810656</v>
      </c>
      <c r="K217" s="180">
        <v>466.63706786</v>
      </c>
      <c r="L217" s="180">
        <f t="shared" si="157"/>
        <v>3.0079205452049349</v>
      </c>
      <c r="M217" s="180">
        <v>1138.5084673100002</v>
      </c>
      <c r="N217" s="180">
        <f t="shared" si="158"/>
        <v>7.3387719184343903</v>
      </c>
      <c r="O217" s="180">
        <v>1177.5183952699999</v>
      </c>
      <c r="P217" s="180">
        <f t="shared" si="159"/>
        <v>7.5902280753915807</v>
      </c>
      <c r="Q217" s="180">
        <v>7004.9976493500008</v>
      </c>
      <c r="R217" s="180">
        <f t="shared" si="160"/>
        <v>45.153884677917802</v>
      </c>
      <c r="S217" s="180">
        <v>1925.6</v>
      </c>
      <c r="T217" s="180">
        <f>S217/$B217*100</f>
        <v>12.412326839805081</v>
      </c>
      <c r="U217" s="180">
        <v>38.65831275</v>
      </c>
      <c r="V217" s="180">
        <f t="shared" si="161"/>
        <v>0.24918966188637515</v>
      </c>
      <c r="W217" s="180">
        <v>1.09727281</v>
      </c>
      <c r="X217" s="180">
        <f t="shared" si="162"/>
        <v>7.0729688149934258E-3</v>
      </c>
      <c r="Y217" s="180">
        <f>((B217-C217-E217-G217-I217-K217-M217-W217-O217-Q217-U217-AA217-AC217-AE217-AG217))</f>
        <v>668.57116773000041</v>
      </c>
      <c r="Z217" s="180">
        <f t="shared" si="163"/>
        <v>4.3095782351136833</v>
      </c>
      <c r="AA217" s="180">
        <v>22.149604879999998</v>
      </c>
      <c r="AB217" s="180">
        <f t="shared" si="164"/>
        <v>0.14277530906891439</v>
      </c>
      <c r="AC217" s="180">
        <v>1.42187361</v>
      </c>
      <c r="AD217" s="180">
        <f t="shared" si="165"/>
        <v>9.1653302722338719E-3</v>
      </c>
      <c r="AE217" s="180">
        <v>32.041896259999994</v>
      </c>
      <c r="AF217" s="180">
        <f t="shared" si="166"/>
        <v>0.20654055304645202</v>
      </c>
      <c r="AG217" s="180">
        <v>58.569548089999998</v>
      </c>
      <c r="AH217" s="180">
        <f t="shared" si="167"/>
        <v>0.37753654640255579</v>
      </c>
      <c r="AI217" s="180">
        <v>340.32591054999995</v>
      </c>
    </row>
    <row r="218" spans="1:35" ht="15" customHeight="1">
      <c r="A218" s="625" t="s">
        <v>19</v>
      </c>
      <c r="B218" s="180">
        <v>15696.359848159998</v>
      </c>
      <c r="C218" s="180">
        <v>1297.7919746600001</v>
      </c>
      <c r="D218" s="180">
        <f t="shared" si="153"/>
        <v>8.2681079384920793</v>
      </c>
      <c r="E218" s="180">
        <v>2521.7714227699998</v>
      </c>
      <c r="F218" s="180">
        <f t="shared" si="154"/>
        <v>16.065963364528841</v>
      </c>
      <c r="G218" s="180">
        <v>626.24213909000002</v>
      </c>
      <c r="H218" s="180">
        <f t="shared" si="155"/>
        <v>3.9897284793926984</v>
      </c>
      <c r="I218" s="180">
        <v>534.28357079</v>
      </c>
      <c r="J218" s="180">
        <f t="shared" si="156"/>
        <v>3.4038692789821026</v>
      </c>
      <c r="K218" s="180">
        <v>464.59826734000001</v>
      </c>
      <c r="L218" s="180">
        <f t="shared" si="157"/>
        <v>2.9599109082254027</v>
      </c>
      <c r="M218" s="180">
        <v>1135.4032956999999</v>
      </c>
      <c r="N218" s="180">
        <f t="shared" si="158"/>
        <v>7.2335452721740277</v>
      </c>
      <c r="O218" s="180">
        <v>1172.5300143999998</v>
      </c>
      <c r="P218" s="180">
        <f t="shared" si="159"/>
        <v>7.4700760287261723</v>
      </c>
      <c r="Q218" s="180">
        <v>7099.5349342</v>
      </c>
      <c r="R218" s="180">
        <f t="shared" si="160"/>
        <v>45.230454722482939</v>
      </c>
      <c r="S218" s="180">
        <v>1963.391261664</v>
      </c>
      <c r="T218" s="180">
        <f>S218/$B218*100</f>
        <v>12.508577024590565</v>
      </c>
      <c r="U218" s="180">
        <v>29.87944276</v>
      </c>
      <c r="V218" s="180">
        <f t="shared" si="161"/>
        <v>0.19035905808124429</v>
      </c>
      <c r="W218" s="180">
        <v>0.91211142000000001</v>
      </c>
      <c r="X218" s="180">
        <f t="shared" si="162"/>
        <v>5.8109741928917486E-3</v>
      </c>
      <c r="Y218" s="180">
        <f>((B218-C218-E218-G218-I218-K218-M218-W218-O218-Q218-U218-AA218-AC218-AE218-AG218))</f>
        <v>695.98466035999979</v>
      </c>
      <c r="Z218" s="180">
        <f t="shared" si="163"/>
        <v>4.4340513793813559</v>
      </c>
      <c r="AA218" s="180">
        <v>22.525823389999999</v>
      </c>
      <c r="AB218" s="180">
        <f t="shared" si="164"/>
        <v>0.14350985583858528</v>
      </c>
      <c r="AC218" s="180">
        <v>2.1686598300000002</v>
      </c>
      <c r="AD218" s="180">
        <f t="shared" si="165"/>
        <v>1.3816323344894649E-2</v>
      </c>
      <c r="AE218" s="180">
        <v>31.934630070000001</v>
      </c>
      <c r="AF218" s="180">
        <f t="shared" si="166"/>
        <v>0.20345245890717478</v>
      </c>
      <c r="AG218" s="180">
        <v>60.798901380000004</v>
      </c>
      <c r="AH218" s="180">
        <f t="shared" si="167"/>
        <v>0.38734395724959847</v>
      </c>
      <c r="AI218" s="180">
        <v>380.30935400999994</v>
      </c>
    </row>
    <row r="219" spans="1:35" ht="15" customHeight="1">
      <c r="A219" s="625" t="s">
        <v>20</v>
      </c>
      <c r="B219" s="180">
        <v>15637.419790709999</v>
      </c>
      <c r="C219" s="180">
        <v>1386.7515801299999</v>
      </c>
      <c r="D219" s="180">
        <f t="shared" si="153"/>
        <v>8.8681611077158156</v>
      </c>
      <c r="E219" s="180">
        <v>2507.4981019900001</v>
      </c>
      <c r="F219" s="180">
        <f t="shared" si="154"/>
        <v>16.035241974380419</v>
      </c>
      <c r="G219" s="180">
        <v>627.05162729000017</v>
      </c>
      <c r="H219" s="180">
        <f t="shared" si="155"/>
        <v>4.0099430448399422</v>
      </c>
      <c r="I219" s="180">
        <v>527.47044239000002</v>
      </c>
      <c r="J219" s="180">
        <f t="shared" si="156"/>
        <v>3.373129643186811</v>
      </c>
      <c r="K219" s="180">
        <v>468.44416342</v>
      </c>
      <c r="L219" s="180">
        <f t="shared" si="157"/>
        <v>2.9956614946047364</v>
      </c>
      <c r="M219" s="180">
        <v>1129.1775246899999</v>
      </c>
      <c r="N219" s="180">
        <f t="shared" si="158"/>
        <v>7.2209964290965098</v>
      </c>
      <c r="O219" s="180">
        <v>1168.5521228400003</v>
      </c>
      <c r="P219" s="180">
        <f t="shared" si="159"/>
        <v>7.4727937120049877</v>
      </c>
      <c r="Q219" s="180">
        <v>6960.7529909599998</v>
      </c>
      <c r="R219" s="180">
        <f t="shared" si="160"/>
        <v>44.513436897660689</v>
      </c>
      <c r="S219" s="180">
        <v>1988.9812640939999</v>
      </c>
      <c r="T219" s="180">
        <f>S219/$B219*100</f>
        <v>12.719369887835521</v>
      </c>
      <c r="U219" s="180">
        <v>22.085547330000001</v>
      </c>
      <c r="V219" s="180">
        <f t="shared" si="161"/>
        <v>0.14123523973642221</v>
      </c>
      <c r="W219" s="180">
        <v>0.87011189000000011</v>
      </c>
      <c r="X219" s="180">
        <f t="shared" si="162"/>
        <v>5.564293225132467E-3</v>
      </c>
      <c r="Y219" s="180">
        <f>((B219-C219-E219-G219-I219-K219-M219-W219-O219-Q219-U219-AA219-AC219-AE219-AG219))</f>
        <v>718.37380356999802</v>
      </c>
      <c r="Z219" s="180">
        <f t="shared" si="163"/>
        <v>4.5939407727403676</v>
      </c>
      <c r="AA219" s="180">
        <v>21.527021420000001</v>
      </c>
      <c r="AB219" s="180">
        <f t="shared" si="164"/>
        <v>0.13766351295876153</v>
      </c>
      <c r="AC219" s="180">
        <v>2.8118310100000001</v>
      </c>
      <c r="AD219" s="180">
        <f t="shared" si="165"/>
        <v>1.798142562924911E-2</v>
      </c>
      <c r="AE219" s="180">
        <v>33.808806990000001</v>
      </c>
      <c r="AF219" s="180">
        <f t="shared" si="166"/>
        <v>0.21620451099026838</v>
      </c>
      <c r="AG219" s="180">
        <v>62.244114789999998</v>
      </c>
      <c r="AH219" s="180">
        <f t="shared" si="167"/>
        <v>0.39804594122988546</v>
      </c>
      <c r="AI219" s="180">
        <v>438.66103153000006</v>
      </c>
    </row>
    <row r="220" spans="1:35" ht="15" customHeight="1">
      <c r="A220" s="625" t="s">
        <v>21</v>
      </c>
      <c r="B220" s="180">
        <v>15146.8</v>
      </c>
      <c r="C220" s="180">
        <v>1232.4418596000003</v>
      </c>
      <c r="D220" s="180">
        <v>8.1366227187470628</v>
      </c>
      <c r="E220" s="180">
        <v>2454.8192180700003</v>
      </c>
      <c r="F220" s="180">
        <v>16.206799261628436</v>
      </c>
      <c r="G220" s="180">
        <v>623.50596823000001</v>
      </c>
      <c r="H220" s="180">
        <v>4.1164074287619252</v>
      </c>
      <c r="I220" s="180">
        <v>583.30684597000004</v>
      </c>
      <c r="J220" s="180">
        <v>3.8510114679653928</v>
      </c>
      <c r="K220" s="180">
        <v>457.99721402000006</v>
      </c>
      <c r="L220" s="180">
        <v>3.0237130520116198</v>
      </c>
      <c r="M220" s="180">
        <v>1137.7055161400001</v>
      </c>
      <c r="N220" s="180">
        <v>7.5111701844280452</v>
      </c>
      <c r="O220" s="180">
        <v>1101.5105154299999</v>
      </c>
      <c r="P220" s="180">
        <v>7.272209569135704</v>
      </c>
      <c r="Q220" s="180">
        <v>6704.1778108100007</v>
      </c>
      <c r="R220" s="180">
        <v>44.261207992124731</v>
      </c>
      <c r="S220" s="180">
        <v>1953.817101414</v>
      </c>
      <c r="T220" s="180">
        <v>12.899166392158531</v>
      </c>
      <c r="U220" s="180">
        <v>22.037805670000001</v>
      </c>
      <c r="V220" s="180">
        <v>0.14419835699498562</v>
      </c>
      <c r="W220" s="180">
        <v>0.9398473100000001</v>
      </c>
      <c r="X220" s="180">
        <v>6.2049036351144986E-3</v>
      </c>
      <c r="Y220" s="180">
        <v>711.64327956999773</v>
      </c>
      <c r="Z220" s="180">
        <v>4.6999045137874393</v>
      </c>
      <c r="AA220" s="180">
        <v>21.27810659</v>
      </c>
      <c r="AB220" s="180">
        <v>0.14047877726930424</v>
      </c>
      <c r="AC220" s="180">
        <v>2.0920272899999999</v>
      </c>
      <c r="AD220" s="180">
        <v>1.3811634718068972E-2</v>
      </c>
      <c r="AE220" s="180">
        <v>32.488884880000001</v>
      </c>
      <c r="AF220" s="180">
        <v>0.21449271360124278</v>
      </c>
      <c r="AG220" s="180">
        <v>60.855100419999999</v>
      </c>
      <c r="AH220" s="180">
        <v>0.40176742519092362</v>
      </c>
      <c r="AI220" s="180">
        <v>379.41717933000007</v>
      </c>
    </row>
    <row r="221" spans="1:35" ht="15" customHeight="1">
      <c r="A221" s="625" t="s">
        <v>22</v>
      </c>
      <c r="B221" s="180">
        <v>14765.7</v>
      </c>
      <c r="C221" s="180">
        <v>1084.8214846800004</v>
      </c>
      <c r="D221" s="180">
        <v>7.3468984276062184</v>
      </c>
      <c r="E221" s="180">
        <v>2413.5674556900003</v>
      </c>
      <c r="F221" s="180">
        <v>16.345763054610817</v>
      </c>
      <c r="G221" s="180">
        <v>623.17214887</v>
      </c>
      <c r="H221" s="180">
        <v>4.2204017391963058</v>
      </c>
      <c r="I221" s="180">
        <v>582.94547709000005</v>
      </c>
      <c r="J221" s="180">
        <v>3.9479686469115491</v>
      </c>
      <c r="K221" s="180">
        <v>426.51841343000001</v>
      </c>
      <c r="L221" s="180">
        <v>2.8885743002207493</v>
      </c>
      <c r="M221" s="180">
        <v>1159.2931909700001</v>
      </c>
      <c r="N221" s="180">
        <v>7.8512542774579073</v>
      </c>
      <c r="O221" s="180">
        <v>961.8989958599999</v>
      </c>
      <c r="P221" s="180">
        <v>6.5144121129610957</v>
      </c>
      <c r="Q221" s="180">
        <v>6575.2798157400002</v>
      </c>
      <c r="R221" s="180">
        <v>44.530748719067766</v>
      </c>
      <c r="S221" s="180">
        <v>1939.7525689839999</v>
      </c>
      <c r="T221" s="180">
        <v>13.136875790414004</v>
      </c>
      <c r="U221" s="180">
        <v>22.063696910000001</v>
      </c>
      <c r="V221" s="180">
        <v>0.14809583534502979</v>
      </c>
      <c r="W221" s="180">
        <v>0.84922034000000002</v>
      </c>
      <c r="X221" s="180">
        <v>5.7513016369487129E-3</v>
      </c>
      <c r="Y221" s="180">
        <v>807.74608436999995</v>
      </c>
      <c r="Z221" s="180">
        <v>5.4717951963960587</v>
      </c>
      <c r="AA221" s="180">
        <v>24.635880090000001</v>
      </c>
      <c r="AB221" s="180">
        <v>0.16684524712313084</v>
      </c>
      <c r="AC221" s="180">
        <v>2.3880537299999998</v>
      </c>
      <c r="AD221" s="180">
        <v>1.6172972642730717E-2</v>
      </c>
      <c r="AE221" s="180">
        <v>30.33864049</v>
      </c>
      <c r="AF221" s="180">
        <v>0.20546690239771634</v>
      </c>
      <c r="AG221" s="180">
        <v>50.181441739999997</v>
      </c>
      <c r="AH221" s="180">
        <v>0.3398512664259884</v>
      </c>
      <c r="AI221" s="180">
        <v>328.48196079000002</v>
      </c>
    </row>
    <row r="222" spans="1:35" ht="15" customHeight="1">
      <c r="A222" s="625" t="s">
        <v>23</v>
      </c>
      <c r="B222" s="180">
        <v>14550.656176510003</v>
      </c>
      <c r="C222" s="180">
        <v>1065.5159760600002</v>
      </c>
      <c r="D222" s="180">
        <f t="shared" si="153"/>
        <v>7.3228036119781761</v>
      </c>
      <c r="E222" s="180">
        <v>2394.9782242000001</v>
      </c>
      <c r="F222" s="180">
        <f t="shared" si="154"/>
        <v>16.459589142559476</v>
      </c>
      <c r="G222" s="180">
        <v>562.24009226999999</v>
      </c>
      <c r="H222" s="180">
        <f t="shared" si="155"/>
        <v>3.8640188143381318</v>
      </c>
      <c r="I222" s="180">
        <v>552.73515180999993</v>
      </c>
      <c r="J222" s="180">
        <f t="shared" si="156"/>
        <v>3.7986957090107962</v>
      </c>
      <c r="K222" s="180">
        <v>420.78440397000003</v>
      </c>
      <c r="L222" s="180">
        <f t="shared" si="157"/>
        <v>2.8918586135606552</v>
      </c>
      <c r="M222" s="180">
        <v>1171.8380441299998</v>
      </c>
      <c r="N222" s="180">
        <f t="shared" si="158"/>
        <v>8.0535065217317712</v>
      </c>
      <c r="O222" s="180">
        <v>915.73129026000004</v>
      </c>
      <c r="P222" s="180">
        <f t="shared" si="159"/>
        <v>6.293402023603031</v>
      </c>
      <c r="Q222" s="180">
        <v>6540.049923569999</v>
      </c>
      <c r="R222" s="180">
        <f t="shared" si="160"/>
        <v>44.946769714262054</v>
      </c>
      <c r="S222" s="180">
        <v>1967.3537699999999</v>
      </c>
      <c r="T222" s="180">
        <f t="shared" ref="T222:T226" si="169">S222/$B222*100</f>
        <v>13.520721994489959</v>
      </c>
      <c r="U222" s="180">
        <v>22.0349298</v>
      </c>
      <c r="V222" s="180">
        <f t="shared" si="161"/>
        <v>0.15143598702835345</v>
      </c>
      <c r="W222" s="180">
        <v>0.84922034000000002</v>
      </c>
      <c r="X222" s="180">
        <f t="shared" si="162"/>
        <v>5.8363027048288539E-3</v>
      </c>
      <c r="Y222" s="180">
        <f t="shared" ref="Y222:Y226" si="170">((B222-C222-E222-G222-I222-K222-M222-W222-O222-Q222-U222-AA222-AC222-AE222-AG222))</f>
        <v>808.13644650000504</v>
      </c>
      <c r="Z222" s="180">
        <f t="shared" ref="Z222:Z226" si="171">Y222/B222*100</f>
        <v>5.5539519090872904</v>
      </c>
      <c r="AA222" s="180">
        <v>23.671721489999999</v>
      </c>
      <c r="AB222" s="180">
        <f t="shared" ref="AB222:AB226" si="172">AA222/B222*100</f>
        <v>0.16268490714676276</v>
      </c>
      <c r="AC222" s="180">
        <v>2.07621023</v>
      </c>
      <c r="AD222" s="180">
        <f t="shared" ref="AD222:AD226" si="173">AC222/B222*100</f>
        <v>1.4268842619975797E-2</v>
      </c>
      <c r="AE222" s="180">
        <v>27.14365188</v>
      </c>
      <c r="AF222" s="180">
        <f t="shared" ref="AF222:AF226" si="174">AE222/B222*100</f>
        <v>0.18654589559898765</v>
      </c>
      <c r="AG222" s="180">
        <v>42.870890000000003</v>
      </c>
      <c r="AH222" s="180">
        <f t="shared" ref="AH222:AH226" si="175">AG222/B222*100</f>
        <v>0.29463200476971652</v>
      </c>
      <c r="AI222" s="180">
        <v>321.80638771000002</v>
      </c>
    </row>
    <row r="223" spans="1:35" ht="15" customHeight="1">
      <c r="A223" s="625" t="s">
        <v>24</v>
      </c>
      <c r="B223" s="180">
        <v>14585.314835290001</v>
      </c>
      <c r="C223" s="180">
        <v>1062.4228878200001</v>
      </c>
      <c r="D223" s="180">
        <f t="shared" si="153"/>
        <v>7.2841957806039774</v>
      </c>
      <c r="E223" s="180">
        <v>2379.0843462600005</v>
      </c>
      <c r="F223" s="180">
        <f t="shared" si="154"/>
        <v>16.311504915229328</v>
      </c>
      <c r="G223" s="180">
        <v>563.81334117999995</v>
      </c>
      <c r="H223" s="180">
        <f t="shared" si="155"/>
        <v>3.8656233858992293</v>
      </c>
      <c r="I223" s="180">
        <v>553.34032681999997</v>
      </c>
      <c r="J223" s="180">
        <f t="shared" si="156"/>
        <v>3.7938181867775764</v>
      </c>
      <c r="K223" s="180">
        <v>428.79080331</v>
      </c>
      <c r="L223" s="180">
        <f t="shared" si="157"/>
        <v>2.9398803395900388</v>
      </c>
      <c r="M223" s="180">
        <v>1191.0609771299999</v>
      </c>
      <c r="N223" s="180">
        <f t="shared" si="158"/>
        <v>8.1661656987215654</v>
      </c>
      <c r="O223" s="180">
        <v>917.74782293999988</v>
      </c>
      <c r="P223" s="180">
        <f t="shared" si="159"/>
        <v>6.2922729697918944</v>
      </c>
      <c r="Q223" s="180">
        <v>6560.5409928500003</v>
      </c>
      <c r="R223" s="180">
        <f t="shared" si="160"/>
        <v>44.980455114869358</v>
      </c>
      <c r="S223" s="180">
        <v>2009.1106795640001</v>
      </c>
      <c r="T223" s="180">
        <f t="shared" si="169"/>
        <v>13.774887290762091</v>
      </c>
      <c r="U223" s="180">
        <v>23.265201919999999</v>
      </c>
      <c r="V223" s="180">
        <f t="shared" si="161"/>
        <v>0.15951113968214464</v>
      </c>
      <c r="W223" s="180">
        <v>0.84922034000000002</v>
      </c>
      <c r="X223" s="180">
        <f t="shared" si="162"/>
        <v>5.822434068720018E-3</v>
      </c>
      <c r="Y223" s="180">
        <f t="shared" si="170"/>
        <v>810.38782743000138</v>
      </c>
      <c r="Z223" s="180">
        <f t="shared" si="171"/>
        <v>5.5561901582626234</v>
      </c>
      <c r="AA223" s="180">
        <v>24.128914219999999</v>
      </c>
      <c r="AB223" s="180">
        <f t="shared" si="172"/>
        <v>0.16543293369039053</v>
      </c>
      <c r="AC223" s="180">
        <v>2.1125600200000001</v>
      </c>
      <c r="AD223" s="180">
        <f t="shared" si="173"/>
        <v>1.4484157824886584E-2</v>
      </c>
      <c r="AE223" s="180">
        <v>24.853899670000001</v>
      </c>
      <c r="AF223" s="180">
        <f t="shared" si="174"/>
        <v>0.17040358710574127</v>
      </c>
      <c r="AG223" s="180">
        <v>42.91571338</v>
      </c>
      <c r="AH223" s="180">
        <f t="shared" si="175"/>
        <v>0.29423919788253716</v>
      </c>
      <c r="AI223" s="180">
        <v>320.60784153999998</v>
      </c>
    </row>
    <row r="224" spans="1:35" ht="15" customHeight="1">
      <c r="A224" s="625" t="s">
        <v>25</v>
      </c>
      <c r="B224" s="180">
        <v>14685.098078150002</v>
      </c>
      <c r="C224" s="180">
        <v>1065.4106116100002</v>
      </c>
      <c r="D224" s="180">
        <f>C224/B224*100</f>
        <v>7.2550459379990633</v>
      </c>
      <c r="E224" s="180">
        <v>2395.1543402300003</v>
      </c>
      <c r="F224" s="180">
        <f>E224/B224*100</f>
        <v>16.310101079908733</v>
      </c>
      <c r="G224" s="180">
        <v>545.40959417999989</v>
      </c>
      <c r="H224" s="180">
        <f>G224/B224*100</f>
        <v>3.7140343992085172</v>
      </c>
      <c r="I224" s="180">
        <v>557.72776111999997</v>
      </c>
      <c r="J224" s="180">
        <f>I224/B224*100</f>
        <v>3.7979164875299309</v>
      </c>
      <c r="K224" s="180">
        <v>433.14310065000006</v>
      </c>
      <c r="L224" s="180">
        <f>K224/B224*100</f>
        <v>2.9495417623017097</v>
      </c>
      <c r="M224" s="180">
        <v>1194.9634952499998</v>
      </c>
      <c r="N224" s="180">
        <f>M224/B224*100</f>
        <v>8.1372523962096608</v>
      </c>
      <c r="O224" s="180">
        <v>901.78172137000001</v>
      </c>
      <c r="P224" s="180">
        <f>O224/B224*100</f>
        <v>6.1407946788708454</v>
      </c>
      <c r="Q224" s="180">
        <v>6659.5837263899984</v>
      </c>
      <c r="R224" s="180">
        <f>Q224/B224*100</f>
        <v>45.349262844208113</v>
      </c>
      <c r="S224" s="180">
        <v>2030.933476614</v>
      </c>
      <c r="T224" s="180">
        <f t="shared" si="169"/>
        <v>13.829893854340893</v>
      </c>
      <c r="U224" s="180">
        <v>22.391692549999998</v>
      </c>
      <c r="V224" s="180">
        <f>U224/B224*100</f>
        <v>0.15247901260745858</v>
      </c>
      <c r="W224" s="180">
        <v>0.82019887999999996</v>
      </c>
      <c r="X224" s="180">
        <f>W224/B224*100</f>
        <v>5.5852461838193377E-3</v>
      </c>
      <c r="Y224" s="180">
        <f t="shared" si="170"/>
        <v>813.31882206000182</v>
      </c>
      <c r="Z224" s="180">
        <f t="shared" si="171"/>
        <v>5.5383955744234425</v>
      </c>
      <c r="AA224" s="180">
        <v>26.211952490000002</v>
      </c>
      <c r="AB224" s="180">
        <f t="shared" si="172"/>
        <v>0.17849354733967246</v>
      </c>
      <c r="AC224" s="180">
        <v>2.35648737</v>
      </c>
      <c r="AD224" s="180">
        <f t="shared" si="173"/>
        <v>1.604679354172121E-2</v>
      </c>
      <c r="AE224" s="180">
        <v>24.236075889999999</v>
      </c>
      <c r="AF224" s="180">
        <f t="shared" si="174"/>
        <v>0.16503857012750173</v>
      </c>
      <c r="AG224" s="180">
        <v>42.588498110000003</v>
      </c>
      <c r="AH224" s="180">
        <f t="shared" si="175"/>
        <v>0.29001166953980068</v>
      </c>
      <c r="AI224" s="180">
        <v>316.21093585</v>
      </c>
    </row>
    <row r="225" spans="1:35" ht="15" customHeight="1">
      <c r="A225" s="625" t="s">
        <v>26</v>
      </c>
      <c r="B225" s="180">
        <v>14873.658797600001</v>
      </c>
      <c r="C225" s="180">
        <v>1069.5053917</v>
      </c>
      <c r="D225" s="180">
        <f>C225/B225*100</f>
        <v>7.190600552653355</v>
      </c>
      <c r="E225" s="180">
        <v>2495.7417140999996</v>
      </c>
      <c r="F225" s="180">
        <f>E225/B225*100</f>
        <v>16.779608488146238</v>
      </c>
      <c r="G225" s="180">
        <v>522.70294925999997</v>
      </c>
      <c r="H225" s="180">
        <f>G225/B225*100</f>
        <v>3.5142862719450227</v>
      </c>
      <c r="I225" s="180">
        <v>563.42269964999991</v>
      </c>
      <c r="J225" s="180">
        <f>I225/B225*100</f>
        <v>3.7880571775716221</v>
      </c>
      <c r="K225" s="180">
        <v>433.73405429000002</v>
      </c>
      <c r="L225" s="180">
        <f>K225/B225*100</f>
        <v>2.916122120267993</v>
      </c>
      <c r="M225" s="180">
        <v>1189.56884322</v>
      </c>
      <c r="N225" s="180">
        <f>M225/B225*100</f>
        <v>7.9978225896371091</v>
      </c>
      <c r="O225" s="180">
        <v>892.00232236999989</v>
      </c>
      <c r="P225" s="180">
        <f>O225/B225*100</f>
        <v>5.9971950043249107</v>
      </c>
      <c r="Q225" s="180">
        <v>6780.3776128399995</v>
      </c>
      <c r="R225" s="180">
        <f>Q225/B225*100</f>
        <v>45.586480805476555</v>
      </c>
      <c r="S225" s="180">
        <v>2064.7887597640001</v>
      </c>
      <c r="T225" s="180">
        <f t="shared" si="169"/>
        <v>13.882184524074011</v>
      </c>
      <c r="U225" s="180">
        <v>21.05323864</v>
      </c>
      <c r="V225" s="180">
        <f>U225/B225*100</f>
        <v>0.14154713999084834</v>
      </c>
      <c r="W225" s="180">
        <v>0.82180977999999993</v>
      </c>
      <c r="X225" s="180">
        <f>W225/B225*100</f>
        <v>5.525269815471405E-3</v>
      </c>
      <c r="Y225" s="180">
        <f t="shared" si="170"/>
        <v>804.28111132000038</v>
      </c>
      <c r="Z225" s="180">
        <f t="shared" si="171"/>
        <v>5.4074194000589717</v>
      </c>
      <c r="AA225" s="180">
        <v>27.087395489999999</v>
      </c>
      <c r="AB225" s="180">
        <f t="shared" si="172"/>
        <v>0.18211655826319476</v>
      </c>
      <c r="AC225" s="180">
        <v>2.3220422200000002</v>
      </c>
      <c r="AD225" s="180">
        <f t="shared" si="173"/>
        <v>1.561177549921128E-2</v>
      </c>
      <c r="AE225" s="180">
        <v>29.457986569999999</v>
      </c>
      <c r="AF225" s="180">
        <f t="shared" si="174"/>
        <v>0.19805474208372531</v>
      </c>
      <c r="AG225" s="180">
        <v>41.579626149999996</v>
      </c>
      <c r="AH225" s="180">
        <f t="shared" si="175"/>
        <v>0.27955210426575899</v>
      </c>
      <c r="AI225" s="180">
        <v>314.00647365999998</v>
      </c>
    </row>
    <row r="226" spans="1:35" ht="15" customHeight="1">
      <c r="A226" s="625" t="s">
        <v>27</v>
      </c>
      <c r="B226" s="180">
        <v>14785.940748229999</v>
      </c>
      <c r="C226" s="180">
        <v>1006.52323186</v>
      </c>
      <c r="D226" s="180">
        <f>C226/B226*100</f>
        <v>6.8072992378282677</v>
      </c>
      <c r="E226" s="180">
        <v>2546.82416423</v>
      </c>
      <c r="F226" s="180">
        <f>E226/B226*100</f>
        <v>17.224633911338216</v>
      </c>
      <c r="G226" s="180">
        <v>512.82735919000004</v>
      </c>
      <c r="H226" s="180">
        <f>G226/B226*100</f>
        <v>3.4683444761632076</v>
      </c>
      <c r="I226" s="180">
        <v>552.18230190999986</v>
      </c>
      <c r="J226" s="180">
        <f>I226/B226*100</f>
        <v>3.7345090942292645</v>
      </c>
      <c r="K226" s="180">
        <v>432.26422624999998</v>
      </c>
      <c r="L226" s="180">
        <f>K226/B226*100</f>
        <v>2.9234813909405499</v>
      </c>
      <c r="M226" s="180">
        <v>1228.446872</v>
      </c>
      <c r="N226" s="180">
        <f>M226/B226*100</f>
        <v>8.3082090812994469</v>
      </c>
      <c r="O226" s="180">
        <v>875.59594334000008</v>
      </c>
      <c r="P226" s="180">
        <f>O226/B226*100</f>
        <v>5.9218142304865937</v>
      </c>
      <c r="Q226" s="180">
        <v>6765.0320762599995</v>
      </c>
      <c r="R226" s="180">
        <f>Q226/B226*100</f>
        <v>45.753139360238748</v>
      </c>
      <c r="S226" s="180">
        <v>2094.0299676539998</v>
      </c>
      <c r="T226" s="180">
        <f t="shared" si="169"/>
        <v>14.162304606182548</v>
      </c>
      <c r="U226" s="180">
        <v>21.360531559999998</v>
      </c>
      <c r="V226" s="180">
        <f>U226/B226*100</f>
        <v>0.14446515053536266</v>
      </c>
      <c r="W226" s="180">
        <v>0.79625563999999993</v>
      </c>
      <c r="X226" s="180">
        <f>W226/B226*100</f>
        <v>5.3852213637155168E-3</v>
      </c>
      <c r="Y226" s="180">
        <f t="shared" si="170"/>
        <v>746.44233604000181</v>
      </c>
      <c r="Z226" s="180">
        <f t="shared" si="171"/>
        <v>5.0483249510475492</v>
      </c>
      <c r="AA226" s="180">
        <v>25.990582490000001</v>
      </c>
      <c r="AB226" s="180">
        <f t="shared" si="172"/>
        <v>0.17577902503843923</v>
      </c>
      <c r="AC226" s="180">
        <v>2.0200656700000001</v>
      </c>
      <c r="AD226" s="180">
        <f t="shared" si="173"/>
        <v>1.3662070641273324E-2</v>
      </c>
      <c r="AE226" s="180">
        <v>31.98937059</v>
      </c>
      <c r="AF226" s="180">
        <f t="shared" si="174"/>
        <v>0.21634991736206841</v>
      </c>
      <c r="AG226" s="180">
        <v>37.645431200000004</v>
      </c>
      <c r="AH226" s="180">
        <f t="shared" si="175"/>
        <v>0.25460288148731069</v>
      </c>
      <c r="AI226" s="180">
        <v>437.31771748000006</v>
      </c>
    </row>
    <row r="227" spans="1:35" ht="15" customHeight="1">
      <c r="A227" s="625" t="s">
        <v>28</v>
      </c>
      <c r="B227" s="180">
        <v>14681.276736809999</v>
      </c>
      <c r="C227" s="180">
        <v>922.91633638000008</v>
      </c>
      <c r="D227" s="180">
        <f>C227/B227*100</f>
        <v>6.2863492932191303</v>
      </c>
      <c r="E227" s="180">
        <v>2594.5648604499997</v>
      </c>
      <c r="F227" s="180">
        <f>E227/B227*100</f>
        <v>17.67261054309202</v>
      </c>
      <c r="G227" s="180">
        <v>516.71252259000005</v>
      </c>
      <c r="H227" s="180">
        <f>G227/B227*100</f>
        <v>3.519533974143132</v>
      </c>
      <c r="I227" s="180">
        <v>553.91715420000003</v>
      </c>
      <c r="J227" s="180">
        <f>I227/B227*100</f>
        <v>3.7729494793268037</v>
      </c>
      <c r="K227" s="180">
        <v>477.40030588999997</v>
      </c>
      <c r="L227" s="180">
        <f>K227/B227*100</f>
        <v>3.2517628708205333</v>
      </c>
      <c r="M227" s="180">
        <v>1382.1121506899999</v>
      </c>
      <c r="N227" s="180">
        <f>M227/B227*100</f>
        <v>9.4141141500634244</v>
      </c>
      <c r="O227" s="180">
        <v>857.88437640999996</v>
      </c>
      <c r="P227" s="180">
        <f>O227/B227*100</f>
        <v>5.8433908153168161</v>
      </c>
      <c r="Q227" s="180">
        <v>6757.3154658000003</v>
      </c>
      <c r="R227" s="180">
        <f>Q227/B227*100</f>
        <v>46.026756302859901</v>
      </c>
      <c r="S227" s="180">
        <v>2088.1760351739999</v>
      </c>
      <c r="T227" s="180">
        <f>S227/$B227*100</f>
        <v>14.223395366823704</v>
      </c>
      <c r="U227" s="180">
        <v>24.528865280000002</v>
      </c>
      <c r="V227" s="180">
        <f>U227/B227*100</f>
        <v>0.16707583216178595</v>
      </c>
      <c r="W227" s="180">
        <v>0.78461822999999997</v>
      </c>
      <c r="X227" s="180">
        <f>W227/B227*100</f>
        <v>5.3443460270232914E-3</v>
      </c>
      <c r="Y227" s="180">
        <f>((B227-C227-E227-G227-I227-K227-M227-W227-O227-Q227-U227-AA227-AC227-AE227-AG227))</f>
        <v>513.01729380999893</v>
      </c>
      <c r="Z227" s="180">
        <f>Y227/B227*100</f>
        <v>3.4943643050043693</v>
      </c>
      <c r="AA227" s="180">
        <v>6.7282521899999992</v>
      </c>
      <c r="AB227" s="180">
        <f>AA227/B227*100</f>
        <v>4.5828794801820068E-2</v>
      </c>
      <c r="AC227" s="180">
        <v>2.0186709399999998</v>
      </c>
      <c r="AD227" s="180">
        <f>AC227/B227*100</f>
        <v>1.3749968590528891E-2</v>
      </c>
      <c r="AE227" s="180">
        <v>34.961292449999995</v>
      </c>
      <c r="AF227" s="180">
        <f>AE227/B227*100</f>
        <v>0.23813523221956862</v>
      </c>
      <c r="AG227" s="180">
        <v>36.414571500000001</v>
      </c>
      <c r="AH227" s="180">
        <f>AG227/B227*100</f>
        <v>0.24803409235314428</v>
      </c>
      <c r="AI227" s="180">
        <v>449.96527655</v>
      </c>
    </row>
    <row r="228" spans="1:35" ht="15" customHeight="1">
      <c r="A228" s="625" t="s">
        <v>29</v>
      </c>
      <c r="B228" s="180">
        <v>14530.423128150002</v>
      </c>
      <c r="C228" s="180">
        <v>893.13990544000001</v>
      </c>
      <c r="D228" s="180">
        <f>C228/B228*100</f>
        <v>6.1466888993047082</v>
      </c>
      <c r="E228" s="180">
        <v>2606.8456367699996</v>
      </c>
      <c r="F228" s="180">
        <f>E228/B228*100</f>
        <v>17.940603751034061</v>
      </c>
      <c r="G228" s="180">
        <v>524.48663853999994</v>
      </c>
      <c r="H228" s="180">
        <f>G228/B228*100</f>
        <v>3.6095758114841425</v>
      </c>
      <c r="I228" s="180">
        <v>566.24991748999992</v>
      </c>
      <c r="J228" s="180">
        <f>I228/B228*100</f>
        <v>3.8969953765007412</v>
      </c>
      <c r="K228" s="180">
        <v>492.95189799000002</v>
      </c>
      <c r="L228" s="180">
        <f>K228/B228*100</f>
        <v>3.3925501937723825</v>
      </c>
      <c r="M228" s="180">
        <v>1250.05735697</v>
      </c>
      <c r="N228" s="180">
        <f>M228/B228*100</f>
        <v>8.6030347908330729</v>
      </c>
      <c r="O228" s="180">
        <v>848.51894512000001</v>
      </c>
      <c r="P228" s="180">
        <f>O228/B228*100</f>
        <v>5.8396024509166002</v>
      </c>
      <c r="Q228" s="180">
        <v>6709.271535320001</v>
      </c>
      <c r="R228" s="180">
        <f>Q228/B228*100</f>
        <v>46.173958432924309</v>
      </c>
      <c r="S228" s="180">
        <v>2093.380062575</v>
      </c>
      <c r="T228" s="180">
        <f>S228/$B228*100</f>
        <v>14.406876139205224</v>
      </c>
      <c r="U228" s="180">
        <v>23.964750299999999</v>
      </c>
      <c r="V228" s="180">
        <f>U228/B228*100</f>
        <v>0.16492809664690863</v>
      </c>
      <c r="W228" s="180">
        <v>0.77283535000000003</v>
      </c>
      <c r="X228" s="180">
        <f>W228/B228*100</f>
        <v>5.3187394694843727E-3</v>
      </c>
      <c r="Y228" s="180">
        <f>((B228-C228-E228-G228-I228-K228-M228-W228-O228-Q228-U228-AA228-AC228-AE228-AG228))</f>
        <v>527.90435741999704</v>
      </c>
      <c r="Z228" s="180">
        <f>Y228/B228*100</f>
        <v>3.6330969357477287</v>
      </c>
      <c r="AA228" s="180">
        <v>7.44049213</v>
      </c>
      <c r="AB228" s="180">
        <f>AA228/B228*100</f>
        <v>5.1206300493654759E-2</v>
      </c>
      <c r="AC228" s="180">
        <v>1.9654957500000001</v>
      </c>
      <c r="AD228" s="180">
        <f>AC228/B228*100</f>
        <v>1.3526761971523159E-2</v>
      </c>
      <c r="AE228" s="180">
        <v>40.020341620000004</v>
      </c>
      <c r="AF228" s="180">
        <f>AE228/B228*100</f>
        <v>0.27542447502762679</v>
      </c>
      <c r="AG228" s="180">
        <v>36.833021939999995</v>
      </c>
      <c r="AH228" s="180">
        <f>AG228/B228*100</f>
        <v>0.25348898387303564</v>
      </c>
      <c r="AI228" s="180">
        <v>472.36382140000001</v>
      </c>
    </row>
    <row r="229" spans="1:35">
      <c r="A229" s="624">
        <v>2021</v>
      </c>
      <c r="B229" s="268">
        <v>17119.816266530001</v>
      </c>
      <c r="C229" s="268">
        <v>719.44171244100005</v>
      </c>
      <c r="D229" s="268">
        <f t="shared" ref="D229" si="176">C229/B229*100</f>
        <v>4.202391551640309</v>
      </c>
      <c r="E229" s="268">
        <v>2992.49869709</v>
      </c>
      <c r="F229" s="268">
        <f t="shared" ref="F229" si="177">E229/B229*100</f>
        <v>17.479736058502375</v>
      </c>
      <c r="G229" s="268">
        <v>749.02611363999995</v>
      </c>
      <c r="H229" s="268">
        <f t="shared" ref="H229" si="178">G229/$B229*100</f>
        <v>4.3751994880013942</v>
      </c>
      <c r="I229" s="268">
        <v>591.69574925999996</v>
      </c>
      <c r="J229" s="268">
        <f t="shared" ref="J229" si="179">I229/$B229*100</f>
        <v>3.4562038520050673</v>
      </c>
      <c r="K229" s="268">
        <v>903.18872779000003</v>
      </c>
      <c r="L229" s="268">
        <f t="shared" ref="L229" si="180">K229/$B229*100</f>
        <v>5.2756917114570561</v>
      </c>
      <c r="M229" s="268">
        <v>971.73336805999998</v>
      </c>
      <c r="N229" s="268">
        <f t="shared" ref="N229" si="181">M229/$B229*100</f>
        <v>5.6760735800639504</v>
      </c>
      <c r="O229" s="268">
        <v>737.34158892000005</v>
      </c>
      <c r="P229" s="268">
        <f t="shared" ref="P229" si="182">O229/$B229*100</f>
        <v>4.3069480270155438</v>
      </c>
      <c r="Q229" s="268">
        <v>8607.2734685390005</v>
      </c>
      <c r="R229" s="268">
        <f t="shared" ref="R229" si="183">Q229/$B229*100</f>
        <v>50.276669647247331</v>
      </c>
      <c r="S229" s="268">
        <v>2483.4006520349999</v>
      </c>
      <c r="T229" s="268">
        <f t="shared" ref="T229" si="184">S229/$B229*100</f>
        <v>14.506000609890645</v>
      </c>
      <c r="U229" s="268">
        <v>90.779199309999996</v>
      </c>
      <c r="V229" s="268">
        <f t="shared" ref="V229" si="185">U229/$B229*100</f>
        <v>0.53025802319781523</v>
      </c>
      <c r="W229" s="268">
        <v>1.9917215699999999</v>
      </c>
      <c r="X229" s="268">
        <f t="shared" ref="X229" si="186">W229/$B229*100</f>
        <v>1.1634012532563822E-2</v>
      </c>
      <c r="Y229" s="268">
        <f t="shared" ref="Y229" si="187">((B229-C229-E229-G229-I229-K229-M229-W229-O229-Q229-U229-AA229-AC229-AE229-AG229))</f>
        <v>653.79468095999982</v>
      </c>
      <c r="Z229" s="268">
        <f t="shared" ref="Z229" si="188">Y229/$B229*100</f>
        <v>3.8189351496616086</v>
      </c>
      <c r="AA229" s="631">
        <v>8.4083913999999993</v>
      </c>
      <c r="AB229" s="631">
        <f t="shared" ref="AB229" si="189">AA229/$B229*100</f>
        <v>4.9114962854121147E-2</v>
      </c>
      <c r="AC229" s="631">
        <v>3.6777463099999999</v>
      </c>
      <c r="AD229" s="631">
        <f t="shared" ref="AD229" si="190">AC229/$B229*100</f>
        <v>2.1482393576794143E-2</v>
      </c>
      <c r="AE229" s="631">
        <v>56.911928449999998</v>
      </c>
      <c r="AF229" s="631">
        <f t="shared" ref="AF229" si="191">AE229/$B229*100</f>
        <v>0.33243305631302444</v>
      </c>
      <c r="AG229" s="631">
        <v>32.053172789999998</v>
      </c>
      <c r="AH229" s="631">
        <f t="shared" ref="AH229" si="192">AG229/$B229*100</f>
        <v>0.18722848593103988</v>
      </c>
      <c r="AI229" s="268">
        <v>357.28922269999998</v>
      </c>
    </row>
    <row r="230" spans="1:35">
      <c r="A230" s="625" t="s">
        <v>18</v>
      </c>
      <c r="B230" s="180">
        <v>14587.20322659</v>
      </c>
      <c r="C230" s="180">
        <v>900.3856763</v>
      </c>
      <c r="D230" s="180">
        <f>C230/B230*100</f>
        <v>6.1724352661293533</v>
      </c>
      <c r="E230" s="180">
        <v>2607.2768521799999</v>
      </c>
      <c r="F230" s="180">
        <f>E230/$B$230*100</f>
        <v>17.873726797933244</v>
      </c>
      <c r="G230" s="180">
        <v>770.99759873999994</v>
      </c>
      <c r="H230" s="180">
        <f>G230/$B$230*100</f>
        <v>5.2854381114990012</v>
      </c>
      <c r="I230" s="180">
        <v>572.95602899999994</v>
      </c>
      <c r="J230" s="180">
        <f>I230/$B230*100</f>
        <v>3.9277990448203135</v>
      </c>
      <c r="K230" s="180">
        <v>527.06655323999996</v>
      </c>
      <c r="L230" s="180">
        <f>K230/$B230*100</f>
        <v>3.6132118340494972</v>
      </c>
      <c r="M230" s="180">
        <v>981.55343684000002</v>
      </c>
      <c r="N230" s="180">
        <f>M230/$B230*100</f>
        <v>6.7288665386576252</v>
      </c>
      <c r="O230" s="180">
        <v>832.16360743999996</v>
      </c>
      <c r="P230" s="180">
        <f>O230/$B230*100</f>
        <v>5.7047509005914634</v>
      </c>
      <c r="Q230" s="180">
        <v>6781.6822499299997</v>
      </c>
      <c r="R230" s="180">
        <f>Q230/$B230*100</f>
        <v>46.490627055693182</v>
      </c>
      <c r="S230" s="180">
        <v>2119.6554191549999</v>
      </c>
      <c r="T230" s="180">
        <f>S230/$B230*100</f>
        <v>14.530924031353914</v>
      </c>
      <c r="U230" s="180">
        <v>19.246208679999999</v>
      </c>
      <c r="V230" s="180">
        <f>U230/$B230*100</f>
        <v>0.13193899050448149</v>
      </c>
      <c r="W230" s="180">
        <v>0.76090519000000001</v>
      </c>
      <c r="X230" s="180">
        <f>W230/$B230*100</f>
        <v>5.2162513826707977E-3</v>
      </c>
      <c r="Y230" s="180">
        <f>((B230-C230-E230-G230-I230-K230-M230-W230-O230-Q230-U230-AA230-AC230-AE230-AG230))</f>
        <v>520.87783713999841</v>
      </c>
      <c r="Z230" s="180">
        <f>Y230/$B230*100</f>
        <v>3.5707861818948707</v>
      </c>
      <c r="AA230" s="180">
        <v>8.9022348099999995</v>
      </c>
      <c r="AB230" s="180">
        <f>AA230/$B230*100</f>
        <v>6.102770127842419E-2</v>
      </c>
      <c r="AC230" s="180">
        <v>1.8643147600000001</v>
      </c>
      <c r="AD230" s="180">
        <f>AC230/$B230*100</f>
        <v>1.2780481159004287E-2</v>
      </c>
      <c r="AE230" s="180">
        <v>29.750372500000001</v>
      </c>
      <c r="AF230" s="180">
        <f>AE230/$B230*100</f>
        <v>0.20394843369132004</v>
      </c>
      <c r="AG230" s="180">
        <v>31.71934984</v>
      </c>
      <c r="AH230" s="180">
        <f>AG230/$B230*100</f>
        <v>0.21744641071553042</v>
      </c>
      <c r="AI230" s="180">
        <v>487.78963322999999</v>
      </c>
    </row>
    <row r="231" spans="1:35">
      <c r="A231" s="625" t="s">
        <v>19</v>
      </c>
      <c r="B231" s="180">
        <v>14619.545503340003</v>
      </c>
      <c r="C231" s="180">
        <v>917.51636970000004</v>
      </c>
      <c r="D231" s="180">
        <f t="shared" ref="D231:D244" si="193">C231/B231*100</f>
        <v>6.2759568653511346</v>
      </c>
      <c r="E231" s="180">
        <v>2512.2468264100003</v>
      </c>
      <c r="F231" s="180">
        <f t="shared" ref="F231:F244" si="194">E231/B231*100</f>
        <v>17.184165033284028</v>
      </c>
      <c r="G231" s="180">
        <v>768.12939811999991</v>
      </c>
      <c r="H231" s="180">
        <f>G231/$B231*100</f>
        <v>5.254126388159686</v>
      </c>
      <c r="I231" s="180">
        <v>569.80590648999998</v>
      </c>
      <c r="J231" s="180">
        <f t="shared" ref="J231:J244" si="195">I231/$B231*100</f>
        <v>3.8975623856420247</v>
      </c>
      <c r="K231" s="180">
        <v>687.96381294000003</v>
      </c>
      <c r="L231" s="180">
        <f t="shared" ref="L231:L244" si="196">K231/$B231*100</f>
        <v>4.7057811255680058</v>
      </c>
      <c r="M231" s="180">
        <v>908.30900340999995</v>
      </c>
      <c r="N231" s="180">
        <f t="shared" ref="N231:N244" si="197">M231/$B231*100</f>
        <v>6.2129770258759844</v>
      </c>
      <c r="O231" s="180">
        <v>860.53712653000002</v>
      </c>
      <c r="P231" s="180">
        <f t="shared" ref="P231:P244" si="198">O231/$B231*100</f>
        <v>5.8862098437560899</v>
      </c>
      <c r="Q231" s="180">
        <v>6771.3394134200007</v>
      </c>
      <c r="R231" s="180">
        <f t="shared" ref="R231:R244" si="199">Q231/$B231*100</f>
        <v>46.317030935558222</v>
      </c>
      <c r="S231" s="180">
        <v>2117.3969709829998</v>
      </c>
      <c r="T231" s="180">
        <f t="shared" ref="T231:T244" si="200">S231/$B231*100</f>
        <v>14.483329666433587</v>
      </c>
      <c r="U231" s="180">
        <v>15.998043430000001</v>
      </c>
      <c r="V231" s="180">
        <f t="shared" ref="V231:V244" si="201">U231/$B231*100</f>
        <v>0.10942914351437986</v>
      </c>
      <c r="W231" s="180">
        <v>0.74882589999999993</v>
      </c>
      <c r="X231" s="180">
        <f t="shared" ref="X231:X244" si="202">W231/$B231*100</f>
        <v>5.1220874125595907E-3</v>
      </c>
      <c r="Y231" s="180">
        <f>((B231-C231-E231-G231-I231-K231-M231-W231-O231-Q231-U231-AA231-AC231-AE231-AG231))</f>
        <v>534.72733273999893</v>
      </c>
      <c r="Z231" s="180">
        <f t="shared" ref="Z231:Z244" si="203">Y231/$B231*100</f>
        <v>3.6576194014912042</v>
      </c>
      <c r="AA231" s="180">
        <v>7.1446817000000005</v>
      </c>
      <c r="AB231" s="180">
        <f t="shared" ref="AB231:AB244" si="204">AA231/$B231*100</f>
        <v>4.8870751134963232E-2</v>
      </c>
      <c r="AC231" s="180">
        <v>2.7466538899999997</v>
      </c>
      <c r="AD231" s="180">
        <f t="shared" ref="AD231:AD244" si="205">AC231/$B231*100</f>
        <v>1.8787546366420865E-2</v>
      </c>
      <c r="AE231" s="180">
        <v>31.743852580000002</v>
      </c>
      <c r="AF231" s="180">
        <f t="shared" ref="AF231:AF244" si="206">AE231/$B231*100</f>
        <v>0.2171329647200575</v>
      </c>
      <c r="AG231" s="180">
        <v>30.588256080000008</v>
      </c>
      <c r="AH231" s="180">
        <f t="shared" ref="AH231:AH244" si="207">AG231/$B231*100</f>
        <v>0.20922850216521277</v>
      </c>
      <c r="AI231" s="180">
        <v>460.97720242999998</v>
      </c>
    </row>
    <row r="232" spans="1:35">
      <c r="A232" s="625" t="s">
        <v>20</v>
      </c>
      <c r="B232" s="180">
        <v>14728.03039973</v>
      </c>
      <c r="C232" s="180">
        <v>918.15007710999998</v>
      </c>
      <c r="D232" s="180">
        <f t="shared" si="193"/>
        <v>6.2340316538648093</v>
      </c>
      <c r="E232" s="180">
        <v>2516.8194227399999</v>
      </c>
      <c r="F232" s="180">
        <f t="shared" si="194"/>
        <v>17.088635441614375</v>
      </c>
      <c r="G232" s="180">
        <v>768.96795557999997</v>
      </c>
      <c r="H232" s="180">
        <f>G232/$B232*100</f>
        <v>5.2211187423546939</v>
      </c>
      <c r="I232" s="180">
        <v>570.91129167999998</v>
      </c>
      <c r="J232" s="180">
        <f t="shared" si="195"/>
        <v>3.8763587267613606</v>
      </c>
      <c r="K232" s="180">
        <v>681.49539245999995</v>
      </c>
      <c r="L232" s="180">
        <f t="shared" si="196"/>
        <v>4.6271997949738983</v>
      </c>
      <c r="M232" s="180">
        <v>919.98805790999995</v>
      </c>
      <c r="N232" s="180">
        <f t="shared" si="197"/>
        <v>6.2465111283778008</v>
      </c>
      <c r="O232" s="180">
        <v>854.23219179</v>
      </c>
      <c r="P232" s="180">
        <f t="shared" si="198"/>
        <v>5.8000436487804921</v>
      </c>
      <c r="Q232" s="180">
        <v>6869.3073725599997</v>
      </c>
      <c r="R232" s="180">
        <f t="shared" si="199"/>
        <v>46.641045585334552</v>
      </c>
      <c r="S232" s="180">
        <v>2139.1023679179998</v>
      </c>
      <c r="T232" s="180">
        <f t="shared" si="200"/>
        <v>14.524021949039531</v>
      </c>
      <c r="U232" s="180">
        <v>18.067363480000001</v>
      </c>
      <c r="V232" s="180">
        <f t="shared" si="201"/>
        <v>0.12267331740659104</v>
      </c>
      <c r="W232" s="180">
        <v>0.73659562000000001</v>
      </c>
      <c r="X232" s="180">
        <f t="shared" si="202"/>
        <v>5.0013178952530105E-3</v>
      </c>
      <c r="Y232" s="180">
        <f t="shared" ref="Y232:Y244" si="208">((B232-C232-E232-G232-I232-K232-M232-W232-O232-Q232-U232-AA232-AC232-AE232-AG232))</f>
        <v>536.62715694000269</v>
      </c>
      <c r="Z232" s="180">
        <f t="shared" si="203"/>
        <v>3.6435771951546245</v>
      </c>
      <c r="AA232" s="180">
        <v>5.8155647699999999</v>
      </c>
      <c r="AB232" s="180">
        <f t="shared" si="204"/>
        <v>3.9486371308050897E-2</v>
      </c>
      <c r="AC232" s="180">
        <v>2.62603966</v>
      </c>
      <c r="AD232" s="180">
        <f t="shared" si="205"/>
        <v>1.7830216184562882E-2</v>
      </c>
      <c r="AE232" s="180">
        <v>32.790854269999997</v>
      </c>
      <c r="AF232" s="180">
        <f t="shared" si="206"/>
        <v>0.22264249448182244</v>
      </c>
      <c r="AG232" s="180">
        <v>31.495063160000001</v>
      </c>
      <c r="AH232" s="180">
        <f t="shared" si="207"/>
        <v>0.2138443655071311</v>
      </c>
      <c r="AI232" s="180">
        <v>456.53499706000002</v>
      </c>
    </row>
    <row r="233" spans="1:35">
      <c r="A233" s="625" t="s">
        <v>21</v>
      </c>
      <c r="B233" s="180">
        <v>14987.49584865</v>
      </c>
      <c r="C233" s="180">
        <v>921.53370199999995</v>
      </c>
      <c r="D233" s="180">
        <f t="shared" si="193"/>
        <v>6.1486836180375466</v>
      </c>
      <c r="E233" s="180">
        <v>2558.6945897400001</v>
      </c>
      <c r="F233" s="180">
        <f t="shared" si="194"/>
        <v>17.072195486015595</v>
      </c>
      <c r="G233" s="180">
        <v>778.36932655999999</v>
      </c>
      <c r="H233" s="180">
        <f t="shared" ref="H233:H244" si="209">G233/$B233*100</f>
        <v>5.1934581628598862</v>
      </c>
      <c r="I233" s="180">
        <v>564.14921529000003</v>
      </c>
      <c r="J233" s="180">
        <f t="shared" si="195"/>
        <v>3.7641325875050424</v>
      </c>
      <c r="K233" s="180">
        <v>688.82102366000004</v>
      </c>
      <c r="L233" s="180">
        <f t="shared" si="196"/>
        <v>4.5959714058706194</v>
      </c>
      <c r="M233" s="180">
        <v>914.84965327999998</v>
      </c>
      <c r="N233" s="180">
        <f t="shared" si="197"/>
        <v>6.1040861163101177</v>
      </c>
      <c r="O233" s="180">
        <v>871.02834353000003</v>
      </c>
      <c r="P233" s="180">
        <f t="shared" si="198"/>
        <v>5.8117003155564371</v>
      </c>
      <c r="Q233" s="180">
        <v>7044.6583366300001</v>
      </c>
      <c r="R233" s="180">
        <f t="shared" si="199"/>
        <v>47.003571562387108</v>
      </c>
      <c r="S233" s="180">
        <v>2188.5614501999999</v>
      </c>
      <c r="T233" s="180">
        <f t="shared" si="200"/>
        <v>14.60258252813551</v>
      </c>
      <c r="U233" s="180">
        <v>17.30289196</v>
      </c>
      <c r="V233" s="180">
        <f t="shared" si="201"/>
        <v>0.11544885239490198</v>
      </c>
      <c r="W233" s="180">
        <v>0.69421246000000003</v>
      </c>
      <c r="X233" s="180">
        <f t="shared" si="202"/>
        <v>4.6319443021732767E-3</v>
      </c>
      <c r="Y233" s="180">
        <f t="shared" si="208"/>
        <v>544.86165468999911</v>
      </c>
      <c r="Z233" s="180">
        <f t="shared" si="203"/>
        <v>3.6354415720427213</v>
      </c>
      <c r="AA233" s="180">
        <v>6.7236414599999996</v>
      </c>
      <c r="AB233" s="180">
        <f t="shared" si="204"/>
        <v>4.486167354372033E-2</v>
      </c>
      <c r="AC233" s="180">
        <v>2.6595292700000002</v>
      </c>
      <c r="AD233" s="180">
        <f t="shared" si="205"/>
        <v>1.774498753398859E-2</v>
      </c>
      <c r="AE233" s="180">
        <v>37.67693809</v>
      </c>
      <c r="AF233" s="180">
        <f t="shared" si="206"/>
        <v>0.25138914779678656</v>
      </c>
      <c r="AG233" s="180">
        <v>35.472790029999999</v>
      </c>
      <c r="AH233" s="180">
        <f t="shared" si="207"/>
        <v>0.23668256784334799</v>
      </c>
      <c r="AI233" s="180">
        <v>477.63473532</v>
      </c>
    </row>
    <row r="234" spans="1:35">
      <c r="A234" s="625" t="s">
        <v>22</v>
      </c>
      <c r="B234" s="180">
        <v>15067.068306839999</v>
      </c>
      <c r="C234" s="180">
        <v>906.90793025000005</v>
      </c>
      <c r="D234" s="180">
        <f t="shared" si="193"/>
        <v>6.0191399665872023</v>
      </c>
      <c r="E234" s="180">
        <v>2560.1129728199999</v>
      </c>
      <c r="F234" s="180">
        <f t="shared" si="194"/>
        <v>16.991447312001533</v>
      </c>
      <c r="G234" s="180">
        <v>770.66882657999997</v>
      </c>
      <c r="H234" s="180">
        <f t="shared" si="209"/>
        <v>5.1149222322841617</v>
      </c>
      <c r="I234" s="180">
        <v>566.31911807999995</v>
      </c>
      <c r="J234" s="180">
        <f t="shared" si="195"/>
        <v>3.7586550120231945</v>
      </c>
      <c r="K234" s="180">
        <v>721.89632615000005</v>
      </c>
      <c r="L234" s="180">
        <f t="shared" si="196"/>
        <v>4.7912195753588014</v>
      </c>
      <c r="M234" s="180">
        <v>924.62273315000004</v>
      </c>
      <c r="N234" s="180">
        <f t="shared" si="197"/>
        <v>6.1367129578237121</v>
      </c>
      <c r="O234" s="180">
        <v>825.91755959</v>
      </c>
      <c r="P234" s="180">
        <f t="shared" si="198"/>
        <v>5.4816075879543078</v>
      </c>
      <c r="Q234" s="180">
        <v>7151.9612355400004</v>
      </c>
      <c r="R234" s="180">
        <f t="shared" si="199"/>
        <v>47.467503895852275</v>
      </c>
      <c r="S234" s="180">
        <v>2209.9727520599999</v>
      </c>
      <c r="T234" s="180">
        <f t="shared" si="200"/>
        <v>14.667569742527405</v>
      </c>
      <c r="U234" s="180">
        <v>18.191524699999999</v>
      </c>
      <c r="V234" s="180">
        <f t="shared" si="201"/>
        <v>0.12073698963547931</v>
      </c>
      <c r="W234" s="180">
        <v>0.66831651000000003</v>
      </c>
      <c r="X234" s="180">
        <f t="shared" si="202"/>
        <v>4.435610806228338E-3</v>
      </c>
      <c r="Y234" s="180">
        <f t="shared" si="208"/>
        <v>538.87447604000067</v>
      </c>
      <c r="Z234" s="180">
        <f t="shared" si="203"/>
        <v>3.5765051638835921</v>
      </c>
      <c r="AA234" s="180">
        <v>6.0750850400000003</v>
      </c>
      <c r="AB234" s="180">
        <f t="shared" si="204"/>
        <v>4.032028604557459E-2</v>
      </c>
      <c r="AC234" s="180">
        <v>2.6283231300000001</v>
      </c>
      <c r="AD234" s="180">
        <f t="shared" si="205"/>
        <v>1.7444157526031921E-2</v>
      </c>
      <c r="AE234" s="180">
        <v>37.641860899999998</v>
      </c>
      <c r="AF234" s="180">
        <f t="shared" si="206"/>
        <v>0.24982870013877692</v>
      </c>
      <c r="AG234" s="180">
        <v>34.582018359999999</v>
      </c>
      <c r="AH234" s="180">
        <f t="shared" si="207"/>
        <v>0.22952055207913802</v>
      </c>
      <c r="AI234" s="180">
        <v>483.65381840999999</v>
      </c>
    </row>
    <row r="235" spans="1:35">
      <c r="A235" s="625" t="s">
        <v>23</v>
      </c>
      <c r="B235" s="180">
        <v>15258.05819419</v>
      </c>
      <c r="C235" s="180">
        <v>914.58348046000003</v>
      </c>
      <c r="D235" s="180">
        <f t="shared" si="193"/>
        <v>5.9941014041240015</v>
      </c>
      <c r="E235" s="180">
        <v>2557.87079339</v>
      </c>
      <c r="F235" s="180">
        <f t="shared" si="194"/>
        <v>16.764064999856878</v>
      </c>
      <c r="G235" s="180">
        <v>748.49464950000004</v>
      </c>
      <c r="H235" s="180">
        <f t="shared" si="209"/>
        <v>4.9055695028415451</v>
      </c>
      <c r="I235" s="180">
        <v>566.04685510000002</v>
      </c>
      <c r="J235" s="180">
        <f t="shared" si="195"/>
        <v>3.70982236334333</v>
      </c>
      <c r="K235" s="180">
        <v>737.29711373999999</v>
      </c>
      <c r="L235" s="180">
        <f t="shared" si="196"/>
        <v>4.8321818173478315</v>
      </c>
      <c r="M235" s="180">
        <v>921.95197716999996</v>
      </c>
      <c r="N235" s="180">
        <f t="shared" si="197"/>
        <v>6.0423938972854554</v>
      </c>
      <c r="O235" s="180">
        <v>820.91611594000005</v>
      </c>
      <c r="P235" s="180">
        <f t="shared" si="198"/>
        <v>5.3802135598918506</v>
      </c>
      <c r="Q235" s="180">
        <v>7323.1450972399998</v>
      </c>
      <c r="R235" s="180">
        <f t="shared" si="199"/>
        <v>47.995262595266055</v>
      </c>
      <c r="S235" s="180">
        <v>2266.2714822819999</v>
      </c>
      <c r="T235" s="180">
        <f t="shared" si="200"/>
        <v>14.85294821555312</v>
      </c>
      <c r="U235" s="180">
        <v>19.853376650000001</v>
      </c>
      <c r="V235" s="180">
        <f t="shared" si="201"/>
        <v>0.13011732159705497</v>
      </c>
      <c r="W235" s="180">
        <v>0.64521457000000004</v>
      </c>
      <c r="X235" s="180">
        <f t="shared" si="202"/>
        <v>4.2286807520873554E-3</v>
      </c>
      <c r="Y235" s="180">
        <f t="shared" si="208"/>
        <v>559.08385926999972</v>
      </c>
      <c r="Z235" s="180">
        <f t="shared" si="203"/>
        <v>3.6641874880441141</v>
      </c>
      <c r="AA235" s="180">
        <v>7.9188054399999999</v>
      </c>
      <c r="AB235" s="180">
        <f t="shared" si="204"/>
        <v>5.1899169207621332E-2</v>
      </c>
      <c r="AC235" s="180">
        <v>6.7817774399999999</v>
      </c>
      <c r="AD235" s="180">
        <f t="shared" si="205"/>
        <v>4.4447185570326252E-2</v>
      </c>
      <c r="AE235" s="180">
        <v>40.376605959999999</v>
      </c>
      <c r="AF235" s="180">
        <f t="shared" si="206"/>
        <v>0.26462479986722492</v>
      </c>
      <c r="AG235" s="180">
        <v>33.092472319999999</v>
      </c>
      <c r="AH235" s="180">
        <f t="shared" si="207"/>
        <v>0.21688521500462643</v>
      </c>
      <c r="AI235" s="180">
        <v>469.41215711000001</v>
      </c>
    </row>
    <row r="236" spans="1:35">
      <c r="A236" s="625" t="s">
        <v>24</v>
      </c>
      <c r="B236" s="180">
        <v>15367.672983369999</v>
      </c>
      <c r="C236" s="180">
        <v>937.46215344999996</v>
      </c>
      <c r="D236" s="180">
        <f t="shared" si="193"/>
        <v>6.1002219038918053</v>
      </c>
      <c r="E236" s="180">
        <v>2559.8715664199999</v>
      </c>
      <c r="F236" s="180">
        <f t="shared" si="194"/>
        <v>16.657509365211922</v>
      </c>
      <c r="G236" s="180">
        <v>740.25587327000005</v>
      </c>
      <c r="H236" s="180">
        <f t="shared" si="209"/>
        <v>4.8169678914371863</v>
      </c>
      <c r="I236" s="180">
        <v>561.86531460000003</v>
      </c>
      <c r="J236" s="180">
        <f t="shared" si="195"/>
        <v>3.6561509033151474</v>
      </c>
      <c r="K236" s="180">
        <v>771.52513069999998</v>
      </c>
      <c r="L236" s="180">
        <f t="shared" si="196"/>
        <v>5.0204421419879219</v>
      </c>
      <c r="M236" s="180">
        <v>917.80103291</v>
      </c>
      <c r="N236" s="180">
        <f t="shared" si="197"/>
        <v>5.9722837276872749</v>
      </c>
      <c r="O236" s="180">
        <v>757.26215291999995</v>
      </c>
      <c r="P236" s="180">
        <f t="shared" si="198"/>
        <v>4.9276305771177258</v>
      </c>
      <c r="Q236" s="180">
        <v>7462.8771900600004</v>
      </c>
      <c r="R236" s="180">
        <f t="shared" si="199"/>
        <v>48.562181132666552</v>
      </c>
      <c r="S236" s="180">
        <v>2286.8999630640001</v>
      </c>
      <c r="T236" s="180">
        <f t="shared" si="200"/>
        <v>14.881237813550236</v>
      </c>
      <c r="U236" s="180">
        <v>19.531559739999999</v>
      </c>
      <c r="V236" s="180">
        <f t="shared" si="201"/>
        <v>0.12709510256455817</v>
      </c>
      <c r="W236" s="180">
        <v>0.62182384999999996</v>
      </c>
      <c r="X236" s="180">
        <f t="shared" si="202"/>
        <v>4.0463110496488409E-3</v>
      </c>
      <c r="Y236" s="180">
        <f t="shared" si="208"/>
        <v>561.51604658999838</v>
      </c>
      <c r="Z236" s="180">
        <f t="shared" si="203"/>
        <v>3.6538781583759512</v>
      </c>
      <c r="AA236" s="180">
        <v>7.1080348999999998</v>
      </c>
      <c r="AB236" s="180">
        <f t="shared" si="204"/>
        <v>4.6253163427487698E-2</v>
      </c>
      <c r="AC236" s="180">
        <v>2.4405054599999998</v>
      </c>
      <c r="AD236" s="180">
        <f t="shared" si="205"/>
        <v>1.5880774289256237E-2</v>
      </c>
      <c r="AE236" s="180">
        <v>38.923702589999998</v>
      </c>
      <c r="AF236" s="180">
        <f t="shared" si="206"/>
        <v>0.25328299627484896</v>
      </c>
      <c r="AG236" s="180">
        <v>28.61089591</v>
      </c>
      <c r="AH236" s="180">
        <f t="shared" si="207"/>
        <v>0.18617585070271242</v>
      </c>
      <c r="AI236" s="180">
        <v>470.96209210000001</v>
      </c>
    </row>
    <row r="237" spans="1:35">
      <c r="A237" s="625" t="s">
        <v>25</v>
      </c>
      <c r="B237" s="180">
        <v>15607.979105320001</v>
      </c>
      <c r="C237" s="180">
        <v>904.16886915999999</v>
      </c>
      <c r="D237" s="180">
        <f t="shared" si="193"/>
        <v>5.7929912838735973</v>
      </c>
      <c r="E237" s="180">
        <v>2548.0423100600001</v>
      </c>
      <c r="F237" s="180">
        <f t="shared" si="194"/>
        <v>16.325254492373688</v>
      </c>
      <c r="G237" s="180">
        <v>743.94539847999999</v>
      </c>
      <c r="H237" s="180">
        <f t="shared" si="209"/>
        <v>4.7664428140246882</v>
      </c>
      <c r="I237" s="180">
        <v>570.38701947000004</v>
      </c>
      <c r="J237" s="180">
        <f t="shared" si="195"/>
        <v>3.6544578617201173</v>
      </c>
      <c r="K237" s="180">
        <v>808.90830032999997</v>
      </c>
      <c r="L237" s="180">
        <f t="shared" si="196"/>
        <v>5.1826587854303474</v>
      </c>
      <c r="M237" s="180">
        <v>871.90628317000005</v>
      </c>
      <c r="N237" s="180">
        <f t="shared" si="197"/>
        <v>5.5862855612922342</v>
      </c>
      <c r="O237" s="180">
        <v>748.54770776999999</v>
      </c>
      <c r="P237" s="180">
        <f t="shared" si="198"/>
        <v>4.7959297146602182</v>
      </c>
      <c r="Q237" s="180">
        <v>7691.6505829799999</v>
      </c>
      <c r="R237" s="180">
        <f t="shared" si="199"/>
        <v>49.280246539786113</v>
      </c>
      <c r="S237" s="180">
        <v>2338.6741561580002</v>
      </c>
      <c r="T237" s="180">
        <f t="shared" si="200"/>
        <v>14.983837051401869</v>
      </c>
      <c r="U237" s="180">
        <v>19.816218689999999</v>
      </c>
      <c r="V237" s="180">
        <f t="shared" si="201"/>
        <v>0.12696210416661574</v>
      </c>
      <c r="W237" s="180">
        <v>0.57414074999999998</v>
      </c>
      <c r="X237" s="180">
        <f t="shared" si="202"/>
        <v>3.6785079357538569E-3</v>
      </c>
      <c r="Y237" s="180">
        <f t="shared" si="208"/>
        <v>621.58660417000158</v>
      </c>
      <c r="Z237" s="180">
        <f t="shared" si="203"/>
        <v>3.9824925442021701</v>
      </c>
      <c r="AA237" s="180">
        <v>5.9090063500000003</v>
      </c>
      <c r="AB237" s="180">
        <f t="shared" si="204"/>
        <v>3.7858881730472763E-2</v>
      </c>
      <c r="AC237" s="180">
        <v>4.9918723099999998</v>
      </c>
      <c r="AD237" s="180">
        <f t="shared" si="205"/>
        <v>3.198282286461105E-2</v>
      </c>
      <c r="AE237" s="180">
        <v>38.096837030000003</v>
      </c>
      <c r="AF237" s="180">
        <f t="shared" si="206"/>
        <v>0.24408564858351614</v>
      </c>
      <c r="AG237" s="180">
        <v>29.447954599999999</v>
      </c>
      <c r="AH237" s="180">
        <f t="shared" si="207"/>
        <v>0.18867243735585618</v>
      </c>
      <c r="AI237" s="180">
        <v>516.37639208999997</v>
      </c>
    </row>
    <row r="238" spans="1:35">
      <c r="A238" s="625" t="s">
        <v>26</v>
      </c>
      <c r="B238" s="180">
        <v>15957.303832469999</v>
      </c>
      <c r="C238" s="180">
        <v>871.14004873999897</v>
      </c>
      <c r="D238" s="180">
        <f t="shared" si="193"/>
        <v>5.4591932188907695</v>
      </c>
      <c r="E238" s="180">
        <v>2579.2092693899999</v>
      </c>
      <c r="F238" s="180">
        <f t="shared" si="194"/>
        <v>16.163189574305232</v>
      </c>
      <c r="G238" s="180">
        <v>745.37177195000004</v>
      </c>
      <c r="H238" s="180">
        <f t="shared" si="209"/>
        <v>4.6710382892711104</v>
      </c>
      <c r="I238" s="180">
        <v>572.97145795999995</v>
      </c>
      <c r="J238" s="180">
        <f t="shared" si="195"/>
        <v>3.5906533081993137</v>
      </c>
      <c r="K238" s="180">
        <v>857.94629036000003</v>
      </c>
      <c r="L238" s="180">
        <f t="shared" si="196"/>
        <v>5.376511592229301</v>
      </c>
      <c r="M238" s="180">
        <v>908.33819310000001</v>
      </c>
      <c r="N238" s="180">
        <f t="shared" si="197"/>
        <v>5.6923036788439729</v>
      </c>
      <c r="O238" s="180">
        <v>753.88942029999998</v>
      </c>
      <c r="P238" s="180">
        <f t="shared" si="198"/>
        <v>4.7244160305200316</v>
      </c>
      <c r="Q238" s="180">
        <v>7931.76742388</v>
      </c>
      <c r="R238" s="180">
        <f t="shared" si="199"/>
        <v>49.70618788206815</v>
      </c>
      <c r="S238" s="180">
        <v>2369.8612622149999</v>
      </c>
      <c r="T238" s="180">
        <f t="shared" si="200"/>
        <v>14.851263641372766</v>
      </c>
      <c r="U238" s="180">
        <v>34.185724110000002</v>
      </c>
      <c r="V238" s="180">
        <f t="shared" si="201"/>
        <v>0.21423245724280013</v>
      </c>
      <c r="W238" s="180">
        <v>0.54093727000000003</v>
      </c>
      <c r="X238" s="180">
        <f t="shared" si="202"/>
        <v>3.3899039316359833E-3</v>
      </c>
      <c r="Y238" s="180">
        <f t="shared" si="208"/>
        <v>626.09170502000075</v>
      </c>
      <c r="Z238" s="180">
        <f t="shared" si="203"/>
        <v>3.9235431724125371</v>
      </c>
      <c r="AA238" s="180">
        <v>9.69962138</v>
      </c>
      <c r="AB238" s="180">
        <f t="shared" si="204"/>
        <v>6.0784838603268075E-2</v>
      </c>
      <c r="AC238" s="180">
        <v>2.6619728899999999</v>
      </c>
      <c r="AD238" s="180">
        <f t="shared" si="205"/>
        <v>1.6681846243871128E-2</v>
      </c>
      <c r="AE238" s="180">
        <v>35.039565459999999</v>
      </c>
      <c r="AF238" s="180">
        <f t="shared" si="206"/>
        <v>0.21958324431161935</v>
      </c>
      <c r="AG238" s="180">
        <v>28.450430659999999</v>
      </c>
      <c r="AH238" s="180">
        <f t="shared" si="207"/>
        <v>0.17829096292638688</v>
      </c>
      <c r="AI238" s="180">
        <v>604.17383210000003</v>
      </c>
    </row>
    <row r="239" spans="1:35">
      <c r="A239" s="625" t="s">
        <v>27</v>
      </c>
      <c r="B239" s="180">
        <v>16415.890409920001</v>
      </c>
      <c r="C239" s="180">
        <v>815.87446340999998</v>
      </c>
      <c r="D239" s="180">
        <f t="shared" si="193"/>
        <v>4.9700286919372534</v>
      </c>
      <c r="E239" s="180">
        <v>2786.1641640600001</v>
      </c>
      <c r="F239" s="180">
        <f t="shared" si="194"/>
        <v>16.972360892323827</v>
      </c>
      <c r="G239" s="180">
        <v>741.87722835</v>
      </c>
      <c r="H239" s="180">
        <f t="shared" si="209"/>
        <v>4.5192627985728331</v>
      </c>
      <c r="I239" s="180">
        <v>573.79974297000001</v>
      </c>
      <c r="J239" s="180">
        <f t="shared" si="195"/>
        <v>3.4953921392119982</v>
      </c>
      <c r="K239" s="180">
        <v>879.85114887999998</v>
      </c>
      <c r="L239" s="180">
        <f t="shared" si="196"/>
        <v>5.35975281821029</v>
      </c>
      <c r="M239" s="180">
        <v>945.15252614999997</v>
      </c>
      <c r="N239" s="180">
        <f t="shared" si="197"/>
        <v>5.7575465146797722</v>
      </c>
      <c r="O239" s="180">
        <v>748.71404676999998</v>
      </c>
      <c r="P239" s="180">
        <f t="shared" si="198"/>
        <v>4.5609103623008931</v>
      </c>
      <c r="Q239" s="180">
        <v>8122.9342557600003</v>
      </c>
      <c r="R239" s="180">
        <f t="shared" si="199"/>
        <v>49.482142320171505</v>
      </c>
      <c r="S239" s="180">
        <v>2401.103223225</v>
      </c>
      <c r="T239" s="180">
        <f t="shared" si="200"/>
        <v>14.626701100380343</v>
      </c>
      <c r="U239" s="180">
        <v>74.858998940000006</v>
      </c>
      <c r="V239" s="180">
        <f t="shared" si="201"/>
        <v>0.45601546471559817</v>
      </c>
      <c r="W239" s="180">
        <v>2.0888799900000001</v>
      </c>
      <c r="X239" s="180">
        <f t="shared" si="202"/>
        <v>1.2724743756438003E-2</v>
      </c>
      <c r="Y239" s="180">
        <f t="shared" si="208"/>
        <v>640.01632651000182</v>
      </c>
      <c r="Z239" s="180">
        <f t="shared" si="203"/>
        <v>3.8987609598273432</v>
      </c>
      <c r="AA239" s="180">
        <v>10.664287760000001</v>
      </c>
      <c r="AB239" s="180">
        <f t="shared" si="204"/>
        <v>6.4963200251115544E-2</v>
      </c>
      <c r="AC239" s="180">
        <v>2.5579208100000002</v>
      </c>
      <c r="AD239" s="180">
        <f t="shared" si="205"/>
        <v>1.5581980301563585E-2</v>
      </c>
      <c r="AE239" s="180">
        <v>38.691770239999997</v>
      </c>
      <c r="AF239" s="180">
        <f t="shared" si="206"/>
        <v>0.23569705494999432</v>
      </c>
      <c r="AG239" s="180">
        <v>32.644649319999999</v>
      </c>
      <c r="AH239" s="180">
        <f t="shared" si="207"/>
        <v>0.19886005878958038</v>
      </c>
      <c r="AI239" s="180">
        <v>468.14402078000001</v>
      </c>
    </row>
    <row r="240" spans="1:35">
      <c r="A240" s="625" t="s">
        <v>28</v>
      </c>
      <c r="B240" s="180">
        <v>16700.565043179999</v>
      </c>
      <c r="C240" s="180">
        <v>786.28199433999998</v>
      </c>
      <c r="D240" s="180">
        <f t="shared" si="193"/>
        <v>4.7081161164729188</v>
      </c>
      <c r="E240" s="180">
        <v>2868.5268772600002</v>
      </c>
      <c r="F240" s="180">
        <f t="shared" si="194"/>
        <v>17.176226491997763</v>
      </c>
      <c r="G240" s="180">
        <v>734.27509927000006</v>
      </c>
      <c r="H240" s="180">
        <f t="shared" si="209"/>
        <v>4.396708119584587</v>
      </c>
      <c r="I240" s="180">
        <v>578.59677040999998</v>
      </c>
      <c r="J240" s="180">
        <f t="shared" si="195"/>
        <v>3.4645340975830106</v>
      </c>
      <c r="K240" s="180">
        <v>916.00865195999995</v>
      </c>
      <c r="L240" s="180">
        <f t="shared" si="196"/>
        <v>5.484896167235191</v>
      </c>
      <c r="M240" s="180">
        <v>938.60669800000005</v>
      </c>
      <c r="N240" s="180">
        <f t="shared" si="197"/>
        <v>5.6202092298864965</v>
      </c>
      <c r="O240" s="180">
        <v>743.01455699999997</v>
      </c>
      <c r="P240" s="180">
        <f t="shared" si="198"/>
        <v>4.449038431208197</v>
      </c>
      <c r="Q240" s="180">
        <v>8322.8481584799993</v>
      </c>
      <c r="R240" s="180">
        <f t="shared" si="199"/>
        <v>49.835727934719174</v>
      </c>
      <c r="S240" s="180">
        <v>2434.2449579849999</v>
      </c>
      <c r="T240" s="180">
        <f t="shared" si="200"/>
        <v>14.575823941831665</v>
      </c>
      <c r="U240" s="180">
        <v>91.53427284</v>
      </c>
      <c r="V240" s="180">
        <f t="shared" si="201"/>
        <v>0.54809087359220698</v>
      </c>
      <c r="W240" s="180">
        <v>2.0505073299999999</v>
      </c>
      <c r="X240" s="180">
        <f t="shared" si="202"/>
        <v>1.227807157840665E-2</v>
      </c>
      <c r="Y240" s="180">
        <f t="shared" si="208"/>
        <v>636.61968399000216</v>
      </c>
      <c r="Z240" s="180">
        <f t="shared" si="203"/>
        <v>3.811964938575406</v>
      </c>
      <c r="AA240" s="180">
        <v>7.1007471400000002</v>
      </c>
      <c r="AB240" s="180">
        <f t="shared" si="204"/>
        <v>4.2518005358745205E-2</v>
      </c>
      <c r="AC240" s="180">
        <v>3.1193285899999998</v>
      </c>
      <c r="AD240" s="180">
        <f t="shared" si="205"/>
        <v>1.8677982343321003E-2</v>
      </c>
      <c r="AE240" s="180">
        <v>42.417387400000003</v>
      </c>
      <c r="AF240" s="180">
        <f t="shared" si="206"/>
        <v>0.25398773808148467</v>
      </c>
      <c r="AG240" s="180">
        <v>29.564309170000001</v>
      </c>
      <c r="AH240" s="180">
        <f t="shared" si="207"/>
        <v>0.17702580178311489</v>
      </c>
      <c r="AI240" s="180">
        <v>474.33828768000001</v>
      </c>
    </row>
    <row r="241" spans="1:35">
      <c r="A241" s="625" t="s">
        <v>29</v>
      </c>
      <c r="B241" s="180">
        <v>17119.816266530001</v>
      </c>
      <c r="C241" s="180">
        <v>719.44171244100005</v>
      </c>
      <c r="D241" s="180">
        <f t="shared" si="193"/>
        <v>4.202391551640309</v>
      </c>
      <c r="E241" s="180">
        <v>2992.49869709</v>
      </c>
      <c r="F241" s="180">
        <f t="shared" si="194"/>
        <v>17.479736058502375</v>
      </c>
      <c r="G241" s="180">
        <v>749.02611363999995</v>
      </c>
      <c r="H241" s="180">
        <f t="shared" si="209"/>
        <v>4.3751994880013942</v>
      </c>
      <c r="I241" s="180">
        <v>591.69574925999996</v>
      </c>
      <c r="J241" s="180">
        <f t="shared" si="195"/>
        <v>3.4562038520050673</v>
      </c>
      <c r="K241" s="180">
        <v>903.18872779000003</v>
      </c>
      <c r="L241" s="180">
        <f t="shared" si="196"/>
        <v>5.2756917114570561</v>
      </c>
      <c r="M241" s="180">
        <v>971.73336805999998</v>
      </c>
      <c r="N241" s="180">
        <f t="shared" si="197"/>
        <v>5.6760735800639504</v>
      </c>
      <c r="O241" s="180">
        <v>737.34158892000005</v>
      </c>
      <c r="P241" s="180">
        <f t="shared" si="198"/>
        <v>4.3069480270155438</v>
      </c>
      <c r="Q241" s="180">
        <v>8607.2734685390005</v>
      </c>
      <c r="R241" s="180">
        <f t="shared" si="199"/>
        <v>50.276669647247331</v>
      </c>
      <c r="S241" s="180">
        <v>2483.4006520349999</v>
      </c>
      <c r="T241" s="180">
        <f t="shared" si="200"/>
        <v>14.506000609890645</v>
      </c>
      <c r="U241" s="180">
        <v>90.779199309999996</v>
      </c>
      <c r="V241" s="180">
        <f t="shared" si="201"/>
        <v>0.53025802319781523</v>
      </c>
      <c r="W241" s="180">
        <v>1.9917215699999999</v>
      </c>
      <c r="X241" s="180">
        <f t="shared" si="202"/>
        <v>1.1634012532563822E-2</v>
      </c>
      <c r="Y241" s="180">
        <f t="shared" si="208"/>
        <v>653.79468095999982</v>
      </c>
      <c r="Z241" s="180">
        <f t="shared" si="203"/>
        <v>3.8189351496616086</v>
      </c>
      <c r="AA241" s="180">
        <v>8.4083913999999993</v>
      </c>
      <c r="AB241" s="180">
        <f t="shared" si="204"/>
        <v>4.9114962854121147E-2</v>
      </c>
      <c r="AC241" s="180">
        <v>3.6777463099999999</v>
      </c>
      <c r="AD241" s="180">
        <f t="shared" si="205"/>
        <v>2.1482393576794143E-2</v>
      </c>
      <c r="AE241" s="180">
        <v>56.911928449999998</v>
      </c>
      <c r="AF241" s="180">
        <f t="shared" si="206"/>
        <v>0.33243305631302444</v>
      </c>
      <c r="AG241" s="180">
        <v>32.053172789999998</v>
      </c>
      <c r="AH241" s="180">
        <f t="shared" si="207"/>
        <v>0.18722848593103988</v>
      </c>
      <c r="AI241" s="180">
        <v>357.28922269999998</v>
      </c>
    </row>
    <row r="242" spans="1:35">
      <c r="A242" s="625" t="s">
        <v>2812</v>
      </c>
      <c r="B242" s="268">
        <v>20183.981847880001</v>
      </c>
      <c r="C242" s="268">
        <v>593.74010190000001</v>
      </c>
      <c r="D242" s="268">
        <f t="shared" si="193"/>
        <v>2.9416400905174354</v>
      </c>
      <c r="E242" s="268">
        <v>3302.9590024499998</v>
      </c>
      <c r="F242" s="268">
        <f t="shared" si="194"/>
        <v>16.364258684650583</v>
      </c>
      <c r="G242" s="268">
        <v>649.86065914000005</v>
      </c>
      <c r="H242" s="268">
        <f t="shared" si="209"/>
        <v>3.2196851148489185</v>
      </c>
      <c r="I242" s="268">
        <v>629.08630359999995</v>
      </c>
      <c r="J242" s="268">
        <f t="shared" si="195"/>
        <v>3.1167601533791274</v>
      </c>
      <c r="K242" s="268">
        <v>1097.3797512199999</v>
      </c>
      <c r="L242" s="268">
        <f t="shared" si="196"/>
        <v>5.4368843545866641</v>
      </c>
      <c r="M242" s="268">
        <v>1059.78559137</v>
      </c>
      <c r="N242" s="268">
        <f t="shared" si="197"/>
        <v>5.2506269543703201</v>
      </c>
      <c r="O242" s="268">
        <v>792.6693219</v>
      </c>
      <c r="P242" s="268">
        <f t="shared" si="198"/>
        <v>3.9272197521484449</v>
      </c>
      <c r="Q242" s="268">
        <v>11273.07877536</v>
      </c>
      <c r="R242" s="268">
        <f t="shared" si="199"/>
        <v>55.851609758279949</v>
      </c>
      <c r="S242" s="268">
        <v>3013.0127850049998</v>
      </c>
      <c r="T242" s="268">
        <f t="shared" si="200"/>
        <v>14.927742244880527</v>
      </c>
      <c r="U242" s="268">
        <v>11.43771877</v>
      </c>
      <c r="V242" s="268">
        <f t="shared" si="201"/>
        <v>5.666730606578179E-2</v>
      </c>
      <c r="W242" s="268">
        <v>1.2991616399999999</v>
      </c>
      <c r="X242" s="268">
        <f t="shared" si="202"/>
        <v>6.4365973463083332E-3</v>
      </c>
      <c r="Y242" s="268">
        <f t="shared" si="208"/>
        <v>677.34562013000254</v>
      </c>
      <c r="Z242" s="268">
        <f t="shared" si="203"/>
        <v>3.3558572596573488</v>
      </c>
      <c r="AA242" s="268">
        <v>12.71684417</v>
      </c>
      <c r="AB242" s="268">
        <f t="shared" si="204"/>
        <v>6.3004635387817184E-2</v>
      </c>
      <c r="AC242" s="268">
        <v>9.3437897400000001</v>
      </c>
      <c r="AD242" s="268">
        <f t="shared" si="205"/>
        <v>4.6293094248801125E-2</v>
      </c>
      <c r="AE242" s="268">
        <v>41.230349599999997</v>
      </c>
      <c r="AF242" s="268">
        <f t="shared" si="206"/>
        <v>0.2042726252467898</v>
      </c>
      <c r="AG242" s="268">
        <v>32.048856890000003</v>
      </c>
      <c r="AH242" s="268">
        <f t="shared" si="207"/>
        <v>0.15878361926572093</v>
      </c>
      <c r="AI242" s="268">
        <v>478.84730696000003</v>
      </c>
    </row>
    <row r="243" spans="1:35">
      <c r="A243" s="625" t="s">
        <v>18</v>
      </c>
      <c r="B243" s="180">
        <v>17242.149871199999</v>
      </c>
      <c r="C243" s="180">
        <v>706.54506468099999</v>
      </c>
      <c r="D243" s="180">
        <f t="shared" si="193"/>
        <v>4.0977782350747347</v>
      </c>
      <c r="E243" s="180">
        <v>2971.0516749799999</v>
      </c>
      <c r="F243" s="180">
        <f t="shared" si="194"/>
        <v>17.231329603175663</v>
      </c>
      <c r="G243" s="180">
        <v>737.83965122999996</v>
      </c>
      <c r="H243" s="180">
        <f t="shared" si="209"/>
        <v>4.279278725342901</v>
      </c>
      <c r="I243" s="180">
        <v>595.77505580000002</v>
      </c>
      <c r="J243" s="180">
        <f t="shared" si="195"/>
        <v>3.4553408957147402</v>
      </c>
      <c r="K243" s="180">
        <v>910.36466609000001</v>
      </c>
      <c r="L243" s="180">
        <f t="shared" si="196"/>
        <v>5.2798790921693897</v>
      </c>
      <c r="M243" s="180">
        <v>959.79601437999997</v>
      </c>
      <c r="N243" s="180">
        <f t="shared" si="197"/>
        <v>5.5665680993944475</v>
      </c>
      <c r="O243" s="180">
        <v>744.62580856</v>
      </c>
      <c r="P243" s="180">
        <f t="shared" si="198"/>
        <v>4.3186366788503987</v>
      </c>
      <c r="Q243" s="180">
        <v>8767.7198485890003</v>
      </c>
      <c r="R243" s="180">
        <f t="shared" si="199"/>
        <v>50.850502484228755</v>
      </c>
      <c r="S243" s="180">
        <v>2499.0721426549999</v>
      </c>
      <c r="T243" s="180">
        <f t="shared" si="200"/>
        <v>14.493970655186473</v>
      </c>
      <c r="U243" s="180">
        <v>90.199735840000002</v>
      </c>
      <c r="V243" s="180">
        <f t="shared" si="201"/>
        <v>0.52313508764161076</v>
      </c>
      <c r="W243" s="180">
        <v>1.95306146</v>
      </c>
      <c r="X243" s="180">
        <f t="shared" si="202"/>
        <v>1.1327250224534053E-2</v>
      </c>
      <c r="Y243" s="180">
        <f t="shared" si="208"/>
        <v>663.27988239999866</v>
      </c>
      <c r="Z243" s="180">
        <f t="shared" si="203"/>
        <v>3.846851392400271</v>
      </c>
      <c r="AA243" s="180">
        <v>7.6883463699999997</v>
      </c>
      <c r="AB243" s="180">
        <f t="shared" si="204"/>
        <v>4.4590416087509133E-2</v>
      </c>
      <c r="AC243" s="180">
        <v>4.3864337100000004</v>
      </c>
      <c r="AD243" s="180">
        <f t="shared" si="205"/>
        <v>2.5440178532067929E-2</v>
      </c>
      <c r="AE243" s="180">
        <v>50.945260220000002</v>
      </c>
      <c r="AF243" s="180">
        <f t="shared" si="206"/>
        <v>0.29546930400538485</v>
      </c>
      <c r="AG243" s="180">
        <v>29.979366890000001</v>
      </c>
      <c r="AH243" s="180">
        <f t="shared" si="207"/>
        <v>0.17387255715759262</v>
      </c>
      <c r="AI243" s="180">
        <v>404.33149824999998</v>
      </c>
    </row>
    <row r="244" spans="1:35" ht="15" customHeight="1">
      <c r="A244" s="625" t="s">
        <v>19</v>
      </c>
      <c r="B244" s="180">
        <v>17587.221785509999</v>
      </c>
      <c r="C244" s="180">
        <v>690.22803666100003</v>
      </c>
      <c r="D244" s="180">
        <f t="shared" si="193"/>
        <v>3.9245996046383778</v>
      </c>
      <c r="E244" s="180">
        <v>3039.58921594</v>
      </c>
      <c r="F244" s="180">
        <f t="shared" si="194"/>
        <v>17.282941291183914</v>
      </c>
      <c r="G244" s="180">
        <v>720.08297909999999</v>
      </c>
      <c r="H244" s="180">
        <f t="shared" si="209"/>
        <v>4.0943532064471482</v>
      </c>
      <c r="I244" s="180">
        <v>591.62897584999996</v>
      </c>
      <c r="J244" s="180">
        <f t="shared" si="195"/>
        <v>3.3639706320041936</v>
      </c>
      <c r="K244" s="180">
        <v>986.05618188000005</v>
      </c>
      <c r="L244" s="180">
        <f t="shared" si="196"/>
        <v>5.6066625752818195</v>
      </c>
      <c r="M244" s="180">
        <v>996.55668907999996</v>
      </c>
      <c r="N244" s="180">
        <f t="shared" si="197"/>
        <v>5.6663678961566095</v>
      </c>
      <c r="O244" s="180">
        <v>731.55818535000003</v>
      </c>
      <c r="P244" s="180">
        <f t="shared" si="198"/>
        <v>4.1596006138543506</v>
      </c>
      <c r="Q244" s="180">
        <v>8948.4275945089994</v>
      </c>
      <c r="R244" s="180">
        <f t="shared" si="199"/>
        <v>50.880279464500489</v>
      </c>
      <c r="S244" s="180">
        <v>2544.7717876749998</v>
      </c>
      <c r="T244" s="180">
        <f t="shared" si="200"/>
        <v>14.469435927461955</v>
      </c>
      <c r="U244" s="180">
        <v>92.671329189999994</v>
      </c>
      <c r="V244" s="180">
        <f t="shared" si="201"/>
        <v>0.52692420849750876</v>
      </c>
      <c r="W244" s="180">
        <v>1.95306146</v>
      </c>
      <c r="X244" s="180">
        <f t="shared" si="202"/>
        <v>1.1105002733343108E-2</v>
      </c>
      <c r="Y244" s="180">
        <f t="shared" si="208"/>
        <v>679.59860069999945</v>
      </c>
      <c r="Z244" s="180">
        <f t="shared" si="203"/>
        <v>3.8641612017420308</v>
      </c>
      <c r="AA244" s="180">
        <v>25.085493190000001</v>
      </c>
      <c r="AB244" s="180">
        <f t="shared" si="204"/>
        <v>0.14263476912918549</v>
      </c>
      <c r="AC244" s="180">
        <v>4.2741885100000001</v>
      </c>
      <c r="AD244" s="180">
        <f t="shared" si="205"/>
        <v>2.4302806674795431E-2</v>
      </c>
      <c r="AE244" s="180">
        <v>48.159196620000003</v>
      </c>
      <c r="AF244" s="180">
        <f t="shared" si="206"/>
        <v>0.27383060956039151</v>
      </c>
      <c r="AG244" s="180">
        <v>31.352057469999998</v>
      </c>
      <c r="AH244" s="180">
        <f t="shared" si="207"/>
        <v>0.17826611759584882</v>
      </c>
      <c r="AI244" s="180">
        <v>501.75617211000002</v>
      </c>
    </row>
    <row r="245" spans="1:35" ht="15" customHeight="1">
      <c r="A245" s="625" t="s">
        <v>20</v>
      </c>
      <c r="B245" s="180">
        <v>18007.769891451</v>
      </c>
      <c r="C245" s="180">
        <v>685.18649990100005</v>
      </c>
      <c r="D245" s="180">
        <f t="shared" ref="D245" si="210">C245/B245*100</f>
        <v>3.8049492193160748</v>
      </c>
      <c r="E245" s="180">
        <v>3080.4347998600001</v>
      </c>
      <c r="F245" s="180">
        <f t="shared" ref="F245" si="211">E245/B245*100</f>
        <v>17.10614261748427</v>
      </c>
      <c r="G245" s="180">
        <v>728.75941611999997</v>
      </c>
      <c r="H245" s="180">
        <f t="shared" ref="H245" si="212">G245/$B245*100</f>
        <v>4.0469165283257578</v>
      </c>
      <c r="I245" s="180">
        <v>597.47477757000001</v>
      </c>
      <c r="J245" s="180">
        <f t="shared" ref="J245" si="213">I245/$B245*100</f>
        <v>3.3178721250411187</v>
      </c>
      <c r="K245" s="180">
        <v>1009.43637603</v>
      </c>
      <c r="L245" s="180">
        <f t="shared" ref="L245" si="214">K245/$B245*100</f>
        <v>5.6055601671655042</v>
      </c>
      <c r="M245" s="180">
        <v>1016.34619679</v>
      </c>
      <c r="N245" s="180">
        <f t="shared" ref="N245" si="215">M245/$B245*100</f>
        <v>5.6439314968840186</v>
      </c>
      <c r="O245" s="180">
        <v>737.58571889999996</v>
      </c>
      <c r="P245" s="180">
        <f t="shared" ref="P245" si="216">O245/$B245*100</f>
        <v>4.095930386417038</v>
      </c>
      <c r="Q245" s="180">
        <v>9262.8286463999993</v>
      </c>
      <c r="R245" s="180">
        <f t="shared" ref="R245" si="217">Q245/$B245*100</f>
        <v>51.437955406112948</v>
      </c>
      <c r="S245" s="180">
        <v>2599.5753401249999</v>
      </c>
      <c r="T245" s="180">
        <f t="shared" ref="T245" si="218">S245/$B245*100</f>
        <v>14.435853833067474</v>
      </c>
      <c r="U245" s="180">
        <v>85.788650129999994</v>
      </c>
      <c r="V245" s="180">
        <f t="shared" ref="V245" si="219">U245/$B245*100</f>
        <v>0.47639796958271474</v>
      </c>
      <c r="W245" s="180">
        <v>1.9190493500000001</v>
      </c>
      <c r="X245" s="180">
        <f t="shared" ref="X245" si="220">W245/$B245*100</f>
        <v>1.0656785163114775E-2</v>
      </c>
      <c r="Y245" s="180">
        <f t="shared" ref="Y245" si="221">((B245-C245-E245-G245-I245-K245-M245-W245-O245-Q245-U245-AA245-AC245-AE245-AG245))</f>
        <v>695.8247708600021</v>
      </c>
      <c r="Z245" s="180">
        <f t="shared" ref="Z245" si="222">Y245/$B245*100</f>
        <v>3.8640252238581612</v>
      </c>
      <c r="AA245" s="180">
        <v>29.572471480000001</v>
      </c>
      <c r="AB245" s="180">
        <f t="shared" ref="AB245" si="223">AA245/$B245*100</f>
        <v>0.16422062064464307</v>
      </c>
      <c r="AC245" s="180">
        <v>4.5490465200000001</v>
      </c>
      <c r="AD245" s="180">
        <f t="shared" ref="AD245" si="224">AC245/$B245*100</f>
        <v>2.5261576238596945E-2</v>
      </c>
      <c r="AE245" s="180">
        <v>41.391453429999999</v>
      </c>
      <c r="AF245" s="180">
        <f t="shared" ref="AF245" si="225">AE245/$B245*100</f>
        <v>0.22985330043366536</v>
      </c>
      <c r="AG245" s="180">
        <v>30.67201811</v>
      </c>
      <c r="AH245" s="180">
        <f t="shared" ref="AH245" si="226">AG245/$B245*100</f>
        <v>0.17032657733238374</v>
      </c>
      <c r="AI245" s="180">
        <v>408.66366932</v>
      </c>
    </row>
    <row r="246" spans="1:35" ht="15" customHeight="1">
      <c r="A246" s="625" t="s">
        <v>21</v>
      </c>
      <c r="B246" s="180">
        <v>18319.964781931001</v>
      </c>
      <c r="C246" s="180">
        <v>674.77748304099998</v>
      </c>
      <c r="D246" s="180">
        <f t="shared" ref="D246:D254" si="227">C246/B246*100</f>
        <v>3.6832902850693996</v>
      </c>
      <c r="E246" s="180">
        <v>3137.6001220100002</v>
      </c>
      <c r="F246" s="180">
        <f t="shared" ref="F246:F254" si="228">E246/B246*100</f>
        <v>17.126671144611688</v>
      </c>
      <c r="G246" s="180">
        <v>724.61680982999997</v>
      </c>
      <c r="H246" s="180">
        <f t="shared" ref="H246:H254" si="229">G246/$B246*100</f>
        <v>3.9553395350666301</v>
      </c>
      <c r="I246" s="180">
        <v>592.84795186999997</v>
      </c>
      <c r="J246" s="180">
        <f t="shared" ref="J246:J254" si="230">I246/$B246*100</f>
        <v>3.2360758272566468</v>
      </c>
      <c r="K246" s="180">
        <v>1069.77222321</v>
      </c>
      <c r="L246" s="180">
        <f t="shared" ref="L246:L254" si="231">K246/$B246*100</f>
        <v>5.8393792561496483</v>
      </c>
      <c r="M246" s="180">
        <v>1025.0713723900001</v>
      </c>
      <c r="N246" s="180">
        <f t="shared" ref="N246:N254" si="232">M246/$B246*100</f>
        <v>5.5953785096848492</v>
      </c>
      <c r="O246" s="180">
        <v>742.68811762999997</v>
      </c>
      <c r="P246" s="180">
        <f t="shared" ref="P246:P254" si="233">O246/$B246*100</f>
        <v>4.0539822345210723</v>
      </c>
      <c r="Q246" s="180">
        <v>9460.6843937499998</v>
      </c>
      <c r="R246" s="180">
        <f t="shared" ref="R246:R254" si="234">Q246/$B246*100</f>
        <v>51.641389633461962</v>
      </c>
      <c r="S246" s="180">
        <v>2659.2497702750002</v>
      </c>
      <c r="T246" s="180">
        <f t="shared" ref="T246:T254" si="235">S246/$B246*100</f>
        <v>14.515583419122185</v>
      </c>
      <c r="U246" s="180">
        <v>94.591088130000003</v>
      </c>
      <c r="V246" s="180">
        <f t="shared" ref="V246:V254" si="236">U246/$B246*100</f>
        <v>0.51632789285323999</v>
      </c>
      <c r="W246" s="180">
        <v>1.8355293100000001</v>
      </c>
      <c r="X246" s="180">
        <f t="shared" ref="X246:X254" si="237">W246/$B246*100</f>
        <v>1.0019284053484559E-2</v>
      </c>
      <c r="Y246" s="180">
        <f t="shared" ref="Y246:Y254" si="238">((B246-C246-E246-G246-I246-K246-M246-W246-O246-Q246-U246-AA246-AC246-AE246-AG246))</f>
        <v>687.62060340999813</v>
      </c>
      <c r="Z246" s="180">
        <f t="shared" ref="Z246:Z254" si="239">Y246/$B246*100</f>
        <v>3.7533947886635626</v>
      </c>
      <c r="AA246" s="180">
        <v>30.977582609999999</v>
      </c>
      <c r="AB246" s="180">
        <f t="shared" ref="AB246:AB254" si="240">AA246/$B246*100</f>
        <v>0.16909193319276039</v>
      </c>
      <c r="AC246" s="180">
        <v>3.94607128</v>
      </c>
      <c r="AD246" s="180">
        <f t="shared" ref="AD246:AD254" si="241">AC246/$B246*100</f>
        <v>2.1539731800641962E-2</v>
      </c>
      <c r="AE246" s="180">
        <v>43.012501450000002</v>
      </c>
      <c r="AF246" s="180">
        <f t="shared" ref="AF246:AF254" si="242">AE246/$B246*100</f>
        <v>0.23478484790769508</v>
      </c>
      <c r="AG246" s="180">
        <v>29.92293201</v>
      </c>
      <c r="AH246" s="180">
        <f t="shared" ref="AH246:AH254" si="243">AG246/$B246*100</f>
        <v>0.16333509570669599</v>
      </c>
      <c r="AI246" s="180">
        <v>368.50278687000002</v>
      </c>
    </row>
    <row r="247" spans="1:35" ht="15" customHeight="1">
      <c r="A247" s="625" t="s">
        <v>22</v>
      </c>
      <c r="B247" s="180">
        <v>18577.875236771</v>
      </c>
      <c r="C247" s="180">
        <v>673.73641594100002</v>
      </c>
      <c r="D247" s="180">
        <f t="shared" si="227"/>
        <v>3.6265525920180597</v>
      </c>
      <c r="E247" s="180">
        <v>3141.1716848900001</v>
      </c>
      <c r="F247" s="180">
        <f t="shared" si="228"/>
        <v>16.908132091837448</v>
      </c>
      <c r="G247" s="180">
        <v>712.88410555999997</v>
      </c>
      <c r="H247" s="180">
        <f t="shared" si="229"/>
        <v>3.8372746962418804</v>
      </c>
      <c r="I247" s="180">
        <v>597.58057467000003</v>
      </c>
      <c r="J247" s="180">
        <f t="shared" si="230"/>
        <v>3.2166249748906424</v>
      </c>
      <c r="K247" s="180">
        <v>1095.6968941299999</v>
      </c>
      <c r="L247" s="180">
        <f t="shared" si="231"/>
        <v>5.897859040205514</v>
      </c>
      <c r="M247" s="180">
        <v>992.87865039999997</v>
      </c>
      <c r="N247" s="180">
        <f t="shared" si="232"/>
        <v>5.3444144593823371</v>
      </c>
      <c r="O247" s="180">
        <v>761.74220623999997</v>
      </c>
      <c r="P247" s="180">
        <f t="shared" si="233"/>
        <v>4.1002654853246687</v>
      </c>
      <c r="Q247" s="180">
        <v>9683.3679992500001</v>
      </c>
      <c r="R247" s="180">
        <f t="shared" si="234"/>
        <v>52.123118902660124</v>
      </c>
      <c r="S247" s="901">
        <v>2706.716061865</v>
      </c>
      <c r="T247" s="901">
        <f t="shared" si="235"/>
        <v>14.569567441747184</v>
      </c>
      <c r="U247" s="180">
        <v>94.296244239999993</v>
      </c>
      <c r="V247" s="180">
        <f t="shared" si="236"/>
        <v>0.5075728146422277</v>
      </c>
      <c r="W247" s="180">
        <v>1.8355293100000001</v>
      </c>
      <c r="X247" s="180">
        <f t="shared" si="237"/>
        <v>9.8801896697365884E-3</v>
      </c>
      <c r="Y247" s="180">
        <f t="shared" si="238"/>
        <v>716.93227512000078</v>
      </c>
      <c r="Z247" s="180">
        <f t="shared" si="239"/>
        <v>3.8590649683177118</v>
      </c>
      <c r="AA247" s="180">
        <v>12.740430310000001</v>
      </c>
      <c r="AB247" s="180">
        <f t="shared" si="240"/>
        <v>6.8578511523120764E-2</v>
      </c>
      <c r="AC247" s="180">
        <v>3.33646288</v>
      </c>
      <c r="AD247" s="180">
        <f t="shared" si="241"/>
        <v>1.7959335163346198E-2</v>
      </c>
      <c r="AE247" s="180">
        <v>42.478322669999997</v>
      </c>
      <c r="AF247" s="180">
        <f t="shared" si="242"/>
        <v>0.22865005889329626</v>
      </c>
      <c r="AG247" s="180">
        <v>47.197441159999997</v>
      </c>
      <c r="AH247" s="180">
        <f t="shared" si="243"/>
        <v>0.25405187922988404</v>
      </c>
      <c r="AI247" s="180">
        <v>399.49298209</v>
      </c>
    </row>
    <row r="248" spans="1:35" ht="15" customHeight="1">
      <c r="A248" s="625" t="s">
        <v>23</v>
      </c>
      <c r="B248" s="180">
        <v>18818.200924164601</v>
      </c>
      <c r="C248" s="180">
        <v>661.21798656500005</v>
      </c>
      <c r="D248" s="180">
        <f t="shared" si="227"/>
        <v>3.513715201732833</v>
      </c>
      <c r="E248" s="180">
        <v>3150.5925383899998</v>
      </c>
      <c r="F248" s="180">
        <f t="shared" si="228"/>
        <v>16.742262191197561</v>
      </c>
      <c r="G248" s="180">
        <v>695.98228181000002</v>
      </c>
      <c r="H248" s="180">
        <f t="shared" si="229"/>
        <v>3.698452814988725</v>
      </c>
      <c r="I248" s="180">
        <v>597.30746406000003</v>
      </c>
      <c r="J248" s="180">
        <f t="shared" si="230"/>
        <v>3.1740944124631638</v>
      </c>
      <c r="K248" s="180">
        <v>1182.8470258100001</v>
      </c>
      <c r="L248" s="180">
        <f t="shared" si="231"/>
        <v>6.2856541418425227</v>
      </c>
      <c r="M248" s="180">
        <v>991.07376555999997</v>
      </c>
      <c r="N248" s="180">
        <f t="shared" si="232"/>
        <v>5.2665702186618395</v>
      </c>
      <c r="O248" s="180">
        <v>773.92462936000004</v>
      </c>
      <c r="P248" s="180">
        <f t="shared" si="233"/>
        <v>4.1126387824151527</v>
      </c>
      <c r="Q248" s="180">
        <v>9921.9070127396008</v>
      </c>
      <c r="R248" s="180">
        <f t="shared" si="234"/>
        <v>52.725056198112974</v>
      </c>
      <c r="S248" s="901">
        <v>2753.6469211049998</v>
      </c>
      <c r="T248" s="901">
        <f t="shared" si="235"/>
        <v>14.632891487352651</v>
      </c>
      <c r="U248" s="180">
        <v>102.21680716</v>
      </c>
      <c r="V248" s="180">
        <f t="shared" si="236"/>
        <v>0.54318054936241322</v>
      </c>
      <c r="W248" s="180">
        <v>1.7781839699999999</v>
      </c>
      <c r="X248" s="180">
        <f t="shared" si="237"/>
        <v>9.4492772033091636E-3</v>
      </c>
      <c r="Y248" s="180">
        <f t="shared" si="238"/>
        <v>624.00074125999834</v>
      </c>
      <c r="Z248" s="180">
        <f t="shared" si="239"/>
        <v>3.315942601392432</v>
      </c>
      <c r="AA248" s="180">
        <v>19.576412950000002</v>
      </c>
      <c r="AB248" s="180">
        <f t="shared" si="240"/>
        <v>0.10402914194024666</v>
      </c>
      <c r="AC248" s="180">
        <v>3.4066838700000002</v>
      </c>
      <c r="AD248" s="180">
        <f t="shared" si="241"/>
        <v>1.8103132620002217E-2</v>
      </c>
      <c r="AE248" s="180">
        <v>46.638757630000001</v>
      </c>
      <c r="AF248" s="180">
        <f t="shared" si="242"/>
        <v>0.24783855703289256</v>
      </c>
      <c r="AG248" s="180">
        <v>45.73063303</v>
      </c>
      <c r="AH248" s="180">
        <f t="shared" si="243"/>
        <v>0.24301277903392418</v>
      </c>
      <c r="AI248" s="180">
        <v>387.19033960000002</v>
      </c>
    </row>
    <row r="249" spans="1:35" ht="15" customHeight="1">
      <c r="A249" s="625" t="s">
        <v>24</v>
      </c>
      <c r="B249" s="180">
        <v>18985.634951354601</v>
      </c>
      <c r="C249" s="180">
        <v>662.33321448499998</v>
      </c>
      <c r="D249" s="180">
        <f t="shared" si="227"/>
        <v>3.4886018623135033</v>
      </c>
      <c r="E249" s="180">
        <v>3115.71037376</v>
      </c>
      <c r="F249" s="180">
        <f t="shared" si="228"/>
        <v>16.410883184803353</v>
      </c>
      <c r="G249" s="180">
        <v>641.00740604999999</v>
      </c>
      <c r="H249" s="180">
        <f t="shared" si="229"/>
        <v>3.3762758406153011</v>
      </c>
      <c r="I249" s="180">
        <v>596.92004887999997</v>
      </c>
      <c r="J249" s="180">
        <f t="shared" si="230"/>
        <v>3.1440615518492865</v>
      </c>
      <c r="K249" s="180">
        <v>1203.07622195</v>
      </c>
      <c r="L249" s="180">
        <f t="shared" si="231"/>
        <v>6.336771064189044</v>
      </c>
      <c r="M249" s="180">
        <v>1048.15928214</v>
      </c>
      <c r="N249" s="180">
        <f t="shared" si="232"/>
        <v>5.5208018316248895</v>
      </c>
      <c r="O249" s="180">
        <v>782.08710939000002</v>
      </c>
      <c r="P249" s="180">
        <f t="shared" si="233"/>
        <v>4.1193624094947587</v>
      </c>
      <c r="Q249" s="180">
        <v>10108.676553429599</v>
      </c>
      <c r="R249" s="180">
        <f t="shared" si="234"/>
        <v>53.243816071099367</v>
      </c>
      <c r="S249" s="901">
        <v>2785.8421721350001</v>
      </c>
      <c r="T249" s="901">
        <f t="shared" si="235"/>
        <v>14.673421137996934</v>
      </c>
      <c r="U249" s="180">
        <v>103.68477823000001</v>
      </c>
      <c r="V249" s="180">
        <f t="shared" si="236"/>
        <v>0.54612225767356926</v>
      </c>
      <c r="W249" s="180">
        <v>1.66907546</v>
      </c>
      <c r="X249" s="180">
        <f t="shared" si="237"/>
        <v>8.7912543577106615E-3</v>
      </c>
      <c r="Y249" s="180">
        <f t="shared" si="238"/>
        <v>615.35368781000182</v>
      </c>
      <c r="Z249" s="180">
        <f t="shared" si="239"/>
        <v>3.2411541114462281</v>
      </c>
      <c r="AA249" s="180">
        <v>17.974159960000001</v>
      </c>
      <c r="AB249" s="180">
        <f t="shared" si="240"/>
        <v>9.4672419469002622E-2</v>
      </c>
      <c r="AC249" s="180">
        <v>3.3428964900000002</v>
      </c>
      <c r="AD249" s="180">
        <f t="shared" si="241"/>
        <v>1.7607504297671585E-2</v>
      </c>
      <c r="AE249" s="180">
        <v>48.924914289999997</v>
      </c>
      <c r="AF249" s="180">
        <f t="shared" si="242"/>
        <v>0.25769438006870171</v>
      </c>
      <c r="AG249" s="180">
        <v>36.715229030000003</v>
      </c>
      <c r="AH249" s="180">
        <f t="shared" si="243"/>
        <v>0.19338425669761661</v>
      </c>
      <c r="AI249" s="180">
        <v>386.11756955999999</v>
      </c>
    </row>
    <row r="250" spans="1:35" ht="15" customHeight="1">
      <c r="A250" s="625" t="s">
        <v>25</v>
      </c>
      <c r="B250" s="180">
        <v>19136.822267444601</v>
      </c>
      <c r="C250" s="180">
        <v>659.66022400500003</v>
      </c>
      <c r="D250" s="180">
        <f t="shared" si="227"/>
        <v>3.4470729507020001</v>
      </c>
      <c r="E250" s="180">
        <v>3131.78905184</v>
      </c>
      <c r="F250" s="180">
        <f t="shared" si="228"/>
        <v>16.365251284001172</v>
      </c>
      <c r="G250" s="180">
        <v>608.92176690999997</v>
      </c>
      <c r="H250" s="180">
        <f t="shared" si="229"/>
        <v>3.1819377240383973</v>
      </c>
      <c r="I250" s="180">
        <v>598.84598287999995</v>
      </c>
      <c r="J250" s="180">
        <f t="shared" si="230"/>
        <v>3.129286432778088</v>
      </c>
      <c r="K250" s="180">
        <v>1192.52599936</v>
      </c>
      <c r="L250" s="180">
        <f t="shared" si="231"/>
        <v>6.2315779636450674</v>
      </c>
      <c r="M250" s="180">
        <v>1071.79060764</v>
      </c>
      <c r="N250" s="180">
        <f t="shared" si="232"/>
        <v>5.6006717973407794</v>
      </c>
      <c r="O250" s="180">
        <v>759.08607419999998</v>
      </c>
      <c r="P250" s="180">
        <f t="shared" si="233"/>
        <v>3.9666255117567286</v>
      </c>
      <c r="Q250" s="180">
        <v>10328.1667544296</v>
      </c>
      <c r="R250" s="180">
        <f t="shared" si="234"/>
        <v>53.970124245757297</v>
      </c>
      <c r="S250" s="901">
        <v>2835.292362355</v>
      </c>
      <c r="T250" s="901">
        <f t="shared" si="235"/>
        <v>14.815899540324285</v>
      </c>
      <c r="U250" s="180">
        <v>51.301633959999997</v>
      </c>
      <c r="V250" s="180">
        <f t="shared" si="236"/>
        <v>0.26807812312326224</v>
      </c>
      <c r="W250" s="180">
        <v>1.6189657099999999</v>
      </c>
      <c r="X250" s="180">
        <f t="shared" si="237"/>
        <v>8.4599505987687975E-3</v>
      </c>
      <c r="Y250" s="180">
        <f t="shared" si="238"/>
        <v>635.86570236999933</v>
      </c>
      <c r="Z250" s="180">
        <f t="shared" si="239"/>
        <v>3.3227340123847449</v>
      </c>
      <c r="AA250" s="180">
        <v>16.119905150000001</v>
      </c>
      <c r="AB250" s="180">
        <f t="shared" si="240"/>
        <v>8.4235015222057244E-2</v>
      </c>
      <c r="AC250" s="180">
        <v>2.9635350900000001</v>
      </c>
      <c r="AD250" s="180">
        <f t="shared" si="241"/>
        <v>1.5486035500478784E-2</v>
      </c>
      <c r="AE250" s="180">
        <v>44.760477219999999</v>
      </c>
      <c r="AF250" s="180">
        <f t="shared" si="242"/>
        <v>0.23389712562751938</v>
      </c>
      <c r="AG250" s="180">
        <v>33.405586679999999</v>
      </c>
      <c r="AH250" s="180">
        <f t="shared" si="243"/>
        <v>0.17456182752362862</v>
      </c>
      <c r="AI250" s="180">
        <v>396.32416848999998</v>
      </c>
    </row>
    <row r="251" spans="1:35" ht="15" customHeight="1">
      <c r="A251" s="625" t="s">
        <v>26</v>
      </c>
      <c r="B251" s="180">
        <v>19701.683635566002</v>
      </c>
      <c r="C251" s="180">
        <v>649.54999275199998</v>
      </c>
      <c r="D251" s="180">
        <f t="shared" si="227"/>
        <v>3.2969263174006871</v>
      </c>
      <c r="E251" s="180">
        <v>3202.7953701800002</v>
      </c>
      <c r="F251" s="180">
        <f t="shared" si="228"/>
        <v>16.256455181313687</v>
      </c>
      <c r="G251" s="180">
        <v>636.63665910999998</v>
      </c>
      <c r="H251" s="180">
        <f t="shared" si="229"/>
        <v>3.2313820020981687</v>
      </c>
      <c r="I251" s="180">
        <v>618.19946554000001</v>
      </c>
      <c r="J251" s="180">
        <f t="shared" si="230"/>
        <v>3.137800184873591</v>
      </c>
      <c r="K251" s="180">
        <v>1241.44793663</v>
      </c>
      <c r="L251" s="180">
        <f t="shared" si="231"/>
        <v>6.3012276493411221</v>
      </c>
      <c r="M251" s="180">
        <v>1068.12796239</v>
      </c>
      <c r="N251" s="180">
        <f t="shared" si="232"/>
        <v>5.4215060100842702</v>
      </c>
      <c r="O251" s="180">
        <v>792.84583252000004</v>
      </c>
      <c r="P251" s="180">
        <f t="shared" si="233"/>
        <v>4.0242542068269422</v>
      </c>
      <c r="Q251" s="180">
        <v>10708.573506314</v>
      </c>
      <c r="R251" s="180">
        <f t="shared" si="234"/>
        <v>54.353595887524044</v>
      </c>
      <c r="S251" s="901">
        <v>2878.5758071549999</v>
      </c>
      <c r="T251" s="901">
        <f t="shared" si="235"/>
        <v>14.61081124030699</v>
      </c>
      <c r="U251" s="180">
        <v>45.119335769999999</v>
      </c>
      <c r="V251" s="180">
        <f t="shared" si="236"/>
        <v>0.22901258899797466</v>
      </c>
      <c r="W251" s="180">
        <v>1.55036112</v>
      </c>
      <c r="X251" s="180">
        <f t="shared" si="237"/>
        <v>7.8691808714319578E-3</v>
      </c>
      <c r="Y251" s="180">
        <f t="shared" si="238"/>
        <v>627.08584624000116</v>
      </c>
      <c r="Z251" s="180">
        <f t="shared" si="239"/>
        <v>3.1829048615315756</v>
      </c>
      <c r="AA251" s="180">
        <v>18.844386230000001</v>
      </c>
      <c r="AB251" s="180">
        <f t="shared" si="240"/>
        <v>9.5648608406144614E-2</v>
      </c>
      <c r="AC251" s="180">
        <v>10.19534859</v>
      </c>
      <c r="AD251" s="180">
        <f t="shared" si="241"/>
        <v>5.1748615897958518E-2</v>
      </c>
      <c r="AE251" s="180">
        <v>46.270571990000001</v>
      </c>
      <c r="AF251" s="180">
        <f t="shared" si="242"/>
        <v>0.23485592828458141</v>
      </c>
      <c r="AG251" s="180">
        <v>34.441060190000002</v>
      </c>
      <c r="AH251" s="180">
        <f t="shared" si="243"/>
        <v>0.17481277654781791</v>
      </c>
      <c r="AI251" s="180">
        <v>435.90259455</v>
      </c>
    </row>
    <row r="252" spans="1:35" ht="15" customHeight="1">
      <c r="A252" s="625" t="s">
        <v>27</v>
      </c>
      <c r="B252" s="180">
        <v>20015.293326605999</v>
      </c>
      <c r="C252" s="180">
        <v>646.04418552200002</v>
      </c>
      <c r="D252" s="180">
        <f t="shared" si="227"/>
        <v>3.227752773741388</v>
      </c>
      <c r="E252" s="180">
        <v>3270.4270341199999</v>
      </c>
      <c r="F252" s="180">
        <f t="shared" si="228"/>
        <v>16.33964079743301</v>
      </c>
      <c r="G252" s="180">
        <v>660.06679864</v>
      </c>
      <c r="H252" s="180">
        <f t="shared" si="229"/>
        <v>3.2978122671956251</v>
      </c>
      <c r="I252" s="180">
        <v>623.55143829999997</v>
      </c>
      <c r="J252" s="180">
        <f t="shared" si="230"/>
        <v>3.115374969154828</v>
      </c>
      <c r="K252" s="180">
        <v>1181.5974957400001</v>
      </c>
      <c r="L252" s="180">
        <f t="shared" si="231"/>
        <v>5.9034732914422099</v>
      </c>
      <c r="M252" s="180">
        <v>1079.2514515</v>
      </c>
      <c r="N252" s="180">
        <f t="shared" si="232"/>
        <v>5.3921340741250541</v>
      </c>
      <c r="O252" s="180">
        <v>798.09464337999998</v>
      </c>
      <c r="P252" s="180">
        <f t="shared" si="233"/>
        <v>3.9874241678941864</v>
      </c>
      <c r="Q252" s="180">
        <v>10949.931660333999</v>
      </c>
      <c r="R252" s="180">
        <f t="shared" si="234"/>
        <v>54.70782506983516</v>
      </c>
      <c r="S252" s="901">
        <v>2957.2019756149998</v>
      </c>
      <c r="T252" s="901">
        <f t="shared" si="235"/>
        <v>14.774712153151611</v>
      </c>
      <c r="U252" s="180">
        <v>39.818400859999997</v>
      </c>
      <c r="V252" s="180">
        <f t="shared" si="236"/>
        <v>0.19893988167073254</v>
      </c>
      <c r="W252" s="180">
        <v>1.4508958000000001</v>
      </c>
      <c r="X252" s="180">
        <f t="shared" si="237"/>
        <v>7.2489359827235126E-3</v>
      </c>
      <c r="Y252" s="180">
        <f t="shared" si="238"/>
        <v>659.93844663999766</v>
      </c>
      <c r="Z252" s="180">
        <f t="shared" si="239"/>
        <v>3.297170997552918</v>
      </c>
      <c r="AA252" s="180">
        <v>16.342343849999999</v>
      </c>
      <c r="AB252" s="180">
        <f t="shared" si="240"/>
        <v>8.1649284791027218E-2</v>
      </c>
      <c r="AC252" s="180">
        <v>9.9599876599999995</v>
      </c>
      <c r="AD252" s="180">
        <f t="shared" si="241"/>
        <v>4.9761887060432691E-2</v>
      </c>
      <c r="AE252" s="180">
        <v>44.86484858</v>
      </c>
      <c r="AF252" s="180">
        <f t="shared" si="242"/>
        <v>0.22415284076982225</v>
      </c>
      <c r="AG252" s="180">
        <v>33.953695680000003</v>
      </c>
      <c r="AH252" s="180">
        <f t="shared" si="243"/>
        <v>0.16963876135088121</v>
      </c>
      <c r="AI252" s="180">
        <v>505.93548070999998</v>
      </c>
    </row>
    <row r="253" spans="1:35" ht="15" customHeight="1">
      <c r="A253" s="625" t="s">
        <v>28</v>
      </c>
      <c r="B253" s="180">
        <v>20218.690699965999</v>
      </c>
      <c r="C253" s="180">
        <v>641.27898531200003</v>
      </c>
      <c r="D253" s="180">
        <f t="shared" si="227"/>
        <v>3.1717137119718561</v>
      </c>
      <c r="E253" s="180">
        <v>3340.3423845500001</v>
      </c>
      <c r="F253" s="180">
        <f t="shared" si="228"/>
        <v>16.521061794350597</v>
      </c>
      <c r="G253" s="180">
        <v>658.14727702000005</v>
      </c>
      <c r="H253" s="180">
        <f t="shared" si="229"/>
        <v>3.2551429110150383</v>
      </c>
      <c r="I253" s="180">
        <v>622.32410726000001</v>
      </c>
      <c r="J253" s="180">
        <f t="shared" si="230"/>
        <v>3.0779644265543196</v>
      </c>
      <c r="K253" s="180">
        <v>1141.5828099800001</v>
      </c>
      <c r="L253" s="180">
        <f t="shared" si="231"/>
        <v>5.6461757436247835</v>
      </c>
      <c r="M253" s="180">
        <v>1062.5943942500001</v>
      </c>
      <c r="N253" s="180">
        <f t="shared" si="232"/>
        <v>5.2555054628328977</v>
      </c>
      <c r="O253" s="180">
        <v>801.45013257000005</v>
      </c>
      <c r="P253" s="180">
        <f t="shared" si="233"/>
        <v>3.96390718104881</v>
      </c>
      <c r="Q253" s="180">
        <v>11135.042346804001</v>
      </c>
      <c r="R253" s="180">
        <f t="shared" si="234"/>
        <v>55.073013935678475</v>
      </c>
      <c r="S253" s="901">
        <v>3013.3954976049999</v>
      </c>
      <c r="T253" s="901">
        <f t="shared" si="235"/>
        <v>14.904009079134225</v>
      </c>
      <c r="U253" s="180">
        <v>42.826244639999999</v>
      </c>
      <c r="V253" s="180">
        <f t="shared" si="236"/>
        <v>0.21181512332087865</v>
      </c>
      <c r="W253" s="180">
        <v>1.3731461599999999</v>
      </c>
      <c r="X253" s="180">
        <f t="shared" si="237"/>
        <v>6.7914692418847332E-3</v>
      </c>
      <c r="Y253" s="180">
        <f t="shared" si="238"/>
        <v>670.02247618999706</v>
      </c>
      <c r="Z253" s="180">
        <f t="shared" si="239"/>
        <v>3.3138766804080135</v>
      </c>
      <c r="AA253" s="180">
        <v>14.977643390000001</v>
      </c>
      <c r="AB253" s="180">
        <f t="shared" si="240"/>
        <v>7.4078206211568326E-2</v>
      </c>
      <c r="AC253" s="180">
        <v>9.4026232400000005</v>
      </c>
      <c r="AD253" s="180">
        <f t="shared" si="241"/>
        <v>4.6504609915298881E-2</v>
      </c>
      <c r="AE253" s="180">
        <v>41.757781829999999</v>
      </c>
      <c r="AF253" s="180">
        <f t="shared" si="242"/>
        <v>0.20653059315097105</v>
      </c>
      <c r="AG253" s="180">
        <v>35.568346769999998</v>
      </c>
      <c r="AH253" s="180">
        <f t="shared" si="243"/>
        <v>0.17591815067461222</v>
      </c>
      <c r="AI253" s="180">
        <v>557.58788519999996</v>
      </c>
    </row>
    <row r="254" spans="1:35" ht="15" customHeight="1">
      <c r="A254" s="625" t="s">
        <v>29</v>
      </c>
      <c r="B254" s="180">
        <v>20183.981847880001</v>
      </c>
      <c r="C254" s="180">
        <v>593.74010190000001</v>
      </c>
      <c r="D254" s="180">
        <f t="shared" si="227"/>
        <v>2.9416400905174354</v>
      </c>
      <c r="E254" s="180">
        <v>3302.9590024499998</v>
      </c>
      <c r="F254" s="180">
        <f t="shared" si="228"/>
        <v>16.364258684650583</v>
      </c>
      <c r="G254" s="180">
        <v>649.86065914000005</v>
      </c>
      <c r="H254" s="180">
        <f t="shared" si="229"/>
        <v>3.2196851148489185</v>
      </c>
      <c r="I254" s="180">
        <v>629.08630359999995</v>
      </c>
      <c r="J254" s="180">
        <f t="shared" si="230"/>
        <v>3.1167601533791274</v>
      </c>
      <c r="K254" s="180">
        <v>1097.3797512199999</v>
      </c>
      <c r="L254" s="180">
        <f t="shared" si="231"/>
        <v>5.4368843545866641</v>
      </c>
      <c r="M254" s="180">
        <v>1059.78559137</v>
      </c>
      <c r="N254" s="180">
        <f t="shared" si="232"/>
        <v>5.2506269543703201</v>
      </c>
      <c r="O254" s="180">
        <v>792.6693219</v>
      </c>
      <c r="P254" s="180">
        <f t="shared" si="233"/>
        <v>3.9272197521484449</v>
      </c>
      <c r="Q254" s="180">
        <v>11273.07877536</v>
      </c>
      <c r="R254" s="180">
        <f t="shared" si="234"/>
        <v>55.851609758279949</v>
      </c>
      <c r="S254" s="901">
        <v>3013.0127850049998</v>
      </c>
      <c r="T254" s="901">
        <f t="shared" si="235"/>
        <v>14.927742244880527</v>
      </c>
      <c r="U254" s="180">
        <v>11.43771877</v>
      </c>
      <c r="V254" s="180">
        <f t="shared" si="236"/>
        <v>5.666730606578179E-2</v>
      </c>
      <c r="W254" s="180">
        <v>1.2991616399999999</v>
      </c>
      <c r="X254" s="180">
        <f t="shared" si="237"/>
        <v>6.4365973463083332E-3</v>
      </c>
      <c r="Y254" s="180">
        <f t="shared" si="238"/>
        <v>677.34562013000254</v>
      </c>
      <c r="Z254" s="180">
        <f t="shared" si="239"/>
        <v>3.3558572596573488</v>
      </c>
      <c r="AA254" s="180">
        <v>12.71684417</v>
      </c>
      <c r="AB254" s="180">
        <f t="shared" si="240"/>
        <v>6.3004635387817184E-2</v>
      </c>
      <c r="AC254" s="180">
        <v>9.3437897400000001</v>
      </c>
      <c r="AD254" s="180">
        <f t="shared" si="241"/>
        <v>4.6293094248801125E-2</v>
      </c>
      <c r="AE254" s="180">
        <v>41.230349599999997</v>
      </c>
      <c r="AF254" s="180">
        <f t="shared" si="242"/>
        <v>0.2042726252467898</v>
      </c>
      <c r="AG254" s="180">
        <v>32.048856890000003</v>
      </c>
      <c r="AH254" s="180">
        <f t="shared" si="243"/>
        <v>0.15878361926572093</v>
      </c>
      <c r="AI254" s="180">
        <v>478.84730696000003</v>
      </c>
    </row>
    <row r="255" spans="1:35" ht="15" customHeight="1">
      <c r="A255" s="625" t="s">
        <v>3500</v>
      </c>
      <c r="B255" s="268">
        <v>23979.124360810001</v>
      </c>
      <c r="C255" s="268">
        <v>437.84492763999998</v>
      </c>
      <c r="D255" s="268">
        <v>1.8259421030218543</v>
      </c>
      <c r="E255" s="268">
        <v>3539.3461912500002</v>
      </c>
      <c r="F255" s="268">
        <v>14.760114414496673</v>
      </c>
      <c r="G255" s="268">
        <v>752.83353826999996</v>
      </c>
      <c r="H255" s="268">
        <v>3.1395372363987759</v>
      </c>
      <c r="I255" s="268">
        <v>532.83365170000002</v>
      </c>
      <c r="J255" s="268">
        <v>2.2220730151882879</v>
      </c>
      <c r="K255" s="268">
        <v>1133.75252679</v>
      </c>
      <c r="L255" s="268">
        <v>4.7280814333776719</v>
      </c>
      <c r="M255" s="268">
        <v>1210.8904500799999</v>
      </c>
      <c r="N255" s="268">
        <v>5.0497692570417811</v>
      </c>
      <c r="O255" s="268">
        <v>1426.2884051000001</v>
      </c>
      <c r="P255" s="268">
        <v>5.9480420704228782</v>
      </c>
      <c r="Q255" s="268">
        <v>14006.31972293</v>
      </c>
      <c r="R255" s="268">
        <v>58.410472009649631</v>
      </c>
      <c r="S255" s="268">
        <v>3630.8192389979999</v>
      </c>
      <c r="T255" s="268">
        <v>15.141583922605559</v>
      </c>
      <c r="U255" s="268">
        <v>10.48486535</v>
      </c>
      <c r="V255" s="268">
        <v>4.3724971738900588E-2</v>
      </c>
      <c r="W255" s="268">
        <v>0.99874423000000001</v>
      </c>
      <c r="X255" s="268">
        <v>4.165057134581136E-3</v>
      </c>
      <c r="Y255" s="268">
        <v>800.80814998000665</v>
      </c>
      <c r="Z255" s="268">
        <v>3.3396054748721267</v>
      </c>
      <c r="AA255" s="268">
        <v>22.32135551</v>
      </c>
      <c r="AB255" s="268">
        <v>9.3086616400724978E-2</v>
      </c>
      <c r="AC255" s="268">
        <v>5.89101915</v>
      </c>
      <c r="AD255" s="268">
        <v>2.4567282196625649E-2</v>
      </c>
      <c r="AE255" s="268">
        <v>51.208538439999998</v>
      </c>
      <c r="AF255" s="268">
        <v>0.21355466392130679</v>
      </c>
      <c r="AG255" s="268">
        <v>47.302274390000001</v>
      </c>
      <c r="AH255" s="268">
        <v>0.19726439413821095</v>
      </c>
      <c r="AI255" s="268">
        <v>568.78507174000003</v>
      </c>
    </row>
    <row r="256" spans="1:35" ht="15" customHeight="1">
      <c r="A256" s="625" t="s">
        <v>18</v>
      </c>
      <c r="B256" s="180">
        <v>20259.212448210001</v>
      </c>
      <c r="C256" s="180">
        <v>583.77188913999998</v>
      </c>
      <c r="D256" s="180">
        <f t="shared" ref="D256:D267" si="244">C256/B256*100</f>
        <v>2.8815132406175001</v>
      </c>
      <c r="E256" s="180">
        <v>3247.41616931</v>
      </c>
      <c r="F256" s="180">
        <f t="shared" ref="F256:F267" si="245">E256/B256*100</f>
        <v>16.029330743293158</v>
      </c>
      <c r="G256" s="180">
        <v>635.89876159000005</v>
      </c>
      <c r="H256" s="180">
        <f t="shared" ref="H256:H267" si="246">G256/$B256*100</f>
        <v>3.1388128399146371</v>
      </c>
      <c r="I256" s="180">
        <v>617.09437964000006</v>
      </c>
      <c r="J256" s="180">
        <f t="shared" ref="J256:J267" si="247">I256/$B256*100</f>
        <v>3.0459939211236384</v>
      </c>
      <c r="K256" s="180">
        <v>1111.1583590400001</v>
      </c>
      <c r="L256" s="180">
        <f t="shared" ref="L256:L267" si="248">K256/$B256*100</f>
        <v>5.4847065841306986</v>
      </c>
      <c r="M256" s="180">
        <v>1075.01332781</v>
      </c>
      <c r="N256" s="180">
        <f t="shared" ref="N256:N287" si="249">M256/$B256*100</f>
        <v>5.3062937691093843</v>
      </c>
      <c r="O256" s="180">
        <v>785.51623904999997</v>
      </c>
      <c r="P256" s="180">
        <f t="shared" ref="P256:P267" si="250">O256/$B256*100</f>
        <v>3.8773286032616934</v>
      </c>
      <c r="Q256" s="180">
        <v>11407.06374125</v>
      </c>
      <c r="R256" s="180">
        <f t="shared" ref="R256:R267" si="251">Q256/$B256*100</f>
        <v>56.305563557372487</v>
      </c>
      <c r="S256" s="901">
        <v>3033.231074415</v>
      </c>
      <c r="T256" s="901">
        <f t="shared" ref="T256:T267" si="252">S256/$B256*100</f>
        <v>14.972107539565293</v>
      </c>
      <c r="U256" s="180">
        <v>10.79183666</v>
      </c>
      <c r="V256" s="180">
        <f t="shared" ref="V256" si="253">U256/$B256*100</f>
        <v>5.3268786669708433E-2</v>
      </c>
      <c r="W256" s="180">
        <v>1.26489838</v>
      </c>
      <c r="X256" s="180">
        <f t="shared" ref="X256:X267" si="254">W256/$B256*100</f>
        <v>6.2435713295052589E-3</v>
      </c>
      <c r="Y256" s="180">
        <f t="shared" ref="Y256:Y267" si="255">((B256-C256-E256-G256-I256-K256-M256-W256-O256-Q256-U256-AA256-AC256-AE256-AG256))</f>
        <v>692.44319272999769</v>
      </c>
      <c r="Z256" s="180">
        <f t="shared" ref="Z256:Z267" si="256">Y256/$B256*100</f>
        <v>3.4179176238964728</v>
      </c>
      <c r="AA256" s="180">
        <v>16.94554686</v>
      </c>
      <c r="AB256" s="180">
        <f t="shared" ref="AB256:AB267" si="257">AA256/$B256*100</f>
        <v>8.3643660400516809E-2</v>
      </c>
      <c r="AC256" s="180">
        <v>8.3574958899999992</v>
      </c>
      <c r="AD256" s="180">
        <f t="shared" ref="AD256:AD267" si="258">AC256/$B256*100</f>
        <v>4.1252817262096605E-2</v>
      </c>
      <c r="AE256" s="180">
        <v>36.751194439999999</v>
      </c>
      <c r="AF256" s="180">
        <f t="shared" ref="AF256:AF267" si="259">AE256/$B256*100</f>
        <v>0.18140485240455212</v>
      </c>
      <c r="AG256" s="180">
        <v>29.725416419999998</v>
      </c>
      <c r="AH256" s="180">
        <f t="shared" ref="AH256:AH267" si="260">AG256/$B256*100</f>
        <v>0.14672542921393958</v>
      </c>
      <c r="AI256" s="180">
        <v>583.94934007999996</v>
      </c>
    </row>
    <row r="257" spans="1:35" ht="15" customHeight="1">
      <c r="A257" s="625" t="s">
        <v>19</v>
      </c>
      <c r="B257" s="180">
        <v>20347.050737609999</v>
      </c>
      <c r="C257" s="180">
        <v>606.13546266000003</v>
      </c>
      <c r="D257" s="180">
        <f t="shared" si="244"/>
        <v>2.9789843770311344</v>
      </c>
      <c r="E257" s="180">
        <v>3243.5849437799998</v>
      </c>
      <c r="F257" s="180">
        <f t="shared" si="245"/>
        <v>15.941302676286522</v>
      </c>
      <c r="G257" s="180">
        <v>644.41744976999996</v>
      </c>
      <c r="H257" s="180">
        <f t="shared" si="246"/>
        <v>3.1671295170992151</v>
      </c>
      <c r="I257" s="180">
        <v>618.30798354000001</v>
      </c>
      <c r="J257" s="180">
        <f t="shared" si="247"/>
        <v>3.0388088746301891</v>
      </c>
      <c r="K257" s="180">
        <v>1064.9839177199999</v>
      </c>
      <c r="L257" s="180">
        <f t="shared" si="248"/>
        <v>5.234094766134616</v>
      </c>
      <c r="M257" s="180">
        <v>1075.9234112300001</v>
      </c>
      <c r="N257" s="180">
        <f t="shared" si="249"/>
        <v>5.2878592829241642</v>
      </c>
      <c r="O257" s="180">
        <v>770.35645824000005</v>
      </c>
      <c r="P257" s="180">
        <f t="shared" si="250"/>
        <v>3.7860841267577605</v>
      </c>
      <c r="Q257" s="180">
        <v>11548.47191996</v>
      </c>
      <c r="R257" s="180">
        <f t="shared" si="251"/>
        <v>56.75747344854021</v>
      </c>
      <c r="S257" s="901">
        <v>3073.8682376649999</v>
      </c>
      <c r="T257" s="901">
        <f t="shared" si="252"/>
        <v>15.107193063529275</v>
      </c>
      <c r="U257" s="180">
        <v>9.5349035099999995</v>
      </c>
      <c r="V257" s="180">
        <f t="shared" ref="V257:V267" si="261">U257/$B257*100</f>
        <v>4.6861354173435288E-2</v>
      </c>
      <c r="W257" s="180">
        <v>1.26489838</v>
      </c>
      <c r="X257" s="180">
        <f t="shared" si="254"/>
        <v>6.2166178101769323E-3</v>
      </c>
      <c r="Y257" s="180">
        <f t="shared" si="255"/>
        <v>668.99798440999916</v>
      </c>
      <c r="Z257" s="180">
        <f t="shared" si="256"/>
        <v>3.28793589320248</v>
      </c>
      <c r="AA257" s="180">
        <v>17.696519609999999</v>
      </c>
      <c r="AB257" s="180">
        <f t="shared" si="257"/>
        <v>8.6973389107883381E-2</v>
      </c>
      <c r="AC257" s="180">
        <v>8.2779702900000007</v>
      </c>
      <c r="AD257" s="180">
        <f t="shared" si="258"/>
        <v>4.0683882872021314E-2</v>
      </c>
      <c r="AE257" s="180">
        <v>35.427067219999998</v>
      </c>
      <c r="AF257" s="180">
        <f t="shared" si="259"/>
        <v>0.17411401621226469</v>
      </c>
      <c r="AG257" s="180">
        <v>33.66984729</v>
      </c>
      <c r="AH257" s="180">
        <f t="shared" si="260"/>
        <v>0.16547777721792284</v>
      </c>
      <c r="AI257" s="180">
        <v>483.48919921999999</v>
      </c>
    </row>
    <row r="258" spans="1:35" ht="15" customHeight="1">
      <c r="A258" s="625" t="s">
        <v>20</v>
      </c>
      <c r="B258" s="180">
        <v>20664.848433421801</v>
      </c>
      <c r="C258" s="180">
        <v>590.48680544000001</v>
      </c>
      <c r="D258" s="180">
        <f t="shared" si="244"/>
        <v>2.8574456151586878</v>
      </c>
      <c r="E258" s="180">
        <v>3296.8830706700001</v>
      </c>
      <c r="F258" s="180">
        <f t="shared" si="245"/>
        <v>15.954063642382513</v>
      </c>
      <c r="G258" s="180">
        <v>670.66004845999998</v>
      </c>
      <c r="H258" s="180">
        <f t="shared" si="246"/>
        <v>3.2454147951809986</v>
      </c>
      <c r="I258" s="180">
        <v>572.32339912999998</v>
      </c>
      <c r="J258" s="180">
        <f t="shared" si="247"/>
        <v>2.7695504323388422</v>
      </c>
      <c r="K258" s="180">
        <v>1056.91608202</v>
      </c>
      <c r="L258" s="180">
        <f t="shared" si="248"/>
        <v>5.1145600483119047</v>
      </c>
      <c r="M258" s="180">
        <v>1091.93672019</v>
      </c>
      <c r="N258" s="180">
        <f t="shared" si="249"/>
        <v>5.2840296589060971</v>
      </c>
      <c r="O258" s="180">
        <v>800.97040360000005</v>
      </c>
      <c r="P258" s="180">
        <f t="shared" si="250"/>
        <v>3.8760042503121852</v>
      </c>
      <c r="Q258" s="180">
        <v>11784.627929721801</v>
      </c>
      <c r="R258" s="180">
        <f t="shared" si="251"/>
        <v>57.027410424468506</v>
      </c>
      <c r="S258" s="901">
        <v>3134.11775412</v>
      </c>
      <c r="T258" s="901">
        <f t="shared" si="252"/>
        <v>15.166420233942338</v>
      </c>
      <c r="U258" s="180">
        <v>9.5150901700000006</v>
      </c>
      <c r="V258" s="180">
        <f t="shared" si="261"/>
        <v>4.6044809864712079E-2</v>
      </c>
      <c r="W258" s="180">
        <v>1.25457079</v>
      </c>
      <c r="X258" s="180">
        <f t="shared" si="254"/>
        <v>6.071037946598001E-3</v>
      </c>
      <c r="Y258" s="180">
        <f t="shared" si="255"/>
        <v>694.24130842000011</v>
      </c>
      <c r="Z258" s="180">
        <f t="shared" si="256"/>
        <v>3.3595277054981221</v>
      </c>
      <c r="AA258" s="180">
        <v>11.73787692</v>
      </c>
      <c r="AB258" s="180">
        <f t="shared" si="257"/>
        <v>5.6801175957409987E-2</v>
      </c>
      <c r="AC258" s="180">
        <v>7.5874155999999999</v>
      </c>
      <c r="AD258" s="180">
        <f t="shared" si="258"/>
        <v>3.6716531575081257E-2</v>
      </c>
      <c r="AE258" s="180">
        <v>43.05704686</v>
      </c>
      <c r="AF258" s="180">
        <f t="shared" si="259"/>
        <v>0.20835888053436052</v>
      </c>
      <c r="AG258" s="180">
        <v>32.650665429999997</v>
      </c>
      <c r="AH258" s="180">
        <f t="shared" si="260"/>
        <v>0.15800099156397981</v>
      </c>
      <c r="AI258" s="180">
        <v>467.39142919</v>
      </c>
    </row>
    <row r="259" spans="1:35" ht="15" customHeight="1">
      <c r="A259" s="625" t="s">
        <v>21</v>
      </c>
      <c r="B259" s="180">
        <v>21005.880584801798</v>
      </c>
      <c r="C259" s="180">
        <v>591.79680065000002</v>
      </c>
      <c r="D259" s="180">
        <f t="shared" si="244"/>
        <v>2.8172910831368698</v>
      </c>
      <c r="E259" s="180">
        <v>3342.7020175500002</v>
      </c>
      <c r="F259" s="180">
        <f t="shared" si="245"/>
        <v>15.913172523548077</v>
      </c>
      <c r="G259" s="180">
        <v>676.63458027000001</v>
      </c>
      <c r="H259" s="180">
        <f t="shared" si="246"/>
        <v>3.2211674132793058</v>
      </c>
      <c r="I259" s="180">
        <v>545.48796477999997</v>
      </c>
      <c r="J259" s="180">
        <f t="shared" si="247"/>
        <v>2.5968345510574413</v>
      </c>
      <c r="K259" s="180">
        <v>1071.82253182</v>
      </c>
      <c r="L259" s="180">
        <f t="shared" si="248"/>
        <v>5.102487979463648</v>
      </c>
      <c r="M259" s="180">
        <v>1065.1380490900001</v>
      </c>
      <c r="N259" s="180">
        <f t="shared" si="249"/>
        <v>5.0706660203555103</v>
      </c>
      <c r="O259" s="180">
        <v>824.09913245999996</v>
      </c>
      <c r="P259" s="180">
        <f t="shared" si="250"/>
        <v>3.9231829826560718</v>
      </c>
      <c r="Q259" s="180">
        <v>12083.9522709718</v>
      </c>
      <c r="R259" s="180">
        <f t="shared" si="251"/>
        <v>57.526520833955409</v>
      </c>
      <c r="S259" s="901">
        <v>3206.248895745</v>
      </c>
      <c r="T259" s="901">
        <f t="shared" si="252"/>
        <v>15.263577657700242</v>
      </c>
      <c r="U259" s="180">
        <v>9.4727845100000003</v>
      </c>
      <c r="V259" s="180">
        <f t="shared" si="261"/>
        <v>4.5095869567371348E-2</v>
      </c>
      <c r="W259" s="180">
        <v>1.2504472799999999</v>
      </c>
      <c r="X259" s="180">
        <f t="shared" si="254"/>
        <v>5.9528438950791959E-3</v>
      </c>
      <c r="Y259" s="180">
        <f t="shared" si="255"/>
        <v>690.35638546999542</v>
      </c>
      <c r="Z259" s="180">
        <f t="shared" si="256"/>
        <v>3.286491050365596</v>
      </c>
      <c r="AA259" s="180">
        <v>11.99978645</v>
      </c>
      <c r="AB259" s="180">
        <f t="shared" si="257"/>
        <v>5.7125843411116511E-2</v>
      </c>
      <c r="AC259" s="180">
        <v>7.2979885099999997</v>
      </c>
      <c r="AD259" s="180">
        <f t="shared" si="258"/>
        <v>3.4742597343337511E-2</v>
      </c>
      <c r="AE259" s="180">
        <v>47.326298690000002</v>
      </c>
      <c r="AF259" s="180">
        <f t="shared" si="259"/>
        <v>0.22530023675485228</v>
      </c>
      <c r="AG259" s="180">
        <v>36.543546300000003</v>
      </c>
      <c r="AH259" s="180">
        <f t="shared" si="260"/>
        <v>0.17396817121030403</v>
      </c>
      <c r="AI259" s="180">
        <v>515.80844041</v>
      </c>
    </row>
    <row r="260" spans="1:35" ht="15" customHeight="1">
      <c r="A260" s="625" t="s">
        <v>22</v>
      </c>
      <c r="B260" s="180">
        <v>21285.5233731218</v>
      </c>
      <c r="C260" s="180">
        <v>490.09126863</v>
      </c>
      <c r="D260" s="180">
        <f t="shared" si="244"/>
        <v>2.302462852517221</v>
      </c>
      <c r="E260" s="180">
        <v>3359.4950193099999</v>
      </c>
      <c r="F260" s="180">
        <f t="shared" si="245"/>
        <v>15.783004065346063</v>
      </c>
      <c r="G260" s="180">
        <v>697.04375790999995</v>
      </c>
      <c r="H260" s="180">
        <f t="shared" si="246"/>
        <v>3.2747315895938405</v>
      </c>
      <c r="I260" s="180">
        <v>539.13498789000005</v>
      </c>
      <c r="J260" s="180">
        <f t="shared" si="247"/>
        <v>2.5328716538433365</v>
      </c>
      <c r="K260" s="180">
        <v>1113.4026703699999</v>
      </c>
      <c r="L260" s="180">
        <f t="shared" si="248"/>
        <v>5.230797715671601</v>
      </c>
      <c r="M260" s="180">
        <v>1036.48163393</v>
      </c>
      <c r="N260" s="180">
        <f t="shared" si="249"/>
        <v>4.8694204777638337</v>
      </c>
      <c r="O260" s="180">
        <v>860.07449254999995</v>
      </c>
      <c r="P260" s="180">
        <f t="shared" si="250"/>
        <v>4.0406546622013311</v>
      </c>
      <c r="Q260" s="180">
        <v>12362.8372992118</v>
      </c>
      <c r="R260" s="180">
        <f t="shared" si="251"/>
        <v>58.080964618529975</v>
      </c>
      <c r="S260" s="901">
        <v>3238.574465915</v>
      </c>
      <c r="T260" s="901">
        <f t="shared" si="252"/>
        <v>15.214915833380427</v>
      </c>
      <c r="U260" s="180">
        <v>8.9164827500000001</v>
      </c>
      <c r="V260" s="180">
        <f t="shared" si="261"/>
        <v>4.1889891987618444E-2</v>
      </c>
      <c r="W260" s="180">
        <v>1.2434237299999999</v>
      </c>
      <c r="X260" s="180">
        <f t="shared" si="254"/>
        <v>5.8416403872414415E-3</v>
      </c>
      <c r="Y260" s="180">
        <f t="shared" si="255"/>
        <v>699.70547749999798</v>
      </c>
      <c r="Z260" s="180">
        <f t="shared" si="256"/>
        <v>3.2872364246563368</v>
      </c>
      <c r="AA260" s="180">
        <v>12.02080232</v>
      </c>
      <c r="AB260" s="180">
        <f t="shared" si="257"/>
        <v>5.6474074464991614E-2</v>
      </c>
      <c r="AC260" s="180">
        <v>8.3346918399999996</v>
      </c>
      <c r="AD260" s="180">
        <f t="shared" si="258"/>
        <v>3.9156621586879069E-2</v>
      </c>
      <c r="AE260" s="180">
        <v>60.183277689999997</v>
      </c>
      <c r="AF260" s="180">
        <f t="shared" si="259"/>
        <v>0.28274276669182663</v>
      </c>
      <c r="AG260" s="180">
        <v>36.558087489999998</v>
      </c>
      <c r="AH260" s="180">
        <f t="shared" si="260"/>
        <v>0.17175094475789851</v>
      </c>
      <c r="AI260" s="180">
        <v>596.28195231999996</v>
      </c>
    </row>
    <row r="261" spans="1:35" ht="15" customHeight="1">
      <c r="A261" s="625" t="s">
        <v>23</v>
      </c>
      <c r="B261" s="180">
        <v>21966.172727879999</v>
      </c>
      <c r="C261" s="180">
        <v>502.27205501999998</v>
      </c>
      <c r="D261" s="180">
        <f t="shared" si="244"/>
        <v>2.2865706340481613</v>
      </c>
      <c r="E261" s="180">
        <v>3446.7806158399999</v>
      </c>
      <c r="F261" s="180">
        <f t="shared" si="245"/>
        <v>15.691311629655278</v>
      </c>
      <c r="G261" s="180">
        <v>711.09146715999998</v>
      </c>
      <c r="H261" s="180">
        <f t="shared" si="246"/>
        <v>3.237211488633454</v>
      </c>
      <c r="I261" s="180">
        <v>538.60912441999994</v>
      </c>
      <c r="J261" s="180">
        <f t="shared" si="247"/>
        <v>2.4519934860403976</v>
      </c>
      <c r="K261" s="180">
        <v>1155.77542103</v>
      </c>
      <c r="L261" s="180">
        <f t="shared" si="248"/>
        <v>5.2616149173909648</v>
      </c>
      <c r="M261" s="180">
        <v>1083.2783184800001</v>
      </c>
      <c r="N261" s="180">
        <f t="shared" si="249"/>
        <v>4.9315751628642932</v>
      </c>
      <c r="O261" s="180">
        <v>1095.2785608700001</v>
      </c>
      <c r="P261" s="180">
        <f t="shared" si="250"/>
        <v>4.9862057193051479</v>
      </c>
      <c r="Q261" s="180">
        <v>12573.29733179</v>
      </c>
      <c r="R261" s="180">
        <f t="shared" si="251"/>
        <v>57.239362940234308</v>
      </c>
      <c r="S261" s="901">
        <v>3301.44</v>
      </c>
      <c r="T261" s="901">
        <f t="shared" si="252"/>
        <v>15.029655101499465</v>
      </c>
      <c r="U261" s="180">
        <v>8.6067415799999996</v>
      </c>
      <c r="V261" s="180">
        <f t="shared" si="261"/>
        <v>3.9181798698487487E-2</v>
      </c>
      <c r="W261" s="180">
        <v>1.2157589</v>
      </c>
      <c r="X261" s="180">
        <f t="shared" si="254"/>
        <v>5.5346869710121566E-3</v>
      </c>
      <c r="Y261" s="180">
        <f t="shared" si="255"/>
        <v>726.62644211000259</v>
      </c>
      <c r="Z261" s="180">
        <f t="shared" si="256"/>
        <v>3.3079337539204121</v>
      </c>
      <c r="AA261" s="180">
        <v>12.08295867</v>
      </c>
      <c r="AB261" s="180">
        <f t="shared" si="257"/>
        <v>5.5007118534873473E-2</v>
      </c>
      <c r="AC261" s="180">
        <v>7.8582671900000003</v>
      </c>
      <c r="AD261" s="180">
        <f t="shared" si="258"/>
        <v>3.5774403157752183E-2</v>
      </c>
      <c r="AE261" s="180">
        <v>65.750080830000002</v>
      </c>
      <c r="AF261" s="180">
        <f t="shared" si="259"/>
        <v>0.29932424571417671</v>
      </c>
      <c r="AG261" s="180">
        <v>37.649583989999996</v>
      </c>
      <c r="AH261" s="180">
        <f t="shared" si="260"/>
        <v>0.17139801483129663</v>
      </c>
      <c r="AI261" s="180">
        <v>691.60768736</v>
      </c>
    </row>
    <row r="262" spans="1:35" ht="15" customHeight="1">
      <c r="A262" s="625" t="s">
        <v>24</v>
      </c>
      <c r="B262" s="180">
        <v>22041.926831839999</v>
      </c>
      <c r="C262" s="180">
        <v>494.71576025000002</v>
      </c>
      <c r="D262" s="180">
        <f t="shared" si="244"/>
        <v>2.2444306435831796</v>
      </c>
      <c r="E262" s="180">
        <v>3409.3127905199999</v>
      </c>
      <c r="F262" s="180">
        <f t="shared" si="245"/>
        <v>15.467399091422354</v>
      </c>
      <c r="G262" s="180">
        <v>692.48459878999995</v>
      </c>
      <c r="H262" s="180">
        <f t="shared" si="246"/>
        <v>3.1416699822707526</v>
      </c>
      <c r="I262" s="180">
        <v>535.59662333000006</v>
      </c>
      <c r="J262" s="180">
        <f t="shared" si="247"/>
        <v>2.4298992888240614</v>
      </c>
      <c r="K262" s="180">
        <v>1127.5207581300001</v>
      </c>
      <c r="L262" s="180">
        <f t="shared" si="248"/>
        <v>5.1153457078955276</v>
      </c>
      <c r="M262" s="180">
        <v>1087.9977212599999</v>
      </c>
      <c r="N262" s="180">
        <f t="shared" si="249"/>
        <v>4.9360372600836584</v>
      </c>
      <c r="O262" s="180">
        <v>1081.3042682600001</v>
      </c>
      <c r="P262" s="180">
        <f t="shared" si="250"/>
        <v>4.9056703459247251</v>
      </c>
      <c r="Q262" s="180">
        <v>12734.07875904</v>
      </c>
      <c r="R262" s="180">
        <f t="shared" si="251"/>
        <v>57.772076171877004</v>
      </c>
      <c r="S262" s="901">
        <v>3382.5825643650001</v>
      </c>
      <c r="T262" s="901">
        <f t="shared" si="252"/>
        <v>15.346129175416701</v>
      </c>
      <c r="U262" s="180">
        <v>8.4210755299999995</v>
      </c>
      <c r="V262" s="180">
        <f t="shared" si="261"/>
        <v>3.8204806658896945E-2</v>
      </c>
      <c r="W262" s="180">
        <v>1.1841531000000001</v>
      </c>
      <c r="X262" s="180">
        <f t="shared" si="254"/>
        <v>5.3722757952787848E-3</v>
      </c>
      <c r="Y262" s="180">
        <f t="shared" si="255"/>
        <v>735.31217184999673</v>
      </c>
      <c r="Z262" s="180">
        <f t="shared" si="256"/>
        <v>3.335970477806975</v>
      </c>
      <c r="AA262" s="180">
        <v>16.55457453</v>
      </c>
      <c r="AB262" s="180">
        <f t="shared" si="257"/>
        <v>7.5104933685228414E-2</v>
      </c>
      <c r="AC262" s="180">
        <v>6.5376349600000001</v>
      </c>
      <c r="AD262" s="180">
        <f t="shared" si="258"/>
        <v>2.9659997557728291E-2</v>
      </c>
      <c r="AE262" s="180">
        <v>71.215766669999994</v>
      </c>
      <c r="AF262" s="180">
        <f t="shared" si="259"/>
        <v>0.32309229230870784</v>
      </c>
      <c r="AG262" s="180">
        <v>39.690175619999998</v>
      </c>
      <c r="AH262" s="180">
        <f t="shared" si="260"/>
        <v>0.1800667243059112</v>
      </c>
      <c r="AI262" s="180">
        <v>667.30512982000005</v>
      </c>
    </row>
    <row r="263" spans="1:35" ht="15" customHeight="1">
      <c r="A263" s="625" t="s">
        <v>25</v>
      </c>
      <c r="B263" s="180">
        <v>22484.122831910001</v>
      </c>
      <c r="C263" s="180">
        <v>534.25918471</v>
      </c>
      <c r="D263" s="180">
        <f t="shared" si="244"/>
        <v>2.3761620086497954</v>
      </c>
      <c r="E263" s="180">
        <v>3453.5601029999998</v>
      </c>
      <c r="F263" s="180">
        <f t="shared" si="245"/>
        <v>15.359994823096345</v>
      </c>
      <c r="G263" s="180">
        <v>702.39144658999999</v>
      </c>
      <c r="H263" s="180">
        <f t="shared" si="246"/>
        <v>3.1239441798154091</v>
      </c>
      <c r="I263" s="180">
        <v>540.77069320999999</v>
      </c>
      <c r="J263" s="180">
        <f t="shared" si="247"/>
        <v>2.4051224824413668</v>
      </c>
      <c r="K263" s="180">
        <v>1098.7594971000001</v>
      </c>
      <c r="L263" s="180">
        <f t="shared" si="248"/>
        <v>4.8868239393382717</v>
      </c>
      <c r="M263" s="180">
        <v>1102.0354385400001</v>
      </c>
      <c r="N263" s="180">
        <f t="shared" si="249"/>
        <v>4.9013939604348948</v>
      </c>
      <c r="O263" s="180">
        <v>1103.7964372399999</v>
      </c>
      <c r="P263" s="180">
        <f t="shared" si="250"/>
        <v>4.9092261481220243</v>
      </c>
      <c r="Q263" s="180">
        <v>13063.911757329999</v>
      </c>
      <c r="R263" s="180">
        <f t="shared" si="251"/>
        <v>58.102830406127225</v>
      </c>
      <c r="S263" s="901">
        <v>3468.159374715</v>
      </c>
      <c r="T263" s="901">
        <f t="shared" si="252"/>
        <v>15.424926294179937</v>
      </c>
      <c r="U263" s="180">
        <v>8.1414122199999994</v>
      </c>
      <c r="V263" s="180">
        <f t="shared" si="261"/>
        <v>3.6209605688710768E-2</v>
      </c>
      <c r="W263" s="180">
        <v>1.1841531000000001</v>
      </c>
      <c r="X263" s="180">
        <f t="shared" si="254"/>
        <v>5.2666190664971005E-3</v>
      </c>
      <c r="Y263" s="180">
        <f t="shared" si="255"/>
        <v>738.13590403999888</v>
      </c>
      <c r="Z263" s="180">
        <f t="shared" si="256"/>
        <v>3.2829206171762189</v>
      </c>
      <c r="AA263" s="180">
        <v>14.859283550000001</v>
      </c>
      <c r="AB263" s="180">
        <f t="shared" si="257"/>
        <v>6.6087895272086639E-2</v>
      </c>
      <c r="AC263" s="180">
        <v>6.6377927999999997</v>
      </c>
      <c r="AD263" s="180">
        <f t="shared" si="258"/>
        <v>2.9522133683505262E-2</v>
      </c>
      <c r="AE263" s="180">
        <v>76.776077049999998</v>
      </c>
      <c r="AF263" s="180">
        <f t="shared" si="259"/>
        <v>0.34146796663571666</v>
      </c>
      <c r="AG263" s="180">
        <v>38.903651429999996</v>
      </c>
      <c r="AH263" s="180">
        <f t="shared" si="260"/>
        <v>0.17302721445191097</v>
      </c>
      <c r="AI263" s="180">
        <v>857.50713882000002</v>
      </c>
    </row>
    <row r="264" spans="1:35" ht="15" customHeight="1">
      <c r="A264" s="625" t="s">
        <v>26</v>
      </c>
      <c r="B264" s="180">
        <v>23018.645831869999</v>
      </c>
      <c r="C264" s="180">
        <v>519.77127536</v>
      </c>
      <c r="D264" s="180">
        <f t="shared" si="244"/>
        <v>2.2580445398762827</v>
      </c>
      <c r="E264" s="180">
        <v>3542.65533766</v>
      </c>
      <c r="F264" s="180">
        <f t="shared" si="245"/>
        <v>15.390372498607579</v>
      </c>
      <c r="G264" s="180">
        <v>736.63132667000002</v>
      </c>
      <c r="H264" s="180">
        <f t="shared" si="246"/>
        <v>3.2001505738018352</v>
      </c>
      <c r="I264" s="180">
        <v>564.96556812999995</v>
      </c>
      <c r="J264" s="180">
        <f t="shared" si="247"/>
        <v>2.4543822962330317</v>
      </c>
      <c r="K264" s="180">
        <v>1118.94470019</v>
      </c>
      <c r="L264" s="180">
        <f t="shared" si="248"/>
        <v>4.861036171992307</v>
      </c>
      <c r="M264" s="180">
        <v>1111.5770926499999</v>
      </c>
      <c r="N264" s="180">
        <f t="shared" si="249"/>
        <v>4.829029043537342</v>
      </c>
      <c r="O264" s="180">
        <v>1110.42330072</v>
      </c>
      <c r="P264" s="180">
        <f t="shared" si="250"/>
        <v>4.8240166203981731</v>
      </c>
      <c r="Q264" s="180">
        <v>13395.745196129999</v>
      </c>
      <c r="R264" s="180">
        <f t="shared" si="251"/>
        <v>58.195192254025621</v>
      </c>
      <c r="S264" s="901">
        <v>3530.3781172650001</v>
      </c>
      <c r="T264" s="901">
        <f t="shared" si="252"/>
        <v>15.337036518356292</v>
      </c>
      <c r="U264" s="180">
        <v>44.925825340000003</v>
      </c>
      <c r="V264" s="180">
        <f t="shared" si="261"/>
        <v>0.19517145217030477</v>
      </c>
      <c r="W264" s="180">
        <v>1.1291530999999999</v>
      </c>
      <c r="X264" s="180">
        <f t="shared" si="254"/>
        <v>4.9053845662660744E-3</v>
      </c>
      <c r="Y264" s="180">
        <f t="shared" si="255"/>
        <v>752.77810229999875</v>
      </c>
      <c r="Z264" s="180">
        <f t="shared" si="256"/>
        <v>3.270297079152046</v>
      </c>
      <c r="AA264" s="180">
        <v>15.7435723</v>
      </c>
      <c r="AB264" s="180">
        <f t="shared" si="257"/>
        <v>6.8394867426139191E-2</v>
      </c>
      <c r="AC264" s="180">
        <v>6.3298390400000004</v>
      </c>
      <c r="AD264" s="180">
        <f t="shared" si="258"/>
        <v>2.7498746391224068E-2</v>
      </c>
      <c r="AE264" s="180">
        <v>55.875050260000002</v>
      </c>
      <c r="AF264" s="180">
        <f t="shared" si="259"/>
        <v>0.24273821608845181</v>
      </c>
      <c r="AG264" s="180">
        <v>41.150492020000002</v>
      </c>
      <c r="AH264" s="180">
        <f t="shared" si="260"/>
        <v>0.17877025573340169</v>
      </c>
      <c r="AI264" s="180">
        <v>782.22745200999998</v>
      </c>
    </row>
    <row r="265" spans="1:35" ht="15" customHeight="1">
      <c r="A265" s="625" t="s">
        <v>27</v>
      </c>
      <c r="B265" s="180">
        <v>23196.472673640001</v>
      </c>
      <c r="C265" s="180">
        <v>440.37917463999997</v>
      </c>
      <c r="D265" s="180">
        <f t="shared" si="244"/>
        <v>1.8984747415517096</v>
      </c>
      <c r="E265" s="180">
        <v>3489.5043867499999</v>
      </c>
      <c r="F265" s="180">
        <f t="shared" si="245"/>
        <v>15.043254359596672</v>
      </c>
      <c r="G265" s="180">
        <v>746.99813673000006</v>
      </c>
      <c r="H265" s="180">
        <f t="shared" si="246"/>
        <v>3.2203091704493225</v>
      </c>
      <c r="I265" s="180">
        <v>534.44156347000001</v>
      </c>
      <c r="J265" s="180">
        <f t="shared" si="247"/>
        <v>2.3039777253604963</v>
      </c>
      <c r="K265" s="180">
        <v>1104.7356531200001</v>
      </c>
      <c r="L265" s="180">
        <f t="shared" si="248"/>
        <v>4.7625157008263548</v>
      </c>
      <c r="M265" s="180">
        <v>1152.81556647</v>
      </c>
      <c r="N265" s="180">
        <f t="shared" si="249"/>
        <v>4.9697882203445367</v>
      </c>
      <c r="O265" s="180">
        <v>1326.77524438</v>
      </c>
      <c r="P265" s="180">
        <f t="shared" si="250"/>
        <v>5.7197284390903125</v>
      </c>
      <c r="Q265" s="180">
        <v>13468.95521858</v>
      </c>
      <c r="R265" s="180">
        <f t="shared" si="251"/>
        <v>58.064669607659127</v>
      </c>
      <c r="S265" s="901">
        <v>3464.2829063680001</v>
      </c>
      <c r="T265" s="901">
        <f t="shared" si="252"/>
        <v>14.934524550815611</v>
      </c>
      <c r="U265" s="180">
        <v>51.138200580000003</v>
      </c>
      <c r="V265" s="180">
        <f t="shared" si="261"/>
        <v>0.22045679659783968</v>
      </c>
      <c r="W265" s="180">
        <v>1.0791531000000001</v>
      </c>
      <c r="X265" s="180">
        <f t="shared" si="254"/>
        <v>4.6522293073736499E-3</v>
      </c>
      <c r="Y265" s="180">
        <f t="shared" si="255"/>
        <v>760.8610367600038</v>
      </c>
      <c r="Z265" s="180">
        <f t="shared" si="256"/>
        <v>3.2800721362460887</v>
      </c>
      <c r="AA265" s="180">
        <v>22.106891319999999</v>
      </c>
      <c r="AB265" s="180">
        <f t="shared" si="257"/>
        <v>9.530281448835029E-2</v>
      </c>
      <c r="AC265" s="180">
        <v>5.9397454300000003</v>
      </c>
      <c r="AD265" s="180">
        <f t="shared" si="258"/>
        <v>2.5606244162931748E-2</v>
      </c>
      <c r="AE265" s="180">
        <v>51.346856639999999</v>
      </c>
      <c r="AF265" s="180">
        <f t="shared" si="259"/>
        <v>0.22135631292920463</v>
      </c>
      <c r="AG265" s="180">
        <v>39.39584567</v>
      </c>
      <c r="AH265" s="180">
        <f t="shared" si="260"/>
        <v>0.16983550138969464</v>
      </c>
      <c r="AI265" s="180">
        <v>706.56016652000005</v>
      </c>
    </row>
    <row r="266" spans="1:35" ht="15" customHeight="1">
      <c r="A266" s="625" t="s">
        <v>28</v>
      </c>
      <c r="B266" s="180">
        <v>23617.991556720001</v>
      </c>
      <c r="C266" s="180">
        <v>440.25735591</v>
      </c>
      <c r="D266" s="180">
        <f t="shared" si="244"/>
        <v>1.8640761846861365</v>
      </c>
      <c r="E266" s="180">
        <v>3561.404321</v>
      </c>
      <c r="F266" s="180">
        <f t="shared" si="245"/>
        <v>15.079200585058544</v>
      </c>
      <c r="G266" s="180">
        <v>743.21289000000002</v>
      </c>
      <c r="H266" s="180">
        <f t="shared" si="246"/>
        <v>3.1468081789051805</v>
      </c>
      <c r="I266" s="180">
        <v>538.36051062000001</v>
      </c>
      <c r="J266" s="180">
        <f t="shared" si="247"/>
        <v>2.2794508556203668</v>
      </c>
      <c r="K266" s="180">
        <v>1135.9871204000001</v>
      </c>
      <c r="L266" s="180">
        <f t="shared" si="248"/>
        <v>4.8098379477859492</v>
      </c>
      <c r="M266" s="180">
        <v>1165.06691675</v>
      </c>
      <c r="N266" s="180">
        <f t="shared" si="249"/>
        <v>4.9329635585313127</v>
      </c>
      <c r="O266" s="180">
        <v>1319.56911769</v>
      </c>
      <c r="P266" s="180">
        <f t="shared" si="250"/>
        <v>5.5871351910723526</v>
      </c>
      <c r="Q266" s="180">
        <v>13788.60789241</v>
      </c>
      <c r="R266" s="180">
        <f t="shared" si="251"/>
        <v>58.381797026626273</v>
      </c>
      <c r="S266" s="901">
        <v>3600.645515748</v>
      </c>
      <c r="T266" s="901">
        <f t="shared" si="252"/>
        <v>15.245350169174365</v>
      </c>
      <c r="U266" s="180">
        <v>28.248409150000001</v>
      </c>
      <c r="V266" s="180">
        <f t="shared" si="261"/>
        <v>0.11960546722256116</v>
      </c>
      <c r="W266" s="180">
        <v>1.03914869</v>
      </c>
      <c r="X266" s="180">
        <f t="shared" si="254"/>
        <v>4.3998181958208558E-3</v>
      </c>
      <c r="Y266" s="180">
        <f t="shared" si="255"/>
        <v>776.05096068999831</v>
      </c>
      <c r="Z266" s="180">
        <f t="shared" si="256"/>
        <v>3.2858465497638365</v>
      </c>
      <c r="AA266" s="180">
        <v>22.93932465</v>
      </c>
      <c r="AB266" s="180">
        <f t="shared" si="257"/>
        <v>9.7126483405288108E-2</v>
      </c>
      <c r="AC266" s="180">
        <v>5.70619839</v>
      </c>
      <c r="AD266" s="180">
        <f t="shared" si="258"/>
        <v>2.4160387966505228E-2</v>
      </c>
      <c r="AE266" s="180">
        <v>50.894294860000002</v>
      </c>
      <c r="AF266" s="180">
        <f t="shared" si="259"/>
        <v>0.21548951246669026</v>
      </c>
      <c r="AG266" s="180">
        <v>40.64709551</v>
      </c>
      <c r="AH266" s="180">
        <f t="shared" si="260"/>
        <v>0.17210225269317928</v>
      </c>
      <c r="AI266" s="180">
        <v>610.59667779999995</v>
      </c>
    </row>
    <row r="267" spans="1:35" ht="15" customHeight="1">
      <c r="A267" s="625" t="s">
        <v>29</v>
      </c>
      <c r="B267" s="180">
        <v>23979.124360810001</v>
      </c>
      <c r="C267" s="180">
        <v>437.84492763999998</v>
      </c>
      <c r="D267" s="180">
        <f t="shared" si="244"/>
        <v>1.8259421030218543</v>
      </c>
      <c r="E267" s="180">
        <v>3539.3461912500002</v>
      </c>
      <c r="F267" s="180">
        <f t="shared" si="245"/>
        <v>14.760114414496673</v>
      </c>
      <c r="G267" s="180">
        <v>752.83353826999996</v>
      </c>
      <c r="H267" s="180">
        <f t="shared" si="246"/>
        <v>3.1395372363987759</v>
      </c>
      <c r="I267" s="180">
        <v>532.83365170000002</v>
      </c>
      <c r="J267" s="180">
        <f t="shared" si="247"/>
        <v>2.2220730151882879</v>
      </c>
      <c r="K267" s="180">
        <v>1133.75252679</v>
      </c>
      <c r="L267" s="180">
        <f t="shared" si="248"/>
        <v>4.7280814333776719</v>
      </c>
      <c r="M267" s="180">
        <v>1210.8904500799999</v>
      </c>
      <c r="N267" s="180">
        <f t="shared" si="249"/>
        <v>5.0497692570417811</v>
      </c>
      <c r="O267" s="180">
        <v>1426.2884051000001</v>
      </c>
      <c r="P267" s="180">
        <f t="shared" si="250"/>
        <v>5.9480420704228782</v>
      </c>
      <c r="Q267" s="180">
        <v>14006.31972293</v>
      </c>
      <c r="R267" s="180">
        <f t="shared" si="251"/>
        <v>58.410472009649631</v>
      </c>
      <c r="S267" s="901">
        <v>3630.8192389979999</v>
      </c>
      <c r="T267" s="901">
        <f t="shared" si="252"/>
        <v>15.141583922605559</v>
      </c>
      <c r="U267" s="180">
        <v>10.48486535</v>
      </c>
      <c r="V267" s="180">
        <f t="shared" si="261"/>
        <v>4.3724971738900588E-2</v>
      </c>
      <c r="W267" s="180">
        <v>0.99874423000000001</v>
      </c>
      <c r="X267" s="180">
        <f t="shared" si="254"/>
        <v>4.165057134581136E-3</v>
      </c>
      <c r="Y267" s="180">
        <f t="shared" si="255"/>
        <v>800.80814998000665</v>
      </c>
      <c r="Z267" s="180">
        <f t="shared" si="256"/>
        <v>3.3396054748721267</v>
      </c>
      <c r="AA267" s="180">
        <v>22.32135551</v>
      </c>
      <c r="AB267" s="180">
        <f t="shared" si="257"/>
        <v>9.3086616400724978E-2</v>
      </c>
      <c r="AC267" s="180">
        <v>5.89101915</v>
      </c>
      <c r="AD267" s="180">
        <f t="shared" si="258"/>
        <v>2.4567282196625649E-2</v>
      </c>
      <c r="AE267" s="180">
        <v>51.208538439999998</v>
      </c>
      <c r="AF267" s="180">
        <f t="shared" si="259"/>
        <v>0.21355466392130679</v>
      </c>
      <c r="AG267" s="180">
        <v>47.302274390000001</v>
      </c>
      <c r="AH267" s="180">
        <f t="shared" si="260"/>
        <v>0.19726439413821095</v>
      </c>
      <c r="AI267" s="180">
        <v>568.78507174000003</v>
      </c>
    </row>
    <row r="268" spans="1:35" ht="15" customHeight="1">
      <c r="A268" s="625" t="s">
        <v>3971</v>
      </c>
      <c r="B268" s="268">
        <v>29288.227327680001</v>
      </c>
      <c r="C268" s="268">
        <v>449.13973557000003</v>
      </c>
      <c r="D268" s="268">
        <v>1.5335162847002446</v>
      </c>
      <c r="E268" s="268">
        <v>4152.0145247</v>
      </c>
      <c r="F268" s="268">
        <v>14.17639407891366</v>
      </c>
      <c r="G268" s="268">
        <v>774.73987064999994</v>
      </c>
      <c r="H268" s="268">
        <v>2.6452262268457654</v>
      </c>
      <c r="I268" s="268">
        <v>586.86496827999997</v>
      </c>
      <c r="J268" s="268">
        <v>2.0037572151912384</v>
      </c>
      <c r="K268" s="268">
        <v>1858.36362631</v>
      </c>
      <c r="L268" s="268">
        <v>6.3450874152212</v>
      </c>
      <c r="M268" s="268">
        <v>1597.79041755</v>
      </c>
      <c r="N268" s="268">
        <v>5.4554015839666228</v>
      </c>
      <c r="O268" s="268">
        <v>1859.8984532100001</v>
      </c>
      <c r="P268" s="268">
        <v>6.3503278378757644</v>
      </c>
      <c r="Q268" s="268">
        <v>17030.998947709999</v>
      </c>
      <c r="R268" s="268">
        <v>58.149640663346588</v>
      </c>
      <c r="S268" s="1883">
        <v>4273.0262150050003</v>
      </c>
      <c r="T268" s="1883">
        <v>14.589569273680853</v>
      </c>
      <c r="U268" s="268">
        <v>24.230268639999998</v>
      </c>
      <c r="V268" s="268">
        <v>8.2730403478875697E-2</v>
      </c>
      <c r="W268" s="268">
        <v>9.5420000000000005E-5</v>
      </c>
      <c r="X268" s="268">
        <v>3.257964332645682E-7</v>
      </c>
      <c r="Y268" s="268">
        <v>790.60813768000185</v>
      </c>
      <c r="Z268" s="268">
        <v>2.6994059040671479</v>
      </c>
      <c r="AA268" s="268">
        <v>47.016718359999999</v>
      </c>
      <c r="AB268" s="268">
        <v>0.16053111659497735</v>
      </c>
      <c r="AC268" s="268">
        <v>1.62095872</v>
      </c>
      <c r="AD268" s="268">
        <v>5.5345060725749302E-3</v>
      </c>
      <c r="AE268" s="268">
        <v>43.724398039999997</v>
      </c>
      <c r="AF268" s="268">
        <v>0.14929001182217855</v>
      </c>
      <c r="AG268" s="268">
        <v>71.216206839999998</v>
      </c>
      <c r="AH268" s="268">
        <v>0.24315642610672547</v>
      </c>
      <c r="AI268" s="268">
        <v>733.33534685999996</v>
      </c>
    </row>
    <row r="269" spans="1:35" ht="15" customHeight="1">
      <c r="A269" s="625" t="s">
        <v>18</v>
      </c>
      <c r="B269" s="180">
        <v>24362.526631280001</v>
      </c>
      <c r="C269" s="180">
        <v>454.06281114000001</v>
      </c>
      <c r="D269" s="180">
        <f t="shared" ref="D269" si="262">C269/B269*100</f>
        <v>1.8637755353215748</v>
      </c>
      <c r="E269" s="180">
        <v>3506.6775179299998</v>
      </c>
      <c r="F269" s="180">
        <f t="shared" ref="F269" si="263">E269/B269*100</f>
        <v>14.393734980786595</v>
      </c>
      <c r="G269" s="180">
        <v>899.59244351999996</v>
      </c>
      <c r="H269" s="180">
        <f t="shared" ref="H269" si="264">G269/$B269*100</f>
        <v>3.6925252340821579</v>
      </c>
      <c r="I269" s="180">
        <v>520.69988297999998</v>
      </c>
      <c r="J269" s="180">
        <f t="shared" ref="J269" si="265">I269/$B269*100</f>
        <v>2.1372983634277616</v>
      </c>
      <c r="K269" s="180">
        <v>1144.34204138</v>
      </c>
      <c r="L269" s="180">
        <f t="shared" ref="L269" si="266">K269/$B269*100</f>
        <v>4.6971402379535396</v>
      </c>
      <c r="M269" s="180">
        <v>1408.99078779</v>
      </c>
      <c r="N269" s="180">
        <f t="shared" si="249"/>
        <v>5.7834345719336913</v>
      </c>
      <c r="O269" s="180">
        <v>1395.9716287700001</v>
      </c>
      <c r="P269" s="180">
        <f t="shared" ref="P269" si="267">O269/$B269*100</f>
        <v>5.7299952911191792</v>
      </c>
      <c r="Q269" s="180">
        <v>14095.86817066</v>
      </c>
      <c r="R269" s="180">
        <f t="shared" ref="R269" si="268">Q269/$B269*100</f>
        <v>57.858810721880396</v>
      </c>
      <c r="S269" s="901">
        <v>3645.7286582679999</v>
      </c>
      <c r="T269" s="901">
        <f t="shared" ref="T269" si="269">S269/$B269*100</f>
        <v>14.964493270525997</v>
      </c>
      <c r="U269" s="180">
        <v>9.7549017199999994</v>
      </c>
      <c r="V269" s="180">
        <f t="shared" ref="V269" si="270">U269/$B269*100</f>
        <v>4.0040599514318431E-2</v>
      </c>
      <c r="W269" s="180">
        <v>0.95793572999999999</v>
      </c>
      <c r="X269" s="180">
        <f t="shared" ref="X269" si="271">W269/$B269*100</f>
        <v>3.9320048552356178E-3</v>
      </c>
      <c r="Y269" s="180">
        <f t="shared" ref="Y269" si="272">((B269-C269-E269-G269-I269-K269-M269-W269-O269-Q269-U269-AA269-AC269-AE269-AG269))</f>
        <v>810.10353701000338</v>
      </c>
      <c r="Z269" s="180">
        <f t="shared" ref="Z269" si="273">Y269/$B269*100</f>
        <v>3.3252032897518919</v>
      </c>
      <c r="AA269" s="180">
        <v>29.311227720000002</v>
      </c>
      <c r="AB269" s="180">
        <f t="shared" ref="AB269" si="274">AA269/$B269*100</f>
        <v>0.12031275804688571</v>
      </c>
      <c r="AC269" s="180">
        <v>3.24873491</v>
      </c>
      <c r="AD269" s="180">
        <f t="shared" ref="AD269" si="275">AC269/$B269*100</f>
        <v>1.3334967095854591E-2</v>
      </c>
      <c r="AE269" s="180">
        <v>46.615348939999997</v>
      </c>
      <c r="AF269" s="180">
        <f t="shared" ref="AF269" si="276">AE269/$B269*100</f>
        <v>0.19134037140527421</v>
      </c>
      <c r="AG269" s="180">
        <v>36.329661080000001</v>
      </c>
      <c r="AH269" s="180">
        <f t="shared" ref="AH269" si="277">AG269/$B269*100</f>
        <v>0.14912107282565237</v>
      </c>
      <c r="AI269" s="180">
        <v>962.53158026999995</v>
      </c>
    </row>
    <row r="270" spans="1:35" ht="15" customHeight="1">
      <c r="A270" s="625" t="s">
        <v>19</v>
      </c>
      <c r="B270" s="180">
        <v>24629.126192600001</v>
      </c>
      <c r="C270" s="180">
        <v>469.15723987000001</v>
      </c>
      <c r="D270" s="180">
        <f t="shared" ref="D270:D287" si="278">C270/B270*100</f>
        <v>1.9048878803136819</v>
      </c>
      <c r="E270" s="180">
        <v>3557.5033125999998</v>
      </c>
      <c r="F270" s="180">
        <f t="shared" ref="F270:F287" si="279">E270/B270*100</f>
        <v>14.444293657762319</v>
      </c>
      <c r="G270" s="180">
        <v>869.8115861</v>
      </c>
      <c r="H270" s="180">
        <f t="shared" ref="H270:H287" si="280">G270/$B270*100</f>
        <v>3.5316380260430886</v>
      </c>
      <c r="I270" s="180">
        <v>513.16401392</v>
      </c>
      <c r="J270" s="180">
        <f t="shared" ref="J270:J287" si="281">I270/$B270*100</f>
        <v>2.083565652744042</v>
      </c>
      <c r="K270" s="180">
        <v>1118.32235808</v>
      </c>
      <c r="L270" s="180">
        <f t="shared" ref="L270:L287" si="282">K270/$B270*100</f>
        <v>4.540649754825683</v>
      </c>
      <c r="M270" s="180">
        <v>1413.49711473</v>
      </c>
      <c r="N270" s="180">
        <f t="shared" si="249"/>
        <v>5.7391281512646417</v>
      </c>
      <c r="O270" s="180">
        <v>1468.0809415199999</v>
      </c>
      <c r="P270" s="180">
        <f t="shared" ref="P270:P287" si="283">O270/$B270*100</f>
        <v>5.9607512261685338</v>
      </c>
      <c r="Q270" s="180">
        <v>14270.63292935</v>
      </c>
      <c r="R270" s="180">
        <f t="shared" ref="R270:R287" si="284">Q270/$B270*100</f>
        <v>57.942100006932904</v>
      </c>
      <c r="S270" s="901">
        <v>3692.3288991579998</v>
      </c>
      <c r="T270" s="901">
        <f t="shared" ref="T270:T287" si="285">S270/$B270*100</f>
        <v>14.991717003209748</v>
      </c>
      <c r="U270" s="180">
        <v>9.5166273799999992</v>
      </c>
      <c r="V270" s="180">
        <f t="shared" ref="V270:V287" si="286">U270/$B270*100</f>
        <v>3.8639728042236997E-2</v>
      </c>
      <c r="W270" s="180">
        <v>0.91671913999999999</v>
      </c>
      <c r="X270" s="180">
        <f t="shared" ref="X270:X287" si="287">W270/$B270*100</f>
        <v>3.7220936416145971E-3</v>
      </c>
      <c r="Y270" s="180">
        <f t="shared" ref="Y270:Y287" si="288">((B270-C270-E270-G270-I270-K270-M270-W270-O270-Q270-U270-AA270-AC270-AE270-AG270))</f>
        <v>822.35168640000188</v>
      </c>
      <c r="Z270" s="180">
        <f t="shared" ref="Z270:Z287" si="289">Y270/$B270*100</f>
        <v>3.3389397576235704</v>
      </c>
      <c r="AA270" s="180">
        <v>25.282118260000001</v>
      </c>
      <c r="AB270" s="180">
        <f t="shared" ref="AB270:AB287" si="290">AA270/$B270*100</f>
        <v>0.10265130018131215</v>
      </c>
      <c r="AC270" s="180">
        <v>3.0570781299999998</v>
      </c>
      <c r="AD270" s="180">
        <f t="shared" ref="AD270:AD287" si="291">AC270/$B270*100</f>
        <v>1.2412450633017266E-2</v>
      </c>
      <c r="AE270" s="180">
        <v>47.70485532</v>
      </c>
      <c r="AF270" s="180">
        <f t="shared" ref="AF270:AF287" si="292">AE270/$B270*100</f>
        <v>0.19369284540160936</v>
      </c>
      <c r="AG270" s="180">
        <v>40.127611799999997</v>
      </c>
      <c r="AH270" s="180">
        <f t="shared" ref="AH270:AH287" si="293">AG270/$B270*100</f>
        <v>0.1629274684217446</v>
      </c>
      <c r="AI270" s="180">
        <v>704.37689886999999</v>
      </c>
    </row>
    <row r="271" spans="1:35" ht="15" customHeight="1">
      <c r="A271" s="625" t="s">
        <v>20</v>
      </c>
      <c r="B271" s="180">
        <v>25442.69492468</v>
      </c>
      <c r="C271" s="180">
        <v>470.75581861000001</v>
      </c>
      <c r="D271" s="180">
        <f t="shared" si="278"/>
        <v>1.8502592591060629</v>
      </c>
      <c r="E271" s="180">
        <v>3724.1145652099999</v>
      </c>
      <c r="F271" s="180">
        <f t="shared" si="279"/>
        <v>14.637264551710375</v>
      </c>
      <c r="G271" s="180">
        <v>788.09054345000004</v>
      </c>
      <c r="H271" s="180">
        <f t="shared" si="280"/>
        <v>3.0975120590921916</v>
      </c>
      <c r="I271" s="180">
        <v>495.94789975999998</v>
      </c>
      <c r="J271" s="180">
        <f t="shared" si="281"/>
        <v>1.9492742464121562</v>
      </c>
      <c r="K271" s="180">
        <v>1644.1448663900001</v>
      </c>
      <c r="L271" s="180">
        <f t="shared" si="282"/>
        <v>6.4621490422193508</v>
      </c>
      <c r="M271" s="180">
        <v>1427.33315223</v>
      </c>
      <c r="N271" s="180">
        <f t="shared" si="249"/>
        <v>5.6099920093191615</v>
      </c>
      <c r="O271" s="180">
        <v>1472.14681971</v>
      </c>
      <c r="P271" s="180">
        <f t="shared" si="283"/>
        <v>5.7861277041135439</v>
      </c>
      <c r="Q271" s="180">
        <v>14469.814294899999</v>
      </c>
      <c r="R271" s="180">
        <f t="shared" si="284"/>
        <v>56.872176228721536</v>
      </c>
      <c r="S271" s="901">
        <v>3761.3120723679999</v>
      </c>
      <c r="T271" s="901">
        <f t="shared" si="285"/>
        <v>14.78346568043561</v>
      </c>
      <c r="U271" s="180">
        <v>9.1823221400000001</v>
      </c>
      <c r="V271" s="180">
        <f t="shared" si="286"/>
        <v>3.6090210440297879E-2</v>
      </c>
      <c r="W271" s="180">
        <v>0.87509039</v>
      </c>
      <c r="X271" s="180">
        <f t="shared" si="287"/>
        <v>3.4394563649432523E-3</v>
      </c>
      <c r="Y271" s="180">
        <f t="shared" si="288"/>
        <v>828.48247914000137</v>
      </c>
      <c r="Z271" s="180">
        <f t="shared" si="289"/>
        <v>3.2562685737207588</v>
      </c>
      <c r="AA271" s="180">
        <v>31.275232760000002</v>
      </c>
      <c r="AB271" s="180">
        <f t="shared" si="290"/>
        <v>0.12292421401343891</v>
      </c>
      <c r="AC271" s="180">
        <v>0.85787996</v>
      </c>
      <c r="AD271" s="180">
        <f t="shared" si="291"/>
        <v>3.3718124693144697E-3</v>
      </c>
      <c r="AE271" s="180">
        <v>41.343997309999999</v>
      </c>
      <c r="AF271" s="180">
        <f t="shared" si="292"/>
        <v>0.16249849881230691</v>
      </c>
      <c r="AG271" s="180">
        <v>38.329962719999997</v>
      </c>
      <c r="AH271" s="180">
        <f t="shared" si="293"/>
        <v>0.15065213348456674</v>
      </c>
      <c r="AI271" s="180">
        <v>620.27643058000001</v>
      </c>
    </row>
    <row r="272" spans="1:35" ht="15" customHeight="1">
      <c r="A272" s="625" t="s">
        <v>21</v>
      </c>
      <c r="B272" s="180">
        <v>25984.53292089</v>
      </c>
      <c r="C272" s="180">
        <v>462.24683622999999</v>
      </c>
      <c r="D272" s="180">
        <f t="shared" si="278"/>
        <v>1.7789307109629873</v>
      </c>
      <c r="E272" s="180">
        <v>3768.9285747200001</v>
      </c>
      <c r="F272" s="180">
        <f t="shared" si="279"/>
        <v>14.504507686147432</v>
      </c>
      <c r="G272" s="180">
        <v>830.15048941999999</v>
      </c>
      <c r="H272" s="180">
        <f t="shared" si="280"/>
        <v>3.1947870371478144</v>
      </c>
      <c r="I272" s="180">
        <v>471.27780969000003</v>
      </c>
      <c r="J272" s="180">
        <f t="shared" si="281"/>
        <v>1.8136858997035159</v>
      </c>
      <c r="K272" s="180">
        <v>1674.6352305200001</v>
      </c>
      <c r="L272" s="180">
        <f t="shared" si="282"/>
        <v>6.4447386282387011</v>
      </c>
      <c r="M272" s="180">
        <v>1424.90801431</v>
      </c>
      <c r="N272" s="180">
        <f t="shared" si="249"/>
        <v>5.4836776117859705</v>
      </c>
      <c r="O272" s="180">
        <v>1547.4584894100001</v>
      </c>
      <c r="P272" s="180">
        <f t="shared" si="283"/>
        <v>5.9553061589417169</v>
      </c>
      <c r="Q272" s="180">
        <v>14819.36069949</v>
      </c>
      <c r="R272" s="180">
        <f t="shared" si="284"/>
        <v>57.03146846859859</v>
      </c>
      <c r="S272" s="901">
        <v>3844.6172382499999</v>
      </c>
      <c r="T272" s="901">
        <f t="shared" si="285"/>
        <v>14.795791211467801</v>
      </c>
      <c r="U272" s="180">
        <v>9.5962926199999998</v>
      </c>
      <c r="V272" s="180">
        <f t="shared" si="286"/>
        <v>3.6930787438881223E-2</v>
      </c>
      <c r="W272" s="180">
        <v>9.5420000000000005E-5</v>
      </c>
      <c r="X272" s="180">
        <f t="shared" si="287"/>
        <v>3.6721845372593966E-7</v>
      </c>
      <c r="Y272" s="180">
        <f t="shared" si="288"/>
        <v>871.43646269999681</v>
      </c>
      <c r="Z272" s="180">
        <f t="shared" si="289"/>
        <v>3.3536737618224199</v>
      </c>
      <c r="AA272" s="180">
        <v>24.738235759999998</v>
      </c>
      <c r="AB272" s="180">
        <f t="shared" si="290"/>
        <v>9.520369611920923E-2</v>
      </c>
      <c r="AC272" s="180">
        <v>0.76087419999999995</v>
      </c>
      <c r="AD272" s="180">
        <f t="shared" si="291"/>
        <v>2.9281811696076432E-3</v>
      </c>
      <c r="AE272" s="180">
        <v>39.949886560000003</v>
      </c>
      <c r="AF272" s="180">
        <f t="shared" si="292"/>
        <v>0.15374487077226892</v>
      </c>
      <c r="AG272" s="180">
        <v>39.084929840000001</v>
      </c>
      <c r="AH272" s="180">
        <f t="shared" si="293"/>
        <v>0.15041613393242129</v>
      </c>
      <c r="AI272" s="180">
        <v>715.51293795000004</v>
      </c>
    </row>
    <row r="273" spans="1:35" ht="15" customHeight="1">
      <c r="A273" s="625" t="s">
        <v>22</v>
      </c>
      <c r="B273" s="180">
        <v>26498.262998329999</v>
      </c>
      <c r="C273" s="180">
        <v>466.54076087999999</v>
      </c>
      <c r="D273" s="180">
        <f t="shared" si="278"/>
        <v>1.7606465786432977</v>
      </c>
      <c r="E273" s="180">
        <v>3832.6356128000002</v>
      </c>
      <c r="F273" s="180">
        <f t="shared" si="279"/>
        <v>14.463723954440125</v>
      </c>
      <c r="G273" s="180">
        <v>851.68866819000004</v>
      </c>
      <c r="H273" s="180">
        <f t="shared" si="280"/>
        <v>3.2141301799430249</v>
      </c>
      <c r="I273" s="180">
        <v>463.64180353</v>
      </c>
      <c r="J273" s="180">
        <f t="shared" si="281"/>
        <v>1.7497063998467375</v>
      </c>
      <c r="K273" s="180">
        <v>1670.16536496</v>
      </c>
      <c r="L273" s="180">
        <f t="shared" si="282"/>
        <v>6.3029239503934988</v>
      </c>
      <c r="M273" s="180">
        <v>1464.6769630900001</v>
      </c>
      <c r="N273" s="180">
        <f t="shared" si="249"/>
        <v>5.5274451883216207</v>
      </c>
      <c r="O273" s="180">
        <v>1687.00254634</v>
      </c>
      <c r="P273" s="180">
        <f t="shared" si="283"/>
        <v>6.3664646488198864</v>
      </c>
      <c r="Q273" s="180">
        <v>15074.77847725</v>
      </c>
      <c r="R273" s="180">
        <f t="shared" si="284"/>
        <v>56.889685479384276</v>
      </c>
      <c r="S273" s="901">
        <v>3900.0161715879999</v>
      </c>
      <c r="T273" s="901">
        <f t="shared" si="285"/>
        <v>14.718006881559711</v>
      </c>
      <c r="U273" s="180">
        <v>9.4240336100000004</v>
      </c>
      <c r="V273" s="180">
        <f t="shared" si="286"/>
        <v>3.5564722150255398E-2</v>
      </c>
      <c r="W273" s="180">
        <v>9.5420000000000005E-5</v>
      </c>
      <c r="X273" s="180">
        <f t="shared" si="287"/>
        <v>3.6009907519603702E-7</v>
      </c>
      <c r="Y273" s="180">
        <f t="shared" si="288"/>
        <v>879.05434960999355</v>
      </c>
      <c r="Z273" s="180">
        <f t="shared" si="289"/>
        <v>3.3174036715742239</v>
      </c>
      <c r="AA273" s="180">
        <v>23.562008590000001</v>
      </c>
      <c r="AB273" s="180">
        <f t="shared" si="290"/>
        <v>8.8919068361141079E-2</v>
      </c>
      <c r="AC273" s="180">
        <v>1.05724186</v>
      </c>
      <c r="AD273" s="180">
        <f t="shared" si="291"/>
        <v>3.9898534483812408E-3</v>
      </c>
      <c r="AE273" s="180">
        <v>36.022987489999998</v>
      </c>
      <c r="AF273" s="180">
        <f t="shared" si="292"/>
        <v>0.13594471264878863</v>
      </c>
      <c r="AG273" s="180">
        <v>38.012084710000003</v>
      </c>
      <c r="AH273" s="180">
        <f t="shared" si="293"/>
        <v>0.14345123192563847</v>
      </c>
      <c r="AI273" s="180">
        <v>613.56289488000004</v>
      </c>
    </row>
    <row r="274" spans="1:35" ht="15" customHeight="1">
      <c r="A274" s="625" t="s">
        <v>23</v>
      </c>
      <c r="B274" s="180">
        <v>27003.267941400001</v>
      </c>
      <c r="C274" s="180">
        <v>451.69949761999999</v>
      </c>
      <c r="D274" s="180">
        <f t="shared" si="278"/>
        <v>1.6727586401773169</v>
      </c>
      <c r="E274" s="180">
        <v>3880.5496416400001</v>
      </c>
      <c r="F274" s="180">
        <f t="shared" si="279"/>
        <v>14.370666728416762</v>
      </c>
      <c r="G274" s="180">
        <v>837.25157944</v>
      </c>
      <c r="H274" s="180">
        <f t="shared" si="280"/>
        <v>3.100556500261102</v>
      </c>
      <c r="I274" s="180">
        <v>480.67601787000001</v>
      </c>
      <c r="J274" s="180">
        <f t="shared" si="281"/>
        <v>1.7800660976038853</v>
      </c>
      <c r="K274" s="180">
        <v>1815.99658494</v>
      </c>
      <c r="L274" s="180">
        <f t="shared" si="282"/>
        <v>6.725099306057726</v>
      </c>
      <c r="M274" s="180">
        <v>1498.9687609600001</v>
      </c>
      <c r="N274" s="180">
        <f t="shared" si="249"/>
        <v>5.5510642793787905</v>
      </c>
      <c r="O274" s="180">
        <v>1715.2558271400001</v>
      </c>
      <c r="P274" s="180">
        <f t="shared" si="283"/>
        <v>6.3520305426079906</v>
      </c>
      <c r="Q274" s="180">
        <v>15328.22046484</v>
      </c>
      <c r="R274" s="180">
        <f t="shared" si="284"/>
        <v>56.764316445342423</v>
      </c>
      <c r="S274" s="901">
        <v>3925.6222090179999</v>
      </c>
      <c r="T274" s="901">
        <f t="shared" si="285"/>
        <v>14.537581960587225</v>
      </c>
      <c r="U274" s="180">
        <v>16.529838259999998</v>
      </c>
      <c r="V274" s="180">
        <f t="shared" si="286"/>
        <v>6.1214214130939734E-2</v>
      </c>
      <c r="W274" s="180">
        <v>9.5420000000000005E-5</v>
      </c>
      <c r="X274" s="180">
        <f t="shared" si="287"/>
        <v>3.5336463796556655E-7</v>
      </c>
      <c r="Y274" s="180">
        <f t="shared" si="288"/>
        <v>877.72539074000497</v>
      </c>
      <c r="Z274" s="180">
        <f t="shared" si="289"/>
        <v>3.2504413637814635</v>
      </c>
      <c r="AA274" s="180">
        <v>21.684003359999998</v>
      </c>
      <c r="AB274" s="180">
        <f t="shared" si="290"/>
        <v>8.0301404285794672E-2</v>
      </c>
      <c r="AC274" s="180">
        <v>1.0433831</v>
      </c>
      <c r="AD274" s="180">
        <f t="shared" si="291"/>
        <v>3.8639141835138387E-3</v>
      </c>
      <c r="AE274" s="180">
        <v>31.103729820000002</v>
      </c>
      <c r="AF274" s="180">
        <f t="shared" si="292"/>
        <v>0.11518505792520536</v>
      </c>
      <c r="AG274" s="180">
        <v>46.563126250000003</v>
      </c>
      <c r="AH274" s="180">
        <f t="shared" si="293"/>
        <v>0.1724351524824588</v>
      </c>
      <c r="AI274" s="180">
        <v>1072.0779300500001</v>
      </c>
    </row>
    <row r="275" spans="1:35" ht="15" customHeight="1">
      <c r="A275" s="625" t="s">
        <v>24</v>
      </c>
      <c r="B275" s="180">
        <v>27268.459685689999</v>
      </c>
      <c r="C275" s="180">
        <v>453.71234934</v>
      </c>
      <c r="D275" s="180">
        <f t="shared" si="278"/>
        <v>1.6638723073093129</v>
      </c>
      <c r="E275" s="180">
        <v>3878.7701025599999</v>
      </c>
      <c r="F275" s="180">
        <f t="shared" si="279"/>
        <v>14.224382848421429</v>
      </c>
      <c r="G275" s="180">
        <v>825.61718023000003</v>
      </c>
      <c r="H275" s="180">
        <f t="shared" si="280"/>
        <v>3.0277367689502066</v>
      </c>
      <c r="I275" s="180">
        <v>463.99611872999998</v>
      </c>
      <c r="J275" s="180">
        <f t="shared" si="281"/>
        <v>1.7015853630100597</v>
      </c>
      <c r="K275" s="180">
        <v>1848.7110478</v>
      </c>
      <c r="L275" s="180">
        <f t="shared" si="282"/>
        <v>6.779668045460487</v>
      </c>
      <c r="M275" s="180">
        <v>1468.1127217999999</v>
      </c>
      <c r="N275" s="180">
        <f t="shared" si="249"/>
        <v>5.3839224463802013</v>
      </c>
      <c r="O275" s="180">
        <v>1701.7535335</v>
      </c>
      <c r="P275" s="180">
        <f t="shared" si="283"/>
        <v>6.2407394957957596</v>
      </c>
      <c r="Q275" s="180">
        <v>15634.166428979999</v>
      </c>
      <c r="R275" s="180">
        <f t="shared" si="284"/>
        <v>57.334248465763295</v>
      </c>
      <c r="S275" s="901">
        <v>4031.3191019179999</v>
      </c>
      <c r="T275" s="901">
        <f t="shared" si="285"/>
        <v>14.783816718600956</v>
      </c>
      <c r="U275" s="180">
        <v>20.980540399999999</v>
      </c>
      <c r="V275" s="180">
        <f t="shared" si="286"/>
        <v>7.6940687672982913E-2</v>
      </c>
      <c r="W275" s="180">
        <v>9.5420000000000005E-5</v>
      </c>
      <c r="X275" s="180">
        <f t="shared" si="287"/>
        <v>3.4992808944787853E-7</v>
      </c>
      <c r="Y275" s="180">
        <f t="shared" si="288"/>
        <v>875.19997272999979</v>
      </c>
      <c r="Z275" s="180">
        <f t="shared" si="289"/>
        <v>3.2095687941966489</v>
      </c>
      <c r="AA275" s="180">
        <v>21.07847903</v>
      </c>
      <c r="AB275" s="180">
        <f t="shared" si="290"/>
        <v>7.7299852184396056E-2</v>
      </c>
      <c r="AC275" s="180">
        <v>0.12951824000000001</v>
      </c>
      <c r="AD275" s="180">
        <f t="shared" si="291"/>
        <v>4.7497453648974848E-4</v>
      </c>
      <c r="AE275" s="180">
        <v>34.41431102</v>
      </c>
      <c r="AF275" s="180">
        <f t="shared" si="292"/>
        <v>0.12620555549039689</v>
      </c>
      <c r="AG275" s="180">
        <v>41.817285910000003</v>
      </c>
      <c r="AH275" s="180">
        <f t="shared" si="293"/>
        <v>0.15335404490025142</v>
      </c>
      <c r="AI275" s="180">
        <v>736.54965302999994</v>
      </c>
    </row>
    <row r="276" spans="1:35" ht="15" customHeight="1">
      <c r="A276" s="625" t="s">
        <v>25</v>
      </c>
      <c r="B276" s="180">
        <v>27649.3614151</v>
      </c>
      <c r="C276" s="180">
        <v>473.10461577000001</v>
      </c>
      <c r="D276" s="180">
        <f t="shared" si="278"/>
        <v>1.7110869530304083</v>
      </c>
      <c r="E276" s="180">
        <v>3845.2947872700001</v>
      </c>
      <c r="F276" s="180">
        <f t="shared" si="279"/>
        <v>13.907354783137919</v>
      </c>
      <c r="G276" s="180">
        <v>836.47002959999998</v>
      </c>
      <c r="H276" s="180">
        <f t="shared" si="280"/>
        <v>3.0252779333383919</v>
      </c>
      <c r="I276" s="180">
        <v>501.09187573999998</v>
      </c>
      <c r="J276" s="180">
        <f t="shared" si="281"/>
        <v>1.812309037511229</v>
      </c>
      <c r="K276" s="180">
        <v>1821.7204056800001</v>
      </c>
      <c r="L276" s="180">
        <f t="shared" si="282"/>
        <v>6.5886527299148163</v>
      </c>
      <c r="M276" s="180">
        <v>1463.8048126799999</v>
      </c>
      <c r="N276" s="180">
        <f t="shared" si="249"/>
        <v>5.2941722259110833</v>
      </c>
      <c r="O276" s="180">
        <v>1710.66342308</v>
      </c>
      <c r="P276" s="180">
        <f t="shared" si="283"/>
        <v>6.1869907134483206</v>
      </c>
      <c r="Q276" s="180">
        <v>15998.1167759</v>
      </c>
      <c r="R276" s="180">
        <f t="shared" si="284"/>
        <v>57.86070982154051</v>
      </c>
      <c r="S276" s="901">
        <v>4107.3155847649996</v>
      </c>
      <c r="T276" s="901">
        <f t="shared" si="285"/>
        <v>14.855010656853338</v>
      </c>
      <c r="U276" s="180">
        <v>19.988068779999999</v>
      </c>
      <c r="V276" s="180">
        <f t="shared" si="286"/>
        <v>7.2291249262212698E-2</v>
      </c>
      <c r="W276" s="180">
        <v>9.5420000000000005E-5</v>
      </c>
      <c r="X276" s="180">
        <f t="shared" si="287"/>
        <v>3.4510742786228974E-7</v>
      </c>
      <c r="Y276" s="180">
        <f t="shared" si="288"/>
        <v>857.44672672000047</v>
      </c>
      <c r="Z276" s="180">
        <f t="shared" si="289"/>
        <v>3.1011447745470448</v>
      </c>
      <c r="AA276" s="180">
        <v>38.748037330000002</v>
      </c>
      <c r="AB276" s="180">
        <f t="shared" si="290"/>
        <v>0.14014080379027755</v>
      </c>
      <c r="AC276" s="180">
        <v>0.11879163</v>
      </c>
      <c r="AD276" s="180">
        <f t="shared" si="291"/>
        <v>4.2963607085379181E-4</v>
      </c>
      <c r="AE276" s="180">
        <v>34.537590950000002</v>
      </c>
      <c r="AF276" s="180">
        <f t="shared" si="292"/>
        <v>0.12491279791777821</v>
      </c>
      <c r="AG276" s="180">
        <v>48.255378550000003</v>
      </c>
      <c r="AH276" s="180">
        <f t="shared" si="293"/>
        <v>0.17452619547172091</v>
      </c>
      <c r="AI276" s="180">
        <v>1305.5638564400001</v>
      </c>
    </row>
    <row r="277" spans="1:35" ht="15" customHeight="1">
      <c r="A277" s="625" t="s">
        <v>26</v>
      </c>
      <c r="B277" s="180">
        <v>28404.620061260001</v>
      </c>
      <c r="C277" s="180">
        <v>480.04100023000001</v>
      </c>
      <c r="D277" s="180">
        <f t="shared" si="278"/>
        <v>1.6900102842238327</v>
      </c>
      <c r="E277" s="180">
        <v>4038.9201973499999</v>
      </c>
      <c r="F277" s="180">
        <f t="shared" si="279"/>
        <v>14.219236830625775</v>
      </c>
      <c r="G277" s="180">
        <v>850.98962645999995</v>
      </c>
      <c r="H277" s="180">
        <f t="shared" si="280"/>
        <v>2.9959549700882389</v>
      </c>
      <c r="I277" s="180">
        <v>529.64747010999997</v>
      </c>
      <c r="J277" s="180">
        <f t="shared" si="281"/>
        <v>1.8646525423248534</v>
      </c>
      <c r="K277" s="180">
        <v>1884.8314217300001</v>
      </c>
      <c r="L277" s="180">
        <f t="shared" si="282"/>
        <v>6.6356508823740654</v>
      </c>
      <c r="M277" s="180">
        <v>1500.48487626</v>
      </c>
      <c r="N277" s="180">
        <f t="shared" si="249"/>
        <v>5.2825380977598613</v>
      </c>
      <c r="O277" s="180">
        <v>1773.8234135</v>
      </c>
      <c r="P277" s="180">
        <f t="shared" si="283"/>
        <v>6.2448411901810701</v>
      </c>
      <c r="Q277" s="180">
        <v>16365.9046621</v>
      </c>
      <c r="R277" s="180">
        <f t="shared" si="284"/>
        <v>57.617051827497754</v>
      </c>
      <c r="S277" s="901">
        <v>4161.4172467750004</v>
      </c>
      <c r="T277" s="901">
        <f t="shared" si="285"/>
        <v>14.650494313249421</v>
      </c>
      <c r="U277" s="180">
        <v>11.21278674</v>
      </c>
      <c r="V277" s="180">
        <f t="shared" si="286"/>
        <v>3.9475221692166551E-2</v>
      </c>
      <c r="W277" s="180">
        <v>9.5420000000000005E-5</v>
      </c>
      <c r="X277" s="180">
        <f t="shared" si="287"/>
        <v>3.3593126679465704E-7</v>
      </c>
      <c r="Y277" s="180">
        <f t="shared" si="288"/>
        <v>842.94571637000058</v>
      </c>
      <c r="Z277" s="180">
        <f t="shared" si="289"/>
        <v>2.9676359498983853</v>
      </c>
      <c r="AA277" s="180">
        <v>37.318026699999997</v>
      </c>
      <c r="AB277" s="180">
        <f t="shared" si="290"/>
        <v>0.13138012978000244</v>
      </c>
      <c r="AC277" s="180">
        <v>9.3325190000000002E-2</v>
      </c>
      <c r="AD277" s="180">
        <f t="shared" si="291"/>
        <v>3.2855637497958561E-4</v>
      </c>
      <c r="AE277" s="180">
        <v>36.748205370000001</v>
      </c>
      <c r="AF277" s="180">
        <f t="shared" si="292"/>
        <v>0.12937404299281408</v>
      </c>
      <c r="AG277" s="180">
        <v>51.659237730000001</v>
      </c>
      <c r="AH277" s="180">
        <f t="shared" si="293"/>
        <v>0.18186913825492812</v>
      </c>
      <c r="AI277" s="180">
        <v>1298.25868255</v>
      </c>
    </row>
    <row r="278" spans="1:35" ht="15" customHeight="1">
      <c r="A278" s="625" t="s">
        <v>27</v>
      </c>
      <c r="B278" s="180">
        <v>28779.170425889999</v>
      </c>
      <c r="C278" s="180">
        <v>479.76418251000001</v>
      </c>
      <c r="D278" s="180">
        <f t="shared" si="278"/>
        <v>1.6670535509195912</v>
      </c>
      <c r="E278" s="180">
        <v>4020.7598305699998</v>
      </c>
      <c r="F278" s="180">
        <f t="shared" si="279"/>
        <v>13.971076202227456</v>
      </c>
      <c r="G278" s="180">
        <v>913.75495126999999</v>
      </c>
      <c r="H278" s="180">
        <f t="shared" si="280"/>
        <v>3.1750566043000945</v>
      </c>
      <c r="I278" s="180">
        <v>549.68411420999996</v>
      </c>
      <c r="J278" s="180">
        <f t="shared" si="281"/>
        <v>1.9100068072688405</v>
      </c>
      <c r="K278" s="180">
        <v>1913.5262905100001</v>
      </c>
      <c r="L278" s="180">
        <f t="shared" si="282"/>
        <v>6.6489973901004973</v>
      </c>
      <c r="M278" s="180">
        <v>1566.6271229399999</v>
      </c>
      <c r="N278" s="180">
        <f t="shared" si="249"/>
        <v>5.4436145995738929</v>
      </c>
      <c r="O278" s="180">
        <v>1812.93699064</v>
      </c>
      <c r="P278" s="180">
        <f t="shared" si="283"/>
        <v>6.2994761968853199</v>
      </c>
      <c r="Q278" s="180">
        <v>16597.765079389999</v>
      </c>
      <c r="R278" s="180">
        <f t="shared" si="284"/>
        <v>57.672840577984488</v>
      </c>
      <c r="S278" s="901">
        <v>4191.634626735</v>
      </c>
      <c r="T278" s="901">
        <f t="shared" si="285"/>
        <v>14.564820892002391</v>
      </c>
      <c r="U278" s="180">
        <v>11.84141668</v>
      </c>
      <c r="V278" s="180">
        <f t="shared" si="286"/>
        <v>4.1145788793645541E-2</v>
      </c>
      <c r="W278" s="180">
        <v>9.5420000000000005E-5</v>
      </c>
      <c r="X278" s="180">
        <f t="shared" si="287"/>
        <v>3.31559244369877E-7</v>
      </c>
      <c r="Y278" s="180">
        <f t="shared" si="288"/>
        <v>785.44517003000226</v>
      </c>
      <c r="Z278" s="180">
        <f t="shared" si="289"/>
        <v>2.7292140753418268</v>
      </c>
      <c r="AA278" s="180">
        <v>39.260414169999997</v>
      </c>
      <c r="AB278" s="180">
        <f t="shared" si="290"/>
        <v>0.13641954785006929</v>
      </c>
      <c r="AC278" s="180">
        <v>0.29761423999999997</v>
      </c>
      <c r="AD278" s="180">
        <f t="shared" si="291"/>
        <v>1.0341307118855085E-3</v>
      </c>
      <c r="AE278" s="180">
        <v>38.515275500000001</v>
      </c>
      <c r="AF278" s="180">
        <f t="shared" si="292"/>
        <v>0.13383038819406454</v>
      </c>
      <c r="AG278" s="180">
        <v>48.991877809999998</v>
      </c>
      <c r="AH278" s="180">
        <f t="shared" si="293"/>
        <v>0.17023380828908977</v>
      </c>
      <c r="AI278" s="180">
        <v>785.92557074000001</v>
      </c>
    </row>
    <row r="279" spans="1:35" ht="15" customHeight="1">
      <c r="A279" s="625" t="s">
        <v>28</v>
      </c>
      <c r="B279" s="180">
        <v>29066.795478110002</v>
      </c>
      <c r="C279" s="180">
        <v>496.61938093999999</v>
      </c>
      <c r="D279" s="180">
        <f t="shared" si="278"/>
        <v>1.7085453445117489</v>
      </c>
      <c r="E279" s="180">
        <v>4057.5901337499999</v>
      </c>
      <c r="F279" s="180">
        <f t="shared" si="279"/>
        <v>13.959537221107645</v>
      </c>
      <c r="G279" s="180">
        <v>860.62805199000002</v>
      </c>
      <c r="H279" s="180">
        <f t="shared" si="280"/>
        <v>2.9608632043326994</v>
      </c>
      <c r="I279" s="180">
        <v>548.86651707999999</v>
      </c>
      <c r="J279" s="180">
        <f t="shared" si="281"/>
        <v>1.8882938695232072</v>
      </c>
      <c r="K279" s="180">
        <v>1952.1731682699999</v>
      </c>
      <c r="L279" s="180">
        <f t="shared" si="282"/>
        <v>6.716162329418693</v>
      </c>
      <c r="M279" s="180">
        <v>1576.1423000699999</v>
      </c>
      <c r="N279" s="180">
        <f t="shared" si="249"/>
        <v>5.4224838828792858</v>
      </c>
      <c r="O279" s="180">
        <v>1822.41839409</v>
      </c>
      <c r="P279" s="180">
        <f t="shared" si="283"/>
        <v>6.2697602680778841</v>
      </c>
      <c r="Q279" s="180">
        <v>16817.39898288</v>
      </c>
      <c r="R279" s="180">
        <f t="shared" si="284"/>
        <v>57.857767621976294</v>
      </c>
      <c r="S279" s="901">
        <v>4220.460464795</v>
      </c>
      <c r="T279" s="901">
        <f t="shared" si="285"/>
        <v>14.519868445675064</v>
      </c>
      <c r="U279" s="180">
        <v>17.87270509</v>
      </c>
      <c r="V279" s="180">
        <f t="shared" si="286"/>
        <v>6.1488391809340695E-2</v>
      </c>
      <c r="W279" s="180">
        <v>9.5420000000000005E-5</v>
      </c>
      <c r="X279" s="180">
        <f t="shared" si="287"/>
        <v>3.2827836171985361E-7</v>
      </c>
      <c r="Y279" s="180">
        <f t="shared" si="288"/>
        <v>781.51845158999822</v>
      </c>
      <c r="Z279" s="180">
        <f t="shared" si="289"/>
        <v>2.6886983540327116</v>
      </c>
      <c r="AA279" s="180">
        <v>47.0600904</v>
      </c>
      <c r="AB279" s="180">
        <f t="shared" si="290"/>
        <v>0.16190326324565302</v>
      </c>
      <c r="AC279" s="180">
        <v>0.29117292</v>
      </c>
      <c r="AD279" s="180">
        <f t="shared" si="291"/>
        <v>1.0017372579625445E-3</v>
      </c>
      <c r="AE279" s="180">
        <v>39.79148635</v>
      </c>
      <c r="AF279" s="180">
        <f t="shared" si="292"/>
        <v>0.13689670875472559</v>
      </c>
      <c r="AG279" s="180">
        <v>48.424547269999998</v>
      </c>
      <c r="AH279" s="180">
        <f t="shared" si="293"/>
        <v>0.1665974747937666</v>
      </c>
      <c r="AI279" s="180">
        <v>791.67167386000006</v>
      </c>
    </row>
    <row r="280" spans="1:35" ht="15" customHeight="1">
      <c r="A280" s="625" t="s">
        <v>29</v>
      </c>
      <c r="B280" s="180">
        <v>29288.227327680001</v>
      </c>
      <c r="C280" s="180">
        <v>449.13973557000003</v>
      </c>
      <c r="D280" s="180">
        <f t="shared" si="278"/>
        <v>1.5335162847002446</v>
      </c>
      <c r="E280" s="180">
        <v>4152.0145247</v>
      </c>
      <c r="F280" s="180">
        <f t="shared" si="279"/>
        <v>14.17639407891366</v>
      </c>
      <c r="G280" s="180">
        <v>774.73987064999994</v>
      </c>
      <c r="H280" s="180">
        <f t="shared" si="280"/>
        <v>2.6452262268457654</v>
      </c>
      <c r="I280" s="180">
        <v>586.86496827999997</v>
      </c>
      <c r="J280" s="180">
        <f t="shared" si="281"/>
        <v>2.0037572151912384</v>
      </c>
      <c r="K280" s="180">
        <v>1858.36362631</v>
      </c>
      <c r="L280" s="180">
        <f t="shared" si="282"/>
        <v>6.3450874152212</v>
      </c>
      <c r="M280" s="180">
        <v>1597.79041755</v>
      </c>
      <c r="N280" s="180">
        <f t="shared" si="249"/>
        <v>5.4554015839666228</v>
      </c>
      <c r="O280" s="180">
        <v>1859.8984532100001</v>
      </c>
      <c r="P280" s="180">
        <f t="shared" si="283"/>
        <v>6.3503278378757644</v>
      </c>
      <c r="Q280" s="180">
        <v>17030.998947709999</v>
      </c>
      <c r="R280" s="180">
        <f t="shared" si="284"/>
        <v>58.149640663346588</v>
      </c>
      <c r="S280" s="901">
        <v>4273.0262150050003</v>
      </c>
      <c r="T280" s="901">
        <f t="shared" si="285"/>
        <v>14.589569273680853</v>
      </c>
      <c r="U280" s="180">
        <v>24.230268639999998</v>
      </c>
      <c r="V280" s="180">
        <f t="shared" si="286"/>
        <v>8.2730403478875697E-2</v>
      </c>
      <c r="W280" s="180">
        <v>9.5420000000000005E-5</v>
      </c>
      <c r="X280" s="180">
        <f t="shared" si="287"/>
        <v>3.257964332645682E-7</v>
      </c>
      <c r="Y280" s="180">
        <f t="shared" si="288"/>
        <v>790.60813768000185</v>
      </c>
      <c r="Z280" s="180">
        <f t="shared" si="289"/>
        <v>2.6994059040671479</v>
      </c>
      <c r="AA280" s="180">
        <v>47.016718359999999</v>
      </c>
      <c r="AB280" s="180">
        <f t="shared" si="290"/>
        <v>0.16053111659497735</v>
      </c>
      <c r="AC280" s="180">
        <v>1.62095872</v>
      </c>
      <c r="AD280" s="180">
        <f t="shared" si="291"/>
        <v>5.5345060725749302E-3</v>
      </c>
      <c r="AE280" s="180">
        <v>43.724398039999997</v>
      </c>
      <c r="AF280" s="180">
        <f t="shared" si="292"/>
        <v>0.14929001182217855</v>
      </c>
      <c r="AG280" s="180">
        <v>71.216206839999998</v>
      </c>
      <c r="AH280" s="180">
        <f t="shared" si="293"/>
        <v>0.24315642610672547</v>
      </c>
      <c r="AI280" s="180">
        <v>733.33534685999996</v>
      </c>
    </row>
    <row r="281" spans="1:35" ht="15" customHeight="1">
      <c r="A281" s="625" t="s">
        <v>4202</v>
      </c>
      <c r="B281" s="268">
        <v>31946.74079942</v>
      </c>
      <c r="C281" s="268">
        <v>524.52293808000002</v>
      </c>
      <c r="D281" s="268">
        <v>1.641866822575913</v>
      </c>
      <c r="E281" s="268">
        <v>4413.2730641999997</v>
      </c>
      <c r="F281" s="268">
        <v>13.814470439751785</v>
      </c>
      <c r="G281" s="268">
        <v>684.11012718999996</v>
      </c>
      <c r="H281" s="268">
        <v>2.1414082002456416</v>
      </c>
      <c r="I281" s="268">
        <v>593.21587833000001</v>
      </c>
      <c r="J281" s="268">
        <v>1.8568901349109452</v>
      </c>
      <c r="K281" s="268">
        <v>1866.0471957100001</v>
      </c>
      <c r="L281" s="268">
        <v>5.8411191533625191</v>
      </c>
      <c r="M281" s="268">
        <v>1691.9403616699999</v>
      </c>
      <c r="N281" s="268">
        <v>5.2961282413532382</v>
      </c>
      <c r="O281" s="268">
        <v>2198.5271357900001</v>
      </c>
      <c r="P281" s="268">
        <v>6.8818511083606841</v>
      </c>
      <c r="Q281" s="268">
        <v>19052.899256889999</v>
      </c>
      <c r="R281" s="268">
        <v>59.639571299354301</v>
      </c>
      <c r="S281" s="1883">
        <v>4684.6022756020002</v>
      </c>
      <c r="T281" s="1883">
        <v>14.663787786724866</v>
      </c>
      <c r="U281" s="268">
        <v>14.216179370000001</v>
      </c>
      <c r="V281" s="268">
        <v>4.4499623480396155E-2</v>
      </c>
      <c r="W281" s="268">
        <v>9.5420000000000005E-5</v>
      </c>
      <c r="X281" s="268">
        <v>2.9868461574562991E-7</v>
      </c>
      <c r="Y281" s="268">
        <v>663.0672285899999</v>
      </c>
      <c r="Z281" s="268">
        <v>2.3033580336366728</v>
      </c>
      <c r="AA281" s="268">
        <v>89.609745989999993</v>
      </c>
      <c r="AB281" s="268">
        <v>0.280497301908265</v>
      </c>
      <c r="AC281" s="268">
        <v>5.9280062600000001</v>
      </c>
      <c r="AD281" s="268">
        <v>1.8555903080127736E-2</v>
      </c>
      <c r="AE281" s="268">
        <v>60.496129240000002</v>
      </c>
      <c r="AF281" s="268">
        <v>0.18936557447230523</v>
      </c>
      <c r="AG281" s="268">
        <v>88.887456689999993</v>
      </c>
      <c r="AH281" s="268">
        <v>0.27823638488848218</v>
      </c>
      <c r="AI281" s="268">
        <v>615.56654698</v>
      </c>
    </row>
    <row r="282" spans="1:35" ht="15" customHeight="1">
      <c r="A282" s="625" t="s">
        <v>18</v>
      </c>
      <c r="B282" s="180">
        <v>29325.25269265</v>
      </c>
      <c r="C282" s="180">
        <v>475.08339328</v>
      </c>
      <c r="D282" s="180">
        <f t="shared" si="278"/>
        <v>1.6200487622705928</v>
      </c>
      <c r="E282" s="180">
        <v>4074.0424860799999</v>
      </c>
      <c r="F282" s="180">
        <f t="shared" si="279"/>
        <v>13.892608288081714</v>
      </c>
      <c r="G282" s="180">
        <v>792.99985408999999</v>
      </c>
      <c r="H282" s="180">
        <f t="shared" si="280"/>
        <v>2.7041535239311179</v>
      </c>
      <c r="I282" s="180">
        <v>577.02335581</v>
      </c>
      <c r="J282" s="180">
        <f t="shared" si="281"/>
        <v>1.9676671224545785</v>
      </c>
      <c r="K282" s="180">
        <v>1864.43193576</v>
      </c>
      <c r="L282" s="180">
        <f t="shared" si="282"/>
        <v>6.3577693781554219</v>
      </c>
      <c r="M282" s="180">
        <v>1599.67746676</v>
      </c>
      <c r="N282" s="180">
        <f t="shared" si="249"/>
        <v>5.4549486189455365</v>
      </c>
      <c r="O282" s="180">
        <v>1843.7687189999999</v>
      </c>
      <c r="P282" s="180">
        <f t="shared" si="283"/>
        <v>6.2873071830754146</v>
      </c>
      <c r="Q282" s="180">
        <v>17147.713714450001</v>
      </c>
      <c r="R282" s="180">
        <f t="shared" si="284"/>
        <v>58.47422320336171</v>
      </c>
      <c r="S282" s="901">
        <v>4300.5050799649998</v>
      </c>
      <c r="T282" s="901">
        <f t="shared" si="285"/>
        <v>14.664852593215222</v>
      </c>
      <c r="U282" s="180">
        <v>12.347939309999999</v>
      </c>
      <c r="V282" s="180">
        <f t="shared" si="286"/>
        <v>4.2106847089828661E-2</v>
      </c>
      <c r="W282" s="180">
        <v>9.5420000000000005E-5</v>
      </c>
      <c r="X282" s="180">
        <f t="shared" si="287"/>
        <v>3.2538509045453446E-7</v>
      </c>
      <c r="Y282" s="180">
        <f t="shared" si="288"/>
        <v>797.67814741999325</v>
      </c>
      <c r="Z282" s="180">
        <f t="shared" si="289"/>
        <v>2.7201066459008589</v>
      </c>
      <c r="AA282" s="180">
        <v>47.74118361</v>
      </c>
      <c r="AB282" s="180">
        <f t="shared" si="290"/>
        <v>0.16279888228197847</v>
      </c>
      <c r="AC282" s="180">
        <v>0.33126862000000001</v>
      </c>
      <c r="AD282" s="180">
        <f t="shared" si="291"/>
        <v>1.1296360289608971E-3</v>
      </c>
      <c r="AE282" s="180">
        <v>42.472669160000002</v>
      </c>
      <c r="AF282" s="180">
        <f t="shared" si="292"/>
        <v>0.14483308841408632</v>
      </c>
      <c r="AG282" s="180">
        <v>49.940463880000003</v>
      </c>
      <c r="AH282" s="180">
        <f t="shared" si="293"/>
        <v>0.17029849462308963</v>
      </c>
      <c r="AI282" s="180">
        <v>766.57819866</v>
      </c>
    </row>
    <row r="283" spans="1:35" ht="15" customHeight="1">
      <c r="A283" s="625" t="s">
        <v>19</v>
      </c>
      <c r="B283" s="180">
        <v>29402.91989112</v>
      </c>
      <c r="C283" s="180">
        <v>480.14675621999999</v>
      </c>
      <c r="D283" s="180">
        <f t="shared" si="278"/>
        <v>1.6329900499610226</v>
      </c>
      <c r="E283" s="180">
        <v>4131.7329170599996</v>
      </c>
      <c r="F283" s="180">
        <f t="shared" si="279"/>
        <v>14.052117722865434</v>
      </c>
      <c r="G283" s="180">
        <v>768.59151313999996</v>
      </c>
      <c r="H283" s="180">
        <f t="shared" si="280"/>
        <v>2.6139972356014987</v>
      </c>
      <c r="I283" s="180">
        <v>575.22572744000001</v>
      </c>
      <c r="J283" s="180">
        <f t="shared" si="281"/>
        <v>1.9563557958532016</v>
      </c>
      <c r="K283" s="180">
        <v>1826.27676092</v>
      </c>
      <c r="L283" s="180">
        <f t="shared" si="282"/>
        <v>6.2112088448452205</v>
      </c>
      <c r="M283" s="180">
        <v>1619.1997521200001</v>
      </c>
      <c r="N283" s="180">
        <f t="shared" si="249"/>
        <v>5.5069352231545405</v>
      </c>
      <c r="O283" s="180">
        <v>1858.0721740700001</v>
      </c>
      <c r="P283" s="180">
        <f t="shared" si="283"/>
        <v>6.3193457688913339</v>
      </c>
      <c r="Q283" s="180">
        <v>17183.547034290001</v>
      </c>
      <c r="R283" s="180">
        <f t="shared" si="284"/>
        <v>58.441634701319643</v>
      </c>
      <c r="S283" s="901">
        <v>4317.9011817649998</v>
      </c>
      <c r="T283" s="901">
        <f t="shared" si="285"/>
        <v>14.685280229835449</v>
      </c>
      <c r="U283" s="180">
        <v>5.4250300600000001</v>
      </c>
      <c r="V283" s="180">
        <f t="shared" si="286"/>
        <v>1.8450650751996974E-2</v>
      </c>
      <c r="W283" s="180">
        <v>9.5420000000000005E-5</v>
      </c>
      <c r="X283" s="180">
        <f t="shared" si="287"/>
        <v>3.245255925375557E-7</v>
      </c>
      <c r="Y283" s="180">
        <f t="shared" si="288"/>
        <v>815.46933476000254</v>
      </c>
      <c r="Z283" s="180">
        <f t="shared" si="289"/>
        <v>2.7734297742527372</v>
      </c>
      <c r="AA283" s="180">
        <v>39.612896220000003</v>
      </c>
      <c r="AB283" s="180">
        <f t="shared" si="290"/>
        <v>0.13472436195686649</v>
      </c>
      <c r="AC283" s="180">
        <v>0.12159250000000001</v>
      </c>
      <c r="AD283" s="180">
        <f t="shared" si="291"/>
        <v>4.135388609371488E-4</v>
      </c>
      <c r="AE283" s="180">
        <v>45.398645129999998</v>
      </c>
      <c r="AF283" s="180">
        <f t="shared" si="292"/>
        <v>0.15440182573061692</v>
      </c>
      <c r="AG283" s="180">
        <v>54.099661769999997</v>
      </c>
      <c r="AH283" s="180">
        <f t="shared" si="293"/>
        <v>0.18399418142937118</v>
      </c>
      <c r="AI283" s="180">
        <v>930.05913115999999</v>
      </c>
    </row>
    <row r="284" spans="1:35" ht="15" customHeight="1">
      <c r="A284" s="625" t="s">
        <v>20</v>
      </c>
      <c r="B284" s="180">
        <v>29679.37509813</v>
      </c>
      <c r="C284" s="180">
        <v>481.55137305</v>
      </c>
      <c r="D284" s="180">
        <f t="shared" si="278"/>
        <v>1.6225118334123583</v>
      </c>
      <c r="E284" s="180">
        <v>4139.6267072700002</v>
      </c>
      <c r="F284" s="180">
        <f t="shared" si="279"/>
        <v>13.947823003627946</v>
      </c>
      <c r="G284" s="180">
        <v>762.9144119</v>
      </c>
      <c r="H284" s="180">
        <f t="shared" si="280"/>
        <v>2.5705204687684571</v>
      </c>
      <c r="I284" s="180">
        <v>584.00834816999998</v>
      </c>
      <c r="J284" s="180">
        <f t="shared" si="281"/>
        <v>1.9677245435224693</v>
      </c>
      <c r="K284" s="180">
        <v>1820.97637332</v>
      </c>
      <c r="L284" s="180">
        <f t="shared" si="282"/>
        <v>6.1354943198744563</v>
      </c>
      <c r="M284" s="180">
        <v>1638.37261771</v>
      </c>
      <c r="N284" s="180">
        <f t="shared" si="249"/>
        <v>5.5202396017200126</v>
      </c>
      <c r="O284" s="180">
        <v>1894.6678261500001</v>
      </c>
      <c r="P284" s="180">
        <f t="shared" si="283"/>
        <v>6.3837861137089007</v>
      </c>
      <c r="Q284" s="180">
        <v>17342.171467330001</v>
      </c>
      <c r="R284" s="180">
        <f t="shared" si="284"/>
        <v>58.43172711686465</v>
      </c>
      <c r="S284" s="901">
        <v>4385.8113263949999</v>
      </c>
      <c r="T284" s="901">
        <f t="shared" si="285"/>
        <v>14.77730347048761</v>
      </c>
      <c r="U284" s="180">
        <v>5.7682950100000001</v>
      </c>
      <c r="V284" s="180">
        <f t="shared" si="286"/>
        <v>1.9435365437877571E-2</v>
      </c>
      <c r="W284" s="180">
        <v>9.5420000000000005E-5</v>
      </c>
      <c r="X284" s="180">
        <f t="shared" si="287"/>
        <v>3.2150272599914715E-7</v>
      </c>
      <c r="Y284" s="180">
        <f t="shared" si="288"/>
        <v>864.81154963000108</v>
      </c>
      <c r="Z284" s="180">
        <f t="shared" si="289"/>
        <v>2.9138468945880533</v>
      </c>
      <c r="AA284" s="180">
        <v>39.356151580000002</v>
      </c>
      <c r="AB284" s="180">
        <f t="shared" si="290"/>
        <v>0.13260438081959383</v>
      </c>
      <c r="AC284" s="180">
        <v>0.12271388</v>
      </c>
      <c r="AD284" s="180">
        <f t="shared" si="291"/>
        <v>4.1346517436525071E-4</v>
      </c>
      <c r="AE284" s="180">
        <v>52.937986090000003</v>
      </c>
      <c r="AF284" s="180">
        <f t="shared" si="292"/>
        <v>0.17836624226409489</v>
      </c>
      <c r="AG284" s="180">
        <v>52.089181619999998</v>
      </c>
      <c r="AH284" s="180">
        <f t="shared" si="293"/>
        <v>0.1755063287140502</v>
      </c>
      <c r="AI284" s="180">
        <v>973.93948470999999</v>
      </c>
    </row>
    <row r="285" spans="1:35" ht="15" customHeight="1">
      <c r="A285" s="625" t="s">
        <v>21</v>
      </c>
      <c r="B285" s="180">
        <v>29898.773418969999</v>
      </c>
      <c r="C285" s="180">
        <v>502.60593611000002</v>
      </c>
      <c r="D285" s="180">
        <f t="shared" si="278"/>
        <v>1.6810252683847879</v>
      </c>
      <c r="E285" s="180">
        <v>4122.42034126</v>
      </c>
      <c r="F285" s="180">
        <f t="shared" si="279"/>
        <v>13.787924619825478</v>
      </c>
      <c r="G285" s="180">
        <v>764.39011442000003</v>
      </c>
      <c r="H285" s="180">
        <f t="shared" si="280"/>
        <v>2.5565935555570793</v>
      </c>
      <c r="I285" s="180">
        <v>569.64507105999996</v>
      </c>
      <c r="J285" s="180">
        <f t="shared" si="281"/>
        <v>1.9052456202051919</v>
      </c>
      <c r="K285" s="180">
        <v>1820.1487587199999</v>
      </c>
      <c r="L285" s="180">
        <f t="shared" si="282"/>
        <v>6.0877037770558262</v>
      </c>
      <c r="M285" s="180">
        <v>1624.0908545299999</v>
      </c>
      <c r="N285" s="180">
        <f t="shared" si="249"/>
        <v>5.4319648226758233</v>
      </c>
      <c r="O285" s="180">
        <v>1894.6601541499999</v>
      </c>
      <c r="P285" s="180">
        <f t="shared" si="283"/>
        <v>6.3369159918376026</v>
      </c>
      <c r="Q285" s="180">
        <v>17580.869864879998</v>
      </c>
      <c r="R285" s="180">
        <f t="shared" si="284"/>
        <v>58.801308062107296</v>
      </c>
      <c r="S285" s="901">
        <v>4445.3128205550001</v>
      </c>
      <c r="T285" s="901">
        <f t="shared" si="285"/>
        <v>14.867876879974496</v>
      </c>
      <c r="U285" s="180">
        <v>5.2863686400000001</v>
      </c>
      <c r="V285" s="180">
        <f t="shared" si="286"/>
        <v>1.7680887994709297E-2</v>
      </c>
      <c r="W285" s="180">
        <v>9.5420000000000005E-5</v>
      </c>
      <c r="X285" s="180">
        <f t="shared" si="287"/>
        <v>3.1914352693632067E-7</v>
      </c>
      <c r="Y285" s="180">
        <f t="shared" si="288"/>
        <v>864.08822783000096</v>
      </c>
      <c r="Z285" s="180">
        <f t="shared" si="289"/>
        <v>2.8900457410796636</v>
      </c>
      <c r="AA285" s="180">
        <v>47.433205450000003</v>
      </c>
      <c r="AB285" s="180">
        <f t="shared" si="290"/>
        <v>0.15864599120947503</v>
      </c>
      <c r="AC285" s="180">
        <v>0.19683262000000001</v>
      </c>
      <c r="AD285" s="180">
        <f t="shared" si="291"/>
        <v>6.5833008345123219E-4</v>
      </c>
      <c r="AE285" s="180">
        <v>55.840029180000002</v>
      </c>
      <c r="AF285" s="180">
        <f t="shared" si="292"/>
        <v>0.18676361199677491</v>
      </c>
      <c r="AG285" s="180">
        <v>47.0975647</v>
      </c>
      <c r="AH285" s="180">
        <f t="shared" si="293"/>
        <v>0.15752340084331959</v>
      </c>
      <c r="AI285" s="180">
        <v>1646.0498011300001</v>
      </c>
    </row>
    <row r="286" spans="1:35" ht="15" customHeight="1">
      <c r="A286" s="625" t="s">
        <v>22</v>
      </c>
      <c r="B286" s="180">
        <v>30188.759704479999</v>
      </c>
      <c r="C286" s="180">
        <v>508.31303802999997</v>
      </c>
      <c r="D286" s="180">
        <f t="shared" si="278"/>
        <v>1.6837824508390338</v>
      </c>
      <c r="E286" s="180">
        <v>4184.2580035399997</v>
      </c>
      <c r="F286" s="180">
        <f t="shared" si="279"/>
        <v>13.860317696056448</v>
      </c>
      <c r="G286" s="180">
        <v>758.67093794000004</v>
      </c>
      <c r="H286" s="180">
        <f t="shared" si="280"/>
        <v>2.5130907840092997</v>
      </c>
      <c r="I286" s="180">
        <v>563.70959712000001</v>
      </c>
      <c r="J286" s="180">
        <f t="shared" si="281"/>
        <v>1.8672830637568254</v>
      </c>
      <c r="K286" s="180">
        <v>1850.7322217599999</v>
      </c>
      <c r="L286" s="180">
        <f t="shared" si="282"/>
        <v>6.1305341454135727</v>
      </c>
      <c r="M286" s="180">
        <v>1629.19607926</v>
      </c>
      <c r="N286" s="180">
        <f t="shared" si="249"/>
        <v>5.3966976292114044</v>
      </c>
      <c r="O286" s="180">
        <v>1906.1008331099999</v>
      </c>
      <c r="P286" s="180">
        <f t="shared" si="283"/>
        <v>6.3139421816893497</v>
      </c>
      <c r="Q286" s="180">
        <v>17762.211054079999</v>
      </c>
      <c r="R286" s="180">
        <f t="shared" si="284"/>
        <v>58.837167303180372</v>
      </c>
      <c r="S286" s="901">
        <v>4463.5024031419998</v>
      </c>
      <c r="T286" s="901">
        <f t="shared" si="285"/>
        <v>14.78531230443236</v>
      </c>
      <c r="U286" s="180">
        <v>5.6016347800000004</v>
      </c>
      <c r="V286" s="180">
        <f t="shared" si="286"/>
        <v>1.8555365754786939E-2</v>
      </c>
      <c r="W286" s="180">
        <v>9.5420000000000005E-5</v>
      </c>
      <c r="X286" s="180">
        <f t="shared" si="287"/>
        <v>3.1607790758571549E-7</v>
      </c>
      <c r="Y286" s="180">
        <f t="shared" si="288"/>
        <v>864.92330990000062</v>
      </c>
      <c r="Z286" s="180">
        <f t="shared" si="289"/>
        <v>2.8650508280790561</v>
      </c>
      <c r="AA286" s="180">
        <v>54.284820019999998</v>
      </c>
      <c r="AB286" s="180">
        <f t="shared" si="290"/>
        <v>0.17981798706339086</v>
      </c>
      <c r="AC286" s="180">
        <v>0.19683262000000001</v>
      </c>
      <c r="AD286" s="180">
        <f t="shared" si="291"/>
        <v>6.5200631601565972E-4</v>
      </c>
      <c r="AE286" s="180">
        <v>52.572606720000003</v>
      </c>
      <c r="AF286" s="180">
        <f t="shared" si="292"/>
        <v>0.17414629562339473</v>
      </c>
      <c r="AG286" s="180">
        <v>47.988640179999997</v>
      </c>
      <c r="AH286" s="180">
        <f t="shared" si="293"/>
        <v>0.15896194692913637</v>
      </c>
      <c r="AI286" s="180">
        <v>2298.6021646600002</v>
      </c>
    </row>
    <row r="287" spans="1:35" ht="15" customHeight="1">
      <c r="A287" s="625" t="s">
        <v>23</v>
      </c>
      <c r="B287" s="180">
        <v>30231.82861271</v>
      </c>
      <c r="C287" s="180">
        <v>527.42732765000005</v>
      </c>
      <c r="D287" s="180">
        <f t="shared" si="278"/>
        <v>1.7446094128367087</v>
      </c>
      <c r="E287" s="180">
        <v>4208.6757454799999</v>
      </c>
      <c r="F287" s="180">
        <f t="shared" si="279"/>
        <v>13.921340317835082</v>
      </c>
      <c r="G287" s="180">
        <v>747.89671485999997</v>
      </c>
      <c r="H287" s="180">
        <f t="shared" si="280"/>
        <v>2.4738719064634114</v>
      </c>
      <c r="I287" s="180">
        <v>565.43676711000001</v>
      </c>
      <c r="J287" s="180">
        <f t="shared" si="281"/>
        <v>1.8703359772034442</v>
      </c>
      <c r="K287" s="180">
        <v>1800.5718881600001</v>
      </c>
      <c r="L287" s="180">
        <f t="shared" si="282"/>
        <v>5.955881502328336</v>
      </c>
      <c r="M287" s="180">
        <v>1653.8677724199999</v>
      </c>
      <c r="N287" s="180">
        <f t="shared" si="249"/>
        <v>5.4706177175292812</v>
      </c>
      <c r="O287" s="180">
        <v>1896.0195117999999</v>
      </c>
      <c r="P287" s="180">
        <f t="shared" si="283"/>
        <v>6.2716004912877796</v>
      </c>
      <c r="Q287" s="180">
        <v>17802.11601858</v>
      </c>
      <c r="R287" s="180">
        <f t="shared" si="284"/>
        <v>58.88534314823309</v>
      </c>
      <c r="S287" s="901">
        <v>4502.9736737200001</v>
      </c>
      <c r="T287" s="901">
        <f t="shared" si="285"/>
        <v>14.894810801576423</v>
      </c>
      <c r="U287" s="180">
        <v>7.5661531599999998</v>
      </c>
      <c r="V287" s="180">
        <f t="shared" si="286"/>
        <v>2.5027110522911122E-2</v>
      </c>
      <c r="W287" s="180">
        <v>9.5420000000000005E-5</v>
      </c>
      <c r="X287" s="180">
        <f t="shared" si="287"/>
        <v>3.1562761625303649E-7</v>
      </c>
      <c r="Y287" s="180">
        <f t="shared" si="288"/>
        <v>847.36190514000191</v>
      </c>
      <c r="Z287" s="180">
        <f t="shared" si="289"/>
        <v>2.8028800903685855</v>
      </c>
      <c r="AA287" s="180">
        <v>62.673551979999999</v>
      </c>
      <c r="AB287" s="180">
        <f t="shared" si="290"/>
        <v>0.20730982827036443</v>
      </c>
      <c r="AC287" s="180">
        <v>0.10221012</v>
      </c>
      <c r="AD287" s="180">
        <f t="shared" si="291"/>
        <v>3.380877859205283E-4</v>
      </c>
      <c r="AE287" s="180">
        <v>52.686897940000001</v>
      </c>
      <c r="AF287" s="180">
        <f t="shared" si="292"/>
        <v>0.17427625240588157</v>
      </c>
      <c r="AG287" s="180">
        <v>59.426052890000001</v>
      </c>
      <c r="AH287" s="180">
        <f t="shared" si="293"/>
        <v>0.19656784130158844</v>
      </c>
      <c r="AI287" s="180">
        <v>607.28050965</v>
      </c>
    </row>
    <row r="288" spans="1:35" ht="15" customHeight="1">
      <c r="A288" s="625" t="s">
        <v>24</v>
      </c>
      <c r="B288" s="180">
        <v>30257.866734399999</v>
      </c>
      <c r="C288" s="180">
        <v>529.38554863000002</v>
      </c>
      <c r="D288" s="180">
        <f t="shared" ref="D288:D300" si="294">C288/B288*100</f>
        <v>1.7495798804221203</v>
      </c>
      <c r="E288" s="180">
        <v>4205.7966619600002</v>
      </c>
      <c r="F288" s="180">
        <f t="shared" ref="F288:F300" si="295">E288/B288*100</f>
        <v>13.899845282808565</v>
      </c>
      <c r="G288" s="180">
        <v>737.97349114999997</v>
      </c>
      <c r="H288" s="180">
        <f t="shared" ref="H288:H300" si="296">G288/$B288*100</f>
        <v>2.4389475227313433</v>
      </c>
      <c r="I288" s="180">
        <v>566.06355149000001</v>
      </c>
      <c r="J288" s="180">
        <f t="shared" ref="J288:J300" si="297">I288/$B288*100</f>
        <v>1.8707979530045504</v>
      </c>
      <c r="K288" s="180">
        <v>1787.23661685</v>
      </c>
      <c r="L288" s="180">
        <f t="shared" ref="L288:L300" si="298">K288/$B288*100</f>
        <v>5.9066841444512699</v>
      </c>
      <c r="M288" s="180">
        <v>1598.13302858</v>
      </c>
      <c r="N288" s="180">
        <f t="shared" ref="N288:N300" si="299">M288/$B288*100</f>
        <v>5.2817108443507408</v>
      </c>
      <c r="O288" s="180">
        <v>1902.1069603799999</v>
      </c>
      <c r="P288" s="180">
        <f t="shared" ref="P288:P300" si="300">O288/$B288*100</f>
        <v>6.2863220896452203</v>
      </c>
      <c r="Q288" s="180">
        <v>17972.317389250002</v>
      </c>
      <c r="R288" s="180">
        <f t="shared" ref="R288:R300" si="301">Q288/$B288*100</f>
        <v>59.39717279809873</v>
      </c>
      <c r="S288" s="901">
        <v>4514.4570000000003</v>
      </c>
      <c r="T288" s="901">
        <f t="shared" ref="T288:T300" si="302">S288/$B288*100</f>
        <v>14.919944752309783</v>
      </c>
      <c r="U288" s="180">
        <v>8.5499921299999997</v>
      </c>
      <c r="V288" s="180">
        <f t="shared" ref="V288:V300" si="303">U288/$B288*100</f>
        <v>2.8257088330287214E-2</v>
      </c>
      <c r="W288" s="180">
        <v>9.5420000000000005E-5</v>
      </c>
      <c r="X288" s="180">
        <f t="shared" ref="X288:X299" si="304">W288/$B288*100</f>
        <v>3.1535600588628922E-7</v>
      </c>
      <c r="Y288" s="180">
        <f t="shared" ref="Y288:Y300" si="305">((B288-C288-E288-G288-I288-K288-M288-W288-O288-Q288-U288-AA288-AC288-AE288-AG288))</f>
        <v>775.94906542999399</v>
      </c>
      <c r="Z288" s="180">
        <f t="shared" ref="Z288:Z300" si="306">Y288/$B288*100</f>
        <v>2.5644539723873589</v>
      </c>
      <c r="AA288" s="180">
        <v>69.85192447</v>
      </c>
      <c r="AB288" s="180">
        <f t="shared" ref="AB288:AB300" si="307">AA288/$B288*100</f>
        <v>0.23085541714871041</v>
      </c>
      <c r="AC288" s="180">
        <v>0.5</v>
      </c>
      <c r="AD288" s="180">
        <f t="shared" ref="AD288:AD300" si="308">AC288/$B288*100</f>
        <v>1.6524628269036323E-3</v>
      </c>
      <c r="AE288" s="180">
        <v>47.9818955</v>
      </c>
      <c r="AF288" s="180">
        <f t="shared" ref="AF288:AF300" si="309">AE288/$B288*100</f>
        <v>0.15857659735624935</v>
      </c>
      <c r="AG288" s="180">
        <v>56.02051316</v>
      </c>
      <c r="AH288" s="180">
        <f t="shared" ref="AH288:AH300" si="310">AG288/$B288*100</f>
        <v>0.18514363108193146</v>
      </c>
      <c r="AI288" s="180">
        <v>589.04645960000005</v>
      </c>
    </row>
    <row r="289" spans="1:35" ht="15" customHeight="1">
      <c r="A289" s="625" t="s">
        <v>25</v>
      </c>
      <c r="B289" s="180">
        <v>30464.592508099999</v>
      </c>
      <c r="C289" s="180">
        <v>530.93098662</v>
      </c>
      <c r="D289" s="180">
        <f t="shared" si="294"/>
        <v>1.7427805294911947</v>
      </c>
      <c r="E289" s="180">
        <v>4194.7717238300002</v>
      </c>
      <c r="F289" s="180">
        <f t="shared" si="295"/>
        <v>13.769334753828346</v>
      </c>
      <c r="G289" s="180">
        <v>720.73132946999999</v>
      </c>
      <c r="H289" s="180">
        <f t="shared" si="296"/>
        <v>2.3657999997156378</v>
      </c>
      <c r="I289" s="180">
        <v>574.90146360000006</v>
      </c>
      <c r="J289" s="180">
        <f t="shared" si="297"/>
        <v>1.8871135842278013</v>
      </c>
      <c r="K289" s="180">
        <v>1814.5834122700001</v>
      </c>
      <c r="L289" s="180">
        <f t="shared" si="298"/>
        <v>5.9563685671736266</v>
      </c>
      <c r="M289" s="180">
        <v>1608.6236337099999</v>
      </c>
      <c r="N289" s="180">
        <f t="shared" si="299"/>
        <v>5.2803057624430565</v>
      </c>
      <c r="O289" s="180">
        <v>1922.5542990700001</v>
      </c>
      <c r="P289" s="180">
        <f t="shared" si="300"/>
        <v>6.3107829148176755</v>
      </c>
      <c r="Q289" s="180">
        <v>18201.849763580001</v>
      </c>
      <c r="R289" s="180">
        <f t="shared" si="301"/>
        <v>59.747556967126513</v>
      </c>
      <c r="S289" s="901">
        <v>4573.8764432219996</v>
      </c>
      <c r="T289" s="901">
        <f t="shared" si="302"/>
        <v>15.013745685276724</v>
      </c>
      <c r="U289" s="180">
        <v>5.7548314899999999</v>
      </c>
      <c r="V289" s="180">
        <f t="shared" si="303"/>
        <v>1.889022966077715E-2</v>
      </c>
      <c r="W289" s="180">
        <v>9.5420000000000005E-5</v>
      </c>
      <c r="X289" s="180">
        <f t="shared" si="304"/>
        <v>3.1321607198464746E-7</v>
      </c>
      <c r="Y289" s="180">
        <f t="shared" si="305"/>
        <v>701.70863894999729</v>
      </c>
      <c r="Z289" s="180">
        <f t="shared" si="306"/>
        <v>2.3033580336366728</v>
      </c>
      <c r="AA289" s="180">
        <v>78.288976880000007</v>
      </c>
      <c r="AB289" s="180">
        <f t="shared" si="307"/>
        <v>0.25698350259956487</v>
      </c>
      <c r="AC289" s="180">
        <v>3.5045435199999999</v>
      </c>
      <c r="AD289" s="180">
        <f t="shared" si="308"/>
        <v>1.1503661239086665E-2</v>
      </c>
      <c r="AE289" s="180">
        <v>47.834569090000002</v>
      </c>
      <c r="AF289" s="180">
        <f t="shared" si="309"/>
        <v>0.15701693392840108</v>
      </c>
      <c r="AG289" s="180">
        <v>58.5542406</v>
      </c>
      <c r="AH289" s="180">
        <f t="shared" si="310"/>
        <v>0.19220424689557708</v>
      </c>
      <c r="AI289" s="180">
        <v>591.13752927999997</v>
      </c>
    </row>
    <row r="290" spans="1:35" ht="15" customHeight="1">
      <c r="A290" s="625" t="s">
        <v>26</v>
      </c>
      <c r="B290" s="180">
        <v>31041.837153820001</v>
      </c>
      <c r="C290" s="180">
        <v>528.11218530999997</v>
      </c>
      <c r="D290" s="180">
        <f t="shared" si="294"/>
        <v>1.7012916558162234</v>
      </c>
      <c r="E290" s="180">
        <v>4280.6897064900004</v>
      </c>
      <c r="F290" s="180">
        <f t="shared" si="295"/>
        <v>13.790065598495737</v>
      </c>
      <c r="G290" s="180">
        <v>709.89420835999999</v>
      </c>
      <c r="H290" s="180">
        <f t="shared" si="296"/>
        <v>2.2868949567717212</v>
      </c>
      <c r="I290" s="180">
        <v>563.41360438000004</v>
      </c>
      <c r="J290" s="180">
        <f t="shared" si="297"/>
        <v>1.8150137235375148</v>
      </c>
      <c r="K290" s="180">
        <v>1819.7861095999999</v>
      </c>
      <c r="L290" s="180">
        <f t="shared" si="298"/>
        <v>5.8623660081151403</v>
      </c>
      <c r="M290" s="180">
        <v>1674.21736218</v>
      </c>
      <c r="N290" s="180">
        <f t="shared" si="299"/>
        <v>5.3934222832361298</v>
      </c>
      <c r="O290" s="180">
        <v>2095.1976208999999</v>
      </c>
      <c r="P290" s="180">
        <f t="shared" si="300"/>
        <v>6.7495928495397237</v>
      </c>
      <c r="Q290" s="180">
        <v>18469.570786299999</v>
      </c>
      <c r="R290" s="180">
        <f t="shared" si="301"/>
        <v>59.498961658675988</v>
      </c>
      <c r="S290" s="901">
        <v>4625.3938839390003</v>
      </c>
      <c r="T290" s="901">
        <f t="shared" si="302"/>
        <v>14.900515910250501</v>
      </c>
      <c r="U290" s="180">
        <v>6.8712466499999998</v>
      </c>
      <c r="V290" s="180">
        <f t="shared" si="303"/>
        <v>2.2135438105519555E-2</v>
      </c>
      <c r="W290" s="180">
        <v>9.5420000000000005E-5</v>
      </c>
      <c r="X290" s="180">
        <f t="shared" si="304"/>
        <v>3.0739160033335091E-7</v>
      </c>
      <c r="Y290" s="180">
        <f t="shared" si="305"/>
        <v>684.82425125000009</v>
      </c>
      <c r="Z290" s="180">
        <f t="shared" si="306"/>
        <v>2.2061331223939038</v>
      </c>
      <c r="AA290" s="180">
        <v>90.363238670000001</v>
      </c>
      <c r="AB290" s="180">
        <f t="shared" si="307"/>
        <v>0.29110145196055165</v>
      </c>
      <c r="AC290" s="180">
        <v>6.2282285699999997</v>
      </c>
      <c r="AD290" s="180">
        <f t="shared" si="308"/>
        <v>2.0063981842110643E-2</v>
      </c>
      <c r="AE290" s="180">
        <v>53.690785249999998</v>
      </c>
      <c r="AF290" s="180">
        <f t="shared" si="309"/>
        <v>0.17296265354382487</v>
      </c>
      <c r="AG290" s="180">
        <v>58.97772449</v>
      </c>
      <c r="AH290" s="180">
        <f t="shared" si="310"/>
        <v>0.18999431057430896</v>
      </c>
      <c r="AI290" s="180">
        <v>601.24498089999997</v>
      </c>
    </row>
    <row r="291" spans="1:35" ht="15" customHeight="1">
      <c r="A291" s="625" t="s">
        <v>27</v>
      </c>
      <c r="B291" s="180">
        <v>31169.389489249999</v>
      </c>
      <c r="C291" s="180">
        <v>544.82034839000005</v>
      </c>
      <c r="D291" s="180">
        <f t="shared" si="294"/>
        <v>1.7479339740610027</v>
      </c>
      <c r="E291" s="180">
        <v>4222.82271975</v>
      </c>
      <c r="F291" s="180">
        <f t="shared" si="295"/>
        <v>13.547980210540883</v>
      </c>
      <c r="G291" s="180">
        <v>694.80772574000002</v>
      </c>
      <c r="H291" s="180">
        <f t="shared" si="296"/>
        <v>2.2291348567466551</v>
      </c>
      <c r="I291" s="180">
        <v>571.39704929000004</v>
      </c>
      <c r="J291" s="180">
        <f t="shared" si="297"/>
        <v>1.8331993621083564</v>
      </c>
      <c r="K291" s="180">
        <v>1832.0455471</v>
      </c>
      <c r="L291" s="180">
        <f t="shared" si="298"/>
        <v>5.8777075108636749</v>
      </c>
      <c r="M291" s="180">
        <v>1693.57204576</v>
      </c>
      <c r="N291" s="180">
        <f t="shared" si="299"/>
        <v>5.4334463186842195</v>
      </c>
      <c r="O291" s="180">
        <v>2124.1083595599998</v>
      </c>
      <c r="P291" s="180">
        <f t="shared" si="300"/>
        <v>6.8147255829074966</v>
      </c>
      <c r="Q291" s="180">
        <v>18583.660082959999</v>
      </c>
      <c r="R291" s="180">
        <f t="shared" si="301"/>
        <v>59.621508112532361</v>
      </c>
      <c r="S291" s="901">
        <v>4626.2209552920003</v>
      </c>
      <c r="T291" s="901">
        <f t="shared" si="302"/>
        <v>14.842193033288433</v>
      </c>
      <c r="U291" s="180">
        <v>6.3581506299999999</v>
      </c>
      <c r="V291" s="180">
        <f t="shared" si="303"/>
        <v>2.0398701207134197E-2</v>
      </c>
      <c r="W291" s="180">
        <v>9.5420000000000005E-5</v>
      </c>
      <c r="X291" s="180">
        <f t="shared" si="304"/>
        <v>3.0613368296132132E-7</v>
      </c>
      <c r="Y291" s="180">
        <f t="shared" si="305"/>
        <v>678.43356186000301</v>
      </c>
      <c r="Z291" s="180">
        <f t="shared" si="306"/>
        <v>2.1766020219741158</v>
      </c>
      <c r="AA291" s="180">
        <v>96.117957770000004</v>
      </c>
      <c r="AB291" s="180">
        <f t="shared" si="307"/>
        <v>0.30837292402903849</v>
      </c>
      <c r="AC291" s="180">
        <v>5.9928895400000002</v>
      </c>
      <c r="AD291" s="180">
        <f t="shared" si="308"/>
        <v>1.9226842867958276E-2</v>
      </c>
      <c r="AE291" s="180">
        <v>49.6973001</v>
      </c>
      <c r="AF291" s="180">
        <f t="shared" si="309"/>
        <v>0.15944264842639952</v>
      </c>
      <c r="AG291" s="180">
        <v>65.555655380000005</v>
      </c>
      <c r="AH291" s="180">
        <f t="shared" si="310"/>
        <v>0.21032062691702536</v>
      </c>
      <c r="AI291" s="180">
        <v>610.23830292000002</v>
      </c>
    </row>
    <row r="292" spans="1:35" ht="15" customHeight="1">
      <c r="A292" s="625" t="s">
        <v>28</v>
      </c>
      <c r="B292" s="180">
        <v>31451.061556090001</v>
      </c>
      <c r="C292" s="180">
        <v>557.58692733999999</v>
      </c>
      <c r="D292" s="180">
        <f t="shared" si="294"/>
        <v>1.772871565386104</v>
      </c>
      <c r="E292" s="180">
        <v>4294.4958886699997</v>
      </c>
      <c r="F292" s="180">
        <f t="shared" si="295"/>
        <v>13.654533984524406</v>
      </c>
      <c r="G292" s="180">
        <v>704.76407271000005</v>
      </c>
      <c r="H292" s="180">
        <f t="shared" si="296"/>
        <v>2.2408276154784788</v>
      </c>
      <c r="I292" s="180">
        <v>595.93315136000001</v>
      </c>
      <c r="J292" s="180">
        <f t="shared" si="297"/>
        <v>1.8947950303591803</v>
      </c>
      <c r="K292" s="180">
        <v>1861.1345793400001</v>
      </c>
      <c r="L292" s="180">
        <f t="shared" si="298"/>
        <v>5.9175572691587606</v>
      </c>
      <c r="M292" s="180">
        <v>1679.3542879900001</v>
      </c>
      <c r="N292" s="180">
        <f t="shared" si="299"/>
        <v>5.3395790313628373</v>
      </c>
      <c r="O292" s="180">
        <v>2143.4420775200001</v>
      </c>
      <c r="P292" s="180">
        <f t="shared" si="300"/>
        <v>6.8151660753878645</v>
      </c>
      <c r="Q292" s="180">
        <v>18718.265005249999</v>
      </c>
      <c r="R292" s="180">
        <f t="shared" si="301"/>
        <v>59.515526914306982</v>
      </c>
      <c r="S292" s="901">
        <v>4640.0473020119998</v>
      </c>
      <c r="T292" s="901">
        <f t="shared" si="302"/>
        <v>14.753229533244571</v>
      </c>
      <c r="U292" s="180">
        <v>15.4824096</v>
      </c>
      <c r="V292" s="180">
        <f t="shared" si="303"/>
        <v>4.9226985780395943E-2</v>
      </c>
      <c r="W292" s="180">
        <v>9.5420000000000005E-5</v>
      </c>
      <c r="X292" s="180">
        <f t="shared" si="304"/>
        <v>3.0339198513165424E-7</v>
      </c>
      <c r="Y292" s="180">
        <f t="shared" si="305"/>
        <v>665.93027160999759</v>
      </c>
      <c r="Z292" s="180">
        <f t="shared" si="306"/>
        <v>2.1173538782542325</v>
      </c>
      <c r="AA292" s="180">
        <v>91.940385109999994</v>
      </c>
      <c r="AB292" s="180">
        <f t="shared" si="307"/>
        <v>0.29232840025457646</v>
      </c>
      <c r="AC292" s="180">
        <v>6.1118081399999999</v>
      </c>
      <c r="AD292" s="180">
        <f t="shared" si="308"/>
        <v>1.9432756281056417E-2</v>
      </c>
      <c r="AE292" s="180">
        <v>60.018078439999996</v>
      </c>
      <c r="AF292" s="180">
        <f t="shared" si="309"/>
        <v>0.19083005619051496</v>
      </c>
      <c r="AG292" s="180">
        <v>56.602517589999998</v>
      </c>
      <c r="AH292" s="180">
        <f t="shared" si="310"/>
        <v>0.1799701338826187</v>
      </c>
      <c r="AI292" s="180">
        <v>672.16589081999996</v>
      </c>
    </row>
    <row r="293" spans="1:35" ht="15" customHeight="1">
      <c r="A293" s="625" t="s">
        <v>29</v>
      </c>
      <c r="B293" s="180">
        <v>31946.74079942</v>
      </c>
      <c r="C293" s="180">
        <v>524.52293808000002</v>
      </c>
      <c r="D293" s="180">
        <f t="shared" si="294"/>
        <v>1.641866822575913</v>
      </c>
      <c r="E293" s="180">
        <v>4413.2730641999997</v>
      </c>
      <c r="F293" s="180">
        <f t="shared" si="295"/>
        <v>13.814470439751785</v>
      </c>
      <c r="G293" s="180">
        <v>684.11012718999996</v>
      </c>
      <c r="H293" s="180">
        <f t="shared" si="296"/>
        <v>2.1414082002456416</v>
      </c>
      <c r="I293" s="180">
        <v>593.21587833000001</v>
      </c>
      <c r="J293" s="180">
        <f t="shared" si="297"/>
        <v>1.8568901349109452</v>
      </c>
      <c r="K293" s="180">
        <v>1866.0471957100001</v>
      </c>
      <c r="L293" s="180">
        <f t="shared" si="298"/>
        <v>5.8411191533625191</v>
      </c>
      <c r="M293" s="180">
        <v>1691.9403616699999</v>
      </c>
      <c r="N293" s="180">
        <f t="shared" si="299"/>
        <v>5.2961282413532382</v>
      </c>
      <c r="O293" s="180">
        <v>2198.5271357900001</v>
      </c>
      <c r="P293" s="180">
        <f t="shared" si="300"/>
        <v>6.8818511083606841</v>
      </c>
      <c r="Q293" s="180">
        <v>19052.899256889999</v>
      </c>
      <c r="R293" s="180">
        <f t="shared" si="301"/>
        <v>59.639571299354301</v>
      </c>
      <c r="S293" s="901">
        <v>4684.6022756020002</v>
      </c>
      <c r="T293" s="901">
        <f t="shared" si="302"/>
        <v>14.663787786724866</v>
      </c>
      <c r="U293" s="180">
        <v>14.216179370000001</v>
      </c>
      <c r="V293" s="180">
        <f t="shared" si="303"/>
        <v>4.4499623480396155E-2</v>
      </c>
      <c r="W293" s="180">
        <v>9.5420000000000005E-5</v>
      </c>
      <c r="X293" s="180">
        <f t="shared" si="304"/>
        <v>2.9868461574562991E-7</v>
      </c>
      <c r="Y293" s="180">
        <f t="shared" si="305"/>
        <v>663.0672285899999</v>
      </c>
      <c r="Z293" s="180">
        <f t="shared" si="306"/>
        <v>2.0755395135707801</v>
      </c>
      <c r="AA293" s="180">
        <v>89.609745989999993</v>
      </c>
      <c r="AB293" s="180">
        <f t="shared" si="307"/>
        <v>0.280497301908265</v>
      </c>
      <c r="AC293" s="180">
        <v>5.9280062600000001</v>
      </c>
      <c r="AD293" s="180">
        <f t="shared" si="308"/>
        <v>1.8555903080127736E-2</v>
      </c>
      <c r="AE293" s="180">
        <v>60.496129240000002</v>
      </c>
      <c r="AF293" s="180">
        <f t="shared" si="309"/>
        <v>0.18936557447230523</v>
      </c>
      <c r="AG293" s="180">
        <v>88.887456689999993</v>
      </c>
      <c r="AH293" s="180">
        <f t="shared" si="310"/>
        <v>0.27823638488848218</v>
      </c>
      <c r="AI293" s="180">
        <v>615.56654698</v>
      </c>
    </row>
    <row r="294" spans="1:35" ht="15" customHeight="1">
      <c r="A294" s="625" t="s">
        <v>4465</v>
      </c>
      <c r="B294" s="180"/>
      <c r="C294" s="180"/>
      <c r="D294" s="180"/>
      <c r="E294" s="180"/>
      <c r="F294" s="180"/>
      <c r="G294" s="180"/>
      <c r="H294" s="180"/>
      <c r="I294" s="180"/>
      <c r="J294" s="180"/>
      <c r="K294" s="180"/>
      <c r="L294" s="180"/>
      <c r="M294" s="180"/>
      <c r="N294" s="180"/>
      <c r="O294" s="180"/>
      <c r="P294" s="180"/>
      <c r="Q294" s="180"/>
      <c r="R294" s="180"/>
      <c r="S294" s="901"/>
      <c r="T294" s="901"/>
      <c r="U294" s="180"/>
      <c r="V294" s="180"/>
      <c r="W294" s="180"/>
      <c r="X294" s="180"/>
      <c r="Y294" s="180"/>
      <c r="Z294" s="180"/>
      <c r="AA294" s="180"/>
      <c r="AB294" s="180"/>
      <c r="AC294" s="180"/>
      <c r="AD294" s="180"/>
      <c r="AE294" s="180"/>
      <c r="AF294" s="180"/>
      <c r="AG294" s="180"/>
      <c r="AH294" s="180"/>
      <c r="AI294" s="180"/>
    </row>
    <row r="295" spans="1:35" ht="15" customHeight="1">
      <c r="A295" s="625" t="s">
        <v>18</v>
      </c>
      <c r="B295" s="180">
        <v>31863.744891769999</v>
      </c>
      <c r="C295" s="180">
        <v>557.48455834000004</v>
      </c>
      <c r="D295" s="180">
        <f t="shared" si="294"/>
        <v>1.749588945786442</v>
      </c>
      <c r="E295" s="180">
        <v>4334.5123275100004</v>
      </c>
      <c r="F295" s="180">
        <f t="shared" si="295"/>
        <v>13.603273382437701</v>
      </c>
      <c r="G295" s="180">
        <v>666.19487867999999</v>
      </c>
      <c r="H295" s="180">
        <f t="shared" si="296"/>
        <v>2.0907613996497623</v>
      </c>
      <c r="I295" s="180">
        <v>569.25779235000005</v>
      </c>
      <c r="J295" s="180">
        <f t="shared" si="297"/>
        <v>1.7865376285291317</v>
      </c>
      <c r="K295" s="180">
        <v>1854.7242212799999</v>
      </c>
      <c r="L295" s="180">
        <f t="shared" si="298"/>
        <v>5.8207979871162348</v>
      </c>
      <c r="M295" s="180">
        <v>1683.4440926699999</v>
      </c>
      <c r="N295" s="180">
        <f t="shared" si="299"/>
        <v>5.2832587581531012</v>
      </c>
      <c r="O295" s="180">
        <v>2171.9658714100001</v>
      </c>
      <c r="P295" s="180">
        <f t="shared" si="300"/>
        <v>6.8164174637582899</v>
      </c>
      <c r="Q295" s="180">
        <v>19115.05310139</v>
      </c>
      <c r="R295" s="180">
        <f t="shared" si="301"/>
        <v>59.989976590376159</v>
      </c>
      <c r="S295" s="901">
        <v>4681.1808828619996</v>
      </c>
      <c r="T295" s="901">
        <f t="shared" si="302"/>
        <v>14.691245171471007</v>
      </c>
      <c r="U295" s="180">
        <v>18.067732299999999</v>
      </c>
      <c r="V295" s="180">
        <f t="shared" si="303"/>
        <v>5.6703103672747099E-2</v>
      </c>
      <c r="W295" s="180">
        <v>9.5420000000000005E-5</v>
      </c>
      <c r="X295" s="180">
        <f t="shared" si="304"/>
        <v>2.994626034199947E-7</v>
      </c>
      <c r="Y295" s="180">
        <f t="shared" si="305"/>
        <v>665.62194912999814</v>
      </c>
      <c r="Z295" s="180">
        <f t="shared" si="306"/>
        <v>2.0889633387126438</v>
      </c>
      <c r="AA295" s="180">
        <v>102.73218455</v>
      </c>
      <c r="AB295" s="180">
        <f t="shared" si="307"/>
        <v>0.32241089331761008</v>
      </c>
      <c r="AC295" s="180">
        <v>4.6375770100000002</v>
      </c>
      <c r="AD295" s="180">
        <f t="shared" si="308"/>
        <v>1.4554400387500679E-2</v>
      </c>
      <c r="AE295" s="180">
        <v>52.216909389999998</v>
      </c>
      <c r="AF295" s="180">
        <f t="shared" si="309"/>
        <v>0.16387561966543035</v>
      </c>
      <c r="AG295" s="180">
        <v>67.831600339999994</v>
      </c>
      <c r="AH295" s="180">
        <f t="shared" si="310"/>
        <v>0.21288018897464889</v>
      </c>
      <c r="AI295" s="180">
        <v>741.08333875000005</v>
      </c>
    </row>
    <row r="296" spans="1:35" ht="15" customHeight="1">
      <c r="A296" s="625" t="s">
        <v>19</v>
      </c>
      <c r="B296" s="180">
        <v>32002.54824611</v>
      </c>
      <c r="C296" s="180">
        <v>561.97294440999997</v>
      </c>
      <c r="D296" s="180">
        <f t="shared" si="294"/>
        <v>1.7560256142362329</v>
      </c>
      <c r="E296" s="180">
        <v>4397.8959186800002</v>
      </c>
      <c r="F296" s="180">
        <f t="shared" si="295"/>
        <v>13.742330407124928</v>
      </c>
      <c r="G296" s="180">
        <v>647.45872441999995</v>
      </c>
      <c r="H296" s="180">
        <f t="shared" si="296"/>
        <v>2.0231474051404654</v>
      </c>
      <c r="I296" s="180">
        <v>568.67447478999998</v>
      </c>
      <c r="J296" s="180">
        <f t="shared" si="297"/>
        <v>1.7769662291162205</v>
      </c>
      <c r="K296" s="180">
        <v>1877.39560923</v>
      </c>
      <c r="L296" s="180">
        <f t="shared" si="298"/>
        <v>5.8663941220937081</v>
      </c>
      <c r="M296" s="180">
        <v>1698.2986573600001</v>
      </c>
      <c r="N296" s="180">
        <f t="shared" si="299"/>
        <v>5.3067607126142935</v>
      </c>
      <c r="O296" s="180">
        <v>2163.48580167</v>
      </c>
      <c r="P296" s="180">
        <f t="shared" si="300"/>
        <v>6.7603547849755312</v>
      </c>
      <c r="Q296" s="180">
        <v>19196.92217365</v>
      </c>
      <c r="R296" s="180">
        <f t="shared" si="301"/>
        <v>59.98560497751437</v>
      </c>
      <c r="S296" s="901">
        <v>4673.3452906419998</v>
      </c>
      <c r="T296" s="901">
        <f t="shared" si="302"/>
        <v>14.603041153793303</v>
      </c>
      <c r="U296" s="180">
        <v>16.542891130000001</v>
      </c>
      <c r="V296" s="180">
        <f t="shared" si="303"/>
        <v>5.1692418374873747E-2</v>
      </c>
      <c r="W296" s="180">
        <v>9.5420000000000005E-5</v>
      </c>
      <c r="X296" s="180">
        <f t="shared" si="304"/>
        <v>2.9816375641773641E-7</v>
      </c>
      <c r="Y296" s="180">
        <f t="shared" si="305"/>
        <v>660.8947325099931</v>
      </c>
      <c r="Z296" s="180">
        <f t="shared" si="306"/>
        <v>2.0651315871083069</v>
      </c>
      <c r="AA296" s="180">
        <v>92.453832180000006</v>
      </c>
      <c r="AB296" s="180">
        <f t="shared" si="307"/>
        <v>0.28889522005872775</v>
      </c>
      <c r="AC296" s="180">
        <v>3.9709453300000002</v>
      </c>
      <c r="AD296" s="180">
        <f t="shared" si="308"/>
        <v>1.2408216056615677E-2</v>
      </c>
      <c r="AE296" s="180">
        <v>46.188208420000002</v>
      </c>
      <c r="AF296" s="180">
        <f t="shared" si="309"/>
        <v>0.14432665819233415</v>
      </c>
      <c r="AG296" s="180">
        <v>70.393236909999999</v>
      </c>
      <c r="AH296" s="180">
        <f t="shared" si="310"/>
        <v>0.21996134922960858</v>
      </c>
      <c r="AI296" s="180">
        <v>790.50926952999998</v>
      </c>
    </row>
    <row r="297" spans="1:35" ht="15" customHeight="1">
      <c r="A297" s="625" t="s">
        <v>20</v>
      </c>
      <c r="B297" s="180">
        <v>32312.94759874</v>
      </c>
      <c r="C297" s="180">
        <v>619.58458363</v>
      </c>
      <c r="D297" s="180">
        <f t="shared" si="294"/>
        <v>1.917449906842172</v>
      </c>
      <c r="E297" s="180">
        <v>4413.1073759700002</v>
      </c>
      <c r="F297" s="180">
        <f t="shared" si="295"/>
        <v>13.657396504867553</v>
      </c>
      <c r="G297" s="180">
        <v>624.19042960000002</v>
      </c>
      <c r="H297" s="180">
        <f t="shared" si="296"/>
        <v>1.9317037781608617</v>
      </c>
      <c r="I297" s="180">
        <v>574.39634372</v>
      </c>
      <c r="J297" s="180">
        <f t="shared" si="297"/>
        <v>1.7776042930308151</v>
      </c>
      <c r="K297" s="180">
        <v>1869.1423984800001</v>
      </c>
      <c r="L297" s="180">
        <f t="shared" si="298"/>
        <v>5.7844998286472782</v>
      </c>
      <c r="M297" s="180">
        <v>1690.9597011599999</v>
      </c>
      <c r="N297" s="180">
        <f t="shared" si="299"/>
        <v>5.2330716533762969</v>
      </c>
      <c r="O297" s="180">
        <v>2260.69416632</v>
      </c>
      <c r="P297" s="180">
        <f t="shared" si="300"/>
        <v>6.9962486690881551</v>
      </c>
      <c r="Q297" s="180">
        <v>19361.558508819999</v>
      </c>
      <c r="R297" s="180">
        <f t="shared" si="301"/>
        <v>59.918886847620726</v>
      </c>
      <c r="S297" s="901">
        <v>4665.3438855120003</v>
      </c>
      <c r="T297" s="901">
        <f t="shared" si="302"/>
        <v>14.438001582046695</v>
      </c>
      <c r="U297" s="180">
        <v>16.160346820000001</v>
      </c>
      <c r="V297" s="180">
        <f t="shared" si="303"/>
        <v>5.0011985971314336E-2</v>
      </c>
      <c r="W297" s="180">
        <v>9.5420000000000005E-5</v>
      </c>
      <c r="X297" s="180">
        <f t="shared" si="304"/>
        <v>2.9529958450376954E-7</v>
      </c>
      <c r="Y297" s="180">
        <f t="shared" si="305"/>
        <v>658.96989250000308</v>
      </c>
      <c r="Z297" s="180">
        <f t="shared" si="306"/>
        <v>2.0393369886370216</v>
      </c>
      <c r="AA297" s="180">
        <v>99.953566629999997</v>
      </c>
      <c r="AB297" s="180">
        <f t="shared" si="307"/>
        <v>0.3093297704413</v>
      </c>
      <c r="AC297" s="180">
        <v>6.2960094499999997</v>
      </c>
      <c r="AD297" s="180">
        <f t="shared" si="308"/>
        <v>1.9484478878817924E-2</v>
      </c>
      <c r="AE297" s="180">
        <v>49.097867729999997</v>
      </c>
      <c r="AF297" s="180">
        <f t="shared" si="309"/>
        <v>0.15194487466663209</v>
      </c>
      <c r="AG297" s="180">
        <v>68.836312489999997</v>
      </c>
      <c r="AH297" s="180">
        <f t="shared" si="310"/>
        <v>0.2130301244714802</v>
      </c>
      <c r="AI297" s="180">
        <v>676.59709434000001</v>
      </c>
    </row>
    <row r="298" spans="1:35" ht="15" customHeight="1">
      <c r="A298" s="625" t="s">
        <v>21</v>
      </c>
      <c r="B298" s="180">
        <v>32631.814251600001</v>
      </c>
      <c r="C298" s="180">
        <v>614.23724689999995</v>
      </c>
      <c r="D298" s="180">
        <f t="shared" si="294"/>
        <v>1.8823263768421417</v>
      </c>
      <c r="E298" s="180">
        <v>4444.3809210899999</v>
      </c>
      <c r="F298" s="180">
        <f t="shared" si="295"/>
        <v>13.619778804888494</v>
      </c>
      <c r="G298" s="180">
        <v>616.12161733000005</v>
      </c>
      <c r="H298" s="180">
        <f t="shared" si="296"/>
        <v>1.8881010187773746</v>
      </c>
      <c r="I298" s="180">
        <v>536.36548075999997</v>
      </c>
      <c r="J298" s="180">
        <f t="shared" si="297"/>
        <v>1.6436888143101052</v>
      </c>
      <c r="K298" s="180">
        <v>1832.2502229900001</v>
      </c>
      <c r="L298" s="180">
        <f t="shared" si="298"/>
        <v>5.6149198719472402</v>
      </c>
      <c r="M298" s="180">
        <v>1706.12330653</v>
      </c>
      <c r="N298" s="180">
        <f t="shared" si="299"/>
        <v>5.2284046892867613</v>
      </c>
      <c r="O298" s="180">
        <v>2310.5264046000002</v>
      </c>
      <c r="P298" s="180">
        <f t="shared" si="300"/>
        <v>7.0805943757378138</v>
      </c>
      <c r="Q298" s="180">
        <v>19682.880143670001</v>
      </c>
      <c r="R298" s="180">
        <f t="shared" si="301"/>
        <v>60.318068716344541</v>
      </c>
      <c r="S298" s="901">
        <v>4763.8259428419997</v>
      </c>
      <c r="T298" s="901">
        <f t="shared" si="302"/>
        <v>14.598716167331762</v>
      </c>
      <c r="U298" s="180">
        <v>14.14348107</v>
      </c>
      <c r="V298" s="180">
        <f t="shared" si="303"/>
        <v>4.3342613318861113E-2</v>
      </c>
      <c r="W298" s="180">
        <v>9.5420000000000005E-5</v>
      </c>
      <c r="X298" s="180">
        <f t="shared" si="304"/>
        <v>2.9241402045343334E-7</v>
      </c>
      <c r="Y298" s="180">
        <f t="shared" si="305"/>
        <v>649.95130069999414</v>
      </c>
      <c r="Z298" s="180">
        <f t="shared" si="306"/>
        <v>1.9917718815408059</v>
      </c>
      <c r="AA298" s="180">
        <v>98.047020700000004</v>
      </c>
      <c r="AB298" s="180">
        <f t="shared" si="307"/>
        <v>0.30046450970832117</v>
      </c>
      <c r="AC298" s="180">
        <v>5.9305872500000003</v>
      </c>
      <c r="AD298" s="180">
        <f t="shared" si="308"/>
        <v>1.8174249228907684E-2</v>
      </c>
      <c r="AE298" s="180">
        <v>50.40144574</v>
      </c>
      <c r="AF298" s="180">
        <f t="shared" si="309"/>
        <v>0.1544549296321418</v>
      </c>
      <c r="AG298" s="180">
        <v>70.454976849999994</v>
      </c>
      <c r="AH298" s="180">
        <f t="shared" si="310"/>
        <v>0.21590885602244889</v>
      </c>
      <c r="AI298" s="180">
        <v>802.17589667000004</v>
      </c>
    </row>
    <row r="299" spans="1:35" ht="15" customHeight="1">
      <c r="A299" s="625" t="s">
        <v>22</v>
      </c>
      <c r="B299" s="180">
        <v>32908.42435478</v>
      </c>
      <c r="C299" s="180">
        <v>635.41308357000003</v>
      </c>
      <c r="D299" s="180">
        <v>1.9308523456477953</v>
      </c>
      <c r="E299" s="180">
        <v>4596.4065307399997</v>
      </c>
      <c r="F299" s="180">
        <v>13.967264069488531</v>
      </c>
      <c r="G299" s="180">
        <v>615.25535334999995</v>
      </c>
      <c r="H299" s="180">
        <v>1.8695983335970117</v>
      </c>
      <c r="I299" s="180">
        <v>520.16418630999999</v>
      </c>
      <c r="J299" s="180">
        <v>1.5806414208781323</v>
      </c>
      <c r="K299" s="180">
        <v>1839.7664213600001</v>
      </c>
      <c r="L299" s="180">
        <v>5.5905636852308644</v>
      </c>
      <c r="M299" s="180">
        <v>1693.5682883699999</v>
      </c>
      <c r="N299" s="180">
        <v>5.1463062166451206</v>
      </c>
      <c r="O299" s="180">
        <v>2292.6395532299998</v>
      </c>
      <c r="P299" s="180">
        <v>6.9667253847022614</v>
      </c>
      <c r="Q299" s="180">
        <v>19925.016168850001</v>
      </c>
      <c r="R299" s="180">
        <v>60.54685558336633</v>
      </c>
      <c r="S299" s="901">
        <v>4809.4290059320001</v>
      </c>
      <c r="T299" s="901">
        <f t="shared" si="302"/>
        <v>14.614583044397333</v>
      </c>
      <c r="U299" s="180">
        <v>10.71494405</v>
      </c>
      <c r="V299" s="180">
        <v>3.255988173266533E-2</v>
      </c>
      <c r="W299" s="180">
        <v>0</v>
      </c>
      <c r="X299" s="180">
        <f t="shared" si="304"/>
        <v>0</v>
      </c>
      <c r="Y299" s="180">
        <f t="shared" si="305"/>
        <v>560.28416943999787</v>
      </c>
      <c r="Z299" s="180">
        <f t="shared" si="306"/>
        <v>1.7025554411225274</v>
      </c>
      <c r="AA299" s="180">
        <v>90.696171390000003</v>
      </c>
      <c r="AB299" s="180">
        <v>0.2756016830590865</v>
      </c>
      <c r="AC299" s="180">
        <v>5.6074031399999997</v>
      </c>
      <c r="AD299" s="180">
        <f t="shared" si="308"/>
        <v>1.7039415438270644E-2</v>
      </c>
      <c r="AE299" s="180">
        <v>54.933368340000001</v>
      </c>
      <c r="AF299" s="180">
        <v>0.16692798095640471</v>
      </c>
      <c r="AG299" s="180">
        <v>67.958712640000002</v>
      </c>
      <c r="AH299" s="180">
        <v>0.20650855813498983</v>
      </c>
      <c r="AI299" s="180">
        <v>788.53634268999997</v>
      </c>
    </row>
    <row r="300" spans="1:35" ht="15" customHeight="1">
      <c r="A300" s="636" t="s">
        <v>23</v>
      </c>
      <c r="B300" s="637">
        <v>33881.094989997997</v>
      </c>
      <c r="C300" s="637">
        <v>719.27659745799997</v>
      </c>
      <c r="D300" s="637">
        <f t="shared" si="294"/>
        <v>2.1229437763754002</v>
      </c>
      <c r="E300" s="637">
        <v>4599.4879819099997</v>
      </c>
      <c r="F300" s="637">
        <f t="shared" si="295"/>
        <v>13.575381738009973</v>
      </c>
      <c r="G300" s="637">
        <v>566.97873487000004</v>
      </c>
      <c r="H300" s="637">
        <f t="shared" si="296"/>
        <v>1.6734368680745921</v>
      </c>
      <c r="I300" s="637">
        <v>510.52379712999999</v>
      </c>
      <c r="J300" s="637">
        <f t="shared" si="297"/>
        <v>1.506810205752533</v>
      </c>
      <c r="K300" s="637">
        <v>2403.81142086</v>
      </c>
      <c r="L300" s="637">
        <f t="shared" si="298"/>
        <v>7.0948457290699336</v>
      </c>
      <c r="M300" s="637">
        <v>1663.29749242</v>
      </c>
      <c r="N300" s="637">
        <f t="shared" si="299"/>
        <v>4.9092200028098869</v>
      </c>
      <c r="O300" s="637">
        <v>2489.2695094199998</v>
      </c>
      <c r="P300" s="637">
        <f t="shared" si="300"/>
        <v>7.3470751466410826</v>
      </c>
      <c r="Q300" s="637">
        <v>20161.3275932</v>
      </c>
      <c r="R300" s="637">
        <f t="shared" si="301"/>
        <v>59.506127529679318</v>
      </c>
      <c r="S300" s="1992">
        <v>4826.2820561320004</v>
      </c>
      <c r="T300" s="1992">
        <f t="shared" si="302"/>
        <v>14.244764100914573</v>
      </c>
      <c r="U300" s="637">
        <v>10.844782670000001</v>
      </c>
      <c r="V300" s="637">
        <f t="shared" si="303"/>
        <v>3.2008359450016233E-2</v>
      </c>
      <c r="W300" s="637">
        <v>0</v>
      </c>
      <c r="X300" s="637">
        <v>2.9529958450376954E-7</v>
      </c>
      <c r="Y300" s="637">
        <f t="shared" si="305"/>
        <v>528.4410948799931</v>
      </c>
      <c r="Z300" s="637">
        <f t="shared" si="306"/>
        <v>1.5596930826350024</v>
      </c>
      <c r="AA300" s="637">
        <v>90.050287870000005</v>
      </c>
      <c r="AB300" s="637">
        <f t="shared" si="307"/>
        <v>0.26578328680517455</v>
      </c>
      <c r="AC300" s="637">
        <v>1.6686106999999999</v>
      </c>
      <c r="AD300" s="637">
        <f t="shared" si="308"/>
        <v>4.9249019268491432E-3</v>
      </c>
      <c r="AE300" s="637">
        <v>59.760631930000002</v>
      </c>
      <c r="AF300" s="637">
        <f t="shared" si="309"/>
        <v>0.17638341366370205</v>
      </c>
      <c r="AG300" s="637">
        <v>76.356454679999999</v>
      </c>
      <c r="AH300" s="637">
        <f t="shared" si="310"/>
        <v>0.22536595910651974</v>
      </c>
      <c r="AI300" s="637">
        <v>696.05025173000001</v>
      </c>
    </row>
    <row r="301" spans="1:35" s="735" customFormat="1" ht="18" customHeight="1">
      <c r="A301" s="2263" t="s">
        <v>2698</v>
      </c>
      <c r="B301" s="2263"/>
      <c r="C301" s="2263"/>
      <c r="D301" s="2263"/>
      <c r="E301" s="2263"/>
      <c r="F301" s="2263"/>
      <c r="G301" s="2263"/>
      <c r="H301" s="2263"/>
      <c r="I301" s="2263"/>
      <c r="J301" s="2263"/>
      <c r="K301" s="2263"/>
      <c r="L301" s="2263"/>
      <c r="M301" s="2263"/>
      <c r="N301" s="2263"/>
      <c r="O301" s="2263"/>
      <c r="P301" s="2263"/>
      <c r="Q301" s="2263"/>
      <c r="R301" s="2263"/>
      <c r="S301" s="2263"/>
      <c r="T301" s="2263"/>
      <c r="U301" s="2263"/>
      <c r="V301" s="2263"/>
      <c r="W301" s="2263"/>
      <c r="X301" s="2263"/>
      <c r="Y301" s="2263"/>
      <c r="Z301" s="2263"/>
      <c r="AA301" s="2263"/>
      <c r="AB301" s="2263"/>
      <c r="AC301" s="2263"/>
      <c r="AD301" s="2263"/>
      <c r="AE301" s="2263"/>
      <c r="AF301" s="2263"/>
      <c r="AG301" s="2263"/>
      <c r="AH301" s="2263"/>
      <c r="AI301" s="2263"/>
    </row>
    <row r="302" spans="1:35" s="735" customFormat="1" ht="18" customHeight="1">
      <c r="A302" s="2264" t="s">
        <v>2682</v>
      </c>
      <c r="B302" s="2264"/>
      <c r="C302" s="2264"/>
      <c r="D302" s="2264"/>
      <c r="E302" s="2264"/>
      <c r="F302" s="2264"/>
      <c r="G302" s="2264"/>
      <c r="H302" s="2264"/>
      <c r="I302" s="2264"/>
      <c r="J302" s="2264"/>
      <c r="K302" s="2264"/>
      <c r="L302" s="2264"/>
      <c r="M302" s="2264"/>
      <c r="N302" s="2264"/>
      <c r="O302" s="2264"/>
      <c r="P302" s="2264"/>
      <c r="Q302" s="2264"/>
      <c r="R302" s="2264"/>
      <c r="S302" s="2264"/>
      <c r="T302" s="2264"/>
      <c r="U302" s="2264"/>
      <c r="V302" s="2264"/>
      <c r="W302" s="2264"/>
      <c r="X302" s="2264"/>
      <c r="Y302" s="2264"/>
      <c r="Z302" s="2264"/>
      <c r="AA302" s="2264"/>
      <c r="AB302" s="2264"/>
      <c r="AC302" s="2264"/>
      <c r="AD302" s="2264"/>
      <c r="AE302" s="2264"/>
      <c r="AF302" s="2264"/>
      <c r="AG302" s="2264"/>
      <c r="AH302" s="2264"/>
      <c r="AI302" s="2264"/>
    </row>
    <row r="303" spans="1:35">
      <c r="D303" s="54"/>
      <c r="E303" s="138"/>
      <c r="F303" s="138"/>
      <c r="G303" s="138"/>
      <c r="N303" s="137"/>
      <c r="O303" s="138"/>
      <c r="Z303" s="54"/>
      <c r="AD303" s="56"/>
      <c r="AE303" s="55"/>
    </row>
    <row r="304" spans="1:35" ht="17.25" customHeight="1">
      <c r="B304" s="263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1340"/>
      <c r="O304" s="54"/>
      <c r="P304" s="54"/>
      <c r="Q304" s="54"/>
      <c r="R304" s="54"/>
      <c r="S304" s="54"/>
      <c r="T304" s="54"/>
      <c r="U304" s="54"/>
      <c r="V304" s="54"/>
      <c r="X304" s="54"/>
      <c r="Y304" s="54"/>
      <c r="Z304" s="54"/>
      <c r="AA304" s="56"/>
      <c r="AB304" s="56"/>
      <c r="AC304" s="56"/>
      <c r="AD304" s="56"/>
    </row>
    <row r="305" spans="4:26">
      <c r="D305" s="138"/>
      <c r="E305" s="54"/>
      <c r="G305" s="226"/>
      <c r="H305" s="226"/>
      <c r="N305" s="137"/>
      <c r="O305" s="138"/>
      <c r="S305" s="1355"/>
      <c r="V305" s="139"/>
      <c r="Y305" s="138"/>
      <c r="Z305" s="54"/>
    </row>
    <row r="306" spans="4:26">
      <c r="D306" s="138"/>
      <c r="N306" s="137"/>
      <c r="O306" s="138"/>
      <c r="V306" s="139"/>
      <c r="Y306" s="138"/>
    </row>
    <row r="307" spans="4:26">
      <c r="H307" s="960"/>
      <c r="N307" s="137"/>
      <c r="O307" s="138"/>
      <c r="Z307" s="54"/>
    </row>
    <row r="308" spans="4:26">
      <c r="N308" s="137"/>
      <c r="O308" s="138"/>
      <c r="V308" s="139"/>
      <c r="Z308" s="54"/>
    </row>
    <row r="309" spans="4:26">
      <c r="N309" s="137"/>
      <c r="O309" s="138"/>
      <c r="R309" s="139"/>
      <c r="S309" s="139"/>
      <c r="T309" s="139"/>
      <c r="V309" s="139"/>
      <c r="Z309" s="54"/>
    </row>
    <row r="310" spans="4:26">
      <c r="V310" s="140"/>
      <c r="Z310" s="54"/>
    </row>
    <row r="311" spans="4:26">
      <c r="V311" s="140"/>
      <c r="Z311" s="54"/>
    </row>
    <row r="312" spans="4:26">
      <c r="V312" s="139"/>
      <c r="Z312" s="54"/>
    </row>
    <row r="313" spans="4:26">
      <c r="V313" s="139"/>
    </row>
    <row r="314" spans="4:26">
      <c r="V314" s="139"/>
    </row>
  </sheetData>
  <mergeCells count="77">
    <mergeCell ref="A11:A14"/>
    <mergeCell ref="K12:L13"/>
    <mergeCell ref="M12:N13"/>
    <mergeCell ref="A301:AI301"/>
    <mergeCell ref="A302:AI302"/>
    <mergeCell ref="AA12:AB13"/>
    <mergeCell ref="AC12:AD13"/>
    <mergeCell ref="AE12:AF13"/>
    <mergeCell ref="AG12:AH13"/>
    <mergeCell ref="AI12:AI14"/>
    <mergeCell ref="O12:P13"/>
    <mergeCell ref="Q12:R13"/>
    <mergeCell ref="S12:T13"/>
    <mergeCell ref="U12:V13"/>
    <mergeCell ref="W12:X13"/>
    <mergeCell ref="Y12:Z13"/>
    <mergeCell ref="B12:B14"/>
    <mergeCell ref="C12:D13"/>
    <mergeCell ref="E12:F13"/>
    <mergeCell ref="G12:H13"/>
    <mergeCell ref="I12:J13"/>
    <mergeCell ref="AH9:AH10"/>
    <mergeCell ref="W9:W10"/>
    <mergeCell ref="X9:X10"/>
    <mergeCell ref="Y9:Y10"/>
    <mergeCell ref="Z9:Z10"/>
    <mergeCell ref="AA9:AA10"/>
    <mergeCell ref="AB9:AB10"/>
    <mergeCell ref="AC9:AC10"/>
    <mergeCell ref="AD9:AD10"/>
    <mergeCell ref="AE9:AE10"/>
    <mergeCell ref="AF9:AF10"/>
    <mergeCell ref="AG9:AG10"/>
    <mergeCell ref="V9:V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E7:AF8"/>
    <mergeCell ref="AG7:AH8"/>
    <mergeCell ref="C9:C10"/>
    <mergeCell ref="D9:D10"/>
    <mergeCell ref="E9:E10"/>
    <mergeCell ref="F9:F10"/>
    <mergeCell ref="G9:G10"/>
    <mergeCell ref="H9:H10"/>
    <mergeCell ref="I9:I10"/>
    <mergeCell ref="J9:J10"/>
    <mergeCell ref="S7:T8"/>
    <mergeCell ref="U7:V8"/>
    <mergeCell ref="W7:X8"/>
    <mergeCell ref="Y7:Z8"/>
    <mergeCell ref="AA7:AB8"/>
    <mergeCell ref="AC7:AD8"/>
    <mergeCell ref="B6:AH6"/>
    <mergeCell ref="B11:AH11"/>
    <mergeCell ref="Q7:R8"/>
    <mergeCell ref="A2:AI2"/>
    <mergeCell ref="A3:AI3"/>
    <mergeCell ref="A5:AI5"/>
    <mergeCell ref="A6:A10"/>
    <mergeCell ref="AI6:AI10"/>
    <mergeCell ref="B7:B10"/>
    <mergeCell ref="C7:D8"/>
    <mergeCell ref="E7:F8"/>
    <mergeCell ref="G7:H8"/>
    <mergeCell ref="I7:J8"/>
    <mergeCell ref="K7:L8"/>
    <mergeCell ref="M7:N8"/>
    <mergeCell ref="O7:P8"/>
  </mergeCells>
  <pageMargins left="0.17" right="0.17" top="0.17" bottom="0.17" header="0.17" footer="0.17"/>
  <pageSetup scale="17" orientation="landscape" r:id="rId1"/>
  <ignoredErrors>
    <ignoredError sqref="Y230:Y238" formula="1"/>
    <ignoredError sqref="A211:A2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B72"/>
  <sheetViews>
    <sheetView showGridLines="0" tabSelected="1" view="pageBreakPreview" zoomScaleNormal="100" zoomScaleSheetLayoutView="100" workbookViewId="0">
      <pane ySplit="5" topLeftCell="A6" activePane="bottomLeft" state="frozen"/>
      <selection activeCell="F40" sqref="F40"/>
      <selection pane="bottomLeft" activeCell="E75" sqref="E75"/>
    </sheetView>
  </sheetViews>
  <sheetFormatPr defaultColWidth="9.140625" defaultRowHeight="15"/>
  <cols>
    <col min="1" max="1" width="8.140625" style="906" customWidth="1"/>
    <col min="2" max="2" width="114.28515625" style="907" customWidth="1"/>
    <col min="3" max="16384" width="9.140625" style="907"/>
  </cols>
  <sheetData>
    <row r="1" spans="1:2" ht="6" customHeight="1"/>
    <row r="2" spans="1:2" ht="30" customHeight="1">
      <c r="A2" s="2026" t="s">
        <v>3694</v>
      </c>
      <c r="B2" s="2026"/>
    </row>
    <row r="3" spans="1:2" ht="12" customHeight="1">
      <c r="A3" s="2027"/>
      <c r="B3" s="2027"/>
    </row>
    <row r="4" spans="1:2" ht="10.5" customHeight="1">
      <c r="A4" s="2028"/>
      <c r="B4" s="2028"/>
    </row>
    <row r="5" spans="1:2" ht="19.5" customHeight="1">
      <c r="A5" s="908" t="s">
        <v>2343</v>
      </c>
      <c r="B5" s="909" t="s">
        <v>3695</v>
      </c>
    </row>
    <row r="6" spans="1:2" ht="18" customHeight="1">
      <c r="A6" s="910">
        <v>1.1000000000000001</v>
      </c>
      <c r="B6" s="912" t="s">
        <v>3651</v>
      </c>
    </row>
    <row r="7" spans="1:2" ht="18" customHeight="1">
      <c r="A7" s="911">
        <v>1.2</v>
      </c>
      <c r="B7" s="912" t="s">
        <v>3655</v>
      </c>
    </row>
    <row r="8" spans="1:2" ht="18" customHeight="1">
      <c r="A8" s="911">
        <v>1.3</v>
      </c>
      <c r="B8" s="912" t="s">
        <v>3652</v>
      </c>
    </row>
    <row r="9" spans="1:2" ht="18" customHeight="1">
      <c r="A9" s="911">
        <v>1.4</v>
      </c>
      <c r="B9" s="912" t="s">
        <v>3653</v>
      </c>
    </row>
    <row r="10" spans="1:2" ht="18" customHeight="1">
      <c r="A10" s="911">
        <v>1.5</v>
      </c>
      <c r="B10" s="912" t="s">
        <v>3696</v>
      </c>
    </row>
    <row r="11" spans="1:2" ht="18" customHeight="1">
      <c r="A11" s="911">
        <v>1.6</v>
      </c>
      <c r="B11" s="912" t="s">
        <v>3697</v>
      </c>
    </row>
    <row r="12" spans="1:2" ht="18" customHeight="1">
      <c r="A12" s="911" t="s">
        <v>3492</v>
      </c>
      <c r="B12" s="912" t="s">
        <v>3698</v>
      </c>
    </row>
    <row r="13" spans="1:2" ht="18" customHeight="1">
      <c r="A13" s="911">
        <v>2.1</v>
      </c>
      <c r="B13" s="912" t="s">
        <v>3699</v>
      </c>
    </row>
    <row r="14" spans="1:2" ht="18" customHeight="1">
      <c r="A14" s="911">
        <v>2.2000000000000002</v>
      </c>
      <c r="B14" s="912" t="s">
        <v>3700</v>
      </c>
    </row>
    <row r="15" spans="1:2" ht="18" customHeight="1">
      <c r="A15" s="911">
        <v>2.2999999999999998</v>
      </c>
      <c r="B15" s="912" t="s">
        <v>3701</v>
      </c>
    </row>
    <row r="16" spans="1:2" ht="18" customHeight="1">
      <c r="A16" s="911">
        <v>2.4</v>
      </c>
      <c r="B16" s="912" t="s">
        <v>3702</v>
      </c>
    </row>
    <row r="17" spans="1:2" ht="18" customHeight="1">
      <c r="A17" s="911">
        <v>2.5</v>
      </c>
      <c r="B17" s="912" t="s">
        <v>3703</v>
      </c>
    </row>
    <row r="18" spans="1:2" ht="18" customHeight="1">
      <c r="A18" s="911">
        <v>2.6</v>
      </c>
      <c r="B18" s="912" t="s">
        <v>3704</v>
      </c>
    </row>
    <row r="19" spans="1:2" ht="18" customHeight="1">
      <c r="A19" s="911">
        <v>2.7</v>
      </c>
      <c r="B19" s="912" t="s">
        <v>3705</v>
      </c>
    </row>
    <row r="20" spans="1:2" ht="18" customHeight="1">
      <c r="A20" s="911" t="s">
        <v>2968</v>
      </c>
      <c r="B20" s="912" t="s">
        <v>3712</v>
      </c>
    </row>
    <row r="21" spans="1:2" ht="18" customHeight="1">
      <c r="A21" s="911" t="s">
        <v>3083</v>
      </c>
      <c r="B21" s="912" t="s">
        <v>3656</v>
      </c>
    </row>
    <row r="22" spans="1:2" ht="18" customHeight="1">
      <c r="A22" s="911">
        <v>2.8</v>
      </c>
      <c r="B22" s="912" t="s">
        <v>3706</v>
      </c>
    </row>
    <row r="23" spans="1:2" ht="18" customHeight="1">
      <c r="A23" s="911" t="s">
        <v>2966</v>
      </c>
      <c r="B23" s="912" t="s">
        <v>3713</v>
      </c>
    </row>
    <row r="24" spans="1:2" ht="18" customHeight="1">
      <c r="A24" s="911" t="s">
        <v>2896</v>
      </c>
      <c r="B24" s="912" t="s">
        <v>3657</v>
      </c>
    </row>
    <row r="25" spans="1:2" ht="18" customHeight="1">
      <c r="A25" s="911" t="s">
        <v>2898</v>
      </c>
      <c r="B25" s="912" t="s">
        <v>3659</v>
      </c>
    </row>
    <row r="26" spans="1:2" ht="18" customHeight="1">
      <c r="A26" s="911" t="s">
        <v>2900</v>
      </c>
      <c r="B26" s="912" t="s">
        <v>3658</v>
      </c>
    </row>
    <row r="27" spans="1:2" ht="18" customHeight="1">
      <c r="A27" s="911" t="s">
        <v>2902</v>
      </c>
      <c r="B27" s="912" t="s">
        <v>3660</v>
      </c>
    </row>
    <row r="28" spans="1:2" ht="18" customHeight="1">
      <c r="A28" s="911" t="s">
        <v>2904</v>
      </c>
      <c r="B28" s="912" t="s">
        <v>3661</v>
      </c>
    </row>
    <row r="29" spans="1:2" ht="18" customHeight="1">
      <c r="A29" s="911" t="s">
        <v>2906</v>
      </c>
      <c r="B29" s="912" t="s">
        <v>3662</v>
      </c>
    </row>
    <row r="30" spans="1:2" ht="18" customHeight="1">
      <c r="A30" s="911" t="s">
        <v>2908</v>
      </c>
      <c r="B30" s="912" t="s">
        <v>3663</v>
      </c>
    </row>
    <row r="31" spans="1:2" ht="18" customHeight="1">
      <c r="A31" s="911" t="s">
        <v>2910</v>
      </c>
      <c r="B31" s="912" t="s">
        <v>3664</v>
      </c>
    </row>
    <row r="32" spans="1:2" ht="18" customHeight="1">
      <c r="A32" s="911" t="s">
        <v>2912</v>
      </c>
      <c r="B32" s="912" t="s">
        <v>3665</v>
      </c>
    </row>
    <row r="33" spans="1:2" ht="18" customHeight="1">
      <c r="A33" s="911" t="s">
        <v>2914</v>
      </c>
      <c r="B33" s="912" t="s">
        <v>3666</v>
      </c>
    </row>
    <row r="34" spans="1:2" ht="18" customHeight="1">
      <c r="A34" s="911" t="s">
        <v>2916</v>
      </c>
      <c r="B34" s="912" t="s">
        <v>3667</v>
      </c>
    </row>
    <row r="35" spans="1:2" ht="18" customHeight="1">
      <c r="A35" s="911" t="s">
        <v>2918</v>
      </c>
      <c r="B35" s="912" t="s">
        <v>3707</v>
      </c>
    </row>
    <row r="36" spans="1:2" ht="18" customHeight="1">
      <c r="A36" s="911" t="s">
        <v>2919</v>
      </c>
      <c r="B36" s="912" t="s">
        <v>3708</v>
      </c>
    </row>
    <row r="37" spans="1:2" ht="18" customHeight="1">
      <c r="A37" s="911" t="s">
        <v>2921</v>
      </c>
      <c r="B37" s="912" t="s">
        <v>3668</v>
      </c>
    </row>
    <row r="38" spans="1:2" ht="18" customHeight="1">
      <c r="A38" s="911" t="s">
        <v>2923</v>
      </c>
      <c r="B38" s="912" t="s">
        <v>3669</v>
      </c>
    </row>
    <row r="39" spans="1:2" ht="18" customHeight="1">
      <c r="A39" s="911" t="s">
        <v>2925</v>
      </c>
      <c r="B39" s="912" t="s">
        <v>3670</v>
      </c>
    </row>
    <row r="40" spans="1:2" ht="18" customHeight="1">
      <c r="A40" s="911" t="s">
        <v>2926</v>
      </c>
      <c r="B40" s="912" t="s">
        <v>3671</v>
      </c>
    </row>
    <row r="41" spans="1:2" ht="18" customHeight="1">
      <c r="A41" s="911" t="s">
        <v>3493</v>
      </c>
      <c r="B41" s="912" t="s">
        <v>3709</v>
      </c>
    </row>
    <row r="42" spans="1:2" ht="18" customHeight="1">
      <c r="A42" s="911" t="s">
        <v>2927</v>
      </c>
      <c r="B42" s="912" t="s">
        <v>3710</v>
      </c>
    </row>
    <row r="43" spans="1:2" ht="18" customHeight="1">
      <c r="A43" s="911" t="s">
        <v>2928</v>
      </c>
      <c r="B43" s="912" t="s">
        <v>3672</v>
      </c>
    </row>
    <row r="44" spans="1:2" ht="18" customHeight="1">
      <c r="A44" s="911" t="s">
        <v>2929</v>
      </c>
      <c r="B44" s="912" t="s">
        <v>3673</v>
      </c>
    </row>
    <row r="45" spans="1:2" ht="18" customHeight="1">
      <c r="A45" s="911" t="s">
        <v>2930</v>
      </c>
      <c r="B45" s="912" t="s">
        <v>3674</v>
      </c>
    </row>
    <row r="46" spans="1:2" ht="18" customHeight="1">
      <c r="A46" s="911" t="s">
        <v>2932</v>
      </c>
      <c r="B46" s="912" t="s">
        <v>3675</v>
      </c>
    </row>
    <row r="47" spans="1:2" ht="18" customHeight="1">
      <c r="A47" s="911" t="s">
        <v>2934</v>
      </c>
      <c r="B47" s="912" t="s">
        <v>3676</v>
      </c>
    </row>
    <row r="48" spans="1:2" ht="18" customHeight="1">
      <c r="A48" s="911" t="s">
        <v>2936</v>
      </c>
      <c r="B48" s="912" t="s">
        <v>3677</v>
      </c>
    </row>
    <row r="49" spans="1:2" ht="18" customHeight="1">
      <c r="A49" s="911" t="s">
        <v>2938</v>
      </c>
      <c r="B49" s="912" t="s">
        <v>3678</v>
      </c>
    </row>
    <row r="50" spans="1:2" ht="18" customHeight="1">
      <c r="A50" s="911" t="s">
        <v>2939</v>
      </c>
      <c r="B50" s="912" t="s">
        <v>3679</v>
      </c>
    </row>
    <row r="51" spans="1:2" ht="18" customHeight="1">
      <c r="A51" s="911" t="s">
        <v>2941</v>
      </c>
      <c r="B51" s="912" t="s">
        <v>3906</v>
      </c>
    </row>
    <row r="52" spans="1:2" ht="18" customHeight="1">
      <c r="A52" s="911" t="s">
        <v>2942</v>
      </c>
      <c r="B52" s="912" t="s">
        <v>3680</v>
      </c>
    </row>
    <row r="53" spans="1:2" ht="18" customHeight="1">
      <c r="A53" s="911" t="s">
        <v>2944</v>
      </c>
      <c r="B53" s="912" t="s">
        <v>3681</v>
      </c>
    </row>
    <row r="54" spans="1:2" ht="18" customHeight="1">
      <c r="A54" s="911" t="s">
        <v>3085</v>
      </c>
      <c r="B54" s="912" t="s">
        <v>3682</v>
      </c>
    </row>
    <row r="55" spans="1:2" ht="18" customHeight="1">
      <c r="A55" s="911" t="s">
        <v>3086</v>
      </c>
      <c r="B55" s="912" t="s">
        <v>3871</v>
      </c>
    </row>
    <row r="56" spans="1:2" ht="18" customHeight="1">
      <c r="A56" s="911" t="s">
        <v>3087</v>
      </c>
      <c r="B56" s="912" t="s">
        <v>3683</v>
      </c>
    </row>
    <row r="57" spans="1:2" ht="18" customHeight="1">
      <c r="A57" s="911" t="s">
        <v>3088</v>
      </c>
      <c r="B57" s="912" t="s">
        <v>3684</v>
      </c>
    </row>
    <row r="58" spans="1:2" ht="18" customHeight="1">
      <c r="A58" s="911" t="s">
        <v>3770</v>
      </c>
      <c r="B58" s="912" t="s">
        <v>3771</v>
      </c>
    </row>
    <row r="59" spans="1:2" ht="18" customHeight="1">
      <c r="A59" s="911" t="s">
        <v>2945</v>
      </c>
      <c r="B59" s="912" t="s">
        <v>3685</v>
      </c>
    </row>
    <row r="60" spans="1:2" ht="18" customHeight="1">
      <c r="A60" s="911" t="s">
        <v>2946</v>
      </c>
      <c r="B60" s="912" t="s">
        <v>3686</v>
      </c>
    </row>
    <row r="61" spans="1:2" ht="18" customHeight="1">
      <c r="A61" s="911" t="s">
        <v>2948</v>
      </c>
      <c r="B61" s="912" t="s">
        <v>3711</v>
      </c>
    </row>
    <row r="62" spans="1:2" ht="18" customHeight="1">
      <c r="A62" s="911" t="s">
        <v>2950</v>
      </c>
      <c r="B62" s="912" t="s">
        <v>3687</v>
      </c>
    </row>
    <row r="63" spans="1:2" ht="18" customHeight="1">
      <c r="A63" s="911" t="s">
        <v>3091</v>
      </c>
      <c r="B63" s="912" t="s">
        <v>3688</v>
      </c>
    </row>
    <row r="64" spans="1:2" ht="18" customHeight="1">
      <c r="A64" s="911" t="s">
        <v>3623</v>
      </c>
      <c r="B64" s="912" t="s">
        <v>3689</v>
      </c>
    </row>
    <row r="65" spans="1:2" ht="18" customHeight="1">
      <c r="A65" s="911" t="s">
        <v>3805</v>
      </c>
      <c r="B65" s="912" t="s">
        <v>3807</v>
      </c>
    </row>
    <row r="66" spans="1:2" ht="18" customHeight="1">
      <c r="A66" s="911" t="s">
        <v>4173</v>
      </c>
      <c r="B66" s="912" t="s">
        <v>4184</v>
      </c>
    </row>
    <row r="67" spans="1:2" ht="18" customHeight="1">
      <c r="A67" s="911" t="s">
        <v>4247</v>
      </c>
      <c r="B67" s="1332" t="s">
        <v>4251</v>
      </c>
    </row>
    <row r="68" spans="1:2" ht="18" customHeight="1">
      <c r="A68" s="911" t="s">
        <v>3093</v>
      </c>
      <c r="B68" s="1332" t="s">
        <v>3690</v>
      </c>
    </row>
    <row r="69" spans="1:2" ht="18" customHeight="1">
      <c r="A69" s="911" t="s">
        <v>3094</v>
      </c>
      <c r="B69" s="912" t="s">
        <v>3691</v>
      </c>
    </row>
    <row r="70" spans="1:2" ht="18" customHeight="1">
      <c r="A70" s="911" t="s">
        <v>286</v>
      </c>
      <c r="B70" s="912" t="s">
        <v>3692</v>
      </c>
    </row>
    <row r="71" spans="1:2" ht="18" customHeight="1">
      <c r="A71" s="911" t="s">
        <v>287</v>
      </c>
      <c r="B71" s="912" t="s">
        <v>3693</v>
      </c>
    </row>
    <row r="72" spans="1:2" ht="9.75" customHeight="1"/>
  </sheetData>
  <mergeCells count="3">
    <mergeCell ref="A2:B2"/>
    <mergeCell ref="A3:B3"/>
    <mergeCell ref="A4:B4"/>
  </mergeCells>
  <hyperlinks>
    <hyperlink ref="B6" location="'1.1'!A1" display="Əsas makroiqtisadi göstəricilər" xr:uid="{00000000-0004-0000-0100-000000000000}"/>
    <hyperlink ref="B7" location="'1.2'!A1" display="Qiymət indekslərinin dəyişməsi, %-lə" xr:uid="{00000000-0004-0000-0100-000001000000}"/>
    <hyperlink ref="B8" location="'1.3'!A1" display="Azərbaycan Respublikasının dövlət büdcəsinin əsas göstəriciləri" xr:uid="{00000000-0004-0000-0100-000002000000}"/>
    <hyperlink ref="B9" location="'1.4'!A1" display="Azərbaycan Respublikasının tədiyə balansı" xr:uid="{00000000-0004-0000-0100-000003000000}"/>
    <hyperlink ref="B10" location="'1.5'!A1" display="Azərbaycan Respublikasının xarici ticarəti (tədiyə balansı metodologiyasına əsasən)" xr:uid="{00000000-0004-0000-0100-000004000000}"/>
    <hyperlink ref="B11" location="'1.6'!A1" display="Manatın xarici valyutalara nisbətən nominal və real effektiv məzənnəsi (dekabr 2000=100) " xr:uid="{00000000-0004-0000-0100-000005000000}"/>
    <hyperlink ref="B13" location="'2.1'!A1" display="Pul icmalı (dövrün sonuna)" xr:uid="{00000000-0004-0000-0100-000006000000}"/>
    <hyperlink ref="B14" location="'2.2'!A1" display="AMB-nin analitik balansı (dövrün sonuna)" xr:uid="{00000000-0004-0000-0100-000007000000}"/>
    <hyperlink ref="B15" location="'2.3'!A1" display="Kommersiya banklarının analitik balansı (dövrün sonuna)" xr:uid="{00000000-0004-0000-0100-000008000000}"/>
    <hyperlink ref="B16" location="'2.4'!A1" display="Pul aqreqatları (dövrün sonuna)" xr:uid="{00000000-0004-0000-0100-000009000000}"/>
    <hyperlink ref="B17" location="'2.5'!A1" display="Pul bazası (dövrün sonuna)" xr:uid="{00000000-0004-0000-0100-00000A000000}"/>
    <hyperlink ref="B18" location="'2.6'!A1" display="İqtisadiyyata kredit qoyuluşlarının kredit təşkilatları üzrə strukturu (dövrün sonuna)" xr:uid="{00000000-0004-0000-0100-00000B000000}"/>
    <hyperlink ref="B19" location="'2.7'!A1" display="Kredit təşkilatlarının müddətlər üzrə kredit qoyuluşları (dövrün sonuna)" xr:uid="{00000000-0004-0000-0100-00000C000000}"/>
    <hyperlink ref="B22" location="'2.8'!A1" display="Kredit qoyuluşlarının sahələr üzrə strukturu (dövrün sonuna)" xr:uid="{00000000-0004-0000-0100-00000D000000}"/>
    <hyperlink ref="B24" location="'2.8.1'!A1" display="Ev təsərrüfatlarına verilən kreditlər" xr:uid="{00000000-0004-0000-0100-00000E000000}"/>
    <hyperlink ref="B26" location="'2.8.3'!A1" display="Mədənçıxarma sektorunda fəaliyyət göstərən hüquqi şəxslərə verilən kreditlər" xr:uid="{00000000-0004-0000-0100-00000F000000}"/>
    <hyperlink ref="B27" location="'2.8.4'!A1" display="Elektrik enerjisi, qaz, buxar və su təsərrüfatı sektoruna verilən kreditlər" xr:uid="{00000000-0004-0000-0100-000010000000}"/>
    <hyperlink ref="B28" location="'2.8.5'!A1" display="Kənd təsərrüfatı, meşə təsərrüfatı və balıqçılıq sektorunda fəaliyyət göstərən hüquqi şəxslərə verilən kreditlər" xr:uid="{00000000-0004-0000-0100-000011000000}"/>
    <hyperlink ref="B29" location="'2.8.6'!A1" display="İnşaat və tikinti sektorunda fəaliyyət göstərən hüquqi şəxslərə verilən kreditlər" xr:uid="{00000000-0004-0000-0100-000012000000}"/>
    <hyperlink ref="B30" location="'2.8.7'!A1" display="Daşınmaz əmlak sektorunda fəaliyyət göstərən hüquqi şəxslərə verilən kreditlər" xr:uid="{00000000-0004-0000-0100-000013000000}"/>
    <hyperlink ref="B31" location="'2.8.8'!A1" display="Sənaye və istehsal sektorunda fəaliyyət göstərən hüquqi şəxslərə verilən kreditlər" xr:uid="{00000000-0004-0000-0100-000014000000}"/>
    <hyperlink ref="B32" location="'2.8.9'!A1" display="Nəqliyyat və rabitə sektorunda fəaliyyət göstərən hüquqi şəxslərə verilən kreditlər" xr:uid="{00000000-0004-0000-0100-000015000000}"/>
    <hyperlink ref="B33" location="'2.9'!A1" display="İpoteka kreditləri haqqında məlumat" xr:uid="{00000000-0004-0000-0100-000016000000}"/>
    <hyperlink ref="B34" location="'2.10'!A1" display="Regionlar üzrə kredit qoyuluşu" xr:uid="{00000000-0004-0000-0100-000017000000}"/>
    <hyperlink ref="B35" location="'2.11'!A1" display="Kredit təşkilatlarında yerləşdirilmiş depozit və əmanətlər (dövrün sonuna)" xr:uid="{00000000-0004-0000-0100-000018000000}"/>
    <hyperlink ref="B36" location="'2.12'!A1" display="Cəmi depozit bazasının valyutalar üzrə strukturu (dövrün sonuna)" xr:uid="{00000000-0004-0000-0100-000019000000}"/>
    <hyperlink ref="B37" location="'2.13'!A1" display="Fiziki şəxslərin əmanətlərinin strukturu  " xr:uid="{00000000-0004-0000-0100-00001A000000}"/>
    <hyperlink ref="B38" location="'2.14'!A1" display="Regionlar üzrə cəlb olunmuş əmanətlər" xr:uid="{00000000-0004-0000-0100-00001B000000}"/>
    <hyperlink ref="B39" location="'2.15'!A1" display="Mərkəzi Bankın məcburi ehtiyat normaları, %-lə" xr:uid="{00000000-0004-0000-0100-00001C000000}"/>
    <hyperlink ref="B40" location="'2.16'!A1" display="Manatın  xarici valyutalara qarşı rəsmi orta məzənnəsi " xr:uid="{00000000-0004-0000-0100-00001D000000}"/>
    <hyperlink ref="B42" location="'3.1 '!A1" display="Mərkəzi Bankın likvidliyin idarə edilməsi üzrə əməliyyatlarının həcmi və faiz dərəcələri (dövrün sonuna)" xr:uid="{00000000-0004-0000-0100-00001E000000}"/>
    <hyperlink ref="B43" location="'3.2'!A1" display="Depozit və kreditlər üzrə orta faiz dərəcələri" xr:uid="{00000000-0004-0000-0100-00001F000000}"/>
    <hyperlink ref="B44" location="'3.2.1'!A1" display="Yeni cəlb olunmuş depozit və yeni verilmiş kreditlər üzrə orta faiz dərəcələri" xr:uid="{00000000-0004-0000-0100-000020000000}"/>
    <hyperlink ref="B45" location="'3.3 '!A1" display="Dövlət istiqrazları" xr:uid="{00000000-0004-0000-0100-000021000000}"/>
    <hyperlink ref="B46" location="'3.4'!A1" display="Mərkəzi Bankın notları" xr:uid="{00000000-0004-0000-0100-000022000000}"/>
    <hyperlink ref="B47" location="'3.5'!A1" display="Qiymətli kağızlar bazarı üzrə əsas göstəricilər " xr:uid="{00000000-0004-0000-0100-000023000000}"/>
    <hyperlink ref="B48" location="'3.6'!A1" display="Nağd xarici valyuta ilə mübadilə əməliyyatları" xr:uid="{00000000-0004-0000-0100-000024000000}"/>
    <hyperlink ref="B49" location="'4.1'!A1" display="Ödəniş və pul köçürmə sistemləri üzrə əməliyyatlar" xr:uid="{00000000-0004-0000-0100-000025000000}"/>
    <hyperlink ref="B50" location="'4.2'!A1" display="Debet və kredit kartları ilə aparılan əməliyyatlar" xr:uid="{00000000-0004-0000-0100-000026000000}"/>
    <hyperlink ref="B51" location="'4.3'!A1" display="Bankomatlar və Pos-terminallar (dövrün sonuna)" xr:uid="{00000000-0004-0000-0100-000027000000}"/>
    <hyperlink ref="B52" location="'4.4'!A1" display="Ödəniş kartları və terminallardan istifadə göstəriciləri" xr:uid="{00000000-0004-0000-0100-000028000000}"/>
    <hyperlink ref="B53" location="'4.5'!A1" display="Müştərilərin bank hesablarının sayı və tərkibi " xr:uid="{00000000-0004-0000-0100-000029000000}"/>
    <hyperlink ref="B59" location="'5.1'!A1" display="Maliyyə bazarlarının iştirakçıları haqqında ümumi məlumat " xr:uid="{00000000-0004-0000-0100-00002A000000}"/>
    <hyperlink ref="B60" location="'5.2'!A1" display="Bank sektorunun icmal balansı" xr:uid="{00000000-0004-0000-0100-00002B000000}"/>
    <hyperlink ref="B61" location="'5.3'!A1" display="Bank sektorunun mənfəət və zərər haqqında hesabatı" xr:uid="{00000000-0004-0000-0100-00002C000000}"/>
    <hyperlink ref="B23" location="'2.8.d.'!A1" display="Kredit qoyuluşlarının sahələr üzrə strukturu (detallı)" xr:uid="{00000000-0004-0000-0100-00002D000000}"/>
    <hyperlink ref="B20" location="'2.7.d.'!A1" display="Kredit təşkilatlarının müddətlər üzrə kredit qoyuluşları (detallı)" xr:uid="{00000000-0004-0000-0100-00002E000000}"/>
    <hyperlink ref="A21:B21" location="'2.7.1'!Print_Area" display="2.7.1" xr:uid="{00000000-0004-0000-0100-00002F000000}"/>
    <hyperlink ref="B55" location="'4.7'!A1" display="Milli Ödəniş Sistemi vasitəsilə aparılan ödəniş əməliyyatlarının iştirakçılar üzrə bölgüsü " xr:uid="{00000000-0004-0000-0100-000030000000}"/>
    <hyperlink ref="B56" location="'4.8'!A1" display="Ödəniş kartları vasitəsilə elektron ticarət əməliyyatları haqqında statistik hesabat " xr:uid="{00000000-0004-0000-0100-000031000000}"/>
    <hyperlink ref="B57" location="'4.9'!A1" display="Statistik vahidlərə məxsus ödəniş xidmət şəbəkəsində ödəniş əməliyyatlarının  təyinatı haqqında statistik hesabat " xr:uid="{00000000-0004-0000-0100-000032000000}"/>
    <hyperlink ref="B62" location="'5.4'!A1" display="Bankların kredit portfelinin strukturu barədə məlumat" xr:uid="{00000000-0004-0000-0100-000033000000}"/>
    <hyperlink ref="B63" location="'5.5'!A1" display="Vəsaitlərin mənbəyinə görə biznes kreditləri barədə məlumat" xr:uid="{00000000-0004-0000-0100-000034000000}"/>
    <hyperlink ref="B69" location="'6.2'!A1" display="Sığorta növləri üzrə sığorta haqları və sığorta ödənişləri" xr:uid="{00000000-0004-0000-0100-000035000000}"/>
    <hyperlink ref="B68" location="'6.1'!A1" display="Sığorta şirkətləri üzrə sığorta haqları və sığorta ödənişləri " xr:uid="{00000000-0004-0000-0100-000036000000}"/>
    <hyperlink ref="B70" location="'7'!A1" display="Real sektorda İşgüzar Fəallıq İndeksləri " xr:uid="{00000000-0004-0000-0100-000037000000}"/>
    <hyperlink ref="B71" location="'8'!A1" display="Daşınar əmlaka dair Reyestrdə qeydə alınan yüklülüklərin statistikası" xr:uid="{00000000-0004-0000-0100-000038000000}"/>
    <hyperlink ref="B54" location="'4.6'!A1" display="Milli Ödəniş sistemləri üzrə əməliyyatlar" xr:uid="{00000000-0004-0000-0100-000039000000}"/>
    <hyperlink ref="B12" location="'1.6.1'!A1" display="Manatın əsas ticarət tərəfdaşı olan ölkələrin valyutalarına qarşı real məzənnəsi (dekabr 2000=100) " xr:uid="{00000000-0004-0000-0100-00003A000000}"/>
    <hyperlink ref="B41" location="'2.16.1'!A1" display="Əsas ticarət tərəfdaşı olan ölkələrin valyutalarının manata qarşı dəyişimi, (ilin əvvəlinə nəzərən %-lə)" xr:uid="{00000000-0004-0000-0100-00003B000000}"/>
    <hyperlink ref="B64" location="'5.6'!A1" display="Bankların qeyri-işlək kreditlərinin strukturu barədə məlumat" xr:uid="{00000000-0004-0000-0100-00003C000000}"/>
    <hyperlink ref="B21" location="'2.7.1'!A1" display="Kredit təşkilatlarının müddətlər üzrə yeni kredit qoyuluşları" xr:uid="{00000000-0004-0000-0100-00003D000000}"/>
    <hyperlink ref="B25" location="'2.8.2'!A1" display="Loans to legal entities operating in retail and services sector" xr:uid="{00000000-0004-0000-0100-00003E000000}"/>
    <hyperlink ref="B58" location="'4.10'!A1" display="Transactions through the Interbank Card Center (ICC)" xr:uid="{00000000-0004-0000-0100-00003F000000}"/>
    <hyperlink ref="B65" location="'5.7'!A1" display="Information about the breakdown of the business portfolio on entrepreneurial subjects" xr:uid="{00000000-0004-0000-0100-000040000000}"/>
    <hyperlink ref="B66" location="'5.8'!A1" display="Biznes portfelinin sahələr üzrə bölgüsü barədə məlumat" xr:uid="{B6D6EE6E-D91A-46BA-AA8E-8EC248EF448C}"/>
    <hyperlink ref="B67" location="'5.9'!A1" display="wewe" xr:uid="{59F3CDF0-FEF8-458E-A84E-42579A30793D}"/>
  </hyperlinks>
  <pageMargins left="0.2" right="0.2" top="0.25" bottom="0.2" header="0.3" footer="0.3"/>
  <pageSetup paperSize="9" scale="69" orientation="portrait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1">
    <tabColor rgb="FF92D050"/>
  </sheetPr>
  <dimension ref="A1:CF111"/>
  <sheetViews>
    <sheetView showGridLines="0" view="pageBreakPreview" zoomScale="70" zoomScaleSheetLayoutView="70" workbookViewId="0">
      <pane xSplit="1" ySplit="12" topLeftCell="B88" activePane="bottomRight" state="frozen"/>
      <selection activeCell="F40" sqref="F40"/>
      <selection pane="topRight" activeCell="F40" sqref="F40"/>
      <selection pane="bottomLeft" activeCell="F40" sqref="F40"/>
      <selection pane="bottomRight" activeCell="F40" sqref="F40"/>
    </sheetView>
  </sheetViews>
  <sheetFormatPr defaultColWidth="8.85546875" defaultRowHeight="15.75"/>
  <cols>
    <col min="1" max="1" width="7.7109375" style="933" customWidth="1"/>
    <col min="2" max="2" width="12.140625" style="933" customWidth="1"/>
    <col min="3" max="3" width="17.85546875" style="933" customWidth="1"/>
    <col min="4" max="4" width="11.140625" style="933" customWidth="1"/>
    <col min="5" max="5" width="13.140625" style="934" bestFit="1" customWidth="1"/>
    <col min="6" max="6" width="14.28515625" style="934" customWidth="1"/>
    <col min="7" max="7" width="9.5703125" style="934" customWidth="1"/>
    <col min="8" max="8" width="14.28515625" style="934" customWidth="1"/>
    <col min="9" max="9" width="9.5703125" style="934" customWidth="1"/>
    <col min="10" max="10" width="14.28515625" style="934" customWidth="1"/>
    <col min="11" max="11" width="9.5703125" style="934" customWidth="1"/>
    <col min="12" max="12" width="14.28515625" style="934" customWidth="1"/>
    <col min="13" max="13" width="9.5703125" style="934" customWidth="1"/>
    <col min="14" max="14" width="14.28515625" style="934" customWidth="1"/>
    <col min="15" max="15" width="9.5703125" style="934" customWidth="1"/>
    <col min="16" max="16" width="14.28515625" style="934" customWidth="1"/>
    <col min="17" max="17" width="9.5703125" style="934" customWidth="1"/>
    <col min="18" max="18" width="14.28515625" style="934" customWidth="1"/>
    <col min="19" max="20" width="16.7109375" style="934" customWidth="1"/>
    <col min="21" max="21" width="9.5703125" style="935" customWidth="1"/>
    <col min="22" max="22" width="14.28515625" style="934" customWidth="1"/>
    <col min="23" max="23" width="9.5703125" style="934" customWidth="1"/>
    <col min="24" max="24" width="14.28515625" style="934" customWidth="1"/>
    <col min="25" max="25" width="9.5703125" style="57" customWidth="1"/>
    <col min="26" max="26" width="14.28515625" style="57" customWidth="1"/>
    <col min="27" max="27" width="10.7109375" style="57" customWidth="1"/>
    <col min="28" max="28" width="14.28515625" style="57" customWidth="1"/>
    <col min="29" max="29" width="9.5703125" style="57" customWidth="1"/>
    <col min="30" max="30" width="14.28515625" style="57" customWidth="1"/>
    <col min="31" max="31" width="9.5703125" style="57" customWidth="1"/>
    <col min="32" max="32" width="14.28515625" style="57" customWidth="1"/>
    <col min="33" max="33" width="16.28515625" style="934" customWidth="1"/>
    <col min="34" max="77" width="8.85546875" style="934"/>
    <col min="78" max="78" width="0" style="934" hidden="1" customWidth="1"/>
    <col min="79" max="16384" width="8.85546875" style="934"/>
  </cols>
  <sheetData>
    <row r="1" spans="1:80" ht="10.5" customHeight="1"/>
    <row r="2" spans="1:80" ht="38.25" customHeight="1">
      <c r="A2" s="2268" t="s">
        <v>2965</v>
      </c>
      <c r="B2" s="2268"/>
      <c r="C2" s="2268"/>
      <c r="D2" s="2268"/>
      <c r="E2" s="2268"/>
      <c r="F2" s="2268"/>
      <c r="G2" s="2268"/>
      <c r="H2" s="2268"/>
      <c r="I2" s="2268"/>
      <c r="J2" s="2268"/>
      <c r="K2" s="2268"/>
      <c r="L2" s="2268"/>
      <c r="M2" s="2268"/>
      <c r="N2" s="2268"/>
      <c r="O2" s="2268"/>
      <c r="P2" s="2268"/>
      <c r="Q2" s="2268"/>
      <c r="R2" s="2268"/>
      <c r="S2" s="2268"/>
      <c r="T2" s="2268"/>
      <c r="U2" s="2268"/>
      <c r="V2" s="2268"/>
      <c r="W2" s="2268"/>
      <c r="X2" s="2268"/>
      <c r="Y2" s="2268"/>
      <c r="Z2" s="2268"/>
      <c r="AA2" s="2268"/>
      <c r="AB2" s="2268"/>
      <c r="AC2" s="2268"/>
      <c r="AD2" s="2268"/>
      <c r="AE2" s="2268"/>
      <c r="AF2" s="2268"/>
      <c r="AG2" s="2268"/>
    </row>
    <row r="3" spans="1:80" ht="38.25" customHeight="1">
      <c r="A3" s="2269" t="s">
        <v>2964</v>
      </c>
      <c r="B3" s="2269"/>
      <c r="C3" s="2269"/>
      <c r="D3" s="2269"/>
      <c r="E3" s="2269"/>
      <c r="F3" s="2269"/>
      <c r="G3" s="2269"/>
      <c r="H3" s="2269"/>
      <c r="I3" s="2269"/>
      <c r="J3" s="2269"/>
      <c r="K3" s="2269"/>
      <c r="L3" s="2269"/>
      <c r="M3" s="2269"/>
      <c r="N3" s="2269"/>
      <c r="O3" s="2269"/>
      <c r="P3" s="2269"/>
      <c r="Q3" s="2269"/>
      <c r="R3" s="2269"/>
      <c r="S3" s="2269"/>
      <c r="T3" s="2269"/>
      <c r="U3" s="2269"/>
      <c r="V3" s="2269"/>
      <c r="W3" s="2269"/>
      <c r="X3" s="2269"/>
      <c r="Y3" s="2269"/>
      <c r="Z3" s="2269"/>
      <c r="AA3" s="2269"/>
      <c r="AB3" s="2269"/>
      <c r="AC3" s="2269"/>
      <c r="AD3" s="2269"/>
      <c r="AE3" s="2269"/>
      <c r="AF3" s="2269"/>
      <c r="AG3" s="2269"/>
    </row>
    <row r="4" spans="1:80" ht="15.75" customHeight="1">
      <c r="A4" s="936"/>
      <c r="B4" s="936"/>
      <c r="C4" s="936"/>
      <c r="D4" s="936"/>
      <c r="E4" s="936"/>
      <c r="F4" s="936"/>
      <c r="G4" s="936"/>
      <c r="H4" s="936"/>
      <c r="I4" s="936"/>
      <c r="J4" s="936"/>
      <c r="K4" s="936"/>
      <c r="L4" s="936"/>
      <c r="M4" s="936"/>
      <c r="N4" s="936"/>
      <c r="O4" s="936"/>
      <c r="P4" s="936"/>
      <c r="Q4" s="936"/>
      <c r="R4" s="936"/>
      <c r="S4" s="936"/>
      <c r="T4" s="936"/>
      <c r="U4" s="936"/>
      <c r="V4" s="936"/>
      <c r="W4" s="936"/>
      <c r="X4" s="936"/>
      <c r="Y4" s="936"/>
      <c r="Z4" s="936"/>
      <c r="AA4" s="936"/>
      <c r="AB4" s="936"/>
      <c r="AC4" s="936"/>
      <c r="AD4" s="936"/>
      <c r="AE4" s="936"/>
      <c r="AF4" s="936"/>
      <c r="AG4" s="936"/>
    </row>
    <row r="5" spans="1:80" ht="15.75" customHeight="1">
      <c r="A5" s="2270" t="s">
        <v>8</v>
      </c>
      <c r="B5" s="2270"/>
      <c r="C5" s="2270"/>
      <c r="D5" s="2270"/>
      <c r="E5" s="2270"/>
      <c r="F5" s="2270"/>
      <c r="G5" s="2270"/>
      <c r="H5" s="2270"/>
      <c r="I5" s="2270"/>
      <c r="J5" s="2270"/>
      <c r="K5" s="2270"/>
      <c r="L5" s="2270"/>
      <c r="M5" s="2270"/>
      <c r="N5" s="2270"/>
      <c r="O5" s="2270"/>
      <c r="P5" s="2270"/>
      <c r="Q5" s="2270"/>
      <c r="R5" s="2270"/>
      <c r="S5" s="2270"/>
      <c r="T5" s="2270"/>
      <c r="U5" s="2270"/>
      <c r="V5" s="2270"/>
      <c r="W5" s="2270"/>
      <c r="X5" s="2270"/>
      <c r="Y5" s="2270"/>
      <c r="Z5" s="2270"/>
      <c r="AA5" s="2270"/>
      <c r="AB5" s="2270"/>
      <c r="AC5" s="2270"/>
      <c r="AD5" s="2270"/>
      <c r="AE5" s="2270"/>
      <c r="AF5" s="2270"/>
      <c r="AG5" s="2270"/>
    </row>
    <row r="6" spans="1:80" s="937" customFormat="1" ht="22.5" customHeight="1">
      <c r="A6" s="2271" t="s">
        <v>182</v>
      </c>
      <c r="B6" s="2272" t="s">
        <v>2963</v>
      </c>
      <c r="C6" s="2272"/>
      <c r="D6" s="2272"/>
      <c r="E6" s="2272" t="s">
        <v>2431</v>
      </c>
      <c r="F6" s="2272"/>
      <c r="G6" s="2272"/>
      <c r="H6" s="2272"/>
      <c r="I6" s="2272"/>
      <c r="J6" s="2272"/>
      <c r="K6" s="2272"/>
      <c r="L6" s="2272"/>
      <c r="M6" s="2272"/>
      <c r="N6" s="2272"/>
      <c r="O6" s="2272"/>
      <c r="P6" s="2272"/>
      <c r="Q6" s="2272"/>
      <c r="R6" s="2272"/>
      <c r="S6" s="2272"/>
      <c r="T6" s="2272"/>
      <c r="U6" s="2272"/>
      <c r="V6" s="2272"/>
      <c r="W6" s="2272"/>
      <c r="X6" s="2272"/>
      <c r="Y6" s="2272"/>
      <c r="Z6" s="2272"/>
      <c r="AA6" s="2272"/>
      <c r="AB6" s="2272"/>
      <c r="AC6" s="2272"/>
      <c r="AD6" s="2272"/>
      <c r="AE6" s="2272"/>
      <c r="AF6" s="2272"/>
      <c r="AG6" s="2271" t="s">
        <v>165</v>
      </c>
      <c r="CA6" s="938"/>
      <c r="CB6" s="939"/>
    </row>
    <row r="7" spans="1:80" s="937" customFormat="1" ht="13.9" customHeight="1">
      <c r="A7" s="2271"/>
      <c r="B7" s="2272"/>
      <c r="C7" s="2272"/>
      <c r="D7" s="2272"/>
      <c r="E7" s="2273" t="s">
        <v>166</v>
      </c>
      <c r="F7" s="2274"/>
      <c r="G7" s="2273" t="s">
        <v>2590</v>
      </c>
      <c r="H7" s="2274"/>
      <c r="I7" s="2273" t="s">
        <v>2389</v>
      </c>
      <c r="J7" s="2274"/>
      <c r="K7" s="2273" t="s">
        <v>2390</v>
      </c>
      <c r="L7" s="2274"/>
      <c r="M7" s="2273" t="s">
        <v>167</v>
      </c>
      <c r="N7" s="2274"/>
      <c r="O7" s="2273" t="s">
        <v>2391</v>
      </c>
      <c r="P7" s="2274"/>
      <c r="Q7" s="2277" t="s">
        <v>168</v>
      </c>
      <c r="R7" s="2278"/>
      <c r="S7" s="2273" t="s">
        <v>2591</v>
      </c>
      <c r="T7" s="2274"/>
      <c r="U7" s="2273" t="s">
        <v>2592</v>
      </c>
      <c r="V7" s="2274"/>
      <c r="W7" s="2277" t="s">
        <v>169</v>
      </c>
      <c r="X7" s="2278"/>
      <c r="Y7" s="2281" t="s">
        <v>170</v>
      </c>
      <c r="Z7" s="2282"/>
      <c r="AA7" s="2286" t="s">
        <v>2593</v>
      </c>
      <c r="AB7" s="2287"/>
      <c r="AC7" s="2281" t="s">
        <v>171</v>
      </c>
      <c r="AD7" s="2282"/>
      <c r="AE7" s="2281" t="s">
        <v>1047</v>
      </c>
      <c r="AF7" s="2282"/>
      <c r="AG7" s="2271"/>
      <c r="CB7" s="940"/>
    </row>
    <row r="8" spans="1:80" s="937" customFormat="1" ht="73.150000000000006" customHeight="1">
      <c r="A8" s="2271"/>
      <c r="B8" s="2272"/>
      <c r="C8" s="2272"/>
      <c r="D8" s="2272"/>
      <c r="E8" s="2275"/>
      <c r="F8" s="2276"/>
      <c r="G8" s="2275"/>
      <c r="H8" s="2276"/>
      <c r="I8" s="2275"/>
      <c r="J8" s="2276"/>
      <c r="K8" s="2275"/>
      <c r="L8" s="2276"/>
      <c r="M8" s="2275"/>
      <c r="N8" s="2276"/>
      <c r="O8" s="2275"/>
      <c r="P8" s="2276"/>
      <c r="Q8" s="2279"/>
      <c r="R8" s="2280"/>
      <c r="S8" s="2275"/>
      <c r="T8" s="2276"/>
      <c r="U8" s="2275"/>
      <c r="V8" s="2276"/>
      <c r="W8" s="2279"/>
      <c r="X8" s="2280"/>
      <c r="Y8" s="2283"/>
      <c r="Z8" s="2284"/>
      <c r="AA8" s="2288"/>
      <c r="AB8" s="2289"/>
      <c r="AC8" s="2283"/>
      <c r="AD8" s="2284"/>
      <c r="AE8" s="2283"/>
      <c r="AF8" s="2284"/>
      <c r="AG8" s="2271"/>
      <c r="CB8" s="940"/>
    </row>
    <row r="9" spans="1:80" s="942" customFormat="1" ht="54.75" customHeight="1">
      <c r="A9" s="2271"/>
      <c r="B9" s="941" t="s">
        <v>155</v>
      </c>
      <c r="C9" s="941" t="s">
        <v>2961</v>
      </c>
      <c r="D9" s="941" t="s">
        <v>2960</v>
      </c>
      <c r="E9" s="941" t="s">
        <v>2956</v>
      </c>
      <c r="F9" s="941" t="s">
        <v>2962</v>
      </c>
      <c r="G9" s="941" t="s">
        <v>2956</v>
      </c>
      <c r="H9" s="941" t="s">
        <v>2962</v>
      </c>
      <c r="I9" s="941" t="s">
        <v>2956</v>
      </c>
      <c r="J9" s="941" t="s">
        <v>2962</v>
      </c>
      <c r="K9" s="941" t="s">
        <v>2956</v>
      </c>
      <c r="L9" s="941" t="s">
        <v>2962</v>
      </c>
      <c r="M9" s="941" t="s">
        <v>2956</v>
      </c>
      <c r="N9" s="941" t="s">
        <v>2962</v>
      </c>
      <c r="O9" s="941" t="s">
        <v>2956</v>
      </c>
      <c r="P9" s="941" t="s">
        <v>2962</v>
      </c>
      <c r="Q9" s="941" t="s">
        <v>2956</v>
      </c>
      <c r="R9" s="941" t="s">
        <v>2962</v>
      </c>
      <c r="S9" s="941" t="s">
        <v>2956</v>
      </c>
      <c r="T9" s="941" t="s">
        <v>2962</v>
      </c>
      <c r="U9" s="941" t="s">
        <v>2956</v>
      </c>
      <c r="V9" s="941" t="s">
        <v>2962</v>
      </c>
      <c r="W9" s="941" t="s">
        <v>2956</v>
      </c>
      <c r="X9" s="941" t="s">
        <v>2962</v>
      </c>
      <c r="Y9" s="941" t="s">
        <v>2956</v>
      </c>
      <c r="Z9" s="941" t="s">
        <v>2962</v>
      </c>
      <c r="AA9" s="941" t="s">
        <v>2956</v>
      </c>
      <c r="AB9" s="941" t="s">
        <v>2962</v>
      </c>
      <c r="AC9" s="941" t="s">
        <v>2956</v>
      </c>
      <c r="AD9" s="941" t="s">
        <v>2962</v>
      </c>
      <c r="AE9" s="941" t="s">
        <v>2956</v>
      </c>
      <c r="AF9" s="941" t="s">
        <v>2962</v>
      </c>
      <c r="AG9" s="2271"/>
      <c r="CB9" s="943"/>
    </row>
    <row r="10" spans="1:80" s="944" customFormat="1" ht="16.5" customHeight="1">
      <c r="A10" s="2294" t="s">
        <v>283</v>
      </c>
      <c r="B10" s="2285" t="s">
        <v>2959</v>
      </c>
      <c r="C10" s="2285"/>
      <c r="D10" s="2285"/>
      <c r="E10" s="2285" t="s">
        <v>1155</v>
      </c>
      <c r="F10" s="2285"/>
      <c r="G10" s="2285"/>
      <c r="H10" s="2285"/>
      <c r="I10" s="2285"/>
      <c r="J10" s="2285"/>
      <c r="K10" s="2285"/>
      <c r="L10" s="2285"/>
      <c r="M10" s="2285"/>
      <c r="N10" s="2285"/>
      <c r="O10" s="2285"/>
      <c r="P10" s="2285"/>
      <c r="Q10" s="2285"/>
      <c r="R10" s="2285"/>
      <c r="S10" s="2285"/>
      <c r="T10" s="2285"/>
      <c r="U10" s="2285"/>
      <c r="V10" s="2285"/>
      <c r="W10" s="2285"/>
      <c r="X10" s="2285"/>
      <c r="Y10" s="2285"/>
      <c r="Z10" s="2285"/>
      <c r="AA10" s="2285"/>
      <c r="AB10" s="2285"/>
      <c r="AC10" s="2285"/>
      <c r="AD10" s="2285"/>
      <c r="AE10" s="2285"/>
      <c r="AF10" s="2285"/>
      <c r="AG10" s="2292" t="s">
        <v>1156</v>
      </c>
      <c r="CB10" s="945"/>
    </row>
    <row r="11" spans="1:80" s="944" customFormat="1" ht="53.45" customHeight="1">
      <c r="A11" s="2294"/>
      <c r="B11" s="2285"/>
      <c r="C11" s="2285"/>
      <c r="D11" s="2285"/>
      <c r="E11" s="2285" t="s">
        <v>175</v>
      </c>
      <c r="F11" s="2285"/>
      <c r="G11" s="2285" t="s">
        <v>2594</v>
      </c>
      <c r="H11" s="2285"/>
      <c r="I11" s="2285" t="s">
        <v>2595</v>
      </c>
      <c r="J11" s="2285"/>
      <c r="K11" s="2285" t="s">
        <v>2597</v>
      </c>
      <c r="L11" s="2285"/>
      <c r="M11" s="2285" t="s">
        <v>176</v>
      </c>
      <c r="N11" s="2285"/>
      <c r="O11" s="2285" t="s">
        <v>2598</v>
      </c>
      <c r="P11" s="2285"/>
      <c r="Q11" s="2285" t="s">
        <v>2958</v>
      </c>
      <c r="R11" s="2285"/>
      <c r="S11" s="2285" t="s">
        <v>2596</v>
      </c>
      <c r="T11" s="2285"/>
      <c r="U11" s="2285" t="s">
        <v>2599</v>
      </c>
      <c r="V11" s="2285"/>
      <c r="W11" s="2285" t="s">
        <v>178</v>
      </c>
      <c r="X11" s="2285"/>
      <c r="Y11" s="2285" t="s">
        <v>2957</v>
      </c>
      <c r="Z11" s="2285"/>
      <c r="AA11" s="2285" t="s">
        <v>1049</v>
      </c>
      <c r="AB11" s="2285"/>
      <c r="AC11" s="2285" t="s">
        <v>1050</v>
      </c>
      <c r="AD11" s="2285"/>
      <c r="AE11" s="2285" t="s">
        <v>1047</v>
      </c>
      <c r="AF11" s="2285"/>
      <c r="AG11" s="2293"/>
      <c r="CB11" s="945"/>
    </row>
    <row r="12" spans="1:80" s="944" customFormat="1" ht="35.25" customHeight="1">
      <c r="A12" s="2294"/>
      <c r="B12" s="946" t="s">
        <v>105</v>
      </c>
      <c r="C12" s="946" t="s">
        <v>2977</v>
      </c>
      <c r="D12" s="947" t="s">
        <v>179</v>
      </c>
      <c r="E12" s="946" t="s">
        <v>2956</v>
      </c>
      <c r="F12" s="946" t="s">
        <v>2955</v>
      </c>
      <c r="G12" s="946" t="s">
        <v>2956</v>
      </c>
      <c r="H12" s="946" t="s">
        <v>2955</v>
      </c>
      <c r="I12" s="946" t="s">
        <v>2956</v>
      </c>
      <c r="J12" s="946" t="s">
        <v>2955</v>
      </c>
      <c r="K12" s="946" t="s">
        <v>2956</v>
      </c>
      <c r="L12" s="946" t="s">
        <v>2955</v>
      </c>
      <c r="M12" s="946" t="s">
        <v>2956</v>
      </c>
      <c r="N12" s="946" t="s">
        <v>2955</v>
      </c>
      <c r="O12" s="946" t="s">
        <v>2956</v>
      </c>
      <c r="P12" s="946" t="s">
        <v>2955</v>
      </c>
      <c r="Q12" s="946" t="s">
        <v>2956</v>
      </c>
      <c r="R12" s="946" t="s">
        <v>2955</v>
      </c>
      <c r="S12" s="946" t="s">
        <v>2956</v>
      </c>
      <c r="T12" s="946" t="s">
        <v>2955</v>
      </c>
      <c r="U12" s="946" t="s">
        <v>2956</v>
      </c>
      <c r="V12" s="946" t="s">
        <v>2955</v>
      </c>
      <c r="W12" s="946" t="s">
        <v>2956</v>
      </c>
      <c r="X12" s="946" t="s">
        <v>2955</v>
      </c>
      <c r="Y12" s="946" t="s">
        <v>2956</v>
      </c>
      <c r="Z12" s="946" t="s">
        <v>2955</v>
      </c>
      <c r="AA12" s="946" t="s">
        <v>2956</v>
      </c>
      <c r="AB12" s="946" t="s">
        <v>2955</v>
      </c>
      <c r="AC12" s="946" t="s">
        <v>2956</v>
      </c>
      <c r="AD12" s="946" t="s">
        <v>2955</v>
      </c>
      <c r="AE12" s="946" t="s">
        <v>2956</v>
      </c>
      <c r="AF12" s="946" t="s">
        <v>2955</v>
      </c>
      <c r="AG12" s="2293"/>
      <c r="CB12" s="945"/>
    </row>
    <row r="13" spans="1:80" ht="15" customHeight="1">
      <c r="A13" s="948" t="s">
        <v>2362</v>
      </c>
      <c r="B13" s="948"/>
      <c r="C13" s="948"/>
      <c r="D13" s="948"/>
      <c r="E13" s="949"/>
      <c r="F13" s="949"/>
      <c r="G13" s="949"/>
      <c r="H13" s="949"/>
      <c r="I13" s="949"/>
      <c r="J13" s="949"/>
      <c r="K13" s="949"/>
      <c r="L13" s="949"/>
      <c r="M13" s="949"/>
      <c r="N13" s="949"/>
      <c r="O13" s="949"/>
      <c r="P13" s="949"/>
      <c r="Q13" s="949"/>
      <c r="R13" s="949"/>
      <c r="S13" s="949"/>
      <c r="T13" s="949"/>
      <c r="U13" s="949"/>
      <c r="V13" s="949"/>
      <c r="W13" s="949"/>
      <c r="X13" s="949"/>
      <c r="Y13" s="949"/>
      <c r="Z13" s="949"/>
      <c r="AA13" s="949"/>
      <c r="AB13" s="949"/>
      <c r="AC13" s="949"/>
      <c r="AD13" s="949"/>
      <c r="AE13" s="949"/>
      <c r="AF13" s="949"/>
      <c r="AG13" s="949"/>
    </row>
    <row r="14" spans="1:80" ht="15" customHeight="1">
      <c r="A14" s="948" t="s">
        <v>18</v>
      </c>
      <c r="B14" s="949">
        <v>15513.610178430001</v>
      </c>
      <c r="C14" s="949">
        <v>1306.8619599600004</v>
      </c>
      <c r="D14" s="950">
        <f>C14/B14*100</f>
        <v>8.4239705969732999</v>
      </c>
      <c r="E14" s="951">
        <v>2414.2416905399996</v>
      </c>
      <c r="F14" s="951">
        <v>12.63777533</v>
      </c>
      <c r="G14" s="951">
        <v>622.88632794000011</v>
      </c>
      <c r="H14" s="951">
        <v>6.5194999999999999</v>
      </c>
      <c r="I14" s="951">
        <v>482.03446362000005</v>
      </c>
      <c r="J14" s="951">
        <v>58.257205120000002</v>
      </c>
      <c r="K14" s="951">
        <v>466.63706786</v>
      </c>
      <c r="L14" s="951">
        <v>0</v>
      </c>
      <c r="M14" s="951">
        <v>1135.2953768500001</v>
      </c>
      <c r="N14" s="951">
        <v>3.2130904600000001</v>
      </c>
      <c r="O14" s="951">
        <v>1177.10613827</v>
      </c>
      <c r="P14" s="951">
        <v>0.41225699999999998</v>
      </c>
      <c r="Q14" s="951">
        <v>6768.8706715900007</v>
      </c>
      <c r="R14" s="951">
        <v>236.12697776000002</v>
      </c>
      <c r="S14" s="951">
        <v>38.46201275</v>
      </c>
      <c r="T14" s="951">
        <v>0.1963</v>
      </c>
      <c r="U14" s="951">
        <v>1.09727281</v>
      </c>
      <c r="V14" s="951">
        <v>0</v>
      </c>
      <c r="W14" s="951">
        <v>648.99629937000088</v>
      </c>
      <c r="X14" s="951">
        <v>19.574868360000018</v>
      </c>
      <c r="Y14" s="951">
        <v>22.149604879999998</v>
      </c>
      <c r="Z14" s="951">
        <v>0</v>
      </c>
      <c r="AA14" s="951">
        <v>1.42187361</v>
      </c>
      <c r="AB14" s="951">
        <v>0</v>
      </c>
      <c r="AC14" s="951">
        <v>32.041896259999994</v>
      </c>
      <c r="AD14" s="951">
        <v>0</v>
      </c>
      <c r="AE14" s="951">
        <v>58.569548089999998</v>
      </c>
      <c r="AF14" s="951">
        <v>0</v>
      </c>
      <c r="AG14" s="951">
        <v>340.32591054999995</v>
      </c>
    </row>
    <row r="15" spans="1:80" ht="15" customHeight="1">
      <c r="A15" s="948" t="s">
        <v>19</v>
      </c>
      <c r="B15" s="949">
        <v>15696.35984816</v>
      </c>
      <c r="C15" s="949">
        <v>1297.7919746600001</v>
      </c>
      <c r="D15" s="950">
        <f>C15/B15*100</f>
        <v>8.2681079384920775</v>
      </c>
      <c r="E15" s="951">
        <v>2509.13364744</v>
      </c>
      <c r="F15" s="951">
        <v>12.63777533</v>
      </c>
      <c r="G15" s="951">
        <v>619.72263909000003</v>
      </c>
      <c r="H15" s="951">
        <v>6.5194999999999999</v>
      </c>
      <c r="I15" s="951">
        <v>476.02636567000002</v>
      </c>
      <c r="J15" s="951">
        <v>58.257205120000002</v>
      </c>
      <c r="K15" s="951">
        <v>464.59826734000001</v>
      </c>
      <c r="L15" s="951">
        <v>0</v>
      </c>
      <c r="M15" s="951">
        <v>1132.1902052399998</v>
      </c>
      <c r="N15" s="951">
        <v>3.2130904600000001</v>
      </c>
      <c r="O15" s="951">
        <v>1172.1177573999998</v>
      </c>
      <c r="P15" s="951">
        <v>0.41225699999999998</v>
      </c>
      <c r="Q15" s="951">
        <v>6863.4079564399999</v>
      </c>
      <c r="R15" s="951">
        <v>236.12697776000002</v>
      </c>
      <c r="S15" s="951">
        <v>29.683142759999999</v>
      </c>
      <c r="T15" s="951">
        <v>0.1963</v>
      </c>
      <c r="U15" s="951">
        <v>0.91211142000000001</v>
      </c>
      <c r="V15" s="951">
        <v>0</v>
      </c>
      <c r="W15" s="951">
        <v>676.40979200000038</v>
      </c>
      <c r="X15" s="951">
        <v>19.574868360000018</v>
      </c>
      <c r="Y15" s="951">
        <v>22.525823389999999</v>
      </c>
      <c r="Z15" s="951">
        <v>0</v>
      </c>
      <c r="AA15" s="951">
        <v>2.1686598300000002</v>
      </c>
      <c r="AB15" s="951">
        <v>0</v>
      </c>
      <c r="AC15" s="951">
        <v>31.934630070000001</v>
      </c>
      <c r="AD15" s="951">
        <v>0</v>
      </c>
      <c r="AE15" s="951">
        <v>60.798901380000004</v>
      </c>
      <c r="AF15" s="951">
        <v>0</v>
      </c>
      <c r="AG15" s="951">
        <v>380.30935400999994</v>
      </c>
    </row>
    <row r="16" spans="1:80" ht="15" customHeight="1">
      <c r="A16" s="948" t="s">
        <v>20</v>
      </c>
      <c r="B16" s="949">
        <v>15637.419790710004</v>
      </c>
      <c r="C16" s="949">
        <v>1386.7515801299999</v>
      </c>
      <c r="D16" s="950">
        <f>C16/B16*100</f>
        <v>8.868161107715812</v>
      </c>
      <c r="E16" s="951">
        <v>2491.16302649</v>
      </c>
      <c r="F16" s="951">
        <v>16.335075500000002</v>
      </c>
      <c r="G16" s="951">
        <v>618.83212729000013</v>
      </c>
      <c r="H16" s="951">
        <v>8.2195</v>
      </c>
      <c r="I16" s="951">
        <v>477.48468552999998</v>
      </c>
      <c r="J16" s="951">
        <v>49.985756860000002</v>
      </c>
      <c r="K16" s="951">
        <v>468.44416342</v>
      </c>
      <c r="L16" s="951">
        <v>0</v>
      </c>
      <c r="M16" s="951">
        <v>1123.7267305099999</v>
      </c>
      <c r="N16" s="951">
        <v>5.4507941799999999</v>
      </c>
      <c r="O16" s="951">
        <v>1168.1839398400002</v>
      </c>
      <c r="P16" s="951">
        <v>0.36818300000000004</v>
      </c>
      <c r="Q16" s="951">
        <v>6713.4936255599996</v>
      </c>
      <c r="R16" s="951">
        <v>247.25936539999998</v>
      </c>
      <c r="S16" s="951">
        <v>21.88924733</v>
      </c>
      <c r="T16" s="951">
        <v>0.1963</v>
      </c>
      <c r="U16" s="951">
        <v>0.87011189000000011</v>
      </c>
      <c r="V16" s="951">
        <v>0</v>
      </c>
      <c r="W16" s="951">
        <v>700.58631011000614</v>
      </c>
      <c r="X16" s="951">
        <v>17.787493460000071</v>
      </c>
      <c r="Y16" s="951">
        <v>21.527021420000001</v>
      </c>
      <c r="Z16" s="951">
        <v>0</v>
      </c>
      <c r="AA16" s="951">
        <v>2.8118310100000001</v>
      </c>
      <c r="AB16" s="951">
        <v>0</v>
      </c>
      <c r="AC16" s="951">
        <v>33.808806990000001</v>
      </c>
      <c r="AD16" s="951">
        <v>0</v>
      </c>
      <c r="AE16" s="951">
        <v>62.244114789999998</v>
      </c>
      <c r="AF16" s="951">
        <v>0</v>
      </c>
      <c r="AG16" s="951">
        <v>438.66103153000006</v>
      </c>
    </row>
    <row r="17" spans="1:33" ht="15" customHeight="1">
      <c r="A17" s="948" t="s">
        <v>21</v>
      </c>
      <c r="B17" s="949">
        <v>15146.8</v>
      </c>
      <c r="C17" s="949">
        <v>1232.4418596000003</v>
      </c>
      <c r="D17" s="950">
        <v>8.1366227187470628</v>
      </c>
      <c r="E17" s="951">
        <v>2438.4841425700001</v>
      </c>
      <c r="F17" s="951">
        <v>16.335075500000002</v>
      </c>
      <c r="G17" s="951">
        <v>615.28646822999997</v>
      </c>
      <c r="H17" s="951">
        <v>8.2195</v>
      </c>
      <c r="I17" s="951">
        <v>533.32108911</v>
      </c>
      <c r="J17" s="951">
        <v>49.985756860000002</v>
      </c>
      <c r="K17" s="951">
        <v>457.99721402000006</v>
      </c>
      <c r="L17" s="951">
        <v>0</v>
      </c>
      <c r="M17" s="951">
        <v>1132.2547219600001</v>
      </c>
      <c r="N17" s="951">
        <v>5.4507941799999999</v>
      </c>
      <c r="O17" s="951">
        <v>1101.1423324299999</v>
      </c>
      <c r="P17" s="951">
        <v>0.36818300000000004</v>
      </c>
      <c r="Q17" s="951">
        <v>6456.9184454100005</v>
      </c>
      <c r="R17" s="951">
        <v>247.25936539999998</v>
      </c>
      <c r="S17" s="951">
        <v>21.84150567</v>
      </c>
      <c r="T17" s="951">
        <v>0.1963</v>
      </c>
      <c r="U17" s="951">
        <v>0.9398473100000001</v>
      </c>
      <c r="V17" s="951">
        <v>0</v>
      </c>
      <c r="W17" s="951">
        <v>693.85578610999789</v>
      </c>
      <c r="X17" s="951">
        <v>17.787493460000071</v>
      </c>
      <c r="Y17" s="951">
        <v>21.27810659</v>
      </c>
      <c r="Z17" s="951">
        <v>0</v>
      </c>
      <c r="AA17" s="951">
        <v>2.0920272899999999</v>
      </c>
      <c r="AB17" s="951">
        <v>0</v>
      </c>
      <c r="AC17" s="951">
        <v>32.488884880000001</v>
      </c>
      <c r="AD17" s="951">
        <v>0</v>
      </c>
      <c r="AE17" s="951">
        <v>60.855100419999999</v>
      </c>
      <c r="AF17" s="951">
        <v>0</v>
      </c>
      <c r="AG17" s="951">
        <v>379.41717933000007</v>
      </c>
    </row>
    <row r="18" spans="1:33" ht="15" customHeight="1">
      <c r="A18" s="948" t="s">
        <v>22</v>
      </c>
      <c r="B18" s="949">
        <v>14765.7</v>
      </c>
      <c r="C18" s="949">
        <v>1084.8214846800001</v>
      </c>
      <c r="D18" s="950">
        <v>7.3468984276062175</v>
      </c>
      <c r="E18" s="951">
        <v>2397.2323801900002</v>
      </c>
      <c r="F18" s="951">
        <v>16.335075500000002</v>
      </c>
      <c r="G18" s="951">
        <v>614.95264886999996</v>
      </c>
      <c r="H18" s="951">
        <v>8.2195</v>
      </c>
      <c r="I18" s="951">
        <v>532.95972023000002</v>
      </c>
      <c r="J18" s="951">
        <v>49.985756860000002</v>
      </c>
      <c r="K18" s="951">
        <v>426.51841343000001</v>
      </c>
      <c r="L18" s="951">
        <v>0</v>
      </c>
      <c r="M18" s="951">
        <v>1153.8423967900001</v>
      </c>
      <c r="N18" s="951">
        <v>5.4507941799999999</v>
      </c>
      <c r="O18" s="951">
        <v>961.53081285999986</v>
      </c>
      <c r="P18" s="951">
        <v>0.36818300000000004</v>
      </c>
      <c r="Q18" s="951">
        <v>6328.02045034</v>
      </c>
      <c r="R18" s="951">
        <v>247.25936539999998</v>
      </c>
      <c r="S18" s="951">
        <v>21.86739691</v>
      </c>
      <c r="T18" s="951">
        <v>0.1963</v>
      </c>
      <c r="U18" s="951">
        <v>0.84922034000000002</v>
      </c>
      <c r="V18" s="951">
        <v>0</v>
      </c>
      <c r="W18" s="951">
        <v>789.95859090999954</v>
      </c>
      <c r="X18" s="951">
        <v>17.787493460000071</v>
      </c>
      <c r="Y18" s="951">
        <v>24.635880090000001</v>
      </c>
      <c r="Z18" s="951">
        <v>0</v>
      </c>
      <c r="AA18" s="951">
        <v>2.3880537299999998</v>
      </c>
      <c r="AB18" s="951">
        <v>0</v>
      </c>
      <c r="AC18" s="951">
        <v>30.33864049</v>
      </c>
      <c r="AD18" s="951">
        <v>0</v>
      </c>
      <c r="AE18" s="951">
        <v>50.181441739999997</v>
      </c>
      <c r="AF18" s="951">
        <v>0</v>
      </c>
      <c r="AG18" s="951">
        <v>328.48196079000002</v>
      </c>
    </row>
    <row r="19" spans="1:33" ht="15" customHeight="1">
      <c r="A19" s="948" t="s">
        <v>23</v>
      </c>
      <c r="B19" s="949">
        <v>14550.65617651</v>
      </c>
      <c r="C19" s="949">
        <v>1065.51597606</v>
      </c>
      <c r="D19" s="950">
        <f t="shared" ref="D19:D25" si="0">C19/B19*100</f>
        <v>7.3228036119781761</v>
      </c>
      <c r="E19" s="951">
        <v>2378.5687752399999</v>
      </c>
      <c r="F19" s="951">
        <v>16.409448959999999</v>
      </c>
      <c r="G19" s="951">
        <v>551.70009227000003</v>
      </c>
      <c r="H19" s="951">
        <v>10.54</v>
      </c>
      <c r="I19" s="951">
        <v>524.94022820999999</v>
      </c>
      <c r="J19" s="951">
        <v>27.794923600000001</v>
      </c>
      <c r="K19" s="951">
        <v>420.78440397000003</v>
      </c>
      <c r="L19" s="951">
        <v>0</v>
      </c>
      <c r="M19" s="951">
        <v>1164.4747104199998</v>
      </c>
      <c r="N19" s="951">
        <v>7.36333371</v>
      </c>
      <c r="O19" s="951">
        <v>915.38829026000008</v>
      </c>
      <c r="P19" s="951">
        <v>0.34300000000000003</v>
      </c>
      <c r="Q19" s="951">
        <v>6300.7536029399989</v>
      </c>
      <c r="R19" s="951">
        <v>239.29632063000003</v>
      </c>
      <c r="S19" s="951">
        <v>21.8536298</v>
      </c>
      <c r="T19" s="951">
        <v>0.18129999999999999</v>
      </c>
      <c r="U19" s="951">
        <v>0.84922034000000002</v>
      </c>
      <c r="V19" s="951">
        <v>0</v>
      </c>
      <c r="W19" s="951">
        <v>790.16273786000045</v>
      </c>
      <c r="X19" s="951">
        <v>17.973708639999931</v>
      </c>
      <c r="Y19" s="951">
        <v>23.671721489999999</v>
      </c>
      <c r="Z19" s="951">
        <v>0</v>
      </c>
      <c r="AA19" s="951">
        <v>2.07621023</v>
      </c>
      <c r="AB19" s="951">
        <v>0</v>
      </c>
      <c r="AC19" s="951">
        <v>27.111899879999999</v>
      </c>
      <c r="AD19" s="951">
        <v>3.1752000000000002E-2</v>
      </c>
      <c r="AE19" s="951">
        <v>42.870890000000003</v>
      </c>
      <c r="AF19" s="951">
        <v>0</v>
      </c>
      <c r="AG19" s="951">
        <v>321.80638771000002</v>
      </c>
    </row>
    <row r="20" spans="1:33" ht="15" customHeight="1">
      <c r="A20" s="948" t="s">
        <v>24</v>
      </c>
      <c r="B20" s="949">
        <v>14585.314835289999</v>
      </c>
      <c r="C20" s="949">
        <v>1062.4228878200001</v>
      </c>
      <c r="D20" s="950">
        <f t="shared" si="0"/>
        <v>7.2841957806039774</v>
      </c>
      <c r="E20" s="951">
        <v>2362.6748973000003</v>
      </c>
      <c r="F20" s="951">
        <v>16.409448959999999</v>
      </c>
      <c r="G20" s="951">
        <v>553.27334117999999</v>
      </c>
      <c r="H20" s="951">
        <v>10.54</v>
      </c>
      <c r="I20" s="951">
        <v>525.54540322000003</v>
      </c>
      <c r="J20" s="951">
        <v>27.794923600000001</v>
      </c>
      <c r="K20" s="951">
        <v>428.79080331</v>
      </c>
      <c r="L20" s="951">
        <v>0</v>
      </c>
      <c r="M20" s="951">
        <v>1183.6976434199998</v>
      </c>
      <c r="N20" s="951">
        <v>7.36333371</v>
      </c>
      <c r="O20" s="951">
        <v>917.40482293999992</v>
      </c>
      <c r="P20" s="951">
        <v>0.34300000000000003</v>
      </c>
      <c r="Q20" s="951">
        <v>6321.2446722200002</v>
      </c>
      <c r="R20" s="951">
        <v>239.29632063000003</v>
      </c>
      <c r="S20" s="951">
        <v>23.083901919999999</v>
      </c>
      <c r="T20" s="951">
        <v>0.18129999999999999</v>
      </c>
      <c r="U20" s="951">
        <v>0.84922034000000002</v>
      </c>
      <c r="V20" s="951">
        <v>0</v>
      </c>
      <c r="W20" s="951">
        <v>792.41411878999861</v>
      </c>
      <c r="X20" s="951">
        <v>17.973708639999931</v>
      </c>
      <c r="Y20" s="951">
        <v>24.128914219999999</v>
      </c>
      <c r="Z20" s="951">
        <v>0</v>
      </c>
      <c r="AA20" s="951">
        <v>2.1125600200000001</v>
      </c>
      <c r="AB20" s="951">
        <v>0</v>
      </c>
      <c r="AC20" s="951">
        <v>24.82214767</v>
      </c>
      <c r="AD20" s="951">
        <v>3.1752000000000002E-2</v>
      </c>
      <c r="AE20" s="951">
        <v>42.91571338</v>
      </c>
      <c r="AF20" s="951">
        <v>0</v>
      </c>
      <c r="AG20" s="951">
        <v>320.60784153999998</v>
      </c>
    </row>
    <row r="21" spans="1:33" ht="15" customHeight="1">
      <c r="A21" s="948" t="s">
        <v>25</v>
      </c>
      <c r="B21" s="949">
        <v>14685.09807815</v>
      </c>
      <c r="C21" s="949">
        <v>1065.4106116100002</v>
      </c>
      <c r="D21" s="950">
        <f t="shared" si="0"/>
        <v>7.2550459379990633</v>
      </c>
      <c r="E21" s="951">
        <v>2378.7448912700002</v>
      </c>
      <c r="F21" s="951">
        <v>16.409448959999999</v>
      </c>
      <c r="G21" s="951">
        <v>534.86959417999992</v>
      </c>
      <c r="H21" s="951">
        <v>10.54</v>
      </c>
      <c r="I21" s="951">
        <v>529.93283752000002</v>
      </c>
      <c r="J21" s="951">
        <v>27.794923600000001</v>
      </c>
      <c r="K21" s="951">
        <v>433.14310065000006</v>
      </c>
      <c r="L21" s="951">
        <v>0</v>
      </c>
      <c r="M21" s="951">
        <v>1187.6001615399998</v>
      </c>
      <c r="N21" s="951">
        <v>7.36333371</v>
      </c>
      <c r="O21" s="951">
        <v>901.43872137000005</v>
      </c>
      <c r="P21" s="951">
        <v>0.34300000000000003</v>
      </c>
      <c r="Q21" s="951">
        <v>6420.2874057599984</v>
      </c>
      <c r="R21" s="951">
        <v>239.29632063000003</v>
      </c>
      <c r="S21" s="951">
        <v>22.210392549999998</v>
      </c>
      <c r="T21" s="951">
        <v>0.18129999999999999</v>
      </c>
      <c r="U21" s="951">
        <v>0.82019887999999996</v>
      </c>
      <c r="V21" s="951">
        <v>0</v>
      </c>
      <c r="W21" s="951">
        <v>795.34511342000008</v>
      </c>
      <c r="X21" s="951">
        <v>17.973708639999931</v>
      </c>
      <c r="Y21" s="951">
        <v>26.211952490000002</v>
      </c>
      <c r="Z21" s="951">
        <v>0</v>
      </c>
      <c r="AA21" s="951">
        <v>2.35648737</v>
      </c>
      <c r="AB21" s="951">
        <v>0</v>
      </c>
      <c r="AC21" s="951">
        <v>24.204323889999998</v>
      </c>
      <c r="AD21" s="951">
        <v>3.1752000000000002E-2</v>
      </c>
      <c r="AE21" s="951">
        <v>42.588498110000003</v>
      </c>
      <c r="AF21" s="951">
        <v>0</v>
      </c>
      <c r="AG21" s="951">
        <v>316.21093585</v>
      </c>
    </row>
    <row r="22" spans="1:33" ht="15" customHeight="1">
      <c r="A22" s="948" t="s">
        <v>26</v>
      </c>
      <c r="B22" s="949">
        <v>14873.658797599997</v>
      </c>
      <c r="C22" s="949">
        <v>1069.5053916999996</v>
      </c>
      <c r="D22" s="950">
        <f t="shared" si="0"/>
        <v>7.1906005526533532</v>
      </c>
      <c r="E22" s="951">
        <v>2481.0149246299998</v>
      </c>
      <c r="F22" s="951">
        <v>14.726789470000002</v>
      </c>
      <c r="G22" s="951">
        <v>512.16294926</v>
      </c>
      <c r="H22" s="951">
        <v>10.54</v>
      </c>
      <c r="I22" s="951">
        <v>534.42749503999994</v>
      </c>
      <c r="J22" s="951">
        <v>28.995204609999998</v>
      </c>
      <c r="K22" s="951">
        <v>433.73405429000002</v>
      </c>
      <c r="L22" s="951">
        <v>0</v>
      </c>
      <c r="M22" s="951">
        <v>1182.60945509</v>
      </c>
      <c r="N22" s="951">
        <v>6.9593881299999998</v>
      </c>
      <c r="O22" s="951">
        <v>891.58932236999988</v>
      </c>
      <c r="P22" s="951">
        <v>0.41299999999999998</v>
      </c>
      <c r="Q22" s="951">
        <v>6541.8174222599991</v>
      </c>
      <c r="R22" s="951">
        <v>238.56019057999998</v>
      </c>
      <c r="S22" s="951">
        <v>20.87193864</v>
      </c>
      <c r="T22" s="951">
        <v>0.18129999999999999</v>
      </c>
      <c r="U22" s="951">
        <v>0.82180977999999993</v>
      </c>
      <c r="V22" s="951">
        <v>0</v>
      </c>
      <c r="W22" s="951">
        <v>788.68885742000145</v>
      </c>
      <c r="X22" s="951">
        <v>15.592253900000014</v>
      </c>
      <c r="Y22" s="951">
        <v>27.087395489999999</v>
      </c>
      <c r="Z22" s="951">
        <v>0</v>
      </c>
      <c r="AA22" s="951">
        <v>2.3220422200000002</v>
      </c>
      <c r="AB22" s="951">
        <v>0</v>
      </c>
      <c r="AC22" s="951">
        <v>29.444507569999999</v>
      </c>
      <c r="AD22" s="951">
        <v>1.3479E-2</v>
      </c>
      <c r="AE22" s="951">
        <v>41.579626149999996</v>
      </c>
      <c r="AF22" s="951">
        <v>0</v>
      </c>
      <c r="AG22" s="951">
        <v>314.00647365999998</v>
      </c>
    </row>
    <row r="23" spans="1:33" ht="15" customHeight="1">
      <c r="A23" s="948" t="s">
        <v>27</v>
      </c>
      <c r="B23" s="949">
        <v>14785.940748229998</v>
      </c>
      <c r="C23" s="949">
        <v>1006.5232318599999</v>
      </c>
      <c r="D23" s="950">
        <f t="shared" si="0"/>
        <v>6.8072992378282677</v>
      </c>
      <c r="E23" s="951">
        <v>2532.0973747600001</v>
      </c>
      <c r="F23" s="951">
        <v>14.726789470000002</v>
      </c>
      <c r="G23" s="951">
        <v>502.28735919000002</v>
      </c>
      <c r="H23" s="951">
        <v>10.54</v>
      </c>
      <c r="I23" s="951">
        <v>523.18709729999989</v>
      </c>
      <c r="J23" s="951">
        <v>28.995204609999998</v>
      </c>
      <c r="K23" s="951">
        <v>432.26422624999998</v>
      </c>
      <c r="L23" s="951">
        <v>0</v>
      </c>
      <c r="M23" s="951">
        <v>1221.48748387</v>
      </c>
      <c r="N23" s="951">
        <v>6.9593881299999998</v>
      </c>
      <c r="O23" s="951">
        <v>875.18294334000007</v>
      </c>
      <c r="P23" s="951">
        <v>0.41299999999999998</v>
      </c>
      <c r="Q23" s="951">
        <v>6526.4718856799991</v>
      </c>
      <c r="R23" s="951">
        <v>238.56019057999998</v>
      </c>
      <c r="S23" s="951">
        <v>21.179231559999998</v>
      </c>
      <c r="T23" s="951">
        <v>0.18129999999999999</v>
      </c>
      <c r="U23" s="951">
        <v>0.79625563999999993</v>
      </c>
      <c r="V23" s="951">
        <v>0</v>
      </c>
      <c r="W23" s="951">
        <v>730.85008213999924</v>
      </c>
      <c r="X23" s="951">
        <v>15.592253900000014</v>
      </c>
      <c r="Y23" s="951">
        <v>25.990582490000001</v>
      </c>
      <c r="Z23" s="951">
        <v>0</v>
      </c>
      <c r="AA23" s="951">
        <v>2.0200656700000001</v>
      </c>
      <c r="AB23" s="951">
        <v>0</v>
      </c>
      <c r="AC23" s="951">
        <v>31.97589159</v>
      </c>
      <c r="AD23" s="951">
        <v>1.3479E-2</v>
      </c>
      <c r="AE23" s="951">
        <v>37.645431200000004</v>
      </c>
      <c r="AF23" s="951">
        <v>0</v>
      </c>
      <c r="AG23" s="951">
        <v>437.31771748000006</v>
      </c>
    </row>
    <row r="24" spans="1:33" ht="15" customHeight="1">
      <c r="A24" s="948" t="s">
        <v>28</v>
      </c>
      <c r="B24" s="949">
        <v>14681.276736810001</v>
      </c>
      <c r="C24" s="949">
        <v>922.91633637999996</v>
      </c>
      <c r="D24" s="950">
        <f t="shared" si="0"/>
        <v>6.2863492932191285</v>
      </c>
      <c r="E24" s="951">
        <v>2579.8380709799999</v>
      </c>
      <c r="F24" s="951">
        <v>14.726789470000002</v>
      </c>
      <c r="G24" s="951">
        <v>506.17252259000003</v>
      </c>
      <c r="H24" s="951">
        <v>10.54</v>
      </c>
      <c r="I24" s="951">
        <v>524.92194959000005</v>
      </c>
      <c r="J24" s="951">
        <v>28.995204609999998</v>
      </c>
      <c r="K24" s="951">
        <v>477.40030588999997</v>
      </c>
      <c r="L24" s="951">
        <v>0</v>
      </c>
      <c r="M24" s="951">
        <v>1375.1527625599999</v>
      </c>
      <c r="N24" s="951">
        <v>6.9593881299999998</v>
      </c>
      <c r="O24" s="951">
        <v>857.47137640999995</v>
      </c>
      <c r="P24" s="951">
        <v>0.41299999999999998</v>
      </c>
      <c r="Q24" s="951">
        <v>6518.7552752199999</v>
      </c>
      <c r="R24" s="951">
        <v>238.56019057999998</v>
      </c>
      <c r="S24" s="951">
        <v>24.347565280000001</v>
      </c>
      <c r="T24" s="951">
        <v>0.18129999999999999</v>
      </c>
      <c r="U24" s="951">
        <v>0.78461822999999997</v>
      </c>
      <c r="V24" s="951">
        <v>0</v>
      </c>
      <c r="W24" s="951">
        <v>497.42503990999904</v>
      </c>
      <c r="X24" s="951">
        <v>15.592253900000014</v>
      </c>
      <c r="Y24" s="951">
        <v>6.7282521899999992</v>
      </c>
      <c r="Z24" s="951">
        <v>0</v>
      </c>
      <c r="AA24" s="951">
        <v>2.0186709399999998</v>
      </c>
      <c r="AB24" s="951">
        <v>0</v>
      </c>
      <c r="AC24" s="951">
        <v>34.947813449999998</v>
      </c>
      <c r="AD24" s="951">
        <v>1.3479E-2</v>
      </c>
      <c r="AE24" s="951">
        <v>36.414571500000001</v>
      </c>
      <c r="AF24" s="951">
        <v>0</v>
      </c>
      <c r="AG24" s="951">
        <v>449.96527655</v>
      </c>
    </row>
    <row r="25" spans="1:33" ht="15" customHeight="1">
      <c r="A25" s="948" t="s">
        <v>29</v>
      </c>
      <c r="B25" s="949">
        <v>14530.42312815</v>
      </c>
      <c r="C25" s="949">
        <v>893.13990543999989</v>
      </c>
      <c r="D25" s="950">
        <f t="shared" si="0"/>
        <v>6.1466888993047082</v>
      </c>
      <c r="E25" s="951">
        <v>2598.7064799199998</v>
      </c>
      <c r="F25" s="951">
        <v>8.1391568500000009</v>
      </c>
      <c r="G25" s="951">
        <v>512.73198853999997</v>
      </c>
      <c r="H25" s="951">
        <v>11.75465</v>
      </c>
      <c r="I25" s="951">
        <v>531.28475893999996</v>
      </c>
      <c r="J25" s="951">
        <v>34.965158549999998</v>
      </c>
      <c r="K25" s="951">
        <v>492.95189799000002</v>
      </c>
      <c r="L25" s="951">
        <v>0</v>
      </c>
      <c r="M25" s="951">
        <v>1241.2799363700001</v>
      </c>
      <c r="N25" s="951">
        <v>8.777420600000001</v>
      </c>
      <c r="O25" s="951">
        <v>847.85810412000001</v>
      </c>
      <c r="P25" s="951">
        <v>0.66084100000000001</v>
      </c>
      <c r="Q25" s="951">
        <v>6477.0138981200007</v>
      </c>
      <c r="R25" s="951">
        <v>232.25763719999998</v>
      </c>
      <c r="S25" s="951">
        <v>23.781950299999998</v>
      </c>
      <c r="T25" s="951">
        <v>0.18279999999999999</v>
      </c>
      <c r="U25" s="951">
        <v>0.77283535000000003</v>
      </c>
      <c r="V25" s="951">
        <v>0</v>
      </c>
      <c r="W25" s="951">
        <v>511.74928207000175</v>
      </c>
      <c r="X25" s="951">
        <v>16.155075349999983</v>
      </c>
      <c r="Y25" s="951">
        <v>7.44049213</v>
      </c>
      <c r="Z25" s="951">
        <v>0</v>
      </c>
      <c r="AA25" s="951">
        <v>1.9654957500000001</v>
      </c>
      <c r="AB25" s="951">
        <v>0</v>
      </c>
      <c r="AC25" s="951">
        <v>40.019494620000003</v>
      </c>
      <c r="AD25" s="951">
        <v>8.4699999999999999E-4</v>
      </c>
      <c r="AE25" s="951">
        <v>36.833021939999995</v>
      </c>
      <c r="AF25" s="951">
        <v>0</v>
      </c>
      <c r="AG25" s="951">
        <v>472.36382140000001</v>
      </c>
    </row>
    <row r="26" spans="1:33">
      <c r="A26" s="952">
        <v>2021</v>
      </c>
      <c r="B26" s="952"/>
      <c r="C26" s="952"/>
      <c r="D26" s="952"/>
      <c r="E26" s="953"/>
      <c r="F26" s="953"/>
      <c r="G26" s="953"/>
      <c r="H26" s="953"/>
      <c r="I26" s="953"/>
      <c r="J26" s="953"/>
      <c r="K26" s="953"/>
      <c r="L26" s="953"/>
      <c r="M26" s="953"/>
      <c r="N26" s="953"/>
      <c r="O26" s="953"/>
      <c r="P26" s="953"/>
      <c r="Q26" s="953"/>
      <c r="R26" s="953"/>
      <c r="S26" s="953"/>
      <c r="T26" s="953"/>
      <c r="U26" s="954"/>
      <c r="V26" s="953"/>
      <c r="W26" s="953"/>
      <c r="X26" s="953"/>
      <c r="Y26" s="635"/>
      <c r="Z26" s="635"/>
      <c r="AA26" s="635"/>
      <c r="AB26" s="635"/>
      <c r="AC26" s="635"/>
      <c r="AD26" s="635"/>
      <c r="AE26" s="635"/>
      <c r="AF26" s="635"/>
      <c r="AG26" s="953"/>
    </row>
    <row r="27" spans="1:33">
      <c r="A27" s="948" t="s">
        <v>18</v>
      </c>
      <c r="B27" s="949">
        <v>14587.203226590002</v>
      </c>
      <c r="C27" s="949">
        <v>900.38567629999977</v>
      </c>
      <c r="D27" s="950">
        <f t="shared" ref="D27:D38" si="1">C27/B27*100</f>
        <v>6.1724352661293498</v>
      </c>
      <c r="E27" s="951">
        <v>2599.1376953299996</v>
      </c>
      <c r="F27" s="951">
        <v>8.1391568500000009</v>
      </c>
      <c r="G27" s="951">
        <v>759.24294873999997</v>
      </c>
      <c r="H27" s="951">
        <v>11.75465</v>
      </c>
      <c r="I27" s="951">
        <v>537.99087044999999</v>
      </c>
      <c r="J27" s="951">
        <v>34.965158549999998</v>
      </c>
      <c r="K27" s="951">
        <v>527.06655323999996</v>
      </c>
      <c r="L27" s="951">
        <v>0</v>
      </c>
      <c r="M27" s="951">
        <v>972.77601623999999</v>
      </c>
      <c r="N27" s="951">
        <v>8.777420600000001</v>
      </c>
      <c r="O27" s="951">
        <v>831.50276643999996</v>
      </c>
      <c r="P27" s="951">
        <v>0.66084100000000001</v>
      </c>
      <c r="Q27" s="951">
        <v>6549.4246127300003</v>
      </c>
      <c r="R27" s="951">
        <v>232.25763719999998</v>
      </c>
      <c r="S27" s="951">
        <v>19.063408680000002</v>
      </c>
      <c r="T27" s="951">
        <v>0.18279999999999999</v>
      </c>
      <c r="U27" s="951">
        <v>0.76090519000000001</v>
      </c>
      <c r="V27" s="951">
        <v>0</v>
      </c>
      <c r="W27" s="951">
        <v>504.72276179000067</v>
      </c>
      <c r="X27" s="951">
        <v>16.155075349999983</v>
      </c>
      <c r="Y27" s="951">
        <v>8.9022348099999995</v>
      </c>
      <c r="Z27" s="951">
        <v>0</v>
      </c>
      <c r="AA27" s="951">
        <v>1.8643147600000001</v>
      </c>
      <c r="AB27" s="951">
        <v>0</v>
      </c>
      <c r="AC27" s="951">
        <v>29.749525500000001</v>
      </c>
      <c r="AD27" s="951">
        <v>8.4699999999999999E-4</v>
      </c>
      <c r="AE27" s="951">
        <v>31.71934984</v>
      </c>
      <c r="AF27" s="951">
        <v>0</v>
      </c>
      <c r="AG27" s="951">
        <v>487.78963322999999</v>
      </c>
    </row>
    <row r="28" spans="1:33">
      <c r="A28" s="948" t="s">
        <v>19</v>
      </c>
      <c r="B28" s="949">
        <v>14619.545503340001</v>
      </c>
      <c r="C28" s="949">
        <v>917.51636969999993</v>
      </c>
      <c r="D28" s="950">
        <f t="shared" si="1"/>
        <v>6.2759568653511346</v>
      </c>
      <c r="E28" s="951">
        <v>2504.1076695600004</v>
      </c>
      <c r="F28" s="951">
        <v>8.1391568500000009</v>
      </c>
      <c r="G28" s="951">
        <v>756.37474811999994</v>
      </c>
      <c r="H28" s="951">
        <v>11.75465</v>
      </c>
      <c r="I28" s="951">
        <v>534.84074794000003</v>
      </c>
      <c r="J28" s="951">
        <v>34.965158549999998</v>
      </c>
      <c r="K28" s="951">
        <v>687.96381294000003</v>
      </c>
      <c r="L28" s="951">
        <v>0</v>
      </c>
      <c r="M28" s="951">
        <v>899.53158280999992</v>
      </c>
      <c r="N28" s="951">
        <v>8.777420600000001</v>
      </c>
      <c r="O28" s="951">
        <v>859.87628553000002</v>
      </c>
      <c r="P28" s="951">
        <v>0.66084100000000001</v>
      </c>
      <c r="Q28" s="951">
        <v>6539.0817762200004</v>
      </c>
      <c r="R28" s="951">
        <v>232.25763719999998</v>
      </c>
      <c r="S28" s="951">
        <v>15.815243430000001</v>
      </c>
      <c r="T28" s="951">
        <v>0.18279999999999999</v>
      </c>
      <c r="U28" s="951">
        <v>0.74882589999999993</v>
      </c>
      <c r="V28" s="951">
        <v>0</v>
      </c>
      <c r="W28" s="951">
        <v>518.57225738999955</v>
      </c>
      <c r="X28" s="951">
        <v>16.155075349999983</v>
      </c>
      <c r="Y28" s="951">
        <v>7.1446817000000005</v>
      </c>
      <c r="Z28" s="951">
        <v>0</v>
      </c>
      <c r="AA28" s="951">
        <v>2.7466538899999997</v>
      </c>
      <c r="AB28" s="951">
        <v>0</v>
      </c>
      <c r="AC28" s="951">
        <v>31.743005580000002</v>
      </c>
      <c r="AD28" s="951">
        <v>8.4699999999999999E-4</v>
      </c>
      <c r="AE28" s="951">
        <v>30.588256080000008</v>
      </c>
      <c r="AF28" s="951">
        <v>0</v>
      </c>
      <c r="AG28" s="951">
        <v>460.97720242999998</v>
      </c>
    </row>
    <row r="29" spans="1:33">
      <c r="A29" s="948" t="s">
        <v>20</v>
      </c>
      <c r="B29" s="949">
        <v>14728.03039973</v>
      </c>
      <c r="C29" s="949">
        <v>918.15007710999998</v>
      </c>
      <c r="D29" s="950">
        <f t="shared" si="1"/>
        <v>6.2340316538648093</v>
      </c>
      <c r="E29" s="951">
        <v>2507.9805126300002</v>
      </c>
      <c r="F29" s="951">
        <v>8.8389101100000005</v>
      </c>
      <c r="G29" s="951">
        <v>757.21330558000011</v>
      </c>
      <c r="H29" s="951">
        <v>11.75465</v>
      </c>
      <c r="I29" s="951">
        <v>540.71176303000004</v>
      </c>
      <c r="J29" s="951">
        <v>30.199528649999998</v>
      </c>
      <c r="K29" s="951">
        <v>681.49539245999995</v>
      </c>
      <c r="L29" s="951">
        <v>0</v>
      </c>
      <c r="M29" s="951">
        <v>910.73295688000007</v>
      </c>
      <c r="N29" s="951">
        <v>9.2551010300000005</v>
      </c>
      <c r="O29" s="951">
        <v>853.29803943000002</v>
      </c>
      <c r="P29" s="951">
        <v>0.93415236000000001</v>
      </c>
      <c r="Q29" s="951">
        <v>6632.1192125799998</v>
      </c>
      <c r="R29" s="951">
        <v>237.18815997999999</v>
      </c>
      <c r="S29" s="951">
        <v>17.884563480000001</v>
      </c>
      <c r="T29" s="951">
        <v>0.18279999999999999</v>
      </c>
      <c r="U29" s="951">
        <v>0.7365956199999999</v>
      </c>
      <c r="V29" s="951">
        <v>0</v>
      </c>
      <c r="W29" s="951">
        <v>519.57304165000096</v>
      </c>
      <c r="X29" s="951">
        <v>17.054115289999956</v>
      </c>
      <c r="Y29" s="951">
        <v>5.8155647699999999</v>
      </c>
      <c r="Z29" s="951">
        <v>0</v>
      </c>
      <c r="AA29" s="951">
        <v>2.62603966</v>
      </c>
      <c r="AB29" s="951">
        <v>0</v>
      </c>
      <c r="AC29" s="951">
        <v>32.790854270000004</v>
      </c>
      <c r="AD29" s="951">
        <v>0</v>
      </c>
      <c r="AE29" s="951">
        <v>31.495063160000008</v>
      </c>
      <c r="AF29" s="951">
        <v>0</v>
      </c>
      <c r="AG29" s="951">
        <v>456.53499706000002</v>
      </c>
    </row>
    <row r="30" spans="1:33">
      <c r="A30" s="948" t="s">
        <v>21</v>
      </c>
      <c r="B30" s="949">
        <v>14987.495848650002</v>
      </c>
      <c r="C30" s="949">
        <v>921.53370200000006</v>
      </c>
      <c r="D30" s="950">
        <f t="shared" si="1"/>
        <v>6.1486836180375466</v>
      </c>
      <c r="E30" s="951">
        <v>2549.8556796299999</v>
      </c>
      <c r="F30" s="951">
        <v>8.8389101100000005</v>
      </c>
      <c r="G30" s="951">
        <v>766.61467655999991</v>
      </c>
      <c r="H30" s="951">
        <v>11.75465</v>
      </c>
      <c r="I30" s="951">
        <v>533.94968663999998</v>
      </c>
      <c r="J30" s="951">
        <v>30.199528649999998</v>
      </c>
      <c r="K30" s="951">
        <v>688.82102366000004</v>
      </c>
      <c r="L30" s="951">
        <v>0</v>
      </c>
      <c r="M30" s="951">
        <v>905.59455224999999</v>
      </c>
      <c r="N30" s="951">
        <v>9.2551010300000005</v>
      </c>
      <c r="O30" s="951">
        <v>870.09419116999993</v>
      </c>
      <c r="P30" s="951">
        <v>0.93415236000000001</v>
      </c>
      <c r="Q30" s="951">
        <v>6807.4701766500011</v>
      </c>
      <c r="R30" s="951">
        <v>237.18815997999999</v>
      </c>
      <c r="S30" s="951">
        <v>17.12009196</v>
      </c>
      <c r="T30" s="951">
        <v>0.18279999999999999</v>
      </c>
      <c r="U30" s="951">
        <v>0.69421246000000003</v>
      </c>
      <c r="V30" s="951">
        <v>0</v>
      </c>
      <c r="W30" s="951">
        <v>527.80753939999818</v>
      </c>
      <c r="X30" s="951">
        <v>17.054115289999956</v>
      </c>
      <c r="Y30" s="951">
        <v>6.7236414600000005</v>
      </c>
      <c r="Z30" s="951">
        <v>0</v>
      </c>
      <c r="AA30" s="951">
        <v>2.6595292699999997</v>
      </c>
      <c r="AB30" s="951">
        <v>0</v>
      </c>
      <c r="AC30" s="951">
        <v>37.676938090000007</v>
      </c>
      <c r="AD30" s="951">
        <v>0</v>
      </c>
      <c r="AE30" s="951">
        <v>35.472790029999999</v>
      </c>
      <c r="AF30" s="951">
        <v>0</v>
      </c>
      <c r="AG30" s="951">
        <v>477.63473532</v>
      </c>
    </row>
    <row r="31" spans="1:33">
      <c r="A31" s="948" t="s">
        <v>22</v>
      </c>
      <c r="B31" s="949">
        <v>15067.068306839999</v>
      </c>
      <c r="C31" s="949">
        <v>906.90793024999994</v>
      </c>
      <c r="D31" s="950">
        <f t="shared" si="1"/>
        <v>6.0191399665872014</v>
      </c>
      <c r="E31" s="951">
        <v>2551.2740627099997</v>
      </c>
      <c r="F31" s="951">
        <v>8.8389101100000005</v>
      </c>
      <c r="G31" s="951">
        <v>758.91417658</v>
      </c>
      <c r="H31" s="951">
        <v>11.75465</v>
      </c>
      <c r="I31" s="951">
        <v>536.11958942999991</v>
      </c>
      <c r="J31" s="951">
        <v>30.199528649999998</v>
      </c>
      <c r="K31" s="951">
        <v>721.89632615000005</v>
      </c>
      <c r="L31" s="951">
        <v>0</v>
      </c>
      <c r="M31" s="951">
        <v>915.36763211999994</v>
      </c>
      <c r="N31" s="951">
        <v>9.2551010300000005</v>
      </c>
      <c r="O31" s="951">
        <v>824.98340723000001</v>
      </c>
      <c r="P31" s="951">
        <v>0.93415236000000001</v>
      </c>
      <c r="Q31" s="951">
        <v>6914.7730755600005</v>
      </c>
      <c r="R31" s="951">
        <v>237.18815997999999</v>
      </c>
      <c r="S31" s="951">
        <v>18.008724699999998</v>
      </c>
      <c r="T31" s="951">
        <v>0.18279999999999999</v>
      </c>
      <c r="U31" s="951">
        <v>0.66831650999999992</v>
      </c>
      <c r="V31" s="951">
        <v>0</v>
      </c>
      <c r="W31" s="951">
        <v>521.82036075000178</v>
      </c>
      <c r="X31" s="951">
        <v>17.054115289999956</v>
      </c>
      <c r="Y31" s="951">
        <v>6.0750850400000003</v>
      </c>
      <c r="Z31" s="951">
        <v>0</v>
      </c>
      <c r="AA31" s="951">
        <v>2.6283231300000001</v>
      </c>
      <c r="AB31" s="951">
        <v>0</v>
      </c>
      <c r="AC31" s="951">
        <v>37.641860899999998</v>
      </c>
      <c r="AD31" s="951">
        <v>0</v>
      </c>
      <c r="AE31" s="951">
        <v>34.582018359999999</v>
      </c>
      <c r="AF31" s="951">
        <v>0</v>
      </c>
      <c r="AG31" s="951">
        <v>483.65381840999999</v>
      </c>
    </row>
    <row r="32" spans="1:33">
      <c r="A32" s="948" t="s">
        <v>23</v>
      </c>
      <c r="B32" s="949">
        <v>15258.058194190002</v>
      </c>
      <c r="C32" s="949">
        <v>914.58348045999981</v>
      </c>
      <c r="D32" s="950">
        <f t="shared" si="1"/>
        <v>5.9941014041239988</v>
      </c>
      <c r="E32" s="951">
        <v>2549.45211036</v>
      </c>
      <c r="F32" s="951">
        <v>8.4186830300000004</v>
      </c>
      <c r="G32" s="951">
        <v>730.72229530000004</v>
      </c>
      <c r="H32" s="951">
        <v>17.772354199999999</v>
      </c>
      <c r="I32" s="951">
        <v>538.2262591299999</v>
      </c>
      <c r="J32" s="951">
        <v>27.820595969999999</v>
      </c>
      <c r="K32" s="951">
        <v>737.29711373999999</v>
      </c>
      <c r="L32" s="951">
        <v>0</v>
      </c>
      <c r="M32" s="951">
        <v>910.15272129000004</v>
      </c>
      <c r="N32" s="951">
        <v>11.79925588</v>
      </c>
      <c r="O32" s="951">
        <v>820.05745451000007</v>
      </c>
      <c r="P32" s="951">
        <v>0.85866142999999995</v>
      </c>
      <c r="Q32" s="951">
        <v>7066.2354611200008</v>
      </c>
      <c r="R32" s="951">
        <v>256.90963611999996</v>
      </c>
      <c r="S32" s="951">
        <v>19.670576650000001</v>
      </c>
      <c r="T32" s="951">
        <v>0.18279999999999999</v>
      </c>
      <c r="U32" s="951">
        <v>0.64521456999999993</v>
      </c>
      <c r="V32" s="951">
        <v>0</v>
      </c>
      <c r="W32" s="951">
        <v>540.08488187000091</v>
      </c>
      <c r="X32" s="951">
        <v>18.998977400000044</v>
      </c>
      <c r="Y32" s="951">
        <v>7.9188054399999999</v>
      </c>
      <c r="Z32" s="951">
        <v>0</v>
      </c>
      <c r="AA32" s="951">
        <v>6.781777439999999</v>
      </c>
      <c r="AB32" s="951">
        <v>0</v>
      </c>
      <c r="AC32" s="951">
        <v>40.376605959999999</v>
      </c>
      <c r="AD32" s="951">
        <v>0</v>
      </c>
      <c r="AE32" s="951">
        <v>33.092472319999999</v>
      </c>
      <c r="AF32" s="951">
        <v>0</v>
      </c>
      <c r="AG32" s="951">
        <v>469.41215711000001</v>
      </c>
    </row>
    <row r="33" spans="1:33">
      <c r="A33" s="948" t="s">
        <v>24</v>
      </c>
      <c r="B33" s="949">
        <v>15367.672983370003</v>
      </c>
      <c r="C33" s="949">
        <v>937.46215345000007</v>
      </c>
      <c r="D33" s="950">
        <f t="shared" si="1"/>
        <v>6.1002219038918044</v>
      </c>
      <c r="E33" s="951">
        <v>2551.4528833900004</v>
      </c>
      <c r="F33" s="951">
        <v>8.4186830300000004</v>
      </c>
      <c r="G33" s="951">
        <v>722.48351907000006</v>
      </c>
      <c r="H33" s="951">
        <v>17.772354199999999</v>
      </c>
      <c r="I33" s="951">
        <v>534.04471863000003</v>
      </c>
      <c r="J33" s="951">
        <v>27.820595969999999</v>
      </c>
      <c r="K33" s="951">
        <v>771.52513070000009</v>
      </c>
      <c r="L33" s="951">
        <v>0</v>
      </c>
      <c r="M33" s="951">
        <v>906.00177702999997</v>
      </c>
      <c r="N33" s="951">
        <v>11.79925588</v>
      </c>
      <c r="O33" s="951">
        <v>756.40349149000008</v>
      </c>
      <c r="P33" s="951">
        <v>0.85866142999999995</v>
      </c>
      <c r="Q33" s="951">
        <v>7205.9675539399996</v>
      </c>
      <c r="R33" s="951">
        <v>256.90963611999996</v>
      </c>
      <c r="S33" s="951">
        <v>19.348759739999998</v>
      </c>
      <c r="T33" s="951">
        <v>0.18279999999999999</v>
      </c>
      <c r="U33" s="951">
        <v>0.62182384999999996</v>
      </c>
      <c r="V33" s="951">
        <v>0</v>
      </c>
      <c r="W33" s="951">
        <v>542.5170691900006</v>
      </c>
      <c r="X33" s="951">
        <v>18.998977400000044</v>
      </c>
      <c r="Y33" s="951">
        <v>7.1080348999999998</v>
      </c>
      <c r="Z33" s="951">
        <v>0</v>
      </c>
      <c r="AA33" s="951">
        <v>2.4405054599999998</v>
      </c>
      <c r="AB33" s="951">
        <v>0</v>
      </c>
      <c r="AC33" s="951">
        <v>38.923702589999998</v>
      </c>
      <c r="AD33" s="951">
        <v>0</v>
      </c>
      <c r="AE33" s="951">
        <v>28.610895909999996</v>
      </c>
      <c r="AF33" s="951">
        <v>0</v>
      </c>
      <c r="AG33" s="951">
        <v>470.96209210000001</v>
      </c>
    </row>
    <row r="34" spans="1:33">
      <c r="A34" s="948" t="s">
        <v>25</v>
      </c>
      <c r="B34" s="949">
        <v>15607.979105320002</v>
      </c>
      <c r="C34" s="949">
        <v>904.16886915999987</v>
      </c>
      <c r="D34" s="950">
        <f t="shared" si="1"/>
        <v>5.7929912838735964</v>
      </c>
      <c r="E34" s="951">
        <v>2539.6236270300001</v>
      </c>
      <c r="F34" s="951">
        <v>8.4186830300000004</v>
      </c>
      <c r="G34" s="951">
        <v>726.17304428</v>
      </c>
      <c r="H34" s="951">
        <v>17.772354199999999</v>
      </c>
      <c r="I34" s="951">
        <v>542.56642350000004</v>
      </c>
      <c r="J34" s="951">
        <v>27.820595969999999</v>
      </c>
      <c r="K34" s="951">
        <v>808.90830033000009</v>
      </c>
      <c r="L34" s="951">
        <v>0</v>
      </c>
      <c r="M34" s="951">
        <v>860.10702729000002</v>
      </c>
      <c r="N34" s="951">
        <v>11.79925588</v>
      </c>
      <c r="O34" s="951">
        <v>747.68904634000012</v>
      </c>
      <c r="P34" s="951">
        <v>0.85866142999999995</v>
      </c>
      <c r="Q34" s="951">
        <v>7434.7409468600008</v>
      </c>
      <c r="R34" s="951">
        <v>256.90963611999996</v>
      </c>
      <c r="S34" s="951">
        <v>19.633418689999999</v>
      </c>
      <c r="T34" s="951">
        <v>0.18279999999999999</v>
      </c>
      <c r="U34" s="951">
        <v>0.57414074999999987</v>
      </c>
      <c r="V34" s="951">
        <v>0</v>
      </c>
      <c r="W34" s="951">
        <v>602.58762677000243</v>
      </c>
      <c r="X34" s="951">
        <v>18.998977400000044</v>
      </c>
      <c r="Y34" s="951">
        <v>5.9090063500000003</v>
      </c>
      <c r="Z34" s="951">
        <v>0</v>
      </c>
      <c r="AA34" s="951">
        <v>4.9918723099999998</v>
      </c>
      <c r="AB34" s="951">
        <v>0</v>
      </c>
      <c r="AC34" s="951">
        <v>38.096837030000003</v>
      </c>
      <c r="AD34" s="951">
        <v>0</v>
      </c>
      <c r="AE34" s="951">
        <v>29.447954600000003</v>
      </c>
      <c r="AF34" s="951">
        <v>0</v>
      </c>
      <c r="AG34" s="951">
        <v>516.37639208999997</v>
      </c>
    </row>
    <row r="35" spans="1:33">
      <c r="A35" s="948" t="s">
        <v>26</v>
      </c>
      <c r="B35" s="949">
        <v>15957.303832469999</v>
      </c>
      <c r="C35" s="949">
        <v>871.14004874000011</v>
      </c>
      <c r="D35" s="950">
        <f t="shared" si="1"/>
        <v>5.4591932188907757</v>
      </c>
      <c r="E35" s="951">
        <v>2570.6308972100001</v>
      </c>
      <c r="F35" s="951">
        <v>8.5783721800000006</v>
      </c>
      <c r="G35" s="951">
        <v>724.51051774999996</v>
      </c>
      <c r="H35" s="951">
        <v>20.861254200000001</v>
      </c>
      <c r="I35" s="951">
        <v>546.30608309000002</v>
      </c>
      <c r="J35" s="951">
        <v>26.665374870000001</v>
      </c>
      <c r="K35" s="951">
        <v>857.72422443000005</v>
      </c>
      <c r="L35" s="951">
        <v>0.22206592999999999</v>
      </c>
      <c r="M35" s="951">
        <v>894.29216449</v>
      </c>
      <c r="N35" s="951">
        <v>14.04602861</v>
      </c>
      <c r="O35" s="951">
        <v>751.53076547000012</v>
      </c>
      <c r="P35" s="951">
        <v>2.3586548299999999</v>
      </c>
      <c r="Q35" s="951">
        <v>7661.342195369999</v>
      </c>
      <c r="R35" s="951">
        <v>270.42522850999995</v>
      </c>
      <c r="S35" s="951">
        <v>34.002924110000002</v>
      </c>
      <c r="T35" s="951">
        <v>0.18279999999999999</v>
      </c>
      <c r="U35" s="951">
        <v>0.54093726999999991</v>
      </c>
      <c r="V35" s="951">
        <v>0</v>
      </c>
      <c r="W35" s="951">
        <v>606.2895758899989</v>
      </c>
      <c r="X35" s="951">
        <v>19.802129130000012</v>
      </c>
      <c r="Y35" s="951">
        <v>9.69962138</v>
      </c>
      <c r="Z35" s="951">
        <v>0</v>
      </c>
      <c r="AA35" s="951">
        <v>2.6619728899999999</v>
      </c>
      <c r="AB35" s="951">
        <v>0</v>
      </c>
      <c r="AC35" s="951">
        <v>35.039565459999999</v>
      </c>
      <c r="AD35" s="951">
        <v>0</v>
      </c>
      <c r="AE35" s="951">
        <v>28.450430659999999</v>
      </c>
      <c r="AF35" s="951">
        <v>0</v>
      </c>
      <c r="AG35" s="951">
        <v>604.17383210000003</v>
      </c>
    </row>
    <row r="36" spans="1:33">
      <c r="A36" s="948" t="s">
        <v>27</v>
      </c>
      <c r="B36" s="949">
        <v>16415.890409920004</v>
      </c>
      <c r="C36" s="949">
        <v>815.87446341000009</v>
      </c>
      <c r="D36" s="950">
        <f t="shared" si="1"/>
        <v>4.9700286919372525</v>
      </c>
      <c r="E36" s="951">
        <v>2777.5857918800002</v>
      </c>
      <c r="F36" s="951">
        <v>8.5783721800000006</v>
      </c>
      <c r="G36" s="951">
        <v>721.01597415000003</v>
      </c>
      <c r="H36" s="951">
        <v>20.861254200000001</v>
      </c>
      <c r="I36" s="951">
        <v>547.13436809999996</v>
      </c>
      <c r="J36" s="951">
        <v>26.665374870000001</v>
      </c>
      <c r="K36" s="951">
        <v>879.62908294999988</v>
      </c>
      <c r="L36" s="951">
        <v>0.22206592999999999</v>
      </c>
      <c r="M36" s="951">
        <v>931.10649753999985</v>
      </c>
      <c r="N36" s="951">
        <v>14.04602861</v>
      </c>
      <c r="O36" s="951">
        <v>746.35539194000012</v>
      </c>
      <c r="P36" s="951">
        <v>2.3586548299999999</v>
      </c>
      <c r="Q36" s="951">
        <v>7852.5090272500011</v>
      </c>
      <c r="R36" s="951">
        <v>270.42522850999995</v>
      </c>
      <c r="S36" s="951">
        <v>74.676198940000006</v>
      </c>
      <c r="T36" s="951">
        <v>0.18279999999999999</v>
      </c>
      <c r="U36" s="951">
        <v>2.0888799900000001</v>
      </c>
      <c r="V36" s="951">
        <v>0</v>
      </c>
      <c r="W36" s="951">
        <v>620.21419738000429</v>
      </c>
      <c r="X36" s="951">
        <v>19.802129130000012</v>
      </c>
      <c r="Y36" s="951">
        <v>10.664287759999999</v>
      </c>
      <c r="Z36" s="951">
        <v>0</v>
      </c>
      <c r="AA36" s="951">
        <v>2.5579208099999997</v>
      </c>
      <c r="AB36" s="951">
        <v>0</v>
      </c>
      <c r="AC36" s="951">
        <v>38.691770239999997</v>
      </c>
      <c r="AD36" s="951">
        <v>0</v>
      </c>
      <c r="AE36" s="951">
        <v>32.644649319999999</v>
      </c>
      <c r="AF36" s="951">
        <v>0</v>
      </c>
      <c r="AG36" s="951">
        <v>468.14402078000001</v>
      </c>
    </row>
    <row r="37" spans="1:33">
      <c r="A37" s="948" t="s">
        <v>28</v>
      </c>
      <c r="B37" s="949">
        <v>16700.565043179999</v>
      </c>
      <c r="C37" s="949">
        <v>786.28199433999998</v>
      </c>
      <c r="D37" s="950">
        <f t="shared" si="1"/>
        <v>4.7081161164729188</v>
      </c>
      <c r="E37" s="951">
        <v>2859.9485050800004</v>
      </c>
      <c r="F37" s="951">
        <v>8.5783721800000006</v>
      </c>
      <c r="G37" s="951">
        <v>713.41384506999998</v>
      </c>
      <c r="H37" s="951">
        <v>20.861254200000001</v>
      </c>
      <c r="I37" s="951">
        <v>551.93139554000004</v>
      </c>
      <c r="J37" s="951">
        <v>26.665374870000001</v>
      </c>
      <c r="K37" s="951">
        <v>915.78658603000008</v>
      </c>
      <c r="L37" s="951">
        <v>0.22206592999999999</v>
      </c>
      <c r="M37" s="951">
        <v>924.56066938999993</v>
      </c>
      <c r="N37" s="951">
        <v>14.04602861</v>
      </c>
      <c r="O37" s="951">
        <v>740.65590216999999</v>
      </c>
      <c r="P37" s="951">
        <v>2.3586548299999999</v>
      </c>
      <c r="Q37" s="951">
        <v>8052.4229299699991</v>
      </c>
      <c r="R37" s="951">
        <v>270.42522850999995</v>
      </c>
      <c r="S37" s="951">
        <v>91.351472839999985</v>
      </c>
      <c r="T37" s="951">
        <v>0.18279999999999999</v>
      </c>
      <c r="U37" s="951">
        <v>2.0505073299999999</v>
      </c>
      <c r="V37" s="951">
        <v>0</v>
      </c>
      <c r="W37" s="951">
        <v>616.81755486000611</v>
      </c>
      <c r="X37" s="951">
        <v>19.802129130000012</v>
      </c>
      <c r="Y37" s="951">
        <v>7.1007471400000002</v>
      </c>
      <c r="Z37" s="951">
        <v>0</v>
      </c>
      <c r="AA37" s="951">
        <v>3.1193285900000003</v>
      </c>
      <c r="AB37" s="951">
        <v>0</v>
      </c>
      <c r="AC37" s="951">
        <v>42.417387400000003</v>
      </c>
      <c r="AD37" s="951">
        <v>0</v>
      </c>
      <c r="AE37" s="951">
        <v>29.564309170000001</v>
      </c>
      <c r="AF37" s="951">
        <v>0</v>
      </c>
      <c r="AG37" s="951">
        <v>474.33828768000001</v>
      </c>
    </row>
    <row r="38" spans="1:33">
      <c r="A38" s="948" t="s">
        <v>29</v>
      </c>
      <c r="B38" s="949">
        <v>17119.816266530001</v>
      </c>
      <c r="C38" s="949">
        <v>719.44171244100028</v>
      </c>
      <c r="D38" s="950">
        <f t="shared" si="1"/>
        <v>4.2023915516403099</v>
      </c>
      <c r="E38" s="951">
        <v>2982.27763271</v>
      </c>
      <c r="F38" s="951">
        <v>10.221064380000001</v>
      </c>
      <c r="G38" s="951">
        <v>718.87065003999999</v>
      </c>
      <c r="H38" s="951">
        <v>30.155463600000001</v>
      </c>
      <c r="I38" s="951">
        <v>563.21427218000008</v>
      </c>
      <c r="J38" s="951">
        <v>28.481477079999998</v>
      </c>
      <c r="K38" s="951">
        <v>903.04608600000006</v>
      </c>
      <c r="L38" s="951">
        <v>0.14264178999999999</v>
      </c>
      <c r="M38" s="951">
        <v>960.22491318999994</v>
      </c>
      <c r="N38" s="951">
        <v>11.50845487</v>
      </c>
      <c r="O38" s="951">
        <v>733.94094086000018</v>
      </c>
      <c r="P38" s="951">
        <v>3.40064806</v>
      </c>
      <c r="Q38" s="951">
        <v>8320.5240356199993</v>
      </c>
      <c r="R38" s="951">
        <v>286.74943291900001</v>
      </c>
      <c r="S38" s="951">
        <v>90.596399309999995</v>
      </c>
      <c r="T38" s="951">
        <v>0.18279999999999999</v>
      </c>
      <c r="U38" s="951">
        <v>1.9917215699999999</v>
      </c>
      <c r="V38" s="951">
        <v>0</v>
      </c>
      <c r="W38" s="951">
        <v>617.99023107999903</v>
      </c>
      <c r="X38" s="951">
        <v>35.804449879999979</v>
      </c>
      <c r="Y38" s="951">
        <v>8.4083914000000011</v>
      </c>
      <c r="Z38" s="951">
        <v>0</v>
      </c>
      <c r="AA38" s="951">
        <v>3.6777463099999999</v>
      </c>
      <c r="AB38" s="951">
        <v>0</v>
      </c>
      <c r="AC38" s="951">
        <v>56.911928450000005</v>
      </c>
      <c r="AD38" s="951">
        <v>0</v>
      </c>
      <c r="AE38" s="951">
        <v>32.053172790000005</v>
      </c>
      <c r="AF38" s="951">
        <v>0</v>
      </c>
      <c r="AG38" s="951">
        <v>357.28922269999998</v>
      </c>
    </row>
    <row r="39" spans="1:33">
      <c r="A39" s="948" t="s">
        <v>2812</v>
      </c>
      <c r="B39" s="948"/>
      <c r="C39" s="948"/>
      <c r="D39" s="948"/>
      <c r="E39" s="951"/>
      <c r="F39" s="951"/>
      <c r="G39" s="951"/>
      <c r="H39" s="951"/>
      <c r="I39" s="951"/>
      <c r="J39" s="951"/>
      <c r="K39" s="951"/>
      <c r="L39" s="951"/>
      <c r="M39" s="951"/>
      <c r="N39" s="951"/>
      <c r="O39" s="951"/>
      <c r="P39" s="951"/>
      <c r="Q39" s="951"/>
      <c r="R39" s="951"/>
      <c r="S39" s="951"/>
      <c r="T39" s="951"/>
      <c r="U39" s="951"/>
      <c r="V39" s="951"/>
      <c r="W39" s="951"/>
      <c r="X39" s="951"/>
      <c r="Y39" s="951"/>
      <c r="Z39" s="951"/>
      <c r="AA39" s="951"/>
      <c r="AB39" s="951"/>
      <c r="AC39" s="951"/>
      <c r="AD39" s="951"/>
      <c r="AE39" s="951"/>
      <c r="AF39" s="951"/>
      <c r="AG39" s="951"/>
    </row>
    <row r="40" spans="1:33">
      <c r="A40" s="948" t="s">
        <v>18</v>
      </c>
      <c r="B40" s="949">
        <v>17242.149871199999</v>
      </c>
      <c r="C40" s="949">
        <v>706.5450646810001</v>
      </c>
      <c r="D40" s="950">
        <f t="shared" ref="D40:D49" si="2">C40/B40*100</f>
        <v>4.0977782350747356</v>
      </c>
      <c r="E40" s="951">
        <v>2960.8306106</v>
      </c>
      <c r="F40" s="951">
        <v>10.221064380000001</v>
      </c>
      <c r="G40" s="951">
        <v>707.68418763</v>
      </c>
      <c r="H40" s="951">
        <v>30.155463600000001</v>
      </c>
      <c r="I40" s="951">
        <v>567.29357872000003</v>
      </c>
      <c r="J40" s="951">
        <v>28.481477079999998</v>
      </c>
      <c r="K40" s="951">
        <v>910.22202430000004</v>
      </c>
      <c r="L40" s="951">
        <v>0.14264178999999999</v>
      </c>
      <c r="M40" s="951">
        <v>948.28755950999994</v>
      </c>
      <c r="N40" s="951">
        <v>11.50845487</v>
      </c>
      <c r="O40" s="951">
        <v>741.22516050000002</v>
      </c>
      <c r="P40" s="951">
        <v>3.40064806</v>
      </c>
      <c r="Q40" s="951">
        <v>8480.9704156700009</v>
      </c>
      <c r="R40" s="951">
        <v>286.74943291900001</v>
      </c>
      <c r="S40" s="951">
        <v>90.016935840000002</v>
      </c>
      <c r="T40" s="951">
        <v>0.18279999999999999</v>
      </c>
      <c r="U40" s="951">
        <v>1.95306146</v>
      </c>
      <c r="V40" s="951">
        <v>0</v>
      </c>
      <c r="W40" s="951">
        <v>627.47543251999991</v>
      </c>
      <c r="X40" s="951">
        <v>35.804449879999979</v>
      </c>
      <c r="Y40" s="951">
        <v>7.6883463699999997</v>
      </c>
      <c r="Z40" s="951">
        <v>0</v>
      </c>
      <c r="AA40" s="951">
        <v>4.3864337100000004</v>
      </c>
      <c r="AB40" s="951">
        <v>0</v>
      </c>
      <c r="AC40" s="951">
        <v>50.945260220000002</v>
      </c>
      <c r="AD40" s="951">
        <v>0</v>
      </c>
      <c r="AE40" s="951">
        <v>29.979366889999998</v>
      </c>
      <c r="AF40" s="951">
        <v>0</v>
      </c>
      <c r="AG40" s="951">
        <v>404.33149824999998</v>
      </c>
    </row>
    <row r="41" spans="1:33" ht="15" customHeight="1">
      <c r="A41" s="948" t="s">
        <v>19</v>
      </c>
      <c r="B41" s="949">
        <v>17587.221785509999</v>
      </c>
      <c r="C41" s="949">
        <v>690.22803666099992</v>
      </c>
      <c r="D41" s="950">
        <f t="shared" si="2"/>
        <v>3.9245996046383769</v>
      </c>
      <c r="E41" s="951">
        <v>3029.3681515600001</v>
      </c>
      <c r="F41" s="951">
        <v>10.221064380000001</v>
      </c>
      <c r="G41" s="951">
        <v>689.92751550000003</v>
      </c>
      <c r="H41" s="951">
        <v>30.155463600000001</v>
      </c>
      <c r="I41" s="951">
        <v>563.14749876999997</v>
      </c>
      <c r="J41" s="951">
        <v>28.481477079999998</v>
      </c>
      <c r="K41" s="951">
        <v>985.9135400900002</v>
      </c>
      <c r="L41" s="951">
        <v>0.14264178999999999</v>
      </c>
      <c r="M41" s="951">
        <v>985.04823421000003</v>
      </c>
      <c r="N41" s="951">
        <v>11.50845487</v>
      </c>
      <c r="O41" s="951">
        <v>728.15753729000005</v>
      </c>
      <c r="P41" s="951">
        <v>3.40064806</v>
      </c>
      <c r="Q41" s="951">
        <v>8661.6781615899999</v>
      </c>
      <c r="R41" s="951">
        <v>286.74943291900001</v>
      </c>
      <c r="S41" s="951">
        <v>92.488529190000008</v>
      </c>
      <c r="T41" s="951">
        <v>0.18279999999999999</v>
      </c>
      <c r="U41" s="951">
        <v>1.95306146</v>
      </c>
      <c r="V41" s="951">
        <v>0</v>
      </c>
      <c r="W41" s="951">
        <v>643.79415081999889</v>
      </c>
      <c r="X41" s="951">
        <v>35.804449879999979</v>
      </c>
      <c r="Y41" s="951">
        <v>25.085493190000001</v>
      </c>
      <c r="Z41" s="951">
        <v>0</v>
      </c>
      <c r="AA41" s="951">
        <v>4.2741885100000001</v>
      </c>
      <c r="AB41" s="951">
        <v>0</v>
      </c>
      <c r="AC41" s="951">
        <v>48.159196620000003</v>
      </c>
      <c r="AD41" s="951">
        <v>0</v>
      </c>
      <c r="AE41" s="951">
        <v>31.352057470000005</v>
      </c>
      <c r="AF41" s="951">
        <v>0</v>
      </c>
      <c r="AG41" s="951">
        <v>501.75617211000002</v>
      </c>
    </row>
    <row r="42" spans="1:33" ht="15" customHeight="1">
      <c r="A42" s="948" t="s">
        <v>20</v>
      </c>
      <c r="B42" s="949">
        <v>18007.769891450997</v>
      </c>
      <c r="C42" s="949">
        <v>685.18649990099982</v>
      </c>
      <c r="D42" s="950">
        <f t="shared" si="2"/>
        <v>3.8049492193160748</v>
      </c>
      <c r="E42" s="951">
        <v>3069.5291242100002</v>
      </c>
      <c r="F42" s="951">
        <v>10.905675650000001</v>
      </c>
      <c r="G42" s="951">
        <v>694.58685251999998</v>
      </c>
      <c r="H42" s="951">
        <v>34.172563600000004</v>
      </c>
      <c r="I42" s="951">
        <v>572.11871544999985</v>
      </c>
      <c r="J42" s="951">
        <v>25.356062120000001</v>
      </c>
      <c r="K42" s="951">
        <v>1008.85695302</v>
      </c>
      <c r="L42" s="951">
        <v>0.57942300999999996</v>
      </c>
      <c r="M42" s="951">
        <v>1004.56486473</v>
      </c>
      <c r="N42" s="951">
        <v>11.781332059999999</v>
      </c>
      <c r="O42" s="951">
        <v>734.21636339999998</v>
      </c>
      <c r="P42" s="951">
        <v>3.3693554999999997</v>
      </c>
      <c r="Q42" s="951">
        <v>8961.90120785</v>
      </c>
      <c r="R42" s="951">
        <v>300.92743854999998</v>
      </c>
      <c r="S42" s="951">
        <v>85.615850129999998</v>
      </c>
      <c r="T42" s="951">
        <v>0.17280000000000001</v>
      </c>
      <c r="U42" s="951">
        <v>1.9190493500000001</v>
      </c>
      <c r="V42" s="951">
        <v>0</v>
      </c>
      <c r="W42" s="951">
        <v>657.65911172999745</v>
      </c>
      <c r="X42" s="951">
        <v>38.165659129999987</v>
      </c>
      <c r="Y42" s="951">
        <v>29.572471480000001</v>
      </c>
      <c r="Z42" s="951">
        <v>0</v>
      </c>
      <c r="AA42" s="951">
        <v>4.5490465200000001</v>
      </c>
      <c r="AB42" s="951">
        <v>0</v>
      </c>
      <c r="AC42" s="951">
        <v>41.391453429999999</v>
      </c>
      <c r="AD42" s="951">
        <v>0</v>
      </c>
      <c r="AE42" s="951">
        <v>30.672018110000003</v>
      </c>
      <c r="AF42" s="951">
        <v>0</v>
      </c>
      <c r="AG42" s="951">
        <v>408.66366932</v>
      </c>
    </row>
    <row r="43" spans="1:33" ht="15" customHeight="1">
      <c r="A43" s="948" t="s">
        <v>21</v>
      </c>
      <c r="B43" s="949">
        <v>18319.964781931001</v>
      </c>
      <c r="C43" s="949">
        <v>674.7774830410001</v>
      </c>
      <c r="D43" s="950">
        <f t="shared" si="2"/>
        <v>3.6832902850694</v>
      </c>
      <c r="E43" s="951">
        <v>3126.6944463600003</v>
      </c>
      <c r="F43" s="951">
        <v>10.905675650000001</v>
      </c>
      <c r="G43" s="951">
        <v>690.44424623000009</v>
      </c>
      <c r="H43" s="951">
        <v>34.172563600000004</v>
      </c>
      <c r="I43" s="951">
        <v>567.49188975000004</v>
      </c>
      <c r="J43" s="951">
        <v>25.356062120000001</v>
      </c>
      <c r="K43" s="951">
        <v>1069.1928002</v>
      </c>
      <c r="L43" s="951">
        <v>0.57942300999999996</v>
      </c>
      <c r="M43" s="951">
        <v>1013.2900403299999</v>
      </c>
      <c r="N43" s="951">
        <v>11.781332059999999</v>
      </c>
      <c r="O43" s="951">
        <v>739.3187621300001</v>
      </c>
      <c r="P43" s="951">
        <v>3.3693554999999997</v>
      </c>
      <c r="Q43" s="951">
        <v>9159.7569552000004</v>
      </c>
      <c r="R43" s="951">
        <v>300.92743854999998</v>
      </c>
      <c r="S43" s="951">
        <v>94.418288130000008</v>
      </c>
      <c r="T43" s="951">
        <v>0.17280000000000001</v>
      </c>
      <c r="U43" s="951">
        <v>1.8355293099999999</v>
      </c>
      <c r="V43" s="951">
        <v>0</v>
      </c>
      <c r="W43" s="951">
        <v>649.45494428000109</v>
      </c>
      <c r="X43" s="951">
        <v>38.165659129999987</v>
      </c>
      <c r="Y43" s="951">
        <v>30.977582609999999</v>
      </c>
      <c r="Z43" s="951">
        <v>0</v>
      </c>
      <c r="AA43" s="951">
        <v>3.94607128</v>
      </c>
      <c r="AB43" s="951">
        <v>0</v>
      </c>
      <c r="AC43" s="951">
        <v>43.012501450000002</v>
      </c>
      <c r="AD43" s="951">
        <v>0</v>
      </c>
      <c r="AE43" s="951">
        <v>29.922932009999997</v>
      </c>
      <c r="AF43" s="951">
        <v>0</v>
      </c>
      <c r="AG43" s="951">
        <v>368.50278687000002</v>
      </c>
    </row>
    <row r="44" spans="1:33" ht="15" customHeight="1">
      <c r="A44" s="948" t="s">
        <v>22</v>
      </c>
      <c r="B44" s="949">
        <v>18577.875236770997</v>
      </c>
      <c r="C44" s="949">
        <v>673.7364159409999</v>
      </c>
      <c r="D44" s="950">
        <f t="shared" si="2"/>
        <v>3.6265525920180597</v>
      </c>
      <c r="E44" s="951">
        <v>3130.2660092400001</v>
      </c>
      <c r="F44" s="951">
        <v>10.905675650000001</v>
      </c>
      <c r="G44" s="951">
        <v>678.71154195999998</v>
      </c>
      <c r="H44" s="951">
        <v>34.172563600000004</v>
      </c>
      <c r="I44" s="951">
        <v>572.2245125500001</v>
      </c>
      <c r="J44" s="951">
        <v>25.356062120000001</v>
      </c>
      <c r="K44" s="951">
        <v>1095.1174711200001</v>
      </c>
      <c r="L44" s="951">
        <v>0.57942300999999996</v>
      </c>
      <c r="M44" s="951">
        <v>981.09731834000002</v>
      </c>
      <c r="N44" s="951">
        <v>11.781332059999999</v>
      </c>
      <c r="O44" s="951">
        <v>758.37285073999999</v>
      </c>
      <c r="P44" s="951">
        <v>3.3693554999999997</v>
      </c>
      <c r="Q44" s="951">
        <v>9382.4405607000008</v>
      </c>
      <c r="R44" s="951">
        <v>300.92743854999998</v>
      </c>
      <c r="S44" s="951">
        <v>94.123444239999998</v>
      </c>
      <c r="T44" s="951">
        <v>0.17280000000000001</v>
      </c>
      <c r="U44" s="951">
        <v>1.8355293099999999</v>
      </c>
      <c r="V44" s="951">
        <v>0</v>
      </c>
      <c r="W44" s="951">
        <v>678.7666159900001</v>
      </c>
      <c r="X44" s="951">
        <v>38.165659129999987</v>
      </c>
      <c r="Y44" s="951">
        <v>12.740430310000001</v>
      </c>
      <c r="Z44" s="951">
        <v>0</v>
      </c>
      <c r="AA44" s="951">
        <v>3.33646288</v>
      </c>
      <c r="AB44" s="951">
        <v>0</v>
      </c>
      <c r="AC44" s="951">
        <v>42.478322670000004</v>
      </c>
      <c r="AD44" s="951">
        <v>0</v>
      </c>
      <c r="AE44" s="951">
        <v>47.197441159999997</v>
      </c>
      <c r="AF44" s="951">
        <v>0</v>
      </c>
      <c r="AG44" s="951">
        <v>399.49298209</v>
      </c>
    </row>
    <row r="45" spans="1:33" ht="15" customHeight="1">
      <c r="A45" s="948" t="s">
        <v>23</v>
      </c>
      <c r="B45" s="949">
        <v>18818.200924164597</v>
      </c>
      <c r="C45" s="949">
        <v>661.21798656500005</v>
      </c>
      <c r="D45" s="950">
        <f t="shared" si="2"/>
        <v>3.5137152017328339</v>
      </c>
      <c r="E45" s="951">
        <v>3141.3452931399997</v>
      </c>
      <c r="F45" s="951">
        <v>9.2472452500000006</v>
      </c>
      <c r="G45" s="951">
        <v>661.80971821000003</v>
      </c>
      <c r="H45" s="951">
        <v>34.172563599999997</v>
      </c>
      <c r="I45" s="951">
        <v>571.59913632000007</v>
      </c>
      <c r="J45" s="951">
        <v>25.708327740000001</v>
      </c>
      <c r="K45" s="951">
        <v>1181.9055758</v>
      </c>
      <c r="L45" s="951">
        <v>0.94145000999999995</v>
      </c>
      <c r="M45" s="951">
        <v>980.58902658</v>
      </c>
      <c r="N45" s="951">
        <v>10.484738980000001</v>
      </c>
      <c r="O45" s="951">
        <v>770.25907811999991</v>
      </c>
      <c r="P45" s="951">
        <v>3.6655512400000001</v>
      </c>
      <c r="Q45" s="951">
        <v>9603.0551213800009</v>
      </c>
      <c r="R45" s="951">
        <v>318.85189135959996</v>
      </c>
      <c r="S45" s="951">
        <v>102.05150716</v>
      </c>
      <c r="T45" s="951">
        <v>0.1653</v>
      </c>
      <c r="U45" s="951">
        <v>1.7781839700000002</v>
      </c>
      <c r="V45" s="951">
        <v>0</v>
      </c>
      <c r="W45" s="951">
        <v>582.93200697999896</v>
      </c>
      <c r="X45" s="951">
        <v>41.068734280000079</v>
      </c>
      <c r="Y45" s="951">
        <v>19.576412949999998</v>
      </c>
      <c r="Z45" s="951">
        <v>0</v>
      </c>
      <c r="AA45" s="951">
        <v>3.4066838700000002</v>
      </c>
      <c r="AB45" s="951">
        <v>0</v>
      </c>
      <c r="AC45" s="951">
        <v>45.474320989999995</v>
      </c>
      <c r="AD45" s="951">
        <v>1.1644366399999999</v>
      </c>
      <c r="AE45" s="951">
        <v>45.730633029999993</v>
      </c>
      <c r="AF45" s="951">
        <v>0</v>
      </c>
      <c r="AG45" s="951">
        <v>387.19033960000002</v>
      </c>
    </row>
    <row r="46" spans="1:33" ht="15" customHeight="1">
      <c r="A46" s="948" t="s">
        <v>24</v>
      </c>
      <c r="B46" s="949">
        <v>18985.634951354594</v>
      </c>
      <c r="C46" s="949">
        <v>662.33321448499987</v>
      </c>
      <c r="D46" s="950">
        <f t="shared" si="2"/>
        <v>3.4886018623135042</v>
      </c>
      <c r="E46" s="951">
        <v>3106.4631285100004</v>
      </c>
      <c r="F46" s="951">
        <v>9.2472452500000006</v>
      </c>
      <c r="G46" s="951">
        <v>606.83484245</v>
      </c>
      <c r="H46" s="951">
        <v>34.172563599999997</v>
      </c>
      <c r="I46" s="951">
        <v>571.21172114000001</v>
      </c>
      <c r="J46" s="951">
        <v>25.708327740000001</v>
      </c>
      <c r="K46" s="951">
        <v>1202.1347719400001</v>
      </c>
      <c r="L46" s="951">
        <v>0.94145000999999995</v>
      </c>
      <c r="M46" s="951">
        <v>1037.67454316</v>
      </c>
      <c r="N46" s="951">
        <v>10.484738980000001</v>
      </c>
      <c r="O46" s="951">
        <v>778.42155815000001</v>
      </c>
      <c r="P46" s="951">
        <v>3.6655512400000001</v>
      </c>
      <c r="Q46" s="951">
        <v>9789.8246620699974</v>
      </c>
      <c r="R46" s="951">
        <v>318.85189135959996</v>
      </c>
      <c r="S46" s="951">
        <v>103.51947823</v>
      </c>
      <c r="T46" s="951">
        <v>0.1653</v>
      </c>
      <c r="U46" s="951">
        <v>1.6690754600000002</v>
      </c>
      <c r="V46" s="951">
        <v>0</v>
      </c>
      <c r="W46" s="951">
        <v>574.28495352999903</v>
      </c>
      <c r="X46" s="951">
        <v>41.068734280000079</v>
      </c>
      <c r="Y46" s="951">
        <v>17.974159960000001</v>
      </c>
      <c r="Z46" s="951">
        <v>0</v>
      </c>
      <c r="AA46" s="951">
        <v>3.3428964900000002</v>
      </c>
      <c r="AB46" s="951">
        <v>0</v>
      </c>
      <c r="AC46" s="951">
        <v>47.760477650000006</v>
      </c>
      <c r="AD46" s="951">
        <v>1.1644366399999999</v>
      </c>
      <c r="AE46" s="951">
        <v>36.715229030000003</v>
      </c>
      <c r="AF46" s="951">
        <v>0</v>
      </c>
      <c r="AG46" s="951">
        <v>386.11756955999999</v>
      </c>
    </row>
    <row r="47" spans="1:33" ht="15" customHeight="1">
      <c r="A47" s="948" t="s">
        <v>25</v>
      </c>
      <c r="B47" s="949">
        <v>19136.822267444604</v>
      </c>
      <c r="C47" s="949">
        <v>659.66022400499992</v>
      </c>
      <c r="D47" s="950">
        <f t="shared" si="2"/>
        <v>3.4470729507019988</v>
      </c>
      <c r="E47" s="951">
        <v>3122.5418065899999</v>
      </c>
      <c r="F47" s="951">
        <v>9.2472452500000006</v>
      </c>
      <c r="G47" s="951">
        <v>574.74920330999998</v>
      </c>
      <c r="H47" s="951">
        <v>34.172563599999997</v>
      </c>
      <c r="I47" s="951">
        <v>573.13765513999999</v>
      </c>
      <c r="J47" s="951">
        <v>25.708327740000001</v>
      </c>
      <c r="K47" s="951">
        <v>1191.5845493500001</v>
      </c>
      <c r="L47" s="951">
        <v>0.94145000999999995</v>
      </c>
      <c r="M47" s="951">
        <v>1061.3058686600002</v>
      </c>
      <c r="N47" s="951">
        <v>10.484738980000001</v>
      </c>
      <c r="O47" s="951">
        <v>755.42052295999997</v>
      </c>
      <c r="P47" s="951">
        <v>3.6655512400000001</v>
      </c>
      <c r="Q47" s="951">
        <v>10009.314863070002</v>
      </c>
      <c r="R47" s="951">
        <v>318.85189135959996</v>
      </c>
      <c r="S47" s="951">
        <v>51.136333960000002</v>
      </c>
      <c r="T47" s="951">
        <v>0.1653</v>
      </c>
      <c r="U47" s="951">
        <v>1.6189657100000001</v>
      </c>
      <c r="V47" s="951">
        <v>0</v>
      </c>
      <c r="W47" s="951">
        <v>594.79696808999847</v>
      </c>
      <c r="X47" s="951">
        <v>41.068734280000079</v>
      </c>
      <c r="Y47" s="951">
        <v>16.119905150000001</v>
      </c>
      <c r="Z47" s="951">
        <v>0</v>
      </c>
      <c r="AA47" s="951">
        <v>2.9635350900000001</v>
      </c>
      <c r="AB47" s="951">
        <v>0</v>
      </c>
      <c r="AC47" s="951">
        <v>43.59604058</v>
      </c>
      <c r="AD47" s="951">
        <v>1.1644366399999999</v>
      </c>
      <c r="AE47" s="951">
        <v>33.405586679999999</v>
      </c>
      <c r="AF47" s="951">
        <v>0</v>
      </c>
      <c r="AG47" s="951">
        <v>396.32416848999998</v>
      </c>
    </row>
    <row r="48" spans="1:33" ht="15" customHeight="1">
      <c r="A48" s="948" t="s">
        <v>26</v>
      </c>
      <c r="B48" s="949">
        <v>19701.683635566002</v>
      </c>
      <c r="C48" s="949">
        <v>649.54999275199998</v>
      </c>
      <c r="D48" s="950">
        <f t="shared" si="2"/>
        <v>3.2969263174006871</v>
      </c>
      <c r="E48" s="951">
        <v>3194.685129</v>
      </c>
      <c r="F48" s="951">
        <v>8.1102411799999992</v>
      </c>
      <c r="G48" s="951">
        <v>602.46409550999999</v>
      </c>
      <c r="H48" s="951">
        <v>34.172563600000004</v>
      </c>
      <c r="I48" s="951">
        <v>591.77428609000003</v>
      </c>
      <c r="J48" s="951">
        <v>26.425179449999998</v>
      </c>
      <c r="K48" s="951">
        <v>1240.53652147</v>
      </c>
      <c r="L48" s="951">
        <v>0.91141516</v>
      </c>
      <c r="M48" s="951">
        <v>1057.6198145200001</v>
      </c>
      <c r="N48" s="951">
        <v>10.50814787</v>
      </c>
      <c r="O48" s="951">
        <v>789.14396804</v>
      </c>
      <c r="P48" s="951">
        <v>3.7018644800000002</v>
      </c>
      <c r="Q48" s="951">
        <v>10343.172838570001</v>
      </c>
      <c r="R48" s="951">
        <v>365.40066774399997</v>
      </c>
      <c r="S48" s="951">
        <v>44.954035770000004</v>
      </c>
      <c r="T48" s="951">
        <v>0.1653</v>
      </c>
      <c r="U48" s="951">
        <v>1.55036112</v>
      </c>
      <c r="V48" s="951">
        <v>0</v>
      </c>
      <c r="W48" s="951">
        <v>583.94294115000002</v>
      </c>
      <c r="X48" s="951">
        <v>43.142905089999999</v>
      </c>
      <c r="Y48" s="951">
        <v>18.844386230000001</v>
      </c>
      <c r="Z48" s="951">
        <v>0</v>
      </c>
      <c r="AA48" s="951">
        <v>10.19534859</v>
      </c>
      <c r="AB48" s="951">
        <v>0</v>
      </c>
      <c r="AC48" s="951">
        <v>45.510371579999997</v>
      </c>
      <c r="AD48" s="951">
        <v>0.76020041000000005</v>
      </c>
      <c r="AE48" s="951">
        <v>34.441060190000002</v>
      </c>
      <c r="AF48" s="951">
        <v>0</v>
      </c>
      <c r="AG48" s="951">
        <v>435.90259455</v>
      </c>
    </row>
    <row r="49" spans="1:33" ht="15" customHeight="1">
      <c r="A49" s="948" t="s">
        <v>27</v>
      </c>
      <c r="B49" s="949">
        <v>20015.293326605999</v>
      </c>
      <c r="C49" s="949">
        <v>646.04418552200002</v>
      </c>
      <c r="D49" s="950">
        <f t="shared" si="2"/>
        <v>3.227752773741388</v>
      </c>
      <c r="E49" s="951">
        <v>3262.3167929399997</v>
      </c>
      <c r="F49" s="951">
        <v>8.1102411799999992</v>
      </c>
      <c r="G49" s="951">
        <v>625.89423504000001</v>
      </c>
      <c r="H49" s="951">
        <v>34.172563600000004</v>
      </c>
      <c r="I49" s="951">
        <v>597.12625885</v>
      </c>
      <c r="J49" s="951">
        <v>26.425179449999998</v>
      </c>
      <c r="K49" s="951">
        <v>1180.68608058</v>
      </c>
      <c r="L49" s="951">
        <v>0.91141516</v>
      </c>
      <c r="M49" s="951">
        <v>1068.7433036300001</v>
      </c>
      <c r="N49" s="951">
        <v>10.50814787</v>
      </c>
      <c r="O49" s="951">
        <v>794.39277890000005</v>
      </c>
      <c r="P49" s="951">
        <v>3.7018644800000002</v>
      </c>
      <c r="Q49" s="951">
        <v>10584.53099259</v>
      </c>
      <c r="R49" s="951">
        <v>365.40066774399997</v>
      </c>
      <c r="S49" s="951">
        <v>39.653100860000002</v>
      </c>
      <c r="T49" s="951">
        <v>0.1653</v>
      </c>
      <c r="U49" s="951">
        <v>1.4508957999999998</v>
      </c>
      <c r="V49" s="951">
        <v>0</v>
      </c>
      <c r="W49" s="951">
        <v>616.79554154999994</v>
      </c>
      <c r="X49" s="951">
        <v>43.142905089999999</v>
      </c>
      <c r="Y49" s="951">
        <v>16.342343849999999</v>
      </c>
      <c r="Z49" s="951">
        <v>0</v>
      </c>
      <c r="AA49" s="951">
        <v>9.9599876599999995</v>
      </c>
      <c r="AB49" s="951">
        <v>0</v>
      </c>
      <c r="AC49" s="951">
        <v>44.104648169999997</v>
      </c>
      <c r="AD49" s="951">
        <v>0.76020041000000005</v>
      </c>
      <c r="AE49" s="951">
        <v>33.953695679999996</v>
      </c>
      <c r="AF49" s="951">
        <v>0</v>
      </c>
      <c r="AG49" s="951">
        <v>505.93548070999998</v>
      </c>
    </row>
    <row r="50" spans="1:33" ht="15" customHeight="1">
      <c r="A50" s="948" t="s">
        <v>28</v>
      </c>
      <c r="B50" s="949">
        <v>20218.690699965999</v>
      </c>
      <c r="C50" s="949">
        <v>641.27898531200003</v>
      </c>
      <c r="D50" s="950">
        <v>3.1717137119718561</v>
      </c>
      <c r="E50" s="951">
        <v>3332.2321433699999</v>
      </c>
      <c r="F50" s="951">
        <v>8.1102411799999992</v>
      </c>
      <c r="G50" s="951">
        <v>623.97471341999994</v>
      </c>
      <c r="H50" s="951">
        <v>34.172563600000004</v>
      </c>
      <c r="I50" s="951">
        <v>595.89892781000003</v>
      </c>
      <c r="J50" s="951">
        <v>26.425179449999998</v>
      </c>
      <c r="K50" s="951">
        <v>1140.6713948199999</v>
      </c>
      <c r="L50" s="951">
        <v>0.91141516</v>
      </c>
      <c r="M50" s="951">
        <v>1052.0862463799999</v>
      </c>
      <c r="N50" s="951">
        <v>10.50814787</v>
      </c>
      <c r="O50" s="951">
        <v>797.74826809000001</v>
      </c>
      <c r="P50" s="951">
        <v>3.7018644800000002</v>
      </c>
      <c r="Q50" s="951">
        <v>10769.64167906</v>
      </c>
      <c r="R50" s="951">
        <v>365.40066774399997</v>
      </c>
      <c r="S50" s="951">
        <v>42.660944639999997</v>
      </c>
      <c r="T50" s="951">
        <v>0.1653</v>
      </c>
      <c r="U50" s="951">
        <v>1.3731461600000001</v>
      </c>
      <c r="V50" s="951">
        <v>0</v>
      </c>
      <c r="W50" s="951">
        <v>626.87957110000002</v>
      </c>
      <c r="X50" s="951">
        <v>43.142905089999999</v>
      </c>
      <c r="Y50" s="951">
        <v>14.977643390000001</v>
      </c>
      <c r="Z50" s="951">
        <v>0</v>
      </c>
      <c r="AA50" s="951">
        <v>9.4026232400000005</v>
      </c>
      <c r="AB50" s="951">
        <v>0</v>
      </c>
      <c r="AC50" s="951">
        <v>40.997581420000003</v>
      </c>
      <c r="AD50" s="951">
        <v>0.76020041000000005</v>
      </c>
      <c r="AE50" s="951">
        <v>35.568346769999998</v>
      </c>
      <c r="AF50" s="951">
        <v>0</v>
      </c>
      <c r="AG50" s="951">
        <v>557.58788519999996</v>
      </c>
    </row>
    <row r="51" spans="1:33" ht="15" customHeight="1">
      <c r="A51" s="948" t="s">
        <v>29</v>
      </c>
      <c r="B51" s="949">
        <v>20183.981847880001</v>
      </c>
      <c r="C51" s="949">
        <v>593.74010189999967</v>
      </c>
      <c r="D51" s="950">
        <v>2.9416400905174336</v>
      </c>
      <c r="E51" s="951">
        <v>3293.3505839399995</v>
      </c>
      <c r="F51" s="951">
        <v>9.6084185099999999</v>
      </c>
      <c r="G51" s="951">
        <v>616.53799353999989</v>
      </c>
      <c r="H51" s="951">
        <v>33.322665600000001</v>
      </c>
      <c r="I51" s="951">
        <v>583.66742675000012</v>
      </c>
      <c r="J51" s="951">
        <v>45.418876850000004</v>
      </c>
      <c r="K51" s="951">
        <v>1096.1061527500001</v>
      </c>
      <c r="L51" s="951">
        <v>1.27359847</v>
      </c>
      <c r="M51" s="951">
        <v>1048.8211127999998</v>
      </c>
      <c r="N51" s="951">
        <v>10.964478569999999</v>
      </c>
      <c r="O51" s="951">
        <v>788.56792967000001</v>
      </c>
      <c r="P51" s="951">
        <v>4.1013922300000001</v>
      </c>
      <c r="Q51" s="951">
        <v>10889.74969981</v>
      </c>
      <c r="R51" s="951">
        <v>383.32907554999997</v>
      </c>
      <c r="S51" s="951">
        <v>11.257418770000001</v>
      </c>
      <c r="T51" s="951">
        <v>0.18029999999999999</v>
      </c>
      <c r="U51" s="951">
        <v>1.2991616400000001</v>
      </c>
      <c r="V51" s="951">
        <v>0</v>
      </c>
      <c r="W51" s="951">
        <v>627.77080505999993</v>
      </c>
      <c r="X51" s="951">
        <v>49.57481507</v>
      </c>
      <c r="Y51" s="951">
        <v>12.71684417</v>
      </c>
      <c r="Z51" s="951">
        <v>0</v>
      </c>
      <c r="AA51" s="951">
        <v>9.3437897399999983</v>
      </c>
      <c r="AB51" s="951">
        <v>0</v>
      </c>
      <c r="AC51" s="951">
        <v>40.150053489999998</v>
      </c>
      <c r="AD51" s="951">
        <v>1.0802961100000001</v>
      </c>
      <c r="AE51" s="951">
        <v>32.048856890000003</v>
      </c>
      <c r="AF51" s="951">
        <v>0</v>
      </c>
      <c r="AG51" s="951">
        <v>478.84730696000003</v>
      </c>
    </row>
    <row r="52" spans="1:33" ht="15" customHeight="1">
      <c r="A52" s="948" t="s">
        <v>3500</v>
      </c>
      <c r="B52" s="949"/>
      <c r="C52" s="949"/>
      <c r="D52" s="950"/>
      <c r="E52" s="951"/>
      <c r="F52" s="951"/>
      <c r="G52" s="951"/>
      <c r="H52" s="951"/>
      <c r="I52" s="951"/>
      <c r="J52" s="951"/>
      <c r="K52" s="951"/>
      <c r="L52" s="951"/>
      <c r="M52" s="951"/>
      <c r="N52" s="951"/>
      <c r="O52" s="951"/>
      <c r="P52" s="951"/>
      <c r="Q52" s="951"/>
      <c r="R52" s="951"/>
      <c r="S52" s="951"/>
      <c r="T52" s="951"/>
      <c r="U52" s="951"/>
      <c r="V52" s="951"/>
      <c r="W52" s="951"/>
      <c r="X52" s="951"/>
      <c r="Y52" s="951"/>
      <c r="Z52" s="951"/>
      <c r="AA52" s="951"/>
      <c r="AB52" s="951"/>
      <c r="AC52" s="951"/>
      <c r="AD52" s="951"/>
      <c r="AE52" s="951"/>
      <c r="AF52" s="951"/>
      <c r="AG52" s="951"/>
    </row>
    <row r="53" spans="1:33" ht="15" customHeight="1">
      <c r="A53" s="948" t="s">
        <v>18</v>
      </c>
      <c r="B53" s="949">
        <v>20259.212448210001</v>
      </c>
      <c r="C53" s="949">
        <v>583.77188913999998</v>
      </c>
      <c r="D53" s="950">
        <f t="shared" ref="D53:D64" si="3">C53/B53*100</f>
        <v>2.8815132406175001</v>
      </c>
      <c r="E53" s="951">
        <v>3237.8077507999997</v>
      </c>
      <c r="F53" s="951">
        <v>9.6084185099999999</v>
      </c>
      <c r="G53" s="951">
        <v>602.57609599</v>
      </c>
      <c r="H53" s="951">
        <v>33.322665600000001</v>
      </c>
      <c r="I53" s="951">
        <v>571.67550279</v>
      </c>
      <c r="J53" s="951">
        <v>45.418876850000004</v>
      </c>
      <c r="K53" s="951">
        <v>1109.8847605699998</v>
      </c>
      <c r="L53" s="951">
        <v>1.27359847</v>
      </c>
      <c r="M53" s="951">
        <v>1064.04884924</v>
      </c>
      <c r="N53" s="951">
        <v>10.964478569999999</v>
      </c>
      <c r="O53" s="951">
        <v>781.41484682000009</v>
      </c>
      <c r="P53" s="951">
        <v>4.1013922300000001</v>
      </c>
      <c r="Q53" s="951">
        <v>11023.7346657</v>
      </c>
      <c r="R53" s="951">
        <v>383.32907554999997</v>
      </c>
      <c r="S53" s="951">
        <v>10.611536660000001</v>
      </c>
      <c r="T53" s="951">
        <v>0.18029999999999999</v>
      </c>
      <c r="U53" s="951">
        <v>1.26489838</v>
      </c>
      <c r="V53" s="951">
        <v>0</v>
      </c>
      <c r="W53" s="951">
        <v>642.86837766000008</v>
      </c>
      <c r="X53" s="951">
        <v>49.57481507</v>
      </c>
      <c r="Y53" s="951">
        <v>16.94554686</v>
      </c>
      <c r="Z53" s="951">
        <v>0</v>
      </c>
      <c r="AA53" s="951">
        <v>8.3574958899999992</v>
      </c>
      <c r="AB53" s="951">
        <v>0</v>
      </c>
      <c r="AC53" s="951">
        <v>35.67089833</v>
      </c>
      <c r="AD53" s="951">
        <v>1.0802961100000001</v>
      </c>
      <c r="AE53" s="951">
        <v>29.725416419999995</v>
      </c>
      <c r="AF53" s="951">
        <v>0</v>
      </c>
      <c r="AG53" s="951">
        <v>583.94934007999996</v>
      </c>
    </row>
    <row r="54" spans="1:33" ht="15" customHeight="1">
      <c r="A54" s="948" t="s">
        <v>19</v>
      </c>
      <c r="B54" s="949">
        <v>20347.050737610003</v>
      </c>
      <c r="C54" s="949">
        <v>606.13546266000003</v>
      </c>
      <c r="D54" s="950">
        <f t="shared" si="3"/>
        <v>2.9789843770311335</v>
      </c>
      <c r="E54" s="951">
        <v>3233.9765252699999</v>
      </c>
      <c r="F54" s="951">
        <v>9.6084185099999999</v>
      </c>
      <c r="G54" s="951">
        <v>611.09478416999991</v>
      </c>
      <c r="H54" s="951">
        <v>33.322665600000001</v>
      </c>
      <c r="I54" s="951">
        <v>572.88910669000006</v>
      </c>
      <c r="J54" s="951">
        <v>45.418876850000004</v>
      </c>
      <c r="K54" s="951">
        <v>1063.7103192499999</v>
      </c>
      <c r="L54" s="951">
        <v>1.27359847</v>
      </c>
      <c r="M54" s="951">
        <v>1064.9589326600001</v>
      </c>
      <c r="N54" s="951">
        <v>10.964478569999999</v>
      </c>
      <c r="O54" s="951">
        <v>766.25506600999995</v>
      </c>
      <c r="P54" s="951">
        <v>4.1013922300000001</v>
      </c>
      <c r="Q54" s="951">
        <v>11165.142844410002</v>
      </c>
      <c r="R54" s="951">
        <v>383.32907554999997</v>
      </c>
      <c r="S54" s="951">
        <v>9.3546035100000005</v>
      </c>
      <c r="T54" s="951">
        <v>0.18029999999999999</v>
      </c>
      <c r="U54" s="951">
        <v>1.29116666</v>
      </c>
      <c r="V54" s="951">
        <v>0</v>
      </c>
      <c r="W54" s="951">
        <v>619.39690105999989</v>
      </c>
      <c r="X54" s="951">
        <v>49.57481507</v>
      </c>
      <c r="Y54" s="951">
        <v>17.696519609999999</v>
      </c>
      <c r="Z54" s="951">
        <v>0</v>
      </c>
      <c r="AA54" s="951">
        <v>8.277970289999999</v>
      </c>
      <c r="AB54" s="951">
        <v>0</v>
      </c>
      <c r="AC54" s="951">
        <v>34.346771109999999</v>
      </c>
      <c r="AD54" s="951">
        <v>1.0802961100000001</v>
      </c>
      <c r="AE54" s="951">
        <v>33.66984729</v>
      </c>
      <c r="AF54" s="951">
        <v>0</v>
      </c>
      <c r="AG54" s="951">
        <v>483.48919921999999</v>
      </c>
    </row>
    <row r="55" spans="1:33" ht="15" customHeight="1">
      <c r="A55" s="948" t="s">
        <v>20</v>
      </c>
      <c r="B55" s="949">
        <v>20664.848433421801</v>
      </c>
      <c r="C55" s="949">
        <v>590.48680544000013</v>
      </c>
      <c r="D55" s="950">
        <f t="shared" si="3"/>
        <v>2.8574456151586882</v>
      </c>
      <c r="E55" s="951">
        <v>3284.0716008599998</v>
      </c>
      <c r="F55" s="951">
        <v>12.811469809999998</v>
      </c>
      <c r="G55" s="951">
        <v>634.06538096000008</v>
      </c>
      <c r="H55" s="951">
        <v>36.5946675</v>
      </c>
      <c r="I55" s="951">
        <v>527.62397953999994</v>
      </c>
      <c r="J55" s="951">
        <v>44.699419590000005</v>
      </c>
      <c r="K55" s="951">
        <v>1056.03426208</v>
      </c>
      <c r="L55" s="951">
        <v>0.88181993999999997</v>
      </c>
      <c r="M55" s="951">
        <v>1077.43719143</v>
      </c>
      <c r="N55" s="951">
        <v>14.49952876</v>
      </c>
      <c r="O55" s="951">
        <v>796.96831259999988</v>
      </c>
      <c r="P55" s="951">
        <v>4.0020910000000001</v>
      </c>
      <c r="Q55" s="951">
        <v>11377.76447181</v>
      </c>
      <c r="R55" s="951">
        <v>406.86345791181901</v>
      </c>
      <c r="S55" s="951">
        <v>9.5150901699999988</v>
      </c>
      <c r="T55" s="951">
        <v>0</v>
      </c>
      <c r="U55" s="951">
        <v>1.2545707900000003</v>
      </c>
      <c r="V55" s="951">
        <v>0</v>
      </c>
      <c r="W55" s="951">
        <v>642.17361158000006</v>
      </c>
      <c r="X55" s="951">
        <v>52.067696839999996</v>
      </c>
      <c r="Y55" s="951">
        <v>11.73787692</v>
      </c>
      <c r="Z55" s="951">
        <v>0</v>
      </c>
      <c r="AA55" s="951">
        <v>7.5874155999999999</v>
      </c>
      <c r="AB55" s="951">
        <v>0</v>
      </c>
      <c r="AC55" s="951">
        <v>41.960857449999999</v>
      </c>
      <c r="AD55" s="951">
        <v>1.0961894099999998</v>
      </c>
      <c r="AE55" s="951">
        <v>32.650665430000004</v>
      </c>
      <c r="AF55" s="951">
        <v>0</v>
      </c>
      <c r="AG55" s="951">
        <v>467.39142919000005</v>
      </c>
    </row>
    <row r="56" spans="1:33" ht="15" customHeight="1">
      <c r="A56" s="948" t="s">
        <v>21</v>
      </c>
      <c r="B56" s="949">
        <v>21005.880584801798</v>
      </c>
      <c r="C56" s="949">
        <v>591.79680065000002</v>
      </c>
      <c r="D56" s="950">
        <f t="shared" si="3"/>
        <v>2.8172910831368698</v>
      </c>
      <c r="E56" s="951">
        <v>3329.8905477400003</v>
      </c>
      <c r="F56" s="951">
        <v>12.811469809999998</v>
      </c>
      <c r="G56" s="951">
        <v>640.03991277</v>
      </c>
      <c r="H56" s="951">
        <v>36.5946675</v>
      </c>
      <c r="I56" s="951">
        <v>500.78854519000004</v>
      </c>
      <c r="J56" s="951">
        <v>44.699419590000005</v>
      </c>
      <c r="K56" s="951">
        <v>1070.94071188</v>
      </c>
      <c r="L56" s="951">
        <v>0.88181993999999997</v>
      </c>
      <c r="M56" s="951">
        <v>1050.6385203300001</v>
      </c>
      <c r="N56" s="951">
        <v>14.49952876</v>
      </c>
      <c r="O56" s="951">
        <v>820.09704146000001</v>
      </c>
      <c r="P56" s="951">
        <v>4.0020910000000001</v>
      </c>
      <c r="Q56" s="951">
        <v>11677.088813060001</v>
      </c>
      <c r="R56" s="951">
        <v>406.86345791181901</v>
      </c>
      <c r="S56" s="951">
        <v>9.4727845100000003</v>
      </c>
      <c r="T56" s="951">
        <v>0</v>
      </c>
      <c r="U56" s="951">
        <v>1.2504472800000002</v>
      </c>
      <c r="V56" s="951">
        <v>0</v>
      </c>
      <c r="W56" s="951">
        <v>638.28868863000002</v>
      </c>
      <c r="X56" s="951">
        <v>52.067696839999996</v>
      </c>
      <c r="Y56" s="951">
        <v>11.999786449999998</v>
      </c>
      <c r="Z56" s="951">
        <v>0</v>
      </c>
      <c r="AA56" s="951">
        <v>7.2979885100000006</v>
      </c>
      <c r="AB56" s="951">
        <v>0</v>
      </c>
      <c r="AC56" s="951">
        <v>46.230109280000001</v>
      </c>
      <c r="AD56" s="951">
        <v>1.0961894099999998</v>
      </c>
      <c r="AE56" s="951">
        <v>36.543546300000003</v>
      </c>
      <c r="AF56" s="951">
        <v>0</v>
      </c>
      <c r="AG56" s="951">
        <v>515.80844041</v>
      </c>
    </row>
    <row r="57" spans="1:33" ht="15" customHeight="1">
      <c r="A57" s="948" t="s">
        <v>22</v>
      </c>
      <c r="B57" s="949">
        <v>21285.5233731218</v>
      </c>
      <c r="C57" s="949">
        <v>490.09126863</v>
      </c>
      <c r="D57" s="950">
        <f t="shared" si="3"/>
        <v>2.302462852517221</v>
      </c>
      <c r="E57" s="951">
        <v>3346.6835495</v>
      </c>
      <c r="F57" s="951">
        <v>12.811469809999998</v>
      </c>
      <c r="G57" s="951">
        <v>660.44909041000005</v>
      </c>
      <c r="H57" s="951">
        <v>36.5946675</v>
      </c>
      <c r="I57" s="951">
        <v>494.4355683</v>
      </c>
      <c r="J57" s="951">
        <v>44.699419590000005</v>
      </c>
      <c r="K57" s="951">
        <v>1112.5208504300001</v>
      </c>
      <c r="L57" s="951">
        <v>0.88181993999999997</v>
      </c>
      <c r="M57" s="951">
        <v>1021.98210517</v>
      </c>
      <c r="N57" s="951">
        <v>14.49952876</v>
      </c>
      <c r="O57" s="951">
        <v>856.07240155</v>
      </c>
      <c r="P57" s="951">
        <v>4.0020910000000001</v>
      </c>
      <c r="Q57" s="951">
        <v>11955.9738413</v>
      </c>
      <c r="R57" s="951">
        <v>406.86345791181901</v>
      </c>
      <c r="S57" s="951">
        <v>8.9164827500000001</v>
      </c>
      <c r="T57" s="951">
        <v>0</v>
      </c>
      <c r="U57" s="951">
        <v>1.2434237299999999</v>
      </c>
      <c r="V57" s="951">
        <v>0</v>
      </c>
      <c r="W57" s="951">
        <v>647.63778065999998</v>
      </c>
      <c r="X57" s="951">
        <v>52.067696839999996</v>
      </c>
      <c r="Y57" s="951">
        <v>12.02080232</v>
      </c>
      <c r="Z57" s="951">
        <v>0</v>
      </c>
      <c r="AA57" s="951">
        <v>8.3346918399999996</v>
      </c>
      <c r="AB57" s="951">
        <v>0</v>
      </c>
      <c r="AC57" s="951">
        <v>59.087088280000003</v>
      </c>
      <c r="AD57" s="951">
        <v>1.0961894099999998</v>
      </c>
      <c r="AE57" s="951">
        <v>36.558087489999998</v>
      </c>
      <c r="AF57" s="951">
        <v>0</v>
      </c>
      <c r="AG57" s="951">
        <v>596.28195231999996</v>
      </c>
    </row>
    <row r="58" spans="1:33" ht="15" customHeight="1">
      <c r="A58" s="948" t="s">
        <v>23</v>
      </c>
      <c r="B58" s="949">
        <v>21966.172727879999</v>
      </c>
      <c r="C58" s="949">
        <v>502.27205501999998</v>
      </c>
      <c r="D58" s="950">
        <f t="shared" si="3"/>
        <v>2.2865706340481613</v>
      </c>
      <c r="E58" s="951">
        <v>3400.0921406000002</v>
      </c>
      <c r="F58" s="951">
        <v>46.688475240000002</v>
      </c>
      <c r="G58" s="951">
        <v>670.79581975999997</v>
      </c>
      <c r="H58" s="951">
        <v>40.2956474</v>
      </c>
      <c r="I58" s="951">
        <v>499.43349927999998</v>
      </c>
      <c r="J58" s="951">
        <v>39.175625140000001</v>
      </c>
      <c r="K58" s="951">
        <v>1155.19152872</v>
      </c>
      <c r="L58" s="951">
        <v>0.58389230999999997</v>
      </c>
      <c r="M58" s="951">
        <v>1065.86555006</v>
      </c>
      <c r="N58" s="951">
        <v>17.412768419999999</v>
      </c>
      <c r="O58" s="951">
        <v>1089.99946987</v>
      </c>
      <c r="P58" s="951">
        <v>5.2790910000000002</v>
      </c>
      <c r="Q58" s="951">
        <v>12165.63551942</v>
      </c>
      <c r="R58" s="951">
        <v>407.66181237000001</v>
      </c>
      <c r="S58" s="951">
        <v>8.6067415799999996</v>
      </c>
      <c r="T58" s="951">
        <v>0</v>
      </c>
      <c r="U58" s="951">
        <v>1.2157589</v>
      </c>
      <c r="V58" s="951">
        <v>0</v>
      </c>
      <c r="W58" s="951">
        <v>667.43708795999999</v>
      </c>
      <c r="X58" s="951">
        <v>59.18935415</v>
      </c>
      <c r="Y58" s="951">
        <v>12.08295867</v>
      </c>
      <c r="Z58" s="951">
        <v>0</v>
      </c>
      <c r="AA58" s="951">
        <v>7.8582671900000003</v>
      </c>
      <c r="AB58" s="951">
        <v>0</v>
      </c>
      <c r="AC58" s="951">
        <v>65.144179429999994</v>
      </c>
      <c r="AD58" s="951">
        <v>0.60590140000000003</v>
      </c>
      <c r="AE58" s="951">
        <v>37.649583989999996</v>
      </c>
      <c r="AF58" s="951">
        <v>0</v>
      </c>
      <c r="AG58" s="951">
        <v>691.60768736</v>
      </c>
    </row>
    <row r="59" spans="1:33" ht="15" customHeight="1">
      <c r="A59" s="948" t="s">
        <v>24</v>
      </c>
      <c r="B59" s="949">
        <v>22041.926831839999</v>
      </c>
      <c r="C59" s="949">
        <v>494.71576025000002</v>
      </c>
      <c r="D59" s="950">
        <f t="shared" si="3"/>
        <v>2.2444306435831796</v>
      </c>
      <c r="E59" s="951">
        <v>3362.6243152799998</v>
      </c>
      <c r="F59" s="951">
        <v>46.688475240000002</v>
      </c>
      <c r="G59" s="951">
        <v>652.18895139000006</v>
      </c>
      <c r="H59" s="951">
        <v>40.2956474</v>
      </c>
      <c r="I59" s="951">
        <v>496.42099818999998</v>
      </c>
      <c r="J59" s="951">
        <v>39.175625140000001</v>
      </c>
      <c r="K59" s="951">
        <v>1126.9368658200001</v>
      </c>
      <c r="L59" s="951">
        <v>0.58389230999999997</v>
      </c>
      <c r="M59" s="951">
        <v>1070.5849528399999</v>
      </c>
      <c r="N59" s="951">
        <v>17.412768419999999</v>
      </c>
      <c r="O59" s="951">
        <v>1076.02517726</v>
      </c>
      <c r="P59" s="951">
        <v>5.2790910000000002</v>
      </c>
      <c r="Q59" s="951">
        <v>12326.41694667</v>
      </c>
      <c r="R59" s="951">
        <v>407.66181237000001</v>
      </c>
      <c r="S59" s="951">
        <v>8.4210755299999995</v>
      </c>
      <c r="T59" s="951">
        <v>0</v>
      </c>
      <c r="U59" s="951">
        <v>1.1841531000000001</v>
      </c>
      <c r="V59" s="951">
        <v>0</v>
      </c>
      <c r="W59" s="951">
        <v>676.12281770000004</v>
      </c>
      <c r="X59" s="951">
        <v>59.18935415</v>
      </c>
      <c r="Y59" s="951">
        <v>16.55457453</v>
      </c>
      <c r="Z59" s="951">
        <v>0</v>
      </c>
      <c r="AA59" s="951">
        <v>6.5376349600000001</v>
      </c>
      <c r="AB59" s="951">
        <v>0</v>
      </c>
      <c r="AC59" s="951">
        <v>70.60986527</v>
      </c>
      <c r="AD59" s="951">
        <v>0.60590140000000003</v>
      </c>
      <c r="AE59" s="951">
        <v>39.690175619999998</v>
      </c>
      <c r="AF59" s="951">
        <v>0</v>
      </c>
      <c r="AG59" s="951">
        <v>667.30512982000005</v>
      </c>
    </row>
    <row r="60" spans="1:33" ht="15" customHeight="1">
      <c r="A60" s="948" t="s">
        <v>25</v>
      </c>
      <c r="B60" s="949">
        <v>22484.122831910001</v>
      </c>
      <c r="C60" s="949">
        <v>534.25918471</v>
      </c>
      <c r="D60" s="950">
        <f t="shared" si="3"/>
        <v>2.3761620086497954</v>
      </c>
      <c r="E60" s="951">
        <v>3406.8716277600001</v>
      </c>
      <c r="F60" s="951">
        <v>46.688475240000002</v>
      </c>
      <c r="G60" s="951">
        <v>662.09579918999998</v>
      </c>
      <c r="H60" s="951">
        <v>40.2956474</v>
      </c>
      <c r="I60" s="951">
        <v>501.59506807000002</v>
      </c>
      <c r="J60" s="951">
        <v>39.175625140000001</v>
      </c>
      <c r="K60" s="951">
        <v>1098.1756047900001</v>
      </c>
      <c r="L60" s="951">
        <v>0.58389230999999997</v>
      </c>
      <c r="M60" s="951">
        <v>1084.6226701200001</v>
      </c>
      <c r="N60" s="951">
        <v>17.412768419999999</v>
      </c>
      <c r="O60" s="951">
        <v>1098.5173462400001</v>
      </c>
      <c r="P60" s="951">
        <v>5.2790910000000002</v>
      </c>
      <c r="Q60" s="951">
        <v>12656.24994496</v>
      </c>
      <c r="R60" s="951">
        <v>407.66181237000001</v>
      </c>
      <c r="S60" s="951">
        <v>8.1414122199999994</v>
      </c>
      <c r="T60" s="951">
        <v>0</v>
      </c>
      <c r="U60" s="951">
        <v>1.1841531000000001</v>
      </c>
      <c r="V60" s="951">
        <v>0</v>
      </c>
      <c r="W60" s="951">
        <v>678.94654989000003</v>
      </c>
      <c r="X60" s="951">
        <v>59.18935415</v>
      </c>
      <c r="Y60" s="951">
        <v>14.859283550000001</v>
      </c>
      <c r="Z60" s="951">
        <v>0</v>
      </c>
      <c r="AA60" s="951">
        <v>6.6377927999999997</v>
      </c>
      <c r="AB60" s="951">
        <v>0</v>
      </c>
      <c r="AC60" s="951">
        <v>76.170175650000004</v>
      </c>
      <c r="AD60" s="951">
        <v>0.60590140000000003</v>
      </c>
      <c r="AE60" s="951">
        <v>38.903651429999996</v>
      </c>
      <c r="AF60" s="951">
        <v>0</v>
      </c>
      <c r="AG60" s="951">
        <v>857.50713882000002</v>
      </c>
    </row>
    <row r="61" spans="1:33" ht="15" customHeight="1">
      <c r="A61" s="948" t="s">
        <v>26</v>
      </c>
      <c r="B61" s="949">
        <v>23018.645831869999</v>
      </c>
      <c r="C61" s="949">
        <v>519.77127536</v>
      </c>
      <c r="D61" s="950">
        <f t="shared" si="3"/>
        <v>2.2580445398762827</v>
      </c>
      <c r="E61" s="951">
        <v>3486.7570254299999</v>
      </c>
      <c r="F61" s="951">
        <v>55.898312230000002</v>
      </c>
      <c r="G61" s="951">
        <v>696.49849146999998</v>
      </c>
      <c r="H61" s="951">
        <v>40.132835200000002</v>
      </c>
      <c r="I61" s="951">
        <v>522.40519725000001</v>
      </c>
      <c r="J61" s="951">
        <v>42.560370880000001</v>
      </c>
      <c r="K61" s="951">
        <v>1118.6349164799999</v>
      </c>
      <c r="L61" s="951">
        <v>0.30978370999999999</v>
      </c>
      <c r="M61" s="951">
        <v>1089.5345540999999</v>
      </c>
      <c r="N61" s="951">
        <v>22.04253855</v>
      </c>
      <c r="O61" s="951">
        <v>1105.06507093</v>
      </c>
      <c r="P61" s="951">
        <v>5.3582297900000002</v>
      </c>
      <c r="Q61" s="951">
        <v>12945.850470400001</v>
      </c>
      <c r="R61" s="951">
        <v>449.89472573</v>
      </c>
      <c r="S61" s="951">
        <v>44.925825340000003</v>
      </c>
      <c r="T61" s="951">
        <v>0</v>
      </c>
      <c r="U61" s="951">
        <v>1.1291530999999999</v>
      </c>
      <c r="V61" s="951">
        <v>0</v>
      </c>
      <c r="W61" s="951">
        <v>685.93276452999999</v>
      </c>
      <c r="X61" s="951">
        <v>66.84533777</v>
      </c>
      <c r="Y61" s="951">
        <v>15.7435723</v>
      </c>
      <c r="Z61" s="951">
        <v>0</v>
      </c>
      <c r="AA61" s="951">
        <v>6.3298390400000004</v>
      </c>
      <c r="AB61" s="951">
        <v>0</v>
      </c>
      <c r="AC61" s="951">
        <v>54.966298879999997</v>
      </c>
      <c r="AD61" s="951">
        <v>0.90875138</v>
      </c>
      <c r="AE61" s="951">
        <v>41.150492020000002</v>
      </c>
      <c r="AF61" s="951">
        <v>0</v>
      </c>
      <c r="AG61" s="951">
        <v>782.22745200999998</v>
      </c>
    </row>
    <row r="62" spans="1:33" ht="15" customHeight="1">
      <c r="A62" s="948" t="s">
        <v>27</v>
      </c>
      <c r="B62" s="949">
        <v>23196.472673640001</v>
      </c>
      <c r="C62" s="949">
        <v>440.37917463999997</v>
      </c>
      <c r="D62" s="950">
        <f t="shared" si="3"/>
        <v>1.8984747415517096</v>
      </c>
      <c r="E62" s="951">
        <v>3433.6060745200002</v>
      </c>
      <c r="F62" s="951">
        <v>55.898312230000002</v>
      </c>
      <c r="G62" s="951">
        <v>706.86530153000001</v>
      </c>
      <c r="H62" s="951">
        <v>40.132835200000002</v>
      </c>
      <c r="I62" s="951">
        <v>491.88119259000001</v>
      </c>
      <c r="J62" s="951">
        <v>42.560370880000001</v>
      </c>
      <c r="K62" s="951">
        <v>1104.4258694099999</v>
      </c>
      <c r="L62" s="951">
        <v>0.30978370999999999</v>
      </c>
      <c r="M62" s="951">
        <v>1130.77302792</v>
      </c>
      <c r="N62" s="951">
        <v>22.04253855</v>
      </c>
      <c r="O62" s="951">
        <v>1321.41701459</v>
      </c>
      <c r="P62" s="951">
        <v>5.3582297900000002</v>
      </c>
      <c r="Q62" s="951">
        <v>13019.06049285</v>
      </c>
      <c r="R62" s="951">
        <v>449.89472573</v>
      </c>
      <c r="S62" s="951">
        <v>51.138200580000003</v>
      </c>
      <c r="T62" s="951">
        <v>0</v>
      </c>
      <c r="U62" s="951">
        <v>1.0791531000000001</v>
      </c>
      <c r="V62" s="951">
        <v>0</v>
      </c>
      <c r="W62" s="951">
        <v>694.01569899000003</v>
      </c>
      <c r="X62" s="951">
        <v>66.84533777</v>
      </c>
      <c r="Y62" s="951">
        <v>22.106891319999999</v>
      </c>
      <c r="Z62" s="951">
        <v>0</v>
      </c>
      <c r="AA62" s="951">
        <v>5.9397454300000003</v>
      </c>
      <c r="AB62" s="951">
        <v>0</v>
      </c>
      <c r="AC62" s="951">
        <v>50.43810526</v>
      </c>
      <c r="AD62" s="951">
        <v>0.90875138</v>
      </c>
      <c r="AE62" s="951">
        <v>39.39584567</v>
      </c>
      <c r="AF62" s="951">
        <v>0</v>
      </c>
      <c r="AG62" s="951">
        <v>706.56016652000005</v>
      </c>
    </row>
    <row r="63" spans="1:33" ht="15" customHeight="1">
      <c r="A63" s="948" t="s">
        <v>28</v>
      </c>
      <c r="B63" s="949">
        <v>23617.991556720001</v>
      </c>
      <c r="C63" s="949">
        <v>440.25735591</v>
      </c>
      <c r="D63" s="950">
        <f t="shared" si="3"/>
        <v>1.8640761846861365</v>
      </c>
      <c r="E63" s="951">
        <v>3505.5060087699999</v>
      </c>
      <c r="F63" s="951">
        <v>55.898312230000002</v>
      </c>
      <c r="G63" s="951">
        <v>703.08005479999997</v>
      </c>
      <c r="H63" s="951">
        <v>40.132835200000002</v>
      </c>
      <c r="I63" s="951">
        <v>495.80013974000002</v>
      </c>
      <c r="J63" s="951">
        <v>42.560370880000001</v>
      </c>
      <c r="K63" s="951">
        <v>1135.6773366899999</v>
      </c>
      <c r="L63" s="951">
        <v>0.30978370999999999</v>
      </c>
      <c r="M63" s="951">
        <v>1143.0243782</v>
      </c>
      <c r="N63" s="951">
        <v>22.04253855</v>
      </c>
      <c r="O63" s="951">
        <v>1314.2108879</v>
      </c>
      <c r="P63" s="951">
        <v>5.3582297900000002</v>
      </c>
      <c r="Q63" s="951">
        <v>13338.71316668</v>
      </c>
      <c r="R63" s="951">
        <v>449.89472573</v>
      </c>
      <c r="S63" s="951">
        <v>28.248409150000001</v>
      </c>
      <c r="T63" s="951">
        <v>0</v>
      </c>
      <c r="U63" s="951">
        <v>1.03914869</v>
      </c>
      <c r="V63" s="951">
        <v>0</v>
      </c>
      <c r="W63" s="951">
        <v>709.20562292</v>
      </c>
      <c r="X63" s="951">
        <v>66.84533777</v>
      </c>
      <c r="Y63" s="951">
        <v>22.93932465</v>
      </c>
      <c r="Z63" s="951">
        <v>0</v>
      </c>
      <c r="AA63" s="951">
        <v>5.70619839</v>
      </c>
      <c r="AB63" s="951">
        <v>0</v>
      </c>
      <c r="AC63" s="951">
        <v>49.985543479999997</v>
      </c>
      <c r="AD63" s="951">
        <v>0.90875138</v>
      </c>
      <c r="AE63" s="951">
        <v>40.64709551</v>
      </c>
      <c r="AF63" s="951">
        <v>0</v>
      </c>
      <c r="AG63" s="951">
        <v>610.59667779999995</v>
      </c>
    </row>
    <row r="64" spans="1:33" ht="15" customHeight="1">
      <c r="A64" s="948" t="s">
        <v>29</v>
      </c>
      <c r="B64" s="949">
        <v>23979.124360810001</v>
      </c>
      <c r="C64" s="949">
        <v>437.84492763999998</v>
      </c>
      <c r="D64" s="950">
        <f t="shared" si="3"/>
        <v>1.8259421030218543</v>
      </c>
      <c r="E64" s="951">
        <v>3476.8485448800002</v>
      </c>
      <c r="F64" s="951">
        <v>62.497646369999998</v>
      </c>
      <c r="G64" s="951">
        <v>710.15070306999996</v>
      </c>
      <c r="H64" s="951">
        <v>42.6828352</v>
      </c>
      <c r="I64" s="951">
        <v>487.10996204000003</v>
      </c>
      <c r="J64" s="951">
        <v>45.723689659999998</v>
      </c>
      <c r="K64" s="951">
        <v>1133.54864195</v>
      </c>
      <c r="L64" s="951">
        <v>0.20388484000000001</v>
      </c>
      <c r="M64" s="951">
        <v>1188.0659588000001</v>
      </c>
      <c r="N64" s="951">
        <v>22.82449128</v>
      </c>
      <c r="O64" s="951">
        <v>1421.0077585399999</v>
      </c>
      <c r="P64" s="951">
        <v>5.2806465600000001</v>
      </c>
      <c r="Q64" s="951">
        <v>13515.026135939999</v>
      </c>
      <c r="R64" s="951">
        <v>491.29358698999999</v>
      </c>
      <c r="S64" s="951">
        <v>10.48486535</v>
      </c>
      <c r="T64" s="951">
        <v>0</v>
      </c>
      <c r="U64" s="951">
        <v>0.99874423000000001</v>
      </c>
      <c r="V64" s="951">
        <v>0</v>
      </c>
      <c r="W64" s="951">
        <v>729.45340526999996</v>
      </c>
      <c r="X64" s="951">
        <v>71.354744710000006</v>
      </c>
      <c r="Y64" s="951">
        <v>22.32135551</v>
      </c>
      <c r="Z64" s="951">
        <v>0</v>
      </c>
      <c r="AA64" s="951">
        <v>5.89101915</v>
      </c>
      <c r="AB64" s="951">
        <v>0</v>
      </c>
      <c r="AC64" s="951">
        <v>50.707049419999997</v>
      </c>
      <c r="AD64" s="951">
        <v>0.50148901999999995</v>
      </c>
      <c r="AE64" s="951">
        <v>47.302274390000001</v>
      </c>
      <c r="AF64" s="951">
        <v>0</v>
      </c>
      <c r="AG64" s="951">
        <v>568.78507174000003</v>
      </c>
    </row>
    <row r="65" spans="1:33" ht="15" customHeight="1">
      <c r="A65" s="948" t="s">
        <v>3971</v>
      </c>
      <c r="B65" s="949"/>
      <c r="C65" s="949"/>
      <c r="D65" s="950"/>
      <c r="E65" s="951"/>
      <c r="F65" s="951"/>
      <c r="G65" s="951"/>
      <c r="H65" s="951"/>
      <c r="I65" s="951"/>
      <c r="J65" s="951"/>
      <c r="K65" s="951"/>
      <c r="L65" s="951"/>
      <c r="M65" s="951"/>
      <c r="N65" s="951"/>
      <c r="O65" s="951"/>
      <c r="P65" s="951"/>
      <c r="Q65" s="951"/>
      <c r="R65" s="951"/>
      <c r="S65" s="951"/>
      <c r="T65" s="951"/>
      <c r="U65" s="951"/>
      <c r="V65" s="951"/>
      <c r="W65" s="951"/>
      <c r="X65" s="951"/>
      <c r="Y65" s="951"/>
      <c r="Z65" s="951"/>
      <c r="AA65" s="951"/>
      <c r="AB65" s="951"/>
      <c r="AC65" s="951"/>
      <c r="AD65" s="951"/>
      <c r="AE65" s="951"/>
      <c r="AF65" s="951"/>
      <c r="AG65" s="951"/>
    </row>
    <row r="66" spans="1:33" ht="15" customHeight="1">
      <c r="A66" s="948" t="s">
        <v>18</v>
      </c>
      <c r="B66" s="949">
        <v>24362.526631280001</v>
      </c>
      <c r="C66" s="949">
        <v>454.06281114000001</v>
      </c>
      <c r="D66" s="950">
        <f t="shared" ref="D66:D94" si="4">C66/B66*100</f>
        <v>1.8637755353215748</v>
      </c>
      <c r="E66" s="951">
        <v>3444.1798715599998</v>
      </c>
      <c r="F66" s="951">
        <v>62.497646369999998</v>
      </c>
      <c r="G66" s="951">
        <v>856.90960831999996</v>
      </c>
      <c r="H66" s="951">
        <v>42.6828352</v>
      </c>
      <c r="I66" s="951">
        <v>474.97619331999999</v>
      </c>
      <c r="J66" s="951">
        <v>45.723689659999998</v>
      </c>
      <c r="K66" s="951">
        <v>1144.13815654</v>
      </c>
      <c r="L66" s="951">
        <v>0.20388484000000001</v>
      </c>
      <c r="M66" s="951">
        <v>1386.1662965099999</v>
      </c>
      <c r="N66" s="951">
        <v>22.82449128</v>
      </c>
      <c r="O66" s="951">
        <v>1390.6909822099999</v>
      </c>
      <c r="P66" s="951">
        <v>5.2806465600000001</v>
      </c>
      <c r="Q66" s="951">
        <v>13604.574583670001</v>
      </c>
      <c r="R66" s="951">
        <v>491.29358698999999</v>
      </c>
      <c r="S66" s="951">
        <v>9.7549017199999994</v>
      </c>
      <c r="T66" s="951">
        <v>0</v>
      </c>
      <c r="U66" s="951">
        <v>0.95793572999999999</v>
      </c>
      <c r="V66" s="951">
        <v>0</v>
      </c>
      <c r="W66" s="951">
        <v>738.74879229999999</v>
      </c>
      <c r="X66" s="951">
        <v>71.354744710000006</v>
      </c>
      <c r="Y66" s="951">
        <v>29.311227720000002</v>
      </c>
      <c r="Z66" s="951">
        <v>0</v>
      </c>
      <c r="AA66" s="951">
        <v>3.24873491</v>
      </c>
      <c r="AB66" s="951">
        <v>0</v>
      </c>
      <c r="AC66" s="951">
        <v>46.113859920000003</v>
      </c>
      <c r="AD66" s="951">
        <v>0.50148901999999995</v>
      </c>
      <c r="AE66" s="951">
        <v>36.329661080000001</v>
      </c>
      <c r="AF66" s="951">
        <v>0</v>
      </c>
      <c r="AG66" s="951">
        <v>962.53158026999995</v>
      </c>
    </row>
    <row r="67" spans="1:33" ht="15" customHeight="1">
      <c r="A67" s="948" t="s">
        <v>19</v>
      </c>
      <c r="B67" s="949">
        <v>24629.126192600001</v>
      </c>
      <c r="C67" s="949">
        <v>469.15723987000001</v>
      </c>
      <c r="D67" s="950">
        <f t="shared" si="4"/>
        <v>1.9048878803136819</v>
      </c>
      <c r="E67" s="951">
        <v>3495.0056662299999</v>
      </c>
      <c r="F67" s="951">
        <v>62.497646369999998</v>
      </c>
      <c r="G67" s="951">
        <v>827.1287509</v>
      </c>
      <c r="H67" s="951">
        <v>42.6828352</v>
      </c>
      <c r="I67" s="951">
        <v>467.44032426000001</v>
      </c>
      <c r="J67" s="951">
        <v>45.723689659999998</v>
      </c>
      <c r="K67" s="951">
        <v>1118.11847324</v>
      </c>
      <c r="L67" s="951">
        <v>0.20388484000000001</v>
      </c>
      <c r="M67" s="951">
        <v>1390.6726234499999</v>
      </c>
      <c r="N67" s="951">
        <v>22.82449128</v>
      </c>
      <c r="O67" s="951">
        <v>1462.80029496</v>
      </c>
      <c r="P67" s="951">
        <v>5.2806465600000001</v>
      </c>
      <c r="Q67" s="951">
        <v>13779.339342359999</v>
      </c>
      <c r="R67" s="951">
        <v>491.29358698999999</v>
      </c>
      <c r="S67" s="951">
        <v>9.5166273799999992</v>
      </c>
      <c r="T67" s="951">
        <v>0</v>
      </c>
      <c r="U67" s="951">
        <v>0.91671913999999999</v>
      </c>
      <c r="V67" s="951">
        <v>0</v>
      </c>
      <c r="W67" s="951">
        <v>750.99694168999997</v>
      </c>
      <c r="X67" s="951">
        <v>71.354744710000006</v>
      </c>
      <c r="Y67" s="951">
        <v>25.282118260000001</v>
      </c>
      <c r="Z67" s="951">
        <v>0</v>
      </c>
      <c r="AA67" s="951">
        <v>3.0570781299999998</v>
      </c>
      <c r="AB67" s="951">
        <v>0</v>
      </c>
      <c r="AC67" s="951">
        <v>47.203366299999999</v>
      </c>
      <c r="AD67" s="951">
        <v>0.50148901999999995</v>
      </c>
      <c r="AE67" s="951">
        <v>40.127611799999997</v>
      </c>
      <c r="AF67" s="951">
        <v>0</v>
      </c>
      <c r="AG67" s="951">
        <v>704.37689886999999</v>
      </c>
    </row>
    <row r="68" spans="1:33" ht="15" customHeight="1">
      <c r="A68" s="948" t="s">
        <v>20</v>
      </c>
      <c r="B68" s="949">
        <v>25442.69492468</v>
      </c>
      <c r="C68" s="949">
        <v>470.75581861000001</v>
      </c>
      <c r="D68" s="950">
        <f t="shared" si="4"/>
        <v>1.8502592591060629</v>
      </c>
      <c r="E68" s="951">
        <v>3666.9534031200001</v>
      </c>
      <c r="F68" s="951">
        <v>57.161162089999998</v>
      </c>
      <c r="G68" s="951">
        <v>745.40770825000004</v>
      </c>
      <c r="H68" s="951">
        <v>42.6828352</v>
      </c>
      <c r="I68" s="951">
        <v>451.25856865999998</v>
      </c>
      <c r="J68" s="951">
        <v>44.689331099999997</v>
      </c>
      <c r="K68" s="951">
        <v>1133.98741591</v>
      </c>
      <c r="L68" s="951">
        <v>510.15745048000002</v>
      </c>
      <c r="M68" s="951">
        <v>1399.8904659699999</v>
      </c>
      <c r="N68" s="951">
        <v>27.442686259999999</v>
      </c>
      <c r="O68" s="951">
        <v>1466.9427995999999</v>
      </c>
      <c r="P68" s="951">
        <v>5.2040201100000001</v>
      </c>
      <c r="Q68" s="951">
        <v>13946.66314035</v>
      </c>
      <c r="R68" s="951">
        <v>523.15115455</v>
      </c>
      <c r="S68" s="951">
        <v>9.1823221400000001</v>
      </c>
      <c r="T68" s="951">
        <v>0</v>
      </c>
      <c r="U68" s="951">
        <v>0.87509039</v>
      </c>
      <c r="V68" s="951">
        <v>0</v>
      </c>
      <c r="W68" s="951">
        <v>754.40685633999999</v>
      </c>
      <c r="X68" s="951">
        <v>74.075622800000005</v>
      </c>
      <c r="Y68" s="951">
        <v>31.275232760000002</v>
      </c>
      <c r="Z68" s="951">
        <v>0</v>
      </c>
      <c r="AA68" s="951">
        <v>0.85787996</v>
      </c>
      <c r="AB68" s="951">
        <v>0</v>
      </c>
      <c r="AC68" s="951">
        <v>41.13730863</v>
      </c>
      <c r="AD68" s="951">
        <v>0.20668868000000001</v>
      </c>
      <c r="AE68" s="951">
        <v>38.329962719999997</v>
      </c>
      <c r="AF68" s="951">
        <v>0</v>
      </c>
      <c r="AG68" s="951">
        <v>620.27643058000001</v>
      </c>
    </row>
    <row r="69" spans="1:33" ht="15" customHeight="1">
      <c r="A69" s="948" t="s">
        <v>21</v>
      </c>
      <c r="B69" s="949">
        <v>25984.53292089</v>
      </c>
      <c r="C69" s="949">
        <v>462.24683622999999</v>
      </c>
      <c r="D69" s="950">
        <f t="shared" si="4"/>
        <v>1.7789307109629873</v>
      </c>
      <c r="E69" s="951">
        <v>3711.7674126299999</v>
      </c>
      <c r="F69" s="951">
        <v>57.161162089999998</v>
      </c>
      <c r="G69" s="951">
        <v>787.46765421999999</v>
      </c>
      <c r="H69" s="951">
        <v>42.6828352</v>
      </c>
      <c r="I69" s="951">
        <v>426.58847859000002</v>
      </c>
      <c r="J69" s="951">
        <v>44.689331099999997</v>
      </c>
      <c r="K69" s="951">
        <v>1164.47778004</v>
      </c>
      <c r="L69" s="951">
        <v>510.15745048000002</v>
      </c>
      <c r="M69" s="951">
        <v>1397.4653280499999</v>
      </c>
      <c r="N69" s="951">
        <v>27.442686259999999</v>
      </c>
      <c r="O69" s="951">
        <v>1542.2544693</v>
      </c>
      <c r="P69" s="951">
        <v>5.2040201100000001</v>
      </c>
      <c r="Q69" s="951">
        <v>14296.20954494</v>
      </c>
      <c r="R69" s="951">
        <v>523.15115455</v>
      </c>
      <c r="S69" s="951">
        <v>9.5962926199999998</v>
      </c>
      <c r="T69" s="951">
        <v>0</v>
      </c>
      <c r="U69" s="951">
        <v>9.5420000000000005E-5</v>
      </c>
      <c r="V69" s="951">
        <v>0</v>
      </c>
      <c r="W69" s="951">
        <v>797.36083989999997</v>
      </c>
      <c r="X69" s="951">
        <v>74.075622800000005</v>
      </c>
      <c r="Y69" s="951">
        <v>24.738235759999998</v>
      </c>
      <c r="Z69" s="951">
        <v>0</v>
      </c>
      <c r="AA69" s="951">
        <v>0.76087419999999995</v>
      </c>
      <c r="AB69" s="951">
        <v>0</v>
      </c>
      <c r="AC69" s="951">
        <v>39.743197879999997</v>
      </c>
      <c r="AD69" s="951">
        <v>0.20668868000000001</v>
      </c>
      <c r="AE69" s="951">
        <v>39.084929840000001</v>
      </c>
      <c r="AF69" s="951">
        <v>0</v>
      </c>
      <c r="AG69" s="951">
        <v>715.51293795000004</v>
      </c>
    </row>
    <row r="70" spans="1:33" ht="15" customHeight="1">
      <c r="A70" s="948" t="s">
        <v>22</v>
      </c>
      <c r="B70" s="949">
        <v>26498.262998329999</v>
      </c>
      <c r="C70" s="949">
        <v>466.54076087999999</v>
      </c>
      <c r="D70" s="950">
        <f t="shared" si="4"/>
        <v>1.7606465786432977</v>
      </c>
      <c r="E70" s="951">
        <v>3775.4744507099999</v>
      </c>
      <c r="F70" s="951">
        <v>57.161162089999998</v>
      </c>
      <c r="G70" s="951">
        <v>809.00583299000004</v>
      </c>
      <c r="H70" s="951">
        <v>42.6828352</v>
      </c>
      <c r="I70" s="951">
        <v>418.95247243</v>
      </c>
      <c r="J70" s="951">
        <v>44.689331099999997</v>
      </c>
      <c r="K70" s="951">
        <v>1160.00791448</v>
      </c>
      <c r="L70" s="951">
        <v>510.15745048000002</v>
      </c>
      <c r="M70" s="951">
        <v>1437.23427683</v>
      </c>
      <c r="N70" s="951">
        <v>27.442686259999999</v>
      </c>
      <c r="O70" s="951">
        <v>1681.7985262300001</v>
      </c>
      <c r="P70" s="951">
        <v>5.2040201100000001</v>
      </c>
      <c r="Q70" s="951">
        <v>14551.6273227</v>
      </c>
      <c r="R70" s="951">
        <v>523.15115455</v>
      </c>
      <c r="S70" s="951">
        <v>9.4240336100000004</v>
      </c>
      <c r="T70" s="951">
        <v>0</v>
      </c>
      <c r="U70" s="951">
        <v>9.5420000000000005E-5</v>
      </c>
      <c r="V70" s="951">
        <v>0</v>
      </c>
      <c r="W70" s="951">
        <v>804.97872681000001</v>
      </c>
      <c r="X70" s="951">
        <v>74.075622800000005</v>
      </c>
      <c r="Y70" s="951">
        <v>23.562008590000001</v>
      </c>
      <c r="Z70" s="951">
        <v>0</v>
      </c>
      <c r="AA70" s="951">
        <v>1.05724186</v>
      </c>
      <c r="AB70" s="951">
        <v>0</v>
      </c>
      <c r="AC70" s="951">
        <v>35.816298809999999</v>
      </c>
      <c r="AD70" s="951">
        <v>0.20668868000000001</v>
      </c>
      <c r="AE70" s="951">
        <v>38.012084710000003</v>
      </c>
      <c r="AF70" s="951">
        <v>0</v>
      </c>
      <c r="AG70" s="951">
        <v>613.56289488000004</v>
      </c>
    </row>
    <row r="71" spans="1:33" ht="15" customHeight="1">
      <c r="A71" s="948" t="s">
        <v>23</v>
      </c>
      <c r="B71" s="949">
        <v>27003.267941400001</v>
      </c>
      <c r="C71" s="949">
        <v>451.69949761999999</v>
      </c>
      <c r="D71" s="950">
        <f t="shared" si="4"/>
        <v>1.6727586401773169</v>
      </c>
      <c r="E71" s="951">
        <v>3817.1343310799998</v>
      </c>
      <c r="F71" s="951">
        <v>63.415310560000002</v>
      </c>
      <c r="G71" s="951">
        <v>794.56874424</v>
      </c>
      <c r="H71" s="951">
        <v>42.6828352</v>
      </c>
      <c r="I71" s="951">
        <v>414.57037456</v>
      </c>
      <c r="J71" s="951">
        <v>66.105643310000005</v>
      </c>
      <c r="K71" s="951">
        <v>1165.8873104500001</v>
      </c>
      <c r="L71" s="951">
        <v>650.10927448999996</v>
      </c>
      <c r="M71" s="951">
        <v>1452.6443335199999</v>
      </c>
      <c r="N71" s="951">
        <v>46.324427440000001</v>
      </c>
      <c r="O71" s="951">
        <v>1709.8807681400001</v>
      </c>
      <c r="P71" s="951">
        <v>5.3750590000000003</v>
      </c>
      <c r="Q71" s="951">
        <v>14760.371802559999</v>
      </c>
      <c r="R71" s="951">
        <v>567.84866227999999</v>
      </c>
      <c r="S71" s="951">
        <v>16.529838259999998</v>
      </c>
      <c r="T71" s="951">
        <v>0</v>
      </c>
      <c r="U71" s="951">
        <v>9.5420000000000005E-5</v>
      </c>
      <c r="V71" s="951">
        <v>0</v>
      </c>
      <c r="W71" s="951">
        <v>800.08934709000005</v>
      </c>
      <c r="X71" s="951">
        <v>77.636043650000005</v>
      </c>
      <c r="Y71" s="951">
        <v>21.684003359999998</v>
      </c>
      <c r="Z71" s="951">
        <v>0</v>
      </c>
      <c r="AA71" s="951">
        <v>1.0433831</v>
      </c>
      <c r="AB71" s="951">
        <v>0</v>
      </c>
      <c r="AC71" s="951">
        <v>30.918700919999999</v>
      </c>
      <c r="AD71" s="951">
        <v>0.1850289</v>
      </c>
      <c r="AE71" s="951">
        <v>46.563126250000003</v>
      </c>
      <c r="AF71" s="951">
        <v>0</v>
      </c>
      <c r="AG71" s="951">
        <v>1072.0779300500001</v>
      </c>
    </row>
    <row r="72" spans="1:33" ht="15" customHeight="1">
      <c r="A72" s="948" t="s">
        <v>24</v>
      </c>
      <c r="B72" s="949">
        <v>27268.459685689999</v>
      </c>
      <c r="C72" s="949">
        <v>453.71234934</v>
      </c>
      <c r="D72" s="950">
        <f t="shared" si="4"/>
        <v>1.6638723073093129</v>
      </c>
      <c r="E72" s="951">
        <v>3815.3547920000001</v>
      </c>
      <c r="F72" s="951">
        <v>63.415310560000002</v>
      </c>
      <c r="G72" s="951">
        <v>782.93434503000003</v>
      </c>
      <c r="H72" s="951">
        <v>42.6828352</v>
      </c>
      <c r="I72" s="951">
        <v>397.89047541999997</v>
      </c>
      <c r="J72" s="951">
        <v>66.105643310000005</v>
      </c>
      <c r="K72" s="951">
        <v>1198.60177331</v>
      </c>
      <c r="L72" s="951">
        <v>650.10927448999996</v>
      </c>
      <c r="M72" s="951">
        <v>1421.78829436</v>
      </c>
      <c r="N72" s="951">
        <v>46.324427440000001</v>
      </c>
      <c r="O72" s="951">
        <v>1696.3784745</v>
      </c>
      <c r="P72" s="951">
        <v>5.3750590000000003</v>
      </c>
      <c r="Q72" s="951">
        <v>15066.3177667</v>
      </c>
      <c r="R72" s="951">
        <v>567.84866227999999</v>
      </c>
      <c r="S72" s="951">
        <v>20.980540399999999</v>
      </c>
      <c r="T72" s="951">
        <v>0</v>
      </c>
      <c r="U72" s="951">
        <v>9.5420000000000005E-5</v>
      </c>
      <c r="V72" s="951">
        <v>0</v>
      </c>
      <c r="W72" s="951">
        <v>797.56392907999998</v>
      </c>
      <c r="X72" s="951">
        <v>77.636043650000005</v>
      </c>
      <c r="Y72" s="951">
        <v>21.07847903</v>
      </c>
      <c r="Z72" s="951">
        <v>0</v>
      </c>
      <c r="AA72" s="951">
        <v>0.12951824000000001</v>
      </c>
      <c r="AB72" s="951">
        <v>0</v>
      </c>
      <c r="AC72" s="951">
        <v>34.229282120000001</v>
      </c>
      <c r="AD72" s="951">
        <v>0.1850289</v>
      </c>
      <c r="AE72" s="951">
        <v>41.817285910000003</v>
      </c>
      <c r="AF72" s="951">
        <v>0</v>
      </c>
      <c r="AG72" s="951">
        <v>736.54965302999994</v>
      </c>
    </row>
    <row r="73" spans="1:33" ht="15" customHeight="1">
      <c r="A73" s="948" t="s">
        <v>25</v>
      </c>
      <c r="B73" s="949">
        <v>27649.3614151</v>
      </c>
      <c r="C73" s="949">
        <v>473.10461577000001</v>
      </c>
      <c r="D73" s="950">
        <f t="shared" si="4"/>
        <v>1.7110869530304083</v>
      </c>
      <c r="E73" s="951">
        <v>3781.8794767099998</v>
      </c>
      <c r="F73" s="951">
        <v>63.415310560000002</v>
      </c>
      <c r="G73" s="951">
        <v>793.78719439999998</v>
      </c>
      <c r="H73" s="951">
        <v>42.6828352</v>
      </c>
      <c r="I73" s="951">
        <v>434.98623242999997</v>
      </c>
      <c r="J73" s="951">
        <v>66.105643310000005</v>
      </c>
      <c r="K73" s="951">
        <v>1171.6111311899999</v>
      </c>
      <c r="L73" s="951">
        <v>650.10927448999996</v>
      </c>
      <c r="M73" s="951">
        <v>1417.48038524</v>
      </c>
      <c r="N73" s="951">
        <v>46.324427440000001</v>
      </c>
      <c r="O73" s="951">
        <v>1705.2883640800001</v>
      </c>
      <c r="P73" s="951">
        <v>5.3750590000000003</v>
      </c>
      <c r="Q73" s="951">
        <v>15430.268113620001</v>
      </c>
      <c r="R73" s="951">
        <v>567.84866227999999</v>
      </c>
      <c r="S73" s="951">
        <v>19.988068779999999</v>
      </c>
      <c r="T73" s="951">
        <v>0</v>
      </c>
      <c r="U73" s="951">
        <v>9.5420000000000005E-5</v>
      </c>
      <c r="V73" s="951">
        <v>0</v>
      </c>
      <c r="W73" s="951">
        <v>779.81068306999998</v>
      </c>
      <c r="X73" s="951">
        <v>77.636043650000005</v>
      </c>
      <c r="Y73" s="951">
        <v>38.748037330000002</v>
      </c>
      <c r="Z73" s="951">
        <v>0</v>
      </c>
      <c r="AA73" s="951">
        <v>0.11879163</v>
      </c>
      <c r="AB73" s="951">
        <v>0</v>
      </c>
      <c r="AC73" s="951">
        <v>34.352562050000003</v>
      </c>
      <c r="AD73" s="951">
        <v>0.1850289</v>
      </c>
      <c r="AE73" s="951">
        <v>48.255378550000003</v>
      </c>
      <c r="AF73" s="951">
        <v>0</v>
      </c>
      <c r="AG73" s="951">
        <v>1305.5638564400001</v>
      </c>
    </row>
    <row r="74" spans="1:33" ht="15" customHeight="1">
      <c r="A74" s="948" t="s">
        <v>26</v>
      </c>
      <c r="B74" s="949">
        <v>28404.620061260001</v>
      </c>
      <c r="C74" s="949">
        <v>480.04100023000001</v>
      </c>
      <c r="D74" s="950">
        <f t="shared" si="4"/>
        <v>1.6900102842238327</v>
      </c>
      <c r="E74" s="951">
        <v>3970.3546434</v>
      </c>
      <c r="F74" s="951">
        <v>68.565553949999995</v>
      </c>
      <c r="G74" s="951">
        <v>802.41629125999998</v>
      </c>
      <c r="H74" s="951">
        <v>48.573335200000002</v>
      </c>
      <c r="I74" s="951">
        <v>449.97740075000002</v>
      </c>
      <c r="J74" s="951">
        <v>79.670069359999999</v>
      </c>
      <c r="K74" s="951">
        <v>1204.74967051</v>
      </c>
      <c r="L74" s="951">
        <v>680.08175122</v>
      </c>
      <c r="M74" s="951">
        <v>1441.7466851500001</v>
      </c>
      <c r="N74" s="951">
        <v>58.738191110000002</v>
      </c>
      <c r="O74" s="951">
        <v>1768.2495564999999</v>
      </c>
      <c r="P74" s="951">
        <v>5.5738570000000003</v>
      </c>
      <c r="Q74" s="951">
        <v>15746.99951609</v>
      </c>
      <c r="R74" s="951">
        <v>618.90514600999995</v>
      </c>
      <c r="S74" s="951">
        <v>11.21278674</v>
      </c>
      <c r="T74" s="951">
        <v>0</v>
      </c>
      <c r="U74" s="951">
        <v>9.5420000000000005E-5</v>
      </c>
      <c r="V74" s="951">
        <v>0</v>
      </c>
      <c r="W74" s="951">
        <v>759.23020930999996</v>
      </c>
      <c r="X74" s="951">
        <v>83.715507059999993</v>
      </c>
      <c r="Y74" s="951">
        <v>37.318026699999997</v>
      </c>
      <c r="Z74" s="951">
        <v>0</v>
      </c>
      <c r="AA74" s="951">
        <v>9.3325190000000002E-2</v>
      </c>
      <c r="AB74" s="951">
        <v>0</v>
      </c>
      <c r="AC74" s="951">
        <v>36.585381130000002</v>
      </c>
      <c r="AD74" s="951">
        <v>0.16282424000000001</v>
      </c>
      <c r="AE74" s="951">
        <v>51.659237730000001</v>
      </c>
      <c r="AF74" s="951">
        <v>0</v>
      </c>
      <c r="AG74" s="951">
        <v>1298.25868255</v>
      </c>
    </row>
    <row r="75" spans="1:33" ht="15" customHeight="1">
      <c r="A75" s="948" t="s">
        <v>27</v>
      </c>
      <c r="B75" s="949">
        <v>28779.170425889999</v>
      </c>
      <c r="C75" s="949">
        <v>479.76418251000001</v>
      </c>
      <c r="D75" s="950">
        <f t="shared" si="4"/>
        <v>1.6670535509195912</v>
      </c>
      <c r="E75" s="951">
        <v>3952.19427662</v>
      </c>
      <c r="F75" s="951">
        <v>68.565553949999995</v>
      </c>
      <c r="G75" s="951">
        <v>865.18161607000002</v>
      </c>
      <c r="H75" s="951">
        <v>48.573335200000002</v>
      </c>
      <c r="I75" s="951">
        <v>470.01404485</v>
      </c>
      <c r="J75" s="951">
        <v>79.670069359999999</v>
      </c>
      <c r="K75" s="951">
        <v>1233.44453929</v>
      </c>
      <c r="L75" s="951">
        <v>680.08175122</v>
      </c>
      <c r="M75" s="951">
        <v>1507.88893183</v>
      </c>
      <c r="N75" s="951">
        <v>58.738191110000002</v>
      </c>
      <c r="O75" s="951">
        <v>1807.3631336399999</v>
      </c>
      <c r="P75" s="951">
        <v>5.5738570000000003</v>
      </c>
      <c r="Q75" s="951">
        <v>15978.859933379999</v>
      </c>
      <c r="R75" s="951">
        <v>618.90514600999995</v>
      </c>
      <c r="S75" s="951">
        <v>11.84141668</v>
      </c>
      <c r="T75" s="951">
        <v>0</v>
      </c>
      <c r="U75" s="951">
        <v>9.5420000000000005E-5</v>
      </c>
      <c r="V75" s="951">
        <v>0</v>
      </c>
      <c r="W75" s="951">
        <v>701.72966297000005</v>
      </c>
      <c r="X75" s="951">
        <v>83.715507059999993</v>
      </c>
      <c r="Y75" s="951">
        <v>39.260414169999997</v>
      </c>
      <c r="Z75" s="951">
        <v>0</v>
      </c>
      <c r="AA75" s="951">
        <v>0.29761423999999997</v>
      </c>
      <c r="AB75" s="951">
        <v>0</v>
      </c>
      <c r="AC75" s="951">
        <v>38.352451260000002</v>
      </c>
      <c r="AD75" s="951">
        <v>0.16282424000000001</v>
      </c>
      <c r="AE75" s="951">
        <v>48.991877809999998</v>
      </c>
      <c r="AF75" s="951">
        <v>0</v>
      </c>
      <c r="AG75" s="951">
        <v>785.92557074000001</v>
      </c>
    </row>
    <row r="76" spans="1:33" ht="15" customHeight="1">
      <c r="A76" s="948" t="s">
        <v>28</v>
      </c>
      <c r="B76" s="949">
        <v>29066.795478110002</v>
      </c>
      <c r="C76" s="949">
        <v>496.61938093999999</v>
      </c>
      <c r="D76" s="950">
        <f t="shared" si="4"/>
        <v>1.7085453445117489</v>
      </c>
      <c r="E76" s="951">
        <v>3989.0245798000001</v>
      </c>
      <c r="F76" s="951">
        <v>68.565553949999995</v>
      </c>
      <c r="G76" s="951">
        <v>812.05471679000004</v>
      </c>
      <c r="H76" s="951">
        <v>48.573335200000002</v>
      </c>
      <c r="I76" s="951">
        <v>469.19644771999998</v>
      </c>
      <c r="J76" s="951">
        <v>79.670069359999999</v>
      </c>
      <c r="K76" s="951">
        <v>1272.09141705</v>
      </c>
      <c r="L76" s="951">
        <v>680.08175122</v>
      </c>
      <c r="M76" s="951">
        <v>1517.40410896</v>
      </c>
      <c r="N76" s="951">
        <v>58.738191110000002</v>
      </c>
      <c r="O76" s="951">
        <v>1816.8445370899999</v>
      </c>
      <c r="P76" s="951">
        <v>5.5738570000000003</v>
      </c>
      <c r="Q76" s="951">
        <v>16198.49383687</v>
      </c>
      <c r="R76" s="951">
        <v>618.90514600999995</v>
      </c>
      <c r="S76" s="951">
        <v>17.87270509</v>
      </c>
      <c r="T76" s="951">
        <v>0</v>
      </c>
      <c r="U76" s="951">
        <v>9.5420000000000005E-5</v>
      </c>
      <c r="V76" s="951">
        <v>0</v>
      </c>
      <c r="W76" s="951">
        <v>697.80294452999999</v>
      </c>
      <c r="X76" s="951">
        <v>83.715507059999993</v>
      </c>
      <c r="Y76" s="951">
        <v>47.0600904</v>
      </c>
      <c r="Z76" s="951">
        <v>0</v>
      </c>
      <c r="AA76" s="951">
        <v>0.29117292</v>
      </c>
      <c r="AB76" s="951">
        <v>0</v>
      </c>
      <c r="AC76" s="951">
        <v>39.62866211</v>
      </c>
      <c r="AD76" s="951">
        <v>0.16282424000000001</v>
      </c>
      <c r="AE76" s="951">
        <v>48.424547269999998</v>
      </c>
      <c r="AF76" s="951">
        <v>0</v>
      </c>
      <c r="AG76" s="951">
        <v>791.67167386000006</v>
      </c>
    </row>
    <row r="77" spans="1:33" ht="15" customHeight="1">
      <c r="A77" s="948" t="s">
        <v>29</v>
      </c>
      <c r="B77" s="949">
        <v>29288.227327680001</v>
      </c>
      <c r="C77" s="949">
        <v>449.13973557000003</v>
      </c>
      <c r="D77" s="950">
        <f t="shared" si="4"/>
        <v>1.5335162847002446</v>
      </c>
      <c r="E77" s="951">
        <v>4075.6535540899999</v>
      </c>
      <c r="F77" s="951">
        <v>76.360970609999995</v>
      </c>
      <c r="G77" s="951">
        <v>720.21653545000004</v>
      </c>
      <c r="H77" s="951">
        <v>54.523335199999998</v>
      </c>
      <c r="I77" s="951">
        <v>472.71137390000001</v>
      </c>
      <c r="J77" s="951">
        <v>114.15359438</v>
      </c>
      <c r="K77" s="951">
        <v>1178.31978159</v>
      </c>
      <c r="L77" s="951">
        <v>680.04384472000004</v>
      </c>
      <c r="M77" s="951">
        <v>1534.8844257200001</v>
      </c>
      <c r="N77" s="951">
        <v>62.905991829999998</v>
      </c>
      <c r="O77" s="951">
        <v>1854.0983942099999</v>
      </c>
      <c r="P77" s="951">
        <v>5.8000590000000001</v>
      </c>
      <c r="Q77" s="951">
        <v>16358.48010246</v>
      </c>
      <c r="R77" s="951">
        <v>672.51884525000003</v>
      </c>
      <c r="S77" s="951">
        <v>24.230268639999998</v>
      </c>
      <c r="T77" s="951">
        <v>0</v>
      </c>
      <c r="U77" s="951">
        <v>9.5420000000000005E-5</v>
      </c>
      <c r="V77" s="951">
        <v>0</v>
      </c>
      <c r="W77" s="951">
        <v>700.15226918999997</v>
      </c>
      <c r="X77" s="951">
        <v>90.45586849</v>
      </c>
      <c r="Y77" s="951">
        <v>47.016718359999999</v>
      </c>
      <c r="Z77" s="951">
        <v>0</v>
      </c>
      <c r="AA77" s="951">
        <v>1.62095872</v>
      </c>
      <c r="AB77" s="951">
        <v>0</v>
      </c>
      <c r="AC77" s="951">
        <v>43.1917525</v>
      </c>
      <c r="AD77" s="951">
        <v>0.53264553999999997</v>
      </c>
      <c r="AE77" s="951">
        <v>71.216206839999998</v>
      </c>
      <c r="AF77" s="951">
        <v>0</v>
      </c>
      <c r="AG77" s="951">
        <v>733.33534685999996</v>
      </c>
    </row>
    <row r="78" spans="1:33" ht="15" customHeight="1">
      <c r="A78" s="948" t="s">
        <v>4202</v>
      </c>
      <c r="B78" s="949"/>
      <c r="C78" s="949"/>
      <c r="D78" s="950"/>
      <c r="E78" s="951"/>
      <c r="F78" s="951"/>
      <c r="G78" s="951"/>
      <c r="H78" s="951"/>
      <c r="I78" s="951"/>
      <c r="J78" s="951"/>
      <c r="K78" s="951"/>
      <c r="L78" s="951"/>
      <c r="M78" s="951"/>
      <c r="N78" s="951"/>
      <c r="O78" s="951"/>
      <c r="P78" s="951"/>
      <c r="Q78" s="951"/>
      <c r="R78" s="951"/>
      <c r="S78" s="951"/>
      <c r="T78" s="951"/>
      <c r="U78" s="951"/>
      <c r="V78" s="951"/>
      <c r="W78" s="951"/>
      <c r="X78" s="951"/>
      <c r="Y78" s="951"/>
      <c r="Z78" s="951"/>
      <c r="AA78" s="951"/>
      <c r="AB78" s="951"/>
      <c r="AC78" s="951"/>
      <c r="AD78" s="951"/>
      <c r="AE78" s="951"/>
      <c r="AF78" s="951"/>
      <c r="AG78" s="951"/>
    </row>
    <row r="79" spans="1:33" ht="15" customHeight="1">
      <c r="A79" s="948" t="s">
        <v>18</v>
      </c>
      <c r="B79" s="949">
        <v>29325.25269265</v>
      </c>
      <c r="C79" s="949">
        <v>475.08339328</v>
      </c>
      <c r="D79" s="950">
        <f t="shared" si="4"/>
        <v>1.6200487622705928</v>
      </c>
      <c r="E79" s="951">
        <v>3997.6815154699998</v>
      </c>
      <c r="F79" s="951">
        <v>76.360970609999995</v>
      </c>
      <c r="G79" s="951">
        <v>738.47651888999997</v>
      </c>
      <c r="H79" s="951">
        <v>54.523335199999998</v>
      </c>
      <c r="I79" s="951">
        <v>462.86976142999998</v>
      </c>
      <c r="J79" s="951">
        <v>114.15359438</v>
      </c>
      <c r="K79" s="951">
        <v>1184.3880910400001</v>
      </c>
      <c r="L79" s="951">
        <v>680.04384472000004</v>
      </c>
      <c r="M79" s="951">
        <v>1536.7714749300001</v>
      </c>
      <c r="N79" s="951">
        <v>62.905991829999998</v>
      </c>
      <c r="O79" s="951">
        <v>1837.96866</v>
      </c>
      <c r="P79" s="951">
        <v>5.8000590000000001</v>
      </c>
      <c r="Q79" s="951">
        <v>16475.194869200001</v>
      </c>
      <c r="R79" s="951">
        <v>672.51884525000003</v>
      </c>
      <c r="S79" s="951">
        <v>12.347939309999999</v>
      </c>
      <c r="T79" s="951">
        <v>0</v>
      </c>
      <c r="U79" s="951">
        <v>9.5420000000000005E-5</v>
      </c>
      <c r="V79" s="951">
        <v>0</v>
      </c>
      <c r="W79" s="951">
        <v>707.22227893000002</v>
      </c>
      <c r="X79" s="951">
        <v>90.45586849</v>
      </c>
      <c r="Y79" s="951">
        <v>47.74118361</v>
      </c>
      <c r="Z79" s="951">
        <v>0</v>
      </c>
      <c r="AA79" s="951">
        <v>0.33126862000000001</v>
      </c>
      <c r="AB79" s="951">
        <v>0</v>
      </c>
      <c r="AC79" s="951">
        <v>41.940023619999998</v>
      </c>
      <c r="AD79" s="951">
        <v>0.53264553999999997</v>
      </c>
      <c r="AE79" s="951">
        <v>49.940463880000003</v>
      </c>
      <c r="AF79" s="951">
        <v>0</v>
      </c>
      <c r="AG79" s="951">
        <v>766.57819866</v>
      </c>
    </row>
    <row r="80" spans="1:33" ht="15" customHeight="1">
      <c r="A80" s="948" t="s">
        <v>19</v>
      </c>
      <c r="B80" s="949">
        <v>29402.91989112</v>
      </c>
      <c r="C80" s="949">
        <v>480.14675621999999</v>
      </c>
      <c r="D80" s="950">
        <f t="shared" si="4"/>
        <v>1.6329900499610226</v>
      </c>
      <c r="E80" s="951">
        <v>4055.37194645</v>
      </c>
      <c r="F80" s="951">
        <v>76.360970609999995</v>
      </c>
      <c r="G80" s="951">
        <v>714.06817794000006</v>
      </c>
      <c r="H80" s="951">
        <v>54.523335199999998</v>
      </c>
      <c r="I80" s="951">
        <v>461.07213306</v>
      </c>
      <c r="J80" s="951">
        <v>114.15359438</v>
      </c>
      <c r="K80" s="951">
        <v>1146.2329162000001</v>
      </c>
      <c r="L80" s="951">
        <v>680.04384472000004</v>
      </c>
      <c r="M80" s="951">
        <v>1556.2937602899999</v>
      </c>
      <c r="N80" s="951">
        <v>62.905991829999998</v>
      </c>
      <c r="O80" s="951">
        <v>1852.2721150699999</v>
      </c>
      <c r="P80" s="951">
        <v>5.8000590000000001</v>
      </c>
      <c r="Q80" s="951">
        <v>16511.02818904</v>
      </c>
      <c r="R80" s="951">
        <v>672.51884525000003</v>
      </c>
      <c r="S80" s="951">
        <v>5.4250300600000001</v>
      </c>
      <c r="T80" s="951">
        <v>0</v>
      </c>
      <c r="U80" s="951">
        <v>9.5420000000000005E-5</v>
      </c>
      <c r="V80" s="951">
        <v>0</v>
      </c>
      <c r="W80" s="951">
        <v>725.01346626999998</v>
      </c>
      <c r="X80" s="951">
        <v>90.45586849</v>
      </c>
      <c r="Y80" s="951">
        <v>39.612896220000003</v>
      </c>
      <c r="Z80" s="951">
        <v>0</v>
      </c>
      <c r="AA80" s="951">
        <v>0.12159250000000001</v>
      </c>
      <c r="AB80" s="951">
        <v>0</v>
      </c>
      <c r="AC80" s="951">
        <v>44.865999590000001</v>
      </c>
      <c r="AD80" s="951">
        <v>0.53264553999999997</v>
      </c>
      <c r="AE80" s="951">
        <v>54.099661769999997</v>
      </c>
      <c r="AF80" s="951">
        <v>0</v>
      </c>
      <c r="AG80" s="951">
        <v>930.05913115999999</v>
      </c>
    </row>
    <row r="81" spans="1:33" ht="15" customHeight="1">
      <c r="A81" s="948" t="s">
        <v>20</v>
      </c>
      <c r="B81" s="949">
        <v>29679.37509813</v>
      </c>
      <c r="C81" s="949">
        <v>481.55137305</v>
      </c>
      <c r="D81" s="950">
        <f t="shared" si="4"/>
        <v>1.6225118334123583</v>
      </c>
      <c r="E81" s="951">
        <v>4056.3704750000002</v>
      </c>
      <c r="F81" s="951">
        <v>83.256232269999998</v>
      </c>
      <c r="G81" s="951">
        <v>703.85632669999995</v>
      </c>
      <c r="H81" s="951">
        <v>59.058085200000001</v>
      </c>
      <c r="I81" s="951">
        <v>460.80491302000001</v>
      </c>
      <c r="J81" s="951">
        <v>123.20343515</v>
      </c>
      <c r="K81" s="951">
        <v>1178.5217232299999</v>
      </c>
      <c r="L81" s="951">
        <v>642.45465008999997</v>
      </c>
      <c r="M81" s="951">
        <v>1568.8462233400001</v>
      </c>
      <c r="N81" s="951">
        <v>69.526394370000006</v>
      </c>
      <c r="O81" s="951">
        <v>1887.5358671500001</v>
      </c>
      <c r="P81" s="951">
        <v>7.1319590000000002</v>
      </c>
      <c r="Q81" s="951">
        <v>16670.391700299999</v>
      </c>
      <c r="R81" s="951">
        <v>671.77976703000002</v>
      </c>
      <c r="S81" s="951">
        <v>5.7682950100000001</v>
      </c>
      <c r="T81" s="951">
        <v>0</v>
      </c>
      <c r="U81" s="951">
        <v>9.5420000000000005E-5</v>
      </c>
      <c r="V81" s="951">
        <v>0</v>
      </c>
      <c r="W81" s="951">
        <v>772.12881432999995</v>
      </c>
      <c r="X81" s="951">
        <v>92.682735300000004</v>
      </c>
      <c r="Y81" s="951">
        <v>39.356151580000002</v>
      </c>
      <c r="Z81" s="951">
        <v>0</v>
      </c>
      <c r="AA81" s="951">
        <v>0.12271388</v>
      </c>
      <c r="AB81" s="951">
        <v>0</v>
      </c>
      <c r="AC81" s="951">
        <v>50.640716249999997</v>
      </c>
      <c r="AD81" s="951">
        <v>2.2972698399999998</v>
      </c>
      <c r="AE81" s="951">
        <v>52.089181619999998</v>
      </c>
      <c r="AF81" s="951">
        <v>0</v>
      </c>
      <c r="AG81" s="951">
        <v>973.93948470999999</v>
      </c>
    </row>
    <row r="82" spans="1:33" ht="15" customHeight="1">
      <c r="A82" s="948" t="s">
        <v>21</v>
      </c>
      <c r="B82" s="949">
        <v>29898.773418969999</v>
      </c>
      <c r="C82" s="949">
        <v>502.60593611000002</v>
      </c>
      <c r="D82" s="950">
        <f t="shared" si="4"/>
        <v>1.6810252683847879</v>
      </c>
      <c r="E82" s="951">
        <v>4039.1641089899999</v>
      </c>
      <c r="F82" s="951">
        <v>83.256232269999998</v>
      </c>
      <c r="G82" s="951">
        <v>705.33202921999998</v>
      </c>
      <c r="H82" s="951">
        <v>59.058085200000001</v>
      </c>
      <c r="I82" s="951">
        <v>446.44163591</v>
      </c>
      <c r="J82" s="951">
        <v>123.20343515</v>
      </c>
      <c r="K82" s="951">
        <v>1177.6941086300001</v>
      </c>
      <c r="L82" s="951">
        <v>642.45465008999997</v>
      </c>
      <c r="M82" s="951">
        <v>1554.56446016</v>
      </c>
      <c r="N82" s="951">
        <v>69.526394370000006</v>
      </c>
      <c r="O82" s="951">
        <v>1887.5281951500001</v>
      </c>
      <c r="P82" s="951">
        <v>7.1319590000000002</v>
      </c>
      <c r="Q82" s="951">
        <v>16909.090097849999</v>
      </c>
      <c r="R82" s="951">
        <v>671.77976703000002</v>
      </c>
      <c r="S82" s="951">
        <v>5.2863686400000001</v>
      </c>
      <c r="T82" s="951">
        <v>0</v>
      </c>
      <c r="U82" s="951">
        <v>9.5420000000000005E-5</v>
      </c>
      <c r="V82" s="951">
        <v>0</v>
      </c>
      <c r="W82" s="951">
        <v>771.40549252999995</v>
      </c>
      <c r="X82" s="951">
        <v>92.682735300000004</v>
      </c>
      <c r="Y82" s="951">
        <v>47.433205450000003</v>
      </c>
      <c r="Z82" s="951">
        <v>0</v>
      </c>
      <c r="AA82" s="951">
        <v>0.19683262000000001</v>
      </c>
      <c r="AB82" s="951">
        <v>0</v>
      </c>
      <c r="AC82" s="951">
        <v>53.542759340000003</v>
      </c>
      <c r="AD82" s="951">
        <v>2.2972698399999998</v>
      </c>
      <c r="AE82" s="951">
        <v>47.0975647</v>
      </c>
      <c r="AF82" s="951">
        <v>0</v>
      </c>
      <c r="AG82" s="951">
        <v>1646.0498011300001</v>
      </c>
    </row>
    <row r="83" spans="1:33" ht="15" customHeight="1">
      <c r="A83" s="948" t="s">
        <v>22</v>
      </c>
      <c r="B83" s="949">
        <v>30188.759704479999</v>
      </c>
      <c r="C83" s="949">
        <v>508.31303802999997</v>
      </c>
      <c r="D83" s="950">
        <f t="shared" si="4"/>
        <v>1.6837824508390338</v>
      </c>
      <c r="E83" s="951">
        <v>4101.0017712700001</v>
      </c>
      <c r="F83" s="951">
        <v>83.256232269999998</v>
      </c>
      <c r="G83" s="951">
        <v>699.61285273999999</v>
      </c>
      <c r="H83" s="951">
        <v>59.058085200000001</v>
      </c>
      <c r="I83" s="951">
        <v>440.50616196999999</v>
      </c>
      <c r="J83" s="951">
        <v>123.20343515</v>
      </c>
      <c r="K83" s="951">
        <v>1208.27757167</v>
      </c>
      <c r="L83" s="951">
        <v>642.45465008999997</v>
      </c>
      <c r="M83" s="951">
        <v>1559.6696848900001</v>
      </c>
      <c r="N83" s="951">
        <v>69.526394370000006</v>
      </c>
      <c r="O83" s="951">
        <v>1898.9688741099999</v>
      </c>
      <c r="P83" s="951">
        <v>7.1319590000000002</v>
      </c>
      <c r="Q83" s="951">
        <v>17090.43128705</v>
      </c>
      <c r="R83" s="951">
        <v>671.77976703000002</v>
      </c>
      <c r="S83" s="951">
        <v>5.6016347800000004</v>
      </c>
      <c r="T83" s="951">
        <v>0</v>
      </c>
      <c r="U83" s="951">
        <v>9.5420000000000005E-5</v>
      </c>
      <c r="V83" s="951">
        <v>0</v>
      </c>
      <c r="W83" s="951">
        <v>772.24057459999995</v>
      </c>
      <c r="X83" s="951">
        <v>92.682735300000004</v>
      </c>
      <c r="Y83" s="951">
        <v>54.284820019999998</v>
      </c>
      <c r="Z83" s="951">
        <v>0</v>
      </c>
      <c r="AA83" s="951">
        <v>0.19683262000000001</v>
      </c>
      <c r="AB83" s="951">
        <v>0</v>
      </c>
      <c r="AC83" s="951">
        <v>50.275336879999998</v>
      </c>
      <c r="AD83" s="951">
        <v>2.2972698399999998</v>
      </c>
      <c r="AE83" s="951">
        <v>47.988640179999997</v>
      </c>
      <c r="AF83" s="951">
        <v>0</v>
      </c>
      <c r="AG83" s="951">
        <v>2298.6021646600002</v>
      </c>
    </row>
    <row r="84" spans="1:33" ht="15" customHeight="1">
      <c r="A84" s="948" t="s">
        <v>23</v>
      </c>
      <c r="B84" s="949">
        <v>30231.82861271</v>
      </c>
      <c r="C84" s="949">
        <v>527.42732765000005</v>
      </c>
      <c r="D84" s="950">
        <f t="shared" si="4"/>
        <v>1.7446094128367087</v>
      </c>
      <c r="E84" s="951">
        <v>4113.7405505300003</v>
      </c>
      <c r="F84" s="951">
        <v>94.935194949999996</v>
      </c>
      <c r="G84" s="951">
        <v>688.83862966000004</v>
      </c>
      <c r="H84" s="951">
        <v>59.058085200000001</v>
      </c>
      <c r="I84" s="951">
        <v>444.27826499999998</v>
      </c>
      <c r="J84" s="951">
        <v>121.15850211</v>
      </c>
      <c r="K84" s="951">
        <v>1195.7068877900001</v>
      </c>
      <c r="L84" s="951">
        <v>604.86500036999996</v>
      </c>
      <c r="M84" s="951">
        <v>1585.6387530100001</v>
      </c>
      <c r="N84" s="951">
        <v>68.229019410000006</v>
      </c>
      <c r="O84" s="951">
        <v>1887.4434468100001</v>
      </c>
      <c r="P84" s="951">
        <v>8.5760649900000008</v>
      </c>
      <c r="Q84" s="951">
        <v>17144.292302369999</v>
      </c>
      <c r="R84" s="951">
        <v>657.82371621000004</v>
      </c>
      <c r="S84" s="951">
        <v>7.5661531599999998</v>
      </c>
      <c r="T84" s="951">
        <v>0</v>
      </c>
      <c r="U84" s="951">
        <v>9.5420000000000005E-5</v>
      </c>
      <c r="V84" s="951">
        <v>0</v>
      </c>
      <c r="W84" s="951">
        <v>753.38194367000006</v>
      </c>
      <c r="X84" s="951">
        <v>93.979961470000006</v>
      </c>
      <c r="Y84" s="951">
        <v>62.673551979999999</v>
      </c>
      <c r="Z84" s="951">
        <v>0</v>
      </c>
      <c r="AA84" s="951">
        <v>0.10221012</v>
      </c>
      <c r="AB84" s="951">
        <v>0</v>
      </c>
      <c r="AC84" s="951">
        <v>49.299865349999997</v>
      </c>
      <c r="AD84" s="951">
        <v>3.38703259</v>
      </c>
      <c r="AE84" s="951">
        <v>59.426052890000001</v>
      </c>
      <c r="AF84" s="951">
        <v>0</v>
      </c>
      <c r="AG84" s="951">
        <v>607.28050965</v>
      </c>
    </row>
    <row r="85" spans="1:33" ht="15" customHeight="1">
      <c r="A85" s="948" t="s">
        <v>24</v>
      </c>
      <c r="B85" s="949">
        <v>30257.866734399999</v>
      </c>
      <c r="C85" s="949">
        <v>529.38554863000002</v>
      </c>
      <c r="D85" s="950">
        <f t="shared" si="4"/>
        <v>1.7495798804221203</v>
      </c>
      <c r="E85" s="951">
        <v>4110.8614670099996</v>
      </c>
      <c r="F85" s="951">
        <v>94.935194949999996</v>
      </c>
      <c r="G85" s="951">
        <v>678.91540595000004</v>
      </c>
      <c r="H85" s="951">
        <v>59.058085200000001</v>
      </c>
      <c r="I85" s="951">
        <v>444.90504937999998</v>
      </c>
      <c r="J85" s="951">
        <v>121.15850211</v>
      </c>
      <c r="K85" s="951">
        <v>1182.3716164800001</v>
      </c>
      <c r="L85" s="951">
        <v>604.86500036999996</v>
      </c>
      <c r="M85" s="951">
        <v>1529.9040091700001</v>
      </c>
      <c r="N85" s="951">
        <v>68.229019410000006</v>
      </c>
      <c r="O85" s="951">
        <v>1893.5308953900001</v>
      </c>
      <c r="P85" s="951">
        <v>8.5760649900000008</v>
      </c>
      <c r="Q85" s="951">
        <v>17314.49367304</v>
      </c>
      <c r="R85" s="951">
        <v>657.82371621000004</v>
      </c>
      <c r="S85" s="951">
        <v>8.5499921299999997</v>
      </c>
      <c r="T85" s="951">
        <v>0</v>
      </c>
      <c r="U85" s="951">
        <v>9.5420000000000005E-5</v>
      </c>
      <c r="V85" s="951">
        <v>0</v>
      </c>
      <c r="W85" s="951">
        <v>681.96910395999998</v>
      </c>
      <c r="X85" s="951">
        <v>93.979961470000006</v>
      </c>
      <c r="Y85" s="951">
        <v>69.85192447</v>
      </c>
      <c r="Z85" s="951">
        <v>0</v>
      </c>
      <c r="AA85" s="951">
        <v>0.5</v>
      </c>
      <c r="AB85" s="951">
        <v>0</v>
      </c>
      <c r="AC85" s="951">
        <v>44.594862910000003</v>
      </c>
      <c r="AD85" s="951">
        <v>3.38703259</v>
      </c>
      <c r="AE85" s="951">
        <v>56.02051316</v>
      </c>
      <c r="AF85" s="951">
        <v>0</v>
      </c>
      <c r="AG85" s="951">
        <v>589.04645960000005</v>
      </c>
    </row>
    <row r="86" spans="1:33" ht="15" customHeight="1">
      <c r="A86" s="948" t="s">
        <v>25</v>
      </c>
      <c r="B86" s="949">
        <v>30464.592508099999</v>
      </c>
      <c r="C86" s="949">
        <v>530.93098662</v>
      </c>
      <c r="D86" s="950">
        <f t="shared" si="4"/>
        <v>1.7427805294911947</v>
      </c>
      <c r="E86" s="951">
        <v>4099.8365288799996</v>
      </c>
      <c r="F86" s="951">
        <v>94.935194949999996</v>
      </c>
      <c r="G86" s="951">
        <v>661.67324427000005</v>
      </c>
      <c r="H86" s="951">
        <v>59.058085200000001</v>
      </c>
      <c r="I86" s="951">
        <v>453.74296149000003</v>
      </c>
      <c r="J86" s="951">
        <v>121.15850211</v>
      </c>
      <c r="K86" s="951">
        <v>1209.7184119000001</v>
      </c>
      <c r="L86" s="951">
        <v>604.86500036999996</v>
      </c>
      <c r="M86" s="951">
        <v>1540.3946143000001</v>
      </c>
      <c r="N86" s="951">
        <v>68.229019410000006</v>
      </c>
      <c r="O86" s="951">
        <v>1913.97823408</v>
      </c>
      <c r="P86" s="951">
        <v>8.5760649900000008</v>
      </c>
      <c r="Q86" s="951">
        <v>17544.02604737</v>
      </c>
      <c r="R86" s="951">
        <v>657.82371621000004</v>
      </c>
      <c r="S86" s="951">
        <v>5.7548314899999999</v>
      </c>
      <c r="T86" s="951">
        <v>0</v>
      </c>
      <c r="U86" s="951">
        <v>9.5420000000000005E-5</v>
      </c>
      <c r="V86" s="951">
        <v>0</v>
      </c>
      <c r="W86" s="951">
        <v>607.72867747999999</v>
      </c>
      <c r="X86" s="951">
        <v>93.979961470000006</v>
      </c>
      <c r="Y86" s="951">
        <v>78.288976880000007</v>
      </c>
      <c r="Z86" s="951">
        <v>0</v>
      </c>
      <c r="AA86" s="951">
        <v>3.5045435199999999</v>
      </c>
      <c r="AB86" s="951">
        <v>0</v>
      </c>
      <c r="AC86" s="951">
        <v>44.447536499999998</v>
      </c>
      <c r="AD86" s="951">
        <v>3.38703259</v>
      </c>
      <c r="AE86" s="951">
        <v>58.5542406</v>
      </c>
      <c r="AF86" s="951">
        <v>0</v>
      </c>
      <c r="AG86" s="951">
        <v>591.13752927999997</v>
      </c>
    </row>
    <row r="87" spans="1:33" ht="15" customHeight="1">
      <c r="A87" s="948" t="s">
        <v>26</v>
      </c>
      <c r="B87" s="949">
        <v>31041.837153820001</v>
      </c>
      <c r="C87" s="949">
        <v>528.11218530999997</v>
      </c>
      <c r="D87" s="950">
        <f t="shared" si="4"/>
        <v>1.7012916558162234</v>
      </c>
      <c r="E87" s="951">
        <v>4187.6770302499999</v>
      </c>
      <c r="F87" s="951">
        <v>93.012676240000005</v>
      </c>
      <c r="G87" s="951">
        <v>650.83612316000006</v>
      </c>
      <c r="H87" s="951">
        <v>59.058085200000001</v>
      </c>
      <c r="I87" s="951">
        <v>444.43966159000001</v>
      </c>
      <c r="J87" s="951">
        <v>118.97394279</v>
      </c>
      <c r="K87" s="951">
        <v>1252.5112484700001</v>
      </c>
      <c r="L87" s="951">
        <v>567.27486112999998</v>
      </c>
      <c r="M87" s="951">
        <v>1611.8722428000001</v>
      </c>
      <c r="N87" s="951">
        <v>62.34511938</v>
      </c>
      <c r="O87" s="951">
        <v>2086.8423763300002</v>
      </c>
      <c r="P87" s="951">
        <v>8.35524457</v>
      </c>
      <c r="Q87" s="951">
        <v>17754.82921236</v>
      </c>
      <c r="R87" s="951">
        <v>714.74157393999997</v>
      </c>
      <c r="S87" s="951">
        <v>6.8712466499999998</v>
      </c>
      <c r="T87" s="951">
        <v>0</v>
      </c>
      <c r="U87" s="951">
        <v>9.5420000000000005E-5</v>
      </c>
      <c r="V87" s="951">
        <v>0</v>
      </c>
      <c r="W87" s="951">
        <v>590.86472958000002</v>
      </c>
      <c r="X87" s="951">
        <v>93.959521670000001</v>
      </c>
      <c r="Y87" s="951">
        <v>90.363238670000001</v>
      </c>
      <c r="Z87" s="951">
        <v>0</v>
      </c>
      <c r="AA87" s="951">
        <v>6.2282285699999997</v>
      </c>
      <c r="AB87" s="951">
        <v>0</v>
      </c>
      <c r="AC87" s="951">
        <v>48.395436410000002</v>
      </c>
      <c r="AD87" s="951">
        <v>5.2953488399999999</v>
      </c>
      <c r="AE87" s="951">
        <v>58.97772449</v>
      </c>
      <c r="AF87" s="951">
        <v>0</v>
      </c>
      <c r="AG87" s="951">
        <v>601.24498089999997</v>
      </c>
    </row>
    <row r="88" spans="1:33" ht="15" customHeight="1">
      <c r="A88" s="948" t="s">
        <v>27</v>
      </c>
      <c r="B88" s="949">
        <v>31169.389489249999</v>
      </c>
      <c r="C88" s="949">
        <v>544.82034839000005</v>
      </c>
      <c r="D88" s="950">
        <f t="shared" si="4"/>
        <v>1.7479339740610027</v>
      </c>
      <c r="E88" s="951">
        <v>4129.8100435099996</v>
      </c>
      <c r="F88" s="951">
        <v>93.012676240000005</v>
      </c>
      <c r="G88" s="951">
        <v>635.74964053999997</v>
      </c>
      <c r="H88" s="951">
        <v>59.058085200000001</v>
      </c>
      <c r="I88" s="951">
        <v>452.42310650000002</v>
      </c>
      <c r="J88" s="951">
        <v>118.97394279</v>
      </c>
      <c r="K88" s="951">
        <v>1264.7706859699999</v>
      </c>
      <c r="L88" s="951">
        <v>567.27486112999998</v>
      </c>
      <c r="M88" s="951">
        <v>1631.2269263799999</v>
      </c>
      <c r="N88" s="951">
        <v>62.34511938</v>
      </c>
      <c r="O88" s="951">
        <v>2115.7531149900001</v>
      </c>
      <c r="P88" s="951">
        <v>8.35524457</v>
      </c>
      <c r="Q88" s="951">
        <v>17868.918509020001</v>
      </c>
      <c r="R88" s="951">
        <v>714.74157393999997</v>
      </c>
      <c r="S88" s="951">
        <v>6.3581506299999999</v>
      </c>
      <c r="T88" s="951">
        <v>0</v>
      </c>
      <c r="U88" s="951">
        <v>9.5420000000000005E-5</v>
      </c>
      <c r="V88" s="951">
        <v>0</v>
      </c>
      <c r="W88" s="951">
        <v>584.47404018999998</v>
      </c>
      <c r="X88" s="951">
        <v>93.959521670000001</v>
      </c>
      <c r="Y88" s="951">
        <v>96.117957770000004</v>
      </c>
      <c r="Z88" s="951">
        <v>0</v>
      </c>
      <c r="AA88" s="951">
        <v>5.9928895400000002</v>
      </c>
      <c r="AB88" s="951">
        <v>0</v>
      </c>
      <c r="AC88" s="951">
        <v>44.401951259999997</v>
      </c>
      <c r="AD88" s="951">
        <v>5.2953488399999999</v>
      </c>
      <c r="AE88" s="951">
        <v>65.555655380000005</v>
      </c>
      <c r="AF88" s="951">
        <v>0</v>
      </c>
      <c r="AG88" s="951">
        <v>610.23830292000002</v>
      </c>
    </row>
    <row r="89" spans="1:33" ht="15" customHeight="1">
      <c r="A89" s="948" t="s">
        <v>28</v>
      </c>
      <c r="B89" s="949">
        <v>31451.061556090001</v>
      </c>
      <c r="C89" s="949">
        <v>557.58692733999999</v>
      </c>
      <c r="D89" s="950">
        <f t="shared" si="4"/>
        <v>1.772871565386104</v>
      </c>
      <c r="E89" s="951">
        <v>4201.4832124300001</v>
      </c>
      <c r="F89" s="951">
        <v>93.012676240000005</v>
      </c>
      <c r="G89" s="951">
        <v>645.70598751</v>
      </c>
      <c r="H89" s="951">
        <v>59.058085200000001</v>
      </c>
      <c r="I89" s="951">
        <v>476.95920856999999</v>
      </c>
      <c r="J89" s="951">
        <v>118.97394279</v>
      </c>
      <c r="K89" s="951">
        <v>1293.85971821</v>
      </c>
      <c r="L89" s="951">
        <v>567.27486112999998</v>
      </c>
      <c r="M89" s="951">
        <v>1617.00916861</v>
      </c>
      <c r="N89" s="951">
        <v>62.34511938</v>
      </c>
      <c r="O89" s="951">
        <v>2135.0868329499999</v>
      </c>
      <c r="P89" s="951">
        <v>8.35524457</v>
      </c>
      <c r="Q89" s="951">
        <v>18003.523431310001</v>
      </c>
      <c r="R89" s="951">
        <v>714.74157393999997</v>
      </c>
      <c r="S89" s="951">
        <v>15.4824096</v>
      </c>
      <c r="T89" s="951">
        <v>0</v>
      </c>
      <c r="U89" s="951">
        <v>9.5420000000000005E-5</v>
      </c>
      <c r="V89" s="951">
        <v>0</v>
      </c>
      <c r="W89" s="951">
        <v>571.97074994000002</v>
      </c>
      <c r="X89" s="951">
        <v>93.959521670000001</v>
      </c>
      <c r="Y89" s="951">
        <v>91.940385109999994</v>
      </c>
      <c r="Z89" s="951">
        <v>0</v>
      </c>
      <c r="AA89" s="951">
        <v>6.1118081399999999</v>
      </c>
      <c r="AB89" s="951">
        <v>0</v>
      </c>
      <c r="AC89" s="951">
        <v>54.722729600000001</v>
      </c>
      <c r="AD89" s="951">
        <v>5.2953488399999999</v>
      </c>
      <c r="AE89" s="951">
        <v>56.602517589999998</v>
      </c>
      <c r="AF89" s="951">
        <v>0</v>
      </c>
      <c r="AG89" s="951">
        <v>672.16589081999996</v>
      </c>
    </row>
    <row r="90" spans="1:33" ht="15" customHeight="1">
      <c r="A90" s="948" t="s">
        <v>29</v>
      </c>
      <c r="B90" s="949">
        <v>31946.74079942</v>
      </c>
      <c r="C90" s="949">
        <v>524.52293808000002</v>
      </c>
      <c r="D90" s="950">
        <f t="shared" si="4"/>
        <v>1.641866822575913</v>
      </c>
      <c r="E90" s="951">
        <v>4327.0039887100002</v>
      </c>
      <c r="F90" s="951">
        <v>86.269075490000006</v>
      </c>
      <c r="G90" s="951">
        <v>625.05204199000002</v>
      </c>
      <c r="H90" s="951">
        <v>59.058085200000001</v>
      </c>
      <c r="I90" s="951">
        <v>476.58364619000002</v>
      </c>
      <c r="J90" s="951">
        <v>116.63223214</v>
      </c>
      <c r="K90" s="951">
        <v>1335.36793111</v>
      </c>
      <c r="L90" s="951">
        <v>530.67926460000001</v>
      </c>
      <c r="M90" s="951">
        <v>1644.4910124600001</v>
      </c>
      <c r="N90" s="951">
        <v>47.449349210000001</v>
      </c>
      <c r="O90" s="951">
        <v>2190.1681448700001</v>
      </c>
      <c r="P90" s="951">
        <v>8.3589909200000001</v>
      </c>
      <c r="Q90" s="951">
        <v>18168.23604679</v>
      </c>
      <c r="R90" s="951">
        <v>884.66321010000001</v>
      </c>
      <c r="S90" s="951">
        <v>14.216179370000001</v>
      </c>
      <c r="T90" s="951">
        <v>0</v>
      </c>
      <c r="U90" s="951">
        <v>9.5420000000000005E-5</v>
      </c>
      <c r="V90" s="951">
        <v>0</v>
      </c>
      <c r="W90" s="951">
        <v>567.07005471000002</v>
      </c>
      <c r="X90" s="951">
        <v>95.997173880000005</v>
      </c>
      <c r="Y90" s="951">
        <v>89.609745989999993</v>
      </c>
      <c r="Z90" s="951">
        <v>0</v>
      </c>
      <c r="AA90" s="951">
        <v>5.9280062600000001</v>
      </c>
      <c r="AB90" s="951">
        <v>0</v>
      </c>
      <c r="AC90" s="951">
        <v>54.240115060000001</v>
      </c>
      <c r="AD90" s="951">
        <v>6.2560141800000002</v>
      </c>
      <c r="AE90" s="951">
        <v>88.887456689999993</v>
      </c>
      <c r="AF90" s="951">
        <v>0</v>
      </c>
      <c r="AG90" s="951">
        <v>615.56654698</v>
      </c>
    </row>
    <row r="91" spans="1:33" ht="15" customHeight="1">
      <c r="A91" s="948" t="s">
        <v>4465</v>
      </c>
      <c r="B91" s="949"/>
      <c r="C91" s="949"/>
      <c r="D91" s="950"/>
      <c r="E91" s="951"/>
      <c r="F91" s="951"/>
      <c r="G91" s="951"/>
      <c r="H91" s="951"/>
      <c r="I91" s="951"/>
      <c r="J91" s="951"/>
      <c r="K91" s="951"/>
      <c r="L91" s="951"/>
      <c r="M91" s="951"/>
      <c r="N91" s="951"/>
      <c r="O91" s="951"/>
      <c r="P91" s="951"/>
      <c r="Q91" s="951"/>
      <c r="R91" s="951"/>
      <c r="S91" s="951"/>
      <c r="T91" s="951"/>
      <c r="U91" s="951"/>
      <c r="V91" s="951"/>
      <c r="W91" s="951"/>
      <c r="X91" s="951"/>
      <c r="Y91" s="951"/>
      <c r="Z91" s="951"/>
      <c r="AA91" s="951"/>
      <c r="AB91" s="951"/>
      <c r="AC91" s="951"/>
      <c r="AD91" s="951"/>
      <c r="AE91" s="951"/>
      <c r="AF91" s="951"/>
      <c r="AG91" s="951"/>
    </row>
    <row r="92" spans="1:33" ht="15" customHeight="1">
      <c r="A92" s="948" t="s">
        <v>18</v>
      </c>
      <c r="B92" s="949">
        <v>31863.744891769999</v>
      </c>
      <c r="C92" s="949">
        <v>557.48455834000004</v>
      </c>
      <c r="D92" s="950">
        <f t="shared" si="4"/>
        <v>1.749588945786442</v>
      </c>
      <c r="E92" s="951">
        <v>4248.24325202</v>
      </c>
      <c r="F92" s="951">
        <v>86.269075490000006</v>
      </c>
      <c r="G92" s="951">
        <v>607.13679348000005</v>
      </c>
      <c r="H92" s="951">
        <v>59.058085200000001</v>
      </c>
      <c r="I92" s="951">
        <v>452.62556021</v>
      </c>
      <c r="J92" s="951">
        <v>116.63223214</v>
      </c>
      <c r="K92" s="951">
        <v>1324.04495668</v>
      </c>
      <c r="L92" s="951">
        <v>530.67926460000001</v>
      </c>
      <c r="M92" s="951">
        <v>1635.9947434600001</v>
      </c>
      <c r="N92" s="951">
        <v>47.449349210000001</v>
      </c>
      <c r="O92" s="951">
        <v>2163.6068804900001</v>
      </c>
      <c r="P92" s="951">
        <v>8.3589909200000001</v>
      </c>
      <c r="Q92" s="951">
        <v>18230.38989129</v>
      </c>
      <c r="R92" s="951">
        <v>884.66321010000001</v>
      </c>
      <c r="S92" s="951">
        <v>18.067732299999999</v>
      </c>
      <c r="T92" s="951">
        <v>0</v>
      </c>
      <c r="U92" s="951">
        <v>9.5420000000000005E-5</v>
      </c>
      <c r="V92" s="951">
        <v>0</v>
      </c>
      <c r="W92" s="951">
        <v>569.62477524999997</v>
      </c>
      <c r="X92" s="951">
        <v>95.997173880000005</v>
      </c>
      <c r="Y92" s="951">
        <v>102.73218455</v>
      </c>
      <c r="Z92" s="951">
        <v>0</v>
      </c>
      <c r="AA92" s="951">
        <v>4.6375770100000002</v>
      </c>
      <c r="AB92" s="951">
        <v>0</v>
      </c>
      <c r="AC92" s="951">
        <v>45.960895209999997</v>
      </c>
      <c r="AD92" s="951">
        <v>6.2560141800000002</v>
      </c>
      <c r="AE92" s="951">
        <v>67.831600339999994</v>
      </c>
      <c r="AF92" s="951">
        <v>0</v>
      </c>
      <c r="AG92" s="951">
        <v>741.08333875000005</v>
      </c>
    </row>
    <row r="93" spans="1:33" ht="15" customHeight="1">
      <c r="A93" s="948" t="s">
        <v>19</v>
      </c>
      <c r="B93" s="949">
        <v>32002.54824611</v>
      </c>
      <c r="C93" s="949">
        <v>561.97294440999997</v>
      </c>
      <c r="D93" s="950">
        <f t="shared" si="4"/>
        <v>1.7560256142362329</v>
      </c>
      <c r="E93" s="951">
        <v>4311.6268431899998</v>
      </c>
      <c r="F93" s="951">
        <v>86.269075490000006</v>
      </c>
      <c r="G93" s="951">
        <v>588.40063922000002</v>
      </c>
      <c r="H93" s="951">
        <v>59.058085200000001</v>
      </c>
      <c r="I93" s="951">
        <v>452.04224264999999</v>
      </c>
      <c r="J93" s="951">
        <v>116.63223214</v>
      </c>
      <c r="K93" s="951">
        <v>1346.7163446300001</v>
      </c>
      <c r="L93" s="951">
        <v>530.67926460000001</v>
      </c>
      <c r="M93" s="951">
        <v>1650.8493081500001</v>
      </c>
      <c r="N93" s="951">
        <v>47.449349210000001</v>
      </c>
      <c r="O93" s="951">
        <v>2155.12681075</v>
      </c>
      <c r="P93" s="951">
        <v>8.3589909200000001</v>
      </c>
      <c r="Q93" s="951">
        <v>18312.258963550001</v>
      </c>
      <c r="R93" s="951">
        <v>884.66321010000001</v>
      </c>
      <c r="S93" s="951">
        <v>16.542891130000001</v>
      </c>
      <c r="T93" s="951">
        <v>0</v>
      </c>
      <c r="U93" s="951">
        <v>9.5420000000000005E-5</v>
      </c>
      <c r="V93" s="951">
        <v>0</v>
      </c>
      <c r="W93" s="951">
        <v>564.89755863000005</v>
      </c>
      <c r="X93" s="951">
        <v>95.997173880000005</v>
      </c>
      <c r="Y93" s="951">
        <v>92.453832180000006</v>
      </c>
      <c r="Z93" s="951">
        <v>0</v>
      </c>
      <c r="AA93" s="951">
        <v>3.9709453300000002</v>
      </c>
      <c r="AB93" s="951">
        <v>0</v>
      </c>
      <c r="AC93" s="951">
        <v>39.932194240000001</v>
      </c>
      <c r="AD93" s="951">
        <v>6.2560141800000002</v>
      </c>
      <c r="AE93" s="951">
        <v>70.393236909999999</v>
      </c>
      <c r="AF93" s="951">
        <v>0</v>
      </c>
      <c r="AG93" s="951">
        <v>790.50926952999998</v>
      </c>
    </row>
    <row r="94" spans="1:33" ht="15" customHeight="1">
      <c r="A94" s="948" t="s">
        <v>20</v>
      </c>
      <c r="B94" s="949">
        <v>32312.94759874</v>
      </c>
      <c r="C94" s="949">
        <v>619.58458363</v>
      </c>
      <c r="D94" s="950">
        <f t="shared" si="4"/>
        <v>1.917449906842172</v>
      </c>
      <c r="E94" s="951">
        <v>4331.1840415099996</v>
      </c>
      <c r="F94" s="951">
        <v>81.923334460000007</v>
      </c>
      <c r="G94" s="951">
        <v>580.77914884999996</v>
      </c>
      <c r="H94" s="951">
        <v>43.411280750000003</v>
      </c>
      <c r="I94" s="951">
        <v>458.40088724999998</v>
      </c>
      <c r="J94" s="951">
        <v>115.99545646999999</v>
      </c>
      <c r="K94" s="951">
        <v>1377.8871353100001</v>
      </c>
      <c r="L94" s="951">
        <v>491.25526316999998</v>
      </c>
      <c r="M94" s="951">
        <v>1653.68874514</v>
      </c>
      <c r="N94" s="951">
        <v>37.27095602</v>
      </c>
      <c r="O94" s="951">
        <v>2257.0127899899999</v>
      </c>
      <c r="P94" s="951">
        <v>3.68137633</v>
      </c>
      <c r="Q94" s="951">
        <v>18305.558886139999</v>
      </c>
      <c r="R94" s="951">
        <v>1055.9996226799999</v>
      </c>
      <c r="S94" s="951">
        <v>16.160346820000001</v>
      </c>
      <c r="T94" s="951">
        <v>0</v>
      </c>
      <c r="U94" s="951">
        <v>9.5420000000000005E-5</v>
      </c>
      <c r="V94" s="951">
        <v>0</v>
      </c>
      <c r="W94" s="951">
        <v>568.48749902999998</v>
      </c>
      <c r="X94" s="951">
        <v>90.482393470000005</v>
      </c>
      <c r="Y94" s="951">
        <v>99.953566629999997</v>
      </c>
      <c r="Z94" s="951">
        <v>0</v>
      </c>
      <c r="AA94" s="951">
        <v>6.2960094499999997</v>
      </c>
      <c r="AB94" s="951">
        <v>0</v>
      </c>
      <c r="AC94" s="951">
        <v>42.452667099999999</v>
      </c>
      <c r="AD94" s="951">
        <v>6.6452006299999997</v>
      </c>
      <c r="AE94" s="951">
        <v>68.836312489999997</v>
      </c>
      <c r="AF94" s="951">
        <v>0</v>
      </c>
      <c r="AG94" s="951">
        <v>676.59709434000001</v>
      </c>
    </row>
    <row r="95" spans="1:33" ht="15" customHeight="1">
      <c r="A95" s="948" t="s">
        <v>21</v>
      </c>
      <c r="B95" s="949">
        <v>32631.814251600001</v>
      </c>
      <c r="C95" s="949">
        <v>614.23724689999995</v>
      </c>
      <c r="D95" s="950">
        <v>1.8823263768421417</v>
      </c>
      <c r="E95" s="951">
        <v>4362.4575866300002</v>
      </c>
      <c r="F95" s="951">
        <v>81.923334460000007</v>
      </c>
      <c r="G95" s="951">
        <v>572.71033657999999</v>
      </c>
      <c r="H95" s="951">
        <v>43.411280750000003</v>
      </c>
      <c r="I95" s="951">
        <v>420.37002429</v>
      </c>
      <c r="J95" s="951">
        <v>115.99545646999999</v>
      </c>
      <c r="K95" s="951">
        <v>1340.9949598200001</v>
      </c>
      <c r="L95" s="951">
        <v>491.25526316999998</v>
      </c>
      <c r="M95" s="951">
        <v>1668.85235051</v>
      </c>
      <c r="N95" s="951">
        <v>37.27095602</v>
      </c>
      <c r="O95" s="951">
        <v>2306.8450282700001</v>
      </c>
      <c r="P95" s="951">
        <v>3.68137633</v>
      </c>
      <c r="Q95" s="951">
        <v>18626.880520989998</v>
      </c>
      <c r="R95" s="951">
        <v>1055.9996226799999</v>
      </c>
      <c r="S95" s="951">
        <v>14.14348107</v>
      </c>
      <c r="T95" s="951">
        <v>0</v>
      </c>
      <c r="U95" s="951">
        <v>9.5420000000000005E-5</v>
      </c>
      <c r="V95" s="951">
        <v>0</v>
      </c>
      <c r="W95" s="951">
        <v>559.46890723000001</v>
      </c>
      <c r="X95" s="951">
        <v>90.482393470000005</v>
      </c>
      <c r="Y95" s="951">
        <v>98.047020700000004</v>
      </c>
      <c r="Z95" s="951">
        <v>0</v>
      </c>
      <c r="AA95" s="951">
        <v>5.9305872500000003</v>
      </c>
      <c r="AB95" s="951">
        <v>0</v>
      </c>
      <c r="AC95" s="951">
        <v>43.756245110000002</v>
      </c>
      <c r="AD95" s="951">
        <v>6.6452006299999997</v>
      </c>
      <c r="AE95" s="951">
        <v>70.454976849999994</v>
      </c>
      <c r="AF95" s="951">
        <v>0</v>
      </c>
      <c r="AG95" s="951">
        <v>802.17589667000004</v>
      </c>
    </row>
    <row r="96" spans="1:33" ht="15" customHeight="1">
      <c r="A96" s="948" t="s">
        <v>22</v>
      </c>
      <c r="B96" s="949">
        <v>32908.42435478</v>
      </c>
      <c r="C96" s="949">
        <v>635.41308357000003</v>
      </c>
      <c r="D96" s="950">
        <v>1.9308523456477953</v>
      </c>
      <c r="E96" s="951">
        <v>4514.4831962799999</v>
      </c>
      <c r="F96" s="951">
        <v>81.923334460000007</v>
      </c>
      <c r="G96" s="951">
        <v>571.8440726</v>
      </c>
      <c r="H96" s="951">
        <v>43.411280750000003</v>
      </c>
      <c r="I96" s="951">
        <v>404.16872984000003</v>
      </c>
      <c r="J96" s="951">
        <v>115.99545646999999</v>
      </c>
      <c r="K96" s="951">
        <v>1348.5111581900001</v>
      </c>
      <c r="L96" s="951">
        <v>491.25526316999998</v>
      </c>
      <c r="M96" s="951">
        <v>1656.29733235</v>
      </c>
      <c r="N96" s="951">
        <v>37.27095602</v>
      </c>
      <c r="O96" s="951">
        <v>2288.9581769000001</v>
      </c>
      <c r="P96" s="951">
        <v>3.68137633</v>
      </c>
      <c r="Q96" s="951">
        <v>18869.016546170002</v>
      </c>
      <c r="R96" s="951">
        <v>1055.9996226799999</v>
      </c>
      <c r="S96" s="951">
        <v>10.71494405</v>
      </c>
      <c r="T96" s="951">
        <v>0</v>
      </c>
      <c r="U96" s="951">
        <v>0</v>
      </c>
      <c r="V96" s="951">
        <v>0</v>
      </c>
      <c r="W96" s="951">
        <v>469.80177596999999</v>
      </c>
      <c r="X96" s="951">
        <v>90.482393470000005</v>
      </c>
      <c r="Y96" s="951">
        <v>90.696171390000003</v>
      </c>
      <c r="Z96" s="951">
        <v>0</v>
      </c>
      <c r="AA96" s="951">
        <v>5.6074031399999997</v>
      </c>
      <c r="AB96" s="951">
        <v>0</v>
      </c>
      <c r="AC96" s="951">
        <v>48.288167710000003</v>
      </c>
      <c r="AD96" s="951">
        <v>6.6452006299999997</v>
      </c>
      <c r="AE96" s="951">
        <v>67.958712640000002</v>
      </c>
      <c r="AF96" s="951">
        <v>0</v>
      </c>
      <c r="AG96" s="951">
        <v>788.53634268999997</v>
      </c>
    </row>
    <row r="97" spans="1:84">
      <c r="A97" s="955" t="s">
        <v>23</v>
      </c>
      <c r="B97" s="956">
        <v>33881.094989997997</v>
      </c>
      <c r="C97" s="956">
        <v>719.27659745799997</v>
      </c>
      <c r="D97" s="957">
        <f t="shared" ref="D97" si="5">C97/B97*100</f>
        <v>2.1229437763754002</v>
      </c>
      <c r="E97" s="958">
        <v>4530.0422439100003</v>
      </c>
      <c r="F97" s="958">
        <v>69.445738000000006</v>
      </c>
      <c r="G97" s="958">
        <v>545.30432392</v>
      </c>
      <c r="H97" s="958">
        <v>21.674410949999999</v>
      </c>
      <c r="I97" s="958">
        <v>391.76030579000002</v>
      </c>
      <c r="J97" s="958">
        <v>118.76349134</v>
      </c>
      <c r="K97" s="958">
        <v>1949.0546017900001</v>
      </c>
      <c r="L97" s="958">
        <v>454.75681907000001</v>
      </c>
      <c r="M97" s="958">
        <v>1632.21831804</v>
      </c>
      <c r="N97" s="958">
        <v>31.079174380000001</v>
      </c>
      <c r="O97" s="958">
        <v>2483.66541379</v>
      </c>
      <c r="P97" s="958">
        <v>5.6040956299999998</v>
      </c>
      <c r="Q97" s="958">
        <v>19067.867795310001</v>
      </c>
      <c r="R97" s="958">
        <v>1093.4597978899999</v>
      </c>
      <c r="S97" s="958">
        <v>10.844782670000001</v>
      </c>
      <c r="T97" s="958">
        <v>0</v>
      </c>
      <c r="U97" s="958">
        <v>0</v>
      </c>
      <c r="V97" s="958">
        <v>0</v>
      </c>
      <c r="W97" s="958">
        <v>450.23091146000002</v>
      </c>
      <c r="X97" s="958">
        <v>78.210183420000007</v>
      </c>
      <c r="Y97" s="958">
        <v>90.050287870000005</v>
      </c>
      <c r="Z97" s="958">
        <v>0</v>
      </c>
      <c r="AA97" s="958">
        <v>1.6686106999999999</v>
      </c>
      <c r="AB97" s="958">
        <v>0</v>
      </c>
      <c r="AC97" s="958">
        <v>53.269308930000001</v>
      </c>
      <c r="AD97" s="958">
        <v>6.4913230000000004</v>
      </c>
      <c r="AE97" s="958">
        <v>76.356454679999999</v>
      </c>
      <c r="AF97" s="958">
        <v>0</v>
      </c>
      <c r="AG97" s="958">
        <v>696.05025173000001</v>
      </c>
    </row>
    <row r="98" spans="1:84" s="959" customFormat="1" ht="18" customHeight="1">
      <c r="A98" s="2290" t="s">
        <v>2978</v>
      </c>
      <c r="B98" s="2290"/>
      <c r="C98" s="2290"/>
      <c r="D98" s="2290"/>
      <c r="E98" s="2290"/>
      <c r="F98" s="2290"/>
      <c r="G98" s="2290"/>
      <c r="H98" s="2290"/>
      <c r="I98" s="2290"/>
      <c r="J98" s="2290"/>
      <c r="K98" s="2290"/>
      <c r="L98" s="2290"/>
      <c r="M98" s="2290"/>
      <c r="N98" s="2290"/>
      <c r="O98" s="2290"/>
      <c r="P98" s="2290"/>
      <c r="Q98" s="2290"/>
      <c r="R98" s="2290"/>
      <c r="S98" s="2290"/>
      <c r="T98" s="2290"/>
      <c r="U98" s="2290"/>
      <c r="V98" s="2290"/>
      <c r="W98" s="2290"/>
      <c r="X98" s="2290"/>
      <c r="Y98" s="2290"/>
      <c r="Z98" s="2290"/>
      <c r="AA98" s="2290"/>
      <c r="AB98" s="2290"/>
      <c r="AC98" s="2290"/>
      <c r="AD98" s="2290"/>
      <c r="AE98" s="2290"/>
      <c r="AF98" s="2290"/>
      <c r="AG98" s="2290"/>
    </row>
    <row r="99" spans="1:84" s="959" customFormat="1" ht="18" customHeight="1">
      <c r="A99" s="2291" t="s">
        <v>2979</v>
      </c>
      <c r="B99" s="2291"/>
      <c r="C99" s="2291"/>
      <c r="D99" s="2291"/>
      <c r="E99" s="2291"/>
      <c r="F99" s="2291"/>
      <c r="G99" s="2291"/>
      <c r="H99" s="2291"/>
      <c r="I99" s="2291"/>
      <c r="J99" s="2291"/>
      <c r="K99" s="2291"/>
      <c r="L99" s="2291"/>
      <c r="M99" s="2291"/>
      <c r="N99" s="2291"/>
      <c r="O99" s="2291"/>
      <c r="P99" s="2291"/>
      <c r="Q99" s="2291"/>
      <c r="R99" s="2291"/>
      <c r="S99" s="2291"/>
      <c r="T99" s="2291"/>
      <c r="U99" s="2291"/>
      <c r="V99" s="2291"/>
      <c r="W99" s="2291"/>
      <c r="X99" s="2291"/>
      <c r="Y99" s="2291"/>
      <c r="Z99" s="2291"/>
      <c r="AA99" s="2291"/>
      <c r="AB99" s="2291"/>
      <c r="AC99" s="2291"/>
      <c r="AD99" s="2291"/>
      <c r="AE99" s="2291"/>
      <c r="AF99" s="2291"/>
      <c r="AG99" s="2291"/>
    </row>
    <row r="100" spans="1:84">
      <c r="E100" s="960"/>
      <c r="F100" s="960"/>
      <c r="G100" s="960"/>
      <c r="N100" s="961"/>
      <c r="O100" s="960"/>
      <c r="Q100" s="935"/>
      <c r="W100" s="935"/>
      <c r="X100" s="935"/>
      <c r="AB100" s="56"/>
      <c r="AC100" s="934"/>
    </row>
    <row r="101" spans="1:84" ht="17.25" customHeight="1">
      <c r="E101" s="935"/>
      <c r="F101" s="935"/>
      <c r="G101" s="935"/>
      <c r="I101" s="935"/>
      <c r="K101" s="935"/>
      <c r="M101" s="935"/>
      <c r="N101" s="961"/>
      <c r="O101" s="935"/>
      <c r="Q101" s="935"/>
      <c r="S101" s="935"/>
      <c r="T101" s="962"/>
      <c r="W101" s="935"/>
      <c r="X101" s="935"/>
      <c r="Y101" s="935"/>
      <c r="AA101" s="935"/>
      <c r="AC101" s="935"/>
      <c r="AE101" s="935"/>
    </row>
    <row r="102" spans="1:84">
      <c r="D102" s="1243"/>
      <c r="E102" s="969"/>
      <c r="G102" s="969"/>
      <c r="H102" s="963"/>
      <c r="I102" s="969"/>
      <c r="K102" s="969"/>
      <c r="M102" s="969"/>
      <c r="N102" s="961"/>
      <c r="O102" s="969"/>
      <c r="Q102" s="969"/>
      <c r="S102" s="969"/>
      <c r="T102" s="962"/>
      <c r="U102" s="964"/>
      <c r="W102" s="964"/>
      <c r="X102" s="935"/>
      <c r="Y102" s="964"/>
      <c r="AA102" s="964"/>
      <c r="AC102" s="964"/>
      <c r="AE102" s="964"/>
      <c r="AG102" s="964"/>
    </row>
    <row r="103" spans="1:84" s="57" customFormat="1">
      <c r="A103" s="933"/>
      <c r="B103" s="933"/>
      <c r="C103" s="933"/>
      <c r="D103" s="1243"/>
      <c r="E103" s="964"/>
      <c r="F103" s="965"/>
      <c r="G103" s="935"/>
      <c r="H103" s="966"/>
      <c r="I103" s="934"/>
      <c r="J103" s="967"/>
      <c r="K103" s="934"/>
      <c r="L103" s="967"/>
      <c r="M103" s="934"/>
      <c r="N103" s="967"/>
      <c r="P103" s="967"/>
      <c r="Q103" s="934"/>
      <c r="R103" s="967"/>
      <c r="S103" s="934"/>
      <c r="T103" s="967"/>
      <c r="U103" s="935"/>
      <c r="V103" s="934"/>
      <c r="W103" s="968"/>
      <c r="X103" s="968"/>
      <c r="Z103" s="967"/>
      <c r="AB103" s="967"/>
      <c r="AD103" s="967"/>
      <c r="AF103" s="967"/>
      <c r="AG103" s="934"/>
      <c r="AH103" s="934"/>
      <c r="AI103" s="934"/>
      <c r="AJ103" s="934"/>
      <c r="AK103" s="934"/>
      <c r="AL103" s="934"/>
      <c r="AM103" s="934"/>
      <c r="AN103" s="934"/>
      <c r="AO103" s="934"/>
      <c r="AP103" s="934"/>
      <c r="AQ103" s="934"/>
      <c r="AR103" s="934"/>
      <c r="AS103" s="934"/>
      <c r="AT103" s="934"/>
      <c r="AU103" s="934"/>
      <c r="AV103" s="934"/>
      <c r="AW103" s="934"/>
      <c r="AX103" s="934"/>
      <c r="AY103" s="934"/>
      <c r="AZ103" s="934"/>
      <c r="BA103" s="934"/>
      <c r="BB103" s="934"/>
      <c r="BC103" s="934"/>
      <c r="BD103" s="934"/>
      <c r="BE103" s="934"/>
      <c r="BF103" s="934"/>
      <c r="BG103" s="934"/>
      <c r="BH103" s="934"/>
      <c r="BI103" s="934"/>
      <c r="BJ103" s="934"/>
      <c r="BK103" s="934"/>
      <c r="BL103" s="934"/>
      <c r="BM103" s="934"/>
      <c r="BN103" s="934"/>
      <c r="BO103" s="934"/>
      <c r="BP103" s="934"/>
      <c r="BQ103" s="934"/>
      <c r="BR103" s="934"/>
      <c r="BS103" s="934"/>
      <c r="BT103" s="934"/>
      <c r="BU103" s="934"/>
      <c r="BV103" s="934"/>
      <c r="BW103" s="934"/>
      <c r="BX103" s="934"/>
      <c r="BY103" s="934"/>
      <c r="BZ103" s="934"/>
      <c r="CA103" s="934"/>
      <c r="CB103" s="934"/>
      <c r="CC103" s="934"/>
      <c r="CD103" s="934"/>
      <c r="CE103" s="934"/>
      <c r="CF103" s="934"/>
    </row>
    <row r="104" spans="1:84" s="57" customFormat="1">
      <c r="A104" s="933"/>
      <c r="B104" s="933"/>
      <c r="C104" s="933"/>
      <c r="D104" s="933"/>
      <c r="E104" s="934"/>
      <c r="F104" s="934"/>
      <c r="G104" s="934"/>
      <c r="H104" s="934"/>
      <c r="I104" s="934"/>
      <c r="J104" s="934"/>
      <c r="K104" s="934"/>
      <c r="L104" s="934"/>
      <c r="M104" s="934"/>
      <c r="N104" s="961"/>
      <c r="O104" s="960"/>
      <c r="P104" s="934"/>
      <c r="Q104" s="934"/>
      <c r="R104" s="934"/>
      <c r="S104" s="934"/>
      <c r="T104" s="934"/>
      <c r="U104" s="935"/>
      <c r="V104" s="934"/>
      <c r="W104" s="934"/>
      <c r="X104" s="935"/>
      <c r="AG104" s="934"/>
      <c r="AH104" s="934"/>
      <c r="AI104" s="934"/>
      <c r="AJ104" s="934"/>
      <c r="AK104" s="934"/>
      <c r="AL104" s="934"/>
      <c r="AM104" s="934"/>
      <c r="AN104" s="934"/>
      <c r="AO104" s="934"/>
      <c r="AP104" s="934"/>
      <c r="AQ104" s="934"/>
      <c r="AR104" s="934"/>
      <c r="AS104" s="934"/>
      <c r="AT104" s="934"/>
      <c r="AU104" s="934"/>
      <c r="AV104" s="934"/>
      <c r="AW104" s="934"/>
      <c r="AX104" s="934"/>
      <c r="AY104" s="934"/>
      <c r="AZ104" s="934"/>
      <c r="BA104" s="934"/>
      <c r="BB104" s="934"/>
      <c r="BC104" s="934"/>
      <c r="BD104" s="934"/>
      <c r="BE104" s="934"/>
      <c r="BF104" s="934"/>
      <c r="BG104" s="934"/>
      <c r="BH104" s="934"/>
      <c r="BI104" s="934"/>
      <c r="BJ104" s="934"/>
      <c r="BK104" s="934"/>
      <c r="BL104" s="934"/>
      <c r="BM104" s="934"/>
      <c r="BN104" s="934"/>
      <c r="BO104" s="934"/>
      <c r="BP104" s="934"/>
      <c r="BQ104" s="934"/>
      <c r="BR104" s="934"/>
      <c r="BS104" s="934"/>
      <c r="BT104" s="934"/>
      <c r="BU104" s="934"/>
      <c r="BV104" s="934"/>
      <c r="BW104" s="934"/>
      <c r="BX104" s="934"/>
      <c r="BY104" s="934"/>
      <c r="BZ104" s="934"/>
      <c r="CA104" s="934"/>
      <c r="CB104" s="934"/>
      <c r="CC104" s="934"/>
      <c r="CD104" s="934"/>
      <c r="CE104" s="934"/>
      <c r="CF104" s="934"/>
    </row>
    <row r="105" spans="1:84" s="57" customFormat="1">
      <c r="A105" s="933"/>
      <c r="B105" s="933"/>
      <c r="C105" s="933"/>
      <c r="D105" s="933"/>
      <c r="E105" s="934"/>
      <c r="F105" s="934"/>
      <c r="G105" s="934"/>
      <c r="H105" s="934"/>
      <c r="I105" s="934"/>
      <c r="J105" s="934"/>
      <c r="K105" s="934"/>
      <c r="L105" s="934"/>
      <c r="M105" s="934"/>
      <c r="N105" s="961"/>
      <c r="O105" s="960"/>
      <c r="P105" s="934"/>
      <c r="Q105" s="934"/>
      <c r="R105" s="934"/>
      <c r="S105" s="934"/>
      <c r="T105" s="962"/>
      <c r="U105" s="935"/>
      <c r="V105" s="934"/>
      <c r="W105" s="934"/>
      <c r="X105" s="935"/>
      <c r="AG105" s="934"/>
      <c r="AH105" s="934"/>
      <c r="AI105" s="934"/>
      <c r="AJ105" s="934"/>
      <c r="AK105" s="934"/>
      <c r="AL105" s="934"/>
      <c r="AM105" s="934"/>
      <c r="AN105" s="934"/>
      <c r="AO105" s="934"/>
      <c r="AP105" s="934"/>
      <c r="AQ105" s="934"/>
      <c r="AR105" s="934"/>
      <c r="AS105" s="934"/>
      <c r="AT105" s="934"/>
      <c r="AU105" s="934"/>
      <c r="AV105" s="934"/>
      <c r="AW105" s="934"/>
      <c r="AX105" s="934"/>
      <c r="AY105" s="934"/>
      <c r="AZ105" s="934"/>
      <c r="BA105" s="934"/>
      <c r="BB105" s="934"/>
      <c r="BC105" s="934"/>
      <c r="BD105" s="934"/>
      <c r="BE105" s="934"/>
      <c r="BF105" s="934"/>
      <c r="BG105" s="934"/>
      <c r="BH105" s="934"/>
      <c r="BI105" s="934"/>
      <c r="BJ105" s="934"/>
      <c r="BK105" s="934"/>
      <c r="BL105" s="934"/>
      <c r="BM105" s="934"/>
      <c r="BN105" s="934"/>
      <c r="BO105" s="934"/>
      <c r="BP105" s="934"/>
      <c r="BQ105" s="934"/>
      <c r="BR105" s="934"/>
      <c r="BS105" s="934"/>
      <c r="BT105" s="934"/>
      <c r="BU105" s="934"/>
      <c r="BV105" s="934"/>
      <c r="BW105" s="934"/>
      <c r="BX105" s="934"/>
      <c r="BY105" s="934"/>
      <c r="BZ105" s="934"/>
      <c r="CA105" s="934"/>
      <c r="CB105" s="934"/>
      <c r="CC105" s="934"/>
      <c r="CD105" s="934"/>
      <c r="CE105" s="934"/>
      <c r="CF105" s="934"/>
    </row>
    <row r="106" spans="1:84" s="57" customFormat="1">
      <c r="A106" s="933"/>
      <c r="B106" s="933"/>
      <c r="C106" s="933"/>
      <c r="D106" s="933"/>
      <c r="E106" s="934"/>
      <c r="F106" s="935"/>
      <c r="G106" s="934"/>
      <c r="H106" s="934"/>
      <c r="I106" s="934"/>
      <c r="J106" s="934"/>
      <c r="K106" s="934"/>
      <c r="L106" s="934"/>
      <c r="M106" s="934"/>
      <c r="N106" s="961"/>
      <c r="O106" s="960"/>
      <c r="P106" s="934"/>
      <c r="Q106" s="934"/>
      <c r="R106" s="962"/>
      <c r="S106" s="934"/>
      <c r="T106" s="962"/>
      <c r="U106" s="935"/>
      <c r="V106" s="934"/>
      <c r="W106" s="934"/>
      <c r="X106" s="969"/>
      <c r="AG106" s="934"/>
      <c r="AH106" s="934"/>
      <c r="AI106" s="934"/>
      <c r="AJ106" s="934"/>
      <c r="AK106" s="934"/>
      <c r="AL106" s="934"/>
      <c r="AM106" s="934"/>
      <c r="AN106" s="934"/>
      <c r="AO106" s="934"/>
      <c r="AP106" s="934"/>
      <c r="AQ106" s="934"/>
      <c r="AR106" s="934"/>
      <c r="AS106" s="934"/>
      <c r="AT106" s="934"/>
      <c r="AU106" s="934"/>
      <c r="AV106" s="934"/>
      <c r="AW106" s="934"/>
      <c r="AX106" s="934"/>
      <c r="AY106" s="934"/>
      <c r="AZ106" s="934"/>
      <c r="BA106" s="934"/>
      <c r="BB106" s="934"/>
      <c r="BC106" s="934"/>
      <c r="BD106" s="934"/>
      <c r="BE106" s="934"/>
      <c r="BF106" s="934"/>
      <c r="BG106" s="934"/>
      <c r="BH106" s="934"/>
      <c r="BI106" s="934"/>
      <c r="BJ106" s="934"/>
      <c r="BK106" s="934"/>
      <c r="BL106" s="934"/>
      <c r="BM106" s="934"/>
      <c r="BN106" s="934"/>
      <c r="BO106" s="934"/>
      <c r="BP106" s="934"/>
      <c r="BQ106" s="934"/>
      <c r="BR106" s="934"/>
      <c r="BS106" s="934"/>
      <c r="BT106" s="934"/>
      <c r="BU106" s="934"/>
      <c r="BV106" s="934"/>
      <c r="BW106" s="934"/>
      <c r="BX106" s="934"/>
      <c r="BY106" s="934"/>
      <c r="BZ106" s="934"/>
      <c r="CA106" s="934"/>
      <c r="CB106" s="934"/>
      <c r="CC106" s="934"/>
      <c r="CD106" s="934"/>
      <c r="CE106" s="934"/>
      <c r="CF106" s="934"/>
    </row>
    <row r="107" spans="1:84" s="57" customFormat="1">
      <c r="A107" s="933"/>
      <c r="B107" s="933"/>
      <c r="C107" s="933"/>
      <c r="D107" s="933"/>
      <c r="E107" s="934"/>
      <c r="F107" s="934"/>
      <c r="G107" s="934"/>
      <c r="H107" s="934"/>
      <c r="I107" s="934"/>
      <c r="J107" s="934"/>
      <c r="K107" s="934"/>
      <c r="L107" s="934"/>
      <c r="M107" s="934"/>
      <c r="N107" s="934"/>
      <c r="O107" s="934"/>
      <c r="P107" s="934"/>
      <c r="Q107" s="934"/>
      <c r="R107" s="934"/>
      <c r="S107" s="934"/>
      <c r="T107" s="964"/>
      <c r="U107" s="935"/>
      <c r="V107" s="934"/>
      <c r="W107" s="934"/>
      <c r="X107" s="935"/>
      <c r="AG107" s="934"/>
      <c r="AH107" s="934"/>
      <c r="AI107" s="934"/>
      <c r="AJ107" s="934"/>
      <c r="AK107" s="934"/>
      <c r="AL107" s="934"/>
      <c r="AM107" s="934"/>
      <c r="AN107" s="934"/>
      <c r="AO107" s="934"/>
      <c r="AP107" s="934"/>
      <c r="AQ107" s="934"/>
      <c r="AR107" s="934"/>
      <c r="AS107" s="934"/>
      <c r="AT107" s="934"/>
      <c r="AU107" s="934"/>
      <c r="AV107" s="934"/>
      <c r="AW107" s="934"/>
      <c r="AX107" s="934"/>
      <c r="AY107" s="934"/>
      <c r="AZ107" s="934"/>
      <c r="BA107" s="934"/>
      <c r="BB107" s="934"/>
      <c r="BC107" s="934"/>
      <c r="BD107" s="934"/>
      <c r="BE107" s="934"/>
      <c r="BF107" s="934"/>
      <c r="BG107" s="934"/>
      <c r="BH107" s="934"/>
      <c r="BI107" s="934"/>
      <c r="BJ107" s="934"/>
      <c r="BK107" s="934"/>
      <c r="BL107" s="934"/>
      <c r="BM107" s="934"/>
      <c r="BN107" s="934"/>
      <c r="BO107" s="934"/>
      <c r="BP107" s="934"/>
      <c r="BQ107" s="934"/>
      <c r="BR107" s="934"/>
      <c r="BS107" s="934"/>
      <c r="BT107" s="934"/>
      <c r="BU107" s="934"/>
      <c r="BV107" s="934"/>
      <c r="BW107" s="934"/>
      <c r="BX107" s="934"/>
      <c r="BY107" s="934"/>
      <c r="BZ107" s="934"/>
      <c r="CA107" s="934"/>
      <c r="CB107" s="934"/>
      <c r="CC107" s="934"/>
      <c r="CD107" s="934"/>
      <c r="CE107" s="934"/>
      <c r="CF107" s="934"/>
    </row>
    <row r="108" spans="1:84" s="57" customFormat="1">
      <c r="A108" s="933"/>
      <c r="B108" s="933"/>
      <c r="C108" s="933"/>
      <c r="D108" s="933"/>
      <c r="E108" s="934"/>
      <c r="F108" s="934"/>
      <c r="G108" s="934"/>
      <c r="H108" s="934"/>
      <c r="I108" s="934"/>
      <c r="J108" s="934"/>
      <c r="K108" s="934"/>
      <c r="L108" s="934"/>
      <c r="M108" s="934"/>
      <c r="N108" s="934"/>
      <c r="O108" s="934"/>
      <c r="P108" s="934"/>
      <c r="Q108" s="934"/>
      <c r="R108" s="934"/>
      <c r="S108" s="934"/>
      <c r="T108" s="964"/>
      <c r="U108" s="935"/>
      <c r="V108" s="934"/>
      <c r="W108" s="934"/>
      <c r="X108" s="935"/>
      <c r="AG108" s="934"/>
      <c r="AH108" s="934"/>
      <c r="AI108" s="934"/>
      <c r="AJ108" s="934"/>
      <c r="AK108" s="934"/>
      <c r="AL108" s="934"/>
      <c r="AM108" s="934"/>
      <c r="AN108" s="934"/>
      <c r="AO108" s="934"/>
      <c r="AP108" s="934"/>
      <c r="AQ108" s="934"/>
      <c r="AR108" s="934"/>
      <c r="AS108" s="934"/>
      <c r="AT108" s="934"/>
      <c r="AU108" s="934"/>
      <c r="AV108" s="934"/>
      <c r="AW108" s="934"/>
      <c r="AX108" s="934"/>
      <c r="AY108" s="934"/>
      <c r="AZ108" s="934"/>
      <c r="BA108" s="934"/>
      <c r="BB108" s="934"/>
      <c r="BC108" s="934"/>
      <c r="BD108" s="934"/>
      <c r="BE108" s="934"/>
      <c r="BF108" s="934"/>
      <c r="BG108" s="934"/>
      <c r="BH108" s="934"/>
      <c r="BI108" s="934"/>
      <c r="BJ108" s="934"/>
      <c r="BK108" s="934"/>
      <c r="BL108" s="934"/>
      <c r="BM108" s="934"/>
      <c r="BN108" s="934"/>
      <c r="BO108" s="934"/>
      <c r="BP108" s="934"/>
      <c r="BQ108" s="934"/>
      <c r="BR108" s="934"/>
      <c r="BS108" s="934"/>
      <c r="BT108" s="934"/>
      <c r="BU108" s="934"/>
      <c r="BV108" s="934"/>
      <c r="BW108" s="934"/>
      <c r="BX108" s="934"/>
      <c r="BY108" s="934"/>
      <c r="BZ108" s="934"/>
      <c r="CA108" s="934"/>
      <c r="CB108" s="934"/>
      <c r="CC108" s="934"/>
      <c r="CD108" s="934"/>
      <c r="CE108" s="934"/>
      <c r="CF108" s="934"/>
    </row>
    <row r="109" spans="1:84" s="57" customFormat="1">
      <c r="A109" s="933"/>
      <c r="B109" s="933"/>
      <c r="C109" s="933"/>
      <c r="D109" s="933"/>
      <c r="E109" s="935"/>
      <c r="F109" s="934"/>
      <c r="G109" s="934"/>
      <c r="H109" s="934"/>
      <c r="I109" s="934"/>
      <c r="J109" s="934"/>
      <c r="K109" s="934"/>
      <c r="L109" s="934"/>
      <c r="M109" s="934"/>
      <c r="N109" s="934"/>
      <c r="O109" s="934"/>
      <c r="P109" s="934"/>
      <c r="Q109" s="934"/>
      <c r="R109" s="934"/>
      <c r="S109" s="934"/>
      <c r="T109" s="962"/>
      <c r="U109" s="935"/>
      <c r="V109" s="934"/>
      <c r="W109" s="934"/>
      <c r="X109" s="935"/>
      <c r="AG109" s="934"/>
      <c r="AH109" s="934"/>
      <c r="AI109" s="934"/>
      <c r="AJ109" s="934"/>
      <c r="AK109" s="934"/>
      <c r="AL109" s="934"/>
      <c r="AM109" s="934"/>
      <c r="AN109" s="934"/>
      <c r="AO109" s="934"/>
      <c r="AP109" s="934"/>
      <c r="AQ109" s="934"/>
      <c r="AR109" s="934"/>
      <c r="AS109" s="934"/>
      <c r="AT109" s="934"/>
      <c r="AU109" s="934"/>
      <c r="AV109" s="934"/>
      <c r="AW109" s="934"/>
      <c r="AX109" s="934"/>
      <c r="AY109" s="934"/>
      <c r="AZ109" s="934"/>
      <c r="BA109" s="934"/>
      <c r="BB109" s="934"/>
      <c r="BC109" s="934"/>
      <c r="BD109" s="934"/>
      <c r="BE109" s="934"/>
      <c r="BF109" s="934"/>
      <c r="BG109" s="934"/>
      <c r="BH109" s="934"/>
      <c r="BI109" s="934"/>
      <c r="BJ109" s="934"/>
      <c r="BK109" s="934"/>
      <c r="BL109" s="934"/>
      <c r="BM109" s="934"/>
      <c r="BN109" s="934"/>
      <c r="BO109" s="934"/>
      <c r="BP109" s="934"/>
      <c r="BQ109" s="934"/>
      <c r="BR109" s="934"/>
      <c r="BS109" s="934"/>
      <c r="BT109" s="934"/>
      <c r="BU109" s="934"/>
      <c r="BV109" s="934"/>
      <c r="BW109" s="934"/>
      <c r="BX109" s="934"/>
      <c r="BY109" s="934"/>
      <c r="BZ109" s="934"/>
      <c r="CA109" s="934"/>
      <c r="CB109" s="934"/>
      <c r="CC109" s="934"/>
      <c r="CD109" s="934"/>
      <c r="CE109" s="934"/>
      <c r="CF109" s="934"/>
    </row>
    <row r="110" spans="1:84" s="57" customFormat="1">
      <c r="A110" s="933"/>
      <c r="B110" s="933"/>
      <c r="C110" s="933"/>
      <c r="D110" s="933"/>
      <c r="E110" s="934"/>
      <c r="F110" s="2010"/>
      <c r="G110" s="934"/>
      <c r="H110" s="934"/>
      <c r="I110" s="934"/>
      <c r="J110" s="934"/>
      <c r="K110" s="934"/>
      <c r="L110" s="934"/>
      <c r="M110" s="934"/>
      <c r="N110" s="934"/>
      <c r="O110" s="934"/>
      <c r="P110" s="934"/>
      <c r="Q110" s="934"/>
      <c r="R110" s="934"/>
      <c r="S110" s="934"/>
      <c r="T110" s="962"/>
      <c r="U110" s="935"/>
      <c r="V110" s="934"/>
      <c r="W110" s="934"/>
      <c r="X110" s="934"/>
      <c r="AG110" s="934"/>
      <c r="AH110" s="934"/>
      <c r="AI110" s="934"/>
      <c r="AJ110" s="934"/>
      <c r="AK110" s="934"/>
      <c r="AL110" s="934"/>
      <c r="AM110" s="934"/>
      <c r="AN110" s="934"/>
      <c r="AO110" s="934"/>
      <c r="AP110" s="934"/>
      <c r="AQ110" s="934"/>
      <c r="AR110" s="934"/>
      <c r="AS110" s="934"/>
      <c r="AT110" s="934"/>
      <c r="AU110" s="934"/>
      <c r="AV110" s="934"/>
      <c r="AW110" s="934"/>
      <c r="AX110" s="934"/>
      <c r="AY110" s="934"/>
      <c r="AZ110" s="934"/>
      <c r="BA110" s="934"/>
      <c r="BB110" s="934"/>
      <c r="BC110" s="934"/>
      <c r="BD110" s="934"/>
      <c r="BE110" s="934"/>
      <c r="BF110" s="934"/>
      <c r="BG110" s="934"/>
      <c r="BH110" s="934"/>
      <c r="BI110" s="934"/>
      <c r="BJ110" s="934"/>
      <c r="BK110" s="934"/>
      <c r="BL110" s="934"/>
      <c r="BM110" s="934"/>
      <c r="BN110" s="934"/>
      <c r="BO110" s="934"/>
      <c r="BP110" s="934"/>
      <c r="BQ110" s="934"/>
      <c r="BR110" s="934"/>
      <c r="BS110" s="934"/>
      <c r="BT110" s="934"/>
      <c r="BU110" s="934"/>
      <c r="BV110" s="934"/>
      <c r="BW110" s="934"/>
      <c r="BX110" s="934"/>
      <c r="BY110" s="934"/>
      <c r="BZ110" s="934"/>
      <c r="CA110" s="934"/>
      <c r="CB110" s="934"/>
      <c r="CC110" s="934"/>
      <c r="CD110" s="934"/>
      <c r="CE110" s="934"/>
      <c r="CF110" s="934"/>
    </row>
    <row r="111" spans="1:84" s="57" customFormat="1">
      <c r="A111" s="933"/>
      <c r="B111" s="933"/>
      <c r="C111" s="933"/>
      <c r="D111" s="933"/>
      <c r="E111" s="934"/>
      <c r="F111" s="934"/>
      <c r="G111" s="934"/>
      <c r="H111" s="934"/>
      <c r="I111" s="934"/>
      <c r="J111" s="934"/>
      <c r="K111" s="934"/>
      <c r="L111" s="934"/>
      <c r="M111" s="934"/>
      <c r="N111" s="934"/>
      <c r="O111" s="934"/>
      <c r="P111" s="934"/>
      <c r="Q111" s="934"/>
      <c r="R111" s="934"/>
      <c r="S111" s="934"/>
      <c r="T111" s="962"/>
      <c r="U111" s="935"/>
      <c r="V111" s="934"/>
      <c r="W111" s="934"/>
      <c r="X111" s="934"/>
      <c r="AG111" s="934"/>
      <c r="AH111" s="934"/>
      <c r="AI111" s="934"/>
      <c r="AJ111" s="934"/>
      <c r="AK111" s="934"/>
      <c r="AL111" s="934"/>
      <c r="AM111" s="934"/>
      <c r="AN111" s="934"/>
      <c r="AO111" s="934"/>
      <c r="AP111" s="934"/>
      <c r="AQ111" s="934"/>
      <c r="AR111" s="934"/>
      <c r="AS111" s="934"/>
      <c r="AT111" s="934"/>
      <c r="AU111" s="934"/>
      <c r="AV111" s="934"/>
      <c r="AW111" s="934"/>
      <c r="AX111" s="934"/>
      <c r="AY111" s="934"/>
      <c r="AZ111" s="934"/>
      <c r="BA111" s="934"/>
      <c r="BB111" s="934"/>
      <c r="BC111" s="934"/>
      <c r="BD111" s="934"/>
      <c r="BE111" s="934"/>
      <c r="BF111" s="934"/>
      <c r="BG111" s="934"/>
      <c r="BH111" s="934"/>
      <c r="BI111" s="934"/>
      <c r="BJ111" s="934"/>
      <c r="BK111" s="934"/>
      <c r="BL111" s="934"/>
      <c r="BM111" s="934"/>
      <c r="BN111" s="934"/>
      <c r="BO111" s="934"/>
      <c r="BP111" s="934"/>
      <c r="BQ111" s="934"/>
      <c r="BR111" s="934"/>
      <c r="BS111" s="934"/>
      <c r="BT111" s="934"/>
      <c r="BU111" s="934"/>
      <c r="BV111" s="934"/>
      <c r="BW111" s="934"/>
      <c r="BX111" s="934"/>
      <c r="BY111" s="934"/>
      <c r="BZ111" s="934"/>
      <c r="CA111" s="934"/>
      <c r="CB111" s="934"/>
      <c r="CC111" s="934"/>
      <c r="CD111" s="934"/>
      <c r="CE111" s="934"/>
      <c r="CF111" s="934"/>
    </row>
  </sheetData>
  <mergeCells count="41">
    <mergeCell ref="A98:AG98"/>
    <mergeCell ref="A99:AG99"/>
    <mergeCell ref="AG10:AG12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A10:A12"/>
    <mergeCell ref="B10:D11"/>
    <mergeCell ref="E10:AF10"/>
    <mergeCell ref="W11:X11"/>
    <mergeCell ref="U7:V8"/>
    <mergeCell ref="AA11:AB11"/>
    <mergeCell ref="AC11:AD11"/>
    <mergeCell ref="AE11:AF11"/>
    <mergeCell ref="Y11:Z11"/>
    <mergeCell ref="W7:X8"/>
    <mergeCell ref="Y7:Z8"/>
    <mergeCell ref="AA7:AB8"/>
    <mergeCell ref="AC7:AD8"/>
    <mergeCell ref="A2:AG2"/>
    <mergeCell ref="A3:AG3"/>
    <mergeCell ref="A5:AG5"/>
    <mergeCell ref="A6:A9"/>
    <mergeCell ref="B6:D8"/>
    <mergeCell ref="E6:AF6"/>
    <mergeCell ref="AG6:AG9"/>
    <mergeCell ref="E7:F8"/>
    <mergeCell ref="G7:H8"/>
    <mergeCell ref="I7:J8"/>
    <mergeCell ref="K7:L8"/>
    <mergeCell ref="M7:N8"/>
    <mergeCell ref="O7:P8"/>
    <mergeCell ref="Q7:R8"/>
    <mergeCell ref="S7:T8"/>
    <mergeCell ref="AE7:AF8"/>
  </mergeCells>
  <pageMargins left="0.17" right="0.17" top="0.17" bottom="0.17" header="0.17" footer="0.17"/>
  <pageSetup scale="1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2">
    <tabColor rgb="FF92D050"/>
  </sheetPr>
  <dimension ref="A1:FH51"/>
  <sheetViews>
    <sheetView showGridLines="0" view="pageBreakPreview" zoomScale="55" zoomScaleNormal="70" zoomScaleSheetLayoutView="55" workbookViewId="0">
      <pane ySplit="8" topLeftCell="A9" activePane="bottomLeft" state="frozen"/>
      <selection activeCell="F40" sqref="F40"/>
      <selection pane="bottomLeft" activeCell="F40" sqref="F40"/>
    </sheetView>
  </sheetViews>
  <sheetFormatPr defaultColWidth="9.140625" defaultRowHeight="15"/>
  <cols>
    <col min="1" max="1" width="59.140625" style="749" customWidth="1"/>
    <col min="2" max="12" width="13.5703125" style="314" hidden="1" customWidth="1"/>
    <col min="13" max="13" width="19" style="314" hidden="1" customWidth="1"/>
    <col min="14" max="23" width="13.5703125" style="314" hidden="1" customWidth="1"/>
    <col min="24" max="24" width="13.28515625" style="314" hidden="1" customWidth="1"/>
    <col min="25" max="25" width="18.140625" style="314" hidden="1" customWidth="1"/>
    <col min="26" max="29" width="14.7109375" style="314" hidden="1" customWidth="1"/>
    <col min="30" max="30" width="14.5703125" style="314" hidden="1" customWidth="1"/>
    <col min="31" max="33" width="14.7109375" style="314" hidden="1" customWidth="1"/>
    <col min="34" max="34" width="17.85546875" style="314" hidden="1" customWidth="1"/>
    <col min="35" max="35" width="15.7109375" style="314" hidden="1" customWidth="1"/>
    <col min="36" max="36" width="14.7109375" style="314" hidden="1" customWidth="1"/>
    <col min="37" max="37" width="16.85546875" style="314" hidden="1" customWidth="1"/>
    <col min="38" max="45" width="14.7109375" style="314" hidden="1" customWidth="1"/>
    <col min="46" max="46" width="19.140625" style="314" hidden="1" customWidth="1"/>
    <col min="47" max="47" width="17.28515625" style="314" hidden="1" customWidth="1"/>
    <col min="48" max="48" width="17.7109375" style="314" hidden="1" customWidth="1"/>
    <col min="49" max="60" width="17.28515625" style="314" hidden="1" customWidth="1"/>
    <col min="61" max="61" width="15.5703125" style="314" customWidth="1"/>
    <col min="62" max="72" width="17.28515625" style="314" hidden="1" customWidth="1"/>
    <col min="73" max="73" width="15.5703125" style="314" customWidth="1"/>
    <col min="74" max="82" width="17.28515625" style="314" hidden="1" customWidth="1"/>
    <col min="83" max="84" width="17.5703125" style="314" hidden="1" customWidth="1"/>
    <col min="85" max="85" width="15.5703125" style="314" customWidth="1"/>
    <col min="86" max="89" width="20.7109375" style="314" hidden="1" customWidth="1"/>
    <col min="90" max="90" width="21.7109375" style="314" hidden="1" customWidth="1"/>
    <col min="91" max="96" width="17.5703125" style="314" hidden="1" customWidth="1"/>
    <col min="97" max="97" width="15.5703125" style="314" customWidth="1"/>
    <col min="98" max="108" width="15" style="314" hidden="1" customWidth="1"/>
    <col min="109" max="109" width="15.5703125" style="314" customWidth="1"/>
    <col min="110" max="120" width="15" style="314" hidden="1" customWidth="1"/>
    <col min="121" max="121" width="15.5703125" style="314" customWidth="1"/>
    <col min="122" max="132" width="15" style="314" hidden="1" customWidth="1"/>
    <col min="133" max="133" width="15.5703125" style="314" customWidth="1"/>
    <col min="134" max="144" width="15" style="314" hidden="1" customWidth="1"/>
    <col min="145" max="145" width="15.5703125" style="314" customWidth="1"/>
    <col min="146" max="153" width="15" style="314" hidden="1" customWidth="1"/>
    <col min="154" max="154" width="16.5703125" style="314" hidden="1" customWidth="1"/>
    <col min="155" max="156" width="15" style="314" hidden="1" customWidth="1"/>
    <col min="157" max="163" width="15.5703125" style="314" customWidth="1"/>
    <col min="164" max="164" width="54.28515625" style="314" customWidth="1"/>
    <col min="165" max="16384" width="9.140625" style="314"/>
  </cols>
  <sheetData>
    <row r="1" spans="1:164" ht="14.25" customHeight="1">
      <c r="FG1" s="314" t="s">
        <v>115</v>
      </c>
    </row>
    <row r="2" spans="1:164" ht="33" customHeight="1">
      <c r="A2" s="2298" t="s">
        <v>3287</v>
      </c>
      <c r="B2" s="2298"/>
      <c r="C2" s="2298"/>
      <c r="D2" s="2298"/>
      <c r="E2" s="2298"/>
      <c r="F2" s="2298"/>
      <c r="G2" s="2298"/>
      <c r="H2" s="2298"/>
      <c r="I2" s="2298"/>
      <c r="J2" s="2298"/>
      <c r="K2" s="2298"/>
      <c r="L2" s="2298"/>
      <c r="M2" s="2298"/>
      <c r="N2" s="2298"/>
      <c r="O2" s="2298"/>
      <c r="P2" s="2298"/>
      <c r="Q2" s="2298"/>
      <c r="R2" s="2298"/>
      <c r="S2" s="2298"/>
      <c r="T2" s="2298"/>
      <c r="U2" s="2298"/>
      <c r="V2" s="2298"/>
      <c r="W2" s="2298"/>
      <c r="X2" s="2298"/>
      <c r="Y2" s="2298"/>
      <c r="Z2" s="2298"/>
      <c r="AA2" s="2298"/>
      <c r="AB2" s="2298"/>
      <c r="AC2" s="2298"/>
      <c r="AD2" s="2298"/>
      <c r="AE2" s="2298"/>
      <c r="AF2" s="2298"/>
      <c r="AG2" s="2298"/>
      <c r="AH2" s="2298"/>
      <c r="AI2" s="2298"/>
      <c r="AJ2" s="2298"/>
      <c r="AK2" s="2298"/>
      <c r="AL2" s="2298"/>
      <c r="AM2" s="2298"/>
      <c r="AN2" s="2298"/>
      <c r="AO2" s="2298"/>
      <c r="AP2" s="2298"/>
      <c r="AQ2" s="2298"/>
      <c r="AR2" s="2298"/>
      <c r="AS2" s="2298"/>
      <c r="AT2" s="2298"/>
      <c r="AU2" s="2298"/>
      <c r="AV2" s="2298"/>
      <c r="AW2" s="2298"/>
      <c r="AX2" s="2298"/>
      <c r="AY2" s="2298"/>
      <c r="AZ2" s="2298"/>
      <c r="BA2" s="2298"/>
      <c r="BB2" s="2298"/>
      <c r="BC2" s="2298"/>
      <c r="BD2" s="2298"/>
      <c r="BE2" s="2298"/>
      <c r="BF2" s="2298"/>
      <c r="BG2" s="2298"/>
      <c r="BH2" s="2298"/>
      <c r="BI2" s="2298"/>
      <c r="BJ2" s="2298"/>
      <c r="BK2" s="2298"/>
      <c r="BL2" s="2298"/>
      <c r="BM2" s="2298"/>
      <c r="BN2" s="2298"/>
      <c r="BO2" s="2298"/>
      <c r="BP2" s="2298"/>
      <c r="BQ2" s="2298"/>
      <c r="BR2" s="2298"/>
      <c r="BS2" s="2298"/>
      <c r="BT2" s="2298"/>
      <c r="BU2" s="2298"/>
      <c r="BV2" s="2298"/>
      <c r="BW2" s="2298"/>
      <c r="BX2" s="2298"/>
      <c r="BY2" s="2298"/>
      <c r="BZ2" s="2298"/>
      <c r="CA2" s="2298"/>
      <c r="CB2" s="2298"/>
      <c r="CC2" s="2298"/>
      <c r="CD2" s="2298"/>
      <c r="CE2" s="2298"/>
      <c r="CF2" s="2298"/>
      <c r="CG2" s="2298"/>
      <c r="CH2" s="2298"/>
      <c r="CI2" s="2298"/>
      <c r="CJ2" s="2298"/>
      <c r="CK2" s="2298"/>
      <c r="CL2" s="2298"/>
      <c r="CM2" s="2298"/>
      <c r="CN2" s="2298"/>
      <c r="CO2" s="2298"/>
      <c r="CP2" s="2298"/>
      <c r="CQ2" s="2298"/>
      <c r="CR2" s="2298"/>
      <c r="CS2" s="2298"/>
      <c r="CT2" s="2298"/>
      <c r="CU2" s="2298"/>
      <c r="CV2" s="2298"/>
      <c r="CW2" s="2298"/>
      <c r="CX2" s="2298"/>
      <c r="CY2" s="2298"/>
      <c r="CZ2" s="2298"/>
      <c r="DA2" s="2298"/>
      <c r="DB2" s="2298"/>
      <c r="DC2" s="2298"/>
      <c r="DD2" s="2298"/>
      <c r="DE2" s="2298"/>
      <c r="DF2" s="2298"/>
      <c r="DG2" s="2298"/>
      <c r="DH2" s="2298"/>
      <c r="DI2" s="2298"/>
      <c r="DJ2" s="2298"/>
      <c r="DK2" s="2298"/>
      <c r="DL2" s="2298"/>
      <c r="DM2" s="2298"/>
      <c r="DN2" s="2298"/>
      <c r="DO2" s="2298"/>
      <c r="DP2" s="2298"/>
      <c r="DQ2" s="2298"/>
      <c r="DR2" s="2298"/>
      <c r="DS2" s="2298"/>
      <c r="DT2" s="2298"/>
      <c r="DU2" s="2298"/>
      <c r="DV2" s="2298"/>
      <c r="DW2" s="2298"/>
      <c r="DX2" s="2298"/>
      <c r="DY2" s="2298"/>
      <c r="DZ2" s="2298"/>
      <c r="EA2" s="2298"/>
      <c r="EB2" s="2298"/>
      <c r="EC2" s="2298"/>
      <c r="ED2" s="2298"/>
      <c r="EE2" s="2298"/>
      <c r="EF2" s="2298"/>
      <c r="EG2" s="2298"/>
      <c r="EH2" s="2298"/>
      <c r="EI2" s="2298"/>
      <c r="EJ2" s="2298"/>
      <c r="EK2" s="2298"/>
      <c r="EL2" s="2298"/>
      <c r="EM2" s="2298"/>
      <c r="EN2" s="2298"/>
      <c r="EO2" s="2298"/>
      <c r="EP2" s="2298"/>
      <c r="EQ2" s="2298"/>
      <c r="ER2" s="2298"/>
      <c r="ES2" s="2298"/>
      <c r="ET2" s="2298"/>
      <c r="EU2" s="2298"/>
      <c r="EV2" s="2298"/>
      <c r="EW2" s="2298"/>
      <c r="EX2" s="2298"/>
      <c r="EY2" s="2298"/>
      <c r="EZ2" s="2298"/>
      <c r="FA2" s="2298"/>
      <c r="FB2" s="2298"/>
      <c r="FC2" s="2298"/>
      <c r="FD2" s="2298"/>
      <c r="FE2" s="2298"/>
      <c r="FF2" s="2298"/>
      <c r="FG2" s="2298"/>
      <c r="FH2" s="2298"/>
    </row>
    <row r="3" spans="1:164" ht="40.5" customHeight="1">
      <c r="A3" s="2299" t="s">
        <v>3269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</row>
    <row r="4" spans="1:164" ht="21" customHeight="1">
      <c r="A4" s="750"/>
      <c r="B4" s="493"/>
      <c r="C4" s="493"/>
      <c r="D4" s="493"/>
      <c r="E4" s="493"/>
      <c r="F4" s="493"/>
      <c r="G4" s="493"/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493"/>
      <c r="S4" s="493"/>
      <c r="T4" s="493"/>
      <c r="U4" s="493"/>
      <c r="V4" s="493"/>
      <c r="W4" s="493"/>
      <c r="X4" s="493"/>
      <c r="Y4" s="493"/>
      <c r="Z4" s="493"/>
      <c r="AA4" s="493"/>
      <c r="AB4" s="493"/>
      <c r="AC4" s="493"/>
      <c r="AD4" s="493"/>
      <c r="AE4" s="493"/>
      <c r="AF4" s="493"/>
      <c r="AG4" s="493"/>
      <c r="AH4" s="493"/>
      <c r="AI4" s="493"/>
      <c r="AJ4" s="493"/>
      <c r="AK4" s="493"/>
      <c r="AL4" s="493"/>
      <c r="AM4" s="493"/>
      <c r="AN4" s="493"/>
      <c r="AO4" s="493"/>
      <c r="AP4" s="493"/>
      <c r="AQ4" s="493"/>
      <c r="AR4" s="493"/>
      <c r="AS4" s="493"/>
      <c r="AT4" s="493"/>
      <c r="AU4" s="493"/>
      <c r="AV4" s="493"/>
      <c r="AW4" s="493"/>
      <c r="AX4" s="493"/>
      <c r="AY4" s="493"/>
      <c r="AZ4" s="493"/>
      <c r="BA4" s="493"/>
      <c r="BB4" s="493"/>
      <c r="BC4" s="493"/>
      <c r="BD4" s="493"/>
      <c r="BE4" s="493"/>
      <c r="BF4" s="493"/>
      <c r="BG4" s="493"/>
      <c r="BH4" s="493"/>
      <c r="BI4" s="493"/>
      <c r="BJ4" s="493"/>
      <c r="BK4" s="493"/>
      <c r="BL4" s="493"/>
      <c r="BM4" s="493"/>
      <c r="BN4" s="493"/>
      <c r="BO4" s="493"/>
      <c r="BP4" s="493"/>
      <c r="BQ4" s="493"/>
      <c r="BR4" s="493"/>
      <c r="BS4" s="493"/>
      <c r="BT4" s="493"/>
      <c r="BU4" s="493"/>
      <c r="BV4" s="493"/>
      <c r="BW4" s="493"/>
      <c r="BX4" s="493"/>
      <c r="BY4" s="493"/>
      <c r="BZ4" s="493"/>
      <c r="CA4" s="493"/>
      <c r="CB4" s="493"/>
      <c r="CC4" s="493"/>
      <c r="CD4" s="493"/>
      <c r="CE4" s="493"/>
      <c r="CF4" s="493"/>
      <c r="CG4" s="493"/>
      <c r="CH4" s="493"/>
      <c r="CI4" s="493"/>
      <c r="CJ4" s="493"/>
      <c r="CK4" s="493"/>
      <c r="CL4" s="493"/>
      <c r="CM4" s="493"/>
      <c r="CN4" s="493"/>
      <c r="CO4" s="493"/>
      <c r="CP4" s="493"/>
      <c r="CQ4" s="493"/>
      <c r="CR4" s="493"/>
      <c r="CS4" s="493"/>
      <c r="CT4" s="493"/>
      <c r="CU4" s="493"/>
      <c r="CV4" s="493"/>
      <c r="CW4" s="493"/>
      <c r="CX4" s="493"/>
      <c r="CY4" s="493"/>
      <c r="CZ4" s="493"/>
      <c r="DA4" s="493"/>
      <c r="DB4" s="493"/>
      <c r="DC4" s="493"/>
      <c r="DD4" s="493"/>
      <c r="DE4" s="493"/>
      <c r="DF4" s="493"/>
      <c r="DG4" s="493"/>
      <c r="DH4" s="493"/>
      <c r="DI4" s="493"/>
      <c r="DJ4" s="493"/>
      <c r="DK4" s="493"/>
      <c r="DL4" s="493"/>
      <c r="DM4" s="493"/>
      <c r="DN4" s="493"/>
      <c r="DO4" s="493"/>
      <c r="DP4" s="493"/>
      <c r="DQ4" s="493"/>
      <c r="DR4" s="493"/>
      <c r="DS4" s="493"/>
      <c r="DT4" s="493"/>
      <c r="DU4" s="493"/>
      <c r="DV4" s="493"/>
      <c r="DW4" s="493"/>
      <c r="DX4" s="493"/>
      <c r="DY4" s="493"/>
      <c r="DZ4" s="493"/>
      <c r="EA4" s="493"/>
      <c r="EB4" s="493"/>
      <c r="EC4" s="493"/>
      <c r="ED4" s="493"/>
      <c r="EE4" s="493"/>
      <c r="EF4" s="493"/>
      <c r="EG4" s="493"/>
      <c r="EH4" s="493"/>
      <c r="EI4" s="493"/>
      <c r="EJ4" s="493"/>
      <c r="EK4" s="493"/>
      <c r="EL4" s="493"/>
      <c r="EM4" s="493"/>
      <c r="EN4" s="493"/>
      <c r="EO4" s="493"/>
      <c r="EP4" s="493"/>
      <c r="EQ4" s="493"/>
      <c r="ER4" s="493"/>
      <c r="ES4" s="493"/>
      <c r="ET4" s="493"/>
      <c r="EU4" s="493"/>
      <c r="EV4" s="493"/>
      <c r="EW4" s="493"/>
      <c r="EX4" s="493"/>
      <c r="EY4" s="493"/>
      <c r="EZ4" s="493"/>
      <c r="FA4" s="493"/>
      <c r="FB4" s="493"/>
      <c r="FC4" s="493"/>
      <c r="FD4" s="493"/>
      <c r="FE4" s="493"/>
      <c r="FF4" s="493"/>
      <c r="FG4" s="493"/>
      <c r="FH4" s="750"/>
    </row>
    <row r="5" spans="1:164" ht="21" customHeight="1">
      <c r="A5" s="2300" t="s">
        <v>4070</v>
      </c>
      <c r="B5" s="2300"/>
      <c r="C5" s="2300"/>
      <c r="D5" s="2300"/>
      <c r="E5" s="2300"/>
      <c r="F5" s="2300"/>
      <c r="G5" s="2300"/>
      <c r="H5" s="2300"/>
      <c r="I5" s="2300"/>
      <c r="J5" s="2300"/>
      <c r="K5" s="2300"/>
      <c r="L5" s="2300"/>
      <c r="M5" s="2300"/>
      <c r="N5" s="2300"/>
      <c r="O5" s="2300"/>
      <c r="P5" s="2300"/>
      <c r="Q5" s="2300"/>
      <c r="R5" s="2300"/>
      <c r="S5" s="2300"/>
      <c r="T5" s="2300"/>
      <c r="U5" s="2300"/>
      <c r="V5" s="2300"/>
      <c r="W5" s="2300"/>
      <c r="X5" s="2300"/>
      <c r="Y5" s="2300"/>
      <c r="Z5" s="2300"/>
      <c r="AA5" s="2300"/>
      <c r="AB5" s="2300"/>
      <c r="AC5" s="2300"/>
      <c r="AD5" s="2300"/>
      <c r="AE5" s="2300"/>
      <c r="AF5" s="2300"/>
      <c r="AG5" s="2300"/>
      <c r="AH5" s="2300"/>
      <c r="AI5" s="2300"/>
      <c r="AJ5" s="2300"/>
      <c r="AK5" s="2300"/>
      <c r="AL5" s="2300"/>
      <c r="AM5" s="2300"/>
      <c r="AN5" s="2300"/>
      <c r="AO5" s="2300"/>
      <c r="AP5" s="2300"/>
      <c r="AQ5" s="2300"/>
      <c r="AR5" s="2300"/>
      <c r="AS5" s="2300"/>
      <c r="AT5" s="2300"/>
      <c r="AU5" s="2300"/>
      <c r="AV5" s="2300"/>
      <c r="AW5" s="2300"/>
      <c r="AX5" s="2300"/>
      <c r="AY5" s="2300"/>
      <c r="AZ5" s="2300"/>
      <c r="BA5" s="2300"/>
      <c r="BB5" s="2300"/>
      <c r="BC5" s="2300"/>
      <c r="BD5" s="2300"/>
      <c r="BE5" s="2300"/>
      <c r="BF5" s="2300"/>
      <c r="BG5" s="2300"/>
      <c r="BH5" s="2300"/>
      <c r="BI5" s="2300"/>
      <c r="BJ5" s="2300"/>
      <c r="BK5" s="2300"/>
      <c r="BL5" s="2300"/>
      <c r="BM5" s="2300"/>
      <c r="BN5" s="2300"/>
      <c r="BO5" s="2300"/>
      <c r="BP5" s="2300"/>
      <c r="BQ5" s="2300"/>
      <c r="BR5" s="2300"/>
      <c r="BS5" s="2300"/>
      <c r="BT5" s="2300"/>
      <c r="BU5" s="2300"/>
      <c r="BV5" s="2300"/>
      <c r="BW5" s="2300"/>
      <c r="BX5" s="2300"/>
      <c r="BY5" s="2300"/>
      <c r="BZ5" s="2300"/>
      <c r="CA5" s="2300"/>
      <c r="CB5" s="2300"/>
      <c r="CC5" s="2300"/>
      <c r="CD5" s="2300"/>
      <c r="CE5" s="2300"/>
      <c r="CF5" s="2300"/>
      <c r="CG5" s="2300"/>
      <c r="CH5" s="2300"/>
      <c r="CI5" s="2300"/>
      <c r="CJ5" s="2300"/>
      <c r="CK5" s="2300"/>
      <c r="CL5" s="2300"/>
      <c r="CM5" s="2300"/>
      <c r="CN5" s="2300"/>
      <c r="CO5" s="2300"/>
      <c r="CP5" s="2300"/>
      <c r="CQ5" s="2300"/>
      <c r="CR5" s="2300"/>
      <c r="CS5" s="2300"/>
      <c r="CT5" s="2300"/>
      <c r="CU5" s="2300"/>
      <c r="CV5" s="2300"/>
      <c r="CW5" s="2300"/>
      <c r="CX5" s="2300"/>
      <c r="CY5" s="2300"/>
      <c r="CZ5" s="2300"/>
      <c r="DA5" s="2300"/>
      <c r="DB5" s="2300"/>
      <c r="DC5" s="2300"/>
      <c r="DD5" s="2300"/>
      <c r="DE5" s="2300"/>
      <c r="DF5" s="2300"/>
      <c r="DG5" s="2300"/>
      <c r="DH5" s="2300"/>
      <c r="DI5" s="2300"/>
      <c r="DJ5" s="2300"/>
      <c r="DK5" s="2300"/>
      <c r="DL5" s="2300"/>
      <c r="DM5" s="2300"/>
      <c r="DN5" s="2300"/>
      <c r="DO5" s="2300"/>
      <c r="DP5" s="2300"/>
      <c r="DQ5" s="2300"/>
      <c r="DR5" s="2300"/>
      <c r="DS5" s="2300"/>
      <c r="DT5" s="2300"/>
      <c r="DU5" s="2300"/>
      <c r="DV5" s="2300"/>
      <c r="DW5" s="2300"/>
      <c r="DX5" s="2300"/>
      <c r="DY5" s="2300"/>
      <c r="DZ5" s="2300"/>
      <c r="EA5" s="2300"/>
      <c r="EB5" s="2300"/>
      <c r="EC5" s="2300"/>
      <c r="ED5" s="2300"/>
      <c r="EE5" s="2300"/>
      <c r="EF5" s="2300"/>
      <c r="EG5" s="2300"/>
      <c r="EH5" s="2300"/>
      <c r="EI5" s="2300"/>
      <c r="EJ5" s="2300"/>
      <c r="EK5" s="2300"/>
      <c r="EL5" s="2300"/>
      <c r="EM5" s="2300"/>
      <c r="EN5" s="2300"/>
      <c r="EO5" s="2300"/>
      <c r="EP5" s="2300"/>
      <c r="EQ5" s="2300"/>
      <c r="ER5" s="2300"/>
      <c r="ES5" s="2300"/>
      <c r="ET5" s="2300"/>
      <c r="EU5" s="2300"/>
      <c r="EV5" s="2300"/>
      <c r="EW5" s="2300"/>
      <c r="EX5" s="2300"/>
      <c r="EY5" s="2300"/>
      <c r="EZ5" s="2300"/>
      <c r="FA5" s="2300"/>
      <c r="FB5" s="2300"/>
      <c r="FC5" s="2300"/>
      <c r="FD5" s="2300"/>
      <c r="FE5" s="2300"/>
      <c r="FF5" s="2300"/>
      <c r="FG5" s="2300"/>
      <c r="FH5" s="2300"/>
    </row>
    <row r="6" spans="1:164" ht="39.75" customHeight="1">
      <c r="A6" s="1735"/>
      <c r="B6" s="2308">
        <v>2013</v>
      </c>
      <c r="C6" s="2308"/>
      <c r="D6" s="2308"/>
      <c r="E6" s="2308"/>
      <c r="F6" s="2308"/>
      <c r="G6" s="2308"/>
      <c r="H6" s="2308"/>
      <c r="I6" s="2308"/>
      <c r="J6" s="2308"/>
      <c r="K6" s="2308"/>
      <c r="L6" s="2308"/>
      <c r="M6" s="2308"/>
      <c r="N6" s="2308">
        <v>2014</v>
      </c>
      <c r="O6" s="2308"/>
      <c r="P6" s="2308"/>
      <c r="Q6" s="2308"/>
      <c r="R6" s="2308"/>
      <c r="S6" s="2308"/>
      <c r="T6" s="2308"/>
      <c r="U6" s="2308"/>
      <c r="V6" s="2308"/>
      <c r="W6" s="2308"/>
      <c r="X6" s="2308"/>
      <c r="Y6" s="2308"/>
      <c r="Z6" s="2308">
        <v>2015</v>
      </c>
      <c r="AA6" s="2308"/>
      <c r="AB6" s="2308"/>
      <c r="AC6" s="2308"/>
      <c r="AD6" s="2308"/>
      <c r="AE6" s="2308"/>
      <c r="AF6" s="2308"/>
      <c r="AG6" s="2308"/>
      <c r="AH6" s="2308"/>
      <c r="AI6" s="2308"/>
      <c r="AJ6" s="2308"/>
      <c r="AK6" s="2308"/>
      <c r="AL6" s="2308">
        <v>2016</v>
      </c>
      <c r="AM6" s="2308"/>
      <c r="AN6" s="2308"/>
      <c r="AO6" s="2308"/>
      <c r="AP6" s="2308"/>
      <c r="AQ6" s="2308"/>
      <c r="AR6" s="2308"/>
      <c r="AS6" s="2308"/>
      <c r="AT6" s="2308"/>
      <c r="AU6" s="2308"/>
      <c r="AV6" s="2308"/>
      <c r="AW6" s="2308"/>
      <c r="AX6" s="778">
        <v>2017</v>
      </c>
      <c r="AY6" s="778"/>
      <c r="AZ6" s="778"/>
      <c r="BA6" s="778"/>
      <c r="BB6" s="778"/>
      <c r="BC6" s="778"/>
      <c r="BD6" s="778"/>
      <c r="BE6" s="778"/>
      <c r="BF6" s="823"/>
      <c r="BG6" s="2295">
        <v>2017</v>
      </c>
      <c r="BH6" s="2296"/>
      <c r="BI6" s="2305"/>
      <c r="BJ6" s="833">
        <v>2018</v>
      </c>
      <c r="BK6" s="833"/>
      <c r="BL6" s="833"/>
      <c r="BM6" s="833"/>
      <c r="BN6" s="833"/>
      <c r="BO6" s="833"/>
      <c r="BP6" s="833"/>
      <c r="BQ6" s="833"/>
      <c r="BR6" s="833"/>
      <c r="BS6" s="833"/>
      <c r="BT6" s="833"/>
      <c r="BU6" s="832">
        <v>2018</v>
      </c>
      <c r="BV6" s="833">
        <v>2019</v>
      </c>
      <c r="BW6" s="833"/>
      <c r="BX6" s="833"/>
      <c r="BY6" s="833"/>
      <c r="BZ6" s="833"/>
      <c r="CA6" s="833"/>
      <c r="CB6" s="833"/>
      <c r="CC6" s="833"/>
      <c r="CD6" s="833"/>
      <c r="CE6" s="2295">
        <v>2019</v>
      </c>
      <c r="CF6" s="2296"/>
      <c r="CG6" s="2305"/>
      <c r="CH6" s="832">
        <v>2020</v>
      </c>
      <c r="CI6" s="832">
        <v>2020</v>
      </c>
      <c r="CJ6" s="832">
        <v>2020</v>
      </c>
      <c r="CK6" s="832">
        <v>2020</v>
      </c>
      <c r="CL6" s="832">
        <v>2020</v>
      </c>
      <c r="CM6" s="832">
        <v>2020</v>
      </c>
      <c r="CN6" s="832">
        <v>2020</v>
      </c>
      <c r="CO6" s="832">
        <v>2020</v>
      </c>
      <c r="CP6" s="832">
        <v>2020</v>
      </c>
      <c r="CQ6" s="832">
        <v>2020</v>
      </c>
      <c r="CR6" s="832">
        <v>2020</v>
      </c>
      <c r="CS6" s="832">
        <v>2020</v>
      </c>
      <c r="CT6" s="889">
        <v>2021</v>
      </c>
      <c r="CU6" s="2309">
        <v>2021</v>
      </c>
      <c r="CV6" s="2296"/>
      <c r="CW6" s="2296"/>
      <c r="CX6" s="2296"/>
      <c r="CY6" s="2296"/>
      <c r="CZ6" s="2296"/>
      <c r="DA6" s="2296"/>
      <c r="DB6" s="2296"/>
      <c r="DC6" s="2296"/>
      <c r="DD6" s="2296"/>
      <c r="DE6" s="2297"/>
      <c r="DF6" s="2304">
        <v>2022</v>
      </c>
      <c r="DG6" s="2296"/>
      <c r="DH6" s="2296"/>
      <c r="DI6" s="2296"/>
      <c r="DJ6" s="2296"/>
      <c r="DK6" s="2296"/>
      <c r="DL6" s="2296"/>
      <c r="DM6" s="2296"/>
      <c r="DN6" s="2296"/>
      <c r="DO6" s="2296"/>
      <c r="DP6" s="2296"/>
      <c r="DQ6" s="2297"/>
      <c r="DR6" s="2304">
        <v>2023</v>
      </c>
      <c r="DS6" s="2296"/>
      <c r="DT6" s="2296"/>
      <c r="DU6" s="2296"/>
      <c r="DV6" s="2296"/>
      <c r="DW6" s="2296"/>
      <c r="DX6" s="2296"/>
      <c r="DY6" s="2296"/>
      <c r="DZ6" s="2296"/>
      <c r="EA6" s="2296"/>
      <c r="EB6" s="2296"/>
      <c r="EC6" s="2297"/>
      <c r="ED6" s="2304">
        <v>2024</v>
      </c>
      <c r="EE6" s="2296"/>
      <c r="EF6" s="2296"/>
      <c r="EG6" s="2296"/>
      <c r="EH6" s="2296"/>
      <c r="EI6" s="2296"/>
      <c r="EJ6" s="2296"/>
      <c r="EK6" s="2296"/>
      <c r="EL6" s="2296"/>
      <c r="EM6" s="2296"/>
      <c r="EN6" s="2296"/>
      <c r="EO6" s="832">
        <v>2024</v>
      </c>
      <c r="EP6" s="2295">
        <v>2025</v>
      </c>
      <c r="EQ6" s="2296"/>
      <c r="ER6" s="2296"/>
      <c r="ES6" s="2296"/>
      <c r="ET6" s="2296"/>
      <c r="EU6" s="2296"/>
      <c r="EV6" s="2296"/>
      <c r="EW6" s="2296"/>
      <c r="EX6" s="2296"/>
      <c r="EY6" s="2296"/>
      <c r="EZ6" s="2296"/>
      <c r="FA6" s="2297"/>
      <c r="FB6" s="2304">
        <v>2026</v>
      </c>
      <c r="FC6" s="2296"/>
      <c r="FD6" s="2296"/>
      <c r="FE6" s="2296"/>
      <c r="FF6" s="2296"/>
      <c r="FG6" s="2305"/>
      <c r="FH6" s="2301"/>
    </row>
    <row r="7" spans="1:164" ht="39.75" customHeight="1">
      <c r="A7" s="1738"/>
      <c r="B7" s="1737" t="s">
        <v>1948</v>
      </c>
      <c r="C7" s="814" t="s">
        <v>1959</v>
      </c>
      <c r="D7" s="814" t="s">
        <v>1958</v>
      </c>
      <c r="E7" s="814" t="s">
        <v>1957</v>
      </c>
      <c r="F7" s="814" t="s">
        <v>1956</v>
      </c>
      <c r="G7" s="814" t="s">
        <v>1955</v>
      </c>
      <c r="H7" s="814" t="s">
        <v>1954</v>
      </c>
      <c r="I7" s="814" t="s">
        <v>1953</v>
      </c>
      <c r="J7" s="814" t="s">
        <v>1952</v>
      </c>
      <c r="K7" s="814" t="s">
        <v>1951</v>
      </c>
      <c r="L7" s="814" t="s">
        <v>1950</v>
      </c>
      <c r="M7" s="814" t="s">
        <v>1949</v>
      </c>
      <c r="N7" s="814" t="s">
        <v>1948</v>
      </c>
      <c r="O7" s="814" t="s">
        <v>1959</v>
      </c>
      <c r="P7" s="814" t="s">
        <v>1958</v>
      </c>
      <c r="Q7" s="814" t="s">
        <v>1957</v>
      </c>
      <c r="R7" s="814" t="s">
        <v>1956</v>
      </c>
      <c r="S7" s="814" t="s">
        <v>1955</v>
      </c>
      <c r="T7" s="814" t="s">
        <v>1954</v>
      </c>
      <c r="U7" s="814" t="s">
        <v>1953</v>
      </c>
      <c r="V7" s="814" t="s">
        <v>1952</v>
      </c>
      <c r="W7" s="814" t="s">
        <v>1951</v>
      </c>
      <c r="X7" s="814" t="s">
        <v>1950</v>
      </c>
      <c r="Y7" s="814" t="s">
        <v>1949</v>
      </c>
      <c r="Z7" s="814" t="s">
        <v>1948</v>
      </c>
      <c r="AA7" s="814" t="s">
        <v>1959</v>
      </c>
      <c r="AB7" s="814" t="s">
        <v>1958</v>
      </c>
      <c r="AC7" s="814" t="s">
        <v>1957</v>
      </c>
      <c r="AD7" s="814" t="s">
        <v>1956</v>
      </c>
      <c r="AE7" s="814" t="s">
        <v>1955</v>
      </c>
      <c r="AF7" s="814" t="s">
        <v>1954</v>
      </c>
      <c r="AG7" s="814" t="s">
        <v>1953</v>
      </c>
      <c r="AH7" s="814" t="s">
        <v>1952</v>
      </c>
      <c r="AI7" s="814" t="s">
        <v>1951</v>
      </c>
      <c r="AJ7" s="814" t="s">
        <v>1950</v>
      </c>
      <c r="AK7" s="814" t="s">
        <v>1949</v>
      </c>
      <c r="AL7" s="814" t="s">
        <v>1948</v>
      </c>
      <c r="AM7" s="814" t="s">
        <v>1959</v>
      </c>
      <c r="AN7" s="814" t="s">
        <v>1958</v>
      </c>
      <c r="AO7" s="814" t="s">
        <v>1957</v>
      </c>
      <c r="AP7" s="814" t="s">
        <v>1956</v>
      </c>
      <c r="AQ7" s="814" t="s">
        <v>1955</v>
      </c>
      <c r="AR7" s="814" t="s">
        <v>1954</v>
      </c>
      <c r="AS7" s="814" t="s">
        <v>1953</v>
      </c>
      <c r="AT7" s="814" t="s">
        <v>1952</v>
      </c>
      <c r="AU7" s="814" t="s">
        <v>1951</v>
      </c>
      <c r="AV7" s="814" t="s">
        <v>1950</v>
      </c>
      <c r="AW7" s="814" t="s">
        <v>1949</v>
      </c>
      <c r="AX7" s="814" t="s">
        <v>1948</v>
      </c>
      <c r="AY7" s="814" t="s">
        <v>1947</v>
      </c>
      <c r="AZ7" s="814" t="s">
        <v>1946</v>
      </c>
      <c r="BA7" s="814" t="s">
        <v>1945</v>
      </c>
      <c r="BB7" s="814" t="s">
        <v>1965</v>
      </c>
      <c r="BC7" s="814" t="s">
        <v>1966</v>
      </c>
      <c r="BD7" s="814" t="s">
        <v>1975</v>
      </c>
      <c r="BE7" s="814" t="s">
        <v>1985</v>
      </c>
      <c r="BF7" s="814" t="s">
        <v>1995</v>
      </c>
      <c r="BG7" s="844" t="s">
        <v>2008</v>
      </c>
      <c r="BH7" s="845" t="s">
        <v>2019</v>
      </c>
      <c r="BI7" s="846" t="s">
        <v>1949</v>
      </c>
      <c r="BJ7" s="846" t="s">
        <v>1948</v>
      </c>
      <c r="BK7" s="846" t="s">
        <v>1947</v>
      </c>
      <c r="BL7" s="846" t="s">
        <v>1946</v>
      </c>
      <c r="BM7" s="846" t="s">
        <v>1945</v>
      </c>
      <c r="BN7" s="846" t="s">
        <v>1965</v>
      </c>
      <c r="BO7" s="846" t="s">
        <v>1966</v>
      </c>
      <c r="BP7" s="846" t="s">
        <v>1975</v>
      </c>
      <c r="BQ7" s="846" t="s">
        <v>1985</v>
      </c>
      <c r="BR7" s="846" t="s">
        <v>1995</v>
      </c>
      <c r="BS7" s="846" t="s">
        <v>2008</v>
      </c>
      <c r="BT7" s="846" t="s">
        <v>2019</v>
      </c>
      <c r="BU7" s="846" t="s">
        <v>1949</v>
      </c>
      <c r="BV7" s="846" t="s">
        <v>1948</v>
      </c>
      <c r="BW7" s="846" t="s">
        <v>1947</v>
      </c>
      <c r="BX7" s="846" t="s">
        <v>1946</v>
      </c>
      <c r="BY7" s="846" t="s">
        <v>1945</v>
      </c>
      <c r="BZ7" s="846" t="s">
        <v>1965</v>
      </c>
      <c r="CA7" s="846" t="s">
        <v>1966</v>
      </c>
      <c r="CB7" s="846" t="s">
        <v>1975</v>
      </c>
      <c r="CC7" s="846" t="s">
        <v>1985</v>
      </c>
      <c r="CD7" s="846" t="s">
        <v>1995</v>
      </c>
      <c r="CE7" s="846" t="s">
        <v>2008</v>
      </c>
      <c r="CF7" s="846" t="s">
        <v>2019</v>
      </c>
      <c r="CG7" s="846" t="s">
        <v>2345</v>
      </c>
      <c r="CH7" s="846" t="s">
        <v>1948</v>
      </c>
      <c r="CI7" s="846" t="s">
        <v>1947</v>
      </c>
      <c r="CJ7" s="846" t="s">
        <v>1946</v>
      </c>
      <c r="CK7" s="846" t="s">
        <v>1945</v>
      </c>
      <c r="CL7" s="846" t="s">
        <v>1965</v>
      </c>
      <c r="CM7" s="846" t="s">
        <v>2413</v>
      </c>
      <c r="CN7" s="846" t="s">
        <v>2419</v>
      </c>
      <c r="CO7" s="846" t="s">
        <v>1985</v>
      </c>
      <c r="CP7" s="846" t="s">
        <v>1995</v>
      </c>
      <c r="CQ7" s="846" t="s">
        <v>2008</v>
      </c>
      <c r="CR7" s="846" t="s">
        <v>2019</v>
      </c>
      <c r="CS7" s="846" t="s">
        <v>1949</v>
      </c>
      <c r="CT7" s="824" t="s">
        <v>1948</v>
      </c>
      <c r="CU7" s="824" t="s">
        <v>1947</v>
      </c>
      <c r="CV7" s="824" t="s">
        <v>1946</v>
      </c>
      <c r="CW7" s="824" t="s">
        <v>1945</v>
      </c>
      <c r="CX7" s="824" t="s">
        <v>1965</v>
      </c>
      <c r="CY7" s="824" t="s">
        <v>1966</v>
      </c>
      <c r="CZ7" s="824" t="s">
        <v>1975</v>
      </c>
      <c r="DA7" s="824" t="s">
        <v>1985</v>
      </c>
      <c r="DB7" s="824" t="s">
        <v>2641</v>
      </c>
      <c r="DC7" s="824" t="s">
        <v>2008</v>
      </c>
      <c r="DD7" s="824" t="s">
        <v>2019</v>
      </c>
      <c r="DE7" s="824" t="s">
        <v>1949</v>
      </c>
      <c r="DF7" s="824" t="s">
        <v>1948</v>
      </c>
      <c r="DG7" s="824" t="s">
        <v>1947</v>
      </c>
      <c r="DH7" s="824" t="s">
        <v>1946</v>
      </c>
      <c r="DI7" s="824" t="s">
        <v>1945</v>
      </c>
      <c r="DJ7" s="824" t="s">
        <v>1965</v>
      </c>
      <c r="DK7" s="824" t="s">
        <v>1966</v>
      </c>
      <c r="DL7" s="824" t="s">
        <v>1975</v>
      </c>
      <c r="DM7" s="824" t="s">
        <v>1985</v>
      </c>
      <c r="DN7" s="824" t="s">
        <v>1995</v>
      </c>
      <c r="DO7" s="824" t="s">
        <v>2008</v>
      </c>
      <c r="DP7" s="824" t="s">
        <v>2019</v>
      </c>
      <c r="DQ7" s="824" t="s">
        <v>1949</v>
      </c>
      <c r="DR7" s="824" t="s">
        <v>1948</v>
      </c>
      <c r="DS7" s="824" t="s">
        <v>1947</v>
      </c>
      <c r="DT7" s="824" t="s">
        <v>1946</v>
      </c>
      <c r="DU7" s="824" t="s">
        <v>1945</v>
      </c>
      <c r="DV7" s="824" t="s">
        <v>1965</v>
      </c>
      <c r="DW7" s="824" t="s">
        <v>1966</v>
      </c>
      <c r="DX7" s="824" t="s">
        <v>1975</v>
      </c>
      <c r="DY7" s="824" t="s">
        <v>1985</v>
      </c>
      <c r="DZ7" s="824" t="s">
        <v>1995</v>
      </c>
      <c r="EA7" s="824" t="s">
        <v>2008</v>
      </c>
      <c r="EB7" s="824" t="s">
        <v>2019</v>
      </c>
      <c r="EC7" s="824" t="s">
        <v>1949</v>
      </c>
      <c r="ED7" s="824" t="s">
        <v>1948</v>
      </c>
      <c r="EE7" s="824" t="s">
        <v>1947</v>
      </c>
      <c r="EF7" s="824" t="s">
        <v>1946</v>
      </c>
      <c r="EG7" s="824" t="s">
        <v>1945</v>
      </c>
      <c r="EH7" s="824" t="s">
        <v>1965</v>
      </c>
      <c r="EI7" s="824" t="s">
        <v>1966</v>
      </c>
      <c r="EJ7" s="824" t="s">
        <v>1975</v>
      </c>
      <c r="EK7" s="824" t="s">
        <v>1985</v>
      </c>
      <c r="EL7" s="824" t="s">
        <v>1995</v>
      </c>
      <c r="EM7" s="824" t="s">
        <v>2008</v>
      </c>
      <c r="EN7" s="824" t="s">
        <v>2019</v>
      </c>
      <c r="EO7" s="824" t="s">
        <v>1949</v>
      </c>
      <c r="EP7" s="824" t="s">
        <v>1948</v>
      </c>
      <c r="EQ7" s="824" t="s">
        <v>1947</v>
      </c>
      <c r="ER7" s="824" t="s">
        <v>1946</v>
      </c>
      <c r="ES7" s="824" t="s">
        <v>1945</v>
      </c>
      <c r="ET7" s="824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02"/>
    </row>
    <row r="8" spans="1:164" ht="39.75" customHeight="1">
      <c r="A8" s="1736"/>
      <c r="B8" s="1727"/>
      <c r="C8" s="1727"/>
      <c r="D8" s="1727"/>
      <c r="E8" s="1727"/>
      <c r="F8" s="1727"/>
      <c r="G8" s="1727"/>
      <c r="H8" s="1727"/>
      <c r="I8" s="1727"/>
      <c r="J8" s="1727"/>
      <c r="K8" s="1727"/>
      <c r="L8" s="1727"/>
      <c r="M8" s="1727"/>
      <c r="N8" s="1727"/>
      <c r="O8" s="1727"/>
      <c r="P8" s="1727"/>
      <c r="Q8" s="1727"/>
      <c r="R8" s="1727"/>
      <c r="S8" s="1727"/>
      <c r="T8" s="1727"/>
      <c r="U8" s="1727"/>
      <c r="V8" s="1727"/>
      <c r="W8" s="1727"/>
      <c r="X8" s="1727"/>
      <c r="Y8" s="1727"/>
      <c r="Z8" s="1727"/>
      <c r="AA8" s="1727"/>
      <c r="AB8" s="1727"/>
      <c r="AC8" s="1727"/>
      <c r="AD8" s="1727"/>
      <c r="AE8" s="1727"/>
      <c r="AF8" s="1727"/>
      <c r="AG8" s="1727"/>
      <c r="AH8" s="1727"/>
      <c r="AI8" s="1727"/>
      <c r="AJ8" s="1727"/>
      <c r="AK8" s="1727"/>
      <c r="AL8" s="1727"/>
      <c r="AM8" s="1727"/>
      <c r="AN8" s="1727"/>
      <c r="AO8" s="1727"/>
      <c r="AP8" s="1727"/>
      <c r="AQ8" s="1727"/>
      <c r="AR8" s="1727"/>
      <c r="AS8" s="1727"/>
      <c r="AT8" s="1727"/>
      <c r="AU8" s="1727"/>
      <c r="AV8" s="1727"/>
      <c r="AW8" s="1727"/>
      <c r="AX8" s="1727"/>
      <c r="AY8" s="1727"/>
      <c r="AZ8" s="1727"/>
      <c r="BA8" s="1727"/>
      <c r="BB8" s="1727"/>
      <c r="BC8" s="1727"/>
      <c r="BD8" s="1727"/>
      <c r="BE8" s="1727"/>
      <c r="BF8" s="1727"/>
      <c r="BG8" s="1728"/>
      <c r="BH8" s="1729"/>
      <c r="BI8" s="1730" t="s">
        <v>3174</v>
      </c>
      <c r="BJ8" s="1730"/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/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/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/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/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/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03"/>
    </row>
    <row r="9" spans="1:164" ht="21">
      <c r="A9" s="1720" t="s">
        <v>2740</v>
      </c>
      <c r="B9" s="780">
        <v>4126.3043516400003</v>
      </c>
      <c r="C9" s="780">
        <v>4243.2361221800002</v>
      </c>
      <c r="D9" s="780">
        <v>4395.2306523999996</v>
      </c>
      <c r="E9" s="780">
        <v>4571.7899217900003</v>
      </c>
      <c r="F9" s="780">
        <v>4746.80329867</v>
      </c>
      <c r="G9" s="780">
        <v>4857.1288539999996</v>
      </c>
      <c r="H9" s="780">
        <v>5046.0566906500007</v>
      </c>
      <c r="I9" s="780">
        <v>5191.2890298799994</v>
      </c>
      <c r="J9" s="780">
        <v>5307.5424306999994</v>
      </c>
      <c r="K9" s="780">
        <v>5465.5124227400011</v>
      </c>
      <c r="L9" s="780">
        <v>5613.9864098200005</v>
      </c>
      <c r="M9" s="781">
        <v>5793.5089223899986</v>
      </c>
      <c r="N9" s="781">
        <v>5859.1886001000003</v>
      </c>
      <c r="O9" s="781">
        <v>5931.6637276599995</v>
      </c>
      <c r="P9" s="781">
        <v>6010.4305670099993</v>
      </c>
      <c r="Q9" s="781">
        <v>6158.7468054399997</v>
      </c>
      <c r="R9" s="781">
        <v>6289.4102778899996</v>
      </c>
      <c r="S9" s="781">
        <v>6367.6958379099997</v>
      </c>
      <c r="T9" s="781">
        <v>6502.4703613800002</v>
      </c>
      <c r="U9" s="781">
        <v>6619.28031173</v>
      </c>
      <c r="V9" s="781">
        <v>6769.8166251600005</v>
      </c>
      <c r="W9" s="781">
        <v>6879.0306529</v>
      </c>
      <c r="X9" s="781">
        <v>7023.3350331799993</v>
      </c>
      <c r="Y9" s="781">
        <v>7227.0741123100006</v>
      </c>
      <c r="Z9" s="781">
        <v>7191.1</v>
      </c>
      <c r="AA9" s="781">
        <v>7883.7203339400003</v>
      </c>
      <c r="AB9" s="781">
        <v>7763.6107658199999</v>
      </c>
      <c r="AC9" s="781">
        <v>7664.13878811</v>
      </c>
      <c r="AD9" s="781">
        <v>7509.8486630500011</v>
      </c>
      <c r="AE9" s="781">
        <v>7351.0287925299999</v>
      </c>
      <c r="AF9" s="781">
        <v>7232.2617045400002</v>
      </c>
      <c r="AG9" s="781">
        <v>7146.6956625500006</v>
      </c>
      <c r="AH9" s="781">
        <v>7054.5576469299995</v>
      </c>
      <c r="AI9" s="781">
        <v>7028.7295239699997</v>
      </c>
      <c r="AJ9" s="781">
        <v>7001.6636089399999</v>
      </c>
      <c r="AK9" s="781">
        <v>7855.2649287000004</v>
      </c>
      <c r="AL9" s="781">
        <v>7517.1450385600001</v>
      </c>
      <c r="AM9" s="781">
        <v>7190.3583468900006</v>
      </c>
      <c r="AN9" s="781">
        <v>7033.8865993099998</v>
      </c>
      <c r="AO9" s="781">
        <v>6708.4042415799995</v>
      </c>
      <c r="AP9" s="781">
        <v>6455.65703252</v>
      </c>
      <c r="AQ9" s="781">
        <v>6434.8477373199994</v>
      </c>
      <c r="AR9" s="781">
        <v>5805.6135244399993</v>
      </c>
      <c r="AS9" s="781">
        <v>5840.9066246500006</v>
      </c>
      <c r="AT9" s="781">
        <v>5760.6899252399999</v>
      </c>
      <c r="AU9" s="781">
        <v>5530.4279767500002</v>
      </c>
      <c r="AV9" s="781">
        <v>5552.5847048000005</v>
      </c>
      <c r="AW9" s="781">
        <v>5483.0900506799999</v>
      </c>
      <c r="AX9" s="781">
        <v>5476.4053517699995</v>
      </c>
      <c r="AY9" s="781">
        <v>5191.02785055</v>
      </c>
      <c r="AZ9" s="781">
        <v>5055.7242160200003</v>
      </c>
      <c r="BA9" s="781">
        <v>4950.0008407200003</v>
      </c>
      <c r="BB9" s="781">
        <v>4885.3536417699997</v>
      </c>
      <c r="BC9" s="781">
        <v>4812.5133012899996</v>
      </c>
      <c r="BD9" s="781">
        <v>4686.6050257199995</v>
      </c>
      <c r="BE9" s="781">
        <v>4643.6817562199994</v>
      </c>
      <c r="BF9" s="781">
        <v>4602.1221259900003</v>
      </c>
      <c r="BG9" s="782">
        <v>4440.6486830800004</v>
      </c>
      <c r="BH9" s="820">
        <v>4431.5945002799999</v>
      </c>
      <c r="BI9" s="815">
        <v>4365.8507007500002</v>
      </c>
      <c r="BJ9" s="815">
        <v>4314.8353777100001</v>
      </c>
      <c r="BK9" s="815">
        <v>4367.3201854799991</v>
      </c>
      <c r="BL9" s="815">
        <v>4427.1815962000001</v>
      </c>
      <c r="BM9" s="815">
        <v>4501.5782457400001</v>
      </c>
      <c r="BN9" s="815">
        <v>4612.0409873500003</v>
      </c>
      <c r="BO9" s="815">
        <v>4636.3700653200003</v>
      </c>
      <c r="BP9" s="815">
        <v>4681.5904765300002</v>
      </c>
      <c r="BQ9" s="815">
        <v>4784.8033697199999</v>
      </c>
      <c r="BR9" s="815">
        <v>4858.2214125299997</v>
      </c>
      <c r="BS9" s="815">
        <v>4916.5431760599995</v>
      </c>
      <c r="BT9" s="815">
        <v>5107.7351735099992</v>
      </c>
      <c r="BU9" s="815">
        <v>5129.5981377299995</v>
      </c>
      <c r="BV9" s="815">
        <v>5126.0750779299997</v>
      </c>
      <c r="BW9" s="815">
        <v>5187.9813397300004</v>
      </c>
      <c r="BX9" s="815">
        <v>5252.0117248000006</v>
      </c>
      <c r="BY9" s="815">
        <v>5342.2124332099993</v>
      </c>
      <c r="BZ9" s="815">
        <v>5484.9197545500001</v>
      </c>
      <c r="CA9" s="815">
        <v>5628.2279060400006</v>
      </c>
      <c r="CB9" s="815">
        <v>5750.2444007900003</v>
      </c>
      <c r="CC9" s="815">
        <v>5903.547120870001</v>
      </c>
      <c r="CD9" s="815">
        <v>6074.9968601999999</v>
      </c>
      <c r="CE9" s="815">
        <v>6213.9014835300004</v>
      </c>
      <c r="CF9" s="815">
        <v>6597.5114896300001</v>
      </c>
      <c r="CG9" s="815">
        <v>6742.5924055300002</v>
      </c>
      <c r="CH9" s="815">
        <v>6768.8706715900007</v>
      </c>
      <c r="CI9" s="815">
        <v>6863.4079564399999</v>
      </c>
      <c r="CJ9" s="815">
        <v>6713.4936255599996</v>
      </c>
      <c r="CK9" s="815">
        <v>6456.9184454100005</v>
      </c>
      <c r="CL9" s="815">
        <v>6328.02045034</v>
      </c>
      <c r="CM9" s="815">
        <v>6300.7536029399989</v>
      </c>
      <c r="CN9" s="815">
        <v>6321.2446722200002</v>
      </c>
      <c r="CO9" s="815">
        <v>6420.2874057599984</v>
      </c>
      <c r="CP9" s="815">
        <v>6541.8174222599991</v>
      </c>
      <c r="CQ9" s="815">
        <v>6526.4718856799991</v>
      </c>
      <c r="CR9" s="815">
        <v>6518.7552752199999</v>
      </c>
      <c r="CS9" s="815">
        <v>6477.0138981200007</v>
      </c>
      <c r="CT9" s="815">
        <v>6549.4246127300003</v>
      </c>
      <c r="CU9" s="815">
        <v>6539.0817762200004</v>
      </c>
      <c r="CV9" s="815">
        <v>6632.1192125799998</v>
      </c>
      <c r="CW9" s="815">
        <v>6807.4701766500002</v>
      </c>
      <c r="CX9" s="815">
        <v>6914.7730755599996</v>
      </c>
      <c r="CY9" s="815">
        <v>7066.2354611199999</v>
      </c>
      <c r="CZ9" s="815">
        <v>7205.9675539399996</v>
      </c>
      <c r="DA9" s="815">
        <v>7434.7409468599999</v>
      </c>
      <c r="DB9" s="815">
        <v>7661.3421953699999</v>
      </c>
      <c r="DC9" s="815">
        <v>7852.5090272500001</v>
      </c>
      <c r="DD9" s="815">
        <v>8052.42292997</v>
      </c>
      <c r="DE9" s="815">
        <v>8320.5240356199993</v>
      </c>
      <c r="DF9" s="815">
        <v>8480.9704156700009</v>
      </c>
      <c r="DG9" s="815">
        <v>8661.6781615899999</v>
      </c>
      <c r="DH9" s="815">
        <v>8961.90120785</v>
      </c>
      <c r="DI9" s="815">
        <v>9159.7569552000004</v>
      </c>
      <c r="DJ9" s="815">
        <v>9382.4405607000008</v>
      </c>
      <c r="DK9" s="815">
        <v>9603.0551213800009</v>
      </c>
      <c r="DL9" s="815">
        <v>9789.8246620699992</v>
      </c>
      <c r="DM9" s="815">
        <v>10009.31486307</v>
      </c>
      <c r="DN9" s="815">
        <v>10343.172838570001</v>
      </c>
      <c r="DO9" s="815">
        <v>10584.53099259</v>
      </c>
      <c r="DP9" s="815">
        <v>10769.64167906</v>
      </c>
      <c r="DQ9" s="815">
        <v>10889.74969981</v>
      </c>
      <c r="DR9" s="815">
        <v>11023.7346657</v>
      </c>
      <c r="DS9" s="815">
        <v>11165.14284441</v>
      </c>
      <c r="DT9" s="815">
        <v>11377.76447181</v>
      </c>
      <c r="DU9" s="815">
        <v>11677.08881306</v>
      </c>
      <c r="DV9" s="815">
        <v>11955.9738413</v>
      </c>
      <c r="DW9" s="815">
        <v>12165.63551942</v>
      </c>
      <c r="DX9" s="815">
        <v>12326.41694667</v>
      </c>
      <c r="DY9" s="815">
        <v>12656.24994496</v>
      </c>
      <c r="DZ9" s="815">
        <v>12945.850470400001</v>
      </c>
      <c r="EA9" s="815">
        <v>13019.06049285</v>
      </c>
      <c r="EB9" s="815">
        <v>13338.71316668</v>
      </c>
      <c r="EC9" s="815">
        <v>13515.026135939999</v>
      </c>
      <c r="ED9" s="815">
        <v>13604.574583670001</v>
      </c>
      <c r="EE9" s="815">
        <v>13779.339342359999</v>
      </c>
      <c r="EF9" s="815">
        <v>13946.66314035</v>
      </c>
      <c r="EG9" s="815">
        <v>14296.20954494</v>
      </c>
      <c r="EH9" s="815">
        <v>14551.6273227</v>
      </c>
      <c r="EI9" s="815">
        <v>14760.371802559999</v>
      </c>
      <c r="EJ9" s="815">
        <v>15066.3177667</v>
      </c>
      <c r="EK9" s="815">
        <v>15430.268113620001</v>
      </c>
      <c r="EL9" s="815">
        <v>15746.99951609</v>
      </c>
      <c r="EM9" s="815">
        <v>15978.859933379999</v>
      </c>
      <c r="EN9" s="815">
        <v>16198.49383687</v>
      </c>
      <c r="EO9" s="815">
        <v>16358.48010246</v>
      </c>
      <c r="EP9" s="815">
        <v>16475.194869200001</v>
      </c>
      <c r="EQ9" s="815">
        <v>16511.02818904</v>
      </c>
      <c r="ER9" s="815">
        <v>16670.391700299999</v>
      </c>
      <c r="ES9" s="815">
        <v>16909.090097849999</v>
      </c>
      <c r="ET9" s="815">
        <v>17090.43128705</v>
      </c>
      <c r="EU9" s="815">
        <v>17144.292302369999</v>
      </c>
      <c r="EV9" s="815">
        <v>17314.49367304</v>
      </c>
      <c r="EW9" s="815">
        <v>17544.02604737</v>
      </c>
      <c r="EX9" s="815">
        <v>17754.82921236</v>
      </c>
      <c r="EY9" s="815">
        <v>17868.918509020001</v>
      </c>
      <c r="EZ9" s="815">
        <v>18003.523431310001</v>
      </c>
      <c r="FA9" s="815">
        <v>18168.23604679</v>
      </c>
      <c r="FB9" s="815">
        <v>18230.38989129</v>
      </c>
      <c r="FC9" s="815">
        <v>18312.258963550001</v>
      </c>
      <c r="FD9" s="815">
        <v>18305.558886139999</v>
      </c>
      <c r="FE9" s="815">
        <v>18626.880520989998</v>
      </c>
      <c r="FF9" s="815">
        <v>18869.016546170002</v>
      </c>
      <c r="FG9" s="815">
        <v>19067.867795310001</v>
      </c>
      <c r="FH9" s="1720" t="s">
        <v>1152</v>
      </c>
    </row>
    <row r="10" spans="1:164" ht="21">
      <c r="A10" s="1721" t="s">
        <v>1941</v>
      </c>
      <c r="B10" s="783">
        <v>203.66571327</v>
      </c>
      <c r="C10" s="783">
        <v>218.70473271999998</v>
      </c>
      <c r="D10" s="783">
        <v>238.41179708999999</v>
      </c>
      <c r="E10" s="783">
        <v>243.85885109000003</v>
      </c>
      <c r="F10" s="783">
        <v>265.22080545</v>
      </c>
      <c r="G10" s="783">
        <v>274.97615418999999</v>
      </c>
      <c r="H10" s="783">
        <v>290.78014209000003</v>
      </c>
      <c r="I10" s="783">
        <v>312.04198859999997</v>
      </c>
      <c r="J10" s="783">
        <v>330.92117612999999</v>
      </c>
      <c r="K10" s="783">
        <v>348.84465638</v>
      </c>
      <c r="L10" s="783">
        <v>364.29915122</v>
      </c>
      <c r="M10" s="784">
        <v>392.48039172999995</v>
      </c>
      <c r="N10" s="784">
        <v>411.19484534000003</v>
      </c>
      <c r="O10" s="784">
        <v>420.94927804000008</v>
      </c>
      <c r="P10" s="784">
        <v>443.73007379000001</v>
      </c>
      <c r="Q10" s="784">
        <v>450.10162295999999</v>
      </c>
      <c r="R10" s="784">
        <v>464.61253657000003</v>
      </c>
      <c r="S10" s="784">
        <v>475.11422660000005</v>
      </c>
      <c r="T10" s="784">
        <v>497.92256012999997</v>
      </c>
      <c r="U10" s="784">
        <v>503.63258666000002</v>
      </c>
      <c r="V10" s="784">
        <v>523.30241130000013</v>
      </c>
      <c r="W10" s="784">
        <v>553.70656314000007</v>
      </c>
      <c r="X10" s="784">
        <v>557.27342995000004</v>
      </c>
      <c r="Y10" s="784">
        <v>591.20049481000001</v>
      </c>
      <c r="Z10" s="784">
        <v>615.70000000000005</v>
      </c>
      <c r="AA10" s="784">
        <v>670.19783125000004</v>
      </c>
      <c r="AB10" s="784">
        <v>685.15657996999994</v>
      </c>
      <c r="AC10" s="784">
        <v>663.63511814000003</v>
      </c>
      <c r="AD10" s="784">
        <v>652.56983934999994</v>
      </c>
      <c r="AE10" s="784">
        <v>642.44542064999996</v>
      </c>
      <c r="AF10" s="784">
        <v>632.48543055999994</v>
      </c>
      <c r="AG10" s="784">
        <v>630.87086547000001</v>
      </c>
      <c r="AH10" s="784">
        <v>626.4003544599999</v>
      </c>
      <c r="AI10" s="784">
        <v>615.49424133000002</v>
      </c>
      <c r="AJ10" s="784">
        <v>618.61007252999991</v>
      </c>
      <c r="AK10" s="784">
        <v>699.13054933000001</v>
      </c>
      <c r="AL10" s="784">
        <v>666.20757859000014</v>
      </c>
      <c r="AM10" s="784">
        <v>626.98112474000004</v>
      </c>
      <c r="AN10" s="784">
        <v>611.00252260999991</v>
      </c>
      <c r="AO10" s="784">
        <v>582.91191372000003</v>
      </c>
      <c r="AP10" s="784">
        <v>559.37772720999999</v>
      </c>
      <c r="AQ10" s="784">
        <v>557.48607903999994</v>
      </c>
      <c r="AR10" s="784">
        <v>543.67737364999994</v>
      </c>
      <c r="AS10" s="784">
        <v>545.19190574999993</v>
      </c>
      <c r="AT10" s="784">
        <v>532.8582217500001</v>
      </c>
      <c r="AU10" s="784">
        <v>517.91066069999999</v>
      </c>
      <c r="AV10" s="784">
        <v>520.19568146000006</v>
      </c>
      <c r="AW10" s="784">
        <v>509.13278719000004</v>
      </c>
      <c r="AX10" s="784">
        <v>520.47701625000002</v>
      </c>
      <c r="AY10" s="784">
        <v>490.09742122</v>
      </c>
      <c r="AZ10" s="784">
        <v>477.26190164999997</v>
      </c>
      <c r="BA10" s="784">
        <v>467.38372360000005</v>
      </c>
      <c r="BB10" s="784">
        <v>462.29563153999993</v>
      </c>
      <c r="BC10" s="784">
        <v>451.14592921000002</v>
      </c>
      <c r="BD10" s="784">
        <v>441.53991751000001</v>
      </c>
      <c r="BE10" s="784">
        <v>439.71609115000001</v>
      </c>
      <c r="BF10" s="784">
        <v>437.43521714999997</v>
      </c>
      <c r="BG10" s="785">
        <v>290.96891877999997</v>
      </c>
      <c r="BH10" s="821">
        <v>282.34570082000005</v>
      </c>
      <c r="BI10" s="816">
        <v>250.62210306</v>
      </c>
      <c r="BJ10" s="816">
        <v>257.14003023999999</v>
      </c>
      <c r="BK10" s="816">
        <v>259.72412456000001</v>
      </c>
      <c r="BL10" s="816">
        <v>271.40057364</v>
      </c>
      <c r="BM10" s="816">
        <v>284.91728982000001</v>
      </c>
      <c r="BN10" s="816">
        <v>298.62170628000001</v>
      </c>
      <c r="BO10" s="816">
        <v>304.15185147</v>
      </c>
      <c r="BP10" s="816">
        <v>319.16409217</v>
      </c>
      <c r="BQ10" s="816">
        <v>341.07483401999997</v>
      </c>
      <c r="BR10" s="816">
        <v>356.43424820000001</v>
      </c>
      <c r="BS10" s="816">
        <v>372.25026803999998</v>
      </c>
      <c r="BT10" s="816">
        <v>390.6231808</v>
      </c>
      <c r="BU10" s="816">
        <v>406.96781119000002</v>
      </c>
      <c r="BV10" s="816">
        <v>419.91047923999997</v>
      </c>
      <c r="BW10" s="816">
        <v>427.04040964999996</v>
      </c>
      <c r="BX10" s="816">
        <v>443.44451572000003</v>
      </c>
      <c r="BY10" s="816">
        <v>453.47729146999995</v>
      </c>
      <c r="BZ10" s="816">
        <v>461.12672806</v>
      </c>
      <c r="CA10" s="816">
        <v>463.17394149999996</v>
      </c>
      <c r="CB10" s="816">
        <v>461.59540937999998</v>
      </c>
      <c r="CC10" s="816">
        <v>474.08514445999998</v>
      </c>
      <c r="CD10" s="816">
        <v>485.27372124999999</v>
      </c>
      <c r="CE10" s="816">
        <v>491.48702281999999</v>
      </c>
      <c r="CF10" s="816">
        <v>507.71564654000008</v>
      </c>
      <c r="CG10" s="816">
        <v>518.95443244000001</v>
      </c>
      <c r="CH10" s="816">
        <v>537.31855610000002</v>
      </c>
      <c r="CI10" s="816">
        <v>539.11662103999993</v>
      </c>
      <c r="CJ10" s="816">
        <v>559.72783935999985</v>
      </c>
      <c r="CK10" s="816">
        <v>543.07001586999991</v>
      </c>
      <c r="CL10" s="816">
        <v>549.38760528</v>
      </c>
      <c r="CM10" s="816">
        <v>557.16447228999994</v>
      </c>
      <c r="CN10" s="816">
        <v>544.86354373000006</v>
      </c>
      <c r="CO10" s="816">
        <v>558.49873916999991</v>
      </c>
      <c r="CP10" s="816">
        <v>575.42596328999991</v>
      </c>
      <c r="CQ10" s="816">
        <v>569.16923495000003</v>
      </c>
      <c r="CR10" s="816">
        <v>576.50752728999987</v>
      </c>
      <c r="CS10" s="816">
        <v>563.62845802000004</v>
      </c>
      <c r="CT10" s="816">
        <v>568.69446108</v>
      </c>
      <c r="CU10" s="816">
        <v>574.44495085000005</v>
      </c>
      <c r="CV10" s="816">
        <v>591.81350957999996</v>
      </c>
      <c r="CW10" s="816">
        <v>590.48644849000004</v>
      </c>
      <c r="CX10" s="816">
        <v>606.50917583</v>
      </c>
      <c r="CY10" s="816">
        <v>625.54050872000005</v>
      </c>
      <c r="CZ10" s="816">
        <v>640.74230924999995</v>
      </c>
      <c r="DA10" s="816">
        <v>662.15613992999999</v>
      </c>
      <c r="DB10" s="816">
        <v>684.94513697000002</v>
      </c>
      <c r="DC10" s="816">
        <v>700.65092701000003</v>
      </c>
      <c r="DD10" s="816">
        <v>736.95427557999994</v>
      </c>
      <c r="DE10" s="816">
        <v>739.10232041999996</v>
      </c>
      <c r="DF10" s="816">
        <v>769.89369518000001</v>
      </c>
      <c r="DG10" s="816">
        <v>758.47734047999995</v>
      </c>
      <c r="DH10" s="816">
        <v>793.02372937999996</v>
      </c>
      <c r="DI10" s="816">
        <v>777.45113690999995</v>
      </c>
      <c r="DJ10" s="816">
        <v>800.07933630000002</v>
      </c>
      <c r="DK10" s="816">
        <v>819.51974065000002</v>
      </c>
      <c r="DL10" s="816">
        <v>822.13604544999998</v>
      </c>
      <c r="DM10" s="816">
        <v>837.00039572000003</v>
      </c>
      <c r="DN10" s="816">
        <v>839.85242621999998</v>
      </c>
      <c r="DO10" s="816">
        <v>849.17063056999996</v>
      </c>
      <c r="DP10" s="816">
        <v>856.66520227000001</v>
      </c>
      <c r="DQ10" s="816">
        <v>837.07543962</v>
      </c>
      <c r="DR10" s="816">
        <v>859.17244278999999</v>
      </c>
      <c r="DS10" s="816">
        <v>850.62589598</v>
      </c>
      <c r="DT10" s="816">
        <v>865.17419215999996</v>
      </c>
      <c r="DU10" s="816">
        <v>870.47928583999999</v>
      </c>
      <c r="DV10" s="816">
        <v>898.96788346999995</v>
      </c>
      <c r="DW10" s="816">
        <v>907.47950351999998</v>
      </c>
      <c r="DX10" s="816">
        <v>949.19194112000002</v>
      </c>
      <c r="DY10" s="816">
        <v>979.87915396999995</v>
      </c>
      <c r="DZ10" s="816">
        <v>1019.7168133500001</v>
      </c>
      <c r="EA10" s="816">
        <v>1054.7945529900001</v>
      </c>
      <c r="EB10" s="816">
        <v>1113.6033006</v>
      </c>
      <c r="EC10" s="816">
        <v>1125.4956545699999</v>
      </c>
      <c r="ED10" s="816">
        <v>1163.33784029</v>
      </c>
      <c r="EE10" s="816">
        <v>1169.6381535</v>
      </c>
      <c r="EF10" s="816">
        <v>1197.05751543</v>
      </c>
      <c r="EG10" s="816">
        <v>1229.5244011100001</v>
      </c>
      <c r="EH10" s="816">
        <v>1224.6621162900001</v>
      </c>
      <c r="EI10" s="816">
        <v>1244.9837131199999</v>
      </c>
      <c r="EJ10" s="816">
        <v>1246.71875445</v>
      </c>
      <c r="EK10" s="816">
        <v>1273.8810731799999</v>
      </c>
      <c r="EL10" s="816">
        <v>1314.0189716499999</v>
      </c>
      <c r="EM10" s="816">
        <v>1327.6926271899999</v>
      </c>
      <c r="EN10" s="816">
        <v>1366.2798097299999</v>
      </c>
      <c r="EO10" s="816">
        <v>1346.73553866</v>
      </c>
      <c r="EP10" s="816">
        <v>1391.7176406799999</v>
      </c>
      <c r="EQ10" s="816">
        <v>1362.31711597</v>
      </c>
      <c r="ER10" s="816">
        <v>1396.2383687900001</v>
      </c>
      <c r="ES10" s="816">
        <v>1394.11676164</v>
      </c>
      <c r="ET10" s="816">
        <v>1419.27102298</v>
      </c>
      <c r="EU10" s="816">
        <v>1389.88478267</v>
      </c>
      <c r="EV10" s="816">
        <v>1370.5345294900001</v>
      </c>
      <c r="EW10" s="816">
        <v>1411.33718447</v>
      </c>
      <c r="EX10" s="816">
        <v>1383.93819465</v>
      </c>
      <c r="EY10" s="816">
        <v>1325.7132279299999</v>
      </c>
      <c r="EZ10" s="816">
        <v>1376.9995632800001</v>
      </c>
      <c r="FA10" s="816">
        <v>1299.4072760700001</v>
      </c>
      <c r="FB10" s="816">
        <v>1327.8510458999999</v>
      </c>
      <c r="FC10" s="816">
        <v>1283.46052493</v>
      </c>
      <c r="FD10" s="816">
        <v>1274.47688791</v>
      </c>
      <c r="FE10" s="816">
        <v>1236.35218448</v>
      </c>
      <c r="FF10" s="816">
        <v>1243.8628852700001</v>
      </c>
      <c r="FG10" s="816">
        <v>1215.69170874</v>
      </c>
      <c r="FH10" s="1726" t="s">
        <v>4071</v>
      </c>
    </row>
    <row r="11" spans="1:164" ht="21">
      <c r="A11" s="1722" t="s">
        <v>185</v>
      </c>
      <c r="B11" s="780">
        <v>3007.3289011500001</v>
      </c>
      <c r="C11" s="780">
        <v>3090.94822531</v>
      </c>
      <c r="D11" s="780">
        <v>3232.0808761899998</v>
      </c>
      <c r="E11" s="780">
        <v>3382.1949422400003</v>
      </c>
      <c r="F11" s="780">
        <v>3521.2867241700001</v>
      </c>
      <c r="G11" s="780">
        <v>3611.3680608599998</v>
      </c>
      <c r="H11" s="780">
        <v>3752.7803082200003</v>
      </c>
      <c r="I11" s="780">
        <v>3866.1565139099994</v>
      </c>
      <c r="J11" s="780">
        <v>3943.9736853999998</v>
      </c>
      <c r="K11" s="780">
        <v>4069.0315271100008</v>
      </c>
      <c r="L11" s="780">
        <v>4191.5899135500003</v>
      </c>
      <c r="M11" s="781">
        <v>4351.2436055999988</v>
      </c>
      <c r="N11" s="781">
        <v>4432.59935219</v>
      </c>
      <c r="O11" s="781">
        <v>4498.9620008599995</v>
      </c>
      <c r="P11" s="781">
        <v>4581.2020761699996</v>
      </c>
      <c r="Q11" s="781">
        <v>4686.7511224899999</v>
      </c>
      <c r="R11" s="781">
        <v>4781.4481067699999</v>
      </c>
      <c r="S11" s="781">
        <v>4836.33447677</v>
      </c>
      <c r="T11" s="781">
        <v>4936.6504720800003</v>
      </c>
      <c r="U11" s="781">
        <v>5031.89298994</v>
      </c>
      <c r="V11" s="781">
        <v>5160.6276893900003</v>
      </c>
      <c r="W11" s="781">
        <v>5251.5533997399998</v>
      </c>
      <c r="X11" s="781">
        <v>5357.8416869699995</v>
      </c>
      <c r="Y11" s="781">
        <v>5450.0291277900005</v>
      </c>
      <c r="Z11" s="781">
        <v>5476</v>
      </c>
      <c r="AA11" s="781">
        <v>5436.8089936800006</v>
      </c>
      <c r="AB11" s="781">
        <v>5361.4729497999997</v>
      </c>
      <c r="AC11" s="781">
        <v>5273.6150356099997</v>
      </c>
      <c r="AD11" s="781">
        <v>5097.1383499100011</v>
      </c>
      <c r="AE11" s="781">
        <v>4939.72438874</v>
      </c>
      <c r="AF11" s="781">
        <v>4841.5917679200002</v>
      </c>
      <c r="AG11" s="781">
        <v>4848.6462036400007</v>
      </c>
      <c r="AH11" s="781">
        <v>4848.7843027899999</v>
      </c>
      <c r="AI11" s="781">
        <v>4848.1079172499994</v>
      </c>
      <c r="AJ11" s="781">
        <v>4885.4220506199999</v>
      </c>
      <c r="AK11" s="781">
        <v>4891.0421081400009</v>
      </c>
      <c r="AL11" s="781">
        <v>4621.8928876800001</v>
      </c>
      <c r="AM11" s="781">
        <v>4491.5980365100004</v>
      </c>
      <c r="AN11" s="781">
        <v>4461.0120295799998</v>
      </c>
      <c r="AO11" s="781">
        <v>4294.3644083999998</v>
      </c>
      <c r="AP11" s="781">
        <v>4189.1209381099998</v>
      </c>
      <c r="AQ11" s="781">
        <v>4187.9195313299997</v>
      </c>
      <c r="AR11" s="781">
        <v>3760.5958005599996</v>
      </c>
      <c r="AS11" s="781">
        <v>3839.45448584</v>
      </c>
      <c r="AT11" s="781">
        <v>3863.7106142900002</v>
      </c>
      <c r="AU11" s="781">
        <v>3779.1657670499999</v>
      </c>
      <c r="AV11" s="781">
        <v>3785.8214143900004</v>
      </c>
      <c r="AW11" s="781">
        <v>3772.5907118</v>
      </c>
      <c r="AX11" s="781">
        <v>3721.2876250199997</v>
      </c>
      <c r="AY11" s="781">
        <v>3656.1013030099998</v>
      </c>
      <c r="AZ11" s="781">
        <v>3594.4524682000001</v>
      </c>
      <c r="BA11" s="781">
        <v>3539.0965781499995</v>
      </c>
      <c r="BB11" s="781">
        <v>3481.7426164899998</v>
      </c>
      <c r="BC11" s="781">
        <v>3445.2088459799998</v>
      </c>
      <c r="BD11" s="781">
        <v>3402.4733747399996</v>
      </c>
      <c r="BE11" s="781">
        <v>3410.58153623</v>
      </c>
      <c r="BF11" s="781">
        <v>3400.0225953600007</v>
      </c>
      <c r="BG11" s="782">
        <v>3412.4216208299999</v>
      </c>
      <c r="BH11" s="820">
        <v>3442.8461192200002</v>
      </c>
      <c r="BI11" s="815">
        <v>3471.2892138500001</v>
      </c>
      <c r="BJ11" s="815">
        <v>3449.2292955399998</v>
      </c>
      <c r="BK11" s="815">
        <v>3513.0055625299992</v>
      </c>
      <c r="BL11" s="815">
        <v>3574.81592219</v>
      </c>
      <c r="BM11" s="815">
        <v>3682.4427891300002</v>
      </c>
      <c r="BN11" s="815">
        <v>3814.11965306</v>
      </c>
      <c r="BO11" s="815">
        <v>3891.0524255800001</v>
      </c>
      <c r="BP11" s="815">
        <v>3955.8652683099999</v>
      </c>
      <c r="BQ11" s="815">
        <v>4085.4636947399999</v>
      </c>
      <c r="BR11" s="815">
        <v>4178.1291030100001</v>
      </c>
      <c r="BS11" s="815">
        <v>4279.5912167699998</v>
      </c>
      <c r="BT11" s="815">
        <v>4464.4627233699994</v>
      </c>
      <c r="BU11" s="815">
        <v>4513.1346076</v>
      </c>
      <c r="BV11" s="815">
        <v>4536.4942556300002</v>
      </c>
      <c r="BW11" s="815">
        <v>4603.84983483</v>
      </c>
      <c r="BX11" s="815">
        <v>4680.1839624900003</v>
      </c>
      <c r="BY11" s="815">
        <v>4808.0851837499995</v>
      </c>
      <c r="BZ11" s="815">
        <v>4951.32120012</v>
      </c>
      <c r="CA11" s="815">
        <v>5060.0660682700009</v>
      </c>
      <c r="CB11" s="815">
        <v>5204.7566673900001</v>
      </c>
      <c r="CC11" s="815">
        <v>5359.9187852500008</v>
      </c>
      <c r="CD11" s="815">
        <v>5523.2813108</v>
      </c>
      <c r="CE11" s="815">
        <v>5669.50177343</v>
      </c>
      <c r="CF11" s="815">
        <v>5775.7028787700001</v>
      </c>
      <c r="CG11" s="815">
        <v>5940.4650871499998</v>
      </c>
      <c r="CH11" s="815">
        <v>5975.9417927800005</v>
      </c>
      <c r="CI11" s="815">
        <v>6077.9394610499994</v>
      </c>
      <c r="CJ11" s="815">
        <v>6117.36039936</v>
      </c>
      <c r="CK11" s="815">
        <v>5874.4547937400002</v>
      </c>
      <c r="CL11" s="815">
        <v>5752.7402079699996</v>
      </c>
      <c r="CM11" s="815">
        <v>5770.7496082799989</v>
      </c>
      <c r="CN11" s="815">
        <v>5786.1615436800002</v>
      </c>
      <c r="CO11" s="815">
        <v>5883.9212861799988</v>
      </c>
      <c r="CP11" s="815">
        <v>6007.4919968799995</v>
      </c>
      <c r="CQ11" s="815">
        <v>6001.6431569499991</v>
      </c>
      <c r="CR11" s="815">
        <v>5999.4493794700002</v>
      </c>
      <c r="CS11" s="815">
        <v>5963.2460082300004</v>
      </c>
      <c r="CT11" s="815">
        <v>6010.0930816600003</v>
      </c>
      <c r="CU11" s="815">
        <v>6087.3657335300004</v>
      </c>
      <c r="CV11" s="815">
        <v>6189.3918133899997</v>
      </c>
      <c r="CW11" s="815">
        <v>6360.06463988</v>
      </c>
      <c r="CX11" s="815">
        <v>6472.6241129399996</v>
      </c>
      <c r="CY11" s="815">
        <v>6628.7720579300003</v>
      </c>
      <c r="CZ11" s="815">
        <v>6767.8801058899999</v>
      </c>
      <c r="DA11" s="815">
        <v>6983.3171064199996</v>
      </c>
      <c r="DB11" s="815">
        <v>7210.6027707399999</v>
      </c>
      <c r="DC11" s="815">
        <v>7404.0979354000001</v>
      </c>
      <c r="DD11" s="815">
        <v>7631.0883191000003</v>
      </c>
      <c r="DE11" s="815">
        <v>7900.48016009</v>
      </c>
      <c r="DF11" s="815">
        <v>8071.2342128800001</v>
      </c>
      <c r="DG11" s="815">
        <v>8248.39990941</v>
      </c>
      <c r="DH11" s="815">
        <v>8494.6713946399996</v>
      </c>
      <c r="DI11" s="815">
        <v>8758.8750861000008</v>
      </c>
      <c r="DJ11" s="815">
        <v>8974.3753586399998</v>
      </c>
      <c r="DK11" s="815">
        <v>9225.88803568</v>
      </c>
      <c r="DL11" s="815">
        <v>9380.4962871299995</v>
      </c>
      <c r="DM11" s="815">
        <v>9611.7658475900007</v>
      </c>
      <c r="DN11" s="815">
        <v>9868.7927778100002</v>
      </c>
      <c r="DO11" s="815">
        <v>10096.88202386</v>
      </c>
      <c r="DP11" s="815">
        <v>10289.376567990001</v>
      </c>
      <c r="DQ11" s="815">
        <v>10431.415731180001</v>
      </c>
      <c r="DR11" s="815">
        <v>10567.255872010001</v>
      </c>
      <c r="DS11" s="815">
        <v>10712.37848313</v>
      </c>
      <c r="DT11" s="815">
        <v>10933.18935895</v>
      </c>
      <c r="DU11" s="815">
        <v>11223.044237939999</v>
      </c>
      <c r="DV11" s="815">
        <v>11494.741782929999</v>
      </c>
      <c r="DW11" s="815">
        <v>11715.447307099999</v>
      </c>
      <c r="DX11" s="815">
        <v>12023.68401734</v>
      </c>
      <c r="DY11" s="815">
        <v>12347.62007504</v>
      </c>
      <c r="DZ11" s="815">
        <v>12617.372115779999</v>
      </c>
      <c r="EA11" s="815">
        <v>12708.01319639</v>
      </c>
      <c r="EB11" s="815">
        <v>13027.26233811</v>
      </c>
      <c r="EC11" s="815">
        <v>13203.44236257</v>
      </c>
      <c r="ED11" s="815">
        <v>13306.711423369999</v>
      </c>
      <c r="EE11" s="815">
        <v>13489.635920389999</v>
      </c>
      <c r="EF11" s="815">
        <v>13661.90334044</v>
      </c>
      <c r="EG11" s="815">
        <v>14012.0238484</v>
      </c>
      <c r="EH11" s="815">
        <v>14280.19128318</v>
      </c>
      <c r="EI11" s="815">
        <v>14458.042386970001</v>
      </c>
      <c r="EJ11" s="815">
        <v>14771.41816967</v>
      </c>
      <c r="EK11" s="815">
        <v>15128.6553078</v>
      </c>
      <c r="EL11" s="815">
        <v>15437.40180967</v>
      </c>
      <c r="EM11" s="815">
        <v>15677.98705111</v>
      </c>
      <c r="EN11" s="815">
        <v>15867.7559685</v>
      </c>
      <c r="EO11" s="815">
        <v>16032.818183740001</v>
      </c>
      <c r="EP11" s="815">
        <v>16164.987503050001</v>
      </c>
      <c r="EQ11" s="815">
        <v>16234.90461297</v>
      </c>
      <c r="ER11" s="815">
        <v>16384.33855629</v>
      </c>
      <c r="ES11" s="815">
        <v>16634.475590999999</v>
      </c>
      <c r="ET11" s="815">
        <v>16825.812637399998</v>
      </c>
      <c r="EU11" s="815">
        <v>16889.999648810001</v>
      </c>
      <c r="EV11" s="815">
        <v>17077.624637159999</v>
      </c>
      <c r="EW11" s="815">
        <v>17306.24855375</v>
      </c>
      <c r="EX11" s="815">
        <v>17508.516654610001</v>
      </c>
      <c r="EY11" s="815">
        <v>17625.644334370001</v>
      </c>
      <c r="EZ11" s="815">
        <v>17757.76156938</v>
      </c>
      <c r="FA11" s="815">
        <v>17864.82299081</v>
      </c>
      <c r="FB11" s="815">
        <v>17937.334321869999</v>
      </c>
      <c r="FC11" s="815">
        <v>18012.577903289999</v>
      </c>
      <c r="FD11" s="815">
        <v>18008.02073729</v>
      </c>
      <c r="FE11" s="815">
        <v>18331.396199700001</v>
      </c>
      <c r="FF11" s="815">
        <v>18577.811926220002</v>
      </c>
      <c r="FG11" s="815">
        <v>18780.63204991</v>
      </c>
      <c r="FH11" s="1722" t="s">
        <v>206</v>
      </c>
    </row>
    <row r="12" spans="1:164" ht="21">
      <c r="A12" s="1721" t="s">
        <v>1941</v>
      </c>
      <c r="B12" s="783">
        <v>109.64487560000001</v>
      </c>
      <c r="C12" s="783">
        <v>121.28549662</v>
      </c>
      <c r="D12" s="783">
        <v>135.66314795</v>
      </c>
      <c r="E12" s="783">
        <v>141.56863710000002</v>
      </c>
      <c r="F12" s="783">
        <v>156.02506714</v>
      </c>
      <c r="G12" s="783">
        <v>162.03606468000001</v>
      </c>
      <c r="H12" s="783">
        <v>176.13505711000002</v>
      </c>
      <c r="I12" s="783">
        <v>187.89264433</v>
      </c>
      <c r="J12" s="783">
        <v>207.07547869000001</v>
      </c>
      <c r="K12" s="783">
        <v>223.52145536999998</v>
      </c>
      <c r="L12" s="783">
        <v>237.69682075</v>
      </c>
      <c r="M12" s="784">
        <v>266.55847694999994</v>
      </c>
      <c r="N12" s="784">
        <v>284.77756248000003</v>
      </c>
      <c r="O12" s="784">
        <v>291.72324699000006</v>
      </c>
      <c r="P12" s="784">
        <v>313.46911776000002</v>
      </c>
      <c r="Q12" s="784">
        <v>320.92036603999998</v>
      </c>
      <c r="R12" s="784">
        <v>333.91315064000003</v>
      </c>
      <c r="S12" s="784">
        <v>342.35854540000003</v>
      </c>
      <c r="T12" s="784">
        <v>361.02467277</v>
      </c>
      <c r="U12" s="784">
        <v>370.31658686000003</v>
      </c>
      <c r="V12" s="784">
        <v>391.44351058000007</v>
      </c>
      <c r="W12" s="784">
        <v>419.36403817000001</v>
      </c>
      <c r="X12" s="784">
        <v>424.89191428999999</v>
      </c>
      <c r="Y12" s="784">
        <v>456.41319727000001</v>
      </c>
      <c r="Z12" s="784">
        <v>475.1</v>
      </c>
      <c r="AA12" s="784">
        <v>480.00369860000001</v>
      </c>
      <c r="AB12" s="784">
        <v>485.77310023999996</v>
      </c>
      <c r="AC12" s="784">
        <v>468.79964336</v>
      </c>
      <c r="AD12" s="784">
        <v>449.80672083000002</v>
      </c>
      <c r="AE12" s="784">
        <v>433.91516184999995</v>
      </c>
      <c r="AF12" s="784">
        <v>419.47817741</v>
      </c>
      <c r="AG12" s="784">
        <v>420.96434250999999</v>
      </c>
      <c r="AH12" s="784">
        <v>418.68461821999995</v>
      </c>
      <c r="AI12" s="784">
        <v>407.58842679999998</v>
      </c>
      <c r="AJ12" s="784">
        <v>415.29304942999994</v>
      </c>
      <c r="AK12" s="784">
        <v>412.26325948000004</v>
      </c>
      <c r="AL12" s="784">
        <v>399.95312090000004</v>
      </c>
      <c r="AM12" s="784">
        <v>374.47164679999997</v>
      </c>
      <c r="AN12" s="784">
        <v>362.67910459999996</v>
      </c>
      <c r="AO12" s="784">
        <v>348.99744654</v>
      </c>
      <c r="AP12" s="784">
        <v>333.85693526</v>
      </c>
      <c r="AQ12" s="784">
        <v>330.08464553999994</v>
      </c>
      <c r="AR12" s="784">
        <v>320.65499043</v>
      </c>
      <c r="AS12" s="784">
        <v>318.32308602999996</v>
      </c>
      <c r="AT12" s="784">
        <v>313.53172043000006</v>
      </c>
      <c r="AU12" s="784">
        <v>305.05788690999998</v>
      </c>
      <c r="AV12" s="784">
        <v>300.33248001000004</v>
      </c>
      <c r="AW12" s="784">
        <v>288.96224673</v>
      </c>
      <c r="AX12" s="784">
        <v>284.23206454000001</v>
      </c>
      <c r="AY12" s="784">
        <v>277.77204289999997</v>
      </c>
      <c r="AZ12" s="784">
        <v>270.14705157999998</v>
      </c>
      <c r="BA12" s="784">
        <v>263.74866704999999</v>
      </c>
      <c r="BB12" s="784">
        <v>258.17544622999998</v>
      </c>
      <c r="BC12" s="784">
        <v>246.80742617000001</v>
      </c>
      <c r="BD12" s="784">
        <f>+BD19+BD26</f>
        <v>229.93546345999997</v>
      </c>
      <c r="BE12" s="784">
        <f>+BE19+BE26</f>
        <v>227.69336883</v>
      </c>
      <c r="BF12" s="784">
        <v>227.49107595999999</v>
      </c>
      <c r="BG12" s="785">
        <v>213.45087240999999</v>
      </c>
      <c r="BH12" s="821">
        <v>211.54716649000002</v>
      </c>
      <c r="BI12" s="816">
        <v>212.30604743000001</v>
      </c>
      <c r="BJ12" s="816">
        <v>217.46054226999999</v>
      </c>
      <c r="BK12" s="816">
        <v>221.55877949000001</v>
      </c>
      <c r="BL12" s="816">
        <v>230.55917048999999</v>
      </c>
      <c r="BM12" s="816">
        <v>243.50049168000001</v>
      </c>
      <c r="BN12" s="816">
        <v>256.83249612999998</v>
      </c>
      <c r="BO12" s="816">
        <v>262.89617716999999</v>
      </c>
      <c r="BP12" s="816">
        <v>276.26869103000001</v>
      </c>
      <c r="BQ12" s="816">
        <v>298.41144423999998</v>
      </c>
      <c r="BR12" s="816">
        <v>314.15537383000003</v>
      </c>
      <c r="BS12" s="816">
        <v>330.54489640999998</v>
      </c>
      <c r="BT12" s="816">
        <v>349.15029573999999</v>
      </c>
      <c r="BU12" s="816">
        <v>367.36550402</v>
      </c>
      <c r="BV12" s="816">
        <v>380.88266944999998</v>
      </c>
      <c r="BW12" s="816">
        <v>387.45413451999997</v>
      </c>
      <c r="BX12" s="816">
        <v>402.55189244000002</v>
      </c>
      <c r="BY12" s="816">
        <v>413.61993129999996</v>
      </c>
      <c r="BZ12" s="816">
        <v>422.32227526999998</v>
      </c>
      <c r="CA12" s="816">
        <v>424.13631291999997</v>
      </c>
      <c r="CB12" s="816">
        <v>426.49689622</v>
      </c>
      <c r="CC12" s="816">
        <v>437.78978567999997</v>
      </c>
      <c r="CD12" s="816">
        <v>449.43599799000003</v>
      </c>
      <c r="CE12" s="816">
        <v>456.18842529</v>
      </c>
      <c r="CF12" s="816">
        <v>472.70109507000006</v>
      </c>
      <c r="CG12" s="816">
        <v>490.05561967999995</v>
      </c>
      <c r="CH12" s="816">
        <v>509.25990904999998</v>
      </c>
      <c r="CI12" s="816">
        <v>511.42879412999997</v>
      </c>
      <c r="CJ12" s="816">
        <v>534.2140569799999</v>
      </c>
      <c r="CK12" s="816">
        <v>518.66140538999991</v>
      </c>
      <c r="CL12" s="816">
        <v>527.34694708999996</v>
      </c>
      <c r="CM12" s="816">
        <v>536.13046166999993</v>
      </c>
      <c r="CN12" s="816">
        <v>524.73806994000006</v>
      </c>
      <c r="CO12" s="816">
        <v>538.29577158999996</v>
      </c>
      <c r="CP12" s="816">
        <v>556.97596984999996</v>
      </c>
      <c r="CQ12" s="816">
        <v>552.20359936</v>
      </c>
      <c r="CR12" s="816">
        <v>560.44335084999989</v>
      </c>
      <c r="CS12" s="816">
        <v>549.11371584000005</v>
      </c>
      <c r="CT12" s="816">
        <v>556.90792784999996</v>
      </c>
      <c r="CU12" s="816">
        <v>563.59105219000003</v>
      </c>
      <c r="CV12" s="816">
        <v>580.83652690999998</v>
      </c>
      <c r="CW12" s="816">
        <v>579.89130905000002</v>
      </c>
      <c r="CX12" s="816">
        <v>594.86313987000005</v>
      </c>
      <c r="CY12" s="816">
        <v>614.36385677999999</v>
      </c>
      <c r="CZ12" s="816">
        <v>629.29816189999997</v>
      </c>
      <c r="DA12" s="816">
        <v>651.10464998999998</v>
      </c>
      <c r="DB12" s="816">
        <v>673.34919431000003</v>
      </c>
      <c r="DC12" s="816">
        <v>689.51766098999997</v>
      </c>
      <c r="DD12" s="816">
        <v>725.02608255999996</v>
      </c>
      <c r="DE12" s="816">
        <v>727.01388551000002</v>
      </c>
      <c r="DF12" s="816">
        <v>757.57995235999999</v>
      </c>
      <c r="DG12" s="816">
        <v>744.93979461000004</v>
      </c>
      <c r="DH12" s="816">
        <v>778.02920731999995</v>
      </c>
      <c r="DI12" s="816">
        <v>763.47521612000003</v>
      </c>
      <c r="DJ12" s="816">
        <v>785.27427822000004</v>
      </c>
      <c r="DK12" s="816">
        <v>804.45849963000001</v>
      </c>
      <c r="DL12" s="816">
        <v>807.52011835999997</v>
      </c>
      <c r="DM12" s="816">
        <v>821.74021418999996</v>
      </c>
      <c r="DN12" s="816">
        <v>824.77940455999999</v>
      </c>
      <c r="DO12" s="816">
        <v>833.79472595000004</v>
      </c>
      <c r="DP12" s="816">
        <v>843.15346564000004</v>
      </c>
      <c r="DQ12" s="816">
        <v>823.70285836000005</v>
      </c>
      <c r="DR12" s="816">
        <v>844.73148661000005</v>
      </c>
      <c r="DS12" s="816">
        <v>835.50161007999998</v>
      </c>
      <c r="DT12" s="816">
        <v>849.14651829000002</v>
      </c>
      <c r="DU12" s="816">
        <v>855.02625657999999</v>
      </c>
      <c r="DV12" s="816">
        <v>882.95018257000004</v>
      </c>
      <c r="DW12" s="816">
        <v>891.44928250999999</v>
      </c>
      <c r="DX12" s="816">
        <v>932.31079018000003</v>
      </c>
      <c r="DY12" s="816">
        <v>961.98355317999994</v>
      </c>
      <c r="DZ12" s="816">
        <v>1002.1262007300001</v>
      </c>
      <c r="EA12" s="816">
        <v>1037.52218492</v>
      </c>
      <c r="EB12" s="816">
        <v>1096.73524484</v>
      </c>
      <c r="EC12" s="816">
        <v>1109.4842685799999</v>
      </c>
      <c r="ED12" s="816">
        <v>1146.86806153</v>
      </c>
      <c r="EE12" s="816">
        <v>1153.1173234299999</v>
      </c>
      <c r="EF12" s="816">
        <v>1179.8035408600001</v>
      </c>
      <c r="EG12" s="816">
        <v>1212.7409498699999</v>
      </c>
      <c r="EH12" s="816">
        <v>1207.05577842</v>
      </c>
      <c r="EI12" s="816">
        <v>1228.2103295100001</v>
      </c>
      <c r="EJ12" s="816">
        <v>1229.0457185400001</v>
      </c>
      <c r="EK12" s="816">
        <v>1255.7506251100001</v>
      </c>
      <c r="EL12" s="816">
        <v>1295.5720224300001</v>
      </c>
      <c r="EM12" s="816">
        <v>1309.84856066</v>
      </c>
      <c r="EN12" s="816">
        <v>1351.2109468399999</v>
      </c>
      <c r="EO12" s="816">
        <v>1331.71256066</v>
      </c>
      <c r="EP12" s="816">
        <v>1376.66852576</v>
      </c>
      <c r="EQ12" s="816">
        <v>1347.77223486</v>
      </c>
      <c r="ER12" s="816">
        <v>1380.38950892</v>
      </c>
      <c r="ES12" s="816">
        <v>1379.6824254999999</v>
      </c>
      <c r="ET12" s="816">
        <v>1404.7760214499999</v>
      </c>
      <c r="EU12" s="816">
        <v>1376.2948469400001</v>
      </c>
      <c r="EV12" s="816">
        <v>1357.94961853</v>
      </c>
      <c r="EW12" s="816">
        <v>1398.79507543</v>
      </c>
      <c r="EX12" s="816">
        <v>1373.17108616</v>
      </c>
      <c r="EY12" s="816">
        <v>1315.62014445</v>
      </c>
      <c r="EZ12" s="816">
        <v>1367.6201382100001</v>
      </c>
      <c r="FA12" s="816">
        <v>1290.0210792400001</v>
      </c>
      <c r="FB12" s="816">
        <v>1319.05708405</v>
      </c>
      <c r="FC12" s="816">
        <v>1274.8682123000001</v>
      </c>
      <c r="FD12" s="816">
        <v>1265.71365967</v>
      </c>
      <c r="FE12" s="816">
        <v>1227.5519842399999</v>
      </c>
      <c r="FF12" s="816">
        <v>1235.6144311200001</v>
      </c>
      <c r="FG12" s="816">
        <v>1208.5929350900001</v>
      </c>
      <c r="FH12" s="1726" t="s">
        <v>4071</v>
      </c>
    </row>
    <row r="13" spans="1:164" ht="21">
      <c r="A13" s="1722" t="s">
        <v>2738</v>
      </c>
      <c r="B13" s="780">
        <v>1118.9754504900002</v>
      </c>
      <c r="C13" s="780">
        <v>1152.2878968699999</v>
      </c>
      <c r="D13" s="780">
        <v>1163.1497762099998</v>
      </c>
      <c r="E13" s="780">
        <v>1189.5949795500001</v>
      </c>
      <c r="F13" s="780">
        <v>1225.5165745000002</v>
      </c>
      <c r="G13" s="780">
        <v>1245.7607931399998</v>
      </c>
      <c r="H13" s="780">
        <v>1293.27638243</v>
      </c>
      <c r="I13" s="780">
        <v>1325.13251597</v>
      </c>
      <c r="J13" s="780">
        <v>1363.5687453</v>
      </c>
      <c r="K13" s="780">
        <v>1396.4808956300001</v>
      </c>
      <c r="L13" s="780">
        <v>1422.3964962699999</v>
      </c>
      <c r="M13" s="781">
        <v>1442.2653167899998</v>
      </c>
      <c r="N13" s="781">
        <v>1426.58924791</v>
      </c>
      <c r="O13" s="781">
        <v>1432.7017268</v>
      </c>
      <c r="P13" s="781">
        <v>1429.2284908399999</v>
      </c>
      <c r="Q13" s="781">
        <v>1471.9956829499999</v>
      </c>
      <c r="R13" s="781">
        <v>1507.96217112</v>
      </c>
      <c r="S13" s="781">
        <v>1531.3613611399999</v>
      </c>
      <c r="T13" s="781">
        <v>1565.8198892999997</v>
      </c>
      <c r="U13" s="781">
        <v>1587.38732179</v>
      </c>
      <c r="V13" s="781">
        <v>1609.1889357700002</v>
      </c>
      <c r="W13" s="781">
        <v>1627.4772531600001</v>
      </c>
      <c r="X13" s="781">
        <v>1665.4933462099998</v>
      </c>
      <c r="Y13" s="781">
        <v>1777.0449845200001</v>
      </c>
      <c r="Z13" s="781">
        <v>1715.0759568499998</v>
      </c>
      <c r="AA13" s="781">
        <v>2446.9113402600001</v>
      </c>
      <c r="AB13" s="781">
        <v>2402.1378160200002</v>
      </c>
      <c r="AC13" s="781">
        <v>2390.5237525000002</v>
      </c>
      <c r="AD13" s="781">
        <v>2412.7103131399999</v>
      </c>
      <c r="AE13" s="781">
        <v>2411.3044037899999</v>
      </c>
      <c r="AF13" s="781">
        <v>2390.6699366200005</v>
      </c>
      <c r="AG13" s="781">
        <v>2298.0494589099999</v>
      </c>
      <c r="AH13" s="781">
        <v>2205.7733441400001</v>
      </c>
      <c r="AI13" s="781">
        <v>2180.6216067199998</v>
      </c>
      <c r="AJ13" s="781">
        <v>2116.24155832</v>
      </c>
      <c r="AK13" s="781">
        <v>2964.2228205599999</v>
      </c>
      <c r="AL13" s="781">
        <v>2895.2521508799996</v>
      </c>
      <c r="AM13" s="781">
        <v>2698.7603103800002</v>
      </c>
      <c r="AN13" s="781">
        <v>2572.8745697300001</v>
      </c>
      <c r="AO13" s="781">
        <v>2414.0398331800002</v>
      </c>
      <c r="AP13" s="781">
        <v>2266.5360944100003</v>
      </c>
      <c r="AQ13" s="781">
        <v>2246.9282059899997</v>
      </c>
      <c r="AR13" s="781">
        <v>2045.0177238800002</v>
      </c>
      <c r="AS13" s="781">
        <v>2001.4521388100002</v>
      </c>
      <c r="AT13" s="781">
        <v>1896.9793109499999</v>
      </c>
      <c r="AU13" s="781">
        <v>1751.2622097000001</v>
      </c>
      <c r="AV13" s="781">
        <v>1766.7632904100001</v>
      </c>
      <c r="AW13" s="781">
        <v>1710.4993388799999</v>
      </c>
      <c r="AX13" s="781">
        <v>1755.11772675</v>
      </c>
      <c r="AY13" s="781">
        <v>1534.92654754</v>
      </c>
      <c r="AZ13" s="781">
        <v>1461.27174782</v>
      </c>
      <c r="BA13" s="781">
        <v>1410.9042625700004</v>
      </c>
      <c r="BB13" s="781">
        <v>1403.6110252800001</v>
      </c>
      <c r="BC13" s="781">
        <v>1367.3044553100001</v>
      </c>
      <c r="BD13" s="781">
        <v>1284.1316509799999</v>
      </c>
      <c r="BE13" s="781">
        <v>1233.1002199899999</v>
      </c>
      <c r="BF13" s="781">
        <v>1202.0995306299999</v>
      </c>
      <c r="BG13" s="782">
        <v>1028.22706225</v>
      </c>
      <c r="BH13" s="820">
        <v>988.74838106000016</v>
      </c>
      <c r="BI13" s="815">
        <v>894.56148689999986</v>
      </c>
      <c r="BJ13" s="815">
        <v>865.60608217000004</v>
      </c>
      <c r="BK13" s="815">
        <v>854.31462294999994</v>
      </c>
      <c r="BL13" s="815">
        <v>852.36567400999991</v>
      </c>
      <c r="BM13" s="815">
        <v>819.13545660999989</v>
      </c>
      <c r="BN13" s="815">
        <v>797.92133429</v>
      </c>
      <c r="BO13" s="815">
        <v>745.31763974000023</v>
      </c>
      <c r="BP13" s="815">
        <v>725.72520822000001</v>
      </c>
      <c r="BQ13" s="815">
        <v>699.33967497999981</v>
      </c>
      <c r="BR13" s="815">
        <v>680.09230952000007</v>
      </c>
      <c r="BS13" s="815">
        <v>636.95195928999999</v>
      </c>
      <c r="BT13" s="815">
        <v>643.27245014000005</v>
      </c>
      <c r="BU13" s="815">
        <v>616.46353012999998</v>
      </c>
      <c r="BV13" s="815">
        <v>589.58082229999991</v>
      </c>
      <c r="BW13" s="815">
        <v>584.13150489999998</v>
      </c>
      <c r="BX13" s="815">
        <v>571.82776231000003</v>
      </c>
      <c r="BY13" s="815">
        <v>534.12724946000003</v>
      </c>
      <c r="BZ13" s="815">
        <v>533.59855442999992</v>
      </c>
      <c r="CA13" s="815">
        <v>568.16183777000003</v>
      </c>
      <c r="CB13" s="815">
        <v>545.48773340000002</v>
      </c>
      <c r="CC13" s="815">
        <v>543.62833562000003</v>
      </c>
      <c r="CD13" s="815">
        <v>551.71554939999999</v>
      </c>
      <c r="CE13" s="815">
        <v>544.39971009999999</v>
      </c>
      <c r="CF13" s="815">
        <v>821.80861086000004</v>
      </c>
      <c r="CG13" s="815">
        <v>802.12731838000002</v>
      </c>
      <c r="CH13" s="815">
        <v>792.92887881000001</v>
      </c>
      <c r="CI13" s="815">
        <v>785.46849539000004</v>
      </c>
      <c r="CJ13" s="815">
        <v>596.13322619999997</v>
      </c>
      <c r="CK13" s="815">
        <v>582.46365166999999</v>
      </c>
      <c r="CL13" s="815">
        <v>575.28024237</v>
      </c>
      <c r="CM13" s="815">
        <v>530.00399465999999</v>
      </c>
      <c r="CN13" s="815">
        <v>535.08312854000008</v>
      </c>
      <c r="CO13" s="815">
        <v>536.36611958000003</v>
      </c>
      <c r="CP13" s="815">
        <v>534.32542537999996</v>
      </c>
      <c r="CQ13" s="815">
        <v>524.82872872999997</v>
      </c>
      <c r="CR13" s="815">
        <v>519.30589574999999</v>
      </c>
      <c r="CS13" s="815">
        <v>513.76788988999999</v>
      </c>
      <c r="CT13" s="815">
        <v>539.33153106999998</v>
      </c>
      <c r="CU13" s="815">
        <v>451.71604268999999</v>
      </c>
      <c r="CV13" s="815">
        <v>442.72739919000003</v>
      </c>
      <c r="CW13" s="815">
        <v>447.40553677000003</v>
      </c>
      <c r="CX13" s="815">
        <v>442.14896262000002</v>
      </c>
      <c r="CY13" s="815">
        <v>437.46340319000001</v>
      </c>
      <c r="CZ13" s="815">
        <v>438.08744804999998</v>
      </c>
      <c r="DA13" s="815">
        <v>451.42384043999999</v>
      </c>
      <c r="DB13" s="815">
        <v>450.73942462999997</v>
      </c>
      <c r="DC13" s="815">
        <v>448.41109184999999</v>
      </c>
      <c r="DD13" s="815">
        <v>421.33461087000001</v>
      </c>
      <c r="DE13" s="815">
        <v>420.04387552999998</v>
      </c>
      <c r="DF13" s="815">
        <v>409.73620278999999</v>
      </c>
      <c r="DG13" s="815">
        <v>413.27825217999998</v>
      </c>
      <c r="DH13" s="815">
        <v>467.22981320999997</v>
      </c>
      <c r="DI13" s="815">
        <v>400.88186910000002</v>
      </c>
      <c r="DJ13" s="815">
        <v>408.06520205999999</v>
      </c>
      <c r="DK13" s="815">
        <v>377.16708569999997</v>
      </c>
      <c r="DL13" s="815">
        <v>409.32837494</v>
      </c>
      <c r="DM13" s="815">
        <v>397.54901547999998</v>
      </c>
      <c r="DN13" s="815">
        <v>474.38006075999999</v>
      </c>
      <c r="DO13" s="815">
        <v>487.64896872999998</v>
      </c>
      <c r="DP13" s="815">
        <v>480.26511106999999</v>
      </c>
      <c r="DQ13" s="815">
        <v>458.33396863000002</v>
      </c>
      <c r="DR13" s="815">
        <v>456.47879368999997</v>
      </c>
      <c r="DS13" s="815">
        <v>452.76436128</v>
      </c>
      <c r="DT13" s="815">
        <v>444.57511285999999</v>
      </c>
      <c r="DU13" s="815">
        <v>454.04457511999999</v>
      </c>
      <c r="DV13" s="815">
        <v>461.23205837</v>
      </c>
      <c r="DW13" s="815">
        <v>450.18821231999999</v>
      </c>
      <c r="DX13" s="815">
        <v>302.73292932999999</v>
      </c>
      <c r="DY13" s="815">
        <v>308.62986991999998</v>
      </c>
      <c r="DZ13" s="815">
        <v>328.47835462</v>
      </c>
      <c r="EA13" s="815">
        <v>311.04729645999998</v>
      </c>
      <c r="EB13" s="815">
        <v>311.45082857</v>
      </c>
      <c r="EC13" s="815">
        <v>311.58377337000002</v>
      </c>
      <c r="ED13" s="815">
        <v>297.8631603</v>
      </c>
      <c r="EE13" s="815">
        <v>289.70342197000002</v>
      </c>
      <c r="EF13" s="815">
        <v>284.75979991000003</v>
      </c>
      <c r="EG13" s="815">
        <v>284.18569653999998</v>
      </c>
      <c r="EH13" s="815">
        <v>271.43603952000001</v>
      </c>
      <c r="EI13" s="815">
        <v>302.32941559</v>
      </c>
      <c r="EJ13" s="815">
        <v>294.89959703</v>
      </c>
      <c r="EK13" s="815">
        <v>301.61280582000001</v>
      </c>
      <c r="EL13" s="815">
        <v>309.59770642000001</v>
      </c>
      <c r="EM13" s="815">
        <v>300.87288226999999</v>
      </c>
      <c r="EN13" s="815">
        <v>330.73786837</v>
      </c>
      <c r="EO13" s="815">
        <v>325.66191872000002</v>
      </c>
      <c r="EP13" s="815">
        <v>310.20736614999998</v>
      </c>
      <c r="EQ13" s="815">
        <v>276.12357607000001</v>
      </c>
      <c r="ER13" s="815">
        <v>286.05314400999998</v>
      </c>
      <c r="ES13" s="815">
        <v>274.61450685</v>
      </c>
      <c r="ET13" s="815">
        <v>264.61864965000001</v>
      </c>
      <c r="EU13" s="815">
        <v>254.29265355999999</v>
      </c>
      <c r="EV13" s="815">
        <v>236.86903588000001</v>
      </c>
      <c r="EW13" s="815">
        <v>237.77749362</v>
      </c>
      <c r="EX13" s="815">
        <v>246.31255775</v>
      </c>
      <c r="EY13" s="815">
        <v>243.27417464999999</v>
      </c>
      <c r="EZ13" s="815">
        <v>245.76186193000001</v>
      </c>
      <c r="FA13" s="815">
        <v>303.41305598000002</v>
      </c>
      <c r="FB13" s="815">
        <v>293.05556941999998</v>
      </c>
      <c r="FC13" s="815">
        <v>299.68106025999998</v>
      </c>
      <c r="FD13" s="815">
        <v>297.53814885000003</v>
      </c>
      <c r="FE13" s="815">
        <v>295.48432129000003</v>
      </c>
      <c r="FF13" s="815">
        <v>291.20461994999999</v>
      </c>
      <c r="FG13" s="815">
        <v>287.23574539999998</v>
      </c>
      <c r="FH13" s="1722" t="s">
        <v>4063</v>
      </c>
    </row>
    <row r="14" spans="1:164" ht="21">
      <c r="A14" s="1721" t="s">
        <v>1941</v>
      </c>
      <c r="B14" s="783">
        <v>94.020837669999992</v>
      </c>
      <c r="C14" s="783">
        <v>97.419236099999992</v>
      </c>
      <c r="D14" s="783">
        <v>102.74864914</v>
      </c>
      <c r="E14" s="783">
        <v>102.29021399000001</v>
      </c>
      <c r="F14" s="783">
        <v>109.19573831</v>
      </c>
      <c r="G14" s="783">
        <v>112.94008950999999</v>
      </c>
      <c r="H14" s="783">
        <v>114.64508498000001</v>
      </c>
      <c r="I14" s="783">
        <v>124.14934427</v>
      </c>
      <c r="J14" s="783">
        <v>123.84569744</v>
      </c>
      <c r="K14" s="783">
        <v>125.32320101000001</v>
      </c>
      <c r="L14" s="783">
        <v>126.60233047</v>
      </c>
      <c r="M14" s="784">
        <v>125.92191477999999</v>
      </c>
      <c r="N14" s="784">
        <v>126.41728286000001</v>
      </c>
      <c r="O14" s="784">
        <v>129.22603105000002</v>
      </c>
      <c r="P14" s="784">
        <v>130.26095602999999</v>
      </c>
      <c r="Q14" s="784">
        <v>129.18125692000001</v>
      </c>
      <c r="R14" s="784">
        <v>130.69938593000001</v>
      </c>
      <c r="S14" s="784">
        <v>132.7556812</v>
      </c>
      <c r="T14" s="784">
        <v>136.89788735999997</v>
      </c>
      <c r="U14" s="784">
        <v>133.31599979999999</v>
      </c>
      <c r="V14" s="784">
        <v>131.85890072000001</v>
      </c>
      <c r="W14" s="784">
        <v>134.34252497</v>
      </c>
      <c r="X14" s="784">
        <v>132.38151565999999</v>
      </c>
      <c r="Y14" s="784">
        <v>134.78729754</v>
      </c>
      <c r="Z14" s="784">
        <v>140.59290402999997</v>
      </c>
      <c r="AA14" s="784">
        <v>190.19413265</v>
      </c>
      <c r="AB14" s="784">
        <v>199.38347973</v>
      </c>
      <c r="AC14" s="784">
        <v>194.83547478</v>
      </c>
      <c r="AD14" s="784">
        <v>202.76311851999998</v>
      </c>
      <c r="AE14" s="784">
        <v>208.53025879999998</v>
      </c>
      <c r="AF14" s="784">
        <v>213.00725315</v>
      </c>
      <c r="AG14" s="784">
        <v>209.90652295999999</v>
      </c>
      <c r="AH14" s="784">
        <v>207.71573623999998</v>
      </c>
      <c r="AI14" s="784">
        <v>207.90581453000001</v>
      </c>
      <c r="AJ14" s="784">
        <v>203.3170231</v>
      </c>
      <c r="AK14" s="784">
        <v>286.86728984999996</v>
      </c>
      <c r="AL14" s="784">
        <v>266.25445769000004</v>
      </c>
      <c r="AM14" s="784">
        <v>252.50947794000001</v>
      </c>
      <c r="AN14" s="784">
        <v>248.32341800999998</v>
      </c>
      <c r="AO14" s="784">
        <v>233.91446717999997</v>
      </c>
      <c r="AP14" s="784">
        <v>225.52079194999999</v>
      </c>
      <c r="AQ14" s="784">
        <v>227.4014335</v>
      </c>
      <c r="AR14" s="784">
        <v>223.02238321999997</v>
      </c>
      <c r="AS14" s="784">
        <v>226.86881971999998</v>
      </c>
      <c r="AT14" s="784">
        <v>219.32650132000001</v>
      </c>
      <c r="AU14" s="784">
        <v>212.85277379000001</v>
      </c>
      <c r="AV14" s="784">
        <v>219.86320144999999</v>
      </c>
      <c r="AW14" s="784">
        <v>220.17054046000001</v>
      </c>
      <c r="AX14" s="784">
        <v>236.24495171000001</v>
      </c>
      <c r="AY14" s="784">
        <v>212.32537832000003</v>
      </c>
      <c r="AZ14" s="784">
        <v>207.11485006999999</v>
      </c>
      <c r="BA14" s="784">
        <v>203.63505655000003</v>
      </c>
      <c r="BB14" s="784">
        <v>204.12018530999998</v>
      </c>
      <c r="BC14" s="784">
        <v>204.33850304000001</v>
      </c>
      <c r="BD14" s="784">
        <f>+BD21+BD28</f>
        <v>195.60445405000002</v>
      </c>
      <c r="BE14" s="784">
        <f>+BE21+BE28</f>
        <v>196.02272232000001</v>
      </c>
      <c r="BF14" s="784">
        <v>193.94414118999998</v>
      </c>
      <c r="BG14" s="785">
        <v>77.518046370000008</v>
      </c>
      <c r="BH14" s="821">
        <v>70.79853433000001</v>
      </c>
      <c r="BI14" s="816">
        <v>38.316055630000001</v>
      </c>
      <c r="BJ14" s="816">
        <v>39.679487969999997</v>
      </c>
      <c r="BK14" s="816">
        <v>38.165345070000001</v>
      </c>
      <c r="BL14" s="816">
        <v>40.841403150000005</v>
      </c>
      <c r="BM14" s="816">
        <v>41.416798139999997</v>
      </c>
      <c r="BN14" s="816">
        <v>41.789210150000002</v>
      </c>
      <c r="BO14" s="816">
        <v>41.255674299999995</v>
      </c>
      <c r="BP14" s="816">
        <v>42.895401139999997</v>
      </c>
      <c r="BQ14" s="816">
        <v>42.663389779999996</v>
      </c>
      <c r="BR14" s="816">
        <v>42.278874369999997</v>
      </c>
      <c r="BS14" s="816">
        <v>41.705371630000002</v>
      </c>
      <c r="BT14" s="816">
        <v>41.472885060000003</v>
      </c>
      <c r="BU14" s="816">
        <v>39.602307170000003</v>
      </c>
      <c r="BV14" s="816">
        <v>39.027809789999999</v>
      </c>
      <c r="BW14" s="816">
        <v>39.586275130000004</v>
      </c>
      <c r="BX14" s="816">
        <v>40.892623279999995</v>
      </c>
      <c r="BY14" s="816">
        <v>39.85736017</v>
      </c>
      <c r="BZ14" s="816">
        <v>38.804452789999999</v>
      </c>
      <c r="CA14" s="816">
        <v>39.037628580000003</v>
      </c>
      <c r="CB14" s="816">
        <v>35.098513160000003</v>
      </c>
      <c r="CC14" s="816">
        <v>36.295358780000001</v>
      </c>
      <c r="CD14" s="816">
        <v>35.83772325999999</v>
      </c>
      <c r="CE14" s="816">
        <v>35.298597530000002</v>
      </c>
      <c r="CF14" s="816">
        <v>35.014551470000008</v>
      </c>
      <c r="CG14" s="816">
        <v>28.898812760000002</v>
      </c>
      <c r="CH14" s="816">
        <v>28.058647050000001</v>
      </c>
      <c r="CI14" s="816">
        <v>27.687826909999998</v>
      </c>
      <c r="CJ14" s="816">
        <v>25.513782379999999</v>
      </c>
      <c r="CK14" s="816">
        <v>24.40861048</v>
      </c>
      <c r="CL14" s="816">
        <v>22.040658190000002</v>
      </c>
      <c r="CM14" s="816">
        <v>21.03401062</v>
      </c>
      <c r="CN14" s="816">
        <v>20.125473790000001</v>
      </c>
      <c r="CO14" s="816">
        <v>20.202967579999999</v>
      </c>
      <c r="CP14" s="816">
        <v>18.44999344</v>
      </c>
      <c r="CQ14" s="816">
        <v>16.965635590000002</v>
      </c>
      <c r="CR14" s="816">
        <v>16.064176440000001</v>
      </c>
      <c r="CS14" s="816">
        <v>14.514742180000001</v>
      </c>
      <c r="CT14" s="816">
        <v>11.78653323</v>
      </c>
      <c r="CU14" s="816">
        <v>10.85389866</v>
      </c>
      <c r="CV14" s="816">
        <v>10.97698267</v>
      </c>
      <c r="CW14" s="816">
        <v>10.595139440000001</v>
      </c>
      <c r="CX14" s="816">
        <v>11.646035960000001</v>
      </c>
      <c r="CY14" s="816">
        <v>11.176651939999999</v>
      </c>
      <c r="CZ14" s="816">
        <v>11.44414735</v>
      </c>
      <c r="DA14" s="816">
        <v>11.05148994</v>
      </c>
      <c r="DB14" s="816">
        <v>11.59594266</v>
      </c>
      <c r="DC14" s="816">
        <v>11.133266020000001</v>
      </c>
      <c r="DD14" s="816">
        <v>11.92819302</v>
      </c>
      <c r="DE14" s="816">
        <v>12.08843491</v>
      </c>
      <c r="DF14" s="816">
        <v>12.31374282</v>
      </c>
      <c r="DG14" s="816">
        <v>13.537545870000001</v>
      </c>
      <c r="DH14" s="816">
        <v>14.99452206</v>
      </c>
      <c r="DI14" s="816">
        <v>13.97592079</v>
      </c>
      <c r="DJ14" s="816">
        <v>14.80505808</v>
      </c>
      <c r="DK14" s="816">
        <v>15.061241020000001</v>
      </c>
      <c r="DL14" s="816">
        <v>14.61592709</v>
      </c>
      <c r="DM14" s="816">
        <v>15.260181530000001</v>
      </c>
      <c r="DN14" s="816">
        <v>15.07302166</v>
      </c>
      <c r="DO14" s="816">
        <v>15.37590462</v>
      </c>
      <c r="DP14" s="816">
        <v>13.51173663</v>
      </c>
      <c r="DQ14" s="816">
        <v>13.37258126</v>
      </c>
      <c r="DR14" s="816">
        <v>14.440956180000001</v>
      </c>
      <c r="DS14" s="816">
        <v>15.1242859</v>
      </c>
      <c r="DT14" s="816">
        <v>16.027673870000001</v>
      </c>
      <c r="DU14" s="816">
        <v>15.453029259999999</v>
      </c>
      <c r="DV14" s="816">
        <v>16.017700900000001</v>
      </c>
      <c r="DW14" s="816">
        <v>16.030221010000002</v>
      </c>
      <c r="DX14" s="816">
        <v>16.881150940000001</v>
      </c>
      <c r="DY14" s="816">
        <v>17.89560079</v>
      </c>
      <c r="DZ14" s="816">
        <v>17.590612620000002</v>
      </c>
      <c r="EA14" s="816">
        <v>17.272368069999999</v>
      </c>
      <c r="EB14" s="816">
        <v>16.868055760000001</v>
      </c>
      <c r="EC14" s="816">
        <v>16.011385990000001</v>
      </c>
      <c r="ED14" s="816">
        <v>16.469778760000001</v>
      </c>
      <c r="EE14" s="816">
        <v>16.520830069999999</v>
      </c>
      <c r="EF14" s="816">
        <v>17.25397457</v>
      </c>
      <c r="EG14" s="816">
        <v>16.783451240000002</v>
      </c>
      <c r="EH14" s="816">
        <v>17.606337870000001</v>
      </c>
      <c r="EI14" s="816">
        <v>16.77338361</v>
      </c>
      <c r="EJ14" s="816">
        <v>17.673035909999999</v>
      </c>
      <c r="EK14" s="816">
        <v>18.13044807</v>
      </c>
      <c r="EL14" s="816">
        <v>18.44694922</v>
      </c>
      <c r="EM14" s="816">
        <v>17.844066529999999</v>
      </c>
      <c r="EN14" s="816">
        <v>15.06886289</v>
      </c>
      <c r="EO14" s="816">
        <v>15.022978</v>
      </c>
      <c r="EP14" s="816">
        <v>15.049114919999999</v>
      </c>
      <c r="EQ14" s="816">
        <v>14.54488111</v>
      </c>
      <c r="ER14" s="816">
        <v>15.84885987</v>
      </c>
      <c r="ES14" s="816">
        <v>14.434336139999999</v>
      </c>
      <c r="ET14" s="816">
        <v>14.49500153</v>
      </c>
      <c r="EU14" s="816">
        <v>13.589935730000001</v>
      </c>
      <c r="EV14" s="816">
        <v>12.58491096</v>
      </c>
      <c r="EW14" s="816">
        <v>12.54210904</v>
      </c>
      <c r="EX14" s="816">
        <v>10.76710849</v>
      </c>
      <c r="EY14" s="816">
        <v>10.093083480000001</v>
      </c>
      <c r="EZ14" s="816">
        <v>9.3794250699999999</v>
      </c>
      <c r="FA14" s="816">
        <v>9.3861968299999994</v>
      </c>
      <c r="FB14" s="816">
        <v>8.7939618500000005</v>
      </c>
      <c r="FC14" s="816">
        <v>8.5923126300000003</v>
      </c>
      <c r="FD14" s="816">
        <v>8.7632282400000001</v>
      </c>
      <c r="FE14" s="816">
        <v>8.8002002400000006</v>
      </c>
      <c r="FF14" s="816">
        <v>8.2484541500000006</v>
      </c>
      <c r="FG14" s="816">
        <v>7.09877365</v>
      </c>
      <c r="FH14" s="1726" t="s">
        <v>4071</v>
      </c>
    </row>
    <row r="15" spans="1:164" ht="21">
      <c r="A15" s="1723"/>
      <c r="B15" s="783"/>
      <c r="C15" s="783"/>
      <c r="D15" s="783"/>
      <c r="E15" s="783"/>
      <c r="F15" s="783"/>
      <c r="G15" s="783"/>
      <c r="H15" s="783"/>
      <c r="I15" s="783"/>
      <c r="J15" s="783"/>
      <c r="K15" s="783"/>
      <c r="L15" s="783"/>
      <c r="M15" s="784"/>
      <c r="N15" s="784"/>
      <c r="O15" s="784"/>
      <c r="P15" s="784"/>
      <c r="Q15" s="784"/>
      <c r="R15" s="784"/>
      <c r="S15" s="784"/>
      <c r="T15" s="784"/>
      <c r="U15" s="784"/>
      <c r="V15" s="784"/>
      <c r="W15" s="784"/>
      <c r="X15" s="784"/>
      <c r="Y15" s="784"/>
      <c r="Z15" s="784"/>
      <c r="AA15" s="784"/>
      <c r="AB15" s="784"/>
      <c r="AC15" s="784"/>
      <c r="AD15" s="784"/>
      <c r="AE15" s="784"/>
      <c r="AF15" s="784"/>
      <c r="AG15" s="784"/>
      <c r="AH15" s="784"/>
      <c r="AI15" s="784"/>
      <c r="AJ15" s="784"/>
      <c r="AK15" s="784"/>
      <c r="AL15" s="784"/>
      <c r="AM15" s="784"/>
      <c r="AN15" s="784"/>
      <c r="AO15" s="784"/>
      <c r="AP15" s="784"/>
      <c r="AQ15" s="784"/>
      <c r="AR15" s="784"/>
      <c r="AS15" s="784"/>
      <c r="AT15" s="784"/>
      <c r="AU15" s="784"/>
      <c r="AV15" s="784"/>
      <c r="AW15" s="784"/>
      <c r="AX15" s="784"/>
      <c r="AY15" s="784"/>
      <c r="AZ15" s="784"/>
      <c r="BA15" s="784"/>
      <c r="BB15" s="784"/>
      <c r="BC15" s="784"/>
      <c r="BD15" s="784"/>
      <c r="BE15" s="784"/>
      <c r="BF15" s="784"/>
      <c r="BG15" s="785"/>
      <c r="BH15" s="821"/>
      <c r="BI15" s="816"/>
      <c r="BJ15" s="816"/>
      <c r="BK15" s="816"/>
      <c r="BL15" s="816"/>
      <c r="BM15" s="816"/>
      <c r="BN15" s="816"/>
      <c r="BO15" s="816"/>
      <c r="BP15" s="816"/>
      <c r="BQ15" s="816"/>
      <c r="BR15" s="816"/>
      <c r="BS15" s="816"/>
      <c r="BT15" s="816"/>
      <c r="BU15" s="816"/>
      <c r="BV15" s="816"/>
      <c r="BW15" s="816"/>
      <c r="BX15" s="816"/>
      <c r="BY15" s="816"/>
      <c r="BZ15" s="816"/>
      <c r="CA15" s="816"/>
      <c r="CB15" s="816"/>
      <c r="CC15" s="816"/>
      <c r="CD15" s="816"/>
      <c r="CE15" s="816"/>
      <c r="CF15" s="816"/>
      <c r="CG15" s="816"/>
      <c r="CH15" s="816"/>
      <c r="CI15" s="816"/>
      <c r="CJ15" s="816"/>
      <c r="CK15" s="816"/>
      <c r="CL15" s="816"/>
      <c r="CM15" s="816"/>
      <c r="CN15" s="816"/>
      <c r="CO15" s="816"/>
      <c r="CP15" s="816"/>
      <c r="CQ15" s="816"/>
      <c r="CR15" s="816"/>
      <c r="CS15" s="816"/>
      <c r="CT15" s="816"/>
      <c r="CU15" s="816"/>
      <c r="CV15" s="816"/>
      <c r="CW15" s="816"/>
      <c r="CX15" s="816"/>
      <c r="CY15" s="816"/>
      <c r="CZ15" s="816"/>
      <c r="DA15" s="816"/>
      <c r="DB15" s="816"/>
      <c r="DC15" s="816"/>
      <c r="DD15" s="816"/>
      <c r="DE15" s="816"/>
      <c r="DF15" s="816"/>
      <c r="DG15" s="816"/>
      <c r="DH15" s="816"/>
      <c r="DI15" s="816"/>
      <c r="DJ15" s="816"/>
      <c r="DK15" s="816"/>
      <c r="DL15" s="816"/>
      <c r="DM15" s="816"/>
      <c r="DN15" s="816"/>
      <c r="DO15" s="1225"/>
      <c r="DP15" s="1225"/>
      <c r="DQ15" s="816"/>
      <c r="DR15" s="816"/>
      <c r="DS15" s="816"/>
      <c r="DU15" s="816"/>
      <c r="DV15" s="816"/>
      <c r="DW15" s="816"/>
      <c r="DX15" s="816"/>
      <c r="DY15" s="816"/>
      <c r="DZ15" s="816"/>
      <c r="EA15" s="816"/>
      <c r="EB15" s="816"/>
      <c r="EC15" s="816"/>
      <c r="ED15" s="816"/>
      <c r="EE15" s="816"/>
      <c r="EF15" s="816"/>
      <c r="EG15" s="816"/>
      <c r="EH15" s="816"/>
      <c r="EI15" s="816"/>
      <c r="EJ15" s="816"/>
      <c r="EK15" s="816"/>
      <c r="EL15" s="816"/>
      <c r="EM15" s="816"/>
      <c r="EN15" s="816"/>
      <c r="EO15" s="816"/>
      <c r="EP15" s="816"/>
      <c r="EQ15" s="816"/>
      <c r="ER15" s="816"/>
      <c r="ES15" s="816"/>
      <c r="ET15" s="816"/>
      <c r="EU15" s="816"/>
      <c r="EV15" s="816"/>
      <c r="EW15" s="816"/>
      <c r="EX15" s="816"/>
      <c r="EY15" s="816"/>
      <c r="EZ15" s="816"/>
      <c r="FA15" s="816"/>
      <c r="FB15" s="816"/>
      <c r="FC15" s="816"/>
      <c r="FD15" s="816"/>
      <c r="FE15" s="816"/>
      <c r="FF15" s="816"/>
      <c r="FG15" s="816"/>
      <c r="FH15" s="1723"/>
    </row>
    <row r="16" spans="1:164" ht="21">
      <c r="A16" s="1720" t="s">
        <v>1942</v>
      </c>
      <c r="B16" s="780">
        <v>900.60585729000013</v>
      </c>
      <c r="C16" s="780">
        <v>950.57219040999985</v>
      </c>
      <c r="D16" s="780">
        <v>996.88648498999987</v>
      </c>
      <c r="E16" s="780">
        <v>1019.9999033800001</v>
      </c>
      <c r="F16" s="780">
        <v>1056.58259172</v>
      </c>
      <c r="G16" s="780">
        <v>1065.4933399699999</v>
      </c>
      <c r="H16" s="780">
        <v>1111.6408226399999</v>
      </c>
      <c r="I16" s="780">
        <v>1136.14903099</v>
      </c>
      <c r="J16" s="780">
        <v>1143.6819962499999</v>
      </c>
      <c r="K16" s="780">
        <v>1161.5112751700001</v>
      </c>
      <c r="L16" s="780">
        <v>1193.3673344699998</v>
      </c>
      <c r="M16" s="781">
        <v>1197.2686757699998</v>
      </c>
      <c r="N16" s="781">
        <v>1211.98588965</v>
      </c>
      <c r="O16" s="781">
        <v>1207.63733701</v>
      </c>
      <c r="P16" s="781">
        <v>1214.0799898999999</v>
      </c>
      <c r="Q16" s="781">
        <v>1216.4959126199999</v>
      </c>
      <c r="R16" s="781">
        <v>1215.3632283300001</v>
      </c>
      <c r="S16" s="781">
        <v>1219.2263878199999</v>
      </c>
      <c r="T16" s="781">
        <v>1240.9546323099999</v>
      </c>
      <c r="U16" s="781">
        <v>1233.9687647400001</v>
      </c>
      <c r="V16" s="781">
        <v>1261.43159197</v>
      </c>
      <c r="W16" s="781">
        <v>1351.8882853300001</v>
      </c>
      <c r="X16" s="781">
        <v>1330.6987049299996</v>
      </c>
      <c r="Y16" s="781">
        <v>1385.0197001899999</v>
      </c>
      <c r="Z16" s="781">
        <v>1311.0651004399999</v>
      </c>
      <c r="AA16" s="781">
        <v>1425.4692462</v>
      </c>
      <c r="AB16" s="781">
        <v>1399.8752783299999</v>
      </c>
      <c r="AC16" s="781">
        <v>1351.86210308</v>
      </c>
      <c r="AD16" s="781">
        <v>1298.47358366</v>
      </c>
      <c r="AE16" s="781">
        <v>1269.33684449</v>
      </c>
      <c r="AF16" s="781">
        <v>1239.51924272</v>
      </c>
      <c r="AG16" s="781">
        <v>1230.4760736800001</v>
      </c>
      <c r="AH16" s="781">
        <v>1224.8822823800001</v>
      </c>
      <c r="AI16" s="781">
        <v>1224.3304192000001</v>
      </c>
      <c r="AJ16" s="781">
        <v>1224.72476719</v>
      </c>
      <c r="AK16" s="781">
        <v>1378.28589246</v>
      </c>
      <c r="AL16" s="781">
        <v>1303.85585406</v>
      </c>
      <c r="AM16" s="781">
        <v>1175.80363145</v>
      </c>
      <c r="AN16" s="781">
        <v>1121.45123601</v>
      </c>
      <c r="AO16" s="781">
        <v>1023.35903047</v>
      </c>
      <c r="AP16" s="781">
        <v>971.12926259000005</v>
      </c>
      <c r="AQ16" s="781">
        <v>966.63641978999988</v>
      </c>
      <c r="AR16" s="781">
        <v>928.42608434999988</v>
      </c>
      <c r="AS16" s="781">
        <v>947.20206422999991</v>
      </c>
      <c r="AT16" s="781">
        <v>948.41009122999992</v>
      </c>
      <c r="AU16" s="781">
        <v>931.91115173999992</v>
      </c>
      <c r="AV16" s="781">
        <v>956.51083137000012</v>
      </c>
      <c r="AW16" s="781">
        <v>927.1332988600002</v>
      </c>
      <c r="AX16" s="781">
        <v>927.58185118000017</v>
      </c>
      <c r="AY16" s="781">
        <v>853.2964447899999</v>
      </c>
      <c r="AZ16" s="781">
        <v>819.37947613000006</v>
      </c>
      <c r="BA16" s="781">
        <v>786.26425278000011</v>
      </c>
      <c r="BB16" s="781">
        <v>778.8260818199999</v>
      </c>
      <c r="BC16" s="781">
        <v>774.13354226000001</v>
      </c>
      <c r="BD16" s="781">
        <v>738.80413793999992</v>
      </c>
      <c r="BE16" s="781">
        <v>727.41019257999994</v>
      </c>
      <c r="BF16" s="781">
        <v>730.70115837000003</v>
      </c>
      <c r="BG16" s="782">
        <v>590.24756845999991</v>
      </c>
      <c r="BH16" s="820">
        <v>582.04044521000014</v>
      </c>
      <c r="BI16" s="815">
        <v>543.30810801999996</v>
      </c>
      <c r="BJ16" s="815">
        <v>550.75529954000001</v>
      </c>
      <c r="BK16" s="815">
        <v>557.33276310999997</v>
      </c>
      <c r="BL16" s="815">
        <v>591.15895278000005</v>
      </c>
      <c r="BM16" s="815">
        <v>619.11887791999993</v>
      </c>
      <c r="BN16" s="815">
        <v>653.56950983000002</v>
      </c>
      <c r="BO16" s="815">
        <v>656.55613108000011</v>
      </c>
      <c r="BP16" s="815">
        <v>679.97903689999998</v>
      </c>
      <c r="BQ16" s="815">
        <v>723.75890384999991</v>
      </c>
      <c r="BR16" s="815">
        <v>745.79158969000014</v>
      </c>
      <c r="BS16" s="815">
        <v>768.90804795999998</v>
      </c>
      <c r="BT16" s="815">
        <v>893.22626745000002</v>
      </c>
      <c r="BU16" s="815">
        <v>811.36751290000007</v>
      </c>
      <c r="BV16" s="815">
        <v>819.18702222999991</v>
      </c>
      <c r="BW16" s="815">
        <v>838.24865369999998</v>
      </c>
      <c r="BX16" s="815">
        <v>856.02496470000006</v>
      </c>
      <c r="BY16" s="815">
        <v>856.65193785999986</v>
      </c>
      <c r="BZ16" s="815">
        <v>877.4790348800002</v>
      </c>
      <c r="CA16" s="815">
        <v>873.94398125999999</v>
      </c>
      <c r="CB16" s="815">
        <v>878.39827879999984</v>
      </c>
      <c r="CC16" s="815">
        <v>910.97332156000004</v>
      </c>
      <c r="CD16" s="815">
        <v>953.58534950000012</v>
      </c>
      <c r="CE16" s="815">
        <v>962.07433335999997</v>
      </c>
      <c r="CF16" s="815">
        <v>1229.7827718500002</v>
      </c>
      <c r="CG16" s="815">
        <v>1245.7138055</v>
      </c>
      <c r="CH16" s="815">
        <v>1252.339164</v>
      </c>
      <c r="CI16" s="815">
        <v>1240.2199248000002</v>
      </c>
      <c r="CJ16" s="815">
        <v>1090.3233226799998</v>
      </c>
      <c r="CK16" s="815">
        <v>1033.68304902</v>
      </c>
      <c r="CL16" s="815">
        <v>1021.0171224699999</v>
      </c>
      <c r="CM16" s="815">
        <v>983.69759620999992</v>
      </c>
      <c r="CN16" s="815">
        <v>964.8480044800001</v>
      </c>
      <c r="CO16" s="815">
        <v>977.73233870000001</v>
      </c>
      <c r="CP16" s="815">
        <v>996.19034121999994</v>
      </c>
      <c r="CQ16" s="815">
        <v>986.76210618999994</v>
      </c>
      <c r="CR16" s="815">
        <v>987.15488375999996</v>
      </c>
      <c r="CS16" s="815">
        <v>979.85564850000003</v>
      </c>
      <c r="CT16" s="815">
        <v>1070.6237539799999</v>
      </c>
      <c r="CU16" s="815">
        <v>990.48333212</v>
      </c>
      <c r="CV16" s="815">
        <v>1011.08760856</v>
      </c>
      <c r="CW16" s="815">
        <v>1026.6856471599999</v>
      </c>
      <c r="CX16" s="815">
        <v>1046.1485375499999</v>
      </c>
      <c r="CY16" s="815">
        <v>1063.8948554799999</v>
      </c>
      <c r="CZ16" s="815">
        <v>1085.64384124</v>
      </c>
      <c r="DA16" s="815">
        <v>1121.09482424</v>
      </c>
      <c r="DB16" s="815">
        <v>1153.28905764</v>
      </c>
      <c r="DC16" s="815">
        <v>1178.6006223100001</v>
      </c>
      <c r="DD16" s="815">
        <v>1192.1786739900001</v>
      </c>
      <c r="DE16" s="815">
        <v>1210.3452948300001</v>
      </c>
      <c r="DF16" s="815">
        <v>1237.44017336</v>
      </c>
      <c r="DG16" s="815">
        <v>1236.7436855999999</v>
      </c>
      <c r="DH16" s="815">
        <v>1169.16633454</v>
      </c>
      <c r="DI16" s="815">
        <v>1157.51785397</v>
      </c>
      <c r="DJ16" s="815">
        <v>1184.9242915299999</v>
      </c>
      <c r="DK16" s="815">
        <v>1201.8656761499999</v>
      </c>
      <c r="DL16" s="815">
        <v>1238.8237559300001</v>
      </c>
      <c r="DM16" s="815">
        <v>1258.5100226100001</v>
      </c>
      <c r="DN16" s="815">
        <v>1333.5797947000001</v>
      </c>
      <c r="DO16" s="815">
        <v>1344.8701734599999</v>
      </c>
      <c r="DP16" s="815">
        <v>1347.5477421200001</v>
      </c>
      <c r="DQ16" s="815">
        <v>1236.62546101</v>
      </c>
      <c r="DR16" s="815">
        <v>1254.11241131</v>
      </c>
      <c r="DS16" s="815">
        <v>1250.3295038399999</v>
      </c>
      <c r="DT16" s="815">
        <v>1256.7764737800001</v>
      </c>
      <c r="DU16" s="815">
        <v>1285.3631535699999</v>
      </c>
      <c r="DV16" s="815">
        <v>1318.90314397</v>
      </c>
      <c r="DW16" s="815">
        <v>1329.3988748700001</v>
      </c>
      <c r="DX16" s="815">
        <v>1397.96991142</v>
      </c>
      <c r="DY16" s="815">
        <v>1425.44792975</v>
      </c>
      <c r="DZ16" s="815">
        <v>1493.681644</v>
      </c>
      <c r="EA16" s="815">
        <v>1510.20216026</v>
      </c>
      <c r="EB16" s="815">
        <v>1573.8528462199999</v>
      </c>
      <c r="EC16" s="815">
        <v>1595.82888729</v>
      </c>
      <c r="ED16" s="815">
        <v>1600.4926245199999</v>
      </c>
      <c r="EE16" s="815">
        <v>1609.7222822000001</v>
      </c>
      <c r="EF16" s="815">
        <v>1621.23223654</v>
      </c>
      <c r="EG16" s="815">
        <v>1659.28359656</v>
      </c>
      <c r="EH16" s="815">
        <v>1658.05116976</v>
      </c>
      <c r="EI16" s="815">
        <v>1698.42767228</v>
      </c>
      <c r="EJ16" s="815">
        <v>1696.19189351</v>
      </c>
      <c r="EK16" s="815">
        <v>1744.355374</v>
      </c>
      <c r="EL16" s="815">
        <v>1809.1021795700001</v>
      </c>
      <c r="EM16" s="815">
        <v>1829.6177983600001</v>
      </c>
      <c r="EN16" s="815">
        <v>1911.3263044099999</v>
      </c>
      <c r="EO16" s="815">
        <v>1926.32804962</v>
      </c>
      <c r="EP16" s="815">
        <v>1981.1143603</v>
      </c>
      <c r="EQ16" s="815">
        <v>1919.4939857500001</v>
      </c>
      <c r="ER16" s="815">
        <v>1969.5034176900001</v>
      </c>
      <c r="ES16" s="815">
        <v>1971.50816005</v>
      </c>
      <c r="ET16" s="815">
        <v>2005.87903011</v>
      </c>
      <c r="EU16" s="815">
        <v>1974.52832089</v>
      </c>
      <c r="EV16" s="815">
        <v>1950.47121526</v>
      </c>
      <c r="EW16" s="815">
        <v>2008.7644470499999</v>
      </c>
      <c r="EX16" s="815">
        <v>2012.55912951</v>
      </c>
      <c r="EY16" s="815">
        <v>1957.1290345499999</v>
      </c>
      <c r="EZ16" s="815">
        <v>2020.0305049799999</v>
      </c>
      <c r="FA16" s="815">
        <v>2007.1942785000001</v>
      </c>
      <c r="FB16" s="815">
        <v>2031.24592871</v>
      </c>
      <c r="FC16" s="815">
        <v>2004.69607967</v>
      </c>
      <c r="FD16" s="815">
        <v>1976.78188161</v>
      </c>
      <c r="FE16" s="815">
        <v>1962.6936643500001</v>
      </c>
      <c r="FF16" s="815">
        <v>1946.40521838</v>
      </c>
      <c r="FG16" s="815">
        <v>1923.28146358</v>
      </c>
      <c r="FH16" s="1720" t="s">
        <v>4064</v>
      </c>
    </row>
    <row r="17" spans="1:164" ht="21">
      <c r="A17" s="1721" t="s">
        <v>1941</v>
      </c>
      <c r="B17" s="783">
        <v>203.66571327</v>
      </c>
      <c r="C17" s="783">
        <v>218.70473271999998</v>
      </c>
      <c r="D17" s="783">
        <v>238.41179708999999</v>
      </c>
      <c r="E17" s="783">
        <v>243.85885109000003</v>
      </c>
      <c r="F17" s="783">
        <v>265.22080545</v>
      </c>
      <c r="G17" s="783">
        <v>274.97615418999999</v>
      </c>
      <c r="H17" s="783">
        <v>290.78014209000003</v>
      </c>
      <c r="I17" s="783">
        <v>312.04198859999997</v>
      </c>
      <c r="J17" s="783">
        <v>330.92117612999999</v>
      </c>
      <c r="K17" s="783">
        <v>348.84465638</v>
      </c>
      <c r="L17" s="783">
        <v>364.29915122</v>
      </c>
      <c r="M17" s="784">
        <v>392.48039172999995</v>
      </c>
      <c r="N17" s="784">
        <v>411.19484534000003</v>
      </c>
      <c r="O17" s="784">
        <v>420.94927804000008</v>
      </c>
      <c r="P17" s="784">
        <v>443.73007379000001</v>
      </c>
      <c r="Q17" s="784">
        <v>450.10162295999999</v>
      </c>
      <c r="R17" s="784">
        <v>464.61253657000003</v>
      </c>
      <c r="S17" s="784">
        <v>475.11422660000005</v>
      </c>
      <c r="T17" s="784">
        <v>497.92256012999997</v>
      </c>
      <c r="U17" s="784">
        <v>503.63258666000002</v>
      </c>
      <c r="V17" s="784">
        <v>523.30241130000013</v>
      </c>
      <c r="W17" s="784">
        <v>553.70656314000007</v>
      </c>
      <c r="X17" s="784">
        <v>557.27342995000004</v>
      </c>
      <c r="Y17" s="784">
        <v>591.20049481000001</v>
      </c>
      <c r="Z17" s="784">
        <v>615.73123925999994</v>
      </c>
      <c r="AA17" s="784">
        <v>670.19783125000004</v>
      </c>
      <c r="AB17" s="784">
        <v>669.15657996999994</v>
      </c>
      <c r="AC17" s="784">
        <v>647.63511814000003</v>
      </c>
      <c r="AD17" s="784">
        <v>636.56983934999994</v>
      </c>
      <c r="AE17" s="784">
        <v>626.44542064999996</v>
      </c>
      <c r="AF17" s="784">
        <v>616.48543055999994</v>
      </c>
      <c r="AG17" s="784">
        <v>614.87086547000001</v>
      </c>
      <c r="AH17" s="784">
        <v>610.4003544599999</v>
      </c>
      <c r="AI17" s="784">
        <v>599.49424133000002</v>
      </c>
      <c r="AJ17" s="784">
        <v>602.61007252999991</v>
      </c>
      <c r="AK17" s="784">
        <v>683.13054933000001</v>
      </c>
      <c r="AL17" s="784">
        <v>650.20757859000014</v>
      </c>
      <c r="AM17" s="784">
        <v>610.98112474000004</v>
      </c>
      <c r="AN17" s="784">
        <v>595.00252260999991</v>
      </c>
      <c r="AO17" s="784">
        <v>566.91191372000003</v>
      </c>
      <c r="AP17" s="784">
        <v>543.37772720999999</v>
      </c>
      <c r="AQ17" s="784">
        <v>541.48607903999994</v>
      </c>
      <c r="AR17" s="784">
        <v>527.67737364999994</v>
      </c>
      <c r="AS17" s="784">
        <v>529.19190574999993</v>
      </c>
      <c r="AT17" s="784">
        <v>516.8582217500001</v>
      </c>
      <c r="AU17" s="784">
        <v>501.91066069999999</v>
      </c>
      <c r="AV17" s="784">
        <v>504.19568146000006</v>
      </c>
      <c r="AW17" s="784">
        <v>493.13278719000004</v>
      </c>
      <c r="AX17" s="784">
        <v>504.47701625000002</v>
      </c>
      <c r="AY17" s="784">
        <v>474.09742122</v>
      </c>
      <c r="AZ17" s="784">
        <v>461.26190164999997</v>
      </c>
      <c r="BA17" s="784">
        <v>451.38372360000005</v>
      </c>
      <c r="BB17" s="784">
        <v>446.29563153999993</v>
      </c>
      <c r="BC17" s="784">
        <v>435.14592921000002</v>
      </c>
      <c r="BD17" s="784">
        <v>425.53991751000001</v>
      </c>
      <c r="BE17" s="784">
        <v>423.71609115000001</v>
      </c>
      <c r="BF17" s="784">
        <v>421.43521714999997</v>
      </c>
      <c r="BG17" s="785">
        <v>290.96891877999997</v>
      </c>
      <c r="BH17" s="821">
        <v>282.34570082000005</v>
      </c>
      <c r="BI17" s="816">
        <v>250.62210306</v>
      </c>
      <c r="BJ17" s="816">
        <v>257.14003023999999</v>
      </c>
      <c r="BK17" s="816">
        <v>259.72412456000001</v>
      </c>
      <c r="BL17" s="816">
        <v>271.40057364</v>
      </c>
      <c r="BM17" s="816">
        <v>284.91728982000001</v>
      </c>
      <c r="BN17" s="816">
        <v>298.62170628000001</v>
      </c>
      <c r="BO17" s="816">
        <v>304.15185147</v>
      </c>
      <c r="BP17" s="816">
        <v>319.16409217</v>
      </c>
      <c r="BQ17" s="816">
        <v>341.07483401999997</v>
      </c>
      <c r="BR17" s="816">
        <v>356.43424820000001</v>
      </c>
      <c r="BS17" s="816">
        <v>372.25026803999998</v>
      </c>
      <c r="BT17" s="816">
        <v>390.6231808</v>
      </c>
      <c r="BU17" s="816">
        <v>406.96781119000002</v>
      </c>
      <c r="BV17" s="816">
        <v>419.91047923999997</v>
      </c>
      <c r="BW17" s="816">
        <v>427.04040964999996</v>
      </c>
      <c r="BX17" s="816">
        <v>443.44451572000003</v>
      </c>
      <c r="BY17" s="816">
        <v>453.47729146999995</v>
      </c>
      <c r="BZ17" s="816">
        <v>461.12672806</v>
      </c>
      <c r="CA17" s="816">
        <v>463.17394149999996</v>
      </c>
      <c r="CB17" s="816">
        <v>461.59540937999998</v>
      </c>
      <c r="CC17" s="816">
        <v>474.08514445999998</v>
      </c>
      <c r="CD17" s="816">
        <v>485.27372124999999</v>
      </c>
      <c r="CE17" s="816">
        <v>491.48702281999999</v>
      </c>
      <c r="CF17" s="816">
        <v>507.71564654000008</v>
      </c>
      <c r="CG17" s="816">
        <v>518.95443244000001</v>
      </c>
      <c r="CH17" s="816">
        <v>537.31855610000002</v>
      </c>
      <c r="CI17" s="816">
        <v>539.11662103999993</v>
      </c>
      <c r="CJ17" s="816">
        <v>559.72783935999985</v>
      </c>
      <c r="CK17" s="816">
        <v>543.07001586999991</v>
      </c>
      <c r="CL17" s="816">
        <v>549.38760528</v>
      </c>
      <c r="CM17" s="816">
        <v>557.16447228999994</v>
      </c>
      <c r="CN17" s="816">
        <v>544.86354373000006</v>
      </c>
      <c r="CO17" s="816">
        <v>558.49873916999991</v>
      </c>
      <c r="CP17" s="816">
        <v>575.42596328999991</v>
      </c>
      <c r="CQ17" s="816">
        <v>569.16923495000003</v>
      </c>
      <c r="CR17" s="816">
        <v>576.50752728999987</v>
      </c>
      <c r="CS17" s="816">
        <v>563.62845802000004</v>
      </c>
      <c r="CT17" s="816">
        <v>568.69446108</v>
      </c>
      <c r="CU17" s="816">
        <v>574.44495085000005</v>
      </c>
      <c r="CV17" s="816">
        <v>591.81350957999996</v>
      </c>
      <c r="CW17" s="816">
        <v>590.48644849000004</v>
      </c>
      <c r="CX17" s="816">
        <v>606.50917583</v>
      </c>
      <c r="CY17" s="816">
        <v>625.54050872000005</v>
      </c>
      <c r="CZ17" s="816">
        <v>640.74230924999995</v>
      </c>
      <c r="DA17" s="816">
        <v>662.15613992999999</v>
      </c>
      <c r="DB17" s="816">
        <v>684.94513697000002</v>
      </c>
      <c r="DC17" s="816">
        <v>700.65092701000003</v>
      </c>
      <c r="DD17" s="816">
        <v>736.95427557999994</v>
      </c>
      <c r="DE17" s="816">
        <v>739.10232041999996</v>
      </c>
      <c r="DF17" s="816">
        <v>769.89369518000001</v>
      </c>
      <c r="DG17" s="816">
        <v>758.47734047999995</v>
      </c>
      <c r="DH17" s="816">
        <v>793.02372937999996</v>
      </c>
      <c r="DI17" s="816">
        <v>777.45113690999995</v>
      </c>
      <c r="DJ17" s="816">
        <v>800.07933630000002</v>
      </c>
      <c r="DK17" s="816">
        <v>819.51974065000002</v>
      </c>
      <c r="DL17" s="816">
        <v>822.13604544999998</v>
      </c>
      <c r="DM17" s="816">
        <v>837.00039572000003</v>
      </c>
      <c r="DN17" s="816">
        <v>839.85242621999998</v>
      </c>
      <c r="DO17" s="816">
        <v>849.17063056999996</v>
      </c>
      <c r="DP17" s="816">
        <v>856.66520227000001</v>
      </c>
      <c r="DQ17" s="816">
        <v>837.07543962</v>
      </c>
      <c r="DR17" s="816">
        <v>859.17244278999999</v>
      </c>
      <c r="DS17" s="816">
        <v>850.62589598</v>
      </c>
      <c r="DT17" s="816">
        <v>865.17419215999996</v>
      </c>
      <c r="DU17" s="816">
        <v>870.47928583999999</v>
      </c>
      <c r="DV17" s="816">
        <v>898.96788346999995</v>
      </c>
      <c r="DW17" s="816">
        <v>907.47950351999998</v>
      </c>
      <c r="DX17" s="816">
        <v>949.19194112000002</v>
      </c>
      <c r="DY17" s="816">
        <v>979.87915396999995</v>
      </c>
      <c r="DZ17" s="816">
        <v>1019.7168133500001</v>
      </c>
      <c r="EA17" s="816">
        <v>1054.7945529900001</v>
      </c>
      <c r="EB17" s="816">
        <v>1113.6033006</v>
      </c>
      <c r="EC17" s="816">
        <v>1125.4956545699999</v>
      </c>
      <c r="ED17" s="816">
        <v>1163.33784029</v>
      </c>
      <c r="EE17" s="816">
        <v>1169.6381535</v>
      </c>
      <c r="EF17" s="816">
        <v>1197.05751543</v>
      </c>
      <c r="EG17" s="816">
        <v>1229.5244011100001</v>
      </c>
      <c r="EH17" s="816">
        <v>1224.6621162900001</v>
      </c>
      <c r="EI17" s="816">
        <v>1244.9837131199999</v>
      </c>
      <c r="EJ17" s="816">
        <v>1246.71875445</v>
      </c>
      <c r="EK17" s="816">
        <v>1273.8810731799999</v>
      </c>
      <c r="EL17" s="816">
        <v>1314.0189716499999</v>
      </c>
      <c r="EM17" s="816">
        <v>1327.6926271899999</v>
      </c>
      <c r="EN17" s="816">
        <v>1366.2798097299999</v>
      </c>
      <c r="EO17" s="816">
        <v>1346.73553866</v>
      </c>
      <c r="EP17" s="816">
        <v>1391.7176406799999</v>
      </c>
      <c r="EQ17" s="816">
        <v>1362.31711597</v>
      </c>
      <c r="ER17" s="816">
        <v>1396.2383687900001</v>
      </c>
      <c r="ES17" s="816">
        <v>1394.11676164</v>
      </c>
      <c r="ET17" s="816">
        <v>1419.27102298</v>
      </c>
      <c r="EU17" s="816">
        <v>1389.88478267</v>
      </c>
      <c r="EV17" s="816">
        <v>1370.5345294900001</v>
      </c>
      <c r="EW17" s="816">
        <v>1411.33718447</v>
      </c>
      <c r="EX17" s="816">
        <v>1383.93819465</v>
      </c>
      <c r="EY17" s="816">
        <v>1325.7132279299999</v>
      </c>
      <c r="EZ17" s="816">
        <v>1376.9995632800001</v>
      </c>
      <c r="FA17" s="816">
        <v>1299.4072760700001</v>
      </c>
      <c r="FB17" s="816">
        <v>1327.8510458999999</v>
      </c>
      <c r="FC17" s="816">
        <v>1283.46052493</v>
      </c>
      <c r="FD17" s="816">
        <v>1274.47688791</v>
      </c>
      <c r="FE17" s="816">
        <v>1236.35218448</v>
      </c>
      <c r="FF17" s="816">
        <v>1243.8628852700001</v>
      </c>
      <c r="FG17" s="816">
        <v>1215.69170874</v>
      </c>
      <c r="FH17" s="1726" t="s">
        <v>4071</v>
      </c>
    </row>
    <row r="18" spans="1:164" ht="21">
      <c r="A18" s="1722" t="s">
        <v>185</v>
      </c>
      <c r="B18" s="780">
        <v>609.98843933000001</v>
      </c>
      <c r="C18" s="780">
        <v>656.49909121999997</v>
      </c>
      <c r="D18" s="780">
        <v>701.92516712999998</v>
      </c>
      <c r="E18" s="780">
        <v>731.44125720000011</v>
      </c>
      <c r="F18" s="780">
        <v>760.48448848999999</v>
      </c>
      <c r="G18" s="780">
        <v>770.39997973000004</v>
      </c>
      <c r="H18" s="780">
        <v>805.61746755999991</v>
      </c>
      <c r="I18" s="780">
        <v>829.10918615999992</v>
      </c>
      <c r="J18" s="780">
        <v>835.82118426999989</v>
      </c>
      <c r="K18" s="780">
        <v>857.87827353000011</v>
      </c>
      <c r="L18" s="780">
        <v>888.63796394999986</v>
      </c>
      <c r="M18" s="781">
        <v>888.12996307000003</v>
      </c>
      <c r="N18" s="781">
        <v>904.16322344999992</v>
      </c>
      <c r="O18" s="781">
        <v>895.12180990999991</v>
      </c>
      <c r="P18" s="781">
        <v>904.80045456999994</v>
      </c>
      <c r="Q18" s="781">
        <v>905.24252146999982</v>
      </c>
      <c r="R18" s="781">
        <v>901.09880698000006</v>
      </c>
      <c r="S18" s="781">
        <v>900.24967968999999</v>
      </c>
      <c r="T18" s="781">
        <v>915.09319684000002</v>
      </c>
      <c r="U18" s="781">
        <v>912.95840167000006</v>
      </c>
      <c r="V18" s="781">
        <v>942.92982947999997</v>
      </c>
      <c r="W18" s="781">
        <v>1016.9287079800001</v>
      </c>
      <c r="X18" s="781">
        <v>997.2352578399998</v>
      </c>
      <c r="Y18" s="781">
        <v>977.98140193999996</v>
      </c>
      <c r="Z18" s="781">
        <v>968.88357872999995</v>
      </c>
      <c r="AA18" s="781">
        <v>965.98321618</v>
      </c>
      <c r="AB18" s="781">
        <v>945.55585615999996</v>
      </c>
      <c r="AC18" s="781">
        <v>897.77618342000005</v>
      </c>
      <c r="AD18" s="781">
        <v>841.56811607000009</v>
      </c>
      <c r="AE18" s="781">
        <v>803.36280742999998</v>
      </c>
      <c r="AF18" s="781">
        <v>772.35495680999998</v>
      </c>
      <c r="AG18" s="781">
        <v>791.52401495000004</v>
      </c>
      <c r="AH18" s="781">
        <v>787.25923029</v>
      </c>
      <c r="AI18" s="781">
        <v>783.74404987999992</v>
      </c>
      <c r="AJ18" s="781">
        <v>784.94925456999999</v>
      </c>
      <c r="AK18" s="781">
        <v>751.65466551999998</v>
      </c>
      <c r="AL18" s="781">
        <v>711.14529013000003</v>
      </c>
      <c r="AM18" s="781">
        <v>655.56222794999985</v>
      </c>
      <c r="AN18" s="781">
        <v>634.49537610000004</v>
      </c>
      <c r="AO18" s="781">
        <v>592.76317563999999</v>
      </c>
      <c r="AP18" s="781">
        <v>569.01163725999993</v>
      </c>
      <c r="AQ18" s="781">
        <v>569.31059256999993</v>
      </c>
      <c r="AR18" s="781">
        <v>536.32840003999991</v>
      </c>
      <c r="AS18" s="781">
        <v>549.27154977999987</v>
      </c>
      <c r="AT18" s="781">
        <v>567.66931407999994</v>
      </c>
      <c r="AU18" s="781">
        <v>562.34147214999996</v>
      </c>
      <c r="AV18" s="781">
        <v>565.88238289000014</v>
      </c>
      <c r="AW18" s="781">
        <v>539.54233646000012</v>
      </c>
      <c r="AX18" s="781">
        <v>541.8727236200001</v>
      </c>
      <c r="AY18" s="781">
        <v>518.64094012999988</v>
      </c>
      <c r="AZ18" s="781">
        <v>505.94148887999995</v>
      </c>
      <c r="BA18" s="781">
        <v>487.23929886000002</v>
      </c>
      <c r="BB18" s="781">
        <v>475.84873889999994</v>
      </c>
      <c r="BC18" s="781">
        <v>469.91294165000005</v>
      </c>
      <c r="BD18" s="781">
        <v>450.04298356999993</v>
      </c>
      <c r="BE18" s="781">
        <v>438.61807252999995</v>
      </c>
      <c r="BF18" s="781">
        <v>436.71122155</v>
      </c>
      <c r="BG18" s="782">
        <v>424.28998446999998</v>
      </c>
      <c r="BH18" s="820">
        <v>421.63518451000004</v>
      </c>
      <c r="BI18" s="815">
        <v>418.85624995000001</v>
      </c>
      <c r="BJ18" s="815">
        <v>421.45611431000003</v>
      </c>
      <c r="BK18" s="815">
        <v>430.35341854000001</v>
      </c>
      <c r="BL18" s="815">
        <v>438.67542004000001</v>
      </c>
      <c r="BM18" s="815">
        <v>466.66641277999997</v>
      </c>
      <c r="BN18" s="815">
        <v>492.80811220000004</v>
      </c>
      <c r="BO18" s="815">
        <v>519.90613167000004</v>
      </c>
      <c r="BP18" s="815">
        <v>539.81792658999996</v>
      </c>
      <c r="BQ18" s="815">
        <v>581.98641012999997</v>
      </c>
      <c r="BR18" s="815">
        <v>606.8003140400001</v>
      </c>
      <c r="BS18" s="815">
        <v>631.44229213999995</v>
      </c>
      <c r="BT18" s="815">
        <v>753.18105435999996</v>
      </c>
      <c r="BU18" s="815">
        <v>672.37315248000004</v>
      </c>
      <c r="BV18" s="815">
        <v>684.85038641999995</v>
      </c>
      <c r="BW18" s="815">
        <v>699.43741843999999</v>
      </c>
      <c r="BX18" s="815">
        <v>716.43170017000011</v>
      </c>
      <c r="BY18" s="815">
        <v>718.00917579999987</v>
      </c>
      <c r="BZ18" s="815">
        <v>726.14553650000016</v>
      </c>
      <c r="CA18" s="815">
        <v>721.18303600000002</v>
      </c>
      <c r="CB18" s="815">
        <v>732.49618717999988</v>
      </c>
      <c r="CC18" s="815">
        <v>759.52979725</v>
      </c>
      <c r="CD18" s="815">
        <v>786.10046945000011</v>
      </c>
      <c r="CE18" s="815">
        <v>799.54609864999998</v>
      </c>
      <c r="CF18" s="815">
        <v>814.48292012000013</v>
      </c>
      <c r="CG18" s="815">
        <v>840.34779018999996</v>
      </c>
      <c r="CH18" s="815">
        <v>851.04530885999986</v>
      </c>
      <c r="CI18" s="815">
        <v>843.63151432000006</v>
      </c>
      <c r="CJ18" s="815">
        <v>866.42355911999982</v>
      </c>
      <c r="CK18" s="815">
        <v>816.60505552999996</v>
      </c>
      <c r="CL18" s="815">
        <v>801.06182613999988</v>
      </c>
      <c r="CM18" s="815">
        <v>791.14280289999988</v>
      </c>
      <c r="CN18" s="815">
        <v>767.58009878000007</v>
      </c>
      <c r="CO18" s="815">
        <v>777.64792884999997</v>
      </c>
      <c r="CP18" s="815">
        <v>804.74775201999989</v>
      </c>
      <c r="CQ18" s="815">
        <v>796.14798833999998</v>
      </c>
      <c r="CR18" s="815">
        <v>800.60930597999993</v>
      </c>
      <c r="CS18" s="815">
        <v>792.62490864000006</v>
      </c>
      <c r="CT18" s="815">
        <v>802.99152891999995</v>
      </c>
      <c r="CU18" s="815">
        <v>815.78543519000004</v>
      </c>
      <c r="CV18" s="815">
        <v>836.80092327</v>
      </c>
      <c r="CW18" s="815">
        <v>845.87102186000004</v>
      </c>
      <c r="CX18" s="815">
        <v>863.39912361999995</v>
      </c>
      <c r="CY18" s="815">
        <v>885.28534869999999</v>
      </c>
      <c r="CZ18" s="815">
        <v>906.30949879000002</v>
      </c>
      <c r="DA18" s="815">
        <v>931.00928870999996</v>
      </c>
      <c r="DB18" s="815">
        <v>964.71036547999995</v>
      </c>
      <c r="DC18" s="815">
        <v>990.70441163999999</v>
      </c>
      <c r="DD18" s="815">
        <v>1022.58226715</v>
      </c>
      <c r="DE18" s="815">
        <v>1042.9495256</v>
      </c>
      <c r="DF18" s="815">
        <v>1070.7539405299999</v>
      </c>
      <c r="DG18" s="815">
        <v>1067.53859016</v>
      </c>
      <c r="DH18" s="815">
        <v>1095.0130248999999</v>
      </c>
      <c r="DI18" s="815">
        <v>1099.44437343</v>
      </c>
      <c r="DJ18" s="815">
        <v>1123.52381919</v>
      </c>
      <c r="DK18" s="815">
        <v>1144.0622717199999</v>
      </c>
      <c r="DL18" s="815">
        <v>1141.6269637299999</v>
      </c>
      <c r="DM18" s="815">
        <v>1155.91317908</v>
      </c>
      <c r="DN18" s="815">
        <v>1161.2330764000001</v>
      </c>
      <c r="DO18" s="815">
        <v>1166.94683826</v>
      </c>
      <c r="DP18" s="815">
        <v>1175.27724932</v>
      </c>
      <c r="DQ18" s="815">
        <v>1175.9490978199999</v>
      </c>
      <c r="DR18" s="815">
        <v>1194.96634853</v>
      </c>
      <c r="DS18" s="815">
        <v>1189.6569112300001</v>
      </c>
      <c r="DT18" s="815">
        <v>1202.26653173</v>
      </c>
      <c r="DU18" s="815">
        <v>1229.29056461</v>
      </c>
      <c r="DV18" s="815">
        <v>1259.3398829800001</v>
      </c>
      <c r="DW18" s="815">
        <v>1273.3482454800001</v>
      </c>
      <c r="DX18" s="815">
        <v>1344.5107129099999</v>
      </c>
      <c r="DY18" s="815">
        <v>1367.95508331</v>
      </c>
      <c r="DZ18" s="815">
        <v>1417.17217626</v>
      </c>
      <c r="EA18" s="815">
        <v>1445.6641120100001</v>
      </c>
      <c r="EB18" s="815">
        <v>1507.1422811899999</v>
      </c>
      <c r="EC18" s="815">
        <v>1525.8745198500001</v>
      </c>
      <c r="ED18" s="815">
        <v>1542.34921196</v>
      </c>
      <c r="EE18" s="815">
        <v>1552.2877883900001</v>
      </c>
      <c r="EF18" s="815">
        <v>1562.5899022000001</v>
      </c>
      <c r="EG18" s="815">
        <v>1601.11784016</v>
      </c>
      <c r="EH18" s="815">
        <v>1605.0098743599999</v>
      </c>
      <c r="EI18" s="815">
        <v>1626.3293089199999</v>
      </c>
      <c r="EJ18" s="815">
        <v>1642.58399261</v>
      </c>
      <c r="EK18" s="815">
        <v>1685.1587610300001</v>
      </c>
      <c r="EL18" s="815">
        <v>1739.0453838000001</v>
      </c>
      <c r="EM18" s="815">
        <v>1761.9038205700001</v>
      </c>
      <c r="EN18" s="815">
        <v>1810.44791756</v>
      </c>
      <c r="EO18" s="815">
        <v>1817.77230328</v>
      </c>
      <c r="EP18" s="815">
        <v>1881.07683989</v>
      </c>
      <c r="EQ18" s="815">
        <v>1849.8008299799999</v>
      </c>
      <c r="ER18" s="815">
        <v>1890.08556247</v>
      </c>
      <c r="ES18" s="815">
        <v>1902.0546950600001</v>
      </c>
      <c r="ET18" s="815">
        <v>1937.49436524</v>
      </c>
      <c r="EU18" s="815">
        <v>1908.12275772</v>
      </c>
      <c r="EV18" s="815">
        <v>1898.64716795</v>
      </c>
      <c r="EW18" s="815">
        <v>1954.86834047</v>
      </c>
      <c r="EX18" s="815">
        <v>1947.59584617</v>
      </c>
      <c r="EY18" s="815">
        <v>1894.38714779</v>
      </c>
      <c r="EZ18" s="815">
        <v>1953.7930475600001</v>
      </c>
      <c r="FA18" s="815">
        <v>1884.4213238</v>
      </c>
      <c r="FB18" s="815">
        <v>1913.96731744</v>
      </c>
      <c r="FC18" s="815">
        <v>1888.02835308</v>
      </c>
      <c r="FD18" s="815">
        <v>1859.0836543299999</v>
      </c>
      <c r="FE18" s="815">
        <v>1845.9030500599999</v>
      </c>
      <c r="FF18" s="815">
        <v>1831.56956098</v>
      </c>
      <c r="FG18" s="815">
        <v>1810.36478521</v>
      </c>
      <c r="FH18" s="1722" t="s">
        <v>206</v>
      </c>
    </row>
    <row r="19" spans="1:164" ht="21">
      <c r="A19" s="1721" t="s">
        <v>1944</v>
      </c>
      <c r="B19" s="783">
        <v>109.64487560000001</v>
      </c>
      <c r="C19" s="783">
        <v>121.28549662</v>
      </c>
      <c r="D19" s="783">
        <v>135.66314795</v>
      </c>
      <c r="E19" s="783">
        <v>141.56863710000002</v>
      </c>
      <c r="F19" s="783">
        <v>156.02506714</v>
      </c>
      <c r="G19" s="783">
        <v>162.03606468000001</v>
      </c>
      <c r="H19" s="783">
        <v>176.13505711000002</v>
      </c>
      <c r="I19" s="783">
        <v>187.89264433</v>
      </c>
      <c r="J19" s="783">
        <v>207.07547869000001</v>
      </c>
      <c r="K19" s="783">
        <v>223.52145536999998</v>
      </c>
      <c r="L19" s="783">
        <v>237.69682075</v>
      </c>
      <c r="M19" s="784">
        <v>266.55847694999994</v>
      </c>
      <c r="N19" s="784">
        <v>284.77756248000003</v>
      </c>
      <c r="O19" s="784">
        <v>291.72324699000006</v>
      </c>
      <c r="P19" s="784">
        <v>313.46911776000002</v>
      </c>
      <c r="Q19" s="784">
        <v>320.92036603999998</v>
      </c>
      <c r="R19" s="784">
        <v>333.91315064000003</v>
      </c>
      <c r="S19" s="784">
        <v>342.35854540000003</v>
      </c>
      <c r="T19" s="784">
        <v>361.02467277</v>
      </c>
      <c r="U19" s="784">
        <v>370.31658686000003</v>
      </c>
      <c r="V19" s="784">
        <v>391.44351058000007</v>
      </c>
      <c r="W19" s="784">
        <v>419.36403817000001</v>
      </c>
      <c r="X19" s="784">
        <v>424.89191428999999</v>
      </c>
      <c r="Y19" s="784">
        <v>456.41319727000001</v>
      </c>
      <c r="Z19" s="784">
        <v>475.13833523</v>
      </c>
      <c r="AA19" s="784">
        <v>480.00369860000001</v>
      </c>
      <c r="AB19" s="784">
        <v>477.77310023999996</v>
      </c>
      <c r="AC19" s="784">
        <v>460.79964336</v>
      </c>
      <c r="AD19" s="784">
        <v>441.80672083000002</v>
      </c>
      <c r="AE19" s="784">
        <v>425.91516184999995</v>
      </c>
      <c r="AF19" s="784">
        <v>411.47817741</v>
      </c>
      <c r="AG19" s="784">
        <v>412.96434250999999</v>
      </c>
      <c r="AH19" s="784">
        <v>410.68461821999995</v>
      </c>
      <c r="AI19" s="784">
        <v>399.58842679999998</v>
      </c>
      <c r="AJ19" s="784">
        <v>407.29304942999994</v>
      </c>
      <c r="AK19" s="784">
        <v>404.26325948000004</v>
      </c>
      <c r="AL19" s="784">
        <v>391.95312090000004</v>
      </c>
      <c r="AM19" s="784">
        <v>366.47164679999997</v>
      </c>
      <c r="AN19" s="784">
        <v>354.67910459999996</v>
      </c>
      <c r="AO19" s="784">
        <v>340.99744654</v>
      </c>
      <c r="AP19" s="784">
        <v>325.85693526</v>
      </c>
      <c r="AQ19" s="784">
        <v>322.08464553999994</v>
      </c>
      <c r="AR19" s="784">
        <v>312.65499043</v>
      </c>
      <c r="AS19" s="784">
        <v>310.32308602999996</v>
      </c>
      <c r="AT19" s="784">
        <v>305.53172043000006</v>
      </c>
      <c r="AU19" s="784">
        <v>297.05788690999998</v>
      </c>
      <c r="AV19" s="784">
        <v>292.33248001000004</v>
      </c>
      <c r="AW19" s="784">
        <v>280.96224673</v>
      </c>
      <c r="AX19" s="784">
        <v>276.23206454000001</v>
      </c>
      <c r="AY19" s="784">
        <v>269.77204289999997</v>
      </c>
      <c r="AZ19" s="784">
        <v>262.14705157999998</v>
      </c>
      <c r="BA19" s="784">
        <v>255.74866705000002</v>
      </c>
      <c r="BB19" s="784">
        <v>250.17544622999998</v>
      </c>
      <c r="BC19" s="784">
        <v>238.80742617000001</v>
      </c>
      <c r="BD19" s="784">
        <v>229.93546345999997</v>
      </c>
      <c r="BE19" s="784">
        <v>227.69336883</v>
      </c>
      <c r="BF19" s="784">
        <v>227.49107595999999</v>
      </c>
      <c r="BG19" s="785">
        <v>213.45087240999999</v>
      </c>
      <c r="BH19" s="821">
        <v>211.54716649000002</v>
      </c>
      <c r="BI19" s="816">
        <v>212.30604743000001</v>
      </c>
      <c r="BJ19" s="816">
        <v>217.46054226999999</v>
      </c>
      <c r="BK19" s="816">
        <v>221.55877949000001</v>
      </c>
      <c r="BL19" s="816">
        <v>230.55917048999999</v>
      </c>
      <c r="BM19" s="816">
        <v>243.50049168000001</v>
      </c>
      <c r="BN19" s="816">
        <v>256.83249612999998</v>
      </c>
      <c r="BO19" s="816">
        <v>262.89617716999999</v>
      </c>
      <c r="BP19" s="816">
        <v>276.26869103000001</v>
      </c>
      <c r="BQ19" s="816">
        <v>298.41144423999998</v>
      </c>
      <c r="BR19" s="816">
        <v>314.15537383000003</v>
      </c>
      <c r="BS19" s="816">
        <v>330.54489640999998</v>
      </c>
      <c r="BT19" s="816">
        <v>349.15029573999999</v>
      </c>
      <c r="BU19" s="816">
        <v>367.36550402</v>
      </c>
      <c r="BV19" s="816">
        <v>380.88266944999998</v>
      </c>
      <c r="BW19" s="816">
        <v>387.45413451999997</v>
      </c>
      <c r="BX19" s="816">
        <v>402.55189244000002</v>
      </c>
      <c r="BY19" s="816">
        <v>413.61993129999996</v>
      </c>
      <c r="BZ19" s="816">
        <v>422.32227526999998</v>
      </c>
      <c r="CA19" s="816">
        <v>424.13631291999997</v>
      </c>
      <c r="CB19" s="816">
        <v>426.49689622</v>
      </c>
      <c r="CC19" s="816">
        <v>437.78978567999997</v>
      </c>
      <c r="CD19" s="816">
        <v>449.43599799000003</v>
      </c>
      <c r="CE19" s="816">
        <v>456.18842529</v>
      </c>
      <c r="CF19" s="816">
        <v>472.70109507000006</v>
      </c>
      <c r="CG19" s="816">
        <v>490.05561967999995</v>
      </c>
      <c r="CH19" s="816">
        <v>509.25990904999998</v>
      </c>
      <c r="CI19" s="816">
        <v>511.42879412999997</v>
      </c>
      <c r="CJ19" s="816">
        <v>534.2140569799999</v>
      </c>
      <c r="CK19" s="816">
        <v>518.66140538999991</v>
      </c>
      <c r="CL19" s="816">
        <v>527.34694708999996</v>
      </c>
      <c r="CM19" s="816">
        <v>536.13046166999993</v>
      </c>
      <c r="CN19" s="816">
        <v>524.73806994000006</v>
      </c>
      <c r="CO19" s="816">
        <v>538.29577158999996</v>
      </c>
      <c r="CP19" s="816">
        <v>556.97596984999996</v>
      </c>
      <c r="CQ19" s="816">
        <v>552.20359936</v>
      </c>
      <c r="CR19" s="816">
        <v>560.44335084999989</v>
      </c>
      <c r="CS19" s="816">
        <v>549.11371584000005</v>
      </c>
      <c r="CT19" s="816">
        <v>556.90792784999996</v>
      </c>
      <c r="CU19" s="816">
        <v>563.59105219000003</v>
      </c>
      <c r="CV19" s="816">
        <v>580.83652690999998</v>
      </c>
      <c r="CW19" s="816">
        <v>579.89130905000002</v>
      </c>
      <c r="CX19" s="816">
        <v>594.86313987000005</v>
      </c>
      <c r="CY19" s="816">
        <v>614.36385677999999</v>
      </c>
      <c r="CZ19" s="816">
        <v>629.29816189999997</v>
      </c>
      <c r="DA19" s="816">
        <v>651.10464998999998</v>
      </c>
      <c r="DB19" s="816">
        <v>673.34919431000003</v>
      </c>
      <c r="DC19" s="816">
        <v>689.51766098999997</v>
      </c>
      <c r="DD19" s="816">
        <v>725.02608255999996</v>
      </c>
      <c r="DE19" s="816">
        <v>727.01388551000002</v>
      </c>
      <c r="DF19" s="816">
        <v>757.57995235999999</v>
      </c>
      <c r="DG19" s="816">
        <v>744.93979461000004</v>
      </c>
      <c r="DH19" s="816">
        <v>778.02920731999995</v>
      </c>
      <c r="DI19" s="816">
        <v>763.47521612000003</v>
      </c>
      <c r="DJ19" s="816">
        <v>785.27427822000004</v>
      </c>
      <c r="DK19" s="816">
        <v>804.45849963000001</v>
      </c>
      <c r="DL19" s="816">
        <v>807.52011835999997</v>
      </c>
      <c r="DM19" s="816">
        <v>821.74021418999996</v>
      </c>
      <c r="DN19" s="816">
        <v>824.77940455999999</v>
      </c>
      <c r="DO19" s="816">
        <v>833.79472595000004</v>
      </c>
      <c r="DP19" s="816">
        <v>843.15346564000004</v>
      </c>
      <c r="DQ19" s="816">
        <v>823.70285836000005</v>
      </c>
      <c r="DR19" s="816">
        <v>844.73148661000005</v>
      </c>
      <c r="DS19" s="816">
        <v>835.50161007999998</v>
      </c>
      <c r="DT19" s="816">
        <v>849.14651829000002</v>
      </c>
      <c r="DU19" s="816">
        <v>855.02625657999999</v>
      </c>
      <c r="DV19" s="816">
        <v>882.95018257000004</v>
      </c>
      <c r="DW19" s="816">
        <v>891.44928250999999</v>
      </c>
      <c r="DX19" s="816">
        <v>932.31079018000003</v>
      </c>
      <c r="DY19" s="816">
        <v>961.98355317999994</v>
      </c>
      <c r="DZ19" s="816">
        <v>1002.1262007300001</v>
      </c>
      <c r="EA19" s="816">
        <v>1037.52218492</v>
      </c>
      <c r="EB19" s="816">
        <v>1096.73524484</v>
      </c>
      <c r="EC19" s="816">
        <v>1109.4842685799999</v>
      </c>
      <c r="ED19" s="816">
        <v>1146.86806153</v>
      </c>
      <c r="EE19" s="816">
        <v>1153.1173234299999</v>
      </c>
      <c r="EF19" s="816">
        <v>1179.8035408600001</v>
      </c>
      <c r="EG19" s="816">
        <v>1212.7409498699999</v>
      </c>
      <c r="EH19" s="816">
        <v>1207.05577842</v>
      </c>
      <c r="EI19" s="816">
        <v>1228.2103295100001</v>
      </c>
      <c r="EJ19" s="816">
        <v>1229.0457185400001</v>
      </c>
      <c r="EK19" s="816">
        <v>1255.7506251100001</v>
      </c>
      <c r="EL19" s="816">
        <v>1295.5720224300001</v>
      </c>
      <c r="EM19" s="816">
        <v>1309.84856066</v>
      </c>
      <c r="EN19" s="816">
        <v>1351.2109468399999</v>
      </c>
      <c r="EO19" s="816">
        <v>1331.71256066</v>
      </c>
      <c r="EP19" s="816">
        <v>1376.66852576</v>
      </c>
      <c r="EQ19" s="816">
        <v>1347.77223486</v>
      </c>
      <c r="ER19" s="816">
        <v>1380.38950892</v>
      </c>
      <c r="ES19" s="816">
        <v>1379.6824254999999</v>
      </c>
      <c r="ET19" s="816">
        <v>1404.7760214499999</v>
      </c>
      <c r="EU19" s="816">
        <v>1376.2948469400001</v>
      </c>
      <c r="EV19" s="816">
        <v>1357.94961853</v>
      </c>
      <c r="EW19" s="816">
        <v>1398.79507543</v>
      </c>
      <c r="EX19" s="816">
        <v>1373.17108616</v>
      </c>
      <c r="EY19" s="816">
        <v>1315.62014445</v>
      </c>
      <c r="EZ19" s="816">
        <v>1367.6201382100001</v>
      </c>
      <c r="FA19" s="816">
        <v>1290.0210792400001</v>
      </c>
      <c r="FB19" s="816">
        <v>1319.05708405</v>
      </c>
      <c r="FC19" s="816">
        <v>1274.8682123000001</v>
      </c>
      <c r="FD19" s="816">
        <v>1265.71365967</v>
      </c>
      <c r="FE19" s="816">
        <v>1227.5519842399999</v>
      </c>
      <c r="FF19" s="816">
        <v>1235.6144311200001</v>
      </c>
      <c r="FG19" s="816">
        <v>1208.5929350900001</v>
      </c>
      <c r="FH19" s="1726" t="s">
        <v>4071</v>
      </c>
    </row>
    <row r="20" spans="1:164" ht="21">
      <c r="A20" s="1722" t="s">
        <v>2738</v>
      </c>
      <c r="B20" s="780">
        <v>290.61741796000007</v>
      </c>
      <c r="C20" s="780">
        <v>294.07309918999994</v>
      </c>
      <c r="D20" s="780">
        <v>294.96131785999995</v>
      </c>
      <c r="E20" s="780">
        <v>288.55864617999998</v>
      </c>
      <c r="F20" s="780">
        <v>296.09810323000005</v>
      </c>
      <c r="G20" s="780">
        <v>295.09336023999992</v>
      </c>
      <c r="H20" s="780">
        <v>306.02335507999999</v>
      </c>
      <c r="I20" s="780">
        <v>307.03984482999999</v>
      </c>
      <c r="J20" s="780">
        <v>307.86081197999999</v>
      </c>
      <c r="K20" s="780">
        <v>303.63300164000003</v>
      </c>
      <c r="L20" s="780">
        <v>304.72937051999997</v>
      </c>
      <c r="M20" s="781">
        <v>309.13871269999993</v>
      </c>
      <c r="N20" s="781">
        <v>307.82266619999996</v>
      </c>
      <c r="O20" s="781">
        <v>312.51552710000004</v>
      </c>
      <c r="P20" s="781">
        <v>309.27953532999999</v>
      </c>
      <c r="Q20" s="781">
        <v>311.25339115000003</v>
      </c>
      <c r="R20" s="781">
        <v>314.26442135000002</v>
      </c>
      <c r="S20" s="781">
        <v>318.97670812999996</v>
      </c>
      <c r="T20" s="781">
        <v>325.86143546999989</v>
      </c>
      <c r="U20" s="781">
        <v>321.01036306999993</v>
      </c>
      <c r="V20" s="781">
        <v>318.50176249000003</v>
      </c>
      <c r="W20" s="781">
        <v>334.95957734999996</v>
      </c>
      <c r="X20" s="781">
        <v>333.46344708999993</v>
      </c>
      <c r="Y20" s="781">
        <v>407.03829824999997</v>
      </c>
      <c r="Z20" s="781">
        <v>342.18152170999991</v>
      </c>
      <c r="AA20" s="781">
        <v>459.48603001999999</v>
      </c>
      <c r="AB20" s="781">
        <v>454.31942216999994</v>
      </c>
      <c r="AC20" s="781">
        <v>454.08591966000006</v>
      </c>
      <c r="AD20" s="781">
        <v>456.90546758999994</v>
      </c>
      <c r="AE20" s="781">
        <v>465.97403705999994</v>
      </c>
      <c r="AF20" s="781">
        <v>467.16428591000005</v>
      </c>
      <c r="AG20" s="781">
        <v>438.95205873000003</v>
      </c>
      <c r="AH20" s="781">
        <v>437.62305208999999</v>
      </c>
      <c r="AI20" s="781">
        <v>440.58636932000002</v>
      </c>
      <c r="AJ20" s="781">
        <v>439.77551262000003</v>
      </c>
      <c r="AK20" s="781">
        <v>626.63122694000003</v>
      </c>
      <c r="AL20" s="781">
        <v>592.71056392999992</v>
      </c>
      <c r="AM20" s="781">
        <v>520.24140350000005</v>
      </c>
      <c r="AN20" s="781">
        <v>486.95585990999996</v>
      </c>
      <c r="AO20" s="781">
        <v>430.59585483000001</v>
      </c>
      <c r="AP20" s="781">
        <v>402.11762533000007</v>
      </c>
      <c r="AQ20" s="781">
        <v>397.32582721999995</v>
      </c>
      <c r="AR20" s="781">
        <v>392.09768430999992</v>
      </c>
      <c r="AS20" s="781">
        <v>397.93051445000003</v>
      </c>
      <c r="AT20" s="781">
        <v>380.74077714999999</v>
      </c>
      <c r="AU20" s="781">
        <v>369.56967959000002</v>
      </c>
      <c r="AV20" s="781">
        <v>390.62844847999997</v>
      </c>
      <c r="AW20" s="781">
        <v>387.59096240000008</v>
      </c>
      <c r="AX20" s="781">
        <v>385.70912756000007</v>
      </c>
      <c r="AY20" s="781">
        <v>334.65550466000008</v>
      </c>
      <c r="AZ20" s="781">
        <v>313.43798725000005</v>
      </c>
      <c r="BA20" s="781">
        <v>299.02495392000003</v>
      </c>
      <c r="BB20" s="781">
        <v>302.97734292000001</v>
      </c>
      <c r="BC20" s="781">
        <v>304.22060061000002</v>
      </c>
      <c r="BD20" s="781">
        <v>288.76115437000004</v>
      </c>
      <c r="BE20" s="781">
        <v>288.79212004999999</v>
      </c>
      <c r="BF20" s="781">
        <v>293.98993681999997</v>
      </c>
      <c r="BG20" s="782">
        <v>165.95758398999999</v>
      </c>
      <c r="BH20" s="820">
        <v>160.40526070000004</v>
      </c>
      <c r="BI20" s="815">
        <v>124.45185807</v>
      </c>
      <c r="BJ20" s="815">
        <v>129.29918523000001</v>
      </c>
      <c r="BK20" s="815">
        <v>126.97934456999999</v>
      </c>
      <c r="BL20" s="815">
        <v>152.48353274000002</v>
      </c>
      <c r="BM20" s="815">
        <v>152.45246513999996</v>
      </c>
      <c r="BN20" s="815">
        <v>160.76139762999998</v>
      </c>
      <c r="BO20" s="815">
        <v>136.64999941000002</v>
      </c>
      <c r="BP20" s="815">
        <v>140.16111031</v>
      </c>
      <c r="BQ20" s="815">
        <v>141.77249371999997</v>
      </c>
      <c r="BR20" s="815">
        <v>138.99127564999998</v>
      </c>
      <c r="BS20" s="815">
        <v>137.46575582</v>
      </c>
      <c r="BT20" s="815">
        <v>140.04521309</v>
      </c>
      <c r="BU20" s="815">
        <v>138.99436041999999</v>
      </c>
      <c r="BV20" s="815">
        <v>134.33663581000002</v>
      </c>
      <c r="BW20" s="815">
        <v>138.81123526000002</v>
      </c>
      <c r="BX20" s="815">
        <v>139.59326453</v>
      </c>
      <c r="BY20" s="815">
        <v>138.64276206</v>
      </c>
      <c r="BZ20" s="815">
        <v>151.33349837999998</v>
      </c>
      <c r="CA20" s="815">
        <v>152.76094526</v>
      </c>
      <c r="CB20" s="815">
        <v>145.90209161999999</v>
      </c>
      <c r="CC20" s="815">
        <v>151.44352431000002</v>
      </c>
      <c r="CD20" s="815">
        <v>167.48488004999999</v>
      </c>
      <c r="CE20" s="815">
        <v>162.52823470999999</v>
      </c>
      <c r="CF20" s="815">
        <v>415.29985173000006</v>
      </c>
      <c r="CG20" s="815">
        <v>405.36601531000002</v>
      </c>
      <c r="CH20" s="815">
        <v>401.29385514000001</v>
      </c>
      <c r="CI20" s="815">
        <v>396.58841047999999</v>
      </c>
      <c r="CJ20" s="815">
        <v>223.89976356</v>
      </c>
      <c r="CK20" s="815">
        <v>217.07799349000001</v>
      </c>
      <c r="CL20" s="815">
        <v>219.95529633000001</v>
      </c>
      <c r="CM20" s="815">
        <v>192.55479331000001</v>
      </c>
      <c r="CN20" s="815">
        <v>197.2679057</v>
      </c>
      <c r="CO20" s="815">
        <v>200.08440985000001</v>
      </c>
      <c r="CP20" s="815">
        <v>191.44258920000001</v>
      </c>
      <c r="CQ20" s="815">
        <v>190.61411785000001</v>
      </c>
      <c r="CR20" s="815">
        <v>186.54557778</v>
      </c>
      <c r="CS20" s="815">
        <v>187.23073986</v>
      </c>
      <c r="CT20" s="815">
        <v>267.63222506</v>
      </c>
      <c r="CU20" s="815">
        <v>174.69789693000001</v>
      </c>
      <c r="CV20" s="815">
        <v>174.28668529000001</v>
      </c>
      <c r="CW20" s="815">
        <v>180.81462529999999</v>
      </c>
      <c r="CX20" s="815">
        <v>182.74941393</v>
      </c>
      <c r="CY20" s="815">
        <v>178.60950678</v>
      </c>
      <c r="CZ20" s="815">
        <v>179.33434245000001</v>
      </c>
      <c r="DA20" s="815">
        <v>190.08553552999999</v>
      </c>
      <c r="DB20" s="815">
        <v>188.57869216</v>
      </c>
      <c r="DC20" s="815">
        <v>187.89621066999999</v>
      </c>
      <c r="DD20" s="815">
        <v>169.59640683999999</v>
      </c>
      <c r="DE20" s="815">
        <v>167.39576923000001</v>
      </c>
      <c r="DF20" s="815">
        <v>166.68623282999999</v>
      </c>
      <c r="DG20" s="815">
        <v>169.20509544000001</v>
      </c>
      <c r="DH20" s="815">
        <v>74.153309640000003</v>
      </c>
      <c r="DI20" s="815">
        <v>58.073480539999998</v>
      </c>
      <c r="DJ20" s="815">
        <v>61.40047234</v>
      </c>
      <c r="DK20" s="815">
        <v>57.803404430000001</v>
      </c>
      <c r="DL20" s="815">
        <v>97.196792200000004</v>
      </c>
      <c r="DM20" s="815">
        <v>102.59684353</v>
      </c>
      <c r="DN20" s="815">
        <v>172.34671829999999</v>
      </c>
      <c r="DO20" s="815">
        <v>177.9233352</v>
      </c>
      <c r="DP20" s="815">
        <v>172.2704928</v>
      </c>
      <c r="DQ20" s="815">
        <v>60.676363189999996</v>
      </c>
      <c r="DR20" s="815">
        <v>59.146062780000001</v>
      </c>
      <c r="DS20" s="815">
        <v>60.672592610000002</v>
      </c>
      <c r="DT20" s="815">
        <v>54.509942049999999</v>
      </c>
      <c r="DU20" s="815">
        <v>56.072588959999997</v>
      </c>
      <c r="DV20" s="815">
        <v>59.563260990000003</v>
      </c>
      <c r="DW20" s="815">
        <v>56.050629389999997</v>
      </c>
      <c r="DX20" s="815">
        <v>53.45919851</v>
      </c>
      <c r="DY20" s="815">
        <v>57.492846440000001</v>
      </c>
      <c r="DZ20" s="815">
        <v>76.509467740000005</v>
      </c>
      <c r="EA20" s="815">
        <v>64.538048250000003</v>
      </c>
      <c r="EB20" s="815">
        <v>66.710565029999998</v>
      </c>
      <c r="EC20" s="815">
        <v>69.954367439999999</v>
      </c>
      <c r="ED20" s="815">
        <v>58.143412560000002</v>
      </c>
      <c r="EE20" s="815">
        <v>57.434493809999999</v>
      </c>
      <c r="EF20" s="815">
        <v>58.642334339999998</v>
      </c>
      <c r="EG20" s="815">
        <v>58.165756399999999</v>
      </c>
      <c r="EH20" s="815">
        <v>53.041295400000003</v>
      </c>
      <c r="EI20" s="815">
        <v>72.098363359999993</v>
      </c>
      <c r="EJ20" s="815">
        <v>53.607900899999997</v>
      </c>
      <c r="EK20" s="815">
        <v>59.196612969999997</v>
      </c>
      <c r="EL20" s="815">
        <v>70.056795769999994</v>
      </c>
      <c r="EM20" s="815">
        <v>67.713977790000001</v>
      </c>
      <c r="EN20" s="815">
        <v>100.87838685</v>
      </c>
      <c r="EO20" s="815">
        <v>108.55574634</v>
      </c>
      <c r="EP20" s="815">
        <v>100.03752041</v>
      </c>
      <c r="EQ20" s="815">
        <v>69.693155770000004</v>
      </c>
      <c r="ER20" s="815">
        <v>79.417855220000007</v>
      </c>
      <c r="ES20" s="815">
        <v>69.453464990000001</v>
      </c>
      <c r="ET20" s="815">
        <v>68.384664869999995</v>
      </c>
      <c r="EU20" s="815">
        <v>66.405563169999994</v>
      </c>
      <c r="EV20" s="815">
        <v>51.824047309999997</v>
      </c>
      <c r="EW20" s="815">
        <v>53.896106580000001</v>
      </c>
      <c r="EX20" s="815">
        <v>64.963283340000004</v>
      </c>
      <c r="EY20" s="815">
        <v>62.74188676</v>
      </c>
      <c r="EZ20" s="815">
        <v>66.237457419999998</v>
      </c>
      <c r="FA20" s="815">
        <v>122.7729547</v>
      </c>
      <c r="FB20" s="815">
        <v>117.27861127</v>
      </c>
      <c r="FC20" s="815">
        <v>116.66772659</v>
      </c>
      <c r="FD20" s="815">
        <v>117.69822728</v>
      </c>
      <c r="FE20" s="815">
        <v>116.79061428999999</v>
      </c>
      <c r="FF20" s="815">
        <v>114.8356574</v>
      </c>
      <c r="FG20" s="815">
        <v>112.91667837</v>
      </c>
      <c r="FH20" s="1722" t="s">
        <v>4063</v>
      </c>
    </row>
    <row r="21" spans="1:164" ht="21">
      <c r="A21" s="1721" t="s">
        <v>1941</v>
      </c>
      <c r="B21" s="783">
        <v>94.020837669999992</v>
      </c>
      <c r="C21" s="783">
        <v>97.419236099999992</v>
      </c>
      <c r="D21" s="783">
        <v>102.74864914</v>
      </c>
      <c r="E21" s="783">
        <v>102.29021399000001</v>
      </c>
      <c r="F21" s="783">
        <v>109.19573831</v>
      </c>
      <c r="G21" s="783">
        <v>112.94008950999999</v>
      </c>
      <c r="H21" s="783">
        <v>114.64508498000001</v>
      </c>
      <c r="I21" s="783">
        <v>124.14934427</v>
      </c>
      <c r="J21" s="783">
        <v>123.84569744</v>
      </c>
      <c r="K21" s="783">
        <v>125.32320101000001</v>
      </c>
      <c r="L21" s="783">
        <v>126.60233047</v>
      </c>
      <c r="M21" s="784">
        <v>125.92191477999999</v>
      </c>
      <c r="N21" s="784">
        <v>126.41728286000001</v>
      </c>
      <c r="O21" s="784">
        <v>129.22603105000002</v>
      </c>
      <c r="P21" s="784">
        <v>130.26095602999999</v>
      </c>
      <c r="Q21" s="784">
        <v>129.18125692000001</v>
      </c>
      <c r="R21" s="784">
        <v>130.69938593000001</v>
      </c>
      <c r="S21" s="784">
        <v>132.7556812</v>
      </c>
      <c r="T21" s="784">
        <v>136.89788735999997</v>
      </c>
      <c r="U21" s="784">
        <v>133.31599979999999</v>
      </c>
      <c r="V21" s="784">
        <v>131.85890072000001</v>
      </c>
      <c r="W21" s="784">
        <v>134.34252497</v>
      </c>
      <c r="X21" s="784">
        <v>132.38151565999999</v>
      </c>
      <c r="Y21" s="784">
        <v>134.78729754</v>
      </c>
      <c r="Z21" s="784">
        <v>140.59290402999997</v>
      </c>
      <c r="AA21" s="784">
        <v>190.19413265</v>
      </c>
      <c r="AB21" s="784">
        <v>191.38347973</v>
      </c>
      <c r="AC21" s="784">
        <v>186.83547478</v>
      </c>
      <c r="AD21" s="784">
        <v>194.76311851999998</v>
      </c>
      <c r="AE21" s="784">
        <v>200.53025879999998</v>
      </c>
      <c r="AF21" s="784">
        <v>205.00725315</v>
      </c>
      <c r="AG21" s="784">
        <v>201.90652295999999</v>
      </c>
      <c r="AH21" s="784">
        <v>199.71573623999998</v>
      </c>
      <c r="AI21" s="784">
        <v>199.90581453000001</v>
      </c>
      <c r="AJ21" s="784">
        <v>195.3170231</v>
      </c>
      <c r="AK21" s="784">
        <v>278.86728984999996</v>
      </c>
      <c r="AL21" s="784">
        <v>258.25445769000004</v>
      </c>
      <c r="AM21" s="784">
        <v>244.50947794000001</v>
      </c>
      <c r="AN21" s="784">
        <v>240.32341800999998</v>
      </c>
      <c r="AO21" s="784">
        <v>225.91446717999997</v>
      </c>
      <c r="AP21" s="784">
        <v>217.52079194999999</v>
      </c>
      <c r="AQ21" s="784">
        <v>219.4014335</v>
      </c>
      <c r="AR21" s="784">
        <v>215.02238321999997</v>
      </c>
      <c r="AS21" s="784">
        <v>218.86881971999998</v>
      </c>
      <c r="AT21" s="784">
        <v>211.32650132000001</v>
      </c>
      <c r="AU21" s="784">
        <v>204.85277379000001</v>
      </c>
      <c r="AV21" s="784">
        <v>211.86320144999999</v>
      </c>
      <c r="AW21" s="784">
        <v>212.17054046000001</v>
      </c>
      <c r="AX21" s="784">
        <v>228.24495171000001</v>
      </c>
      <c r="AY21" s="784">
        <v>204.32537832000003</v>
      </c>
      <c r="AZ21" s="784">
        <v>199.11485006999999</v>
      </c>
      <c r="BA21" s="784">
        <v>195.63505655000003</v>
      </c>
      <c r="BB21" s="784">
        <v>196.12018530999998</v>
      </c>
      <c r="BC21" s="784">
        <v>196.33850304000001</v>
      </c>
      <c r="BD21" s="784">
        <v>195.60445405000002</v>
      </c>
      <c r="BE21" s="784">
        <v>196.02272232000001</v>
      </c>
      <c r="BF21" s="784">
        <v>193.94414118999998</v>
      </c>
      <c r="BG21" s="785">
        <v>77.518046370000008</v>
      </c>
      <c r="BH21" s="821">
        <v>70.79853433000001</v>
      </c>
      <c r="BI21" s="816">
        <v>38.316055630000001</v>
      </c>
      <c r="BJ21" s="816">
        <v>39.679487969999997</v>
      </c>
      <c r="BK21" s="816">
        <v>38.165345070000001</v>
      </c>
      <c r="BL21" s="816">
        <v>40.841403150000005</v>
      </c>
      <c r="BM21" s="816">
        <v>41.416798139999997</v>
      </c>
      <c r="BN21" s="816">
        <v>41.789210150000002</v>
      </c>
      <c r="BO21" s="816">
        <v>41.255674299999995</v>
      </c>
      <c r="BP21" s="816">
        <v>42.895401139999997</v>
      </c>
      <c r="BQ21" s="816">
        <v>42.663389779999996</v>
      </c>
      <c r="BR21" s="816">
        <v>42.278874369999997</v>
      </c>
      <c r="BS21" s="816">
        <v>41.705371630000002</v>
      </c>
      <c r="BT21" s="816">
        <v>41.472885060000003</v>
      </c>
      <c r="BU21" s="816">
        <v>39.602307170000003</v>
      </c>
      <c r="BV21" s="816">
        <v>39.027809789999999</v>
      </c>
      <c r="BW21" s="816">
        <v>39.586275130000004</v>
      </c>
      <c r="BX21" s="816">
        <v>40.892623279999995</v>
      </c>
      <c r="BY21" s="816">
        <v>39.85736017</v>
      </c>
      <c r="BZ21" s="816">
        <v>38.804452789999999</v>
      </c>
      <c r="CA21" s="816">
        <v>39.037628580000003</v>
      </c>
      <c r="CB21" s="816">
        <v>35.098513160000003</v>
      </c>
      <c r="CC21" s="816">
        <v>36.295358780000001</v>
      </c>
      <c r="CD21" s="816">
        <v>35.83772325999999</v>
      </c>
      <c r="CE21" s="816">
        <v>35.298597530000002</v>
      </c>
      <c r="CF21" s="816">
        <v>35.014551470000008</v>
      </c>
      <c r="CG21" s="816">
        <v>28.898812760000002</v>
      </c>
      <c r="CH21" s="816">
        <v>28.058647050000001</v>
      </c>
      <c r="CI21" s="816">
        <v>27.687826909999998</v>
      </c>
      <c r="CJ21" s="816">
        <v>25.513782379999999</v>
      </c>
      <c r="CK21" s="816">
        <v>24.40861048</v>
      </c>
      <c r="CL21" s="816">
        <v>22.040658190000002</v>
      </c>
      <c r="CM21" s="816">
        <v>21.03401062</v>
      </c>
      <c r="CN21" s="816">
        <v>20.125473790000001</v>
      </c>
      <c r="CO21" s="816">
        <v>20.202967579999999</v>
      </c>
      <c r="CP21" s="816">
        <v>18.44999344</v>
      </c>
      <c r="CQ21" s="816">
        <v>16.965635590000002</v>
      </c>
      <c r="CR21" s="816">
        <v>16.064176440000001</v>
      </c>
      <c r="CS21" s="816">
        <v>14.514742180000001</v>
      </c>
      <c r="CT21" s="816">
        <v>11.78653323</v>
      </c>
      <c r="CU21" s="816">
        <v>10.85389866</v>
      </c>
      <c r="CV21" s="816">
        <v>10.97698267</v>
      </c>
      <c r="CW21" s="816">
        <v>10.595139440000001</v>
      </c>
      <c r="CX21" s="816">
        <v>11.646035960000001</v>
      </c>
      <c r="CY21" s="816">
        <v>11.176651939999999</v>
      </c>
      <c r="CZ21" s="816">
        <v>11.44414735</v>
      </c>
      <c r="DA21" s="816">
        <v>11.05148994</v>
      </c>
      <c r="DB21" s="816">
        <v>11.59594266</v>
      </c>
      <c r="DC21" s="816">
        <v>11.133266020000001</v>
      </c>
      <c r="DD21" s="816">
        <v>11.92819302</v>
      </c>
      <c r="DE21" s="816">
        <v>12.08843491</v>
      </c>
      <c r="DF21" s="816">
        <v>12.31374282</v>
      </c>
      <c r="DG21" s="816">
        <v>13.537545870000001</v>
      </c>
      <c r="DH21" s="816">
        <v>14.99452206</v>
      </c>
      <c r="DI21" s="816">
        <v>13.97592079</v>
      </c>
      <c r="DJ21" s="816">
        <v>14.80505808</v>
      </c>
      <c r="DK21" s="816">
        <v>15.061241020000001</v>
      </c>
      <c r="DL21" s="816">
        <v>14.61592709</v>
      </c>
      <c r="DM21" s="816">
        <v>15.260181530000001</v>
      </c>
      <c r="DN21" s="816">
        <v>15.07302166</v>
      </c>
      <c r="DO21" s="816">
        <v>15.37590462</v>
      </c>
      <c r="DP21" s="816">
        <v>13.51173663</v>
      </c>
      <c r="DQ21" s="816">
        <v>13.37258126</v>
      </c>
      <c r="DR21" s="816">
        <v>14.440956180000001</v>
      </c>
      <c r="DS21" s="816">
        <v>15.1242859</v>
      </c>
      <c r="DT21" s="816">
        <v>16.027673870000001</v>
      </c>
      <c r="DU21" s="816">
        <v>15.453029259999999</v>
      </c>
      <c r="DV21" s="816">
        <v>16.017700900000001</v>
      </c>
      <c r="DW21" s="816">
        <v>16.030221010000002</v>
      </c>
      <c r="DX21" s="816">
        <v>16.881150940000001</v>
      </c>
      <c r="DY21" s="816">
        <v>17.89560079</v>
      </c>
      <c r="DZ21" s="816">
        <v>17.590612620000002</v>
      </c>
      <c r="EA21" s="816">
        <v>17.272368069999999</v>
      </c>
      <c r="EB21" s="816">
        <v>16.868055760000001</v>
      </c>
      <c r="EC21" s="816">
        <v>16.011385990000001</v>
      </c>
      <c r="ED21" s="816">
        <v>16.469778760000001</v>
      </c>
      <c r="EE21" s="816">
        <v>16.520830069999999</v>
      </c>
      <c r="EF21" s="816">
        <v>17.25397457</v>
      </c>
      <c r="EG21" s="816">
        <v>16.783451240000002</v>
      </c>
      <c r="EH21" s="816">
        <v>17.606337870000001</v>
      </c>
      <c r="EI21" s="816">
        <v>16.77338361</v>
      </c>
      <c r="EJ21" s="816">
        <v>17.673035909999999</v>
      </c>
      <c r="EK21" s="816">
        <v>18.13044807</v>
      </c>
      <c r="EL21" s="816">
        <v>18.44694922</v>
      </c>
      <c r="EM21" s="816">
        <v>17.844066529999999</v>
      </c>
      <c r="EN21" s="816">
        <v>15.06886289</v>
      </c>
      <c r="EO21" s="816">
        <v>15.022978</v>
      </c>
      <c r="EP21" s="816">
        <v>15.049114919999999</v>
      </c>
      <c r="EQ21" s="816">
        <v>14.54488111</v>
      </c>
      <c r="ER21" s="816">
        <v>15.84885987</v>
      </c>
      <c r="ES21" s="816">
        <v>14.434336139999999</v>
      </c>
      <c r="ET21" s="816">
        <v>14.49500153</v>
      </c>
      <c r="EU21" s="816">
        <v>13.589935730000001</v>
      </c>
      <c r="EV21" s="816">
        <v>12.58491096</v>
      </c>
      <c r="EW21" s="816">
        <v>12.54210904</v>
      </c>
      <c r="EX21" s="816">
        <v>10.76710849</v>
      </c>
      <c r="EY21" s="816">
        <v>10.093083480000001</v>
      </c>
      <c r="EZ21" s="816">
        <v>9.3794250699999999</v>
      </c>
      <c r="FA21" s="816">
        <v>9.3861968299999994</v>
      </c>
      <c r="FB21" s="816">
        <v>8.7939618500000005</v>
      </c>
      <c r="FC21" s="816">
        <v>8.5923126300000003</v>
      </c>
      <c r="FD21" s="816">
        <v>8.7632282400000001</v>
      </c>
      <c r="FE21" s="816">
        <v>8.8002002400000006</v>
      </c>
      <c r="FF21" s="816">
        <v>8.2484541500000006</v>
      </c>
      <c r="FG21" s="816">
        <v>7.09877365</v>
      </c>
      <c r="FH21" s="1726" t="s">
        <v>4071</v>
      </c>
    </row>
    <row r="22" spans="1:164" ht="21">
      <c r="A22" s="1723"/>
      <c r="B22" s="783"/>
      <c r="C22" s="783"/>
      <c r="D22" s="783"/>
      <c r="E22" s="783"/>
      <c r="F22" s="783"/>
      <c r="G22" s="783"/>
      <c r="H22" s="783"/>
      <c r="I22" s="783"/>
      <c r="J22" s="783"/>
      <c r="K22" s="783"/>
      <c r="L22" s="783"/>
      <c r="M22" s="784"/>
      <c r="N22" s="784"/>
      <c r="O22" s="784"/>
      <c r="P22" s="784"/>
      <c r="Q22" s="784"/>
      <c r="R22" s="784"/>
      <c r="S22" s="784"/>
      <c r="T22" s="784"/>
      <c r="U22" s="784"/>
      <c r="V22" s="784"/>
      <c r="W22" s="784"/>
      <c r="X22" s="784"/>
      <c r="Y22" s="784"/>
      <c r="Z22" s="784"/>
      <c r="AA22" s="784"/>
      <c r="AB22" s="784"/>
      <c r="AC22" s="784"/>
      <c r="AD22" s="784"/>
      <c r="AE22" s="784"/>
      <c r="AF22" s="784"/>
      <c r="AG22" s="784"/>
      <c r="AH22" s="784"/>
      <c r="AI22" s="784"/>
      <c r="AJ22" s="784"/>
      <c r="AK22" s="784"/>
      <c r="AL22" s="784"/>
      <c r="AM22" s="784"/>
      <c r="AN22" s="784"/>
      <c r="AO22" s="784"/>
      <c r="AP22" s="784"/>
      <c r="AQ22" s="784"/>
      <c r="AR22" s="784"/>
      <c r="AS22" s="784"/>
      <c r="AT22" s="784"/>
      <c r="AU22" s="784"/>
      <c r="AV22" s="784"/>
      <c r="AW22" s="784"/>
      <c r="AX22" s="784"/>
      <c r="AY22" s="784"/>
      <c r="AZ22" s="784"/>
      <c r="BA22" s="784"/>
      <c r="BB22" s="784"/>
      <c r="BC22" s="784"/>
      <c r="BD22" s="784"/>
      <c r="BE22" s="784"/>
      <c r="BF22" s="784"/>
      <c r="BG22" s="785"/>
      <c r="BH22" s="821"/>
      <c r="BI22" s="816"/>
      <c r="BJ22" s="816"/>
      <c r="BK22" s="816"/>
      <c r="BL22" s="816"/>
      <c r="BM22" s="816"/>
      <c r="BN22" s="816"/>
      <c r="BO22" s="816"/>
      <c r="BP22" s="816"/>
      <c r="BQ22" s="816"/>
      <c r="BR22" s="816"/>
      <c r="BS22" s="816"/>
      <c r="BT22" s="816"/>
      <c r="BU22" s="816"/>
      <c r="BV22" s="816"/>
      <c r="BW22" s="816"/>
      <c r="BX22" s="816"/>
      <c r="BY22" s="816"/>
      <c r="BZ22" s="816"/>
      <c r="CA22" s="816"/>
      <c r="CB22" s="816"/>
      <c r="CC22" s="816"/>
      <c r="CD22" s="816"/>
      <c r="CE22" s="816"/>
      <c r="CF22" s="816"/>
      <c r="CG22" s="816"/>
      <c r="CH22" s="816"/>
      <c r="CI22" s="816"/>
      <c r="CJ22" s="816"/>
      <c r="CK22" s="816"/>
      <c r="CL22" s="816"/>
      <c r="CM22" s="816"/>
      <c r="CN22" s="816"/>
      <c r="CO22" s="816"/>
      <c r="CP22" s="816"/>
      <c r="CQ22" s="816"/>
      <c r="CR22" s="816"/>
      <c r="CS22" s="816"/>
      <c r="CT22" s="816"/>
      <c r="CU22" s="816"/>
      <c r="CV22" s="816"/>
      <c r="CW22" s="816"/>
      <c r="CX22" s="816"/>
      <c r="CY22" s="816"/>
      <c r="CZ22" s="816"/>
      <c r="DA22" s="816"/>
      <c r="DB22" s="816"/>
      <c r="DC22" s="816"/>
      <c r="DD22" s="816"/>
      <c r="DE22" s="816"/>
      <c r="DF22" s="816"/>
      <c r="DG22" s="816"/>
      <c r="DH22" s="816"/>
      <c r="DI22" s="816"/>
      <c r="DJ22" s="816"/>
      <c r="DK22" s="816"/>
      <c r="DL22" s="816"/>
      <c r="DM22" s="816"/>
      <c r="DN22" s="816"/>
      <c r="DO22" s="816"/>
      <c r="DP22" s="816"/>
      <c r="DQ22" s="816"/>
      <c r="DR22" s="816"/>
      <c r="DS22" s="816"/>
      <c r="DT22" s="816"/>
      <c r="DU22" s="816"/>
      <c r="DV22" s="816"/>
      <c r="DW22" s="816"/>
      <c r="DX22" s="816"/>
      <c r="DY22" s="816"/>
      <c r="DZ22" s="816"/>
      <c r="EA22" s="816"/>
      <c r="EB22" s="816"/>
      <c r="EC22" s="816"/>
      <c r="ED22" s="816"/>
      <c r="EE22" s="816"/>
      <c r="EF22" s="816"/>
      <c r="EG22" s="816"/>
      <c r="EH22" s="816"/>
      <c r="EI22" s="816"/>
      <c r="EJ22" s="816"/>
      <c r="EK22" s="816"/>
      <c r="EL22" s="816"/>
      <c r="EM22" s="816"/>
      <c r="EN22" s="816"/>
      <c r="EO22" s="816"/>
      <c r="EP22" s="816"/>
      <c r="EQ22" s="816"/>
      <c r="ER22" s="816"/>
      <c r="ES22" s="816"/>
      <c r="ET22" s="816"/>
      <c r="EU22" s="816"/>
      <c r="EV22" s="816"/>
      <c r="EW22" s="816"/>
      <c r="EX22" s="816"/>
      <c r="EY22" s="816"/>
      <c r="EZ22" s="816"/>
      <c r="FA22" s="816"/>
      <c r="FB22" s="816"/>
      <c r="FC22" s="816"/>
      <c r="FD22" s="816"/>
      <c r="FE22" s="816"/>
      <c r="FF22" s="816"/>
      <c r="FG22" s="816"/>
      <c r="FH22" s="1723"/>
    </row>
    <row r="23" spans="1:164" ht="21">
      <c r="A23" s="1720" t="s">
        <v>2739</v>
      </c>
      <c r="B23" s="780">
        <v>3225.6984943500001</v>
      </c>
      <c r="C23" s="783">
        <v>3292.6639317700001</v>
      </c>
      <c r="D23" s="783">
        <v>3398.34416741</v>
      </c>
      <c r="E23" s="783">
        <v>3551.7900184100004</v>
      </c>
      <c r="F23" s="783">
        <v>3690.22070695</v>
      </c>
      <c r="G23" s="783">
        <v>3791.6355140300002</v>
      </c>
      <c r="H23" s="783">
        <v>3934.4158680100004</v>
      </c>
      <c r="I23" s="783">
        <v>4055.1399988899998</v>
      </c>
      <c r="J23" s="783">
        <v>4163.86043445</v>
      </c>
      <c r="K23" s="783">
        <v>4304.0011475700012</v>
      </c>
      <c r="L23" s="783">
        <v>4420.6190753500005</v>
      </c>
      <c r="M23" s="781">
        <v>4596.2402466199992</v>
      </c>
      <c r="N23" s="784">
        <v>4647.2027104500003</v>
      </c>
      <c r="O23" s="784">
        <v>4724.0263906499995</v>
      </c>
      <c r="P23" s="781">
        <v>4796.3505771099999</v>
      </c>
      <c r="Q23" s="781">
        <v>4942.2508928199995</v>
      </c>
      <c r="R23" s="781">
        <v>5074.0470495600002</v>
      </c>
      <c r="S23" s="781">
        <v>5148.4694500899996</v>
      </c>
      <c r="T23" s="781">
        <v>5261.5157290699999</v>
      </c>
      <c r="U23" s="781">
        <v>5385.3115469900004</v>
      </c>
      <c r="V23" s="781">
        <v>5508.3850331900003</v>
      </c>
      <c r="W23" s="781">
        <v>5527.1423675700007</v>
      </c>
      <c r="X23" s="781">
        <v>5692.6363282499997</v>
      </c>
      <c r="Y23" s="781">
        <v>5842.0544121200001</v>
      </c>
      <c r="Z23" s="781">
        <v>5880.0057201899999</v>
      </c>
      <c r="AA23" s="784">
        <v>6458.25108774</v>
      </c>
      <c r="AB23" s="781">
        <v>6363.7354874899993</v>
      </c>
      <c r="AC23" s="781">
        <v>6312.2766850299995</v>
      </c>
      <c r="AD23" s="781">
        <v>6211.3750793900008</v>
      </c>
      <c r="AE23" s="781">
        <v>6081.6919480400002</v>
      </c>
      <c r="AF23" s="781">
        <v>5992.7424618200002</v>
      </c>
      <c r="AG23" s="781">
        <v>5916.2195888700007</v>
      </c>
      <c r="AH23" s="781">
        <v>5829.6753645499994</v>
      </c>
      <c r="AI23" s="781">
        <v>5804.3991047699992</v>
      </c>
      <c r="AJ23" s="781">
        <v>5776.9388417499995</v>
      </c>
      <c r="AK23" s="781">
        <v>6476.9790362400008</v>
      </c>
      <c r="AL23" s="781">
        <v>6213.2891844999995</v>
      </c>
      <c r="AM23" s="781">
        <v>6014.5547154400001</v>
      </c>
      <c r="AN23" s="781">
        <v>5912.4353632999992</v>
      </c>
      <c r="AO23" s="781">
        <v>5685.0452111100003</v>
      </c>
      <c r="AP23" s="781">
        <v>5484.5277699300004</v>
      </c>
      <c r="AQ23" s="781">
        <v>5468.2113175300001</v>
      </c>
      <c r="AR23" s="781">
        <v>4877.1874400899997</v>
      </c>
      <c r="AS23" s="781">
        <v>4893.7045604200002</v>
      </c>
      <c r="AT23" s="781">
        <v>4812.2798340099998</v>
      </c>
      <c r="AU23" s="781">
        <v>4598.5168250099996</v>
      </c>
      <c r="AV23" s="781">
        <v>4596.0738734300003</v>
      </c>
      <c r="AW23" s="781">
        <v>4555.9567518200001</v>
      </c>
      <c r="AX23" s="781">
        <v>4548.8235005899996</v>
      </c>
      <c r="AY23" s="781">
        <v>4337.7314057599997</v>
      </c>
      <c r="AZ23" s="781">
        <v>4236.3447398899998</v>
      </c>
      <c r="BA23" s="781">
        <v>4163.7365879399995</v>
      </c>
      <c r="BB23" s="781">
        <v>4106.5275599500001</v>
      </c>
      <c r="BC23" s="781">
        <v>4038.3797590300001</v>
      </c>
      <c r="BD23" s="781">
        <v>3947.8008877799998</v>
      </c>
      <c r="BE23" s="781">
        <v>3916.2715636399998</v>
      </c>
      <c r="BF23" s="781">
        <v>3871.4209676200003</v>
      </c>
      <c r="BG23" s="782">
        <v>3850.40111462</v>
      </c>
      <c r="BH23" s="820">
        <v>3849.5540550700007</v>
      </c>
      <c r="BI23" s="815">
        <v>3822.5425927300003</v>
      </c>
      <c r="BJ23" s="815">
        <v>3764.08007817</v>
      </c>
      <c r="BK23" s="815">
        <v>3809.9874223699994</v>
      </c>
      <c r="BL23" s="815">
        <v>3836.0226434199999</v>
      </c>
      <c r="BM23" s="815">
        <v>3882.4593678199999</v>
      </c>
      <c r="BN23" s="815">
        <v>3958.47147752</v>
      </c>
      <c r="BO23" s="815">
        <v>3979.8139342400004</v>
      </c>
      <c r="BP23" s="815">
        <v>4001.6114396299999</v>
      </c>
      <c r="BQ23" s="815">
        <v>4061.0444658699998</v>
      </c>
      <c r="BR23" s="815">
        <v>4112.4298228400003</v>
      </c>
      <c r="BS23" s="815">
        <v>4147.6351281000007</v>
      </c>
      <c r="BT23" s="815">
        <v>4214.5089060600003</v>
      </c>
      <c r="BU23" s="815">
        <v>4318.2306248300001</v>
      </c>
      <c r="BV23" s="815">
        <v>4306.8880557000002</v>
      </c>
      <c r="BW23" s="815">
        <v>4349.73268603</v>
      </c>
      <c r="BX23" s="815">
        <v>4395.9867601000005</v>
      </c>
      <c r="BY23" s="815">
        <v>4485.5604953500006</v>
      </c>
      <c r="BZ23" s="815">
        <v>4607.4407196699995</v>
      </c>
      <c r="CA23" s="815">
        <v>4754.2839247800002</v>
      </c>
      <c r="CB23" s="815">
        <v>4871.84612199</v>
      </c>
      <c r="CC23" s="815">
        <v>4992.573799310001</v>
      </c>
      <c r="CD23" s="815">
        <v>5121.4115106999998</v>
      </c>
      <c r="CE23" s="815">
        <v>5251.8271501700001</v>
      </c>
      <c r="CF23" s="815">
        <v>5367.7287177799999</v>
      </c>
      <c r="CG23" s="815">
        <v>5496.8786000300006</v>
      </c>
      <c r="CH23" s="815">
        <v>5516.5315075900007</v>
      </c>
      <c r="CI23" s="815">
        <v>5623.1880316399993</v>
      </c>
      <c r="CJ23" s="815">
        <v>5623.1703028800002</v>
      </c>
      <c r="CK23" s="815">
        <v>5423.2353963900005</v>
      </c>
      <c r="CL23" s="815">
        <v>5307.0033278700002</v>
      </c>
      <c r="CM23" s="815">
        <v>5317.0560067299994</v>
      </c>
      <c r="CN23" s="815">
        <v>5356.3966677400003</v>
      </c>
      <c r="CO23" s="815">
        <v>5442.5550670599996</v>
      </c>
      <c r="CP23" s="815">
        <v>5545.6270810399992</v>
      </c>
      <c r="CQ23" s="815">
        <v>5539.7097794899992</v>
      </c>
      <c r="CR23" s="815">
        <v>5531.6003914600005</v>
      </c>
      <c r="CS23" s="815">
        <v>5497.1582496199999</v>
      </c>
      <c r="CT23" s="815">
        <v>5478.8008587499999</v>
      </c>
      <c r="CU23" s="815">
        <v>5548.5984441000001</v>
      </c>
      <c r="CV23" s="815">
        <v>5621.0316040199996</v>
      </c>
      <c r="CW23" s="815">
        <v>5780.7845294899998</v>
      </c>
      <c r="CX23" s="815">
        <v>5868.6245380099999</v>
      </c>
      <c r="CY23" s="815">
        <v>6002.3406056399999</v>
      </c>
      <c r="CZ23" s="815">
        <v>6120.3237127000002</v>
      </c>
      <c r="DA23" s="815">
        <v>6313.6461226199999</v>
      </c>
      <c r="DB23" s="815">
        <v>6508.0531377300003</v>
      </c>
      <c r="DC23" s="815">
        <v>6673.9084049399999</v>
      </c>
      <c r="DD23" s="815">
        <v>6860.2442559800002</v>
      </c>
      <c r="DE23" s="815">
        <v>7110.1787407900001</v>
      </c>
      <c r="DF23" s="815">
        <v>7243.5302423100002</v>
      </c>
      <c r="DG23" s="815">
        <v>7424.9344759899996</v>
      </c>
      <c r="DH23" s="815">
        <v>7792.7348733099998</v>
      </c>
      <c r="DI23" s="815">
        <v>8002.2391012300004</v>
      </c>
      <c r="DJ23" s="815">
        <v>8197.5162691700007</v>
      </c>
      <c r="DK23" s="815">
        <v>8401.1894452300003</v>
      </c>
      <c r="DL23" s="815">
        <v>8551.0009061399996</v>
      </c>
      <c r="DM23" s="815">
        <v>8750.8048404599995</v>
      </c>
      <c r="DN23" s="815">
        <v>9009.5930438699997</v>
      </c>
      <c r="DO23" s="815">
        <v>9239.6608191300002</v>
      </c>
      <c r="DP23" s="815">
        <v>9422.0939369400003</v>
      </c>
      <c r="DQ23" s="815">
        <v>9653.1242387999991</v>
      </c>
      <c r="DR23" s="815">
        <v>9769.6222543900003</v>
      </c>
      <c r="DS23" s="815">
        <v>9914.8133405699991</v>
      </c>
      <c r="DT23" s="815">
        <v>10120.987998029999</v>
      </c>
      <c r="DU23" s="815">
        <v>10391.725659490001</v>
      </c>
      <c r="DV23" s="815">
        <v>10637.07069733</v>
      </c>
      <c r="DW23" s="815">
        <v>10836.236644549999</v>
      </c>
      <c r="DX23" s="815">
        <v>10928.447035249999</v>
      </c>
      <c r="DY23" s="815">
        <v>11230.80201521</v>
      </c>
      <c r="DZ23" s="815">
        <v>11452.1688264</v>
      </c>
      <c r="EA23" s="815">
        <v>11508.85833259</v>
      </c>
      <c r="EB23" s="815">
        <v>11764.86032046</v>
      </c>
      <c r="EC23" s="815">
        <v>11919.19724865</v>
      </c>
      <c r="ED23" s="815">
        <v>12004.08195915</v>
      </c>
      <c r="EE23" s="815">
        <v>12169.617060160001</v>
      </c>
      <c r="EF23" s="815">
        <v>12325.43090381</v>
      </c>
      <c r="EG23" s="815">
        <v>12636.92594838</v>
      </c>
      <c r="EH23" s="815">
        <v>12893.576152940001</v>
      </c>
      <c r="EI23" s="815">
        <v>13061.944130280001</v>
      </c>
      <c r="EJ23" s="815">
        <v>13370.12587319</v>
      </c>
      <c r="EK23" s="815">
        <v>13685.91273962</v>
      </c>
      <c r="EL23" s="815">
        <v>13937.89733652</v>
      </c>
      <c r="EM23" s="815">
        <v>14149.24213502</v>
      </c>
      <c r="EN23" s="815">
        <v>14287.16753246</v>
      </c>
      <c r="EO23" s="815">
        <v>14432.15205284</v>
      </c>
      <c r="EP23" s="815">
        <v>14494.0805089</v>
      </c>
      <c r="EQ23" s="815">
        <v>14591.534203290001</v>
      </c>
      <c r="ER23" s="815">
        <v>14700.88828261</v>
      </c>
      <c r="ES23" s="815">
        <v>14937.5819378</v>
      </c>
      <c r="ET23" s="815">
        <v>15084.55225694</v>
      </c>
      <c r="EU23" s="815">
        <v>15169.76398148</v>
      </c>
      <c r="EV23" s="815">
        <v>15364.02245778</v>
      </c>
      <c r="EW23" s="815">
        <v>15535.26160032</v>
      </c>
      <c r="EX23" s="815">
        <v>15742.27008285</v>
      </c>
      <c r="EY23" s="815">
        <v>15911.789474470001</v>
      </c>
      <c r="EZ23" s="815">
        <v>15983.49292633</v>
      </c>
      <c r="FA23" s="815">
        <v>16161.041768290001</v>
      </c>
      <c r="FB23" s="815">
        <v>16199.143962579999</v>
      </c>
      <c r="FC23" s="815">
        <v>16307.56288388</v>
      </c>
      <c r="FD23" s="815">
        <v>16328.77700453</v>
      </c>
      <c r="FE23" s="815">
        <v>16664.186856640001</v>
      </c>
      <c r="FF23" s="815">
        <v>16922.61132779</v>
      </c>
      <c r="FG23" s="815">
        <v>17144.586331729999</v>
      </c>
      <c r="FH23" s="1720" t="s">
        <v>4065</v>
      </c>
    </row>
    <row r="24" spans="1:164" ht="21">
      <c r="A24" s="1721" t="s">
        <v>1941</v>
      </c>
      <c r="B24" s="783">
        <v>0</v>
      </c>
      <c r="C24" s="783">
        <v>0</v>
      </c>
      <c r="D24" s="783">
        <v>0</v>
      </c>
      <c r="E24" s="783">
        <v>0</v>
      </c>
      <c r="F24" s="783">
        <v>0</v>
      </c>
      <c r="G24" s="783">
        <v>0</v>
      </c>
      <c r="H24" s="783">
        <v>0</v>
      </c>
      <c r="I24" s="783">
        <v>0</v>
      </c>
      <c r="J24" s="783">
        <v>0</v>
      </c>
      <c r="K24" s="783">
        <v>0</v>
      </c>
      <c r="L24" s="783">
        <v>0</v>
      </c>
      <c r="M24" s="784">
        <v>0</v>
      </c>
      <c r="N24" s="784">
        <v>0</v>
      </c>
      <c r="O24" s="784">
        <v>0</v>
      </c>
      <c r="P24" s="784">
        <v>0</v>
      </c>
      <c r="Q24" s="784">
        <v>0</v>
      </c>
      <c r="R24" s="784">
        <v>0</v>
      </c>
      <c r="S24" s="784">
        <v>0</v>
      </c>
      <c r="T24" s="784">
        <v>0</v>
      </c>
      <c r="U24" s="784">
        <v>0</v>
      </c>
      <c r="V24" s="784">
        <v>0</v>
      </c>
      <c r="W24" s="784">
        <v>0</v>
      </c>
      <c r="X24" s="784">
        <v>0</v>
      </c>
      <c r="Y24" s="784">
        <v>0</v>
      </c>
      <c r="Z24" s="784">
        <v>0</v>
      </c>
      <c r="AA24" s="784">
        <v>0</v>
      </c>
      <c r="AB24" s="784">
        <v>16</v>
      </c>
      <c r="AC24" s="784">
        <v>16</v>
      </c>
      <c r="AD24" s="784">
        <v>16</v>
      </c>
      <c r="AE24" s="784">
        <v>16</v>
      </c>
      <c r="AF24" s="784">
        <v>16</v>
      </c>
      <c r="AG24" s="784">
        <v>16</v>
      </c>
      <c r="AH24" s="784">
        <v>16</v>
      </c>
      <c r="AI24" s="784">
        <v>16</v>
      </c>
      <c r="AJ24" s="784">
        <v>16</v>
      </c>
      <c r="AK24" s="784">
        <v>0</v>
      </c>
      <c r="AL24" s="784">
        <v>16</v>
      </c>
      <c r="AM24" s="784">
        <v>16</v>
      </c>
      <c r="AN24" s="784">
        <v>16</v>
      </c>
      <c r="AO24" s="784">
        <v>16</v>
      </c>
      <c r="AP24" s="784">
        <v>16</v>
      </c>
      <c r="AQ24" s="784">
        <v>16</v>
      </c>
      <c r="AR24" s="784">
        <v>16</v>
      </c>
      <c r="AS24" s="784">
        <v>16</v>
      </c>
      <c r="AT24" s="784">
        <v>16</v>
      </c>
      <c r="AU24" s="784">
        <v>16</v>
      </c>
      <c r="AV24" s="784">
        <v>16</v>
      </c>
      <c r="AW24" s="784">
        <v>0</v>
      </c>
      <c r="AX24" s="784">
        <v>16</v>
      </c>
      <c r="AY24" s="784">
        <v>16</v>
      </c>
      <c r="AZ24" s="784">
        <v>16</v>
      </c>
      <c r="BA24" s="784">
        <v>16</v>
      </c>
      <c r="BB24" s="784">
        <v>16</v>
      </c>
      <c r="BC24" s="784">
        <v>16</v>
      </c>
      <c r="BD24" s="784">
        <v>0</v>
      </c>
      <c r="BE24" s="784">
        <v>0</v>
      </c>
      <c r="BF24" s="784">
        <v>0</v>
      </c>
      <c r="BG24" s="785">
        <v>0</v>
      </c>
      <c r="BH24" s="821">
        <v>0</v>
      </c>
      <c r="BI24" s="816">
        <v>0</v>
      </c>
      <c r="BJ24" s="816">
        <v>0</v>
      </c>
      <c r="BK24" s="816">
        <v>0</v>
      </c>
      <c r="BL24" s="816">
        <v>0</v>
      </c>
      <c r="BM24" s="816">
        <v>0</v>
      </c>
      <c r="BN24" s="816">
        <v>0</v>
      </c>
      <c r="BO24" s="816">
        <v>0</v>
      </c>
      <c r="BP24" s="816">
        <v>0</v>
      </c>
      <c r="BQ24" s="816">
        <v>0</v>
      </c>
      <c r="BR24" s="816">
        <v>0</v>
      </c>
      <c r="BS24" s="816">
        <v>0</v>
      </c>
      <c r="BT24" s="816">
        <v>0</v>
      </c>
      <c r="BU24" s="816">
        <v>0</v>
      </c>
      <c r="BV24" s="816">
        <v>0</v>
      </c>
      <c r="BW24" s="816">
        <v>0</v>
      </c>
      <c r="BX24" s="816">
        <v>0</v>
      </c>
      <c r="BY24" s="816">
        <v>0</v>
      </c>
      <c r="BZ24" s="816">
        <v>0</v>
      </c>
      <c r="CA24" s="816">
        <v>0</v>
      </c>
      <c r="CB24" s="816">
        <v>0</v>
      </c>
      <c r="CC24" s="816">
        <v>0</v>
      </c>
      <c r="CD24" s="816">
        <v>0</v>
      </c>
      <c r="CE24" s="816">
        <v>0</v>
      </c>
      <c r="CF24" s="816">
        <v>0</v>
      </c>
      <c r="CG24" s="816">
        <v>0</v>
      </c>
      <c r="CH24" s="816">
        <v>0</v>
      </c>
      <c r="CI24" s="816">
        <v>0</v>
      </c>
      <c r="CJ24" s="816">
        <v>0</v>
      </c>
      <c r="CK24" s="816">
        <v>0</v>
      </c>
      <c r="CL24" s="816">
        <v>0</v>
      </c>
      <c r="CM24" s="816">
        <v>0</v>
      </c>
      <c r="CN24" s="816">
        <v>0</v>
      </c>
      <c r="CO24" s="816">
        <v>0</v>
      </c>
      <c r="CP24" s="816">
        <v>0</v>
      </c>
      <c r="CQ24" s="816">
        <v>0</v>
      </c>
      <c r="CR24" s="816">
        <v>0</v>
      </c>
      <c r="CS24" s="816">
        <v>0</v>
      </c>
      <c r="CT24" s="816">
        <v>0</v>
      </c>
      <c r="CU24" s="816">
        <v>0</v>
      </c>
      <c r="CV24" s="816">
        <v>0</v>
      </c>
      <c r="CW24" s="816">
        <v>0</v>
      </c>
      <c r="CX24" s="816">
        <v>0</v>
      </c>
      <c r="CY24" s="816">
        <v>0</v>
      </c>
      <c r="CZ24" s="816">
        <v>0</v>
      </c>
      <c r="DA24" s="816">
        <v>0</v>
      </c>
      <c r="DB24" s="816">
        <v>0</v>
      </c>
      <c r="DC24" s="816">
        <v>0</v>
      </c>
      <c r="DD24" s="816">
        <v>0</v>
      </c>
      <c r="DE24" s="816">
        <v>0</v>
      </c>
      <c r="DF24" s="816">
        <v>0</v>
      </c>
      <c r="DG24" s="816">
        <v>0</v>
      </c>
      <c r="DH24" s="816">
        <v>0</v>
      </c>
      <c r="DI24" s="816">
        <v>0</v>
      </c>
      <c r="DJ24" s="816">
        <v>0</v>
      </c>
      <c r="DK24" s="816">
        <v>0</v>
      </c>
      <c r="DL24" s="816">
        <v>0</v>
      </c>
      <c r="DM24" s="816">
        <v>0</v>
      </c>
      <c r="DN24" s="816">
        <v>0</v>
      </c>
      <c r="DO24" s="816">
        <v>0</v>
      </c>
      <c r="DP24" s="816">
        <v>0</v>
      </c>
      <c r="DQ24" s="816">
        <v>0</v>
      </c>
      <c r="DR24" s="816">
        <v>0</v>
      </c>
      <c r="DS24" s="816">
        <v>0</v>
      </c>
      <c r="DT24" s="816">
        <v>0</v>
      </c>
      <c r="DU24" s="816">
        <v>0</v>
      </c>
      <c r="DV24" s="816">
        <v>0</v>
      </c>
      <c r="DW24" s="816">
        <v>0</v>
      </c>
      <c r="DX24" s="816">
        <v>0</v>
      </c>
      <c r="DY24" s="816">
        <v>0</v>
      </c>
      <c r="DZ24" s="816">
        <v>0</v>
      </c>
      <c r="EA24" s="816">
        <v>0</v>
      </c>
      <c r="EB24" s="816">
        <v>0</v>
      </c>
      <c r="EC24" s="816">
        <v>0</v>
      </c>
      <c r="ED24" s="816">
        <v>0</v>
      </c>
      <c r="EE24" s="816">
        <v>0</v>
      </c>
      <c r="EF24" s="816">
        <v>0</v>
      </c>
      <c r="EG24" s="816">
        <v>0</v>
      </c>
      <c r="EH24" s="816">
        <v>0</v>
      </c>
      <c r="EI24" s="816">
        <v>0</v>
      </c>
      <c r="EJ24" s="816">
        <v>0</v>
      </c>
      <c r="EK24" s="816">
        <v>0</v>
      </c>
      <c r="EL24" s="816">
        <v>0</v>
      </c>
      <c r="EM24" s="816">
        <v>0</v>
      </c>
      <c r="EN24" s="816">
        <v>0</v>
      </c>
      <c r="EO24" s="816">
        <v>0</v>
      </c>
      <c r="EP24" s="816">
        <v>0</v>
      </c>
      <c r="EQ24" s="816">
        <v>0</v>
      </c>
      <c r="ER24" s="816">
        <v>0</v>
      </c>
      <c r="ES24" s="816">
        <v>0</v>
      </c>
      <c r="ET24" s="816">
        <v>0</v>
      </c>
      <c r="EU24" s="816">
        <v>0</v>
      </c>
      <c r="EV24" s="816">
        <v>0</v>
      </c>
      <c r="EW24" s="816">
        <v>0</v>
      </c>
      <c r="EX24" s="816">
        <v>0</v>
      </c>
      <c r="EY24" s="816">
        <v>0</v>
      </c>
      <c r="EZ24" s="816">
        <v>0</v>
      </c>
      <c r="FA24" s="816">
        <v>0</v>
      </c>
      <c r="FB24" s="816">
        <v>0</v>
      </c>
      <c r="FC24" s="816">
        <v>0</v>
      </c>
      <c r="FD24" s="816">
        <v>0</v>
      </c>
      <c r="FE24" s="816">
        <v>0</v>
      </c>
      <c r="FF24" s="816">
        <v>0</v>
      </c>
      <c r="FG24" s="816">
        <v>0</v>
      </c>
      <c r="FH24" s="1726" t="s">
        <v>4071</v>
      </c>
    </row>
    <row r="25" spans="1:164" ht="21">
      <c r="A25" s="1722" t="s">
        <v>185</v>
      </c>
      <c r="B25" s="780">
        <v>2397.3404618200002</v>
      </c>
      <c r="C25" s="783">
        <v>2434.4491340899999</v>
      </c>
      <c r="D25" s="783">
        <v>2530.1557090599999</v>
      </c>
      <c r="E25" s="783">
        <v>2650.7536850400002</v>
      </c>
      <c r="F25" s="783">
        <v>2760.8022356800002</v>
      </c>
      <c r="G25" s="783">
        <v>2840.96808113</v>
      </c>
      <c r="H25" s="783">
        <v>2947.1628406600003</v>
      </c>
      <c r="I25" s="783">
        <v>3037.0473277499996</v>
      </c>
      <c r="J25" s="783">
        <v>3108.15250113</v>
      </c>
      <c r="K25" s="783">
        <v>3211.1532535800006</v>
      </c>
      <c r="L25" s="783">
        <v>3302.9519496000003</v>
      </c>
      <c r="M25" s="781">
        <v>3463.1136425299992</v>
      </c>
      <c r="N25" s="784">
        <v>3528.4361287400002</v>
      </c>
      <c r="O25" s="784">
        <v>3603.8401909499999</v>
      </c>
      <c r="P25" s="781">
        <v>3676.4016216</v>
      </c>
      <c r="Q25" s="781">
        <v>3781.5086010199998</v>
      </c>
      <c r="R25" s="781">
        <v>3880.3492997900003</v>
      </c>
      <c r="S25" s="781">
        <v>3936.0847970799996</v>
      </c>
      <c r="T25" s="781">
        <v>4021.5572752400003</v>
      </c>
      <c r="U25" s="781">
        <v>4118.9345882699999</v>
      </c>
      <c r="V25" s="781">
        <v>4217.6978599100003</v>
      </c>
      <c r="W25" s="781">
        <v>4234.6246917600001</v>
      </c>
      <c r="X25" s="781">
        <v>4360.6064291299999</v>
      </c>
      <c r="Y25" s="781">
        <v>4472.0477258500005</v>
      </c>
      <c r="Z25" s="781">
        <v>4507.1112850500003</v>
      </c>
      <c r="AA25" s="784">
        <v>4470.8257775000002</v>
      </c>
      <c r="AB25" s="781">
        <v>4415.9170936399996</v>
      </c>
      <c r="AC25" s="781">
        <v>4375.8388521899997</v>
      </c>
      <c r="AD25" s="781">
        <v>4255.5702338400006</v>
      </c>
      <c r="AE25" s="781">
        <v>4136.3615813100005</v>
      </c>
      <c r="AF25" s="781">
        <v>4069.23681111</v>
      </c>
      <c r="AG25" s="781">
        <v>4057.1221886900003</v>
      </c>
      <c r="AH25" s="781">
        <v>4061.5250724999996</v>
      </c>
      <c r="AI25" s="781">
        <v>4064.3638673699993</v>
      </c>
      <c r="AJ25" s="781">
        <v>4100.4727960499995</v>
      </c>
      <c r="AK25" s="781">
        <v>4139.3874426200009</v>
      </c>
      <c r="AL25" s="781">
        <v>3910.7475975500001</v>
      </c>
      <c r="AM25" s="781">
        <v>3836.0358085600001</v>
      </c>
      <c r="AN25" s="781">
        <v>3826.5166534799996</v>
      </c>
      <c r="AO25" s="781">
        <v>3701.6012327600001</v>
      </c>
      <c r="AP25" s="781">
        <v>3620.1093008500002</v>
      </c>
      <c r="AQ25" s="781">
        <v>3618.60893876</v>
      </c>
      <c r="AR25" s="781">
        <v>3224.2674005199997</v>
      </c>
      <c r="AS25" s="781">
        <v>3290.18293606</v>
      </c>
      <c r="AT25" s="781">
        <v>3296.0413002100004</v>
      </c>
      <c r="AU25" s="781">
        <v>3216.8242949</v>
      </c>
      <c r="AV25" s="781">
        <v>3219.9390315000001</v>
      </c>
      <c r="AW25" s="781">
        <v>3233.0483753399999</v>
      </c>
      <c r="AX25" s="781">
        <v>3179.4149013999995</v>
      </c>
      <c r="AY25" s="781">
        <v>3137.46036288</v>
      </c>
      <c r="AZ25" s="781">
        <v>3088.5109793199999</v>
      </c>
      <c r="BA25" s="781">
        <v>3051.8572792899995</v>
      </c>
      <c r="BB25" s="781">
        <v>3005.8938775900001</v>
      </c>
      <c r="BC25" s="781">
        <v>2975.2959043299998</v>
      </c>
      <c r="BD25" s="781">
        <v>2952.4303911699999</v>
      </c>
      <c r="BE25" s="781">
        <v>2971.9634636999999</v>
      </c>
      <c r="BF25" s="781">
        <v>2963.3113738100005</v>
      </c>
      <c r="BG25" s="782">
        <v>2988.1316363599999</v>
      </c>
      <c r="BH25" s="820">
        <v>3021.2109347100004</v>
      </c>
      <c r="BI25" s="815">
        <v>3052.4329639000002</v>
      </c>
      <c r="BJ25" s="815">
        <v>3027.7731812299999</v>
      </c>
      <c r="BK25" s="815">
        <v>3082.6521439899993</v>
      </c>
      <c r="BL25" s="815">
        <v>3136.14050215</v>
      </c>
      <c r="BM25" s="815">
        <v>3215.7763763500002</v>
      </c>
      <c r="BN25" s="815">
        <v>3321.3115408600002</v>
      </c>
      <c r="BO25" s="815">
        <v>3371.1462939100002</v>
      </c>
      <c r="BP25" s="815">
        <v>3416.0473417200001</v>
      </c>
      <c r="BQ25" s="815">
        <v>3503.47728461</v>
      </c>
      <c r="BR25" s="815">
        <v>3571.32878897</v>
      </c>
      <c r="BS25" s="815">
        <v>3648.1489246300002</v>
      </c>
      <c r="BT25" s="815">
        <v>3711.2816690099999</v>
      </c>
      <c r="BU25" s="815">
        <v>3840.7614551199999</v>
      </c>
      <c r="BV25" s="815">
        <v>3851.64386921</v>
      </c>
      <c r="BW25" s="815">
        <v>3904.4124163900001</v>
      </c>
      <c r="BX25" s="815">
        <v>3963.7522623200002</v>
      </c>
      <c r="BY25" s="815">
        <v>4090.0760079500001</v>
      </c>
      <c r="BZ25" s="815">
        <v>4225.1756636199998</v>
      </c>
      <c r="CA25" s="815">
        <v>4338.8830322700005</v>
      </c>
      <c r="CB25" s="815">
        <v>4472.2604802100004</v>
      </c>
      <c r="CC25" s="815">
        <v>4600.3889880000006</v>
      </c>
      <c r="CD25" s="815">
        <v>4737.1808413500003</v>
      </c>
      <c r="CE25" s="815">
        <v>4869.9556747799998</v>
      </c>
      <c r="CF25" s="815">
        <v>4961.2199586500001</v>
      </c>
      <c r="CG25" s="815">
        <v>5100.1172969600002</v>
      </c>
      <c r="CH25" s="815">
        <v>5124.8964839200007</v>
      </c>
      <c r="CI25" s="815">
        <v>5234.3079467299995</v>
      </c>
      <c r="CJ25" s="815">
        <v>5250.9368402400005</v>
      </c>
      <c r="CK25" s="815">
        <v>5057.8497382100004</v>
      </c>
      <c r="CL25" s="815">
        <v>4951.67838183</v>
      </c>
      <c r="CM25" s="815">
        <v>4979.6068053799991</v>
      </c>
      <c r="CN25" s="815">
        <v>5018.5814449</v>
      </c>
      <c r="CO25" s="815">
        <v>5106.2733573299993</v>
      </c>
      <c r="CP25" s="815">
        <v>5202.7442448599995</v>
      </c>
      <c r="CQ25" s="815">
        <v>5205.4951686099994</v>
      </c>
      <c r="CR25" s="815">
        <v>5198.8400734900006</v>
      </c>
      <c r="CS25" s="815">
        <v>5170.6210995900001</v>
      </c>
      <c r="CT25" s="815">
        <v>5207.1015527400004</v>
      </c>
      <c r="CU25" s="815">
        <v>5271.5802983399999</v>
      </c>
      <c r="CV25" s="815">
        <v>5352.59089012</v>
      </c>
      <c r="CW25" s="815">
        <v>5514.19361802</v>
      </c>
      <c r="CX25" s="815">
        <v>5609.2249893199996</v>
      </c>
      <c r="CY25" s="815">
        <v>5743.4867092300001</v>
      </c>
      <c r="CZ25" s="815">
        <v>5861.5706071000004</v>
      </c>
      <c r="DA25" s="815">
        <v>6052.3078177099997</v>
      </c>
      <c r="DB25" s="815">
        <v>6245.8924052599996</v>
      </c>
      <c r="DC25" s="815">
        <v>6413.3935237599999</v>
      </c>
      <c r="DD25" s="815">
        <v>6608.5060519500003</v>
      </c>
      <c r="DE25" s="815">
        <v>6857.53063449</v>
      </c>
      <c r="DF25" s="815">
        <v>7000.4802723499997</v>
      </c>
      <c r="DG25" s="815">
        <v>7180.8613192499997</v>
      </c>
      <c r="DH25" s="815">
        <v>7399.6583697400001</v>
      </c>
      <c r="DI25" s="815">
        <v>7659.4307126699996</v>
      </c>
      <c r="DJ25" s="815">
        <v>7850.85153945</v>
      </c>
      <c r="DK25" s="815">
        <v>8081.8257639599997</v>
      </c>
      <c r="DL25" s="815">
        <v>8238.8693234000002</v>
      </c>
      <c r="DM25" s="815">
        <v>8455.8526685100005</v>
      </c>
      <c r="DN25" s="815">
        <v>8707.5597014100003</v>
      </c>
      <c r="DO25" s="815">
        <v>8929.9351855999994</v>
      </c>
      <c r="DP25" s="815">
        <v>9114.0993186699998</v>
      </c>
      <c r="DQ25" s="815">
        <v>9255.4666333599998</v>
      </c>
      <c r="DR25" s="815">
        <v>9372.2895234799998</v>
      </c>
      <c r="DS25" s="815">
        <v>9522.7215718999996</v>
      </c>
      <c r="DT25" s="815">
        <v>9730.9228272199998</v>
      </c>
      <c r="DU25" s="815">
        <v>9993.7536733300003</v>
      </c>
      <c r="DV25" s="815">
        <v>10235.40189995</v>
      </c>
      <c r="DW25" s="815">
        <v>10442.09906162</v>
      </c>
      <c r="DX25" s="815">
        <v>10679.17330443</v>
      </c>
      <c r="DY25" s="815">
        <v>10979.66499173</v>
      </c>
      <c r="DZ25" s="815">
        <v>11200.19993952</v>
      </c>
      <c r="EA25" s="815">
        <v>11262.349084379999</v>
      </c>
      <c r="EB25" s="815">
        <v>11520.120056919999</v>
      </c>
      <c r="EC25" s="815">
        <v>11677.56784272</v>
      </c>
      <c r="ED25" s="815">
        <v>11764.36221141</v>
      </c>
      <c r="EE25" s="815">
        <v>11937.348131999999</v>
      </c>
      <c r="EF25" s="815">
        <v>12099.31343824</v>
      </c>
      <c r="EG25" s="815">
        <v>12410.906008239999</v>
      </c>
      <c r="EH25" s="815">
        <v>12675.181408820001</v>
      </c>
      <c r="EI25" s="815">
        <v>12831.713078049999</v>
      </c>
      <c r="EJ25" s="815">
        <v>13128.83417706</v>
      </c>
      <c r="EK25" s="815">
        <v>13443.49654677</v>
      </c>
      <c r="EL25" s="815">
        <v>13698.356425870001</v>
      </c>
      <c r="EM25" s="815">
        <v>13916.08323054</v>
      </c>
      <c r="EN25" s="815">
        <v>14057.308050940001</v>
      </c>
      <c r="EO25" s="815">
        <v>14215.04588046</v>
      </c>
      <c r="EP25" s="815">
        <v>14283.910663160001</v>
      </c>
      <c r="EQ25" s="815">
        <v>14385.10378299</v>
      </c>
      <c r="ER25" s="815">
        <v>14494.25299382</v>
      </c>
      <c r="ES25" s="815">
        <v>14732.42089594</v>
      </c>
      <c r="ET25" s="815">
        <v>14888.318272160001</v>
      </c>
      <c r="EU25" s="815">
        <v>14981.87689109</v>
      </c>
      <c r="EV25" s="815">
        <v>15178.97746921</v>
      </c>
      <c r="EW25" s="815">
        <v>15351.380213279999</v>
      </c>
      <c r="EX25" s="815">
        <v>15560.92080844</v>
      </c>
      <c r="EY25" s="815">
        <v>15731.25718658</v>
      </c>
      <c r="EZ25" s="815">
        <v>15803.968521819999</v>
      </c>
      <c r="FA25" s="815">
        <v>15980.401667010001</v>
      </c>
      <c r="FB25" s="815">
        <v>16023.36700443</v>
      </c>
      <c r="FC25" s="815">
        <v>16124.54955021</v>
      </c>
      <c r="FD25" s="815">
        <v>16148.937082959999</v>
      </c>
      <c r="FE25" s="815">
        <v>16485.493149639999</v>
      </c>
      <c r="FF25" s="815">
        <v>16746.242365239999</v>
      </c>
      <c r="FG25" s="815">
        <v>16970.2672647</v>
      </c>
      <c r="FH25" s="1722" t="s">
        <v>206</v>
      </c>
    </row>
    <row r="26" spans="1:164" ht="21">
      <c r="A26" s="1721" t="s">
        <v>1941</v>
      </c>
      <c r="B26" s="783">
        <v>0</v>
      </c>
      <c r="C26" s="783">
        <v>0</v>
      </c>
      <c r="D26" s="783">
        <v>0</v>
      </c>
      <c r="E26" s="783">
        <v>0</v>
      </c>
      <c r="F26" s="783">
        <v>0</v>
      </c>
      <c r="G26" s="783">
        <v>0</v>
      </c>
      <c r="H26" s="783">
        <v>0</v>
      </c>
      <c r="I26" s="783">
        <v>0</v>
      </c>
      <c r="J26" s="783">
        <v>0</v>
      </c>
      <c r="K26" s="783">
        <v>0</v>
      </c>
      <c r="L26" s="783">
        <v>0</v>
      </c>
      <c r="M26" s="784">
        <v>0</v>
      </c>
      <c r="N26" s="784">
        <v>0</v>
      </c>
      <c r="O26" s="784">
        <v>0</v>
      </c>
      <c r="P26" s="784">
        <v>0</v>
      </c>
      <c r="Q26" s="784">
        <v>0</v>
      </c>
      <c r="R26" s="784">
        <v>0</v>
      </c>
      <c r="S26" s="784">
        <v>0</v>
      </c>
      <c r="T26" s="784">
        <v>0</v>
      </c>
      <c r="U26" s="784">
        <v>0</v>
      </c>
      <c r="V26" s="784">
        <v>0</v>
      </c>
      <c r="W26" s="784">
        <v>0</v>
      </c>
      <c r="X26" s="784">
        <v>0</v>
      </c>
      <c r="Y26" s="784">
        <v>0</v>
      </c>
      <c r="Z26" s="784">
        <v>0</v>
      </c>
      <c r="AA26" s="784">
        <v>0</v>
      </c>
      <c r="AB26" s="784">
        <v>8</v>
      </c>
      <c r="AC26" s="784">
        <v>8</v>
      </c>
      <c r="AD26" s="784">
        <v>8</v>
      </c>
      <c r="AE26" s="784">
        <v>8</v>
      </c>
      <c r="AF26" s="784">
        <v>8</v>
      </c>
      <c r="AG26" s="784">
        <v>8</v>
      </c>
      <c r="AH26" s="784">
        <v>8</v>
      </c>
      <c r="AI26" s="784">
        <v>8</v>
      </c>
      <c r="AJ26" s="784">
        <v>8</v>
      </c>
      <c r="AK26" s="784">
        <v>0</v>
      </c>
      <c r="AL26" s="784">
        <v>8</v>
      </c>
      <c r="AM26" s="784">
        <v>8</v>
      </c>
      <c r="AN26" s="784">
        <v>8</v>
      </c>
      <c r="AO26" s="784">
        <v>8</v>
      </c>
      <c r="AP26" s="784">
        <v>8</v>
      </c>
      <c r="AQ26" s="784">
        <v>8</v>
      </c>
      <c r="AR26" s="784">
        <v>8</v>
      </c>
      <c r="AS26" s="784">
        <v>8</v>
      </c>
      <c r="AT26" s="784">
        <v>8</v>
      </c>
      <c r="AU26" s="784">
        <v>8</v>
      </c>
      <c r="AV26" s="784">
        <v>8</v>
      </c>
      <c r="AW26" s="784">
        <v>0</v>
      </c>
      <c r="AX26" s="784">
        <v>8</v>
      </c>
      <c r="AY26" s="784">
        <v>8</v>
      </c>
      <c r="AZ26" s="784">
        <v>8</v>
      </c>
      <c r="BA26" s="784">
        <v>8</v>
      </c>
      <c r="BB26" s="784">
        <v>8</v>
      </c>
      <c r="BC26" s="784">
        <v>8</v>
      </c>
      <c r="BD26" s="784">
        <v>0</v>
      </c>
      <c r="BE26" s="784">
        <v>0</v>
      </c>
      <c r="BF26" s="784">
        <v>0</v>
      </c>
      <c r="BG26" s="785">
        <v>0</v>
      </c>
      <c r="BH26" s="821">
        <v>0</v>
      </c>
      <c r="BI26" s="816">
        <v>0</v>
      </c>
      <c r="BJ26" s="816">
        <v>0</v>
      </c>
      <c r="BK26" s="816">
        <v>0</v>
      </c>
      <c r="BL26" s="816">
        <v>0</v>
      </c>
      <c r="BM26" s="816">
        <v>0</v>
      </c>
      <c r="BN26" s="816">
        <v>0</v>
      </c>
      <c r="BO26" s="816">
        <v>0</v>
      </c>
      <c r="BP26" s="816">
        <v>0</v>
      </c>
      <c r="BQ26" s="816">
        <v>0</v>
      </c>
      <c r="BR26" s="816">
        <v>0</v>
      </c>
      <c r="BS26" s="816">
        <v>0</v>
      </c>
      <c r="BT26" s="816">
        <v>0</v>
      </c>
      <c r="BU26" s="816">
        <v>0</v>
      </c>
      <c r="BV26" s="816">
        <v>0</v>
      </c>
      <c r="BW26" s="816">
        <v>0</v>
      </c>
      <c r="BX26" s="816">
        <v>0</v>
      </c>
      <c r="BY26" s="816">
        <v>0</v>
      </c>
      <c r="BZ26" s="816">
        <v>0</v>
      </c>
      <c r="CA26" s="816">
        <v>0</v>
      </c>
      <c r="CB26" s="816">
        <v>0</v>
      </c>
      <c r="CC26" s="816">
        <v>0</v>
      </c>
      <c r="CD26" s="816">
        <v>0</v>
      </c>
      <c r="CE26" s="816">
        <v>0</v>
      </c>
      <c r="CF26" s="816">
        <v>0</v>
      </c>
      <c r="CG26" s="816">
        <v>0</v>
      </c>
      <c r="CH26" s="816">
        <v>0</v>
      </c>
      <c r="CI26" s="816">
        <v>0</v>
      </c>
      <c r="CJ26" s="816">
        <v>0</v>
      </c>
      <c r="CK26" s="816">
        <v>0</v>
      </c>
      <c r="CL26" s="816">
        <v>0</v>
      </c>
      <c r="CM26" s="816">
        <v>0</v>
      </c>
      <c r="CN26" s="816">
        <v>0</v>
      </c>
      <c r="CO26" s="816">
        <v>0</v>
      </c>
      <c r="CP26" s="816">
        <v>0</v>
      </c>
      <c r="CQ26" s="816">
        <v>0</v>
      </c>
      <c r="CR26" s="816">
        <v>0</v>
      </c>
      <c r="CS26" s="816">
        <v>0</v>
      </c>
      <c r="CT26" s="816">
        <v>0</v>
      </c>
      <c r="CU26" s="816">
        <v>0</v>
      </c>
      <c r="CV26" s="816">
        <v>0</v>
      </c>
      <c r="CW26" s="816">
        <v>0</v>
      </c>
      <c r="CX26" s="816">
        <v>0</v>
      </c>
      <c r="CY26" s="816">
        <v>0</v>
      </c>
      <c r="CZ26" s="816">
        <v>0</v>
      </c>
      <c r="DA26" s="816">
        <v>0</v>
      </c>
      <c r="DB26" s="816">
        <v>0</v>
      </c>
      <c r="DC26" s="816">
        <v>0</v>
      </c>
      <c r="DD26" s="816">
        <v>0</v>
      </c>
      <c r="DE26" s="816">
        <v>0</v>
      </c>
      <c r="DF26" s="816">
        <v>0</v>
      </c>
      <c r="DG26" s="816">
        <v>0</v>
      </c>
      <c r="DH26" s="816">
        <v>0</v>
      </c>
      <c r="DI26" s="816">
        <v>0</v>
      </c>
      <c r="DJ26" s="816">
        <v>0</v>
      </c>
      <c r="DK26" s="816">
        <v>0</v>
      </c>
      <c r="DL26" s="816">
        <v>0</v>
      </c>
      <c r="DM26" s="816">
        <v>0</v>
      </c>
      <c r="DN26" s="816">
        <v>0</v>
      </c>
      <c r="DO26" s="816">
        <v>0</v>
      </c>
      <c r="DP26" s="816">
        <v>0</v>
      </c>
      <c r="DQ26" s="816">
        <v>0</v>
      </c>
      <c r="DR26" s="816">
        <v>0</v>
      </c>
      <c r="DS26" s="816">
        <v>0</v>
      </c>
      <c r="DT26" s="816">
        <v>0</v>
      </c>
      <c r="DU26" s="816">
        <v>0</v>
      </c>
      <c r="DV26" s="816">
        <v>0</v>
      </c>
      <c r="DW26" s="816">
        <v>0</v>
      </c>
      <c r="DX26" s="816">
        <v>0</v>
      </c>
      <c r="DY26" s="816">
        <v>0</v>
      </c>
      <c r="DZ26" s="816">
        <v>0</v>
      </c>
      <c r="EA26" s="816">
        <v>0</v>
      </c>
      <c r="EB26" s="816">
        <v>0</v>
      </c>
      <c r="EC26" s="816">
        <v>0</v>
      </c>
      <c r="ED26" s="816">
        <v>0</v>
      </c>
      <c r="EE26" s="816">
        <v>0</v>
      </c>
      <c r="EF26" s="816">
        <v>0</v>
      </c>
      <c r="EG26" s="816">
        <v>0</v>
      </c>
      <c r="EH26" s="816">
        <v>0</v>
      </c>
      <c r="EI26" s="816">
        <v>0</v>
      </c>
      <c r="EJ26" s="816">
        <v>0</v>
      </c>
      <c r="EK26" s="816">
        <v>0</v>
      </c>
      <c r="EL26" s="816">
        <v>0</v>
      </c>
      <c r="EM26" s="816">
        <v>0</v>
      </c>
      <c r="EN26" s="816">
        <v>0</v>
      </c>
      <c r="EO26" s="816">
        <v>0</v>
      </c>
      <c r="EP26" s="816">
        <v>0</v>
      </c>
      <c r="EQ26" s="816">
        <v>0</v>
      </c>
      <c r="ER26" s="816">
        <v>0</v>
      </c>
      <c r="ES26" s="816">
        <v>0</v>
      </c>
      <c r="ET26" s="816">
        <v>0</v>
      </c>
      <c r="EU26" s="816">
        <v>0</v>
      </c>
      <c r="EV26" s="816">
        <v>0</v>
      </c>
      <c r="EW26" s="816">
        <v>0</v>
      </c>
      <c r="EX26" s="816">
        <v>0</v>
      </c>
      <c r="EY26" s="816">
        <v>0</v>
      </c>
      <c r="EZ26" s="816">
        <v>0</v>
      </c>
      <c r="FA26" s="816">
        <v>0</v>
      </c>
      <c r="FB26" s="816">
        <v>0</v>
      </c>
      <c r="FC26" s="816">
        <v>0</v>
      </c>
      <c r="FD26" s="816">
        <v>0</v>
      </c>
      <c r="FE26" s="816">
        <v>0</v>
      </c>
      <c r="FF26" s="816">
        <v>0</v>
      </c>
      <c r="FG26" s="816">
        <v>0</v>
      </c>
      <c r="FH26" s="1726" t="s">
        <v>4071</v>
      </c>
    </row>
    <row r="27" spans="1:164" ht="21">
      <c r="A27" s="1722" t="s">
        <v>2738</v>
      </c>
      <c r="B27" s="780">
        <v>828.35803253000006</v>
      </c>
      <c r="C27" s="783">
        <v>858.21479768000006</v>
      </c>
      <c r="D27" s="783">
        <v>868.18845834999991</v>
      </c>
      <c r="E27" s="783">
        <v>901.03633337000008</v>
      </c>
      <c r="F27" s="783">
        <v>929.41847127000005</v>
      </c>
      <c r="G27" s="783">
        <v>950.66743289999999</v>
      </c>
      <c r="H27" s="783">
        <v>987.25302735000002</v>
      </c>
      <c r="I27" s="783">
        <v>1018.0926711400001</v>
      </c>
      <c r="J27" s="783">
        <v>1055.7079333199999</v>
      </c>
      <c r="K27" s="783">
        <v>1092.8478939900001</v>
      </c>
      <c r="L27" s="783">
        <v>1117.66712575</v>
      </c>
      <c r="M27" s="781">
        <v>1133.12660409</v>
      </c>
      <c r="N27" s="784">
        <v>1118.7665817100001</v>
      </c>
      <c r="O27" s="784">
        <v>1120.1861996999999</v>
      </c>
      <c r="P27" s="781">
        <v>1119.9489555099999</v>
      </c>
      <c r="Q27" s="781">
        <v>1160.7422918</v>
      </c>
      <c r="R27" s="781">
        <v>1193.69774977</v>
      </c>
      <c r="S27" s="781">
        <v>1212.38465301</v>
      </c>
      <c r="T27" s="781">
        <v>1239.9584538299998</v>
      </c>
      <c r="U27" s="781">
        <v>1266.3769587199999</v>
      </c>
      <c r="V27" s="781">
        <v>1290.68717328</v>
      </c>
      <c r="W27" s="781">
        <v>1292.5176758100001</v>
      </c>
      <c r="X27" s="781">
        <v>1332.02989912</v>
      </c>
      <c r="Y27" s="781">
        <v>1370.00668627</v>
      </c>
      <c r="Z27" s="781">
        <v>1372.8944351399998</v>
      </c>
      <c r="AA27" s="784">
        <v>1987.42531024</v>
      </c>
      <c r="AB27" s="781">
        <v>1947.8183938500001</v>
      </c>
      <c r="AC27" s="781">
        <v>1936.4378328400001</v>
      </c>
      <c r="AD27" s="781">
        <v>1955.80484555</v>
      </c>
      <c r="AE27" s="781">
        <v>1945.3303667299999</v>
      </c>
      <c r="AF27" s="781">
        <v>1923.5056507100003</v>
      </c>
      <c r="AG27" s="781">
        <v>1859.09740018</v>
      </c>
      <c r="AH27" s="781">
        <v>1768.1502920500002</v>
      </c>
      <c r="AI27" s="781">
        <v>1740.0352373999999</v>
      </c>
      <c r="AJ27" s="781">
        <v>1676.4660457</v>
      </c>
      <c r="AK27" s="781">
        <v>2337.5915936199999</v>
      </c>
      <c r="AL27" s="781">
        <v>2302.5415869499998</v>
      </c>
      <c r="AM27" s="781">
        <v>2178.51890688</v>
      </c>
      <c r="AN27" s="781">
        <v>2085.91870982</v>
      </c>
      <c r="AO27" s="781">
        <v>1983.4439783500002</v>
      </c>
      <c r="AP27" s="781">
        <v>1864.41846908</v>
      </c>
      <c r="AQ27" s="781">
        <v>1849.6023787699999</v>
      </c>
      <c r="AR27" s="781">
        <v>1652.9200395700002</v>
      </c>
      <c r="AS27" s="781">
        <v>1603.52162436</v>
      </c>
      <c r="AT27" s="781">
        <v>1516.2385337999999</v>
      </c>
      <c r="AU27" s="781">
        <v>1381.69253011</v>
      </c>
      <c r="AV27" s="781">
        <v>1376.13484193</v>
      </c>
      <c r="AW27" s="781">
        <v>1322.9083764799998</v>
      </c>
      <c r="AX27" s="781">
        <v>1369.4085991899999</v>
      </c>
      <c r="AY27" s="781">
        <v>1200.2710428799999</v>
      </c>
      <c r="AZ27" s="781">
        <v>1147.8337605699999</v>
      </c>
      <c r="BA27" s="781">
        <v>1111.8793086500002</v>
      </c>
      <c r="BB27" s="781">
        <v>1100.6336823600002</v>
      </c>
      <c r="BC27" s="781">
        <v>1063.0838547000001</v>
      </c>
      <c r="BD27" s="781">
        <v>995.37049660999992</v>
      </c>
      <c r="BE27" s="781">
        <v>944.30809993999992</v>
      </c>
      <c r="BF27" s="781">
        <v>908.10959380999986</v>
      </c>
      <c r="BG27" s="782">
        <v>862.26947826000003</v>
      </c>
      <c r="BH27" s="820">
        <v>828.34312036000006</v>
      </c>
      <c r="BI27" s="815">
        <v>770.10962882999991</v>
      </c>
      <c r="BJ27" s="815">
        <v>736.30689694</v>
      </c>
      <c r="BK27" s="815">
        <v>727.33527837999998</v>
      </c>
      <c r="BL27" s="815">
        <v>699.88214126999992</v>
      </c>
      <c r="BM27" s="815">
        <v>666.68299146999993</v>
      </c>
      <c r="BN27" s="815">
        <v>637.15993665999997</v>
      </c>
      <c r="BO27" s="815">
        <v>608.66764033000015</v>
      </c>
      <c r="BP27" s="815">
        <v>585.56409790999999</v>
      </c>
      <c r="BQ27" s="815">
        <v>557.56718125999987</v>
      </c>
      <c r="BR27" s="815">
        <v>541.10103387000004</v>
      </c>
      <c r="BS27" s="815">
        <v>499.48620347000002</v>
      </c>
      <c r="BT27" s="815">
        <v>503.22723704999999</v>
      </c>
      <c r="BU27" s="815">
        <v>477.46916971000002</v>
      </c>
      <c r="BV27" s="815">
        <v>455.24418648999995</v>
      </c>
      <c r="BW27" s="815">
        <v>445.32026963999994</v>
      </c>
      <c r="BX27" s="815">
        <v>432.23449778000003</v>
      </c>
      <c r="BY27" s="815">
        <v>395.48448740000003</v>
      </c>
      <c r="BZ27" s="815">
        <v>382.26505605</v>
      </c>
      <c r="CA27" s="815">
        <v>415.40089251000001</v>
      </c>
      <c r="CB27" s="815">
        <v>399.58564178</v>
      </c>
      <c r="CC27" s="815">
        <v>392.18481131000004</v>
      </c>
      <c r="CD27" s="815">
        <v>384.23066934999997</v>
      </c>
      <c r="CE27" s="815">
        <v>381.87147539</v>
      </c>
      <c r="CF27" s="815">
        <v>406.50875912999999</v>
      </c>
      <c r="CG27" s="815">
        <v>396.76130307</v>
      </c>
      <c r="CH27" s="815">
        <v>391.63502367000007</v>
      </c>
      <c r="CI27" s="815">
        <v>388.88008491000005</v>
      </c>
      <c r="CJ27" s="815">
        <v>372.23346263999997</v>
      </c>
      <c r="CK27" s="815">
        <v>365.38565818000001</v>
      </c>
      <c r="CL27" s="815">
        <v>355.32494603999999</v>
      </c>
      <c r="CM27" s="815">
        <v>337.44920135000001</v>
      </c>
      <c r="CN27" s="815">
        <v>337.81522284000005</v>
      </c>
      <c r="CO27" s="815">
        <v>336.28170972999999</v>
      </c>
      <c r="CP27" s="815">
        <v>342.88283617999997</v>
      </c>
      <c r="CQ27" s="815">
        <v>334.21461088000001</v>
      </c>
      <c r="CR27" s="815">
        <v>332.76031796999996</v>
      </c>
      <c r="CS27" s="815">
        <v>326.53715002999996</v>
      </c>
      <c r="CT27" s="815">
        <v>271.69930600999999</v>
      </c>
      <c r="CU27" s="815">
        <v>277.01814575999998</v>
      </c>
      <c r="CV27" s="815">
        <v>268.44071389999999</v>
      </c>
      <c r="CW27" s="815">
        <v>266.59091146999998</v>
      </c>
      <c r="CX27" s="815">
        <v>259.39954869000002</v>
      </c>
      <c r="CY27" s="815">
        <v>258.85389641</v>
      </c>
      <c r="CZ27" s="815">
        <v>258.75310560000003</v>
      </c>
      <c r="DA27" s="815">
        <v>261.33830490999998</v>
      </c>
      <c r="DB27" s="815">
        <v>262.16073247000003</v>
      </c>
      <c r="DC27" s="815">
        <v>260.51488117999997</v>
      </c>
      <c r="DD27" s="815">
        <v>251.73820402999999</v>
      </c>
      <c r="DE27" s="815">
        <v>252.64810629999999</v>
      </c>
      <c r="DF27" s="815">
        <v>243.04996996</v>
      </c>
      <c r="DG27" s="815">
        <v>244.07315674</v>
      </c>
      <c r="DH27" s="815">
        <v>393.07650357</v>
      </c>
      <c r="DI27" s="815">
        <v>342.80838856000003</v>
      </c>
      <c r="DJ27" s="815">
        <v>346.66472972000003</v>
      </c>
      <c r="DK27" s="815">
        <v>319.36368126999997</v>
      </c>
      <c r="DL27" s="815">
        <v>312.13158274</v>
      </c>
      <c r="DM27" s="815">
        <v>294.95217194999998</v>
      </c>
      <c r="DN27" s="815">
        <v>302.03334245999997</v>
      </c>
      <c r="DO27" s="815">
        <v>309.72563352999998</v>
      </c>
      <c r="DP27" s="815">
        <v>307.99461826999999</v>
      </c>
      <c r="DQ27" s="815">
        <v>397.65760544</v>
      </c>
      <c r="DR27" s="815">
        <v>397.33273091000001</v>
      </c>
      <c r="DS27" s="815">
        <v>392.09176867000002</v>
      </c>
      <c r="DT27" s="815">
        <v>390.06517080999998</v>
      </c>
      <c r="DU27" s="815">
        <v>397.97198615999997</v>
      </c>
      <c r="DV27" s="815">
        <v>401.66879738</v>
      </c>
      <c r="DW27" s="815">
        <v>394.13758293000001</v>
      </c>
      <c r="DX27" s="815">
        <v>249.27373082</v>
      </c>
      <c r="DY27" s="815">
        <v>251.13702348000001</v>
      </c>
      <c r="DZ27" s="815">
        <v>251.96888688000001</v>
      </c>
      <c r="EA27" s="815">
        <v>246.50924821000001</v>
      </c>
      <c r="EB27" s="815">
        <v>244.74026354</v>
      </c>
      <c r="EC27" s="815">
        <v>241.62940592999999</v>
      </c>
      <c r="ED27" s="815">
        <v>239.71974774</v>
      </c>
      <c r="EE27" s="815">
        <v>232.26892816</v>
      </c>
      <c r="EF27" s="815">
        <v>226.11746557000001</v>
      </c>
      <c r="EG27" s="815">
        <v>226.01994013999999</v>
      </c>
      <c r="EH27" s="815">
        <v>218.39474412000001</v>
      </c>
      <c r="EI27" s="815">
        <v>230.23105222999999</v>
      </c>
      <c r="EJ27" s="815">
        <v>241.29169612999999</v>
      </c>
      <c r="EK27" s="815">
        <v>242.41619284999999</v>
      </c>
      <c r="EL27" s="815">
        <v>239.54091065</v>
      </c>
      <c r="EM27" s="815">
        <v>233.15890447999999</v>
      </c>
      <c r="EN27" s="815">
        <v>229.85948152</v>
      </c>
      <c r="EO27" s="815">
        <v>217.10617238</v>
      </c>
      <c r="EP27" s="815">
        <v>210.16984574</v>
      </c>
      <c r="EQ27" s="815">
        <v>206.43042030000001</v>
      </c>
      <c r="ER27" s="815">
        <v>206.63528879</v>
      </c>
      <c r="ES27" s="815">
        <v>205.16104186000001</v>
      </c>
      <c r="ET27" s="815">
        <v>196.23398477999999</v>
      </c>
      <c r="EU27" s="815">
        <v>187.88709039</v>
      </c>
      <c r="EV27" s="815">
        <v>185.04498856999999</v>
      </c>
      <c r="EW27" s="815">
        <v>183.88138703999999</v>
      </c>
      <c r="EX27" s="815">
        <v>181.34927440999999</v>
      </c>
      <c r="EY27" s="815">
        <v>180.53228788999999</v>
      </c>
      <c r="EZ27" s="815">
        <v>179.52440451000001</v>
      </c>
      <c r="FA27" s="815">
        <v>180.64010128000001</v>
      </c>
      <c r="FB27" s="815">
        <v>175.77695815000001</v>
      </c>
      <c r="FC27" s="815">
        <v>183.01333367000001</v>
      </c>
      <c r="FD27" s="815">
        <v>179.83992157</v>
      </c>
      <c r="FE27" s="815">
        <v>178.69370699999999</v>
      </c>
      <c r="FF27" s="815">
        <v>176.36896254999999</v>
      </c>
      <c r="FG27" s="815">
        <v>174.31906703000001</v>
      </c>
      <c r="FH27" s="1722" t="s">
        <v>4063</v>
      </c>
    </row>
    <row r="28" spans="1:164" ht="21">
      <c r="A28" s="1721" t="s">
        <v>1941</v>
      </c>
      <c r="B28" s="783">
        <v>0</v>
      </c>
      <c r="C28" s="783">
        <v>0</v>
      </c>
      <c r="D28" s="783">
        <v>0</v>
      </c>
      <c r="E28" s="783">
        <v>0</v>
      </c>
      <c r="F28" s="783">
        <v>0</v>
      </c>
      <c r="G28" s="783">
        <v>0</v>
      </c>
      <c r="H28" s="783">
        <v>0</v>
      </c>
      <c r="I28" s="783">
        <v>0</v>
      </c>
      <c r="J28" s="783">
        <v>0</v>
      </c>
      <c r="K28" s="783">
        <v>0</v>
      </c>
      <c r="L28" s="783">
        <v>0</v>
      </c>
      <c r="M28" s="784">
        <v>0</v>
      </c>
      <c r="N28" s="784">
        <v>0</v>
      </c>
      <c r="O28" s="784">
        <v>0</v>
      </c>
      <c r="P28" s="784">
        <v>0</v>
      </c>
      <c r="Q28" s="784">
        <v>0</v>
      </c>
      <c r="R28" s="784">
        <v>0</v>
      </c>
      <c r="S28" s="784">
        <v>0</v>
      </c>
      <c r="T28" s="784">
        <v>0</v>
      </c>
      <c r="U28" s="784">
        <v>0</v>
      </c>
      <c r="V28" s="784">
        <v>0</v>
      </c>
      <c r="W28" s="784">
        <v>0</v>
      </c>
      <c r="X28" s="784">
        <v>0</v>
      </c>
      <c r="Y28" s="784">
        <v>0</v>
      </c>
      <c r="Z28" s="784">
        <v>0</v>
      </c>
      <c r="AA28" s="784">
        <v>0</v>
      </c>
      <c r="AB28" s="784">
        <v>8</v>
      </c>
      <c r="AC28" s="784">
        <v>8</v>
      </c>
      <c r="AD28" s="784">
        <v>8</v>
      </c>
      <c r="AE28" s="784">
        <v>8</v>
      </c>
      <c r="AF28" s="784">
        <v>8</v>
      </c>
      <c r="AG28" s="784">
        <v>8</v>
      </c>
      <c r="AH28" s="784">
        <v>8</v>
      </c>
      <c r="AI28" s="784">
        <v>8</v>
      </c>
      <c r="AJ28" s="784">
        <v>8</v>
      </c>
      <c r="AK28" s="784">
        <v>0</v>
      </c>
      <c r="AL28" s="784">
        <v>8</v>
      </c>
      <c r="AM28" s="784">
        <v>8</v>
      </c>
      <c r="AN28" s="784">
        <v>8</v>
      </c>
      <c r="AO28" s="784">
        <v>8</v>
      </c>
      <c r="AP28" s="784">
        <v>8</v>
      </c>
      <c r="AQ28" s="784">
        <v>8</v>
      </c>
      <c r="AR28" s="784">
        <v>8</v>
      </c>
      <c r="AS28" s="784">
        <v>8</v>
      </c>
      <c r="AT28" s="784">
        <v>8</v>
      </c>
      <c r="AU28" s="784">
        <v>8</v>
      </c>
      <c r="AV28" s="784">
        <v>8</v>
      </c>
      <c r="AW28" s="784">
        <v>0</v>
      </c>
      <c r="AX28" s="784">
        <v>8</v>
      </c>
      <c r="AY28" s="784">
        <v>8</v>
      </c>
      <c r="AZ28" s="784">
        <v>8</v>
      </c>
      <c r="BA28" s="784">
        <v>8</v>
      </c>
      <c r="BB28" s="784">
        <v>8</v>
      </c>
      <c r="BC28" s="784">
        <v>8</v>
      </c>
      <c r="BD28" s="784">
        <v>0</v>
      </c>
      <c r="BE28" s="784">
        <v>0</v>
      </c>
      <c r="BF28" s="784">
        <v>0</v>
      </c>
      <c r="BG28" s="785">
        <v>0</v>
      </c>
      <c r="BH28" s="821">
        <v>0</v>
      </c>
      <c r="BI28" s="816">
        <v>0</v>
      </c>
      <c r="BJ28" s="816">
        <v>0</v>
      </c>
      <c r="BK28" s="816">
        <v>0</v>
      </c>
      <c r="BL28" s="816">
        <v>0</v>
      </c>
      <c r="BM28" s="816">
        <v>0</v>
      </c>
      <c r="BN28" s="816">
        <v>0</v>
      </c>
      <c r="BO28" s="816">
        <v>0</v>
      </c>
      <c r="BP28" s="816">
        <v>0</v>
      </c>
      <c r="BQ28" s="816"/>
      <c r="BR28" s="816">
        <v>0</v>
      </c>
      <c r="BS28" s="816">
        <v>0</v>
      </c>
      <c r="BT28" s="816">
        <v>0</v>
      </c>
      <c r="BU28" s="816">
        <v>0</v>
      </c>
      <c r="BV28" s="816">
        <v>0</v>
      </c>
      <c r="BW28" s="816">
        <v>0</v>
      </c>
      <c r="BX28" s="816">
        <v>0</v>
      </c>
      <c r="BY28" s="816">
        <v>0</v>
      </c>
      <c r="BZ28" s="816">
        <v>0</v>
      </c>
      <c r="CA28" s="816">
        <v>0</v>
      </c>
      <c r="CB28" s="816">
        <v>0</v>
      </c>
      <c r="CC28" s="816">
        <v>0</v>
      </c>
      <c r="CD28" s="816">
        <v>0</v>
      </c>
      <c r="CE28" s="816">
        <v>0</v>
      </c>
      <c r="CF28" s="816">
        <v>0</v>
      </c>
      <c r="CG28" s="816">
        <v>0</v>
      </c>
      <c r="CH28" s="816">
        <v>0</v>
      </c>
      <c r="CI28" s="816">
        <v>0</v>
      </c>
      <c r="CJ28" s="816">
        <v>0</v>
      </c>
      <c r="CK28" s="816">
        <v>0</v>
      </c>
      <c r="CL28" s="816">
        <v>0</v>
      </c>
      <c r="CM28" s="816">
        <v>0</v>
      </c>
      <c r="CN28" s="816">
        <v>0</v>
      </c>
      <c r="CO28" s="816">
        <v>0</v>
      </c>
      <c r="CP28" s="816">
        <v>0</v>
      </c>
      <c r="CQ28" s="816">
        <v>0</v>
      </c>
      <c r="CR28" s="816">
        <v>0</v>
      </c>
      <c r="CS28" s="816">
        <v>0</v>
      </c>
      <c r="CT28" s="816">
        <v>0</v>
      </c>
      <c r="CU28" s="816">
        <v>0</v>
      </c>
      <c r="CV28" s="816">
        <v>0</v>
      </c>
      <c r="CW28" s="816">
        <v>0</v>
      </c>
      <c r="CX28" s="816">
        <v>0</v>
      </c>
      <c r="CY28" s="816">
        <v>0</v>
      </c>
      <c r="CZ28" s="816">
        <v>0</v>
      </c>
      <c r="DA28" s="816">
        <v>0</v>
      </c>
      <c r="DB28" s="816">
        <v>0</v>
      </c>
      <c r="DC28" s="816">
        <v>0</v>
      </c>
      <c r="DD28" s="816">
        <v>0</v>
      </c>
      <c r="DE28" s="816">
        <v>0</v>
      </c>
      <c r="DF28" s="816">
        <v>0</v>
      </c>
      <c r="DG28" s="816">
        <v>0</v>
      </c>
      <c r="DH28" s="816">
        <v>0</v>
      </c>
      <c r="DI28" s="816">
        <v>0</v>
      </c>
      <c r="DJ28" s="816">
        <v>0</v>
      </c>
      <c r="DK28" s="816">
        <v>0</v>
      </c>
      <c r="DL28" s="816">
        <v>0</v>
      </c>
      <c r="DM28" s="816">
        <v>0</v>
      </c>
      <c r="DN28" s="816">
        <v>0</v>
      </c>
      <c r="DO28" s="816">
        <v>0</v>
      </c>
      <c r="DP28" s="816">
        <v>0</v>
      </c>
      <c r="DQ28" s="816">
        <v>0</v>
      </c>
      <c r="DR28" s="816">
        <v>0</v>
      </c>
      <c r="DS28" s="816">
        <v>0</v>
      </c>
      <c r="DT28" s="816">
        <v>0</v>
      </c>
      <c r="DU28" s="816">
        <v>0</v>
      </c>
      <c r="DV28" s="816">
        <v>0</v>
      </c>
      <c r="DW28" s="816">
        <v>0</v>
      </c>
      <c r="DX28" s="816">
        <v>0</v>
      </c>
      <c r="DY28" s="816">
        <v>0</v>
      </c>
      <c r="DZ28" s="816">
        <v>0</v>
      </c>
      <c r="EA28" s="816">
        <v>0</v>
      </c>
      <c r="EB28" s="816">
        <v>0</v>
      </c>
      <c r="EC28" s="816">
        <v>0</v>
      </c>
      <c r="ED28" s="816">
        <v>0</v>
      </c>
      <c r="EE28" s="816">
        <v>0</v>
      </c>
      <c r="EF28" s="816">
        <v>0</v>
      </c>
      <c r="EG28" s="816">
        <v>0</v>
      </c>
      <c r="EH28" s="816">
        <v>0</v>
      </c>
      <c r="EI28" s="816">
        <v>0</v>
      </c>
      <c r="EJ28" s="816">
        <v>0</v>
      </c>
      <c r="EK28" s="816">
        <v>0</v>
      </c>
      <c r="EL28" s="816">
        <v>0</v>
      </c>
      <c r="EM28" s="816">
        <v>0</v>
      </c>
      <c r="EN28" s="816">
        <v>0</v>
      </c>
      <c r="EO28" s="816">
        <v>0</v>
      </c>
      <c r="EP28" s="816">
        <v>0</v>
      </c>
      <c r="EQ28" s="816">
        <v>0</v>
      </c>
      <c r="ER28" s="816">
        <v>0</v>
      </c>
      <c r="ES28" s="816">
        <v>0</v>
      </c>
      <c r="ET28" s="816">
        <v>0</v>
      </c>
      <c r="EU28" s="816">
        <v>0</v>
      </c>
      <c r="EV28" s="816">
        <v>0</v>
      </c>
      <c r="EW28" s="816">
        <v>0</v>
      </c>
      <c r="EX28" s="816">
        <v>0</v>
      </c>
      <c r="EY28" s="816">
        <v>0</v>
      </c>
      <c r="EZ28" s="816">
        <v>0</v>
      </c>
      <c r="FA28" s="816">
        <v>0</v>
      </c>
      <c r="FB28" s="816">
        <v>0</v>
      </c>
      <c r="FC28" s="816">
        <v>0</v>
      </c>
      <c r="FD28" s="816">
        <v>0</v>
      </c>
      <c r="FE28" s="816">
        <v>0</v>
      </c>
      <c r="FF28" s="816">
        <v>0</v>
      </c>
      <c r="FG28" s="816">
        <v>0</v>
      </c>
      <c r="FH28" s="1726" t="s">
        <v>4071</v>
      </c>
    </row>
    <row r="29" spans="1:164" ht="21">
      <c r="A29" s="1723"/>
      <c r="B29" s="783"/>
      <c r="C29" s="783"/>
      <c r="D29" s="783"/>
      <c r="E29" s="783"/>
      <c r="F29" s="783"/>
      <c r="G29" s="783"/>
      <c r="H29" s="783"/>
      <c r="I29" s="783"/>
      <c r="J29" s="783"/>
      <c r="K29" s="783"/>
      <c r="L29" s="783"/>
      <c r="M29" s="784"/>
      <c r="N29" s="784"/>
      <c r="O29" s="784"/>
      <c r="P29" s="784"/>
      <c r="Q29" s="784"/>
      <c r="R29" s="784"/>
      <c r="S29" s="784"/>
      <c r="T29" s="784"/>
      <c r="U29" s="784"/>
      <c r="V29" s="784"/>
      <c r="W29" s="784"/>
      <c r="X29" s="784"/>
      <c r="Y29" s="784"/>
      <c r="Z29" s="784"/>
      <c r="AA29" s="784"/>
      <c r="AB29" s="784"/>
      <c r="AC29" s="784"/>
      <c r="AD29" s="784"/>
      <c r="AE29" s="784"/>
      <c r="AF29" s="784"/>
      <c r="AG29" s="784"/>
      <c r="AH29" s="784"/>
      <c r="AI29" s="784"/>
      <c r="AJ29" s="784"/>
      <c r="AK29" s="784"/>
      <c r="AL29" s="784"/>
      <c r="AM29" s="784"/>
      <c r="AN29" s="784"/>
      <c r="AO29" s="784"/>
      <c r="AP29" s="784"/>
      <c r="AQ29" s="784"/>
      <c r="AR29" s="784"/>
      <c r="AS29" s="784"/>
      <c r="AT29" s="784"/>
      <c r="AU29" s="784"/>
      <c r="AV29" s="784"/>
      <c r="AW29" s="784"/>
      <c r="AX29" s="784"/>
      <c r="AY29" s="784"/>
      <c r="AZ29" s="784"/>
      <c r="BA29" s="784"/>
      <c r="BB29" s="784"/>
      <c r="BC29" s="784"/>
      <c r="BD29" s="784"/>
      <c r="BE29" s="784"/>
      <c r="BF29" s="784"/>
      <c r="BG29" s="785"/>
      <c r="BH29" s="821"/>
      <c r="BI29" s="816"/>
      <c r="BJ29" s="816"/>
      <c r="BK29" s="816"/>
      <c r="BL29" s="816"/>
      <c r="BM29" s="816"/>
      <c r="BN29" s="816"/>
      <c r="BO29" s="816"/>
      <c r="BP29" s="816"/>
      <c r="BQ29" s="816"/>
      <c r="BR29" s="816"/>
      <c r="BS29" s="816"/>
      <c r="BT29" s="816"/>
      <c r="BU29" s="816"/>
      <c r="BV29" s="816"/>
      <c r="BW29" s="816"/>
      <c r="BX29" s="816"/>
      <c r="BY29" s="816"/>
      <c r="BZ29" s="816"/>
      <c r="CA29" s="816"/>
      <c r="CB29" s="816"/>
      <c r="CC29" s="816"/>
      <c r="CD29" s="816"/>
      <c r="CE29" s="816"/>
      <c r="CF29" s="816"/>
      <c r="CG29" s="816"/>
      <c r="CH29" s="816"/>
      <c r="CI29" s="816"/>
      <c r="CJ29" s="816"/>
      <c r="CK29" s="816"/>
      <c r="CL29" s="816"/>
      <c r="CM29" s="817"/>
      <c r="CN29" s="817"/>
      <c r="CO29" s="817"/>
      <c r="CP29" s="817"/>
      <c r="CQ29" s="817"/>
      <c r="CR29" s="817"/>
      <c r="CS29" s="817"/>
      <c r="CT29" s="817"/>
      <c r="CU29" s="817"/>
      <c r="CV29" s="817"/>
      <c r="CW29" s="817"/>
      <c r="CX29" s="817"/>
      <c r="CY29" s="817"/>
      <c r="CZ29" s="817"/>
      <c r="DA29" s="817"/>
      <c r="DB29" s="817"/>
      <c r="DC29" s="817"/>
      <c r="DD29" s="817"/>
      <c r="DE29" s="817"/>
      <c r="DF29" s="817"/>
      <c r="DG29" s="817"/>
      <c r="DH29" s="817"/>
      <c r="DI29" s="817"/>
      <c r="DJ29" s="817"/>
      <c r="DK29" s="817"/>
      <c r="DL29" s="817"/>
      <c r="DM29" s="817"/>
      <c r="DN29" s="817"/>
      <c r="DO29" s="817"/>
      <c r="DP29" s="817"/>
      <c r="DQ29" s="817"/>
      <c r="DR29" s="817"/>
      <c r="DS29" s="817"/>
      <c r="DT29" s="817"/>
      <c r="DU29" s="817"/>
      <c r="DV29" s="817"/>
      <c r="DW29" s="817"/>
      <c r="DX29" s="817"/>
      <c r="DY29" s="817"/>
      <c r="DZ29" s="817"/>
      <c r="EA29" s="817"/>
      <c r="EB29" s="817"/>
      <c r="EC29" s="817"/>
      <c r="ED29" s="817"/>
      <c r="EE29" s="817"/>
      <c r="EF29" s="817"/>
      <c r="EG29" s="817"/>
      <c r="EH29" s="817"/>
      <c r="EI29" s="817"/>
      <c r="EJ29" s="817"/>
      <c r="EK29" s="817"/>
      <c r="EL29" s="817"/>
      <c r="EM29" s="817"/>
      <c r="EN29" s="817"/>
      <c r="EO29" s="817"/>
      <c r="EP29" s="817"/>
      <c r="EQ29" s="817"/>
      <c r="ER29" s="817"/>
      <c r="ES29" s="817"/>
      <c r="ET29" s="817"/>
      <c r="EU29" s="817"/>
      <c r="EV29" s="817"/>
      <c r="EW29" s="817"/>
      <c r="EX29" s="817"/>
      <c r="EY29" s="817"/>
      <c r="EZ29" s="817"/>
      <c r="FA29" s="817"/>
      <c r="FB29" s="817"/>
      <c r="FC29" s="817"/>
      <c r="FD29" s="817"/>
      <c r="FE29" s="817"/>
      <c r="FF29" s="817"/>
      <c r="FG29" s="817"/>
      <c r="FH29" s="1723"/>
    </row>
    <row r="30" spans="1:164" ht="48.6" customHeight="1">
      <c r="A30" s="1724" t="s">
        <v>1943</v>
      </c>
      <c r="B30" s="783"/>
      <c r="C30" s="783"/>
      <c r="D30" s="783"/>
      <c r="E30" s="783"/>
      <c r="F30" s="783"/>
      <c r="G30" s="783"/>
      <c r="H30" s="783"/>
      <c r="I30" s="783"/>
      <c r="J30" s="783"/>
      <c r="K30" s="783"/>
      <c r="L30" s="783"/>
      <c r="M30" s="784"/>
      <c r="N30" s="784"/>
      <c r="O30" s="784"/>
      <c r="P30" s="784"/>
      <c r="Q30" s="784"/>
      <c r="R30" s="784"/>
      <c r="S30" s="784"/>
      <c r="T30" s="784"/>
      <c r="U30" s="784"/>
      <c r="V30" s="784"/>
      <c r="W30" s="784"/>
      <c r="X30" s="784"/>
      <c r="Y30" s="784"/>
      <c r="Z30" s="784"/>
      <c r="AA30" s="784"/>
      <c r="AB30" s="784"/>
      <c r="AC30" s="784"/>
      <c r="AD30" s="784"/>
      <c r="AE30" s="784"/>
      <c r="AF30" s="784"/>
      <c r="AG30" s="784"/>
      <c r="AH30" s="784"/>
      <c r="AI30" s="784"/>
      <c r="AJ30" s="784"/>
      <c r="AK30" s="784"/>
      <c r="AL30" s="784"/>
      <c r="AM30" s="784"/>
      <c r="AN30" s="784"/>
      <c r="AO30" s="784"/>
      <c r="AP30" s="784"/>
      <c r="AQ30" s="784"/>
      <c r="AR30" s="784"/>
      <c r="AS30" s="784"/>
      <c r="AT30" s="784"/>
      <c r="AU30" s="784"/>
      <c r="AV30" s="784"/>
      <c r="AW30" s="784"/>
      <c r="AX30" s="784"/>
      <c r="AY30" s="784"/>
      <c r="AZ30" s="784"/>
      <c r="BA30" s="784"/>
      <c r="BB30" s="784"/>
      <c r="BC30" s="784"/>
      <c r="BD30" s="784"/>
      <c r="BE30" s="784"/>
      <c r="BF30" s="784"/>
      <c r="BG30" s="785"/>
      <c r="BH30" s="821"/>
      <c r="BI30" s="816"/>
      <c r="BJ30" s="816"/>
      <c r="BK30" s="816"/>
      <c r="BL30" s="816"/>
      <c r="BM30" s="816"/>
      <c r="BN30" s="816"/>
      <c r="BO30" s="816"/>
      <c r="BP30" s="816"/>
      <c r="BQ30" s="816"/>
      <c r="BR30" s="816"/>
      <c r="BS30" s="816"/>
      <c r="BT30" s="816"/>
      <c r="BU30" s="816"/>
      <c r="BV30" s="816"/>
      <c r="BW30" s="816"/>
      <c r="BX30" s="816"/>
      <c r="BY30" s="816"/>
      <c r="BZ30" s="816"/>
      <c r="CA30" s="816"/>
      <c r="CB30" s="816"/>
      <c r="CC30" s="816"/>
      <c r="CD30" s="816"/>
      <c r="CE30" s="816"/>
      <c r="CF30" s="816"/>
      <c r="CG30" s="816"/>
      <c r="CH30" s="816"/>
      <c r="CI30" s="816"/>
      <c r="CJ30" s="816"/>
      <c r="CK30" s="816"/>
      <c r="CL30" s="816"/>
      <c r="CM30" s="817"/>
      <c r="CN30" s="817"/>
      <c r="CO30" s="817"/>
      <c r="CP30" s="817"/>
      <c r="CQ30" s="817"/>
      <c r="CR30" s="817"/>
      <c r="CS30" s="817"/>
      <c r="CT30" s="817"/>
      <c r="CU30" s="817"/>
      <c r="CV30" s="817"/>
      <c r="CW30" s="817"/>
      <c r="CX30" s="817"/>
      <c r="CY30" s="817"/>
      <c r="CZ30" s="817"/>
      <c r="DA30" s="817"/>
      <c r="DB30" s="817"/>
      <c r="DC30" s="817"/>
      <c r="DD30" s="817"/>
      <c r="DE30" s="817"/>
      <c r="DF30" s="817"/>
      <c r="DG30" s="817"/>
      <c r="DH30" s="817"/>
      <c r="DI30" s="817"/>
      <c r="DJ30" s="817"/>
      <c r="DK30" s="817"/>
      <c r="DL30" s="817"/>
      <c r="DM30" s="817"/>
      <c r="DN30" s="817"/>
      <c r="DO30" s="817"/>
      <c r="DP30" s="817"/>
      <c r="DQ30" s="817"/>
      <c r="DR30" s="817"/>
      <c r="DS30" s="817"/>
      <c r="DT30" s="817"/>
      <c r="DU30" s="817"/>
      <c r="DV30" s="817"/>
      <c r="DW30" s="817"/>
      <c r="DX30" s="817"/>
      <c r="DY30" s="817"/>
      <c r="DZ30" s="817"/>
      <c r="EA30" s="817"/>
      <c r="EB30" s="817"/>
      <c r="EC30" s="817"/>
      <c r="ED30" s="817"/>
      <c r="EE30" s="817"/>
      <c r="EF30" s="817"/>
      <c r="EG30" s="817"/>
      <c r="EH30" s="817"/>
      <c r="EI30" s="817"/>
      <c r="EJ30" s="817"/>
      <c r="EK30" s="817"/>
      <c r="EL30" s="817"/>
      <c r="EM30" s="817"/>
      <c r="EN30" s="817"/>
      <c r="EO30" s="817"/>
      <c r="EP30" s="817"/>
      <c r="EQ30" s="817"/>
      <c r="ER30" s="817"/>
      <c r="ES30" s="817"/>
      <c r="ET30" s="817"/>
      <c r="EU30" s="817"/>
      <c r="EV30" s="817"/>
      <c r="EW30" s="817"/>
      <c r="EX30" s="817"/>
      <c r="EY30" s="817"/>
      <c r="EZ30" s="817"/>
      <c r="FA30" s="817"/>
      <c r="FB30" s="817"/>
      <c r="FC30" s="817"/>
      <c r="FD30" s="817"/>
      <c r="FE30" s="817"/>
      <c r="FF30" s="817"/>
      <c r="FG30" s="817"/>
      <c r="FH30" s="1724" t="s">
        <v>4073</v>
      </c>
    </row>
    <row r="31" spans="1:164" ht="21">
      <c r="A31" s="1720" t="s">
        <v>2740</v>
      </c>
      <c r="B31" s="780">
        <v>272.67881498000003</v>
      </c>
      <c r="C31" s="780">
        <v>359.02593193999996</v>
      </c>
      <c r="D31" s="780">
        <v>366.28520785000001</v>
      </c>
      <c r="E31" s="780">
        <v>372.98676511000002</v>
      </c>
      <c r="F31" s="780">
        <v>386.54387264000002</v>
      </c>
      <c r="G31" s="780">
        <v>389.45620566000002</v>
      </c>
      <c r="H31" s="780">
        <v>412.70977631999995</v>
      </c>
      <c r="I31" s="780">
        <v>423.76617785999997</v>
      </c>
      <c r="J31" s="780">
        <v>437.49721646</v>
      </c>
      <c r="K31" s="780">
        <v>452.40257305</v>
      </c>
      <c r="L31" s="780">
        <v>460.76891406999994</v>
      </c>
      <c r="M31" s="781">
        <v>482.11562631000004</v>
      </c>
      <c r="N31" s="781">
        <v>483.23776134000002</v>
      </c>
      <c r="O31" s="781">
        <v>495.39960737999996</v>
      </c>
      <c r="P31" s="781">
        <v>506.57074372999995</v>
      </c>
      <c r="Q31" s="781">
        <v>533.02023578000001</v>
      </c>
      <c r="R31" s="781">
        <v>551.73327573999995</v>
      </c>
      <c r="S31" s="781">
        <v>567.58760265000001</v>
      </c>
      <c r="T31" s="781">
        <v>582.92561438999996</v>
      </c>
      <c r="U31" s="781">
        <v>598.83034479000003</v>
      </c>
      <c r="V31" s="781">
        <v>614.08958798999993</v>
      </c>
      <c r="W31" s="781">
        <v>641.89225454000007</v>
      </c>
      <c r="X31" s="781">
        <v>660.09351493999998</v>
      </c>
      <c r="Y31" s="781">
        <v>679.11283858000002</v>
      </c>
      <c r="Z31" s="781">
        <v>677.95499341999994</v>
      </c>
      <c r="AA31" s="781">
        <v>771.73225639999998</v>
      </c>
      <c r="AB31" s="781">
        <v>753.71312087000013</v>
      </c>
      <c r="AC31" s="781">
        <v>748.66183816000012</v>
      </c>
      <c r="AD31" s="781">
        <v>749.55159920999995</v>
      </c>
      <c r="AE31" s="781">
        <v>745.93669023999996</v>
      </c>
      <c r="AF31" s="781">
        <v>757.69892616000004</v>
      </c>
      <c r="AG31" s="781">
        <v>751.91467955999997</v>
      </c>
      <c r="AH31" s="781">
        <v>739.78435850999995</v>
      </c>
      <c r="AI31" s="781">
        <v>751.81580917999997</v>
      </c>
      <c r="AJ31" s="781">
        <v>748.08192299999996</v>
      </c>
      <c r="AK31" s="781">
        <v>880.72505242000011</v>
      </c>
      <c r="AL31" s="781">
        <v>811.0402048599999</v>
      </c>
      <c r="AM31" s="781">
        <v>783.76632770000003</v>
      </c>
      <c r="AN31" s="781">
        <v>763.8745416999999</v>
      </c>
      <c r="AO31" s="781">
        <v>738.01668403000008</v>
      </c>
      <c r="AP31" s="781">
        <v>716.69890667999994</v>
      </c>
      <c r="AQ31" s="781">
        <v>719.14867206000008</v>
      </c>
      <c r="AR31" s="781">
        <v>657.26503673000002</v>
      </c>
      <c r="AS31" s="781">
        <v>665.60540446000005</v>
      </c>
      <c r="AT31" s="781">
        <v>657.34467082000003</v>
      </c>
      <c r="AU31" s="781">
        <v>646.34575470999994</v>
      </c>
      <c r="AV31" s="781">
        <v>661.06228379000015</v>
      </c>
      <c r="AW31" s="781">
        <v>665.73477027000013</v>
      </c>
      <c r="AX31" s="781">
        <v>681.83137897000006</v>
      </c>
      <c r="AY31" s="781">
        <v>632.64201438999999</v>
      </c>
      <c r="AZ31" s="781">
        <v>610.76733786</v>
      </c>
      <c r="BA31" s="781">
        <v>595.77246644999991</v>
      </c>
      <c r="BB31" s="781">
        <v>581.15557859</v>
      </c>
      <c r="BC31" s="781">
        <v>571.18280148999997</v>
      </c>
      <c r="BD31" s="781">
        <v>554.68489107000005</v>
      </c>
      <c r="BE31" s="781">
        <v>535.19037398</v>
      </c>
      <c r="BF31" s="781">
        <v>530.13135216000001</v>
      </c>
      <c r="BG31" s="782">
        <v>529.99811298999998</v>
      </c>
      <c r="BH31" s="820">
        <v>526.92094969999994</v>
      </c>
      <c r="BI31" s="815">
        <v>517.11569663</v>
      </c>
      <c r="BJ31" s="815">
        <v>507.97328806999997</v>
      </c>
      <c r="BK31" s="815">
        <v>497.89654602000002</v>
      </c>
      <c r="BL31" s="815">
        <v>489.73070645999996</v>
      </c>
      <c r="BM31" s="815">
        <v>488.00750074999996</v>
      </c>
      <c r="BN31" s="815">
        <v>485.08234200999999</v>
      </c>
      <c r="BO31" s="815">
        <v>485.05006433</v>
      </c>
      <c r="BP31" s="815">
        <v>479.83478747000004</v>
      </c>
      <c r="BQ31" s="815">
        <v>483.12685699999997</v>
      </c>
      <c r="BR31" s="815">
        <v>482.89917081999994</v>
      </c>
      <c r="BS31" s="815">
        <v>492.29400535000002</v>
      </c>
      <c r="BT31" s="815">
        <v>496.13333681999995</v>
      </c>
      <c r="BU31" s="815">
        <v>498.93539314000009</v>
      </c>
      <c r="BV31" s="815">
        <v>492.81278032</v>
      </c>
      <c r="BW31" s="815">
        <v>493.26012724999998</v>
      </c>
      <c r="BX31" s="815">
        <v>487.32868370999995</v>
      </c>
      <c r="BY31" s="815">
        <v>492.65310284999998</v>
      </c>
      <c r="BZ31" s="815">
        <v>497.26279029</v>
      </c>
      <c r="CA31" s="815">
        <v>499.16815884999994</v>
      </c>
      <c r="CB31" s="815">
        <v>502.78400377000003</v>
      </c>
      <c r="CC31" s="815">
        <v>520.7409637400001</v>
      </c>
      <c r="CD31" s="815">
        <v>554.85532910999996</v>
      </c>
      <c r="CE31" s="815">
        <v>583.14589721000004</v>
      </c>
      <c r="CF31" s="815">
        <v>609.54569919000005</v>
      </c>
      <c r="CG31" s="815">
        <v>631.12492333</v>
      </c>
      <c r="CH31" s="815">
        <v>646.95950151</v>
      </c>
      <c r="CI31" s="815">
        <v>681.27256480000005</v>
      </c>
      <c r="CJ31" s="815">
        <v>689.29681297999991</v>
      </c>
      <c r="CK31" s="815">
        <v>668.30457297999988</v>
      </c>
      <c r="CL31" s="815">
        <v>668.41397458000006</v>
      </c>
      <c r="CM31" s="815">
        <v>681.5656199099999</v>
      </c>
      <c r="CN31" s="815">
        <v>696.90350420000004</v>
      </c>
      <c r="CO31" s="815">
        <v>737.74179296999989</v>
      </c>
      <c r="CP31" s="815">
        <v>791.91491760999997</v>
      </c>
      <c r="CQ31" s="815">
        <v>806.95521597000004</v>
      </c>
      <c r="CR31" s="815">
        <v>823.83446077000008</v>
      </c>
      <c r="CS31" s="815">
        <v>847.01616554999998</v>
      </c>
      <c r="CT31" s="815">
        <v>870.45602943999995</v>
      </c>
      <c r="CU31" s="815">
        <v>917.35028901999999</v>
      </c>
      <c r="CV31" s="815">
        <v>956.05765241999995</v>
      </c>
      <c r="CW31" s="815">
        <v>1017.37114936</v>
      </c>
      <c r="CX31" s="815">
        <v>1057.01394095</v>
      </c>
      <c r="CY31" s="815">
        <v>1108.7236668</v>
      </c>
      <c r="CZ31" s="815">
        <v>1146.33472542</v>
      </c>
      <c r="DA31" s="815">
        <v>1195.1316801400001</v>
      </c>
      <c r="DB31" s="815">
        <v>1262.51678855</v>
      </c>
      <c r="DC31" s="815">
        <v>1323.7164956399999</v>
      </c>
      <c r="DD31" s="815">
        <v>1382.0720508700001</v>
      </c>
      <c r="DE31" s="815">
        <v>1482.6818957200001</v>
      </c>
      <c r="DF31" s="815">
        <v>1506.29295331</v>
      </c>
      <c r="DG31" s="815">
        <v>1555.2585764099999</v>
      </c>
      <c r="DH31" s="815">
        <v>1598.0928808599999</v>
      </c>
      <c r="DI31" s="815">
        <v>1666.77661885</v>
      </c>
      <c r="DJ31" s="815">
        <v>1720.7115685700001</v>
      </c>
      <c r="DK31" s="815">
        <v>1781.6961222299999</v>
      </c>
      <c r="DL31" s="815">
        <v>1812.3609288800001</v>
      </c>
      <c r="DM31" s="815">
        <v>1881.4084877600001</v>
      </c>
      <c r="DN31" s="815">
        <v>1974.59517626</v>
      </c>
      <c r="DO31" s="815">
        <v>2029.53524752</v>
      </c>
      <c r="DP31" s="815">
        <v>2075.8685030299998</v>
      </c>
      <c r="DQ31" s="815">
        <v>2155.8144383700001</v>
      </c>
      <c r="DR31" s="815">
        <v>2188.1992616799998</v>
      </c>
      <c r="DS31" s="815">
        <v>2232.7743186799999</v>
      </c>
      <c r="DT31" s="815">
        <v>2287.6928814600001</v>
      </c>
      <c r="DU31" s="815">
        <v>2376.7047663399999</v>
      </c>
      <c r="DV31" s="815">
        <v>2450.4101804900001</v>
      </c>
      <c r="DW31" s="815">
        <v>2522.3750501099998</v>
      </c>
      <c r="DX31" s="815">
        <v>2557.5612022800001</v>
      </c>
      <c r="DY31" s="815">
        <v>2646.1917606400002</v>
      </c>
      <c r="DZ31" s="815">
        <v>2720.6554996599998</v>
      </c>
      <c r="EA31" s="815">
        <v>2780.6480710999999</v>
      </c>
      <c r="EB31" s="815">
        <v>2855.09244102</v>
      </c>
      <c r="EC31" s="815">
        <v>2929.0039273799998</v>
      </c>
      <c r="ED31" s="815">
        <v>2942.0653151800002</v>
      </c>
      <c r="EE31" s="815">
        <v>3006.62184385</v>
      </c>
      <c r="EF31" s="815">
        <v>3044.1138228</v>
      </c>
      <c r="EG31" s="815">
        <v>3123.0455113200001</v>
      </c>
      <c r="EH31" s="815">
        <v>3186.1959338199999</v>
      </c>
      <c r="EI31" s="815">
        <v>3214.8060764000002</v>
      </c>
      <c r="EJ31" s="815">
        <v>3296.4255452699999</v>
      </c>
      <c r="EK31" s="815">
        <v>3377.2642946999999</v>
      </c>
      <c r="EL31" s="815">
        <v>3472.0536683999999</v>
      </c>
      <c r="EM31" s="815">
        <v>3553.6513837900002</v>
      </c>
      <c r="EN31" s="815">
        <v>3608.1474149999999</v>
      </c>
      <c r="EO31" s="815">
        <v>3693.2010805199998</v>
      </c>
      <c r="EP31" s="815">
        <v>3710.8899404399999</v>
      </c>
      <c r="EQ31" s="815">
        <v>3744.7826493699999</v>
      </c>
      <c r="ER31" s="815">
        <v>3783.6217397099999</v>
      </c>
      <c r="ES31" s="815">
        <v>3834.0704123</v>
      </c>
      <c r="ET31" s="815">
        <v>3878.0307757400001</v>
      </c>
      <c r="EU31" s="815">
        <v>3901.4716354399998</v>
      </c>
      <c r="EV31" s="815">
        <v>3958.8098965300001</v>
      </c>
      <c r="EW31" s="815">
        <v>4026.4875643</v>
      </c>
      <c r="EX31" s="815">
        <v>4118.5741740399999</v>
      </c>
      <c r="EY31" s="815">
        <v>4189.9327256799997</v>
      </c>
      <c r="EZ31" s="815">
        <v>4231.2025026900001</v>
      </c>
      <c r="FA31" s="815">
        <v>4306.7043851400003</v>
      </c>
      <c r="FB31" s="815">
        <v>4303.6226763599998</v>
      </c>
      <c r="FC31" s="815">
        <v>4358.6371064200002</v>
      </c>
      <c r="FD31" s="815">
        <v>4349.0109558100003</v>
      </c>
      <c r="FE31" s="815">
        <v>4447.9793997799998</v>
      </c>
      <c r="FF31" s="815">
        <v>4508.8015695900003</v>
      </c>
      <c r="FG31" s="815">
        <v>4557.3429553200003</v>
      </c>
      <c r="FH31" s="1720" t="s">
        <v>1152</v>
      </c>
    </row>
    <row r="32" spans="1:164" ht="21">
      <c r="A32" s="1721" t="s">
        <v>2006</v>
      </c>
      <c r="B32" s="783">
        <v>11.665991419999999</v>
      </c>
      <c r="C32" s="783">
        <v>11.523793819999998</v>
      </c>
      <c r="D32" s="783">
        <v>10.10378326</v>
      </c>
      <c r="E32" s="783">
        <v>8.993742619999999</v>
      </c>
      <c r="F32" s="783">
        <v>8.3227118700000009</v>
      </c>
      <c r="G32" s="783">
        <v>6.3980030399999999</v>
      </c>
      <c r="H32" s="783">
        <v>5.1318788200000007</v>
      </c>
      <c r="I32" s="783">
        <v>5.4508166199999994</v>
      </c>
      <c r="J32" s="783">
        <v>5.4632299099999999</v>
      </c>
      <c r="K32" s="783">
        <v>5.5337916899999993</v>
      </c>
      <c r="L32" s="783">
        <v>4.8565150399999997</v>
      </c>
      <c r="M32" s="784">
        <v>5.0479488899999998</v>
      </c>
      <c r="N32" s="784">
        <v>5.8006153299999994</v>
      </c>
      <c r="O32" s="784">
        <v>7.3033445399999994</v>
      </c>
      <c r="P32" s="784">
        <v>7.4907250200000002</v>
      </c>
      <c r="Q32" s="784">
        <v>5.8173987399999998</v>
      </c>
      <c r="R32" s="784">
        <v>5.6184352899999999</v>
      </c>
      <c r="S32" s="784">
        <v>5.4648539100000004</v>
      </c>
      <c r="T32" s="784">
        <v>5.19164666</v>
      </c>
      <c r="U32" s="784">
        <v>5.2359622799999999</v>
      </c>
      <c r="V32" s="784">
        <v>5.8143270200000003</v>
      </c>
      <c r="W32" s="784">
        <v>1.75407695</v>
      </c>
      <c r="X32" s="784">
        <v>1.8773441600000003</v>
      </c>
      <c r="Y32" s="784">
        <v>2.3225509099999999</v>
      </c>
      <c r="Z32" s="784">
        <v>2.92190598</v>
      </c>
      <c r="AA32" s="784">
        <v>2.3887699600000003</v>
      </c>
      <c r="AB32" s="784">
        <v>1.6473105100000001</v>
      </c>
      <c r="AC32" s="784">
        <v>1.6185725099999999</v>
      </c>
      <c r="AD32" s="784">
        <v>1.6293175800000002</v>
      </c>
      <c r="AE32" s="784">
        <v>1.5761123100000001</v>
      </c>
      <c r="AF32" s="784">
        <v>1.4593500600000002</v>
      </c>
      <c r="AG32" s="784">
        <v>2.3021889400000002</v>
      </c>
      <c r="AH32" s="784">
        <v>2.1414991099999998</v>
      </c>
      <c r="AI32" s="784">
        <v>2.1175625399999998</v>
      </c>
      <c r="AJ32" s="784">
        <v>1.9722381000000002</v>
      </c>
      <c r="AK32" s="784">
        <v>2.6402125700000001</v>
      </c>
      <c r="AL32" s="784">
        <v>2.4963374500000004</v>
      </c>
      <c r="AM32" s="784">
        <v>2.4401623900000002</v>
      </c>
      <c r="AN32" s="784">
        <v>2.2345190499999998</v>
      </c>
      <c r="AO32" s="784">
        <v>2.2265072400000001</v>
      </c>
      <c r="AP32" s="784">
        <v>1.9796334400000002</v>
      </c>
      <c r="AQ32" s="784">
        <v>1.95754315</v>
      </c>
      <c r="AR32" s="784">
        <v>1.9282084099999999</v>
      </c>
      <c r="AS32" s="784">
        <v>2.0729705599999999</v>
      </c>
      <c r="AT32" s="784">
        <v>1.9159617300000003</v>
      </c>
      <c r="AU32" s="784">
        <v>2.2200388900000001</v>
      </c>
      <c r="AV32" s="784">
        <v>2.6808842199999998</v>
      </c>
      <c r="AW32" s="784">
        <v>2.24852776</v>
      </c>
      <c r="AX32" s="784">
        <v>2.4794825300000003</v>
      </c>
      <c r="AY32" s="784">
        <v>2.3579425800000005</v>
      </c>
      <c r="AZ32" s="784">
        <v>2.1688250199999999</v>
      </c>
      <c r="BA32" s="784">
        <v>2.08557462</v>
      </c>
      <c r="BB32" s="784">
        <v>2.0443868699999999</v>
      </c>
      <c r="BC32" s="784">
        <v>2.0016392999999999</v>
      </c>
      <c r="BD32" s="784">
        <v>2.1388442200000002</v>
      </c>
      <c r="BE32" s="784">
        <v>2.1018385400000001</v>
      </c>
      <c r="BF32" s="784">
        <v>2.0534932499999998</v>
      </c>
      <c r="BG32" s="785">
        <v>2.25105997</v>
      </c>
      <c r="BH32" s="821">
        <v>2.2048226900000003</v>
      </c>
      <c r="BI32" s="816">
        <v>2.4143416599999998</v>
      </c>
      <c r="BJ32" s="816">
        <v>2.3759964099999999</v>
      </c>
      <c r="BK32" s="816">
        <v>2.4378097899999998</v>
      </c>
      <c r="BL32" s="816">
        <v>2.4133876499999998</v>
      </c>
      <c r="BM32" s="816">
        <v>2.5785538199999998</v>
      </c>
      <c r="BN32" s="816">
        <v>2.5744293899999997</v>
      </c>
      <c r="BO32" s="816">
        <v>4.7268699999999999</v>
      </c>
      <c r="BP32" s="816">
        <v>4.4050357499999997</v>
      </c>
      <c r="BQ32" s="816">
        <v>4.2290871599999997</v>
      </c>
      <c r="BR32" s="816">
        <v>3.9918088599999999</v>
      </c>
      <c r="BS32" s="816">
        <v>3.5675663200000001</v>
      </c>
      <c r="BT32" s="816">
        <v>3.3283696100000002</v>
      </c>
      <c r="BU32" s="816">
        <v>3.1805052600000003</v>
      </c>
      <c r="BV32" s="816">
        <v>2.9701421799999999</v>
      </c>
      <c r="BW32" s="816">
        <v>3.1883401999999998</v>
      </c>
      <c r="BX32" s="816">
        <v>3.1790216099999999</v>
      </c>
      <c r="BY32" s="816">
        <v>3.09324596</v>
      </c>
      <c r="BZ32" s="816">
        <v>3.18956164</v>
      </c>
      <c r="CA32" s="816">
        <v>3.1477512399999998</v>
      </c>
      <c r="CB32" s="816">
        <v>3.1242413499999997</v>
      </c>
      <c r="CC32" s="816">
        <v>3.2774207</v>
      </c>
      <c r="CD32" s="816">
        <v>3.2221700900000001</v>
      </c>
      <c r="CE32" s="816">
        <v>3.2662529200000003</v>
      </c>
      <c r="CF32" s="816">
        <v>3.3004244199999997</v>
      </c>
      <c r="CG32" s="816">
        <v>3.2625066999999999</v>
      </c>
      <c r="CH32" s="816">
        <v>3.3999820599999997</v>
      </c>
      <c r="CI32" s="816">
        <v>3.4847108799999997</v>
      </c>
      <c r="CJ32" s="816">
        <v>2.5279894999999999</v>
      </c>
      <c r="CK32" s="816">
        <v>2.39337051</v>
      </c>
      <c r="CL32" s="816">
        <v>2.2453814599999999</v>
      </c>
      <c r="CM32" s="816">
        <v>2.1464873999999998</v>
      </c>
      <c r="CN32" s="816">
        <v>2.2143180900000003</v>
      </c>
      <c r="CO32" s="816">
        <v>2.4281120299999999</v>
      </c>
      <c r="CP32" s="816">
        <v>2.4148618000000002</v>
      </c>
      <c r="CQ32" s="816">
        <v>2.4827142200000001</v>
      </c>
      <c r="CR32" s="816">
        <v>2.75136074</v>
      </c>
      <c r="CS32" s="816">
        <v>2.9439745299999998</v>
      </c>
      <c r="CT32" s="816">
        <v>3.1482708100000001</v>
      </c>
      <c r="CU32" s="816">
        <v>3.3866623300000001</v>
      </c>
      <c r="CV32" s="816">
        <v>3.3809535500000001</v>
      </c>
      <c r="CW32" s="816">
        <v>3.8016113499999999</v>
      </c>
      <c r="CX32" s="816">
        <v>4.0656111199999998</v>
      </c>
      <c r="CY32" s="816">
        <v>4.5109838299999998</v>
      </c>
      <c r="CZ32" s="816">
        <v>4.4166667300000002</v>
      </c>
      <c r="DA32" s="816">
        <v>4.6010758000000003</v>
      </c>
      <c r="DB32" s="816">
        <v>5.2130893499999997</v>
      </c>
      <c r="DC32" s="816">
        <v>5.1594443800000001</v>
      </c>
      <c r="DD32" s="816">
        <v>4.9639494900000001</v>
      </c>
      <c r="DE32" s="816">
        <v>5.0732786000000001</v>
      </c>
      <c r="DF32" s="816">
        <v>5.0556020899999998</v>
      </c>
      <c r="DG32" s="816">
        <v>5.1197994099999997</v>
      </c>
      <c r="DH32" s="816">
        <v>5.2617754699999999</v>
      </c>
      <c r="DI32" s="816">
        <v>5.9950323799999996</v>
      </c>
      <c r="DJ32" s="816">
        <v>5.7913128599999997</v>
      </c>
      <c r="DK32" s="816">
        <v>5.7365052099999998</v>
      </c>
      <c r="DL32" s="816">
        <v>5.8475957200000002</v>
      </c>
      <c r="DM32" s="816">
        <v>5.3874728599999999</v>
      </c>
      <c r="DN32" s="816">
        <v>5.8565148699999998</v>
      </c>
      <c r="DO32" s="816">
        <v>5.8656411999999998</v>
      </c>
      <c r="DP32" s="816">
        <v>5.6749050499999996</v>
      </c>
      <c r="DQ32" s="816">
        <v>6.0105865300000003</v>
      </c>
      <c r="DR32" s="816">
        <v>6.2242347999999996</v>
      </c>
      <c r="DS32" s="816">
        <v>6.2788415200000003</v>
      </c>
      <c r="DT32" s="816">
        <v>6.7875966600000002</v>
      </c>
      <c r="DU32" s="816">
        <v>7.1554161299999999</v>
      </c>
      <c r="DV32" s="816">
        <v>7.4383986999999996</v>
      </c>
      <c r="DW32" s="816">
        <v>7.6867107900000002</v>
      </c>
      <c r="DX32" s="816">
        <v>7.8593162699999999</v>
      </c>
      <c r="DY32" s="816">
        <v>8.2861307199999992</v>
      </c>
      <c r="DZ32" s="816">
        <v>8.3383518599999995</v>
      </c>
      <c r="EA32" s="816">
        <v>9.0095761700000008</v>
      </c>
      <c r="EB32" s="816">
        <v>8.8228928799999995</v>
      </c>
      <c r="EC32" s="816">
        <v>9.1729147300000005</v>
      </c>
      <c r="ED32" s="816">
        <v>8.6974387600000007</v>
      </c>
      <c r="EE32" s="816">
        <v>9.19463352</v>
      </c>
      <c r="EF32" s="816">
        <v>8.9444902200000005</v>
      </c>
      <c r="EG32" s="816">
        <v>8.7904564599999997</v>
      </c>
      <c r="EH32" s="816">
        <v>9.0866515700000008</v>
      </c>
      <c r="EI32" s="816">
        <v>9.56861256</v>
      </c>
      <c r="EJ32" s="816">
        <v>9.8376486799999991</v>
      </c>
      <c r="EK32" s="816">
        <v>9.5896497499999995</v>
      </c>
      <c r="EL32" s="816">
        <v>9.5742757699999999</v>
      </c>
      <c r="EM32" s="816">
        <v>9.8893589399999993</v>
      </c>
      <c r="EN32" s="816">
        <v>10.224187069999999</v>
      </c>
      <c r="EO32" s="816">
        <v>11.441945329999999</v>
      </c>
      <c r="EP32" s="816">
        <v>11.53619379</v>
      </c>
      <c r="EQ32" s="816">
        <v>11.985076039999999</v>
      </c>
      <c r="ER32" s="816">
        <v>12.78177385</v>
      </c>
      <c r="ES32" s="816">
        <v>13.248844009999999</v>
      </c>
      <c r="ET32" s="816">
        <v>14.77975211</v>
      </c>
      <c r="EU32" s="816">
        <v>15.339100370000001</v>
      </c>
      <c r="EV32" s="816">
        <v>15.048442420000001</v>
      </c>
      <c r="EW32" s="816">
        <v>15.247108089999999</v>
      </c>
      <c r="EX32" s="816">
        <v>15.27289247</v>
      </c>
      <c r="EY32" s="816">
        <v>15.21499766</v>
      </c>
      <c r="EZ32" s="816">
        <v>15.15969922</v>
      </c>
      <c r="FA32" s="816">
        <v>15.272182170000001</v>
      </c>
      <c r="FB32" s="816">
        <v>15.087291499999999</v>
      </c>
      <c r="FC32" s="816">
        <v>14.984874019999999</v>
      </c>
      <c r="FD32" s="816">
        <v>15.56272536</v>
      </c>
      <c r="FE32" s="816">
        <v>15.831004950000001</v>
      </c>
      <c r="FF32" s="816">
        <v>15.439950420000001</v>
      </c>
      <c r="FG32" s="816">
        <v>15.309384100000001</v>
      </c>
      <c r="FH32" s="1726" t="s">
        <v>4074</v>
      </c>
    </row>
    <row r="33" spans="1:164" ht="21">
      <c r="A33" s="1722" t="s">
        <v>185</v>
      </c>
      <c r="B33" s="780">
        <v>206.01277819000003</v>
      </c>
      <c r="C33" s="780">
        <v>206.24183859999997</v>
      </c>
      <c r="D33" s="780">
        <v>207.99468272000001</v>
      </c>
      <c r="E33" s="780">
        <v>209.44924777</v>
      </c>
      <c r="F33" s="780">
        <v>214.97742352</v>
      </c>
      <c r="G33" s="780">
        <v>215.15407178000001</v>
      </c>
      <c r="H33" s="780">
        <v>231.21717366999997</v>
      </c>
      <c r="I33" s="780">
        <v>235.85972078999998</v>
      </c>
      <c r="J33" s="780">
        <v>240.92595475000002</v>
      </c>
      <c r="K33" s="780">
        <v>248.18221870000002</v>
      </c>
      <c r="L33" s="780">
        <v>251.56011939999996</v>
      </c>
      <c r="M33" s="781">
        <v>265.16506777000001</v>
      </c>
      <c r="N33" s="781">
        <v>267.49959387000001</v>
      </c>
      <c r="O33" s="781">
        <v>272.72542234999997</v>
      </c>
      <c r="P33" s="781">
        <v>281.74299936999995</v>
      </c>
      <c r="Q33" s="781">
        <v>293.76095478999997</v>
      </c>
      <c r="R33" s="781">
        <v>302.88108328000004</v>
      </c>
      <c r="S33" s="781">
        <v>311.64141061000004</v>
      </c>
      <c r="T33" s="781">
        <v>323.36571130999999</v>
      </c>
      <c r="U33" s="781">
        <v>338.85350122</v>
      </c>
      <c r="V33" s="781">
        <v>349.28093107999996</v>
      </c>
      <c r="W33" s="781">
        <v>359.42962325000002</v>
      </c>
      <c r="X33" s="781">
        <v>371.02160003</v>
      </c>
      <c r="Y33" s="781">
        <v>377.99344522000001</v>
      </c>
      <c r="Z33" s="781">
        <v>372.90574200000003</v>
      </c>
      <c r="AA33" s="781">
        <v>372.94675346999998</v>
      </c>
      <c r="AB33" s="781">
        <v>373.62167606000003</v>
      </c>
      <c r="AC33" s="781">
        <v>375.66253075000003</v>
      </c>
      <c r="AD33" s="781">
        <v>384.88759128999993</v>
      </c>
      <c r="AE33" s="781">
        <v>382.85943972999996</v>
      </c>
      <c r="AF33" s="781">
        <v>386.29111969000002</v>
      </c>
      <c r="AG33" s="781">
        <v>400.46862042999999</v>
      </c>
      <c r="AH33" s="781">
        <v>405.79542025000001</v>
      </c>
      <c r="AI33" s="781">
        <v>416.49926476999997</v>
      </c>
      <c r="AJ33" s="781">
        <v>428.80805249999997</v>
      </c>
      <c r="AK33" s="781">
        <v>434.80194277000004</v>
      </c>
      <c r="AL33" s="781">
        <v>366.31668212999995</v>
      </c>
      <c r="AM33" s="781">
        <v>356.40318117000004</v>
      </c>
      <c r="AN33" s="781">
        <v>350.93198239999992</v>
      </c>
      <c r="AO33" s="781">
        <v>345.49040946999997</v>
      </c>
      <c r="AP33" s="781">
        <v>335.97606766999996</v>
      </c>
      <c r="AQ33" s="781">
        <v>339.83453107999998</v>
      </c>
      <c r="AR33" s="781">
        <v>289.36437895</v>
      </c>
      <c r="AS33" s="781">
        <v>299.69996061000001</v>
      </c>
      <c r="AT33" s="781">
        <v>302.17158533000003</v>
      </c>
      <c r="AU33" s="781">
        <v>295.37841709999998</v>
      </c>
      <c r="AV33" s="781">
        <v>300.59230580000008</v>
      </c>
      <c r="AW33" s="781">
        <v>307.70435321000002</v>
      </c>
      <c r="AX33" s="781">
        <v>304.00834398999996</v>
      </c>
      <c r="AY33" s="781">
        <v>297.12416555000004</v>
      </c>
      <c r="AZ33" s="781">
        <v>287.48643079999999</v>
      </c>
      <c r="BA33" s="781">
        <v>279.94497047999999</v>
      </c>
      <c r="BB33" s="781">
        <v>275.65714543999997</v>
      </c>
      <c r="BC33" s="781">
        <v>272.97474375000002</v>
      </c>
      <c r="BD33" s="781">
        <v>263.70685930999997</v>
      </c>
      <c r="BE33" s="781">
        <v>248.39097108999999</v>
      </c>
      <c r="BF33" s="781">
        <v>250.05002745000002</v>
      </c>
      <c r="BG33" s="782">
        <v>256.3154164</v>
      </c>
      <c r="BH33" s="820">
        <v>262.12926420999997</v>
      </c>
      <c r="BI33" s="815">
        <v>261.34056944000002</v>
      </c>
      <c r="BJ33" s="815">
        <v>258.18413527000001</v>
      </c>
      <c r="BK33" s="815">
        <v>258.27071828999999</v>
      </c>
      <c r="BL33" s="815">
        <v>258.90817895999999</v>
      </c>
      <c r="BM33" s="815">
        <v>268.46038837999998</v>
      </c>
      <c r="BN33" s="815">
        <v>271.84689605</v>
      </c>
      <c r="BO33" s="815">
        <v>276.55666523999997</v>
      </c>
      <c r="BP33" s="815">
        <v>279.35927966000003</v>
      </c>
      <c r="BQ33" s="815">
        <v>291.78393928999998</v>
      </c>
      <c r="BR33" s="815">
        <v>297.71001393999995</v>
      </c>
      <c r="BS33" s="815">
        <v>308.02306279000004</v>
      </c>
      <c r="BT33" s="815">
        <v>312.19513056</v>
      </c>
      <c r="BU33" s="815">
        <v>332.37794060000004</v>
      </c>
      <c r="BV33" s="815">
        <v>332.47758635000002</v>
      </c>
      <c r="BW33" s="815">
        <v>335.36860554000003</v>
      </c>
      <c r="BX33" s="815">
        <v>336.54563528999995</v>
      </c>
      <c r="BY33" s="815">
        <v>345.72233060999997</v>
      </c>
      <c r="BZ33" s="815">
        <v>353.80590186000001</v>
      </c>
      <c r="CA33" s="815">
        <v>361.63556456999999</v>
      </c>
      <c r="CB33" s="815">
        <v>374.49174133999998</v>
      </c>
      <c r="CC33" s="815">
        <v>393.86556942000004</v>
      </c>
      <c r="CD33" s="815">
        <v>428.09673523999999</v>
      </c>
      <c r="CE33" s="815">
        <v>457.72493866000002</v>
      </c>
      <c r="CF33" s="815">
        <v>483.45621274000001</v>
      </c>
      <c r="CG33" s="815">
        <v>516.13452961999997</v>
      </c>
      <c r="CH33" s="815">
        <v>534.04344287000004</v>
      </c>
      <c r="CI33" s="815">
        <v>568.71692010000004</v>
      </c>
      <c r="CJ33" s="815">
        <v>590.64108635999992</v>
      </c>
      <c r="CK33" s="815">
        <v>576.61205611999992</v>
      </c>
      <c r="CL33" s="815">
        <v>578.65627194000001</v>
      </c>
      <c r="CM33" s="815">
        <v>596.63866455999994</v>
      </c>
      <c r="CN33" s="815">
        <v>615.81695192000007</v>
      </c>
      <c r="CO33" s="815">
        <v>653.61888014999988</v>
      </c>
      <c r="CP33" s="815">
        <v>706.31736523999996</v>
      </c>
      <c r="CQ33" s="815">
        <v>725.05000373000007</v>
      </c>
      <c r="CR33" s="815">
        <v>746.02773898000009</v>
      </c>
      <c r="CS33" s="815">
        <v>774.32475574</v>
      </c>
      <c r="CT33" s="815">
        <v>803.47819879999997</v>
      </c>
      <c r="CU33" s="815">
        <v>845.86415020000004</v>
      </c>
      <c r="CV33" s="815">
        <v>886.44422012999996</v>
      </c>
      <c r="CW33" s="815">
        <v>948.27504234000003</v>
      </c>
      <c r="CX33" s="815">
        <v>991.11260102999995</v>
      </c>
      <c r="CY33" s="815">
        <v>1042.6331689799999</v>
      </c>
      <c r="CZ33" s="815">
        <v>1079.5643858599999</v>
      </c>
      <c r="DA33" s="815">
        <v>1123.56992285</v>
      </c>
      <c r="DB33" s="815">
        <v>1184.9027717700001</v>
      </c>
      <c r="DC33" s="815">
        <v>1246.00459239</v>
      </c>
      <c r="DD33" s="815">
        <v>1310.2361610200001</v>
      </c>
      <c r="DE33" s="815">
        <v>1409.64506142</v>
      </c>
      <c r="DF33" s="815">
        <v>1441.6069358899999</v>
      </c>
      <c r="DG33" s="815">
        <v>1489.3340302300001</v>
      </c>
      <c r="DH33" s="815">
        <v>1536.1537671200001</v>
      </c>
      <c r="DI33" s="815">
        <v>1606.2221210299999</v>
      </c>
      <c r="DJ33" s="815">
        <v>1658.79838685</v>
      </c>
      <c r="DK33" s="815">
        <v>1721.21652122</v>
      </c>
      <c r="DL33" s="815">
        <v>1752.1568994899999</v>
      </c>
      <c r="DM33" s="815">
        <v>1817.06798374</v>
      </c>
      <c r="DN33" s="815">
        <v>1903.0837067800001</v>
      </c>
      <c r="DO33" s="815">
        <v>1956.5149077999999</v>
      </c>
      <c r="DP33" s="815">
        <v>2004.9951021300001</v>
      </c>
      <c r="DQ33" s="815">
        <v>2085.5088300399998</v>
      </c>
      <c r="DR33" s="815">
        <v>2119.97613817</v>
      </c>
      <c r="DS33" s="815">
        <v>2169.7705457100001</v>
      </c>
      <c r="DT33" s="815">
        <v>2227.19230419</v>
      </c>
      <c r="DU33" s="815">
        <v>2309.3177658999998</v>
      </c>
      <c r="DV33" s="815">
        <v>2375.9532370000002</v>
      </c>
      <c r="DW33" s="815">
        <v>2450.86552183</v>
      </c>
      <c r="DX33" s="815">
        <v>2487.79507401</v>
      </c>
      <c r="DY33" s="815">
        <v>2570.10568061</v>
      </c>
      <c r="DZ33" s="815">
        <v>2638.0180185600002</v>
      </c>
      <c r="EA33" s="815">
        <v>2703.4634759099999</v>
      </c>
      <c r="EB33" s="815">
        <v>2773.9825030100001</v>
      </c>
      <c r="EC33" s="815">
        <v>2849.18865405</v>
      </c>
      <c r="ED33" s="815">
        <v>2867.1498882000001</v>
      </c>
      <c r="EE33" s="815">
        <v>2935.0168851799999</v>
      </c>
      <c r="EF33" s="815">
        <v>2976.5554516900002</v>
      </c>
      <c r="EG33" s="815">
        <v>3058.7371777200001</v>
      </c>
      <c r="EH33" s="815">
        <v>3130.7753716000002</v>
      </c>
      <c r="EI33" s="815">
        <v>3161.90314029</v>
      </c>
      <c r="EJ33" s="815">
        <v>3245.9076541999998</v>
      </c>
      <c r="EK33" s="815">
        <v>3322.1720124399999</v>
      </c>
      <c r="EL33" s="815">
        <v>3408.5696548199999</v>
      </c>
      <c r="EM33" s="815">
        <v>3493.7444567900002</v>
      </c>
      <c r="EN33" s="815">
        <v>3550.7157250800001</v>
      </c>
      <c r="EO33" s="815">
        <v>3634.2056407700002</v>
      </c>
      <c r="EP33" s="815">
        <v>3655.8405851000002</v>
      </c>
      <c r="EQ33" s="815">
        <v>3694.1324612200001</v>
      </c>
      <c r="ER33" s="815">
        <v>3734.5098877700002</v>
      </c>
      <c r="ES33" s="815">
        <v>3789.4967317000001</v>
      </c>
      <c r="ET33" s="815">
        <v>3836.2611204099999</v>
      </c>
      <c r="EU33" s="815">
        <v>3863.2240216300002</v>
      </c>
      <c r="EV33" s="815">
        <v>3923.2376868599999</v>
      </c>
      <c r="EW33" s="815">
        <v>3985.3997671900001</v>
      </c>
      <c r="EX33" s="815">
        <v>4068.9951495400001</v>
      </c>
      <c r="EY33" s="815">
        <v>4140.6181489500004</v>
      </c>
      <c r="EZ33" s="815">
        <v>4184.7742985799996</v>
      </c>
      <c r="FA33" s="815">
        <v>4261.8408114100002</v>
      </c>
      <c r="FB33" s="815">
        <v>4262.7001063400003</v>
      </c>
      <c r="FC33" s="815">
        <v>4309.9542128200001</v>
      </c>
      <c r="FD33" s="815">
        <v>4302.9019896600003</v>
      </c>
      <c r="FE33" s="815">
        <v>4403.88042468</v>
      </c>
      <c r="FF33" s="815">
        <v>4467.9149642299999</v>
      </c>
      <c r="FG33" s="815">
        <v>4518.7928272899999</v>
      </c>
      <c r="FH33" s="1722" t="s">
        <v>206</v>
      </c>
    </row>
    <row r="34" spans="1:164" ht="21">
      <c r="A34" s="1721" t="s">
        <v>2006</v>
      </c>
      <c r="B34" s="783">
        <v>10.802982139999999</v>
      </c>
      <c r="C34" s="783">
        <v>8.1329728599999989</v>
      </c>
      <c r="D34" s="783">
        <v>6.7229109999999999</v>
      </c>
      <c r="E34" s="783">
        <v>5.4661558999999995</v>
      </c>
      <c r="F34" s="783">
        <v>4.3115086300000005</v>
      </c>
      <c r="G34" s="783">
        <v>3.3148517599999998</v>
      </c>
      <c r="H34" s="783">
        <v>2.3809180100000003</v>
      </c>
      <c r="I34" s="783">
        <v>2.6333968099999998</v>
      </c>
      <c r="J34" s="783">
        <v>2.25008512</v>
      </c>
      <c r="K34" s="783">
        <v>2.1885534699999996</v>
      </c>
      <c r="L34" s="783">
        <v>1.5480120799999999</v>
      </c>
      <c r="M34" s="784">
        <v>1.5633621099999999</v>
      </c>
      <c r="N34" s="784">
        <v>2.4531099300000001</v>
      </c>
      <c r="O34" s="784">
        <v>3.8184975099999998</v>
      </c>
      <c r="P34" s="784">
        <v>4.1245636299999999</v>
      </c>
      <c r="Q34" s="784">
        <v>2.0196780400000001</v>
      </c>
      <c r="R34" s="784">
        <v>1.76982789</v>
      </c>
      <c r="S34" s="784">
        <v>1.5285124799999998</v>
      </c>
      <c r="T34" s="784">
        <v>1.51632013</v>
      </c>
      <c r="U34" s="784">
        <v>1.4441512299999999</v>
      </c>
      <c r="V34" s="784">
        <v>1.58071154</v>
      </c>
      <c r="W34" s="784">
        <v>1.20626265</v>
      </c>
      <c r="X34" s="784">
        <v>1.3224486200000001</v>
      </c>
      <c r="Y34" s="784">
        <v>1.81027596</v>
      </c>
      <c r="Z34" s="784">
        <v>2.42611263</v>
      </c>
      <c r="AA34" s="784">
        <v>1.7477252000000001</v>
      </c>
      <c r="AB34" s="784">
        <v>1.0307506099999999</v>
      </c>
      <c r="AC34" s="784">
        <v>1.01922687</v>
      </c>
      <c r="AD34" s="784">
        <v>0.94218992000000013</v>
      </c>
      <c r="AE34" s="784">
        <v>0.91047699000000004</v>
      </c>
      <c r="AF34" s="784">
        <v>0.77989602000000002</v>
      </c>
      <c r="AG34" s="784">
        <v>1.6671743400000001</v>
      </c>
      <c r="AH34" s="784">
        <v>1.52911675</v>
      </c>
      <c r="AI34" s="784">
        <v>1.52438506</v>
      </c>
      <c r="AJ34" s="784">
        <v>1.4057442200000001</v>
      </c>
      <c r="AK34" s="784">
        <v>1.63034495</v>
      </c>
      <c r="AL34" s="784">
        <v>1.5263793300000001</v>
      </c>
      <c r="AM34" s="784">
        <v>1.4705016100000001</v>
      </c>
      <c r="AN34" s="784">
        <v>1.29562373</v>
      </c>
      <c r="AO34" s="784">
        <v>1.3523485900000001</v>
      </c>
      <c r="AP34" s="784">
        <v>1.1217394300000001</v>
      </c>
      <c r="AQ34" s="784">
        <v>1.0856645899999999</v>
      </c>
      <c r="AR34" s="784">
        <v>1.04517138</v>
      </c>
      <c r="AS34" s="784">
        <v>1.1791342600000001</v>
      </c>
      <c r="AT34" s="784">
        <v>1.0431134800000001</v>
      </c>
      <c r="AU34" s="784">
        <v>1.35942407</v>
      </c>
      <c r="AV34" s="784">
        <v>1.32063284</v>
      </c>
      <c r="AW34" s="784">
        <v>0.85414243000000001</v>
      </c>
      <c r="AX34" s="784">
        <v>0.97209926000000002</v>
      </c>
      <c r="AY34" s="784">
        <v>0.98929397000000008</v>
      </c>
      <c r="AZ34" s="784">
        <v>0.86773648000000003</v>
      </c>
      <c r="BA34" s="784">
        <v>0.83290308999999996</v>
      </c>
      <c r="BB34" s="784">
        <v>0.94038392999999998</v>
      </c>
      <c r="BC34" s="784">
        <v>0.89924897000000004</v>
      </c>
      <c r="BD34" s="784">
        <v>1.0457569600000001</v>
      </c>
      <c r="BE34" s="784">
        <v>1.0236554899999999</v>
      </c>
      <c r="BF34" s="784">
        <v>0.9843602600000001</v>
      </c>
      <c r="BG34" s="785">
        <v>1.19594008</v>
      </c>
      <c r="BH34" s="821">
        <v>1.1582653600000001</v>
      </c>
      <c r="BI34" s="816">
        <v>1.3762848299999999</v>
      </c>
      <c r="BJ34" s="816">
        <v>1.34139966</v>
      </c>
      <c r="BK34" s="816">
        <v>1.4116536599999998</v>
      </c>
      <c r="BL34" s="816">
        <v>1.39579187</v>
      </c>
      <c r="BM34" s="816">
        <v>1.5600829199999997</v>
      </c>
      <c r="BN34" s="816">
        <v>1.5633534899999999</v>
      </c>
      <c r="BO34" s="816">
        <v>3.7217441</v>
      </c>
      <c r="BP34" s="816">
        <v>3.4033149499999999</v>
      </c>
      <c r="BQ34" s="816">
        <v>3.2358612600000001</v>
      </c>
      <c r="BR34" s="816">
        <v>3.0045329599999997</v>
      </c>
      <c r="BS34" s="816">
        <v>2.5862404200000002</v>
      </c>
      <c r="BT34" s="816">
        <v>2.3529937100000002</v>
      </c>
      <c r="BU34" s="816">
        <v>2.2110793600000003</v>
      </c>
      <c r="BV34" s="816">
        <v>2.0041162799999999</v>
      </c>
      <c r="BW34" s="816">
        <v>2.2257142999999999</v>
      </c>
      <c r="BX34" s="816">
        <v>2.2191353999999999</v>
      </c>
      <c r="BY34" s="816">
        <v>2.13675975</v>
      </c>
      <c r="BZ34" s="816">
        <v>2.2556950100000002</v>
      </c>
      <c r="CA34" s="816">
        <v>2.19727769</v>
      </c>
      <c r="CB34" s="816">
        <v>2.1823825499999998</v>
      </c>
      <c r="CC34" s="816">
        <v>2.3449348699999999</v>
      </c>
      <c r="CD34" s="816">
        <v>2.3011172800000002</v>
      </c>
      <c r="CE34" s="816">
        <v>2.3572990100000002</v>
      </c>
      <c r="CF34" s="816">
        <v>2.4036836699999999</v>
      </c>
      <c r="CG34" s="816">
        <v>2.3773618999999999</v>
      </c>
      <c r="CH34" s="816">
        <v>2.5277913399999998</v>
      </c>
      <c r="CI34" s="816">
        <v>2.6247733599999998</v>
      </c>
      <c r="CJ34" s="816">
        <v>1.6804426699999999</v>
      </c>
      <c r="CK34" s="816">
        <v>1.5591166400000001</v>
      </c>
      <c r="CL34" s="816">
        <v>1.4239023200000001</v>
      </c>
      <c r="CM34" s="816">
        <v>1.33770067</v>
      </c>
      <c r="CN34" s="816">
        <v>1.4190204300000002</v>
      </c>
      <c r="CO34" s="816">
        <v>1.6318296399999999</v>
      </c>
      <c r="CP34" s="816">
        <v>1.62972669</v>
      </c>
      <c r="CQ34" s="816">
        <v>1.71254986</v>
      </c>
      <c r="CR34" s="816">
        <v>1.9964790400000001</v>
      </c>
      <c r="CS34" s="816">
        <v>2.1999899799999998</v>
      </c>
      <c r="CT34" s="816">
        <v>2.4197597700000002</v>
      </c>
      <c r="CU34" s="816">
        <v>2.6733546100000001</v>
      </c>
      <c r="CV34" s="816">
        <v>2.6835476200000001</v>
      </c>
      <c r="CW34" s="816">
        <v>3.1203832999999999</v>
      </c>
      <c r="CX34" s="816">
        <v>3.4001759800000002</v>
      </c>
      <c r="CY34" s="816">
        <v>3.8618468199999998</v>
      </c>
      <c r="CZ34" s="816">
        <v>3.7838712600000002</v>
      </c>
      <c r="DA34" s="816">
        <v>4.0558672900000001</v>
      </c>
      <c r="DB34" s="816">
        <v>4.6544826099999996</v>
      </c>
      <c r="DC34" s="816">
        <v>4.60083764</v>
      </c>
      <c r="DD34" s="816">
        <v>4.9639494900000001</v>
      </c>
      <c r="DE34" s="816">
        <v>5.0732786000000001</v>
      </c>
      <c r="DF34" s="816">
        <v>5.0556020899999998</v>
      </c>
      <c r="DG34" s="816">
        <v>5.1197994099999997</v>
      </c>
      <c r="DH34" s="816">
        <v>5.2617754699999999</v>
      </c>
      <c r="DI34" s="816">
        <v>5.9950323799999996</v>
      </c>
      <c r="DJ34" s="816">
        <v>5.7913128599999997</v>
      </c>
      <c r="DK34" s="816">
        <v>5.7365052099999998</v>
      </c>
      <c r="DL34" s="816">
        <v>5.8475957200000002</v>
      </c>
      <c r="DM34" s="816">
        <v>5.3874728599999999</v>
      </c>
      <c r="DN34" s="816">
        <v>5.8565148699999998</v>
      </c>
      <c r="DO34" s="816">
        <v>5.8656411999999998</v>
      </c>
      <c r="DP34" s="816">
        <v>5.6749050499999996</v>
      </c>
      <c r="DQ34" s="816">
        <v>6.0105865300000003</v>
      </c>
      <c r="DR34" s="816">
        <v>6.2242347999999996</v>
      </c>
      <c r="DS34" s="816">
        <v>6.2788415200000003</v>
      </c>
      <c r="DT34" s="816">
        <v>6.7875966600000002</v>
      </c>
      <c r="DU34" s="816">
        <v>6.7984161299999997</v>
      </c>
      <c r="DV34" s="816">
        <v>7.1101983500000001</v>
      </c>
      <c r="DW34" s="816">
        <v>7.3877478400000003</v>
      </c>
      <c r="DX34" s="816">
        <v>7.5905283299999997</v>
      </c>
      <c r="DY34" s="816">
        <v>8.0474824399999996</v>
      </c>
      <c r="DZ34" s="816">
        <v>8.1301852599999993</v>
      </c>
      <c r="EA34" s="816">
        <v>8.8162267500000002</v>
      </c>
      <c r="EB34" s="816">
        <v>8.6528624199999999</v>
      </c>
      <c r="EC34" s="816">
        <v>9.0179141200000004</v>
      </c>
      <c r="ED34" s="816">
        <v>8.5574864799999997</v>
      </c>
      <c r="EE34" s="816">
        <v>9.0698048100000008</v>
      </c>
      <c r="EF34" s="816">
        <v>8.8455450500000001</v>
      </c>
      <c r="EG34" s="816">
        <v>8.7069883099999998</v>
      </c>
      <c r="EH34" s="816">
        <v>9.0200674999999997</v>
      </c>
      <c r="EI34" s="816">
        <v>9.5175299899999999</v>
      </c>
      <c r="EJ34" s="816">
        <v>9.8021425499999992</v>
      </c>
      <c r="EK34" s="816">
        <v>9.5697894100000003</v>
      </c>
      <c r="EL34" s="816">
        <v>9.5701394700000009</v>
      </c>
      <c r="EM34" s="816">
        <v>9.8893589399999993</v>
      </c>
      <c r="EN34" s="816">
        <v>10.224187069999999</v>
      </c>
      <c r="EO34" s="816">
        <v>11.441945329999999</v>
      </c>
      <c r="EP34" s="816">
        <v>11.53619379</v>
      </c>
      <c r="EQ34" s="816">
        <v>11.985076039999999</v>
      </c>
      <c r="ER34" s="816">
        <v>12.78177385</v>
      </c>
      <c r="ES34" s="816">
        <v>13.248844009999999</v>
      </c>
      <c r="ET34" s="816">
        <v>14.609752110000001</v>
      </c>
      <c r="EU34" s="816">
        <v>15.182722999999999</v>
      </c>
      <c r="EV34" s="816">
        <v>14.905784150000001</v>
      </c>
      <c r="EW34" s="816">
        <v>15.104449819999999</v>
      </c>
      <c r="EX34" s="816">
        <v>15.15796465</v>
      </c>
      <c r="EY34" s="816">
        <v>15.114082570000001</v>
      </c>
      <c r="EZ34" s="816">
        <v>15.058784129999999</v>
      </c>
      <c r="FA34" s="816">
        <v>15.19959098</v>
      </c>
      <c r="FB34" s="816">
        <v>14.8832915</v>
      </c>
      <c r="FC34" s="816">
        <v>14.780874020000001</v>
      </c>
      <c r="FD34" s="816">
        <v>15.37485596</v>
      </c>
      <c r="FE34" s="816">
        <v>15.491004950000001</v>
      </c>
      <c r="FF34" s="816">
        <v>15.11280636</v>
      </c>
      <c r="FG34" s="816">
        <v>14.997929770000001</v>
      </c>
      <c r="FH34" s="1726" t="s">
        <v>4074</v>
      </c>
    </row>
    <row r="35" spans="1:164" ht="21">
      <c r="A35" s="1722" t="s">
        <v>2738</v>
      </c>
      <c r="B35" s="780">
        <v>66.666036790000007</v>
      </c>
      <c r="C35" s="780">
        <v>152.78409334000003</v>
      </c>
      <c r="D35" s="780">
        <v>158.29052512999999</v>
      </c>
      <c r="E35" s="780">
        <v>163.53751734000002</v>
      </c>
      <c r="F35" s="780">
        <v>171.56644912000002</v>
      </c>
      <c r="G35" s="780">
        <v>174.30213388000001</v>
      </c>
      <c r="H35" s="780">
        <v>181.49260264999998</v>
      </c>
      <c r="I35" s="780">
        <v>187.90645706999999</v>
      </c>
      <c r="J35" s="780">
        <v>196.57126171000002</v>
      </c>
      <c r="K35" s="780">
        <v>204.22035434999998</v>
      </c>
      <c r="L35" s="780">
        <v>209.20879467</v>
      </c>
      <c r="M35" s="781">
        <v>216.95055854</v>
      </c>
      <c r="N35" s="781">
        <v>215.73816747000001</v>
      </c>
      <c r="O35" s="781">
        <v>222.67418502999999</v>
      </c>
      <c r="P35" s="781">
        <v>224.82774436</v>
      </c>
      <c r="Q35" s="781">
        <v>239.25928099000001</v>
      </c>
      <c r="R35" s="781">
        <v>248.85219245999997</v>
      </c>
      <c r="S35" s="781">
        <v>255.94619204</v>
      </c>
      <c r="T35" s="781">
        <v>259.55990308000003</v>
      </c>
      <c r="U35" s="781">
        <v>259.97684357000003</v>
      </c>
      <c r="V35" s="781">
        <v>264.80865691000002</v>
      </c>
      <c r="W35" s="781">
        <v>282.46263128999999</v>
      </c>
      <c r="X35" s="781">
        <v>289.07191491000003</v>
      </c>
      <c r="Y35" s="781">
        <v>301.11939336</v>
      </c>
      <c r="Z35" s="781">
        <v>305.04925141999996</v>
      </c>
      <c r="AA35" s="781">
        <v>398.78550293000001</v>
      </c>
      <c r="AB35" s="781">
        <v>380.0914448100001</v>
      </c>
      <c r="AC35" s="781">
        <v>372.99930741000003</v>
      </c>
      <c r="AD35" s="781">
        <v>364.66400791999996</v>
      </c>
      <c r="AE35" s="781">
        <v>363.07725050999994</v>
      </c>
      <c r="AF35" s="781">
        <v>371.40780647000003</v>
      </c>
      <c r="AG35" s="781">
        <v>351.44605912999998</v>
      </c>
      <c r="AH35" s="781">
        <v>333.98893826</v>
      </c>
      <c r="AI35" s="781">
        <v>335.31654441000001</v>
      </c>
      <c r="AJ35" s="781">
        <v>319.27387050000004</v>
      </c>
      <c r="AK35" s="781">
        <v>445.92310965000001</v>
      </c>
      <c r="AL35" s="781">
        <v>444.72352273000001</v>
      </c>
      <c r="AM35" s="781">
        <v>427.36314652999999</v>
      </c>
      <c r="AN35" s="781">
        <v>412.94255929999997</v>
      </c>
      <c r="AO35" s="781">
        <v>392.52627456000005</v>
      </c>
      <c r="AP35" s="781">
        <v>380.72283900999997</v>
      </c>
      <c r="AQ35" s="781">
        <v>379.31414098000005</v>
      </c>
      <c r="AR35" s="781">
        <v>367.90065778000007</v>
      </c>
      <c r="AS35" s="781">
        <v>365.90544384999998</v>
      </c>
      <c r="AT35" s="781">
        <v>355.17308549000001</v>
      </c>
      <c r="AU35" s="781">
        <v>350.96733761000002</v>
      </c>
      <c r="AV35" s="781">
        <v>360.46997799000007</v>
      </c>
      <c r="AW35" s="781">
        <v>358.03041706000005</v>
      </c>
      <c r="AX35" s="781">
        <v>377.82303498000005</v>
      </c>
      <c r="AY35" s="781">
        <v>335.51784884</v>
      </c>
      <c r="AZ35" s="781">
        <v>323.28090706</v>
      </c>
      <c r="BA35" s="781">
        <v>315.82749596999997</v>
      </c>
      <c r="BB35" s="781">
        <v>305.49843315000004</v>
      </c>
      <c r="BC35" s="781">
        <v>298.20805774000002</v>
      </c>
      <c r="BD35" s="781">
        <v>290.97803176000002</v>
      </c>
      <c r="BE35" s="781">
        <v>286.79940289000001</v>
      </c>
      <c r="BF35" s="781">
        <v>280.08132470999999</v>
      </c>
      <c r="BG35" s="782">
        <v>273.68269659000003</v>
      </c>
      <c r="BH35" s="820">
        <v>264.79168549000002</v>
      </c>
      <c r="BI35" s="815">
        <v>255.77512719000001</v>
      </c>
      <c r="BJ35" s="815">
        <v>249.78915279999998</v>
      </c>
      <c r="BK35" s="815">
        <v>239.62582773000003</v>
      </c>
      <c r="BL35" s="815">
        <v>230.82252749999998</v>
      </c>
      <c r="BM35" s="815">
        <v>219.54711236999998</v>
      </c>
      <c r="BN35" s="815">
        <v>213.23544595999999</v>
      </c>
      <c r="BO35" s="815">
        <v>208.49339909000003</v>
      </c>
      <c r="BP35" s="815">
        <v>200.47550780999998</v>
      </c>
      <c r="BQ35" s="815">
        <v>191.34291770999997</v>
      </c>
      <c r="BR35" s="815">
        <v>185.18915687999998</v>
      </c>
      <c r="BS35" s="815">
        <v>184.27094256000001</v>
      </c>
      <c r="BT35" s="815">
        <v>183.93820625999996</v>
      </c>
      <c r="BU35" s="815">
        <v>166.55745254000001</v>
      </c>
      <c r="BV35" s="815">
        <v>160.33519397000001</v>
      </c>
      <c r="BW35" s="815">
        <v>157.89152170999998</v>
      </c>
      <c r="BX35" s="815">
        <v>150.78304842</v>
      </c>
      <c r="BY35" s="815">
        <v>146.93077224000001</v>
      </c>
      <c r="BZ35" s="815">
        <v>143.45688843000002</v>
      </c>
      <c r="CA35" s="815">
        <v>137.53259427999998</v>
      </c>
      <c r="CB35" s="815">
        <v>128.29226243000002</v>
      </c>
      <c r="CC35" s="815">
        <v>126.87539432000001</v>
      </c>
      <c r="CD35" s="815">
        <v>126.75859387</v>
      </c>
      <c r="CE35" s="815">
        <v>125.42095855000001</v>
      </c>
      <c r="CF35" s="815">
        <v>126.08948645000001</v>
      </c>
      <c r="CG35" s="815">
        <v>114.99039371000001</v>
      </c>
      <c r="CH35" s="815">
        <v>112.91605864</v>
      </c>
      <c r="CI35" s="815">
        <v>112.55564470000002</v>
      </c>
      <c r="CJ35" s="815">
        <v>98.655726619999996</v>
      </c>
      <c r="CK35" s="815">
        <v>91.692516859999984</v>
      </c>
      <c r="CL35" s="815">
        <v>89.757702639999991</v>
      </c>
      <c r="CM35" s="815">
        <v>84.926955349999986</v>
      </c>
      <c r="CN35" s="815">
        <v>81.086552280000006</v>
      </c>
      <c r="CO35" s="815">
        <v>84.12291282000001</v>
      </c>
      <c r="CP35" s="815">
        <v>85.597552369999988</v>
      </c>
      <c r="CQ35" s="815">
        <v>81.905212239999997</v>
      </c>
      <c r="CR35" s="815">
        <v>77.806721789999997</v>
      </c>
      <c r="CS35" s="815">
        <v>72.691409809999996</v>
      </c>
      <c r="CT35" s="815">
        <v>66.977830639999993</v>
      </c>
      <c r="CU35" s="815">
        <v>71.486138819999994</v>
      </c>
      <c r="CV35" s="815">
        <v>69.613432290000006</v>
      </c>
      <c r="CW35" s="815">
        <v>69.096107020000005</v>
      </c>
      <c r="CX35" s="815">
        <v>65.901339919999998</v>
      </c>
      <c r="CY35" s="815">
        <v>66.090497819999996</v>
      </c>
      <c r="CZ35" s="815">
        <v>66.770339559999996</v>
      </c>
      <c r="DA35" s="815">
        <v>71.561757290000003</v>
      </c>
      <c r="DB35" s="815">
        <v>77.61401678</v>
      </c>
      <c r="DC35" s="815">
        <v>77.711903250000006</v>
      </c>
      <c r="DD35" s="815">
        <v>71.835889850000001</v>
      </c>
      <c r="DE35" s="815">
        <v>73.036834299999995</v>
      </c>
      <c r="DF35" s="815">
        <v>64.686017419999999</v>
      </c>
      <c r="DG35" s="815">
        <v>65.924546179999993</v>
      </c>
      <c r="DH35" s="815">
        <v>61.939113740000003</v>
      </c>
      <c r="DI35" s="815">
        <v>60.554497820000002</v>
      </c>
      <c r="DJ35" s="815">
        <v>61.913181719999997</v>
      </c>
      <c r="DK35" s="815">
        <v>60.479601010000003</v>
      </c>
      <c r="DL35" s="815">
        <v>60.204029390000002</v>
      </c>
      <c r="DM35" s="815">
        <v>64.340504019999997</v>
      </c>
      <c r="DN35" s="815">
        <v>71.511469480000002</v>
      </c>
      <c r="DO35" s="815">
        <v>73.020339719999996</v>
      </c>
      <c r="DP35" s="815">
        <v>70.873400899999993</v>
      </c>
      <c r="DQ35" s="815">
        <v>70.305608329999998</v>
      </c>
      <c r="DR35" s="815">
        <v>68.223123509999994</v>
      </c>
      <c r="DS35" s="815">
        <v>63.00377297</v>
      </c>
      <c r="DT35" s="815">
        <v>60.500577270000001</v>
      </c>
      <c r="DU35" s="815">
        <v>67.387000439999994</v>
      </c>
      <c r="DV35" s="815">
        <v>74.45694349</v>
      </c>
      <c r="DW35" s="815">
        <v>71.509528279999998</v>
      </c>
      <c r="DX35" s="815">
        <v>69.766128269999996</v>
      </c>
      <c r="DY35" s="815">
        <v>76.086080030000005</v>
      </c>
      <c r="DZ35" s="815">
        <v>82.637481100000002</v>
      </c>
      <c r="EA35" s="815">
        <v>77.184595189999996</v>
      </c>
      <c r="EB35" s="815">
        <v>81.109938009999993</v>
      </c>
      <c r="EC35" s="815">
        <v>79.815273329999997</v>
      </c>
      <c r="ED35" s="815">
        <v>74.915426980000007</v>
      </c>
      <c r="EE35" s="815">
        <v>71.604958670000002</v>
      </c>
      <c r="EF35" s="815">
        <v>67.558371109999996</v>
      </c>
      <c r="EG35" s="815">
        <v>64.308333599999997</v>
      </c>
      <c r="EH35" s="815">
        <v>55.420562220000001</v>
      </c>
      <c r="EI35" s="815">
        <v>52.902936109999999</v>
      </c>
      <c r="EJ35" s="815">
        <v>50.517891069999997</v>
      </c>
      <c r="EK35" s="815">
        <v>55.092282259999998</v>
      </c>
      <c r="EL35" s="815">
        <v>63.484013580000003</v>
      </c>
      <c r="EM35" s="815">
        <v>59.906927000000003</v>
      </c>
      <c r="EN35" s="815">
        <v>57.431689919999997</v>
      </c>
      <c r="EO35" s="815">
        <v>58.995439750000003</v>
      </c>
      <c r="EP35" s="815">
        <v>55.049355339999998</v>
      </c>
      <c r="EQ35" s="815">
        <v>50.650188149999998</v>
      </c>
      <c r="ER35" s="815">
        <v>49.111851940000001</v>
      </c>
      <c r="ES35" s="815">
        <v>44.573680600000003</v>
      </c>
      <c r="ET35" s="815">
        <v>41.769655329999999</v>
      </c>
      <c r="EU35" s="815">
        <v>38.247613809999997</v>
      </c>
      <c r="EV35" s="815">
        <v>35.572209669999999</v>
      </c>
      <c r="EW35" s="815">
        <v>41.087797109999997</v>
      </c>
      <c r="EX35" s="815">
        <v>49.579024500000003</v>
      </c>
      <c r="EY35" s="815">
        <v>49.314576729999999</v>
      </c>
      <c r="EZ35" s="815">
        <v>46.428204110000003</v>
      </c>
      <c r="FA35" s="815">
        <v>44.863573729999999</v>
      </c>
      <c r="FB35" s="815">
        <v>40.922570020000002</v>
      </c>
      <c r="FC35" s="815">
        <v>48.6828936</v>
      </c>
      <c r="FD35" s="815">
        <v>46.108966150000001</v>
      </c>
      <c r="FE35" s="815">
        <v>44.098975099999997</v>
      </c>
      <c r="FF35" s="815">
        <v>40.886605359999997</v>
      </c>
      <c r="FG35" s="815">
        <v>38.550128030000003</v>
      </c>
      <c r="FH35" s="1722" t="s">
        <v>4063</v>
      </c>
    </row>
    <row r="36" spans="1:164" ht="21">
      <c r="A36" s="1721" t="s">
        <v>2006</v>
      </c>
      <c r="B36" s="783">
        <v>0.86300927999999999</v>
      </c>
      <c r="C36" s="783">
        <v>3.3908209600000001</v>
      </c>
      <c r="D36" s="783">
        <v>3.3808722600000003</v>
      </c>
      <c r="E36" s="783">
        <v>3.5275867200000004</v>
      </c>
      <c r="F36" s="783">
        <v>4.0112032400000004</v>
      </c>
      <c r="G36" s="783">
        <v>3.08315128</v>
      </c>
      <c r="H36" s="783">
        <v>2.75096081</v>
      </c>
      <c r="I36" s="783">
        <v>2.8174198100000001</v>
      </c>
      <c r="J36" s="783">
        <v>3.2131447899999999</v>
      </c>
      <c r="K36" s="783">
        <v>3.3452382200000002</v>
      </c>
      <c r="L36" s="783">
        <v>3.3085029599999998</v>
      </c>
      <c r="M36" s="784">
        <v>3.4845867799999999</v>
      </c>
      <c r="N36" s="784">
        <v>3.3475053999999997</v>
      </c>
      <c r="O36" s="784">
        <v>3.4848470299999996</v>
      </c>
      <c r="P36" s="784">
        <v>3.3661613900000003</v>
      </c>
      <c r="Q36" s="784">
        <v>3.7977207000000002</v>
      </c>
      <c r="R36" s="784">
        <v>3.8486074000000001</v>
      </c>
      <c r="S36" s="784">
        <v>3.9363414300000001</v>
      </c>
      <c r="T36" s="784">
        <v>3.6753265299999995</v>
      </c>
      <c r="U36" s="784">
        <v>3.7918110500000002</v>
      </c>
      <c r="V36" s="784">
        <v>4.2336154800000001</v>
      </c>
      <c r="W36" s="784">
        <v>0.54781430000000009</v>
      </c>
      <c r="X36" s="784">
        <v>0.55489554000000008</v>
      </c>
      <c r="Y36" s="784">
        <v>0.51227495000000001</v>
      </c>
      <c r="Z36" s="784">
        <v>0.49579334999999997</v>
      </c>
      <c r="AA36" s="784">
        <v>0.64104475999999999</v>
      </c>
      <c r="AB36" s="784">
        <v>0.61655990000000005</v>
      </c>
      <c r="AC36" s="784">
        <v>0.59934564000000001</v>
      </c>
      <c r="AD36" s="784">
        <v>0.68712766000000003</v>
      </c>
      <c r="AE36" s="784">
        <v>0.66563531999999992</v>
      </c>
      <c r="AF36" s="784">
        <v>0.67945404000000009</v>
      </c>
      <c r="AG36" s="784">
        <v>0.63501459999999998</v>
      </c>
      <c r="AH36" s="784">
        <v>0.61238236000000001</v>
      </c>
      <c r="AI36" s="784">
        <v>0.59317748000000003</v>
      </c>
      <c r="AJ36" s="784">
        <v>0.56649388000000001</v>
      </c>
      <c r="AK36" s="784">
        <v>1.0098676200000001</v>
      </c>
      <c r="AL36" s="784">
        <v>0.96995812000000003</v>
      </c>
      <c r="AM36" s="784">
        <v>0.96966078</v>
      </c>
      <c r="AN36" s="784">
        <v>0.93889531999999998</v>
      </c>
      <c r="AO36" s="784">
        <v>0.87415865000000004</v>
      </c>
      <c r="AP36" s="784">
        <v>0.85789400999999998</v>
      </c>
      <c r="AQ36" s="784">
        <v>0.87187856000000008</v>
      </c>
      <c r="AR36" s="784">
        <v>0.88303703</v>
      </c>
      <c r="AS36" s="784">
        <v>0.89383630000000003</v>
      </c>
      <c r="AT36" s="784">
        <v>0.87284824999999999</v>
      </c>
      <c r="AU36" s="784">
        <v>0.86061482</v>
      </c>
      <c r="AV36" s="784">
        <v>1.3602513799999998</v>
      </c>
      <c r="AW36" s="784">
        <v>1.3943853299999998</v>
      </c>
      <c r="AX36" s="784">
        <v>1.5073832700000001</v>
      </c>
      <c r="AY36" s="784">
        <v>1.3686486100000002</v>
      </c>
      <c r="AZ36" s="784">
        <v>1.3010885400000001</v>
      </c>
      <c r="BA36" s="784">
        <v>1.25267153</v>
      </c>
      <c r="BB36" s="784">
        <v>1.10400294</v>
      </c>
      <c r="BC36" s="784">
        <v>1.10239033</v>
      </c>
      <c r="BD36" s="784">
        <v>1.0930872600000001</v>
      </c>
      <c r="BE36" s="784">
        <v>1.07818305</v>
      </c>
      <c r="BF36" s="784">
        <v>1.0691329899999999</v>
      </c>
      <c r="BG36" s="785">
        <v>1.0551198899999998</v>
      </c>
      <c r="BH36" s="821">
        <v>1.04655733</v>
      </c>
      <c r="BI36" s="816">
        <v>1.0380568299999999</v>
      </c>
      <c r="BJ36" s="816">
        <v>1.03459675</v>
      </c>
      <c r="BK36" s="816">
        <v>1.0261561299999999</v>
      </c>
      <c r="BL36" s="816">
        <v>1.0175957799999999</v>
      </c>
      <c r="BM36" s="816">
        <v>1.0184709000000001</v>
      </c>
      <c r="BN36" s="816">
        <v>1.0110759</v>
      </c>
      <c r="BO36" s="816">
        <v>1.0051259000000001</v>
      </c>
      <c r="BP36" s="816">
        <v>1.0017208</v>
      </c>
      <c r="BQ36" s="816">
        <v>0.99322589999999999</v>
      </c>
      <c r="BR36" s="816">
        <v>0.98727589999999998</v>
      </c>
      <c r="BS36" s="816">
        <v>0.98132589999999997</v>
      </c>
      <c r="BT36" s="816">
        <v>0.97537590000000007</v>
      </c>
      <c r="BU36" s="816">
        <v>0.96942590000000006</v>
      </c>
      <c r="BV36" s="816">
        <v>0.96602589999999999</v>
      </c>
      <c r="BW36" s="816">
        <v>0.96262590000000003</v>
      </c>
      <c r="BX36" s="816">
        <v>0.95988620999999996</v>
      </c>
      <c r="BY36" s="816">
        <v>0.95648621</v>
      </c>
      <c r="BZ36" s="816">
        <v>0.93386663000000003</v>
      </c>
      <c r="CA36" s="816">
        <v>0.95047355</v>
      </c>
      <c r="CB36" s="816">
        <v>0.9418588</v>
      </c>
      <c r="CC36" s="816">
        <v>0.93248582999999996</v>
      </c>
      <c r="CD36" s="816">
        <v>0.92105281000000006</v>
      </c>
      <c r="CE36" s="816">
        <v>0.90895391000000003</v>
      </c>
      <c r="CF36" s="816">
        <v>0.89674074999999998</v>
      </c>
      <c r="CG36" s="816">
        <v>0.88514480000000006</v>
      </c>
      <c r="CH36" s="816">
        <v>0.87219071999999997</v>
      </c>
      <c r="CI36" s="816">
        <v>0.85993752000000001</v>
      </c>
      <c r="CJ36" s="816">
        <v>0.84754682999999997</v>
      </c>
      <c r="CK36" s="816">
        <v>0.83425386999999995</v>
      </c>
      <c r="CL36" s="816">
        <v>0.82147914</v>
      </c>
      <c r="CM36" s="816">
        <v>0.80878673000000001</v>
      </c>
      <c r="CN36" s="816">
        <v>0.79529766000000002</v>
      </c>
      <c r="CO36" s="816">
        <v>0.79628239000000001</v>
      </c>
      <c r="CP36" s="816">
        <v>0.78513511000000002</v>
      </c>
      <c r="CQ36" s="816">
        <v>0.77016435999999999</v>
      </c>
      <c r="CR36" s="816">
        <v>0.75488169999999999</v>
      </c>
      <c r="CS36" s="816">
        <v>0.74398455000000008</v>
      </c>
      <c r="CT36" s="816">
        <v>0.72851104</v>
      </c>
      <c r="CU36" s="816">
        <v>0.71330771999999998</v>
      </c>
      <c r="CV36" s="816">
        <v>0.69740592999999995</v>
      </c>
      <c r="CW36" s="816">
        <v>0.68122804999999997</v>
      </c>
      <c r="CX36" s="816">
        <v>0.66543514000000004</v>
      </c>
      <c r="CY36" s="816">
        <v>0.64913701000000001</v>
      </c>
      <c r="CZ36" s="816">
        <v>0.63279547000000003</v>
      </c>
      <c r="DA36" s="816">
        <v>0.54520851000000004</v>
      </c>
      <c r="DB36" s="816">
        <v>0.55860673999999999</v>
      </c>
      <c r="DC36" s="816">
        <v>0.55860673999999999</v>
      </c>
      <c r="DD36" s="816">
        <v>0</v>
      </c>
      <c r="DE36" s="816">
        <v>0</v>
      </c>
      <c r="DF36" s="816">
        <v>0</v>
      </c>
      <c r="DG36" s="816">
        <v>0</v>
      </c>
      <c r="DH36" s="816">
        <v>0</v>
      </c>
      <c r="DI36" s="816">
        <v>0</v>
      </c>
      <c r="DJ36" s="816">
        <v>0</v>
      </c>
      <c r="DK36" s="816">
        <v>0</v>
      </c>
      <c r="DL36" s="816">
        <v>0</v>
      </c>
      <c r="DM36" s="816">
        <v>0</v>
      </c>
      <c r="DN36" s="816">
        <v>0</v>
      </c>
      <c r="DO36" s="816">
        <v>0</v>
      </c>
      <c r="DP36" s="816">
        <v>0</v>
      </c>
      <c r="DQ36" s="816">
        <v>0</v>
      </c>
      <c r="DR36" s="816">
        <v>0</v>
      </c>
      <c r="DS36" s="816">
        <v>0</v>
      </c>
      <c r="DT36" s="816">
        <v>0</v>
      </c>
      <c r="DU36" s="816">
        <v>0.35699999999999998</v>
      </c>
      <c r="DV36" s="816">
        <v>0.32820034999999997</v>
      </c>
      <c r="DW36" s="816">
        <v>0.29896295000000001</v>
      </c>
      <c r="DX36" s="816">
        <v>0.26878794</v>
      </c>
      <c r="DY36" s="816">
        <v>0.23864827999999999</v>
      </c>
      <c r="DZ36" s="816">
        <v>0.20816660000000001</v>
      </c>
      <c r="EA36" s="816">
        <v>0.19334941999999999</v>
      </c>
      <c r="EB36" s="816">
        <v>0.17003045999999999</v>
      </c>
      <c r="EC36" s="816">
        <v>0.15500061000000001</v>
      </c>
      <c r="ED36" s="816">
        <v>0.13995228000000001</v>
      </c>
      <c r="EE36" s="816">
        <v>0.12482871</v>
      </c>
      <c r="EF36" s="816">
        <v>9.8945169999999999E-2</v>
      </c>
      <c r="EG36" s="816">
        <v>8.3468150000000005E-2</v>
      </c>
      <c r="EH36" s="816">
        <v>6.6584069999999995E-2</v>
      </c>
      <c r="EI36" s="816">
        <v>5.1082570000000001E-2</v>
      </c>
      <c r="EJ36" s="816">
        <v>3.5506129999999997E-2</v>
      </c>
      <c r="EK36" s="816">
        <v>1.9860340000000001E-2</v>
      </c>
      <c r="EL36" s="816">
        <v>4.1362999999999999E-3</v>
      </c>
      <c r="EM36" s="816">
        <v>0</v>
      </c>
      <c r="EN36" s="816">
        <v>0</v>
      </c>
      <c r="EO36" s="816">
        <v>0</v>
      </c>
      <c r="EP36" s="816">
        <v>0</v>
      </c>
      <c r="EQ36" s="816">
        <v>0</v>
      </c>
      <c r="ER36" s="816">
        <v>0</v>
      </c>
      <c r="ES36" s="816">
        <v>0</v>
      </c>
      <c r="ET36" s="816">
        <v>0.17</v>
      </c>
      <c r="EU36" s="816">
        <v>0.15637736999999999</v>
      </c>
      <c r="EV36" s="816">
        <v>0.14265827</v>
      </c>
      <c r="EW36" s="816">
        <v>0.14265827</v>
      </c>
      <c r="EX36" s="816">
        <v>0.11492782</v>
      </c>
      <c r="EY36" s="816">
        <v>0.10091509</v>
      </c>
      <c r="EZ36" s="816">
        <v>0.10091509</v>
      </c>
      <c r="FA36" s="816">
        <v>7.259119E-2</v>
      </c>
      <c r="FB36" s="816">
        <v>0.20399999999999999</v>
      </c>
      <c r="FC36" s="816">
        <v>0.20399999999999999</v>
      </c>
      <c r="FD36" s="816">
        <v>0.18786939999999999</v>
      </c>
      <c r="FE36" s="816">
        <v>0.34</v>
      </c>
      <c r="FF36" s="816">
        <v>0.32714406000000001</v>
      </c>
      <c r="FG36" s="816">
        <v>0.31145433</v>
      </c>
      <c r="FH36" s="1726" t="s">
        <v>4074</v>
      </c>
    </row>
    <row r="37" spans="1:164" ht="21">
      <c r="A37" s="1723"/>
      <c r="B37" s="783"/>
      <c r="C37" s="783"/>
      <c r="D37" s="783"/>
      <c r="E37" s="783"/>
      <c r="F37" s="783"/>
      <c r="G37" s="783"/>
      <c r="H37" s="783"/>
      <c r="I37" s="783"/>
      <c r="J37" s="783"/>
      <c r="K37" s="783"/>
      <c r="L37" s="783"/>
      <c r="M37" s="784"/>
      <c r="N37" s="784"/>
      <c r="O37" s="784"/>
      <c r="P37" s="784"/>
      <c r="Q37" s="784"/>
      <c r="R37" s="784"/>
      <c r="S37" s="784"/>
      <c r="T37" s="784"/>
      <c r="U37" s="784"/>
      <c r="V37" s="784"/>
      <c r="W37" s="784"/>
      <c r="X37" s="784"/>
      <c r="Y37" s="784"/>
      <c r="Z37" s="784"/>
      <c r="AA37" s="784"/>
      <c r="AB37" s="784"/>
      <c r="AC37" s="784"/>
      <c r="AD37" s="784"/>
      <c r="AE37" s="784"/>
      <c r="AF37" s="784"/>
      <c r="AG37" s="784"/>
      <c r="AH37" s="784"/>
      <c r="AI37" s="784"/>
      <c r="AJ37" s="784"/>
      <c r="AK37" s="784"/>
      <c r="AL37" s="784"/>
      <c r="AM37" s="784"/>
      <c r="AN37" s="784"/>
      <c r="AO37" s="784"/>
      <c r="AP37" s="784"/>
      <c r="AQ37" s="784"/>
      <c r="AR37" s="784"/>
      <c r="AS37" s="784"/>
      <c r="AT37" s="784"/>
      <c r="AU37" s="784"/>
      <c r="AV37" s="784"/>
      <c r="AW37" s="784"/>
      <c r="AX37" s="784"/>
      <c r="AY37" s="784"/>
      <c r="AZ37" s="784"/>
      <c r="BA37" s="784"/>
      <c r="BB37" s="784"/>
      <c r="BC37" s="784"/>
      <c r="BD37" s="784"/>
      <c r="BE37" s="784"/>
      <c r="BF37" s="784"/>
      <c r="BG37" s="785"/>
      <c r="BH37" s="821"/>
      <c r="BI37" s="816"/>
      <c r="BJ37" s="816"/>
      <c r="BK37" s="816"/>
      <c r="BL37" s="816"/>
      <c r="BM37" s="816"/>
      <c r="BN37" s="816"/>
      <c r="BO37" s="816"/>
      <c r="BP37" s="816"/>
      <c r="BQ37" s="816"/>
      <c r="BR37" s="816"/>
      <c r="BS37" s="816"/>
      <c r="BT37" s="816"/>
      <c r="BU37" s="816"/>
      <c r="BV37" s="816"/>
      <c r="BW37" s="816"/>
      <c r="BX37" s="816"/>
      <c r="BY37" s="816"/>
      <c r="BZ37" s="816"/>
      <c r="CA37" s="816"/>
      <c r="CB37" s="816"/>
      <c r="CC37" s="816"/>
      <c r="CD37" s="816"/>
      <c r="CE37" s="816"/>
      <c r="CF37" s="816"/>
      <c r="CG37" s="816"/>
      <c r="CH37" s="816"/>
      <c r="CI37" s="816"/>
      <c r="CJ37" s="816"/>
      <c r="CK37" s="816"/>
      <c r="CL37" s="816"/>
      <c r="CM37" s="816"/>
      <c r="CN37" s="816"/>
      <c r="CO37" s="816"/>
      <c r="CP37" s="816"/>
      <c r="CQ37" s="816"/>
      <c r="CR37" s="816"/>
      <c r="CS37" s="816"/>
      <c r="CT37" s="816"/>
      <c r="CU37" s="816"/>
      <c r="CV37" s="816"/>
      <c r="CW37" s="816"/>
      <c r="CX37" s="816"/>
      <c r="CY37" s="816"/>
      <c r="CZ37" s="816"/>
      <c r="DA37" s="816"/>
      <c r="DB37" s="816"/>
      <c r="DC37" s="816"/>
      <c r="DD37" s="816"/>
      <c r="DE37" s="816"/>
      <c r="DF37" s="816"/>
      <c r="DG37" s="816"/>
      <c r="DH37" s="816"/>
      <c r="DI37" s="816"/>
      <c r="DJ37" s="816"/>
      <c r="DK37" s="816"/>
      <c r="DL37" s="816"/>
      <c r="DM37" s="816"/>
      <c r="DN37" s="816"/>
      <c r="DO37" s="816"/>
      <c r="DP37" s="816"/>
      <c r="DQ37" s="816"/>
      <c r="DR37" s="816"/>
      <c r="DS37" s="816"/>
      <c r="DT37" s="816"/>
      <c r="DU37" s="816"/>
      <c r="DV37" s="816"/>
      <c r="DW37" s="816"/>
      <c r="DX37" s="816"/>
      <c r="DY37" s="816"/>
      <c r="DZ37" s="816"/>
      <c r="EA37" s="816"/>
      <c r="EB37" s="816"/>
      <c r="EC37" s="816"/>
      <c r="ED37" s="816"/>
      <c r="EE37" s="816"/>
      <c r="EF37" s="816"/>
      <c r="EG37" s="816"/>
      <c r="EH37" s="816"/>
      <c r="EI37" s="816"/>
      <c r="EJ37" s="816"/>
      <c r="EK37" s="816"/>
      <c r="EL37" s="816"/>
      <c r="EM37" s="816"/>
      <c r="EN37" s="816"/>
      <c r="EO37" s="816"/>
      <c r="EP37" s="816"/>
      <c r="EQ37" s="816"/>
      <c r="ER37" s="816"/>
      <c r="ES37" s="816"/>
      <c r="ET37" s="816"/>
      <c r="EU37" s="816"/>
      <c r="EV37" s="816"/>
      <c r="EW37" s="816"/>
      <c r="EX37" s="816"/>
      <c r="EY37" s="816"/>
      <c r="EZ37" s="816"/>
      <c r="FA37" s="816"/>
      <c r="FB37" s="816"/>
      <c r="FC37" s="816"/>
      <c r="FD37" s="816"/>
      <c r="FE37" s="816"/>
      <c r="FF37" s="816"/>
      <c r="FG37" s="816"/>
      <c r="FH37" s="1723"/>
    </row>
    <row r="38" spans="1:164" ht="21">
      <c r="A38" s="1720" t="s">
        <v>1942</v>
      </c>
      <c r="B38" s="780">
        <v>17.766566539999999</v>
      </c>
      <c r="C38" s="780">
        <v>22.945062950000001</v>
      </c>
      <c r="D38" s="780">
        <v>21.668987950000002</v>
      </c>
      <c r="E38" s="780">
        <v>21.677562789999996</v>
      </c>
      <c r="F38" s="780">
        <v>21.911337209999999</v>
      </c>
      <c r="G38" s="780">
        <v>20.999708079999998</v>
      </c>
      <c r="H38" s="780">
        <v>20.948338400000001</v>
      </c>
      <c r="I38" s="780">
        <v>19.60692826</v>
      </c>
      <c r="J38" s="780">
        <v>17.095820400000001</v>
      </c>
      <c r="K38" s="780">
        <v>18.329791440000001</v>
      </c>
      <c r="L38" s="780">
        <v>21.740978640000002</v>
      </c>
      <c r="M38" s="781">
        <v>23.579365899999999</v>
      </c>
      <c r="N38" s="781">
        <v>23.967542090000002</v>
      </c>
      <c r="O38" s="781">
        <v>25.871231269999996</v>
      </c>
      <c r="P38" s="781">
        <v>26.226864130000003</v>
      </c>
      <c r="Q38" s="781">
        <v>28.49794116</v>
      </c>
      <c r="R38" s="781">
        <v>29.580274790000001</v>
      </c>
      <c r="S38" s="781">
        <v>31.649486629999998</v>
      </c>
      <c r="T38" s="781">
        <v>33.67329032</v>
      </c>
      <c r="U38" s="781">
        <v>34.50216743</v>
      </c>
      <c r="V38" s="781">
        <v>33.88321397</v>
      </c>
      <c r="W38" s="781">
        <v>36.337116999999999</v>
      </c>
      <c r="X38" s="781">
        <v>33.49902685</v>
      </c>
      <c r="Y38" s="781">
        <v>30.961195279999998</v>
      </c>
      <c r="Z38" s="781">
        <v>31.949608130000001</v>
      </c>
      <c r="AA38" s="781">
        <v>38.919785779999998</v>
      </c>
      <c r="AB38" s="781">
        <v>36.929363539999997</v>
      </c>
      <c r="AC38" s="781">
        <v>34.486364129999998</v>
      </c>
      <c r="AD38" s="781">
        <v>35.404588740000008</v>
      </c>
      <c r="AE38" s="781">
        <v>34.925877159999999</v>
      </c>
      <c r="AF38" s="781">
        <v>36.199890539999998</v>
      </c>
      <c r="AG38" s="781">
        <v>39.381006429999999</v>
      </c>
      <c r="AH38" s="781">
        <v>38.355364870000002</v>
      </c>
      <c r="AI38" s="781">
        <v>41.731077889999995</v>
      </c>
      <c r="AJ38" s="781">
        <v>41.657239560000001</v>
      </c>
      <c r="AK38" s="781">
        <v>41.139814020000003</v>
      </c>
      <c r="AL38" s="781">
        <v>36.345547910000001</v>
      </c>
      <c r="AM38" s="781">
        <v>32.933906229999998</v>
      </c>
      <c r="AN38" s="781">
        <v>32.869697770000002</v>
      </c>
      <c r="AO38" s="781">
        <v>33.604306729999998</v>
      </c>
      <c r="AP38" s="781">
        <v>32.265850780000001</v>
      </c>
      <c r="AQ38" s="781">
        <v>34.613343759999999</v>
      </c>
      <c r="AR38" s="781">
        <v>43.827408309999996</v>
      </c>
      <c r="AS38" s="781">
        <v>48.971976049999995</v>
      </c>
      <c r="AT38" s="781">
        <v>48.929506879999998</v>
      </c>
      <c r="AU38" s="781">
        <v>50.346966810000005</v>
      </c>
      <c r="AV38" s="781">
        <v>51.656373370000004</v>
      </c>
      <c r="AW38" s="781">
        <v>46.230817819999999</v>
      </c>
      <c r="AX38" s="781">
        <v>45.553140759999998</v>
      </c>
      <c r="AY38" s="781">
        <v>43.219002640000006</v>
      </c>
      <c r="AZ38" s="781">
        <v>42.961399950000001</v>
      </c>
      <c r="BA38" s="781">
        <v>42.567978479999994</v>
      </c>
      <c r="BB38" s="781">
        <v>43.444897570000002</v>
      </c>
      <c r="BC38" s="781">
        <v>45.054142570000003</v>
      </c>
      <c r="BD38" s="781">
        <v>38.349922409999998</v>
      </c>
      <c r="BE38" s="781">
        <v>30.918805550000002</v>
      </c>
      <c r="BF38" s="781">
        <v>32.352323630000001</v>
      </c>
      <c r="BG38" s="782">
        <v>32.16380041</v>
      </c>
      <c r="BH38" s="820">
        <v>30.314506189999996</v>
      </c>
      <c r="BI38" s="815">
        <v>30.351168469999998</v>
      </c>
      <c r="BJ38" s="815">
        <v>29.9115468</v>
      </c>
      <c r="BK38" s="815">
        <v>30.50109102</v>
      </c>
      <c r="BL38" s="815">
        <v>29.268843299999997</v>
      </c>
      <c r="BM38" s="815">
        <v>28.754794849999996</v>
      </c>
      <c r="BN38" s="815">
        <v>29.3187648</v>
      </c>
      <c r="BO38" s="815">
        <v>29.03480441</v>
      </c>
      <c r="BP38" s="815">
        <v>29.281016949999998</v>
      </c>
      <c r="BQ38" s="815">
        <v>30.092502039999999</v>
      </c>
      <c r="BR38" s="815">
        <v>31.740528149999996</v>
      </c>
      <c r="BS38" s="815">
        <v>32.981479800000002</v>
      </c>
      <c r="BT38" s="815">
        <v>32.3277176</v>
      </c>
      <c r="BU38" s="815">
        <v>31.824480560000001</v>
      </c>
      <c r="BV38" s="815">
        <v>32.316656039999998</v>
      </c>
      <c r="BW38" s="815">
        <v>32.858558200000004</v>
      </c>
      <c r="BX38" s="815">
        <v>31.658665549999998</v>
      </c>
      <c r="BY38" s="815">
        <v>28.140884570000001</v>
      </c>
      <c r="BZ38" s="815">
        <v>27.768869719999998</v>
      </c>
      <c r="CA38" s="815">
        <v>28.445168290000002</v>
      </c>
      <c r="CB38" s="815">
        <v>31.251241359999998</v>
      </c>
      <c r="CC38" s="815">
        <v>34.789028260000002</v>
      </c>
      <c r="CD38" s="815">
        <v>40.496305579999998</v>
      </c>
      <c r="CE38" s="815">
        <v>45.179075760000003</v>
      </c>
      <c r="CF38" s="815">
        <v>47.26933923</v>
      </c>
      <c r="CG38" s="815">
        <v>48.460994929999998</v>
      </c>
      <c r="CH38" s="815">
        <v>47.091091359999993</v>
      </c>
      <c r="CI38" s="815">
        <v>49.691688419999991</v>
      </c>
      <c r="CJ38" s="815">
        <v>48.539318809999997</v>
      </c>
      <c r="CK38" s="815">
        <v>43.602762060000011</v>
      </c>
      <c r="CL38" s="815">
        <v>43.33771346999999</v>
      </c>
      <c r="CM38" s="815">
        <v>41.439723709999996</v>
      </c>
      <c r="CN38" s="815">
        <v>41.738506699999995</v>
      </c>
      <c r="CO38" s="815">
        <v>47.721358759999994</v>
      </c>
      <c r="CP38" s="815">
        <v>57.084244719999994</v>
      </c>
      <c r="CQ38" s="815">
        <v>58.694032039999996</v>
      </c>
      <c r="CR38" s="815">
        <v>60.689577670000006</v>
      </c>
      <c r="CS38" s="815">
        <v>66.059513080000002</v>
      </c>
      <c r="CT38" s="815">
        <v>67.224040759999994</v>
      </c>
      <c r="CU38" s="815">
        <v>71.991596610000002</v>
      </c>
      <c r="CV38" s="815">
        <v>75.544221550000003</v>
      </c>
      <c r="CW38" s="815">
        <v>82.102439349999997</v>
      </c>
      <c r="CX38" s="815">
        <v>84.99988424</v>
      </c>
      <c r="CY38" s="815">
        <v>86.743387010000006</v>
      </c>
      <c r="CZ38" s="815">
        <v>86.788193320000005</v>
      </c>
      <c r="DA38" s="815">
        <v>93.071777269999998</v>
      </c>
      <c r="DB38" s="815">
        <v>106.35065351</v>
      </c>
      <c r="DC38" s="815">
        <v>112.33308402999999</v>
      </c>
      <c r="DD38" s="815">
        <v>115.04752805</v>
      </c>
      <c r="DE38" s="815">
        <v>122.36977136</v>
      </c>
      <c r="DF38" s="815">
        <v>122.23483948000001</v>
      </c>
      <c r="DG38" s="815">
        <v>131.69014238</v>
      </c>
      <c r="DH38" s="815">
        <v>134.84683136000001</v>
      </c>
      <c r="DI38" s="815">
        <v>139.54824948000001</v>
      </c>
      <c r="DJ38" s="815">
        <v>141.02214283999999</v>
      </c>
      <c r="DK38" s="815">
        <v>138.69091433</v>
      </c>
      <c r="DL38" s="815">
        <v>138.83422530000001</v>
      </c>
      <c r="DM38" s="815">
        <v>146.96351751</v>
      </c>
      <c r="DN38" s="815">
        <v>149.62944887</v>
      </c>
      <c r="DO38" s="815">
        <v>147.70071213</v>
      </c>
      <c r="DP38" s="815">
        <v>146.98120374000001</v>
      </c>
      <c r="DQ38" s="815">
        <v>156.76234754999999</v>
      </c>
      <c r="DR38" s="815">
        <v>158.17856487</v>
      </c>
      <c r="DS38" s="815">
        <v>159.9750775</v>
      </c>
      <c r="DT38" s="815">
        <v>161.98581701000001</v>
      </c>
      <c r="DU38" s="815">
        <v>164.27255177999999</v>
      </c>
      <c r="DV38" s="815">
        <v>168.04869883999999</v>
      </c>
      <c r="DW38" s="815">
        <v>165.18052918000001</v>
      </c>
      <c r="DX38" s="815">
        <v>157.18929076000001</v>
      </c>
      <c r="DY38" s="815">
        <v>168.21587991000001</v>
      </c>
      <c r="DZ38" s="815">
        <v>176.53917430999999</v>
      </c>
      <c r="EA38" s="815">
        <v>178.87528545999999</v>
      </c>
      <c r="EB38" s="815">
        <v>184.99126476000001</v>
      </c>
      <c r="EC38" s="815">
        <v>188.13916682000001</v>
      </c>
      <c r="ED38" s="815">
        <v>179.73408726</v>
      </c>
      <c r="EE38" s="815">
        <v>184.58767689000001</v>
      </c>
      <c r="EF38" s="815">
        <v>187.96328889</v>
      </c>
      <c r="EG38" s="815">
        <v>189.70817937999999</v>
      </c>
      <c r="EH38" s="815">
        <v>193.10346082999999</v>
      </c>
      <c r="EI38" s="815">
        <v>187.86677725000001</v>
      </c>
      <c r="EJ38" s="815">
        <v>194.32506028</v>
      </c>
      <c r="EK38" s="815">
        <v>199.47485474999999</v>
      </c>
      <c r="EL38" s="815">
        <v>216.42477615000001</v>
      </c>
      <c r="EM38" s="815">
        <v>218.8298537</v>
      </c>
      <c r="EN38" s="815">
        <v>219.92885447</v>
      </c>
      <c r="EO38" s="815">
        <v>216.52486008</v>
      </c>
      <c r="EP38" s="815">
        <v>212.90409156000001</v>
      </c>
      <c r="EQ38" s="815">
        <v>214.60370570000001</v>
      </c>
      <c r="ER38" s="815">
        <v>222.46892158</v>
      </c>
      <c r="ES38" s="815">
        <v>227.14988586999999</v>
      </c>
      <c r="ET38" s="815">
        <v>228.43973216000001</v>
      </c>
      <c r="EU38" s="815">
        <v>226.98146603999999</v>
      </c>
      <c r="EV38" s="815">
        <v>227.53076037</v>
      </c>
      <c r="EW38" s="815">
        <v>241.76993963999999</v>
      </c>
      <c r="EX38" s="815">
        <v>261.61334525000001</v>
      </c>
      <c r="EY38" s="815">
        <v>259.67573697</v>
      </c>
      <c r="EZ38" s="815">
        <v>259.60782195000002</v>
      </c>
      <c r="FA38" s="815">
        <v>262.38246558999998</v>
      </c>
      <c r="FB38" s="815">
        <v>260.77702577000002</v>
      </c>
      <c r="FC38" s="815">
        <v>272.92069687999998</v>
      </c>
      <c r="FD38" s="815">
        <v>273.49794736000001</v>
      </c>
      <c r="FE38" s="815">
        <v>283.29765386999998</v>
      </c>
      <c r="FF38" s="815">
        <v>288.46925396</v>
      </c>
      <c r="FG38" s="815">
        <v>287.90359996000001</v>
      </c>
      <c r="FH38" s="1720" t="s">
        <v>4064</v>
      </c>
    </row>
    <row r="39" spans="1:164" ht="21">
      <c r="A39" s="1721" t="s">
        <v>2006</v>
      </c>
      <c r="B39" s="783">
        <v>11.5349111</v>
      </c>
      <c r="C39" s="783">
        <v>8.7454138299999986</v>
      </c>
      <c r="D39" s="783">
        <v>7.4834635</v>
      </c>
      <c r="E39" s="783">
        <v>6.3343823800000001</v>
      </c>
      <c r="F39" s="783">
        <v>5.2639893000000004</v>
      </c>
      <c r="G39" s="783">
        <v>3.3985690399999999</v>
      </c>
      <c r="H39" s="783">
        <v>2.3517269500000002</v>
      </c>
      <c r="I39" s="783">
        <v>2.6045756299999998</v>
      </c>
      <c r="J39" s="783">
        <v>2.2216393700000001</v>
      </c>
      <c r="K39" s="783">
        <v>2.1604887799999997</v>
      </c>
      <c r="L39" s="783">
        <v>1.5203341699999999</v>
      </c>
      <c r="M39" s="784">
        <v>1.5360767799999999</v>
      </c>
      <c r="N39" s="784">
        <v>2.4355099300000003</v>
      </c>
      <c r="O39" s="784">
        <v>3.8018975099999999</v>
      </c>
      <c r="P39" s="784">
        <v>4.1089636299999999</v>
      </c>
      <c r="Q39" s="784">
        <v>2.0403715399999998</v>
      </c>
      <c r="R39" s="784">
        <v>1.7954462699999998</v>
      </c>
      <c r="S39" s="784">
        <v>1.5700264399999999</v>
      </c>
      <c r="T39" s="784">
        <v>1.5603955899999999</v>
      </c>
      <c r="U39" s="784">
        <v>1.5018018899999999</v>
      </c>
      <c r="V39" s="784">
        <v>1.6854109500000001</v>
      </c>
      <c r="W39" s="784">
        <v>1.189103</v>
      </c>
      <c r="X39" s="784">
        <v>1.2639828200000001</v>
      </c>
      <c r="Y39" s="784">
        <v>1.7534115100000001</v>
      </c>
      <c r="Z39" s="784">
        <v>2.30992482</v>
      </c>
      <c r="AA39" s="784">
        <v>1.59539184</v>
      </c>
      <c r="AB39" s="784">
        <v>0.88308518999999996</v>
      </c>
      <c r="AC39" s="784">
        <v>0.87671334999999995</v>
      </c>
      <c r="AD39" s="784">
        <v>0.80485080000000009</v>
      </c>
      <c r="AE39" s="784">
        <v>0.77840816000000002</v>
      </c>
      <c r="AF39" s="784">
        <v>0.68138962999999997</v>
      </c>
      <c r="AG39" s="784">
        <v>1.5731318300000001</v>
      </c>
      <c r="AH39" s="784">
        <v>1.43631756</v>
      </c>
      <c r="AI39" s="784">
        <v>1.43864952</v>
      </c>
      <c r="AJ39" s="784">
        <v>1.30903426</v>
      </c>
      <c r="AK39" s="784">
        <v>1.51176186</v>
      </c>
      <c r="AL39" s="784">
        <v>1.4251186200000001</v>
      </c>
      <c r="AM39" s="784">
        <v>1.3765356100000001</v>
      </c>
      <c r="AN39" s="784">
        <v>1.2053403300000001</v>
      </c>
      <c r="AO39" s="784">
        <v>1.2640906200000002</v>
      </c>
      <c r="AP39" s="784">
        <v>1.04201564</v>
      </c>
      <c r="AQ39" s="784">
        <v>1.01320839</v>
      </c>
      <c r="AR39" s="784">
        <v>0.97756821999999999</v>
      </c>
      <c r="AS39" s="784">
        <v>1.11871374</v>
      </c>
      <c r="AT39" s="784">
        <v>0.98844832000000005</v>
      </c>
      <c r="AU39" s="784">
        <v>1.3092847299999999</v>
      </c>
      <c r="AV39" s="784">
        <v>1.27273364</v>
      </c>
      <c r="AW39" s="784">
        <v>1.0344267</v>
      </c>
      <c r="AX39" s="784">
        <v>1.0607885000000001</v>
      </c>
      <c r="AY39" s="784">
        <v>1.0726359000000001</v>
      </c>
      <c r="AZ39" s="784">
        <v>0.91915500000000006</v>
      </c>
      <c r="BA39" s="784">
        <v>0.8736124999999999</v>
      </c>
      <c r="BB39" s="784">
        <v>0.36208768999999996</v>
      </c>
      <c r="BC39" s="784">
        <v>0.23066812000000003</v>
      </c>
      <c r="BD39" s="784">
        <v>0.24405977999999998</v>
      </c>
      <c r="BE39" s="784">
        <v>0.25227676999999998</v>
      </c>
      <c r="BF39" s="784">
        <v>0.24375025</v>
      </c>
      <c r="BG39" s="785">
        <v>0.35830021000000001</v>
      </c>
      <c r="BH39" s="821">
        <v>0.35419796999999997</v>
      </c>
      <c r="BI39" s="816">
        <v>0.36119773999999999</v>
      </c>
      <c r="BJ39" s="816">
        <v>0.36235640999999996</v>
      </c>
      <c r="BK39" s="816">
        <v>0.39989142</v>
      </c>
      <c r="BL39" s="816">
        <v>0.39846996999999995</v>
      </c>
      <c r="BM39" s="816">
        <v>0.33978878999999995</v>
      </c>
      <c r="BN39" s="816">
        <v>0.36381722999999999</v>
      </c>
      <c r="BO39" s="816">
        <v>2.54297269</v>
      </c>
      <c r="BP39" s="816">
        <v>2.2374503699999999</v>
      </c>
      <c r="BQ39" s="816">
        <v>2.0874465099999999</v>
      </c>
      <c r="BR39" s="816">
        <v>1.8746427999999999</v>
      </c>
      <c r="BS39" s="816">
        <v>1.4887859900000002</v>
      </c>
      <c r="BT39" s="816">
        <v>1.2045232000000001</v>
      </c>
      <c r="BU39" s="816">
        <v>1.0837054400000001</v>
      </c>
      <c r="BV39" s="816">
        <v>0.89506249999999987</v>
      </c>
      <c r="BW39" s="816">
        <v>0.75036230000000004</v>
      </c>
      <c r="BX39" s="816">
        <v>0.57132547000000011</v>
      </c>
      <c r="BY39" s="816">
        <v>0.52914781</v>
      </c>
      <c r="BZ39" s="816">
        <v>0.63896408999999998</v>
      </c>
      <c r="CA39" s="816">
        <v>0.57437948999999999</v>
      </c>
      <c r="CB39" s="816">
        <v>0.51882867999999993</v>
      </c>
      <c r="CC39" s="816">
        <v>0.68072688000000003</v>
      </c>
      <c r="CD39" s="816">
        <v>0.52285970000000004</v>
      </c>
      <c r="CE39" s="816">
        <v>0.51437451000000001</v>
      </c>
      <c r="CF39" s="816">
        <v>0.48719140000000005</v>
      </c>
      <c r="CG39" s="816">
        <v>0.42552722000000004</v>
      </c>
      <c r="CH39" s="816">
        <v>0.39722900999999994</v>
      </c>
      <c r="CI39" s="816">
        <v>0.36940772999999999</v>
      </c>
      <c r="CJ39" s="816">
        <v>0.36653124000000004</v>
      </c>
      <c r="CK39" s="816">
        <v>0.28337787000000003</v>
      </c>
      <c r="CL39" s="816">
        <v>0.30021001000000003</v>
      </c>
      <c r="CM39" s="816">
        <v>0.28515431999999996</v>
      </c>
      <c r="CN39" s="816">
        <v>0.37293921000000008</v>
      </c>
      <c r="CO39" s="816">
        <v>0.49764842000000004</v>
      </c>
      <c r="CP39" s="816">
        <v>0.36592247</v>
      </c>
      <c r="CQ39" s="816">
        <v>0.25118241000000002</v>
      </c>
      <c r="CR39" s="816">
        <v>0.27674666999999997</v>
      </c>
      <c r="CS39" s="816">
        <v>0.27608162999999997</v>
      </c>
      <c r="CT39" s="816">
        <v>0.46219247000000002</v>
      </c>
      <c r="CU39" s="816">
        <v>0.56687575000000001</v>
      </c>
      <c r="CV39" s="816">
        <v>0.53270629000000003</v>
      </c>
      <c r="CW39" s="816">
        <v>0.60319575999999997</v>
      </c>
      <c r="CX39" s="816">
        <v>0.41461442999999998</v>
      </c>
      <c r="CY39" s="816">
        <v>0.31843502000000001</v>
      </c>
      <c r="CZ39" s="816">
        <v>0.30499907999999998</v>
      </c>
      <c r="DA39" s="816">
        <v>0.30876005000000001</v>
      </c>
      <c r="DB39" s="816">
        <v>0.42037141</v>
      </c>
      <c r="DC39" s="816">
        <v>0.40252679000000002</v>
      </c>
      <c r="DD39" s="816">
        <v>0.55342272999999997</v>
      </c>
      <c r="DE39" s="816">
        <v>0.64217281000000004</v>
      </c>
      <c r="DF39" s="816">
        <v>0.71022571000000001</v>
      </c>
      <c r="DG39" s="816">
        <v>0.64493073999999995</v>
      </c>
      <c r="DH39" s="816">
        <v>0.68237418000000005</v>
      </c>
      <c r="DI39" s="816">
        <v>0.94961397000000003</v>
      </c>
      <c r="DJ39" s="816">
        <v>0.87858758000000003</v>
      </c>
      <c r="DK39" s="816">
        <v>0.91519410000000001</v>
      </c>
      <c r="DL39" s="816">
        <v>0.96344719999999995</v>
      </c>
      <c r="DM39" s="816">
        <v>0.87638466999999998</v>
      </c>
      <c r="DN39" s="816">
        <v>0.84080500000000002</v>
      </c>
      <c r="DO39" s="816">
        <v>0.86569633999999995</v>
      </c>
      <c r="DP39" s="816">
        <v>0.72011053999999997</v>
      </c>
      <c r="DQ39" s="816">
        <v>0.74036040000000003</v>
      </c>
      <c r="DR39" s="816">
        <v>0.78825100999999997</v>
      </c>
      <c r="DS39" s="816">
        <v>0.71948924999999997</v>
      </c>
      <c r="DT39" s="816">
        <v>0.75144358</v>
      </c>
      <c r="DU39" s="816">
        <v>0.65806865999999997</v>
      </c>
      <c r="DV39" s="816">
        <v>0.75942299000000002</v>
      </c>
      <c r="DW39" s="816">
        <v>0.78439424000000002</v>
      </c>
      <c r="DX39" s="816">
        <v>0.84094745000000004</v>
      </c>
      <c r="DY39" s="816">
        <v>0.87639286000000005</v>
      </c>
      <c r="DZ39" s="816">
        <v>0.93074446</v>
      </c>
      <c r="EA39" s="816">
        <v>1.1749112399999999</v>
      </c>
      <c r="EB39" s="816">
        <v>1.0346146899999999</v>
      </c>
      <c r="EC39" s="816">
        <v>0.97046854000000005</v>
      </c>
      <c r="ED39" s="816">
        <v>0.79904686000000003</v>
      </c>
      <c r="EE39" s="816">
        <v>0.84896824000000004</v>
      </c>
      <c r="EF39" s="816">
        <v>0.79743527000000003</v>
      </c>
      <c r="EG39" s="816">
        <v>0.71983266000000001</v>
      </c>
      <c r="EH39" s="816">
        <v>0.57756521000000005</v>
      </c>
      <c r="EI39" s="816">
        <v>0.79472564000000001</v>
      </c>
      <c r="EJ39" s="816">
        <v>0.74540386999999997</v>
      </c>
      <c r="EK39" s="816">
        <v>0.71356430999999998</v>
      </c>
      <c r="EL39" s="816">
        <v>0.76069372000000002</v>
      </c>
      <c r="EM39" s="816">
        <v>0.9022268</v>
      </c>
      <c r="EN39" s="816">
        <v>1.1920693899999999</v>
      </c>
      <c r="EO39" s="816">
        <v>2.24545394</v>
      </c>
      <c r="EP39" s="816">
        <v>2.24234416</v>
      </c>
      <c r="EQ39" s="816">
        <v>2.05899163</v>
      </c>
      <c r="ER39" s="816">
        <v>2.3381619699999998</v>
      </c>
      <c r="ES39" s="816">
        <v>2.3028763699999999</v>
      </c>
      <c r="ET39" s="816">
        <v>1.43429688</v>
      </c>
      <c r="EU39" s="816">
        <v>1.32789534</v>
      </c>
      <c r="EV39" s="816">
        <v>1.21625877</v>
      </c>
      <c r="EW39" s="816">
        <v>1.3179055900000001</v>
      </c>
      <c r="EX39" s="816">
        <v>1.3743853399999999</v>
      </c>
      <c r="EY39" s="816">
        <v>1.2688254999999999</v>
      </c>
      <c r="EZ39" s="816">
        <v>1.4033915800000001</v>
      </c>
      <c r="FA39" s="816">
        <v>1.4745413000000001</v>
      </c>
      <c r="FB39" s="816">
        <v>1.3084372500000001</v>
      </c>
      <c r="FC39" s="816">
        <v>1.28017837</v>
      </c>
      <c r="FD39" s="816">
        <v>1.4921012</v>
      </c>
      <c r="FE39" s="816">
        <v>1.41786316</v>
      </c>
      <c r="FF39" s="816">
        <v>1.30775793</v>
      </c>
      <c r="FG39" s="816">
        <v>1.3885083899999999</v>
      </c>
      <c r="FH39" s="1726" t="s">
        <v>4074</v>
      </c>
    </row>
    <row r="40" spans="1:164" ht="21">
      <c r="A40" s="1722" t="s">
        <v>185</v>
      </c>
      <c r="B40" s="780">
        <v>11.92087025</v>
      </c>
      <c r="C40" s="780">
        <v>11.30333484</v>
      </c>
      <c r="D40" s="780">
        <v>9.8703165500000001</v>
      </c>
      <c r="E40" s="780">
        <v>10.148716599999998</v>
      </c>
      <c r="F40" s="780">
        <v>9.2684165099999998</v>
      </c>
      <c r="G40" s="780">
        <v>8.5808643999999994</v>
      </c>
      <c r="H40" s="780">
        <v>8.2488839800000004</v>
      </c>
      <c r="I40" s="780">
        <v>7.466381730000001</v>
      </c>
      <c r="J40" s="780">
        <v>5.2174483399999998</v>
      </c>
      <c r="K40" s="780">
        <v>5.4203100400000004</v>
      </c>
      <c r="L40" s="780">
        <v>7.1184755400000004</v>
      </c>
      <c r="M40" s="781">
        <v>6.1160053899999998</v>
      </c>
      <c r="N40" s="781">
        <v>5.7401400899999997</v>
      </c>
      <c r="O40" s="781">
        <v>6.6274293699999998</v>
      </c>
      <c r="P40" s="781">
        <v>6.2699264699999997</v>
      </c>
      <c r="Q40" s="781">
        <v>6.6026964799999996</v>
      </c>
      <c r="R40" s="781">
        <v>7.17239073</v>
      </c>
      <c r="S40" s="781">
        <v>8.2141341699999995</v>
      </c>
      <c r="T40" s="781">
        <v>9.7843277200000003</v>
      </c>
      <c r="U40" s="781">
        <v>10.724633259999999</v>
      </c>
      <c r="V40" s="781">
        <v>11.77824375</v>
      </c>
      <c r="W40" s="781">
        <v>13.411098170000001</v>
      </c>
      <c r="X40" s="781">
        <v>13.667500309999999</v>
      </c>
      <c r="Y40" s="781">
        <v>14.70599423</v>
      </c>
      <c r="Z40" s="781">
        <v>14.07346353</v>
      </c>
      <c r="AA40" s="781">
        <v>14.068576529999998</v>
      </c>
      <c r="AB40" s="781">
        <v>12.01670811</v>
      </c>
      <c r="AC40" s="781">
        <v>11.382791529999999</v>
      </c>
      <c r="AD40" s="781">
        <v>18.674629780000004</v>
      </c>
      <c r="AE40" s="781">
        <v>19.300063470000001</v>
      </c>
      <c r="AF40" s="781">
        <v>22.53721642</v>
      </c>
      <c r="AG40" s="781">
        <v>30.118103459999997</v>
      </c>
      <c r="AH40" s="781">
        <v>30.15136137</v>
      </c>
      <c r="AI40" s="781">
        <v>34.611326409999997</v>
      </c>
      <c r="AJ40" s="781">
        <v>35.71719204</v>
      </c>
      <c r="AK40" s="781">
        <v>32.958157780000001</v>
      </c>
      <c r="AL40" s="781">
        <v>29.366114639999999</v>
      </c>
      <c r="AM40" s="781">
        <v>27.630427989999998</v>
      </c>
      <c r="AN40" s="781">
        <v>26.588653300000001</v>
      </c>
      <c r="AO40" s="781">
        <v>25.902973109999998</v>
      </c>
      <c r="AP40" s="781">
        <v>25.02723237</v>
      </c>
      <c r="AQ40" s="781">
        <v>28.063079129999998</v>
      </c>
      <c r="AR40" s="781">
        <v>35.962084779999998</v>
      </c>
      <c r="AS40" s="781">
        <v>41.607678259999993</v>
      </c>
      <c r="AT40" s="781">
        <v>41.774195280000001</v>
      </c>
      <c r="AU40" s="781">
        <v>42.721844090000005</v>
      </c>
      <c r="AV40" s="781">
        <v>43.940196740000005</v>
      </c>
      <c r="AW40" s="781">
        <v>38.132575619999997</v>
      </c>
      <c r="AX40" s="781">
        <v>37.10323528</v>
      </c>
      <c r="AY40" s="781">
        <v>36.094409620000008</v>
      </c>
      <c r="AZ40" s="781">
        <v>35.69789351</v>
      </c>
      <c r="BA40" s="781">
        <v>33.158797839999998</v>
      </c>
      <c r="BB40" s="781">
        <v>35.273736460000002</v>
      </c>
      <c r="BC40" s="781">
        <v>36.219755130000003</v>
      </c>
      <c r="BD40" s="781">
        <v>29.019705129999998</v>
      </c>
      <c r="BE40" s="781">
        <v>20.014748579999999</v>
      </c>
      <c r="BF40" s="781">
        <v>20.77238783</v>
      </c>
      <c r="BG40" s="782">
        <v>20.672951390000001</v>
      </c>
      <c r="BH40" s="820">
        <v>20.026565809999997</v>
      </c>
      <c r="BI40" s="815">
        <v>20.415131989999999</v>
      </c>
      <c r="BJ40" s="815">
        <v>19.6547631</v>
      </c>
      <c r="BK40" s="815">
        <v>20.65259129</v>
      </c>
      <c r="BL40" s="815">
        <v>19.258885929999998</v>
      </c>
      <c r="BM40" s="815">
        <v>19.985703829999999</v>
      </c>
      <c r="BN40" s="815">
        <v>20.61373721</v>
      </c>
      <c r="BO40" s="815">
        <v>20.44980108</v>
      </c>
      <c r="BP40" s="815">
        <v>21.273892229999998</v>
      </c>
      <c r="BQ40" s="815">
        <v>22.00244971</v>
      </c>
      <c r="BR40" s="815">
        <v>25.232507499999997</v>
      </c>
      <c r="BS40" s="815">
        <v>25.257107349999998</v>
      </c>
      <c r="BT40" s="815">
        <v>24.73990388</v>
      </c>
      <c r="BU40" s="815">
        <v>24.519227100000002</v>
      </c>
      <c r="BV40" s="815">
        <v>23.320074699999999</v>
      </c>
      <c r="BW40" s="815">
        <v>23.716396120000002</v>
      </c>
      <c r="BX40" s="815">
        <v>24.250418719999999</v>
      </c>
      <c r="BY40" s="815">
        <v>21.221790410000001</v>
      </c>
      <c r="BZ40" s="815">
        <v>20.543553129999999</v>
      </c>
      <c r="CA40" s="815">
        <v>21.378526910000001</v>
      </c>
      <c r="CB40" s="815">
        <v>23.893826619999999</v>
      </c>
      <c r="CC40" s="815">
        <v>26.19338595</v>
      </c>
      <c r="CD40" s="815">
        <v>30.091885659999999</v>
      </c>
      <c r="CE40" s="815">
        <v>35.193090269999999</v>
      </c>
      <c r="CF40" s="815">
        <v>38.15926743</v>
      </c>
      <c r="CG40" s="815">
        <v>40.603942499999995</v>
      </c>
      <c r="CH40" s="815">
        <v>39.914343669999994</v>
      </c>
      <c r="CI40" s="815">
        <v>42.656396609999994</v>
      </c>
      <c r="CJ40" s="815">
        <v>44.235507569999996</v>
      </c>
      <c r="CK40" s="815">
        <v>39.541192840000008</v>
      </c>
      <c r="CL40" s="815">
        <v>38.927257359999992</v>
      </c>
      <c r="CM40" s="815">
        <v>38.006109349999996</v>
      </c>
      <c r="CN40" s="815">
        <v>39.351897229999992</v>
      </c>
      <c r="CO40" s="815">
        <v>41.363689199999996</v>
      </c>
      <c r="CP40" s="815">
        <v>46.662537349999994</v>
      </c>
      <c r="CQ40" s="815">
        <v>48.725828440000001</v>
      </c>
      <c r="CR40" s="815">
        <v>51.755729250000002</v>
      </c>
      <c r="CS40" s="815">
        <v>58.492957259999997</v>
      </c>
      <c r="CT40" s="815">
        <v>60.659039659999998</v>
      </c>
      <c r="CU40" s="815">
        <v>66.375471989999994</v>
      </c>
      <c r="CV40" s="815">
        <v>69.053844080000005</v>
      </c>
      <c r="CW40" s="815">
        <v>75.831936139999996</v>
      </c>
      <c r="CX40" s="815">
        <v>78.973729559999995</v>
      </c>
      <c r="CY40" s="815">
        <v>80.863653799999994</v>
      </c>
      <c r="CZ40" s="815">
        <v>80.70543773</v>
      </c>
      <c r="DA40" s="815">
        <v>82.282902809999996</v>
      </c>
      <c r="DB40" s="815">
        <v>93.128822069999998</v>
      </c>
      <c r="DC40" s="815">
        <v>98.386953300000002</v>
      </c>
      <c r="DD40" s="815">
        <v>103.51733589</v>
      </c>
      <c r="DE40" s="815">
        <v>112.89697231</v>
      </c>
      <c r="DF40" s="815">
        <v>114.1074428</v>
      </c>
      <c r="DG40" s="815">
        <v>121.84802898</v>
      </c>
      <c r="DH40" s="815">
        <v>125.18824146</v>
      </c>
      <c r="DI40" s="815">
        <v>129.94703432</v>
      </c>
      <c r="DJ40" s="815">
        <v>131.79293376999999</v>
      </c>
      <c r="DK40" s="815">
        <v>131.39813095</v>
      </c>
      <c r="DL40" s="815">
        <v>131.0758481</v>
      </c>
      <c r="DM40" s="815">
        <v>134.73950310999999</v>
      </c>
      <c r="DN40" s="815">
        <v>137.38312142999999</v>
      </c>
      <c r="DO40" s="815">
        <v>134.74297874999999</v>
      </c>
      <c r="DP40" s="815">
        <v>134.84768721</v>
      </c>
      <c r="DQ40" s="815">
        <v>142.31787567000001</v>
      </c>
      <c r="DR40" s="815">
        <v>144.99926855000001</v>
      </c>
      <c r="DS40" s="815">
        <v>147.76441459</v>
      </c>
      <c r="DT40" s="815">
        <v>150.94650454999999</v>
      </c>
      <c r="DU40" s="815">
        <v>155.03900834000001</v>
      </c>
      <c r="DV40" s="815">
        <v>155.68621547000001</v>
      </c>
      <c r="DW40" s="815">
        <v>156.31382503</v>
      </c>
      <c r="DX40" s="815">
        <v>150.74743053</v>
      </c>
      <c r="DY40" s="815">
        <v>157.00681295999999</v>
      </c>
      <c r="DZ40" s="815">
        <v>160.34249714000001</v>
      </c>
      <c r="EA40" s="815">
        <v>162.74632106999999</v>
      </c>
      <c r="EB40" s="815">
        <v>166.68267899</v>
      </c>
      <c r="EC40" s="815">
        <v>170.39272326</v>
      </c>
      <c r="ED40" s="815">
        <v>166.25399823000001</v>
      </c>
      <c r="EE40" s="815">
        <v>171.78111436</v>
      </c>
      <c r="EF40" s="815">
        <v>177.35446031999999</v>
      </c>
      <c r="EG40" s="815">
        <v>180.28212855000001</v>
      </c>
      <c r="EH40" s="815">
        <v>184.49409048999999</v>
      </c>
      <c r="EI40" s="815">
        <v>179.92626146000001</v>
      </c>
      <c r="EJ40" s="815">
        <v>186.96899556</v>
      </c>
      <c r="EK40" s="815">
        <v>187.25436347999999</v>
      </c>
      <c r="EL40" s="815">
        <v>194.74978587999999</v>
      </c>
      <c r="EM40" s="815">
        <v>198.19807741</v>
      </c>
      <c r="EN40" s="815">
        <v>200.6496248</v>
      </c>
      <c r="EO40" s="815">
        <v>198.70285247999999</v>
      </c>
      <c r="EP40" s="815">
        <v>197.22800197000001</v>
      </c>
      <c r="EQ40" s="815">
        <v>201.35251932</v>
      </c>
      <c r="ER40" s="815">
        <v>210.01199025</v>
      </c>
      <c r="ES40" s="815">
        <v>217.17298399000001</v>
      </c>
      <c r="ET40" s="815">
        <v>220.01086946999999</v>
      </c>
      <c r="EU40" s="815">
        <v>221.18402626</v>
      </c>
      <c r="EV40" s="815">
        <v>224.95706730000001</v>
      </c>
      <c r="EW40" s="815">
        <v>231.35614483000001</v>
      </c>
      <c r="EX40" s="815">
        <v>240.63608865</v>
      </c>
      <c r="EY40" s="815">
        <v>238.76912977999999</v>
      </c>
      <c r="EZ40" s="815">
        <v>240.45357933</v>
      </c>
      <c r="FA40" s="815">
        <v>245.75768497000001</v>
      </c>
      <c r="FB40" s="815">
        <v>246.95341628</v>
      </c>
      <c r="FC40" s="815">
        <v>258.80291713000003</v>
      </c>
      <c r="FD40" s="815">
        <v>260.08994476999999</v>
      </c>
      <c r="FE40" s="815">
        <v>270.58721795999998</v>
      </c>
      <c r="FF40" s="815">
        <v>276.95765667000001</v>
      </c>
      <c r="FG40" s="815">
        <v>277.58146317000001</v>
      </c>
      <c r="FH40" s="1722" t="s">
        <v>206</v>
      </c>
    </row>
    <row r="41" spans="1:164" ht="21">
      <c r="A41" s="1721" t="s">
        <v>2006</v>
      </c>
      <c r="B41" s="783">
        <v>10.7899505</v>
      </c>
      <c r="C41" s="783">
        <v>8.1206127699999993</v>
      </c>
      <c r="D41" s="783">
        <v>6.7108942599999999</v>
      </c>
      <c r="E41" s="783">
        <v>5.4544876599999998</v>
      </c>
      <c r="F41" s="783">
        <v>4.3001941200000005</v>
      </c>
      <c r="G41" s="783">
        <v>3.2852962799999998</v>
      </c>
      <c r="H41" s="783">
        <v>2.3517269500000002</v>
      </c>
      <c r="I41" s="783">
        <v>2.6045756299999998</v>
      </c>
      <c r="J41" s="783">
        <v>2.2216393700000001</v>
      </c>
      <c r="K41" s="783">
        <v>2.1604887799999997</v>
      </c>
      <c r="L41" s="783">
        <v>1.5203341699999999</v>
      </c>
      <c r="M41" s="784">
        <v>1.5360767799999999</v>
      </c>
      <c r="N41" s="784">
        <v>2.4355099300000003</v>
      </c>
      <c r="O41" s="784">
        <v>3.8018975099999999</v>
      </c>
      <c r="P41" s="784">
        <v>4.1089636299999999</v>
      </c>
      <c r="Q41" s="784">
        <v>2.0050780399999999</v>
      </c>
      <c r="R41" s="784">
        <v>1.7562278899999999</v>
      </c>
      <c r="S41" s="784">
        <v>1.5159124799999999</v>
      </c>
      <c r="T41" s="784">
        <v>1.5047201299999999</v>
      </c>
      <c r="U41" s="784">
        <v>1.4441512299999999</v>
      </c>
      <c r="V41" s="784">
        <v>1.58071154</v>
      </c>
      <c r="W41" s="784">
        <v>1.189103</v>
      </c>
      <c r="X41" s="784">
        <v>1.2639828200000001</v>
      </c>
      <c r="Y41" s="784">
        <v>1.7534115100000001</v>
      </c>
      <c r="Z41" s="784">
        <v>2.30992482</v>
      </c>
      <c r="AA41" s="784">
        <v>1.59539184</v>
      </c>
      <c r="AB41" s="784">
        <v>0.88308518999999996</v>
      </c>
      <c r="AC41" s="784">
        <v>0.87671334999999995</v>
      </c>
      <c r="AD41" s="784">
        <v>0.80485080000000009</v>
      </c>
      <c r="AE41" s="784">
        <v>0.77840816000000002</v>
      </c>
      <c r="AF41" s="784">
        <v>0.68138962999999997</v>
      </c>
      <c r="AG41" s="784">
        <v>1.5731318300000001</v>
      </c>
      <c r="AH41" s="784">
        <v>1.43631756</v>
      </c>
      <c r="AI41" s="784">
        <v>1.43864952</v>
      </c>
      <c r="AJ41" s="784">
        <v>1.30903426</v>
      </c>
      <c r="AK41" s="784">
        <v>1.51176186</v>
      </c>
      <c r="AL41" s="784">
        <v>1.4251186200000001</v>
      </c>
      <c r="AM41" s="784">
        <v>1.3765356100000001</v>
      </c>
      <c r="AN41" s="784">
        <v>1.2053403300000001</v>
      </c>
      <c r="AO41" s="784">
        <v>1.2640906200000002</v>
      </c>
      <c r="AP41" s="784">
        <v>1.04201564</v>
      </c>
      <c r="AQ41" s="784">
        <v>1.01320839</v>
      </c>
      <c r="AR41" s="784">
        <v>0.97756821999999999</v>
      </c>
      <c r="AS41" s="784">
        <v>1.11871374</v>
      </c>
      <c r="AT41" s="784">
        <v>0.98844832000000005</v>
      </c>
      <c r="AU41" s="784">
        <v>1.3092847299999999</v>
      </c>
      <c r="AV41" s="784">
        <v>1.27273364</v>
      </c>
      <c r="AW41" s="784">
        <v>0.81131850000000005</v>
      </c>
      <c r="AX41" s="784">
        <v>0.81930950000000002</v>
      </c>
      <c r="AY41" s="784">
        <v>0.85245090000000001</v>
      </c>
      <c r="AZ41" s="784">
        <v>0.74687551000000008</v>
      </c>
      <c r="BA41" s="784">
        <v>0.72694596999999994</v>
      </c>
      <c r="BB41" s="784">
        <v>0.36208768999999996</v>
      </c>
      <c r="BC41" s="784">
        <v>0.23066812000000003</v>
      </c>
      <c r="BD41" s="784">
        <v>0.24405977999999998</v>
      </c>
      <c r="BE41" s="784">
        <v>0.25227676999999998</v>
      </c>
      <c r="BF41" s="784">
        <v>0.24375025</v>
      </c>
      <c r="BG41" s="785">
        <v>0.35830021000000001</v>
      </c>
      <c r="BH41" s="821">
        <v>0.35419796999999997</v>
      </c>
      <c r="BI41" s="816">
        <v>0.36119773999999999</v>
      </c>
      <c r="BJ41" s="816">
        <v>0.36235640999999996</v>
      </c>
      <c r="BK41" s="816">
        <v>0.39989142</v>
      </c>
      <c r="BL41" s="816">
        <v>0.39846996999999995</v>
      </c>
      <c r="BM41" s="816">
        <v>0.33978878999999995</v>
      </c>
      <c r="BN41" s="816">
        <v>0.36381722999999999</v>
      </c>
      <c r="BO41" s="816">
        <v>2.54297269</v>
      </c>
      <c r="BP41" s="816">
        <v>2.2374503699999999</v>
      </c>
      <c r="BQ41" s="816">
        <v>2.0874465099999999</v>
      </c>
      <c r="BR41" s="816">
        <v>1.8746427999999999</v>
      </c>
      <c r="BS41" s="816">
        <v>1.4887859900000002</v>
      </c>
      <c r="BT41" s="816">
        <v>1.2045232000000001</v>
      </c>
      <c r="BU41" s="816">
        <v>1.0837054400000001</v>
      </c>
      <c r="BV41" s="816">
        <v>0.89506249999999987</v>
      </c>
      <c r="BW41" s="816">
        <v>0.75036230000000004</v>
      </c>
      <c r="BX41" s="816">
        <v>0.57132547000000011</v>
      </c>
      <c r="BY41" s="816">
        <v>0.52914781</v>
      </c>
      <c r="BZ41" s="816">
        <v>0.63896408999999998</v>
      </c>
      <c r="CA41" s="816">
        <v>0.57437948999999999</v>
      </c>
      <c r="CB41" s="816">
        <v>0.51882867999999993</v>
      </c>
      <c r="CC41" s="816">
        <v>0.68072688000000003</v>
      </c>
      <c r="CD41" s="816">
        <v>0.52285970000000004</v>
      </c>
      <c r="CE41" s="816">
        <v>0.51437451000000001</v>
      </c>
      <c r="CF41" s="816">
        <v>0.48719140000000005</v>
      </c>
      <c r="CG41" s="816">
        <v>0.42552722000000004</v>
      </c>
      <c r="CH41" s="816">
        <v>0.39722900999999994</v>
      </c>
      <c r="CI41" s="816">
        <v>0.36940772999999999</v>
      </c>
      <c r="CJ41" s="816">
        <v>0.36653124000000004</v>
      </c>
      <c r="CK41" s="816">
        <v>0.28337787000000003</v>
      </c>
      <c r="CL41" s="816">
        <v>0.30021001000000003</v>
      </c>
      <c r="CM41" s="816">
        <v>0.28515431999999996</v>
      </c>
      <c r="CN41" s="816">
        <v>0.37293921000000008</v>
      </c>
      <c r="CO41" s="816">
        <v>0.49764842000000004</v>
      </c>
      <c r="CP41" s="816">
        <v>0.36592247</v>
      </c>
      <c r="CQ41" s="816">
        <v>0.25118241000000002</v>
      </c>
      <c r="CR41" s="816">
        <v>0.27674666999999997</v>
      </c>
      <c r="CS41" s="816">
        <v>0.27608162999999997</v>
      </c>
      <c r="CT41" s="816">
        <v>0.46219247000000002</v>
      </c>
      <c r="CU41" s="816">
        <v>0.56687575000000001</v>
      </c>
      <c r="CV41" s="816">
        <v>0.53270629000000003</v>
      </c>
      <c r="CW41" s="816">
        <v>0.60319575999999997</v>
      </c>
      <c r="CX41" s="816">
        <v>0.41461442999999998</v>
      </c>
      <c r="CY41" s="816">
        <v>0.31843502000000001</v>
      </c>
      <c r="CZ41" s="816">
        <v>0.30499907999999998</v>
      </c>
      <c r="DA41" s="816">
        <v>0.30876005000000001</v>
      </c>
      <c r="DB41" s="816">
        <v>0.42037141</v>
      </c>
      <c r="DC41" s="816">
        <v>0.40252679000000002</v>
      </c>
      <c r="DD41" s="816">
        <v>0.55342272999999997</v>
      </c>
      <c r="DE41" s="816">
        <v>0.64217281000000004</v>
      </c>
      <c r="DF41" s="816">
        <v>0.71022571000000001</v>
      </c>
      <c r="DG41" s="816">
        <v>0.64493073999999995</v>
      </c>
      <c r="DH41" s="816">
        <v>0.68237418000000005</v>
      </c>
      <c r="DI41" s="816">
        <v>0.94961397000000003</v>
      </c>
      <c r="DJ41" s="816">
        <v>0.87858758000000003</v>
      </c>
      <c r="DK41" s="816">
        <v>0.91519410000000001</v>
      </c>
      <c r="DL41" s="816">
        <v>0.96344719999999995</v>
      </c>
      <c r="DM41" s="816">
        <v>0.87638466999999998</v>
      </c>
      <c r="DN41" s="816">
        <v>0.84080500000000002</v>
      </c>
      <c r="DO41" s="816">
        <v>0.86569633999999995</v>
      </c>
      <c r="DP41" s="816">
        <v>0.72011053999999997</v>
      </c>
      <c r="DQ41" s="816">
        <v>0.74036040000000003</v>
      </c>
      <c r="DR41" s="816">
        <v>0.78825100999999997</v>
      </c>
      <c r="DS41" s="816">
        <v>0.71948924999999997</v>
      </c>
      <c r="DT41" s="816">
        <v>0.75144358</v>
      </c>
      <c r="DU41" s="816">
        <v>0.65806865999999997</v>
      </c>
      <c r="DV41" s="816">
        <v>0.75942299000000002</v>
      </c>
      <c r="DW41" s="816">
        <v>0.78439424000000002</v>
      </c>
      <c r="DX41" s="816">
        <v>0.84094745000000004</v>
      </c>
      <c r="DY41" s="816">
        <v>0.87639286000000005</v>
      </c>
      <c r="DZ41" s="816">
        <v>0.93074446</v>
      </c>
      <c r="EA41" s="816">
        <v>1.1749112399999999</v>
      </c>
      <c r="EB41" s="816">
        <v>1.0346146899999999</v>
      </c>
      <c r="EC41" s="816">
        <v>0.97046854000000005</v>
      </c>
      <c r="ED41" s="816">
        <v>0.79904686000000003</v>
      </c>
      <c r="EE41" s="816">
        <v>0.84896824000000004</v>
      </c>
      <c r="EF41" s="816">
        <v>0.79743527000000003</v>
      </c>
      <c r="EG41" s="816">
        <v>0.71983266000000001</v>
      </c>
      <c r="EH41" s="816">
        <v>0.57756521000000005</v>
      </c>
      <c r="EI41" s="816">
        <v>0.79472564000000001</v>
      </c>
      <c r="EJ41" s="816">
        <v>0.74540386999999997</v>
      </c>
      <c r="EK41" s="816">
        <v>0.71356430999999998</v>
      </c>
      <c r="EL41" s="816">
        <v>0.76069372000000002</v>
      </c>
      <c r="EM41" s="816">
        <v>0.9022268</v>
      </c>
      <c r="EN41" s="816">
        <v>1.1920693899999999</v>
      </c>
      <c r="EO41" s="816">
        <v>2.24545394</v>
      </c>
      <c r="EP41" s="816">
        <v>2.24234416</v>
      </c>
      <c r="EQ41" s="816">
        <v>2.05899163</v>
      </c>
      <c r="ER41" s="816">
        <v>2.3381619699999998</v>
      </c>
      <c r="ES41" s="816">
        <v>2.3028763699999999</v>
      </c>
      <c r="ET41" s="816">
        <v>1.2642968800000001</v>
      </c>
      <c r="EU41" s="816">
        <v>1.17151797</v>
      </c>
      <c r="EV41" s="816">
        <v>1.0736005</v>
      </c>
      <c r="EW41" s="816">
        <v>1.17524732</v>
      </c>
      <c r="EX41" s="816">
        <v>1.25945752</v>
      </c>
      <c r="EY41" s="816">
        <v>1.16791041</v>
      </c>
      <c r="EZ41" s="816">
        <v>1.3024764900000001</v>
      </c>
      <c r="FA41" s="816">
        <v>1.40195011</v>
      </c>
      <c r="FB41" s="816">
        <v>1.1044372499999999</v>
      </c>
      <c r="FC41" s="816">
        <v>1.0761783700000001</v>
      </c>
      <c r="FD41" s="816">
        <v>1.3042317999999999</v>
      </c>
      <c r="FE41" s="816">
        <v>1.41786316</v>
      </c>
      <c r="FF41" s="816">
        <v>1.30775793</v>
      </c>
      <c r="FG41" s="816">
        <v>1.3885083899999999</v>
      </c>
      <c r="FH41" s="1726" t="s">
        <v>4074</v>
      </c>
    </row>
    <row r="42" spans="1:164" ht="21">
      <c r="A42" s="1722" t="s">
        <v>2738</v>
      </c>
      <c r="B42" s="780">
        <v>5.8456962900000002</v>
      </c>
      <c r="C42" s="780">
        <v>11.641728110000001</v>
      </c>
      <c r="D42" s="780">
        <v>11.7986714</v>
      </c>
      <c r="E42" s="780">
        <v>11.528846189999999</v>
      </c>
      <c r="F42" s="780">
        <v>12.642920699999999</v>
      </c>
      <c r="G42" s="780">
        <v>12.418843679999998</v>
      </c>
      <c r="H42" s="780">
        <v>12.69945442</v>
      </c>
      <c r="I42" s="780">
        <v>12.14054653</v>
      </c>
      <c r="J42" s="780">
        <v>11.87837206</v>
      </c>
      <c r="K42" s="780">
        <v>12.909481400000001</v>
      </c>
      <c r="L42" s="780">
        <v>14.622503099999999</v>
      </c>
      <c r="M42" s="781">
        <v>17.463360510000001</v>
      </c>
      <c r="N42" s="781">
        <v>18.227402000000001</v>
      </c>
      <c r="O42" s="781">
        <v>19.243801899999998</v>
      </c>
      <c r="P42" s="781">
        <v>19.956937660000001</v>
      </c>
      <c r="Q42" s="781">
        <v>21.895244680000001</v>
      </c>
      <c r="R42" s="781">
        <v>22.407884060000001</v>
      </c>
      <c r="S42" s="781">
        <v>23.435352459999997</v>
      </c>
      <c r="T42" s="781">
        <v>23.888962599999999</v>
      </c>
      <c r="U42" s="781">
        <v>23.777534170000003</v>
      </c>
      <c r="V42" s="781">
        <v>22.104970219999998</v>
      </c>
      <c r="W42" s="781">
        <v>22.926018829999997</v>
      </c>
      <c r="X42" s="781">
        <v>19.831526539999999</v>
      </c>
      <c r="Y42" s="781">
        <v>16.25520105</v>
      </c>
      <c r="Z42" s="781">
        <v>17.8761446</v>
      </c>
      <c r="AA42" s="781">
        <v>24.85120925</v>
      </c>
      <c r="AB42" s="781">
        <v>24.912655430000001</v>
      </c>
      <c r="AC42" s="781">
        <v>23.103572600000003</v>
      </c>
      <c r="AD42" s="781">
        <v>16.729958960000001</v>
      </c>
      <c r="AE42" s="781">
        <v>15.625813689999999</v>
      </c>
      <c r="AF42" s="781">
        <v>13.662674119999998</v>
      </c>
      <c r="AG42" s="781">
        <v>9.2629029700000007</v>
      </c>
      <c r="AH42" s="781">
        <v>8.2040035000000007</v>
      </c>
      <c r="AI42" s="781">
        <v>7.1197514800000006</v>
      </c>
      <c r="AJ42" s="781">
        <v>5.9400475199999994</v>
      </c>
      <c r="AK42" s="781">
        <v>8.1816562400000006</v>
      </c>
      <c r="AL42" s="781">
        <v>6.9794332699999995</v>
      </c>
      <c r="AM42" s="781">
        <v>5.3034782400000005</v>
      </c>
      <c r="AN42" s="781">
        <v>6.2810444699999994</v>
      </c>
      <c r="AO42" s="781">
        <v>7.7013336199999998</v>
      </c>
      <c r="AP42" s="781">
        <v>7.2386184099999999</v>
      </c>
      <c r="AQ42" s="781">
        <v>6.55026463</v>
      </c>
      <c r="AR42" s="781">
        <v>7.8653235300000004</v>
      </c>
      <c r="AS42" s="781">
        <v>7.3642977900000002</v>
      </c>
      <c r="AT42" s="781">
        <v>7.1553115999999992</v>
      </c>
      <c r="AU42" s="781">
        <v>7.6251227199999994</v>
      </c>
      <c r="AV42" s="781">
        <v>7.7161766299999996</v>
      </c>
      <c r="AW42" s="781">
        <v>8.0982421999999996</v>
      </c>
      <c r="AX42" s="781">
        <v>8.44990548</v>
      </c>
      <c r="AY42" s="781">
        <v>7.1245930199999998</v>
      </c>
      <c r="AZ42" s="781">
        <v>7.2635064400000005</v>
      </c>
      <c r="BA42" s="781">
        <v>9.4091806399999989</v>
      </c>
      <c r="BB42" s="781">
        <v>8.1711611099999999</v>
      </c>
      <c r="BC42" s="781">
        <v>8.8343874399999986</v>
      </c>
      <c r="BD42" s="781">
        <v>9.3302172799999994</v>
      </c>
      <c r="BE42" s="781">
        <v>10.904056970000001</v>
      </c>
      <c r="BF42" s="781">
        <v>11.579935800000001</v>
      </c>
      <c r="BG42" s="782">
        <v>11.490849019999999</v>
      </c>
      <c r="BH42" s="820">
        <v>10.28794038</v>
      </c>
      <c r="BI42" s="815">
        <v>9.9360364800000003</v>
      </c>
      <c r="BJ42" s="815">
        <v>10.2567837</v>
      </c>
      <c r="BK42" s="815">
        <v>9.8484997300000003</v>
      </c>
      <c r="BL42" s="815">
        <v>10.009957369999999</v>
      </c>
      <c r="BM42" s="815">
        <v>8.7690910199999994</v>
      </c>
      <c r="BN42" s="815">
        <v>8.7050275900000003</v>
      </c>
      <c r="BO42" s="815">
        <v>8.5850033299999993</v>
      </c>
      <c r="BP42" s="815">
        <v>8.0071247200000002</v>
      </c>
      <c r="BQ42" s="815">
        <v>8.0900523300000007</v>
      </c>
      <c r="BR42" s="815">
        <v>6.5080206500000006</v>
      </c>
      <c r="BS42" s="815">
        <v>7.7243724500000006</v>
      </c>
      <c r="BT42" s="815">
        <v>7.5878137199999998</v>
      </c>
      <c r="BU42" s="815">
        <v>7.3052534600000003</v>
      </c>
      <c r="BV42" s="815">
        <v>8.9965813400000005</v>
      </c>
      <c r="BW42" s="815">
        <v>9.1421620800000003</v>
      </c>
      <c r="BX42" s="815">
        <v>7.4082468300000004</v>
      </c>
      <c r="BY42" s="815">
        <v>6.9190941600000002</v>
      </c>
      <c r="BZ42" s="815">
        <v>7.2253165900000003</v>
      </c>
      <c r="CA42" s="815">
        <v>7.0666413800000001</v>
      </c>
      <c r="CB42" s="815">
        <v>7.3574147400000003</v>
      </c>
      <c r="CC42" s="815">
        <v>8.5956423100000006</v>
      </c>
      <c r="CD42" s="815">
        <v>10.40441992</v>
      </c>
      <c r="CE42" s="815">
        <v>9.9859854900000009</v>
      </c>
      <c r="CF42" s="815">
        <v>9.1100718000000001</v>
      </c>
      <c r="CG42" s="815">
        <v>7.8570524299999995</v>
      </c>
      <c r="CH42" s="815">
        <v>7.17674769</v>
      </c>
      <c r="CI42" s="815">
        <v>7.0352918099999995</v>
      </c>
      <c r="CJ42" s="815">
        <v>4.3038112399999999</v>
      </c>
      <c r="CK42" s="815">
        <v>4.06156922</v>
      </c>
      <c r="CL42" s="815">
        <v>4.4104561100000002</v>
      </c>
      <c r="CM42" s="815">
        <v>3.43361436</v>
      </c>
      <c r="CN42" s="815">
        <v>2.3866094700000002</v>
      </c>
      <c r="CO42" s="815">
        <v>6.3576695599999997</v>
      </c>
      <c r="CP42" s="815">
        <v>10.42170737</v>
      </c>
      <c r="CQ42" s="815">
        <v>9.9682035999999989</v>
      </c>
      <c r="CR42" s="815">
        <v>8.9338484200000003</v>
      </c>
      <c r="CS42" s="815">
        <v>7.5665558200000005</v>
      </c>
      <c r="CT42" s="815">
        <v>6.5650010999999999</v>
      </c>
      <c r="CU42" s="815">
        <v>5.6161246199999999</v>
      </c>
      <c r="CV42" s="815">
        <v>6.4903774700000003</v>
      </c>
      <c r="CW42" s="815">
        <v>6.2705032100000002</v>
      </c>
      <c r="CX42" s="815">
        <v>6.0261546800000003</v>
      </c>
      <c r="CY42" s="815">
        <v>5.8797332100000004</v>
      </c>
      <c r="CZ42" s="815">
        <v>6.0827555899999997</v>
      </c>
      <c r="DA42" s="815">
        <v>10.788874460000001</v>
      </c>
      <c r="DB42" s="815">
        <v>13.221831440000001</v>
      </c>
      <c r="DC42" s="815">
        <v>13.94613073</v>
      </c>
      <c r="DD42" s="815">
        <v>11.53019216</v>
      </c>
      <c r="DE42" s="815">
        <v>9.4727990500000008</v>
      </c>
      <c r="DF42" s="815">
        <v>8.1273966800000004</v>
      </c>
      <c r="DG42" s="815">
        <v>9.8421134000000006</v>
      </c>
      <c r="DH42" s="815">
        <v>9.6585899000000008</v>
      </c>
      <c r="DI42" s="815">
        <v>9.6012151600000006</v>
      </c>
      <c r="DJ42" s="815">
        <v>9.2292090699999996</v>
      </c>
      <c r="DK42" s="815">
        <v>7.2927833800000004</v>
      </c>
      <c r="DL42" s="815">
        <v>7.7583772</v>
      </c>
      <c r="DM42" s="815">
        <v>12.2240144</v>
      </c>
      <c r="DN42" s="815">
        <v>12.24632744</v>
      </c>
      <c r="DO42" s="815">
        <v>12.957733380000001</v>
      </c>
      <c r="DP42" s="815">
        <v>12.13351653</v>
      </c>
      <c r="DQ42" s="815">
        <v>14.44447188</v>
      </c>
      <c r="DR42" s="815">
        <v>13.179296320000001</v>
      </c>
      <c r="DS42" s="815">
        <v>12.21066291</v>
      </c>
      <c r="DT42" s="815">
        <v>11.03931246</v>
      </c>
      <c r="DU42" s="815">
        <v>9.23354344</v>
      </c>
      <c r="DV42" s="815">
        <v>12.36248337</v>
      </c>
      <c r="DW42" s="815">
        <v>8.8667041500000003</v>
      </c>
      <c r="DX42" s="815">
        <v>6.4418602299999996</v>
      </c>
      <c r="DY42" s="815">
        <v>11.20906695</v>
      </c>
      <c r="DZ42" s="815">
        <v>16.196677170000001</v>
      </c>
      <c r="EA42" s="815">
        <v>16.12896439</v>
      </c>
      <c r="EB42" s="815">
        <v>18.308585770000001</v>
      </c>
      <c r="EC42" s="815">
        <v>17.746443559999999</v>
      </c>
      <c r="ED42" s="815">
        <v>13.48008903</v>
      </c>
      <c r="EE42" s="815">
        <v>12.806562530000001</v>
      </c>
      <c r="EF42" s="815">
        <v>10.60882857</v>
      </c>
      <c r="EG42" s="815">
        <v>9.4260508299999994</v>
      </c>
      <c r="EH42" s="815">
        <v>8.6093703399999999</v>
      </c>
      <c r="EI42" s="815">
        <v>7.9405157900000001</v>
      </c>
      <c r="EJ42" s="815">
        <v>7.35606472</v>
      </c>
      <c r="EK42" s="815">
        <v>12.22049127</v>
      </c>
      <c r="EL42" s="815">
        <v>21.674990269999999</v>
      </c>
      <c r="EM42" s="815">
        <v>20.631776290000001</v>
      </c>
      <c r="EN42" s="815">
        <v>19.279229669999999</v>
      </c>
      <c r="EO42" s="815">
        <v>17.822007599999999</v>
      </c>
      <c r="EP42" s="815">
        <v>15.67608959</v>
      </c>
      <c r="EQ42" s="815">
        <v>13.25118638</v>
      </c>
      <c r="ER42" s="815">
        <v>12.45693133</v>
      </c>
      <c r="ES42" s="815">
        <v>9.9769018799999998</v>
      </c>
      <c r="ET42" s="815">
        <v>8.4288626900000008</v>
      </c>
      <c r="EU42" s="815">
        <v>5.7974397800000004</v>
      </c>
      <c r="EV42" s="815">
        <v>2.57369307</v>
      </c>
      <c r="EW42" s="815">
        <v>10.413794810000001</v>
      </c>
      <c r="EX42" s="815">
        <v>20.9772566</v>
      </c>
      <c r="EY42" s="815">
        <v>20.906607189999999</v>
      </c>
      <c r="EZ42" s="815">
        <v>19.154242620000002</v>
      </c>
      <c r="FA42" s="815">
        <v>16.624780619999999</v>
      </c>
      <c r="FB42" s="815">
        <v>13.823609490000001</v>
      </c>
      <c r="FC42" s="815">
        <v>14.11777975</v>
      </c>
      <c r="FD42" s="815">
        <v>13.408002590000001</v>
      </c>
      <c r="FE42" s="815">
        <v>12.710435909999999</v>
      </c>
      <c r="FF42" s="815">
        <v>11.511597289999999</v>
      </c>
      <c r="FG42" s="815">
        <v>10.32213679</v>
      </c>
      <c r="FH42" s="1722" t="s">
        <v>4063</v>
      </c>
    </row>
    <row r="43" spans="1:164" ht="21">
      <c r="A43" s="1721" t="s">
        <v>2006</v>
      </c>
      <c r="B43" s="783">
        <v>0.74496059999999997</v>
      </c>
      <c r="C43" s="783">
        <v>0.62480106000000002</v>
      </c>
      <c r="D43" s="783">
        <v>0.77256924000000005</v>
      </c>
      <c r="E43" s="783">
        <v>0.87989472000000002</v>
      </c>
      <c r="F43" s="783">
        <v>0.96379518000000008</v>
      </c>
      <c r="G43" s="783">
        <v>0.11327276</v>
      </c>
      <c r="H43" s="783">
        <v>0</v>
      </c>
      <c r="I43" s="783">
        <v>0</v>
      </c>
      <c r="J43" s="783">
        <v>0</v>
      </c>
      <c r="K43" s="783">
        <v>0</v>
      </c>
      <c r="L43" s="783">
        <v>0</v>
      </c>
      <c r="M43" s="784">
        <v>0</v>
      </c>
      <c r="N43" s="784">
        <v>0</v>
      </c>
      <c r="O43" s="784">
        <v>0</v>
      </c>
      <c r="P43" s="784">
        <v>0</v>
      </c>
      <c r="Q43" s="784">
        <v>3.5293499999999998E-2</v>
      </c>
      <c r="R43" s="784">
        <v>3.9218379999999997E-2</v>
      </c>
      <c r="S43" s="784">
        <v>5.4113959999999996E-2</v>
      </c>
      <c r="T43" s="784">
        <v>5.5675459999999996E-2</v>
      </c>
      <c r="U43" s="784">
        <v>5.7650660000000006E-2</v>
      </c>
      <c r="V43" s="784">
        <v>0.10469941000000001</v>
      </c>
      <c r="W43" s="784">
        <v>0</v>
      </c>
      <c r="X43" s="784">
        <v>0</v>
      </c>
      <c r="Y43" s="784">
        <v>0</v>
      </c>
      <c r="Z43" s="784">
        <v>0</v>
      </c>
      <c r="AA43" s="784">
        <v>0</v>
      </c>
      <c r="AB43" s="784">
        <v>0</v>
      </c>
      <c r="AC43" s="784">
        <v>0</v>
      </c>
      <c r="AD43" s="784">
        <v>0</v>
      </c>
      <c r="AE43" s="784">
        <v>0</v>
      </c>
      <c r="AF43" s="784">
        <v>0</v>
      </c>
      <c r="AG43" s="784">
        <v>0</v>
      </c>
      <c r="AH43" s="784">
        <v>0</v>
      </c>
      <c r="AI43" s="784">
        <v>0</v>
      </c>
      <c r="AJ43" s="784">
        <v>0</v>
      </c>
      <c r="AK43" s="784">
        <v>0</v>
      </c>
      <c r="AL43" s="784">
        <v>0</v>
      </c>
      <c r="AM43" s="784">
        <v>0</v>
      </c>
      <c r="AN43" s="784">
        <v>0</v>
      </c>
      <c r="AO43" s="784">
        <v>0</v>
      </c>
      <c r="AP43" s="784">
        <v>0</v>
      </c>
      <c r="AQ43" s="784">
        <v>0</v>
      </c>
      <c r="AR43" s="784">
        <v>0</v>
      </c>
      <c r="AS43" s="784">
        <v>0</v>
      </c>
      <c r="AT43" s="784">
        <v>0</v>
      </c>
      <c r="AU43" s="784">
        <v>0</v>
      </c>
      <c r="AV43" s="784">
        <v>0</v>
      </c>
      <c r="AW43" s="784">
        <v>0.22310820000000001</v>
      </c>
      <c r="AX43" s="784">
        <v>0.241479</v>
      </c>
      <c r="AY43" s="784">
        <v>0.22018499999999999</v>
      </c>
      <c r="AZ43" s="784">
        <v>0.17227948999999998</v>
      </c>
      <c r="BA43" s="784">
        <v>0.14666652999999999</v>
      </c>
      <c r="BB43" s="784">
        <v>0</v>
      </c>
      <c r="BC43" s="784">
        <v>0</v>
      </c>
      <c r="BD43" s="784">
        <v>0</v>
      </c>
      <c r="BE43" s="784">
        <v>0</v>
      </c>
      <c r="BF43" s="784">
        <v>0</v>
      </c>
      <c r="BG43" s="785">
        <v>0</v>
      </c>
      <c r="BH43" s="821">
        <v>0</v>
      </c>
      <c r="BI43" s="816">
        <v>0</v>
      </c>
      <c r="BJ43" s="816">
        <v>0</v>
      </c>
      <c r="BK43" s="816">
        <v>0</v>
      </c>
      <c r="BL43" s="816">
        <v>0</v>
      </c>
      <c r="BM43" s="816">
        <v>0</v>
      </c>
      <c r="BN43" s="816">
        <v>0</v>
      </c>
      <c r="BO43" s="816">
        <v>0</v>
      </c>
      <c r="BP43" s="816">
        <v>0</v>
      </c>
      <c r="BQ43" s="816">
        <v>0</v>
      </c>
      <c r="BR43" s="816">
        <v>0</v>
      </c>
      <c r="BS43" s="816">
        <v>0</v>
      </c>
      <c r="BT43" s="816">
        <v>0</v>
      </c>
      <c r="BU43" s="816">
        <v>0</v>
      </c>
      <c r="BV43" s="816">
        <v>0</v>
      </c>
      <c r="BW43" s="816">
        <v>0</v>
      </c>
      <c r="BX43" s="816">
        <v>0</v>
      </c>
      <c r="BY43" s="816">
        <v>0</v>
      </c>
      <c r="BZ43" s="816">
        <v>0</v>
      </c>
      <c r="CA43" s="816">
        <v>0</v>
      </c>
      <c r="CB43" s="816">
        <v>0</v>
      </c>
      <c r="CC43" s="816">
        <v>0</v>
      </c>
      <c r="CD43" s="816">
        <v>0</v>
      </c>
      <c r="CE43" s="816">
        <v>0</v>
      </c>
      <c r="CF43" s="816">
        <v>0</v>
      </c>
      <c r="CG43" s="816">
        <v>0</v>
      </c>
      <c r="CH43" s="816">
        <v>0</v>
      </c>
      <c r="CI43" s="816">
        <v>0</v>
      </c>
      <c r="CJ43" s="816">
        <v>0</v>
      </c>
      <c r="CK43" s="816">
        <v>0</v>
      </c>
      <c r="CL43" s="816">
        <v>0</v>
      </c>
      <c r="CM43" s="816">
        <v>0</v>
      </c>
      <c r="CN43" s="816">
        <v>0</v>
      </c>
      <c r="CO43" s="816">
        <v>0</v>
      </c>
      <c r="CP43" s="816">
        <v>0</v>
      </c>
      <c r="CQ43" s="816">
        <v>0</v>
      </c>
      <c r="CR43" s="816">
        <v>0</v>
      </c>
      <c r="CS43" s="816">
        <v>0</v>
      </c>
      <c r="CT43" s="816">
        <v>0</v>
      </c>
      <c r="CU43" s="816">
        <v>0</v>
      </c>
      <c r="CV43" s="816">
        <v>0</v>
      </c>
      <c r="CW43" s="816">
        <v>0</v>
      </c>
      <c r="CX43" s="816">
        <v>0</v>
      </c>
      <c r="CY43" s="816">
        <v>0</v>
      </c>
      <c r="CZ43" s="816">
        <v>0</v>
      </c>
      <c r="DA43" s="816">
        <v>0</v>
      </c>
      <c r="DB43" s="816">
        <v>0</v>
      </c>
      <c r="DC43" s="816">
        <v>0</v>
      </c>
      <c r="DD43" s="816">
        <v>0</v>
      </c>
      <c r="DE43" s="816">
        <v>0</v>
      </c>
      <c r="DF43" s="816">
        <v>0</v>
      </c>
      <c r="DG43" s="816">
        <v>0</v>
      </c>
      <c r="DH43" s="816">
        <v>0</v>
      </c>
      <c r="DI43" s="816">
        <v>0</v>
      </c>
      <c r="DJ43" s="816">
        <v>0</v>
      </c>
      <c r="DK43" s="816">
        <v>0</v>
      </c>
      <c r="DL43" s="816">
        <v>0</v>
      </c>
      <c r="DM43" s="816">
        <v>0</v>
      </c>
      <c r="DN43" s="816">
        <v>0</v>
      </c>
      <c r="DO43" s="816">
        <v>0</v>
      </c>
      <c r="DP43" s="816">
        <v>0</v>
      </c>
      <c r="DQ43" s="816">
        <v>0</v>
      </c>
      <c r="DR43" s="816">
        <v>0</v>
      </c>
      <c r="DS43" s="816">
        <v>0</v>
      </c>
      <c r="DT43" s="816">
        <v>0</v>
      </c>
      <c r="DU43" s="816">
        <v>0</v>
      </c>
      <c r="DV43" s="816">
        <v>0</v>
      </c>
      <c r="DW43" s="816">
        <v>0</v>
      </c>
      <c r="DX43" s="816">
        <v>0</v>
      </c>
      <c r="DY43" s="816">
        <v>0</v>
      </c>
      <c r="DZ43" s="816">
        <v>0</v>
      </c>
      <c r="EA43" s="816">
        <v>0</v>
      </c>
      <c r="EB43" s="816">
        <v>0</v>
      </c>
      <c r="EC43" s="816">
        <v>0</v>
      </c>
      <c r="ED43" s="816">
        <v>0</v>
      </c>
      <c r="EE43" s="816">
        <v>0</v>
      </c>
      <c r="EF43" s="816">
        <v>0</v>
      </c>
      <c r="EG43" s="816">
        <v>0</v>
      </c>
      <c r="EH43" s="816">
        <v>0</v>
      </c>
      <c r="EI43" s="816">
        <v>0</v>
      </c>
      <c r="EJ43" s="816">
        <v>0</v>
      </c>
      <c r="EK43" s="816">
        <v>0</v>
      </c>
      <c r="EL43" s="816">
        <v>0</v>
      </c>
      <c r="EM43" s="816">
        <v>0</v>
      </c>
      <c r="EN43" s="816">
        <v>0</v>
      </c>
      <c r="EO43" s="816">
        <v>0</v>
      </c>
      <c r="EP43" s="816">
        <v>0</v>
      </c>
      <c r="EQ43" s="816">
        <v>0</v>
      </c>
      <c r="ER43" s="816">
        <v>0</v>
      </c>
      <c r="ES43" s="816">
        <v>0</v>
      </c>
      <c r="ET43" s="816">
        <v>0.17</v>
      </c>
      <c r="EU43" s="816">
        <v>0.15637736999999999</v>
      </c>
      <c r="EV43" s="816">
        <v>0.14265827</v>
      </c>
      <c r="EW43" s="816">
        <v>0.14265827</v>
      </c>
      <c r="EX43" s="816">
        <v>0.11492782</v>
      </c>
      <c r="EY43" s="816">
        <v>0.10091509</v>
      </c>
      <c r="EZ43" s="816">
        <v>0.10091509</v>
      </c>
      <c r="FA43" s="816">
        <v>7.259119E-2</v>
      </c>
      <c r="FB43" s="816">
        <v>0.20399999999999999</v>
      </c>
      <c r="FC43" s="816">
        <v>0.20399999999999999</v>
      </c>
      <c r="FD43" s="816">
        <v>0.18786939999999999</v>
      </c>
      <c r="FE43" s="816">
        <v>0</v>
      </c>
      <c r="FF43" s="816">
        <v>0</v>
      </c>
      <c r="FG43" s="816">
        <v>0</v>
      </c>
      <c r="FH43" s="1726" t="s">
        <v>4074</v>
      </c>
    </row>
    <row r="44" spans="1:164" ht="21">
      <c r="A44" s="1723"/>
      <c r="B44" s="783"/>
      <c r="C44" s="783"/>
      <c r="D44" s="783"/>
      <c r="E44" s="783"/>
      <c r="F44" s="783"/>
      <c r="G44" s="783"/>
      <c r="H44" s="783"/>
      <c r="I44" s="783"/>
      <c r="J44" s="783"/>
      <c r="K44" s="783"/>
      <c r="L44" s="783"/>
      <c r="M44" s="784"/>
      <c r="N44" s="784"/>
      <c r="O44" s="784"/>
      <c r="P44" s="784"/>
      <c r="Q44" s="784"/>
      <c r="R44" s="784"/>
      <c r="S44" s="784"/>
      <c r="T44" s="784"/>
      <c r="U44" s="784"/>
      <c r="V44" s="784"/>
      <c r="W44" s="784"/>
      <c r="X44" s="784"/>
      <c r="Y44" s="784"/>
      <c r="Z44" s="784"/>
      <c r="AA44" s="784"/>
      <c r="AB44" s="784"/>
      <c r="AC44" s="784"/>
      <c r="AD44" s="784"/>
      <c r="AE44" s="784"/>
      <c r="AF44" s="784"/>
      <c r="AG44" s="784"/>
      <c r="AH44" s="784"/>
      <c r="AI44" s="784"/>
      <c r="AJ44" s="784"/>
      <c r="AK44" s="784"/>
      <c r="AL44" s="784"/>
      <c r="AM44" s="784"/>
      <c r="AN44" s="784"/>
      <c r="AO44" s="784"/>
      <c r="AP44" s="784"/>
      <c r="AQ44" s="784"/>
      <c r="AR44" s="784"/>
      <c r="AS44" s="784"/>
      <c r="AT44" s="784"/>
      <c r="AU44" s="784"/>
      <c r="AV44" s="784"/>
      <c r="AW44" s="784"/>
      <c r="AX44" s="784"/>
      <c r="AY44" s="784"/>
      <c r="AZ44" s="784"/>
      <c r="BA44" s="784"/>
      <c r="BB44" s="784"/>
      <c r="BC44" s="784"/>
      <c r="BD44" s="784"/>
      <c r="BE44" s="784"/>
      <c r="BF44" s="784"/>
      <c r="BG44" s="785"/>
      <c r="BH44" s="821"/>
      <c r="BI44" s="816"/>
      <c r="BJ44" s="816"/>
      <c r="BK44" s="816"/>
      <c r="BL44" s="816"/>
      <c r="BM44" s="816"/>
      <c r="BN44" s="816"/>
      <c r="BO44" s="816"/>
      <c r="BP44" s="816"/>
      <c r="BQ44" s="816"/>
      <c r="BR44" s="816"/>
      <c r="BS44" s="816"/>
      <c r="BT44" s="816"/>
      <c r="BU44" s="816"/>
      <c r="BV44" s="816"/>
      <c r="BW44" s="816"/>
      <c r="BX44" s="816"/>
      <c r="BY44" s="816"/>
      <c r="BZ44" s="816"/>
      <c r="CA44" s="816"/>
      <c r="CB44" s="816"/>
      <c r="CC44" s="816"/>
      <c r="CD44" s="816"/>
      <c r="CE44" s="816"/>
      <c r="CF44" s="816"/>
      <c r="CG44" s="816"/>
      <c r="CH44" s="816"/>
      <c r="CI44" s="816"/>
      <c r="CJ44" s="816"/>
      <c r="CK44" s="816"/>
      <c r="CL44" s="816"/>
      <c r="CM44" s="816"/>
      <c r="CN44" s="816"/>
      <c r="CO44" s="816"/>
      <c r="CP44" s="816"/>
      <c r="CQ44" s="816"/>
      <c r="CR44" s="816"/>
      <c r="CS44" s="816"/>
      <c r="CT44" s="816"/>
      <c r="CU44" s="816"/>
      <c r="CV44" s="816"/>
      <c r="CW44" s="816"/>
      <c r="CX44" s="816"/>
      <c r="CY44" s="816"/>
      <c r="CZ44" s="816"/>
      <c r="DA44" s="816"/>
      <c r="DB44" s="816"/>
      <c r="DC44" s="816"/>
      <c r="DD44" s="816"/>
      <c r="DE44" s="816"/>
      <c r="DF44" s="816"/>
      <c r="DG44" s="816"/>
      <c r="DH44" s="816"/>
      <c r="DI44" s="816"/>
      <c r="DJ44" s="816"/>
      <c r="DK44" s="816"/>
      <c r="DL44" s="816"/>
      <c r="DM44" s="816"/>
      <c r="DN44" s="816"/>
      <c r="DO44" s="816"/>
      <c r="DP44" s="816"/>
      <c r="DQ44" s="816"/>
      <c r="DR44" s="816"/>
      <c r="DS44" s="816"/>
      <c r="DT44" s="816"/>
      <c r="DU44" s="816"/>
      <c r="DV44" s="816"/>
      <c r="DW44" s="816"/>
      <c r="DX44" s="816"/>
      <c r="DY44" s="816"/>
      <c r="DZ44" s="816"/>
      <c r="EA44" s="816"/>
      <c r="EB44" s="816"/>
      <c r="EC44" s="816"/>
      <c r="ED44" s="816"/>
      <c r="EE44" s="816"/>
      <c r="EF44" s="816"/>
      <c r="EG44" s="816"/>
      <c r="EH44" s="816"/>
      <c r="EI44" s="816"/>
      <c r="EJ44" s="816"/>
      <c r="EK44" s="816"/>
      <c r="EL44" s="816"/>
      <c r="EM44" s="816"/>
      <c r="EN44" s="816"/>
      <c r="EO44" s="816"/>
      <c r="EP44" s="816"/>
      <c r="EQ44" s="816"/>
      <c r="ER44" s="816"/>
      <c r="ES44" s="816"/>
      <c r="ET44" s="816"/>
      <c r="EU44" s="816"/>
      <c r="EV44" s="816"/>
      <c r="EW44" s="816"/>
      <c r="EX44" s="816"/>
      <c r="EY44" s="816"/>
      <c r="EZ44" s="816"/>
      <c r="FA44" s="816"/>
      <c r="FB44" s="816"/>
      <c r="FC44" s="816"/>
      <c r="FD44" s="816"/>
      <c r="FE44" s="816"/>
      <c r="FF44" s="816"/>
      <c r="FG44" s="816"/>
      <c r="FH44" s="1723"/>
    </row>
    <row r="45" spans="1:164" ht="21">
      <c r="A45" s="1720" t="s">
        <v>2739</v>
      </c>
      <c r="B45" s="780">
        <v>254.91224844000004</v>
      </c>
      <c r="C45" s="780">
        <v>336.08086899</v>
      </c>
      <c r="D45" s="780">
        <v>344.61621990000003</v>
      </c>
      <c r="E45" s="780">
        <v>351.30920232000005</v>
      </c>
      <c r="F45" s="780">
        <v>364.63253543000002</v>
      </c>
      <c r="G45" s="780">
        <v>368.45649758000002</v>
      </c>
      <c r="H45" s="780">
        <v>391.76143791999993</v>
      </c>
      <c r="I45" s="780">
        <v>404.15924959999995</v>
      </c>
      <c r="J45" s="780">
        <v>420.40139606000002</v>
      </c>
      <c r="K45" s="780">
        <v>434.07278160999999</v>
      </c>
      <c r="L45" s="780">
        <v>439.02793542999996</v>
      </c>
      <c r="M45" s="781">
        <v>458.53626041000001</v>
      </c>
      <c r="N45" s="781">
        <v>459.27021924999997</v>
      </c>
      <c r="O45" s="781">
        <v>469.52837610999995</v>
      </c>
      <c r="P45" s="781">
        <v>480.34387959999998</v>
      </c>
      <c r="Q45" s="781">
        <v>504.52229461999997</v>
      </c>
      <c r="R45" s="781">
        <v>522.15300094999998</v>
      </c>
      <c r="S45" s="781">
        <v>535.93811602000005</v>
      </c>
      <c r="T45" s="781">
        <v>549.25232406999999</v>
      </c>
      <c r="U45" s="781">
        <v>564.32817735999993</v>
      </c>
      <c r="V45" s="781">
        <v>580.20637402</v>
      </c>
      <c r="W45" s="781">
        <v>605.55513754000003</v>
      </c>
      <c r="X45" s="781">
        <v>626.59448809000003</v>
      </c>
      <c r="Y45" s="781">
        <v>648.15164330000005</v>
      </c>
      <c r="Z45" s="781">
        <v>646.00538529000005</v>
      </c>
      <c r="AA45" s="781">
        <v>732.81247062</v>
      </c>
      <c r="AB45" s="781">
        <v>716.78375733000007</v>
      </c>
      <c r="AC45" s="781">
        <v>714.17547403000003</v>
      </c>
      <c r="AD45" s="781">
        <v>714.14701046999994</v>
      </c>
      <c r="AE45" s="781">
        <v>711.01081307999993</v>
      </c>
      <c r="AF45" s="781">
        <v>721.49903562000009</v>
      </c>
      <c r="AG45" s="781">
        <v>712.5336731299999</v>
      </c>
      <c r="AH45" s="781">
        <v>701.42899364000004</v>
      </c>
      <c r="AI45" s="781">
        <v>710.08473129000004</v>
      </c>
      <c r="AJ45" s="781">
        <v>706.42468344000008</v>
      </c>
      <c r="AK45" s="781">
        <v>839.58523839999998</v>
      </c>
      <c r="AL45" s="781">
        <v>774.69465694999997</v>
      </c>
      <c r="AM45" s="781">
        <v>750.8324214700001</v>
      </c>
      <c r="AN45" s="781">
        <v>731.00484392999988</v>
      </c>
      <c r="AO45" s="781">
        <v>704.4123773</v>
      </c>
      <c r="AP45" s="781">
        <v>684.4330559</v>
      </c>
      <c r="AQ45" s="781">
        <v>684.53532829999995</v>
      </c>
      <c r="AR45" s="781">
        <v>613.43762842000001</v>
      </c>
      <c r="AS45" s="781">
        <v>616.63342840999996</v>
      </c>
      <c r="AT45" s="781">
        <v>608.41516393999996</v>
      </c>
      <c r="AU45" s="781">
        <v>595.99878790000002</v>
      </c>
      <c r="AV45" s="781">
        <v>609.40591042000005</v>
      </c>
      <c r="AW45" s="781">
        <v>619.50395245000004</v>
      </c>
      <c r="AX45" s="781">
        <v>636.27823821000004</v>
      </c>
      <c r="AY45" s="781">
        <v>589.42301175</v>
      </c>
      <c r="AZ45" s="781">
        <v>567.80593791000001</v>
      </c>
      <c r="BA45" s="781">
        <v>553.20448796999995</v>
      </c>
      <c r="BB45" s="781">
        <v>537.71068102000004</v>
      </c>
      <c r="BC45" s="781">
        <v>526.12865892000002</v>
      </c>
      <c r="BD45" s="781">
        <v>516.33496865999996</v>
      </c>
      <c r="BE45" s="781">
        <v>504.27156843</v>
      </c>
      <c r="BF45" s="781">
        <v>497.77902853000001</v>
      </c>
      <c r="BG45" s="782">
        <v>497.83431258000007</v>
      </c>
      <c r="BH45" s="820">
        <v>496.60644350999996</v>
      </c>
      <c r="BI45" s="815">
        <v>486.76452816000005</v>
      </c>
      <c r="BJ45" s="815">
        <v>478.06174126999997</v>
      </c>
      <c r="BK45" s="815">
        <v>467.39545499999997</v>
      </c>
      <c r="BL45" s="815">
        <v>460.46186316000001</v>
      </c>
      <c r="BM45" s="815">
        <v>459.25270590000002</v>
      </c>
      <c r="BN45" s="815">
        <v>455.76357720999999</v>
      </c>
      <c r="BO45" s="815">
        <v>456.01525992000001</v>
      </c>
      <c r="BP45" s="815">
        <v>450.55377052</v>
      </c>
      <c r="BQ45" s="815">
        <v>453.03435495999997</v>
      </c>
      <c r="BR45" s="815">
        <v>451.15864266999995</v>
      </c>
      <c r="BS45" s="815">
        <v>459.31252555000003</v>
      </c>
      <c r="BT45" s="815">
        <v>463.80561921999998</v>
      </c>
      <c r="BU45" s="815">
        <v>467.11091258000005</v>
      </c>
      <c r="BV45" s="815">
        <v>460.49612428</v>
      </c>
      <c r="BW45" s="815">
        <v>460.40156905000003</v>
      </c>
      <c r="BX45" s="815">
        <v>455.67001815999998</v>
      </c>
      <c r="BY45" s="815">
        <v>464.51221828000001</v>
      </c>
      <c r="BZ45" s="815">
        <v>469.49392057</v>
      </c>
      <c r="CA45" s="815">
        <v>470.72299055999997</v>
      </c>
      <c r="CB45" s="815">
        <v>471.53276241000003</v>
      </c>
      <c r="CC45" s="815">
        <v>485.95193548000009</v>
      </c>
      <c r="CD45" s="815">
        <v>514.35902352999994</v>
      </c>
      <c r="CE45" s="815">
        <v>537.96682145</v>
      </c>
      <c r="CF45" s="815">
        <v>562.27635996000004</v>
      </c>
      <c r="CG45" s="815">
        <v>582.66392840000003</v>
      </c>
      <c r="CH45" s="815">
        <v>599.86841015000005</v>
      </c>
      <c r="CI45" s="815">
        <v>631.58087638000006</v>
      </c>
      <c r="CJ45" s="815">
        <v>640.75749416999997</v>
      </c>
      <c r="CK45" s="815">
        <v>624.70181091999984</v>
      </c>
      <c r="CL45" s="815">
        <v>625.07626111000002</v>
      </c>
      <c r="CM45" s="815">
        <v>640.12589619999994</v>
      </c>
      <c r="CN45" s="815">
        <v>655.16499750000014</v>
      </c>
      <c r="CO45" s="815">
        <v>690.02043420999996</v>
      </c>
      <c r="CP45" s="815">
        <v>734.83067288999996</v>
      </c>
      <c r="CQ45" s="815">
        <v>748.26118393000013</v>
      </c>
      <c r="CR45" s="815">
        <v>763.14488310000002</v>
      </c>
      <c r="CS45" s="815">
        <v>780.95665246999999</v>
      </c>
      <c r="CT45" s="815">
        <v>803.23198867999997</v>
      </c>
      <c r="CU45" s="815">
        <v>845.35869241</v>
      </c>
      <c r="CV45" s="815">
        <v>880.51343086999998</v>
      </c>
      <c r="CW45" s="815">
        <v>935.26871000999995</v>
      </c>
      <c r="CX45" s="815">
        <v>972.01405670999998</v>
      </c>
      <c r="CY45" s="815">
        <v>1021.9802797900001</v>
      </c>
      <c r="CZ45" s="815">
        <v>1059.5465320999999</v>
      </c>
      <c r="DA45" s="815">
        <v>1102.0599028700001</v>
      </c>
      <c r="DB45" s="815">
        <v>1156.16613504</v>
      </c>
      <c r="DC45" s="815">
        <v>1211.3834116099999</v>
      </c>
      <c r="DD45" s="815">
        <v>1267.0245228199999</v>
      </c>
      <c r="DE45" s="815">
        <v>1360.3121243600001</v>
      </c>
      <c r="DF45" s="815">
        <v>1384.0581138299999</v>
      </c>
      <c r="DG45" s="815">
        <v>1423.5684340299999</v>
      </c>
      <c r="DH45" s="815">
        <v>1463.2460495</v>
      </c>
      <c r="DI45" s="815">
        <v>1527.2283693700001</v>
      </c>
      <c r="DJ45" s="815">
        <v>1579.68942573</v>
      </c>
      <c r="DK45" s="815">
        <v>1643.0052079</v>
      </c>
      <c r="DL45" s="815">
        <v>1673.52670358</v>
      </c>
      <c r="DM45" s="815">
        <v>1734.4449702500001</v>
      </c>
      <c r="DN45" s="815">
        <v>1824.96572739</v>
      </c>
      <c r="DO45" s="815">
        <v>1881.8345353899999</v>
      </c>
      <c r="DP45" s="815">
        <v>1928.8872992900001</v>
      </c>
      <c r="DQ45" s="815">
        <v>1999.0520908200001</v>
      </c>
      <c r="DR45" s="815">
        <v>2030.0206968099999</v>
      </c>
      <c r="DS45" s="815">
        <v>2072.7992411800001</v>
      </c>
      <c r="DT45" s="815">
        <v>2125.70706445</v>
      </c>
      <c r="DU45" s="815">
        <v>2212.4322145599999</v>
      </c>
      <c r="DV45" s="815">
        <v>2282.3614816499999</v>
      </c>
      <c r="DW45" s="815">
        <v>2357.1945209300002</v>
      </c>
      <c r="DX45" s="815">
        <v>2400.3719115200001</v>
      </c>
      <c r="DY45" s="815">
        <v>2477.97588073</v>
      </c>
      <c r="DZ45" s="815">
        <v>2544.1163253499999</v>
      </c>
      <c r="EA45" s="815">
        <v>2601.7727856400002</v>
      </c>
      <c r="EB45" s="815">
        <v>2670.1011762600001</v>
      </c>
      <c r="EC45" s="815">
        <v>2740.8647605599999</v>
      </c>
      <c r="ED45" s="815">
        <v>2762.3312279199999</v>
      </c>
      <c r="EE45" s="815">
        <v>2822.0341669600002</v>
      </c>
      <c r="EF45" s="815">
        <v>2856.1505339099999</v>
      </c>
      <c r="EG45" s="815">
        <v>2933.3373319399998</v>
      </c>
      <c r="EH45" s="815">
        <v>2993.0924729899998</v>
      </c>
      <c r="EI45" s="815">
        <v>3026.9392991499999</v>
      </c>
      <c r="EJ45" s="815">
        <v>3102.10048499</v>
      </c>
      <c r="EK45" s="815">
        <v>3177.7894399500001</v>
      </c>
      <c r="EL45" s="815">
        <v>3255.6288922499998</v>
      </c>
      <c r="EM45" s="815">
        <v>3334.8215300900001</v>
      </c>
      <c r="EN45" s="815">
        <v>3388.2185605300001</v>
      </c>
      <c r="EO45" s="815">
        <v>3476.6762204400002</v>
      </c>
      <c r="EP45" s="815">
        <v>3497.98584888</v>
      </c>
      <c r="EQ45" s="815">
        <v>3530.1789436700001</v>
      </c>
      <c r="ER45" s="815">
        <v>3561.15281813</v>
      </c>
      <c r="ES45" s="815">
        <v>3606.9205264299999</v>
      </c>
      <c r="ET45" s="815">
        <v>3649.5910435800001</v>
      </c>
      <c r="EU45" s="815">
        <v>3674.4901694</v>
      </c>
      <c r="EV45" s="815">
        <v>3731.2791361599998</v>
      </c>
      <c r="EW45" s="815">
        <v>3784.7176246600002</v>
      </c>
      <c r="EX45" s="815">
        <v>3856.9608287900001</v>
      </c>
      <c r="EY45" s="815">
        <v>3930.2569887099999</v>
      </c>
      <c r="EZ45" s="815">
        <v>3971.5946807400001</v>
      </c>
      <c r="FA45" s="815">
        <v>4044.3219195500001</v>
      </c>
      <c r="FB45" s="815">
        <v>4042.8456505899999</v>
      </c>
      <c r="FC45" s="815">
        <v>4085.7164095399999</v>
      </c>
      <c r="FD45" s="815">
        <v>4075.5130084500001</v>
      </c>
      <c r="FE45" s="815">
        <v>4164.6817459100002</v>
      </c>
      <c r="FF45" s="815">
        <v>4220.3323156300003</v>
      </c>
      <c r="FG45" s="815">
        <v>4269.4393553600003</v>
      </c>
      <c r="FH45" s="1720" t="s">
        <v>4065</v>
      </c>
    </row>
    <row r="46" spans="1:164" ht="21">
      <c r="A46" s="1721" t="s">
        <v>2006</v>
      </c>
      <c r="B46" s="783">
        <v>0.13108032</v>
      </c>
      <c r="C46" s="783">
        <v>2.7783799899999999</v>
      </c>
      <c r="D46" s="783">
        <v>2.6203197600000001</v>
      </c>
      <c r="E46" s="783">
        <v>2.6593602400000003</v>
      </c>
      <c r="F46" s="783">
        <v>3.05872257</v>
      </c>
      <c r="G46" s="783">
        <v>2.9994339999999999</v>
      </c>
      <c r="H46" s="783">
        <v>2.7801518700000001</v>
      </c>
      <c r="I46" s="783">
        <v>2.8462409900000001</v>
      </c>
      <c r="J46" s="783">
        <v>3.2415905399999998</v>
      </c>
      <c r="K46" s="783">
        <v>3.37330291</v>
      </c>
      <c r="L46" s="783">
        <v>3.3361808699999997</v>
      </c>
      <c r="M46" s="784">
        <v>3.5118721100000001</v>
      </c>
      <c r="N46" s="784">
        <v>3.3651053999999996</v>
      </c>
      <c r="O46" s="784">
        <v>3.5014470299999996</v>
      </c>
      <c r="P46" s="784">
        <v>3.3817613900000003</v>
      </c>
      <c r="Q46" s="784">
        <v>3.7770272000000005</v>
      </c>
      <c r="R46" s="784">
        <v>3.8229890200000001</v>
      </c>
      <c r="S46" s="784">
        <v>3.8948274700000001</v>
      </c>
      <c r="T46" s="784">
        <v>3.6312510699999998</v>
      </c>
      <c r="U46" s="784">
        <v>3.73416039</v>
      </c>
      <c r="V46" s="784">
        <v>4.1289160699999998</v>
      </c>
      <c r="W46" s="784">
        <v>0.56497395000000006</v>
      </c>
      <c r="X46" s="784">
        <v>0.61336134000000009</v>
      </c>
      <c r="Y46" s="784">
        <v>0.56913939999999996</v>
      </c>
      <c r="Z46" s="784">
        <v>0.61198116000000002</v>
      </c>
      <c r="AA46" s="784">
        <v>0.79337811999999996</v>
      </c>
      <c r="AB46" s="784">
        <v>0.7642253200000001</v>
      </c>
      <c r="AC46" s="784">
        <v>0.74185915999999996</v>
      </c>
      <c r="AD46" s="784">
        <v>0.82446678000000007</v>
      </c>
      <c r="AE46" s="784">
        <v>0.79770414999999995</v>
      </c>
      <c r="AF46" s="784">
        <v>0.77796043000000004</v>
      </c>
      <c r="AG46" s="784">
        <v>0.72905710999999995</v>
      </c>
      <c r="AH46" s="784">
        <v>0.70518155000000005</v>
      </c>
      <c r="AI46" s="784">
        <v>0.67891301999999998</v>
      </c>
      <c r="AJ46" s="784">
        <v>0.66320383999999999</v>
      </c>
      <c r="AK46" s="784">
        <v>1.1284507100000001</v>
      </c>
      <c r="AL46" s="784">
        <v>1.0712188300000001</v>
      </c>
      <c r="AM46" s="784">
        <v>1.0636267799999999</v>
      </c>
      <c r="AN46" s="784">
        <v>1.02917872</v>
      </c>
      <c r="AO46" s="784">
        <v>0.96241662000000006</v>
      </c>
      <c r="AP46" s="784">
        <v>0.93761779999999995</v>
      </c>
      <c r="AQ46" s="784">
        <v>0.94433476000000005</v>
      </c>
      <c r="AR46" s="784">
        <v>0.95064019</v>
      </c>
      <c r="AS46" s="784">
        <v>0.95425682000000001</v>
      </c>
      <c r="AT46" s="784">
        <v>0.92751340999999998</v>
      </c>
      <c r="AU46" s="784">
        <v>0.91075415999999998</v>
      </c>
      <c r="AV46" s="784">
        <v>1.4081505799999998</v>
      </c>
      <c r="AW46" s="784">
        <v>1.2141010599999997</v>
      </c>
      <c r="AX46" s="784">
        <v>1.4186940300000002</v>
      </c>
      <c r="AY46" s="784">
        <v>1.2853066800000001</v>
      </c>
      <c r="AZ46" s="784">
        <v>1.2496700200000002</v>
      </c>
      <c r="BA46" s="784">
        <v>1.2119621199999999</v>
      </c>
      <c r="BB46" s="784">
        <v>1.68229918</v>
      </c>
      <c r="BC46" s="784">
        <v>1.7709711800000001</v>
      </c>
      <c r="BD46" s="784">
        <v>1.89478444</v>
      </c>
      <c r="BE46" s="784">
        <v>1.84956177</v>
      </c>
      <c r="BF46" s="784">
        <v>1.8097430000000001</v>
      </c>
      <c r="BG46" s="785">
        <v>1.8927597599999997</v>
      </c>
      <c r="BH46" s="821">
        <v>1.8506247199999999</v>
      </c>
      <c r="BI46" s="816">
        <v>2.0531439200000001</v>
      </c>
      <c r="BJ46" s="816">
        <v>2.0136400000000001</v>
      </c>
      <c r="BK46" s="816">
        <v>2.0379183699999999</v>
      </c>
      <c r="BL46" s="816">
        <v>2.0149176799999999</v>
      </c>
      <c r="BM46" s="816">
        <v>2.2387650299999997</v>
      </c>
      <c r="BN46" s="816">
        <v>2.2106121600000002</v>
      </c>
      <c r="BO46" s="816">
        <v>2.1838973099999999</v>
      </c>
      <c r="BP46" s="816">
        <v>2.1675853800000002</v>
      </c>
      <c r="BQ46" s="816">
        <v>2.1416406499999998</v>
      </c>
      <c r="BR46" s="816">
        <v>2.1171660599999997</v>
      </c>
      <c r="BS46" s="816">
        <v>2.0787803299999998</v>
      </c>
      <c r="BT46" s="816">
        <v>2.1238464100000001</v>
      </c>
      <c r="BU46" s="816">
        <v>2.0967998200000002</v>
      </c>
      <c r="BV46" s="816">
        <v>2.07507968</v>
      </c>
      <c r="BW46" s="816">
        <v>2.4379778999999999</v>
      </c>
      <c r="BX46" s="816">
        <v>2.6076961399999998</v>
      </c>
      <c r="BY46" s="816">
        <v>2.56409815</v>
      </c>
      <c r="BZ46" s="816">
        <v>2.55059755</v>
      </c>
      <c r="CA46" s="816">
        <v>2.5733717499999997</v>
      </c>
      <c r="CB46" s="816">
        <v>2.6054126700000002</v>
      </c>
      <c r="CC46" s="816">
        <v>2.59669382</v>
      </c>
      <c r="CD46" s="816">
        <v>2.6993103899999999</v>
      </c>
      <c r="CE46" s="816">
        <v>2.7518784100000002</v>
      </c>
      <c r="CF46" s="816">
        <v>2.8132330200000002</v>
      </c>
      <c r="CG46" s="816">
        <v>2.8369794800000001</v>
      </c>
      <c r="CH46" s="816">
        <v>3.0027530499999999</v>
      </c>
      <c r="CI46" s="816">
        <v>3.1153031499999999</v>
      </c>
      <c r="CJ46" s="816">
        <v>2.1614582599999999</v>
      </c>
      <c r="CK46" s="816">
        <v>2.1099926399999998</v>
      </c>
      <c r="CL46" s="816">
        <v>1.9451714500000001</v>
      </c>
      <c r="CM46" s="816">
        <v>1.8613330800000001</v>
      </c>
      <c r="CN46" s="816">
        <v>1.8413788800000002</v>
      </c>
      <c r="CO46" s="816">
        <v>1.9304636099999999</v>
      </c>
      <c r="CP46" s="816">
        <v>2.0489393300000001</v>
      </c>
      <c r="CQ46" s="816">
        <v>2.2315318099999999</v>
      </c>
      <c r="CR46" s="816">
        <v>2.4746140699999999</v>
      </c>
      <c r="CS46" s="816">
        <v>2.6678929</v>
      </c>
      <c r="CT46" s="816">
        <v>2.6860783399999999</v>
      </c>
      <c r="CU46" s="816">
        <v>2.8197865800000002</v>
      </c>
      <c r="CV46" s="816">
        <v>2.8482472599999999</v>
      </c>
      <c r="CW46" s="816">
        <v>3.1984155900000002</v>
      </c>
      <c r="CX46" s="816">
        <v>3.6509966899999999</v>
      </c>
      <c r="CY46" s="816">
        <v>4.1925488099999999</v>
      </c>
      <c r="CZ46" s="816">
        <v>4.1116676500000002</v>
      </c>
      <c r="DA46" s="816">
        <v>4.2923157500000002</v>
      </c>
      <c r="DB46" s="816">
        <v>4.7927179400000002</v>
      </c>
      <c r="DC46" s="816">
        <v>4.7569175899999996</v>
      </c>
      <c r="DD46" s="816">
        <v>4.4105267599999998</v>
      </c>
      <c r="DE46" s="816">
        <v>4.4311057900000002</v>
      </c>
      <c r="DF46" s="816">
        <v>4.3453763800000003</v>
      </c>
      <c r="DG46" s="816">
        <v>4.4748686700000002</v>
      </c>
      <c r="DH46" s="816">
        <v>4.5794012899999998</v>
      </c>
      <c r="DI46" s="816">
        <v>5.0454184099999999</v>
      </c>
      <c r="DJ46" s="816">
        <v>4.9127252800000001</v>
      </c>
      <c r="DK46" s="816">
        <v>4.8213111099999999</v>
      </c>
      <c r="DL46" s="816">
        <v>4.8841485200000001</v>
      </c>
      <c r="DM46" s="816">
        <v>4.5110881899999997</v>
      </c>
      <c r="DN46" s="816">
        <v>5.0157098700000002</v>
      </c>
      <c r="DO46" s="816">
        <v>4.9999448600000003</v>
      </c>
      <c r="DP46" s="816">
        <v>4.9547945100000002</v>
      </c>
      <c r="DQ46" s="816">
        <v>5.2702261300000002</v>
      </c>
      <c r="DR46" s="816">
        <v>5.4359837899999999</v>
      </c>
      <c r="DS46" s="816">
        <v>5.5593522699999998</v>
      </c>
      <c r="DT46" s="816">
        <v>6.0361530800000001</v>
      </c>
      <c r="DU46" s="816">
        <v>6.4973474700000002</v>
      </c>
      <c r="DV46" s="816">
        <v>6.6789757099999996</v>
      </c>
      <c r="DW46" s="816">
        <v>6.9023165500000001</v>
      </c>
      <c r="DX46" s="816">
        <v>7.0183688200000001</v>
      </c>
      <c r="DY46" s="816">
        <v>7.4097378599999999</v>
      </c>
      <c r="DZ46" s="816">
        <v>7.4076073999999998</v>
      </c>
      <c r="EA46" s="816">
        <v>7.8346649299999997</v>
      </c>
      <c r="EB46" s="816">
        <v>7.7882781899999998</v>
      </c>
      <c r="EC46" s="816">
        <v>8.2024461899999999</v>
      </c>
      <c r="ED46" s="816">
        <v>7.8983919</v>
      </c>
      <c r="EE46" s="816">
        <v>8.3456652800000004</v>
      </c>
      <c r="EF46" s="816">
        <v>8.1470549499999994</v>
      </c>
      <c r="EG46" s="816">
        <v>8.0706237999999999</v>
      </c>
      <c r="EH46" s="816">
        <v>8.5090863599999995</v>
      </c>
      <c r="EI46" s="816">
        <v>8.7738869200000007</v>
      </c>
      <c r="EJ46" s="816">
        <v>9.0922448100000004</v>
      </c>
      <c r="EK46" s="816">
        <v>8.8760854400000007</v>
      </c>
      <c r="EL46" s="816">
        <v>8.8135820500000008</v>
      </c>
      <c r="EM46" s="816">
        <v>8.9871321399999999</v>
      </c>
      <c r="EN46" s="816">
        <v>9.0321176800000007</v>
      </c>
      <c r="EO46" s="816">
        <v>9.1964913900000003</v>
      </c>
      <c r="EP46" s="816">
        <v>9.2938496300000004</v>
      </c>
      <c r="EQ46" s="816">
        <v>9.9260844099999996</v>
      </c>
      <c r="ER46" s="816">
        <v>10.443611880000001</v>
      </c>
      <c r="ES46" s="816">
        <v>10.945967639999999</v>
      </c>
      <c r="ET46" s="816">
        <v>13.345455230000001</v>
      </c>
      <c r="EU46" s="816">
        <v>14.011205029999999</v>
      </c>
      <c r="EV46" s="816">
        <v>13.832183649999999</v>
      </c>
      <c r="EW46" s="816">
        <v>13.929202500000001</v>
      </c>
      <c r="EX46" s="816">
        <v>13.89850713</v>
      </c>
      <c r="EY46" s="816">
        <v>13.94617216</v>
      </c>
      <c r="EZ46" s="816">
        <v>13.756307639999999</v>
      </c>
      <c r="FA46" s="816">
        <v>13.79764087</v>
      </c>
      <c r="FB46" s="816">
        <v>13.77885425</v>
      </c>
      <c r="FC46" s="816">
        <v>13.70469565</v>
      </c>
      <c r="FD46" s="816">
        <v>14.070624159999999</v>
      </c>
      <c r="FE46" s="816">
        <v>14.413141789999999</v>
      </c>
      <c r="FF46" s="816">
        <v>14.13219249</v>
      </c>
      <c r="FG46" s="816">
        <v>13.920875710000001</v>
      </c>
      <c r="FH46" s="1726" t="s">
        <v>4074</v>
      </c>
    </row>
    <row r="47" spans="1:164" ht="21">
      <c r="A47" s="1722" t="s">
        <v>185</v>
      </c>
      <c r="B47" s="780">
        <v>194.09190794000003</v>
      </c>
      <c r="C47" s="780">
        <v>194.93850375999997</v>
      </c>
      <c r="D47" s="780">
        <v>198.12436617</v>
      </c>
      <c r="E47" s="780">
        <v>199.30053117</v>
      </c>
      <c r="F47" s="780">
        <v>205.70900700999999</v>
      </c>
      <c r="G47" s="780">
        <v>206.57320738000001</v>
      </c>
      <c r="H47" s="780">
        <v>222.96828968999998</v>
      </c>
      <c r="I47" s="780">
        <v>228.39333905999999</v>
      </c>
      <c r="J47" s="780">
        <v>235.70850641000001</v>
      </c>
      <c r="K47" s="780">
        <v>242.76190866000002</v>
      </c>
      <c r="L47" s="780">
        <v>244.44164385999997</v>
      </c>
      <c r="M47" s="781">
        <v>259.04906238000001</v>
      </c>
      <c r="N47" s="781">
        <v>261.75945378</v>
      </c>
      <c r="O47" s="781">
        <v>266.09799297999996</v>
      </c>
      <c r="P47" s="781">
        <v>275.47307289999998</v>
      </c>
      <c r="Q47" s="781">
        <v>287.15825830999995</v>
      </c>
      <c r="R47" s="781">
        <v>295.70869255000002</v>
      </c>
      <c r="S47" s="781">
        <v>303.42727644000001</v>
      </c>
      <c r="T47" s="781">
        <v>313.58138358999997</v>
      </c>
      <c r="U47" s="781">
        <v>328.12886795999998</v>
      </c>
      <c r="V47" s="781">
        <v>337.50268732999996</v>
      </c>
      <c r="W47" s="781">
        <v>346.01852508000002</v>
      </c>
      <c r="X47" s="781">
        <v>357.35409972000002</v>
      </c>
      <c r="Y47" s="781">
        <v>363.28745099000002</v>
      </c>
      <c r="Z47" s="781">
        <v>358.83227847000001</v>
      </c>
      <c r="AA47" s="781">
        <v>358.87817694</v>
      </c>
      <c r="AB47" s="781">
        <v>361.60496795</v>
      </c>
      <c r="AC47" s="781">
        <v>364.27973922000001</v>
      </c>
      <c r="AD47" s="781">
        <v>366.21296150999996</v>
      </c>
      <c r="AE47" s="781">
        <v>363.55937625999996</v>
      </c>
      <c r="AF47" s="781">
        <v>363.75390327000002</v>
      </c>
      <c r="AG47" s="781">
        <v>370.35051697</v>
      </c>
      <c r="AH47" s="781">
        <v>375.64405887999999</v>
      </c>
      <c r="AI47" s="781">
        <v>381.88793835999996</v>
      </c>
      <c r="AJ47" s="781">
        <v>393.09086045999999</v>
      </c>
      <c r="AK47" s="781">
        <v>401.84378499000002</v>
      </c>
      <c r="AL47" s="781">
        <v>336.95056748999997</v>
      </c>
      <c r="AM47" s="781">
        <v>328.77275318000005</v>
      </c>
      <c r="AN47" s="781">
        <v>324.34332909999995</v>
      </c>
      <c r="AO47" s="781">
        <v>319.58743635999997</v>
      </c>
      <c r="AP47" s="781">
        <v>310.94883529999998</v>
      </c>
      <c r="AQ47" s="781">
        <v>311.77145194999997</v>
      </c>
      <c r="AR47" s="781">
        <v>253.40229417</v>
      </c>
      <c r="AS47" s="781">
        <v>258.09228235</v>
      </c>
      <c r="AT47" s="781">
        <v>260.39739005000001</v>
      </c>
      <c r="AU47" s="781">
        <v>252.65657300999996</v>
      </c>
      <c r="AV47" s="781">
        <v>256.65210906000004</v>
      </c>
      <c r="AW47" s="781">
        <v>269.57177759000001</v>
      </c>
      <c r="AX47" s="781">
        <v>266.90510870999998</v>
      </c>
      <c r="AY47" s="781">
        <v>261.02975593000002</v>
      </c>
      <c r="AZ47" s="781">
        <v>251.78853728999999</v>
      </c>
      <c r="BA47" s="781">
        <v>246.78617264000002</v>
      </c>
      <c r="BB47" s="781">
        <v>240.38340897999998</v>
      </c>
      <c r="BC47" s="781">
        <v>236.75498862000003</v>
      </c>
      <c r="BD47" s="781">
        <v>234.68715417999999</v>
      </c>
      <c r="BE47" s="781">
        <v>228.37622250999999</v>
      </c>
      <c r="BF47" s="781">
        <v>229.27763962000003</v>
      </c>
      <c r="BG47" s="782">
        <v>235.64246501</v>
      </c>
      <c r="BH47" s="820">
        <v>242.10269839999998</v>
      </c>
      <c r="BI47" s="815">
        <v>240.92543745000003</v>
      </c>
      <c r="BJ47" s="815">
        <v>238.52937216999999</v>
      </c>
      <c r="BK47" s="815">
        <v>237.61812699999999</v>
      </c>
      <c r="BL47" s="815">
        <v>239.64929303</v>
      </c>
      <c r="BM47" s="815">
        <v>248.47468455000001</v>
      </c>
      <c r="BN47" s="815">
        <v>251.23315884000002</v>
      </c>
      <c r="BO47" s="815">
        <v>256.10686415999999</v>
      </c>
      <c r="BP47" s="815">
        <v>258.08538743000003</v>
      </c>
      <c r="BQ47" s="815">
        <v>269.78148957999997</v>
      </c>
      <c r="BR47" s="815">
        <v>272.47750643999996</v>
      </c>
      <c r="BS47" s="815">
        <v>282.76595544000003</v>
      </c>
      <c r="BT47" s="815">
        <v>287.45522668000001</v>
      </c>
      <c r="BU47" s="815">
        <v>307.85871350000002</v>
      </c>
      <c r="BV47" s="815">
        <v>309.15751165</v>
      </c>
      <c r="BW47" s="815">
        <v>311.65220942000002</v>
      </c>
      <c r="BX47" s="815">
        <v>312.29521656999998</v>
      </c>
      <c r="BY47" s="815">
        <v>324.50054019999999</v>
      </c>
      <c r="BZ47" s="815">
        <v>333.26234872999999</v>
      </c>
      <c r="CA47" s="815">
        <v>340.25703765999998</v>
      </c>
      <c r="CB47" s="815">
        <v>350.59791472000001</v>
      </c>
      <c r="CC47" s="815">
        <v>367.67218347000005</v>
      </c>
      <c r="CD47" s="815">
        <v>398.00484957999998</v>
      </c>
      <c r="CE47" s="815">
        <v>422.53184838999999</v>
      </c>
      <c r="CF47" s="815">
        <v>445.29694531000001</v>
      </c>
      <c r="CG47" s="815">
        <v>475.53058712000001</v>
      </c>
      <c r="CH47" s="815">
        <v>494.12909919999998</v>
      </c>
      <c r="CI47" s="815">
        <v>526.06052349000004</v>
      </c>
      <c r="CJ47" s="815">
        <v>546.40557878999994</v>
      </c>
      <c r="CK47" s="815">
        <v>537.07086327999991</v>
      </c>
      <c r="CL47" s="815">
        <v>539.72901458000001</v>
      </c>
      <c r="CM47" s="815">
        <v>558.63255520999996</v>
      </c>
      <c r="CN47" s="815">
        <v>576.4650546900001</v>
      </c>
      <c r="CO47" s="815">
        <v>612.25519094999993</v>
      </c>
      <c r="CP47" s="815">
        <v>659.65482788999998</v>
      </c>
      <c r="CQ47" s="815">
        <v>676.32417529000008</v>
      </c>
      <c r="CR47" s="815">
        <v>694.27200973000004</v>
      </c>
      <c r="CS47" s="815">
        <v>715.83179847999997</v>
      </c>
      <c r="CT47" s="815">
        <v>742.81915914000001</v>
      </c>
      <c r="CU47" s="815">
        <v>779.48867820999999</v>
      </c>
      <c r="CV47" s="815">
        <v>817.39037604999999</v>
      </c>
      <c r="CW47" s="815">
        <v>872.44310619999999</v>
      </c>
      <c r="CX47" s="815">
        <v>912.13887147000003</v>
      </c>
      <c r="CY47" s="815">
        <v>961.76951517999998</v>
      </c>
      <c r="CZ47" s="815">
        <v>998.85894813000004</v>
      </c>
      <c r="DA47" s="815">
        <v>1041.28702004</v>
      </c>
      <c r="DB47" s="815">
        <v>1091.7739497</v>
      </c>
      <c r="DC47" s="815">
        <v>1147.61763909</v>
      </c>
      <c r="DD47" s="815">
        <v>1206.7188251299999</v>
      </c>
      <c r="DE47" s="815">
        <v>1296.7480891099999</v>
      </c>
      <c r="DF47" s="815">
        <v>1327.49949309</v>
      </c>
      <c r="DG47" s="815">
        <v>1367.4860012500001</v>
      </c>
      <c r="DH47" s="815">
        <v>1410.9655256599999</v>
      </c>
      <c r="DI47" s="815">
        <v>1476.2750867100001</v>
      </c>
      <c r="DJ47" s="815">
        <v>1527.0054530800001</v>
      </c>
      <c r="DK47" s="815">
        <v>1589.81839027</v>
      </c>
      <c r="DL47" s="815">
        <v>1621.0810513900001</v>
      </c>
      <c r="DM47" s="815">
        <v>1682.3284806300001</v>
      </c>
      <c r="DN47" s="815">
        <v>1765.70058535</v>
      </c>
      <c r="DO47" s="815">
        <v>1821.7719290499999</v>
      </c>
      <c r="DP47" s="815">
        <v>1870.1474149200001</v>
      </c>
      <c r="DQ47" s="815">
        <v>1943.1909543700001</v>
      </c>
      <c r="DR47" s="815">
        <v>1974.9768696199999</v>
      </c>
      <c r="DS47" s="815">
        <v>2022.00613112</v>
      </c>
      <c r="DT47" s="815">
        <v>2076.2457996399999</v>
      </c>
      <c r="DU47" s="815">
        <v>2154.27875756</v>
      </c>
      <c r="DV47" s="815">
        <v>2220.26702153</v>
      </c>
      <c r="DW47" s="815">
        <v>2294.5516968000002</v>
      </c>
      <c r="DX47" s="815">
        <v>2337.0476434799998</v>
      </c>
      <c r="DY47" s="815">
        <v>2413.0988676500001</v>
      </c>
      <c r="DZ47" s="815">
        <v>2477.6755214200002</v>
      </c>
      <c r="EA47" s="815">
        <v>2540.7171548400001</v>
      </c>
      <c r="EB47" s="815">
        <v>2607.29982402</v>
      </c>
      <c r="EC47" s="815">
        <v>2678.7959307900001</v>
      </c>
      <c r="ED47" s="815">
        <v>2700.8958899700001</v>
      </c>
      <c r="EE47" s="815">
        <v>2763.2357708200002</v>
      </c>
      <c r="EF47" s="815">
        <v>2799.2009913699999</v>
      </c>
      <c r="EG47" s="815">
        <v>2878.4550491700002</v>
      </c>
      <c r="EH47" s="815">
        <v>2946.2812811099998</v>
      </c>
      <c r="EI47" s="815">
        <v>2981.9768788299998</v>
      </c>
      <c r="EJ47" s="815">
        <v>3058.9386586400001</v>
      </c>
      <c r="EK47" s="815">
        <v>3134.91764896</v>
      </c>
      <c r="EL47" s="815">
        <v>3213.8198689400001</v>
      </c>
      <c r="EM47" s="815">
        <v>3295.54637938</v>
      </c>
      <c r="EN47" s="815">
        <v>3350.0661002799998</v>
      </c>
      <c r="EO47" s="815">
        <v>3435.5027882899999</v>
      </c>
      <c r="EP47" s="815">
        <v>3458.6125831300001</v>
      </c>
      <c r="EQ47" s="815">
        <v>3492.7799418999998</v>
      </c>
      <c r="ER47" s="815">
        <v>3524.4978975200002</v>
      </c>
      <c r="ES47" s="815">
        <v>3572.3237477100001</v>
      </c>
      <c r="ET47" s="815">
        <v>3616.2502509400001</v>
      </c>
      <c r="EU47" s="815">
        <v>3642.0399953699998</v>
      </c>
      <c r="EV47" s="815">
        <v>3698.2806195600001</v>
      </c>
      <c r="EW47" s="815">
        <v>3754.04362236</v>
      </c>
      <c r="EX47" s="815">
        <v>3828.3590608899999</v>
      </c>
      <c r="EY47" s="815">
        <v>3901.8490191699998</v>
      </c>
      <c r="EZ47" s="815">
        <v>3944.3207192499999</v>
      </c>
      <c r="FA47" s="815">
        <v>4016.0831264399999</v>
      </c>
      <c r="FB47" s="815">
        <v>4015.7466900600002</v>
      </c>
      <c r="FC47" s="815">
        <v>4051.1512956900001</v>
      </c>
      <c r="FD47" s="815">
        <v>4042.8120448899999</v>
      </c>
      <c r="FE47" s="815">
        <v>4133.2932067199999</v>
      </c>
      <c r="FF47" s="815">
        <v>4190.9573075600001</v>
      </c>
      <c r="FG47" s="815">
        <v>4241.2113641200003</v>
      </c>
      <c r="FH47" s="1722" t="s">
        <v>206</v>
      </c>
    </row>
    <row r="48" spans="1:164" ht="21">
      <c r="A48" s="1721" t="s">
        <v>2006</v>
      </c>
      <c r="B48" s="783">
        <v>1.3031639999999999E-2</v>
      </c>
      <c r="C48" s="783">
        <v>1.2360090000000001E-2</v>
      </c>
      <c r="D48" s="783">
        <v>1.201674E-2</v>
      </c>
      <c r="E48" s="783">
        <v>1.166824E-2</v>
      </c>
      <c r="F48" s="783">
        <v>1.131451E-2</v>
      </c>
      <c r="G48" s="783">
        <v>2.9555479999999999E-2</v>
      </c>
      <c r="H48" s="783">
        <v>2.9191060000000001E-2</v>
      </c>
      <c r="I48" s="783">
        <v>2.8821180000000002E-2</v>
      </c>
      <c r="J48" s="783">
        <v>2.8445749999999999E-2</v>
      </c>
      <c r="K48" s="783">
        <v>2.806469E-2</v>
      </c>
      <c r="L48" s="783">
        <v>2.767791E-2</v>
      </c>
      <c r="M48" s="784">
        <v>2.7285330000000003E-2</v>
      </c>
      <c r="N48" s="784">
        <v>1.7600000000000001E-2</v>
      </c>
      <c r="O48" s="784">
        <v>1.66E-2</v>
      </c>
      <c r="P48" s="784">
        <v>1.5599999999999999E-2</v>
      </c>
      <c r="Q48" s="784">
        <v>1.46E-2</v>
      </c>
      <c r="R48" s="784">
        <v>1.3599999999999999E-2</v>
      </c>
      <c r="S48" s="784">
        <v>1.26E-2</v>
      </c>
      <c r="T48" s="784">
        <v>1.1599999999999999E-2</v>
      </c>
      <c r="U48" s="784">
        <v>0</v>
      </c>
      <c r="V48" s="784">
        <v>0</v>
      </c>
      <c r="W48" s="784">
        <v>1.7159650000000002E-2</v>
      </c>
      <c r="X48" s="784">
        <v>5.8465800000000005E-2</v>
      </c>
      <c r="Y48" s="784">
        <v>5.6864449999999997E-2</v>
      </c>
      <c r="Z48" s="784">
        <v>0.11618781</v>
      </c>
      <c r="AA48" s="784">
        <v>0.15233335999999997</v>
      </c>
      <c r="AB48" s="784">
        <v>0.14766542000000002</v>
      </c>
      <c r="AC48" s="784">
        <v>0.14251351999999998</v>
      </c>
      <c r="AD48" s="784">
        <v>0.13733912000000001</v>
      </c>
      <c r="AE48" s="784">
        <v>0.13206883</v>
      </c>
      <c r="AF48" s="784">
        <v>9.8506389999999999E-2</v>
      </c>
      <c r="AG48" s="784">
        <v>9.4042509999999996E-2</v>
      </c>
      <c r="AH48" s="784">
        <v>9.2799190000000004E-2</v>
      </c>
      <c r="AI48" s="784">
        <v>8.5735539999999999E-2</v>
      </c>
      <c r="AJ48" s="784">
        <v>9.6709960000000011E-2</v>
      </c>
      <c r="AK48" s="784">
        <v>0.11858309</v>
      </c>
      <c r="AL48" s="784">
        <v>0.10126071</v>
      </c>
      <c r="AM48" s="784">
        <v>9.3965999999999994E-2</v>
      </c>
      <c r="AN48" s="784">
        <v>9.02834E-2</v>
      </c>
      <c r="AO48" s="784">
        <v>8.8257970000000005E-2</v>
      </c>
      <c r="AP48" s="784">
        <v>7.9723789999999989E-2</v>
      </c>
      <c r="AQ48" s="784">
        <v>7.2456199999999998E-2</v>
      </c>
      <c r="AR48" s="784">
        <v>6.7603160000000009E-2</v>
      </c>
      <c r="AS48" s="784">
        <v>6.0420519999999998E-2</v>
      </c>
      <c r="AT48" s="784">
        <v>5.4665160000000004E-2</v>
      </c>
      <c r="AU48" s="784">
        <v>5.0139339999999998E-2</v>
      </c>
      <c r="AV48" s="784">
        <v>4.7899199999999996E-2</v>
      </c>
      <c r="AW48" s="784">
        <v>4.2823930000000003E-2</v>
      </c>
      <c r="AX48" s="784">
        <v>0.15278976</v>
      </c>
      <c r="AY48" s="784">
        <v>0.13684307000000001</v>
      </c>
      <c r="AZ48" s="784">
        <v>0.12086097</v>
      </c>
      <c r="BA48" s="784">
        <v>0.10595712</v>
      </c>
      <c r="BB48" s="784">
        <v>0.57829624000000002</v>
      </c>
      <c r="BC48" s="784">
        <v>0.66858085</v>
      </c>
      <c r="BD48" s="784">
        <v>0.80169718000000001</v>
      </c>
      <c r="BE48" s="784">
        <v>0.77137871999999996</v>
      </c>
      <c r="BF48" s="784">
        <v>0.74061001000000004</v>
      </c>
      <c r="BG48" s="785">
        <v>0.83763986999999995</v>
      </c>
      <c r="BH48" s="821">
        <v>0.80406739000000005</v>
      </c>
      <c r="BI48" s="816">
        <v>1.01508709</v>
      </c>
      <c r="BJ48" s="816">
        <v>0.97904325000000003</v>
      </c>
      <c r="BK48" s="816">
        <v>1.0117622399999999</v>
      </c>
      <c r="BL48" s="816">
        <v>0.99732189999999998</v>
      </c>
      <c r="BM48" s="816">
        <v>1.2202941299999999</v>
      </c>
      <c r="BN48" s="816">
        <v>1.1995362599999999</v>
      </c>
      <c r="BO48" s="816">
        <v>1.17877141</v>
      </c>
      <c r="BP48" s="816">
        <v>1.16586458</v>
      </c>
      <c r="BQ48" s="816">
        <v>1.1484147499999999</v>
      </c>
      <c r="BR48" s="816">
        <v>1.12989016</v>
      </c>
      <c r="BS48" s="816">
        <v>1.09745443</v>
      </c>
      <c r="BT48" s="816">
        <v>1.1484705100000001</v>
      </c>
      <c r="BU48" s="816">
        <v>1.1273739199999999</v>
      </c>
      <c r="BV48" s="816">
        <v>1.10905378</v>
      </c>
      <c r="BW48" s="816">
        <v>1.475352</v>
      </c>
      <c r="BX48" s="816">
        <v>1.64780993</v>
      </c>
      <c r="BY48" s="816">
        <v>1.60761194</v>
      </c>
      <c r="BZ48" s="816">
        <v>1.61673092</v>
      </c>
      <c r="CA48" s="816">
        <v>1.6228981999999998</v>
      </c>
      <c r="CB48" s="816">
        <v>1.6635538700000001</v>
      </c>
      <c r="CC48" s="816">
        <v>1.66420799</v>
      </c>
      <c r="CD48" s="816">
        <v>1.77825758</v>
      </c>
      <c r="CE48" s="816">
        <v>1.8429245000000001</v>
      </c>
      <c r="CF48" s="816">
        <v>1.91649227</v>
      </c>
      <c r="CG48" s="816">
        <v>1.9518346799999999</v>
      </c>
      <c r="CH48" s="816">
        <v>2.1305623300000001</v>
      </c>
      <c r="CI48" s="816">
        <v>2.25536563</v>
      </c>
      <c r="CJ48" s="816">
        <v>1.3139114299999999</v>
      </c>
      <c r="CK48" s="816">
        <v>1.27573877</v>
      </c>
      <c r="CL48" s="816">
        <v>1.12369231</v>
      </c>
      <c r="CM48" s="816">
        <v>1.0525463500000001</v>
      </c>
      <c r="CN48" s="816">
        <v>1.04608122</v>
      </c>
      <c r="CO48" s="816">
        <v>1.1341812199999999</v>
      </c>
      <c r="CP48" s="816">
        <v>1.2638042199999999</v>
      </c>
      <c r="CQ48" s="816">
        <v>1.46136745</v>
      </c>
      <c r="CR48" s="816">
        <v>1.71973237</v>
      </c>
      <c r="CS48" s="816">
        <v>1.92390835</v>
      </c>
      <c r="CT48" s="816">
        <v>1.9575673</v>
      </c>
      <c r="CU48" s="816">
        <v>2.1064788600000002</v>
      </c>
      <c r="CV48" s="816">
        <v>2.15084133</v>
      </c>
      <c r="CW48" s="816">
        <v>2.5171875400000001</v>
      </c>
      <c r="CX48" s="816">
        <v>2.9855615499999999</v>
      </c>
      <c r="CY48" s="816">
        <v>3.5434117999999999</v>
      </c>
      <c r="CZ48" s="816">
        <v>3.4788721800000002</v>
      </c>
      <c r="DA48" s="816">
        <v>3.7471072400000001</v>
      </c>
      <c r="DB48" s="816">
        <v>4.2341112000000001</v>
      </c>
      <c r="DC48" s="816">
        <v>4.1983108500000004</v>
      </c>
      <c r="DD48" s="816">
        <v>4.4105267599999998</v>
      </c>
      <c r="DE48" s="816">
        <v>4.4311057900000002</v>
      </c>
      <c r="DF48" s="816">
        <v>4.3453763800000003</v>
      </c>
      <c r="DG48" s="816">
        <v>4.4748686700000002</v>
      </c>
      <c r="DH48" s="816">
        <v>4.5794012899999998</v>
      </c>
      <c r="DI48" s="816">
        <v>5.0454184099999999</v>
      </c>
      <c r="DJ48" s="816">
        <v>4.9127252800000001</v>
      </c>
      <c r="DK48" s="816">
        <v>4.8213111099999999</v>
      </c>
      <c r="DL48" s="816">
        <v>4.8841485200000001</v>
      </c>
      <c r="DM48" s="816">
        <v>4.5110881899999997</v>
      </c>
      <c r="DN48" s="816">
        <v>5.0157098700000002</v>
      </c>
      <c r="DO48" s="816">
        <v>4.9999448600000003</v>
      </c>
      <c r="DP48" s="816">
        <v>4.9547945100000002</v>
      </c>
      <c r="DQ48" s="816">
        <v>5.2702261300000002</v>
      </c>
      <c r="DR48" s="816">
        <v>5.4359837899999999</v>
      </c>
      <c r="DS48" s="816">
        <v>5.5593522699999998</v>
      </c>
      <c r="DT48" s="816">
        <v>6.0361530800000001</v>
      </c>
      <c r="DU48" s="816">
        <v>6.14034747</v>
      </c>
      <c r="DV48" s="816">
        <v>6.3507753600000001</v>
      </c>
      <c r="DW48" s="816">
        <v>6.6033536000000002</v>
      </c>
      <c r="DX48" s="816">
        <v>6.7495808799999999</v>
      </c>
      <c r="DY48" s="816">
        <v>7.1710895800000003</v>
      </c>
      <c r="DZ48" s="816">
        <v>7.1994407999999996</v>
      </c>
      <c r="EA48" s="816">
        <v>7.6413155100000001</v>
      </c>
      <c r="EB48" s="816">
        <v>7.6182477300000002</v>
      </c>
      <c r="EC48" s="816">
        <v>8.0474455799999998</v>
      </c>
      <c r="ED48" s="816">
        <v>7.7584396199999999</v>
      </c>
      <c r="EE48" s="816">
        <v>8.2208365699999995</v>
      </c>
      <c r="EF48" s="816">
        <v>8.0481097800000008</v>
      </c>
      <c r="EG48" s="816">
        <v>7.9871556500000001</v>
      </c>
      <c r="EH48" s="816">
        <v>8.4425022900000002</v>
      </c>
      <c r="EI48" s="816">
        <v>8.7228043500000005</v>
      </c>
      <c r="EJ48" s="816">
        <v>9.0567386800000005</v>
      </c>
      <c r="EK48" s="816">
        <v>8.8562250999999996</v>
      </c>
      <c r="EL48" s="816">
        <v>8.8094457500000001</v>
      </c>
      <c r="EM48" s="816">
        <v>8.9871321399999999</v>
      </c>
      <c r="EN48" s="816">
        <v>9.0321176800000007</v>
      </c>
      <c r="EO48" s="816">
        <v>9.1964913900000003</v>
      </c>
      <c r="EP48" s="816">
        <v>9.2938496300000004</v>
      </c>
      <c r="EQ48" s="816">
        <v>9.9260844099999996</v>
      </c>
      <c r="ER48" s="816">
        <v>10.443611880000001</v>
      </c>
      <c r="ES48" s="816">
        <v>10.945967639999999</v>
      </c>
      <c r="ET48" s="816">
        <v>13.345455230000001</v>
      </c>
      <c r="EU48" s="816">
        <v>14.011205029999999</v>
      </c>
      <c r="EV48" s="816">
        <v>13.832183649999999</v>
      </c>
      <c r="EW48" s="816">
        <v>13.929202500000001</v>
      </c>
      <c r="EX48" s="816">
        <v>13.89850713</v>
      </c>
      <c r="EY48" s="816">
        <v>13.94617216</v>
      </c>
      <c r="EZ48" s="816">
        <v>13.756307639999999</v>
      </c>
      <c r="FA48" s="816">
        <v>13.79764087</v>
      </c>
      <c r="FB48" s="816">
        <v>13.77885425</v>
      </c>
      <c r="FC48" s="816">
        <v>13.70469565</v>
      </c>
      <c r="FD48" s="816">
        <v>14.070624159999999</v>
      </c>
      <c r="FE48" s="816">
        <v>14.073141789999999</v>
      </c>
      <c r="FF48" s="816">
        <v>13.805048429999999</v>
      </c>
      <c r="FG48" s="816">
        <v>13.609421380000001</v>
      </c>
      <c r="FH48" s="1726" t="s">
        <v>4074</v>
      </c>
    </row>
    <row r="49" spans="1:164" ht="21">
      <c r="A49" s="1722" t="s">
        <v>2738</v>
      </c>
      <c r="B49" s="780">
        <v>60.8203405</v>
      </c>
      <c r="C49" s="780">
        <v>141.14236523000002</v>
      </c>
      <c r="D49" s="780">
        <v>146.49185373</v>
      </c>
      <c r="E49" s="780">
        <v>152.00867115000003</v>
      </c>
      <c r="F49" s="780">
        <v>158.92352842000003</v>
      </c>
      <c r="G49" s="780">
        <v>161.8832902</v>
      </c>
      <c r="H49" s="780">
        <v>168.79314822999999</v>
      </c>
      <c r="I49" s="780">
        <v>175.76591053999999</v>
      </c>
      <c r="J49" s="780">
        <v>184.69288965000001</v>
      </c>
      <c r="K49" s="780">
        <v>191.31087294999998</v>
      </c>
      <c r="L49" s="780">
        <v>194.58629157000001</v>
      </c>
      <c r="M49" s="781">
        <v>199.48719803</v>
      </c>
      <c r="N49" s="781">
        <v>197.51076547</v>
      </c>
      <c r="O49" s="781">
        <v>203.43038313</v>
      </c>
      <c r="P49" s="781">
        <v>204.8708067</v>
      </c>
      <c r="Q49" s="781">
        <v>217.36403631000002</v>
      </c>
      <c r="R49" s="781">
        <v>226.44430839999998</v>
      </c>
      <c r="S49" s="781">
        <v>232.51083958000001</v>
      </c>
      <c r="T49" s="781">
        <v>235.67094048000001</v>
      </c>
      <c r="U49" s="781">
        <v>236.1993094</v>
      </c>
      <c r="V49" s="781">
        <v>242.70368669000001</v>
      </c>
      <c r="W49" s="781">
        <v>259.53661246000001</v>
      </c>
      <c r="X49" s="781">
        <v>269.24038837000001</v>
      </c>
      <c r="Y49" s="781">
        <v>284.86419231000002</v>
      </c>
      <c r="Z49" s="781">
        <v>287.17310681999999</v>
      </c>
      <c r="AA49" s="781">
        <v>373.93429368</v>
      </c>
      <c r="AB49" s="781">
        <v>355.17878938000007</v>
      </c>
      <c r="AC49" s="781">
        <v>349.89573481000002</v>
      </c>
      <c r="AD49" s="781">
        <v>347.93404895999998</v>
      </c>
      <c r="AE49" s="781">
        <v>347.45143681999997</v>
      </c>
      <c r="AF49" s="781">
        <v>357.74513235000001</v>
      </c>
      <c r="AG49" s="781">
        <v>342.18315615999995</v>
      </c>
      <c r="AH49" s="781">
        <v>325.78493476</v>
      </c>
      <c r="AI49" s="781">
        <v>328.19679293000002</v>
      </c>
      <c r="AJ49" s="781">
        <v>313.33382298000004</v>
      </c>
      <c r="AK49" s="781">
        <v>437.74145341000002</v>
      </c>
      <c r="AL49" s="781">
        <v>437.74408946</v>
      </c>
      <c r="AM49" s="781">
        <v>422.05966828999999</v>
      </c>
      <c r="AN49" s="781">
        <v>406.66151482999999</v>
      </c>
      <c r="AO49" s="781">
        <v>384.82494094000003</v>
      </c>
      <c r="AP49" s="781">
        <v>373.48422059999996</v>
      </c>
      <c r="AQ49" s="781">
        <v>372.76387635000003</v>
      </c>
      <c r="AR49" s="781">
        <v>360.03533425000006</v>
      </c>
      <c r="AS49" s="781">
        <v>358.54114605999996</v>
      </c>
      <c r="AT49" s="781">
        <v>348.01777389</v>
      </c>
      <c r="AU49" s="781">
        <v>343.34221489000004</v>
      </c>
      <c r="AV49" s="781">
        <v>352.75380136000007</v>
      </c>
      <c r="AW49" s="781">
        <v>349.93217486000003</v>
      </c>
      <c r="AX49" s="781">
        <v>369.37312950000006</v>
      </c>
      <c r="AY49" s="781">
        <v>328.39325581999998</v>
      </c>
      <c r="AZ49" s="781">
        <v>316.01740061999999</v>
      </c>
      <c r="BA49" s="781">
        <v>306.41831532999998</v>
      </c>
      <c r="BB49" s="781">
        <v>297.32727204000003</v>
      </c>
      <c r="BC49" s="781">
        <v>289.37367030000001</v>
      </c>
      <c r="BD49" s="781">
        <v>281.64781448000002</v>
      </c>
      <c r="BE49" s="781">
        <v>275.89534592000001</v>
      </c>
      <c r="BF49" s="781">
        <v>268.50138891</v>
      </c>
      <c r="BG49" s="782">
        <v>262.19184757000005</v>
      </c>
      <c r="BH49" s="820">
        <v>254.50374511000001</v>
      </c>
      <c r="BI49" s="815">
        <v>245.83909070999999</v>
      </c>
      <c r="BJ49" s="815">
        <v>239.53236909999998</v>
      </c>
      <c r="BK49" s="815">
        <v>229.77732800000001</v>
      </c>
      <c r="BL49" s="815">
        <v>220.81257012999998</v>
      </c>
      <c r="BM49" s="815">
        <v>210.77802134999999</v>
      </c>
      <c r="BN49" s="815">
        <v>204.53041837000001</v>
      </c>
      <c r="BO49" s="815">
        <v>199.90839576000002</v>
      </c>
      <c r="BP49" s="815">
        <v>192.46838308999997</v>
      </c>
      <c r="BQ49" s="815">
        <v>183.25286537999997</v>
      </c>
      <c r="BR49" s="815">
        <v>178.68113622999999</v>
      </c>
      <c r="BS49" s="815">
        <v>176.54657011</v>
      </c>
      <c r="BT49" s="815">
        <v>176.35039253999997</v>
      </c>
      <c r="BU49" s="815">
        <v>159.25219908000003</v>
      </c>
      <c r="BV49" s="815">
        <v>151.33861263</v>
      </c>
      <c r="BW49" s="815">
        <v>148.74935962999999</v>
      </c>
      <c r="BX49" s="815">
        <v>143.37480159</v>
      </c>
      <c r="BY49" s="815">
        <v>140.01167808000002</v>
      </c>
      <c r="BZ49" s="815">
        <v>136.23157184000002</v>
      </c>
      <c r="CA49" s="815">
        <v>130.46595289999999</v>
      </c>
      <c r="CB49" s="815">
        <v>120.93484769000001</v>
      </c>
      <c r="CC49" s="815">
        <v>118.27975201000001</v>
      </c>
      <c r="CD49" s="815">
        <v>116.35417395</v>
      </c>
      <c r="CE49" s="815">
        <v>115.43497306</v>
      </c>
      <c r="CF49" s="815">
        <v>116.97941465000001</v>
      </c>
      <c r="CG49" s="815">
        <v>107.13334128000001</v>
      </c>
      <c r="CH49" s="815">
        <v>105.73931095</v>
      </c>
      <c r="CI49" s="815">
        <v>105.52035289000001</v>
      </c>
      <c r="CJ49" s="815">
        <v>94.351915379999994</v>
      </c>
      <c r="CK49" s="815">
        <v>87.630947639999988</v>
      </c>
      <c r="CL49" s="815">
        <v>85.347246529999993</v>
      </c>
      <c r="CM49" s="815">
        <v>81.493340989999993</v>
      </c>
      <c r="CN49" s="815">
        <v>78.69994281000001</v>
      </c>
      <c r="CO49" s="815">
        <v>77.765243260000005</v>
      </c>
      <c r="CP49" s="815">
        <v>75.175844999999995</v>
      </c>
      <c r="CQ49" s="815">
        <v>71.937008640000002</v>
      </c>
      <c r="CR49" s="815">
        <v>68.872873369999994</v>
      </c>
      <c r="CS49" s="815">
        <v>65.124853989999991</v>
      </c>
      <c r="CT49" s="815">
        <v>60.412829539999997</v>
      </c>
      <c r="CU49" s="815">
        <v>65.8700142</v>
      </c>
      <c r="CV49" s="815">
        <v>63.12305482</v>
      </c>
      <c r="CW49" s="815">
        <v>62.825603809999997</v>
      </c>
      <c r="CX49" s="815">
        <v>59.87518524</v>
      </c>
      <c r="CY49" s="815">
        <v>60.210764609999998</v>
      </c>
      <c r="CZ49" s="815">
        <v>60.687583969999999</v>
      </c>
      <c r="DA49" s="815">
        <v>60.77288283</v>
      </c>
      <c r="DB49" s="815">
        <v>64.392185339999997</v>
      </c>
      <c r="DC49" s="815">
        <v>63.765772519999999</v>
      </c>
      <c r="DD49" s="815">
        <v>60.305697690000002</v>
      </c>
      <c r="DE49" s="815">
        <v>63.564035250000003</v>
      </c>
      <c r="DF49" s="815">
        <v>56.558620740000002</v>
      </c>
      <c r="DG49" s="815">
        <v>56.082432779999998</v>
      </c>
      <c r="DH49" s="815">
        <v>52.280523840000001</v>
      </c>
      <c r="DI49" s="815">
        <v>50.953282659999999</v>
      </c>
      <c r="DJ49" s="815">
        <v>52.683972650000001</v>
      </c>
      <c r="DK49" s="815">
        <v>53.18681763</v>
      </c>
      <c r="DL49" s="815">
        <v>52.445652189999997</v>
      </c>
      <c r="DM49" s="815">
        <v>52.116489620000003</v>
      </c>
      <c r="DN49" s="815">
        <v>59.265142040000001</v>
      </c>
      <c r="DO49" s="815">
        <v>60.062606340000002</v>
      </c>
      <c r="DP49" s="815">
        <v>58.739884369999999</v>
      </c>
      <c r="DQ49" s="815">
        <v>55.861136449999997</v>
      </c>
      <c r="DR49" s="815">
        <v>55.043827190000002</v>
      </c>
      <c r="DS49" s="815">
        <v>50.793110059999997</v>
      </c>
      <c r="DT49" s="815">
        <v>49.461264810000003</v>
      </c>
      <c r="DU49" s="815">
        <v>58.153457000000003</v>
      </c>
      <c r="DV49" s="815">
        <v>62.094460120000001</v>
      </c>
      <c r="DW49" s="815">
        <v>62.642824130000001</v>
      </c>
      <c r="DX49" s="815">
        <v>63.32426804</v>
      </c>
      <c r="DY49" s="815">
        <v>64.877013079999998</v>
      </c>
      <c r="DZ49" s="815">
        <v>66.440803930000001</v>
      </c>
      <c r="EA49" s="815">
        <v>61.055630800000003</v>
      </c>
      <c r="EB49" s="815">
        <v>62.80135224</v>
      </c>
      <c r="EC49" s="815">
        <v>62.068829770000001</v>
      </c>
      <c r="ED49" s="815">
        <v>61.435337949999997</v>
      </c>
      <c r="EE49" s="815">
        <v>58.798396140000001</v>
      </c>
      <c r="EF49" s="815">
        <v>56.949542540000003</v>
      </c>
      <c r="EG49" s="815">
        <v>54.882282770000003</v>
      </c>
      <c r="EH49" s="815">
        <v>46.811191880000003</v>
      </c>
      <c r="EI49" s="815">
        <v>44.96242032</v>
      </c>
      <c r="EJ49" s="815">
        <v>43.161826349999998</v>
      </c>
      <c r="EK49" s="815">
        <v>42.871790990000001</v>
      </c>
      <c r="EL49" s="815">
        <v>41.809023310000001</v>
      </c>
      <c r="EM49" s="815">
        <v>39.275150709999998</v>
      </c>
      <c r="EN49" s="815">
        <v>38.152460249999997</v>
      </c>
      <c r="EO49" s="815">
        <v>41.173432149999996</v>
      </c>
      <c r="EP49" s="815">
        <v>39.373265750000002</v>
      </c>
      <c r="EQ49" s="815">
        <v>37.399001769999998</v>
      </c>
      <c r="ER49" s="815">
        <v>36.654920609999998</v>
      </c>
      <c r="ES49" s="815">
        <v>34.596778720000003</v>
      </c>
      <c r="ET49" s="815">
        <v>33.340792639999997</v>
      </c>
      <c r="EU49" s="815">
        <v>32.450174029999999</v>
      </c>
      <c r="EV49" s="815">
        <v>32.998516600000002</v>
      </c>
      <c r="EW49" s="815">
        <v>30.674002300000001</v>
      </c>
      <c r="EX49" s="815">
        <v>28.601767899999999</v>
      </c>
      <c r="EY49" s="815">
        <v>28.40796954</v>
      </c>
      <c r="EZ49" s="815">
        <v>27.273961490000001</v>
      </c>
      <c r="FA49" s="815">
        <v>28.23879311</v>
      </c>
      <c r="FB49" s="815">
        <v>27.098960529999999</v>
      </c>
      <c r="FC49" s="815">
        <v>34.565113850000003</v>
      </c>
      <c r="FD49" s="815">
        <v>32.700963559999998</v>
      </c>
      <c r="FE49" s="815">
        <v>31.388539189999999</v>
      </c>
      <c r="FF49" s="815">
        <v>29.37500807</v>
      </c>
      <c r="FG49" s="815">
        <v>28.227991240000001</v>
      </c>
      <c r="FH49" s="1722" t="s">
        <v>4063</v>
      </c>
    </row>
    <row r="50" spans="1:164" ht="21">
      <c r="A50" s="1725" t="s">
        <v>2006</v>
      </c>
      <c r="B50" s="786">
        <v>0.11804867999999999</v>
      </c>
      <c r="C50" s="786">
        <v>2.7660198999999999</v>
      </c>
      <c r="D50" s="786">
        <v>2.6083030200000001</v>
      </c>
      <c r="E50" s="786">
        <v>2.6476920000000002</v>
      </c>
      <c r="F50" s="786">
        <v>3.04740806</v>
      </c>
      <c r="G50" s="786">
        <v>2.96987852</v>
      </c>
      <c r="H50" s="786">
        <v>2.75096081</v>
      </c>
      <c r="I50" s="786">
        <v>2.8174198100000001</v>
      </c>
      <c r="J50" s="786">
        <v>3.2131447899999999</v>
      </c>
      <c r="K50" s="786">
        <v>3.3452382200000002</v>
      </c>
      <c r="L50" s="786">
        <v>3.3085029599999998</v>
      </c>
      <c r="M50" s="787">
        <v>3.4845867799999999</v>
      </c>
      <c r="N50" s="787">
        <v>3.3475053999999997</v>
      </c>
      <c r="O50" s="787">
        <v>3.4848470299999996</v>
      </c>
      <c r="P50" s="787">
        <v>3.3661613900000003</v>
      </c>
      <c r="Q50" s="787">
        <v>3.7624272000000003</v>
      </c>
      <c r="R50" s="787">
        <v>3.8093890200000002</v>
      </c>
      <c r="S50" s="787">
        <v>3.8822274700000001</v>
      </c>
      <c r="T50" s="787">
        <v>3.6196510699999997</v>
      </c>
      <c r="U50" s="787">
        <v>3.73416039</v>
      </c>
      <c r="V50" s="787">
        <v>4.1289160699999998</v>
      </c>
      <c r="W50" s="787">
        <v>0.54781430000000009</v>
      </c>
      <c r="X50" s="787">
        <v>0.55489554000000008</v>
      </c>
      <c r="Y50" s="787">
        <v>0.51227495000000001</v>
      </c>
      <c r="Z50" s="787">
        <v>0.49579334999999997</v>
      </c>
      <c r="AA50" s="787">
        <v>0.64104475999999999</v>
      </c>
      <c r="AB50" s="787">
        <v>0.61655990000000005</v>
      </c>
      <c r="AC50" s="787">
        <v>0.59934564000000001</v>
      </c>
      <c r="AD50" s="787">
        <v>0.68712766000000003</v>
      </c>
      <c r="AE50" s="787">
        <v>0.66563531999999992</v>
      </c>
      <c r="AF50" s="787">
        <v>0.67945404000000009</v>
      </c>
      <c r="AG50" s="787">
        <v>0.63501459999999998</v>
      </c>
      <c r="AH50" s="787">
        <v>0.61238236000000001</v>
      </c>
      <c r="AI50" s="787">
        <v>0.59317748000000003</v>
      </c>
      <c r="AJ50" s="787">
        <v>0.56649388000000001</v>
      </c>
      <c r="AK50" s="787">
        <v>1.0098676200000001</v>
      </c>
      <c r="AL50" s="787">
        <v>0.96995812000000003</v>
      </c>
      <c r="AM50" s="787">
        <v>0.96966078</v>
      </c>
      <c r="AN50" s="787">
        <v>0.93889531999999998</v>
      </c>
      <c r="AO50" s="787">
        <v>0.87415865000000004</v>
      </c>
      <c r="AP50" s="787">
        <v>0.85789400999999998</v>
      </c>
      <c r="AQ50" s="787">
        <v>0.87187856000000008</v>
      </c>
      <c r="AR50" s="787">
        <v>0.88303703</v>
      </c>
      <c r="AS50" s="787">
        <v>0.89383630000000003</v>
      </c>
      <c r="AT50" s="787">
        <v>0.87284824999999999</v>
      </c>
      <c r="AU50" s="787">
        <v>0.86061482</v>
      </c>
      <c r="AV50" s="787">
        <v>1.3602513799999998</v>
      </c>
      <c r="AW50" s="787">
        <v>1.1712771299999998</v>
      </c>
      <c r="AX50" s="787">
        <v>1.2659042700000001</v>
      </c>
      <c r="AY50" s="787">
        <v>1.1484636100000001</v>
      </c>
      <c r="AZ50" s="787">
        <v>1.1288090500000001</v>
      </c>
      <c r="BA50" s="787">
        <v>1.1060049999999999</v>
      </c>
      <c r="BB50" s="787">
        <v>1.10400294</v>
      </c>
      <c r="BC50" s="787">
        <v>1.10239033</v>
      </c>
      <c r="BD50" s="787">
        <v>1.0930872600000001</v>
      </c>
      <c r="BE50" s="787">
        <v>1.07818305</v>
      </c>
      <c r="BF50" s="787">
        <v>1.0691329899999999</v>
      </c>
      <c r="BG50" s="788">
        <v>1.0551198899999998</v>
      </c>
      <c r="BH50" s="822">
        <v>1.04655733</v>
      </c>
      <c r="BI50" s="818">
        <v>1.0380568299999999</v>
      </c>
      <c r="BJ50" s="818">
        <v>1.03459675</v>
      </c>
      <c r="BK50" s="818">
        <v>1.0261561299999999</v>
      </c>
      <c r="BL50" s="818">
        <v>1.0175957799999999</v>
      </c>
      <c r="BM50" s="818">
        <v>1.0184709000000001</v>
      </c>
      <c r="BN50" s="818">
        <v>1.0110759</v>
      </c>
      <c r="BO50" s="818">
        <v>1.0051259000000001</v>
      </c>
      <c r="BP50" s="818">
        <v>1.0017208</v>
      </c>
      <c r="BQ50" s="818">
        <v>0.99322589999999999</v>
      </c>
      <c r="BR50" s="818">
        <v>0.98727589999999998</v>
      </c>
      <c r="BS50" s="818">
        <v>0.98132589999999997</v>
      </c>
      <c r="BT50" s="818">
        <v>0.97537590000000007</v>
      </c>
      <c r="BU50" s="818">
        <v>0.96942590000000006</v>
      </c>
      <c r="BV50" s="818">
        <v>0.96602589999999999</v>
      </c>
      <c r="BW50" s="818">
        <v>0.96262590000000003</v>
      </c>
      <c r="BX50" s="818">
        <v>0.95988620999999996</v>
      </c>
      <c r="BY50" s="818">
        <v>0.95648621</v>
      </c>
      <c r="BZ50" s="818">
        <v>0.93386663000000003</v>
      </c>
      <c r="CA50" s="818">
        <v>0.95047355</v>
      </c>
      <c r="CB50" s="818">
        <v>0.9418588</v>
      </c>
      <c r="CC50" s="818">
        <v>0.93248582999999996</v>
      </c>
      <c r="CD50" s="818">
        <v>0.92105281000000006</v>
      </c>
      <c r="CE50" s="818">
        <v>0.90895391000000003</v>
      </c>
      <c r="CF50" s="818">
        <v>0.89674074999999998</v>
      </c>
      <c r="CG50" s="818">
        <v>0.88514480000000006</v>
      </c>
      <c r="CH50" s="818">
        <v>0.87219071999999997</v>
      </c>
      <c r="CI50" s="818">
        <v>0.85993752000000001</v>
      </c>
      <c r="CJ50" s="818">
        <v>0.84754682999999997</v>
      </c>
      <c r="CK50" s="818">
        <v>0.83425386999999995</v>
      </c>
      <c r="CL50" s="818">
        <v>0.82147914</v>
      </c>
      <c r="CM50" s="818">
        <v>0.80878673000000001</v>
      </c>
      <c r="CN50" s="818">
        <v>0.79529766000000002</v>
      </c>
      <c r="CO50" s="818">
        <v>0.79628239000000001</v>
      </c>
      <c r="CP50" s="818">
        <v>0.78513511000000002</v>
      </c>
      <c r="CQ50" s="818">
        <v>0.77016435999999999</v>
      </c>
      <c r="CR50" s="818">
        <v>0.75488169999999999</v>
      </c>
      <c r="CS50" s="818">
        <v>0.74398455000000008</v>
      </c>
      <c r="CT50" s="818">
        <v>0.72851104</v>
      </c>
      <c r="CU50" s="818">
        <v>0.71330771999999998</v>
      </c>
      <c r="CV50" s="818">
        <v>0.69740592999999995</v>
      </c>
      <c r="CW50" s="818">
        <v>0.68122804999999997</v>
      </c>
      <c r="CX50" s="818">
        <v>0.66543514000000004</v>
      </c>
      <c r="CY50" s="818">
        <v>0.64913701000000001</v>
      </c>
      <c r="CZ50" s="818">
        <v>0.63279547000000003</v>
      </c>
      <c r="DA50" s="818">
        <v>0.54520851000000004</v>
      </c>
      <c r="DB50" s="818">
        <v>0.55860673999999999</v>
      </c>
      <c r="DC50" s="818">
        <v>0.55860673999999999</v>
      </c>
      <c r="DD50" s="818">
        <v>0</v>
      </c>
      <c r="DE50" s="818">
        <v>0</v>
      </c>
      <c r="DF50" s="818">
        <v>0</v>
      </c>
      <c r="DG50" s="818">
        <v>0</v>
      </c>
      <c r="DH50" s="818">
        <v>0</v>
      </c>
      <c r="DI50" s="818">
        <v>0</v>
      </c>
      <c r="DJ50" s="818">
        <v>0</v>
      </c>
      <c r="DK50" s="818">
        <v>0</v>
      </c>
      <c r="DL50" s="818">
        <v>0</v>
      </c>
      <c r="DM50" s="818">
        <v>0</v>
      </c>
      <c r="DN50" s="818">
        <v>0</v>
      </c>
      <c r="DO50" s="818">
        <v>0</v>
      </c>
      <c r="DP50" s="818">
        <v>0</v>
      </c>
      <c r="DQ50" s="818">
        <v>0</v>
      </c>
      <c r="DR50" s="818">
        <v>0</v>
      </c>
      <c r="DS50" s="818">
        <v>0</v>
      </c>
      <c r="DT50" s="818">
        <v>0</v>
      </c>
      <c r="DU50" s="818">
        <v>0.35699999999999998</v>
      </c>
      <c r="DV50" s="818">
        <v>0.32820034999999997</v>
      </c>
      <c r="DW50" s="818">
        <v>0.29896295000000001</v>
      </c>
      <c r="DX50" s="818">
        <v>0.26878794</v>
      </c>
      <c r="DY50" s="818">
        <v>0.23864827999999999</v>
      </c>
      <c r="DZ50" s="818">
        <v>0.20816660000000001</v>
      </c>
      <c r="EA50" s="818">
        <v>0.19334941999999999</v>
      </c>
      <c r="EB50" s="818">
        <v>0.17003045999999999</v>
      </c>
      <c r="EC50" s="818">
        <v>0.15500061000000001</v>
      </c>
      <c r="ED50" s="818">
        <v>0.13995228000000001</v>
      </c>
      <c r="EE50" s="818">
        <v>0.12482871</v>
      </c>
      <c r="EF50" s="818">
        <v>9.8945169999999999E-2</v>
      </c>
      <c r="EG50" s="818">
        <v>8.3468150000000005E-2</v>
      </c>
      <c r="EH50" s="818">
        <v>6.6584069999999995E-2</v>
      </c>
      <c r="EI50" s="818">
        <v>5.1082570000000001E-2</v>
      </c>
      <c r="EJ50" s="818">
        <v>3.5506129999999997E-2</v>
      </c>
      <c r="EK50" s="818">
        <v>1.9860340000000001E-2</v>
      </c>
      <c r="EL50" s="818">
        <v>4.1362999999999999E-3</v>
      </c>
      <c r="EM50" s="818">
        <v>0</v>
      </c>
      <c r="EN50" s="818">
        <v>0</v>
      </c>
      <c r="EO50" s="818">
        <v>0</v>
      </c>
      <c r="EP50" s="818">
        <v>0</v>
      </c>
      <c r="EQ50" s="818">
        <v>0</v>
      </c>
      <c r="ER50" s="818">
        <v>0</v>
      </c>
      <c r="ES50" s="818">
        <v>0</v>
      </c>
      <c r="ET50" s="818">
        <v>0</v>
      </c>
      <c r="EU50" s="818">
        <v>0</v>
      </c>
      <c r="EV50" s="818">
        <v>0</v>
      </c>
      <c r="EW50" s="818">
        <v>0</v>
      </c>
      <c r="EX50" s="818">
        <v>0</v>
      </c>
      <c r="EY50" s="818">
        <v>0</v>
      </c>
      <c r="EZ50" s="818">
        <v>0</v>
      </c>
      <c r="FA50" s="818">
        <v>0</v>
      </c>
      <c r="FB50" s="818">
        <v>0</v>
      </c>
      <c r="FC50" s="818">
        <v>0</v>
      </c>
      <c r="FD50" s="818">
        <v>0</v>
      </c>
      <c r="FE50" s="818">
        <v>0.34</v>
      </c>
      <c r="FF50" s="818">
        <v>0.32714406000000001</v>
      </c>
      <c r="FG50" s="818">
        <v>0.31145433</v>
      </c>
      <c r="FH50" s="1748" t="s">
        <v>4074</v>
      </c>
    </row>
    <row r="51" spans="1:164" s="736" customFormat="1" ht="39" customHeight="1">
      <c r="A51" s="2306" t="s">
        <v>3278</v>
      </c>
      <c r="B51" s="2306"/>
      <c r="C51" s="2306"/>
      <c r="D51" s="2306"/>
      <c r="E51" s="2306"/>
      <c r="F51" s="2306"/>
      <c r="G51" s="2306"/>
      <c r="H51" s="2306"/>
      <c r="I51" s="2306"/>
      <c r="J51" s="2306"/>
      <c r="K51" s="2306"/>
      <c r="L51" s="2306"/>
      <c r="M51" s="2306"/>
      <c r="N51" s="2306"/>
      <c r="O51" s="2306"/>
      <c r="P51" s="2306"/>
      <c r="Q51" s="2306"/>
      <c r="R51" s="2306"/>
      <c r="S51" s="2306"/>
      <c r="T51" s="2306"/>
      <c r="U51" s="2306"/>
      <c r="V51" s="2306"/>
      <c r="W51" s="2306"/>
      <c r="X51" s="2306"/>
      <c r="Y51" s="2306"/>
      <c r="Z51" s="2306"/>
      <c r="AA51" s="2306"/>
      <c r="AB51" s="2306"/>
      <c r="AC51" s="2306"/>
      <c r="AD51" s="2306"/>
      <c r="AE51" s="2306"/>
      <c r="AF51" s="2306"/>
      <c r="AG51" s="2306"/>
      <c r="AH51" s="2306"/>
      <c r="AI51" s="2306"/>
      <c r="AJ51" s="2306"/>
      <c r="AK51" s="2306"/>
      <c r="AL51" s="2306"/>
      <c r="AM51" s="2306"/>
      <c r="AN51" s="2306"/>
      <c r="AO51" s="2306"/>
      <c r="AP51" s="2306"/>
      <c r="AQ51" s="2306"/>
      <c r="AR51" s="2306"/>
      <c r="AS51" s="2306"/>
      <c r="AT51" s="2306"/>
      <c r="AU51" s="2306"/>
      <c r="AV51" s="2306"/>
      <c r="AW51" s="2306"/>
      <c r="AX51" s="2306"/>
      <c r="AY51" s="2306"/>
      <c r="AZ51" s="2306"/>
      <c r="BA51" s="2306"/>
      <c r="BB51" s="2306"/>
      <c r="BC51" s="2306"/>
      <c r="BD51" s="2306"/>
      <c r="BE51" s="2306"/>
      <c r="BF51" s="2306"/>
      <c r="BG51" s="2306"/>
      <c r="BH51" s="2306"/>
      <c r="BI51" s="2306"/>
      <c r="BJ51" s="2306"/>
      <c r="BK51" s="2306"/>
      <c r="BL51" s="2306"/>
      <c r="BM51" s="2306"/>
      <c r="BN51" s="2306"/>
      <c r="BO51" s="2306"/>
      <c r="BP51" s="2306"/>
      <c r="BQ51" s="2306"/>
      <c r="BR51" s="2306"/>
      <c r="BS51" s="2306"/>
      <c r="BT51" s="2306"/>
      <c r="BU51" s="2306"/>
      <c r="BV51" s="2306"/>
      <c r="BW51" s="2306"/>
      <c r="BX51" s="2306"/>
      <c r="BY51" s="2306"/>
      <c r="BZ51" s="2306"/>
      <c r="CA51" s="2306"/>
      <c r="CB51" s="2306"/>
      <c r="CC51" s="2306"/>
      <c r="CD51" s="2306"/>
      <c r="CE51" s="2306"/>
      <c r="CF51" s="2306"/>
      <c r="CG51" s="2306"/>
      <c r="CH51" s="2306"/>
      <c r="CI51" s="2306"/>
      <c r="CJ51" s="2306"/>
      <c r="CK51" s="2306"/>
      <c r="CL51" s="2306"/>
      <c r="CM51" s="2306"/>
      <c r="CN51" s="2306"/>
      <c r="CO51" s="2306"/>
      <c r="CP51" s="2306"/>
      <c r="CQ51" s="2306"/>
      <c r="CR51" s="2306"/>
      <c r="CS51" s="2306"/>
      <c r="CT51" s="2306"/>
      <c r="CU51" s="2306"/>
      <c r="CV51" s="2306"/>
      <c r="CW51" s="2306"/>
      <c r="CX51" s="2306"/>
      <c r="CY51" s="2306"/>
      <c r="CZ51" s="2306"/>
      <c r="DA51" s="2306"/>
      <c r="DB51" s="2306"/>
      <c r="DC51" s="2306"/>
      <c r="DD51" s="2306"/>
      <c r="DE51" s="2306"/>
      <c r="DF51" s="2306"/>
      <c r="DG51" s="2306"/>
      <c r="DH51" s="2306"/>
      <c r="DI51" s="2306"/>
      <c r="DJ51" s="2306"/>
      <c r="DK51" s="2306"/>
      <c r="DL51" s="2306"/>
      <c r="DM51" s="2306"/>
      <c r="DN51" s="2306"/>
      <c r="DO51" s="2306"/>
      <c r="DP51" s="2306"/>
      <c r="DQ51" s="2306"/>
      <c r="DR51" s="2306"/>
      <c r="DS51" s="2306"/>
      <c r="DT51" s="2306"/>
      <c r="DU51" s="2306"/>
      <c r="DV51" s="2306"/>
      <c r="DW51" s="2306"/>
      <c r="DX51" s="2306"/>
      <c r="DY51" s="2306"/>
      <c r="DZ51" s="2306"/>
      <c r="EA51" s="2307"/>
      <c r="EB51" s="2307"/>
      <c r="EC51" s="2306"/>
      <c r="ED51" s="1666"/>
      <c r="EE51" s="1666"/>
      <c r="EF51" s="1666"/>
      <c r="EG51" s="1666"/>
      <c r="EH51" s="1666"/>
      <c r="EI51" s="1666"/>
      <c r="FH51" s="736" t="s">
        <v>3952</v>
      </c>
    </row>
  </sheetData>
  <mergeCells count="17">
    <mergeCell ref="A51:EC51"/>
    <mergeCell ref="CE6:CG6"/>
    <mergeCell ref="Z6:AK6"/>
    <mergeCell ref="B6:M6"/>
    <mergeCell ref="N6:Y6"/>
    <mergeCell ref="AL6:AW6"/>
    <mergeCell ref="BG6:BI6"/>
    <mergeCell ref="CU6:DE6"/>
    <mergeCell ref="DF6:DQ6"/>
    <mergeCell ref="DR6:EC6"/>
    <mergeCell ref="EP6:FA6"/>
    <mergeCell ref="A2:FH2"/>
    <mergeCell ref="A3:FH3"/>
    <mergeCell ref="A5:FH5"/>
    <mergeCell ref="FH6:FH8"/>
    <mergeCell ref="ED6:EN6"/>
    <mergeCell ref="FB6:FG6"/>
  </mergeCells>
  <pageMargins left="0.7" right="0.7" top="0.75" bottom="0.75" header="0.3" footer="0.3"/>
  <pageSetup scale="2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3">
    <tabColor rgb="FF92D050"/>
  </sheetPr>
  <dimension ref="A1:FH50"/>
  <sheetViews>
    <sheetView showGridLines="0" view="pageBreakPreview" zoomScale="64" zoomScaleNormal="100" zoomScaleSheetLayoutView="64" workbookViewId="0">
      <selection activeCell="F40" sqref="F40"/>
    </sheetView>
  </sheetViews>
  <sheetFormatPr defaultColWidth="9.140625" defaultRowHeight="14.25"/>
  <cols>
    <col min="1" max="1" width="57.7109375" style="751" customWidth="1"/>
    <col min="2" max="12" width="13.5703125" style="272" hidden="1" customWidth="1"/>
    <col min="13" max="13" width="19" style="272" hidden="1" customWidth="1"/>
    <col min="14" max="23" width="13.5703125" style="272" hidden="1" customWidth="1"/>
    <col min="24" max="24" width="13.28515625" style="272" hidden="1" customWidth="1"/>
    <col min="25" max="25" width="18.140625" style="272" hidden="1" customWidth="1"/>
    <col min="26" max="32" width="14.7109375" style="272" hidden="1" customWidth="1"/>
    <col min="33" max="33" width="18" style="272" hidden="1" customWidth="1"/>
    <col min="34" max="34" width="20.42578125" style="272" hidden="1" customWidth="1"/>
    <col min="35" max="35" width="18.5703125" style="272" hidden="1" customWidth="1"/>
    <col min="36" max="36" width="18.140625" style="272" hidden="1" customWidth="1"/>
    <col min="37" max="37" width="19.28515625" style="272" hidden="1" customWidth="1"/>
    <col min="38" max="44" width="14.7109375" style="272" hidden="1" customWidth="1"/>
    <col min="45" max="45" width="18" style="272" hidden="1" customWidth="1"/>
    <col min="46" max="60" width="19.7109375" style="272" hidden="1" customWidth="1"/>
    <col min="61" max="61" width="13.5703125" style="272" customWidth="1"/>
    <col min="62" max="72" width="19.7109375" style="272" hidden="1" customWidth="1"/>
    <col min="73" max="73" width="13.5703125" style="272" customWidth="1"/>
    <col min="74" max="82" width="19.7109375" style="272" hidden="1" customWidth="1"/>
    <col min="83" max="84" width="19.28515625" style="272" hidden="1" customWidth="1"/>
    <col min="85" max="85" width="13.5703125" style="272" customWidth="1"/>
    <col min="86" max="90" width="19.28515625" style="272" hidden="1" customWidth="1"/>
    <col min="91" max="96" width="20.28515625" style="272" hidden="1" customWidth="1"/>
    <col min="97" max="97" width="13.5703125" style="272" customWidth="1"/>
    <col min="98" max="108" width="13.5703125" style="272" hidden="1" customWidth="1"/>
    <col min="109" max="109" width="13.5703125" style="272" customWidth="1"/>
    <col min="110" max="120" width="13.5703125" style="272" hidden="1" customWidth="1"/>
    <col min="121" max="121" width="13.5703125" style="272" customWidth="1"/>
    <col min="122" max="132" width="13.5703125" style="272" hidden="1" customWidth="1"/>
    <col min="133" max="133" width="13.5703125" style="272" customWidth="1"/>
    <col min="134" max="144" width="13.5703125" style="272" hidden="1" customWidth="1"/>
    <col min="145" max="145" width="13.5703125" style="272" customWidth="1"/>
    <col min="146" max="156" width="13.5703125" style="272" hidden="1" customWidth="1"/>
    <col min="157" max="162" width="13.5703125" style="272" customWidth="1"/>
    <col min="163" max="163" width="13.7109375" style="272" bestFit="1" customWidth="1"/>
    <col min="164" max="164" width="51" style="272" customWidth="1"/>
    <col min="165" max="16384" width="9.140625" style="272"/>
  </cols>
  <sheetData>
    <row r="1" spans="1:164" ht="15.75" customHeight="1"/>
    <row r="2" spans="1:164" s="643" customFormat="1" ht="30" customHeight="1">
      <c r="A2" s="2310" t="s">
        <v>3286</v>
      </c>
      <c r="B2" s="2310"/>
      <c r="C2" s="2310"/>
      <c r="D2" s="2310"/>
      <c r="E2" s="2310"/>
      <c r="F2" s="2310"/>
      <c r="G2" s="2310"/>
      <c r="H2" s="2310"/>
      <c r="I2" s="2310"/>
      <c r="J2" s="2310"/>
      <c r="K2" s="2310"/>
      <c r="L2" s="2310"/>
      <c r="M2" s="2310"/>
      <c r="N2" s="2310"/>
      <c r="O2" s="2310"/>
      <c r="P2" s="2310"/>
      <c r="Q2" s="2310"/>
      <c r="R2" s="2310"/>
      <c r="S2" s="2310"/>
      <c r="T2" s="2310"/>
      <c r="U2" s="2310"/>
      <c r="V2" s="2310"/>
      <c r="W2" s="2310"/>
      <c r="X2" s="2310"/>
      <c r="Y2" s="2310"/>
      <c r="Z2" s="2310"/>
      <c r="AA2" s="2310"/>
      <c r="AB2" s="2310"/>
      <c r="AC2" s="2310"/>
      <c r="AD2" s="2310"/>
      <c r="AE2" s="2310"/>
      <c r="AF2" s="2310"/>
      <c r="AG2" s="2310"/>
      <c r="AH2" s="2310"/>
      <c r="AI2" s="2310"/>
      <c r="AJ2" s="2310"/>
      <c r="AK2" s="2310"/>
      <c r="AL2" s="2310"/>
      <c r="AM2" s="2310"/>
      <c r="AN2" s="2310"/>
      <c r="AO2" s="2310"/>
      <c r="AP2" s="2310"/>
      <c r="AQ2" s="2310"/>
      <c r="AR2" s="2310"/>
      <c r="AS2" s="2310"/>
      <c r="AT2" s="2310"/>
      <c r="AU2" s="2310"/>
      <c r="AV2" s="2310"/>
      <c r="AW2" s="2310"/>
      <c r="AX2" s="2310"/>
      <c r="AY2" s="2310"/>
      <c r="AZ2" s="2310"/>
      <c r="BA2" s="2310"/>
      <c r="BB2" s="2310"/>
      <c r="BC2" s="2310"/>
      <c r="BD2" s="2310"/>
      <c r="BE2" s="2310"/>
      <c r="BF2" s="2310"/>
      <c r="BG2" s="2310"/>
      <c r="BH2" s="2310"/>
      <c r="BI2" s="2310"/>
      <c r="BJ2" s="2310"/>
      <c r="BK2" s="2310"/>
      <c r="BL2" s="2310"/>
      <c r="BM2" s="2310"/>
      <c r="BN2" s="2310"/>
      <c r="BO2" s="2310"/>
      <c r="BP2" s="2310"/>
      <c r="BQ2" s="2310"/>
      <c r="BR2" s="2310"/>
      <c r="BS2" s="2310"/>
      <c r="BT2" s="2310"/>
      <c r="BU2" s="2310"/>
      <c r="BV2" s="2310"/>
      <c r="BW2" s="2310"/>
      <c r="BX2" s="2310"/>
      <c r="BY2" s="2310"/>
      <c r="BZ2" s="2310"/>
      <c r="CA2" s="2310"/>
      <c r="CB2" s="2310"/>
      <c r="CC2" s="2310"/>
      <c r="CD2" s="2310"/>
      <c r="CE2" s="2310"/>
      <c r="CF2" s="2310"/>
      <c r="CG2" s="2310"/>
      <c r="CH2" s="2310"/>
      <c r="CI2" s="2310"/>
      <c r="CJ2" s="2310"/>
      <c r="CK2" s="2310"/>
      <c r="CL2" s="2310"/>
      <c r="CM2" s="2310"/>
      <c r="CN2" s="2310"/>
      <c r="CO2" s="2310"/>
      <c r="CP2" s="2310"/>
      <c r="CQ2" s="2310"/>
      <c r="CR2" s="2310"/>
      <c r="CS2" s="2310"/>
      <c r="CT2" s="2310"/>
      <c r="CU2" s="2310"/>
      <c r="CV2" s="2310"/>
      <c r="CW2" s="2310"/>
      <c r="CX2" s="2310"/>
      <c r="CY2" s="2310"/>
      <c r="CZ2" s="2310"/>
      <c r="DA2" s="2310"/>
      <c r="DB2" s="2310"/>
      <c r="DC2" s="2310"/>
      <c r="DD2" s="2310"/>
      <c r="DE2" s="2310"/>
      <c r="DF2" s="2310"/>
      <c r="DG2" s="2310"/>
      <c r="DH2" s="2310"/>
      <c r="DI2" s="2310"/>
      <c r="DJ2" s="2310"/>
      <c r="DK2" s="2310"/>
      <c r="DL2" s="2310"/>
      <c r="DM2" s="2310"/>
      <c r="DN2" s="2310"/>
      <c r="DO2" s="2310"/>
      <c r="DP2" s="2310"/>
      <c r="DQ2" s="2310"/>
      <c r="DR2" s="2310"/>
      <c r="DS2" s="2310"/>
      <c r="DT2" s="2310"/>
      <c r="DU2" s="2310"/>
      <c r="DV2" s="2310"/>
      <c r="DW2" s="2310"/>
      <c r="DX2" s="2310"/>
      <c r="DY2" s="2310"/>
      <c r="DZ2" s="2310"/>
      <c r="EA2" s="2310"/>
      <c r="EB2" s="2310"/>
      <c r="EC2" s="2310"/>
      <c r="ED2" s="2310"/>
      <c r="EE2" s="2310"/>
      <c r="EF2" s="2310"/>
      <c r="EG2" s="2310"/>
      <c r="EH2" s="2310"/>
      <c r="EI2" s="2310"/>
      <c r="EJ2" s="2310"/>
      <c r="EK2" s="2310"/>
      <c r="EL2" s="2310"/>
      <c r="EM2" s="2310"/>
      <c r="EN2" s="2310"/>
      <c r="EO2" s="2310"/>
      <c r="EP2" s="2310"/>
      <c r="EQ2" s="2310"/>
      <c r="ER2" s="2310"/>
      <c r="ES2" s="2310"/>
      <c r="ET2" s="2310"/>
      <c r="EU2" s="2310"/>
      <c r="EV2" s="2310"/>
      <c r="EW2" s="2310"/>
      <c r="EX2" s="2310"/>
      <c r="EY2" s="2310"/>
      <c r="EZ2" s="2310"/>
      <c r="FA2" s="2310"/>
      <c r="FB2" s="2310"/>
      <c r="FC2" s="2310"/>
      <c r="FD2" s="2310"/>
      <c r="FE2" s="2310"/>
      <c r="FF2" s="2310"/>
      <c r="FG2" s="2310"/>
      <c r="FH2" s="2310"/>
    </row>
    <row r="3" spans="1:164" s="643" customFormat="1" ht="36" customHeight="1">
      <c r="A3" s="2299" t="s">
        <v>3270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</row>
    <row r="4" spans="1:164" ht="19.5" customHeight="1">
      <c r="A4" s="752"/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  <c r="Z4" s="494"/>
      <c r="AA4" s="494"/>
      <c r="AB4" s="494"/>
      <c r="AC4" s="494"/>
      <c r="AD4" s="494"/>
      <c r="AE4" s="494"/>
      <c r="AF4" s="494"/>
      <c r="AG4" s="494"/>
      <c r="AH4" s="494"/>
      <c r="AI4" s="494"/>
      <c r="AJ4" s="494"/>
      <c r="AK4" s="494"/>
      <c r="AL4" s="494"/>
      <c r="AM4" s="494"/>
      <c r="AN4" s="494"/>
      <c r="AO4" s="494"/>
      <c r="AP4" s="494"/>
      <c r="AQ4" s="494"/>
      <c r="AR4" s="494"/>
      <c r="AS4" s="494"/>
      <c r="AT4" s="494"/>
      <c r="AU4" s="494"/>
      <c r="AV4" s="494"/>
      <c r="AW4" s="494"/>
      <c r="AX4" s="494"/>
      <c r="AY4" s="494"/>
      <c r="AZ4" s="494"/>
      <c r="BA4" s="494"/>
      <c r="BB4" s="494"/>
      <c r="BC4" s="494"/>
      <c r="BD4" s="494"/>
      <c r="BE4" s="494"/>
      <c r="BF4" s="494"/>
      <c r="BG4" s="494"/>
      <c r="BH4" s="494"/>
      <c r="BI4" s="494"/>
      <c r="BJ4" s="494"/>
      <c r="BK4" s="494"/>
      <c r="BL4" s="494"/>
      <c r="BM4" s="494"/>
      <c r="BN4" s="494"/>
      <c r="BO4" s="494"/>
      <c r="BP4" s="494"/>
      <c r="BQ4" s="494"/>
      <c r="BR4" s="494"/>
      <c r="BS4" s="494"/>
      <c r="BT4" s="494"/>
      <c r="BU4" s="494"/>
      <c r="BV4" s="494"/>
      <c r="BW4" s="494"/>
      <c r="BX4" s="494"/>
      <c r="BY4" s="494"/>
      <c r="BZ4" s="494"/>
      <c r="CA4" s="494"/>
      <c r="CB4" s="494"/>
      <c r="CC4" s="494"/>
      <c r="CD4" s="494"/>
      <c r="CE4" s="494"/>
      <c r="CF4" s="494"/>
      <c r="CG4" s="494"/>
      <c r="CH4" s="494"/>
      <c r="CI4" s="494"/>
      <c r="CJ4" s="494"/>
      <c r="CK4" s="494"/>
      <c r="CL4" s="494"/>
      <c r="CM4" s="494"/>
      <c r="CN4" s="494"/>
      <c r="CO4" s="494"/>
      <c r="CP4" s="494"/>
      <c r="CQ4" s="494"/>
      <c r="CR4" s="494"/>
      <c r="CS4" s="494"/>
      <c r="CT4" s="494"/>
      <c r="CU4" s="494"/>
      <c r="CV4" s="494"/>
      <c r="CW4" s="494"/>
      <c r="CX4" s="494"/>
      <c r="CY4" s="494"/>
      <c r="CZ4" s="494"/>
      <c r="DA4" s="494"/>
      <c r="DB4" s="494"/>
      <c r="DC4" s="494"/>
      <c r="DD4" s="494"/>
      <c r="DE4" s="494"/>
      <c r="DF4" s="494"/>
      <c r="DG4" s="494"/>
      <c r="DH4" s="494"/>
      <c r="DI4" s="494"/>
      <c r="DJ4" s="494"/>
      <c r="DK4" s="494"/>
      <c r="DL4" s="494"/>
      <c r="DM4" s="494"/>
      <c r="DN4" s="494"/>
      <c r="DO4" s="494"/>
      <c r="DP4" s="494"/>
      <c r="DQ4" s="494"/>
      <c r="DR4" s="494"/>
      <c r="DS4" s="494"/>
      <c r="DT4" s="494"/>
      <c r="DU4" s="494"/>
      <c r="DV4" s="494"/>
      <c r="DW4" s="494"/>
      <c r="DX4" s="494"/>
      <c r="DY4" s="494"/>
      <c r="DZ4" s="494"/>
      <c r="EA4" s="494"/>
      <c r="EB4" s="494"/>
      <c r="EC4" s="494"/>
      <c r="ED4" s="494"/>
      <c r="EE4" s="494"/>
      <c r="EF4" s="494"/>
      <c r="EG4" s="494"/>
      <c r="EH4" s="494"/>
      <c r="EI4" s="494"/>
      <c r="EJ4" s="494"/>
      <c r="EK4" s="494"/>
      <c r="EL4" s="494"/>
      <c r="EM4" s="494"/>
      <c r="EN4" s="494"/>
      <c r="EO4" s="494"/>
      <c r="EP4" s="494"/>
      <c r="EQ4" s="494"/>
      <c r="ER4" s="494"/>
      <c r="ES4" s="494"/>
      <c r="ET4" s="494"/>
      <c r="EU4" s="494"/>
      <c r="EV4" s="494"/>
      <c r="EW4" s="494"/>
      <c r="EX4" s="494"/>
      <c r="EY4" s="494"/>
      <c r="EZ4" s="494"/>
      <c r="FA4" s="494"/>
      <c r="FB4" s="494"/>
      <c r="FC4" s="494"/>
      <c r="FD4" s="494"/>
      <c r="FE4" s="494"/>
      <c r="FF4" s="494"/>
      <c r="FG4" s="494"/>
      <c r="FH4" s="494"/>
    </row>
    <row r="5" spans="1:164" s="388" customFormat="1" ht="19.5" customHeight="1">
      <c r="A5" s="2315"/>
      <c r="B5" s="2315"/>
      <c r="C5" s="2315"/>
      <c r="D5" s="2315"/>
      <c r="E5" s="2315"/>
      <c r="F5" s="2315"/>
      <c r="G5" s="2315"/>
      <c r="H5" s="2315"/>
      <c r="I5" s="2315"/>
      <c r="J5" s="2315"/>
      <c r="K5" s="2315"/>
      <c r="L5" s="2315"/>
      <c r="M5" s="2315"/>
      <c r="N5" s="2315"/>
      <c r="O5" s="2315"/>
      <c r="P5" s="2315"/>
      <c r="Q5" s="2315"/>
      <c r="R5" s="2315"/>
      <c r="S5" s="2315"/>
      <c r="T5" s="2315"/>
      <c r="U5" s="2315"/>
      <c r="V5" s="2315"/>
      <c r="W5" s="2315"/>
      <c r="X5" s="2315"/>
      <c r="Y5" s="2315"/>
      <c r="Z5" s="2315"/>
      <c r="AA5" s="2315"/>
      <c r="AB5" s="2315"/>
      <c r="AC5" s="2315"/>
      <c r="AD5" s="2315"/>
      <c r="AE5" s="2315"/>
      <c r="AF5" s="2315"/>
      <c r="AG5" s="2315"/>
      <c r="AH5" s="2315"/>
      <c r="AI5" s="2315"/>
      <c r="AJ5" s="2315"/>
      <c r="AK5" s="2315"/>
      <c r="AL5" s="2315"/>
      <c r="AM5" s="2315"/>
      <c r="AN5" s="2315"/>
      <c r="AO5" s="2315"/>
      <c r="AP5" s="2315"/>
      <c r="AQ5" s="2315"/>
      <c r="AR5" s="2315"/>
      <c r="AS5" s="2315"/>
      <c r="AT5" s="2315"/>
      <c r="AU5" s="2315"/>
      <c r="AV5" s="2315"/>
      <c r="AW5" s="2315"/>
      <c r="AX5" s="2315"/>
      <c r="AY5" s="2315"/>
      <c r="AZ5" s="2315"/>
      <c r="BA5" s="2315"/>
      <c r="BB5" s="2315"/>
      <c r="BC5" s="2315"/>
      <c r="BD5" s="2315"/>
      <c r="BE5" s="2315"/>
      <c r="BF5" s="2315"/>
      <c r="BG5" s="2315"/>
      <c r="BH5" s="2315"/>
      <c r="BI5" s="2315"/>
      <c r="BJ5" s="2315"/>
      <c r="BK5" s="2315"/>
      <c r="BL5" s="2315"/>
      <c r="BM5" s="2315"/>
      <c r="BN5" s="2315"/>
      <c r="BO5" s="2315"/>
      <c r="BP5" s="2315"/>
      <c r="BQ5" s="2315"/>
      <c r="BR5" s="2315"/>
      <c r="BS5" s="2315"/>
      <c r="BT5" s="2315"/>
      <c r="BU5" s="2315"/>
      <c r="BV5" s="2315"/>
      <c r="BW5" s="2315"/>
      <c r="BX5" s="2315"/>
      <c r="BY5" s="2315"/>
      <c r="BZ5" s="2315"/>
      <c r="CA5" s="2315"/>
      <c r="CB5" s="2315"/>
      <c r="CC5" s="2315"/>
      <c r="CD5" s="2315"/>
      <c r="CE5" s="2315"/>
      <c r="CF5" s="2315"/>
      <c r="CG5" s="2315"/>
      <c r="CH5" s="2315"/>
      <c r="CI5" s="2315"/>
      <c r="CJ5" s="2315"/>
      <c r="CK5" s="2315"/>
      <c r="CL5" s="2315"/>
      <c r="CM5" s="2315"/>
      <c r="CN5" s="2315"/>
      <c r="CO5" s="2315"/>
      <c r="CP5" s="2315"/>
      <c r="CQ5" s="2315"/>
      <c r="CR5" s="2315"/>
      <c r="CS5" s="2315"/>
      <c r="CT5" s="2315"/>
      <c r="CU5" s="2315"/>
      <c r="CV5" s="2315"/>
      <c r="CW5" s="2315"/>
      <c r="CX5" s="2315"/>
      <c r="CY5" s="2315"/>
      <c r="CZ5" s="2315"/>
      <c r="DA5" s="2315"/>
      <c r="DB5" s="2315"/>
      <c r="DC5" s="2315"/>
      <c r="DD5" s="2315"/>
      <c r="DE5" s="2315"/>
      <c r="DF5" s="2315"/>
      <c r="DG5" s="2315"/>
      <c r="DH5" s="2315"/>
      <c r="DI5" s="2315"/>
      <c r="DJ5" s="2315"/>
      <c r="DK5" s="2315"/>
      <c r="DL5" s="2315"/>
      <c r="DM5" s="2315"/>
      <c r="DN5" s="2315"/>
      <c r="DO5" s="2315"/>
      <c r="DP5" s="2315"/>
      <c r="DQ5" s="2315"/>
      <c r="DR5" s="2315"/>
      <c r="DS5" s="2315"/>
      <c r="DT5" s="2315"/>
      <c r="DU5" s="2315"/>
      <c r="DV5" s="2315"/>
      <c r="DW5" s="2315"/>
      <c r="DX5" s="2315"/>
      <c r="DY5" s="2315"/>
      <c r="DZ5" s="2315"/>
      <c r="EA5" s="2315"/>
      <c r="EB5" s="2315"/>
      <c r="EC5" s="2315"/>
      <c r="ED5" s="2315"/>
      <c r="EE5" s="2315"/>
      <c r="EF5" s="2315"/>
      <c r="EG5" s="2315"/>
      <c r="EH5" s="2315"/>
      <c r="EI5" s="2315"/>
      <c r="EJ5" s="2315"/>
      <c r="EK5" s="2315"/>
      <c r="EL5" s="2315"/>
      <c r="EM5" s="2315"/>
      <c r="EN5" s="2315"/>
      <c r="EO5" s="2315"/>
      <c r="EP5" s="2315"/>
      <c r="EQ5" s="2315"/>
      <c r="ER5" s="2315"/>
      <c r="ES5" s="2315"/>
      <c r="ET5" s="2315"/>
      <c r="EU5" s="2315"/>
      <c r="EV5" s="2315"/>
      <c r="EW5" s="2315"/>
      <c r="EX5" s="2315"/>
      <c r="EY5" s="2315"/>
      <c r="EZ5" s="2315"/>
      <c r="FA5" s="2315"/>
      <c r="FB5" s="2315"/>
      <c r="FC5" s="2315"/>
      <c r="FD5" s="2315"/>
      <c r="FE5" s="2315"/>
      <c r="FF5" s="2315"/>
      <c r="FG5" s="2315"/>
      <c r="FH5" s="1705" t="s">
        <v>4069</v>
      </c>
    </row>
    <row r="6" spans="1:164" ht="36.75" customHeight="1">
      <c r="A6" s="1731"/>
      <c r="B6" s="2316">
        <v>2013</v>
      </c>
      <c r="C6" s="2316"/>
      <c r="D6" s="2316"/>
      <c r="E6" s="2316"/>
      <c r="F6" s="2316"/>
      <c r="G6" s="2316"/>
      <c r="H6" s="2316"/>
      <c r="I6" s="2316"/>
      <c r="J6" s="2316"/>
      <c r="K6" s="2316"/>
      <c r="L6" s="2316"/>
      <c r="M6" s="2316"/>
      <c r="N6" s="2316">
        <v>2014</v>
      </c>
      <c r="O6" s="2316"/>
      <c r="P6" s="2316"/>
      <c r="Q6" s="2316"/>
      <c r="R6" s="2316"/>
      <c r="S6" s="2316"/>
      <c r="T6" s="2316"/>
      <c r="U6" s="2316"/>
      <c r="V6" s="2316"/>
      <c r="W6" s="2316"/>
      <c r="X6" s="2316"/>
      <c r="Y6" s="2316"/>
      <c r="Z6" s="2316">
        <v>2015</v>
      </c>
      <c r="AA6" s="2316"/>
      <c r="AB6" s="2316"/>
      <c r="AC6" s="2316"/>
      <c r="AD6" s="2316"/>
      <c r="AE6" s="2316"/>
      <c r="AF6" s="2316"/>
      <c r="AG6" s="2316"/>
      <c r="AH6" s="2316"/>
      <c r="AI6" s="2316"/>
      <c r="AJ6" s="2316"/>
      <c r="AK6" s="2316"/>
      <c r="AL6" s="789">
        <v>2016</v>
      </c>
      <c r="AM6" s="789"/>
      <c r="AN6" s="789"/>
      <c r="AO6" s="789"/>
      <c r="AP6" s="789"/>
      <c r="AQ6" s="789"/>
      <c r="AR6" s="789"/>
      <c r="AS6" s="789"/>
      <c r="AT6" s="789"/>
      <c r="AU6" s="789"/>
      <c r="AV6" s="2316">
        <v>2016</v>
      </c>
      <c r="AW6" s="2316"/>
      <c r="AX6" s="789">
        <v>2017</v>
      </c>
      <c r="AY6" s="789"/>
      <c r="AZ6" s="789"/>
      <c r="BA6" s="789"/>
      <c r="BB6" s="789"/>
      <c r="BC6" s="789"/>
      <c r="BD6" s="789"/>
      <c r="BE6" s="789"/>
      <c r="BF6" s="789"/>
      <c r="BG6" s="789"/>
      <c r="BH6" s="829"/>
      <c r="BI6" s="890">
        <v>2017</v>
      </c>
      <c r="BJ6" s="830">
        <v>2018</v>
      </c>
      <c r="BK6" s="830"/>
      <c r="BL6" s="830"/>
      <c r="BM6" s="830"/>
      <c r="BN6" s="830"/>
      <c r="BO6" s="830"/>
      <c r="BP6" s="830"/>
      <c r="BQ6" s="830"/>
      <c r="BR6" s="830"/>
      <c r="BS6" s="830"/>
      <c r="BT6" s="830"/>
      <c r="BU6" s="890">
        <v>2018</v>
      </c>
      <c r="BV6" s="2317">
        <v>2019</v>
      </c>
      <c r="BW6" s="2317"/>
      <c r="BX6" s="2317"/>
      <c r="BY6" s="2317"/>
      <c r="BZ6" s="2317"/>
      <c r="CA6" s="2317"/>
      <c r="CB6" s="2317"/>
      <c r="CC6" s="2317"/>
      <c r="CD6" s="2317"/>
      <c r="CE6" s="2317"/>
      <c r="CF6" s="2317"/>
      <c r="CG6" s="2317"/>
      <c r="CH6" s="831">
        <v>2020</v>
      </c>
      <c r="CI6" s="831">
        <v>2020</v>
      </c>
      <c r="CJ6" s="831">
        <v>2020</v>
      </c>
      <c r="CK6" s="831">
        <v>2020</v>
      </c>
      <c r="CL6" s="831">
        <v>2020</v>
      </c>
      <c r="CM6" s="831">
        <v>2020</v>
      </c>
      <c r="CN6" s="831">
        <v>2020</v>
      </c>
      <c r="CO6" s="831">
        <v>2020</v>
      </c>
      <c r="CP6" s="831">
        <v>2020</v>
      </c>
      <c r="CQ6" s="831">
        <v>2020</v>
      </c>
      <c r="CR6" s="831">
        <v>2020</v>
      </c>
      <c r="CS6" s="831">
        <v>2020</v>
      </c>
      <c r="CT6" s="2318">
        <v>2021</v>
      </c>
      <c r="CU6" s="2319"/>
      <c r="CV6" s="2319"/>
      <c r="CW6" s="2319"/>
      <c r="CX6" s="2319"/>
      <c r="CY6" s="2319"/>
      <c r="CZ6" s="2319"/>
      <c r="DA6" s="2319"/>
      <c r="DB6" s="2319"/>
      <c r="DC6" s="2319"/>
      <c r="DD6" s="2319"/>
      <c r="DE6" s="2320"/>
      <c r="DF6" s="2321">
        <v>2022</v>
      </c>
      <c r="DG6" s="2319"/>
      <c r="DH6" s="2319"/>
      <c r="DI6" s="2319"/>
      <c r="DJ6" s="2319"/>
      <c r="DK6" s="2319"/>
      <c r="DL6" s="2319"/>
      <c r="DM6" s="2319"/>
      <c r="DN6" s="2319"/>
      <c r="DO6" s="2319"/>
      <c r="DP6" s="2319"/>
      <c r="DQ6" s="2320"/>
      <c r="DR6" s="2321">
        <v>2023</v>
      </c>
      <c r="DS6" s="2319"/>
      <c r="DT6" s="2319"/>
      <c r="DU6" s="2319"/>
      <c r="DV6" s="2319"/>
      <c r="DW6" s="2319"/>
      <c r="DX6" s="2319"/>
      <c r="DY6" s="2319"/>
      <c r="DZ6" s="2319"/>
      <c r="EA6" s="2319"/>
      <c r="EB6" s="2319"/>
      <c r="EC6" s="2320"/>
      <c r="ED6" s="2321">
        <v>2024</v>
      </c>
      <c r="EE6" s="2319"/>
      <c r="EF6" s="2319"/>
      <c r="EG6" s="2319"/>
      <c r="EH6" s="2319"/>
      <c r="EI6" s="2319"/>
      <c r="EJ6" s="2319"/>
      <c r="EK6" s="2319"/>
      <c r="EL6" s="2319"/>
      <c r="EM6" s="2319"/>
      <c r="EN6" s="2319"/>
      <c r="EO6" s="2320"/>
      <c r="EP6" s="2321">
        <v>2025</v>
      </c>
      <c r="EQ6" s="2319"/>
      <c r="ER6" s="2319"/>
      <c r="ES6" s="2319"/>
      <c r="ET6" s="2319"/>
      <c r="EU6" s="2319"/>
      <c r="EV6" s="2319"/>
      <c r="EW6" s="2319"/>
      <c r="EX6" s="2319"/>
      <c r="EY6" s="2319"/>
      <c r="EZ6" s="2319"/>
      <c r="FA6" s="2320"/>
      <c r="FB6" s="2321">
        <v>2026</v>
      </c>
      <c r="FC6" s="2319"/>
      <c r="FD6" s="2319"/>
      <c r="FE6" s="2319"/>
      <c r="FF6" s="2319"/>
      <c r="FG6" s="2320"/>
      <c r="FH6" s="1734"/>
    </row>
    <row r="7" spans="1:164" ht="36.75" customHeight="1">
      <c r="A7" s="2311"/>
      <c r="B7" s="790" t="s">
        <v>1948</v>
      </c>
      <c r="C7" s="790" t="s">
        <v>1959</v>
      </c>
      <c r="D7" s="790" t="s">
        <v>1958</v>
      </c>
      <c r="E7" s="790" t="s">
        <v>1957</v>
      </c>
      <c r="F7" s="790" t="s">
        <v>1956</v>
      </c>
      <c r="G7" s="790" t="s">
        <v>1955</v>
      </c>
      <c r="H7" s="790" t="s">
        <v>1954</v>
      </c>
      <c r="I7" s="790" t="s">
        <v>1953</v>
      </c>
      <c r="J7" s="790" t="s">
        <v>1952</v>
      </c>
      <c r="K7" s="790" t="s">
        <v>1951</v>
      </c>
      <c r="L7" s="790" t="s">
        <v>1950</v>
      </c>
      <c r="M7" s="790" t="s">
        <v>1949</v>
      </c>
      <c r="N7" s="790" t="s">
        <v>1948</v>
      </c>
      <c r="O7" s="790" t="s">
        <v>1959</v>
      </c>
      <c r="P7" s="790" t="s">
        <v>1958</v>
      </c>
      <c r="Q7" s="790" t="s">
        <v>1957</v>
      </c>
      <c r="R7" s="790" t="s">
        <v>1956</v>
      </c>
      <c r="S7" s="790" t="s">
        <v>1955</v>
      </c>
      <c r="T7" s="790" t="s">
        <v>1954</v>
      </c>
      <c r="U7" s="790" t="s">
        <v>1953</v>
      </c>
      <c r="V7" s="790" t="s">
        <v>1952</v>
      </c>
      <c r="W7" s="790" t="s">
        <v>1951</v>
      </c>
      <c r="X7" s="790" t="s">
        <v>1950</v>
      </c>
      <c r="Y7" s="790" t="s">
        <v>1949</v>
      </c>
      <c r="Z7" s="790" t="s">
        <v>1948</v>
      </c>
      <c r="AA7" s="790" t="s">
        <v>1959</v>
      </c>
      <c r="AB7" s="790" t="s">
        <v>1958</v>
      </c>
      <c r="AC7" s="790" t="s">
        <v>1957</v>
      </c>
      <c r="AD7" s="790" t="s">
        <v>1956</v>
      </c>
      <c r="AE7" s="790" t="s">
        <v>1960</v>
      </c>
      <c r="AF7" s="790" t="s">
        <v>1954</v>
      </c>
      <c r="AG7" s="790" t="s">
        <v>1953</v>
      </c>
      <c r="AH7" s="790" t="s">
        <v>1952</v>
      </c>
      <c r="AI7" s="790" t="s">
        <v>1951</v>
      </c>
      <c r="AJ7" s="790" t="s">
        <v>1950</v>
      </c>
      <c r="AK7" s="790" t="s">
        <v>1949</v>
      </c>
      <c r="AL7" s="790" t="s">
        <v>1948</v>
      </c>
      <c r="AM7" s="790" t="s">
        <v>1959</v>
      </c>
      <c r="AN7" s="790" t="s">
        <v>1958</v>
      </c>
      <c r="AO7" s="790" t="s">
        <v>1957</v>
      </c>
      <c r="AP7" s="790" t="s">
        <v>1956</v>
      </c>
      <c r="AQ7" s="790" t="s">
        <v>1955</v>
      </c>
      <c r="AR7" s="790" t="s">
        <v>1954</v>
      </c>
      <c r="AS7" s="790" t="s">
        <v>1953</v>
      </c>
      <c r="AT7" s="790" t="s">
        <v>1952</v>
      </c>
      <c r="AU7" s="790" t="s">
        <v>1951</v>
      </c>
      <c r="AV7" s="790" t="s">
        <v>1950</v>
      </c>
      <c r="AW7" s="790" t="s">
        <v>1949</v>
      </c>
      <c r="AX7" s="790" t="s">
        <v>1948</v>
      </c>
      <c r="AY7" s="790" t="s">
        <v>1947</v>
      </c>
      <c r="AZ7" s="790" t="s">
        <v>1946</v>
      </c>
      <c r="BA7" s="790" t="s">
        <v>1945</v>
      </c>
      <c r="BB7" s="790" t="s">
        <v>1965</v>
      </c>
      <c r="BC7" s="790" t="s">
        <v>1966</v>
      </c>
      <c r="BD7" s="790" t="s">
        <v>1975</v>
      </c>
      <c r="BE7" s="790" t="s">
        <v>1985</v>
      </c>
      <c r="BF7" s="790" t="s">
        <v>1995</v>
      </c>
      <c r="BG7" s="790" t="s">
        <v>2008</v>
      </c>
      <c r="BH7" s="825" t="s">
        <v>2019</v>
      </c>
      <c r="BI7" s="847" t="s">
        <v>1949</v>
      </c>
      <c r="BJ7" s="847" t="s">
        <v>1948</v>
      </c>
      <c r="BK7" s="847" t="s">
        <v>1947</v>
      </c>
      <c r="BL7" s="847" t="s">
        <v>1946</v>
      </c>
      <c r="BM7" s="847" t="s">
        <v>1945</v>
      </c>
      <c r="BN7" s="847" t="s">
        <v>1965</v>
      </c>
      <c r="BO7" s="847" t="s">
        <v>1966</v>
      </c>
      <c r="BP7" s="847" t="s">
        <v>1975</v>
      </c>
      <c r="BQ7" s="847" t="s">
        <v>1985</v>
      </c>
      <c r="BR7" s="847" t="s">
        <v>1995</v>
      </c>
      <c r="BS7" s="847" t="s">
        <v>2008</v>
      </c>
      <c r="BT7" s="847" t="s">
        <v>2019</v>
      </c>
      <c r="BU7" s="847" t="s">
        <v>1949</v>
      </c>
      <c r="BV7" s="847" t="s">
        <v>1948</v>
      </c>
      <c r="BW7" s="847" t="s">
        <v>1947</v>
      </c>
      <c r="BX7" s="847" t="s">
        <v>1946</v>
      </c>
      <c r="BY7" s="847" t="s">
        <v>1945</v>
      </c>
      <c r="BZ7" s="847" t="s">
        <v>1965</v>
      </c>
      <c r="CA7" s="847" t="s">
        <v>1966</v>
      </c>
      <c r="CB7" s="847" t="s">
        <v>1975</v>
      </c>
      <c r="CC7" s="847" t="s">
        <v>1985</v>
      </c>
      <c r="CD7" s="847" t="s">
        <v>1995</v>
      </c>
      <c r="CE7" s="847" t="s">
        <v>2008</v>
      </c>
      <c r="CF7" s="847" t="s">
        <v>2019</v>
      </c>
      <c r="CG7" s="847" t="s">
        <v>1949</v>
      </c>
      <c r="CH7" s="847" t="s">
        <v>1948</v>
      </c>
      <c r="CI7" s="847" t="s">
        <v>1947</v>
      </c>
      <c r="CJ7" s="847" t="s">
        <v>1946</v>
      </c>
      <c r="CK7" s="847" t="s">
        <v>1945</v>
      </c>
      <c r="CL7" s="847" t="s">
        <v>1965</v>
      </c>
      <c r="CM7" s="847" t="s">
        <v>2413</v>
      </c>
      <c r="CN7" s="847" t="s">
        <v>2419</v>
      </c>
      <c r="CO7" s="847" t="s">
        <v>1985</v>
      </c>
      <c r="CP7" s="847" t="s">
        <v>1995</v>
      </c>
      <c r="CQ7" s="847" t="s">
        <v>2008</v>
      </c>
      <c r="CR7" s="847" t="s">
        <v>2019</v>
      </c>
      <c r="CS7" s="847" t="s">
        <v>1949</v>
      </c>
      <c r="CT7" s="847" t="s">
        <v>1948</v>
      </c>
      <c r="CU7" s="847" t="s">
        <v>1947</v>
      </c>
      <c r="CV7" s="847" t="s">
        <v>1946</v>
      </c>
      <c r="CW7" s="847" t="s">
        <v>1945</v>
      </c>
      <c r="CX7" s="847" t="s">
        <v>1965</v>
      </c>
      <c r="CY7" s="847" t="s">
        <v>1966</v>
      </c>
      <c r="CZ7" s="847" t="s">
        <v>1975</v>
      </c>
      <c r="DA7" s="847" t="s">
        <v>1985</v>
      </c>
      <c r="DB7" s="847" t="s">
        <v>2641</v>
      </c>
      <c r="DC7" s="847" t="s">
        <v>2008</v>
      </c>
      <c r="DD7" s="847" t="s">
        <v>2019</v>
      </c>
      <c r="DE7" s="847" t="s">
        <v>1949</v>
      </c>
      <c r="DF7" s="847" t="s">
        <v>1948</v>
      </c>
      <c r="DG7" s="847" t="s">
        <v>1947</v>
      </c>
      <c r="DH7" s="847" t="s">
        <v>1946</v>
      </c>
      <c r="DI7" s="847" t="s">
        <v>1945</v>
      </c>
      <c r="DJ7" s="847" t="s">
        <v>1965</v>
      </c>
      <c r="DK7" s="847" t="s">
        <v>1966</v>
      </c>
      <c r="DL7" s="847" t="s">
        <v>1975</v>
      </c>
      <c r="DM7" s="847" t="s">
        <v>1985</v>
      </c>
      <c r="DN7" s="847" t="s">
        <v>1995</v>
      </c>
      <c r="DO7" s="847" t="s">
        <v>2008</v>
      </c>
      <c r="DP7" s="847" t="s">
        <v>2019</v>
      </c>
      <c r="DQ7" s="847" t="s">
        <v>1949</v>
      </c>
      <c r="DR7" s="847" t="s">
        <v>1948</v>
      </c>
      <c r="DS7" s="847" t="s">
        <v>1947</v>
      </c>
      <c r="DT7" s="847" t="s">
        <v>1946</v>
      </c>
      <c r="DU7" s="847" t="s">
        <v>1945</v>
      </c>
      <c r="DV7" s="847" t="s">
        <v>1965</v>
      </c>
      <c r="DW7" s="847" t="s">
        <v>1966</v>
      </c>
      <c r="DX7" s="847" t="s">
        <v>1975</v>
      </c>
      <c r="DY7" s="847" t="s">
        <v>1985</v>
      </c>
      <c r="DZ7" s="847" t="s">
        <v>1995</v>
      </c>
      <c r="EA7" s="847" t="s">
        <v>2008</v>
      </c>
      <c r="EB7" s="847" t="s">
        <v>2019</v>
      </c>
      <c r="EC7" s="847" t="s">
        <v>1949</v>
      </c>
      <c r="ED7" s="847" t="s">
        <v>1948</v>
      </c>
      <c r="EE7" s="847" t="s">
        <v>1947</v>
      </c>
      <c r="EF7" s="847" t="s">
        <v>1946</v>
      </c>
      <c r="EG7" s="847" t="s">
        <v>1945</v>
      </c>
      <c r="EH7" s="847" t="s">
        <v>1965</v>
      </c>
      <c r="EI7" s="847" t="s">
        <v>1966</v>
      </c>
      <c r="EJ7" s="847" t="s">
        <v>1975</v>
      </c>
      <c r="EK7" s="847" t="s">
        <v>1985</v>
      </c>
      <c r="EL7" s="847" t="s">
        <v>1995</v>
      </c>
      <c r="EM7" s="847" t="s">
        <v>2008</v>
      </c>
      <c r="EN7" s="847" t="s">
        <v>2019</v>
      </c>
      <c r="EO7" s="847" t="s">
        <v>1949</v>
      </c>
      <c r="EP7" s="847" t="s">
        <v>1948</v>
      </c>
      <c r="EQ7" s="847" t="s">
        <v>1947</v>
      </c>
      <c r="ER7" s="847" t="s">
        <v>1946</v>
      </c>
      <c r="ES7" s="847" t="s">
        <v>1945</v>
      </c>
      <c r="ET7" s="847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13"/>
    </row>
    <row r="8" spans="1:164" s="314" customFormat="1" ht="39.75" customHeight="1">
      <c r="A8" s="2312"/>
      <c r="B8" s="1727"/>
      <c r="C8" s="1727"/>
      <c r="D8" s="1727"/>
      <c r="E8" s="1727"/>
      <c r="F8" s="1727"/>
      <c r="G8" s="1727"/>
      <c r="H8" s="1727"/>
      <c r="I8" s="1727"/>
      <c r="J8" s="1727"/>
      <c r="K8" s="1727"/>
      <c r="L8" s="1727"/>
      <c r="M8" s="1727"/>
      <c r="N8" s="1727"/>
      <c r="O8" s="1727"/>
      <c r="P8" s="1727"/>
      <c r="Q8" s="1727"/>
      <c r="R8" s="1727"/>
      <c r="S8" s="1727"/>
      <c r="T8" s="1727"/>
      <c r="U8" s="1727"/>
      <c r="V8" s="1727"/>
      <c r="W8" s="1727"/>
      <c r="X8" s="1727"/>
      <c r="Y8" s="1727"/>
      <c r="Z8" s="1727"/>
      <c r="AA8" s="1727"/>
      <c r="AB8" s="1727"/>
      <c r="AC8" s="1727"/>
      <c r="AD8" s="1727"/>
      <c r="AE8" s="1727"/>
      <c r="AF8" s="1727"/>
      <c r="AG8" s="1727"/>
      <c r="AH8" s="1727"/>
      <c r="AI8" s="1727"/>
      <c r="AJ8" s="1727"/>
      <c r="AK8" s="1727"/>
      <c r="AL8" s="1727"/>
      <c r="AM8" s="1727"/>
      <c r="AN8" s="1727"/>
      <c r="AO8" s="1727"/>
      <c r="AP8" s="1727"/>
      <c r="AQ8" s="1727"/>
      <c r="AR8" s="1727"/>
      <c r="AS8" s="1727"/>
      <c r="AT8" s="1727"/>
      <c r="AU8" s="1727"/>
      <c r="AV8" s="1727"/>
      <c r="AW8" s="1727"/>
      <c r="AX8" s="1727"/>
      <c r="AY8" s="1727"/>
      <c r="AZ8" s="1727"/>
      <c r="BA8" s="1727"/>
      <c r="BB8" s="1727"/>
      <c r="BC8" s="1727"/>
      <c r="BD8" s="1727"/>
      <c r="BE8" s="1727"/>
      <c r="BF8" s="1727"/>
      <c r="BG8" s="1728"/>
      <c r="BH8" s="1729"/>
      <c r="BI8" s="1730" t="s">
        <v>3174</v>
      </c>
      <c r="BJ8" s="1730"/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/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/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/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/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/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14"/>
    </row>
    <row r="9" spans="1:164" ht="21">
      <c r="A9" s="1722" t="s">
        <v>2740</v>
      </c>
      <c r="B9" s="791">
        <v>2545.2802623900002</v>
      </c>
      <c r="C9" s="791">
        <v>2061.7468417099999</v>
      </c>
      <c r="D9" s="791">
        <v>2091.2889946699997</v>
      </c>
      <c r="E9" s="791">
        <v>2109.2477075500001</v>
      </c>
      <c r="F9" s="791">
        <v>2131.6553745599999</v>
      </c>
      <c r="G9" s="791">
        <v>2161.65420786</v>
      </c>
      <c r="H9" s="791">
        <v>2166.3154032599996</v>
      </c>
      <c r="I9" s="791">
        <v>2206.2575045100002</v>
      </c>
      <c r="J9" s="791">
        <v>2196.72959614</v>
      </c>
      <c r="K9" s="791">
        <v>2226.3389585700002</v>
      </c>
      <c r="L9" s="791">
        <v>2243.1629202000004</v>
      </c>
      <c r="M9" s="781">
        <v>2219.2283902700001</v>
      </c>
      <c r="N9" s="781">
        <v>2210.9896951999999</v>
      </c>
      <c r="O9" s="781">
        <v>2240.14235426</v>
      </c>
      <c r="P9" s="781">
        <v>2272.40865102</v>
      </c>
      <c r="Q9" s="781">
        <v>2321.8739110800002</v>
      </c>
      <c r="R9" s="781">
        <v>2385.2508984700003</v>
      </c>
      <c r="S9" s="781">
        <v>2428.4529536400005</v>
      </c>
      <c r="T9" s="781">
        <v>2458.2199005100001</v>
      </c>
      <c r="U9" s="781">
        <v>2488.34812272</v>
      </c>
      <c r="V9" s="781">
        <v>2535.67808719</v>
      </c>
      <c r="W9" s="781">
        <v>2540.11589288</v>
      </c>
      <c r="X9" s="781">
        <v>2592.1318579399999</v>
      </c>
      <c r="Y9" s="781">
        <v>2680.0801637600002</v>
      </c>
      <c r="Z9" s="781">
        <v>2648.2543647099997</v>
      </c>
      <c r="AA9" s="781">
        <v>2971.2822920100002</v>
      </c>
      <c r="AB9" s="781">
        <v>2947.4025940699999</v>
      </c>
      <c r="AC9" s="781">
        <v>2959.6171893400006</v>
      </c>
      <c r="AD9" s="781">
        <v>2911.0506619300004</v>
      </c>
      <c r="AE9" s="781">
        <v>2887.6607627200001</v>
      </c>
      <c r="AF9" s="781">
        <v>2862.1415149800005</v>
      </c>
      <c r="AG9" s="781">
        <v>2848.7809637700002</v>
      </c>
      <c r="AH9" s="781">
        <v>2434.07461939</v>
      </c>
      <c r="AI9" s="781">
        <v>2545.9615709599998</v>
      </c>
      <c r="AJ9" s="781">
        <v>2534.4815229100004</v>
      </c>
      <c r="AK9" s="781">
        <v>3157.3044150599999</v>
      </c>
      <c r="AL9" s="781">
        <v>2912.0296419199999</v>
      </c>
      <c r="AM9" s="781">
        <v>2856.1714261600005</v>
      </c>
      <c r="AN9" s="781">
        <v>2799.5562245900001</v>
      </c>
      <c r="AO9" s="781">
        <v>2675.8283182199998</v>
      </c>
      <c r="AP9" s="781">
        <v>2619.5450756</v>
      </c>
      <c r="AQ9" s="781">
        <v>2680.5901613400001</v>
      </c>
      <c r="AR9" s="781">
        <v>2564.5300578299998</v>
      </c>
      <c r="AS9" s="781">
        <v>2503.2051395399999</v>
      </c>
      <c r="AT9" s="781">
        <v>2554.6688971200001</v>
      </c>
      <c r="AU9" s="781">
        <v>2482.4186583199998</v>
      </c>
      <c r="AV9" s="781">
        <v>2382.0426857900002</v>
      </c>
      <c r="AW9" s="781">
        <v>2466.1209143400001</v>
      </c>
      <c r="AX9" s="781">
        <v>2430.8938365399999</v>
      </c>
      <c r="AY9" s="781">
        <v>2312.0636114500003</v>
      </c>
      <c r="AZ9" s="781">
        <v>2207.6584723000001</v>
      </c>
      <c r="BA9" s="781">
        <v>2194.6563012500001</v>
      </c>
      <c r="BB9" s="781">
        <v>2187.5608126100001</v>
      </c>
      <c r="BC9" s="781">
        <v>2173.1752837500003</v>
      </c>
      <c r="BD9" s="781">
        <v>2137.0045377900001</v>
      </c>
      <c r="BE9" s="781">
        <v>2083.4093307000003</v>
      </c>
      <c r="BF9" s="781">
        <v>2176.8072253</v>
      </c>
      <c r="BG9" s="781">
        <v>2104.0158762599999</v>
      </c>
      <c r="BH9" s="826">
        <v>2091.4603310099997</v>
      </c>
      <c r="BI9" s="815">
        <v>2055.0724328000001</v>
      </c>
      <c r="BJ9" s="815">
        <v>2016.2785655200003</v>
      </c>
      <c r="BK9" s="815">
        <v>1984.4978217599999</v>
      </c>
      <c r="BL9" s="815">
        <v>1986.7088693000001</v>
      </c>
      <c r="BM9" s="815">
        <v>1975.1988343</v>
      </c>
      <c r="BN9" s="815">
        <v>1982.2242698800001</v>
      </c>
      <c r="BO9" s="815">
        <v>2022.7014435700003</v>
      </c>
      <c r="BP9" s="815">
        <v>2013.6922771500001</v>
      </c>
      <c r="BQ9" s="815">
        <v>2031.8779201299999</v>
      </c>
      <c r="BR9" s="815">
        <v>2061.7102180500001</v>
      </c>
      <c r="BS9" s="815">
        <v>2057.1696781199998</v>
      </c>
      <c r="BT9" s="815">
        <v>2075.5315256800004</v>
      </c>
      <c r="BU9" s="815">
        <v>2370.73479671</v>
      </c>
      <c r="BV9" s="815">
        <v>2263.8090061399998</v>
      </c>
      <c r="BW9" s="815">
        <v>2284.6553790399998</v>
      </c>
      <c r="BX9" s="815">
        <v>2301.7151081399998</v>
      </c>
      <c r="BY9" s="815">
        <v>2263.9712495800004</v>
      </c>
      <c r="BZ9" s="815">
        <v>2276.8219025500002</v>
      </c>
      <c r="CA9" s="815">
        <v>2293.1630829699998</v>
      </c>
      <c r="CB9" s="815">
        <v>2279.0723337700001</v>
      </c>
      <c r="CC9" s="815">
        <v>2287.9956283699998</v>
      </c>
      <c r="CD9" s="815">
        <v>2372.6289579099998</v>
      </c>
      <c r="CE9" s="815">
        <v>2403.9295606699998</v>
      </c>
      <c r="CF9" s="815">
        <v>2327.1678500899998</v>
      </c>
      <c r="CG9" s="815">
        <v>2478.6897817899999</v>
      </c>
      <c r="CH9" s="815">
        <v>2414.2416905399996</v>
      </c>
      <c r="CI9" s="815">
        <v>2509.13364744</v>
      </c>
      <c r="CJ9" s="815">
        <v>2491.16302649</v>
      </c>
      <c r="CK9" s="815">
        <v>2438.4841425700001</v>
      </c>
      <c r="CL9" s="815">
        <v>2397.2323801900002</v>
      </c>
      <c r="CM9" s="815">
        <v>2378.5687752399999</v>
      </c>
      <c r="CN9" s="815">
        <v>2362.6748973000003</v>
      </c>
      <c r="CO9" s="815">
        <v>2378.7448912700002</v>
      </c>
      <c r="CP9" s="815">
        <v>2481.0149246299998</v>
      </c>
      <c r="CQ9" s="815">
        <v>2532.0973747600001</v>
      </c>
      <c r="CR9" s="815">
        <v>2579.8380709799999</v>
      </c>
      <c r="CS9" s="815">
        <v>2598.7064799199998</v>
      </c>
      <c r="CT9" s="815">
        <v>2599.13769533</v>
      </c>
      <c r="CU9" s="815">
        <v>2504.10766956</v>
      </c>
      <c r="CV9" s="815">
        <v>2507.9805126299998</v>
      </c>
      <c r="CW9" s="815">
        <v>2549.8556796299999</v>
      </c>
      <c r="CX9" s="815">
        <v>2551.2740627100002</v>
      </c>
      <c r="CY9" s="815">
        <v>2549.45211036</v>
      </c>
      <c r="CZ9" s="815">
        <v>2551.4528833899999</v>
      </c>
      <c r="DA9" s="815">
        <v>2539.6236270300001</v>
      </c>
      <c r="DB9" s="815">
        <v>2570.6308972100001</v>
      </c>
      <c r="DC9" s="815">
        <v>2777.5857918800002</v>
      </c>
      <c r="DD9" s="815">
        <v>2859.9485050799999</v>
      </c>
      <c r="DE9" s="815">
        <v>2982.27763271</v>
      </c>
      <c r="DF9" s="815">
        <v>2960.8306106</v>
      </c>
      <c r="DG9" s="815">
        <v>3029.3681515600001</v>
      </c>
      <c r="DH9" s="815">
        <v>3069.5291242100002</v>
      </c>
      <c r="DI9" s="815">
        <v>3126.6944463599998</v>
      </c>
      <c r="DJ9" s="815">
        <v>3130.2660092400001</v>
      </c>
      <c r="DK9" s="815">
        <v>3141.3452931400002</v>
      </c>
      <c r="DL9" s="815">
        <v>3106.4631285099999</v>
      </c>
      <c r="DM9" s="815">
        <v>3122.5418065899999</v>
      </c>
      <c r="DN9" s="815">
        <v>3194.685129</v>
      </c>
      <c r="DO9" s="815">
        <v>3262.3167929400001</v>
      </c>
      <c r="DP9" s="815">
        <v>3332.2321433699999</v>
      </c>
      <c r="DQ9" s="815">
        <v>3293.35058394</v>
      </c>
      <c r="DR9" s="815">
        <v>3237.8077508000001</v>
      </c>
      <c r="DS9" s="815">
        <v>3233.9765252699999</v>
      </c>
      <c r="DT9" s="815">
        <v>3284.0716008600002</v>
      </c>
      <c r="DU9" s="815">
        <v>3329.8905477399999</v>
      </c>
      <c r="DV9" s="815">
        <v>3346.6835495</v>
      </c>
      <c r="DW9" s="815">
        <v>3400.0921406000002</v>
      </c>
      <c r="DX9" s="815">
        <v>3362.6243152799998</v>
      </c>
      <c r="DY9" s="815">
        <v>3406.8716277600001</v>
      </c>
      <c r="DZ9" s="815">
        <v>3486.7570254299999</v>
      </c>
      <c r="EA9" s="815">
        <v>3433.6060745200002</v>
      </c>
      <c r="EB9" s="815">
        <v>3505.5060087699999</v>
      </c>
      <c r="EC9" s="815">
        <v>3476.8485448800002</v>
      </c>
      <c r="ED9" s="815">
        <v>3444.1798715599998</v>
      </c>
      <c r="EE9" s="815">
        <v>3495.0056662299999</v>
      </c>
      <c r="EF9" s="815">
        <v>3666.9534031200001</v>
      </c>
      <c r="EG9" s="815">
        <v>3711.7674126299999</v>
      </c>
      <c r="EH9" s="815">
        <v>3775.4744507099999</v>
      </c>
      <c r="EI9" s="815">
        <v>3817.1343310799998</v>
      </c>
      <c r="EJ9" s="815">
        <v>3815.3547920000001</v>
      </c>
      <c r="EK9" s="815">
        <v>3781.8794767099998</v>
      </c>
      <c r="EL9" s="815">
        <v>3970.3546434</v>
      </c>
      <c r="EM9" s="815">
        <v>3952.19427662</v>
      </c>
      <c r="EN9" s="815">
        <v>3989.0245798000001</v>
      </c>
      <c r="EO9" s="815">
        <v>4075.6535540899999</v>
      </c>
      <c r="EP9" s="815">
        <v>3997.6815154699998</v>
      </c>
      <c r="EQ9" s="815">
        <v>4055.37194645</v>
      </c>
      <c r="ER9" s="815">
        <v>4056.3704750000002</v>
      </c>
      <c r="ES9" s="815">
        <v>4039.1641089899999</v>
      </c>
      <c r="ET9" s="815">
        <v>4101.0017712700001</v>
      </c>
      <c r="EU9" s="815">
        <v>4113.7405505300003</v>
      </c>
      <c r="EV9" s="815">
        <v>4110.8614670099996</v>
      </c>
      <c r="EW9" s="815">
        <v>4099.8365288799996</v>
      </c>
      <c r="EX9" s="815">
        <v>4187.6770302499999</v>
      </c>
      <c r="EY9" s="815">
        <v>4129.8100435099996</v>
      </c>
      <c r="EZ9" s="815">
        <v>4201.4832124300001</v>
      </c>
      <c r="FA9" s="815">
        <v>4327.0039887100002</v>
      </c>
      <c r="FB9" s="815">
        <v>4248.24325202</v>
      </c>
      <c r="FC9" s="815">
        <v>4311.6268431899998</v>
      </c>
      <c r="FD9" s="815">
        <v>4331.1840415099996</v>
      </c>
      <c r="FE9" s="815">
        <v>4362.4575866300002</v>
      </c>
      <c r="FF9" s="815">
        <v>4514.4831962799999</v>
      </c>
      <c r="FG9" s="815">
        <v>4530.0422439100003</v>
      </c>
      <c r="FH9" s="1710" t="s">
        <v>1152</v>
      </c>
    </row>
    <row r="10" spans="1:164" ht="21">
      <c r="A10" s="1723" t="s">
        <v>1961</v>
      </c>
      <c r="B10" s="792">
        <v>210.72833975000003</v>
      </c>
      <c r="C10" s="792">
        <v>201.05194611000002</v>
      </c>
      <c r="D10" s="792">
        <v>200.77101477000002</v>
      </c>
      <c r="E10" s="792">
        <v>182.57117439000001</v>
      </c>
      <c r="F10" s="792">
        <v>182.31003233999999</v>
      </c>
      <c r="G10" s="792">
        <v>181.90070266000001</v>
      </c>
      <c r="H10" s="792">
        <v>163.44056279</v>
      </c>
      <c r="I10" s="792">
        <v>163.60144422000002</v>
      </c>
      <c r="J10" s="792">
        <v>145.77561133</v>
      </c>
      <c r="K10" s="792">
        <v>143.84403387</v>
      </c>
      <c r="L10" s="792">
        <v>143.75529684999998</v>
      </c>
      <c r="M10" s="784">
        <v>127.61027175000001</v>
      </c>
      <c r="N10" s="784">
        <v>127.48503804999999</v>
      </c>
      <c r="O10" s="784">
        <v>127.75840142</v>
      </c>
      <c r="P10" s="784">
        <v>112.34727477999999</v>
      </c>
      <c r="Q10" s="784">
        <v>114.17179481000001</v>
      </c>
      <c r="R10" s="784">
        <v>113.13557847</v>
      </c>
      <c r="S10" s="784">
        <v>95.009887490000011</v>
      </c>
      <c r="T10" s="784">
        <v>93.125419820000005</v>
      </c>
      <c r="U10" s="784">
        <v>93.076374579999992</v>
      </c>
      <c r="V10" s="784">
        <v>93.026645209999984</v>
      </c>
      <c r="W10" s="784">
        <v>92.965047209999994</v>
      </c>
      <c r="X10" s="784">
        <v>92.131315860000001</v>
      </c>
      <c r="Y10" s="784">
        <v>91.94710164</v>
      </c>
      <c r="Z10" s="784">
        <v>91.813687250000001</v>
      </c>
      <c r="AA10" s="784">
        <v>121.87857197</v>
      </c>
      <c r="AB10" s="784">
        <v>121.75668434000001</v>
      </c>
      <c r="AC10" s="784">
        <v>121.73516959</v>
      </c>
      <c r="AD10" s="784">
        <v>121.80862947</v>
      </c>
      <c r="AE10" s="784">
        <v>121.64354408999999</v>
      </c>
      <c r="AF10" s="784">
        <v>121.80281561000001</v>
      </c>
      <c r="AG10" s="784">
        <v>121.58338336999999</v>
      </c>
      <c r="AH10" s="784">
        <v>121.73925660999998</v>
      </c>
      <c r="AI10" s="784">
        <v>122.20909334000001</v>
      </c>
      <c r="AJ10" s="784">
        <v>121.71696152</v>
      </c>
      <c r="AK10" s="784">
        <v>178.34354354000001</v>
      </c>
      <c r="AL10" s="784">
        <v>179.82826930999997</v>
      </c>
      <c r="AM10" s="784">
        <v>173.59997388000002</v>
      </c>
      <c r="AN10" s="784">
        <v>171.10552432</v>
      </c>
      <c r="AO10" s="784">
        <v>167.20699867000002</v>
      </c>
      <c r="AP10" s="784">
        <v>163.02528090999999</v>
      </c>
      <c r="AQ10" s="784">
        <v>168.69307613999999</v>
      </c>
      <c r="AR10" s="784">
        <v>173.7077171</v>
      </c>
      <c r="AS10" s="784">
        <v>178.89733331000002</v>
      </c>
      <c r="AT10" s="784">
        <v>177.54111907000004</v>
      </c>
      <c r="AU10" s="784">
        <v>167.19110432000002</v>
      </c>
      <c r="AV10" s="784">
        <v>168.31782424000002</v>
      </c>
      <c r="AW10" s="784">
        <v>173.32560854000002</v>
      </c>
      <c r="AX10" s="784">
        <v>171.53802653</v>
      </c>
      <c r="AY10" s="784">
        <v>157.34411894000002</v>
      </c>
      <c r="AZ10" s="784">
        <v>155.25292331</v>
      </c>
      <c r="BA10" s="784">
        <v>140.11120951000001</v>
      </c>
      <c r="BB10" s="784">
        <v>159.83952693999998</v>
      </c>
      <c r="BC10" s="784">
        <v>159.57914094</v>
      </c>
      <c r="BD10" s="784">
        <v>152.78520368</v>
      </c>
      <c r="BE10" s="784">
        <v>144.57737838</v>
      </c>
      <c r="BF10" s="784">
        <v>144.69899185999998</v>
      </c>
      <c r="BG10" s="784">
        <v>131.66550365000001</v>
      </c>
      <c r="BH10" s="827">
        <v>131.47594361</v>
      </c>
      <c r="BI10" s="816">
        <v>104.20263365999999</v>
      </c>
      <c r="BJ10" s="816">
        <v>92.689036590000001</v>
      </c>
      <c r="BK10" s="816">
        <v>93.408224070000003</v>
      </c>
      <c r="BL10" s="816">
        <v>90.854440240000002</v>
      </c>
      <c r="BM10" s="816">
        <v>77.545824570000008</v>
      </c>
      <c r="BN10" s="816">
        <v>77.800447579999997</v>
      </c>
      <c r="BO10" s="816">
        <v>77.723400350000006</v>
      </c>
      <c r="BP10" s="816">
        <v>64.237752880000002</v>
      </c>
      <c r="BQ10" s="816">
        <v>102.87787882000001</v>
      </c>
      <c r="BR10" s="816">
        <v>102.68763328</v>
      </c>
      <c r="BS10" s="816">
        <v>88.554188229999994</v>
      </c>
      <c r="BT10" s="816">
        <v>76.318497440000002</v>
      </c>
      <c r="BU10" s="816">
        <v>96.202012019999998</v>
      </c>
      <c r="BV10" s="816">
        <v>38.25018008</v>
      </c>
      <c r="BW10" s="816">
        <v>38.158766350000001</v>
      </c>
      <c r="BX10" s="816">
        <v>38.483514249999999</v>
      </c>
      <c r="BY10" s="816">
        <v>12.10047295</v>
      </c>
      <c r="BZ10" s="816">
        <v>11.66881837</v>
      </c>
      <c r="CA10" s="816">
        <v>11.687493969999998</v>
      </c>
      <c r="CB10" s="816">
        <v>11.752212470000002</v>
      </c>
      <c r="CC10" s="816">
        <v>11.67856963</v>
      </c>
      <c r="CD10" s="816">
        <v>11.502353499999998</v>
      </c>
      <c r="CE10" s="816">
        <v>13.16579546</v>
      </c>
      <c r="CF10" s="816">
        <v>14.5535923</v>
      </c>
      <c r="CG10" s="816">
        <v>11.222574190000001</v>
      </c>
      <c r="CH10" s="816">
        <v>11.400066629999998</v>
      </c>
      <c r="CI10" s="816">
        <v>11.474553080000002</v>
      </c>
      <c r="CJ10" s="816">
        <v>11.81805348</v>
      </c>
      <c r="CK10" s="816">
        <v>12.012692649999998</v>
      </c>
      <c r="CL10" s="816">
        <v>10.9793217</v>
      </c>
      <c r="CM10" s="816">
        <v>10.746123109999999</v>
      </c>
      <c r="CN10" s="816">
        <v>10.690615039999999</v>
      </c>
      <c r="CO10" s="816">
        <v>10.685676540000001</v>
      </c>
      <c r="CP10" s="816">
        <v>11.16006915</v>
      </c>
      <c r="CQ10" s="816">
        <v>11.375937049999999</v>
      </c>
      <c r="CR10" s="816">
        <v>11.444378589999999</v>
      </c>
      <c r="CS10" s="816">
        <v>11.614221300000001</v>
      </c>
      <c r="CT10" s="816">
        <v>11.87564218</v>
      </c>
      <c r="CU10" s="816">
        <v>13.582138390000001</v>
      </c>
      <c r="CV10" s="816">
        <v>14.31555097</v>
      </c>
      <c r="CW10" s="816">
        <v>14.205448329999999</v>
      </c>
      <c r="CX10" s="816">
        <v>18.818514100000002</v>
      </c>
      <c r="CY10" s="816">
        <v>15.94230823</v>
      </c>
      <c r="CZ10" s="816">
        <v>16.544833499999999</v>
      </c>
      <c r="DA10" s="816">
        <v>14.00236743</v>
      </c>
      <c r="DB10" s="816">
        <v>14.63769447</v>
      </c>
      <c r="DC10" s="816">
        <v>65.943382479999997</v>
      </c>
      <c r="DD10" s="816">
        <v>66.151392749999999</v>
      </c>
      <c r="DE10" s="816">
        <v>74.340017619999998</v>
      </c>
      <c r="DF10" s="816">
        <v>76.414512049999999</v>
      </c>
      <c r="DG10" s="816">
        <v>74.457225620000003</v>
      </c>
      <c r="DH10" s="816">
        <v>72.886955529999994</v>
      </c>
      <c r="DI10" s="816">
        <v>75.743050960000005</v>
      </c>
      <c r="DJ10" s="816">
        <v>74.900554830000004</v>
      </c>
      <c r="DK10" s="816">
        <v>73.806275319999997</v>
      </c>
      <c r="DL10" s="816">
        <v>74.624624900000001</v>
      </c>
      <c r="DM10" s="816">
        <v>67.34479924</v>
      </c>
      <c r="DN10" s="816">
        <v>64.477835450000001</v>
      </c>
      <c r="DO10" s="816">
        <v>58.015686600000002</v>
      </c>
      <c r="DP10" s="816">
        <v>58.577398879999997</v>
      </c>
      <c r="DQ10" s="816">
        <v>23.52515382</v>
      </c>
      <c r="DR10" s="816">
        <v>27.935211670000001</v>
      </c>
      <c r="DS10" s="816">
        <v>27.925893869999999</v>
      </c>
      <c r="DT10" s="816">
        <v>27.931964239999999</v>
      </c>
      <c r="DU10" s="816">
        <v>27.297500039999999</v>
      </c>
      <c r="DV10" s="816">
        <v>26.71491923</v>
      </c>
      <c r="DW10" s="816">
        <v>26.81205361</v>
      </c>
      <c r="DX10" s="816">
        <v>25.539233729999999</v>
      </c>
      <c r="DY10" s="816">
        <v>25.290198369999999</v>
      </c>
      <c r="DZ10" s="816">
        <v>25.894561620000001</v>
      </c>
      <c r="EA10" s="816">
        <v>25.52373974</v>
      </c>
      <c r="EB10" s="816">
        <v>15.0992488</v>
      </c>
      <c r="EC10" s="816">
        <v>14.880518</v>
      </c>
      <c r="ED10" s="816">
        <v>13.92821885</v>
      </c>
      <c r="EE10" s="816">
        <v>61.365970799999999</v>
      </c>
      <c r="EF10" s="816">
        <v>166.80683938999999</v>
      </c>
      <c r="EG10" s="816">
        <v>166.24254762999999</v>
      </c>
      <c r="EH10" s="816">
        <v>151.89519146999999</v>
      </c>
      <c r="EI10" s="816">
        <v>150.85448585</v>
      </c>
      <c r="EJ10" s="816">
        <v>151.14571753999999</v>
      </c>
      <c r="EK10" s="816">
        <v>124.89915228</v>
      </c>
      <c r="EL10" s="816">
        <v>125.99204512999999</v>
      </c>
      <c r="EM10" s="816">
        <v>48.63777185</v>
      </c>
      <c r="EN10" s="816">
        <v>47.363406019999999</v>
      </c>
      <c r="EO10" s="816">
        <v>37.028694450000003</v>
      </c>
      <c r="EP10" s="816">
        <v>35.365868390000003</v>
      </c>
      <c r="EQ10" s="816">
        <v>35.256629539999999</v>
      </c>
      <c r="ER10" s="816">
        <v>36.34309726</v>
      </c>
      <c r="ES10" s="816">
        <v>36.614413519999999</v>
      </c>
      <c r="ET10" s="816">
        <v>36.429828120000003</v>
      </c>
      <c r="EU10" s="816">
        <v>37.541271250000001</v>
      </c>
      <c r="EV10" s="816">
        <v>36.527098680000002</v>
      </c>
      <c r="EW10" s="816">
        <v>24.240711749999999</v>
      </c>
      <c r="EX10" s="816">
        <v>24.44189063</v>
      </c>
      <c r="EY10" s="816">
        <v>23.8492368</v>
      </c>
      <c r="EZ10" s="816">
        <v>24.60166195</v>
      </c>
      <c r="FA10" s="816">
        <v>25.767311209999999</v>
      </c>
      <c r="FB10" s="816">
        <v>24.246575029999999</v>
      </c>
      <c r="FC10" s="816">
        <v>10.58401621</v>
      </c>
      <c r="FD10" s="816">
        <v>11.221782490000001</v>
      </c>
      <c r="FE10" s="816">
        <v>10.81215727</v>
      </c>
      <c r="FF10" s="816">
        <v>10.4607376</v>
      </c>
      <c r="FG10" s="816">
        <v>10.37194966</v>
      </c>
      <c r="FH10" s="1712" t="s">
        <v>4067</v>
      </c>
    </row>
    <row r="11" spans="1:164" ht="21">
      <c r="A11" s="1723" t="s">
        <v>1962</v>
      </c>
      <c r="B11" s="791">
        <f>+B9-B10</f>
        <v>2334.5519226400002</v>
      </c>
      <c r="C11" s="791">
        <f t="shared" ref="C11:V11" si="0">+C9-C10</f>
        <v>1860.6948955999999</v>
      </c>
      <c r="D11" s="791">
        <f t="shared" si="0"/>
        <v>1890.5179798999998</v>
      </c>
      <c r="E11" s="791">
        <f t="shared" si="0"/>
        <v>1926.67653316</v>
      </c>
      <c r="F11" s="791">
        <f t="shared" si="0"/>
        <v>1949.34534222</v>
      </c>
      <c r="G11" s="791">
        <f t="shared" si="0"/>
        <v>1979.7535052000001</v>
      </c>
      <c r="H11" s="791">
        <f t="shared" si="0"/>
        <v>2002.8748404699995</v>
      </c>
      <c r="I11" s="791">
        <f t="shared" si="0"/>
        <v>2042.6560602900001</v>
      </c>
      <c r="J11" s="791">
        <f t="shared" si="0"/>
        <v>2050.9539848099998</v>
      </c>
      <c r="K11" s="791">
        <f t="shared" si="0"/>
        <v>2082.4949247</v>
      </c>
      <c r="L11" s="791">
        <f t="shared" si="0"/>
        <v>2099.4076233500004</v>
      </c>
      <c r="M11" s="784">
        <f t="shared" si="0"/>
        <v>2091.6181185200003</v>
      </c>
      <c r="N11" s="781">
        <f t="shared" si="0"/>
        <v>2083.5046571499997</v>
      </c>
      <c r="O11" s="781">
        <f t="shared" si="0"/>
        <v>2112.3839528399999</v>
      </c>
      <c r="P11" s="781">
        <f t="shared" si="0"/>
        <v>2160.0613762399998</v>
      </c>
      <c r="Q11" s="781">
        <f t="shared" si="0"/>
        <v>2207.7021162700003</v>
      </c>
      <c r="R11" s="781">
        <f t="shared" si="0"/>
        <v>2272.1153200000003</v>
      </c>
      <c r="S11" s="781">
        <f t="shared" si="0"/>
        <v>2333.4430661500005</v>
      </c>
      <c r="T11" s="781">
        <f t="shared" si="0"/>
        <v>2365.0944806900002</v>
      </c>
      <c r="U11" s="781">
        <f t="shared" si="0"/>
        <v>2395.27174814</v>
      </c>
      <c r="V11" s="781">
        <f t="shared" si="0"/>
        <v>2442.6514419800001</v>
      </c>
      <c r="W11" s="781">
        <v>2447.1508456699999</v>
      </c>
      <c r="X11" s="781">
        <v>2500.0005420799998</v>
      </c>
      <c r="Y11" s="784">
        <v>2588.1330621200004</v>
      </c>
      <c r="Z11" s="781">
        <v>2556.4406774599997</v>
      </c>
      <c r="AA11" s="781">
        <v>2849.4037200400003</v>
      </c>
      <c r="AB11" s="784">
        <f>+AB9-AB10</f>
        <v>2825.6459097299999</v>
      </c>
      <c r="AC11" s="784">
        <v>2837.8820197500004</v>
      </c>
      <c r="AD11" s="784">
        <v>2789.2420324600002</v>
      </c>
      <c r="AE11" s="784">
        <v>2766.0172186300001</v>
      </c>
      <c r="AF11" s="784">
        <v>2740.3386993700005</v>
      </c>
      <c r="AG11" s="784">
        <v>2727.1975804000003</v>
      </c>
      <c r="AH11" s="784">
        <f>+AH9-AH10</f>
        <v>2312.3353627799997</v>
      </c>
      <c r="AI11" s="784">
        <v>2423.7524776199998</v>
      </c>
      <c r="AJ11" s="784">
        <f>+AJ9-AJ10</f>
        <v>2412.7645613900004</v>
      </c>
      <c r="AK11" s="784">
        <f>+AK9-AK10</f>
        <v>2978.9608715199997</v>
      </c>
      <c r="AL11" s="784">
        <v>2732.2013726099999</v>
      </c>
      <c r="AM11" s="784">
        <f>+AM9-AM10</f>
        <v>2682.5714522800004</v>
      </c>
      <c r="AN11" s="784">
        <f>+AN9-AN10</f>
        <v>2628.4507002700002</v>
      </c>
      <c r="AO11" s="784">
        <f>+AO9-AO10</f>
        <v>2508.62131955</v>
      </c>
      <c r="AP11" s="784">
        <v>2456.5197946899998</v>
      </c>
      <c r="AQ11" s="784">
        <v>2511.8970852000002</v>
      </c>
      <c r="AR11" s="784">
        <v>2390.8223407299997</v>
      </c>
      <c r="AS11" s="784">
        <v>2324.3078062300001</v>
      </c>
      <c r="AT11" s="784">
        <f>+AT9-AT10</f>
        <v>2377.12777805</v>
      </c>
      <c r="AU11" s="784">
        <v>2315.2275540000001</v>
      </c>
      <c r="AV11" s="784">
        <v>2213.7248615500002</v>
      </c>
      <c r="AW11" s="784">
        <v>2292.7953058000003</v>
      </c>
      <c r="AX11" s="784">
        <v>2259.3558100099999</v>
      </c>
      <c r="AY11" s="784">
        <v>2154.7194925100002</v>
      </c>
      <c r="AZ11" s="784">
        <v>2052.4055489900002</v>
      </c>
      <c r="BA11" s="784">
        <v>2054.5450917399999</v>
      </c>
      <c r="BB11" s="784">
        <v>2027.72128567</v>
      </c>
      <c r="BC11" s="784">
        <v>2013.5961428100004</v>
      </c>
      <c r="BD11" s="784">
        <f>+BD9-BD10</f>
        <v>1984.2193341100001</v>
      </c>
      <c r="BE11" s="784">
        <v>1938.8319523200003</v>
      </c>
      <c r="BF11" s="784">
        <v>2032.10823344</v>
      </c>
      <c r="BG11" s="784">
        <v>1972.3503726099998</v>
      </c>
      <c r="BH11" s="827">
        <v>1959.9843873999996</v>
      </c>
      <c r="BI11" s="816">
        <v>1950.8697991400002</v>
      </c>
      <c r="BJ11" s="816">
        <v>1923.5895289300001</v>
      </c>
      <c r="BK11" s="816">
        <v>1891.0895976899999</v>
      </c>
      <c r="BL11" s="816">
        <v>1895.85442906</v>
      </c>
      <c r="BM11" s="816">
        <v>1897.6530097300001</v>
      </c>
      <c r="BN11" s="816">
        <v>1904.4238223</v>
      </c>
      <c r="BO11" s="816">
        <v>1944.9780432200002</v>
      </c>
      <c r="BP11" s="816">
        <v>1949.4545242700001</v>
      </c>
      <c r="BQ11" s="816">
        <v>1929.0000413099999</v>
      </c>
      <c r="BR11" s="816">
        <v>1959.0225847700001</v>
      </c>
      <c r="BS11" s="816">
        <v>1968.6154898899999</v>
      </c>
      <c r="BT11" s="816">
        <v>1999.2130282400003</v>
      </c>
      <c r="BU11" s="816">
        <v>2274.53278469</v>
      </c>
      <c r="BV11" s="816">
        <v>2225.5588260599998</v>
      </c>
      <c r="BW11" s="816">
        <v>2246.4966126899999</v>
      </c>
      <c r="BX11" s="816">
        <v>2263.2315938899997</v>
      </c>
      <c r="BY11" s="816">
        <v>2251.8707766300004</v>
      </c>
      <c r="BZ11" s="816">
        <v>2265.1530841800004</v>
      </c>
      <c r="CA11" s="816">
        <v>2281.4755889999997</v>
      </c>
      <c r="CB11" s="816">
        <v>2267.3201213000002</v>
      </c>
      <c r="CC11" s="816">
        <v>2276.31705874</v>
      </c>
      <c r="CD11" s="816">
        <v>2361.1266044099998</v>
      </c>
      <c r="CE11" s="816">
        <f t="shared" ref="CE11:CO11" si="1">+CE9-CE10</f>
        <v>2390.7637652099997</v>
      </c>
      <c r="CF11" s="816">
        <f t="shared" si="1"/>
        <v>2312.6142577899996</v>
      </c>
      <c r="CG11" s="816">
        <f t="shared" si="1"/>
        <v>2467.4672075999997</v>
      </c>
      <c r="CH11" s="816">
        <f t="shared" si="1"/>
        <v>2402.8416239099997</v>
      </c>
      <c r="CI11" s="816">
        <f t="shared" si="1"/>
        <v>2497.6590943599999</v>
      </c>
      <c r="CJ11" s="816">
        <f t="shared" si="1"/>
        <v>2479.3449730100001</v>
      </c>
      <c r="CK11" s="816">
        <f t="shared" si="1"/>
        <v>2426.4714499199999</v>
      </c>
      <c r="CL11" s="816">
        <f t="shared" si="1"/>
        <v>2386.2530584900001</v>
      </c>
      <c r="CM11" s="816">
        <f t="shared" si="1"/>
        <v>2367.8226521299998</v>
      </c>
      <c r="CN11" s="816">
        <f t="shared" si="1"/>
        <v>2351.9842822600003</v>
      </c>
      <c r="CO11" s="816">
        <f t="shared" si="1"/>
        <v>2368.0592147300003</v>
      </c>
      <c r="CP11" s="816">
        <f>+CP9-CP10</f>
        <v>2469.85485548</v>
      </c>
      <c r="CQ11" s="816">
        <f>+CQ9-CQ10</f>
        <v>2520.7214377099999</v>
      </c>
      <c r="CR11" s="816">
        <f>+CR9-CR10</f>
        <v>2568.3936923900001</v>
      </c>
      <c r="CS11" s="816">
        <v>2587.0922586199999</v>
      </c>
      <c r="CT11" s="816">
        <v>2587.2620531500002</v>
      </c>
      <c r="CU11" s="816">
        <v>2490.5255311699998</v>
      </c>
      <c r="CV11" s="816">
        <v>2493.6649616599998</v>
      </c>
      <c r="CW11" s="816">
        <v>2535.6502313000001</v>
      </c>
      <c r="CX11" s="816">
        <v>2532.4555486099998</v>
      </c>
      <c r="CY11" s="816">
        <v>2533.50980213</v>
      </c>
      <c r="CZ11" s="816">
        <v>2534.9080498899998</v>
      </c>
      <c r="DA11" s="816">
        <v>2525.6212596</v>
      </c>
      <c r="DB11" s="816">
        <v>2555.99320274</v>
      </c>
      <c r="DC11" s="816">
        <v>2711.6424093999999</v>
      </c>
      <c r="DD11" s="816">
        <v>2793.7971123299999</v>
      </c>
      <c r="DE11" s="816">
        <v>2907.9376150899998</v>
      </c>
      <c r="DF11" s="816">
        <v>2884.4160985499998</v>
      </c>
      <c r="DG11" s="816">
        <v>2954.9109259400002</v>
      </c>
      <c r="DH11" s="816">
        <v>2996.6421686799999</v>
      </c>
      <c r="DI11" s="816">
        <v>3050.9513953999999</v>
      </c>
      <c r="DJ11" s="816">
        <v>3055.36545441</v>
      </c>
      <c r="DK11" s="816">
        <v>3067.53901782</v>
      </c>
      <c r="DL11" s="816">
        <v>3031.8385036099999</v>
      </c>
      <c r="DM11" s="816">
        <v>3055.1970073500001</v>
      </c>
      <c r="DN11" s="816">
        <v>3130.20729355</v>
      </c>
      <c r="DO11" s="816">
        <v>3204.3011063399999</v>
      </c>
      <c r="DP11" s="816">
        <v>3273.6547444900002</v>
      </c>
      <c r="DQ11" s="816">
        <v>3269.82543012</v>
      </c>
      <c r="DR11" s="816">
        <v>3209.87253913</v>
      </c>
      <c r="DS11" s="816">
        <v>3206.0506313999999</v>
      </c>
      <c r="DT11" s="816">
        <v>3256.1396366200001</v>
      </c>
      <c r="DU11" s="816">
        <v>3302.5930477000002</v>
      </c>
      <c r="DV11" s="816">
        <v>3319.9686302700002</v>
      </c>
      <c r="DW11" s="816">
        <v>3373.2800869900002</v>
      </c>
      <c r="DX11" s="816">
        <v>3337.0850815499998</v>
      </c>
      <c r="DY11" s="816">
        <v>3381.5814293899998</v>
      </c>
      <c r="DZ11" s="816">
        <v>3460.86246381</v>
      </c>
      <c r="EA11" s="816">
        <v>3408.0823347800001</v>
      </c>
      <c r="EB11" s="816">
        <v>3490.4067599700002</v>
      </c>
      <c r="EC11" s="816">
        <v>3461.9680268799998</v>
      </c>
      <c r="ED11" s="816">
        <v>3430.2516527100001</v>
      </c>
      <c r="EE11" s="816">
        <v>3433.6396954299998</v>
      </c>
      <c r="EF11" s="816">
        <v>3500.1465637299998</v>
      </c>
      <c r="EG11" s="816">
        <v>3545.5248649999999</v>
      </c>
      <c r="EH11" s="816">
        <v>3623.5792592399998</v>
      </c>
      <c r="EI11" s="816">
        <v>3666.2798452299999</v>
      </c>
      <c r="EJ11" s="816">
        <v>3664.20907446</v>
      </c>
      <c r="EK11" s="816">
        <v>3656.9803244300001</v>
      </c>
      <c r="EL11" s="816">
        <v>3844.36259827</v>
      </c>
      <c r="EM11" s="816">
        <v>3903.5565047700002</v>
      </c>
      <c r="EN11" s="816">
        <v>3941.6611737799999</v>
      </c>
      <c r="EO11" s="816">
        <v>4038.6248596400001</v>
      </c>
      <c r="EP11" s="816">
        <v>3962.31564708</v>
      </c>
      <c r="EQ11" s="816">
        <v>4020.1153169099998</v>
      </c>
      <c r="ER11" s="816">
        <v>4020.0273777399998</v>
      </c>
      <c r="ES11" s="816">
        <v>4002.5496954700002</v>
      </c>
      <c r="ET11" s="816">
        <v>4064.5719431500002</v>
      </c>
      <c r="EU11" s="816">
        <v>4076.1992792800002</v>
      </c>
      <c r="EV11" s="816">
        <v>4074.33436833</v>
      </c>
      <c r="EW11" s="816">
        <v>4075.5958171299999</v>
      </c>
      <c r="EX11" s="816">
        <v>4163.2351396200002</v>
      </c>
      <c r="EY11" s="816">
        <v>4105.9608067099998</v>
      </c>
      <c r="EZ11" s="816">
        <v>4176.8815504800004</v>
      </c>
      <c r="FA11" s="816">
        <v>4301.2366775</v>
      </c>
      <c r="FB11" s="816">
        <v>4223.9966769900002</v>
      </c>
      <c r="FC11" s="816">
        <v>4301.0428269800004</v>
      </c>
      <c r="FD11" s="816">
        <v>4319.9622590199997</v>
      </c>
      <c r="FE11" s="816">
        <v>4351.64542936</v>
      </c>
      <c r="FF11" s="816">
        <v>4504.0224586800005</v>
      </c>
      <c r="FG11" s="816">
        <v>4519.6702942499996</v>
      </c>
      <c r="FH11" s="1712" t="s">
        <v>4066</v>
      </c>
    </row>
    <row r="12" spans="1:164" ht="21">
      <c r="A12" s="1721"/>
      <c r="B12" s="792"/>
      <c r="C12" s="792"/>
      <c r="D12" s="792"/>
      <c r="E12" s="792"/>
      <c r="F12" s="792"/>
      <c r="G12" s="792"/>
      <c r="H12" s="792"/>
      <c r="I12" s="792"/>
      <c r="J12" s="792"/>
      <c r="K12" s="792"/>
      <c r="L12" s="792"/>
      <c r="M12" s="784"/>
      <c r="N12" s="784"/>
      <c r="O12" s="784"/>
      <c r="P12" s="784"/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84"/>
      <c r="AF12" s="784"/>
      <c r="AG12" s="784"/>
      <c r="AH12" s="784"/>
      <c r="AI12" s="784"/>
      <c r="AJ12" s="784"/>
      <c r="AK12" s="784"/>
      <c r="AL12" s="784"/>
      <c r="AM12" s="784"/>
      <c r="AN12" s="784"/>
      <c r="AO12" s="784"/>
      <c r="AP12" s="784"/>
      <c r="AQ12" s="784"/>
      <c r="AR12" s="784"/>
      <c r="AS12" s="784"/>
      <c r="AT12" s="784"/>
      <c r="AU12" s="784"/>
      <c r="AV12" s="784"/>
      <c r="AW12" s="784"/>
      <c r="AX12" s="784"/>
      <c r="AY12" s="784"/>
      <c r="AZ12" s="784"/>
      <c r="BA12" s="784"/>
      <c r="BB12" s="784"/>
      <c r="BC12" s="784"/>
      <c r="BD12" s="784"/>
      <c r="BE12" s="784"/>
      <c r="BF12" s="784"/>
      <c r="BG12" s="784"/>
      <c r="BH12" s="827"/>
      <c r="BI12" s="816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7"/>
      <c r="CN12" s="817"/>
      <c r="CO12" s="817"/>
      <c r="CP12" s="817"/>
      <c r="CQ12" s="817"/>
      <c r="CR12" s="817"/>
      <c r="CS12" s="817"/>
      <c r="CT12" s="817"/>
      <c r="CU12" s="817"/>
      <c r="CV12" s="817"/>
      <c r="CW12" s="817"/>
      <c r="CX12" s="817"/>
      <c r="CY12" s="817"/>
      <c r="CZ12" s="817"/>
      <c r="DA12" s="817"/>
      <c r="DB12" s="817"/>
      <c r="DC12" s="817"/>
      <c r="DD12" s="817"/>
      <c r="DE12" s="817"/>
      <c r="DF12" s="817"/>
      <c r="DG12" s="817"/>
      <c r="DH12" s="817"/>
      <c r="DI12" s="817"/>
      <c r="DJ12" s="817"/>
      <c r="DK12" s="817"/>
      <c r="DL12" s="817"/>
      <c r="DM12" s="817"/>
      <c r="DN12" s="817"/>
      <c r="DO12" s="817"/>
      <c r="DP12" s="817"/>
      <c r="DQ12" s="817"/>
      <c r="DR12" s="817"/>
      <c r="DS12" s="817"/>
      <c r="DT12" s="817"/>
      <c r="DU12" s="817"/>
      <c r="DV12" s="817"/>
      <c r="DW12" s="817"/>
      <c r="DX12" s="817"/>
      <c r="DY12" s="817"/>
      <c r="DZ12" s="817"/>
      <c r="EA12" s="817"/>
      <c r="EB12" s="817"/>
      <c r="EC12" s="817"/>
      <c r="ED12" s="817"/>
      <c r="EE12" s="817"/>
      <c r="EF12" s="817"/>
      <c r="EG12" s="817"/>
      <c r="EH12" s="817"/>
      <c r="EI12" s="817"/>
      <c r="EJ12" s="817"/>
      <c r="EK12" s="817"/>
      <c r="EL12" s="817"/>
      <c r="EM12" s="817"/>
      <c r="EN12" s="817"/>
      <c r="EO12" s="817"/>
      <c r="EP12" s="817"/>
      <c r="EQ12" s="817"/>
      <c r="ER12" s="817"/>
      <c r="ES12" s="817"/>
      <c r="ET12" s="817"/>
      <c r="EU12" s="817"/>
      <c r="EV12" s="817"/>
      <c r="EW12" s="817"/>
      <c r="EX12" s="817"/>
      <c r="EY12" s="817"/>
      <c r="EZ12" s="817"/>
      <c r="FA12" s="817"/>
      <c r="FB12" s="817"/>
      <c r="FC12" s="817"/>
      <c r="FD12" s="817"/>
      <c r="FE12" s="817"/>
      <c r="FF12" s="817"/>
      <c r="FG12" s="817"/>
      <c r="FH12" s="1711"/>
    </row>
    <row r="13" spans="1:164" ht="21">
      <c r="A13" s="1722" t="s">
        <v>2741</v>
      </c>
      <c r="B13" s="791">
        <v>547.79937386000006</v>
      </c>
      <c r="C13" s="791">
        <v>461.15776901999993</v>
      </c>
      <c r="D13" s="791">
        <v>466.24857670000006</v>
      </c>
      <c r="E13" s="791">
        <v>468.33977585000002</v>
      </c>
      <c r="F13" s="791">
        <v>476.01826601000005</v>
      </c>
      <c r="G13" s="791">
        <v>484.09310134000003</v>
      </c>
      <c r="H13" s="791">
        <v>499.55653000999996</v>
      </c>
      <c r="I13" s="791">
        <v>501.93890012999998</v>
      </c>
      <c r="J13" s="791">
        <v>501.91481623999999</v>
      </c>
      <c r="K13" s="791">
        <v>517.66920114999994</v>
      </c>
      <c r="L13" s="791">
        <v>519.23505612999998</v>
      </c>
      <c r="M13" s="781">
        <v>472.84640899999999</v>
      </c>
      <c r="N13" s="781">
        <v>466.84179797000002</v>
      </c>
      <c r="O13" s="781">
        <v>489.90728141</v>
      </c>
      <c r="P13" s="781">
        <v>511.79192601000005</v>
      </c>
      <c r="Q13" s="781">
        <v>489.74004228000001</v>
      </c>
      <c r="R13" s="781">
        <v>432.98985758999999</v>
      </c>
      <c r="S13" s="781">
        <v>445.96218444000004</v>
      </c>
      <c r="T13" s="781">
        <v>442.78126667000004</v>
      </c>
      <c r="U13" s="781">
        <v>440.68610980999995</v>
      </c>
      <c r="V13" s="781">
        <v>443.17699164999999</v>
      </c>
      <c r="W13" s="781">
        <v>454.12003304999996</v>
      </c>
      <c r="X13" s="781">
        <v>463.57214304000001</v>
      </c>
      <c r="Y13" s="781">
        <v>507.04773160000002</v>
      </c>
      <c r="Z13" s="781">
        <v>487.24472751000002</v>
      </c>
      <c r="AA13" s="781">
        <v>573.94706654000004</v>
      </c>
      <c r="AB13" s="781">
        <v>572.55932051000002</v>
      </c>
      <c r="AC13" s="781">
        <v>563.29354675000013</v>
      </c>
      <c r="AD13" s="781">
        <v>563.29354675000013</v>
      </c>
      <c r="AE13" s="781">
        <v>527.31939884000008</v>
      </c>
      <c r="AF13" s="781">
        <v>508.21417700999996</v>
      </c>
      <c r="AG13" s="781">
        <v>469.17125914000007</v>
      </c>
      <c r="AH13" s="781">
        <v>452.03731624</v>
      </c>
      <c r="AI13" s="781">
        <v>469.33049527999998</v>
      </c>
      <c r="AJ13" s="781">
        <v>462.11960958999998</v>
      </c>
      <c r="AK13" s="781">
        <v>583.78429917000005</v>
      </c>
      <c r="AL13" s="781">
        <v>542.40457465999998</v>
      </c>
      <c r="AM13" s="781">
        <v>527.97769134000009</v>
      </c>
      <c r="AN13" s="781">
        <v>520.59306574999994</v>
      </c>
      <c r="AO13" s="781">
        <v>461.66289203999997</v>
      </c>
      <c r="AP13" s="781">
        <v>470.37813511000002</v>
      </c>
      <c r="AQ13" s="781">
        <v>501.41213126000002</v>
      </c>
      <c r="AR13" s="781">
        <v>435.33138190000005</v>
      </c>
      <c r="AS13" s="781">
        <v>466.75259310000001</v>
      </c>
      <c r="AT13" s="781">
        <v>466.27957695000003</v>
      </c>
      <c r="AU13" s="781">
        <v>485.93955225999997</v>
      </c>
      <c r="AV13" s="781">
        <v>506.78018202999999</v>
      </c>
      <c r="AW13" s="781">
        <v>566.40946628000006</v>
      </c>
      <c r="AX13" s="781">
        <v>536.33875986999999</v>
      </c>
      <c r="AY13" s="781">
        <v>494.51614584000004</v>
      </c>
      <c r="AZ13" s="781">
        <v>538.28363132000004</v>
      </c>
      <c r="BA13" s="781">
        <v>543.91402454000013</v>
      </c>
      <c r="BB13" s="781">
        <v>533.93324058000007</v>
      </c>
      <c r="BC13" s="781">
        <v>483.73679694999998</v>
      </c>
      <c r="BD13" s="781">
        <v>427.55483678000002</v>
      </c>
      <c r="BE13" s="781">
        <v>389.51799836999999</v>
      </c>
      <c r="BF13" s="781">
        <v>473.85874780000006</v>
      </c>
      <c r="BG13" s="781">
        <v>416.36924562000002</v>
      </c>
      <c r="BH13" s="826">
        <v>401.73100927000007</v>
      </c>
      <c r="BI13" s="815">
        <v>348.22463987000003</v>
      </c>
      <c r="BJ13" s="815">
        <v>415.30128669000004</v>
      </c>
      <c r="BK13" s="815">
        <v>411.59684244000005</v>
      </c>
      <c r="BL13" s="815">
        <v>406.08091301000002</v>
      </c>
      <c r="BM13" s="815">
        <v>403.30476075000001</v>
      </c>
      <c r="BN13" s="815">
        <v>408.70475506000002</v>
      </c>
      <c r="BO13" s="815">
        <v>430.10997729999997</v>
      </c>
      <c r="BP13" s="815">
        <v>430.46671923000002</v>
      </c>
      <c r="BQ13" s="815">
        <v>428.75811389</v>
      </c>
      <c r="BR13" s="815">
        <v>467.33237649</v>
      </c>
      <c r="BS13" s="815">
        <v>477.63909032999999</v>
      </c>
      <c r="BT13" s="815">
        <v>510.59061911000003</v>
      </c>
      <c r="BU13" s="815">
        <v>571.7083161999999</v>
      </c>
      <c r="BV13" s="815">
        <v>482.17855266999999</v>
      </c>
      <c r="BW13" s="815">
        <v>482.55965781999998</v>
      </c>
      <c r="BX13" s="815">
        <v>483.04261182000005</v>
      </c>
      <c r="BY13" s="815">
        <v>478.32262721999996</v>
      </c>
      <c r="BZ13" s="815">
        <v>483.55668523999998</v>
      </c>
      <c r="CA13" s="815">
        <v>496.07422679000001</v>
      </c>
      <c r="CB13" s="815">
        <v>491.18875980000001</v>
      </c>
      <c r="CC13" s="815">
        <v>506.34737457</v>
      </c>
      <c r="CD13" s="815">
        <v>540.86798296999996</v>
      </c>
      <c r="CE13" s="815">
        <v>558.92817216000003</v>
      </c>
      <c r="CF13" s="815">
        <v>608.86660346999997</v>
      </c>
      <c r="CG13" s="815">
        <v>601.69282852000003</v>
      </c>
      <c r="CH13" s="815">
        <v>571.89430760000005</v>
      </c>
      <c r="CI13" s="815">
        <v>640.07710951000001</v>
      </c>
      <c r="CJ13" s="815">
        <v>645.47851074000005</v>
      </c>
      <c r="CK13" s="815">
        <v>675.10669726000015</v>
      </c>
      <c r="CL13" s="815">
        <v>680.18874404000007</v>
      </c>
      <c r="CM13" s="815">
        <v>663.59134124000002</v>
      </c>
      <c r="CN13" s="815">
        <v>675.50304216000006</v>
      </c>
      <c r="CO13" s="815">
        <v>674.41674845</v>
      </c>
      <c r="CP13" s="815">
        <v>651.93101971999999</v>
      </c>
      <c r="CQ13" s="815">
        <v>640.87907584999994</v>
      </c>
      <c r="CR13" s="815">
        <v>675.45890695999992</v>
      </c>
      <c r="CS13" s="815">
        <v>653.05127392999998</v>
      </c>
      <c r="CT13" s="815">
        <v>664.67954511000005</v>
      </c>
      <c r="CU13" s="815">
        <v>704.31695648000004</v>
      </c>
      <c r="CV13" s="815">
        <v>691.79864625000005</v>
      </c>
      <c r="CW13" s="815">
        <v>708.16397651</v>
      </c>
      <c r="CX13" s="815">
        <v>718.93468077</v>
      </c>
      <c r="CY13" s="815">
        <v>724.43980620000002</v>
      </c>
      <c r="CZ13" s="815">
        <v>751.00939098000003</v>
      </c>
      <c r="DA13" s="815">
        <v>751.57026893</v>
      </c>
      <c r="DB13" s="815">
        <v>778.31647277000002</v>
      </c>
      <c r="DC13" s="815">
        <v>885.70539861999998</v>
      </c>
      <c r="DD13" s="815">
        <v>935.30369561999998</v>
      </c>
      <c r="DE13" s="815">
        <v>967.45121948999997</v>
      </c>
      <c r="DF13" s="815">
        <v>970.51608670999997</v>
      </c>
      <c r="DG13" s="815">
        <v>1017.96249505</v>
      </c>
      <c r="DH13" s="815">
        <v>1044.10107513</v>
      </c>
      <c r="DI13" s="815">
        <v>1127.53605739</v>
      </c>
      <c r="DJ13" s="815">
        <v>1077.89437051</v>
      </c>
      <c r="DK13" s="815">
        <v>1090.2201935400001</v>
      </c>
      <c r="DL13" s="815">
        <v>1078.8626527399999</v>
      </c>
      <c r="DM13" s="815">
        <v>1097.2248855</v>
      </c>
      <c r="DN13" s="815">
        <v>1127.61839693</v>
      </c>
      <c r="DO13" s="815">
        <v>1127.49190101</v>
      </c>
      <c r="DP13" s="815">
        <v>1119.25537635</v>
      </c>
      <c r="DQ13" s="815">
        <v>1103.02309485</v>
      </c>
      <c r="DR13" s="815">
        <v>1073.8989260599999</v>
      </c>
      <c r="DS13" s="815">
        <v>1063.01777483</v>
      </c>
      <c r="DT13" s="815">
        <v>1052.7651534900001</v>
      </c>
      <c r="DU13" s="815">
        <v>1083.78074262</v>
      </c>
      <c r="DV13" s="815">
        <v>1095.6290489200001</v>
      </c>
      <c r="DW13" s="815">
        <v>1114.0128395500001</v>
      </c>
      <c r="DX13" s="815">
        <v>1065.1543059400001</v>
      </c>
      <c r="DY13" s="815">
        <v>1101.7440268800001</v>
      </c>
      <c r="DZ13" s="815">
        <v>1161.85065343</v>
      </c>
      <c r="EA13" s="815">
        <v>1166.5357950600001</v>
      </c>
      <c r="EB13" s="815">
        <v>1204.03085493</v>
      </c>
      <c r="EC13" s="815">
        <v>1196.3240258400001</v>
      </c>
      <c r="ED13" s="815">
        <v>1148.8878860299999</v>
      </c>
      <c r="EE13" s="815">
        <v>1139.9844257</v>
      </c>
      <c r="EF13" s="815">
        <v>1133.47972198</v>
      </c>
      <c r="EG13" s="815">
        <v>1142.26838215</v>
      </c>
      <c r="EH13" s="815">
        <v>1173.05966571</v>
      </c>
      <c r="EI13" s="815">
        <v>1139.32266749</v>
      </c>
      <c r="EJ13" s="815">
        <v>1164.9872221400001</v>
      </c>
      <c r="EK13" s="815">
        <v>1160.3763232700001</v>
      </c>
      <c r="EL13" s="815">
        <v>1259.1946907199999</v>
      </c>
      <c r="EM13" s="815">
        <v>1237.2205679399999</v>
      </c>
      <c r="EN13" s="815">
        <v>1270.6530760999999</v>
      </c>
      <c r="EO13" s="815">
        <v>1393.7479196100001</v>
      </c>
      <c r="EP13" s="815">
        <v>1387.7606233500001</v>
      </c>
      <c r="EQ13" s="815">
        <v>1445.0903571399999</v>
      </c>
      <c r="ER13" s="815">
        <v>1437.7995778500001</v>
      </c>
      <c r="ES13" s="815">
        <v>1419.6596498900001</v>
      </c>
      <c r="ET13" s="815">
        <v>1464.34330092</v>
      </c>
      <c r="EU13" s="815">
        <v>1440.5493858499999</v>
      </c>
      <c r="EV13" s="815">
        <v>1428.99244658</v>
      </c>
      <c r="EW13" s="815">
        <v>1464.3239654199999</v>
      </c>
      <c r="EX13" s="815">
        <v>1507.0156758600001</v>
      </c>
      <c r="EY13" s="815">
        <v>1523.0505458800001</v>
      </c>
      <c r="EZ13" s="815">
        <v>1529.93828119</v>
      </c>
      <c r="FA13" s="815">
        <v>1588.29935241</v>
      </c>
      <c r="FB13" s="815">
        <v>1514.04523303</v>
      </c>
      <c r="FC13" s="815">
        <v>1571.8602993100001</v>
      </c>
      <c r="FD13" s="815">
        <v>1619.60669222</v>
      </c>
      <c r="FE13" s="815">
        <v>1640.63619696</v>
      </c>
      <c r="FF13" s="815">
        <v>1809.0408081</v>
      </c>
      <c r="FG13" s="815">
        <v>1796.27039408</v>
      </c>
      <c r="FH13" s="1710" t="s">
        <v>4064</v>
      </c>
    </row>
    <row r="14" spans="1:164" ht="21">
      <c r="A14" s="1723" t="s">
        <v>1961</v>
      </c>
      <c r="B14" s="792">
        <v>5.5077418599999994</v>
      </c>
      <c r="C14" s="792">
        <v>2.63905915</v>
      </c>
      <c r="D14" s="792">
        <v>2.4680260000000001</v>
      </c>
      <c r="E14" s="792">
        <v>2.5342519999999999</v>
      </c>
      <c r="F14" s="792">
        <v>2.3572949100000002</v>
      </c>
      <c r="G14" s="792">
        <v>2.39434814</v>
      </c>
      <c r="H14" s="792">
        <v>2.21869454</v>
      </c>
      <c r="I14" s="792">
        <v>2.2175730099999997</v>
      </c>
      <c r="J14" s="792">
        <v>2.1327968099999999</v>
      </c>
      <c r="K14" s="792">
        <v>0.15235691000000001</v>
      </c>
      <c r="L14" s="792">
        <v>0.29234622999999998</v>
      </c>
      <c r="M14" s="784">
        <v>2.1634501200000003</v>
      </c>
      <c r="N14" s="784">
        <v>2.1362026600000004</v>
      </c>
      <c r="O14" s="784">
        <v>2.3648737299999998</v>
      </c>
      <c r="P14" s="784">
        <v>5.0940708700000004</v>
      </c>
      <c r="Q14" s="784">
        <v>6.8845715300000005</v>
      </c>
      <c r="R14" s="784">
        <v>2.0787792600000001</v>
      </c>
      <c r="S14" s="784">
        <v>2.06074666</v>
      </c>
      <c r="T14" s="784">
        <v>7.6648350000000004E-2</v>
      </c>
      <c r="U14" s="784">
        <v>5.512247E-2</v>
      </c>
      <c r="V14" s="784">
        <v>4.9718999999999999E-2</v>
      </c>
      <c r="W14" s="784">
        <v>4.4072029999999998E-2</v>
      </c>
      <c r="X14" s="784">
        <v>0.35506119000000003</v>
      </c>
      <c r="Y14" s="784">
        <v>0.23989473</v>
      </c>
      <c r="Z14" s="784">
        <v>0.23989473</v>
      </c>
      <c r="AA14" s="784">
        <v>0.79525460999999997</v>
      </c>
      <c r="AB14" s="784">
        <v>0.82855666000000006</v>
      </c>
      <c r="AC14" s="784">
        <v>0.80778344000000002</v>
      </c>
      <c r="AD14" s="784">
        <v>0.80778344000000002</v>
      </c>
      <c r="AE14" s="784">
        <v>0.6689949300000001</v>
      </c>
      <c r="AF14" s="784">
        <v>0.65812754000000007</v>
      </c>
      <c r="AG14" s="784">
        <v>0.65335885999999999</v>
      </c>
      <c r="AH14" s="784">
        <v>0.65129349999999997</v>
      </c>
      <c r="AI14" s="784">
        <v>0.92715848999999995</v>
      </c>
      <c r="AJ14" s="784">
        <v>0.92853869</v>
      </c>
      <c r="AK14" s="784">
        <v>1.0040299799999999</v>
      </c>
      <c r="AL14" s="784">
        <v>0.46686704999999995</v>
      </c>
      <c r="AM14" s="784">
        <v>0.46204220000000001</v>
      </c>
      <c r="AN14" s="784">
        <v>0.40823673000000005</v>
      </c>
      <c r="AO14" s="784">
        <v>0.31593367</v>
      </c>
      <c r="AP14" s="784">
        <v>0.25302477000000001</v>
      </c>
      <c r="AQ14" s="784">
        <v>0.31974582000000001</v>
      </c>
      <c r="AR14" s="784">
        <v>0.27171142999999998</v>
      </c>
      <c r="AS14" s="784">
        <v>0.22597698999999999</v>
      </c>
      <c r="AT14" s="784">
        <v>0.17776233</v>
      </c>
      <c r="AU14" s="784">
        <v>0.71739769999999992</v>
      </c>
      <c r="AV14" s="784">
        <v>0.64323420999999992</v>
      </c>
      <c r="AW14" s="784">
        <v>2.1314711800000001</v>
      </c>
      <c r="AX14" s="784">
        <v>2.0823724100000001</v>
      </c>
      <c r="AY14" s="784">
        <v>1.9746137099999999</v>
      </c>
      <c r="AZ14" s="784">
        <v>1.97565612</v>
      </c>
      <c r="BA14" s="784">
        <v>1.8584068</v>
      </c>
      <c r="BB14" s="784">
        <v>1.6786282299999997</v>
      </c>
      <c r="BC14" s="784">
        <v>1.5753026999999999</v>
      </c>
      <c r="BD14" s="784">
        <v>8.106130460000001</v>
      </c>
      <c r="BE14" s="784">
        <v>0.16636626000000002</v>
      </c>
      <c r="BF14" s="784">
        <v>0.11708536</v>
      </c>
      <c r="BG14" s="784">
        <v>0.32004645000000004</v>
      </c>
      <c r="BH14" s="827">
        <v>0.29585921999999998</v>
      </c>
      <c r="BI14" s="816">
        <v>0.48639188</v>
      </c>
      <c r="BJ14" s="816">
        <v>2.1503560500000001</v>
      </c>
      <c r="BK14" s="816">
        <v>2.7630819099999999</v>
      </c>
      <c r="BL14" s="816">
        <v>0.31837223000000003</v>
      </c>
      <c r="BM14" s="816">
        <v>0.20333888999999999</v>
      </c>
      <c r="BN14" s="816">
        <v>0.6787724100000001</v>
      </c>
      <c r="BO14" s="816">
        <v>0.66258715999999995</v>
      </c>
      <c r="BP14" s="816">
        <v>0.32717798000000003</v>
      </c>
      <c r="BQ14" s="816">
        <v>0.33957270999999994</v>
      </c>
      <c r="BR14" s="816">
        <v>0.26435327999999997</v>
      </c>
      <c r="BS14" s="816">
        <v>0.22467983</v>
      </c>
      <c r="BT14" s="816">
        <v>0.23786702999999998</v>
      </c>
      <c r="BU14" s="816">
        <v>19.977685779999998</v>
      </c>
      <c r="BV14" s="816">
        <v>0.48522019</v>
      </c>
      <c r="BW14" s="816">
        <v>0.47515215</v>
      </c>
      <c r="BX14" s="816">
        <v>0.49968954999999998</v>
      </c>
      <c r="BY14" s="816">
        <v>0.69937490000000002</v>
      </c>
      <c r="BZ14" s="816">
        <v>0.28276412999999995</v>
      </c>
      <c r="CA14" s="816">
        <v>0.41418199999999999</v>
      </c>
      <c r="CB14" s="816">
        <v>0.40737653000000001</v>
      </c>
      <c r="CC14" s="816">
        <v>0.41175471000000002</v>
      </c>
      <c r="CD14" s="816">
        <v>0.29879290999999997</v>
      </c>
      <c r="CE14" s="816">
        <v>2.0134930600000001</v>
      </c>
      <c r="CF14" s="816">
        <v>3.3967754100000001</v>
      </c>
      <c r="CG14" s="816">
        <v>0.14336361</v>
      </c>
      <c r="CH14" s="816">
        <v>0.39326959</v>
      </c>
      <c r="CI14" s="816">
        <v>0.37409959000000004</v>
      </c>
      <c r="CJ14" s="816">
        <v>0.78994218999999999</v>
      </c>
      <c r="CK14" s="816">
        <v>1.1140366799999999</v>
      </c>
      <c r="CL14" s="816">
        <v>0.50187667000000002</v>
      </c>
      <c r="CM14" s="816">
        <v>0.3212313</v>
      </c>
      <c r="CN14" s="816">
        <v>0.33090890000000001</v>
      </c>
      <c r="CO14" s="816">
        <v>0.37815460000000001</v>
      </c>
      <c r="CP14" s="816">
        <v>0.25926663999999999</v>
      </c>
      <c r="CQ14" s="816">
        <v>0.53626451000000008</v>
      </c>
      <c r="CR14" s="816">
        <v>0.61434560999999999</v>
      </c>
      <c r="CS14" s="816">
        <v>0.75184340000000005</v>
      </c>
      <c r="CT14" s="816">
        <v>1.0246679999999999</v>
      </c>
      <c r="CU14" s="816">
        <v>2.4499153300000001</v>
      </c>
      <c r="CV14" s="816">
        <v>3.1986954700000001</v>
      </c>
      <c r="CW14" s="816">
        <v>2.8694846200000002</v>
      </c>
      <c r="CX14" s="816">
        <v>7.51834442</v>
      </c>
      <c r="CY14" s="816">
        <v>4.7008598800000003</v>
      </c>
      <c r="CZ14" s="816">
        <v>5.3360558400000002</v>
      </c>
      <c r="DA14" s="816">
        <v>2.6319630300000001</v>
      </c>
      <c r="DB14" s="816">
        <v>3.2997145300000001</v>
      </c>
      <c r="DC14" s="816">
        <v>42.403330850000003</v>
      </c>
      <c r="DD14" s="816">
        <v>42.402950109999999</v>
      </c>
      <c r="DE14" s="816">
        <v>44.521829850000003</v>
      </c>
      <c r="DF14" s="816">
        <v>46.639314540000001</v>
      </c>
      <c r="DG14" s="816">
        <v>45.234396709999999</v>
      </c>
      <c r="DH14" s="816">
        <v>43.679613359999998</v>
      </c>
      <c r="DI14" s="816">
        <v>45.583866970000003</v>
      </c>
      <c r="DJ14" s="816">
        <v>44.762636539999995</v>
      </c>
      <c r="DK14" s="816">
        <v>43.473463250000002</v>
      </c>
      <c r="DL14" s="816">
        <v>44.330679629999999</v>
      </c>
      <c r="DM14" s="816">
        <v>38.177557749999998</v>
      </c>
      <c r="DN14" s="816">
        <v>34.4314106</v>
      </c>
      <c r="DO14" s="816">
        <v>29.182469900000001</v>
      </c>
      <c r="DP14" s="816">
        <v>27.811703250000001</v>
      </c>
      <c r="DQ14" s="816">
        <v>0.12651493</v>
      </c>
      <c r="DR14" s="816">
        <v>4.2684375899999996</v>
      </c>
      <c r="DS14" s="816">
        <v>4.31986413</v>
      </c>
      <c r="DT14" s="816">
        <v>4.3180392799999998</v>
      </c>
      <c r="DU14" s="816">
        <v>3.8348396999999999</v>
      </c>
      <c r="DV14" s="816">
        <v>3.37831489</v>
      </c>
      <c r="DW14" s="816">
        <v>3.3015791999999999</v>
      </c>
      <c r="DX14" s="816">
        <v>2.2355079500000001</v>
      </c>
      <c r="DY14" s="816">
        <v>2.2585728899999999</v>
      </c>
      <c r="DZ14" s="816">
        <v>2.5916023899999998</v>
      </c>
      <c r="EA14" s="816">
        <v>1.47954586</v>
      </c>
      <c r="EB14" s="816">
        <v>1.4498287700000001</v>
      </c>
      <c r="EC14" s="816">
        <v>1.3779375300000001</v>
      </c>
      <c r="ED14" s="816">
        <v>0.59342698000000005</v>
      </c>
      <c r="EE14" s="816">
        <v>0.33279955</v>
      </c>
      <c r="EF14" s="816">
        <v>0.26953853999999999</v>
      </c>
      <c r="EG14" s="816">
        <v>0.33860684000000002</v>
      </c>
      <c r="EH14" s="816">
        <v>0.48107171999999998</v>
      </c>
      <c r="EI14" s="816">
        <v>0.43068561</v>
      </c>
      <c r="EJ14" s="816">
        <v>0.38334380000000001</v>
      </c>
      <c r="EK14" s="816">
        <v>0.43366624999999998</v>
      </c>
      <c r="EL14" s="816">
        <v>0.48878717999999999</v>
      </c>
      <c r="EM14" s="816">
        <v>0.47661130000000002</v>
      </c>
      <c r="EN14" s="816">
        <v>0.41111818999999999</v>
      </c>
      <c r="EO14" s="816">
        <v>1.7261759299999999</v>
      </c>
      <c r="EP14" s="816">
        <v>0.35359638999999998</v>
      </c>
      <c r="EQ14" s="816">
        <v>0.43286951000000001</v>
      </c>
      <c r="ER14" s="816">
        <v>0.40880336</v>
      </c>
      <c r="ES14" s="816">
        <v>0.38450821000000002</v>
      </c>
      <c r="ET14" s="816">
        <v>0.40934471</v>
      </c>
      <c r="EU14" s="816">
        <v>0.41878025000000002</v>
      </c>
      <c r="EV14" s="816">
        <v>1.2427540000000001E-2</v>
      </c>
      <c r="EW14" s="816">
        <v>0.21108906999999999</v>
      </c>
      <c r="EX14" s="816">
        <v>0.33121426999999998</v>
      </c>
      <c r="EY14" s="816">
        <v>0.21728959</v>
      </c>
      <c r="EZ14" s="816">
        <v>0.21632723000000001</v>
      </c>
      <c r="FA14" s="816">
        <v>1.55894373</v>
      </c>
      <c r="FB14" s="816">
        <v>0.22797215000000001</v>
      </c>
      <c r="FC14" s="816">
        <v>0.22508716000000001</v>
      </c>
      <c r="FD14" s="816">
        <v>0.22222105</v>
      </c>
      <c r="FE14" s="816">
        <v>0.21921877000000001</v>
      </c>
      <c r="FF14" s="816">
        <v>0.22507696999999999</v>
      </c>
      <c r="FG14" s="816">
        <v>0.27244748000000002</v>
      </c>
      <c r="FH14" s="1712" t="s">
        <v>4067</v>
      </c>
    </row>
    <row r="15" spans="1:164" ht="21">
      <c r="A15" s="1723" t="s">
        <v>1962</v>
      </c>
      <c r="B15" s="792">
        <f>+B13-B14</f>
        <v>542.29163200000005</v>
      </c>
      <c r="C15" s="792">
        <f t="shared" ref="C15:V15" si="2">+C13-C14</f>
        <v>458.51870986999995</v>
      </c>
      <c r="D15" s="792">
        <f t="shared" si="2"/>
        <v>463.78055070000005</v>
      </c>
      <c r="E15" s="792">
        <f t="shared" si="2"/>
        <v>465.80552385000004</v>
      </c>
      <c r="F15" s="792">
        <f t="shared" si="2"/>
        <v>473.66097110000004</v>
      </c>
      <c r="G15" s="792">
        <f t="shared" si="2"/>
        <v>481.69875320000006</v>
      </c>
      <c r="H15" s="792">
        <f t="shared" si="2"/>
        <v>497.33783546999996</v>
      </c>
      <c r="I15" s="792">
        <f t="shared" si="2"/>
        <v>499.72132711999996</v>
      </c>
      <c r="J15" s="792">
        <f t="shared" si="2"/>
        <v>499.78201942999999</v>
      </c>
      <c r="K15" s="792">
        <f t="shared" si="2"/>
        <v>517.51684423999995</v>
      </c>
      <c r="L15" s="792">
        <f t="shared" si="2"/>
        <v>518.94270989999995</v>
      </c>
      <c r="M15" s="784">
        <f>+M13-M14</f>
        <v>470.68295888</v>
      </c>
      <c r="N15" s="784">
        <f t="shared" si="2"/>
        <v>464.70559531000004</v>
      </c>
      <c r="O15" s="784">
        <f t="shared" si="2"/>
        <v>487.54240768</v>
      </c>
      <c r="P15" s="784">
        <f t="shared" si="2"/>
        <v>506.69785514000006</v>
      </c>
      <c r="Q15" s="784">
        <f t="shared" si="2"/>
        <v>482.85547074999999</v>
      </c>
      <c r="R15" s="784">
        <f t="shared" si="2"/>
        <v>430.91107833000001</v>
      </c>
      <c r="S15" s="784">
        <f t="shared" si="2"/>
        <v>443.90143778000004</v>
      </c>
      <c r="T15" s="784">
        <f t="shared" si="2"/>
        <v>442.70461832000001</v>
      </c>
      <c r="U15" s="784">
        <f t="shared" si="2"/>
        <v>440.63098733999993</v>
      </c>
      <c r="V15" s="784">
        <f t="shared" si="2"/>
        <v>443.12727265000001</v>
      </c>
      <c r="W15" s="784">
        <v>454.07596101999997</v>
      </c>
      <c r="X15" s="784">
        <v>463.21708185</v>
      </c>
      <c r="Y15" s="784">
        <v>506.80783687000002</v>
      </c>
      <c r="Z15" s="784">
        <v>487.00483278000002</v>
      </c>
      <c r="AA15" s="784">
        <v>573.15181193000001</v>
      </c>
      <c r="AB15" s="784">
        <f>+AB13-AB14</f>
        <v>571.73076385000002</v>
      </c>
      <c r="AC15" s="784">
        <v>562.48576331000015</v>
      </c>
      <c r="AD15" s="784">
        <v>562.48576331000015</v>
      </c>
      <c r="AE15" s="784">
        <v>526.65040391000002</v>
      </c>
      <c r="AF15" s="784">
        <v>507.55604946999995</v>
      </c>
      <c r="AG15" s="784">
        <v>468.51790028000005</v>
      </c>
      <c r="AH15" s="784">
        <f>+AH13-AH14</f>
        <v>451.38602273999999</v>
      </c>
      <c r="AI15" s="784">
        <v>468.40333678999997</v>
      </c>
      <c r="AJ15" s="784">
        <f>+AJ13-AJ14</f>
        <v>461.1910709</v>
      </c>
      <c r="AK15" s="784">
        <f>+AK13-AK14</f>
        <v>582.78026919000001</v>
      </c>
      <c r="AL15" s="784">
        <v>541.93770760999996</v>
      </c>
      <c r="AM15" s="784">
        <f>+AM13-AM14</f>
        <v>527.51564914000005</v>
      </c>
      <c r="AN15" s="784">
        <f>+AN13-AN14</f>
        <v>520.18482901999994</v>
      </c>
      <c r="AO15" s="784">
        <f>+AO13-AO14</f>
        <v>461.34695836999998</v>
      </c>
      <c r="AP15" s="784">
        <v>470.12511033999999</v>
      </c>
      <c r="AQ15" s="784">
        <v>501.09238544000004</v>
      </c>
      <c r="AR15" s="784">
        <v>435.05967047000007</v>
      </c>
      <c r="AS15" s="784">
        <v>466.52661611000002</v>
      </c>
      <c r="AT15" s="784">
        <f>+AT13-AT14</f>
        <v>466.10181462000003</v>
      </c>
      <c r="AU15" s="784">
        <v>485.22215455999998</v>
      </c>
      <c r="AV15" s="784">
        <v>506.13694781999999</v>
      </c>
      <c r="AW15" s="784">
        <v>564.27799510000011</v>
      </c>
      <c r="AX15" s="784">
        <v>534.25638746000004</v>
      </c>
      <c r="AY15" s="784">
        <v>492.54153213000006</v>
      </c>
      <c r="AZ15" s="784">
        <v>536.30797519999999</v>
      </c>
      <c r="BA15" s="784">
        <v>542.05561774000012</v>
      </c>
      <c r="BB15" s="784">
        <v>532.25461235000012</v>
      </c>
      <c r="BC15" s="784">
        <v>482.16149424999998</v>
      </c>
      <c r="BD15" s="784">
        <f>+BD13-BD14</f>
        <v>419.44870632000004</v>
      </c>
      <c r="BE15" s="784">
        <v>389.35163210999997</v>
      </c>
      <c r="BF15" s="784">
        <v>473.74166244000008</v>
      </c>
      <c r="BG15" s="784">
        <v>416.04919917000001</v>
      </c>
      <c r="BH15" s="827">
        <v>401.43515005000006</v>
      </c>
      <c r="BI15" s="816">
        <v>347.73824799000005</v>
      </c>
      <c r="BJ15" s="816">
        <v>413.15093064000001</v>
      </c>
      <c r="BK15" s="816">
        <v>408.83376053000006</v>
      </c>
      <c r="BL15" s="816">
        <v>405.76254077999999</v>
      </c>
      <c r="BM15" s="816">
        <v>403.10142186000002</v>
      </c>
      <c r="BN15" s="816">
        <v>408.02598265</v>
      </c>
      <c r="BO15" s="816">
        <v>429.44739013999998</v>
      </c>
      <c r="BP15" s="816">
        <v>430.13954125000004</v>
      </c>
      <c r="BQ15" s="816">
        <v>428.41854117999998</v>
      </c>
      <c r="BR15" s="816">
        <v>467.06802320999998</v>
      </c>
      <c r="BS15" s="816">
        <v>477.41441049999997</v>
      </c>
      <c r="BT15" s="816">
        <v>510.35275208000002</v>
      </c>
      <c r="BU15" s="816">
        <v>551.7306304199999</v>
      </c>
      <c r="BV15" s="816">
        <v>481.69333247999998</v>
      </c>
      <c r="BW15" s="816">
        <v>482.08450567</v>
      </c>
      <c r="BX15" s="816">
        <v>482.54292227000002</v>
      </c>
      <c r="BY15" s="816">
        <v>477.62325231999995</v>
      </c>
      <c r="BZ15" s="816">
        <v>483.27392111</v>
      </c>
      <c r="CA15" s="816">
        <v>495.66004479000003</v>
      </c>
      <c r="CB15" s="816">
        <v>490.78138326999999</v>
      </c>
      <c r="CC15" s="816">
        <v>505.93561985999997</v>
      </c>
      <c r="CD15" s="816">
        <v>540.56919005999998</v>
      </c>
      <c r="CE15" s="816">
        <f t="shared" ref="CE15:CO15" si="3">+CE13-CE14</f>
        <v>556.91467910000006</v>
      </c>
      <c r="CF15" s="816">
        <f t="shared" si="3"/>
        <v>605.46982805999994</v>
      </c>
      <c r="CG15" s="816">
        <f t="shared" si="3"/>
        <v>601.54946490999998</v>
      </c>
      <c r="CH15" s="816">
        <f t="shared" si="3"/>
        <v>571.50103801</v>
      </c>
      <c r="CI15" s="816">
        <f t="shared" si="3"/>
        <v>639.70300992</v>
      </c>
      <c r="CJ15" s="816">
        <f t="shared" si="3"/>
        <v>644.68856855000001</v>
      </c>
      <c r="CK15" s="816">
        <f t="shared" si="3"/>
        <v>673.99266058000012</v>
      </c>
      <c r="CL15" s="816">
        <f t="shared" si="3"/>
        <v>679.68686737000007</v>
      </c>
      <c r="CM15" s="816">
        <f t="shared" si="3"/>
        <v>663.27010994</v>
      </c>
      <c r="CN15" s="816">
        <f t="shared" si="3"/>
        <v>675.17213326000001</v>
      </c>
      <c r="CO15" s="816">
        <f t="shared" si="3"/>
        <v>674.03859384999998</v>
      </c>
      <c r="CP15" s="816">
        <f>+CP13-CP14</f>
        <v>651.67175308000003</v>
      </c>
      <c r="CQ15" s="816">
        <f>+CQ13-CQ14</f>
        <v>640.34281133999991</v>
      </c>
      <c r="CR15" s="816">
        <f>+CR13-CR14</f>
        <v>674.84456134999994</v>
      </c>
      <c r="CS15" s="816">
        <v>652.29943053</v>
      </c>
      <c r="CT15" s="816">
        <v>663.65487711000003</v>
      </c>
      <c r="CU15" s="816">
        <v>701.86704114999998</v>
      </c>
      <c r="CV15" s="816">
        <v>688.59995077999997</v>
      </c>
      <c r="CW15" s="816">
        <v>705.29449189000002</v>
      </c>
      <c r="CX15" s="816">
        <v>711.41633635000005</v>
      </c>
      <c r="CY15" s="816">
        <v>719.73894631999997</v>
      </c>
      <c r="CZ15" s="816">
        <v>745.67333513999995</v>
      </c>
      <c r="DA15" s="816">
        <v>748.93830590000005</v>
      </c>
      <c r="DB15" s="816">
        <v>775.01675823999994</v>
      </c>
      <c r="DC15" s="816">
        <v>843.30206777000001</v>
      </c>
      <c r="DD15" s="816">
        <v>892.90074550999998</v>
      </c>
      <c r="DE15" s="816">
        <v>922.92938963999995</v>
      </c>
      <c r="DF15" s="816">
        <v>923.87677216999998</v>
      </c>
      <c r="DG15" s="816">
        <v>972.72809833999997</v>
      </c>
      <c r="DH15" s="816">
        <v>1000.42146177</v>
      </c>
      <c r="DI15" s="816">
        <v>1081.9521904200001</v>
      </c>
      <c r="DJ15" s="816">
        <v>1033.1317339700001</v>
      </c>
      <c r="DK15" s="816">
        <v>1046.74673029</v>
      </c>
      <c r="DL15" s="816">
        <v>1034.5319731100001</v>
      </c>
      <c r="DM15" s="816">
        <v>1059.04732775</v>
      </c>
      <c r="DN15" s="816">
        <v>1093.1869863300001</v>
      </c>
      <c r="DO15" s="816">
        <v>1098.3094311100001</v>
      </c>
      <c r="DP15" s="816">
        <v>1091.4436731000001</v>
      </c>
      <c r="DQ15" s="816">
        <v>1102.89657992</v>
      </c>
      <c r="DR15" s="816">
        <v>1069.63048847</v>
      </c>
      <c r="DS15" s="816">
        <v>1058.6979107</v>
      </c>
      <c r="DT15" s="816">
        <v>1048.4471142100001</v>
      </c>
      <c r="DU15" s="816">
        <v>1079.94590292</v>
      </c>
      <c r="DV15" s="816">
        <v>1092.2507340300001</v>
      </c>
      <c r="DW15" s="816">
        <v>1110.71126035</v>
      </c>
      <c r="DX15" s="816">
        <v>1062.91879799</v>
      </c>
      <c r="DY15" s="816">
        <v>1099.48545399</v>
      </c>
      <c r="DZ15" s="816">
        <v>1159.25905104</v>
      </c>
      <c r="EA15" s="816">
        <v>1165.0562491999999</v>
      </c>
      <c r="EB15" s="816">
        <v>1202.58102616</v>
      </c>
      <c r="EC15" s="816">
        <v>1194.9460883100001</v>
      </c>
      <c r="ED15" s="816">
        <v>1148.2944590499999</v>
      </c>
      <c r="EE15" s="816">
        <v>1139.6516261500001</v>
      </c>
      <c r="EF15" s="816">
        <v>1133.21018344</v>
      </c>
      <c r="EG15" s="816">
        <v>1141.92977531</v>
      </c>
      <c r="EH15" s="816">
        <v>1172.5785939899999</v>
      </c>
      <c r="EI15" s="816">
        <v>1138.89198188</v>
      </c>
      <c r="EJ15" s="816">
        <v>1164.6038783399999</v>
      </c>
      <c r="EK15" s="816">
        <v>1159.9426570200001</v>
      </c>
      <c r="EL15" s="816">
        <v>1258.70590354</v>
      </c>
      <c r="EM15" s="816">
        <v>1236.7439566400001</v>
      </c>
      <c r="EN15" s="816">
        <v>1270.2419579100001</v>
      </c>
      <c r="EO15" s="816">
        <v>1392.0217436800001</v>
      </c>
      <c r="EP15" s="816">
        <v>1387.4070269599999</v>
      </c>
      <c r="EQ15" s="816">
        <v>1444.6574876300001</v>
      </c>
      <c r="ER15" s="816">
        <v>1437.39077449</v>
      </c>
      <c r="ES15" s="816">
        <v>1419.2751416799999</v>
      </c>
      <c r="ET15" s="816">
        <v>1463.9339562099999</v>
      </c>
      <c r="EU15" s="816">
        <v>1440.1306056000001</v>
      </c>
      <c r="EV15" s="816">
        <v>1428.9800190399999</v>
      </c>
      <c r="EW15" s="816">
        <v>1464.1128763500001</v>
      </c>
      <c r="EX15" s="816">
        <v>1506.68446159</v>
      </c>
      <c r="EY15" s="816">
        <v>1522.83325629</v>
      </c>
      <c r="EZ15" s="816">
        <v>1529.7219539600001</v>
      </c>
      <c r="FA15" s="816">
        <v>1586.74040868</v>
      </c>
      <c r="FB15" s="816">
        <v>1513.81726088</v>
      </c>
      <c r="FC15" s="816">
        <v>1571.6352121499999</v>
      </c>
      <c r="FD15" s="816">
        <v>1619.3844711700001</v>
      </c>
      <c r="FE15" s="816">
        <v>1640.41697819</v>
      </c>
      <c r="FF15" s="816">
        <v>1808.8157311299999</v>
      </c>
      <c r="FG15" s="816">
        <v>1795.9979466</v>
      </c>
      <c r="FH15" s="1712" t="s">
        <v>4066</v>
      </c>
    </row>
    <row r="16" spans="1:164" ht="21">
      <c r="A16" s="1720"/>
      <c r="B16" s="791"/>
      <c r="C16" s="791"/>
      <c r="D16" s="791"/>
      <c r="E16" s="791"/>
      <c r="F16" s="791"/>
      <c r="G16" s="791"/>
      <c r="H16" s="791"/>
      <c r="I16" s="791"/>
      <c r="J16" s="791"/>
      <c r="K16" s="791"/>
      <c r="L16" s="791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781"/>
      <c r="AA16" s="781"/>
      <c r="AB16" s="781"/>
      <c r="AC16" s="781"/>
      <c r="AD16" s="781"/>
      <c r="AE16" s="781"/>
      <c r="AF16" s="781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  <c r="AT16" s="781"/>
      <c r="AU16" s="781"/>
      <c r="AV16" s="781"/>
      <c r="AW16" s="781"/>
      <c r="AX16" s="781"/>
      <c r="AY16" s="781"/>
      <c r="AZ16" s="781"/>
      <c r="BA16" s="781"/>
      <c r="BB16" s="781"/>
      <c r="BC16" s="781"/>
      <c r="BD16" s="781"/>
      <c r="BE16" s="781"/>
      <c r="BF16" s="781"/>
      <c r="BG16" s="781"/>
      <c r="BH16" s="826"/>
      <c r="BI16" s="815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7"/>
      <c r="CN16" s="817"/>
      <c r="CO16" s="817"/>
      <c r="CP16" s="817"/>
      <c r="CQ16" s="817"/>
      <c r="CR16" s="817"/>
      <c r="CS16" s="817"/>
      <c r="CT16" s="817"/>
      <c r="CU16" s="817"/>
      <c r="CV16" s="817"/>
      <c r="CW16" s="817"/>
      <c r="CX16" s="817"/>
      <c r="CY16" s="817"/>
      <c r="CZ16" s="817"/>
      <c r="DA16" s="817"/>
      <c r="DB16" s="817"/>
      <c r="DC16" s="817"/>
      <c r="DD16" s="817"/>
      <c r="DE16" s="817"/>
      <c r="DF16" s="817"/>
      <c r="DG16" s="817"/>
      <c r="DH16" s="817"/>
      <c r="DI16" s="817"/>
      <c r="DJ16" s="817"/>
      <c r="DK16" s="817"/>
      <c r="DL16" s="817"/>
      <c r="DM16" s="817"/>
      <c r="DN16" s="817"/>
      <c r="DO16" s="817"/>
      <c r="DP16" s="817"/>
      <c r="DQ16" s="817"/>
      <c r="DR16" s="817"/>
      <c r="DS16" s="817"/>
      <c r="DT16" s="817"/>
      <c r="DU16" s="817"/>
      <c r="DV16" s="817"/>
      <c r="DW16" s="817"/>
      <c r="DX16" s="817"/>
      <c r="DY16" s="817"/>
      <c r="DZ16" s="817"/>
      <c r="EA16" s="817"/>
      <c r="EB16" s="817"/>
      <c r="EC16" s="817"/>
      <c r="ED16" s="817"/>
      <c r="EE16" s="817"/>
      <c r="EF16" s="817"/>
      <c r="EG16" s="817"/>
      <c r="EH16" s="817"/>
      <c r="EI16" s="817"/>
      <c r="EJ16" s="817"/>
      <c r="EK16" s="817"/>
      <c r="EL16" s="817"/>
      <c r="EM16" s="817"/>
      <c r="EN16" s="817"/>
      <c r="EO16" s="817"/>
      <c r="EP16" s="817"/>
      <c r="EQ16" s="817"/>
      <c r="ER16" s="817"/>
      <c r="ES16" s="817"/>
      <c r="ET16" s="817"/>
      <c r="EU16" s="817"/>
      <c r="EV16" s="817"/>
      <c r="EW16" s="817"/>
      <c r="EX16" s="817"/>
      <c r="EY16" s="817"/>
      <c r="EZ16" s="817"/>
      <c r="FA16" s="817"/>
      <c r="FB16" s="817"/>
      <c r="FC16" s="817"/>
      <c r="FD16" s="817"/>
      <c r="FE16" s="817"/>
      <c r="FF16" s="817"/>
      <c r="FG16" s="817"/>
      <c r="FH16" s="1713"/>
    </row>
    <row r="17" spans="1:164" ht="21">
      <c r="A17" s="1744" t="s">
        <v>185</v>
      </c>
      <c r="B17" s="792">
        <v>360.45105895</v>
      </c>
      <c r="C17" s="792">
        <v>318.24233717999994</v>
      </c>
      <c r="D17" s="792">
        <v>313.43647246</v>
      </c>
      <c r="E17" s="792">
        <v>321.85083830999997</v>
      </c>
      <c r="F17" s="792">
        <v>334.12885825000001</v>
      </c>
      <c r="G17" s="792">
        <v>339.79430869000004</v>
      </c>
      <c r="H17" s="792">
        <v>361.71528766</v>
      </c>
      <c r="I17" s="792">
        <v>366.94614264000001</v>
      </c>
      <c r="J17" s="792">
        <v>358.76903904</v>
      </c>
      <c r="K17" s="792">
        <v>365.45385947999995</v>
      </c>
      <c r="L17" s="792">
        <v>364.07256399000005</v>
      </c>
      <c r="M17" s="781">
        <v>330.06307307999998</v>
      </c>
      <c r="N17" s="784">
        <v>316.35718559999998</v>
      </c>
      <c r="O17" s="784">
        <v>336.98047983999999</v>
      </c>
      <c r="P17" s="784">
        <v>344.98320585000005</v>
      </c>
      <c r="Q17" s="784">
        <v>322.91731682</v>
      </c>
      <c r="R17" s="784">
        <v>264.36694292999999</v>
      </c>
      <c r="S17" s="784">
        <v>274.35295033000006</v>
      </c>
      <c r="T17" s="784">
        <v>270.74685861000006</v>
      </c>
      <c r="U17" s="784">
        <v>269.53188184999999</v>
      </c>
      <c r="V17" s="784">
        <v>279.76783842000003</v>
      </c>
      <c r="W17" s="784">
        <v>281.97814194</v>
      </c>
      <c r="X17" s="784">
        <v>293.53989395000002</v>
      </c>
      <c r="Y17" s="781">
        <v>324.57534614000002</v>
      </c>
      <c r="Z17" s="784">
        <v>324.57534614000002</v>
      </c>
      <c r="AA17" s="784">
        <v>305.508174</v>
      </c>
      <c r="AB17" s="781">
        <v>304.52716656000001</v>
      </c>
      <c r="AC17" s="781">
        <v>287.61634137000004</v>
      </c>
      <c r="AD17" s="781">
        <v>255.97855405999999</v>
      </c>
      <c r="AE17" s="781">
        <v>246.47158616000002</v>
      </c>
      <c r="AF17" s="781">
        <v>237.40004367</v>
      </c>
      <c r="AG17" s="781">
        <v>237.86356160000003</v>
      </c>
      <c r="AH17" s="781">
        <v>203.50431107</v>
      </c>
      <c r="AI17" s="781">
        <v>242.72090075</v>
      </c>
      <c r="AJ17" s="781">
        <v>202.07795525</v>
      </c>
      <c r="AK17" s="781">
        <v>184.02105592000001</v>
      </c>
      <c r="AL17" s="781">
        <v>159.40219552000002</v>
      </c>
      <c r="AM17" s="781">
        <v>160.21408177000001</v>
      </c>
      <c r="AN17" s="781">
        <v>140.60697213999998</v>
      </c>
      <c r="AO17" s="781">
        <v>128.49288503</v>
      </c>
      <c r="AP17" s="781">
        <v>130.34616259000001</v>
      </c>
      <c r="AQ17" s="781">
        <v>138.47085386000003</v>
      </c>
      <c r="AR17" s="781">
        <v>167.38797790000001</v>
      </c>
      <c r="AS17" s="781">
        <v>182.07254061</v>
      </c>
      <c r="AT17" s="781">
        <v>185.56536626000002</v>
      </c>
      <c r="AU17" s="781">
        <v>190.90417069</v>
      </c>
      <c r="AV17" s="781">
        <v>193.89083522000001</v>
      </c>
      <c r="AW17" s="781">
        <v>237.55405096000001</v>
      </c>
      <c r="AX17" s="781">
        <v>219.55976458000001</v>
      </c>
      <c r="AY17" s="781">
        <v>214.63326011000001</v>
      </c>
      <c r="AZ17" s="781">
        <v>248.24516326</v>
      </c>
      <c r="BA17" s="781">
        <v>253.49772682000003</v>
      </c>
      <c r="BB17" s="781">
        <v>255.56670777000002</v>
      </c>
      <c r="BC17" s="781">
        <v>234.99510544000003</v>
      </c>
      <c r="BD17" s="781">
        <v>155.45955909000003</v>
      </c>
      <c r="BE17" s="781">
        <v>149.00460891</v>
      </c>
      <c r="BF17" s="781">
        <v>153.77621406</v>
      </c>
      <c r="BG17" s="781">
        <v>158.63819907000001</v>
      </c>
      <c r="BH17" s="826">
        <v>139.16558626000003</v>
      </c>
      <c r="BI17" s="815">
        <v>133.14141452000001</v>
      </c>
      <c r="BJ17" s="815">
        <v>157.83559736000001</v>
      </c>
      <c r="BK17" s="815">
        <v>167.30818128999999</v>
      </c>
      <c r="BL17" s="815">
        <v>164.62750359</v>
      </c>
      <c r="BM17" s="815">
        <v>160.60483623000002</v>
      </c>
      <c r="BN17" s="815">
        <v>166.34017061000003</v>
      </c>
      <c r="BO17" s="815">
        <v>178.54988994999999</v>
      </c>
      <c r="BP17" s="815">
        <v>174.38570898</v>
      </c>
      <c r="BQ17" s="815">
        <v>182.85013850000001</v>
      </c>
      <c r="BR17" s="815">
        <v>180.84660663999998</v>
      </c>
      <c r="BS17" s="815">
        <v>183.08964907000001</v>
      </c>
      <c r="BT17" s="815">
        <v>213.45002787000001</v>
      </c>
      <c r="BU17" s="815">
        <v>263.06649168000001</v>
      </c>
      <c r="BV17" s="815">
        <v>235.82993969</v>
      </c>
      <c r="BW17" s="815">
        <v>239.37729684000001</v>
      </c>
      <c r="BX17" s="815">
        <v>228.21902999000002</v>
      </c>
      <c r="BY17" s="815">
        <v>222.96469893</v>
      </c>
      <c r="BZ17" s="815">
        <v>230.34543789</v>
      </c>
      <c r="CA17" s="815">
        <v>248.29188327</v>
      </c>
      <c r="CB17" s="815">
        <v>250.23764731</v>
      </c>
      <c r="CC17" s="815">
        <v>275.1613433</v>
      </c>
      <c r="CD17" s="815">
        <v>284.31871843000005</v>
      </c>
      <c r="CE17" s="815">
        <v>298.47361185</v>
      </c>
      <c r="CF17" s="815">
        <v>329.35263246</v>
      </c>
      <c r="CG17" s="815">
        <v>336.04326756</v>
      </c>
      <c r="CH17" s="815">
        <v>317.42122813999998</v>
      </c>
      <c r="CI17" s="815">
        <v>365.36718913000004</v>
      </c>
      <c r="CJ17" s="815">
        <v>402.64771755999999</v>
      </c>
      <c r="CK17" s="815">
        <v>442.10030165000006</v>
      </c>
      <c r="CL17" s="815">
        <v>477.45576204000002</v>
      </c>
      <c r="CM17" s="815">
        <v>468.29573277000003</v>
      </c>
      <c r="CN17" s="815">
        <v>485.50756532000003</v>
      </c>
      <c r="CO17" s="815">
        <v>485.92494305999998</v>
      </c>
      <c r="CP17" s="815">
        <v>460.13635391999998</v>
      </c>
      <c r="CQ17" s="815">
        <v>447.90406089999993</v>
      </c>
      <c r="CR17" s="815">
        <v>479.89091425999993</v>
      </c>
      <c r="CS17" s="815">
        <v>471.31668482000003</v>
      </c>
      <c r="CT17" s="815">
        <v>490.27216124</v>
      </c>
      <c r="CU17" s="815">
        <v>519.11666673000002</v>
      </c>
      <c r="CV17" s="815">
        <v>502.20995213999998</v>
      </c>
      <c r="CW17" s="815">
        <v>506.78810271999998</v>
      </c>
      <c r="CX17" s="815">
        <v>508.20650544</v>
      </c>
      <c r="CY17" s="815">
        <v>500.25022797999998</v>
      </c>
      <c r="CZ17" s="815">
        <v>510.37582484000001</v>
      </c>
      <c r="DA17" s="815">
        <v>491.40866926000001</v>
      </c>
      <c r="DB17" s="815">
        <v>486.02634595000001</v>
      </c>
      <c r="DC17" s="815">
        <v>517.46571122</v>
      </c>
      <c r="DD17" s="815">
        <v>550.48439597000004</v>
      </c>
      <c r="DE17" s="815">
        <v>566.48155052000004</v>
      </c>
      <c r="DF17" s="815">
        <v>538.77258428000005</v>
      </c>
      <c r="DG17" s="815">
        <v>580.18168495999998</v>
      </c>
      <c r="DH17" s="815">
        <v>594.67004765000001</v>
      </c>
      <c r="DI17" s="815">
        <v>675.64715052999998</v>
      </c>
      <c r="DJ17" s="815">
        <v>620.91431474000001</v>
      </c>
      <c r="DK17" s="815">
        <v>627.85407011999996</v>
      </c>
      <c r="DL17" s="815">
        <v>633.92985876</v>
      </c>
      <c r="DM17" s="815">
        <v>646.27646086000004</v>
      </c>
      <c r="DN17" s="815">
        <v>676.63606945000004</v>
      </c>
      <c r="DO17" s="815">
        <v>690.33925867999994</v>
      </c>
      <c r="DP17" s="815">
        <v>699.07398133000004</v>
      </c>
      <c r="DQ17" s="815">
        <v>734.98486840999999</v>
      </c>
      <c r="DR17" s="815">
        <v>715.38807298999996</v>
      </c>
      <c r="DS17" s="815">
        <v>702.93222160000005</v>
      </c>
      <c r="DT17" s="815">
        <v>710.93280763999996</v>
      </c>
      <c r="DU17" s="815">
        <v>735.26582646999998</v>
      </c>
      <c r="DV17" s="815">
        <v>744.78299484000001</v>
      </c>
      <c r="DW17" s="815">
        <v>752.10293591000004</v>
      </c>
      <c r="DX17" s="815">
        <v>738.53002537999998</v>
      </c>
      <c r="DY17" s="815">
        <v>758.34435919999999</v>
      </c>
      <c r="DZ17" s="815">
        <v>796.45914569000001</v>
      </c>
      <c r="EA17" s="815">
        <v>791.48623136000003</v>
      </c>
      <c r="EB17" s="815">
        <v>819.31239854</v>
      </c>
      <c r="EC17" s="815">
        <v>823.44251924000002</v>
      </c>
      <c r="ED17" s="815">
        <v>785.56919701000004</v>
      </c>
      <c r="EE17" s="815">
        <v>788.97981824999999</v>
      </c>
      <c r="EF17" s="815">
        <v>781.00819674000002</v>
      </c>
      <c r="EG17" s="815">
        <v>795.87121032000005</v>
      </c>
      <c r="EH17" s="815">
        <v>824.25679371000001</v>
      </c>
      <c r="EI17" s="815">
        <v>792.08020101</v>
      </c>
      <c r="EJ17" s="815">
        <v>804.99283928</v>
      </c>
      <c r="EK17" s="815">
        <v>800.57546720000005</v>
      </c>
      <c r="EL17" s="815">
        <v>886.96783688000005</v>
      </c>
      <c r="EM17" s="815">
        <v>892.00167574</v>
      </c>
      <c r="EN17" s="815">
        <v>914.21535891999997</v>
      </c>
      <c r="EO17" s="815">
        <v>1011.79597525</v>
      </c>
      <c r="EP17" s="815">
        <v>1012.60860421</v>
      </c>
      <c r="EQ17" s="815">
        <v>1043.29979039</v>
      </c>
      <c r="ER17" s="815">
        <v>1051.8744439300001</v>
      </c>
      <c r="ES17" s="815">
        <v>1044.87418637</v>
      </c>
      <c r="ET17" s="815">
        <v>1109.1018322299999</v>
      </c>
      <c r="EU17" s="815">
        <v>1092.86587336</v>
      </c>
      <c r="EV17" s="815">
        <v>1072.9697698499999</v>
      </c>
      <c r="EW17" s="815">
        <v>1097.37551549</v>
      </c>
      <c r="EX17" s="815">
        <v>1128.6896103199999</v>
      </c>
      <c r="EY17" s="815">
        <v>1147.4585482</v>
      </c>
      <c r="EZ17" s="815">
        <v>1145.56590876</v>
      </c>
      <c r="FA17" s="815">
        <v>1212.1849167</v>
      </c>
      <c r="FB17" s="815">
        <v>1107.92928491</v>
      </c>
      <c r="FC17" s="815">
        <v>1142.0740801100001</v>
      </c>
      <c r="FD17" s="815">
        <v>1177.7436781399999</v>
      </c>
      <c r="FE17" s="815">
        <v>1198.49848172</v>
      </c>
      <c r="FF17" s="815">
        <v>1233.8809072399999</v>
      </c>
      <c r="FG17" s="815">
        <v>1197.8969808300001</v>
      </c>
      <c r="FH17" s="1714" t="s">
        <v>206</v>
      </c>
    </row>
    <row r="18" spans="1:164" ht="21">
      <c r="A18" s="1745" t="s">
        <v>1961</v>
      </c>
      <c r="B18" s="791">
        <v>2.68189615</v>
      </c>
      <c r="C18" s="791">
        <v>2.63905915</v>
      </c>
      <c r="D18" s="791">
        <v>2.4680260000000001</v>
      </c>
      <c r="E18" s="791">
        <v>2.5342519999999999</v>
      </c>
      <c r="F18" s="791">
        <v>2.3572949100000002</v>
      </c>
      <c r="G18" s="791">
        <v>2.39434814</v>
      </c>
      <c r="H18" s="791">
        <v>2.21869454</v>
      </c>
      <c r="I18" s="791">
        <v>2.2175730099999997</v>
      </c>
      <c r="J18" s="791">
        <v>2.1327968099999999</v>
      </c>
      <c r="K18" s="791">
        <v>0.15235691000000001</v>
      </c>
      <c r="L18" s="791">
        <v>0.29234622999999998</v>
      </c>
      <c r="M18" s="784">
        <v>2.1634501200000003</v>
      </c>
      <c r="N18" s="781">
        <v>2.1362026600000004</v>
      </c>
      <c r="O18" s="781">
        <v>2.3648737299999998</v>
      </c>
      <c r="P18" s="781">
        <v>5.0940708700000004</v>
      </c>
      <c r="Q18" s="781">
        <v>6.8845715300000005</v>
      </c>
      <c r="R18" s="781">
        <v>2.0787792600000001</v>
      </c>
      <c r="S18" s="781">
        <v>2.06074666</v>
      </c>
      <c r="T18" s="781">
        <v>7.6648350000000004E-2</v>
      </c>
      <c r="U18" s="781">
        <v>5.512247E-2</v>
      </c>
      <c r="V18" s="781">
        <v>4.9718999999999999E-2</v>
      </c>
      <c r="W18" s="781">
        <v>4.4072029999999998E-2</v>
      </c>
      <c r="X18" s="781">
        <v>0.35506119000000003</v>
      </c>
      <c r="Y18" s="784">
        <v>0.23989473</v>
      </c>
      <c r="Z18" s="781">
        <v>0.23989473</v>
      </c>
      <c r="AA18" s="781">
        <v>0.79525460999999997</v>
      </c>
      <c r="AB18" s="784">
        <v>0.82855666000000006</v>
      </c>
      <c r="AC18" s="784">
        <v>0.80240469999999997</v>
      </c>
      <c r="AD18" s="784">
        <v>0.67687842000000009</v>
      </c>
      <c r="AE18" s="784">
        <v>0.6689949300000001</v>
      </c>
      <c r="AF18" s="784">
        <v>0.65812754000000007</v>
      </c>
      <c r="AG18" s="784">
        <v>0.65335885999999999</v>
      </c>
      <c r="AH18" s="784">
        <v>0.65129349999999997</v>
      </c>
      <c r="AI18" s="784">
        <v>0.92715848999999995</v>
      </c>
      <c r="AJ18" s="784">
        <v>0.92354548999999997</v>
      </c>
      <c r="AK18" s="784">
        <v>0.52880282999999995</v>
      </c>
      <c r="AL18" s="784">
        <v>0.39843284999999995</v>
      </c>
      <c r="AM18" s="784">
        <v>0.39511707000000001</v>
      </c>
      <c r="AN18" s="784">
        <v>0.29604895000000003</v>
      </c>
      <c r="AO18" s="784">
        <v>0.25150086999999999</v>
      </c>
      <c r="AP18" s="784">
        <v>0.25302477000000001</v>
      </c>
      <c r="AQ18" s="784">
        <v>0.31974582000000001</v>
      </c>
      <c r="AR18" s="784">
        <v>0.27171142999999998</v>
      </c>
      <c r="AS18" s="784">
        <v>0.22597698999999999</v>
      </c>
      <c r="AT18" s="784">
        <v>0.17776233</v>
      </c>
      <c r="AU18" s="784">
        <v>0.71739769999999992</v>
      </c>
      <c r="AV18" s="784">
        <v>0.64323420999999992</v>
      </c>
      <c r="AW18" s="784">
        <v>2.1314711800000001</v>
      </c>
      <c r="AX18" s="784">
        <v>2.0823724100000001</v>
      </c>
      <c r="AY18" s="784">
        <v>1.9746137099999999</v>
      </c>
      <c r="AZ18" s="784">
        <v>1.97565612</v>
      </c>
      <c r="BA18" s="784">
        <v>1.8584068</v>
      </c>
      <c r="BB18" s="784">
        <v>1.6786282299999997</v>
      </c>
      <c r="BC18" s="784">
        <v>1.5753026999999999</v>
      </c>
      <c r="BD18" s="784">
        <v>0.20477506000000001</v>
      </c>
      <c r="BE18" s="784">
        <v>0.16636626000000002</v>
      </c>
      <c r="BF18" s="784">
        <v>0.11708536</v>
      </c>
      <c r="BG18" s="784">
        <v>0.32004645000000004</v>
      </c>
      <c r="BH18" s="827">
        <v>0.29585921999999998</v>
      </c>
      <c r="BI18" s="816">
        <v>0.48638323</v>
      </c>
      <c r="BJ18" s="816">
        <v>0.45024704999999998</v>
      </c>
      <c r="BK18" s="816">
        <v>0.38293305999999999</v>
      </c>
      <c r="BL18" s="816">
        <v>0.31836331000000001</v>
      </c>
      <c r="BM18" s="816">
        <v>0.20333010999999998</v>
      </c>
      <c r="BN18" s="816">
        <v>0.33927396000000004</v>
      </c>
      <c r="BO18" s="816">
        <v>0.32308872</v>
      </c>
      <c r="BP18" s="816">
        <v>0.32716949000000001</v>
      </c>
      <c r="BQ18" s="816">
        <v>0.33956424999999996</v>
      </c>
      <c r="BR18" s="816">
        <v>0.26434484999999996</v>
      </c>
      <c r="BS18" s="816">
        <v>0.22467161999999999</v>
      </c>
      <c r="BT18" s="816">
        <v>0.23785877999999999</v>
      </c>
      <c r="BU18" s="816">
        <v>18.474877489999997</v>
      </c>
      <c r="BV18" s="816">
        <v>0.48521154999999999</v>
      </c>
      <c r="BW18" s="816">
        <v>0.47514391</v>
      </c>
      <c r="BX18" s="816">
        <v>0.49967707</v>
      </c>
      <c r="BY18" s="816">
        <v>0.69936680000000007</v>
      </c>
      <c r="BZ18" s="816">
        <v>0.28275606999999997</v>
      </c>
      <c r="CA18" s="816">
        <v>0.41417377</v>
      </c>
      <c r="CB18" s="816">
        <v>0.40736844999999999</v>
      </c>
      <c r="CC18" s="816">
        <v>0.41174671000000002</v>
      </c>
      <c r="CD18" s="816">
        <v>0.29878485999999999</v>
      </c>
      <c r="CE18" s="816">
        <v>0.51238484000000006</v>
      </c>
      <c r="CF18" s="816">
        <v>0.62058140000000006</v>
      </c>
      <c r="CG18" s="816">
        <v>0.14326959</v>
      </c>
      <c r="CH18" s="816">
        <v>0.39326959</v>
      </c>
      <c r="CI18" s="816">
        <v>0.37409959000000004</v>
      </c>
      <c r="CJ18" s="816">
        <v>0.78994218999999999</v>
      </c>
      <c r="CK18" s="816">
        <v>1.1140366799999999</v>
      </c>
      <c r="CL18" s="816">
        <v>0.50187667000000002</v>
      </c>
      <c r="CM18" s="816">
        <v>0.3212313</v>
      </c>
      <c r="CN18" s="816">
        <v>0.33090890000000001</v>
      </c>
      <c r="CO18" s="816">
        <v>0.37815460000000001</v>
      </c>
      <c r="CP18" s="816">
        <v>0.25926663999999999</v>
      </c>
      <c r="CQ18" s="816">
        <v>0.53626451000000008</v>
      </c>
      <c r="CR18" s="816">
        <v>0.61434560999999999</v>
      </c>
      <c r="CS18" s="816">
        <v>0.75184340000000005</v>
      </c>
      <c r="CT18" s="816">
        <v>1.0246679999999999</v>
      </c>
      <c r="CU18" s="816">
        <v>2.4499153300000001</v>
      </c>
      <c r="CV18" s="816">
        <v>3.1986954700000001</v>
      </c>
      <c r="CW18" s="816">
        <v>2.8694846200000002</v>
      </c>
      <c r="CX18" s="816">
        <v>7.51834442</v>
      </c>
      <c r="CY18" s="816">
        <v>4.7008598800000003</v>
      </c>
      <c r="CZ18" s="816">
        <v>5.3360558400000002</v>
      </c>
      <c r="DA18" s="816">
        <v>2.6319630300000001</v>
      </c>
      <c r="DB18" s="816">
        <v>1.6285136899999999</v>
      </c>
      <c r="DC18" s="816">
        <v>1.6033249000000001</v>
      </c>
      <c r="DD18" s="816">
        <v>1.60294435</v>
      </c>
      <c r="DE18" s="816">
        <v>3.7218240699999998</v>
      </c>
      <c r="DF18" s="816">
        <v>5.8393088500000001</v>
      </c>
      <c r="DG18" s="816">
        <v>4.4343910199999996</v>
      </c>
      <c r="DH18" s="816">
        <v>2.87960767</v>
      </c>
      <c r="DI18" s="816">
        <v>4.7838615999999998</v>
      </c>
      <c r="DJ18" s="816">
        <v>3.9626365400000001</v>
      </c>
      <c r="DK18" s="816">
        <v>2.6734632500000002</v>
      </c>
      <c r="DL18" s="816">
        <v>3.5306796299999998</v>
      </c>
      <c r="DM18" s="816">
        <v>1.7323910899999999</v>
      </c>
      <c r="DN18" s="816">
        <v>2.3864106</v>
      </c>
      <c r="DO18" s="816">
        <v>1.5149699000000001</v>
      </c>
      <c r="DP18" s="816">
        <v>0.14420325000000001</v>
      </c>
      <c r="DQ18" s="816">
        <v>0.12651493</v>
      </c>
      <c r="DR18" s="816">
        <v>1.843759E-2</v>
      </c>
      <c r="DS18" s="816">
        <v>6.9864129999999997E-2</v>
      </c>
      <c r="DT18" s="816">
        <v>6.8039279999999994E-2</v>
      </c>
      <c r="DU18" s="816">
        <v>0.1161857</v>
      </c>
      <c r="DV18" s="816">
        <v>0.11431489</v>
      </c>
      <c r="DW18" s="816">
        <v>0.11407920000000001</v>
      </c>
      <c r="DX18" s="816">
        <v>0.11050794999999999</v>
      </c>
      <c r="DY18" s="816">
        <v>0.13357289</v>
      </c>
      <c r="DZ18" s="816">
        <v>0.12660239000000001</v>
      </c>
      <c r="EA18" s="816">
        <v>0.10461086999999999</v>
      </c>
      <c r="EB18" s="816">
        <v>0.1025966</v>
      </c>
      <c r="EC18" s="816">
        <v>5.85467E-2</v>
      </c>
      <c r="ED18" s="816">
        <v>8.8275530000000005E-2</v>
      </c>
      <c r="EE18" s="816">
        <v>0.13200000000000001</v>
      </c>
      <c r="EF18" s="816">
        <v>9.7000000000000003E-2</v>
      </c>
      <c r="EG18" s="816">
        <v>0.19441309000000001</v>
      </c>
      <c r="EH18" s="816">
        <v>0.19547007</v>
      </c>
      <c r="EI18" s="816">
        <v>0.17377097</v>
      </c>
      <c r="EJ18" s="816">
        <v>0.16888629999999999</v>
      </c>
      <c r="EK18" s="816">
        <v>0.26197897999999997</v>
      </c>
      <c r="EL18" s="816">
        <v>0.36005210999999998</v>
      </c>
      <c r="EM18" s="816">
        <v>0.36185204999999998</v>
      </c>
      <c r="EN18" s="816">
        <v>0.31039528</v>
      </c>
      <c r="EO18" s="816">
        <v>1.6395561000000001</v>
      </c>
      <c r="EP18" s="816">
        <v>0.28117072999999998</v>
      </c>
      <c r="EQ18" s="816">
        <v>0.37474478</v>
      </c>
      <c r="ER18" s="816">
        <v>0.36506894000000001</v>
      </c>
      <c r="ES18" s="816">
        <v>0.35527226000000001</v>
      </c>
      <c r="ET18" s="816">
        <v>0.40934471</v>
      </c>
      <c r="EU18" s="816">
        <v>0.41878025000000002</v>
      </c>
      <c r="EV18" s="816">
        <v>1.2427540000000001E-2</v>
      </c>
      <c r="EW18" s="816">
        <v>0.21108906999999999</v>
      </c>
      <c r="EX18" s="816">
        <v>0.33121426999999998</v>
      </c>
      <c r="EY18" s="816">
        <v>0.21728959</v>
      </c>
      <c r="EZ18" s="816">
        <v>0.21632723000000001</v>
      </c>
      <c r="FA18" s="816">
        <v>1.55894373</v>
      </c>
      <c r="FB18" s="816">
        <v>0.22797215000000001</v>
      </c>
      <c r="FC18" s="816">
        <v>0.22508716000000001</v>
      </c>
      <c r="FD18" s="816">
        <v>0.22222105</v>
      </c>
      <c r="FE18" s="816">
        <v>0.21921877000000001</v>
      </c>
      <c r="FF18" s="816">
        <v>0.22507696999999999</v>
      </c>
      <c r="FG18" s="816">
        <v>0.27244748000000002</v>
      </c>
      <c r="FH18" s="1716" t="s">
        <v>4067</v>
      </c>
    </row>
    <row r="19" spans="1:164" ht="21">
      <c r="A19" s="1745" t="s">
        <v>1962</v>
      </c>
      <c r="B19" s="792">
        <f>+B17-B18</f>
        <v>357.7691628</v>
      </c>
      <c r="C19" s="792">
        <f t="shared" ref="C19:V19" si="4">+C17-C18</f>
        <v>315.60327802999996</v>
      </c>
      <c r="D19" s="792">
        <f t="shared" si="4"/>
        <v>310.96844646</v>
      </c>
      <c r="E19" s="792">
        <f t="shared" si="4"/>
        <v>319.31658630999999</v>
      </c>
      <c r="F19" s="792">
        <f t="shared" si="4"/>
        <v>331.77156334</v>
      </c>
      <c r="G19" s="792">
        <f t="shared" si="4"/>
        <v>337.39996055000006</v>
      </c>
      <c r="H19" s="792">
        <f t="shared" si="4"/>
        <v>359.49659312</v>
      </c>
      <c r="I19" s="792">
        <f t="shared" si="4"/>
        <v>364.72856962999998</v>
      </c>
      <c r="J19" s="792">
        <f t="shared" si="4"/>
        <v>356.63624222999999</v>
      </c>
      <c r="K19" s="792">
        <f t="shared" si="4"/>
        <v>365.30150256999997</v>
      </c>
      <c r="L19" s="792">
        <f t="shared" si="4"/>
        <v>363.78021776000003</v>
      </c>
      <c r="M19" s="784">
        <f>+M17-M18</f>
        <v>327.89962295999999</v>
      </c>
      <c r="N19" s="784">
        <f t="shared" si="4"/>
        <v>314.22098294</v>
      </c>
      <c r="O19" s="784">
        <f t="shared" si="4"/>
        <v>334.61560610999999</v>
      </c>
      <c r="P19" s="784">
        <f t="shared" si="4"/>
        <v>339.88913498000005</v>
      </c>
      <c r="Q19" s="784">
        <f t="shared" si="4"/>
        <v>316.03274528999998</v>
      </c>
      <c r="R19" s="784">
        <f t="shared" si="4"/>
        <v>262.28816367000002</v>
      </c>
      <c r="S19" s="784">
        <f t="shared" si="4"/>
        <v>272.29220367000005</v>
      </c>
      <c r="T19" s="784">
        <f t="shared" si="4"/>
        <v>270.67021026000003</v>
      </c>
      <c r="U19" s="784">
        <f t="shared" si="4"/>
        <v>269.47675937999998</v>
      </c>
      <c r="V19" s="784">
        <f t="shared" si="4"/>
        <v>279.71811942000005</v>
      </c>
      <c r="W19" s="784">
        <v>281.93406991000001</v>
      </c>
      <c r="X19" s="784">
        <v>293.18483276000001</v>
      </c>
      <c r="Y19" s="784">
        <v>324.33545141000002</v>
      </c>
      <c r="Z19" s="784">
        <v>324.33545141000002</v>
      </c>
      <c r="AA19" s="784">
        <v>304.71291939000002</v>
      </c>
      <c r="AB19" s="784">
        <f>+AB17-AB18</f>
        <v>303.69860990000001</v>
      </c>
      <c r="AC19" s="784">
        <v>286.81393667000003</v>
      </c>
      <c r="AD19" s="784">
        <v>255.30167563999998</v>
      </c>
      <c r="AE19" s="784">
        <v>245.80259123000002</v>
      </c>
      <c r="AF19" s="784">
        <v>236.74191612999999</v>
      </c>
      <c r="AG19" s="784">
        <v>237.21020274000003</v>
      </c>
      <c r="AH19" s="784">
        <f>+AH17-AH18</f>
        <v>202.85301756999999</v>
      </c>
      <c r="AI19" s="784">
        <v>241.79374225999999</v>
      </c>
      <c r="AJ19" s="784">
        <f>+AJ17-AJ18</f>
        <v>201.15440975999999</v>
      </c>
      <c r="AK19" s="784">
        <f>+AK17-AK18</f>
        <v>183.49225309000002</v>
      </c>
      <c r="AL19" s="784">
        <v>159.00376267000001</v>
      </c>
      <c r="AM19" s="784">
        <f>+AM17-AM18</f>
        <v>159.81896470000001</v>
      </c>
      <c r="AN19" s="784">
        <f>+AN17-AN18</f>
        <v>140.31092318999998</v>
      </c>
      <c r="AO19" s="784">
        <f>+AO17-AO18</f>
        <v>128.24138416</v>
      </c>
      <c r="AP19" s="784">
        <v>130.09313782000001</v>
      </c>
      <c r="AQ19" s="784">
        <v>138.15110804000003</v>
      </c>
      <c r="AR19" s="784">
        <v>167.11626647</v>
      </c>
      <c r="AS19" s="784">
        <v>181.84656362000001</v>
      </c>
      <c r="AT19" s="784">
        <f>+AT17-AT18</f>
        <v>185.38760393000001</v>
      </c>
      <c r="AU19" s="784">
        <v>190.18677299000001</v>
      </c>
      <c r="AV19" s="784">
        <v>193.24760101000001</v>
      </c>
      <c r="AW19" s="784">
        <v>235.42257978000001</v>
      </c>
      <c r="AX19" s="784">
        <v>217.47739217</v>
      </c>
      <c r="AY19" s="784">
        <v>212.65864640000001</v>
      </c>
      <c r="AZ19" s="784">
        <v>246.26950714</v>
      </c>
      <c r="BA19" s="784">
        <v>251.63932002000001</v>
      </c>
      <c r="BB19" s="784">
        <v>253.88807954000004</v>
      </c>
      <c r="BC19" s="784">
        <v>233.41980274000002</v>
      </c>
      <c r="BD19" s="784">
        <f>+BD17-BD18</f>
        <v>155.25478403000002</v>
      </c>
      <c r="BE19" s="784">
        <v>148.83824265000001</v>
      </c>
      <c r="BF19" s="784">
        <v>153.6591287</v>
      </c>
      <c r="BG19" s="784">
        <v>158.31815262000001</v>
      </c>
      <c r="BH19" s="827">
        <v>138.86972704000001</v>
      </c>
      <c r="BI19" s="816">
        <v>132.65503129000001</v>
      </c>
      <c r="BJ19" s="816">
        <v>157.38535031000001</v>
      </c>
      <c r="BK19" s="816">
        <v>166.92524822999999</v>
      </c>
      <c r="BL19" s="816">
        <v>164.30914028000001</v>
      </c>
      <c r="BM19" s="816">
        <v>160.40150612000002</v>
      </c>
      <c r="BN19" s="816">
        <v>166.00089665000002</v>
      </c>
      <c r="BO19" s="816">
        <v>166.00089665000002</v>
      </c>
      <c r="BP19" s="816">
        <v>166.00089665000002</v>
      </c>
      <c r="BQ19" s="816">
        <v>166.00089665000002</v>
      </c>
      <c r="BR19" s="816">
        <v>166.00089665000002</v>
      </c>
      <c r="BS19" s="816">
        <v>166.00089665000002</v>
      </c>
      <c r="BT19" s="816">
        <v>166.00089665000002</v>
      </c>
      <c r="BU19" s="816">
        <v>166.00089665000002</v>
      </c>
      <c r="BV19" s="816">
        <v>166.00089665000002</v>
      </c>
      <c r="BW19" s="816">
        <v>166.00089665000002</v>
      </c>
      <c r="BX19" s="816">
        <v>166.00089665000002</v>
      </c>
      <c r="BY19" s="816">
        <v>166.00089665000002</v>
      </c>
      <c r="BZ19" s="816">
        <v>166.00089665000002</v>
      </c>
      <c r="CA19" s="816">
        <v>166.00089665000002</v>
      </c>
      <c r="CB19" s="816">
        <v>166.00089665000002</v>
      </c>
      <c r="CC19" s="816">
        <v>166.00089665000002</v>
      </c>
      <c r="CD19" s="816">
        <f t="shared" ref="CD19:CO19" si="5">+CD17-CD18</f>
        <v>284.01993357000003</v>
      </c>
      <c r="CE19" s="816">
        <f t="shared" si="5"/>
        <v>297.96122701000002</v>
      </c>
      <c r="CF19" s="816">
        <f t="shared" si="5"/>
        <v>328.73205106</v>
      </c>
      <c r="CG19" s="816">
        <f t="shared" si="5"/>
        <v>335.89999797000002</v>
      </c>
      <c r="CH19" s="816">
        <f t="shared" si="5"/>
        <v>317.02795854999999</v>
      </c>
      <c r="CI19" s="816">
        <f t="shared" si="5"/>
        <v>364.99308954000003</v>
      </c>
      <c r="CJ19" s="816">
        <f t="shared" si="5"/>
        <v>401.85777537000001</v>
      </c>
      <c r="CK19" s="816">
        <f t="shared" si="5"/>
        <v>440.98626497000004</v>
      </c>
      <c r="CL19" s="816">
        <f t="shared" si="5"/>
        <v>476.95388537000002</v>
      </c>
      <c r="CM19" s="816">
        <f t="shared" si="5"/>
        <v>467.97450147000001</v>
      </c>
      <c r="CN19" s="816">
        <f t="shared" si="5"/>
        <v>485.17665642000003</v>
      </c>
      <c r="CO19" s="816">
        <f t="shared" si="5"/>
        <v>485.54678845999996</v>
      </c>
      <c r="CP19" s="816">
        <f>+CP17-CP18</f>
        <v>459.87708727999996</v>
      </c>
      <c r="CQ19" s="816">
        <f>+CQ17-CQ18</f>
        <v>447.36779638999991</v>
      </c>
      <c r="CR19" s="816">
        <f>+CR17-CR18</f>
        <v>479.27656864999994</v>
      </c>
      <c r="CS19" s="816">
        <v>470.56484142000005</v>
      </c>
      <c r="CT19" s="816">
        <v>489.24749323999998</v>
      </c>
      <c r="CU19" s="816">
        <v>516.66675139999995</v>
      </c>
      <c r="CV19" s="816">
        <v>499.01125667000002</v>
      </c>
      <c r="CW19" s="816">
        <v>503.9186181</v>
      </c>
      <c r="CX19" s="816">
        <v>500.68816102</v>
      </c>
      <c r="CY19" s="816">
        <v>495.54936809999998</v>
      </c>
      <c r="CZ19" s="816">
        <v>505.03976899999998</v>
      </c>
      <c r="DA19" s="816">
        <v>488.77670623</v>
      </c>
      <c r="DB19" s="816">
        <v>484.39783225999997</v>
      </c>
      <c r="DC19" s="816">
        <v>515.86238632000004</v>
      </c>
      <c r="DD19" s="816">
        <v>548.88145162000001</v>
      </c>
      <c r="DE19" s="816">
        <v>562.75972645000002</v>
      </c>
      <c r="DF19" s="816">
        <v>532.93327542999998</v>
      </c>
      <c r="DG19" s="816">
        <v>575.74729393999996</v>
      </c>
      <c r="DH19" s="816">
        <v>591.79043997999997</v>
      </c>
      <c r="DI19" s="816">
        <v>670.86328892999995</v>
      </c>
      <c r="DJ19" s="816">
        <v>616.95167820000006</v>
      </c>
      <c r="DK19" s="816">
        <v>625.18060687000002</v>
      </c>
      <c r="DL19" s="816">
        <v>630.39917912999999</v>
      </c>
      <c r="DM19" s="816">
        <v>644.54406976999996</v>
      </c>
      <c r="DN19" s="816">
        <v>674.24965884999995</v>
      </c>
      <c r="DO19" s="816">
        <v>688.82428877999996</v>
      </c>
      <c r="DP19" s="816">
        <v>698.92977808000001</v>
      </c>
      <c r="DQ19" s="816">
        <v>734.85835348000001</v>
      </c>
      <c r="DR19" s="816">
        <v>715.36963539999999</v>
      </c>
      <c r="DS19" s="816">
        <v>702.86235747000001</v>
      </c>
      <c r="DT19" s="816">
        <v>710.86476835999997</v>
      </c>
      <c r="DU19" s="816">
        <v>735.14964077000002</v>
      </c>
      <c r="DV19" s="816">
        <v>744.66867994999996</v>
      </c>
      <c r="DW19" s="816">
        <v>751.98885671000005</v>
      </c>
      <c r="DX19" s="816">
        <v>738.41951743000004</v>
      </c>
      <c r="DY19" s="816">
        <v>758.21078631</v>
      </c>
      <c r="DZ19" s="816">
        <v>796.3325433</v>
      </c>
      <c r="EA19" s="816">
        <v>791.38162049000005</v>
      </c>
      <c r="EB19" s="816">
        <v>819.20980194000003</v>
      </c>
      <c r="EC19" s="816">
        <v>823.38397253999995</v>
      </c>
      <c r="ED19" s="816">
        <v>785.48092148000001</v>
      </c>
      <c r="EE19" s="816">
        <v>788.84781825000005</v>
      </c>
      <c r="EF19" s="816">
        <v>780.91119674000004</v>
      </c>
      <c r="EG19" s="816">
        <v>795.67679723000003</v>
      </c>
      <c r="EH19" s="816">
        <v>824.06132363999996</v>
      </c>
      <c r="EI19" s="816">
        <v>791.90643004000003</v>
      </c>
      <c r="EJ19" s="816">
        <v>804.82395297999994</v>
      </c>
      <c r="EK19" s="816">
        <v>800.31348821999995</v>
      </c>
      <c r="EL19" s="816">
        <v>886.60778476999997</v>
      </c>
      <c r="EM19" s="816">
        <v>891.63982368999996</v>
      </c>
      <c r="EN19" s="816">
        <v>913.90496364000001</v>
      </c>
      <c r="EO19" s="816">
        <v>1010.15641915</v>
      </c>
      <c r="EP19" s="816">
        <v>1012.32743348</v>
      </c>
      <c r="EQ19" s="816">
        <v>1042.9250456100001</v>
      </c>
      <c r="ER19" s="816">
        <v>1051.50937499</v>
      </c>
      <c r="ES19" s="816">
        <v>1044.51891411</v>
      </c>
      <c r="ET19" s="816">
        <v>1108.69248752</v>
      </c>
      <c r="EU19" s="816">
        <v>1092.44709311</v>
      </c>
      <c r="EV19" s="816">
        <v>1072.9573423100001</v>
      </c>
      <c r="EW19" s="816">
        <v>1097.1644264199999</v>
      </c>
      <c r="EX19" s="816">
        <v>1128.35839605</v>
      </c>
      <c r="EY19" s="816">
        <v>1147.2412586099999</v>
      </c>
      <c r="EZ19" s="816">
        <v>1145.34958153</v>
      </c>
      <c r="FA19" s="816">
        <v>1210.62597297</v>
      </c>
      <c r="FB19" s="816">
        <v>1107.7013127600001</v>
      </c>
      <c r="FC19" s="816">
        <v>1141.8489929499999</v>
      </c>
      <c r="FD19" s="816">
        <v>1177.52145709</v>
      </c>
      <c r="FE19" s="816">
        <v>1198.27926295</v>
      </c>
      <c r="FF19" s="816">
        <v>1233.65583027</v>
      </c>
      <c r="FG19" s="816">
        <v>1197.6245333500001</v>
      </c>
      <c r="FH19" s="1716" t="s">
        <v>4066</v>
      </c>
    </row>
    <row r="20" spans="1:164" ht="21">
      <c r="A20" s="1744"/>
      <c r="B20" s="791"/>
      <c r="C20" s="791"/>
      <c r="D20" s="791"/>
      <c r="E20" s="791"/>
      <c r="F20" s="791"/>
      <c r="G20" s="791"/>
      <c r="H20" s="791"/>
      <c r="I20" s="791"/>
      <c r="J20" s="791"/>
      <c r="K20" s="791"/>
      <c r="L20" s="791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  <c r="AD20" s="781"/>
      <c r="AE20" s="781"/>
      <c r="AF20" s="781"/>
      <c r="AG20" s="781"/>
      <c r="AH20" s="781"/>
      <c r="AI20" s="781"/>
      <c r="AJ20" s="781"/>
      <c r="AK20" s="781"/>
      <c r="AL20" s="781"/>
      <c r="AM20" s="781"/>
      <c r="AN20" s="781"/>
      <c r="AO20" s="781"/>
      <c r="AP20" s="781"/>
      <c r="AQ20" s="781"/>
      <c r="AR20" s="781"/>
      <c r="AS20" s="781"/>
      <c r="AT20" s="781"/>
      <c r="AU20" s="781"/>
      <c r="AV20" s="781"/>
      <c r="AW20" s="781"/>
      <c r="AX20" s="781"/>
      <c r="AY20" s="781"/>
      <c r="AZ20" s="781"/>
      <c r="BA20" s="781"/>
      <c r="BB20" s="781"/>
      <c r="BC20" s="781"/>
      <c r="BD20" s="781"/>
      <c r="BE20" s="781"/>
      <c r="BF20" s="781"/>
      <c r="BG20" s="781"/>
      <c r="BH20" s="826"/>
      <c r="BI20" s="815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7"/>
      <c r="CN20" s="817"/>
      <c r="CO20" s="817"/>
      <c r="CP20" s="817"/>
      <c r="CQ20" s="817"/>
      <c r="CR20" s="817"/>
      <c r="CS20" s="817"/>
      <c r="CT20" s="817"/>
      <c r="CU20" s="817"/>
      <c r="CV20" s="817"/>
      <c r="CW20" s="817"/>
      <c r="CX20" s="817"/>
      <c r="CY20" s="817"/>
      <c r="CZ20" s="817"/>
      <c r="DA20" s="817"/>
      <c r="DB20" s="817"/>
      <c r="DC20" s="817"/>
      <c r="DD20" s="817"/>
      <c r="DE20" s="817"/>
      <c r="DF20" s="817"/>
      <c r="DG20" s="817"/>
      <c r="DH20" s="817"/>
      <c r="DI20" s="817"/>
      <c r="DJ20" s="817"/>
      <c r="DK20" s="817"/>
      <c r="DL20" s="817"/>
      <c r="DM20" s="817"/>
      <c r="DN20" s="817"/>
      <c r="DO20" s="817"/>
      <c r="DP20" s="817"/>
      <c r="DQ20" s="817"/>
      <c r="DR20" s="817"/>
      <c r="DS20" s="817"/>
      <c r="DT20" s="817"/>
      <c r="DU20" s="817"/>
      <c r="DV20" s="817"/>
      <c r="DW20" s="817"/>
      <c r="DX20" s="817"/>
      <c r="DY20" s="817"/>
      <c r="DZ20" s="817"/>
      <c r="EA20" s="817"/>
      <c r="EB20" s="817"/>
      <c r="EC20" s="817"/>
      <c r="ED20" s="817"/>
      <c r="EE20" s="817"/>
      <c r="EF20" s="817"/>
      <c r="EG20" s="817"/>
      <c r="EH20" s="817"/>
      <c r="EI20" s="817"/>
      <c r="EJ20" s="817"/>
      <c r="EK20" s="817"/>
      <c r="EL20" s="817"/>
      <c r="EM20" s="817"/>
      <c r="EN20" s="817"/>
      <c r="EO20" s="817"/>
      <c r="EP20" s="817"/>
      <c r="EQ20" s="817"/>
      <c r="ER20" s="817"/>
      <c r="ES20" s="817"/>
      <c r="ET20" s="817"/>
      <c r="EU20" s="817"/>
      <c r="EV20" s="817"/>
      <c r="EW20" s="817"/>
      <c r="EX20" s="817"/>
      <c r="EY20" s="817"/>
      <c r="EZ20" s="817"/>
      <c r="FA20" s="817"/>
      <c r="FB20" s="817"/>
      <c r="FC20" s="817"/>
      <c r="FD20" s="817"/>
      <c r="FE20" s="817"/>
      <c r="FF20" s="817"/>
      <c r="FG20" s="817"/>
      <c r="FH20" s="1714"/>
    </row>
    <row r="21" spans="1:164" ht="21">
      <c r="A21" s="1744" t="s">
        <v>2742</v>
      </c>
      <c r="B21" s="792">
        <v>187.34831491000003</v>
      </c>
      <c r="C21" s="792">
        <v>142.91543184</v>
      </c>
      <c r="D21" s="792">
        <v>152.81210424000002</v>
      </c>
      <c r="E21" s="792">
        <v>146.48893754000002</v>
      </c>
      <c r="F21" s="792">
        <v>141.88940776000001</v>
      </c>
      <c r="G21" s="792">
        <v>144.29879265</v>
      </c>
      <c r="H21" s="792">
        <v>137.84124234999999</v>
      </c>
      <c r="I21" s="792">
        <v>134.99275749</v>
      </c>
      <c r="J21" s="792">
        <v>143.1457772</v>
      </c>
      <c r="K21" s="792">
        <v>152.21534166999999</v>
      </c>
      <c r="L21" s="792">
        <v>155.16249213999998</v>
      </c>
      <c r="M21" s="781">
        <v>142.78333591999998</v>
      </c>
      <c r="N21" s="784">
        <v>150.48461237000001</v>
      </c>
      <c r="O21" s="784">
        <v>152.92680157000001</v>
      </c>
      <c r="P21" s="784">
        <v>166.80872016000001</v>
      </c>
      <c r="Q21" s="784">
        <v>166.82272545999999</v>
      </c>
      <c r="R21" s="784">
        <v>168.62291465999999</v>
      </c>
      <c r="S21" s="784">
        <v>171.60923410999999</v>
      </c>
      <c r="T21" s="784">
        <v>172.03440806</v>
      </c>
      <c r="U21" s="784">
        <v>171.15422795999999</v>
      </c>
      <c r="V21" s="784">
        <v>163.40915322999999</v>
      </c>
      <c r="W21" s="784">
        <v>172.14189110999999</v>
      </c>
      <c r="X21" s="784">
        <v>170.03224908999999</v>
      </c>
      <c r="Y21" s="781">
        <v>182.47238546</v>
      </c>
      <c r="Z21" s="784">
        <v>162.66938137</v>
      </c>
      <c r="AA21" s="784">
        <v>268.43889254000004</v>
      </c>
      <c r="AB21" s="781">
        <v>268.03215395000001</v>
      </c>
      <c r="AC21" s="781">
        <v>275.67720538000003</v>
      </c>
      <c r="AD21" s="781">
        <v>272.44533132000004</v>
      </c>
      <c r="AE21" s="781">
        <v>280.84781268</v>
      </c>
      <c r="AF21" s="781">
        <v>270.81413333999996</v>
      </c>
      <c r="AG21" s="781">
        <v>231.30769754000002</v>
      </c>
      <c r="AH21" s="781">
        <v>248.53300517000002</v>
      </c>
      <c r="AI21" s="781">
        <v>226.60959452999998</v>
      </c>
      <c r="AJ21" s="781">
        <v>260.04165433999998</v>
      </c>
      <c r="AK21" s="781">
        <v>399.76324325000002</v>
      </c>
      <c r="AL21" s="781">
        <v>383.00237914000002</v>
      </c>
      <c r="AM21" s="781">
        <v>367.76360957000003</v>
      </c>
      <c r="AN21" s="781">
        <v>379.98609360999995</v>
      </c>
      <c r="AO21" s="781">
        <v>333.17000701000001</v>
      </c>
      <c r="AP21" s="781">
        <v>340.03197252000001</v>
      </c>
      <c r="AQ21" s="781">
        <v>362.94127739999999</v>
      </c>
      <c r="AR21" s="781">
        <v>267.94340400000004</v>
      </c>
      <c r="AS21" s="781">
        <v>284.68005249000004</v>
      </c>
      <c r="AT21" s="781">
        <f>AT13-AT17</f>
        <v>280.71421069000002</v>
      </c>
      <c r="AU21" s="781">
        <v>295.03538156999997</v>
      </c>
      <c r="AV21" s="781">
        <v>312.88934681000001</v>
      </c>
      <c r="AW21" s="781">
        <v>328.85541532000002</v>
      </c>
      <c r="AX21" s="781">
        <v>316.77899529000001</v>
      </c>
      <c r="AY21" s="781">
        <v>279.88288573</v>
      </c>
      <c r="AZ21" s="781">
        <v>290.03846806000001</v>
      </c>
      <c r="BA21" s="781">
        <v>290.41629772000005</v>
      </c>
      <c r="BB21" s="781">
        <v>278.36653281000002</v>
      </c>
      <c r="BC21" s="781">
        <v>248.74169150999998</v>
      </c>
      <c r="BD21" s="781">
        <v>272.09527768999999</v>
      </c>
      <c r="BE21" s="781">
        <v>240.51338946000001</v>
      </c>
      <c r="BF21" s="781">
        <v>320.08253374000003</v>
      </c>
      <c r="BG21" s="781">
        <v>257.73104654999997</v>
      </c>
      <c r="BH21" s="826">
        <v>262.56542301000002</v>
      </c>
      <c r="BI21" s="815">
        <v>215.08322535000002</v>
      </c>
      <c r="BJ21" s="815">
        <v>257.46568933000003</v>
      </c>
      <c r="BK21" s="815">
        <v>244.28866115000005</v>
      </c>
      <c r="BL21" s="815">
        <v>241.45340942000001</v>
      </c>
      <c r="BM21" s="815">
        <v>242.69992452</v>
      </c>
      <c r="BN21" s="815">
        <v>242.36458445</v>
      </c>
      <c r="BO21" s="815">
        <v>251.56008734999998</v>
      </c>
      <c r="BP21" s="815">
        <v>256.08101025000002</v>
      </c>
      <c r="BQ21" s="815">
        <v>245.90797538999999</v>
      </c>
      <c r="BR21" s="815">
        <v>286.48576985</v>
      </c>
      <c r="BS21" s="815">
        <v>294.54944125999998</v>
      </c>
      <c r="BT21" s="815">
        <v>297.14059124000005</v>
      </c>
      <c r="BU21" s="815">
        <v>308.64182451999989</v>
      </c>
      <c r="BV21" s="815">
        <v>246.34861297999998</v>
      </c>
      <c r="BW21" s="815">
        <v>243.18236097999997</v>
      </c>
      <c r="BX21" s="815">
        <v>254.82358183000002</v>
      </c>
      <c r="BY21" s="815">
        <v>255.35792828999996</v>
      </c>
      <c r="BZ21" s="815">
        <v>253.21124734999998</v>
      </c>
      <c r="CA21" s="815">
        <v>247.78234352000001</v>
      </c>
      <c r="CB21" s="815">
        <v>240.95111249000001</v>
      </c>
      <c r="CC21" s="815">
        <v>231.18603127</v>
      </c>
      <c r="CD21" s="815">
        <v>256.54926453999997</v>
      </c>
      <c r="CE21" s="815">
        <v>260.45456031000003</v>
      </c>
      <c r="CF21" s="815">
        <v>279.51397100999998</v>
      </c>
      <c r="CG21" s="815">
        <v>265.64956096000003</v>
      </c>
      <c r="CH21" s="815">
        <v>254.47307946000001</v>
      </c>
      <c r="CI21" s="815">
        <v>274.70992037999997</v>
      </c>
      <c r="CJ21" s="815">
        <v>242.83079318</v>
      </c>
      <c r="CK21" s="815">
        <v>233.00639561000003</v>
      </c>
      <c r="CL21" s="815">
        <v>202.73298199999999</v>
      </c>
      <c r="CM21" s="815">
        <v>195.29560846999999</v>
      </c>
      <c r="CN21" s="815">
        <v>189.99547684000001</v>
      </c>
      <c r="CO21" s="815">
        <v>188.49180539</v>
      </c>
      <c r="CP21" s="815">
        <v>191.79466580000002</v>
      </c>
      <c r="CQ21" s="815">
        <v>192.97501495</v>
      </c>
      <c r="CR21" s="815">
        <v>195.56799269999999</v>
      </c>
      <c r="CS21" s="815">
        <v>181.73458911</v>
      </c>
      <c r="CT21" s="815">
        <v>174.40738386999999</v>
      </c>
      <c r="CU21" s="815">
        <v>185.20028975</v>
      </c>
      <c r="CV21" s="815">
        <v>189.58869411000001</v>
      </c>
      <c r="CW21" s="815">
        <v>201.37587379000001</v>
      </c>
      <c r="CX21" s="815">
        <v>210.72817533</v>
      </c>
      <c r="CY21" s="815">
        <v>224.18957821999999</v>
      </c>
      <c r="CZ21" s="815">
        <v>240.63356614</v>
      </c>
      <c r="DA21" s="815">
        <v>260.16159966999999</v>
      </c>
      <c r="DB21" s="815">
        <v>292.29012682000001</v>
      </c>
      <c r="DC21" s="815">
        <v>368.23968739999998</v>
      </c>
      <c r="DD21" s="815">
        <v>384.81929965</v>
      </c>
      <c r="DE21" s="815">
        <v>400.96966896999999</v>
      </c>
      <c r="DF21" s="815">
        <v>431.74350242999998</v>
      </c>
      <c r="DG21" s="815">
        <v>437.78081008999999</v>
      </c>
      <c r="DH21" s="815">
        <v>449.43102748000001</v>
      </c>
      <c r="DI21" s="815">
        <v>451.88890686000002</v>
      </c>
      <c r="DJ21" s="815">
        <v>456.98005577000004</v>
      </c>
      <c r="DK21" s="815">
        <v>462.36612342000001</v>
      </c>
      <c r="DL21" s="815">
        <v>444.93279397999999</v>
      </c>
      <c r="DM21" s="815">
        <v>450.94842463999998</v>
      </c>
      <c r="DN21" s="815">
        <v>450.98232747999998</v>
      </c>
      <c r="DO21" s="815">
        <v>437.15264232999999</v>
      </c>
      <c r="DP21" s="815">
        <v>420.18139502000002</v>
      </c>
      <c r="DQ21" s="815">
        <v>368.03822644000002</v>
      </c>
      <c r="DR21" s="815">
        <v>358.51085307</v>
      </c>
      <c r="DS21" s="815">
        <v>360.08555323000002</v>
      </c>
      <c r="DT21" s="815">
        <v>341.83234585000002</v>
      </c>
      <c r="DU21" s="815">
        <v>348.51491614999998</v>
      </c>
      <c r="DV21" s="815">
        <v>350.84605407999999</v>
      </c>
      <c r="DW21" s="815">
        <v>361.90990363999998</v>
      </c>
      <c r="DX21" s="815">
        <v>326.62428055999999</v>
      </c>
      <c r="DY21" s="815">
        <v>343.39966767999999</v>
      </c>
      <c r="DZ21" s="815">
        <v>365.39150774000001</v>
      </c>
      <c r="EA21" s="815">
        <v>375.04956370000002</v>
      </c>
      <c r="EB21" s="815">
        <v>384.71845638999997</v>
      </c>
      <c r="EC21" s="815">
        <v>372.88150660000002</v>
      </c>
      <c r="ED21" s="815">
        <v>363.31868902000002</v>
      </c>
      <c r="EE21" s="815">
        <v>351.00460744999998</v>
      </c>
      <c r="EF21" s="815">
        <v>352.47152524000001</v>
      </c>
      <c r="EG21" s="815">
        <v>346.39717182999999</v>
      </c>
      <c r="EH21" s="815">
        <v>348.80287199999998</v>
      </c>
      <c r="EI21" s="815">
        <v>347.24246648000002</v>
      </c>
      <c r="EJ21" s="815">
        <v>359.99438285999997</v>
      </c>
      <c r="EK21" s="815">
        <v>359.80085607000001</v>
      </c>
      <c r="EL21" s="815">
        <v>372.22685383999999</v>
      </c>
      <c r="EM21" s="815">
        <v>345.21889220000003</v>
      </c>
      <c r="EN21" s="815">
        <v>356.43771717999999</v>
      </c>
      <c r="EO21" s="815">
        <v>381.95194436000003</v>
      </c>
      <c r="EP21" s="815">
        <v>375.15201913999999</v>
      </c>
      <c r="EQ21" s="815">
        <v>401.79056674999998</v>
      </c>
      <c r="ER21" s="815">
        <v>385.92513392000001</v>
      </c>
      <c r="ES21" s="815">
        <v>374.78546352000001</v>
      </c>
      <c r="ET21" s="815">
        <v>355.24146868999998</v>
      </c>
      <c r="EU21" s="815">
        <v>347.68351249</v>
      </c>
      <c r="EV21" s="815">
        <v>356.02267673</v>
      </c>
      <c r="EW21" s="815">
        <v>366.94844992999998</v>
      </c>
      <c r="EX21" s="815">
        <v>378.32606554</v>
      </c>
      <c r="EY21" s="815">
        <v>375.59199768000002</v>
      </c>
      <c r="EZ21" s="815">
        <v>384.37237242999998</v>
      </c>
      <c r="FA21" s="815">
        <v>376.11443571000001</v>
      </c>
      <c r="FB21" s="815">
        <v>406.11594811999998</v>
      </c>
      <c r="FC21" s="815">
        <v>429.78621920000001</v>
      </c>
      <c r="FD21" s="815">
        <v>441.86301408000003</v>
      </c>
      <c r="FE21" s="815">
        <v>442.13771523999998</v>
      </c>
      <c r="FF21" s="815">
        <v>575.15990085999999</v>
      </c>
      <c r="FG21" s="815">
        <v>598.37341325</v>
      </c>
      <c r="FH21" s="1714" t="s">
        <v>4068</v>
      </c>
    </row>
    <row r="22" spans="1:164" ht="21">
      <c r="A22" s="1745" t="s">
        <v>1961</v>
      </c>
      <c r="B22" s="792">
        <v>2.8258457099999998</v>
      </c>
      <c r="C22" s="792">
        <v>0</v>
      </c>
      <c r="D22" s="792">
        <v>0</v>
      </c>
      <c r="E22" s="792">
        <v>0</v>
      </c>
      <c r="F22" s="792">
        <v>0</v>
      </c>
      <c r="G22" s="792">
        <v>0</v>
      </c>
      <c r="H22" s="792">
        <v>0</v>
      </c>
      <c r="I22" s="792">
        <v>0</v>
      </c>
      <c r="J22" s="792">
        <v>0</v>
      </c>
      <c r="K22" s="792">
        <v>0</v>
      </c>
      <c r="L22" s="792">
        <v>0</v>
      </c>
      <c r="M22" s="784">
        <v>0</v>
      </c>
      <c r="N22" s="784">
        <v>0</v>
      </c>
      <c r="O22" s="784">
        <v>0</v>
      </c>
      <c r="P22" s="784">
        <v>0</v>
      </c>
      <c r="Q22" s="784">
        <v>0</v>
      </c>
      <c r="R22" s="784">
        <v>0</v>
      </c>
      <c r="S22" s="784">
        <v>0</v>
      </c>
      <c r="T22" s="784">
        <v>0</v>
      </c>
      <c r="U22" s="784">
        <v>0</v>
      </c>
      <c r="V22" s="784">
        <v>0</v>
      </c>
      <c r="W22" s="784">
        <v>0</v>
      </c>
      <c r="X22" s="784">
        <v>0</v>
      </c>
      <c r="Y22" s="784">
        <v>0</v>
      </c>
      <c r="Z22" s="784">
        <v>0</v>
      </c>
      <c r="AA22" s="784">
        <v>0</v>
      </c>
      <c r="AB22" s="784">
        <v>0</v>
      </c>
      <c r="AC22" s="784">
        <v>5.3787399999999999E-3</v>
      </c>
      <c r="AD22" s="784">
        <v>0</v>
      </c>
      <c r="AE22" s="784">
        <v>0</v>
      </c>
      <c r="AF22" s="784">
        <v>0</v>
      </c>
      <c r="AG22" s="784">
        <v>0</v>
      </c>
      <c r="AH22" s="784">
        <v>0</v>
      </c>
      <c r="AI22" s="784">
        <v>0</v>
      </c>
      <c r="AJ22" s="784">
        <v>4.9931999999999997E-3</v>
      </c>
      <c r="AK22" s="784">
        <v>0.47522715000000004</v>
      </c>
      <c r="AL22" s="784">
        <v>6.8434200000000001E-2</v>
      </c>
      <c r="AM22" s="784">
        <v>6.6925129999999999E-2</v>
      </c>
      <c r="AN22" s="784">
        <v>0.11218778</v>
      </c>
      <c r="AO22" s="784">
        <v>6.4432799999999998E-2</v>
      </c>
      <c r="AP22" s="784">
        <v>0</v>
      </c>
      <c r="AQ22" s="784">
        <v>0</v>
      </c>
      <c r="AR22" s="784">
        <v>0</v>
      </c>
      <c r="AS22" s="784">
        <v>0</v>
      </c>
      <c r="AT22" s="784">
        <f>AT14-AT18</f>
        <v>0</v>
      </c>
      <c r="AU22" s="784">
        <v>0</v>
      </c>
      <c r="AV22" s="784">
        <v>0</v>
      </c>
      <c r="AW22" s="784">
        <v>0</v>
      </c>
      <c r="AX22" s="784">
        <v>0</v>
      </c>
      <c r="AY22" s="784">
        <v>0</v>
      </c>
      <c r="AZ22" s="784">
        <v>0</v>
      </c>
      <c r="BA22" s="784">
        <v>0</v>
      </c>
      <c r="BB22" s="784">
        <v>0</v>
      </c>
      <c r="BC22" s="784">
        <v>0</v>
      </c>
      <c r="BD22" s="784">
        <v>7.9013554000000008</v>
      </c>
      <c r="BE22" s="784">
        <v>0</v>
      </c>
      <c r="BF22" s="784">
        <v>0</v>
      </c>
      <c r="BG22" s="784">
        <v>0</v>
      </c>
      <c r="BH22" s="827">
        <v>0</v>
      </c>
      <c r="BI22" s="816">
        <v>8.6499999999989363E-6</v>
      </c>
      <c r="BJ22" s="816">
        <v>1.7001090000000001</v>
      </c>
      <c r="BK22" s="816">
        <v>2.3801488499999999</v>
      </c>
      <c r="BL22" s="816">
        <v>8.9200000000233537E-6</v>
      </c>
      <c r="BM22" s="816">
        <v>8.7800000000137768E-6</v>
      </c>
      <c r="BN22" s="816">
        <v>0.33949845000000006</v>
      </c>
      <c r="BO22" s="816">
        <v>0.33949843999999996</v>
      </c>
      <c r="BP22" s="816">
        <v>8.4900000000276421E-6</v>
      </c>
      <c r="BQ22" s="816">
        <v>8.4599999999879216E-6</v>
      </c>
      <c r="BR22" s="816">
        <v>8.4300000000037123E-6</v>
      </c>
      <c r="BS22" s="816">
        <v>8.2100000000084883E-6</v>
      </c>
      <c r="BT22" s="816">
        <v>8.2499999999874341E-6</v>
      </c>
      <c r="BU22" s="816">
        <v>1.5028082900000008</v>
      </c>
      <c r="BV22" s="816">
        <v>8.6400000000041999E-6</v>
      </c>
      <c r="BW22" s="816">
        <v>8.2399999999926976E-6</v>
      </c>
      <c r="BX22" s="816">
        <v>1.2479999999981395E-5</v>
      </c>
      <c r="BY22" s="816">
        <v>8.0999999999553651E-6</v>
      </c>
      <c r="BZ22" s="816">
        <v>8.0599999999764194E-6</v>
      </c>
      <c r="CA22" s="816">
        <v>8.2299999999979612E-6</v>
      </c>
      <c r="CB22" s="816">
        <v>8.0800000000214034E-6</v>
      </c>
      <c r="CC22" s="816">
        <v>8.0000000000080007E-6</v>
      </c>
      <c r="CD22" s="816">
        <v>8.0500000000000009E-6</v>
      </c>
      <c r="CE22" s="816">
        <v>1.5011082200000001</v>
      </c>
      <c r="CF22" s="816">
        <v>2.7761940100000002</v>
      </c>
      <c r="CG22" s="816">
        <v>9.4019999999999998E-5</v>
      </c>
      <c r="CH22" s="816">
        <v>0</v>
      </c>
      <c r="CI22" s="816">
        <v>0</v>
      </c>
      <c r="CJ22" s="816">
        <v>0</v>
      </c>
      <c r="CK22" s="816">
        <v>0</v>
      </c>
      <c r="CL22" s="816">
        <v>0</v>
      </c>
      <c r="CM22" s="816">
        <v>0</v>
      </c>
      <c r="CN22" s="816">
        <v>0</v>
      </c>
      <c r="CO22" s="816">
        <v>0</v>
      </c>
      <c r="CP22" s="816">
        <v>0</v>
      </c>
      <c r="CQ22" s="816">
        <v>0</v>
      </c>
      <c r="CR22" s="816">
        <v>0</v>
      </c>
      <c r="CS22" s="816">
        <v>0</v>
      </c>
      <c r="CT22" s="816">
        <v>0</v>
      </c>
      <c r="CU22" s="816">
        <v>0</v>
      </c>
      <c r="CV22" s="816">
        <v>0</v>
      </c>
      <c r="CW22" s="816">
        <v>0</v>
      </c>
      <c r="CX22" s="816">
        <v>0</v>
      </c>
      <c r="CY22" s="816">
        <v>0</v>
      </c>
      <c r="CZ22" s="816">
        <v>0</v>
      </c>
      <c r="DA22" s="816">
        <v>0</v>
      </c>
      <c r="DB22" s="816">
        <v>1.67120084</v>
      </c>
      <c r="DC22" s="816">
        <v>40.800005949999999</v>
      </c>
      <c r="DD22" s="816">
        <v>40.800005759999998</v>
      </c>
      <c r="DE22" s="816">
        <v>40.800005779999999</v>
      </c>
      <c r="DF22" s="816">
        <v>40.800005689999999</v>
      </c>
      <c r="DG22" s="816">
        <v>40.800005689999999</v>
      </c>
      <c r="DH22" s="816">
        <v>40.800005689999999</v>
      </c>
      <c r="DI22" s="816">
        <v>40.800005370000001</v>
      </c>
      <c r="DJ22" s="816">
        <v>40.799999999999997</v>
      </c>
      <c r="DK22" s="816">
        <v>40.799999999999997</v>
      </c>
      <c r="DL22" s="816">
        <v>40.799999999999997</v>
      </c>
      <c r="DM22" s="816">
        <v>36.445166659999998</v>
      </c>
      <c r="DN22" s="816">
        <v>32.045000000000002</v>
      </c>
      <c r="DO22" s="816">
        <v>27.6675</v>
      </c>
      <c r="DP22" s="816">
        <v>27.6675</v>
      </c>
      <c r="DQ22" s="816">
        <v>0</v>
      </c>
      <c r="DR22" s="816">
        <v>4.25</v>
      </c>
      <c r="DS22" s="816">
        <v>4.25</v>
      </c>
      <c r="DT22" s="816">
        <v>4.25</v>
      </c>
      <c r="DU22" s="816">
        <v>3.7186539999999999</v>
      </c>
      <c r="DV22" s="816">
        <v>3.2639999999999998</v>
      </c>
      <c r="DW22" s="816">
        <v>3.1875</v>
      </c>
      <c r="DX22" s="816">
        <v>2.125</v>
      </c>
      <c r="DY22" s="816">
        <v>2.125</v>
      </c>
      <c r="DZ22" s="816">
        <v>2.4649999999999999</v>
      </c>
      <c r="EA22" s="816">
        <v>1.3749349900000001</v>
      </c>
      <c r="EB22" s="816">
        <v>1.3472321700000001</v>
      </c>
      <c r="EC22" s="816">
        <v>1.3193908299999999</v>
      </c>
      <c r="ED22" s="816">
        <v>0.50515144999999995</v>
      </c>
      <c r="EE22" s="816">
        <v>0.20079954999999999</v>
      </c>
      <c r="EF22" s="816">
        <v>0.17253853999999999</v>
      </c>
      <c r="EG22" s="816">
        <v>0.14419375000000001</v>
      </c>
      <c r="EH22" s="816">
        <v>0.28560164999999998</v>
      </c>
      <c r="EI22" s="816">
        <v>0.25691464000000003</v>
      </c>
      <c r="EJ22" s="816">
        <v>0.2144575</v>
      </c>
      <c r="EK22" s="816">
        <v>0.17168727</v>
      </c>
      <c r="EL22" s="816">
        <v>0.12873507000000001</v>
      </c>
      <c r="EM22" s="816">
        <v>0.11475924999999999</v>
      </c>
      <c r="EN22" s="816">
        <v>0.10072291</v>
      </c>
      <c r="EO22" s="816">
        <v>8.6619829999999995E-2</v>
      </c>
      <c r="EP22" s="816">
        <v>7.2425660000000003E-2</v>
      </c>
      <c r="EQ22" s="816">
        <v>5.8124729999999999E-2</v>
      </c>
      <c r="ER22" s="816">
        <v>4.3734420000000003E-2</v>
      </c>
      <c r="ES22" s="816">
        <v>2.923595E-2</v>
      </c>
      <c r="ET22" s="816">
        <v>0</v>
      </c>
      <c r="EU22" s="816">
        <v>0</v>
      </c>
      <c r="EV22" s="816">
        <v>0</v>
      </c>
      <c r="EW22" s="816">
        <v>0</v>
      </c>
      <c r="EX22" s="816">
        <v>0</v>
      </c>
      <c r="EY22" s="816">
        <v>0</v>
      </c>
      <c r="EZ22" s="816">
        <v>0</v>
      </c>
      <c r="FA22" s="816">
        <v>0</v>
      </c>
      <c r="FB22" s="816">
        <v>0</v>
      </c>
      <c r="FC22" s="816">
        <v>0</v>
      </c>
      <c r="FD22" s="816">
        <v>0</v>
      </c>
      <c r="FE22" s="816">
        <v>0</v>
      </c>
      <c r="FF22" s="816">
        <v>0</v>
      </c>
      <c r="FG22" s="816">
        <v>0</v>
      </c>
      <c r="FH22" s="1716" t="s">
        <v>4067</v>
      </c>
    </row>
    <row r="23" spans="1:164" ht="21">
      <c r="A23" s="1745" t="s">
        <v>1962</v>
      </c>
      <c r="B23" s="791">
        <f>+B21-B22</f>
        <v>184.52246920000002</v>
      </c>
      <c r="C23" s="792">
        <f t="shared" ref="C23:V23" si="6">+C21-C22</f>
        <v>142.91543184</v>
      </c>
      <c r="D23" s="792">
        <f t="shared" si="6"/>
        <v>152.81210424000002</v>
      </c>
      <c r="E23" s="792">
        <f t="shared" si="6"/>
        <v>146.48893754000002</v>
      </c>
      <c r="F23" s="792">
        <f t="shared" si="6"/>
        <v>141.88940776000001</v>
      </c>
      <c r="G23" s="792">
        <f t="shared" si="6"/>
        <v>144.29879265</v>
      </c>
      <c r="H23" s="792">
        <f t="shared" si="6"/>
        <v>137.84124234999999</v>
      </c>
      <c r="I23" s="792">
        <f t="shared" si="6"/>
        <v>134.99275749</v>
      </c>
      <c r="J23" s="792">
        <f t="shared" si="6"/>
        <v>143.1457772</v>
      </c>
      <c r="K23" s="792">
        <f t="shared" si="6"/>
        <v>152.21534166999999</v>
      </c>
      <c r="L23" s="792">
        <f t="shared" si="6"/>
        <v>155.16249213999998</v>
      </c>
      <c r="M23" s="784">
        <f t="shared" si="6"/>
        <v>142.78333591999998</v>
      </c>
      <c r="N23" s="784">
        <f t="shared" si="6"/>
        <v>150.48461237000001</v>
      </c>
      <c r="O23" s="784">
        <f t="shared" si="6"/>
        <v>152.92680157000001</v>
      </c>
      <c r="P23" s="781">
        <f t="shared" si="6"/>
        <v>166.80872016000001</v>
      </c>
      <c r="Q23" s="781">
        <f t="shared" si="6"/>
        <v>166.82272545999999</v>
      </c>
      <c r="R23" s="781">
        <f t="shared" si="6"/>
        <v>168.62291465999999</v>
      </c>
      <c r="S23" s="781">
        <f t="shared" si="6"/>
        <v>171.60923410999999</v>
      </c>
      <c r="T23" s="781">
        <f t="shared" si="6"/>
        <v>172.03440806</v>
      </c>
      <c r="U23" s="781">
        <f t="shared" si="6"/>
        <v>171.15422795999999</v>
      </c>
      <c r="V23" s="781">
        <f t="shared" si="6"/>
        <v>163.40915322999999</v>
      </c>
      <c r="W23" s="781">
        <v>172.14189110999999</v>
      </c>
      <c r="X23" s="781">
        <v>170.03224908999999</v>
      </c>
      <c r="Y23" s="784">
        <v>182.47238546</v>
      </c>
      <c r="Z23" s="781">
        <v>162.66938137</v>
      </c>
      <c r="AA23" s="784">
        <v>268.43889254000004</v>
      </c>
      <c r="AB23" s="784">
        <f>+AB21-AB22</f>
        <v>268.03215395000001</v>
      </c>
      <c r="AC23" s="784">
        <v>275.67182664000001</v>
      </c>
      <c r="AD23" s="784">
        <v>272.44533132000004</v>
      </c>
      <c r="AE23" s="784">
        <v>280.84781268</v>
      </c>
      <c r="AF23" s="784">
        <v>270.81413333999996</v>
      </c>
      <c r="AG23" s="784">
        <v>231.30769754000002</v>
      </c>
      <c r="AH23" s="784">
        <f>+AH21-AH22</f>
        <v>248.53300517000002</v>
      </c>
      <c r="AI23" s="784">
        <v>226.60959452999998</v>
      </c>
      <c r="AJ23" s="784">
        <f>+AJ21-AJ22</f>
        <v>260.03666113999998</v>
      </c>
      <c r="AK23" s="784">
        <f>+AK21-AK22</f>
        <v>399.28801609999999</v>
      </c>
      <c r="AL23" s="784">
        <v>382.93394494</v>
      </c>
      <c r="AM23" s="784">
        <f>+AM21-AM22</f>
        <v>367.69668444000001</v>
      </c>
      <c r="AN23" s="784">
        <f>+AN21-AN22</f>
        <v>379.87390582999996</v>
      </c>
      <c r="AO23" s="784">
        <f>+AO21-AO22</f>
        <v>333.10557420999999</v>
      </c>
      <c r="AP23" s="784">
        <v>340.03197252000001</v>
      </c>
      <c r="AQ23" s="784">
        <v>362.94127739999999</v>
      </c>
      <c r="AR23" s="784">
        <v>267.94340400000004</v>
      </c>
      <c r="AS23" s="784">
        <v>284.68005249000004</v>
      </c>
      <c r="AT23" s="784">
        <f>AT15-AT19</f>
        <v>280.71421069000002</v>
      </c>
      <c r="AU23" s="784">
        <v>295.03538156999997</v>
      </c>
      <c r="AV23" s="784">
        <v>312.88934681000001</v>
      </c>
      <c r="AW23" s="784">
        <v>328.85541532000013</v>
      </c>
      <c r="AX23" s="784">
        <v>316.77899529000001</v>
      </c>
      <c r="AY23" s="784">
        <v>279.88288573</v>
      </c>
      <c r="AZ23" s="784">
        <v>290.03846806000001</v>
      </c>
      <c r="BA23" s="784">
        <v>290.41629772000005</v>
      </c>
      <c r="BB23" s="784">
        <v>278.36653281000002</v>
      </c>
      <c r="BC23" s="784">
        <v>248.74169150999998</v>
      </c>
      <c r="BD23" s="784">
        <f>+BD21-BD22</f>
        <v>264.19392228999999</v>
      </c>
      <c r="BE23" s="784">
        <v>240.51338946000001</v>
      </c>
      <c r="BF23" s="784">
        <v>320.08253374000003</v>
      </c>
      <c r="BG23" s="784">
        <v>257.73104654999997</v>
      </c>
      <c r="BH23" s="827">
        <v>262.56542301000002</v>
      </c>
      <c r="BI23" s="816">
        <v>215.08321670000001</v>
      </c>
      <c r="BJ23" s="816">
        <v>255.76558033000003</v>
      </c>
      <c r="BK23" s="816">
        <v>241.90851230000004</v>
      </c>
      <c r="BL23" s="816">
        <v>241.45340050000001</v>
      </c>
      <c r="BM23" s="816">
        <v>242.69991573999999</v>
      </c>
      <c r="BN23" s="816">
        <v>242.02508599999999</v>
      </c>
      <c r="BO23" s="816">
        <v>263.44649348999997</v>
      </c>
      <c r="BP23" s="816">
        <v>264.13864460000002</v>
      </c>
      <c r="BQ23" s="816">
        <v>262.41764452999996</v>
      </c>
      <c r="BR23" s="816">
        <v>301.06712655999996</v>
      </c>
      <c r="BS23" s="816">
        <v>311.41351384999996</v>
      </c>
      <c r="BT23" s="816">
        <v>344.35185543</v>
      </c>
      <c r="BU23" s="816">
        <v>385.72973376999988</v>
      </c>
      <c r="BV23" s="816">
        <v>315.69243582999997</v>
      </c>
      <c r="BW23" s="816">
        <v>316.08360901999998</v>
      </c>
      <c r="BX23" s="816">
        <v>316.54202562</v>
      </c>
      <c r="BY23" s="816">
        <v>311.62235566999993</v>
      </c>
      <c r="BZ23" s="816">
        <v>317.27302445999999</v>
      </c>
      <c r="CA23" s="816">
        <v>329.65914814000001</v>
      </c>
      <c r="CB23" s="816">
        <v>324.78048661999998</v>
      </c>
      <c r="CC23" s="816">
        <v>339.93472320999996</v>
      </c>
      <c r="CD23" s="816">
        <f t="shared" ref="CD23:CN23" si="7">+CD15-CD19</f>
        <v>256.54925648999995</v>
      </c>
      <c r="CE23" s="816">
        <f t="shared" si="7"/>
        <v>258.95345209000004</v>
      </c>
      <c r="CF23" s="816">
        <f t="shared" si="7"/>
        <v>276.73777699999994</v>
      </c>
      <c r="CG23" s="816">
        <f t="shared" si="7"/>
        <v>265.64946693999997</v>
      </c>
      <c r="CH23" s="816">
        <f t="shared" si="7"/>
        <v>254.47307946000001</v>
      </c>
      <c r="CI23" s="816">
        <f t="shared" si="7"/>
        <v>274.70992037999997</v>
      </c>
      <c r="CJ23" s="816">
        <f t="shared" si="7"/>
        <v>242.83079318</v>
      </c>
      <c r="CK23" s="816">
        <f t="shared" si="7"/>
        <v>233.00639561000008</v>
      </c>
      <c r="CL23" s="816">
        <f t="shared" si="7"/>
        <v>202.73298200000005</v>
      </c>
      <c r="CM23" s="816">
        <f t="shared" si="7"/>
        <v>195.29560846999999</v>
      </c>
      <c r="CN23" s="816">
        <f t="shared" si="7"/>
        <v>189.99547683999998</v>
      </c>
      <c r="CO23" s="816">
        <f>+CO21-CO22</f>
        <v>188.49180539</v>
      </c>
      <c r="CP23" s="816">
        <f>+CP21-CP22</f>
        <v>191.79466580000002</v>
      </c>
      <c r="CQ23" s="816">
        <f>+CQ21-CQ22</f>
        <v>192.97501495</v>
      </c>
      <c r="CR23" s="816">
        <f>+CR21-CR22</f>
        <v>195.56799269999999</v>
      </c>
      <c r="CS23" s="816">
        <v>181.73458911</v>
      </c>
      <c r="CT23" s="816">
        <v>174.40738386999999</v>
      </c>
      <c r="CU23" s="816">
        <v>185.20028975</v>
      </c>
      <c r="CV23" s="816">
        <v>189.58869411000001</v>
      </c>
      <c r="CW23" s="816">
        <v>201.37587379000001</v>
      </c>
      <c r="CX23" s="816">
        <v>210.72817533</v>
      </c>
      <c r="CY23" s="816">
        <v>224.18957821999999</v>
      </c>
      <c r="CZ23" s="816">
        <v>240.63356614</v>
      </c>
      <c r="DA23" s="816">
        <v>260.16159966999999</v>
      </c>
      <c r="DB23" s="816">
        <v>290.61892597999997</v>
      </c>
      <c r="DC23" s="816">
        <v>327.43968145000002</v>
      </c>
      <c r="DD23" s="816">
        <v>344.01929388999997</v>
      </c>
      <c r="DE23" s="816">
        <v>360.16966318999999</v>
      </c>
      <c r="DF23" s="816">
        <v>390.94349674</v>
      </c>
      <c r="DG23" s="816">
        <v>396.98080440000001</v>
      </c>
      <c r="DH23" s="816">
        <v>408.63102178999998</v>
      </c>
      <c r="DI23" s="816">
        <v>411.08890149000001</v>
      </c>
      <c r="DJ23" s="816">
        <v>416.18005577000002</v>
      </c>
      <c r="DK23" s="816">
        <v>421.56612342</v>
      </c>
      <c r="DL23" s="816">
        <v>404.13279397999997</v>
      </c>
      <c r="DM23" s="816">
        <v>414.50325798</v>
      </c>
      <c r="DN23" s="816">
        <v>418.93732748000002</v>
      </c>
      <c r="DO23" s="816">
        <v>409.48514232999997</v>
      </c>
      <c r="DP23" s="816">
        <v>392.51389502000001</v>
      </c>
      <c r="DQ23" s="816">
        <v>368.03822644000002</v>
      </c>
      <c r="DR23" s="816">
        <v>354.26085307</v>
      </c>
      <c r="DS23" s="816">
        <v>355.83555323000002</v>
      </c>
      <c r="DT23" s="816">
        <v>337.58234585000002</v>
      </c>
      <c r="DU23" s="816">
        <v>344.79626215000002</v>
      </c>
      <c r="DV23" s="816">
        <v>347.58205407999998</v>
      </c>
      <c r="DW23" s="816">
        <v>358.72240363999998</v>
      </c>
      <c r="DX23" s="816">
        <v>324.49928055999999</v>
      </c>
      <c r="DY23" s="816">
        <v>341.27466767999999</v>
      </c>
      <c r="DZ23" s="816">
        <v>362.92650773999998</v>
      </c>
      <c r="EA23" s="816">
        <v>373.67462870999998</v>
      </c>
      <c r="EB23" s="816">
        <v>383.37122421999999</v>
      </c>
      <c r="EC23" s="816">
        <v>371.56211576999999</v>
      </c>
      <c r="ED23" s="816">
        <v>362.81353756999999</v>
      </c>
      <c r="EE23" s="816">
        <v>350.80380789999998</v>
      </c>
      <c r="EF23" s="816">
        <v>352.2989867</v>
      </c>
      <c r="EG23" s="816">
        <v>346.25297807999999</v>
      </c>
      <c r="EH23" s="816">
        <v>348.51727034999999</v>
      </c>
      <c r="EI23" s="816">
        <v>346.98555184000003</v>
      </c>
      <c r="EJ23" s="816">
        <v>359.77992535999999</v>
      </c>
      <c r="EK23" s="816">
        <v>359.6291688</v>
      </c>
      <c r="EL23" s="816">
        <v>372.09811876999999</v>
      </c>
      <c r="EM23" s="816">
        <v>345.10413295000001</v>
      </c>
      <c r="EN23" s="816">
        <v>356.33699426999999</v>
      </c>
      <c r="EO23" s="816">
        <v>381.86532453000001</v>
      </c>
      <c r="EP23" s="816">
        <v>375.07959348000003</v>
      </c>
      <c r="EQ23" s="816">
        <v>401.73244202000001</v>
      </c>
      <c r="ER23" s="816">
        <v>385.88139949999999</v>
      </c>
      <c r="ES23" s="816">
        <v>374.75622757000002</v>
      </c>
      <c r="ET23" s="816">
        <v>355.24146868999998</v>
      </c>
      <c r="EU23" s="816">
        <v>347.68351249</v>
      </c>
      <c r="EV23" s="816">
        <v>356.02267673</v>
      </c>
      <c r="EW23" s="816">
        <v>366.94844992999998</v>
      </c>
      <c r="EX23" s="816">
        <v>378.32606554</v>
      </c>
      <c r="EY23" s="816">
        <v>375.59199768000002</v>
      </c>
      <c r="EZ23" s="816">
        <v>384.37237242999998</v>
      </c>
      <c r="FA23" s="816">
        <v>376.11443571000001</v>
      </c>
      <c r="FB23" s="816">
        <v>406.11594811999998</v>
      </c>
      <c r="FC23" s="816">
        <v>429.78621920000001</v>
      </c>
      <c r="FD23" s="816">
        <v>441.86301408000003</v>
      </c>
      <c r="FE23" s="816">
        <v>442.13771523999998</v>
      </c>
      <c r="FF23" s="816">
        <v>575.15990085999999</v>
      </c>
      <c r="FG23" s="816">
        <v>598.37341325</v>
      </c>
      <c r="FH23" s="1716" t="s">
        <v>4066</v>
      </c>
    </row>
    <row r="24" spans="1:164" ht="21">
      <c r="A24" s="1721"/>
      <c r="B24" s="792"/>
      <c r="C24" s="792"/>
      <c r="D24" s="792"/>
      <c r="E24" s="792"/>
      <c r="F24" s="792"/>
      <c r="G24" s="792"/>
      <c r="H24" s="792"/>
      <c r="I24" s="792"/>
      <c r="J24" s="792"/>
      <c r="K24" s="792"/>
      <c r="L24" s="792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84"/>
      <c r="AF24" s="784"/>
      <c r="AG24" s="784"/>
      <c r="AH24" s="784"/>
      <c r="AI24" s="784"/>
      <c r="AJ24" s="784"/>
      <c r="AK24" s="784"/>
      <c r="AL24" s="784"/>
      <c r="AM24" s="784"/>
      <c r="AN24" s="784"/>
      <c r="AO24" s="784"/>
      <c r="AP24" s="784"/>
      <c r="AQ24" s="784"/>
      <c r="AR24" s="784"/>
      <c r="AS24" s="784"/>
      <c r="AT24" s="784"/>
      <c r="AU24" s="784"/>
      <c r="AV24" s="784"/>
      <c r="AW24" s="784"/>
      <c r="AX24" s="784"/>
      <c r="AY24" s="784"/>
      <c r="AZ24" s="784"/>
      <c r="BA24" s="784"/>
      <c r="BB24" s="784"/>
      <c r="BC24" s="784"/>
      <c r="BD24" s="784"/>
      <c r="BE24" s="784"/>
      <c r="BF24" s="784"/>
      <c r="BG24" s="784"/>
      <c r="BH24" s="827"/>
      <c r="BI24" s="816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/>
      <c r="CI24" s="816"/>
      <c r="CJ24" s="816"/>
      <c r="CK24" s="816"/>
      <c r="CL24" s="816"/>
      <c r="CM24" s="817"/>
      <c r="CN24" s="817"/>
      <c r="CO24" s="817"/>
      <c r="CP24" s="817"/>
      <c r="CQ24" s="817"/>
      <c r="CR24" s="817"/>
      <c r="CS24" s="817"/>
      <c r="CT24" s="817"/>
      <c r="CU24" s="817"/>
      <c r="CV24" s="817"/>
      <c r="CW24" s="817"/>
      <c r="CX24" s="817"/>
      <c r="CY24" s="817"/>
      <c r="CZ24" s="817"/>
      <c r="DA24" s="817"/>
      <c r="DB24" s="817"/>
      <c r="DC24" s="817"/>
      <c r="DD24" s="817"/>
      <c r="DE24" s="817"/>
      <c r="DF24" s="817"/>
      <c r="DG24" s="817"/>
      <c r="DH24" s="817"/>
      <c r="DI24" s="817"/>
      <c r="DJ24" s="817"/>
      <c r="DK24" s="817"/>
      <c r="DL24" s="817"/>
      <c r="DM24" s="817"/>
      <c r="DN24" s="817"/>
      <c r="DO24" s="817"/>
      <c r="DP24" s="817"/>
      <c r="DQ24" s="817"/>
      <c r="DR24" s="817"/>
      <c r="DS24" s="817"/>
      <c r="DT24" s="817"/>
      <c r="DU24" s="817"/>
      <c r="DV24" s="817"/>
      <c r="DW24" s="817"/>
      <c r="DX24" s="817"/>
      <c r="DY24" s="817"/>
      <c r="DZ24" s="817"/>
      <c r="EA24" s="817"/>
      <c r="EB24" s="817"/>
      <c r="EC24" s="817"/>
      <c r="ED24" s="817"/>
      <c r="EE24" s="817"/>
      <c r="EF24" s="817"/>
      <c r="EG24" s="817"/>
      <c r="EH24" s="817"/>
      <c r="EI24" s="817"/>
      <c r="EJ24" s="817"/>
      <c r="EK24" s="817"/>
      <c r="EL24" s="817"/>
      <c r="EM24" s="817"/>
      <c r="EN24" s="817"/>
      <c r="EO24" s="817"/>
      <c r="EP24" s="817"/>
      <c r="EQ24" s="817"/>
      <c r="ER24" s="817"/>
      <c r="ES24" s="817"/>
      <c r="ET24" s="817"/>
      <c r="EU24" s="817"/>
      <c r="EV24" s="817"/>
      <c r="EW24" s="817"/>
      <c r="EX24" s="817"/>
      <c r="EY24" s="817"/>
      <c r="EZ24" s="817"/>
      <c r="FA24" s="817"/>
      <c r="FB24" s="817"/>
      <c r="FC24" s="817"/>
      <c r="FD24" s="817"/>
      <c r="FE24" s="817"/>
      <c r="FF24" s="817"/>
      <c r="FG24" s="817"/>
      <c r="FH24" s="1711"/>
    </row>
    <row r="25" spans="1:164" ht="21">
      <c r="A25" s="1722" t="s">
        <v>2743</v>
      </c>
      <c r="B25" s="791">
        <v>1997.4808885300001</v>
      </c>
      <c r="C25" s="792">
        <v>1600.5890726900002</v>
      </c>
      <c r="D25" s="792">
        <v>1625.0404179699999</v>
      </c>
      <c r="E25" s="792">
        <v>1640.9079317000001</v>
      </c>
      <c r="F25" s="792">
        <v>1655.63710855</v>
      </c>
      <c r="G25" s="792">
        <v>1677.5611065200001</v>
      </c>
      <c r="H25" s="792">
        <v>1666.7588732499999</v>
      </c>
      <c r="I25" s="792">
        <v>1704.3186043800001</v>
      </c>
      <c r="J25" s="792">
        <v>1694.8147798999998</v>
      </c>
      <c r="K25" s="792">
        <v>1708.6697574200002</v>
      </c>
      <c r="L25" s="792">
        <v>1723.9278640700002</v>
      </c>
      <c r="M25" s="781">
        <v>1746.3819812699999</v>
      </c>
      <c r="N25" s="784">
        <v>1744.1478972300001</v>
      </c>
      <c r="O25" s="784">
        <v>1750.2350728500001</v>
      </c>
      <c r="P25" s="781">
        <v>1760.61672501</v>
      </c>
      <c r="Q25" s="781">
        <v>1832.1338688000001</v>
      </c>
      <c r="R25" s="781">
        <v>1952.2610408800001</v>
      </c>
      <c r="S25" s="781">
        <v>1982.4907692000004</v>
      </c>
      <c r="T25" s="781">
        <v>2015.43863384</v>
      </c>
      <c r="U25" s="781">
        <v>2047.6620129100002</v>
      </c>
      <c r="V25" s="781">
        <v>2092.5010955400003</v>
      </c>
      <c r="W25" s="781">
        <v>2085.99585983</v>
      </c>
      <c r="X25" s="781">
        <v>2128.5597149</v>
      </c>
      <c r="Y25" s="781">
        <v>2173.0324321600001</v>
      </c>
      <c r="Z25" s="781">
        <v>2167.3374378999997</v>
      </c>
      <c r="AA25" s="784">
        <v>2397.3352254700003</v>
      </c>
      <c r="AB25" s="781">
        <v>2374.8432735599999</v>
      </c>
      <c r="AC25" s="781">
        <v>2396.3236425900004</v>
      </c>
      <c r="AD25" s="781">
        <v>2396.3236425900004</v>
      </c>
      <c r="AE25" s="781">
        <v>2360.3413638800002</v>
      </c>
      <c r="AF25" s="781">
        <v>2353.9273379700003</v>
      </c>
      <c r="AG25" s="781">
        <v>2379.6097046300001</v>
      </c>
      <c r="AH25" s="781">
        <v>1982.0373031499998</v>
      </c>
      <c r="AI25" s="781">
        <v>2076.6310756799999</v>
      </c>
      <c r="AJ25" s="781">
        <v>2072.3619133200004</v>
      </c>
      <c r="AK25" s="781">
        <v>2573.5201158899999</v>
      </c>
      <c r="AL25" s="781">
        <v>2369.6250672599999</v>
      </c>
      <c r="AM25" s="781">
        <v>2328.1937348200004</v>
      </c>
      <c r="AN25" s="781">
        <v>2278.9631588400002</v>
      </c>
      <c r="AO25" s="781">
        <v>2214.1654261799999</v>
      </c>
      <c r="AP25" s="781">
        <v>2149.1669404899999</v>
      </c>
      <c r="AQ25" s="781">
        <v>2179.1780300800001</v>
      </c>
      <c r="AR25" s="781">
        <v>2129.1986759299998</v>
      </c>
      <c r="AS25" s="781">
        <v>2036.4525464399999</v>
      </c>
      <c r="AT25" s="781">
        <f>AT9-AT13</f>
        <v>2088.3893201700002</v>
      </c>
      <c r="AU25" s="781">
        <v>1996.4791060599998</v>
      </c>
      <c r="AV25" s="781">
        <v>1875.2625037600001</v>
      </c>
      <c r="AW25" s="781">
        <v>1899.7114480600001</v>
      </c>
      <c r="AX25" s="781">
        <v>1894.5550766699998</v>
      </c>
      <c r="AY25" s="781">
        <v>1817.5474656100002</v>
      </c>
      <c r="AZ25" s="781">
        <v>1669.37484098</v>
      </c>
      <c r="BA25" s="781">
        <v>1650.7422767099999</v>
      </c>
      <c r="BB25" s="781">
        <v>1653.62757203</v>
      </c>
      <c r="BC25" s="781">
        <v>1689.4384868000002</v>
      </c>
      <c r="BD25" s="781">
        <v>1709.4497010099999</v>
      </c>
      <c r="BE25" s="781">
        <v>1693.8913323300001</v>
      </c>
      <c r="BF25" s="781">
        <v>1702.9484775000001</v>
      </c>
      <c r="BG25" s="781">
        <v>1687.6466306399998</v>
      </c>
      <c r="BH25" s="826">
        <v>1689.7293217399997</v>
      </c>
      <c r="BI25" s="815">
        <v>1706.8477929300002</v>
      </c>
      <c r="BJ25" s="815">
        <v>1600.9772788300002</v>
      </c>
      <c r="BK25" s="815">
        <v>1572.9009793199998</v>
      </c>
      <c r="BL25" s="815">
        <v>1580.6279562899999</v>
      </c>
      <c r="BM25" s="815">
        <v>1571.89407355</v>
      </c>
      <c r="BN25" s="815">
        <v>1573.51951482</v>
      </c>
      <c r="BO25" s="815">
        <v>1592.5914662700002</v>
      </c>
      <c r="BP25" s="815">
        <v>1583.22555792</v>
      </c>
      <c r="BQ25" s="815">
        <v>1603.1198062399999</v>
      </c>
      <c r="BR25" s="815">
        <v>1594.37784156</v>
      </c>
      <c r="BS25" s="815">
        <v>1579.5305877899998</v>
      </c>
      <c r="BT25" s="815">
        <v>1564.9409065700004</v>
      </c>
      <c r="BU25" s="815">
        <v>1799.0264805100001</v>
      </c>
      <c r="BV25" s="815">
        <v>1781.6304534699998</v>
      </c>
      <c r="BW25" s="815">
        <v>1802.0957212199999</v>
      </c>
      <c r="BX25" s="815">
        <v>1818.6724963199997</v>
      </c>
      <c r="BY25" s="815">
        <v>1785.6486223600004</v>
      </c>
      <c r="BZ25" s="815">
        <v>1793.2652173100003</v>
      </c>
      <c r="CA25" s="815">
        <v>1797.0888561799998</v>
      </c>
      <c r="CB25" s="815">
        <v>1787.88357397</v>
      </c>
      <c r="CC25" s="815">
        <v>1781.6482537999998</v>
      </c>
      <c r="CD25" s="815">
        <v>1831.7609749399999</v>
      </c>
      <c r="CE25" s="815">
        <v>1845.00138851</v>
      </c>
      <c r="CF25" s="815">
        <v>1718.3012466199998</v>
      </c>
      <c r="CG25" s="815">
        <v>1876.9969532699997</v>
      </c>
      <c r="CH25" s="815">
        <v>1842.3473829399998</v>
      </c>
      <c r="CI25" s="815">
        <v>1869.0565379299999</v>
      </c>
      <c r="CJ25" s="815">
        <v>1845.6845157499999</v>
      </c>
      <c r="CK25" s="815">
        <v>1763.37744531</v>
      </c>
      <c r="CL25" s="815">
        <v>1717.0436361500001</v>
      </c>
      <c r="CM25" s="815">
        <v>1714.9774339999999</v>
      </c>
      <c r="CN25" s="815">
        <v>1687.1718551400002</v>
      </c>
      <c r="CO25" s="815">
        <v>1704.3281428200003</v>
      </c>
      <c r="CP25" s="815">
        <v>1829.08390491</v>
      </c>
      <c r="CQ25" s="815">
        <v>1891.2182989100002</v>
      </c>
      <c r="CR25" s="815">
        <v>1904.37916402</v>
      </c>
      <c r="CS25" s="815">
        <v>1945.65520599</v>
      </c>
      <c r="CT25" s="815">
        <v>1934.4581502200001</v>
      </c>
      <c r="CU25" s="815">
        <v>1799.7907130799999</v>
      </c>
      <c r="CV25" s="815">
        <v>1816.18186638</v>
      </c>
      <c r="CW25" s="815">
        <v>1841.6917031200001</v>
      </c>
      <c r="CX25" s="815">
        <v>1832.3393819400001</v>
      </c>
      <c r="CY25" s="815">
        <v>1825.01230416</v>
      </c>
      <c r="CZ25" s="815">
        <v>1800.4434924100001</v>
      </c>
      <c r="DA25" s="815">
        <v>1788.0533581</v>
      </c>
      <c r="DB25" s="815">
        <v>1792.31442444</v>
      </c>
      <c r="DC25" s="815">
        <v>1891.8803932599999</v>
      </c>
      <c r="DD25" s="815">
        <v>1924.64480946</v>
      </c>
      <c r="DE25" s="815">
        <v>2014.8264132199999</v>
      </c>
      <c r="DF25" s="815">
        <v>1990.3145238899999</v>
      </c>
      <c r="DG25" s="815">
        <v>2011.40565651</v>
      </c>
      <c r="DH25" s="815">
        <v>2025.4280490799999</v>
      </c>
      <c r="DI25" s="815">
        <v>1999.15838897</v>
      </c>
      <c r="DJ25" s="815">
        <v>2052.3716387300001</v>
      </c>
      <c r="DK25" s="815">
        <v>2051.1250995999999</v>
      </c>
      <c r="DL25" s="815">
        <v>2027.60047577</v>
      </c>
      <c r="DM25" s="815">
        <v>2025.3169210900001</v>
      </c>
      <c r="DN25" s="815">
        <v>2067.0667320699999</v>
      </c>
      <c r="DO25" s="815">
        <v>2134.8248919299999</v>
      </c>
      <c r="DP25" s="815">
        <v>2212.9767670199999</v>
      </c>
      <c r="DQ25" s="815">
        <v>2190.3274890900002</v>
      </c>
      <c r="DR25" s="815">
        <v>2163.90882474</v>
      </c>
      <c r="DS25" s="815">
        <v>2170.9587504400001</v>
      </c>
      <c r="DT25" s="815">
        <v>2231.3064473700001</v>
      </c>
      <c r="DU25" s="815">
        <v>2246.1098051200001</v>
      </c>
      <c r="DV25" s="815">
        <v>2251.05450058</v>
      </c>
      <c r="DW25" s="815">
        <v>2286.0793010500001</v>
      </c>
      <c r="DX25" s="815">
        <v>2297.4700093400002</v>
      </c>
      <c r="DY25" s="815">
        <v>2305.12760088</v>
      </c>
      <c r="DZ25" s="815">
        <v>2324.9063719999999</v>
      </c>
      <c r="EA25" s="815">
        <v>2267.0702794600002</v>
      </c>
      <c r="EB25" s="815">
        <v>2301.4751538400001</v>
      </c>
      <c r="EC25" s="815">
        <v>2280.5245190400001</v>
      </c>
      <c r="ED25" s="815">
        <v>2295.2919855300001</v>
      </c>
      <c r="EE25" s="815">
        <v>2355.0212405299999</v>
      </c>
      <c r="EF25" s="815">
        <v>2533.4736811399998</v>
      </c>
      <c r="EG25" s="815">
        <v>2569.4990304799999</v>
      </c>
      <c r="EH25" s="815">
        <v>2602.4147849999999</v>
      </c>
      <c r="EI25" s="815">
        <v>2677.8116635900001</v>
      </c>
      <c r="EJ25" s="815">
        <v>2650.36756986</v>
      </c>
      <c r="EK25" s="815">
        <v>2621.50315344</v>
      </c>
      <c r="EL25" s="815">
        <v>2711.1599526800001</v>
      </c>
      <c r="EM25" s="815">
        <v>2714.9737086800001</v>
      </c>
      <c r="EN25" s="815">
        <v>2718.3715037000002</v>
      </c>
      <c r="EO25" s="815">
        <v>2681.9056344800001</v>
      </c>
      <c r="EP25" s="815">
        <v>2609.9208921200002</v>
      </c>
      <c r="EQ25" s="815">
        <v>2610.2815893100001</v>
      </c>
      <c r="ER25" s="815">
        <v>2618.5708971499998</v>
      </c>
      <c r="ES25" s="815">
        <v>2619.5044591000001</v>
      </c>
      <c r="ET25" s="815">
        <v>2636.6584703499998</v>
      </c>
      <c r="EU25" s="815">
        <v>2673.1911646799999</v>
      </c>
      <c r="EV25" s="815">
        <v>2681.8690204300001</v>
      </c>
      <c r="EW25" s="815">
        <v>2635.5125634599999</v>
      </c>
      <c r="EX25" s="815">
        <v>2680.6613543899998</v>
      </c>
      <c r="EY25" s="815">
        <v>2606.7594976300002</v>
      </c>
      <c r="EZ25" s="815">
        <v>2671.5449312400001</v>
      </c>
      <c r="FA25" s="815">
        <v>2738.7046362999999</v>
      </c>
      <c r="FB25" s="815">
        <v>2734.19801899</v>
      </c>
      <c r="FC25" s="815">
        <v>2739.76654388</v>
      </c>
      <c r="FD25" s="815">
        <v>2711.5773492899998</v>
      </c>
      <c r="FE25" s="815">
        <v>2721.8213896699999</v>
      </c>
      <c r="FF25" s="815">
        <v>2705.4423881799999</v>
      </c>
      <c r="FG25" s="815">
        <v>2733.7718498300001</v>
      </c>
      <c r="FH25" s="1710" t="s">
        <v>4065</v>
      </c>
    </row>
    <row r="26" spans="1:164" ht="21">
      <c r="A26" s="1723" t="s">
        <v>1961</v>
      </c>
      <c r="B26" s="792">
        <v>205.22059789000002</v>
      </c>
      <c r="C26" s="792">
        <v>198.41288696000001</v>
      </c>
      <c r="D26" s="792">
        <v>198.30298877000001</v>
      </c>
      <c r="E26" s="792">
        <v>180.03692239</v>
      </c>
      <c r="F26" s="792">
        <v>179.95273742999998</v>
      </c>
      <c r="G26" s="792">
        <v>179.50635452</v>
      </c>
      <c r="H26" s="792">
        <v>161.22186825</v>
      </c>
      <c r="I26" s="792">
        <v>161.38387121000002</v>
      </c>
      <c r="J26" s="792">
        <v>143.64281452</v>
      </c>
      <c r="K26" s="792">
        <v>143.69167696</v>
      </c>
      <c r="L26" s="792">
        <v>143.46295061999999</v>
      </c>
      <c r="M26" s="784">
        <v>125.44682163</v>
      </c>
      <c r="N26" s="784">
        <v>125.34883538999999</v>
      </c>
      <c r="O26" s="784">
        <v>125.39352769</v>
      </c>
      <c r="P26" s="784">
        <v>107.25320391</v>
      </c>
      <c r="Q26" s="784">
        <v>107.28722328000001</v>
      </c>
      <c r="R26" s="784">
        <v>111.05679920999999</v>
      </c>
      <c r="S26" s="784">
        <v>92.949140830000005</v>
      </c>
      <c r="T26" s="784">
        <v>93.048771470000005</v>
      </c>
      <c r="U26" s="784">
        <v>93.021252109999992</v>
      </c>
      <c r="V26" s="784">
        <v>92.976926209999988</v>
      </c>
      <c r="W26" s="784">
        <v>92.920975179999999</v>
      </c>
      <c r="X26" s="784">
        <v>91.77625467</v>
      </c>
      <c r="Y26" s="784">
        <v>91.707206909999996</v>
      </c>
      <c r="Z26" s="784">
        <v>91.137016410000001</v>
      </c>
      <c r="AA26" s="784">
        <v>121.08331736</v>
      </c>
      <c r="AB26" s="784">
        <v>120.92812768</v>
      </c>
      <c r="AC26" s="784">
        <v>120.92738615</v>
      </c>
      <c r="AD26" s="784">
        <v>120.92738615</v>
      </c>
      <c r="AE26" s="784">
        <v>120.97454916</v>
      </c>
      <c r="AF26" s="784">
        <v>121.14468807000002</v>
      </c>
      <c r="AG26" s="784">
        <v>120.93002451</v>
      </c>
      <c r="AH26" s="784">
        <v>121.08796310999999</v>
      </c>
      <c r="AI26" s="784">
        <v>121.28193485000001</v>
      </c>
      <c r="AJ26" s="784">
        <v>120.78842283</v>
      </c>
      <c r="AK26" s="784">
        <v>177.33951356</v>
      </c>
      <c r="AL26" s="784">
        <v>179.36140225999998</v>
      </c>
      <c r="AM26" s="784">
        <v>173.13793168000001</v>
      </c>
      <c r="AN26" s="784">
        <v>170.69728759</v>
      </c>
      <c r="AO26" s="784">
        <v>166.89106500000003</v>
      </c>
      <c r="AP26" s="784">
        <v>162.77225614</v>
      </c>
      <c r="AQ26" s="784">
        <v>168.37333031999998</v>
      </c>
      <c r="AR26" s="784">
        <v>173.43600566999999</v>
      </c>
      <c r="AS26" s="784">
        <v>178.67135632000003</v>
      </c>
      <c r="AT26" s="784">
        <f>AT10-AT14</f>
        <v>177.36335674000003</v>
      </c>
      <c r="AU26" s="784">
        <v>166.47370662000003</v>
      </c>
      <c r="AV26" s="784">
        <v>167.67459003000002</v>
      </c>
      <c r="AW26" s="784">
        <v>171.19413736000001</v>
      </c>
      <c r="AX26" s="784">
        <v>169.45565411999999</v>
      </c>
      <c r="AY26" s="784">
        <v>155.36950523000002</v>
      </c>
      <c r="AZ26" s="784">
        <v>153.27726719</v>
      </c>
      <c r="BA26" s="784">
        <v>138.25280271</v>
      </c>
      <c r="BB26" s="784">
        <v>158.16089871</v>
      </c>
      <c r="BC26" s="784">
        <v>158.00383823999999</v>
      </c>
      <c r="BD26" s="784">
        <v>144.67907321999999</v>
      </c>
      <c r="BE26" s="784">
        <v>144.41101212000001</v>
      </c>
      <c r="BF26" s="784">
        <v>144.58190649999997</v>
      </c>
      <c r="BG26" s="784">
        <v>131.3454572</v>
      </c>
      <c r="BH26" s="827">
        <v>131.18008438999999</v>
      </c>
      <c r="BI26" s="816">
        <v>103.71624177999999</v>
      </c>
      <c r="BJ26" s="816">
        <v>90.538680540000001</v>
      </c>
      <c r="BK26" s="816">
        <v>90.645142160000006</v>
      </c>
      <c r="BL26" s="816">
        <v>90.536068010000008</v>
      </c>
      <c r="BM26" s="816">
        <v>77.34248568000001</v>
      </c>
      <c r="BN26" s="816">
        <v>77.121675170000003</v>
      </c>
      <c r="BO26" s="816">
        <v>77.060813190000005</v>
      </c>
      <c r="BP26" s="816">
        <v>63.9105749</v>
      </c>
      <c r="BQ26" s="816">
        <v>102.53830611000001</v>
      </c>
      <c r="BR26" s="816">
        <v>102.42328000000001</v>
      </c>
      <c r="BS26" s="816">
        <v>88.329508399999995</v>
      </c>
      <c r="BT26" s="816">
        <v>76.080630409999998</v>
      </c>
      <c r="BU26" s="816">
        <v>76.224326239999996</v>
      </c>
      <c r="BV26" s="816">
        <v>37.76495989</v>
      </c>
      <c r="BW26" s="816">
        <v>37.683614200000001</v>
      </c>
      <c r="BX26" s="816">
        <v>37.9838247</v>
      </c>
      <c r="BY26" s="816">
        <v>11.40109805</v>
      </c>
      <c r="BZ26" s="816">
        <v>11.38605424</v>
      </c>
      <c r="CA26" s="816">
        <v>11.273311969999998</v>
      </c>
      <c r="CB26" s="816">
        <v>11.344835940000001</v>
      </c>
      <c r="CC26" s="816">
        <v>11.26681492</v>
      </c>
      <c r="CD26" s="816">
        <v>11.203560589999999</v>
      </c>
      <c r="CE26" s="816">
        <v>11.1523024</v>
      </c>
      <c r="CF26" s="816">
        <v>11.15681689</v>
      </c>
      <c r="CG26" s="816">
        <v>11.079210580000002</v>
      </c>
      <c r="CH26" s="816">
        <v>11.006797039999999</v>
      </c>
      <c r="CI26" s="816">
        <v>11.100453490000001</v>
      </c>
      <c r="CJ26" s="816">
        <v>11.02811129</v>
      </c>
      <c r="CK26" s="816">
        <v>10.898655969999998</v>
      </c>
      <c r="CL26" s="816">
        <v>10.47744503</v>
      </c>
      <c r="CM26" s="816">
        <v>10.42489181</v>
      </c>
      <c r="CN26" s="816">
        <v>10.359706139999998</v>
      </c>
      <c r="CO26" s="816">
        <v>10.307521940000001</v>
      </c>
      <c r="CP26" s="816">
        <v>10.90080251</v>
      </c>
      <c r="CQ26" s="816">
        <v>10.839672539999999</v>
      </c>
      <c r="CR26" s="816">
        <v>10.83003298</v>
      </c>
      <c r="CS26" s="816">
        <v>10.8623779</v>
      </c>
      <c r="CT26" s="816">
        <v>10.85097418</v>
      </c>
      <c r="CU26" s="816">
        <v>11.132223059999999</v>
      </c>
      <c r="CV26" s="816">
        <v>11.1168555</v>
      </c>
      <c r="CW26" s="816">
        <v>11.33596371</v>
      </c>
      <c r="CX26" s="816">
        <v>11.30016968</v>
      </c>
      <c r="CY26" s="816">
        <v>11.241448350000001</v>
      </c>
      <c r="CZ26" s="816">
        <v>11.208777660000001</v>
      </c>
      <c r="DA26" s="816">
        <v>11.3704044</v>
      </c>
      <c r="DB26" s="816">
        <v>11.33797994</v>
      </c>
      <c r="DC26" s="816">
        <v>23.540051630000001</v>
      </c>
      <c r="DD26" s="816">
        <v>23.74844264</v>
      </c>
      <c r="DE26" s="816">
        <v>29.818187770000002</v>
      </c>
      <c r="DF26" s="816">
        <v>29.775197510000002</v>
      </c>
      <c r="DG26" s="816">
        <v>29.22282891</v>
      </c>
      <c r="DH26" s="816">
        <v>29.20734217</v>
      </c>
      <c r="DI26" s="816">
        <v>30.159183989999999</v>
      </c>
      <c r="DJ26" s="816">
        <v>30.137918290000002</v>
      </c>
      <c r="DK26" s="816">
        <v>30.332812069999999</v>
      </c>
      <c r="DL26" s="816">
        <v>30.293945269999998</v>
      </c>
      <c r="DM26" s="816">
        <v>29.167241489999999</v>
      </c>
      <c r="DN26" s="816">
        <v>30.046424850000001</v>
      </c>
      <c r="DO26" s="816">
        <v>28.833216700000001</v>
      </c>
      <c r="DP26" s="816">
        <v>30.76569563</v>
      </c>
      <c r="DQ26" s="816">
        <v>23.398638890000001</v>
      </c>
      <c r="DR26" s="816">
        <v>23.66677408</v>
      </c>
      <c r="DS26" s="816">
        <v>23.60602974</v>
      </c>
      <c r="DT26" s="816">
        <v>23.613924959999999</v>
      </c>
      <c r="DU26" s="816">
        <v>23.462660339999999</v>
      </c>
      <c r="DV26" s="816">
        <v>23.336604340000001</v>
      </c>
      <c r="DW26" s="816">
        <v>23.51047441</v>
      </c>
      <c r="DX26" s="816">
        <v>23.303725780000001</v>
      </c>
      <c r="DY26" s="816">
        <v>23.031625479999999</v>
      </c>
      <c r="DZ26" s="816">
        <v>23.302959229999999</v>
      </c>
      <c r="EA26" s="816">
        <v>24.044193880000002</v>
      </c>
      <c r="EB26" s="816">
        <v>13.64942003</v>
      </c>
      <c r="EC26" s="816">
        <v>13.50258047</v>
      </c>
      <c r="ED26" s="816">
        <v>13.33479187</v>
      </c>
      <c r="EE26" s="816">
        <v>61.033171250000002</v>
      </c>
      <c r="EF26" s="816">
        <v>166.53730085000001</v>
      </c>
      <c r="EG26" s="816">
        <v>165.90394079000001</v>
      </c>
      <c r="EH26" s="816">
        <v>151.41411975</v>
      </c>
      <c r="EI26" s="816">
        <v>150.42380023999999</v>
      </c>
      <c r="EJ26" s="816">
        <v>150.76237373999999</v>
      </c>
      <c r="EK26" s="816">
        <v>124.46548602999999</v>
      </c>
      <c r="EL26" s="816">
        <v>125.50325795000001</v>
      </c>
      <c r="EM26" s="816">
        <v>48.161160549999998</v>
      </c>
      <c r="EN26" s="816">
        <v>46.952287830000003</v>
      </c>
      <c r="EO26" s="816">
        <v>35.30251852</v>
      </c>
      <c r="EP26" s="816">
        <v>35.012272000000003</v>
      </c>
      <c r="EQ26" s="816">
        <v>34.823760030000003</v>
      </c>
      <c r="ER26" s="816">
        <v>35.9342939</v>
      </c>
      <c r="ES26" s="816">
        <v>36.229905309999999</v>
      </c>
      <c r="ET26" s="816">
        <v>36.020483409999997</v>
      </c>
      <c r="EU26" s="816">
        <v>37.122490999999997</v>
      </c>
      <c r="EV26" s="816">
        <v>36.514671139999997</v>
      </c>
      <c r="EW26" s="816">
        <v>24.029622679999999</v>
      </c>
      <c r="EX26" s="816">
        <v>24.110676359999999</v>
      </c>
      <c r="EY26" s="816">
        <v>23.63194721</v>
      </c>
      <c r="EZ26" s="816">
        <v>24.385334719999999</v>
      </c>
      <c r="FA26" s="816">
        <v>24.20836748</v>
      </c>
      <c r="FB26" s="816">
        <v>24.01860288</v>
      </c>
      <c r="FC26" s="816">
        <v>10.35892905</v>
      </c>
      <c r="FD26" s="816">
        <v>10.999561440000001</v>
      </c>
      <c r="FE26" s="816">
        <v>10.592938500000001</v>
      </c>
      <c r="FF26" s="816">
        <v>10.23566063</v>
      </c>
      <c r="FG26" s="816">
        <v>10.09950218</v>
      </c>
      <c r="FH26" s="1712" t="s">
        <v>4067</v>
      </c>
    </row>
    <row r="27" spans="1:164" ht="21">
      <c r="A27" s="1723" t="s">
        <v>1962</v>
      </c>
      <c r="B27" s="791">
        <f>+B25-B26</f>
        <v>1792.2602906400002</v>
      </c>
      <c r="C27" s="792">
        <f t="shared" ref="C27:V27" si="8">+C25-C26</f>
        <v>1402.1761857300003</v>
      </c>
      <c r="D27" s="792">
        <f t="shared" si="8"/>
        <v>1426.7374292</v>
      </c>
      <c r="E27" s="792">
        <f t="shared" si="8"/>
        <v>1460.8710093100001</v>
      </c>
      <c r="F27" s="792">
        <f t="shared" si="8"/>
        <v>1475.6843711199999</v>
      </c>
      <c r="G27" s="792">
        <f t="shared" si="8"/>
        <v>1498.054752</v>
      </c>
      <c r="H27" s="792">
        <f t="shared" si="8"/>
        <v>1505.5370049999999</v>
      </c>
      <c r="I27" s="792">
        <f t="shared" si="8"/>
        <v>1542.9347331700001</v>
      </c>
      <c r="J27" s="792">
        <f t="shared" si="8"/>
        <v>1551.1719653799998</v>
      </c>
      <c r="K27" s="792">
        <f t="shared" si="8"/>
        <v>1564.9780804600002</v>
      </c>
      <c r="L27" s="792">
        <f t="shared" si="8"/>
        <v>1580.4649134500003</v>
      </c>
      <c r="M27" s="784">
        <f t="shared" si="8"/>
        <v>1620.9351596399999</v>
      </c>
      <c r="N27" s="784">
        <f t="shared" si="8"/>
        <v>1618.7990618400001</v>
      </c>
      <c r="O27" s="784">
        <f t="shared" si="8"/>
        <v>1624.8415451600001</v>
      </c>
      <c r="P27" s="781">
        <f t="shared" si="8"/>
        <v>1653.3635211000001</v>
      </c>
      <c r="Q27" s="781">
        <f t="shared" si="8"/>
        <v>1724.84664552</v>
      </c>
      <c r="R27" s="781">
        <f t="shared" si="8"/>
        <v>1841.2042416700001</v>
      </c>
      <c r="S27" s="781">
        <f t="shared" si="8"/>
        <v>1889.5416283700004</v>
      </c>
      <c r="T27" s="781">
        <f t="shared" si="8"/>
        <v>1922.3898623699999</v>
      </c>
      <c r="U27" s="781">
        <f t="shared" si="8"/>
        <v>1954.6407608000002</v>
      </c>
      <c r="V27" s="781">
        <f t="shared" si="8"/>
        <v>1999.5241693300004</v>
      </c>
      <c r="W27" s="781">
        <v>1993.0748846500001</v>
      </c>
      <c r="X27" s="781">
        <v>2036.7834602299999</v>
      </c>
      <c r="Y27" s="784">
        <v>2081.3252252500001</v>
      </c>
      <c r="Z27" s="781">
        <v>2076.2004214899998</v>
      </c>
      <c r="AA27" s="784">
        <v>2276.2519081100004</v>
      </c>
      <c r="AB27" s="784">
        <f>+AB25-AB26</f>
        <v>2253.9151458799997</v>
      </c>
      <c r="AC27" s="784">
        <v>2275.3962564400003</v>
      </c>
      <c r="AD27" s="784">
        <v>2275.3962564400003</v>
      </c>
      <c r="AE27" s="784">
        <v>2239.3668147200001</v>
      </c>
      <c r="AF27" s="784">
        <v>2232.7826499000003</v>
      </c>
      <c r="AG27" s="784">
        <v>2258.6796801200003</v>
      </c>
      <c r="AH27" s="784">
        <f>+AH25-AH26</f>
        <v>1860.9493400399999</v>
      </c>
      <c r="AI27" s="784">
        <v>1955.3491408299999</v>
      </c>
      <c r="AJ27" s="784">
        <f>+AJ25-AJ26</f>
        <v>1951.5734904900005</v>
      </c>
      <c r="AK27" s="784">
        <f>+AK25-AK26</f>
        <v>2396.1806023300001</v>
      </c>
      <c r="AL27" s="784">
        <v>2190.2636649999999</v>
      </c>
      <c r="AM27" s="784">
        <f>+AM25-AM26</f>
        <v>2155.0558031400005</v>
      </c>
      <c r="AN27" s="784">
        <f>+AN25-AN26</f>
        <v>2108.2658712500001</v>
      </c>
      <c r="AO27" s="784">
        <f>+AO25-AO26</f>
        <v>2047.2743611799999</v>
      </c>
      <c r="AP27" s="784">
        <v>1986.3946843499998</v>
      </c>
      <c r="AQ27" s="784">
        <v>2010.8046997600002</v>
      </c>
      <c r="AR27" s="784">
        <v>1955.7626702599998</v>
      </c>
      <c r="AS27" s="784">
        <v>1857.7811901199998</v>
      </c>
      <c r="AT27" s="784">
        <f>AT11-AT15</f>
        <v>1911.02596343</v>
      </c>
      <c r="AU27" s="784">
        <v>1830.00539944</v>
      </c>
      <c r="AV27" s="784">
        <v>1707.5879137300003</v>
      </c>
      <c r="AW27" s="784">
        <v>1728.5173107000001</v>
      </c>
      <c r="AX27" s="784">
        <v>1725.0994225499999</v>
      </c>
      <c r="AY27" s="784">
        <v>1662.1779603800003</v>
      </c>
      <c r="AZ27" s="784">
        <v>1516.0975737900001</v>
      </c>
      <c r="BA27" s="784">
        <v>1512.4894739999997</v>
      </c>
      <c r="BB27" s="784">
        <v>1495.4666733199999</v>
      </c>
      <c r="BC27" s="784">
        <v>1531.4346485600004</v>
      </c>
      <c r="BD27" s="784">
        <f>BD11-BD15</f>
        <v>1564.7706277900002</v>
      </c>
      <c r="BE27" s="784">
        <v>1549.4803202100002</v>
      </c>
      <c r="BF27" s="784">
        <v>1558.366571</v>
      </c>
      <c r="BG27" s="784">
        <v>1556.3011734399997</v>
      </c>
      <c r="BH27" s="827">
        <v>1558.5492373499997</v>
      </c>
      <c r="BI27" s="816">
        <v>1603.1315511500002</v>
      </c>
      <c r="BJ27" s="816">
        <v>1510.4385982900001</v>
      </c>
      <c r="BK27" s="816">
        <v>1482.2558371599998</v>
      </c>
      <c r="BL27" s="816">
        <v>1490.0918882800001</v>
      </c>
      <c r="BM27" s="816">
        <v>1494.55158787</v>
      </c>
      <c r="BN27" s="816">
        <v>1496.3978396499999</v>
      </c>
      <c r="BO27" s="816">
        <v>1515.5306530800003</v>
      </c>
      <c r="BP27" s="816">
        <v>1519.31498302</v>
      </c>
      <c r="BQ27" s="816">
        <v>1500.58150013</v>
      </c>
      <c r="BR27" s="816">
        <v>1491.95456156</v>
      </c>
      <c r="BS27" s="816">
        <v>1491.2010793899999</v>
      </c>
      <c r="BT27" s="816">
        <v>1488.8602761600002</v>
      </c>
      <c r="BU27" s="816">
        <v>1722.8021542700001</v>
      </c>
      <c r="BV27" s="816">
        <v>1743.8654935799998</v>
      </c>
      <c r="BW27" s="816">
        <v>1764.4121070199999</v>
      </c>
      <c r="BX27" s="816">
        <v>1780.6886716199997</v>
      </c>
      <c r="BY27" s="816">
        <v>1774.2475243100005</v>
      </c>
      <c r="BZ27" s="816">
        <v>1781.8791630700005</v>
      </c>
      <c r="CA27" s="816">
        <v>1785.8155442099996</v>
      </c>
      <c r="CB27" s="816">
        <v>1776.5387380300003</v>
      </c>
      <c r="CC27" s="816">
        <v>1770.3814388800001</v>
      </c>
      <c r="CD27" s="816">
        <v>1820.5574143499998</v>
      </c>
      <c r="CE27" s="816">
        <f t="shared" ref="CE27:CN27" si="9">+CE11-CE15</f>
        <v>1833.8490861099997</v>
      </c>
      <c r="CF27" s="816">
        <f t="shared" si="9"/>
        <v>1707.1444297299995</v>
      </c>
      <c r="CG27" s="816">
        <f t="shared" si="9"/>
        <v>1865.9177426899996</v>
      </c>
      <c r="CH27" s="816">
        <f t="shared" si="9"/>
        <v>1831.3405858999997</v>
      </c>
      <c r="CI27" s="816">
        <f t="shared" si="9"/>
        <v>1857.9560844399998</v>
      </c>
      <c r="CJ27" s="816">
        <f t="shared" si="9"/>
        <v>1834.65640446</v>
      </c>
      <c r="CK27" s="816">
        <f t="shared" si="9"/>
        <v>1752.4787893399998</v>
      </c>
      <c r="CL27" s="816">
        <f t="shared" si="9"/>
        <v>1706.56619112</v>
      </c>
      <c r="CM27" s="816">
        <f t="shared" si="9"/>
        <v>1704.5525421899997</v>
      </c>
      <c r="CN27" s="816">
        <f t="shared" si="9"/>
        <v>1676.8121490000003</v>
      </c>
      <c r="CO27" s="816">
        <f>+CO25-CO26</f>
        <v>1694.0206208800003</v>
      </c>
      <c r="CP27" s="816">
        <f>+CP25-CP26</f>
        <v>1818.1831024000001</v>
      </c>
      <c r="CQ27" s="816">
        <f>+CQ25-CQ26</f>
        <v>1880.3786263700001</v>
      </c>
      <c r="CR27" s="816">
        <f>+CR25-CR26</f>
        <v>1893.54913104</v>
      </c>
      <c r="CS27" s="816">
        <v>1934.7928280900001</v>
      </c>
      <c r="CT27" s="816">
        <v>1923.60717604</v>
      </c>
      <c r="CU27" s="816">
        <v>1788.65849002</v>
      </c>
      <c r="CV27" s="816">
        <v>1805.06501088</v>
      </c>
      <c r="CW27" s="816">
        <v>1830.3557394100001</v>
      </c>
      <c r="CX27" s="816">
        <v>1821.0392122600001</v>
      </c>
      <c r="CY27" s="816">
        <v>1813.7708558100001</v>
      </c>
      <c r="CZ27" s="816">
        <v>1789.23471475</v>
      </c>
      <c r="DA27" s="816">
        <v>1776.6829537000001</v>
      </c>
      <c r="DB27" s="816">
        <v>1780.9764445000001</v>
      </c>
      <c r="DC27" s="816">
        <v>1868.34034163</v>
      </c>
      <c r="DD27" s="816">
        <v>1900.8963668199999</v>
      </c>
      <c r="DE27" s="816">
        <v>1985.0082254500001</v>
      </c>
      <c r="DF27" s="816">
        <v>1960.5393263799999</v>
      </c>
      <c r="DG27" s="816">
        <v>1982.1828276000001</v>
      </c>
      <c r="DH27" s="816">
        <v>1996.22070691</v>
      </c>
      <c r="DI27" s="816">
        <v>1968.9992049800001</v>
      </c>
      <c r="DJ27" s="816">
        <v>2022.2337204400001</v>
      </c>
      <c r="DK27" s="816">
        <v>2020.7922875300001</v>
      </c>
      <c r="DL27" s="816">
        <v>1997.3065305</v>
      </c>
      <c r="DM27" s="816">
        <v>1996.1496795999999</v>
      </c>
      <c r="DN27" s="816">
        <v>2037.0203072199999</v>
      </c>
      <c r="DO27" s="816">
        <v>2105.9916752300001</v>
      </c>
      <c r="DP27" s="816">
        <v>2182.2110713900001</v>
      </c>
      <c r="DQ27" s="816">
        <v>2166.9288501999999</v>
      </c>
      <c r="DR27" s="816">
        <v>2140.2420506600001</v>
      </c>
      <c r="DS27" s="816">
        <v>2147.3527207000002</v>
      </c>
      <c r="DT27" s="816">
        <v>2207.69252241</v>
      </c>
      <c r="DU27" s="816">
        <v>2222.64714478</v>
      </c>
      <c r="DV27" s="816">
        <v>2227.7178962399998</v>
      </c>
      <c r="DW27" s="816">
        <v>2262.5688266400002</v>
      </c>
      <c r="DX27" s="816">
        <v>2274.16628356</v>
      </c>
      <c r="DY27" s="816">
        <v>2282.0959754</v>
      </c>
      <c r="DZ27" s="816">
        <v>2301.60341277</v>
      </c>
      <c r="EA27" s="816">
        <v>2243.0260855800002</v>
      </c>
      <c r="EB27" s="816">
        <v>2287.8257338100002</v>
      </c>
      <c r="EC27" s="816">
        <v>2267.0219385700002</v>
      </c>
      <c r="ED27" s="816">
        <v>2281.95719366</v>
      </c>
      <c r="EE27" s="816">
        <v>2293.9880692800002</v>
      </c>
      <c r="EF27" s="816">
        <v>2366.9363802900002</v>
      </c>
      <c r="EG27" s="816">
        <v>2403.5950896899999</v>
      </c>
      <c r="EH27" s="816">
        <v>2451.0006652500001</v>
      </c>
      <c r="EI27" s="816">
        <v>2527.3878633499999</v>
      </c>
      <c r="EJ27" s="816">
        <v>2499.6051961200001</v>
      </c>
      <c r="EK27" s="816">
        <v>2497.0376674099998</v>
      </c>
      <c r="EL27" s="816">
        <v>2585.6566947299998</v>
      </c>
      <c r="EM27" s="816">
        <v>2666.8125481299999</v>
      </c>
      <c r="EN27" s="816">
        <v>2671.4192158699998</v>
      </c>
      <c r="EO27" s="816">
        <v>2646.6031159600002</v>
      </c>
      <c r="EP27" s="816">
        <v>2574.9086201199998</v>
      </c>
      <c r="EQ27" s="816">
        <v>2575.4578292800002</v>
      </c>
      <c r="ER27" s="816">
        <v>2582.63660325</v>
      </c>
      <c r="ES27" s="816">
        <v>2583.27455379</v>
      </c>
      <c r="ET27" s="816">
        <v>2600.6379869399998</v>
      </c>
      <c r="EU27" s="816">
        <v>2636.0686736799998</v>
      </c>
      <c r="EV27" s="816">
        <v>2645.3543492899998</v>
      </c>
      <c r="EW27" s="816">
        <v>2611.4829407799998</v>
      </c>
      <c r="EX27" s="816">
        <v>2656.5506780300002</v>
      </c>
      <c r="EY27" s="816">
        <v>2583.1275504199998</v>
      </c>
      <c r="EZ27" s="816">
        <v>2647.1595965199999</v>
      </c>
      <c r="FA27" s="816">
        <v>2714.4962688199998</v>
      </c>
      <c r="FB27" s="816">
        <v>2710.1794161100001</v>
      </c>
      <c r="FC27" s="816">
        <v>2729.4076148300001</v>
      </c>
      <c r="FD27" s="816">
        <v>2700.5777878499998</v>
      </c>
      <c r="FE27" s="816">
        <v>2711.22845117</v>
      </c>
      <c r="FF27" s="816">
        <v>2695.2067275499999</v>
      </c>
      <c r="FG27" s="816">
        <v>2723.6723476500001</v>
      </c>
      <c r="FH27" s="1712" t="s">
        <v>4066</v>
      </c>
    </row>
    <row r="28" spans="1:164" ht="21">
      <c r="A28" s="1721"/>
      <c r="B28" s="792"/>
      <c r="C28" s="792"/>
      <c r="D28" s="792"/>
      <c r="E28" s="792"/>
      <c r="F28" s="792"/>
      <c r="G28" s="792"/>
      <c r="H28" s="792"/>
      <c r="I28" s="792"/>
      <c r="J28" s="792"/>
      <c r="K28" s="792"/>
      <c r="L28" s="792"/>
      <c r="M28" s="784"/>
      <c r="N28" s="784"/>
      <c r="O28" s="784"/>
      <c r="P28" s="784"/>
      <c r="Q28" s="784"/>
      <c r="R28" s="784"/>
      <c r="S28" s="784"/>
      <c r="T28" s="784"/>
      <c r="U28" s="784"/>
      <c r="V28" s="784"/>
      <c r="W28" s="784"/>
      <c r="X28" s="784"/>
      <c r="Y28" s="784"/>
      <c r="Z28" s="784"/>
      <c r="AA28" s="784"/>
      <c r="AB28" s="784"/>
      <c r="AC28" s="784"/>
      <c r="AD28" s="784"/>
      <c r="AE28" s="784"/>
      <c r="AF28" s="784"/>
      <c r="AG28" s="784"/>
      <c r="AH28" s="784"/>
      <c r="AI28" s="784"/>
      <c r="AJ28" s="784"/>
      <c r="AK28" s="784"/>
      <c r="AL28" s="784"/>
      <c r="AM28" s="784"/>
      <c r="AN28" s="784"/>
      <c r="AO28" s="784"/>
      <c r="AP28" s="784"/>
      <c r="AQ28" s="784"/>
      <c r="AR28" s="784"/>
      <c r="AS28" s="784"/>
      <c r="AT28" s="784"/>
      <c r="AU28" s="784"/>
      <c r="AV28" s="784"/>
      <c r="AW28" s="784"/>
      <c r="AX28" s="784"/>
      <c r="AY28" s="784"/>
      <c r="AZ28" s="784"/>
      <c r="BA28" s="784"/>
      <c r="BB28" s="784"/>
      <c r="BC28" s="784"/>
      <c r="BD28" s="784"/>
      <c r="BE28" s="784"/>
      <c r="BF28" s="784"/>
      <c r="BG28" s="784"/>
      <c r="BH28" s="827"/>
      <c r="BI28" s="816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7"/>
      <c r="CN28" s="817"/>
      <c r="CO28" s="817"/>
      <c r="CP28" s="817"/>
      <c r="CQ28" s="817"/>
      <c r="CR28" s="817"/>
      <c r="CS28" s="817"/>
      <c r="CT28" s="817"/>
      <c r="CU28" s="817"/>
      <c r="CV28" s="817"/>
      <c r="CW28" s="817"/>
      <c r="CX28" s="817"/>
      <c r="CY28" s="817"/>
      <c r="CZ28" s="817"/>
      <c r="DA28" s="817"/>
      <c r="DB28" s="817"/>
      <c r="DC28" s="817"/>
      <c r="DD28" s="817"/>
      <c r="DE28" s="817"/>
      <c r="DF28" s="817"/>
      <c r="DG28" s="817"/>
      <c r="DH28" s="817"/>
      <c r="DI28" s="817"/>
      <c r="DJ28" s="817"/>
      <c r="DK28" s="817"/>
      <c r="DL28" s="817"/>
      <c r="DM28" s="817"/>
      <c r="DN28" s="817"/>
      <c r="DO28" s="817"/>
      <c r="DP28" s="817"/>
      <c r="DQ28" s="817"/>
      <c r="DR28" s="817"/>
      <c r="DS28" s="817"/>
      <c r="DT28" s="817"/>
      <c r="DU28" s="817"/>
      <c r="DV28" s="817"/>
      <c r="DW28" s="817"/>
      <c r="DX28" s="817"/>
      <c r="DY28" s="817"/>
      <c r="DZ28" s="817"/>
      <c r="EA28" s="817"/>
      <c r="EB28" s="817"/>
      <c r="EC28" s="817"/>
      <c r="ED28" s="817"/>
      <c r="EE28" s="817"/>
      <c r="EF28" s="817"/>
      <c r="EG28" s="817"/>
      <c r="EH28" s="817"/>
      <c r="EI28" s="817"/>
      <c r="EJ28" s="817"/>
      <c r="EK28" s="817"/>
      <c r="EL28" s="817"/>
      <c r="EM28" s="817"/>
      <c r="EN28" s="817"/>
      <c r="EO28" s="817"/>
      <c r="EP28" s="817"/>
      <c r="EQ28" s="817"/>
      <c r="ER28" s="817"/>
      <c r="ES28" s="817"/>
      <c r="ET28" s="817"/>
      <c r="EU28" s="817"/>
      <c r="EV28" s="817"/>
      <c r="EW28" s="817"/>
      <c r="EX28" s="817"/>
      <c r="EY28" s="817"/>
      <c r="EZ28" s="817"/>
      <c r="FA28" s="817"/>
      <c r="FB28" s="817"/>
      <c r="FC28" s="817"/>
      <c r="FD28" s="817"/>
      <c r="FE28" s="817"/>
      <c r="FF28" s="817"/>
      <c r="FG28" s="817"/>
      <c r="FH28" s="1711"/>
    </row>
    <row r="29" spans="1:164" ht="21">
      <c r="A29" s="1744" t="s">
        <v>185</v>
      </c>
      <c r="B29" s="792">
        <v>1051.2971380200001</v>
      </c>
      <c r="C29" s="792">
        <v>863.21059308999997</v>
      </c>
      <c r="D29" s="792">
        <v>882.10763730999997</v>
      </c>
      <c r="E29" s="792">
        <v>905.16051578999998</v>
      </c>
      <c r="F29" s="792">
        <v>913.04574754999999</v>
      </c>
      <c r="G29" s="792">
        <v>933.40657168000007</v>
      </c>
      <c r="H29" s="792">
        <v>924.4305399399999</v>
      </c>
      <c r="I29" s="792">
        <v>957.31052016000001</v>
      </c>
      <c r="J29" s="792">
        <v>958.96515810999995</v>
      </c>
      <c r="K29" s="792">
        <v>973.4908184200001</v>
      </c>
      <c r="L29" s="792">
        <v>988.51506726000014</v>
      </c>
      <c r="M29" s="781">
        <v>1010.60045113</v>
      </c>
      <c r="N29" s="784">
        <v>1008.4523689499999</v>
      </c>
      <c r="O29" s="784">
        <v>1020.0525263799999</v>
      </c>
      <c r="P29" s="784">
        <v>1051.4977110699999</v>
      </c>
      <c r="Q29" s="784">
        <v>1120.87929244</v>
      </c>
      <c r="R29" s="784">
        <v>1244.2217160900002</v>
      </c>
      <c r="S29" s="784">
        <v>1299.8950151300003</v>
      </c>
      <c r="T29" s="784">
        <v>1338.0773258300001</v>
      </c>
      <c r="U29" s="784">
        <v>1367.87690959</v>
      </c>
      <c r="V29" s="784">
        <v>1407.27796491</v>
      </c>
      <c r="W29" s="784">
        <v>1397.6033922100003</v>
      </c>
      <c r="X29" s="784">
        <v>1429.5477786399999</v>
      </c>
      <c r="Y29" s="781">
        <v>1454.6981517000002</v>
      </c>
      <c r="Z29" s="784">
        <v>1439.30056423</v>
      </c>
      <c r="AA29" s="784">
        <v>1397.4730488100001</v>
      </c>
      <c r="AB29" s="781">
        <v>1381.4198528599998</v>
      </c>
      <c r="AC29" s="781">
        <v>1378.8735066000002</v>
      </c>
      <c r="AD29" s="781">
        <v>1364.9657972800001</v>
      </c>
      <c r="AE29" s="781">
        <v>1359.8761961599998</v>
      </c>
      <c r="AF29" s="781">
        <v>1369.3943097500003</v>
      </c>
      <c r="AG29" s="781">
        <v>1407.00302829</v>
      </c>
      <c r="AH29" s="781">
        <v>1063.3913725</v>
      </c>
      <c r="AI29" s="781">
        <v>1188.3039646399998</v>
      </c>
      <c r="AJ29" s="781">
        <v>1190.0924234700003</v>
      </c>
      <c r="AK29" s="781">
        <v>1275.0371968100001</v>
      </c>
      <c r="AL29" s="781">
        <v>1051.23363582</v>
      </c>
      <c r="AM29" s="781">
        <v>1044.0403782600001</v>
      </c>
      <c r="AN29" s="781">
        <v>996.13653473000011</v>
      </c>
      <c r="AO29" s="781">
        <v>982.64020602000005</v>
      </c>
      <c r="AP29" s="781">
        <v>974.92539325999985</v>
      </c>
      <c r="AQ29" s="781">
        <v>975.89528699000005</v>
      </c>
      <c r="AR29" s="781">
        <v>1065.5010931499999</v>
      </c>
      <c r="AS29" s="781">
        <v>1068.76417406</v>
      </c>
      <c r="AT29" s="781">
        <v>1075.32838874</v>
      </c>
      <c r="AU29" s="781">
        <v>1075.0922423699999</v>
      </c>
      <c r="AV29" s="781">
        <v>1108.1851466799999</v>
      </c>
      <c r="AW29" s="781">
        <v>1156.56883939</v>
      </c>
      <c r="AX29" s="781">
        <v>1147.4345868799999</v>
      </c>
      <c r="AY29" s="781">
        <v>1149.84479816</v>
      </c>
      <c r="AZ29" s="781">
        <v>1015.70771472</v>
      </c>
      <c r="BA29" s="781">
        <v>1022.98958147</v>
      </c>
      <c r="BB29" s="781">
        <v>987.22345579</v>
      </c>
      <c r="BC29" s="781">
        <v>964.8867610100001</v>
      </c>
      <c r="BD29" s="781">
        <v>1060.38014567</v>
      </c>
      <c r="BE29" s="781">
        <v>1052.1236565500001</v>
      </c>
      <c r="BF29" s="781">
        <v>1039.3215700200001</v>
      </c>
      <c r="BG29" s="781">
        <v>1031.05925112</v>
      </c>
      <c r="BH29" s="826">
        <v>1010.0085459899999</v>
      </c>
      <c r="BI29" s="815">
        <v>1016.04957896</v>
      </c>
      <c r="BJ29" s="815">
        <v>956.43121764000011</v>
      </c>
      <c r="BK29" s="815">
        <v>966.02915640999993</v>
      </c>
      <c r="BL29" s="815">
        <v>958.65102236999996</v>
      </c>
      <c r="BM29" s="815">
        <v>961.82977522999988</v>
      </c>
      <c r="BN29" s="815">
        <v>959.67023933999997</v>
      </c>
      <c r="BO29" s="815">
        <v>966.37262088</v>
      </c>
      <c r="BP29" s="815">
        <v>971.03824875000009</v>
      </c>
      <c r="BQ29" s="815">
        <v>967.93412117000003</v>
      </c>
      <c r="BR29" s="815">
        <v>961.64227309</v>
      </c>
      <c r="BS29" s="815">
        <v>961.10813742999994</v>
      </c>
      <c r="BT29" s="815">
        <v>963.34728621000011</v>
      </c>
      <c r="BU29" s="815">
        <v>1014.26243864</v>
      </c>
      <c r="BV29" s="815">
        <v>1023.9082962</v>
      </c>
      <c r="BW29" s="815">
        <v>1033.1972142899999</v>
      </c>
      <c r="BX29" s="815">
        <v>1046.28096248</v>
      </c>
      <c r="BY29" s="815">
        <v>1052.9426929600002</v>
      </c>
      <c r="BZ29" s="815">
        <v>1056.23704722</v>
      </c>
      <c r="CA29" s="815">
        <v>1063.4354048999999</v>
      </c>
      <c r="CB29" s="815">
        <v>1027.1542900200002</v>
      </c>
      <c r="CC29" s="815">
        <v>1034.79060226</v>
      </c>
      <c r="CD29" s="815">
        <v>1058.78640051</v>
      </c>
      <c r="CE29" s="815">
        <v>1065.14296881</v>
      </c>
      <c r="CF29" s="815">
        <v>1076.2088567799999</v>
      </c>
      <c r="CG29" s="815">
        <v>1089.2130721799999</v>
      </c>
      <c r="CH29" s="815">
        <v>1057.5495068799999</v>
      </c>
      <c r="CI29" s="815">
        <v>1075.9409679299999</v>
      </c>
      <c r="CJ29" s="815">
        <v>1078.4753086999999</v>
      </c>
      <c r="CK29" s="815">
        <v>1021.2088854299999</v>
      </c>
      <c r="CL29" s="815">
        <v>1004.5878224200001</v>
      </c>
      <c r="CM29" s="815">
        <v>1004.15911483</v>
      </c>
      <c r="CN29" s="815">
        <v>976.8937150700001</v>
      </c>
      <c r="CO29" s="815">
        <v>992.67951362000008</v>
      </c>
      <c r="CP29" s="815">
        <v>1025.9400593599999</v>
      </c>
      <c r="CQ29" s="815">
        <v>1049.9637622800001</v>
      </c>
      <c r="CR29" s="815">
        <v>1075.0392859399999</v>
      </c>
      <c r="CS29" s="815">
        <v>1147.1576494899998</v>
      </c>
      <c r="CT29" s="815">
        <v>1144.93400548</v>
      </c>
      <c r="CU29" s="815">
        <v>1155.10478334</v>
      </c>
      <c r="CV29" s="815">
        <v>1195.09323331</v>
      </c>
      <c r="CW29" s="815">
        <v>1214.11629455</v>
      </c>
      <c r="CX29" s="815">
        <v>1210.9710471400001</v>
      </c>
      <c r="CY29" s="815">
        <v>1262.82692146</v>
      </c>
      <c r="CZ29" s="815">
        <v>1243.6465908499999</v>
      </c>
      <c r="DA29" s="815">
        <v>1233.1549781599999</v>
      </c>
      <c r="DB29" s="815">
        <v>1242.79904579</v>
      </c>
      <c r="DC29" s="815">
        <v>1230.22625498</v>
      </c>
      <c r="DD29" s="815">
        <v>1274.7829105599999</v>
      </c>
      <c r="DE29" s="815">
        <v>1389.2305498799999</v>
      </c>
      <c r="DF29" s="815">
        <v>1376.6963197</v>
      </c>
      <c r="DG29" s="815">
        <v>1398.6838827500001</v>
      </c>
      <c r="DH29" s="815">
        <v>1414.06039059</v>
      </c>
      <c r="DI29" s="815">
        <v>1388.3925193099999</v>
      </c>
      <c r="DJ29" s="815">
        <v>1439.59264749</v>
      </c>
      <c r="DK29" s="815">
        <v>1456.3210184699999</v>
      </c>
      <c r="DL29" s="815">
        <v>1428.8285920400001</v>
      </c>
      <c r="DM29" s="815">
        <v>1428.27844921</v>
      </c>
      <c r="DN29" s="815">
        <v>1473.79725001</v>
      </c>
      <c r="DO29" s="815">
        <v>1528.37586237</v>
      </c>
      <c r="DP29" s="815">
        <v>1584.5292902799999</v>
      </c>
      <c r="DQ29" s="815">
        <v>1603.3771462</v>
      </c>
      <c r="DR29" s="815">
        <v>1577.5519429999999</v>
      </c>
      <c r="DS29" s="815">
        <v>1589.8142436099999</v>
      </c>
      <c r="DT29" s="815">
        <v>1625.6033918799999</v>
      </c>
      <c r="DU29" s="815">
        <v>1636.2413974799999</v>
      </c>
      <c r="DV29" s="815">
        <v>1642.2242879299999</v>
      </c>
      <c r="DW29" s="815">
        <v>1669.9802912</v>
      </c>
      <c r="DX29" s="815">
        <v>1650.69891869</v>
      </c>
      <c r="DY29" s="815">
        <v>1667.19780977</v>
      </c>
      <c r="DZ29" s="815">
        <v>1689.9629520999999</v>
      </c>
      <c r="EA29" s="815">
        <v>1646.65474885</v>
      </c>
      <c r="EB29" s="815">
        <v>1676.9653615899999</v>
      </c>
      <c r="EC29" s="815">
        <v>1707.35678753</v>
      </c>
      <c r="ED29" s="815">
        <v>1731.5636373499999</v>
      </c>
      <c r="EE29" s="815">
        <v>1739.59655073</v>
      </c>
      <c r="EF29" s="815">
        <v>1800.9954832000001</v>
      </c>
      <c r="EG29" s="815">
        <v>1857.92893639</v>
      </c>
      <c r="EH29" s="815">
        <v>1894.8473199099999</v>
      </c>
      <c r="EI29" s="815">
        <v>1979.9669597699999</v>
      </c>
      <c r="EJ29" s="815">
        <v>1958.17040114</v>
      </c>
      <c r="EK29" s="815">
        <v>1950.8474610000001</v>
      </c>
      <c r="EL29" s="815">
        <v>2039.7870485399999</v>
      </c>
      <c r="EM29" s="815">
        <v>2051.0578994799998</v>
      </c>
      <c r="EN29" s="815">
        <v>2066.6979743500001</v>
      </c>
      <c r="EO29" s="815">
        <v>2072.81045103</v>
      </c>
      <c r="EP29" s="815">
        <v>2025.9323541900001</v>
      </c>
      <c r="EQ29" s="815">
        <v>2030.3485858900001</v>
      </c>
      <c r="ER29" s="815">
        <v>2044.2066055800001</v>
      </c>
      <c r="ES29" s="815">
        <v>2049.3610008000001</v>
      </c>
      <c r="ET29" s="815">
        <v>2067.3196414600002</v>
      </c>
      <c r="EU29" s="815">
        <v>2090.2591206699999</v>
      </c>
      <c r="EV29" s="815">
        <v>2106.2587103000001</v>
      </c>
      <c r="EW29" s="815">
        <v>2072.1954781600002</v>
      </c>
      <c r="EX29" s="815">
        <v>2116.7513813099999</v>
      </c>
      <c r="EY29" s="815">
        <v>2079.35019775</v>
      </c>
      <c r="EZ29" s="815">
        <v>2118.1062285799999</v>
      </c>
      <c r="FA29" s="815">
        <v>2166.2425973899999</v>
      </c>
      <c r="FB29" s="815">
        <v>2175.0311532800001</v>
      </c>
      <c r="FC29" s="815">
        <v>2189.1321345000001</v>
      </c>
      <c r="FD29" s="815">
        <v>2153.5533835000001</v>
      </c>
      <c r="FE29" s="815">
        <v>2184.2436955100002</v>
      </c>
      <c r="FF29" s="815">
        <v>2174.6269875399998</v>
      </c>
      <c r="FG29" s="815">
        <v>2180.7179299200002</v>
      </c>
      <c r="FH29" s="1714" t="s">
        <v>206</v>
      </c>
    </row>
    <row r="30" spans="1:164" ht="21">
      <c r="A30" s="1745" t="s">
        <v>1961</v>
      </c>
      <c r="B30" s="792">
        <v>3.5438626200000001</v>
      </c>
      <c r="C30" s="792">
        <v>3.4575012799999998</v>
      </c>
      <c r="D30" s="792">
        <v>3.3476030899999998</v>
      </c>
      <c r="E30" s="792">
        <v>3.2374337299999998</v>
      </c>
      <c r="F30" s="792">
        <v>2.1991751699999997</v>
      </c>
      <c r="G30" s="792">
        <v>1.7754475700000001</v>
      </c>
      <c r="H30" s="792">
        <v>1.5948678000000001</v>
      </c>
      <c r="I30" s="792">
        <v>1.7772183700000002</v>
      </c>
      <c r="J30" s="792">
        <v>1.7345310700000001</v>
      </c>
      <c r="K30" s="792">
        <v>1.78339351</v>
      </c>
      <c r="L30" s="792">
        <v>1.5727561799999998</v>
      </c>
      <c r="M30" s="784">
        <v>1.6424446799999999</v>
      </c>
      <c r="N30" s="784">
        <v>1.5918023700000001</v>
      </c>
      <c r="O30" s="784">
        <v>1.6049320499999999</v>
      </c>
      <c r="P30" s="784">
        <v>1.5796806799999998</v>
      </c>
      <c r="Q30" s="784">
        <v>1.5462502499999999</v>
      </c>
      <c r="R30" s="784">
        <v>5.3023439699999999</v>
      </c>
      <c r="S30" s="784">
        <v>5.3074589000000003</v>
      </c>
      <c r="T30" s="784">
        <v>5.4182640499999994</v>
      </c>
      <c r="U30" s="784">
        <v>5.36839567</v>
      </c>
      <c r="V30" s="784">
        <v>5.3240697699999995</v>
      </c>
      <c r="W30" s="784">
        <v>5.2681187400000002</v>
      </c>
      <c r="X30" s="784">
        <v>4.1233982300000003</v>
      </c>
      <c r="Y30" s="784">
        <v>3.96492887</v>
      </c>
      <c r="Z30" s="784">
        <v>3.34767437</v>
      </c>
      <c r="AA30" s="784">
        <v>3.5906461800000002</v>
      </c>
      <c r="AB30" s="784">
        <v>3.5547388300000002</v>
      </c>
      <c r="AC30" s="784">
        <v>3.53214585</v>
      </c>
      <c r="AD30" s="784">
        <v>3.6589865699999997</v>
      </c>
      <c r="AE30" s="784">
        <v>3.6254759399999998</v>
      </c>
      <c r="AF30" s="784">
        <v>3.54926414</v>
      </c>
      <c r="AG30" s="784">
        <v>3.5032754800000001</v>
      </c>
      <c r="AH30" s="784">
        <v>4.01008926</v>
      </c>
      <c r="AI30" s="784">
        <v>4.0608173999999995</v>
      </c>
      <c r="AJ30" s="784">
        <v>4.0432933499999999</v>
      </c>
      <c r="AK30" s="784">
        <v>4.16292259</v>
      </c>
      <c r="AL30" s="784">
        <v>1.69327747</v>
      </c>
      <c r="AM30" s="784">
        <v>1.6847077099999999</v>
      </c>
      <c r="AN30" s="784">
        <v>1.86719144</v>
      </c>
      <c r="AO30" s="784">
        <v>1.93758754</v>
      </c>
      <c r="AP30" s="784">
        <v>1.8480308000000001</v>
      </c>
      <c r="AQ30" s="784">
        <v>2.2375954300000003</v>
      </c>
      <c r="AR30" s="784">
        <v>2.4268213300000001</v>
      </c>
      <c r="AS30" s="784">
        <v>2.6519140099999996</v>
      </c>
      <c r="AT30" s="784">
        <v>2.5902101800000001</v>
      </c>
      <c r="AU30" s="784">
        <v>2.5286353199999998</v>
      </c>
      <c r="AV30" s="784">
        <v>11.7338779</v>
      </c>
      <c r="AW30" s="784">
        <v>11.816196400000001</v>
      </c>
      <c r="AX30" s="784">
        <v>11.767152449999999</v>
      </c>
      <c r="AY30" s="784">
        <v>11.650934400000001</v>
      </c>
      <c r="AZ30" s="784">
        <v>11.553162560000001</v>
      </c>
      <c r="BA30" s="784">
        <v>11.479703710000001</v>
      </c>
      <c r="BB30" s="784">
        <v>11.310909029999999</v>
      </c>
      <c r="BC30" s="784">
        <v>11.20070823</v>
      </c>
      <c r="BD30" s="784">
        <v>11.11828401</v>
      </c>
      <c r="BE30" s="784">
        <v>10.89785305</v>
      </c>
      <c r="BF30" s="784">
        <v>11.18711498</v>
      </c>
      <c r="BG30" s="784">
        <v>11.084037369999999</v>
      </c>
      <c r="BH30" s="827">
        <v>10.981226919999999</v>
      </c>
      <c r="BI30" s="816">
        <v>10.840376710000001</v>
      </c>
      <c r="BJ30" s="816">
        <v>10.77751217</v>
      </c>
      <c r="BK30" s="816">
        <v>10.701140429999999</v>
      </c>
      <c r="BL30" s="816">
        <v>10.64202459</v>
      </c>
      <c r="BM30" s="816">
        <v>10.567771369999999</v>
      </c>
      <c r="BN30" s="816">
        <v>10.39085167</v>
      </c>
      <c r="BO30" s="816">
        <v>10.37367792</v>
      </c>
      <c r="BP30" s="816">
        <v>10.34334877</v>
      </c>
      <c r="BQ30" s="816">
        <v>10.290430560000001</v>
      </c>
      <c r="BR30" s="816">
        <v>10.336641</v>
      </c>
      <c r="BS30" s="816">
        <v>10.373628070000001</v>
      </c>
      <c r="BT30" s="816">
        <v>10.590361420000001</v>
      </c>
      <c r="BU30" s="816">
        <v>10.647549029999999</v>
      </c>
      <c r="BV30" s="816">
        <v>10.61796111</v>
      </c>
      <c r="BW30" s="816">
        <v>10.58178126</v>
      </c>
      <c r="BX30" s="816">
        <v>10.927345789999999</v>
      </c>
      <c r="BY30" s="816">
        <v>10.547937340000001</v>
      </c>
      <c r="BZ30" s="816">
        <v>10.57874427</v>
      </c>
      <c r="CA30" s="816">
        <v>10.511925289999999</v>
      </c>
      <c r="CB30" s="816">
        <v>10.629458140000001</v>
      </c>
      <c r="CC30" s="816">
        <v>10.59784282</v>
      </c>
      <c r="CD30" s="816">
        <v>10.580902349999999</v>
      </c>
      <c r="CE30" s="816">
        <v>10.5765098</v>
      </c>
      <c r="CF30" s="816">
        <v>10.62791223</v>
      </c>
      <c r="CG30" s="816">
        <v>10.597242300000001</v>
      </c>
      <c r="CH30" s="816">
        <v>10.572241529999999</v>
      </c>
      <c r="CI30" s="816">
        <v>10.713374400000001</v>
      </c>
      <c r="CJ30" s="816">
        <v>10.688598929999999</v>
      </c>
      <c r="CK30" s="816">
        <v>10.607110369999999</v>
      </c>
      <c r="CL30" s="816">
        <v>10.233971739999999</v>
      </c>
      <c r="CM30" s="816">
        <v>10.229623500000001</v>
      </c>
      <c r="CN30" s="816">
        <v>10.212965539999999</v>
      </c>
      <c r="CO30" s="816">
        <v>10.209457</v>
      </c>
      <c r="CP30" s="816">
        <v>10.85161604</v>
      </c>
      <c r="CQ30" s="816">
        <v>10.839672539999999</v>
      </c>
      <c r="CR30" s="816">
        <v>10.83003298</v>
      </c>
      <c r="CS30" s="816">
        <v>10.8623779</v>
      </c>
      <c r="CT30" s="816">
        <v>10.85097418</v>
      </c>
      <c r="CU30" s="816">
        <v>11.132223059999999</v>
      </c>
      <c r="CV30" s="816">
        <v>11.1168555</v>
      </c>
      <c r="CW30" s="816">
        <v>11.33596371</v>
      </c>
      <c r="CX30" s="816">
        <v>11.30016968</v>
      </c>
      <c r="CY30" s="816">
        <v>11.241448350000001</v>
      </c>
      <c r="CZ30" s="816">
        <v>11.208777660000001</v>
      </c>
      <c r="DA30" s="816">
        <v>11.3704044</v>
      </c>
      <c r="DB30" s="816">
        <v>11.33797994</v>
      </c>
      <c r="DC30" s="816">
        <v>11.64005163</v>
      </c>
      <c r="DD30" s="816">
        <v>11.84844264</v>
      </c>
      <c r="DE30" s="816">
        <v>17.918187769999999</v>
      </c>
      <c r="DF30" s="816">
        <v>17.87519751</v>
      </c>
      <c r="DG30" s="816">
        <v>17.322828909999998</v>
      </c>
      <c r="DH30" s="816">
        <v>17.307342169999998</v>
      </c>
      <c r="DI30" s="816">
        <v>18.25918399</v>
      </c>
      <c r="DJ30" s="816">
        <v>18.23791829</v>
      </c>
      <c r="DK30" s="816">
        <v>18.34781207</v>
      </c>
      <c r="DL30" s="816">
        <v>18.313479099999999</v>
      </c>
      <c r="DM30" s="816">
        <v>18.459762900000001</v>
      </c>
      <c r="DN30" s="816">
        <v>20.62515286</v>
      </c>
      <c r="DO30" s="816">
        <v>20.555549450000001</v>
      </c>
      <c r="DP30" s="816">
        <v>22.498029890000002</v>
      </c>
      <c r="DQ30" s="816">
        <v>23.21601064</v>
      </c>
      <c r="DR30" s="816">
        <v>23.546886799999999</v>
      </c>
      <c r="DS30" s="816">
        <v>23.491617389999998</v>
      </c>
      <c r="DT30" s="816">
        <v>23.504975380000001</v>
      </c>
      <c r="DU30" s="816">
        <v>23.359199919999998</v>
      </c>
      <c r="DV30" s="816">
        <v>23.238642939999998</v>
      </c>
      <c r="DW30" s="816">
        <v>23.163071080000002</v>
      </c>
      <c r="DX30" s="816">
        <v>22.969791900000001</v>
      </c>
      <c r="DY30" s="816">
        <v>22.711186309999999</v>
      </c>
      <c r="DZ30" s="816">
        <v>22.99616236</v>
      </c>
      <c r="EA30" s="816">
        <v>23.751042330000001</v>
      </c>
      <c r="EB30" s="816">
        <v>13.370028019999999</v>
      </c>
      <c r="EC30" s="816">
        <v>13.236993289999999</v>
      </c>
      <c r="ED30" s="816">
        <v>13.082999170000001</v>
      </c>
      <c r="EE30" s="816">
        <v>13.2566851</v>
      </c>
      <c r="EF30" s="816">
        <v>13.073939230000001</v>
      </c>
      <c r="EG30" s="816">
        <v>12.76681924</v>
      </c>
      <c r="EH30" s="816">
        <v>12.52910675</v>
      </c>
      <c r="EI30" s="816">
        <v>12.12327395</v>
      </c>
      <c r="EJ30" s="816">
        <v>11.52968551</v>
      </c>
      <c r="EK30" s="816">
        <v>11.448757779999999</v>
      </c>
      <c r="EL30" s="816">
        <v>12.230403389999999</v>
      </c>
      <c r="EM30" s="816">
        <v>11.89150927</v>
      </c>
      <c r="EN30" s="816">
        <v>11.624644910000001</v>
      </c>
      <c r="EO30" s="816">
        <v>11.91165807</v>
      </c>
      <c r="EP30" s="816">
        <v>11.7342654</v>
      </c>
      <c r="EQ30" s="816">
        <v>11.576174269999999</v>
      </c>
      <c r="ER30" s="816">
        <v>11.523845809999999</v>
      </c>
      <c r="ES30" s="816">
        <v>10.878838200000001</v>
      </c>
      <c r="ET30" s="816">
        <v>10.76094331</v>
      </c>
      <c r="EU30" s="816">
        <v>11.04391657</v>
      </c>
      <c r="EV30" s="816">
        <v>11.03409411</v>
      </c>
      <c r="EW30" s="816">
        <v>10.7902399</v>
      </c>
      <c r="EX30" s="816">
        <v>10.831961359999999</v>
      </c>
      <c r="EY30" s="816">
        <v>10.558461489999999</v>
      </c>
      <c r="EZ30" s="816">
        <v>11.326358279999999</v>
      </c>
      <c r="FA30" s="816">
        <v>10.97451833</v>
      </c>
      <c r="FB30" s="816">
        <v>10.6564614</v>
      </c>
      <c r="FC30" s="816">
        <v>10.1074552</v>
      </c>
      <c r="FD30" s="816">
        <v>10.78147605</v>
      </c>
      <c r="FE30" s="816">
        <v>10.40845715</v>
      </c>
      <c r="FF30" s="816">
        <v>10.0849829</v>
      </c>
      <c r="FG30" s="816">
        <v>9.9828813299999997</v>
      </c>
      <c r="FH30" s="1716" t="s">
        <v>4067</v>
      </c>
    </row>
    <row r="31" spans="1:164" ht="21">
      <c r="A31" s="1745" t="s">
        <v>1962</v>
      </c>
      <c r="B31" s="791">
        <f>+B29-B30</f>
        <v>1047.7532754000001</v>
      </c>
      <c r="C31" s="791">
        <f t="shared" ref="C31:V31" si="10">+C29-C30</f>
        <v>859.75309181</v>
      </c>
      <c r="D31" s="791">
        <f t="shared" si="10"/>
        <v>878.76003421999997</v>
      </c>
      <c r="E31" s="791">
        <f t="shared" si="10"/>
        <v>901.92308205999996</v>
      </c>
      <c r="F31" s="791">
        <f t="shared" si="10"/>
        <v>910.84657238</v>
      </c>
      <c r="G31" s="791">
        <f t="shared" si="10"/>
        <v>931.63112411000009</v>
      </c>
      <c r="H31" s="791">
        <f t="shared" si="10"/>
        <v>922.83567213999993</v>
      </c>
      <c r="I31" s="791">
        <f t="shared" si="10"/>
        <v>955.53330179</v>
      </c>
      <c r="J31" s="791">
        <f t="shared" si="10"/>
        <v>957.23062703999994</v>
      </c>
      <c r="K31" s="791">
        <f t="shared" si="10"/>
        <v>971.7074249100001</v>
      </c>
      <c r="L31" s="791">
        <f t="shared" si="10"/>
        <v>986.94231108000008</v>
      </c>
      <c r="M31" s="784">
        <f t="shared" si="10"/>
        <v>1008.95800645</v>
      </c>
      <c r="N31" s="781">
        <f t="shared" si="10"/>
        <v>1006.86056658</v>
      </c>
      <c r="O31" s="781">
        <f t="shared" si="10"/>
        <v>1018.4475943299999</v>
      </c>
      <c r="P31" s="781">
        <f t="shared" si="10"/>
        <v>1049.91803039</v>
      </c>
      <c r="Q31" s="781">
        <f t="shared" si="10"/>
        <v>1119.33304219</v>
      </c>
      <c r="R31" s="781">
        <f t="shared" si="10"/>
        <v>1238.9193721200002</v>
      </c>
      <c r="S31" s="781">
        <f t="shared" si="10"/>
        <v>1294.5875562300002</v>
      </c>
      <c r="T31" s="781">
        <f t="shared" si="10"/>
        <v>1332.65906178</v>
      </c>
      <c r="U31" s="781">
        <f t="shared" si="10"/>
        <v>1362.50851392</v>
      </c>
      <c r="V31" s="781">
        <f t="shared" si="10"/>
        <v>1401.95389514</v>
      </c>
      <c r="W31" s="781">
        <v>1392.3352734700002</v>
      </c>
      <c r="X31" s="781">
        <v>1425.4243804099999</v>
      </c>
      <c r="Y31" s="784">
        <v>1450.7332228300002</v>
      </c>
      <c r="Z31" s="781">
        <v>1435.9528898599999</v>
      </c>
      <c r="AA31" s="781">
        <v>1393.8824026300001</v>
      </c>
      <c r="AB31" s="784">
        <f>+AB29-AB30</f>
        <v>1377.8651140299999</v>
      </c>
      <c r="AC31" s="784">
        <v>1375.3413607500001</v>
      </c>
      <c r="AD31" s="784">
        <v>1361.30681071</v>
      </c>
      <c r="AE31" s="784">
        <v>1356.2507202199999</v>
      </c>
      <c r="AF31" s="784">
        <v>1365.8450456100002</v>
      </c>
      <c r="AG31" s="784">
        <v>1403.49975281</v>
      </c>
      <c r="AH31" s="784">
        <f>+AH29-AH30</f>
        <v>1059.3812832399999</v>
      </c>
      <c r="AI31" s="784">
        <v>1184.2431472399999</v>
      </c>
      <c r="AJ31" s="784">
        <f>+AJ29-AJ30</f>
        <v>1186.0491301200002</v>
      </c>
      <c r="AK31" s="784">
        <f>+AK29-AK30</f>
        <v>1270.87427422</v>
      </c>
      <c r="AL31" s="784">
        <v>1049.5403583499999</v>
      </c>
      <c r="AM31" s="784">
        <f>+AM29-AM30</f>
        <v>1042.35567055</v>
      </c>
      <c r="AN31" s="784">
        <f>+AN29-AN30</f>
        <v>994.26934329000005</v>
      </c>
      <c r="AO31" s="784">
        <f>+AO29-AO30</f>
        <v>980.70261848000007</v>
      </c>
      <c r="AP31" s="784">
        <v>973.0773624599999</v>
      </c>
      <c r="AQ31" s="784">
        <v>973.65769155999999</v>
      </c>
      <c r="AR31" s="784">
        <v>1063.0742718199999</v>
      </c>
      <c r="AS31" s="784">
        <v>1066.11226005</v>
      </c>
      <c r="AT31" s="784">
        <f>+AT29-AT30</f>
        <v>1072.7381785600001</v>
      </c>
      <c r="AU31" s="784">
        <v>1072.56360705</v>
      </c>
      <c r="AV31" s="784">
        <v>1096.45126878</v>
      </c>
      <c r="AW31" s="784">
        <v>1144.7526429899999</v>
      </c>
      <c r="AX31" s="784">
        <v>1135.66743443</v>
      </c>
      <c r="AY31" s="784">
        <v>1138.1938637599999</v>
      </c>
      <c r="AZ31" s="784">
        <v>1004.15455216</v>
      </c>
      <c r="BA31" s="784">
        <v>1011.50987776</v>
      </c>
      <c r="BB31" s="784">
        <v>975.91254676000005</v>
      </c>
      <c r="BC31" s="784">
        <v>953.68605278000007</v>
      </c>
      <c r="BD31" s="784">
        <f>+BD29-BD30</f>
        <v>1049.26186166</v>
      </c>
      <c r="BE31" s="784">
        <v>1041.2258035</v>
      </c>
      <c r="BF31" s="784">
        <v>1028.1344550400001</v>
      </c>
      <c r="BG31" s="784">
        <v>1019.97521375</v>
      </c>
      <c r="BH31" s="827">
        <v>999.02731906999986</v>
      </c>
      <c r="BI31" s="816">
        <v>1005.20920225</v>
      </c>
      <c r="BJ31" s="816">
        <v>945.65370547000009</v>
      </c>
      <c r="BK31" s="816">
        <v>955.32801597999992</v>
      </c>
      <c r="BL31" s="816">
        <v>948.00899777999996</v>
      </c>
      <c r="BM31" s="816">
        <v>951.26200385999994</v>
      </c>
      <c r="BN31" s="816">
        <v>949.27938767000001</v>
      </c>
      <c r="BO31" s="816">
        <v>955.99894296000002</v>
      </c>
      <c r="BP31" s="816">
        <v>960.69489998000006</v>
      </c>
      <c r="BQ31" s="816">
        <v>957.64369061000002</v>
      </c>
      <c r="BR31" s="816">
        <v>951.30563209000002</v>
      </c>
      <c r="BS31" s="816">
        <v>950.73450935999995</v>
      </c>
      <c r="BT31" s="816">
        <v>952.75692479000008</v>
      </c>
      <c r="BU31" s="816">
        <v>1003.61488961</v>
      </c>
      <c r="BV31" s="816">
        <v>1013.29033509</v>
      </c>
      <c r="BW31" s="816">
        <v>1022.61543303</v>
      </c>
      <c r="BX31" s="816">
        <v>1035.3536166900001</v>
      </c>
      <c r="BY31" s="816">
        <v>1042.3947556200001</v>
      </c>
      <c r="BZ31" s="816">
        <v>1045.65830295</v>
      </c>
      <c r="CA31" s="816">
        <v>1052.92347961</v>
      </c>
      <c r="CB31" s="816">
        <v>1016.5248318800002</v>
      </c>
      <c r="CC31" s="816">
        <v>1024.1927594399999</v>
      </c>
      <c r="CD31" s="816">
        <v>1048.2054981599999</v>
      </c>
      <c r="CE31" s="816">
        <f t="shared" ref="CE31:CO31" si="11">+CE29-CE30</f>
        <v>1054.56645901</v>
      </c>
      <c r="CF31" s="816">
        <f t="shared" si="11"/>
        <v>1065.5809445499999</v>
      </c>
      <c r="CG31" s="816">
        <f t="shared" si="11"/>
        <v>1078.6158298799999</v>
      </c>
      <c r="CH31" s="816">
        <f t="shared" si="11"/>
        <v>1046.9772653499999</v>
      </c>
      <c r="CI31" s="816">
        <f t="shared" si="11"/>
        <v>1065.2275935299999</v>
      </c>
      <c r="CJ31" s="816">
        <f t="shared" si="11"/>
        <v>1067.78670977</v>
      </c>
      <c r="CK31" s="816">
        <f t="shared" si="11"/>
        <v>1010.6017750599999</v>
      </c>
      <c r="CL31" s="816">
        <f t="shared" si="11"/>
        <v>994.35385068000005</v>
      </c>
      <c r="CM31" s="816">
        <f t="shared" si="11"/>
        <v>993.92949133000002</v>
      </c>
      <c r="CN31" s="816">
        <f t="shared" si="11"/>
        <v>966.68074953000007</v>
      </c>
      <c r="CO31" s="816">
        <f t="shared" si="11"/>
        <v>982.47005662000004</v>
      </c>
      <c r="CP31" s="816">
        <f>+CP29-CP30</f>
        <v>1015.0884433199999</v>
      </c>
      <c r="CQ31" s="816">
        <f>+CQ29-CQ30</f>
        <v>1039.12408974</v>
      </c>
      <c r="CR31" s="816">
        <f>+CR29-CR30</f>
        <v>1064.20925296</v>
      </c>
      <c r="CS31" s="816">
        <v>1136.2952715899999</v>
      </c>
      <c r="CT31" s="816">
        <v>1134.0830312999999</v>
      </c>
      <c r="CU31" s="816">
        <v>1143.9725602799999</v>
      </c>
      <c r="CV31" s="816">
        <v>1183.97637781</v>
      </c>
      <c r="CW31" s="816">
        <v>1202.78033084</v>
      </c>
      <c r="CX31" s="816">
        <v>1199.6708774599999</v>
      </c>
      <c r="CY31" s="816">
        <v>1251.5854731100001</v>
      </c>
      <c r="CZ31" s="816">
        <v>1232.43781319</v>
      </c>
      <c r="DA31" s="816">
        <v>1221.7845737600001</v>
      </c>
      <c r="DB31" s="816">
        <v>1231.4610658500001</v>
      </c>
      <c r="DC31" s="816">
        <v>1218.58620335</v>
      </c>
      <c r="DD31" s="816">
        <v>1262.9344679200001</v>
      </c>
      <c r="DE31" s="816">
        <v>1371.3123621100001</v>
      </c>
      <c r="DF31" s="816">
        <v>1358.8211221900001</v>
      </c>
      <c r="DG31" s="816">
        <v>1381.3610538400001</v>
      </c>
      <c r="DH31" s="816">
        <v>1396.7530484199999</v>
      </c>
      <c r="DI31" s="816">
        <v>1370.13333532</v>
      </c>
      <c r="DJ31" s="816">
        <v>1421.3547292000001</v>
      </c>
      <c r="DK31" s="816">
        <v>1437.9732064</v>
      </c>
      <c r="DL31" s="816">
        <v>1410.5151129400001</v>
      </c>
      <c r="DM31" s="816">
        <v>1409.81868631</v>
      </c>
      <c r="DN31" s="816">
        <v>1453.1720971499999</v>
      </c>
      <c r="DO31" s="816">
        <v>1507.8203129200001</v>
      </c>
      <c r="DP31" s="816">
        <v>1562.0312603899999</v>
      </c>
      <c r="DQ31" s="816">
        <v>1580.16113556</v>
      </c>
      <c r="DR31" s="816">
        <v>1554.0050561999999</v>
      </c>
      <c r="DS31" s="816">
        <v>1566.3226262200001</v>
      </c>
      <c r="DT31" s="816">
        <v>1602.0984165</v>
      </c>
      <c r="DU31" s="816">
        <v>1612.8821975599999</v>
      </c>
      <c r="DV31" s="816">
        <v>1618.9856449900001</v>
      </c>
      <c r="DW31" s="816">
        <v>1646.81722012</v>
      </c>
      <c r="DX31" s="816">
        <v>1627.72912679</v>
      </c>
      <c r="DY31" s="816">
        <v>1644.4866234599999</v>
      </c>
      <c r="DZ31" s="816">
        <v>1666.96678974</v>
      </c>
      <c r="EA31" s="816">
        <v>1622.90370652</v>
      </c>
      <c r="EB31" s="816">
        <v>1663.5953335700001</v>
      </c>
      <c r="EC31" s="816">
        <v>1694.1197942399999</v>
      </c>
      <c r="ED31" s="816">
        <v>1718.4806381799999</v>
      </c>
      <c r="EE31" s="816">
        <v>1726.3398656300001</v>
      </c>
      <c r="EF31" s="816">
        <v>1787.9215439699999</v>
      </c>
      <c r="EG31" s="816">
        <v>1845.1621171500001</v>
      </c>
      <c r="EH31" s="816">
        <v>1882.3182131599999</v>
      </c>
      <c r="EI31" s="816">
        <v>1967.84368582</v>
      </c>
      <c r="EJ31" s="816">
        <v>1946.6407156299999</v>
      </c>
      <c r="EK31" s="816">
        <v>1939.39870322</v>
      </c>
      <c r="EL31" s="816">
        <v>2027.5566451499999</v>
      </c>
      <c r="EM31" s="816">
        <v>2039.1663902099999</v>
      </c>
      <c r="EN31" s="816">
        <v>2055.0733294400002</v>
      </c>
      <c r="EO31" s="816">
        <v>2060.8987929599998</v>
      </c>
      <c r="EP31" s="816">
        <v>2014.1980887899999</v>
      </c>
      <c r="EQ31" s="816">
        <v>2018.77241162</v>
      </c>
      <c r="ER31" s="816">
        <v>2032.6827597700001</v>
      </c>
      <c r="ES31" s="816">
        <v>2038.4821626</v>
      </c>
      <c r="ET31" s="816">
        <v>2056.5586981500001</v>
      </c>
      <c r="EU31" s="816">
        <v>2079.2152040999999</v>
      </c>
      <c r="EV31" s="816">
        <v>2095.2246161899998</v>
      </c>
      <c r="EW31" s="816">
        <v>2061.4052382599998</v>
      </c>
      <c r="EX31" s="816">
        <v>2105.9194199499998</v>
      </c>
      <c r="EY31" s="816">
        <v>2068.7917362600001</v>
      </c>
      <c r="EZ31" s="816">
        <v>2106.7798702999999</v>
      </c>
      <c r="FA31" s="816">
        <v>2155.2680790600002</v>
      </c>
      <c r="FB31" s="816">
        <v>2164.3746918799998</v>
      </c>
      <c r="FC31" s="816">
        <v>2179.0246793000001</v>
      </c>
      <c r="FD31" s="816">
        <v>2142.7719074500001</v>
      </c>
      <c r="FE31" s="816">
        <v>2173.8352383599999</v>
      </c>
      <c r="FF31" s="816">
        <v>2164.54200464</v>
      </c>
      <c r="FG31" s="816">
        <v>2170.7350485900001</v>
      </c>
      <c r="FH31" s="1716" t="s">
        <v>4066</v>
      </c>
    </row>
    <row r="32" spans="1:164" ht="21">
      <c r="A32" s="1746"/>
      <c r="B32" s="792"/>
      <c r="C32" s="792"/>
      <c r="D32" s="792"/>
      <c r="E32" s="792"/>
      <c r="F32" s="792"/>
      <c r="G32" s="792"/>
      <c r="H32" s="792"/>
      <c r="I32" s="792"/>
      <c r="J32" s="792"/>
      <c r="K32" s="792"/>
      <c r="L32" s="792"/>
      <c r="M32" s="784"/>
      <c r="N32" s="784"/>
      <c r="O32" s="784"/>
      <c r="P32" s="784"/>
      <c r="Q32" s="784"/>
      <c r="R32" s="784"/>
      <c r="S32" s="784"/>
      <c r="T32" s="784"/>
      <c r="U32" s="784"/>
      <c r="V32" s="784"/>
      <c r="W32" s="784"/>
      <c r="X32" s="784"/>
      <c r="Y32" s="784"/>
      <c r="Z32" s="784"/>
      <c r="AA32" s="784"/>
      <c r="AB32" s="784"/>
      <c r="AC32" s="784"/>
      <c r="AD32" s="784"/>
      <c r="AE32" s="784"/>
      <c r="AF32" s="784"/>
      <c r="AG32" s="784"/>
      <c r="AH32" s="784"/>
      <c r="AI32" s="784"/>
      <c r="AJ32" s="784"/>
      <c r="AK32" s="784"/>
      <c r="AL32" s="784"/>
      <c r="AM32" s="784"/>
      <c r="AN32" s="784"/>
      <c r="AO32" s="784"/>
      <c r="AP32" s="784"/>
      <c r="AQ32" s="784"/>
      <c r="AR32" s="784"/>
      <c r="AS32" s="784"/>
      <c r="AT32" s="784"/>
      <c r="AU32" s="784"/>
      <c r="AV32" s="784"/>
      <c r="AW32" s="784"/>
      <c r="AX32" s="784"/>
      <c r="AY32" s="784"/>
      <c r="AZ32" s="784"/>
      <c r="BA32" s="784"/>
      <c r="BB32" s="784"/>
      <c r="BC32" s="784"/>
      <c r="BD32" s="784"/>
      <c r="BE32" s="784"/>
      <c r="BF32" s="784"/>
      <c r="BG32" s="784"/>
      <c r="BH32" s="827"/>
      <c r="BI32" s="816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7"/>
      <c r="CN32" s="817"/>
      <c r="CO32" s="817"/>
      <c r="CP32" s="817"/>
      <c r="CQ32" s="817"/>
      <c r="CR32" s="817"/>
      <c r="CS32" s="817"/>
      <c r="CT32" s="817"/>
      <c r="CU32" s="817"/>
      <c r="CV32" s="817"/>
      <c r="CW32" s="817"/>
      <c r="CX32" s="817"/>
      <c r="CY32" s="817"/>
      <c r="CZ32" s="817"/>
      <c r="DA32" s="817"/>
      <c r="DB32" s="817"/>
      <c r="DC32" s="817"/>
      <c r="DD32" s="817"/>
      <c r="DE32" s="817"/>
      <c r="DF32" s="817"/>
      <c r="DG32" s="817"/>
      <c r="DH32" s="817"/>
      <c r="DI32" s="817"/>
      <c r="DJ32" s="817"/>
      <c r="DK32" s="817"/>
      <c r="DL32" s="817"/>
      <c r="DM32" s="817"/>
      <c r="DN32" s="817"/>
      <c r="DO32" s="817"/>
      <c r="DP32" s="817"/>
      <c r="DQ32" s="817"/>
      <c r="DR32" s="817"/>
      <c r="DS32" s="817"/>
      <c r="DT32" s="817"/>
      <c r="DU32" s="817"/>
      <c r="DV32" s="817"/>
      <c r="DW32" s="817"/>
      <c r="DX32" s="817"/>
      <c r="DY32" s="817"/>
      <c r="DZ32" s="817"/>
      <c r="EA32" s="817"/>
      <c r="EB32" s="817"/>
      <c r="EC32" s="817"/>
      <c r="ED32" s="817"/>
      <c r="EE32" s="817"/>
      <c r="EF32" s="817"/>
      <c r="EG32" s="817"/>
      <c r="EH32" s="817"/>
      <c r="EI32" s="817"/>
      <c r="EJ32" s="817"/>
      <c r="EK32" s="817"/>
      <c r="EL32" s="817"/>
      <c r="EM32" s="817"/>
      <c r="EN32" s="817"/>
      <c r="EO32" s="817"/>
      <c r="EP32" s="817"/>
      <c r="EQ32" s="817"/>
      <c r="ER32" s="817"/>
      <c r="ES32" s="817"/>
      <c r="ET32" s="817"/>
      <c r="EU32" s="817"/>
      <c r="EV32" s="817"/>
      <c r="EW32" s="817"/>
      <c r="EX32" s="817"/>
      <c r="EY32" s="817"/>
      <c r="EZ32" s="817"/>
      <c r="FA32" s="817"/>
      <c r="FB32" s="817"/>
      <c r="FC32" s="817"/>
      <c r="FD32" s="817"/>
      <c r="FE32" s="817"/>
      <c r="FF32" s="817"/>
      <c r="FG32" s="817"/>
      <c r="FH32" s="1715"/>
    </row>
    <row r="33" spans="1:164" ht="21">
      <c r="A33" s="1744" t="s">
        <v>2742</v>
      </c>
      <c r="B33" s="791">
        <v>946.18375050999998</v>
      </c>
      <c r="C33" s="791">
        <v>737.37847960000011</v>
      </c>
      <c r="D33" s="791">
        <v>742.93278065999993</v>
      </c>
      <c r="E33" s="791">
        <v>735.74741590999997</v>
      </c>
      <c r="F33" s="791">
        <v>742.59136100000001</v>
      </c>
      <c r="G33" s="791">
        <v>744.15453484</v>
      </c>
      <c r="H33" s="791">
        <v>742.32833331000006</v>
      </c>
      <c r="I33" s="791">
        <v>747.00808422</v>
      </c>
      <c r="J33" s="791">
        <v>735.84962179000001</v>
      </c>
      <c r="K33" s="791">
        <v>735.17893900000013</v>
      </c>
      <c r="L33" s="791">
        <v>735.41279681000003</v>
      </c>
      <c r="M33" s="781">
        <v>735.78153013999997</v>
      </c>
      <c r="N33" s="781">
        <v>735.69552828000008</v>
      </c>
      <c r="O33" s="781">
        <v>730.18254647000003</v>
      </c>
      <c r="P33" s="781">
        <v>709.11901394000006</v>
      </c>
      <c r="Q33" s="781">
        <v>711.25457635999999</v>
      </c>
      <c r="R33" s="781">
        <v>708.03932479000002</v>
      </c>
      <c r="S33" s="781">
        <v>682.59575407</v>
      </c>
      <c r="T33" s="781">
        <v>677.3613080099999</v>
      </c>
      <c r="U33" s="781">
        <v>679.78510332000008</v>
      </c>
      <c r="V33" s="781">
        <v>685.22313063000001</v>
      </c>
      <c r="W33" s="781">
        <v>688.39246761999993</v>
      </c>
      <c r="X33" s="781">
        <v>699.01193625999997</v>
      </c>
      <c r="Y33" s="781">
        <v>718.33428045999995</v>
      </c>
      <c r="Z33" s="781">
        <v>728.03687366999998</v>
      </c>
      <c r="AA33" s="781">
        <v>999.86217666000005</v>
      </c>
      <c r="AB33" s="781">
        <v>993.42342070000007</v>
      </c>
      <c r="AC33" s="781">
        <v>1017.45013599</v>
      </c>
      <c r="AD33" s="781">
        <v>1017.66097927</v>
      </c>
      <c r="AE33" s="781">
        <v>1000.4651677200002</v>
      </c>
      <c r="AF33" s="781">
        <v>984.53302822000012</v>
      </c>
      <c r="AG33" s="781">
        <v>972.60667634000004</v>
      </c>
      <c r="AH33" s="781">
        <v>918.64593064999985</v>
      </c>
      <c r="AI33" s="781">
        <v>888.32711103999998</v>
      </c>
      <c r="AJ33" s="781">
        <v>882.26948985000001</v>
      </c>
      <c r="AK33" s="781">
        <v>1298.4829190800001</v>
      </c>
      <c r="AL33" s="781">
        <v>1318.3914314399999</v>
      </c>
      <c r="AM33" s="781">
        <v>1284.1533565600002</v>
      </c>
      <c r="AN33" s="781">
        <v>1282.82662411</v>
      </c>
      <c r="AO33" s="781">
        <v>1231.5252201599999</v>
      </c>
      <c r="AP33" s="781">
        <v>1174.2415472299999</v>
      </c>
      <c r="AQ33" s="781">
        <v>1203.2827430900002</v>
      </c>
      <c r="AR33" s="781">
        <v>1063.6975827800002</v>
      </c>
      <c r="AS33" s="781">
        <v>967.68837237999992</v>
      </c>
      <c r="AT33" s="781">
        <f>AT25-AT29</f>
        <v>1013.0609314300002</v>
      </c>
      <c r="AU33" s="781">
        <v>921.38686368999993</v>
      </c>
      <c r="AV33" s="781">
        <v>767.07735708000018</v>
      </c>
      <c r="AW33" s="781">
        <v>743.14260867000007</v>
      </c>
      <c r="AX33" s="781">
        <v>747.12048978999997</v>
      </c>
      <c r="AY33" s="781">
        <v>667.70266745000004</v>
      </c>
      <c r="AZ33" s="781">
        <v>653.66712626000003</v>
      </c>
      <c r="BA33" s="781">
        <v>627.75269524000009</v>
      </c>
      <c r="BB33" s="781">
        <v>666.40411624000001</v>
      </c>
      <c r="BC33" s="781">
        <v>724.55172579000009</v>
      </c>
      <c r="BD33" s="781">
        <v>649.06955533999997</v>
      </c>
      <c r="BE33" s="781">
        <v>641.76767577999999</v>
      </c>
      <c r="BF33" s="781">
        <v>663.62690748</v>
      </c>
      <c r="BG33" s="781">
        <v>656.58737951999979</v>
      </c>
      <c r="BH33" s="826">
        <v>679.7207757499998</v>
      </c>
      <c r="BI33" s="815">
        <v>690.79821397000023</v>
      </c>
      <c r="BJ33" s="815">
        <v>644.54606119000005</v>
      </c>
      <c r="BK33" s="815">
        <v>606.87182290999988</v>
      </c>
      <c r="BL33" s="815">
        <v>621.97693391999996</v>
      </c>
      <c r="BM33" s="815">
        <v>610.06429832000015</v>
      </c>
      <c r="BN33" s="815">
        <v>613.84927548000007</v>
      </c>
      <c r="BO33" s="815">
        <v>626.21884539000018</v>
      </c>
      <c r="BP33" s="815">
        <v>612.18730916999993</v>
      </c>
      <c r="BQ33" s="815">
        <v>635.18568506999986</v>
      </c>
      <c r="BR33" s="815">
        <v>632.73556846999998</v>
      </c>
      <c r="BS33" s="815">
        <v>618.42245035999986</v>
      </c>
      <c r="BT33" s="815">
        <v>601.59362036000027</v>
      </c>
      <c r="BU33" s="815">
        <v>784.76404187000003</v>
      </c>
      <c r="BV33" s="815">
        <v>757.7221572699998</v>
      </c>
      <c r="BW33" s="815">
        <v>768.89850692999994</v>
      </c>
      <c r="BX33" s="815">
        <v>772.39153383999974</v>
      </c>
      <c r="BY33" s="815">
        <v>732.70592940000029</v>
      </c>
      <c r="BZ33" s="815">
        <v>737.02817009000023</v>
      </c>
      <c r="CA33" s="815">
        <v>733.6534512799999</v>
      </c>
      <c r="CB33" s="815">
        <v>760.72928394999985</v>
      </c>
      <c r="CC33" s="815">
        <v>746.85765153999978</v>
      </c>
      <c r="CD33" s="815">
        <v>772.97457442999996</v>
      </c>
      <c r="CE33" s="815">
        <v>779.85841970000001</v>
      </c>
      <c r="CF33" s="815">
        <v>642.0923898399999</v>
      </c>
      <c r="CG33" s="815">
        <v>787.78388108999991</v>
      </c>
      <c r="CH33" s="815">
        <v>784.79787605999991</v>
      </c>
      <c r="CI33" s="815">
        <v>793.11556999999993</v>
      </c>
      <c r="CJ33" s="815">
        <v>767.20920705000003</v>
      </c>
      <c r="CK33" s="815">
        <v>742.16855987999998</v>
      </c>
      <c r="CL33" s="815">
        <v>712.45581373000005</v>
      </c>
      <c r="CM33" s="815">
        <v>710.81831917</v>
      </c>
      <c r="CN33" s="815">
        <v>710.27814007000006</v>
      </c>
      <c r="CO33" s="815">
        <v>711.64862920000007</v>
      </c>
      <c r="CP33" s="815">
        <v>803.14384555000004</v>
      </c>
      <c r="CQ33" s="815">
        <v>841.25453662999996</v>
      </c>
      <c r="CR33" s="815">
        <v>829.33987808000006</v>
      </c>
      <c r="CS33" s="815">
        <v>798.49755650000009</v>
      </c>
      <c r="CT33" s="815">
        <v>789.52414474</v>
      </c>
      <c r="CU33" s="815">
        <v>644.68592974000001</v>
      </c>
      <c r="CV33" s="815">
        <v>621.08863307000001</v>
      </c>
      <c r="CW33" s="815">
        <v>627.57540857000004</v>
      </c>
      <c r="CX33" s="815">
        <v>621.36833479999996</v>
      </c>
      <c r="CY33" s="815">
        <v>562.18538269999999</v>
      </c>
      <c r="CZ33" s="815">
        <v>556.79690156000004</v>
      </c>
      <c r="DA33" s="815">
        <v>554.89837994000004</v>
      </c>
      <c r="DB33" s="815">
        <v>549.51537865</v>
      </c>
      <c r="DC33" s="815">
        <v>661.65413827999998</v>
      </c>
      <c r="DD33" s="815">
        <v>649.86189890000003</v>
      </c>
      <c r="DE33" s="815">
        <v>625.59586334000005</v>
      </c>
      <c r="DF33" s="815">
        <v>613.61820419000003</v>
      </c>
      <c r="DG33" s="815">
        <v>612.72177376000002</v>
      </c>
      <c r="DH33" s="815">
        <v>611.36765849000005</v>
      </c>
      <c r="DI33" s="815">
        <v>610.76586966000002</v>
      </c>
      <c r="DJ33" s="815">
        <v>612.77899123999987</v>
      </c>
      <c r="DK33" s="815">
        <v>594.80408112999999</v>
      </c>
      <c r="DL33" s="815">
        <v>598.77188373000001</v>
      </c>
      <c r="DM33" s="815">
        <v>597.03847187999997</v>
      </c>
      <c r="DN33" s="815">
        <v>593.26948205999997</v>
      </c>
      <c r="DO33" s="815">
        <v>606.44902955999999</v>
      </c>
      <c r="DP33" s="815">
        <v>628.44747673999996</v>
      </c>
      <c r="DQ33" s="815">
        <v>586.95034289</v>
      </c>
      <c r="DR33" s="815">
        <v>586.35688173999995</v>
      </c>
      <c r="DS33" s="815">
        <v>581.14450682999995</v>
      </c>
      <c r="DT33" s="815">
        <v>605.70305549</v>
      </c>
      <c r="DU33" s="815">
        <v>609.86840763999999</v>
      </c>
      <c r="DV33" s="815">
        <v>608.83021265000002</v>
      </c>
      <c r="DW33" s="815">
        <v>616.09900985000002</v>
      </c>
      <c r="DX33" s="815">
        <v>646.77109065000002</v>
      </c>
      <c r="DY33" s="815">
        <v>637.92979111</v>
      </c>
      <c r="DZ33" s="815">
        <v>634.94341989999998</v>
      </c>
      <c r="EA33" s="815">
        <v>620.41553061000002</v>
      </c>
      <c r="EB33" s="815">
        <v>624.50979225000003</v>
      </c>
      <c r="EC33" s="815">
        <v>573.16773150999995</v>
      </c>
      <c r="ED33" s="815">
        <v>563.72834818000001</v>
      </c>
      <c r="EE33" s="815">
        <v>615.42468980000001</v>
      </c>
      <c r="EF33" s="815">
        <v>732.47819793999997</v>
      </c>
      <c r="EG33" s="815">
        <v>711.57009409</v>
      </c>
      <c r="EH33" s="815">
        <v>707.56746509000004</v>
      </c>
      <c r="EI33" s="815">
        <v>697.84470381999995</v>
      </c>
      <c r="EJ33" s="815">
        <v>692.19716872000004</v>
      </c>
      <c r="EK33" s="815">
        <v>670.65569244000005</v>
      </c>
      <c r="EL33" s="815">
        <v>671.37290413999995</v>
      </c>
      <c r="EM33" s="815">
        <v>663.91580920000001</v>
      </c>
      <c r="EN33" s="815">
        <v>651.67352934999997</v>
      </c>
      <c r="EO33" s="815">
        <v>609.09518345000004</v>
      </c>
      <c r="EP33" s="815">
        <v>583.98853793000001</v>
      </c>
      <c r="EQ33" s="815">
        <v>579.93300341999998</v>
      </c>
      <c r="ER33" s="815">
        <v>574.36429156999998</v>
      </c>
      <c r="ES33" s="815">
        <v>570.14345830000002</v>
      </c>
      <c r="ET33" s="815">
        <v>569.33882888999995</v>
      </c>
      <c r="EU33" s="815">
        <v>582.93204401000003</v>
      </c>
      <c r="EV33" s="815">
        <v>575.61031013000002</v>
      </c>
      <c r="EW33" s="815">
        <v>563.31708530000003</v>
      </c>
      <c r="EX33" s="815">
        <v>563.90997307999999</v>
      </c>
      <c r="EY33" s="815">
        <v>527.40929988000005</v>
      </c>
      <c r="EZ33" s="815">
        <v>553.43870265999999</v>
      </c>
      <c r="FA33" s="815">
        <v>572.46203891000005</v>
      </c>
      <c r="FB33" s="815">
        <v>559.16686571000002</v>
      </c>
      <c r="FC33" s="815">
        <v>550.63440937999997</v>
      </c>
      <c r="FD33" s="815">
        <v>558.02396579000003</v>
      </c>
      <c r="FE33" s="815">
        <v>537.57769415999996</v>
      </c>
      <c r="FF33" s="815">
        <v>530.81540064000001</v>
      </c>
      <c r="FG33" s="815">
        <v>553.05391990999999</v>
      </c>
      <c r="FH33" s="1714" t="s">
        <v>4068</v>
      </c>
    </row>
    <row r="34" spans="1:164" ht="21">
      <c r="A34" s="1745" t="s">
        <v>1961</v>
      </c>
      <c r="B34" s="792">
        <v>201.67673527000002</v>
      </c>
      <c r="C34" s="792">
        <v>194.95538568000001</v>
      </c>
      <c r="D34" s="792">
        <v>194.95538568000001</v>
      </c>
      <c r="E34" s="792">
        <v>176.79948866000001</v>
      </c>
      <c r="F34" s="792">
        <v>177.75356226</v>
      </c>
      <c r="G34" s="792">
        <v>177.73090694999999</v>
      </c>
      <c r="H34" s="792">
        <v>159.62700045</v>
      </c>
      <c r="I34" s="792">
        <v>159.60665284000001</v>
      </c>
      <c r="J34" s="792">
        <v>141.90828345</v>
      </c>
      <c r="K34" s="792">
        <v>141.90828345</v>
      </c>
      <c r="L34" s="792">
        <v>141.89019443999999</v>
      </c>
      <c r="M34" s="784">
        <v>123.80437695000001</v>
      </c>
      <c r="N34" s="784">
        <v>123.75703301999999</v>
      </c>
      <c r="O34" s="784">
        <v>123.78859564</v>
      </c>
      <c r="P34" s="784">
        <v>105.67352323</v>
      </c>
      <c r="Q34" s="784">
        <v>105.74097303000001</v>
      </c>
      <c r="R34" s="784">
        <v>105.75445524</v>
      </c>
      <c r="S34" s="784">
        <v>87.641681930000004</v>
      </c>
      <c r="T34" s="784">
        <v>87.630507420000001</v>
      </c>
      <c r="U34" s="784">
        <v>87.652856439999994</v>
      </c>
      <c r="V34" s="784">
        <v>87.652856439999994</v>
      </c>
      <c r="W34" s="784">
        <v>87.652856439999994</v>
      </c>
      <c r="X34" s="784">
        <v>87.652856439999994</v>
      </c>
      <c r="Y34" s="784">
        <v>87.742278040000002</v>
      </c>
      <c r="Z34" s="784">
        <v>87.789342040000008</v>
      </c>
      <c r="AA34" s="784">
        <v>117.49267118</v>
      </c>
      <c r="AB34" s="784">
        <v>117.37338885</v>
      </c>
      <c r="AC34" s="784">
        <v>117.3952403</v>
      </c>
      <c r="AD34" s="784">
        <v>117.47276448000001</v>
      </c>
      <c r="AE34" s="784">
        <v>117.34907321999999</v>
      </c>
      <c r="AF34" s="784">
        <v>117.59542393000001</v>
      </c>
      <c r="AG34" s="784">
        <v>117.42674903</v>
      </c>
      <c r="AH34" s="784">
        <v>117.07787384999999</v>
      </c>
      <c r="AI34" s="784">
        <v>117.22111745000001</v>
      </c>
      <c r="AJ34" s="784">
        <v>116.74512948</v>
      </c>
      <c r="AK34" s="784">
        <v>173.17659097000001</v>
      </c>
      <c r="AL34" s="784">
        <v>177.66812478999998</v>
      </c>
      <c r="AM34" s="784">
        <v>171.45322397000001</v>
      </c>
      <c r="AN34" s="784">
        <v>168.83009615</v>
      </c>
      <c r="AO34" s="784">
        <v>164.95347746000002</v>
      </c>
      <c r="AP34" s="784">
        <v>160.92422533999999</v>
      </c>
      <c r="AQ34" s="784">
        <v>166.13573488999998</v>
      </c>
      <c r="AR34" s="784">
        <v>171.00918433999999</v>
      </c>
      <c r="AS34" s="784">
        <v>176.01944231000002</v>
      </c>
      <c r="AT34" s="784">
        <f>AT26-AT30</f>
        <v>174.77314656000001</v>
      </c>
      <c r="AU34" s="784">
        <v>163.94507130000002</v>
      </c>
      <c r="AV34" s="784">
        <v>155.94071213000001</v>
      </c>
      <c r="AW34" s="784">
        <v>159.37794096000002</v>
      </c>
      <c r="AX34" s="784">
        <v>157.68850166999999</v>
      </c>
      <c r="AY34" s="784">
        <v>143.71857083</v>
      </c>
      <c r="AZ34" s="784">
        <v>141.72410463</v>
      </c>
      <c r="BA34" s="784">
        <v>126.773099</v>
      </c>
      <c r="BB34" s="784">
        <v>146.84998967999999</v>
      </c>
      <c r="BC34" s="784">
        <v>146.80313000999999</v>
      </c>
      <c r="BD34" s="784">
        <v>133.56078921</v>
      </c>
      <c r="BE34" s="784">
        <v>133.51315907</v>
      </c>
      <c r="BF34" s="784">
        <v>133.39479151999998</v>
      </c>
      <c r="BG34" s="784">
        <v>120.26141982999999</v>
      </c>
      <c r="BH34" s="827">
        <v>120.19885746999999</v>
      </c>
      <c r="BI34" s="816">
        <v>92.875865069999989</v>
      </c>
      <c r="BJ34" s="816">
        <v>79.761168370000007</v>
      </c>
      <c r="BK34" s="816">
        <v>79.944001730000011</v>
      </c>
      <c r="BL34" s="816">
        <v>79.894043420000003</v>
      </c>
      <c r="BM34" s="816">
        <v>66.774714310000007</v>
      </c>
      <c r="BN34" s="816">
        <v>66.7308235</v>
      </c>
      <c r="BO34" s="816">
        <v>66.687135269999999</v>
      </c>
      <c r="BP34" s="816">
        <v>53.567226130000002</v>
      </c>
      <c r="BQ34" s="816">
        <v>92.247875550000003</v>
      </c>
      <c r="BR34" s="816">
        <v>92.086639000000005</v>
      </c>
      <c r="BS34" s="816">
        <v>77.955880329999999</v>
      </c>
      <c r="BT34" s="816">
        <v>65.490268990000004</v>
      </c>
      <c r="BU34" s="816">
        <v>65.576777210000003</v>
      </c>
      <c r="BV34" s="816">
        <v>27.146998780000001</v>
      </c>
      <c r="BW34" s="816">
        <v>27.101832940000001</v>
      </c>
      <c r="BX34" s="816">
        <v>27.056478910000003</v>
      </c>
      <c r="BY34" s="816">
        <v>0.85316070999999916</v>
      </c>
      <c r="BZ34" s="816">
        <v>0.80730997000000038</v>
      </c>
      <c r="CA34" s="816">
        <v>0.76138667999999932</v>
      </c>
      <c r="CB34" s="816">
        <v>0.71537780000000062</v>
      </c>
      <c r="CC34" s="816">
        <v>0.66897209999999951</v>
      </c>
      <c r="CD34" s="816">
        <v>0.62265824000000003</v>
      </c>
      <c r="CE34" s="816">
        <v>0.57579259999999999</v>
      </c>
      <c r="CF34" s="816">
        <v>0.52890466000000003</v>
      </c>
      <c r="CG34" s="816">
        <v>0.48196828000000003</v>
      </c>
      <c r="CH34" s="816">
        <v>0.43455551000000003</v>
      </c>
      <c r="CI34" s="816">
        <v>0.38707909000000001</v>
      </c>
      <c r="CJ34" s="816">
        <v>0.33951236000000001</v>
      </c>
      <c r="CK34" s="816">
        <v>0.29154559999999996</v>
      </c>
      <c r="CL34" s="816">
        <v>0.24347329000000001</v>
      </c>
      <c r="CM34" s="816">
        <v>0.19526831</v>
      </c>
      <c r="CN34" s="816">
        <v>0.1467406</v>
      </c>
      <c r="CO34" s="816">
        <v>9.8064940000000003E-2</v>
      </c>
      <c r="CP34" s="816">
        <v>4.9186470000000003E-2</v>
      </c>
      <c r="CQ34" s="816">
        <v>0</v>
      </c>
      <c r="CR34" s="816">
        <v>0</v>
      </c>
      <c r="CS34" s="816">
        <v>0</v>
      </c>
      <c r="CT34" s="816">
        <v>0</v>
      </c>
      <c r="CU34" s="816">
        <v>0</v>
      </c>
      <c r="CV34" s="816">
        <v>0</v>
      </c>
      <c r="CW34" s="816">
        <v>0</v>
      </c>
      <c r="CX34" s="816">
        <v>0</v>
      </c>
      <c r="CY34" s="816">
        <v>0</v>
      </c>
      <c r="CZ34" s="816">
        <v>0</v>
      </c>
      <c r="DA34" s="816">
        <v>0</v>
      </c>
      <c r="DB34" s="816">
        <v>0</v>
      </c>
      <c r="DC34" s="816">
        <v>11.9</v>
      </c>
      <c r="DD34" s="816">
        <v>11.9</v>
      </c>
      <c r="DE34" s="816">
        <v>11.9</v>
      </c>
      <c r="DF34" s="816">
        <v>11.9</v>
      </c>
      <c r="DG34" s="816">
        <v>11.9</v>
      </c>
      <c r="DH34" s="816">
        <v>11.9</v>
      </c>
      <c r="DI34" s="816">
        <v>11.9</v>
      </c>
      <c r="DJ34" s="816">
        <v>11.9</v>
      </c>
      <c r="DK34" s="816">
        <v>11.984999999999999</v>
      </c>
      <c r="DL34" s="816">
        <v>11.98046617</v>
      </c>
      <c r="DM34" s="816">
        <v>10.707478589999999</v>
      </c>
      <c r="DN34" s="816">
        <v>9.4212719899999993</v>
      </c>
      <c r="DO34" s="816">
        <v>8.2776672500000004</v>
      </c>
      <c r="DP34" s="816">
        <v>8.26766574</v>
      </c>
      <c r="DQ34" s="816">
        <v>0.18262824999999999</v>
      </c>
      <c r="DR34" s="816">
        <v>0.11988728</v>
      </c>
      <c r="DS34" s="816">
        <v>0.11441235</v>
      </c>
      <c r="DT34" s="816">
        <v>0.10894958</v>
      </c>
      <c r="DU34" s="816">
        <v>0.10346042</v>
      </c>
      <c r="DV34" s="816">
        <v>9.7961400000000004E-2</v>
      </c>
      <c r="DW34" s="816">
        <v>0.34740333000000001</v>
      </c>
      <c r="DX34" s="816">
        <v>0.33393388000000002</v>
      </c>
      <c r="DY34" s="816">
        <v>0.32043917</v>
      </c>
      <c r="DZ34" s="816">
        <v>0.30679687</v>
      </c>
      <c r="EA34" s="816">
        <v>0.29315154999999998</v>
      </c>
      <c r="EB34" s="816">
        <v>0.27939201000000002</v>
      </c>
      <c r="EC34" s="816">
        <v>0.26558717999999998</v>
      </c>
      <c r="ED34" s="816">
        <v>0.25179269999999998</v>
      </c>
      <c r="EE34" s="816">
        <v>47.776486149999997</v>
      </c>
      <c r="EF34" s="816">
        <v>153.46336162</v>
      </c>
      <c r="EG34" s="816">
        <v>153.13712154999999</v>
      </c>
      <c r="EH34" s="816">
        <v>138.88501299999999</v>
      </c>
      <c r="EI34" s="816">
        <v>138.30052628999999</v>
      </c>
      <c r="EJ34" s="816">
        <v>139.23268823000001</v>
      </c>
      <c r="EK34" s="816">
        <v>113.01672825</v>
      </c>
      <c r="EL34" s="816">
        <v>113.27285456</v>
      </c>
      <c r="EM34" s="816">
        <v>36.269651279999998</v>
      </c>
      <c r="EN34" s="816">
        <v>35.327642920000002</v>
      </c>
      <c r="EO34" s="816">
        <v>23.390860450000002</v>
      </c>
      <c r="EP34" s="816">
        <v>23.278006600000001</v>
      </c>
      <c r="EQ34" s="816">
        <v>23.24758576</v>
      </c>
      <c r="ER34" s="816">
        <v>24.410448089999999</v>
      </c>
      <c r="ES34" s="816">
        <v>25.351067109999999</v>
      </c>
      <c r="ET34" s="816">
        <v>25.259540099999999</v>
      </c>
      <c r="EU34" s="816">
        <v>26.07857443</v>
      </c>
      <c r="EV34" s="816">
        <v>25.480577029999999</v>
      </c>
      <c r="EW34" s="816">
        <v>13.23938278</v>
      </c>
      <c r="EX34" s="816">
        <v>13.278715</v>
      </c>
      <c r="EY34" s="816">
        <v>13.073485720000001</v>
      </c>
      <c r="EZ34" s="816">
        <v>13.05897644</v>
      </c>
      <c r="FA34" s="816">
        <v>13.233849149999999</v>
      </c>
      <c r="FB34" s="816">
        <v>13.36214148</v>
      </c>
      <c r="FC34" s="816">
        <v>0.25147385</v>
      </c>
      <c r="FD34" s="816">
        <v>0.21808538999999999</v>
      </c>
      <c r="FE34" s="816">
        <v>0.18448134999999999</v>
      </c>
      <c r="FF34" s="816">
        <v>0.15067773000000001</v>
      </c>
      <c r="FG34" s="816">
        <v>0.11662085</v>
      </c>
      <c r="FH34" s="1716" t="s">
        <v>4067</v>
      </c>
    </row>
    <row r="35" spans="1:164" ht="21">
      <c r="A35" s="1747" t="s">
        <v>1962</v>
      </c>
      <c r="B35" s="793">
        <f>+B33-B34</f>
        <v>744.50701523999999</v>
      </c>
      <c r="C35" s="793">
        <f t="shared" ref="C35:V35" si="12">+C33-C34</f>
        <v>542.42309392000016</v>
      </c>
      <c r="D35" s="793">
        <f t="shared" si="12"/>
        <v>547.97739497999987</v>
      </c>
      <c r="E35" s="793">
        <f t="shared" si="12"/>
        <v>558.94792725000002</v>
      </c>
      <c r="F35" s="793">
        <f t="shared" si="12"/>
        <v>564.83779874000004</v>
      </c>
      <c r="G35" s="793">
        <f t="shared" si="12"/>
        <v>566.42362789000003</v>
      </c>
      <c r="H35" s="793">
        <f t="shared" si="12"/>
        <v>582.70133286000009</v>
      </c>
      <c r="I35" s="793">
        <f t="shared" si="12"/>
        <v>587.40143137999996</v>
      </c>
      <c r="J35" s="793">
        <f t="shared" si="12"/>
        <v>593.94133834000002</v>
      </c>
      <c r="K35" s="793">
        <f t="shared" si="12"/>
        <v>593.27065555000013</v>
      </c>
      <c r="L35" s="793">
        <f t="shared" si="12"/>
        <v>593.52260237000007</v>
      </c>
      <c r="M35" s="787">
        <f t="shared" si="12"/>
        <v>611.97715318999997</v>
      </c>
      <c r="N35" s="794">
        <f t="shared" si="12"/>
        <v>611.93849526000008</v>
      </c>
      <c r="O35" s="794">
        <f t="shared" si="12"/>
        <v>606.39395082999999</v>
      </c>
      <c r="P35" s="794">
        <f t="shared" si="12"/>
        <v>603.44549071000006</v>
      </c>
      <c r="Q35" s="794">
        <f t="shared" si="12"/>
        <v>605.51360333000002</v>
      </c>
      <c r="R35" s="794">
        <f t="shared" si="12"/>
        <v>602.28486955000005</v>
      </c>
      <c r="S35" s="794">
        <f t="shared" si="12"/>
        <v>594.95407213999999</v>
      </c>
      <c r="T35" s="794">
        <f t="shared" si="12"/>
        <v>589.73080058999994</v>
      </c>
      <c r="U35" s="794">
        <f t="shared" si="12"/>
        <v>592.13224688000014</v>
      </c>
      <c r="V35" s="794">
        <f t="shared" si="12"/>
        <v>597.57027418999996</v>
      </c>
      <c r="W35" s="794">
        <v>600.73961117999988</v>
      </c>
      <c r="X35" s="794">
        <v>611.35907982000003</v>
      </c>
      <c r="Y35" s="787">
        <v>630.59200241999997</v>
      </c>
      <c r="Z35" s="794">
        <v>640.24753162999991</v>
      </c>
      <c r="AA35" s="794">
        <v>882.36950548000004</v>
      </c>
      <c r="AB35" s="787">
        <f>+AB33-AB34</f>
        <v>876.0500318500001</v>
      </c>
      <c r="AC35" s="787">
        <v>900.05489569000008</v>
      </c>
      <c r="AD35" s="787">
        <v>900.18821478999996</v>
      </c>
      <c r="AE35" s="787">
        <v>883.11609450000014</v>
      </c>
      <c r="AF35" s="787">
        <v>866.93760429000008</v>
      </c>
      <c r="AG35" s="787">
        <v>855.17992731000004</v>
      </c>
      <c r="AH35" s="787">
        <f>+AH33-AH34</f>
        <v>801.56805679999991</v>
      </c>
      <c r="AI35" s="787">
        <v>771.10599359000003</v>
      </c>
      <c r="AJ35" s="787">
        <f>+AJ33-AJ34</f>
        <v>765.52436037000007</v>
      </c>
      <c r="AK35" s="787">
        <f>+AK33-AK34</f>
        <v>1125.3063281100001</v>
      </c>
      <c r="AL35" s="787">
        <v>1140.7233066499998</v>
      </c>
      <c r="AM35" s="787">
        <f>+AM33-AM34</f>
        <v>1112.7001325900003</v>
      </c>
      <c r="AN35" s="787">
        <f>+AN33-AN34</f>
        <v>1113.9965279600001</v>
      </c>
      <c r="AO35" s="787">
        <f>+AO33-AO34</f>
        <v>1066.5717427</v>
      </c>
      <c r="AP35" s="787">
        <v>1013.3173218899999</v>
      </c>
      <c r="AQ35" s="787">
        <v>1037.1470082000001</v>
      </c>
      <c r="AR35" s="787">
        <v>892.68839844000013</v>
      </c>
      <c r="AS35" s="787">
        <v>791.66893006999987</v>
      </c>
      <c r="AT35" s="787">
        <f>AT27-AT31</f>
        <v>838.28778487</v>
      </c>
      <c r="AU35" s="787">
        <v>757.44179239000005</v>
      </c>
      <c r="AV35" s="787">
        <v>611.13664495000035</v>
      </c>
      <c r="AW35" s="787">
        <v>583.76466771000014</v>
      </c>
      <c r="AX35" s="787">
        <v>589.43198811999991</v>
      </c>
      <c r="AY35" s="787">
        <v>523.98409662000006</v>
      </c>
      <c r="AZ35" s="787">
        <v>511.94302163000003</v>
      </c>
      <c r="BA35" s="787">
        <v>500.97959624000009</v>
      </c>
      <c r="BB35" s="787">
        <v>519.55412655999999</v>
      </c>
      <c r="BC35" s="787">
        <v>577.74859578000007</v>
      </c>
      <c r="BD35" s="787">
        <f>+BD33-BD34</f>
        <v>515.50876612999991</v>
      </c>
      <c r="BE35" s="787">
        <v>508.25451670999996</v>
      </c>
      <c r="BF35" s="787">
        <v>530.23211595999999</v>
      </c>
      <c r="BG35" s="787">
        <v>536.32595968999976</v>
      </c>
      <c r="BH35" s="828">
        <v>559.5219182799998</v>
      </c>
      <c r="BI35" s="818">
        <v>597.9223489000002</v>
      </c>
      <c r="BJ35" s="818">
        <v>564.7848928200001</v>
      </c>
      <c r="BK35" s="818">
        <v>526.92782117999991</v>
      </c>
      <c r="BL35" s="818">
        <v>542.08289049999996</v>
      </c>
      <c r="BM35" s="818">
        <v>543.28958401000011</v>
      </c>
      <c r="BN35" s="818">
        <v>547.11845198000003</v>
      </c>
      <c r="BO35" s="818">
        <v>559.5317101200003</v>
      </c>
      <c r="BP35" s="818">
        <v>558.62008303999994</v>
      </c>
      <c r="BQ35" s="818">
        <v>542.93780951999997</v>
      </c>
      <c r="BR35" s="818">
        <v>540.64892946999998</v>
      </c>
      <c r="BS35" s="818">
        <v>540.46657002999996</v>
      </c>
      <c r="BT35" s="818">
        <v>536.10335137000015</v>
      </c>
      <c r="BU35" s="818">
        <v>719.1872646600001</v>
      </c>
      <c r="BV35" s="818">
        <v>730.57515848999981</v>
      </c>
      <c r="BW35" s="818">
        <v>741.79667398999993</v>
      </c>
      <c r="BX35" s="818">
        <v>745.33505492999961</v>
      </c>
      <c r="BY35" s="818">
        <v>731.8527686900004</v>
      </c>
      <c r="BZ35" s="818">
        <v>736.22086012000045</v>
      </c>
      <c r="CA35" s="818">
        <v>732.89206459999969</v>
      </c>
      <c r="CB35" s="818">
        <v>760.01390615000014</v>
      </c>
      <c r="CC35" s="818">
        <v>746.18867944000021</v>
      </c>
      <c r="CD35" s="818">
        <f t="shared" ref="CD35:CN35" si="13">+CD27-CD31</f>
        <v>772.35191618999988</v>
      </c>
      <c r="CE35" s="818">
        <f t="shared" si="13"/>
        <v>779.28262709999967</v>
      </c>
      <c r="CF35" s="818">
        <f t="shared" si="13"/>
        <v>641.56348517999959</v>
      </c>
      <c r="CG35" s="818">
        <f t="shared" si="13"/>
        <v>787.30191280999975</v>
      </c>
      <c r="CH35" s="818">
        <f t="shared" si="13"/>
        <v>784.3633205499998</v>
      </c>
      <c r="CI35" s="818">
        <f t="shared" si="13"/>
        <v>792.72849090999989</v>
      </c>
      <c r="CJ35" s="818">
        <f t="shared" si="13"/>
        <v>766.86969468999996</v>
      </c>
      <c r="CK35" s="818">
        <f t="shared" si="13"/>
        <v>741.87701427999991</v>
      </c>
      <c r="CL35" s="818">
        <f t="shared" si="13"/>
        <v>712.21234043999993</v>
      </c>
      <c r="CM35" s="818">
        <f t="shared" si="13"/>
        <v>710.62305085999969</v>
      </c>
      <c r="CN35" s="818">
        <f t="shared" si="13"/>
        <v>710.13139947000025</v>
      </c>
      <c r="CO35" s="818">
        <f>+CO33-CO34</f>
        <v>711.5505642600001</v>
      </c>
      <c r="CP35" s="818">
        <f>+CP33-CP34</f>
        <v>803.09465908000004</v>
      </c>
      <c r="CQ35" s="818">
        <f>+CQ33-CQ34</f>
        <v>841.25453662999996</v>
      </c>
      <c r="CR35" s="818">
        <f>+CR33-CR34</f>
        <v>829.33987808000006</v>
      </c>
      <c r="CS35" s="818">
        <v>798.49755650000009</v>
      </c>
      <c r="CT35" s="818">
        <v>789.52414474</v>
      </c>
      <c r="CU35" s="818">
        <v>644.68592974000001</v>
      </c>
      <c r="CV35" s="818">
        <v>621.08863307000001</v>
      </c>
      <c r="CW35" s="818">
        <v>627.57540857000004</v>
      </c>
      <c r="CX35" s="818">
        <v>621.36833479999996</v>
      </c>
      <c r="CY35" s="818">
        <v>562.18538269999999</v>
      </c>
      <c r="CZ35" s="818">
        <v>556.79690156000004</v>
      </c>
      <c r="DA35" s="818">
        <v>554.89837994000004</v>
      </c>
      <c r="DB35" s="818">
        <v>549.51537865</v>
      </c>
      <c r="DC35" s="818">
        <v>649.75413828000001</v>
      </c>
      <c r="DD35" s="818">
        <v>637.96189890000005</v>
      </c>
      <c r="DE35" s="818">
        <v>613.69586333999996</v>
      </c>
      <c r="DF35" s="818">
        <v>601.71820419000005</v>
      </c>
      <c r="DG35" s="818">
        <v>600.82177376000004</v>
      </c>
      <c r="DH35" s="818">
        <v>599.46765848999996</v>
      </c>
      <c r="DI35" s="818">
        <v>598.86586966000004</v>
      </c>
      <c r="DJ35" s="818">
        <v>600.87899123999989</v>
      </c>
      <c r="DK35" s="818">
        <v>582.81908112999997</v>
      </c>
      <c r="DL35" s="818">
        <v>586.79141756000001</v>
      </c>
      <c r="DM35" s="818">
        <v>586.33099329000004</v>
      </c>
      <c r="DN35" s="818">
        <v>583.84821007000005</v>
      </c>
      <c r="DO35" s="818">
        <v>598.17136230999995</v>
      </c>
      <c r="DP35" s="818">
        <v>620.17981099999997</v>
      </c>
      <c r="DQ35" s="818">
        <v>586.76771464000001</v>
      </c>
      <c r="DR35" s="818">
        <v>586.23699446000001</v>
      </c>
      <c r="DS35" s="818">
        <v>581.03009448</v>
      </c>
      <c r="DT35" s="818">
        <v>605.59410591000005</v>
      </c>
      <c r="DU35" s="818">
        <v>609.76494721999995</v>
      </c>
      <c r="DV35" s="818">
        <v>608.73225124999999</v>
      </c>
      <c r="DW35" s="818">
        <v>615.75160652</v>
      </c>
      <c r="DX35" s="818">
        <v>646.43715677</v>
      </c>
      <c r="DY35" s="818">
        <v>637.60935194000001</v>
      </c>
      <c r="DZ35" s="818">
        <v>634.63662303000001</v>
      </c>
      <c r="EA35" s="818">
        <v>620.12237905999996</v>
      </c>
      <c r="EB35" s="818">
        <v>624.23040023999999</v>
      </c>
      <c r="EC35" s="818">
        <v>572.90214433000006</v>
      </c>
      <c r="ED35" s="818">
        <v>563.47655548</v>
      </c>
      <c r="EE35" s="818">
        <v>567.64820365000003</v>
      </c>
      <c r="EF35" s="818">
        <v>579.01483631999997</v>
      </c>
      <c r="EG35" s="818">
        <v>558.43297254000004</v>
      </c>
      <c r="EH35" s="818">
        <v>568.68245208999997</v>
      </c>
      <c r="EI35" s="818">
        <v>559.54417752999996</v>
      </c>
      <c r="EJ35" s="818">
        <v>552.96448049000003</v>
      </c>
      <c r="EK35" s="818">
        <v>557.63896419000002</v>
      </c>
      <c r="EL35" s="818">
        <v>558.10004958000002</v>
      </c>
      <c r="EM35" s="818">
        <v>627.64615791999995</v>
      </c>
      <c r="EN35" s="818">
        <v>616.34588642999995</v>
      </c>
      <c r="EO35" s="818">
        <v>585.70432300000004</v>
      </c>
      <c r="EP35" s="818">
        <v>560.71053132999998</v>
      </c>
      <c r="EQ35" s="818">
        <v>556.68541765999998</v>
      </c>
      <c r="ER35" s="818">
        <v>549.95384348000005</v>
      </c>
      <c r="ES35" s="818">
        <v>544.79239118999999</v>
      </c>
      <c r="ET35" s="818">
        <v>544.07928878999996</v>
      </c>
      <c r="EU35" s="818">
        <v>556.85346958000002</v>
      </c>
      <c r="EV35" s="818">
        <v>550.12973309999995</v>
      </c>
      <c r="EW35" s="818">
        <v>550.07770252</v>
      </c>
      <c r="EX35" s="818">
        <v>550.63125807999995</v>
      </c>
      <c r="EY35" s="818">
        <v>514.33581416000004</v>
      </c>
      <c r="EZ35" s="818">
        <v>540.37972621999995</v>
      </c>
      <c r="FA35" s="818">
        <v>559.22818975999996</v>
      </c>
      <c r="FB35" s="818">
        <v>545.80472423000003</v>
      </c>
      <c r="FC35" s="818">
        <v>550.38293553000005</v>
      </c>
      <c r="FD35" s="818">
        <v>557.80588039999998</v>
      </c>
      <c r="FE35" s="818">
        <v>537.39321281000002</v>
      </c>
      <c r="FF35" s="818">
        <v>530.66472291000002</v>
      </c>
      <c r="FG35" s="818">
        <v>552.93729905999999</v>
      </c>
      <c r="FH35" s="1717" t="s">
        <v>4066</v>
      </c>
    </row>
    <row r="36" spans="1:164" s="736" customFormat="1" ht="39" customHeight="1">
      <c r="A36" s="2306" t="s">
        <v>3278</v>
      </c>
      <c r="B36" s="2306"/>
      <c r="C36" s="2306"/>
      <c r="D36" s="2306"/>
      <c r="E36" s="2306"/>
      <c r="F36" s="2306"/>
      <c r="G36" s="2306"/>
      <c r="H36" s="2306"/>
      <c r="I36" s="2306"/>
      <c r="J36" s="2306"/>
      <c r="K36" s="2306"/>
      <c r="L36" s="2306"/>
      <c r="M36" s="2306"/>
      <c r="N36" s="2306"/>
      <c r="O36" s="2306"/>
      <c r="P36" s="2306"/>
      <c r="Q36" s="2306"/>
      <c r="R36" s="2306"/>
      <c r="S36" s="2306"/>
      <c r="T36" s="2306"/>
      <c r="U36" s="2306"/>
      <c r="V36" s="2306"/>
      <c r="W36" s="2306"/>
      <c r="X36" s="2306"/>
      <c r="Y36" s="2306"/>
      <c r="Z36" s="2306"/>
      <c r="AA36" s="2306"/>
      <c r="AB36" s="2306"/>
      <c r="AC36" s="2306"/>
      <c r="AD36" s="2306"/>
      <c r="AE36" s="2306"/>
      <c r="AF36" s="2306"/>
      <c r="AG36" s="2306"/>
      <c r="AH36" s="2306"/>
      <c r="AI36" s="2306"/>
      <c r="AJ36" s="2306"/>
      <c r="AK36" s="2306"/>
      <c r="AL36" s="2306"/>
      <c r="AM36" s="2306"/>
      <c r="AN36" s="2306"/>
      <c r="AO36" s="2306"/>
      <c r="AP36" s="2306"/>
      <c r="AQ36" s="2306"/>
      <c r="AR36" s="2306"/>
      <c r="AS36" s="2306"/>
      <c r="AT36" s="2306"/>
      <c r="AU36" s="2306"/>
      <c r="AV36" s="2306"/>
      <c r="AW36" s="2306"/>
      <c r="AX36" s="2306"/>
      <c r="AY36" s="2306"/>
      <c r="AZ36" s="2306"/>
      <c r="BA36" s="2306"/>
      <c r="BB36" s="2306"/>
      <c r="BC36" s="2306"/>
      <c r="BD36" s="2306"/>
      <c r="BE36" s="2306"/>
      <c r="BF36" s="2306"/>
      <c r="BG36" s="2306"/>
      <c r="BH36" s="2306"/>
      <c r="BI36" s="2306"/>
      <c r="BJ36" s="2306"/>
      <c r="BK36" s="2306"/>
      <c r="BL36" s="2306"/>
      <c r="BM36" s="2306"/>
      <c r="BN36" s="2306"/>
      <c r="BO36" s="2306"/>
      <c r="BP36" s="2306"/>
      <c r="BQ36" s="2306"/>
      <c r="BR36" s="2306"/>
      <c r="BS36" s="2306"/>
      <c r="BT36" s="2306"/>
      <c r="BU36" s="2306"/>
      <c r="BV36" s="2306"/>
      <c r="BW36" s="2306"/>
      <c r="BX36" s="2306"/>
      <c r="BY36" s="2306"/>
      <c r="BZ36" s="2306"/>
      <c r="CA36" s="2306"/>
      <c r="CB36" s="2306"/>
      <c r="CC36" s="2306"/>
      <c r="CD36" s="2306"/>
      <c r="CE36" s="2306"/>
      <c r="CF36" s="2306"/>
      <c r="CG36" s="2306"/>
      <c r="CH36" s="2306"/>
      <c r="CI36" s="2306"/>
      <c r="CJ36" s="2306"/>
      <c r="CK36" s="2306"/>
      <c r="CL36" s="2306"/>
      <c r="CM36" s="2306"/>
      <c r="CN36" s="2306"/>
      <c r="CO36" s="2306"/>
      <c r="CP36" s="2306"/>
      <c r="CQ36" s="2306"/>
      <c r="CR36" s="2306"/>
      <c r="CS36" s="2306"/>
      <c r="CT36" s="2306"/>
      <c r="CU36" s="2306"/>
      <c r="CV36" s="2306"/>
      <c r="CW36" s="2306"/>
      <c r="CX36" s="2306"/>
      <c r="CY36" s="2306"/>
      <c r="CZ36" s="2306"/>
      <c r="DA36" s="2306"/>
      <c r="DB36" s="2306"/>
      <c r="DC36" s="2306"/>
      <c r="DD36" s="2306"/>
      <c r="DE36" s="2306"/>
      <c r="DF36" s="2306"/>
      <c r="DG36" s="2306"/>
      <c r="DH36" s="2306"/>
      <c r="DI36" s="2306"/>
      <c r="DJ36" s="2306"/>
      <c r="DK36" s="2306"/>
      <c r="DL36" s="2306"/>
      <c r="DM36" s="2306"/>
      <c r="DN36" s="2306"/>
      <c r="DO36" s="2306"/>
      <c r="DP36" s="2306"/>
      <c r="DQ36" s="2306"/>
      <c r="DR36" s="2306"/>
      <c r="DS36" s="2306"/>
      <c r="DT36" s="2306"/>
      <c r="DU36" s="2306"/>
      <c r="DV36" s="2306"/>
      <c r="DW36" s="2306"/>
      <c r="DX36" s="2306"/>
      <c r="DY36" s="2306"/>
      <c r="DZ36" s="2306"/>
      <c r="EA36" s="2307"/>
      <c r="EB36" s="2307"/>
      <c r="EC36" s="2307"/>
      <c r="ED36" s="2307"/>
      <c r="EE36" s="2307"/>
      <c r="EF36" s="2307"/>
      <c r="EG36" s="2307"/>
      <c r="EH36" s="2307"/>
      <c r="EI36" s="2307"/>
      <c r="EJ36" s="2307"/>
      <c r="EK36" s="2307"/>
      <c r="EL36" s="2307"/>
      <c r="EM36" s="2307"/>
      <c r="EN36" s="2307"/>
      <c r="EO36" s="2307"/>
      <c r="EP36" s="2307"/>
      <c r="EQ36" s="2307"/>
      <c r="ER36" s="2307"/>
      <c r="ES36" s="2307"/>
      <c r="ET36" s="2307"/>
      <c r="EU36" s="2307"/>
      <c r="EV36" s="2307"/>
      <c r="EW36" s="2307"/>
      <c r="EX36" s="2307"/>
      <c r="EY36" s="2307"/>
      <c r="EZ36" s="2307"/>
      <c r="FA36" s="2307"/>
      <c r="FB36" s="2307"/>
      <c r="FC36" s="2307"/>
      <c r="FD36" s="2307"/>
      <c r="FE36" s="2307"/>
      <c r="FF36" s="2307"/>
      <c r="FG36" s="2306"/>
    </row>
    <row r="37" spans="1:164" ht="18">
      <c r="A37" s="753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4"/>
      <c r="Z37" s="274"/>
      <c r="AA37" s="274"/>
      <c r="AB37" s="274"/>
      <c r="AC37" s="274"/>
      <c r="AD37" s="274"/>
      <c r="AE37" s="274"/>
      <c r="AF37" s="274"/>
      <c r="AG37" s="274"/>
      <c r="AH37" s="274"/>
      <c r="AI37" s="274"/>
      <c r="AJ37" s="274"/>
      <c r="AK37" s="274"/>
      <c r="AL37" s="274"/>
      <c r="AM37" s="274"/>
      <c r="AN37" s="274"/>
      <c r="AO37" s="274"/>
      <c r="AP37" s="274"/>
      <c r="AQ37" s="274"/>
      <c r="AR37" s="274"/>
      <c r="AS37" s="274"/>
      <c r="AT37" s="274"/>
      <c r="AU37" s="274"/>
      <c r="AV37" s="274"/>
      <c r="AW37" s="274"/>
      <c r="AX37" s="274"/>
      <c r="AY37" s="274"/>
      <c r="AZ37" s="274"/>
      <c r="BA37" s="274"/>
      <c r="BB37" s="274"/>
      <c r="BC37" s="274"/>
      <c r="BD37" s="274"/>
      <c r="BE37" s="274"/>
      <c r="BF37" s="274"/>
      <c r="BG37" s="274"/>
      <c r="BH37" s="274"/>
      <c r="BI37" s="274"/>
      <c r="BJ37" s="274"/>
      <c r="BK37" s="274"/>
      <c r="BL37" s="274"/>
      <c r="BM37" s="274"/>
      <c r="BN37" s="274"/>
      <c r="BO37" s="274"/>
      <c r="BP37" s="274"/>
      <c r="BQ37" s="274"/>
      <c r="BR37" s="274"/>
      <c r="BS37" s="274"/>
      <c r="BT37" s="274"/>
      <c r="BU37" s="274"/>
      <c r="BV37" s="274"/>
      <c r="BW37" s="274"/>
      <c r="BX37" s="274"/>
      <c r="BY37" s="274"/>
      <c r="BZ37" s="274"/>
      <c r="CA37" s="274"/>
      <c r="CB37" s="274"/>
      <c r="CC37" s="274"/>
      <c r="CD37" s="274"/>
      <c r="CE37" s="274"/>
      <c r="CF37" s="274"/>
      <c r="CG37" s="274"/>
      <c r="CH37" s="274"/>
      <c r="CI37" s="274"/>
      <c r="CJ37" s="274"/>
      <c r="CK37" s="274"/>
      <c r="CL37" s="274"/>
    </row>
    <row r="38" spans="1:164" ht="18">
      <c r="A38" s="754"/>
      <c r="B38" s="273"/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3"/>
      <c r="AY38" s="273"/>
      <c r="AZ38" s="273"/>
      <c r="BA38" s="273"/>
      <c r="BB38" s="273"/>
      <c r="BC38" s="273"/>
      <c r="BD38" s="273"/>
      <c r="BE38" s="273"/>
      <c r="BF38" s="273"/>
      <c r="BG38" s="273"/>
      <c r="BH38" s="273"/>
      <c r="BI38" s="273"/>
      <c r="BJ38" s="273"/>
      <c r="BK38" s="273"/>
      <c r="BL38" s="273"/>
      <c r="BM38" s="273"/>
      <c r="BN38" s="273"/>
      <c r="BO38" s="273"/>
      <c r="BP38" s="273"/>
      <c r="BQ38" s="273"/>
      <c r="BR38" s="273"/>
      <c r="BS38" s="273"/>
      <c r="BT38" s="273"/>
      <c r="BU38" s="273"/>
      <c r="BV38" s="273"/>
      <c r="BW38" s="273"/>
      <c r="BX38" s="273"/>
      <c r="BY38" s="273"/>
      <c r="BZ38" s="273"/>
      <c r="CA38" s="273"/>
      <c r="CB38" s="273"/>
      <c r="CC38" s="273"/>
      <c r="CD38" s="273"/>
      <c r="CE38" s="273"/>
      <c r="CF38" s="273"/>
      <c r="CG38" s="273"/>
      <c r="CH38" s="273"/>
      <c r="CI38" s="273"/>
      <c r="CJ38" s="273"/>
      <c r="CK38" s="273"/>
      <c r="CL38" s="273"/>
    </row>
    <row r="39" spans="1:164" ht="18">
      <c r="A39" s="753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  <c r="AM39" s="274"/>
      <c r="AN39" s="274"/>
      <c r="AO39" s="274"/>
      <c r="AP39" s="274"/>
      <c r="AQ39" s="274"/>
      <c r="AR39" s="274"/>
      <c r="AS39" s="274"/>
      <c r="AT39" s="274"/>
      <c r="AU39" s="274"/>
      <c r="AV39" s="274"/>
      <c r="AW39" s="274"/>
      <c r="AX39" s="274"/>
      <c r="AY39" s="274"/>
      <c r="AZ39" s="274"/>
      <c r="BA39" s="274"/>
      <c r="BB39" s="274"/>
      <c r="BC39" s="274"/>
      <c r="BD39" s="274"/>
      <c r="BE39" s="274"/>
      <c r="BF39" s="274"/>
      <c r="BG39" s="274"/>
      <c r="BH39" s="274"/>
      <c r="BI39" s="274"/>
      <c r="BJ39" s="274"/>
      <c r="BK39" s="274"/>
      <c r="BL39" s="274"/>
      <c r="BM39" s="274"/>
      <c r="BN39" s="274"/>
      <c r="BO39" s="274"/>
      <c r="BP39" s="274"/>
      <c r="BQ39" s="274"/>
      <c r="BR39" s="274"/>
      <c r="BS39" s="274"/>
      <c r="BT39" s="274"/>
      <c r="BU39" s="274"/>
      <c r="BV39" s="274"/>
      <c r="BW39" s="274"/>
      <c r="BX39" s="274"/>
      <c r="BY39" s="274"/>
      <c r="BZ39" s="274"/>
      <c r="CA39" s="274"/>
      <c r="CB39" s="274"/>
      <c r="CC39" s="274"/>
      <c r="CD39" s="274"/>
      <c r="CE39" s="274"/>
      <c r="CF39" s="274"/>
      <c r="CG39" s="274"/>
      <c r="CH39" s="274"/>
      <c r="CI39" s="274"/>
      <c r="CJ39" s="274"/>
      <c r="CK39" s="274"/>
      <c r="CL39" s="274"/>
    </row>
    <row r="40" spans="1:164" ht="18">
      <c r="A40" s="754"/>
      <c r="B40" s="273"/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3"/>
      <c r="AO40" s="273"/>
      <c r="AP40" s="273"/>
      <c r="AQ40" s="273"/>
      <c r="AR40" s="273"/>
      <c r="AS40" s="273"/>
      <c r="AT40" s="273"/>
      <c r="AU40" s="273"/>
      <c r="AV40" s="273"/>
      <c r="AW40" s="273"/>
      <c r="AX40" s="273"/>
      <c r="AY40" s="273"/>
      <c r="AZ40" s="273"/>
      <c r="BA40" s="273"/>
      <c r="BB40" s="273"/>
      <c r="BC40" s="273"/>
      <c r="BD40" s="273"/>
      <c r="BE40" s="273"/>
      <c r="BF40" s="273"/>
      <c r="BG40" s="273"/>
      <c r="BH40" s="273"/>
      <c r="BI40" s="273"/>
      <c r="BJ40" s="273"/>
      <c r="BK40" s="273"/>
      <c r="BL40" s="273"/>
      <c r="BM40" s="273"/>
      <c r="BN40" s="273"/>
      <c r="BO40" s="273"/>
      <c r="BP40" s="273"/>
      <c r="BQ40" s="273"/>
      <c r="BR40" s="273"/>
      <c r="BS40" s="273"/>
      <c r="BT40" s="273"/>
      <c r="BU40" s="273"/>
      <c r="BV40" s="273"/>
      <c r="BW40" s="273"/>
      <c r="BX40" s="273"/>
      <c r="BY40" s="273"/>
      <c r="BZ40" s="273"/>
      <c r="CA40" s="273"/>
      <c r="CB40" s="273"/>
      <c r="CC40" s="273"/>
      <c r="CD40" s="273"/>
      <c r="CE40" s="273"/>
      <c r="CF40" s="273"/>
      <c r="CG40" s="273"/>
      <c r="CH40" s="273"/>
      <c r="CI40" s="273"/>
      <c r="CJ40" s="273"/>
      <c r="CK40" s="273"/>
      <c r="CL40" s="273"/>
    </row>
    <row r="41" spans="1:164" ht="18">
      <c r="A41" s="753"/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274"/>
      <c r="AE41" s="274"/>
      <c r="AF41" s="274"/>
      <c r="AG41" s="274"/>
      <c r="AH41" s="274"/>
      <c r="AI41" s="274"/>
      <c r="AJ41" s="274"/>
      <c r="AK41" s="274"/>
      <c r="AL41" s="274"/>
      <c r="AM41" s="274"/>
      <c r="AN41" s="274"/>
      <c r="AO41" s="274"/>
      <c r="AP41" s="274"/>
      <c r="AQ41" s="274"/>
      <c r="AR41" s="274"/>
      <c r="AS41" s="274"/>
      <c r="AT41" s="274"/>
      <c r="AU41" s="274"/>
      <c r="AV41" s="274"/>
      <c r="AW41" s="274"/>
      <c r="AX41" s="274"/>
      <c r="AY41" s="274"/>
      <c r="AZ41" s="274"/>
      <c r="BA41" s="274"/>
      <c r="BB41" s="274"/>
      <c r="BC41" s="274"/>
      <c r="BD41" s="274"/>
      <c r="BE41" s="274"/>
      <c r="BF41" s="274"/>
      <c r="BG41" s="274"/>
      <c r="BH41" s="274"/>
      <c r="BI41" s="274"/>
      <c r="BJ41" s="274"/>
      <c r="BK41" s="274"/>
      <c r="BL41" s="274"/>
      <c r="BM41" s="274"/>
      <c r="BN41" s="274"/>
      <c r="BO41" s="274"/>
      <c r="BP41" s="274"/>
      <c r="BQ41" s="274"/>
      <c r="BR41" s="274"/>
      <c r="BS41" s="274"/>
      <c r="BT41" s="274"/>
      <c r="BU41" s="274"/>
      <c r="BV41" s="274"/>
      <c r="BW41" s="274"/>
      <c r="BX41" s="274"/>
      <c r="BY41" s="274"/>
      <c r="BZ41" s="274"/>
      <c r="CA41" s="274"/>
      <c r="CB41" s="274"/>
      <c r="CC41" s="274"/>
      <c r="CD41" s="274"/>
      <c r="CE41" s="274"/>
      <c r="CF41" s="274"/>
      <c r="CG41" s="274"/>
      <c r="CH41" s="274"/>
      <c r="CI41" s="274"/>
      <c r="CJ41" s="274"/>
      <c r="CK41" s="274"/>
      <c r="CL41" s="274"/>
    </row>
    <row r="42" spans="1:164" ht="18">
      <c r="A42" s="755"/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274"/>
      <c r="AE42" s="274"/>
      <c r="AF42" s="274"/>
      <c r="AG42" s="274"/>
      <c r="AH42" s="274"/>
      <c r="AI42" s="274"/>
      <c r="AJ42" s="274"/>
      <c r="AK42" s="274"/>
      <c r="AL42" s="274"/>
      <c r="AM42" s="274"/>
      <c r="AN42" s="274"/>
      <c r="AO42" s="274"/>
      <c r="AP42" s="274"/>
      <c r="AQ42" s="274"/>
      <c r="AR42" s="274"/>
      <c r="AS42" s="274"/>
      <c r="AT42" s="274"/>
      <c r="AU42" s="274"/>
      <c r="AV42" s="274"/>
      <c r="AW42" s="274"/>
      <c r="AX42" s="274"/>
      <c r="AY42" s="274"/>
      <c r="AZ42" s="274"/>
      <c r="BA42" s="274"/>
      <c r="BB42" s="274"/>
      <c r="BC42" s="274"/>
      <c r="BD42" s="274"/>
      <c r="BE42" s="274"/>
      <c r="BF42" s="274"/>
      <c r="BG42" s="274"/>
      <c r="BH42" s="274"/>
      <c r="BI42" s="274"/>
      <c r="BJ42" s="274"/>
      <c r="BK42" s="274"/>
      <c r="BL42" s="274"/>
      <c r="BM42" s="274"/>
      <c r="BN42" s="274"/>
      <c r="BO42" s="274"/>
      <c r="BP42" s="274"/>
      <c r="BQ42" s="274"/>
      <c r="BR42" s="274"/>
      <c r="BS42" s="274"/>
      <c r="BT42" s="274"/>
      <c r="BU42" s="274"/>
      <c r="BV42" s="274"/>
      <c r="BW42" s="274"/>
      <c r="BX42" s="274"/>
      <c r="BY42" s="274"/>
      <c r="BZ42" s="274"/>
      <c r="CA42" s="274"/>
      <c r="CB42" s="274"/>
      <c r="CC42" s="274"/>
      <c r="CD42" s="274"/>
      <c r="CE42" s="274"/>
      <c r="CF42" s="274"/>
      <c r="CG42" s="274"/>
      <c r="CH42" s="274"/>
      <c r="CI42" s="274"/>
      <c r="CJ42" s="274"/>
      <c r="CK42" s="274"/>
      <c r="CL42" s="274"/>
    </row>
    <row r="43" spans="1:164" ht="18">
      <c r="A43" s="756"/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  <c r="AU43" s="273"/>
      <c r="AV43" s="273"/>
      <c r="AW43" s="273"/>
      <c r="AX43" s="273"/>
      <c r="AY43" s="273"/>
      <c r="AZ43" s="273"/>
      <c r="BA43" s="273"/>
      <c r="BB43" s="273"/>
      <c r="BC43" s="273"/>
      <c r="BD43" s="273"/>
      <c r="BE43" s="273"/>
      <c r="BF43" s="273"/>
      <c r="BG43" s="273"/>
      <c r="BH43" s="273"/>
      <c r="BI43" s="273"/>
      <c r="BJ43" s="273"/>
      <c r="BK43" s="273"/>
      <c r="BL43" s="273"/>
      <c r="BM43" s="273"/>
      <c r="BN43" s="273"/>
      <c r="BO43" s="273"/>
      <c r="BP43" s="273"/>
      <c r="BQ43" s="273"/>
      <c r="BR43" s="273"/>
      <c r="BS43" s="273"/>
      <c r="BT43" s="273"/>
      <c r="BU43" s="273"/>
      <c r="BV43" s="273"/>
      <c r="BW43" s="273"/>
      <c r="BX43" s="273"/>
      <c r="BY43" s="273"/>
      <c r="BZ43" s="273"/>
      <c r="CA43" s="273"/>
      <c r="CB43" s="273"/>
      <c r="CC43" s="273"/>
      <c r="CD43" s="273"/>
      <c r="CE43" s="273"/>
      <c r="CF43" s="273"/>
      <c r="CG43" s="273"/>
      <c r="CH43" s="273"/>
      <c r="CI43" s="273"/>
      <c r="CJ43" s="273"/>
      <c r="CK43" s="273"/>
      <c r="CL43" s="273"/>
    </row>
    <row r="44" spans="1:164" ht="18">
      <c r="A44" s="753"/>
      <c r="B44" s="274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4"/>
      <c r="O44" s="274"/>
      <c r="P44" s="274"/>
      <c r="Q44" s="274"/>
      <c r="R44" s="274"/>
      <c r="S44" s="274"/>
      <c r="T44" s="274"/>
      <c r="U44" s="274"/>
      <c r="V44" s="274"/>
      <c r="W44" s="274"/>
      <c r="X44" s="274"/>
      <c r="Y44" s="274"/>
      <c r="Z44" s="274"/>
      <c r="AA44" s="274"/>
      <c r="AB44" s="274"/>
      <c r="AC44" s="274"/>
      <c r="AD44" s="274"/>
      <c r="AE44" s="274"/>
      <c r="AF44" s="274"/>
      <c r="AG44" s="274"/>
      <c r="AH44" s="274"/>
      <c r="AI44" s="274"/>
      <c r="AJ44" s="274"/>
      <c r="AK44" s="274"/>
      <c r="AL44" s="274"/>
      <c r="AM44" s="274"/>
      <c r="AN44" s="274"/>
      <c r="AO44" s="274"/>
      <c r="AP44" s="274"/>
      <c r="AQ44" s="274"/>
      <c r="AR44" s="274"/>
      <c r="AS44" s="274"/>
      <c r="AT44" s="274"/>
      <c r="AU44" s="274"/>
      <c r="AV44" s="274"/>
      <c r="AW44" s="274"/>
      <c r="AX44" s="274"/>
      <c r="AY44" s="274"/>
      <c r="AZ44" s="274"/>
      <c r="BA44" s="274"/>
      <c r="BB44" s="274"/>
      <c r="BC44" s="274"/>
      <c r="BD44" s="274"/>
      <c r="BE44" s="274"/>
      <c r="BF44" s="274"/>
      <c r="BG44" s="274"/>
      <c r="BH44" s="274"/>
      <c r="BI44" s="274"/>
      <c r="BJ44" s="274"/>
      <c r="BK44" s="274"/>
      <c r="BL44" s="274"/>
      <c r="BM44" s="274"/>
      <c r="BN44" s="274"/>
      <c r="BO44" s="274"/>
      <c r="BP44" s="274"/>
      <c r="BQ44" s="274"/>
      <c r="BR44" s="274"/>
      <c r="BS44" s="274"/>
      <c r="BT44" s="274"/>
      <c r="BU44" s="274"/>
      <c r="BV44" s="274"/>
      <c r="BW44" s="274"/>
      <c r="BX44" s="274"/>
      <c r="BY44" s="274"/>
      <c r="BZ44" s="274"/>
      <c r="CA44" s="274"/>
      <c r="CB44" s="274"/>
      <c r="CC44" s="274"/>
      <c r="CD44" s="274"/>
      <c r="CE44" s="274"/>
      <c r="CF44" s="274"/>
      <c r="CG44" s="274"/>
      <c r="CH44" s="274"/>
      <c r="CI44" s="274"/>
      <c r="CJ44" s="274"/>
      <c r="CK44" s="274"/>
      <c r="CL44" s="274"/>
    </row>
    <row r="45" spans="1:164" ht="18">
      <c r="A45" s="754"/>
      <c r="B45" s="273"/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  <c r="BG45" s="273"/>
      <c r="BH45" s="273"/>
      <c r="BI45" s="273"/>
      <c r="BJ45" s="273"/>
      <c r="BK45" s="273"/>
      <c r="BL45" s="273"/>
      <c r="BM45" s="273"/>
      <c r="BN45" s="273"/>
      <c r="BO45" s="273"/>
      <c r="BP45" s="273"/>
      <c r="BQ45" s="273"/>
      <c r="BR45" s="273"/>
      <c r="BS45" s="273"/>
      <c r="BT45" s="273"/>
      <c r="BU45" s="273"/>
      <c r="BV45" s="273"/>
      <c r="BW45" s="273"/>
      <c r="BX45" s="273"/>
      <c r="BY45" s="273"/>
      <c r="BZ45" s="273"/>
      <c r="CA45" s="273"/>
      <c r="CB45" s="273"/>
      <c r="CC45" s="273"/>
      <c r="CD45" s="273"/>
      <c r="CE45" s="273"/>
      <c r="CF45" s="273"/>
      <c r="CG45" s="273"/>
      <c r="CH45" s="273"/>
      <c r="CI45" s="273"/>
      <c r="CJ45" s="273"/>
      <c r="CK45" s="273"/>
      <c r="CL45" s="273"/>
    </row>
    <row r="46" spans="1:164" ht="18">
      <c r="A46" s="753"/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4"/>
      <c r="BA46" s="274"/>
      <c r="BB46" s="274"/>
      <c r="BC46" s="274"/>
      <c r="BD46" s="274"/>
      <c r="BE46" s="274"/>
      <c r="BF46" s="274"/>
      <c r="BG46" s="274"/>
      <c r="BH46" s="274"/>
      <c r="BI46" s="274"/>
      <c r="BJ46" s="274"/>
      <c r="BK46" s="274"/>
      <c r="BL46" s="274"/>
      <c r="BM46" s="274"/>
      <c r="BN46" s="274"/>
      <c r="BO46" s="274"/>
      <c r="BP46" s="274"/>
      <c r="BQ46" s="274"/>
      <c r="BR46" s="274"/>
      <c r="BS46" s="274"/>
      <c r="BT46" s="274"/>
      <c r="BU46" s="274"/>
      <c r="BV46" s="274"/>
      <c r="BW46" s="274"/>
      <c r="BX46" s="274"/>
      <c r="BY46" s="274"/>
      <c r="BZ46" s="274"/>
      <c r="CA46" s="274"/>
      <c r="CB46" s="274"/>
      <c r="CC46" s="274"/>
      <c r="CD46" s="274"/>
      <c r="CE46" s="274"/>
      <c r="CF46" s="274"/>
      <c r="CG46" s="274"/>
      <c r="CH46" s="274"/>
      <c r="CI46" s="274"/>
      <c r="CJ46" s="274"/>
      <c r="CK46" s="274"/>
      <c r="CL46" s="274"/>
    </row>
    <row r="47" spans="1:164" ht="18">
      <c r="A47" s="754"/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73"/>
      <c r="BA47" s="273"/>
      <c r="BB47" s="273"/>
      <c r="BC47" s="273"/>
      <c r="BD47" s="273"/>
      <c r="BE47" s="273"/>
      <c r="BF47" s="273"/>
      <c r="BG47" s="273"/>
      <c r="BH47" s="273"/>
      <c r="BI47" s="273"/>
      <c r="BJ47" s="273"/>
      <c r="BK47" s="273"/>
      <c r="BL47" s="273"/>
      <c r="BM47" s="273"/>
      <c r="BN47" s="273"/>
      <c r="BO47" s="273"/>
      <c r="BP47" s="273"/>
      <c r="BQ47" s="273"/>
      <c r="BR47" s="273"/>
      <c r="BS47" s="273"/>
      <c r="BT47" s="273"/>
      <c r="BU47" s="273"/>
      <c r="BV47" s="273"/>
      <c r="BW47" s="273"/>
      <c r="BX47" s="273"/>
      <c r="BY47" s="273"/>
      <c r="BZ47" s="273"/>
      <c r="CA47" s="273"/>
      <c r="CB47" s="273"/>
      <c r="CC47" s="273"/>
      <c r="CD47" s="273"/>
      <c r="CE47" s="273"/>
      <c r="CF47" s="273"/>
      <c r="CG47" s="273"/>
      <c r="CH47" s="273"/>
      <c r="CI47" s="273"/>
      <c r="CJ47" s="273"/>
      <c r="CK47" s="273"/>
      <c r="CL47" s="273"/>
    </row>
    <row r="48" spans="1:164" ht="18">
      <c r="A48" s="753"/>
      <c r="B48" s="274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  <c r="AA48" s="274"/>
      <c r="AB48" s="274"/>
      <c r="AC48" s="274"/>
      <c r="AD48" s="274"/>
      <c r="AE48" s="274"/>
      <c r="AF48" s="274"/>
      <c r="AG48" s="274"/>
      <c r="AH48" s="274"/>
      <c r="AI48" s="274"/>
      <c r="AJ48" s="274"/>
      <c r="AK48" s="274"/>
      <c r="AL48" s="274"/>
      <c r="AM48" s="274"/>
      <c r="AN48" s="274"/>
      <c r="AO48" s="274"/>
      <c r="AP48" s="274"/>
      <c r="AQ48" s="274"/>
      <c r="AR48" s="274"/>
      <c r="AS48" s="274"/>
      <c r="AT48" s="274"/>
      <c r="AU48" s="274"/>
      <c r="AV48" s="274"/>
      <c r="AW48" s="274"/>
      <c r="AX48" s="274"/>
      <c r="AY48" s="274"/>
      <c r="AZ48" s="274"/>
      <c r="BA48" s="274"/>
      <c r="BB48" s="274"/>
      <c r="BC48" s="274"/>
      <c r="BD48" s="274"/>
      <c r="BE48" s="274"/>
      <c r="BF48" s="274"/>
      <c r="BG48" s="274"/>
      <c r="BH48" s="274"/>
      <c r="BI48" s="274"/>
      <c r="BJ48" s="274"/>
      <c r="BK48" s="274"/>
      <c r="BL48" s="274"/>
      <c r="BM48" s="274"/>
      <c r="BN48" s="274"/>
      <c r="BO48" s="274"/>
      <c r="BP48" s="274"/>
      <c r="BQ48" s="274"/>
      <c r="BR48" s="274"/>
      <c r="BS48" s="274"/>
      <c r="BT48" s="274"/>
      <c r="BU48" s="274"/>
      <c r="BV48" s="274"/>
      <c r="BW48" s="274"/>
      <c r="BX48" s="274"/>
      <c r="BY48" s="274"/>
      <c r="BZ48" s="274"/>
      <c r="CA48" s="274"/>
      <c r="CB48" s="274"/>
      <c r="CC48" s="274"/>
      <c r="CD48" s="274"/>
      <c r="CE48" s="274"/>
      <c r="CF48" s="274"/>
      <c r="CG48" s="274"/>
      <c r="CH48" s="274"/>
      <c r="CI48" s="274"/>
      <c r="CJ48" s="274"/>
      <c r="CK48" s="274"/>
      <c r="CL48" s="274"/>
    </row>
    <row r="49" spans="1:90" ht="18">
      <c r="A49" s="757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  <c r="AJ49" s="275"/>
      <c r="AK49" s="275"/>
      <c r="AL49" s="275"/>
      <c r="AM49" s="275"/>
      <c r="AN49" s="275"/>
      <c r="AO49" s="275"/>
      <c r="AP49" s="275"/>
      <c r="AQ49" s="275"/>
      <c r="AR49" s="275"/>
      <c r="AS49" s="275"/>
      <c r="AT49" s="275"/>
      <c r="AU49" s="275"/>
      <c r="AV49" s="275"/>
      <c r="AW49" s="275"/>
      <c r="AX49" s="275"/>
      <c r="AY49" s="275"/>
      <c r="AZ49" s="275"/>
      <c r="BA49" s="275"/>
      <c r="BB49" s="275"/>
      <c r="BC49" s="275"/>
      <c r="BD49" s="275"/>
      <c r="BE49" s="275"/>
      <c r="BF49" s="275"/>
      <c r="BG49" s="275"/>
      <c r="BH49" s="275"/>
      <c r="BI49" s="275"/>
      <c r="BJ49" s="275"/>
      <c r="BK49" s="275"/>
      <c r="BL49" s="275"/>
      <c r="BM49" s="275"/>
      <c r="BN49" s="275"/>
      <c r="BO49" s="275"/>
      <c r="BP49" s="275"/>
      <c r="BQ49" s="275"/>
      <c r="BR49" s="275"/>
      <c r="BS49" s="275"/>
      <c r="BT49" s="275"/>
      <c r="BU49" s="275"/>
      <c r="BV49" s="275"/>
      <c r="BW49" s="275"/>
      <c r="BX49" s="275"/>
      <c r="BY49" s="275"/>
      <c r="BZ49" s="275"/>
      <c r="CA49" s="275"/>
      <c r="CB49" s="275"/>
      <c r="CC49" s="275"/>
      <c r="CD49" s="275"/>
      <c r="CE49" s="275"/>
      <c r="CF49" s="275"/>
      <c r="CG49" s="275"/>
      <c r="CH49" s="275"/>
      <c r="CI49" s="275"/>
      <c r="CJ49" s="275"/>
      <c r="CK49" s="275"/>
      <c r="CL49" s="275"/>
    </row>
    <row r="50" spans="1:90" ht="18">
      <c r="A50" s="758"/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275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  <c r="AJ50" s="275"/>
      <c r="AK50" s="275"/>
      <c r="AL50" s="275"/>
      <c r="AM50" s="275"/>
      <c r="AN50" s="275"/>
      <c r="AO50" s="275"/>
      <c r="AP50" s="275"/>
      <c r="AQ50" s="275"/>
      <c r="AR50" s="275"/>
      <c r="AS50" s="275"/>
      <c r="AT50" s="275"/>
      <c r="AU50" s="275"/>
      <c r="AV50" s="275"/>
      <c r="AW50" s="275"/>
      <c r="AX50" s="275"/>
      <c r="AY50" s="275"/>
      <c r="AZ50" s="275"/>
      <c r="BA50" s="275"/>
      <c r="BB50" s="275"/>
      <c r="BC50" s="275"/>
      <c r="BD50" s="275"/>
      <c r="BE50" s="275"/>
      <c r="BF50" s="275"/>
      <c r="BG50" s="275"/>
      <c r="BH50" s="275"/>
      <c r="BI50" s="275"/>
      <c r="BJ50" s="275"/>
      <c r="BK50" s="275"/>
      <c r="BL50" s="275"/>
      <c r="BM50" s="275"/>
      <c r="BN50" s="275"/>
      <c r="BO50" s="275"/>
      <c r="BP50" s="275"/>
      <c r="BQ50" s="275"/>
      <c r="BR50" s="275"/>
      <c r="BS50" s="275"/>
      <c r="BT50" s="275"/>
      <c r="BU50" s="275"/>
      <c r="BV50" s="275"/>
      <c r="BW50" s="275"/>
      <c r="BX50" s="275"/>
      <c r="BY50" s="275"/>
      <c r="BZ50" s="275"/>
      <c r="CA50" s="275"/>
      <c r="CB50" s="275"/>
      <c r="CC50" s="275"/>
      <c r="CD50" s="275"/>
      <c r="CE50" s="275"/>
      <c r="CF50" s="275"/>
      <c r="CG50" s="275"/>
      <c r="CH50" s="275"/>
      <c r="CI50" s="275"/>
      <c r="CJ50" s="275"/>
      <c r="CK50" s="275"/>
      <c r="CL50" s="275"/>
    </row>
  </sheetData>
  <mergeCells count="17">
    <mergeCell ref="FB6:FG6"/>
    <mergeCell ref="A2:FH2"/>
    <mergeCell ref="A3:FH3"/>
    <mergeCell ref="A7:A8"/>
    <mergeCell ref="FH7:FH8"/>
    <mergeCell ref="A36:FG36"/>
    <mergeCell ref="A5:FG5"/>
    <mergeCell ref="B6:M6"/>
    <mergeCell ref="N6:Y6"/>
    <mergeCell ref="Z6:AK6"/>
    <mergeCell ref="AV6:AW6"/>
    <mergeCell ref="BV6:CG6"/>
    <mergeCell ref="CT6:DE6"/>
    <mergeCell ref="DF6:DQ6"/>
    <mergeCell ref="DR6:EC6"/>
    <mergeCell ref="ED6:EO6"/>
    <mergeCell ref="EP6:FA6"/>
  </mergeCells>
  <pageMargins left="0.7" right="0.7" top="0.75" bottom="0.75" header="0.3" footer="0.3"/>
  <pageSetup scale="24" orientation="portrait" r:id="rId1"/>
  <rowBreaks count="1" manualBreakCount="1">
    <brk id="36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4">
    <tabColor rgb="FF92D050"/>
  </sheetPr>
  <dimension ref="A2:FI50"/>
  <sheetViews>
    <sheetView showGridLines="0" view="pageBreakPreview" zoomScale="62" zoomScaleNormal="100" zoomScaleSheetLayoutView="62" workbookViewId="0">
      <selection activeCell="F40" sqref="F40"/>
    </sheetView>
  </sheetViews>
  <sheetFormatPr defaultColWidth="9.140625" defaultRowHeight="15"/>
  <cols>
    <col min="1" max="1" width="61.140625" style="765" customWidth="1"/>
    <col min="2" max="12" width="13.5703125" style="319" hidden="1" customWidth="1"/>
    <col min="13" max="13" width="19" style="319" hidden="1" customWidth="1"/>
    <col min="14" max="23" width="13.5703125" style="319" hidden="1" customWidth="1"/>
    <col min="24" max="24" width="13.28515625" style="319" hidden="1" customWidth="1"/>
    <col min="25" max="25" width="17.28515625" style="319" hidden="1" customWidth="1"/>
    <col min="26" max="27" width="14.7109375" style="319" hidden="1" customWidth="1"/>
    <col min="28" max="34" width="16.7109375" style="319" hidden="1" customWidth="1"/>
    <col min="35" max="35" width="18.5703125" style="319" hidden="1" customWidth="1"/>
    <col min="36" max="38" width="16.7109375" style="319" hidden="1" customWidth="1"/>
    <col min="39" max="46" width="14.7109375" style="319" hidden="1" customWidth="1"/>
    <col min="47" max="47" width="20.5703125" style="319" hidden="1" customWidth="1"/>
    <col min="48" max="48" width="18" style="319" hidden="1" customWidth="1"/>
    <col min="49" max="61" width="17.85546875" style="319" hidden="1" customWidth="1"/>
    <col min="62" max="62" width="14.140625" style="319" customWidth="1"/>
    <col min="63" max="73" width="17.85546875" style="319" hidden="1" customWidth="1"/>
    <col min="74" max="74" width="14.140625" style="319" customWidth="1"/>
    <col min="75" max="83" width="17.85546875" style="319" hidden="1" customWidth="1"/>
    <col min="84" max="85" width="16.28515625" style="319" hidden="1" customWidth="1"/>
    <col min="86" max="86" width="14.140625" style="319" customWidth="1"/>
    <col min="87" max="91" width="16.28515625" style="319" hidden="1" customWidth="1"/>
    <col min="92" max="97" width="15" style="319" hidden="1" customWidth="1"/>
    <col min="98" max="98" width="14.140625" style="319" customWidth="1"/>
    <col min="99" max="109" width="14.140625" style="319" hidden="1" customWidth="1"/>
    <col min="110" max="110" width="14.140625" style="319" customWidth="1"/>
    <col min="111" max="121" width="14.140625" style="319" hidden="1" customWidth="1"/>
    <col min="122" max="122" width="14.140625" style="319" customWidth="1"/>
    <col min="123" max="133" width="14.140625" style="319" hidden="1" customWidth="1"/>
    <col min="134" max="134" width="14.140625" style="319" customWidth="1"/>
    <col min="135" max="145" width="14.140625" style="319" hidden="1" customWidth="1"/>
    <col min="146" max="146" width="14.140625" style="319" customWidth="1"/>
    <col min="147" max="157" width="14.140625" style="319" hidden="1" customWidth="1"/>
    <col min="158" max="164" width="14.140625" style="319" customWidth="1"/>
    <col min="165" max="165" width="61.28515625" style="319" customWidth="1"/>
    <col min="166" max="16384" width="9.140625" style="319"/>
  </cols>
  <sheetData>
    <row r="2" spans="1:165" ht="25.5" customHeight="1">
      <c r="A2" s="2298" t="s">
        <v>3285</v>
      </c>
      <c r="B2" s="2298"/>
      <c r="C2" s="2298"/>
      <c r="D2" s="2298"/>
      <c r="E2" s="2298"/>
      <c r="F2" s="2298"/>
      <c r="G2" s="2298"/>
      <c r="H2" s="2298"/>
      <c r="I2" s="2298"/>
      <c r="J2" s="2298"/>
      <c r="K2" s="2298"/>
      <c r="L2" s="2298"/>
      <c r="M2" s="2298"/>
      <c r="N2" s="2298"/>
      <c r="O2" s="2298"/>
      <c r="P2" s="2298"/>
      <c r="Q2" s="2298"/>
      <c r="R2" s="2298"/>
      <c r="S2" s="2298"/>
      <c r="T2" s="2298"/>
      <c r="U2" s="2298"/>
      <c r="V2" s="2298"/>
      <c r="W2" s="2298"/>
      <c r="X2" s="2298"/>
      <c r="Y2" s="2298"/>
      <c r="Z2" s="2298"/>
      <c r="AA2" s="2298"/>
      <c r="AB2" s="2298"/>
      <c r="AC2" s="2298"/>
      <c r="AD2" s="2298"/>
      <c r="AE2" s="2298"/>
      <c r="AF2" s="2298"/>
      <c r="AG2" s="2298"/>
      <c r="AH2" s="2298"/>
      <c r="AI2" s="2298"/>
      <c r="AJ2" s="2298"/>
      <c r="AK2" s="2298"/>
      <c r="AL2" s="2298"/>
      <c r="AM2" s="2298"/>
      <c r="AN2" s="2298"/>
      <c r="AO2" s="2298"/>
      <c r="AP2" s="2298"/>
      <c r="AQ2" s="2298"/>
      <c r="AR2" s="2298"/>
      <c r="AS2" s="2298"/>
      <c r="AT2" s="2298"/>
      <c r="AU2" s="2298"/>
      <c r="AV2" s="2298"/>
      <c r="AW2" s="2298"/>
      <c r="AX2" s="2298"/>
      <c r="AY2" s="2298"/>
      <c r="AZ2" s="2298"/>
      <c r="BA2" s="2298"/>
      <c r="BB2" s="2298"/>
      <c r="BC2" s="2298"/>
      <c r="BD2" s="2298"/>
      <c r="BE2" s="2298"/>
      <c r="BF2" s="2298"/>
      <c r="BG2" s="2298"/>
      <c r="BH2" s="2298"/>
      <c r="BI2" s="2298"/>
      <c r="BJ2" s="2298"/>
      <c r="BK2" s="2298"/>
      <c r="BL2" s="2298"/>
      <c r="BM2" s="2298"/>
      <c r="BN2" s="2298"/>
      <c r="BO2" s="2298"/>
      <c r="BP2" s="2298"/>
      <c r="BQ2" s="2298"/>
      <c r="BR2" s="2298"/>
      <c r="BS2" s="2298"/>
      <c r="BT2" s="2298"/>
      <c r="BU2" s="2298"/>
      <c r="BV2" s="2298"/>
      <c r="BW2" s="2298"/>
      <c r="BX2" s="2298"/>
      <c r="BY2" s="2298"/>
      <c r="BZ2" s="2298"/>
      <c r="CA2" s="2298"/>
      <c r="CB2" s="2298"/>
      <c r="CC2" s="2298"/>
      <c r="CD2" s="2298"/>
      <c r="CE2" s="2298"/>
      <c r="CF2" s="2298"/>
      <c r="CG2" s="2298"/>
      <c r="CH2" s="2298"/>
      <c r="CI2" s="2298"/>
      <c r="CJ2" s="2298"/>
      <c r="CK2" s="2298"/>
      <c r="CL2" s="2298"/>
      <c r="CM2" s="2298"/>
      <c r="CN2" s="2298"/>
      <c r="CO2" s="2298"/>
      <c r="CP2" s="2298"/>
      <c r="CQ2" s="2298"/>
      <c r="CR2" s="2298"/>
      <c r="CS2" s="2298"/>
      <c r="CT2" s="2298"/>
      <c r="CU2" s="2298"/>
      <c r="CV2" s="2298"/>
      <c r="CW2" s="2298"/>
      <c r="CX2" s="2298"/>
      <c r="CY2" s="2298"/>
      <c r="CZ2" s="2298"/>
      <c r="DA2" s="2298"/>
      <c r="DB2" s="2298"/>
      <c r="DC2" s="2298"/>
      <c r="DD2" s="2298"/>
      <c r="DE2" s="2298"/>
      <c r="DF2" s="2298"/>
      <c r="DG2" s="2298"/>
      <c r="DH2" s="2298"/>
      <c r="DI2" s="2298"/>
      <c r="DJ2" s="2298"/>
      <c r="DK2" s="2298"/>
      <c r="DL2" s="2298"/>
      <c r="DM2" s="2298"/>
      <c r="DN2" s="2298"/>
      <c r="DO2" s="2298"/>
      <c r="DP2" s="2298"/>
      <c r="DQ2" s="2298"/>
      <c r="DR2" s="2298"/>
      <c r="DS2" s="2298"/>
      <c r="DT2" s="2298"/>
      <c r="DU2" s="2298"/>
      <c r="DV2" s="2298"/>
      <c r="DW2" s="2298"/>
      <c r="DX2" s="2298"/>
      <c r="DY2" s="2298"/>
      <c r="DZ2" s="2298"/>
      <c r="EA2" s="2298"/>
      <c r="EB2" s="2298"/>
      <c r="EC2" s="2298"/>
      <c r="ED2" s="2298"/>
      <c r="EE2" s="2298"/>
      <c r="EF2" s="2298"/>
      <c r="EG2" s="2298"/>
      <c r="EH2" s="2298"/>
      <c r="EI2" s="2298"/>
      <c r="EJ2" s="2298"/>
      <c r="EK2" s="2298"/>
      <c r="EL2" s="2298"/>
      <c r="EM2" s="2298"/>
      <c r="EN2" s="2298"/>
      <c r="EO2" s="2298"/>
      <c r="EP2" s="2298"/>
      <c r="EQ2" s="2298"/>
      <c r="ER2" s="2298"/>
      <c r="ES2" s="2298"/>
      <c r="ET2" s="2298"/>
      <c r="EU2" s="2298"/>
      <c r="EV2" s="2298"/>
      <c r="EW2" s="2298"/>
      <c r="EX2" s="2298"/>
      <c r="EY2" s="2298"/>
      <c r="EZ2" s="2298"/>
      <c r="FA2" s="2298"/>
      <c r="FB2" s="2298"/>
      <c r="FC2" s="2298"/>
      <c r="FD2" s="2298"/>
      <c r="FE2" s="2298"/>
      <c r="FF2" s="2298"/>
      <c r="FG2" s="2298"/>
      <c r="FH2" s="2298"/>
      <c r="FI2" s="2298"/>
    </row>
    <row r="3" spans="1:165" ht="36.75" customHeight="1">
      <c r="A3" s="2299" t="s">
        <v>3271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  <c r="FI3" s="2299"/>
    </row>
    <row r="4" spans="1:165" ht="19.5" customHeight="1">
      <c r="A4" s="752"/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  <c r="Z4" s="494"/>
      <c r="AA4" s="494"/>
      <c r="AB4" s="494"/>
      <c r="AC4" s="494"/>
      <c r="AD4" s="494"/>
      <c r="AE4" s="494"/>
      <c r="AF4" s="494"/>
      <c r="AG4" s="494"/>
      <c r="AH4" s="494"/>
      <c r="AI4" s="494"/>
      <c r="AJ4" s="494"/>
      <c r="AK4" s="494"/>
      <c r="AL4" s="494"/>
      <c r="AM4" s="494"/>
      <c r="AN4" s="494"/>
      <c r="AO4" s="494"/>
      <c r="AP4" s="494"/>
      <c r="AQ4" s="494"/>
      <c r="AR4" s="494"/>
      <c r="AS4" s="494"/>
      <c r="AT4" s="494"/>
      <c r="AU4" s="494"/>
      <c r="AV4" s="494"/>
      <c r="AW4" s="494"/>
      <c r="AX4" s="494"/>
      <c r="AY4" s="494"/>
      <c r="AZ4" s="494"/>
      <c r="BA4" s="494"/>
      <c r="BB4" s="494"/>
      <c r="BC4" s="494"/>
      <c r="BD4" s="494"/>
      <c r="BE4" s="494"/>
      <c r="BF4" s="494"/>
      <c r="BG4" s="494"/>
      <c r="BH4" s="494"/>
      <c r="BI4" s="494"/>
      <c r="BJ4" s="494"/>
      <c r="BK4" s="494"/>
      <c r="BL4" s="494"/>
      <c r="BM4" s="494"/>
      <c r="BN4" s="494"/>
      <c r="BO4" s="494"/>
      <c r="BP4" s="494"/>
      <c r="BQ4" s="494"/>
      <c r="BR4" s="494"/>
      <c r="BS4" s="494"/>
      <c r="BT4" s="494"/>
      <c r="BU4" s="494"/>
      <c r="BV4" s="494"/>
      <c r="BW4" s="494"/>
      <c r="BX4" s="494"/>
      <c r="BY4" s="494"/>
      <c r="BZ4" s="494"/>
      <c r="CA4" s="494"/>
      <c r="CB4" s="494"/>
      <c r="CC4" s="494"/>
      <c r="CD4" s="494"/>
      <c r="CE4" s="494"/>
      <c r="CF4" s="494"/>
      <c r="CG4" s="494"/>
      <c r="CH4" s="494"/>
      <c r="CI4" s="494"/>
      <c r="CJ4" s="494"/>
      <c r="CK4" s="494"/>
      <c r="CL4" s="494"/>
      <c r="CM4" s="494"/>
      <c r="CN4" s="494"/>
      <c r="CO4" s="494"/>
      <c r="CP4" s="494"/>
      <c r="CQ4" s="494"/>
      <c r="CR4" s="494"/>
      <c r="CS4" s="494"/>
      <c r="CT4" s="494"/>
      <c r="CU4" s="494"/>
      <c r="CV4" s="494"/>
      <c r="CW4" s="494"/>
      <c r="CX4" s="494"/>
      <c r="CY4" s="494"/>
      <c r="CZ4" s="494"/>
      <c r="DA4" s="494"/>
      <c r="DB4" s="494"/>
      <c r="DC4" s="494"/>
      <c r="DD4" s="494"/>
      <c r="DE4" s="494"/>
      <c r="DF4" s="494"/>
      <c r="DG4" s="494"/>
      <c r="DH4" s="494"/>
      <c r="DI4" s="494"/>
      <c r="DJ4" s="494"/>
      <c r="DK4" s="494"/>
      <c r="DL4" s="494"/>
      <c r="DM4" s="494"/>
      <c r="DN4" s="494"/>
      <c r="DO4" s="494"/>
      <c r="DP4" s="494"/>
      <c r="DQ4" s="494"/>
      <c r="DR4" s="494"/>
      <c r="DS4" s="494"/>
      <c r="DT4" s="494"/>
      <c r="DU4" s="494"/>
      <c r="DV4" s="494"/>
      <c r="DW4" s="494"/>
      <c r="DX4" s="494"/>
      <c r="DY4" s="494"/>
      <c r="DZ4" s="494"/>
      <c r="EA4" s="494"/>
      <c r="EB4" s="494"/>
      <c r="EC4" s="494"/>
      <c r="ED4" s="494"/>
      <c r="EE4" s="494"/>
      <c r="EF4" s="494"/>
      <c r="EG4" s="494"/>
      <c r="EH4" s="494"/>
      <c r="EI4" s="494"/>
      <c r="EJ4" s="494"/>
      <c r="EK4" s="494"/>
      <c r="EL4" s="494"/>
      <c r="EM4" s="494"/>
      <c r="EN4" s="494"/>
      <c r="EO4" s="494"/>
      <c r="EP4" s="494"/>
      <c r="EQ4" s="494"/>
      <c r="ER4" s="494"/>
      <c r="ES4" s="494"/>
      <c r="ET4" s="494"/>
      <c r="EU4" s="494"/>
      <c r="EV4" s="494"/>
      <c r="EW4" s="494"/>
      <c r="EX4" s="494"/>
      <c r="EY4" s="494"/>
      <c r="EZ4" s="494"/>
      <c r="FA4" s="494"/>
      <c r="FB4" s="494"/>
      <c r="FC4" s="494"/>
      <c r="FD4" s="494"/>
      <c r="FE4" s="494"/>
      <c r="FF4" s="494"/>
      <c r="FG4" s="494"/>
      <c r="FH4" s="494"/>
      <c r="FI4" s="752"/>
    </row>
    <row r="5" spans="1:165" ht="19.5" customHeight="1">
      <c r="A5" s="1718"/>
      <c r="B5" s="1718"/>
      <c r="C5" s="1718"/>
      <c r="D5" s="1718"/>
      <c r="E5" s="1718"/>
      <c r="F5" s="1718"/>
      <c r="G5" s="1718"/>
      <c r="H5" s="1718"/>
      <c r="I5" s="1718"/>
      <c r="J5" s="1718"/>
      <c r="K5" s="1718"/>
      <c r="L5" s="1718"/>
      <c r="M5" s="1718"/>
      <c r="N5" s="1718"/>
      <c r="O5" s="1718"/>
      <c r="P5" s="1718"/>
      <c r="Q5" s="1718"/>
      <c r="R5" s="1718"/>
      <c r="S5" s="1718"/>
      <c r="T5" s="1718"/>
      <c r="U5" s="1718"/>
      <c r="V5" s="1718"/>
      <c r="W5" s="1718"/>
      <c r="X5" s="1718"/>
      <c r="Y5" s="1718"/>
      <c r="Z5" s="1718"/>
      <c r="AA5" s="1718"/>
      <c r="AB5" s="1718"/>
      <c r="AC5" s="1718"/>
      <c r="AD5" s="1718"/>
      <c r="AE5" s="1718"/>
      <c r="AF5" s="1718"/>
      <c r="AG5" s="1718"/>
      <c r="AH5" s="1718"/>
      <c r="AI5" s="1718"/>
      <c r="AJ5" s="1718"/>
      <c r="AK5" s="1718"/>
      <c r="AL5" s="1718"/>
      <c r="AM5" s="1718"/>
      <c r="AN5" s="1718"/>
      <c r="AO5" s="1718"/>
      <c r="AP5" s="1718"/>
      <c r="AQ5" s="1718"/>
      <c r="AR5" s="1718"/>
      <c r="AS5" s="1718"/>
      <c r="AT5" s="1718"/>
      <c r="AU5" s="1718"/>
      <c r="AV5" s="1718"/>
      <c r="AW5" s="1718"/>
      <c r="AX5" s="1718"/>
      <c r="AY5" s="1718"/>
      <c r="AZ5" s="1718"/>
      <c r="BA5" s="1718"/>
      <c r="BB5" s="1718"/>
      <c r="BC5" s="1718"/>
      <c r="BD5" s="1718"/>
      <c r="BE5" s="1718"/>
      <c r="BF5" s="1718"/>
      <c r="BG5" s="1718"/>
      <c r="BH5" s="1718"/>
      <c r="BI5" s="1718"/>
      <c r="BJ5" s="1718"/>
      <c r="BK5" s="1718"/>
      <c r="BL5" s="1718"/>
      <c r="BM5" s="1718"/>
      <c r="BN5" s="1718"/>
      <c r="BO5" s="1718"/>
      <c r="BP5" s="1718"/>
      <c r="BQ5" s="1718"/>
      <c r="BR5" s="1718"/>
      <c r="BS5" s="1718"/>
      <c r="BT5" s="1718"/>
      <c r="BU5" s="1718"/>
      <c r="BV5" s="1718"/>
      <c r="BW5" s="1718"/>
      <c r="BX5" s="1718"/>
      <c r="BY5" s="1718"/>
      <c r="BZ5" s="1718"/>
      <c r="CA5" s="1718"/>
      <c r="CB5" s="1718"/>
      <c r="CC5" s="1718"/>
      <c r="CD5" s="1718"/>
      <c r="CE5" s="1718"/>
      <c r="CF5" s="1718"/>
      <c r="CG5" s="1718"/>
      <c r="CH5" s="1718"/>
      <c r="CI5" s="1718"/>
      <c r="CJ5" s="1718"/>
      <c r="CK5" s="1718"/>
      <c r="CL5" s="1718"/>
      <c r="CM5" s="1718"/>
      <c r="CN5" s="1718"/>
      <c r="CO5" s="1718"/>
      <c r="CP5" s="1718"/>
      <c r="CQ5" s="1718"/>
      <c r="CR5" s="1718"/>
      <c r="CS5" s="1718"/>
      <c r="CT5" s="1718"/>
      <c r="CU5" s="1718"/>
      <c r="CV5" s="1718"/>
      <c r="CW5" s="1718"/>
      <c r="CX5" s="1718"/>
      <c r="CY5" s="1718"/>
      <c r="CZ5" s="1718"/>
      <c r="DA5" s="1718"/>
      <c r="DB5" s="1718"/>
      <c r="DC5" s="1718"/>
      <c r="DD5" s="1718"/>
      <c r="DE5" s="1718"/>
      <c r="DF5" s="1718"/>
      <c r="DG5" s="1718"/>
      <c r="DH5" s="1718"/>
      <c r="DI5" s="1718"/>
      <c r="DJ5" s="1718"/>
      <c r="DK5" s="1718"/>
      <c r="DL5" s="1718"/>
      <c r="DM5" s="1718"/>
      <c r="DN5" s="1718"/>
      <c r="DO5" s="1718"/>
      <c r="DP5" s="1718"/>
      <c r="DQ5" s="1718"/>
      <c r="DR5" s="1718"/>
      <c r="DS5" s="1718"/>
      <c r="DT5" s="1718"/>
      <c r="DU5" s="1718"/>
      <c r="DV5" s="1718"/>
      <c r="DW5" s="1718"/>
      <c r="DX5" s="1718"/>
      <c r="DY5" s="1718"/>
      <c r="DZ5" s="1718"/>
      <c r="EA5" s="1718"/>
      <c r="EB5" s="1718"/>
      <c r="EC5" s="1718"/>
      <c r="ED5" s="1718"/>
      <c r="EE5" s="1718"/>
      <c r="EF5" s="1718"/>
      <c r="EG5" s="1718"/>
      <c r="EH5" s="1718"/>
      <c r="EI5" s="1718"/>
      <c r="EJ5" s="1718"/>
      <c r="EK5" s="1718"/>
      <c r="EL5" s="1718"/>
      <c r="EM5" s="1718"/>
      <c r="EN5" s="1718"/>
      <c r="EO5" s="1718"/>
      <c r="EP5" s="1718"/>
      <c r="EQ5" s="1718"/>
      <c r="ER5" s="1718"/>
      <c r="ES5" s="1718"/>
      <c r="ET5" s="1718"/>
      <c r="EU5" s="1718"/>
      <c r="EV5" s="1718"/>
      <c r="EW5" s="1718"/>
      <c r="EX5" s="1718"/>
      <c r="EY5" s="1718"/>
      <c r="EZ5" s="1718"/>
      <c r="FA5" s="1718"/>
      <c r="FB5" s="1718"/>
      <c r="FC5" s="1718"/>
      <c r="FD5" s="1718"/>
      <c r="FE5" s="1718"/>
      <c r="FF5" s="1718"/>
      <c r="FG5" s="1718"/>
      <c r="FH5" s="1718"/>
      <c r="FI5" s="1706" t="s">
        <v>4072</v>
      </c>
    </row>
    <row r="6" spans="1:165" ht="32.25" customHeight="1">
      <c r="A6" s="2322"/>
      <c r="B6" s="1707">
        <v>2013</v>
      </c>
      <c r="C6" s="1708"/>
      <c r="D6" s="1708"/>
      <c r="E6" s="1708"/>
      <c r="F6" s="1708"/>
      <c r="G6" s="1708"/>
      <c r="H6" s="1708"/>
      <c r="I6" s="1708"/>
      <c r="J6" s="1708"/>
      <c r="K6" s="1708"/>
      <c r="L6" s="1708"/>
      <c r="M6" s="1708">
        <v>2013</v>
      </c>
      <c r="N6" s="1708">
        <v>2014</v>
      </c>
      <c r="O6" s="1708"/>
      <c r="P6" s="1708"/>
      <c r="Q6" s="1708"/>
      <c r="R6" s="1708"/>
      <c r="S6" s="1708"/>
      <c r="T6" s="1708"/>
      <c r="U6" s="1708"/>
      <c r="V6" s="1708"/>
      <c r="W6" s="1708"/>
      <c r="X6" s="1708"/>
      <c r="Y6" s="1708">
        <v>2014</v>
      </c>
      <c r="Z6" s="2328">
        <v>2015</v>
      </c>
      <c r="AA6" s="2329"/>
      <c r="AB6" s="2329"/>
      <c r="AC6" s="2329"/>
      <c r="AD6" s="2329"/>
      <c r="AE6" s="2329"/>
      <c r="AF6" s="2329"/>
      <c r="AG6" s="2329"/>
      <c r="AH6" s="2329"/>
      <c r="AI6" s="2329"/>
      <c r="AJ6" s="2329"/>
      <c r="AK6" s="2329"/>
      <c r="AL6" s="2330"/>
      <c r="AM6" s="645">
        <v>2016</v>
      </c>
      <c r="AN6" s="645"/>
      <c r="AO6" s="645"/>
      <c r="AP6" s="645"/>
      <c r="AQ6" s="645"/>
      <c r="AR6" s="645"/>
      <c r="AS6" s="645"/>
      <c r="AT6" s="645"/>
      <c r="AU6" s="645"/>
      <c r="AV6" s="645"/>
      <c r="AW6" s="2328">
        <v>2016</v>
      </c>
      <c r="AX6" s="2330"/>
      <c r="AY6" s="645">
        <v>2017</v>
      </c>
      <c r="AZ6" s="645"/>
      <c r="BA6" s="645"/>
      <c r="BB6" s="645"/>
      <c r="BC6" s="645"/>
      <c r="BD6" s="645"/>
      <c r="BE6" s="645"/>
      <c r="BF6" s="645"/>
      <c r="BG6" s="645"/>
      <c r="BH6" s="645"/>
      <c r="BI6" s="797"/>
      <c r="BJ6" s="832">
        <v>2017</v>
      </c>
      <c r="BK6" s="833">
        <v>2018</v>
      </c>
      <c r="BL6" s="833"/>
      <c r="BM6" s="833"/>
      <c r="BN6" s="833"/>
      <c r="BO6" s="833"/>
      <c r="BP6" s="833"/>
      <c r="BQ6" s="833"/>
      <c r="BR6" s="833"/>
      <c r="BS6" s="833"/>
      <c r="BT6" s="833"/>
      <c r="BU6" s="833"/>
      <c r="BV6" s="832">
        <v>2018</v>
      </c>
      <c r="BW6" s="2295">
        <v>2019</v>
      </c>
      <c r="BX6" s="2296"/>
      <c r="BY6" s="2296"/>
      <c r="BZ6" s="2296"/>
      <c r="CA6" s="2296"/>
      <c r="CB6" s="2296"/>
      <c r="CC6" s="2296"/>
      <c r="CD6" s="2296"/>
      <c r="CE6" s="2296"/>
      <c r="CF6" s="2296"/>
      <c r="CG6" s="2296"/>
      <c r="CH6" s="2305"/>
      <c r="CI6" s="834">
        <v>2020</v>
      </c>
      <c r="CJ6" s="834">
        <v>2020</v>
      </c>
      <c r="CK6" s="834">
        <v>2020</v>
      </c>
      <c r="CL6" s="834">
        <v>2020</v>
      </c>
      <c r="CM6" s="834">
        <v>2020</v>
      </c>
      <c r="CN6" s="834">
        <v>2020</v>
      </c>
      <c r="CO6" s="834">
        <v>2020</v>
      </c>
      <c r="CP6" s="834">
        <v>2020</v>
      </c>
      <c r="CQ6" s="834">
        <v>2020</v>
      </c>
      <c r="CR6" s="834">
        <v>2020</v>
      </c>
      <c r="CS6" s="834">
        <v>2020</v>
      </c>
      <c r="CT6" s="834">
        <v>2020</v>
      </c>
      <c r="CU6" s="2318">
        <v>2021</v>
      </c>
      <c r="CV6" s="2319"/>
      <c r="CW6" s="2319"/>
      <c r="CX6" s="2319"/>
      <c r="CY6" s="2319"/>
      <c r="CZ6" s="2319"/>
      <c r="DA6" s="2319"/>
      <c r="DB6" s="2319"/>
      <c r="DC6" s="2319"/>
      <c r="DD6" s="2319"/>
      <c r="DE6" s="2319"/>
      <c r="DF6" s="2320"/>
      <c r="DG6" s="2331">
        <v>2022</v>
      </c>
      <c r="DH6" s="2332"/>
      <c r="DI6" s="2332"/>
      <c r="DJ6" s="2332"/>
      <c r="DK6" s="2332"/>
      <c r="DL6" s="2332"/>
      <c r="DM6" s="2332"/>
      <c r="DN6" s="2332"/>
      <c r="DO6" s="2332"/>
      <c r="DP6" s="2332"/>
      <c r="DQ6" s="2332"/>
      <c r="DR6" s="2333"/>
      <c r="DS6" s="2321">
        <v>2023</v>
      </c>
      <c r="DT6" s="2319"/>
      <c r="DU6" s="2319"/>
      <c r="DV6" s="2319"/>
      <c r="DW6" s="2319"/>
      <c r="DX6" s="2319"/>
      <c r="DY6" s="2319"/>
      <c r="DZ6" s="2319"/>
      <c r="EA6" s="2319"/>
      <c r="EB6" s="2319"/>
      <c r="EC6" s="2319"/>
      <c r="ED6" s="2320"/>
      <c r="EE6" s="2321">
        <v>2024</v>
      </c>
      <c r="EF6" s="2319"/>
      <c r="EG6" s="2319"/>
      <c r="EH6" s="2319"/>
      <c r="EI6" s="2319"/>
      <c r="EJ6" s="2319"/>
      <c r="EK6" s="2319"/>
      <c r="EL6" s="2319"/>
      <c r="EM6" s="2319"/>
      <c r="EN6" s="2319"/>
      <c r="EO6" s="2319"/>
      <c r="EP6" s="2320"/>
      <c r="EQ6" s="2321">
        <v>2025</v>
      </c>
      <c r="ER6" s="2319"/>
      <c r="ES6" s="2319"/>
      <c r="ET6" s="2319"/>
      <c r="EU6" s="2319"/>
      <c r="EV6" s="2319"/>
      <c r="EW6" s="2319"/>
      <c r="EX6" s="2319"/>
      <c r="EY6" s="2319"/>
      <c r="EZ6" s="2319"/>
      <c r="FA6" s="2319"/>
      <c r="FB6" s="2320"/>
      <c r="FC6" s="2321">
        <v>2026</v>
      </c>
      <c r="FD6" s="2319"/>
      <c r="FE6" s="2319"/>
      <c r="FF6" s="2319"/>
      <c r="FG6" s="2319"/>
      <c r="FH6" s="2320"/>
      <c r="FI6" s="2325"/>
    </row>
    <row r="7" spans="1:165" ht="32.25" customHeight="1">
      <c r="A7" s="2323"/>
      <c r="B7" s="802" t="s">
        <v>1948</v>
      </c>
      <c r="C7" s="795" t="s">
        <v>1959</v>
      </c>
      <c r="D7" s="795" t="s">
        <v>1958</v>
      </c>
      <c r="E7" s="795" t="s">
        <v>1957</v>
      </c>
      <c r="F7" s="795" t="s">
        <v>1956</v>
      </c>
      <c r="G7" s="795" t="s">
        <v>1955</v>
      </c>
      <c r="H7" s="795" t="s">
        <v>1954</v>
      </c>
      <c r="I7" s="795" t="s">
        <v>1953</v>
      </c>
      <c r="J7" s="795" t="s">
        <v>1952</v>
      </c>
      <c r="K7" s="795" t="s">
        <v>1951</v>
      </c>
      <c r="L7" s="795" t="s">
        <v>1950</v>
      </c>
      <c r="M7" s="795" t="s">
        <v>1949</v>
      </c>
      <c r="N7" s="795" t="s">
        <v>1948</v>
      </c>
      <c r="O7" s="795" t="s">
        <v>1959</v>
      </c>
      <c r="P7" s="795" t="s">
        <v>1958</v>
      </c>
      <c r="Q7" s="795" t="s">
        <v>1957</v>
      </c>
      <c r="R7" s="795" t="s">
        <v>1956</v>
      </c>
      <c r="S7" s="795" t="s">
        <v>1955</v>
      </c>
      <c r="T7" s="795" t="s">
        <v>1954</v>
      </c>
      <c r="U7" s="795" t="s">
        <v>1953</v>
      </c>
      <c r="V7" s="795" t="s">
        <v>1952</v>
      </c>
      <c r="W7" s="795" t="s">
        <v>1951</v>
      </c>
      <c r="X7" s="795" t="s">
        <v>1950</v>
      </c>
      <c r="Y7" s="795" t="s">
        <v>1949</v>
      </c>
      <c r="Z7" s="795" t="s">
        <v>1963</v>
      </c>
      <c r="AA7" s="795" t="s">
        <v>1948</v>
      </c>
      <c r="AB7" s="795" t="s">
        <v>1959</v>
      </c>
      <c r="AC7" s="795" t="s">
        <v>1958</v>
      </c>
      <c r="AD7" s="795" t="s">
        <v>1957</v>
      </c>
      <c r="AE7" s="795" t="s">
        <v>1956</v>
      </c>
      <c r="AF7" s="795" t="s">
        <v>1960</v>
      </c>
      <c r="AG7" s="795" t="s">
        <v>1964</v>
      </c>
      <c r="AH7" s="795" t="s">
        <v>1953</v>
      </c>
      <c r="AI7" s="795" t="s">
        <v>1952</v>
      </c>
      <c r="AJ7" s="795" t="s">
        <v>1951</v>
      </c>
      <c r="AK7" s="795" t="s">
        <v>1950</v>
      </c>
      <c r="AL7" s="795" t="s">
        <v>1949</v>
      </c>
      <c r="AM7" s="795" t="s">
        <v>1948</v>
      </c>
      <c r="AN7" s="795" t="s">
        <v>1959</v>
      </c>
      <c r="AO7" s="795" t="s">
        <v>1958</v>
      </c>
      <c r="AP7" s="795" t="s">
        <v>1957</v>
      </c>
      <c r="AQ7" s="795" t="s">
        <v>1956</v>
      </c>
      <c r="AR7" s="795" t="s">
        <v>1955</v>
      </c>
      <c r="AS7" s="795" t="s">
        <v>1954</v>
      </c>
      <c r="AT7" s="796" t="s">
        <v>1953</v>
      </c>
      <c r="AU7" s="796" t="s">
        <v>1952</v>
      </c>
      <c r="AV7" s="796" t="s">
        <v>1951</v>
      </c>
      <c r="AW7" s="796" t="s">
        <v>1950</v>
      </c>
      <c r="AX7" s="795" t="s">
        <v>1949</v>
      </c>
      <c r="AY7" s="796" t="s">
        <v>1948</v>
      </c>
      <c r="AZ7" s="796" t="s">
        <v>1947</v>
      </c>
      <c r="BA7" s="796" t="s">
        <v>1946</v>
      </c>
      <c r="BB7" s="796" t="s">
        <v>1945</v>
      </c>
      <c r="BC7" s="796" t="s">
        <v>1965</v>
      </c>
      <c r="BD7" s="796" t="s">
        <v>1966</v>
      </c>
      <c r="BE7" s="795" t="s">
        <v>1975</v>
      </c>
      <c r="BF7" s="795" t="s">
        <v>1985</v>
      </c>
      <c r="BG7" s="795" t="s">
        <v>1995</v>
      </c>
      <c r="BH7" s="795" t="s">
        <v>2008</v>
      </c>
      <c r="BI7" s="798" t="s">
        <v>2019</v>
      </c>
      <c r="BJ7" s="847" t="s">
        <v>1949</v>
      </c>
      <c r="BK7" s="847" t="s">
        <v>1948</v>
      </c>
      <c r="BL7" s="847" t="s">
        <v>1947</v>
      </c>
      <c r="BM7" s="847" t="s">
        <v>1946</v>
      </c>
      <c r="BN7" s="847" t="s">
        <v>1945</v>
      </c>
      <c r="BO7" s="847" t="s">
        <v>1965</v>
      </c>
      <c r="BP7" s="847" t="s">
        <v>1966</v>
      </c>
      <c r="BQ7" s="847" t="s">
        <v>1975</v>
      </c>
      <c r="BR7" s="847" t="s">
        <v>1985</v>
      </c>
      <c r="BS7" s="847" t="s">
        <v>1995</v>
      </c>
      <c r="BT7" s="847" t="s">
        <v>2008</v>
      </c>
      <c r="BU7" s="847" t="s">
        <v>2019</v>
      </c>
      <c r="BV7" s="847" t="s">
        <v>1949</v>
      </c>
      <c r="BW7" s="847" t="s">
        <v>1948</v>
      </c>
      <c r="BX7" s="847" t="s">
        <v>1947</v>
      </c>
      <c r="BY7" s="847" t="s">
        <v>1946</v>
      </c>
      <c r="BZ7" s="847" t="s">
        <v>1945</v>
      </c>
      <c r="CA7" s="847" t="s">
        <v>1965</v>
      </c>
      <c r="CB7" s="847" t="s">
        <v>1966</v>
      </c>
      <c r="CC7" s="847" t="s">
        <v>1975</v>
      </c>
      <c r="CD7" s="847" t="s">
        <v>1985</v>
      </c>
      <c r="CE7" s="847" t="s">
        <v>1995</v>
      </c>
      <c r="CF7" s="847" t="s">
        <v>2008</v>
      </c>
      <c r="CG7" s="847" t="s">
        <v>2019</v>
      </c>
      <c r="CH7" s="847" t="s">
        <v>1949</v>
      </c>
      <c r="CI7" s="847" t="s">
        <v>1948</v>
      </c>
      <c r="CJ7" s="847" t="s">
        <v>1947</v>
      </c>
      <c r="CK7" s="847" t="s">
        <v>1946</v>
      </c>
      <c r="CL7" s="847" t="s">
        <v>1945</v>
      </c>
      <c r="CM7" s="847" t="s">
        <v>1965</v>
      </c>
      <c r="CN7" s="847" t="s">
        <v>2413</v>
      </c>
      <c r="CO7" s="847" t="s">
        <v>2419</v>
      </c>
      <c r="CP7" s="847" t="s">
        <v>1985</v>
      </c>
      <c r="CQ7" s="847" t="s">
        <v>1995</v>
      </c>
      <c r="CR7" s="847" t="s">
        <v>2008</v>
      </c>
      <c r="CS7" s="847" t="s">
        <v>2019</v>
      </c>
      <c r="CT7" s="847" t="s">
        <v>1949</v>
      </c>
      <c r="CU7" s="847" t="s">
        <v>1948</v>
      </c>
      <c r="CV7" s="847" t="s">
        <v>1947</v>
      </c>
      <c r="CW7" s="847" t="s">
        <v>1946</v>
      </c>
      <c r="CX7" s="847" t="s">
        <v>1945</v>
      </c>
      <c r="CY7" s="847" t="s">
        <v>1965</v>
      </c>
      <c r="CZ7" s="847" t="s">
        <v>1966</v>
      </c>
      <c r="DA7" s="847" t="s">
        <v>1975</v>
      </c>
      <c r="DB7" s="847" t="s">
        <v>1985</v>
      </c>
      <c r="DC7" s="847" t="s">
        <v>2641</v>
      </c>
      <c r="DD7" s="847" t="s">
        <v>2008</v>
      </c>
      <c r="DE7" s="847" t="s">
        <v>2019</v>
      </c>
      <c r="DF7" s="847" t="s">
        <v>1949</v>
      </c>
      <c r="DG7" s="1258" t="s">
        <v>1948</v>
      </c>
      <c r="DH7" s="1258" t="s">
        <v>1947</v>
      </c>
      <c r="DI7" s="1258" t="s">
        <v>1946</v>
      </c>
      <c r="DJ7" s="1258" t="s">
        <v>1945</v>
      </c>
      <c r="DK7" s="1258" t="s">
        <v>1965</v>
      </c>
      <c r="DL7" s="1258" t="s">
        <v>1966</v>
      </c>
      <c r="DM7" s="1258" t="s">
        <v>1975</v>
      </c>
      <c r="DN7" s="1258" t="s">
        <v>1985</v>
      </c>
      <c r="DO7" s="1258" t="s">
        <v>1995</v>
      </c>
      <c r="DP7" s="1258" t="s">
        <v>2008</v>
      </c>
      <c r="DQ7" s="1258" t="s">
        <v>2019</v>
      </c>
      <c r="DR7" s="1258" t="s">
        <v>1949</v>
      </c>
      <c r="DS7" s="847" t="s">
        <v>1948</v>
      </c>
      <c r="DT7" s="847" t="s">
        <v>1947</v>
      </c>
      <c r="DU7" s="847" t="s">
        <v>1946</v>
      </c>
      <c r="DV7" s="847" t="s">
        <v>1945</v>
      </c>
      <c r="DW7" s="847" t="s">
        <v>1965</v>
      </c>
      <c r="DX7" s="847" t="s">
        <v>1966</v>
      </c>
      <c r="DY7" s="847" t="s">
        <v>1975</v>
      </c>
      <c r="DZ7" s="847" t="s">
        <v>1985</v>
      </c>
      <c r="EA7" s="847" t="s">
        <v>1995</v>
      </c>
      <c r="EB7" s="847" t="s">
        <v>2008</v>
      </c>
      <c r="EC7" s="847" t="s">
        <v>2019</v>
      </c>
      <c r="ED7" s="847" t="s">
        <v>1949</v>
      </c>
      <c r="EE7" s="847" t="s">
        <v>1948</v>
      </c>
      <c r="EF7" s="847" t="s">
        <v>1947</v>
      </c>
      <c r="EG7" s="847" t="s">
        <v>1946</v>
      </c>
      <c r="EH7" s="847" t="s">
        <v>1945</v>
      </c>
      <c r="EI7" s="847" t="s">
        <v>1965</v>
      </c>
      <c r="EJ7" s="847" t="s">
        <v>1966</v>
      </c>
      <c r="EK7" s="847" t="s">
        <v>1975</v>
      </c>
      <c r="EL7" s="847" t="s">
        <v>1985</v>
      </c>
      <c r="EM7" s="847" t="s">
        <v>1995</v>
      </c>
      <c r="EN7" s="847" t="s">
        <v>2008</v>
      </c>
      <c r="EO7" s="847" t="s">
        <v>2019</v>
      </c>
      <c r="EP7" s="847" t="s">
        <v>1949</v>
      </c>
      <c r="EQ7" s="847" t="s">
        <v>1948</v>
      </c>
      <c r="ER7" s="847" t="s">
        <v>1947</v>
      </c>
      <c r="ES7" s="847" t="s">
        <v>1946</v>
      </c>
      <c r="ET7" s="847" t="s">
        <v>1945</v>
      </c>
      <c r="EU7" s="847" t="s">
        <v>1965</v>
      </c>
      <c r="EV7" s="824" t="s">
        <v>1966</v>
      </c>
      <c r="EW7" s="824" t="s">
        <v>4385</v>
      </c>
      <c r="EX7" s="824" t="s">
        <v>1985</v>
      </c>
      <c r="EY7" s="824" t="s">
        <v>1995</v>
      </c>
      <c r="EZ7" s="824" t="s">
        <v>2008</v>
      </c>
      <c r="FA7" s="824" t="s">
        <v>2019</v>
      </c>
      <c r="FB7" s="824" t="s">
        <v>1949</v>
      </c>
      <c r="FC7" s="824" t="s">
        <v>1948</v>
      </c>
      <c r="FD7" s="824" t="s">
        <v>1947</v>
      </c>
      <c r="FE7" s="824" t="s">
        <v>1946</v>
      </c>
      <c r="FF7" s="824" t="s">
        <v>1945</v>
      </c>
      <c r="FG7" s="824" t="s">
        <v>1965</v>
      </c>
      <c r="FH7" s="824" t="s">
        <v>1966</v>
      </c>
      <c r="FI7" s="2326"/>
    </row>
    <row r="8" spans="1:165" s="314" customFormat="1" ht="39.75" customHeight="1">
      <c r="A8" s="2324"/>
      <c r="B8" s="1740"/>
      <c r="C8" s="1740"/>
      <c r="D8" s="1740"/>
      <c r="E8" s="1740"/>
      <c r="F8" s="1740"/>
      <c r="G8" s="1740"/>
      <c r="H8" s="1740"/>
      <c r="I8" s="1740"/>
      <c r="J8" s="1740"/>
      <c r="K8" s="1740"/>
      <c r="L8" s="1740"/>
      <c r="M8" s="1740"/>
      <c r="N8" s="1740"/>
      <c r="O8" s="1740"/>
      <c r="P8" s="1740"/>
      <c r="Q8" s="1740"/>
      <c r="R8" s="1740"/>
      <c r="S8" s="1740"/>
      <c r="T8" s="1740"/>
      <c r="U8" s="1740"/>
      <c r="V8" s="1740"/>
      <c r="W8" s="1740"/>
      <c r="X8" s="1740"/>
      <c r="Y8" s="1740"/>
      <c r="Z8" s="1740"/>
      <c r="AA8" s="1740"/>
      <c r="AB8" s="1740"/>
      <c r="AC8" s="1740"/>
      <c r="AD8" s="1740"/>
      <c r="AE8" s="1740"/>
      <c r="AF8" s="1740"/>
      <c r="AG8" s="1740"/>
      <c r="AH8" s="1740"/>
      <c r="AI8" s="1740"/>
      <c r="AJ8" s="1740"/>
      <c r="AK8" s="1740"/>
      <c r="AL8" s="1740"/>
      <c r="AM8" s="1740"/>
      <c r="AN8" s="1740"/>
      <c r="AO8" s="1740"/>
      <c r="AP8" s="1740"/>
      <c r="AQ8" s="1740"/>
      <c r="AR8" s="1740"/>
      <c r="AS8" s="1740"/>
      <c r="AT8" s="1740"/>
      <c r="AU8" s="1740"/>
      <c r="AV8" s="1740"/>
      <c r="AW8" s="1740"/>
      <c r="AX8" s="1740"/>
      <c r="AY8" s="1740"/>
      <c r="AZ8" s="1740"/>
      <c r="BA8" s="1740"/>
      <c r="BB8" s="1740"/>
      <c r="BC8" s="1740"/>
      <c r="BD8" s="1740"/>
      <c r="BE8" s="1740"/>
      <c r="BF8" s="1740"/>
      <c r="BG8" s="844"/>
      <c r="BH8" s="845"/>
      <c r="BI8" s="1730" t="s">
        <v>3174</v>
      </c>
      <c r="BJ8" s="1730" t="s">
        <v>3174</v>
      </c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 t="s">
        <v>3174</v>
      </c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 t="s">
        <v>3174</v>
      </c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 t="s">
        <v>3174</v>
      </c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 t="s">
        <v>3174</v>
      </c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 t="s">
        <v>3174</v>
      </c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3174</v>
      </c>
      <c r="EE8" s="1730" t="s">
        <v>3103</v>
      </c>
      <c r="EF8" s="1730" t="s">
        <v>3104</v>
      </c>
      <c r="EG8" s="1730" t="s">
        <v>3105</v>
      </c>
      <c r="EH8" s="1730" t="s">
        <v>3106</v>
      </c>
      <c r="EI8" s="1730" t="s">
        <v>1965</v>
      </c>
      <c r="EJ8" s="1730" t="s">
        <v>3107</v>
      </c>
      <c r="EK8" s="1730" t="s">
        <v>3108</v>
      </c>
      <c r="EL8" s="1730" t="s">
        <v>3109</v>
      </c>
      <c r="EM8" s="1730" t="s">
        <v>3110</v>
      </c>
      <c r="EN8" s="1730" t="s">
        <v>3173</v>
      </c>
      <c r="EO8" s="1730" t="s">
        <v>3406</v>
      </c>
      <c r="EP8" s="1730" t="s">
        <v>3174</v>
      </c>
      <c r="EQ8" s="1730" t="s">
        <v>3103</v>
      </c>
      <c r="ER8" s="1730" t="s">
        <v>3104</v>
      </c>
      <c r="ES8" s="1730" t="s">
        <v>3105</v>
      </c>
      <c r="ET8" s="1730" t="s">
        <v>3106</v>
      </c>
      <c r="EU8" s="1730" t="s">
        <v>1965</v>
      </c>
      <c r="EV8" s="1730" t="s">
        <v>3107</v>
      </c>
      <c r="EW8" s="1730" t="s">
        <v>3108</v>
      </c>
      <c r="EX8" s="1730" t="s">
        <v>3109</v>
      </c>
      <c r="EY8" s="1730" t="s">
        <v>3110</v>
      </c>
      <c r="EZ8" s="1730" t="s">
        <v>3173</v>
      </c>
      <c r="FA8" s="1730" t="s">
        <v>3406</v>
      </c>
      <c r="FB8" s="1730" t="s">
        <v>3174</v>
      </c>
      <c r="FC8" s="1730" t="s">
        <v>3103</v>
      </c>
      <c r="FD8" s="1730" t="s">
        <v>3104</v>
      </c>
      <c r="FE8" s="1730" t="s">
        <v>3105</v>
      </c>
      <c r="FF8" s="1730" t="s">
        <v>3106</v>
      </c>
      <c r="FG8" s="1730" t="s">
        <v>1965</v>
      </c>
      <c r="FH8" s="1730" t="s">
        <v>3107</v>
      </c>
      <c r="FI8" s="2327"/>
    </row>
    <row r="9" spans="1:165" ht="21">
      <c r="A9" s="1722" t="s">
        <v>2740</v>
      </c>
      <c r="B9" s="803">
        <v>105.60011256000001</v>
      </c>
      <c r="C9" s="638">
        <v>114.24578094</v>
      </c>
      <c r="D9" s="638">
        <v>113.97123705000001</v>
      </c>
      <c r="E9" s="638">
        <v>114.12138906000001</v>
      </c>
      <c r="F9" s="638">
        <v>111.37901713000001</v>
      </c>
      <c r="G9" s="638">
        <v>142.61656519000002</v>
      </c>
      <c r="H9" s="638">
        <v>144.08715753000001</v>
      </c>
      <c r="I9" s="638">
        <v>144.24804773000002</v>
      </c>
      <c r="J9" s="638">
        <v>194.41175276000001</v>
      </c>
      <c r="K9" s="638">
        <v>134.66931400999999</v>
      </c>
      <c r="L9" s="638">
        <v>134.62406406000002</v>
      </c>
      <c r="M9" s="639">
        <v>124.95512670000001</v>
      </c>
      <c r="N9" s="639">
        <v>124.80824687999998</v>
      </c>
      <c r="O9" s="639">
        <v>125.00565813</v>
      </c>
      <c r="P9" s="639">
        <v>125.39533259000001</v>
      </c>
      <c r="Q9" s="639">
        <v>120.56247141</v>
      </c>
      <c r="R9" s="639">
        <v>154.12319878</v>
      </c>
      <c r="S9" s="639">
        <v>80.603619979999991</v>
      </c>
      <c r="T9" s="639">
        <v>81.087695370000006</v>
      </c>
      <c r="U9" s="639">
        <v>80.881242159999999</v>
      </c>
      <c r="V9" s="639">
        <v>74.95358816000001</v>
      </c>
      <c r="W9" s="639">
        <v>71.724015960000003</v>
      </c>
      <c r="X9" s="639">
        <v>67.566328909999996</v>
      </c>
      <c r="Y9" s="639">
        <v>61.10191086999999</v>
      </c>
      <c r="Z9" s="639">
        <v>61.10191086999999</v>
      </c>
      <c r="AA9" s="639">
        <v>101.09084375</v>
      </c>
      <c r="AB9" s="639">
        <v>117.08735831</v>
      </c>
      <c r="AC9" s="639">
        <v>116.65805771999999</v>
      </c>
      <c r="AD9" s="639">
        <v>117.63569192</v>
      </c>
      <c r="AE9" s="639">
        <v>117.33302420000001</v>
      </c>
      <c r="AF9" s="639">
        <v>115.0996227</v>
      </c>
      <c r="AG9" s="639">
        <v>114.55282405999998</v>
      </c>
      <c r="AH9" s="639">
        <v>68.411117079999997</v>
      </c>
      <c r="AI9" s="639">
        <v>68.274432439999998</v>
      </c>
      <c r="AJ9" s="639">
        <v>137.60144632999999</v>
      </c>
      <c r="AK9" s="639">
        <v>149.99696</v>
      </c>
      <c r="AL9" s="639">
        <v>181.11935259999998</v>
      </c>
      <c r="AM9" s="639">
        <v>178.93343339</v>
      </c>
      <c r="AN9" s="639">
        <v>170.21498265999998</v>
      </c>
      <c r="AO9" s="639">
        <v>169.33655242000003</v>
      </c>
      <c r="AP9" s="639">
        <v>167.37961919999998</v>
      </c>
      <c r="AQ9" s="639">
        <v>165.93781584000001</v>
      </c>
      <c r="AR9" s="639">
        <v>268.95391513999999</v>
      </c>
      <c r="AS9" s="639">
        <v>254.53764158000004</v>
      </c>
      <c r="AT9" s="639">
        <v>256.97157655999996</v>
      </c>
      <c r="AU9" s="639">
        <v>256.98802446000008</v>
      </c>
      <c r="AV9" s="639">
        <v>260.42991877000003</v>
      </c>
      <c r="AW9" s="639">
        <v>466.18580246999994</v>
      </c>
      <c r="AX9" s="639">
        <v>472.66086626000003</v>
      </c>
      <c r="AY9" s="639">
        <v>327.58225526000001</v>
      </c>
      <c r="AZ9" s="639">
        <v>297.83420001999997</v>
      </c>
      <c r="BA9" s="639">
        <v>293.94586943999997</v>
      </c>
      <c r="BB9" s="639">
        <v>429.96568051999998</v>
      </c>
      <c r="BC9" s="639">
        <v>428.74997167999993</v>
      </c>
      <c r="BD9" s="639">
        <v>428.72081939000003</v>
      </c>
      <c r="BE9" s="639">
        <v>265.08731266000007</v>
      </c>
      <c r="BF9" s="639">
        <v>256.50174501999999</v>
      </c>
      <c r="BG9" s="639">
        <v>251.21038282999999</v>
      </c>
      <c r="BH9" s="639">
        <v>213.59875038000001</v>
      </c>
      <c r="BI9" s="799">
        <v>309.71322092999998</v>
      </c>
      <c r="BJ9" s="815">
        <v>215.59824989000001</v>
      </c>
      <c r="BK9" s="815">
        <v>215.5081476</v>
      </c>
      <c r="BL9" s="815">
        <v>209.76563938999999</v>
      </c>
      <c r="BM9" s="815">
        <v>211.78296318000002</v>
      </c>
      <c r="BN9" s="815">
        <v>211.82697447000001</v>
      </c>
      <c r="BO9" s="815">
        <v>208.76143995000001</v>
      </c>
      <c r="BP9" s="815">
        <v>208.70451044999999</v>
      </c>
      <c r="BQ9" s="815">
        <v>210.57181072</v>
      </c>
      <c r="BR9" s="815">
        <v>202.31794216999998</v>
      </c>
      <c r="BS9" s="815">
        <v>200.46549587999999</v>
      </c>
      <c r="BT9" s="815">
        <v>190.76791687999997</v>
      </c>
      <c r="BU9" s="815">
        <v>190.63270231999999</v>
      </c>
      <c r="BV9" s="815">
        <v>342.04078730000003</v>
      </c>
      <c r="BW9" s="815">
        <v>370.91365987</v>
      </c>
      <c r="BX9" s="815">
        <v>370.16473431999998</v>
      </c>
      <c r="BY9" s="815">
        <v>369.13140736000003</v>
      </c>
      <c r="BZ9" s="815">
        <v>373.12296426000006</v>
      </c>
      <c r="CA9" s="815">
        <v>373.09053128999994</v>
      </c>
      <c r="CB9" s="815">
        <v>373.98671657</v>
      </c>
      <c r="CC9" s="815">
        <v>371.05687373000006</v>
      </c>
      <c r="CD9" s="815">
        <v>339.55006192999997</v>
      </c>
      <c r="CE9" s="815">
        <v>490.34353333000001</v>
      </c>
      <c r="CF9" s="815">
        <v>509.74141729000002</v>
      </c>
      <c r="CG9" s="815">
        <v>581.10745771000006</v>
      </c>
      <c r="CH9" s="815">
        <v>589.48088998000003</v>
      </c>
      <c r="CI9" s="815">
        <v>594.10143878000008</v>
      </c>
      <c r="CJ9" s="815">
        <v>593.81704666000007</v>
      </c>
      <c r="CK9" s="815">
        <v>592.7249453500001</v>
      </c>
      <c r="CL9" s="815">
        <v>591.05934764999995</v>
      </c>
      <c r="CM9" s="815">
        <v>591.25840889999995</v>
      </c>
      <c r="CN9" s="815">
        <v>528.36327950999998</v>
      </c>
      <c r="CO9" s="815">
        <v>531.13333698999998</v>
      </c>
      <c r="CP9" s="815">
        <v>522.54439936999995</v>
      </c>
      <c r="CQ9" s="815">
        <v>499.21446546000004</v>
      </c>
      <c r="CR9" s="815">
        <v>499.89612171000005</v>
      </c>
      <c r="CS9" s="815">
        <v>498.64728910000002</v>
      </c>
      <c r="CT9" s="815">
        <v>507.35427750000002</v>
      </c>
      <c r="CU9" s="815">
        <v>490.96189819</v>
      </c>
      <c r="CV9" s="815">
        <v>490.39742289999998</v>
      </c>
      <c r="CW9" s="815">
        <v>489.63037322999998</v>
      </c>
      <c r="CX9" s="815">
        <v>499.14561572999997</v>
      </c>
      <c r="CY9" s="815">
        <v>494.09345325999999</v>
      </c>
      <c r="CZ9" s="815">
        <v>466.16306940999999</v>
      </c>
      <c r="DA9" s="815">
        <v>462.71752470000001</v>
      </c>
      <c r="DB9" s="815">
        <v>469.61422119999997</v>
      </c>
      <c r="DC9" s="815">
        <v>468.89206789999997</v>
      </c>
      <c r="DD9" s="815">
        <v>465.15443046000001</v>
      </c>
      <c r="DE9" s="815">
        <v>457.63924663</v>
      </c>
      <c r="DF9" s="815">
        <v>462.79192707999999</v>
      </c>
      <c r="DG9" s="815">
        <v>451.95474725000003</v>
      </c>
      <c r="DH9" s="815">
        <v>434.13006897999998</v>
      </c>
      <c r="DI9" s="815">
        <v>436.89270148999998</v>
      </c>
      <c r="DJ9" s="815">
        <v>432.85800519999998</v>
      </c>
      <c r="DK9" s="815">
        <v>419.15604752000002</v>
      </c>
      <c r="DL9" s="815">
        <v>402.01053668999998</v>
      </c>
      <c r="DM9" s="815">
        <v>389.52698802999998</v>
      </c>
      <c r="DN9" s="815">
        <v>359.73674825000001</v>
      </c>
      <c r="DO9" s="815">
        <v>361.50367191999999</v>
      </c>
      <c r="DP9" s="815">
        <v>392.47515770000001</v>
      </c>
      <c r="DQ9" s="815">
        <v>381.69147516999999</v>
      </c>
      <c r="DR9" s="815">
        <v>385.49710412000002</v>
      </c>
      <c r="DS9" s="815">
        <v>412.94644068999997</v>
      </c>
      <c r="DT9" s="815">
        <v>418.67551236000003</v>
      </c>
      <c r="DU9" s="815">
        <v>425.99188239</v>
      </c>
      <c r="DV9" s="815">
        <v>429.33469600000001</v>
      </c>
      <c r="DW9" s="815">
        <v>419.51901660999999</v>
      </c>
      <c r="DX9" s="815">
        <v>400.45803783999997</v>
      </c>
      <c r="DY9" s="815">
        <v>389.23534162999999</v>
      </c>
      <c r="DZ9" s="815">
        <v>375.68114305</v>
      </c>
      <c r="EA9" s="815">
        <v>372.25311664999998</v>
      </c>
      <c r="EB9" s="815">
        <v>366.21069555000003</v>
      </c>
      <c r="EC9" s="815">
        <v>353.37052734999997</v>
      </c>
      <c r="ED9" s="815">
        <v>332.10318666000001</v>
      </c>
      <c r="EE9" s="815">
        <v>527.94817781999996</v>
      </c>
      <c r="EF9" s="815">
        <v>488.17322006000001</v>
      </c>
      <c r="EG9" s="815">
        <v>383.00786065</v>
      </c>
      <c r="EH9" s="815">
        <v>425.52107367000002</v>
      </c>
      <c r="EI9" s="815">
        <v>425.61648366999998</v>
      </c>
      <c r="EJ9" s="815">
        <v>422.12141150000002</v>
      </c>
      <c r="EK9" s="815">
        <v>420.80378653999998</v>
      </c>
      <c r="EL9" s="815">
        <v>434.96063118000001</v>
      </c>
      <c r="EM9" s="815">
        <v>439.13994855999999</v>
      </c>
      <c r="EN9" s="815">
        <v>508.63077039000001</v>
      </c>
      <c r="EO9" s="815">
        <v>458.62442969</v>
      </c>
      <c r="EP9" s="815">
        <v>413.73034307</v>
      </c>
      <c r="EQ9" s="815">
        <v>426.15448550000002</v>
      </c>
      <c r="ER9" s="815">
        <v>393.98817229000002</v>
      </c>
      <c r="ES9" s="815">
        <v>381.54740984</v>
      </c>
      <c r="ET9" s="815">
        <v>380.60936157999998</v>
      </c>
      <c r="EU9" s="815">
        <v>376.56342565</v>
      </c>
      <c r="EV9" s="815">
        <v>363.87866302999998</v>
      </c>
      <c r="EW9" s="815">
        <v>362.60886620999997</v>
      </c>
      <c r="EX9" s="815">
        <v>347.50166955999998</v>
      </c>
      <c r="EY9" s="815">
        <v>325.09893416</v>
      </c>
      <c r="EZ9" s="815">
        <v>320.09631382999999</v>
      </c>
      <c r="FA9" s="815">
        <v>320.76256384999999</v>
      </c>
      <c r="FB9" s="815">
        <v>307.77195018999998</v>
      </c>
      <c r="FC9" s="815">
        <v>298.02802069000001</v>
      </c>
      <c r="FD9" s="815">
        <v>281.29800427999999</v>
      </c>
      <c r="FE9" s="815">
        <v>274.02229674</v>
      </c>
      <c r="FF9" s="815">
        <v>273.81132521000001</v>
      </c>
      <c r="FG9" s="815">
        <v>276.17984611000003</v>
      </c>
      <c r="FH9" s="815">
        <v>257.39372952999997</v>
      </c>
      <c r="FI9" s="1710" t="s">
        <v>1152</v>
      </c>
    </row>
    <row r="10" spans="1:165" ht="21">
      <c r="A10" s="1723" t="s">
        <v>1961</v>
      </c>
      <c r="B10" s="804">
        <v>99.833261400000012</v>
      </c>
      <c r="C10" s="640">
        <v>109.18165262000001</v>
      </c>
      <c r="D10" s="640">
        <v>108.95689246000002</v>
      </c>
      <c r="E10" s="640">
        <v>109.14540098000002</v>
      </c>
      <c r="F10" s="640">
        <v>109.25280531000001</v>
      </c>
      <c r="G10" s="640">
        <v>139.30455628999999</v>
      </c>
      <c r="H10" s="640">
        <v>139.64007945</v>
      </c>
      <c r="I10" s="640">
        <v>139.67610478</v>
      </c>
      <c r="J10" s="640">
        <v>189.86615598</v>
      </c>
      <c r="K10" s="640">
        <v>130.03386656000001</v>
      </c>
      <c r="L10" s="640">
        <v>129.96822206000002</v>
      </c>
      <c r="M10" s="641">
        <v>120.06069436999999</v>
      </c>
      <c r="N10" s="641">
        <v>120.05746053</v>
      </c>
      <c r="O10" s="641">
        <v>120.16770789000002</v>
      </c>
      <c r="P10" s="641">
        <v>120.18054233999999</v>
      </c>
      <c r="Q10" s="641">
        <v>115.2232376</v>
      </c>
      <c r="R10" s="641">
        <v>152.14953231999999</v>
      </c>
      <c r="S10" s="641">
        <v>79.153501110000008</v>
      </c>
      <c r="T10" s="641">
        <v>78.996829550000001</v>
      </c>
      <c r="U10" s="641">
        <v>78.732712110000008</v>
      </c>
      <c r="V10" s="641">
        <v>72.828690399999999</v>
      </c>
      <c r="W10" s="641">
        <v>69.5330589</v>
      </c>
      <c r="X10" s="641">
        <v>65.303776110000001</v>
      </c>
      <c r="Y10" s="641">
        <v>58.838362320000002</v>
      </c>
      <c r="Z10" s="641">
        <v>58.838362320000002</v>
      </c>
      <c r="AA10" s="641">
        <v>98.861545399999997</v>
      </c>
      <c r="AB10" s="641">
        <v>114.45075898</v>
      </c>
      <c r="AC10" s="641">
        <v>114.02617991</v>
      </c>
      <c r="AD10" s="641">
        <v>114.17508303000001</v>
      </c>
      <c r="AE10" s="641">
        <v>113.89396886</v>
      </c>
      <c r="AF10" s="641">
        <v>111.68409274000001</v>
      </c>
      <c r="AG10" s="641">
        <v>111.42322095999999</v>
      </c>
      <c r="AH10" s="641">
        <v>66.117156039999998</v>
      </c>
      <c r="AI10" s="641">
        <v>66.12176925</v>
      </c>
      <c r="AJ10" s="641">
        <v>135.63681607999999</v>
      </c>
      <c r="AK10" s="641">
        <v>148.16076641000001</v>
      </c>
      <c r="AL10" s="641">
        <v>178.84997107000001</v>
      </c>
      <c r="AM10" s="641">
        <v>176.48653781999997</v>
      </c>
      <c r="AN10" s="641">
        <v>167.83024379</v>
      </c>
      <c r="AO10" s="641">
        <v>166.93833645000001</v>
      </c>
      <c r="AP10" s="641">
        <v>164.85291329</v>
      </c>
      <c r="AQ10" s="641">
        <v>163.43100534000001</v>
      </c>
      <c r="AR10" s="641">
        <v>266.44610976000001</v>
      </c>
      <c r="AS10" s="641">
        <v>252.24556739000005</v>
      </c>
      <c r="AT10" s="641">
        <v>254.95421341000002</v>
      </c>
      <c r="AU10" s="641">
        <v>254.63632139000001</v>
      </c>
      <c r="AV10" s="641">
        <v>255.52576239000001</v>
      </c>
      <c r="AW10" s="641">
        <v>260.15105939000006</v>
      </c>
      <c r="AX10" s="641">
        <v>467.58128439000001</v>
      </c>
      <c r="AY10" s="641">
        <v>322.37858838999995</v>
      </c>
      <c r="AZ10" s="641">
        <v>293.86066755999997</v>
      </c>
      <c r="BA10" s="641">
        <v>290.25207656000003</v>
      </c>
      <c r="BB10" s="641">
        <v>425.62606955999996</v>
      </c>
      <c r="BC10" s="641">
        <v>425.50000281999996</v>
      </c>
      <c r="BD10" s="641">
        <v>425.52510793000005</v>
      </c>
      <c r="BE10" s="641">
        <v>261.93860000000001</v>
      </c>
      <c r="BF10" s="641">
        <v>253.44900000000001</v>
      </c>
      <c r="BG10" s="641">
        <v>247.37909999999999</v>
      </c>
      <c r="BH10" s="641">
        <v>210.82480000000001</v>
      </c>
      <c r="BI10" s="800">
        <v>306.26224999999999</v>
      </c>
      <c r="BJ10" s="816">
        <v>208.66177350000001</v>
      </c>
      <c r="BK10" s="816">
        <v>208.66177350000001</v>
      </c>
      <c r="BL10" s="816">
        <v>202.74784477</v>
      </c>
      <c r="BM10" s="816">
        <v>202.6995</v>
      </c>
      <c r="BN10" s="816">
        <v>202.6995</v>
      </c>
      <c r="BO10" s="816">
        <v>202.6995</v>
      </c>
      <c r="BP10" s="816">
        <v>202.6995</v>
      </c>
      <c r="BQ10" s="816">
        <v>199.29949999999999</v>
      </c>
      <c r="BR10" s="816">
        <v>190.79949999999999</v>
      </c>
      <c r="BS10" s="816">
        <v>189.09950000000001</v>
      </c>
      <c r="BT10" s="816">
        <v>178.89949999999999</v>
      </c>
      <c r="BU10" s="816">
        <v>178.89949999999999</v>
      </c>
      <c r="BV10" s="816">
        <v>308.9495</v>
      </c>
      <c r="BW10" s="816">
        <v>308.9495</v>
      </c>
      <c r="BX10" s="816">
        <v>308.9495</v>
      </c>
      <c r="BY10" s="816">
        <v>308.9495</v>
      </c>
      <c r="BZ10" s="816">
        <v>308.9495</v>
      </c>
      <c r="CA10" s="816">
        <v>308.9495</v>
      </c>
      <c r="CB10" s="816">
        <v>308.9495</v>
      </c>
      <c r="CC10" s="816">
        <v>307.24950000000001</v>
      </c>
      <c r="CD10" s="816">
        <v>278.34949999999998</v>
      </c>
      <c r="CE10" s="816">
        <v>427.9495</v>
      </c>
      <c r="CF10" s="816">
        <v>412.64949999999999</v>
      </c>
      <c r="CG10" s="816">
        <v>501.04950000000002</v>
      </c>
      <c r="CH10" s="816">
        <v>501.04950000000002</v>
      </c>
      <c r="CI10" s="816">
        <v>495.55</v>
      </c>
      <c r="CJ10" s="816">
        <v>495.55</v>
      </c>
      <c r="CK10" s="816">
        <v>495.55</v>
      </c>
      <c r="CL10" s="816">
        <v>495.55</v>
      </c>
      <c r="CM10" s="816">
        <v>495.55</v>
      </c>
      <c r="CN10" s="816">
        <v>435.2</v>
      </c>
      <c r="CO10" s="816">
        <v>426.7</v>
      </c>
      <c r="CP10" s="816">
        <v>418.2</v>
      </c>
      <c r="CQ10" s="816">
        <v>266.05</v>
      </c>
      <c r="CR10" s="816">
        <v>396.1</v>
      </c>
      <c r="CS10" s="816">
        <v>396.10806205</v>
      </c>
      <c r="CT10" s="816">
        <v>396.10806205</v>
      </c>
      <c r="CU10" s="816">
        <v>396.10363931000001</v>
      </c>
      <c r="CV10" s="816">
        <v>396.1</v>
      </c>
      <c r="CW10" s="816">
        <v>396.1</v>
      </c>
      <c r="CX10" s="816">
        <v>396.1</v>
      </c>
      <c r="CY10" s="816">
        <v>396.1</v>
      </c>
      <c r="CZ10" s="816">
        <v>374.42500000000001</v>
      </c>
      <c r="DA10" s="816">
        <v>374.42500000000001</v>
      </c>
      <c r="DB10" s="816">
        <v>374.42500000000001</v>
      </c>
      <c r="DC10" s="816">
        <v>374.42500000000001</v>
      </c>
      <c r="DD10" s="816">
        <v>374.42500000000001</v>
      </c>
      <c r="DE10" s="816">
        <v>374.42500000000001</v>
      </c>
      <c r="DF10" s="816">
        <v>353.245</v>
      </c>
      <c r="DG10" s="816">
        <v>353.28958333000003</v>
      </c>
      <c r="DH10" s="816">
        <v>337.95039630000002</v>
      </c>
      <c r="DI10" s="816">
        <v>337.91075222000001</v>
      </c>
      <c r="DJ10" s="816">
        <v>337.87078543000001</v>
      </c>
      <c r="DK10" s="816">
        <v>323.09736650999997</v>
      </c>
      <c r="DL10" s="816">
        <v>301.38159123000003</v>
      </c>
      <c r="DM10" s="816">
        <v>301.34061893000001</v>
      </c>
      <c r="DN10" s="816">
        <v>285.99933048999998</v>
      </c>
      <c r="DO10" s="816">
        <v>285.92311740999997</v>
      </c>
      <c r="DP10" s="816">
        <v>314.52628662000001</v>
      </c>
      <c r="DQ10" s="816">
        <v>295.79374996000001</v>
      </c>
      <c r="DR10" s="816">
        <v>294.12383328999999</v>
      </c>
      <c r="DS10" s="816">
        <v>321.11232280000002</v>
      </c>
      <c r="DT10" s="816">
        <v>327.97589310000001</v>
      </c>
      <c r="DU10" s="816">
        <v>332.8677907</v>
      </c>
      <c r="DV10" s="816">
        <v>332.85591410000001</v>
      </c>
      <c r="DW10" s="816">
        <v>318.11066978000002</v>
      </c>
      <c r="DX10" s="816">
        <v>296.42916374999999</v>
      </c>
      <c r="DY10" s="816">
        <v>296.40295615000002</v>
      </c>
      <c r="DZ10" s="816">
        <v>281.092691</v>
      </c>
      <c r="EA10" s="816">
        <v>281.13242585</v>
      </c>
      <c r="EB10" s="816">
        <v>281.11834428999998</v>
      </c>
      <c r="EC10" s="816">
        <v>266.37078876999999</v>
      </c>
      <c r="ED10" s="816">
        <v>244.73155449000001</v>
      </c>
      <c r="EE10" s="816">
        <v>448.1180339</v>
      </c>
      <c r="EF10" s="816">
        <v>408.14986567</v>
      </c>
      <c r="EG10" s="816">
        <v>302.16492640000001</v>
      </c>
      <c r="EH10" s="816">
        <v>302.14654406</v>
      </c>
      <c r="EI10" s="816">
        <v>302.24804582000002</v>
      </c>
      <c r="EJ10" s="816">
        <v>302.22937863999999</v>
      </c>
      <c r="EK10" s="816">
        <v>303.67933135999999</v>
      </c>
      <c r="EL10" s="816">
        <v>305.36523299999999</v>
      </c>
      <c r="EM10" s="816">
        <v>299.28026417000001</v>
      </c>
      <c r="EN10" s="816">
        <v>368.64833170999998</v>
      </c>
      <c r="EO10" s="816">
        <v>323.2024983</v>
      </c>
      <c r="EP10" s="816">
        <v>284.19381308000004</v>
      </c>
      <c r="EQ10" s="816">
        <v>298.93319961999998</v>
      </c>
      <c r="ER10" s="816">
        <v>262.82760755999999</v>
      </c>
      <c r="ES10" s="816">
        <v>249.44664208</v>
      </c>
      <c r="ET10" s="816">
        <v>249.34385164</v>
      </c>
      <c r="EU10" s="816">
        <v>249.24188049</v>
      </c>
      <c r="EV10" s="816">
        <v>235.85690991000001</v>
      </c>
      <c r="EW10" s="816">
        <v>237.46750072</v>
      </c>
      <c r="EX10" s="816">
        <v>222.06168079</v>
      </c>
      <c r="EY10" s="816">
        <v>208.3375733</v>
      </c>
      <c r="EZ10" s="816">
        <v>208.22664171</v>
      </c>
      <c r="FA10" s="816">
        <v>208.12017607000001</v>
      </c>
      <c r="FB10" s="816">
        <v>196.14533019999999</v>
      </c>
      <c r="FC10" s="816">
        <v>195.40347370000001</v>
      </c>
      <c r="FD10" s="816">
        <v>181.75178087</v>
      </c>
      <c r="FE10" s="816">
        <v>168.46383187999999</v>
      </c>
      <c r="FF10" s="816">
        <v>168.45703576</v>
      </c>
      <c r="FG10" s="816">
        <v>168.40017477999999</v>
      </c>
      <c r="FH10" s="816">
        <v>154.93381511000001</v>
      </c>
      <c r="FI10" s="1712" t="s">
        <v>4067</v>
      </c>
    </row>
    <row r="11" spans="1:165" ht="21">
      <c r="A11" s="1723" t="s">
        <v>1962</v>
      </c>
      <c r="B11" s="803">
        <f t="shared" ref="B11:V11" si="0">+B9-B10</f>
        <v>5.7668511600000016</v>
      </c>
      <c r="C11" s="638">
        <f t="shared" si="0"/>
        <v>5.0641283199999947</v>
      </c>
      <c r="D11" s="638">
        <f t="shared" si="0"/>
        <v>5.0143445899999932</v>
      </c>
      <c r="E11" s="638">
        <f t="shared" si="0"/>
        <v>4.9759880799999934</v>
      </c>
      <c r="F11" s="638">
        <f t="shared" si="0"/>
        <v>2.1262118199999946</v>
      </c>
      <c r="G11" s="638">
        <f t="shared" si="0"/>
        <v>3.3120089000000235</v>
      </c>
      <c r="H11" s="638">
        <f t="shared" si="0"/>
        <v>4.4470780800000114</v>
      </c>
      <c r="I11" s="638">
        <f t="shared" si="0"/>
        <v>4.5719429500000217</v>
      </c>
      <c r="J11" s="638">
        <f t="shared" si="0"/>
        <v>4.545596780000011</v>
      </c>
      <c r="K11" s="638">
        <f t="shared" si="0"/>
        <v>4.6354474499999867</v>
      </c>
      <c r="L11" s="638">
        <f t="shared" si="0"/>
        <v>4.6558420000000069</v>
      </c>
      <c r="M11" s="641">
        <f t="shared" si="0"/>
        <v>4.894432330000015</v>
      </c>
      <c r="N11" s="639">
        <f t="shared" si="0"/>
        <v>4.7507863499999843</v>
      </c>
      <c r="O11" s="639">
        <f t="shared" si="0"/>
        <v>4.8379502399999836</v>
      </c>
      <c r="P11" s="639">
        <f t="shared" si="0"/>
        <v>5.2147902500000214</v>
      </c>
      <c r="Q11" s="639">
        <f t="shared" si="0"/>
        <v>5.3392338099999961</v>
      </c>
      <c r="R11" s="639">
        <f t="shared" si="0"/>
        <v>1.973666460000004</v>
      </c>
      <c r="S11" s="639">
        <f t="shared" si="0"/>
        <v>1.450118869999983</v>
      </c>
      <c r="T11" s="639">
        <f t="shared" si="0"/>
        <v>2.0908658200000048</v>
      </c>
      <c r="U11" s="639">
        <f t="shared" si="0"/>
        <v>2.1485300499999909</v>
      </c>
      <c r="V11" s="639">
        <f t="shared" si="0"/>
        <v>2.1248977600000103</v>
      </c>
      <c r="W11" s="639">
        <v>2.1909570600000023</v>
      </c>
      <c r="X11" s="639">
        <v>2.2625527999999946</v>
      </c>
      <c r="Y11" s="641">
        <v>2.2635485499999888</v>
      </c>
      <c r="Z11" s="639">
        <v>2.2635485499999888</v>
      </c>
      <c r="AA11" s="639">
        <v>2.2292983500000076</v>
      </c>
      <c r="AB11" s="641">
        <v>2.6365993299999957</v>
      </c>
      <c r="AC11" s="641">
        <v>2.6318778099999918</v>
      </c>
      <c r="AD11" s="641">
        <v>3.4606088899999889</v>
      </c>
      <c r="AE11" s="641">
        <v>3.4390553400000101</v>
      </c>
      <c r="AF11" s="641">
        <v>3.4155299599999864</v>
      </c>
      <c r="AG11" s="641">
        <v>3.1296030999999829</v>
      </c>
      <c r="AH11" s="641">
        <v>2.2939610399999992</v>
      </c>
      <c r="AI11" s="641">
        <f>+AI9-AI10</f>
        <v>2.1526631899999984</v>
      </c>
      <c r="AJ11" s="641">
        <v>1.964630249999999</v>
      </c>
      <c r="AK11" s="641">
        <f>+AK9-AK10</f>
        <v>1.8361935899999935</v>
      </c>
      <c r="AL11" s="641">
        <f>+AL9-AL10</f>
        <v>2.2693815299999756</v>
      </c>
      <c r="AM11" s="641">
        <v>2.4468955700000379</v>
      </c>
      <c r="AN11" s="641">
        <f>+AN9-AN10</f>
        <v>2.3847388699999783</v>
      </c>
      <c r="AO11" s="641">
        <f>+AO9-AO10</f>
        <v>2.3982159700000238</v>
      </c>
      <c r="AP11" s="641">
        <f>+AP9-AP10</f>
        <v>2.5267059099999756</v>
      </c>
      <c r="AQ11" s="641">
        <f>+AQ9-AQ10</f>
        <v>2.5068105000000003</v>
      </c>
      <c r="AR11" s="641">
        <v>2.5078053799999793</v>
      </c>
      <c r="AS11" s="641">
        <f>+AS9-AS10</f>
        <v>2.2920741899999939</v>
      </c>
      <c r="AT11" s="641">
        <f>+AT9-AT10</f>
        <v>2.0173631499999374</v>
      </c>
      <c r="AU11" s="641">
        <f>+AU9-AU10</f>
        <v>2.3517030700000703</v>
      </c>
      <c r="AV11" s="641">
        <v>4.9041563800000176</v>
      </c>
      <c r="AW11" s="641">
        <v>206.03474307999988</v>
      </c>
      <c r="AX11" s="641">
        <v>5.0795818700000268</v>
      </c>
      <c r="AY11" s="641">
        <v>5.2036668700000632</v>
      </c>
      <c r="AZ11" s="641">
        <v>3.9735324600000013</v>
      </c>
      <c r="BA11" s="641">
        <v>3.6937928799999327</v>
      </c>
      <c r="BB11" s="641">
        <v>4.3396109600000159</v>
      </c>
      <c r="BC11" s="641">
        <v>3.2499688599999672</v>
      </c>
      <c r="BD11" s="641">
        <v>3.1957114599999841</v>
      </c>
      <c r="BE11" s="641">
        <f>+BE9-BE10</f>
        <v>3.1487126600000579</v>
      </c>
      <c r="BF11" s="641">
        <v>3.0527450199999748</v>
      </c>
      <c r="BG11" s="641">
        <v>3.8312828299999921</v>
      </c>
      <c r="BH11" s="641">
        <v>2.7739503800000023</v>
      </c>
      <c r="BI11" s="800">
        <v>3.4509709299999827</v>
      </c>
      <c r="BJ11" s="816">
        <v>6.9364763899999957</v>
      </c>
      <c r="BK11" s="816">
        <f>+BK9-BK10</f>
        <v>6.8463740999999914</v>
      </c>
      <c r="BL11" s="816">
        <v>7.0177946199999894</v>
      </c>
      <c r="BM11" s="816">
        <v>9.0834631800000238</v>
      </c>
      <c r="BN11" s="816">
        <v>9.1274744700000099</v>
      </c>
      <c r="BO11" s="816">
        <v>6.06193995000001</v>
      </c>
      <c r="BP11" s="816">
        <v>6.0050104499999861</v>
      </c>
      <c r="BQ11" s="816">
        <v>11.272310720000007</v>
      </c>
      <c r="BR11" s="816">
        <v>11.518442169999986</v>
      </c>
      <c r="BS11" s="816">
        <v>11.365995879999986</v>
      </c>
      <c r="BT11" s="816">
        <v>11.868416879999984</v>
      </c>
      <c r="BU11" s="816">
        <v>11.733202320000004</v>
      </c>
      <c r="BV11" s="816">
        <v>33.091287300000033</v>
      </c>
      <c r="BW11" s="816">
        <v>61.964159870000003</v>
      </c>
      <c r="BX11" s="816">
        <v>61.215234319999979</v>
      </c>
      <c r="BY11" s="816">
        <v>60.181907360000025</v>
      </c>
      <c r="BZ11" s="816">
        <v>64.17346426000006</v>
      </c>
      <c r="CA11" s="816">
        <v>64.141031289999944</v>
      </c>
      <c r="CB11" s="816">
        <v>65.037216569999998</v>
      </c>
      <c r="CC11" s="816">
        <v>63.807373730000052</v>
      </c>
      <c r="CD11" s="816">
        <v>61.200561929999992</v>
      </c>
      <c r="CE11" s="816">
        <v>62.394033330000013</v>
      </c>
      <c r="CF11" s="816">
        <f t="shared" ref="CF11:CP11" si="1">+CF9-CF10</f>
        <v>97.091917290000026</v>
      </c>
      <c r="CG11" s="816">
        <f t="shared" si="1"/>
        <v>80.057957710000039</v>
      </c>
      <c r="CH11" s="816">
        <f t="shared" si="1"/>
        <v>88.431389980000006</v>
      </c>
      <c r="CI11" s="816">
        <f t="shared" si="1"/>
        <v>98.551438780000069</v>
      </c>
      <c r="CJ11" s="816">
        <f t="shared" si="1"/>
        <v>98.267046660000062</v>
      </c>
      <c r="CK11" s="816">
        <f t="shared" si="1"/>
        <v>97.174945350000087</v>
      </c>
      <c r="CL11" s="816">
        <f t="shared" si="1"/>
        <v>95.509347649999938</v>
      </c>
      <c r="CM11" s="816">
        <f t="shared" si="1"/>
        <v>95.708408899999938</v>
      </c>
      <c r="CN11" s="816">
        <f t="shared" si="1"/>
        <v>93.163279509999995</v>
      </c>
      <c r="CO11" s="816">
        <f t="shared" si="1"/>
        <v>104.43333698999999</v>
      </c>
      <c r="CP11" s="816">
        <f t="shared" si="1"/>
        <v>104.34439936999996</v>
      </c>
      <c r="CQ11" s="816">
        <f>+CQ9-CQ10</f>
        <v>233.16446546000003</v>
      </c>
      <c r="CR11" s="816">
        <f>+CR9-CR10</f>
        <v>103.79612171000002</v>
      </c>
      <c r="CS11" s="816">
        <f>+CS9-CS10</f>
        <v>102.53922705000002</v>
      </c>
      <c r="CT11" s="816">
        <f>+CT9-CT10</f>
        <v>111.24621545000002</v>
      </c>
      <c r="CU11" s="816">
        <v>94.858258879999994</v>
      </c>
      <c r="CV11" s="816">
        <f>+CV9-CV10</f>
        <v>94.297422899999958</v>
      </c>
      <c r="CW11" s="816">
        <f>+CW9-CW10</f>
        <v>93.530373229999952</v>
      </c>
      <c r="CX11" s="816">
        <v>103.04561572999995</v>
      </c>
      <c r="CY11" s="816">
        <v>97.993453259999967</v>
      </c>
      <c r="CZ11" s="816">
        <v>91.73806940999998</v>
      </c>
      <c r="DA11" s="816">
        <v>88.292524700000001</v>
      </c>
      <c r="DB11" s="816">
        <v>95.189221199999963</v>
      </c>
      <c r="DC11" s="816">
        <v>94.467067899999961</v>
      </c>
      <c r="DD11" s="816">
        <f>DD9-DD10</f>
        <v>90.729430460000003</v>
      </c>
      <c r="DE11" s="816">
        <v>83.214246629999991</v>
      </c>
      <c r="DF11" s="816">
        <v>109.54692707999999</v>
      </c>
      <c r="DG11" s="816">
        <v>98.665163919999998</v>
      </c>
      <c r="DH11" s="816">
        <f>DH9-DH10</f>
        <v>96.179672679999953</v>
      </c>
      <c r="DI11" s="816">
        <v>98.981949269999973</v>
      </c>
      <c r="DJ11" s="816">
        <f>DJ9-DJ10</f>
        <v>94.987219769999967</v>
      </c>
      <c r="DK11" s="816">
        <v>96.058681010000043</v>
      </c>
      <c r="DL11" s="816">
        <v>100.62894545999995</v>
      </c>
      <c r="DM11" s="816">
        <v>88.186369099999979</v>
      </c>
      <c r="DN11" s="816">
        <v>73.737417760000028</v>
      </c>
      <c r="DO11" s="816">
        <f>DO9-DO10</f>
        <v>75.580554510000013</v>
      </c>
      <c r="DP11" s="816">
        <f>DP9-DP10</f>
        <v>77.948871080000004</v>
      </c>
      <c r="DQ11" s="816">
        <v>85.897725209999976</v>
      </c>
      <c r="DR11" s="816">
        <f>DR9-DR10</f>
        <v>91.373270830000024</v>
      </c>
      <c r="DS11" s="816">
        <f>DS9-DS10</f>
        <v>91.834117889999959</v>
      </c>
      <c r="DT11" s="816">
        <v>90.69961926000002</v>
      </c>
      <c r="DU11" s="816">
        <v>93.12409169</v>
      </c>
      <c r="DV11" s="816">
        <f>DV9-DV10</f>
        <v>96.478781900000001</v>
      </c>
      <c r="DW11" s="816">
        <f>DW9-DW10</f>
        <v>101.40834682999997</v>
      </c>
      <c r="DX11" s="816">
        <v>104.02887408999999</v>
      </c>
      <c r="DY11" s="816">
        <v>92.832385479999971</v>
      </c>
      <c r="DZ11" s="816">
        <f>DZ9-DZ10</f>
        <v>94.588452050000001</v>
      </c>
      <c r="EA11" s="816">
        <f>EA9-EA10</f>
        <v>91.120690799999977</v>
      </c>
      <c r="EB11" s="816">
        <v>85.092351260000044</v>
      </c>
      <c r="EC11" s="816">
        <v>86.999738579999985</v>
      </c>
      <c r="ED11" s="816">
        <v>87.371632169999998</v>
      </c>
      <c r="EE11" s="816">
        <v>79.830143919999955</v>
      </c>
      <c r="EF11" s="816">
        <v>80.023354390000009</v>
      </c>
      <c r="EG11" s="816">
        <v>80.842934249999985</v>
      </c>
      <c r="EH11" s="816">
        <v>123.37452961000002</v>
      </c>
      <c r="EI11" s="816">
        <v>123.36843784999996</v>
      </c>
      <c r="EJ11" s="816">
        <v>119.89203286000003</v>
      </c>
      <c r="EK11" s="816">
        <f>EK9-EK10</f>
        <v>117.12445517999998</v>
      </c>
      <c r="EL11" s="816">
        <v>129.59539818000002</v>
      </c>
      <c r="EM11" s="816">
        <v>139.85968438999998</v>
      </c>
      <c r="EN11" s="816">
        <v>139.98243868000003</v>
      </c>
      <c r="EO11" s="816">
        <f>EO9-EO10</f>
        <v>135.42193139</v>
      </c>
      <c r="EP11" s="816">
        <v>129.53652998999996</v>
      </c>
      <c r="EQ11" s="816">
        <v>127.22128588000004</v>
      </c>
      <c r="ER11" s="816">
        <v>131.16056473000003</v>
      </c>
      <c r="ES11" s="816">
        <v>132.10076776</v>
      </c>
      <c r="ET11" s="816">
        <v>131.26550993999999</v>
      </c>
      <c r="EU11" s="816">
        <f t="shared" ref="EU11:EY11" si="2">EU9-EU10</f>
        <v>127.32154516</v>
      </c>
      <c r="EV11" s="816">
        <f t="shared" si="2"/>
        <v>128.02175311999997</v>
      </c>
      <c r="EW11" s="816">
        <f t="shared" si="2"/>
        <v>125.14136548999997</v>
      </c>
      <c r="EX11" s="816">
        <f t="shared" si="2"/>
        <v>125.43998876999999</v>
      </c>
      <c r="EY11" s="816">
        <f t="shared" si="2"/>
        <v>116.76136086</v>
      </c>
      <c r="EZ11" s="816">
        <v>111.86967211999999</v>
      </c>
      <c r="FA11" s="816">
        <v>112.64238777999998</v>
      </c>
      <c r="FB11" s="816">
        <v>111.62661998999999</v>
      </c>
      <c r="FC11" s="816">
        <v>102.62454699</v>
      </c>
      <c r="FD11" s="816">
        <v>99.546223409999982</v>
      </c>
      <c r="FE11" s="816">
        <v>105.55846486000002</v>
      </c>
      <c r="FF11" s="816">
        <v>105.35428945000001</v>
      </c>
      <c r="FG11" s="816">
        <f t="shared" ref="FG11:FH11" si="3">FG9-FG10</f>
        <v>107.77967133000004</v>
      </c>
      <c r="FH11" s="816">
        <f t="shared" si="3"/>
        <v>102.45991441999996</v>
      </c>
      <c r="FI11" s="1712" t="s">
        <v>4066</v>
      </c>
    </row>
    <row r="12" spans="1:165" ht="21">
      <c r="A12" s="1721"/>
      <c r="B12" s="804"/>
      <c r="C12" s="640"/>
      <c r="D12" s="640"/>
      <c r="E12" s="640"/>
      <c r="F12" s="640"/>
      <c r="G12" s="640"/>
      <c r="H12" s="640"/>
      <c r="I12" s="640"/>
      <c r="J12" s="640"/>
      <c r="K12" s="640"/>
      <c r="L12" s="640"/>
      <c r="M12" s="641"/>
      <c r="N12" s="641"/>
      <c r="O12" s="641"/>
      <c r="P12" s="641"/>
      <c r="Q12" s="641"/>
      <c r="R12" s="641"/>
      <c r="S12" s="641"/>
      <c r="T12" s="641"/>
      <c r="U12" s="641"/>
      <c r="V12" s="641"/>
      <c r="W12" s="641"/>
      <c r="X12" s="641"/>
      <c r="Y12" s="641"/>
      <c r="Z12" s="641"/>
      <c r="AA12" s="641"/>
      <c r="AB12" s="641"/>
      <c r="AC12" s="641"/>
      <c r="AD12" s="641"/>
      <c r="AE12" s="641"/>
      <c r="AF12" s="641"/>
      <c r="AG12" s="641"/>
      <c r="AH12" s="641"/>
      <c r="AI12" s="641"/>
      <c r="AJ12" s="641"/>
      <c r="AK12" s="641"/>
      <c r="AL12" s="641"/>
      <c r="AM12" s="641"/>
      <c r="AN12" s="641"/>
      <c r="AO12" s="641"/>
      <c r="AP12" s="641"/>
      <c r="AQ12" s="641"/>
      <c r="AR12" s="641"/>
      <c r="AS12" s="641"/>
      <c r="AT12" s="641"/>
      <c r="AU12" s="641"/>
      <c r="AV12" s="641"/>
      <c r="AW12" s="641"/>
      <c r="AX12" s="641"/>
      <c r="AY12" s="641"/>
      <c r="AZ12" s="641"/>
      <c r="BA12" s="641"/>
      <c r="BB12" s="641"/>
      <c r="BC12" s="641"/>
      <c r="BD12" s="641"/>
      <c r="BE12" s="641"/>
      <c r="BF12" s="641"/>
      <c r="BG12" s="641"/>
      <c r="BH12" s="641"/>
      <c r="BI12" s="800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6"/>
      <c r="CN12" s="816"/>
      <c r="CO12" s="816"/>
      <c r="CP12" s="816"/>
      <c r="CQ12" s="816"/>
      <c r="CR12" s="816"/>
      <c r="CS12" s="816"/>
      <c r="CT12" s="816"/>
      <c r="CU12" s="816"/>
      <c r="CV12" s="816"/>
      <c r="CW12" s="816"/>
      <c r="CX12" s="816"/>
      <c r="CY12" s="816"/>
      <c r="CZ12" s="816"/>
      <c r="DA12" s="816"/>
      <c r="DB12" s="816"/>
      <c r="DC12" s="816"/>
      <c r="DD12" s="816"/>
      <c r="DE12" s="816"/>
      <c r="DF12" s="816"/>
      <c r="DG12" s="816"/>
      <c r="DH12" s="816"/>
      <c r="DI12" s="816"/>
      <c r="DJ12" s="816"/>
      <c r="DK12" s="816"/>
      <c r="DL12" s="816"/>
      <c r="DM12" s="816"/>
      <c r="DN12" s="816"/>
      <c r="DO12" s="816"/>
      <c r="DP12" s="816"/>
      <c r="DQ12" s="816"/>
      <c r="DR12" s="816"/>
      <c r="DS12" s="816"/>
      <c r="DT12" s="816"/>
      <c r="DU12" s="816"/>
      <c r="DV12" s="816"/>
      <c r="DW12" s="816"/>
      <c r="DX12" s="816"/>
      <c r="DY12" s="816"/>
      <c r="DZ12" s="816"/>
      <c r="EA12" s="816"/>
      <c r="EB12" s="816"/>
      <c r="EC12" s="816"/>
      <c r="ED12" s="816"/>
      <c r="EE12" s="816"/>
      <c r="EF12" s="816"/>
      <c r="EG12" s="816"/>
      <c r="EH12" s="816"/>
      <c r="EI12" s="816"/>
      <c r="EJ12" s="816"/>
      <c r="EK12" s="816"/>
      <c r="EL12" s="816"/>
      <c r="EM12" s="816"/>
      <c r="EN12" s="816"/>
      <c r="EO12" s="816"/>
      <c r="EP12" s="816"/>
      <c r="EQ12" s="816"/>
      <c r="ER12" s="816"/>
      <c r="ES12" s="816"/>
      <c r="ET12" s="816"/>
      <c r="EU12" s="816"/>
      <c r="EV12" s="816"/>
      <c r="EW12" s="816"/>
      <c r="EX12" s="816"/>
      <c r="EY12" s="816"/>
      <c r="EZ12" s="816"/>
      <c r="FA12" s="816"/>
      <c r="FB12" s="816"/>
      <c r="FC12" s="816"/>
      <c r="FD12" s="816"/>
      <c r="FE12" s="816"/>
      <c r="FF12" s="816"/>
      <c r="FG12" s="816"/>
      <c r="FH12" s="816"/>
      <c r="FI12" s="1711"/>
    </row>
    <row r="13" spans="1:165" ht="21">
      <c r="A13" s="1722" t="s">
        <v>2741</v>
      </c>
      <c r="B13" s="803">
        <v>2.8740968499999999</v>
      </c>
      <c r="C13" s="638">
        <v>5.6771662999999997</v>
      </c>
      <c r="D13" s="638">
        <v>5.6291031500000006</v>
      </c>
      <c r="E13" s="638">
        <v>5.6767836799999998</v>
      </c>
      <c r="F13" s="638">
        <v>3.0375995699999998</v>
      </c>
      <c r="G13" s="638">
        <v>35.588423130000002</v>
      </c>
      <c r="H13" s="638">
        <v>37.596644469999994</v>
      </c>
      <c r="I13" s="638">
        <v>37.631974410000005</v>
      </c>
      <c r="J13" s="638">
        <v>87.696098110000008</v>
      </c>
      <c r="K13" s="638">
        <v>27.852188869999999</v>
      </c>
      <c r="L13" s="638">
        <v>27.823703610000003</v>
      </c>
      <c r="M13" s="639">
        <v>17.855383409999998</v>
      </c>
      <c r="N13" s="639">
        <v>18.709724860000001</v>
      </c>
      <c r="O13" s="639">
        <v>18.756983009999999</v>
      </c>
      <c r="P13" s="639">
        <v>18.778273210000002</v>
      </c>
      <c r="Q13" s="639">
        <v>13.86679805</v>
      </c>
      <c r="R13" s="639">
        <v>47.34396228</v>
      </c>
      <c r="S13" s="639">
        <v>4.7781582800000004</v>
      </c>
      <c r="T13" s="639">
        <v>5.5584936800000007</v>
      </c>
      <c r="U13" s="639">
        <v>5.450318610000001</v>
      </c>
      <c r="V13" s="639">
        <v>5.2488262399999996</v>
      </c>
      <c r="W13" s="639">
        <v>5.2819258000000007</v>
      </c>
      <c r="X13" s="639">
        <v>5.2819258000000007</v>
      </c>
      <c r="Y13" s="639">
        <v>5.2045707000000005</v>
      </c>
      <c r="Z13" s="639">
        <v>5.2045707000000005</v>
      </c>
      <c r="AA13" s="639">
        <v>5.5570183500000008</v>
      </c>
      <c r="AB13" s="639">
        <v>7.2793911200000005</v>
      </c>
      <c r="AC13" s="639">
        <v>7.1328719299999994</v>
      </c>
      <c r="AD13" s="639">
        <v>8.1722276300000001</v>
      </c>
      <c r="AE13" s="639">
        <v>8.0734267099999997</v>
      </c>
      <c r="AF13" s="639">
        <v>8.2065346699999999</v>
      </c>
      <c r="AG13" s="639">
        <v>8.8711795200000001</v>
      </c>
      <c r="AH13" s="639">
        <v>8.30218934</v>
      </c>
      <c r="AI13" s="639">
        <v>8.2979213500000011</v>
      </c>
      <c r="AJ13" s="639">
        <v>8.1013510399999991</v>
      </c>
      <c r="AK13" s="639">
        <v>20.627401850000002</v>
      </c>
      <c r="AL13" s="639">
        <v>23.194922470000002</v>
      </c>
      <c r="AM13" s="639">
        <v>19.90441899</v>
      </c>
      <c r="AN13" s="639">
        <v>13.163477129999999</v>
      </c>
      <c r="AO13" s="639">
        <v>13.416103699999999</v>
      </c>
      <c r="AP13" s="639">
        <v>13.205179729999999</v>
      </c>
      <c r="AQ13" s="639">
        <v>12.768704100000001</v>
      </c>
      <c r="AR13" s="639">
        <v>13.140022990000002</v>
      </c>
      <c r="AS13" s="639">
        <v>0.15270802999999999</v>
      </c>
      <c r="AT13" s="639">
        <v>0.36757821000000002</v>
      </c>
      <c r="AU13" s="639">
        <v>0.61966862</v>
      </c>
      <c r="AV13" s="639">
        <v>0.93228266999999998</v>
      </c>
      <c r="AW13" s="639">
        <v>0.87204466999999997</v>
      </c>
      <c r="AX13" s="639">
        <v>0.88605076999999999</v>
      </c>
      <c r="AY13" s="639">
        <v>0.9394104900000001</v>
      </c>
      <c r="AZ13" s="639">
        <v>0.70028387000000003</v>
      </c>
      <c r="BA13" s="639">
        <v>0.77639049999999998</v>
      </c>
      <c r="BB13" s="639">
        <v>140.49145525999998</v>
      </c>
      <c r="BC13" s="639">
        <v>140.44904</v>
      </c>
      <c r="BD13" s="639">
        <v>140.457292</v>
      </c>
      <c r="BE13" s="639">
        <v>0.88446800000000003</v>
      </c>
      <c r="BF13" s="639">
        <v>0.85050000000000003</v>
      </c>
      <c r="BG13" s="639">
        <v>0.85009999999999997</v>
      </c>
      <c r="BH13" s="639">
        <v>0.85009999999999997</v>
      </c>
      <c r="BI13" s="799">
        <v>98.850049999999996</v>
      </c>
      <c r="BJ13" s="815">
        <v>0.816048</v>
      </c>
      <c r="BK13" s="815">
        <v>0.816048</v>
      </c>
      <c r="BL13" s="815">
        <v>0.85246633000000005</v>
      </c>
      <c r="BM13" s="815">
        <v>0.81599706000000005</v>
      </c>
      <c r="BN13" s="815">
        <v>0.81599706000000005</v>
      </c>
      <c r="BO13" s="815">
        <v>0.81599706000000005</v>
      </c>
      <c r="BP13" s="815">
        <v>1.0359970600000001</v>
      </c>
      <c r="BQ13" s="815">
        <v>0.81599706000000005</v>
      </c>
      <c r="BR13" s="815">
        <v>0.88701006000000016</v>
      </c>
      <c r="BS13" s="815">
        <v>0.88659006000000007</v>
      </c>
      <c r="BT13" s="815">
        <v>0.86796406000000015</v>
      </c>
      <c r="BU13" s="815">
        <v>0.87556606000000015</v>
      </c>
      <c r="BV13" s="815">
        <v>0.81627306000000011</v>
      </c>
      <c r="BW13" s="815">
        <v>0.81599706000000005</v>
      </c>
      <c r="BX13" s="815">
        <v>0.81599706000000005</v>
      </c>
      <c r="BY13" s="815">
        <v>0.85869706000000001</v>
      </c>
      <c r="BZ13" s="815">
        <v>5.3198520600000005</v>
      </c>
      <c r="CA13" s="815">
        <v>6.1031830400000002</v>
      </c>
      <c r="CB13" s="815">
        <v>5.9651149399999994</v>
      </c>
      <c r="CC13" s="815">
        <v>5.5109333500000002</v>
      </c>
      <c r="CD13" s="815">
        <v>3.3473536199999998</v>
      </c>
      <c r="CE13" s="815">
        <v>5.0256536199999999</v>
      </c>
      <c r="CF13" s="815">
        <v>4.7232755800000001</v>
      </c>
      <c r="CG13" s="815">
        <v>4.41426593</v>
      </c>
      <c r="CH13" s="815">
        <v>12.232467199999999</v>
      </c>
      <c r="CI13" s="815">
        <v>12.26686754</v>
      </c>
      <c r="CJ13" s="815">
        <v>14.979392259999999</v>
      </c>
      <c r="CK13" s="815">
        <v>12.536416449999999</v>
      </c>
      <c r="CL13" s="815">
        <v>11.443610749999999</v>
      </c>
      <c r="CM13" s="815">
        <v>10.408226000000001</v>
      </c>
      <c r="CN13" s="815">
        <v>9.8113780399999992</v>
      </c>
      <c r="CO13" s="815">
        <v>17.626181409999997</v>
      </c>
      <c r="CP13" s="815">
        <v>17.67343782</v>
      </c>
      <c r="CQ13" s="815">
        <v>8.2604716099999997</v>
      </c>
      <c r="CR13" s="815">
        <v>8.3248418300000004</v>
      </c>
      <c r="CS13" s="815">
        <v>8.4334663400000007</v>
      </c>
      <c r="CT13" s="815">
        <v>15.77184445</v>
      </c>
      <c r="CU13" s="815">
        <v>9.1074707099999994</v>
      </c>
      <c r="CV13" s="815">
        <v>9.3147063299999999</v>
      </c>
      <c r="CW13" s="815">
        <v>10.324791579999999</v>
      </c>
      <c r="CX13" s="815">
        <v>10.417638459999999</v>
      </c>
      <c r="CY13" s="815">
        <v>9.91790007</v>
      </c>
      <c r="CZ13" s="815">
        <v>9.9598734800000006</v>
      </c>
      <c r="DA13" s="815">
        <v>10.232001350000001</v>
      </c>
      <c r="DB13" s="815">
        <v>17.563568650000001</v>
      </c>
      <c r="DC13" s="815">
        <v>19.262387579999999</v>
      </c>
      <c r="DD13" s="815">
        <v>19.288741219999999</v>
      </c>
      <c r="DE13" s="815">
        <v>21.14849049</v>
      </c>
      <c r="DF13" s="815">
        <v>20.29505172</v>
      </c>
      <c r="DG13" s="815">
        <v>13.45003333</v>
      </c>
      <c r="DH13" s="815">
        <v>13.11406302</v>
      </c>
      <c r="DI13" s="815">
        <v>5.3825272899999996</v>
      </c>
      <c r="DJ13" s="815">
        <v>8.1184653699999991</v>
      </c>
      <c r="DK13" s="815">
        <v>8.0094093300000004</v>
      </c>
      <c r="DL13" s="815">
        <v>19.88551245</v>
      </c>
      <c r="DM13" s="815">
        <v>20.127247010000001</v>
      </c>
      <c r="DN13" s="815">
        <v>6.3009873599999997</v>
      </c>
      <c r="DO13" s="815">
        <v>9.0571378800000009</v>
      </c>
      <c r="DP13" s="815">
        <v>8.6594223199999991</v>
      </c>
      <c r="DQ13" s="815">
        <v>7.3743855900000002</v>
      </c>
      <c r="DR13" s="815">
        <v>9.0760900200000005</v>
      </c>
      <c r="DS13" s="815">
        <v>9.2034101800000006</v>
      </c>
      <c r="DT13" s="815">
        <v>5.9431387300000003</v>
      </c>
      <c r="DU13" s="815">
        <v>4.3075684799999996</v>
      </c>
      <c r="DV13" s="815">
        <v>8.8378806999999995</v>
      </c>
      <c r="DW13" s="815">
        <v>14.731244050000001</v>
      </c>
      <c r="DX13" s="815">
        <v>17.696043979999999</v>
      </c>
      <c r="DY13" s="815">
        <v>12.80248913</v>
      </c>
      <c r="DZ13" s="815">
        <v>14.69115274</v>
      </c>
      <c r="EA13" s="815">
        <v>13.673789230000001</v>
      </c>
      <c r="EB13" s="815">
        <v>8.8868704600000008</v>
      </c>
      <c r="EC13" s="815">
        <v>9.4180778699999994</v>
      </c>
      <c r="ED13" s="815">
        <v>11.325291529999999</v>
      </c>
      <c r="EE13" s="815">
        <v>6.5081812899999996</v>
      </c>
      <c r="EF13" s="815">
        <v>6.3179737400000002</v>
      </c>
      <c r="EG13" s="815">
        <v>9.92933384</v>
      </c>
      <c r="EH13" s="815">
        <v>11.282580360000001</v>
      </c>
      <c r="EI13" s="815">
        <v>10.99527503</v>
      </c>
      <c r="EJ13" s="815">
        <v>9.8434596400000007</v>
      </c>
      <c r="EK13" s="815">
        <v>10.830849929999999</v>
      </c>
      <c r="EL13" s="815">
        <v>20.87744738</v>
      </c>
      <c r="EM13" s="815">
        <v>19.558145079999999</v>
      </c>
      <c r="EN13" s="815">
        <v>10.739294299999999</v>
      </c>
      <c r="EO13" s="815">
        <v>10.1630182</v>
      </c>
      <c r="EP13" s="815">
        <v>11.137748290000001</v>
      </c>
      <c r="EQ13" s="815">
        <v>10.06589831</v>
      </c>
      <c r="ER13" s="815">
        <v>15.111576919999999</v>
      </c>
      <c r="ES13" s="815">
        <v>15.48235629</v>
      </c>
      <c r="ET13" s="815">
        <v>14.96607511</v>
      </c>
      <c r="EU13" s="815">
        <v>12.729306169999999</v>
      </c>
      <c r="EV13" s="815">
        <v>13.00092976</v>
      </c>
      <c r="EW13" s="815">
        <v>14.520580170000001</v>
      </c>
      <c r="EX13" s="815">
        <v>14.719490710000001</v>
      </c>
      <c r="EY13" s="815">
        <v>13.877123640000001</v>
      </c>
      <c r="EZ13" s="815">
        <v>13.050541600000001</v>
      </c>
      <c r="FA13" s="815">
        <v>14.259606270000001</v>
      </c>
      <c r="FB13" s="815">
        <v>13.897429259999999</v>
      </c>
      <c r="FC13" s="815">
        <v>13.098313490000001</v>
      </c>
      <c r="FD13" s="815">
        <v>12.82756563</v>
      </c>
      <c r="FE13" s="815">
        <v>20.261150919999999</v>
      </c>
      <c r="FF13" s="815">
        <v>21.78553814</v>
      </c>
      <c r="FG13" s="815">
        <v>24.726682449999998</v>
      </c>
      <c r="FH13" s="815">
        <v>24.909810419999999</v>
      </c>
      <c r="FI13" s="1710" t="s">
        <v>4064</v>
      </c>
    </row>
    <row r="14" spans="1:165" ht="21">
      <c r="A14" s="1723" t="s">
        <v>1961</v>
      </c>
      <c r="B14" s="804">
        <v>0</v>
      </c>
      <c r="C14" s="640">
        <v>2.7385004300000002</v>
      </c>
      <c r="D14" s="640">
        <v>2.6726596000000002</v>
      </c>
      <c r="E14" s="640">
        <v>2.7278809399999999</v>
      </c>
      <c r="F14" s="640">
        <v>2.8654030399999999</v>
      </c>
      <c r="G14" s="640">
        <v>32.72177473</v>
      </c>
      <c r="H14" s="640">
        <v>33.655512889999997</v>
      </c>
      <c r="I14" s="640">
        <v>33.650943060000003</v>
      </c>
      <c r="J14" s="640">
        <v>83.723708830000007</v>
      </c>
      <c r="K14" s="640">
        <v>23.78030442</v>
      </c>
      <c r="L14" s="640">
        <v>23.753940010000001</v>
      </c>
      <c r="M14" s="641">
        <v>13.789444079999999</v>
      </c>
      <c r="N14" s="641">
        <v>14.63156671</v>
      </c>
      <c r="O14" s="641">
        <v>14.68387617</v>
      </c>
      <c r="P14" s="641">
        <v>14.70000492</v>
      </c>
      <c r="Q14" s="641">
        <v>9.7204927899999998</v>
      </c>
      <c r="R14" s="641">
        <v>46.702109489999998</v>
      </c>
      <c r="S14" s="641">
        <v>4.66469603</v>
      </c>
      <c r="T14" s="641">
        <v>5.4504879500000003</v>
      </c>
      <c r="U14" s="641">
        <v>5.3634673600000005</v>
      </c>
      <c r="V14" s="641">
        <v>5.1646304599999997</v>
      </c>
      <c r="W14" s="641">
        <v>5.1216602500000006</v>
      </c>
      <c r="X14" s="641">
        <v>5.1216602500000006</v>
      </c>
      <c r="Y14" s="641">
        <v>4.9400510800000008</v>
      </c>
      <c r="Z14" s="641">
        <v>4.9400510800000008</v>
      </c>
      <c r="AA14" s="641">
        <v>5.3302484000000003</v>
      </c>
      <c r="AB14" s="641">
        <v>7.0609506200000007</v>
      </c>
      <c r="AC14" s="641">
        <v>6.9243017</v>
      </c>
      <c r="AD14" s="641">
        <v>7.1201833799999994</v>
      </c>
      <c r="AE14" s="641">
        <v>7.0290342199999998</v>
      </c>
      <c r="AF14" s="641">
        <v>7.1699508499999993</v>
      </c>
      <c r="AG14" s="641">
        <v>7.9315527599999998</v>
      </c>
      <c r="AH14" s="641">
        <v>8.1318709200000008</v>
      </c>
      <c r="AI14" s="641">
        <v>8.134775320000001</v>
      </c>
      <c r="AJ14" s="641">
        <v>7.9454957799999999</v>
      </c>
      <c r="AK14" s="641">
        <v>20.48154809</v>
      </c>
      <c r="AL14" s="641">
        <v>23.04907021</v>
      </c>
      <c r="AM14" s="641">
        <v>19.688568229999998</v>
      </c>
      <c r="AN14" s="641">
        <v>12.94840187</v>
      </c>
      <c r="AO14" s="641">
        <v>13.201789939999999</v>
      </c>
      <c r="AP14" s="641">
        <v>12.990761529999999</v>
      </c>
      <c r="AQ14" s="641">
        <v>12.5550879</v>
      </c>
      <c r="AR14" s="641">
        <v>12.927557520000002</v>
      </c>
      <c r="AS14" s="641">
        <v>1.0605599999999999E-3</v>
      </c>
      <c r="AT14" s="641">
        <v>0.26570658000000003</v>
      </c>
      <c r="AU14" s="641">
        <v>0.51981456000000004</v>
      </c>
      <c r="AV14" s="641">
        <v>0.52525555999999995</v>
      </c>
      <c r="AW14" s="641">
        <v>0.27815255999999999</v>
      </c>
      <c r="AX14" s="641">
        <v>0.28437756000000003</v>
      </c>
      <c r="AY14" s="641">
        <v>0.30770656000000002</v>
      </c>
      <c r="AZ14" s="641">
        <v>0.28066756000000004</v>
      </c>
      <c r="BA14" s="641">
        <v>0.55287655999999996</v>
      </c>
      <c r="BB14" s="641">
        <v>139.60606955999998</v>
      </c>
      <c r="BC14" s="641">
        <v>139.56400281999998</v>
      </c>
      <c r="BD14" s="641">
        <v>139.57230793000002</v>
      </c>
      <c r="BE14" s="641">
        <v>0</v>
      </c>
      <c r="BF14" s="641">
        <v>0</v>
      </c>
      <c r="BG14" s="641">
        <v>0</v>
      </c>
      <c r="BH14" s="641">
        <v>0</v>
      </c>
      <c r="BI14" s="800">
        <v>98</v>
      </c>
      <c r="BJ14" s="816">
        <v>0</v>
      </c>
      <c r="BK14" s="816">
        <v>0</v>
      </c>
      <c r="BL14" s="816">
        <v>3.6421269999999999E-2</v>
      </c>
      <c r="BM14" s="816">
        <v>0</v>
      </c>
      <c r="BN14" s="816">
        <v>0</v>
      </c>
      <c r="BO14" s="816">
        <v>0</v>
      </c>
      <c r="BP14" s="816">
        <v>0</v>
      </c>
      <c r="BQ14" s="816">
        <v>0</v>
      </c>
      <c r="BR14" s="816">
        <v>0</v>
      </c>
      <c r="BS14" s="816">
        <v>0</v>
      </c>
      <c r="BT14" s="816">
        <v>0</v>
      </c>
      <c r="BU14" s="816">
        <v>0</v>
      </c>
      <c r="BV14" s="816">
        <v>0</v>
      </c>
      <c r="BW14" s="816">
        <v>0</v>
      </c>
      <c r="BX14" s="816">
        <v>0</v>
      </c>
      <c r="BY14" s="816">
        <v>0</v>
      </c>
      <c r="BZ14" s="816">
        <v>0</v>
      </c>
      <c r="CA14" s="816">
        <v>0</v>
      </c>
      <c r="CB14" s="816">
        <v>0</v>
      </c>
      <c r="CC14" s="816">
        <v>0</v>
      </c>
      <c r="CD14" s="816">
        <v>0</v>
      </c>
      <c r="CE14" s="816">
        <v>0</v>
      </c>
      <c r="CF14" s="816">
        <v>0</v>
      </c>
      <c r="CG14" s="816">
        <v>0</v>
      </c>
      <c r="CH14" s="816">
        <v>0</v>
      </c>
      <c r="CI14" s="816">
        <v>0</v>
      </c>
      <c r="CJ14" s="816">
        <v>0</v>
      </c>
      <c r="CK14" s="816">
        <v>0</v>
      </c>
      <c r="CL14" s="816">
        <v>0</v>
      </c>
      <c r="CM14" s="816">
        <v>0</v>
      </c>
      <c r="CN14" s="816">
        <v>0</v>
      </c>
      <c r="CO14" s="816">
        <v>0</v>
      </c>
      <c r="CP14" s="816">
        <v>0</v>
      </c>
      <c r="CQ14" s="816">
        <v>0</v>
      </c>
      <c r="CR14" s="816">
        <v>0</v>
      </c>
      <c r="CS14" s="816">
        <v>8.0620499999999994E-3</v>
      </c>
      <c r="CT14" s="816">
        <v>8.0620499999999994E-3</v>
      </c>
      <c r="CU14" s="816">
        <v>3.6393100000000002E-3</v>
      </c>
      <c r="CV14" s="816">
        <v>0</v>
      </c>
      <c r="CW14" s="816">
        <v>0</v>
      </c>
      <c r="CX14" s="816">
        <v>0</v>
      </c>
      <c r="CY14" s="816">
        <v>0</v>
      </c>
      <c r="CZ14" s="816">
        <v>0</v>
      </c>
      <c r="DA14" s="816">
        <v>0</v>
      </c>
      <c r="DB14" s="816">
        <v>0</v>
      </c>
      <c r="DC14" s="816">
        <v>0</v>
      </c>
      <c r="DD14" s="816">
        <v>0</v>
      </c>
      <c r="DE14" s="816">
        <v>0</v>
      </c>
      <c r="DF14" s="816">
        <v>0.3</v>
      </c>
      <c r="DG14" s="816">
        <v>0.3</v>
      </c>
      <c r="DH14" s="816">
        <v>0.26794900999999999</v>
      </c>
      <c r="DI14" s="816">
        <v>0.23551254999999999</v>
      </c>
      <c r="DJ14" s="816">
        <v>0.20277876</v>
      </c>
      <c r="DK14" s="816">
        <v>0.16993079</v>
      </c>
      <c r="DL14" s="816">
        <v>0.13644006</v>
      </c>
      <c r="DM14" s="816">
        <v>0.1027981</v>
      </c>
      <c r="DN14" s="816">
        <v>6.8847759999999994E-2</v>
      </c>
      <c r="DO14" s="816">
        <v>0</v>
      </c>
      <c r="DP14" s="816">
        <v>0</v>
      </c>
      <c r="DQ14" s="816">
        <v>0</v>
      </c>
      <c r="DR14" s="816">
        <v>0.02</v>
      </c>
      <c r="DS14" s="816">
        <v>1.8509680000000001E-2</v>
      </c>
      <c r="DT14" s="816">
        <v>1.6948350000000001E-2</v>
      </c>
      <c r="DU14" s="816">
        <v>1.544062E-2</v>
      </c>
      <c r="DV14" s="816">
        <v>1.382917E-2</v>
      </c>
      <c r="DW14" s="816">
        <v>1.2183329999999999E-2</v>
      </c>
      <c r="DX14" s="816">
        <v>1.052578E-2</v>
      </c>
      <c r="DY14" s="816">
        <v>0</v>
      </c>
      <c r="DZ14" s="816">
        <v>0</v>
      </c>
      <c r="EA14" s="816">
        <v>0.05</v>
      </c>
      <c r="EB14" s="816">
        <v>4.6183589999999997E-2</v>
      </c>
      <c r="EC14" s="816">
        <v>4.222654E-2</v>
      </c>
      <c r="ED14" s="816">
        <v>8.8257409999999994E-2</v>
      </c>
      <c r="EE14" s="816">
        <v>8.0001970000000006E-2</v>
      </c>
      <c r="EF14" s="816">
        <v>7.2098889999999999E-2</v>
      </c>
      <c r="EG14" s="816">
        <v>6.4091480000000006E-2</v>
      </c>
      <c r="EH14" s="816">
        <v>5.5974290000000003E-2</v>
      </c>
      <c r="EI14" s="816">
        <v>4.7741199999999998E-2</v>
      </c>
      <c r="EJ14" s="816">
        <v>3.933917E-2</v>
      </c>
      <c r="EK14" s="816">
        <v>1.5037980099999999</v>
      </c>
      <c r="EL14" s="816">
        <v>2.0044250400000001</v>
      </c>
      <c r="EM14" s="816">
        <v>2</v>
      </c>
      <c r="EN14" s="816">
        <v>2.0299999999999998</v>
      </c>
      <c r="EO14" s="816">
        <v>2.0299999999999998</v>
      </c>
      <c r="EP14" s="816">
        <v>1.8875766100000002</v>
      </c>
      <c r="EQ14" s="816">
        <v>2.558941E-2</v>
      </c>
      <c r="ER14" s="816">
        <v>2.0232268699999998</v>
      </c>
      <c r="ES14" s="816">
        <v>2.0208365399999999</v>
      </c>
      <c r="ET14" s="816">
        <v>2.0183786700000002</v>
      </c>
      <c r="EU14" s="816">
        <v>2.0159113899999999</v>
      </c>
      <c r="EV14" s="816">
        <v>2.0133609300000002</v>
      </c>
      <c r="EW14" s="816">
        <v>1.7264232900000001</v>
      </c>
      <c r="EX14" s="816">
        <v>1.72354919</v>
      </c>
      <c r="EY14" s="816">
        <v>1.38562948</v>
      </c>
      <c r="EZ14" s="816">
        <v>1.3803066900000001</v>
      </c>
      <c r="FA14" s="816">
        <v>1.3803066900000001</v>
      </c>
      <c r="FB14" s="816">
        <v>1.09476157</v>
      </c>
      <c r="FC14" s="816">
        <v>0.45703173000000002</v>
      </c>
      <c r="FD14" s="816">
        <v>2.5</v>
      </c>
      <c r="FE14" s="816">
        <v>2.5</v>
      </c>
      <c r="FF14" s="816">
        <v>2.5</v>
      </c>
      <c r="FG14" s="816">
        <v>2.5</v>
      </c>
      <c r="FH14" s="816">
        <v>2.4999990900000002</v>
      </c>
      <c r="FI14" s="1712" t="s">
        <v>4067</v>
      </c>
    </row>
    <row r="15" spans="1:165" ht="21">
      <c r="A15" s="1723" t="s">
        <v>1962</v>
      </c>
      <c r="B15" s="804">
        <f>+B13-B14</f>
        <v>2.8740968499999999</v>
      </c>
      <c r="C15" s="640">
        <f t="shared" ref="C15:T15" si="4">+C13-C14</f>
        <v>2.9386658699999995</v>
      </c>
      <c r="D15" s="640">
        <f t="shared" si="4"/>
        <v>2.9564435500000004</v>
      </c>
      <c r="E15" s="640">
        <f t="shared" si="4"/>
        <v>2.9489027399999999</v>
      </c>
      <c r="F15" s="640">
        <f t="shared" si="4"/>
        <v>0.1721965299999999</v>
      </c>
      <c r="G15" s="640">
        <f t="shared" si="4"/>
        <v>2.8666484000000025</v>
      </c>
      <c r="H15" s="640">
        <f t="shared" si="4"/>
        <v>3.9411315799999969</v>
      </c>
      <c r="I15" s="640">
        <f t="shared" si="4"/>
        <v>3.9810313500000021</v>
      </c>
      <c r="J15" s="640">
        <f t="shared" si="4"/>
        <v>3.9723892800000016</v>
      </c>
      <c r="K15" s="640">
        <f t="shared" si="4"/>
        <v>4.0718844499999989</v>
      </c>
      <c r="L15" s="640">
        <f t="shared" si="4"/>
        <v>4.0697636000000017</v>
      </c>
      <c r="M15" s="641">
        <f t="shared" si="4"/>
        <v>4.0659393299999991</v>
      </c>
      <c r="N15" s="641">
        <f t="shared" si="4"/>
        <v>4.0781581500000019</v>
      </c>
      <c r="O15" s="641">
        <f t="shared" si="4"/>
        <v>4.0731068399999995</v>
      </c>
      <c r="P15" s="641">
        <f t="shared" si="4"/>
        <v>4.0782682900000022</v>
      </c>
      <c r="Q15" s="641">
        <f t="shared" si="4"/>
        <v>4.1463052600000001</v>
      </c>
      <c r="R15" s="641">
        <f t="shared" si="4"/>
        <v>0.64185279000000151</v>
      </c>
      <c r="S15" s="641">
        <f t="shared" si="4"/>
        <v>0.11346225000000043</v>
      </c>
      <c r="T15" s="641">
        <f t="shared" si="4"/>
        <v>0.10800573000000036</v>
      </c>
      <c r="U15" s="641">
        <f>+U13-U14</f>
        <v>8.6851250000000491E-2</v>
      </c>
      <c r="V15" s="641">
        <f>+V13-V14</f>
        <v>8.4195779999999942E-2</v>
      </c>
      <c r="W15" s="641">
        <v>0.16026555000000009</v>
      </c>
      <c r="X15" s="641">
        <v>0.16026555000000009</v>
      </c>
      <c r="Y15" s="641">
        <v>0.26451961999999973</v>
      </c>
      <c r="Z15" s="641">
        <v>0.26451961999999973</v>
      </c>
      <c r="AA15" s="641">
        <v>0.22676995000000044</v>
      </c>
      <c r="AB15" s="641">
        <v>0.21844049999999982</v>
      </c>
      <c r="AC15" s="641">
        <v>0.20857022999999941</v>
      </c>
      <c r="AD15" s="641">
        <v>1.0520442500000007</v>
      </c>
      <c r="AE15" s="641">
        <v>1.0443924899999999</v>
      </c>
      <c r="AF15" s="641">
        <v>1.0365838200000006</v>
      </c>
      <c r="AG15" s="641">
        <v>0.93962676000000034</v>
      </c>
      <c r="AH15" s="641">
        <v>0.17031841999999919</v>
      </c>
      <c r="AI15" s="641">
        <f>+AI13-AI14</f>
        <v>0.16314603000000005</v>
      </c>
      <c r="AJ15" s="641">
        <v>0.15585525999999916</v>
      </c>
      <c r="AK15" s="641">
        <f>+AK13-AK14</f>
        <v>0.14585376000000139</v>
      </c>
      <c r="AL15" s="641">
        <f>+AL13-AL14</f>
        <v>0.14585226000000162</v>
      </c>
      <c r="AM15" s="641">
        <v>0.21585076000000214</v>
      </c>
      <c r="AN15" s="641">
        <f>+AN13-AN14</f>
        <v>0.21507525999999899</v>
      </c>
      <c r="AO15" s="641">
        <f>+AO13-AO14</f>
        <v>0.21431375999999958</v>
      </c>
      <c r="AP15" s="641">
        <f>+AP13-AP14</f>
        <v>0.21441820000000078</v>
      </c>
      <c r="AQ15" s="641">
        <f>+AQ13-AQ14</f>
        <v>0.21361620000000059</v>
      </c>
      <c r="AR15" s="641">
        <v>0.21246546999999971</v>
      </c>
      <c r="AS15" s="641">
        <f>+AS13-AS14</f>
        <v>0.15164747000000001</v>
      </c>
      <c r="AT15" s="641">
        <f>+AT13-AT14</f>
        <v>0.10187162999999999</v>
      </c>
      <c r="AU15" s="641">
        <f>+AU13-AU14</f>
        <v>9.9854059999999967E-2</v>
      </c>
      <c r="AV15" s="641">
        <v>0.40702711000000003</v>
      </c>
      <c r="AW15" s="641">
        <v>0.59389210999999997</v>
      </c>
      <c r="AX15" s="641">
        <v>0.60167320999999996</v>
      </c>
      <c r="AY15" s="641">
        <v>0.63170393000000002</v>
      </c>
      <c r="AZ15" s="641">
        <v>0.41961630999999999</v>
      </c>
      <c r="BA15" s="641">
        <v>0.22351394000000002</v>
      </c>
      <c r="BB15" s="641">
        <v>0.8853857000000005</v>
      </c>
      <c r="BC15" s="641">
        <v>0.88503718000001186</v>
      </c>
      <c r="BD15" s="641">
        <v>0.88498406999997314</v>
      </c>
      <c r="BE15" s="641">
        <f>+BE13-BE14</f>
        <v>0.88446800000000003</v>
      </c>
      <c r="BF15" s="641">
        <v>0.85050000000000003</v>
      </c>
      <c r="BG15" s="641">
        <v>0.85009999999999997</v>
      </c>
      <c r="BH15" s="641">
        <v>0.85009999999999997</v>
      </c>
      <c r="BI15" s="800">
        <v>0.85004999999999598</v>
      </c>
      <c r="BJ15" s="816">
        <v>0.816048</v>
      </c>
      <c r="BK15" s="816">
        <f>+BK13-BK14</f>
        <v>0.816048</v>
      </c>
      <c r="BL15" s="816">
        <v>0.8160450600000001</v>
      </c>
      <c r="BM15" s="816">
        <v>0.81599706000000005</v>
      </c>
      <c r="BN15" s="816">
        <v>0.81599706000000005</v>
      </c>
      <c r="BO15" s="816">
        <v>0.81599706000000005</v>
      </c>
      <c r="BP15" s="816">
        <v>1.0359970600000001</v>
      </c>
      <c r="BQ15" s="816">
        <v>0.81599706000000005</v>
      </c>
      <c r="BR15" s="816">
        <v>0.88701006000000016</v>
      </c>
      <c r="BS15" s="816">
        <v>0.88659006000000007</v>
      </c>
      <c r="BT15" s="816">
        <v>0.86796406000000015</v>
      </c>
      <c r="BU15" s="816">
        <v>0.87556606000000015</v>
      </c>
      <c r="BV15" s="816">
        <v>0.81627306000000011</v>
      </c>
      <c r="BW15" s="816">
        <v>0.81599706000000005</v>
      </c>
      <c r="BX15" s="816">
        <v>0.81599706000000005</v>
      </c>
      <c r="BY15" s="816">
        <v>0.85869706000000001</v>
      </c>
      <c r="BZ15" s="816">
        <v>5.3198520600000005</v>
      </c>
      <c r="CA15" s="816">
        <v>6.1031830400000002</v>
      </c>
      <c r="CB15" s="816">
        <v>5.9651149399999994</v>
      </c>
      <c r="CC15" s="816">
        <v>5.5109333500000002</v>
      </c>
      <c r="CD15" s="816">
        <v>3.3473536199999998</v>
      </c>
      <c r="CE15" s="816">
        <v>5.0256536199999999</v>
      </c>
      <c r="CF15" s="816">
        <f t="shared" ref="CF15:CP15" si="5">+CF13-CF14</f>
        <v>4.7232755800000001</v>
      </c>
      <c r="CG15" s="816">
        <f t="shared" si="5"/>
        <v>4.41426593</v>
      </c>
      <c r="CH15" s="816">
        <f t="shared" si="5"/>
        <v>12.232467199999999</v>
      </c>
      <c r="CI15" s="816">
        <f t="shared" si="5"/>
        <v>12.26686754</v>
      </c>
      <c r="CJ15" s="816">
        <f t="shared" si="5"/>
        <v>14.979392259999999</v>
      </c>
      <c r="CK15" s="816">
        <f t="shared" si="5"/>
        <v>12.536416449999999</v>
      </c>
      <c r="CL15" s="816">
        <f t="shared" si="5"/>
        <v>11.443610749999999</v>
      </c>
      <c r="CM15" s="816">
        <f t="shared" si="5"/>
        <v>10.408226000000001</v>
      </c>
      <c r="CN15" s="816">
        <f t="shared" si="5"/>
        <v>9.8113780399999992</v>
      </c>
      <c r="CO15" s="816">
        <f t="shared" si="5"/>
        <v>17.626181409999997</v>
      </c>
      <c r="CP15" s="816">
        <f t="shared" si="5"/>
        <v>17.67343782</v>
      </c>
      <c r="CQ15" s="816">
        <f>+CQ13-CQ14</f>
        <v>8.2604716099999997</v>
      </c>
      <c r="CR15" s="816">
        <f>+CR13-CR14</f>
        <v>8.3248418300000004</v>
      </c>
      <c r="CS15" s="816">
        <f>+CS13-CS14</f>
        <v>8.4254042900000012</v>
      </c>
      <c r="CT15" s="816">
        <f>+CT13-CT14</f>
        <v>15.7637824</v>
      </c>
      <c r="CU15" s="816">
        <v>9.1038313999999989</v>
      </c>
      <c r="CV15" s="816">
        <f>+CV13-CV14</f>
        <v>9.3147063299999999</v>
      </c>
      <c r="CW15" s="816">
        <v>10.324791579999999</v>
      </c>
      <c r="CX15" s="816">
        <v>10.417638459999999</v>
      </c>
      <c r="CY15" s="816">
        <v>9.91790007</v>
      </c>
      <c r="CZ15" s="816">
        <v>9.9598734800000006</v>
      </c>
      <c r="DA15" s="816">
        <v>10.232001350000001</v>
      </c>
      <c r="DB15" s="816">
        <v>17.563568650000001</v>
      </c>
      <c r="DC15" s="816">
        <v>19.262387579999999</v>
      </c>
      <c r="DD15" s="816">
        <f>DD13-DD14</f>
        <v>19.288741219999999</v>
      </c>
      <c r="DE15" s="816">
        <v>21.14849049</v>
      </c>
      <c r="DF15" s="816">
        <v>19.995051719999999</v>
      </c>
      <c r="DG15" s="816">
        <v>13.150033329999999</v>
      </c>
      <c r="DH15" s="816">
        <f>DH13-DH14</f>
        <v>12.846114009999999</v>
      </c>
      <c r="DI15" s="816">
        <v>5.1470147399999995</v>
      </c>
      <c r="DJ15" s="816">
        <f>DJ13-DJ14</f>
        <v>7.915686609999999</v>
      </c>
      <c r="DK15" s="816">
        <v>7.83947854</v>
      </c>
      <c r="DL15" s="816">
        <v>19.749072389999998</v>
      </c>
      <c r="DM15" s="816">
        <v>20.02444891</v>
      </c>
      <c r="DN15" s="816">
        <v>6.2321396</v>
      </c>
      <c r="DO15" s="816">
        <f>DO13-DO14</f>
        <v>9.0571378800000009</v>
      </c>
      <c r="DP15" s="816">
        <f>DP13-DP14</f>
        <v>8.6594223199999991</v>
      </c>
      <c r="DQ15" s="816">
        <v>7.3743855900000002</v>
      </c>
      <c r="DR15" s="816">
        <f>DR13-DR14</f>
        <v>9.056090020000001</v>
      </c>
      <c r="DS15" s="816">
        <f>DS13-DS14</f>
        <v>9.1849005000000012</v>
      </c>
      <c r="DT15" s="816">
        <v>5.9261903800000004</v>
      </c>
      <c r="DU15" s="816">
        <v>4.2921278599999999</v>
      </c>
      <c r="DV15" s="816">
        <f>DV13-DV14</f>
        <v>8.8240515300000002</v>
      </c>
      <c r="DW15" s="816">
        <f>DW13-DW14</f>
        <v>14.719060720000002</v>
      </c>
      <c r="DX15" s="816">
        <v>17.685518200000001</v>
      </c>
      <c r="DY15" s="816">
        <v>12.80248913</v>
      </c>
      <c r="DZ15" s="816">
        <f>DZ13-DZ14</f>
        <v>14.69115274</v>
      </c>
      <c r="EA15" s="816">
        <f>EA13-EA14</f>
        <v>13.62378923</v>
      </c>
      <c r="EB15" s="816">
        <v>8.8406868700000008</v>
      </c>
      <c r="EC15" s="816">
        <v>9.3758513299999997</v>
      </c>
      <c r="ED15" s="816">
        <v>11.237034119999999</v>
      </c>
      <c r="EE15" s="816">
        <v>6.4281793199999999</v>
      </c>
      <c r="EF15" s="816">
        <v>6.2458748499999999</v>
      </c>
      <c r="EG15" s="816">
        <v>9.8652423599999999</v>
      </c>
      <c r="EH15" s="816">
        <v>11.226606070000001</v>
      </c>
      <c r="EI15" s="816">
        <v>10.947533829999999</v>
      </c>
      <c r="EJ15" s="816">
        <v>9.8041204700000009</v>
      </c>
      <c r="EK15" s="816">
        <f>EK13-EK14</f>
        <v>9.3270519199999988</v>
      </c>
      <c r="EL15" s="816">
        <v>18.873022339999999</v>
      </c>
      <c r="EM15" s="816">
        <v>17.558145079999999</v>
      </c>
      <c r="EN15" s="816">
        <v>8.7092942999999998</v>
      </c>
      <c r="EO15" s="816">
        <f>EO13-EO14</f>
        <v>8.1330182000000004</v>
      </c>
      <c r="EP15" s="816">
        <v>9.2501716800000011</v>
      </c>
      <c r="EQ15" s="816">
        <v>10.040308899999999</v>
      </c>
      <c r="ER15" s="816">
        <v>13.088350049999999</v>
      </c>
      <c r="ES15" s="816">
        <v>13.461519750000001</v>
      </c>
      <c r="ET15" s="816">
        <v>12.94769644</v>
      </c>
      <c r="EU15" s="816">
        <f t="shared" ref="EU15:EY15" si="6">EU13-EU14</f>
        <v>10.71339478</v>
      </c>
      <c r="EV15" s="816">
        <f t="shared" si="6"/>
        <v>10.987568830000001</v>
      </c>
      <c r="EW15" s="816">
        <f t="shared" si="6"/>
        <v>12.794156880000001</v>
      </c>
      <c r="EX15" s="816">
        <f t="shared" si="6"/>
        <v>12.995941520000001</v>
      </c>
      <c r="EY15" s="816">
        <f t="shared" si="6"/>
        <v>12.49149416</v>
      </c>
      <c r="EZ15" s="816">
        <v>11.670234910000001</v>
      </c>
      <c r="FA15" s="816">
        <v>12.879299580000001</v>
      </c>
      <c r="FB15" s="816">
        <v>12.80266769</v>
      </c>
      <c r="FC15" s="816">
        <v>12.64128176</v>
      </c>
      <c r="FD15" s="816">
        <v>10.32756563</v>
      </c>
      <c r="FE15" s="816">
        <v>17.761150919999999</v>
      </c>
      <c r="FF15" s="816">
        <v>19.28553814</v>
      </c>
      <c r="FG15" s="816">
        <f t="shared" ref="FG15:FH15" si="7">FG13-FG14</f>
        <v>22.226682449999998</v>
      </c>
      <c r="FH15" s="816">
        <f t="shared" si="7"/>
        <v>22.40981133</v>
      </c>
      <c r="FI15" s="1712" t="s">
        <v>4066</v>
      </c>
    </row>
    <row r="16" spans="1:165" ht="21">
      <c r="A16" s="1720"/>
      <c r="B16" s="803"/>
      <c r="C16" s="638"/>
      <c r="D16" s="638"/>
      <c r="E16" s="638"/>
      <c r="F16" s="638"/>
      <c r="G16" s="638"/>
      <c r="H16" s="638"/>
      <c r="I16" s="638"/>
      <c r="J16" s="638"/>
      <c r="K16" s="638"/>
      <c r="L16" s="638"/>
      <c r="M16" s="639"/>
      <c r="N16" s="639"/>
      <c r="O16" s="639"/>
      <c r="P16" s="639"/>
      <c r="Q16" s="639"/>
      <c r="R16" s="639"/>
      <c r="S16" s="639"/>
      <c r="T16" s="639"/>
      <c r="U16" s="639"/>
      <c r="V16" s="639"/>
      <c r="W16" s="639"/>
      <c r="X16" s="639"/>
      <c r="Y16" s="639"/>
      <c r="Z16" s="639"/>
      <c r="AA16" s="639"/>
      <c r="AB16" s="639"/>
      <c r="AC16" s="639"/>
      <c r="AD16" s="639"/>
      <c r="AE16" s="639"/>
      <c r="AF16" s="639"/>
      <c r="AG16" s="639"/>
      <c r="AH16" s="639"/>
      <c r="AI16" s="639"/>
      <c r="AJ16" s="639"/>
      <c r="AK16" s="639"/>
      <c r="AL16" s="639"/>
      <c r="AM16" s="639"/>
      <c r="AN16" s="639"/>
      <c r="AO16" s="639"/>
      <c r="AP16" s="639"/>
      <c r="AQ16" s="639"/>
      <c r="AR16" s="639"/>
      <c r="AS16" s="639"/>
      <c r="AT16" s="639"/>
      <c r="AU16" s="639"/>
      <c r="AV16" s="639"/>
      <c r="AW16" s="639"/>
      <c r="AX16" s="639"/>
      <c r="AY16" s="639"/>
      <c r="AZ16" s="639"/>
      <c r="BA16" s="639"/>
      <c r="BB16" s="639"/>
      <c r="BC16" s="639"/>
      <c r="BD16" s="639"/>
      <c r="BE16" s="639"/>
      <c r="BF16" s="639"/>
      <c r="BG16" s="639"/>
      <c r="BH16" s="639"/>
      <c r="BI16" s="799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5"/>
      <c r="CN16" s="815"/>
      <c r="CO16" s="815"/>
      <c r="CP16" s="815"/>
      <c r="CQ16" s="815"/>
      <c r="CR16" s="815"/>
      <c r="CS16" s="815"/>
      <c r="CT16" s="815"/>
      <c r="CU16" s="815"/>
      <c r="CV16" s="815"/>
      <c r="CW16" s="815"/>
      <c r="CX16" s="815"/>
      <c r="CY16" s="815"/>
      <c r="CZ16" s="815"/>
      <c r="DA16" s="815"/>
      <c r="DB16" s="815"/>
      <c r="DC16" s="815"/>
      <c r="DD16" s="815"/>
      <c r="DE16" s="815"/>
      <c r="DF16" s="815"/>
      <c r="DG16" s="815"/>
      <c r="DH16" s="815"/>
      <c r="DI16" s="815"/>
      <c r="DJ16" s="815"/>
      <c r="DK16" s="815"/>
      <c r="DL16" s="815"/>
      <c r="DM16" s="815"/>
      <c r="DN16" s="815"/>
      <c r="DO16" s="815"/>
      <c r="DP16" s="815"/>
      <c r="DQ16" s="815"/>
      <c r="DR16" s="815"/>
      <c r="DS16" s="815"/>
      <c r="DT16" s="815"/>
      <c r="DU16" s="815"/>
      <c r="DV16" s="815"/>
      <c r="DW16" s="815"/>
      <c r="DX16" s="815"/>
      <c r="DY16" s="815"/>
      <c r="DZ16" s="815"/>
      <c r="EA16" s="815"/>
      <c r="EB16" s="815"/>
      <c r="EC16" s="815"/>
      <c r="ED16" s="815"/>
      <c r="EE16" s="815"/>
      <c r="EF16" s="815"/>
      <c r="EG16" s="815"/>
      <c r="EH16" s="815"/>
      <c r="EI16" s="815"/>
      <c r="EJ16" s="815"/>
      <c r="EK16" s="815"/>
      <c r="EL16" s="815"/>
      <c r="EM16" s="815"/>
      <c r="EN16" s="815"/>
      <c r="EO16" s="815"/>
      <c r="EP16" s="815"/>
      <c r="EQ16" s="815"/>
      <c r="ER16" s="815"/>
      <c r="ES16" s="815"/>
      <c r="ET16" s="815"/>
      <c r="EU16" s="815"/>
      <c r="EV16" s="815"/>
      <c r="EW16" s="815"/>
      <c r="EX16" s="815"/>
      <c r="EY16" s="815"/>
      <c r="EZ16" s="815"/>
      <c r="FA16" s="815"/>
      <c r="FB16" s="815"/>
      <c r="FC16" s="815"/>
      <c r="FD16" s="815"/>
      <c r="FE16" s="815"/>
      <c r="FF16" s="815"/>
      <c r="FG16" s="815"/>
      <c r="FH16" s="815"/>
      <c r="FI16" s="1713"/>
    </row>
    <row r="17" spans="1:165" ht="21">
      <c r="A17" s="1744" t="s">
        <v>185</v>
      </c>
      <c r="B17" s="804">
        <v>2.8740968499999999</v>
      </c>
      <c r="C17" s="640">
        <v>2.9386658699999999</v>
      </c>
      <c r="D17" s="640">
        <v>2.9564435499999999</v>
      </c>
      <c r="E17" s="640">
        <v>2.9489027400000003</v>
      </c>
      <c r="F17" s="640">
        <v>0.32219652999999998</v>
      </c>
      <c r="G17" s="640">
        <v>32.866648400000003</v>
      </c>
      <c r="H17" s="640">
        <v>33.941131579999997</v>
      </c>
      <c r="I17" s="640">
        <v>33.981031350000002</v>
      </c>
      <c r="J17" s="640">
        <v>83.972389280000002</v>
      </c>
      <c r="K17" s="640">
        <v>24.071884449999999</v>
      </c>
      <c r="L17" s="640">
        <v>24.069763600000002</v>
      </c>
      <c r="M17" s="639">
        <v>14.065939329999999</v>
      </c>
      <c r="N17" s="641">
        <v>14.07815815</v>
      </c>
      <c r="O17" s="641">
        <v>14.073106839999999</v>
      </c>
      <c r="P17" s="641">
        <v>14.07826829</v>
      </c>
      <c r="Q17" s="641">
        <v>9.1463052600000001</v>
      </c>
      <c r="R17" s="641">
        <v>42.691471790000001</v>
      </c>
      <c r="S17" s="641">
        <v>0.11346225</v>
      </c>
      <c r="T17" s="641">
        <v>0.10800572999999999</v>
      </c>
      <c r="U17" s="641">
        <v>8.802625E-2</v>
      </c>
      <c r="V17" s="641">
        <v>8.4195779999999998E-2</v>
      </c>
      <c r="W17" s="641">
        <v>0.16035554999999999</v>
      </c>
      <c r="X17" s="641">
        <v>0.24299873999999999</v>
      </c>
      <c r="Y17" s="639">
        <v>0.26457962000000002</v>
      </c>
      <c r="Z17" s="641">
        <v>0.26457962000000002</v>
      </c>
      <c r="AA17" s="641">
        <v>0.22688995000000001</v>
      </c>
      <c r="AB17" s="639">
        <v>0.2187405</v>
      </c>
      <c r="AC17" s="639">
        <v>0.20887023000000002</v>
      </c>
      <c r="AD17" s="639">
        <v>0.20044687999999999</v>
      </c>
      <c r="AE17" s="639">
        <v>0.19370482</v>
      </c>
      <c r="AF17" s="639">
        <v>0.18688191000000001</v>
      </c>
      <c r="AG17" s="639">
        <v>0.17809070999999999</v>
      </c>
      <c r="AH17" s="639">
        <v>0.17103574999999999</v>
      </c>
      <c r="AI17" s="639">
        <v>0.16386485999999997</v>
      </c>
      <c r="AJ17" s="639">
        <v>0.15657558999999999</v>
      </c>
      <c r="AK17" s="639">
        <v>0.14657559000000001</v>
      </c>
      <c r="AL17" s="639">
        <v>0.14657559000000001</v>
      </c>
      <c r="AM17" s="639">
        <v>0.21657558999999998</v>
      </c>
      <c r="AN17" s="639">
        <v>0.21580158999999999</v>
      </c>
      <c r="AO17" s="639">
        <v>0.21504159</v>
      </c>
      <c r="AP17" s="639">
        <v>0.21514702999999999</v>
      </c>
      <c r="AQ17" s="639">
        <v>0.21434502999999999</v>
      </c>
      <c r="AR17" s="639">
        <v>0.21352603000000001</v>
      </c>
      <c r="AS17" s="639">
        <v>0.15270802999999999</v>
      </c>
      <c r="AT17" s="639">
        <v>0.10293319000000001</v>
      </c>
      <c r="AU17" s="639">
        <v>0.10091662</v>
      </c>
      <c r="AV17" s="639">
        <v>8.0470669999999994E-2</v>
      </c>
      <c r="AW17" s="639">
        <v>5.8098669999999998E-2</v>
      </c>
      <c r="AX17" s="639">
        <v>5.3821769999999998E-2</v>
      </c>
      <c r="AY17" s="639">
        <v>5.3795839999999998E-2</v>
      </c>
      <c r="AZ17" s="639">
        <v>5.3708870000000006E-2</v>
      </c>
      <c r="BA17" s="639">
        <v>5.2142500000000001E-2</v>
      </c>
      <c r="BB17" s="639">
        <v>1.15526E-3</v>
      </c>
      <c r="BC17" s="639">
        <v>0</v>
      </c>
      <c r="BD17" s="639">
        <v>0</v>
      </c>
      <c r="BE17" s="639">
        <v>0</v>
      </c>
      <c r="BF17" s="639">
        <v>0</v>
      </c>
      <c r="BG17" s="639">
        <v>0</v>
      </c>
      <c r="BH17" s="639">
        <v>0</v>
      </c>
      <c r="BI17" s="799">
        <v>98</v>
      </c>
      <c r="BJ17" s="815">
        <v>0</v>
      </c>
      <c r="BK17" s="815">
        <v>0</v>
      </c>
      <c r="BL17" s="815">
        <v>3.6421269999999999E-2</v>
      </c>
      <c r="BM17" s="815">
        <v>0</v>
      </c>
      <c r="BN17" s="815">
        <v>0</v>
      </c>
      <c r="BO17" s="815">
        <v>0</v>
      </c>
      <c r="BP17" s="815">
        <v>0.22</v>
      </c>
      <c r="BQ17" s="815">
        <v>0</v>
      </c>
      <c r="BR17" s="815">
        <v>0</v>
      </c>
      <c r="BS17" s="815">
        <v>0</v>
      </c>
      <c r="BT17" s="815">
        <v>5.2999999999999999E-2</v>
      </c>
      <c r="BU17" s="815">
        <v>0.06</v>
      </c>
      <c r="BV17" s="815">
        <v>0</v>
      </c>
      <c r="BW17" s="815">
        <v>0</v>
      </c>
      <c r="BX17" s="815">
        <v>0</v>
      </c>
      <c r="BY17" s="815">
        <v>4.2700000000000002E-2</v>
      </c>
      <c r="BZ17" s="815">
        <v>2.7526000000000002</v>
      </c>
      <c r="CA17" s="815">
        <v>3.3806359800000001</v>
      </c>
      <c r="CB17" s="815">
        <v>3.0725678799999998</v>
      </c>
      <c r="CC17" s="815">
        <v>2.6066149799999998</v>
      </c>
      <c r="CD17" s="815">
        <v>0.48499999999999999</v>
      </c>
      <c r="CE17" s="815">
        <v>1.825</v>
      </c>
      <c r="CF17" s="815">
        <v>1.7795585199999999</v>
      </c>
      <c r="CG17" s="815">
        <v>1.28561075</v>
      </c>
      <c r="CH17" s="815">
        <v>0.5605</v>
      </c>
      <c r="CI17" s="815">
        <v>0.44965034000000004</v>
      </c>
      <c r="CJ17" s="815">
        <v>0</v>
      </c>
      <c r="CK17" s="815">
        <v>0.03</v>
      </c>
      <c r="CL17" s="815">
        <v>0.61293882</v>
      </c>
      <c r="CM17" s="815">
        <v>0.102275</v>
      </c>
      <c r="CN17" s="815">
        <v>5.4274999999999997E-2</v>
      </c>
      <c r="CO17" s="815">
        <v>0.36679872999999996</v>
      </c>
      <c r="CP17" s="815">
        <v>0.83308603000000003</v>
      </c>
      <c r="CQ17" s="815">
        <v>0.47480538</v>
      </c>
      <c r="CR17" s="815">
        <v>0.57940265000000002</v>
      </c>
      <c r="CS17" s="815">
        <v>0.60308402000000005</v>
      </c>
      <c r="CT17" s="815">
        <v>0.60273133000000001</v>
      </c>
      <c r="CU17" s="815">
        <v>0.86684991</v>
      </c>
      <c r="CV17" s="815">
        <v>1.0713492099999999</v>
      </c>
      <c r="CW17" s="815">
        <v>2.6106340399999999</v>
      </c>
      <c r="CX17" s="815">
        <v>2.1730809199999999</v>
      </c>
      <c r="CY17" s="815">
        <v>2.1469450700000001</v>
      </c>
      <c r="CZ17" s="815">
        <v>2.1902029700000001</v>
      </c>
      <c r="DA17" s="815">
        <v>2.1348768200000001</v>
      </c>
      <c r="DB17" s="815">
        <v>8.9820553000000007</v>
      </c>
      <c r="DC17" s="815">
        <v>8.9468869400000006</v>
      </c>
      <c r="DD17" s="815">
        <v>8.9525543899999995</v>
      </c>
      <c r="DE17" s="815">
        <v>10.852725019999999</v>
      </c>
      <c r="DF17" s="815">
        <v>9.9531312500000002</v>
      </c>
      <c r="DG17" s="815">
        <v>3.1072278199999999</v>
      </c>
      <c r="DH17" s="815">
        <v>2.8498285499999998</v>
      </c>
      <c r="DI17" s="815">
        <v>3.06533853</v>
      </c>
      <c r="DJ17" s="815">
        <v>4.7875149300000004</v>
      </c>
      <c r="DK17" s="815">
        <v>4.7301467300000004</v>
      </c>
      <c r="DL17" s="815">
        <v>4.7049705800000003</v>
      </c>
      <c r="DM17" s="815">
        <v>5.6444419300000002</v>
      </c>
      <c r="DN17" s="815">
        <v>6.1875797500000003</v>
      </c>
      <c r="DO17" s="815">
        <v>6.3937451899999997</v>
      </c>
      <c r="DP17" s="815">
        <v>6.5410887999999998</v>
      </c>
      <c r="DQ17" s="815">
        <v>6.4556837099999997</v>
      </c>
      <c r="DR17" s="815">
        <v>8.1220766799999993</v>
      </c>
      <c r="DS17" s="815">
        <v>8.2516578999999997</v>
      </c>
      <c r="DT17" s="815">
        <v>4.9752378100000003</v>
      </c>
      <c r="DU17" s="815">
        <v>3.3397823600000001</v>
      </c>
      <c r="DV17" s="815">
        <v>3.6645288300000001</v>
      </c>
      <c r="DW17" s="815">
        <v>2.74624405</v>
      </c>
      <c r="DX17" s="815">
        <v>2.9910439800000002</v>
      </c>
      <c r="DY17" s="815">
        <v>3.5013020799999999</v>
      </c>
      <c r="DZ17" s="815">
        <v>4.7208573700000001</v>
      </c>
      <c r="EA17" s="815">
        <v>4.1245191400000003</v>
      </c>
      <c r="EB17" s="815">
        <v>4.4739647099999997</v>
      </c>
      <c r="EC17" s="815">
        <v>4.4073155799999997</v>
      </c>
      <c r="ED17" s="815">
        <v>4.1793010700000002</v>
      </c>
      <c r="EE17" s="815">
        <v>3.4994253899999999</v>
      </c>
      <c r="EF17" s="815">
        <v>3.3045767599999998</v>
      </c>
      <c r="EG17" s="815">
        <v>6.90540486</v>
      </c>
      <c r="EH17" s="815">
        <v>6.5598916699999998</v>
      </c>
      <c r="EI17" s="815">
        <v>6.3262799200000002</v>
      </c>
      <c r="EJ17" s="815">
        <v>5.5522946299999996</v>
      </c>
      <c r="EK17" s="815">
        <v>6.6287343200000004</v>
      </c>
      <c r="EL17" s="815">
        <v>6.9828210799999999</v>
      </c>
      <c r="EM17" s="815">
        <v>6.7565486799999999</v>
      </c>
      <c r="EN17" s="815">
        <v>7.9698983300000004</v>
      </c>
      <c r="EO17" s="815">
        <v>7.3936222300000001</v>
      </c>
      <c r="EP17" s="815">
        <v>9.272754260000001</v>
      </c>
      <c r="EQ17" s="815">
        <v>7.1886852000000001</v>
      </c>
      <c r="ER17" s="815">
        <v>9.3490692000000006</v>
      </c>
      <c r="ES17" s="815">
        <v>9.7387907699999996</v>
      </c>
      <c r="ET17" s="815">
        <v>9.20933913</v>
      </c>
      <c r="EU17" s="815">
        <v>8.7038281600000005</v>
      </c>
      <c r="EV17" s="815">
        <v>9.0873715700000002</v>
      </c>
      <c r="EW17" s="815">
        <v>9.8930219800000003</v>
      </c>
      <c r="EX17" s="815">
        <v>9.10974605</v>
      </c>
      <c r="EY17" s="815">
        <v>8.2673789800000002</v>
      </c>
      <c r="EZ17" s="815">
        <v>8.2841665300000003</v>
      </c>
      <c r="FA17" s="815">
        <v>9.9951170000000005</v>
      </c>
      <c r="FB17" s="815">
        <v>9.9876591000000001</v>
      </c>
      <c r="FC17" s="815">
        <v>8.4388653100000006</v>
      </c>
      <c r="FD17" s="815">
        <v>9.1016093300000005</v>
      </c>
      <c r="FE17" s="815">
        <v>10.912023530000001</v>
      </c>
      <c r="FF17" s="815">
        <v>12.43723814</v>
      </c>
      <c r="FG17" s="815">
        <v>11.97838245</v>
      </c>
      <c r="FH17" s="815">
        <v>11.66851042</v>
      </c>
      <c r="FI17" s="1714" t="s">
        <v>206</v>
      </c>
    </row>
    <row r="18" spans="1:165" ht="21">
      <c r="A18" s="1745" t="s">
        <v>1961</v>
      </c>
      <c r="B18" s="803">
        <v>0</v>
      </c>
      <c r="C18" s="638">
        <v>0</v>
      </c>
      <c r="D18" s="638">
        <v>0</v>
      </c>
      <c r="E18" s="638">
        <v>0</v>
      </c>
      <c r="F18" s="638">
        <v>0.15</v>
      </c>
      <c r="G18" s="638">
        <v>30</v>
      </c>
      <c r="H18" s="638">
        <v>30</v>
      </c>
      <c r="I18" s="638">
        <v>30</v>
      </c>
      <c r="J18" s="638">
        <v>80</v>
      </c>
      <c r="K18" s="638">
        <v>20</v>
      </c>
      <c r="L18" s="638">
        <v>20</v>
      </c>
      <c r="M18" s="641">
        <v>10</v>
      </c>
      <c r="N18" s="639">
        <v>10</v>
      </c>
      <c r="O18" s="639">
        <v>10</v>
      </c>
      <c r="P18" s="639">
        <v>10</v>
      </c>
      <c r="Q18" s="639">
        <v>5</v>
      </c>
      <c r="R18" s="639">
        <v>42.049619</v>
      </c>
      <c r="S18" s="639">
        <v>0</v>
      </c>
      <c r="T18" s="639">
        <v>0</v>
      </c>
      <c r="U18" s="639">
        <v>1.175E-3</v>
      </c>
      <c r="V18" s="639">
        <v>0</v>
      </c>
      <c r="W18" s="639">
        <v>9.0000000000000006E-5</v>
      </c>
      <c r="X18" s="639">
        <v>9.0000000000000006E-5</v>
      </c>
      <c r="Y18" s="641">
        <v>6.0000000000000002E-5</v>
      </c>
      <c r="Z18" s="639">
        <v>6.0000000000000002E-5</v>
      </c>
      <c r="AA18" s="639">
        <v>1.2E-4</v>
      </c>
      <c r="AB18" s="641">
        <v>2.9999999999999997E-4</v>
      </c>
      <c r="AC18" s="641">
        <v>2.9999999999999997E-4</v>
      </c>
      <c r="AD18" s="641">
        <v>9.9499999999999996E-6</v>
      </c>
      <c r="AE18" s="641">
        <v>1.4880899999999999E-3</v>
      </c>
      <c r="AF18" s="641">
        <v>1.58059E-3</v>
      </c>
      <c r="AG18" s="641">
        <v>7.1733000000000007E-4</v>
      </c>
      <c r="AH18" s="641">
        <v>7.1733000000000007E-4</v>
      </c>
      <c r="AI18" s="641">
        <v>7.1883000000000005E-4</v>
      </c>
      <c r="AJ18" s="641">
        <v>7.2033000000000004E-4</v>
      </c>
      <c r="AK18" s="641">
        <v>7.2183000000000002E-4</v>
      </c>
      <c r="AL18" s="641">
        <v>7.2333E-4</v>
      </c>
      <c r="AM18" s="641">
        <v>7.2483000000000009E-4</v>
      </c>
      <c r="AN18" s="641">
        <v>7.2633000000000007E-4</v>
      </c>
      <c r="AO18" s="641">
        <v>7.2783000000000006E-4</v>
      </c>
      <c r="AP18" s="641">
        <v>7.2883000000000008E-4</v>
      </c>
      <c r="AQ18" s="641">
        <v>7.2883000000000008E-4</v>
      </c>
      <c r="AR18" s="641">
        <v>1.0605599999999999E-3</v>
      </c>
      <c r="AS18" s="641">
        <v>1.0605599999999999E-3</v>
      </c>
      <c r="AT18" s="641">
        <v>1.06156E-3</v>
      </c>
      <c r="AU18" s="641">
        <v>1.0625599999999999E-3</v>
      </c>
      <c r="AV18" s="641">
        <v>1.0635599999999999E-3</v>
      </c>
      <c r="AW18" s="641">
        <v>1.06456E-3</v>
      </c>
      <c r="AX18" s="641">
        <v>1.0655599999999999E-3</v>
      </c>
      <c r="AY18" s="641">
        <v>1.06656E-3</v>
      </c>
      <c r="AZ18" s="641">
        <v>1.0675599999999999E-3</v>
      </c>
      <c r="BA18" s="641">
        <v>1.0685599999999999E-3</v>
      </c>
      <c r="BB18" s="641">
        <v>1.06956E-3</v>
      </c>
      <c r="BC18" s="641">
        <v>2.8199999999999997E-6</v>
      </c>
      <c r="BD18" s="641">
        <v>2.8199999999999997E-6</v>
      </c>
      <c r="BE18" s="641">
        <v>0</v>
      </c>
      <c r="BF18" s="641">
        <v>0</v>
      </c>
      <c r="BG18" s="641">
        <v>0</v>
      </c>
      <c r="BH18" s="641">
        <v>0</v>
      </c>
      <c r="BI18" s="800">
        <v>98</v>
      </c>
      <c r="BJ18" s="816">
        <v>0</v>
      </c>
      <c r="BK18" s="816">
        <v>0</v>
      </c>
      <c r="BL18" s="816">
        <v>3.6421269999999999E-2</v>
      </c>
      <c r="BM18" s="816">
        <v>0</v>
      </c>
      <c r="BN18" s="816">
        <v>0</v>
      </c>
      <c r="BO18" s="816">
        <v>0</v>
      </c>
      <c r="BP18" s="816">
        <v>0</v>
      </c>
      <c r="BQ18" s="816">
        <v>0</v>
      </c>
      <c r="BR18" s="816">
        <v>0</v>
      </c>
      <c r="BS18" s="816">
        <v>0</v>
      </c>
      <c r="BT18" s="816">
        <v>0</v>
      </c>
      <c r="BU18" s="816">
        <v>0</v>
      </c>
      <c r="BV18" s="816">
        <v>0</v>
      </c>
      <c r="BW18" s="816">
        <v>0</v>
      </c>
      <c r="BX18" s="816">
        <v>0</v>
      </c>
      <c r="BY18" s="816">
        <v>0</v>
      </c>
      <c r="BZ18" s="816">
        <v>0</v>
      </c>
      <c r="CA18" s="816">
        <v>0</v>
      </c>
      <c r="CB18" s="816">
        <v>0</v>
      </c>
      <c r="CC18" s="816">
        <v>0</v>
      </c>
      <c r="CD18" s="816">
        <v>0</v>
      </c>
      <c r="CE18" s="816">
        <v>0</v>
      </c>
      <c r="CF18" s="816">
        <v>0</v>
      </c>
      <c r="CG18" s="816">
        <v>0</v>
      </c>
      <c r="CH18" s="816">
        <v>0</v>
      </c>
      <c r="CI18" s="816">
        <v>0</v>
      </c>
      <c r="CJ18" s="816">
        <v>0</v>
      </c>
      <c r="CK18" s="816">
        <v>0</v>
      </c>
      <c r="CL18" s="816">
        <v>0</v>
      </c>
      <c r="CM18" s="816">
        <v>0</v>
      </c>
      <c r="CN18" s="816">
        <v>0</v>
      </c>
      <c r="CO18" s="816">
        <v>0</v>
      </c>
      <c r="CP18" s="816">
        <v>0</v>
      </c>
      <c r="CQ18" s="816">
        <v>0</v>
      </c>
      <c r="CR18" s="816">
        <v>0</v>
      </c>
      <c r="CS18" s="816">
        <v>0</v>
      </c>
      <c r="CT18" s="816">
        <v>0</v>
      </c>
      <c r="CU18" s="816">
        <v>0</v>
      </c>
      <c r="CV18" s="816">
        <v>0</v>
      </c>
      <c r="CW18" s="816">
        <v>0</v>
      </c>
      <c r="CX18" s="816">
        <v>0</v>
      </c>
      <c r="CY18" s="816">
        <v>0</v>
      </c>
      <c r="CZ18" s="816">
        <v>0</v>
      </c>
      <c r="DA18" s="816">
        <v>0</v>
      </c>
      <c r="DB18" s="816">
        <v>0</v>
      </c>
      <c r="DC18" s="816">
        <v>0</v>
      </c>
      <c r="DD18" s="816">
        <v>0</v>
      </c>
      <c r="DE18" s="816">
        <v>0</v>
      </c>
      <c r="DF18" s="816">
        <v>0.3</v>
      </c>
      <c r="DG18" s="816">
        <v>0.3</v>
      </c>
      <c r="DH18" s="816">
        <v>0.26794900999999999</v>
      </c>
      <c r="DI18" s="816">
        <v>0.23551254999999999</v>
      </c>
      <c r="DJ18" s="816">
        <v>0.20277876</v>
      </c>
      <c r="DK18" s="816">
        <v>0.16993079</v>
      </c>
      <c r="DL18" s="816">
        <v>0.13644006</v>
      </c>
      <c r="DM18" s="816">
        <v>0.1027981</v>
      </c>
      <c r="DN18" s="816">
        <v>6.8847759999999994E-2</v>
      </c>
      <c r="DO18" s="816">
        <v>0</v>
      </c>
      <c r="DP18" s="816">
        <v>0</v>
      </c>
      <c r="DQ18" s="816">
        <v>0</v>
      </c>
      <c r="DR18" s="816">
        <v>0.02</v>
      </c>
      <c r="DS18" s="816">
        <v>1.8509680000000001E-2</v>
      </c>
      <c r="DT18" s="816">
        <v>1.6948350000000001E-2</v>
      </c>
      <c r="DU18" s="816">
        <v>1.544062E-2</v>
      </c>
      <c r="DV18" s="816">
        <v>1.382917E-2</v>
      </c>
      <c r="DW18" s="816">
        <v>1.2183329999999999E-2</v>
      </c>
      <c r="DX18" s="816">
        <v>1.052578E-2</v>
      </c>
      <c r="DY18" s="816">
        <v>0</v>
      </c>
      <c r="DZ18" s="816">
        <v>0</v>
      </c>
      <c r="EA18" s="816">
        <v>0.05</v>
      </c>
      <c r="EB18" s="816">
        <v>4.6183589999999997E-2</v>
      </c>
      <c r="EC18" s="816">
        <v>4.222654E-2</v>
      </c>
      <c r="ED18" s="816">
        <v>8.8257409999999994E-2</v>
      </c>
      <c r="EE18" s="816">
        <v>8.0001970000000006E-2</v>
      </c>
      <c r="EF18" s="816">
        <v>7.2098889999999999E-2</v>
      </c>
      <c r="EG18" s="816">
        <v>6.4091480000000006E-2</v>
      </c>
      <c r="EH18" s="816">
        <v>5.5974290000000003E-2</v>
      </c>
      <c r="EI18" s="816">
        <v>4.7741199999999998E-2</v>
      </c>
      <c r="EJ18" s="816">
        <v>3.933917E-2</v>
      </c>
      <c r="EK18" s="816">
        <v>1.5037980099999999</v>
      </c>
      <c r="EL18" s="816">
        <v>2.0044250400000001</v>
      </c>
      <c r="EM18" s="816">
        <v>2</v>
      </c>
      <c r="EN18" s="816">
        <v>2.0299999999999998</v>
      </c>
      <c r="EO18" s="816">
        <v>2.0299999999999998</v>
      </c>
      <c r="EP18" s="816">
        <v>1.8875766100000002</v>
      </c>
      <c r="EQ18" s="816">
        <v>2.558941E-2</v>
      </c>
      <c r="ER18" s="816">
        <v>2.0232268699999998</v>
      </c>
      <c r="ES18" s="816">
        <v>2.0208365399999999</v>
      </c>
      <c r="ET18" s="816">
        <v>2.0183786700000002</v>
      </c>
      <c r="EU18" s="816">
        <v>2.0159113899999999</v>
      </c>
      <c r="EV18" s="816">
        <v>2.0133609300000002</v>
      </c>
      <c r="EW18" s="816">
        <v>1.7264232900000001</v>
      </c>
      <c r="EX18" s="816">
        <v>1.72354919</v>
      </c>
      <c r="EY18" s="816">
        <v>1.38562948</v>
      </c>
      <c r="EZ18" s="816">
        <v>1.3803066900000001</v>
      </c>
      <c r="FA18" s="816">
        <v>1.3803066900000001</v>
      </c>
      <c r="FB18" s="816">
        <v>1.09476157</v>
      </c>
      <c r="FC18" s="816">
        <v>0.45703173000000002</v>
      </c>
      <c r="FD18" s="816">
        <v>2.5</v>
      </c>
      <c r="FE18" s="816">
        <v>2.5</v>
      </c>
      <c r="FF18" s="816">
        <v>2.5</v>
      </c>
      <c r="FG18" s="816">
        <v>2.5</v>
      </c>
      <c r="FH18" s="816">
        <v>2.4999990900000002</v>
      </c>
      <c r="FI18" s="1716" t="s">
        <v>4067</v>
      </c>
    </row>
    <row r="19" spans="1:165" ht="21">
      <c r="A19" s="1745" t="s">
        <v>1962</v>
      </c>
      <c r="B19" s="804">
        <f>+B17-B18</f>
        <v>2.8740968499999999</v>
      </c>
      <c r="C19" s="640">
        <f t="shared" ref="C19:V19" si="8">+C17-C18</f>
        <v>2.9386658699999999</v>
      </c>
      <c r="D19" s="640">
        <f t="shared" si="8"/>
        <v>2.9564435499999999</v>
      </c>
      <c r="E19" s="640">
        <f t="shared" si="8"/>
        <v>2.9489027400000003</v>
      </c>
      <c r="F19" s="640">
        <f t="shared" si="8"/>
        <v>0.17219652999999999</v>
      </c>
      <c r="G19" s="640">
        <f t="shared" si="8"/>
        <v>2.8666484000000025</v>
      </c>
      <c r="H19" s="640">
        <f t="shared" si="8"/>
        <v>3.9411315799999969</v>
      </c>
      <c r="I19" s="640">
        <f t="shared" si="8"/>
        <v>3.9810313500000021</v>
      </c>
      <c r="J19" s="640">
        <f t="shared" si="8"/>
        <v>3.9723892800000016</v>
      </c>
      <c r="K19" s="640">
        <f t="shared" si="8"/>
        <v>4.0718844499999989</v>
      </c>
      <c r="L19" s="640">
        <f t="shared" si="8"/>
        <v>4.0697636000000017</v>
      </c>
      <c r="M19" s="641">
        <f t="shared" si="8"/>
        <v>4.0659393299999991</v>
      </c>
      <c r="N19" s="641">
        <f t="shared" si="8"/>
        <v>4.0781581500000001</v>
      </c>
      <c r="O19" s="641">
        <f t="shared" si="8"/>
        <v>4.0731068399999995</v>
      </c>
      <c r="P19" s="641">
        <f t="shared" si="8"/>
        <v>4.0782682900000005</v>
      </c>
      <c r="Q19" s="641">
        <f t="shared" si="8"/>
        <v>4.1463052600000001</v>
      </c>
      <c r="R19" s="641">
        <f t="shared" si="8"/>
        <v>0.64185279000000151</v>
      </c>
      <c r="S19" s="641">
        <f t="shared" si="8"/>
        <v>0.11346225</v>
      </c>
      <c r="T19" s="641">
        <f t="shared" si="8"/>
        <v>0.10800572999999999</v>
      </c>
      <c r="U19" s="641">
        <f t="shared" si="8"/>
        <v>8.6851250000000005E-2</v>
      </c>
      <c r="V19" s="641">
        <f t="shared" si="8"/>
        <v>8.4195779999999998E-2</v>
      </c>
      <c r="W19" s="641">
        <v>0.16026554999999998</v>
      </c>
      <c r="X19" s="641">
        <v>0.24290873999999998</v>
      </c>
      <c r="Y19" s="641">
        <v>0.26451962000000001</v>
      </c>
      <c r="Z19" s="641">
        <v>0.26451962000000001</v>
      </c>
      <c r="AA19" s="641">
        <v>0.22676995</v>
      </c>
      <c r="AB19" s="641">
        <v>0.21844050000000001</v>
      </c>
      <c r="AC19" s="641">
        <v>0.20857023000000002</v>
      </c>
      <c r="AD19" s="641">
        <v>0.20043692999999999</v>
      </c>
      <c r="AE19" s="641">
        <v>0.19221673</v>
      </c>
      <c r="AF19" s="641">
        <v>0.18530132000000002</v>
      </c>
      <c r="AG19" s="641">
        <v>0.17737338</v>
      </c>
      <c r="AH19" s="641">
        <v>0.17031842</v>
      </c>
      <c r="AI19" s="641">
        <f>+AI17-AI18</f>
        <v>0.16314602999999997</v>
      </c>
      <c r="AJ19" s="641">
        <v>0.15585526</v>
      </c>
      <c r="AK19" s="641">
        <f>+AK17-AK18</f>
        <v>0.14585376</v>
      </c>
      <c r="AL19" s="641">
        <f>+AL17-AL18</f>
        <v>0.14585226000000001</v>
      </c>
      <c r="AM19" s="641">
        <v>0.21585075999999997</v>
      </c>
      <c r="AN19" s="641">
        <f>+AN17-AN18</f>
        <v>0.21507525999999999</v>
      </c>
      <c r="AO19" s="641">
        <f>+AO17-AO18</f>
        <v>0.21431375999999999</v>
      </c>
      <c r="AP19" s="641">
        <f>+AP17-AP18</f>
        <v>0.21441819999999998</v>
      </c>
      <c r="AQ19" s="641">
        <f>+AQ17-AQ18</f>
        <v>0.21361619999999998</v>
      </c>
      <c r="AR19" s="641">
        <v>0.21246547000000002</v>
      </c>
      <c r="AS19" s="641">
        <f>+AS17-AS18</f>
        <v>0.15164747000000001</v>
      </c>
      <c r="AT19" s="641">
        <f>+AT17-AT18</f>
        <v>0.10187163</v>
      </c>
      <c r="AU19" s="641">
        <f>+AU17-AU18</f>
        <v>9.9854059999999994E-2</v>
      </c>
      <c r="AV19" s="641">
        <v>7.9407109999999989E-2</v>
      </c>
      <c r="AW19" s="641">
        <v>5.7034109999999999E-2</v>
      </c>
      <c r="AX19" s="641">
        <v>5.2756209999999998E-2</v>
      </c>
      <c r="AY19" s="641">
        <v>5.2729279999999996E-2</v>
      </c>
      <c r="AZ19" s="641">
        <v>5.2641310000000004E-2</v>
      </c>
      <c r="BA19" s="641">
        <v>5.1073939999999998E-2</v>
      </c>
      <c r="BB19" s="641">
        <v>8.5699999999999969E-5</v>
      </c>
      <c r="BC19" s="641">
        <v>-2.8199999999999997E-6</v>
      </c>
      <c r="BD19" s="641">
        <v>-2.8199999999999997E-6</v>
      </c>
      <c r="BE19" s="641">
        <f>+BE17-BE18</f>
        <v>0</v>
      </c>
      <c r="BF19" s="641">
        <v>0</v>
      </c>
      <c r="BG19" s="641">
        <v>0</v>
      </c>
      <c r="BH19" s="641">
        <v>0</v>
      </c>
      <c r="BI19" s="800">
        <v>0</v>
      </c>
      <c r="BJ19" s="816">
        <v>0</v>
      </c>
      <c r="BK19" s="816">
        <f>+BK17-BK18</f>
        <v>0</v>
      </c>
      <c r="BL19" s="816">
        <v>0</v>
      </c>
      <c r="BM19" s="816">
        <v>0</v>
      </c>
      <c r="BN19" s="816">
        <v>0</v>
      </c>
      <c r="BO19" s="816">
        <v>0</v>
      </c>
      <c r="BP19" s="816">
        <v>0.22</v>
      </c>
      <c r="BQ19" s="816">
        <v>0</v>
      </c>
      <c r="BR19" s="816">
        <v>0</v>
      </c>
      <c r="BS19" s="816">
        <v>0</v>
      </c>
      <c r="BT19" s="816">
        <v>5.2999999999999999E-2</v>
      </c>
      <c r="BU19" s="816">
        <v>0.06</v>
      </c>
      <c r="BV19" s="816">
        <v>0</v>
      </c>
      <c r="BW19" s="816">
        <v>0</v>
      </c>
      <c r="BX19" s="816">
        <v>0</v>
      </c>
      <c r="BY19" s="816">
        <v>4.2700000000000002E-2</v>
      </c>
      <c r="BZ19" s="816">
        <v>2.7526000000000002</v>
      </c>
      <c r="CA19" s="816">
        <v>3.3806359800000001</v>
      </c>
      <c r="CB19" s="816">
        <v>3.0725678799999998</v>
      </c>
      <c r="CC19" s="816">
        <v>2.6066149799999998</v>
      </c>
      <c r="CD19" s="816">
        <v>0.48499999999999999</v>
      </c>
      <c r="CE19" s="816">
        <v>1.825</v>
      </c>
      <c r="CF19" s="816">
        <f t="shared" ref="CF19:CP19" si="9">+CF17-CF18</f>
        <v>1.7795585199999999</v>
      </c>
      <c r="CG19" s="816">
        <f t="shared" si="9"/>
        <v>1.28561075</v>
      </c>
      <c r="CH19" s="816">
        <f t="shared" si="9"/>
        <v>0.5605</v>
      </c>
      <c r="CI19" s="816">
        <f t="shared" si="9"/>
        <v>0.44965034000000004</v>
      </c>
      <c r="CJ19" s="816">
        <f t="shared" si="9"/>
        <v>0</v>
      </c>
      <c r="CK19" s="816">
        <f t="shared" si="9"/>
        <v>0.03</v>
      </c>
      <c r="CL19" s="816">
        <f t="shared" si="9"/>
        <v>0.61293882</v>
      </c>
      <c r="CM19" s="816">
        <f t="shared" si="9"/>
        <v>0.102275</v>
      </c>
      <c r="CN19" s="816">
        <f t="shared" si="9"/>
        <v>5.4274999999999997E-2</v>
      </c>
      <c r="CO19" s="816">
        <f t="shared" si="9"/>
        <v>0.36679872999999996</v>
      </c>
      <c r="CP19" s="816">
        <f t="shared" si="9"/>
        <v>0.83308603000000003</v>
      </c>
      <c r="CQ19" s="816">
        <f>+CQ17-CQ18</f>
        <v>0.47480538</v>
      </c>
      <c r="CR19" s="816">
        <f>+CR17-CR18</f>
        <v>0.57940265000000002</v>
      </c>
      <c r="CS19" s="816">
        <f>+CS17-CS18</f>
        <v>0.60308402000000005</v>
      </c>
      <c r="CT19" s="816">
        <f>+CT17-CT18</f>
        <v>0.60273133000000001</v>
      </c>
      <c r="CU19" s="816">
        <v>0.86684991</v>
      </c>
      <c r="CV19" s="816">
        <f>+CV17-CV18</f>
        <v>1.0713492099999999</v>
      </c>
      <c r="CW19" s="816">
        <v>2.6106340399999999</v>
      </c>
      <c r="CX19" s="816">
        <v>2.1730809199999999</v>
      </c>
      <c r="CY19" s="816">
        <v>2.1469450700000001</v>
      </c>
      <c r="CZ19" s="816">
        <v>2.1902029700000001</v>
      </c>
      <c r="DA19" s="816">
        <v>2.1348768200000001</v>
      </c>
      <c r="DB19" s="816">
        <v>8.9820553000000007</v>
      </c>
      <c r="DC19" s="816">
        <v>8.9468869400000006</v>
      </c>
      <c r="DD19" s="816">
        <f>DD17-DD18</f>
        <v>8.9525543899999995</v>
      </c>
      <c r="DE19" s="816">
        <v>10.852725019999999</v>
      </c>
      <c r="DF19" s="816">
        <v>9.6531312499999995</v>
      </c>
      <c r="DG19" s="816">
        <v>2.80722782</v>
      </c>
      <c r="DH19" s="816">
        <f>DH17-DH18</f>
        <v>2.5818795399999996</v>
      </c>
      <c r="DI19" s="816">
        <v>2.8298259799999999</v>
      </c>
      <c r="DJ19" s="816">
        <f>DJ17-DJ18</f>
        <v>4.5847361700000002</v>
      </c>
      <c r="DK19" s="816">
        <v>4.5602159400000009</v>
      </c>
      <c r="DL19" s="816">
        <v>4.5685305200000004</v>
      </c>
      <c r="DM19" s="816">
        <v>5.5416438299999999</v>
      </c>
      <c r="DN19" s="816">
        <v>6.1187319900000006</v>
      </c>
      <c r="DO19" s="816">
        <f>DO17-DO18</f>
        <v>6.3937451899999997</v>
      </c>
      <c r="DP19" s="816">
        <f>DP17-DP18</f>
        <v>6.5410887999999998</v>
      </c>
      <c r="DQ19" s="816">
        <v>6.4556837099999997</v>
      </c>
      <c r="DR19" s="816">
        <f>DR17-DR18</f>
        <v>8.1020766799999997</v>
      </c>
      <c r="DS19" s="816">
        <f>DS17-DS18</f>
        <v>8.2331482200000004</v>
      </c>
      <c r="DT19" s="816">
        <v>4.9582894600000005</v>
      </c>
      <c r="DU19" s="816">
        <v>3.3243417399999999</v>
      </c>
      <c r="DV19" s="816">
        <f>DV17-DV18</f>
        <v>3.6506996599999999</v>
      </c>
      <c r="DW19" s="816">
        <f>DW17-DW18</f>
        <v>2.73406072</v>
      </c>
      <c r="DX19" s="816">
        <v>2.9805182000000001</v>
      </c>
      <c r="DY19" s="816">
        <v>3.5013020799999999</v>
      </c>
      <c r="DZ19" s="816">
        <f>DZ17-DZ18</f>
        <v>4.7208573700000001</v>
      </c>
      <c r="EA19" s="816">
        <f>EA17-EA18</f>
        <v>4.0745191400000005</v>
      </c>
      <c r="EB19" s="816">
        <v>4.4277811199999997</v>
      </c>
      <c r="EC19" s="816">
        <v>4.36508904</v>
      </c>
      <c r="ED19" s="816">
        <v>4.0910436600000004</v>
      </c>
      <c r="EE19" s="816">
        <v>3.4194234199999998</v>
      </c>
      <c r="EF19" s="816">
        <v>3.2324778699999999</v>
      </c>
      <c r="EG19" s="816">
        <v>6.8413133799999999</v>
      </c>
      <c r="EH19" s="816">
        <v>6.5039173799999999</v>
      </c>
      <c r="EI19" s="816">
        <v>6.2785387200000002</v>
      </c>
      <c r="EJ19" s="816">
        <v>5.5129554599999997</v>
      </c>
      <c r="EK19" s="816">
        <f>EK17-EK18</f>
        <v>5.1249363100000007</v>
      </c>
      <c r="EL19" s="816">
        <v>4.9783960399999998</v>
      </c>
      <c r="EM19" s="816">
        <v>4.7565486799999999</v>
      </c>
      <c r="EN19" s="816">
        <v>5.9398983300000001</v>
      </c>
      <c r="EO19" s="816">
        <f>EO17-EO18</f>
        <v>5.3636222300000007</v>
      </c>
      <c r="EP19" s="816">
        <v>7.385177650000001</v>
      </c>
      <c r="EQ19" s="816">
        <v>7.1630957899999999</v>
      </c>
      <c r="ER19" s="816">
        <v>7.3258423300000004</v>
      </c>
      <c r="ES19" s="816">
        <v>7.7179542300000001</v>
      </c>
      <c r="ET19" s="816">
        <v>7.1909604599999994</v>
      </c>
      <c r="EU19" s="816">
        <f t="shared" ref="EU19:EY19" si="10">EU17-EU18</f>
        <v>6.6879167700000011</v>
      </c>
      <c r="EV19" s="816">
        <f t="shared" si="10"/>
        <v>7.07401064</v>
      </c>
      <c r="EW19" s="816">
        <f t="shared" si="10"/>
        <v>8.1665986900000007</v>
      </c>
      <c r="EX19" s="816">
        <f t="shared" si="10"/>
        <v>7.3861968600000001</v>
      </c>
      <c r="EY19" s="816">
        <f t="shared" si="10"/>
        <v>6.8817494999999997</v>
      </c>
      <c r="EZ19" s="816">
        <v>6.90385984</v>
      </c>
      <c r="FA19" s="816">
        <v>8.6148103100000011</v>
      </c>
      <c r="FB19" s="816">
        <v>8.8928975300000008</v>
      </c>
      <c r="FC19" s="816">
        <v>7.9818335800000009</v>
      </c>
      <c r="FD19" s="816">
        <v>6.6016093300000005</v>
      </c>
      <c r="FE19" s="816">
        <v>8.4120235300000008</v>
      </c>
      <c r="FF19" s="816">
        <v>9.9372381399999998</v>
      </c>
      <c r="FG19" s="816">
        <f t="shared" ref="FG19:FH19" si="11">FG17-FG18</f>
        <v>9.4783824499999998</v>
      </c>
      <c r="FH19" s="816">
        <f t="shared" si="11"/>
        <v>9.1685113300000012</v>
      </c>
      <c r="FI19" s="1716" t="s">
        <v>4066</v>
      </c>
    </row>
    <row r="20" spans="1:165" ht="21">
      <c r="A20" s="1744"/>
      <c r="B20" s="803"/>
      <c r="C20" s="638"/>
      <c r="D20" s="638"/>
      <c r="E20" s="638"/>
      <c r="F20" s="638"/>
      <c r="G20" s="638"/>
      <c r="H20" s="638"/>
      <c r="I20" s="638"/>
      <c r="J20" s="638"/>
      <c r="K20" s="638"/>
      <c r="L20" s="638"/>
      <c r="M20" s="639"/>
      <c r="N20" s="639"/>
      <c r="O20" s="639"/>
      <c r="P20" s="639"/>
      <c r="Q20" s="639"/>
      <c r="R20" s="639"/>
      <c r="S20" s="639"/>
      <c r="T20" s="639"/>
      <c r="U20" s="639"/>
      <c r="V20" s="639"/>
      <c r="W20" s="639"/>
      <c r="X20" s="639"/>
      <c r="Y20" s="639"/>
      <c r="Z20" s="639"/>
      <c r="AA20" s="639"/>
      <c r="AB20" s="639"/>
      <c r="AC20" s="639"/>
      <c r="AD20" s="639"/>
      <c r="AE20" s="639"/>
      <c r="AF20" s="639"/>
      <c r="AG20" s="639"/>
      <c r="AH20" s="639"/>
      <c r="AI20" s="639"/>
      <c r="AJ20" s="639"/>
      <c r="AK20" s="639"/>
      <c r="AL20" s="639"/>
      <c r="AM20" s="639"/>
      <c r="AN20" s="639"/>
      <c r="AO20" s="639"/>
      <c r="AP20" s="639"/>
      <c r="AQ20" s="639"/>
      <c r="AR20" s="639"/>
      <c r="AS20" s="639"/>
      <c r="AT20" s="639"/>
      <c r="AU20" s="639"/>
      <c r="AV20" s="639"/>
      <c r="AW20" s="639"/>
      <c r="AX20" s="639"/>
      <c r="AY20" s="639"/>
      <c r="AZ20" s="639"/>
      <c r="BA20" s="639"/>
      <c r="BB20" s="639"/>
      <c r="BC20" s="639"/>
      <c r="BD20" s="639"/>
      <c r="BE20" s="639"/>
      <c r="BF20" s="639"/>
      <c r="BG20" s="639"/>
      <c r="BH20" s="639"/>
      <c r="BI20" s="799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5"/>
      <c r="CN20" s="815"/>
      <c r="CO20" s="815"/>
      <c r="CP20" s="815"/>
      <c r="CQ20" s="815"/>
      <c r="CR20" s="815"/>
      <c r="CS20" s="815"/>
      <c r="CT20" s="815"/>
      <c r="CU20" s="815"/>
      <c r="CV20" s="815"/>
      <c r="CW20" s="815"/>
      <c r="CX20" s="815"/>
      <c r="CY20" s="815"/>
      <c r="CZ20" s="815"/>
      <c r="DA20" s="815"/>
      <c r="DB20" s="815"/>
      <c r="DC20" s="815"/>
      <c r="DD20" s="815"/>
      <c r="DE20" s="815"/>
      <c r="DF20" s="815"/>
      <c r="DG20" s="815"/>
      <c r="DH20" s="815"/>
      <c r="DI20" s="815"/>
      <c r="DJ20" s="815"/>
      <c r="DK20" s="815"/>
      <c r="DL20" s="815"/>
      <c r="DM20" s="815"/>
      <c r="DN20" s="815"/>
      <c r="DO20" s="815"/>
      <c r="DP20" s="815"/>
      <c r="DQ20" s="815"/>
      <c r="DR20" s="815"/>
      <c r="DS20" s="815"/>
      <c r="DT20" s="815"/>
      <c r="DU20" s="815"/>
      <c r="DV20" s="815"/>
      <c r="DW20" s="815"/>
      <c r="DX20" s="815"/>
      <c r="DY20" s="815"/>
      <c r="DZ20" s="815"/>
      <c r="EA20" s="815"/>
      <c r="EB20" s="815"/>
      <c r="EC20" s="815"/>
      <c r="ED20" s="815"/>
      <c r="EE20" s="815"/>
      <c r="EF20" s="815"/>
      <c r="EG20" s="815"/>
      <c r="EH20" s="815"/>
      <c r="EI20" s="815"/>
      <c r="EJ20" s="815"/>
      <c r="EK20" s="815"/>
      <c r="EL20" s="815"/>
      <c r="EM20" s="815"/>
      <c r="EN20" s="815"/>
      <c r="EO20" s="815"/>
      <c r="EP20" s="815"/>
      <c r="EQ20" s="815"/>
      <c r="ER20" s="815"/>
      <c r="ES20" s="815"/>
      <c r="ET20" s="815"/>
      <c r="EU20" s="815"/>
      <c r="EV20" s="815"/>
      <c r="EW20" s="815"/>
      <c r="EX20" s="815"/>
      <c r="EY20" s="815"/>
      <c r="EZ20" s="815"/>
      <c r="FA20" s="815"/>
      <c r="FB20" s="815"/>
      <c r="FC20" s="815"/>
      <c r="FD20" s="815"/>
      <c r="FE20" s="815"/>
      <c r="FF20" s="815"/>
      <c r="FG20" s="815"/>
      <c r="FH20" s="815"/>
      <c r="FI20" s="1714"/>
    </row>
    <row r="21" spans="1:165" ht="21">
      <c r="A21" s="1744" t="s">
        <v>2742</v>
      </c>
      <c r="B21" s="804">
        <v>0</v>
      </c>
      <c r="C21" s="640">
        <v>2.7385004300000002</v>
      </c>
      <c r="D21" s="640">
        <v>2.6726596000000002</v>
      </c>
      <c r="E21" s="640">
        <v>2.7278809399999999</v>
      </c>
      <c r="F21" s="640">
        <v>2.71540304</v>
      </c>
      <c r="G21" s="640">
        <v>2.7217747299999999</v>
      </c>
      <c r="H21" s="640">
        <v>3.6555128900000002</v>
      </c>
      <c r="I21" s="640">
        <v>3.6509430599999999</v>
      </c>
      <c r="J21" s="640">
        <v>3.7237088300000001</v>
      </c>
      <c r="K21" s="640">
        <v>3.7803044199999998</v>
      </c>
      <c r="L21" s="640">
        <v>3.75394001</v>
      </c>
      <c r="M21" s="639">
        <v>3.78944408</v>
      </c>
      <c r="N21" s="641">
        <v>4.6315667099999995</v>
      </c>
      <c r="O21" s="641">
        <v>4.6838761699999996</v>
      </c>
      <c r="P21" s="641">
        <v>4.7000049199999996</v>
      </c>
      <c r="Q21" s="641">
        <v>4.7204927899999998</v>
      </c>
      <c r="R21" s="641">
        <v>4.6524904899999999</v>
      </c>
      <c r="S21" s="641">
        <v>4.66469603</v>
      </c>
      <c r="T21" s="641">
        <v>5.4504879500000003</v>
      </c>
      <c r="U21" s="641">
        <v>5.3622923600000005</v>
      </c>
      <c r="V21" s="641">
        <v>5.1646304599999997</v>
      </c>
      <c r="W21" s="641">
        <v>5.1215702500000004</v>
      </c>
      <c r="X21" s="641">
        <v>5.1215702500000004</v>
      </c>
      <c r="Y21" s="639">
        <v>4.9399910800000004</v>
      </c>
      <c r="Z21" s="641">
        <v>4.9399910800000004</v>
      </c>
      <c r="AA21" s="641">
        <v>5.3301284000000004</v>
      </c>
      <c r="AB21" s="639">
        <v>7.0606506200000005</v>
      </c>
      <c r="AC21" s="639">
        <v>6.9240016999999998</v>
      </c>
      <c r="AD21" s="639">
        <v>7.9717807499999997</v>
      </c>
      <c r="AE21" s="639">
        <v>7.8797218899999999</v>
      </c>
      <c r="AF21" s="639">
        <v>8.0196527599999996</v>
      </c>
      <c r="AG21" s="639">
        <v>8.6930888100000008</v>
      </c>
      <c r="AH21" s="639">
        <v>8.1311535900000003</v>
      </c>
      <c r="AI21" s="639">
        <v>8.1340564900000007</v>
      </c>
      <c r="AJ21" s="639">
        <v>7.9447754499999999</v>
      </c>
      <c r="AK21" s="639">
        <v>20.480826260000001</v>
      </c>
      <c r="AL21" s="639">
        <v>23.04834688</v>
      </c>
      <c r="AM21" s="639">
        <v>19.687843399999998</v>
      </c>
      <c r="AN21" s="639">
        <v>12.947675539999999</v>
      </c>
      <c r="AO21" s="639">
        <v>13.201062109999999</v>
      </c>
      <c r="AP21" s="639">
        <v>12.990032699999999</v>
      </c>
      <c r="AQ21" s="639">
        <v>12.55435907</v>
      </c>
      <c r="AR21" s="639">
        <v>12.926496960000001</v>
      </c>
      <c r="AS21" s="639">
        <v>0</v>
      </c>
      <c r="AT21" s="639">
        <v>0.26464502000000001</v>
      </c>
      <c r="AU21" s="639">
        <f>AU13-AU17</f>
        <v>0.51875199999999999</v>
      </c>
      <c r="AV21" s="639">
        <v>0.85181200000000001</v>
      </c>
      <c r="AW21" s="639">
        <v>0.81394599999999995</v>
      </c>
      <c r="AX21" s="639">
        <v>0.832229</v>
      </c>
      <c r="AY21" s="639">
        <v>0.88561465000000006</v>
      </c>
      <c r="AZ21" s="639">
        <v>0.64657500000000001</v>
      </c>
      <c r="BA21" s="639">
        <v>0.724248</v>
      </c>
      <c r="BB21" s="639">
        <v>140.49029999999999</v>
      </c>
      <c r="BC21" s="639">
        <v>140.44904</v>
      </c>
      <c r="BD21" s="639">
        <v>140.457292</v>
      </c>
      <c r="BE21" s="639">
        <v>0.88446800000000003</v>
      </c>
      <c r="BF21" s="639">
        <v>0.85050000000000003</v>
      </c>
      <c r="BG21" s="639">
        <v>0.85009999999999997</v>
      </c>
      <c r="BH21" s="639">
        <v>0.85009999999999997</v>
      </c>
      <c r="BI21" s="799">
        <v>0.85004999999999598</v>
      </c>
      <c r="BJ21" s="815">
        <v>0.816048</v>
      </c>
      <c r="BK21" s="815">
        <f>+BK13-BK17</f>
        <v>0.816048</v>
      </c>
      <c r="BL21" s="815">
        <v>0.8160450600000001</v>
      </c>
      <c r="BM21" s="815">
        <v>0.81599706000000005</v>
      </c>
      <c r="BN21" s="815">
        <v>0.81599706000000005</v>
      </c>
      <c r="BO21" s="815">
        <v>0.81599706000000005</v>
      </c>
      <c r="BP21" s="815">
        <v>0.81599706000000016</v>
      </c>
      <c r="BQ21" s="815">
        <v>0.81599706000000005</v>
      </c>
      <c r="BR21" s="815">
        <v>0.88701006000000016</v>
      </c>
      <c r="BS21" s="815">
        <v>0.88659006000000007</v>
      </c>
      <c r="BT21" s="815">
        <v>0.8149640600000001</v>
      </c>
      <c r="BU21" s="815">
        <v>0.81556606000000009</v>
      </c>
      <c r="BV21" s="815">
        <v>0.81627306000000011</v>
      </c>
      <c r="BW21" s="815">
        <v>0.81599706000000005</v>
      </c>
      <c r="BX21" s="815">
        <v>0.81599706000000005</v>
      </c>
      <c r="BY21" s="815">
        <v>0.81599706000000005</v>
      </c>
      <c r="BZ21" s="815">
        <v>2.5672520600000004</v>
      </c>
      <c r="CA21" s="815">
        <v>2.7225470600000001</v>
      </c>
      <c r="CB21" s="815">
        <v>2.8925470599999996</v>
      </c>
      <c r="CC21" s="815">
        <v>2.9043183700000004</v>
      </c>
      <c r="CD21" s="815">
        <v>2.8623536199999999</v>
      </c>
      <c r="CE21" s="815">
        <v>3.2006536200000002</v>
      </c>
      <c r="CF21" s="815">
        <v>2.94371706</v>
      </c>
      <c r="CG21" s="815">
        <v>3.12865518</v>
      </c>
      <c r="CH21" s="815">
        <v>11.671967199999999</v>
      </c>
      <c r="CI21" s="815">
        <v>11.8172172</v>
      </c>
      <c r="CJ21" s="815">
        <v>14.979392259999999</v>
      </c>
      <c r="CK21" s="815">
        <v>12.50641645</v>
      </c>
      <c r="CL21" s="815">
        <v>10.830671929999999</v>
      </c>
      <c r="CM21" s="815">
        <v>10.305951</v>
      </c>
      <c r="CN21" s="815">
        <v>9.7571030399999987</v>
      </c>
      <c r="CO21" s="815">
        <v>17.259382679999998</v>
      </c>
      <c r="CP21" s="815">
        <v>16.84035179</v>
      </c>
      <c r="CQ21" s="815">
        <v>7.7856662300000004</v>
      </c>
      <c r="CR21" s="815">
        <v>7.74543918</v>
      </c>
      <c r="CS21" s="815">
        <v>7.83038232</v>
      </c>
      <c r="CT21" s="815">
        <v>15.16911312</v>
      </c>
      <c r="CU21" s="815">
        <v>8.2406208000000003</v>
      </c>
      <c r="CV21" s="815">
        <v>8.2433571200000006</v>
      </c>
      <c r="CW21" s="815">
        <v>7.7141575400000004</v>
      </c>
      <c r="CX21" s="815">
        <v>8.2445575400000006</v>
      </c>
      <c r="CY21" s="815">
        <v>7.7709549999999998</v>
      </c>
      <c r="CZ21" s="815">
        <v>7.7696705100000001</v>
      </c>
      <c r="DA21" s="815">
        <v>8.0971245300000003</v>
      </c>
      <c r="DB21" s="815">
        <v>8.5815133499999998</v>
      </c>
      <c r="DC21" s="815">
        <v>10.31550064</v>
      </c>
      <c r="DD21" s="815">
        <v>10.336186830000001</v>
      </c>
      <c r="DE21" s="815">
        <v>10.295765469999999</v>
      </c>
      <c r="DF21" s="815">
        <v>10.34192047</v>
      </c>
      <c r="DG21" s="815">
        <v>10.34280551</v>
      </c>
      <c r="DH21" s="815">
        <v>10.26423447</v>
      </c>
      <c r="DI21" s="815">
        <v>2.3171887600000001</v>
      </c>
      <c r="DJ21" s="815">
        <v>3.3309504400000001</v>
      </c>
      <c r="DK21" s="815">
        <v>3.2792626</v>
      </c>
      <c r="DL21" s="815">
        <v>15.180541870000001</v>
      </c>
      <c r="DM21" s="815">
        <v>14.48280508</v>
      </c>
      <c r="DN21" s="815">
        <v>0.11340761000000001</v>
      </c>
      <c r="DO21" s="815">
        <v>2.6633926899999998</v>
      </c>
      <c r="DP21" s="815">
        <v>2.1183335200000002</v>
      </c>
      <c r="DQ21" s="815">
        <v>0.91870187999999997</v>
      </c>
      <c r="DR21" s="815">
        <v>0.95401334000000004</v>
      </c>
      <c r="DS21" s="815">
        <v>0.95175228000000001</v>
      </c>
      <c r="DT21" s="815">
        <v>0.96790092000000005</v>
      </c>
      <c r="DU21" s="815">
        <v>0.96778611999999997</v>
      </c>
      <c r="DV21" s="815">
        <v>5.1733518700000003</v>
      </c>
      <c r="DW21" s="815">
        <v>11.984999999999999</v>
      </c>
      <c r="DX21" s="815">
        <v>14.705</v>
      </c>
      <c r="DY21" s="815">
        <v>9.3011870499999993</v>
      </c>
      <c r="DZ21" s="815">
        <v>9.9702953700000005</v>
      </c>
      <c r="EA21" s="815">
        <v>9.5492700900000003</v>
      </c>
      <c r="EB21" s="815">
        <v>4.4129057500000002</v>
      </c>
      <c r="EC21" s="815">
        <v>5.0107622899999997</v>
      </c>
      <c r="ED21" s="815">
        <v>7.1459904600000002</v>
      </c>
      <c r="EE21" s="815">
        <v>3.0087559000000001</v>
      </c>
      <c r="EF21" s="815">
        <v>3.01339698</v>
      </c>
      <c r="EG21" s="815">
        <v>3.02392898</v>
      </c>
      <c r="EH21" s="815">
        <v>4.72268869</v>
      </c>
      <c r="EI21" s="815">
        <v>4.66899511</v>
      </c>
      <c r="EJ21" s="815">
        <v>4.2911650100000003</v>
      </c>
      <c r="EK21" s="815">
        <v>4.2021156099999999</v>
      </c>
      <c r="EL21" s="815">
        <v>13.894626300000001</v>
      </c>
      <c r="EM21" s="815">
        <v>12.801596399999999</v>
      </c>
      <c r="EN21" s="815">
        <v>2.7693959700000002</v>
      </c>
      <c r="EO21" s="815">
        <v>2.7693959700000002</v>
      </c>
      <c r="EP21" s="815">
        <v>1.8649940300000001</v>
      </c>
      <c r="EQ21" s="815">
        <v>2.87721311</v>
      </c>
      <c r="ER21" s="815">
        <v>5.7625077200000003</v>
      </c>
      <c r="ES21" s="815">
        <v>5.7435655199999998</v>
      </c>
      <c r="ET21" s="815">
        <v>5.7567359800000002</v>
      </c>
      <c r="EU21" s="815">
        <v>4.0254780099999996</v>
      </c>
      <c r="EV21" s="815">
        <v>3.9135581899999998</v>
      </c>
      <c r="EW21" s="815">
        <v>4.6275581900000002</v>
      </c>
      <c r="EX21" s="815">
        <v>5.6097446599999996</v>
      </c>
      <c r="EY21" s="815">
        <v>5.6097446599999996</v>
      </c>
      <c r="EZ21" s="815">
        <v>4.7663750699999996</v>
      </c>
      <c r="FA21" s="815">
        <v>4.2644892700000003</v>
      </c>
      <c r="FB21" s="815">
        <v>3.9097701599999999</v>
      </c>
      <c r="FC21" s="815">
        <v>4.6594481800000001</v>
      </c>
      <c r="FD21" s="815">
        <v>3.7259563</v>
      </c>
      <c r="FE21" s="815">
        <v>9.3491273899999996</v>
      </c>
      <c r="FF21" s="815">
        <v>9.3483000000000001</v>
      </c>
      <c r="FG21" s="815">
        <v>12.7483</v>
      </c>
      <c r="FH21" s="815">
        <v>13.241300000000001</v>
      </c>
      <c r="FI21" s="1714" t="s">
        <v>4068</v>
      </c>
    </row>
    <row r="22" spans="1:165" ht="21">
      <c r="A22" s="1745" t="s">
        <v>1961</v>
      </c>
      <c r="B22" s="804">
        <v>0</v>
      </c>
      <c r="C22" s="640">
        <v>2.7385004300000002</v>
      </c>
      <c r="D22" s="640">
        <v>2.6726596000000002</v>
      </c>
      <c r="E22" s="640">
        <v>2.7278809399999999</v>
      </c>
      <c r="F22" s="640">
        <v>2.71540304</v>
      </c>
      <c r="G22" s="640">
        <v>2.7217747299999999</v>
      </c>
      <c r="H22" s="640">
        <v>3.6555128900000002</v>
      </c>
      <c r="I22" s="640">
        <v>3.6509430599999999</v>
      </c>
      <c r="J22" s="640">
        <v>3.7237088300000001</v>
      </c>
      <c r="K22" s="640">
        <v>3.7803044199999998</v>
      </c>
      <c r="L22" s="640">
        <v>3.75394001</v>
      </c>
      <c r="M22" s="641">
        <v>3.78944408</v>
      </c>
      <c r="N22" s="641">
        <v>4.6315667099999995</v>
      </c>
      <c r="O22" s="641">
        <v>4.6838761699999996</v>
      </c>
      <c r="P22" s="641">
        <v>4.7000049199999996</v>
      </c>
      <c r="Q22" s="641">
        <v>4.7204927899999998</v>
      </c>
      <c r="R22" s="641">
        <v>4.6524904899999999</v>
      </c>
      <c r="S22" s="641">
        <v>4.66469603</v>
      </c>
      <c r="T22" s="641">
        <v>5.4504879500000003</v>
      </c>
      <c r="U22" s="641">
        <v>5.3622923600000005</v>
      </c>
      <c r="V22" s="641">
        <v>5.1646304599999997</v>
      </c>
      <c r="W22" s="641">
        <v>5.1215702500000004</v>
      </c>
      <c r="X22" s="641">
        <v>5.1215702500000004</v>
      </c>
      <c r="Y22" s="641">
        <v>4.9399910800000004</v>
      </c>
      <c r="Z22" s="641">
        <v>4.9399910800000004</v>
      </c>
      <c r="AA22" s="641">
        <v>5.3301284000000004</v>
      </c>
      <c r="AB22" s="641">
        <v>7.0606506200000005</v>
      </c>
      <c r="AC22" s="641">
        <v>6.9240016999999998</v>
      </c>
      <c r="AD22" s="641">
        <v>7.1201734299999995</v>
      </c>
      <c r="AE22" s="641">
        <v>7.0275461300000002</v>
      </c>
      <c r="AF22" s="641">
        <v>7.1683702599999997</v>
      </c>
      <c r="AG22" s="641">
        <v>7.9308354300000001</v>
      </c>
      <c r="AH22" s="641">
        <v>8.1311535900000003</v>
      </c>
      <c r="AI22" s="641">
        <v>8.1340564900000007</v>
      </c>
      <c r="AJ22" s="641">
        <v>7.9447754499999999</v>
      </c>
      <c r="AK22" s="641">
        <v>20.480826260000001</v>
      </c>
      <c r="AL22" s="641">
        <v>23.04834688</v>
      </c>
      <c r="AM22" s="641">
        <v>19.687843399999998</v>
      </c>
      <c r="AN22" s="641">
        <v>12.947675539999999</v>
      </c>
      <c r="AO22" s="641">
        <v>13.201062109999999</v>
      </c>
      <c r="AP22" s="641">
        <v>12.990032699999999</v>
      </c>
      <c r="AQ22" s="641">
        <v>12.55435907</v>
      </c>
      <c r="AR22" s="641">
        <v>12.926496960000001</v>
      </c>
      <c r="AS22" s="641">
        <v>0</v>
      </c>
      <c r="AT22" s="641">
        <v>0.26464502000000001</v>
      </c>
      <c r="AU22" s="641">
        <f>AU14-AU18</f>
        <v>0.51875199999999999</v>
      </c>
      <c r="AV22" s="641">
        <v>0.52419199999999999</v>
      </c>
      <c r="AW22" s="641">
        <v>0.277088</v>
      </c>
      <c r="AX22" s="641">
        <v>0.28331200000000001</v>
      </c>
      <c r="AY22" s="641">
        <v>0.30664000000000002</v>
      </c>
      <c r="AZ22" s="641">
        <v>0.27960000000000002</v>
      </c>
      <c r="BA22" s="641">
        <v>0.55180799999999997</v>
      </c>
      <c r="BB22" s="641">
        <v>139.60499999999999</v>
      </c>
      <c r="BC22" s="641">
        <v>139.56399999999999</v>
      </c>
      <c r="BD22" s="641">
        <v>139.57220000000001</v>
      </c>
      <c r="BE22" s="641">
        <v>0</v>
      </c>
      <c r="BF22" s="641">
        <v>0</v>
      </c>
      <c r="BG22" s="641">
        <v>0</v>
      </c>
      <c r="BH22" s="641">
        <v>0</v>
      </c>
      <c r="BI22" s="800">
        <v>0</v>
      </c>
      <c r="BJ22" s="816">
        <v>0</v>
      </c>
      <c r="BK22" s="816">
        <f>+BK14-BK18</f>
        <v>0</v>
      </c>
      <c r="BL22" s="816">
        <v>0</v>
      </c>
      <c r="BM22" s="816">
        <v>0</v>
      </c>
      <c r="BN22" s="816">
        <v>0</v>
      </c>
      <c r="BO22" s="816">
        <v>0</v>
      </c>
      <c r="BP22" s="816">
        <v>0</v>
      </c>
      <c r="BQ22" s="816">
        <v>0</v>
      </c>
      <c r="BR22" s="816">
        <v>0</v>
      </c>
      <c r="BS22" s="816">
        <v>0</v>
      </c>
      <c r="BT22" s="816">
        <v>0</v>
      </c>
      <c r="BU22" s="816">
        <v>0</v>
      </c>
      <c r="BV22" s="816">
        <v>0</v>
      </c>
      <c r="BW22" s="816">
        <v>0</v>
      </c>
      <c r="BX22" s="816">
        <v>0</v>
      </c>
      <c r="BY22" s="816">
        <v>0</v>
      </c>
      <c r="BZ22" s="816">
        <v>0</v>
      </c>
      <c r="CA22" s="816">
        <v>0</v>
      </c>
      <c r="CB22" s="816">
        <v>0</v>
      </c>
      <c r="CC22" s="816">
        <v>0</v>
      </c>
      <c r="CD22" s="816">
        <v>0</v>
      </c>
      <c r="CE22" s="816">
        <v>0</v>
      </c>
      <c r="CF22" s="816">
        <v>0</v>
      </c>
      <c r="CG22" s="816">
        <v>0</v>
      </c>
      <c r="CH22" s="816">
        <v>0</v>
      </c>
      <c r="CI22" s="816">
        <v>0</v>
      </c>
      <c r="CJ22" s="816">
        <v>0</v>
      </c>
      <c r="CK22" s="816">
        <v>0</v>
      </c>
      <c r="CL22" s="816">
        <v>0</v>
      </c>
      <c r="CM22" s="816">
        <v>0</v>
      </c>
      <c r="CN22" s="816">
        <v>0</v>
      </c>
      <c r="CO22" s="816">
        <v>0</v>
      </c>
      <c r="CP22" s="816">
        <v>0</v>
      </c>
      <c r="CQ22" s="816">
        <v>0</v>
      </c>
      <c r="CR22" s="816">
        <v>0</v>
      </c>
      <c r="CS22" s="816">
        <v>8.0620499999999994E-3</v>
      </c>
      <c r="CT22" s="816">
        <v>8.0620499999999994E-3</v>
      </c>
      <c r="CU22" s="816">
        <v>3.6393100000000002E-3</v>
      </c>
      <c r="CV22" s="816">
        <v>0</v>
      </c>
      <c r="CW22" s="816">
        <v>0</v>
      </c>
      <c r="CX22" s="816">
        <v>0</v>
      </c>
      <c r="CY22" s="816">
        <v>0</v>
      </c>
      <c r="CZ22" s="816">
        <v>0</v>
      </c>
      <c r="DA22" s="816">
        <v>0</v>
      </c>
      <c r="DB22" s="816">
        <v>0</v>
      </c>
      <c r="DC22" s="816">
        <v>0</v>
      </c>
      <c r="DD22" s="816">
        <v>0</v>
      </c>
      <c r="DE22" s="816">
        <v>0</v>
      </c>
      <c r="DF22" s="816">
        <v>0</v>
      </c>
      <c r="DG22" s="816">
        <v>0</v>
      </c>
      <c r="DH22" s="816">
        <v>0</v>
      </c>
      <c r="DI22" s="816">
        <v>0</v>
      </c>
      <c r="DJ22" s="816">
        <v>0</v>
      </c>
      <c r="DK22" s="816">
        <v>0</v>
      </c>
      <c r="DL22" s="816">
        <v>0</v>
      </c>
      <c r="DM22" s="816">
        <v>0</v>
      </c>
      <c r="DN22" s="816">
        <v>0</v>
      </c>
      <c r="DO22" s="816">
        <v>0</v>
      </c>
      <c r="DP22" s="816">
        <v>0</v>
      </c>
      <c r="DQ22" s="816">
        <v>0</v>
      </c>
      <c r="DR22" s="816">
        <v>0</v>
      </c>
      <c r="DS22" s="816">
        <v>0</v>
      </c>
      <c r="DT22" s="816">
        <v>0</v>
      </c>
      <c r="DU22" s="816">
        <v>0</v>
      </c>
      <c r="DV22" s="816">
        <v>0</v>
      </c>
      <c r="DW22" s="816">
        <v>0</v>
      </c>
      <c r="DX22" s="816">
        <v>0</v>
      </c>
      <c r="DY22" s="816">
        <v>0</v>
      </c>
      <c r="DZ22" s="816">
        <v>0</v>
      </c>
      <c r="EA22" s="816">
        <v>0</v>
      </c>
      <c r="EB22" s="816">
        <v>0</v>
      </c>
      <c r="EC22" s="816">
        <v>0</v>
      </c>
      <c r="ED22" s="816">
        <v>0</v>
      </c>
      <c r="EE22" s="816">
        <v>0</v>
      </c>
      <c r="EF22" s="816">
        <v>0</v>
      </c>
      <c r="EG22" s="816">
        <v>0</v>
      </c>
      <c r="EH22" s="816">
        <v>0</v>
      </c>
      <c r="EI22" s="816">
        <v>0</v>
      </c>
      <c r="EJ22" s="816">
        <v>0</v>
      </c>
      <c r="EK22" s="816">
        <v>0</v>
      </c>
      <c r="EL22" s="816">
        <v>0</v>
      </c>
      <c r="EM22" s="816">
        <v>0</v>
      </c>
      <c r="EN22" s="816">
        <v>0</v>
      </c>
      <c r="EO22" s="816">
        <v>0</v>
      </c>
      <c r="EP22" s="816">
        <v>0</v>
      </c>
      <c r="EQ22" s="816">
        <v>0</v>
      </c>
      <c r="ER22" s="816">
        <v>0</v>
      </c>
      <c r="ES22" s="816">
        <v>0</v>
      </c>
      <c r="ET22" s="816">
        <v>0</v>
      </c>
      <c r="EU22" s="816">
        <v>0</v>
      </c>
      <c r="EV22" s="816">
        <v>0</v>
      </c>
      <c r="EW22" s="816">
        <v>0</v>
      </c>
      <c r="EX22" s="816">
        <v>0</v>
      </c>
      <c r="EY22" s="816">
        <v>0</v>
      </c>
      <c r="EZ22" s="816">
        <v>0</v>
      </c>
      <c r="FA22" s="816">
        <v>0</v>
      </c>
      <c r="FB22" s="816">
        <v>0</v>
      </c>
      <c r="FC22" s="816">
        <v>0</v>
      </c>
      <c r="FD22" s="816">
        <v>0</v>
      </c>
      <c r="FE22" s="816">
        <v>0</v>
      </c>
      <c r="FF22" s="816">
        <v>0</v>
      </c>
      <c r="FG22" s="816">
        <v>0</v>
      </c>
      <c r="FH22" s="816">
        <v>0</v>
      </c>
      <c r="FI22" s="1716" t="s">
        <v>4067</v>
      </c>
    </row>
    <row r="23" spans="1:165" ht="21">
      <c r="A23" s="1745" t="s">
        <v>1962</v>
      </c>
      <c r="B23" s="803">
        <f t="shared" ref="B23:V23" si="12">+B21-B22</f>
        <v>0</v>
      </c>
      <c r="C23" s="640">
        <f t="shared" si="12"/>
        <v>0</v>
      </c>
      <c r="D23" s="640">
        <f t="shared" si="12"/>
        <v>0</v>
      </c>
      <c r="E23" s="640">
        <f t="shared" si="12"/>
        <v>0</v>
      </c>
      <c r="F23" s="640">
        <f t="shared" si="12"/>
        <v>0</v>
      </c>
      <c r="G23" s="640">
        <f t="shared" si="12"/>
        <v>0</v>
      </c>
      <c r="H23" s="640">
        <f t="shared" si="12"/>
        <v>0</v>
      </c>
      <c r="I23" s="640">
        <f t="shared" si="12"/>
        <v>0</v>
      </c>
      <c r="J23" s="640">
        <f t="shared" si="12"/>
        <v>0</v>
      </c>
      <c r="K23" s="640">
        <f t="shared" si="12"/>
        <v>0</v>
      </c>
      <c r="L23" s="640">
        <f t="shared" si="12"/>
        <v>0</v>
      </c>
      <c r="M23" s="641">
        <f t="shared" si="12"/>
        <v>0</v>
      </c>
      <c r="N23" s="641">
        <f t="shared" si="12"/>
        <v>0</v>
      </c>
      <c r="O23" s="641">
        <f t="shared" si="12"/>
        <v>0</v>
      </c>
      <c r="P23" s="639">
        <f t="shared" si="12"/>
        <v>0</v>
      </c>
      <c r="Q23" s="639">
        <f t="shared" si="12"/>
        <v>0</v>
      </c>
      <c r="R23" s="639">
        <f t="shared" si="12"/>
        <v>0</v>
      </c>
      <c r="S23" s="639">
        <f t="shared" si="12"/>
        <v>0</v>
      </c>
      <c r="T23" s="639">
        <f t="shared" si="12"/>
        <v>0</v>
      </c>
      <c r="U23" s="639">
        <f t="shared" si="12"/>
        <v>0</v>
      </c>
      <c r="V23" s="639">
        <f t="shared" si="12"/>
        <v>0</v>
      </c>
      <c r="W23" s="639">
        <v>0</v>
      </c>
      <c r="X23" s="639">
        <v>0</v>
      </c>
      <c r="Y23" s="641">
        <v>0</v>
      </c>
      <c r="Z23" s="639">
        <v>0</v>
      </c>
      <c r="AA23" s="641">
        <v>0</v>
      </c>
      <c r="AB23" s="641">
        <v>0</v>
      </c>
      <c r="AC23" s="641">
        <v>0</v>
      </c>
      <c r="AD23" s="641">
        <v>0.85160732000000028</v>
      </c>
      <c r="AE23" s="641">
        <v>0.85217575999999973</v>
      </c>
      <c r="AF23" s="641">
        <v>0.85128249999999994</v>
      </c>
      <c r="AG23" s="641">
        <v>0.76225338000000065</v>
      </c>
      <c r="AH23" s="641">
        <v>0</v>
      </c>
      <c r="AI23" s="641">
        <f>+AI21-AI22</f>
        <v>0</v>
      </c>
      <c r="AJ23" s="641">
        <v>0</v>
      </c>
      <c r="AK23" s="641">
        <f>+AK21-AK22</f>
        <v>0</v>
      </c>
      <c r="AL23" s="641">
        <f>+AL21-AL22</f>
        <v>0</v>
      </c>
      <c r="AM23" s="641">
        <v>0</v>
      </c>
      <c r="AN23" s="641">
        <f>+AN21-AN22</f>
        <v>0</v>
      </c>
      <c r="AO23" s="641">
        <f>+AO21-AO22</f>
        <v>0</v>
      </c>
      <c r="AP23" s="641">
        <f>+AP21-AP22</f>
        <v>0</v>
      </c>
      <c r="AQ23" s="641">
        <f>+AQ21-AQ22</f>
        <v>0</v>
      </c>
      <c r="AR23" s="641">
        <v>0</v>
      </c>
      <c r="AS23" s="641">
        <f>+AS21-AS22</f>
        <v>0</v>
      </c>
      <c r="AT23" s="641">
        <f>+AT21-AT22</f>
        <v>0</v>
      </c>
      <c r="AU23" s="641">
        <f>AU15-AU19</f>
        <v>0</v>
      </c>
      <c r="AV23" s="641">
        <v>0.32762000000000002</v>
      </c>
      <c r="AW23" s="641">
        <v>0.53685799999999995</v>
      </c>
      <c r="AX23" s="641">
        <v>0.54891699999999999</v>
      </c>
      <c r="AY23" s="641">
        <v>0.57897465000000004</v>
      </c>
      <c r="AZ23" s="641">
        <v>0.366975</v>
      </c>
      <c r="BA23" s="641">
        <v>0.17244000000000004</v>
      </c>
      <c r="BB23" s="641">
        <v>0.88530000000000086</v>
      </c>
      <c r="BC23" s="641">
        <v>0.8850400000000036</v>
      </c>
      <c r="BD23" s="641">
        <v>0.885091999999986</v>
      </c>
      <c r="BE23" s="641">
        <f>+BE21-BE22</f>
        <v>0.88446800000000003</v>
      </c>
      <c r="BF23" s="641">
        <v>0.85050000000000003</v>
      </c>
      <c r="BG23" s="641">
        <v>0.85009999999999997</v>
      </c>
      <c r="BH23" s="641">
        <v>0.85009999999999997</v>
      </c>
      <c r="BI23" s="800">
        <v>0.85004999999999598</v>
      </c>
      <c r="BJ23" s="816">
        <v>0.816048</v>
      </c>
      <c r="BK23" s="816">
        <f>+BK21-BK22</f>
        <v>0.816048</v>
      </c>
      <c r="BL23" s="816">
        <v>0.8160450600000001</v>
      </c>
      <c r="BM23" s="816">
        <v>0.81599706000000005</v>
      </c>
      <c r="BN23" s="816">
        <v>0.81599706000000005</v>
      </c>
      <c r="BO23" s="816">
        <v>0.81599706000000005</v>
      </c>
      <c r="BP23" s="816">
        <v>0.81599706000000016</v>
      </c>
      <c r="BQ23" s="816">
        <v>0.81599706000000005</v>
      </c>
      <c r="BR23" s="816">
        <v>0.88701006000000016</v>
      </c>
      <c r="BS23" s="816">
        <v>0.88659006000000007</v>
      </c>
      <c r="BT23" s="816">
        <v>0.8149640600000001</v>
      </c>
      <c r="BU23" s="816">
        <v>0.81556606000000009</v>
      </c>
      <c r="BV23" s="816">
        <v>0.81627306000000011</v>
      </c>
      <c r="BW23" s="816">
        <v>0.81599706000000005</v>
      </c>
      <c r="BX23" s="816">
        <v>0.81599706000000005</v>
      </c>
      <c r="BY23" s="816">
        <v>0.81599706000000005</v>
      </c>
      <c r="BZ23" s="816">
        <v>2.5672520600000004</v>
      </c>
      <c r="CA23" s="816">
        <v>2.7225470600000001</v>
      </c>
      <c r="CB23" s="816">
        <v>2.8925470599999996</v>
      </c>
      <c r="CC23" s="816">
        <v>2.9043183700000004</v>
      </c>
      <c r="CD23" s="816">
        <v>2.8623536199999999</v>
      </c>
      <c r="CE23" s="816">
        <v>3.2006536200000002</v>
      </c>
      <c r="CF23" s="816">
        <f t="shared" ref="CF23:CP23" si="13">+CF21-CF22</f>
        <v>2.94371706</v>
      </c>
      <c r="CG23" s="816">
        <f t="shared" si="13"/>
        <v>3.12865518</v>
      </c>
      <c r="CH23" s="816">
        <f t="shared" si="13"/>
        <v>11.671967199999999</v>
      </c>
      <c r="CI23" s="816">
        <f t="shared" si="13"/>
        <v>11.8172172</v>
      </c>
      <c r="CJ23" s="816">
        <f t="shared" si="13"/>
        <v>14.979392259999999</v>
      </c>
      <c r="CK23" s="816">
        <f t="shared" si="13"/>
        <v>12.50641645</v>
      </c>
      <c r="CL23" s="816">
        <f t="shared" si="13"/>
        <v>10.830671929999999</v>
      </c>
      <c r="CM23" s="816">
        <f t="shared" si="13"/>
        <v>10.305951</v>
      </c>
      <c r="CN23" s="816">
        <f t="shared" si="13"/>
        <v>9.7571030399999987</v>
      </c>
      <c r="CO23" s="816">
        <f t="shared" si="13"/>
        <v>17.259382679999998</v>
      </c>
      <c r="CP23" s="816">
        <f t="shared" si="13"/>
        <v>16.84035179</v>
      </c>
      <c r="CQ23" s="816">
        <f>+CQ21-CQ22</f>
        <v>7.7856662300000004</v>
      </c>
      <c r="CR23" s="816">
        <f>+CR21-CR22</f>
        <v>7.74543918</v>
      </c>
      <c r="CS23" s="816">
        <f>+CS21-CS22</f>
        <v>7.8223202699999996</v>
      </c>
      <c r="CT23" s="816">
        <f>+CT21-CT22</f>
        <v>15.161051070000001</v>
      </c>
      <c r="CU23" s="816">
        <v>8.2369814899999998</v>
      </c>
      <c r="CV23" s="816">
        <f>+CV21-CV22</f>
        <v>8.2433571200000006</v>
      </c>
      <c r="CW23" s="816">
        <v>7.7141575400000004</v>
      </c>
      <c r="CX23" s="816">
        <v>8.2445575400000006</v>
      </c>
      <c r="CY23" s="816">
        <v>7.7709549999999998</v>
      </c>
      <c r="CZ23" s="816">
        <v>7.7696705100000001</v>
      </c>
      <c r="DA23" s="816">
        <v>8.0971245300000003</v>
      </c>
      <c r="DB23" s="816">
        <v>8.5815133499999998</v>
      </c>
      <c r="DC23" s="816">
        <v>10.31550064</v>
      </c>
      <c r="DD23" s="816">
        <f>DD21-DD22</f>
        <v>10.336186830000001</v>
      </c>
      <c r="DE23" s="816">
        <v>10.295765469999999</v>
      </c>
      <c r="DF23" s="816">
        <v>10.34192047</v>
      </c>
      <c r="DG23" s="816">
        <v>10.34280551</v>
      </c>
      <c r="DH23" s="816">
        <f>DH21-DH22</f>
        <v>10.26423447</v>
      </c>
      <c r="DI23" s="816">
        <v>2.3171887600000001</v>
      </c>
      <c r="DJ23" s="816">
        <f>DJ21-DJ22</f>
        <v>3.3309504400000001</v>
      </c>
      <c r="DK23" s="816">
        <v>3.2792626</v>
      </c>
      <c r="DL23" s="816">
        <v>15.180541870000001</v>
      </c>
      <c r="DM23" s="816">
        <v>14.48280508</v>
      </c>
      <c r="DN23" s="816">
        <v>0.11340761000000001</v>
      </c>
      <c r="DO23" s="816">
        <f>DO21-DO22</f>
        <v>2.6633926899999998</v>
      </c>
      <c r="DP23" s="816">
        <f>DP21-DP22</f>
        <v>2.1183335200000002</v>
      </c>
      <c r="DQ23" s="816">
        <v>0.91870187999999997</v>
      </c>
      <c r="DR23" s="816">
        <f>DR21-DR22</f>
        <v>0.95401334000000004</v>
      </c>
      <c r="DS23" s="816">
        <f>DS21-DS22</f>
        <v>0.95175228000000001</v>
      </c>
      <c r="DT23" s="816">
        <v>0.96790092000000005</v>
      </c>
      <c r="DU23" s="816">
        <v>0.96778611999999997</v>
      </c>
      <c r="DV23" s="816">
        <f>DV21-DV22</f>
        <v>5.1733518700000003</v>
      </c>
      <c r="DW23" s="816">
        <f>DW21-DW22</f>
        <v>11.984999999999999</v>
      </c>
      <c r="DX23" s="816">
        <v>14.705</v>
      </c>
      <c r="DY23" s="816">
        <v>9.3011870499999993</v>
      </c>
      <c r="DZ23" s="816">
        <f>DZ21-DZ22</f>
        <v>9.9702953700000005</v>
      </c>
      <c r="EA23" s="816">
        <f>EA21-EA22</f>
        <v>9.5492700900000003</v>
      </c>
      <c r="EB23" s="816">
        <v>4.4129057500000002</v>
      </c>
      <c r="EC23" s="816">
        <v>5.0107622899999997</v>
      </c>
      <c r="ED23" s="816">
        <v>7.1459904600000002</v>
      </c>
      <c r="EE23" s="816">
        <v>3.0087559000000001</v>
      </c>
      <c r="EF23" s="816">
        <v>3.01339698</v>
      </c>
      <c r="EG23" s="816">
        <v>3.02392898</v>
      </c>
      <c r="EH23" s="816">
        <v>4.72268869</v>
      </c>
      <c r="EI23" s="816">
        <v>4.66899511</v>
      </c>
      <c r="EJ23" s="816">
        <v>4.2911650100000003</v>
      </c>
      <c r="EK23" s="816">
        <f>EK21-EK22</f>
        <v>4.2021156099999999</v>
      </c>
      <c r="EL23" s="816">
        <v>13.894626300000001</v>
      </c>
      <c r="EM23" s="816">
        <v>12.801596399999999</v>
      </c>
      <c r="EN23" s="816">
        <v>2.7693959700000002</v>
      </c>
      <c r="EO23" s="816">
        <f>EO21-EO22</f>
        <v>2.7693959700000002</v>
      </c>
      <c r="EP23" s="816">
        <v>1.8649940300000001</v>
      </c>
      <c r="EQ23" s="816">
        <v>2.87721311</v>
      </c>
      <c r="ER23" s="816">
        <v>5.7625077200000003</v>
      </c>
      <c r="ES23" s="816">
        <v>5.7435655199999998</v>
      </c>
      <c r="ET23" s="816">
        <v>5.7567359800000002</v>
      </c>
      <c r="EU23" s="816">
        <f t="shared" ref="EU23:EY23" si="14">EU21-EU22</f>
        <v>4.0254780099999996</v>
      </c>
      <c r="EV23" s="816">
        <f t="shared" si="14"/>
        <v>3.9135581899999998</v>
      </c>
      <c r="EW23" s="816">
        <f t="shared" si="14"/>
        <v>4.6275581900000002</v>
      </c>
      <c r="EX23" s="816">
        <f t="shared" si="14"/>
        <v>5.6097446599999996</v>
      </c>
      <c r="EY23" s="816">
        <f t="shared" si="14"/>
        <v>5.6097446599999996</v>
      </c>
      <c r="EZ23" s="816">
        <v>4.7663750699999996</v>
      </c>
      <c r="FA23" s="816">
        <v>4.2644892700000003</v>
      </c>
      <c r="FB23" s="816">
        <v>3.9097701599999999</v>
      </c>
      <c r="FC23" s="816">
        <v>4.6594481800000001</v>
      </c>
      <c r="FD23" s="816">
        <v>3.7259563</v>
      </c>
      <c r="FE23" s="816">
        <v>9.3491273899999996</v>
      </c>
      <c r="FF23" s="816">
        <v>9.3483000000000001</v>
      </c>
      <c r="FG23" s="816">
        <f t="shared" ref="FG23:FH23" si="15">FG21-FG22</f>
        <v>12.7483</v>
      </c>
      <c r="FH23" s="816">
        <f t="shared" si="15"/>
        <v>13.241300000000001</v>
      </c>
      <c r="FI23" s="1716" t="s">
        <v>4066</v>
      </c>
    </row>
    <row r="24" spans="1:165" ht="21">
      <c r="A24" s="1721"/>
      <c r="B24" s="804"/>
      <c r="C24" s="640"/>
      <c r="D24" s="640"/>
      <c r="E24" s="640"/>
      <c r="F24" s="640"/>
      <c r="G24" s="640"/>
      <c r="H24" s="640"/>
      <c r="I24" s="640"/>
      <c r="J24" s="640"/>
      <c r="K24" s="640"/>
      <c r="L24" s="640"/>
      <c r="M24" s="641"/>
      <c r="N24" s="641"/>
      <c r="O24" s="641"/>
      <c r="P24" s="641"/>
      <c r="Q24" s="641"/>
      <c r="R24" s="641"/>
      <c r="S24" s="641"/>
      <c r="T24" s="641"/>
      <c r="U24" s="641"/>
      <c r="V24" s="641"/>
      <c r="W24" s="641"/>
      <c r="X24" s="641"/>
      <c r="Y24" s="641"/>
      <c r="Z24" s="641"/>
      <c r="AA24" s="641"/>
      <c r="AB24" s="641"/>
      <c r="AC24" s="641"/>
      <c r="AD24" s="641"/>
      <c r="AE24" s="641"/>
      <c r="AF24" s="641"/>
      <c r="AG24" s="641"/>
      <c r="AH24" s="641"/>
      <c r="AI24" s="641"/>
      <c r="AJ24" s="641"/>
      <c r="AK24" s="641"/>
      <c r="AL24" s="641"/>
      <c r="AM24" s="641"/>
      <c r="AN24" s="641"/>
      <c r="AO24" s="641"/>
      <c r="AP24" s="641"/>
      <c r="AQ24" s="641"/>
      <c r="AR24" s="641"/>
      <c r="AS24" s="641"/>
      <c r="AT24" s="641"/>
      <c r="AU24" s="641"/>
      <c r="AV24" s="641"/>
      <c r="AW24" s="641"/>
      <c r="AX24" s="641"/>
      <c r="AY24" s="641"/>
      <c r="AZ24" s="641"/>
      <c r="BA24" s="641"/>
      <c r="BB24" s="641"/>
      <c r="BC24" s="641"/>
      <c r="BD24" s="641"/>
      <c r="BE24" s="641"/>
      <c r="BF24" s="641"/>
      <c r="BG24" s="641"/>
      <c r="BH24" s="641"/>
      <c r="BI24" s="800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/>
      <c r="CI24" s="816"/>
      <c r="CJ24" s="816"/>
      <c r="CK24" s="816"/>
      <c r="CL24" s="816"/>
      <c r="CM24" s="816"/>
      <c r="CN24" s="816"/>
      <c r="CO24" s="816"/>
      <c r="CP24" s="816"/>
      <c r="CQ24" s="816"/>
      <c r="CR24" s="816"/>
      <c r="CS24" s="816"/>
      <c r="CT24" s="816"/>
      <c r="CU24" s="816"/>
      <c r="CV24" s="816"/>
      <c r="CW24" s="816"/>
      <c r="CX24" s="816"/>
      <c r="CY24" s="816"/>
      <c r="CZ24" s="816"/>
      <c r="DA24" s="816"/>
      <c r="DB24" s="816"/>
      <c r="DC24" s="816"/>
      <c r="DD24" s="816"/>
      <c r="DE24" s="816"/>
      <c r="DF24" s="816"/>
      <c r="DG24" s="816"/>
      <c r="DH24" s="816"/>
      <c r="DI24" s="816"/>
      <c r="DJ24" s="816"/>
      <c r="DK24" s="816"/>
      <c r="DL24" s="816"/>
      <c r="DM24" s="816"/>
      <c r="DN24" s="816"/>
      <c r="DO24" s="816"/>
      <c r="DP24" s="816"/>
      <c r="DQ24" s="816"/>
      <c r="DR24" s="816"/>
      <c r="DS24" s="816"/>
      <c r="DT24" s="816"/>
      <c r="DU24" s="816"/>
      <c r="DV24" s="816"/>
      <c r="DW24" s="816"/>
      <c r="DX24" s="816"/>
      <c r="DY24" s="816"/>
      <c r="DZ24" s="816"/>
      <c r="EA24" s="816"/>
      <c r="EB24" s="816"/>
      <c r="EC24" s="816"/>
      <c r="ED24" s="816"/>
      <c r="EE24" s="816"/>
      <c r="EF24" s="816"/>
      <c r="EG24" s="816"/>
      <c r="EH24" s="816"/>
      <c r="EI24" s="816"/>
      <c r="EJ24" s="816"/>
      <c r="EK24" s="816"/>
      <c r="EL24" s="816"/>
      <c r="EM24" s="816"/>
      <c r="EN24" s="816"/>
      <c r="EO24" s="816"/>
      <c r="EP24" s="816"/>
      <c r="EQ24" s="816"/>
      <c r="ER24" s="816"/>
      <c r="ES24" s="816"/>
      <c r="ET24" s="816"/>
      <c r="EU24" s="816"/>
      <c r="EV24" s="816"/>
      <c r="EW24" s="816"/>
      <c r="EX24" s="816"/>
      <c r="EY24" s="816"/>
      <c r="EZ24" s="816"/>
      <c r="FA24" s="816"/>
      <c r="FB24" s="816"/>
      <c r="FC24" s="816"/>
      <c r="FD24" s="816"/>
      <c r="FE24" s="816"/>
      <c r="FF24" s="816"/>
      <c r="FG24" s="816"/>
      <c r="FH24" s="816"/>
      <c r="FI24" s="1711"/>
    </row>
    <row r="25" spans="1:165" ht="21">
      <c r="A25" s="1722" t="s">
        <v>2743</v>
      </c>
      <c r="B25" s="803">
        <v>102.72601571000001</v>
      </c>
      <c r="C25" s="640">
        <v>108.56861464000001</v>
      </c>
      <c r="D25" s="640">
        <v>108.34213390000001</v>
      </c>
      <c r="E25" s="640">
        <v>108.44460538000001</v>
      </c>
      <c r="F25" s="640">
        <v>108.34141756000001</v>
      </c>
      <c r="G25" s="640">
        <v>107.02814206000001</v>
      </c>
      <c r="H25" s="640">
        <v>106.49051306000001</v>
      </c>
      <c r="I25" s="640">
        <v>106.61607332000001</v>
      </c>
      <c r="J25" s="640">
        <v>106.71565464999999</v>
      </c>
      <c r="K25" s="640">
        <v>106.81712514</v>
      </c>
      <c r="L25" s="640">
        <v>106.80036045000001</v>
      </c>
      <c r="M25" s="639">
        <v>107.09974329000001</v>
      </c>
      <c r="N25" s="641">
        <v>106.09852201999999</v>
      </c>
      <c r="O25" s="641">
        <v>106.24867512</v>
      </c>
      <c r="P25" s="639">
        <v>106.61705938</v>
      </c>
      <c r="Q25" s="639">
        <v>106.69567336</v>
      </c>
      <c r="R25" s="639">
        <v>106.7792365</v>
      </c>
      <c r="S25" s="639">
        <v>75.825461699999991</v>
      </c>
      <c r="T25" s="639">
        <v>75.529201690000008</v>
      </c>
      <c r="U25" s="639">
        <v>75.430923550000003</v>
      </c>
      <c r="V25" s="639">
        <v>69.70476192000001</v>
      </c>
      <c r="W25" s="639">
        <v>66.442090160000006</v>
      </c>
      <c r="X25" s="639">
        <v>62.258308859999993</v>
      </c>
      <c r="Y25" s="639">
        <v>55.897340169999993</v>
      </c>
      <c r="Z25" s="639">
        <v>55.897340169999993</v>
      </c>
      <c r="AA25" s="641">
        <v>95.533825399999998</v>
      </c>
      <c r="AB25" s="639">
        <v>109.80796719</v>
      </c>
      <c r="AC25" s="639">
        <v>109.52518578999999</v>
      </c>
      <c r="AD25" s="639">
        <v>109.46346429</v>
      </c>
      <c r="AE25" s="639">
        <v>109.25959749</v>
      </c>
      <c r="AF25" s="639">
        <v>106.89308803</v>
      </c>
      <c r="AG25" s="639">
        <v>105.68164453999998</v>
      </c>
      <c r="AH25" s="639">
        <v>60.108927739999999</v>
      </c>
      <c r="AI25" s="639">
        <v>59.976511089999995</v>
      </c>
      <c r="AJ25" s="639">
        <v>129.50009528999999</v>
      </c>
      <c r="AK25" s="639">
        <v>129.36955814999999</v>
      </c>
      <c r="AL25" s="639">
        <v>157.92443012999999</v>
      </c>
      <c r="AM25" s="639">
        <v>159.02901439999999</v>
      </c>
      <c r="AN25" s="639">
        <v>157.05150552999999</v>
      </c>
      <c r="AO25" s="639">
        <v>155.92044872000002</v>
      </c>
      <c r="AP25" s="639">
        <v>154.17443946999998</v>
      </c>
      <c r="AQ25" s="639">
        <v>153.16911174000001</v>
      </c>
      <c r="AR25" s="639">
        <v>255.81389215000002</v>
      </c>
      <c r="AS25" s="639">
        <v>254.38493355000003</v>
      </c>
      <c r="AT25" s="639">
        <v>256.60399834999998</v>
      </c>
      <c r="AU25" s="639">
        <f>AU9-AU13</f>
        <v>256.36835584000005</v>
      </c>
      <c r="AV25" s="639">
        <v>259.49763610000002</v>
      </c>
      <c r="AW25" s="639">
        <v>465.31375779999996</v>
      </c>
      <c r="AX25" s="639">
        <v>471.77481549000004</v>
      </c>
      <c r="AY25" s="639">
        <v>326.64284477000001</v>
      </c>
      <c r="AZ25" s="639">
        <v>297.13391614999995</v>
      </c>
      <c r="BA25" s="639">
        <v>293.16947893999998</v>
      </c>
      <c r="BB25" s="639">
        <v>289.47422525999997</v>
      </c>
      <c r="BC25" s="639">
        <v>288.30093167999996</v>
      </c>
      <c r="BD25" s="639">
        <v>288.26352739000004</v>
      </c>
      <c r="BE25" s="639">
        <v>264.20284466000004</v>
      </c>
      <c r="BF25" s="639">
        <v>255.65124502</v>
      </c>
      <c r="BG25" s="639">
        <v>250.36028282999999</v>
      </c>
      <c r="BH25" s="639">
        <v>212.74865038000002</v>
      </c>
      <c r="BI25" s="799">
        <v>210.86317092999997</v>
      </c>
      <c r="BJ25" s="815">
        <v>214.78220189000001</v>
      </c>
      <c r="BK25" s="815">
        <v>214.69209960000001</v>
      </c>
      <c r="BL25" s="815">
        <v>208.91317305999999</v>
      </c>
      <c r="BM25" s="815">
        <v>210.96696612000002</v>
      </c>
      <c r="BN25" s="815">
        <v>211.01097741000001</v>
      </c>
      <c r="BO25" s="815">
        <v>207.94544289000001</v>
      </c>
      <c r="BP25" s="815">
        <v>207.66851338999999</v>
      </c>
      <c r="BQ25" s="815">
        <v>209.75581366</v>
      </c>
      <c r="BR25" s="815">
        <v>201.43093210999999</v>
      </c>
      <c r="BS25" s="815">
        <v>199.57890581999999</v>
      </c>
      <c r="BT25" s="815">
        <v>189.89995281999998</v>
      </c>
      <c r="BU25" s="815">
        <v>189.75713625999998</v>
      </c>
      <c r="BV25" s="815">
        <v>341.22451424000002</v>
      </c>
      <c r="BW25" s="815">
        <v>370.09766281000003</v>
      </c>
      <c r="BX25" s="815">
        <v>369.34873726000001</v>
      </c>
      <c r="BY25" s="815">
        <v>368.27271030000003</v>
      </c>
      <c r="BZ25" s="815">
        <v>367.80311220000004</v>
      </c>
      <c r="CA25" s="815">
        <v>366.98734824999997</v>
      </c>
      <c r="CB25" s="815">
        <v>368.02160163000002</v>
      </c>
      <c r="CC25" s="815">
        <v>365.54594038000005</v>
      </c>
      <c r="CD25" s="815">
        <v>336.20270830999999</v>
      </c>
      <c r="CE25" s="815">
        <v>485.31787971</v>
      </c>
      <c r="CF25" s="815">
        <v>505.01814171000001</v>
      </c>
      <c r="CG25" s="815">
        <v>576.69319178000001</v>
      </c>
      <c r="CH25" s="815">
        <v>577.24842278000006</v>
      </c>
      <c r="CI25" s="815">
        <v>581.83457124000006</v>
      </c>
      <c r="CJ25" s="815">
        <v>578.83765440000002</v>
      </c>
      <c r="CK25" s="815">
        <v>580.18852890000005</v>
      </c>
      <c r="CL25" s="815">
        <v>579.6157369</v>
      </c>
      <c r="CM25" s="815">
        <v>580.85018289999994</v>
      </c>
      <c r="CN25" s="815">
        <v>518.55190146999996</v>
      </c>
      <c r="CO25" s="815">
        <v>513.50715558000002</v>
      </c>
      <c r="CP25" s="815">
        <v>504.87096155</v>
      </c>
      <c r="CQ25" s="815">
        <v>490.95399385000002</v>
      </c>
      <c r="CR25" s="815">
        <v>491.57127988000002</v>
      </c>
      <c r="CS25" s="815">
        <v>490.21382276000003</v>
      </c>
      <c r="CT25" s="815">
        <v>491.58243305000002</v>
      </c>
      <c r="CU25" s="815">
        <v>481.85442748000003</v>
      </c>
      <c r="CV25" s="815">
        <v>481.08271657</v>
      </c>
      <c r="CW25" s="815">
        <v>479.30558165000002</v>
      </c>
      <c r="CX25" s="815">
        <v>488.72797727</v>
      </c>
      <c r="CY25" s="815">
        <v>484.17555319000002</v>
      </c>
      <c r="CZ25" s="815">
        <v>456.20319592999999</v>
      </c>
      <c r="DA25" s="815">
        <v>452.48552334999999</v>
      </c>
      <c r="DB25" s="815">
        <v>452.05065255</v>
      </c>
      <c r="DC25" s="815">
        <v>449.62968031999998</v>
      </c>
      <c r="DD25" s="815">
        <v>445.86568923999999</v>
      </c>
      <c r="DE25" s="815">
        <v>436.49075613999997</v>
      </c>
      <c r="DF25" s="815">
        <v>442.49687535999999</v>
      </c>
      <c r="DG25" s="815">
        <v>438.50471391999997</v>
      </c>
      <c r="DH25" s="815">
        <v>421.01600595999997</v>
      </c>
      <c r="DI25" s="815">
        <v>431.51017419999999</v>
      </c>
      <c r="DJ25" s="815">
        <v>424.73953983000001</v>
      </c>
      <c r="DK25" s="815">
        <v>411.14663818999998</v>
      </c>
      <c r="DL25" s="815">
        <v>382.12502424000002</v>
      </c>
      <c r="DM25" s="815">
        <v>369.39974102000002</v>
      </c>
      <c r="DN25" s="815">
        <v>353.43576088999998</v>
      </c>
      <c r="DO25" s="815">
        <v>352.44653404000002</v>
      </c>
      <c r="DP25" s="815">
        <v>383.81573537999998</v>
      </c>
      <c r="DQ25" s="815">
        <v>374.31708958000002</v>
      </c>
      <c r="DR25" s="815">
        <v>376.42101409999998</v>
      </c>
      <c r="DS25" s="815">
        <v>403.74303050999998</v>
      </c>
      <c r="DT25" s="815">
        <v>412.73237362999998</v>
      </c>
      <c r="DU25" s="815">
        <v>421.68431391000001</v>
      </c>
      <c r="DV25" s="815">
        <v>420.49681529999998</v>
      </c>
      <c r="DW25" s="815">
        <v>404.78777256000001</v>
      </c>
      <c r="DX25" s="815">
        <v>382.76199386000002</v>
      </c>
      <c r="DY25" s="815">
        <v>376.43285250000002</v>
      </c>
      <c r="DZ25" s="815">
        <v>360.98999031</v>
      </c>
      <c r="EA25" s="815">
        <v>358.57932742000003</v>
      </c>
      <c r="EB25" s="815">
        <v>357.32382509000001</v>
      </c>
      <c r="EC25" s="815">
        <v>343.95244947999998</v>
      </c>
      <c r="ED25" s="815">
        <v>320.77789512999999</v>
      </c>
      <c r="EE25" s="815">
        <v>521.43999653000003</v>
      </c>
      <c r="EF25" s="815">
        <v>481.85524631999999</v>
      </c>
      <c r="EG25" s="815">
        <v>373.07852681000003</v>
      </c>
      <c r="EH25" s="815">
        <v>414.23849331000002</v>
      </c>
      <c r="EI25" s="815">
        <v>414.62120864000002</v>
      </c>
      <c r="EJ25" s="815">
        <v>412.27795185999997</v>
      </c>
      <c r="EK25" s="815">
        <v>409.97293660999998</v>
      </c>
      <c r="EL25" s="815">
        <v>414.08318379999997</v>
      </c>
      <c r="EM25" s="815">
        <v>419.58180348000002</v>
      </c>
      <c r="EN25" s="815">
        <v>497.89147609000003</v>
      </c>
      <c r="EO25" s="815">
        <v>448.46141148999999</v>
      </c>
      <c r="EP25" s="815">
        <v>402.59259478000001</v>
      </c>
      <c r="EQ25" s="815">
        <v>416.08858719</v>
      </c>
      <c r="ER25" s="815">
        <v>378.87659537000002</v>
      </c>
      <c r="ES25" s="815">
        <v>366.06505355000002</v>
      </c>
      <c r="ET25" s="815">
        <v>365.64328647000002</v>
      </c>
      <c r="EU25" s="815">
        <v>363.83411948000003</v>
      </c>
      <c r="EV25" s="815">
        <v>350.87773327000002</v>
      </c>
      <c r="EW25" s="815">
        <v>348.08828604000001</v>
      </c>
      <c r="EX25" s="815">
        <v>332.78217884999998</v>
      </c>
      <c r="EY25" s="815">
        <v>311.22181052000002</v>
      </c>
      <c r="EZ25" s="815">
        <v>307.04577223000001</v>
      </c>
      <c r="FA25" s="815">
        <v>306.50295757999999</v>
      </c>
      <c r="FB25" s="815">
        <v>293.87452093000002</v>
      </c>
      <c r="FC25" s="815">
        <v>284.9297072</v>
      </c>
      <c r="FD25" s="815">
        <v>268.47043865000001</v>
      </c>
      <c r="FE25" s="815">
        <v>253.76114582</v>
      </c>
      <c r="FF25" s="815">
        <v>252.02578707000001</v>
      </c>
      <c r="FG25" s="815">
        <v>251.45316366</v>
      </c>
      <c r="FH25" s="815">
        <v>232.48391910999999</v>
      </c>
      <c r="FI25" s="1710" t="s">
        <v>4065</v>
      </c>
    </row>
    <row r="26" spans="1:165" ht="21">
      <c r="A26" s="1723" t="s">
        <v>1961</v>
      </c>
      <c r="B26" s="804">
        <v>99.833261400000012</v>
      </c>
      <c r="C26" s="640">
        <v>106.44315219000001</v>
      </c>
      <c r="D26" s="640">
        <v>106.28423286000002</v>
      </c>
      <c r="E26" s="640">
        <v>106.41752004000001</v>
      </c>
      <c r="F26" s="640">
        <v>106.38740227000001</v>
      </c>
      <c r="G26" s="640">
        <v>106.58278156</v>
      </c>
      <c r="H26" s="640">
        <v>105.98456656</v>
      </c>
      <c r="I26" s="640">
        <v>106.02516172000001</v>
      </c>
      <c r="J26" s="640">
        <v>106.14244715</v>
      </c>
      <c r="K26" s="640">
        <v>106.25356214000001</v>
      </c>
      <c r="L26" s="640">
        <v>106.21428205000001</v>
      </c>
      <c r="M26" s="641">
        <v>106.27125029</v>
      </c>
      <c r="N26" s="641">
        <v>105.42589382</v>
      </c>
      <c r="O26" s="641">
        <v>105.48383172000001</v>
      </c>
      <c r="P26" s="641">
        <v>105.48053741999999</v>
      </c>
      <c r="Q26" s="641">
        <v>105.50274481000001</v>
      </c>
      <c r="R26" s="641">
        <v>105.44742282999999</v>
      </c>
      <c r="S26" s="641">
        <v>74.488805080000006</v>
      </c>
      <c r="T26" s="641">
        <v>73.546341600000005</v>
      </c>
      <c r="U26" s="641">
        <v>73.369244750000007</v>
      </c>
      <c r="V26" s="641">
        <v>67.664059940000001</v>
      </c>
      <c r="W26" s="641">
        <v>64.411398649999995</v>
      </c>
      <c r="X26" s="641">
        <v>60.238754799999995</v>
      </c>
      <c r="Y26" s="641">
        <v>53.898311239999998</v>
      </c>
      <c r="Z26" s="641">
        <v>53.898311239999998</v>
      </c>
      <c r="AA26" s="641">
        <v>93.531296999999995</v>
      </c>
      <c r="AB26" s="641">
        <v>107.38980836</v>
      </c>
      <c r="AC26" s="641">
        <v>107.10187821</v>
      </c>
      <c r="AD26" s="641">
        <v>107.05489965000001</v>
      </c>
      <c r="AE26" s="641">
        <v>106.86493464</v>
      </c>
      <c r="AF26" s="641">
        <v>104.51414189</v>
      </c>
      <c r="AG26" s="641">
        <v>103.49166819999999</v>
      </c>
      <c r="AH26" s="641">
        <v>57.98528512</v>
      </c>
      <c r="AI26" s="641">
        <v>57.986993929999997</v>
      </c>
      <c r="AJ26" s="641">
        <v>127.6913203</v>
      </c>
      <c r="AK26" s="641">
        <v>127.67921832</v>
      </c>
      <c r="AL26" s="641">
        <v>155.80090086000001</v>
      </c>
      <c r="AM26" s="641">
        <v>156.79796958999998</v>
      </c>
      <c r="AN26" s="641">
        <v>154.88184192</v>
      </c>
      <c r="AO26" s="641">
        <v>153.73654651000001</v>
      </c>
      <c r="AP26" s="641">
        <v>151.86215176000002</v>
      </c>
      <c r="AQ26" s="641">
        <v>150.87591744000002</v>
      </c>
      <c r="AR26" s="641">
        <v>253.51855224000002</v>
      </c>
      <c r="AS26" s="641">
        <v>252.24450683000003</v>
      </c>
      <c r="AT26" s="641">
        <v>254.68850683000002</v>
      </c>
      <c r="AU26" s="641">
        <f>AU10-AU14</f>
        <v>254.11650683000002</v>
      </c>
      <c r="AV26" s="641">
        <v>255.00050683000001</v>
      </c>
      <c r="AW26" s="641">
        <v>259.87290683000003</v>
      </c>
      <c r="AX26" s="641">
        <v>467.29690683000001</v>
      </c>
      <c r="AY26" s="641">
        <v>322.07088182999996</v>
      </c>
      <c r="AZ26" s="641">
        <v>293.58</v>
      </c>
      <c r="BA26" s="641">
        <v>289.69920000000002</v>
      </c>
      <c r="BB26" s="641">
        <v>286.02</v>
      </c>
      <c r="BC26" s="641">
        <v>285.93599999999998</v>
      </c>
      <c r="BD26" s="641">
        <v>285.95280000000002</v>
      </c>
      <c r="BE26" s="641">
        <v>261.93860000000001</v>
      </c>
      <c r="BF26" s="641">
        <v>253.44900000000001</v>
      </c>
      <c r="BG26" s="641">
        <v>247.37909999999999</v>
      </c>
      <c r="BH26" s="641">
        <v>210.82480000000001</v>
      </c>
      <c r="BI26" s="800">
        <v>208.26224999999999</v>
      </c>
      <c r="BJ26" s="816">
        <v>208.66177350000001</v>
      </c>
      <c r="BK26" s="816">
        <v>208.66177350000001</v>
      </c>
      <c r="BL26" s="816">
        <v>202.7114235</v>
      </c>
      <c r="BM26" s="816">
        <v>202.6995</v>
      </c>
      <c r="BN26" s="816">
        <v>202.6995</v>
      </c>
      <c r="BO26" s="816">
        <v>202.6995</v>
      </c>
      <c r="BP26" s="816">
        <v>202.6995</v>
      </c>
      <c r="BQ26" s="816">
        <v>199.29949999999999</v>
      </c>
      <c r="BR26" s="816">
        <v>190.79949999999999</v>
      </c>
      <c r="BS26" s="816">
        <v>189.09950000000001</v>
      </c>
      <c r="BT26" s="816">
        <v>178.89949999999999</v>
      </c>
      <c r="BU26" s="816">
        <v>178.89949999999999</v>
      </c>
      <c r="BV26" s="816">
        <v>308.9495</v>
      </c>
      <c r="BW26" s="816">
        <v>308.9495</v>
      </c>
      <c r="BX26" s="816">
        <v>308.9495</v>
      </c>
      <c r="BY26" s="816">
        <v>308.9495</v>
      </c>
      <c r="BZ26" s="816">
        <v>308.9495</v>
      </c>
      <c r="CA26" s="816">
        <v>308.9495</v>
      </c>
      <c r="CB26" s="816">
        <v>308.9495</v>
      </c>
      <c r="CC26" s="816">
        <v>307.24950000000001</v>
      </c>
      <c r="CD26" s="816">
        <v>278.34949999999998</v>
      </c>
      <c r="CE26" s="816">
        <v>427.9495</v>
      </c>
      <c r="CF26" s="816">
        <v>412.64949999999999</v>
      </c>
      <c r="CG26" s="816">
        <v>501.04950000000002</v>
      </c>
      <c r="CH26" s="816">
        <v>501.04950000000002</v>
      </c>
      <c r="CI26" s="816">
        <v>495.55</v>
      </c>
      <c r="CJ26" s="816">
        <v>495.55</v>
      </c>
      <c r="CK26" s="816">
        <v>495.55</v>
      </c>
      <c r="CL26" s="816">
        <v>495.55</v>
      </c>
      <c r="CM26" s="816">
        <v>495.55</v>
      </c>
      <c r="CN26" s="816">
        <v>435.2</v>
      </c>
      <c r="CO26" s="816">
        <v>426.7</v>
      </c>
      <c r="CP26" s="816">
        <v>418.2</v>
      </c>
      <c r="CQ26" s="816">
        <v>266.05</v>
      </c>
      <c r="CR26" s="816">
        <v>396.1</v>
      </c>
      <c r="CS26" s="816">
        <v>396.1</v>
      </c>
      <c r="CT26" s="816">
        <v>396.1</v>
      </c>
      <c r="CU26" s="816">
        <v>396.1</v>
      </c>
      <c r="CV26" s="816">
        <v>396.1</v>
      </c>
      <c r="CW26" s="816">
        <v>396.1</v>
      </c>
      <c r="CX26" s="816">
        <v>396.1</v>
      </c>
      <c r="CY26" s="816">
        <v>396.1</v>
      </c>
      <c r="CZ26" s="816">
        <v>374.42500000000001</v>
      </c>
      <c r="DA26" s="816">
        <v>374.42500000000001</v>
      </c>
      <c r="DB26" s="816">
        <v>374.42500000000001</v>
      </c>
      <c r="DC26" s="816">
        <v>374.42500000000001</v>
      </c>
      <c r="DD26" s="816">
        <v>374.42500000000001</v>
      </c>
      <c r="DE26" s="816">
        <v>374.42500000000001</v>
      </c>
      <c r="DF26" s="816">
        <v>352.94499999999999</v>
      </c>
      <c r="DG26" s="816">
        <v>352.98958333000002</v>
      </c>
      <c r="DH26" s="816">
        <v>337.68244729000003</v>
      </c>
      <c r="DI26" s="816">
        <v>337.67523967</v>
      </c>
      <c r="DJ26" s="816">
        <v>337.66800667000001</v>
      </c>
      <c r="DK26" s="816">
        <v>322.92743572000001</v>
      </c>
      <c r="DL26" s="816">
        <v>301.24515116999999</v>
      </c>
      <c r="DM26" s="816">
        <v>301.23782082999998</v>
      </c>
      <c r="DN26" s="816">
        <v>285.93048272999999</v>
      </c>
      <c r="DO26" s="816">
        <v>285.92311740999997</v>
      </c>
      <c r="DP26" s="816">
        <v>314.52628662000001</v>
      </c>
      <c r="DQ26" s="816">
        <v>295.79374996000001</v>
      </c>
      <c r="DR26" s="816">
        <v>294.10383329000001</v>
      </c>
      <c r="DS26" s="816">
        <v>321.09381311999999</v>
      </c>
      <c r="DT26" s="816">
        <v>327.95894475</v>
      </c>
      <c r="DU26" s="816">
        <v>332.85235008000001</v>
      </c>
      <c r="DV26" s="816">
        <v>332.84208493</v>
      </c>
      <c r="DW26" s="816">
        <v>318.09848645</v>
      </c>
      <c r="DX26" s="816">
        <v>296.41863797000002</v>
      </c>
      <c r="DY26" s="816">
        <v>296.40295615000002</v>
      </c>
      <c r="DZ26" s="816">
        <v>281.092691</v>
      </c>
      <c r="EA26" s="816">
        <v>281.08242584999999</v>
      </c>
      <c r="EB26" s="816">
        <v>281.07216069999998</v>
      </c>
      <c r="EC26" s="816">
        <v>266.32856222999999</v>
      </c>
      <c r="ED26" s="816">
        <v>244.64329708</v>
      </c>
      <c r="EE26" s="816">
        <v>448.03803192999999</v>
      </c>
      <c r="EF26" s="816">
        <v>408.07776677999999</v>
      </c>
      <c r="EG26" s="816">
        <v>302.10083492000001</v>
      </c>
      <c r="EH26" s="816">
        <v>302.09056977</v>
      </c>
      <c r="EI26" s="816">
        <v>302.20030462</v>
      </c>
      <c r="EJ26" s="816">
        <v>302.19003946999999</v>
      </c>
      <c r="EK26" s="816">
        <v>302.17553335000002</v>
      </c>
      <c r="EL26" s="816">
        <v>303.36080795999999</v>
      </c>
      <c r="EM26" s="816">
        <v>297.28026417000001</v>
      </c>
      <c r="EN26" s="816">
        <v>366.61833171000001</v>
      </c>
      <c r="EO26" s="816">
        <v>321.17249829999997</v>
      </c>
      <c r="EP26" s="816">
        <v>282.30623647000004</v>
      </c>
      <c r="EQ26" s="816">
        <v>298.90761020999997</v>
      </c>
      <c r="ER26" s="816">
        <v>260.80438069000002</v>
      </c>
      <c r="ES26" s="816">
        <v>247.42580554</v>
      </c>
      <c r="ET26" s="816">
        <v>247.32547296999999</v>
      </c>
      <c r="EU26" s="816">
        <v>247.22596909999999</v>
      </c>
      <c r="EV26" s="816">
        <v>233.84354898000001</v>
      </c>
      <c r="EW26" s="816">
        <v>235.74107742999999</v>
      </c>
      <c r="EX26" s="816">
        <v>220.3381316</v>
      </c>
      <c r="EY26" s="816">
        <v>206.95194382</v>
      </c>
      <c r="EZ26" s="816">
        <v>206.84633502</v>
      </c>
      <c r="FA26" s="816">
        <v>206.73986937999999</v>
      </c>
      <c r="FB26" s="816">
        <v>195.05056862999999</v>
      </c>
      <c r="FC26" s="816">
        <v>194.94644197</v>
      </c>
      <c r="FD26" s="816">
        <v>179.25178087</v>
      </c>
      <c r="FE26" s="816">
        <v>165.96383187999999</v>
      </c>
      <c r="FF26" s="816">
        <v>165.95703576</v>
      </c>
      <c r="FG26" s="816">
        <v>165.90017477999999</v>
      </c>
      <c r="FH26" s="816">
        <v>152.43381601999999</v>
      </c>
      <c r="FI26" s="1712" t="s">
        <v>4067</v>
      </c>
    </row>
    <row r="27" spans="1:165" ht="21">
      <c r="A27" s="1723" t="s">
        <v>1962</v>
      </c>
      <c r="B27" s="803">
        <f t="shared" ref="B27:V27" si="16">+B25-B26</f>
        <v>2.8927543100000008</v>
      </c>
      <c r="C27" s="640">
        <f t="shared" si="16"/>
        <v>2.1254624500000006</v>
      </c>
      <c r="D27" s="640">
        <f t="shared" si="16"/>
        <v>2.0579010399999902</v>
      </c>
      <c r="E27" s="640">
        <f t="shared" si="16"/>
        <v>2.0270853399999993</v>
      </c>
      <c r="F27" s="640">
        <f t="shared" si="16"/>
        <v>1.954015290000001</v>
      </c>
      <c r="G27" s="640">
        <f t="shared" si="16"/>
        <v>0.44536050000000671</v>
      </c>
      <c r="H27" s="640">
        <f t="shared" si="16"/>
        <v>0.5059465000000074</v>
      </c>
      <c r="I27" s="640">
        <f t="shared" si="16"/>
        <v>0.59091159999999832</v>
      </c>
      <c r="J27" s="640">
        <f t="shared" si="16"/>
        <v>0.57320749999999521</v>
      </c>
      <c r="K27" s="640">
        <f t="shared" si="16"/>
        <v>0.56356299999998782</v>
      </c>
      <c r="L27" s="640">
        <f t="shared" si="16"/>
        <v>0.58607840000000522</v>
      </c>
      <c r="M27" s="641">
        <f t="shared" si="16"/>
        <v>0.82849300000000881</v>
      </c>
      <c r="N27" s="641">
        <f t="shared" si="16"/>
        <v>0.67262819999999124</v>
      </c>
      <c r="O27" s="641">
        <f t="shared" si="16"/>
        <v>0.76484339999998951</v>
      </c>
      <c r="P27" s="639">
        <f t="shared" si="16"/>
        <v>1.1365219600000103</v>
      </c>
      <c r="Q27" s="639">
        <f t="shared" si="16"/>
        <v>1.1929285499999907</v>
      </c>
      <c r="R27" s="639">
        <f t="shared" si="16"/>
        <v>1.3318136700000025</v>
      </c>
      <c r="S27" s="639">
        <f t="shared" si="16"/>
        <v>1.3366566199999852</v>
      </c>
      <c r="T27" s="639">
        <f t="shared" si="16"/>
        <v>1.9828600900000026</v>
      </c>
      <c r="U27" s="639">
        <f t="shared" si="16"/>
        <v>2.0616787999999957</v>
      </c>
      <c r="V27" s="639">
        <f t="shared" si="16"/>
        <v>2.0407019800000086</v>
      </c>
      <c r="W27" s="639">
        <v>2.0306915100000111</v>
      </c>
      <c r="X27" s="639">
        <v>2.0195540599999973</v>
      </c>
      <c r="Y27" s="641">
        <v>1.9990289299999944</v>
      </c>
      <c r="Z27" s="639">
        <v>1.9990289299999944</v>
      </c>
      <c r="AA27" s="641">
        <v>2.0025284000000028</v>
      </c>
      <c r="AB27" s="641">
        <v>2.4181588299999959</v>
      </c>
      <c r="AC27" s="641">
        <v>2.4233075799999995</v>
      </c>
      <c r="AD27" s="641">
        <v>2.4085646399999945</v>
      </c>
      <c r="AE27" s="641">
        <v>2.3946628500000031</v>
      </c>
      <c r="AF27" s="641">
        <v>2.3789461399999965</v>
      </c>
      <c r="AG27" s="641">
        <v>2.189976339999987</v>
      </c>
      <c r="AH27" s="641">
        <v>2.1236426199999983</v>
      </c>
      <c r="AI27" s="641">
        <f>+AI25-AI26</f>
        <v>1.9895171599999983</v>
      </c>
      <c r="AJ27" s="641">
        <v>1.8087749899999892</v>
      </c>
      <c r="AK27" s="641">
        <f>+AK25-AK26</f>
        <v>1.690339829999985</v>
      </c>
      <c r="AL27" s="641">
        <f>+AL25-AL26</f>
        <v>2.1235292699999775</v>
      </c>
      <c r="AM27" s="641">
        <v>2.2310448100000144</v>
      </c>
      <c r="AN27" s="641">
        <f>+AN25-AN26</f>
        <v>2.1696636099999864</v>
      </c>
      <c r="AO27" s="641">
        <f>+AO25-AO26</f>
        <v>2.1839022100000136</v>
      </c>
      <c r="AP27" s="641">
        <f>+AP25-AP26</f>
        <v>2.3122877099999641</v>
      </c>
      <c r="AQ27" s="641">
        <f>+AQ25-AQ26</f>
        <v>2.2931942999999819</v>
      </c>
      <c r="AR27" s="641">
        <v>2.2953399099999956</v>
      </c>
      <c r="AS27" s="641">
        <f>+AS25-AS26</f>
        <v>2.1404267199999936</v>
      </c>
      <c r="AT27" s="641">
        <f>+AT25-AT26</f>
        <v>1.9154915199999607</v>
      </c>
      <c r="AU27" s="641">
        <f>AU11-AU15</f>
        <v>2.2518490100000701</v>
      </c>
      <c r="AV27" s="641">
        <v>4.4971292700000181</v>
      </c>
      <c r="AW27" s="641">
        <v>205.44085096999987</v>
      </c>
      <c r="AX27" s="641">
        <v>4.4779086600000273</v>
      </c>
      <c r="AY27" s="641">
        <v>4.5719629400000628</v>
      </c>
      <c r="AZ27" s="641">
        <v>3.5539161499999636</v>
      </c>
      <c r="BA27" s="641">
        <v>3.4702789399999574</v>
      </c>
      <c r="BB27" s="641">
        <v>3.454225259999987</v>
      </c>
      <c r="BC27" s="641">
        <v>2.3649316799999838</v>
      </c>
      <c r="BD27" s="641">
        <v>2.3107273900000109</v>
      </c>
      <c r="BE27" s="641">
        <f>+BE25-BE26</f>
        <v>2.2642446600000312</v>
      </c>
      <c r="BF27" s="641">
        <v>2.2022450199999923</v>
      </c>
      <c r="BG27" s="641">
        <v>2.9811828299999945</v>
      </c>
      <c r="BH27" s="641">
        <v>1.9238503800000046</v>
      </c>
      <c r="BI27" s="800">
        <v>2.6009209299999725</v>
      </c>
      <c r="BJ27" s="816">
        <v>6.1204283900000007</v>
      </c>
      <c r="BK27" s="816">
        <f>+BK25-BK26</f>
        <v>6.0303260999999964</v>
      </c>
      <c r="BL27" s="816">
        <v>6.201749559999989</v>
      </c>
      <c r="BM27" s="816">
        <v>8.267466120000023</v>
      </c>
      <c r="BN27" s="816">
        <v>8.3114774100000091</v>
      </c>
      <c r="BO27" s="816">
        <v>5.24594289000001</v>
      </c>
      <c r="BP27" s="816">
        <v>4.9690133899999864</v>
      </c>
      <c r="BQ27" s="816">
        <v>10.456313660000006</v>
      </c>
      <c r="BR27" s="816">
        <v>10.631432109999986</v>
      </c>
      <c r="BS27" s="816">
        <v>10.479405819999986</v>
      </c>
      <c r="BT27" s="816">
        <v>11.000452819999984</v>
      </c>
      <c r="BU27" s="816">
        <v>10.857636260000003</v>
      </c>
      <c r="BV27" s="816">
        <v>32.275014240000033</v>
      </c>
      <c r="BW27" s="816">
        <v>61.148162810000002</v>
      </c>
      <c r="BX27" s="816">
        <v>60.399237259999978</v>
      </c>
      <c r="BY27" s="816">
        <v>59.323210300000028</v>
      </c>
      <c r="BZ27" s="816">
        <v>58.853612200000057</v>
      </c>
      <c r="CA27" s="816">
        <v>58.037848249999946</v>
      </c>
      <c r="CB27" s="816">
        <v>59.072101629999999</v>
      </c>
      <c r="CC27" s="816">
        <v>58.29644038000005</v>
      </c>
      <c r="CD27" s="816">
        <v>57.853208309999992</v>
      </c>
      <c r="CE27" s="816">
        <v>57.368379710000013</v>
      </c>
      <c r="CF27" s="816">
        <f t="shared" ref="CF27:CN27" si="17">+CF11-CF15</f>
        <v>92.36864171000002</v>
      </c>
      <c r="CG27" s="816">
        <f t="shared" si="17"/>
        <v>75.64369178000004</v>
      </c>
      <c r="CH27" s="816">
        <f t="shared" si="17"/>
        <v>76.198922780000004</v>
      </c>
      <c r="CI27" s="816">
        <f t="shared" si="17"/>
        <v>86.284571240000076</v>
      </c>
      <c r="CJ27" s="816">
        <f t="shared" si="17"/>
        <v>83.287654400000065</v>
      </c>
      <c r="CK27" s="816">
        <f t="shared" si="17"/>
        <v>84.638528900000082</v>
      </c>
      <c r="CL27" s="816">
        <f t="shared" si="17"/>
        <v>84.065736899999933</v>
      </c>
      <c r="CM27" s="816">
        <f t="shared" si="17"/>
        <v>85.300182899999939</v>
      </c>
      <c r="CN27" s="816">
        <f t="shared" si="17"/>
        <v>83.351901470000001</v>
      </c>
      <c r="CO27" s="816">
        <f t="shared" ref="CO27:CT27" si="18">+CO25-CO26</f>
        <v>86.807155580000028</v>
      </c>
      <c r="CP27" s="816">
        <f t="shared" si="18"/>
        <v>86.670961550000015</v>
      </c>
      <c r="CQ27" s="816">
        <f t="shared" si="18"/>
        <v>224.90399385000001</v>
      </c>
      <c r="CR27" s="816">
        <f t="shared" si="18"/>
        <v>95.471279879999997</v>
      </c>
      <c r="CS27" s="816">
        <f t="shared" si="18"/>
        <v>94.113822760000005</v>
      </c>
      <c r="CT27" s="816">
        <f t="shared" si="18"/>
        <v>95.482433049999997</v>
      </c>
      <c r="CU27" s="816">
        <v>85.754427480000004</v>
      </c>
      <c r="CV27" s="816">
        <f>+CV25-CV26</f>
        <v>84.98271656999998</v>
      </c>
      <c r="CW27" s="816">
        <v>83.205581649999999</v>
      </c>
      <c r="CX27" s="816">
        <v>92.627977269999974</v>
      </c>
      <c r="CY27" s="816">
        <v>88.075553189999994</v>
      </c>
      <c r="CZ27" s="816">
        <v>81.778195929999981</v>
      </c>
      <c r="DA27" s="816">
        <v>78.060523349999983</v>
      </c>
      <c r="DB27" s="816">
        <v>77.625652549999984</v>
      </c>
      <c r="DC27" s="816">
        <v>75.204680319999966</v>
      </c>
      <c r="DD27" s="816">
        <f>DD25-DD26</f>
        <v>71.440689239999983</v>
      </c>
      <c r="DE27" s="816">
        <v>62.065756139999962</v>
      </c>
      <c r="DF27" s="816">
        <v>89.551875359999997</v>
      </c>
      <c r="DG27" s="816">
        <v>85.515130589999956</v>
      </c>
      <c r="DH27" s="816">
        <f>DH25-DH26</f>
        <v>83.333558669999945</v>
      </c>
      <c r="DI27" s="816">
        <v>93.834934529999998</v>
      </c>
      <c r="DJ27" s="816">
        <f>DJ25-DJ26</f>
        <v>87.071533160000001</v>
      </c>
      <c r="DK27" s="816">
        <v>88.219202469999971</v>
      </c>
      <c r="DL27" s="816">
        <v>80.879873070000031</v>
      </c>
      <c r="DM27" s="816">
        <v>68.161920190000046</v>
      </c>
      <c r="DN27" s="816">
        <v>67.505278159999989</v>
      </c>
      <c r="DO27" s="816">
        <f>DO25-DO26</f>
        <v>66.523416630000042</v>
      </c>
      <c r="DP27" s="816">
        <f>DP25-DP26</f>
        <v>69.289448759999971</v>
      </c>
      <c r="DQ27" s="816">
        <v>78.523339620000002</v>
      </c>
      <c r="DR27" s="816">
        <f>DR25-DR26</f>
        <v>82.317180809999968</v>
      </c>
      <c r="DS27" s="816">
        <f>DS25-DS26</f>
        <v>82.64921738999999</v>
      </c>
      <c r="DT27" s="816">
        <v>84.773428879999983</v>
      </c>
      <c r="DU27" s="816">
        <v>88.831963830000007</v>
      </c>
      <c r="DV27" s="816">
        <f>DV25-DV26</f>
        <v>87.654730369999982</v>
      </c>
      <c r="DW27" s="816">
        <f>DW25-DW26</f>
        <v>86.689286110000012</v>
      </c>
      <c r="DX27" s="816">
        <v>86.343355889999998</v>
      </c>
      <c r="DY27" s="816">
        <v>80.029896350000001</v>
      </c>
      <c r="DZ27" s="816">
        <f>DZ25-DZ26</f>
        <v>79.897299309999994</v>
      </c>
      <c r="EA27" s="816">
        <f>EA25-EA26</f>
        <v>77.496901570000034</v>
      </c>
      <c r="EB27" s="816">
        <v>76.25166439000003</v>
      </c>
      <c r="EC27" s="816">
        <v>77.623887249999996</v>
      </c>
      <c r="ED27" s="816">
        <v>76.134598049999994</v>
      </c>
      <c r="EE27" s="816">
        <v>73.401964600000042</v>
      </c>
      <c r="EF27" s="816">
        <v>73.777479540000002</v>
      </c>
      <c r="EG27" s="816">
        <v>70.977691890000017</v>
      </c>
      <c r="EH27" s="816">
        <v>112.14792354000002</v>
      </c>
      <c r="EI27" s="816">
        <v>112.42090402000002</v>
      </c>
      <c r="EJ27" s="816">
        <v>110.08791238999999</v>
      </c>
      <c r="EK27" s="816">
        <f>EK25-EK26</f>
        <v>107.79740325999995</v>
      </c>
      <c r="EL27" s="816">
        <v>110.72237583999998</v>
      </c>
      <c r="EM27" s="816">
        <v>122.30153931000001</v>
      </c>
      <c r="EN27" s="816">
        <v>131.27314438000002</v>
      </c>
      <c r="EO27" s="816">
        <f>EO25-EO26</f>
        <v>127.28891319000002</v>
      </c>
      <c r="EP27" s="816">
        <v>120.28635830999997</v>
      </c>
      <c r="EQ27" s="816">
        <v>117.18097698000003</v>
      </c>
      <c r="ER27" s="816">
        <v>118.07221468</v>
      </c>
      <c r="ES27" s="816">
        <v>118.63924801000002</v>
      </c>
      <c r="ET27" s="816">
        <v>118.31781350000003</v>
      </c>
      <c r="EU27" s="816">
        <f t="shared" ref="EU27:EY27" si="19">EU25-EU26</f>
        <v>116.60815038000004</v>
      </c>
      <c r="EV27" s="816">
        <f t="shared" si="19"/>
        <v>117.03418429000001</v>
      </c>
      <c r="EW27" s="816">
        <f t="shared" si="19"/>
        <v>112.34720861000002</v>
      </c>
      <c r="EX27" s="816">
        <f t="shared" si="19"/>
        <v>112.44404724999998</v>
      </c>
      <c r="EY27" s="816">
        <f t="shared" si="19"/>
        <v>104.26986670000002</v>
      </c>
      <c r="EZ27" s="816">
        <v>100.19943721000001</v>
      </c>
      <c r="FA27" s="816">
        <v>99.763088199999999</v>
      </c>
      <c r="FB27" s="816">
        <v>98.82395230000003</v>
      </c>
      <c r="FC27" s="816">
        <v>89.983265230000001</v>
      </c>
      <c r="FD27" s="816">
        <v>89.218657780000001</v>
      </c>
      <c r="FE27" s="816">
        <v>87.797313940000009</v>
      </c>
      <c r="FF27" s="816">
        <v>86.06875131000001</v>
      </c>
      <c r="FG27" s="816">
        <f t="shared" ref="FG27:FH27" si="20">FG25-FG26</f>
        <v>85.552988880000015</v>
      </c>
      <c r="FH27" s="816">
        <f t="shared" si="20"/>
        <v>80.050103089999993</v>
      </c>
      <c r="FI27" s="1712" t="s">
        <v>4066</v>
      </c>
    </row>
    <row r="28" spans="1:165" ht="21">
      <c r="A28" s="1721"/>
      <c r="B28" s="804"/>
      <c r="C28" s="640"/>
      <c r="D28" s="640"/>
      <c r="E28" s="640"/>
      <c r="F28" s="640"/>
      <c r="G28" s="640"/>
      <c r="H28" s="640"/>
      <c r="I28" s="640"/>
      <c r="J28" s="640"/>
      <c r="K28" s="640"/>
      <c r="L28" s="640"/>
      <c r="M28" s="641"/>
      <c r="N28" s="641"/>
      <c r="O28" s="641"/>
      <c r="P28" s="641"/>
      <c r="Q28" s="641"/>
      <c r="R28" s="641"/>
      <c r="S28" s="641"/>
      <c r="T28" s="641"/>
      <c r="U28" s="641"/>
      <c r="V28" s="641"/>
      <c r="W28" s="641"/>
      <c r="X28" s="641"/>
      <c r="Y28" s="641"/>
      <c r="Z28" s="641"/>
      <c r="AA28" s="641"/>
      <c r="AB28" s="641"/>
      <c r="AC28" s="641"/>
      <c r="AD28" s="641"/>
      <c r="AE28" s="641"/>
      <c r="AF28" s="641"/>
      <c r="AG28" s="641"/>
      <c r="AH28" s="641"/>
      <c r="AI28" s="641"/>
      <c r="AJ28" s="641"/>
      <c r="AK28" s="641"/>
      <c r="AL28" s="641"/>
      <c r="AM28" s="641"/>
      <c r="AN28" s="641"/>
      <c r="AO28" s="641"/>
      <c r="AP28" s="641"/>
      <c r="AQ28" s="641"/>
      <c r="AR28" s="641"/>
      <c r="AS28" s="641"/>
      <c r="AT28" s="641"/>
      <c r="AU28" s="641"/>
      <c r="AV28" s="641"/>
      <c r="AW28" s="641"/>
      <c r="AX28" s="641"/>
      <c r="AY28" s="641"/>
      <c r="AZ28" s="641"/>
      <c r="BA28" s="641"/>
      <c r="BB28" s="641"/>
      <c r="BC28" s="641"/>
      <c r="BD28" s="641"/>
      <c r="BE28" s="641"/>
      <c r="BF28" s="641"/>
      <c r="BG28" s="641"/>
      <c r="BH28" s="641"/>
      <c r="BI28" s="800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6"/>
      <c r="CN28" s="816"/>
      <c r="CO28" s="816"/>
      <c r="CP28" s="816"/>
      <c r="CQ28" s="816"/>
      <c r="CR28" s="816"/>
      <c r="CS28" s="816"/>
      <c r="CT28" s="816"/>
      <c r="CU28" s="816"/>
      <c r="CV28" s="816"/>
      <c r="CW28" s="816"/>
      <c r="CX28" s="816"/>
      <c r="CY28" s="816"/>
      <c r="CZ28" s="816"/>
      <c r="DA28" s="816"/>
      <c r="DB28" s="816"/>
      <c r="DC28" s="816"/>
      <c r="DD28" s="816"/>
      <c r="DE28" s="816"/>
      <c r="DF28" s="816"/>
      <c r="DG28" s="816"/>
      <c r="DH28" s="816"/>
      <c r="DI28" s="816"/>
      <c r="DJ28" s="816"/>
      <c r="DK28" s="816"/>
      <c r="DL28" s="816"/>
      <c r="DM28" s="816"/>
      <c r="DN28" s="816"/>
      <c r="DO28" s="816"/>
      <c r="DP28" s="816"/>
      <c r="DQ28" s="816"/>
      <c r="DR28" s="816"/>
      <c r="DS28" s="816"/>
      <c r="DT28" s="816"/>
      <c r="DU28" s="816"/>
      <c r="DV28" s="816"/>
      <c r="DW28" s="816"/>
      <c r="DX28" s="816"/>
      <c r="DY28" s="816"/>
      <c r="DZ28" s="816"/>
      <c r="EA28" s="816"/>
      <c r="EB28" s="816"/>
      <c r="EC28" s="816"/>
      <c r="ED28" s="816"/>
      <c r="EE28" s="816"/>
      <c r="EF28" s="816"/>
      <c r="EG28" s="816"/>
      <c r="EH28" s="816"/>
      <c r="EI28" s="816"/>
      <c r="EJ28" s="816"/>
      <c r="EK28" s="816"/>
      <c r="EL28" s="816"/>
      <c r="EM28" s="816"/>
      <c r="EN28" s="816"/>
      <c r="EO28" s="816"/>
      <c r="EP28" s="816"/>
      <c r="EQ28" s="816"/>
      <c r="ER28" s="816"/>
      <c r="ES28" s="816"/>
      <c r="ET28" s="816"/>
      <c r="EU28" s="816"/>
      <c r="EV28" s="816"/>
      <c r="EW28" s="816"/>
      <c r="EX28" s="816"/>
      <c r="EY28" s="816"/>
      <c r="EZ28" s="816"/>
      <c r="FA28" s="816"/>
      <c r="FB28" s="816"/>
      <c r="FC28" s="816"/>
      <c r="FD28" s="816"/>
      <c r="FE28" s="816"/>
      <c r="FF28" s="816"/>
      <c r="FG28" s="816"/>
      <c r="FH28" s="816"/>
      <c r="FI28" s="1711"/>
    </row>
    <row r="29" spans="1:165" ht="21">
      <c r="A29" s="1744" t="s">
        <v>185</v>
      </c>
      <c r="B29" s="804">
        <v>102.42453111000002</v>
      </c>
      <c r="C29" s="640">
        <v>101.70884353000001</v>
      </c>
      <c r="D29" s="640">
        <v>101.65635028000001</v>
      </c>
      <c r="E29" s="640">
        <v>101.64458174000001</v>
      </c>
      <c r="F29" s="640">
        <v>101.59897269000001</v>
      </c>
      <c r="G29" s="640">
        <v>100.1832624</v>
      </c>
      <c r="H29" s="640">
        <v>100.30126240000001</v>
      </c>
      <c r="I29" s="640">
        <v>100.43426140000001</v>
      </c>
      <c r="J29" s="640">
        <v>100.41590093999999</v>
      </c>
      <c r="K29" s="640">
        <v>100.45155379000001</v>
      </c>
      <c r="L29" s="640">
        <v>100.50499395000001</v>
      </c>
      <c r="M29" s="639">
        <v>100.72720725000001</v>
      </c>
      <c r="N29" s="641">
        <v>100.57086774</v>
      </c>
      <c r="O29" s="641">
        <v>100.66899729000001</v>
      </c>
      <c r="P29" s="641">
        <v>100.64642674</v>
      </c>
      <c r="Q29" s="641">
        <v>100.71789001</v>
      </c>
      <c r="R29" s="641">
        <v>100.89540627999999</v>
      </c>
      <c r="S29" s="641">
        <v>69.955786869999997</v>
      </c>
      <c r="T29" s="641">
        <v>69.853752950000001</v>
      </c>
      <c r="U29" s="641">
        <v>69.746160020000005</v>
      </c>
      <c r="V29" s="641">
        <v>64.184370560000005</v>
      </c>
      <c r="W29" s="641">
        <v>60.96970701</v>
      </c>
      <c r="X29" s="641">
        <v>56.845041179999996</v>
      </c>
      <c r="Y29" s="639">
        <v>50.600888649999995</v>
      </c>
      <c r="Z29" s="641">
        <v>50.600888649999995</v>
      </c>
      <c r="AA29" s="641">
        <v>50.346050239999997</v>
      </c>
      <c r="AB29" s="639">
        <v>49.374283579999997</v>
      </c>
      <c r="AC29" s="639">
        <v>49.286077309999996</v>
      </c>
      <c r="AD29" s="639">
        <v>49.107607730000005</v>
      </c>
      <c r="AE29" s="639">
        <v>48.928590470000003</v>
      </c>
      <c r="AF29" s="639">
        <v>46.547880760000005</v>
      </c>
      <c r="AG29" s="639">
        <v>46.36426286999999</v>
      </c>
      <c r="AH29" s="639">
        <v>0.79509401999999996</v>
      </c>
      <c r="AI29" s="639">
        <v>0.84137280000000003</v>
      </c>
      <c r="AJ29" s="639">
        <v>70.57170241</v>
      </c>
      <c r="AK29" s="639">
        <v>70.467120410000007</v>
      </c>
      <c r="AL29" s="639">
        <v>70.419156450000003</v>
      </c>
      <c r="AM29" s="639">
        <v>70.5091994</v>
      </c>
      <c r="AN29" s="639">
        <v>70.505287780000003</v>
      </c>
      <c r="AO29" s="639">
        <v>70.541653230000009</v>
      </c>
      <c r="AP29" s="639">
        <v>70.540339590000002</v>
      </c>
      <c r="AQ29" s="639">
        <v>70.538772570000006</v>
      </c>
      <c r="AR29" s="639">
        <v>170.53475010000002</v>
      </c>
      <c r="AS29" s="639">
        <v>170.37969514000002</v>
      </c>
      <c r="AT29" s="639">
        <v>170.15605697000001</v>
      </c>
      <c r="AU29" s="639">
        <v>170.55087729000002</v>
      </c>
      <c r="AV29" s="639">
        <v>172.82853878000003</v>
      </c>
      <c r="AW29" s="639">
        <v>172.81913374000001</v>
      </c>
      <c r="AX29" s="639">
        <v>172.80839894000002</v>
      </c>
      <c r="AY29" s="639">
        <v>3.0786035999999997</v>
      </c>
      <c r="AZ29" s="639">
        <v>2.9807361499999998</v>
      </c>
      <c r="BA29" s="639">
        <v>2.9650297400000003</v>
      </c>
      <c r="BB29" s="639">
        <v>2.9553927599999996</v>
      </c>
      <c r="BC29" s="639">
        <v>1.95134568</v>
      </c>
      <c r="BD29" s="639">
        <v>1.9396695900000001</v>
      </c>
      <c r="BE29" s="639">
        <v>1.9359709599999999</v>
      </c>
      <c r="BF29" s="639">
        <v>1.9164770200000001</v>
      </c>
      <c r="BG29" s="639">
        <v>1.9052659599999999</v>
      </c>
      <c r="BH29" s="639">
        <v>0.89043850999999996</v>
      </c>
      <c r="BI29" s="799">
        <v>0.88637007999999995</v>
      </c>
      <c r="BJ29" s="815">
        <v>0.88637007999999995</v>
      </c>
      <c r="BK29" s="815">
        <v>0.85998198000000003</v>
      </c>
      <c r="BL29" s="815">
        <v>0.85319076000000005</v>
      </c>
      <c r="BM29" s="815">
        <v>0.84891092000000001</v>
      </c>
      <c r="BN29" s="815">
        <v>0.84459498</v>
      </c>
      <c r="BO29" s="815">
        <v>0.7927826899999999</v>
      </c>
      <c r="BP29" s="815">
        <v>0.77263594999999996</v>
      </c>
      <c r="BQ29" s="815">
        <v>0.76893624999999999</v>
      </c>
      <c r="BR29" s="815">
        <v>0.74005490000000007</v>
      </c>
      <c r="BS29" s="815">
        <v>0.63496277000000001</v>
      </c>
      <c r="BT29" s="815">
        <v>0.3196503</v>
      </c>
      <c r="BU29" s="815">
        <v>0.17683373999999999</v>
      </c>
      <c r="BV29" s="815">
        <v>0.17276676999999999</v>
      </c>
      <c r="BW29" s="815">
        <v>0.16860033999999999</v>
      </c>
      <c r="BX29" s="815">
        <v>0.16434305999999999</v>
      </c>
      <c r="BY29" s="815">
        <v>0.16</v>
      </c>
      <c r="BZ29" s="815">
        <v>0.19850000000000001</v>
      </c>
      <c r="CA29" s="815">
        <v>0.21914624999999999</v>
      </c>
      <c r="CB29" s="815">
        <v>0.21779962999999999</v>
      </c>
      <c r="CC29" s="815">
        <v>0.25544844999999999</v>
      </c>
      <c r="CD29" s="815">
        <v>0.29635938000000001</v>
      </c>
      <c r="CE29" s="815">
        <v>0.29049578000000004</v>
      </c>
      <c r="CF29" s="815">
        <v>0.28363678000000003</v>
      </c>
      <c r="CG29" s="815">
        <v>0.49642378000000004</v>
      </c>
      <c r="CH29" s="815">
        <v>0.50451277999999999</v>
      </c>
      <c r="CI29" s="815">
        <v>0.47486658000000004</v>
      </c>
      <c r="CJ29" s="815">
        <v>0.45108908000000003</v>
      </c>
      <c r="CK29" s="815">
        <v>0.27968908000000003</v>
      </c>
      <c r="CL29" s="815">
        <v>0.26768908000000002</v>
      </c>
      <c r="CM29" s="815">
        <v>0.31978908</v>
      </c>
      <c r="CN29" s="815">
        <v>0.30074298999999999</v>
      </c>
      <c r="CO29" s="815">
        <v>0.33967509999999995</v>
      </c>
      <c r="CP29" s="815">
        <v>0.35350007</v>
      </c>
      <c r="CQ29" s="815">
        <v>0.41739736999999999</v>
      </c>
      <c r="CR29" s="815">
        <v>0.54571504000000004</v>
      </c>
      <c r="CS29" s="815">
        <v>0.69856979000000008</v>
      </c>
      <c r="CT29" s="815">
        <v>0.65880846999999998</v>
      </c>
      <c r="CU29" s="815">
        <v>0.64705281999999997</v>
      </c>
      <c r="CV29" s="815">
        <v>0.61856909000000004</v>
      </c>
      <c r="CW29" s="815">
        <v>0.71111603000000001</v>
      </c>
      <c r="CX29" s="815">
        <v>0.67366988000000005</v>
      </c>
      <c r="CY29" s="815">
        <v>1.2456321800000001</v>
      </c>
      <c r="CZ29" s="815">
        <v>1.29669199</v>
      </c>
      <c r="DA29" s="815">
        <v>1.2722749</v>
      </c>
      <c r="DB29" s="815">
        <v>1.1140137000000001</v>
      </c>
      <c r="DC29" s="815">
        <v>1.14861196</v>
      </c>
      <c r="DD29" s="815">
        <v>1.03379903</v>
      </c>
      <c r="DE29" s="815">
        <v>1.0837964899999999</v>
      </c>
      <c r="DF29" s="815">
        <v>1.4348065299999999</v>
      </c>
      <c r="DG29" s="815">
        <v>1.8587417500000001</v>
      </c>
      <c r="DH29" s="815">
        <v>2.0034793999999998</v>
      </c>
      <c r="DI29" s="815">
        <v>2.0042363399999998</v>
      </c>
      <c r="DJ29" s="815">
        <v>2.0254473100000001</v>
      </c>
      <c r="DK29" s="815">
        <v>2.11462197</v>
      </c>
      <c r="DL29" s="815">
        <v>2.1271785699999999</v>
      </c>
      <c r="DM29" s="815">
        <v>2.1280477800000002</v>
      </c>
      <c r="DN29" s="815">
        <v>2.1127762799999998</v>
      </c>
      <c r="DO29" s="815">
        <v>2.0201018500000001</v>
      </c>
      <c r="DP29" s="815">
        <v>2.05921523</v>
      </c>
      <c r="DQ29" s="815">
        <v>1.98951452</v>
      </c>
      <c r="DR29" s="815">
        <v>2.00661589</v>
      </c>
      <c r="DS29" s="815">
        <v>1.9632521199999999</v>
      </c>
      <c r="DT29" s="815">
        <v>1.9655655299999999</v>
      </c>
      <c r="DU29" s="815">
        <v>4.4526657900000002</v>
      </c>
      <c r="DV29" s="815">
        <v>4.4602689099999999</v>
      </c>
      <c r="DW29" s="815">
        <v>4.54253573</v>
      </c>
      <c r="DX29" s="815">
        <v>4.5025647700000002</v>
      </c>
      <c r="DY29" s="815">
        <v>4.4213491300000003</v>
      </c>
      <c r="DZ29" s="815">
        <v>4.4776889999999998</v>
      </c>
      <c r="EA29" s="815">
        <v>3.3174402600000001</v>
      </c>
      <c r="EB29" s="815">
        <v>3.3051423799999999</v>
      </c>
      <c r="EC29" s="815">
        <v>4.7330985700000001</v>
      </c>
      <c r="ED29" s="815">
        <v>4.6694644199999997</v>
      </c>
      <c r="EE29" s="815">
        <v>4.4961696900000003</v>
      </c>
      <c r="EF29" s="815">
        <v>5.0564205700000002</v>
      </c>
      <c r="EG29" s="815">
        <v>4.8969459799999999</v>
      </c>
      <c r="EH29" s="815">
        <v>5.6853750300000003</v>
      </c>
      <c r="EI29" s="815">
        <v>5.7365104000000002</v>
      </c>
      <c r="EJ29" s="815">
        <v>5.8018823700000004</v>
      </c>
      <c r="EK29" s="815">
        <v>5.31244081</v>
      </c>
      <c r="EL29" s="815">
        <v>6.8354424800000002</v>
      </c>
      <c r="EM29" s="815">
        <v>6.8386224799999997</v>
      </c>
      <c r="EN29" s="815">
        <v>10.88545809</v>
      </c>
      <c r="EO29" s="815">
        <v>8.2619938800000003</v>
      </c>
      <c r="EP29" s="815">
        <v>7.7199001299999992</v>
      </c>
      <c r="EQ29" s="815">
        <v>7.3557108900000001</v>
      </c>
      <c r="ER29" s="815">
        <v>8.3878429200000006</v>
      </c>
      <c r="ES29" s="815">
        <v>8.1426122500000009</v>
      </c>
      <c r="ET29" s="815">
        <v>9.1172992300000004</v>
      </c>
      <c r="EU29" s="815">
        <v>10.354994250000001</v>
      </c>
      <c r="EV29" s="815">
        <v>10.01380621</v>
      </c>
      <c r="EW29" s="815">
        <v>11.856860169999999</v>
      </c>
      <c r="EX29" s="815">
        <v>12.15506416</v>
      </c>
      <c r="EY29" s="815">
        <v>11.584339200000001</v>
      </c>
      <c r="EZ29" s="815">
        <v>11.311772250000001</v>
      </c>
      <c r="FA29" s="815">
        <v>10.88276982</v>
      </c>
      <c r="FB29" s="815">
        <v>10.47416104</v>
      </c>
      <c r="FC29" s="815">
        <v>10.03720298</v>
      </c>
      <c r="FD29" s="815">
        <v>9.6517770800000005</v>
      </c>
      <c r="FE29" s="815">
        <v>10.904278140000001</v>
      </c>
      <c r="FF29" s="815">
        <v>11.247293689999999</v>
      </c>
      <c r="FG29" s="815">
        <v>11.04447832</v>
      </c>
      <c r="FH29" s="815">
        <v>7.5534846</v>
      </c>
      <c r="FI29" s="1714" t="s">
        <v>206</v>
      </c>
    </row>
    <row r="30" spans="1:165" ht="21">
      <c r="A30" s="1745" t="s">
        <v>1961</v>
      </c>
      <c r="B30" s="804">
        <v>99.833261400000012</v>
      </c>
      <c r="C30" s="640">
        <v>99.833261400000012</v>
      </c>
      <c r="D30" s="640">
        <v>99.833261400000012</v>
      </c>
      <c r="E30" s="640">
        <v>99.833261400000012</v>
      </c>
      <c r="F30" s="640">
        <v>99.833261400000012</v>
      </c>
      <c r="G30" s="640">
        <v>100.0132614</v>
      </c>
      <c r="H30" s="640">
        <v>100.06126140000001</v>
      </c>
      <c r="I30" s="640">
        <v>100.10926140000001</v>
      </c>
      <c r="J30" s="640">
        <v>100.10863893999999</v>
      </c>
      <c r="K30" s="640">
        <v>100.12804779000001</v>
      </c>
      <c r="L30" s="640">
        <v>100.13148795000001</v>
      </c>
      <c r="M30" s="641">
        <v>100.13092625</v>
      </c>
      <c r="N30" s="641">
        <v>100.13036274</v>
      </c>
      <c r="O30" s="641">
        <v>100.12849229000001</v>
      </c>
      <c r="P30" s="641">
        <v>100.10675707999999</v>
      </c>
      <c r="Q30" s="641">
        <v>100.10553954000001</v>
      </c>
      <c r="R30" s="641">
        <v>100.12796840999999</v>
      </c>
      <c r="S30" s="641">
        <v>69.155395380000002</v>
      </c>
      <c r="T30" s="641">
        <v>69.058152059999998</v>
      </c>
      <c r="U30" s="641">
        <v>68.953679640000004</v>
      </c>
      <c r="V30" s="641">
        <v>63.411258979999999</v>
      </c>
      <c r="W30" s="641">
        <v>60.194055499999997</v>
      </c>
      <c r="X30" s="641">
        <v>56.067976719999997</v>
      </c>
      <c r="Y30" s="641">
        <v>49.830488969999998</v>
      </c>
      <c r="Z30" s="641">
        <v>49.830488969999998</v>
      </c>
      <c r="AA30" s="641">
        <v>49.579062439999994</v>
      </c>
      <c r="AB30" s="641">
        <v>48.60970777</v>
      </c>
      <c r="AC30" s="641">
        <v>48.514305069999999</v>
      </c>
      <c r="AD30" s="641">
        <v>48.341717340000002</v>
      </c>
      <c r="AE30" s="641">
        <v>48.168516090000004</v>
      </c>
      <c r="AF30" s="641">
        <v>45.792637060000004</v>
      </c>
      <c r="AG30" s="641">
        <v>45.614056979999994</v>
      </c>
      <c r="AH30" s="641">
        <v>9.9994059999999996E-2</v>
      </c>
      <c r="AI30" s="641">
        <v>9.9994059999999996E-2</v>
      </c>
      <c r="AJ30" s="641">
        <v>69.820419060000006</v>
      </c>
      <c r="AK30" s="641">
        <v>69.820419060000006</v>
      </c>
      <c r="AL30" s="641">
        <v>69.820419060000006</v>
      </c>
      <c r="AM30" s="641">
        <v>69.819415669999998</v>
      </c>
      <c r="AN30" s="641">
        <v>69.819415669999998</v>
      </c>
      <c r="AO30" s="641">
        <v>69.819363840000008</v>
      </c>
      <c r="AP30" s="641">
        <v>69.819363840000008</v>
      </c>
      <c r="AQ30" s="641">
        <v>69.819363840000008</v>
      </c>
      <c r="AR30" s="641">
        <v>169.81930683000002</v>
      </c>
      <c r="AS30" s="641">
        <v>169.81930683000002</v>
      </c>
      <c r="AT30" s="641">
        <v>169.81930683000002</v>
      </c>
      <c r="AU30" s="641">
        <v>169.81930683000002</v>
      </c>
      <c r="AV30" s="641">
        <v>169.81930683000002</v>
      </c>
      <c r="AW30" s="641">
        <v>169.81930683000002</v>
      </c>
      <c r="AX30" s="641">
        <v>169.81930683000002</v>
      </c>
      <c r="AY30" s="641">
        <v>9.8881830000000004E-2</v>
      </c>
      <c r="AZ30" s="641">
        <v>0</v>
      </c>
      <c r="BA30" s="641">
        <v>0</v>
      </c>
      <c r="BB30" s="641">
        <v>0</v>
      </c>
      <c r="BC30" s="641">
        <v>0</v>
      </c>
      <c r="BD30" s="641">
        <v>0</v>
      </c>
      <c r="BE30" s="641">
        <v>0</v>
      </c>
      <c r="BF30" s="641">
        <v>0</v>
      </c>
      <c r="BG30" s="641">
        <v>0</v>
      </c>
      <c r="BH30" s="641">
        <v>0</v>
      </c>
      <c r="BI30" s="800">
        <v>0</v>
      </c>
      <c r="BJ30" s="816">
        <v>0</v>
      </c>
      <c r="BK30" s="816">
        <v>0</v>
      </c>
      <c r="BL30" s="816">
        <v>0</v>
      </c>
      <c r="BM30" s="816">
        <v>0</v>
      </c>
      <c r="BN30" s="816">
        <v>0</v>
      </c>
      <c r="BO30" s="816">
        <v>0</v>
      </c>
      <c r="BP30" s="816">
        <v>0</v>
      </c>
      <c r="BQ30" s="816">
        <v>0</v>
      </c>
      <c r="BR30" s="816">
        <v>0</v>
      </c>
      <c r="BS30" s="816">
        <v>0</v>
      </c>
      <c r="BT30" s="816">
        <v>0</v>
      </c>
      <c r="BU30" s="816">
        <v>0</v>
      </c>
      <c r="BV30" s="816">
        <v>0</v>
      </c>
      <c r="BW30" s="816">
        <v>0</v>
      </c>
      <c r="BX30" s="816">
        <v>0</v>
      </c>
      <c r="BY30" s="816">
        <v>0</v>
      </c>
      <c r="BZ30" s="816">
        <v>0</v>
      </c>
      <c r="CA30" s="816">
        <v>0</v>
      </c>
      <c r="CB30" s="816">
        <v>0</v>
      </c>
      <c r="CC30" s="816">
        <v>0</v>
      </c>
      <c r="CD30" s="816">
        <v>0</v>
      </c>
      <c r="CE30" s="816">
        <v>0</v>
      </c>
      <c r="CF30" s="816">
        <v>0</v>
      </c>
      <c r="CG30" s="816">
        <v>0</v>
      </c>
      <c r="CH30" s="816">
        <v>0</v>
      </c>
      <c r="CI30" s="816">
        <v>0</v>
      </c>
      <c r="CJ30" s="816">
        <v>0</v>
      </c>
      <c r="CK30" s="816">
        <v>0</v>
      </c>
      <c r="CL30" s="816">
        <v>0</v>
      </c>
      <c r="CM30" s="816">
        <v>0</v>
      </c>
      <c r="CN30" s="816">
        <v>0</v>
      </c>
      <c r="CO30" s="816">
        <v>0</v>
      </c>
      <c r="CP30" s="816">
        <v>0</v>
      </c>
      <c r="CQ30" s="816">
        <v>0</v>
      </c>
      <c r="CR30" s="816">
        <v>0</v>
      </c>
      <c r="CS30" s="816">
        <v>0</v>
      </c>
      <c r="CT30" s="816">
        <v>0</v>
      </c>
      <c r="CU30" s="816">
        <v>0</v>
      </c>
      <c r="CV30" s="816">
        <v>0</v>
      </c>
      <c r="CW30" s="816">
        <v>0</v>
      </c>
      <c r="CX30" s="816">
        <v>0</v>
      </c>
      <c r="CY30" s="816">
        <v>0</v>
      </c>
      <c r="CZ30" s="816">
        <v>0</v>
      </c>
      <c r="DA30" s="816">
        <v>0</v>
      </c>
      <c r="DB30" s="816">
        <v>0</v>
      </c>
      <c r="DC30" s="816">
        <v>0</v>
      </c>
      <c r="DD30" s="816">
        <v>0</v>
      </c>
      <c r="DE30" s="816">
        <v>0</v>
      </c>
      <c r="DF30" s="816">
        <v>0.19500000000000001</v>
      </c>
      <c r="DG30" s="816">
        <v>0.23958333000000001</v>
      </c>
      <c r="DH30" s="816">
        <v>0.23244729</v>
      </c>
      <c r="DI30" s="816">
        <v>0.22523967</v>
      </c>
      <c r="DJ30" s="816">
        <v>0.21800667000000001</v>
      </c>
      <c r="DK30" s="816">
        <v>0.21076903999999999</v>
      </c>
      <c r="DL30" s="816">
        <v>0.20348448999999999</v>
      </c>
      <c r="DM30" s="816">
        <v>0.19615415</v>
      </c>
      <c r="DN30" s="816">
        <v>0.18881605000000001</v>
      </c>
      <c r="DO30" s="816">
        <v>0.18145073</v>
      </c>
      <c r="DP30" s="816">
        <v>0.14624993999999999</v>
      </c>
      <c r="DQ30" s="816">
        <v>0.1354166</v>
      </c>
      <c r="DR30" s="816">
        <v>0.28999993000000002</v>
      </c>
      <c r="DS30" s="816">
        <v>0.28458326</v>
      </c>
      <c r="DT30" s="816">
        <v>0.27916658999999999</v>
      </c>
      <c r="DU30" s="816">
        <v>0.27374991999999998</v>
      </c>
      <c r="DV30" s="816">
        <v>0.26348476999999998</v>
      </c>
      <c r="DW30" s="816">
        <v>0.25321961999999998</v>
      </c>
      <c r="DX30" s="816">
        <v>0.24837113999999999</v>
      </c>
      <c r="DY30" s="816">
        <v>0.23268932000000001</v>
      </c>
      <c r="DZ30" s="816">
        <v>0.22242417</v>
      </c>
      <c r="EA30" s="816">
        <v>0.21215902</v>
      </c>
      <c r="EB30" s="816">
        <v>0.20189387</v>
      </c>
      <c r="EC30" s="816">
        <v>0.19162872</v>
      </c>
      <c r="ED30" s="816">
        <v>0.18136357</v>
      </c>
      <c r="EE30" s="816">
        <v>0.17109842</v>
      </c>
      <c r="EF30" s="816">
        <v>0.16083327</v>
      </c>
      <c r="EG30" s="816">
        <v>0.15056812</v>
      </c>
      <c r="EH30" s="816">
        <v>0.14030297</v>
      </c>
      <c r="EI30" s="816">
        <v>0.25003782000000002</v>
      </c>
      <c r="EJ30" s="816">
        <v>0.23977266999999999</v>
      </c>
      <c r="EK30" s="816">
        <v>0.22526655000000001</v>
      </c>
      <c r="EL30" s="816">
        <v>1.41054116</v>
      </c>
      <c r="EM30" s="816">
        <v>1.3958076399999999</v>
      </c>
      <c r="EN30" s="816">
        <v>2.3809469399999998</v>
      </c>
      <c r="EO30" s="816">
        <v>2.2684469200000001</v>
      </c>
      <c r="EP30" s="816">
        <v>2.5081819199999997</v>
      </c>
      <c r="EQ30" s="816">
        <v>2.5005556599999998</v>
      </c>
      <c r="ER30" s="816">
        <v>2.40438069</v>
      </c>
      <c r="ES30" s="816">
        <v>2.3070555399999999</v>
      </c>
      <c r="ET30" s="816">
        <v>2.20672297</v>
      </c>
      <c r="EU30" s="816">
        <v>2.1072191</v>
      </c>
      <c r="EV30" s="816">
        <v>2.0060489800000001</v>
      </c>
      <c r="EW30" s="816">
        <v>3.9035774299999999</v>
      </c>
      <c r="EX30" s="816">
        <v>3.8006316</v>
      </c>
      <c r="EY30" s="816">
        <v>3.6956938199999998</v>
      </c>
      <c r="EZ30" s="816">
        <v>3.5900850200000001</v>
      </c>
      <c r="FA30" s="816">
        <v>3.4836193799999999</v>
      </c>
      <c r="FB30" s="816">
        <v>3.3755686300000001</v>
      </c>
      <c r="FC30" s="816">
        <v>3.2714419700000001</v>
      </c>
      <c r="FD30" s="816">
        <v>3.1659319799999999</v>
      </c>
      <c r="FE30" s="816">
        <v>3.15923299</v>
      </c>
      <c r="FF30" s="816">
        <v>3.1524368699999998</v>
      </c>
      <c r="FG30" s="816">
        <v>3.0955758900000001</v>
      </c>
      <c r="FH30" s="816">
        <v>2.9104671299999998</v>
      </c>
      <c r="FI30" s="1716" t="s">
        <v>4067</v>
      </c>
    </row>
    <row r="31" spans="1:165" ht="21">
      <c r="A31" s="1745" t="s">
        <v>1962</v>
      </c>
      <c r="B31" s="803">
        <f t="shared" ref="B31:V31" si="21">+B29-B30</f>
        <v>2.5912697100000059</v>
      </c>
      <c r="C31" s="638">
        <f t="shared" si="21"/>
        <v>1.875582129999998</v>
      </c>
      <c r="D31" s="638">
        <f t="shared" si="21"/>
        <v>1.8230888800000002</v>
      </c>
      <c r="E31" s="638">
        <f t="shared" si="21"/>
        <v>1.8113203399999946</v>
      </c>
      <c r="F31" s="638">
        <f t="shared" si="21"/>
        <v>1.7657112899999987</v>
      </c>
      <c r="G31" s="638">
        <f t="shared" si="21"/>
        <v>0.17000099999999918</v>
      </c>
      <c r="H31" s="638">
        <f t="shared" si="21"/>
        <v>0.24000100000000657</v>
      </c>
      <c r="I31" s="638">
        <f t="shared" si="21"/>
        <v>0.32500000000000284</v>
      </c>
      <c r="J31" s="638">
        <f t="shared" si="21"/>
        <v>0.30726199999999437</v>
      </c>
      <c r="K31" s="638">
        <f t="shared" si="21"/>
        <v>0.32350599999999474</v>
      </c>
      <c r="L31" s="638">
        <f t="shared" si="21"/>
        <v>0.37350600000000611</v>
      </c>
      <c r="M31" s="641">
        <f t="shared" si="21"/>
        <v>0.59628100000000472</v>
      </c>
      <c r="N31" s="639">
        <f t="shared" si="21"/>
        <v>0.4405050000000017</v>
      </c>
      <c r="O31" s="639">
        <f t="shared" si="21"/>
        <v>0.54050499999999602</v>
      </c>
      <c r="P31" s="639">
        <f t="shared" si="21"/>
        <v>0.53966966000000127</v>
      </c>
      <c r="Q31" s="639">
        <f t="shared" si="21"/>
        <v>0.61235046999999554</v>
      </c>
      <c r="R31" s="639">
        <f t="shared" si="21"/>
        <v>0.76743786999999486</v>
      </c>
      <c r="S31" s="639">
        <f t="shared" si="21"/>
        <v>0.80039148999999554</v>
      </c>
      <c r="T31" s="639">
        <f t="shared" si="21"/>
        <v>0.79560089000000289</v>
      </c>
      <c r="U31" s="639">
        <f t="shared" si="21"/>
        <v>0.79248038000000065</v>
      </c>
      <c r="V31" s="639">
        <f t="shared" si="21"/>
        <v>0.77311158000000546</v>
      </c>
      <c r="W31" s="639">
        <v>0.77565151000000299</v>
      </c>
      <c r="X31" s="639">
        <v>0.77706445999999829</v>
      </c>
      <c r="Y31" s="641">
        <v>0.77039967999999703</v>
      </c>
      <c r="Z31" s="639">
        <v>0.77039967999999703</v>
      </c>
      <c r="AA31" s="639">
        <v>0.76698780000000255</v>
      </c>
      <c r="AB31" s="641">
        <v>0.76457580999999664</v>
      </c>
      <c r="AC31" s="641">
        <v>0.77177223999999711</v>
      </c>
      <c r="AD31" s="641">
        <v>0.7658903900000027</v>
      </c>
      <c r="AE31" s="641">
        <v>0.76007437999999894</v>
      </c>
      <c r="AF31" s="641">
        <v>0.75524370000000118</v>
      </c>
      <c r="AG31" s="641">
        <v>0.7502058899999966</v>
      </c>
      <c r="AH31" s="641">
        <v>0.69509995999999996</v>
      </c>
      <c r="AI31" s="641">
        <f>+AI29-AI30</f>
        <v>0.74137874000000004</v>
      </c>
      <c r="AJ31" s="641">
        <v>0.75128334999999424</v>
      </c>
      <c r="AK31" s="641">
        <f>+AK29-AK30</f>
        <v>0.64670135000000073</v>
      </c>
      <c r="AL31" s="641">
        <f>+AL29-AL30</f>
        <v>0.59873738999999659</v>
      </c>
      <c r="AM31" s="641">
        <v>0.68978373000000204</v>
      </c>
      <c r="AN31" s="641">
        <f>+AN29-AN30</f>
        <v>0.68587211000000536</v>
      </c>
      <c r="AO31" s="641">
        <f>+AO29-AO30</f>
        <v>0.72228939000000025</v>
      </c>
      <c r="AP31" s="641">
        <f>+AP29-AP30</f>
        <v>0.72097574999999381</v>
      </c>
      <c r="AQ31" s="641">
        <f>+AQ29-AQ30</f>
        <v>0.71940872999999783</v>
      </c>
      <c r="AR31" s="641">
        <v>0.71544327000000862</v>
      </c>
      <c r="AS31" s="641">
        <f>+AS29-AS30</f>
        <v>0.56038831000000755</v>
      </c>
      <c r="AT31" s="641">
        <f>+AT29-AT30</f>
        <v>0.33675013999999237</v>
      </c>
      <c r="AU31" s="641">
        <f>+AU29-AU30</f>
        <v>0.73157046000000037</v>
      </c>
      <c r="AV31" s="641">
        <v>3.0092319500000144</v>
      </c>
      <c r="AW31" s="641">
        <v>2.9998269099999959</v>
      </c>
      <c r="AX31" s="641">
        <v>2.9890921100000014</v>
      </c>
      <c r="AY31" s="641">
        <v>2.9797217699999998</v>
      </c>
      <c r="AZ31" s="641">
        <v>2.9807361499999998</v>
      </c>
      <c r="BA31" s="641">
        <v>2.9650297400000003</v>
      </c>
      <c r="BB31" s="641">
        <v>2.9553927599999996</v>
      </c>
      <c r="BC31" s="641">
        <v>1.95134568</v>
      </c>
      <c r="BD31" s="641">
        <v>1.9396695900000001</v>
      </c>
      <c r="BE31" s="641">
        <f>+BE29-BE30</f>
        <v>1.9359709599999999</v>
      </c>
      <c r="BF31" s="641">
        <v>1.9164770200000001</v>
      </c>
      <c r="BG31" s="641">
        <v>1.9052659599999999</v>
      </c>
      <c r="BH31" s="641">
        <v>0.89043850999999996</v>
      </c>
      <c r="BI31" s="800">
        <v>0.88637007999999995</v>
      </c>
      <c r="BJ31" s="816">
        <v>0.88637007999999995</v>
      </c>
      <c r="BK31" s="816">
        <f>+BK29-BK30</f>
        <v>0.85998198000000003</v>
      </c>
      <c r="BL31" s="816">
        <v>0.85319076000000005</v>
      </c>
      <c r="BM31" s="816">
        <v>0.84891092000000001</v>
      </c>
      <c r="BN31" s="816">
        <v>0.84459498</v>
      </c>
      <c r="BO31" s="816">
        <v>0.7927826899999999</v>
      </c>
      <c r="BP31" s="816">
        <v>0.77263594999999996</v>
      </c>
      <c r="BQ31" s="816">
        <v>0.76893624999999999</v>
      </c>
      <c r="BR31" s="816">
        <v>0.74005490000000007</v>
      </c>
      <c r="BS31" s="816">
        <v>0.63496277000000001</v>
      </c>
      <c r="BT31" s="816">
        <v>0.3196503</v>
      </c>
      <c r="BU31" s="816">
        <v>0.17683373999999999</v>
      </c>
      <c r="BV31" s="816">
        <v>0.17276676999999999</v>
      </c>
      <c r="BW31" s="816">
        <v>0.16860033999999999</v>
      </c>
      <c r="BX31" s="816">
        <v>0.16434305999999999</v>
      </c>
      <c r="BY31" s="816">
        <v>0.16</v>
      </c>
      <c r="BZ31" s="816">
        <v>0.19850000000000001</v>
      </c>
      <c r="CA31" s="816">
        <v>0.21914624999999999</v>
      </c>
      <c r="CB31" s="816">
        <v>0.21779962999999999</v>
      </c>
      <c r="CC31" s="816">
        <v>0.25544844999999999</v>
      </c>
      <c r="CD31" s="816">
        <v>0.29635938000000001</v>
      </c>
      <c r="CE31" s="816">
        <v>0.29049578000000004</v>
      </c>
      <c r="CF31" s="816">
        <f t="shared" ref="CF31:CP31" si="22">+CF29-CF30</f>
        <v>0.28363678000000003</v>
      </c>
      <c r="CG31" s="816">
        <f t="shared" si="22"/>
        <v>0.49642378000000004</v>
      </c>
      <c r="CH31" s="816">
        <f t="shared" si="22"/>
        <v>0.50451277999999999</v>
      </c>
      <c r="CI31" s="816">
        <f t="shared" si="22"/>
        <v>0.47486658000000004</v>
      </c>
      <c r="CJ31" s="816">
        <f t="shared" si="22"/>
        <v>0.45108908000000003</v>
      </c>
      <c r="CK31" s="816">
        <f t="shared" si="22"/>
        <v>0.27968908000000003</v>
      </c>
      <c r="CL31" s="816">
        <f t="shared" si="22"/>
        <v>0.26768908000000002</v>
      </c>
      <c r="CM31" s="816">
        <f t="shared" si="22"/>
        <v>0.31978908</v>
      </c>
      <c r="CN31" s="816">
        <f t="shared" si="22"/>
        <v>0.30074298999999999</v>
      </c>
      <c r="CO31" s="816">
        <f t="shared" si="22"/>
        <v>0.33967509999999995</v>
      </c>
      <c r="CP31" s="816">
        <f t="shared" si="22"/>
        <v>0.35350007</v>
      </c>
      <c r="CQ31" s="816">
        <f>+CQ29-CQ30</f>
        <v>0.41739736999999999</v>
      </c>
      <c r="CR31" s="816">
        <f>+CR29-CR30</f>
        <v>0.54571504000000004</v>
      </c>
      <c r="CS31" s="816">
        <f>+CS29-CS30</f>
        <v>0.69856979000000008</v>
      </c>
      <c r="CT31" s="816">
        <f>+CT29-CT30</f>
        <v>0.65880846999999998</v>
      </c>
      <c r="CU31" s="816">
        <v>0.64705281999999997</v>
      </c>
      <c r="CV31" s="816">
        <f>+CV29-CV30</f>
        <v>0.61856909000000004</v>
      </c>
      <c r="CW31" s="816">
        <v>0.71111603000000001</v>
      </c>
      <c r="CX31" s="816">
        <v>0.67366988000000005</v>
      </c>
      <c r="CY31" s="816">
        <v>1.2456321800000001</v>
      </c>
      <c r="CZ31" s="816">
        <v>1.29669199</v>
      </c>
      <c r="DA31" s="816">
        <v>1.2722749</v>
      </c>
      <c r="DB31" s="816">
        <v>1.1140137000000001</v>
      </c>
      <c r="DC31" s="816">
        <v>1.14861196</v>
      </c>
      <c r="DD31" s="816">
        <f>DD29-DD30</f>
        <v>1.03379903</v>
      </c>
      <c r="DE31" s="816">
        <v>1.0837964899999999</v>
      </c>
      <c r="DF31" s="816">
        <v>1.2398065299999999</v>
      </c>
      <c r="DG31" s="816">
        <v>1.61915842</v>
      </c>
      <c r="DH31" s="816">
        <f>DH29-DH30</f>
        <v>1.7710321099999997</v>
      </c>
      <c r="DI31" s="816">
        <v>1.7789966699999997</v>
      </c>
      <c r="DJ31" s="816">
        <f>DJ29-DJ30</f>
        <v>1.80744064</v>
      </c>
      <c r="DK31" s="816">
        <v>1.90385293</v>
      </c>
      <c r="DL31" s="816">
        <v>1.92369408</v>
      </c>
      <c r="DM31" s="816">
        <v>1.9318936300000003</v>
      </c>
      <c r="DN31" s="816">
        <v>1.9239602299999998</v>
      </c>
      <c r="DO31" s="816">
        <f>DO29-DO30</f>
        <v>1.8386511200000002</v>
      </c>
      <c r="DP31" s="816">
        <f>DP29-DP30</f>
        <v>1.91296529</v>
      </c>
      <c r="DQ31" s="816">
        <v>1.8540979200000001</v>
      </c>
      <c r="DR31" s="816">
        <f>DR29-DR30</f>
        <v>1.7166159599999999</v>
      </c>
      <c r="DS31" s="816">
        <f>DS29-DS30</f>
        <v>1.6786688599999999</v>
      </c>
      <c r="DT31" s="816">
        <v>1.6863989399999999</v>
      </c>
      <c r="DU31" s="816">
        <v>4.17891587</v>
      </c>
      <c r="DV31" s="816">
        <f>DV29-DV30</f>
        <v>4.1967841400000001</v>
      </c>
      <c r="DW31" s="816">
        <f>DW29-DW30</f>
        <v>4.2893161099999997</v>
      </c>
      <c r="DX31" s="816">
        <v>4.2541936300000005</v>
      </c>
      <c r="DY31" s="816">
        <v>4.1886598099999999</v>
      </c>
      <c r="DZ31" s="816">
        <f>DZ29-DZ30</f>
        <v>4.2552648299999998</v>
      </c>
      <c r="EA31" s="816">
        <f>EA29-EA30</f>
        <v>3.1052812400000001</v>
      </c>
      <c r="EB31" s="816">
        <v>3.1032485099999998</v>
      </c>
      <c r="EC31" s="816">
        <v>4.5414698500000004</v>
      </c>
      <c r="ED31" s="816">
        <v>4.4881008499999995</v>
      </c>
      <c r="EE31" s="816">
        <v>4.3250712700000005</v>
      </c>
      <c r="EF31" s="816">
        <v>4.8955872999999999</v>
      </c>
      <c r="EG31" s="816">
        <v>4.7463778599999999</v>
      </c>
      <c r="EH31" s="816">
        <v>5.5450720600000007</v>
      </c>
      <c r="EI31" s="816">
        <v>5.48647258</v>
      </c>
      <c r="EJ31" s="816">
        <v>5.5621097000000006</v>
      </c>
      <c r="EK31" s="816">
        <f>EK29-EK30</f>
        <v>5.0871742600000003</v>
      </c>
      <c r="EL31" s="816">
        <v>5.42490132</v>
      </c>
      <c r="EM31" s="816">
        <v>5.4428148399999996</v>
      </c>
      <c r="EN31" s="816">
        <v>8.5045111500000008</v>
      </c>
      <c r="EO31" s="816">
        <f>EO29-EO30</f>
        <v>5.9935469599999998</v>
      </c>
      <c r="EP31" s="816">
        <v>5.211718209999999</v>
      </c>
      <c r="EQ31" s="816">
        <v>4.8551552300000003</v>
      </c>
      <c r="ER31" s="816">
        <v>5.9834622300000007</v>
      </c>
      <c r="ES31" s="816">
        <v>5.8355567100000005</v>
      </c>
      <c r="ET31" s="816">
        <v>6.9105762600000009</v>
      </c>
      <c r="EU31" s="816">
        <f t="shared" ref="EU31:EY31" si="23">EU29-EU30</f>
        <v>8.2477751500000007</v>
      </c>
      <c r="EV31" s="816">
        <f t="shared" si="23"/>
        <v>8.0077572299999993</v>
      </c>
      <c r="EW31" s="816">
        <f t="shared" si="23"/>
        <v>7.9532827399999988</v>
      </c>
      <c r="EX31" s="816">
        <f t="shared" si="23"/>
        <v>8.3544325599999993</v>
      </c>
      <c r="EY31" s="816">
        <f t="shared" si="23"/>
        <v>7.8886453800000007</v>
      </c>
      <c r="EZ31" s="816">
        <v>7.7216872300000006</v>
      </c>
      <c r="FA31" s="816">
        <v>7.3991504399999997</v>
      </c>
      <c r="FB31" s="816">
        <v>7.0985924100000002</v>
      </c>
      <c r="FC31" s="816">
        <v>6.7657610100000003</v>
      </c>
      <c r="FD31" s="816">
        <v>6.4858451000000006</v>
      </c>
      <c r="FE31" s="816">
        <v>7.745045150000001</v>
      </c>
      <c r="FF31" s="816">
        <v>8.0948568200000004</v>
      </c>
      <c r="FG31" s="816">
        <f t="shared" ref="FG31:FH31" si="24">FG29-FG30</f>
        <v>7.9489024299999995</v>
      </c>
      <c r="FH31" s="816">
        <f t="shared" si="24"/>
        <v>4.6430174700000002</v>
      </c>
      <c r="FI31" s="1716" t="s">
        <v>4066</v>
      </c>
    </row>
    <row r="32" spans="1:165" ht="21">
      <c r="A32" s="1746"/>
      <c r="B32" s="804"/>
      <c r="C32" s="640"/>
      <c r="D32" s="640"/>
      <c r="E32" s="640"/>
      <c r="F32" s="640"/>
      <c r="G32" s="640"/>
      <c r="H32" s="640"/>
      <c r="I32" s="640"/>
      <c r="J32" s="640"/>
      <c r="K32" s="640"/>
      <c r="L32" s="640"/>
      <c r="M32" s="641"/>
      <c r="N32" s="641"/>
      <c r="O32" s="641"/>
      <c r="P32" s="641"/>
      <c r="Q32" s="641"/>
      <c r="R32" s="641"/>
      <c r="S32" s="641"/>
      <c r="T32" s="641"/>
      <c r="U32" s="641"/>
      <c r="V32" s="641"/>
      <c r="W32" s="641"/>
      <c r="X32" s="641"/>
      <c r="Y32" s="641"/>
      <c r="Z32" s="641"/>
      <c r="AA32" s="641"/>
      <c r="AB32" s="641"/>
      <c r="AC32" s="641"/>
      <c r="AD32" s="641"/>
      <c r="AE32" s="641"/>
      <c r="AF32" s="641"/>
      <c r="AG32" s="641"/>
      <c r="AH32" s="641"/>
      <c r="AI32" s="641"/>
      <c r="AJ32" s="641"/>
      <c r="AK32" s="641"/>
      <c r="AL32" s="641"/>
      <c r="AM32" s="641"/>
      <c r="AN32" s="641"/>
      <c r="AO32" s="641"/>
      <c r="AP32" s="641"/>
      <c r="AQ32" s="641"/>
      <c r="AR32" s="641"/>
      <c r="AS32" s="641"/>
      <c r="AT32" s="641"/>
      <c r="AU32" s="641"/>
      <c r="AV32" s="641"/>
      <c r="AW32" s="641"/>
      <c r="AX32" s="641"/>
      <c r="AY32" s="641"/>
      <c r="AZ32" s="641"/>
      <c r="BA32" s="641"/>
      <c r="BB32" s="641"/>
      <c r="BC32" s="641"/>
      <c r="BD32" s="641"/>
      <c r="BE32" s="641"/>
      <c r="BF32" s="641"/>
      <c r="BG32" s="641"/>
      <c r="BH32" s="641"/>
      <c r="BI32" s="800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6"/>
      <c r="CN32" s="816"/>
      <c r="CO32" s="816"/>
      <c r="CP32" s="816"/>
      <c r="CQ32" s="816"/>
      <c r="CR32" s="816"/>
      <c r="CS32" s="816"/>
      <c r="CT32" s="816"/>
      <c r="CU32" s="816"/>
      <c r="CV32" s="816"/>
      <c r="CW32" s="816"/>
      <c r="CX32" s="816"/>
      <c r="CY32" s="816"/>
      <c r="CZ32" s="816"/>
      <c r="DA32" s="816"/>
      <c r="DB32" s="816"/>
      <c r="DC32" s="816"/>
      <c r="DD32" s="816"/>
      <c r="DE32" s="816"/>
      <c r="DF32" s="816"/>
      <c r="DG32" s="816"/>
      <c r="DH32" s="816"/>
      <c r="DI32" s="816"/>
      <c r="DJ32" s="816"/>
      <c r="DK32" s="816"/>
      <c r="DL32" s="816"/>
      <c r="DM32" s="816"/>
      <c r="DN32" s="816"/>
      <c r="DO32" s="816"/>
      <c r="DP32" s="816"/>
      <c r="DQ32" s="816"/>
      <c r="DR32" s="816"/>
      <c r="DS32" s="816"/>
      <c r="DT32" s="816"/>
      <c r="DU32" s="816"/>
      <c r="DV32" s="816"/>
      <c r="DW32" s="816"/>
      <c r="DX32" s="816"/>
      <c r="DY32" s="816"/>
      <c r="DZ32" s="816"/>
      <c r="EA32" s="816"/>
      <c r="EB32" s="816"/>
      <c r="EC32" s="816"/>
      <c r="ED32" s="816"/>
      <c r="EE32" s="816"/>
      <c r="EF32" s="816"/>
      <c r="EG32" s="816"/>
      <c r="EH32" s="816"/>
      <c r="EI32" s="816"/>
      <c r="EJ32" s="816"/>
      <c r="EK32" s="816"/>
      <c r="EL32" s="816"/>
      <c r="EM32" s="816"/>
      <c r="EN32" s="816"/>
      <c r="EO32" s="816"/>
      <c r="EP32" s="816"/>
      <c r="EQ32" s="816"/>
      <c r="ER32" s="816"/>
      <c r="ES32" s="816"/>
      <c r="ET32" s="816"/>
      <c r="EU32" s="816"/>
      <c r="EV32" s="816"/>
      <c r="EW32" s="816"/>
      <c r="EX32" s="816"/>
      <c r="EY32" s="816"/>
      <c r="EZ32" s="816"/>
      <c r="FA32" s="816"/>
      <c r="FB32" s="816"/>
      <c r="FC32" s="816"/>
      <c r="FD32" s="816"/>
      <c r="FE32" s="816"/>
      <c r="FF32" s="816"/>
      <c r="FG32" s="816"/>
      <c r="FH32" s="816"/>
      <c r="FI32" s="1715"/>
    </row>
    <row r="33" spans="1:165" ht="21">
      <c r="A33" s="1744" t="s">
        <v>2742</v>
      </c>
      <c r="B33" s="803">
        <v>0.30148459999999999</v>
      </c>
      <c r="C33" s="638">
        <v>6.8597711099999996</v>
      </c>
      <c r="D33" s="638">
        <v>6.6857836199999996</v>
      </c>
      <c r="E33" s="638">
        <v>6.80002364</v>
      </c>
      <c r="F33" s="638">
        <v>6.7424448699999999</v>
      </c>
      <c r="G33" s="638">
        <v>6.8448796600000001</v>
      </c>
      <c r="H33" s="638">
        <v>6.1892506599999999</v>
      </c>
      <c r="I33" s="638">
        <v>6.1818119200000003</v>
      </c>
      <c r="J33" s="638">
        <v>6.2997537100000001</v>
      </c>
      <c r="K33" s="638">
        <v>6.3655713499999997</v>
      </c>
      <c r="L33" s="638">
        <v>6.2953664999999992</v>
      </c>
      <c r="M33" s="639">
        <v>6.37253604</v>
      </c>
      <c r="N33" s="639">
        <v>5.5276542800000001</v>
      </c>
      <c r="O33" s="639">
        <v>5.5796778299999996</v>
      </c>
      <c r="P33" s="639">
        <v>5.9706326399999998</v>
      </c>
      <c r="Q33" s="639">
        <v>5.9777833499999993</v>
      </c>
      <c r="R33" s="639">
        <v>5.8838302200000001</v>
      </c>
      <c r="S33" s="639">
        <v>5.8696748300000001</v>
      </c>
      <c r="T33" s="639">
        <v>5.6754487400000002</v>
      </c>
      <c r="U33" s="639">
        <v>5.6847635299999997</v>
      </c>
      <c r="V33" s="639">
        <v>5.5203913599999996</v>
      </c>
      <c r="W33" s="639">
        <v>5.4723831500000006</v>
      </c>
      <c r="X33" s="639">
        <v>5.4132676799999997</v>
      </c>
      <c r="Y33" s="639">
        <v>5.2964515199999997</v>
      </c>
      <c r="Z33" s="639">
        <v>5.2964515199999997</v>
      </c>
      <c r="AA33" s="639">
        <v>45.187775160000001</v>
      </c>
      <c r="AB33" s="639">
        <v>60.433683610000003</v>
      </c>
      <c r="AC33" s="639">
        <v>60.239108480000006</v>
      </c>
      <c r="AD33" s="639">
        <v>60.355856559999999</v>
      </c>
      <c r="AE33" s="639">
        <v>60.331007019999994</v>
      </c>
      <c r="AF33" s="639">
        <v>60.345207270000003</v>
      </c>
      <c r="AG33" s="639">
        <v>59.317381669999996</v>
      </c>
      <c r="AH33" s="639">
        <v>59.313833719999998</v>
      </c>
      <c r="AI33" s="639">
        <v>59.135138289999993</v>
      </c>
      <c r="AJ33" s="639">
        <v>58.928392880000004</v>
      </c>
      <c r="AK33" s="639">
        <v>58.902437739999996</v>
      </c>
      <c r="AL33" s="639">
        <v>87.505273679999988</v>
      </c>
      <c r="AM33" s="639">
        <v>88.519814999999994</v>
      </c>
      <c r="AN33" s="639">
        <v>86.546217749999997</v>
      </c>
      <c r="AO33" s="639">
        <v>85.378795490000002</v>
      </c>
      <c r="AP33" s="639">
        <v>83.634099879999994</v>
      </c>
      <c r="AQ33" s="639">
        <v>82.630339169999999</v>
      </c>
      <c r="AR33" s="639">
        <v>85.279142050000004</v>
      </c>
      <c r="AS33" s="639">
        <v>84.005238410000004</v>
      </c>
      <c r="AT33" s="639">
        <v>86.447941380000003</v>
      </c>
      <c r="AU33" s="639">
        <f>AU25-AU29</f>
        <v>85.817478550000033</v>
      </c>
      <c r="AV33" s="639">
        <v>86.669097319999992</v>
      </c>
      <c r="AW33" s="639">
        <v>292.49462405999998</v>
      </c>
      <c r="AX33" s="639">
        <v>298.96641655000002</v>
      </c>
      <c r="AY33" s="639">
        <v>323.56424117</v>
      </c>
      <c r="AZ33" s="639">
        <v>294.15317999999996</v>
      </c>
      <c r="BA33" s="639">
        <v>290.2044492</v>
      </c>
      <c r="BB33" s="639">
        <v>286.51883249999997</v>
      </c>
      <c r="BC33" s="639">
        <v>286.34958599999999</v>
      </c>
      <c r="BD33" s="639">
        <v>286.32385780000004</v>
      </c>
      <c r="BE33" s="639">
        <v>262.26687370000002</v>
      </c>
      <c r="BF33" s="639">
        <v>253.734768</v>
      </c>
      <c r="BG33" s="639">
        <v>248.45501686999998</v>
      </c>
      <c r="BH33" s="639">
        <v>211.85821187000002</v>
      </c>
      <c r="BI33" s="799">
        <v>209.97680084999996</v>
      </c>
      <c r="BJ33" s="815">
        <v>213.89583181</v>
      </c>
      <c r="BK33" s="815">
        <f>+BK25-BK29</f>
        <v>213.83211762000002</v>
      </c>
      <c r="BL33" s="815">
        <v>208.0599823</v>
      </c>
      <c r="BM33" s="815">
        <v>210.11805520000001</v>
      </c>
      <c r="BN33" s="815">
        <v>210.16638243</v>
      </c>
      <c r="BO33" s="815">
        <v>207.15266020000001</v>
      </c>
      <c r="BP33" s="815">
        <v>206.89587743999999</v>
      </c>
      <c r="BQ33" s="815">
        <v>208.98687741000001</v>
      </c>
      <c r="BR33" s="815">
        <v>200.69087721</v>
      </c>
      <c r="BS33" s="815">
        <v>198.94394305</v>
      </c>
      <c r="BT33" s="815">
        <v>189.58030251999998</v>
      </c>
      <c r="BU33" s="815">
        <v>189.58030251999998</v>
      </c>
      <c r="BV33" s="815">
        <v>341.05174747000001</v>
      </c>
      <c r="BW33" s="815">
        <v>369.92906247000002</v>
      </c>
      <c r="BX33" s="815">
        <v>369.18439419999999</v>
      </c>
      <c r="BY33" s="815">
        <v>368.1127103</v>
      </c>
      <c r="BZ33" s="815">
        <v>367.60461220000002</v>
      </c>
      <c r="CA33" s="815">
        <v>366.76820199999997</v>
      </c>
      <c r="CB33" s="815">
        <v>367.80380200000002</v>
      </c>
      <c r="CC33" s="815">
        <v>365.29049193000003</v>
      </c>
      <c r="CD33" s="815">
        <v>335.90634892999998</v>
      </c>
      <c r="CE33" s="815">
        <v>485.02738392999998</v>
      </c>
      <c r="CF33" s="815">
        <v>504.73450493000001</v>
      </c>
      <c r="CG33" s="815">
        <v>576.19676800000002</v>
      </c>
      <c r="CH33" s="815">
        <v>576.74391000000003</v>
      </c>
      <c r="CI33" s="815">
        <v>581.35970466000003</v>
      </c>
      <c r="CJ33" s="815">
        <v>578.38656532000005</v>
      </c>
      <c r="CK33" s="815">
        <v>579.90883982000003</v>
      </c>
      <c r="CL33" s="815">
        <v>579.34804782000003</v>
      </c>
      <c r="CM33" s="815">
        <v>580.53039381999997</v>
      </c>
      <c r="CN33" s="815">
        <v>518.25115847999996</v>
      </c>
      <c r="CO33" s="815">
        <v>513.16748047999999</v>
      </c>
      <c r="CP33" s="815">
        <v>504.51746148000001</v>
      </c>
      <c r="CQ33" s="815">
        <v>490.53659648000001</v>
      </c>
      <c r="CR33" s="815">
        <v>491.02556484000002</v>
      </c>
      <c r="CS33" s="815">
        <v>489.51525297000001</v>
      </c>
      <c r="CT33" s="815">
        <v>490.92362458000002</v>
      </c>
      <c r="CU33" s="815">
        <v>481.20737466000003</v>
      </c>
      <c r="CV33" s="815">
        <v>480.46414748000001</v>
      </c>
      <c r="CW33" s="815">
        <v>478.59446561999999</v>
      </c>
      <c r="CX33" s="815">
        <v>488.05430739000002</v>
      </c>
      <c r="CY33" s="815">
        <v>482.92992100999999</v>
      </c>
      <c r="CZ33" s="815">
        <v>454.90650393999999</v>
      </c>
      <c r="DA33" s="815">
        <v>451.21324844999998</v>
      </c>
      <c r="DB33" s="815">
        <v>450.93663885000001</v>
      </c>
      <c r="DC33" s="815">
        <v>448.48106835999999</v>
      </c>
      <c r="DD33" s="815">
        <v>444.83189020999998</v>
      </c>
      <c r="DE33" s="815">
        <v>435.40695964999998</v>
      </c>
      <c r="DF33" s="815">
        <v>441.06206882999999</v>
      </c>
      <c r="DG33" s="815">
        <v>436.64597216999999</v>
      </c>
      <c r="DH33" s="815">
        <v>419.01252656000003</v>
      </c>
      <c r="DI33" s="815">
        <v>429.50593786000002</v>
      </c>
      <c r="DJ33" s="815">
        <v>422.71409252000001</v>
      </c>
      <c r="DK33" s="815">
        <v>409.03201622</v>
      </c>
      <c r="DL33" s="815">
        <v>379.99784567</v>
      </c>
      <c r="DM33" s="815">
        <v>367.27169323999999</v>
      </c>
      <c r="DN33" s="815">
        <v>351.32298460999999</v>
      </c>
      <c r="DO33" s="815">
        <v>350.42643219000001</v>
      </c>
      <c r="DP33" s="815">
        <v>381.75652014999997</v>
      </c>
      <c r="DQ33" s="815">
        <v>372.32757506000002</v>
      </c>
      <c r="DR33" s="815">
        <v>374.41439821</v>
      </c>
      <c r="DS33" s="815">
        <v>401.77977838999999</v>
      </c>
      <c r="DT33" s="815">
        <v>410.76680809999999</v>
      </c>
      <c r="DU33" s="815">
        <v>417.23164811999999</v>
      </c>
      <c r="DV33" s="815">
        <v>416.03654639000001</v>
      </c>
      <c r="DW33" s="815">
        <v>400.24523683000001</v>
      </c>
      <c r="DX33" s="815">
        <v>378.25942909000003</v>
      </c>
      <c r="DY33" s="815">
        <v>372.01150337000001</v>
      </c>
      <c r="DZ33" s="815">
        <v>356.51230131</v>
      </c>
      <c r="EA33" s="815">
        <v>355.26188716000001</v>
      </c>
      <c r="EB33" s="815">
        <v>354.01868271000001</v>
      </c>
      <c r="EC33" s="815">
        <v>339.21935091</v>
      </c>
      <c r="ED33" s="815">
        <v>316.10843070999999</v>
      </c>
      <c r="EE33" s="815">
        <v>516.94382684000004</v>
      </c>
      <c r="EF33" s="815">
        <v>476.79882574999999</v>
      </c>
      <c r="EG33" s="815">
        <v>368.18158082999997</v>
      </c>
      <c r="EH33" s="815">
        <v>408.55311827999998</v>
      </c>
      <c r="EI33" s="815">
        <v>408.88469823999998</v>
      </c>
      <c r="EJ33" s="815">
        <v>406.47606948999999</v>
      </c>
      <c r="EK33" s="815">
        <v>404.66049579999998</v>
      </c>
      <c r="EL33" s="815">
        <v>407.24774131999999</v>
      </c>
      <c r="EM33" s="815">
        <v>412.74318099999999</v>
      </c>
      <c r="EN33" s="815">
        <v>487.00601799999998</v>
      </c>
      <c r="EO33" s="815">
        <v>440.19941761000001</v>
      </c>
      <c r="EP33" s="815">
        <v>394.87269465000003</v>
      </c>
      <c r="EQ33" s="815">
        <v>408.73287629999999</v>
      </c>
      <c r="ER33" s="815">
        <v>370.48875244999999</v>
      </c>
      <c r="ES33" s="815">
        <v>357.9224413</v>
      </c>
      <c r="ET33" s="815">
        <v>356.52598724000001</v>
      </c>
      <c r="EU33" s="815">
        <v>353.47912523000002</v>
      </c>
      <c r="EV33" s="815">
        <v>340.86392705999998</v>
      </c>
      <c r="EW33" s="815">
        <v>336.23142587000001</v>
      </c>
      <c r="EX33" s="815">
        <v>320.62711468999998</v>
      </c>
      <c r="EY33" s="815">
        <v>299.63747131999997</v>
      </c>
      <c r="EZ33" s="815">
        <v>295.73399998000002</v>
      </c>
      <c r="FA33" s="815">
        <v>295.62018776000002</v>
      </c>
      <c r="FB33" s="815">
        <v>283.40035989</v>
      </c>
      <c r="FC33" s="815">
        <v>274.89250421999998</v>
      </c>
      <c r="FD33" s="815">
        <v>258.81866157000002</v>
      </c>
      <c r="FE33" s="815">
        <v>242.85686767999999</v>
      </c>
      <c r="FF33" s="815">
        <v>240.77849337999999</v>
      </c>
      <c r="FG33" s="815">
        <v>240.40868534000001</v>
      </c>
      <c r="FH33" s="815">
        <v>224.93043451</v>
      </c>
      <c r="FI33" s="1714" t="s">
        <v>4068</v>
      </c>
    </row>
    <row r="34" spans="1:165" ht="21">
      <c r="A34" s="1745" t="s">
        <v>1961</v>
      </c>
      <c r="B34" s="804">
        <v>0</v>
      </c>
      <c r="C34" s="640">
        <v>6.6098907899999997</v>
      </c>
      <c r="D34" s="640">
        <v>6.4509714599999999</v>
      </c>
      <c r="E34" s="640">
        <v>6.5842586399999998</v>
      </c>
      <c r="F34" s="640">
        <v>6.5541408700000003</v>
      </c>
      <c r="G34" s="640">
        <v>6.5695201599999997</v>
      </c>
      <c r="H34" s="640">
        <v>5.92330516</v>
      </c>
      <c r="I34" s="640">
        <v>5.9159003200000004</v>
      </c>
      <c r="J34" s="640">
        <v>6.0338082100000001</v>
      </c>
      <c r="K34" s="640">
        <v>6.1255143499999996</v>
      </c>
      <c r="L34" s="640">
        <v>6.0827940999999992</v>
      </c>
      <c r="M34" s="641">
        <v>6.1403240400000003</v>
      </c>
      <c r="N34" s="641">
        <v>5.2955310799999999</v>
      </c>
      <c r="O34" s="641">
        <v>5.3553394299999999</v>
      </c>
      <c r="P34" s="641">
        <v>5.3737803399999997</v>
      </c>
      <c r="Q34" s="641">
        <v>5.3972052699999997</v>
      </c>
      <c r="R34" s="641">
        <v>5.3194544199999996</v>
      </c>
      <c r="S34" s="641">
        <v>5.3334096999999998</v>
      </c>
      <c r="T34" s="641">
        <v>4.4881895400000005</v>
      </c>
      <c r="U34" s="641">
        <v>4.4155651100000002</v>
      </c>
      <c r="V34" s="641">
        <v>4.2528009600000001</v>
      </c>
      <c r="W34" s="641">
        <v>4.2173431500000005</v>
      </c>
      <c r="X34" s="641">
        <v>4.2173431500000005</v>
      </c>
      <c r="Y34" s="641">
        <v>4.0678222699999997</v>
      </c>
      <c r="Z34" s="641">
        <v>4.0678222699999997</v>
      </c>
      <c r="AA34" s="641">
        <v>43.952234560000001</v>
      </c>
      <c r="AB34" s="641">
        <v>58.780100590000004</v>
      </c>
      <c r="AC34" s="641">
        <v>58.587573140000003</v>
      </c>
      <c r="AD34" s="641">
        <v>58.713182310000001</v>
      </c>
      <c r="AE34" s="641">
        <v>58.696418549999997</v>
      </c>
      <c r="AF34" s="641">
        <v>58.721504830000001</v>
      </c>
      <c r="AG34" s="641">
        <v>57.877611219999999</v>
      </c>
      <c r="AH34" s="641">
        <v>57.88529106</v>
      </c>
      <c r="AI34" s="641">
        <v>57.886999869999997</v>
      </c>
      <c r="AJ34" s="641">
        <v>57.870901240000002</v>
      </c>
      <c r="AK34" s="641">
        <v>57.858799259999998</v>
      </c>
      <c r="AL34" s="641">
        <v>85.980481799999993</v>
      </c>
      <c r="AM34" s="641">
        <v>86.978553919999996</v>
      </c>
      <c r="AN34" s="641">
        <v>85.062426250000001</v>
      </c>
      <c r="AO34" s="641">
        <v>83.917182670000003</v>
      </c>
      <c r="AP34" s="641">
        <v>82.042787919999995</v>
      </c>
      <c r="AQ34" s="641">
        <v>81.056553600000001</v>
      </c>
      <c r="AR34" s="641">
        <v>83.699245410000003</v>
      </c>
      <c r="AS34" s="641">
        <v>82.425200000000004</v>
      </c>
      <c r="AT34" s="641">
        <v>84.869200000000006</v>
      </c>
      <c r="AU34" s="641">
        <f>AU26-AU30</f>
        <v>84.297200000000004</v>
      </c>
      <c r="AV34" s="641">
        <v>85.18119999999999</v>
      </c>
      <c r="AW34" s="641">
        <v>90.053600000000017</v>
      </c>
      <c r="AX34" s="641">
        <v>297.4776</v>
      </c>
      <c r="AY34" s="641">
        <v>321.97199999999998</v>
      </c>
      <c r="AZ34" s="641">
        <v>293.58</v>
      </c>
      <c r="BA34" s="641">
        <v>289.69920000000002</v>
      </c>
      <c r="BB34" s="641">
        <v>286.02</v>
      </c>
      <c r="BC34" s="641">
        <v>285.93599999999998</v>
      </c>
      <c r="BD34" s="641">
        <v>285.95280000000002</v>
      </c>
      <c r="BE34" s="641">
        <v>261.93860000000001</v>
      </c>
      <c r="BF34" s="641">
        <v>253.44900000000001</v>
      </c>
      <c r="BG34" s="641">
        <v>247.37909999999999</v>
      </c>
      <c r="BH34" s="641">
        <v>210.82480000000001</v>
      </c>
      <c r="BI34" s="800">
        <v>208.26224999999999</v>
      </c>
      <c r="BJ34" s="816">
        <v>208.66177350000001</v>
      </c>
      <c r="BK34" s="816">
        <f>+BK26-BK30</f>
        <v>208.66177350000001</v>
      </c>
      <c r="BL34" s="816">
        <v>202.7114235</v>
      </c>
      <c r="BM34" s="816">
        <v>202.6995</v>
      </c>
      <c r="BN34" s="816">
        <v>202.6995</v>
      </c>
      <c r="BO34" s="816">
        <v>202.6995</v>
      </c>
      <c r="BP34" s="816">
        <v>202.6995</v>
      </c>
      <c r="BQ34" s="816">
        <v>199.29949999999999</v>
      </c>
      <c r="BR34" s="816">
        <v>190.79949999999999</v>
      </c>
      <c r="BS34" s="816">
        <v>189.09950000000001</v>
      </c>
      <c r="BT34" s="816">
        <v>178.89949999999999</v>
      </c>
      <c r="BU34" s="816">
        <v>178.89949999999999</v>
      </c>
      <c r="BV34" s="816">
        <v>308.9495</v>
      </c>
      <c r="BW34" s="816">
        <v>308.9495</v>
      </c>
      <c r="BX34" s="816">
        <v>308.9495</v>
      </c>
      <c r="BY34" s="816">
        <v>308.9495</v>
      </c>
      <c r="BZ34" s="816">
        <v>308.9495</v>
      </c>
      <c r="CA34" s="816">
        <v>308.9495</v>
      </c>
      <c r="CB34" s="816">
        <v>308.9495</v>
      </c>
      <c r="CC34" s="816">
        <v>307.24950000000001</v>
      </c>
      <c r="CD34" s="816">
        <v>278.34949999999998</v>
      </c>
      <c r="CE34" s="816">
        <v>427.9495</v>
      </c>
      <c r="CF34" s="816">
        <v>412.64949999999999</v>
      </c>
      <c r="CG34" s="816">
        <v>501.04950000000002</v>
      </c>
      <c r="CH34" s="816">
        <v>501.04950000000002</v>
      </c>
      <c r="CI34" s="816">
        <v>495.55</v>
      </c>
      <c r="CJ34" s="816">
        <v>495.55</v>
      </c>
      <c r="CK34" s="816">
        <v>495.55</v>
      </c>
      <c r="CL34" s="816">
        <v>495.55</v>
      </c>
      <c r="CM34" s="816">
        <v>495.55</v>
      </c>
      <c r="CN34" s="816">
        <v>435.2</v>
      </c>
      <c r="CO34" s="816">
        <v>426.7</v>
      </c>
      <c r="CP34" s="816">
        <v>418.2</v>
      </c>
      <c r="CQ34" s="816">
        <v>266.05</v>
      </c>
      <c r="CR34" s="816">
        <v>396.1</v>
      </c>
      <c r="CS34" s="816">
        <v>396.1</v>
      </c>
      <c r="CT34" s="816">
        <v>396.1</v>
      </c>
      <c r="CU34" s="816">
        <v>396.1</v>
      </c>
      <c r="CV34" s="816">
        <v>396.1</v>
      </c>
      <c r="CW34" s="816">
        <v>396.1</v>
      </c>
      <c r="CX34" s="816">
        <v>396.1</v>
      </c>
      <c r="CY34" s="816">
        <v>396.1</v>
      </c>
      <c r="CZ34" s="816">
        <v>374.42500000000001</v>
      </c>
      <c r="DA34" s="816">
        <v>374.42500000000001</v>
      </c>
      <c r="DB34" s="816">
        <v>374.42500000000001</v>
      </c>
      <c r="DC34" s="816">
        <v>374.42500000000001</v>
      </c>
      <c r="DD34" s="816">
        <v>374.42500000000001</v>
      </c>
      <c r="DE34" s="816">
        <v>374.42500000000001</v>
      </c>
      <c r="DF34" s="816">
        <v>352.75</v>
      </c>
      <c r="DG34" s="816">
        <v>352.75</v>
      </c>
      <c r="DH34" s="816">
        <v>337.45</v>
      </c>
      <c r="DI34" s="816">
        <v>337.45</v>
      </c>
      <c r="DJ34" s="816">
        <v>337.45</v>
      </c>
      <c r="DK34" s="816">
        <v>322.71666668</v>
      </c>
      <c r="DL34" s="816">
        <v>301.04166667999999</v>
      </c>
      <c r="DM34" s="816">
        <v>301.04166667999999</v>
      </c>
      <c r="DN34" s="816">
        <v>285.74166667999998</v>
      </c>
      <c r="DO34" s="816">
        <v>285.74166667999998</v>
      </c>
      <c r="DP34" s="816">
        <v>314.38003667999999</v>
      </c>
      <c r="DQ34" s="816">
        <v>295.65833335999997</v>
      </c>
      <c r="DR34" s="816">
        <v>293.81383335999999</v>
      </c>
      <c r="DS34" s="816">
        <v>320.80922986000002</v>
      </c>
      <c r="DT34" s="816">
        <v>327.67977816000001</v>
      </c>
      <c r="DU34" s="816">
        <v>332.57860016000001</v>
      </c>
      <c r="DV34" s="816">
        <v>332.57860016000001</v>
      </c>
      <c r="DW34" s="816">
        <v>317.84526683000001</v>
      </c>
      <c r="DX34" s="816">
        <v>296.17026683</v>
      </c>
      <c r="DY34" s="816">
        <v>296.17026683</v>
      </c>
      <c r="DZ34" s="816">
        <v>280.87026682999999</v>
      </c>
      <c r="EA34" s="816">
        <v>280.87026682999999</v>
      </c>
      <c r="EB34" s="816">
        <v>280.87026682999999</v>
      </c>
      <c r="EC34" s="816">
        <v>266.13693351000001</v>
      </c>
      <c r="ED34" s="816">
        <v>244.46193350999999</v>
      </c>
      <c r="EE34" s="816">
        <v>447.86693351000002</v>
      </c>
      <c r="EF34" s="816">
        <v>407.91693350999998</v>
      </c>
      <c r="EG34" s="816">
        <v>301.95026680000001</v>
      </c>
      <c r="EH34" s="816">
        <v>301.95026680000001</v>
      </c>
      <c r="EI34" s="816">
        <v>301.95026680000001</v>
      </c>
      <c r="EJ34" s="816">
        <v>301.95026680000001</v>
      </c>
      <c r="EK34" s="816">
        <v>301.95026680000001</v>
      </c>
      <c r="EL34" s="816">
        <v>301.95026680000001</v>
      </c>
      <c r="EM34" s="816">
        <v>295.88445653000002</v>
      </c>
      <c r="EN34" s="816">
        <v>364.23738477000001</v>
      </c>
      <c r="EO34" s="816">
        <v>318.90405138</v>
      </c>
      <c r="EP34" s="816">
        <v>279.79805455000002</v>
      </c>
      <c r="EQ34" s="816">
        <v>296.40705455</v>
      </c>
      <c r="ER34" s="816">
        <v>258.39999999999998</v>
      </c>
      <c r="ES34" s="816">
        <v>245.11875000000001</v>
      </c>
      <c r="ET34" s="816">
        <v>245.11875000000001</v>
      </c>
      <c r="EU34" s="816">
        <v>245.11875000000001</v>
      </c>
      <c r="EV34" s="816">
        <v>231.83750000000001</v>
      </c>
      <c r="EW34" s="816">
        <v>231.83750000000001</v>
      </c>
      <c r="EX34" s="816">
        <v>216.53749999999999</v>
      </c>
      <c r="EY34" s="816">
        <v>203.25624999999999</v>
      </c>
      <c r="EZ34" s="816">
        <v>203.25624999999999</v>
      </c>
      <c r="FA34" s="816">
        <v>203.25624999999999</v>
      </c>
      <c r="FB34" s="816">
        <v>191.67500000000001</v>
      </c>
      <c r="FC34" s="816">
        <v>191.67500000000001</v>
      </c>
      <c r="FD34" s="816">
        <v>176.08584888999999</v>
      </c>
      <c r="FE34" s="816">
        <v>162.80459888999999</v>
      </c>
      <c r="FF34" s="816">
        <v>162.80459888999999</v>
      </c>
      <c r="FG34" s="816">
        <v>162.80459888999999</v>
      </c>
      <c r="FH34" s="816">
        <v>149.52334888999999</v>
      </c>
      <c r="FI34" s="1716" t="s">
        <v>4067</v>
      </c>
    </row>
    <row r="35" spans="1:165" ht="21">
      <c r="A35" s="1747" t="s">
        <v>1962</v>
      </c>
      <c r="B35" s="805">
        <f t="shared" ref="B35:V35" si="25">+B33-B34</f>
        <v>0.30148459999999999</v>
      </c>
      <c r="C35" s="646">
        <f t="shared" si="25"/>
        <v>0.24988031999999993</v>
      </c>
      <c r="D35" s="646">
        <f t="shared" si="25"/>
        <v>0.23481215999999971</v>
      </c>
      <c r="E35" s="646">
        <f t="shared" si="25"/>
        <v>0.21576500000000021</v>
      </c>
      <c r="F35" s="646">
        <f t="shared" si="25"/>
        <v>0.18830399999999958</v>
      </c>
      <c r="G35" s="646">
        <f t="shared" si="25"/>
        <v>0.27535950000000042</v>
      </c>
      <c r="H35" s="646">
        <f t="shared" si="25"/>
        <v>0.26594549999999995</v>
      </c>
      <c r="I35" s="646">
        <f t="shared" si="25"/>
        <v>0.26591159999999991</v>
      </c>
      <c r="J35" s="646">
        <f t="shared" si="25"/>
        <v>0.26594549999999995</v>
      </c>
      <c r="K35" s="646">
        <f t="shared" si="25"/>
        <v>0.24005700000000019</v>
      </c>
      <c r="L35" s="646">
        <f t="shared" si="25"/>
        <v>0.21257239999999999</v>
      </c>
      <c r="M35" s="642">
        <f t="shared" si="25"/>
        <v>0.23221199999999964</v>
      </c>
      <c r="N35" s="644">
        <f t="shared" si="25"/>
        <v>0.2321232000000002</v>
      </c>
      <c r="O35" s="644">
        <f t="shared" si="25"/>
        <v>0.22433839999999972</v>
      </c>
      <c r="P35" s="644">
        <f t="shared" si="25"/>
        <v>0.59685230000000011</v>
      </c>
      <c r="Q35" s="644">
        <f t="shared" si="25"/>
        <v>0.58057807999999955</v>
      </c>
      <c r="R35" s="644">
        <f t="shared" si="25"/>
        <v>0.56437580000000054</v>
      </c>
      <c r="S35" s="644">
        <f t="shared" si="25"/>
        <v>0.53626513000000031</v>
      </c>
      <c r="T35" s="644">
        <f t="shared" si="25"/>
        <v>1.1872591999999997</v>
      </c>
      <c r="U35" s="644">
        <f t="shared" si="25"/>
        <v>1.2691984199999995</v>
      </c>
      <c r="V35" s="644">
        <f t="shared" si="25"/>
        <v>1.2675903999999996</v>
      </c>
      <c r="W35" s="644">
        <v>1.2550400000000002</v>
      </c>
      <c r="X35" s="644">
        <v>1.1959245299999992</v>
      </c>
      <c r="Y35" s="642">
        <v>1.22862925</v>
      </c>
      <c r="Z35" s="644">
        <v>1.22862925</v>
      </c>
      <c r="AA35" s="644">
        <v>1.2355406000000002</v>
      </c>
      <c r="AB35" s="642">
        <v>1.6535830199999992</v>
      </c>
      <c r="AC35" s="642">
        <v>1.6515353400000023</v>
      </c>
      <c r="AD35" s="642">
        <v>1.6426742499999989</v>
      </c>
      <c r="AE35" s="642">
        <v>1.6345884699999971</v>
      </c>
      <c r="AF35" s="642">
        <v>1.6237024400000024</v>
      </c>
      <c r="AG35" s="642">
        <v>1.4397704499999975</v>
      </c>
      <c r="AH35" s="642">
        <v>1.428542659999998</v>
      </c>
      <c r="AI35" s="642">
        <f>+AI33-AI34</f>
        <v>1.2481384199999965</v>
      </c>
      <c r="AJ35" s="642">
        <v>1.0574916400000021</v>
      </c>
      <c r="AK35" s="642">
        <f>+AK33-AK34</f>
        <v>1.0436384799999985</v>
      </c>
      <c r="AL35" s="642">
        <f>+AL33-AL34</f>
        <v>1.5247918799999951</v>
      </c>
      <c r="AM35" s="642">
        <v>1.5412610799999982</v>
      </c>
      <c r="AN35" s="642">
        <f>+AN33-AN34</f>
        <v>1.4837914999999953</v>
      </c>
      <c r="AO35" s="642">
        <f>+AO33-AO34</f>
        <v>1.4616128199999991</v>
      </c>
      <c r="AP35" s="642">
        <f>+AP33-AP34</f>
        <v>1.5913119599999987</v>
      </c>
      <c r="AQ35" s="642">
        <f>+AQ33-AQ34</f>
        <v>1.5737855699999983</v>
      </c>
      <c r="AR35" s="642">
        <v>1.5798966400000012</v>
      </c>
      <c r="AS35" s="642">
        <f>+AS33-AS34</f>
        <v>1.5800384100000002</v>
      </c>
      <c r="AT35" s="642">
        <f>+AT33-AT34</f>
        <v>1.5787413799999968</v>
      </c>
      <c r="AU35" s="642">
        <f>AU27-AU31</f>
        <v>1.5202785500000697</v>
      </c>
      <c r="AV35" s="642">
        <v>1.4878973200000036</v>
      </c>
      <c r="AW35" s="642">
        <v>202.44102405999988</v>
      </c>
      <c r="AX35" s="642">
        <v>1.4888165500000259</v>
      </c>
      <c r="AY35" s="642">
        <v>1.5922411700000629</v>
      </c>
      <c r="AZ35" s="642">
        <v>0.57317999999997937</v>
      </c>
      <c r="BA35" s="642">
        <v>0.50524919999998019</v>
      </c>
      <c r="BB35" s="642">
        <v>0.4988324999999918</v>
      </c>
      <c r="BC35" s="642">
        <v>0.41358600000000934</v>
      </c>
      <c r="BD35" s="642">
        <v>0.37105780000001687</v>
      </c>
      <c r="BE35" s="642">
        <f>+BE33-BE34</f>
        <v>0.3282737000000111</v>
      </c>
      <c r="BF35" s="642">
        <v>0.28576799999999025</v>
      </c>
      <c r="BG35" s="642">
        <v>1.0759168699999861</v>
      </c>
      <c r="BH35" s="642">
        <v>1.033411870000009</v>
      </c>
      <c r="BI35" s="801">
        <v>1.7145508499999664</v>
      </c>
      <c r="BJ35" s="818">
        <v>5.2340583099999947</v>
      </c>
      <c r="BK35" s="818">
        <f>+BK33-BK34</f>
        <v>5.17034412000001</v>
      </c>
      <c r="BL35" s="818">
        <v>5.3485588000000064</v>
      </c>
      <c r="BM35" s="818">
        <v>7.4185552000000143</v>
      </c>
      <c r="BN35" s="818">
        <v>7.4668824299999983</v>
      </c>
      <c r="BO35" s="818">
        <v>4.4531602000000134</v>
      </c>
      <c r="BP35" s="818">
        <v>4.196377439999992</v>
      </c>
      <c r="BQ35" s="818">
        <v>9.6873774100000105</v>
      </c>
      <c r="BR35" s="818">
        <v>9.8913772100000017</v>
      </c>
      <c r="BS35" s="818">
        <v>9.8444430499999953</v>
      </c>
      <c r="BT35" s="818">
        <v>10.680802519999986</v>
      </c>
      <c r="BU35" s="818">
        <v>10.680802519999986</v>
      </c>
      <c r="BV35" s="818">
        <v>32.102247470000009</v>
      </c>
      <c r="BW35" s="818">
        <v>60.979562470000019</v>
      </c>
      <c r="BX35" s="818">
        <v>60.234894199999985</v>
      </c>
      <c r="BY35" s="818">
        <v>59.163210300000003</v>
      </c>
      <c r="BZ35" s="818">
        <v>58.655112200000019</v>
      </c>
      <c r="CA35" s="818">
        <v>57.818701999999973</v>
      </c>
      <c r="CB35" s="818">
        <v>58.854302000000018</v>
      </c>
      <c r="CC35" s="818">
        <v>58.040991930000018</v>
      </c>
      <c r="CD35" s="818">
        <v>57.556848930000001</v>
      </c>
      <c r="CE35" s="818">
        <v>57.077883929999985</v>
      </c>
      <c r="CF35" s="818">
        <f t="shared" ref="CF35:CP35" si="26">+CF33-CF34</f>
        <v>92.085004930000025</v>
      </c>
      <c r="CG35" s="818">
        <f t="shared" si="26"/>
        <v>75.147267999999997</v>
      </c>
      <c r="CH35" s="818">
        <f t="shared" si="26"/>
        <v>75.694410000000005</v>
      </c>
      <c r="CI35" s="818">
        <f t="shared" si="26"/>
        <v>85.809704660000023</v>
      </c>
      <c r="CJ35" s="818">
        <f t="shared" si="26"/>
        <v>82.836565320000034</v>
      </c>
      <c r="CK35" s="818">
        <f t="shared" si="26"/>
        <v>84.358839820000014</v>
      </c>
      <c r="CL35" s="818">
        <f t="shared" si="26"/>
        <v>83.798047820000022</v>
      </c>
      <c r="CM35" s="818">
        <f t="shared" si="26"/>
        <v>84.980393819999961</v>
      </c>
      <c r="CN35" s="818">
        <f t="shared" si="26"/>
        <v>83.05115847999997</v>
      </c>
      <c r="CO35" s="818">
        <f t="shared" si="26"/>
        <v>86.467480480000006</v>
      </c>
      <c r="CP35" s="818">
        <f t="shared" si="26"/>
        <v>86.31746148000002</v>
      </c>
      <c r="CQ35" s="818">
        <f>+CQ33-CQ34</f>
        <v>224.48659648</v>
      </c>
      <c r="CR35" s="818">
        <f>+CR33-CR34</f>
        <v>94.925564839999993</v>
      </c>
      <c r="CS35" s="818">
        <f>+CS33-CS34</f>
        <v>93.415252969999983</v>
      </c>
      <c r="CT35" s="818">
        <f>+CT33-CT34</f>
        <v>94.823624580000001</v>
      </c>
      <c r="CU35" s="818">
        <v>85.107374660000005</v>
      </c>
      <c r="CV35" s="818">
        <f>+CV33-CV34</f>
        <v>84.364147479999986</v>
      </c>
      <c r="CW35" s="818">
        <v>82.494465619999971</v>
      </c>
      <c r="CX35" s="818">
        <v>91.954307389999997</v>
      </c>
      <c r="CY35" s="818">
        <v>86.829921009999964</v>
      </c>
      <c r="CZ35" s="818">
        <v>80.481503939999982</v>
      </c>
      <c r="DA35" s="818">
        <v>76.788248449999969</v>
      </c>
      <c r="DB35" s="818">
        <v>76.511638849999997</v>
      </c>
      <c r="DC35" s="818">
        <v>74.056068359999983</v>
      </c>
      <c r="DD35" s="818">
        <f>DD33-DD34</f>
        <v>70.406890209999972</v>
      </c>
      <c r="DE35" s="818">
        <v>60.981959649999965</v>
      </c>
      <c r="DF35" s="818">
        <v>88.312068829999987</v>
      </c>
      <c r="DG35" s="818">
        <v>83.895972169999993</v>
      </c>
      <c r="DH35" s="818">
        <f>DH33-DH34</f>
        <v>81.562526560000038</v>
      </c>
      <c r="DI35" s="818">
        <v>92.055937860000029</v>
      </c>
      <c r="DJ35" s="818">
        <f>DJ33-DJ34</f>
        <v>85.26409252000002</v>
      </c>
      <c r="DK35" s="818">
        <v>86.31534954</v>
      </c>
      <c r="DL35" s="818">
        <v>78.956178990000012</v>
      </c>
      <c r="DM35" s="818">
        <v>66.230026559999999</v>
      </c>
      <c r="DN35" s="818">
        <v>65.581317930000012</v>
      </c>
      <c r="DO35" s="818">
        <f>DO33-DO34</f>
        <v>64.684765510000034</v>
      </c>
      <c r="DP35" s="818">
        <f>DP33-DP34</f>
        <v>67.376483469999982</v>
      </c>
      <c r="DQ35" s="818">
        <v>76.669241700000043</v>
      </c>
      <c r="DR35" s="818">
        <f>DR33-DR34</f>
        <v>80.600564850000012</v>
      </c>
      <c r="DS35" s="818">
        <f>DS33-DS34</f>
        <v>80.970548529999974</v>
      </c>
      <c r="DT35" s="818">
        <v>83.087029939999979</v>
      </c>
      <c r="DU35" s="818">
        <v>84.653047959999981</v>
      </c>
      <c r="DV35" s="818">
        <f>DV33-DV34</f>
        <v>83.457946230000005</v>
      </c>
      <c r="DW35" s="818">
        <f>DW33-DW34</f>
        <v>82.399969999999996</v>
      </c>
      <c r="DX35" s="818">
        <v>82.089162260000023</v>
      </c>
      <c r="DY35" s="818">
        <v>75.841236540000011</v>
      </c>
      <c r="DZ35" s="818">
        <f>DZ33-DZ34</f>
        <v>75.642034480000007</v>
      </c>
      <c r="EA35" s="818">
        <f>EA33-EA34</f>
        <v>74.391620330000023</v>
      </c>
      <c r="EB35" s="818">
        <v>73.148415880000016</v>
      </c>
      <c r="EC35" s="818">
        <v>73.082417399999997</v>
      </c>
      <c r="ED35" s="818">
        <f>ED33-ED34</f>
        <v>71.646497199999999</v>
      </c>
      <c r="EE35" s="818">
        <v>69.076893330000019</v>
      </c>
      <c r="EF35" s="818">
        <v>68.881892240000013</v>
      </c>
      <c r="EG35" s="818">
        <v>66.231314029999965</v>
      </c>
      <c r="EH35" s="818">
        <v>106.60285147999997</v>
      </c>
      <c r="EI35" s="818">
        <v>106.93443143999997</v>
      </c>
      <c r="EJ35" s="818">
        <v>104.52580268999998</v>
      </c>
      <c r="EK35" s="818">
        <f>EK33-EK34</f>
        <v>102.71022899999997</v>
      </c>
      <c r="EL35" s="816">
        <v>105.29747451999998</v>
      </c>
      <c r="EM35" s="816">
        <v>116.85872446999997</v>
      </c>
      <c r="EN35" s="816">
        <v>122.76863322999998</v>
      </c>
      <c r="EO35" s="816">
        <f>EO33-EO34</f>
        <v>121.29536623000001</v>
      </c>
      <c r="EP35" s="816">
        <v>115.07464010000001</v>
      </c>
      <c r="EQ35" s="816">
        <v>112.32582174999999</v>
      </c>
      <c r="ER35" s="816">
        <v>112.08875245000002</v>
      </c>
      <c r="ES35" s="816">
        <v>112.8036913</v>
      </c>
      <c r="ET35" s="816">
        <v>111.40723724</v>
      </c>
      <c r="EU35" s="816">
        <f t="shared" ref="EU35:EY35" si="27">EU33-EU34</f>
        <v>108.36037523000002</v>
      </c>
      <c r="EV35" s="816">
        <f t="shared" si="27"/>
        <v>109.02642705999997</v>
      </c>
      <c r="EW35" s="816">
        <f t="shared" si="27"/>
        <v>104.39392587</v>
      </c>
      <c r="EX35" s="816">
        <f t="shared" si="27"/>
        <v>104.08961468999999</v>
      </c>
      <c r="EY35" s="816">
        <f t="shared" si="27"/>
        <v>96.38122131999998</v>
      </c>
      <c r="EZ35" s="816">
        <v>92.477749980000027</v>
      </c>
      <c r="FA35" s="816">
        <v>92.363937760000027</v>
      </c>
      <c r="FB35" s="816">
        <v>91.725359889999993</v>
      </c>
      <c r="FC35" s="816">
        <v>83.217504219999967</v>
      </c>
      <c r="FD35" s="816">
        <v>82.732812680000023</v>
      </c>
      <c r="FE35" s="816">
        <v>80.052268789999999</v>
      </c>
      <c r="FF35" s="816">
        <v>77.973894489999992</v>
      </c>
      <c r="FG35" s="816">
        <f>FG33-FG34</f>
        <v>77.604086450000011</v>
      </c>
      <c r="FH35" s="816">
        <f>FH33-FH34</f>
        <v>75.407085620000004</v>
      </c>
      <c r="FI35" s="1717" t="s">
        <v>4066</v>
      </c>
    </row>
    <row r="36" spans="1:165" s="736" customFormat="1" ht="39" customHeight="1">
      <c r="A36" s="2306" t="s">
        <v>3278</v>
      </c>
      <c r="B36" s="2306"/>
      <c r="C36" s="2306"/>
      <c r="D36" s="2306"/>
      <c r="E36" s="2306"/>
      <c r="F36" s="2306"/>
      <c r="G36" s="2306"/>
      <c r="H36" s="2306"/>
      <c r="I36" s="2306"/>
      <c r="J36" s="2306"/>
      <c r="K36" s="2306"/>
      <c r="L36" s="2306"/>
      <c r="M36" s="2306"/>
      <c r="N36" s="2306"/>
      <c r="O36" s="2306"/>
      <c r="P36" s="2306"/>
      <c r="Q36" s="2306"/>
      <c r="R36" s="2306"/>
      <c r="S36" s="2306"/>
      <c r="T36" s="2306"/>
      <c r="U36" s="2306"/>
      <c r="V36" s="2306"/>
      <c r="W36" s="2306"/>
      <c r="X36" s="2306"/>
      <c r="Y36" s="2306"/>
      <c r="Z36" s="2306"/>
      <c r="AA36" s="2306"/>
      <c r="AB36" s="2306"/>
      <c r="AC36" s="2306"/>
      <c r="AD36" s="2306"/>
      <c r="AE36" s="2306"/>
      <c r="AF36" s="2306"/>
      <c r="AG36" s="2306"/>
      <c r="AH36" s="2306"/>
      <c r="AI36" s="2306"/>
      <c r="AJ36" s="2306"/>
      <c r="AK36" s="2306"/>
      <c r="AL36" s="2306"/>
      <c r="AM36" s="2306"/>
      <c r="AN36" s="2306"/>
      <c r="AO36" s="2306"/>
      <c r="AP36" s="2306"/>
      <c r="AQ36" s="2306"/>
      <c r="AR36" s="2306"/>
      <c r="AS36" s="2306"/>
      <c r="AT36" s="2306"/>
      <c r="AU36" s="2306"/>
      <c r="AV36" s="2306"/>
      <c r="AW36" s="2306"/>
      <c r="AX36" s="2306"/>
      <c r="AY36" s="2306"/>
      <c r="AZ36" s="2306"/>
      <c r="BA36" s="2306"/>
      <c r="BB36" s="2306"/>
      <c r="BC36" s="2306"/>
      <c r="BD36" s="2306"/>
      <c r="BE36" s="2306"/>
      <c r="BF36" s="2306"/>
      <c r="BG36" s="2306"/>
      <c r="BH36" s="2306"/>
      <c r="BI36" s="2306"/>
      <c r="BJ36" s="2306"/>
      <c r="BK36" s="2306"/>
      <c r="BL36" s="2306"/>
      <c r="BM36" s="2306"/>
      <c r="BN36" s="2306"/>
      <c r="BO36" s="2306"/>
      <c r="BP36" s="2306"/>
      <c r="BQ36" s="2306"/>
      <c r="BR36" s="2306"/>
      <c r="BS36" s="2306"/>
      <c r="BT36" s="2306"/>
      <c r="BU36" s="2306"/>
      <c r="BV36" s="2306"/>
      <c r="BW36" s="2306"/>
      <c r="BX36" s="2306"/>
      <c r="BY36" s="2306"/>
      <c r="BZ36" s="2306"/>
      <c r="CA36" s="2306"/>
      <c r="CB36" s="2306"/>
      <c r="CC36" s="2306"/>
      <c r="CD36" s="2306"/>
      <c r="CE36" s="2306"/>
      <c r="CF36" s="2306"/>
      <c r="CG36" s="2306"/>
      <c r="CH36" s="2306"/>
      <c r="CI36" s="2306"/>
      <c r="CJ36" s="2306"/>
      <c r="CK36" s="2306"/>
      <c r="CL36" s="2306"/>
      <c r="CM36" s="2306"/>
      <c r="CN36" s="2306"/>
      <c r="CO36" s="2306"/>
      <c r="CP36" s="2306"/>
      <c r="CQ36" s="2306"/>
      <c r="CR36" s="2306"/>
      <c r="CS36" s="2306"/>
      <c r="CT36" s="2306"/>
      <c r="CU36" s="2306"/>
      <c r="CV36" s="2306"/>
      <c r="CW36" s="2306"/>
      <c r="CX36" s="2306"/>
      <c r="CY36" s="2306"/>
      <c r="CZ36" s="2306"/>
      <c r="DA36" s="2306"/>
      <c r="DB36" s="2306"/>
      <c r="DC36" s="2306"/>
      <c r="DD36" s="2306"/>
      <c r="DE36" s="2306"/>
      <c r="DF36" s="2306"/>
      <c r="DG36" s="2306"/>
      <c r="DH36" s="2306"/>
      <c r="DI36" s="2306"/>
      <c r="DJ36" s="2306"/>
      <c r="DK36" s="2306"/>
      <c r="DL36" s="2306"/>
      <c r="DM36" s="2306"/>
      <c r="DN36" s="2306"/>
      <c r="DO36" s="2306"/>
      <c r="DP36" s="2306"/>
      <c r="DQ36" s="2306"/>
      <c r="DR36" s="2306"/>
      <c r="DS36" s="2306"/>
      <c r="DT36" s="2306"/>
      <c r="DU36" s="2306"/>
      <c r="DV36" s="2306"/>
      <c r="DW36" s="2306"/>
      <c r="DX36" s="2306"/>
      <c r="DY36" s="2306"/>
      <c r="DZ36" s="2306"/>
      <c r="EA36" s="2306"/>
      <c r="EB36" s="2307"/>
      <c r="EC36" s="2307"/>
      <c r="ED36" s="2307"/>
      <c r="EE36" s="2307"/>
      <c r="EF36" s="2307"/>
      <c r="EG36" s="2307"/>
      <c r="EH36" s="2307"/>
      <c r="EI36" s="2307"/>
      <c r="EJ36" s="2307"/>
      <c r="EK36" s="2307"/>
      <c r="EL36" s="2307"/>
      <c r="EM36" s="2307"/>
      <c r="EN36" s="2307"/>
      <c r="EO36" s="2307"/>
      <c r="EP36" s="2307"/>
      <c r="EQ36" s="2307"/>
      <c r="ER36" s="2307"/>
      <c r="ES36" s="2307"/>
      <c r="ET36" s="2307"/>
      <c r="EU36" s="2307"/>
      <c r="EV36" s="2307"/>
      <c r="EW36" s="2307"/>
      <c r="EX36" s="2307"/>
      <c r="EY36" s="2307"/>
      <c r="EZ36" s="2307"/>
      <c r="FA36" s="2307"/>
      <c r="FB36" s="2307"/>
      <c r="FC36" s="2307"/>
      <c r="FD36" s="2307"/>
      <c r="FE36" s="2307"/>
      <c r="FF36" s="2307"/>
      <c r="FG36" s="2307"/>
      <c r="FH36" s="2306"/>
    </row>
    <row r="37" spans="1:165" ht="18">
      <c r="A37" s="759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</row>
    <row r="38" spans="1:165" ht="18">
      <c r="A38" s="760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</row>
    <row r="39" spans="1:165" ht="18">
      <c r="A39" s="759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0"/>
      <c r="BP39" s="270"/>
      <c r="BQ39" s="270"/>
      <c r="BR39" s="270"/>
      <c r="BS39" s="270"/>
      <c r="BT39" s="270"/>
      <c r="BU39" s="270"/>
      <c r="BV39" s="270"/>
      <c r="BW39" s="270"/>
      <c r="BX39" s="270"/>
      <c r="BY39" s="270"/>
      <c r="BZ39" s="270"/>
      <c r="CA39" s="270"/>
      <c r="CB39" s="270"/>
      <c r="CC39" s="270"/>
      <c r="CD39" s="270"/>
      <c r="CE39" s="270"/>
    </row>
    <row r="40" spans="1:165" ht="18">
      <c r="A40" s="760"/>
      <c r="B40" s="271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</row>
    <row r="41" spans="1:165" ht="18">
      <c r="A41" s="759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70"/>
      <c r="AS41" s="270"/>
      <c r="AT41" s="270"/>
      <c r="AU41" s="270"/>
      <c r="AV41" s="270"/>
      <c r="AW41" s="270"/>
      <c r="AX41" s="270"/>
      <c r="AY41" s="270"/>
      <c r="AZ41" s="270"/>
      <c r="BA41" s="270"/>
      <c r="BB41" s="270"/>
      <c r="BC41" s="270"/>
      <c r="BD41" s="270"/>
      <c r="BE41" s="270"/>
      <c r="BF41" s="270"/>
      <c r="BG41" s="270"/>
      <c r="BH41" s="270"/>
      <c r="BI41" s="270"/>
      <c r="BJ41" s="270"/>
      <c r="BK41" s="270"/>
      <c r="BL41" s="270"/>
      <c r="BM41" s="270"/>
      <c r="BN41" s="270"/>
      <c r="BO41" s="270"/>
      <c r="BP41" s="270"/>
      <c r="BQ41" s="270"/>
      <c r="BR41" s="270"/>
      <c r="BS41" s="270"/>
      <c r="BT41" s="270"/>
      <c r="BU41" s="270"/>
      <c r="BV41" s="270"/>
      <c r="BW41" s="270"/>
      <c r="BX41" s="270"/>
      <c r="BY41" s="270"/>
      <c r="BZ41" s="270"/>
      <c r="CA41" s="270"/>
      <c r="CB41" s="270"/>
      <c r="CC41" s="270"/>
      <c r="CD41" s="270"/>
      <c r="CE41" s="270"/>
    </row>
    <row r="42" spans="1:165" ht="18">
      <c r="A42" s="761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0"/>
      <c r="AZ42" s="270"/>
      <c r="BA42" s="270"/>
      <c r="BB42" s="270"/>
      <c r="BC42" s="270"/>
      <c r="BD42" s="270"/>
      <c r="BE42" s="270"/>
      <c r="BF42" s="270"/>
      <c r="BG42" s="270"/>
      <c r="BH42" s="270"/>
      <c r="BI42" s="270"/>
      <c r="BJ42" s="270"/>
      <c r="BK42" s="270"/>
      <c r="BL42" s="270"/>
      <c r="BM42" s="270"/>
      <c r="BN42" s="270"/>
      <c r="BO42" s="270"/>
      <c r="BP42" s="270"/>
      <c r="BQ42" s="270"/>
      <c r="BR42" s="270"/>
      <c r="BS42" s="270"/>
      <c r="BT42" s="270"/>
      <c r="BU42" s="270"/>
      <c r="BV42" s="270"/>
      <c r="BW42" s="270"/>
      <c r="BX42" s="270"/>
      <c r="BY42" s="270"/>
      <c r="BZ42" s="270"/>
      <c r="CA42" s="270"/>
      <c r="CB42" s="270"/>
      <c r="CC42" s="270"/>
      <c r="CD42" s="270"/>
      <c r="CE42" s="270"/>
    </row>
    <row r="43" spans="1:165" ht="18">
      <c r="A43" s="762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  <c r="BX43" s="271"/>
      <c r="BY43" s="271"/>
      <c r="BZ43" s="271"/>
      <c r="CA43" s="271"/>
      <c r="CB43" s="271"/>
      <c r="CC43" s="271"/>
      <c r="CD43" s="271"/>
      <c r="CE43" s="271"/>
    </row>
    <row r="44" spans="1:165" ht="18">
      <c r="A44" s="759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  <c r="BP44" s="270"/>
      <c r="BQ44" s="270"/>
      <c r="BR44" s="270"/>
      <c r="BS44" s="270"/>
      <c r="BT44" s="270"/>
      <c r="BU44" s="270"/>
      <c r="BV44" s="270"/>
      <c r="BW44" s="270"/>
      <c r="BX44" s="270"/>
      <c r="BY44" s="270"/>
      <c r="BZ44" s="270"/>
      <c r="CA44" s="270"/>
      <c r="CB44" s="270"/>
      <c r="CC44" s="270"/>
      <c r="CD44" s="270"/>
      <c r="CE44" s="270"/>
    </row>
    <row r="45" spans="1:165" ht="18">
      <c r="A45" s="760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  <c r="BX45" s="271"/>
      <c r="BY45" s="271"/>
      <c r="BZ45" s="271"/>
      <c r="CA45" s="271"/>
      <c r="CB45" s="271"/>
      <c r="CC45" s="271"/>
      <c r="CD45" s="271"/>
      <c r="CE45" s="271"/>
    </row>
    <row r="46" spans="1:165" ht="18">
      <c r="A46" s="759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0"/>
      <c r="AZ46" s="270"/>
      <c r="BA46" s="270"/>
      <c r="BB46" s="270"/>
      <c r="BC46" s="270"/>
      <c r="BD46" s="270"/>
      <c r="BE46" s="270"/>
      <c r="BF46" s="270"/>
      <c r="BG46" s="270"/>
      <c r="BH46" s="270"/>
      <c r="BI46" s="270"/>
      <c r="BJ46" s="270"/>
      <c r="BK46" s="270"/>
      <c r="BL46" s="270"/>
      <c r="BM46" s="270"/>
      <c r="BN46" s="270"/>
      <c r="BO46" s="270"/>
      <c r="BP46" s="270"/>
      <c r="BQ46" s="270"/>
      <c r="BR46" s="270"/>
      <c r="BS46" s="270"/>
      <c r="BT46" s="270"/>
      <c r="BU46" s="270"/>
      <c r="BV46" s="270"/>
      <c r="BW46" s="270"/>
      <c r="BX46" s="270"/>
      <c r="BY46" s="270"/>
      <c r="BZ46" s="270"/>
      <c r="CA46" s="270"/>
      <c r="CB46" s="270"/>
      <c r="CC46" s="270"/>
      <c r="CD46" s="270"/>
      <c r="CE46" s="270"/>
    </row>
    <row r="47" spans="1:165" ht="18">
      <c r="A47" s="760"/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  <c r="BG47" s="271"/>
      <c r="BH47" s="271"/>
      <c r="BI47" s="271"/>
      <c r="BJ47" s="271"/>
      <c r="BK47" s="271"/>
      <c r="BL47" s="271"/>
      <c r="BM47" s="271"/>
      <c r="BN47" s="271"/>
      <c r="BO47" s="271"/>
      <c r="BP47" s="271"/>
      <c r="BQ47" s="271"/>
      <c r="BR47" s="271"/>
      <c r="BS47" s="271"/>
      <c r="BT47" s="271"/>
      <c r="BU47" s="271"/>
      <c r="BV47" s="271"/>
      <c r="BW47" s="271"/>
      <c r="BX47" s="271"/>
      <c r="BY47" s="271"/>
      <c r="BZ47" s="271"/>
      <c r="CA47" s="271"/>
      <c r="CB47" s="271"/>
      <c r="CC47" s="271"/>
      <c r="CD47" s="271"/>
      <c r="CE47" s="271"/>
    </row>
    <row r="48" spans="1:165" ht="18">
      <c r="A48" s="759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0"/>
      <c r="AZ48" s="270"/>
      <c r="BA48" s="270"/>
      <c r="BB48" s="270"/>
      <c r="BC48" s="270"/>
      <c r="BD48" s="270"/>
      <c r="BE48" s="270"/>
      <c r="BF48" s="270"/>
      <c r="BG48" s="270"/>
      <c r="BH48" s="270"/>
      <c r="BI48" s="270"/>
      <c r="BJ48" s="270"/>
      <c r="BK48" s="270"/>
      <c r="BL48" s="270"/>
      <c r="BM48" s="270"/>
      <c r="BN48" s="270"/>
      <c r="BO48" s="270"/>
      <c r="BP48" s="270"/>
      <c r="BQ48" s="270"/>
      <c r="BR48" s="270"/>
      <c r="BS48" s="270"/>
      <c r="BT48" s="270"/>
      <c r="BU48" s="270"/>
      <c r="BV48" s="270"/>
      <c r="BW48" s="270"/>
      <c r="BX48" s="270"/>
      <c r="BY48" s="270"/>
      <c r="BZ48" s="270"/>
      <c r="CA48" s="270"/>
      <c r="CB48" s="270"/>
      <c r="CC48" s="270"/>
      <c r="CD48" s="270"/>
      <c r="CE48" s="270"/>
    </row>
    <row r="49" spans="1:83" ht="18">
      <c r="A49" s="763"/>
      <c r="B49" s="322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2"/>
      <c r="AJ49" s="322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2"/>
      <c r="AZ49" s="322"/>
      <c r="BA49" s="322"/>
      <c r="BB49" s="322"/>
      <c r="BC49" s="322"/>
      <c r="BD49" s="322"/>
      <c r="BE49" s="322"/>
      <c r="BF49" s="322"/>
      <c r="BG49" s="322"/>
      <c r="BH49" s="322"/>
      <c r="BI49" s="322"/>
      <c r="BJ49" s="322"/>
      <c r="BK49" s="322"/>
      <c r="BL49" s="322"/>
      <c r="BM49" s="322"/>
      <c r="BN49" s="322"/>
      <c r="BO49" s="322"/>
      <c r="BP49" s="322"/>
      <c r="BQ49" s="322"/>
      <c r="BR49" s="322"/>
      <c r="BS49" s="322"/>
      <c r="BT49" s="322"/>
      <c r="BU49" s="322"/>
      <c r="BV49" s="322"/>
      <c r="BW49" s="322"/>
      <c r="BX49" s="322"/>
      <c r="BY49" s="322"/>
      <c r="BZ49" s="322"/>
      <c r="CA49" s="322"/>
      <c r="CB49" s="322"/>
      <c r="CC49" s="322"/>
      <c r="CD49" s="322"/>
      <c r="CE49" s="322"/>
    </row>
    <row r="50" spans="1:83" ht="18.75">
      <c r="A50" s="764"/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2"/>
      <c r="U50" s="322"/>
      <c r="V50" s="322"/>
      <c r="W50" s="322"/>
      <c r="X50" s="322"/>
      <c r="Y50" s="322"/>
      <c r="Z50" s="322"/>
      <c r="AA50" s="322"/>
      <c r="AB50" s="322"/>
      <c r="AC50" s="322"/>
      <c r="AD50" s="322"/>
      <c r="AE50" s="322"/>
      <c r="AF50" s="322"/>
      <c r="AG50" s="322"/>
      <c r="AH50" s="322"/>
      <c r="AI50" s="322"/>
      <c r="AJ50" s="322"/>
      <c r="AK50" s="322"/>
      <c r="AL50" s="322"/>
      <c r="AM50" s="322"/>
      <c r="AN50" s="322"/>
      <c r="AO50" s="322"/>
      <c r="AP50" s="322"/>
      <c r="AQ50" s="322"/>
      <c r="AR50" s="322"/>
      <c r="AS50" s="322"/>
      <c r="AT50" s="322"/>
      <c r="AU50" s="322"/>
      <c r="AV50" s="322"/>
      <c r="AW50" s="322"/>
      <c r="AX50" s="322"/>
      <c r="AY50" s="322"/>
      <c r="AZ50" s="322"/>
      <c r="BA50" s="322"/>
      <c r="BB50" s="322"/>
      <c r="BC50" s="322"/>
      <c r="BD50" s="322"/>
      <c r="BE50" s="322"/>
      <c r="BF50" s="322"/>
      <c r="BG50" s="322"/>
      <c r="BH50" s="322"/>
      <c r="BI50" s="322"/>
      <c r="BJ50" s="322"/>
      <c r="BK50" s="322"/>
      <c r="BL50" s="322"/>
      <c r="BM50" s="322"/>
      <c r="BN50" s="322"/>
      <c r="BO50" s="322"/>
      <c r="BP50" s="322"/>
      <c r="BQ50" s="322"/>
      <c r="BR50" s="322"/>
      <c r="BS50" s="322"/>
      <c r="BT50" s="322"/>
      <c r="BU50" s="322"/>
      <c r="BV50" s="322"/>
      <c r="BW50" s="322"/>
      <c r="BX50" s="322"/>
      <c r="BY50" s="322"/>
      <c r="BZ50" s="322"/>
      <c r="CA50" s="322"/>
      <c r="CB50" s="322"/>
      <c r="CC50" s="322"/>
      <c r="CD50" s="322"/>
      <c r="CE50" s="322"/>
    </row>
  </sheetData>
  <mergeCells count="14">
    <mergeCell ref="A2:FI2"/>
    <mergeCell ref="A3:FI3"/>
    <mergeCell ref="A6:A8"/>
    <mergeCell ref="FI6:FI8"/>
    <mergeCell ref="A36:FH36"/>
    <mergeCell ref="Z6:AL6"/>
    <mergeCell ref="AW6:AX6"/>
    <mergeCell ref="BW6:CH6"/>
    <mergeCell ref="CU6:DF6"/>
    <mergeCell ref="DG6:DR6"/>
    <mergeCell ref="DS6:ED6"/>
    <mergeCell ref="EE6:EP6"/>
    <mergeCell ref="EQ6:FB6"/>
    <mergeCell ref="FC6:FH6"/>
  </mergeCells>
  <pageMargins left="0.7" right="0.7" top="0.75" bottom="0.75" header="0.3" footer="0.3"/>
  <pageSetup scale="2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5">
    <tabColor rgb="FF92D050"/>
  </sheetPr>
  <dimension ref="A2:FH50"/>
  <sheetViews>
    <sheetView showGridLines="0" view="pageBreakPreview" zoomScale="60" zoomScaleNormal="100" workbookViewId="0">
      <selection activeCell="F40" sqref="F40"/>
    </sheetView>
  </sheetViews>
  <sheetFormatPr defaultColWidth="9.140625" defaultRowHeight="15"/>
  <cols>
    <col min="1" max="1" width="61.42578125" style="765" customWidth="1"/>
    <col min="2" max="12" width="13.5703125" style="319" hidden="1" customWidth="1"/>
    <col min="13" max="13" width="19" style="319" hidden="1" customWidth="1"/>
    <col min="14" max="23" width="13.5703125" style="319" hidden="1" customWidth="1"/>
    <col min="24" max="24" width="13.28515625" style="319" hidden="1" customWidth="1"/>
    <col min="25" max="25" width="18.140625" style="319" hidden="1" customWidth="1"/>
    <col min="26" max="33" width="14.7109375" style="319" hidden="1" customWidth="1"/>
    <col min="34" max="34" width="17.85546875" style="319" hidden="1" customWidth="1"/>
    <col min="35" max="35" width="18.140625" style="319" hidden="1" customWidth="1"/>
    <col min="36" max="36" width="15.85546875" style="319" hidden="1" customWidth="1"/>
    <col min="37" max="37" width="16.85546875" style="319" hidden="1" customWidth="1"/>
    <col min="38" max="44" width="14.7109375" style="319" hidden="1" customWidth="1"/>
    <col min="45" max="60" width="14.28515625" style="319" hidden="1" customWidth="1"/>
    <col min="61" max="61" width="14" style="319" customWidth="1"/>
    <col min="62" max="72" width="14.28515625" style="319" hidden="1" customWidth="1"/>
    <col min="73" max="73" width="14" style="319" customWidth="1"/>
    <col min="74" max="82" width="14.28515625" style="319" hidden="1" customWidth="1"/>
    <col min="83" max="84" width="16.5703125" style="319" hidden="1" customWidth="1"/>
    <col min="85" max="85" width="14" style="319" customWidth="1"/>
    <col min="86" max="90" width="16.28515625" style="319" hidden="1" customWidth="1"/>
    <col min="91" max="96" width="16" style="319" hidden="1" customWidth="1"/>
    <col min="97" max="97" width="14" style="319" customWidth="1"/>
    <col min="98" max="108" width="14" style="319" hidden="1" customWidth="1"/>
    <col min="109" max="109" width="14" style="319" customWidth="1"/>
    <col min="110" max="120" width="14" style="319" hidden="1" customWidth="1"/>
    <col min="121" max="121" width="14" style="319" customWidth="1"/>
    <col min="122" max="132" width="14" style="319" hidden="1" customWidth="1"/>
    <col min="133" max="133" width="14" style="319" customWidth="1"/>
    <col min="134" max="144" width="14" style="319" hidden="1" customWidth="1"/>
    <col min="145" max="145" width="14" style="319" customWidth="1"/>
    <col min="146" max="156" width="14" style="319" hidden="1" customWidth="1"/>
    <col min="157" max="163" width="14" style="319" customWidth="1"/>
    <col min="164" max="164" width="55" style="319" customWidth="1"/>
    <col min="165" max="16384" width="9.140625" style="319"/>
  </cols>
  <sheetData>
    <row r="2" spans="1:164" ht="27" customHeight="1">
      <c r="A2" s="2298" t="s">
        <v>3284</v>
      </c>
      <c r="B2" s="2298"/>
      <c r="C2" s="2298"/>
      <c r="D2" s="2298"/>
      <c r="E2" s="2298"/>
      <c r="F2" s="2298"/>
      <c r="G2" s="2298"/>
      <c r="H2" s="2298"/>
      <c r="I2" s="2298"/>
      <c r="J2" s="2298"/>
      <c r="K2" s="2298"/>
      <c r="L2" s="2298"/>
      <c r="M2" s="2298"/>
      <c r="N2" s="2298"/>
      <c r="O2" s="2298"/>
      <c r="P2" s="2298"/>
      <c r="Q2" s="2298"/>
      <c r="R2" s="2298"/>
      <c r="S2" s="2298"/>
      <c r="T2" s="2298"/>
      <c r="U2" s="2298"/>
      <c r="V2" s="2298"/>
      <c r="W2" s="2298"/>
      <c r="X2" s="2298"/>
      <c r="Y2" s="2298"/>
      <c r="Z2" s="2298"/>
      <c r="AA2" s="2298"/>
      <c r="AB2" s="2298"/>
      <c r="AC2" s="2298"/>
      <c r="AD2" s="2298"/>
      <c r="AE2" s="2298"/>
      <c r="AF2" s="2298"/>
      <c r="AG2" s="2298"/>
      <c r="AH2" s="2298"/>
      <c r="AI2" s="2298"/>
      <c r="AJ2" s="2298"/>
      <c r="AK2" s="2298"/>
      <c r="AL2" s="2298"/>
      <c r="AM2" s="2298"/>
      <c r="AN2" s="2298"/>
      <c r="AO2" s="2298"/>
      <c r="AP2" s="2298"/>
      <c r="AQ2" s="2298"/>
      <c r="AR2" s="2298"/>
      <c r="AS2" s="2298"/>
      <c r="AT2" s="2298"/>
      <c r="AU2" s="2298"/>
      <c r="AV2" s="2298"/>
      <c r="AW2" s="2298"/>
      <c r="AX2" s="2298"/>
      <c r="AY2" s="2298"/>
      <c r="AZ2" s="2298"/>
      <c r="BA2" s="2298"/>
      <c r="BB2" s="2298"/>
      <c r="BC2" s="2298"/>
      <c r="BD2" s="2298"/>
      <c r="BE2" s="2298"/>
      <c r="BF2" s="2298"/>
      <c r="BG2" s="2298"/>
      <c r="BH2" s="2298"/>
      <c r="BI2" s="2298"/>
      <c r="BJ2" s="2298"/>
      <c r="BK2" s="2298"/>
      <c r="BL2" s="2298"/>
      <c r="BM2" s="2298"/>
      <c r="BN2" s="2298"/>
      <c r="BO2" s="2298"/>
      <c r="BP2" s="2298"/>
      <c r="BQ2" s="2298"/>
      <c r="BR2" s="2298"/>
      <c r="BS2" s="2298"/>
      <c r="BT2" s="2298"/>
      <c r="BU2" s="2298"/>
      <c r="BV2" s="2298"/>
      <c r="BW2" s="2298"/>
      <c r="BX2" s="2298"/>
      <c r="BY2" s="2298"/>
      <c r="BZ2" s="2298"/>
      <c r="CA2" s="2298"/>
      <c r="CB2" s="2298"/>
      <c r="CC2" s="2298"/>
      <c r="CD2" s="2298"/>
      <c r="CE2" s="2298"/>
      <c r="CF2" s="2298"/>
      <c r="CG2" s="2298"/>
      <c r="CH2" s="2298"/>
      <c r="CI2" s="2298"/>
      <c r="CJ2" s="2298"/>
      <c r="CK2" s="2298"/>
      <c r="CL2" s="2298"/>
      <c r="CM2" s="2298"/>
      <c r="CN2" s="2298"/>
      <c r="CO2" s="2298"/>
      <c r="CP2" s="2298"/>
      <c r="CQ2" s="2298"/>
      <c r="CR2" s="2298"/>
      <c r="CS2" s="2298"/>
      <c r="CT2" s="2298"/>
      <c r="CU2" s="2298"/>
      <c r="CV2" s="2298"/>
      <c r="CW2" s="2298"/>
      <c r="CX2" s="2298"/>
      <c r="CY2" s="2298"/>
      <c r="CZ2" s="2298"/>
      <c r="DA2" s="2298"/>
      <c r="DB2" s="2298"/>
      <c r="DC2" s="2298"/>
      <c r="DD2" s="2298"/>
      <c r="DE2" s="2298"/>
      <c r="DF2" s="2298"/>
      <c r="DG2" s="2298"/>
      <c r="DH2" s="2298"/>
      <c r="DI2" s="2298"/>
      <c r="DJ2" s="2298"/>
      <c r="DK2" s="2298"/>
      <c r="DL2" s="2298"/>
      <c r="DM2" s="2298"/>
      <c r="DN2" s="2298"/>
      <c r="DO2" s="2298"/>
      <c r="DP2" s="2298"/>
      <c r="DQ2" s="2298"/>
      <c r="DR2" s="2298"/>
      <c r="DS2" s="2298"/>
      <c r="DT2" s="2298"/>
      <c r="DU2" s="2298"/>
      <c r="DV2" s="2298"/>
      <c r="DW2" s="2298"/>
      <c r="DX2" s="2298"/>
      <c r="DY2" s="2298"/>
      <c r="DZ2" s="2298"/>
      <c r="EA2" s="2298"/>
      <c r="EB2" s="2298"/>
      <c r="EC2" s="2298"/>
      <c r="ED2" s="2298"/>
      <c r="EE2" s="2298"/>
      <c r="EF2" s="2298"/>
      <c r="EG2" s="2298"/>
      <c r="EH2" s="2298"/>
      <c r="EI2" s="2298"/>
      <c r="EJ2" s="2298"/>
      <c r="EK2" s="2298"/>
      <c r="EL2" s="2298"/>
      <c r="EM2" s="2298"/>
      <c r="EN2" s="2298"/>
      <c r="EO2" s="2298"/>
      <c r="EP2" s="2298"/>
      <c r="EQ2" s="2298"/>
      <c r="ER2" s="2298"/>
      <c r="ES2" s="2298"/>
      <c r="ET2" s="2298"/>
      <c r="EU2" s="2298"/>
      <c r="EV2" s="2298"/>
      <c r="EW2" s="2298"/>
      <c r="EX2" s="2298"/>
      <c r="EY2" s="2298"/>
      <c r="EZ2" s="2298"/>
      <c r="FA2" s="2298"/>
      <c r="FB2" s="2298"/>
      <c r="FC2" s="2298"/>
      <c r="FD2" s="2298"/>
      <c r="FE2" s="2298"/>
      <c r="FF2" s="2298"/>
      <c r="FG2" s="2298"/>
      <c r="FH2" s="2298"/>
    </row>
    <row r="3" spans="1:164" ht="44.25" customHeight="1">
      <c r="A3" s="2299" t="s">
        <v>3272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</row>
    <row r="4" spans="1:164" ht="20.25" customHeight="1">
      <c r="A4" s="750"/>
      <c r="B4" s="493"/>
      <c r="C4" s="493"/>
      <c r="D4" s="493"/>
      <c r="E4" s="493"/>
      <c r="F4" s="493"/>
      <c r="G4" s="493"/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493"/>
      <c r="S4" s="493"/>
      <c r="T4" s="493"/>
      <c r="U4" s="493"/>
      <c r="V4" s="493"/>
      <c r="W4" s="493"/>
      <c r="X4" s="493"/>
      <c r="Y4" s="493"/>
      <c r="Z4" s="493"/>
      <c r="AA4" s="493"/>
      <c r="AB4" s="493"/>
      <c r="AC4" s="493"/>
      <c r="AD4" s="493"/>
      <c r="AE4" s="493"/>
      <c r="AF4" s="493"/>
      <c r="AG4" s="493"/>
      <c r="AH4" s="493"/>
      <c r="AI4" s="493"/>
      <c r="AJ4" s="493"/>
      <c r="AK4" s="493"/>
      <c r="AL4" s="493"/>
      <c r="AM4" s="493"/>
      <c r="AN4" s="493"/>
      <c r="AO4" s="493"/>
      <c r="AP4" s="493"/>
      <c r="AQ4" s="493"/>
      <c r="AR4" s="493"/>
      <c r="AS4" s="493"/>
      <c r="AT4" s="493"/>
      <c r="AU4" s="493"/>
      <c r="AV4" s="493"/>
      <c r="AW4" s="493"/>
      <c r="AX4" s="493"/>
      <c r="AY4" s="493"/>
      <c r="AZ4" s="493"/>
      <c r="BA4" s="493"/>
      <c r="BB4" s="493"/>
      <c r="BC4" s="493"/>
      <c r="BD4" s="493"/>
      <c r="BE4" s="493"/>
      <c r="BF4" s="493"/>
      <c r="BG4" s="493"/>
      <c r="BH4" s="493"/>
      <c r="BI4" s="493"/>
      <c r="BJ4" s="493"/>
      <c r="BK4" s="493"/>
      <c r="BL4" s="493"/>
      <c r="BM4" s="493"/>
      <c r="BN4" s="493"/>
      <c r="BO4" s="493"/>
      <c r="BP4" s="493"/>
      <c r="BQ4" s="493"/>
      <c r="BR4" s="493"/>
      <c r="BS4" s="493"/>
      <c r="BT4" s="493"/>
      <c r="BU4" s="493"/>
      <c r="BV4" s="493"/>
      <c r="BW4" s="493"/>
      <c r="BX4" s="493"/>
      <c r="BY4" s="493"/>
      <c r="BZ4" s="493"/>
      <c r="CA4" s="493"/>
      <c r="CB4" s="493"/>
      <c r="CC4" s="493"/>
      <c r="CD4" s="493"/>
      <c r="CE4" s="493"/>
      <c r="CF4" s="493"/>
      <c r="CG4" s="493"/>
      <c r="CH4" s="493"/>
      <c r="CI4" s="493"/>
      <c r="CJ4" s="493"/>
      <c r="CK4" s="493"/>
      <c r="CL4" s="493"/>
      <c r="CM4" s="493"/>
      <c r="CN4" s="493"/>
      <c r="CO4" s="493"/>
      <c r="CP4" s="493"/>
      <c r="CQ4" s="493"/>
      <c r="CR4" s="493"/>
      <c r="CS4" s="493"/>
      <c r="CT4" s="493"/>
      <c r="CU4" s="493"/>
      <c r="CV4" s="493"/>
      <c r="CW4" s="493"/>
      <c r="CX4" s="493"/>
      <c r="CY4" s="493"/>
      <c r="CZ4" s="493"/>
      <c r="DA4" s="493"/>
      <c r="DB4" s="493"/>
      <c r="DC4" s="493"/>
      <c r="DD4" s="493"/>
      <c r="DE4" s="493"/>
      <c r="DF4" s="493"/>
      <c r="DG4" s="493"/>
      <c r="DH4" s="493"/>
      <c r="DI4" s="493"/>
      <c r="DJ4" s="493"/>
      <c r="DK4" s="493"/>
      <c r="DL4" s="493"/>
      <c r="DM4" s="493"/>
      <c r="DN4" s="493"/>
      <c r="DO4" s="493"/>
      <c r="DP4" s="493"/>
      <c r="DQ4" s="493"/>
      <c r="DR4" s="493"/>
      <c r="DS4" s="493"/>
      <c r="DT4" s="493"/>
      <c r="DU4" s="493"/>
      <c r="DV4" s="493"/>
      <c r="DW4" s="493"/>
      <c r="DX4" s="493"/>
      <c r="DY4" s="493"/>
      <c r="DZ4" s="493"/>
      <c r="EA4" s="493"/>
      <c r="EB4" s="493"/>
      <c r="EC4" s="493"/>
      <c r="ED4" s="493"/>
      <c r="EE4" s="493"/>
      <c r="EF4" s="493"/>
      <c r="EG4" s="493"/>
      <c r="EH4" s="493"/>
      <c r="EI4" s="493"/>
      <c r="EJ4" s="493"/>
      <c r="EK4" s="493"/>
      <c r="EL4" s="493"/>
      <c r="EM4" s="493"/>
      <c r="EN4" s="493"/>
      <c r="EO4" s="493"/>
      <c r="EP4" s="493"/>
      <c r="EQ4" s="493"/>
      <c r="ER4" s="493"/>
      <c r="ES4" s="493"/>
      <c r="ET4" s="493"/>
      <c r="EU4" s="493"/>
      <c r="EV4" s="493"/>
      <c r="EW4" s="493"/>
      <c r="EX4" s="493"/>
      <c r="EY4" s="493"/>
      <c r="EZ4" s="493"/>
      <c r="FA4" s="493"/>
      <c r="FB4" s="493"/>
      <c r="FC4" s="493"/>
      <c r="FD4" s="493"/>
      <c r="FE4" s="493"/>
      <c r="FF4" s="493"/>
      <c r="FG4" s="493"/>
      <c r="FH4" s="750"/>
    </row>
    <row r="5" spans="1:164" ht="20.25" customHeight="1">
      <c r="A5" s="1719"/>
      <c r="B5" s="1719"/>
      <c r="C5" s="1719"/>
      <c r="D5" s="1719"/>
      <c r="E5" s="1719"/>
      <c r="F5" s="1719"/>
      <c r="G5" s="1719"/>
      <c r="H5" s="1719"/>
      <c r="I5" s="1719"/>
      <c r="J5" s="1719"/>
      <c r="K5" s="1719"/>
      <c r="L5" s="1719"/>
      <c r="M5" s="1719"/>
      <c r="N5" s="1719"/>
      <c r="O5" s="1719"/>
      <c r="P5" s="1719"/>
      <c r="Q5" s="1719"/>
      <c r="R5" s="1719"/>
      <c r="S5" s="1719"/>
      <c r="T5" s="1719"/>
      <c r="U5" s="1719"/>
      <c r="V5" s="1719"/>
      <c r="W5" s="1719"/>
      <c r="X5" s="1719"/>
      <c r="Y5" s="1719"/>
      <c r="Z5" s="1719"/>
      <c r="AA5" s="1719"/>
      <c r="AB5" s="1719"/>
      <c r="AC5" s="1719"/>
      <c r="AD5" s="1719"/>
      <c r="AE5" s="1719"/>
      <c r="AF5" s="1719"/>
      <c r="AG5" s="1719"/>
      <c r="AH5" s="1719"/>
      <c r="AI5" s="1719"/>
      <c r="AJ5" s="1719"/>
      <c r="AK5" s="1719"/>
      <c r="AL5" s="1719"/>
      <c r="AM5" s="1719"/>
      <c r="AN5" s="1719"/>
      <c r="AO5" s="1719"/>
      <c r="AP5" s="1719"/>
      <c r="AQ5" s="1719"/>
      <c r="AR5" s="1719"/>
      <c r="AS5" s="1719"/>
      <c r="AT5" s="1719"/>
      <c r="AU5" s="1719"/>
      <c r="AV5" s="1719"/>
      <c r="AW5" s="1719"/>
      <c r="AX5" s="1719"/>
      <c r="AY5" s="1719"/>
      <c r="AZ5" s="1719"/>
      <c r="BA5" s="1719"/>
      <c r="BB5" s="1719"/>
      <c r="BC5" s="1719"/>
      <c r="BD5" s="1719"/>
      <c r="BE5" s="1719"/>
      <c r="BF5" s="1719"/>
      <c r="BG5" s="1719"/>
      <c r="BH5" s="1719"/>
      <c r="BI5" s="1719"/>
      <c r="BJ5" s="1719"/>
      <c r="BK5" s="1719"/>
      <c r="BL5" s="1719"/>
      <c r="BM5" s="1719"/>
      <c r="BN5" s="1719"/>
      <c r="BO5" s="1719"/>
      <c r="BP5" s="1719"/>
      <c r="BQ5" s="1719"/>
      <c r="BR5" s="1719"/>
      <c r="BS5" s="1719"/>
      <c r="BT5" s="1719"/>
      <c r="BU5" s="1719"/>
      <c r="BV5" s="1719"/>
      <c r="BW5" s="1719"/>
      <c r="BX5" s="1719"/>
      <c r="BY5" s="1719"/>
      <c r="BZ5" s="1719"/>
      <c r="CA5" s="1719"/>
      <c r="CB5" s="1719"/>
      <c r="CC5" s="1719"/>
      <c r="CD5" s="1719"/>
      <c r="CE5" s="1719"/>
      <c r="CF5" s="1719"/>
      <c r="CG5" s="1719"/>
      <c r="CH5" s="1719"/>
      <c r="CI5" s="1719"/>
      <c r="CJ5" s="1719"/>
      <c r="CK5" s="1719"/>
      <c r="CL5" s="1719"/>
      <c r="CM5" s="1719"/>
      <c r="CN5" s="1719"/>
      <c r="CO5" s="1719"/>
      <c r="CP5" s="1719"/>
      <c r="CQ5" s="1719"/>
      <c r="CR5" s="1719"/>
      <c r="CS5" s="1719"/>
      <c r="CT5" s="1719"/>
      <c r="CU5" s="1719"/>
      <c r="CV5" s="1719"/>
      <c r="CW5" s="1719"/>
      <c r="CX5" s="1719"/>
      <c r="CY5" s="1719"/>
      <c r="CZ5" s="1719"/>
      <c r="DA5" s="1719"/>
      <c r="DB5" s="1719"/>
      <c r="DC5" s="1719"/>
      <c r="DD5" s="1719"/>
      <c r="DE5" s="1719"/>
      <c r="DF5" s="1719"/>
      <c r="DG5" s="1719"/>
      <c r="DH5" s="1719"/>
      <c r="DI5" s="1719"/>
      <c r="DJ5" s="1719"/>
      <c r="DK5" s="1719"/>
      <c r="DL5" s="1719"/>
      <c r="DM5" s="1719"/>
      <c r="DN5" s="1719"/>
      <c r="DO5" s="1719"/>
      <c r="DP5" s="1719"/>
      <c r="DQ5" s="1719"/>
      <c r="DR5" s="1719"/>
      <c r="DS5" s="1719"/>
      <c r="DT5" s="1719"/>
      <c r="DU5" s="1719"/>
      <c r="DV5" s="1719"/>
      <c r="DW5" s="1719"/>
      <c r="DX5" s="1719"/>
      <c r="DY5" s="1719"/>
      <c r="DZ5" s="1719"/>
      <c r="EA5" s="1719"/>
      <c r="EB5" s="1719"/>
      <c r="EC5" s="1719"/>
      <c r="ED5" s="1719"/>
      <c r="EE5" s="1719"/>
      <c r="EF5" s="1719"/>
      <c r="EG5" s="1719"/>
      <c r="EH5" s="1719"/>
      <c r="EI5" s="1719"/>
      <c r="EJ5" s="1719"/>
      <c r="EK5" s="1719"/>
      <c r="EL5" s="1719"/>
      <c r="EM5" s="1719"/>
      <c r="EN5" s="1719"/>
      <c r="EO5" s="1719"/>
      <c r="EP5" s="1719"/>
      <c r="EQ5" s="1719"/>
      <c r="ER5" s="1719"/>
      <c r="ES5" s="1719"/>
      <c r="ET5" s="1719"/>
      <c r="EU5" s="1719"/>
      <c r="EV5" s="1719"/>
      <c r="EW5" s="1719"/>
      <c r="EX5" s="1719"/>
      <c r="EY5" s="1719"/>
      <c r="EZ5" s="1719"/>
      <c r="FA5" s="1719"/>
      <c r="FB5" s="1719"/>
      <c r="FC5" s="1719"/>
      <c r="FD5" s="1719"/>
      <c r="FE5" s="1719"/>
      <c r="FF5" s="1719"/>
      <c r="FG5" s="1719"/>
      <c r="FH5" s="1709" t="s">
        <v>158</v>
      </c>
    </row>
    <row r="6" spans="1:164" ht="30" customHeight="1">
      <c r="A6" s="2334"/>
      <c r="B6" s="2340">
        <v>2013</v>
      </c>
      <c r="C6" s="2340"/>
      <c r="D6" s="2340"/>
      <c r="E6" s="2340"/>
      <c r="F6" s="2340"/>
      <c r="G6" s="2340"/>
      <c r="H6" s="2340"/>
      <c r="I6" s="2340"/>
      <c r="J6" s="2340"/>
      <c r="K6" s="2340"/>
      <c r="L6" s="2340"/>
      <c r="M6" s="2340"/>
      <c r="N6" s="2340">
        <v>2014</v>
      </c>
      <c r="O6" s="2340"/>
      <c r="P6" s="2340"/>
      <c r="Q6" s="2340"/>
      <c r="R6" s="2340"/>
      <c r="S6" s="2340"/>
      <c r="T6" s="2340"/>
      <c r="U6" s="2340"/>
      <c r="V6" s="2340"/>
      <c r="W6" s="2340"/>
      <c r="X6" s="2340"/>
      <c r="Y6" s="2340"/>
      <c r="Z6" s="2340">
        <v>2015</v>
      </c>
      <c r="AA6" s="2340"/>
      <c r="AB6" s="2340"/>
      <c r="AC6" s="2340"/>
      <c r="AD6" s="2340"/>
      <c r="AE6" s="2340"/>
      <c r="AF6" s="2340"/>
      <c r="AG6" s="2340"/>
      <c r="AH6" s="2340"/>
      <c r="AI6" s="2340"/>
      <c r="AJ6" s="2340"/>
      <c r="AK6" s="2340"/>
      <c r="AL6" s="806">
        <v>2016</v>
      </c>
      <c r="AM6" s="806"/>
      <c r="AN6" s="806"/>
      <c r="AO6" s="806"/>
      <c r="AP6" s="806"/>
      <c r="AQ6" s="806"/>
      <c r="AR6" s="806"/>
      <c r="AS6" s="806"/>
      <c r="AT6" s="806"/>
      <c r="AU6" s="806"/>
      <c r="AV6" s="2340">
        <v>2016</v>
      </c>
      <c r="AW6" s="2340"/>
      <c r="AX6" s="806">
        <v>2017</v>
      </c>
      <c r="AY6" s="806"/>
      <c r="AZ6" s="806"/>
      <c r="BA6" s="806"/>
      <c r="BB6" s="806"/>
      <c r="BC6" s="806"/>
      <c r="BD6" s="806"/>
      <c r="BE6" s="806"/>
      <c r="BF6" s="806"/>
      <c r="BG6" s="806"/>
      <c r="BH6" s="836"/>
      <c r="BI6" s="832">
        <v>2017</v>
      </c>
      <c r="BJ6" s="833">
        <v>2018</v>
      </c>
      <c r="BK6" s="833"/>
      <c r="BL6" s="833"/>
      <c r="BM6" s="833"/>
      <c r="BN6" s="833"/>
      <c r="BO6" s="833"/>
      <c r="BP6" s="833"/>
      <c r="BQ6" s="833"/>
      <c r="BR6" s="833"/>
      <c r="BS6" s="833"/>
      <c r="BT6" s="833"/>
      <c r="BU6" s="832">
        <v>2018</v>
      </c>
      <c r="BV6" s="2341">
        <v>2019</v>
      </c>
      <c r="BW6" s="2341"/>
      <c r="BX6" s="2341"/>
      <c r="BY6" s="2341"/>
      <c r="BZ6" s="2341"/>
      <c r="CA6" s="2341"/>
      <c r="CB6" s="2341"/>
      <c r="CC6" s="2341"/>
      <c r="CD6" s="2341"/>
      <c r="CE6" s="2341"/>
      <c r="CF6" s="2341"/>
      <c r="CG6" s="2341"/>
      <c r="CH6" s="834">
        <v>2020</v>
      </c>
      <c r="CI6" s="834">
        <v>2020</v>
      </c>
      <c r="CJ6" s="834">
        <v>2020</v>
      </c>
      <c r="CK6" s="834">
        <v>2020</v>
      </c>
      <c r="CL6" s="834">
        <v>2020</v>
      </c>
      <c r="CM6" s="834">
        <v>2020</v>
      </c>
      <c r="CN6" s="834">
        <v>2020</v>
      </c>
      <c r="CO6" s="834">
        <v>2020</v>
      </c>
      <c r="CP6" s="834">
        <v>2020</v>
      </c>
      <c r="CQ6" s="834">
        <v>2020</v>
      </c>
      <c r="CR6" s="834">
        <v>2020</v>
      </c>
      <c r="CS6" s="834">
        <v>2020</v>
      </c>
      <c r="CT6" s="2318">
        <v>2021</v>
      </c>
      <c r="CU6" s="2319"/>
      <c r="CV6" s="2319"/>
      <c r="CW6" s="2319"/>
      <c r="CX6" s="2319"/>
      <c r="CY6" s="2319"/>
      <c r="CZ6" s="2319"/>
      <c r="DA6" s="2319"/>
      <c r="DB6" s="2319"/>
      <c r="DC6" s="2319"/>
      <c r="DD6" s="2319"/>
      <c r="DE6" s="2320"/>
      <c r="DF6" s="2321">
        <v>2022</v>
      </c>
      <c r="DG6" s="2319"/>
      <c r="DH6" s="2319"/>
      <c r="DI6" s="2319"/>
      <c r="DJ6" s="2319"/>
      <c r="DK6" s="2319"/>
      <c r="DL6" s="2319"/>
      <c r="DM6" s="2319"/>
      <c r="DN6" s="2319"/>
      <c r="DO6" s="2319"/>
      <c r="DP6" s="2319"/>
      <c r="DQ6" s="2320"/>
      <c r="DR6" s="2321">
        <v>2023</v>
      </c>
      <c r="DS6" s="2319"/>
      <c r="DT6" s="2319"/>
      <c r="DU6" s="2319"/>
      <c r="DV6" s="2319"/>
      <c r="DW6" s="2319"/>
      <c r="DX6" s="2319"/>
      <c r="DY6" s="2319"/>
      <c r="DZ6" s="2319"/>
      <c r="EA6" s="2319"/>
      <c r="EB6" s="2319"/>
      <c r="EC6" s="2320"/>
      <c r="ED6" s="1887">
        <v>2024</v>
      </c>
      <c r="EE6" s="1888"/>
      <c r="EF6" s="1888"/>
      <c r="EG6" s="1888"/>
      <c r="EH6" s="1888"/>
      <c r="EI6" s="1888"/>
      <c r="EJ6" s="1888"/>
      <c r="EK6" s="1888"/>
      <c r="EL6" s="1888"/>
      <c r="EM6" s="1888"/>
      <c r="EN6" s="1888"/>
      <c r="EO6" s="1886">
        <v>2024</v>
      </c>
      <c r="EP6" s="2321">
        <v>2025</v>
      </c>
      <c r="EQ6" s="2319"/>
      <c r="ER6" s="2319"/>
      <c r="ES6" s="2319"/>
      <c r="ET6" s="2319"/>
      <c r="EU6" s="2319"/>
      <c r="EV6" s="2319"/>
      <c r="EW6" s="2319"/>
      <c r="EX6" s="2319"/>
      <c r="EY6" s="2319"/>
      <c r="EZ6" s="2319"/>
      <c r="FA6" s="2320"/>
      <c r="FB6" s="2321">
        <v>2026</v>
      </c>
      <c r="FC6" s="2319"/>
      <c r="FD6" s="2319"/>
      <c r="FE6" s="2319"/>
      <c r="FF6" s="2319"/>
      <c r="FG6" s="2320"/>
      <c r="FH6" s="2336"/>
    </row>
    <row r="7" spans="1:164" ht="30" customHeight="1">
      <c r="A7" s="2335"/>
      <c r="B7" s="779" t="s">
        <v>1948</v>
      </c>
      <c r="C7" s="779" t="s">
        <v>1959</v>
      </c>
      <c r="D7" s="779" t="s">
        <v>1958</v>
      </c>
      <c r="E7" s="779" t="s">
        <v>1957</v>
      </c>
      <c r="F7" s="779" t="s">
        <v>1956</v>
      </c>
      <c r="G7" s="779" t="s">
        <v>1955</v>
      </c>
      <c r="H7" s="779" t="s">
        <v>1954</v>
      </c>
      <c r="I7" s="779" t="s">
        <v>1953</v>
      </c>
      <c r="J7" s="779" t="s">
        <v>1952</v>
      </c>
      <c r="K7" s="779" t="s">
        <v>1951</v>
      </c>
      <c r="L7" s="779" t="s">
        <v>1950</v>
      </c>
      <c r="M7" s="779" t="s">
        <v>1949</v>
      </c>
      <c r="N7" s="779" t="s">
        <v>1948</v>
      </c>
      <c r="O7" s="779" t="s">
        <v>1959</v>
      </c>
      <c r="P7" s="779" t="s">
        <v>1958</v>
      </c>
      <c r="Q7" s="779" t="s">
        <v>1957</v>
      </c>
      <c r="R7" s="779" t="s">
        <v>1956</v>
      </c>
      <c r="S7" s="779" t="s">
        <v>1955</v>
      </c>
      <c r="T7" s="779" t="s">
        <v>1954</v>
      </c>
      <c r="U7" s="779" t="s">
        <v>1953</v>
      </c>
      <c r="V7" s="779" t="s">
        <v>1952</v>
      </c>
      <c r="W7" s="779" t="s">
        <v>1951</v>
      </c>
      <c r="X7" s="779" t="s">
        <v>1950</v>
      </c>
      <c r="Y7" s="779" t="s">
        <v>1949</v>
      </c>
      <c r="Z7" s="779" t="s">
        <v>1948</v>
      </c>
      <c r="AA7" s="779" t="s">
        <v>1959</v>
      </c>
      <c r="AB7" s="779" t="s">
        <v>1958</v>
      </c>
      <c r="AC7" s="779" t="s">
        <v>1957</v>
      </c>
      <c r="AD7" s="779" t="s">
        <v>1956</v>
      </c>
      <c r="AE7" s="779" t="s">
        <v>1960</v>
      </c>
      <c r="AF7" s="779" t="s">
        <v>1964</v>
      </c>
      <c r="AG7" s="779" t="s">
        <v>1953</v>
      </c>
      <c r="AH7" s="779" t="s">
        <v>1952</v>
      </c>
      <c r="AI7" s="779" t="s">
        <v>1951</v>
      </c>
      <c r="AJ7" s="779" t="s">
        <v>1950</v>
      </c>
      <c r="AK7" s="779" t="s">
        <v>1949</v>
      </c>
      <c r="AL7" s="779" t="s">
        <v>1948</v>
      </c>
      <c r="AM7" s="779" t="s">
        <v>1959</v>
      </c>
      <c r="AN7" s="779" t="s">
        <v>1958</v>
      </c>
      <c r="AO7" s="779" t="s">
        <v>1957</v>
      </c>
      <c r="AP7" s="779" t="s">
        <v>1956</v>
      </c>
      <c r="AQ7" s="779" t="s">
        <v>1955</v>
      </c>
      <c r="AR7" s="779" t="s">
        <v>1954</v>
      </c>
      <c r="AS7" s="807" t="s">
        <v>1953</v>
      </c>
      <c r="AT7" s="807" t="s">
        <v>1952</v>
      </c>
      <c r="AU7" s="807" t="s">
        <v>1951</v>
      </c>
      <c r="AV7" s="807" t="s">
        <v>1950</v>
      </c>
      <c r="AW7" s="779" t="s">
        <v>1949</v>
      </c>
      <c r="AX7" s="807" t="s">
        <v>1948</v>
      </c>
      <c r="AY7" s="807" t="s">
        <v>1947</v>
      </c>
      <c r="AZ7" s="807" t="s">
        <v>1946</v>
      </c>
      <c r="BA7" s="807" t="s">
        <v>1945</v>
      </c>
      <c r="BB7" s="807" t="s">
        <v>1965</v>
      </c>
      <c r="BC7" s="807" t="s">
        <v>1966</v>
      </c>
      <c r="BD7" s="779" t="s">
        <v>1975</v>
      </c>
      <c r="BE7" s="779" t="s">
        <v>1985</v>
      </c>
      <c r="BF7" s="779" t="s">
        <v>1995</v>
      </c>
      <c r="BG7" s="779" t="s">
        <v>2008</v>
      </c>
      <c r="BH7" s="819" t="s">
        <v>2019</v>
      </c>
      <c r="BI7" s="847" t="s">
        <v>1949</v>
      </c>
      <c r="BJ7" s="847" t="s">
        <v>1948</v>
      </c>
      <c r="BK7" s="847" t="s">
        <v>1947</v>
      </c>
      <c r="BL7" s="847" t="s">
        <v>1946</v>
      </c>
      <c r="BM7" s="847" t="s">
        <v>1945</v>
      </c>
      <c r="BN7" s="847" t="s">
        <v>1965</v>
      </c>
      <c r="BO7" s="847" t="s">
        <v>1966</v>
      </c>
      <c r="BP7" s="847" t="s">
        <v>1975</v>
      </c>
      <c r="BQ7" s="847" t="s">
        <v>1985</v>
      </c>
      <c r="BR7" s="847" t="s">
        <v>1995</v>
      </c>
      <c r="BS7" s="847" t="s">
        <v>2008</v>
      </c>
      <c r="BT7" s="847" t="s">
        <v>2019</v>
      </c>
      <c r="BU7" s="847" t="s">
        <v>1949</v>
      </c>
      <c r="BV7" s="847" t="s">
        <v>1948</v>
      </c>
      <c r="BW7" s="847" t="s">
        <v>1947</v>
      </c>
      <c r="BX7" s="847" t="s">
        <v>1946</v>
      </c>
      <c r="BY7" s="847" t="s">
        <v>1945</v>
      </c>
      <c r="BZ7" s="847" t="s">
        <v>1965</v>
      </c>
      <c r="CA7" s="847" t="s">
        <v>1966</v>
      </c>
      <c r="CB7" s="847" t="s">
        <v>1975</v>
      </c>
      <c r="CC7" s="847" t="s">
        <v>1985</v>
      </c>
      <c r="CD7" s="847" t="s">
        <v>1995</v>
      </c>
      <c r="CE7" s="847" t="s">
        <v>2008</v>
      </c>
      <c r="CF7" s="847" t="s">
        <v>2019</v>
      </c>
      <c r="CG7" s="847" t="s">
        <v>1949</v>
      </c>
      <c r="CH7" s="847" t="s">
        <v>1948</v>
      </c>
      <c r="CI7" s="847" t="s">
        <v>1947</v>
      </c>
      <c r="CJ7" s="847" t="s">
        <v>1946</v>
      </c>
      <c r="CK7" s="847" t="s">
        <v>1945</v>
      </c>
      <c r="CL7" s="847" t="s">
        <v>1965</v>
      </c>
      <c r="CM7" s="847" t="s">
        <v>2413</v>
      </c>
      <c r="CN7" s="847" t="s">
        <v>2419</v>
      </c>
      <c r="CO7" s="847" t="s">
        <v>1985</v>
      </c>
      <c r="CP7" s="847" t="s">
        <v>1995</v>
      </c>
      <c r="CQ7" s="847" t="s">
        <v>2008</v>
      </c>
      <c r="CR7" s="847" t="s">
        <v>2019</v>
      </c>
      <c r="CS7" s="847" t="s">
        <v>1949</v>
      </c>
      <c r="CT7" s="847" t="s">
        <v>1948</v>
      </c>
      <c r="CU7" s="847" t="s">
        <v>1947</v>
      </c>
      <c r="CV7" s="847" t="s">
        <v>1946</v>
      </c>
      <c r="CW7" s="847" t="s">
        <v>1945</v>
      </c>
      <c r="CX7" s="847" t="s">
        <v>1965</v>
      </c>
      <c r="CY7" s="847" t="s">
        <v>1966</v>
      </c>
      <c r="CZ7" s="847" t="s">
        <v>1975</v>
      </c>
      <c r="DA7" s="847" t="s">
        <v>1985</v>
      </c>
      <c r="DB7" s="847" t="s">
        <v>1995</v>
      </c>
      <c r="DC7" s="847" t="s">
        <v>2008</v>
      </c>
      <c r="DD7" s="847" t="s">
        <v>2019</v>
      </c>
      <c r="DE7" s="847" t="s">
        <v>1949</v>
      </c>
      <c r="DF7" s="847" t="s">
        <v>1948</v>
      </c>
      <c r="DG7" s="847" t="s">
        <v>1947</v>
      </c>
      <c r="DH7" s="847" t="s">
        <v>1946</v>
      </c>
      <c r="DI7" s="847" t="s">
        <v>1945</v>
      </c>
      <c r="DJ7" s="847" t="s">
        <v>1965</v>
      </c>
      <c r="DK7" s="847" t="s">
        <v>1966</v>
      </c>
      <c r="DL7" s="847" t="s">
        <v>1975</v>
      </c>
      <c r="DM7" s="847" t="s">
        <v>1985</v>
      </c>
      <c r="DN7" s="847" t="s">
        <v>1995</v>
      </c>
      <c r="DO7" s="847" t="s">
        <v>2008</v>
      </c>
      <c r="DP7" s="847" t="s">
        <v>2019</v>
      </c>
      <c r="DQ7" s="847" t="s">
        <v>1949</v>
      </c>
      <c r="DR7" s="847" t="s">
        <v>1948</v>
      </c>
      <c r="DS7" s="847" t="s">
        <v>1947</v>
      </c>
      <c r="DT7" s="847" t="s">
        <v>1946</v>
      </c>
      <c r="DU7" s="847" t="s">
        <v>1945</v>
      </c>
      <c r="DV7" s="847" t="s">
        <v>1965</v>
      </c>
      <c r="DW7" s="847" t="s">
        <v>1966</v>
      </c>
      <c r="DX7" s="847" t="s">
        <v>1975</v>
      </c>
      <c r="DY7" s="847" t="s">
        <v>1985</v>
      </c>
      <c r="DZ7" s="847" t="s">
        <v>1995</v>
      </c>
      <c r="EA7" s="847" t="s">
        <v>2008</v>
      </c>
      <c r="EB7" s="847" t="s">
        <v>2019</v>
      </c>
      <c r="EC7" s="847" t="s">
        <v>1949</v>
      </c>
      <c r="ED7" s="847" t="s">
        <v>1948</v>
      </c>
      <c r="EE7" s="847" t="s">
        <v>1947</v>
      </c>
      <c r="EF7" s="847" t="s">
        <v>1946</v>
      </c>
      <c r="EG7" s="847" t="s">
        <v>1945</v>
      </c>
      <c r="EH7" s="847" t="s">
        <v>1965</v>
      </c>
      <c r="EI7" s="847" t="s">
        <v>1966</v>
      </c>
      <c r="EJ7" s="847" t="s">
        <v>1975</v>
      </c>
      <c r="EK7" s="847" t="s">
        <v>1985</v>
      </c>
      <c r="EL7" s="847" t="s">
        <v>1995</v>
      </c>
      <c r="EM7" s="847" t="s">
        <v>2008</v>
      </c>
      <c r="EN7" s="847" t="s">
        <v>2019</v>
      </c>
      <c r="EO7" s="847" t="s">
        <v>1949</v>
      </c>
      <c r="EP7" s="847" t="s">
        <v>1948</v>
      </c>
      <c r="EQ7" s="847" t="s">
        <v>1947</v>
      </c>
      <c r="ER7" s="847" t="s">
        <v>1946</v>
      </c>
      <c r="ES7" s="847" t="s">
        <v>1945</v>
      </c>
      <c r="ET7" s="847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37"/>
    </row>
    <row r="8" spans="1:164" s="314" customFormat="1" ht="39.75" customHeight="1">
      <c r="A8" s="2335"/>
      <c r="B8" s="1740"/>
      <c r="C8" s="1740"/>
      <c r="D8" s="1740"/>
      <c r="E8" s="1740"/>
      <c r="F8" s="1740"/>
      <c r="G8" s="1740"/>
      <c r="H8" s="1740"/>
      <c r="I8" s="1740"/>
      <c r="J8" s="1740"/>
      <c r="K8" s="1740"/>
      <c r="L8" s="1740"/>
      <c r="M8" s="1740"/>
      <c r="N8" s="1740"/>
      <c r="O8" s="1740"/>
      <c r="P8" s="1740"/>
      <c r="Q8" s="1740"/>
      <c r="R8" s="1740"/>
      <c r="S8" s="1740"/>
      <c r="T8" s="1740"/>
      <c r="U8" s="1740"/>
      <c r="V8" s="1740"/>
      <c r="W8" s="1740"/>
      <c r="X8" s="1740"/>
      <c r="Y8" s="1740"/>
      <c r="Z8" s="1740"/>
      <c r="AA8" s="1740"/>
      <c r="AB8" s="1740"/>
      <c r="AC8" s="1740"/>
      <c r="AD8" s="1740"/>
      <c r="AE8" s="1740"/>
      <c r="AF8" s="1740"/>
      <c r="AG8" s="1740"/>
      <c r="AH8" s="1740"/>
      <c r="AI8" s="1740"/>
      <c r="AJ8" s="1740"/>
      <c r="AK8" s="1740"/>
      <c r="AL8" s="1740"/>
      <c r="AM8" s="1740"/>
      <c r="AN8" s="1740"/>
      <c r="AO8" s="1740"/>
      <c r="AP8" s="1740"/>
      <c r="AQ8" s="1740"/>
      <c r="AR8" s="1740"/>
      <c r="AS8" s="1740"/>
      <c r="AT8" s="1740"/>
      <c r="AU8" s="1740"/>
      <c r="AV8" s="1740"/>
      <c r="AW8" s="1740"/>
      <c r="AX8" s="1740"/>
      <c r="AY8" s="1740"/>
      <c r="AZ8" s="1740"/>
      <c r="BA8" s="1740"/>
      <c r="BB8" s="1740"/>
      <c r="BC8" s="1740"/>
      <c r="BD8" s="1740"/>
      <c r="BE8" s="1740"/>
      <c r="BF8" s="1740"/>
      <c r="BG8" s="844"/>
      <c r="BH8" s="845"/>
      <c r="BI8" s="1730" t="s">
        <v>3174</v>
      </c>
      <c r="BJ8" s="1730" t="s">
        <v>3174</v>
      </c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 t="s">
        <v>3174</v>
      </c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 t="s">
        <v>3174</v>
      </c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 t="s">
        <v>3174</v>
      </c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 t="s">
        <v>3174</v>
      </c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 t="s">
        <v>3174</v>
      </c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38"/>
    </row>
    <row r="9" spans="1:164" ht="21">
      <c r="A9" s="1722" t="s">
        <v>2740</v>
      </c>
      <c r="B9" s="780">
        <v>371.37485794999998</v>
      </c>
      <c r="C9" s="780">
        <v>280.68035514999997</v>
      </c>
      <c r="D9" s="780">
        <v>281.22185160999999</v>
      </c>
      <c r="E9" s="780">
        <v>287.03130585000002</v>
      </c>
      <c r="F9" s="780">
        <v>178.76377816000002</v>
      </c>
      <c r="G9" s="780">
        <v>175.03233437</v>
      </c>
      <c r="H9" s="780">
        <v>177.31042966999999</v>
      </c>
      <c r="I9" s="780">
        <v>174.28806896000003</v>
      </c>
      <c r="J9" s="780">
        <v>173.90711790000003</v>
      </c>
      <c r="K9" s="780">
        <v>173.14828112000001</v>
      </c>
      <c r="L9" s="780">
        <v>164.53433554000003</v>
      </c>
      <c r="M9" s="781">
        <v>163.20123968000001</v>
      </c>
      <c r="N9" s="781">
        <v>160.71689906</v>
      </c>
      <c r="O9" s="781">
        <v>160.46908085000001</v>
      </c>
      <c r="P9" s="781">
        <v>161.51403843000003</v>
      </c>
      <c r="Q9" s="781">
        <v>138.43867263000001</v>
      </c>
      <c r="R9" s="781">
        <v>142.12255864000002</v>
      </c>
      <c r="S9" s="781">
        <v>144.79102319</v>
      </c>
      <c r="T9" s="781">
        <v>142.04191179</v>
      </c>
      <c r="U9" s="781">
        <v>144.24005866000002</v>
      </c>
      <c r="V9" s="781">
        <v>146.06559233000002</v>
      </c>
      <c r="W9" s="781">
        <v>148.89360317000001</v>
      </c>
      <c r="X9" s="781">
        <v>148.7892569</v>
      </c>
      <c r="Y9" s="781">
        <v>134.72375214000002</v>
      </c>
      <c r="Z9" s="781">
        <v>134.59415387000001</v>
      </c>
      <c r="AA9" s="781">
        <v>152.31823054</v>
      </c>
      <c r="AB9" s="781">
        <v>151.20703358</v>
      </c>
      <c r="AC9" s="781">
        <v>150.88162495999998</v>
      </c>
      <c r="AD9" s="781">
        <v>158.84689413000001</v>
      </c>
      <c r="AE9" s="781">
        <v>165.13177231999998</v>
      </c>
      <c r="AF9" s="781">
        <v>164.97885882</v>
      </c>
      <c r="AG9" s="781">
        <v>174.28674838000001</v>
      </c>
      <c r="AH9" s="781">
        <v>103.07259006000001</v>
      </c>
      <c r="AI9" s="781">
        <v>109.51482437999999</v>
      </c>
      <c r="AJ9" s="781">
        <v>104.74286409999999</v>
      </c>
      <c r="AK9" s="781">
        <v>135.42070587000001</v>
      </c>
      <c r="AL9" s="781">
        <v>131.40524945999999</v>
      </c>
      <c r="AM9" s="781">
        <v>128.94843634</v>
      </c>
      <c r="AN9" s="781">
        <v>128.82772116000001</v>
      </c>
      <c r="AO9" s="781">
        <v>128.87074984</v>
      </c>
      <c r="AP9" s="781">
        <v>122.35909971000001</v>
      </c>
      <c r="AQ9" s="781">
        <v>119.96831184000001</v>
      </c>
      <c r="AR9" s="781">
        <v>117.08372646000001</v>
      </c>
      <c r="AS9" s="781">
        <v>113.33478391999999</v>
      </c>
      <c r="AT9" s="781">
        <v>115.00534913</v>
      </c>
      <c r="AU9" s="781">
        <v>105.9276667</v>
      </c>
      <c r="AV9" s="781">
        <v>135.64527134000002</v>
      </c>
      <c r="AW9" s="781">
        <v>123.56784676000001</v>
      </c>
      <c r="AX9" s="781">
        <v>128.87327235000001</v>
      </c>
      <c r="AY9" s="781">
        <v>118.27619371999998</v>
      </c>
      <c r="AZ9" s="781">
        <v>119.04739961000001</v>
      </c>
      <c r="BA9" s="781">
        <v>119.22344769</v>
      </c>
      <c r="BB9" s="781">
        <v>127.60648642</v>
      </c>
      <c r="BC9" s="781">
        <v>120.09532649000001</v>
      </c>
      <c r="BD9" s="781">
        <v>117.05413166</v>
      </c>
      <c r="BE9" s="781">
        <v>112.35640069</v>
      </c>
      <c r="BF9" s="781">
        <v>107.00080903</v>
      </c>
      <c r="BG9" s="781">
        <v>105.86911676</v>
      </c>
      <c r="BH9" s="826">
        <v>102.44545586999999</v>
      </c>
      <c r="BI9" s="815">
        <v>99.875117109999991</v>
      </c>
      <c r="BJ9" s="815">
        <v>90.240412829999997</v>
      </c>
      <c r="BK9" s="815">
        <v>101.59994817</v>
      </c>
      <c r="BL9" s="815">
        <v>99.883356630000009</v>
      </c>
      <c r="BM9" s="815">
        <v>96.823836300000011</v>
      </c>
      <c r="BN9" s="815">
        <v>93.840992059999991</v>
      </c>
      <c r="BO9" s="815">
        <v>87.873353510000001</v>
      </c>
      <c r="BP9" s="815">
        <v>82.337467709999999</v>
      </c>
      <c r="BQ9" s="815">
        <v>90.605755200000004</v>
      </c>
      <c r="BR9" s="815">
        <v>85.885595480000006</v>
      </c>
      <c r="BS9" s="815">
        <v>84.765388059999992</v>
      </c>
      <c r="BT9" s="815">
        <v>82.044815629999988</v>
      </c>
      <c r="BU9" s="815">
        <v>77.111194799999993</v>
      </c>
      <c r="BV9" s="815">
        <v>75.937350960000003</v>
      </c>
      <c r="BW9" s="815">
        <v>73.447471460000003</v>
      </c>
      <c r="BX9" s="815">
        <v>75.018134799999999</v>
      </c>
      <c r="BY9" s="815">
        <v>74.814509780000009</v>
      </c>
      <c r="BZ9" s="815">
        <v>71.28229669000001</v>
      </c>
      <c r="CA9" s="815">
        <v>71.160310750000008</v>
      </c>
      <c r="CB9" s="815">
        <v>37.267150730000004</v>
      </c>
      <c r="CC9" s="815">
        <v>34.743146689999996</v>
      </c>
      <c r="CD9" s="815">
        <v>33.829707839999998</v>
      </c>
      <c r="CE9" s="815">
        <v>32.563461630000006</v>
      </c>
      <c r="CF9" s="815">
        <v>30.051031290000001</v>
      </c>
      <c r="CG9" s="815">
        <v>29.914680269999998</v>
      </c>
      <c r="CH9" s="815">
        <v>28.784889160000002</v>
      </c>
      <c r="CI9" s="815">
        <v>25.905592429999999</v>
      </c>
      <c r="CJ9" s="815">
        <v>26.10718194</v>
      </c>
      <c r="CK9" s="815">
        <v>24.227120580000001</v>
      </c>
      <c r="CL9" s="815">
        <v>23.694239969999998</v>
      </c>
      <c r="CM9" s="815">
        <v>23.336812760000001</v>
      </c>
      <c r="CN9" s="815">
        <v>22.140004189999999</v>
      </c>
      <c r="CO9" s="815">
        <v>12.325194809999999</v>
      </c>
      <c r="CP9" s="815">
        <v>12.9484838</v>
      </c>
      <c r="CQ9" s="815">
        <v>2.39123748</v>
      </c>
      <c r="CR9" s="815">
        <v>7.5252334899999997</v>
      </c>
      <c r="CS9" s="815">
        <v>5.3777110399999994</v>
      </c>
      <c r="CT9" s="815">
        <v>268.28105054999997</v>
      </c>
      <c r="CU9" s="815">
        <v>265.97732522000001</v>
      </c>
      <c r="CV9" s="815">
        <v>267.58293235000002</v>
      </c>
      <c r="CW9" s="815">
        <v>267.46906082999999</v>
      </c>
      <c r="CX9" s="815">
        <v>264.82072332000001</v>
      </c>
      <c r="CY9" s="815">
        <v>264.55922588999999</v>
      </c>
      <c r="CZ9" s="815">
        <v>259.76599436999999</v>
      </c>
      <c r="DA9" s="815">
        <v>256.55882308000002</v>
      </c>
      <c r="DB9" s="815">
        <v>255.61844984999999</v>
      </c>
      <c r="DC9" s="815">
        <v>255.86154368999999</v>
      </c>
      <c r="DD9" s="815">
        <v>255.77459844000001</v>
      </c>
      <c r="DE9" s="815">
        <v>256.07872295999999</v>
      </c>
      <c r="DF9" s="815">
        <v>255.72944038</v>
      </c>
      <c r="DG9" s="815">
        <v>255.79744651999999</v>
      </c>
      <c r="DH9" s="815">
        <v>257.69415103</v>
      </c>
      <c r="DI9" s="815">
        <v>257.58624103</v>
      </c>
      <c r="DJ9" s="815">
        <v>259.55549444000002</v>
      </c>
      <c r="DK9" s="815">
        <v>259.79918151999999</v>
      </c>
      <c r="DL9" s="815">
        <v>217.30785442000001</v>
      </c>
      <c r="DM9" s="815">
        <v>215.01245506000001</v>
      </c>
      <c r="DN9" s="815">
        <v>240.96042359</v>
      </c>
      <c r="DO9" s="815">
        <v>233.41907734</v>
      </c>
      <c r="DP9" s="815">
        <v>242.28323825000001</v>
      </c>
      <c r="DQ9" s="815">
        <v>231.04088942000001</v>
      </c>
      <c r="DR9" s="815">
        <v>189.6296553</v>
      </c>
      <c r="DS9" s="815">
        <v>192.41927181</v>
      </c>
      <c r="DT9" s="815">
        <v>208.07349857</v>
      </c>
      <c r="DU9" s="815">
        <v>210.70521676999999</v>
      </c>
      <c r="DV9" s="815">
        <v>240.9300738</v>
      </c>
      <c r="DW9" s="815">
        <v>270.33778192</v>
      </c>
      <c r="DX9" s="815">
        <v>262.95360976000001</v>
      </c>
      <c r="DY9" s="815">
        <v>286.41465613999998</v>
      </c>
      <c r="DZ9" s="815">
        <v>324.24537481999999</v>
      </c>
      <c r="EA9" s="815">
        <v>340.65460597999999</v>
      </c>
      <c r="EB9" s="815">
        <v>349.70952745</v>
      </c>
      <c r="EC9" s="815">
        <v>378.04751641000001</v>
      </c>
      <c r="ED9" s="815">
        <v>328.96143050000001</v>
      </c>
      <c r="EE9" s="815">
        <v>338.95553083999999</v>
      </c>
      <c r="EF9" s="815">
        <v>362.39984759999999</v>
      </c>
      <c r="EG9" s="815">
        <v>361.94658055000002</v>
      </c>
      <c r="EH9" s="815">
        <v>383.38934932000001</v>
      </c>
      <c r="EI9" s="815">
        <v>372.44733273999998</v>
      </c>
      <c r="EJ9" s="815">
        <v>362.13055849</v>
      </c>
      <c r="EK9" s="815">
        <v>358.82656322000003</v>
      </c>
      <c r="EL9" s="815">
        <v>363.27634269999999</v>
      </c>
      <c r="EM9" s="815">
        <v>356.55084568000001</v>
      </c>
      <c r="EN9" s="815">
        <v>353.43028709999999</v>
      </c>
      <c r="EO9" s="815">
        <v>306.48619237999998</v>
      </c>
      <c r="EP9" s="815">
        <v>312.32203339</v>
      </c>
      <c r="EQ9" s="815">
        <v>320.08000564999998</v>
      </c>
      <c r="ER9" s="815">
        <v>322.30891686000001</v>
      </c>
      <c r="ES9" s="815">
        <v>324.72266764</v>
      </c>
      <c r="ET9" s="815">
        <v>323.04942708999999</v>
      </c>
      <c r="EU9" s="815">
        <v>324.95996663</v>
      </c>
      <c r="EV9" s="815">
        <v>316.30653974000001</v>
      </c>
      <c r="EW9" s="815">
        <v>314.17157471000002</v>
      </c>
      <c r="EX9" s="815">
        <v>325.737189</v>
      </c>
      <c r="EY9" s="815">
        <v>315.65332670999999</v>
      </c>
      <c r="EZ9" s="815">
        <v>324.94342366000001</v>
      </c>
      <c r="FA9" s="815">
        <v>317.28009179999998</v>
      </c>
      <c r="FB9" s="815">
        <v>309.10877278999999</v>
      </c>
      <c r="FC9" s="815">
        <v>307.10263493999997</v>
      </c>
      <c r="FD9" s="815">
        <v>306.75685211000001</v>
      </c>
      <c r="FE9" s="815">
        <v>298.89901136999998</v>
      </c>
      <c r="FF9" s="815">
        <v>295.66422648999998</v>
      </c>
      <c r="FG9" s="815">
        <v>287.91059439000003</v>
      </c>
      <c r="FH9" s="1710" t="s">
        <v>1152</v>
      </c>
    </row>
    <row r="10" spans="1:164" ht="21">
      <c r="A10" s="1723" t="s">
        <v>1961</v>
      </c>
      <c r="B10" s="783">
        <v>226.93125953999999</v>
      </c>
      <c r="C10" s="783">
        <v>226.31229095999998</v>
      </c>
      <c r="D10" s="783">
        <v>226.30729095999999</v>
      </c>
      <c r="E10" s="783">
        <v>220.49555925000001</v>
      </c>
      <c r="F10" s="783">
        <v>113.70055925000001</v>
      </c>
      <c r="G10" s="783">
        <v>106.5400594</v>
      </c>
      <c r="H10" s="783">
        <v>106.24833840000001</v>
      </c>
      <c r="I10" s="783">
        <v>103.12080854000001</v>
      </c>
      <c r="J10" s="783">
        <v>102.8465084</v>
      </c>
      <c r="K10" s="783">
        <v>102.6165084</v>
      </c>
      <c r="L10" s="783">
        <v>93.90580854000001</v>
      </c>
      <c r="M10" s="784">
        <v>91.95650839999999</v>
      </c>
      <c r="N10" s="784">
        <v>89.05440883</v>
      </c>
      <c r="O10" s="784">
        <v>88.705808539999992</v>
      </c>
      <c r="P10" s="784">
        <v>86.555108689999997</v>
      </c>
      <c r="Q10" s="784">
        <v>84.805108689999997</v>
      </c>
      <c r="R10" s="784">
        <v>84.43937154000001</v>
      </c>
      <c r="S10" s="784">
        <v>84.088671690000012</v>
      </c>
      <c r="T10" s="784">
        <v>83.737971830000006</v>
      </c>
      <c r="U10" s="784">
        <v>83.389371540000013</v>
      </c>
      <c r="V10" s="784">
        <v>83.039371540000005</v>
      </c>
      <c r="W10" s="784">
        <v>82.739371540000008</v>
      </c>
      <c r="X10" s="784">
        <v>82.42080854000001</v>
      </c>
      <c r="Y10" s="784">
        <v>82.070808540000002</v>
      </c>
      <c r="Z10" s="784">
        <v>81.970808540000007</v>
      </c>
      <c r="AA10" s="784">
        <v>92.015725040000007</v>
      </c>
      <c r="AB10" s="784">
        <v>91.306626919999999</v>
      </c>
      <c r="AC10" s="784">
        <v>90.495860800000003</v>
      </c>
      <c r="AD10" s="784">
        <v>97.146759790000004</v>
      </c>
      <c r="AE10" s="784">
        <v>95.819570179999999</v>
      </c>
      <c r="AF10" s="784">
        <v>94.546667860000014</v>
      </c>
      <c r="AG10" s="784">
        <v>100.80315203000001</v>
      </c>
      <c r="AH10" s="784">
        <v>35.993458540000006</v>
      </c>
      <c r="AI10" s="784">
        <v>37.116718299999995</v>
      </c>
      <c r="AJ10" s="784">
        <v>32.776145640000003</v>
      </c>
      <c r="AK10" s="784">
        <v>32.133548529999999</v>
      </c>
      <c r="AL10" s="784">
        <v>31.39442798</v>
      </c>
      <c r="AM10" s="784">
        <v>30.285577610000001</v>
      </c>
      <c r="AN10" s="784">
        <v>29.50121386</v>
      </c>
      <c r="AO10" s="784">
        <v>32.281423410000002</v>
      </c>
      <c r="AP10" s="784">
        <v>30.193132200000001</v>
      </c>
      <c r="AQ10" s="784">
        <v>28.086202829999998</v>
      </c>
      <c r="AR10" s="784">
        <v>26.39009274</v>
      </c>
      <c r="AS10" s="784">
        <v>24.508873170000001</v>
      </c>
      <c r="AT10" s="784">
        <v>25.982158550000001</v>
      </c>
      <c r="AU10" s="784">
        <v>23.432755660000002</v>
      </c>
      <c r="AV10" s="784">
        <v>49.645195659999999</v>
      </c>
      <c r="AW10" s="784">
        <v>51.666771699999998</v>
      </c>
      <c r="AX10" s="784">
        <v>54.262324899999996</v>
      </c>
      <c r="AY10" s="784">
        <v>51.674734899999997</v>
      </c>
      <c r="AZ10" s="784">
        <v>65.08411246</v>
      </c>
      <c r="BA10" s="784">
        <v>65.939891240000009</v>
      </c>
      <c r="BB10" s="784">
        <v>65.748473700000005</v>
      </c>
      <c r="BC10" s="784">
        <v>57.915310600000005</v>
      </c>
      <c r="BD10" s="784">
        <v>55.264352819999999</v>
      </c>
      <c r="BE10" s="784">
        <v>54.577801829999999</v>
      </c>
      <c r="BF10" s="784">
        <v>54.331089810000002</v>
      </c>
      <c r="BG10" s="784">
        <v>53.604283550000005</v>
      </c>
      <c r="BH10" s="827">
        <v>52.750414829999997</v>
      </c>
      <c r="BI10" s="816">
        <v>51.612337960000005</v>
      </c>
      <c r="BJ10" s="816">
        <v>42.36714345</v>
      </c>
      <c r="BK10" s="816">
        <v>40.99879207</v>
      </c>
      <c r="BL10" s="816">
        <v>39.328081230000002</v>
      </c>
      <c r="BM10" s="816">
        <v>38.16989006</v>
      </c>
      <c r="BN10" s="816">
        <v>36.866625620000001</v>
      </c>
      <c r="BO10" s="816">
        <v>35.859079789999996</v>
      </c>
      <c r="BP10" s="816">
        <v>34.817243409999996</v>
      </c>
      <c r="BQ10" s="816">
        <v>45.438266660000004</v>
      </c>
      <c r="BR10" s="816">
        <v>40.729273570000004</v>
      </c>
      <c r="BS10" s="816">
        <v>39.672666399999997</v>
      </c>
      <c r="BT10" s="816">
        <v>38.616435339999995</v>
      </c>
      <c r="BU10" s="816">
        <v>37.068372289999999</v>
      </c>
      <c r="BV10" s="816">
        <v>35.945855510000001</v>
      </c>
      <c r="BW10" s="816">
        <v>35.118421040000001</v>
      </c>
      <c r="BX10" s="816">
        <v>36.69912704</v>
      </c>
      <c r="BY10" s="816">
        <v>36.505678580000001</v>
      </c>
      <c r="BZ10" s="816">
        <v>34.452527740000001</v>
      </c>
      <c r="CA10" s="816">
        <v>34.465849560000002</v>
      </c>
      <c r="CB10" s="816">
        <v>31.25086254</v>
      </c>
      <c r="CC10" s="816">
        <v>30.352338619999998</v>
      </c>
      <c r="CD10" s="816">
        <v>29.449716079999998</v>
      </c>
      <c r="CE10" s="816">
        <v>28.314360640000004</v>
      </c>
      <c r="CF10" s="816">
        <v>27.55791511</v>
      </c>
      <c r="CG10" s="816">
        <v>27.31313725</v>
      </c>
      <c r="CH10" s="816">
        <v>26.348063369999998</v>
      </c>
      <c r="CI10" s="816">
        <v>25.395275239999997</v>
      </c>
      <c r="CJ10" s="816">
        <v>25.764858279999999</v>
      </c>
      <c r="CK10" s="816">
        <v>24.190285169999999</v>
      </c>
      <c r="CL10" s="816">
        <v>23.45346017</v>
      </c>
      <c r="CM10" s="816">
        <v>22.908304080000001</v>
      </c>
      <c r="CN10" s="816">
        <v>21.774004189999999</v>
      </c>
      <c r="CO10" s="816">
        <v>11.905194809999999</v>
      </c>
      <c r="CP10" s="816">
        <v>11.430273440000001</v>
      </c>
      <c r="CQ10" s="816">
        <v>0.91559407999999998</v>
      </c>
      <c r="CR10" s="816">
        <v>5.5972986599999999</v>
      </c>
      <c r="CS10" s="816">
        <v>3.4722591599999997</v>
      </c>
      <c r="CT10" s="816">
        <v>258.48572328</v>
      </c>
      <c r="CU10" s="816">
        <v>256.17170568</v>
      </c>
      <c r="CV10" s="816">
        <v>257.5</v>
      </c>
      <c r="CW10" s="816">
        <v>255.7</v>
      </c>
      <c r="CX10" s="816">
        <v>255.2</v>
      </c>
      <c r="CY10" s="816">
        <v>255</v>
      </c>
      <c r="CZ10" s="816">
        <v>256.10124980000001</v>
      </c>
      <c r="DA10" s="816">
        <v>255</v>
      </c>
      <c r="DB10" s="816">
        <v>255</v>
      </c>
      <c r="DC10" s="816">
        <v>255</v>
      </c>
      <c r="DD10" s="816">
        <v>255</v>
      </c>
      <c r="DE10" s="816">
        <v>255</v>
      </c>
      <c r="DF10" s="816">
        <v>255</v>
      </c>
      <c r="DG10" s="816">
        <v>255</v>
      </c>
      <c r="DH10" s="816">
        <v>255</v>
      </c>
      <c r="DI10" s="816">
        <v>255</v>
      </c>
      <c r="DJ10" s="816">
        <v>255</v>
      </c>
      <c r="DK10" s="816">
        <v>255</v>
      </c>
      <c r="DL10" s="816">
        <v>212.5</v>
      </c>
      <c r="DM10" s="816">
        <v>212.5</v>
      </c>
      <c r="DN10" s="816">
        <v>237.184</v>
      </c>
      <c r="DO10" s="816">
        <v>230.06244519000001</v>
      </c>
      <c r="DP10" s="816">
        <v>240.27335149000001</v>
      </c>
      <c r="DQ10" s="816">
        <v>228.31997842000001</v>
      </c>
      <c r="DR10" s="816">
        <v>185.40361494999999</v>
      </c>
      <c r="DS10" s="816">
        <v>183.14157581000001</v>
      </c>
      <c r="DT10" s="816">
        <v>199.15740824</v>
      </c>
      <c r="DU10" s="816">
        <v>201.39077915999999</v>
      </c>
      <c r="DV10" s="816">
        <v>229.19583703999999</v>
      </c>
      <c r="DW10" s="816">
        <v>257.21084524000003</v>
      </c>
      <c r="DX10" s="816">
        <v>247.80310592999999</v>
      </c>
      <c r="DY10" s="816">
        <v>269.86791536999999</v>
      </c>
      <c r="DZ10" s="816">
        <v>307.85537169000003</v>
      </c>
      <c r="EA10" s="816">
        <v>328.84181409000001</v>
      </c>
      <c r="EB10" s="816">
        <v>328.84181409000001</v>
      </c>
      <c r="EC10" s="816">
        <v>361.01696808999998</v>
      </c>
      <c r="ED10" s="816">
        <v>310.86696809</v>
      </c>
      <c r="EE10" s="816">
        <v>321.04594528000001</v>
      </c>
      <c r="EF10" s="816">
        <v>344.42953288000001</v>
      </c>
      <c r="EG10" s="816">
        <v>343.27106695999998</v>
      </c>
      <c r="EH10" s="816">
        <v>364.59611002999998</v>
      </c>
      <c r="EI10" s="816">
        <v>353.84121303000001</v>
      </c>
      <c r="EJ10" s="816">
        <v>343.25788814999999</v>
      </c>
      <c r="EK10" s="816">
        <v>339.63407346000002</v>
      </c>
      <c r="EL10" s="816">
        <v>346.76299963000002</v>
      </c>
      <c r="EM10" s="816">
        <v>353.66124896000002</v>
      </c>
      <c r="EN10" s="816">
        <v>350.03031329999999</v>
      </c>
      <c r="EO10" s="816">
        <v>302.87005216</v>
      </c>
      <c r="EP10" s="816">
        <v>306.75405216000001</v>
      </c>
      <c r="EQ10" s="816">
        <v>314.55092622000001</v>
      </c>
      <c r="ER10" s="816">
        <v>317.25793399999998</v>
      </c>
      <c r="ES10" s="816">
        <v>317.96059366999998</v>
      </c>
      <c r="ET10" s="816">
        <v>315.98757413999999</v>
      </c>
      <c r="EU10" s="816">
        <v>317.32721749000001</v>
      </c>
      <c r="EV10" s="816">
        <v>309.35083424999999</v>
      </c>
      <c r="EW10" s="816">
        <v>303.78081652999998</v>
      </c>
      <c r="EX10" s="816">
        <v>311.72427316</v>
      </c>
      <c r="EY10" s="816">
        <v>304.72712306</v>
      </c>
      <c r="EZ10" s="816">
        <v>293.73534957999999</v>
      </c>
      <c r="FA10" s="816">
        <v>290.10631279</v>
      </c>
      <c r="FB10" s="816">
        <v>281.95171485999998</v>
      </c>
      <c r="FC10" s="816">
        <v>277.11006507000002</v>
      </c>
      <c r="FD10" s="816">
        <v>276.35078654</v>
      </c>
      <c r="FE10" s="816">
        <v>267.65752938000003</v>
      </c>
      <c r="FF10" s="816">
        <v>258.78586751</v>
      </c>
      <c r="FG10" s="816">
        <v>249.87165874999999</v>
      </c>
      <c r="FH10" s="1712" t="s">
        <v>4067</v>
      </c>
    </row>
    <row r="11" spans="1:164" ht="21">
      <c r="A11" s="1723" t="s">
        <v>1962</v>
      </c>
      <c r="B11" s="780">
        <f>+B9-B10</f>
        <v>144.44359840999999</v>
      </c>
      <c r="C11" s="780">
        <f t="shared" ref="C11:V11" si="0">+C9-C10</f>
        <v>54.368064189999984</v>
      </c>
      <c r="D11" s="780">
        <f t="shared" si="0"/>
        <v>54.914560649999999</v>
      </c>
      <c r="E11" s="780">
        <f t="shared" si="0"/>
        <v>66.53574660000001</v>
      </c>
      <c r="F11" s="780">
        <f t="shared" si="0"/>
        <v>65.063218910000003</v>
      </c>
      <c r="G11" s="780">
        <f t="shared" si="0"/>
        <v>68.492274969999997</v>
      </c>
      <c r="H11" s="780">
        <f t="shared" si="0"/>
        <v>71.062091269999982</v>
      </c>
      <c r="I11" s="780">
        <f t="shared" si="0"/>
        <v>71.167260420000019</v>
      </c>
      <c r="J11" s="780">
        <f t="shared" si="0"/>
        <v>71.060609500000027</v>
      </c>
      <c r="K11" s="780">
        <f t="shared" si="0"/>
        <v>70.531772720000006</v>
      </c>
      <c r="L11" s="780">
        <f t="shared" si="0"/>
        <v>70.62852700000002</v>
      </c>
      <c r="M11" s="784">
        <f t="shared" si="0"/>
        <v>71.244731280000025</v>
      </c>
      <c r="N11" s="781">
        <f t="shared" si="0"/>
        <v>71.662490230000003</v>
      </c>
      <c r="O11" s="781">
        <f t="shared" si="0"/>
        <v>71.763272310000019</v>
      </c>
      <c r="P11" s="781">
        <f t="shared" si="0"/>
        <v>74.958929740000031</v>
      </c>
      <c r="Q11" s="781">
        <f t="shared" si="0"/>
        <v>53.633563940000016</v>
      </c>
      <c r="R11" s="781">
        <f t="shared" si="0"/>
        <v>57.683187100000012</v>
      </c>
      <c r="S11" s="781">
        <f t="shared" si="0"/>
        <v>60.702351499999992</v>
      </c>
      <c r="T11" s="781">
        <f t="shared" si="0"/>
        <v>58.303939959999994</v>
      </c>
      <c r="U11" s="781">
        <f t="shared" si="0"/>
        <v>60.850687120000003</v>
      </c>
      <c r="V11" s="781">
        <f t="shared" si="0"/>
        <v>63.026220790000011</v>
      </c>
      <c r="W11" s="781">
        <v>66.154231629999998</v>
      </c>
      <c r="X11" s="781">
        <v>66.368448359999988</v>
      </c>
      <c r="Y11" s="784">
        <v>52.652943600000015</v>
      </c>
      <c r="Z11" s="781">
        <v>52.623345330000006</v>
      </c>
      <c r="AA11" s="781">
        <v>60.302505499999995</v>
      </c>
      <c r="AB11" s="784">
        <v>59.900406660000002</v>
      </c>
      <c r="AC11" s="784">
        <v>60.385764159999979</v>
      </c>
      <c r="AD11" s="784">
        <v>61.700134340000005</v>
      </c>
      <c r="AE11" s="784">
        <v>69.312202139999982</v>
      </c>
      <c r="AF11" s="784">
        <v>70.432190959999986</v>
      </c>
      <c r="AG11" s="784">
        <v>73.483596349999999</v>
      </c>
      <c r="AH11" s="784">
        <f>+AH9-AH10</f>
        <v>67.079131520000004</v>
      </c>
      <c r="AI11" s="784">
        <v>72.398106079999991</v>
      </c>
      <c r="AJ11" s="784">
        <f>+AJ9-AJ10</f>
        <v>71.966718459999981</v>
      </c>
      <c r="AK11" s="784">
        <f>+AK9-AK10</f>
        <v>103.28715734000001</v>
      </c>
      <c r="AL11" s="784">
        <v>100.01082147999999</v>
      </c>
      <c r="AM11" s="784">
        <f>+AM9-AM10</f>
        <v>98.662858729999996</v>
      </c>
      <c r="AN11" s="784">
        <f>+AN9-AN10</f>
        <v>99.326507300000003</v>
      </c>
      <c r="AO11" s="784">
        <f>+AO9-AO10</f>
        <v>96.58932643</v>
      </c>
      <c r="AP11" s="784">
        <f>+AP9-AP10</f>
        <v>92.165967510000002</v>
      </c>
      <c r="AQ11" s="784">
        <v>91.882109010000022</v>
      </c>
      <c r="AR11" s="784">
        <f>+AR9-AR10</f>
        <v>90.693633720000008</v>
      </c>
      <c r="AS11" s="784">
        <f>+AS9-AS10</f>
        <v>88.825910749999991</v>
      </c>
      <c r="AT11" s="784">
        <f>+AT9-AT10</f>
        <v>89.023190580000005</v>
      </c>
      <c r="AU11" s="784">
        <v>82.494911040000005</v>
      </c>
      <c r="AV11" s="784">
        <v>86.000075680000023</v>
      </c>
      <c r="AW11" s="784">
        <v>71.901075060000011</v>
      </c>
      <c r="AX11" s="784">
        <v>74.610947450000012</v>
      </c>
      <c r="AY11" s="784">
        <v>66.601458819999976</v>
      </c>
      <c r="AZ11" s="784">
        <v>53.963287150000014</v>
      </c>
      <c r="BA11" s="784">
        <v>53.283556449999992</v>
      </c>
      <c r="BB11" s="784">
        <v>61.858012719999991</v>
      </c>
      <c r="BC11" s="784">
        <v>62.18001589</v>
      </c>
      <c r="BD11" s="784">
        <f>+BD9-BD10</f>
        <v>61.789778839999997</v>
      </c>
      <c r="BE11" s="784">
        <v>57.778598860000002</v>
      </c>
      <c r="BF11" s="784">
        <v>52.669719219999998</v>
      </c>
      <c r="BG11" s="784">
        <v>52.264833209999992</v>
      </c>
      <c r="BH11" s="827">
        <v>49.695041039999992</v>
      </c>
      <c r="BI11" s="816">
        <v>48.262779149999986</v>
      </c>
      <c r="BJ11" s="816">
        <v>47.873269379999996</v>
      </c>
      <c r="BK11" s="816">
        <v>60.601156100000004</v>
      </c>
      <c r="BL11" s="816">
        <v>60.555275400000006</v>
      </c>
      <c r="BM11" s="816">
        <v>58.65394624000001</v>
      </c>
      <c r="BN11" s="816">
        <v>56.97436643999999</v>
      </c>
      <c r="BO11" s="816">
        <v>52.014273720000006</v>
      </c>
      <c r="BP11" s="816">
        <v>47.520224300000002</v>
      </c>
      <c r="BQ11" s="816">
        <v>45.167488540000001</v>
      </c>
      <c r="BR11" s="816">
        <v>45.156321910000003</v>
      </c>
      <c r="BS11" s="816">
        <v>45.092721659999995</v>
      </c>
      <c r="BT11" s="816">
        <v>43.428380289999993</v>
      </c>
      <c r="BU11" s="816">
        <v>40.042822509999993</v>
      </c>
      <c r="BV11" s="816">
        <v>39.991495450000002</v>
      </c>
      <c r="BW11" s="816">
        <v>38.329050420000002</v>
      </c>
      <c r="BX11" s="816">
        <v>38.319007759999998</v>
      </c>
      <c r="BY11" s="816">
        <v>38.308831200000007</v>
      </c>
      <c r="BZ11" s="816">
        <v>36.829768950000009</v>
      </c>
      <c r="CA11" s="816">
        <v>36.694461190000006</v>
      </c>
      <c r="CB11" s="816">
        <v>6.0162881900000045</v>
      </c>
      <c r="CC11" s="816">
        <v>4.3908080699999985</v>
      </c>
      <c r="CD11" s="816">
        <v>4.3799917599999993</v>
      </c>
      <c r="CE11" s="816">
        <f t="shared" ref="CE11:CO11" si="1">+CE9-CE10</f>
        <v>4.2491009900000023</v>
      </c>
      <c r="CF11" s="816">
        <f t="shared" si="1"/>
        <v>2.4931161800000012</v>
      </c>
      <c r="CG11" s="816">
        <f t="shared" si="1"/>
        <v>2.6015430199999976</v>
      </c>
      <c r="CH11" s="816">
        <f t="shared" si="1"/>
        <v>2.4368257900000039</v>
      </c>
      <c r="CI11" s="816">
        <f t="shared" si="1"/>
        <v>0.51031719000000209</v>
      </c>
      <c r="CJ11" s="816">
        <f t="shared" si="1"/>
        <v>0.34232366000000169</v>
      </c>
      <c r="CK11" s="816">
        <f t="shared" si="1"/>
        <v>3.68354100000019E-2</v>
      </c>
      <c r="CL11" s="816">
        <f t="shared" si="1"/>
        <v>0.24077979999999854</v>
      </c>
      <c r="CM11" s="816">
        <f t="shared" si="1"/>
        <v>0.4285086800000002</v>
      </c>
      <c r="CN11" s="816">
        <f t="shared" si="1"/>
        <v>0.36599999999999966</v>
      </c>
      <c r="CO11" s="816">
        <f t="shared" si="1"/>
        <v>0.41999999999999993</v>
      </c>
      <c r="CP11" s="816">
        <f>+CP9-CP10</f>
        <v>1.5182103599999994</v>
      </c>
      <c r="CQ11" s="816">
        <f>+CQ9-CQ10</f>
        <v>1.4756434</v>
      </c>
      <c r="CR11" s="816">
        <f>+CR9-CR10</f>
        <v>1.9279348299999999</v>
      </c>
      <c r="CS11" s="816">
        <f>+CS9-CS10</f>
        <v>1.9054518799999998</v>
      </c>
      <c r="CT11" s="816">
        <v>9.7953272699999996</v>
      </c>
      <c r="CU11" s="816">
        <v>9.8056195400000004</v>
      </c>
      <c r="CV11" s="816">
        <v>10.08293235</v>
      </c>
      <c r="CW11" s="816">
        <v>11.769060830000001</v>
      </c>
      <c r="CX11" s="816">
        <v>9.6207233199999997</v>
      </c>
      <c r="CY11" s="816">
        <v>9.5592258900000004</v>
      </c>
      <c r="CZ11" s="816">
        <v>3.6647445699999999</v>
      </c>
      <c r="DA11" s="816">
        <v>1.55882308</v>
      </c>
      <c r="DB11" s="816">
        <v>0.61844984999999997</v>
      </c>
      <c r="DC11" s="816">
        <v>0.86154368999999997</v>
      </c>
      <c r="DD11" s="816">
        <v>0.77459844</v>
      </c>
      <c r="DE11" s="816">
        <v>1.0787229599999999</v>
      </c>
      <c r="DF11" s="816">
        <v>0.72944038</v>
      </c>
      <c r="DG11" s="816">
        <v>0.79744652000000005</v>
      </c>
      <c r="DH11" s="816">
        <v>2.69415103</v>
      </c>
      <c r="DI11" s="816">
        <v>2.5862410300000001</v>
      </c>
      <c r="DJ11" s="816">
        <v>4.5554944400000004</v>
      </c>
      <c r="DK11" s="816">
        <v>4.7991815200000003</v>
      </c>
      <c r="DL11" s="816">
        <v>4.80785442</v>
      </c>
      <c r="DM11" s="816">
        <v>2.5124550600000002</v>
      </c>
      <c r="DN11" s="816">
        <v>3.7764235899999998</v>
      </c>
      <c r="DO11" s="816">
        <v>3.3566321499999998</v>
      </c>
      <c r="DP11" s="816">
        <v>2.0098867600000001</v>
      </c>
      <c r="DQ11" s="816">
        <v>2.7209110000000001</v>
      </c>
      <c r="DR11" s="816">
        <v>4.2260403499999999</v>
      </c>
      <c r="DS11" s="816">
        <v>9.2776960000000006</v>
      </c>
      <c r="DT11" s="816">
        <v>8.9160903299999994</v>
      </c>
      <c r="DU11" s="816">
        <v>9.3144376100000006</v>
      </c>
      <c r="DV11" s="816">
        <v>11.73423676</v>
      </c>
      <c r="DW11" s="816">
        <v>13.12693668</v>
      </c>
      <c r="DX11" s="816">
        <v>15.15050383</v>
      </c>
      <c r="DY11" s="816">
        <v>16.54674077</v>
      </c>
      <c r="DZ11" s="816">
        <v>16.39000313</v>
      </c>
      <c r="EA11" s="816">
        <v>11.81279189</v>
      </c>
      <c r="EB11" s="816">
        <v>20.86771336</v>
      </c>
      <c r="EC11" s="816">
        <v>17.030548320000001</v>
      </c>
      <c r="ED11" s="816">
        <v>18.094462409999998</v>
      </c>
      <c r="EE11" s="816">
        <v>17.90958556</v>
      </c>
      <c r="EF11" s="816">
        <v>17.970314720000001</v>
      </c>
      <c r="EG11" s="816">
        <v>18.675513590000001</v>
      </c>
      <c r="EH11" s="816">
        <v>18.793239289999999</v>
      </c>
      <c r="EI11" s="816">
        <v>18.606119710000002</v>
      </c>
      <c r="EJ11" s="816">
        <v>18.872670339999999</v>
      </c>
      <c r="EK11" s="816">
        <v>19.192489760000001</v>
      </c>
      <c r="EL11" s="816">
        <v>16.513343070000001</v>
      </c>
      <c r="EM11" s="816">
        <v>2.8895967200000001</v>
      </c>
      <c r="EN11" s="816">
        <v>3.3999738000000002</v>
      </c>
      <c r="EO11" s="816">
        <v>3.6161402200000001</v>
      </c>
      <c r="EP11" s="816">
        <v>5.56798123</v>
      </c>
      <c r="EQ11" s="816">
        <v>5.5290794300000004</v>
      </c>
      <c r="ER11" s="816">
        <v>5.0509828600000004</v>
      </c>
      <c r="ES11" s="816">
        <v>6.7620739700000003</v>
      </c>
      <c r="ET11" s="816">
        <v>7.0618529499999996</v>
      </c>
      <c r="EU11" s="816">
        <v>7.6327491399999996</v>
      </c>
      <c r="EV11" s="816">
        <v>6.9557054899999997</v>
      </c>
      <c r="EW11" s="816">
        <v>10.390758180000001</v>
      </c>
      <c r="EX11" s="816">
        <v>14.01291584</v>
      </c>
      <c r="EY11" s="816">
        <v>10.92620365</v>
      </c>
      <c r="EZ11" s="816">
        <v>31.208074079999999</v>
      </c>
      <c r="FA11" s="816">
        <v>27.173779010000001</v>
      </c>
      <c r="FB11" s="816">
        <v>27.157057930000001</v>
      </c>
      <c r="FC11" s="816">
        <v>29.992569870000001</v>
      </c>
      <c r="FD11" s="816">
        <v>30.406065569999999</v>
      </c>
      <c r="FE11" s="816">
        <v>31.24148199</v>
      </c>
      <c r="FF11" s="816">
        <v>36.878358980000002</v>
      </c>
      <c r="FG11" s="816">
        <v>38.038935639999998</v>
      </c>
      <c r="FH11" s="1712" t="s">
        <v>4066</v>
      </c>
    </row>
    <row r="12" spans="1:164" ht="21">
      <c r="A12" s="1721"/>
      <c r="B12" s="783"/>
      <c r="C12" s="783"/>
      <c r="D12" s="783"/>
      <c r="E12" s="783"/>
      <c r="F12" s="783"/>
      <c r="G12" s="783"/>
      <c r="H12" s="783"/>
      <c r="I12" s="783"/>
      <c r="J12" s="783"/>
      <c r="K12" s="783"/>
      <c r="L12" s="783"/>
      <c r="M12" s="784"/>
      <c r="N12" s="784"/>
      <c r="O12" s="784"/>
      <c r="P12" s="784"/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84"/>
      <c r="AF12" s="784"/>
      <c r="AG12" s="784"/>
      <c r="AH12" s="784"/>
      <c r="AI12" s="784"/>
      <c r="AJ12" s="784"/>
      <c r="AK12" s="784"/>
      <c r="AL12" s="784"/>
      <c r="AM12" s="784"/>
      <c r="AN12" s="784"/>
      <c r="AO12" s="784"/>
      <c r="AP12" s="784"/>
      <c r="AQ12" s="784"/>
      <c r="AR12" s="784"/>
      <c r="AS12" s="784"/>
      <c r="AT12" s="784"/>
      <c r="AU12" s="784"/>
      <c r="AV12" s="784"/>
      <c r="AW12" s="784"/>
      <c r="AX12" s="784"/>
      <c r="AY12" s="784"/>
      <c r="AZ12" s="784"/>
      <c r="BA12" s="784"/>
      <c r="BB12" s="784"/>
      <c r="BC12" s="784"/>
      <c r="BD12" s="784"/>
      <c r="BE12" s="784"/>
      <c r="BF12" s="784"/>
      <c r="BG12" s="784"/>
      <c r="BH12" s="827"/>
      <c r="BI12" s="816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6"/>
      <c r="CN12" s="816"/>
      <c r="CO12" s="816"/>
      <c r="CP12" s="816"/>
      <c r="CQ12" s="816"/>
      <c r="CR12" s="816"/>
      <c r="CS12" s="816"/>
      <c r="CT12" s="816"/>
      <c r="CU12" s="816"/>
      <c r="CV12" s="816"/>
      <c r="CW12" s="816"/>
      <c r="CX12" s="816"/>
      <c r="CY12" s="816"/>
      <c r="CZ12" s="816"/>
      <c r="DA12" s="816"/>
      <c r="DB12" s="816"/>
      <c r="DC12" s="816"/>
      <c r="DD12" s="816"/>
      <c r="DE12" s="816"/>
      <c r="DF12" s="816"/>
      <c r="DG12" s="816"/>
      <c r="DH12" s="816"/>
      <c r="DI12" s="816"/>
      <c r="DJ12" s="816"/>
      <c r="DK12" s="816"/>
      <c r="DL12" s="816"/>
      <c r="DM12" s="816"/>
      <c r="DN12" s="816"/>
      <c r="DO12" s="816"/>
      <c r="DP12" s="816"/>
      <c r="DQ12" s="816"/>
      <c r="DR12" s="816"/>
      <c r="DS12" s="816"/>
      <c r="DT12" s="816"/>
      <c r="DU12" s="816"/>
      <c r="DV12" s="816"/>
      <c r="DW12" s="816"/>
      <c r="DX12" s="816"/>
      <c r="DY12" s="816"/>
      <c r="DZ12" s="816"/>
      <c r="EA12" s="816"/>
      <c r="EB12" s="816"/>
      <c r="EC12" s="816"/>
      <c r="ED12" s="816"/>
      <c r="EE12" s="816"/>
      <c r="EF12" s="816"/>
      <c r="EG12" s="816"/>
      <c r="EH12" s="816"/>
      <c r="EI12" s="816"/>
      <c r="EJ12" s="816"/>
      <c r="EK12" s="816"/>
      <c r="EL12" s="816"/>
      <c r="EM12" s="816"/>
      <c r="EN12" s="816"/>
      <c r="EO12" s="816"/>
      <c r="EP12" s="816"/>
      <c r="EQ12" s="816"/>
      <c r="ER12" s="816"/>
      <c r="ES12" s="816"/>
      <c r="ET12" s="816"/>
      <c r="EU12" s="816"/>
      <c r="EV12" s="816"/>
      <c r="EW12" s="816"/>
      <c r="EX12" s="816"/>
      <c r="EY12" s="816"/>
      <c r="EZ12" s="816"/>
      <c r="FA12" s="816"/>
      <c r="FB12" s="816"/>
      <c r="FC12" s="816"/>
      <c r="FD12" s="816"/>
      <c r="FE12" s="816"/>
      <c r="FF12" s="816"/>
      <c r="FG12" s="816"/>
      <c r="FH12" s="1711"/>
    </row>
    <row r="13" spans="1:164" ht="21">
      <c r="A13" s="1722" t="s">
        <v>2741</v>
      </c>
      <c r="B13" s="780">
        <v>153.78120507</v>
      </c>
      <c r="C13" s="780">
        <v>148.65791475</v>
      </c>
      <c r="D13" s="780">
        <v>149.27022868999998</v>
      </c>
      <c r="E13" s="780">
        <v>143.65183855000001</v>
      </c>
      <c r="F13" s="780">
        <v>135.64749677</v>
      </c>
      <c r="G13" s="780">
        <v>130.74177667999999</v>
      </c>
      <c r="H13" s="780">
        <v>130.97984638</v>
      </c>
      <c r="I13" s="780">
        <v>129.03827950000002</v>
      </c>
      <c r="J13" s="780">
        <v>129.01520756000002</v>
      </c>
      <c r="K13" s="780">
        <v>129.59552644999999</v>
      </c>
      <c r="L13" s="780">
        <v>121.25965647000001</v>
      </c>
      <c r="M13" s="781">
        <v>119.35814605</v>
      </c>
      <c r="N13" s="781">
        <v>117.36450184</v>
      </c>
      <c r="O13" s="781">
        <v>117.60055367</v>
      </c>
      <c r="P13" s="781">
        <v>118.67695535000001</v>
      </c>
      <c r="Q13" s="781">
        <v>102.68353318000001</v>
      </c>
      <c r="R13" s="781">
        <v>106.42985264000001</v>
      </c>
      <c r="S13" s="781">
        <v>108.76789989000001</v>
      </c>
      <c r="T13" s="781">
        <v>107.82288138</v>
      </c>
      <c r="U13" s="781">
        <v>109.04100210000001</v>
      </c>
      <c r="V13" s="781">
        <v>112.24619067</v>
      </c>
      <c r="W13" s="781">
        <v>113.77042580000001</v>
      </c>
      <c r="X13" s="781">
        <v>113.55535021000001</v>
      </c>
      <c r="Y13" s="781">
        <v>103.86732886000001</v>
      </c>
      <c r="Z13" s="781">
        <v>103.90177465000001</v>
      </c>
      <c r="AA13" s="781">
        <v>91.067124990000011</v>
      </c>
      <c r="AB13" s="781">
        <v>90.604594680000005</v>
      </c>
      <c r="AC13" s="781">
        <v>91.359265249999993</v>
      </c>
      <c r="AD13" s="781">
        <v>93.157632090000007</v>
      </c>
      <c r="AE13" s="781">
        <v>101.16659505</v>
      </c>
      <c r="AF13" s="781">
        <v>104.94196506</v>
      </c>
      <c r="AG13" s="781">
        <v>108.35662965</v>
      </c>
      <c r="AH13" s="781">
        <v>49.770423029999996</v>
      </c>
      <c r="AI13" s="781">
        <v>57.555811949999999</v>
      </c>
      <c r="AJ13" s="781">
        <v>54.139758860000001</v>
      </c>
      <c r="AK13" s="781">
        <v>78.493067609999997</v>
      </c>
      <c r="AL13" s="781">
        <v>75.176960960000002</v>
      </c>
      <c r="AM13" s="781">
        <v>74.036391960000003</v>
      </c>
      <c r="AN13" s="781">
        <v>73.354791779999999</v>
      </c>
      <c r="AO13" s="781">
        <v>71.859168629999999</v>
      </c>
      <c r="AP13" s="781">
        <v>67.612506750000009</v>
      </c>
      <c r="AQ13" s="781">
        <v>67.095835660000006</v>
      </c>
      <c r="AR13" s="781">
        <v>67.364741790000011</v>
      </c>
      <c r="AS13" s="781">
        <v>65.259038129999993</v>
      </c>
      <c r="AT13" s="781">
        <v>64.880237039999997</v>
      </c>
      <c r="AU13" s="781">
        <v>64.275102779999997</v>
      </c>
      <c r="AV13" s="781">
        <v>67.552733880000005</v>
      </c>
      <c r="AW13" s="781">
        <v>66.67463592</v>
      </c>
      <c r="AX13" s="781">
        <v>69.268577239999999</v>
      </c>
      <c r="AY13" s="781">
        <v>61.794307159999995</v>
      </c>
      <c r="AZ13" s="781">
        <v>50.072883250000004</v>
      </c>
      <c r="BA13" s="781">
        <v>48.545962830000001</v>
      </c>
      <c r="BB13" s="781">
        <v>52.638946050000001</v>
      </c>
      <c r="BC13" s="781">
        <v>52.654097829999998</v>
      </c>
      <c r="BD13" s="781">
        <v>52.65178994</v>
      </c>
      <c r="BE13" s="781">
        <v>48.669767230000005</v>
      </c>
      <c r="BF13" s="781">
        <v>44.446705659999999</v>
      </c>
      <c r="BG13" s="781">
        <v>44.446705659999999</v>
      </c>
      <c r="BH13" s="826">
        <v>41.895587880000001</v>
      </c>
      <c r="BI13" s="815">
        <v>40.486970289999995</v>
      </c>
      <c r="BJ13" s="815">
        <v>40.516970289999996</v>
      </c>
      <c r="BK13" s="815">
        <v>40.512233129999998</v>
      </c>
      <c r="BL13" s="815">
        <v>40.489406039999999</v>
      </c>
      <c r="BM13" s="815">
        <v>40.032493000000002</v>
      </c>
      <c r="BN13" s="815">
        <v>39.967492999999997</v>
      </c>
      <c r="BO13" s="815">
        <v>35.028252999999999</v>
      </c>
      <c r="BP13" s="815">
        <v>35.029253000000004</v>
      </c>
      <c r="BQ13" s="815">
        <v>34.281489000000001</v>
      </c>
      <c r="BR13" s="815">
        <v>34.281489000000001</v>
      </c>
      <c r="BS13" s="815">
        <v>34.281489000000001</v>
      </c>
      <c r="BT13" s="815">
        <v>34.281489000000001</v>
      </c>
      <c r="BU13" s="815">
        <v>30.958452999999999</v>
      </c>
      <c r="BV13" s="815">
        <v>30.747237510000001</v>
      </c>
      <c r="BW13" s="815">
        <v>30.688452999999999</v>
      </c>
      <c r="BX13" s="815">
        <v>31.398453</v>
      </c>
      <c r="BY13" s="815">
        <v>32.080717</v>
      </c>
      <c r="BZ13" s="815">
        <v>31.4415306</v>
      </c>
      <c r="CA13" s="815">
        <v>32.218453000000004</v>
      </c>
      <c r="CB13" s="815">
        <v>2.1000000000000001E-2</v>
      </c>
      <c r="CC13" s="815">
        <v>0</v>
      </c>
      <c r="CD13" s="815">
        <v>0</v>
      </c>
      <c r="CE13" s="815">
        <v>0.03</v>
      </c>
      <c r="CF13" s="815">
        <v>0.03</v>
      </c>
      <c r="CG13" s="815">
        <v>0.89372143999999998</v>
      </c>
      <c r="CH13" s="815">
        <v>0.88461432000000007</v>
      </c>
      <c r="CI13" s="815">
        <v>0.71686643000000005</v>
      </c>
      <c r="CJ13" s="815">
        <v>2.036</v>
      </c>
      <c r="CK13" s="815">
        <v>1.3</v>
      </c>
      <c r="CL13" s="815">
        <v>1.516</v>
      </c>
      <c r="CM13" s="815">
        <v>1.94174388</v>
      </c>
      <c r="CN13" s="815">
        <v>2.0021421200000002</v>
      </c>
      <c r="CO13" s="815">
        <v>0.95909292999999995</v>
      </c>
      <c r="CP13" s="815">
        <v>1.26548393</v>
      </c>
      <c r="CQ13" s="815">
        <v>0.88787187000000001</v>
      </c>
      <c r="CR13" s="815">
        <v>5.7494072300000001</v>
      </c>
      <c r="CS13" s="815">
        <v>3.7100468199999996</v>
      </c>
      <c r="CT13" s="815">
        <v>11.7092613</v>
      </c>
      <c r="CU13" s="815">
        <v>9.48452582</v>
      </c>
      <c r="CV13" s="815">
        <v>11.21559536</v>
      </c>
      <c r="CW13" s="815">
        <v>11.12559536</v>
      </c>
      <c r="CX13" s="815">
        <v>8.5008375399999991</v>
      </c>
      <c r="CY13" s="815">
        <v>8.2499000000000002</v>
      </c>
      <c r="CZ13" s="815">
        <v>3.46744575</v>
      </c>
      <c r="DA13" s="815">
        <v>0.27100000000000002</v>
      </c>
      <c r="DB13" s="815">
        <v>0.32025057000000001</v>
      </c>
      <c r="DC13" s="815">
        <v>0.57429859000000005</v>
      </c>
      <c r="DD13" s="815">
        <v>0.49833171999999998</v>
      </c>
      <c r="DE13" s="815">
        <v>0.51682645000000005</v>
      </c>
      <c r="DF13" s="815">
        <v>0.39538617999999998</v>
      </c>
      <c r="DG13" s="815">
        <v>0.47737679</v>
      </c>
      <c r="DH13" s="815">
        <v>2.3483471699999998</v>
      </c>
      <c r="DI13" s="815">
        <v>2.1962793700000001</v>
      </c>
      <c r="DJ13" s="815">
        <v>2.4106611199999999</v>
      </c>
      <c r="DK13" s="815">
        <v>2.6719665099999999</v>
      </c>
      <c r="DL13" s="815">
        <v>2.6986054500000001</v>
      </c>
      <c r="DM13" s="815">
        <v>1.9727134099999999</v>
      </c>
      <c r="DN13" s="815">
        <v>3.20598882</v>
      </c>
      <c r="DO13" s="815">
        <v>2.7625262899999998</v>
      </c>
      <c r="DP13" s="815">
        <v>1.43855343</v>
      </c>
      <c r="DQ13" s="815">
        <v>1.87287516</v>
      </c>
      <c r="DR13" s="815">
        <v>3.3873726099999999</v>
      </c>
      <c r="DS13" s="815">
        <v>6.9602505299999997</v>
      </c>
      <c r="DT13" s="815">
        <v>6.5578963999999997</v>
      </c>
      <c r="DU13" s="815">
        <v>7.0018801499999999</v>
      </c>
      <c r="DV13" s="815">
        <v>9.4850048200000003</v>
      </c>
      <c r="DW13" s="815">
        <v>13.13405785</v>
      </c>
      <c r="DX13" s="815">
        <v>15.013605070000001</v>
      </c>
      <c r="DY13" s="815">
        <v>12.67139085</v>
      </c>
      <c r="DZ13" s="815">
        <v>11.53174447</v>
      </c>
      <c r="EA13" s="815">
        <v>6.5840635499999998</v>
      </c>
      <c r="EB13" s="815">
        <v>9.5141592799999994</v>
      </c>
      <c r="EC13" s="815">
        <v>6.5688306900000004</v>
      </c>
      <c r="ED13" s="815">
        <v>4.1499550300000001</v>
      </c>
      <c r="EE13" s="815">
        <v>6.1079965999999999</v>
      </c>
      <c r="EF13" s="815">
        <v>8.4713756300000007</v>
      </c>
      <c r="EG13" s="815">
        <v>12.502391680000001</v>
      </c>
      <c r="EH13" s="815">
        <v>12.741618519999999</v>
      </c>
      <c r="EI13" s="815">
        <v>13.670814590000001</v>
      </c>
      <c r="EJ13" s="815">
        <v>13.44827484</v>
      </c>
      <c r="EK13" s="815">
        <v>15.556035420000001</v>
      </c>
      <c r="EL13" s="815">
        <v>11.48131076</v>
      </c>
      <c r="EM13" s="815">
        <v>10.66654005</v>
      </c>
      <c r="EN13" s="815">
        <v>6.4835393899999998</v>
      </c>
      <c r="EO13" s="815">
        <v>1.72658047</v>
      </c>
      <c r="EP13" s="815">
        <v>6.6063984800000002</v>
      </c>
      <c r="EQ13" s="815">
        <v>10.079375799999999</v>
      </c>
      <c r="ER13" s="815">
        <v>15.90579513</v>
      </c>
      <c r="ES13" s="815">
        <v>15.974063040000001</v>
      </c>
      <c r="ET13" s="815">
        <v>20.714208960000001</v>
      </c>
      <c r="EU13" s="815">
        <v>22.432560049999999</v>
      </c>
      <c r="EV13" s="815">
        <v>19.98109814</v>
      </c>
      <c r="EW13" s="815">
        <v>24.265469110000002</v>
      </c>
      <c r="EX13" s="815">
        <v>27.773923100000001</v>
      </c>
      <c r="EY13" s="815">
        <v>27.80687824</v>
      </c>
      <c r="EZ13" s="815">
        <v>25.356222760000001</v>
      </c>
      <c r="FA13" s="815">
        <v>28.119336239999999</v>
      </c>
      <c r="FB13" s="815">
        <v>26.623358069999998</v>
      </c>
      <c r="FC13" s="815">
        <v>31.529952569999999</v>
      </c>
      <c r="FD13" s="815">
        <v>37.983275319999997</v>
      </c>
      <c r="FE13" s="815">
        <v>36.942399170000002</v>
      </c>
      <c r="FF13" s="815">
        <v>34.864224450000002</v>
      </c>
      <c r="FG13" s="815">
        <v>32.98774899</v>
      </c>
      <c r="FH13" s="1710" t="s">
        <v>4064</v>
      </c>
    </row>
    <row r="14" spans="1:164" ht="21">
      <c r="A14" s="1723" t="s">
        <v>1961</v>
      </c>
      <c r="B14" s="783">
        <v>117.11030854000001</v>
      </c>
      <c r="C14" s="783">
        <v>116.60910796</v>
      </c>
      <c r="D14" s="783">
        <v>116.60910796</v>
      </c>
      <c r="E14" s="783">
        <v>111.03770825000001</v>
      </c>
      <c r="F14" s="783">
        <v>104.25770825000001</v>
      </c>
      <c r="G14" s="783">
        <v>97.137008399999999</v>
      </c>
      <c r="H14" s="783">
        <v>94.867008400000003</v>
      </c>
      <c r="I14" s="783">
        <v>92.066308540000009</v>
      </c>
      <c r="J14" s="783">
        <v>92.067008400000006</v>
      </c>
      <c r="K14" s="783">
        <v>92.067008400000006</v>
      </c>
      <c r="L14" s="783">
        <v>83.566308540000009</v>
      </c>
      <c r="M14" s="784">
        <v>81.767008399999995</v>
      </c>
      <c r="N14" s="784">
        <v>79.264908829999996</v>
      </c>
      <c r="O14" s="784">
        <v>79.266308539999997</v>
      </c>
      <c r="P14" s="784">
        <v>77.115608690000002</v>
      </c>
      <c r="Q14" s="784">
        <v>75.815608690000005</v>
      </c>
      <c r="R14" s="784">
        <v>75.816308540000009</v>
      </c>
      <c r="S14" s="784">
        <v>75.815608690000005</v>
      </c>
      <c r="T14" s="784">
        <v>75.814908830000007</v>
      </c>
      <c r="U14" s="784">
        <v>75.816308540000009</v>
      </c>
      <c r="V14" s="784">
        <v>75.816308540000009</v>
      </c>
      <c r="W14" s="784">
        <v>75.816308540000009</v>
      </c>
      <c r="X14" s="784">
        <v>75.816308540000009</v>
      </c>
      <c r="Y14" s="784">
        <v>75.816308540000009</v>
      </c>
      <c r="Z14" s="784">
        <v>75.816308540000009</v>
      </c>
      <c r="AA14" s="784">
        <v>61.273725040000002</v>
      </c>
      <c r="AB14" s="784">
        <v>61.264626919999998</v>
      </c>
      <c r="AC14" s="784">
        <v>61.266026629999999</v>
      </c>
      <c r="AD14" s="784">
        <v>61.27092562</v>
      </c>
      <c r="AE14" s="784">
        <v>61.263227210000004</v>
      </c>
      <c r="AF14" s="784">
        <v>61.271625470000004</v>
      </c>
      <c r="AG14" s="784">
        <v>61.261127639999998</v>
      </c>
      <c r="AH14" s="784">
        <v>1.5133652900000001</v>
      </c>
      <c r="AI14" s="784">
        <v>3.5</v>
      </c>
      <c r="AJ14" s="784">
        <v>0</v>
      </c>
      <c r="AK14" s="784">
        <v>0</v>
      </c>
      <c r="AL14" s="784">
        <v>1.4999999999999999E-2</v>
      </c>
      <c r="AM14" s="784">
        <v>1.4999999999999999E-2</v>
      </c>
      <c r="AN14" s="784">
        <v>5.5312109999999998E-2</v>
      </c>
      <c r="AO14" s="784">
        <v>1.4999999999999999E-2</v>
      </c>
      <c r="AP14" s="784">
        <v>7.4999999999999997E-3</v>
      </c>
      <c r="AQ14" s="784">
        <v>0</v>
      </c>
      <c r="AR14" s="784">
        <v>0</v>
      </c>
      <c r="AS14" s="784">
        <v>0</v>
      </c>
      <c r="AT14" s="784">
        <v>0</v>
      </c>
      <c r="AU14" s="784">
        <v>0</v>
      </c>
      <c r="AV14" s="784">
        <v>0</v>
      </c>
      <c r="AW14" s="784">
        <v>0</v>
      </c>
      <c r="AX14" s="784">
        <v>0</v>
      </c>
      <c r="AY14" s="784">
        <v>0</v>
      </c>
      <c r="AZ14" s="784">
        <v>0</v>
      </c>
      <c r="BA14" s="784">
        <v>0</v>
      </c>
      <c r="BB14" s="784">
        <v>0</v>
      </c>
      <c r="BC14" s="784">
        <v>0</v>
      </c>
      <c r="BD14" s="784">
        <v>0</v>
      </c>
      <c r="BE14" s="784">
        <v>0</v>
      </c>
      <c r="BF14" s="784">
        <v>0</v>
      </c>
      <c r="BG14" s="784">
        <v>0</v>
      </c>
      <c r="BH14" s="827">
        <v>0</v>
      </c>
      <c r="BI14" s="816">
        <v>0</v>
      </c>
      <c r="BJ14" s="816">
        <v>0</v>
      </c>
      <c r="BK14" s="816">
        <v>0</v>
      </c>
      <c r="BL14" s="816">
        <v>0</v>
      </c>
      <c r="BM14" s="816">
        <v>0</v>
      </c>
      <c r="BN14" s="816">
        <v>0</v>
      </c>
      <c r="BO14" s="816">
        <v>0</v>
      </c>
      <c r="BP14" s="816">
        <v>0</v>
      </c>
      <c r="BQ14" s="816">
        <v>0</v>
      </c>
      <c r="BR14" s="816">
        <v>0</v>
      </c>
      <c r="BS14" s="816">
        <v>0</v>
      </c>
      <c r="BT14" s="816">
        <v>0</v>
      </c>
      <c r="BU14" s="816">
        <v>0</v>
      </c>
      <c r="BV14" s="816">
        <v>0</v>
      </c>
      <c r="BW14" s="816">
        <v>0</v>
      </c>
      <c r="BX14" s="816">
        <v>0.71</v>
      </c>
      <c r="BY14" s="816">
        <v>1.3922639999999999</v>
      </c>
      <c r="BZ14" s="816">
        <v>0.62807760000000001</v>
      </c>
      <c r="CA14" s="816">
        <v>1.53</v>
      </c>
      <c r="CB14" s="816">
        <v>0</v>
      </c>
      <c r="CC14" s="816">
        <v>0</v>
      </c>
      <c r="CD14" s="816">
        <v>0</v>
      </c>
      <c r="CE14" s="816">
        <v>0</v>
      </c>
      <c r="CF14" s="816">
        <v>0</v>
      </c>
      <c r="CG14" s="816">
        <v>0.59165199999999996</v>
      </c>
      <c r="CH14" s="816">
        <v>0.58254488000000004</v>
      </c>
      <c r="CI14" s="816">
        <v>0.58086643000000004</v>
      </c>
      <c r="CJ14" s="816">
        <v>1.9</v>
      </c>
      <c r="CK14" s="816">
        <v>1.3</v>
      </c>
      <c r="CL14" s="816">
        <v>1.3</v>
      </c>
      <c r="CM14" s="816">
        <v>1.5257438800000001</v>
      </c>
      <c r="CN14" s="816">
        <v>1.6361421200000001</v>
      </c>
      <c r="CO14" s="816">
        <v>0.53909293000000003</v>
      </c>
      <c r="CP14" s="816">
        <v>0.83048393000000009</v>
      </c>
      <c r="CQ14" s="816">
        <v>0.48287186999999998</v>
      </c>
      <c r="CR14" s="816">
        <v>5.2494072300000001</v>
      </c>
      <c r="CS14" s="816">
        <v>3.2100468199999996</v>
      </c>
      <c r="CT14" s="816">
        <v>3.3100468200000002</v>
      </c>
      <c r="CU14" s="816">
        <v>1.08343046</v>
      </c>
      <c r="CV14" s="816">
        <v>2.5</v>
      </c>
      <c r="CW14" s="816">
        <v>0.7</v>
      </c>
      <c r="CX14" s="816">
        <v>0.2</v>
      </c>
      <c r="CY14" s="816">
        <v>0</v>
      </c>
      <c r="CZ14" s="816">
        <v>1.1012497999999999</v>
      </c>
      <c r="DA14" s="816">
        <v>0</v>
      </c>
      <c r="DB14" s="816">
        <v>0</v>
      </c>
      <c r="DC14" s="816">
        <v>0</v>
      </c>
      <c r="DD14" s="816">
        <v>0</v>
      </c>
      <c r="DE14" s="816">
        <v>0</v>
      </c>
      <c r="DF14" s="816">
        <v>0</v>
      </c>
      <c r="DG14" s="816">
        <v>0</v>
      </c>
      <c r="DH14" s="816">
        <v>0</v>
      </c>
      <c r="DI14" s="816">
        <v>0</v>
      </c>
      <c r="DJ14" s="816">
        <v>0</v>
      </c>
      <c r="DK14" s="816">
        <v>0</v>
      </c>
      <c r="DL14" s="816">
        <v>0</v>
      </c>
      <c r="DM14" s="816">
        <v>0</v>
      </c>
      <c r="DN14" s="816">
        <v>0</v>
      </c>
      <c r="DO14" s="816">
        <v>0</v>
      </c>
      <c r="DP14" s="816">
        <v>0</v>
      </c>
      <c r="DQ14" s="816">
        <v>0</v>
      </c>
      <c r="DR14" s="816">
        <v>0</v>
      </c>
      <c r="DS14" s="816">
        <v>0</v>
      </c>
      <c r="DT14" s="816">
        <v>0</v>
      </c>
      <c r="DU14" s="816">
        <v>0</v>
      </c>
      <c r="DV14" s="816">
        <v>0</v>
      </c>
      <c r="DW14" s="816">
        <v>2.1942907900000002</v>
      </c>
      <c r="DX14" s="816">
        <v>2.7205965499999998</v>
      </c>
      <c r="DY14" s="816">
        <v>1.010988</v>
      </c>
      <c r="DZ14" s="816">
        <v>0</v>
      </c>
      <c r="EA14" s="816">
        <v>0</v>
      </c>
      <c r="EB14" s="816">
        <v>0</v>
      </c>
      <c r="EC14" s="816">
        <v>1.010988</v>
      </c>
      <c r="ED14" s="816">
        <v>1.010988</v>
      </c>
      <c r="EE14" s="816">
        <v>3.1425296</v>
      </c>
      <c r="EF14" s="816">
        <v>5.4983844199999998</v>
      </c>
      <c r="EG14" s="816">
        <v>8.9408512699999996</v>
      </c>
      <c r="EH14" s="816">
        <v>9.0776258900000002</v>
      </c>
      <c r="EI14" s="816">
        <v>10.15095112</v>
      </c>
      <c r="EJ14" s="816">
        <v>9.6417489599999993</v>
      </c>
      <c r="EK14" s="816">
        <v>11.3710317</v>
      </c>
      <c r="EL14" s="816">
        <v>9.9029098799999993</v>
      </c>
      <c r="EM14" s="816">
        <v>9.1728421999999998</v>
      </c>
      <c r="EN14" s="816">
        <v>5.0319065399999996</v>
      </c>
      <c r="EO14" s="816">
        <v>0</v>
      </c>
      <c r="EP14" s="816">
        <v>3</v>
      </c>
      <c r="EQ14" s="816">
        <v>6.4277188699999996</v>
      </c>
      <c r="ER14" s="816">
        <v>12.84188799</v>
      </c>
      <c r="ES14" s="816">
        <v>11.52048666</v>
      </c>
      <c r="ET14" s="816">
        <v>15.84367452</v>
      </c>
      <c r="EU14" s="816">
        <v>16.958136769999999</v>
      </c>
      <c r="EV14" s="816">
        <v>15.37114416</v>
      </c>
      <c r="EW14" s="816">
        <v>16.15133616</v>
      </c>
      <c r="EX14" s="816">
        <v>19.496081849999999</v>
      </c>
      <c r="EY14" s="816">
        <v>19.111688019999999</v>
      </c>
      <c r="EZ14" s="816">
        <v>14.849351349999999</v>
      </c>
      <c r="FA14" s="816">
        <v>17.93534335</v>
      </c>
      <c r="FB14" s="816">
        <v>16.370396469999999</v>
      </c>
      <c r="FC14" s="816">
        <v>18.307178</v>
      </c>
      <c r="FD14" s="816">
        <v>24.325678610000001</v>
      </c>
      <c r="FE14" s="816">
        <v>22.38865083</v>
      </c>
      <c r="FF14" s="816">
        <v>20.37143322</v>
      </c>
      <c r="FG14" s="816">
        <v>18.314213720000001</v>
      </c>
      <c r="FH14" s="1712" t="s">
        <v>4067</v>
      </c>
    </row>
    <row r="15" spans="1:164" ht="21">
      <c r="A15" s="1723" t="s">
        <v>1962</v>
      </c>
      <c r="B15" s="783">
        <f>+B13-B14</f>
        <v>36.670896529999993</v>
      </c>
      <c r="C15" s="783">
        <f t="shared" ref="C15:V15" si="2">+C13-C14</f>
        <v>32.04880679</v>
      </c>
      <c r="D15" s="783">
        <f t="shared" si="2"/>
        <v>32.661120729999979</v>
      </c>
      <c r="E15" s="783">
        <f t="shared" si="2"/>
        <v>32.614130299999999</v>
      </c>
      <c r="F15" s="783">
        <f t="shared" si="2"/>
        <v>31.389788519999996</v>
      </c>
      <c r="G15" s="783">
        <f t="shared" si="2"/>
        <v>33.604768279999988</v>
      </c>
      <c r="H15" s="783">
        <f t="shared" si="2"/>
        <v>36.112837979999995</v>
      </c>
      <c r="I15" s="783">
        <f t="shared" si="2"/>
        <v>36.971970960000007</v>
      </c>
      <c r="J15" s="783">
        <f t="shared" si="2"/>
        <v>36.948199160000016</v>
      </c>
      <c r="K15" s="783">
        <f t="shared" si="2"/>
        <v>37.528518049999988</v>
      </c>
      <c r="L15" s="783">
        <f t="shared" si="2"/>
        <v>37.693347930000002</v>
      </c>
      <c r="M15" s="784">
        <f t="shared" si="2"/>
        <v>37.591137650000007</v>
      </c>
      <c r="N15" s="784">
        <f t="shared" si="2"/>
        <v>38.099593010000007</v>
      </c>
      <c r="O15" s="784">
        <f t="shared" si="2"/>
        <v>38.334245129999999</v>
      </c>
      <c r="P15" s="784">
        <f t="shared" si="2"/>
        <v>41.561346660000012</v>
      </c>
      <c r="Q15" s="784">
        <f t="shared" si="2"/>
        <v>26.867924490000007</v>
      </c>
      <c r="R15" s="784">
        <f t="shared" si="2"/>
        <v>30.613544099999999</v>
      </c>
      <c r="S15" s="784">
        <f t="shared" si="2"/>
        <v>32.952291200000005</v>
      </c>
      <c r="T15" s="784">
        <f t="shared" si="2"/>
        <v>32.007972549999991</v>
      </c>
      <c r="U15" s="784">
        <f t="shared" si="2"/>
        <v>33.224693560000006</v>
      </c>
      <c r="V15" s="784">
        <f t="shared" si="2"/>
        <v>36.429882129999996</v>
      </c>
      <c r="W15" s="784">
        <v>37.954117260000004</v>
      </c>
      <c r="X15" s="784">
        <v>37.739041670000006</v>
      </c>
      <c r="Y15" s="784">
        <v>28.051020320000006</v>
      </c>
      <c r="Z15" s="784">
        <v>28.085466109999999</v>
      </c>
      <c r="AA15" s="784">
        <v>29.793399950000008</v>
      </c>
      <c r="AB15" s="784">
        <v>29.339967760000008</v>
      </c>
      <c r="AC15" s="784">
        <v>30.093238619999994</v>
      </c>
      <c r="AD15" s="784">
        <v>31.886706470000007</v>
      </c>
      <c r="AE15" s="784">
        <v>39.903367839999994</v>
      </c>
      <c r="AF15" s="784">
        <v>43.670339589999998</v>
      </c>
      <c r="AG15" s="784">
        <v>47.095502010000004</v>
      </c>
      <c r="AH15" s="784">
        <f>+AH13-AH14</f>
        <v>48.257057739999993</v>
      </c>
      <c r="AI15" s="784">
        <v>54.055811949999999</v>
      </c>
      <c r="AJ15" s="784">
        <f>+AJ13-AJ14</f>
        <v>54.139758860000001</v>
      </c>
      <c r="AK15" s="784">
        <f>+AK13-AK14</f>
        <v>78.493067609999997</v>
      </c>
      <c r="AL15" s="784">
        <v>75.161960960000002</v>
      </c>
      <c r="AM15" s="784">
        <f>+AM13-AM14</f>
        <v>74.021391960000003</v>
      </c>
      <c r="AN15" s="784">
        <f>+AN13-AN14</f>
        <v>73.299479669999997</v>
      </c>
      <c r="AO15" s="784">
        <f>+AO13-AO14</f>
        <v>71.844168629999999</v>
      </c>
      <c r="AP15" s="784">
        <f>+AP13-AP14</f>
        <v>67.605006750000015</v>
      </c>
      <c r="AQ15" s="784">
        <v>67.095835660000006</v>
      </c>
      <c r="AR15" s="784">
        <f>+AR13-AR14</f>
        <v>67.364741790000011</v>
      </c>
      <c r="AS15" s="784">
        <f>+AS13-AS14</f>
        <v>65.259038129999993</v>
      </c>
      <c r="AT15" s="784">
        <f>+AT13-AT14</f>
        <v>64.880237039999997</v>
      </c>
      <c r="AU15" s="784">
        <v>64.275102779999997</v>
      </c>
      <c r="AV15" s="784">
        <v>67.552733880000005</v>
      </c>
      <c r="AW15" s="784">
        <v>66.67463592</v>
      </c>
      <c r="AX15" s="784">
        <v>69.268577239999999</v>
      </c>
      <c r="AY15" s="784">
        <v>61.794307159999995</v>
      </c>
      <c r="AZ15" s="784">
        <v>50.072883250000004</v>
      </c>
      <c r="BA15" s="784">
        <v>48.545962830000001</v>
      </c>
      <c r="BB15" s="784">
        <v>52.638946050000001</v>
      </c>
      <c r="BC15" s="784">
        <v>52.654097829999998</v>
      </c>
      <c r="BD15" s="784">
        <f>+BD13-BD14</f>
        <v>52.65178994</v>
      </c>
      <c r="BE15" s="784">
        <v>48.669767230000005</v>
      </c>
      <c r="BF15" s="784">
        <v>44.446705659999999</v>
      </c>
      <c r="BG15" s="784">
        <v>44.446705659999999</v>
      </c>
      <c r="BH15" s="827">
        <v>41.895587880000001</v>
      </c>
      <c r="BI15" s="816">
        <v>40.486970289999995</v>
      </c>
      <c r="BJ15" s="816">
        <v>40.516970289999996</v>
      </c>
      <c r="BK15" s="816">
        <v>40.512233129999998</v>
      </c>
      <c r="BL15" s="816">
        <v>40.489406039999999</v>
      </c>
      <c r="BM15" s="816">
        <v>40.032493000000002</v>
      </c>
      <c r="BN15" s="816">
        <v>39.967492999999997</v>
      </c>
      <c r="BO15" s="816">
        <v>35.028252999999999</v>
      </c>
      <c r="BP15" s="816">
        <v>35.029253000000004</v>
      </c>
      <c r="BQ15" s="816">
        <v>34.281489000000001</v>
      </c>
      <c r="BR15" s="816">
        <v>34.281489000000001</v>
      </c>
      <c r="BS15" s="816">
        <v>34.281489000000001</v>
      </c>
      <c r="BT15" s="816">
        <v>34.281489000000001</v>
      </c>
      <c r="BU15" s="816">
        <v>30.958452999999999</v>
      </c>
      <c r="BV15" s="816">
        <v>30.747237510000001</v>
      </c>
      <c r="BW15" s="816">
        <v>30.688452999999999</v>
      </c>
      <c r="BX15" s="816">
        <v>30.688452999999999</v>
      </c>
      <c r="BY15" s="816">
        <v>30.688452999999999</v>
      </c>
      <c r="BZ15" s="816">
        <v>30.813452999999999</v>
      </c>
      <c r="CA15" s="816">
        <v>30.688453000000003</v>
      </c>
      <c r="CB15" s="816">
        <v>2.1000000000000001E-2</v>
      </c>
      <c r="CC15" s="816">
        <v>0</v>
      </c>
      <c r="CD15" s="816">
        <v>0</v>
      </c>
      <c r="CE15" s="816">
        <f t="shared" ref="CE15:CO15" si="3">+CE13-CE14</f>
        <v>0.03</v>
      </c>
      <c r="CF15" s="816">
        <f t="shared" si="3"/>
        <v>0.03</v>
      </c>
      <c r="CG15" s="816">
        <f t="shared" si="3"/>
        <v>0.30206944000000002</v>
      </c>
      <c r="CH15" s="816">
        <f t="shared" si="3"/>
        <v>0.30206944000000002</v>
      </c>
      <c r="CI15" s="816">
        <f t="shared" si="3"/>
        <v>0.13600000000000001</v>
      </c>
      <c r="CJ15" s="816">
        <f t="shared" si="3"/>
        <v>0.13600000000000012</v>
      </c>
      <c r="CK15" s="816">
        <f t="shared" si="3"/>
        <v>0</v>
      </c>
      <c r="CL15" s="816">
        <f t="shared" si="3"/>
        <v>0.21599999999999997</v>
      </c>
      <c r="CM15" s="816">
        <f t="shared" si="3"/>
        <v>0.41599999999999993</v>
      </c>
      <c r="CN15" s="816">
        <f t="shared" si="3"/>
        <v>0.3660000000000001</v>
      </c>
      <c r="CO15" s="816">
        <f t="shared" si="3"/>
        <v>0.41999999999999993</v>
      </c>
      <c r="CP15" s="816">
        <f>+CP13-CP14</f>
        <v>0.43499999999999994</v>
      </c>
      <c r="CQ15" s="816">
        <f>+CQ13-CQ14</f>
        <v>0.40500000000000003</v>
      </c>
      <c r="CR15" s="816">
        <f>+CR13-CR14</f>
        <v>0.5</v>
      </c>
      <c r="CS15" s="816">
        <f>+CS13-CS14</f>
        <v>0.5</v>
      </c>
      <c r="CT15" s="816">
        <v>8.3992144799999995</v>
      </c>
      <c r="CU15" s="816">
        <v>8.4010953599999993</v>
      </c>
      <c r="CV15" s="816">
        <v>8.71559536</v>
      </c>
      <c r="CW15" s="816">
        <v>10.425595360000001</v>
      </c>
      <c r="CX15" s="816">
        <v>8.3008375399999998</v>
      </c>
      <c r="CY15" s="816">
        <v>8.2499000000000002</v>
      </c>
      <c r="CZ15" s="816">
        <v>2.3661959499999998</v>
      </c>
      <c r="DA15" s="816">
        <v>0.27100000000000002</v>
      </c>
      <c r="DB15" s="816">
        <v>0.32025057000000001</v>
      </c>
      <c r="DC15" s="816">
        <v>0.57429859000000005</v>
      </c>
      <c r="DD15" s="816">
        <v>0.49833171999999998</v>
      </c>
      <c r="DE15" s="816">
        <v>0.51682645000000005</v>
      </c>
      <c r="DF15" s="816">
        <v>0.39538617999999998</v>
      </c>
      <c r="DG15" s="816">
        <v>0.47737679</v>
      </c>
      <c r="DH15" s="816">
        <v>2.3483471699999998</v>
      </c>
      <c r="DI15" s="816">
        <v>2.1962793700000001</v>
      </c>
      <c r="DJ15" s="816">
        <v>2.4106611199999999</v>
      </c>
      <c r="DK15" s="816">
        <v>2.6719665099999999</v>
      </c>
      <c r="DL15" s="816">
        <v>2.6986054500000001</v>
      </c>
      <c r="DM15" s="816">
        <v>1.9727134099999999</v>
      </c>
      <c r="DN15" s="816">
        <v>3.20598882</v>
      </c>
      <c r="DO15" s="816">
        <v>2.7625262899999998</v>
      </c>
      <c r="DP15" s="816">
        <v>1.43855343</v>
      </c>
      <c r="DQ15" s="816">
        <v>1.87287516</v>
      </c>
      <c r="DR15" s="816">
        <v>3.3873726099999999</v>
      </c>
      <c r="DS15" s="816">
        <v>6.9602505299999997</v>
      </c>
      <c r="DT15" s="816">
        <v>6.5578963999999997</v>
      </c>
      <c r="DU15" s="816">
        <v>7.0018801499999999</v>
      </c>
      <c r="DV15" s="816">
        <v>9.4850048200000003</v>
      </c>
      <c r="DW15" s="816">
        <v>10.939767059999999</v>
      </c>
      <c r="DX15" s="816">
        <v>12.293008520000001</v>
      </c>
      <c r="DY15" s="816">
        <v>11.660402850000001</v>
      </c>
      <c r="DZ15" s="816">
        <v>11.53174447</v>
      </c>
      <c r="EA15" s="816">
        <v>6.5840635499999998</v>
      </c>
      <c r="EB15" s="816">
        <v>9.5141592799999994</v>
      </c>
      <c r="EC15" s="816">
        <v>5.5578426900000002</v>
      </c>
      <c r="ED15" s="816">
        <v>3.1389670299999999</v>
      </c>
      <c r="EE15" s="816">
        <v>2.9654669999999999</v>
      </c>
      <c r="EF15" s="816">
        <v>2.97299121</v>
      </c>
      <c r="EG15" s="816">
        <v>3.5615404100000001</v>
      </c>
      <c r="EH15" s="816">
        <v>3.6639926300000001</v>
      </c>
      <c r="EI15" s="816">
        <v>3.5198634700000002</v>
      </c>
      <c r="EJ15" s="816">
        <v>3.8065258800000001</v>
      </c>
      <c r="EK15" s="816">
        <v>4.1850037200000001</v>
      </c>
      <c r="EL15" s="816">
        <v>1.57840088</v>
      </c>
      <c r="EM15" s="816">
        <v>1.49369785</v>
      </c>
      <c r="EN15" s="816">
        <v>1.45163285</v>
      </c>
      <c r="EO15" s="816">
        <v>1.72658047</v>
      </c>
      <c r="EP15" s="816">
        <v>3.6063984800000002</v>
      </c>
      <c r="EQ15" s="816">
        <v>3.6516569300000001</v>
      </c>
      <c r="ER15" s="816">
        <v>3.06390714</v>
      </c>
      <c r="ES15" s="816">
        <v>4.4535763800000003</v>
      </c>
      <c r="ET15" s="816">
        <v>4.8705344400000001</v>
      </c>
      <c r="EU15" s="816">
        <v>5.4744232799999999</v>
      </c>
      <c r="EV15" s="816">
        <v>4.6099539800000002</v>
      </c>
      <c r="EW15" s="816">
        <v>8.1141329500000001</v>
      </c>
      <c r="EX15" s="816">
        <v>8.2778412499999998</v>
      </c>
      <c r="EY15" s="816">
        <v>8.6951902200000006</v>
      </c>
      <c r="EZ15" s="816">
        <v>10.50687141</v>
      </c>
      <c r="FA15" s="816">
        <v>10.183992890000001</v>
      </c>
      <c r="FB15" s="816">
        <v>10.252961600000001</v>
      </c>
      <c r="FC15" s="816">
        <v>13.22277457</v>
      </c>
      <c r="FD15" s="816">
        <v>13.65759671</v>
      </c>
      <c r="FE15" s="816">
        <v>14.55374834</v>
      </c>
      <c r="FF15" s="816">
        <v>14.49279123</v>
      </c>
      <c r="FG15" s="816">
        <v>14.67353527</v>
      </c>
      <c r="FH15" s="1712" t="s">
        <v>4066</v>
      </c>
    </row>
    <row r="16" spans="1:164" ht="21">
      <c r="A16" s="1720"/>
      <c r="B16" s="780"/>
      <c r="C16" s="780"/>
      <c r="D16" s="780"/>
      <c r="E16" s="780"/>
      <c r="F16" s="780"/>
      <c r="G16" s="780"/>
      <c r="H16" s="780"/>
      <c r="I16" s="780"/>
      <c r="J16" s="780"/>
      <c r="K16" s="780"/>
      <c r="L16" s="780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781"/>
      <c r="AA16" s="781"/>
      <c r="AB16" s="781"/>
      <c r="AC16" s="781"/>
      <c r="AD16" s="781"/>
      <c r="AE16" s="781"/>
      <c r="AF16" s="781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  <c r="AT16" s="781"/>
      <c r="AU16" s="781"/>
      <c r="AV16" s="781"/>
      <c r="AW16" s="781"/>
      <c r="AX16" s="781"/>
      <c r="AY16" s="781"/>
      <c r="AZ16" s="781"/>
      <c r="BA16" s="781"/>
      <c r="BB16" s="781"/>
      <c r="BC16" s="781"/>
      <c r="BD16" s="781"/>
      <c r="BE16" s="781"/>
      <c r="BF16" s="781"/>
      <c r="BG16" s="781"/>
      <c r="BH16" s="826"/>
      <c r="BI16" s="815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5"/>
      <c r="CN16" s="815"/>
      <c r="CO16" s="815"/>
      <c r="CP16" s="815"/>
      <c r="CQ16" s="815"/>
      <c r="CR16" s="815"/>
      <c r="CS16" s="815"/>
      <c r="CT16" s="815"/>
      <c r="CU16" s="815"/>
      <c r="CV16" s="815"/>
      <c r="CW16" s="815"/>
      <c r="CX16" s="815"/>
      <c r="CY16" s="815"/>
      <c r="CZ16" s="815"/>
      <c r="DA16" s="815"/>
      <c r="DB16" s="815"/>
      <c r="DC16" s="815"/>
      <c r="DD16" s="815"/>
      <c r="DE16" s="815"/>
      <c r="DF16" s="815"/>
      <c r="DG16" s="815"/>
      <c r="DH16" s="815"/>
      <c r="DI16" s="815"/>
      <c r="DJ16" s="815"/>
      <c r="DK16" s="815"/>
      <c r="DL16" s="815"/>
      <c r="DM16" s="815"/>
      <c r="DN16" s="815"/>
      <c r="DO16" s="815"/>
      <c r="DP16" s="815"/>
      <c r="DQ16" s="815"/>
      <c r="DR16" s="815"/>
      <c r="DS16" s="815"/>
      <c r="DT16" s="815"/>
      <c r="DU16" s="815"/>
      <c r="DV16" s="815"/>
      <c r="DW16" s="815"/>
      <c r="DX16" s="815"/>
      <c r="DY16" s="815"/>
      <c r="DZ16" s="815"/>
      <c r="EA16" s="815"/>
      <c r="EB16" s="815"/>
      <c r="EC16" s="815"/>
      <c r="ED16" s="815"/>
      <c r="EE16" s="815"/>
      <c r="EF16" s="815"/>
      <c r="EG16" s="815"/>
      <c r="EH16" s="815"/>
      <c r="EI16" s="815"/>
      <c r="EJ16" s="815"/>
      <c r="EK16" s="815"/>
      <c r="EL16" s="815"/>
      <c r="EM16" s="815"/>
      <c r="EN16" s="815"/>
      <c r="EO16" s="815"/>
      <c r="EP16" s="815"/>
      <c r="EQ16" s="815"/>
      <c r="ER16" s="815"/>
      <c r="ES16" s="815"/>
      <c r="ET16" s="815"/>
      <c r="EU16" s="815"/>
      <c r="EV16" s="815"/>
      <c r="EW16" s="815"/>
      <c r="EX16" s="815"/>
      <c r="EY16" s="815"/>
      <c r="EZ16" s="815"/>
      <c r="FA16" s="815"/>
      <c r="FB16" s="815"/>
      <c r="FC16" s="815"/>
      <c r="FD16" s="815"/>
      <c r="FE16" s="815"/>
      <c r="FF16" s="815"/>
      <c r="FG16" s="815"/>
      <c r="FH16" s="1713"/>
    </row>
    <row r="17" spans="1:164" ht="21">
      <c r="A17" s="1744" t="s">
        <v>185</v>
      </c>
      <c r="B17" s="783">
        <v>143.28941817</v>
      </c>
      <c r="C17" s="783">
        <v>142.74571836000001</v>
      </c>
      <c r="D17" s="783">
        <v>143.51067287999999</v>
      </c>
      <c r="E17" s="783">
        <v>137.90608761000001</v>
      </c>
      <c r="F17" s="783">
        <v>130.05285143</v>
      </c>
      <c r="G17" s="783">
        <v>124.77006342999999</v>
      </c>
      <c r="H17" s="783">
        <v>125.01400687</v>
      </c>
      <c r="I17" s="783">
        <v>123.09126914000001</v>
      </c>
      <c r="J17" s="783">
        <v>123.06274892000002</v>
      </c>
      <c r="K17" s="783">
        <v>124.03148294</v>
      </c>
      <c r="L17" s="783">
        <v>115.67753450000001</v>
      </c>
      <c r="M17" s="781">
        <v>113.74180697</v>
      </c>
      <c r="N17" s="784">
        <v>111.796291</v>
      </c>
      <c r="O17" s="784">
        <v>112.030941</v>
      </c>
      <c r="P17" s="784">
        <v>110.08731800000001</v>
      </c>
      <c r="Q17" s="784">
        <v>94.093892000000011</v>
      </c>
      <c r="R17" s="784">
        <v>97.066356000000013</v>
      </c>
      <c r="S17" s="784">
        <v>99.416455280000008</v>
      </c>
      <c r="T17" s="784">
        <v>98.482691340000002</v>
      </c>
      <c r="U17" s="784">
        <v>99.565783470000014</v>
      </c>
      <c r="V17" s="784">
        <v>100.88402400000001</v>
      </c>
      <c r="W17" s="784">
        <v>102.42404060000001</v>
      </c>
      <c r="X17" s="784">
        <v>102.33627598000001</v>
      </c>
      <c r="Y17" s="781">
        <v>92.678778520000009</v>
      </c>
      <c r="Z17" s="784">
        <v>92.698378520000006</v>
      </c>
      <c r="AA17" s="784">
        <v>76.317830960000009</v>
      </c>
      <c r="AB17" s="781">
        <v>76.31356169</v>
      </c>
      <c r="AC17" s="781">
        <v>76.326973539999997</v>
      </c>
      <c r="AD17" s="781">
        <v>76.314382550000005</v>
      </c>
      <c r="AE17" s="781">
        <v>76.190177120000001</v>
      </c>
      <c r="AF17" s="781">
        <v>76.188161250000007</v>
      </c>
      <c r="AG17" s="781">
        <v>70.987826630000001</v>
      </c>
      <c r="AH17" s="781">
        <v>11.86063933</v>
      </c>
      <c r="AI17" s="781">
        <v>15.373805800000001</v>
      </c>
      <c r="AJ17" s="781">
        <v>7.2345771399999999</v>
      </c>
      <c r="AK17" s="781">
        <v>19.039946180000001</v>
      </c>
      <c r="AL17" s="781">
        <v>19.047642420000003</v>
      </c>
      <c r="AM17" s="781">
        <v>19.04212029</v>
      </c>
      <c r="AN17" s="781">
        <v>21.5380614</v>
      </c>
      <c r="AO17" s="781">
        <v>21.508768480000001</v>
      </c>
      <c r="AP17" s="781">
        <v>23.805118480000001</v>
      </c>
      <c r="AQ17" s="781">
        <v>23.795354270000001</v>
      </c>
      <c r="AR17" s="781">
        <v>23.793526440000001</v>
      </c>
      <c r="AS17" s="781">
        <v>23.08699631</v>
      </c>
      <c r="AT17" s="781">
        <v>23.789590760000003</v>
      </c>
      <c r="AU17" s="781">
        <v>25.4880438</v>
      </c>
      <c r="AV17" s="781">
        <v>25.486588260000001</v>
      </c>
      <c r="AW17" s="781">
        <v>25.672421440000001</v>
      </c>
      <c r="AX17" s="781">
        <v>25.670063160000002</v>
      </c>
      <c r="AY17" s="781">
        <v>27.997148639999999</v>
      </c>
      <c r="AZ17" s="781">
        <v>27.99561392</v>
      </c>
      <c r="BA17" s="781">
        <v>27.99405874</v>
      </c>
      <c r="BB17" s="781">
        <v>27.992488000000002</v>
      </c>
      <c r="BC17" s="781">
        <v>27.992488000000002</v>
      </c>
      <c r="BD17" s="781">
        <v>27.992488000000002</v>
      </c>
      <c r="BE17" s="781">
        <v>27.992488000000002</v>
      </c>
      <c r="BF17" s="781">
        <v>27.992488000000002</v>
      </c>
      <c r="BG17" s="781">
        <v>27.992488000000002</v>
      </c>
      <c r="BH17" s="826">
        <v>27.992488000000002</v>
      </c>
      <c r="BI17" s="815">
        <v>31.097487999999998</v>
      </c>
      <c r="BJ17" s="815">
        <v>31.127488</v>
      </c>
      <c r="BK17" s="815">
        <v>31.122750839999998</v>
      </c>
      <c r="BL17" s="815">
        <v>31.10047604</v>
      </c>
      <c r="BM17" s="815">
        <v>30.643563</v>
      </c>
      <c r="BN17" s="815">
        <v>30.578562999999999</v>
      </c>
      <c r="BO17" s="815">
        <v>25.639323000000001</v>
      </c>
      <c r="BP17" s="815">
        <v>27.340323000000001</v>
      </c>
      <c r="BQ17" s="815">
        <v>28.362123</v>
      </c>
      <c r="BR17" s="815">
        <v>28.362123</v>
      </c>
      <c r="BS17" s="815">
        <v>28.362123</v>
      </c>
      <c r="BT17" s="815">
        <v>28.362123</v>
      </c>
      <c r="BU17" s="815">
        <v>30.958197999999999</v>
      </c>
      <c r="BV17" s="815">
        <v>30.746982510000002</v>
      </c>
      <c r="BW17" s="815">
        <v>30.688198</v>
      </c>
      <c r="BX17" s="815">
        <v>31.398198000000001</v>
      </c>
      <c r="BY17" s="815">
        <v>30.688198</v>
      </c>
      <c r="BZ17" s="815">
        <v>30.813198</v>
      </c>
      <c r="CA17" s="815">
        <v>32.218198000000001</v>
      </c>
      <c r="CB17" s="815">
        <v>2.1000000000000001E-2</v>
      </c>
      <c r="CC17" s="815">
        <v>0</v>
      </c>
      <c r="CD17" s="815">
        <v>0</v>
      </c>
      <c r="CE17" s="815">
        <v>0.03</v>
      </c>
      <c r="CF17" s="815">
        <v>0.03</v>
      </c>
      <c r="CG17" s="815">
        <v>0.30206944000000002</v>
      </c>
      <c r="CH17" s="815">
        <v>0.30206944000000002</v>
      </c>
      <c r="CI17" s="815">
        <v>0.13600000000000001</v>
      </c>
      <c r="CJ17" s="815">
        <v>2.036</v>
      </c>
      <c r="CK17" s="815">
        <v>1.3</v>
      </c>
      <c r="CL17" s="815">
        <v>1.516</v>
      </c>
      <c r="CM17" s="815">
        <v>1.2345438799999999</v>
      </c>
      <c r="CN17" s="815">
        <v>2.0021421200000002</v>
      </c>
      <c r="CO17" s="815">
        <v>0.95909292999999995</v>
      </c>
      <c r="CP17" s="815">
        <v>1.26548393</v>
      </c>
      <c r="CQ17" s="815">
        <v>0.88787187000000001</v>
      </c>
      <c r="CR17" s="815">
        <v>5.7494072300000001</v>
      </c>
      <c r="CS17" s="815">
        <v>3.7100468199999996</v>
      </c>
      <c r="CT17" s="815">
        <v>3.8691659399999998</v>
      </c>
      <c r="CU17" s="815">
        <v>1.6444304599999999</v>
      </c>
      <c r="CV17" s="815">
        <v>3.0609999999999999</v>
      </c>
      <c r="CW17" s="815">
        <v>0.76100000000000001</v>
      </c>
      <c r="CX17" s="815">
        <v>0.31193754000000001</v>
      </c>
      <c r="CY17" s="815">
        <v>6.0999999999999999E-2</v>
      </c>
      <c r="CZ17" s="815">
        <v>1.1622498000000001</v>
      </c>
      <c r="DA17" s="815">
        <v>0.27100000000000002</v>
      </c>
      <c r="DB17" s="815">
        <v>0.32025057000000001</v>
      </c>
      <c r="DC17" s="815">
        <v>7.4498590000000003E-2</v>
      </c>
      <c r="DD17" s="815">
        <v>3.8709519999999997E-2</v>
      </c>
      <c r="DE17" s="815">
        <v>9.791619E-2</v>
      </c>
      <c r="DF17" s="815">
        <v>1.711207E-2</v>
      </c>
      <c r="DG17" s="815">
        <v>0.14028420999999999</v>
      </c>
      <c r="DH17" s="815">
        <v>2.05229822</v>
      </c>
      <c r="DI17" s="815">
        <v>1.941859</v>
      </c>
      <c r="DJ17" s="815">
        <v>2.1980635199999998</v>
      </c>
      <c r="DK17" s="815">
        <v>2.50117426</v>
      </c>
      <c r="DL17" s="815">
        <v>2.57019705</v>
      </c>
      <c r="DM17" s="815">
        <v>1.8866087199999999</v>
      </c>
      <c r="DN17" s="815">
        <v>3.11988413</v>
      </c>
      <c r="DO17" s="815">
        <v>2.7625262899999998</v>
      </c>
      <c r="DP17" s="815">
        <v>1.43855343</v>
      </c>
      <c r="DQ17" s="815">
        <v>1.87287516</v>
      </c>
      <c r="DR17" s="815">
        <v>2.8875726099999999</v>
      </c>
      <c r="DS17" s="815">
        <v>6.5005869699999996</v>
      </c>
      <c r="DT17" s="815">
        <v>6.1387977600000001</v>
      </c>
      <c r="DU17" s="815">
        <v>6.6237460600000002</v>
      </c>
      <c r="DV17" s="815">
        <v>8.8079112399999993</v>
      </c>
      <c r="DW17" s="815">
        <v>12.45696427</v>
      </c>
      <c r="DX17" s="815">
        <v>14.419130450000001</v>
      </c>
      <c r="DY17" s="815">
        <v>12.07691623</v>
      </c>
      <c r="DZ17" s="815">
        <v>10.97918028</v>
      </c>
      <c r="EA17" s="815">
        <v>6.0734231100000002</v>
      </c>
      <c r="EB17" s="815">
        <v>9.0456370199999991</v>
      </c>
      <c r="EC17" s="815">
        <v>6.14285499</v>
      </c>
      <c r="ED17" s="815">
        <v>3.8099550299999998</v>
      </c>
      <c r="EE17" s="815">
        <v>5.7679966</v>
      </c>
      <c r="EF17" s="815">
        <v>8.1313756300000009</v>
      </c>
      <c r="EG17" s="815">
        <v>11.73739168</v>
      </c>
      <c r="EH17" s="815">
        <v>11.976618520000001</v>
      </c>
      <c r="EI17" s="815">
        <v>12.90581459</v>
      </c>
      <c r="EJ17" s="815">
        <v>12.029267839999999</v>
      </c>
      <c r="EK17" s="815">
        <v>14.07253691</v>
      </c>
      <c r="EL17" s="815">
        <v>10.574175070000001</v>
      </c>
      <c r="EM17" s="815">
        <v>10.55252496</v>
      </c>
      <c r="EN17" s="815">
        <v>6.3977812900000002</v>
      </c>
      <c r="EO17" s="815">
        <v>1.66922752</v>
      </c>
      <c r="EP17" s="815">
        <v>6.6063984800000002</v>
      </c>
      <c r="EQ17" s="815">
        <v>10.079375799999999</v>
      </c>
      <c r="ER17" s="815">
        <v>15.90579513</v>
      </c>
      <c r="ES17" s="815">
        <v>15.974063040000001</v>
      </c>
      <c r="ET17" s="815">
        <v>20.714208960000001</v>
      </c>
      <c r="EU17" s="815">
        <v>22.432560049999999</v>
      </c>
      <c r="EV17" s="815">
        <v>19.98109814</v>
      </c>
      <c r="EW17" s="815">
        <v>23.75546911</v>
      </c>
      <c r="EX17" s="815">
        <v>27.429611080000001</v>
      </c>
      <c r="EY17" s="815">
        <v>27.37453142</v>
      </c>
      <c r="EZ17" s="815">
        <v>25.101222759999999</v>
      </c>
      <c r="FA17" s="815">
        <v>27.86433624</v>
      </c>
      <c r="FB17" s="815">
        <v>26.368358069999999</v>
      </c>
      <c r="FC17" s="815">
        <v>26.963655670000001</v>
      </c>
      <c r="FD17" s="815">
        <v>33.347477320000003</v>
      </c>
      <c r="FE17" s="815">
        <v>32.30660117</v>
      </c>
      <c r="FF17" s="815">
        <v>30.228426450000001</v>
      </c>
      <c r="FG17" s="815">
        <v>28.351950989999999</v>
      </c>
      <c r="FH17" s="1714" t="s">
        <v>206</v>
      </c>
    </row>
    <row r="18" spans="1:164" ht="21">
      <c r="A18" s="1745" t="s">
        <v>1961</v>
      </c>
      <c r="B18" s="780">
        <v>111.620642</v>
      </c>
      <c r="C18" s="780">
        <v>111.116642</v>
      </c>
      <c r="D18" s="780">
        <v>111.116642</v>
      </c>
      <c r="E18" s="780">
        <v>105.54664200000001</v>
      </c>
      <c r="F18" s="780">
        <v>98.766642000000004</v>
      </c>
      <c r="G18" s="780">
        <v>91.646642</v>
      </c>
      <c r="H18" s="780">
        <v>89.376642000000004</v>
      </c>
      <c r="I18" s="780">
        <v>86.576642000000007</v>
      </c>
      <c r="J18" s="780">
        <v>86.576642000000007</v>
      </c>
      <c r="K18" s="780">
        <v>86.576642000000007</v>
      </c>
      <c r="L18" s="780">
        <v>78.076642000000007</v>
      </c>
      <c r="M18" s="784">
        <v>76.276641999999995</v>
      </c>
      <c r="N18" s="781">
        <v>73.776641999999995</v>
      </c>
      <c r="O18" s="781">
        <v>73.776641999999995</v>
      </c>
      <c r="P18" s="781">
        <v>71.626642000000004</v>
      </c>
      <c r="Q18" s="781">
        <v>70.326642000000007</v>
      </c>
      <c r="R18" s="781">
        <v>70.326642000000007</v>
      </c>
      <c r="S18" s="781">
        <v>70.326642000000007</v>
      </c>
      <c r="T18" s="781">
        <v>70.326642000000007</v>
      </c>
      <c r="U18" s="781">
        <v>70.326642000000007</v>
      </c>
      <c r="V18" s="781">
        <v>70.326642000000007</v>
      </c>
      <c r="W18" s="781">
        <v>70.326642000000007</v>
      </c>
      <c r="X18" s="781">
        <v>70.326642000000007</v>
      </c>
      <c r="Y18" s="784">
        <v>70.326642000000007</v>
      </c>
      <c r="Z18" s="781">
        <v>70.326642000000007</v>
      </c>
      <c r="AA18" s="781">
        <v>53.926642000000001</v>
      </c>
      <c r="AB18" s="784">
        <v>53.926642000000001</v>
      </c>
      <c r="AC18" s="784">
        <v>53.926642000000001</v>
      </c>
      <c r="AD18" s="784">
        <v>53.926642000000001</v>
      </c>
      <c r="AE18" s="784">
        <v>53.926642000000001</v>
      </c>
      <c r="AF18" s="784">
        <v>53.926642000000001</v>
      </c>
      <c r="AG18" s="784">
        <v>53.926642000000001</v>
      </c>
      <c r="AH18" s="784">
        <v>0</v>
      </c>
      <c r="AI18" s="784">
        <v>3.5</v>
      </c>
      <c r="AJ18" s="784">
        <v>0</v>
      </c>
      <c r="AK18" s="784">
        <v>0</v>
      </c>
      <c r="AL18" s="784">
        <v>1.4999999999999999E-2</v>
      </c>
      <c r="AM18" s="784">
        <v>1.4999999999999999E-2</v>
      </c>
      <c r="AN18" s="784">
        <v>5.5312109999999998E-2</v>
      </c>
      <c r="AO18" s="784">
        <v>1.4999999999999999E-2</v>
      </c>
      <c r="AP18" s="784">
        <v>7.4999999999999997E-3</v>
      </c>
      <c r="AQ18" s="784">
        <v>0</v>
      </c>
      <c r="AR18" s="784">
        <v>0</v>
      </c>
      <c r="AS18" s="784">
        <v>0</v>
      </c>
      <c r="AT18" s="784">
        <v>0</v>
      </c>
      <c r="AU18" s="784">
        <v>0</v>
      </c>
      <c r="AV18" s="784">
        <v>0</v>
      </c>
      <c r="AW18" s="784">
        <v>0</v>
      </c>
      <c r="AX18" s="784">
        <v>0</v>
      </c>
      <c r="AY18" s="784">
        <v>0</v>
      </c>
      <c r="AZ18" s="784">
        <v>0</v>
      </c>
      <c r="BA18" s="784">
        <v>0</v>
      </c>
      <c r="BB18" s="784">
        <v>0</v>
      </c>
      <c r="BC18" s="784">
        <v>0</v>
      </c>
      <c r="BD18" s="784">
        <v>0</v>
      </c>
      <c r="BE18" s="784">
        <v>0</v>
      </c>
      <c r="BF18" s="784">
        <v>0</v>
      </c>
      <c r="BG18" s="784">
        <v>0</v>
      </c>
      <c r="BH18" s="827">
        <v>0</v>
      </c>
      <c r="BI18" s="816">
        <v>0</v>
      </c>
      <c r="BJ18" s="816">
        <v>0</v>
      </c>
      <c r="BK18" s="816">
        <v>0</v>
      </c>
      <c r="BL18" s="816">
        <v>0</v>
      </c>
      <c r="BM18" s="816">
        <v>0</v>
      </c>
      <c r="BN18" s="816">
        <v>0</v>
      </c>
      <c r="BO18" s="816">
        <v>0</v>
      </c>
      <c r="BP18" s="816">
        <v>0</v>
      </c>
      <c r="BQ18" s="816">
        <v>0</v>
      </c>
      <c r="BR18" s="816">
        <v>0</v>
      </c>
      <c r="BS18" s="816">
        <v>0</v>
      </c>
      <c r="BT18" s="816">
        <v>0</v>
      </c>
      <c r="BU18" s="816">
        <v>0</v>
      </c>
      <c r="BV18" s="816">
        <v>0</v>
      </c>
      <c r="BW18" s="816">
        <v>0</v>
      </c>
      <c r="BX18" s="816">
        <v>0.71</v>
      </c>
      <c r="BY18" s="816">
        <v>0</v>
      </c>
      <c r="BZ18" s="816">
        <v>0</v>
      </c>
      <c r="CA18" s="816">
        <v>1.53</v>
      </c>
      <c r="CB18" s="816">
        <v>0</v>
      </c>
      <c r="CC18" s="816">
        <v>0</v>
      </c>
      <c r="CD18" s="816">
        <v>0</v>
      </c>
      <c r="CE18" s="816">
        <v>0</v>
      </c>
      <c r="CF18" s="816">
        <v>0</v>
      </c>
      <c r="CG18" s="816">
        <v>0</v>
      </c>
      <c r="CH18" s="816">
        <v>0</v>
      </c>
      <c r="CI18" s="816">
        <v>0</v>
      </c>
      <c r="CJ18" s="816">
        <v>1.9</v>
      </c>
      <c r="CK18" s="816">
        <v>1.3</v>
      </c>
      <c r="CL18" s="816">
        <v>1.3</v>
      </c>
      <c r="CM18" s="816">
        <v>0.81854388</v>
      </c>
      <c r="CN18" s="816">
        <v>1.6361421200000001</v>
      </c>
      <c r="CO18" s="816">
        <v>0.53909293000000003</v>
      </c>
      <c r="CP18" s="816">
        <v>0.83048393000000009</v>
      </c>
      <c r="CQ18" s="816">
        <v>0.48287186999999998</v>
      </c>
      <c r="CR18" s="816">
        <v>5.2494072300000001</v>
      </c>
      <c r="CS18" s="816">
        <v>3.2100468199999996</v>
      </c>
      <c r="CT18" s="816">
        <v>3.3100468200000002</v>
      </c>
      <c r="CU18" s="816">
        <v>1.08343046</v>
      </c>
      <c r="CV18" s="816">
        <v>2.5</v>
      </c>
      <c r="CW18" s="816">
        <v>0.7</v>
      </c>
      <c r="CX18" s="816">
        <v>0.2</v>
      </c>
      <c r="CY18" s="816">
        <v>0</v>
      </c>
      <c r="CZ18" s="816">
        <v>1.1012497999999999</v>
      </c>
      <c r="DA18" s="816">
        <v>0</v>
      </c>
      <c r="DB18" s="816">
        <v>0</v>
      </c>
      <c r="DC18" s="816">
        <v>0</v>
      </c>
      <c r="DD18" s="816">
        <v>0</v>
      </c>
      <c r="DE18" s="816">
        <v>0</v>
      </c>
      <c r="DF18" s="816">
        <v>0</v>
      </c>
      <c r="DG18" s="816">
        <v>0</v>
      </c>
      <c r="DH18" s="816">
        <v>0</v>
      </c>
      <c r="DI18" s="816">
        <v>0</v>
      </c>
      <c r="DJ18" s="816">
        <v>0</v>
      </c>
      <c r="DK18" s="816">
        <v>0</v>
      </c>
      <c r="DL18" s="816">
        <v>0</v>
      </c>
      <c r="DM18" s="816">
        <v>0</v>
      </c>
      <c r="DN18" s="816">
        <v>0</v>
      </c>
      <c r="DO18" s="816">
        <v>0</v>
      </c>
      <c r="DP18" s="816">
        <v>0</v>
      </c>
      <c r="DQ18" s="816">
        <v>0</v>
      </c>
      <c r="DR18" s="816">
        <v>0</v>
      </c>
      <c r="DS18" s="816">
        <v>0</v>
      </c>
      <c r="DT18" s="816">
        <v>0</v>
      </c>
      <c r="DU18" s="816">
        <v>0</v>
      </c>
      <c r="DV18" s="816">
        <v>0</v>
      </c>
      <c r="DW18" s="816">
        <v>2.1942907900000002</v>
      </c>
      <c r="DX18" s="816">
        <v>2.7205965499999998</v>
      </c>
      <c r="DY18" s="816">
        <v>1.010988</v>
      </c>
      <c r="DZ18" s="816">
        <v>0</v>
      </c>
      <c r="EA18" s="816">
        <v>0</v>
      </c>
      <c r="EB18" s="816">
        <v>0</v>
      </c>
      <c r="EC18" s="816">
        <v>1.010988</v>
      </c>
      <c r="ED18" s="816">
        <v>1.010988</v>
      </c>
      <c r="EE18" s="816">
        <v>3.1425296</v>
      </c>
      <c r="EF18" s="816">
        <v>5.4983844199999998</v>
      </c>
      <c r="EG18" s="816">
        <v>8.9408512699999996</v>
      </c>
      <c r="EH18" s="816">
        <v>9.0776258900000002</v>
      </c>
      <c r="EI18" s="816">
        <v>10.15095112</v>
      </c>
      <c r="EJ18" s="816">
        <v>9.6417489599999993</v>
      </c>
      <c r="EK18" s="816">
        <v>11.3710317</v>
      </c>
      <c r="EL18" s="816">
        <v>9.9029098799999993</v>
      </c>
      <c r="EM18" s="816">
        <v>9.1728421999999998</v>
      </c>
      <c r="EN18" s="816">
        <v>5.0319065399999996</v>
      </c>
      <c r="EO18" s="816">
        <v>0</v>
      </c>
      <c r="EP18" s="816">
        <v>3</v>
      </c>
      <c r="EQ18" s="816">
        <v>6.4277188699999996</v>
      </c>
      <c r="ER18" s="816">
        <v>12.84188799</v>
      </c>
      <c r="ES18" s="816">
        <v>11.52048666</v>
      </c>
      <c r="ET18" s="816">
        <v>15.84367452</v>
      </c>
      <c r="EU18" s="816">
        <v>16.958136769999999</v>
      </c>
      <c r="EV18" s="816">
        <v>15.37114416</v>
      </c>
      <c r="EW18" s="816">
        <v>16.15133616</v>
      </c>
      <c r="EX18" s="816">
        <v>19.496081849999999</v>
      </c>
      <c r="EY18" s="816">
        <v>19.111688019999999</v>
      </c>
      <c r="EZ18" s="816">
        <v>14.849351349999999</v>
      </c>
      <c r="FA18" s="816">
        <v>17.93534335</v>
      </c>
      <c r="FB18" s="816">
        <v>16.370396469999999</v>
      </c>
      <c r="FC18" s="816">
        <v>18.307178</v>
      </c>
      <c r="FD18" s="816">
        <v>24.325678610000001</v>
      </c>
      <c r="FE18" s="816">
        <v>22.38865083</v>
      </c>
      <c r="FF18" s="816">
        <v>20.37143322</v>
      </c>
      <c r="FG18" s="816">
        <v>18.314213720000001</v>
      </c>
      <c r="FH18" s="1716" t="s">
        <v>4067</v>
      </c>
    </row>
    <row r="19" spans="1:164" ht="21">
      <c r="A19" s="1745" t="s">
        <v>1962</v>
      </c>
      <c r="B19" s="783">
        <f>+B17-B18</f>
        <v>31.668776170000001</v>
      </c>
      <c r="C19" s="783">
        <f t="shared" ref="C19:V19" si="4">+C17-C18</f>
        <v>31.629076360000013</v>
      </c>
      <c r="D19" s="783">
        <f t="shared" si="4"/>
        <v>32.394030879999988</v>
      </c>
      <c r="E19" s="783">
        <f t="shared" si="4"/>
        <v>32.359445610000009</v>
      </c>
      <c r="F19" s="783">
        <f t="shared" si="4"/>
        <v>31.28620943</v>
      </c>
      <c r="G19" s="783">
        <f t="shared" si="4"/>
        <v>33.123421429999993</v>
      </c>
      <c r="H19" s="783">
        <f t="shared" si="4"/>
        <v>35.637364869999999</v>
      </c>
      <c r="I19" s="783">
        <f t="shared" si="4"/>
        <v>36.514627140000002</v>
      </c>
      <c r="J19" s="783">
        <f t="shared" si="4"/>
        <v>36.486106920000012</v>
      </c>
      <c r="K19" s="783">
        <f t="shared" si="4"/>
        <v>37.454840939999997</v>
      </c>
      <c r="L19" s="783">
        <f t="shared" si="4"/>
        <v>37.6008925</v>
      </c>
      <c r="M19" s="784">
        <f t="shared" si="4"/>
        <v>37.465164970000004</v>
      </c>
      <c r="N19" s="784">
        <f t="shared" si="4"/>
        <v>38.019649000000001</v>
      </c>
      <c r="O19" s="784">
        <f t="shared" si="4"/>
        <v>38.254299000000003</v>
      </c>
      <c r="P19" s="784">
        <f t="shared" si="4"/>
        <v>38.460676000000007</v>
      </c>
      <c r="Q19" s="784">
        <f t="shared" si="4"/>
        <v>23.767250000000004</v>
      </c>
      <c r="R19" s="784">
        <f t="shared" si="4"/>
        <v>26.739714000000006</v>
      </c>
      <c r="S19" s="784">
        <f t="shared" si="4"/>
        <v>29.089813280000001</v>
      </c>
      <c r="T19" s="784">
        <f t="shared" si="4"/>
        <v>28.156049339999996</v>
      </c>
      <c r="U19" s="784">
        <f t="shared" si="4"/>
        <v>29.239141470000007</v>
      </c>
      <c r="V19" s="784">
        <f t="shared" si="4"/>
        <v>30.557382000000004</v>
      </c>
      <c r="W19" s="784">
        <v>32.097398600000005</v>
      </c>
      <c r="X19" s="784">
        <v>32.009633980000004</v>
      </c>
      <c r="Y19" s="784">
        <v>22.352136520000002</v>
      </c>
      <c r="Z19" s="784">
        <v>22.371736519999999</v>
      </c>
      <c r="AA19" s="784">
        <v>22.391188960000008</v>
      </c>
      <c r="AB19" s="784">
        <v>22.386919689999999</v>
      </c>
      <c r="AC19" s="784">
        <v>22.400331539999996</v>
      </c>
      <c r="AD19" s="784">
        <v>22.387740550000004</v>
      </c>
      <c r="AE19" s="784">
        <v>22.26353512</v>
      </c>
      <c r="AF19" s="784">
        <v>22.261519250000006</v>
      </c>
      <c r="AG19" s="784">
        <v>17.06118463</v>
      </c>
      <c r="AH19" s="784">
        <f>+AH17-AH18</f>
        <v>11.86063933</v>
      </c>
      <c r="AI19" s="784">
        <v>11.873805800000001</v>
      </c>
      <c r="AJ19" s="784">
        <f>+AJ17-AJ18</f>
        <v>7.2345771399999999</v>
      </c>
      <c r="AK19" s="784">
        <f>+AK17-AK18</f>
        <v>19.039946180000001</v>
      </c>
      <c r="AL19" s="784">
        <v>19.032642420000002</v>
      </c>
      <c r="AM19" s="784">
        <f>+AM17-AM18</f>
        <v>19.027120289999999</v>
      </c>
      <c r="AN19" s="784">
        <f>+AN17-AN18</f>
        <v>21.482749290000001</v>
      </c>
      <c r="AO19" s="784">
        <f>+AO17-AO18</f>
        <v>21.49376848</v>
      </c>
      <c r="AP19" s="784">
        <f>+AP17-AP18</f>
        <v>23.797618480000001</v>
      </c>
      <c r="AQ19" s="784">
        <v>23.795354270000001</v>
      </c>
      <c r="AR19" s="784">
        <f>+AR17-AR18</f>
        <v>23.793526440000001</v>
      </c>
      <c r="AS19" s="784">
        <f>+AS17-AS18</f>
        <v>23.08699631</v>
      </c>
      <c r="AT19" s="784">
        <f>+AT17-AT18</f>
        <v>23.789590760000003</v>
      </c>
      <c r="AU19" s="784">
        <v>25.4880438</v>
      </c>
      <c r="AV19" s="784">
        <v>25.486588260000001</v>
      </c>
      <c r="AW19" s="784">
        <v>25.672421440000001</v>
      </c>
      <c r="AX19" s="784">
        <v>25.670063160000002</v>
      </c>
      <c r="AY19" s="784">
        <v>27.997148639999999</v>
      </c>
      <c r="AZ19" s="784">
        <v>27.99561392</v>
      </c>
      <c r="BA19" s="784">
        <v>27.99405874</v>
      </c>
      <c r="BB19" s="784">
        <v>27.992488000000002</v>
      </c>
      <c r="BC19" s="784">
        <v>27.992488000000002</v>
      </c>
      <c r="BD19" s="784">
        <f>+BD17-BD18</f>
        <v>27.992488000000002</v>
      </c>
      <c r="BE19" s="784">
        <v>27.992488000000002</v>
      </c>
      <c r="BF19" s="784">
        <v>27.992488000000002</v>
      </c>
      <c r="BG19" s="784">
        <v>27.992488000000002</v>
      </c>
      <c r="BH19" s="827">
        <v>27.992488000000002</v>
      </c>
      <c r="BI19" s="816">
        <v>31.097487999999998</v>
      </c>
      <c r="BJ19" s="816">
        <v>31.127488</v>
      </c>
      <c r="BK19" s="816">
        <v>31.122750839999998</v>
      </c>
      <c r="BL19" s="816">
        <v>31.10047604</v>
      </c>
      <c r="BM19" s="816">
        <v>30.643563</v>
      </c>
      <c r="BN19" s="816">
        <v>30.578562999999999</v>
      </c>
      <c r="BO19" s="816">
        <v>25.639323000000001</v>
      </c>
      <c r="BP19" s="816">
        <v>27.340323000000001</v>
      </c>
      <c r="BQ19" s="816">
        <v>28.362123</v>
      </c>
      <c r="BR19" s="816">
        <v>28.362123</v>
      </c>
      <c r="BS19" s="816">
        <v>28.362123</v>
      </c>
      <c r="BT19" s="816">
        <v>28.362123</v>
      </c>
      <c r="BU19" s="816">
        <v>30.958197999999999</v>
      </c>
      <c r="BV19" s="816">
        <v>30.746982510000002</v>
      </c>
      <c r="BW19" s="816">
        <v>30.688198</v>
      </c>
      <c r="BX19" s="816">
        <v>30.688198</v>
      </c>
      <c r="BY19" s="816">
        <v>30.688198</v>
      </c>
      <c r="BZ19" s="816">
        <v>30.813198</v>
      </c>
      <c r="CA19" s="816">
        <v>30.688198</v>
      </c>
      <c r="CB19" s="816">
        <v>2.1000000000000001E-2</v>
      </c>
      <c r="CC19" s="816">
        <v>0</v>
      </c>
      <c r="CD19" s="816">
        <v>0</v>
      </c>
      <c r="CE19" s="816">
        <f t="shared" ref="CE19:CO19" si="5">+CE17-CE18</f>
        <v>0.03</v>
      </c>
      <c r="CF19" s="816">
        <f t="shared" si="5"/>
        <v>0.03</v>
      </c>
      <c r="CG19" s="816">
        <f t="shared" si="5"/>
        <v>0.30206944000000002</v>
      </c>
      <c r="CH19" s="816">
        <f t="shared" si="5"/>
        <v>0.30206944000000002</v>
      </c>
      <c r="CI19" s="816">
        <f t="shared" si="5"/>
        <v>0.13600000000000001</v>
      </c>
      <c r="CJ19" s="816">
        <f t="shared" si="5"/>
        <v>0.13600000000000012</v>
      </c>
      <c r="CK19" s="816">
        <f t="shared" si="5"/>
        <v>0</v>
      </c>
      <c r="CL19" s="816">
        <f t="shared" si="5"/>
        <v>0.21599999999999997</v>
      </c>
      <c r="CM19" s="816">
        <f t="shared" si="5"/>
        <v>0.41599999999999993</v>
      </c>
      <c r="CN19" s="816">
        <f t="shared" si="5"/>
        <v>0.3660000000000001</v>
      </c>
      <c r="CO19" s="816">
        <f t="shared" si="5"/>
        <v>0.41999999999999993</v>
      </c>
      <c r="CP19" s="816">
        <f>+CP17-CP18</f>
        <v>0.43499999999999994</v>
      </c>
      <c r="CQ19" s="816">
        <f>+CQ17-CQ18</f>
        <v>0.40500000000000003</v>
      </c>
      <c r="CR19" s="816">
        <f>+CR17-CR18</f>
        <v>0.5</v>
      </c>
      <c r="CS19" s="816">
        <f>+CS17-CS18</f>
        <v>0.5</v>
      </c>
      <c r="CT19" s="816">
        <v>0.55911911999999997</v>
      </c>
      <c r="CU19" s="816">
        <v>0.56100000000000005</v>
      </c>
      <c r="CV19" s="816">
        <v>0.56100000000000005</v>
      </c>
      <c r="CW19" s="816">
        <v>6.0999999999999999E-2</v>
      </c>
      <c r="CX19" s="816">
        <v>0.11193754</v>
      </c>
      <c r="CY19" s="816">
        <v>6.0999999999999999E-2</v>
      </c>
      <c r="CZ19" s="816">
        <v>6.0999999999999999E-2</v>
      </c>
      <c r="DA19" s="816">
        <v>0.27100000000000002</v>
      </c>
      <c r="DB19" s="816">
        <v>0.32025057000000001</v>
      </c>
      <c r="DC19" s="816">
        <v>7.4498590000000003E-2</v>
      </c>
      <c r="DD19" s="816">
        <v>3.8709519999999997E-2</v>
      </c>
      <c r="DE19" s="816">
        <v>9.791619E-2</v>
      </c>
      <c r="DF19" s="816">
        <v>1.711207E-2</v>
      </c>
      <c r="DG19" s="816">
        <v>0.14028420999999999</v>
      </c>
      <c r="DH19" s="816">
        <v>2.05229822</v>
      </c>
      <c r="DI19" s="816">
        <v>1.941859</v>
      </c>
      <c r="DJ19" s="816">
        <v>2.1980635199999998</v>
      </c>
      <c r="DK19" s="816">
        <v>2.50117426</v>
      </c>
      <c r="DL19" s="816">
        <v>2.57019705</v>
      </c>
      <c r="DM19" s="816">
        <v>1.8866087199999999</v>
      </c>
      <c r="DN19" s="816">
        <v>3.11988413</v>
      </c>
      <c r="DO19" s="816">
        <v>2.7625262899999998</v>
      </c>
      <c r="DP19" s="816">
        <v>1.43855343</v>
      </c>
      <c r="DQ19" s="816">
        <v>1.87287516</v>
      </c>
      <c r="DR19" s="816">
        <v>2.8875726099999999</v>
      </c>
      <c r="DS19" s="816">
        <v>6.5005869699999996</v>
      </c>
      <c r="DT19" s="816">
        <v>6.1387977600000001</v>
      </c>
      <c r="DU19" s="816">
        <v>6.6237460600000002</v>
      </c>
      <c r="DV19" s="816">
        <v>8.8079112399999993</v>
      </c>
      <c r="DW19" s="816">
        <v>10.26267348</v>
      </c>
      <c r="DX19" s="816">
        <v>11.698533899999999</v>
      </c>
      <c r="DY19" s="816">
        <v>11.065928230000001</v>
      </c>
      <c r="DZ19" s="816">
        <v>10.97918028</v>
      </c>
      <c r="EA19" s="816">
        <v>6.0734231100000002</v>
      </c>
      <c r="EB19" s="816">
        <v>9.0456370199999991</v>
      </c>
      <c r="EC19" s="816">
        <v>5.1318669899999998</v>
      </c>
      <c r="ED19" s="816">
        <v>2.79896703</v>
      </c>
      <c r="EE19" s="816">
        <v>2.625467</v>
      </c>
      <c r="EF19" s="816">
        <v>2.6329912100000001</v>
      </c>
      <c r="EG19" s="816">
        <v>2.79654041</v>
      </c>
      <c r="EH19" s="816">
        <v>2.89899263</v>
      </c>
      <c r="EI19" s="816">
        <v>2.7548634700000001</v>
      </c>
      <c r="EJ19" s="816">
        <v>2.38751888</v>
      </c>
      <c r="EK19" s="816">
        <v>2.7015052100000001</v>
      </c>
      <c r="EL19" s="816">
        <v>0.67126518999999996</v>
      </c>
      <c r="EM19" s="816">
        <v>1.3796827599999999</v>
      </c>
      <c r="EN19" s="816">
        <v>1.3658747499999999</v>
      </c>
      <c r="EO19" s="816">
        <v>1.66922752</v>
      </c>
      <c r="EP19" s="816">
        <v>3.6063984800000002</v>
      </c>
      <c r="EQ19" s="816">
        <v>3.6516569300000001</v>
      </c>
      <c r="ER19" s="816">
        <v>3.06390714</v>
      </c>
      <c r="ES19" s="816">
        <v>4.4535763800000003</v>
      </c>
      <c r="ET19" s="816">
        <v>4.8705344400000001</v>
      </c>
      <c r="EU19" s="816">
        <v>5.4744232799999999</v>
      </c>
      <c r="EV19" s="816">
        <v>4.6099539800000002</v>
      </c>
      <c r="EW19" s="816">
        <v>7.6041329500000003</v>
      </c>
      <c r="EX19" s="816">
        <v>7.9335292300000004</v>
      </c>
      <c r="EY19" s="816">
        <v>8.2628433999999995</v>
      </c>
      <c r="EZ19" s="816">
        <v>10.25187141</v>
      </c>
      <c r="FA19" s="816">
        <v>9.92899289</v>
      </c>
      <c r="FB19" s="816">
        <v>9.9979616</v>
      </c>
      <c r="FC19" s="816">
        <v>8.6564776699999992</v>
      </c>
      <c r="FD19" s="816">
        <v>9.0217987100000006</v>
      </c>
      <c r="FE19" s="816">
        <v>9.9179503400000009</v>
      </c>
      <c r="FF19" s="816">
        <v>9.8569932300000005</v>
      </c>
      <c r="FG19" s="816">
        <v>10.037737269999999</v>
      </c>
      <c r="FH19" s="1716" t="s">
        <v>4066</v>
      </c>
    </row>
    <row r="20" spans="1:164" ht="21">
      <c r="A20" s="1744"/>
      <c r="B20" s="780"/>
      <c r="C20" s="780"/>
      <c r="D20" s="780"/>
      <c r="E20" s="780"/>
      <c r="F20" s="780"/>
      <c r="G20" s="780"/>
      <c r="H20" s="780"/>
      <c r="I20" s="780"/>
      <c r="J20" s="780"/>
      <c r="K20" s="780"/>
      <c r="L20" s="780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  <c r="AD20" s="781"/>
      <c r="AE20" s="781"/>
      <c r="AF20" s="781"/>
      <c r="AG20" s="781"/>
      <c r="AH20" s="781"/>
      <c r="AI20" s="781"/>
      <c r="AJ20" s="781"/>
      <c r="AK20" s="781"/>
      <c r="AL20" s="781"/>
      <c r="AM20" s="781"/>
      <c r="AN20" s="781"/>
      <c r="AO20" s="781"/>
      <c r="AP20" s="781"/>
      <c r="AQ20" s="781"/>
      <c r="AR20" s="781"/>
      <c r="AS20" s="781"/>
      <c r="AT20" s="781"/>
      <c r="AU20" s="781"/>
      <c r="AV20" s="781"/>
      <c r="AW20" s="781"/>
      <c r="AX20" s="781"/>
      <c r="AY20" s="781"/>
      <c r="AZ20" s="781"/>
      <c r="BA20" s="781"/>
      <c r="BB20" s="781"/>
      <c r="BC20" s="781"/>
      <c r="BD20" s="781"/>
      <c r="BE20" s="781"/>
      <c r="BF20" s="781"/>
      <c r="BG20" s="781"/>
      <c r="BH20" s="826"/>
      <c r="BI20" s="815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5"/>
      <c r="CN20" s="815"/>
      <c r="CO20" s="815"/>
      <c r="CP20" s="815"/>
      <c r="CQ20" s="815"/>
      <c r="CR20" s="815"/>
      <c r="CS20" s="815"/>
      <c r="CT20" s="815"/>
      <c r="CU20" s="815"/>
      <c r="CV20" s="815"/>
      <c r="CW20" s="815"/>
      <c r="CX20" s="815"/>
      <c r="CY20" s="815"/>
      <c r="CZ20" s="815"/>
      <c r="DA20" s="815"/>
      <c r="DB20" s="815"/>
      <c r="DC20" s="815"/>
      <c r="DD20" s="815"/>
      <c r="DE20" s="815"/>
      <c r="DF20" s="815"/>
      <c r="DG20" s="815"/>
      <c r="DH20" s="815"/>
      <c r="DI20" s="815"/>
      <c r="DJ20" s="815"/>
      <c r="DK20" s="815"/>
      <c r="DL20" s="815"/>
      <c r="DM20" s="815"/>
      <c r="DN20" s="815"/>
      <c r="DO20" s="815"/>
      <c r="DP20" s="815"/>
      <c r="DQ20" s="815"/>
      <c r="DR20" s="815"/>
      <c r="DS20" s="815"/>
      <c r="DT20" s="815"/>
      <c r="DU20" s="815"/>
      <c r="DV20" s="815"/>
      <c r="DW20" s="815"/>
      <c r="DX20" s="815"/>
      <c r="DY20" s="815"/>
      <c r="DZ20" s="815"/>
      <c r="EA20" s="815"/>
      <c r="EB20" s="815"/>
      <c r="EC20" s="815"/>
      <c r="ED20" s="815"/>
      <c r="EE20" s="815"/>
      <c r="EF20" s="815"/>
      <c r="EG20" s="815"/>
      <c r="EH20" s="815"/>
      <c r="EI20" s="815"/>
      <c r="EJ20" s="815"/>
      <c r="EK20" s="815"/>
      <c r="EL20" s="815"/>
      <c r="EM20" s="815"/>
      <c r="EN20" s="815"/>
      <c r="EO20" s="815"/>
      <c r="EP20" s="815"/>
      <c r="EQ20" s="815"/>
      <c r="ER20" s="815"/>
      <c r="ES20" s="815"/>
      <c r="ET20" s="815"/>
      <c r="EU20" s="815"/>
      <c r="EV20" s="815"/>
      <c r="EW20" s="815"/>
      <c r="EX20" s="815"/>
      <c r="EY20" s="815"/>
      <c r="EZ20" s="815"/>
      <c r="FA20" s="815"/>
      <c r="FB20" s="815"/>
      <c r="FC20" s="815"/>
      <c r="FD20" s="815"/>
      <c r="FE20" s="815"/>
      <c r="FF20" s="815"/>
      <c r="FG20" s="815"/>
      <c r="FH20" s="1714"/>
    </row>
    <row r="21" spans="1:164" ht="21">
      <c r="A21" s="1744" t="s">
        <v>2742</v>
      </c>
      <c r="B21" s="783">
        <v>10.491786900000001</v>
      </c>
      <c r="C21" s="783">
        <v>5.9121963900000001</v>
      </c>
      <c r="D21" s="783">
        <v>5.7595558099999993</v>
      </c>
      <c r="E21" s="783">
        <v>5.7457509400000006</v>
      </c>
      <c r="F21" s="783">
        <v>5.5946453400000005</v>
      </c>
      <c r="G21" s="783">
        <v>5.9717132500000005</v>
      </c>
      <c r="H21" s="783">
        <v>5.9658395100000003</v>
      </c>
      <c r="I21" s="783">
        <v>5.9470103600000002</v>
      </c>
      <c r="J21" s="783">
        <v>5.9524586399999997</v>
      </c>
      <c r="K21" s="783">
        <v>5.5640435100000003</v>
      </c>
      <c r="L21" s="783">
        <v>5.5821219700000002</v>
      </c>
      <c r="M21" s="781">
        <v>5.6163390800000004</v>
      </c>
      <c r="N21" s="784">
        <v>5.5682108399999999</v>
      </c>
      <c r="O21" s="784">
        <v>5.5696126699999997</v>
      </c>
      <c r="P21" s="784">
        <v>8.5896373500000003</v>
      </c>
      <c r="Q21" s="784">
        <v>8.589641180000001</v>
      </c>
      <c r="R21" s="784">
        <v>9.3634966399999993</v>
      </c>
      <c r="S21" s="784">
        <v>9.3514446099999997</v>
      </c>
      <c r="T21" s="784">
        <v>9.3401900399999995</v>
      </c>
      <c r="U21" s="784">
        <v>9.4752186299999988</v>
      </c>
      <c r="V21" s="784">
        <v>11.362166669999999</v>
      </c>
      <c r="W21" s="784">
        <v>11.3463852</v>
      </c>
      <c r="X21" s="784">
        <v>11.21907423</v>
      </c>
      <c r="Y21" s="781">
        <v>11.188550340000001</v>
      </c>
      <c r="Z21" s="784">
        <v>11.20339613</v>
      </c>
      <c r="AA21" s="784">
        <v>14.749294030000001</v>
      </c>
      <c r="AB21" s="781">
        <v>14.29103299</v>
      </c>
      <c r="AC21" s="781">
        <v>15.032291709999999</v>
      </c>
      <c r="AD21" s="781">
        <v>16.843249539999999</v>
      </c>
      <c r="AE21" s="781">
        <v>24.976417929999997</v>
      </c>
      <c r="AF21" s="781">
        <v>28.753803809999997</v>
      </c>
      <c r="AG21" s="781">
        <v>37.368803019999994</v>
      </c>
      <c r="AH21" s="781">
        <v>37.909783699999998</v>
      </c>
      <c r="AI21" s="781">
        <v>42.182006149999999</v>
      </c>
      <c r="AJ21" s="781">
        <v>46.905181720000002</v>
      </c>
      <c r="AK21" s="781">
        <v>59.453121430000003</v>
      </c>
      <c r="AL21" s="781">
        <v>56.12931854</v>
      </c>
      <c r="AM21" s="781">
        <v>54.994271670000003</v>
      </c>
      <c r="AN21" s="781">
        <v>51.816730380000003</v>
      </c>
      <c r="AO21" s="781">
        <v>50.350400149999999</v>
      </c>
      <c r="AP21" s="781">
        <v>43.807388270000004</v>
      </c>
      <c r="AQ21" s="781">
        <v>43.300481390000002</v>
      </c>
      <c r="AR21" s="781">
        <v>43.571215350000003</v>
      </c>
      <c r="AS21" s="781">
        <v>42.172041819999997</v>
      </c>
      <c r="AT21" s="781">
        <f>AT13-AT17</f>
        <v>41.090646279999994</v>
      </c>
      <c r="AU21" s="781">
        <v>38.787058979999998</v>
      </c>
      <c r="AV21" s="781">
        <v>42.06614562</v>
      </c>
      <c r="AW21" s="781">
        <v>41.002214479999999</v>
      </c>
      <c r="AX21" s="781">
        <v>43.598514080000001</v>
      </c>
      <c r="AY21" s="781">
        <v>33.797158519999996</v>
      </c>
      <c r="AZ21" s="781">
        <v>22.07726933</v>
      </c>
      <c r="BA21" s="781">
        <v>20.551904090000001</v>
      </c>
      <c r="BB21" s="781">
        <v>24.646458050000003</v>
      </c>
      <c r="BC21" s="781">
        <v>24.661609829999996</v>
      </c>
      <c r="BD21" s="781">
        <v>24.659301940000002</v>
      </c>
      <c r="BE21" s="781">
        <v>20.67727923</v>
      </c>
      <c r="BF21" s="781">
        <v>16.454217659999998</v>
      </c>
      <c r="BG21" s="781">
        <v>16.454217659999998</v>
      </c>
      <c r="BH21" s="826">
        <v>13.903099879999999</v>
      </c>
      <c r="BI21" s="815">
        <v>9.3894822899999966</v>
      </c>
      <c r="BJ21" s="815">
        <v>9.3894822899999966</v>
      </c>
      <c r="BK21" s="815">
        <v>9.3894822900000001</v>
      </c>
      <c r="BL21" s="815">
        <v>9.3889299999999984</v>
      </c>
      <c r="BM21" s="815">
        <v>9.388930000000002</v>
      </c>
      <c r="BN21" s="815">
        <v>9.3889299999999984</v>
      </c>
      <c r="BO21" s="815">
        <v>9.3889299999999984</v>
      </c>
      <c r="BP21" s="815">
        <v>7.6889300000000027</v>
      </c>
      <c r="BQ21" s="815">
        <v>5.9193660000000001</v>
      </c>
      <c r="BR21" s="815">
        <v>5.9193660000000001</v>
      </c>
      <c r="BS21" s="815">
        <v>5.9193660000000001</v>
      </c>
      <c r="BT21" s="815">
        <v>5.9193660000000001</v>
      </c>
      <c r="BU21" s="815">
        <v>2.5499999999922807E-4</v>
      </c>
      <c r="BV21" s="815">
        <v>2.5499999999922807E-4</v>
      </c>
      <c r="BW21" s="815">
        <v>2.5499999999922807E-4</v>
      </c>
      <c r="BX21" s="815">
        <v>2.5499999999922807E-4</v>
      </c>
      <c r="BY21" s="815">
        <v>1.3925190000000001</v>
      </c>
      <c r="BZ21" s="815">
        <v>0.62833260000000024</v>
      </c>
      <c r="CA21" s="815">
        <v>2.5500000000278078E-4</v>
      </c>
      <c r="CB21" s="815">
        <v>0</v>
      </c>
      <c r="CC21" s="815">
        <v>0</v>
      </c>
      <c r="CD21" s="815">
        <v>0</v>
      </c>
      <c r="CE21" s="815">
        <v>0</v>
      </c>
      <c r="CF21" s="815">
        <v>0</v>
      </c>
      <c r="CG21" s="815">
        <v>0.59165199999999996</v>
      </c>
      <c r="CH21" s="815">
        <v>0.58254488000000004</v>
      </c>
      <c r="CI21" s="815">
        <v>0.58086643000000004</v>
      </c>
      <c r="CJ21" s="815">
        <v>0</v>
      </c>
      <c r="CK21" s="815">
        <v>0</v>
      </c>
      <c r="CL21" s="815">
        <v>0</v>
      </c>
      <c r="CM21" s="815">
        <v>0.70720000000000005</v>
      </c>
      <c r="CN21" s="815">
        <v>0</v>
      </c>
      <c r="CO21" s="815">
        <v>0</v>
      </c>
      <c r="CP21" s="815">
        <v>0</v>
      </c>
      <c r="CQ21" s="815">
        <v>0</v>
      </c>
      <c r="CR21" s="815">
        <v>0</v>
      </c>
      <c r="CS21" s="815">
        <v>0</v>
      </c>
      <c r="CT21" s="815">
        <v>7.8400953600000003</v>
      </c>
      <c r="CU21" s="815">
        <v>7.8400953600000003</v>
      </c>
      <c r="CV21" s="815">
        <v>8.1545953600000001</v>
      </c>
      <c r="CW21" s="815">
        <v>10.364595359999999</v>
      </c>
      <c r="CX21" s="815">
        <v>8.1889000000000003</v>
      </c>
      <c r="CY21" s="815">
        <v>8.1889000000000003</v>
      </c>
      <c r="CZ21" s="815">
        <v>2.3051959499999999</v>
      </c>
      <c r="DA21" s="815">
        <v>0</v>
      </c>
      <c r="DB21" s="815">
        <v>0</v>
      </c>
      <c r="DC21" s="815">
        <v>0.49980000000000002</v>
      </c>
      <c r="DD21" s="815">
        <v>0.45962219999999998</v>
      </c>
      <c r="DE21" s="815">
        <v>0.41891025999999998</v>
      </c>
      <c r="DF21" s="815">
        <v>0.37827411</v>
      </c>
      <c r="DG21" s="815">
        <v>0.33709257999999998</v>
      </c>
      <c r="DH21" s="815">
        <v>0.29604894999999998</v>
      </c>
      <c r="DI21" s="815">
        <v>0.25442037000000001</v>
      </c>
      <c r="DJ21" s="815">
        <v>0.2125976</v>
      </c>
      <c r="DK21" s="815">
        <v>0.17079225000000001</v>
      </c>
      <c r="DL21" s="815">
        <v>0.12840840000000001</v>
      </c>
      <c r="DM21" s="815">
        <v>8.6104689999999998E-2</v>
      </c>
      <c r="DN21" s="815">
        <v>8.6104689999999998E-2</v>
      </c>
      <c r="DO21" s="815">
        <v>0</v>
      </c>
      <c r="DP21" s="815">
        <v>0</v>
      </c>
      <c r="DQ21" s="815">
        <v>0</v>
      </c>
      <c r="DR21" s="815">
        <v>0.49980000000000002</v>
      </c>
      <c r="DS21" s="815">
        <v>0.45966356000000003</v>
      </c>
      <c r="DT21" s="815">
        <v>0.41909864000000002</v>
      </c>
      <c r="DU21" s="815">
        <v>0.37813408999999998</v>
      </c>
      <c r="DV21" s="815">
        <v>0.67709357999999997</v>
      </c>
      <c r="DW21" s="815">
        <v>0.67709357999999997</v>
      </c>
      <c r="DX21" s="815">
        <v>0.59447461999999995</v>
      </c>
      <c r="DY21" s="815">
        <v>0.59447461999999995</v>
      </c>
      <c r="DZ21" s="815">
        <v>0.55256419000000001</v>
      </c>
      <c r="EA21" s="815">
        <v>0.51064043999999997</v>
      </c>
      <c r="EB21" s="815">
        <v>0.46852226000000002</v>
      </c>
      <c r="EC21" s="815">
        <v>0.42597570000000001</v>
      </c>
      <c r="ED21" s="815">
        <v>0.34</v>
      </c>
      <c r="EE21" s="815">
        <v>0.34</v>
      </c>
      <c r="EF21" s="815">
        <v>0.34</v>
      </c>
      <c r="EG21" s="815">
        <v>0.76500000000000001</v>
      </c>
      <c r="EH21" s="815">
        <v>0.76500000000000001</v>
      </c>
      <c r="EI21" s="815">
        <v>0.76500000000000001</v>
      </c>
      <c r="EJ21" s="815">
        <v>1.4190069999999999</v>
      </c>
      <c r="EK21" s="815">
        <v>1.48349851</v>
      </c>
      <c r="EL21" s="815">
        <v>0.90713569000000005</v>
      </c>
      <c r="EM21" s="815">
        <v>0.11401509</v>
      </c>
      <c r="EN21" s="815">
        <v>8.5758100000000004E-2</v>
      </c>
      <c r="EO21" s="815">
        <v>5.735295E-2</v>
      </c>
      <c r="EP21" s="815">
        <v>0</v>
      </c>
      <c r="EQ21" s="815">
        <v>0</v>
      </c>
      <c r="ER21" s="815">
        <v>0</v>
      </c>
      <c r="ES21" s="815">
        <v>0</v>
      </c>
      <c r="ET21" s="815">
        <v>0</v>
      </c>
      <c r="EU21" s="815">
        <v>0</v>
      </c>
      <c r="EV21" s="815">
        <v>0</v>
      </c>
      <c r="EW21" s="815">
        <v>0.51</v>
      </c>
      <c r="EX21" s="815">
        <v>0.34431202</v>
      </c>
      <c r="EY21" s="815">
        <v>0.43234682000000002</v>
      </c>
      <c r="EZ21" s="815">
        <v>0.255</v>
      </c>
      <c r="FA21" s="815">
        <v>0.255</v>
      </c>
      <c r="FB21" s="815">
        <v>0.255</v>
      </c>
      <c r="FC21" s="815">
        <v>4.5662969000000002</v>
      </c>
      <c r="FD21" s="815">
        <v>4.6357980000000003</v>
      </c>
      <c r="FE21" s="815">
        <v>4.6357980000000003</v>
      </c>
      <c r="FF21" s="815">
        <v>4.6357980000000003</v>
      </c>
      <c r="FG21" s="815">
        <v>4.6357980000000003</v>
      </c>
      <c r="FH21" s="1714" t="s">
        <v>4068</v>
      </c>
    </row>
    <row r="22" spans="1:164" ht="21">
      <c r="A22" s="1745" t="s">
        <v>1961</v>
      </c>
      <c r="B22" s="783">
        <v>5.48966654</v>
      </c>
      <c r="C22" s="783">
        <v>5.4924659599999996</v>
      </c>
      <c r="D22" s="783">
        <v>5.4924659599999996</v>
      </c>
      <c r="E22" s="783">
        <v>5.4910662500000003</v>
      </c>
      <c r="F22" s="783">
        <v>5.4910662500000003</v>
      </c>
      <c r="G22" s="783">
        <v>5.4903664000000001</v>
      </c>
      <c r="H22" s="783">
        <v>5.4903664000000001</v>
      </c>
      <c r="I22" s="783">
        <v>5.48966654</v>
      </c>
      <c r="J22" s="783">
        <v>5.4903664000000001</v>
      </c>
      <c r="K22" s="783">
        <v>5.4903664000000001</v>
      </c>
      <c r="L22" s="783">
        <v>5.48966654</v>
      </c>
      <c r="M22" s="784">
        <v>5.4903664000000001</v>
      </c>
      <c r="N22" s="784">
        <v>5.4882668299999997</v>
      </c>
      <c r="O22" s="784">
        <v>5.48966654</v>
      </c>
      <c r="P22" s="784">
        <v>5.4889666900000007</v>
      </c>
      <c r="Q22" s="784">
        <v>5.4889666900000007</v>
      </c>
      <c r="R22" s="784">
        <v>5.48966654</v>
      </c>
      <c r="S22" s="784">
        <v>5.4889666900000007</v>
      </c>
      <c r="T22" s="784">
        <v>5.4882668299999997</v>
      </c>
      <c r="U22" s="784">
        <v>5.48966654</v>
      </c>
      <c r="V22" s="784">
        <v>5.48966654</v>
      </c>
      <c r="W22" s="784">
        <v>5.48966654</v>
      </c>
      <c r="X22" s="784">
        <v>5.48966654</v>
      </c>
      <c r="Y22" s="784">
        <v>5.48966654</v>
      </c>
      <c r="Z22" s="784">
        <v>5.48966654</v>
      </c>
      <c r="AA22" s="784">
        <v>7.3470830400000002</v>
      </c>
      <c r="AB22" s="784">
        <v>7.3379849200000002</v>
      </c>
      <c r="AC22" s="784">
        <v>7.3393846299999996</v>
      </c>
      <c r="AD22" s="784">
        <v>7.3442836199999997</v>
      </c>
      <c r="AE22" s="784">
        <v>7.33658521</v>
      </c>
      <c r="AF22" s="784">
        <v>7.3449834699999998</v>
      </c>
      <c r="AG22" s="784">
        <v>7.3344856399999996</v>
      </c>
      <c r="AH22" s="784">
        <v>1.5133652900000001</v>
      </c>
      <c r="AI22" s="784">
        <v>0</v>
      </c>
      <c r="AJ22" s="784">
        <v>0</v>
      </c>
      <c r="AK22" s="784">
        <v>0</v>
      </c>
      <c r="AL22" s="784">
        <v>0</v>
      </c>
      <c r="AM22" s="784">
        <v>0</v>
      </c>
      <c r="AN22" s="784">
        <v>0</v>
      </c>
      <c r="AO22" s="784">
        <v>0</v>
      </c>
      <c r="AP22" s="784">
        <v>0</v>
      </c>
      <c r="AQ22" s="784">
        <v>0</v>
      </c>
      <c r="AR22" s="784">
        <v>0</v>
      </c>
      <c r="AS22" s="784">
        <v>0</v>
      </c>
      <c r="AT22" s="784">
        <f>AT14-AT18</f>
        <v>0</v>
      </c>
      <c r="AU22" s="784">
        <v>0</v>
      </c>
      <c r="AV22" s="784">
        <v>0</v>
      </c>
      <c r="AW22" s="784">
        <v>0</v>
      </c>
      <c r="AX22" s="784">
        <v>0</v>
      </c>
      <c r="AY22" s="784">
        <v>0</v>
      </c>
      <c r="AZ22" s="784">
        <v>0</v>
      </c>
      <c r="BA22" s="784">
        <v>0</v>
      </c>
      <c r="BB22" s="784">
        <v>0</v>
      </c>
      <c r="BC22" s="784">
        <v>0</v>
      </c>
      <c r="BD22" s="784">
        <v>0</v>
      </c>
      <c r="BE22" s="784">
        <v>0</v>
      </c>
      <c r="BF22" s="784">
        <v>0</v>
      </c>
      <c r="BG22" s="784">
        <v>0</v>
      </c>
      <c r="BH22" s="827">
        <v>0</v>
      </c>
      <c r="BI22" s="816">
        <v>0</v>
      </c>
      <c r="BJ22" s="816">
        <v>0</v>
      </c>
      <c r="BK22" s="816">
        <v>0</v>
      </c>
      <c r="BL22" s="816">
        <v>0</v>
      </c>
      <c r="BM22" s="816">
        <v>0</v>
      </c>
      <c r="BN22" s="816">
        <v>0</v>
      </c>
      <c r="BO22" s="816">
        <v>0</v>
      </c>
      <c r="BP22" s="816">
        <v>0</v>
      </c>
      <c r="BQ22" s="816">
        <v>0</v>
      </c>
      <c r="BR22" s="816">
        <v>0</v>
      </c>
      <c r="BS22" s="816">
        <v>0</v>
      </c>
      <c r="BT22" s="816">
        <v>0</v>
      </c>
      <c r="BU22" s="816">
        <v>0</v>
      </c>
      <c r="BV22" s="816">
        <v>0</v>
      </c>
      <c r="BW22" s="816">
        <v>0</v>
      </c>
      <c r="BX22" s="816">
        <v>0</v>
      </c>
      <c r="BY22" s="816">
        <v>1.3922639999999999</v>
      </c>
      <c r="BZ22" s="816">
        <v>0.62807760000000001</v>
      </c>
      <c r="CA22" s="816">
        <v>0</v>
      </c>
      <c r="CB22" s="816">
        <v>0</v>
      </c>
      <c r="CC22" s="816">
        <v>0</v>
      </c>
      <c r="CD22" s="816">
        <v>0</v>
      </c>
      <c r="CE22" s="816">
        <v>0</v>
      </c>
      <c r="CF22" s="816">
        <v>0</v>
      </c>
      <c r="CG22" s="816">
        <v>0.59165199999999996</v>
      </c>
      <c r="CH22" s="816">
        <v>0.58254488000000004</v>
      </c>
      <c r="CI22" s="816">
        <v>0.58086643000000004</v>
      </c>
      <c r="CJ22" s="816">
        <v>0</v>
      </c>
      <c r="CK22" s="816">
        <v>0</v>
      </c>
      <c r="CL22" s="816">
        <v>0</v>
      </c>
      <c r="CM22" s="816">
        <v>0.70720000000000005</v>
      </c>
      <c r="CN22" s="816">
        <v>0</v>
      </c>
      <c r="CO22" s="816">
        <v>0</v>
      </c>
      <c r="CP22" s="816">
        <v>0</v>
      </c>
      <c r="CQ22" s="816">
        <v>0</v>
      </c>
      <c r="CR22" s="816">
        <v>0</v>
      </c>
      <c r="CS22" s="816">
        <v>0</v>
      </c>
      <c r="CT22" s="816">
        <v>0</v>
      </c>
      <c r="CU22" s="816">
        <v>0</v>
      </c>
      <c r="CV22" s="816">
        <v>0</v>
      </c>
      <c r="CW22" s="816">
        <v>0</v>
      </c>
      <c r="CX22" s="816">
        <v>0</v>
      </c>
      <c r="CY22" s="816">
        <v>0</v>
      </c>
      <c r="CZ22" s="816">
        <v>0</v>
      </c>
      <c r="DA22" s="816">
        <v>0</v>
      </c>
      <c r="DB22" s="816">
        <v>0</v>
      </c>
      <c r="DC22" s="816">
        <v>0</v>
      </c>
      <c r="DD22" s="816">
        <v>0</v>
      </c>
      <c r="DE22" s="816">
        <v>0</v>
      </c>
      <c r="DF22" s="816">
        <v>0</v>
      </c>
      <c r="DG22" s="816">
        <v>0</v>
      </c>
      <c r="DH22" s="816">
        <v>0</v>
      </c>
      <c r="DI22" s="816">
        <v>0</v>
      </c>
      <c r="DJ22" s="816">
        <v>0</v>
      </c>
      <c r="DK22" s="816">
        <v>0</v>
      </c>
      <c r="DL22" s="816">
        <v>0</v>
      </c>
      <c r="DM22" s="816">
        <v>0</v>
      </c>
      <c r="DN22" s="816">
        <v>0</v>
      </c>
      <c r="DO22" s="816">
        <v>0</v>
      </c>
      <c r="DP22" s="816">
        <v>0</v>
      </c>
      <c r="DQ22" s="816">
        <v>0</v>
      </c>
      <c r="DR22" s="816">
        <v>0</v>
      </c>
      <c r="DS22" s="816">
        <v>0</v>
      </c>
      <c r="DT22" s="816">
        <v>0</v>
      </c>
      <c r="DU22" s="816">
        <v>0</v>
      </c>
      <c r="DV22" s="816">
        <v>0</v>
      </c>
      <c r="DW22" s="816">
        <v>0</v>
      </c>
      <c r="DX22" s="816">
        <v>0</v>
      </c>
      <c r="DY22" s="816">
        <v>0</v>
      </c>
      <c r="DZ22" s="816">
        <v>0</v>
      </c>
      <c r="EA22" s="816">
        <v>0</v>
      </c>
      <c r="EB22" s="816">
        <v>0</v>
      </c>
      <c r="EC22" s="816">
        <v>0</v>
      </c>
      <c r="ED22" s="816">
        <v>0</v>
      </c>
      <c r="EE22" s="816">
        <v>0</v>
      </c>
      <c r="EF22" s="816">
        <v>0</v>
      </c>
      <c r="EG22" s="816">
        <v>0</v>
      </c>
      <c r="EH22" s="816">
        <v>0</v>
      </c>
      <c r="EI22" s="816">
        <v>0</v>
      </c>
      <c r="EJ22" s="816">
        <v>0</v>
      </c>
      <c r="EK22" s="816">
        <v>0</v>
      </c>
      <c r="EL22" s="816">
        <v>0</v>
      </c>
      <c r="EM22" s="816">
        <v>0</v>
      </c>
      <c r="EN22" s="816">
        <v>0</v>
      </c>
      <c r="EO22" s="816">
        <v>0</v>
      </c>
      <c r="EP22" s="816">
        <v>0</v>
      </c>
      <c r="EQ22" s="816">
        <v>0</v>
      </c>
      <c r="ER22" s="816">
        <v>0</v>
      </c>
      <c r="ES22" s="816">
        <v>0</v>
      </c>
      <c r="ET22" s="816">
        <v>0</v>
      </c>
      <c r="EU22" s="816">
        <v>0</v>
      </c>
      <c r="EV22" s="816">
        <v>0</v>
      </c>
      <c r="EW22" s="816">
        <v>0</v>
      </c>
      <c r="EX22" s="816">
        <v>0</v>
      </c>
      <c r="EY22" s="816">
        <v>0</v>
      </c>
      <c r="EZ22" s="816">
        <v>0</v>
      </c>
      <c r="FA22" s="816">
        <v>0</v>
      </c>
      <c r="FB22" s="816">
        <v>0</v>
      </c>
      <c r="FC22" s="816">
        <v>0</v>
      </c>
      <c r="FD22" s="816">
        <v>0</v>
      </c>
      <c r="FE22" s="816">
        <v>0</v>
      </c>
      <c r="FF22" s="816">
        <v>0</v>
      </c>
      <c r="FG22" s="816">
        <v>0</v>
      </c>
      <c r="FH22" s="1716" t="s">
        <v>4067</v>
      </c>
    </row>
    <row r="23" spans="1:164" ht="21">
      <c r="A23" s="1745" t="s">
        <v>1962</v>
      </c>
      <c r="B23" s="780">
        <f>+B21-B22</f>
        <v>5.002120360000001</v>
      </c>
      <c r="C23" s="783">
        <f t="shared" ref="C23:V23" si="6">+C21-C22</f>
        <v>0.41973043000000043</v>
      </c>
      <c r="D23" s="783">
        <f t="shared" si="6"/>
        <v>0.26708984999999963</v>
      </c>
      <c r="E23" s="783">
        <f t="shared" si="6"/>
        <v>0.25468469000000038</v>
      </c>
      <c r="F23" s="783">
        <f t="shared" si="6"/>
        <v>0.10357909000000021</v>
      </c>
      <c r="G23" s="783">
        <f t="shared" si="6"/>
        <v>0.48134685000000044</v>
      </c>
      <c r="H23" s="783">
        <f t="shared" si="6"/>
        <v>0.47547311000000025</v>
      </c>
      <c r="I23" s="783">
        <f t="shared" si="6"/>
        <v>0.45734382000000018</v>
      </c>
      <c r="J23" s="783">
        <f t="shared" si="6"/>
        <v>0.4620922399999996</v>
      </c>
      <c r="K23" s="783">
        <f t="shared" si="6"/>
        <v>7.3677110000000212E-2</v>
      </c>
      <c r="L23" s="783">
        <f t="shared" si="6"/>
        <v>9.2455430000000227E-2</v>
      </c>
      <c r="M23" s="784">
        <f t="shared" si="6"/>
        <v>0.12597268000000028</v>
      </c>
      <c r="N23" s="784">
        <f t="shared" si="6"/>
        <v>7.9944010000000176E-2</v>
      </c>
      <c r="O23" s="784">
        <f t="shared" si="6"/>
        <v>7.9946129999999727E-2</v>
      </c>
      <c r="P23" s="781">
        <f t="shared" si="6"/>
        <v>3.1006706599999996</v>
      </c>
      <c r="Q23" s="781">
        <f t="shared" si="6"/>
        <v>3.1006744900000003</v>
      </c>
      <c r="R23" s="781">
        <f t="shared" si="6"/>
        <v>3.8738300999999993</v>
      </c>
      <c r="S23" s="781">
        <f t="shared" si="6"/>
        <v>3.862477919999999</v>
      </c>
      <c r="T23" s="781">
        <f t="shared" si="6"/>
        <v>3.8519232099999998</v>
      </c>
      <c r="U23" s="781">
        <f t="shared" si="6"/>
        <v>3.9855520899999988</v>
      </c>
      <c r="V23" s="781">
        <f t="shared" si="6"/>
        <v>5.8725001299999988</v>
      </c>
      <c r="W23" s="781">
        <v>5.8567186600000003</v>
      </c>
      <c r="X23" s="781">
        <v>5.7294076900000004</v>
      </c>
      <c r="Y23" s="784">
        <v>5.6988838000000008</v>
      </c>
      <c r="Z23" s="781">
        <v>5.7137295899999998</v>
      </c>
      <c r="AA23" s="784">
        <v>7.4022109900000013</v>
      </c>
      <c r="AB23" s="784">
        <v>6.9530480699999995</v>
      </c>
      <c r="AC23" s="784">
        <v>7.6929070799999995</v>
      </c>
      <c r="AD23" s="784">
        <v>9.4989659199999998</v>
      </c>
      <c r="AE23" s="784">
        <v>17.639832719999998</v>
      </c>
      <c r="AF23" s="784">
        <v>21.408820339999998</v>
      </c>
      <c r="AG23" s="784">
        <v>30.034317379999994</v>
      </c>
      <c r="AH23" s="784">
        <f>+AH21-AH22</f>
        <v>36.396418409999995</v>
      </c>
      <c r="AI23" s="784">
        <v>42.182006149999999</v>
      </c>
      <c r="AJ23" s="784">
        <f>+AJ21-AJ22</f>
        <v>46.905181720000002</v>
      </c>
      <c r="AK23" s="784">
        <f>+AK21-AK22</f>
        <v>59.453121430000003</v>
      </c>
      <c r="AL23" s="784">
        <v>56.12931854</v>
      </c>
      <c r="AM23" s="784">
        <f>+AM21-AM22</f>
        <v>54.994271670000003</v>
      </c>
      <c r="AN23" s="784">
        <f>+AN21-AN22</f>
        <v>51.816730380000003</v>
      </c>
      <c r="AO23" s="784">
        <f>+AO21-AO22</f>
        <v>50.350400149999999</v>
      </c>
      <c r="AP23" s="784">
        <f>+AP21-AP22</f>
        <v>43.807388270000004</v>
      </c>
      <c r="AQ23" s="784">
        <v>43.300481390000002</v>
      </c>
      <c r="AR23" s="784">
        <f>+AR21-AR22</f>
        <v>43.571215350000003</v>
      </c>
      <c r="AS23" s="784">
        <f>+AS21-AS22</f>
        <v>42.172041819999997</v>
      </c>
      <c r="AT23" s="784">
        <f>AT15-AT19</f>
        <v>41.090646279999994</v>
      </c>
      <c r="AU23" s="784">
        <v>38.787058979999998</v>
      </c>
      <c r="AV23" s="784">
        <v>42.06614562</v>
      </c>
      <c r="AW23" s="784">
        <v>41.002214479999999</v>
      </c>
      <c r="AX23" s="784">
        <v>43.598514080000001</v>
      </c>
      <c r="AY23" s="784">
        <v>33.797158519999996</v>
      </c>
      <c r="AZ23" s="784">
        <v>22.07726933</v>
      </c>
      <c r="BA23" s="784">
        <v>20.551904090000001</v>
      </c>
      <c r="BB23" s="784">
        <v>24.646458050000003</v>
      </c>
      <c r="BC23" s="784">
        <v>24.661609829999996</v>
      </c>
      <c r="BD23" s="784">
        <f>+BD21-BD22</f>
        <v>24.659301940000002</v>
      </c>
      <c r="BE23" s="784">
        <v>20.67727923</v>
      </c>
      <c r="BF23" s="784">
        <v>16.454217659999998</v>
      </c>
      <c r="BG23" s="784">
        <v>16.454217659999998</v>
      </c>
      <c r="BH23" s="827">
        <v>13.903099879999999</v>
      </c>
      <c r="BI23" s="816">
        <v>9.3894822899999966</v>
      </c>
      <c r="BJ23" s="816">
        <v>9.3894822899999966</v>
      </c>
      <c r="BK23" s="816">
        <v>9.3894822900000001</v>
      </c>
      <c r="BL23" s="816">
        <v>9.3889299999999984</v>
      </c>
      <c r="BM23" s="816">
        <v>9.388930000000002</v>
      </c>
      <c r="BN23" s="816">
        <v>9.3889299999999984</v>
      </c>
      <c r="BO23" s="816">
        <v>9.3889299999999984</v>
      </c>
      <c r="BP23" s="816">
        <v>7.6889300000000027</v>
      </c>
      <c r="BQ23" s="816">
        <v>5.9193660000000001</v>
      </c>
      <c r="BR23" s="816">
        <v>5.9193660000000001</v>
      </c>
      <c r="BS23" s="816">
        <v>5.9193660000000001</v>
      </c>
      <c r="BT23" s="816">
        <v>5.9193660000000001</v>
      </c>
      <c r="BU23" s="816">
        <v>2.5499999999922807E-4</v>
      </c>
      <c r="BV23" s="816">
        <v>2.5499999999922807E-4</v>
      </c>
      <c r="BW23" s="816">
        <v>2.5499999999922807E-4</v>
      </c>
      <c r="BX23" s="816">
        <v>2.5499999999922807E-4</v>
      </c>
      <c r="BY23" s="816">
        <v>2.5500000000011624E-4</v>
      </c>
      <c r="BZ23" s="816">
        <v>2.5500000000022727E-4</v>
      </c>
      <c r="CA23" s="816">
        <v>2.5500000000278078E-4</v>
      </c>
      <c r="CB23" s="816">
        <v>0</v>
      </c>
      <c r="CC23" s="816">
        <v>0</v>
      </c>
      <c r="CD23" s="816">
        <v>0</v>
      </c>
      <c r="CE23" s="816">
        <f t="shared" ref="CE23:CO23" si="7">+CE21-CE22</f>
        <v>0</v>
      </c>
      <c r="CF23" s="816">
        <f t="shared" si="7"/>
        <v>0</v>
      </c>
      <c r="CG23" s="816">
        <f t="shared" si="7"/>
        <v>0</v>
      </c>
      <c r="CH23" s="816">
        <f t="shared" si="7"/>
        <v>0</v>
      </c>
      <c r="CI23" s="816">
        <f t="shared" si="7"/>
        <v>0</v>
      </c>
      <c r="CJ23" s="816">
        <f t="shared" si="7"/>
        <v>0</v>
      </c>
      <c r="CK23" s="816">
        <f t="shared" si="7"/>
        <v>0</v>
      </c>
      <c r="CL23" s="816">
        <f t="shared" si="7"/>
        <v>0</v>
      </c>
      <c r="CM23" s="816">
        <f t="shared" si="7"/>
        <v>0</v>
      </c>
      <c r="CN23" s="816">
        <f t="shared" si="7"/>
        <v>0</v>
      </c>
      <c r="CO23" s="816">
        <f t="shared" si="7"/>
        <v>0</v>
      </c>
      <c r="CP23" s="816">
        <f>+CP21-CP22</f>
        <v>0</v>
      </c>
      <c r="CQ23" s="816">
        <f>+CQ21-CQ22</f>
        <v>0</v>
      </c>
      <c r="CR23" s="816">
        <f>+CR21-CR22</f>
        <v>0</v>
      </c>
      <c r="CS23" s="816">
        <f>+CS21-CS22</f>
        <v>0</v>
      </c>
      <c r="CT23" s="816">
        <v>7.8400953600000003</v>
      </c>
      <c r="CU23" s="816">
        <v>7.8400953600000003</v>
      </c>
      <c r="CV23" s="816">
        <v>8.1545953600000001</v>
      </c>
      <c r="CW23" s="816">
        <v>10.364595359999999</v>
      </c>
      <c r="CX23" s="816">
        <v>8.1889000000000003</v>
      </c>
      <c r="CY23" s="816">
        <v>8.1889000000000003</v>
      </c>
      <c r="CZ23" s="816">
        <v>2.3051959499999999</v>
      </c>
      <c r="DA23" s="816">
        <v>0</v>
      </c>
      <c r="DB23" s="816">
        <v>0</v>
      </c>
      <c r="DC23" s="816">
        <v>0.49980000000000002</v>
      </c>
      <c r="DD23" s="816">
        <v>0.45962219999999998</v>
      </c>
      <c r="DE23" s="816">
        <v>0.41891025999999998</v>
      </c>
      <c r="DF23" s="816">
        <v>0.37827411</v>
      </c>
      <c r="DG23" s="816">
        <v>0.33709257999999998</v>
      </c>
      <c r="DH23" s="816">
        <v>0.29604894999999998</v>
      </c>
      <c r="DI23" s="816">
        <v>0.25442037000000001</v>
      </c>
      <c r="DJ23" s="816">
        <v>0.2125976</v>
      </c>
      <c r="DK23" s="816">
        <v>0.17079225000000001</v>
      </c>
      <c r="DL23" s="816">
        <v>0.12840840000000001</v>
      </c>
      <c r="DM23" s="816">
        <v>8.6104689999999998E-2</v>
      </c>
      <c r="DN23" s="816">
        <v>8.6104689999999998E-2</v>
      </c>
      <c r="DO23" s="816">
        <v>0</v>
      </c>
      <c r="DP23" s="816">
        <v>0</v>
      </c>
      <c r="DQ23" s="816">
        <v>0</v>
      </c>
      <c r="DR23" s="816">
        <v>0.49980000000000002</v>
      </c>
      <c r="DS23" s="816">
        <v>0.45966356000000003</v>
      </c>
      <c r="DT23" s="816">
        <v>0.41909864000000002</v>
      </c>
      <c r="DU23" s="816">
        <v>0.37813408999999998</v>
      </c>
      <c r="DV23" s="816">
        <v>0.67709357999999997</v>
      </c>
      <c r="DW23" s="816">
        <v>0.67709357999999997</v>
      </c>
      <c r="DX23" s="816">
        <v>0.59447461999999995</v>
      </c>
      <c r="DY23" s="816">
        <v>0.59447461999999995</v>
      </c>
      <c r="DZ23" s="816">
        <v>0.55256419000000001</v>
      </c>
      <c r="EA23" s="816">
        <v>0.51064043999999997</v>
      </c>
      <c r="EB23" s="816">
        <v>0.46852226000000002</v>
      </c>
      <c r="EC23" s="816">
        <v>0.42597570000000001</v>
      </c>
      <c r="ED23" s="816">
        <v>0.34</v>
      </c>
      <c r="EE23" s="816">
        <v>0.34</v>
      </c>
      <c r="EF23" s="816">
        <v>0.34</v>
      </c>
      <c r="EG23" s="816">
        <v>0.76500000000000001</v>
      </c>
      <c r="EH23" s="816">
        <v>0.76500000000000001</v>
      </c>
      <c r="EI23" s="816">
        <v>0.76500000000000001</v>
      </c>
      <c r="EJ23" s="816">
        <v>1.4190069999999999</v>
      </c>
      <c r="EK23" s="816">
        <v>1.48349851</v>
      </c>
      <c r="EL23" s="816">
        <v>0.90713569000000005</v>
      </c>
      <c r="EM23" s="816">
        <v>0.11401509</v>
      </c>
      <c r="EN23" s="816">
        <v>8.5758100000000004E-2</v>
      </c>
      <c r="EO23" s="816">
        <v>5.735295E-2</v>
      </c>
      <c r="EP23" s="816">
        <v>0</v>
      </c>
      <c r="EQ23" s="816">
        <v>0</v>
      </c>
      <c r="ER23" s="816">
        <v>0</v>
      </c>
      <c r="ES23" s="816">
        <v>0</v>
      </c>
      <c r="ET23" s="816">
        <v>0</v>
      </c>
      <c r="EU23" s="816">
        <v>0</v>
      </c>
      <c r="EV23" s="816">
        <v>0</v>
      </c>
      <c r="EW23" s="816">
        <v>0.51</v>
      </c>
      <c r="EX23" s="816">
        <v>0.34431202</v>
      </c>
      <c r="EY23" s="816">
        <v>0.43234682000000002</v>
      </c>
      <c r="EZ23" s="816">
        <v>0.255</v>
      </c>
      <c r="FA23" s="816">
        <v>0.255</v>
      </c>
      <c r="FB23" s="816">
        <v>0.255</v>
      </c>
      <c r="FC23" s="816">
        <v>4.5662969000000002</v>
      </c>
      <c r="FD23" s="816">
        <v>4.6357980000000003</v>
      </c>
      <c r="FE23" s="816">
        <v>4.6357980000000003</v>
      </c>
      <c r="FF23" s="816">
        <v>4.6357980000000003</v>
      </c>
      <c r="FG23" s="816">
        <v>4.6357980000000003</v>
      </c>
      <c r="FH23" s="1716" t="s">
        <v>4066</v>
      </c>
    </row>
    <row r="24" spans="1:164" ht="21">
      <c r="A24" s="1721"/>
      <c r="B24" s="783"/>
      <c r="C24" s="783"/>
      <c r="D24" s="783"/>
      <c r="E24" s="783"/>
      <c r="F24" s="783"/>
      <c r="G24" s="783"/>
      <c r="H24" s="783"/>
      <c r="I24" s="783"/>
      <c r="J24" s="783"/>
      <c r="K24" s="783"/>
      <c r="L24" s="783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84"/>
      <c r="AF24" s="784"/>
      <c r="AG24" s="784"/>
      <c r="AH24" s="784"/>
      <c r="AI24" s="784"/>
      <c r="AJ24" s="784"/>
      <c r="AK24" s="784"/>
      <c r="AL24" s="784"/>
      <c r="AM24" s="784"/>
      <c r="AN24" s="784"/>
      <c r="AO24" s="784"/>
      <c r="AP24" s="784"/>
      <c r="AQ24" s="784"/>
      <c r="AR24" s="784"/>
      <c r="AS24" s="784"/>
      <c r="AT24" s="784"/>
      <c r="AU24" s="784"/>
      <c r="AV24" s="784"/>
      <c r="AW24" s="784"/>
      <c r="AX24" s="784"/>
      <c r="AY24" s="784"/>
      <c r="AZ24" s="784"/>
      <c r="BA24" s="784"/>
      <c r="BB24" s="784"/>
      <c r="BC24" s="784"/>
      <c r="BD24" s="784"/>
      <c r="BE24" s="784"/>
      <c r="BF24" s="784"/>
      <c r="BG24" s="784"/>
      <c r="BH24" s="827"/>
      <c r="BI24" s="816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/>
      <c r="CI24" s="816"/>
      <c r="CJ24" s="816"/>
      <c r="CK24" s="816"/>
      <c r="CL24" s="816"/>
      <c r="CM24" s="816"/>
      <c r="CN24" s="816"/>
      <c r="CO24" s="816"/>
      <c r="CP24" s="816"/>
      <c r="CQ24" s="816"/>
      <c r="CR24" s="816"/>
      <c r="CS24" s="816"/>
      <c r="CT24" s="816"/>
      <c r="CU24" s="816"/>
      <c r="CV24" s="816"/>
      <c r="CW24" s="816"/>
      <c r="CX24" s="816"/>
      <c r="CY24" s="816"/>
      <c r="CZ24" s="816"/>
      <c r="DA24" s="816"/>
      <c r="DB24" s="816"/>
      <c r="DC24" s="816"/>
      <c r="DD24" s="816"/>
      <c r="DE24" s="816"/>
      <c r="DF24" s="816"/>
      <c r="DG24" s="816"/>
      <c r="DH24" s="816"/>
      <c r="DI24" s="816"/>
      <c r="DJ24" s="816"/>
      <c r="DK24" s="816"/>
      <c r="DL24" s="816"/>
      <c r="DM24" s="816"/>
      <c r="DN24" s="816"/>
      <c r="DO24" s="816"/>
      <c r="DP24" s="816"/>
      <c r="DQ24" s="816"/>
      <c r="DR24" s="816"/>
      <c r="DS24" s="816"/>
      <c r="DT24" s="816"/>
      <c r="DU24" s="816"/>
      <c r="DV24" s="816"/>
      <c r="DW24" s="816"/>
      <c r="DX24" s="816"/>
      <c r="DY24" s="816"/>
      <c r="DZ24" s="816"/>
      <c r="EA24" s="816"/>
      <c r="EB24" s="816"/>
      <c r="EC24" s="816"/>
      <c r="ED24" s="816"/>
      <c r="EE24" s="816"/>
      <c r="EF24" s="816"/>
      <c r="EG24" s="816"/>
      <c r="EH24" s="816"/>
      <c r="EI24" s="816"/>
      <c r="EJ24" s="816"/>
      <c r="EK24" s="816"/>
      <c r="EL24" s="816"/>
      <c r="EM24" s="816"/>
      <c r="EN24" s="816"/>
      <c r="EO24" s="816"/>
      <c r="EP24" s="816"/>
      <c r="EQ24" s="816"/>
      <c r="ER24" s="816"/>
      <c r="ES24" s="816"/>
      <c r="ET24" s="816"/>
      <c r="EU24" s="816"/>
      <c r="EV24" s="816"/>
      <c r="EW24" s="816"/>
      <c r="EX24" s="816"/>
      <c r="EY24" s="816"/>
      <c r="EZ24" s="816"/>
      <c r="FA24" s="816"/>
      <c r="FB24" s="816"/>
      <c r="FC24" s="816"/>
      <c r="FD24" s="816"/>
      <c r="FE24" s="816"/>
      <c r="FF24" s="816"/>
      <c r="FG24" s="816"/>
      <c r="FH24" s="1711"/>
    </row>
    <row r="25" spans="1:164" ht="21">
      <c r="A25" s="1722" t="s">
        <v>2743</v>
      </c>
      <c r="B25" s="780">
        <v>217.59365288000001</v>
      </c>
      <c r="C25" s="783">
        <v>132.02244039999999</v>
      </c>
      <c r="D25" s="783">
        <v>131.95162292000001</v>
      </c>
      <c r="E25" s="783">
        <v>143.37946730000002</v>
      </c>
      <c r="F25" s="783">
        <v>43.116281389999997</v>
      </c>
      <c r="G25" s="783">
        <v>44.29055769</v>
      </c>
      <c r="H25" s="783">
        <v>46.330583289999993</v>
      </c>
      <c r="I25" s="783">
        <v>45.249789460000002</v>
      </c>
      <c r="J25" s="783">
        <v>44.891910340000003</v>
      </c>
      <c r="K25" s="783">
        <v>43.552754670000006</v>
      </c>
      <c r="L25" s="783">
        <v>43.274679070000005</v>
      </c>
      <c r="M25" s="781">
        <v>43.843093629999998</v>
      </c>
      <c r="N25" s="784">
        <v>43.35239722</v>
      </c>
      <c r="O25" s="784">
        <v>42.868527180000001</v>
      </c>
      <c r="P25" s="781">
        <v>42.837083079999999</v>
      </c>
      <c r="Q25" s="781">
        <v>35.755139450000001</v>
      </c>
      <c r="R25" s="781">
        <v>35.692706000000001</v>
      </c>
      <c r="S25" s="781">
        <v>36.023123300000002</v>
      </c>
      <c r="T25" s="781">
        <v>34.219030410000002</v>
      </c>
      <c r="U25" s="781">
        <v>35.199056560000002</v>
      </c>
      <c r="V25" s="781">
        <v>33.819401659999997</v>
      </c>
      <c r="W25" s="781">
        <v>35.123177370000001</v>
      </c>
      <c r="X25" s="781">
        <v>35.233906689999998</v>
      </c>
      <c r="Y25" s="781">
        <v>30.856423279999998</v>
      </c>
      <c r="Z25" s="781">
        <v>30.692379219999999</v>
      </c>
      <c r="AA25" s="784">
        <v>61.251105549999998</v>
      </c>
      <c r="AB25" s="781">
        <v>60.602438899999996</v>
      </c>
      <c r="AC25" s="781">
        <v>59.522359709999996</v>
      </c>
      <c r="AD25" s="781">
        <v>65.689262040000003</v>
      </c>
      <c r="AE25" s="781">
        <v>63.965177269999998</v>
      </c>
      <c r="AF25" s="781">
        <v>60.036893759999998</v>
      </c>
      <c r="AG25" s="781">
        <v>65.930118730000004</v>
      </c>
      <c r="AH25" s="781">
        <v>53.302167030000007</v>
      </c>
      <c r="AI25" s="781">
        <v>51.959012429999994</v>
      </c>
      <c r="AJ25" s="781">
        <v>50.603105239999998</v>
      </c>
      <c r="AK25" s="781">
        <v>56.927638260000002</v>
      </c>
      <c r="AL25" s="781">
        <v>56.228288500000005</v>
      </c>
      <c r="AM25" s="781">
        <v>54.994271670000003</v>
      </c>
      <c r="AN25" s="781">
        <v>55.472929380000004</v>
      </c>
      <c r="AO25" s="781">
        <v>57.011581210000003</v>
      </c>
      <c r="AP25" s="781">
        <v>54.746592960000001</v>
      </c>
      <c r="AQ25" s="781">
        <v>52.87247618</v>
      </c>
      <c r="AR25" s="781">
        <v>49.718984670000005</v>
      </c>
      <c r="AS25" s="781">
        <v>48.075745789999999</v>
      </c>
      <c r="AT25" s="781">
        <f>AT9-AT13</f>
        <v>50.125112090000002</v>
      </c>
      <c r="AU25" s="781">
        <v>41.652563920000006</v>
      </c>
      <c r="AV25" s="781">
        <v>68.092537460000017</v>
      </c>
      <c r="AW25" s="781">
        <v>56.893210840000009</v>
      </c>
      <c r="AX25" s="781">
        <v>59.604695110000009</v>
      </c>
      <c r="AY25" s="781">
        <v>56.481886559999992</v>
      </c>
      <c r="AZ25" s="781">
        <v>68.97451636000001</v>
      </c>
      <c r="BA25" s="781">
        <v>70.677484860000007</v>
      </c>
      <c r="BB25" s="781">
        <v>74.967540369999995</v>
      </c>
      <c r="BC25" s="781">
        <v>67.441228660000007</v>
      </c>
      <c r="BD25" s="781">
        <v>64.402341719999995</v>
      </c>
      <c r="BE25" s="781">
        <v>63.686633459999996</v>
      </c>
      <c r="BF25" s="781">
        <v>62.55410337</v>
      </c>
      <c r="BG25" s="781">
        <v>61.422411099999998</v>
      </c>
      <c r="BH25" s="826">
        <v>60.549867989999989</v>
      </c>
      <c r="BI25" s="815">
        <v>59.388146819999996</v>
      </c>
      <c r="BJ25" s="815">
        <v>49.723442540000001</v>
      </c>
      <c r="BK25" s="815">
        <v>61.087715040000006</v>
      </c>
      <c r="BL25" s="815">
        <v>59.39395059000001</v>
      </c>
      <c r="BM25" s="815">
        <v>56.791343300000008</v>
      </c>
      <c r="BN25" s="815">
        <v>53.873499059999993</v>
      </c>
      <c r="BO25" s="815">
        <v>52.845100510000002</v>
      </c>
      <c r="BP25" s="815">
        <v>47.308214709999994</v>
      </c>
      <c r="BQ25" s="815">
        <v>56.324266200000004</v>
      </c>
      <c r="BR25" s="815">
        <v>51.604106480000006</v>
      </c>
      <c r="BS25" s="815">
        <v>50.483899059999992</v>
      </c>
      <c r="BT25" s="815">
        <v>47.763326629999987</v>
      </c>
      <c r="BU25" s="815">
        <v>46.152741799999994</v>
      </c>
      <c r="BV25" s="815">
        <v>45.190113449999998</v>
      </c>
      <c r="BW25" s="815">
        <v>42.759018460000007</v>
      </c>
      <c r="BX25" s="815">
        <v>43.619681799999995</v>
      </c>
      <c r="BY25" s="815">
        <v>42.733792780000009</v>
      </c>
      <c r="BZ25" s="815">
        <v>39.84076609000001</v>
      </c>
      <c r="CA25" s="815">
        <v>38.941857750000004</v>
      </c>
      <c r="CB25" s="815">
        <v>37.246150730000004</v>
      </c>
      <c r="CC25" s="815">
        <v>34.743146689999996</v>
      </c>
      <c r="CD25" s="815">
        <v>33.829707839999998</v>
      </c>
      <c r="CE25" s="815">
        <v>32.533461630000005</v>
      </c>
      <c r="CF25" s="815">
        <v>30.02103129</v>
      </c>
      <c r="CG25" s="815">
        <v>29.020958829999998</v>
      </c>
      <c r="CH25" s="815">
        <v>27.900274840000002</v>
      </c>
      <c r="CI25" s="815">
        <v>25.188725999999999</v>
      </c>
      <c r="CJ25" s="815">
        <v>24.071181939999999</v>
      </c>
      <c r="CK25" s="815">
        <v>22.92712058</v>
      </c>
      <c r="CL25" s="815">
        <v>22.178239969999996</v>
      </c>
      <c r="CM25" s="815">
        <v>21.39506888</v>
      </c>
      <c r="CN25" s="815">
        <v>20.137862070000001</v>
      </c>
      <c r="CO25" s="815">
        <v>11.366101879999999</v>
      </c>
      <c r="CP25" s="815">
        <v>11.68299987</v>
      </c>
      <c r="CQ25" s="815">
        <v>1.5033656099999999</v>
      </c>
      <c r="CR25" s="815">
        <v>1.7758262600000001</v>
      </c>
      <c r="CS25" s="815">
        <v>1.66766422</v>
      </c>
      <c r="CT25" s="815">
        <v>256.57178924999999</v>
      </c>
      <c r="CU25" s="815">
        <v>256.49279940000002</v>
      </c>
      <c r="CV25" s="815">
        <v>256.36733699000001</v>
      </c>
      <c r="CW25" s="815">
        <v>256.34346547000001</v>
      </c>
      <c r="CX25" s="815">
        <v>256.31988577999999</v>
      </c>
      <c r="CY25" s="815">
        <v>256.30932589000003</v>
      </c>
      <c r="CZ25" s="815">
        <v>256.29854862000002</v>
      </c>
      <c r="DA25" s="815">
        <v>256.28782308000001</v>
      </c>
      <c r="DB25" s="815">
        <v>255.29819928000001</v>
      </c>
      <c r="DC25" s="815">
        <v>255.28724510000001</v>
      </c>
      <c r="DD25" s="815">
        <v>255.27626672</v>
      </c>
      <c r="DE25" s="815">
        <v>255.56189651</v>
      </c>
      <c r="DF25" s="815">
        <v>255.3340542</v>
      </c>
      <c r="DG25" s="815">
        <v>255.32006973</v>
      </c>
      <c r="DH25" s="815">
        <v>255.34580385999999</v>
      </c>
      <c r="DI25" s="815">
        <v>255.38996166000001</v>
      </c>
      <c r="DJ25" s="815">
        <v>257.14483331999998</v>
      </c>
      <c r="DK25" s="815">
        <v>257.12721500999999</v>
      </c>
      <c r="DL25" s="815">
        <v>214.60924897000001</v>
      </c>
      <c r="DM25" s="815">
        <v>213.03974165</v>
      </c>
      <c r="DN25" s="815">
        <v>237.75443476999999</v>
      </c>
      <c r="DO25" s="815">
        <v>230.65655104999999</v>
      </c>
      <c r="DP25" s="815">
        <v>240.84468482</v>
      </c>
      <c r="DQ25" s="815">
        <v>229.16801426000001</v>
      </c>
      <c r="DR25" s="815">
        <v>186.24228269</v>
      </c>
      <c r="DS25" s="815">
        <v>185.45902128</v>
      </c>
      <c r="DT25" s="815">
        <v>201.51560216999999</v>
      </c>
      <c r="DU25" s="815">
        <v>203.70333661999999</v>
      </c>
      <c r="DV25" s="815">
        <v>231.44506898</v>
      </c>
      <c r="DW25" s="815">
        <v>257.20372407000002</v>
      </c>
      <c r="DX25" s="815">
        <v>247.94000468999999</v>
      </c>
      <c r="DY25" s="815">
        <v>273.74326529000001</v>
      </c>
      <c r="DZ25" s="815">
        <v>312.71363035000002</v>
      </c>
      <c r="EA25" s="815">
        <v>334.07054242999999</v>
      </c>
      <c r="EB25" s="815">
        <v>340.19536816999999</v>
      </c>
      <c r="EC25" s="815">
        <v>371.47868571999999</v>
      </c>
      <c r="ED25" s="815">
        <v>324.81147547</v>
      </c>
      <c r="EE25" s="815">
        <v>332.84753424000002</v>
      </c>
      <c r="EF25" s="815">
        <v>353.92847196999998</v>
      </c>
      <c r="EG25" s="815">
        <v>349.44418887</v>
      </c>
      <c r="EH25" s="815">
        <v>370.64773079999998</v>
      </c>
      <c r="EI25" s="815">
        <v>358.77651815000002</v>
      </c>
      <c r="EJ25" s="815">
        <v>348.68228364999999</v>
      </c>
      <c r="EK25" s="815">
        <v>343.27052780000002</v>
      </c>
      <c r="EL25" s="815">
        <v>351.79503194</v>
      </c>
      <c r="EM25" s="815">
        <v>345.88430562999997</v>
      </c>
      <c r="EN25" s="815">
        <v>346.94674771000001</v>
      </c>
      <c r="EO25" s="815">
        <v>304.75961190999999</v>
      </c>
      <c r="EP25" s="815">
        <v>305.71563491000001</v>
      </c>
      <c r="EQ25" s="815">
        <v>310.00062985</v>
      </c>
      <c r="ER25" s="815">
        <v>306.40312173000001</v>
      </c>
      <c r="ES25" s="815">
        <v>308.74860460000002</v>
      </c>
      <c r="ET25" s="815">
        <v>302.33521812999999</v>
      </c>
      <c r="EU25" s="815">
        <v>302.52740657999999</v>
      </c>
      <c r="EV25" s="815">
        <v>296.32544159999998</v>
      </c>
      <c r="EW25" s="815">
        <v>289.90610559999999</v>
      </c>
      <c r="EX25" s="815">
        <v>297.96326590000001</v>
      </c>
      <c r="EY25" s="815">
        <v>287.84644846999998</v>
      </c>
      <c r="EZ25" s="815">
        <v>299.58720090000003</v>
      </c>
      <c r="FA25" s="815">
        <v>289.16075555999998</v>
      </c>
      <c r="FB25" s="815">
        <v>282.48541471999999</v>
      </c>
      <c r="FC25" s="815">
        <v>275.57268237</v>
      </c>
      <c r="FD25" s="815">
        <v>268.77357678999999</v>
      </c>
      <c r="FE25" s="815">
        <v>261.9566122</v>
      </c>
      <c r="FF25" s="815">
        <v>260.80000203999998</v>
      </c>
      <c r="FG25" s="815">
        <v>254.9228454</v>
      </c>
      <c r="FH25" s="1710" t="s">
        <v>4065</v>
      </c>
    </row>
    <row r="26" spans="1:164" ht="21">
      <c r="A26" s="1723" t="s">
        <v>1961</v>
      </c>
      <c r="B26" s="783">
        <v>109.82095099999999</v>
      </c>
      <c r="C26" s="783">
        <v>109.703183</v>
      </c>
      <c r="D26" s="783">
        <v>109.698183</v>
      </c>
      <c r="E26" s="783">
        <v>109.45785100000001</v>
      </c>
      <c r="F26" s="783">
        <v>9.4428509999999992</v>
      </c>
      <c r="G26" s="783">
        <v>9.4030509999999996</v>
      </c>
      <c r="H26" s="783">
        <v>11.38133</v>
      </c>
      <c r="I26" s="783">
        <v>11.054500000000001</v>
      </c>
      <c r="J26" s="783">
        <v>10.779500000000001</v>
      </c>
      <c r="K26" s="783">
        <v>10.5495</v>
      </c>
      <c r="L26" s="783">
        <v>10.339499999999999</v>
      </c>
      <c r="M26" s="784">
        <v>10.189500000000001</v>
      </c>
      <c r="N26" s="784">
        <v>9.7895000000000003</v>
      </c>
      <c r="O26" s="784">
        <v>9.4395000000000007</v>
      </c>
      <c r="P26" s="784">
        <v>9.4395000000000007</v>
      </c>
      <c r="Q26" s="784">
        <v>8.9894999999999996</v>
      </c>
      <c r="R26" s="784">
        <v>8.6230630000000001</v>
      </c>
      <c r="S26" s="784">
        <v>8.2730630000000005</v>
      </c>
      <c r="T26" s="784">
        <v>7.923063</v>
      </c>
      <c r="U26" s="784">
        <v>7.5730630000000003</v>
      </c>
      <c r="V26" s="784">
        <v>7.2230629999999998</v>
      </c>
      <c r="W26" s="784">
        <v>6.923063</v>
      </c>
      <c r="X26" s="784">
        <v>6.6044999999999998</v>
      </c>
      <c r="Y26" s="784">
        <v>6.2545000000000002</v>
      </c>
      <c r="Z26" s="784">
        <v>6.1544999999999996</v>
      </c>
      <c r="AA26" s="784">
        <v>30.742000000000001</v>
      </c>
      <c r="AB26" s="784">
        <v>30.042000000000002</v>
      </c>
      <c r="AC26" s="784">
        <v>29.22983417</v>
      </c>
      <c r="AD26" s="784">
        <v>35.875834170000005</v>
      </c>
      <c r="AE26" s="784">
        <v>34.556342969999996</v>
      </c>
      <c r="AF26" s="784">
        <v>33.275042390000003</v>
      </c>
      <c r="AG26" s="784">
        <v>39.542024390000002</v>
      </c>
      <c r="AH26" s="784">
        <v>34.480093250000003</v>
      </c>
      <c r="AI26" s="784">
        <v>33.616718299999995</v>
      </c>
      <c r="AJ26" s="784">
        <v>32.776145640000003</v>
      </c>
      <c r="AK26" s="784">
        <v>32.133548529999999</v>
      </c>
      <c r="AL26" s="784">
        <v>31.379427979999999</v>
      </c>
      <c r="AM26" s="784">
        <v>0</v>
      </c>
      <c r="AN26" s="784">
        <v>29.445901750000001</v>
      </c>
      <c r="AO26" s="784">
        <v>32.266423410000002</v>
      </c>
      <c r="AP26" s="784">
        <v>30.185632200000001</v>
      </c>
      <c r="AQ26" s="784">
        <v>28.086202829999998</v>
      </c>
      <c r="AR26" s="784">
        <v>26.39009274</v>
      </c>
      <c r="AS26" s="784">
        <v>24.508873170000001</v>
      </c>
      <c r="AT26" s="784">
        <f>AT10-AT14</f>
        <v>25.982158550000001</v>
      </c>
      <c r="AU26" s="784">
        <v>23.432755660000002</v>
      </c>
      <c r="AV26" s="784">
        <v>49.645195659999999</v>
      </c>
      <c r="AW26" s="784">
        <v>51.666771699999998</v>
      </c>
      <c r="AX26" s="784">
        <v>54.262324899999996</v>
      </c>
      <c r="AY26" s="784">
        <v>51.674734899999997</v>
      </c>
      <c r="AZ26" s="784">
        <v>65.08411246</v>
      </c>
      <c r="BA26" s="784">
        <v>65.939891240000009</v>
      </c>
      <c r="BB26" s="784">
        <v>65.748473700000005</v>
      </c>
      <c r="BC26" s="784">
        <v>57.915310600000005</v>
      </c>
      <c r="BD26" s="784">
        <v>55.264352819999999</v>
      </c>
      <c r="BE26" s="784">
        <v>54.577801829999999</v>
      </c>
      <c r="BF26" s="784">
        <v>54.331089810000002</v>
      </c>
      <c r="BG26" s="784">
        <v>53.604283550000005</v>
      </c>
      <c r="BH26" s="827">
        <v>52.750414829999997</v>
      </c>
      <c r="BI26" s="816">
        <v>51.612337960000005</v>
      </c>
      <c r="BJ26" s="816">
        <v>42.36714345</v>
      </c>
      <c r="BK26" s="816">
        <v>40.99879207</v>
      </c>
      <c r="BL26" s="816">
        <v>39.328081230000002</v>
      </c>
      <c r="BM26" s="816">
        <v>38.16989006</v>
      </c>
      <c r="BN26" s="816">
        <v>36.866625620000001</v>
      </c>
      <c r="BO26" s="816">
        <v>35.859079789999996</v>
      </c>
      <c r="BP26" s="816">
        <v>34.817243409999996</v>
      </c>
      <c r="BQ26" s="816">
        <v>45.438266660000004</v>
      </c>
      <c r="BR26" s="816">
        <v>40.729273570000004</v>
      </c>
      <c r="BS26" s="816">
        <v>39.672666399999997</v>
      </c>
      <c r="BT26" s="816">
        <v>38.616435339999995</v>
      </c>
      <c r="BU26" s="816">
        <v>37.068372289999999</v>
      </c>
      <c r="BV26" s="816">
        <v>35.945855510000001</v>
      </c>
      <c r="BW26" s="816">
        <v>35.118421040000001</v>
      </c>
      <c r="BX26" s="816">
        <v>35.98912704</v>
      </c>
      <c r="BY26" s="816">
        <v>35.113414580000004</v>
      </c>
      <c r="BZ26" s="816">
        <v>33.824450140000003</v>
      </c>
      <c r="CA26" s="816">
        <v>32.935849560000001</v>
      </c>
      <c r="CB26" s="816">
        <v>31.25086254</v>
      </c>
      <c r="CC26" s="816">
        <v>30.352338619999998</v>
      </c>
      <c r="CD26" s="816">
        <v>29.449716079999998</v>
      </c>
      <c r="CE26" s="816">
        <v>28.314360640000004</v>
      </c>
      <c r="CF26" s="816">
        <v>27.55791511</v>
      </c>
      <c r="CG26" s="816">
        <v>26.721485250000001</v>
      </c>
      <c r="CH26" s="816">
        <v>25.765518489999998</v>
      </c>
      <c r="CI26" s="816">
        <v>24.814408809999996</v>
      </c>
      <c r="CJ26" s="816">
        <v>23.86485828</v>
      </c>
      <c r="CK26" s="816">
        <v>22.890285169999999</v>
      </c>
      <c r="CL26" s="816">
        <v>22.153460169999999</v>
      </c>
      <c r="CM26" s="816">
        <v>21.3825602</v>
      </c>
      <c r="CN26" s="816">
        <v>20.137862070000001</v>
      </c>
      <c r="CO26" s="816">
        <v>11.366101879999999</v>
      </c>
      <c r="CP26" s="816">
        <v>10.599789510000001</v>
      </c>
      <c r="CQ26" s="816">
        <v>0.43272221</v>
      </c>
      <c r="CR26" s="816">
        <v>0.34789143</v>
      </c>
      <c r="CS26" s="816">
        <v>0.26221234000000004</v>
      </c>
      <c r="CT26" s="816">
        <v>255.17567646000001</v>
      </c>
      <c r="CU26" s="816">
        <v>255.08827522000001</v>
      </c>
      <c r="CV26" s="816">
        <v>255</v>
      </c>
      <c r="CW26" s="816">
        <v>255</v>
      </c>
      <c r="CX26" s="816">
        <v>255</v>
      </c>
      <c r="CY26" s="816">
        <v>255</v>
      </c>
      <c r="CZ26" s="816">
        <v>255</v>
      </c>
      <c r="DA26" s="816">
        <v>255</v>
      </c>
      <c r="DB26" s="816">
        <v>255</v>
      </c>
      <c r="DC26" s="816">
        <v>255</v>
      </c>
      <c r="DD26" s="816">
        <v>255</v>
      </c>
      <c r="DE26" s="816">
        <v>255</v>
      </c>
      <c r="DF26" s="816">
        <v>255</v>
      </c>
      <c r="DG26" s="816">
        <v>255</v>
      </c>
      <c r="DH26" s="816">
        <v>255</v>
      </c>
      <c r="DI26" s="816">
        <v>255</v>
      </c>
      <c r="DJ26" s="816">
        <v>255</v>
      </c>
      <c r="DK26" s="816">
        <v>255</v>
      </c>
      <c r="DL26" s="816">
        <v>212.5</v>
      </c>
      <c r="DM26" s="816">
        <v>212.5</v>
      </c>
      <c r="DN26" s="816">
        <v>237.184</v>
      </c>
      <c r="DO26" s="816">
        <v>230.06244519000001</v>
      </c>
      <c r="DP26" s="816">
        <v>240.27335149000001</v>
      </c>
      <c r="DQ26" s="816">
        <v>228.31997842000001</v>
      </c>
      <c r="DR26" s="816">
        <v>185.40361494999999</v>
      </c>
      <c r="DS26" s="816">
        <v>183.14157581000001</v>
      </c>
      <c r="DT26" s="816">
        <v>199.15740824</v>
      </c>
      <c r="DU26" s="816">
        <v>201.39077915999999</v>
      </c>
      <c r="DV26" s="816">
        <v>229.19583703999999</v>
      </c>
      <c r="DW26" s="816">
        <v>255.01655445</v>
      </c>
      <c r="DX26" s="816">
        <v>245.08250938</v>
      </c>
      <c r="DY26" s="816">
        <v>268.85692736999999</v>
      </c>
      <c r="DZ26" s="816">
        <v>307.85537169000003</v>
      </c>
      <c r="EA26" s="816">
        <v>328.84181409000001</v>
      </c>
      <c r="EB26" s="816">
        <v>328.84181409000001</v>
      </c>
      <c r="EC26" s="816">
        <v>360.00598008999998</v>
      </c>
      <c r="ED26" s="816">
        <v>309.85598009</v>
      </c>
      <c r="EE26" s="816">
        <v>317.90341568000002</v>
      </c>
      <c r="EF26" s="816">
        <v>338.93114845999997</v>
      </c>
      <c r="EG26" s="816">
        <v>334.33021568999999</v>
      </c>
      <c r="EH26" s="816">
        <v>355.51848414</v>
      </c>
      <c r="EI26" s="816">
        <v>343.69026191</v>
      </c>
      <c r="EJ26" s="816">
        <v>333.61613919000001</v>
      </c>
      <c r="EK26" s="816">
        <v>328.26304176000002</v>
      </c>
      <c r="EL26" s="816">
        <v>336.86008974999999</v>
      </c>
      <c r="EM26" s="816">
        <v>344.48840675999998</v>
      </c>
      <c r="EN26" s="816">
        <v>344.99840676000002</v>
      </c>
      <c r="EO26" s="816">
        <v>302.87005216</v>
      </c>
      <c r="EP26" s="816">
        <v>303.75405216000001</v>
      </c>
      <c r="EQ26" s="816">
        <v>308.12320734999997</v>
      </c>
      <c r="ER26" s="816">
        <v>304.41604601</v>
      </c>
      <c r="ES26" s="816">
        <v>306.44010701000002</v>
      </c>
      <c r="ET26" s="816">
        <v>300.14389962000001</v>
      </c>
      <c r="EU26" s="816">
        <v>300.36908072</v>
      </c>
      <c r="EV26" s="816">
        <v>293.97969009000002</v>
      </c>
      <c r="EW26" s="816">
        <v>287.62948037000001</v>
      </c>
      <c r="EX26" s="816">
        <v>292.22819131</v>
      </c>
      <c r="EY26" s="816">
        <v>285.61543504000002</v>
      </c>
      <c r="EZ26" s="816">
        <v>278.88599822999998</v>
      </c>
      <c r="FA26" s="816">
        <v>272.17096944000002</v>
      </c>
      <c r="FB26" s="816">
        <v>265.58131838999998</v>
      </c>
      <c r="FC26" s="816">
        <v>258.80288707</v>
      </c>
      <c r="FD26" s="816">
        <v>252.02510792999999</v>
      </c>
      <c r="FE26" s="816">
        <v>245.26887855000001</v>
      </c>
      <c r="FF26" s="816">
        <v>238.41443429</v>
      </c>
      <c r="FG26" s="816">
        <v>231.55744503</v>
      </c>
      <c r="FH26" s="1712" t="s">
        <v>4067</v>
      </c>
    </row>
    <row r="27" spans="1:164" ht="21">
      <c r="A27" s="1723" t="s">
        <v>1962</v>
      </c>
      <c r="B27" s="780">
        <f>+B25-B26</f>
        <v>107.77270188000001</v>
      </c>
      <c r="C27" s="783">
        <f t="shared" ref="C27:V27" si="8">+C25-C26</f>
        <v>22.319257399999998</v>
      </c>
      <c r="D27" s="783">
        <f t="shared" si="8"/>
        <v>22.253439920000005</v>
      </c>
      <c r="E27" s="783">
        <f t="shared" si="8"/>
        <v>33.921616300000011</v>
      </c>
      <c r="F27" s="783">
        <f t="shared" si="8"/>
        <v>33.67343039</v>
      </c>
      <c r="G27" s="783">
        <f t="shared" si="8"/>
        <v>34.887506690000002</v>
      </c>
      <c r="H27" s="783">
        <f t="shared" si="8"/>
        <v>34.949253289999994</v>
      </c>
      <c r="I27" s="783">
        <f t="shared" si="8"/>
        <v>34.195289459999998</v>
      </c>
      <c r="J27" s="783">
        <f t="shared" si="8"/>
        <v>34.112410340000004</v>
      </c>
      <c r="K27" s="783">
        <f t="shared" si="8"/>
        <v>33.003254670000004</v>
      </c>
      <c r="L27" s="783">
        <f t="shared" si="8"/>
        <v>32.935179070000004</v>
      </c>
      <c r="M27" s="784">
        <f t="shared" si="8"/>
        <v>33.653593629999996</v>
      </c>
      <c r="N27" s="784">
        <f t="shared" si="8"/>
        <v>33.562897219999996</v>
      </c>
      <c r="O27" s="784">
        <f t="shared" si="8"/>
        <v>33.429027179999999</v>
      </c>
      <c r="P27" s="781">
        <f t="shared" si="8"/>
        <v>33.397583079999997</v>
      </c>
      <c r="Q27" s="781">
        <f t="shared" si="8"/>
        <v>26.765639450000002</v>
      </c>
      <c r="R27" s="781">
        <f t="shared" si="8"/>
        <v>27.069642999999999</v>
      </c>
      <c r="S27" s="781">
        <f t="shared" si="8"/>
        <v>27.750060300000001</v>
      </c>
      <c r="T27" s="781">
        <f t="shared" si="8"/>
        <v>26.295967410000003</v>
      </c>
      <c r="U27" s="781">
        <f t="shared" si="8"/>
        <v>27.625993560000001</v>
      </c>
      <c r="V27" s="781">
        <f t="shared" si="8"/>
        <v>26.596338659999997</v>
      </c>
      <c r="W27" s="781">
        <v>28.200114370000001</v>
      </c>
      <c r="X27" s="781">
        <v>28.629406689999996</v>
      </c>
      <c r="Y27" s="784">
        <v>24.601923279999998</v>
      </c>
      <c r="Z27" s="781">
        <v>24.537879220000001</v>
      </c>
      <c r="AA27" s="784">
        <v>30.509105549999997</v>
      </c>
      <c r="AB27" s="784">
        <v>30.560438899999994</v>
      </c>
      <c r="AC27" s="784">
        <v>30.292525539999996</v>
      </c>
      <c r="AD27" s="784">
        <v>29.813427869999998</v>
      </c>
      <c r="AE27" s="784">
        <v>29.408834300000002</v>
      </c>
      <c r="AF27" s="784">
        <v>26.761851369999995</v>
      </c>
      <c r="AG27" s="784">
        <v>26.388094340000002</v>
      </c>
      <c r="AH27" s="784">
        <f>+AH25-AH26</f>
        <v>18.822073780000004</v>
      </c>
      <c r="AI27" s="784">
        <v>18.342294129999999</v>
      </c>
      <c r="AJ27" s="784">
        <f>+AJ25-AJ26</f>
        <v>17.826959599999995</v>
      </c>
      <c r="AK27" s="784">
        <f>+AK25-AK26</f>
        <v>24.794089730000003</v>
      </c>
      <c r="AL27" s="784">
        <v>24.848860520000006</v>
      </c>
      <c r="AM27" s="784">
        <f>+AM25-AM26</f>
        <v>54.994271670000003</v>
      </c>
      <c r="AN27" s="784">
        <f>+AN25-AN26</f>
        <v>26.027027630000003</v>
      </c>
      <c r="AO27" s="784">
        <f>+AO25-AO26</f>
        <v>24.745157800000001</v>
      </c>
      <c r="AP27" s="784">
        <f>+AP25-AP26</f>
        <v>24.56096076</v>
      </c>
      <c r="AQ27" s="784">
        <v>24.786273350000002</v>
      </c>
      <c r="AR27" s="784">
        <f>+AR25-AR26</f>
        <v>23.328891930000005</v>
      </c>
      <c r="AS27" s="784">
        <f>+AS25-AS26</f>
        <v>23.566872619999998</v>
      </c>
      <c r="AT27" s="784">
        <f>AT11-AT15</f>
        <v>24.142953540000008</v>
      </c>
      <c r="AU27" s="784">
        <v>18.219808260000008</v>
      </c>
      <c r="AV27" s="784">
        <v>18.447341800000018</v>
      </c>
      <c r="AW27" s="784">
        <v>5.2264391400000108</v>
      </c>
      <c r="AX27" s="784">
        <v>5.3423702100000128</v>
      </c>
      <c r="AY27" s="784">
        <v>4.8071516599999953</v>
      </c>
      <c r="AZ27" s="784">
        <v>3.8904039000000097</v>
      </c>
      <c r="BA27" s="784">
        <v>4.7375936199999984</v>
      </c>
      <c r="BB27" s="784">
        <v>9.2190666699999895</v>
      </c>
      <c r="BC27" s="784">
        <v>9.5259180600000022</v>
      </c>
      <c r="BD27" s="784">
        <f>+BD25-BD26</f>
        <v>9.1379888999999963</v>
      </c>
      <c r="BE27" s="784">
        <v>9.1088316299999974</v>
      </c>
      <c r="BF27" s="784">
        <v>8.2230135599999983</v>
      </c>
      <c r="BG27" s="784">
        <v>7.8181275499999927</v>
      </c>
      <c r="BH27" s="827">
        <v>7.7994531599999917</v>
      </c>
      <c r="BI27" s="816">
        <v>7.7758088599999908</v>
      </c>
      <c r="BJ27" s="816">
        <v>7.3562990900000003</v>
      </c>
      <c r="BK27" s="816">
        <v>20.088922970000006</v>
      </c>
      <c r="BL27" s="816">
        <v>20.065869360000008</v>
      </c>
      <c r="BM27" s="816">
        <v>18.621453240000008</v>
      </c>
      <c r="BN27" s="816">
        <v>17.006873439999993</v>
      </c>
      <c r="BO27" s="816">
        <v>16.986020720000006</v>
      </c>
      <c r="BP27" s="816">
        <v>12.490971299999998</v>
      </c>
      <c r="BQ27" s="816">
        <v>10.88599954</v>
      </c>
      <c r="BR27" s="816">
        <v>10.874832910000002</v>
      </c>
      <c r="BS27" s="816">
        <v>10.811232659999995</v>
      </c>
      <c r="BT27" s="816">
        <v>9.1468912899999921</v>
      </c>
      <c r="BU27" s="816">
        <v>9.0843695099999948</v>
      </c>
      <c r="BV27" s="816">
        <v>9.2442579400000007</v>
      </c>
      <c r="BW27" s="816">
        <v>7.6405974200000024</v>
      </c>
      <c r="BX27" s="816">
        <v>7.630554759999999</v>
      </c>
      <c r="BY27" s="816">
        <v>7.6203782000000082</v>
      </c>
      <c r="BZ27" s="816">
        <v>6.0163159500000098</v>
      </c>
      <c r="CA27" s="816">
        <v>6.0060081900000029</v>
      </c>
      <c r="CB27" s="816">
        <v>5.9952881900000046</v>
      </c>
      <c r="CC27" s="816">
        <v>4.3908080699999985</v>
      </c>
      <c r="CD27" s="816">
        <v>4.3799917599999993</v>
      </c>
      <c r="CE27" s="816">
        <f t="shared" ref="CE27:CN27" si="9">+CE11-CE15</f>
        <v>4.219100990000002</v>
      </c>
      <c r="CF27" s="816">
        <f t="shared" si="9"/>
        <v>2.4631161800000014</v>
      </c>
      <c r="CG27" s="816">
        <f t="shared" si="9"/>
        <v>2.2994735799999977</v>
      </c>
      <c r="CH27" s="816">
        <f t="shared" si="9"/>
        <v>2.134756350000004</v>
      </c>
      <c r="CI27" s="816">
        <f t="shared" si="9"/>
        <v>0.37431719000000208</v>
      </c>
      <c r="CJ27" s="816">
        <f t="shared" si="9"/>
        <v>0.20632366000000157</v>
      </c>
      <c r="CK27" s="816">
        <f t="shared" si="9"/>
        <v>3.68354100000019E-2</v>
      </c>
      <c r="CL27" s="816">
        <f t="shared" si="9"/>
        <v>2.4779799999998575E-2</v>
      </c>
      <c r="CM27" s="816">
        <f t="shared" si="9"/>
        <v>1.2508680000000272E-2</v>
      </c>
      <c r="CN27" s="816">
        <f t="shared" si="9"/>
        <v>-4.4408920985006262E-16</v>
      </c>
      <c r="CO27" s="816">
        <f>+CO25-CO26</f>
        <v>0</v>
      </c>
      <c r="CP27" s="816">
        <f>+CP25-CP26</f>
        <v>1.0832103599999989</v>
      </c>
      <c r="CQ27" s="816">
        <f>+CQ25-CQ26</f>
        <v>1.0706433999999998</v>
      </c>
      <c r="CR27" s="816">
        <f>+CR25-CR26</f>
        <v>1.4279348300000001</v>
      </c>
      <c r="CS27" s="816">
        <f>+CS25-CS26</f>
        <v>1.40545188</v>
      </c>
      <c r="CT27" s="816">
        <v>1.3961127900000001</v>
      </c>
      <c r="CU27" s="816">
        <v>1.4045241799999999</v>
      </c>
      <c r="CV27" s="816">
        <v>1.3673369900000001</v>
      </c>
      <c r="CW27" s="816">
        <v>1.3434654699999999</v>
      </c>
      <c r="CX27" s="816">
        <v>1.3198857799999999</v>
      </c>
      <c r="CY27" s="816">
        <v>1.30932589</v>
      </c>
      <c r="CZ27" s="816">
        <v>1.29854862</v>
      </c>
      <c r="DA27" s="816">
        <v>1.2878230799999999</v>
      </c>
      <c r="DB27" s="816">
        <v>0.29819928000000001</v>
      </c>
      <c r="DC27" s="816">
        <v>0.28724509999999998</v>
      </c>
      <c r="DD27" s="816">
        <v>0.27626672000000002</v>
      </c>
      <c r="DE27" s="816">
        <v>0.56189650999999996</v>
      </c>
      <c r="DF27" s="816">
        <v>0.33405420000000002</v>
      </c>
      <c r="DG27" s="816">
        <v>0.32006973</v>
      </c>
      <c r="DH27" s="816">
        <v>0.34580386000000002</v>
      </c>
      <c r="DI27" s="816">
        <v>0.38996165999999999</v>
      </c>
      <c r="DJ27" s="816">
        <v>2.14483332</v>
      </c>
      <c r="DK27" s="816">
        <v>2.12721501</v>
      </c>
      <c r="DL27" s="816">
        <v>2.1092489699999999</v>
      </c>
      <c r="DM27" s="816">
        <v>0.53974164999999996</v>
      </c>
      <c r="DN27" s="816">
        <v>0.57043476999999998</v>
      </c>
      <c r="DO27" s="816">
        <v>0.59410585999999999</v>
      </c>
      <c r="DP27" s="816">
        <v>0.57133332999999997</v>
      </c>
      <c r="DQ27" s="816">
        <v>0.84803583999999999</v>
      </c>
      <c r="DR27" s="816">
        <v>0.83866773999999999</v>
      </c>
      <c r="DS27" s="816">
        <v>2.31744547</v>
      </c>
      <c r="DT27" s="816">
        <v>2.3581939300000001</v>
      </c>
      <c r="DU27" s="816">
        <v>2.3125574599999998</v>
      </c>
      <c r="DV27" s="816">
        <v>2.24923194</v>
      </c>
      <c r="DW27" s="816">
        <v>2.1871696200000001</v>
      </c>
      <c r="DX27" s="816">
        <v>2.85749531</v>
      </c>
      <c r="DY27" s="816">
        <v>4.8863379199999999</v>
      </c>
      <c r="DZ27" s="816">
        <v>4.8582586599999997</v>
      </c>
      <c r="EA27" s="816">
        <v>5.22872834</v>
      </c>
      <c r="EB27" s="816">
        <v>11.35355408</v>
      </c>
      <c r="EC27" s="816">
        <v>11.47270563</v>
      </c>
      <c r="ED27" s="816">
        <v>14.95549538</v>
      </c>
      <c r="EE27" s="816">
        <v>14.94411856</v>
      </c>
      <c r="EF27" s="816">
        <v>14.997323509999999</v>
      </c>
      <c r="EG27" s="816">
        <v>15.11397318</v>
      </c>
      <c r="EH27" s="816">
        <v>15.12924666</v>
      </c>
      <c r="EI27" s="816">
        <v>15.086256240000001</v>
      </c>
      <c r="EJ27" s="816">
        <v>15.06614446</v>
      </c>
      <c r="EK27" s="816">
        <v>15.00748604</v>
      </c>
      <c r="EL27" s="816">
        <v>14.934942189999999</v>
      </c>
      <c r="EM27" s="816">
        <v>1.3958988699999999</v>
      </c>
      <c r="EN27" s="816">
        <v>1.94834095</v>
      </c>
      <c r="EO27" s="816">
        <v>1.8895597500000001</v>
      </c>
      <c r="EP27" s="816">
        <v>1.96158275</v>
      </c>
      <c r="EQ27" s="816">
        <v>1.8774225</v>
      </c>
      <c r="ER27" s="816">
        <v>1.98707572</v>
      </c>
      <c r="ES27" s="816">
        <v>2.30849759</v>
      </c>
      <c r="ET27" s="816">
        <v>2.1913185099999999</v>
      </c>
      <c r="EU27" s="816">
        <v>2.1583258600000002</v>
      </c>
      <c r="EV27" s="816">
        <v>2.3457515099999999</v>
      </c>
      <c r="EW27" s="816">
        <v>2.2766252300000001</v>
      </c>
      <c r="EX27" s="816">
        <v>5.73507459</v>
      </c>
      <c r="EY27" s="816">
        <v>2.23101343</v>
      </c>
      <c r="EZ27" s="816">
        <v>20.701202670000001</v>
      </c>
      <c r="FA27" s="816">
        <v>16.989786120000002</v>
      </c>
      <c r="FB27" s="816">
        <v>16.904096330000002</v>
      </c>
      <c r="FC27" s="816">
        <v>16.769795299999998</v>
      </c>
      <c r="FD27" s="816">
        <v>16.748468859999999</v>
      </c>
      <c r="FE27" s="816">
        <v>16.687733649999998</v>
      </c>
      <c r="FF27" s="816">
        <v>22.38556775</v>
      </c>
      <c r="FG27" s="816">
        <v>23.36540037</v>
      </c>
      <c r="FH27" s="1712" t="s">
        <v>4066</v>
      </c>
    </row>
    <row r="28" spans="1:164" ht="21">
      <c r="A28" s="1721"/>
      <c r="B28" s="783"/>
      <c r="C28" s="783"/>
      <c r="D28" s="783"/>
      <c r="E28" s="783"/>
      <c r="F28" s="783"/>
      <c r="G28" s="783"/>
      <c r="H28" s="783"/>
      <c r="I28" s="783"/>
      <c r="J28" s="783"/>
      <c r="K28" s="783"/>
      <c r="L28" s="783"/>
      <c r="M28" s="784"/>
      <c r="N28" s="784"/>
      <c r="O28" s="784"/>
      <c r="P28" s="784"/>
      <c r="Q28" s="784"/>
      <c r="R28" s="784"/>
      <c r="S28" s="784"/>
      <c r="T28" s="784"/>
      <c r="U28" s="784"/>
      <c r="V28" s="784"/>
      <c r="W28" s="784"/>
      <c r="X28" s="784"/>
      <c r="Y28" s="784"/>
      <c r="Z28" s="784"/>
      <c r="AA28" s="784"/>
      <c r="AB28" s="784"/>
      <c r="AC28" s="784"/>
      <c r="AD28" s="784"/>
      <c r="AE28" s="784"/>
      <c r="AF28" s="784"/>
      <c r="AG28" s="784"/>
      <c r="AH28" s="784"/>
      <c r="AI28" s="784"/>
      <c r="AJ28" s="784"/>
      <c r="AK28" s="784"/>
      <c r="AL28" s="784"/>
      <c r="AM28" s="784"/>
      <c r="AN28" s="784"/>
      <c r="AO28" s="784"/>
      <c r="AP28" s="784"/>
      <c r="AQ28" s="784"/>
      <c r="AR28" s="784"/>
      <c r="AS28" s="784"/>
      <c r="AT28" s="784"/>
      <c r="AU28" s="784"/>
      <c r="AV28" s="784"/>
      <c r="AW28" s="784"/>
      <c r="AX28" s="784"/>
      <c r="AY28" s="784"/>
      <c r="AZ28" s="784"/>
      <c r="BA28" s="784"/>
      <c r="BB28" s="784"/>
      <c r="BC28" s="784"/>
      <c r="BD28" s="784"/>
      <c r="BE28" s="784"/>
      <c r="BF28" s="784"/>
      <c r="BG28" s="784"/>
      <c r="BH28" s="827"/>
      <c r="BI28" s="816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6"/>
      <c r="CN28" s="816"/>
      <c r="CO28" s="816"/>
      <c r="CP28" s="816"/>
      <c r="CQ28" s="816"/>
      <c r="CR28" s="816"/>
      <c r="CS28" s="816"/>
      <c r="CT28" s="816"/>
      <c r="CU28" s="816"/>
      <c r="CV28" s="816"/>
      <c r="CW28" s="816"/>
      <c r="CX28" s="816"/>
      <c r="CY28" s="816"/>
      <c r="CZ28" s="816"/>
      <c r="DA28" s="816"/>
      <c r="DB28" s="816"/>
      <c r="DC28" s="816"/>
      <c r="DD28" s="816"/>
      <c r="DE28" s="816"/>
      <c r="DF28" s="816"/>
      <c r="DG28" s="816"/>
      <c r="DH28" s="816"/>
      <c r="DI28" s="816"/>
      <c r="DJ28" s="816"/>
      <c r="DK28" s="816"/>
      <c r="DL28" s="816"/>
      <c r="DM28" s="816"/>
      <c r="DN28" s="816"/>
      <c r="DO28" s="816"/>
      <c r="DP28" s="816"/>
      <c r="DQ28" s="816"/>
      <c r="DR28" s="816"/>
      <c r="DS28" s="816"/>
      <c r="DT28" s="816"/>
      <c r="DU28" s="816"/>
      <c r="DV28" s="816"/>
      <c r="DW28" s="816"/>
      <c r="DX28" s="816"/>
      <c r="DY28" s="816"/>
      <c r="DZ28" s="816"/>
      <c r="EA28" s="816"/>
      <c r="EB28" s="816"/>
      <c r="EC28" s="816"/>
      <c r="ED28" s="816"/>
      <c r="EE28" s="816"/>
      <c r="EF28" s="816"/>
      <c r="EG28" s="816"/>
      <c r="EH28" s="816"/>
      <c r="EI28" s="816"/>
      <c r="EJ28" s="816"/>
      <c r="EK28" s="816"/>
      <c r="EL28" s="816"/>
      <c r="EM28" s="816"/>
      <c r="EN28" s="816"/>
      <c r="EO28" s="816"/>
      <c r="EP28" s="816"/>
      <c r="EQ28" s="816"/>
      <c r="ER28" s="816"/>
      <c r="ES28" s="816"/>
      <c r="ET28" s="816"/>
      <c r="EU28" s="816"/>
      <c r="EV28" s="816"/>
      <c r="EW28" s="816"/>
      <c r="EX28" s="816"/>
      <c r="EY28" s="816"/>
      <c r="EZ28" s="816"/>
      <c r="FA28" s="816"/>
      <c r="FB28" s="816"/>
      <c r="FC28" s="816"/>
      <c r="FD28" s="816"/>
      <c r="FE28" s="816"/>
      <c r="FF28" s="816"/>
      <c r="FG28" s="816"/>
      <c r="FH28" s="1711"/>
    </row>
    <row r="29" spans="1:164" ht="21">
      <c r="A29" s="1744" t="s">
        <v>185</v>
      </c>
      <c r="B29" s="783">
        <v>202.89690722</v>
      </c>
      <c r="C29" s="783">
        <v>122.06082262</v>
      </c>
      <c r="D29" s="783">
        <v>122.01379801</v>
      </c>
      <c r="E29" s="783">
        <v>133.49290502000002</v>
      </c>
      <c r="F29" s="783">
        <v>33.415632160000001</v>
      </c>
      <c r="G29" s="783">
        <v>34.631376580000001</v>
      </c>
      <c r="H29" s="783">
        <v>36.696236839999997</v>
      </c>
      <c r="I29" s="783">
        <v>36.375384140000001</v>
      </c>
      <c r="J29" s="783">
        <v>36.022960480000002</v>
      </c>
      <c r="K29" s="783">
        <v>35.604460770000003</v>
      </c>
      <c r="L29" s="783">
        <v>35.327398340000002</v>
      </c>
      <c r="M29" s="781">
        <v>35.047598309999998</v>
      </c>
      <c r="N29" s="784">
        <v>34.558786089999998</v>
      </c>
      <c r="O29" s="784">
        <v>34.108385009999999</v>
      </c>
      <c r="P29" s="784">
        <v>34.08746198</v>
      </c>
      <c r="Q29" s="784">
        <v>27.069003500000001</v>
      </c>
      <c r="R29" s="784">
        <v>27.042250549999999</v>
      </c>
      <c r="S29" s="784">
        <v>27.383568500000003</v>
      </c>
      <c r="T29" s="784">
        <v>26.053087869999999</v>
      </c>
      <c r="U29" s="784">
        <v>27.043304730000003</v>
      </c>
      <c r="V29" s="784">
        <v>25.676000030000001</v>
      </c>
      <c r="W29" s="784">
        <v>26.568836820000001</v>
      </c>
      <c r="X29" s="784">
        <v>26.692254370000001</v>
      </c>
      <c r="Y29" s="781">
        <v>22.151104759999999</v>
      </c>
      <c r="Z29" s="784">
        <v>22.007424099999998</v>
      </c>
      <c r="AA29" s="784">
        <v>49.655092789999998</v>
      </c>
      <c r="AB29" s="781">
        <v>49.030803239999997</v>
      </c>
      <c r="AC29" s="781">
        <v>48.131590149999994</v>
      </c>
      <c r="AD29" s="781">
        <v>54.109282210000003</v>
      </c>
      <c r="AE29" s="781">
        <v>52.407863259999999</v>
      </c>
      <c r="AF29" s="781">
        <v>50.686190369999998</v>
      </c>
      <c r="AG29" s="781">
        <v>56.604038549999999</v>
      </c>
      <c r="AH29" s="781">
        <v>48.461007640000005</v>
      </c>
      <c r="AI29" s="781">
        <v>47.123910299999991</v>
      </c>
      <c r="AJ29" s="781">
        <v>45.777400350000001</v>
      </c>
      <c r="AK29" s="781">
        <v>49.789857480000002</v>
      </c>
      <c r="AL29" s="781">
        <v>48.929154150000002</v>
      </c>
      <c r="AM29" s="781">
        <v>47.805020820000003</v>
      </c>
      <c r="AN29" s="781">
        <v>46.960754520000002</v>
      </c>
      <c r="AO29" s="781">
        <v>48.722110290000003</v>
      </c>
      <c r="AP29" s="781">
        <v>46.578282980000004</v>
      </c>
      <c r="AQ29" s="781">
        <v>44.475148709999999</v>
      </c>
      <c r="AR29" s="781">
        <v>40.302461880000003</v>
      </c>
      <c r="AS29" s="781">
        <v>38.396333470000002</v>
      </c>
      <c r="AT29" s="781">
        <v>39.856745070000002</v>
      </c>
      <c r="AU29" s="781">
        <v>37.29468396</v>
      </c>
      <c r="AV29" s="781">
        <v>63.49387119</v>
      </c>
      <c r="AW29" s="781">
        <v>21.336589619999998</v>
      </c>
      <c r="AX29" s="781">
        <v>19.88609477</v>
      </c>
      <c r="AY29" s="781">
        <v>18.131269769999996</v>
      </c>
      <c r="AZ29" s="781">
        <v>17.284340650000004</v>
      </c>
      <c r="BA29" s="781">
        <v>17.109429429999999</v>
      </c>
      <c r="BB29" s="781">
        <v>16.664344249999999</v>
      </c>
      <c r="BC29" s="781">
        <v>16.353495289999998</v>
      </c>
      <c r="BD29" s="781">
        <v>15.86130153</v>
      </c>
      <c r="BE29" s="781">
        <v>15.157155590000002</v>
      </c>
      <c r="BF29" s="781">
        <v>14.912172380000001</v>
      </c>
      <c r="BG29" s="781">
        <v>14.175534890000002</v>
      </c>
      <c r="BH29" s="826">
        <v>13.322288329999999</v>
      </c>
      <c r="BI29" s="815">
        <v>12.681079710000001</v>
      </c>
      <c r="BJ29" s="815">
        <v>12.45504369</v>
      </c>
      <c r="BK29" s="815">
        <v>11.420944349999999</v>
      </c>
      <c r="BL29" s="815">
        <v>10.082761410000002</v>
      </c>
      <c r="BM29" s="815">
        <v>9.5381816599999993</v>
      </c>
      <c r="BN29" s="815">
        <v>8.8457748300000016</v>
      </c>
      <c r="BO29" s="815">
        <v>8.4462069900000003</v>
      </c>
      <c r="BP29" s="815">
        <v>8.0198547700000002</v>
      </c>
      <c r="BQ29" s="815">
        <v>7.1025138500000002</v>
      </c>
      <c r="BR29" s="815">
        <v>6.6617630500000002</v>
      </c>
      <c r="BS29" s="815">
        <v>6.22823248</v>
      </c>
      <c r="BT29" s="815">
        <v>6.22823248</v>
      </c>
      <c r="BU29" s="815">
        <v>4.8596286600000003</v>
      </c>
      <c r="BV29" s="815">
        <v>4.3657753499999989</v>
      </c>
      <c r="BW29" s="815">
        <v>4.1669706199999998</v>
      </c>
      <c r="BX29" s="815">
        <v>5.6661121999999997</v>
      </c>
      <c r="BY29" s="815">
        <v>5.4291366700000001</v>
      </c>
      <c r="BZ29" s="815">
        <v>4.7754521199999997</v>
      </c>
      <c r="CA29" s="815">
        <v>4.52097499</v>
      </c>
      <c r="CB29" s="815">
        <v>3.4783706599999999</v>
      </c>
      <c r="CC29" s="815">
        <v>3.22118584</v>
      </c>
      <c r="CD29" s="815">
        <v>2.96107129</v>
      </c>
      <c r="CE29" s="815">
        <v>2.4719541899999999</v>
      </c>
      <c r="CF29" s="815">
        <v>2.3607892000000001</v>
      </c>
      <c r="CG29" s="815">
        <v>2.1740627199999998</v>
      </c>
      <c r="CH29" s="815">
        <v>1.8666713099999999</v>
      </c>
      <c r="CI29" s="815">
        <v>1.5712985899999998</v>
      </c>
      <c r="CJ29" s="815">
        <v>1.2734999300000001</v>
      </c>
      <c r="CK29" s="815">
        <v>0.96257899000000002</v>
      </c>
      <c r="CL29" s="815">
        <v>0.87977084000000005</v>
      </c>
      <c r="CM29" s="815">
        <v>0.77623766999999999</v>
      </c>
      <c r="CN29" s="815">
        <v>0.68220828</v>
      </c>
      <c r="CO29" s="815">
        <v>0.59987235999999999</v>
      </c>
      <c r="CP29" s="815">
        <v>1.59992344</v>
      </c>
      <c r="CQ29" s="815">
        <v>1.5033656099999999</v>
      </c>
      <c r="CR29" s="815">
        <v>1.4058212600000002</v>
      </c>
      <c r="CS29" s="815">
        <v>1.3072802800000001</v>
      </c>
      <c r="CT29" s="815">
        <v>1.2207444000000001</v>
      </c>
      <c r="CU29" s="815">
        <v>1.1507376199999999</v>
      </c>
      <c r="CV29" s="815">
        <v>1.0345778800000001</v>
      </c>
      <c r="CW29" s="815">
        <v>1.0200710500000001</v>
      </c>
      <c r="CX29" s="815">
        <v>1.00577476</v>
      </c>
      <c r="CY29" s="815">
        <v>1.0047038800000001</v>
      </c>
      <c r="CZ29" s="815">
        <v>1.00361426</v>
      </c>
      <c r="DA29" s="815">
        <v>1.0025055700000001</v>
      </c>
      <c r="DB29" s="815">
        <v>2.2499330000000001E-2</v>
      </c>
      <c r="DC29" s="815">
        <v>2.1351499999999999E-2</v>
      </c>
      <c r="DD29" s="815">
        <v>2.018358E-2</v>
      </c>
      <c r="DE29" s="815">
        <v>0.31563233000000002</v>
      </c>
      <c r="DF29" s="815">
        <v>9.7786070000000003E-2</v>
      </c>
      <c r="DG29" s="815">
        <v>9.3704560000000006E-2</v>
      </c>
      <c r="DH29" s="815">
        <v>0.12951267</v>
      </c>
      <c r="DI29" s="815">
        <v>0.18390775000000001</v>
      </c>
      <c r="DJ29" s="815">
        <v>1.9489888099999999</v>
      </c>
      <c r="DK29" s="815">
        <v>1.9416044400000001</v>
      </c>
      <c r="DL29" s="815">
        <v>1.93398409</v>
      </c>
      <c r="DM29" s="815">
        <v>0.37493037000000001</v>
      </c>
      <c r="DN29" s="815">
        <v>0.41610783000000001</v>
      </c>
      <c r="DO29" s="815">
        <v>0.45033317</v>
      </c>
      <c r="DP29" s="815">
        <v>0.43812135000000002</v>
      </c>
      <c r="DQ29" s="815">
        <v>0.72557806000000002</v>
      </c>
      <c r="DR29" s="815">
        <v>0.72697666999999999</v>
      </c>
      <c r="DS29" s="815">
        <v>2.2165680600000002</v>
      </c>
      <c r="DT29" s="815">
        <v>2.2682270899999999</v>
      </c>
      <c r="DU29" s="815">
        <v>2.2335939200000001</v>
      </c>
      <c r="DV29" s="815">
        <v>2.1813250700000002</v>
      </c>
      <c r="DW29" s="815">
        <v>2.1303931199999999</v>
      </c>
      <c r="DX29" s="815">
        <v>2.81192339</v>
      </c>
      <c r="DY29" s="815">
        <v>4.8520250200000001</v>
      </c>
      <c r="DZ29" s="815">
        <v>4.8353153400000002</v>
      </c>
      <c r="EA29" s="815">
        <v>5.2172151600000003</v>
      </c>
      <c r="EB29" s="815">
        <v>11.35355408</v>
      </c>
      <c r="EC29" s="815">
        <v>11.31970563</v>
      </c>
      <c r="ED29" s="815">
        <v>14.80249538</v>
      </c>
      <c r="EE29" s="815">
        <v>14.794921950000001</v>
      </c>
      <c r="EF29" s="815">
        <v>14.851982230000001</v>
      </c>
      <c r="EG29" s="815">
        <v>14.97250972</v>
      </c>
      <c r="EH29" s="815">
        <v>14.991683650000001</v>
      </c>
      <c r="EI29" s="815">
        <v>14.95256292</v>
      </c>
      <c r="EJ29" s="815">
        <v>14.936448889999999</v>
      </c>
      <c r="EK29" s="815">
        <v>14.881759560000001</v>
      </c>
      <c r="EL29" s="815">
        <v>14.81318351</v>
      </c>
      <c r="EM29" s="815">
        <v>1.2781792599999999</v>
      </c>
      <c r="EN29" s="815">
        <v>1.83466028</v>
      </c>
      <c r="EO29" s="815">
        <v>1.7799194899999999</v>
      </c>
      <c r="EP29" s="815">
        <v>1.8560072400000001</v>
      </c>
      <c r="EQ29" s="815">
        <v>1.77595678</v>
      </c>
      <c r="ER29" s="815">
        <v>1.8897437500000001</v>
      </c>
      <c r="ES29" s="815">
        <v>2.2153613399999998</v>
      </c>
      <c r="ET29" s="815">
        <v>2.1913185099999999</v>
      </c>
      <c r="EU29" s="815">
        <v>2.1583258600000002</v>
      </c>
      <c r="EV29" s="815">
        <v>2.3457515099999999</v>
      </c>
      <c r="EW29" s="815">
        <v>2.3166252300000001</v>
      </c>
      <c r="EX29" s="815">
        <v>5.7736351199999998</v>
      </c>
      <c r="EY29" s="815">
        <v>2.2681165000000001</v>
      </c>
      <c r="EZ29" s="815">
        <v>20.736830059999999</v>
      </c>
      <c r="FA29" s="815">
        <v>17.023919379999999</v>
      </c>
      <c r="FB29" s="815">
        <v>17.05409633</v>
      </c>
      <c r="FC29" s="815">
        <v>16.91636621</v>
      </c>
      <c r="FD29" s="815">
        <v>16.891573529999999</v>
      </c>
      <c r="FE29" s="815">
        <v>16.827334530000002</v>
      </c>
      <c r="FF29" s="815">
        <v>18.271626879999999</v>
      </c>
      <c r="FG29" s="815">
        <v>19.247879380000001</v>
      </c>
      <c r="FH29" s="1714" t="s">
        <v>206</v>
      </c>
    </row>
    <row r="30" spans="1:164" ht="21">
      <c r="A30" s="1745" t="s">
        <v>1961</v>
      </c>
      <c r="B30" s="783">
        <v>109.82095099999999</v>
      </c>
      <c r="C30" s="783">
        <v>109.703183</v>
      </c>
      <c r="D30" s="783">
        <v>109.698183</v>
      </c>
      <c r="E30" s="783">
        <v>109.45785100000001</v>
      </c>
      <c r="F30" s="783">
        <v>9.4428509999999992</v>
      </c>
      <c r="G30" s="783">
        <v>9.4030509999999996</v>
      </c>
      <c r="H30" s="783">
        <v>11.38133</v>
      </c>
      <c r="I30" s="783">
        <v>11.054500000000001</v>
      </c>
      <c r="J30" s="783">
        <v>10.779500000000001</v>
      </c>
      <c r="K30" s="783">
        <v>10.5495</v>
      </c>
      <c r="L30" s="783">
        <v>10.339499999999999</v>
      </c>
      <c r="M30" s="784">
        <v>10.189500000000001</v>
      </c>
      <c r="N30" s="784">
        <v>9.7895000000000003</v>
      </c>
      <c r="O30" s="784">
        <v>9.4395000000000007</v>
      </c>
      <c r="P30" s="784">
        <v>9.4395000000000007</v>
      </c>
      <c r="Q30" s="784">
        <v>8.9894999999999996</v>
      </c>
      <c r="R30" s="784">
        <v>8.6230630000000001</v>
      </c>
      <c r="S30" s="784">
        <v>8.2730630000000005</v>
      </c>
      <c r="T30" s="784">
        <v>7.923063</v>
      </c>
      <c r="U30" s="784">
        <v>7.5730630000000003</v>
      </c>
      <c r="V30" s="784">
        <v>7.2230629999999998</v>
      </c>
      <c r="W30" s="784">
        <v>6.923063</v>
      </c>
      <c r="X30" s="784">
        <v>6.6044999999999998</v>
      </c>
      <c r="Y30" s="784">
        <v>6.2545000000000002</v>
      </c>
      <c r="Z30" s="784">
        <v>6.1544999999999996</v>
      </c>
      <c r="AA30" s="784">
        <v>30.742000000000001</v>
      </c>
      <c r="AB30" s="784">
        <v>30.042000000000002</v>
      </c>
      <c r="AC30" s="784">
        <v>29.22983417</v>
      </c>
      <c r="AD30" s="784">
        <v>35.875834170000005</v>
      </c>
      <c r="AE30" s="784">
        <v>34.556342969999996</v>
      </c>
      <c r="AF30" s="784">
        <v>33.275042390000003</v>
      </c>
      <c r="AG30" s="784">
        <v>39.542024390000002</v>
      </c>
      <c r="AH30" s="784">
        <v>34.480093250000003</v>
      </c>
      <c r="AI30" s="784">
        <v>33.616718299999995</v>
      </c>
      <c r="AJ30" s="784">
        <v>32.776145640000003</v>
      </c>
      <c r="AK30" s="784">
        <v>32.133548529999999</v>
      </c>
      <c r="AL30" s="784">
        <v>31.379427979999999</v>
      </c>
      <c r="AM30" s="784">
        <v>30.27057761</v>
      </c>
      <c r="AN30" s="784">
        <v>29.445901750000001</v>
      </c>
      <c r="AO30" s="784">
        <v>32.266423410000002</v>
      </c>
      <c r="AP30" s="784">
        <v>30.185632200000001</v>
      </c>
      <c r="AQ30" s="784">
        <v>28.086202829999998</v>
      </c>
      <c r="AR30" s="784">
        <v>26.39009274</v>
      </c>
      <c r="AS30" s="784">
        <v>24.508873170000001</v>
      </c>
      <c r="AT30" s="784">
        <v>25.982158550000001</v>
      </c>
      <c r="AU30" s="784">
        <v>23.432755660000002</v>
      </c>
      <c r="AV30" s="784">
        <v>49.645195659999999</v>
      </c>
      <c r="AW30" s="784">
        <v>20.803470699999998</v>
      </c>
      <c r="AX30" s="784">
        <v>19.3628599</v>
      </c>
      <c r="AY30" s="784">
        <v>17.685859899999997</v>
      </c>
      <c r="AZ30" s="784">
        <v>16.850378600000003</v>
      </c>
      <c r="BA30" s="784">
        <v>16.68432915</v>
      </c>
      <c r="BB30" s="784">
        <v>16.507377269999999</v>
      </c>
      <c r="BC30" s="784">
        <v>15.990351039999998</v>
      </c>
      <c r="BD30" s="784">
        <v>15.46105784</v>
      </c>
      <c r="BE30" s="784">
        <v>14.772166720000001</v>
      </c>
      <c r="BF30" s="784">
        <v>14.544175750000001</v>
      </c>
      <c r="BG30" s="784">
        <v>13.817369490000001</v>
      </c>
      <c r="BH30" s="827">
        <v>12.9658409</v>
      </c>
      <c r="BI30" s="816">
        <v>12.33881822</v>
      </c>
      <c r="BJ30" s="816">
        <v>12.11870633</v>
      </c>
      <c r="BK30" s="816">
        <v>11.093061449999999</v>
      </c>
      <c r="BL30" s="816">
        <v>9.7670019600000018</v>
      </c>
      <c r="BM30" s="816">
        <v>9.2330063199999994</v>
      </c>
      <c r="BN30" s="816">
        <v>8.5514651400000012</v>
      </c>
      <c r="BO30" s="816">
        <v>8.16276929</v>
      </c>
      <c r="BP30" s="816">
        <v>7.74749994</v>
      </c>
      <c r="BQ30" s="816">
        <v>6.8413807800000006</v>
      </c>
      <c r="BR30" s="816">
        <v>6.4117966100000006</v>
      </c>
      <c r="BS30" s="816">
        <v>5.99002985</v>
      </c>
      <c r="BT30" s="816">
        <v>5.99002985</v>
      </c>
      <c r="BU30" s="816">
        <v>4.6495835799999998</v>
      </c>
      <c r="BV30" s="816">
        <v>4.1656025099999994</v>
      </c>
      <c r="BW30" s="816">
        <v>3.9767082999999999</v>
      </c>
      <c r="BX30" s="816">
        <v>5.48589254</v>
      </c>
      <c r="BY30" s="816">
        <v>5.2590935700000001</v>
      </c>
      <c r="BZ30" s="816">
        <v>4.6157212699999999</v>
      </c>
      <c r="CA30" s="816">
        <v>4.3715519</v>
      </c>
      <c r="CB30" s="816">
        <v>3.33966757</v>
      </c>
      <c r="CC30" s="816">
        <v>3.0932128699999999</v>
      </c>
      <c r="CD30" s="816">
        <v>2.84391463</v>
      </c>
      <c r="CE30" s="816">
        <v>2.3658670000000002</v>
      </c>
      <c r="CF30" s="816">
        <v>2.2658670000000001</v>
      </c>
      <c r="CG30" s="816">
        <v>2.0904543799999997</v>
      </c>
      <c r="CH30" s="816">
        <v>1.7945276799999998</v>
      </c>
      <c r="CI30" s="816">
        <v>1.5107084099999999</v>
      </c>
      <c r="CJ30" s="816">
        <v>1.2247352300000001</v>
      </c>
      <c r="CK30" s="816">
        <v>0.92574358000000001</v>
      </c>
      <c r="CL30" s="816">
        <v>0.85499104000000004</v>
      </c>
      <c r="CM30" s="816">
        <v>0.76372898999999994</v>
      </c>
      <c r="CN30" s="816">
        <v>0.68220828</v>
      </c>
      <c r="CO30" s="816">
        <v>0.59987235999999999</v>
      </c>
      <c r="CP30" s="816">
        <v>0.51671308000000005</v>
      </c>
      <c r="CQ30" s="816">
        <v>0.43272221</v>
      </c>
      <c r="CR30" s="816">
        <v>0.34789143</v>
      </c>
      <c r="CS30" s="816">
        <v>0.26221234000000004</v>
      </c>
      <c r="CT30" s="816">
        <v>0.17567646000000001</v>
      </c>
      <c r="CU30" s="816">
        <v>8.8275220000000001E-2</v>
      </c>
      <c r="CV30" s="816">
        <v>0</v>
      </c>
      <c r="CW30" s="816">
        <v>0</v>
      </c>
      <c r="CX30" s="816">
        <v>0</v>
      </c>
      <c r="CY30" s="816">
        <v>0</v>
      </c>
      <c r="CZ30" s="816">
        <v>0</v>
      </c>
      <c r="DA30" s="816">
        <v>0</v>
      </c>
      <c r="DB30" s="816">
        <v>0</v>
      </c>
      <c r="DC30" s="816">
        <v>0</v>
      </c>
      <c r="DD30" s="816">
        <v>0</v>
      </c>
      <c r="DE30" s="816">
        <v>0</v>
      </c>
      <c r="DF30" s="816">
        <v>0</v>
      </c>
      <c r="DG30" s="816">
        <v>0</v>
      </c>
      <c r="DH30" s="816">
        <v>0</v>
      </c>
      <c r="DI30" s="816">
        <v>0</v>
      </c>
      <c r="DJ30" s="816">
        <v>0</v>
      </c>
      <c r="DK30" s="816">
        <v>0</v>
      </c>
      <c r="DL30" s="816">
        <v>0</v>
      </c>
      <c r="DM30" s="816">
        <v>0</v>
      </c>
      <c r="DN30" s="816">
        <v>0</v>
      </c>
      <c r="DO30" s="816">
        <v>0</v>
      </c>
      <c r="DP30" s="816">
        <v>0</v>
      </c>
      <c r="DQ30" s="816">
        <v>0</v>
      </c>
      <c r="DR30" s="816">
        <v>0</v>
      </c>
      <c r="DS30" s="816">
        <v>0</v>
      </c>
      <c r="DT30" s="816">
        <v>0</v>
      </c>
      <c r="DU30" s="816">
        <v>0</v>
      </c>
      <c r="DV30" s="816">
        <v>0</v>
      </c>
      <c r="DW30" s="816">
        <v>0</v>
      </c>
      <c r="DX30" s="816">
        <v>0</v>
      </c>
      <c r="DY30" s="816">
        <v>0</v>
      </c>
      <c r="DZ30" s="816">
        <v>0</v>
      </c>
      <c r="EA30" s="816">
        <v>0</v>
      </c>
      <c r="EB30" s="816">
        <v>0</v>
      </c>
      <c r="EC30" s="816">
        <v>0</v>
      </c>
      <c r="ED30" s="816">
        <v>0</v>
      </c>
      <c r="EE30" s="816">
        <v>0</v>
      </c>
      <c r="EF30" s="816">
        <v>0</v>
      </c>
      <c r="EG30" s="816">
        <v>0</v>
      </c>
      <c r="EH30" s="816">
        <v>0</v>
      </c>
      <c r="EI30" s="816">
        <v>0</v>
      </c>
      <c r="EJ30" s="816">
        <v>0</v>
      </c>
      <c r="EK30" s="816">
        <v>0</v>
      </c>
      <c r="EL30" s="816">
        <v>0</v>
      </c>
      <c r="EM30" s="816">
        <v>0</v>
      </c>
      <c r="EN30" s="816">
        <v>0</v>
      </c>
      <c r="EO30" s="816">
        <v>0</v>
      </c>
      <c r="EP30" s="816">
        <v>0</v>
      </c>
      <c r="EQ30" s="816">
        <v>0</v>
      </c>
      <c r="ER30" s="816">
        <v>0</v>
      </c>
      <c r="ES30" s="816">
        <v>0</v>
      </c>
      <c r="ET30" s="816">
        <v>0</v>
      </c>
      <c r="EU30" s="816">
        <v>0</v>
      </c>
      <c r="EV30" s="816">
        <v>0</v>
      </c>
      <c r="EW30" s="816">
        <v>0.04</v>
      </c>
      <c r="EX30" s="816">
        <v>3.8560530000000003E-2</v>
      </c>
      <c r="EY30" s="816">
        <v>3.7103070000000002E-2</v>
      </c>
      <c r="EZ30" s="816">
        <v>3.5627390000000002E-2</v>
      </c>
      <c r="FA30" s="816">
        <v>3.4133259999999999E-2</v>
      </c>
      <c r="FB30" s="816">
        <v>0.15</v>
      </c>
      <c r="FC30" s="816">
        <v>0.14657091</v>
      </c>
      <c r="FD30" s="816">
        <v>0.14310466999999999</v>
      </c>
      <c r="FE30" s="816">
        <v>0.13960088000000001</v>
      </c>
      <c r="FF30" s="816">
        <v>0.13605913</v>
      </c>
      <c r="FG30" s="816">
        <v>0.13247901000000001</v>
      </c>
      <c r="FH30" s="1716" t="s">
        <v>4067</v>
      </c>
    </row>
    <row r="31" spans="1:164" ht="21">
      <c r="A31" s="1745" t="s">
        <v>1962</v>
      </c>
      <c r="B31" s="780">
        <f>+B29-B30</f>
        <v>93.075956220000009</v>
      </c>
      <c r="C31" s="780">
        <f t="shared" ref="C31:V31" si="10">+C29-C30</f>
        <v>12.35763962</v>
      </c>
      <c r="D31" s="780">
        <f t="shared" si="10"/>
        <v>12.315615010000002</v>
      </c>
      <c r="E31" s="780">
        <f t="shared" si="10"/>
        <v>24.035054020000018</v>
      </c>
      <c r="F31" s="780">
        <f t="shared" si="10"/>
        <v>23.972781160000004</v>
      </c>
      <c r="G31" s="780">
        <f t="shared" si="10"/>
        <v>25.228325580000003</v>
      </c>
      <c r="H31" s="780">
        <f t="shared" si="10"/>
        <v>25.314906839999999</v>
      </c>
      <c r="I31" s="780">
        <f t="shared" si="10"/>
        <v>25.32088414</v>
      </c>
      <c r="J31" s="780">
        <f t="shared" si="10"/>
        <v>25.243460480000003</v>
      </c>
      <c r="K31" s="780">
        <f t="shared" si="10"/>
        <v>25.054960770000001</v>
      </c>
      <c r="L31" s="780">
        <f t="shared" si="10"/>
        <v>24.987898340000001</v>
      </c>
      <c r="M31" s="784">
        <f t="shared" si="10"/>
        <v>24.858098309999995</v>
      </c>
      <c r="N31" s="781">
        <f t="shared" si="10"/>
        <v>24.769286089999998</v>
      </c>
      <c r="O31" s="781">
        <f t="shared" si="10"/>
        <v>24.668885009999997</v>
      </c>
      <c r="P31" s="781">
        <f t="shared" si="10"/>
        <v>24.647961979999998</v>
      </c>
      <c r="Q31" s="781">
        <f t="shared" si="10"/>
        <v>18.079503500000001</v>
      </c>
      <c r="R31" s="781">
        <f t="shared" si="10"/>
        <v>18.419187549999997</v>
      </c>
      <c r="S31" s="781">
        <f t="shared" si="10"/>
        <v>19.110505500000002</v>
      </c>
      <c r="T31" s="781">
        <f t="shared" si="10"/>
        <v>18.13002487</v>
      </c>
      <c r="U31" s="781">
        <f t="shared" si="10"/>
        <v>19.470241730000001</v>
      </c>
      <c r="V31" s="781">
        <f t="shared" si="10"/>
        <v>18.452937030000001</v>
      </c>
      <c r="W31" s="781">
        <v>19.645773820000002</v>
      </c>
      <c r="X31" s="781">
        <v>20.087754369999999</v>
      </c>
      <c r="Y31" s="784">
        <v>15.896604759999999</v>
      </c>
      <c r="Z31" s="781">
        <v>15.852924099999999</v>
      </c>
      <c r="AA31" s="781">
        <v>18.913092789999997</v>
      </c>
      <c r="AB31" s="784">
        <v>18.988803239999996</v>
      </c>
      <c r="AC31" s="784">
        <v>18.901755979999994</v>
      </c>
      <c r="AD31" s="784">
        <v>18.233448039999999</v>
      </c>
      <c r="AE31" s="784">
        <v>17.851520290000003</v>
      </c>
      <c r="AF31" s="784">
        <v>17.411147979999996</v>
      </c>
      <c r="AG31" s="784">
        <v>17.062014159999997</v>
      </c>
      <c r="AH31" s="784">
        <f>+AH29-AH30</f>
        <v>13.980914390000002</v>
      </c>
      <c r="AI31" s="784">
        <v>13.507191999999996</v>
      </c>
      <c r="AJ31" s="784">
        <f>+AJ29-AJ30</f>
        <v>13.001254709999998</v>
      </c>
      <c r="AK31" s="784">
        <f>+AK29-AK30</f>
        <v>17.656308950000003</v>
      </c>
      <c r="AL31" s="784">
        <v>17.549726170000003</v>
      </c>
      <c r="AM31" s="784">
        <f>+AM29-AM30</f>
        <v>17.534443210000003</v>
      </c>
      <c r="AN31" s="784">
        <f>+AN29-AN30</f>
        <v>17.514852770000001</v>
      </c>
      <c r="AO31" s="784">
        <f>+AO29-AO30</f>
        <v>16.455686880000002</v>
      </c>
      <c r="AP31" s="784">
        <f>+AP29-AP30</f>
        <v>16.392650780000004</v>
      </c>
      <c r="AQ31" s="784">
        <v>16.388945880000001</v>
      </c>
      <c r="AR31" s="784">
        <f>+AR29-AR30</f>
        <v>13.912369140000003</v>
      </c>
      <c r="AS31" s="784">
        <f>+AS29-AS30</f>
        <v>13.887460300000001</v>
      </c>
      <c r="AT31" s="784">
        <f>+AT29-AT30</f>
        <v>13.874586520000001</v>
      </c>
      <c r="AU31" s="784">
        <v>13.861928299999999</v>
      </c>
      <c r="AV31" s="784">
        <v>13.848675530000001</v>
      </c>
      <c r="AW31" s="784">
        <v>0.53311891999999972</v>
      </c>
      <c r="AX31" s="784">
        <v>0.52323486999999957</v>
      </c>
      <c r="AY31" s="784">
        <v>0.44540986999999888</v>
      </c>
      <c r="AZ31" s="784">
        <v>0.43396205000000165</v>
      </c>
      <c r="BA31" s="784">
        <v>0.42510027999999878</v>
      </c>
      <c r="BB31" s="784">
        <v>0.15696697999999998</v>
      </c>
      <c r="BC31" s="784">
        <v>0.3631442499999995</v>
      </c>
      <c r="BD31" s="784">
        <f>+BD29-BD30</f>
        <v>0.40024368999999993</v>
      </c>
      <c r="BE31" s="784">
        <v>0.38498887000000082</v>
      </c>
      <c r="BF31" s="784">
        <v>0.36799663000000038</v>
      </c>
      <c r="BG31" s="784">
        <v>0.35816540000000074</v>
      </c>
      <c r="BH31" s="827">
        <v>0.35644742999999934</v>
      </c>
      <c r="BI31" s="816">
        <v>0.34226149000000028</v>
      </c>
      <c r="BJ31" s="816">
        <v>0.33633735999999992</v>
      </c>
      <c r="BK31" s="816">
        <v>0.32788290000000053</v>
      </c>
      <c r="BL31" s="816">
        <v>0.31575944999999983</v>
      </c>
      <c r="BM31" s="816">
        <v>0.30517533999999991</v>
      </c>
      <c r="BN31" s="816">
        <v>0.2943096900000004</v>
      </c>
      <c r="BO31" s="816">
        <v>0.28343770000000035</v>
      </c>
      <c r="BP31" s="816">
        <v>0.27235483000000027</v>
      </c>
      <c r="BQ31" s="816">
        <v>0.26113306999999963</v>
      </c>
      <c r="BR31" s="816">
        <v>0.24996643999999968</v>
      </c>
      <c r="BS31" s="816">
        <v>0.23820262999999997</v>
      </c>
      <c r="BT31" s="816">
        <v>0.23820262999999997</v>
      </c>
      <c r="BU31" s="816">
        <v>0.21004508000000044</v>
      </c>
      <c r="BV31" s="816">
        <v>0.20017283999999957</v>
      </c>
      <c r="BW31" s="816">
        <v>0.19026231999999998</v>
      </c>
      <c r="BX31" s="816">
        <v>0.18021965999999967</v>
      </c>
      <c r="BY31" s="816">
        <v>0.1700431</v>
      </c>
      <c r="BZ31" s="816">
        <v>0.15973084999999987</v>
      </c>
      <c r="CA31" s="816">
        <v>0.14942308999999998</v>
      </c>
      <c r="CB31" s="816">
        <v>0.13870308999999992</v>
      </c>
      <c r="CC31" s="816">
        <v>0.12797297000000007</v>
      </c>
      <c r="CD31" s="816">
        <v>0.11715666000000002</v>
      </c>
      <c r="CE31" s="816">
        <f t="shared" ref="CE31:CO31" si="11">+CE29-CE30</f>
        <v>0.10608718999999978</v>
      </c>
      <c r="CF31" s="816">
        <f t="shared" si="11"/>
        <v>9.4922200000000068E-2</v>
      </c>
      <c r="CG31" s="816">
        <f t="shared" si="11"/>
        <v>8.3608340000000059E-2</v>
      </c>
      <c r="CH31" s="816">
        <f t="shared" si="11"/>
        <v>7.2143630000000014E-2</v>
      </c>
      <c r="CI31" s="816">
        <f t="shared" si="11"/>
        <v>6.0590179999999938E-2</v>
      </c>
      <c r="CJ31" s="816">
        <f t="shared" si="11"/>
        <v>4.8764699999999994E-2</v>
      </c>
      <c r="CK31" s="816">
        <f t="shared" si="11"/>
        <v>3.6835410000000013E-2</v>
      </c>
      <c r="CL31" s="816">
        <f t="shared" si="11"/>
        <v>2.4779800000000018E-2</v>
      </c>
      <c r="CM31" s="816">
        <f t="shared" si="11"/>
        <v>1.250868000000005E-2</v>
      </c>
      <c r="CN31" s="816">
        <f t="shared" si="11"/>
        <v>0</v>
      </c>
      <c r="CO31" s="816">
        <f t="shared" si="11"/>
        <v>0</v>
      </c>
      <c r="CP31" s="816">
        <f>+CP29-CP30</f>
        <v>1.0832103599999998</v>
      </c>
      <c r="CQ31" s="816">
        <f>+CQ29-CQ30</f>
        <v>1.0706433999999998</v>
      </c>
      <c r="CR31" s="816">
        <f>+CR29-CR30</f>
        <v>1.0579298300000002</v>
      </c>
      <c r="CS31" s="816">
        <f>+CS29-CS30</f>
        <v>1.04506794</v>
      </c>
      <c r="CT31" s="816">
        <v>1.04506794</v>
      </c>
      <c r="CU31" s="816">
        <v>1.0624624</v>
      </c>
      <c r="CV31" s="816">
        <v>1.0345778800000001</v>
      </c>
      <c r="CW31" s="816">
        <v>1.0200710500000001</v>
      </c>
      <c r="CX31" s="816">
        <v>1.00577476</v>
      </c>
      <c r="CY31" s="816">
        <v>1.0047038800000001</v>
      </c>
      <c r="CZ31" s="816">
        <v>1.00361426</v>
      </c>
      <c r="DA31" s="816">
        <v>1.0025055700000001</v>
      </c>
      <c r="DB31" s="816">
        <v>2.2499330000000001E-2</v>
      </c>
      <c r="DC31" s="816">
        <v>2.1351499999999999E-2</v>
      </c>
      <c r="DD31" s="816">
        <v>2.018358E-2</v>
      </c>
      <c r="DE31" s="816">
        <v>0.31563233000000002</v>
      </c>
      <c r="DF31" s="816">
        <v>9.7786070000000003E-2</v>
      </c>
      <c r="DG31" s="816">
        <v>9.3704560000000006E-2</v>
      </c>
      <c r="DH31" s="816">
        <v>0.12951267</v>
      </c>
      <c r="DI31" s="816">
        <v>0.18390775000000001</v>
      </c>
      <c r="DJ31" s="816">
        <v>1.9489888099999999</v>
      </c>
      <c r="DK31" s="816">
        <v>1.9416044400000001</v>
      </c>
      <c r="DL31" s="816">
        <v>1.93398409</v>
      </c>
      <c r="DM31" s="816">
        <v>0.37493037000000001</v>
      </c>
      <c r="DN31" s="816">
        <v>0.41610783000000001</v>
      </c>
      <c r="DO31" s="816">
        <v>0.45033317</v>
      </c>
      <c r="DP31" s="816">
        <v>0.43812135000000002</v>
      </c>
      <c r="DQ31" s="816">
        <v>0.72557806000000002</v>
      </c>
      <c r="DR31" s="816">
        <v>0.72697666999999999</v>
      </c>
      <c r="DS31" s="816">
        <v>2.2165680600000002</v>
      </c>
      <c r="DT31" s="816">
        <v>2.2682270899999999</v>
      </c>
      <c r="DU31" s="816">
        <v>2.2335939200000001</v>
      </c>
      <c r="DV31" s="816">
        <v>2.1813250700000002</v>
      </c>
      <c r="DW31" s="816">
        <v>2.1303931199999999</v>
      </c>
      <c r="DX31" s="816">
        <v>2.81192339</v>
      </c>
      <c r="DY31" s="816">
        <v>4.8520250200000001</v>
      </c>
      <c r="DZ31" s="816">
        <v>4.8353153400000002</v>
      </c>
      <c r="EA31" s="816">
        <v>5.2172151600000003</v>
      </c>
      <c r="EB31" s="816">
        <v>11.35355408</v>
      </c>
      <c r="EC31" s="816">
        <v>11.31970563</v>
      </c>
      <c r="ED31" s="816">
        <v>14.80249538</v>
      </c>
      <c r="EE31" s="816">
        <v>14.794921950000001</v>
      </c>
      <c r="EF31" s="816">
        <v>14.851982230000001</v>
      </c>
      <c r="EG31" s="816">
        <v>14.97250972</v>
      </c>
      <c r="EH31" s="816">
        <v>14.991683650000001</v>
      </c>
      <c r="EI31" s="816">
        <v>14.95256292</v>
      </c>
      <c r="EJ31" s="816">
        <v>14.936448889999999</v>
      </c>
      <c r="EK31" s="816">
        <v>14.881759560000001</v>
      </c>
      <c r="EL31" s="816">
        <v>14.81318351</v>
      </c>
      <c r="EM31" s="816">
        <v>1.2781792599999999</v>
      </c>
      <c r="EN31" s="816">
        <v>1.83466028</v>
      </c>
      <c r="EO31" s="816">
        <v>1.7799194899999999</v>
      </c>
      <c r="EP31" s="816">
        <v>1.8560072400000001</v>
      </c>
      <c r="EQ31" s="816">
        <v>1.77595678</v>
      </c>
      <c r="ER31" s="816">
        <v>1.8897437500000001</v>
      </c>
      <c r="ES31" s="816">
        <v>2.2153613399999998</v>
      </c>
      <c r="ET31" s="816">
        <v>2.1913185099999999</v>
      </c>
      <c r="EU31" s="816">
        <v>2.1583258600000002</v>
      </c>
      <c r="EV31" s="816">
        <v>2.3457515099999999</v>
      </c>
      <c r="EW31" s="816">
        <v>2.2766252300000001</v>
      </c>
      <c r="EX31" s="816">
        <v>5.73507459</v>
      </c>
      <c r="EY31" s="816">
        <v>2.23101343</v>
      </c>
      <c r="EZ31" s="816">
        <v>20.701202670000001</v>
      </c>
      <c r="FA31" s="816">
        <v>16.989786120000002</v>
      </c>
      <c r="FB31" s="816">
        <v>16.904096330000002</v>
      </c>
      <c r="FC31" s="816">
        <v>16.769795299999998</v>
      </c>
      <c r="FD31" s="816">
        <v>16.748468859999999</v>
      </c>
      <c r="FE31" s="816">
        <v>16.687733649999998</v>
      </c>
      <c r="FF31" s="816">
        <v>18.13556775</v>
      </c>
      <c r="FG31" s="816">
        <v>19.11540037</v>
      </c>
      <c r="FH31" s="1716" t="s">
        <v>4066</v>
      </c>
    </row>
    <row r="32" spans="1:164" ht="21">
      <c r="A32" s="1746"/>
      <c r="B32" s="783"/>
      <c r="C32" s="783"/>
      <c r="D32" s="783"/>
      <c r="E32" s="783"/>
      <c r="F32" s="783"/>
      <c r="G32" s="783"/>
      <c r="H32" s="783"/>
      <c r="I32" s="783"/>
      <c r="J32" s="783"/>
      <c r="K32" s="783"/>
      <c r="L32" s="783"/>
      <c r="M32" s="784"/>
      <c r="N32" s="784"/>
      <c r="O32" s="784"/>
      <c r="P32" s="784"/>
      <c r="Q32" s="784"/>
      <c r="R32" s="784"/>
      <c r="S32" s="784"/>
      <c r="T32" s="784"/>
      <c r="U32" s="784"/>
      <c r="V32" s="784"/>
      <c r="W32" s="784"/>
      <c r="X32" s="784"/>
      <c r="Y32" s="784"/>
      <c r="Z32" s="784"/>
      <c r="AA32" s="784"/>
      <c r="AB32" s="784"/>
      <c r="AC32" s="784"/>
      <c r="AD32" s="784"/>
      <c r="AE32" s="784"/>
      <c r="AF32" s="784"/>
      <c r="AG32" s="784"/>
      <c r="AH32" s="784"/>
      <c r="AI32" s="784"/>
      <c r="AJ32" s="784"/>
      <c r="AK32" s="784"/>
      <c r="AL32" s="784"/>
      <c r="AM32" s="784"/>
      <c r="AN32" s="784"/>
      <c r="AO32" s="784"/>
      <c r="AP32" s="784"/>
      <c r="AQ32" s="784"/>
      <c r="AR32" s="784"/>
      <c r="AS32" s="784"/>
      <c r="AT32" s="784"/>
      <c r="AU32" s="784"/>
      <c r="AV32" s="784"/>
      <c r="AW32" s="784"/>
      <c r="AX32" s="784"/>
      <c r="AY32" s="784"/>
      <c r="AZ32" s="784"/>
      <c r="BA32" s="784"/>
      <c r="BB32" s="784"/>
      <c r="BC32" s="784"/>
      <c r="BD32" s="784"/>
      <c r="BE32" s="784"/>
      <c r="BF32" s="784"/>
      <c r="BG32" s="784"/>
      <c r="BH32" s="827"/>
      <c r="BI32" s="816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6"/>
      <c r="CN32" s="816"/>
      <c r="CO32" s="816"/>
      <c r="CP32" s="816"/>
      <c r="CQ32" s="816"/>
      <c r="CR32" s="816"/>
      <c r="CS32" s="816"/>
      <c r="CT32" s="816"/>
      <c r="CU32" s="816"/>
      <c r="CV32" s="816"/>
      <c r="CW32" s="816"/>
      <c r="CX32" s="816"/>
      <c r="CY32" s="816"/>
      <c r="CZ32" s="816"/>
      <c r="DA32" s="816"/>
      <c r="DB32" s="816"/>
      <c r="DC32" s="816"/>
      <c r="DD32" s="816"/>
      <c r="DE32" s="816"/>
      <c r="DF32" s="816"/>
      <c r="DG32" s="816"/>
      <c r="DH32" s="816"/>
      <c r="DI32" s="816"/>
      <c r="DJ32" s="816"/>
      <c r="DK32" s="816"/>
      <c r="DL32" s="816"/>
      <c r="DM32" s="816"/>
      <c r="DN32" s="816"/>
      <c r="DO32" s="816"/>
      <c r="DP32" s="816"/>
      <c r="DQ32" s="816"/>
      <c r="DR32" s="816"/>
      <c r="DS32" s="816"/>
      <c r="DT32" s="816"/>
      <c r="DU32" s="816"/>
      <c r="DV32" s="816"/>
      <c r="DW32" s="816"/>
      <c r="DX32" s="816"/>
      <c r="DY32" s="816"/>
      <c r="DZ32" s="816"/>
      <c r="EA32" s="816"/>
      <c r="EB32" s="816"/>
      <c r="EC32" s="816"/>
      <c r="ED32" s="816"/>
      <c r="EE32" s="816"/>
      <c r="EF32" s="816"/>
      <c r="EG32" s="816"/>
      <c r="EH32" s="816"/>
      <c r="EI32" s="816"/>
      <c r="EJ32" s="816"/>
      <c r="EK32" s="816"/>
      <c r="EL32" s="816"/>
      <c r="EM32" s="816"/>
      <c r="EN32" s="816"/>
      <c r="EO32" s="816"/>
      <c r="EP32" s="816"/>
      <c r="EQ32" s="816"/>
      <c r="ER32" s="816"/>
      <c r="ES32" s="816"/>
      <c r="ET32" s="816"/>
      <c r="EU32" s="816"/>
      <c r="EV32" s="816"/>
      <c r="EW32" s="816"/>
      <c r="EX32" s="816"/>
      <c r="EY32" s="816"/>
      <c r="EZ32" s="816"/>
      <c r="FA32" s="816"/>
      <c r="FB32" s="816"/>
      <c r="FC32" s="816"/>
      <c r="FD32" s="816"/>
      <c r="FE32" s="816"/>
      <c r="FF32" s="816"/>
      <c r="FG32" s="816"/>
      <c r="FH32" s="1715"/>
    </row>
    <row r="33" spans="1:164" ht="21">
      <c r="A33" s="1744" t="s">
        <v>2742</v>
      </c>
      <c r="B33" s="780">
        <v>14.696745659999999</v>
      </c>
      <c r="C33" s="780">
        <v>9.9616177799999992</v>
      </c>
      <c r="D33" s="780">
        <v>9.9378249099999998</v>
      </c>
      <c r="E33" s="780">
        <v>9.8865622799999997</v>
      </c>
      <c r="F33" s="780">
        <v>9.7006492299999998</v>
      </c>
      <c r="G33" s="780">
        <v>9.6591811099999987</v>
      </c>
      <c r="H33" s="780">
        <v>9.6343464499999989</v>
      </c>
      <c r="I33" s="780">
        <v>8.874405320000001</v>
      </c>
      <c r="J33" s="780">
        <v>8.868949859999999</v>
      </c>
      <c r="K33" s="780">
        <v>7.9482939000000004</v>
      </c>
      <c r="L33" s="780">
        <v>7.9472807300000001</v>
      </c>
      <c r="M33" s="781">
        <v>8.7954953200000006</v>
      </c>
      <c r="N33" s="781">
        <v>8.7936111300000004</v>
      </c>
      <c r="O33" s="781">
        <v>8.76014217</v>
      </c>
      <c r="P33" s="781">
        <v>8.7496210999999988</v>
      </c>
      <c r="Q33" s="781">
        <v>8.6861359499999988</v>
      </c>
      <c r="R33" s="781">
        <v>8.650455449999999</v>
      </c>
      <c r="S33" s="781">
        <v>8.6395548000000009</v>
      </c>
      <c r="T33" s="781">
        <v>8.1659425399999996</v>
      </c>
      <c r="U33" s="781">
        <v>8.1557518299999998</v>
      </c>
      <c r="V33" s="781">
        <v>8.1434016299999996</v>
      </c>
      <c r="W33" s="781">
        <v>8.5543405500000009</v>
      </c>
      <c r="X33" s="781">
        <v>8.5416523200000007</v>
      </c>
      <c r="Y33" s="781">
        <v>8.7053185199999987</v>
      </c>
      <c r="Z33" s="781">
        <v>8.6849551199999997</v>
      </c>
      <c r="AA33" s="781">
        <v>11.596012759999999</v>
      </c>
      <c r="AB33" s="781">
        <v>11.57163566</v>
      </c>
      <c r="AC33" s="781">
        <v>11.390769560000001</v>
      </c>
      <c r="AD33" s="781">
        <v>11.579979829999999</v>
      </c>
      <c r="AE33" s="781">
        <v>11.557314009999999</v>
      </c>
      <c r="AF33" s="781">
        <v>9.3507033900000014</v>
      </c>
      <c r="AG33" s="781">
        <v>9.3260801799999999</v>
      </c>
      <c r="AH33" s="781">
        <v>4.8411593899999996</v>
      </c>
      <c r="AI33" s="781">
        <v>4.8351021300000001</v>
      </c>
      <c r="AJ33" s="781">
        <v>4.8257048899999999</v>
      </c>
      <c r="AK33" s="781">
        <v>7.1377807799999999</v>
      </c>
      <c r="AL33" s="781">
        <v>7.2991343499999992</v>
      </c>
      <c r="AM33" s="781">
        <v>7.10702356</v>
      </c>
      <c r="AN33" s="781">
        <v>8.51217486</v>
      </c>
      <c r="AO33" s="781">
        <v>8.2894709199999994</v>
      </c>
      <c r="AP33" s="781">
        <v>8.1683099800000001</v>
      </c>
      <c r="AQ33" s="781">
        <v>8.3973274700000005</v>
      </c>
      <c r="AR33" s="781">
        <v>9.4165227900000001</v>
      </c>
      <c r="AS33" s="781">
        <v>9.6794123199999991</v>
      </c>
      <c r="AT33" s="781">
        <f>AT25-AT29</f>
        <v>10.268367019999999</v>
      </c>
      <c r="AU33" s="781">
        <v>4.3578799600000053</v>
      </c>
      <c r="AV33" s="781">
        <v>4.5986662700000167</v>
      </c>
      <c r="AW33" s="781">
        <v>35.556621220000011</v>
      </c>
      <c r="AX33" s="781">
        <v>39.718600340000009</v>
      </c>
      <c r="AY33" s="781">
        <v>38.350616789999997</v>
      </c>
      <c r="AZ33" s="781">
        <v>51.690175710000005</v>
      </c>
      <c r="BA33" s="781">
        <v>53.568055430000008</v>
      </c>
      <c r="BB33" s="781">
        <v>58.303196119999996</v>
      </c>
      <c r="BC33" s="781">
        <v>51.087733370000002</v>
      </c>
      <c r="BD33" s="781">
        <v>48.541040189999997</v>
      </c>
      <c r="BE33" s="781">
        <v>48.529477869999994</v>
      </c>
      <c r="BF33" s="781">
        <v>47.641930989999999</v>
      </c>
      <c r="BG33" s="781">
        <v>47.246876209999996</v>
      </c>
      <c r="BH33" s="826">
        <v>47.227579659999989</v>
      </c>
      <c r="BI33" s="815">
        <v>46.707067109999997</v>
      </c>
      <c r="BJ33" s="815">
        <v>37.268398849999997</v>
      </c>
      <c r="BK33" s="815">
        <v>49.666770690000007</v>
      </c>
      <c r="BL33" s="815">
        <v>49.311189180000007</v>
      </c>
      <c r="BM33" s="815">
        <v>47.253161640000009</v>
      </c>
      <c r="BN33" s="815">
        <v>45.02772422999999</v>
      </c>
      <c r="BO33" s="815">
        <v>44.398893520000001</v>
      </c>
      <c r="BP33" s="815">
        <v>39.288359939999992</v>
      </c>
      <c r="BQ33" s="815">
        <v>49.221752350000003</v>
      </c>
      <c r="BR33" s="815">
        <v>44.942343430000008</v>
      </c>
      <c r="BS33" s="815">
        <v>44.255666579999989</v>
      </c>
      <c r="BT33" s="815">
        <v>41.535094149999985</v>
      </c>
      <c r="BU33" s="815">
        <v>41.293113139999996</v>
      </c>
      <c r="BV33" s="815">
        <v>40.824338099999999</v>
      </c>
      <c r="BW33" s="815">
        <v>38.592047840000006</v>
      </c>
      <c r="BX33" s="815">
        <v>37.953569599999994</v>
      </c>
      <c r="BY33" s="815">
        <v>37.30465611000001</v>
      </c>
      <c r="BZ33" s="815">
        <v>35.065313970000012</v>
      </c>
      <c r="CA33" s="815">
        <v>34.420882760000005</v>
      </c>
      <c r="CB33" s="815">
        <v>33.767780070000001</v>
      </c>
      <c r="CC33" s="815">
        <v>31.521960849999996</v>
      </c>
      <c r="CD33" s="815">
        <v>30.868636549999998</v>
      </c>
      <c r="CE33" s="815">
        <v>30.061507440000003</v>
      </c>
      <c r="CF33" s="815">
        <v>27.660242090000001</v>
      </c>
      <c r="CG33" s="815">
        <v>26.846896109999999</v>
      </c>
      <c r="CH33" s="815">
        <v>26.033603530000001</v>
      </c>
      <c r="CI33" s="815">
        <v>23.617427409999998</v>
      </c>
      <c r="CJ33" s="815">
        <v>22.797682009999999</v>
      </c>
      <c r="CK33" s="815">
        <v>21.96454159</v>
      </c>
      <c r="CL33" s="815">
        <v>21.298469129999997</v>
      </c>
      <c r="CM33" s="815">
        <v>20.61883121</v>
      </c>
      <c r="CN33" s="815">
        <v>19.45565379</v>
      </c>
      <c r="CO33" s="815">
        <v>10.76622952</v>
      </c>
      <c r="CP33" s="815">
        <v>10.08307643</v>
      </c>
      <c r="CQ33" s="815">
        <v>0</v>
      </c>
      <c r="CR33" s="815">
        <v>0.37000499999999997</v>
      </c>
      <c r="CS33" s="815">
        <v>0.36038394000000001</v>
      </c>
      <c r="CT33" s="815">
        <v>255.35104484999999</v>
      </c>
      <c r="CU33" s="815">
        <v>255.34206177999999</v>
      </c>
      <c r="CV33" s="815">
        <v>255.33275911000001</v>
      </c>
      <c r="CW33" s="815">
        <v>255.32339442</v>
      </c>
      <c r="CX33" s="815">
        <v>255.31411102000001</v>
      </c>
      <c r="CY33" s="815">
        <v>255.30462201</v>
      </c>
      <c r="CZ33" s="815">
        <v>255.29493436000001</v>
      </c>
      <c r="DA33" s="815">
        <v>255.28531751</v>
      </c>
      <c r="DB33" s="815">
        <v>255.27569994999999</v>
      </c>
      <c r="DC33" s="815">
        <v>255.2658936</v>
      </c>
      <c r="DD33" s="815">
        <v>255.25608313999999</v>
      </c>
      <c r="DE33" s="815">
        <v>255.24626418</v>
      </c>
      <c r="DF33" s="815">
        <v>255.23626813000001</v>
      </c>
      <c r="DG33" s="815">
        <v>255.22636517000001</v>
      </c>
      <c r="DH33" s="815">
        <v>255.21629118999999</v>
      </c>
      <c r="DI33" s="815">
        <v>255.20605391000001</v>
      </c>
      <c r="DJ33" s="815">
        <v>255.19584451</v>
      </c>
      <c r="DK33" s="815">
        <v>255.18561056999999</v>
      </c>
      <c r="DL33" s="815">
        <v>212.67526487999999</v>
      </c>
      <c r="DM33" s="815">
        <v>212.66481128000001</v>
      </c>
      <c r="DN33" s="815">
        <v>237.33832694</v>
      </c>
      <c r="DO33" s="815">
        <v>230.20621788</v>
      </c>
      <c r="DP33" s="815">
        <v>240.40656347000001</v>
      </c>
      <c r="DQ33" s="815">
        <v>228.4424362</v>
      </c>
      <c r="DR33" s="815">
        <v>185.51530602</v>
      </c>
      <c r="DS33" s="815">
        <v>183.24245321999999</v>
      </c>
      <c r="DT33" s="815">
        <v>199.24737508000001</v>
      </c>
      <c r="DU33" s="815">
        <v>201.46974270000001</v>
      </c>
      <c r="DV33" s="815">
        <v>229.26374390999999</v>
      </c>
      <c r="DW33" s="815">
        <v>255.07333095000001</v>
      </c>
      <c r="DX33" s="815">
        <v>245.12808129999999</v>
      </c>
      <c r="DY33" s="815">
        <v>268.89124027000003</v>
      </c>
      <c r="DZ33" s="815">
        <v>307.87831500999999</v>
      </c>
      <c r="EA33" s="815">
        <v>328.85332727000002</v>
      </c>
      <c r="EB33" s="815">
        <v>328.84181409000001</v>
      </c>
      <c r="EC33" s="815">
        <v>360.15898009</v>
      </c>
      <c r="ED33" s="815">
        <v>310.00898009000002</v>
      </c>
      <c r="EE33" s="815">
        <v>318.05261229000001</v>
      </c>
      <c r="EF33" s="815">
        <v>339.07648974</v>
      </c>
      <c r="EG33" s="815">
        <v>334.47167915</v>
      </c>
      <c r="EH33" s="815">
        <v>355.65604715000001</v>
      </c>
      <c r="EI33" s="815">
        <v>343.82395523000002</v>
      </c>
      <c r="EJ33" s="815">
        <v>333.74583475999998</v>
      </c>
      <c r="EK33" s="815">
        <v>328.38876823999999</v>
      </c>
      <c r="EL33" s="815">
        <v>336.98184843000001</v>
      </c>
      <c r="EM33" s="815">
        <v>344.60612637000003</v>
      </c>
      <c r="EN33" s="815">
        <v>345.11208742999997</v>
      </c>
      <c r="EO33" s="815">
        <v>302.97969241999999</v>
      </c>
      <c r="EP33" s="815">
        <v>303.85962767000001</v>
      </c>
      <c r="EQ33" s="815">
        <v>308.22467306999999</v>
      </c>
      <c r="ER33" s="815">
        <v>304.51337797999997</v>
      </c>
      <c r="ES33" s="815">
        <v>306.53324326000001</v>
      </c>
      <c r="ET33" s="815">
        <v>300.14389962000001</v>
      </c>
      <c r="EU33" s="815">
        <v>300.36908072</v>
      </c>
      <c r="EV33" s="815">
        <v>293.97969009000002</v>
      </c>
      <c r="EW33" s="815">
        <v>287.58948036999999</v>
      </c>
      <c r="EX33" s="815">
        <v>292.18963078000002</v>
      </c>
      <c r="EY33" s="815">
        <v>285.57833197000002</v>
      </c>
      <c r="EZ33" s="815">
        <v>278.85037083999998</v>
      </c>
      <c r="FA33" s="815">
        <v>272.13683617999999</v>
      </c>
      <c r="FB33" s="815">
        <v>265.43131839</v>
      </c>
      <c r="FC33" s="815">
        <v>258.65631616000002</v>
      </c>
      <c r="FD33" s="815">
        <v>251.88200326</v>
      </c>
      <c r="FE33" s="815">
        <v>245.12927766999999</v>
      </c>
      <c r="FF33" s="815">
        <v>242.52837516</v>
      </c>
      <c r="FG33" s="815">
        <v>235.67496602</v>
      </c>
      <c r="FH33" s="1714" t="s">
        <v>4068</v>
      </c>
    </row>
    <row r="34" spans="1:164" ht="21">
      <c r="A34" s="1745" t="s">
        <v>1961</v>
      </c>
      <c r="B34" s="783">
        <v>0</v>
      </c>
      <c r="C34" s="783">
        <v>0</v>
      </c>
      <c r="D34" s="783">
        <v>0</v>
      </c>
      <c r="E34" s="783">
        <v>0</v>
      </c>
      <c r="F34" s="783">
        <v>0</v>
      </c>
      <c r="G34" s="783">
        <v>0</v>
      </c>
      <c r="H34" s="783">
        <v>0</v>
      </c>
      <c r="I34" s="783">
        <v>0</v>
      </c>
      <c r="J34" s="783">
        <v>0</v>
      </c>
      <c r="K34" s="783">
        <v>0</v>
      </c>
      <c r="L34" s="783">
        <v>0</v>
      </c>
      <c r="M34" s="784">
        <v>0</v>
      </c>
      <c r="N34" s="784">
        <v>0</v>
      </c>
      <c r="O34" s="784">
        <v>0</v>
      </c>
      <c r="P34" s="784">
        <v>0</v>
      </c>
      <c r="Q34" s="784">
        <v>0</v>
      </c>
      <c r="R34" s="784">
        <v>0</v>
      </c>
      <c r="S34" s="784">
        <v>0</v>
      </c>
      <c r="T34" s="784">
        <v>0</v>
      </c>
      <c r="U34" s="784">
        <v>0</v>
      </c>
      <c r="V34" s="784">
        <v>0</v>
      </c>
      <c r="W34" s="784">
        <v>0</v>
      </c>
      <c r="X34" s="784">
        <v>0</v>
      </c>
      <c r="Y34" s="784">
        <v>0</v>
      </c>
      <c r="Z34" s="784">
        <v>0</v>
      </c>
      <c r="AA34" s="784">
        <v>0</v>
      </c>
      <c r="AB34" s="784">
        <v>0</v>
      </c>
      <c r="AC34" s="784">
        <v>0</v>
      </c>
      <c r="AD34" s="784">
        <v>0</v>
      </c>
      <c r="AE34" s="784">
        <v>0</v>
      </c>
      <c r="AF34" s="784">
        <v>0</v>
      </c>
      <c r="AG34" s="784">
        <v>0</v>
      </c>
      <c r="AH34" s="784">
        <v>0</v>
      </c>
      <c r="AI34" s="784">
        <v>0</v>
      </c>
      <c r="AJ34" s="784">
        <v>0</v>
      </c>
      <c r="AK34" s="784">
        <v>0</v>
      </c>
      <c r="AL34" s="784">
        <v>0</v>
      </c>
      <c r="AM34" s="784">
        <v>0</v>
      </c>
      <c r="AN34" s="784">
        <v>0</v>
      </c>
      <c r="AO34" s="784">
        <v>0</v>
      </c>
      <c r="AP34" s="784">
        <v>0</v>
      </c>
      <c r="AQ34" s="784">
        <v>0</v>
      </c>
      <c r="AR34" s="784">
        <v>0</v>
      </c>
      <c r="AS34" s="784">
        <v>0</v>
      </c>
      <c r="AT34" s="784">
        <f>AT26-AT30</f>
        <v>0</v>
      </c>
      <c r="AU34" s="784">
        <v>0</v>
      </c>
      <c r="AV34" s="784">
        <v>0</v>
      </c>
      <c r="AW34" s="784">
        <v>30.863301</v>
      </c>
      <c r="AX34" s="784">
        <v>34.899464999999992</v>
      </c>
      <c r="AY34" s="784">
        <v>33.988875</v>
      </c>
      <c r="AZ34" s="784">
        <v>48.233733860000001</v>
      </c>
      <c r="BA34" s="784">
        <v>49.255562090000005</v>
      </c>
      <c r="BB34" s="784">
        <v>49.241096429999999</v>
      </c>
      <c r="BC34" s="784">
        <v>41.924959560000005</v>
      </c>
      <c r="BD34" s="784">
        <v>39.803294979999997</v>
      </c>
      <c r="BE34" s="784">
        <v>39.805635109999997</v>
      </c>
      <c r="BF34" s="784">
        <v>39.786914060000001</v>
      </c>
      <c r="BG34" s="784">
        <v>39.786914060000001</v>
      </c>
      <c r="BH34" s="827">
        <v>39.784573929999993</v>
      </c>
      <c r="BI34" s="816">
        <v>39.273519740000005</v>
      </c>
      <c r="BJ34" s="816">
        <v>30.248437119999998</v>
      </c>
      <c r="BK34" s="816">
        <v>29.90573062</v>
      </c>
      <c r="BL34" s="816">
        <v>29.56107927</v>
      </c>
      <c r="BM34" s="816">
        <v>28.936883739999999</v>
      </c>
      <c r="BN34" s="816">
        <v>28.315160479999999</v>
      </c>
      <c r="BO34" s="816">
        <v>27.696310499999996</v>
      </c>
      <c r="BP34" s="816">
        <v>27.069743469999995</v>
      </c>
      <c r="BQ34" s="816">
        <v>38.596885880000002</v>
      </c>
      <c r="BR34" s="816">
        <v>34.31747696</v>
      </c>
      <c r="BS34" s="816">
        <v>33.682636549999998</v>
      </c>
      <c r="BT34" s="816">
        <v>32.626405489999996</v>
      </c>
      <c r="BU34" s="816">
        <v>32.418788710000001</v>
      </c>
      <c r="BV34" s="816">
        <v>31.780253000000002</v>
      </c>
      <c r="BW34" s="816">
        <v>31.141712740000003</v>
      </c>
      <c r="BX34" s="816">
        <v>30.503234499999998</v>
      </c>
      <c r="BY34" s="816">
        <v>29.854321010000003</v>
      </c>
      <c r="BZ34" s="816">
        <v>29.208728870000002</v>
      </c>
      <c r="CA34" s="816">
        <v>28.564297660000001</v>
      </c>
      <c r="CB34" s="816">
        <v>27.91119497</v>
      </c>
      <c r="CC34" s="816">
        <v>27.259125749999999</v>
      </c>
      <c r="CD34" s="816">
        <v>26.605801449999998</v>
      </c>
      <c r="CE34" s="816">
        <v>25.948493640000002</v>
      </c>
      <c r="CF34" s="816">
        <v>25.29204811</v>
      </c>
      <c r="CG34" s="816">
        <v>24.63103087</v>
      </c>
      <c r="CH34" s="816">
        <v>23.97099081</v>
      </c>
      <c r="CI34" s="816">
        <v>23.303700399999997</v>
      </c>
      <c r="CJ34" s="816">
        <v>22.64012305</v>
      </c>
      <c r="CK34" s="816">
        <v>21.96454159</v>
      </c>
      <c r="CL34" s="816">
        <v>21.298469129999997</v>
      </c>
      <c r="CM34" s="816">
        <v>20.61883121</v>
      </c>
      <c r="CN34" s="816">
        <v>19.45565379</v>
      </c>
      <c r="CO34" s="816">
        <v>10.76622952</v>
      </c>
      <c r="CP34" s="816">
        <v>10.08307643</v>
      </c>
      <c r="CQ34" s="816">
        <v>0</v>
      </c>
      <c r="CR34" s="816">
        <v>0</v>
      </c>
      <c r="CS34" s="816">
        <v>0</v>
      </c>
      <c r="CT34" s="816">
        <v>255</v>
      </c>
      <c r="CU34" s="816">
        <v>255</v>
      </c>
      <c r="CV34" s="816">
        <v>255</v>
      </c>
      <c r="CW34" s="816">
        <v>255</v>
      </c>
      <c r="CX34" s="816">
        <v>255</v>
      </c>
      <c r="CY34" s="816">
        <v>255</v>
      </c>
      <c r="CZ34" s="816">
        <v>255</v>
      </c>
      <c r="DA34" s="816">
        <v>255</v>
      </c>
      <c r="DB34" s="816">
        <v>255</v>
      </c>
      <c r="DC34" s="816">
        <v>255</v>
      </c>
      <c r="DD34" s="816">
        <v>255</v>
      </c>
      <c r="DE34" s="816">
        <v>255</v>
      </c>
      <c r="DF34" s="816">
        <v>255</v>
      </c>
      <c r="DG34" s="816">
        <v>255</v>
      </c>
      <c r="DH34" s="816">
        <v>255</v>
      </c>
      <c r="DI34" s="816">
        <v>255</v>
      </c>
      <c r="DJ34" s="816">
        <v>255</v>
      </c>
      <c r="DK34" s="816">
        <v>255</v>
      </c>
      <c r="DL34" s="816">
        <v>212.5</v>
      </c>
      <c r="DM34" s="816">
        <v>212.5</v>
      </c>
      <c r="DN34" s="816">
        <v>237.184</v>
      </c>
      <c r="DO34" s="816">
        <v>230.06244519000001</v>
      </c>
      <c r="DP34" s="816">
        <v>240.27335149000001</v>
      </c>
      <c r="DQ34" s="816">
        <v>228.31997842000001</v>
      </c>
      <c r="DR34" s="816">
        <v>185.40361494999999</v>
      </c>
      <c r="DS34" s="816">
        <v>183.14157581000001</v>
      </c>
      <c r="DT34" s="816">
        <v>199.15740824</v>
      </c>
      <c r="DU34" s="816">
        <v>201.39077915999999</v>
      </c>
      <c r="DV34" s="816">
        <v>229.19583703999999</v>
      </c>
      <c r="DW34" s="816">
        <v>255.01655445</v>
      </c>
      <c r="DX34" s="816">
        <v>245.08250938</v>
      </c>
      <c r="DY34" s="816">
        <v>268.85692736999999</v>
      </c>
      <c r="DZ34" s="816">
        <v>307.85537169000003</v>
      </c>
      <c r="EA34" s="816">
        <v>328.84181409000001</v>
      </c>
      <c r="EB34" s="816">
        <v>328.84181409000001</v>
      </c>
      <c r="EC34" s="816">
        <v>360.00598008999998</v>
      </c>
      <c r="ED34" s="816">
        <v>309.85598009</v>
      </c>
      <c r="EE34" s="816">
        <v>317.90341568000002</v>
      </c>
      <c r="EF34" s="816">
        <v>338.93114845999997</v>
      </c>
      <c r="EG34" s="816">
        <v>334.33021568999999</v>
      </c>
      <c r="EH34" s="816">
        <v>355.51848414</v>
      </c>
      <c r="EI34" s="816">
        <v>343.69026191</v>
      </c>
      <c r="EJ34" s="816">
        <v>333.61613919000001</v>
      </c>
      <c r="EK34" s="816">
        <v>328.26304176000002</v>
      </c>
      <c r="EL34" s="816">
        <v>336.86008974999999</v>
      </c>
      <c r="EM34" s="816">
        <v>344.48840675999998</v>
      </c>
      <c r="EN34" s="816">
        <v>344.99840676000002</v>
      </c>
      <c r="EO34" s="816">
        <v>302.87005216</v>
      </c>
      <c r="EP34" s="816">
        <v>303.75405216000001</v>
      </c>
      <c r="EQ34" s="816">
        <v>308.12320734999997</v>
      </c>
      <c r="ER34" s="816">
        <v>304.41604601</v>
      </c>
      <c r="ES34" s="816">
        <v>306.44010701000002</v>
      </c>
      <c r="ET34" s="816">
        <v>300.14389962000001</v>
      </c>
      <c r="EU34" s="816">
        <v>300.36908072</v>
      </c>
      <c r="EV34" s="816">
        <v>293.97969009000002</v>
      </c>
      <c r="EW34" s="816">
        <v>287.58948036999999</v>
      </c>
      <c r="EX34" s="816">
        <v>292.18963078000002</v>
      </c>
      <c r="EY34" s="816">
        <v>285.57833197000002</v>
      </c>
      <c r="EZ34" s="816">
        <v>278.85037083999998</v>
      </c>
      <c r="FA34" s="816">
        <v>272.13683617999999</v>
      </c>
      <c r="FB34" s="816">
        <v>265.43131839</v>
      </c>
      <c r="FC34" s="816">
        <v>258.65631616000002</v>
      </c>
      <c r="FD34" s="816">
        <v>251.88200326</v>
      </c>
      <c r="FE34" s="816">
        <v>245.12927766999999</v>
      </c>
      <c r="FF34" s="816">
        <v>238.27837516</v>
      </c>
      <c r="FG34" s="816">
        <v>231.42496602</v>
      </c>
      <c r="FH34" s="1716" t="s">
        <v>4067</v>
      </c>
    </row>
    <row r="35" spans="1:164" ht="21">
      <c r="A35" s="1747" t="s">
        <v>1962</v>
      </c>
      <c r="B35" s="808">
        <f>+B33-B34</f>
        <v>14.696745659999999</v>
      </c>
      <c r="C35" s="808">
        <f t="shared" ref="C35:V35" si="12">+C33-C34</f>
        <v>9.9616177799999992</v>
      </c>
      <c r="D35" s="808">
        <f t="shared" si="12"/>
        <v>9.9378249099999998</v>
      </c>
      <c r="E35" s="808">
        <f t="shared" si="12"/>
        <v>9.8865622799999997</v>
      </c>
      <c r="F35" s="808">
        <f t="shared" si="12"/>
        <v>9.7006492299999998</v>
      </c>
      <c r="G35" s="808">
        <f t="shared" si="12"/>
        <v>9.6591811099999987</v>
      </c>
      <c r="H35" s="808">
        <f t="shared" si="12"/>
        <v>9.6343464499999989</v>
      </c>
      <c r="I35" s="808">
        <f t="shared" si="12"/>
        <v>8.874405320000001</v>
      </c>
      <c r="J35" s="808">
        <f t="shared" si="12"/>
        <v>8.868949859999999</v>
      </c>
      <c r="K35" s="808">
        <f t="shared" si="12"/>
        <v>7.9482939000000004</v>
      </c>
      <c r="L35" s="808">
        <f t="shared" si="12"/>
        <v>7.9472807300000001</v>
      </c>
      <c r="M35" s="787">
        <f t="shared" si="12"/>
        <v>8.7954953200000006</v>
      </c>
      <c r="N35" s="794">
        <f t="shared" si="12"/>
        <v>8.7936111300000004</v>
      </c>
      <c r="O35" s="794">
        <f t="shared" si="12"/>
        <v>8.76014217</v>
      </c>
      <c r="P35" s="794">
        <f t="shared" si="12"/>
        <v>8.7496210999999988</v>
      </c>
      <c r="Q35" s="794">
        <f t="shared" si="12"/>
        <v>8.6861359499999988</v>
      </c>
      <c r="R35" s="794">
        <f t="shared" si="12"/>
        <v>8.650455449999999</v>
      </c>
      <c r="S35" s="794">
        <f t="shared" si="12"/>
        <v>8.6395548000000009</v>
      </c>
      <c r="T35" s="794">
        <f t="shared" si="12"/>
        <v>8.1659425399999996</v>
      </c>
      <c r="U35" s="794">
        <f t="shared" si="12"/>
        <v>8.1557518299999998</v>
      </c>
      <c r="V35" s="794">
        <f t="shared" si="12"/>
        <v>8.1434016299999996</v>
      </c>
      <c r="W35" s="794">
        <v>8.5543405500000009</v>
      </c>
      <c r="X35" s="794">
        <v>8.5416523200000007</v>
      </c>
      <c r="Y35" s="787">
        <v>8.7053185199999987</v>
      </c>
      <c r="Z35" s="794">
        <v>8.6849551199999997</v>
      </c>
      <c r="AA35" s="794">
        <v>11.596012759999999</v>
      </c>
      <c r="AB35" s="787">
        <v>11.57163566</v>
      </c>
      <c r="AC35" s="787">
        <v>11.390769560000001</v>
      </c>
      <c r="AD35" s="787">
        <v>11.579979829999999</v>
      </c>
      <c r="AE35" s="787">
        <v>11.557314009999999</v>
      </c>
      <c r="AF35" s="787">
        <v>9.3507033900000014</v>
      </c>
      <c r="AG35" s="787">
        <v>9.3260801799999999</v>
      </c>
      <c r="AH35" s="787">
        <f>+AH33-AH34</f>
        <v>4.8411593899999996</v>
      </c>
      <c r="AI35" s="787">
        <v>4.8351021300000001</v>
      </c>
      <c r="AJ35" s="787">
        <f>+AJ33-AJ34</f>
        <v>4.8257048899999999</v>
      </c>
      <c r="AK35" s="787">
        <f>+AK33-AK34</f>
        <v>7.1377807799999999</v>
      </c>
      <c r="AL35" s="787">
        <v>7.2991343499999992</v>
      </c>
      <c r="AM35" s="787">
        <f>+AM33-AM34</f>
        <v>7.10702356</v>
      </c>
      <c r="AN35" s="787">
        <f>+AN33-AN34</f>
        <v>8.51217486</v>
      </c>
      <c r="AO35" s="787">
        <f>+AO33-AO34</f>
        <v>8.2894709199999994</v>
      </c>
      <c r="AP35" s="787">
        <f>+AP33-AP34</f>
        <v>8.1683099800000001</v>
      </c>
      <c r="AQ35" s="787">
        <v>8.3973274700000005</v>
      </c>
      <c r="AR35" s="787">
        <f>+AR33-AR34</f>
        <v>9.4165227900000001</v>
      </c>
      <c r="AS35" s="787">
        <f>+AS33-AS34</f>
        <v>9.6794123199999991</v>
      </c>
      <c r="AT35" s="787">
        <f>AT27-AT31</f>
        <v>10.268367020000007</v>
      </c>
      <c r="AU35" s="787">
        <v>4.3578799600000089</v>
      </c>
      <c r="AV35" s="787">
        <v>4.5986662700000167</v>
      </c>
      <c r="AW35" s="787">
        <v>4.693320220000011</v>
      </c>
      <c r="AX35" s="787">
        <v>4.8191353400000132</v>
      </c>
      <c r="AY35" s="787">
        <v>4.3617417899999964</v>
      </c>
      <c r="AZ35" s="787">
        <v>3.4564418500000045</v>
      </c>
      <c r="BA35" s="787">
        <v>4.3124933400000032</v>
      </c>
      <c r="BB35" s="787">
        <v>9.0620996899999966</v>
      </c>
      <c r="BC35" s="787">
        <v>9.1627738099999974</v>
      </c>
      <c r="BD35" s="787">
        <f>+BD33-BD34</f>
        <v>8.7377452099999999</v>
      </c>
      <c r="BE35" s="787">
        <v>8.7238427599999966</v>
      </c>
      <c r="BF35" s="787">
        <v>7.8550169299999979</v>
      </c>
      <c r="BG35" s="787">
        <v>7.4599621499999955</v>
      </c>
      <c r="BH35" s="828">
        <v>7.4430057299999959</v>
      </c>
      <c r="BI35" s="835">
        <v>7.4335473699999923</v>
      </c>
      <c r="BJ35" s="835">
        <v>7.0199617299999986</v>
      </c>
      <c r="BK35" s="835">
        <v>19.761040070000007</v>
      </c>
      <c r="BL35" s="835">
        <v>19.750109910000006</v>
      </c>
      <c r="BM35" s="835">
        <v>18.31627790000001</v>
      </c>
      <c r="BN35" s="835">
        <v>16.71256374999999</v>
      </c>
      <c r="BO35" s="835">
        <v>16.702583020000006</v>
      </c>
      <c r="BP35" s="835">
        <v>12.218616469999997</v>
      </c>
      <c r="BQ35" s="835">
        <v>10.624866470000001</v>
      </c>
      <c r="BR35" s="835">
        <v>10.624866470000008</v>
      </c>
      <c r="BS35" s="835">
        <v>10.573030029999991</v>
      </c>
      <c r="BT35" s="835">
        <v>8.9086886599999886</v>
      </c>
      <c r="BU35" s="835">
        <v>8.8743244299999944</v>
      </c>
      <c r="BV35" s="835">
        <v>9.0440850999999967</v>
      </c>
      <c r="BW35" s="835">
        <v>7.4503351000000038</v>
      </c>
      <c r="BX35" s="835">
        <v>7.4503350999999967</v>
      </c>
      <c r="BY35" s="835">
        <v>7.4503351000000073</v>
      </c>
      <c r="BZ35" s="835">
        <v>5.8565851000000109</v>
      </c>
      <c r="CA35" s="835">
        <v>5.8565851000000038</v>
      </c>
      <c r="CB35" s="835">
        <v>5.8565851000000002</v>
      </c>
      <c r="CC35" s="835">
        <v>4.2628350999999967</v>
      </c>
      <c r="CD35" s="835">
        <v>4.2628351000000002</v>
      </c>
      <c r="CE35" s="835">
        <f t="shared" ref="CE35:CO35" si="13">+CE33-CE34</f>
        <v>4.1130138000000009</v>
      </c>
      <c r="CF35" s="835">
        <f t="shared" si="13"/>
        <v>2.3681939800000009</v>
      </c>
      <c r="CG35" s="835">
        <f t="shared" si="13"/>
        <v>2.2158652399999994</v>
      </c>
      <c r="CH35" s="835">
        <f t="shared" si="13"/>
        <v>2.0626127200000006</v>
      </c>
      <c r="CI35" s="835">
        <f t="shared" si="13"/>
        <v>0.31372701000000092</v>
      </c>
      <c r="CJ35" s="835">
        <f t="shared" si="13"/>
        <v>0.15755895999999936</v>
      </c>
      <c r="CK35" s="835">
        <f t="shared" si="13"/>
        <v>0</v>
      </c>
      <c r="CL35" s="835">
        <f t="shared" si="13"/>
        <v>0</v>
      </c>
      <c r="CM35" s="835">
        <f t="shared" si="13"/>
        <v>0</v>
      </c>
      <c r="CN35" s="835">
        <f t="shared" si="13"/>
        <v>0</v>
      </c>
      <c r="CO35" s="835">
        <f t="shared" si="13"/>
        <v>0</v>
      </c>
      <c r="CP35" s="835">
        <f>+CP33-CP34</f>
        <v>0</v>
      </c>
      <c r="CQ35" s="835">
        <f>+CQ33-CQ34</f>
        <v>0</v>
      </c>
      <c r="CR35" s="835">
        <f>+CR33-CR34</f>
        <v>0.37000499999999997</v>
      </c>
      <c r="CS35" s="835">
        <f>+CS33-CS34</f>
        <v>0.36038394000000001</v>
      </c>
      <c r="CT35" s="835">
        <v>0.35104485000000002</v>
      </c>
      <c r="CU35" s="835">
        <v>0.34206177999999998</v>
      </c>
      <c r="CV35" s="835">
        <v>0.33275911000000002</v>
      </c>
      <c r="CW35" s="835">
        <v>0.32339442000000002</v>
      </c>
      <c r="CX35" s="835">
        <v>0.31411102000000002</v>
      </c>
      <c r="CY35" s="835">
        <v>0.30462201</v>
      </c>
      <c r="CZ35" s="835">
        <v>0.29493436000000001</v>
      </c>
      <c r="DA35" s="835">
        <v>0.28531751</v>
      </c>
      <c r="DB35" s="835">
        <v>0.27569995000000003</v>
      </c>
      <c r="DC35" s="835">
        <v>0.26589360000000001</v>
      </c>
      <c r="DD35" s="835">
        <v>0.25608313999999999</v>
      </c>
      <c r="DE35" s="835">
        <v>0.24626418</v>
      </c>
      <c r="DF35" s="835">
        <v>0.23626812999999999</v>
      </c>
      <c r="DG35" s="835">
        <v>0.22636517</v>
      </c>
      <c r="DH35" s="835">
        <v>0.21629118999999999</v>
      </c>
      <c r="DI35" s="835">
        <v>0.20605391000000001</v>
      </c>
      <c r="DJ35" s="835">
        <v>0.19584451</v>
      </c>
      <c r="DK35" s="835">
        <v>0.18561057</v>
      </c>
      <c r="DL35" s="835">
        <v>0.17526488000000001</v>
      </c>
      <c r="DM35" s="835">
        <v>0.16481128</v>
      </c>
      <c r="DN35" s="835">
        <v>0.15432694</v>
      </c>
      <c r="DO35" s="835">
        <v>0.14377269000000001</v>
      </c>
      <c r="DP35" s="835">
        <v>0.13321198000000001</v>
      </c>
      <c r="DQ35" s="835">
        <v>0.12245778</v>
      </c>
      <c r="DR35" s="835">
        <v>0.11169107</v>
      </c>
      <c r="DS35" s="835">
        <v>0.10087741</v>
      </c>
      <c r="DT35" s="835">
        <v>8.9966840000000006E-2</v>
      </c>
      <c r="DU35" s="835">
        <v>7.8963539999999999E-2</v>
      </c>
      <c r="DV35" s="835">
        <v>6.7906869999999994E-2</v>
      </c>
      <c r="DW35" s="835">
        <v>5.6776500000000001E-2</v>
      </c>
      <c r="DX35" s="835">
        <v>4.5571920000000002E-2</v>
      </c>
      <c r="DY35" s="835">
        <v>3.43129E-2</v>
      </c>
      <c r="DZ35" s="835">
        <v>2.294332E-2</v>
      </c>
      <c r="EA35" s="835">
        <v>1.151318E-2</v>
      </c>
      <c r="EB35" s="835">
        <v>0</v>
      </c>
      <c r="EC35" s="835">
        <v>0.153</v>
      </c>
      <c r="ED35" s="835">
        <v>0.153</v>
      </c>
      <c r="EE35" s="835">
        <v>0.14919661000000001</v>
      </c>
      <c r="EF35" s="835">
        <v>0.14534127999999999</v>
      </c>
      <c r="EG35" s="835">
        <v>0.14146346000000001</v>
      </c>
      <c r="EH35" s="835">
        <v>0.13756301000000001</v>
      </c>
      <c r="EI35" s="835">
        <v>0.13369332</v>
      </c>
      <c r="EJ35" s="835">
        <v>0.12969557000000001</v>
      </c>
      <c r="EK35" s="835">
        <v>0.12572648</v>
      </c>
      <c r="EL35" s="835">
        <v>0.12175867999999999</v>
      </c>
      <c r="EM35" s="835">
        <v>0.11771961</v>
      </c>
      <c r="EN35" s="835">
        <v>0.11368067</v>
      </c>
      <c r="EO35" s="835">
        <v>0.10964026</v>
      </c>
      <c r="EP35" s="835">
        <v>0.10557551</v>
      </c>
      <c r="EQ35" s="835">
        <v>0.10146572</v>
      </c>
      <c r="ER35" s="835">
        <v>9.7331970000000004E-2</v>
      </c>
      <c r="ES35" s="835">
        <v>9.3136250000000004E-2</v>
      </c>
      <c r="ET35" s="835">
        <v>0</v>
      </c>
      <c r="EU35" s="835">
        <v>0</v>
      </c>
      <c r="EV35" s="835">
        <v>0</v>
      </c>
      <c r="EW35" s="835">
        <v>0</v>
      </c>
      <c r="EX35" s="835">
        <v>0</v>
      </c>
      <c r="EY35" s="835">
        <v>0</v>
      </c>
      <c r="EZ35" s="835">
        <v>0</v>
      </c>
      <c r="FA35" s="835">
        <v>0</v>
      </c>
      <c r="FB35" s="835">
        <v>0</v>
      </c>
      <c r="FC35" s="835">
        <v>0</v>
      </c>
      <c r="FD35" s="835">
        <v>0</v>
      </c>
      <c r="FE35" s="835">
        <v>0</v>
      </c>
      <c r="FF35" s="835">
        <v>4.25</v>
      </c>
      <c r="FG35" s="835">
        <v>4.25</v>
      </c>
      <c r="FH35" s="1717" t="s">
        <v>4066</v>
      </c>
    </row>
    <row r="36" spans="1:164" s="736" customFormat="1" ht="39" customHeight="1">
      <c r="A36" s="2339" t="s">
        <v>3278</v>
      </c>
      <c r="B36" s="2339"/>
      <c r="C36" s="2339"/>
      <c r="D36" s="2339"/>
      <c r="E36" s="2339"/>
      <c r="F36" s="2339"/>
      <c r="G36" s="2339"/>
      <c r="H36" s="2339"/>
      <c r="I36" s="2339"/>
      <c r="J36" s="2339"/>
      <c r="K36" s="2339"/>
      <c r="L36" s="2339"/>
      <c r="M36" s="2339"/>
      <c r="N36" s="2339"/>
      <c r="O36" s="2339"/>
      <c r="P36" s="2339"/>
      <c r="Q36" s="2339"/>
      <c r="R36" s="2339"/>
      <c r="S36" s="2339"/>
      <c r="T36" s="2339"/>
      <c r="U36" s="2339"/>
      <c r="V36" s="2339"/>
      <c r="W36" s="2339"/>
      <c r="X36" s="2339"/>
      <c r="Y36" s="2339"/>
      <c r="Z36" s="2339"/>
      <c r="AA36" s="2339"/>
      <c r="AB36" s="2339"/>
      <c r="AC36" s="2339"/>
      <c r="AD36" s="2339"/>
      <c r="AE36" s="2339"/>
      <c r="AF36" s="2339"/>
      <c r="AG36" s="2339"/>
      <c r="AH36" s="2339"/>
      <c r="AI36" s="2339"/>
      <c r="AJ36" s="2339"/>
      <c r="AK36" s="2339"/>
      <c r="AL36" s="2339"/>
      <c r="AM36" s="2339"/>
      <c r="AN36" s="2339"/>
      <c r="AO36" s="2339"/>
      <c r="AP36" s="2339"/>
      <c r="AQ36" s="2339"/>
      <c r="AR36" s="2339"/>
      <c r="AS36" s="2339"/>
      <c r="AT36" s="2339"/>
      <c r="AU36" s="2339"/>
      <c r="AV36" s="2339"/>
      <c r="AW36" s="2339"/>
      <c r="AX36" s="2339"/>
      <c r="AY36" s="2339"/>
      <c r="AZ36" s="2339"/>
      <c r="BA36" s="2339"/>
      <c r="BB36" s="2339"/>
      <c r="BC36" s="2339"/>
      <c r="BD36" s="2339"/>
      <c r="BE36" s="2339"/>
      <c r="BF36" s="2339"/>
      <c r="BG36" s="2339"/>
      <c r="BH36" s="2339"/>
      <c r="BI36" s="2339"/>
      <c r="BJ36" s="2339"/>
      <c r="BK36" s="2339"/>
      <c r="BL36" s="2339"/>
      <c r="BM36" s="2339"/>
      <c r="BN36" s="2339"/>
      <c r="BO36" s="2339"/>
      <c r="BP36" s="2339"/>
      <c r="BQ36" s="2339"/>
      <c r="BR36" s="2339"/>
      <c r="BS36" s="2339"/>
      <c r="BT36" s="2339"/>
      <c r="BU36" s="2339"/>
      <c r="BV36" s="2339"/>
      <c r="BW36" s="2339"/>
      <c r="BX36" s="2339"/>
      <c r="BY36" s="2339"/>
      <c r="BZ36" s="2339"/>
      <c r="CA36" s="2339"/>
      <c r="CB36" s="2339"/>
      <c r="CC36" s="2339"/>
      <c r="CD36" s="2339"/>
      <c r="CE36" s="2339"/>
      <c r="CF36" s="2339"/>
      <c r="CG36" s="2339"/>
      <c r="CH36" s="2339"/>
      <c r="CI36" s="2339"/>
      <c r="CJ36" s="2339"/>
      <c r="CK36" s="2339"/>
      <c r="CL36" s="2339"/>
      <c r="CM36" s="2339"/>
      <c r="CN36" s="2339"/>
      <c r="CO36" s="2339"/>
      <c r="CP36" s="2339"/>
      <c r="CQ36" s="2339"/>
      <c r="CR36" s="2339"/>
      <c r="CS36" s="2339"/>
      <c r="CT36" s="2339"/>
      <c r="CU36" s="2339"/>
      <c r="CV36" s="2339"/>
      <c r="CW36" s="2339"/>
      <c r="CX36" s="2339"/>
      <c r="CY36" s="2339"/>
      <c r="CZ36" s="2339"/>
      <c r="DA36" s="2339"/>
      <c r="DB36" s="2339"/>
      <c r="DC36" s="2339"/>
      <c r="DD36" s="2339"/>
      <c r="DE36" s="2339"/>
      <c r="DF36" s="2339"/>
      <c r="DG36" s="2339"/>
      <c r="DH36" s="2339"/>
      <c r="DI36" s="2339"/>
      <c r="DJ36" s="2339"/>
      <c r="DK36" s="2339"/>
      <c r="DL36" s="2339"/>
      <c r="DM36" s="2339"/>
      <c r="DN36" s="2339"/>
      <c r="DO36" s="2339"/>
      <c r="DP36" s="2339"/>
      <c r="DQ36" s="2339"/>
      <c r="DR36" s="2339"/>
      <c r="DS36" s="2339"/>
      <c r="DT36" s="2339"/>
      <c r="DU36" s="2339"/>
      <c r="DV36" s="2339"/>
      <c r="DW36" s="2339"/>
      <c r="DX36" s="2339"/>
      <c r="DY36" s="2339"/>
      <c r="DZ36" s="2339"/>
      <c r="EA36" s="2339"/>
      <c r="EB36" s="2339"/>
      <c r="EC36" s="2339"/>
      <c r="ED36" s="2339"/>
      <c r="EE36" s="2339"/>
      <c r="EF36" s="2339"/>
      <c r="EG36" s="2339"/>
      <c r="EH36" s="2339"/>
      <c r="EI36" s="2339"/>
      <c r="EJ36" s="2339"/>
      <c r="EK36" s="2339"/>
      <c r="EL36" s="2339"/>
      <c r="EM36" s="2339"/>
      <c r="EN36" s="2339"/>
      <c r="EO36" s="2339"/>
      <c r="EP36" s="2339"/>
      <c r="EQ36" s="2339"/>
      <c r="ER36" s="2339"/>
      <c r="ES36" s="2339"/>
      <c r="ET36" s="2339"/>
      <c r="EU36" s="2339"/>
      <c r="EV36" s="2339"/>
      <c r="EW36" s="2339"/>
      <c r="EX36" s="2339"/>
      <c r="EY36" s="2339"/>
      <c r="EZ36" s="2339"/>
      <c r="FA36" s="2339"/>
      <c r="FB36" s="2339"/>
      <c r="FC36" s="2339"/>
      <c r="FD36" s="2339"/>
      <c r="FE36" s="2339"/>
      <c r="FF36" s="2339"/>
      <c r="FG36" s="2339"/>
    </row>
    <row r="37" spans="1:164" ht="18">
      <c r="A37" s="759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T37" s="270"/>
      <c r="BU37" s="270"/>
      <c r="BV37" s="270"/>
      <c r="BW37" s="270"/>
      <c r="BX37" s="270"/>
      <c r="BY37" s="270"/>
      <c r="BZ37" s="270"/>
      <c r="CA37" s="270"/>
      <c r="CB37" s="270"/>
      <c r="CC37" s="270"/>
      <c r="CD37" s="270"/>
      <c r="CE37" s="270"/>
      <c r="CF37" s="270"/>
      <c r="CG37" s="270"/>
    </row>
    <row r="38" spans="1:164" ht="18">
      <c r="A38" s="760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  <c r="CF38" s="271"/>
      <c r="CG38" s="271"/>
    </row>
    <row r="39" spans="1:164" ht="18">
      <c r="A39" s="759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0"/>
      <c r="BP39" s="270"/>
      <c r="BQ39" s="270"/>
      <c r="BR39" s="270"/>
      <c r="BS39" s="270"/>
      <c r="BT39" s="270"/>
      <c r="BU39" s="270"/>
      <c r="BV39" s="270"/>
      <c r="BW39" s="270"/>
      <c r="BX39" s="270"/>
      <c r="BY39" s="270"/>
      <c r="BZ39" s="270"/>
      <c r="CA39" s="270"/>
      <c r="CB39" s="270"/>
      <c r="CC39" s="270"/>
      <c r="CD39" s="270"/>
      <c r="CE39" s="270"/>
      <c r="CF39" s="270"/>
      <c r="CG39" s="270"/>
    </row>
    <row r="40" spans="1:164" ht="18">
      <c r="A40" s="760"/>
      <c r="B40" s="271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  <c r="CF40" s="271"/>
      <c r="CG40" s="271"/>
    </row>
    <row r="41" spans="1:164" ht="18">
      <c r="A41" s="759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70"/>
      <c r="AS41" s="270"/>
      <c r="AT41" s="270"/>
      <c r="AU41" s="270"/>
      <c r="AV41" s="270"/>
      <c r="AW41" s="270"/>
      <c r="AX41" s="270"/>
      <c r="AY41" s="270"/>
      <c r="AZ41" s="270"/>
      <c r="BA41" s="270"/>
      <c r="BB41" s="270"/>
      <c r="BC41" s="270"/>
      <c r="BD41" s="270"/>
      <c r="BE41" s="270"/>
      <c r="BF41" s="270"/>
      <c r="BG41" s="270"/>
      <c r="BH41" s="270"/>
      <c r="BI41" s="270"/>
      <c r="BJ41" s="270"/>
      <c r="BK41" s="270"/>
      <c r="BL41" s="270"/>
      <c r="BM41" s="270"/>
      <c r="BN41" s="270"/>
      <c r="BO41" s="270"/>
      <c r="BP41" s="270"/>
      <c r="BQ41" s="270"/>
      <c r="BR41" s="270"/>
      <c r="BS41" s="270"/>
      <c r="BT41" s="270"/>
      <c r="BU41" s="270"/>
      <c r="BV41" s="270"/>
      <c r="BW41" s="270"/>
      <c r="BX41" s="270"/>
      <c r="BY41" s="270"/>
      <c r="BZ41" s="270"/>
      <c r="CA41" s="270"/>
      <c r="CB41" s="270"/>
      <c r="CC41" s="270"/>
      <c r="CD41" s="270"/>
      <c r="CE41" s="270"/>
      <c r="CF41" s="270"/>
      <c r="CG41" s="270"/>
    </row>
    <row r="42" spans="1:164" ht="18">
      <c r="A42" s="761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0"/>
      <c r="AZ42" s="270"/>
      <c r="BA42" s="270"/>
      <c r="BB42" s="270"/>
      <c r="BC42" s="270"/>
      <c r="BD42" s="270"/>
      <c r="BE42" s="270"/>
      <c r="BF42" s="270"/>
      <c r="BG42" s="270"/>
      <c r="BH42" s="270"/>
      <c r="BI42" s="270"/>
      <c r="BJ42" s="270"/>
      <c r="BK42" s="270"/>
      <c r="BL42" s="270"/>
      <c r="BM42" s="270"/>
      <c r="BN42" s="270"/>
      <c r="BO42" s="270"/>
      <c r="BP42" s="270"/>
      <c r="BQ42" s="270"/>
      <c r="BR42" s="270"/>
      <c r="BS42" s="270"/>
      <c r="BT42" s="270"/>
      <c r="BU42" s="270"/>
      <c r="BV42" s="270"/>
      <c r="BW42" s="270"/>
      <c r="BX42" s="270"/>
      <c r="BY42" s="270"/>
      <c r="BZ42" s="270"/>
      <c r="CA42" s="270"/>
      <c r="CB42" s="270"/>
      <c r="CC42" s="270"/>
      <c r="CD42" s="270"/>
      <c r="CE42" s="270"/>
      <c r="CF42" s="270"/>
      <c r="CG42" s="270"/>
    </row>
    <row r="43" spans="1:164" ht="18">
      <c r="A43" s="762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  <c r="BX43" s="271"/>
      <c r="BY43" s="271"/>
      <c r="BZ43" s="271"/>
      <c r="CA43" s="271"/>
      <c r="CB43" s="271"/>
      <c r="CC43" s="271"/>
      <c r="CD43" s="271"/>
      <c r="CE43" s="271"/>
      <c r="CF43" s="271"/>
      <c r="CG43" s="271"/>
    </row>
    <row r="44" spans="1:164" ht="18">
      <c r="A44" s="759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  <c r="BP44" s="270"/>
      <c r="BQ44" s="270"/>
      <c r="BR44" s="270"/>
      <c r="BS44" s="270"/>
      <c r="BT44" s="270"/>
      <c r="BU44" s="270"/>
      <c r="BV44" s="270"/>
      <c r="BW44" s="270"/>
      <c r="BX44" s="270"/>
      <c r="BY44" s="270"/>
      <c r="BZ44" s="270"/>
      <c r="CA44" s="270"/>
      <c r="CB44" s="270"/>
      <c r="CC44" s="270"/>
      <c r="CD44" s="270"/>
      <c r="CE44" s="270"/>
      <c r="CF44" s="270"/>
      <c r="CG44" s="270"/>
    </row>
    <row r="45" spans="1:164" ht="18">
      <c r="A45" s="760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  <c r="BX45" s="271"/>
      <c r="BY45" s="271"/>
      <c r="BZ45" s="271"/>
      <c r="CA45" s="271"/>
      <c r="CB45" s="271"/>
      <c r="CC45" s="271"/>
      <c r="CD45" s="271"/>
      <c r="CE45" s="271"/>
      <c r="CF45" s="271"/>
      <c r="CG45" s="271"/>
    </row>
    <row r="46" spans="1:164" ht="18">
      <c r="A46" s="759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0"/>
      <c r="AZ46" s="270"/>
      <c r="BA46" s="270"/>
      <c r="BB46" s="270"/>
      <c r="BC46" s="270"/>
      <c r="BD46" s="270"/>
      <c r="BE46" s="270"/>
      <c r="BF46" s="270"/>
      <c r="BG46" s="270"/>
      <c r="BH46" s="270"/>
      <c r="BI46" s="270"/>
      <c r="BJ46" s="270"/>
      <c r="BK46" s="270"/>
      <c r="BL46" s="270"/>
      <c r="BM46" s="270"/>
      <c r="BN46" s="270"/>
      <c r="BO46" s="270"/>
      <c r="BP46" s="270"/>
      <c r="BQ46" s="270"/>
      <c r="BR46" s="270"/>
      <c r="BS46" s="270"/>
      <c r="BT46" s="270"/>
      <c r="BU46" s="270"/>
      <c r="BV46" s="270"/>
      <c r="BW46" s="270"/>
      <c r="BX46" s="270"/>
      <c r="BY46" s="270"/>
      <c r="BZ46" s="270"/>
      <c r="CA46" s="270"/>
      <c r="CB46" s="270"/>
      <c r="CC46" s="270"/>
      <c r="CD46" s="270"/>
      <c r="CE46" s="270"/>
      <c r="CF46" s="270"/>
      <c r="CG46" s="270"/>
    </row>
    <row r="47" spans="1:164" ht="18">
      <c r="A47" s="760"/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  <c r="BG47" s="271"/>
      <c r="BH47" s="271"/>
      <c r="BI47" s="271"/>
      <c r="BJ47" s="271"/>
      <c r="BK47" s="271"/>
      <c r="BL47" s="271"/>
      <c r="BM47" s="271"/>
      <c r="BN47" s="271"/>
      <c r="BO47" s="271"/>
      <c r="BP47" s="271"/>
      <c r="BQ47" s="271"/>
      <c r="BR47" s="271"/>
      <c r="BS47" s="271"/>
      <c r="BT47" s="271"/>
      <c r="BU47" s="271"/>
      <c r="BV47" s="271"/>
      <c r="BW47" s="271"/>
      <c r="BX47" s="271"/>
      <c r="BY47" s="271"/>
      <c r="BZ47" s="271"/>
      <c r="CA47" s="271"/>
      <c r="CB47" s="271"/>
      <c r="CC47" s="271"/>
      <c r="CD47" s="271"/>
      <c r="CE47" s="271"/>
      <c r="CF47" s="271"/>
      <c r="CG47" s="271"/>
    </row>
    <row r="48" spans="1:164" ht="18">
      <c r="A48" s="759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0"/>
      <c r="AZ48" s="270"/>
      <c r="BA48" s="270"/>
      <c r="BB48" s="270"/>
      <c r="BC48" s="270"/>
      <c r="BD48" s="270"/>
      <c r="BE48" s="270"/>
      <c r="BF48" s="270"/>
      <c r="BG48" s="270"/>
      <c r="BH48" s="270"/>
      <c r="BI48" s="270"/>
      <c r="BJ48" s="270"/>
      <c r="BK48" s="270"/>
      <c r="BL48" s="270"/>
      <c r="BM48" s="270"/>
      <c r="BN48" s="270"/>
      <c r="BO48" s="270"/>
      <c r="BP48" s="270"/>
      <c r="BQ48" s="270"/>
      <c r="BR48" s="270"/>
      <c r="BS48" s="270"/>
      <c r="BT48" s="270"/>
      <c r="BU48" s="270"/>
      <c r="BV48" s="270"/>
      <c r="BW48" s="270"/>
      <c r="BX48" s="270"/>
      <c r="BY48" s="270"/>
      <c r="BZ48" s="270"/>
      <c r="CA48" s="270"/>
      <c r="CB48" s="270"/>
      <c r="CC48" s="270"/>
      <c r="CD48" s="270"/>
      <c r="CE48" s="270"/>
      <c r="CF48" s="270"/>
      <c r="CG48" s="270"/>
    </row>
    <row r="49" spans="1:85" ht="18">
      <c r="A49" s="763"/>
      <c r="B49" s="322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2"/>
      <c r="AJ49" s="322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2"/>
      <c r="AZ49" s="322"/>
      <c r="BA49" s="322"/>
      <c r="BB49" s="322"/>
      <c r="BC49" s="322"/>
      <c r="BD49" s="322"/>
      <c r="BE49" s="322"/>
      <c r="BF49" s="322"/>
      <c r="BG49" s="322"/>
      <c r="BH49" s="322"/>
      <c r="BI49" s="322"/>
      <c r="BJ49" s="322"/>
      <c r="BK49" s="322"/>
      <c r="BL49" s="322"/>
      <c r="BM49" s="322"/>
      <c r="BN49" s="322"/>
      <c r="BO49" s="322"/>
      <c r="BP49" s="322"/>
      <c r="BQ49" s="322"/>
      <c r="BR49" s="322"/>
      <c r="BS49" s="322"/>
      <c r="BT49" s="322"/>
      <c r="BU49" s="322"/>
      <c r="BV49" s="322"/>
      <c r="BW49" s="322"/>
      <c r="BX49" s="322"/>
      <c r="BY49" s="322"/>
      <c r="BZ49" s="322"/>
      <c r="CA49" s="322"/>
      <c r="CB49" s="322"/>
      <c r="CC49" s="322"/>
      <c r="CD49" s="322"/>
      <c r="CE49" s="322"/>
      <c r="CF49" s="322"/>
      <c r="CG49" s="322"/>
    </row>
    <row r="50" spans="1:85" ht="18.75">
      <c r="A50" s="764"/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2"/>
      <c r="U50" s="322"/>
      <c r="V50" s="322"/>
      <c r="W50" s="322"/>
      <c r="X50" s="322"/>
      <c r="Y50" s="322"/>
      <c r="Z50" s="322"/>
      <c r="AA50" s="322"/>
      <c r="AB50" s="322"/>
      <c r="AC50" s="322"/>
      <c r="AD50" s="322"/>
      <c r="AE50" s="322"/>
      <c r="AF50" s="322"/>
      <c r="AG50" s="322"/>
      <c r="AH50" s="322"/>
      <c r="AI50" s="322"/>
      <c r="AJ50" s="322"/>
      <c r="AK50" s="322"/>
      <c r="AL50" s="322"/>
      <c r="AM50" s="322"/>
      <c r="AN50" s="322"/>
      <c r="AO50" s="322"/>
      <c r="AP50" s="322"/>
      <c r="AQ50" s="322"/>
      <c r="AR50" s="322"/>
      <c r="AS50" s="322"/>
      <c r="AT50" s="322"/>
      <c r="AU50" s="322"/>
      <c r="AV50" s="322"/>
      <c r="AW50" s="322"/>
      <c r="AX50" s="322"/>
      <c r="AY50" s="322"/>
      <c r="AZ50" s="322"/>
      <c r="BA50" s="322"/>
      <c r="BB50" s="322"/>
      <c r="BC50" s="322"/>
      <c r="BD50" s="322"/>
      <c r="BE50" s="322"/>
      <c r="BF50" s="322"/>
      <c r="BG50" s="322"/>
      <c r="BH50" s="322"/>
      <c r="BI50" s="322"/>
      <c r="BJ50" s="322"/>
      <c r="BK50" s="322"/>
      <c r="BL50" s="322"/>
      <c r="BM50" s="322"/>
      <c r="BN50" s="322"/>
      <c r="BO50" s="322"/>
      <c r="BP50" s="322"/>
      <c r="BQ50" s="322"/>
      <c r="BR50" s="322"/>
      <c r="BS50" s="322"/>
      <c r="BT50" s="322"/>
      <c r="BU50" s="322"/>
      <c r="BV50" s="322"/>
      <c r="BW50" s="322"/>
      <c r="BX50" s="322"/>
      <c r="BY50" s="322"/>
      <c r="BZ50" s="322"/>
      <c r="CA50" s="322"/>
      <c r="CB50" s="322"/>
      <c r="CC50" s="322"/>
      <c r="CD50" s="322"/>
      <c r="CE50" s="322"/>
      <c r="CF50" s="322"/>
      <c r="CG50" s="322"/>
    </row>
  </sheetData>
  <mergeCells count="15">
    <mergeCell ref="A2:FH2"/>
    <mergeCell ref="A3:FH3"/>
    <mergeCell ref="A6:A8"/>
    <mergeCell ref="FH6:FH8"/>
    <mergeCell ref="A36:FG36"/>
    <mergeCell ref="B6:M6"/>
    <mergeCell ref="N6:Y6"/>
    <mergeCell ref="Z6:AK6"/>
    <mergeCell ref="AV6:AW6"/>
    <mergeCell ref="BV6:CG6"/>
    <mergeCell ref="CT6:DE6"/>
    <mergeCell ref="DF6:DQ6"/>
    <mergeCell ref="DR6:EC6"/>
    <mergeCell ref="EP6:FA6"/>
    <mergeCell ref="FB6:FG6"/>
  </mergeCells>
  <pageMargins left="0.7" right="0.7" top="0.75" bottom="0.75" header="0.3" footer="0.3"/>
  <pageSetup scale="1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6">
    <tabColor rgb="FF92D050"/>
  </sheetPr>
  <dimension ref="A1:KP63"/>
  <sheetViews>
    <sheetView showGridLines="0" view="pageBreakPreview" zoomScale="60" zoomScaleNormal="100" workbookViewId="0">
      <selection activeCell="F40" sqref="F40"/>
    </sheetView>
  </sheetViews>
  <sheetFormatPr defaultColWidth="9.140625" defaultRowHeight="15"/>
  <cols>
    <col min="1" max="1" width="61.42578125" style="765" customWidth="1"/>
    <col min="2" max="12" width="13.5703125" style="319" hidden="1" customWidth="1"/>
    <col min="13" max="13" width="19" style="319" hidden="1" customWidth="1"/>
    <col min="14" max="23" width="13.5703125" style="319" hidden="1" customWidth="1"/>
    <col min="24" max="24" width="13.28515625" style="319" hidden="1" customWidth="1"/>
    <col min="25" max="25" width="18.140625" style="319" hidden="1" customWidth="1"/>
    <col min="26" max="33" width="14.7109375" style="319" hidden="1" customWidth="1"/>
    <col min="34" max="34" width="17.85546875" style="319" hidden="1" customWidth="1"/>
    <col min="35" max="35" width="18.140625" style="319" hidden="1" customWidth="1"/>
    <col min="36" max="36" width="18.5703125" style="319" hidden="1" customWidth="1"/>
    <col min="37" max="37" width="16.85546875" style="319" hidden="1" customWidth="1"/>
    <col min="38" max="45" width="14.7109375" style="319" hidden="1" customWidth="1"/>
    <col min="46" max="60" width="17.85546875" style="319" hidden="1" customWidth="1"/>
    <col min="61" max="61" width="14.42578125" style="319" customWidth="1"/>
    <col min="62" max="72" width="17.85546875" style="319" hidden="1" customWidth="1"/>
    <col min="73" max="73" width="14.42578125" style="319" customWidth="1"/>
    <col min="74" max="82" width="17.85546875" style="319" hidden="1" customWidth="1"/>
    <col min="83" max="84" width="17.42578125" style="319" hidden="1" customWidth="1"/>
    <col min="85" max="85" width="14.42578125" style="319" customWidth="1"/>
    <col min="86" max="90" width="19.28515625" style="319" hidden="1" customWidth="1"/>
    <col min="91" max="96" width="20.5703125" style="319" hidden="1" customWidth="1"/>
    <col min="97" max="97" width="14.42578125" style="319" customWidth="1"/>
    <col min="98" max="108" width="14.42578125" style="319" hidden="1" customWidth="1"/>
    <col min="109" max="109" width="14.42578125" style="319" customWidth="1"/>
    <col min="110" max="120" width="14.42578125" style="319" hidden="1" customWidth="1"/>
    <col min="121" max="121" width="14.42578125" style="319" customWidth="1"/>
    <col min="122" max="132" width="14.42578125" style="319" hidden="1" customWidth="1"/>
    <col min="133" max="133" width="14.42578125" style="319" customWidth="1"/>
    <col min="134" max="144" width="14.42578125" style="319" hidden="1" customWidth="1"/>
    <col min="145" max="145" width="14.42578125" style="319" customWidth="1"/>
    <col min="146" max="156" width="14.42578125" style="319" hidden="1" customWidth="1"/>
    <col min="157" max="163" width="14.42578125" style="319" customWidth="1"/>
    <col min="164" max="164" width="48.85546875" style="319" customWidth="1"/>
    <col min="165" max="166" width="9.140625" style="319"/>
    <col min="167" max="167" width="0" style="319" hidden="1" customWidth="1"/>
    <col min="168" max="16384" width="9.140625" style="319"/>
  </cols>
  <sheetData>
    <row r="1" spans="1:302" ht="19.5" customHeight="1"/>
    <row r="2" spans="1:302" ht="34.9" customHeight="1">
      <c r="A2" s="2342" t="s">
        <v>3283</v>
      </c>
      <c r="B2" s="2342"/>
      <c r="C2" s="2342"/>
      <c r="D2" s="2342"/>
      <c r="E2" s="2342"/>
      <c r="F2" s="2342"/>
      <c r="G2" s="2342"/>
      <c r="H2" s="2342"/>
      <c r="I2" s="2342"/>
      <c r="J2" s="2342"/>
      <c r="K2" s="2342"/>
      <c r="L2" s="2342"/>
      <c r="M2" s="2342"/>
      <c r="N2" s="2342"/>
      <c r="O2" s="2342"/>
      <c r="P2" s="2342"/>
      <c r="Q2" s="2342"/>
      <c r="R2" s="2342"/>
      <c r="S2" s="2342"/>
      <c r="T2" s="2342"/>
      <c r="U2" s="2342"/>
      <c r="V2" s="2342"/>
      <c r="W2" s="2342"/>
      <c r="X2" s="2342"/>
      <c r="Y2" s="2342"/>
      <c r="Z2" s="2342"/>
      <c r="AA2" s="2342"/>
      <c r="AB2" s="2342"/>
      <c r="AC2" s="2342"/>
      <c r="AD2" s="2342"/>
      <c r="AE2" s="2342"/>
      <c r="AF2" s="2342"/>
      <c r="AG2" s="2342"/>
      <c r="AH2" s="2342"/>
      <c r="AI2" s="2342"/>
      <c r="AJ2" s="2342"/>
      <c r="AK2" s="2342"/>
      <c r="AL2" s="2342"/>
      <c r="AM2" s="2342"/>
      <c r="AN2" s="2342"/>
      <c r="AO2" s="2342"/>
      <c r="AP2" s="2342"/>
      <c r="AQ2" s="2342"/>
      <c r="AR2" s="2342"/>
      <c r="AS2" s="2342"/>
      <c r="AT2" s="2342"/>
      <c r="AU2" s="2342"/>
      <c r="AV2" s="2342"/>
      <c r="AW2" s="2342"/>
      <c r="AX2" s="2342"/>
      <c r="AY2" s="2342"/>
      <c r="AZ2" s="2342"/>
      <c r="BA2" s="2342"/>
      <c r="BB2" s="2342"/>
      <c r="BC2" s="2342"/>
      <c r="BD2" s="2342"/>
      <c r="BE2" s="2342"/>
      <c r="BF2" s="2342"/>
      <c r="BG2" s="2342"/>
      <c r="BH2" s="2342"/>
      <c r="BI2" s="2342"/>
      <c r="BJ2" s="2342"/>
      <c r="BK2" s="2342"/>
      <c r="BL2" s="2342"/>
      <c r="BM2" s="2342"/>
      <c r="BN2" s="2342"/>
      <c r="BO2" s="2342"/>
      <c r="BP2" s="2342"/>
      <c r="BQ2" s="2342"/>
      <c r="BR2" s="2342"/>
      <c r="BS2" s="2342"/>
      <c r="BT2" s="2342"/>
      <c r="BU2" s="2342"/>
      <c r="BV2" s="2342"/>
      <c r="BW2" s="2342"/>
      <c r="BX2" s="2342"/>
      <c r="BY2" s="2342"/>
      <c r="BZ2" s="2342"/>
      <c r="CA2" s="2342"/>
      <c r="CB2" s="2342"/>
      <c r="CC2" s="2342"/>
      <c r="CD2" s="2342"/>
      <c r="CE2" s="2342"/>
      <c r="CF2" s="2342"/>
      <c r="CG2" s="2342"/>
      <c r="CH2" s="2342"/>
      <c r="CI2" s="2342"/>
      <c r="CJ2" s="2342"/>
      <c r="CK2" s="2342"/>
      <c r="CL2" s="2342"/>
      <c r="CM2" s="2342"/>
      <c r="CN2" s="2342"/>
      <c r="CO2" s="2342"/>
      <c r="CP2" s="2342"/>
      <c r="CQ2" s="2342"/>
      <c r="CR2" s="2342"/>
      <c r="CS2" s="2342"/>
      <c r="CT2" s="2342"/>
      <c r="CU2" s="2342"/>
      <c r="CV2" s="2342"/>
      <c r="CW2" s="2342"/>
      <c r="CX2" s="2342"/>
      <c r="CY2" s="2342"/>
      <c r="CZ2" s="2342"/>
      <c r="DA2" s="2342"/>
      <c r="DB2" s="2342"/>
      <c r="DC2" s="2342"/>
      <c r="DD2" s="2342"/>
      <c r="DE2" s="2342"/>
      <c r="DF2" s="2342"/>
      <c r="DG2" s="2342"/>
      <c r="DH2" s="2342"/>
      <c r="DI2" s="2342"/>
      <c r="DJ2" s="2342"/>
      <c r="DK2" s="2342"/>
      <c r="DL2" s="2342"/>
      <c r="DM2" s="2342"/>
      <c r="DN2" s="2342"/>
      <c r="DO2" s="2342"/>
      <c r="DP2" s="2342"/>
      <c r="DQ2" s="2342"/>
      <c r="DR2" s="2342"/>
      <c r="DS2" s="2342"/>
      <c r="DT2" s="2342"/>
      <c r="DU2" s="2342"/>
      <c r="DV2" s="2342"/>
      <c r="DW2" s="2342"/>
      <c r="DX2" s="2342"/>
      <c r="DY2" s="2342"/>
      <c r="DZ2" s="2342"/>
      <c r="EA2" s="2342"/>
      <c r="EB2" s="2342"/>
      <c r="EC2" s="2342"/>
      <c r="ED2" s="2342"/>
      <c r="EE2" s="2342"/>
      <c r="EF2" s="2342"/>
      <c r="EG2" s="2342"/>
      <c r="EH2" s="2342"/>
      <c r="EI2" s="2342"/>
      <c r="EJ2" s="2342"/>
      <c r="EK2" s="2342"/>
      <c r="EL2" s="2342"/>
      <c r="EM2" s="2342"/>
      <c r="EN2" s="2342"/>
      <c r="EO2" s="2342"/>
      <c r="EP2" s="2342"/>
      <c r="EQ2" s="2342"/>
      <c r="ER2" s="2342"/>
      <c r="ES2" s="2342"/>
      <c r="ET2" s="2342"/>
      <c r="EU2" s="2342"/>
      <c r="EV2" s="2342"/>
      <c r="EW2" s="2342"/>
      <c r="EX2" s="2342"/>
      <c r="EY2" s="2342"/>
      <c r="EZ2" s="2342"/>
      <c r="FA2" s="2342"/>
      <c r="FB2" s="2342"/>
      <c r="FC2" s="2342"/>
      <c r="FD2" s="2342"/>
      <c r="FE2" s="2342"/>
      <c r="FF2" s="2342"/>
      <c r="FG2" s="2342"/>
      <c r="FH2" s="2342"/>
    </row>
    <row r="3" spans="1:302" ht="40.5" customHeight="1">
      <c r="A3" s="2343" t="s">
        <v>3273</v>
      </c>
      <c r="B3" s="2343"/>
      <c r="C3" s="2343"/>
      <c r="D3" s="2343"/>
      <c r="E3" s="2343"/>
      <c r="F3" s="2343"/>
      <c r="G3" s="2343"/>
      <c r="H3" s="2343"/>
      <c r="I3" s="2343"/>
      <c r="J3" s="2343"/>
      <c r="K3" s="2343"/>
      <c r="L3" s="2343"/>
      <c r="M3" s="2343"/>
      <c r="N3" s="2343"/>
      <c r="O3" s="2343"/>
      <c r="P3" s="2343"/>
      <c r="Q3" s="2343"/>
      <c r="R3" s="2343"/>
      <c r="S3" s="2343"/>
      <c r="T3" s="2343"/>
      <c r="U3" s="2343"/>
      <c r="V3" s="2343"/>
      <c r="W3" s="2343"/>
      <c r="X3" s="2343"/>
      <c r="Y3" s="2343"/>
      <c r="Z3" s="2343"/>
      <c r="AA3" s="2343"/>
      <c r="AB3" s="2343"/>
      <c r="AC3" s="2343"/>
      <c r="AD3" s="2343"/>
      <c r="AE3" s="2343"/>
      <c r="AF3" s="2343"/>
      <c r="AG3" s="2343"/>
      <c r="AH3" s="2343"/>
      <c r="AI3" s="2343"/>
      <c r="AJ3" s="2343"/>
      <c r="AK3" s="2343"/>
      <c r="AL3" s="2343"/>
      <c r="AM3" s="2343"/>
      <c r="AN3" s="2343"/>
      <c r="AO3" s="2343"/>
      <c r="AP3" s="2343"/>
      <c r="AQ3" s="2343"/>
      <c r="AR3" s="2343"/>
      <c r="AS3" s="2343"/>
      <c r="AT3" s="2343"/>
      <c r="AU3" s="2343"/>
      <c r="AV3" s="2343"/>
      <c r="AW3" s="2343"/>
      <c r="AX3" s="2343"/>
      <c r="AY3" s="2343"/>
      <c r="AZ3" s="2343"/>
      <c r="BA3" s="2343"/>
      <c r="BB3" s="2343"/>
      <c r="BC3" s="2343"/>
      <c r="BD3" s="2343"/>
      <c r="BE3" s="2343"/>
      <c r="BF3" s="2343"/>
      <c r="BG3" s="2343"/>
      <c r="BH3" s="2343"/>
      <c r="BI3" s="2343"/>
      <c r="BJ3" s="2343"/>
      <c r="BK3" s="2343"/>
      <c r="BL3" s="2343"/>
      <c r="BM3" s="2343"/>
      <c r="BN3" s="2343"/>
      <c r="BO3" s="2343"/>
      <c r="BP3" s="2343"/>
      <c r="BQ3" s="2343"/>
      <c r="BR3" s="2343"/>
      <c r="BS3" s="2343"/>
      <c r="BT3" s="2343"/>
      <c r="BU3" s="2343"/>
      <c r="BV3" s="2343"/>
      <c r="BW3" s="2343"/>
      <c r="BX3" s="2343"/>
      <c r="BY3" s="2343"/>
      <c r="BZ3" s="2343"/>
      <c r="CA3" s="2343"/>
      <c r="CB3" s="2343"/>
      <c r="CC3" s="2343"/>
      <c r="CD3" s="2343"/>
      <c r="CE3" s="2343"/>
      <c r="CF3" s="2343"/>
      <c r="CG3" s="2343"/>
      <c r="CH3" s="2343"/>
      <c r="CI3" s="2343"/>
      <c r="CJ3" s="2343"/>
      <c r="CK3" s="2343"/>
      <c r="CL3" s="2343"/>
      <c r="CM3" s="2343"/>
      <c r="CN3" s="2343"/>
      <c r="CO3" s="2343"/>
      <c r="CP3" s="2343"/>
      <c r="CQ3" s="2343"/>
      <c r="CR3" s="2343"/>
      <c r="CS3" s="2343"/>
      <c r="CT3" s="2343"/>
      <c r="CU3" s="2343"/>
      <c r="CV3" s="2343"/>
      <c r="CW3" s="2343"/>
      <c r="CX3" s="2343"/>
      <c r="CY3" s="2343"/>
      <c r="CZ3" s="2343"/>
      <c r="DA3" s="2343"/>
      <c r="DB3" s="2343"/>
      <c r="DC3" s="2343"/>
      <c r="DD3" s="2343"/>
      <c r="DE3" s="2343"/>
      <c r="DF3" s="2343"/>
      <c r="DG3" s="2343"/>
      <c r="DH3" s="2343"/>
      <c r="DI3" s="2343"/>
      <c r="DJ3" s="2343"/>
      <c r="DK3" s="2343"/>
      <c r="DL3" s="2343"/>
      <c r="DM3" s="2343"/>
      <c r="DN3" s="2343"/>
      <c r="DO3" s="2343"/>
      <c r="DP3" s="2343"/>
      <c r="DQ3" s="2343"/>
      <c r="DR3" s="2343"/>
      <c r="DS3" s="2343"/>
      <c r="DT3" s="2343"/>
      <c r="DU3" s="2343"/>
      <c r="DV3" s="2343"/>
      <c r="DW3" s="2343"/>
      <c r="DX3" s="2343"/>
      <c r="DY3" s="2343"/>
      <c r="DZ3" s="2343"/>
      <c r="EA3" s="2343"/>
      <c r="EB3" s="2343"/>
      <c r="EC3" s="2343"/>
      <c r="ED3" s="2343"/>
      <c r="EE3" s="2343"/>
      <c r="EF3" s="2343"/>
      <c r="EG3" s="2343"/>
      <c r="EH3" s="2343"/>
      <c r="EI3" s="2343"/>
      <c r="EJ3" s="2343"/>
      <c r="EK3" s="2343"/>
      <c r="EL3" s="2343"/>
      <c r="EM3" s="2343"/>
      <c r="EN3" s="2343"/>
      <c r="EO3" s="2343"/>
      <c r="EP3" s="2343"/>
      <c r="EQ3" s="2343"/>
      <c r="ER3" s="2343"/>
      <c r="ES3" s="2343"/>
      <c r="ET3" s="2343"/>
      <c r="EU3" s="2343"/>
      <c r="EV3" s="2343"/>
      <c r="EW3" s="2343"/>
      <c r="EX3" s="2343"/>
      <c r="EY3" s="2343"/>
      <c r="EZ3" s="2343"/>
      <c r="FA3" s="2343"/>
      <c r="FB3" s="2343"/>
      <c r="FC3" s="2343"/>
      <c r="FD3" s="2343"/>
      <c r="FE3" s="2343"/>
      <c r="FF3" s="2343"/>
      <c r="FG3" s="2343"/>
      <c r="FH3" s="2343"/>
    </row>
    <row r="4" spans="1:302" ht="20.25" customHeight="1">
      <c r="A4" s="752"/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  <c r="Z4" s="494"/>
      <c r="AA4" s="494"/>
      <c r="AB4" s="494"/>
      <c r="AC4" s="494"/>
      <c r="AD4" s="494"/>
      <c r="AE4" s="494"/>
      <c r="AF4" s="494"/>
      <c r="AG4" s="494"/>
      <c r="AH4" s="494"/>
      <c r="AI4" s="494"/>
      <c r="AJ4" s="494"/>
      <c r="AK4" s="494"/>
      <c r="AL4" s="494"/>
      <c r="AM4" s="494"/>
      <c r="AN4" s="494"/>
      <c r="AO4" s="494"/>
      <c r="AP4" s="494"/>
      <c r="AQ4" s="494"/>
      <c r="AR4" s="494"/>
      <c r="AS4" s="494"/>
      <c r="AT4" s="494"/>
      <c r="AU4" s="494"/>
      <c r="AV4" s="494"/>
      <c r="AW4" s="494"/>
      <c r="AX4" s="494"/>
      <c r="AY4" s="494"/>
      <c r="AZ4" s="494"/>
      <c r="BA4" s="494"/>
      <c r="BB4" s="494"/>
      <c r="BC4" s="494"/>
      <c r="BD4" s="494"/>
      <c r="BE4" s="494"/>
      <c r="BF4" s="494"/>
      <c r="BG4" s="494"/>
      <c r="BH4" s="494"/>
      <c r="BI4" s="494"/>
      <c r="BJ4" s="494"/>
      <c r="BK4" s="494"/>
      <c r="BL4" s="494"/>
      <c r="BM4" s="494"/>
      <c r="BN4" s="494"/>
      <c r="BO4" s="494"/>
      <c r="BP4" s="494"/>
      <c r="BQ4" s="494"/>
      <c r="BR4" s="494"/>
      <c r="BS4" s="494"/>
      <c r="BT4" s="494"/>
      <c r="BU4" s="494"/>
      <c r="BV4" s="494"/>
      <c r="BW4" s="494"/>
      <c r="BX4" s="494"/>
      <c r="BY4" s="494"/>
      <c r="BZ4" s="494"/>
      <c r="CA4" s="494"/>
      <c r="CB4" s="494"/>
      <c r="CC4" s="494"/>
      <c r="CD4" s="494"/>
      <c r="CE4" s="494"/>
      <c r="CF4" s="494"/>
      <c r="CG4" s="494"/>
      <c r="CH4" s="494"/>
      <c r="CI4" s="494"/>
      <c r="CJ4" s="494"/>
      <c r="CK4" s="494"/>
      <c r="CL4" s="494"/>
      <c r="CM4" s="494"/>
      <c r="CN4" s="494"/>
      <c r="CO4" s="494"/>
      <c r="CP4" s="494"/>
      <c r="CQ4" s="494"/>
      <c r="CR4" s="494"/>
      <c r="CS4" s="494"/>
      <c r="CT4" s="494"/>
      <c r="CU4" s="494"/>
      <c r="CV4" s="494"/>
      <c r="CW4" s="494"/>
      <c r="CX4" s="494"/>
      <c r="CY4" s="494"/>
      <c r="CZ4" s="494"/>
      <c r="DA4" s="494"/>
      <c r="DB4" s="494"/>
      <c r="DC4" s="494"/>
      <c r="DD4" s="494"/>
      <c r="DE4" s="494"/>
      <c r="DF4" s="494"/>
      <c r="DG4" s="494"/>
      <c r="DH4" s="494"/>
      <c r="DI4" s="494"/>
      <c r="DJ4" s="494"/>
      <c r="DK4" s="494"/>
      <c r="DL4" s="494"/>
      <c r="DM4" s="494"/>
      <c r="DN4" s="494"/>
      <c r="DO4" s="494"/>
      <c r="DP4" s="494"/>
      <c r="DQ4" s="494"/>
      <c r="DR4" s="494"/>
      <c r="DS4" s="494"/>
      <c r="DT4" s="494"/>
      <c r="DU4" s="494"/>
      <c r="DV4" s="494"/>
      <c r="DW4" s="494"/>
      <c r="DX4" s="494"/>
      <c r="DY4" s="494"/>
      <c r="DZ4" s="494"/>
      <c r="EA4" s="494"/>
      <c r="EB4" s="494"/>
      <c r="EC4" s="494"/>
      <c r="ED4" s="494"/>
      <c r="EE4" s="494"/>
      <c r="EF4" s="494"/>
      <c r="EG4" s="494"/>
      <c r="EH4" s="494"/>
      <c r="EI4" s="494"/>
      <c r="EJ4" s="494"/>
      <c r="EK4" s="494"/>
      <c r="EL4" s="494"/>
      <c r="EM4" s="494"/>
      <c r="EN4" s="494"/>
      <c r="EO4" s="494"/>
      <c r="EP4" s="494"/>
      <c r="EQ4" s="494"/>
      <c r="ER4" s="494"/>
      <c r="ES4" s="494"/>
      <c r="ET4" s="494"/>
      <c r="EU4" s="494"/>
      <c r="EV4" s="494"/>
      <c r="EW4" s="494"/>
      <c r="EX4" s="494"/>
      <c r="EY4" s="494"/>
      <c r="EZ4" s="494"/>
      <c r="FA4" s="494"/>
      <c r="FB4" s="494"/>
      <c r="FC4" s="494"/>
      <c r="FD4" s="494"/>
      <c r="FE4" s="494"/>
      <c r="FF4" s="494"/>
      <c r="FG4" s="494"/>
      <c r="FH4" s="752"/>
    </row>
    <row r="5" spans="1:302" ht="20.25" customHeight="1">
      <c r="A5" s="2348"/>
      <c r="B5" s="2348"/>
      <c r="C5" s="2348"/>
      <c r="D5" s="2348"/>
      <c r="E5" s="2348"/>
      <c r="F5" s="2348"/>
      <c r="G5" s="2348"/>
      <c r="H5" s="2348"/>
      <c r="I5" s="2348"/>
      <c r="J5" s="2348"/>
      <c r="K5" s="2348"/>
      <c r="L5" s="2348"/>
      <c r="M5" s="2348"/>
      <c r="N5" s="2348"/>
      <c r="O5" s="2348"/>
      <c r="P5" s="2348"/>
      <c r="Q5" s="2348"/>
      <c r="R5" s="2348"/>
      <c r="S5" s="2348"/>
      <c r="T5" s="2348"/>
      <c r="U5" s="2348"/>
      <c r="V5" s="2348"/>
      <c r="W5" s="2348"/>
      <c r="X5" s="2348"/>
      <c r="Y5" s="2348"/>
      <c r="Z5" s="2348"/>
      <c r="AA5" s="2348"/>
      <c r="AB5" s="2348"/>
      <c r="AC5" s="2348"/>
      <c r="AD5" s="2348"/>
      <c r="AE5" s="2348"/>
      <c r="AF5" s="2348"/>
      <c r="AG5" s="2348"/>
      <c r="AH5" s="2348"/>
      <c r="AI5" s="2348"/>
      <c r="AJ5" s="2348"/>
      <c r="AK5" s="2348"/>
      <c r="AL5" s="2348"/>
      <c r="AM5" s="2348"/>
      <c r="AN5" s="2348"/>
      <c r="AO5" s="2348"/>
      <c r="AP5" s="2348"/>
      <c r="AQ5" s="2348"/>
      <c r="AR5" s="2348"/>
      <c r="AS5" s="2348"/>
      <c r="AT5" s="2348"/>
      <c r="AU5" s="2348"/>
      <c r="AV5" s="2348"/>
      <c r="AW5" s="2348"/>
      <c r="AX5" s="2348"/>
      <c r="AY5" s="2348"/>
      <c r="AZ5" s="2348"/>
      <c r="BA5" s="2348"/>
      <c r="BB5" s="2348"/>
      <c r="BC5" s="2348"/>
      <c r="BD5" s="2348"/>
      <c r="BE5" s="2348"/>
      <c r="BF5" s="2348"/>
      <c r="BG5" s="2348"/>
      <c r="BH5" s="2348"/>
      <c r="BI5" s="2348"/>
      <c r="BJ5" s="2348"/>
      <c r="BK5" s="2348"/>
      <c r="BL5" s="2348"/>
      <c r="BM5" s="2348"/>
      <c r="BN5" s="2348"/>
      <c r="BO5" s="2348"/>
      <c r="BP5" s="2348"/>
      <c r="BQ5" s="2348"/>
      <c r="BR5" s="2348"/>
      <c r="BS5" s="2348"/>
      <c r="BT5" s="2348"/>
      <c r="BU5" s="2348"/>
      <c r="BV5" s="2348"/>
      <c r="BW5" s="2348"/>
      <c r="BX5" s="2348"/>
      <c r="BY5" s="2348"/>
      <c r="BZ5" s="2348"/>
      <c r="CA5" s="2348"/>
      <c r="CB5" s="2348"/>
      <c r="CC5" s="2348"/>
      <c r="CD5" s="2348"/>
      <c r="CE5" s="2348"/>
      <c r="CF5" s="2348"/>
      <c r="CG5" s="2348"/>
      <c r="CH5" s="2348"/>
      <c r="CI5" s="2348"/>
      <c r="CJ5" s="2348"/>
      <c r="CK5" s="2348"/>
      <c r="CL5" s="2348"/>
      <c r="CM5" s="2348"/>
      <c r="CN5" s="2348"/>
      <c r="CO5" s="2348"/>
      <c r="CP5" s="2348"/>
      <c r="CQ5" s="2348"/>
      <c r="CR5" s="2348"/>
      <c r="CS5" s="2348"/>
      <c r="CT5" s="2348"/>
      <c r="CU5" s="2348"/>
      <c r="CV5" s="2348"/>
      <c r="CW5" s="2348"/>
      <c r="CX5" s="2348"/>
      <c r="CY5" s="2348"/>
      <c r="CZ5" s="2348"/>
      <c r="DA5" s="2348"/>
      <c r="DB5" s="2348"/>
      <c r="DC5" s="2348"/>
      <c r="DD5" s="2348"/>
      <c r="DE5" s="2348"/>
      <c r="DF5" s="2348"/>
      <c r="DG5" s="2348"/>
      <c r="DH5" s="2348"/>
      <c r="DI5" s="2348"/>
      <c r="DJ5" s="2348"/>
      <c r="DK5" s="2348"/>
      <c r="DL5" s="2348"/>
      <c r="DM5" s="2348"/>
      <c r="DN5" s="2348"/>
      <c r="DO5" s="2348"/>
      <c r="DP5" s="2348"/>
      <c r="DQ5" s="2348"/>
      <c r="DR5" s="2348"/>
      <c r="DS5" s="2348"/>
      <c r="DT5" s="2348"/>
      <c r="DU5" s="2348"/>
      <c r="DV5" s="2348"/>
      <c r="DW5" s="2348"/>
      <c r="DX5" s="2348"/>
      <c r="DY5" s="2348"/>
      <c r="DZ5" s="2348"/>
      <c r="EA5" s="2348"/>
      <c r="EB5" s="2348"/>
      <c r="EC5" s="2348"/>
      <c r="ED5" s="2348"/>
      <c r="EE5" s="2348"/>
      <c r="EF5" s="2348"/>
      <c r="EG5" s="2348"/>
      <c r="EH5" s="2348"/>
      <c r="EI5" s="2348"/>
      <c r="EJ5" s="2348"/>
      <c r="EK5" s="2348"/>
      <c r="EL5" s="2348"/>
      <c r="EM5" s="2348"/>
      <c r="EN5" s="2348"/>
      <c r="EO5" s="2348"/>
      <c r="EP5" s="2348"/>
      <c r="EQ5" s="2348"/>
      <c r="ER5" s="2348"/>
      <c r="ES5" s="2348"/>
      <c r="ET5" s="2348"/>
      <c r="EU5" s="2348"/>
      <c r="EV5" s="2348"/>
      <c r="EW5" s="2348"/>
      <c r="EX5" s="2348"/>
      <c r="EY5" s="2348"/>
      <c r="EZ5" s="2348"/>
      <c r="FA5" s="2348"/>
      <c r="FB5" s="2348"/>
      <c r="FC5" s="2348"/>
      <c r="FD5" s="2348"/>
      <c r="FE5" s="2348"/>
      <c r="FF5" s="2348"/>
      <c r="FG5" s="2348"/>
      <c r="FH5" s="1709" t="s">
        <v>158</v>
      </c>
      <c r="FI5" s="1719"/>
      <c r="FJ5" s="1719"/>
      <c r="FK5" s="1719"/>
      <c r="FL5" s="1719"/>
      <c r="FM5" s="1719"/>
      <c r="FN5" s="1719"/>
      <c r="FO5" s="1719"/>
      <c r="FP5" s="1719"/>
      <c r="FQ5" s="1719"/>
      <c r="FR5" s="1719"/>
      <c r="FS5" s="1719"/>
      <c r="FT5" s="1719"/>
      <c r="FU5" s="1719"/>
      <c r="FV5" s="1719"/>
      <c r="FW5" s="1719"/>
      <c r="FX5" s="1719"/>
      <c r="FY5" s="1719"/>
      <c r="FZ5" s="1719"/>
      <c r="GA5" s="1719"/>
      <c r="GB5" s="1719"/>
      <c r="GC5" s="1719"/>
      <c r="GD5" s="1719"/>
      <c r="GE5" s="1719"/>
      <c r="GF5" s="1719"/>
      <c r="GG5" s="1719"/>
      <c r="GH5" s="1719"/>
      <c r="GI5" s="1719"/>
      <c r="GJ5" s="1719"/>
      <c r="GK5" s="1719"/>
      <c r="GL5" s="1719"/>
      <c r="GM5" s="1719"/>
      <c r="GN5" s="1719"/>
      <c r="GO5" s="1719"/>
      <c r="GP5" s="1719"/>
      <c r="GQ5" s="1719"/>
      <c r="GR5" s="1719"/>
      <c r="GS5" s="1719"/>
      <c r="GT5" s="1719"/>
      <c r="GU5" s="1719"/>
      <c r="GV5" s="1719"/>
      <c r="GW5" s="1719"/>
      <c r="GX5" s="1719"/>
      <c r="GY5" s="1719"/>
      <c r="GZ5" s="1719"/>
      <c r="HA5" s="1719"/>
      <c r="HB5" s="1719"/>
      <c r="HC5" s="1719"/>
      <c r="HD5" s="1719"/>
      <c r="HE5" s="1719"/>
      <c r="HF5" s="1719"/>
      <c r="HG5" s="1719"/>
      <c r="HH5" s="1719"/>
      <c r="HI5" s="1719"/>
      <c r="HJ5" s="1719"/>
      <c r="HK5" s="1719"/>
      <c r="HL5" s="1719"/>
      <c r="HM5" s="1719"/>
      <c r="HN5" s="1719"/>
      <c r="HO5" s="1719"/>
      <c r="HP5" s="1719"/>
      <c r="HQ5" s="1719"/>
      <c r="HR5" s="1719"/>
      <c r="HS5" s="1719"/>
      <c r="HT5" s="1719"/>
      <c r="HU5" s="1719"/>
      <c r="HV5" s="1719"/>
      <c r="HW5" s="1719"/>
      <c r="HX5" s="1719"/>
      <c r="HY5" s="1719"/>
      <c r="HZ5" s="1719"/>
      <c r="IA5" s="1719"/>
      <c r="IB5" s="1719"/>
      <c r="IC5" s="1719"/>
      <c r="ID5" s="1719"/>
      <c r="IE5" s="1719"/>
      <c r="IF5" s="1719"/>
      <c r="IG5" s="1719"/>
      <c r="IH5" s="1719"/>
      <c r="II5" s="1719"/>
      <c r="IJ5" s="1719"/>
      <c r="IK5" s="1719"/>
      <c r="IL5" s="1719"/>
      <c r="IM5" s="1719"/>
      <c r="IN5" s="1719"/>
      <c r="IO5" s="1719"/>
      <c r="IP5" s="1719"/>
      <c r="IQ5" s="1719"/>
      <c r="IR5" s="1719"/>
      <c r="IS5" s="1719"/>
      <c r="IT5" s="1719"/>
      <c r="IU5" s="1719"/>
      <c r="IV5" s="1719"/>
      <c r="IW5" s="1719"/>
      <c r="IX5" s="1719"/>
      <c r="IY5" s="1719"/>
      <c r="IZ5" s="1719"/>
      <c r="JA5" s="1719"/>
      <c r="JB5" s="1719"/>
      <c r="JC5" s="1719"/>
      <c r="JD5" s="1719"/>
      <c r="JE5" s="1719"/>
      <c r="JF5" s="1719"/>
      <c r="JG5" s="1719"/>
      <c r="JH5" s="1719"/>
      <c r="JI5" s="1719"/>
      <c r="JJ5" s="1719"/>
      <c r="JK5" s="1719"/>
      <c r="JL5" s="1719"/>
      <c r="JM5" s="1719"/>
      <c r="JN5" s="1719"/>
      <c r="JO5" s="1719"/>
      <c r="JP5" s="1719"/>
      <c r="JQ5" s="1719"/>
      <c r="JR5" s="1719"/>
      <c r="JS5" s="1719"/>
      <c r="JT5" s="1719"/>
      <c r="JU5" s="1719"/>
      <c r="JV5" s="1719"/>
      <c r="JW5" s="1719"/>
      <c r="JX5" s="1719"/>
      <c r="JY5" s="1719"/>
      <c r="JZ5" s="1719"/>
      <c r="KA5" s="1719"/>
      <c r="KB5" s="1719"/>
      <c r="KC5" s="1719"/>
      <c r="KD5" s="1719"/>
      <c r="KE5" s="1719"/>
      <c r="KF5" s="1719"/>
      <c r="KG5" s="1719"/>
      <c r="KH5" s="1719"/>
      <c r="KI5" s="1719"/>
      <c r="KJ5" s="1719"/>
      <c r="KK5" s="1719"/>
      <c r="KL5" s="1719"/>
      <c r="KM5" s="1719"/>
      <c r="KN5" s="1719"/>
      <c r="KO5" s="1719"/>
      <c r="KP5" s="1719"/>
    </row>
    <row r="6" spans="1:302" ht="34.5" customHeight="1">
      <c r="A6" s="2344"/>
      <c r="B6" s="2316">
        <v>2013</v>
      </c>
      <c r="C6" s="2316"/>
      <c r="D6" s="2316"/>
      <c r="E6" s="2316"/>
      <c r="F6" s="2316"/>
      <c r="G6" s="2316"/>
      <c r="H6" s="2316"/>
      <c r="I6" s="2316"/>
      <c r="J6" s="2316"/>
      <c r="K6" s="2316"/>
      <c r="L6" s="2316"/>
      <c r="M6" s="2316">
        <v>2013</v>
      </c>
      <c r="N6" s="2316">
        <v>2014</v>
      </c>
      <c r="O6" s="2316"/>
      <c r="P6" s="2316"/>
      <c r="Q6" s="2316"/>
      <c r="R6" s="2316"/>
      <c r="S6" s="2316"/>
      <c r="T6" s="2316"/>
      <c r="U6" s="2316"/>
      <c r="V6" s="2316"/>
      <c r="W6" s="2316"/>
      <c r="X6" s="2316"/>
      <c r="Y6" s="2316">
        <v>2014</v>
      </c>
      <c r="Z6" s="2316">
        <v>2015</v>
      </c>
      <c r="AA6" s="2316"/>
      <c r="AB6" s="2316">
        <v>2015</v>
      </c>
      <c r="AC6" s="2316"/>
      <c r="AD6" s="2316"/>
      <c r="AE6" s="2316"/>
      <c r="AF6" s="2316"/>
      <c r="AG6" s="2316"/>
      <c r="AH6" s="2316"/>
      <c r="AI6" s="2316"/>
      <c r="AJ6" s="2316"/>
      <c r="AK6" s="2316"/>
      <c r="AL6" s="789">
        <v>2016</v>
      </c>
      <c r="AM6" s="789"/>
      <c r="AN6" s="789"/>
      <c r="AO6" s="789"/>
      <c r="AP6" s="789"/>
      <c r="AQ6" s="789"/>
      <c r="AR6" s="789"/>
      <c r="AS6" s="789"/>
      <c r="AT6" s="789"/>
      <c r="AU6" s="789"/>
      <c r="AV6" s="2316">
        <v>2016</v>
      </c>
      <c r="AW6" s="2316"/>
      <c r="AX6" s="789">
        <v>2017</v>
      </c>
      <c r="AY6" s="789"/>
      <c r="AZ6" s="789"/>
      <c r="BA6" s="789"/>
      <c r="BB6" s="789"/>
      <c r="BC6" s="789"/>
      <c r="BD6" s="789"/>
      <c r="BE6" s="789"/>
      <c r="BF6" s="789"/>
      <c r="BG6" s="789"/>
      <c r="BH6" s="829"/>
      <c r="BI6" s="832">
        <v>2017</v>
      </c>
      <c r="BJ6" s="833">
        <v>2018</v>
      </c>
      <c r="BK6" s="833"/>
      <c r="BL6" s="833"/>
      <c r="BM6" s="833"/>
      <c r="BN6" s="833"/>
      <c r="BO6" s="833"/>
      <c r="BP6" s="833"/>
      <c r="BQ6" s="833"/>
      <c r="BR6" s="833"/>
      <c r="BS6" s="833"/>
      <c r="BT6" s="833"/>
      <c r="BU6" s="832">
        <v>2018</v>
      </c>
      <c r="BV6" s="2341">
        <v>2019</v>
      </c>
      <c r="BW6" s="2341"/>
      <c r="BX6" s="2341"/>
      <c r="BY6" s="2341"/>
      <c r="BZ6" s="2341"/>
      <c r="CA6" s="2341"/>
      <c r="CB6" s="2341"/>
      <c r="CC6" s="2341"/>
      <c r="CD6" s="2341"/>
      <c r="CE6" s="2341"/>
      <c r="CF6" s="2341"/>
      <c r="CG6" s="2341"/>
      <c r="CH6" s="834">
        <v>2020</v>
      </c>
      <c r="CI6" s="834">
        <v>2020</v>
      </c>
      <c r="CJ6" s="834">
        <v>2020</v>
      </c>
      <c r="CK6" s="834">
        <v>2020</v>
      </c>
      <c r="CL6" s="834">
        <v>2020</v>
      </c>
      <c r="CM6" s="834">
        <v>2020</v>
      </c>
      <c r="CN6" s="834">
        <v>2020</v>
      </c>
      <c r="CO6" s="834">
        <v>2020</v>
      </c>
      <c r="CP6" s="834">
        <v>2020</v>
      </c>
      <c r="CQ6" s="834">
        <v>2020</v>
      </c>
      <c r="CR6" s="834">
        <v>2020</v>
      </c>
      <c r="CS6" s="834">
        <v>2020</v>
      </c>
      <c r="CT6" s="2318">
        <v>2021</v>
      </c>
      <c r="CU6" s="2319"/>
      <c r="CV6" s="2319"/>
      <c r="CW6" s="2319"/>
      <c r="CX6" s="2319"/>
      <c r="CY6" s="2319"/>
      <c r="CZ6" s="2319"/>
      <c r="DA6" s="2319"/>
      <c r="DB6" s="2319"/>
      <c r="DC6" s="2319"/>
      <c r="DD6" s="2319"/>
      <c r="DE6" s="2320"/>
      <c r="DF6" s="2321">
        <v>2022</v>
      </c>
      <c r="DG6" s="2319"/>
      <c r="DH6" s="2319"/>
      <c r="DI6" s="2319"/>
      <c r="DJ6" s="2319"/>
      <c r="DK6" s="2319"/>
      <c r="DL6" s="2319"/>
      <c r="DM6" s="2319"/>
      <c r="DN6" s="2319"/>
      <c r="DO6" s="2319"/>
      <c r="DP6" s="2319"/>
      <c r="DQ6" s="2320"/>
      <c r="DR6" s="2321">
        <v>2023</v>
      </c>
      <c r="DS6" s="2319"/>
      <c r="DT6" s="2319"/>
      <c r="DU6" s="2319"/>
      <c r="DV6" s="2319"/>
      <c r="DW6" s="2319"/>
      <c r="DX6" s="2319"/>
      <c r="DY6" s="2319"/>
      <c r="DZ6" s="2319"/>
      <c r="EA6" s="2319"/>
      <c r="EB6" s="2319"/>
      <c r="EC6" s="2320"/>
      <c r="ED6" s="1887">
        <v>2024</v>
      </c>
      <c r="EE6" s="1888"/>
      <c r="EF6" s="1888"/>
      <c r="EG6" s="1888"/>
      <c r="EH6" s="1888"/>
      <c r="EI6" s="1888"/>
      <c r="EJ6" s="1888"/>
      <c r="EK6" s="1888"/>
      <c r="EL6" s="1888"/>
      <c r="EM6" s="1888"/>
      <c r="EN6" s="1888"/>
      <c r="EO6" s="1886">
        <v>2024</v>
      </c>
      <c r="EP6" s="2321">
        <v>2025</v>
      </c>
      <c r="EQ6" s="2319"/>
      <c r="ER6" s="2319"/>
      <c r="ES6" s="2319"/>
      <c r="ET6" s="2319"/>
      <c r="EU6" s="2319"/>
      <c r="EV6" s="2319"/>
      <c r="EW6" s="2319"/>
      <c r="EX6" s="2319"/>
      <c r="EY6" s="2319"/>
      <c r="EZ6" s="2319"/>
      <c r="FA6" s="2320"/>
      <c r="FB6" s="2321">
        <v>2026</v>
      </c>
      <c r="FC6" s="2319"/>
      <c r="FD6" s="2319"/>
      <c r="FE6" s="2319"/>
      <c r="FF6" s="2319"/>
      <c r="FG6" s="2320"/>
      <c r="FH6" s="2345"/>
    </row>
    <row r="7" spans="1:302" ht="34.5" customHeight="1">
      <c r="A7" s="2311"/>
      <c r="B7" s="790" t="s">
        <v>1948</v>
      </c>
      <c r="C7" s="790" t="s">
        <v>1959</v>
      </c>
      <c r="D7" s="790" t="s">
        <v>1958</v>
      </c>
      <c r="E7" s="790" t="s">
        <v>1957</v>
      </c>
      <c r="F7" s="790" t="s">
        <v>1956</v>
      </c>
      <c r="G7" s="790" t="s">
        <v>1955</v>
      </c>
      <c r="H7" s="790" t="s">
        <v>1954</v>
      </c>
      <c r="I7" s="790" t="s">
        <v>1953</v>
      </c>
      <c r="J7" s="790" t="s">
        <v>1952</v>
      </c>
      <c r="K7" s="790" t="s">
        <v>1951</v>
      </c>
      <c r="L7" s="790" t="s">
        <v>1950</v>
      </c>
      <c r="M7" s="790" t="s">
        <v>1949</v>
      </c>
      <c r="N7" s="790" t="s">
        <v>1948</v>
      </c>
      <c r="O7" s="790" t="s">
        <v>1959</v>
      </c>
      <c r="P7" s="790" t="s">
        <v>1958</v>
      </c>
      <c r="Q7" s="790" t="s">
        <v>1957</v>
      </c>
      <c r="R7" s="790" t="s">
        <v>1956</v>
      </c>
      <c r="S7" s="790" t="s">
        <v>1955</v>
      </c>
      <c r="T7" s="790" t="s">
        <v>1954</v>
      </c>
      <c r="U7" s="790" t="s">
        <v>1953</v>
      </c>
      <c r="V7" s="790" t="s">
        <v>1952</v>
      </c>
      <c r="W7" s="790" t="s">
        <v>1951</v>
      </c>
      <c r="X7" s="790" t="s">
        <v>1950</v>
      </c>
      <c r="Y7" s="790" t="s">
        <v>1949</v>
      </c>
      <c r="Z7" s="790" t="s">
        <v>1948</v>
      </c>
      <c r="AA7" s="790" t="s">
        <v>1959</v>
      </c>
      <c r="AB7" s="790" t="s">
        <v>1958</v>
      </c>
      <c r="AC7" s="790" t="s">
        <v>1957</v>
      </c>
      <c r="AD7" s="790" t="s">
        <v>1956</v>
      </c>
      <c r="AE7" s="790" t="s">
        <v>1960</v>
      </c>
      <c r="AF7" s="790" t="s">
        <v>1964</v>
      </c>
      <c r="AG7" s="790" t="s">
        <v>1953</v>
      </c>
      <c r="AH7" s="790" t="s">
        <v>1952</v>
      </c>
      <c r="AI7" s="790" t="s">
        <v>1951</v>
      </c>
      <c r="AJ7" s="790" t="s">
        <v>1950</v>
      </c>
      <c r="AK7" s="790" t="s">
        <v>1949</v>
      </c>
      <c r="AL7" s="790" t="s">
        <v>1948</v>
      </c>
      <c r="AM7" s="790" t="s">
        <v>1959</v>
      </c>
      <c r="AN7" s="790" t="s">
        <v>1958</v>
      </c>
      <c r="AO7" s="790" t="s">
        <v>1957</v>
      </c>
      <c r="AP7" s="790" t="s">
        <v>1956</v>
      </c>
      <c r="AQ7" s="790" t="s">
        <v>1955</v>
      </c>
      <c r="AR7" s="790" t="s">
        <v>1954</v>
      </c>
      <c r="AS7" s="790" t="s">
        <v>1953</v>
      </c>
      <c r="AT7" s="790" t="s">
        <v>1952</v>
      </c>
      <c r="AU7" s="790" t="s">
        <v>1951</v>
      </c>
      <c r="AV7" s="790" t="s">
        <v>1950</v>
      </c>
      <c r="AW7" s="790" t="s">
        <v>1949</v>
      </c>
      <c r="AX7" s="790" t="s">
        <v>1948</v>
      </c>
      <c r="AY7" s="790" t="s">
        <v>1947</v>
      </c>
      <c r="AZ7" s="790" t="s">
        <v>1946</v>
      </c>
      <c r="BA7" s="790" t="s">
        <v>1945</v>
      </c>
      <c r="BB7" s="790" t="s">
        <v>1965</v>
      </c>
      <c r="BC7" s="790" t="s">
        <v>1966</v>
      </c>
      <c r="BD7" s="790" t="s">
        <v>1975</v>
      </c>
      <c r="BE7" s="790" t="s">
        <v>1985</v>
      </c>
      <c r="BF7" s="790" t="s">
        <v>1995</v>
      </c>
      <c r="BG7" s="790" t="s">
        <v>2008</v>
      </c>
      <c r="BH7" s="825" t="s">
        <v>2019</v>
      </c>
      <c r="BI7" s="847" t="s">
        <v>1949</v>
      </c>
      <c r="BJ7" s="847" t="s">
        <v>1948</v>
      </c>
      <c r="BK7" s="847" t="s">
        <v>1947</v>
      </c>
      <c r="BL7" s="847" t="s">
        <v>1946</v>
      </c>
      <c r="BM7" s="847" t="s">
        <v>1945</v>
      </c>
      <c r="BN7" s="847" t="s">
        <v>1965</v>
      </c>
      <c r="BO7" s="847" t="s">
        <v>1966</v>
      </c>
      <c r="BP7" s="847" t="s">
        <v>1975</v>
      </c>
      <c r="BQ7" s="847" t="s">
        <v>1985</v>
      </c>
      <c r="BR7" s="847" t="s">
        <v>1995</v>
      </c>
      <c r="BS7" s="847" t="s">
        <v>2008</v>
      </c>
      <c r="BT7" s="847" t="s">
        <v>2019</v>
      </c>
      <c r="BU7" s="847" t="s">
        <v>1949</v>
      </c>
      <c r="BV7" s="847" t="s">
        <v>1948</v>
      </c>
      <c r="BW7" s="847" t="s">
        <v>1947</v>
      </c>
      <c r="BX7" s="847" t="s">
        <v>1946</v>
      </c>
      <c r="BY7" s="847" t="s">
        <v>1945</v>
      </c>
      <c r="BZ7" s="847" t="s">
        <v>1965</v>
      </c>
      <c r="CA7" s="847" t="s">
        <v>1966</v>
      </c>
      <c r="CB7" s="847" t="s">
        <v>1975</v>
      </c>
      <c r="CC7" s="847" t="s">
        <v>1985</v>
      </c>
      <c r="CD7" s="847" t="s">
        <v>1995</v>
      </c>
      <c r="CE7" s="847" t="s">
        <v>2008</v>
      </c>
      <c r="CF7" s="847" t="s">
        <v>2019</v>
      </c>
      <c r="CG7" s="847" t="s">
        <v>1949</v>
      </c>
      <c r="CH7" s="847" t="s">
        <v>1948</v>
      </c>
      <c r="CI7" s="847" t="s">
        <v>1947</v>
      </c>
      <c r="CJ7" s="847" t="s">
        <v>1946</v>
      </c>
      <c r="CK7" s="847" t="s">
        <v>1945</v>
      </c>
      <c r="CL7" s="847" t="s">
        <v>1965</v>
      </c>
      <c r="CM7" s="847" t="s">
        <v>2413</v>
      </c>
      <c r="CN7" s="847" t="s">
        <v>2419</v>
      </c>
      <c r="CO7" s="847" t="s">
        <v>1985</v>
      </c>
      <c r="CP7" s="847" t="s">
        <v>1995</v>
      </c>
      <c r="CQ7" s="847" t="s">
        <v>2008</v>
      </c>
      <c r="CR7" s="847" t="s">
        <v>2019</v>
      </c>
      <c r="CS7" s="847" t="s">
        <v>1949</v>
      </c>
      <c r="CT7" s="847" t="s">
        <v>1948</v>
      </c>
      <c r="CU7" s="847" t="s">
        <v>1947</v>
      </c>
      <c r="CV7" s="847" t="s">
        <v>1946</v>
      </c>
      <c r="CW7" s="847" t="s">
        <v>1945</v>
      </c>
      <c r="CX7" s="847" t="s">
        <v>1965</v>
      </c>
      <c r="CY7" s="847" t="s">
        <v>1966</v>
      </c>
      <c r="CZ7" s="847" t="s">
        <v>1975</v>
      </c>
      <c r="DA7" s="847" t="s">
        <v>1985</v>
      </c>
      <c r="DB7" s="847" t="s">
        <v>1995</v>
      </c>
      <c r="DC7" s="847" t="s">
        <v>2008</v>
      </c>
      <c r="DD7" s="847" t="s">
        <v>2019</v>
      </c>
      <c r="DE7" s="847" t="s">
        <v>1949</v>
      </c>
      <c r="DF7" s="847" t="s">
        <v>1948</v>
      </c>
      <c r="DG7" s="847" t="s">
        <v>1947</v>
      </c>
      <c r="DH7" s="847" t="s">
        <v>1946</v>
      </c>
      <c r="DI7" s="847" t="s">
        <v>1945</v>
      </c>
      <c r="DJ7" s="847" t="s">
        <v>1965</v>
      </c>
      <c r="DK7" s="847" t="s">
        <v>1966</v>
      </c>
      <c r="DL7" s="847" t="s">
        <v>1975</v>
      </c>
      <c r="DM7" s="847" t="s">
        <v>1985</v>
      </c>
      <c r="DN7" s="847" t="s">
        <v>1995</v>
      </c>
      <c r="DO7" s="847" t="s">
        <v>2008</v>
      </c>
      <c r="DP7" s="847" t="s">
        <v>2019</v>
      </c>
      <c r="DQ7" s="847" t="s">
        <v>1949</v>
      </c>
      <c r="DR7" s="847" t="s">
        <v>1948</v>
      </c>
      <c r="DS7" s="847" t="s">
        <v>1947</v>
      </c>
      <c r="DT7" s="847" t="s">
        <v>1946</v>
      </c>
      <c r="DU7" s="847" t="s">
        <v>1945</v>
      </c>
      <c r="DV7" s="847" t="s">
        <v>1965</v>
      </c>
      <c r="DW7" s="847" t="s">
        <v>1966</v>
      </c>
      <c r="DX7" s="847" t="s">
        <v>1975</v>
      </c>
      <c r="DY7" s="847" t="s">
        <v>1985</v>
      </c>
      <c r="DZ7" s="847" t="s">
        <v>1995</v>
      </c>
      <c r="EA7" s="847" t="s">
        <v>2008</v>
      </c>
      <c r="EB7" s="847" t="s">
        <v>2019</v>
      </c>
      <c r="EC7" s="847" t="s">
        <v>1949</v>
      </c>
      <c r="ED7" s="847" t="s">
        <v>1948</v>
      </c>
      <c r="EE7" s="847" t="s">
        <v>1947</v>
      </c>
      <c r="EF7" s="847" t="s">
        <v>1946</v>
      </c>
      <c r="EG7" s="847" t="s">
        <v>1945</v>
      </c>
      <c r="EH7" s="847" t="s">
        <v>1965</v>
      </c>
      <c r="EI7" s="847" t="s">
        <v>1966</v>
      </c>
      <c r="EJ7" s="847" t="s">
        <v>1975</v>
      </c>
      <c r="EK7" s="847" t="s">
        <v>1985</v>
      </c>
      <c r="EL7" s="847" t="s">
        <v>1995</v>
      </c>
      <c r="EM7" s="847" t="s">
        <v>2008</v>
      </c>
      <c r="EN7" s="847" t="s">
        <v>2019</v>
      </c>
      <c r="EO7" s="847" t="s">
        <v>1949</v>
      </c>
      <c r="EP7" s="847" t="s">
        <v>1948</v>
      </c>
      <c r="EQ7" s="847" t="s">
        <v>1947</v>
      </c>
      <c r="ER7" s="847" t="s">
        <v>1946</v>
      </c>
      <c r="ES7" s="847" t="s">
        <v>1945</v>
      </c>
      <c r="ET7" s="847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46"/>
    </row>
    <row r="8" spans="1:302" ht="34.5" customHeight="1">
      <c r="A8" s="2312"/>
      <c r="B8" s="1732"/>
      <c r="C8" s="1732"/>
      <c r="D8" s="1732"/>
      <c r="E8" s="1732"/>
      <c r="F8" s="1732"/>
      <c r="G8" s="1732"/>
      <c r="H8" s="1732"/>
      <c r="I8" s="1732"/>
      <c r="J8" s="1732"/>
      <c r="K8" s="1732"/>
      <c r="L8" s="1732"/>
      <c r="M8" s="1732"/>
      <c r="N8" s="1732"/>
      <c r="O8" s="1732"/>
      <c r="P8" s="1732"/>
      <c r="Q8" s="1732"/>
      <c r="R8" s="1732"/>
      <c r="S8" s="1732"/>
      <c r="T8" s="1732"/>
      <c r="U8" s="1732"/>
      <c r="V8" s="1732"/>
      <c r="W8" s="1732"/>
      <c r="X8" s="1732"/>
      <c r="Y8" s="1732"/>
      <c r="Z8" s="1732"/>
      <c r="AA8" s="1732"/>
      <c r="AB8" s="1732"/>
      <c r="AC8" s="1732"/>
      <c r="AD8" s="1732"/>
      <c r="AE8" s="1732"/>
      <c r="AF8" s="1732"/>
      <c r="AG8" s="1732"/>
      <c r="AH8" s="1732"/>
      <c r="AI8" s="1732"/>
      <c r="AJ8" s="1732"/>
      <c r="AK8" s="1732"/>
      <c r="AL8" s="1732"/>
      <c r="AM8" s="1732"/>
      <c r="AN8" s="1732"/>
      <c r="AO8" s="1732"/>
      <c r="AP8" s="1732"/>
      <c r="AQ8" s="1732"/>
      <c r="AR8" s="1732"/>
      <c r="AS8" s="1732"/>
      <c r="AT8" s="1732"/>
      <c r="AU8" s="1732"/>
      <c r="AV8" s="1732"/>
      <c r="AW8" s="1732"/>
      <c r="AX8" s="1732"/>
      <c r="AY8" s="1732"/>
      <c r="AZ8" s="1732"/>
      <c r="BA8" s="1732"/>
      <c r="BB8" s="1732"/>
      <c r="BC8" s="1732"/>
      <c r="BD8" s="1732"/>
      <c r="BE8" s="1732"/>
      <c r="BF8" s="1732"/>
      <c r="BG8" s="1732"/>
      <c r="BH8" s="1733"/>
      <c r="BI8" s="1730" t="s">
        <v>3174</v>
      </c>
      <c r="BJ8" s="1730" t="s">
        <v>3174</v>
      </c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 t="s">
        <v>3174</v>
      </c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 t="s">
        <v>3174</v>
      </c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 t="s">
        <v>3174</v>
      </c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 t="s">
        <v>3174</v>
      </c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 t="s">
        <v>3174</v>
      </c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47"/>
    </row>
    <row r="9" spans="1:302" ht="21">
      <c r="A9" s="1722" t="s">
        <v>2740</v>
      </c>
      <c r="B9" s="791">
        <v>538.21071784000003</v>
      </c>
      <c r="C9" s="791">
        <v>581.61442864000003</v>
      </c>
      <c r="D9" s="791">
        <v>594.86463550000008</v>
      </c>
      <c r="E9" s="791">
        <v>601.23010456000009</v>
      </c>
      <c r="F9" s="791">
        <v>608.97354347999999</v>
      </c>
      <c r="G9" s="791">
        <v>670.45141332999992</v>
      </c>
      <c r="H9" s="791">
        <v>691.93332683999995</v>
      </c>
      <c r="I9" s="791">
        <v>695.00221781999994</v>
      </c>
      <c r="J9" s="791">
        <v>705.13805288000003</v>
      </c>
      <c r="K9" s="791">
        <v>721.95722597999998</v>
      </c>
      <c r="L9" s="791">
        <v>733.61118855000007</v>
      </c>
      <c r="M9" s="781">
        <v>732.72905534999995</v>
      </c>
      <c r="N9" s="781">
        <v>731.96219670000005</v>
      </c>
      <c r="O9" s="781">
        <v>733.15730945000007</v>
      </c>
      <c r="P9" s="781">
        <v>740.44047323999985</v>
      </c>
      <c r="Q9" s="781">
        <v>748.35909093999999</v>
      </c>
      <c r="R9" s="781">
        <v>755.62198443999989</v>
      </c>
      <c r="S9" s="781">
        <v>759.98028034999993</v>
      </c>
      <c r="T9" s="781">
        <v>760.72169521000001</v>
      </c>
      <c r="U9" s="781">
        <v>785.10259098000006</v>
      </c>
      <c r="V9" s="781">
        <v>806.35544091999998</v>
      </c>
      <c r="W9" s="781">
        <v>816.28137460000005</v>
      </c>
      <c r="X9" s="781">
        <v>835.7108486599999</v>
      </c>
      <c r="Y9" s="781">
        <v>845.88725850000014</v>
      </c>
      <c r="Z9" s="781">
        <v>841.01036349999981</v>
      </c>
      <c r="AA9" s="781">
        <v>934.9104918999999</v>
      </c>
      <c r="AB9" s="781">
        <v>930.83017056000006</v>
      </c>
      <c r="AC9" s="781">
        <v>935.57241469999974</v>
      </c>
      <c r="AD9" s="781">
        <v>933.02591963999987</v>
      </c>
      <c r="AE9" s="781">
        <v>935.86646063000001</v>
      </c>
      <c r="AF9" s="781">
        <v>944.62310505000005</v>
      </c>
      <c r="AG9" s="781">
        <v>946.88512248999996</v>
      </c>
      <c r="AH9" s="781">
        <v>755.42591412000002</v>
      </c>
      <c r="AI9" s="781">
        <v>683.37207753999996</v>
      </c>
      <c r="AJ9" s="781">
        <v>619.39311624999993</v>
      </c>
      <c r="AK9" s="781">
        <v>506.03210738000001</v>
      </c>
      <c r="AL9" s="781">
        <v>438.72581642</v>
      </c>
      <c r="AM9" s="781">
        <v>436.12073617999999</v>
      </c>
      <c r="AN9" s="781">
        <v>430.46344965999998</v>
      </c>
      <c r="AO9" s="781">
        <v>429.84970630000004</v>
      </c>
      <c r="AP9" s="781">
        <v>425.22783229999993</v>
      </c>
      <c r="AQ9" s="781">
        <v>422.65396430000004</v>
      </c>
      <c r="AR9" s="781">
        <v>397.80148007999992</v>
      </c>
      <c r="AS9" s="781">
        <v>398.41250269</v>
      </c>
      <c r="AT9" s="781">
        <v>407.43569630000002</v>
      </c>
      <c r="AU9" s="781">
        <v>397.91857561</v>
      </c>
      <c r="AV9" s="781">
        <v>416.94306967</v>
      </c>
      <c r="AW9" s="781">
        <v>436.42770843999995</v>
      </c>
      <c r="AX9" s="781">
        <v>430.22423482999994</v>
      </c>
      <c r="AY9" s="781">
        <v>431.86102641000002</v>
      </c>
      <c r="AZ9" s="781">
        <v>432.33633431000004</v>
      </c>
      <c r="BA9" s="781">
        <v>436.80675808999996</v>
      </c>
      <c r="BB9" s="781">
        <v>426.33598738000001</v>
      </c>
      <c r="BC9" s="781">
        <v>421.72397434000004</v>
      </c>
      <c r="BD9" s="781">
        <v>439.43915741000001</v>
      </c>
      <c r="BE9" s="781">
        <v>451.04971407999994</v>
      </c>
      <c r="BF9" s="781">
        <v>449.58215511000003</v>
      </c>
      <c r="BG9" s="781">
        <v>432.71039815</v>
      </c>
      <c r="BH9" s="826">
        <v>430.76417579999998</v>
      </c>
      <c r="BI9" s="815">
        <v>407.54898557000001</v>
      </c>
      <c r="BJ9" s="815">
        <v>401.39537050999996</v>
      </c>
      <c r="BK9" s="815">
        <v>394.33422171999996</v>
      </c>
      <c r="BL9" s="815">
        <v>403.47659927000001</v>
      </c>
      <c r="BM9" s="815">
        <v>411.42736009999999</v>
      </c>
      <c r="BN9" s="815">
        <v>421.65639979000002</v>
      </c>
      <c r="BO9" s="815">
        <v>420.59282950000005</v>
      </c>
      <c r="BP9" s="815">
        <v>418.04282558000006</v>
      </c>
      <c r="BQ9" s="815">
        <v>416.47752616999998</v>
      </c>
      <c r="BR9" s="815">
        <v>418.40752067</v>
      </c>
      <c r="BS9" s="815">
        <v>421.52792438</v>
      </c>
      <c r="BT9" s="815">
        <v>424.24412290999999</v>
      </c>
      <c r="BU9" s="815">
        <v>423.39805889999997</v>
      </c>
      <c r="BV9" s="815">
        <v>424.39075045999999</v>
      </c>
      <c r="BW9" s="815">
        <v>421.47231107000005</v>
      </c>
      <c r="BX9" s="815">
        <v>430.11766607999999</v>
      </c>
      <c r="BY9" s="815">
        <v>434.07224960000002</v>
      </c>
      <c r="BZ9" s="815">
        <v>451.97746569000003</v>
      </c>
      <c r="CA9" s="815">
        <v>456.49804322</v>
      </c>
      <c r="CB9" s="815">
        <v>456.05548060000007</v>
      </c>
      <c r="CC9" s="815">
        <v>460.23801298000001</v>
      </c>
      <c r="CD9" s="815">
        <v>469.47392559999997</v>
      </c>
      <c r="CE9" s="815">
        <v>473.02856401000003</v>
      </c>
      <c r="CF9" s="815">
        <v>472.37484481000001</v>
      </c>
      <c r="CG9" s="815">
        <v>485.13964082000007</v>
      </c>
      <c r="CH9" s="815">
        <v>482.03446362000005</v>
      </c>
      <c r="CI9" s="815">
        <v>476.02636567000002</v>
      </c>
      <c r="CJ9" s="815">
        <v>477.48468552999998</v>
      </c>
      <c r="CK9" s="815">
        <v>533.32108911</v>
      </c>
      <c r="CL9" s="815">
        <v>532.95972023000002</v>
      </c>
      <c r="CM9" s="815">
        <v>524.94022820999999</v>
      </c>
      <c r="CN9" s="815">
        <v>525.54540322000003</v>
      </c>
      <c r="CO9" s="815">
        <v>529.93283752000002</v>
      </c>
      <c r="CP9" s="815">
        <v>534.42749503999994</v>
      </c>
      <c r="CQ9" s="815">
        <v>523.18709729999989</v>
      </c>
      <c r="CR9" s="815">
        <v>524.92194959000005</v>
      </c>
      <c r="CS9" s="815">
        <v>531.28475893999996</v>
      </c>
      <c r="CT9" s="815">
        <v>537.99087044999999</v>
      </c>
      <c r="CU9" s="815">
        <v>534.84074794000003</v>
      </c>
      <c r="CV9" s="815">
        <v>540.71176303000004</v>
      </c>
      <c r="CW9" s="815">
        <v>533.94968663999998</v>
      </c>
      <c r="CX9" s="815">
        <v>536.11958943000002</v>
      </c>
      <c r="CY9" s="815">
        <v>538.22625913000002</v>
      </c>
      <c r="CZ9" s="815">
        <v>534.04471863000003</v>
      </c>
      <c r="DA9" s="815">
        <v>542.56642350000004</v>
      </c>
      <c r="DB9" s="815">
        <v>546.30608309000002</v>
      </c>
      <c r="DC9" s="815">
        <v>547.13436809999996</v>
      </c>
      <c r="DD9" s="815">
        <v>551.93139554000004</v>
      </c>
      <c r="DE9" s="815">
        <v>563.21427217999997</v>
      </c>
      <c r="DF9" s="815">
        <v>567.29357872000003</v>
      </c>
      <c r="DG9" s="815">
        <v>563.14749876999997</v>
      </c>
      <c r="DH9" s="815">
        <v>572.11871544999997</v>
      </c>
      <c r="DI9" s="815">
        <v>567.49188975000004</v>
      </c>
      <c r="DJ9" s="815">
        <v>572.22451254999999</v>
      </c>
      <c r="DK9" s="815">
        <v>571.59913631999996</v>
      </c>
      <c r="DL9" s="815">
        <v>571.21172114000001</v>
      </c>
      <c r="DM9" s="815">
        <v>573.13765513999999</v>
      </c>
      <c r="DN9" s="815">
        <v>591.77428609000003</v>
      </c>
      <c r="DO9" s="815">
        <v>597.12625885</v>
      </c>
      <c r="DP9" s="815">
        <v>595.89892781000003</v>
      </c>
      <c r="DQ9" s="815">
        <v>583.66742675</v>
      </c>
      <c r="DR9" s="815">
        <v>571.67550279</v>
      </c>
      <c r="DS9" s="815">
        <v>572.88910668999995</v>
      </c>
      <c r="DT9" s="815">
        <v>527.62397954000005</v>
      </c>
      <c r="DU9" s="815">
        <v>500.78854518999998</v>
      </c>
      <c r="DV9" s="815">
        <v>494.4355683</v>
      </c>
      <c r="DW9" s="815">
        <v>499.43349927999998</v>
      </c>
      <c r="DX9" s="815">
        <v>496.42099818999998</v>
      </c>
      <c r="DY9" s="815">
        <v>501.59506807000002</v>
      </c>
      <c r="DZ9" s="815">
        <v>522.40519725000001</v>
      </c>
      <c r="EA9" s="815">
        <v>491.88119259000001</v>
      </c>
      <c r="EB9" s="815">
        <v>495.80013974000002</v>
      </c>
      <c r="EC9" s="815">
        <v>487.10996204000003</v>
      </c>
      <c r="ED9" s="815">
        <v>474.97619331999999</v>
      </c>
      <c r="EE9" s="815">
        <v>467.44032426000001</v>
      </c>
      <c r="EF9" s="815">
        <v>451.25856865999998</v>
      </c>
      <c r="EG9" s="815">
        <v>426.58847859000002</v>
      </c>
      <c r="EH9" s="815">
        <v>418.95247243</v>
      </c>
      <c r="EI9" s="815">
        <v>414.57037456</v>
      </c>
      <c r="EJ9" s="815">
        <v>397.89047541999997</v>
      </c>
      <c r="EK9" s="815">
        <v>434.98623242999997</v>
      </c>
      <c r="EL9" s="815">
        <v>449.97740075000002</v>
      </c>
      <c r="EM9" s="815">
        <v>470.01404485</v>
      </c>
      <c r="EN9" s="815">
        <v>469.19644771999998</v>
      </c>
      <c r="EO9" s="815">
        <v>472.71137390000001</v>
      </c>
      <c r="EP9" s="815">
        <v>462.86976142999998</v>
      </c>
      <c r="EQ9" s="815">
        <v>461.07213306</v>
      </c>
      <c r="ER9" s="815">
        <v>460.80491302000001</v>
      </c>
      <c r="ES9" s="815">
        <v>446.44163591</v>
      </c>
      <c r="ET9" s="815">
        <v>440.50616196999999</v>
      </c>
      <c r="EU9" s="815">
        <v>444.27826499999998</v>
      </c>
      <c r="EV9" s="815">
        <v>444.90504937999998</v>
      </c>
      <c r="EW9" s="815">
        <v>453.74296149000003</v>
      </c>
      <c r="EX9" s="815">
        <v>444.43966159000001</v>
      </c>
      <c r="EY9" s="815">
        <v>452.42310650000002</v>
      </c>
      <c r="EZ9" s="815">
        <v>476.95920856999999</v>
      </c>
      <c r="FA9" s="815">
        <v>476.58364619000002</v>
      </c>
      <c r="FB9" s="815">
        <v>452.62556021</v>
      </c>
      <c r="FC9" s="815">
        <v>452.04224264999999</v>
      </c>
      <c r="FD9" s="815">
        <v>458.40088724999998</v>
      </c>
      <c r="FE9" s="815">
        <v>420.37002429</v>
      </c>
      <c r="FF9" s="815">
        <v>404.16872984000003</v>
      </c>
      <c r="FG9" s="815">
        <v>391.76030579000002</v>
      </c>
      <c r="FH9" s="1710" t="s">
        <v>1152</v>
      </c>
      <c r="FL9" s="1"/>
      <c r="FM9" s="320"/>
    </row>
    <row r="10" spans="1:302" ht="21">
      <c r="A10" s="1723" t="s">
        <v>1961</v>
      </c>
      <c r="B10" s="792">
        <v>2.4350116000000002</v>
      </c>
      <c r="C10" s="792">
        <v>2.4000490999999999</v>
      </c>
      <c r="D10" s="792">
        <v>2.3650866000000001</v>
      </c>
      <c r="E10" s="792">
        <v>2.3301240999999999</v>
      </c>
      <c r="F10" s="792">
        <v>2.2951616000000001</v>
      </c>
      <c r="G10" s="792">
        <v>2.2601990999999999</v>
      </c>
      <c r="H10" s="792">
        <v>4.7128861000000004</v>
      </c>
      <c r="I10" s="792">
        <v>4.6776064999999996</v>
      </c>
      <c r="J10" s="792">
        <v>4.6429611</v>
      </c>
      <c r="K10" s="792">
        <v>4.6079986000000002</v>
      </c>
      <c r="L10" s="792">
        <v>4.6576815000000007</v>
      </c>
      <c r="M10" s="784">
        <v>4.6079780399999999</v>
      </c>
      <c r="N10" s="784">
        <v>4.5985897400000004</v>
      </c>
      <c r="O10" s="784">
        <v>4.5992239399999999</v>
      </c>
      <c r="P10" s="784">
        <v>4.5329068399999999</v>
      </c>
      <c r="Q10" s="784">
        <v>4.5329068399999999</v>
      </c>
      <c r="R10" s="784">
        <v>4.5332239400000001</v>
      </c>
      <c r="S10" s="784">
        <v>4.5329068399999999</v>
      </c>
      <c r="T10" s="784">
        <v>4.5325897400000006</v>
      </c>
      <c r="U10" s="784">
        <v>4.5332239400000001</v>
      </c>
      <c r="V10" s="784">
        <v>4.5332239400000001</v>
      </c>
      <c r="W10" s="784">
        <v>4.5332239400000001</v>
      </c>
      <c r="X10" s="784">
        <v>4.5332239400000001</v>
      </c>
      <c r="Y10" s="784">
        <v>4.5132239399999996</v>
      </c>
      <c r="Z10" s="784">
        <v>4.5132239399999996</v>
      </c>
      <c r="AA10" s="784">
        <v>5.2809157999999998</v>
      </c>
      <c r="AB10" s="784">
        <v>5.2367935000000001</v>
      </c>
      <c r="AC10" s="784">
        <v>5.1924276999999996</v>
      </c>
      <c r="AD10" s="784">
        <v>5.1946474</v>
      </c>
      <c r="AE10" s="784">
        <v>5.1361593000000001</v>
      </c>
      <c r="AF10" s="784">
        <v>5.1399645000000005</v>
      </c>
      <c r="AG10" s="784">
        <v>5.1352080000000004</v>
      </c>
      <c r="AH10" s="784">
        <v>5.1352080000000004</v>
      </c>
      <c r="AI10" s="784">
        <v>5.1393303000000001</v>
      </c>
      <c r="AJ10" s="784">
        <v>5.1453552</v>
      </c>
      <c r="AK10" s="784">
        <v>6.7568574000000003</v>
      </c>
      <c r="AL10" s="784">
        <v>1.8120000000000001</v>
      </c>
      <c r="AM10" s="784">
        <v>1.512</v>
      </c>
      <c r="AN10" s="784">
        <v>1.49211001</v>
      </c>
      <c r="AO10" s="784">
        <v>1.3594380100000001</v>
      </c>
      <c r="AP10" s="784">
        <v>1.3294380100000001</v>
      </c>
      <c r="AQ10" s="784">
        <v>1.28772705</v>
      </c>
      <c r="AR10" s="784">
        <v>1.2599446699999999</v>
      </c>
      <c r="AS10" s="784">
        <v>1.23216229</v>
      </c>
      <c r="AT10" s="784">
        <v>1.2043799099999999</v>
      </c>
      <c r="AU10" s="784">
        <v>0.79559806999999994</v>
      </c>
      <c r="AV10" s="784">
        <v>0.76781568999999994</v>
      </c>
      <c r="AW10" s="784">
        <v>0.74003331000000006</v>
      </c>
      <c r="AX10" s="784">
        <v>0.71225093000000006</v>
      </c>
      <c r="AY10" s="784">
        <v>0.68446855000000006</v>
      </c>
      <c r="AZ10" s="784">
        <v>0.65668617000000007</v>
      </c>
      <c r="BA10" s="784">
        <v>0.62890379000000007</v>
      </c>
      <c r="BB10" s="784">
        <v>0.33201029999999998</v>
      </c>
      <c r="BC10" s="784">
        <v>0.33196376999999999</v>
      </c>
      <c r="BD10" s="784">
        <v>0.31225178999999997</v>
      </c>
      <c r="BE10" s="784">
        <v>0.29251167</v>
      </c>
      <c r="BF10" s="784">
        <v>0.27316576000000004</v>
      </c>
      <c r="BG10" s="784">
        <v>0.26532083000000001</v>
      </c>
      <c r="BH10" s="827">
        <v>0.25745569000000001</v>
      </c>
      <c r="BI10" s="816">
        <v>0.23711089000000002</v>
      </c>
      <c r="BJ10" s="816">
        <v>0.21676858999999998</v>
      </c>
      <c r="BK10" s="816">
        <v>0.19638897</v>
      </c>
      <c r="BL10" s="816">
        <v>0.17601037</v>
      </c>
      <c r="BM10" s="816">
        <v>0.15561701</v>
      </c>
      <c r="BN10" s="816">
        <v>0.13521554</v>
      </c>
      <c r="BO10" s="816">
        <v>0.10169458000000001</v>
      </c>
      <c r="BP10" s="816">
        <v>9.4379119999999997E-2</v>
      </c>
      <c r="BQ10" s="816">
        <v>7.3208999999999996E-2</v>
      </c>
      <c r="BR10" s="816">
        <v>5.3566000000000003E-2</v>
      </c>
      <c r="BS10" s="816">
        <v>3.3923000000000002E-2</v>
      </c>
      <c r="BT10" s="816">
        <v>0</v>
      </c>
      <c r="BU10" s="816">
        <v>0</v>
      </c>
      <c r="BV10" s="816">
        <v>0</v>
      </c>
      <c r="BW10" s="816">
        <v>0</v>
      </c>
      <c r="BX10" s="816">
        <v>0</v>
      </c>
      <c r="BY10" s="816">
        <v>0.2</v>
      </c>
      <c r="BZ10" s="816">
        <v>0.19939475000000001</v>
      </c>
      <c r="CA10" s="816">
        <v>0.19877891</v>
      </c>
      <c r="CB10" s="816">
        <v>0.19815229000000001</v>
      </c>
      <c r="CC10" s="816">
        <v>0.19751470999999998</v>
      </c>
      <c r="CD10" s="816">
        <v>0.19686595000000001</v>
      </c>
      <c r="CE10" s="816">
        <v>0.19620587</v>
      </c>
      <c r="CF10" s="816">
        <v>0.19535148000000002</v>
      </c>
      <c r="CG10" s="816">
        <v>0.19463659</v>
      </c>
      <c r="CH10" s="816">
        <v>0.19415546</v>
      </c>
      <c r="CI10" s="816">
        <v>0.19415546</v>
      </c>
      <c r="CJ10" s="816">
        <v>0.19327789000000001</v>
      </c>
      <c r="CK10" s="816">
        <v>0.19327789000000001</v>
      </c>
      <c r="CL10" s="816">
        <v>0.19327789000000001</v>
      </c>
      <c r="CM10" s="816">
        <v>0.19327789000000001</v>
      </c>
      <c r="CN10" s="816">
        <v>0.19327789000000001</v>
      </c>
      <c r="CO10" s="816">
        <v>0.19327789000000001</v>
      </c>
      <c r="CP10" s="816">
        <v>0.19217789000000002</v>
      </c>
      <c r="CQ10" s="816">
        <v>0.19217789000000002</v>
      </c>
      <c r="CR10" s="816">
        <v>0.19217789000000002</v>
      </c>
      <c r="CS10" s="816">
        <v>0.19217789000000002</v>
      </c>
      <c r="CT10" s="816">
        <v>4.7035910699999999</v>
      </c>
      <c r="CU10" s="816">
        <v>1.04529614</v>
      </c>
      <c r="CV10" s="816">
        <v>0.95865197000000002</v>
      </c>
      <c r="CW10" s="816">
        <v>0.84571169000000002</v>
      </c>
      <c r="CX10" s="816">
        <v>0.81857190999999996</v>
      </c>
      <c r="CY10" s="816">
        <v>0.75884673999999996</v>
      </c>
      <c r="CZ10" s="816">
        <v>0.75754462</v>
      </c>
      <c r="DA10" s="816">
        <v>0.48851023999999998</v>
      </c>
      <c r="DB10" s="816">
        <v>0.76564319000000003</v>
      </c>
      <c r="DC10" s="816">
        <v>0.74433475999999998</v>
      </c>
      <c r="DD10" s="816">
        <v>0</v>
      </c>
      <c r="DE10" s="816">
        <v>0</v>
      </c>
      <c r="DF10" s="816">
        <v>0</v>
      </c>
      <c r="DG10" s="816">
        <v>0</v>
      </c>
      <c r="DH10" s="816">
        <v>1.5418479899999999</v>
      </c>
      <c r="DI10" s="816">
        <v>1.4101077399999999</v>
      </c>
      <c r="DJ10" s="816">
        <v>1.4001077399999999</v>
      </c>
      <c r="DK10" s="816">
        <v>1.3993538700000001</v>
      </c>
      <c r="DL10" s="816">
        <v>1.39857751</v>
      </c>
      <c r="DM10" s="816">
        <v>1.3927888500000001</v>
      </c>
      <c r="DN10" s="816">
        <v>1.39198771</v>
      </c>
      <c r="DO10" s="816">
        <v>1.3862378099999999</v>
      </c>
      <c r="DP10" s="816">
        <v>1.3854048000000001</v>
      </c>
      <c r="DQ10" s="816">
        <v>1.3845083499999999</v>
      </c>
      <c r="DR10" s="816">
        <v>1.38365991</v>
      </c>
      <c r="DS10" s="816">
        <v>1.3827896399999999</v>
      </c>
      <c r="DT10" s="816">
        <v>1.38190934</v>
      </c>
      <c r="DU10" s="816">
        <v>1.3810170100000001</v>
      </c>
      <c r="DV10" s="816">
        <v>1.3801077399999999</v>
      </c>
      <c r="DW10" s="816">
        <v>1.3801077399999999</v>
      </c>
      <c r="DX10" s="816">
        <v>1.4106077400000001</v>
      </c>
      <c r="DY10" s="816">
        <v>1.40997236</v>
      </c>
      <c r="DZ10" s="816">
        <v>1.40932692</v>
      </c>
      <c r="EA10" s="816">
        <v>1.7087021</v>
      </c>
      <c r="EB10" s="816">
        <v>15.097480150000001</v>
      </c>
      <c r="EC10" s="816">
        <v>16.789948509999999</v>
      </c>
      <c r="ED10" s="816">
        <v>16.782457109999999</v>
      </c>
      <c r="EE10" s="816">
        <v>16.50194492</v>
      </c>
      <c r="EF10" s="816">
        <v>16.50123571</v>
      </c>
      <c r="EG10" s="816">
        <v>13.10207879</v>
      </c>
      <c r="EH10" s="816">
        <v>9.7159599599999993</v>
      </c>
      <c r="EI10" s="816">
        <v>7.50598192</v>
      </c>
      <c r="EJ10" s="816">
        <v>2.2189739999999999E-2</v>
      </c>
      <c r="EK10" s="816">
        <v>2.1411070000000001E-2</v>
      </c>
      <c r="EL10" s="816">
        <v>2.065438E-2</v>
      </c>
      <c r="EM10" s="816">
        <v>1.9841310000000001E-2</v>
      </c>
      <c r="EN10" s="816">
        <v>1.9037160000000001E-2</v>
      </c>
      <c r="EO10" s="816">
        <v>1.824038E-2</v>
      </c>
      <c r="EP10" s="816">
        <v>1.7391630000000002E-2</v>
      </c>
      <c r="EQ10" s="816">
        <v>1.65487E-2</v>
      </c>
      <c r="ER10" s="816">
        <v>1.5692419999999999E-2</v>
      </c>
      <c r="ES10" s="816">
        <v>1.482258E-2</v>
      </c>
      <c r="ET10" s="816">
        <v>1.393897E-2</v>
      </c>
      <c r="EU10" s="816">
        <v>1.3056079999999999E-2</v>
      </c>
      <c r="EV10" s="816">
        <v>1.2130719999999999E-2</v>
      </c>
      <c r="EW10" s="816">
        <v>1.1204489999999999E-2</v>
      </c>
      <c r="EX10" s="816">
        <v>1.0269510000000001E-2</v>
      </c>
      <c r="EY10" s="816">
        <v>9.3083899999999997E-3</v>
      </c>
      <c r="EZ10" s="816">
        <v>8.5083374700000007</v>
      </c>
      <c r="FA10" s="816">
        <v>10.003355579999999</v>
      </c>
      <c r="FB10" s="816">
        <v>10.002349860000001</v>
      </c>
      <c r="FC10" s="816">
        <v>10.001338799999999</v>
      </c>
      <c r="FD10" s="816">
        <v>10.00030503</v>
      </c>
      <c r="FE10" s="816">
        <v>9.9992503500000005</v>
      </c>
      <c r="FF10" s="816">
        <v>2.1835100000000001E-3</v>
      </c>
      <c r="FG10" s="816">
        <v>0</v>
      </c>
      <c r="FH10" s="1712" t="s">
        <v>4067</v>
      </c>
      <c r="FM10" s="321"/>
    </row>
    <row r="11" spans="1:302" ht="21">
      <c r="A11" s="1723" t="s">
        <v>1962</v>
      </c>
      <c r="B11" s="791">
        <f>+B9-B10</f>
        <v>535.77570623999998</v>
      </c>
      <c r="C11" s="791">
        <f t="shared" ref="C11:V11" si="0">+C9-C10</f>
        <v>579.21437953999998</v>
      </c>
      <c r="D11" s="791">
        <f t="shared" si="0"/>
        <v>592.49954890000004</v>
      </c>
      <c r="E11" s="791">
        <f t="shared" si="0"/>
        <v>598.89998046000005</v>
      </c>
      <c r="F11" s="791">
        <f t="shared" si="0"/>
        <v>606.67838187999996</v>
      </c>
      <c r="G11" s="791">
        <f t="shared" si="0"/>
        <v>668.1912142299999</v>
      </c>
      <c r="H11" s="791">
        <f t="shared" si="0"/>
        <v>687.22044073999996</v>
      </c>
      <c r="I11" s="791">
        <f t="shared" si="0"/>
        <v>690.32461131999992</v>
      </c>
      <c r="J11" s="791">
        <f t="shared" si="0"/>
        <v>700.49509178000005</v>
      </c>
      <c r="K11" s="791">
        <f t="shared" si="0"/>
        <v>717.34922738</v>
      </c>
      <c r="L11" s="791">
        <f t="shared" si="0"/>
        <v>728.9535070500001</v>
      </c>
      <c r="M11" s="784">
        <f t="shared" si="0"/>
        <v>728.12107730999992</v>
      </c>
      <c r="N11" s="781">
        <f t="shared" si="0"/>
        <v>727.36360696000008</v>
      </c>
      <c r="O11" s="781">
        <f t="shared" si="0"/>
        <v>728.55808551000007</v>
      </c>
      <c r="P11" s="781">
        <f t="shared" si="0"/>
        <v>735.90756639999984</v>
      </c>
      <c r="Q11" s="781">
        <f t="shared" si="0"/>
        <v>743.82618409999998</v>
      </c>
      <c r="R11" s="781">
        <f t="shared" si="0"/>
        <v>751.08876049999992</v>
      </c>
      <c r="S11" s="781">
        <f t="shared" si="0"/>
        <v>755.44737350999992</v>
      </c>
      <c r="T11" s="781">
        <f t="shared" si="0"/>
        <v>756.18910546999996</v>
      </c>
      <c r="U11" s="781">
        <f t="shared" si="0"/>
        <v>780.56936704000009</v>
      </c>
      <c r="V11" s="781">
        <f t="shared" si="0"/>
        <v>801.82221698000001</v>
      </c>
      <c r="W11" s="781">
        <v>811.74815066000008</v>
      </c>
      <c r="X11" s="781">
        <v>831.17762471999993</v>
      </c>
      <c r="Y11" s="784">
        <v>841.37403456000015</v>
      </c>
      <c r="Z11" s="781">
        <v>836.49713955999982</v>
      </c>
      <c r="AA11" s="781">
        <v>929.62957609999989</v>
      </c>
      <c r="AB11" s="784">
        <v>925.59337706000008</v>
      </c>
      <c r="AC11" s="784">
        <v>930.37998699999969</v>
      </c>
      <c r="AD11" s="784">
        <v>927.83127223999986</v>
      </c>
      <c r="AE11" s="784">
        <v>930.73030132999997</v>
      </c>
      <c r="AF11" s="784">
        <v>939.48314055000003</v>
      </c>
      <c r="AG11" s="784">
        <v>941.74991448999992</v>
      </c>
      <c r="AH11" s="784">
        <f>+AH9-AH10</f>
        <v>750.29070611999998</v>
      </c>
      <c r="AI11" s="784">
        <v>678.23274723999998</v>
      </c>
      <c r="AJ11" s="784">
        <v>614.24776104999989</v>
      </c>
      <c r="AK11" s="784">
        <f>+AK9-AK10</f>
        <v>499.27524998000001</v>
      </c>
      <c r="AL11" s="784">
        <v>436.91381641999999</v>
      </c>
      <c r="AM11" s="784">
        <f>+AM9-AM10</f>
        <v>434.60873617999999</v>
      </c>
      <c r="AN11" s="784">
        <f>+AN9-AN10</f>
        <v>428.97133965</v>
      </c>
      <c r="AO11" s="784">
        <f>+AO9-AO10</f>
        <v>428.49026829000002</v>
      </c>
      <c r="AP11" s="784">
        <f>+AP9-AP10</f>
        <v>423.89839428999994</v>
      </c>
      <c r="AQ11" s="784">
        <v>421.36623725000004</v>
      </c>
      <c r="AR11" s="784">
        <v>396.54153540999994</v>
      </c>
      <c r="AS11" s="784">
        <f>+AS9-AS10</f>
        <v>397.18034039999998</v>
      </c>
      <c r="AT11" s="784">
        <f>+AT9-AT10</f>
        <v>406.23131639000002</v>
      </c>
      <c r="AU11" s="784">
        <v>397.12297754000002</v>
      </c>
      <c r="AV11" s="784">
        <v>416.17525397999998</v>
      </c>
      <c r="AW11" s="784">
        <v>435.68767512999995</v>
      </c>
      <c r="AX11" s="784">
        <v>429.51198389999996</v>
      </c>
      <c r="AY11" s="784">
        <v>431.17655786</v>
      </c>
      <c r="AZ11" s="784">
        <v>431.67964814000004</v>
      </c>
      <c r="BA11" s="784">
        <v>436.17785429999998</v>
      </c>
      <c r="BB11" s="784">
        <v>426.00397708000003</v>
      </c>
      <c r="BC11" s="784">
        <v>421.39201057000002</v>
      </c>
      <c r="BD11" s="784">
        <f>+BD9-BD10</f>
        <v>439.12690562</v>
      </c>
      <c r="BE11" s="784">
        <v>450.75720240999993</v>
      </c>
      <c r="BF11" s="784">
        <v>449.30898935000005</v>
      </c>
      <c r="BG11" s="784">
        <v>432.44507732</v>
      </c>
      <c r="BH11" s="827">
        <v>430.50672011</v>
      </c>
      <c r="BI11" s="816">
        <v>407.31187468000002</v>
      </c>
      <c r="BJ11" s="816">
        <v>401.17860191999995</v>
      </c>
      <c r="BK11" s="816">
        <v>394.13783274999997</v>
      </c>
      <c r="BL11" s="816">
        <v>403.30058890000004</v>
      </c>
      <c r="BM11" s="816">
        <v>411.27174308999997</v>
      </c>
      <c r="BN11" s="816">
        <v>421.52118425000003</v>
      </c>
      <c r="BO11" s="816">
        <v>420.49113492000004</v>
      </c>
      <c r="BP11" s="816">
        <v>417.94844646000007</v>
      </c>
      <c r="BQ11" s="816">
        <v>416.40431716999996</v>
      </c>
      <c r="BR11" s="816">
        <v>418.35395467000001</v>
      </c>
      <c r="BS11" s="816">
        <v>421.49400137999999</v>
      </c>
      <c r="BT11" s="816">
        <v>424.24412290999999</v>
      </c>
      <c r="BU11" s="816">
        <v>423.39805889999997</v>
      </c>
      <c r="BV11" s="816">
        <v>424.39075045999999</v>
      </c>
      <c r="BW11" s="816">
        <v>421.47231107000005</v>
      </c>
      <c r="BX11" s="816">
        <v>430.11766607999999</v>
      </c>
      <c r="BY11" s="816">
        <v>433.87224960000003</v>
      </c>
      <c r="BZ11" s="816">
        <v>451.77807094000002</v>
      </c>
      <c r="CA11" s="816">
        <v>456.29926431000001</v>
      </c>
      <c r="CB11" s="816">
        <v>455.85732831000007</v>
      </c>
      <c r="CC11" s="816">
        <v>460.04049827</v>
      </c>
      <c r="CD11" s="816">
        <v>469.27705964999996</v>
      </c>
      <c r="CE11" s="816">
        <f t="shared" ref="CE11:CP11" si="1">+CE9-CE10</f>
        <v>472.83235814</v>
      </c>
      <c r="CF11" s="816">
        <f t="shared" si="1"/>
        <v>472.17949333000001</v>
      </c>
      <c r="CG11" s="816">
        <f t="shared" si="1"/>
        <v>484.94500423000005</v>
      </c>
      <c r="CH11" s="816">
        <f t="shared" si="1"/>
        <v>481.84030816000006</v>
      </c>
      <c r="CI11" s="816">
        <f t="shared" si="1"/>
        <v>475.83221021000003</v>
      </c>
      <c r="CJ11" s="816">
        <f t="shared" si="1"/>
        <v>477.29140763999999</v>
      </c>
      <c r="CK11" s="816">
        <f t="shared" si="1"/>
        <v>533.12781122000001</v>
      </c>
      <c r="CL11" s="816">
        <f t="shared" si="1"/>
        <v>532.76644234000003</v>
      </c>
      <c r="CM11" s="816">
        <f t="shared" si="1"/>
        <v>524.74695032</v>
      </c>
      <c r="CN11" s="816">
        <f t="shared" si="1"/>
        <v>525.35212533000004</v>
      </c>
      <c r="CO11" s="816">
        <f t="shared" si="1"/>
        <v>529.73955963000003</v>
      </c>
      <c r="CP11" s="816">
        <f t="shared" si="1"/>
        <v>534.2353171499999</v>
      </c>
      <c r="CQ11" s="816">
        <f>+CQ9-CQ10</f>
        <v>522.99491940999985</v>
      </c>
      <c r="CR11" s="816">
        <f>+CR9-CR10</f>
        <v>524.72977170000001</v>
      </c>
      <c r="CS11" s="816">
        <f>+CS9-CS10</f>
        <v>531.09258104999992</v>
      </c>
      <c r="CT11" s="816">
        <v>533.28727937999997</v>
      </c>
      <c r="CU11" s="816">
        <v>533.79545180000002</v>
      </c>
      <c r="CV11" s="816">
        <v>539.75311106000004</v>
      </c>
      <c r="CW11" s="816">
        <v>533.10397494999995</v>
      </c>
      <c r="CX11" s="816">
        <v>535.30101751999996</v>
      </c>
      <c r="CY11" s="816">
        <v>537.46741239000005</v>
      </c>
      <c r="CZ11" s="816">
        <v>533.28717400999994</v>
      </c>
      <c r="DA11" s="816">
        <v>542.07791325999995</v>
      </c>
      <c r="DB11" s="816">
        <v>545.54043990000002</v>
      </c>
      <c r="DC11" s="816">
        <v>546.39003333999995</v>
      </c>
      <c r="DD11" s="816">
        <v>551.93139554000004</v>
      </c>
      <c r="DE11" s="816">
        <v>563.21427217999997</v>
      </c>
      <c r="DF11" s="816">
        <v>567.29357872000003</v>
      </c>
      <c r="DG11" s="816">
        <v>563.14749876999997</v>
      </c>
      <c r="DH11" s="816">
        <v>570.57686746000002</v>
      </c>
      <c r="DI11" s="816">
        <v>566.08178200999998</v>
      </c>
      <c r="DJ11" s="816">
        <v>570.82440481000003</v>
      </c>
      <c r="DK11" s="816">
        <v>570.19978245000004</v>
      </c>
      <c r="DL11" s="816">
        <v>569.81314363000001</v>
      </c>
      <c r="DM11" s="816">
        <v>571.74486629</v>
      </c>
      <c r="DN11" s="816">
        <v>590.38229837999995</v>
      </c>
      <c r="DO11" s="816">
        <v>595.74002103999999</v>
      </c>
      <c r="DP11" s="816">
        <v>594.51352300999997</v>
      </c>
      <c r="DQ11" s="816">
        <v>582.28291839999997</v>
      </c>
      <c r="DR11" s="816">
        <v>570.29184287999999</v>
      </c>
      <c r="DS11" s="816">
        <v>571.50631705000001</v>
      </c>
      <c r="DT11" s="816">
        <v>526.24207019999994</v>
      </c>
      <c r="DU11" s="816">
        <v>499.40752817999999</v>
      </c>
      <c r="DV11" s="816">
        <v>493.05546055999997</v>
      </c>
      <c r="DW11" s="816">
        <v>498.05339154000001</v>
      </c>
      <c r="DX11" s="816">
        <v>495.01039044999999</v>
      </c>
      <c r="DY11" s="816">
        <v>500.18509570999998</v>
      </c>
      <c r="DZ11" s="816">
        <v>520.99587033</v>
      </c>
      <c r="EA11" s="816">
        <v>490.17249048999997</v>
      </c>
      <c r="EB11" s="816">
        <v>480.70265959</v>
      </c>
      <c r="EC11" s="816">
        <v>470.32001352999998</v>
      </c>
      <c r="ED11" s="816">
        <v>458.19373621</v>
      </c>
      <c r="EE11" s="816">
        <v>450.93837933999998</v>
      </c>
      <c r="EF11" s="816">
        <v>434.75733294999998</v>
      </c>
      <c r="EG11" s="816">
        <v>413.48639980000002</v>
      </c>
      <c r="EH11" s="816">
        <v>409.23651246999998</v>
      </c>
      <c r="EI11" s="816">
        <v>407.06439263999999</v>
      </c>
      <c r="EJ11" s="816">
        <v>397.86828567999999</v>
      </c>
      <c r="EK11" s="816">
        <v>434.96482135999997</v>
      </c>
      <c r="EL11" s="816">
        <v>449.95674637000002</v>
      </c>
      <c r="EM11" s="816">
        <v>469.99420354</v>
      </c>
      <c r="EN11" s="816">
        <v>469.17741056</v>
      </c>
      <c r="EO11" s="816">
        <v>472.69313352</v>
      </c>
      <c r="EP11" s="816">
        <v>462.85236980000002</v>
      </c>
      <c r="EQ11" s="816">
        <v>461.05558436000001</v>
      </c>
      <c r="ER11" s="816">
        <v>460.78922060000002</v>
      </c>
      <c r="ES11" s="816">
        <v>446.42681333000002</v>
      </c>
      <c r="ET11" s="816">
        <v>440.49222300000002</v>
      </c>
      <c r="EU11" s="816">
        <v>444.26520892000002</v>
      </c>
      <c r="EV11" s="816">
        <v>444.89291866000002</v>
      </c>
      <c r="EW11" s="816">
        <v>453.73175700000002</v>
      </c>
      <c r="EX11" s="816">
        <v>444.42939208000001</v>
      </c>
      <c r="EY11" s="816">
        <v>452.41379811000002</v>
      </c>
      <c r="EZ11" s="816">
        <v>468.45087109999997</v>
      </c>
      <c r="FA11" s="816">
        <v>466.58029061000002</v>
      </c>
      <c r="FB11" s="816">
        <v>442.62321035000002</v>
      </c>
      <c r="FC11" s="816">
        <v>442.04090385000001</v>
      </c>
      <c r="FD11" s="816">
        <v>448.40058221999999</v>
      </c>
      <c r="FE11" s="816">
        <v>410.37077393999999</v>
      </c>
      <c r="FF11" s="816">
        <v>404.16654633000002</v>
      </c>
      <c r="FG11" s="816">
        <v>391.76030579000002</v>
      </c>
      <c r="FH11" s="1712" t="s">
        <v>4066</v>
      </c>
      <c r="FM11" s="321"/>
    </row>
    <row r="12" spans="1:302" ht="21">
      <c r="A12" s="1721"/>
      <c r="B12" s="792"/>
      <c r="C12" s="792"/>
      <c r="D12" s="792"/>
      <c r="E12" s="792"/>
      <c r="F12" s="792"/>
      <c r="G12" s="792"/>
      <c r="H12" s="792"/>
      <c r="I12" s="792"/>
      <c r="J12" s="792"/>
      <c r="K12" s="792"/>
      <c r="L12" s="792"/>
      <c r="M12" s="784"/>
      <c r="N12" s="784"/>
      <c r="O12" s="784"/>
      <c r="P12" s="784"/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84"/>
      <c r="AF12" s="784"/>
      <c r="AG12" s="784"/>
      <c r="AH12" s="784"/>
      <c r="AI12" s="784"/>
      <c r="AJ12" s="784"/>
      <c r="AK12" s="784"/>
      <c r="AL12" s="784"/>
      <c r="AM12" s="784"/>
      <c r="AN12" s="784"/>
      <c r="AO12" s="784"/>
      <c r="AP12" s="784"/>
      <c r="AQ12" s="784"/>
      <c r="AR12" s="784"/>
      <c r="AS12" s="784"/>
      <c r="AT12" s="784"/>
      <c r="AU12" s="784"/>
      <c r="AV12" s="784"/>
      <c r="AW12" s="784"/>
      <c r="AX12" s="784"/>
      <c r="AY12" s="784"/>
      <c r="AZ12" s="784"/>
      <c r="BA12" s="784"/>
      <c r="BB12" s="784"/>
      <c r="BC12" s="784"/>
      <c r="BD12" s="784"/>
      <c r="BE12" s="784"/>
      <c r="BF12" s="784"/>
      <c r="BG12" s="784"/>
      <c r="BH12" s="827"/>
      <c r="BI12" s="816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6"/>
      <c r="CN12" s="816"/>
      <c r="CO12" s="816"/>
      <c r="CP12" s="816"/>
      <c r="CQ12" s="816"/>
      <c r="CR12" s="816"/>
      <c r="CS12" s="816"/>
      <c r="CT12" s="816"/>
      <c r="CU12" s="816"/>
      <c r="CV12" s="816"/>
      <c r="CW12" s="816"/>
      <c r="CX12" s="816"/>
      <c r="CY12" s="816"/>
      <c r="CZ12" s="816"/>
      <c r="DA12" s="816"/>
      <c r="DB12" s="816"/>
      <c r="DC12" s="816"/>
      <c r="DD12" s="816"/>
      <c r="DE12" s="816"/>
      <c r="DF12" s="816"/>
      <c r="DG12" s="816"/>
      <c r="DH12" s="816"/>
      <c r="DI12" s="816"/>
      <c r="DJ12" s="816"/>
      <c r="DK12" s="816"/>
      <c r="DL12" s="816"/>
      <c r="DM12" s="816"/>
      <c r="DN12" s="816"/>
      <c r="DO12" s="816"/>
      <c r="DP12" s="816"/>
      <c r="DQ12" s="816"/>
      <c r="DR12" s="816"/>
      <c r="DS12" s="816"/>
      <c r="DT12" s="816"/>
      <c r="DU12" s="816"/>
      <c r="DV12" s="816"/>
      <c r="DW12" s="816"/>
      <c r="DX12" s="816"/>
      <c r="DY12" s="816"/>
      <c r="DZ12" s="816"/>
      <c r="EA12" s="816"/>
      <c r="EB12" s="816"/>
      <c r="EC12" s="816"/>
      <c r="ED12" s="816"/>
      <c r="EE12" s="816"/>
      <c r="EF12" s="816"/>
      <c r="EG12" s="816"/>
      <c r="EH12" s="816"/>
      <c r="EI12" s="816"/>
      <c r="EJ12" s="816"/>
      <c r="EK12" s="816"/>
      <c r="EL12" s="816"/>
      <c r="EM12" s="816"/>
      <c r="EN12" s="816"/>
      <c r="EO12" s="816"/>
      <c r="EP12" s="816"/>
      <c r="EQ12" s="816"/>
      <c r="ER12" s="816"/>
      <c r="ES12" s="816"/>
      <c r="ET12" s="816"/>
      <c r="EU12" s="816"/>
      <c r="EV12" s="816"/>
      <c r="EW12" s="816"/>
      <c r="EX12" s="816"/>
      <c r="EY12" s="816"/>
      <c r="EZ12" s="816"/>
      <c r="FA12" s="816"/>
      <c r="FB12" s="816"/>
      <c r="FC12" s="816"/>
      <c r="FD12" s="816"/>
      <c r="FE12" s="816"/>
      <c r="FF12" s="816"/>
      <c r="FG12" s="816"/>
      <c r="FH12" s="1711"/>
      <c r="FM12" s="321"/>
    </row>
    <row r="13" spans="1:302" ht="21">
      <c r="A13" s="1722" t="s">
        <v>2741</v>
      </c>
      <c r="B13" s="791">
        <v>25.181057280000001</v>
      </c>
      <c r="C13" s="791">
        <v>23.17254629</v>
      </c>
      <c r="D13" s="791">
        <v>23.515247970000001</v>
      </c>
      <c r="E13" s="791">
        <v>23.32299991</v>
      </c>
      <c r="F13" s="791">
        <v>20.912237090000001</v>
      </c>
      <c r="G13" s="791">
        <v>19.994313229999999</v>
      </c>
      <c r="H13" s="791">
        <v>24.094538880000002</v>
      </c>
      <c r="I13" s="791">
        <v>23.425630659999999</v>
      </c>
      <c r="J13" s="791">
        <v>23.54716166</v>
      </c>
      <c r="K13" s="791">
        <v>11.83543813</v>
      </c>
      <c r="L13" s="791">
        <v>12.783076520000002</v>
      </c>
      <c r="M13" s="781">
        <v>9.9998674399999992</v>
      </c>
      <c r="N13" s="781">
        <v>10.801990720000001</v>
      </c>
      <c r="O13" s="781">
        <v>12.858881779999999</v>
      </c>
      <c r="P13" s="781">
        <v>12.748845580000001</v>
      </c>
      <c r="Q13" s="781">
        <v>13.80068399</v>
      </c>
      <c r="R13" s="781">
        <v>13.03366785</v>
      </c>
      <c r="S13" s="781">
        <v>13.331818680000001</v>
      </c>
      <c r="T13" s="781">
        <v>15.02423229</v>
      </c>
      <c r="U13" s="781">
        <v>15.419716080000001</v>
      </c>
      <c r="V13" s="781">
        <v>20.110669309999999</v>
      </c>
      <c r="W13" s="781">
        <v>19.235699969999999</v>
      </c>
      <c r="X13" s="781">
        <v>17.654506259999998</v>
      </c>
      <c r="Y13" s="781">
        <v>16.696881810000001</v>
      </c>
      <c r="Z13" s="781">
        <v>14.58842033</v>
      </c>
      <c r="AA13" s="781">
        <v>49.807785300000006</v>
      </c>
      <c r="AB13" s="781">
        <v>49.907215039999997</v>
      </c>
      <c r="AC13" s="781">
        <v>47.972993129999999</v>
      </c>
      <c r="AD13" s="781">
        <v>47.233040029999991</v>
      </c>
      <c r="AE13" s="781">
        <v>46.499896360000001</v>
      </c>
      <c r="AF13" s="781">
        <v>46.078589880000003</v>
      </c>
      <c r="AG13" s="781">
        <v>46.61092893</v>
      </c>
      <c r="AH13" s="781">
        <v>55.44632842</v>
      </c>
      <c r="AI13" s="781">
        <v>67.286100879999992</v>
      </c>
      <c r="AJ13" s="781">
        <v>39.942530500000004</v>
      </c>
      <c r="AK13" s="781">
        <v>27.870083620000003</v>
      </c>
      <c r="AL13" s="781">
        <v>15.76940832</v>
      </c>
      <c r="AM13" s="781">
        <v>17.050477139999998</v>
      </c>
      <c r="AN13" s="781">
        <v>16.081362389999999</v>
      </c>
      <c r="AO13" s="781">
        <v>15.92683195</v>
      </c>
      <c r="AP13" s="781">
        <v>19.341078930000002</v>
      </c>
      <c r="AQ13" s="781">
        <v>19.810265430000001</v>
      </c>
      <c r="AR13" s="781">
        <v>18.576014700000002</v>
      </c>
      <c r="AS13" s="781">
        <v>19.73811439</v>
      </c>
      <c r="AT13" s="781">
        <v>20.32672148</v>
      </c>
      <c r="AU13" s="781">
        <v>25.348172390000002</v>
      </c>
      <c r="AV13" s="781">
        <v>38.286129809999998</v>
      </c>
      <c r="AW13" s="781">
        <v>40.766107550000001</v>
      </c>
      <c r="AX13" s="781">
        <v>38.070309649999999</v>
      </c>
      <c r="AY13" s="781">
        <v>32.517607400000003</v>
      </c>
      <c r="AZ13" s="781">
        <v>29.936961799999999</v>
      </c>
      <c r="BA13" s="781">
        <v>31.436616580000003</v>
      </c>
      <c r="BB13" s="781">
        <v>29.229649629999997</v>
      </c>
      <c r="BC13" s="781">
        <v>25.500445220000003</v>
      </c>
      <c r="BD13" s="781">
        <v>26.725279010000001</v>
      </c>
      <c r="BE13" s="781">
        <v>27.313660149999997</v>
      </c>
      <c r="BF13" s="781">
        <v>28.236600670000001</v>
      </c>
      <c r="BG13" s="781">
        <v>27.232771540000002</v>
      </c>
      <c r="BH13" s="826">
        <v>27.024991830000001</v>
      </c>
      <c r="BI13" s="815">
        <v>25.657519919999999</v>
      </c>
      <c r="BJ13" s="815">
        <v>23.668612840000002</v>
      </c>
      <c r="BK13" s="815">
        <v>22.689312290000004</v>
      </c>
      <c r="BL13" s="815">
        <v>18.191333239999999</v>
      </c>
      <c r="BM13" s="815">
        <v>16.910399309999999</v>
      </c>
      <c r="BN13" s="815">
        <v>24.520798689999999</v>
      </c>
      <c r="BO13" s="815">
        <v>16.873646780000001</v>
      </c>
      <c r="BP13" s="815">
        <v>8.3278624099999998</v>
      </c>
      <c r="BQ13" s="815">
        <v>9.1436185899999991</v>
      </c>
      <c r="BR13" s="815">
        <v>12.919905190000001</v>
      </c>
      <c r="BS13" s="815">
        <v>17.40324884</v>
      </c>
      <c r="BT13" s="815">
        <v>18.596923390000001</v>
      </c>
      <c r="BU13" s="815">
        <v>17.761837379999999</v>
      </c>
      <c r="BV13" s="815">
        <v>17.53343242</v>
      </c>
      <c r="BW13" s="815">
        <v>16.170923420000001</v>
      </c>
      <c r="BX13" s="815">
        <v>15.046143199999999</v>
      </c>
      <c r="BY13" s="815">
        <v>14.17346171</v>
      </c>
      <c r="BZ13" s="815">
        <v>14.16801413</v>
      </c>
      <c r="CA13" s="815">
        <v>15.314737839999999</v>
      </c>
      <c r="CB13" s="815">
        <v>22.927883300000001</v>
      </c>
      <c r="CC13" s="815">
        <v>20.273665390000001</v>
      </c>
      <c r="CD13" s="815">
        <v>17.915017339999999</v>
      </c>
      <c r="CE13" s="815">
        <v>22.139572520000002</v>
      </c>
      <c r="CF13" s="815">
        <v>21.710806380000001</v>
      </c>
      <c r="CG13" s="815">
        <v>16.627879849999999</v>
      </c>
      <c r="CH13" s="815">
        <v>15.45862498</v>
      </c>
      <c r="CI13" s="815">
        <v>15.974084229999999</v>
      </c>
      <c r="CJ13" s="815">
        <v>19.374206219999998</v>
      </c>
      <c r="CK13" s="815">
        <v>22.409400099999999</v>
      </c>
      <c r="CL13" s="815">
        <v>28.41693544</v>
      </c>
      <c r="CM13" s="815">
        <v>25.516618400000002</v>
      </c>
      <c r="CN13" s="815">
        <v>27.99050093</v>
      </c>
      <c r="CO13" s="815">
        <v>32.045104049999999</v>
      </c>
      <c r="CP13" s="815">
        <v>36.164188280000005</v>
      </c>
      <c r="CQ13" s="815">
        <v>36.168675929999999</v>
      </c>
      <c r="CR13" s="815">
        <v>33.650646710000004</v>
      </c>
      <c r="CS13" s="815">
        <v>36.538972510000001</v>
      </c>
      <c r="CT13" s="815">
        <v>37.613476749999997</v>
      </c>
      <c r="CU13" s="815">
        <v>40.013917239999998</v>
      </c>
      <c r="CV13" s="815">
        <v>35.044689060000003</v>
      </c>
      <c r="CW13" s="815">
        <v>34.645361379999997</v>
      </c>
      <c r="CX13" s="815">
        <v>33.159926609999999</v>
      </c>
      <c r="CY13" s="815">
        <v>33.086430219999997</v>
      </c>
      <c r="CZ13" s="815">
        <v>32.630194340000003</v>
      </c>
      <c r="DA13" s="815">
        <v>32.59198456</v>
      </c>
      <c r="DB13" s="815">
        <v>31.34809727</v>
      </c>
      <c r="DC13" s="815">
        <v>33.552122760000003</v>
      </c>
      <c r="DD13" s="815">
        <v>39.402580020000002</v>
      </c>
      <c r="DE13" s="815">
        <v>34.923373939999998</v>
      </c>
      <c r="DF13" s="815">
        <v>37.236315410000003</v>
      </c>
      <c r="DG13" s="815">
        <v>35.345243889999999</v>
      </c>
      <c r="DH13" s="815">
        <v>35.474892410000002</v>
      </c>
      <c r="DI13" s="815">
        <v>30.914786899999999</v>
      </c>
      <c r="DJ13" s="815">
        <v>36.054971369999997</v>
      </c>
      <c r="DK13" s="815">
        <v>86.991279739999996</v>
      </c>
      <c r="DL13" s="815">
        <v>88.615193270000006</v>
      </c>
      <c r="DM13" s="815">
        <v>90.489178789999997</v>
      </c>
      <c r="DN13" s="815">
        <v>109.21782786999999</v>
      </c>
      <c r="DO13" s="815">
        <v>116.68560581</v>
      </c>
      <c r="DP13" s="815">
        <v>117.94698446</v>
      </c>
      <c r="DQ13" s="815">
        <v>118.81436481999999</v>
      </c>
      <c r="DR13" s="815">
        <v>120.11734939999999</v>
      </c>
      <c r="DS13" s="815">
        <v>122.71903584</v>
      </c>
      <c r="DT13" s="815">
        <v>87.292808820000005</v>
      </c>
      <c r="DU13" s="815">
        <v>72.912156800000005</v>
      </c>
      <c r="DV13" s="815">
        <v>77.102308890000003</v>
      </c>
      <c r="DW13" s="815">
        <v>78.522214939999998</v>
      </c>
      <c r="DX13" s="815">
        <v>65.939053340000001</v>
      </c>
      <c r="DY13" s="815">
        <v>66.599867889999999</v>
      </c>
      <c r="DZ13" s="815">
        <v>69.651090620000005</v>
      </c>
      <c r="EA13" s="815">
        <v>67.357939229999999</v>
      </c>
      <c r="EB13" s="815">
        <v>69.601635439999995</v>
      </c>
      <c r="EC13" s="815">
        <v>59.261794289999997</v>
      </c>
      <c r="ED13" s="815">
        <v>55.384037970000001</v>
      </c>
      <c r="EE13" s="815">
        <v>47.54537011</v>
      </c>
      <c r="EF13" s="815">
        <v>44.85000694</v>
      </c>
      <c r="EG13" s="815">
        <v>41.550234930000002</v>
      </c>
      <c r="EH13" s="815">
        <v>39.624325689999999</v>
      </c>
      <c r="EI13" s="815">
        <v>37.117695419999997</v>
      </c>
      <c r="EJ13" s="815">
        <v>29.054335330000001</v>
      </c>
      <c r="EK13" s="815">
        <v>33.92487981</v>
      </c>
      <c r="EL13" s="815">
        <v>49.257210540000003</v>
      </c>
      <c r="EM13" s="815">
        <v>64.594262490000006</v>
      </c>
      <c r="EN13" s="815">
        <v>66.478200180000002</v>
      </c>
      <c r="EO13" s="815">
        <v>66.955832490000006</v>
      </c>
      <c r="EP13" s="815">
        <v>68.387424469999999</v>
      </c>
      <c r="EQ13" s="815">
        <v>73.357167169999997</v>
      </c>
      <c r="ER13" s="815">
        <v>79.86097556</v>
      </c>
      <c r="ES13" s="815">
        <v>80.400516080000003</v>
      </c>
      <c r="ET13" s="815">
        <v>79.137380089999994</v>
      </c>
      <c r="EU13" s="815">
        <v>77.169269229999998</v>
      </c>
      <c r="EV13" s="815">
        <v>73.394726030000001</v>
      </c>
      <c r="EW13" s="815">
        <v>83.710017140000005</v>
      </c>
      <c r="EX13" s="815">
        <v>79.81584393</v>
      </c>
      <c r="EY13" s="815">
        <v>83.553711399999997</v>
      </c>
      <c r="EZ13" s="815">
        <v>109.6667906</v>
      </c>
      <c r="FA13" s="815">
        <v>105.17569521</v>
      </c>
      <c r="FB13" s="815">
        <v>85.184278480000003</v>
      </c>
      <c r="FC13" s="815">
        <v>93.619534400000006</v>
      </c>
      <c r="FD13" s="815">
        <v>94.097292159999995</v>
      </c>
      <c r="FE13" s="815">
        <v>63.339916600000002</v>
      </c>
      <c r="FF13" s="815">
        <v>50.918906569999997</v>
      </c>
      <c r="FG13" s="815">
        <v>49.687902989999998</v>
      </c>
      <c r="FH13" s="1710" t="s">
        <v>4064</v>
      </c>
      <c r="FM13" s="321"/>
    </row>
    <row r="14" spans="1:302" ht="21">
      <c r="A14" s="1723" t="s">
        <v>1961</v>
      </c>
      <c r="B14" s="792">
        <v>0</v>
      </c>
      <c r="C14" s="792">
        <v>0</v>
      </c>
      <c r="D14" s="792">
        <v>0</v>
      </c>
      <c r="E14" s="792">
        <v>0</v>
      </c>
      <c r="F14" s="792">
        <v>0</v>
      </c>
      <c r="G14" s="792">
        <v>0</v>
      </c>
      <c r="H14" s="792">
        <v>0</v>
      </c>
      <c r="I14" s="792">
        <v>0</v>
      </c>
      <c r="J14" s="792">
        <v>0</v>
      </c>
      <c r="K14" s="792">
        <v>0</v>
      </c>
      <c r="L14" s="792">
        <v>0</v>
      </c>
      <c r="M14" s="784">
        <v>0</v>
      </c>
      <c r="N14" s="784">
        <v>0</v>
      </c>
      <c r="O14" s="784">
        <v>0</v>
      </c>
      <c r="P14" s="784">
        <v>0</v>
      </c>
      <c r="Q14" s="784">
        <v>0</v>
      </c>
      <c r="R14" s="784">
        <v>0</v>
      </c>
      <c r="S14" s="784">
        <v>0</v>
      </c>
      <c r="T14" s="784">
        <v>0</v>
      </c>
      <c r="U14" s="784">
        <v>0</v>
      </c>
      <c r="V14" s="784">
        <v>0</v>
      </c>
      <c r="W14" s="784">
        <v>0</v>
      </c>
      <c r="X14" s="784">
        <v>0</v>
      </c>
      <c r="Y14" s="784">
        <v>0</v>
      </c>
      <c r="Z14" s="784">
        <v>0</v>
      </c>
      <c r="AA14" s="784">
        <v>0</v>
      </c>
      <c r="AB14" s="784">
        <v>0</v>
      </c>
      <c r="AC14" s="784">
        <v>0</v>
      </c>
      <c r="AD14" s="784">
        <v>0</v>
      </c>
      <c r="AE14" s="784">
        <v>0</v>
      </c>
      <c r="AF14" s="784">
        <v>0</v>
      </c>
      <c r="AG14" s="784">
        <v>0</v>
      </c>
      <c r="AH14" s="784">
        <v>0</v>
      </c>
      <c r="AI14" s="784">
        <v>0</v>
      </c>
      <c r="AJ14" s="784">
        <v>0</v>
      </c>
      <c r="AK14" s="784">
        <v>0</v>
      </c>
      <c r="AL14" s="784">
        <v>0</v>
      </c>
      <c r="AM14" s="784">
        <v>0</v>
      </c>
      <c r="AN14" s="784">
        <v>0</v>
      </c>
      <c r="AO14" s="784">
        <v>0</v>
      </c>
      <c r="AP14" s="784">
        <v>0</v>
      </c>
      <c r="AQ14" s="784">
        <v>0</v>
      </c>
      <c r="AR14" s="784">
        <v>0</v>
      </c>
      <c r="AS14" s="784">
        <v>0</v>
      </c>
      <c r="AT14" s="784">
        <v>0</v>
      </c>
      <c r="AU14" s="784">
        <v>0</v>
      </c>
      <c r="AV14" s="784">
        <v>0</v>
      </c>
      <c r="AW14" s="784">
        <v>0</v>
      </c>
      <c r="AX14" s="784">
        <v>0</v>
      </c>
      <c r="AY14" s="784">
        <v>0</v>
      </c>
      <c r="AZ14" s="784">
        <v>0</v>
      </c>
      <c r="BA14" s="784">
        <v>0</v>
      </c>
      <c r="BB14" s="784">
        <v>0</v>
      </c>
      <c r="BC14" s="784">
        <v>0</v>
      </c>
      <c r="BD14" s="784">
        <v>0</v>
      </c>
      <c r="BE14" s="784">
        <v>0</v>
      </c>
      <c r="BF14" s="784">
        <v>0</v>
      </c>
      <c r="BG14" s="784">
        <v>0</v>
      </c>
      <c r="BH14" s="827">
        <v>0</v>
      </c>
      <c r="BI14" s="816">
        <v>0</v>
      </c>
      <c r="BJ14" s="816">
        <v>0</v>
      </c>
      <c r="BK14" s="816">
        <v>0</v>
      </c>
      <c r="BL14" s="816">
        <v>0</v>
      </c>
      <c r="BM14" s="816">
        <v>0</v>
      </c>
      <c r="BN14" s="816">
        <v>0</v>
      </c>
      <c r="BO14" s="816">
        <v>0</v>
      </c>
      <c r="BP14" s="816">
        <v>0</v>
      </c>
      <c r="BQ14" s="816">
        <v>0</v>
      </c>
      <c r="BR14" s="816">
        <v>0</v>
      </c>
      <c r="BS14" s="816">
        <v>0</v>
      </c>
      <c r="BT14" s="816">
        <v>0</v>
      </c>
      <c r="BU14" s="816">
        <v>0</v>
      </c>
      <c r="BV14" s="816">
        <v>0</v>
      </c>
      <c r="BW14" s="816">
        <v>0</v>
      </c>
      <c r="BX14" s="816">
        <v>0</v>
      </c>
      <c r="BY14" s="816">
        <v>0</v>
      </c>
      <c r="BZ14" s="816">
        <v>0</v>
      </c>
      <c r="CA14" s="816">
        <v>0</v>
      </c>
      <c r="CB14" s="816">
        <v>0</v>
      </c>
      <c r="CC14" s="816">
        <v>0</v>
      </c>
      <c r="CD14" s="816">
        <v>0</v>
      </c>
      <c r="CE14" s="816">
        <v>0</v>
      </c>
      <c r="CF14" s="816">
        <v>0</v>
      </c>
      <c r="CG14" s="816">
        <v>0</v>
      </c>
      <c r="CH14" s="816">
        <v>0</v>
      </c>
      <c r="CI14" s="816">
        <v>0</v>
      </c>
      <c r="CJ14" s="816">
        <v>0</v>
      </c>
      <c r="CK14" s="816">
        <v>0</v>
      </c>
      <c r="CL14" s="816">
        <v>0</v>
      </c>
      <c r="CM14" s="816">
        <v>0</v>
      </c>
      <c r="CN14" s="816">
        <v>0</v>
      </c>
      <c r="CO14" s="816">
        <v>0</v>
      </c>
      <c r="CP14" s="816">
        <v>0</v>
      </c>
      <c r="CQ14" s="816">
        <v>0</v>
      </c>
      <c r="CR14" s="816">
        <v>0</v>
      </c>
      <c r="CS14" s="816">
        <v>0</v>
      </c>
      <c r="CT14" s="816">
        <v>0.15065002</v>
      </c>
      <c r="CU14" s="816">
        <v>0.74781998000000005</v>
      </c>
      <c r="CV14" s="816">
        <v>0.66671670999999999</v>
      </c>
      <c r="CW14" s="816">
        <v>0.55942831999999998</v>
      </c>
      <c r="CX14" s="816">
        <v>0.53791522000000003</v>
      </c>
      <c r="CY14" s="816">
        <v>0.48383232999999998</v>
      </c>
      <c r="CZ14" s="816">
        <v>0.48823873000000001</v>
      </c>
      <c r="DA14" s="816">
        <v>0.41710795000000001</v>
      </c>
      <c r="DB14" s="816">
        <v>0</v>
      </c>
      <c r="DC14" s="816">
        <v>0</v>
      </c>
      <c r="DD14" s="816">
        <v>0</v>
      </c>
      <c r="DE14" s="816">
        <v>0</v>
      </c>
      <c r="DF14" s="816">
        <v>0</v>
      </c>
      <c r="DG14" s="816">
        <v>0</v>
      </c>
      <c r="DH14" s="816">
        <v>0</v>
      </c>
      <c r="DI14" s="816">
        <v>0.01</v>
      </c>
      <c r="DJ14" s="816">
        <v>0.01</v>
      </c>
      <c r="DK14" s="816">
        <v>9.24613E-3</v>
      </c>
      <c r="DL14" s="816">
        <v>8.4697699999999997E-3</v>
      </c>
      <c r="DM14" s="816">
        <v>7.6811099999999997E-3</v>
      </c>
      <c r="DN14" s="816">
        <v>6.87997E-3</v>
      </c>
      <c r="DO14" s="816">
        <v>6.0734099999999996E-3</v>
      </c>
      <c r="DP14" s="816">
        <v>5.2404000000000001E-3</v>
      </c>
      <c r="DQ14" s="816">
        <v>4.4006100000000001E-3</v>
      </c>
      <c r="DR14" s="816">
        <v>3.5521699999999999E-3</v>
      </c>
      <c r="DS14" s="816">
        <v>2.6819000000000001E-3</v>
      </c>
      <c r="DT14" s="816">
        <v>1.8016E-3</v>
      </c>
      <c r="DU14" s="816">
        <v>9.0927E-4</v>
      </c>
      <c r="DV14" s="816">
        <v>0</v>
      </c>
      <c r="DW14" s="816">
        <v>0</v>
      </c>
      <c r="DX14" s="816">
        <v>0</v>
      </c>
      <c r="DY14" s="816">
        <v>0</v>
      </c>
      <c r="DZ14" s="816">
        <v>0</v>
      </c>
      <c r="EA14" s="816">
        <v>0</v>
      </c>
      <c r="EB14" s="816">
        <v>0</v>
      </c>
      <c r="EC14" s="816">
        <v>0</v>
      </c>
      <c r="ED14" s="816">
        <v>0</v>
      </c>
      <c r="EE14" s="816">
        <v>0</v>
      </c>
      <c r="EF14" s="816">
        <v>0</v>
      </c>
      <c r="EG14" s="816">
        <v>0</v>
      </c>
      <c r="EH14" s="816">
        <v>0</v>
      </c>
      <c r="EI14" s="816">
        <v>0</v>
      </c>
      <c r="EJ14" s="816">
        <v>0</v>
      </c>
      <c r="EK14" s="816">
        <v>0</v>
      </c>
      <c r="EL14" s="816">
        <v>0</v>
      </c>
      <c r="EM14" s="816">
        <v>0</v>
      </c>
      <c r="EN14" s="816">
        <v>0</v>
      </c>
      <c r="EO14" s="816">
        <v>0</v>
      </c>
      <c r="EP14" s="816">
        <v>0</v>
      </c>
      <c r="EQ14" s="816">
        <v>0</v>
      </c>
      <c r="ER14" s="816">
        <v>0</v>
      </c>
      <c r="ES14" s="816">
        <v>0</v>
      </c>
      <c r="ET14" s="816">
        <v>0</v>
      </c>
      <c r="EU14" s="816">
        <v>0</v>
      </c>
      <c r="EV14" s="816">
        <v>0</v>
      </c>
      <c r="EW14" s="816">
        <v>0</v>
      </c>
      <c r="EX14" s="816">
        <v>0</v>
      </c>
      <c r="EY14" s="816">
        <v>0</v>
      </c>
      <c r="EZ14" s="816">
        <v>8.5</v>
      </c>
      <c r="FA14" s="816">
        <v>9.9960000000000004</v>
      </c>
      <c r="FB14" s="816">
        <v>9.9960000000000004</v>
      </c>
      <c r="FC14" s="816">
        <v>9.9960000000000004</v>
      </c>
      <c r="FD14" s="816">
        <v>9.9960000000000004</v>
      </c>
      <c r="FE14" s="816">
        <v>9.9960000000000004</v>
      </c>
      <c r="FF14" s="816">
        <v>0</v>
      </c>
      <c r="FG14" s="816">
        <v>0</v>
      </c>
      <c r="FH14" s="1712" t="s">
        <v>4067</v>
      </c>
      <c r="FM14" s="321"/>
    </row>
    <row r="15" spans="1:302" ht="21">
      <c r="A15" s="1723" t="s">
        <v>1962</v>
      </c>
      <c r="B15" s="792">
        <f>+B13-B14</f>
        <v>25.181057280000001</v>
      </c>
      <c r="C15" s="792">
        <f t="shared" ref="C15:V15" si="2">+C13-C14</f>
        <v>23.17254629</v>
      </c>
      <c r="D15" s="792">
        <f t="shared" si="2"/>
        <v>23.515247970000001</v>
      </c>
      <c r="E15" s="792">
        <f t="shared" si="2"/>
        <v>23.32299991</v>
      </c>
      <c r="F15" s="792">
        <f t="shared" si="2"/>
        <v>20.912237090000001</v>
      </c>
      <c r="G15" s="792">
        <f t="shared" si="2"/>
        <v>19.994313229999999</v>
      </c>
      <c r="H15" s="792">
        <f t="shared" si="2"/>
        <v>24.094538880000002</v>
      </c>
      <c r="I15" s="792">
        <f t="shared" si="2"/>
        <v>23.425630659999999</v>
      </c>
      <c r="J15" s="792">
        <f t="shared" si="2"/>
        <v>23.54716166</v>
      </c>
      <c r="K15" s="792">
        <f t="shared" si="2"/>
        <v>11.83543813</v>
      </c>
      <c r="L15" s="792">
        <f t="shared" si="2"/>
        <v>12.783076520000002</v>
      </c>
      <c r="M15" s="784">
        <f t="shared" si="2"/>
        <v>9.9998674399999992</v>
      </c>
      <c r="N15" s="784">
        <f t="shared" si="2"/>
        <v>10.801990720000001</v>
      </c>
      <c r="O15" s="784">
        <f t="shared" si="2"/>
        <v>12.858881779999999</v>
      </c>
      <c r="P15" s="784">
        <f t="shared" si="2"/>
        <v>12.748845580000001</v>
      </c>
      <c r="Q15" s="784">
        <f t="shared" si="2"/>
        <v>13.80068399</v>
      </c>
      <c r="R15" s="784">
        <f t="shared" si="2"/>
        <v>13.03366785</v>
      </c>
      <c r="S15" s="784">
        <f t="shared" si="2"/>
        <v>13.331818680000001</v>
      </c>
      <c r="T15" s="784">
        <f t="shared" si="2"/>
        <v>15.02423229</v>
      </c>
      <c r="U15" s="784">
        <f t="shared" si="2"/>
        <v>15.419716080000001</v>
      </c>
      <c r="V15" s="784">
        <f t="shared" si="2"/>
        <v>20.110669309999999</v>
      </c>
      <c r="W15" s="784">
        <v>19.235699969999999</v>
      </c>
      <c r="X15" s="784">
        <v>17.654506259999998</v>
      </c>
      <c r="Y15" s="784">
        <v>16.696881810000001</v>
      </c>
      <c r="Z15" s="784">
        <v>14.58842033</v>
      </c>
      <c r="AA15" s="784">
        <v>49.807785300000006</v>
      </c>
      <c r="AB15" s="784">
        <v>49.907215039999997</v>
      </c>
      <c r="AC15" s="784">
        <v>47.972993129999999</v>
      </c>
      <c r="AD15" s="784">
        <v>47.233040029999991</v>
      </c>
      <c r="AE15" s="784">
        <v>46.499896360000001</v>
      </c>
      <c r="AF15" s="784">
        <v>46.078589880000003</v>
      </c>
      <c r="AG15" s="784">
        <v>46.61092893</v>
      </c>
      <c r="AH15" s="784">
        <f>+AH13-AH14</f>
        <v>55.44632842</v>
      </c>
      <c r="AI15" s="784">
        <v>67.286100879999992</v>
      </c>
      <c r="AJ15" s="784">
        <v>39.942530500000004</v>
      </c>
      <c r="AK15" s="784">
        <f>+AK13-AK14</f>
        <v>27.870083620000003</v>
      </c>
      <c r="AL15" s="784">
        <v>15.76940832</v>
      </c>
      <c r="AM15" s="784">
        <f>+AM13-AM14</f>
        <v>17.050477139999998</v>
      </c>
      <c r="AN15" s="784">
        <f>+AN13-AN14</f>
        <v>16.081362389999999</v>
      </c>
      <c r="AO15" s="784">
        <f>+AO13-AO14</f>
        <v>15.92683195</v>
      </c>
      <c r="AP15" s="784">
        <f>+AP13-AP14</f>
        <v>19.341078930000002</v>
      </c>
      <c r="AQ15" s="784">
        <v>19.810265430000001</v>
      </c>
      <c r="AR15" s="784">
        <v>18.576014700000002</v>
      </c>
      <c r="AS15" s="784">
        <f>+AS13-AS14</f>
        <v>19.73811439</v>
      </c>
      <c r="AT15" s="784">
        <f>+AT13-AT14</f>
        <v>20.32672148</v>
      </c>
      <c r="AU15" s="784">
        <v>25.348172390000002</v>
      </c>
      <c r="AV15" s="784">
        <v>38.286129809999998</v>
      </c>
      <c r="AW15" s="784">
        <v>40.766107550000001</v>
      </c>
      <c r="AX15" s="784">
        <v>38.070309649999999</v>
      </c>
      <c r="AY15" s="784">
        <v>32.517607400000003</v>
      </c>
      <c r="AZ15" s="784">
        <v>29.936961799999999</v>
      </c>
      <c r="BA15" s="784">
        <v>31.436616580000003</v>
      </c>
      <c r="BB15" s="784">
        <v>29.229649629999997</v>
      </c>
      <c r="BC15" s="784">
        <v>25.500445220000003</v>
      </c>
      <c r="BD15" s="784">
        <f>+BD13-BD14</f>
        <v>26.725279010000001</v>
      </c>
      <c r="BE15" s="784">
        <v>27.313660149999997</v>
      </c>
      <c r="BF15" s="784">
        <v>28.236600670000001</v>
      </c>
      <c r="BG15" s="784">
        <v>27.232771540000002</v>
      </c>
      <c r="BH15" s="827">
        <v>27.024991830000001</v>
      </c>
      <c r="BI15" s="816">
        <v>25.657519919999999</v>
      </c>
      <c r="BJ15" s="816">
        <v>23.668612840000002</v>
      </c>
      <c r="BK15" s="816">
        <v>22.689312290000004</v>
      </c>
      <c r="BL15" s="816">
        <v>18.191333239999999</v>
      </c>
      <c r="BM15" s="816">
        <v>16.910399309999999</v>
      </c>
      <c r="BN15" s="816">
        <v>24.520798689999999</v>
      </c>
      <c r="BO15" s="816">
        <v>16.873646780000001</v>
      </c>
      <c r="BP15" s="816">
        <v>8.3278624099999998</v>
      </c>
      <c r="BQ15" s="816">
        <v>9.1436185899999991</v>
      </c>
      <c r="BR15" s="816">
        <v>12.919905190000001</v>
      </c>
      <c r="BS15" s="816">
        <v>17.40324884</v>
      </c>
      <c r="BT15" s="816">
        <v>18.596923390000001</v>
      </c>
      <c r="BU15" s="816">
        <v>17.761837379999999</v>
      </c>
      <c r="BV15" s="816">
        <v>17.53343242</v>
      </c>
      <c r="BW15" s="816">
        <v>16.170923420000001</v>
      </c>
      <c r="BX15" s="816">
        <v>15.046143199999999</v>
      </c>
      <c r="BY15" s="816">
        <v>14.17346171</v>
      </c>
      <c r="BZ15" s="816">
        <v>14.16801413</v>
      </c>
      <c r="CA15" s="816">
        <v>15.314737839999999</v>
      </c>
      <c r="CB15" s="816">
        <v>22.927883300000001</v>
      </c>
      <c r="CC15" s="816">
        <v>20.273665390000001</v>
      </c>
      <c r="CD15" s="816">
        <v>17.915017339999999</v>
      </c>
      <c r="CE15" s="816">
        <f t="shared" ref="CE15:CP15" si="3">+CE13-CE14</f>
        <v>22.139572520000002</v>
      </c>
      <c r="CF15" s="816">
        <f t="shared" si="3"/>
        <v>21.710806380000001</v>
      </c>
      <c r="CG15" s="816">
        <f t="shared" si="3"/>
        <v>16.627879849999999</v>
      </c>
      <c r="CH15" s="816">
        <f t="shared" si="3"/>
        <v>15.45862498</v>
      </c>
      <c r="CI15" s="816">
        <f t="shared" si="3"/>
        <v>15.974084229999999</v>
      </c>
      <c r="CJ15" s="816">
        <f t="shared" si="3"/>
        <v>19.374206219999998</v>
      </c>
      <c r="CK15" s="816">
        <f t="shared" si="3"/>
        <v>22.409400099999999</v>
      </c>
      <c r="CL15" s="816">
        <f t="shared" si="3"/>
        <v>28.41693544</v>
      </c>
      <c r="CM15" s="816">
        <f t="shared" si="3"/>
        <v>25.516618400000002</v>
      </c>
      <c r="CN15" s="816">
        <f t="shared" si="3"/>
        <v>27.99050093</v>
      </c>
      <c r="CO15" s="816">
        <f t="shared" si="3"/>
        <v>32.045104049999999</v>
      </c>
      <c r="CP15" s="816">
        <f t="shared" si="3"/>
        <v>36.164188280000005</v>
      </c>
      <c r="CQ15" s="816">
        <f>+CQ13-CQ14</f>
        <v>36.168675929999999</v>
      </c>
      <c r="CR15" s="816">
        <f>+CR13-CR14</f>
        <v>33.650646710000004</v>
      </c>
      <c r="CS15" s="816">
        <f>+CS13-CS14</f>
        <v>36.538972510000001</v>
      </c>
      <c r="CT15" s="816">
        <v>37.462826730000003</v>
      </c>
      <c r="CU15" s="816">
        <v>39.266097260000002</v>
      </c>
      <c r="CV15" s="816">
        <v>34.37797235</v>
      </c>
      <c r="CW15" s="816">
        <v>34.085933060000002</v>
      </c>
      <c r="CX15" s="816">
        <v>32.622011389999997</v>
      </c>
      <c r="CY15" s="816">
        <v>32.602597889999998</v>
      </c>
      <c r="CZ15" s="816">
        <v>32.141955609999997</v>
      </c>
      <c r="DA15" s="816">
        <v>32.174876609999998</v>
      </c>
      <c r="DB15" s="816">
        <v>31.34809727</v>
      </c>
      <c r="DC15" s="816">
        <v>33.552122760000003</v>
      </c>
      <c r="DD15" s="816">
        <v>39.402580020000002</v>
      </c>
      <c r="DE15" s="816">
        <v>34.923373939999998</v>
      </c>
      <c r="DF15" s="816">
        <v>37.236315410000003</v>
      </c>
      <c r="DG15" s="816">
        <v>35.345243889999999</v>
      </c>
      <c r="DH15" s="816">
        <v>35.474892410000002</v>
      </c>
      <c r="DI15" s="816">
        <v>30.904786900000001</v>
      </c>
      <c r="DJ15" s="816">
        <v>36.044971369999999</v>
      </c>
      <c r="DK15" s="816">
        <v>86.982033610000002</v>
      </c>
      <c r="DL15" s="816">
        <v>88.606723500000001</v>
      </c>
      <c r="DM15" s="816">
        <v>90.481497680000004</v>
      </c>
      <c r="DN15" s="816">
        <v>109.21094789999999</v>
      </c>
      <c r="DO15" s="816">
        <v>116.6795324</v>
      </c>
      <c r="DP15" s="816">
        <v>117.94174406</v>
      </c>
      <c r="DQ15" s="816">
        <v>118.80996421</v>
      </c>
      <c r="DR15" s="816">
        <v>120.11379723</v>
      </c>
      <c r="DS15" s="816">
        <v>122.71635394</v>
      </c>
      <c r="DT15" s="816">
        <v>87.291007219999997</v>
      </c>
      <c r="DU15" s="816">
        <v>72.911247529999997</v>
      </c>
      <c r="DV15" s="816">
        <v>77.102308890000003</v>
      </c>
      <c r="DW15" s="816">
        <v>78.522214939999998</v>
      </c>
      <c r="DX15" s="816">
        <v>65.939053340000001</v>
      </c>
      <c r="DY15" s="816">
        <v>66.599867889999999</v>
      </c>
      <c r="DZ15" s="816">
        <v>69.651090620000005</v>
      </c>
      <c r="EA15" s="816">
        <v>67.357939229999999</v>
      </c>
      <c r="EB15" s="816">
        <v>69.601635439999995</v>
      </c>
      <c r="EC15" s="816">
        <v>59.261794289999997</v>
      </c>
      <c r="ED15" s="816">
        <v>55.384037970000001</v>
      </c>
      <c r="EE15" s="816">
        <v>47.54537011</v>
      </c>
      <c r="EF15" s="816">
        <v>44.85000694</v>
      </c>
      <c r="EG15" s="816">
        <v>41.550234930000002</v>
      </c>
      <c r="EH15" s="816">
        <v>39.624325689999999</v>
      </c>
      <c r="EI15" s="816">
        <v>37.117695419999997</v>
      </c>
      <c r="EJ15" s="816">
        <v>29.054335330000001</v>
      </c>
      <c r="EK15" s="816">
        <v>33.92487981</v>
      </c>
      <c r="EL15" s="816">
        <v>49.257210540000003</v>
      </c>
      <c r="EM15" s="816">
        <v>64.594262490000006</v>
      </c>
      <c r="EN15" s="816">
        <v>66.478200180000002</v>
      </c>
      <c r="EO15" s="816">
        <v>66.955832490000006</v>
      </c>
      <c r="EP15" s="816">
        <v>68.387424469999999</v>
      </c>
      <c r="EQ15" s="816">
        <v>73.357167169999997</v>
      </c>
      <c r="ER15" s="816">
        <v>79.86097556</v>
      </c>
      <c r="ES15" s="816">
        <v>80.400516080000003</v>
      </c>
      <c r="ET15" s="816">
        <v>79.137380089999994</v>
      </c>
      <c r="EU15" s="816">
        <v>77.169269229999998</v>
      </c>
      <c r="EV15" s="816">
        <v>73.394726030000001</v>
      </c>
      <c r="EW15" s="816">
        <v>83.710017140000005</v>
      </c>
      <c r="EX15" s="816">
        <v>79.81584393</v>
      </c>
      <c r="EY15" s="816">
        <v>83.553711399999997</v>
      </c>
      <c r="EZ15" s="816">
        <v>101.1667906</v>
      </c>
      <c r="FA15" s="816">
        <v>95.179695210000006</v>
      </c>
      <c r="FB15" s="816">
        <v>75.188278479999994</v>
      </c>
      <c r="FC15" s="816">
        <v>83.623534399999997</v>
      </c>
      <c r="FD15" s="816">
        <v>84.10129216</v>
      </c>
      <c r="FE15" s="816">
        <v>53.3439166</v>
      </c>
      <c r="FF15" s="816">
        <v>50.918906569999997</v>
      </c>
      <c r="FG15" s="816">
        <v>49.687902989999998</v>
      </c>
      <c r="FH15" s="1712" t="s">
        <v>4066</v>
      </c>
      <c r="FM15" s="321"/>
    </row>
    <row r="16" spans="1:302" ht="21">
      <c r="A16" s="1720"/>
      <c r="B16" s="791"/>
      <c r="C16" s="791"/>
      <c r="D16" s="791"/>
      <c r="E16" s="791"/>
      <c r="F16" s="791"/>
      <c r="G16" s="791"/>
      <c r="H16" s="791"/>
      <c r="I16" s="791"/>
      <c r="J16" s="791"/>
      <c r="K16" s="791"/>
      <c r="L16" s="791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781"/>
      <c r="AA16" s="781"/>
      <c r="AB16" s="781"/>
      <c r="AC16" s="781"/>
      <c r="AD16" s="781"/>
      <c r="AE16" s="781"/>
      <c r="AF16" s="781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  <c r="AT16" s="781"/>
      <c r="AU16" s="781"/>
      <c r="AV16" s="781"/>
      <c r="AW16" s="781"/>
      <c r="AX16" s="781"/>
      <c r="AY16" s="781"/>
      <c r="AZ16" s="781"/>
      <c r="BA16" s="781"/>
      <c r="BB16" s="781"/>
      <c r="BC16" s="781"/>
      <c r="BD16" s="781"/>
      <c r="BE16" s="781"/>
      <c r="BF16" s="781"/>
      <c r="BG16" s="781"/>
      <c r="BH16" s="826"/>
      <c r="BI16" s="815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5"/>
      <c r="CN16" s="815"/>
      <c r="CO16" s="815"/>
      <c r="CP16" s="815"/>
      <c r="CQ16" s="815"/>
      <c r="CR16" s="815"/>
      <c r="CS16" s="815"/>
      <c r="CT16" s="815"/>
      <c r="CU16" s="815"/>
      <c r="CV16" s="815"/>
      <c r="CW16" s="815"/>
      <c r="CX16" s="815"/>
      <c r="CY16" s="815"/>
      <c r="CZ16" s="815"/>
      <c r="DA16" s="815"/>
      <c r="DB16" s="815"/>
      <c r="DC16" s="815"/>
      <c r="DD16" s="815"/>
      <c r="DE16" s="815"/>
      <c r="DF16" s="815"/>
      <c r="DG16" s="815"/>
      <c r="DH16" s="815"/>
      <c r="DI16" s="815"/>
      <c r="DJ16" s="815"/>
      <c r="DK16" s="815"/>
      <c r="DL16" s="815"/>
      <c r="DM16" s="815"/>
      <c r="DN16" s="815"/>
      <c r="DO16" s="815"/>
      <c r="DP16" s="815"/>
      <c r="DQ16" s="815"/>
      <c r="DR16" s="815"/>
      <c r="DS16" s="815"/>
      <c r="DT16" s="815"/>
      <c r="DU16" s="815"/>
      <c r="DV16" s="815"/>
      <c r="DW16" s="815"/>
      <c r="DX16" s="815"/>
      <c r="DY16" s="815"/>
      <c r="DZ16" s="815"/>
      <c r="EA16" s="815"/>
      <c r="EB16" s="815"/>
      <c r="EC16" s="815"/>
      <c r="ED16" s="815"/>
      <c r="EE16" s="815"/>
      <c r="EF16" s="815"/>
      <c r="EG16" s="815"/>
      <c r="EH16" s="815"/>
      <c r="EI16" s="815"/>
      <c r="EJ16" s="815"/>
      <c r="EK16" s="815"/>
      <c r="EL16" s="815"/>
      <c r="EM16" s="815"/>
      <c r="EN16" s="815"/>
      <c r="EO16" s="815"/>
      <c r="EP16" s="815"/>
      <c r="EQ16" s="815"/>
      <c r="ER16" s="815"/>
      <c r="ES16" s="815"/>
      <c r="ET16" s="815"/>
      <c r="EU16" s="815"/>
      <c r="EV16" s="815"/>
      <c r="EW16" s="815"/>
      <c r="EX16" s="815"/>
      <c r="EY16" s="815"/>
      <c r="EZ16" s="815"/>
      <c r="FA16" s="815"/>
      <c r="FB16" s="815"/>
      <c r="FC16" s="815"/>
      <c r="FD16" s="815"/>
      <c r="FE16" s="815"/>
      <c r="FF16" s="815"/>
      <c r="FG16" s="815"/>
      <c r="FH16" s="1713"/>
      <c r="FM16" s="321"/>
    </row>
    <row r="17" spans="1:169" ht="21">
      <c r="A17" s="1744" t="s">
        <v>185</v>
      </c>
      <c r="B17" s="792">
        <v>22.695528840000001</v>
      </c>
      <c r="C17" s="792">
        <v>20.890334410000001</v>
      </c>
      <c r="D17" s="792">
        <v>21.26644881</v>
      </c>
      <c r="E17" s="792">
        <v>20.856800549999999</v>
      </c>
      <c r="F17" s="792">
        <v>18.340524590000001</v>
      </c>
      <c r="G17" s="792">
        <v>17.26524543</v>
      </c>
      <c r="H17" s="792">
        <v>20.05758544</v>
      </c>
      <c r="I17" s="792">
        <v>20.655252699999998</v>
      </c>
      <c r="J17" s="792">
        <v>20.714459179999999</v>
      </c>
      <c r="K17" s="792">
        <v>8.6646376600000004</v>
      </c>
      <c r="L17" s="792">
        <v>9.5099155500000006</v>
      </c>
      <c r="M17" s="781">
        <v>7.0525188499999993</v>
      </c>
      <c r="N17" s="784">
        <v>7.0799711100000007</v>
      </c>
      <c r="O17" s="784">
        <v>9.4274865399999985</v>
      </c>
      <c r="P17" s="784">
        <v>9.1665198300000004</v>
      </c>
      <c r="Q17" s="784">
        <v>10.17029773</v>
      </c>
      <c r="R17" s="784">
        <v>9.4600307499999996</v>
      </c>
      <c r="S17" s="784">
        <v>10.03137532</v>
      </c>
      <c r="T17" s="784">
        <v>11.725306810000001</v>
      </c>
      <c r="U17" s="784">
        <v>11.930375769999999</v>
      </c>
      <c r="V17" s="784">
        <v>12.21865092</v>
      </c>
      <c r="W17" s="784">
        <v>11.548101109999999</v>
      </c>
      <c r="X17" s="784">
        <v>10.67725787</v>
      </c>
      <c r="Y17" s="781">
        <v>10.285120730000001</v>
      </c>
      <c r="Z17" s="784">
        <v>8.6847655100000001</v>
      </c>
      <c r="AA17" s="784">
        <v>9.1517091599999993</v>
      </c>
      <c r="AB17" s="781">
        <v>9.7346583199999994</v>
      </c>
      <c r="AC17" s="781">
        <v>8.0239724199999998</v>
      </c>
      <c r="AD17" s="781">
        <v>7.5614438699999997</v>
      </c>
      <c r="AE17" s="781">
        <v>4.7137675099999994</v>
      </c>
      <c r="AF17" s="781">
        <v>4.6946645</v>
      </c>
      <c r="AG17" s="781">
        <v>6.2735253899999996</v>
      </c>
      <c r="AH17" s="781">
        <v>9.881169550000001</v>
      </c>
      <c r="AI17" s="781">
        <v>25.408566690000001</v>
      </c>
      <c r="AJ17" s="781">
        <v>8.9951400100000001</v>
      </c>
      <c r="AK17" s="781">
        <v>10.74232559</v>
      </c>
      <c r="AL17" s="781">
        <v>4.58258425</v>
      </c>
      <c r="AM17" s="781">
        <v>4.5534561900000003</v>
      </c>
      <c r="AN17" s="781">
        <v>3.8739347000000004</v>
      </c>
      <c r="AO17" s="781">
        <v>3.9877050400000003</v>
      </c>
      <c r="AP17" s="781">
        <v>7.0837094199999999</v>
      </c>
      <c r="AQ17" s="781">
        <v>6.5798752499999997</v>
      </c>
      <c r="AR17" s="781">
        <v>4.9355694899999998</v>
      </c>
      <c r="AS17" s="781">
        <v>5.2691645400000002</v>
      </c>
      <c r="AT17" s="781">
        <v>7.2464831799999994</v>
      </c>
      <c r="AU17" s="781">
        <v>12.236266220000001</v>
      </c>
      <c r="AV17" s="781">
        <v>12.683450449999999</v>
      </c>
      <c r="AW17" s="781">
        <v>11.7361</v>
      </c>
      <c r="AX17" s="781">
        <v>11.062770369999999</v>
      </c>
      <c r="AY17" s="781">
        <v>8.8893246000000001</v>
      </c>
      <c r="AZ17" s="781">
        <v>6.3513233499999995</v>
      </c>
      <c r="BA17" s="781">
        <v>6.5534191599999998</v>
      </c>
      <c r="BB17" s="781">
        <v>8.1421782199999999</v>
      </c>
      <c r="BC17" s="781">
        <v>9.2882789800000012</v>
      </c>
      <c r="BD17" s="781">
        <v>9.6442734800000007</v>
      </c>
      <c r="BE17" s="781">
        <v>10.286144439999999</v>
      </c>
      <c r="BF17" s="781">
        <v>10.86967303</v>
      </c>
      <c r="BG17" s="781">
        <v>11.29339839</v>
      </c>
      <c r="BH17" s="826">
        <v>11.05516976</v>
      </c>
      <c r="BI17" s="815">
        <v>9.1208618599999998</v>
      </c>
      <c r="BJ17" s="815">
        <v>7.3530651799999998</v>
      </c>
      <c r="BK17" s="815">
        <v>6.5993044900000006</v>
      </c>
      <c r="BL17" s="815">
        <v>6.1543015599999995</v>
      </c>
      <c r="BM17" s="815">
        <v>3.9121708900000001</v>
      </c>
      <c r="BN17" s="815">
        <v>11.179279169999999</v>
      </c>
      <c r="BO17" s="815">
        <v>4.1727307299999996</v>
      </c>
      <c r="BP17" s="815">
        <v>3.8526824</v>
      </c>
      <c r="BQ17" s="815">
        <v>4.5731438899999999</v>
      </c>
      <c r="BR17" s="815">
        <v>5.2020749800000008</v>
      </c>
      <c r="BS17" s="815">
        <v>4.3392003099999998</v>
      </c>
      <c r="BT17" s="815">
        <v>5.9279157300000005</v>
      </c>
      <c r="BU17" s="815">
        <v>4.8522591799999999</v>
      </c>
      <c r="BV17" s="815">
        <v>4.6383788099999999</v>
      </c>
      <c r="BW17" s="815">
        <v>4.1150389399999998</v>
      </c>
      <c r="BX17" s="815">
        <v>3.17513617</v>
      </c>
      <c r="BY17" s="815">
        <v>3.2384613500000001</v>
      </c>
      <c r="BZ17" s="815">
        <v>3.4629975499999999</v>
      </c>
      <c r="CA17" s="815">
        <v>4.81275678</v>
      </c>
      <c r="CB17" s="815">
        <v>11.056598130000001</v>
      </c>
      <c r="CC17" s="815">
        <v>12.779335400000001</v>
      </c>
      <c r="CD17" s="815">
        <v>9.1595892600000006</v>
      </c>
      <c r="CE17" s="815">
        <v>12.578168529999999</v>
      </c>
      <c r="CF17" s="815">
        <v>9.8647212700000004</v>
      </c>
      <c r="CG17" s="815">
        <v>6.1298163299999997</v>
      </c>
      <c r="CH17" s="815">
        <v>5.0538765899999998</v>
      </c>
      <c r="CI17" s="815">
        <v>5.7517817199999994</v>
      </c>
      <c r="CJ17" s="815">
        <v>10.68652015</v>
      </c>
      <c r="CK17" s="815">
        <v>15.32800617</v>
      </c>
      <c r="CL17" s="815">
        <v>21.06094848</v>
      </c>
      <c r="CM17" s="815">
        <v>18.513227660000002</v>
      </c>
      <c r="CN17" s="815">
        <v>21.39640181</v>
      </c>
      <c r="CO17" s="815">
        <v>23.673364360000001</v>
      </c>
      <c r="CP17" s="815">
        <v>23.549526800000002</v>
      </c>
      <c r="CQ17" s="815">
        <v>23.169075039999999</v>
      </c>
      <c r="CR17" s="815">
        <v>21.78274</v>
      </c>
      <c r="CS17" s="815">
        <v>26.098823670000002</v>
      </c>
      <c r="CT17" s="815">
        <v>28.41779335</v>
      </c>
      <c r="CU17" s="815">
        <v>32.490309269999997</v>
      </c>
      <c r="CV17" s="815">
        <v>28.34126242</v>
      </c>
      <c r="CW17" s="815">
        <v>28.534701089999999</v>
      </c>
      <c r="CX17" s="815">
        <v>28.452213690000001</v>
      </c>
      <c r="CY17" s="815">
        <v>28.474260610000002</v>
      </c>
      <c r="CZ17" s="815">
        <v>28.687825289999999</v>
      </c>
      <c r="DA17" s="815">
        <v>23.89383101</v>
      </c>
      <c r="DB17" s="815">
        <v>19.74952626</v>
      </c>
      <c r="DC17" s="815">
        <v>21.3757585</v>
      </c>
      <c r="DD17" s="815">
        <v>27.015118529999999</v>
      </c>
      <c r="DE17" s="815">
        <v>24.674481830000001</v>
      </c>
      <c r="DF17" s="815">
        <v>26.810918050000002</v>
      </c>
      <c r="DG17" s="815">
        <v>25.670058839999999</v>
      </c>
      <c r="DH17" s="815">
        <v>26.476118979999999</v>
      </c>
      <c r="DI17" s="815">
        <v>23.985602409999998</v>
      </c>
      <c r="DJ17" s="815">
        <v>28.9076497</v>
      </c>
      <c r="DK17" s="815">
        <v>81.069003449999997</v>
      </c>
      <c r="DL17" s="815">
        <v>83.163940609999997</v>
      </c>
      <c r="DM17" s="815">
        <v>83.623311169999994</v>
      </c>
      <c r="DN17" s="815">
        <v>102.11006500000001</v>
      </c>
      <c r="DO17" s="815">
        <v>107.95423178</v>
      </c>
      <c r="DP17" s="815">
        <v>108.67068329999999</v>
      </c>
      <c r="DQ17" s="815">
        <v>106.79489187</v>
      </c>
      <c r="DR17" s="815">
        <v>108.81015796</v>
      </c>
      <c r="DS17" s="815">
        <v>113.55875268</v>
      </c>
      <c r="DT17" s="815">
        <v>79.241109410000007</v>
      </c>
      <c r="DU17" s="815">
        <v>67.430186559999996</v>
      </c>
      <c r="DV17" s="815">
        <v>71.784231329999997</v>
      </c>
      <c r="DW17" s="815">
        <v>73.026659890000005</v>
      </c>
      <c r="DX17" s="815">
        <v>60.409506210000004</v>
      </c>
      <c r="DY17" s="815">
        <v>57.333368749999998</v>
      </c>
      <c r="DZ17" s="815">
        <v>56.007124349999998</v>
      </c>
      <c r="EA17" s="815">
        <v>50.083628449999999</v>
      </c>
      <c r="EB17" s="815">
        <v>53.764610920000003</v>
      </c>
      <c r="EC17" s="815">
        <v>45.58919856</v>
      </c>
      <c r="ED17" s="815">
        <v>42.532673580000001</v>
      </c>
      <c r="EE17" s="815">
        <v>36.497515839999998</v>
      </c>
      <c r="EF17" s="815">
        <v>35.009486000000003</v>
      </c>
      <c r="EG17" s="815">
        <v>32.60208686</v>
      </c>
      <c r="EH17" s="815">
        <v>31.943611260000001</v>
      </c>
      <c r="EI17" s="815">
        <v>30.342276949999999</v>
      </c>
      <c r="EJ17" s="815">
        <v>24.472661909999999</v>
      </c>
      <c r="EK17" s="815">
        <v>25.879548920000001</v>
      </c>
      <c r="EL17" s="815">
        <v>36.276061470000002</v>
      </c>
      <c r="EM17" s="815">
        <v>39.899132780000002</v>
      </c>
      <c r="EN17" s="815">
        <v>39.958991449999999</v>
      </c>
      <c r="EO17" s="815">
        <v>42.209989380000003</v>
      </c>
      <c r="EP17" s="815">
        <v>45.403514649999998</v>
      </c>
      <c r="EQ17" s="815">
        <v>44.71611936</v>
      </c>
      <c r="ER17" s="815">
        <v>46.871542030000001</v>
      </c>
      <c r="ES17" s="815">
        <v>47.173764200000001</v>
      </c>
      <c r="ET17" s="815">
        <v>45.529449620000001</v>
      </c>
      <c r="EU17" s="815">
        <v>46.561108240000003</v>
      </c>
      <c r="EV17" s="815">
        <v>47.464387180000003</v>
      </c>
      <c r="EW17" s="815">
        <v>51.187518449999999</v>
      </c>
      <c r="EX17" s="815">
        <v>39.695944849999997</v>
      </c>
      <c r="EY17" s="815">
        <v>38.690065629999999</v>
      </c>
      <c r="EZ17" s="815">
        <v>37.016705180000002</v>
      </c>
      <c r="FA17" s="815">
        <v>39.89634418</v>
      </c>
      <c r="FB17" s="815">
        <v>36.970809439999996</v>
      </c>
      <c r="FC17" s="815">
        <v>39.89050744</v>
      </c>
      <c r="FD17" s="815">
        <v>44.112888429999998</v>
      </c>
      <c r="FE17" s="815">
        <v>44.951112530000003</v>
      </c>
      <c r="FF17" s="815">
        <v>43.600748289999999</v>
      </c>
      <c r="FG17" s="815">
        <v>42.028322760000002</v>
      </c>
      <c r="FH17" s="1714" t="s">
        <v>206</v>
      </c>
      <c r="FM17" s="321"/>
    </row>
    <row r="18" spans="1:169" ht="21">
      <c r="A18" s="1745" t="s">
        <v>1961</v>
      </c>
      <c r="B18" s="791">
        <v>0</v>
      </c>
      <c r="C18" s="791">
        <v>0</v>
      </c>
      <c r="D18" s="791">
        <v>0</v>
      </c>
      <c r="E18" s="791">
        <v>0</v>
      </c>
      <c r="F18" s="791">
        <v>0</v>
      </c>
      <c r="G18" s="791">
        <v>0</v>
      </c>
      <c r="H18" s="791">
        <v>0</v>
      </c>
      <c r="I18" s="791">
        <v>0</v>
      </c>
      <c r="J18" s="791">
        <v>0</v>
      </c>
      <c r="K18" s="791">
        <v>0</v>
      </c>
      <c r="L18" s="791">
        <v>0</v>
      </c>
      <c r="M18" s="784">
        <v>0</v>
      </c>
      <c r="N18" s="781">
        <v>0</v>
      </c>
      <c r="O18" s="781">
        <v>0</v>
      </c>
      <c r="P18" s="781">
        <v>0</v>
      </c>
      <c r="Q18" s="781">
        <v>0</v>
      </c>
      <c r="R18" s="781">
        <v>0</v>
      </c>
      <c r="S18" s="781">
        <v>0</v>
      </c>
      <c r="T18" s="781">
        <v>0</v>
      </c>
      <c r="U18" s="781">
        <v>0</v>
      </c>
      <c r="V18" s="781">
        <v>0</v>
      </c>
      <c r="W18" s="781">
        <v>0</v>
      </c>
      <c r="X18" s="781">
        <v>0</v>
      </c>
      <c r="Y18" s="784">
        <v>0</v>
      </c>
      <c r="Z18" s="781">
        <v>0</v>
      </c>
      <c r="AA18" s="781">
        <v>0</v>
      </c>
      <c r="AB18" s="784">
        <v>0</v>
      </c>
      <c r="AC18" s="784">
        <v>0</v>
      </c>
      <c r="AD18" s="784">
        <v>0</v>
      </c>
      <c r="AE18" s="784">
        <v>0</v>
      </c>
      <c r="AF18" s="784">
        <v>0</v>
      </c>
      <c r="AG18" s="784">
        <v>0</v>
      </c>
      <c r="AH18" s="784">
        <v>0</v>
      </c>
      <c r="AI18" s="784">
        <v>0</v>
      </c>
      <c r="AJ18" s="784">
        <v>0</v>
      </c>
      <c r="AK18" s="784">
        <v>0</v>
      </c>
      <c r="AL18" s="784">
        <v>0</v>
      </c>
      <c r="AM18" s="784">
        <v>0</v>
      </c>
      <c r="AN18" s="784">
        <v>0</v>
      </c>
      <c r="AO18" s="784">
        <v>0</v>
      </c>
      <c r="AP18" s="784">
        <v>0</v>
      </c>
      <c r="AQ18" s="784">
        <v>0</v>
      </c>
      <c r="AR18" s="784">
        <v>0</v>
      </c>
      <c r="AS18" s="784">
        <v>0</v>
      </c>
      <c r="AT18" s="784">
        <v>0</v>
      </c>
      <c r="AU18" s="784">
        <v>0</v>
      </c>
      <c r="AV18" s="784">
        <v>0</v>
      </c>
      <c r="AW18" s="784">
        <v>0</v>
      </c>
      <c r="AX18" s="784">
        <v>0</v>
      </c>
      <c r="AY18" s="784">
        <v>0</v>
      </c>
      <c r="AZ18" s="784">
        <v>0</v>
      </c>
      <c r="BA18" s="784">
        <v>0</v>
      </c>
      <c r="BB18" s="784">
        <v>0</v>
      </c>
      <c r="BC18" s="784">
        <v>0</v>
      </c>
      <c r="BD18" s="784">
        <v>0</v>
      </c>
      <c r="BE18" s="784">
        <v>0</v>
      </c>
      <c r="BF18" s="784">
        <v>0</v>
      </c>
      <c r="BG18" s="784">
        <v>0</v>
      </c>
      <c r="BH18" s="827">
        <v>0</v>
      </c>
      <c r="BI18" s="816">
        <v>0</v>
      </c>
      <c r="BJ18" s="816">
        <v>0</v>
      </c>
      <c r="BK18" s="816">
        <v>0</v>
      </c>
      <c r="BL18" s="816">
        <v>0</v>
      </c>
      <c r="BM18" s="816">
        <v>0</v>
      </c>
      <c r="BN18" s="816">
        <v>0</v>
      </c>
      <c r="BO18" s="816">
        <v>0</v>
      </c>
      <c r="BP18" s="816">
        <v>0</v>
      </c>
      <c r="BQ18" s="816">
        <v>0</v>
      </c>
      <c r="BR18" s="816">
        <v>0</v>
      </c>
      <c r="BS18" s="816">
        <v>0</v>
      </c>
      <c r="BT18" s="816">
        <v>0</v>
      </c>
      <c r="BU18" s="816">
        <v>0</v>
      </c>
      <c r="BV18" s="816">
        <v>0</v>
      </c>
      <c r="BW18" s="816">
        <v>0</v>
      </c>
      <c r="BX18" s="816">
        <v>0</v>
      </c>
      <c r="BY18" s="816">
        <v>0</v>
      </c>
      <c r="BZ18" s="816">
        <v>0</v>
      </c>
      <c r="CA18" s="816">
        <v>0</v>
      </c>
      <c r="CB18" s="816">
        <v>0</v>
      </c>
      <c r="CC18" s="816">
        <v>0</v>
      </c>
      <c r="CD18" s="816">
        <v>0</v>
      </c>
      <c r="CE18" s="816">
        <v>0</v>
      </c>
      <c r="CF18" s="816">
        <v>0</v>
      </c>
      <c r="CG18" s="816">
        <v>0</v>
      </c>
      <c r="CH18" s="816">
        <v>0</v>
      </c>
      <c r="CI18" s="816">
        <v>0</v>
      </c>
      <c r="CJ18" s="816">
        <v>0</v>
      </c>
      <c r="CK18" s="816">
        <v>0</v>
      </c>
      <c r="CL18" s="816">
        <v>0</v>
      </c>
      <c r="CM18" s="816">
        <v>0</v>
      </c>
      <c r="CN18" s="816">
        <v>0</v>
      </c>
      <c r="CO18" s="816">
        <v>0</v>
      </c>
      <c r="CP18" s="816">
        <v>0</v>
      </c>
      <c r="CQ18" s="816">
        <v>0</v>
      </c>
      <c r="CR18" s="816">
        <v>0</v>
      </c>
      <c r="CS18" s="816">
        <v>0</v>
      </c>
      <c r="CT18" s="816">
        <v>0.15065002</v>
      </c>
      <c r="CU18" s="816">
        <v>0.74781998000000005</v>
      </c>
      <c r="CV18" s="816">
        <v>0.66671670999999999</v>
      </c>
      <c r="CW18" s="816">
        <v>0.55942831999999998</v>
      </c>
      <c r="CX18" s="816">
        <v>0.53791522000000003</v>
      </c>
      <c r="CY18" s="816">
        <v>0.48383232999999998</v>
      </c>
      <c r="CZ18" s="816">
        <v>0.48823873000000001</v>
      </c>
      <c r="DA18" s="816">
        <v>0.41710795000000001</v>
      </c>
      <c r="DB18" s="816">
        <v>0</v>
      </c>
      <c r="DC18" s="816">
        <v>0</v>
      </c>
      <c r="DD18" s="816">
        <v>0</v>
      </c>
      <c r="DE18" s="816">
        <v>0</v>
      </c>
      <c r="DF18" s="816">
        <v>0</v>
      </c>
      <c r="DG18" s="816">
        <v>0</v>
      </c>
      <c r="DH18" s="816">
        <v>0</v>
      </c>
      <c r="DI18" s="816">
        <v>0.01</v>
      </c>
      <c r="DJ18" s="816">
        <v>0.01</v>
      </c>
      <c r="DK18" s="816">
        <v>9.24613E-3</v>
      </c>
      <c r="DL18" s="816">
        <v>8.4697699999999997E-3</v>
      </c>
      <c r="DM18" s="816">
        <v>7.6811099999999997E-3</v>
      </c>
      <c r="DN18" s="816">
        <v>6.87997E-3</v>
      </c>
      <c r="DO18" s="816">
        <v>6.0734099999999996E-3</v>
      </c>
      <c r="DP18" s="816">
        <v>5.2404000000000001E-3</v>
      </c>
      <c r="DQ18" s="816">
        <v>4.4006100000000001E-3</v>
      </c>
      <c r="DR18" s="816">
        <v>3.5521699999999999E-3</v>
      </c>
      <c r="DS18" s="816">
        <v>2.6819000000000001E-3</v>
      </c>
      <c r="DT18" s="816">
        <v>1.8016E-3</v>
      </c>
      <c r="DU18" s="816">
        <v>9.0927E-4</v>
      </c>
      <c r="DV18" s="816">
        <v>0</v>
      </c>
      <c r="DW18" s="816">
        <v>0</v>
      </c>
      <c r="DX18" s="816">
        <v>0</v>
      </c>
      <c r="DY18" s="816">
        <v>0</v>
      </c>
      <c r="DZ18" s="816">
        <v>0</v>
      </c>
      <c r="EA18" s="816">
        <v>0</v>
      </c>
      <c r="EB18" s="816">
        <v>0</v>
      </c>
      <c r="EC18" s="816">
        <v>0</v>
      </c>
      <c r="ED18" s="816">
        <v>0</v>
      </c>
      <c r="EE18" s="816">
        <v>0</v>
      </c>
      <c r="EF18" s="816">
        <v>0</v>
      </c>
      <c r="EG18" s="816">
        <v>0</v>
      </c>
      <c r="EH18" s="816">
        <v>0</v>
      </c>
      <c r="EI18" s="816">
        <v>0</v>
      </c>
      <c r="EJ18" s="816">
        <v>0</v>
      </c>
      <c r="EK18" s="816">
        <v>0</v>
      </c>
      <c r="EL18" s="816">
        <v>0</v>
      </c>
      <c r="EM18" s="816">
        <v>0</v>
      </c>
      <c r="EN18" s="816">
        <v>0</v>
      </c>
      <c r="EO18" s="816">
        <v>0</v>
      </c>
      <c r="EP18" s="816">
        <v>0</v>
      </c>
      <c r="EQ18" s="816">
        <v>0</v>
      </c>
      <c r="ER18" s="816">
        <v>0</v>
      </c>
      <c r="ES18" s="816">
        <v>0</v>
      </c>
      <c r="ET18" s="816">
        <v>0</v>
      </c>
      <c r="EU18" s="816">
        <v>0</v>
      </c>
      <c r="EV18" s="816">
        <v>0</v>
      </c>
      <c r="EW18" s="816">
        <v>0</v>
      </c>
      <c r="EX18" s="816">
        <v>0</v>
      </c>
      <c r="EY18" s="816">
        <v>0</v>
      </c>
      <c r="EZ18" s="816">
        <v>0</v>
      </c>
      <c r="FA18" s="816">
        <v>0</v>
      </c>
      <c r="FB18" s="816">
        <v>0</v>
      </c>
      <c r="FC18" s="816">
        <v>0</v>
      </c>
      <c r="FD18" s="816">
        <v>0</v>
      </c>
      <c r="FE18" s="816">
        <v>0</v>
      </c>
      <c r="FF18" s="816">
        <v>0</v>
      </c>
      <c r="FG18" s="816">
        <v>0</v>
      </c>
      <c r="FH18" s="1716" t="s">
        <v>4067</v>
      </c>
      <c r="FM18" s="321"/>
    </row>
    <row r="19" spans="1:169" ht="21">
      <c r="A19" s="1745" t="s">
        <v>1962</v>
      </c>
      <c r="B19" s="792">
        <f>+B17-B18</f>
        <v>22.695528840000001</v>
      </c>
      <c r="C19" s="792">
        <f t="shared" ref="C19:V19" si="4">+C17-C18</f>
        <v>20.890334410000001</v>
      </c>
      <c r="D19" s="792">
        <f t="shared" si="4"/>
        <v>21.26644881</v>
      </c>
      <c r="E19" s="792">
        <f t="shared" si="4"/>
        <v>20.856800549999999</v>
      </c>
      <c r="F19" s="792">
        <f t="shared" si="4"/>
        <v>18.340524590000001</v>
      </c>
      <c r="G19" s="792">
        <f t="shared" si="4"/>
        <v>17.26524543</v>
      </c>
      <c r="H19" s="792">
        <f t="shared" si="4"/>
        <v>20.05758544</v>
      </c>
      <c r="I19" s="792">
        <f t="shared" si="4"/>
        <v>20.655252699999998</v>
      </c>
      <c r="J19" s="792">
        <f t="shared" si="4"/>
        <v>20.714459179999999</v>
      </c>
      <c r="K19" s="792">
        <f t="shared" si="4"/>
        <v>8.6646376600000004</v>
      </c>
      <c r="L19" s="792">
        <f t="shared" si="4"/>
        <v>9.5099155500000006</v>
      </c>
      <c r="M19" s="784">
        <f t="shared" si="4"/>
        <v>7.0525188499999993</v>
      </c>
      <c r="N19" s="784">
        <f t="shared" si="4"/>
        <v>7.0799711100000007</v>
      </c>
      <c r="O19" s="784">
        <f t="shared" si="4"/>
        <v>9.4274865399999985</v>
      </c>
      <c r="P19" s="784">
        <f t="shared" si="4"/>
        <v>9.1665198300000004</v>
      </c>
      <c r="Q19" s="784">
        <f t="shared" si="4"/>
        <v>10.17029773</v>
      </c>
      <c r="R19" s="784">
        <f t="shared" si="4"/>
        <v>9.4600307499999996</v>
      </c>
      <c r="S19" s="784">
        <f t="shared" si="4"/>
        <v>10.03137532</v>
      </c>
      <c r="T19" s="784">
        <f t="shared" si="4"/>
        <v>11.725306810000001</v>
      </c>
      <c r="U19" s="784">
        <f t="shared" si="4"/>
        <v>11.930375769999999</v>
      </c>
      <c r="V19" s="784">
        <f t="shared" si="4"/>
        <v>12.21865092</v>
      </c>
      <c r="W19" s="784">
        <v>11.548101109999999</v>
      </c>
      <c r="X19" s="784">
        <v>10.67725787</v>
      </c>
      <c r="Y19" s="784">
        <v>10.285120730000001</v>
      </c>
      <c r="Z19" s="784">
        <v>8.6847655100000001</v>
      </c>
      <c r="AA19" s="784">
        <v>9.1517091599999993</v>
      </c>
      <c r="AB19" s="784">
        <v>9.7346583199999994</v>
      </c>
      <c r="AC19" s="784">
        <v>8.0239724199999998</v>
      </c>
      <c r="AD19" s="784">
        <v>7.5614438699999997</v>
      </c>
      <c r="AE19" s="784">
        <v>4.7137675099999994</v>
      </c>
      <c r="AF19" s="784">
        <v>4.6946645</v>
      </c>
      <c r="AG19" s="784">
        <v>6.2735253899999996</v>
      </c>
      <c r="AH19" s="784">
        <f>+AH17-AH18</f>
        <v>9.881169550000001</v>
      </c>
      <c r="AI19" s="784">
        <v>25.408566690000001</v>
      </c>
      <c r="AJ19" s="784">
        <v>8.9951400100000001</v>
      </c>
      <c r="AK19" s="784">
        <f>+AK17-AK18</f>
        <v>10.74232559</v>
      </c>
      <c r="AL19" s="784">
        <v>4.58258425</v>
      </c>
      <c r="AM19" s="784">
        <f>+AM17-AM18</f>
        <v>4.5534561900000003</v>
      </c>
      <c r="AN19" s="784">
        <f>+AN17-AN18</f>
        <v>3.8739347000000004</v>
      </c>
      <c r="AO19" s="784">
        <f>+AO17-AO18</f>
        <v>3.9877050400000003</v>
      </c>
      <c r="AP19" s="784">
        <f>+AP17-AP18</f>
        <v>7.0837094199999999</v>
      </c>
      <c r="AQ19" s="784">
        <v>6.5798752499999997</v>
      </c>
      <c r="AR19" s="784">
        <v>4.9355694899999998</v>
      </c>
      <c r="AS19" s="784">
        <f>+AS17-AS18</f>
        <v>5.2691645400000002</v>
      </c>
      <c r="AT19" s="784">
        <f>+AT17-AT18</f>
        <v>7.2464831799999994</v>
      </c>
      <c r="AU19" s="784">
        <v>12.236266220000001</v>
      </c>
      <c r="AV19" s="784">
        <v>12.683450449999999</v>
      </c>
      <c r="AW19" s="784">
        <v>11.7361</v>
      </c>
      <c r="AX19" s="784">
        <v>11.062770369999999</v>
      </c>
      <c r="AY19" s="784">
        <v>8.8893246000000001</v>
      </c>
      <c r="AZ19" s="784">
        <v>6.3513233499999995</v>
      </c>
      <c r="BA19" s="784">
        <v>6.5534191599999998</v>
      </c>
      <c r="BB19" s="784">
        <v>8.1421782199999999</v>
      </c>
      <c r="BC19" s="784">
        <v>9.2882789800000012</v>
      </c>
      <c r="BD19" s="784">
        <f>+BD17-BD18</f>
        <v>9.6442734800000007</v>
      </c>
      <c r="BE19" s="784">
        <v>10.286144439999999</v>
      </c>
      <c r="BF19" s="784">
        <v>10.86967303</v>
      </c>
      <c r="BG19" s="784">
        <v>11.29339839</v>
      </c>
      <c r="BH19" s="827">
        <v>11.05516976</v>
      </c>
      <c r="BI19" s="816">
        <v>9.1208618599999998</v>
      </c>
      <c r="BJ19" s="816">
        <v>7.3530651799999998</v>
      </c>
      <c r="BK19" s="816">
        <v>6.5993044900000006</v>
      </c>
      <c r="BL19" s="816">
        <v>6.1543015599999995</v>
      </c>
      <c r="BM19" s="816">
        <v>3.9121708900000001</v>
      </c>
      <c r="BN19" s="816">
        <v>11.179279169999999</v>
      </c>
      <c r="BO19" s="816">
        <v>4.1727307299999996</v>
      </c>
      <c r="BP19" s="816">
        <v>3.8526824</v>
      </c>
      <c r="BQ19" s="816">
        <v>4.5731438899999999</v>
      </c>
      <c r="BR19" s="816">
        <v>5.2020749800000008</v>
      </c>
      <c r="BS19" s="816">
        <v>4.3392003099999998</v>
      </c>
      <c r="BT19" s="816">
        <v>5.9279157300000005</v>
      </c>
      <c r="BU19" s="816">
        <v>4.8522591799999999</v>
      </c>
      <c r="BV19" s="816">
        <v>4.6383788099999999</v>
      </c>
      <c r="BW19" s="816">
        <v>4.1150389399999998</v>
      </c>
      <c r="BX19" s="816">
        <v>3.17513617</v>
      </c>
      <c r="BY19" s="816">
        <v>3.2384613500000001</v>
      </c>
      <c r="BZ19" s="816">
        <v>3.4629975499999999</v>
      </c>
      <c r="CA19" s="816">
        <v>4.81275678</v>
      </c>
      <c r="CB19" s="816">
        <v>11.056598130000001</v>
      </c>
      <c r="CC19" s="816">
        <v>12.779335400000001</v>
      </c>
      <c r="CD19" s="816">
        <v>9.1595892600000006</v>
      </c>
      <c r="CE19" s="816">
        <f t="shared" ref="CE19:CP19" si="5">+CE17-CE18</f>
        <v>12.578168529999999</v>
      </c>
      <c r="CF19" s="816">
        <f t="shared" si="5"/>
        <v>9.8647212700000004</v>
      </c>
      <c r="CG19" s="816">
        <f t="shared" si="5"/>
        <v>6.1298163299999997</v>
      </c>
      <c r="CH19" s="816">
        <f t="shared" si="5"/>
        <v>5.0538765899999998</v>
      </c>
      <c r="CI19" s="816">
        <f t="shared" si="5"/>
        <v>5.7517817199999994</v>
      </c>
      <c r="CJ19" s="816">
        <f t="shared" si="5"/>
        <v>10.68652015</v>
      </c>
      <c r="CK19" s="816">
        <f t="shared" si="5"/>
        <v>15.32800617</v>
      </c>
      <c r="CL19" s="816">
        <f t="shared" si="5"/>
        <v>21.06094848</v>
      </c>
      <c r="CM19" s="816">
        <f t="shared" si="5"/>
        <v>18.513227660000002</v>
      </c>
      <c r="CN19" s="816">
        <f t="shared" si="5"/>
        <v>21.39640181</v>
      </c>
      <c r="CO19" s="816">
        <f t="shared" si="5"/>
        <v>23.673364360000001</v>
      </c>
      <c r="CP19" s="816">
        <f t="shared" si="5"/>
        <v>23.549526800000002</v>
      </c>
      <c r="CQ19" s="816">
        <f>+CQ17-CQ18</f>
        <v>23.169075039999999</v>
      </c>
      <c r="CR19" s="816">
        <f>+CR17-CR18</f>
        <v>21.78274</v>
      </c>
      <c r="CS19" s="816">
        <f>+CS17-CS18</f>
        <v>26.098823670000002</v>
      </c>
      <c r="CT19" s="816">
        <v>28.26714333</v>
      </c>
      <c r="CU19" s="816">
        <v>31.742489290000002</v>
      </c>
      <c r="CV19" s="816">
        <v>27.67454571</v>
      </c>
      <c r="CW19" s="816">
        <v>27.97527277</v>
      </c>
      <c r="CX19" s="816">
        <v>27.914298469999999</v>
      </c>
      <c r="CY19" s="816">
        <v>27.99042828</v>
      </c>
      <c r="CZ19" s="816">
        <v>28.19958656</v>
      </c>
      <c r="DA19" s="816">
        <v>23.476723060000001</v>
      </c>
      <c r="DB19" s="816">
        <v>19.74952626</v>
      </c>
      <c r="DC19" s="816">
        <v>21.3757585</v>
      </c>
      <c r="DD19" s="816">
        <v>27.015118529999999</v>
      </c>
      <c r="DE19" s="816">
        <v>24.674481830000001</v>
      </c>
      <c r="DF19" s="816">
        <v>26.810918050000002</v>
      </c>
      <c r="DG19" s="816">
        <v>25.670058839999999</v>
      </c>
      <c r="DH19" s="816">
        <v>26.476118979999999</v>
      </c>
      <c r="DI19" s="816">
        <v>23.97560241</v>
      </c>
      <c r="DJ19" s="816">
        <v>28.897649699999999</v>
      </c>
      <c r="DK19" s="816">
        <v>81.059757320000003</v>
      </c>
      <c r="DL19" s="816">
        <v>83.155470840000007</v>
      </c>
      <c r="DM19" s="816">
        <v>83.615630060000001</v>
      </c>
      <c r="DN19" s="816">
        <v>102.10318503000001</v>
      </c>
      <c r="DO19" s="816">
        <v>107.94815837</v>
      </c>
      <c r="DP19" s="816">
        <v>108.6654429</v>
      </c>
      <c r="DQ19" s="816">
        <v>106.79049126</v>
      </c>
      <c r="DR19" s="816">
        <v>108.80660579000001</v>
      </c>
      <c r="DS19" s="816">
        <v>113.55607078</v>
      </c>
      <c r="DT19" s="816">
        <v>79.23930781</v>
      </c>
      <c r="DU19" s="816">
        <v>67.429277290000002</v>
      </c>
      <c r="DV19" s="816">
        <v>71.784231329999997</v>
      </c>
      <c r="DW19" s="816">
        <v>73.026659890000005</v>
      </c>
      <c r="DX19" s="816">
        <v>60.409506210000004</v>
      </c>
      <c r="DY19" s="816">
        <v>57.333368749999998</v>
      </c>
      <c r="DZ19" s="816">
        <v>56.007124349999998</v>
      </c>
      <c r="EA19" s="816">
        <v>50.083628449999999</v>
      </c>
      <c r="EB19" s="816">
        <v>53.764610920000003</v>
      </c>
      <c r="EC19" s="816">
        <v>45.58919856</v>
      </c>
      <c r="ED19" s="816">
        <v>42.532673580000001</v>
      </c>
      <c r="EE19" s="816">
        <v>36.497515839999998</v>
      </c>
      <c r="EF19" s="816">
        <v>35.009486000000003</v>
      </c>
      <c r="EG19" s="816">
        <v>32.60208686</v>
      </c>
      <c r="EH19" s="816">
        <v>31.943611260000001</v>
      </c>
      <c r="EI19" s="816">
        <v>30.342276949999999</v>
      </c>
      <c r="EJ19" s="816">
        <v>24.472661909999999</v>
      </c>
      <c r="EK19" s="816">
        <v>25.879548920000001</v>
      </c>
      <c r="EL19" s="816">
        <v>36.276061470000002</v>
      </c>
      <c r="EM19" s="816">
        <v>39.899132780000002</v>
      </c>
      <c r="EN19" s="816">
        <v>39.958991449999999</v>
      </c>
      <c r="EO19" s="816">
        <v>42.209989380000003</v>
      </c>
      <c r="EP19" s="816">
        <v>45.403514649999998</v>
      </c>
      <c r="EQ19" s="816">
        <v>44.71611936</v>
      </c>
      <c r="ER19" s="816">
        <v>46.871542030000001</v>
      </c>
      <c r="ES19" s="816">
        <v>47.173764200000001</v>
      </c>
      <c r="ET19" s="816">
        <v>45.529449620000001</v>
      </c>
      <c r="EU19" s="816">
        <v>46.561108240000003</v>
      </c>
      <c r="EV19" s="816">
        <v>47.464387180000003</v>
      </c>
      <c r="EW19" s="816">
        <v>51.187518449999999</v>
      </c>
      <c r="EX19" s="816">
        <v>39.695944849999997</v>
      </c>
      <c r="EY19" s="816">
        <v>38.690065629999999</v>
      </c>
      <c r="EZ19" s="816">
        <v>37.016705180000002</v>
      </c>
      <c r="FA19" s="816">
        <v>39.89634418</v>
      </c>
      <c r="FB19" s="816">
        <v>36.970809439999996</v>
      </c>
      <c r="FC19" s="816">
        <v>39.89050744</v>
      </c>
      <c r="FD19" s="816">
        <v>44.112888429999998</v>
      </c>
      <c r="FE19" s="816">
        <v>44.951112530000003</v>
      </c>
      <c r="FF19" s="816">
        <v>43.600748289999999</v>
      </c>
      <c r="FG19" s="816">
        <v>42.028322760000002</v>
      </c>
      <c r="FH19" s="1716" t="s">
        <v>4066</v>
      </c>
      <c r="FM19" s="321"/>
    </row>
    <row r="20" spans="1:169" ht="21">
      <c r="A20" s="1744"/>
      <c r="B20" s="791"/>
      <c r="C20" s="791"/>
      <c r="D20" s="791"/>
      <c r="E20" s="791"/>
      <c r="F20" s="791"/>
      <c r="G20" s="791"/>
      <c r="H20" s="791"/>
      <c r="I20" s="791"/>
      <c r="J20" s="791"/>
      <c r="K20" s="791"/>
      <c r="L20" s="791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  <c r="AD20" s="781"/>
      <c r="AE20" s="781"/>
      <c r="AF20" s="781"/>
      <c r="AG20" s="781"/>
      <c r="AH20" s="781"/>
      <c r="AI20" s="781"/>
      <c r="AJ20" s="781"/>
      <c r="AK20" s="781"/>
      <c r="AL20" s="781"/>
      <c r="AM20" s="781"/>
      <c r="AN20" s="781"/>
      <c r="AO20" s="781"/>
      <c r="AP20" s="781"/>
      <c r="AQ20" s="781"/>
      <c r="AR20" s="781"/>
      <c r="AS20" s="781"/>
      <c r="AT20" s="781"/>
      <c r="AU20" s="781"/>
      <c r="AV20" s="781"/>
      <c r="AW20" s="781"/>
      <c r="AX20" s="781"/>
      <c r="AY20" s="781"/>
      <c r="AZ20" s="781"/>
      <c r="BA20" s="781"/>
      <c r="BB20" s="781"/>
      <c r="BC20" s="781"/>
      <c r="BD20" s="781"/>
      <c r="BE20" s="781"/>
      <c r="BF20" s="781"/>
      <c r="BG20" s="781"/>
      <c r="BH20" s="826"/>
      <c r="BI20" s="815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5"/>
      <c r="CN20" s="815"/>
      <c r="CO20" s="815"/>
      <c r="CP20" s="815"/>
      <c r="CQ20" s="815"/>
      <c r="CR20" s="815"/>
      <c r="CS20" s="815"/>
      <c r="CT20" s="815"/>
      <c r="CU20" s="815"/>
      <c r="CV20" s="815"/>
      <c r="CW20" s="815"/>
      <c r="CX20" s="815"/>
      <c r="CY20" s="815"/>
      <c r="CZ20" s="815"/>
      <c r="DA20" s="815"/>
      <c r="DB20" s="815"/>
      <c r="DC20" s="815"/>
      <c r="DD20" s="815"/>
      <c r="DE20" s="815"/>
      <c r="DF20" s="815"/>
      <c r="DG20" s="815"/>
      <c r="DH20" s="815"/>
      <c r="DI20" s="815"/>
      <c r="DJ20" s="815"/>
      <c r="DK20" s="815"/>
      <c r="DL20" s="815"/>
      <c r="DM20" s="815"/>
      <c r="DN20" s="815"/>
      <c r="DO20" s="815"/>
      <c r="DP20" s="815"/>
      <c r="DQ20" s="815"/>
      <c r="DR20" s="815"/>
      <c r="DS20" s="815"/>
      <c r="DT20" s="815"/>
      <c r="DU20" s="815"/>
      <c r="DV20" s="815"/>
      <c r="DW20" s="815"/>
      <c r="DX20" s="815"/>
      <c r="DY20" s="815"/>
      <c r="DZ20" s="815"/>
      <c r="EA20" s="815"/>
      <c r="EB20" s="815"/>
      <c r="EC20" s="815"/>
      <c r="ED20" s="815"/>
      <c r="EE20" s="815"/>
      <c r="EF20" s="815"/>
      <c r="EG20" s="815"/>
      <c r="EH20" s="815"/>
      <c r="EI20" s="815"/>
      <c r="EJ20" s="815"/>
      <c r="EK20" s="815"/>
      <c r="EL20" s="815"/>
      <c r="EM20" s="815"/>
      <c r="EN20" s="815"/>
      <c r="EO20" s="815"/>
      <c r="EP20" s="815"/>
      <c r="EQ20" s="815"/>
      <c r="ER20" s="815"/>
      <c r="ES20" s="815"/>
      <c r="ET20" s="815"/>
      <c r="EU20" s="815"/>
      <c r="EV20" s="815"/>
      <c r="EW20" s="815"/>
      <c r="EX20" s="815"/>
      <c r="EY20" s="815"/>
      <c r="EZ20" s="815"/>
      <c r="FA20" s="815"/>
      <c r="FB20" s="815"/>
      <c r="FC20" s="815"/>
      <c r="FD20" s="815"/>
      <c r="FE20" s="815"/>
      <c r="FF20" s="815"/>
      <c r="FG20" s="815"/>
      <c r="FH20" s="1714"/>
      <c r="FM20" s="321"/>
    </row>
    <row r="21" spans="1:169" ht="21">
      <c r="A21" s="1744" t="s">
        <v>2742</v>
      </c>
      <c r="B21" s="792">
        <v>2.48552844</v>
      </c>
      <c r="C21" s="792">
        <v>2.2822118799999997</v>
      </c>
      <c r="D21" s="792">
        <v>2.2487991600000004</v>
      </c>
      <c r="E21" s="792">
        <v>2.4661993600000001</v>
      </c>
      <c r="F21" s="792">
        <v>2.5717124999999998</v>
      </c>
      <c r="G21" s="792">
        <v>2.7290677999999997</v>
      </c>
      <c r="H21" s="792">
        <v>4.0369534399999996</v>
      </c>
      <c r="I21" s="792">
        <v>2.7703779599999998</v>
      </c>
      <c r="J21" s="792">
        <v>2.83270248</v>
      </c>
      <c r="K21" s="792">
        <v>3.1708004700000001</v>
      </c>
      <c r="L21" s="792">
        <v>3.2731609700000002</v>
      </c>
      <c r="M21" s="781">
        <v>2.9473485899999998</v>
      </c>
      <c r="N21" s="784">
        <v>3.7220196099999998</v>
      </c>
      <c r="O21" s="784">
        <v>3.4313952400000001</v>
      </c>
      <c r="P21" s="784">
        <v>3.5823257499999999</v>
      </c>
      <c r="Q21" s="784">
        <v>3.6303862599999999</v>
      </c>
      <c r="R21" s="784">
        <v>3.5736371</v>
      </c>
      <c r="S21" s="784">
        <v>3.30044336</v>
      </c>
      <c r="T21" s="784">
        <v>3.2989254799999999</v>
      </c>
      <c r="U21" s="784">
        <v>3.4893403100000002</v>
      </c>
      <c r="V21" s="784">
        <v>7.8920183899999996</v>
      </c>
      <c r="W21" s="784">
        <v>7.6875988600000005</v>
      </c>
      <c r="X21" s="784">
        <v>6.9772483899999997</v>
      </c>
      <c r="Y21" s="781">
        <v>6.4117610799999998</v>
      </c>
      <c r="Z21" s="784">
        <v>5.9036548199999999</v>
      </c>
      <c r="AA21" s="784">
        <v>40.656076140000003</v>
      </c>
      <c r="AB21" s="781">
        <v>40.172556719999996</v>
      </c>
      <c r="AC21" s="781">
        <v>39.949020709999999</v>
      </c>
      <c r="AD21" s="781">
        <v>39.671596159999993</v>
      </c>
      <c r="AE21" s="781">
        <v>41.786128850000004</v>
      </c>
      <c r="AF21" s="781">
        <v>41.383925380000001</v>
      </c>
      <c r="AG21" s="781">
        <v>40.337403539999997</v>
      </c>
      <c r="AH21" s="781">
        <v>45.565158869999998</v>
      </c>
      <c r="AI21" s="781">
        <v>41.877534189999999</v>
      </c>
      <c r="AJ21" s="781">
        <v>30.94739049</v>
      </c>
      <c r="AK21" s="781">
        <v>17.127758030000003</v>
      </c>
      <c r="AL21" s="781">
        <v>11.18682407</v>
      </c>
      <c r="AM21" s="781">
        <v>12.49702095</v>
      </c>
      <c r="AN21" s="781">
        <v>12.207427689999999</v>
      </c>
      <c r="AO21" s="781">
        <v>11.939126910000001</v>
      </c>
      <c r="AP21" s="781">
        <v>12.25736951</v>
      </c>
      <c r="AQ21" s="781">
        <v>13.230390180000001</v>
      </c>
      <c r="AR21" s="781">
        <v>13.640445210000001</v>
      </c>
      <c r="AS21" s="781">
        <v>14.46894985</v>
      </c>
      <c r="AT21" s="781">
        <f>AT13-AT17</f>
        <v>13.080238300000001</v>
      </c>
      <c r="AU21" s="781">
        <v>13.111906170000001</v>
      </c>
      <c r="AV21" s="781">
        <v>25.60267936</v>
      </c>
      <c r="AW21" s="781">
        <v>29.030007550000001</v>
      </c>
      <c r="AX21" s="781">
        <v>27.00753928</v>
      </c>
      <c r="AY21" s="781">
        <v>23.628282800000001</v>
      </c>
      <c r="AZ21" s="781">
        <v>23.585638449999998</v>
      </c>
      <c r="BA21" s="781">
        <v>24.883197420000002</v>
      </c>
      <c r="BB21" s="781">
        <v>21.087471409999999</v>
      </c>
      <c r="BC21" s="781">
        <v>16.212166240000002</v>
      </c>
      <c r="BD21" s="781">
        <v>17.081005530000002</v>
      </c>
      <c r="BE21" s="781">
        <v>17.027515709999999</v>
      </c>
      <c r="BF21" s="781">
        <v>17.36692764</v>
      </c>
      <c r="BG21" s="781">
        <v>15.939373150000002</v>
      </c>
      <c r="BH21" s="826">
        <v>15.969822070000001</v>
      </c>
      <c r="BI21" s="815">
        <v>16.536658060000001</v>
      </c>
      <c r="BJ21" s="815">
        <v>16.31554766</v>
      </c>
      <c r="BK21" s="815">
        <v>16.090007800000002</v>
      </c>
      <c r="BL21" s="815">
        <v>12.037031679999998</v>
      </c>
      <c r="BM21" s="815">
        <v>12.998228419999998</v>
      </c>
      <c r="BN21" s="815">
        <v>13.34151952</v>
      </c>
      <c r="BO21" s="815">
        <v>12.700916050000002</v>
      </c>
      <c r="BP21" s="815">
        <v>4.4751800099999999</v>
      </c>
      <c r="BQ21" s="815">
        <v>4.5704746999999992</v>
      </c>
      <c r="BR21" s="815">
        <v>7.7178302100000007</v>
      </c>
      <c r="BS21" s="815">
        <v>13.064048530000001</v>
      </c>
      <c r="BT21" s="815">
        <v>12.66900766</v>
      </c>
      <c r="BU21" s="815">
        <v>12.909578199999999</v>
      </c>
      <c r="BV21" s="815">
        <v>12.895053610000001</v>
      </c>
      <c r="BW21" s="815">
        <v>12.055884480000001</v>
      </c>
      <c r="BX21" s="815">
        <v>11.871007029999999</v>
      </c>
      <c r="BY21" s="815">
        <v>10.93500036</v>
      </c>
      <c r="BZ21" s="815">
        <v>10.705016579999999</v>
      </c>
      <c r="CA21" s="815">
        <v>10.501981059999999</v>
      </c>
      <c r="CB21" s="815">
        <v>11.87128517</v>
      </c>
      <c r="CC21" s="815">
        <v>7.4943299900000007</v>
      </c>
      <c r="CD21" s="815">
        <v>8.7554280799999997</v>
      </c>
      <c r="CE21" s="815">
        <v>9.5614039900000005</v>
      </c>
      <c r="CF21" s="815">
        <v>11.846085109999999</v>
      </c>
      <c r="CG21" s="815">
        <v>10.498063519999999</v>
      </c>
      <c r="CH21" s="815">
        <v>10.40474839</v>
      </c>
      <c r="CI21" s="815">
        <v>10.22230251</v>
      </c>
      <c r="CJ21" s="815">
        <v>8.6876860699999998</v>
      </c>
      <c r="CK21" s="815">
        <v>7.0813939299999999</v>
      </c>
      <c r="CL21" s="815">
        <v>7.3559869600000001</v>
      </c>
      <c r="CM21" s="815">
        <v>7.0033907400000004</v>
      </c>
      <c r="CN21" s="815">
        <v>6.5940991200000001</v>
      </c>
      <c r="CO21" s="815">
        <v>8.3717396900000001</v>
      </c>
      <c r="CP21" s="815">
        <v>12.614661480000001</v>
      </c>
      <c r="CQ21" s="815">
        <v>12.99960089</v>
      </c>
      <c r="CR21" s="815">
        <v>11.867906710000002</v>
      </c>
      <c r="CS21" s="815">
        <v>10.440148839999999</v>
      </c>
      <c r="CT21" s="815">
        <v>9.1956834000000001</v>
      </c>
      <c r="CU21" s="815">
        <v>7.5236079699999996</v>
      </c>
      <c r="CV21" s="815">
        <v>6.70342664</v>
      </c>
      <c r="CW21" s="815">
        <v>6.1106602900000002</v>
      </c>
      <c r="CX21" s="815">
        <v>4.7077129199999996</v>
      </c>
      <c r="CY21" s="815">
        <v>4.6121696099999996</v>
      </c>
      <c r="CZ21" s="815">
        <v>3.9423690499999999</v>
      </c>
      <c r="DA21" s="815">
        <v>8.6981535500000007</v>
      </c>
      <c r="DB21" s="815">
        <v>11.598571010000001</v>
      </c>
      <c r="DC21" s="815">
        <v>12.17636426</v>
      </c>
      <c r="DD21" s="815">
        <v>12.38746149</v>
      </c>
      <c r="DE21" s="815">
        <v>10.24889211</v>
      </c>
      <c r="DF21" s="815">
        <v>10.42539736</v>
      </c>
      <c r="DG21" s="815">
        <v>9.6751850499999996</v>
      </c>
      <c r="DH21" s="815">
        <v>8.99877343</v>
      </c>
      <c r="DI21" s="815">
        <v>6.9291844899999999</v>
      </c>
      <c r="DJ21" s="815">
        <v>7.1473216700000002</v>
      </c>
      <c r="DK21" s="815">
        <v>5.9222762900000001</v>
      </c>
      <c r="DL21" s="815">
        <v>5.4512526599999998</v>
      </c>
      <c r="DM21" s="815">
        <v>6.8658676200000004</v>
      </c>
      <c r="DN21" s="815">
        <v>7.1077628700000002</v>
      </c>
      <c r="DO21" s="815">
        <v>8.7313740299999996</v>
      </c>
      <c r="DP21" s="815">
        <v>9.2763011599999992</v>
      </c>
      <c r="DQ21" s="815">
        <v>12.019472950000001</v>
      </c>
      <c r="DR21" s="815">
        <v>11.30719144</v>
      </c>
      <c r="DS21" s="815">
        <v>9.1602831600000005</v>
      </c>
      <c r="DT21" s="815">
        <v>8.0516994099999994</v>
      </c>
      <c r="DU21" s="815">
        <v>5.4819702399999999</v>
      </c>
      <c r="DV21" s="815">
        <v>5.3180775599999999</v>
      </c>
      <c r="DW21" s="815">
        <v>5.4955550500000001</v>
      </c>
      <c r="DX21" s="815">
        <v>5.5295471300000001</v>
      </c>
      <c r="DY21" s="815">
        <v>9.2664991400000005</v>
      </c>
      <c r="DZ21" s="815">
        <v>13.64396627</v>
      </c>
      <c r="EA21" s="815">
        <v>17.27431078</v>
      </c>
      <c r="EB21" s="815">
        <v>15.83702452</v>
      </c>
      <c r="EC21" s="815">
        <v>13.672595729999999</v>
      </c>
      <c r="ED21" s="815">
        <v>12.851364390000001</v>
      </c>
      <c r="EE21" s="815">
        <v>11.04785427</v>
      </c>
      <c r="EF21" s="815">
        <v>9.8405209399999993</v>
      </c>
      <c r="EG21" s="815">
        <v>8.9481480700000002</v>
      </c>
      <c r="EH21" s="815">
        <v>7.6807144300000001</v>
      </c>
      <c r="EI21" s="815">
        <v>6.77541847</v>
      </c>
      <c r="EJ21" s="815">
        <v>4.5816734200000004</v>
      </c>
      <c r="EK21" s="815">
        <v>8.0453308900000007</v>
      </c>
      <c r="EL21" s="815">
        <v>12.981149070000001</v>
      </c>
      <c r="EM21" s="815">
        <v>24.69512971</v>
      </c>
      <c r="EN21" s="815">
        <v>26.519208729999999</v>
      </c>
      <c r="EO21" s="815">
        <v>24.745843109999999</v>
      </c>
      <c r="EP21" s="815">
        <v>22.983909820000001</v>
      </c>
      <c r="EQ21" s="815">
        <v>28.64104781</v>
      </c>
      <c r="ER21" s="815">
        <v>32.989433529999999</v>
      </c>
      <c r="ES21" s="815">
        <v>33.226751880000002</v>
      </c>
      <c r="ET21" s="815">
        <v>33.607930469999999</v>
      </c>
      <c r="EU21" s="815">
        <v>30.608160989999998</v>
      </c>
      <c r="EV21" s="815">
        <v>25.930338849999998</v>
      </c>
      <c r="EW21" s="815">
        <v>32.522498689999999</v>
      </c>
      <c r="EX21" s="815">
        <v>40.119899080000003</v>
      </c>
      <c r="EY21" s="815">
        <v>44.863645769999998</v>
      </c>
      <c r="EZ21" s="815">
        <v>72.650085419999996</v>
      </c>
      <c r="FA21" s="815">
        <v>65.279351030000001</v>
      </c>
      <c r="FB21" s="815">
        <v>48.21346904</v>
      </c>
      <c r="FC21" s="815">
        <v>53.729026959999999</v>
      </c>
      <c r="FD21" s="815">
        <v>49.984403729999997</v>
      </c>
      <c r="FE21" s="815">
        <v>18.388804069999999</v>
      </c>
      <c r="FF21" s="815">
        <v>7.3181582799999996</v>
      </c>
      <c r="FG21" s="815">
        <v>7.6595802300000004</v>
      </c>
      <c r="FH21" s="1714" t="s">
        <v>4068</v>
      </c>
      <c r="FM21" s="321"/>
    </row>
    <row r="22" spans="1:169" ht="21">
      <c r="A22" s="1745" t="s">
        <v>1961</v>
      </c>
      <c r="B22" s="792">
        <v>0</v>
      </c>
      <c r="C22" s="792">
        <v>0</v>
      </c>
      <c r="D22" s="792">
        <v>0</v>
      </c>
      <c r="E22" s="792">
        <v>0</v>
      </c>
      <c r="F22" s="792">
        <v>0</v>
      </c>
      <c r="G22" s="792">
        <v>0</v>
      </c>
      <c r="H22" s="792">
        <v>0</v>
      </c>
      <c r="I22" s="792">
        <v>0</v>
      </c>
      <c r="J22" s="792">
        <v>0</v>
      </c>
      <c r="K22" s="792">
        <v>0</v>
      </c>
      <c r="L22" s="792">
        <v>0</v>
      </c>
      <c r="M22" s="784">
        <v>0</v>
      </c>
      <c r="N22" s="784">
        <v>0</v>
      </c>
      <c r="O22" s="784">
        <v>0</v>
      </c>
      <c r="P22" s="784">
        <v>0</v>
      </c>
      <c r="Q22" s="784">
        <v>0</v>
      </c>
      <c r="R22" s="784">
        <v>0</v>
      </c>
      <c r="S22" s="784">
        <v>0</v>
      </c>
      <c r="T22" s="784">
        <v>0</v>
      </c>
      <c r="U22" s="784">
        <v>0</v>
      </c>
      <c r="V22" s="784">
        <v>0</v>
      </c>
      <c r="W22" s="784">
        <v>0</v>
      </c>
      <c r="X22" s="784">
        <v>0</v>
      </c>
      <c r="Y22" s="784">
        <v>0</v>
      </c>
      <c r="Z22" s="784">
        <v>0</v>
      </c>
      <c r="AA22" s="784">
        <v>0</v>
      </c>
      <c r="AB22" s="784">
        <v>0</v>
      </c>
      <c r="AC22" s="784">
        <v>0</v>
      </c>
      <c r="AD22" s="784">
        <v>0</v>
      </c>
      <c r="AE22" s="784">
        <v>0</v>
      </c>
      <c r="AF22" s="784">
        <v>0</v>
      </c>
      <c r="AG22" s="784">
        <v>0</v>
      </c>
      <c r="AH22" s="784">
        <v>0</v>
      </c>
      <c r="AI22" s="784">
        <v>0</v>
      </c>
      <c r="AJ22" s="784">
        <v>0</v>
      </c>
      <c r="AK22" s="784">
        <v>0</v>
      </c>
      <c r="AL22" s="784">
        <v>0</v>
      </c>
      <c r="AM22" s="784">
        <v>0</v>
      </c>
      <c r="AN22" s="784">
        <v>0</v>
      </c>
      <c r="AO22" s="784">
        <v>0</v>
      </c>
      <c r="AP22" s="784">
        <v>0</v>
      </c>
      <c r="AQ22" s="784">
        <v>0</v>
      </c>
      <c r="AR22" s="784">
        <v>0</v>
      </c>
      <c r="AS22" s="784">
        <v>0</v>
      </c>
      <c r="AT22" s="784">
        <f>AT14-AT18</f>
        <v>0</v>
      </c>
      <c r="AU22" s="784">
        <v>0</v>
      </c>
      <c r="AV22" s="784">
        <v>0</v>
      </c>
      <c r="AW22" s="784">
        <v>0</v>
      </c>
      <c r="AX22" s="784">
        <v>0</v>
      </c>
      <c r="AY22" s="784">
        <v>0</v>
      </c>
      <c r="AZ22" s="784">
        <v>0</v>
      </c>
      <c r="BA22" s="784">
        <v>0</v>
      </c>
      <c r="BB22" s="784">
        <v>0</v>
      </c>
      <c r="BC22" s="784">
        <v>0</v>
      </c>
      <c r="BD22" s="784">
        <v>0</v>
      </c>
      <c r="BE22" s="784">
        <v>0</v>
      </c>
      <c r="BF22" s="784">
        <v>0</v>
      </c>
      <c r="BG22" s="784">
        <v>0</v>
      </c>
      <c r="BH22" s="827">
        <v>0</v>
      </c>
      <c r="BI22" s="816">
        <v>0</v>
      </c>
      <c r="BJ22" s="816">
        <v>0</v>
      </c>
      <c r="BK22" s="816">
        <v>0</v>
      </c>
      <c r="BL22" s="816">
        <v>0</v>
      </c>
      <c r="BM22" s="816">
        <v>0</v>
      </c>
      <c r="BN22" s="816">
        <v>0</v>
      </c>
      <c r="BO22" s="816">
        <v>0</v>
      </c>
      <c r="BP22" s="816">
        <v>0</v>
      </c>
      <c r="BQ22" s="816">
        <v>0</v>
      </c>
      <c r="BR22" s="816">
        <v>0</v>
      </c>
      <c r="BS22" s="816">
        <v>0</v>
      </c>
      <c r="BT22" s="816">
        <v>0</v>
      </c>
      <c r="BU22" s="816">
        <v>0</v>
      </c>
      <c r="BV22" s="816">
        <v>0</v>
      </c>
      <c r="BW22" s="816">
        <v>0</v>
      </c>
      <c r="BX22" s="816">
        <v>0</v>
      </c>
      <c r="BY22" s="816">
        <v>0</v>
      </c>
      <c r="BZ22" s="816">
        <v>0</v>
      </c>
      <c r="CA22" s="816">
        <v>0</v>
      </c>
      <c r="CB22" s="816">
        <v>0</v>
      </c>
      <c r="CC22" s="816">
        <v>0</v>
      </c>
      <c r="CD22" s="816">
        <v>0</v>
      </c>
      <c r="CE22" s="816">
        <v>0</v>
      </c>
      <c r="CF22" s="816">
        <v>0</v>
      </c>
      <c r="CG22" s="816">
        <v>0</v>
      </c>
      <c r="CH22" s="816">
        <v>0</v>
      </c>
      <c r="CI22" s="816">
        <v>0</v>
      </c>
      <c r="CJ22" s="816">
        <v>0</v>
      </c>
      <c r="CK22" s="816">
        <v>0</v>
      </c>
      <c r="CL22" s="816">
        <v>0</v>
      </c>
      <c r="CM22" s="816">
        <v>0</v>
      </c>
      <c r="CN22" s="816">
        <v>0</v>
      </c>
      <c r="CO22" s="816">
        <v>0</v>
      </c>
      <c r="CP22" s="816">
        <v>0</v>
      </c>
      <c r="CQ22" s="816">
        <v>0</v>
      </c>
      <c r="CR22" s="816">
        <v>0</v>
      </c>
      <c r="CS22" s="816">
        <v>0</v>
      </c>
      <c r="CT22" s="816">
        <v>0</v>
      </c>
      <c r="CU22" s="816">
        <v>0</v>
      </c>
      <c r="CV22" s="816">
        <v>0</v>
      </c>
      <c r="CW22" s="816">
        <v>0</v>
      </c>
      <c r="CX22" s="816">
        <v>0</v>
      </c>
      <c r="CY22" s="816">
        <v>0</v>
      </c>
      <c r="CZ22" s="816">
        <v>0</v>
      </c>
      <c r="DA22" s="816">
        <v>0</v>
      </c>
      <c r="DB22" s="816">
        <v>0</v>
      </c>
      <c r="DC22" s="816">
        <v>0</v>
      </c>
      <c r="DD22" s="816">
        <v>0</v>
      </c>
      <c r="DE22" s="816">
        <v>0</v>
      </c>
      <c r="DF22" s="816">
        <v>0</v>
      </c>
      <c r="DG22" s="816">
        <v>0</v>
      </c>
      <c r="DH22" s="816">
        <v>0</v>
      </c>
      <c r="DI22" s="816">
        <v>0</v>
      </c>
      <c r="DJ22" s="816">
        <v>0</v>
      </c>
      <c r="DK22" s="816">
        <v>0</v>
      </c>
      <c r="DL22" s="816">
        <v>0</v>
      </c>
      <c r="DM22" s="816">
        <v>0</v>
      </c>
      <c r="DN22" s="816">
        <v>0</v>
      </c>
      <c r="DO22" s="816">
        <v>0</v>
      </c>
      <c r="DP22" s="816">
        <v>0</v>
      </c>
      <c r="DQ22" s="816">
        <v>0</v>
      </c>
      <c r="DR22" s="816">
        <v>0</v>
      </c>
      <c r="DS22" s="816">
        <v>0</v>
      </c>
      <c r="DT22" s="816">
        <v>0</v>
      </c>
      <c r="DU22" s="816">
        <v>0</v>
      </c>
      <c r="DV22" s="816">
        <v>0</v>
      </c>
      <c r="DW22" s="816">
        <v>0</v>
      </c>
      <c r="DX22" s="816">
        <v>0</v>
      </c>
      <c r="DY22" s="816">
        <v>0</v>
      </c>
      <c r="DZ22" s="816">
        <v>0</v>
      </c>
      <c r="EA22" s="816">
        <v>0</v>
      </c>
      <c r="EB22" s="816">
        <v>0</v>
      </c>
      <c r="EC22" s="816">
        <v>0</v>
      </c>
      <c r="ED22" s="816">
        <v>0</v>
      </c>
      <c r="EE22" s="816">
        <v>0</v>
      </c>
      <c r="EF22" s="816">
        <v>0</v>
      </c>
      <c r="EG22" s="816">
        <v>0</v>
      </c>
      <c r="EH22" s="816">
        <v>0</v>
      </c>
      <c r="EI22" s="816">
        <v>0</v>
      </c>
      <c r="EJ22" s="816">
        <v>0</v>
      </c>
      <c r="EK22" s="816">
        <v>0</v>
      </c>
      <c r="EL22" s="816">
        <v>0</v>
      </c>
      <c r="EM22" s="816">
        <v>0</v>
      </c>
      <c r="EN22" s="816">
        <v>0</v>
      </c>
      <c r="EO22" s="816">
        <v>0</v>
      </c>
      <c r="EP22" s="816">
        <v>0</v>
      </c>
      <c r="EQ22" s="816">
        <v>0</v>
      </c>
      <c r="ER22" s="816">
        <v>0</v>
      </c>
      <c r="ES22" s="816">
        <v>0</v>
      </c>
      <c r="ET22" s="816">
        <v>0</v>
      </c>
      <c r="EU22" s="816">
        <v>0</v>
      </c>
      <c r="EV22" s="816">
        <v>0</v>
      </c>
      <c r="EW22" s="816">
        <v>0</v>
      </c>
      <c r="EX22" s="816">
        <v>0</v>
      </c>
      <c r="EY22" s="816">
        <v>0</v>
      </c>
      <c r="EZ22" s="816">
        <v>8.5</v>
      </c>
      <c r="FA22" s="816">
        <v>9.9960000000000004</v>
      </c>
      <c r="FB22" s="816">
        <v>9.9960000000000004</v>
      </c>
      <c r="FC22" s="816">
        <v>9.9960000000000004</v>
      </c>
      <c r="FD22" s="816">
        <v>9.9960000000000004</v>
      </c>
      <c r="FE22" s="816">
        <v>9.9960000000000004</v>
      </c>
      <c r="FF22" s="816">
        <v>0</v>
      </c>
      <c r="FG22" s="816">
        <v>0</v>
      </c>
      <c r="FH22" s="1716" t="s">
        <v>4067</v>
      </c>
      <c r="FM22" s="321"/>
    </row>
    <row r="23" spans="1:169" ht="21">
      <c r="A23" s="1745" t="s">
        <v>1962</v>
      </c>
      <c r="B23" s="791">
        <f>+B21-B22</f>
        <v>2.48552844</v>
      </c>
      <c r="C23" s="792">
        <f t="shared" ref="C23:V23" si="6">+C21-C22</f>
        <v>2.2822118799999997</v>
      </c>
      <c r="D23" s="792">
        <f t="shared" si="6"/>
        <v>2.2487991600000004</v>
      </c>
      <c r="E23" s="792">
        <f t="shared" si="6"/>
        <v>2.4661993600000001</v>
      </c>
      <c r="F23" s="792">
        <f t="shared" si="6"/>
        <v>2.5717124999999998</v>
      </c>
      <c r="G23" s="792">
        <f t="shared" si="6"/>
        <v>2.7290677999999997</v>
      </c>
      <c r="H23" s="792">
        <f t="shared" si="6"/>
        <v>4.0369534399999996</v>
      </c>
      <c r="I23" s="792">
        <f t="shared" si="6"/>
        <v>2.7703779599999998</v>
      </c>
      <c r="J23" s="792">
        <f t="shared" si="6"/>
        <v>2.83270248</v>
      </c>
      <c r="K23" s="792">
        <f t="shared" si="6"/>
        <v>3.1708004700000001</v>
      </c>
      <c r="L23" s="792">
        <f t="shared" si="6"/>
        <v>3.2731609700000002</v>
      </c>
      <c r="M23" s="784">
        <f t="shared" si="6"/>
        <v>2.9473485899999998</v>
      </c>
      <c r="N23" s="784">
        <f t="shared" si="6"/>
        <v>3.7220196099999998</v>
      </c>
      <c r="O23" s="784">
        <f t="shared" si="6"/>
        <v>3.4313952400000001</v>
      </c>
      <c r="P23" s="781">
        <f t="shared" si="6"/>
        <v>3.5823257499999999</v>
      </c>
      <c r="Q23" s="781">
        <f t="shared" si="6"/>
        <v>3.6303862599999999</v>
      </c>
      <c r="R23" s="781">
        <f t="shared" si="6"/>
        <v>3.5736371</v>
      </c>
      <c r="S23" s="781">
        <f t="shared" si="6"/>
        <v>3.30044336</v>
      </c>
      <c r="T23" s="781">
        <f t="shared" si="6"/>
        <v>3.2989254799999999</v>
      </c>
      <c r="U23" s="781">
        <f t="shared" si="6"/>
        <v>3.4893403100000002</v>
      </c>
      <c r="V23" s="781">
        <f t="shared" si="6"/>
        <v>7.8920183899999996</v>
      </c>
      <c r="W23" s="781">
        <v>7.6875988600000005</v>
      </c>
      <c r="X23" s="781">
        <v>6.9772483899999997</v>
      </c>
      <c r="Y23" s="784">
        <v>6.4117610799999998</v>
      </c>
      <c r="Z23" s="781">
        <v>5.9036548199999999</v>
      </c>
      <c r="AA23" s="784">
        <v>40.656076140000003</v>
      </c>
      <c r="AB23" s="784">
        <v>40.172556719999996</v>
      </c>
      <c r="AC23" s="784">
        <v>39.949020709999999</v>
      </c>
      <c r="AD23" s="784">
        <v>39.671596159999993</v>
      </c>
      <c r="AE23" s="784">
        <v>41.786128850000004</v>
      </c>
      <c r="AF23" s="784">
        <v>41.383925380000001</v>
      </c>
      <c r="AG23" s="784">
        <v>40.337403539999997</v>
      </c>
      <c r="AH23" s="784">
        <f>+AH21-AH22</f>
        <v>45.565158869999998</v>
      </c>
      <c r="AI23" s="784">
        <v>41.877534189999999</v>
      </c>
      <c r="AJ23" s="784">
        <v>30.94739049</v>
      </c>
      <c r="AK23" s="784">
        <f>+AK21-AK22</f>
        <v>17.127758030000003</v>
      </c>
      <c r="AL23" s="784">
        <v>11.18682407</v>
      </c>
      <c r="AM23" s="784">
        <f>+AM21-AM22</f>
        <v>12.49702095</v>
      </c>
      <c r="AN23" s="784">
        <f>+AN21-AN22</f>
        <v>12.207427689999999</v>
      </c>
      <c r="AO23" s="784">
        <f>+AO21-AO22</f>
        <v>11.939126910000001</v>
      </c>
      <c r="AP23" s="784">
        <f>+AP21-AP22</f>
        <v>12.25736951</v>
      </c>
      <c r="AQ23" s="784">
        <v>13.230390180000001</v>
      </c>
      <c r="AR23" s="784">
        <v>13.640445210000001</v>
      </c>
      <c r="AS23" s="784">
        <f>+AS21-AS22</f>
        <v>14.46894985</v>
      </c>
      <c r="AT23" s="784">
        <f>AT15-AT19</f>
        <v>13.080238300000001</v>
      </c>
      <c r="AU23" s="784">
        <v>13.111906170000001</v>
      </c>
      <c r="AV23" s="784">
        <v>25.60267936</v>
      </c>
      <c r="AW23" s="784">
        <v>29.030007550000001</v>
      </c>
      <c r="AX23" s="784">
        <v>27.00753928</v>
      </c>
      <c r="AY23" s="784">
        <v>23.628282800000001</v>
      </c>
      <c r="AZ23" s="784">
        <v>23.585638449999998</v>
      </c>
      <c r="BA23" s="784">
        <v>24.883197420000002</v>
      </c>
      <c r="BB23" s="784">
        <v>21.087471409999999</v>
      </c>
      <c r="BC23" s="784">
        <v>16.212166240000002</v>
      </c>
      <c r="BD23" s="784">
        <f>+BD21-BD22</f>
        <v>17.081005530000002</v>
      </c>
      <c r="BE23" s="784">
        <v>17.027515709999999</v>
      </c>
      <c r="BF23" s="784">
        <v>17.36692764</v>
      </c>
      <c r="BG23" s="784">
        <v>15.939373150000002</v>
      </c>
      <c r="BH23" s="827">
        <v>15.969822070000001</v>
      </c>
      <c r="BI23" s="816">
        <v>16.536658060000001</v>
      </c>
      <c r="BJ23" s="816">
        <v>16.31554766</v>
      </c>
      <c r="BK23" s="816">
        <v>16.090007800000002</v>
      </c>
      <c r="BL23" s="816">
        <v>12.037031679999998</v>
      </c>
      <c r="BM23" s="816">
        <v>12.998228419999998</v>
      </c>
      <c r="BN23" s="816">
        <v>13.34151952</v>
      </c>
      <c r="BO23" s="816">
        <v>12.700916050000002</v>
      </c>
      <c r="BP23" s="816">
        <v>4.4751800099999999</v>
      </c>
      <c r="BQ23" s="816">
        <v>4.5704746999999992</v>
      </c>
      <c r="BR23" s="816">
        <v>7.7178302100000007</v>
      </c>
      <c r="BS23" s="816">
        <v>13.064048530000001</v>
      </c>
      <c r="BT23" s="816">
        <v>12.66900766</v>
      </c>
      <c r="BU23" s="816">
        <v>12.909578199999999</v>
      </c>
      <c r="BV23" s="816">
        <v>12.895053610000001</v>
      </c>
      <c r="BW23" s="816">
        <v>12.055884480000001</v>
      </c>
      <c r="BX23" s="816">
        <v>11.871007029999999</v>
      </c>
      <c r="BY23" s="816">
        <v>10.93500036</v>
      </c>
      <c r="BZ23" s="816">
        <v>10.705016579999999</v>
      </c>
      <c r="CA23" s="816">
        <v>10.501981059999999</v>
      </c>
      <c r="CB23" s="816">
        <v>11.87128517</v>
      </c>
      <c r="CC23" s="816">
        <v>7.4943299900000007</v>
      </c>
      <c r="CD23" s="816">
        <v>8.7554280799999997</v>
      </c>
      <c r="CE23" s="816">
        <f t="shared" ref="CE23:CP23" si="7">+CE21-CE22</f>
        <v>9.5614039900000005</v>
      </c>
      <c r="CF23" s="816">
        <f t="shared" si="7"/>
        <v>11.846085109999999</v>
      </c>
      <c r="CG23" s="816">
        <f t="shared" si="7"/>
        <v>10.498063519999999</v>
      </c>
      <c r="CH23" s="816">
        <f t="shared" si="7"/>
        <v>10.40474839</v>
      </c>
      <c r="CI23" s="816">
        <f t="shared" si="7"/>
        <v>10.22230251</v>
      </c>
      <c r="CJ23" s="816">
        <f t="shared" si="7"/>
        <v>8.6876860699999998</v>
      </c>
      <c r="CK23" s="816">
        <f t="shared" si="7"/>
        <v>7.0813939299999999</v>
      </c>
      <c r="CL23" s="816">
        <f t="shared" si="7"/>
        <v>7.3559869600000001</v>
      </c>
      <c r="CM23" s="816">
        <f t="shared" si="7"/>
        <v>7.0033907400000004</v>
      </c>
      <c r="CN23" s="816">
        <f t="shared" si="7"/>
        <v>6.5940991200000001</v>
      </c>
      <c r="CO23" s="816">
        <f t="shared" si="7"/>
        <v>8.3717396900000001</v>
      </c>
      <c r="CP23" s="816">
        <f t="shared" si="7"/>
        <v>12.614661480000001</v>
      </c>
      <c r="CQ23" s="816">
        <f>+CQ21-CQ22</f>
        <v>12.99960089</v>
      </c>
      <c r="CR23" s="816">
        <f>+CR21-CR22</f>
        <v>11.867906710000002</v>
      </c>
      <c r="CS23" s="816">
        <f>+CS21-CS22</f>
        <v>10.440148839999999</v>
      </c>
      <c r="CT23" s="816">
        <v>9.1956834000000001</v>
      </c>
      <c r="CU23" s="816">
        <v>7.5236079699999996</v>
      </c>
      <c r="CV23" s="816">
        <v>6.70342664</v>
      </c>
      <c r="CW23" s="816">
        <v>6.1106602900000002</v>
      </c>
      <c r="CX23" s="816">
        <v>4.7077129199999996</v>
      </c>
      <c r="CY23" s="816">
        <v>4.6121696099999996</v>
      </c>
      <c r="CZ23" s="816">
        <v>3.9423690499999999</v>
      </c>
      <c r="DA23" s="816">
        <v>8.6981535500000007</v>
      </c>
      <c r="DB23" s="816">
        <v>11.598571010000001</v>
      </c>
      <c r="DC23" s="816">
        <v>12.17636426</v>
      </c>
      <c r="DD23" s="816">
        <v>12.38746149</v>
      </c>
      <c r="DE23" s="816">
        <v>10.24889211</v>
      </c>
      <c r="DF23" s="816">
        <v>10.42539736</v>
      </c>
      <c r="DG23" s="816">
        <v>9.6751850499999996</v>
      </c>
      <c r="DH23" s="816">
        <v>8.99877343</v>
      </c>
      <c r="DI23" s="816">
        <v>6.9291844899999999</v>
      </c>
      <c r="DJ23" s="816">
        <v>7.1473216700000002</v>
      </c>
      <c r="DK23" s="816">
        <v>5.9222762900000001</v>
      </c>
      <c r="DL23" s="816">
        <v>5.4512526599999998</v>
      </c>
      <c r="DM23" s="816">
        <v>6.8658676200000004</v>
      </c>
      <c r="DN23" s="816">
        <v>7.1077628700000002</v>
      </c>
      <c r="DO23" s="816">
        <v>8.7313740299999996</v>
      </c>
      <c r="DP23" s="816">
        <v>9.2763011599999992</v>
      </c>
      <c r="DQ23" s="816">
        <v>12.019472950000001</v>
      </c>
      <c r="DR23" s="816">
        <v>11.30719144</v>
      </c>
      <c r="DS23" s="816">
        <v>9.1602831600000005</v>
      </c>
      <c r="DT23" s="816">
        <v>8.0516994099999994</v>
      </c>
      <c r="DU23" s="816">
        <v>5.4819702399999999</v>
      </c>
      <c r="DV23" s="816">
        <v>5.3180775599999999</v>
      </c>
      <c r="DW23" s="816">
        <v>5.4955550500000001</v>
      </c>
      <c r="DX23" s="816">
        <v>5.5295471300000001</v>
      </c>
      <c r="DY23" s="816">
        <v>9.2664991400000005</v>
      </c>
      <c r="DZ23" s="816">
        <v>13.64396627</v>
      </c>
      <c r="EA23" s="816">
        <v>17.27431078</v>
      </c>
      <c r="EB23" s="816">
        <v>15.83702452</v>
      </c>
      <c r="EC23" s="816">
        <v>13.672595729999999</v>
      </c>
      <c r="ED23" s="816">
        <v>12.851364390000001</v>
      </c>
      <c r="EE23" s="816">
        <v>11.04785427</v>
      </c>
      <c r="EF23" s="816">
        <v>9.8405209399999993</v>
      </c>
      <c r="EG23" s="816">
        <v>8.9481480700000002</v>
      </c>
      <c r="EH23" s="816">
        <v>7.6807144300000001</v>
      </c>
      <c r="EI23" s="816">
        <v>6.77541847</v>
      </c>
      <c r="EJ23" s="816">
        <v>4.5816734200000004</v>
      </c>
      <c r="EK23" s="816">
        <v>8.0453308900000007</v>
      </c>
      <c r="EL23" s="816">
        <v>12.981149070000001</v>
      </c>
      <c r="EM23" s="816">
        <v>24.69512971</v>
      </c>
      <c r="EN23" s="816">
        <v>26.519208729999999</v>
      </c>
      <c r="EO23" s="816">
        <v>24.745843109999999</v>
      </c>
      <c r="EP23" s="816">
        <v>22.983909820000001</v>
      </c>
      <c r="EQ23" s="816">
        <v>28.64104781</v>
      </c>
      <c r="ER23" s="816">
        <v>32.989433529999999</v>
      </c>
      <c r="ES23" s="816">
        <v>33.226751880000002</v>
      </c>
      <c r="ET23" s="816">
        <v>33.607930469999999</v>
      </c>
      <c r="EU23" s="816">
        <v>30.608160989999998</v>
      </c>
      <c r="EV23" s="816">
        <v>25.930338849999998</v>
      </c>
      <c r="EW23" s="816">
        <v>32.522498689999999</v>
      </c>
      <c r="EX23" s="816">
        <v>40.119899080000003</v>
      </c>
      <c r="EY23" s="816">
        <v>44.863645769999998</v>
      </c>
      <c r="EZ23" s="816">
        <v>64.150085419999996</v>
      </c>
      <c r="FA23" s="816">
        <v>55.283351029999999</v>
      </c>
      <c r="FB23" s="816">
        <v>38.217469039999997</v>
      </c>
      <c r="FC23" s="816">
        <v>43.733026959999997</v>
      </c>
      <c r="FD23" s="816">
        <v>39.988403730000002</v>
      </c>
      <c r="FE23" s="816">
        <v>8.3928040700000004</v>
      </c>
      <c r="FF23" s="816">
        <v>7.3181582799999996</v>
      </c>
      <c r="FG23" s="816">
        <v>7.6595802300000004</v>
      </c>
      <c r="FH23" s="1716" t="s">
        <v>4066</v>
      </c>
      <c r="FM23" s="321"/>
    </row>
    <row r="24" spans="1:169" ht="21">
      <c r="A24" s="1721"/>
      <c r="B24" s="792"/>
      <c r="C24" s="792"/>
      <c r="D24" s="792"/>
      <c r="E24" s="792"/>
      <c r="F24" s="792"/>
      <c r="G24" s="792"/>
      <c r="H24" s="792"/>
      <c r="I24" s="792"/>
      <c r="J24" s="792"/>
      <c r="K24" s="792"/>
      <c r="L24" s="792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84"/>
      <c r="AF24" s="784"/>
      <c r="AG24" s="784"/>
      <c r="AH24" s="784"/>
      <c r="AI24" s="784"/>
      <c r="AJ24" s="784"/>
      <c r="AK24" s="784"/>
      <c r="AL24" s="784"/>
      <c r="AM24" s="784"/>
      <c r="AN24" s="784"/>
      <c r="AO24" s="784"/>
      <c r="AP24" s="784"/>
      <c r="AQ24" s="784"/>
      <c r="AR24" s="784"/>
      <c r="AS24" s="784"/>
      <c r="AT24" s="784"/>
      <c r="AU24" s="784"/>
      <c r="AV24" s="784"/>
      <c r="AW24" s="784"/>
      <c r="AX24" s="784"/>
      <c r="AY24" s="784"/>
      <c r="AZ24" s="784"/>
      <c r="BA24" s="784"/>
      <c r="BB24" s="784"/>
      <c r="BC24" s="784"/>
      <c r="BD24" s="784"/>
      <c r="BE24" s="784"/>
      <c r="BF24" s="784"/>
      <c r="BG24" s="784"/>
      <c r="BH24" s="827"/>
      <c r="BI24" s="816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/>
      <c r="CI24" s="816"/>
      <c r="CJ24" s="816"/>
      <c r="CK24" s="816"/>
      <c r="CL24" s="816"/>
      <c r="CM24" s="816"/>
      <c r="CN24" s="816"/>
      <c r="CO24" s="816"/>
      <c r="CP24" s="816"/>
      <c r="CQ24" s="816"/>
      <c r="CR24" s="816"/>
      <c r="CS24" s="816"/>
      <c r="CT24" s="816"/>
      <c r="CU24" s="816"/>
      <c r="CV24" s="816"/>
      <c r="CW24" s="816"/>
      <c r="CX24" s="816"/>
      <c r="CY24" s="816"/>
      <c r="CZ24" s="816"/>
      <c r="DA24" s="816"/>
      <c r="DB24" s="816"/>
      <c r="DC24" s="816"/>
      <c r="DD24" s="816"/>
      <c r="DE24" s="816"/>
      <c r="DF24" s="816"/>
      <c r="DG24" s="816"/>
      <c r="DH24" s="816"/>
      <c r="DI24" s="816"/>
      <c r="DJ24" s="816"/>
      <c r="DK24" s="816"/>
      <c r="DL24" s="816"/>
      <c r="DM24" s="816"/>
      <c r="DN24" s="816"/>
      <c r="DO24" s="816"/>
      <c r="DP24" s="816"/>
      <c r="DQ24" s="816"/>
      <c r="DR24" s="816"/>
      <c r="DS24" s="816"/>
      <c r="DT24" s="816"/>
      <c r="DU24" s="816"/>
      <c r="DV24" s="816"/>
      <c r="DW24" s="816"/>
      <c r="DX24" s="816"/>
      <c r="DY24" s="816"/>
      <c r="DZ24" s="816"/>
      <c r="EA24" s="816"/>
      <c r="EB24" s="816"/>
      <c r="EC24" s="816"/>
      <c r="ED24" s="816"/>
      <c r="EE24" s="816"/>
      <c r="EF24" s="816"/>
      <c r="EG24" s="816"/>
      <c r="EH24" s="816"/>
      <c r="EI24" s="816"/>
      <c r="EJ24" s="816"/>
      <c r="EK24" s="816"/>
      <c r="EL24" s="816"/>
      <c r="EM24" s="816"/>
      <c r="EN24" s="816"/>
      <c r="EO24" s="816"/>
      <c r="EP24" s="816"/>
      <c r="EQ24" s="816"/>
      <c r="ER24" s="816"/>
      <c r="ES24" s="816"/>
      <c r="ET24" s="816"/>
      <c r="EU24" s="816"/>
      <c r="EV24" s="816"/>
      <c r="EW24" s="816"/>
      <c r="EX24" s="816"/>
      <c r="EY24" s="816"/>
      <c r="EZ24" s="816"/>
      <c r="FA24" s="816"/>
      <c r="FB24" s="816"/>
      <c r="FC24" s="816"/>
      <c r="FD24" s="816"/>
      <c r="FE24" s="816"/>
      <c r="FF24" s="816"/>
      <c r="FG24" s="816"/>
      <c r="FH24" s="1711"/>
      <c r="FM24" s="321"/>
    </row>
    <row r="25" spans="1:169" ht="21">
      <c r="A25" s="1722" t="s">
        <v>2743</v>
      </c>
      <c r="B25" s="791">
        <v>513.02966056000002</v>
      </c>
      <c r="C25" s="792">
        <v>558.44188235000001</v>
      </c>
      <c r="D25" s="792">
        <v>571.34938753000006</v>
      </c>
      <c r="E25" s="792">
        <v>577.90710465000006</v>
      </c>
      <c r="F25" s="792">
        <v>588.06130639000003</v>
      </c>
      <c r="G25" s="792">
        <v>650.45710009999993</v>
      </c>
      <c r="H25" s="792">
        <v>667.83878795999999</v>
      </c>
      <c r="I25" s="792">
        <v>671.57658715999992</v>
      </c>
      <c r="J25" s="792">
        <v>681.59089122</v>
      </c>
      <c r="K25" s="792">
        <v>710.12178785000003</v>
      </c>
      <c r="L25" s="792">
        <v>720.82811203000006</v>
      </c>
      <c r="M25" s="781">
        <v>722.72918790999995</v>
      </c>
      <c r="N25" s="784">
        <v>721.16020598</v>
      </c>
      <c r="O25" s="784">
        <v>720.29842767000002</v>
      </c>
      <c r="P25" s="781">
        <v>727.69162765999988</v>
      </c>
      <c r="Q25" s="781">
        <v>734.55840694999995</v>
      </c>
      <c r="R25" s="781">
        <v>742.58831658999986</v>
      </c>
      <c r="S25" s="781">
        <v>746.64846166999996</v>
      </c>
      <c r="T25" s="781">
        <v>745.69746292000002</v>
      </c>
      <c r="U25" s="781">
        <v>769.6828749</v>
      </c>
      <c r="V25" s="781">
        <v>786.24477160999993</v>
      </c>
      <c r="W25" s="781">
        <v>797.04567463000001</v>
      </c>
      <c r="X25" s="781">
        <v>818.05634239999995</v>
      </c>
      <c r="Y25" s="781">
        <v>829.19037669000011</v>
      </c>
      <c r="Z25" s="781">
        <v>826.42194316999985</v>
      </c>
      <c r="AA25" s="784">
        <v>885.10270659999992</v>
      </c>
      <c r="AB25" s="781">
        <v>880.92295552000007</v>
      </c>
      <c r="AC25" s="781">
        <v>887.59942156999978</v>
      </c>
      <c r="AD25" s="781">
        <v>885.79287960999989</v>
      </c>
      <c r="AE25" s="781">
        <v>889.36656427000003</v>
      </c>
      <c r="AF25" s="781">
        <v>898.54451517000007</v>
      </c>
      <c r="AG25" s="781">
        <v>900.27419355999996</v>
      </c>
      <c r="AH25" s="781">
        <v>699.97958570000003</v>
      </c>
      <c r="AI25" s="781">
        <v>616.08597666000003</v>
      </c>
      <c r="AJ25" s="781">
        <v>579.45058574999996</v>
      </c>
      <c r="AK25" s="781">
        <v>478.16202376000001</v>
      </c>
      <c r="AL25" s="781">
        <v>422.95640809999998</v>
      </c>
      <c r="AM25" s="781">
        <v>419.07025904</v>
      </c>
      <c r="AN25" s="781">
        <v>414.38208727</v>
      </c>
      <c r="AO25" s="781">
        <v>413.92287435000003</v>
      </c>
      <c r="AP25" s="781">
        <v>405.88675336999995</v>
      </c>
      <c r="AQ25" s="781">
        <v>402.84369887000003</v>
      </c>
      <c r="AR25" s="781">
        <v>379.22546537999995</v>
      </c>
      <c r="AS25" s="781">
        <v>378.67438829999998</v>
      </c>
      <c r="AT25" s="781">
        <f>AT9-AT13</f>
        <v>387.10897482000001</v>
      </c>
      <c r="AU25" s="781">
        <v>372.57040322</v>
      </c>
      <c r="AV25" s="781">
        <v>378.65693986000002</v>
      </c>
      <c r="AW25" s="781">
        <v>395.66160088999993</v>
      </c>
      <c r="AX25" s="781">
        <v>392.15392517999993</v>
      </c>
      <c r="AY25" s="781">
        <v>399.34341900999999</v>
      </c>
      <c r="AZ25" s="781">
        <v>402.39937251000003</v>
      </c>
      <c r="BA25" s="781">
        <v>405.37014150999994</v>
      </c>
      <c r="BB25" s="781">
        <v>397.10633775000002</v>
      </c>
      <c r="BC25" s="781">
        <v>396.22352912000002</v>
      </c>
      <c r="BD25" s="781">
        <v>412.7138784</v>
      </c>
      <c r="BE25" s="781">
        <v>423.73605392999997</v>
      </c>
      <c r="BF25" s="781">
        <v>421.34555444</v>
      </c>
      <c r="BG25" s="781">
        <v>405.47762661000002</v>
      </c>
      <c r="BH25" s="826">
        <v>403.73918397</v>
      </c>
      <c r="BI25" s="815">
        <v>381.89146564999999</v>
      </c>
      <c r="BJ25" s="815">
        <v>377.72675766999998</v>
      </c>
      <c r="BK25" s="815">
        <v>371.64490942999998</v>
      </c>
      <c r="BL25" s="815">
        <v>385.28526603</v>
      </c>
      <c r="BM25" s="815">
        <v>394.51696078999998</v>
      </c>
      <c r="BN25" s="815">
        <v>397.13560110000003</v>
      </c>
      <c r="BO25" s="815">
        <v>403.71918272000005</v>
      </c>
      <c r="BP25" s="815">
        <v>409.71496317000003</v>
      </c>
      <c r="BQ25" s="815">
        <v>407.33390757999996</v>
      </c>
      <c r="BR25" s="815">
        <v>405.48761547999999</v>
      </c>
      <c r="BS25" s="815">
        <v>404.12467554</v>
      </c>
      <c r="BT25" s="815">
        <v>405.64719951999996</v>
      </c>
      <c r="BU25" s="815">
        <v>405.63622151999999</v>
      </c>
      <c r="BV25" s="815">
        <v>406.85731804</v>
      </c>
      <c r="BW25" s="815">
        <v>405.30138765000004</v>
      </c>
      <c r="BX25" s="815">
        <v>415.07152287999997</v>
      </c>
      <c r="BY25" s="815">
        <v>419.89878788999999</v>
      </c>
      <c r="BZ25" s="815">
        <v>437.80945156000001</v>
      </c>
      <c r="CA25" s="815">
        <v>441.18330537999998</v>
      </c>
      <c r="CB25" s="815">
        <v>433.12759730000005</v>
      </c>
      <c r="CC25" s="815">
        <v>439.96434758999999</v>
      </c>
      <c r="CD25" s="815">
        <v>451.55890825999995</v>
      </c>
      <c r="CE25" s="815">
        <v>450.88899149000002</v>
      </c>
      <c r="CF25" s="815">
        <v>450.66403843000001</v>
      </c>
      <c r="CG25" s="815">
        <v>468.51176097000007</v>
      </c>
      <c r="CH25" s="815">
        <v>466.57583864000003</v>
      </c>
      <c r="CI25" s="815">
        <v>460.05228144</v>
      </c>
      <c r="CJ25" s="815">
        <v>458.11047930999996</v>
      </c>
      <c r="CK25" s="815">
        <v>510.91168901000003</v>
      </c>
      <c r="CL25" s="815">
        <v>504.54278479000004</v>
      </c>
      <c r="CM25" s="815">
        <v>499.42360981000002</v>
      </c>
      <c r="CN25" s="815">
        <v>497.55490228999997</v>
      </c>
      <c r="CO25" s="815">
        <v>497.88773347</v>
      </c>
      <c r="CP25" s="815">
        <v>498.26330675999998</v>
      </c>
      <c r="CQ25" s="815">
        <v>487.01842136999994</v>
      </c>
      <c r="CR25" s="815">
        <v>491.27130288000001</v>
      </c>
      <c r="CS25" s="815">
        <v>494.74578642999995</v>
      </c>
      <c r="CT25" s="815">
        <v>500.37739370000003</v>
      </c>
      <c r="CU25" s="815">
        <v>494.82683070000002</v>
      </c>
      <c r="CV25" s="815">
        <v>505.66707396999999</v>
      </c>
      <c r="CW25" s="815">
        <v>499.30432525999998</v>
      </c>
      <c r="CX25" s="815">
        <v>502.95966282000001</v>
      </c>
      <c r="CY25" s="815">
        <v>505.13982891000001</v>
      </c>
      <c r="CZ25" s="815">
        <v>501.41452428999997</v>
      </c>
      <c r="DA25" s="815">
        <v>509.97443894000003</v>
      </c>
      <c r="DB25" s="815">
        <v>514.95798581999998</v>
      </c>
      <c r="DC25" s="815">
        <v>513.58224533999999</v>
      </c>
      <c r="DD25" s="815">
        <v>512.52881551999997</v>
      </c>
      <c r="DE25" s="815">
        <v>528.29089824000005</v>
      </c>
      <c r="DF25" s="815">
        <v>530.05726331000005</v>
      </c>
      <c r="DG25" s="815">
        <v>527.80225487999996</v>
      </c>
      <c r="DH25" s="815">
        <v>536.64382304000003</v>
      </c>
      <c r="DI25" s="815">
        <v>536.57710284999996</v>
      </c>
      <c r="DJ25" s="815">
        <v>536.16954118000001</v>
      </c>
      <c r="DK25" s="815">
        <v>484.60785657999998</v>
      </c>
      <c r="DL25" s="815">
        <v>482.59652786999999</v>
      </c>
      <c r="DM25" s="815">
        <v>482.64847635000001</v>
      </c>
      <c r="DN25" s="815">
        <v>482.55645822000002</v>
      </c>
      <c r="DO25" s="815">
        <v>480.44065303999997</v>
      </c>
      <c r="DP25" s="815">
        <v>477.95194335000002</v>
      </c>
      <c r="DQ25" s="815">
        <v>464.85306193000002</v>
      </c>
      <c r="DR25" s="815">
        <v>451.55815338999997</v>
      </c>
      <c r="DS25" s="815">
        <v>450.17007085</v>
      </c>
      <c r="DT25" s="815">
        <v>440.33117071999999</v>
      </c>
      <c r="DU25" s="815">
        <v>427.87638838999999</v>
      </c>
      <c r="DV25" s="815">
        <v>417.33325940999998</v>
      </c>
      <c r="DW25" s="815">
        <v>420.91128434000001</v>
      </c>
      <c r="DX25" s="815">
        <v>430.48194484999999</v>
      </c>
      <c r="DY25" s="815">
        <v>434.99520017999998</v>
      </c>
      <c r="DZ25" s="815">
        <v>452.75410663000002</v>
      </c>
      <c r="EA25" s="815">
        <v>424.52325336000001</v>
      </c>
      <c r="EB25" s="815">
        <v>426.19850430000002</v>
      </c>
      <c r="EC25" s="815">
        <v>427.84816775000002</v>
      </c>
      <c r="ED25" s="815">
        <v>419.59215534999998</v>
      </c>
      <c r="EE25" s="815">
        <v>419.89495414999999</v>
      </c>
      <c r="EF25" s="815">
        <v>406.40856172000002</v>
      </c>
      <c r="EG25" s="815">
        <v>385.03824365999998</v>
      </c>
      <c r="EH25" s="815">
        <v>379.32814674000002</v>
      </c>
      <c r="EI25" s="815">
        <v>377.45267913999999</v>
      </c>
      <c r="EJ25" s="815">
        <v>368.83614009000001</v>
      </c>
      <c r="EK25" s="815">
        <v>401.06135261999998</v>
      </c>
      <c r="EL25" s="815">
        <v>400.72019021</v>
      </c>
      <c r="EM25" s="815">
        <v>405.41978236</v>
      </c>
      <c r="EN25" s="815">
        <v>402.71824753999999</v>
      </c>
      <c r="EO25" s="815">
        <v>405.75554140999998</v>
      </c>
      <c r="EP25" s="815">
        <v>394.48233696</v>
      </c>
      <c r="EQ25" s="815">
        <v>387.71496588999997</v>
      </c>
      <c r="ER25" s="815">
        <v>380.94393745999997</v>
      </c>
      <c r="ES25" s="815">
        <v>366.04111983000001</v>
      </c>
      <c r="ET25" s="815">
        <v>361.36878187999997</v>
      </c>
      <c r="EU25" s="815">
        <v>367.10899576999998</v>
      </c>
      <c r="EV25" s="815">
        <v>371.51032335000002</v>
      </c>
      <c r="EW25" s="815">
        <v>370.03294434999998</v>
      </c>
      <c r="EX25" s="815">
        <v>364.62381765999999</v>
      </c>
      <c r="EY25" s="815">
        <v>368.86939510000002</v>
      </c>
      <c r="EZ25" s="815">
        <v>367.29241796999997</v>
      </c>
      <c r="FA25" s="815">
        <v>371.40795098000001</v>
      </c>
      <c r="FB25" s="815">
        <v>367.44128173000001</v>
      </c>
      <c r="FC25" s="815">
        <v>358.42270825000003</v>
      </c>
      <c r="FD25" s="815">
        <v>364.30359508999999</v>
      </c>
      <c r="FE25" s="815">
        <v>357.03010769000002</v>
      </c>
      <c r="FF25" s="815">
        <v>353.24982326999998</v>
      </c>
      <c r="FG25" s="815">
        <v>342.07240280000002</v>
      </c>
      <c r="FH25" s="1710" t="s">
        <v>4065</v>
      </c>
      <c r="FM25" s="321"/>
    </row>
    <row r="26" spans="1:169" ht="21">
      <c r="A26" s="1723" t="s">
        <v>1961</v>
      </c>
      <c r="B26" s="792">
        <v>2.4350116000000002</v>
      </c>
      <c r="C26" s="792">
        <v>2.4000490999999999</v>
      </c>
      <c r="D26" s="792">
        <v>2.3650866000000001</v>
      </c>
      <c r="E26" s="792">
        <v>2.3301240999999999</v>
      </c>
      <c r="F26" s="792">
        <v>2.2951616000000001</v>
      </c>
      <c r="G26" s="792">
        <v>2.2601990999999999</v>
      </c>
      <c r="H26" s="792">
        <v>4.7128861000000004</v>
      </c>
      <c r="I26" s="792">
        <v>4.6776064999999996</v>
      </c>
      <c r="J26" s="792">
        <v>4.6429611</v>
      </c>
      <c r="K26" s="792">
        <v>4.6079986000000002</v>
      </c>
      <c r="L26" s="792">
        <v>4.6576815000000007</v>
      </c>
      <c r="M26" s="784">
        <v>4.6079780399999999</v>
      </c>
      <c r="N26" s="784">
        <v>4.5985897400000004</v>
      </c>
      <c r="O26" s="784">
        <v>4.5992239399999999</v>
      </c>
      <c r="P26" s="784">
        <v>4.5329068399999999</v>
      </c>
      <c r="Q26" s="784">
        <v>4.5329068399999999</v>
      </c>
      <c r="R26" s="784">
        <v>4.5332239400000001</v>
      </c>
      <c r="S26" s="784">
        <v>4.5329068399999999</v>
      </c>
      <c r="T26" s="784">
        <v>4.5325897400000006</v>
      </c>
      <c r="U26" s="784">
        <v>4.5332239400000001</v>
      </c>
      <c r="V26" s="784">
        <v>4.5332239400000001</v>
      </c>
      <c r="W26" s="784">
        <v>4.5332239400000001</v>
      </c>
      <c r="X26" s="784">
        <v>4.5332239400000001</v>
      </c>
      <c r="Y26" s="784">
        <v>4.5132239399999996</v>
      </c>
      <c r="Z26" s="784">
        <v>4.5132239399999996</v>
      </c>
      <c r="AA26" s="784">
        <v>5.2809157999999998</v>
      </c>
      <c r="AB26" s="784">
        <v>5.2367935000000001</v>
      </c>
      <c r="AC26" s="784">
        <v>5.1924276999999996</v>
      </c>
      <c r="AD26" s="784">
        <v>5.1946474</v>
      </c>
      <c r="AE26" s="784">
        <v>5.1361593000000001</v>
      </c>
      <c r="AF26" s="784">
        <v>5.1399645000000005</v>
      </c>
      <c r="AG26" s="784">
        <v>5.1352080000000004</v>
      </c>
      <c r="AH26" s="784">
        <v>5.1352080000000004</v>
      </c>
      <c r="AI26" s="784">
        <v>5.1393303000000001</v>
      </c>
      <c r="AJ26" s="784">
        <v>5.1453552</v>
      </c>
      <c r="AK26" s="784">
        <v>6.7568574000000003</v>
      </c>
      <c r="AL26" s="784">
        <v>1.8120000000000001</v>
      </c>
      <c r="AM26" s="784">
        <v>1.512</v>
      </c>
      <c r="AN26" s="784">
        <v>1.49211001</v>
      </c>
      <c r="AO26" s="784">
        <v>1.3594380100000001</v>
      </c>
      <c r="AP26" s="784">
        <v>1.3294380100000001</v>
      </c>
      <c r="AQ26" s="784">
        <v>1.28772705</v>
      </c>
      <c r="AR26" s="784">
        <v>1.2599446699999999</v>
      </c>
      <c r="AS26" s="784">
        <v>1.23216229</v>
      </c>
      <c r="AT26" s="784">
        <f>AT10-AT14</f>
        <v>1.2043799099999999</v>
      </c>
      <c r="AU26" s="784">
        <v>0.79559806999999994</v>
      </c>
      <c r="AV26" s="784">
        <v>0.76781568999999994</v>
      </c>
      <c r="AW26" s="784">
        <v>0.74003331000000006</v>
      </c>
      <c r="AX26" s="784">
        <v>0.71225093000000006</v>
      </c>
      <c r="AY26" s="784">
        <v>0.68446855000000006</v>
      </c>
      <c r="AZ26" s="784">
        <v>0.65668617000000007</v>
      </c>
      <c r="BA26" s="784">
        <v>0.62890379000000007</v>
      </c>
      <c r="BB26" s="784">
        <v>0.33201029999999998</v>
      </c>
      <c r="BC26" s="784">
        <v>0.33196376999999999</v>
      </c>
      <c r="BD26" s="784">
        <v>0.31225178999999997</v>
      </c>
      <c r="BE26" s="784">
        <v>0.29251167</v>
      </c>
      <c r="BF26" s="784">
        <v>0.27316576000000004</v>
      </c>
      <c r="BG26" s="784">
        <v>0.26532083000000001</v>
      </c>
      <c r="BH26" s="827">
        <v>0.25745569000000001</v>
      </c>
      <c r="BI26" s="816">
        <v>0.23711089000000002</v>
      </c>
      <c r="BJ26" s="816">
        <v>0.21676858999999998</v>
      </c>
      <c r="BK26" s="816">
        <v>0.19638897</v>
      </c>
      <c r="BL26" s="816">
        <v>0.17601037</v>
      </c>
      <c r="BM26" s="816">
        <v>0.15561701</v>
      </c>
      <c r="BN26" s="816">
        <v>0.13521554</v>
      </c>
      <c r="BO26" s="816">
        <v>0.10169458000000001</v>
      </c>
      <c r="BP26" s="816">
        <v>9.4379119999999997E-2</v>
      </c>
      <c r="BQ26" s="816">
        <v>7.3208999999999996E-2</v>
      </c>
      <c r="BR26" s="816">
        <v>5.3566000000000003E-2</v>
      </c>
      <c r="BS26" s="816">
        <v>3.3923000000000002E-2</v>
      </c>
      <c r="BT26" s="816">
        <v>0</v>
      </c>
      <c r="BU26" s="816">
        <v>0</v>
      </c>
      <c r="BV26" s="816">
        <v>0</v>
      </c>
      <c r="BW26" s="816">
        <v>0</v>
      </c>
      <c r="BX26" s="816">
        <v>0</v>
      </c>
      <c r="BY26" s="816">
        <v>0.2</v>
      </c>
      <c r="BZ26" s="816">
        <v>0.19939475000000001</v>
      </c>
      <c r="CA26" s="816">
        <v>0.19877891</v>
      </c>
      <c r="CB26" s="816">
        <v>0.19815229000000001</v>
      </c>
      <c r="CC26" s="816">
        <v>0.19751470999999998</v>
      </c>
      <c r="CD26" s="816">
        <v>0.19686595000000001</v>
      </c>
      <c r="CE26" s="816">
        <v>0.19620587</v>
      </c>
      <c r="CF26" s="816">
        <v>0.19535148000000002</v>
      </c>
      <c r="CG26" s="816">
        <v>0.19463659</v>
      </c>
      <c r="CH26" s="816">
        <v>0.19415546</v>
      </c>
      <c r="CI26" s="816">
        <v>0.19415546</v>
      </c>
      <c r="CJ26" s="816">
        <v>0.19327789000000001</v>
      </c>
      <c r="CK26" s="816">
        <v>0.19327789000000001</v>
      </c>
      <c r="CL26" s="816">
        <v>0.19327789000000001</v>
      </c>
      <c r="CM26" s="816">
        <v>0.19327789000000001</v>
      </c>
      <c r="CN26" s="816">
        <v>0.19327789000000001</v>
      </c>
      <c r="CO26" s="816">
        <v>0.19327789000000001</v>
      </c>
      <c r="CP26" s="816">
        <v>0.19217789000000002</v>
      </c>
      <c r="CQ26" s="816">
        <v>0.19217789000000002</v>
      </c>
      <c r="CR26" s="816">
        <v>0.19217789000000002</v>
      </c>
      <c r="CS26" s="816">
        <v>0.19217789000000002</v>
      </c>
      <c r="CT26" s="816">
        <v>4.5529410500000003</v>
      </c>
      <c r="CU26" s="816">
        <v>0.29747615999999999</v>
      </c>
      <c r="CV26" s="816">
        <v>0.29193525999999997</v>
      </c>
      <c r="CW26" s="816">
        <v>0.28628336999999998</v>
      </c>
      <c r="CX26" s="816">
        <v>0.28065668999999999</v>
      </c>
      <c r="CY26" s="816">
        <v>0.27501440999999999</v>
      </c>
      <c r="CZ26" s="816">
        <v>0.26930588999999999</v>
      </c>
      <c r="DA26" s="816">
        <v>7.1402289999999993E-2</v>
      </c>
      <c r="DB26" s="816">
        <v>0.76564319000000003</v>
      </c>
      <c r="DC26" s="816">
        <v>0.74433475999999998</v>
      </c>
      <c r="DD26" s="816">
        <v>0</v>
      </c>
      <c r="DE26" s="816">
        <v>0</v>
      </c>
      <c r="DF26" s="816">
        <v>0</v>
      </c>
      <c r="DG26" s="816">
        <v>0</v>
      </c>
      <c r="DH26" s="816">
        <v>1.5418479899999999</v>
      </c>
      <c r="DI26" s="816">
        <v>1.4001077399999999</v>
      </c>
      <c r="DJ26" s="816">
        <v>1.3901077399999999</v>
      </c>
      <c r="DK26" s="816">
        <v>1.3901077399999999</v>
      </c>
      <c r="DL26" s="816">
        <v>1.3901077399999999</v>
      </c>
      <c r="DM26" s="816">
        <v>1.38510774</v>
      </c>
      <c r="DN26" s="816">
        <v>1.38510774</v>
      </c>
      <c r="DO26" s="816">
        <v>1.3801644</v>
      </c>
      <c r="DP26" s="816">
        <v>1.3801644</v>
      </c>
      <c r="DQ26" s="816">
        <v>1.3801077399999999</v>
      </c>
      <c r="DR26" s="816">
        <v>1.3801077399999999</v>
      </c>
      <c r="DS26" s="816">
        <v>1.3801077399999999</v>
      </c>
      <c r="DT26" s="816">
        <v>1.3801077399999999</v>
      </c>
      <c r="DU26" s="816">
        <v>1.3801077399999999</v>
      </c>
      <c r="DV26" s="816">
        <v>1.3801077399999999</v>
      </c>
      <c r="DW26" s="816">
        <v>1.3801077399999999</v>
      </c>
      <c r="DX26" s="816">
        <v>1.4106077400000001</v>
      </c>
      <c r="DY26" s="816">
        <v>1.40997236</v>
      </c>
      <c r="DZ26" s="816">
        <v>1.40932692</v>
      </c>
      <c r="EA26" s="816">
        <v>1.7087021</v>
      </c>
      <c r="EB26" s="816">
        <v>15.097480150000001</v>
      </c>
      <c r="EC26" s="816">
        <v>16.789948509999999</v>
      </c>
      <c r="ED26" s="816">
        <v>16.782457109999999</v>
      </c>
      <c r="EE26" s="816">
        <v>16.50194492</v>
      </c>
      <c r="EF26" s="816">
        <v>16.50123571</v>
      </c>
      <c r="EG26" s="816">
        <v>13.10207879</v>
      </c>
      <c r="EH26" s="816">
        <v>9.7159599599999993</v>
      </c>
      <c r="EI26" s="816">
        <v>7.50598192</v>
      </c>
      <c r="EJ26" s="816">
        <v>2.2189739999999999E-2</v>
      </c>
      <c r="EK26" s="816">
        <v>2.1411070000000001E-2</v>
      </c>
      <c r="EL26" s="816">
        <v>2.065438E-2</v>
      </c>
      <c r="EM26" s="816">
        <v>1.9841310000000001E-2</v>
      </c>
      <c r="EN26" s="816">
        <v>1.9037160000000001E-2</v>
      </c>
      <c r="EO26" s="816">
        <v>1.824038E-2</v>
      </c>
      <c r="EP26" s="816">
        <v>1.7391630000000002E-2</v>
      </c>
      <c r="EQ26" s="816">
        <v>1.65487E-2</v>
      </c>
      <c r="ER26" s="816">
        <v>1.5692419999999999E-2</v>
      </c>
      <c r="ES26" s="816">
        <v>1.482258E-2</v>
      </c>
      <c r="ET26" s="816">
        <v>1.393897E-2</v>
      </c>
      <c r="EU26" s="816">
        <v>1.3056079999999999E-2</v>
      </c>
      <c r="EV26" s="816">
        <v>1.2130719999999999E-2</v>
      </c>
      <c r="EW26" s="816">
        <v>1.1204489999999999E-2</v>
      </c>
      <c r="EX26" s="816">
        <v>1.0269510000000001E-2</v>
      </c>
      <c r="EY26" s="816">
        <v>9.3083899999999997E-3</v>
      </c>
      <c r="EZ26" s="816">
        <v>8.3374699999999996E-3</v>
      </c>
      <c r="FA26" s="816">
        <v>7.3555799999999996E-3</v>
      </c>
      <c r="FB26" s="816">
        <v>6.3498599999999997E-3</v>
      </c>
      <c r="FC26" s="816">
        <v>5.3388000000000003E-3</v>
      </c>
      <c r="FD26" s="816">
        <v>4.3050299999999996E-3</v>
      </c>
      <c r="FE26" s="816">
        <v>3.2503499999999999E-3</v>
      </c>
      <c r="FF26" s="816">
        <v>2.1835100000000001E-3</v>
      </c>
      <c r="FG26" s="816">
        <v>0</v>
      </c>
      <c r="FH26" s="1712" t="s">
        <v>4067</v>
      </c>
      <c r="FM26" s="321"/>
    </row>
    <row r="27" spans="1:169" ht="21">
      <c r="A27" s="1723" t="s">
        <v>1962</v>
      </c>
      <c r="B27" s="791">
        <f>+B25-B26</f>
        <v>510.59464896000003</v>
      </c>
      <c r="C27" s="792">
        <f t="shared" ref="C27:V27" si="8">+C25-C26</f>
        <v>556.04183324999997</v>
      </c>
      <c r="D27" s="792">
        <f t="shared" si="8"/>
        <v>568.98430093000002</v>
      </c>
      <c r="E27" s="792">
        <f t="shared" si="8"/>
        <v>575.57698055000003</v>
      </c>
      <c r="F27" s="792">
        <f t="shared" si="8"/>
        <v>585.76614479</v>
      </c>
      <c r="G27" s="792">
        <f t="shared" si="8"/>
        <v>648.19690099999991</v>
      </c>
      <c r="H27" s="792">
        <f t="shared" si="8"/>
        <v>663.12590186</v>
      </c>
      <c r="I27" s="792">
        <f t="shared" si="8"/>
        <v>666.89898065999989</v>
      </c>
      <c r="J27" s="792">
        <f t="shared" si="8"/>
        <v>676.94793012000002</v>
      </c>
      <c r="K27" s="792">
        <f t="shared" si="8"/>
        <v>705.51378925000006</v>
      </c>
      <c r="L27" s="792">
        <f t="shared" si="8"/>
        <v>716.17043053000009</v>
      </c>
      <c r="M27" s="784">
        <f t="shared" si="8"/>
        <v>718.12120986999992</v>
      </c>
      <c r="N27" s="784">
        <f t="shared" si="8"/>
        <v>716.56161624000003</v>
      </c>
      <c r="O27" s="784">
        <f t="shared" si="8"/>
        <v>715.69920373000002</v>
      </c>
      <c r="P27" s="781">
        <f t="shared" si="8"/>
        <v>723.15872081999987</v>
      </c>
      <c r="Q27" s="781">
        <f t="shared" si="8"/>
        <v>730.02550010999994</v>
      </c>
      <c r="R27" s="781">
        <f t="shared" si="8"/>
        <v>738.05509264999989</v>
      </c>
      <c r="S27" s="781">
        <f t="shared" si="8"/>
        <v>742.11555482999995</v>
      </c>
      <c r="T27" s="781">
        <f t="shared" si="8"/>
        <v>741.16487317999997</v>
      </c>
      <c r="U27" s="781">
        <f t="shared" si="8"/>
        <v>765.14965096000003</v>
      </c>
      <c r="V27" s="781">
        <f t="shared" si="8"/>
        <v>781.71154766999996</v>
      </c>
      <c r="W27" s="781">
        <v>792.51245069000004</v>
      </c>
      <c r="X27" s="781">
        <v>813.52311845999998</v>
      </c>
      <c r="Y27" s="784">
        <v>824.67715275000012</v>
      </c>
      <c r="Z27" s="781">
        <v>821.90871922999986</v>
      </c>
      <c r="AA27" s="784">
        <v>879.82179079999992</v>
      </c>
      <c r="AB27" s="784">
        <v>875.6861620200001</v>
      </c>
      <c r="AC27" s="784">
        <v>882.40699386999972</v>
      </c>
      <c r="AD27" s="784">
        <v>880.59823220999988</v>
      </c>
      <c r="AE27" s="784">
        <v>884.23040497</v>
      </c>
      <c r="AF27" s="784">
        <v>893.40455067000005</v>
      </c>
      <c r="AG27" s="784">
        <v>895.13898555999992</v>
      </c>
      <c r="AH27" s="784">
        <f>+AH25-AH26</f>
        <v>694.8443777</v>
      </c>
      <c r="AI27" s="784">
        <v>610.94664636000005</v>
      </c>
      <c r="AJ27" s="784">
        <v>574.30523054999992</v>
      </c>
      <c r="AK27" s="784">
        <f>+AK25-AK26</f>
        <v>471.40516636000001</v>
      </c>
      <c r="AL27" s="784">
        <v>421.14440809999996</v>
      </c>
      <c r="AM27" s="784">
        <f>+AM25-AM26</f>
        <v>417.55825904</v>
      </c>
      <c r="AN27" s="784">
        <f>+AN25-AN26</f>
        <v>412.88997726000002</v>
      </c>
      <c r="AO27" s="784">
        <f>+AO25-AO26</f>
        <v>412.56343634000001</v>
      </c>
      <c r="AP27" s="784">
        <f>+AP25-AP26</f>
        <v>404.55731535999996</v>
      </c>
      <c r="AQ27" s="784">
        <v>401.55597182000002</v>
      </c>
      <c r="AR27" s="784">
        <v>377.96552070999996</v>
      </c>
      <c r="AS27" s="784">
        <f>+AS25-AS26</f>
        <v>377.44222600999996</v>
      </c>
      <c r="AT27" s="784">
        <f>AT11-AT15</f>
        <v>385.90459491000001</v>
      </c>
      <c r="AU27" s="784">
        <v>371.77480515000002</v>
      </c>
      <c r="AV27" s="784">
        <v>377.88912417</v>
      </c>
      <c r="AW27" s="784">
        <v>394.92156757999993</v>
      </c>
      <c r="AX27" s="784">
        <v>391.44167424999995</v>
      </c>
      <c r="AY27" s="784">
        <v>398.65895045999997</v>
      </c>
      <c r="AZ27" s="784">
        <v>401.74268634000003</v>
      </c>
      <c r="BA27" s="784">
        <v>404.74123771999996</v>
      </c>
      <c r="BB27" s="784">
        <v>396.77432745000004</v>
      </c>
      <c r="BC27" s="784">
        <v>395.89156535000001</v>
      </c>
      <c r="BD27" s="784">
        <f>+BD25-BD26</f>
        <v>412.40162660999999</v>
      </c>
      <c r="BE27" s="784">
        <v>423.44354225999996</v>
      </c>
      <c r="BF27" s="784">
        <v>421.07238868000002</v>
      </c>
      <c r="BG27" s="784">
        <v>405.21230578000001</v>
      </c>
      <c r="BH27" s="827">
        <v>403.48172828000003</v>
      </c>
      <c r="BI27" s="816">
        <v>381.65435475999999</v>
      </c>
      <c r="BJ27" s="816">
        <v>377.50998907999997</v>
      </c>
      <c r="BK27" s="816">
        <v>371.44852046</v>
      </c>
      <c r="BL27" s="816">
        <v>385.10925566000003</v>
      </c>
      <c r="BM27" s="816">
        <v>394.36134377999997</v>
      </c>
      <c r="BN27" s="816">
        <v>397.00038556000004</v>
      </c>
      <c r="BO27" s="816">
        <v>403.61748814000003</v>
      </c>
      <c r="BP27" s="816">
        <v>409.62058405000005</v>
      </c>
      <c r="BQ27" s="816">
        <v>407.26069857999994</v>
      </c>
      <c r="BR27" s="816">
        <v>405.43404948</v>
      </c>
      <c r="BS27" s="816">
        <v>404.09075253999998</v>
      </c>
      <c r="BT27" s="816">
        <v>405.64719951999996</v>
      </c>
      <c r="BU27" s="816">
        <v>405.63622151999999</v>
      </c>
      <c r="BV27" s="816">
        <v>406.85731804</v>
      </c>
      <c r="BW27" s="816">
        <v>405.30138765000004</v>
      </c>
      <c r="BX27" s="816">
        <v>415.07152287999997</v>
      </c>
      <c r="BY27" s="816">
        <v>419.69878789000001</v>
      </c>
      <c r="BZ27" s="816">
        <v>437.61005681</v>
      </c>
      <c r="CA27" s="816">
        <v>440.98452646999999</v>
      </c>
      <c r="CB27" s="816">
        <v>432.92944501000005</v>
      </c>
      <c r="CC27" s="816">
        <v>439.76683287999998</v>
      </c>
      <c r="CD27" s="816">
        <v>451.36204230999994</v>
      </c>
      <c r="CE27" s="816">
        <f t="shared" ref="CE27:CP27" si="9">+CE25-CE26</f>
        <v>450.69278562</v>
      </c>
      <c r="CF27" s="816">
        <f t="shared" si="9"/>
        <v>450.46868695000001</v>
      </c>
      <c r="CG27" s="816">
        <f t="shared" si="9"/>
        <v>468.31712438000005</v>
      </c>
      <c r="CH27" s="816">
        <f t="shared" si="9"/>
        <v>466.38168318000004</v>
      </c>
      <c r="CI27" s="816">
        <f t="shared" si="9"/>
        <v>459.85812598000001</v>
      </c>
      <c r="CJ27" s="816">
        <f t="shared" si="9"/>
        <v>457.91720141999997</v>
      </c>
      <c r="CK27" s="816">
        <f t="shared" si="9"/>
        <v>510.71841112000004</v>
      </c>
      <c r="CL27" s="816">
        <f t="shared" si="9"/>
        <v>504.34950690000005</v>
      </c>
      <c r="CM27" s="816">
        <f t="shared" si="9"/>
        <v>499.23033192000003</v>
      </c>
      <c r="CN27" s="816">
        <f t="shared" si="9"/>
        <v>497.36162439999998</v>
      </c>
      <c r="CO27" s="816">
        <f t="shared" si="9"/>
        <v>497.69445558000001</v>
      </c>
      <c r="CP27" s="816">
        <f t="shared" si="9"/>
        <v>498.07112887</v>
      </c>
      <c r="CQ27" s="816">
        <f>+CQ25-CQ26</f>
        <v>486.82624347999996</v>
      </c>
      <c r="CR27" s="816">
        <f>+CR25-CR26</f>
        <v>491.07912499000003</v>
      </c>
      <c r="CS27" s="816">
        <f>+CS25-CS26</f>
        <v>494.55360853999997</v>
      </c>
      <c r="CT27" s="816">
        <v>495.82445265000001</v>
      </c>
      <c r="CU27" s="816">
        <v>494.52935453999999</v>
      </c>
      <c r="CV27" s="816">
        <v>505.37513870999999</v>
      </c>
      <c r="CW27" s="816">
        <v>499.01804189000001</v>
      </c>
      <c r="CX27" s="816">
        <v>502.67900613</v>
      </c>
      <c r="CY27" s="816">
        <v>504.86481450000002</v>
      </c>
      <c r="CZ27" s="816">
        <v>501.14521839999998</v>
      </c>
      <c r="DA27" s="816">
        <v>509.90303664999999</v>
      </c>
      <c r="DB27" s="816">
        <v>514.19234262999998</v>
      </c>
      <c r="DC27" s="816">
        <v>512.83791057999997</v>
      </c>
      <c r="DD27" s="816">
        <v>512.52881551999997</v>
      </c>
      <c r="DE27" s="816">
        <v>528.29089824000005</v>
      </c>
      <c r="DF27" s="816">
        <v>530.05726331000005</v>
      </c>
      <c r="DG27" s="816">
        <v>527.80225487999996</v>
      </c>
      <c r="DH27" s="816">
        <v>535.10197504999996</v>
      </c>
      <c r="DI27" s="816">
        <v>535.17699511000001</v>
      </c>
      <c r="DJ27" s="816">
        <v>534.77943344000005</v>
      </c>
      <c r="DK27" s="816">
        <v>483.21774884000001</v>
      </c>
      <c r="DL27" s="816">
        <v>481.20642013000003</v>
      </c>
      <c r="DM27" s="816">
        <v>481.26336860999999</v>
      </c>
      <c r="DN27" s="816">
        <v>481.17135048</v>
      </c>
      <c r="DO27" s="816">
        <v>479.06048864000002</v>
      </c>
      <c r="DP27" s="816">
        <v>476.57177895000001</v>
      </c>
      <c r="DQ27" s="816">
        <v>463.47295419</v>
      </c>
      <c r="DR27" s="816">
        <v>450.17804565</v>
      </c>
      <c r="DS27" s="816">
        <v>448.78996310999997</v>
      </c>
      <c r="DT27" s="816">
        <v>438.95106298000002</v>
      </c>
      <c r="DU27" s="816">
        <v>426.49628065000002</v>
      </c>
      <c r="DV27" s="816">
        <v>415.95315167000001</v>
      </c>
      <c r="DW27" s="816">
        <v>419.53117659999998</v>
      </c>
      <c r="DX27" s="816">
        <v>429.07133711</v>
      </c>
      <c r="DY27" s="816">
        <v>433.58522782</v>
      </c>
      <c r="DZ27" s="816">
        <v>451.34477971000001</v>
      </c>
      <c r="EA27" s="816">
        <v>422.81455125999997</v>
      </c>
      <c r="EB27" s="816">
        <v>411.10102415</v>
      </c>
      <c r="EC27" s="816">
        <v>411.05821924000003</v>
      </c>
      <c r="ED27" s="816">
        <v>402.80969823999999</v>
      </c>
      <c r="EE27" s="816">
        <v>403.39300923000002</v>
      </c>
      <c r="EF27" s="816">
        <v>389.90732601000002</v>
      </c>
      <c r="EG27" s="816">
        <v>371.93616487000003</v>
      </c>
      <c r="EH27" s="816">
        <v>369.61218678</v>
      </c>
      <c r="EI27" s="816">
        <v>369.94669721999998</v>
      </c>
      <c r="EJ27" s="816">
        <v>368.81395035000003</v>
      </c>
      <c r="EK27" s="816">
        <v>401.03994154999998</v>
      </c>
      <c r="EL27" s="816">
        <v>400.69953583</v>
      </c>
      <c r="EM27" s="816">
        <v>405.39994105</v>
      </c>
      <c r="EN27" s="816">
        <v>402.69921038000001</v>
      </c>
      <c r="EO27" s="816">
        <v>405.73730103000003</v>
      </c>
      <c r="EP27" s="816">
        <v>394.46494532999998</v>
      </c>
      <c r="EQ27" s="816">
        <v>387.69841718999999</v>
      </c>
      <c r="ER27" s="816">
        <v>380.92824503999998</v>
      </c>
      <c r="ES27" s="816">
        <v>366.02629725000003</v>
      </c>
      <c r="ET27" s="816">
        <v>361.35484291</v>
      </c>
      <c r="EU27" s="816">
        <v>367.09593969000002</v>
      </c>
      <c r="EV27" s="816">
        <v>371.49819263000001</v>
      </c>
      <c r="EW27" s="816">
        <v>370.02173986000003</v>
      </c>
      <c r="EX27" s="816">
        <v>364.61354814999999</v>
      </c>
      <c r="EY27" s="816">
        <v>368.86008671000002</v>
      </c>
      <c r="EZ27" s="816">
        <v>367.28408050000002</v>
      </c>
      <c r="FA27" s="816">
        <v>371.40059539999999</v>
      </c>
      <c r="FB27" s="816">
        <v>367.43493187000001</v>
      </c>
      <c r="FC27" s="816">
        <v>358.41736945000002</v>
      </c>
      <c r="FD27" s="816">
        <v>364.29929005999998</v>
      </c>
      <c r="FE27" s="816">
        <v>357.02685733999999</v>
      </c>
      <c r="FF27" s="816">
        <v>353.24763976000003</v>
      </c>
      <c r="FG27" s="816">
        <v>342.07240280000002</v>
      </c>
      <c r="FH27" s="1712" t="s">
        <v>4066</v>
      </c>
      <c r="FM27" s="321"/>
    </row>
    <row r="28" spans="1:169" ht="21">
      <c r="A28" s="1721"/>
      <c r="B28" s="792"/>
      <c r="C28" s="792"/>
      <c r="D28" s="792"/>
      <c r="E28" s="792"/>
      <c r="F28" s="792"/>
      <c r="G28" s="792"/>
      <c r="H28" s="792"/>
      <c r="I28" s="792"/>
      <c r="J28" s="792"/>
      <c r="K28" s="792"/>
      <c r="L28" s="792"/>
      <c r="M28" s="784"/>
      <c r="N28" s="784"/>
      <c r="O28" s="784"/>
      <c r="P28" s="784"/>
      <c r="Q28" s="784"/>
      <c r="R28" s="784"/>
      <c r="S28" s="784"/>
      <c r="T28" s="784"/>
      <c r="U28" s="784"/>
      <c r="V28" s="784"/>
      <c r="W28" s="784"/>
      <c r="X28" s="784"/>
      <c r="Y28" s="784"/>
      <c r="Z28" s="784"/>
      <c r="AA28" s="784"/>
      <c r="AB28" s="784"/>
      <c r="AC28" s="784"/>
      <c r="AD28" s="784"/>
      <c r="AE28" s="784"/>
      <c r="AF28" s="784"/>
      <c r="AG28" s="784"/>
      <c r="AH28" s="784"/>
      <c r="AI28" s="784"/>
      <c r="AJ28" s="784"/>
      <c r="AK28" s="784"/>
      <c r="AL28" s="784"/>
      <c r="AM28" s="784"/>
      <c r="AN28" s="784"/>
      <c r="AO28" s="784"/>
      <c r="AP28" s="784"/>
      <c r="AQ28" s="784"/>
      <c r="AR28" s="784"/>
      <c r="AS28" s="784"/>
      <c r="AT28" s="784"/>
      <c r="AU28" s="784"/>
      <c r="AV28" s="784"/>
      <c r="AW28" s="784"/>
      <c r="AX28" s="784"/>
      <c r="AY28" s="784"/>
      <c r="AZ28" s="784"/>
      <c r="BA28" s="784"/>
      <c r="BB28" s="784"/>
      <c r="BC28" s="784"/>
      <c r="BD28" s="784"/>
      <c r="BE28" s="784"/>
      <c r="BF28" s="784"/>
      <c r="BG28" s="784"/>
      <c r="BH28" s="827"/>
      <c r="BI28" s="816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6"/>
      <c r="CN28" s="816"/>
      <c r="CO28" s="816"/>
      <c r="CP28" s="816"/>
      <c r="CQ28" s="816"/>
      <c r="CR28" s="816"/>
      <c r="CS28" s="816"/>
      <c r="CT28" s="816"/>
      <c r="CU28" s="816"/>
      <c r="CV28" s="816"/>
      <c r="CW28" s="816"/>
      <c r="CX28" s="816"/>
      <c r="CY28" s="816"/>
      <c r="CZ28" s="816"/>
      <c r="DA28" s="816"/>
      <c r="DB28" s="816"/>
      <c r="DC28" s="816"/>
      <c r="DD28" s="816"/>
      <c r="DE28" s="816"/>
      <c r="DF28" s="816"/>
      <c r="DG28" s="816"/>
      <c r="DH28" s="816"/>
      <c r="DI28" s="816"/>
      <c r="DJ28" s="816"/>
      <c r="DK28" s="816"/>
      <c r="DL28" s="816"/>
      <c r="DM28" s="816"/>
      <c r="DN28" s="816"/>
      <c r="DO28" s="816"/>
      <c r="DP28" s="816"/>
      <c r="DQ28" s="816"/>
      <c r="DR28" s="816"/>
      <c r="DS28" s="816"/>
      <c r="DT28" s="816"/>
      <c r="DU28" s="816"/>
      <c r="DV28" s="816"/>
      <c r="DW28" s="816"/>
      <c r="DX28" s="816"/>
      <c r="DY28" s="816"/>
      <c r="DZ28" s="816"/>
      <c r="EA28" s="816"/>
      <c r="EB28" s="816"/>
      <c r="EC28" s="816"/>
      <c r="ED28" s="816"/>
      <c r="EE28" s="816"/>
      <c r="EF28" s="816"/>
      <c r="EG28" s="816"/>
      <c r="EH28" s="816"/>
      <c r="EI28" s="816"/>
      <c r="EJ28" s="816"/>
      <c r="EK28" s="816"/>
      <c r="EL28" s="816"/>
      <c r="EM28" s="816"/>
      <c r="EN28" s="816"/>
      <c r="EO28" s="816"/>
      <c r="EP28" s="816"/>
      <c r="EQ28" s="816"/>
      <c r="ER28" s="816"/>
      <c r="ES28" s="816"/>
      <c r="ET28" s="816"/>
      <c r="EU28" s="816"/>
      <c r="EV28" s="816"/>
      <c r="EW28" s="816"/>
      <c r="EX28" s="816"/>
      <c r="EY28" s="816"/>
      <c r="EZ28" s="816"/>
      <c r="FA28" s="816"/>
      <c r="FB28" s="816"/>
      <c r="FC28" s="816"/>
      <c r="FD28" s="816"/>
      <c r="FE28" s="816"/>
      <c r="FF28" s="816"/>
      <c r="FG28" s="816"/>
      <c r="FH28" s="1711"/>
      <c r="FM28" s="321"/>
    </row>
    <row r="29" spans="1:169" ht="21">
      <c r="A29" s="1744" t="s">
        <v>185</v>
      </c>
      <c r="B29" s="792">
        <v>467.73436215999999</v>
      </c>
      <c r="C29" s="792">
        <v>516.17114155000002</v>
      </c>
      <c r="D29" s="792">
        <v>530.50519874000008</v>
      </c>
      <c r="E29" s="792">
        <v>537.53987014000006</v>
      </c>
      <c r="F29" s="792">
        <v>548.54793453000002</v>
      </c>
      <c r="G29" s="792">
        <v>610.97083487999998</v>
      </c>
      <c r="H29" s="792">
        <v>625.78907225</v>
      </c>
      <c r="I29" s="792">
        <v>627.10025427999994</v>
      </c>
      <c r="J29" s="792">
        <v>633.87316783000006</v>
      </c>
      <c r="K29" s="792">
        <v>660.47138422</v>
      </c>
      <c r="L29" s="792">
        <v>673.95979130000001</v>
      </c>
      <c r="M29" s="781">
        <v>676.57906603999993</v>
      </c>
      <c r="N29" s="784">
        <v>675.51016306999998</v>
      </c>
      <c r="O29" s="784">
        <v>675.33543244999998</v>
      </c>
      <c r="P29" s="784">
        <v>682.66014953999991</v>
      </c>
      <c r="Q29" s="784">
        <v>689.11739110999997</v>
      </c>
      <c r="R29" s="784">
        <v>697.40190593999989</v>
      </c>
      <c r="S29" s="784">
        <v>703.20331094999995</v>
      </c>
      <c r="T29" s="784">
        <v>701.53503275000003</v>
      </c>
      <c r="U29" s="784">
        <v>723.39103341999999</v>
      </c>
      <c r="V29" s="784">
        <v>737.56482314999994</v>
      </c>
      <c r="W29" s="784">
        <v>746.17114191999997</v>
      </c>
      <c r="X29" s="784">
        <v>765.91176502999997</v>
      </c>
      <c r="Y29" s="781">
        <v>777.16983661000006</v>
      </c>
      <c r="Z29" s="784">
        <v>775.90631032999988</v>
      </c>
      <c r="AA29" s="784">
        <v>597.11065466999992</v>
      </c>
      <c r="AB29" s="781">
        <v>593.26743813000007</v>
      </c>
      <c r="AC29" s="781">
        <v>599.89570153999989</v>
      </c>
      <c r="AD29" s="781">
        <v>598.71643942999992</v>
      </c>
      <c r="AE29" s="781">
        <v>596.91162845000008</v>
      </c>
      <c r="AF29" s="781">
        <v>605.53100307000011</v>
      </c>
      <c r="AG29" s="781">
        <v>610.79257828999994</v>
      </c>
      <c r="AH29" s="781">
        <v>421.31810461000003</v>
      </c>
      <c r="AI29" s="781">
        <v>437.61303474000005</v>
      </c>
      <c r="AJ29" s="781">
        <v>446.00192661</v>
      </c>
      <c r="AK29" s="781">
        <v>441.47766429000001</v>
      </c>
      <c r="AL29" s="781">
        <v>399.33824117</v>
      </c>
      <c r="AM29" s="781">
        <v>396.28162980000002</v>
      </c>
      <c r="AN29" s="781">
        <v>391.49846817000002</v>
      </c>
      <c r="AO29" s="781">
        <v>394.85606650000005</v>
      </c>
      <c r="AP29" s="781">
        <v>387.28405995999998</v>
      </c>
      <c r="AQ29" s="781">
        <v>384.0325416</v>
      </c>
      <c r="AR29" s="781">
        <v>359.70602822999996</v>
      </c>
      <c r="AS29" s="781">
        <v>358.78660681999997</v>
      </c>
      <c r="AT29" s="781">
        <v>367.27118247999999</v>
      </c>
      <c r="AU29" s="781">
        <v>353.65341418999998</v>
      </c>
      <c r="AV29" s="781">
        <v>358.89897643</v>
      </c>
      <c r="AW29" s="781">
        <v>375.83390419999995</v>
      </c>
      <c r="AX29" s="781">
        <v>371.17521616999994</v>
      </c>
      <c r="AY29" s="781">
        <v>380.51189936999998</v>
      </c>
      <c r="AZ29" s="781">
        <v>377.10458410000001</v>
      </c>
      <c r="BA29" s="781">
        <v>380.14468773999994</v>
      </c>
      <c r="BB29" s="781">
        <v>379.60410772</v>
      </c>
      <c r="BC29" s="781">
        <v>373.73231764000002</v>
      </c>
      <c r="BD29" s="781">
        <v>368.70424564000001</v>
      </c>
      <c r="BE29" s="781">
        <v>360.46498948999999</v>
      </c>
      <c r="BF29" s="781">
        <v>358.36195450999998</v>
      </c>
      <c r="BG29" s="781">
        <v>343.13518020000004</v>
      </c>
      <c r="BH29" s="826">
        <v>339.64713410999997</v>
      </c>
      <c r="BI29" s="815">
        <v>315.16309311000003</v>
      </c>
      <c r="BJ29" s="815">
        <v>310.06302153000001</v>
      </c>
      <c r="BK29" s="815">
        <v>304.23102646999996</v>
      </c>
      <c r="BL29" s="815">
        <v>310.61602958999998</v>
      </c>
      <c r="BM29" s="815">
        <v>315.75553834999999</v>
      </c>
      <c r="BN29" s="815">
        <v>320.30207947000002</v>
      </c>
      <c r="BO29" s="815">
        <v>324.00356526000002</v>
      </c>
      <c r="BP29" s="815">
        <v>324.75342222</v>
      </c>
      <c r="BQ29" s="815">
        <v>325.03820807</v>
      </c>
      <c r="BR29" s="815">
        <v>318.95783713999998</v>
      </c>
      <c r="BS29" s="815">
        <v>320.33274187000001</v>
      </c>
      <c r="BT29" s="815">
        <v>324.62979702999996</v>
      </c>
      <c r="BU29" s="815">
        <v>331.32141845000001</v>
      </c>
      <c r="BV29" s="815">
        <v>332.92332324</v>
      </c>
      <c r="BW29" s="815">
        <v>335.12542841000004</v>
      </c>
      <c r="BX29" s="815">
        <v>333.88124506999998</v>
      </c>
      <c r="BY29" s="815">
        <v>332.73639701999997</v>
      </c>
      <c r="BZ29" s="815">
        <v>336.81459848000003</v>
      </c>
      <c r="CA29" s="815">
        <v>339.79659588999999</v>
      </c>
      <c r="CB29" s="815">
        <v>329.11798327000002</v>
      </c>
      <c r="CC29" s="815">
        <v>325.04683477999998</v>
      </c>
      <c r="CD29" s="815">
        <v>340.05843578999998</v>
      </c>
      <c r="CE29" s="815">
        <v>339.74357280000004</v>
      </c>
      <c r="CF29" s="815">
        <v>337.29550236</v>
      </c>
      <c r="CG29" s="815">
        <v>352.06313544000005</v>
      </c>
      <c r="CH29" s="815">
        <v>350.14855043</v>
      </c>
      <c r="CI29" s="815">
        <v>344.7317615</v>
      </c>
      <c r="CJ29" s="815">
        <v>343.49890994999998</v>
      </c>
      <c r="CK29" s="815">
        <v>391.84076505000002</v>
      </c>
      <c r="CL29" s="815">
        <v>385.93251005000002</v>
      </c>
      <c r="CM29" s="815">
        <v>375.19113476000001</v>
      </c>
      <c r="CN29" s="815">
        <v>371.41697058</v>
      </c>
      <c r="CO29" s="815">
        <v>371.57621143</v>
      </c>
      <c r="CP29" s="815">
        <v>373.33774472999994</v>
      </c>
      <c r="CQ29" s="815">
        <v>370.78507652999997</v>
      </c>
      <c r="CR29" s="815">
        <v>375.93190351999999</v>
      </c>
      <c r="CS29" s="815">
        <v>380.46437528999996</v>
      </c>
      <c r="CT29" s="815">
        <v>381.16451469999998</v>
      </c>
      <c r="CU29" s="815">
        <v>373.73848834</v>
      </c>
      <c r="CV29" s="815">
        <v>385.55945086999998</v>
      </c>
      <c r="CW29" s="815">
        <v>380.10754042999997</v>
      </c>
      <c r="CX29" s="815">
        <v>380.75789552999998</v>
      </c>
      <c r="CY29" s="815">
        <v>375.50066568</v>
      </c>
      <c r="CZ29" s="815">
        <v>370.57698205000003</v>
      </c>
      <c r="DA29" s="815">
        <v>372.69300666999999</v>
      </c>
      <c r="DB29" s="815">
        <v>376.47865787000001</v>
      </c>
      <c r="DC29" s="815">
        <v>385.39824612000001</v>
      </c>
      <c r="DD29" s="815">
        <v>379.37517837000001</v>
      </c>
      <c r="DE29" s="815">
        <v>396.55805622000003</v>
      </c>
      <c r="DF29" s="815">
        <v>399.54604916</v>
      </c>
      <c r="DG29" s="815">
        <v>398.31614757</v>
      </c>
      <c r="DH29" s="815">
        <v>403.46002456999997</v>
      </c>
      <c r="DI29" s="815">
        <v>404.16167594000001</v>
      </c>
      <c r="DJ29" s="815">
        <v>404.11252385</v>
      </c>
      <c r="DK29" s="815">
        <v>353.26052872999998</v>
      </c>
      <c r="DL29" s="815">
        <v>348.96991426</v>
      </c>
      <c r="DM29" s="815">
        <v>348.17991694</v>
      </c>
      <c r="DN29" s="815">
        <v>349.31207427999999</v>
      </c>
      <c r="DO29" s="815">
        <v>344.24813728999999</v>
      </c>
      <c r="DP29" s="815">
        <v>343.15456283999998</v>
      </c>
      <c r="DQ29" s="815">
        <v>337.43105435000001</v>
      </c>
      <c r="DR29" s="815">
        <v>322.88740724000002</v>
      </c>
      <c r="DS29" s="815">
        <v>322.19544274999998</v>
      </c>
      <c r="DT29" s="815">
        <v>314.36424069999998</v>
      </c>
      <c r="DU29" s="815">
        <v>304.47516762999999</v>
      </c>
      <c r="DV29" s="815">
        <v>303.53229370000003</v>
      </c>
      <c r="DW29" s="815">
        <v>307.71096191999999</v>
      </c>
      <c r="DX29" s="815">
        <v>310.16628373999998</v>
      </c>
      <c r="DY29" s="815">
        <v>314.65305949999998</v>
      </c>
      <c r="DZ29" s="815">
        <v>332.28584898999998</v>
      </c>
      <c r="EA29" s="815">
        <v>305.41169497999999</v>
      </c>
      <c r="EB29" s="815">
        <v>295.25765899999999</v>
      </c>
      <c r="EC29" s="815">
        <v>295.03773568999998</v>
      </c>
      <c r="ED29" s="815">
        <v>289.54423521000001</v>
      </c>
      <c r="EE29" s="815">
        <v>291.23587802999998</v>
      </c>
      <c r="EF29" s="815">
        <v>280.22667297999999</v>
      </c>
      <c r="EG29" s="815">
        <v>269.82753112</v>
      </c>
      <c r="EH29" s="815">
        <v>268.53696934999999</v>
      </c>
      <c r="EI29" s="815">
        <v>267.83297078999999</v>
      </c>
      <c r="EJ29" s="815">
        <v>265.05783831000002</v>
      </c>
      <c r="EK29" s="815">
        <v>293.55270208000002</v>
      </c>
      <c r="EL29" s="815">
        <v>293.06508724999998</v>
      </c>
      <c r="EM29" s="815">
        <v>302.78613901</v>
      </c>
      <c r="EN29" s="815">
        <v>302.68828738000002</v>
      </c>
      <c r="EO29" s="815">
        <v>298.63089054</v>
      </c>
      <c r="EP29" s="815">
        <v>290.28426587000001</v>
      </c>
      <c r="EQ29" s="815">
        <v>286.36806080000002</v>
      </c>
      <c r="ER29" s="815">
        <v>281.26598164000001</v>
      </c>
      <c r="ES29" s="815">
        <v>272.29041439000002</v>
      </c>
      <c r="ET29" s="815">
        <v>269.50282809999999</v>
      </c>
      <c r="EU29" s="815">
        <v>276.06327191999998</v>
      </c>
      <c r="EV29" s="815">
        <v>280.31551216999998</v>
      </c>
      <c r="EW29" s="815">
        <v>289.80391703999999</v>
      </c>
      <c r="EX29" s="815">
        <v>286.62207095000002</v>
      </c>
      <c r="EY29" s="815">
        <v>283.66738673999998</v>
      </c>
      <c r="EZ29" s="815">
        <v>283.5074358</v>
      </c>
      <c r="FA29" s="815">
        <v>286.86400997999999</v>
      </c>
      <c r="FB29" s="815">
        <v>285.61006135000002</v>
      </c>
      <c r="FC29" s="815">
        <v>278.43586941000001</v>
      </c>
      <c r="FD29" s="815">
        <v>287.45028603999998</v>
      </c>
      <c r="FE29" s="815">
        <v>282.23740594999998</v>
      </c>
      <c r="FF29" s="815">
        <v>279.56906378000002</v>
      </c>
      <c r="FG29" s="815">
        <v>270.00379205000002</v>
      </c>
      <c r="FH29" s="1714" t="s">
        <v>206</v>
      </c>
      <c r="FM29" s="321"/>
    </row>
    <row r="30" spans="1:169" ht="21">
      <c r="A30" s="1745" t="s">
        <v>1961</v>
      </c>
      <c r="B30" s="792">
        <v>2.4350116000000002</v>
      </c>
      <c r="C30" s="792">
        <v>2.4000490999999999</v>
      </c>
      <c r="D30" s="792">
        <v>2.3650866000000001</v>
      </c>
      <c r="E30" s="792">
        <v>2.3301240999999999</v>
      </c>
      <c r="F30" s="792">
        <v>2.2951616000000001</v>
      </c>
      <c r="G30" s="792">
        <v>2.2601990999999999</v>
      </c>
      <c r="H30" s="792">
        <v>2.2252366000000001</v>
      </c>
      <c r="I30" s="792">
        <v>2.1902740999999999</v>
      </c>
      <c r="J30" s="792">
        <v>2.1553116000000001</v>
      </c>
      <c r="K30" s="792">
        <v>2.1203490999999999</v>
      </c>
      <c r="L30" s="792">
        <v>2.1703491000000001</v>
      </c>
      <c r="M30" s="784">
        <v>2.12032854</v>
      </c>
      <c r="N30" s="784">
        <v>2.1118915400000002</v>
      </c>
      <c r="O30" s="784">
        <v>2.1118915400000002</v>
      </c>
      <c r="P30" s="784">
        <v>2.04589154</v>
      </c>
      <c r="Q30" s="784">
        <v>2.04589154</v>
      </c>
      <c r="R30" s="784">
        <v>2.04589154</v>
      </c>
      <c r="S30" s="784">
        <v>2.04589154</v>
      </c>
      <c r="T30" s="784">
        <v>2.04589154</v>
      </c>
      <c r="U30" s="784">
        <v>2.04589154</v>
      </c>
      <c r="V30" s="784">
        <v>2.04589154</v>
      </c>
      <c r="W30" s="784">
        <v>2.04589154</v>
      </c>
      <c r="X30" s="784">
        <v>2.04589154</v>
      </c>
      <c r="Y30" s="784">
        <v>2.0258915399999999</v>
      </c>
      <c r="Z30" s="784">
        <v>2.0258915399999999</v>
      </c>
      <c r="AA30" s="784">
        <v>1.952</v>
      </c>
      <c r="AB30" s="784">
        <v>1.9119999999999999</v>
      </c>
      <c r="AC30" s="784">
        <v>1.867</v>
      </c>
      <c r="AD30" s="784">
        <v>1.867</v>
      </c>
      <c r="AE30" s="784">
        <v>1.8120000000000001</v>
      </c>
      <c r="AF30" s="784">
        <v>1.8120000000000001</v>
      </c>
      <c r="AG30" s="784">
        <v>1.8120000000000001</v>
      </c>
      <c r="AH30" s="784">
        <v>1.8120000000000001</v>
      </c>
      <c r="AI30" s="784">
        <v>1.8120000000000001</v>
      </c>
      <c r="AJ30" s="784">
        <v>1.8120000000000001</v>
      </c>
      <c r="AK30" s="784">
        <v>1.8120000000000001</v>
      </c>
      <c r="AL30" s="784">
        <v>1.8120000000000001</v>
      </c>
      <c r="AM30" s="784">
        <v>1.512</v>
      </c>
      <c r="AN30" s="784">
        <v>1.49211001</v>
      </c>
      <c r="AO30" s="784">
        <v>1.3594380100000001</v>
      </c>
      <c r="AP30" s="784">
        <v>1.3294380100000001</v>
      </c>
      <c r="AQ30" s="784">
        <v>1.28772705</v>
      </c>
      <c r="AR30" s="784">
        <v>1.2599446699999999</v>
      </c>
      <c r="AS30" s="784">
        <v>1.23216229</v>
      </c>
      <c r="AT30" s="784">
        <v>1.2043799099999999</v>
      </c>
      <c r="AU30" s="784">
        <v>0.79559806999999994</v>
      </c>
      <c r="AV30" s="784">
        <v>0.76781568999999994</v>
      </c>
      <c r="AW30" s="784">
        <v>0.74003331000000006</v>
      </c>
      <c r="AX30" s="784">
        <v>0.71225093000000006</v>
      </c>
      <c r="AY30" s="784">
        <v>0.68446855000000006</v>
      </c>
      <c r="AZ30" s="784">
        <v>0.65668617000000007</v>
      </c>
      <c r="BA30" s="784">
        <v>0.62890379000000007</v>
      </c>
      <c r="BB30" s="784">
        <v>0.33201029999999998</v>
      </c>
      <c r="BC30" s="784">
        <v>0.33196376999999999</v>
      </c>
      <c r="BD30" s="784">
        <v>0.31225178999999997</v>
      </c>
      <c r="BE30" s="784">
        <v>0.29251167</v>
      </c>
      <c r="BF30" s="784">
        <v>0.27316576000000004</v>
      </c>
      <c r="BG30" s="784">
        <v>0.26532083000000001</v>
      </c>
      <c r="BH30" s="827">
        <v>0.25745569000000001</v>
      </c>
      <c r="BI30" s="816">
        <v>0.23711089000000002</v>
      </c>
      <c r="BJ30" s="816">
        <v>0.21676858999999998</v>
      </c>
      <c r="BK30" s="816">
        <v>0.19638897</v>
      </c>
      <c r="BL30" s="816">
        <v>0.17601037</v>
      </c>
      <c r="BM30" s="816">
        <v>0.15561701</v>
      </c>
      <c r="BN30" s="816">
        <v>0.13521554</v>
      </c>
      <c r="BO30" s="816">
        <v>0.10169458000000001</v>
      </c>
      <c r="BP30" s="816">
        <v>9.4379119999999997E-2</v>
      </c>
      <c r="BQ30" s="816">
        <v>7.3208999999999996E-2</v>
      </c>
      <c r="BR30" s="816">
        <v>5.3566000000000003E-2</v>
      </c>
      <c r="BS30" s="816">
        <v>3.3923000000000002E-2</v>
      </c>
      <c r="BT30" s="816">
        <v>0</v>
      </c>
      <c r="BU30" s="816">
        <v>0</v>
      </c>
      <c r="BV30" s="816">
        <v>0</v>
      </c>
      <c r="BW30" s="816">
        <v>0</v>
      </c>
      <c r="BX30" s="816">
        <v>0</v>
      </c>
      <c r="BY30" s="816">
        <v>0.2</v>
      </c>
      <c r="BZ30" s="816">
        <v>0.19939475000000001</v>
      </c>
      <c r="CA30" s="816">
        <v>0.19877891</v>
      </c>
      <c r="CB30" s="816">
        <v>0.19815229000000001</v>
      </c>
      <c r="CC30" s="816">
        <v>0.19751470999999998</v>
      </c>
      <c r="CD30" s="816">
        <v>0.19686595000000001</v>
      </c>
      <c r="CE30" s="816">
        <v>0.19620587</v>
      </c>
      <c r="CF30" s="816">
        <v>0.19535148000000002</v>
      </c>
      <c r="CG30" s="816">
        <v>0.19463659</v>
      </c>
      <c r="CH30" s="816">
        <v>0.19415546</v>
      </c>
      <c r="CI30" s="816">
        <v>0.19415546</v>
      </c>
      <c r="CJ30" s="816">
        <v>0.19327789000000001</v>
      </c>
      <c r="CK30" s="816">
        <v>0.19327789000000001</v>
      </c>
      <c r="CL30" s="816">
        <v>0.19327789000000001</v>
      </c>
      <c r="CM30" s="816">
        <v>0.19327789000000001</v>
      </c>
      <c r="CN30" s="816">
        <v>0.19327789000000001</v>
      </c>
      <c r="CO30" s="816">
        <v>0.19327789000000001</v>
      </c>
      <c r="CP30" s="816">
        <v>0.19217789000000002</v>
      </c>
      <c r="CQ30" s="816">
        <v>0.19217789000000002</v>
      </c>
      <c r="CR30" s="816">
        <v>0.19217789000000002</v>
      </c>
      <c r="CS30" s="816">
        <v>0.19217789000000002</v>
      </c>
      <c r="CT30" s="816">
        <v>0.30294104999999999</v>
      </c>
      <c r="CU30" s="816">
        <v>0.29747615999999999</v>
      </c>
      <c r="CV30" s="816">
        <v>0.29193525999999997</v>
      </c>
      <c r="CW30" s="816">
        <v>0.28628336999999998</v>
      </c>
      <c r="CX30" s="816">
        <v>0.28065668999999999</v>
      </c>
      <c r="CY30" s="816">
        <v>0.27501440999999999</v>
      </c>
      <c r="CZ30" s="816">
        <v>0.26930588999999999</v>
      </c>
      <c r="DA30" s="816">
        <v>7.1402289999999993E-2</v>
      </c>
      <c r="DB30" s="816">
        <v>0.76564319000000003</v>
      </c>
      <c r="DC30" s="816">
        <v>0.74433475999999998</v>
      </c>
      <c r="DD30" s="816">
        <v>0</v>
      </c>
      <c r="DE30" s="816">
        <v>0</v>
      </c>
      <c r="DF30" s="816">
        <v>0</v>
      </c>
      <c r="DG30" s="816">
        <v>0</v>
      </c>
      <c r="DH30" s="816">
        <v>1.5418479899999999</v>
      </c>
      <c r="DI30" s="816">
        <v>1.4001077399999999</v>
      </c>
      <c r="DJ30" s="816">
        <v>1.3901077399999999</v>
      </c>
      <c r="DK30" s="816">
        <v>1.3901077399999999</v>
      </c>
      <c r="DL30" s="816">
        <v>1.3901077399999999</v>
      </c>
      <c r="DM30" s="816">
        <v>1.38510774</v>
      </c>
      <c r="DN30" s="816">
        <v>1.38510774</v>
      </c>
      <c r="DO30" s="816">
        <v>1.3801077399999999</v>
      </c>
      <c r="DP30" s="816">
        <v>1.3801077399999999</v>
      </c>
      <c r="DQ30" s="816">
        <v>1.3801077399999999</v>
      </c>
      <c r="DR30" s="816">
        <v>1.3801077399999999</v>
      </c>
      <c r="DS30" s="816">
        <v>1.3801077399999999</v>
      </c>
      <c r="DT30" s="816">
        <v>1.3801077399999999</v>
      </c>
      <c r="DU30" s="816">
        <v>1.3801077399999999</v>
      </c>
      <c r="DV30" s="816">
        <v>1.3801077399999999</v>
      </c>
      <c r="DW30" s="816">
        <v>1.3801077399999999</v>
      </c>
      <c r="DX30" s="816">
        <v>1.4106077400000001</v>
      </c>
      <c r="DY30" s="816">
        <v>1.40997236</v>
      </c>
      <c r="DZ30" s="816">
        <v>1.40932692</v>
      </c>
      <c r="EA30" s="816">
        <v>1.7087021</v>
      </c>
      <c r="EB30" s="816">
        <v>1.7014801500000001</v>
      </c>
      <c r="EC30" s="816">
        <v>1.69394851</v>
      </c>
      <c r="ED30" s="816">
        <v>1.6864571100000001</v>
      </c>
      <c r="EE30" s="816">
        <v>1.40594492</v>
      </c>
      <c r="EF30" s="816">
        <v>1.4052357099999999</v>
      </c>
      <c r="EG30" s="816">
        <v>2.4420790000000001E-2</v>
      </c>
      <c r="EH30" s="816">
        <v>2.3676260000000001E-2</v>
      </c>
      <c r="EI30" s="816">
        <v>2.2932830000000001E-2</v>
      </c>
      <c r="EJ30" s="816">
        <v>2.2189739999999999E-2</v>
      </c>
      <c r="EK30" s="816">
        <v>2.1411070000000001E-2</v>
      </c>
      <c r="EL30" s="816">
        <v>2.065438E-2</v>
      </c>
      <c r="EM30" s="816">
        <v>1.9841310000000001E-2</v>
      </c>
      <c r="EN30" s="816">
        <v>1.9037160000000001E-2</v>
      </c>
      <c r="EO30" s="816">
        <v>1.824038E-2</v>
      </c>
      <c r="EP30" s="816">
        <v>1.7391630000000002E-2</v>
      </c>
      <c r="EQ30" s="816">
        <v>1.65487E-2</v>
      </c>
      <c r="ER30" s="816">
        <v>1.5692419999999999E-2</v>
      </c>
      <c r="ES30" s="816">
        <v>1.482258E-2</v>
      </c>
      <c r="ET30" s="816">
        <v>1.393897E-2</v>
      </c>
      <c r="EU30" s="816">
        <v>1.3056079999999999E-2</v>
      </c>
      <c r="EV30" s="816">
        <v>1.2130719999999999E-2</v>
      </c>
      <c r="EW30" s="816">
        <v>1.1204489999999999E-2</v>
      </c>
      <c r="EX30" s="816">
        <v>1.0269510000000001E-2</v>
      </c>
      <c r="EY30" s="816">
        <v>9.3083899999999997E-3</v>
      </c>
      <c r="EZ30" s="816">
        <v>8.3374699999999996E-3</v>
      </c>
      <c r="FA30" s="816">
        <v>7.3555799999999996E-3</v>
      </c>
      <c r="FB30" s="816">
        <v>6.3498599999999997E-3</v>
      </c>
      <c r="FC30" s="816">
        <v>5.3388000000000003E-3</v>
      </c>
      <c r="FD30" s="816">
        <v>4.3050299999999996E-3</v>
      </c>
      <c r="FE30" s="816">
        <v>3.2503499999999999E-3</v>
      </c>
      <c r="FF30" s="816">
        <v>2.1835100000000001E-3</v>
      </c>
      <c r="FG30" s="816">
        <v>0</v>
      </c>
      <c r="FH30" s="1716" t="s">
        <v>4067</v>
      </c>
      <c r="FM30" s="321"/>
    </row>
    <row r="31" spans="1:169" ht="21">
      <c r="A31" s="1745" t="s">
        <v>1962</v>
      </c>
      <c r="B31" s="791">
        <f>+B29-B30</f>
        <v>465.29935055999999</v>
      </c>
      <c r="C31" s="791">
        <f t="shared" ref="C31:R31" si="10">+C29-C30</f>
        <v>513.77109244999997</v>
      </c>
      <c r="D31" s="791">
        <f t="shared" si="10"/>
        <v>528.14011214000004</v>
      </c>
      <c r="E31" s="791">
        <f t="shared" si="10"/>
        <v>535.20974604000003</v>
      </c>
      <c r="F31" s="791">
        <f t="shared" si="10"/>
        <v>546.25277292999999</v>
      </c>
      <c r="G31" s="791">
        <f t="shared" si="10"/>
        <v>608.71063577999996</v>
      </c>
      <c r="H31" s="791">
        <f t="shared" si="10"/>
        <v>623.56383564999999</v>
      </c>
      <c r="I31" s="791">
        <f t="shared" si="10"/>
        <v>624.90998017999993</v>
      </c>
      <c r="J31" s="791">
        <f t="shared" si="10"/>
        <v>631.71785623000005</v>
      </c>
      <c r="K31" s="791">
        <f t="shared" si="10"/>
        <v>658.35103512000001</v>
      </c>
      <c r="L31" s="791">
        <f t="shared" si="10"/>
        <v>671.78944220000005</v>
      </c>
      <c r="M31" s="784">
        <f t="shared" si="10"/>
        <v>674.45873749999998</v>
      </c>
      <c r="N31" s="781">
        <f t="shared" si="10"/>
        <v>673.39827152999999</v>
      </c>
      <c r="O31" s="781">
        <f t="shared" si="10"/>
        <v>673.22354091</v>
      </c>
      <c r="P31" s="781">
        <f t="shared" si="10"/>
        <v>680.61425799999995</v>
      </c>
      <c r="Q31" s="781">
        <f t="shared" si="10"/>
        <v>687.07149957000001</v>
      </c>
      <c r="R31" s="781">
        <f t="shared" si="10"/>
        <v>695.35601439999994</v>
      </c>
      <c r="S31" s="781">
        <f>+S29-S30</f>
        <v>701.15741940999999</v>
      </c>
      <c r="T31" s="781">
        <f>+T29-T30</f>
        <v>699.48914121000007</v>
      </c>
      <c r="U31" s="781">
        <f>+U29-U30</f>
        <v>721.34514188000003</v>
      </c>
      <c r="V31" s="781">
        <f>+V29-V30</f>
        <v>735.51893160999998</v>
      </c>
      <c r="W31" s="781">
        <v>744.12525038000001</v>
      </c>
      <c r="X31" s="781">
        <v>763.86587349000001</v>
      </c>
      <c r="Y31" s="784">
        <v>775.14394507000009</v>
      </c>
      <c r="Z31" s="781">
        <v>773.88041878999991</v>
      </c>
      <c r="AA31" s="781">
        <v>595.15865466999992</v>
      </c>
      <c r="AB31" s="784">
        <v>591.35543813000004</v>
      </c>
      <c r="AC31" s="784">
        <v>598.02870153999993</v>
      </c>
      <c r="AD31" s="784">
        <v>596.84943942999996</v>
      </c>
      <c r="AE31" s="784">
        <v>595.09962845000007</v>
      </c>
      <c r="AF31" s="784">
        <v>603.7190030700001</v>
      </c>
      <c r="AG31" s="784">
        <v>608.98057828999993</v>
      </c>
      <c r="AH31" s="784">
        <f>+AH29-AH30</f>
        <v>419.50610461000002</v>
      </c>
      <c r="AI31" s="784">
        <v>435.80103474000003</v>
      </c>
      <c r="AJ31" s="784">
        <v>444.18992660999999</v>
      </c>
      <c r="AK31" s="784">
        <f>+AK29-AK30</f>
        <v>439.66566429</v>
      </c>
      <c r="AL31" s="784">
        <v>397.52624116999999</v>
      </c>
      <c r="AM31" s="784">
        <f>+AM29-AM30</f>
        <v>394.76962980000002</v>
      </c>
      <c r="AN31" s="784">
        <f>+AN29-AN30</f>
        <v>390.00635816000005</v>
      </c>
      <c r="AO31" s="784">
        <f>+AO29-AO30</f>
        <v>393.49662849000003</v>
      </c>
      <c r="AP31" s="784">
        <f>+AP29-AP30</f>
        <v>385.95462194999999</v>
      </c>
      <c r="AQ31" s="784">
        <v>382.74481455</v>
      </c>
      <c r="AR31" s="784">
        <v>358.44608355999998</v>
      </c>
      <c r="AS31" s="784">
        <f>+AS29-AS30</f>
        <v>357.55444452999996</v>
      </c>
      <c r="AT31" s="784">
        <f>+AT29-AT30</f>
        <v>366.06680256999999</v>
      </c>
      <c r="AU31" s="784">
        <v>352.85781612</v>
      </c>
      <c r="AV31" s="784">
        <v>358.13116073999998</v>
      </c>
      <c r="AW31" s="784">
        <v>375.09387088999995</v>
      </c>
      <c r="AX31" s="784">
        <v>370.46296523999996</v>
      </c>
      <c r="AY31" s="784">
        <v>379.82743081999996</v>
      </c>
      <c r="AZ31" s="784">
        <v>376.44789793000001</v>
      </c>
      <c r="BA31" s="784">
        <v>379.51578394999996</v>
      </c>
      <c r="BB31" s="784">
        <v>379.27209742000002</v>
      </c>
      <c r="BC31" s="784">
        <v>373.40035387</v>
      </c>
      <c r="BD31" s="784">
        <f>+BD29-BD30</f>
        <v>368.39199385000001</v>
      </c>
      <c r="BE31" s="784">
        <v>360.17247781999998</v>
      </c>
      <c r="BF31" s="784">
        <v>358.08878874999999</v>
      </c>
      <c r="BG31" s="784">
        <v>342.86985937000003</v>
      </c>
      <c r="BH31" s="827">
        <v>339.38967842</v>
      </c>
      <c r="BI31" s="816">
        <v>314.92598222000004</v>
      </c>
      <c r="BJ31" s="816">
        <v>309.84625294</v>
      </c>
      <c r="BK31" s="816">
        <v>304.03463749999997</v>
      </c>
      <c r="BL31" s="816">
        <v>310.44001922000001</v>
      </c>
      <c r="BM31" s="816">
        <v>315.59992133999998</v>
      </c>
      <c r="BN31" s="816">
        <v>320.16686393000003</v>
      </c>
      <c r="BO31" s="816">
        <v>323.90187068</v>
      </c>
      <c r="BP31" s="816">
        <v>324.65904310000002</v>
      </c>
      <c r="BQ31" s="816">
        <v>324.96499906999998</v>
      </c>
      <c r="BR31" s="816">
        <v>318.90427113999999</v>
      </c>
      <c r="BS31" s="816">
        <v>320.29881886999999</v>
      </c>
      <c r="BT31" s="816">
        <v>324.62979702999996</v>
      </c>
      <c r="BU31" s="816">
        <v>331.32141845000001</v>
      </c>
      <c r="BV31" s="816">
        <v>332.92332324</v>
      </c>
      <c r="BW31" s="816">
        <v>335.12542841000004</v>
      </c>
      <c r="BX31" s="816">
        <v>333.88124506999998</v>
      </c>
      <c r="BY31" s="816">
        <v>332.53639701999998</v>
      </c>
      <c r="BZ31" s="816">
        <v>336.61520373000002</v>
      </c>
      <c r="CA31" s="816">
        <v>339.59781698</v>
      </c>
      <c r="CB31" s="816">
        <v>328.91983098000003</v>
      </c>
      <c r="CC31" s="816">
        <v>324.84932006999998</v>
      </c>
      <c r="CD31" s="816">
        <v>339.86156983999996</v>
      </c>
      <c r="CE31" s="816">
        <f t="shared" ref="CE31:CP31" si="11">+CE29-CE30</f>
        <v>339.54736693000007</v>
      </c>
      <c r="CF31" s="816">
        <f t="shared" si="11"/>
        <v>337.10015088</v>
      </c>
      <c r="CG31" s="816">
        <f t="shared" si="11"/>
        <v>351.86849885000004</v>
      </c>
      <c r="CH31" s="816">
        <f t="shared" si="11"/>
        <v>349.95439497000001</v>
      </c>
      <c r="CI31" s="816">
        <f t="shared" si="11"/>
        <v>344.53760604000001</v>
      </c>
      <c r="CJ31" s="816">
        <f t="shared" si="11"/>
        <v>343.30563205999999</v>
      </c>
      <c r="CK31" s="816">
        <f t="shared" si="11"/>
        <v>391.64748716000003</v>
      </c>
      <c r="CL31" s="816">
        <f t="shared" si="11"/>
        <v>385.73923216000003</v>
      </c>
      <c r="CM31" s="816">
        <f t="shared" si="11"/>
        <v>374.99785687000002</v>
      </c>
      <c r="CN31" s="816">
        <f t="shared" si="11"/>
        <v>371.22369269000001</v>
      </c>
      <c r="CO31" s="816">
        <f t="shared" si="11"/>
        <v>371.38293354000001</v>
      </c>
      <c r="CP31" s="816">
        <f t="shared" si="11"/>
        <v>373.14556683999996</v>
      </c>
      <c r="CQ31" s="816">
        <f>+CQ29-CQ30</f>
        <v>370.59289863999999</v>
      </c>
      <c r="CR31" s="816">
        <f>+CR29-CR30</f>
        <v>375.73972563000001</v>
      </c>
      <c r="CS31" s="816">
        <f>+CS29-CS30</f>
        <v>380.27219739999998</v>
      </c>
      <c r="CT31" s="816">
        <v>380.86157365000003</v>
      </c>
      <c r="CU31" s="816">
        <v>373.44101217999997</v>
      </c>
      <c r="CV31" s="816">
        <v>385.26751560999998</v>
      </c>
      <c r="CW31" s="816">
        <v>379.82125705999999</v>
      </c>
      <c r="CX31" s="816">
        <v>380.47723883999998</v>
      </c>
      <c r="CY31" s="816">
        <v>375.22565127000001</v>
      </c>
      <c r="CZ31" s="816">
        <v>370.30767616000003</v>
      </c>
      <c r="DA31" s="816">
        <v>372.62160438000001</v>
      </c>
      <c r="DB31" s="816">
        <v>375.71301468000001</v>
      </c>
      <c r="DC31" s="816">
        <v>384.65391136</v>
      </c>
      <c r="DD31" s="816">
        <v>379.37517837000001</v>
      </c>
      <c r="DE31" s="816">
        <v>396.55805622000003</v>
      </c>
      <c r="DF31" s="816">
        <v>399.54604916</v>
      </c>
      <c r="DG31" s="816">
        <v>398.31614757</v>
      </c>
      <c r="DH31" s="816">
        <v>401.91817658000002</v>
      </c>
      <c r="DI31" s="816">
        <v>402.7615682</v>
      </c>
      <c r="DJ31" s="816">
        <v>402.72241610999998</v>
      </c>
      <c r="DK31" s="816">
        <v>351.87042099000001</v>
      </c>
      <c r="DL31" s="816">
        <v>347.57980651999998</v>
      </c>
      <c r="DM31" s="816">
        <v>346.79480919999997</v>
      </c>
      <c r="DN31" s="816">
        <v>347.92696654000002</v>
      </c>
      <c r="DO31" s="816">
        <v>342.86802955000002</v>
      </c>
      <c r="DP31" s="816">
        <v>341.77445510000001</v>
      </c>
      <c r="DQ31" s="816">
        <v>336.05094660999998</v>
      </c>
      <c r="DR31" s="816">
        <v>321.50729949999999</v>
      </c>
      <c r="DS31" s="816">
        <v>320.81533501000001</v>
      </c>
      <c r="DT31" s="816">
        <v>312.98413296000001</v>
      </c>
      <c r="DU31" s="816">
        <v>303.09505989000002</v>
      </c>
      <c r="DV31" s="816">
        <v>302.15218596</v>
      </c>
      <c r="DW31" s="816">
        <v>306.33085418000002</v>
      </c>
      <c r="DX31" s="816">
        <v>308.75567599999999</v>
      </c>
      <c r="DY31" s="816">
        <v>313.24308714</v>
      </c>
      <c r="DZ31" s="816">
        <v>330.87652207000002</v>
      </c>
      <c r="EA31" s="816">
        <v>303.70299288000001</v>
      </c>
      <c r="EB31" s="816">
        <v>293.55617884999998</v>
      </c>
      <c r="EC31" s="816">
        <v>293.34378717999999</v>
      </c>
      <c r="ED31" s="816">
        <v>287.85777810000002</v>
      </c>
      <c r="EE31" s="816">
        <v>289.82993311000001</v>
      </c>
      <c r="EF31" s="816">
        <v>278.82143726999999</v>
      </c>
      <c r="EG31" s="816">
        <v>269.80311032999998</v>
      </c>
      <c r="EH31" s="816">
        <v>268.51329308999999</v>
      </c>
      <c r="EI31" s="816">
        <v>267.81003795999999</v>
      </c>
      <c r="EJ31" s="816">
        <v>265.03564856999998</v>
      </c>
      <c r="EK31" s="816">
        <v>293.53129101000002</v>
      </c>
      <c r="EL31" s="816">
        <v>293.04443286999998</v>
      </c>
      <c r="EM31" s="816">
        <v>302.7662977</v>
      </c>
      <c r="EN31" s="816">
        <v>302.66925021999998</v>
      </c>
      <c r="EO31" s="816">
        <v>298.61265015999999</v>
      </c>
      <c r="EP31" s="816">
        <v>290.26687423999999</v>
      </c>
      <c r="EQ31" s="816">
        <v>286.35151209999998</v>
      </c>
      <c r="ER31" s="816">
        <v>281.25028922000001</v>
      </c>
      <c r="ES31" s="816">
        <v>272.27559180999998</v>
      </c>
      <c r="ET31" s="816">
        <v>269.48888913000002</v>
      </c>
      <c r="EU31" s="816">
        <v>276.05021584000002</v>
      </c>
      <c r="EV31" s="816">
        <v>280.30338145000002</v>
      </c>
      <c r="EW31" s="816">
        <v>289.79271254999998</v>
      </c>
      <c r="EX31" s="816">
        <v>286.61180144000002</v>
      </c>
      <c r="EY31" s="816">
        <v>283.65807834999998</v>
      </c>
      <c r="EZ31" s="816">
        <v>283.49909832999998</v>
      </c>
      <c r="FA31" s="816">
        <v>286.85665440000002</v>
      </c>
      <c r="FB31" s="816">
        <v>285.60371149000002</v>
      </c>
      <c r="FC31" s="816">
        <v>278.43053061000001</v>
      </c>
      <c r="FD31" s="816">
        <v>287.44598101000003</v>
      </c>
      <c r="FE31" s="816">
        <v>282.23415560000001</v>
      </c>
      <c r="FF31" s="816">
        <v>279.56688027000001</v>
      </c>
      <c r="FG31" s="816">
        <v>270.00379205000002</v>
      </c>
      <c r="FH31" s="1716" t="s">
        <v>4066</v>
      </c>
      <c r="FM31" s="321"/>
    </row>
    <row r="32" spans="1:169" ht="21">
      <c r="A32" s="1746"/>
      <c r="B32" s="792"/>
      <c r="C32" s="792"/>
      <c r="D32" s="792"/>
      <c r="E32" s="792"/>
      <c r="F32" s="792"/>
      <c r="G32" s="792"/>
      <c r="H32" s="792"/>
      <c r="I32" s="792"/>
      <c r="J32" s="792"/>
      <c r="K32" s="792"/>
      <c r="L32" s="792"/>
      <c r="M32" s="784"/>
      <c r="N32" s="784"/>
      <c r="O32" s="784"/>
      <c r="P32" s="784"/>
      <c r="Q32" s="784"/>
      <c r="R32" s="784"/>
      <c r="S32" s="784"/>
      <c r="T32" s="784"/>
      <c r="U32" s="784"/>
      <c r="V32" s="784"/>
      <c r="W32" s="784"/>
      <c r="X32" s="784"/>
      <c r="Y32" s="784"/>
      <c r="Z32" s="784"/>
      <c r="AA32" s="784"/>
      <c r="AB32" s="784"/>
      <c r="AC32" s="784"/>
      <c r="AD32" s="784"/>
      <c r="AE32" s="784"/>
      <c r="AF32" s="784"/>
      <c r="AG32" s="784"/>
      <c r="AH32" s="784"/>
      <c r="AI32" s="784"/>
      <c r="AJ32" s="784"/>
      <c r="AK32" s="784"/>
      <c r="AL32" s="784"/>
      <c r="AM32" s="784"/>
      <c r="AN32" s="784"/>
      <c r="AO32" s="784"/>
      <c r="AP32" s="784"/>
      <c r="AQ32" s="784"/>
      <c r="AR32" s="784"/>
      <c r="AS32" s="784"/>
      <c r="AT32" s="784"/>
      <c r="AU32" s="784"/>
      <c r="AV32" s="784"/>
      <c r="AW32" s="784"/>
      <c r="AX32" s="784"/>
      <c r="AY32" s="784"/>
      <c r="AZ32" s="784"/>
      <c r="BA32" s="784"/>
      <c r="BB32" s="784"/>
      <c r="BC32" s="784"/>
      <c r="BD32" s="784"/>
      <c r="BE32" s="784"/>
      <c r="BF32" s="784"/>
      <c r="BG32" s="784"/>
      <c r="BH32" s="827"/>
      <c r="BI32" s="816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6"/>
      <c r="CN32" s="816"/>
      <c r="CO32" s="816"/>
      <c r="CP32" s="816"/>
      <c r="CQ32" s="816"/>
      <c r="CR32" s="816"/>
      <c r="CS32" s="816"/>
      <c r="CT32" s="816"/>
      <c r="CU32" s="816"/>
      <c r="CV32" s="816"/>
      <c r="CW32" s="816"/>
      <c r="CX32" s="816"/>
      <c r="CY32" s="816"/>
      <c r="CZ32" s="816"/>
      <c r="DA32" s="816"/>
      <c r="DB32" s="816"/>
      <c r="DC32" s="816"/>
      <c r="DD32" s="816"/>
      <c r="DE32" s="816"/>
      <c r="DF32" s="816"/>
      <c r="DG32" s="816"/>
      <c r="DH32" s="816"/>
      <c r="DI32" s="816"/>
      <c r="DJ32" s="816"/>
      <c r="DK32" s="816"/>
      <c r="DL32" s="816"/>
      <c r="DM32" s="816"/>
      <c r="DN32" s="816"/>
      <c r="DO32" s="816"/>
      <c r="DP32" s="816"/>
      <c r="DQ32" s="816"/>
      <c r="DR32" s="816"/>
      <c r="DS32" s="816"/>
      <c r="DT32" s="816"/>
      <c r="DU32" s="816"/>
      <c r="DV32" s="816"/>
      <c r="DW32" s="816"/>
      <c r="DX32" s="816"/>
      <c r="DY32" s="816"/>
      <c r="DZ32" s="816"/>
      <c r="EA32" s="816"/>
      <c r="EB32" s="816"/>
      <c r="EC32" s="816"/>
      <c r="ED32" s="816"/>
      <c r="EE32" s="816"/>
      <c r="EF32" s="816"/>
      <c r="EG32" s="816"/>
      <c r="EH32" s="816"/>
      <c r="EI32" s="816"/>
      <c r="EJ32" s="816"/>
      <c r="EK32" s="816"/>
      <c r="EL32" s="816"/>
      <c r="EM32" s="816"/>
      <c r="EN32" s="816"/>
      <c r="EO32" s="816"/>
      <c r="EP32" s="816"/>
      <c r="EQ32" s="816"/>
      <c r="ER32" s="816"/>
      <c r="ES32" s="816"/>
      <c r="ET32" s="816"/>
      <c r="EU32" s="816"/>
      <c r="EV32" s="816"/>
      <c r="EW32" s="816"/>
      <c r="EX32" s="816"/>
      <c r="EY32" s="816"/>
      <c r="EZ32" s="816"/>
      <c r="FA32" s="816"/>
      <c r="FB32" s="816"/>
      <c r="FC32" s="816"/>
      <c r="FD32" s="816"/>
      <c r="FE32" s="816"/>
      <c r="FF32" s="816"/>
      <c r="FG32" s="816"/>
      <c r="FH32" s="1715"/>
      <c r="FM32" s="321"/>
    </row>
    <row r="33" spans="1:169" ht="21">
      <c r="A33" s="1744" t="s">
        <v>2742</v>
      </c>
      <c r="B33" s="791">
        <v>45.2952984</v>
      </c>
      <c r="C33" s="791">
        <v>42.270740799999999</v>
      </c>
      <c r="D33" s="791">
        <v>40.844188789999997</v>
      </c>
      <c r="E33" s="791">
        <v>40.367234509999996</v>
      </c>
      <c r="F33" s="791">
        <v>39.513371859999999</v>
      </c>
      <c r="G33" s="791">
        <v>39.48626522</v>
      </c>
      <c r="H33" s="791">
        <v>42.049715710000001</v>
      </c>
      <c r="I33" s="791">
        <v>44.476332879999994</v>
      </c>
      <c r="J33" s="791">
        <v>47.717723390000003</v>
      </c>
      <c r="K33" s="791">
        <v>49.65040363</v>
      </c>
      <c r="L33" s="791">
        <v>46.868320730000001</v>
      </c>
      <c r="M33" s="781">
        <v>46.150121869999992</v>
      </c>
      <c r="N33" s="781">
        <v>45.650042910000003</v>
      </c>
      <c r="O33" s="781">
        <v>44.962995220000003</v>
      </c>
      <c r="P33" s="781">
        <v>45.031478120000003</v>
      </c>
      <c r="Q33" s="781">
        <v>45.441015839999999</v>
      </c>
      <c r="R33" s="781">
        <v>45.186410649999999</v>
      </c>
      <c r="S33" s="781">
        <v>43.445150720000008</v>
      </c>
      <c r="T33" s="781">
        <v>44.16243017</v>
      </c>
      <c r="U33" s="781">
        <v>46.291841479999995</v>
      </c>
      <c r="V33" s="781">
        <v>48.679948459999999</v>
      </c>
      <c r="W33" s="781">
        <v>50.874532710000004</v>
      </c>
      <c r="X33" s="781">
        <v>52.14457737</v>
      </c>
      <c r="Y33" s="781">
        <v>52.020540079999996</v>
      </c>
      <c r="Z33" s="781">
        <v>50.515632839999995</v>
      </c>
      <c r="AA33" s="781">
        <v>287.99205193</v>
      </c>
      <c r="AB33" s="781">
        <v>287.65551739</v>
      </c>
      <c r="AC33" s="781">
        <v>287.70372002999994</v>
      </c>
      <c r="AD33" s="781">
        <v>287.07644017999996</v>
      </c>
      <c r="AE33" s="781">
        <v>292.45493582</v>
      </c>
      <c r="AF33" s="781">
        <v>293.01351210000001</v>
      </c>
      <c r="AG33" s="781">
        <v>289.48161527000002</v>
      </c>
      <c r="AH33" s="781">
        <v>278.66148109</v>
      </c>
      <c r="AI33" s="781">
        <v>178.47294192000001</v>
      </c>
      <c r="AJ33" s="781">
        <v>133.44865913999999</v>
      </c>
      <c r="AK33" s="781">
        <v>36.684359470000004</v>
      </c>
      <c r="AL33" s="781">
        <v>23.618166930000001</v>
      </c>
      <c r="AM33" s="781">
        <v>22.788629239999999</v>
      </c>
      <c r="AN33" s="781">
        <v>22.883619100000001</v>
      </c>
      <c r="AO33" s="781">
        <v>19.06680785</v>
      </c>
      <c r="AP33" s="781">
        <v>18.602693410000001</v>
      </c>
      <c r="AQ33" s="781">
        <v>18.811157269999999</v>
      </c>
      <c r="AR33" s="781">
        <v>19.519437149999998</v>
      </c>
      <c r="AS33" s="781">
        <v>19.887781480000001</v>
      </c>
      <c r="AT33" s="781">
        <f>AT25-AT29</f>
        <v>19.837792340000021</v>
      </c>
      <c r="AU33" s="781">
        <v>18.916989030000025</v>
      </c>
      <c r="AV33" s="781">
        <v>19.757963430000018</v>
      </c>
      <c r="AW33" s="781">
        <v>19.827696689999982</v>
      </c>
      <c r="AX33" s="781">
        <v>20.978709009999989</v>
      </c>
      <c r="AY33" s="781">
        <v>18.831519640000003</v>
      </c>
      <c r="AZ33" s="781">
        <v>25.294788409999999</v>
      </c>
      <c r="BA33" s="781">
        <v>25.225453769999998</v>
      </c>
      <c r="BB33" s="781">
        <v>17.50223003</v>
      </c>
      <c r="BC33" s="781">
        <v>22.491211479999997</v>
      </c>
      <c r="BD33" s="781">
        <v>44.009632759999995</v>
      </c>
      <c r="BE33" s="781">
        <v>63.271064439999996</v>
      </c>
      <c r="BF33" s="781">
        <v>62.983599930000025</v>
      </c>
      <c r="BG33" s="781">
        <v>62.34244640999998</v>
      </c>
      <c r="BH33" s="826">
        <v>64.092049860000031</v>
      </c>
      <c r="BI33" s="815">
        <v>66.728372539999953</v>
      </c>
      <c r="BJ33" s="815">
        <v>67.663736139999969</v>
      </c>
      <c r="BK33" s="815">
        <v>67.413882960000024</v>
      </c>
      <c r="BL33" s="815">
        <v>74.66923644000002</v>
      </c>
      <c r="BM33" s="815">
        <v>78.76142243999999</v>
      </c>
      <c r="BN33" s="815">
        <v>76.833521630000007</v>
      </c>
      <c r="BO33" s="815">
        <v>79.715617460000033</v>
      </c>
      <c r="BP33" s="815">
        <v>84.961540950000028</v>
      </c>
      <c r="BQ33" s="815">
        <v>82.295699509999963</v>
      </c>
      <c r="BR33" s="815">
        <v>86.529778340000007</v>
      </c>
      <c r="BS33" s="815">
        <v>83.791933669999992</v>
      </c>
      <c r="BT33" s="815">
        <v>81.017402489999995</v>
      </c>
      <c r="BU33" s="815">
        <v>74.314803069999982</v>
      </c>
      <c r="BV33" s="815">
        <v>73.933994799999994</v>
      </c>
      <c r="BW33" s="815">
        <v>70.175959239999997</v>
      </c>
      <c r="BX33" s="815">
        <v>81.190277809999998</v>
      </c>
      <c r="BY33" s="815">
        <v>87.162390870000024</v>
      </c>
      <c r="BZ33" s="815">
        <v>100.99485307999998</v>
      </c>
      <c r="CA33" s="815">
        <v>101.38670948999999</v>
      </c>
      <c r="CB33" s="815">
        <v>104.00961403000002</v>
      </c>
      <c r="CC33" s="815">
        <v>114.91751281000001</v>
      </c>
      <c r="CD33" s="815">
        <v>111.50047247000001</v>
      </c>
      <c r="CE33" s="815">
        <v>111.14541869</v>
      </c>
      <c r="CF33" s="815">
        <v>113.36853607</v>
      </c>
      <c r="CG33" s="815">
        <v>116.44862553</v>
      </c>
      <c r="CH33" s="815">
        <v>116.42728821</v>
      </c>
      <c r="CI33" s="815">
        <v>115.32051994</v>
      </c>
      <c r="CJ33" s="815">
        <v>114.61156936</v>
      </c>
      <c r="CK33" s="815">
        <v>119.07092395999999</v>
      </c>
      <c r="CL33" s="815">
        <v>118.61027473999999</v>
      </c>
      <c r="CM33" s="815">
        <v>124.23247505000001</v>
      </c>
      <c r="CN33" s="815">
        <v>126.13793170999999</v>
      </c>
      <c r="CO33" s="815">
        <v>126.31152204</v>
      </c>
      <c r="CP33" s="815">
        <v>124.92556203000001</v>
      </c>
      <c r="CQ33" s="815">
        <v>116.23334484</v>
      </c>
      <c r="CR33" s="815">
        <v>115.33939936</v>
      </c>
      <c r="CS33" s="815">
        <v>114.28141114000002</v>
      </c>
      <c r="CT33" s="815">
        <v>119.212879</v>
      </c>
      <c r="CU33" s="815">
        <v>121.08834236</v>
      </c>
      <c r="CV33" s="815">
        <v>120.1076231</v>
      </c>
      <c r="CW33" s="815">
        <v>119.19678483</v>
      </c>
      <c r="CX33" s="815">
        <v>122.20176729000001</v>
      </c>
      <c r="CY33" s="815">
        <v>129.63916323000001</v>
      </c>
      <c r="CZ33" s="815">
        <v>130.83754224</v>
      </c>
      <c r="DA33" s="815">
        <v>137.28143227000001</v>
      </c>
      <c r="DB33" s="815">
        <v>138.47932795</v>
      </c>
      <c r="DC33" s="815">
        <v>128.18399922</v>
      </c>
      <c r="DD33" s="815">
        <v>133.15363715000001</v>
      </c>
      <c r="DE33" s="815">
        <v>131.73284201999999</v>
      </c>
      <c r="DF33" s="815">
        <v>130.51121415</v>
      </c>
      <c r="DG33" s="815">
        <v>129.48610730999999</v>
      </c>
      <c r="DH33" s="815">
        <v>133.18379847</v>
      </c>
      <c r="DI33" s="815">
        <v>132.41542691000001</v>
      </c>
      <c r="DJ33" s="815">
        <v>132.05701733000001</v>
      </c>
      <c r="DK33" s="815">
        <v>131.34732785</v>
      </c>
      <c r="DL33" s="815">
        <v>133.62661360999999</v>
      </c>
      <c r="DM33" s="815">
        <v>134.46855941000001</v>
      </c>
      <c r="DN33" s="815">
        <v>133.24438394000001</v>
      </c>
      <c r="DO33" s="815">
        <v>136.19251575000001</v>
      </c>
      <c r="DP33" s="815">
        <v>134.79738051000001</v>
      </c>
      <c r="DQ33" s="815">
        <v>127.42200758</v>
      </c>
      <c r="DR33" s="815">
        <v>128.67074615000001</v>
      </c>
      <c r="DS33" s="815">
        <v>127.9746281</v>
      </c>
      <c r="DT33" s="815">
        <v>125.96693002000001</v>
      </c>
      <c r="DU33" s="815">
        <v>123.40122076</v>
      </c>
      <c r="DV33" s="815">
        <v>113.80096571</v>
      </c>
      <c r="DW33" s="815">
        <v>113.20032242000001</v>
      </c>
      <c r="DX33" s="815">
        <v>120.31566110999999</v>
      </c>
      <c r="DY33" s="815">
        <v>120.34214068</v>
      </c>
      <c r="DZ33" s="815">
        <v>120.46825764</v>
      </c>
      <c r="EA33" s="815">
        <v>119.11155838000001</v>
      </c>
      <c r="EB33" s="815">
        <v>130.94084530000001</v>
      </c>
      <c r="EC33" s="815">
        <v>132.81043206000001</v>
      </c>
      <c r="ED33" s="815">
        <v>130.04792014</v>
      </c>
      <c r="EE33" s="815">
        <v>128.65907612000001</v>
      </c>
      <c r="EF33" s="815">
        <v>126.18188874000001</v>
      </c>
      <c r="EG33" s="815">
        <v>115.21071254</v>
      </c>
      <c r="EH33" s="815">
        <v>110.79117739</v>
      </c>
      <c r="EI33" s="815">
        <v>109.61970835</v>
      </c>
      <c r="EJ33" s="815">
        <v>103.77830178000001</v>
      </c>
      <c r="EK33" s="815">
        <v>107.50865054</v>
      </c>
      <c r="EL33" s="815">
        <v>107.65510295999999</v>
      </c>
      <c r="EM33" s="815">
        <v>102.63364335</v>
      </c>
      <c r="EN33" s="815">
        <v>100.02996016</v>
      </c>
      <c r="EO33" s="815">
        <v>107.12465087</v>
      </c>
      <c r="EP33" s="815">
        <v>104.19807109</v>
      </c>
      <c r="EQ33" s="815">
        <v>101.34690509000001</v>
      </c>
      <c r="ER33" s="815">
        <v>99.677955819999994</v>
      </c>
      <c r="ES33" s="815">
        <v>93.750705440000004</v>
      </c>
      <c r="ET33" s="815">
        <v>91.865953779999998</v>
      </c>
      <c r="EU33" s="815">
        <v>91.045723850000002</v>
      </c>
      <c r="EV33" s="815">
        <v>91.194811180000002</v>
      </c>
      <c r="EW33" s="815">
        <v>80.229027310000006</v>
      </c>
      <c r="EX33" s="815">
        <v>78.001746710000006</v>
      </c>
      <c r="EY33" s="815">
        <v>85.202008359999994</v>
      </c>
      <c r="EZ33" s="815">
        <v>83.784982170000006</v>
      </c>
      <c r="FA33" s="815">
        <v>84.543941000000004</v>
      </c>
      <c r="FB33" s="815">
        <v>81.831220380000005</v>
      </c>
      <c r="FC33" s="815">
        <v>79.986838840000004</v>
      </c>
      <c r="FD33" s="815">
        <v>76.853309049999993</v>
      </c>
      <c r="FE33" s="815">
        <v>74.792701739999998</v>
      </c>
      <c r="FF33" s="815">
        <v>73.68075949</v>
      </c>
      <c r="FG33" s="815">
        <v>72.068610750000005</v>
      </c>
      <c r="FH33" s="1714" t="s">
        <v>4068</v>
      </c>
      <c r="FM33" s="321"/>
    </row>
    <row r="34" spans="1:169" ht="21">
      <c r="A34" s="1745" t="s">
        <v>1961</v>
      </c>
      <c r="B34" s="792">
        <v>0</v>
      </c>
      <c r="C34" s="792">
        <v>0</v>
      </c>
      <c r="D34" s="792">
        <v>0</v>
      </c>
      <c r="E34" s="792">
        <v>0</v>
      </c>
      <c r="F34" s="792">
        <v>0</v>
      </c>
      <c r="G34" s="792">
        <v>0</v>
      </c>
      <c r="H34" s="792">
        <v>2.4876494999999998</v>
      </c>
      <c r="I34" s="792">
        <v>2.4873324000000001</v>
      </c>
      <c r="J34" s="792">
        <v>2.4876494999999998</v>
      </c>
      <c r="K34" s="792">
        <v>2.4876494999999998</v>
      </c>
      <c r="L34" s="792">
        <v>2.4873324000000001</v>
      </c>
      <c r="M34" s="784">
        <v>2.4876494999999998</v>
      </c>
      <c r="N34" s="784">
        <v>2.4866982000000002</v>
      </c>
      <c r="O34" s="784">
        <v>2.4873324000000001</v>
      </c>
      <c r="P34" s="784">
        <v>2.4870152999999999</v>
      </c>
      <c r="Q34" s="784">
        <v>2.4870152999999999</v>
      </c>
      <c r="R34" s="784">
        <v>2.4873324000000001</v>
      </c>
      <c r="S34" s="784">
        <v>2.4870152999999999</v>
      </c>
      <c r="T34" s="784">
        <v>2.4866982000000002</v>
      </c>
      <c r="U34" s="784">
        <v>2.4873324000000001</v>
      </c>
      <c r="V34" s="784">
        <v>2.4873324000000001</v>
      </c>
      <c r="W34" s="784">
        <v>2.4873324000000001</v>
      </c>
      <c r="X34" s="784">
        <v>2.4873324000000001</v>
      </c>
      <c r="Y34" s="784">
        <v>2.4873324000000001</v>
      </c>
      <c r="Z34" s="784">
        <v>2.4873324000000001</v>
      </c>
      <c r="AA34" s="784">
        <v>3.3289157999999999</v>
      </c>
      <c r="AB34" s="784">
        <v>3.3247935000000002</v>
      </c>
      <c r="AC34" s="784">
        <v>3.3254277000000001</v>
      </c>
      <c r="AD34" s="784">
        <v>3.3276474</v>
      </c>
      <c r="AE34" s="784">
        <v>3.3241592999999998</v>
      </c>
      <c r="AF34" s="784">
        <v>3.3279645000000002</v>
      </c>
      <c r="AG34" s="784">
        <v>3.3232080000000002</v>
      </c>
      <c r="AH34" s="784">
        <v>3.3232080000000002</v>
      </c>
      <c r="AI34" s="784">
        <v>3.3273302999999999</v>
      </c>
      <c r="AJ34" s="784">
        <v>3.3333552000000002</v>
      </c>
      <c r="AK34" s="784">
        <v>4.9448574000000001</v>
      </c>
      <c r="AL34" s="784">
        <v>0</v>
      </c>
      <c r="AM34" s="784">
        <v>0</v>
      </c>
      <c r="AN34" s="784">
        <v>0</v>
      </c>
      <c r="AO34" s="784">
        <v>0</v>
      </c>
      <c r="AP34" s="784">
        <v>0</v>
      </c>
      <c r="AQ34" s="784">
        <v>0</v>
      </c>
      <c r="AR34" s="784">
        <v>0</v>
      </c>
      <c r="AS34" s="784">
        <v>0</v>
      </c>
      <c r="AT34" s="784">
        <f>AT26-AT30</f>
        <v>0</v>
      </c>
      <c r="AU34" s="784">
        <v>0</v>
      </c>
      <c r="AV34" s="784">
        <v>0</v>
      </c>
      <c r="AW34" s="784">
        <v>0</v>
      </c>
      <c r="AX34" s="784">
        <v>0</v>
      </c>
      <c r="AY34" s="784">
        <v>0</v>
      </c>
      <c r="AZ34" s="784">
        <v>0</v>
      </c>
      <c r="BA34" s="784">
        <v>0</v>
      </c>
      <c r="BB34" s="784">
        <v>0</v>
      </c>
      <c r="BC34" s="784">
        <v>0</v>
      </c>
      <c r="BD34" s="784">
        <v>0</v>
      </c>
      <c r="BE34" s="784">
        <v>0</v>
      </c>
      <c r="BF34" s="784">
        <v>0</v>
      </c>
      <c r="BG34" s="784">
        <v>0</v>
      </c>
      <c r="BH34" s="827">
        <v>0</v>
      </c>
      <c r="BI34" s="816">
        <v>0</v>
      </c>
      <c r="BJ34" s="816">
        <v>0</v>
      </c>
      <c r="BK34" s="816">
        <v>0</v>
      </c>
      <c r="BL34" s="816">
        <v>0</v>
      </c>
      <c r="BM34" s="816">
        <v>0</v>
      </c>
      <c r="BN34" s="816">
        <v>0</v>
      </c>
      <c r="BO34" s="816">
        <v>0</v>
      </c>
      <c r="BP34" s="816">
        <v>0</v>
      </c>
      <c r="BQ34" s="816">
        <v>0</v>
      </c>
      <c r="BR34" s="816">
        <v>0</v>
      </c>
      <c r="BS34" s="816">
        <v>0</v>
      </c>
      <c r="BT34" s="816">
        <v>0</v>
      </c>
      <c r="BU34" s="816">
        <v>0</v>
      </c>
      <c r="BV34" s="816">
        <v>0</v>
      </c>
      <c r="BW34" s="816">
        <v>0</v>
      </c>
      <c r="BX34" s="816">
        <v>0</v>
      </c>
      <c r="BY34" s="816">
        <v>0</v>
      </c>
      <c r="BZ34" s="816">
        <v>0</v>
      </c>
      <c r="CA34" s="816">
        <v>0</v>
      </c>
      <c r="CB34" s="816">
        <v>0</v>
      </c>
      <c r="CC34" s="816">
        <v>0</v>
      </c>
      <c r="CD34" s="816">
        <v>0</v>
      </c>
      <c r="CE34" s="816">
        <v>0</v>
      </c>
      <c r="CF34" s="816">
        <v>0</v>
      </c>
      <c r="CG34" s="816">
        <v>0</v>
      </c>
      <c r="CH34" s="816">
        <v>0</v>
      </c>
      <c r="CI34" s="816">
        <v>0</v>
      </c>
      <c r="CJ34" s="816">
        <v>0</v>
      </c>
      <c r="CK34" s="816">
        <v>0</v>
      </c>
      <c r="CL34" s="816">
        <v>0</v>
      </c>
      <c r="CM34" s="816">
        <v>0</v>
      </c>
      <c r="CN34" s="816">
        <v>0</v>
      </c>
      <c r="CO34" s="816">
        <v>0</v>
      </c>
      <c r="CP34" s="816">
        <v>0</v>
      </c>
      <c r="CQ34" s="816">
        <v>0</v>
      </c>
      <c r="CR34" s="816">
        <v>0</v>
      </c>
      <c r="CS34" s="816">
        <v>0</v>
      </c>
      <c r="CT34" s="816">
        <v>4.25</v>
      </c>
      <c r="CU34" s="816">
        <v>0</v>
      </c>
      <c r="CV34" s="816">
        <v>0</v>
      </c>
      <c r="CW34" s="816">
        <v>0</v>
      </c>
      <c r="CX34" s="816">
        <v>0</v>
      </c>
      <c r="CY34" s="816">
        <v>0</v>
      </c>
      <c r="CZ34" s="816">
        <v>0</v>
      </c>
      <c r="DA34" s="816">
        <v>0</v>
      </c>
      <c r="DB34" s="816">
        <v>0</v>
      </c>
      <c r="DC34" s="816">
        <v>0</v>
      </c>
      <c r="DD34" s="816">
        <v>0</v>
      </c>
      <c r="DE34" s="816">
        <v>0</v>
      </c>
      <c r="DF34" s="816">
        <v>0</v>
      </c>
      <c r="DG34" s="816">
        <v>0</v>
      </c>
      <c r="DH34" s="816">
        <v>0</v>
      </c>
      <c r="DI34" s="816">
        <v>0</v>
      </c>
      <c r="DJ34" s="816">
        <v>0</v>
      </c>
      <c r="DK34" s="816">
        <v>0</v>
      </c>
      <c r="DL34" s="816">
        <v>0</v>
      </c>
      <c r="DM34" s="816">
        <v>0</v>
      </c>
      <c r="DN34" s="816">
        <v>0</v>
      </c>
      <c r="DO34" s="816">
        <v>5.6660000000000003E-5</v>
      </c>
      <c r="DP34" s="816">
        <v>5.6660000000000003E-5</v>
      </c>
      <c r="DQ34" s="816">
        <v>0</v>
      </c>
      <c r="DR34" s="816">
        <v>0</v>
      </c>
      <c r="DS34" s="816">
        <v>0</v>
      </c>
      <c r="DT34" s="816">
        <v>0</v>
      </c>
      <c r="DU34" s="816">
        <v>0</v>
      </c>
      <c r="DV34" s="816">
        <v>0</v>
      </c>
      <c r="DW34" s="816">
        <v>0</v>
      </c>
      <c r="DX34" s="816">
        <v>0</v>
      </c>
      <c r="DY34" s="816">
        <v>0</v>
      </c>
      <c r="DZ34" s="816">
        <v>0</v>
      </c>
      <c r="EA34" s="816">
        <v>0</v>
      </c>
      <c r="EB34" s="816">
        <v>13.396000000000001</v>
      </c>
      <c r="EC34" s="816">
        <v>15.096</v>
      </c>
      <c r="ED34" s="816">
        <v>15.096</v>
      </c>
      <c r="EE34" s="816">
        <v>15.096</v>
      </c>
      <c r="EF34" s="816">
        <v>15.096</v>
      </c>
      <c r="EG34" s="816">
        <v>13.077658</v>
      </c>
      <c r="EH34" s="816">
        <v>9.6922837000000008</v>
      </c>
      <c r="EI34" s="816">
        <v>7.4830490899999997</v>
      </c>
      <c r="EJ34" s="816">
        <v>0</v>
      </c>
      <c r="EK34" s="816">
        <v>0</v>
      </c>
      <c r="EL34" s="816">
        <v>0</v>
      </c>
      <c r="EM34" s="816">
        <v>0</v>
      </c>
      <c r="EN34" s="816">
        <v>0</v>
      </c>
      <c r="EO34" s="816">
        <v>0</v>
      </c>
      <c r="EP34" s="816">
        <v>0</v>
      </c>
      <c r="EQ34" s="816">
        <v>0</v>
      </c>
      <c r="ER34" s="816">
        <v>0</v>
      </c>
      <c r="ES34" s="816">
        <v>0</v>
      </c>
      <c r="ET34" s="816">
        <v>0</v>
      </c>
      <c r="EU34" s="816">
        <v>0</v>
      </c>
      <c r="EV34" s="816">
        <v>0</v>
      </c>
      <c r="EW34" s="816">
        <v>0</v>
      </c>
      <c r="EX34" s="816">
        <v>0</v>
      </c>
      <c r="EY34" s="816">
        <v>0</v>
      </c>
      <c r="EZ34" s="816">
        <v>0</v>
      </c>
      <c r="FA34" s="816">
        <v>0</v>
      </c>
      <c r="FB34" s="816">
        <v>0</v>
      </c>
      <c r="FC34" s="816">
        <v>0</v>
      </c>
      <c r="FD34" s="816">
        <v>0</v>
      </c>
      <c r="FE34" s="816">
        <v>0</v>
      </c>
      <c r="FF34" s="816">
        <v>0</v>
      </c>
      <c r="FG34" s="816">
        <v>0</v>
      </c>
      <c r="FH34" s="1716" t="s">
        <v>4067</v>
      </c>
      <c r="FM34" s="321"/>
    </row>
    <row r="35" spans="1:169" ht="21">
      <c r="A35" s="1747" t="s">
        <v>1962</v>
      </c>
      <c r="B35" s="793">
        <f>+B33-B34</f>
        <v>45.2952984</v>
      </c>
      <c r="C35" s="793">
        <f t="shared" ref="C35:V35" si="12">+C33-C34</f>
        <v>42.270740799999999</v>
      </c>
      <c r="D35" s="793">
        <f t="shared" si="12"/>
        <v>40.844188789999997</v>
      </c>
      <c r="E35" s="793">
        <f t="shared" si="12"/>
        <v>40.367234509999996</v>
      </c>
      <c r="F35" s="793">
        <f t="shared" si="12"/>
        <v>39.513371859999999</v>
      </c>
      <c r="G35" s="793">
        <f t="shared" si="12"/>
        <v>39.48626522</v>
      </c>
      <c r="H35" s="793">
        <f t="shared" si="12"/>
        <v>39.562066209999998</v>
      </c>
      <c r="I35" s="793">
        <f t="shared" si="12"/>
        <v>41.989000479999994</v>
      </c>
      <c r="J35" s="793">
        <f t="shared" si="12"/>
        <v>45.23007389</v>
      </c>
      <c r="K35" s="793">
        <f t="shared" si="12"/>
        <v>47.162754129999996</v>
      </c>
      <c r="L35" s="793">
        <f t="shared" si="12"/>
        <v>44.380988330000001</v>
      </c>
      <c r="M35" s="787">
        <f t="shared" si="12"/>
        <v>43.662472369999989</v>
      </c>
      <c r="N35" s="794">
        <f t="shared" si="12"/>
        <v>43.163344710000004</v>
      </c>
      <c r="O35" s="794">
        <f t="shared" si="12"/>
        <v>42.475662820000004</v>
      </c>
      <c r="P35" s="794">
        <f t="shared" si="12"/>
        <v>42.54446282</v>
      </c>
      <c r="Q35" s="794">
        <f t="shared" si="12"/>
        <v>42.954000539999996</v>
      </c>
      <c r="R35" s="794">
        <f t="shared" si="12"/>
        <v>42.699078249999999</v>
      </c>
      <c r="S35" s="794">
        <f t="shared" si="12"/>
        <v>40.958135420000005</v>
      </c>
      <c r="T35" s="794">
        <f t="shared" si="12"/>
        <v>41.675731970000001</v>
      </c>
      <c r="U35" s="794">
        <f t="shared" si="12"/>
        <v>43.804509079999995</v>
      </c>
      <c r="V35" s="794">
        <f t="shared" si="12"/>
        <v>46.192616059999999</v>
      </c>
      <c r="W35" s="794">
        <v>48.387200310000004</v>
      </c>
      <c r="X35" s="794">
        <v>49.657244970000001</v>
      </c>
      <c r="Y35" s="787">
        <v>49.533207679999997</v>
      </c>
      <c r="Z35" s="794">
        <v>48.028300439999995</v>
      </c>
      <c r="AA35" s="794">
        <v>284.66313613</v>
      </c>
      <c r="AB35" s="787">
        <v>284.33072389</v>
      </c>
      <c r="AC35" s="787">
        <v>284.37829232999997</v>
      </c>
      <c r="AD35" s="787">
        <v>283.74879277999997</v>
      </c>
      <c r="AE35" s="787">
        <v>289.13077651999998</v>
      </c>
      <c r="AF35" s="787">
        <v>289.68554760000001</v>
      </c>
      <c r="AG35" s="787">
        <v>286.15840727</v>
      </c>
      <c r="AH35" s="787">
        <f>+AH33-AH34</f>
        <v>275.33827308999997</v>
      </c>
      <c r="AI35" s="787">
        <v>175.14561162000001</v>
      </c>
      <c r="AJ35" s="787">
        <v>130.11530393999999</v>
      </c>
      <c r="AK35" s="787">
        <f>+AK33-AK34</f>
        <v>31.739502070000004</v>
      </c>
      <c r="AL35" s="787">
        <v>23.618166930000001</v>
      </c>
      <c r="AM35" s="787">
        <f>+AM33-AM34</f>
        <v>22.788629239999999</v>
      </c>
      <c r="AN35" s="787">
        <f>+AN33-AN34</f>
        <v>22.883619100000001</v>
      </c>
      <c r="AO35" s="787">
        <f>+AO33-AO34</f>
        <v>19.06680785</v>
      </c>
      <c r="AP35" s="787">
        <f>+AP33-AP34</f>
        <v>18.602693410000001</v>
      </c>
      <c r="AQ35" s="787">
        <v>18.811157269999999</v>
      </c>
      <c r="AR35" s="787">
        <v>19.519437149999998</v>
      </c>
      <c r="AS35" s="787">
        <f>+AS33-AS34</f>
        <v>19.887781480000001</v>
      </c>
      <c r="AT35" s="787">
        <f>AT27-AT31</f>
        <v>19.837792340000021</v>
      </c>
      <c r="AU35" s="787">
        <v>18.916989030000025</v>
      </c>
      <c r="AV35" s="787">
        <v>19.757963430000018</v>
      </c>
      <c r="AW35" s="787">
        <v>19.827696689999982</v>
      </c>
      <c r="AX35" s="787">
        <v>20.978709009999989</v>
      </c>
      <c r="AY35" s="787">
        <v>18.831519640000003</v>
      </c>
      <c r="AZ35" s="787">
        <v>25.294788409999999</v>
      </c>
      <c r="BA35" s="787">
        <v>25.225453769999998</v>
      </c>
      <c r="BB35" s="787">
        <v>17.50223003</v>
      </c>
      <c r="BC35" s="787">
        <v>22.491211479999997</v>
      </c>
      <c r="BD35" s="787">
        <f>+BD33-BD34</f>
        <v>44.009632759999995</v>
      </c>
      <c r="BE35" s="787">
        <v>63.271064439999996</v>
      </c>
      <c r="BF35" s="787">
        <v>62.983599930000025</v>
      </c>
      <c r="BG35" s="787">
        <v>62.34244640999998</v>
      </c>
      <c r="BH35" s="828">
        <v>64.092049860000031</v>
      </c>
      <c r="BI35" s="818">
        <v>66.728372539999953</v>
      </c>
      <c r="BJ35" s="818">
        <v>67.663736139999969</v>
      </c>
      <c r="BK35" s="818">
        <v>67.413882960000024</v>
      </c>
      <c r="BL35" s="818">
        <v>74.66923644000002</v>
      </c>
      <c r="BM35" s="818">
        <v>78.76142243999999</v>
      </c>
      <c r="BN35" s="818">
        <v>76.833521630000007</v>
      </c>
      <c r="BO35" s="818">
        <v>79.715617460000033</v>
      </c>
      <c r="BP35" s="818">
        <v>84.961540950000028</v>
      </c>
      <c r="BQ35" s="818">
        <v>82.295699509999963</v>
      </c>
      <c r="BR35" s="818">
        <v>86.529778340000007</v>
      </c>
      <c r="BS35" s="818">
        <v>83.791933669999992</v>
      </c>
      <c r="BT35" s="818">
        <v>81.017402489999995</v>
      </c>
      <c r="BU35" s="818">
        <v>74.314803069999982</v>
      </c>
      <c r="BV35" s="818">
        <v>73.933994799999994</v>
      </c>
      <c r="BW35" s="818">
        <v>70.175959239999997</v>
      </c>
      <c r="BX35" s="818">
        <v>81.190277809999998</v>
      </c>
      <c r="BY35" s="818">
        <v>87.162390870000024</v>
      </c>
      <c r="BZ35" s="818">
        <v>100.99485307999998</v>
      </c>
      <c r="CA35" s="818">
        <v>101.38670948999999</v>
      </c>
      <c r="CB35" s="818">
        <v>104.00961403000002</v>
      </c>
      <c r="CC35" s="818">
        <v>114.91751281000001</v>
      </c>
      <c r="CD35" s="818">
        <v>111.50047247000001</v>
      </c>
      <c r="CE35" s="818">
        <f t="shared" ref="CE35:CP35" si="13">+CE33-CE34</f>
        <v>111.14541869</v>
      </c>
      <c r="CF35" s="818">
        <f t="shared" si="13"/>
        <v>113.36853607</v>
      </c>
      <c r="CG35" s="818">
        <f t="shared" si="13"/>
        <v>116.44862553</v>
      </c>
      <c r="CH35" s="818">
        <f t="shared" si="13"/>
        <v>116.42728821</v>
      </c>
      <c r="CI35" s="818">
        <f t="shared" si="13"/>
        <v>115.32051994</v>
      </c>
      <c r="CJ35" s="818">
        <f t="shared" si="13"/>
        <v>114.61156936</v>
      </c>
      <c r="CK35" s="818">
        <f t="shared" si="13"/>
        <v>119.07092395999999</v>
      </c>
      <c r="CL35" s="818">
        <f t="shared" si="13"/>
        <v>118.61027473999999</v>
      </c>
      <c r="CM35" s="818">
        <f t="shared" si="13"/>
        <v>124.23247505000001</v>
      </c>
      <c r="CN35" s="818">
        <f t="shared" si="13"/>
        <v>126.13793170999999</v>
      </c>
      <c r="CO35" s="818">
        <f t="shared" si="13"/>
        <v>126.31152204</v>
      </c>
      <c r="CP35" s="818">
        <f t="shared" si="13"/>
        <v>124.92556203000001</v>
      </c>
      <c r="CQ35" s="818">
        <f>+CQ33-CQ34</f>
        <v>116.23334484</v>
      </c>
      <c r="CR35" s="818">
        <f>+CR33-CR34</f>
        <v>115.33939936</v>
      </c>
      <c r="CS35" s="818">
        <f>+CS33-CS34</f>
        <v>114.28141114000002</v>
      </c>
      <c r="CT35" s="818">
        <v>114.962879</v>
      </c>
      <c r="CU35" s="818">
        <v>121.08834236</v>
      </c>
      <c r="CV35" s="818">
        <v>120.1076231</v>
      </c>
      <c r="CW35" s="818">
        <v>119.19678483</v>
      </c>
      <c r="CX35" s="818">
        <v>122.20176729000001</v>
      </c>
      <c r="CY35" s="818">
        <v>129.63916323000001</v>
      </c>
      <c r="CZ35" s="818">
        <v>130.83754224</v>
      </c>
      <c r="DA35" s="818">
        <v>137.28143227000001</v>
      </c>
      <c r="DB35" s="818">
        <v>138.47932795</v>
      </c>
      <c r="DC35" s="818">
        <v>128.18399922</v>
      </c>
      <c r="DD35" s="818">
        <v>133.15363715000001</v>
      </c>
      <c r="DE35" s="818">
        <v>131.73284201999999</v>
      </c>
      <c r="DF35" s="818">
        <v>130.51121415</v>
      </c>
      <c r="DG35" s="818">
        <v>129.48610730999999</v>
      </c>
      <c r="DH35" s="818">
        <v>133.18379847</v>
      </c>
      <c r="DI35" s="818">
        <v>132.41542691000001</v>
      </c>
      <c r="DJ35" s="818">
        <v>132.05701733000001</v>
      </c>
      <c r="DK35" s="818">
        <v>131.34732785</v>
      </c>
      <c r="DL35" s="818">
        <v>133.62661360999999</v>
      </c>
      <c r="DM35" s="818">
        <v>134.46855941000001</v>
      </c>
      <c r="DN35" s="818">
        <v>133.24438394000001</v>
      </c>
      <c r="DO35" s="818">
        <v>136.19245909</v>
      </c>
      <c r="DP35" s="818">
        <v>134.79732385</v>
      </c>
      <c r="DQ35" s="818">
        <v>127.42200758</v>
      </c>
      <c r="DR35" s="818">
        <v>128.67074615000001</v>
      </c>
      <c r="DS35" s="818">
        <v>127.9746281</v>
      </c>
      <c r="DT35" s="818">
        <v>125.96693002000001</v>
      </c>
      <c r="DU35" s="818">
        <v>123.40122076</v>
      </c>
      <c r="DV35" s="818">
        <v>113.80096571</v>
      </c>
      <c r="DW35" s="818">
        <v>113.20032242000001</v>
      </c>
      <c r="DX35" s="818">
        <v>120.31566110999999</v>
      </c>
      <c r="DY35" s="818">
        <v>120.34214068</v>
      </c>
      <c r="DZ35" s="818">
        <v>120.46825764</v>
      </c>
      <c r="EA35" s="818">
        <v>119.11155838000001</v>
      </c>
      <c r="EB35" s="818">
        <v>117.54484530000001</v>
      </c>
      <c r="EC35" s="818">
        <v>117.71443205999999</v>
      </c>
      <c r="ED35" s="818">
        <v>114.95192014</v>
      </c>
      <c r="EE35" s="818">
        <v>113.56307612000001</v>
      </c>
      <c r="EF35" s="818">
        <v>111.08588874</v>
      </c>
      <c r="EG35" s="818">
        <v>102.13305454</v>
      </c>
      <c r="EH35" s="818">
        <v>101.09889369</v>
      </c>
      <c r="EI35" s="818">
        <v>102.13665926</v>
      </c>
      <c r="EJ35" s="818">
        <v>103.77830178000001</v>
      </c>
      <c r="EK35" s="818">
        <v>107.50865054</v>
      </c>
      <c r="EL35" s="818">
        <v>107.65510295999999</v>
      </c>
      <c r="EM35" s="818">
        <v>102.63364335</v>
      </c>
      <c r="EN35" s="818">
        <v>100.02996016</v>
      </c>
      <c r="EO35" s="818">
        <v>107.12465087</v>
      </c>
      <c r="EP35" s="818">
        <v>104.19807109</v>
      </c>
      <c r="EQ35" s="818">
        <v>101.34690509000001</v>
      </c>
      <c r="ER35" s="818">
        <v>99.677955819999994</v>
      </c>
      <c r="ES35" s="818">
        <v>93.750705440000004</v>
      </c>
      <c r="ET35" s="818">
        <v>91.865953779999998</v>
      </c>
      <c r="EU35" s="818">
        <v>91.045723850000002</v>
      </c>
      <c r="EV35" s="818">
        <v>91.194811180000002</v>
      </c>
      <c r="EW35" s="818">
        <v>80.229027310000006</v>
      </c>
      <c r="EX35" s="818">
        <v>78.001746710000006</v>
      </c>
      <c r="EY35" s="818">
        <v>85.202008359999994</v>
      </c>
      <c r="EZ35" s="818">
        <v>83.784982170000006</v>
      </c>
      <c r="FA35" s="818">
        <v>84.543941000000004</v>
      </c>
      <c r="FB35" s="818">
        <v>81.831220380000005</v>
      </c>
      <c r="FC35" s="818">
        <v>79.986838840000004</v>
      </c>
      <c r="FD35" s="818">
        <v>76.853309049999993</v>
      </c>
      <c r="FE35" s="818">
        <v>74.792701739999998</v>
      </c>
      <c r="FF35" s="818">
        <v>73.68075949</v>
      </c>
      <c r="FG35" s="818">
        <v>72.068610750000005</v>
      </c>
      <c r="FH35" s="1717" t="s">
        <v>4066</v>
      </c>
      <c r="FM35" s="321"/>
    </row>
    <row r="36" spans="1:169" s="736" customFormat="1" ht="39" customHeight="1">
      <c r="A36" s="2306" t="s">
        <v>3278</v>
      </c>
      <c r="B36" s="2306"/>
      <c r="C36" s="2306"/>
      <c r="D36" s="2306"/>
      <c r="E36" s="2306"/>
      <c r="F36" s="2306"/>
      <c r="G36" s="2306"/>
      <c r="H36" s="2306"/>
      <c r="I36" s="2306"/>
      <c r="J36" s="2306"/>
      <c r="K36" s="2306"/>
      <c r="L36" s="2306"/>
      <c r="M36" s="2306"/>
      <c r="N36" s="2306"/>
      <c r="O36" s="2306"/>
      <c r="P36" s="2306"/>
      <c r="Q36" s="2306"/>
      <c r="R36" s="2306"/>
      <c r="S36" s="2306"/>
      <c r="T36" s="2306"/>
      <c r="U36" s="2306"/>
      <c r="V36" s="2306"/>
      <c r="W36" s="2306"/>
      <c r="X36" s="2306"/>
      <c r="Y36" s="2306"/>
      <c r="Z36" s="2306"/>
      <c r="AA36" s="2306"/>
      <c r="AB36" s="2306"/>
      <c r="AC36" s="2306"/>
      <c r="AD36" s="2306"/>
      <c r="AE36" s="2306"/>
      <c r="AF36" s="2306"/>
      <c r="AG36" s="2306"/>
      <c r="AH36" s="2306"/>
      <c r="AI36" s="2306"/>
      <c r="AJ36" s="2306"/>
      <c r="AK36" s="2306"/>
      <c r="AL36" s="2306"/>
      <c r="AM36" s="2306"/>
      <c r="AN36" s="2306"/>
      <c r="AO36" s="2306"/>
      <c r="AP36" s="2306"/>
      <c r="AQ36" s="2306"/>
      <c r="AR36" s="2306"/>
      <c r="AS36" s="2306"/>
      <c r="AT36" s="2306"/>
      <c r="AU36" s="2306"/>
      <c r="AV36" s="2306"/>
      <c r="AW36" s="2306"/>
      <c r="AX36" s="2306"/>
      <c r="AY36" s="2306"/>
      <c r="AZ36" s="2306"/>
      <c r="BA36" s="2306"/>
      <c r="BB36" s="2306"/>
      <c r="BC36" s="2306"/>
      <c r="BD36" s="2306"/>
      <c r="BE36" s="2306"/>
      <c r="BF36" s="2306"/>
      <c r="BG36" s="2306"/>
      <c r="BH36" s="2306"/>
      <c r="BI36" s="2306"/>
      <c r="BJ36" s="2306"/>
      <c r="BK36" s="2306"/>
      <c r="BL36" s="2306"/>
      <c r="BM36" s="2306"/>
      <c r="BN36" s="2306"/>
      <c r="BO36" s="2306"/>
      <c r="BP36" s="2306"/>
      <c r="BQ36" s="2306"/>
      <c r="BR36" s="2306"/>
      <c r="BS36" s="2306"/>
      <c r="BT36" s="2306"/>
      <c r="BU36" s="2306"/>
      <c r="BV36" s="2306"/>
      <c r="BW36" s="2306"/>
      <c r="BX36" s="2306"/>
      <c r="BY36" s="2306"/>
      <c r="BZ36" s="2306"/>
      <c r="CA36" s="2306"/>
      <c r="CB36" s="2306"/>
      <c r="CC36" s="2306"/>
      <c r="CD36" s="2306"/>
      <c r="CE36" s="2306"/>
      <c r="CF36" s="2306"/>
      <c r="CG36" s="2306"/>
      <c r="CH36" s="2306"/>
      <c r="CI36" s="2306"/>
      <c r="CJ36" s="2306"/>
      <c r="CK36" s="2306"/>
      <c r="CL36" s="2306"/>
      <c r="CM36" s="2306"/>
      <c r="CN36" s="2306"/>
      <c r="CO36" s="2306"/>
      <c r="CP36" s="2306"/>
      <c r="CQ36" s="2306"/>
      <c r="CR36" s="2306"/>
      <c r="CS36" s="2306"/>
      <c r="CT36" s="2306"/>
      <c r="CU36" s="2306"/>
      <c r="CV36" s="2306"/>
      <c r="CW36" s="2306"/>
      <c r="CX36" s="2306"/>
      <c r="CY36" s="2306"/>
      <c r="CZ36" s="2306"/>
      <c r="DA36" s="2306"/>
      <c r="DB36" s="2306"/>
      <c r="DC36" s="2306"/>
      <c r="DD36" s="2306"/>
      <c r="DE36" s="2306"/>
      <c r="DF36" s="2306"/>
      <c r="DG36" s="2306"/>
      <c r="DH36" s="2306"/>
      <c r="DI36" s="2306"/>
      <c r="DJ36" s="2306"/>
      <c r="DK36" s="2306"/>
      <c r="DL36" s="2306"/>
      <c r="DM36" s="2306"/>
      <c r="DN36" s="2306"/>
      <c r="DO36" s="2306"/>
      <c r="DP36" s="2306"/>
      <c r="DQ36" s="2306"/>
      <c r="DR36" s="2306"/>
      <c r="DS36" s="2306"/>
      <c r="DT36" s="2306"/>
      <c r="DU36" s="2306"/>
      <c r="DV36" s="2306"/>
      <c r="DW36" s="2306"/>
      <c r="DX36" s="2306"/>
      <c r="DY36" s="2306"/>
      <c r="DZ36" s="2306"/>
      <c r="EA36" s="2307"/>
      <c r="EB36" s="2307"/>
      <c r="EC36" s="2307"/>
      <c r="ED36" s="2307"/>
      <c r="EE36" s="2307"/>
      <c r="EF36" s="2307"/>
      <c r="EG36" s="2307"/>
      <c r="EH36" s="2307"/>
      <c r="EI36" s="2307"/>
      <c r="EJ36" s="2307"/>
      <c r="EK36" s="2307"/>
      <c r="EL36" s="2307"/>
      <c r="EM36" s="2307"/>
      <c r="EN36" s="2307"/>
      <c r="EO36" s="2307"/>
      <c r="EP36" s="2307"/>
      <c r="EQ36" s="2307"/>
      <c r="ER36" s="2307"/>
      <c r="ES36" s="2307"/>
      <c r="ET36" s="2307"/>
      <c r="EU36" s="2307"/>
      <c r="EV36" s="2307"/>
      <c r="EW36" s="2307"/>
      <c r="EX36" s="2307"/>
      <c r="EY36" s="2307"/>
      <c r="EZ36" s="2307"/>
      <c r="FA36" s="2307"/>
      <c r="FB36" s="2307"/>
      <c r="FC36" s="2307"/>
      <c r="FD36" s="2307"/>
      <c r="FE36" s="2307"/>
      <c r="FF36" s="2307"/>
      <c r="FG36" s="2306"/>
    </row>
    <row r="37" spans="1:169" ht="18">
      <c r="A37" s="759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T37" s="270"/>
      <c r="BU37" s="270"/>
      <c r="BV37" s="270"/>
      <c r="BW37" s="270"/>
      <c r="BX37" s="270"/>
      <c r="BY37" s="270"/>
      <c r="BZ37" s="270"/>
      <c r="CA37" s="270"/>
      <c r="CB37" s="270"/>
      <c r="CC37" s="270"/>
      <c r="CD37" s="270"/>
      <c r="CE37" s="270"/>
      <c r="CF37" s="270"/>
      <c r="CG37" s="270"/>
      <c r="FM37" s="321"/>
    </row>
    <row r="38" spans="1:169" ht="18">
      <c r="A38" s="760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  <c r="CF38" s="271"/>
      <c r="CG38" s="271"/>
      <c r="FM38" s="321"/>
    </row>
    <row r="39" spans="1:169" ht="18">
      <c r="A39" s="759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0"/>
      <c r="BP39" s="270"/>
      <c r="BQ39" s="270"/>
      <c r="BR39" s="270"/>
      <c r="BS39" s="270"/>
      <c r="BT39" s="270"/>
      <c r="BU39" s="270"/>
      <c r="BV39" s="270"/>
      <c r="BW39" s="270"/>
      <c r="BX39" s="270"/>
      <c r="BY39" s="270"/>
      <c r="BZ39" s="270"/>
      <c r="CA39" s="270"/>
      <c r="CB39" s="270"/>
      <c r="CC39" s="270"/>
      <c r="CD39" s="270"/>
      <c r="CE39" s="270"/>
      <c r="CF39" s="270"/>
      <c r="CG39" s="270"/>
      <c r="FM39" s="321"/>
    </row>
    <row r="40" spans="1:169" ht="18">
      <c r="A40" s="760"/>
      <c r="B40" s="271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  <c r="CF40" s="271"/>
      <c r="CG40" s="271"/>
      <c r="FM40" s="321"/>
    </row>
    <row r="41" spans="1:169" ht="18">
      <c r="A41" s="759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70"/>
      <c r="AS41" s="270"/>
      <c r="AT41" s="270"/>
      <c r="AU41" s="270"/>
      <c r="AV41" s="270"/>
      <c r="AW41" s="270"/>
      <c r="AX41" s="270"/>
      <c r="AY41" s="270"/>
      <c r="AZ41" s="270"/>
      <c r="BA41" s="270"/>
      <c r="BB41" s="270"/>
      <c r="BC41" s="270"/>
      <c r="BD41" s="270"/>
      <c r="BE41" s="270"/>
      <c r="BF41" s="270"/>
      <c r="BG41" s="270"/>
      <c r="BH41" s="270"/>
      <c r="BI41" s="270"/>
      <c r="BJ41" s="270"/>
      <c r="BK41" s="270"/>
      <c r="BL41" s="270"/>
      <c r="BM41" s="270"/>
      <c r="BN41" s="270"/>
      <c r="BO41" s="270"/>
      <c r="BP41" s="270"/>
      <c r="BQ41" s="270"/>
      <c r="BR41" s="270"/>
      <c r="BS41" s="270"/>
      <c r="BT41" s="270"/>
      <c r="BU41" s="270"/>
      <c r="BV41" s="270"/>
      <c r="BW41" s="270"/>
      <c r="BX41" s="270"/>
      <c r="BY41" s="270"/>
      <c r="BZ41" s="270"/>
      <c r="CA41" s="270"/>
      <c r="CB41" s="270"/>
      <c r="CC41" s="270"/>
      <c r="CD41" s="270"/>
      <c r="CE41" s="270"/>
      <c r="CF41" s="270"/>
      <c r="CG41" s="270"/>
      <c r="FM41" s="321"/>
    </row>
    <row r="42" spans="1:169" ht="18">
      <c r="A42" s="761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0"/>
      <c r="AZ42" s="270"/>
      <c r="BA42" s="270"/>
      <c r="BB42" s="270"/>
      <c r="BC42" s="270"/>
      <c r="BD42" s="270"/>
      <c r="BE42" s="270"/>
      <c r="BF42" s="270"/>
      <c r="BG42" s="270"/>
      <c r="BH42" s="270"/>
      <c r="BI42" s="270"/>
      <c r="BJ42" s="270"/>
      <c r="BK42" s="270"/>
      <c r="BL42" s="270"/>
      <c r="BM42" s="270"/>
      <c r="BN42" s="270"/>
      <c r="BO42" s="270"/>
      <c r="BP42" s="270"/>
      <c r="BQ42" s="270"/>
      <c r="BR42" s="270"/>
      <c r="BS42" s="270"/>
      <c r="BT42" s="270"/>
      <c r="BU42" s="270"/>
      <c r="BV42" s="270"/>
      <c r="BW42" s="270"/>
      <c r="BX42" s="270"/>
      <c r="BY42" s="270"/>
      <c r="BZ42" s="270"/>
      <c r="CA42" s="270"/>
      <c r="CB42" s="270"/>
      <c r="CC42" s="270"/>
      <c r="CD42" s="270"/>
      <c r="CE42" s="270"/>
      <c r="CF42" s="270"/>
      <c r="CG42" s="270"/>
      <c r="FM42" s="321"/>
    </row>
    <row r="43" spans="1:169" ht="18">
      <c r="A43" s="762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  <c r="BX43" s="271"/>
      <c r="BY43" s="271"/>
      <c r="BZ43" s="271"/>
      <c r="CA43" s="271"/>
      <c r="CB43" s="271"/>
      <c r="CC43" s="271"/>
      <c r="CD43" s="271"/>
      <c r="CE43" s="271"/>
      <c r="CF43" s="271"/>
      <c r="CG43" s="271"/>
      <c r="FM43" s="321"/>
    </row>
    <row r="44" spans="1:169" ht="18">
      <c r="A44" s="759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  <c r="BP44" s="270"/>
      <c r="BQ44" s="270"/>
      <c r="BR44" s="270"/>
      <c r="BS44" s="270"/>
      <c r="BT44" s="270"/>
      <c r="BU44" s="270"/>
      <c r="BV44" s="270"/>
      <c r="BW44" s="270"/>
      <c r="BX44" s="270"/>
      <c r="BY44" s="270"/>
      <c r="BZ44" s="270"/>
      <c r="CA44" s="270"/>
      <c r="CB44" s="270"/>
      <c r="CC44" s="270"/>
      <c r="CD44" s="270"/>
      <c r="CE44" s="270"/>
      <c r="CF44" s="270"/>
      <c r="CG44" s="270"/>
      <c r="FM44" s="321"/>
    </row>
    <row r="45" spans="1:169" ht="18">
      <c r="A45" s="760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  <c r="BX45" s="271"/>
      <c r="BY45" s="271"/>
      <c r="BZ45" s="271"/>
      <c r="CA45" s="271"/>
      <c r="CB45" s="271"/>
      <c r="CC45" s="271"/>
      <c r="CD45" s="271"/>
      <c r="CE45" s="271"/>
      <c r="CF45" s="271"/>
      <c r="CG45" s="271"/>
      <c r="FM45" s="321"/>
    </row>
    <row r="46" spans="1:169" ht="18">
      <c r="A46" s="759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0"/>
      <c r="AZ46" s="270"/>
      <c r="BA46" s="270"/>
      <c r="BB46" s="270"/>
      <c r="BC46" s="270"/>
      <c r="BD46" s="270"/>
      <c r="BE46" s="270"/>
      <c r="BF46" s="270"/>
      <c r="BG46" s="270"/>
      <c r="BH46" s="270"/>
      <c r="BI46" s="270"/>
      <c r="BJ46" s="270"/>
      <c r="BK46" s="270"/>
      <c r="BL46" s="270"/>
      <c r="BM46" s="270"/>
      <c r="BN46" s="270"/>
      <c r="BO46" s="270"/>
      <c r="BP46" s="270"/>
      <c r="BQ46" s="270"/>
      <c r="BR46" s="270"/>
      <c r="BS46" s="270"/>
      <c r="BT46" s="270"/>
      <c r="BU46" s="270"/>
      <c r="BV46" s="270"/>
      <c r="BW46" s="270"/>
      <c r="BX46" s="270"/>
      <c r="BY46" s="270"/>
      <c r="BZ46" s="270"/>
      <c r="CA46" s="270"/>
      <c r="CB46" s="270"/>
      <c r="CC46" s="270"/>
      <c r="CD46" s="270"/>
      <c r="CE46" s="270"/>
      <c r="CF46" s="270"/>
      <c r="CG46" s="270"/>
      <c r="FM46" s="321"/>
    </row>
    <row r="47" spans="1:169" ht="18">
      <c r="A47" s="760"/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  <c r="BG47" s="271"/>
      <c r="BH47" s="271"/>
      <c r="BI47" s="271"/>
      <c r="BJ47" s="271"/>
      <c r="BK47" s="271"/>
      <c r="BL47" s="271"/>
      <c r="BM47" s="271"/>
      <c r="BN47" s="271"/>
      <c r="BO47" s="271"/>
      <c r="BP47" s="271"/>
      <c r="BQ47" s="271"/>
      <c r="BR47" s="271"/>
      <c r="BS47" s="271"/>
      <c r="BT47" s="271"/>
      <c r="BU47" s="271"/>
      <c r="BV47" s="271"/>
      <c r="BW47" s="271"/>
      <c r="BX47" s="271"/>
      <c r="BY47" s="271"/>
      <c r="BZ47" s="271"/>
      <c r="CA47" s="271"/>
      <c r="CB47" s="271"/>
      <c r="CC47" s="271"/>
      <c r="CD47" s="271"/>
      <c r="CE47" s="271"/>
      <c r="CF47" s="271"/>
      <c r="CG47" s="271"/>
      <c r="FM47" s="321"/>
    </row>
    <row r="48" spans="1:169" ht="18">
      <c r="A48" s="759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0"/>
      <c r="AZ48" s="270"/>
      <c r="BA48" s="270"/>
      <c r="BB48" s="270"/>
      <c r="BC48" s="270"/>
      <c r="BD48" s="270"/>
      <c r="BE48" s="270"/>
      <c r="BF48" s="270"/>
      <c r="BG48" s="270"/>
      <c r="BH48" s="270"/>
      <c r="BI48" s="270"/>
      <c r="BJ48" s="270"/>
      <c r="BK48" s="270"/>
      <c r="BL48" s="270"/>
      <c r="BM48" s="270"/>
      <c r="BN48" s="270"/>
      <c r="BO48" s="270"/>
      <c r="BP48" s="270"/>
      <c r="BQ48" s="270"/>
      <c r="BR48" s="270"/>
      <c r="BS48" s="270"/>
      <c r="BT48" s="270"/>
      <c r="BU48" s="270"/>
      <c r="BV48" s="270"/>
      <c r="BW48" s="270"/>
      <c r="BX48" s="270"/>
      <c r="BY48" s="270"/>
      <c r="BZ48" s="270"/>
      <c r="CA48" s="270"/>
      <c r="CB48" s="270"/>
      <c r="CC48" s="270"/>
      <c r="CD48" s="270"/>
      <c r="CE48" s="270"/>
      <c r="CF48" s="270"/>
      <c r="CG48" s="270"/>
      <c r="FM48" s="321"/>
    </row>
    <row r="49" spans="1:169" ht="18">
      <c r="A49" s="763"/>
      <c r="B49" s="322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2"/>
      <c r="AJ49" s="322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2"/>
      <c r="AZ49" s="322"/>
      <c r="BA49" s="322"/>
      <c r="BB49" s="322"/>
      <c r="BC49" s="322"/>
      <c r="BD49" s="322"/>
      <c r="BE49" s="322"/>
      <c r="BF49" s="322"/>
      <c r="BG49" s="322"/>
      <c r="BH49" s="322"/>
      <c r="BI49" s="322"/>
      <c r="BJ49" s="322"/>
      <c r="BK49" s="322"/>
      <c r="BL49" s="322"/>
      <c r="BM49" s="322"/>
      <c r="BN49" s="322"/>
      <c r="BO49" s="322"/>
      <c r="BP49" s="322"/>
      <c r="BQ49" s="322"/>
      <c r="BR49" s="322"/>
      <c r="BS49" s="322"/>
      <c r="BT49" s="322"/>
      <c r="BU49" s="322"/>
      <c r="BV49" s="322"/>
      <c r="BW49" s="322"/>
      <c r="BX49" s="322"/>
      <c r="BY49" s="322"/>
      <c r="BZ49" s="322"/>
      <c r="CA49" s="322"/>
      <c r="CB49" s="322"/>
      <c r="CC49" s="322"/>
      <c r="CD49" s="322"/>
      <c r="CE49" s="322"/>
      <c r="CF49" s="322"/>
      <c r="CG49" s="322"/>
      <c r="FM49" s="321"/>
    </row>
    <row r="50" spans="1:169" ht="18.75">
      <c r="A50" s="764"/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2"/>
      <c r="U50" s="322"/>
      <c r="V50" s="322"/>
      <c r="W50" s="322"/>
      <c r="X50" s="322"/>
      <c r="Y50" s="322"/>
      <c r="Z50" s="322"/>
      <c r="AA50" s="322"/>
      <c r="AB50" s="322"/>
      <c r="AC50" s="322"/>
      <c r="AD50" s="322"/>
      <c r="AE50" s="322"/>
      <c r="AF50" s="322"/>
      <c r="AG50" s="322"/>
      <c r="AH50" s="322"/>
      <c r="AI50" s="322"/>
      <c r="AJ50" s="322"/>
      <c r="AK50" s="322"/>
      <c r="AL50" s="322"/>
      <c r="AM50" s="322"/>
      <c r="AN50" s="322"/>
      <c r="AO50" s="322"/>
      <c r="AP50" s="322"/>
      <c r="AQ50" s="322"/>
      <c r="AR50" s="322"/>
      <c r="AS50" s="322"/>
      <c r="AT50" s="322"/>
      <c r="AU50" s="322"/>
      <c r="AV50" s="322"/>
      <c r="AW50" s="322"/>
      <c r="AX50" s="322"/>
      <c r="AY50" s="322"/>
      <c r="AZ50" s="322"/>
      <c r="BA50" s="322"/>
      <c r="BB50" s="322"/>
      <c r="BC50" s="322"/>
      <c r="BD50" s="322"/>
      <c r="BE50" s="322"/>
      <c r="BF50" s="322"/>
      <c r="BG50" s="322"/>
      <c r="BH50" s="322"/>
      <c r="BI50" s="322"/>
      <c r="BJ50" s="322"/>
      <c r="BK50" s="322"/>
      <c r="BL50" s="322"/>
      <c r="BM50" s="322"/>
      <c r="BN50" s="322"/>
      <c r="BO50" s="322"/>
      <c r="BP50" s="322"/>
      <c r="BQ50" s="322"/>
      <c r="BR50" s="322"/>
      <c r="BS50" s="322"/>
      <c r="BT50" s="322"/>
      <c r="BU50" s="322"/>
      <c r="BV50" s="322"/>
      <c r="BW50" s="322"/>
      <c r="BX50" s="322"/>
      <c r="BY50" s="322"/>
      <c r="BZ50" s="322"/>
      <c r="CA50" s="322"/>
      <c r="CB50" s="322"/>
      <c r="CC50" s="322"/>
      <c r="CD50" s="322"/>
      <c r="CE50" s="322"/>
      <c r="CF50" s="322"/>
      <c r="CG50" s="322"/>
      <c r="FM50" s="321"/>
    </row>
    <row r="51" spans="1:169">
      <c r="FM51" s="321"/>
    </row>
    <row r="52" spans="1:169">
      <c r="FM52" s="321"/>
    </row>
    <row r="53" spans="1:169">
      <c r="FM53" s="321"/>
    </row>
    <row r="54" spans="1:169">
      <c r="FM54" s="321"/>
    </row>
    <row r="55" spans="1:169">
      <c r="FM55" s="321"/>
    </row>
    <row r="56" spans="1:169">
      <c r="FM56" s="321"/>
    </row>
    <row r="57" spans="1:169">
      <c r="FM57" s="321"/>
    </row>
    <row r="58" spans="1:169">
      <c r="FM58" s="321"/>
    </row>
    <row r="59" spans="1:169">
      <c r="FM59" s="321"/>
    </row>
    <row r="60" spans="1:169">
      <c r="FM60" s="321"/>
    </row>
    <row r="61" spans="1:169">
      <c r="FM61" s="321"/>
    </row>
    <row r="62" spans="1:169">
      <c r="FM62" s="321"/>
    </row>
    <row r="63" spans="1:169">
      <c r="FM63" s="321"/>
    </row>
  </sheetData>
  <mergeCells count="16">
    <mergeCell ref="A2:FH2"/>
    <mergeCell ref="A3:FH3"/>
    <mergeCell ref="A6:A8"/>
    <mergeCell ref="FH6:FH8"/>
    <mergeCell ref="A36:FG36"/>
    <mergeCell ref="A5:FG5"/>
    <mergeCell ref="B6:M6"/>
    <mergeCell ref="N6:Y6"/>
    <mergeCell ref="Z6:AK6"/>
    <mergeCell ref="AV6:AW6"/>
    <mergeCell ref="BV6:CG6"/>
    <mergeCell ref="CT6:DE6"/>
    <mergeCell ref="DF6:DQ6"/>
    <mergeCell ref="DR6:EC6"/>
    <mergeCell ref="EP6:FA6"/>
    <mergeCell ref="FB6:FG6"/>
  </mergeCells>
  <pageMargins left="0.7" right="0.7" top="0.75" bottom="0.75" header="0.3" footer="0.3"/>
  <pageSetup scale="2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7">
    <tabColor rgb="FF92D050"/>
  </sheetPr>
  <dimension ref="A1:KP48"/>
  <sheetViews>
    <sheetView showGridLines="0" view="pageBreakPreview" zoomScale="66" zoomScaleNormal="100" zoomScaleSheetLayoutView="66" workbookViewId="0">
      <selection activeCell="F40" sqref="F40"/>
    </sheetView>
  </sheetViews>
  <sheetFormatPr defaultColWidth="9.140625" defaultRowHeight="14.25"/>
  <cols>
    <col min="1" max="1" width="61.42578125" style="766" customWidth="1"/>
    <col min="2" max="12" width="13.5703125" style="356" hidden="1" customWidth="1"/>
    <col min="13" max="13" width="19" style="356" hidden="1" customWidth="1"/>
    <col min="14" max="23" width="13.5703125" style="356" hidden="1" customWidth="1"/>
    <col min="24" max="24" width="13.28515625" style="356" hidden="1" customWidth="1"/>
    <col min="25" max="25" width="18.140625" style="356" hidden="1" customWidth="1"/>
    <col min="26" max="33" width="14.7109375" style="356" hidden="1" customWidth="1"/>
    <col min="34" max="34" width="17.85546875" style="356" hidden="1" customWidth="1"/>
    <col min="35" max="35" width="19.7109375" style="356" hidden="1" customWidth="1"/>
    <col min="36" max="36" width="17.28515625" style="356" hidden="1" customWidth="1"/>
    <col min="37" max="37" width="16.85546875" style="356" hidden="1" customWidth="1"/>
    <col min="38" max="44" width="14.7109375" style="356" hidden="1" customWidth="1"/>
    <col min="45" max="60" width="16.7109375" style="356" hidden="1" customWidth="1"/>
    <col min="61" max="61" width="13.140625" style="356" customWidth="1"/>
    <col min="62" max="72" width="16.7109375" style="356" hidden="1" customWidth="1"/>
    <col min="73" max="73" width="13.140625" style="356" customWidth="1"/>
    <col min="74" max="84" width="16.7109375" style="356" hidden="1" customWidth="1"/>
    <col min="85" max="85" width="13.140625" style="356" customWidth="1"/>
    <col min="86" max="90" width="14.85546875" style="356" hidden="1" customWidth="1"/>
    <col min="91" max="96" width="16.28515625" style="356" hidden="1" customWidth="1"/>
    <col min="97" max="97" width="13.140625" style="356" customWidth="1"/>
    <col min="98" max="108" width="13.140625" style="356" hidden="1" customWidth="1"/>
    <col min="109" max="109" width="13.140625" style="356" customWidth="1"/>
    <col min="110" max="120" width="13.140625" style="356" hidden="1" customWidth="1"/>
    <col min="121" max="121" width="13.140625" style="356" customWidth="1"/>
    <col min="122" max="132" width="13.140625" style="356" hidden="1" customWidth="1"/>
    <col min="133" max="133" width="13.140625" style="356" customWidth="1"/>
    <col min="134" max="144" width="13.140625" style="356" hidden="1" customWidth="1"/>
    <col min="145" max="145" width="13.140625" style="356" customWidth="1"/>
    <col min="146" max="156" width="13.140625" style="356" hidden="1" customWidth="1"/>
    <col min="157" max="163" width="13.140625" style="356" customWidth="1"/>
    <col min="164" max="164" width="51.140625" style="356" customWidth="1"/>
    <col min="165" max="166" width="9.140625" style="356"/>
    <col min="167" max="167" width="0" style="356" hidden="1" customWidth="1"/>
    <col min="168" max="16384" width="9.140625" style="356"/>
  </cols>
  <sheetData>
    <row r="1" spans="1:302" ht="20.25" customHeight="1"/>
    <row r="2" spans="1:302" ht="27.6" customHeight="1">
      <c r="A2" s="2310" t="s">
        <v>3282</v>
      </c>
      <c r="B2" s="2310"/>
      <c r="C2" s="2310"/>
      <c r="D2" s="2310"/>
      <c r="E2" s="2310"/>
      <c r="F2" s="2310"/>
      <c r="G2" s="2310"/>
      <c r="H2" s="2310"/>
      <c r="I2" s="2310"/>
      <c r="J2" s="2310"/>
      <c r="K2" s="2310"/>
      <c r="L2" s="2310"/>
      <c r="M2" s="2310"/>
      <c r="N2" s="2310"/>
      <c r="O2" s="2310"/>
      <c r="P2" s="2310"/>
      <c r="Q2" s="2310"/>
      <c r="R2" s="2310"/>
      <c r="S2" s="2310"/>
      <c r="T2" s="2310"/>
      <c r="U2" s="2310"/>
      <c r="V2" s="2310"/>
      <c r="W2" s="2310"/>
      <c r="X2" s="2310"/>
      <c r="Y2" s="2310"/>
      <c r="Z2" s="2310"/>
      <c r="AA2" s="2310"/>
      <c r="AB2" s="2310"/>
      <c r="AC2" s="2310"/>
      <c r="AD2" s="2310"/>
      <c r="AE2" s="2310"/>
      <c r="AF2" s="2310"/>
      <c r="AG2" s="2310"/>
      <c r="AH2" s="2310"/>
      <c r="AI2" s="2310"/>
      <c r="AJ2" s="2310"/>
      <c r="AK2" s="2310"/>
      <c r="AL2" s="2310"/>
      <c r="AM2" s="2310"/>
      <c r="AN2" s="2310"/>
      <c r="AO2" s="2310"/>
      <c r="AP2" s="2310"/>
      <c r="AQ2" s="2310"/>
      <c r="AR2" s="2310"/>
      <c r="AS2" s="2310"/>
      <c r="AT2" s="2310"/>
      <c r="AU2" s="2310"/>
      <c r="AV2" s="2310"/>
      <c r="AW2" s="2310"/>
      <c r="AX2" s="2310"/>
      <c r="AY2" s="2310"/>
      <c r="AZ2" s="2310"/>
      <c r="BA2" s="2310"/>
      <c r="BB2" s="2310"/>
      <c r="BC2" s="2310"/>
      <c r="BD2" s="2310"/>
      <c r="BE2" s="2310"/>
      <c r="BF2" s="2310"/>
      <c r="BG2" s="2310"/>
      <c r="BH2" s="2310"/>
      <c r="BI2" s="2310"/>
      <c r="BJ2" s="2310"/>
      <c r="BK2" s="2310"/>
      <c r="BL2" s="2310"/>
      <c r="BM2" s="2310"/>
      <c r="BN2" s="2310"/>
      <c r="BO2" s="2310"/>
      <c r="BP2" s="2310"/>
      <c r="BQ2" s="2310"/>
      <c r="BR2" s="2310"/>
      <c r="BS2" s="2310"/>
      <c r="BT2" s="2310"/>
      <c r="BU2" s="2310"/>
      <c r="BV2" s="2310"/>
      <c r="BW2" s="2310"/>
      <c r="BX2" s="2310"/>
      <c r="BY2" s="2310"/>
      <c r="BZ2" s="2310"/>
      <c r="CA2" s="2310"/>
      <c r="CB2" s="2310"/>
      <c r="CC2" s="2310"/>
      <c r="CD2" s="2310"/>
      <c r="CE2" s="2310"/>
      <c r="CF2" s="2310"/>
      <c r="CG2" s="2310"/>
      <c r="CH2" s="2310"/>
      <c r="CI2" s="2310"/>
      <c r="CJ2" s="2310"/>
      <c r="CK2" s="2310"/>
      <c r="CL2" s="2310"/>
      <c r="CM2" s="2310"/>
      <c r="CN2" s="2310"/>
      <c r="CO2" s="2310"/>
      <c r="CP2" s="2310"/>
      <c r="CQ2" s="2310"/>
      <c r="CR2" s="2310"/>
      <c r="CS2" s="2310"/>
      <c r="CT2" s="2310"/>
      <c r="CU2" s="2310"/>
      <c r="CV2" s="2310"/>
      <c r="CW2" s="2310"/>
      <c r="CX2" s="2310"/>
      <c r="CY2" s="2310"/>
      <c r="CZ2" s="2310"/>
      <c r="DA2" s="2310"/>
      <c r="DB2" s="2310"/>
      <c r="DC2" s="2310"/>
      <c r="DD2" s="2310"/>
      <c r="DE2" s="2310"/>
      <c r="DF2" s="2310"/>
      <c r="DG2" s="2310"/>
      <c r="DH2" s="2310"/>
      <c r="DI2" s="2310"/>
      <c r="DJ2" s="2310"/>
      <c r="DK2" s="2310"/>
      <c r="DL2" s="2310"/>
      <c r="DM2" s="2310"/>
      <c r="DN2" s="2310"/>
      <c r="DO2" s="2310"/>
      <c r="DP2" s="2310"/>
      <c r="DQ2" s="2310"/>
      <c r="DR2" s="2310"/>
      <c r="DS2" s="2310"/>
      <c r="DT2" s="2310"/>
      <c r="DU2" s="2310"/>
      <c r="DV2" s="2310"/>
      <c r="DW2" s="2310"/>
      <c r="DX2" s="2310"/>
      <c r="DY2" s="2310"/>
      <c r="DZ2" s="2310"/>
      <c r="EA2" s="2310"/>
      <c r="EB2" s="2310"/>
      <c r="EC2" s="2310"/>
      <c r="ED2" s="2310"/>
      <c r="EE2" s="2310"/>
      <c r="EF2" s="2310"/>
      <c r="EG2" s="2310"/>
      <c r="EH2" s="2310"/>
      <c r="EI2" s="2310"/>
      <c r="EJ2" s="2310"/>
      <c r="EK2" s="2310"/>
      <c r="EL2" s="2310"/>
      <c r="EM2" s="2310"/>
      <c r="EN2" s="2310"/>
      <c r="EO2" s="2310"/>
      <c r="EP2" s="2310"/>
      <c r="EQ2" s="2310"/>
      <c r="ER2" s="2310"/>
      <c r="ES2" s="2310"/>
      <c r="ET2" s="2310"/>
      <c r="EU2" s="2310"/>
      <c r="EV2" s="2310"/>
      <c r="EW2" s="2310"/>
      <c r="EX2" s="2310"/>
      <c r="EY2" s="2310"/>
      <c r="EZ2" s="2310"/>
      <c r="FA2" s="2310"/>
      <c r="FB2" s="2310"/>
      <c r="FC2" s="2310"/>
      <c r="FD2" s="2310"/>
      <c r="FE2" s="2310"/>
      <c r="FF2" s="2310"/>
      <c r="FG2" s="2310"/>
      <c r="FH2" s="2310"/>
    </row>
    <row r="3" spans="1:302" ht="43.5" customHeight="1">
      <c r="A3" s="2299" t="s">
        <v>3274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</row>
    <row r="4" spans="1:302" ht="21.75" customHeight="1">
      <c r="A4" s="752"/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  <c r="Z4" s="494"/>
      <c r="AA4" s="494"/>
      <c r="AB4" s="494"/>
      <c r="AC4" s="494"/>
      <c r="AD4" s="494"/>
      <c r="AE4" s="494"/>
      <c r="AF4" s="494"/>
      <c r="AG4" s="494"/>
      <c r="AH4" s="494"/>
      <c r="AI4" s="494"/>
      <c r="AJ4" s="494"/>
      <c r="AK4" s="494"/>
      <c r="AL4" s="494"/>
      <c r="AM4" s="494"/>
      <c r="AN4" s="494"/>
      <c r="AO4" s="494"/>
      <c r="AP4" s="494"/>
      <c r="AQ4" s="494"/>
      <c r="AR4" s="494"/>
      <c r="AS4" s="494"/>
      <c r="AT4" s="494"/>
      <c r="AU4" s="494"/>
      <c r="AV4" s="494"/>
      <c r="AW4" s="494"/>
      <c r="AX4" s="494"/>
      <c r="AY4" s="494"/>
      <c r="AZ4" s="494"/>
      <c r="BA4" s="494"/>
      <c r="BB4" s="494"/>
      <c r="BC4" s="494"/>
      <c r="BD4" s="494"/>
      <c r="BE4" s="494"/>
      <c r="BF4" s="494"/>
      <c r="BG4" s="494"/>
      <c r="BH4" s="494"/>
      <c r="BI4" s="494"/>
      <c r="BJ4" s="494"/>
      <c r="BK4" s="494"/>
      <c r="BL4" s="494"/>
      <c r="BM4" s="494"/>
      <c r="BN4" s="494"/>
      <c r="BO4" s="494"/>
      <c r="BP4" s="494"/>
      <c r="BQ4" s="494"/>
      <c r="BR4" s="494"/>
      <c r="BS4" s="494"/>
      <c r="BT4" s="494"/>
      <c r="BU4" s="494"/>
      <c r="BV4" s="494"/>
      <c r="BW4" s="494"/>
      <c r="BX4" s="494"/>
      <c r="BY4" s="494"/>
      <c r="BZ4" s="494"/>
      <c r="CA4" s="494"/>
      <c r="CB4" s="494"/>
      <c r="CC4" s="494"/>
      <c r="CD4" s="494"/>
      <c r="CE4" s="494"/>
      <c r="CF4" s="494"/>
      <c r="CG4" s="494"/>
      <c r="CH4" s="494"/>
      <c r="CI4" s="494"/>
      <c r="CJ4" s="494"/>
      <c r="CK4" s="494"/>
      <c r="CL4" s="494"/>
      <c r="CM4" s="494"/>
      <c r="CN4" s="494"/>
      <c r="CO4" s="494"/>
      <c r="CP4" s="494"/>
      <c r="CQ4" s="494"/>
      <c r="CR4" s="494"/>
      <c r="CS4" s="494"/>
      <c r="CT4" s="494"/>
      <c r="CU4" s="494"/>
      <c r="CV4" s="494"/>
      <c r="CW4" s="494"/>
      <c r="CX4" s="494"/>
      <c r="CY4" s="494"/>
      <c r="CZ4" s="494"/>
      <c r="DA4" s="494"/>
      <c r="DB4" s="494"/>
      <c r="DC4" s="494"/>
      <c r="DD4" s="494"/>
      <c r="DE4" s="494"/>
      <c r="DF4" s="494"/>
      <c r="DG4" s="494"/>
      <c r="DH4" s="494"/>
      <c r="DI4" s="494"/>
      <c r="DJ4" s="494"/>
      <c r="DK4" s="494"/>
      <c r="DL4" s="494"/>
      <c r="DM4" s="494"/>
      <c r="DN4" s="494"/>
      <c r="DO4" s="494"/>
      <c r="DP4" s="494"/>
      <c r="DQ4" s="494"/>
      <c r="DR4" s="494"/>
      <c r="DS4" s="494"/>
      <c r="DT4" s="494"/>
      <c r="DU4" s="494"/>
      <c r="DV4" s="494"/>
      <c r="DW4" s="494"/>
      <c r="DX4" s="494"/>
      <c r="DY4" s="494"/>
      <c r="DZ4" s="494"/>
      <c r="EA4" s="494"/>
      <c r="EB4" s="494"/>
      <c r="EC4" s="494"/>
      <c r="ED4" s="494"/>
      <c r="EE4" s="494"/>
      <c r="EF4" s="494"/>
      <c r="EG4" s="494"/>
      <c r="EH4" s="494"/>
      <c r="EI4" s="494"/>
      <c r="EJ4" s="494"/>
      <c r="EK4" s="494"/>
      <c r="EL4" s="494"/>
      <c r="EM4" s="494"/>
      <c r="EN4" s="494"/>
      <c r="EO4" s="494"/>
      <c r="EP4" s="494"/>
      <c r="EQ4" s="494"/>
      <c r="ER4" s="494"/>
      <c r="ES4" s="494"/>
      <c r="ET4" s="494"/>
      <c r="EU4" s="494"/>
      <c r="EV4" s="494"/>
      <c r="EW4" s="494"/>
      <c r="EX4" s="494"/>
      <c r="EY4" s="494"/>
      <c r="EZ4" s="494"/>
      <c r="FA4" s="494"/>
      <c r="FB4" s="494"/>
      <c r="FC4" s="494"/>
      <c r="FD4" s="494"/>
      <c r="FE4" s="494"/>
      <c r="FF4" s="494"/>
      <c r="FG4" s="494"/>
      <c r="FH4" s="752"/>
      <c r="FI4" s="319"/>
      <c r="FJ4" s="319"/>
      <c r="FK4" s="319"/>
      <c r="FL4" s="319"/>
      <c r="FM4" s="319"/>
      <c r="FN4" s="319"/>
      <c r="FO4" s="319"/>
      <c r="FP4" s="319"/>
      <c r="FQ4" s="319"/>
      <c r="FR4" s="319"/>
      <c r="FS4" s="319"/>
      <c r="FT4" s="319"/>
      <c r="FU4" s="319"/>
      <c r="FV4" s="319"/>
      <c r="FW4" s="319"/>
      <c r="FX4" s="319"/>
      <c r="FY4" s="319"/>
      <c r="FZ4" s="319"/>
      <c r="GA4" s="319"/>
      <c r="GB4" s="319"/>
      <c r="GC4" s="319"/>
      <c r="GD4" s="319"/>
      <c r="GE4" s="319"/>
      <c r="GF4" s="319"/>
      <c r="GG4" s="319"/>
      <c r="GH4" s="319"/>
      <c r="GI4" s="319"/>
      <c r="GJ4" s="319"/>
      <c r="GK4" s="319"/>
      <c r="GL4" s="319"/>
      <c r="GM4" s="319"/>
      <c r="GN4" s="319"/>
      <c r="GO4" s="319"/>
      <c r="GP4" s="319"/>
      <c r="GQ4" s="319"/>
      <c r="GR4" s="319"/>
      <c r="GS4" s="319"/>
      <c r="GT4" s="319"/>
      <c r="GU4" s="319"/>
      <c r="GV4" s="319"/>
      <c r="GW4" s="319"/>
      <c r="GX4" s="319"/>
      <c r="GY4" s="319"/>
      <c r="GZ4" s="319"/>
      <c r="HA4" s="319"/>
      <c r="HB4" s="319"/>
      <c r="HC4" s="319"/>
      <c r="HD4" s="319"/>
      <c r="HE4" s="319"/>
      <c r="HF4" s="319"/>
      <c r="HG4" s="319"/>
      <c r="HH4" s="319"/>
      <c r="HI4" s="319"/>
      <c r="HJ4" s="319"/>
      <c r="HK4" s="319"/>
      <c r="HL4" s="319"/>
      <c r="HM4" s="319"/>
      <c r="HN4" s="319"/>
      <c r="HO4" s="319"/>
      <c r="HP4" s="319"/>
      <c r="HQ4" s="319"/>
      <c r="HR4" s="319"/>
      <c r="HS4" s="319"/>
      <c r="HT4" s="319"/>
      <c r="HU4" s="319"/>
      <c r="HV4" s="319"/>
      <c r="HW4" s="319"/>
      <c r="HX4" s="319"/>
      <c r="HY4" s="319"/>
      <c r="HZ4" s="319"/>
      <c r="IA4" s="319"/>
      <c r="IB4" s="319"/>
      <c r="IC4" s="319"/>
      <c r="ID4" s="319"/>
      <c r="IE4" s="319"/>
      <c r="IF4" s="319"/>
      <c r="IG4" s="319"/>
      <c r="IH4" s="319"/>
      <c r="II4" s="319"/>
      <c r="IJ4" s="319"/>
      <c r="IK4" s="319"/>
      <c r="IL4" s="319"/>
      <c r="IM4" s="319"/>
      <c r="IN4" s="319"/>
      <c r="IO4" s="319"/>
      <c r="IP4" s="319"/>
      <c r="IQ4" s="319"/>
      <c r="IR4" s="319"/>
      <c r="IS4" s="319"/>
      <c r="IT4" s="319"/>
      <c r="IU4" s="319"/>
      <c r="IV4" s="319"/>
      <c r="IW4" s="319"/>
      <c r="IX4" s="319"/>
      <c r="IY4" s="319"/>
      <c r="IZ4" s="319"/>
      <c r="JA4" s="319"/>
      <c r="JB4" s="319"/>
      <c r="JC4" s="319"/>
      <c r="JD4" s="319"/>
      <c r="JE4" s="319"/>
      <c r="JF4" s="319"/>
      <c r="JG4" s="319"/>
      <c r="JH4" s="319"/>
      <c r="JI4" s="319"/>
      <c r="JJ4" s="319"/>
      <c r="JK4" s="319"/>
      <c r="JL4" s="319"/>
      <c r="JM4" s="319"/>
      <c r="JN4" s="319"/>
      <c r="JO4" s="319"/>
      <c r="JP4" s="319"/>
      <c r="JQ4" s="319"/>
      <c r="JR4" s="319"/>
      <c r="JS4" s="319"/>
      <c r="JT4" s="319"/>
      <c r="JU4" s="319"/>
      <c r="JV4" s="319"/>
      <c r="JW4" s="319"/>
      <c r="JX4" s="319"/>
      <c r="JY4" s="319"/>
      <c r="JZ4" s="319"/>
      <c r="KA4" s="319"/>
      <c r="KB4" s="319"/>
      <c r="KC4" s="319"/>
      <c r="KD4" s="319"/>
      <c r="KE4" s="319"/>
      <c r="KF4" s="319"/>
      <c r="KG4" s="319"/>
      <c r="KH4" s="319"/>
      <c r="KI4" s="319"/>
      <c r="KJ4" s="319"/>
      <c r="KK4" s="319"/>
      <c r="KL4" s="319"/>
      <c r="KM4" s="319"/>
      <c r="KN4" s="319"/>
      <c r="KO4" s="319"/>
      <c r="KP4" s="319"/>
    </row>
    <row r="5" spans="1:302" ht="21.75" customHeight="1">
      <c r="A5" s="2348"/>
      <c r="B5" s="2348"/>
      <c r="C5" s="2348"/>
      <c r="D5" s="2348"/>
      <c r="E5" s="2348"/>
      <c r="F5" s="2348"/>
      <c r="G5" s="2348"/>
      <c r="H5" s="2348"/>
      <c r="I5" s="2348"/>
      <c r="J5" s="2348"/>
      <c r="K5" s="2348"/>
      <c r="L5" s="2348"/>
      <c r="M5" s="2348"/>
      <c r="N5" s="2348"/>
      <c r="O5" s="2348"/>
      <c r="P5" s="2348"/>
      <c r="Q5" s="2348"/>
      <c r="R5" s="2348"/>
      <c r="S5" s="2348"/>
      <c r="T5" s="2348"/>
      <c r="U5" s="2348"/>
      <c r="V5" s="2348"/>
      <c r="W5" s="2348"/>
      <c r="X5" s="2348"/>
      <c r="Y5" s="2348"/>
      <c r="Z5" s="2348"/>
      <c r="AA5" s="2348"/>
      <c r="AB5" s="2348"/>
      <c r="AC5" s="2348"/>
      <c r="AD5" s="2348"/>
      <c r="AE5" s="2348"/>
      <c r="AF5" s="2348"/>
      <c r="AG5" s="2348"/>
      <c r="AH5" s="2348"/>
      <c r="AI5" s="2348"/>
      <c r="AJ5" s="2348"/>
      <c r="AK5" s="2348"/>
      <c r="AL5" s="2348"/>
      <c r="AM5" s="2348"/>
      <c r="AN5" s="2348"/>
      <c r="AO5" s="2348"/>
      <c r="AP5" s="2348"/>
      <c r="AQ5" s="2348"/>
      <c r="AR5" s="2348"/>
      <c r="AS5" s="2348"/>
      <c r="AT5" s="2348"/>
      <c r="AU5" s="2348"/>
      <c r="AV5" s="2348"/>
      <c r="AW5" s="2348"/>
      <c r="AX5" s="2348"/>
      <c r="AY5" s="2348"/>
      <c r="AZ5" s="2348"/>
      <c r="BA5" s="2348"/>
      <c r="BB5" s="2348"/>
      <c r="BC5" s="2348"/>
      <c r="BD5" s="2348"/>
      <c r="BE5" s="2348"/>
      <c r="BF5" s="2348"/>
      <c r="BG5" s="2348"/>
      <c r="BH5" s="2348"/>
      <c r="BI5" s="2348"/>
      <c r="BJ5" s="2348"/>
      <c r="BK5" s="2348"/>
      <c r="BL5" s="2348"/>
      <c r="BM5" s="2348"/>
      <c r="BN5" s="2348"/>
      <c r="BO5" s="2348"/>
      <c r="BP5" s="2348"/>
      <c r="BQ5" s="2348"/>
      <c r="BR5" s="2348"/>
      <c r="BS5" s="2348"/>
      <c r="BT5" s="2348"/>
      <c r="BU5" s="2348"/>
      <c r="BV5" s="2348"/>
      <c r="BW5" s="2348"/>
      <c r="BX5" s="2348"/>
      <c r="BY5" s="2348"/>
      <c r="BZ5" s="2348"/>
      <c r="CA5" s="2348"/>
      <c r="CB5" s="2348"/>
      <c r="CC5" s="2348"/>
      <c r="CD5" s="2348"/>
      <c r="CE5" s="2348"/>
      <c r="CF5" s="2348"/>
      <c r="CG5" s="2348"/>
      <c r="CH5" s="2348"/>
      <c r="CI5" s="2348"/>
      <c r="CJ5" s="2348"/>
      <c r="CK5" s="2348"/>
      <c r="CL5" s="2348"/>
      <c r="CM5" s="2348"/>
      <c r="CN5" s="2348"/>
      <c r="CO5" s="2348"/>
      <c r="CP5" s="2348"/>
      <c r="CQ5" s="2348"/>
      <c r="CR5" s="2348"/>
      <c r="CS5" s="2348"/>
      <c r="CT5" s="2348"/>
      <c r="CU5" s="2348"/>
      <c r="CV5" s="2348"/>
      <c r="CW5" s="2348"/>
      <c r="CX5" s="2348"/>
      <c r="CY5" s="2348"/>
      <c r="CZ5" s="2348"/>
      <c r="DA5" s="2348"/>
      <c r="DB5" s="2348"/>
      <c r="DC5" s="2348"/>
      <c r="DD5" s="2348"/>
      <c r="DE5" s="2348"/>
      <c r="DF5" s="2348"/>
      <c r="DG5" s="2348"/>
      <c r="DH5" s="2348"/>
      <c r="DI5" s="2348"/>
      <c r="DJ5" s="2348"/>
      <c r="DK5" s="2348"/>
      <c r="DL5" s="2348"/>
      <c r="DM5" s="2348"/>
      <c r="DN5" s="2348"/>
      <c r="DO5" s="2348"/>
      <c r="DP5" s="2348"/>
      <c r="DQ5" s="2348"/>
      <c r="DR5" s="2348"/>
      <c r="DS5" s="2348"/>
      <c r="DT5" s="2348"/>
      <c r="DU5" s="2348"/>
      <c r="DV5" s="2348"/>
      <c r="DW5" s="2348"/>
      <c r="DX5" s="2348"/>
      <c r="DY5" s="2348"/>
      <c r="DZ5" s="2348"/>
      <c r="EA5" s="2348"/>
      <c r="EB5" s="2348"/>
      <c r="EC5" s="2348"/>
      <c r="ED5" s="2348"/>
      <c r="EE5" s="2348"/>
      <c r="EF5" s="2348"/>
      <c r="EG5" s="2348"/>
      <c r="EH5" s="2348"/>
      <c r="EI5" s="2348"/>
      <c r="EJ5" s="2348"/>
      <c r="EK5" s="2348"/>
      <c r="EL5" s="2348"/>
      <c r="EM5" s="2348"/>
      <c r="EN5" s="2348"/>
      <c r="EO5" s="2348"/>
      <c r="EP5" s="2348"/>
      <c r="EQ5" s="2348"/>
      <c r="ER5" s="2348"/>
      <c r="ES5" s="2348"/>
      <c r="ET5" s="2348"/>
      <c r="EU5" s="2348"/>
      <c r="EV5" s="2348"/>
      <c r="EW5" s="2348"/>
      <c r="EX5" s="2348"/>
      <c r="EY5" s="2348"/>
      <c r="EZ5" s="2348"/>
      <c r="FA5" s="2348"/>
      <c r="FB5" s="2348"/>
      <c r="FC5" s="2348"/>
      <c r="FD5" s="2348"/>
      <c r="FE5" s="2348"/>
      <c r="FF5" s="2348"/>
      <c r="FG5" s="2348"/>
      <c r="FH5" s="1709" t="s">
        <v>158</v>
      </c>
      <c r="FI5" s="1719"/>
      <c r="FJ5" s="1719"/>
      <c r="FK5" s="1719"/>
      <c r="FL5" s="1719"/>
      <c r="FM5" s="1719"/>
      <c r="FN5" s="1719"/>
      <c r="FO5" s="1719"/>
      <c r="FP5" s="1719"/>
      <c r="FQ5" s="1719"/>
      <c r="FR5" s="1719"/>
      <c r="FS5" s="1719"/>
      <c r="FT5" s="1719"/>
      <c r="FU5" s="1719"/>
      <c r="FV5" s="1719"/>
      <c r="FW5" s="1719"/>
      <c r="FX5" s="1719"/>
      <c r="FY5" s="1719"/>
      <c r="FZ5" s="1719"/>
      <c r="GA5" s="1719"/>
      <c r="GB5" s="1719"/>
      <c r="GC5" s="1719"/>
      <c r="GD5" s="1719"/>
      <c r="GE5" s="1719"/>
      <c r="GF5" s="1719"/>
      <c r="GG5" s="1719"/>
      <c r="GH5" s="1719"/>
      <c r="GI5" s="1719"/>
      <c r="GJ5" s="1719"/>
      <c r="GK5" s="1719"/>
      <c r="GL5" s="1719"/>
      <c r="GM5" s="1719"/>
      <c r="GN5" s="1719"/>
      <c r="GO5" s="1719"/>
      <c r="GP5" s="1719"/>
      <c r="GQ5" s="1719"/>
      <c r="GR5" s="1719"/>
      <c r="GS5" s="1719"/>
      <c r="GT5" s="1719"/>
      <c r="GU5" s="1719"/>
      <c r="GV5" s="1719"/>
      <c r="GW5" s="1719"/>
      <c r="GX5" s="1719"/>
      <c r="GY5" s="1719"/>
      <c r="GZ5" s="1719"/>
      <c r="HA5" s="1719"/>
      <c r="HB5" s="1719"/>
      <c r="HC5" s="1719"/>
      <c r="HD5" s="1719"/>
      <c r="HE5" s="1719"/>
      <c r="HF5" s="1719"/>
      <c r="HG5" s="1719"/>
      <c r="HH5" s="1719"/>
      <c r="HI5" s="1719"/>
      <c r="HJ5" s="1719"/>
      <c r="HK5" s="1719"/>
      <c r="HL5" s="1719"/>
      <c r="HM5" s="1719"/>
      <c r="HN5" s="1719"/>
      <c r="HO5" s="1719"/>
      <c r="HP5" s="1719"/>
      <c r="HQ5" s="1719"/>
      <c r="HR5" s="1719"/>
      <c r="HS5" s="1719"/>
      <c r="HT5" s="1719"/>
      <c r="HU5" s="1719"/>
      <c r="HV5" s="1719"/>
      <c r="HW5" s="1719"/>
      <c r="HX5" s="1719"/>
      <c r="HY5" s="1719"/>
      <c r="HZ5" s="1719"/>
      <c r="IA5" s="1719"/>
      <c r="IB5" s="1719"/>
      <c r="IC5" s="1719"/>
      <c r="ID5" s="1719"/>
      <c r="IE5" s="1719"/>
      <c r="IF5" s="1719"/>
      <c r="IG5" s="1719"/>
      <c r="IH5" s="1719"/>
      <c r="II5" s="1719"/>
      <c r="IJ5" s="1719"/>
      <c r="IK5" s="1719"/>
      <c r="IL5" s="1719"/>
      <c r="IM5" s="1719"/>
      <c r="IN5" s="1719"/>
      <c r="IO5" s="1719"/>
      <c r="IP5" s="1719"/>
      <c r="IQ5" s="1719"/>
      <c r="IR5" s="1719"/>
      <c r="IS5" s="1719"/>
      <c r="IT5" s="1719"/>
      <c r="IU5" s="1719"/>
      <c r="IV5" s="1719"/>
      <c r="IW5" s="1719"/>
      <c r="IX5" s="1719"/>
      <c r="IY5" s="1719"/>
      <c r="IZ5" s="1719"/>
      <c r="JA5" s="1719"/>
      <c r="JB5" s="1719"/>
      <c r="JC5" s="1719"/>
      <c r="JD5" s="1719"/>
      <c r="JE5" s="1719"/>
      <c r="JF5" s="1719"/>
      <c r="JG5" s="1719"/>
      <c r="JH5" s="1719"/>
      <c r="JI5" s="1719"/>
      <c r="JJ5" s="1719"/>
      <c r="JK5" s="1719"/>
      <c r="JL5" s="1719"/>
      <c r="JM5" s="1719"/>
      <c r="JN5" s="1719"/>
      <c r="JO5" s="1719"/>
      <c r="JP5" s="1719"/>
      <c r="JQ5" s="1719"/>
      <c r="JR5" s="1719"/>
      <c r="JS5" s="1719"/>
      <c r="JT5" s="1719"/>
      <c r="JU5" s="1719"/>
      <c r="JV5" s="1719"/>
      <c r="JW5" s="1719"/>
      <c r="JX5" s="1719"/>
      <c r="JY5" s="1719"/>
      <c r="JZ5" s="1719"/>
      <c r="KA5" s="1719"/>
      <c r="KB5" s="1719"/>
      <c r="KC5" s="1719"/>
      <c r="KD5" s="1719"/>
      <c r="KE5" s="1719"/>
      <c r="KF5" s="1719"/>
      <c r="KG5" s="1719"/>
      <c r="KH5" s="1719"/>
      <c r="KI5" s="1719"/>
      <c r="KJ5" s="1719"/>
      <c r="KK5" s="1719"/>
      <c r="KL5" s="1719"/>
      <c r="KM5" s="1719"/>
      <c r="KN5" s="1719"/>
      <c r="KO5" s="1719"/>
      <c r="KP5" s="1719"/>
    </row>
    <row r="6" spans="1:302" ht="30.75" customHeight="1">
      <c r="A6" s="2344"/>
      <c r="B6" s="2316">
        <v>2013</v>
      </c>
      <c r="C6" s="2316"/>
      <c r="D6" s="2316"/>
      <c r="E6" s="2316"/>
      <c r="F6" s="2316"/>
      <c r="G6" s="2316"/>
      <c r="H6" s="2316"/>
      <c r="I6" s="2316"/>
      <c r="J6" s="2316"/>
      <c r="K6" s="2316"/>
      <c r="L6" s="2316"/>
      <c r="M6" s="2316">
        <v>2013</v>
      </c>
      <c r="N6" s="2316">
        <v>2014</v>
      </c>
      <c r="O6" s="2316"/>
      <c r="P6" s="2316"/>
      <c r="Q6" s="2316"/>
      <c r="R6" s="2316"/>
      <c r="S6" s="2316"/>
      <c r="T6" s="2316"/>
      <c r="U6" s="2316"/>
      <c r="V6" s="2316"/>
      <c r="W6" s="2316"/>
      <c r="X6" s="2316"/>
      <c r="Y6" s="2316">
        <v>2014</v>
      </c>
      <c r="Z6" s="2316">
        <v>2015</v>
      </c>
      <c r="AA6" s="2316"/>
      <c r="AB6" s="2316">
        <v>2015</v>
      </c>
      <c r="AC6" s="2316"/>
      <c r="AD6" s="2316"/>
      <c r="AE6" s="2316"/>
      <c r="AF6" s="2316"/>
      <c r="AG6" s="2316"/>
      <c r="AH6" s="2316"/>
      <c r="AI6" s="2316"/>
      <c r="AJ6" s="2316"/>
      <c r="AK6" s="2316"/>
      <c r="AL6" s="789">
        <v>2016</v>
      </c>
      <c r="AM6" s="789"/>
      <c r="AN6" s="789"/>
      <c r="AO6" s="789"/>
      <c r="AP6" s="789"/>
      <c r="AQ6" s="789"/>
      <c r="AR6" s="789"/>
      <c r="AS6" s="789"/>
      <c r="AT6" s="789"/>
      <c r="AU6" s="789"/>
      <c r="AV6" s="2316">
        <v>2016</v>
      </c>
      <c r="AW6" s="2316"/>
      <c r="AX6" s="789">
        <v>2017</v>
      </c>
      <c r="AY6" s="789"/>
      <c r="AZ6" s="789"/>
      <c r="BA6" s="789"/>
      <c r="BB6" s="789"/>
      <c r="BC6" s="789"/>
      <c r="BD6" s="789"/>
      <c r="BE6" s="789"/>
      <c r="BF6" s="789"/>
      <c r="BG6" s="789"/>
      <c r="BH6" s="829"/>
      <c r="BI6" s="832">
        <v>2017</v>
      </c>
      <c r="BJ6" s="833">
        <v>2018</v>
      </c>
      <c r="BK6" s="833"/>
      <c r="BL6" s="833"/>
      <c r="BM6" s="833"/>
      <c r="BN6" s="833"/>
      <c r="BO6" s="833"/>
      <c r="BP6" s="833"/>
      <c r="BQ6" s="833"/>
      <c r="BR6" s="833"/>
      <c r="BS6" s="833"/>
      <c r="BT6" s="833"/>
      <c r="BU6" s="832">
        <v>2018</v>
      </c>
      <c r="BV6" s="2341">
        <v>2019</v>
      </c>
      <c r="BW6" s="2341"/>
      <c r="BX6" s="2341"/>
      <c r="BY6" s="2341"/>
      <c r="BZ6" s="2341"/>
      <c r="CA6" s="2341"/>
      <c r="CB6" s="2341"/>
      <c r="CC6" s="2341"/>
      <c r="CD6" s="2341"/>
      <c r="CE6" s="2341"/>
      <c r="CF6" s="2341"/>
      <c r="CG6" s="2341"/>
      <c r="CH6" s="834">
        <v>2020</v>
      </c>
      <c r="CI6" s="834">
        <v>2020</v>
      </c>
      <c r="CJ6" s="834">
        <v>2020</v>
      </c>
      <c r="CK6" s="834">
        <v>2020</v>
      </c>
      <c r="CL6" s="834">
        <v>2020</v>
      </c>
      <c r="CM6" s="834">
        <v>2020</v>
      </c>
      <c r="CN6" s="834">
        <v>2020</v>
      </c>
      <c r="CO6" s="834">
        <v>2020</v>
      </c>
      <c r="CP6" s="834">
        <v>2020</v>
      </c>
      <c r="CQ6" s="834">
        <v>2020</v>
      </c>
      <c r="CR6" s="834">
        <v>2020</v>
      </c>
      <c r="CS6" s="834">
        <v>2020</v>
      </c>
      <c r="CT6" s="2318">
        <v>2021</v>
      </c>
      <c r="CU6" s="2319"/>
      <c r="CV6" s="2319"/>
      <c r="CW6" s="2319"/>
      <c r="CX6" s="2319"/>
      <c r="CY6" s="2319"/>
      <c r="CZ6" s="2319"/>
      <c r="DA6" s="2319"/>
      <c r="DB6" s="2319"/>
      <c r="DC6" s="2319"/>
      <c r="DD6" s="2319"/>
      <c r="DE6" s="2320"/>
      <c r="DF6" s="2321">
        <v>2022</v>
      </c>
      <c r="DG6" s="2319"/>
      <c r="DH6" s="2319"/>
      <c r="DI6" s="2319"/>
      <c r="DJ6" s="2319"/>
      <c r="DK6" s="2319"/>
      <c r="DL6" s="2319"/>
      <c r="DM6" s="2319"/>
      <c r="DN6" s="2319"/>
      <c r="DO6" s="2319"/>
      <c r="DP6" s="2319"/>
      <c r="DQ6" s="2320"/>
      <c r="DR6" s="2321">
        <v>2023</v>
      </c>
      <c r="DS6" s="2319"/>
      <c r="DT6" s="2319"/>
      <c r="DU6" s="2319"/>
      <c r="DV6" s="2319"/>
      <c r="DW6" s="2319"/>
      <c r="DX6" s="2319"/>
      <c r="DY6" s="2319"/>
      <c r="DZ6" s="2319"/>
      <c r="EA6" s="2319"/>
      <c r="EB6" s="2319"/>
      <c r="EC6" s="2320"/>
      <c r="ED6" s="2321">
        <v>2024</v>
      </c>
      <c r="EE6" s="2319"/>
      <c r="EF6" s="2319"/>
      <c r="EG6" s="2319"/>
      <c r="EH6" s="2319"/>
      <c r="EI6" s="2319"/>
      <c r="EJ6" s="2319"/>
      <c r="EK6" s="2319"/>
      <c r="EL6" s="2319"/>
      <c r="EM6" s="2319"/>
      <c r="EN6" s="2319"/>
      <c r="EO6" s="2320"/>
      <c r="EP6" s="2321">
        <v>2025</v>
      </c>
      <c r="EQ6" s="2319"/>
      <c r="ER6" s="2319"/>
      <c r="ES6" s="2319"/>
      <c r="ET6" s="2319"/>
      <c r="EU6" s="2319"/>
      <c r="EV6" s="2319"/>
      <c r="EW6" s="2319"/>
      <c r="EX6" s="2319"/>
      <c r="EY6" s="2319"/>
      <c r="EZ6" s="2319"/>
      <c r="FA6" s="2320"/>
      <c r="FB6" s="2321">
        <v>2026</v>
      </c>
      <c r="FC6" s="2319"/>
      <c r="FD6" s="2319"/>
      <c r="FE6" s="2319"/>
      <c r="FF6" s="2319"/>
      <c r="FG6" s="2320"/>
      <c r="FH6" s="2345"/>
      <c r="FI6" s="319"/>
      <c r="FJ6" s="319"/>
      <c r="FK6" s="319"/>
      <c r="FL6" s="319"/>
      <c r="FM6" s="319"/>
      <c r="FN6" s="319"/>
      <c r="FO6" s="319"/>
      <c r="FP6" s="319"/>
      <c r="FQ6" s="319"/>
      <c r="FR6" s="319"/>
      <c r="FS6" s="319"/>
      <c r="FT6" s="319"/>
      <c r="FU6" s="319"/>
      <c r="FV6" s="319"/>
      <c r="FW6" s="319"/>
      <c r="FX6" s="319"/>
      <c r="FY6" s="319"/>
      <c r="FZ6" s="319"/>
      <c r="GA6" s="319"/>
      <c r="GB6" s="319"/>
      <c r="GC6" s="319"/>
      <c r="GD6" s="319"/>
      <c r="GE6" s="319"/>
      <c r="GF6" s="319"/>
      <c r="GG6" s="319"/>
      <c r="GH6" s="319"/>
      <c r="GI6" s="319"/>
      <c r="GJ6" s="319"/>
      <c r="GK6" s="319"/>
      <c r="GL6" s="319"/>
      <c r="GM6" s="319"/>
      <c r="GN6" s="319"/>
      <c r="GO6" s="319"/>
      <c r="GP6" s="319"/>
      <c r="GQ6" s="319"/>
      <c r="GR6" s="319"/>
      <c r="GS6" s="319"/>
      <c r="GT6" s="319"/>
      <c r="GU6" s="319"/>
      <c r="GV6" s="319"/>
      <c r="GW6" s="319"/>
      <c r="GX6" s="319"/>
      <c r="GY6" s="319"/>
      <c r="GZ6" s="319"/>
      <c r="HA6" s="319"/>
      <c r="HB6" s="319"/>
      <c r="HC6" s="319"/>
      <c r="HD6" s="319"/>
      <c r="HE6" s="319"/>
      <c r="HF6" s="319"/>
      <c r="HG6" s="319"/>
      <c r="HH6" s="319"/>
      <c r="HI6" s="319"/>
      <c r="HJ6" s="319"/>
      <c r="HK6" s="319"/>
      <c r="HL6" s="319"/>
      <c r="HM6" s="319"/>
      <c r="HN6" s="319"/>
      <c r="HO6" s="319"/>
      <c r="HP6" s="319"/>
      <c r="HQ6" s="319"/>
      <c r="HR6" s="319"/>
      <c r="HS6" s="319"/>
      <c r="HT6" s="319"/>
      <c r="HU6" s="319"/>
      <c r="HV6" s="319"/>
      <c r="HW6" s="319"/>
      <c r="HX6" s="319"/>
      <c r="HY6" s="319"/>
      <c r="HZ6" s="319"/>
      <c r="IA6" s="319"/>
      <c r="IB6" s="319"/>
      <c r="IC6" s="319"/>
      <c r="ID6" s="319"/>
      <c r="IE6" s="319"/>
      <c r="IF6" s="319"/>
      <c r="IG6" s="319"/>
      <c r="IH6" s="319"/>
      <c r="II6" s="319"/>
      <c r="IJ6" s="319"/>
      <c r="IK6" s="319"/>
      <c r="IL6" s="319"/>
      <c r="IM6" s="319"/>
      <c r="IN6" s="319"/>
      <c r="IO6" s="319"/>
      <c r="IP6" s="319"/>
      <c r="IQ6" s="319"/>
      <c r="IR6" s="319"/>
      <c r="IS6" s="319"/>
      <c r="IT6" s="319"/>
      <c r="IU6" s="319"/>
      <c r="IV6" s="319"/>
      <c r="IW6" s="319"/>
      <c r="IX6" s="319"/>
      <c r="IY6" s="319"/>
      <c r="IZ6" s="319"/>
      <c r="JA6" s="319"/>
      <c r="JB6" s="319"/>
      <c r="JC6" s="319"/>
      <c r="JD6" s="319"/>
      <c r="JE6" s="319"/>
      <c r="JF6" s="319"/>
      <c r="JG6" s="319"/>
      <c r="JH6" s="319"/>
      <c r="JI6" s="319"/>
      <c r="JJ6" s="319"/>
      <c r="JK6" s="319"/>
      <c r="JL6" s="319"/>
      <c r="JM6" s="319"/>
      <c r="JN6" s="319"/>
      <c r="JO6" s="319"/>
      <c r="JP6" s="319"/>
      <c r="JQ6" s="319"/>
      <c r="JR6" s="319"/>
      <c r="JS6" s="319"/>
      <c r="JT6" s="319"/>
      <c r="JU6" s="319"/>
      <c r="JV6" s="319"/>
      <c r="JW6" s="319"/>
      <c r="JX6" s="319"/>
      <c r="JY6" s="319"/>
      <c r="JZ6" s="319"/>
      <c r="KA6" s="319"/>
      <c r="KB6" s="319"/>
      <c r="KC6" s="319"/>
      <c r="KD6" s="319"/>
      <c r="KE6" s="319"/>
      <c r="KF6" s="319"/>
      <c r="KG6" s="319"/>
      <c r="KH6" s="319"/>
      <c r="KI6" s="319"/>
      <c r="KJ6" s="319"/>
      <c r="KK6" s="319"/>
      <c r="KL6" s="319"/>
      <c r="KM6" s="319"/>
      <c r="KN6" s="319"/>
      <c r="KO6" s="319"/>
      <c r="KP6" s="319"/>
    </row>
    <row r="7" spans="1:302" ht="30.75" customHeight="1">
      <c r="A7" s="2311"/>
      <c r="B7" s="790" t="s">
        <v>1948</v>
      </c>
      <c r="C7" s="790" t="s">
        <v>1959</v>
      </c>
      <c r="D7" s="790" t="s">
        <v>1958</v>
      </c>
      <c r="E7" s="790" t="s">
        <v>1957</v>
      </c>
      <c r="F7" s="790" t="s">
        <v>1956</v>
      </c>
      <c r="G7" s="790" t="s">
        <v>1955</v>
      </c>
      <c r="H7" s="790" t="s">
        <v>1954</v>
      </c>
      <c r="I7" s="790" t="s">
        <v>1953</v>
      </c>
      <c r="J7" s="790" t="s">
        <v>1952</v>
      </c>
      <c r="K7" s="790" t="s">
        <v>1951</v>
      </c>
      <c r="L7" s="790" t="s">
        <v>1950</v>
      </c>
      <c r="M7" s="790" t="s">
        <v>1949</v>
      </c>
      <c r="N7" s="790" t="s">
        <v>1948</v>
      </c>
      <c r="O7" s="790" t="s">
        <v>1959</v>
      </c>
      <c r="P7" s="790" t="s">
        <v>1958</v>
      </c>
      <c r="Q7" s="790" t="s">
        <v>1957</v>
      </c>
      <c r="R7" s="790" t="s">
        <v>1956</v>
      </c>
      <c r="S7" s="790" t="s">
        <v>1955</v>
      </c>
      <c r="T7" s="790" t="s">
        <v>1954</v>
      </c>
      <c r="U7" s="790" t="s">
        <v>1953</v>
      </c>
      <c r="V7" s="790" t="s">
        <v>1952</v>
      </c>
      <c r="W7" s="790" t="s">
        <v>1951</v>
      </c>
      <c r="X7" s="790" t="s">
        <v>1950</v>
      </c>
      <c r="Y7" s="790" t="s">
        <v>1949</v>
      </c>
      <c r="Z7" s="790" t="s">
        <v>1948</v>
      </c>
      <c r="AA7" s="790" t="s">
        <v>1959</v>
      </c>
      <c r="AB7" s="790" t="s">
        <v>1958</v>
      </c>
      <c r="AC7" s="790" t="s">
        <v>1957</v>
      </c>
      <c r="AD7" s="790" t="s">
        <v>1956</v>
      </c>
      <c r="AE7" s="790" t="s">
        <v>1960</v>
      </c>
      <c r="AF7" s="790" t="s">
        <v>1964</v>
      </c>
      <c r="AG7" s="790" t="s">
        <v>1953</v>
      </c>
      <c r="AH7" s="790" t="s">
        <v>1952</v>
      </c>
      <c r="AI7" s="790" t="s">
        <v>1951</v>
      </c>
      <c r="AJ7" s="790" t="s">
        <v>1950</v>
      </c>
      <c r="AK7" s="790" t="s">
        <v>1949</v>
      </c>
      <c r="AL7" s="790" t="s">
        <v>1948</v>
      </c>
      <c r="AM7" s="790" t="s">
        <v>1959</v>
      </c>
      <c r="AN7" s="790" t="s">
        <v>1958</v>
      </c>
      <c r="AO7" s="790" t="s">
        <v>1957</v>
      </c>
      <c r="AP7" s="790" t="s">
        <v>1956</v>
      </c>
      <c r="AQ7" s="790" t="s">
        <v>1955</v>
      </c>
      <c r="AR7" s="790" t="s">
        <v>1954</v>
      </c>
      <c r="AS7" s="790" t="s">
        <v>1953</v>
      </c>
      <c r="AT7" s="790" t="s">
        <v>1952</v>
      </c>
      <c r="AU7" s="790" t="s">
        <v>1951</v>
      </c>
      <c r="AV7" s="790" t="s">
        <v>1950</v>
      </c>
      <c r="AW7" s="790" t="s">
        <v>1949</v>
      </c>
      <c r="AX7" s="790" t="s">
        <v>1948</v>
      </c>
      <c r="AY7" s="790" t="s">
        <v>1947</v>
      </c>
      <c r="AZ7" s="790" t="s">
        <v>1946</v>
      </c>
      <c r="BA7" s="790" t="s">
        <v>1945</v>
      </c>
      <c r="BB7" s="790" t="s">
        <v>1965</v>
      </c>
      <c r="BC7" s="790" t="s">
        <v>1966</v>
      </c>
      <c r="BD7" s="790" t="s">
        <v>1975</v>
      </c>
      <c r="BE7" s="790" t="s">
        <v>1985</v>
      </c>
      <c r="BF7" s="790" t="s">
        <v>1995</v>
      </c>
      <c r="BG7" s="790" t="s">
        <v>2008</v>
      </c>
      <c r="BH7" s="825" t="s">
        <v>2019</v>
      </c>
      <c r="BI7" s="847" t="s">
        <v>1949</v>
      </c>
      <c r="BJ7" s="847" t="s">
        <v>1948</v>
      </c>
      <c r="BK7" s="847" t="s">
        <v>1947</v>
      </c>
      <c r="BL7" s="847" t="s">
        <v>1946</v>
      </c>
      <c r="BM7" s="847" t="s">
        <v>1945</v>
      </c>
      <c r="BN7" s="847" t="s">
        <v>1965</v>
      </c>
      <c r="BO7" s="847" t="s">
        <v>1966</v>
      </c>
      <c r="BP7" s="847" t="s">
        <v>1975</v>
      </c>
      <c r="BQ7" s="847" t="s">
        <v>1985</v>
      </c>
      <c r="BR7" s="847" t="s">
        <v>1995</v>
      </c>
      <c r="BS7" s="847" t="s">
        <v>2008</v>
      </c>
      <c r="BT7" s="847" t="s">
        <v>2019</v>
      </c>
      <c r="BU7" s="847" t="s">
        <v>1949</v>
      </c>
      <c r="BV7" s="847" t="s">
        <v>1948</v>
      </c>
      <c r="BW7" s="847" t="s">
        <v>1947</v>
      </c>
      <c r="BX7" s="847" t="s">
        <v>1946</v>
      </c>
      <c r="BY7" s="847" t="s">
        <v>1945</v>
      </c>
      <c r="BZ7" s="847" t="s">
        <v>1965</v>
      </c>
      <c r="CA7" s="847" t="s">
        <v>1966</v>
      </c>
      <c r="CB7" s="847" t="s">
        <v>1975</v>
      </c>
      <c r="CC7" s="847" t="s">
        <v>1985</v>
      </c>
      <c r="CD7" s="847" t="s">
        <v>1995</v>
      </c>
      <c r="CE7" s="847" t="s">
        <v>2008</v>
      </c>
      <c r="CF7" s="847" t="s">
        <v>2019</v>
      </c>
      <c r="CG7" s="847" t="s">
        <v>1949</v>
      </c>
      <c r="CH7" s="847" t="s">
        <v>1948</v>
      </c>
      <c r="CI7" s="847" t="s">
        <v>1947</v>
      </c>
      <c r="CJ7" s="847" t="s">
        <v>1946</v>
      </c>
      <c r="CK7" s="847" t="s">
        <v>1945</v>
      </c>
      <c r="CL7" s="847" t="s">
        <v>1965</v>
      </c>
      <c r="CM7" s="847" t="s">
        <v>2413</v>
      </c>
      <c r="CN7" s="847" t="s">
        <v>2419</v>
      </c>
      <c r="CO7" s="847" t="s">
        <v>1985</v>
      </c>
      <c r="CP7" s="847" t="s">
        <v>1995</v>
      </c>
      <c r="CQ7" s="847" t="s">
        <v>2008</v>
      </c>
      <c r="CR7" s="847" t="s">
        <v>2019</v>
      </c>
      <c r="CS7" s="847" t="s">
        <v>1949</v>
      </c>
      <c r="CT7" s="847" t="s">
        <v>1948</v>
      </c>
      <c r="CU7" s="847" t="s">
        <v>1947</v>
      </c>
      <c r="CV7" s="847" t="s">
        <v>1946</v>
      </c>
      <c r="CW7" s="847" t="s">
        <v>1945</v>
      </c>
      <c r="CX7" s="847" t="s">
        <v>1965</v>
      </c>
      <c r="CY7" s="847" t="s">
        <v>1966</v>
      </c>
      <c r="CZ7" s="847" t="s">
        <v>1975</v>
      </c>
      <c r="DA7" s="847" t="s">
        <v>1985</v>
      </c>
      <c r="DB7" s="847" t="s">
        <v>1995</v>
      </c>
      <c r="DC7" s="847" t="s">
        <v>2008</v>
      </c>
      <c r="DD7" s="847" t="s">
        <v>2019</v>
      </c>
      <c r="DE7" s="847" t="s">
        <v>1949</v>
      </c>
      <c r="DF7" s="847" t="s">
        <v>1948</v>
      </c>
      <c r="DG7" s="847" t="s">
        <v>1947</v>
      </c>
      <c r="DH7" s="847" t="s">
        <v>1946</v>
      </c>
      <c r="DI7" s="847" t="s">
        <v>1945</v>
      </c>
      <c r="DJ7" s="847" t="s">
        <v>1965</v>
      </c>
      <c r="DK7" s="847" t="s">
        <v>1966</v>
      </c>
      <c r="DL7" s="847" t="s">
        <v>1975</v>
      </c>
      <c r="DM7" s="847" t="s">
        <v>1985</v>
      </c>
      <c r="DN7" s="847" t="s">
        <v>1995</v>
      </c>
      <c r="DO7" s="847" t="s">
        <v>2008</v>
      </c>
      <c r="DP7" s="847" t="s">
        <v>2019</v>
      </c>
      <c r="DQ7" s="847" t="s">
        <v>1949</v>
      </c>
      <c r="DR7" s="847" t="s">
        <v>1948</v>
      </c>
      <c r="DS7" s="847" t="s">
        <v>1947</v>
      </c>
      <c r="DT7" s="847" t="s">
        <v>1946</v>
      </c>
      <c r="DU7" s="847" t="s">
        <v>1945</v>
      </c>
      <c r="DV7" s="847" t="s">
        <v>1965</v>
      </c>
      <c r="DW7" s="847" t="s">
        <v>1966</v>
      </c>
      <c r="DX7" s="847" t="s">
        <v>1975</v>
      </c>
      <c r="DY7" s="847" t="s">
        <v>1985</v>
      </c>
      <c r="DZ7" s="847" t="s">
        <v>1995</v>
      </c>
      <c r="EA7" s="847" t="s">
        <v>2008</v>
      </c>
      <c r="EB7" s="847" t="s">
        <v>2019</v>
      </c>
      <c r="EC7" s="847" t="s">
        <v>1949</v>
      </c>
      <c r="ED7" s="847" t="s">
        <v>1948</v>
      </c>
      <c r="EE7" s="847" t="s">
        <v>1947</v>
      </c>
      <c r="EF7" s="847" t="s">
        <v>1946</v>
      </c>
      <c r="EG7" s="847" t="s">
        <v>1945</v>
      </c>
      <c r="EH7" s="847" t="s">
        <v>1965</v>
      </c>
      <c r="EI7" s="847" t="s">
        <v>1966</v>
      </c>
      <c r="EJ7" s="847" t="s">
        <v>1975</v>
      </c>
      <c r="EK7" s="847" t="s">
        <v>1985</v>
      </c>
      <c r="EL7" s="847" t="s">
        <v>1995</v>
      </c>
      <c r="EM7" s="847" t="s">
        <v>2008</v>
      </c>
      <c r="EN7" s="847" t="s">
        <v>2019</v>
      </c>
      <c r="EO7" s="847" t="s">
        <v>1949</v>
      </c>
      <c r="EP7" s="847" t="s">
        <v>1948</v>
      </c>
      <c r="EQ7" s="847" t="s">
        <v>1947</v>
      </c>
      <c r="ER7" s="847" t="s">
        <v>1946</v>
      </c>
      <c r="ES7" s="847" t="s">
        <v>1945</v>
      </c>
      <c r="ET7" s="847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46"/>
      <c r="FI7" s="319"/>
      <c r="FJ7" s="319"/>
      <c r="FK7" s="319"/>
      <c r="FL7" s="319"/>
      <c r="FM7" s="319"/>
      <c r="FN7" s="319"/>
      <c r="FO7" s="319"/>
      <c r="FP7" s="319"/>
      <c r="FQ7" s="319"/>
      <c r="FR7" s="319"/>
      <c r="FS7" s="319"/>
      <c r="FT7" s="319"/>
      <c r="FU7" s="319"/>
      <c r="FV7" s="319"/>
      <c r="FW7" s="319"/>
      <c r="FX7" s="319"/>
      <c r="FY7" s="319"/>
      <c r="FZ7" s="319"/>
      <c r="GA7" s="319"/>
      <c r="GB7" s="319"/>
      <c r="GC7" s="319"/>
      <c r="GD7" s="319"/>
      <c r="GE7" s="319"/>
      <c r="GF7" s="319"/>
      <c r="GG7" s="319"/>
      <c r="GH7" s="319"/>
      <c r="GI7" s="319"/>
      <c r="GJ7" s="319"/>
      <c r="GK7" s="319"/>
      <c r="GL7" s="319"/>
      <c r="GM7" s="319"/>
      <c r="GN7" s="319"/>
      <c r="GO7" s="319"/>
      <c r="GP7" s="319"/>
      <c r="GQ7" s="319"/>
      <c r="GR7" s="319"/>
      <c r="GS7" s="319"/>
      <c r="GT7" s="319"/>
      <c r="GU7" s="319"/>
      <c r="GV7" s="319"/>
      <c r="GW7" s="319"/>
      <c r="GX7" s="319"/>
      <c r="GY7" s="319"/>
      <c r="GZ7" s="319"/>
      <c r="HA7" s="319"/>
      <c r="HB7" s="319"/>
      <c r="HC7" s="319"/>
      <c r="HD7" s="319"/>
      <c r="HE7" s="319"/>
      <c r="HF7" s="319"/>
      <c r="HG7" s="319"/>
      <c r="HH7" s="319"/>
      <c r="HI7" s="319"/>
      <c r="HJ7" s="319"/>
      <c r="HK7" s="319"/>
      <c r="HL7" s="319"/>
      <c r="HM7" s="319"/>
      <c r="HN7" s="319"/>
      <c r="HO7" s="319"/>
      <c r="HP7" s="319"/>
      <c r="HQ7" s="319"/>
      <c r="HR7" s="319"/>
      <c r="HS7" s="319"/>
      <c r="HT7" s="319"/>
      <c r="HU7" s="319"/>
      <c r="HV7" s="319"/>
      <c r="HW7" s="319"/>
      <c r="HX7" s="319"/>
      <c r="HY7" s="319"/>
      <c r="HZ7" s="319"/>
      <c r="IA7" s="319"/>
      <c r="IB7" s="319"/>
      <c r="IC7" s="319"/>
      <c r="ID7" s="319"/>
      <c r="IE7" s="319"/>
      <c r="IF7" s="319"/>
      <c r="IG7" s="319"/>
      <c r="IH7" s="319"/>
      <c r="II7" s="319"/>
      <c r="IJ7" s="319"/>
      <c r="IK7" s="319"/>
      <c r="IL7" s="319"/>
      <c r="IM7" s="319"/>
      <c r="IN7" s="319"/>
      <c r="IO7" s="319"/>
      <c r="IP7" s="319"/>
      <c r="IQ7" s="319"/>
      <c r="IR7" s="319"/>
      <c r="IS7" s="319"/>
      <c r="IT7" s="319"/>
      <c r="IU7" s="319"/>
      <c r="IV7" s="319"/>
      <c r="IW7" s="319"/>
      <c r="IX7" s="319"/>
      <c r="IY7" s="319"/>
      <c r="IZ7" s="319"/>
      <c r="JA7" s="319"/>
      <c r="JB7" s="319"/>
      <c r="JC7" s="319"/>
      <c r="JD7" s="319"/>
      <c r="JE7" s="319"/>
      <c r="JF7" s="319"/>
      <c r="JG7" s="319"/>
      <c r="JH7" s="319"/>
      <c r="JI7" s="319"/>
      <c r="JJ7" s="319"/>
      <c r="JK7" s="319"/>
      <c r="JL7" s="319"/>
      <c r="JM7" s="319"/>
      <c r="JN7" s="319"/>
      <c r="JO7" s="319"/>
      <c r="JP7" s="319"/>
      <c r="JQ7" s="319"/>
      <c r="JR7" s="319"/>
      <c r="JS7" s="319"/>
      <c r="JT7" s="319"/>
      <c r="JU7" s="319"/>
      <c r="JV7" s="319"/>
      <c r="JW7" s="319"/>
      <c r="JX7" s="319"/>
      <c r="JY7" s="319"/>
      <c r="JZ7" s="319"/>
      <c r="KA7" s="319"/>
      <c r="KB7" s="319"/>
      <c r="KC7" s="319"/>
      <c r="KD7" s="319"/>
      <c r="KE7" s="319"/>
      <c r="KF7" s="319"/>
      <c r="KG7" s="319"/>
      <c r="KH7" s="319"/>
      <c r="KI7" s="319"/>
      <c r="KJ7" s="319"/>
      <c r="KK7" s="319"/>
      <c r="KL7" s="319"/>
      <c r="KM7" s="319"/>
      <c r="KN7" s="319"/>
      <c r="KO7" s="319"/>
      <c r="KP7" s="319"/>
    </row>
    <row r="8" spans="1:302" ht="30.75" customHeight="1">
      <c r="A8" s="2312"/>
      <c r="B8" s="1732"/>
      <c r="C8" s="1732"/>
      <c r="D8" s="1732"/>
      <c r="E8" s="1732"/>
      <c r="F8" s="1732"/>
      <c r="G8" s="1732"/>
      <c r="H8" s="1732"/>
      <c r="I8" s="1732"/>
      <c r="J8" s="1732"/>
      <c r="K8" s="1732"/>
      <c r="L8" s="1732"/>
      <c r="M8" s="1732"/>
      <c r="N8" s="1732"/>
      <c r="O8" s="1732"/>
      <c r="P8" s="1732"/>
      <c r="Q8" s="1732"/>
      <c r="R8" s="1732"/>
      <c r="S8" s="1732"/>
      <c r="T8" s="1732"/>
      <c r="U8" s="1732"/>
      <c r="V8" s="1732"/>
      <c r="W8" s="1732"/>
      <c r="X8" s="1732"/>
      <c r="Y8" s="1732"/>
      <c r="Z8" s="1732"/>
      <c r="AA8" s="1732"/>
      <c r="AB8" s="1732"/>
      <c r="AC8" s="1732"/>
      <c r="AD8" s="1732"/>
      <c r="AE8" s="1732"/>
      <c r="AF8" s="1732"/>
      <c r="AG8" s="1732"/>
      <c r="AH8" s="1732"/>
      <c r="AI8" s="1732"/>
      <c r="AJ8" s="1732"/>
      <c r="AK8" s="1732"/>
      <c r="AL8" s="1732"/>
      <c r="AM8" s="1732"/>
      <c r="AN8" s="1732"/>
      <c r="AO8" s="1732"/>
      <c r="AP8" s="1732"/>
      <c r="AQ8" s="1732"/>
      <c r="AR8" s="1732"/>
      <c r="AS8" s="1732"/>
      <c r="AT8" s="1732"/>
      <c r="AU8" s="1732"/>
      <c r="AV8" s="1732"/>
      <c r="AW8" s="1732"/>
      <c r="AX8" s="1732"/>
      <c r="AY8" s="1732"/>
      <c r="AZ8" s="1732"/>
      <c r="BA8" s="1732"/>
      <c r="BB8" s="1732"/>
      <c r="BC8" s="1732"/>
      <c r="BD8" s="1732"/>
      <c r="BE8" s="1732"/>
      <c r="BF8" s="1732"/>
      <c r="BG8" s="1732"/>
      <c r="BH8" s="1733"/>
      <c r="BI8" s="1730" t="s">
        <v>3174</v>
      </c>
      <c r="BJ8" s="1730" t="s">
        <v>3174</v>
      </c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 t="s">
        <v>3174</v>
      </c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 t="s">
        <v>3174</v>
      </c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 t="s">
        <v>3174</v>
      </c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 t="s">
        <v>3174</v>
      </c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 t="s">
        <v>3174</v>
      </c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47"/>
      <c r="FI8" s="319"/>
      <c r="FJ8" s="319"/>
      <c r="FK8" s="319"/>
      <c r="FL8" s="319"/>
      <c r="FM8" s="319"/>
      <c r="FN8" s="319"/>
      <c r="FO8" s="319"/>
      <c r="FP8" s="319"/>
      <c r="FQ8" s="319"/>
      <c r="FR8" s="319"/>
      <c r="FS8" s="319"/>
      <c r="FT8" s="319"/>
      <c r="FU8" s="319"/>
      <c r="FV8" s="319"/>
      <c r="FW8" s="319"/>
      <c r="FX8" s="319"/>
      <c r="FY8" s="319"/>
      <c r="FZ8" s="319"/>
      <c r="GA8" s="319"/>
      <c r="GB8" s="319"/>
      <c r="GC8" s="319"/>
      <c r="GD8" s="319"/>
      <c r="GE8" s="319"/>
      <c r="GF8" s="319"/>
      <c r="GG8" s="319"/>
      <c r="GH8" s="319"/>
      <c r="GI8" s="319"/>
      <c r="GJ8" s="319"/>
      <c r="GK8" s="319"/>
      <c r="GL8" s="319"/>
      <c r="GM8" s="319"/>
      <c r="GN8" s="319"/>
      <c r="GO8" s="319"/>
      <c r="GP8" s="319"/>
      <c r="GQ8" s="319"/>
      <c r="GR8" s="319"/>
      <c r="GS8" s="319"/>
      <c r="GT8" s="319"/>
      <c r="GU8" s="319"/>
      <c r="GV8" s="319"/>
      <c r="GW8" s="319"/>
      <c r="GX8" s="319"/>
      <c r="GY8" s="319"/>
      <c r="GZ8" s="319"/>
      <c r="HA8" s="319"/>
      <c r="HB8" s="319"/>
      <c r="HC8" s="319"/>
      <c r="HD8" s="319"/>
      <c r="HE8" s="319"/>
      <c r="HF8" s="319"/>
      <c r="HG8" s="319"/>
      <c r="HH8" s="319"/>
      <c r="HI8" s="319"/>
      <c r="HJ8" s="319"/>
      <c r="HK8" s="319"/>
      <c r="HL8" s="319"/>
      <c r="HM8" s="319"/>
      <c r="HN8" s="319"/>
      <c r="HO8" s="319"/>
      <c r="HP8" s="319"/>
      <c r="HQ8" s="319"/>
      <c r="HR8" s="319"/>
      <c r="HS8" s="319"/>
      <c r="HT8" s="319"/>
      <c r="HU8" s="319"/>
      <c r="HV8" s="319"/>
      <c r="HW8" s="319"/>
      <c r="HX8" s="319"/>
      <c r="HY8" s="319"/>
      <c r="HZ8" s="319"/>
      <c r="IA8" s="319"/>
      <c r="IB8" s="319"/>
      <c r="IC8" s="319"/>
      <c r="ID8" s="319"/>
      <c r="IE8" s="319"/>
      <c r="IF8" s="319"/>
      <c r="IG8" s="319"/>
      <c r="IH8" s="319"/>
      <c r="II8" s="319"/>
      <c r="IJ8" s="319"/>
      <c r="IK8" s="319"/>
      <c r="IL8" s="319"/>
      <c r="IM8" s="319"/>
      <c r="IN8" s="319"/>
      <c r="IO8" s="319"/>
      <c r="IP8" s="319"/>
      <c r="IQ8" s="319"/>
      <c r="IR8" s="319"/>
      <c r="IS8" s="319"/>
      <c r="IT8" s="319"/>
      <c r="IU8" s="319"/>
      <c r="IV8" s="319"/>
      <c r="IW8" s="319"/>
      <c r="IX8" s="319"/>
      <c r="IY8" s="319"/>
      <c r="IZ8" s="319"/>
      <c r="JA8" s="319"/>
      <c r="JB8" s="319"/>
      <c r="JC8" s="319"/>
      <c r="JD8" s="319"/>
      <c r="JE8" s="319"/>
      <c r="JF8" s="319"/>
      <c r="JG8" s="319"/>
      <c r="JH8" s="319"/>
      <c r="JI8" s="319"/>
      <c r="JJ8" s="319"/>
      <c r="JK8" s="319"/>
      <c r="JL8" s="319"/>
      <c r="JM8" s="319"/>
      <c r="JN8" s="319"/>
      <c r="JO8" s="319"/>
      <c r="JP8" s="319"/>
      <c r="JQ8" s="319"/>
      <c r="JR8" s="319"/>
      <c r="JS8" s="319"/>
      <c r="JT8" s="319"/>
      <c r="JU8" s="319"/>
      <c r="JV8" s="319"/>
      <c r="JW8" s="319"/>
      <c r="JX8" s="319"/>
      <c r="JY8" s="319"/>
      <c r="JZ8" s="319"/>
      <c r="KA8" s="319"/>
      <c r="KB8" s="319"/>
      <c r="KC8" s="319"/>
      <c r="KD8" s="319"/>
      <c r="KE8" s="319"/>
      <c r="KF8" s="319"/>
      <c r="KG8" s="319"/>
      <c r="KH8" s="319"/>
      <c r="KI8" s="319"/>
      <c r="KJ8" s="319"/>
      <c r="KK8" s="319"/>
      <c r="KL8" s="319"/>
      <c r="KM8" s="319"/>
      <c r="KN8" s="319"/>
      <c r="KO8" s="319"/>
      <c r="KP8" s="319"/>
    </row>
    <row r="9" spans="1:302" ht="21">
      <c r="A9" s="1722" t="s">
        <v>2740</v>
      </c>
      <c r="B9" s="791">
        <v>1121.19396951</v>
      </c>
      <c r="C9" s="791">
        <v>1460.40828642</v>
      </c>
      <c r="D9" s="791">
        <v>1518.29068011</v>
      </c>
      <c r="E9" s="791">
        <v>1724.70566641</v>
      </c>
      <c r="F9" s="791">
        <v>1820.7237863400003</v>
      </c>
      <c r="G9" s="791">
        <v>1879.27895003</v>
      </c>
      <c r="H9" s="791">
        <v>1950.36219873</v>
      </c>
      <c r="I9" s="791">
        <v>1988.1287952500002</v>
      </c>
      <c r="J9" s="791">
        <v>2032.16792799</v>
      </c>
      <c r="K9" s="791">
        <v>2044.7001732399999</v>
      </c>
      <c r="L9" s="791">
        <v>2100.91517398</v>
      </c>
      <c r="M9" s="781">
        <v>2102.1340613899997</v>
      </c>
      <c r="N9" s="781">
        <v>1738.29380425</v>
      </c>
      <c r="O9" s="781">
        <v>1796.02762863</v>
      </c>
      <c r="P9" s="781">
        <v>1834.9330752600004</v>
      </c>
      <c r="Q9" s="781">
        <v>1865.6841431600001</v>
      </c>
      <c r="R9" s="781">
        <v>1946.7244474200002</v>
      </c>
      <c r="S9" s="781">
        <v>2018.6762979999999</v>
      </c>
      <c r="T9" s="781">
        <v>2048.6173237499997</v>
      </c>
      <c r="U9" s="781">
        <v>2100.5721421999997</v>
      </c>
      <c r="V9" s="781">
        <v>2170.7127222000004</v>
      </c>
      <c r="W9" s="781">
        <v>2198.62218596</v>
      </c>
      <c r="X9" s="781">
        <v>2250.9784805899999</v>
      </c>
      <c r="Y9" s="781">
        <v>2243.9353908600001</v>
      </c>
      <c r="Z9" s="781">
        <v>2243.9973923800003</v>
      </c>
      <c r="AA9" s="781">
        <v>1931.2097720699999</v>
      </c>
      <c r="AB9" s="781">
        <v>1949.64346576</v>
      </c>
      <c r="AC9" s="781">
        <v>1948.3911704899999</v>
      </c>
      <c r="AD9" s="781">
        <v>1953.0665156</v>
      </c>
      <c r="AE9" s="781">
        <v>1933.7704375599999</v>
      </c>
      <c r="AF9" s="781">
        <v>1946.9643561</v>
      </c>
      <c r="AG9" s="781">
        <v>1879.9793247699999</v>
      </c>
      <c r="AH9" s="781">
        <v>1865.0806112500004</v>
      </c>
      <c r="AI9" s="781">
        <v>1864.4505406000001</v>
      </c>
      <c r="AJ9" s="781">
        <v>2027.3932048500001</v>
      </c>
      <c r="AK9" s="781">
        <v>2182.3971188999999</v>
      </c>
      <c r="AL9" s="781">
        <v>2201.2262203300002</v>
      </c>
      <c r="AM9" s="781">
        <v>2203.9402739900002</v>
      </c>
      <c r="AN9" s="781">
        <v>2218.65154295</v>
      </c>
      <c r="AO9" s="781">
        <v>2083.89457034</v>
      </c>
      <c r="AP9" s="781">
        <v>2033.5209942300003</v>
      </c>
      <c r="AQ9" s="781">
        <v>1855.47706406</v>
      </c>
      <c r="AR9" s="781">
        <v>1245.50130253</v>
      </c>
      <c r="AS9" s="781">
        <v>1245.70702882</v>
      </c>
      <c r="AT9" s="781">
        <v>1186.9314723099999</v>
      </c>
      <c r="AU9" s="781">
        <v>1048.43580088</v>
      </c>
      <c r="AV9" s="781">
        <v>1077.3462818400001</v>
      </c>
      <c r="AW9" s="781">
        <v>1077.5031595200001</v>
      </c>
      <c r="AX9" s="781">
        <v>1089.9460548100001</v>
      </c>
      <c r="AY9" s="781">
        <v>1092.4183455299999</v>
      </c>
      <c r="AZ9" s="781">
        <v>1071.4700057699999</v>
      </c>
      <c r="BA9" s="781">
        <v>1068.1450246100001</v>
      </c>
      <c r="BB9" s="781">
        <v>1022.2168947100001</v>
      </c>
      <c r="BC9" s="781">
        <v>839.97131837000006</v>
      </c>
      <c r="BD9" s="781">
        <v>576.74808557000006</v>
      </c>
      <c r="BE9" s="781">
        <v>519.34338051999998</v>
      </c>
      <c r="BF9" s="781">
        <v>528.62349414999994</v>
      </c>
      <c r="BG9" s="781">
        <v>528.70552877</v>
      </c>
      <c r="BH9" s="826">
        <v>525.89845416999992</v>
      </c>
      <c r="BI9" s="815">
        <v>533.98067161000006</v>
      </c>
      <c r="BJ9" s="815">
        <v>536.93754723999996</v>
      </c>
      <c r="BK9" s="815">
        <v>507.33977164999999</v>
      </c>
      <c r="BL9" s="815">
        <v>519.28050030999998</v>
      </c>
      <c r="BM9" s="815">
        <v>502.63919673999999</v>
      </c>
      <c r="BN9" s="815">
        <v>495.55343168000002</v>
      </c>
      <c r="BO9" s="815">
        <v>501.31815775999996</v>
      </c>
      <c r="BP9" s="815">
        <v>498.69755452000004</v>
      </c>
      <c r="BQ9" s="815">
        <v>494.50861830999997</v>
      </c>
      <c r="BR9" s="815">
        <v>381.32791829999996</v>
      </c>
      <c r="BS9" s="815">
        <v>369.83849378000002</v>
      </c>
      <c r="BT9" s="815">
        <v>395.8237628</v>
      </c>
      <c r="BU9" s="815">
        <v>384.70804456999997</v>
      </c>
      <c r="BV9" s="815">
        <v>354.80621170000001</v>
      </c>
      <c r="BW9" s="815">
        <v>369.03326141999997</v>
      </c>
      <c r="BX9" s="815">
        <v>366.12641802000002</v>
      </c>
      <c r="BY9" s="815">
        <v>353.31191672</v>
      </c>
      <c r="BZ9" s="815">
        <v>362.38445929</v>
      </c>
      <c r="CA9" s="815">
        <v>365.23819258999998</v>
      </c>
      <c r="CB9" s="815">
        <v>342.39559023000004</v>
      </c>
      <c r="CC9" s="815">
        <v>362.91535067999996</v>
      </c>
      <c r="CD9" s="815">
        <v>364.24735401999999</v>
      </c>
      <c r="CE9" s="815">
        <v>373.70423588999995</v>
      </c>
      <c r="CF9" s="815">
        <v>417.85830138999995</v>
      </c>
      <c r="CG9" s="815">
        <v>441.30557604999996</v>
      </c>
      <c r="CH9" s="815">
        <v>423.57423467000001</v>
      </c>
      <c r="CI9" s="815">
        <v>418.60838430000001</v>
      </c>
      <c r="CJ9" s="815">
        <v>426.00545761000001</v>
      </c>
      <c r="CK9" s="815">
        <v>416.67315353000004</v>
      </c>
      <c r="CL9" s="815">
        <v>378.74317707</v>
      </c>
      <c r="CM9" s="815">
        <v>369.19019691000005</v>
      </c>
      <c r="CN9" s="815">
        <v>362.18960895000004</v>
      </c>
      <c r="CO9" s="815">
        <v>364.01935754000004</v>
      </c>
      <c r="CP9" s="815">
        <v>358.48329269999999</v>
      </c>
      <c r="CQ9" s="815">
        <v>356.04229342999997</v>
      </c>
      <c r="CR9" s="815">
        <v>381.41748846999997</v>
      </c>
      <c r="CS9" s="815">
        <v>391.98640189000002</v>
      </c>
      <c r="CT9" s="815">
        <v>422.26054743999998</v>
      </c>
      <c r="CU9" s="815">
        <v>444.21194105000001</v>
      </c>
      <c r="CV9" s="815">
        <v>433.53764613999999</v>
      </c>
      <c r="CW9" s="815">
        <v>439.58189565999999</v>
      </c>
      <c r="CX9" s="815">
        <v>469.58735538000002</v>
      </c>
      <c r="CY9" s="815">
        <v>471.969584</v>
      </c>
      <c r="CZ9" s="815">
        <v>505.19090612999997</v>
      </c>
      <c r="DA9" s="815">
        <v>543.12664428999994</v>
      </c>
      <c r="DB9" s="815">
        <v>582.32153654000001</v>
      </c>
      <c r="DC9" s="815">
        <v>606.49062935999996</v>
      </c>
      <c r="DD9" s="815">
        <v>645.41992271000004</v>
      </c>
      <c r="DE9" s="815">
        <v>623.10657096</v>
      </c>
      <c r="DF9" s="815">
        <v>633.55932751</v>
      </c>
      <c r="DG9" s="815">
        <v>710.89015035</v>
      </c>
      <c r="DH9" s="815">
        <v>740.40383780000002</v>
      </c>
      <c r="DI9" s="815">
        <v>795.18696403000001</v>
      </c>
      <c r="DJ9" s="815">
        <v>818.68001908999997</v>
      </c>
      <c r="DK9" s="815">
        <v>899.49736324000003</v>
      </c>
      <c r="DL9" s="815">
        <v>912.88984413000003</v>
      </c>
      <c r="DM9" s="815">
        <v>908.05154411000001</v>
      </c>
      <c r="DN9" s="815">
        <v>957.76498441000001</v>
      </c>
      <c r="DO9" s="815">
        <v>897.66712700999994</v>
      </c>
      <c r="DP9" s="815">
        <v>877.59178296000005</v>
      </c>
      <c r="DQ9" s="815">
        <v>834.84098652</v>
      </c>
      <c r="DR9" s="815">
        <v>848.3812921</v>
      </c>
      <c r="DS9" s="815">
        <v>803.99898043999997</v>
      </c>
      <c r="DT9" s="815">
        <v>798.81308403000003</v>
      </c>
      <c r="DU9" s="815">
        <v>805.33278738000001</v>
      </c>
      <c r="DV9" s="815">
        <v>830.20898756999998</v>
      </c>
      <c r="DW9" s="815">
        <v>873.85188199000004</v>
      </c>
      <c r="DX9" s="815">
        <v>850.06879391999996</v>
      </c>
      <c r="DY9" s="815">
        <v>823.00488480000001</v>
      </c>
      <c r="DZ9" s="815">
        <v>843.50961459999996</v>
      </c>
      <c r="EA9" s="815">
        <v>831.49742767999999</v>
      </c>
      <c r="EB9" s="815">
        <v>865.29016337999997</v>
      </c>
      <c r="EC9" s="815">
        <v>865.54625594000004</v>
      </c>
      <c r="ED9" s="815">
        <v>879.32938401000001</v>
      </c>
      <c r="EE9" s="815">
        <v>857.57921347000001</v>
      </c>
      <c r="EF9" s="815">
        <v>880.17278048000003</v>
      </c>
      <c r="EG9" s="815">
        <v>910.21893531000001</v>
      </c>
      <c r="EH9" s="815">
        <v>907.83303770999999</v>
      </c>
      <c r="EI9" s="815">
        <v>921.10901190000004</v>
      </c>
      <c r="EJ9" s="815">
        <v>938.67656263000003</v>
      </c>
      <c r="EK9" s="815">
        <v>912.33863816999997</v>
      </c>
      <c r="EL9" s="815">
        <v>944.77036846999999</v>
      </c>
      <c r="EM9" s="815">
        <v>1147.9269470199999</v>
      </c>
      <c r="EN9" s="815">
        <v>1188.36715116</v>
      </c>
      <c r="EO9" s="815">
        <v>1091.62240038</v>
      </c>
      <c r="EP9" s="815">
        <v>1098.9576319800001</v>
      </c>
      <c r="EQ9" s="815">
        <v>1062.38192286</v>
      </c>
      <c r="ER9" s="815">
        <v>1095.19231868</v>
      </c>
      <c r="ES9" s="815">
        <v>1094.4881198999999</v>
      </c>
      <c r="ET9" s="815">
        <v>1125.6827929799999</v>
      </c>
      <c r="EU9" s="815">
        <v>1116.0524097099999</v>
      </c>
      <c r="EV9" s="815">
        <v>1138.1266316900001</v>
      </c>
      <c r="EW9" s="815">
        <v>1165.98357031</v>
      </c>
      <c r="EX9" s="815">
        <v>1207.7987245100001</v>
      </c>
      <c r="EY9" s="815">
        <v>1238.5959031</v>
      </c>
      <c r="EZ9" s="815">
        <v>1269.05590805</v>
      </c>
      <c r="FA9" s="815">
        <v>1307.07938661</v>
      </c>
      <c r="FB9" s="815">
        <v>1296.5307907599999</v>
      </c>
      <c r="FC9" s="815">
        <v>1302.69241259</v>
      </c>
      <c r="FD9" s="815">
        <v>1333.955721</v>
      </c>
      <c r="FE9" s="815">
        <v>1296.43055235</v>
      </c>
      <c r="FF9" s="815">
        <v>1303.07266684</v>
      </c>
      <c r="FG9" s="815">
        <v>1903.9921896200001</v>
      </c>
      <c r="FH9" s="1710" t="s">
        <v>1152</v>
      </c>
      <c r="FI9" s="319"/>
      <c r="FJ9" s="319"/>
      <c r="FK9" s="319"/>
      <c r="FL9" s="1"/>
      <c r="FM9" s="320"/>
      <c r="FN9" s="319"/>
      <c r="FO9" s="319"/>
      <c r="FP9" s="319"/>
      <c r="FQ9" s="319"/>
      <c r="FR9" s="319"/>
      <c r="FS9" s="319"/>
      <c r="FT9" s="319"/>
      <c r="FU9" s="319"/>
      <c r="FV9" s="319"/>
      <c r="FW9" s="319"/>
      <c r="FX9" s="319"/>
      <c r="FY9" s="319"/>
      <c r="FZ9" s="319"/>
      <c r="GA9" s="319"/>
      <c r="GB9" s="319"/>
      <c r="GC9" s="319"/>
      <c r="GD9" s="319"/>
      <c r="GE9" s="319"/>
      <c r="GF9" s="319"/>
      <c r="GG9" s="319"/>
      <c r="GH9" s="319"/>
      <c r="GI9" s="319"/>
      <c r="GJ9" s="319"/>
      <c r="GK9" s="319"/>
      <c r="GL9" s="319"/>
      <c r="GM9" s="319"/>
      <c r="GN9" s="319"/>
      <c r="GO9" s="319"/>
      <c r="GP9" s="319"/>
      <c r="GQ9" s="319"/>
      <c r="GR9" s="319"/>
      <c r="GS9" s="319"/>
      <c r="GT9" s="319"/>
      <c r="GU9" s="319"/>
      <c r="GV9" s="319"/>
      <c r="GW9" s="319"/>
      <c r="GX9" s="319"/>
      <c r="GY9" s="319"/>
      <c r="GZ9" s="319"/>
      <c r="HA9" s="319"/>
      <c r="HB9" s="319"/>
      <c r="HC9" s="319"/>
      <c r="HD9" s="319"/>
      <c r="HE9" s="319"/>
      <c r="HF9" s="319"/>
      <c r="HG9" s="319"/>
      <c r="HH9" s="319"/>
      <c r="HI9" s="319"/>
      <c r="HJ9" s="319"/>
      <c r="HK9" s="319"/>
      <c r="HL9" s="319"/>
      <c r="HM9" s="319"/>
      <c r="HN9" s="319"/>
      <c r="HO9" s="319"/>
      <c r="HP9" s="319"/>
      <c r="HQ9" s="319"/>
      <c r="HR9" s="319"/>
      <c r="HS9" s="319"/>
      <c r="HT9" s="319"/>
      <c r="HU9" s="319"/>
      <c r="HV9" s="319"/>
      <c r="HW9" s="319"/>
      <c r="HX9" s="319"/>
      <c r="HY9" s="319"/>
      <c r="HZ9" s="319"/>
      <c r="IA9" s="319"/>
      <c r="IB9" s="319"/>
      <c r="IC9" s="319"/>
      <c r="ID9" s="319"/>
      <c r="IE9" s="319"/>
      <c r="IF9" s="319"/>
      <c r="IG9" s="319"/>
      <c r="IH9" s="319"/>
      <c r="II9" s="319"/>
      <c r="IJ9" s="319"/>
      <c r="IK9" s="319"/>
      <c r="IL9" s="319"/>
      <c r="IM9" s="319"/>
      <c r="IN9" s="319"/>
      <c r="IO9" s="319"/>
      <c r="IP9" s="319"/>
      <c r="IQ9" s="319"/>
      <c r="IR9" s="319"/>
      <c r="IS9" s="319"/>
      <c r="IT9" s="319"/>
      <c r="IU9" s="319"/>
      <c r="IV9" s="319"/>
      <c r="IW9" s="319"/>
      <c r="IX9" s="319"/>
      <c r="IY9" s="319"/>
      <c r="IZ9" s="319"/>
      <c r="JA9" s="319"/>
      <c r="JB9" s="319"/>
      <c r="JC9" s="319"/>
      <c r="JD9" s="319"/>
      <c r="JE9" s="319"/>
      <c r="JF9" s="319"/>
      <c r="JG9" s="319"/>
      <c r="JH9" s="319"/>
      <c r="JI9" s="319"/>
      <c r="JJ9" s="319"/>
      <c r="JK9" s="319"/>
      <c r="JL9" s="319"/>
      <c r="JM9" s="319"/>
      <c r="JN9" s="319"/>
      <c r="JO9" s="319"/>
      <c r="JP9" s="319"/>
      <c r="JQ9" s="319"/>
      <c r="JR9" s="319"/>
      <c r="JS9" s="319"/>
      <c r="JT9" s="319"/>
      <c r="JU9" s="319"/>
      <c r="JV9" s="319"/>
      <c r="JW9" s="319"/>
      <c r="JX9" s="319"/>
      <c r="JY9" s="319"/>
      <c r="JZ9" s="319"/>
      <c r="KA9" s="319"/>
      <c r="KB9" s="319"/>
      <c r="KC9" s="319"/>
      <c r="KD9" s="319"/>
      <c r="KE9" s="319"/>
      <c r="KF9" s="319"/>
      <c r="KG9" s="319"/>
      <c r="KH9" s="319"/>
      <c r="KI9" s="319"/>
      <c r="KJ9" s="319"/>
      <c r="KK9" s="319"/>
      <c r="KL9" s="319"/>
      <c r="KM9" s="319"/>
      <c r="KN9" s="319"/>
      <c r="KO9" s="319"/>
      <c r="KP9" s="319"/>
    </row>
    <row r="10" spans="1:302" ht="21">
      <c r="A10" s="1723" t="s">
        <v>1961</v>
      </c>
      <c r="B10" s="792">
        <v>55.885779199999995</v>
      </c>
      <c r="C10" s="792">
        <v>87.246166299999999</v>
      </c>
      <c r="D10" s="792">
        <v>78.335109559999992</v>
      </c>
      <c r="E10" s="792">
        <v>66.877038240000005</v>
      </c>
      <c r="F10" s="792">
        <v>56.634360270000002</v>
      </c>
      <c r="G10" s="792">
        <v>56.333983959999998</v>
      </c>
      <c r="H10" s="792">
        <v>55.349142319999999</v>
      </c>
      <c r="I10" s="792">
        <v>43.824385599999999</v>
      </c>
      <c r="J10" s="792">
        <v>28.946097269999999</v>
      </c>
      <c r="K10" s="792">
        <v>6.8455837699999993</v>
      </c>
      <c r="L10" s="792">
        <v>15.452168990000001</v>
      </c>
      <c r="M10" s="784">
        <v>10.636677580000001</v>
      </c>
      <c r="N10" s="784">
        <v>10.64444802</v>
      </c>
      <c r="O10" s="784">
        <v>20.109081879999998</v>
      </c>
      <c r="P10" s="784">
        <v>22.662812240000001</v>
      </c>
      <c r="Q10" s="784">
        <v>12.52695233</v>
      </c>
      <c r="R10" s="784">
        <v>26.174828359999999</v>
      </c>
      <c r="S10" s="784">
        <v>44.371980129999997</v>
      </c>
      <c r="T10" s="784">
        <v>44.81340986</v>
      </c>
      <c r="U10" s="784">
        <v>56.946468940000003</v>
      </c>
      <c r="V10" s="784">
        <v>78.42299233</v>
      </c>
      <c r="W10" s="784">
        <v>73.492756679999999</v>
      </c>
      <c r="X10" s="784">
        <v>54.382664689999999</v>
      </c>
      <c r="Y10" s="784">
        <v>54.695447040000005</v>
      </c>
      <c r="Z10" s="784">
        <v>48.449799679999998</v>
      </c>
      <c r="AA10" s="784">
        <v>65.205087779999999</v>
      </c>
      <c r="AB10" s="784">
        <v>8.7325175300000009</v>
      </c>
      <c r="AC10" s="784">
        <v>29.838800710000001</v>
      </c>
      <c r="AD10" s="784">
        <v>34.172525589999999</v>
      </c>
      <c r="AE10" s="784">
        <v>34.066726599999996</v>
      </c>
      <c r="AF10" s="784">
        <v>39.104841880000002</v>
      </c>
      <c r="AG10" s="784">
        <v>43.272423589999995</v>
      </c>
      <c r="AH10" s="784">
        <v>43.309259320000002</v>
      </c>
      <c r="AI10" s="784">
        <v>43.388496509999996</v>
      </c>
      <c r="AJ10" s="784">
        <v>43.198777959999994</v>
      </c>
      <c r="AK10" s="784">
        <v>11.146346100000002</v>
      </c>
      <c r="AL10" s="784">
        <v>11.454834980000001</v>
      </c>
      <c r="AM10" s="784">
        <v>11.21337817</v>
      </c>
      <c r="AN10" s="784">
        <v>62.605160689999998</v>
      </c>
      <c r="AO10" s="784">
        <v>60.550172549999999</v>
      </c>
      <c r="AP10" s="784">
        <v>58.305366499999998</v>
      </c>
      <c r="AQ10" s="784">
        <v>67.745762200000001</v>
      </c>
      <c r="AR10" s="784">
        <v>66.994635390000013</v>
      </c>
      <c r="AS10" s="784">
        <v>67.380953340000005</v>
      </c>
      <c r="AT10" s="784">
        <v>67.546329180000001</v>
      </c>
      <c r="AU10" s="784">
        <v>65.461662219999994</v>
      </c>
      <c r="AV10" s="784">
        <v>64.898083899999989</v>
      </c>
      <c r="AW10" s="784">
        <v>63.641798480000006</v>
      </c>
      <c r="AX10" s="784">
        <v>63.663448780000003</v>
      </c>
      <c r="AY10" s="784">
        <v>59.621987200000007</v>
      </c>
      <c r="AZ10" s="784">
        <v>54.493886609999997</v>
      </c>
      <c r="BA10" s="784">
        <v>53.353678990000006</v>
      </c>
      <c r="BB10" s="784">
        <v>51.807588040000006</v>
      </c>
      <c r="BC10" s="784">
        <v>48.379755630000005</v>
      </c>
      <c r="BD10" s="784">
        <v>47.656588899999996</v>
      </c>
      <c r="BE10" s="784">
        <v>46.588443849999997</v>
      </c>
      <c r="BF10" s="784">
        <v>45.620438360000001</v>
      </c>
      <c r="BG10" s="784">
        <v>44.613535509999998</v>
      </c>
      <c r="BH10" s="827">
        <v>43.831509880000006</v>
      </c>
      <c r="BI10" s="816">
        <v>40.400829729999998</v>
      </c>
      <c r="BJ10" s="816">
        <v>39.535286499999998</v>
      </c>
      <c r="BK10" s="816">
        <v>38.557577349999995</v>
      </c>
      <c r="BL10" s="816">
        <v>37.649353810000001</v>
      </c>
      <c r="BM10" s="816">
        <v>36.681756969999995</v>
      </c>
      <c r="BN10" s="816">
        <v>35.460118170000001</v>
      </c>
      <c r="BO10" s="816">
        <v>34.805141679999991</v>
      </c>
      <c r="BP10" s="816">
        <v>34.361654160000001</v>
      </c>
      <c r="BQ10" s="816">
        <v>33.80349923</v>
      </c>
      <c r="BR10" s="816">
        <v>36.223544709999999</v>
      </c>
      <c r="BS10" s="816">
        <v>35.907925140000003</v>
      </c>
      <c r="BT10" s="816">
        <v>49.490150689999993</v>
      </c>
      <c r="BU10" s="816">
        <v>78.695552019999994</v>
      </c>
      <c r="BV10" s="816">
        <v>52.856566749999999</v>
      </c>
      <c r="BW10" s="816">
        <v>52.14498742</v>
      </c>
      <c r="BX10" s="816">
        <v>43.128196819999999</v>
      </c>
      <c r="BY10" s="816">
        <v>41.545644380000006</v>
      </c>
      <c r="BZ10" s="816">
        <v>33.113790080000001</v>
      </c>
      <c r="CA10" s="816">
        <v>30.186884389999996</v>
      </c>
      <c r="CB10" s="816">
        <v>28.550770949999997</v>
      </c>
      <c r="CC10" s="816">
        <v>27.068106349999997</v>
      </c>
      <c r="CD10" s="816">
        <v>18.76271208</v>
      </c>
      <c r="CE10" s="816">
        <v>16.969291269999999</v>
      </c>
      <c r="CF10" s="816">
        <v>14.892114079999999</v>
      </c>
      <c r="CG10" s="816">
        <v>14.143791759999999</v>
      </c>
      <c r="CH10" s="816">
        <v>6.7542367600000004</v>
      </c>
      <c r="CI10" s="816">
        <v>6.7646817600000002</v>
      </c>
      <c r="CJ10" s="816">
        <v>10.077501760000001</v>
      </c>
      <c r="CK10" s="816">
        <v>7.1341139800000004</v>
      </c>
      <c r="CL10" s="816">
        <v>7.0503148199999996</v>
      </c>
      <c r="CM10" s="816">
        <v>6.8296299200000004</v>
      </c>
      <c r="CN10" s="816">
        <v>7.0284924500000008</v>
      </c>
      <c r="CO10" s="816">
        <v>6.9777389699999999</v>
      </c>
      <c r="CP10" s="816">
        <v>6.9283835700000003</v>
      </c>
      <c r="CQ10" s="816">
        <v>6.7114136599999998</v>
      </c>
      <c r="CR10" s="816">
        <v>6.5647065099999997</v>
      </c>
      <c r="CS10" s="816">
        <v>6.4922090399999997</v>
      </c>
      <c r="CT10" s="816">
        <v>3.2572299999999998E-2</v>
      </c>
      <c r="CU10" s="816">
        <v>2.9454169999999998E-2</v>
      </c>
      <c r="CV10" s="816">
        <v>2.6270249999999998E-2</v>
      </c>
      <c r="CW10" s="816">
        <v>2.3020829999999999E-2</v>
      </c>
      <c r="CX10" s="816">
        <v>1.9806089999999998E-2</v>
      </c>
      <c r="CY10" s="816">
        <v>5.6369719999999998E-2</v>
      </c>
      <c r="CZ10" s="816">
        <v>5.2946439999999997E-2</v>
      </c>
      <c r="DA10" s="816">
        <v>4.8119820000000001E-2</v>
      </c>
      <c r="DB10" s="816">
        <v>4.0150859999999997E-2</v>
      </c>
      <c r="DC10" s="816">
        <v>8.7373889999999996E-2</v>
      </c>
      <c r="DD10" s="816">
        <v>1.07748541</v>
      </c>
      <c r="DE10" s="816">
        <v>3.5341092199999999</v>
      </c>
      <c r="DF10" s="816">
        <v>3.47492036</v>
      </c>
      <c r="DG10" s="816">
        <v>3.9652590000000001</v>
      </c>
      <c r="DH10" s="816">
        <v>4.5141974200000003</v>
      </c>
      <c r="DI10" s="816">
        <v>4.2142898500000001</v>
      </c>
      <c r="DJ10" s="816">
        <v>4.1360665499999998</v>
      </c>
      <c r="DK10" s="816">
        <v>4.0559742700000001</v>
      </c>
      <c r="DL10" s="816">
        <v>3.9545955400000001</v>
      </c>
      <c r="DM10" s="816">
        <v>3.9829481499999999</v>
      </c>
      <c r="DN10" s="816">
        <v>3.8643787600000001</v>
      </c>
      <c r="DO10" s="816">
        <v>3.8043277500000001</v>
      </c>
      <c r="DP10" s="816">
        <v>3.6903822700000002</v>
      </c>
      <c r="DQ10" s="816">
        <v>3.5388693400000002</v>
      </c>
      <c r="DR10" s="816">
        <v>3.4117306799999998</v>
      </c>
      <c r="DS10" s="816">
        <v>3.2786327100000001</v>
      </c>
      <c r="DT10" s="816">
        <v>3.1023859599999999</v>
      </c>
      <c r="DU10" s="816">
        <v>2.9638076600000001</v>
      </c>
      <c r="DV10" s="816">
        <v>2.8556898899999998</v>
      </c>
      <c r="DW10" s="816">
        <v>2.7368298200000001</v>
      </c>
      <c r="DX10" s="816">
        <v>2.5393560800000001</v>
      </c>
      <c r="DY10" s="816">
        <v>2.40192351</v>
      </c>
      <c r="DZ10" s="816">
        <v>2.28696382</v>
      </c>
      <c r="EA10" s="816">
        <v>2.1491997</v>
      </c>
      <c r="EB10" s="816">
        <v>22.030395290000001</v>
      </c>
      <c r="EC10" s="816">
        <v>26.56282135</v>
      </c>
      <c r="ED10" s="816">
        <v>26.0592352</v>
      </c>
      <c r="EE10" s="816">
        <v>25.506268680000002</v>
      </c>
      <c r="EF10" s="816">
        <v>25.015596970000001</v>
      </c>
      <c r="EG10" s="816">
        <v>24.451615019999998</v>
      </c>
      <c r="EH10" s="816">
        <v>23.927911009999999</v>
      </c>
      <c r="EI10" s="816">
        <v>23.475236809999998</v>
      </c>
      <c r="EJ10" s="816">
        <v>22.923676260000001</v>
      </c>
      <c r="EK10" s="816">
        <v>32.543368600000001</v>
      </c>
      <c r="EL10" s="816">
        <v>31.936472240000001</v>
      </c>
      <c r="EM10" s="816">
        <v>31.310924610000001</v>
      </c>
      <c r="EN10" s="816">
        <v>34.062771840000003</v>
      </c>
      <c r="EO10" s="816">
        <v>33.704531350000003</v>
      </c>
      <c r="EP10" s="816">
        <v>33.014785539999998</v>
      </c>
      <c r="EQ10" s="816">
        <v>32.440938080000002</v>
      </c>
      <c r="ER10" s="816">
        <v>32.307414899999998</v>
      </c>
      <c r="ES10" s="816">
        <v>31.484647630000001</v>
      </c>
      <c r="ET10" s="816">
        <v>30.86975743</v>
      </c>
      <c r="EU10" s="816">
        <v>30.286610249999999</v>
      </c>
      <c r="EV10" s="816">
        <v>29.685125119999999</v>
      </c>
      <c r="EW10" s="816">
        <v>29.090331209999999</v>
      </c>
      <c r="EX10" s="816">
        <v>28.487910809999999</v>
      </c>
      <c r="EY10" s="816">
        <v>27.87306658</v>
      </c>
      <c r="EZ10" s="816">
        <v>27.262902539999999</v>
      </c>
      <c r="FA10" s="816">
        <v>26.648835250000001</v>
      </c>
      <c r="FB10" s="816">
        <v>26.02791598</v>
      </c>
      <c r="FC10" s="816">
        <v>25.66468368</v>
      </c>
      <c r="FD10" s="816">
        <v>24.78223732</v>
      </c>
      <c r="FE10" s="816">
        <v>24.123572889999998</v>
      </c>
      <c r="FF10" s="816">
        <v>23.845824440000001</v>
      </c>
      <c r="FG10" s="816">
        <v>617.84000200000003</v>
      </c>
      <c r="FH10" s="1712" t="s">
        <v>4067</v>
      </c>
      <c r="FI10" s="319"/>
      <c r="FJ10" s="319"/>
      <c r="FK10" s="319"/>
      <c r="FL10" s="319"/>
      <c r="FM10" s="321"/>
      <c r="FN10" s="319"/>
      <c r="FO10" s="319"/>
      <c r="FP10" s="319"/>
      <c r="FQ10" s="319"/>
      <c r="FR10" s="319"/>
      <c r="FS10" s="319"/>
      <c r="FT10" s="319"/>
      <c r="FU10" s="319"/>
      <c r="FV10" s="319"/>
      <c r="FW10" s="319"/>
      <c r="FX10" s="319"/>
      <c r="FY10" s="319"/>
      <c r="FZ10" s="319"/>
      <c r="GA10" s="319"/>
      <c r="GB10" s="319"/>
      <c r="GC10" s="319"/>
      <c r="GD10" s="319"/>
      <c r="GE10" s="319"/>
      <c r="GF10" s="319"/>
      <c r="GG10" s="319"/>
      <c r="GH10" s="319"/>
      <c r="GI10" s="319"/>
      <c r="GJ10" s="319"/>
      <c r="GK10" s="319"/>
      <c r="GL10" s="319"/>
      <c r="GM10" s="319"/>
      <c r="GN10" s="319"/>
      <c r="GO10" s="319"/>
      <c r="GP10" s="319"/>
      <c r="GQ10" s="319"/>
      <c r="GR10" s="319"/>
      <c r="GS10" s="319"/>
      <c r="GT10" s="319"/>
      <c r="GU10" s="319"/>
      <c r="GV10" s="319"/>
      <c r="GW10" s="319"/>
      <c r="GX10" s="319"/>
      <c r="GY10" s="319"/>
      <c r="GZ10" s="319"/>
      <c r="HA10" s="319"/>
      <c r="HB10" s="319"/>
      <c r="HC10" s="319"/>
      <c r="HD10" s="319"/>
      <c r="HE10" s="319"/>
      <c r="HF10" s="319"/>
      <c r="HG10" s="319"/>
      <c r="HH10" s="319"/>
      <c r="HI10" s="319"/>
      <c r="HJ10" s="319"/>
      <c r="HK10" s="319"/>
      <c r="HL10" s="319"/>
      <c r="HM10" s="319"/>
      <c r="HN10" s="319"/>
      <c r="HO10" s="319"/>
      <c r="HP10" s="319"/>
      <c r="HQ10" s="319"/>
      <c r="HR10" s="319"/>
      <c r="HS10" s="319"/>
      <c r="HT10" s="319"/>
      <c r="HU10" s="319"/>
      <c r="HV10" s="319"/>
      <c r="HW10" s="319"/>
      <c r="HX10" s="319"/>
      <c r="HY10" s="319"/>
      <c r="HZ10" s="319"/>
      <c r="IA10" s="319"/>
      <c r="IB10" s="319"/>
      <c r="IC10" s="319"/>
      <c r="ID10" s="319"/>
      <c r="IE10" s="319"/>
      <c r="IF10" s="319"/>
      <c r="IG10" s="319"/>
      <c r="IH10" s="319"/>
      <c r="II10" s="319"/>
      <c r="IJ10" s="319"/>
      <c r="IK10" s="319"/>
      <c r="IL10" s="319"/>
      <c r="IM10" s="319"/>
      <c r="IN10" s="319"/>
      <c r="IO10" s="319"/>
      <c r="IP10" s="319"/>
      <c r="IQ10" s="319"/>
      <c r="IR10" s="319"/>
      <c r="IS10" s="319"/>
      <c r="IT10" s="319"/>
      <c r="IU10" s="319"/>
      <c r="IV10" s="319"/>
      <c r="IW10" s="319"/>
      <c r="IX10" s="319"/>
      <c r="IY10" s="319"/>
      <c r="IZ10" s="319"/>
      <c r="JA10" s="319"/>
      <c r="JB10" s="319"/>
      <c r="JC10" s="319"/>
      <c r="JD10" s="319"/>
      <c r="JE10" s="319"/>
      <c r="JF10" s="319"/>
      <c r="JG10" s="319"/>
      <c r="JH10" s="319"/>
      <c r="JI10" s="319"/>
      <c r="JJ10" s="319"/>
      <c r="JK10" s="319"/>
      <c r="JL10" s="319"/>
      <c r="JM10" s="319"/>
      <c r="JN10" s="319"/>
      <c r="JO10" s="319"/>
      <c r="JP10" s="319"/>
      <c r="JQ10" s="319"/>
      <c r="JR10" s="319"/>
      <c r="JS10" s="319"/>
      <c r="JT10" s="319"/>
      <c r="JU10" s="319"/>
      <c r="JV10" s="319"/>
      <c r="JW10" s="319"/>
      <c r="JX10" s="319"/>
      <c r="JY10" s="319"/>
      <c r="JZ10" s="319"/>
      <c r="KA10" s="319"/>
      <c r="KB10" s="319"/>
      <c r="KC10" s="319"/>
      <c r="KD10" s="319"/>
      <c r="KE10" s="319"/>
      <c r="KF10" s="319"/>
      <c r="KG10" s="319"/>
      <c r="KH10" s="319"/>
      <c r="KI10" s="319"/>
      <c r="KJ10" s="319"/>
      <c r="KK10" s="319"/>
      <c r="KL10" s="319"/>
      <c r="KM10" s="319"/>
      <c r="KN10" s="319"/>
      <c r="KO10" s="319"/>
      <c r="KP10" s="319"/>
    </row>
    <row r="11" spans="1:302" ht="21">
      <c r="A11" s="1723" t="s">
        <v>1962</v>
      </c>
      <c r="B11" s="791">
        <f t="shared" ref="B11:V11" si="0">+B9-B10</f>
        <v>1065.3081903100001</v>
      </c>
      <c r="C11" s="791">
        <f t="shared" si="0"/>
        <v>1373.1621201200001</v>
      </c>
      <c r="D11" s="791">
        <f t="shared" si="0"/>
        <v>1439.9555705499999</v>
      </c>
      <c r="E11" s="791">
        <f t="shared" si="0"/>
        <v>1657.82862817</v>
      </c>
      <c r="F11" s="791">
        <f t="shared" si="0"/>
        <v>1764.0894260700002</v>
      </c>
      <c r="G11" s="791">
        <f t="shared" si="0"/>
        <v>1822.94496607</v>
      </c>
      <c r="H11" s="791">
        <f t="shared" si="0"/>
        <v>1895.01305641</v>
      </c>
      <c r="I11" s="791">
        <f t="shared" si="0"/>
        <v>1944.3044096500003</v>
      </c>
      <c r="J11" s="791">
        <f t="shared" si="0"/>
        <v>2003.2218307199998</v>
      </c>
      <c r="K11" s="791">
        <f t="shared" si="0"/>
        <v>2037.8545894699998</v>
      </c>
      <c r="L11" s="791">
        <f t="shared" si="0"/>
        <v>2085.4630049900002</v>
      </c>
      <c r="M11" s="784">
        <f t="shared" si="0"/>
        <v>2091.4973838099995</v>
      </c>
      <c r="N11" s="781">
        <f t="shared" si="0"/>
        <v>1727.64935623</v>
      </c>
      <c r="O11" s="781">
        <f t="shared" si="0"/>
        <v>1775.9185467499999</v>
      </c>
      <c r="P11" s="781">
        <f t="shared" si="0"/>
        <v>1812.2702630200004</v>
      </c>
      <c r="Q11" s="781">
        <f t="shared" si="0"/>
        <v>1853.15719083</v>
      </c>
      <c r="R11" s="781">
        <f t="shared" si="0"/>
        <v>1920.5496190600002</v>
      </c>
      <c r="S11" s="781">
        <f t="shared" si="0"/>
        <v>1974.30431787</v>
      </c>
      <c r="T11" s="781">
        <f t="shared" si="0"/>
        <v>2003.8039138899996</v>
      </c>
      <c r="U11" s="781">
        <f t="shared" si="0"/>
        <v>2043.6256732599998</v>
      </c>
      <c r="V11" s="781">
        <f t="shared" si="0"/>
        <v>2092.2897298700004</v>
      </c>
      <c r="W11" s="781">
        <v>2125.1294292799998</v>
      </c>
      <c r="X11" s="781">
        <v>2196.5958158999997</v>
      </c>
      <c r="Y11" s="784">
        <v>2189.23994382</v>
      </c>
      <c r="Z11" s="781">
        <v>2195.5475927000002</v>
      </c>
      <c r="AA11" s="781">
        <v>1866.0046842899999</v>
      </c>
      <c r="AB11" s="784">
        <f>+AB9-AB10</f>
        <v>1940.91094823</v>
      </c>
      <c r="AC11" s="784">
        <v>1918.5523697799999</v>
      </c>
      <c r="AD11" s="784">
        <v>1918.8939900099999</v>
      </c>
      <c r="AE11" s="784">
        <v>1899.7037109599999</v>
      </c>
      <c r="AF11" s="784">
        <v>1907.8595142199999</v>
      </c>
      <c r="AG11" s="784">
        <v>1836.7069011799999</v>
      </c>
      <c r="AH11" s="784">
        <f>+AH9-AH10</f>
        <v>1821.7713519300005</v>
      </c>
      <c r="AI11" s="784">
        <v>1821.06204409</v>
      </c>
      <c r="AJ11" s="784">
        <f>+AJ9-AJ10</f>
        <v>1984.1944268900002</v>
      </c>
      <c r="AK11" s="784">
        <f>+AK9-AK10</f>
        <v>2171.2507728</v>
      </c>
      <c r="AL11" s="784">
        <v>2189.7713853499999</v>
      </c>
      <c r="AM11" s="784">
        <f>+AM9-AM10</f>
        <v>2192.7268958200002</v>
      </c>
      <c r="AN11" s="784">
        <f>+AN9-AN10</f>
        <v>2156.04638226</v>
      </c>
      <c r="AO11" s="784">
        <f>+AO9-AO10</f>
        <v>2023.3443977899999</v>
      </c>
      <c r="AP11" s="784">
        <f>+AP9-AP10</f>
        <v>1975.2156277300003</v>
      </c>
      <c r="AQ11" s="784">
        <v>1787.73130186</v>
      </c>
      <c r="AR11" s="784">
        <v>1178.50666714</v>
      </c>
      <c r="AS11" s="784">
        <f>+AS9-AS10</f>
        <v>1178.3260754800001</v>
      </c>
      <c r="AT11" s="784">
        <f>+AT9-AT10</f>
        <v>1119.38514313</v>
      </c>
      <c r="AU11" s="784">
        <v>982.97413865999999</v>
      </c>
      <c r="AV11" s="784">
        <v>1012.4481979400001</v>
      </c>
      <c r="AW11" s="784">
        <v>1013.86136104</v>
      </c>
      <c r="AX11" s="784">
        <v>1026.2826060300001</v>
      </c>
      <c r="AY11" s="784">
        <v>1032.79635833</v>
      </c>
      <c r="AZ11" s="784">
        <v>1016.9761191599999</v>
      </c>
      <c r="BA11" s="784">
        <v>1014.79134562</v>
      </c>
      <c r="BB11" s="784">
        <v>970.40930667000009</v>
      </c>
      <c r="BC11" s="784">
        <v>791.59156274000009</v>
      </c>
      <c r="BD11" s="784">
        <f>+BD9-BD10</f>
        <v>529.09149667000008</v>
      </c>
      <c r="BE11" s="784">
        <v>472.75493667000001</v>
      </c>
      <c r="BF11" s="784">
        <v>483.00305578999996</v>
      </c>
      <c r="BG11" s="784">
        <v>484.09199325999998</v>
      </c>
      <c r="BH11" s="827">
        <v>482.06694428999992</v>
      </c>
      <c r="BI11" s="816">
        <v>493.57984188000006</v>
      </c>
      <c r="BJ11" s="816">
        <v>497.40226073999997</v>
      </c>
      <c r="BK11" s="816">
        <v>468.78219430000001</v>
      </c>
      <c r="BL11" s="816">
        <v>481.6311465</v>
      </c>
      <c r="BM11" s="816">
        <v>465.95743977000001</v>
      </c>
      <c r="BN11" s="816">
        <v>460.09331351000003</v>
      </c>
      <c r="BO11" s="816">
        <v>466.51301607999994</v>
      </c>
      <c r="BP11" s="816">
        <v>464.33590036000004</v>
      </c>
      <c r="BQ11" s="816">
        <v>460.70511907999997</v>
      </c>
      <c r="BR11" s="816">
        <v>345.10437358999997</v>
      </c>
      <c r="BS11" s="816">
        <v>333.93056864000005</v>
      </c>
      <c r="BT11" s="816">
        <v>346.33361210999999</v>
      </c>
      <c r="BU11" s="816">
        <v>306.01249254999999</v>
      </c>
      <c r="BV11" s="816">
        <v>301.94964494999999</v>
      </c>
      <c r="BW11" s="816">
        <v>316.88827399999997</v>
      </c>
      <c r="BX11" s="816">
        <v>322.99822119999999</v>
      </c>
      <c r="BY11" s="816">
        <v>311.76627234</v>
      </c>
      <c r="BZ11" s="816">
        <v>329.27066920999999</v>
      </c>
      <c r="CA11" s="816">
        <v>335.05130819999999</v>
      </c>
      <c r="CB11" s="816">
        <v>313.84481928000002</v>
      </c>
      <c r="CC11" s="816">
        <v>335.84724432999997</v>
      </c>
      <c r="CD11" s="816">
        <v>345.48464193999996</v>
      </c>
      <c r="CE11" s="816">
        <f t="shared" ref="CE11:CP11" si="1">+CE9-CE10</f>
        <v>356.73494461999996</v>
      </c>
      <c r="CF11" s="816">
        <f t="shared" si="1"/>
        <v>402.96618730999995</v>
      </c>
      <c r="CG11" s="816">
        <f t="shared" si="1"/>
        <v>427.16178428999996</v>
      </c>
      <c r="CH11" s="816">
        <f t="shared" si="1"/>
        <v>416.81999790999998</v>
      </c>
      <c r="CI11" s="816">
        <f t="shared" si="1"/>
        <v>411.84370254000004</v>
      </c>
      <c r="CJ11" s="816">
        <f t="shared" si="1"/>
        <v>415.92795584999999</v>
      </c>
      <c r="CK11" s="816">
        <f t="shared" si="1"/>
        <v>409.53903955000004</v>
      </c>
      <c r="CL11" s="816">
        <f t="shared" si="1"/>
        <v>371.69286225000002</v>
      </c>
      <c r="CM11" s="816">
        <f t="shared" si="1"/>
        <v>362.36056699000005</v>
      </c>
      <c r="CN11" s="816">
        <f t="shared" si="1"/>
        <v>355.16111650000005</v>
      </c>
      <c r="CO11" s="816">
        <f t="shared" si="1"/>
        <v>357.04161857000003</v>
      </c>
      <c r="CP11" s="816">
        <f t="shared" si="1"/>
        <v>351.55490913</v>
      </c>
      <c r="CQ11" s="816">
        <f>+CQ9-CQ10</f>
        <v>349.33087976999997</v>
      </c>
      <c r="CR11" s="816">
        <f>+CR9-CR10</f>
        <v>374.85278195999996</v>
      </c>
      <c r="CS11" s="816">
        <f>+CS9-CS10</f>
        <v>385.49419285000005</v>
      </c>
      <c r="CT11" s="816">
        <v>422.22797513999996</v>
      </c>
      <c r="CU11" s="816">
        <f>+CU9-CU10</f>
        <v>444.18248688</v>
      </c>
      <c r="CV11" s="816">
        <v>433.51137589000001</v>
      </c>
      <c r="CW11" s="816">
        <v>439.55887482999998</v>
      </c>
      <c r="CX11" s="816">
        <v>469.56754929000004</v>
      </c>
      <c r="CY11" s="816">
        <v>471.91321427999998</v>
      </c>
      <c r="CZ11" s="816">
        <v>505.13795968999995</v>
      </c>
      <c r="DA11" s="816">
        <v>543.07852446999993</v>
      </c>
      <c r="DB11" s="816">
        <v>582.28138567999997</v>
      </c>
      <c r="DC11" s="816">
        <f>+DC9-DC10</f>
        <v>606.40325546999998</v>
      </c>
      <c r="DD11" s="816">
        <v>644.34243730000003</v>
      </c>
      <c r="DE11" s="816">
        <v>619.57246173999999</v>
      </c>
      <c r="DF11" s="816">
        <v>630.08440714999995</v>
      </c>
      <c r="DG11" s="816">
        <f>+DG9-DG10</f>
        <v>706.92489135000005</v>
      </c>
      <c r="DH11" s="816">
        <v>735.88964038000006</v>
      </c>
      <c r="DI11" s="816">
        <f>+DI9-DI10</f>
        <v>790.97267418000001</v>
      </c>
      <c r="DJ11" s="816">
        <v>814.54395253999996</v>
      </c>
      <c r="DK11" s="816">
        <v>895.44138897000005</v>
      </c>
      <c r="DL11" s="816">
        <v>908.93524859000001</v>
      </c>
      <c r="DM11" s="816">
        <v>904.06859596000004</v>
      </c>
      <c r="DN11" s="816">
        <f>+DN9-DN10</f>
        <v>953.90060564999999</v>
      </c>
      <c r="DO11" s="816">
        <f>+DO9-DO10</f>
        <v>893.86279925999997</v>
      </c>
      <c r="DP11" s="816">
        <f>+DP9-DP10</f>
        <v>873.90140069000006</v>
      </c>
      <c r="DQ11" s="816">
        <f>+DQ9-DQ10</f>
        <v>831.30211717999998</v>
      </c>
      <c r="DR11" s="816">
        <v>844.96956141999999</v>
      </c>
      <c r="DS11" s="816">
        <v>800.72034772999996</v>
      </c>
      <c r="DT11" s="816">
        <v>795.71069807000003</v>
      </c>
      <c r="DU11" s="816">
        <f>+DU9-DU10</f>
        <v>802.36897971999997</v>
      </c>
      <c r="DV11" s="816">
        <f>+DV9-DV10</f>
        <v>827.35329767999997</v>
      </c>
      <c r="DW11" s="816">
        <v>871.11505217000001</v>
      </c>
      <c r="DX11" s="816">
        <v>847.52943784000001</v>
      </c>
      <c r="DY11" s="816">
        <v>820.60296129000005</v>
      </c>
      <c r="DZ11" s="816">
        <f>+DZ9-DZ10</f>
        <v>841.22265077999998</v>
      </c>
      <c r="EA11" s="816">
        <v>829.34822797999993</v>
      </c>
      <c r="EB11" s="816">
        <v>843.25976808999997</v>
      </c>
      <c r="EC11" s="816">
        <v>838.98343459</v>
      </c>
      <c r="ED11" s="816">
        <v>853.27014881000002</v>
      </c>
      <c r="EE11" s="816">
        <v>832.07294479000007</v>
      </c>
      <c r="EF11" s="816">
        <v>855.15718350999998</v>
      </c>
      <c r="EG11" s="816">
        <v>885.76732029000004</v>
      </c>
      <c r="EH11" s="816">
        <v>883.90512669999998</v>
      </c>
      <c r="EI11" s="816">
        <v>897.63377509000009</v>
      </c>
      <c r="EJ11" s="816">
        <f>+EJ9-EJ10</f>
        <v>915.75288637000006</v>
      </c>
      <c r="EK11" s="816">
        <v>879.79526956999996</v>
      </c>
      <c r="EL11" s="816">
        <v>912.83389622999994</v>
      </c>
      <c r="EM11" s="816">
        <v>1116.6160224099999</v>
      </c>
      <c r="EN11" s="816">
        <f>+EN9-EN10</f>
        <v>1154.30437932</v>
      </c>
      <c r="EO11" s="816">
        <v>1057.91786903</v>
      </c>
      <c r="EP11" s="816">
        <v>1065.94284644</v>
      </c>
      <c r="EQ11" s="816">
        <v>1029.94098478</v>
      </c>
      <c r="ER11" s="816">
        <v>1062.8849037800001</v>
      </c>
      <c r="ES11" s="816">
        <v>1063.00347227</v>
      </c>
      <c r="ET11" s="816">
        <v>1094.81303555</v>
      </c>
      <c r="EU11" s="816">
        <f>+EU9-EU10</f>
        <v>1085.7657994599999</v>
      </c>
      <c r="EV11" s="816">
        <v>1108.44150657</v>
      </c>
      <c r="EW11" s="816">
        <f>+EW9-EW10</f>
        <v>1136.8932391000001</v>
      </c>
      <c r="EX11" s="816">
        <f>+EX9-EX10</f>
        <v>1179.3108137000002</v>
      </c>
      <c r="EY11" s="816">
        <v>1210.7228365199999</v>
      </c>
      <c r="EZ11" s="816">
        <v>1241.7930055100001</v>
      </c>
      <c r="FA11" s="816">
        <v>1280.43055136</v>
      </c>
      <c r="FB11" s="816">
        <v>1270.50287478</v>
      </c>
      <c r="FC11" s="816">
        <v>1277.02772891</v>
      </c>
      <c r="FD11" s="816">
        <v>1309.1734836800001</v>
      </c>
      <c r="FE11" s="816">
        <v>1272.3069794599999</v>
      </c>
      <c r="FF11" s="816">
        <f>+FF9-FF10</f>
        <v>1279.2268423999999</v>
      </c>
      <c r="FG11" s="816">
        <f>+FG9-FG10</f>
        <v>1286.1521876199999</v>
      </c>
      <c r="FH11" s="1712" t="s">
        <v>4066</v>
      </c>
      <c r="FI11" s="319"/>
      <c r="FJ11" s="319"/>
      <c r="FK11" s="319"/>
      <c r="FL11" s="319"/>
      <c r="FM11" s="321"/>
      <c r="FN11" s="319"/>
      <c r="FO11" s="319"/>
      <c r="FP11" s="319"/>
      <c r="FQ11" s="319"/>
      <c r="FR11" s="319"/>
      <c r="FS11" s="319"/>
      <c r="FT11" s="319"/>
      <c r="FU11" s="319"/>
      <c r="FV11" s="319"/>
      <c r="FW11" s="319"/>
      <c r="FX11" s="319"/>
      <c r="FY11" s="319"/>
      <c r="FZ11" s="319"/>
      <c r="GA11" s="319"/>
      <c r="GB11" s="319"/>
      <c r="GC11" s="319"/>
      <c r="GD11" s="319"/>
      <c r="GE11" s="319"/>
      <c r="GF11" s="319"/>
      <c r="GG11" s="319"/>
      <c r="GH11" s="319"/>
      <c r="GI11" s="319"/>
      <c r="GJ11" s="319"/>
      <c r="GK11" s="319"/>
      <c r="GL11" s="319"/>
      <c r="GM11" s="319"/>
      <c r="GN11" s="319"/>
      <c r="GO11" s="319"/>
      <c r="GP11" s="319"/>
      <c r="GQ11" s="319"/>
      <c r="GR11" s="319"/>
      <c r="GS11" s="319"/>
      <c r="GT11" s="319"/>
      <c r="GU11" s="319"/>
      <c r="GV11" s="319"/>
      <c r="GW11" s="319"/>
      <c r="GX11" s="319"/>
      <c r="GY11" s="319"/>
      <c r="GZ11" s="319"/>
      <c r="HA11" s="319"/>
      <c r="HB11" s="319"/>
      <c r="HC11" s="319"/>
      <c r="HD11" s="319"/>
      <c r="HE11" s="319"/>
      <c r="HF11" s="319"/>
      <c r="HG11" s="319"/>
      <c r="HH11" s="319"/>
      <c r="HI11" s="319"/>
      <c r="HJ11" s="319"/>
      <c r="HK11" s="319"/>
      <c r="HL11" s="319"/>
      <c r="HM11" s="319"/>
      <c r="HN11" s="319"/>
      <c r="HO11" s="319"/>
      <c r="HP11" s="319"/>
      <c r="HQ11" s="319"/>
      <c r="HR11" s="319"/>
      <c r="HS11" s="319"/>
      <c r="HT11" s="319"/>
      <c r="HU11" s="319"/>
      <c r="HV11" s="319"/>
      <c r="HW11" s="319"/>
      <c r="HX11" s="319"/>
      <c r="HY11" s="319"/>
      <c r="HZ11" s="319"/>
      <c r="IA11" s="319"/>
      <c r="IB11" s="319"/>
      <c r="IC11" s="319"/>
      <c r="ID11" s="319"/>
      <c r="IE11" s="319"/>
      <c r="IF11" s="319"/>
      <c r="IG11" s="319"/>
      <c r="IH11" s="319"/>
      <c r="II11" s="319"/>
      <c r="IJ11" s="319"/>
      <c r="IK11" s="319"/>
      <c r="IL11" s="319"/>
      <c r="IM11" s="319"/>
      <c r="IN11" s="319"/>
      <c r="IO11" s="319"/>
      <c r="IP11" s="319"/>
      <c r="IQ11" s="319"/>
      <c r="IR11" s="319"/>
      <c r="IS11" s="319"/>
      <c r="IT11" s="319"/>
      <c r="IU11" s="319"/>
      <c r="IV11" s="319"/>
      <c r="IW11" s="319"/>
      <c r="IX11" s="319"/>
      <c r="IY11" s="319"/>
      <c r="IZ11" s="319"/>
      <c r="JA11" s="319"/>
      <c r="JB11" s="319"/>
      <c r="JC11" s="319"/>
      <c r="JD11" s="319"/>
      <c r="JE11" s="319"/>
      <c r="JF11" s="319"/>
      <c r="JG11" s="319"/>
      <c r="JH11" s="319"/>
      <c r="JI11" s="319"/>
      <c r="JJ11" s="319"/>
      <c r="JK11" s="319"/>
      <c r="JL11" s="319"/>
      <c r="JM11" s="319"/>
      <c r="JN11" s="319"/>
      <c r="JO11" s="319"/>
      <c r="JP11" s="319"/>
      <c r="JQ11" s="319"/>
      <c r="JR11" s="319"/>
      <c r="JS11" s="319"/>
      <c r="JT11" s="319"/>
      <c r="JU11" s="319"/>
      <c r="JV11" s="319"/>
      <c r="JW11" s="319"/>
      <c r="JX11" s="319"/>
      <c r="JY11" s="319"/>
      <c r="JZ11" s="319"/>
      <c r="KA11" s="319"/>
      <c r="KB11" s="319"/>
      <c r="KC11" s="319"/>
      <c r="KD11" s="319"/>
      <c r="KE11" s="319"/>
      <c r="KF11" s="319"/>
      <c r="KG11" s="319"/>
      <c r="KH11" s="319"/>
      <c r="KI11" s="319"/>
      <c r="KJ11" s="319"/>
      <c r="KK11" s="319"/>
      <c r="KL11" s="319"/>
      <c r="KM11" s="319"/>
      <c r="KN11" s="319"/>
      <c r="KO11" s="319"/>
      <c r="KP11" s="319"/>
    </row>
    <row r="12" spans="1:302" ht="21">
      <c r="A12" s="1721"/>
      <c r="B12" s="792"/>
      <c r="C12" s="792"/>
      <c r="D12" s="792"/>
      <c r="E12" s="792"/>
      <c r="F12" s="792"/>
      <c r="G12" s="792"/>
      <c r="H12" s="792"/>
      <c r="I12" s="792"/>
      <c r="J12" s="792"/>
      <c r="K12" s="792"/>
      <c r="L12" s="792"/>
      <c r="M12" s="784"/>
      <c r="N12" s="784"/>
      <c r="O12" s="784"/>
      <c r="P12" s="784"/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84"/>
      <c r="AF12" s="784"/>
      <c r="AG12" s="784"/>
      <c r="AH12" s="784"/>
      <c r="AI12" s="784"/>
      <c r="AJ12" s="784"/>
      <c r="AK12" s="784"/>
      <c r="AL12" s="784"/>
      <c r="AM12" s="784"/>
      <c r="AN12" s="784"/>
      <c r="AO12" s="784"/>
      <c r="AP12" s="784"/>
      <c r="AQ12" s="784"/>
      <c r="AR12" s="784"/>
      <c r="AS12" s="784"/>
      <c r="AT12" s="784"/>
      <c r="AU12" s="784"/>
      <c r="AV12" s="784"/>
      <c r="AW12" s="784"/>
      <c r="AX12" s="784"/>
      <c r="AY12" s="784"/>
      <c r="AZ12" s="784"/>
      <c r="BA12" s="784"/>
      <c r="BB12" s="784"/>
      <c r="BC12" s="784"/>
      <c r="BD12" s="784"/>
      <c r="BE12" s="784"/>
      <c r="BF12" s="784"/>
      <c r="BG12" s="784"/>
      <c r="BH12" s="827"/>
      <c r="BI12" s="816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6"/>
      <c r="CN12" s="816"/>
      <c r="CO12" s="816"/>
      <c r="CP12" s="816"/>
      <c r="CQ12" s="816"/>
      <c r="CR12" s="816"/>
      <c r="CS12" s="816"/>
      <c r="CT12" s="816"/>
      <c r="CU12" s="816"/>
      <c r="CV12" s="816"/>
      <c r="CW12" s="816"/>
      <c r="CX12" s="816"/>
      <c r="CY12" s="816"/>
      <c r="CZ12" s="816"/>
      <c r="DA12" s="816"/>
      <c r="DB12" s="816"/>
      <c r="DC12" s="816"/>
      <c r="DD12" s="816"/>
      <c r="DE12" s="816"/>
      <c r="DF12" s="816"/>
      <c r="DG12" s="816"/>
      <c r="DH12" s="816"/>
      <c r="DI12" s="816"/>
      <c r="DJ12" s="816"/>
      <c r="DK12" s="816"/>
      <c r="DL12" s="816"/>
      <c r="DM12" s="816"/>
      <c r="DN12" s="816"/>
      <c r="DO12" s="816"/>
      <c r="DP12" s="816"/>
      <c r="DQ12" s="816"/>
      <c r="DR12" s="816"/>
      <c r="DS12" s="816"/>
      <c r="DT12" s="816"/>
      <c r="DU12" s="816"/>
      <c r="DV12" s="816"/>
      <c r="DW12" s="816"/>
      <c r="DX12" s="816"/>
      <c r="DY12" s="816"/>
      <c r="DZ12" s="816"/>
      <c r="EA12" s="816"/>
      <c r="EB12" s="816"/>
      <c r="EC12" s="816"/>
      <c r="ED12" s="816"/>
      <c r="EE12" s="816"/>
      <c r="EF12" s="816"/>
      <c r="EG12" s="816"/>
      <c r="EH12" s="816"/>
      <c r="EI12" s="816"/>
      <c r="EJ12" s="816"/>
      <c r="EK12" s="816"/>
      <c r="EL12" s="816"/>
      <c r="EM12" s="816"/>
      <c r="EN12" s="816"/>
      <c r="EO12" s="816"/>
      <c r="EP12" s="816"/>
      <c r="EQ12" s="816"/>
      <c r="ER12" s="816"/>
      <c r="ES12" s="816"/>
      <c r="ET12" s="816"/>
      <c r="EU12" s="816"/>
      <c r="EV12" s="816"/>
      <c r="EW12" s="816"/>
      <c r="EX12" s="816"/>
      <c r="EY12" s="816"/>
      <c r="EZ12" s="816"/>
      <c r="FA12" s="816"/>
      <c r="FB12" s="816"/>
      <c r="FC12" s="816"/>
      <c r="FD12" s="816"/>
      <c r="FE12" s="816"/>
      <c r="FF12" s="816"/>
      <c r="FG12" s="816"/>
      <c r="FH12" s="1711"/>
      <c r="FI12" s="319"/>
      <c r="FJ12" s="319"/>
      <c r="FK12" s="319"/>
      <c r="FL12" s="319"/>
      <c r="FM12" s="321"/>
      <c r="FN12" s="319"/>
      <c r="FO12" s="319"/>
      <c r="FP12" s="319"/>
      <c r="FQ12" s="319"/>
      <c r="FR12" s="319"/>
      <c r="FS12" s="319"/>
      <c r="FT12" s="319"/>
      <c r="FU12" s="319"/>
      <c r="FV12" s="319"/>
      <c r="FW12" s="319"/>
      <c r="FX12" s="319"/>
      <c r="FY12" s="319"/>
      <c r="FZ12" s="319"/>
      <c r="GA12" s="319"/>
      <c r="GB12" s="319"/>
      <c r="GC12" s="319"/>
      <c r="GD12" s="319"/>
      <c r="GE12" s="319"/>
      <c r="GF12" s="319"/>
      <c r="GG12" s="319"/>
      <c r="GH12" s="319"/>
      <c r="GI12" s="319"/>
      <c r="GJ12" s="319"/>
      <c r="GK12" s="319"/>
      <c r="GL12" s="319"/>
      <c r="GM12" s="319"/>
      <c r="GN12" s="319"/>
      <c r="GO12" s="319"/>
      <c r="GP12" s="319"/>
      <c r="GQ12" s="319"/>
      <c r="GR12" s="319"/>
      <c r="GS12" s="319"/>
      <c r="GT12" s="319"/>
      <c r="GU12" s="319"/>
      <c r="GV12" s="319"/>
      <c r="GW12" s="319"/>
      <c r="GX12" s="319"/>
      <c r="GY12" s="319"/>
      <c r="GZ12" s="319"/>
      <c r="HA12" s="319"/>
      <c r="HB12" s="319"/>
      <c r="HC12" s="319"/>
      <c r="HD12" s="319"/>
      <c r="HE12" s="319"/>
      <c r="HF12" s="319"/>
      <c r="HG12" s="319"/>
      <c r="HH12" s="319"/>
      <c r="HI12" s="319"/>
      <c r="HJ12" s="319"/>
      <c r="HK12" s="319"/>
      <c r="HL12" s="319"/>
      <c r="HM12" s="319"/>
      <c r="HN12" s="319"/>
      <c r="HO12" s="319"/>
      <c r="HP12" s="319"/>
      <c r="HQ12" s="319"/>
      <c r="HR12" s="319"/>
      <c r="HS12" s="319"/>
      <c r="HT12" s="319"/>
      <c r="HU12" s="319"/>
      <c r="HV12" s="319"/>
      <c r="HW12" s="319"/>
      <c r="HX12" s="319"/>
      <c r="HY12" s="319"/>
      <c r="HZ12" s="319"/>
      <c r="IA12" s="319"/>
      <c r="IB12" s="319"/>
      <c r="IC12" s="319"/>
      <c r="ID12" s="319"/>
      <c r="IE12" s="319"/>
      <c r="IF12" s="319"/>
      <c r="IG12" s="319"/>
      <c r="IH12" s="319"/>
      <c r="II12" s="319"/>
      <c r="IJ12" s="319"/>
      <c r="IK12" s="319"/>
      <c r="IL12" s="319"/>
      <c r="IM12" s="319"/>
      <c r="IN12" s="319"/>
      <c r="IO12" s="319"/>
      <c r="IP12" s="319"/>
      <c r="IQ12" s="319"/>
      <c r="IR12" s="319"/>
      <c r="IS12" s="319"/>
      <c r="IT12" s="319"/>
      <c r="IU12" s="319"/>
      <c r="IV12" s="319"/>
      <c r="IW12" s="319"/>
      <c r="IX12" s="319"/>
      <c r="IY12" s="319"/>
      <c r="IZ12" s="319"/>
      <c r="JA12" s="319"/>
      <c r="JB12" s="319"/>
      <c r="JC12" s="319"/>
      <c r="JD12" s="319"/>
      <c r="JE12" s="319"/>
      <c r="JF12" s="319"/>
      <c r="JG12" s="319"/>
      <c r="JH12" s="319"/>
      <c r="JI12" s="319"/>
      <c r="JJ12" s="319"/>
      <c r="JK12" s="319"/>
      <c r="JL12" s="319"/>
      <c r="JM12" s="319"/>
      <c r="JN12" s="319"/>
      <c r="JO12" s="319"/>
      <c r="JP12" s="319"/>
      <c r="JQ12" s="319"/>
      <c r="JR12" s="319"/>
      <c r="JS12" s="319"/>
      <c r="JT12" s="319"/>
      <c r="JU12" s="319"/>
      <c r="JV12" s="319"/>
      <c r="JW12" s="319"/>
      <c r="JX12" s="319"/>
      <c r="JY12" s="319"/>
      <c r="JZ12" s="319"/>
      <c r="KA12" s="319"/>
      <c r="KB12" s="319"/>
      <c r="KC12" s="319"/>
      <c r="KD12" s="319"/>
      <c r="KE12" s="319"/>
      <c r="KF12" s="319"/>
      <c r="KG12" s="319"/>
      <c r="KH12" s="319"/>
      <c r="KI12" s="319"/>
      <c r="KJ12" s="319"/>
      <c r="KK12" s="319"/>
      <c r="KL12" s="319"/>
      <c r="KM12" s="319"/>
      <c r="KN12" s="319"/>
      <c r="KO12" s="319"/>
      <c r="KP12" s="319"/>
    </row>
    <row r="13" spans="1:302" ht="21">
      <c r="A13" s="1722" t="s">
        <v>2741</v>
      </c>
      <c r="B13" s="791">
        <v>213.81136772999997</v>
      </c>
      <c r="C13" s="791">
        <v>244.08134046000001</v>
      </c>
      <c r="D13" s="791">
        <v>228.11837111</v>
      </c>
      <c r="E13" s="791">
        <v>236.67908625999996</v>
      </c>
      <c r="F13" s="791">
        <v>237.60895477000003</v>
      </c>
      <c r="G13" s="791">
        <v>244.65951545999999</v>
      </c>
      <c r="H13" s="791">
        <v>247.23558170999999</v>
      </c>
      <c r="I13" s="791">
        <v>229.49520746000002</v>
      </c>
      <c r="J13" s="791">
        <v>229.15674351999999</v>
      </c>
      <c r="K13" s="791">
        <v>212.83492504999998</v>
      </c>
      <c r="L13" s="791">
        <v>224.59219667999997</v>
      </c>
      <c r="M13" s="781">
        <v>209.08070668000002</v>
      </c>
      <c r="N13" s="781">
        <v>212.78625145000001</v>
      </c>
      <c r="O13" s="781">
        <v>230.89288331</v>
      </c>
      <c r="P13" s="781">
        <v>242.11138154000002</v>
      </c>
      <c r="Q13" s="781">
        <v>241.28203640000001</v>
      </c>
      <c r="R13" s="781">
        <v>252.23741880000003</v>
      </c>
      <c r="S13" s="781">
        <v>266.24806594</v>
      </c>
      <c r="T13" s="781">
        <v>246.08713897000001</v>
      </c>
      <c r="U13" s="781">
        <v>249.34154711999997</v>
      </c>
      <c r="V13" s="781">
        <v>292.57808581</v>
      </c>
      <c r="W13" s="781">
        <v>294.79275579</v>
      </c>
      <c r="X13" s="781">
        <v>293.46741211999995</v>
      </c>
      <c r="Y13" s="781">
        <v>292.34374601999997</v>
      </c>
      <c r="Z13" s="781">
        <v>290.17137839000003</v>
      </c>
      <c r="AA13" s="781">
        <v>414.58413112</v>
      </c>
      <c r="AB13" s="781">
        <v>479.04988850000001</v>
      </c>
      <c r="AC13" s="781">
        <v>504.66633625999998</v>
      </c>
      <c r="AD13" s="781">
        <v>497.03673111000001</v>
      </c>
      <c r="AE13" s="781">
        <v>485.78983794999999</v>
      </c>
      <c r="AF13" s="781">
        <v>480.99797160000003</v>
      </c>
      <c r="AG13" s="781">
        <v>425.24853188999998</v>
      </c>
      <c r="AH13" s="781">
        <v>427.97799282</v>
      </c>
      <c r="AI13" s="781">
        <v>421.06744024</v>
      </c>
      <c r="AJ13" s="781">
        <v>554.01775177000002</v>
      </c>
      <c r="AK13" s="781">
        <v>456.47834010999998</v>
      </c>
      <c r="AL13" s="781">
        <v>437.19751558000007</v>
      </c>
      <c r="AM13" s="781">
        <v>408.41109488000001</v>
      </c>
      <c r="AN13" s="781">
        <v>429.32491909000004</v>
      </c>
      <c r="AO13" s="781">
        <v>431.62663572999998</v>
      </c>
      <c r="AP13" s="781">
        <v>422.71676418000004</v>
      </c>
      <c r="AQ13" s="781">
        <v>436.99731226</v>
      </c>
      <c r="AR13" s="781">
        <v>211.28409395</v>
      </c>
      <c r="AS13" s="781">
        <v>204.83334833999999</v>
      </c>
      <c r="AT13" s="781">
        <v>208.48596925999999</v>
      </c>
      <c r="AU13" s="781">
        <v>182.17862407000001</v>
      </c>
      <c r="AV13" s="781">
        <v>206.84556876000002</v>
      </c>
      <c r="AW13" s="781">
        <v>232.11282347999997</v>
      </c>
      <c r="AX13" s="781">
        <v>238.41772634</v>
      </c>
      <c r="AY13" s="781">
        <v>256.38629892</v>
      </c>
      <c r="AZ13" s="781">
        <v>245.71735051000002</v>
      </c>
      <c r="BA13" s="781">
        <v>247.13218941</v>
      </c>
      <c r="BB13" s="781">
        <v>233.13024175000004</v>
      </c>
      <c r="BC13" s="781">
        <v>119.71212869999999</v>
      </c>
      <c r="BD13" s="781">
        <v>126.84533295</v>
      </c>
      <c r="BE13" s="781">
        <v>100.18810240000001</v>
      </c>
      <c r="BF13" s="781">
        <v>103.63141417</v>
      </c>
      <c r="BG13" s="781">
        <v>99.54738476</v>
      </c>
      <c r="BH13" s="826">
        <v>104.22845917999999</v>
      </c>
      <c r="BI13" s="815">
        <v>72.59071161</v>
      </c>
      <c r="BJ13" s="815">
        <v>76.491375339999991</v>
      </c>
      <c r="BK13" s="815">
        <v>45.955537280000001</v>
      </c>
      <c r="BL13" s="815">
        <v>67.958210510000001</v>
      </c>
      <c r="BM13" s="815">
        <v>71.42156919</v>
      </c>
      <c r="BN13" s="815">
        <v>70.895867229999993</v>
      </c>
      <c r="BO13" s="815">
        <v>73.854381770000003</v>
      </c>
      <c r="BP13" s="815">
        <v>82.088783860000007</v>
      </c>
      <c r="BQ13" s="815">
        <v>82.320930510000011</v>
      </c>
      <c r="BR13" s="815">
        <v>111.75579008</v>
      </c>
      <c r="BS13" s="815">
        <v>113.66706494000002</v>
      </c>
      <c r="BT13" s="815">
        <v>135.78118401</v>
      </c>
      <c r="BU13" s="815">
        <v>174.74458831999999</v>
      </c>
      <c r="BV13" s="815">
        <v>171.6882263</v>
      </c>
      <c r="BW13" s="815">
        <v>184.70841553999998</v>
      </c>
      <c r="BX13" s="815">
        <v>179.74227164000001</v>
      </c>
      <c r="BY13" s="815">
        <v>167.22461928999999</v>
      </c>
      <c r="BZ13" s="815">
        <v>166.12920450999997</v>
      </c>
      <c r="CA13" s="815">
        <v>164.55730779999999</v>
      </c>
      <c r="CB13" s="815">
        <v>173.00983312</v>
      </c>
      <c r="CC13" s="815">
        <v>182.13813959999999</v>
      </c>
      <c r="CD13" s="815">
        <v>181.52689182999998</v>
      </c>
      <c r="CE13" s="815">
        <v>188.546212</v>
      </c>
      <c r="CF13" s="815">
        <v>215.509424</v>
      </c>
      <c r="CG13" s="815">
        <v>191.74764793999998</v>
      </c>
      <c r="CH13" s="815">
        <v>177.47351897999999</v>
      </c>
      <c r="CI13" s="815">
        <v>177.69947251000002</v>
      </c>
      <c r="CJ13" s="815">
        <v>171.73356968000002</v>
      </c>
      <c r="CK13" s="815">
        <v>165.28876731</v>
      </c>
      <c r="CL13" s="815">
        <v>120.40526235999999</v>
      </c>
      <c r="CM13" s="815">
        <v>112.3534142</v>
      </c>
      <c r="CN13" s="815">
        <v>100.81043637000001</v>
      </c>
      <c r="CO13" s="815">
        <v>103.35585878000001</v>
      </c>
      <c r="CP13" s="815">
        <v>97.091240400000004</v>
      </c>
      <c r="CQ13" s="815">
        <v>95.305531580000007</v>
      </c>
      <c r="CR13" s="815">
        <v>103.69417692</v>
      </c>
      <c r="CS13" s="815">
        <v>102.29469080000001</v>
      </c>
      <c r="CT13" s="815">
        <v>101.01728256</v>
      </c>
      <c r="CU13" s="815">
        <v>118.34396866</v>
      </c>
      <c r="CV13" s="815">
        <v>133.77428373999999</v>
      </c>
      <c r="CW13" s="815">
        <v>128.43193423</v>
      </c>
      <c r="CX13" s="815">
        <v>138.08722617000001</v>
      </c>
      <c r="CY13" s="815">
        <v>147.52961388</v>
      </c>
      <c r="CZ13" s="815">
        <v>180.31187968</v>
      </c>
      <c r="DA13" s="815">
        <v>206.99182306</v>
      </c>
      <c r="DB13" s="815">
        <v>219.47919754</v>
      </c>
      <c r="DC13" s="815">
        <v>230.48561432</v>
      </c>
      <c r="DD13" s="815">
        <v>269.18324740999998</v>
      </c>
      <c r="DE13" s="815">
        <v>235.50232127000001</v>
      </c>
      <c r="DF13" s="815">
        <v>241.67337950999999</v>
      </c>
      <c r="DG13" s="815">
        <v>308.23433204000003</v>
      </c>
      <c r="DH13" s="815">
        <v>324.19427744000001</v>
      </c>
      <c r="DI13" s="815">
        <v>332.96293630000002</v>
      </c>
      <c r="DJ13" s="815">
        <v>354.04048766</v>
      </c>
      <c r="DK13" s="815">
        <v>429.57435504</v>
      </c>
      <c r="DL13" s="815">
        <v>426.37013123999998</v>
      </c>
      <c r="DM13" s="815">
        <v>415.62514315999999</v>
      </c>
      <c r="DN13" s="815">
        <v>458.59190897000002</v>
      </c>
      <c r="DO13" s="815">
        <v>407.71964369</v>
      </c>
      <c r="DP13" s="815">
        <v>385.68282733000001</v>
      </c>
      <c r="DQ13" s="815">
        <v>289.11321964000001</v>
      </c>
      <c r="DR13" s="815">
        <v>264.45509718</v>
      </c>
      <c r="DS13" s="815">
        <v>253.17365430999999</v>
      </c>
      <c r="DT13" s="815">
        <v>270.45251343000001</v>
      </c>
      <c r="DU13" s="815">
        <v>270.39783603000001</v>
      </c>
      <c r="DV13" s="815">
        <v>247.84948501</v>
      </c>
      <c r="DW13" s="815">
        <v>269.48669742999999</v>
      </c>
      <c r="DX13" s="815">
        <v>234.67004157</v>
      </c>
      <c r="DY13" s="815">
        <v>216.00728505999999</v>
      </c>
      <c r="DZ13" s="815">
        <v>212.62033872999999</v>
      </c>
      <c r="EA13" s="815">
        <v>197.15487257999999</v>
      </c>
      <c r="EB13" s="815">
        <v>204.67761225000001</v>
      </c>
      <c r="EC13" s="815">
        <v>183.76733533999999</v>
      </c>
      <c r="ED13" s="815">
        <v>199.59617821000001</v>
      </c>
      <c r="EE13" s="815">
        <v>190.48217618999999</v>
      </c>
      <c r="EF13" s="815">
        <v>231.81190527000001</v>
      </c>
      <c r="EG13" s="815">
        <v>244.94438511000001</v>
      </c>
      <c r="EH13" s="815">
        <v>243.44737054999999</v>
      </c>
      <c r="EI13" s="815">
        <v>250.15343186000001</v>
      </c>
      <c r="EJ13" s="815">
        <v>273.81043484000003</v>
      </c>
      <c r="EK13" s="815">
        <v>216.28747919</v>
      </c>
      <c r="EL13" s="815">
        <v>251.30577714</v>
      </c>
      <c r="EM13" s="815">
        <v>328.29172325000002</v>
      </c>
      <c r="EN13" s="815">
        <v>334.77972837999999</v>
      </c>
      <c r="EO13" s="815">
        <v>252.92847221</v>
      </c>
      <c r="EP13" s="815">
        <v>236.57295447000001</v>
      </c>
      <c r="EQ13" s="815">
        <v>198.39975834000001</v>
      </c>
      <c r="ER13" s="815">
        <v>216.04420927000001</v>
      </c>
      <c r="ES13" s="815">
        <v>222.78578300999999</v>
      </c>
      <c r="ET13" s="815">
        <v>225.00976417999999</v>
      </c>
      <c r="EU13" s="815">
        <v>211.04760826</v>
      </c>
      <c r="EV13" s="815">
        <v>227.40822885</v>
      </c>
      <c r="EW13" s="815">
        <v>221.71739650000001</v>
      </c>
      <c r="EX13" s="815">
        <v>242.36690454000001</v>
      </c>
      <c r="EY13" s="815">
        <v>258.02023020000001</v>
      </c>
      <c r="EZ13" s="815">
        <v>269.15409670000003</v>
      </c>
      <c r="FA13" s="815">
        <v>282.59360744000003</v>
      </c>
      <c r="FB13" s="815">
        <v>277.10959502999998</v>
      </c>
      <c r="FC13" s="815">
        <v>294.27540429999999</v>
      </c>
      <c r="FD13" s="815">
        <v>317.66761765000001</v>
      </c>
      <c r="FE13" s="815">
        <v>281.08799950999997</v>
      </c>
      <c r="FF13" s="815">
        <v>280.98273153000002</v>
      </c>
      <c r="FG13" s="815">
        <v>296.07071396999999</v>
      </c>
      <c r="FH13" s="1710" t="s">
        <v>4064</v>
      </c>
      <c r="FI13" s="319"/>
      <c r="FJ13" s="319"/>
      <c r="FK13" s="319"/>
      <c r="FL13" s="319"/>
      <c r="FM13" s="321"/>
      <c r="FN13" s="319"/>
      <c r="FO13" s="319"/>
      <c r="FP13" s="319"/>
      <c r="FQ13" s="319"/>
      <c r="FR13" s="319"/>
      <c r="FS13" s="319"/>
      <c r="FT13" s="319"/>
      <c r="FU13" s="319"/>
      <c r="FV13" s="319"/>
      <c r="FW13" s="319"/>
      <c r="FX13" s="319"/>
      <c r="FY13" s="319"/>
      <c r="FZ13" s="319"/>
      <c r="GA13" s="319"/>
      <c r="GB13" s="319"/>
      <c r="GC13" s="319"/>
      <c r="GD13" s="319"/>
      <c r="GE13" s="319"/>
      <c r="GF13" s="319"/>
      <c r="GG13" s="319"/>
      <c r="GH13" s="319"/>
      <c r="GI13" s="319"/>
      <c r="GJ13" s="319"/>
      <c r="GK13" s="319"/>
      <c r="GL13" s="319"/>
      <c r="GM13" s="319"/>
      <c r="GN13" s="319"/>
      <c r="GO13" s="319"/>
      <c r="GP13" s="319"/>
      <c r="GQ13" s="319"/>
      <c r="GR13" s="319"/>
      <c r="GS13" s="319"/>
      <c r="GT13" s="319"/>
      <c r="GU13" s="319"/>
      <c r="GV13" s="319"/>
      <c r="GW13" s="319"/>
      <c r="GX13" s="319"/>
      <c r="GY13" s="319"/>
      <c r="GZ13" s="319"/>
      <c r="HA13" s="319"/>
      <c r="HB13" s="319"/>
      <c r="HC13" s="319"/>
      <c r="HD13" s="319"/>
      <c r="HE13" s="319"/>
      <c r="HF13" s="319"/>
      <c r="HG13" s="319"/>
      <c r="HH13" s="319"/>
      <c r="HI13" s="319"/>
      <c r="HJ13" s="319"/>
      <c r="HK13" s="319"/>
      <c r="HL13" s="319"/>
      <c r="HM13" s="319"/>
      <c r="HN13" s="319"/>
      <c r="HO13" s="319"/>
      <c r="HP13" s="319"/>
      <c r="HQ13" s="319"/>
      <c r="HR13" s="319"/>
      <c r="HS13" s="319"/>
      <c r="HT13" s="319"/>
      <c r="HU13" s="319"/>
      <c r="HV13" s="319"/>
      <c r="HW13" s="319"/>
      <c r="HX13" s="319"/>
      <c r="HY13" s="319"/>
      <c r="HZ13" s="319"/>
      <c r="IA13" s="319"/>
      <c r="IB13" s="319"/>
      <c r="IC13" s="319"/>
      <c r="ID13" s="319"/>
      <c r="IE13" s="319"/>
      <c r="IF13" s="319"/>
      <c r="IG13" s="319"/>
      <c r="IH13" s="319"/>
      <c r="II13" s="319"/>
      <c r="IJ13" s="319"/>
      <c r="IK13" s="319"/>
      <c r="IL13" s="319"/>
      <c r="IM13" s="319"/>
      <c r="IN13" s="319"/>
      <c r="IO13" s="319"/>
      <c r="IP13" s="319"/>
      <c r="IQ13" s="319"/>
      <c r="IR13" s="319"/>
      <c r="IS13" s="319"/>
      <c r="IT13" s="319"/>
      <c r="IU13" s="319"/>
      <c r="IV13" s="319"/>
      <c r="IW13" s="319"/>
      <c r="IX13" s="319"/>
      <c r="IY13" s="319"/>
      <c r="IZ13" s="319"/>
      <c r="JA13" s="319"/>
      <c r="JB13" s="319"/>
      <c r="JC13" s="319"/>
      <c r="JD13" s="319"/>
      <c r="JE13" s="319"/>
      <c r="JF13" s="319"/>
      <c r="JG13" s="319"/>
      <c r="JH13" s="319"/>
      <c r="JI13" s="319"/>
      <c r="JJ13" s="319"/>
      <c r="JK13" s="319"/>
      <c r="JL13" s="319"/>
      <c r="JM13" s="319"/>
      <c r="JN13" s="319"/>
      <c r="JO13" s="319"/>
      <c r="JP13" s="319"/>
      <c r="JQ13" s="319"/>
      <c r="JR13" s="319"/>
      <c r="JS13" s="319"/>
      <c r="JT13" s="319"/>
      <c r="JU13" s="319"/>
      <c r="JV13" s="319"/>
      <c r="JW13" s="319"/>
      <c r="JX13" s="319"/>
      <c r="JY13" s="319"/>
      <c r="JZ13" s="319"/>
      <c r="KA13" s="319"/>
      <c r="KB13" s="319"/>
      <c r="KC13" s="319"/>
      <c r="KD13" s="319"/>
      <c r="KE13" s="319"/>
      <c r="KF13" s="319"/>
      <c r="KG13" s="319"/>
      <c r="KH13" s="319"/>
      <c r="KI13" s="319"/>
      <c r="KJ13" s="319"/>
      <c r="KK13" s="319"/>
      <c r="KL13" s="319"/>
      <c r="KM13" s="319"/>
      <c r="KN13" s="319"/>
      <c r="KO13" s="319"/>
      <c r="KP13" s="319"/>
    </row>
    <row r="14" spans="1:302" ht="21">
      <c r="A14" s="1723" t="s">
        <v>1961</v>
      </c>
      <c r="B14" s="792">
        <v>55.199652799999996</v>
      </c>
      <c r="C14" s="792">
        <v>86.7073599</v>
      </c>
      <c r="D14" s="792">
        <v>77.796303159999994</v>
      </c>
      <c r="E14" s="792">
        <v>66.627038240000005</v>
      </c>
      <c r="F14" s="792">
        <v>56.384360270000002</v>
      </c>
      <c r="G14" s="792">
        <v>56.333983959999998</v>
      </c>
      <c r="H14" s="792">
        <v>55.349142319999999</v>
      </c>
      <c r="I14" s="792">
        <v>43.824385599999999</v>
      </c>
      <c r="J14" s="792">
        <v>28.946097269999999</v>
      </c>
      <c r="K14" s="792">
        <v>6.8455837699999993</v>
      </c>
      <c r="L14" s="792">
        <v>15.452168990000001</v>
      </c>
      <c r="M14" s="784">
        <v>10.561970580000001</v>
      </c>
      <c r="N14" s="784">
        <v>10.571338580000001</v>
      </c>
      <c r="O14" s="784">
        <v>20.037656999999999</v>
      </c>
      <c r="P14" s="784">
        <v>22.593061890000001</v>
      </c>
      <c r="Q14" s="784">
        <v>12.45883684</v>
      </c>
      <c r="R14" s="784">
        <v>26.10849207</v>
      </c>
      <c r="S14" s="784">
        <v>29.307386219999998</v>
      </c>
      <c r="T14" s="784">
        <v>29.75052414</v>
      </c>
      <c r="U14" s="784">
        <v>41.885427500000006</v>
      </c>
      <c r="V14" s="784">
        <v>63.363763860000006</v>
      </c>
      <c r="W14" s="784">
        <v>60.310339029999994</v>
      </c>
      <c r="X14" s="784">
        <v>41.202133849999996</v>
      </c>
      <c r="Y14" s="784">
        <v>41.516802650000002</v>
      </c>
      <c r="Z14" s="784">
        <v>35.273066889999996</v>
      </c>
      <c r="AA14" s="784">
        <v>51.980426580000007</v>
      </c>
      <c r="AB14" s="784">
        <v>8.6369561600000004</v>
      </c>
      <c r="AC14" s="784">
        <v>29.747273620000001</v>
      </c>
      <c r="AD14" s="784">
        <v>34.085093610000001</v>
      </c>
      <c r="AE14" s="784">
        <v>33.983477279999995</v>
      </c>
      <c r="AF14" s="784">
        <v>39.025731750000006</v>
      </c>
      <c r="AG14" s="784">
        <v>43.200216519999998</v>
      </c>
      <c r="AH14" s="784">
        <v>43.239144060000001</v>
      </c>
      <c r="AI14" s="784">
        <v>43.321924299999999</v>
      </c>
      <c r="AJ14" s="784">
        <v>43.136408359999997</v>
      </c>
      <c r="AK14" s="784">
        <v>11.074159320000001</v>
      </c>
      <c r="AL14" s="784">
        <v>11.366935570000001</v>
      </c>
      <c r="AM14" s="784">
        <v>11.13175609</v>
      </c>
      <c r="AN14" s="784">
        <v>11.12585808</v>
      </c>
      <c r="AO14" s="784">
        <v>10.24335052</v>
      </c>
      <c r="AP14" s="784">
        <v>1.9642250700000001</v>
      </c>
      <c r="AQ14" s="784">
        <v>4.4786540700000002</v>
      </c>
      <c r="AR14" s="784">
        <v>4.7771810800000001</v>
      </c>
      <c r="AS14" s="784">
        <v>5.4846050799999997</v>
      </c>
      <c r="AT14" s="784">
        <v>5.33042208</v>
      </c>
      <c r="AU14" s="784">
        <v>3.8038960799999999</v>
      </c>
      <c r="AV14" s="784">
        <v>3.4312688199999997</v>
      </c>
      <c r="AW14" s="784">
        <v>2.68382582</v>
      </c>
      <c r="AX14" s="784">
        <v>2.68382582</v>
      </c>
      <c r="AY14" s="784">
        <v>1.60473</v>
      </c>
      <c r="AZ14" s="784">
        <v>0.865811</v>
      </c>
      <c r="BA14" s="784">
        <v>0.84681099999999998</v>
      </c>
      <c r="BB14" s="784">
        <v>0.306811</v>
      </c>
      <c r="BC14" s="784">
        <v>0</v>
      </c>
      <c r="BD14" s="784">
        <v>0</v>
      </c>
      <c r="BE14" s="784">
        <v>0</v>
      </c>
      <c r="BF14" s="784">
        <v>0</v>
      </c>
      <c r="BG14" s="784">
        <v>0</v>
      </c>
      <c r="BH14" s="827">
        <v>0.1</v>
      </c>
      <c r="BI14" s="816">
        <v>0.2</v>
      </c>
      <c r="BJ14" s="816">
        <v>0.25</v>
      </c>
      <c r="BK14" s="816">
        <v>0.3</v>
      </c>
      <c r="BL14" s="816">
        <v>0.43341204999999999</v>
      </c>
      <c r="BM14" s="816">
        <v>0.32837125</v>
      </c>
      <c r="BN14" s="816">
        <v>0.24022125</v>
      </c>
      <c r="BO14" s="816">
        <v>0.17122076999999999</v>
      </c>
      <c r="BP14" s="816">
        <v>0.10967444</v>
      </c>
      <c r="BQ14" s="816">
        <v>7.8029769999999998E-2</v>
      </c>
      <c r="BR14" s="816">
        <v>6.9529770000000005E-2</v>
      </c>
      <c r="BS14" s="816">
        <v>0.24</v>
      </c>
      <c r="BT14" s="816">
        <v>15.4</v>
      </c>
      <c r="BU14" s="816">
        <v>46.217195049999994</v>
      </c>
      <c r="BV14" s="816">
        <v>45.107562049999999</v>
      </c>
      <c r="BW14" s="816">
        <v>44.395982719999999</v>
      </c>
      <c r="BX14" s="816">
        <v>35.379192119999999</v>
      </c>
      <c r="BY14" s="816">
        <v>33.796639680000006</v>
      </c>
      <c r="BZ14" s="816">
        <v>25.364785379999997</v>
      </c>
      <c r="CA14" s="816">
        <v>22.988123079999998</v>
      </c>
      <c r="CB14" s="816">
        <v>21.352009639999999</v>
      </c>
      <c r="CC14" s="816">
        <v>19.869345039999999</v>
      </c>
      <c r="CD14" s="816">
        <v>11.51320067</v>
      </c>
      <c r="CE14" s="816">
        <v>9.7197798599999992</v>
      </c>
      <c r="CF14" s="816">
        <v>8.2000269999999986</v>
      </c>
      <c r="CG14" s="816">
        <v>0.40002700000000002</v>
      </c>
      <c r="CH14" s="816">
        <v>2.6999999999999999E-5</v>
      </c>
      <c r="CI14" s="816">
        <v>2.6999999999999999E-5</v>
      </c>
      <c r="CJ14" s="816">
        <v>3.0026999999999998E-2</v>
      </c>
      <c r="CK14" s="816">
        <v>0.190027</v>
      </c>
      <c r="CL14" s="816">
        <v>0.15002699999999999</v>
      </c>
      <c r="CM14" s="816">
        <v>2.6999999999999999E-5</v>
      </c>
      <c r="CN14" s="816">
        <v>0.20002700000000001</v>
      </c>
      <c r="CO14" s="816">
        <v>0.220027</v>
      </c>
      <c r="CP14" s="816">
        <v>0.24144483</v>
      </c>
      <c r="CQ14" s="816">
        <v>9.5268240000000004E-2</v>
      </c>
      <c r="CR14" s="816">
        <v>1.9517720000000002E-2</v>
      </c>
      <c r="CS14" s="816">
        <v>1.7710189999999997E-2</v>
      </c>
      <c r="CT14" s="816">
        <v>1.6016140000000002E-2</v>
      </c>
      <c r="CU14" s="816">
        <v>1.41406E-2</v>
      </c>
      <c r="CV14" s="816">
        <v>1.2230670000000001E-2</v>
      </c>
      <c r="CW14" s="816">
        <v>1.028573E-2</v>
      </c>
      <c r="CX14" s="816">
        <v>8.3901099999999992E-3</v>
      </c>
      <c r="CY14" s="816">
        <v>6.2959399999999999E-3</v>
      </c>
      <c r="CZ14" s="816">
        <v>4.2383500000000001E-3</v>
      </c>
      <c r="DA14" s="816">
        <v>2.1494700000000001E-3</v>
      </c>
      <c r="DB14" s="816">
        <v>0</v>
      </c>
      <c r="DC14" s="816">
        <v>0</v>
      </c>
      <c r="DD14" s="816">
        <v>0</v>
      </c>
      <c r="DE14" s="816">
        <v>0</v>
      </c>
      <c r="DF14" s="816">
        <v>0</v>
      </c>
      <c r="DG14" s="816">
        <v>0</v>
      </c>
      <c r="DH14" s="816">
        <v>0.2</v>
      </c>
      <c r="DI14" s="816">
        <v>0.2</v>
      </c>
      <c r="DJ14" s="816">
        <v>0.2</v>
      </c>
      <c r="DK14" s="816">
        <v>0.2</v>
      </c>
      <c r="DL14" s="816">
        <v>0.17883414</v>
      </c>
      <c r="DM14" s="816">
        <v>0.15728809999999999</v>
      </c>
      <c r="DN14" s="816">
        <v>0.13568469999999999</v>
      </c>
      <c r="DO14" s="816">
        <v>0.16361853000000001</v>
      </c>
      <c r="DP14" s="816">
        <v>0.13757828999999999</v>
      </c>
      <c r="DQ14" s="816">
        <v>0.11122019</v>
      </c>
      <c r="DR14" s="816">
        <v>8.4478029999999996E-2</v>
      </c>
      <c r="DS14" s="816">
        <v>5.7495490000000003E-2</v>
      </c>
      <c r="DT14" s="816">
        <v>3.0244480000000001E-2</v>
      </c>
      <c r="DU14" s="816">
        <v>2.60015E-2</v>
      </c>
      <c r="DV14" s="816">
        <v>0.05</v>
      </c>
      <c r="DW14" s="816">
        <v>0</v>
      </c>
      <c r="DX14" s="816">
        <v>0</v>
      </c>
      <c r="DY14" s="816">
        <v>0</v>
      </c>
      <c r="DZ14" s="816">
        <v>0.03</v>
      </c>
      <c r="EA14" s="816">
        <v>2.766617E-2</v>
      </c>
      <c r="EB14" s="816">
        <v>2.5374910000000001E-2</v>
      </c>
      <c r="EC14" s="816">
        <v>2.296803E-2</v>
      </c>
      <c r="ED14" s="816">
        <v>2.296803E-2</v>
      </c>
      <c r="EE14" s="816">
        <v>0</v>
      </c>
      <c r="EF14" s="816">
        <v>0</v>
      </c>
      <c r="EG14" s="816">
        <v>0</v>
      </c>
      <c r="EH14" s="816">
        <v>0</v>
      </c>
      <c r="EI14" s="816">
        <v>0</v>
      </c>
      <c r="EJ14" s="816">
        <v>0</v>
      </c>
      <c r="EK14" s="816">
        <v>0</v>
      </c>
      <c r="EL14" s="816">
        <v>0</v>
      </c>
      <c r="EM14" s="816">
        <v>0</v>
      </c>
      <c r="EN14" s="816">
        <v>0</v>
      </c>
      <c r="EO14" s="816">
        <v>0</v>
      </c>
      <c r="EP14" s="816">
        <v>3.40282E-3</v>
      </c>
      <c r="EQ14" s="816">
        <v>3.40282E-3</v>
      </c>
      <c r="ER14" s="816">
        <v>0</v>
      </c>
      <c r="ES14" s="816">
        <v>0</v>
      </c>
      <c r="ET14" s="816">
        <v>0</v>
      </c>
      <c r="EU14" s="816">
        <v>0</v>
      </c>
      <c r="EV14" s="816">
        <v>0</v>
      </c>
      <c r="EW14" s="816">
        <v>0</v>
      </c>
      <c r="EX14" s="816">
        <v>0</v>
      </c>
      <c r="EY14" s="816">
        <v>0</v>
      </c>
      <c r="EZ14" s="816">
        <v>0</v>
      </c>
      <c r="FA14" s="816">
        <v>0</v>
      </c>
      <c r="FB14" s="816">
        <v>0</v>
      </c>
      <c r="FC14" s="816">
        <v>0</v>
      </c>
      <c r="FD14" s="816">
        <v>0</v>
      </c>
      <c r="FE14" s="816">
        <v>0</v>
      </c>
      <c r="FF14" s="816">
        <v>0</v>
      </c>
      <c r="FG14" s="816">
        <v>0</v>
      </c>
      <c r="FH14" s="1712" t="s">
        <v>4067</v>
      </c>
      <c r="FI14" s="319"/>
      <c r="FJ14" s="319"/>
      <c r="FK14" s="319"/>
      <c r="FL14" s="319"/>
      <c r="FM14" s="321"/>
      <c r="FN14" s="319"/>
      <c r="FO14" s="319"/>
      <c r="FP14" s="319"/>
      <c r="FQ14" s="319"/>
      <c r="FR14" s="319"/>
      <c r="FS14" s="319"/>
      <c r="FT14" s="319"/>
      <c r="FU14" s="319"/>
      <c r="FV14" s="319"/>
      <c r="FW14" s="319"/>
      <c r="FX14" s="319"/>
      <c r="FY14" s="319"/>
      <c r="FZ14" s="319"/>
      <c r="GA14" s="319"/>
      <c r="GB14" s="319"/>
      <c r="GC14" s="319"/>
      <c r="GD14" s="319"/>
      <c r="GE14" s="319"/>
      <c r="GF14" s="319"/>
      <c r="GG14" s="319"/>
      <c r="GH14" s="319"/>
      <c r="GI14" s="319"/>
      <c r="GJ14" s="319"/>
      <c r="GK14" s="319"/>
      <c r="GL14" s="319"/>
      <c r="GM14" s="319"/>
      <c r="GN14" s="319"/>
      <c r="GO14" s="319"/>
      <c r="GP14" s="319"/>
      <c r="GQ14" s="319"/>
      <c r="GR14" s="319"/>
      <c r="GS14" s="319"/>
      <c r="GT14" s="319"/>
      <c r="GU14" s="319"/>
      <c r="GV14" s="319"/>
      <c r="GW14" s="319"/>
      <c r="GX14" s="319"/>
      <c r="GY14" s="319"/>
      <c r="GZ14" s="319"/>
      <c r="HA14" s="319"/>
      <c r="HB14" s="319"/>
      <c r="HC14" s="319"/>
      <c r="HD14" s="319"/>
      <c r="HE14" s="319"/>
      <c r="HF14" s="319"/>
      <c r="HG14" s="319"/>
      <c r="HH14" s="319"/>
      <c r="HI14" s="319"/>
      <c r="HJ14" s="319"/>
      <c r="HK14" s="319"/>
      <c r="HL14" s="319"/>
      <c r="HM14" s="319"/>
      <c r="HN14" s="319"/>
      <c r="HO14" s="319"/>
      <c r="HP14" s="319"/>
      <c r="HQ14" s="319"/>
      <c r="HR14" s="319"/>
      <c r="HS14" s="319"/>
      <c r="HT14" s="319"/>
      <c r="HU14" s="319"/>
      <c r="HV14" s="319"/>
      <c r="HW14" s="319"/>
      <c r="HX14" s="319"/>
      <c r="HY14" s="319"/>
      <c r="HZ14" s="319"/>
      <c r="IA14" s="319"/>
      <c r="IB14" s="319"/>
      <c r="IC14" s="319"/>
      <c r="ID14" s="319"/>
      <c r="IE14" s="319"/>
      <c r="IF14" s="319"/>
      <c r="IG14" s="319"/>
      <c r="IH14" s="319"/>
      <c r="II14" s="319"/>
      <c r="IJ14" s="319"/>
      <c r="IK14" s="319"/>
      <c r="IL14" s="319"/>
      <c r="IM14" s="319"/>
      <c r="IN14" s="319"/>
      <c r="IO14" s="319"/>
      <c r="IP14" s="319"/>
      <c r="IQ14" s="319"/>
      <c r="IR14" s="319"/>
      <c r="IS14" s="319"/>
      <c r="IT14" s="319"/>
      <c r="IU14" s="319"/>
      <c r="IV14" s="319"/>
      <c r="IW14" s="319"/>
      <c r="IX14" s="319"/>
      <c r="IY14" s="319"/>
      <c r="IZ14" s="319"/>
      <c r="JA14" s="319"/>
      <c r="JB14" s="319"/>
      <c r="JC14" s="319"/>
      <c r="JD14" s="319"/>
      <c r="JE14" s="319"/>
      <c r="JF14" s="319"/>
      <c r="JG14" s="319"/>
      <c r="JH14" s="319"/>
      <c r="JI14" s="319"/>
      <c r="JJ14" s="319"/>
      <c r="JK14" s="319"/>
      <c r="JL14" s="319"/>
      <c r="JM14" s="319"/>
      <c r="JN14" s="319"/>
      <c r="JO14" s="319"/>
      <c r="JP14" s="319"/>
      <c r="JQ14" s="319"/>
      <c r="JR14" s="319"/>
      <c r="JS14" s="319"/>
      <c r="JT14" s="319"/>
      <c r="JU14" s="319"/>
      <c r="JV14" s="319"/>
      <c r="JW14" s="319"/>
      <c r="JX14" s="319"/>
      <c r="JY14" s="319"/>
      <c r="JZ14" s="319"/>
      <c r="KA14" s="319"/>
      <c r="KB14" s="319"/>
      <c r="KC14" s="319"/>
      <c r="KD14" s="319"/>
      <c r="KE14" s="319"/>
      <c r="KF14" s="319"/>
      <c r="KG14" s="319"/>
      <c r="KH14" s="319"/>
      <c r="KI14" s="319"/>
      <c r="KJ14" s="319"/>
      <c r="KK14" s="319"/>
      <c r="KL14" s="319"/>
      <c r="KM14" s="319"/>
      <c r="KN14" s="319"/>
      <c r="KO14" s="319"/>
      <c r="KP14" s="319"/>
    </row>
    <row r="15" spans="1:302" ht="21">
      <c r="A15" s="1723" t="s">
        <v>1962</v>
      </c>
      <c r="B15" s="792">
        <f t="shared" ref="B15:V15" si="2">+B13-B14</f>
        <v>158.61171492999998</v>
      </c>
      <c r="C15" s="792">
        <f t="shared" si="2"/>
        <v>157.37398056000001</v>
      </c>
      <c r="D15" s="792">
        <f t="shared" si="2"/>
        <v>150.32206795000002</v>
      </c>
      <c r="E15" s="792">
        <f t="shared" si="2"/>
        <v>170.05204801999997</v>
      </c>
      <c r="F15" s="792">
        <f t="shared" si="2"/>
        <v>181.22459450000002</v>
      </c>
      <c r="G15" s="792">
        <f t="shared" si="2"/>
        <v>188.32553150000001</v>
      </c>
      <c r="H15" s="792">
        <f t="shared" si="2"/>
        <v>191.88643938999999</v>
      </c>
      <c r="I15" s="792">
        <f t="shared" si="2"/>
        <v>185.67082186000002</v>
      </c>
      <c r="J15" s="792">
        <f t="shared" si="2"/>
        <v>200.21064625</v>
      </c>
      <c r="K15" s="792">
        <f t="shared" si="2"/>
        <v>205.98934127999999</v>
      </c>
      <c r="L15" s="792">
        <f t="shared" si="2"/>
        <v>209.14002768999998</v>
      </c>
      <c r="M15" s="784">
        <f t="shared" si="2"/>
        <v>198.51873610000001</v>
      </c>
      <c r="N15" s="784">
        <f t="shared" si="2"/>
        <v>202.21491287000001</v>
      </c>
      <c r="O15" s="784">
        <f t="shared" si="2"/>
        <v>210.85522631000001</v>
      </c>
      <c r="P15" s="784">
        <f t="shared" si="2"/>
        <v>219.51831965000002</v>
      </c>
      <c r="Q15" s="784">
        <f t="shared" si="2"/>
        <v>228.82319956000001</v>
      </c>
      <c r="R15" s="784">
        <f t="shared" si="2"/>
        <v>226.12892673000002</v>
      </c>
      <c r="S15" s="784">
        <f t="shared" si="2"/>
        <v>236.94067971999999</v>
      </c>
      <c r="T15" s="784">
        <f t="shared" si="2"/>
        <v>216.33661483</v>
      </c>
      <c r="U15" s="784">
        <f t="shared" si="2"/>
        <v>207.45611961999998</v>
      </c>
      <c r="V15" s="784">
        <f t="shared" si="2"/>
        <v>229.21432195</v>
      </c>
      <c r="W15" s="784">
        <v>234.48241676000001</v>
      </c>
      <c r="X15" s="784">
        <v>252.26527826999995</v>
      </c>
      <c r="Y15" s="784">
        <v>250.82694336999998</v>
      </c>
      <c r="Z15" s="784">
        <v>254.89831150000003</v>
      </c>
      <c r="AA15" s="784">
        <v>362.60370453999997</v>
      </c>
      <c r="AB15" s="784">
        <f>+AB13-AB14</f>
        <v>470.41293234</v>
      </c>
      <c r="AC15" s="784">
        <v>474.91906263999999</v>
      </c>
      <c r="AD15" s="784">
        <v>462.9516375</v>
      </c>
      <c r="AE15" s="784">
        <v>451.80636067</v>
      </c>
      <c r="AF15" s="784">
        <v>441.97223985000005</v>
      </c>
      <c r="AG15" s="784">
        <v>382.04831536999995</v>
      </c>
      <c r="AH15" s="784">
        <f>+AH13-AH14</f>
        <v>384.73884876</v>
      </c>
      <c r="AI15" s="784">
        <v>377.74551594000002</v>
      </c>
      <c r="AJ15" s="784">
        <f>+AJ13-AJ14</f>
        <v>510.88134341</v>
      </c>
      <c r="AK15" s="784">
        <f>+AK13-AK14</f>
        <v>445.40418079</v>
      </c>
      <c r="AL15" s="784">
        <v>425.83058001000006</v>
      </c>
      <c r="AM15" s="784">
        <f>+AM13-AM14</f>
        <v>397.27933879</v>
      </c>
      <c r="AN15" s="784">
        <f>+AN13-AN14</f>
        <v>418.19906101000004</v>
      </c>
      <c r="AO15" s="784">
        <f>+AO13-AO14</f>
        <v>421.38328521</v>
      </c>
      <c r="AP15" s="784">
        <f>+AP13-AP14</f>
        <v>420.75253911000004</v>
      </c>
      <c r="AQ15" s="784">
        <v>432.51865819</v>
      </c>
      <c r="AR15" s="784">
        <v>206.50691287000001</v>
      </c>
      <c r="AS15" s="784">
        <f>+AS13-AS14</f>
        <v>199.34874325999999</v>
      </c>
      <c r="AT15" s="784">
        <f>+AT13-AT14</f>
        <v>203.15554717999999</v>
      </c>
      <c r="AU15" s="784">
        <v>178.37472799000003</v>
      </c>
      <c r="AV15" s="784">
        <v>203.41429994000003</v>
      </c>
      <c r="AW15" s="784">
        <v>229.42899765999996</v>
      </c>
      <c r="AX15" s="784">
        <v>235.73390051999999</v>
      </c>
      <c r="AY15" s="784">
        <v>254.78156892000001</v>
      </c>
      <c r="AZ15" s="784">
        <v>244.85153951000001</v>
      </c>
      <c r="BA15" s="784">
        <v>246.28537840999999</v>
      </c>
      <c r="BB15" s="784">
        <v>232.82343075000003</v>
      </c>
      <c r="BC15" s="784">
        <v>119.71212869999999</v>
      </c>
      <c r="BD15" s="784">
        <f>+BD13-BD14</f>
        <v>126.84533295</v>
      </c>
      <c r="BE15" s="784">
        <v>100.18810240000001</v>
      </c>
      <c r="BF15" s="784">
        <v>103.63141417</v>
      </c>
      <c r="BG15" s="784">
        <v>99.54738476</v>
      </c>
      <c r="BH15" s="827">
        <v>104.12845917999999</v>
      </c>
      <c r="BI15" s="816">
        <v>72.390711609999997</v>
      </c>
      <c r="BJ15" s="816">
        <v>76.241375339999991</v>
      </c>
      <c r="BK15" s="816">
        <v>45.655537280000004</v>
      </c>
      <c r="BL15" s="816">
        <v>67.52479846</v>
      </c>
      <c r="BM15" s="816">
        <v>71.093197939999996</v>
      </c>
      <c r="BN15" s="816">
        <v>70.655645979999989</v>
      </c>
      <c r="BO15" s="816">
        <v>73.683160999999998</v>
      </c>
      <c r="BP15" s="816">
        <v>81.97910942</v>
      </c>
      <c r="BQ15" s="816">
        <v>82.24290074000001</v>
      </c>
      <c r="BR15" s="816">
        <v>111.68626030999999</v>
      </c>
      <c r="BS15" s="816">
        <v>113.42706494000002</v>
      </c>
      <c r="BT15" s="816">
        <v>120.38118401</v>
      </c>
      <c r="BU15" s="816">
        <v>128.52739327</v>
      </c>
      <c r="BV15" s="816">
        <v>126.58066425</v>
      </c>
      <c r="BW15" s="816">
        <v>140.31243281999997</v>
      </c>
      <c r="BX15" s="816">
        <v>144.36307952000001</v>
      </c>
      <c r="BY15" s="816">
        <v>133.42797960999999</v>
      </c>
      <c r="BZ15" s="816">
        <v>140.76441912999996</v>
      </c>
      <c r="CA15" s="816">
        <v>141.56918471999998</v>
      </c>
      <c r="CB15" s="816">
        <v>151.65782347999999</v>
      </c>
      <c r="CC15" s="816">
        <v>162.26879456</v>
      </c>
      <c r="CD15" s="816">
        <v>170.01369115999998</v>
      </c>
      <c r="CE15" s="816">
        <f t="shared" ref="CE15:CP15" si="3">+CE13-CE14</f>
        <v>178.82643214000001</v>
      </c>
      <c r="CF15" s="816">
        <f t="shared" si="3"/>
        <v>207.30939699999999</v>
      </c>
      <c r="CG15" s="816">
        <f t="shared" si="3"/>
        <v>191.34762093999998</v>
      </c>
      <c r="CH15" s="816">
        <f t="shared" si="3"/>
        <v>177.47349198000001</v>
      </c>
      <c r="CI15" s="816">
        <f t="shared" si="3"/>
        <v>177.69944551000003</v>
      </c>
      <c r="CJ15" s="816">
        <f t="shared" si="3"/>
        <v>171.70354268000003</v>
      </c>
      <c r="CK15" s="816">
        <f t="shared" si="3"/>
        <v>165.09874031000001</v>
      </c>
      <c r="CL15" s="816">
        <f t="shared" si="3"/>
        <v>120.25523536</v>
      </c>
      <c r="CM15" s="816">
        <f t="shared" si="3"/>
        <v>112.3533872</v>
      </c>
      <c r="CN15" s="816">
        <f t="shared" si="3"/>
        <v>100.61040937</v>
      </c>
      <c r="CO15" s="816">
        <f t="shared" si="3"/>
        <v>103.13583178</v>
      </c>
      <c r="CP15" s="816">
        <f t="shared" si="3"/>
        <v>96.849795569999998</v>
      </c>
      <c r="CQ15" s="816">
        <f>+CQ13-CQ14</f>
        <v>95.210263340000012</v>
      </c>
      <c r="CR15" s="816">
        <f>+CR13-CR14</f>
        <v>103.67465920000001</v>
      </c>
      <c r="CS15" s="816">
        <f>+CS13-CS14</f>
        <v>102.27698061000001</v>
      </c>
      <c r="CT15" s="816">
        <v>101.00126641999999</v>
      </c>
      <c r="CU15" s="816">
        <f>+CU13-CU14</f>
        <v>118.32982806</v>
      </c>
      <c r="CV15" s="816">
        <v>133.76205306999998</v>
      </c>
      <c r="CW15" s="816">
        <v>128.4216485</v>
      </c>
      <c r="CX15" s="816">
        <v>138.07883606000001</v>
      </c>
      <c r="CY15" s="816">
        <v>147.52331794</v>
      </c>
      <c r="CZ15" s="816">
        <v>180.30764133</v>
      </c>
      <c r="DA15" s="816">
        <v>206.98967359</v>
      </c>
      <c r="DB15" s="816">
        <v>219.47919754</v>
      </c>
      <c r="DC15" s="816">
        <f>+DC13-DC14</f>
        <v>230.48561432</v>
      </c>
      <c r="DD15" s="816">
        <v>269.18324740999998</v>
      </c>
      <c r="DE15" s="816">
        <v>235.50232127000001</v>
      </c>
      <c r="DF15" s="816">
        <v>241.67337950999999</v>
      </c>
      <c r="DG15" s="816">
        <f>+DG13-DG14</f>
        <v>308.23433204000003</v>
      </c>
      <c r="DH15" s="816">
        <v>323.99427744000002</v>
      </c>
      <c r="DI15" s="816">
        <f>+DI13-DI14</f>
        <v>332.76293630000004</v>
      </c>
      <c r="DJ15" s="816">
        <v>353.84048766000001</v>
      </c>
      <c r="DK15" s="816">
        <v>429.37435504000001</v>
      </c>
      <c r="DL15" s="816">
        <v>426.19129709999999</v>
      </c>
      <c r="DM15" s="816">
        <v>415.46785505999998</v>
      </c>
      <c r="DN15" s="816">
        <f>+DN13-DN14</f>
        <v>458.45622427000001</v>
      </c>
      <c r="DO15" s="816">
        <f>+DO13-DO14</f>
        <v>407.55602515999999</v>
      </c>
      <c r="DP15" s="816">
        <f>+DP13-DP14</f>
        <v>385.54524903999999</v>
      </c>
      <c r="DQ15" s="816">
        <f>+DQ13-DQ14</f>
        <v>289.00199945000003</v>
      </c>
      <c r="DR15" s="816">
        <v>264.37061914999998</v>
      </c>
      <c r="DS15" s="816">
        <v>253.11615881999998</v>
      </c>
      <c r="DT15" s="816">
        <v>270.42226894999999</v>
      </c>
      <c r="DU15" s="816">
        <f>+DU13-DU14</f>
        <v>270.37183453</v>
      </c>
      <c r="DV15" s="816">
        <f>+DV13-DV14</f>
        <v>247.79948500999998</v>
      </c>
      <c r="DW15" s="816">
        <v>269.48669742999999</v>
      </c>
      <c r="DX15" s="816">
        <v>234.67004157</v>
      </c>
      <c r="DY15" s="816">
        <v>216.00728505999999</v>
      </c>
      <c r="DZ15" s="816">
        <f>+DZ13-DZ14</f>
        <v>212.59033872999998</v>
      </c>
      <c r="EA15" s="816">
        <v>197.12720640999999</v>
      </c>
      <c r="EB15" s="816">
        <v>204.65223734</v>
      </c>
      <c r="EC15" s="816">
        <v>183.74436731</v>
      </c>
      <c r="ED15" s="816">
        <v>199.57321018000002</v>
      </c>
      <c r="EE15" s="816">
        <v>190.48217618999999</v>
      </c>
      <c r="EF15" s="816">
        <v>231.81190527000001</v>
      </c>
      <c r="EG15" s="816">
        <v>244.94438511000001</v>
      </c>
      <c r="EH15" s="816">
        <v>243.44737054999999</v>
      </c>
      <c r="EI15" s="816">
        <v>250.15343186000001</v>
      </c>
      <c r="EJ15" s="816">
        <f>+EJ13-EJ14</f>
        <v>273.81043484000003</v>
      </c>
      <c r="EK15" s="816">
        <v>216.28747919</v>
      </c>
      <c r="EL15" s="816">
        <v>251.30577714</v>
      </c>
      <c r="EM15" s="816">
        <v>328.29172325000002</v>
      </c>
      <c r="EN15" s="816">
        <f>+EN13-EN14</f>
        <v>334.77972837999999</v>
      </c>
      <c r="EO15" s="816">
        <v>252.92847221</v>
      </c>
      <c r="EP15" s="816">
        <v>236.56955165000002</v>
      </c>
      <c r="EQ15" s="816">
        <v>198.39635552000001</v>
      </c>
      <c r="ER15" s="816">
        <v>216.04420927000001</v>
      </c>
      <c r="ES15" s="816">
        <v>222.78578300999999</v>
      </c>
      <c r="ET15" s="816">
        <v>225.00976417999999</v>
      </c>
      <c r="EU15" s="816">
        <f>+EU13-EU14</f>
        <v>211.04760826</v>
      </c>
      <c r="EV15" s="816">
        <v>227.40822885</v>
      </c>
      <c r="EW15" s="816">
        <f>+EW13-EW14</f>
        <v>221.71739650000001</v>
      </c>
      <c r="EX15" s="816">
        <f>+EX13-EX14</f>
        <v>242.36690454000001</v>
      </c>
      <c r="EY15" s="816">
        <v>258.02023020000001</v>
      </c>
      <c r="EZ15" s="816">
        <v>269.15409670000003</v>
      </c>
      <c r="FA15" s="816">
        <v>282.59360744000003</v>
      </c>
      <c r="FB15" s="816">
        <v>277.10959502999998</v>
      </c>
      <c r="FC15" s="816">
        <v>294.27540429999999</v>
      </c>
      <c r="FD15" s="816">
        <v>317.66761765000001</v>
      </c>
      <c r="FE15" s="816">
        <v>281.08799950999997</v>
      </c>
      <c r="FF15" s="816">
        <f>+FF13-FF14</f>
        <v>280.98273153000002</v>
      </c>
      <c r="FG15" s="816">
        <f>+FG13-FG14</f>
        <v>296.07071396999999</v>
      </c>
      <c r="FH15" s="1712" t="s">
        <v>4066</v>
      </c>
      <c r="FI15" s="319"/>
      <c r="FJ15" s="319"/>
      <c r="FK15" s="319"/>
      <c r="FL15" s="319"/>
      <c r="FM15" s="321"/>
      <c r="FN15" s="319"/>
      <c r="FO15" s="319"/>
      <c r="FP15" s="319"/>
      <c r="FQ15" s="319"/>
      <c r="FR15" s="319"/>
      <c r="FS15" s="319"/>
      <c r="FT15" s="319"/>
      <c r="FU15" s="319"/>
      <c r="FV15" s="319"/>
      <c r="FW15" s="319"/>
      <c r="FX15" s="319"/>
      <c r="FY15" s="319"/>
      <c r="FZ15" s="319"/>
      <c r="GA15" s="319"/>
      <c r="GB15" s="319"/>
      <c r="GC15" s="319"/>
      <c r="GD15" s="319"/>
      <c r="GE15" s="319"/>
      <c r="GF15" s="319"/>
      <c r="GG15" s="319"/>
      <c r="GH15" s="319"/>
      <c r="GI15" s="319"/>
      <c r="GJ15" s="319"/>
      <c r="GK15" s="319"/>
      <c r="GL15" s="319"/>
      <c r="GM15" s="319"/>
      <c r="GN15" s="319"/>
      <c r="GO15" s="319"/>
      <c r="GP15" s="319"/>
      <c r="GQ15" s="319"/>
      <c r="GR15" s="319"/>
      <c r="GS15" s="319"/>
      <c r="GT15" s="319"/>
      <c r="GU15" s="319"/>
      <c r="GV15" s="319"/>
      <c r="GW15" s="319"/>
      <c r="GX15" s="319"/>
      <c r="GY15" s="319"/>
      <c r="GZ15" s="319"/>
      <c r="HA15" s="319"/>
      <c r="HB15" s="319"/>
      <c r="HC15" s="319"/>
      <c r="HD15" s="319"/>
      <c r="HE15" s="319"/>
      <c r="HF15" s="319"/>
      <c r="HG15" s="319"/>
      <c r="HH15" s="319"/>
      <c r="HI15" s="319"/>
      <c r="HJ15" s="319"/>
      <c r="HK15" s="319"/>
      <c r="HL15" s="319"/>
      <c r="HM15" s="319"/>
      <c r="HN15" s="319"/>
      <c r="HO15" s="319"/>
      <c r="HP15" s="319"/>
      <c r="HQ15" s="319"/>
      <c r="HR15" s="319"/>
      <c r="HS15" s="319"/>
      <c r="HT15" s="319"/>
      <c r="HU15" s="319"/>
      <c r="HV15" s="319"/>
      <c r="HW15" s="319"/>
      <c r="HX15" s="319"/>
      <c r="HY15" s="319"/>
      <c r="HZ15" s="319"/>
      <c r="IA15" s="319"/>
      <c r="IB15" s="319"/>
      <c r="IC15" s="319"/>
      <c r="ID15" s="319"/>
      <c r="IE15" s="319"/>
      <c r="IF15" s="319"/>
      <c r="IG15" s="319"/>
      <c r="IH15" s="319"/>
      <c r="II15" s="319"/>
      <c r="IJ15" s="319"/>
      <c r="IK15" s="319"/>
      <c r="IL15" s="319"/>
      <c r="IM15" s="319"/>
      <c r="IN15" s="319"/>
      <c r="IO15" s="319"/>
      <c r="IP15" s="319"/>
      <c r="IQ15" s="319"/>
      <c r="IR15" s="319"/>
      <c r="IS15" s="319"/>
      <c r="IT15" s="319"/>
      <c r="IU15" s="319"/>
      <c r="IV15" s="319"/>
      <c r="IW15" s="319"/>
      <c r="IX15" s="319"/>
      <c r="IY15" s="319"/>
      <c r="IZ15" s="319"/>
      <c r="JA15" s="319"/>
      <c r="JB15" s="319"/>
      <c r="JC15" s="319"/>
      <c r="JD15" s="319"/>
      <c r="JE15" s="319"/>
      <c r="JF15" s="319"/>
      <c r="JG15" s="319"/>
      <c r="JH15" s="319"/>
      <c r="JI15" s="319"/>
      <c r="JJ15" s="319"/>
      <c r="JK15" s="319"/>
      <c r="JL15" s="319"/>
      <c r="JM15" s="319"/>
      <c r="JN15" s="319"/>
      <c r="JO15" s="319"/>
      <c r="JP15" s="319"/>
      <c r="JQ15" s="319"/>
      <c r="JR15" s="319"/>
      <c r="JS15" s="319"/>
      <c r="JT15" s="319"/>
      <c r="JU15" s="319"/>
      <c r="JV15" s="319"/>
      <c r="JW15" s="319"/>
      <c r="JX15" s="319"/>
      <c r="JY15" s="319"/>
      <c r="JZ15" s="319"/>
      <c r="KA15" s="319"/>
      <c r="KB15" s="319"/>
      <c r="KC15" s="319"/>
      <c r="KD15" s="319"/>
      <c r="KE15" s="319"/>
      <c r="KF15" s="319"/>
      <c r="KG15" s="319"/>
      <c r="KH15" s="319"/>
      <c r="KI15" s="319"/>
      <c r="KJ15" s="319"/>
      <c r="KK15" s="319"/>
      <c r="KL15" s="319"/>
      <c r="KM15" s="319"/>
      <c r="KN15" s="319"/>
      <c r="KO15" s="319"/>
      <c r="KP15" s="319"/>
    </row>
    <row r="16" spans="1:302" ht="21">
      <c r="A16" s="1720"/>
      <c r="B16" s="791"/>
      <c r="C16" s="791"/>
      <c r="D16" s="791"/>
      <c r="E16" s="791"/>
      <c r="F16" s="791"/>
      <c r="G16" s="791"/>
      <c r="H16" s="791"/>
      <c r="I16" s="791"/>
      <c r="J16" s="791"/>
      <c r="K16" s="791"/>
      <c r="L16" s="791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781"/>
      <c r="AA16" s="781"/>
      <c r="AB16" s="781"/>
      <c r="AC16" s="781"/>
      <c r="AD16" s="781"/>
      <c r="AE16" s="781"/>
      <c r="AF16" s="781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  <c r="AT16" s="781"/>
      <c r="AU16" s="781"/>
      <c r="AV16" s="781"/>
      <c r="AW16" s="781"/>
      <c r="AX16" s="781"/>
      <c r="AY16" s="781"/>
      <c r="AZ16" s="781"/>
      <c r="BA16" s="781"/>
      <c r="BB16" s="781"/>
      <c r="BC16" s="781"/>
      <c r="BD16" s="781"/>
      <c r="BE16" s="781"/>
      <c r="BF16" s="781"/>
      <c r="BG16" s="781"/>
      <c r="BH16" s="826"/>
      <c r="BI16" s="815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5"/>
      <c r="CN16" s="815"/>
      <c r="CO16" s="815"/>
      <c r="CP16" s="815"/>
      <c r="CQ16" s="815"/>
      <c r="CR16" s="815"/>
      <c r="CS16" s="815"/>
      <c r="CT16" s="815"/>
      <c r="CU16" s="815"/>
      <c r="CV16" s="815"/>
      <c r="CW16" s="815"/>
      <c r="CX16" s="815"/>
      <c r="CY16" s="815"/>
      <c r="CZ16" s="815"/>
      <c r="DA16" s="815"/>
      <c r="DB16" s="815"/>
      <c r="DC16" s="815"/>
      <c r="DD16" s="815"/>
      <c r="DE16" s="815"/>
      <c r="DF16" s="815"/>
      <c r="DG16" s="815"/>
      <c r="DH16" s="815"/>
      <c r="DI16" s="815"/>
      <c r="DJ16" s="815"/>
      <c r="DK16" s="815"/>
      <c r="DL16" s="815"/>
      <c r="DM16" s="815"/>
      <c r="DN16" s="815"/>
      <c r="DO16" s="815"/>
      <c r="DP16" s="815"/>
      <c r="DQ16" s="815"/>
      <c r="DR16" s="815"/>
      <c r="DS16" s="815"/>
      <c r="DT16" s="815"/>
      <c r="DU16" s="815"/>
      <c r="DV16" s="815"/>
      <c r="DW16" s="815"/>
      <c r="DX16" s="815"/>
      <c r="DY16" s="815"/>
      <c r="DZ16" s="815"/>
      <c r="EA16" s="815"/>
      <c r="EB16" s="815"/>
      <c r="EC16" s="815"/>
      <c r="ED16" s="815"/>
      <c r="EE16" s="815"/>
      <c r="EF16" s="815"/>
      <c r="EG16" s="815"/>
      <c r="EH16" s="815"/>
      <c r="EI16" s="815"/>
      <c r="EJ16" s="815"/>
      <c r="EK16" s="815"/>
      <c r="EL16" s="815"/>
      <c r="EM16" s="815"/>
      <c r="EN16" s="815"/>
      <c r="EO16" s="815"/>
      <c r="EP16" s="815"/>
      <c r="EQ16" s="815"/>
      <c r="ER16" s="815"/>
      <c r="ES16" s="815"/>
      <c r="ET16" s="815"/>
      <c r="EU16" s="815"/>
      <c r="EV16" s="815"/>
      <c r="EW16" s="815"/>
      <c r="EX16" s="815"/>
      <c r="EY16" s="815"/>
      <c r="EZ16" s="815"/>
      <c r="FA16" s="815"/>
      <c r="FB16" s="815"/>
      <c r="FC16" s="815"/>
      <c r="FD16" s="815"/>
      <c r="FE16" s="815"/>
      <c r="FF16" s="815"/>
      <c r="FG16" s="815"/>
      <c r="FH16" s="1713"/>
      <c r="FI16" s="319"/>
      <c r="FJ16" s="319"/>
      <c r="FK16" s="319"/>
      <c r="FL16" s="319"/>
      <c r="FM16" s="321"/>
      <c r="FN16" s="319"/>
      <c r="FO16" s="319"/>
      <c r="FP16" s="319"/>
      <c r="FQ16" s="319"/>
      <c r="FR16" s="319"/>
      <c r="FS16" s="319"/>
      <c r="FT16" s="319"/>
      <c r="FU16" s="319"/>
      <c r="FV16" s="319"/>
      <c r="FW16" s="319"/>
      <c r="FX16" s="319"/>
      <c r="FY16" s="319"/>
      <c r="FZ16" s="319"/>
      <c r="GA16" s="319"/>
      <c r="GB16" s="319"/>
      <c r="GC16" s="319"/>
      <c r="GD16" s="319"/>
      <c r="GE16" s="319"/>
      <c r="GF16" s="319"/>
      <c r="GG16" s="319"/>
      <c r="GH16" s="319"/>
      <c r="GI16" s="319"/>
      <c r="GJ16" s="319"/>
      <c r="GK16" s="319"/>
      <c r="GL16" s="319"/>
      <c r="GM16" s="319"/>
      <c r="GN16" s="319"/>
      <c r="GO16" s="319"/>
      <c r="GP16" s="319"/>
      <c r="GQ16" s="319"/>
      <c r="GR16" s="319"/>
      <c r="GS16" s="319"/>
      <c r="GT16" s="319"/>
      <c r="GU16" s="319"/>
      <c r="GV16" s="319"/>
      <c r="GW16" s="319"/>
      <c r="GX16" s="319"/>
      <c r="GY16" s="319"/>
      <c r="GZ16" s="319"/>
      <c r="HA16" s="319"/>
      <c r="HB16" s="319"/>
      <c r="HC16" s="319"/>
      <c r="HD16" s="319"/>
      <c r="HE16" s="319"/>
      <c r="HF16" s="319"/>
      <c r="HG16" s="319"/>
      <c r="HH16" s="319"/>
      <c r="HI16" s="319"/>
      <c r="HJ16" s="319"/>
      <c r="HK16" s="319"/>
      <c r="HL16" s="319"/>
      <c r="HM16" s="319"/>
      <c r="HN16" s="319"/>
      <c r="HO16" s="319"/>
      <c r="HP16" s="319"/>
      <c r="HQ16" s="319"/>
      <c r="HR16" s="319"/>
      <c r="HS16" s="319"/>
      <c r="HT16" s="319"/>
      <c r="HU16" s="319"/>
      <c r="HV16" s="319"/>
      <c r="HW16" s="319"/>
      <c r="HX16" s="319"/>
      <c r="HY16" s="319"/>
      <c r="HZ16" s="319"/>
      <c r="IA16" s="319"/>
      <c r="IB16" s="319"/>
      <c r="IC16" s="319"/>
      <c r="ID16" s="319"/>
      <c r="IE16" s="319"/>
      <c r="IF16" s="319"/>
      <c r="IG16" s="319"/>
      <c r="IH16" s="319"/>
      <c r="II16" s="319"/>
      <c r="IJ16" s="319"/>
      <c r="IK16" s="319"/>
      <c r="IL16" s="319"/>
      <c r="IM16" s="319"/>
      <c r="IN16" s="319"/>
      <c r="IO16" s="319"/>
      <c r="IP16" s="319"/>
      <c r="IQ16" s="319"/>
      <c r="IR16" s="319"/>
      <c r="IS16" s="319"/>
      <c r="IT16" s="319"/>
      <c r="IU16" s="319"/>
      <c r="IV16" s="319"/>
      <c r="IW16" s="319"/>
      <c r="IX16" s="319"/>
      <c r="IY16" s="319"/>
      <c r="IZ16" s="319"/>
      <c r="JA16" s="319"/>
      <c r="JB16" s="319"/>
      <c r="JC16" s="319"/>
      <c r="JD16" s="319"/>
      <c r="JE16" s="319"/>
      <c r="JF16" s="319"/>
      <c r="JG16" s="319"/>
      <c r="JH16" s="319"/>
      <c r="JI16" s="319"/>
      <c r="JJ16" s="319"/>
      <c r="JK16" s="319"/>
      <c r="JL16" s="319"/>
      <c r="JM16" s="319"/>
      <c r="JN16" s="319"/>
      <c r="JO16" s="319"/>
      <c r="JP16" s="319"/>
      <c r="JQ16" s="319"/>
      <c r="JR16" s="319"/>
      <c r="JS16" s="319"/>
      <c r="JT16" s="319"/>
      <c r="JU16" s="319"/>
      <c r="JV16" s="319"/>
      <c r="JW16" s="319"/>
      <c r="JX16" s="319"/>
      <c r="JY16" s="319"/>
      <c r="JZ16" s="319"/>
      <c r="KA16" s="319"/>
      <c r="KB16" s="319"/>
      <c r="KC16" s="319"/>
      <c r="KD16" s="319"/>
      <c r="KE16" s="319"/>
      <c r="KF16" s="319"/>
      <c r="KG16" s="319"/>
      <c r="KH16" s="319"/>
      <c r="KI16" s="319"/>
      <c r="KJ16" s="319"/>
      <c r="KK16" s="319"/>
      <c r="KL16" s="319"/>
      <c r="KM16" s="319"/>
      <c r="KN16" s="319"/>
      <c r="KO16" s="319"/>
      <c r="KP16" s="319"/>
    </row>
    <row r="17" spans="1:302" ht="21">
      <c r="A17" s="1744" t="s">
        <v>185</v>
      </c>
      <c r="B17" s="792">
        <v>180.43483328999997</v>
      </c>
      <c r="C17" s="792">
        <v>205.796538</v>
      </c>
      <c r="D17" s="792">
        <v>195.82691531999998</v>
      </c>
      <c r="E17" s="792">
        <v>204.26295068999997</v>
      </c>
      <c r="F17" s="792">
        <v>206.85365904000003</v>
      </c>
      <c r="G17" s="792">
        <v>217.87440096</v>
      </c>
      <c r="H17" s="792">
        <v>206.97761563999998</v>
      </c>
      <c r="I17" s="792">
        <v>203.97058914000002</v>
      </c>
      <c r="J17" s="792">
        <v>205.42127201</v>
      </c>
      <c r="K17" s="792">
        <v>191.42083851999999</v>
      </c>
      <c r="L17" s="792">
        <v>206.89812634999998</v>
      </c>
      <c r="M17" s="781">
        <v>189.24333316000002</v>
      </c>
      <c r="N17" s="784">
        <v>190.99234681000002</v>
      </c>
      <c r="O17" s="784">
        <v>208.48260150000002</v>
      </c>
      <c r="P17" s="784">
        <v>215.83160005000002</v>
      </c>
      <c r="Q17" s="784">
        <v>214.4200596</v>
      </c>
      <c r="R17" s="784">
        <v>225.88312926000003</v>
      </c>
      <c r="S17" s="784">
        <v>233.32103584999999</v>
      </c>
      <c r="T17" s="784">
        <v>217.89222088000002</v>
      </c>
      <c r="U17" s="784">
        <v>209.13893188999998</v>
      </c>
      <c r="V17" s="784">
        <v>251.80033624999999</v>
      </c>
      <c r="W17" s="784">
        <v>264.37653283000003</v>
      </c>
      <c r="X17" s="784">
        <v>262.66685460999997</v>
      </c>
      <c r="Y17" s="781">
        <v>276.29625042999999</v>
      </c>
      <c r="Z17" s="784">
        <v>271.1719994</v>
      </c>
      <c r="AA17" s="784">
        <v>265.54501173</v>
      </c>
      <c r="AB17" s="781">
        <v>282.16928999999999</v>
      </c>
      <c r="AC17" s="781">
        <v>283.26923289999996</v>
      </c>
      <c r="AD17" s="781">
        <v>212.52206143999999</v>
      </c>
      <c r="AE17" s="781">
        <v>202.50357294</v>
      </c>
      <c r="AF17" s="781">
        <v>193.29579656000001</v>
      </c>
      <c r="AG17" s="781">
        <v>181.66923881999998</v>
      </c>
      <c r="AH17" s="781">
        <v>179.24457626999998</v>
      </c>
      <c r="AI17" s="781">
        <v>276.80026763000001</v>
      </c>
      <c r="AJ17" s="781">
        <v>158.51988054</v>
      </c>
      <c r="AK17" s="781">
        <v>121.12209421</v>
      </c>
      <c r="AL17" s="781">
        <v>101.28042154000001</v>
      </c>
      <c r="AM17" s="781">
        <v>98.349443039999997</v>
      </c>
      <c r="AN17" s="781">
        <v>100.53638595</v>
      </c>
      <c r="AO17" s="781">
        <v>103.89120367</v>
      </c>
      <c r="AP17" s="781">
        <v>107.43319996</v>
      </c>
      <c r="AQ17" s="781">
        <v>108.29544261000001</v>
      </c>
      <c r="AR17" s="781">
        <v>84.321984190000009</v>
      </c>
      <c r="AS17" s="781">
        <v>70.170594479999991</v>
      </c>
      <c r="AT17" s="781">
        <v>77.333881460000001</v>
      </c>
      <c r="AU17" s="781">
        <v>55.59629193</v>
      </c>
      <c r="AV17" s="781">
        <v>65.790700659999999</v>
      </c>
      <c r="AW17" s="781">
        <v>63.663320710000001</v>
      </c>
      <c r="AX17" s="781">
        <v>57.342163650000003</v>
      </c>
      <c r="AY17" s="781">
        <v>62.667472189999998</v>
      </c>
      <c r="AZ17" s="781">
        <v>58.604554999999998</v>
      </c>
      <c r="BA17" s="781">
        <v>56.614679000000002</v>
      </c>
      <c r="BB17" s="781">
        <v>50.263372770000004</v>
      </c>
      <c r="BC17" s="781">
        <v>50.346797299999999</v>
      </c>
      <c r="BD17" s="781">
        <v>55.03336427</v>
      </c>
      <c r="BE17" s="781">
        <v>51.806257950000003</v>
      </c>
      <c r="BF17" s="781">
        <v>50.442412900000001</v>
      </c>
      <c r="BG17" s="781">
        <v>47.399199459999998</v>
      </c>
      <c r="BH17" s="826">
        <v>47.152262700000001</v>
      </c>
      <c r="BI17" s="815">
        <v>45.566634750000006</v>
      </c>
      <c r="BJ17" s="815">
        <v>49.655729229999999</v>
      </c>
      <c r="BK17" s="815">
        <v>25.760692100000004</v>
      </c>
      <c r="BL17" s="815">
        <v>26.504096180000001</v>
      </c>
      <c r="BM17" s="815">
        <v>33.165368909999998</v>
      </c>
      <c r="BN17" s="815">
        <v>36.787257969999999</v>
      </c>
      <c r="BO17" s="815">
        <v>41.054327980000004</v>
      </c>
      <c r="BP17" s="815">
        <v>41.573910589999997</v>
      </c>
      <c r="BQ17" s="815">
        <v>40.401688300000004</v>
      </c>
      <c r="BR17" s="815">
        <v>39.080907669999995</v>
      </c>
      <c r="BS17" s="815">
        <v>36.003612690000004</v>
      </c>
      <c r="BT17" s="815">
        <v>58.940427749999998</v>
      </c>
      <c r="BU17" s="815">
        <v>94.245547429999988</v>
      </c>
      <c r="BV17" s="815">
        <v>93.152351839999994</v>
      </c>
      <c r="BW17" s="815">
        <v>103.50204461999999</v>
      </c>
      <c r="BX17" s="815">
        <v>99.117404050000005</v>
      </c>
      <c r="BY17" s="815">
        <v>84.475387789999999</v>
      </c>
      <c r="BZ17" s="815">
        <v>78.832372279999987</v>
      </c>
      <c r="CA17" s="815">
        <v>78.006780019999994</v>
      </c>
      <c r="CB17" s="815">
        <v>81.280156799999986</v>
      </c>
      <c r="CC17" s="815">
        <v>84.524828450000001</v>
      </c>
      <c r="CD17" s="815">
        <v>78.243207119999994</v>
      </c>
      <c r="CE17" s="815">
        <v>83.129729099999992</v>
      </c>
      <c r="CF17" s="815">
        <v>90.809892810000008</v>
      </c>
      <c r="CG17" s="815">
        <v>66.600073409999993</v>
      </c>
      <c r="CH17" s="815">
        <v>53.380701379999991</v>
      </c>
      <c r="CI17" s="815">
        <v>63.316256029999998</v>
      </c>
      <c r="CJ17" s="815">
        <v>74.342573810000005</v>
      </c>
      <c r="CK17" s="815">
        <v>61.558406669999997</v>
      </c>
      <c r="CL17" s="815">
        <v>53.998412219999999</v>
      </c>
      <c r="CM17" s="815">
        <v>53.140078200000005</v>
      </c>
      <c r="CN17" s="815">
        <v>42.974915460000005</v>
      </c>
      <c r="CO17" s="815">
        <v>48.504541140000001</v>
      </c>
      <c r="CP17" s="815">
        <v>44.531449510000002</v>
      </c>
      <c r="CQ17" s="815">
        <v>38.431654639999998</v>
      </c>
      <c r="CR17" s="815">
        <v>46.979300510000002</v>
      </c>
      <c r="CS17" s="815">
        <v>35.423332280000004</v>
      </c>
      <c r="CT17" s="815">
        <v>48.28333422</v>
      </c>
      <c r="CU17" s="815">
        <v>60.568736180000002</v>
      </c>
      <c r="CV17" s="815">
        <v>68.756943800000002</v>
      </c>
      <c r="CW17" s="815">
        <v>73.469341249999999</v>
      </c>
      <c r="CX17" s="815">
        <v>81.134495990000005</v>
      </c>
      <c r="CY17" s="815">
        <v>87.223453500000005</v>
      </c>
      <c r="CZ17" s="815">
        <v>111.35417554999999</v>
      </c>
      <c r="DA17" s="815">
        <v>120.62232648</v>
      </c>
      <c r="DB17" s="815">
        <v>142.51302297999999</v>
      </c>
      <c r="DC17" s="815">
        <v>147.81340186</v>
      </c>
      <c r="DD17" s="815">
        <v>177.54779783000001</v>
      </c>
      <c r="DE17" s="815">
        <v>147.48767239</v>
      </c>
      <c r="DF17" s="815">
        <v>156.21255044</v>
      </c>
      <c r="DG17" s="815">
        <v>201.49308773000001</v>
      </c>
      <c r="DH17" s="815">
        <v>212.00160481</v>
      </c>
      <c r="DI17" s="815">
        <v>217.83200141</v>
      </c>
      <c r="DJ17" s="815">
        <v>237.70810538999999</v>
      </c>
      <c r="DK17" s="815">
        <v>271.71608408999998</v>
      </c>
      <c r="DL17" s="815">
        <v>268.85554144000002</v>
      </c>
      <c r="DM17" s="815">
        <v>268.49868443999998</v>
      </c>
      <c r="DN17" s="815">
        <v>309.06235128999998</v>
      </c>
      <c r="DO17" s="815">
        <v>291.69867278999999</v>
      </c>
      <c r="DP17" s="815">
        <v>293.04870357999999</v>
      </c>
      <c r="DQ17" s="815">
        <v>216.38567373000001</v>
      </c>
      <c r="DR17" s="815">
        <v>194.17950289000001</v>
      </c>
      <c r="DS17" s="815">
        <v>201.95004545</v>
      </c>
      <c r="DT17" s="815">
        <v>215.36568403999999</v>
      </c>
      <c r="DU17" s="815">
        <v>219.03237525</v>
      </c>
      <c r="DV17" s="815">
        <v>217.22447790000001</v>
      </c>
      <c r="DW17" s="815">
        <v>224.48313843</v>
      </c>
      <c r="DX17" s="815">
        <v>190.51161604999999</v>
      </c>
      <c r="DY17" s="815">
        <v>172.14346524000001</v>
      </c>
      <c r="DZ17" s="815">
        <v>172.09454463</v>
      </c>
      <c r="EA17" s="815">
        <v>160.16002728000001</v>
      </c>
      <c r="EB17" s="815">
        <v>168.87362318000001</v>
      </c>
      <c r="EC17" s="815">
        <v>150.16284987</v>
      </c>
      <c r="ED17" s="815">
        <v>162.54291823</v>
      </c>
      <c r="EE17" s="815">
        <v>156.20188049000001</v>
      </c>
      <c r="EF17" s="815">
        <v>192.82187687999999</v>
      </c>
      <c r="EG17" s="815">
        <v>209.12804287</v>
      </c>
      <c r="EH17" s="815">
        <v>208.18267209000001</v>
      </c>
      <c r="EI17" s="815">
        <v>205.6205052</v>
      </c>
      <c r="EJ17" s="815">
        <v>231.37961440999999</v>
      </c>
      <c r="EK17" s="815">
        <v>177.43722801000001</v>
      </c>
      <c r="EL17" s="815">
        <v>213.55706054999999</v>
      </c>
      <c r="EM17" s="815">
        <v>293.12959756999999</v>
      </c>
      <c r="EN17" s="815">
        <v>306.04228871999999</v>
      </c>
      <c r="EO17" s="815">
        <v>235.00755088</v>
      </c>
      <c r="EP17" s="815">
        <v>222.21337302000001</v>
      </c>
      <c r="EQ17" s="815">
        <v>186.21799188</v>
      </c>
      <c r="ER17" s="815">
        <v>203.70261316</v>
      </c>
      <c r="ES17" s="815">
        <v>213.02552937999999</v>
      </c>
      <c r="ET17" s="815">
        <v>214.37960244000001</v>
      </c>
      <c r="EU17" s="815">
        <v>198.12859406000001</v>
      </c>
      <c r="EV17" s="815">
        <v>210.80951365999999</v>
      </c>
      <c r="EW17" s="815">
        <v>196.53526632000001</v>
      </c>
      <c r="EX17" s="815">
        <v>214.93640704000001</v>
      </c>
      <c r="EY17" s="815">
        <v>231.86464556000001</v>
      </c>
      <c r="EZ17" s="815">
        <v>242.40812484</v>
      </c>
      <c r="FA17" s="815">
        <v>260.68899389000001</v>
      </c>
      <c r="FB17" s="815">
        <v>255.24141351</v>
      </c>
      <c r="FC17" s="815">
        <v>262.92331769999998</v>
      </c>
      <c r="FD17" s="815">
        <v>272.51819340999998</v>
      </c>
      <c r="FE17" s="815">
        <v>241.08638482000001</v>
      </c>
      <c r="FF17" s="815">
        <v>237.56398161000001</v>
      </c>
      <c r="FG17" s="815">
        <v>249.34162065999999</v>
      </c>
      <c r="FH17" s="1714" t="s">
        <v>206</v>
      </c>
      <c r="FI17" s="319"/>
      <c r="FJ17" s="319"/>
      <c r="FK17" s="319"/>
      <c r="FL17" s="319"/>
      <c r="FM17" s="321"/>
      <c r="FN17" s="319"/>
      <c r="FO17" s="319"/>
      <c r="FP17" s="319"/>
      <c r="FQ17" s="319"/>
      <c r="FR17" s="319"/>
      <c r="FS17" s="319"/>
      <c r="FT17" s="319"/>
      <c r="FU17" s="319"/>
      <c r="FV17" s="319"/>
      <c r="FW17" s="319"/>
      <c r="FX17" s="319"/>
      <c r="FY17" s="319"/>
      <c r="FZ17" s="319"/>
      <c r="GA17" s="319"/>
      <c r="GB17" s="319"/>
      <c r="GC17" s="319"/>
      <c r="GD17" s="319"/>
      <c r="GE17" s="319"/>
      <c r="GF17" s="319"/>
      <c r="GG17" s="319"/>
      <c r="GH17" s="319"/>
      <c r="GI17" s="319"/>
      <c r="GJ17" s="319"/>
      <c r="GK17" s="319"/>
      <c r="GL17" s="319"/>
      <c r="GM17" s="319"/>
      <c r="GN17" s="319"/>
      <c r="GO17" s="319"/>
      <c r="GP17" s="319"/>
      <c r="GQ17" s="319"/>
      <c r="GR17" s="319"/>
      <c r="GS17" s="319"/>
      <c r="GT17" s="319"/>
      <c r="GU17" s="319"/>
      <c r="GV17" s="319"/>
      <c r="GW17" s="319"/>
      <c r="GX17" s="319"/>
      <c r="GY17" s="319"/>
      <c r="GZ17" s="319"/>
      <c r="HA17" s="319"/>
      <c r="HB17" s="319"/>
      <c r="HC17" s="319"/>
      <c r="HD17" s="319"/>
      <c r="HE17" s="319"/>
      <c r="HF17" s="319"/>
      <c r="HG17" s="319"/>
      <c r="HH17" s="319"/>
      <c r="HI17" s="319"/>
      <c r="HJ17" s="319"/>
      <c r="HK17" s="319"/>
      <c r="HL17" s="319"/>
      <c r="HM17" s="319"/>
      <c r="HN17" s="319"/>
      <c r="HO17" s="319"/>
      <c r="HP17" s="319"/>
      <c r="HQ17" s="319"/>
      <c r="HR17" s="319"/>
      <c r="HS17" s="319"/>
      <c r="HT17" s="319"/>
      <c r="HU17" s="319"/>
      <c r="HV17" s="319"/>
      <c r="HW17" s="319"/>
      <c r="HX17" s="319"/>
      <c r="HY17" s="319"/>
      <c r="HZ17" s="319"/>
      <c r="IA17" s="319"/>
      <c r="IB17" s="319"/>
      <c r="IC17" s="319"/>
      <c r="ID17" s="319"/>
      <c r="IE17" s="319"/>
      <c r="IF17" s="319"/>
      <c r="IG17" s="319"/>
      <c r="IH17" s="319"/>
      <c r="II17" s="319"/>
      <c r="IJ17" s="319"/>
      <c r="IK17" s="319"/>
      <c r="IL17" s="319"/>
      <c r="IM17" s="319"/>
      <c r="IN17" s="319"/>
      <c r="IO17" s="319"/>
      <c r="IP17" s="319"/>
      <c r="IQ17" s="319"/>
      <c r="IR17" s="319"/>
      <c r="IS17" s="319"/>
      <c r="IT17" s="319"/>
      <c r="IU17" s="319"/>
      <c r="IV17" s="319"/>
      <c r="IW17" s="319"/>
      <c r="IX17" s="319"/>
      <c r="IY17" s="319"/>
      <c r="IZ17" s="319"/>
      <c r="JA17" s="319"/>
      <c r="JB17" s="319"/>
      <c r="JC17" s="319"/>
      <c r="JD17" s="319"/>
      <c r="JE17" s="319"/>
      <c r="JF17" s="319"/>
      <c r="JG17" s="319"/>
      <c r="JH17" s="319"/>
      <c r="JI17" s="319"/>
      <c r="JJ17" s="319"/>
      <c r="JK17" s="319"/>
      <c r="JL17" s="319"/>
      <c r="JM17" s="319"/>
      <c r="JN17" s="319"/>
      <c r="JO17" s="319"/>
      <c r="JP17" s="319"/>
      <c r="JQ17" s="319"/>
      <c r="JR17" s="319"/>
      <c r="JS17" s="319"/>
      <c r="JT17" s="319"/>
      <c r="JU17" s="319"/>
      <c r="JV17" s="319"/>
      <c r="JW17" s="319"/>
      <c r="JX17" s="319"/>
      <c r="JY17" s="319"/>
      <c r="JZ17" s="319"/>
      <c r="KA17" s="319"/>
      <c r="KB17" s="319"/>
      <c r="KC17" s="319"/>
      <c r="KD17" s="319"/>
      <c r="KE17" s="319"/>
      <c r="KF17" s="319"/>
      <c r="KG17" s="319"/>
      <c r="KH17" s="319"/>
      <c r="KI17" s="319"/>
      <c r="KJ17" s="319"/>
      <c r="KK17" s="319"/>
      <c r="KL17" s="319"/>
      <c r="KM17" s="319"/>
      <c r="KN17" s="319"/>
      <c r="KO17" s="319"/>
      <c r="KP17" s="319"/>
    </row>
    <row r="18" spans="1:302" ht="21">
      <c r="A18" s="1745" t="s">
        <v>1961</v>
      </c>
      <c r="B18" s="791">
        <v>55.199652799999996</v>
      </c>
      <c r="C18" s="791">
        <v>86.7073599</v>
      </c>
      <c r="D18" s="791">
        <v>77.796303159999994</v>
      </c>
      <c r="E18" s="791">
        <v>66.627038240000005</v>
      </c>
      <c r="F18" s="791">
        <v>56.384360270000002</v>
      </c>
      <c r="G18" s="791">
        <v>56.333983959999998</v>
      </c>
      <c r="H18" s="791">
        <v>55.349142319999999</v>
      </c>
      <c r="I18" s="791">
        <v>43.824385599999999</v>
      </c>
      <c r="J18" s="791">
        <v>28.946097269999999</v>
      </c>
      <c r="K18" s="791">
        <v>6.8455837699999993</v>
      </c>
      <c r="L18" s="791">
        <v>15.452168990000001</v>
      </c>
      <c r="M18" s="784">
        <v>10.561970580000001</v>
      </c>
      <c r="N18" s="781">
        <v>10.571338580000001</v>
      </c>
      <c r="O18" s="781">
        <v>20.037656999999999</v>
      </c>
      <c r="P18" s="781">
        <v>22.593061890000001</v>
      </c>
      <c r="Q18" s="781">
        <v>12.45883684</v>
      </c>
      <c r="R18" s="781">
        <v>26.10849207</v>
      </c>
      <c r="S18" s="781">
        <v>29.307386219999998</v>
      </c>
      <c r="T18" s="781">
        <v>29.75052414</v>
      </c>
      <c r="U18" s="781">
        <v>32.472627500000002</v>
      </c>
      <c r="V18" s="781">
        <v>53.950963860000002</v>
      </c>
      <c r="W18" s="781">
        <v>52.803003509999996</v>
      </c>
      <c r="X18" s="781">
        <v>34.14253385</v>
      </c>
      <c r="Y18" s="784">
        <v>34.457202649999999</v>
      </c>
      <c r="Z18" s="781">
        <v>28.213466889999999</v>
      </c>
      <c r="AA18" s="781">
        <v>32.288698100000005</v>
      </c>
      <c r="AB18" s="784">
        <v>0.50311256000000004</v>
      </c>
      <c r="AC18" s="784">
        <v>0.63787850000000001</v>
      </c>
      <c r="AD18" s="784">
        <v>0.52714743999999991</v>
      </c>
      <c r="AE18" s="784">
        <v>0.35587715999999997</v>
      </c>
      <c r="AF18" s="784">
        <v>0.40646890999999996</v>
      </c>
      <c r="AG18" s="784">
        <v>0.28200861999999999</v>
      </c>
      <c r="AH18" s="784">
        <v>0.33840281999999999</v>
      </c>
      <c r="AI18" s="784">
        <v>0.38545482000000003</v>
      </c>
      <c r="AJ18" s="784">
        <v>0.27987251000000002</v>
      </c>
      <c r="AK18" s="784">
        <v>0.68495581999999999</v>
      </c>
      <c r="AL18" s="784">
        <v>0.70191250999999999</v>
      </c>
      <c r="AM18" s="784">
        <v>0.70191250999999999</v>
      </c>
      <c r="AN18" s="784">
        <v>0.85191251000000001</v>
      </c>
      <c r="AO18" s="784">
        <v>0.20191951</v>
      </c>
      <c r="AP18" s="784">
        <v>1.9642250700000001</v>
      </c>
      <c r="AQ18" s="784">
        <v>4.4786540700000002</v>
      </c>
      <c r="AR18" s="784">
        <v>4.7771810800000001</v>
      </c>
      <c r="AS18" s="784">
        <v>5.4846050799999997</v>
      </c>
      <c r="AT18" s="784">
        <v>5.33042208</v>
      </c>
      <c r="AU18" s="784">
        <v>3.8038960799999999</v>
      </c>
      <c r="AV18" s="784">
        <v>3.4312688199999997</v>
      </c>
      <c r="AW18" s="784">
        <v>2.68382582</v>
      </c>
      <c r="AX18" s="784">
        <v>2.68382582</v>
      </c>
      <c r="AY18" s="784">
        <v>1.60473</v>
      </c>
      <c r="AZ18" s="784">
        <v>0.865811</v>
      </c>
      <c r="BA18" s="784">
        <v>0.84681099999999998</v>
      </c>
      <c r="BB18" s="784">
        <v>0.306811</v>
      </c>
      <c r="BC18" s="784">
        <v>0</v>
      </c>
      <c r="BD18" s="784">
        <v>0</v>
      </c>
      <c r="BE18" s="784">
        <v>0</v>
      </c>
      <c r="BF18" s="784">
        <v>0</v>
      </c>
      <c r="BG18" s="784">
        <v>0</v>
      </c>
      <c r="BH18" s="827">
        <v>0.1</v>
      </c>
      <c r="BI18" s="816">
        <v>0.2</v>
      </c>
      <c r="BJ18" s="816">
        <v>0.25</v>
      </c>
      <c r="BK18" s="816">
        <v>0.3</v>
      </c>
      <c r="BL18" s="816">
        <v>0.43341204999999999</v>
      </c>
      <c r="BM18" s="816">
        <v>0.32837125</v>
      </c>
      <c r="BN18" s="816">
        <v>0.24022125</v>
      </c>
      <c r="BO18" s="816">
        <v>0.17122076999999999</v>
      </c>
      <c r="BP18" s="816">
        <v>0.10967444</v>
      </c>
      <c r="BQ18" s="816">
        <v>7.8029769999999998E-2</v>
      </c>
      <c r="BR18" s="816">
        <v>6.9529770000000005E-2</v>
      </c>
      <c r="BS18" s="816">
        <v>0.24</v>
      </c>
      <c r="BT18" s="816">
        <v>15.4</v>
      </c>
      <c r="BU18" s="816">
        <v>46.217195049999994</v>
      </c>
      <c r="BV18" s="816">
        <v>45.107562049999999</v>
      </c>
      <c r="BW18" s="816">
        <v>44.395982719999999</v>
      </c>
      <c r="BX18" s="816">
        <v>35.379192119999999</v>
      </c>
      <c r="BY18" s="816">
        <v>33.796639680000006</v>
      </c>
      <c r="BZ18" s="816">
        <v>25.364785379999997</v>
      </c>
      <c r="CA18" s="816">
        <v>22.988123079999998</v>
      </c>
      <c r="CB18" s="816">
        <v>21.352009639999999</v>
      </c>
      <c r="CC18" s="816">
        <v>19.869345039999999</v>
      </c>
      <c r="CD18" s="816">
        <v>11.51320067</v>
      </c>
      <c r="CE18" s="816">
        <v>9.7197798599999992</v>
      </c>
      <c r="CF18" s="816">
        <v>8.2000269999999986</v>
      </c>
      <c r="CG18" s="816">
        <v>0.40002700000000002</v>
      </c>
      <c r="CH18" s="816">
        <v>2.6999999999999999E-5</v>
      </c>
      <c r="CI18" s="816">
        <v>2.6999999999999999E-5</v>
      </c>
      <c r="CJ18" s="816">
        <v>3.0026999999999998E-2</v>
      </c>
      <c r="CK18" s="816">
        <v>0.190027</v>
      </c>
      <c r="CL18" s="816">
        <v>0.15002699999999999</v>
      </c>
      <c r="CM18" s="816">
        <v>2.6999999999999999E-5</v>
      </c>
      <c r="CN18" s="816">
        <v>0.20002700000000001</v>
      </c>
      <c r="CO18" s="816">
        <v>0.220027</v>
      </c>
      <c r="CP18" s="816">
        <v>0.24144483</v>
      </c>
      <c r="CQ18" s="816">
        <v>9.5268240000000004E-2</v>
      </c>
      <c r="CR18" s="816">
        <v>1.9517720000000002E-2</v>
      </c>
      <c r="CS18" s="816">
        <v>1.7710189999999997E-2</v>
      </c>
      <c r="CT18" s="816">
        <v>1.6016140000000002E-2</v>
      </c>
      <c r="CU18" s="816">
        <v>1.41406E-2</v>
      </c>
      <c r="CV18" s="816">
        <v>1.2230670000000001E-2</v>
      </c>
      <c r="CW18" s="816">
        <v>1.028573E-2</v>
      </c>
      <c r="CX18" s="816">
        <v>8.3901099999999992E-3</v>
      </c>
      <c r="CY18" s="816">
        <v>6.2959399999999999E-3</v>
      </c>
      <c r="CZ18" s="816">
        <v>4.2383500000000001E-3</v>
      </c>
      <c r="DA18" s="816">
        <v>2.1494700000000001E-3</v>
      </c>
      <c r="DB18" s="816">
        <v>0</v>
      </c>
      <c r="DC18" s="816">
        <v>0</v>
      </c>
      <c r="DD18" s="816">
        <v>0</v>
      </c>
      <c r="DE18" s="816">
        <v>0</v>
      </c>
      <c r="DF18" s="816">
        <v>0</v>
      </c>
      <c r="DG18" s="816">
        <v>0</v>
      </c>
      <c r="DH18" s="816">
        <v>0.2</v>
      </c>
      <c r="DI18" s="816">
        <v>0.2</v>
      </c>
      <c r="DJ18" s="816">
        <v>0.2</v>
      </c>
      <c r="DK18" s="816">
        <v>0.2</v>
      </c>
      <c r="DL18" s="816">
        <v>0.17883414</v>
      </c>
      <c r="DM18" s="816">
        <v>0.15728809999999999</v>
      </c>
      <c r="DN18" s="816">
        <v>0.13568469999999999</v>
      </c>
      <c r="DO18" s="816">
        <v>0.16361853000000001</v>
      </c>
      <c r="DP18" s="816">
        <v>0.13757828999999999</v>
      </c>
      <c r="DQ18" s="816">
        <v>0.11122019</v>
      </c>
      <c r="DR18" s="816">
        <v>8.4478029999999996E-2</v>
      </c>
      <c r="DS18" s="816">
        <v>5.7495490000000003E-2</v>
      </c>
      <c r="DT18" s="816">
        <v>3.0244480000000001E-2</v>
      </c>
      <c r="DU18" s="816">
        <v>2.60015E-2</v>
      </c>
      <c r="DV18" s="816">
        <v>0.05</v>
      </c>
      <c r="DW18" s="816">
        <v>0</v>
      </c>
      <c r="DX18" s="816">
        <v>0</v>
      </c>
      <c r="DY18" s="816">
        <v>0</v>
      </c>
      <c r="DZ18" s="816">
        <v>0.03</v>
      </c>
      <c r="EA18" s="816">
        <v>2.766617E-2</v>
      </c>
      <c r="EB18" s="816">
        <v>2.5374910000000001E-2</v>
      </c>
      <c r="EC18" s="816">
        <v>2.296803E-2</v>
      </c>
      <c r="ED18" s="816">
        <v>2.296803E-2</v>
      </c>
      <c r="EE18" s="816">
        <v>0</v>
      </c>
      <c r="EF18" s="816">
        <v>0</v>
      </c>
      <c r="EG18" s="816">
        <v>0</v>
      </c>
      <c r="EH18" s="816">
        <v>0</v>
      </c>
      <c r="EI18" s="816">
        <v>0</v>
      </c>
      <c r="EJ18" s="816">
        <v>0</v>
      </c>
      <c r="EK18" s="816">
        <v>0</v>
      </c>
      <c r="EL18" s="816">
        <v>0</v>
      </c>
      <c r="EM18" s="816">
        <v>0</v>
      </c>
      <c r="EN18" s="816">
        <v>0</v>
      </c>
      <c r="EO18" s="816">
        <v>0</v>
      </c>
      <c r="EP18" s="816">
        <v>3.40282E-3</v>
      </c>
      <c r="EQ18" s="816">
        <v>3.40282E-3</v>
      </c>
      <c r="ER18" s="816">
        <v>0</v>
      </c>
      <c r="ES18" s="816">
        <v>0</v>
      </c>
      <c r="ET18" s="816">
        <v>0</v>
      </c>
      <c r="EU18" s="816">
        <v>0</v>
      </c>
      <c r="EV18" s="816">
        <v>0</v>
      </c>
      <c r="EW18" s="816">
        <v>0</v>
      </c>
      <c r="EX18" s="816">
        <v>0</v>
      </c>
      <c r="EY18" s="816">
        <v>0</v>
      </c>
      <c r="EZ18" s="816">
        <v>0</v>
      </c>
      <c r="FA18" s="816">
        <v>0</v>
      </c>
      <c r="FB18" s="816">
        <v>0</v>
      </c>
      <c r="FC18" s="816">
        <v>0</v>
      </c>
      <c r="FD18" s="816">
        <v>0</v>
      </c>
      <c r="FE18" s="816">
        <v>0</v>
      </c>
      <c r="FF18" s="816">
        <v>0</v>
      </c>
      <c r="FG18" s="816">
        <v>0</v>
      </c>
      <c r="FH18" s="1716" t="s">
        <v>4067</v>
      </c>
      <c r="FI18" s="319"/>
      <c r="FJ18" s="319"/>
      <c r="FK18" s="319"/>
      <c r="FL18" s="319"/>
      <c r="FM18" s="321"/>
      <c r="FN18" s="319"/>
      <c r="FO18" s="319"/>
      <c r="FP18" s="319"/>
      <c r="FQ18" s="319"/>
      <c r="FR18" s="319"/>
      <c r="FS18" s="319"/>
      <c r="FT18" s="319"/>
      <c r="FU18" s="319"/>
      <c r="FV18" s="319"/>
      <c r="FW18" s="319"/>
      <c r="FX18" s="319"/>
      <c r="FY18" s="319"/>
      <c r="FZ18" s="319"/>
      <c r="GA18" s="319"/>
      <c r="GB18" s="319"/>
      <c r="GC18" s="319"/>
      <c r="GD18" s="319"/>
      <c r="GE18" s="319"/>
      <c r="GF18" s="319"/>
      <c r="GG18" s="319"/>
      <c r="GH18" s="319"/>
      <c r="GI18" s="319"/>
      <c r="GJ18" s="319"/>
      <c r="GK18" s="319"/>
      <c r="GL18" s="319"/>
      <c r="GM18" s="319"/>
      <c r="GN18" s="319"/>
      <c r="GO18" s="319"/>
      <c r="GP18" s="319"/>
      <c r="GQ18" s="319"/>
      <c r="GR18" s="319"/>
      <c r="GS18" s="319"/>
      <c r="GT18" s="319"/>
      <c r="GU18" s="319"/>
      <c r="GV18" s="319"/>
      <c r="GW18" s="319"/>
      <c r="GX18" s="319"/>
      <c r="GY18" s="319"/>
      <c r="GZ18" s="319"/>
      <c r="HA18" s="319"/>
      <c r="HB18" s="319"/>
      <c r="HC18" s="319"/>
      <c r="HD18" s="319"/>
      <c r="HE18" s="319"/>
      <c r="HF18" s="319"/>
      <c r="HG18" s="319"/>
      <c r="HH18" s="319"/>
      <c r="HI18" s="319"/>
      <c r="HJ18" s="319"/>
      <c r="HK18" s="319"/>
      <c r="HL18" s="319"/>
      <c r="HM18" s="319"/>
      <c r="HN18" s="319"/>
      <c r="HO18" s="319"/>
      <c r="HP18" s="319"/>
      <c r="HQ18" s="319"/>
      <c r="HR18" s="319"/>
      <c r="HS18" s="319"/>
      <c r="HT18" s="319"/>
      <c r="HU18" s="319"/>
      <c r="HV18" s="319"/>
      <c r="HW18" s="319"/>
      <c r="HX18" s="319"/>
      <c r="HY18" s="319"/>
      <c r="HZ18" s="319"/>
      <c r="IA18" s="319"/>
      <c r="IB18" s="319"/>
      <c r="IC18" s="319"/>
      <c r="ID18" s="319"/>
      <c r="IE18" s="319"/>
      <c r="IF18" s="319"/>
      <c r="IG18" s="319"/>
      <c r="IH18" s="319"/>
      <c r="II18" s="319"/>
      <c r="IJ18" s="319"/>
      <c r="IK18" s="319"/>
      <c r="IL18" s="319"/>
      <c r="IM18" s="319"/>
      <c r="IN18" s="319"/>
      <c r="IO18" s="319"/>
      <c r="IP18" s="319"/>
      <c r="IQ18" s="319"/>
      <c r="IR18" s="319"/>
      <c r="IS18" s="319"/>
      <c r="IT18" s="319"/>
      <c r="IU18" s="319"/>
      <c r="IV18" s="319"/>
      <c r="IW18" s="319"/>
      <c r="IX18" s="319"/>
      <c r="IY18" s="319"/>
      <c r="IZ18" s="319"/>
      <c r="JA18" s="319"/>
      <c r="JB18" s="319"/>
      <c r="JC18" s="319"/>
      <c r="JD18" s="319"/>
      <c r="JE18" s="319"/>
      <c r="JF18" s="319"/>
      <c r="JG18" s="319"/>
      <c r="JH18" s="319"/>
      <c r="JI18" s="319"/>
      <c r="JJ18" s="319"/>
      <c r="JK18" s="319"/>
      <c r="JL18" s="319"/>
      <c r="JM18" s="319"/>
      <c r="JN18" s="319"/>
      <c r="JO18" s="319"/>
      <c r="JP18" s="319"/>
      <c r="JQ18" s="319"/>
      <c r="JR18" s="319"/>
      <c r="JS18" s="319"/>
      <c r="JT18" s="319"/>
      <c r="JU18" s="319"/>
      <c r="JV18" s="319"/>
      <c r="JW18" s="319"/>
      <c r="JX18" s="319"/>
      <c r="JY18" s="319"/>
      <c r="JZ18" s="319"/>
      <c r="KA18" s="319"/>
      <c r="KB18" s="319"/>
      <c r="KC18" s="319"/>
      <c r="KD18" s="319"/>
      <c r="KE18" s="319"/>
      <c r="KF18" s="319"/>
      <c r="KG18" s="319"/>
      <c r="KH18" s="319"/>
      <c r="KI18" s="319"/>
      <c r="KJ18" s="319"/>
      <c r="KK18" s="319"/>
      <c r="KL18" s="319"/>
      <c r="KM18" s="319"/>
      <c r="KN18" s="319"/>
      <c r="KO18" s="319"/>
      <c r="KP18" s="319"/>
    </row>
    <row r="19" spans="1:302" ht="21">
      <c r="A19" s="1745" t="s">
        <v>1962</v>
      </c>
      <c r="B19" s="792">
        <f t="shared" ref="B19:V19" si="4">+B17-B18</f>
        <v>125.23518048999998</v>
      </c>
      <c r="C19" s="792">
        <f t="shared" si="4"/>
        <v>119.0891781</v>
      </c>
      <c r="D19" s="792">
        <f t="shared" si="4"/>
        <v>118.03061215999999</v>
      </c>
      <c r="E19" s="792">
        <f t="shared" si="4"/>
        <v>137.63591244999998</v>
      </c>
      <c r="F19" s="792">
        <f t="shared" si="4"/>
        <v>150.46929877000002</v>
      </c>
      <c r="G19" s="792">
        <f t="shared" si="4"/>
        <v>161.54041699999999</v>
      </c>
      <c r="H19" s="792">
        <f t="shared" si="4"/>
        <v>151.62847331999998</v>
      </c>
      <c r="I19" s="792">
        <f t="shared" si="4"/>
        <v>160.14620354000002</v>
      </c>
      <c r="J19" s="792">
        <f t="shared" si="4"/>
        <v>176.47517474</v>
      </c>
      <c r="K19" s="792">
        <f t="shared" si="4"/>
        <v>184.57525475</v>
      </c>
      <c r="L19" s="792">
        <f t="shared" si="4"/>
        <v>191.44595735999999</v>
      </c>
      <c r="M19" s="784">
        <f t="shared" si="4"/>
        <v>178.68136258000001</v>
      </c>
      <c r="N19" s="784">
        <f t="shared" si="4"/>
        <v>180.42100823000001</v>
      </c>
      <c r="O19" s="784">
        <f t="shared" si="4"/>
        <v>188.44494450000002</v>
      </c>
      <c r="P19" s="784">
        <f t="shared" si="4"/>
        <v>193.23853816000002</v>
      </c>
      <c r="Q19" s="784">
        <f t="shared" si="4"/>
        <v>201.96122276</v>
      </c>
      <c r="R19" s="784">
        <f t="shared" si="4"/>
        <v>199.77463719000002</v>
      </c>
      <c r="S19" s="784">
        <f t="shared" si="4"/>
        <v>204.01364962999997</v>
      </c>
      <c r="T19" s="784">
        <f t="shared" si="4"/>
        <v>188.14169674000001</v>
      </c>
      <c r="U19" s="784">
        <f t="shared" si="4"/>
        <v>176.66630438999999</v>
      </c>
      <c r="V19" s="784">
        <f t="shared" si="4"/>
        <v>197.84937238999998</v>
      </c>
      <c r="W19" s="784">
        <v>211.57352932000003</v>
      </c>
      <c r="X19" s="784">
        <v>228.52432075999997</v>
      </c>
      <c r="Y19" s="784">
        <v>241.83904777999999</v>
      </c>
      <c r="Z19" s="784">
        <v>242.95853251</v>
      </c>
      <c r="AA19" s="784">
        <v>233.25631362999999</v>
      </c>
      <c r="AB19" s="784">
        <f>+AB17-AB18</f>
        <v>281.66617744000001</v>
      </c>
      <c r="AC19" s="784">
        <v>282.63135439999996</v>
      </c>
      <c r="AD19" s="784">
        <v>211.99491399999999</v>
      </c>
      <c r="AE19" s="784">
        <v>202.14769577999999</v>
      </c>
      <c r="AF19" s="784">
        <v>192.88932765000001</v>
      </c>
      <c r="AG19" s="784">
        <v>181.38723019999998</v>
      </c>
      <c r="AH19" s="784">
        <f>+AH17-AH18</f>
        <v>178.90617344999998</v>
      </c>
      <c r="AI19" s="784">
        <v>276.41481281</v>
      </c>
      <c r="AJ19" s="784">
        <f>+AJ17-AJ18</f>
        <v>158.24000803000001</v>
      </c>
      <c r="AK19" s="784">
        <f>+AK17-AK18</f>
        <v>120.43713839</v>
      </c>
      <c r="AL19" s="784">
        <v>100.57850903000001</v>
      </c>
      <c r="AM19" s="784">
        <f>+AM17-AM18</f>
        <v>97.647530529999997</v>
      </c>
      <c r="AN19" s="784">
        <f>+AN17-AN18</f>
        <v>99.684473439999991</v>
      </c>
      <c r="AO19" s="784">
        <f>+AO17-AO18</f>
        <v>103.68928416</v>
      </c>
      <c r="AP19" s="784">
        <f>+AP17-AP18</f>
        <v>105.46897489</v>
      </c>
      <c r="AQ19" s="784">
        <v>103.81678854</v>
      </c>
      <c r="AR19" s="784">
        <v>79.544803110000004</v>
      </c>
      <c r="AS19" s="784">
        <f>+AS17-AS18</f>
        <v>64.685989399999997</v>
      </c>
      <c r="AT19" s="784">
        <f>+AT17-AT18</f>
        <v>72.003459379999995</v>
      </c>
      <c r="AU19" s="784">
        <v>51.792395849999998</v>
      </c>
      <c r="AV19" s="784">
        <v>62.359431839999999</v>
      </c>
      <c r="AW19" s="784">
        <v>60.979494889999998</v>
      </c>
      <c r="AX19" s="784">
        <v>54.658337830000001</v>
      </c>
      <c r="AY19" s="784">
        <v>61.062742189999994</v>
      </c>
      <c r="AZ19" s="784">
        <v>57.738743999999997</v>
      </c>
      <c r="BA19" s="784">
        <v>55.767868</v>
      </c>
      <c r="BB19" s="784">
        <v>49.95656177</v>
      </c>
      <c r="BC19" s="784">
        <v>50.346797299999999</v>
      </c>
      <c r="BD19" s="784">
        <f>+BD17-BD18</f>
        <v>55.03336427</v>
      </c>
      <c r="BE19" s="784">
        <v>51.806257950000003</v>
      </c>
      <c r="BF19" s="784">
        <v>50.442412900000001</v>
      </c>
      <c r="BG19" s="784">
        <v>47.399199459999998</v>
      </c>
      <c r="BH19" s="827">
        <v>47.0522627</v>
      </c>
      <c r="BI19" s="816">
        <v>45.366634750000003</v>
      </c>
      <c r="BJ19" s="816">
        <v>49.405729229999999</v>
      </c>
      <c r="BK19" s="816">
        <v>25.460692100000003</v>
      </c>
      <c r="BL19" s="816">
        <v>26.07068413</v>
      </c>
      <c r="BM19" s="816">
        <v>32.836997659999994</v>
      </c>
      <c r="BN19" s="816">
        <v>36.547036720000001</v>
      </c>
      <c r="BO19" s="816">
        <v>40.883107210000006</v>
      </c>
      <c r="BP19" s="816">
        <v>41.464236149999998</v>
      </c>
      <c r="BQ19" s="816">
        <v>40.323658530000003</v>
      </c>
      <c r="BR19" s="816">
        <v>39.011377899999992</v>
      </c>
      <c r="BS19" s="816">
        <v>35.763612690000002</v>
      </c>
      <c r="BT19" s="816">
        <v>43.540427749999999</v>
      </c>
      <c r="BU19" s="816">
        <v>48.028352379999994</v>
      </c>
      <c r="BV19" s="816">
        <v>48.044789789999996</v>
      </c>
      <c r="BW19" s="816">
        <v>59.106061899999993</v>
      </c>
      <c r="BX19" s="816">
        <v>63.738211930000006</v>
      </c>
      <c r="BY19" s="816">
        <v>50.678748109999994</v>
      </c>
      <c r="BZ19" s="816">
        <v>53.467586899999986</v>
      </c>
      <c r="CA19" s="816">
        <v>55.01865694</v>
      </c>
      <c r="CB19" s="816">
        <v>59.928147159999988</v>
      </c>
      <c r="CC19" s="816">
        <v>64.655483410000002</v>
      </c>
      <c r="CD19" s="816">
        <v>66.730006449999991</v>
      </c>
      <c r="CE19" s="816">
        <f t="shared" ref="CE19:CP19" si="5">+CE17-CE18</f>
        <v>73.409949239999989</v>
      </c>
      <c r="CF19" s="816">
        <f t="shared" si="5"/>
        <v>82.609865810000002</v>
      </c>
      <c r="CG19" s="816">
        <f t="shared" si="5"/>
        <v>66.200046409999999</v>
      </c>
      <c r="CH19" s="816">
        <f t="shared" si="5"/>
        <v>53.380674379999988</v>
      </c>
      <c r="CI19" s="816">
        <f t="shared" si="5"/>
        <v>63.316229029999995</v>
      </c>
      <c r="CJ19" s="816">
        <f t="shared" si="5"/>
        <v>74.312546810000001</v>
      </c>
      <c r="CK19" s="816">
        <f t="shared" si="5"/>
        <v>61.368379669999996</v>
      </c>
      <c r="CL19" s="816">
        <f t="shared" si="5"/>
        <v>53.848385219999997</v>
      </c>
      <c r="CM19" s="816">
        <f t="shared" si="5"/>
        <v>53.140051200000002</v>
      </c>
      <c r="CN19" s="816">
        <f t="shared" si="5"/>
        <v>42.774888460000007</v>
      </c>
      <c r="CO19" s="816">
        <f t="shared" si="5"/>
        <v>48.284514139999999</v>
      </c>
      <c r="CP19" s="816">
        <f t="shared" si="5"/>
        <v>44.290004680000003</v>
      </c>
      <c r="CQ19" s="816">
        <f>+CQ17-CQ18</f>
        <v>38.336386399999995</v>
      </c>
      <c r="CR19" s="816">
        <f>+CR17-CR18</f>
        <v>46.959782789999998</v>
      </c>
      <c r="CS19" s="816">
        <f>+CS17-CS18</f>
        <v>35.405622090000001</v>
      </c>
      <c r="CT19" s="816">
        <v>48.267318080000003</v>
      </c>
      <c r="CU19" s="816">
        <f>+CU17-CU18</f>
        <v>60.554595580000004</v>
      </c>
      <c r="CV19" s="816">
        <v>68.744713130000008</v>
      </c>
      <c r="CW19" s="816">
        <v>73.459055519999993</v>
      </c>
      <c r="CX19" s="816">
        <v>81.126105880000011</v>
      </c>
      <c r="CY19" s="816">
        <v>87.217157560000004</v>
      </c>
      <c r="CZ19" s="816">
        <v>111.3499372</v>
      </c>
      <c r="DA19" s="816">
        <v>120.62017700999999</v>
      </c>
      <c r="DB19" s="816">
        <v>142.51302297999999</v>
      </c>
      <c r="DC19" s="816">
        <f>+DC17-DC18</f>
        <v>147.81340186</v>
      </c>
      <c r="DD19" s="816">
        <v>177.54779783000001</v>
      </c>
      <c r="DE19" s="816">
        <v>147.48767239</v>
      </c>
      <c r="DF19" s="816">
        <v>156.21255044</v>
      </c>
      <c r="DG19" s="816">
        <f>+DG17-DG18</f>
        <v>201.49308773000001</v>
      </c>
      <c r="DH19" s="816">
        <v>211.80160481000001</v>
      </c>
      <c r="DI19" s="816">
        <f>+DI17-DI18</f>
        <v>217.63200141000002</v>
      </c>
      <c r="DJ19" s="816">
        <v>237.50810539</v>
      </c>
      <c r="DK19" s="816">
        <v>271.51608408999999</v>
      </c>
      <c r="DL19" s="816">
        <v>268.67670730000003</v>
      </c>
      <c r="DM19" s="816">
        <v>268.34139633999996</v>
      </c>
      <c r="DN19" s="816">
        <f>+DN17-DN18</f>
        <v>308.92666658999997</v>
      </c>
      <c r="DO19" s="816">
        <f>+DO17-DO18</f>
        <v>291.53505425999998</v>
      </c>
      <c r="DP19" s="816">
        <f>+DP17-DP18</f>
        <v>292.91112528999997</v>
      </c>
      <c r="DQ19" s="816">
        <f>+DQ17-DQ18</f>
        <v>216.27445354</v>
      </c>
      <c r="DR19" s="816">
        <v>194.09502486</v>
      </c>
      <c r="DS19" s="816">
        <v>201.89254996</v>
      </c>
      <c r="DT19" s="816">
        <v>215.33543956</v>
      </c>
      <c r="DU19" s="816">
        <f>+DU17-DU18</f>
        <v>219.00637374999999</v>
      </c>
      <c r="DV19" s="816">
        <f>+DV17-DV18</f>
        <v>217.1744779</v>
      </c>
      <c r="DW19" s="816">
        <v>224.48313843</v>
      </c>
      <c r="DX19" s="816">
        <v>190.51161604999999</v>
      </c>
      <c r="DY19" s="816">
        <v>172.14346524000001</v>
      </c>
      <c r="DZ19" s="816">
        <f>+DZ17-DZ18</f>
        <v>172.06454463</v>
      </c>
      <c r="EA19" s="816">
        <v>160.13236111000001</v>
      </c>
      <c r="EB19" s="816">
        <v>168.84824827</v>
      </c>
      <c r="EC19" s="816">
        <v>150.13988184000002</v>
      </c>
      <c r="ED19" s="816">
        <v>162.51995020000001</v>
      </c>
      <c r="EE19" s="816">
        <v>156.20188049000001</v>
      </c>
      <c r="EF19" s="816">
        <v>192.82187687999999</v>
      </c>
      <c r="EG19" s="816">
        <v>209.12804287</v>
      </c>
      <c r="EH19" s="816">
        <v>208.18267209000001</v>
      </c>
      <c r="EI19" s="816">
        <v>205.6205052</v>
      </c>
      <c r="EJ19" s="816">
        <f>+EJ17-EJ18</f>
        <v>231.37961440999999</v>
      </c>
      <c r="EK19" s="816">
        <v>177.43722801000001</v>
      </c>
      <c r="EL19" s="816">
        <v>213.55706054999999</v>
      </c>
      <c r="EM19" s="816">
        <v>293.12959756999999</v>
      </c>
      <c r="EN19" s="816">
        <f>+EN17-EN18</f>
        <v>306.04228871999999</v>
      </c>
      <c r="EO19" s="816">
        <v>235.00755088</v>
      </c>
      <c r="EP19" s="816">
        <v>222.20997020000001</v>
      </c>
      <c r="EQ19" s="816">
        <v>186.21458906000001</v>
      </c>
      <c r="ER19" s="816">
        <v>203.70261316</v>
      </c>
      <c r="ES19" s="816">
        <v>213.02552937999999</v>
      </c>
      <c r="ET19" s="816">
        <v>214.37960244000001</v>
      </c>
      <c r="EU19" s="816">
        <f>+EU17-EU18</f>
        <v>198.12859406000001</v>
      </c>
      <c r="EV19" s="816">
        <v>210.80951365999999</v>
      </c>
      <c r="EW19" s="816">
        <f>+EW17-EW18</f>
        <v>196.53526632000001</v>
      </c>
      <c r="EX19" s="816">
        <f>+EX17-EX18</f>
        <v>214.93640704000001</v>
      </c>
      <c r="EY19" s="816">
        <v>231.86464556000001</v>
      </c>
      <c r="EZ19" s="816">
        <v>242.40812484</v>
      </c>
      <c r="FA19" s="816">
        <v>260.68899389000001</v>
      </c>
      <c r="FB19" s="816">
        <v>255.24141351</v>
      </c>
      <c r="FC19" s="816">
        <v>262.92331769999998</v>
      </c>
      <c r="FD19" s="816">
        <v>272.51819340999998</v>
      </c>
      <c r="FE19" s="816">
        <v>241.08638482000001</v>
      </c>
      <c r="FF19" s="816">
        <f>+FF17-FF18</f>
        <v>237.56398161000001</v>
      </c>
      <c r="FG19" s="816">
        <f>+FG17-FG18</f>
        <v>249.34162065999999</v>
      </c>
      <c r="FH19" s="1716" t="s">
        <v>4066</v>
      </c>
      <c r="FI19" s="319"/>
      <c r="FJ19" s="319"/>
      <c r="FK19" s="319"/>
      <c r="FL19" s="319"/>
      <c r="FM19" s="321"/>
      <c r="FN19" s="319"/>
      <c r="FO19" s="319"/>
      <c r="FP19" s="319"/>
      <c r="FQ19" s="319"/>
      <c r="FR19" s="319"/>
      <c r="FS19" s="319"/>
      <c r="FT19" s="319"/>
      <c r="FU19" s="319"/>
      <c r="FV19" s="319"/>
      <c r="FW19" s="319"/>
      <c r="FX19" s="319"/>
      <c r="FY19" s="319"/>
      <c r="FZ19" s="319"/>
      <c r="GA19" s="319"/>
      <c r="GB19" s="319"/>
      <c r="GC19" s="319"/>
      <c r="GD19" s="319"/>
      <c r="GE19" s="319"/>
      <c r="GF19" s="319"/>
      <c r="GG19" s="319"/>
      <c r="GH19" s="319"/>
      <c r="GI19" s="319"/>
      <c r="GJ19" s="319"/>
      <c r="GK19" s="319"/>
      <c r="GL19" s="319"/>
      <c r="GM19" s="319"/>
      <c r="GN19" s="319"/>
      <c r="GO19" s="319"/>
      <c r="GP19" s="319"/>
      <c r="GQ19" s="319"/>
      <c r="GR19" s="319"/>
      <c r="GS19" s="319"/>
      <c r="GT19" s="319"/>
      <c r="GU19" s="319"/>
      <c r="GV19" s="319"/>
      <c r="GW19" s="319"/>
      <c r="GX19" s="319"/>
      <c r="GY19" s="319"/>
      <c r="GZ19" s="319"/>
      <c r="HA19" s="319"/>
      <c r="HB19" s="319"/>
      <c r="HC19" s="319"/>
      <c r="HD19" s="319"/>
      <c r="HE19" s="319"/>
      <c r="HF19" s="319"/>
      <c r="HG19" s="319"/>
      <c r="HH19" s="319"/>
      <c r="HI19" s="319"/>
      <c r="HJ19" s="319"/>
      <c r="HK19" s="319"/>
      <c r="HL19" s="319"/>
      <c r="HM19" s="319"/>
      <c r="HN19" s="319"/>
      <c r="HO19" s="319"/>
      <c r="HP19" s="319"/>
      <c r="HQ19" s="319"/>
      <c r="HR19" s="319"/>
      <c r="HS19" s="319"/>
      <c r="HT19" s="319"/>
      <c r="HU19" s="319"/>
      <c r="HV19" s="319"/>
      <c r="HW19" s="319"/>
      <c r="HX19" s="319"/>
      <c r="HY19" s="319"/>
      <c r="HZ19" s="319"/>
      <c r="IA19" s="319"/>
      <c r="IB19" s="319"/>
      <c r="IC19" s="319"/>
      <c r="ID19" s="319"/>
      <c r="IE19" s="319"/>
      <c r="IF19" s="319"/>
      <c r="IG19" s="319"/>
      <c r="IH19" s="319"/>
      <c r="II19" s="319"/>
      <c r="IJ19" s="319"/>
      <c r="IK19" s="319"/>
      <c r="IL19" s="319"/>
      <c r="IM19" s="319"/>
      <c r="IN19" s="319"/>
      <c r="IO19" s="319"/>
      <c r="IP19" s="319"/>
      <c r="IQ19" s="319"/>
      <c r="IR19" s="319"/>
      <c r="IS19" s="319"/>
      <c r="IT19" s="319"/>
      <c r="IU19" s="319"/>
      <c r="IV19" s="319"/>
      <c r="IW19" s="319"/>
      <c r="IX19" s="319"/>
      <c r="IY19" s="319"/>
      <c r="IZ19" s="319"/>
      <c r="JA19" s="319"/>
      <c r="JB19" s="319"/>
      <c r="JC19" s="319"/>
      <c r="JD19" s="319"/>
      <c r="JE19" s="319"/>
      <c r="JF19" s="319"/>
      <c r="JG19" s="319"/>
      <c r="JH19" s="319"/>
      <c r="JI19" s="319"/>
      <c r="JJ19" s="319"/>
      <c r="JK19" s="319"/>
      <c r="JL19" s="319"/>
      <c r="JM19" s="319"/>
      <c r="JN19" s="319"/>
      <c r="JO19" s="319"/>
      <c r="JP19" s="319"/>
      <c r="JQ19" s="319"/>
      <c r="JR19" s="319"/>
      <c r="JS19" s="319"/>
      <c r="JT19" s="319"/>
      <c r="JU19" s="319"/>
      <c r="JV19" s="319"/>
      <c r="JW19" s="319"/>
      <c r="JX19" s="319"/>
      <c r="JY19" s="319"/>
      <c r="JZ19" s="319"/>
      <c r="KA19" s="319"/>
      <c r="KB19" s="319"/>
      <c r="KC19" s="319"/>
      <c r="KD19" s="319"/>
      <c r="KE19" s="319"/>
      <c r="KF19" s="319"/>
      <c r="KG19" s="319"/>
      <c r="KH19" s="319"/>
      <c r="KI19" s="319"/>
      <c r="KJ19" s="319"/>
      <c r="KK19" s="319"/>
      <c r="KL19" s="319"/>
      <c r="KM19" s="319"/>
      <c r="KN19" s="319"/>
      <c r="KO19" s="319"/>
      <c r="KP19" s="319"/>
    </row>
    <row r="20" spans="1:302" ht="21">
      <c r="A20" s="1744"/>
      <c r="B20" s="791"/>
      <c r="C20" s="791"/>
      <c r="D20" s="791"/>
      <c r="E20" s="791"/>
      <c r="F20" s="791"/>
      <c r="G20" s="791"/>
      <c r="H20" s="791"/>
      <c r="I20" s="791"/>
      <c r="J20" s="791"/>
      <c r="K20" s="791"/>
      <c r="L20" s="791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  <c r="AD20" s="781"/>
      <c r="AE20" s="781"/>
      <c r="AF20" s="781"/>
      <c r="AG20" s="781"/>
      <c r="AH20" s="781"/>
      <c r="AI20" s="781"/>
      <c r="AJ20" s="781"/>
      <c r="AK20" s="781"/>
      <c r="AL20" s="781"/>
      <c r="AM20" s="781"/>
      <c r="AN20" s="781"/>
      <c r="AO20" s="781"/>
      <c r="AP20" s="781"/>
      <c r="AQ20" s="781"/>
      <c r="AR20" s="781"/>
      <c r="AS20" s="781"/>
      <c r="AT20" s="781"/>
      <c r="AU20" s="781"/>
      <c r="AV20" s="781"/>
      <c r="AW20" s="781"/>
      <c r="AX20" s="781"/>
      <c r="AY20" s="781"/>
      <c r="AZ20" s="781"/>
      <c r="BA20" s="781"/>
      <c r="BB20" s="781"/>
      <c r="BC20" s="781"/>
      <c r="BD20" s="781"/>
      <c r="BE20" s="781"/>
      <c r="BF20" s="781"/>
      <c r="BG20" s="781"/>
      <c r="BH20" s="826"/>
      <c r="BI20" s="815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5"/>
      <c r="CN20" s="815"/>
      <c r="CO20" s="815"/>
      <c r="CP20" s="815"/>
      <c r="CQ20" s="815"/>
      <c r="CR20" s="815"/>
      <c r="CS20" s="815"/>
      <c r="CT20" s="815"/>
      <c r="CU20" s="815"/>
      <c r="CV20" s="815"/>
      <c r="CW20" s="815"/>
      <c r="CX20" s="815"/>
      <c r="CY20" s="815"/>
      <c r="CZ20" s="815"/>
      <c r="DA20" s="815"/>
      <c r="DB20" s="815"/>
      <c r="DC20" s="815"/>
      <c r="DD20" s="815"/>
      <c r="DE20" s="815"/>
      <c r="DF20" s="815"/>
      <c r="DG20" s="815"/>
      <c r="DH20" s="815"/>
      <c r="DI20" s="815"/>
      <c r="DJ20" s="815"/>
      <c r="DK20" s="815"/>
      <c r="DL20" s="815"/>
      <c r="DM20" s="815"/>
      <c r="DN20" s="815"/>
      <c r="DO20" s="815"/>
      <c r="DP20" s="815"/>
      <c r="DQ20" s="815"/>
      <c r="DR20" s="815"/>
      <c r="DS20" s="815"/>
      <c r="DT20" s="815"/>
      <c r="DU20" s="815"/>
      <c r="DV20" s="815"/>
      <c r="DW20" s="815"/>
      <c r="DX20" s="815"/>
      <c r="DY20" s="815"/>
      <c r="DZ20" s="815"/>
      <c r="EA20" s="815"/>
      <c r="EB20" s="815"/>
      <c r="EC20" s="815"/>
      <c r="ED20" s="815"/>
      <c r="EE20" s="815"/>
      <c r="EF20" s="815"/>
      <c r="EG20" s="815"/>
      <c r="EH20" s="815"/>
      <c r="EI20" s="815"/>
      <c r="EJ20" s="815"/>
      <c r="EK20" s="815"/>
      <c r="EL20" s="815"/>
      <c r="EM20" s="815"/>
      <c r="EN20" s="815"/>
      <c r="EO20" s="815"/>
      <c r="EP20" s="815"/>
      <c r="EQ20" s="815"/>
      <c r="ER20" s="815"/>
      <c r="ES20" s="815"/>
      <c r="ET20" s="815"/>
      <c r="EU20" s="815"/>
      <c r="EV20" s="815"/>
      <c r="EW20" s="815"/>
      <c r="EX20" s="815"/>
      <c r="EY20" s="815"/>
      <c r="EZ20" s="815"/>
      <c r="FA20" s="815"/>
      <c r="FB20" s="815"/>
      <c r="FC20" s="815"/>
      <c r="FD20" s="815"/>
      <c r="FE20" s="815"/>
      <c r="FF20" s="815"/>
      <c r="FG20" s="815"/>
      <c r="FH20" s="1714"/>
      <c r="FI20" s="319"/>
      <c r="FJ20" s="319"/>
      <c r="FK20" s="319"/>
      <c r="FL20" s="319"/>
      <c r="FM20" s="321"/>
      <c r="FN20" s="319"/>
      <c r="FO20" s="319"/>
      <c r="FP20" s="319"/>
      <c r="FQ20" s="319"/>
      <c r="FR20" s="319"/>
      <c r="FS20" s="319"/>
      <c r="FT20" s="319"/>
      <c r="FU20" s="319"/>
      <c r="FV20" s="319"/>
      <c r="FW20" s="319"/>
      <c r="FX20" s="319"/>
      <c r="FY20" s="319"/>
      <c r="FZ20" s="319"/>
      <c r="GA20" s="319"/>
      <c r="GB20" s="319"/>
      <c r="GC20" s="319"/>
      <c r="GD20" s="319"/>
      <c r="GE20" s="319"/>
      <c r="GF20" s="319"/>
      <c r="GG20" s="319"/>
      <c r="GH20" s="319"/>
      <c r="GI20" s="319"/>
      <c r="GJ20" s="319"/>
      <c r="GK20" s="319"/>
      <c r="GL20" s="319"/>
      <c r="GM20" s="319"/>
      <c r="GN20" s="319"/>
      <c r="GO20" s="319"/>
      <c r="GP20" s="319"/>
      <c r="GQ20" s="319"/>
      <c r="GR20" s="319"/>
      <c r="GS20" s="319"/>
      <c r="GT20" s="319"/>
      <c r="GU20" s="319"/>
      <c r="GV20" s="319"/>
      <c r="GW20" s="319"/>
      <c r="GX20" s="319"/>
      <c r="GY20" s="319"/>
      <c r="GZ20" s="319"/>
      <c r="HA20" s="319"/>
      <c r="HB20" s="319"/>
      <c r="HC20" s="319"/>
      <c r="HD20" s="319"/>
      <c r="HE20" s="319"/>
      <c r="HF20" s="319"/>
      <c r="HG20" s="319"/>
      <c r="HH20" s="319"/>
      <c r="HI20" s="319"/>
      <c r="HJ20" s="319"/>
      <c r="HK20" s="319"/>
      <c r="HL20" s="319"/>
      <c r="HM20" s="319"/>
      <c r="HN20" s="319"/>
      <c r="HO20" s="319"/>
      <c r="HP20" s="319"/>
      <c r="HQ20" s="319"/>
      <c r="HR20" s="319"/>
      <c r="HS20" s="319"/>
      <c r="HT20" s="319"/>
      <c r="HU20" s="319"/>
      <c r="HV20" s="319"/>
      <c r="HW20" s="319"/>
      <c r="HX20" s="319"/>
      <c r="HY20" s="319"/>
      <c r="HZ20" s="319"/>
      <c r="IA20" s="319"/>
      <c r="IB20" s="319"/>
      <c r="IC20" s="319"/>
      <c r="ID20" s="319"/>
      <c r="IE20" s="319"/>
      <c r="IF20" s="319"/>
      <c r="IG20" s="319"/>
      <c r="IH20" s="319"/>
      <c r="II20" s="319"/>
      <c r="IJ20" s="319"/>
      <c r="IK20" s="319"/>
      <c r="IL20" s="319"/>
      <c r="IM20" s="319"/>
      <c r="IN20" s="319"/>
      <c r="IO20" s="319"/>
      <c r="IP20" s="319"/>
      <c r="IQ20" s="319"/>
      <c r="IR20" s="319"/>
      <c r="IS20" s="319"/>
      <c r="IT20" s="319"/>
      <c r="IU20" s="319"/>
      <c r="IV20" s="319"/>
      <c r="IW20" s="319"/>
      <c r="IX20" s="319"/>
      <c r="IY20" s="319"/>
      <c r="IZ20" s="319"/>
      <c r="JA20" s="319"/>
      <c r="JB20" s="319"/>
      <c r="JC20" s="319"/>
      <c r="JD20" s="319"/>
      <c r="JE20" s="319"/>
      <c r="JF20" s="319"/>
      <c r="JG20" s="319"/>
      <c r="JH20" s="319"/>
      <c r="JI20" s="319"/>
      <c r="JJ20" s="319"/>
      <c r="JK20" s="319"/>
      <c r="JL20" s="319"/>
      <c r="JM20" s="319"/>
      <c r="JN20" s="319"/>
      <c r="JO20" s="319"/>
      <c r="JP20" s="319"/>
      <c r="JQ20" s="319"/>
      <c r="JR20" s="319"/>
      <c r="JS20" s="319"/>
      <c r="JT20" s="319"/>
      <c r="JU20" s="319"/>
      <c r="JV20" s="319"/>
      <c r="JW20" s="319"/>
      <c r="JX20" s="319"/>
      <c r="JY20" s="319"/>
      <c r="JZ20" s="319"/>
      <c r="KA20" s="319"/>
      <c r="KB20" s="319"/>
      <c r="KC20" s="319"/>
      <c r="KD20" s="319"/>
      <c r="KE20" s="319"/>
      <c r="KF20" s="319"/>
      <c r="KG20" s="319"/>
      <c r="KH20" s="319"/>
      <c r="KI20" s="319"/>
      <c r="KJ20" s="319"/>
      <c r="KK20" s="319"/>
      <c r="KL20" s="319"/>
      <c r="KM20" s="319"/>
      <c r="KN20" s="319"/>
      <c r="KO20" s="319"/>
      <c r="KP20" s="319"/>
    </row>
    <row r="21" spans="1:302" ht="21">
      <c r="A21" s="1744" t="s">
        <v>2742</v>
      </c>
      <c r="B21" s="792">
        <v>33.37653444</v>
      </c>
      <c r="C21" s="792">
        <v>38.284802460000002</v>
      </c>
      <c r="D21" s="792">
        <v>32.291455790000001</v>
      </c>
      <c r="E21" s="792">
        <v>32.416135570000002</v>
      </c>
      <c r="F21" s="792">
        <v>30.75529573</v>
      </c>
      <c r="G21" s="792">
        <v>26.785114499999999</v>
      </c>
      <c r="H21" s="792">
        <v>40.257966070000002</v>
      </c>
      <c r="I21" s="792">
        <v>25.524618320000002</v>
      </c>
      <c r="J21" s="792">
        <v>23.73547151</v>
      </c>
      <c r="K21" s="792">
        <v>21.414086530000002</v>
      </c>
      <c r="L21" s="792">
        <v>17.694070329999999</v>
      </c>
      <c r="M21" s="781">
        <v>19.83737352</v>
      </c>
      <c r="N21" s="784">
        <v>21.793904640000001</v>
      </c>
      <c r="O21" s="784">
        <v>22.410281809999997</v>
      </c>
      <c r="P21" s="784">
        <v>26.279781489999998</v>
      </c>
      <c r="Q21" s="784">
        <v>26.861976800000001</v>
      </c>
      <c r="R21" s="784">
        <v>26.35428954</v>
      </c>
      <c r="S21" s="784">
        <v>32.927030090000002</v>
      </c>
      <c r="T21" s="784">
        <v>28.194918090000002</v>
      </c>
      <c r="U21" s="784">
        <v>40.202615230000006</v>
      </c>
      <c r="V21" s="784">
        <v>40.777749560000004</v>
      </c>
      <c r="W21" s="784">
        <v>30.416222959999999</v>
      </c>
      <c r="X21" s="784">
        <v>30.800557510000001</v>
      </c>
      <c r="Y21" s="781">
        <v>16.047495589999997</v>
      </c>
      <c r="Z21" s="784">
        <v>18.99937899</v>
      </c>
      <c r="AA21" s="784">
        <v>149.03911939</v>
      </c>
      <c r="AB21" s="781">
        <v>196.88059850000002</v>
      </c>
      <c r="AC21" s="781">
        <v>221.39710336000002</v>
      </c>
      <c r="AD21" s="781">
        <v>284.51466966999999</v>
      </c>
      <c r="AE21" s="781">
        <v>283.28626500999997</v>
      </c>
      <c r="AF21" s="781">
        <v>287.70217503999999</v>
      </c>
      <c r="AG21" s="781">
        <v>243.57929306999998</v>
      </c>
      <c r="AH21" s="781">
        <v>248.73341655000002</v>
      </c>
      <c r="AI21" s="781">
        <v>144.26717260999999</v>
      </c>
      <c r="AJ21" s="781">
        <v>395.49787122999999</v>
      </c>
      <c r="AK21" s="781">
        <v>335.35624589999998</v>
      </c>
      <c r="AL21" s="781">
        <v>335.91709404000005</v>
      </c>
      <c r="AM21" s="781">
        <v>310.06165184000002</v>
      </c>
      <c r="AN21" s="781">
        <v>328.78853314000003</v>
      </c>
      <c r="AO21" s="781">
        <v>327.73543205999999</v>
      </c>
      <c r="AP21" s="781">
        <v>315.28356422000002</v>
      </c>
      <c r="AQ21" s="781">
        <v>328.70186964999999</v>
      </c>
      <c r="AR21" s="781">
        <v>126.96210976</v>
      </c>
      <c r="AS21" s="781">
        <v>134.66275386000001</v>
      </c>
      <c r="AT21" s="781">
        <f>AT13-AT17</f>
        <v>131.1520878</v>
      </c>
      <c r="AU21" s="781">
        <v>126.58233214000001</v>
      </c>
      <c r="AV21" s="781">
        <v>141.05486810000002</v>
      </c>
      <c r="AW21" s="781">
        <v>168.44950276999998</v>
      </c>
      <c r="AX21" s="781">
        <v>181.07556269</v>
      </c>
      <c r="AY21" s="781">
        <v>193.71882672999999</v>
      </c>
      <c r="AZ21" s="781">
        <v>187.11279551000001</v>
      </c>
      <c r="BA21" s="781">
        <v>190.51751041</v>
      </c>
      <c r="BB21" s="781">
        <v>182.86686898000002</v>
      </c>
      <c r="BC21" s="781">
        <v>69.365331400000002</v>
      </c>
      <c r="BD21" s="781">
        <v>71.811968679999993</v>
      </c>
      <c r="BE21" s="781">
        <v>48.381844450000003</v>
      </c>
      <c r="BF21" s="781">
        <v>53.189001269999999</v>
      </c>
      <c r="BG21" s="781">
        <v>52.148185300000002</v>
      </c>
      <c r="BH21" s="826">
        <v>57.076196479999986</v>
      </c>
      <c r="BI21" s="815">
        <v>27.024076859999994</v>
      </c>
      <c r="BJ21" s="815">
        <v>26.835646109999992</v>
      </c>
      <c r="BK21" s="815">
        <v>20.194845179999998</v>
      </c>
      <c r="BL21" s="815">
        <v>41.454114329999996</v>
      </c>
      <c r="BM21" s="815">
        <v>38.256200280000002</v>
      </c>
      <c r="BN21" s="815">
        <v>34.108609259999994</v>
      </c>
      <c r="BO21" s="815">
        <v>32.80005379</v>
      </c>
      <c r="BP21" s="815">
        <v>40.51487327000001</v>
      </c>
      <c r="BQ21" s="815">
        <v>41.919242210000007</v>
      </c>
      <c r="BR21" s="815">
        <v>72.674882410000009</v>
      </c>
      <c r="BS21" s="815">
        <v>77.663452250000006</v>
      </c>
      <c r="BT21" s="815">
        <v>76.840756260000006</v>
      </c>
      <c r="BU21" s="815">
        <v>80.499040890000003</v>
      </c>
      <c r="BV21" s="815">
        <v>78.535874460000002</v>
      </c>
      <c r="BW21" s="815">
        <v>81.206370919999983</v>
      </c>
      <c r="BX21" s="815">
        <v>80.624867590000008</v>
      </c>
      <c r="BY21" s="815">
        <v>82.749231499999993</v>
      </c>
      <c r="BZ21" s="815">
        <v>87.296832229999978</v>
      </c>
      <c r="CA21" s="815">
        <v>86.550527779999996</v>
      </c>
      <c r="CB21" s="815">
        <v>91.72967632000001</v>
      </c>
      <c r="CC21" s="815">
        <v>97.613311149999987</v>
      </c>
      <c r="CD21" s="815">
        <v>103.28368470999999</v>
      </c>
      <c r="CE21" s="815">
        <v>105.41648290000001</v>
      </c>
      <c r="CF21" s="815">
        <v>124.69953118999999</v>
      </c>
      <c r="CG21" s="815">
        <v>125.14757453</v>
      </c>
      <c r="CH21" s="815">
        <v>124.09281759999999</v>
      </c>
      <c r="CI21" s="815">
        <v>114.38321648000002</v>
      </c>
      <c r="CJ21" s="815">
        <v>97.390995870000012</v>
      </c>
      <c r="CK21" s="815">
        <v>103.73036064</v>
      </c>
      <c r="CL21" s="815">
        <v>66.406850140000003</v>
      </c>
      <c r="CM21" s="815">
        <v>59.213336000000005</v>
      </c>
      <c r="CN21" s="815">
        <v>57.83552091</v>
      </c>
      <c r="CO21" s="815">
        <v>54.851317640000005</v>
      </c>
      <c r="CP21" s="815">
        <v>52.559790890000002</v>
      </c>
      <c r="CQ21" s="815">
        <v>56.873876940000002</v>
      </c>
      <c r="CR21" s="815">
        <v>56.714876410000002</v>
      </c>
      <c r="CS21" s="815">
        <v>66.871358520000001</v>
      </c>
      <c r="CT21" s="815">
        <v>52.733948339999998</v>
      </c>
      <c r="CU21" s="815">
        <v>57.77523248</v>
      </c>
      <c r="CV21" s="815">
        <v>65.017339939999999</v>
      </c>
      <c r="CW21" s="815">
        <v>54.962592979999997</v>
      </c>
      <c r="CX21" s="815">
        <v>56.952730180000003</v>
      </c>
      <c r="CY21" s="815">
        <v>60.306160380000001</v>
      </c>
      <c r="CZ21" s="815">
        <v>68.957704129999996</v>
      </c>
      <c r="DA21" s="815">
        <v>86.369496580000003</v>
      </c>
      <c r="DB21" s="815">
        <v>76.966174559999999</v>
      </c>
      <c r="DC21" s="815">
        <v>82.672212459999997</v>
      </c>
      <c r="DD21" s="815">
        <v>91.63544958</v>
      </c>
      <c r="DE21" s="815">
        <v>88.014648879999996</v>
      </c>
      <c r="DF21" s="815">
        <v>85.460829070000003</v>
      </c>
      <c r="DG21" s="815">
        <v>106.74124431</v>
      </c>
      <c r="DH21" s="815">
        <v>112.19267263</v>
      </c>
      <c r="DI21" s="815">
        <v>115.13093489000001</v>
      </c>
      <c r="DJ21" s="815">
        <v>116.33238227</v>
      </c>
      <c r="DK21" s="815">
        <v>157.85827094999999</v>
      </c>
      <c r="DL21" s="815">
        <v>157.51458980000001</v>
      </c>
      <c r="DM21" s="815">
        <v>147.12645871999999</v>
      </c>
      <c r="DN21" s="815">
        <v>149.52955768000001</v>
      </c>
      <c r="DO21" s="815">
        <v>116.02097089999999</v>
      </c>
      <c r="DP21" s="815">
        <v>92.634123750000001</v>
      </c>
      <c r="DQ21" s="815">
        <v>72.727545910000003</v>
      </c>
      <c r="DR21" s="815">
        <v>70.275594290000001</v>
      </c>
      <c r="DS21" s="815">
        <v>51.223608859999999</v>
      </c>
      <c r="DT21" s="815">
        <v>55.086829389999998</v>
      </c>
      <c r="DU21" s="815">
        <v>51.365460779999999</v>
      </c>
      <c r="DV21" s="815">
        <v>30.625007109999999</v>
      </c>
      <c r="DW21" s="815">
        <v>45.003559000000003</v>
      </c>
      <c r="DX21" s="815">
        <v>44.158425520000002</v>
      </c>
      <c r="DY21" s="815">
        <v>43.863819820000003</v>
      </c>
      <c r="DZ21" s="815">
        <v>40.525794099999999</v>
      </c>
      <c r="EA21" s="815">
        <v>36.994845300000001</v>
      </c>
      <c r="EB21" s="815">
        <v>35.80398907</v>
      </c>
      <c r="EC21" s="815">
        <v>33.60448547</v>
      </c>
      <c r="ED21" s="815">
        <v>37.05325998</v>
      </c>
      <c r="EE21" s="815">
        <v>34.280295700000003</v>
      </c>
      <c r="EF21" s="815">
        <v>38.990028389999999</v>
      </c>
      <c r="EG21" s="815">
        <v>35.816342239999997</v>
      </c>
      <c r="EH21" s="815">
        <v>35.264698459999998</v>
      </c>
      <c r="EI21" s="815">
        <v>44.532926660000001</v>
      </c>
      <c r="EJ21" s="815">
        <v>42.430820429999997</v>
      </c>
      <c r="EK21" s="815">
        <v>38.850251180000001</v>
      </c>
      <c r="EL21" s="815">
        <v>37.748716590000001</v>
      </c>
      <c r="EM21" s="815">
        <v>35.162125680000003</v>
      </c>
      <c r="EN21" s="815">
        <v>28.73743966</v>
      </c>
      <c r="EO21" s="815">
        <v>17.920921329999999</v>
      </c>
      <c r="EP21" s="815">
        <v>14.35958145</v>
      </c>
      <c r="EQ21" s="815">
        <v>12.18176646</v>
      </c>
      <c r="ER21" s="815">
        <v>12.341596109999999</v>
      </c>
      <c r="ES21" s="815">
        <v>9.7602536299999993</v>
      </c>
      <c r="ET21" s="815">
        <v>10.63016174</v>
      </c>
      <c r="EU21" s="815">
        <v>12.919014199999999</v>
      </c>
      <c r="EV21" s="815">
        <v>16.59871519</v>
      </c>
      <c r="EW21" s="815">
        <v>25.182130180000001</v>
      </c>
      <c r="EX21" s="815">
        <v>27.430497500000001</v>
      </c>
      <c r="EY21" s="815">
        <v>26.155584640000001</v>
      </c>
      <c r="EZ21" s="815">
        <v>26.745971860000001</v>
      </c>
      <c r="FA21" s="815">
        <v>21.904613550000001</v>
      </c>
      <c r="FB21" s="815">
        <v>21.86818152</v>
      </c>
      <c r="FC21" s="815">
        <v>31.3520866</v>
      </c>
      <c r="FD21" s="815">
        <v>45.149424240000002</v>
      </c>
      <c r="FE21" s="815">
        <v>40.001614689999997</v>
      </c>
      <c r="FF21" s="815">
        <v>43.418749920000003</v>
      </c>
      <c r="FG21" s="815">
        <v>46.729093310000003</v>
      </c>
      <c r="FH21" s="1714" t="s">
        <v>4068</v>
      </c>
      <c r="FI21" s="319"/>
      <c r="FJ21" s="319"/>
      <c r="FK21" s="319"/>
      <c r="FL21" s="319"/>
      <c r="FM21" s="321"/>
      <c r="FN21" s="319"/>
      <c r="FO21" s="319"/>
      <c r="FP21" s="319"/>
      <c r="FQ21" s="319"/>
      <c r="FR21" s="319"/>
      <c r="FS21" s="319"/>
      <c r="FT21" s="319"/>
      <c r="FU21" s="319"/>
      <c r="FV21" s="319"/>
      <c r="FW21" s="319"/>
      <c r="FX21" s="319"/>
      <c r="FY21" s="319"/>
      <c r="FZ21" s="319"/>
      <c r="GA21" s="319"/>
      <c r="GB21" s="319"/>
      <c r="GC21" s="319"/>
      <c r="GD21" s="319"/>
      <c r="GE21" s="319"/>
      <c r="GF21" s="319"/>
      <c r="GG21" s="319"/>
      <c r="GH21" s="319"/>
      <c r="GI21" s="319"/>
      <c r="GJ21" s="319"/>
      <c r="GK21" s="319"/>
      <c r="GL21" s="319"/>
      <c r="GM21" s="319"/>
      <c r="GN21" s="319"/>
      <c r="GO21" s="319"/>
      <c r="GP21" s="319"/>
      <c r="GQ21" s="319"/>
      <c r="GR21" s="319"/>
      <c r="GS21" s="319"/>
      <c r="GT21" s="319"/>
      <c r="GU21" s="319"/>
      <c r="GV21" s="319"/>
      <c r="GW21" s="319"/>
      <c r="GX21" s="319"/>
      <c r="GY21" s="319"/>
      <c r="GZ21" s="319"/>
      <c r="HA21" s="319"/>
      <c r="HB21" s="319"/>
      <c r="HC21" s="319"/>
      <c r="HD21" s="319"/>
      <c r="HE21" s="319"/>
      <c r="HF21" s="319"/>
      <c r="HG21" s="319"/>
      <c r="HH21" s="319"/>
      <c r="HI21" s="319"/>
      <c r="HJ21" s="319"/>
      <c r="HK21" s="319"/>
      <c r="HL21" s="319"/>
      <c r="HM21" s="319"/>
      <c r="HN21" s="319"/>
      <c r="HO21" s="319"/>
      <c r="HP21" s="319"/>
      <c r="HQ21" s="319"/>
      <c r="HR21" s="319"/>
      <c r="HS21" s="319"/>
      <c r="HT21" s="319"/>
      <c r="HU21" s="319"/>
      <c r="HV21" s="319"/>
      <c r="HW21" s="319"/>
      <c r="HX21" s="319"/>
      <c r="HY21" s="319"/>
      <c r="HZ21" s="319"/>
      <c r="IA21" s="319"/>
      <c r="IB21" s="319"/>
      <c r="IC21" s="319"/>
      <c r="ID21" s="319"/>
      <c r="IE21" s="319"/>
      <c r="IF21" s="319"/>
      <c r="IG21" s="319"/>
      <c r="IH21" s="319"/>
      <c r="II21" s="319"/>
      <c r="IJ21" s="319"/>
      <c r="IK21" s="319"/>
      <c r="IL21" s="319"/>
      <c r="IM21" s="319"/>
      <c r="IN21" s="319"/>
      <c r="IO21" s="319"/>
      <c r="IP21" s="319"/>
      <c r="IQ21" s="319"/>
      <c r="IR21" s="319"/>
      <c r="IS21" s="319"/>
      <c r="IT21" s="319"/>
      <c r="IU21" s="319"/>
      <c r="IV21" s="319"/>
      <c r="IW21" s="319"/>
      <c r="IX21" s="319"/>
      <c r="IY21" s="319"/>
      <c r="IZ21" s="319"/>
      <c r="JA21" s="319"/>
      <c r="JB21" s="319"/>
      <c r="JC21" s="319"/>
      <c r="JD21" s="319"/>
      <c r="JE21" s="319"/>
      <c r="JF21" s="319"/>
      <c r="JG21" s="319"/>
      <c r="JH21" s="319"/>
      <c r="JI21" s="319"/>
      <c r="JJ21" s="319"/>
      <c r="JK21" s="319"/>
      <c r="JL21" s="319"/>
      <c r="JM21" s="319"/>
      <c r="JN21" s="319"/>
      <c r="JO21" s="319"/>
      <c r="JP21" s="319"/>
      <c r="JQ21" s="319"/>
      <c r="JR21" s="319"/>
      <c r="JS21" s="319"/>
      <c r="JT21" s="319"/>
      <c r="JU21" s="319"/>
      <c r="JV21" s="319"/>
      <c r="JW21" s="319"/>
      <c r="JX21" s="319"/>
      <c r="JY21" s="319"/>
      <c r="JZ21" s="319"/>
      <c r="KA21" s="319"/>
      <c r="KB21" s="319"/>
      <c r="KC21" s="319"/>
      <c r="KD21" s="319"/>
      <c r="KE21" s="319"/>
      <c r="KF21" s="319"/>
      <c r="KG21" s="319"/>
      <c r="KH21" s="319"/>
      <c r="KI21" s="319"/>
      <c r="KJ21" s="319"/>
      <c r="KK21" s="319"/>
      <c r="KL21" s="319"/>
      <c r="KM21" s="319"/>
      <c r="KN21" s="319"/>
      <c r="KO21" s="319"/>
      <c r="KP21" s="319"/>
    </row>
    <row r="22" spans="1:302" ht="21">
      <c r="A22" s="1745" t="s">
        <v>1961</v>
      </c>
      <c r="B22" s="792">
        <v>0</v>
      </c>
      <c r="C22" s="792">
        <v>0</v>
      </c>
      <c r="D22" s="792">
        <v>0</v>
      </c>
      <c r="E22" s="792">
        <v>0</v>
      </c>
      <c r="F22" s="792">
        <v>0</v>
      </c>
      <c r="G22" s="792">
        <v>0</v>
      </c>
      <c r="H22" s="792">
        <v>0</v>
      </c>
      <c r="I22" s="792">
        <v>0</v>
      </c>
      <c r="J22" s="792">
        <v>0</v>
      </c>
      <c r="K22" s="792">
        <v>0</v>
      </c>
      <c r="L22" s="792">
        <v>0</v>
      </c>
      <c r="M22" s="784">
        <v>0</v>
      </c>
      <c r="N22" s="784">
        <v>0</v>
      </c>
      <c r="O22" s="784">
        <v>0</v>
      </c>
      <c r="P22" s="784">
        <v>0</v>
      </c>
      <c r="Q22" s="784">
        <v>0</v>
      </c>
      <c r="R22" s="784">
        <v>0</v>
      </c>
      <c r="S22" s="784">
        <v>0</v>
      </c>
      <c r="T22" s="784">
        <v>0</v>
      </c>
      <c r="U22" s="784">
        <v>9.4128000000000007</v>
      </c>
      <c r="V22" s="784">
        <v>9.4128000000000007</v>
      </c>
      <c r="W22" s="784">
        <v>7.5073355199999998</v>
      </c>
      <c r="X22" s="784">
        <v>7.0595999999999997</v>
      </c>
      <c r="Y22" s="784">
        <v>7.0595999999999997</v>
      </c>
      <c r="Z22" s="784">
        <v>7.0595999999999997</v>
      </c>
      <c r="AA22" s="784">
        <v>19.691728480000002</v>
      </c>
      <c r="AB22" s="784">
        <v>8.1338436000000005</v>
      </c>
      <c r="AC22" s="784">
        <v>29.109395120000002</v>
      </c>
      <c r="AD22" s="784">
        <v>33.557946170000001</v>
      </c>
      <c r="AE22" s="784">
        <v>33.627600119999997</v>
      </c>
      <c r="AF22" s="784">
        <v>38.619262840000005</v>
      </c>
      <c r="AG22" s="784">
        <v>42.918207899999999</v>
      </c>
      <c r="AH22" s="784">
        <v>42.900741240000002</v>
      </c>
      <c r="AI22" s="784">
        <v>42.93646948</v>
      </c>
      <c r="AJ22" s="784">
        <v>42.85653585</v>
      </c>
      <c r="AK22" s="784">
        <v>10.389203500000001</v>
      </c>
      <c r="AL22" s="784">
        <v>10.665023060000001</v>
      </c>
      <c r="AM22" s="784">
        <v>10.42984358</v>
      </c>
      <c r="AN22" s="784">
        <v>10.27394557</v>
      </c>
      <c r="AO22" s="784">
        <v>10.04143101</v>
      </c>
      <c r="AP22" s="784">
        <v>0</v>
      </c>
      <c r="AQ22" s="784">
        <v>0</v>
      </c>
      <c r="AR22" s="784">
        <v>0</v>
      </c>
      <c r="AS22" s="784">
        <v>0</v>
      </c>
      <c r="AT22" s="784">
        <f>AT14-AT18</f>
        <v>0</v>
      </c>
      <c r="AU22" s="784">
        <v>0</v>
      </c>
      <c r="AV22" s="784">
        <v>0</v>
      </c>
      <c r="AW22" s="784">
        <v>0</v>
      </c>
      <c r="AX22" s="784">
        <v>0</v>
      </c>
      <c r="AY22" s="784">
        <v>0</v>
      </c>
      <c r="AZ22" s="784">
        <v>0</v>
      </c>
      <c r="BA22" s="784">
        <v>0</v>
      </c>
      <c r="BB22" s="784">
        <v>0</v>
      </c>
      <c r="BC22" s="784">
        <v>0</v>
      </c>
      <c r="BD22" s="784">
        <v>0</v>
      </c>
      <c r="BE22" s="784">
        <v>0</v>
      </c>
      <c r="BF22" s="784">
        <v>0</v>
      </c>
      <c r="BG22" s="784">
        <v>0</v>
      </c>
      <c r="BH22" s="827">
        <v>0</v>
      </c>
      <c r="BI22" s="816">
        <v>0</v>
      </c>
      <c r="BJ22" s="816">
        <v>0</v>
      </c>
      <c r="BK22" s="816">
        <v>0</v>
      </c>
      <c r="BL22" s="816">
        <v>0</v>
      </c>
      <c r="BM22" s="816">
        <v>0</v>
      </c>
      <c r="BN22" s="816">
        <v>0</v>
      </c>
      <c r="BO22" s="816">
        <v>0</v>
      </c>
      <c r="BP22" s="816">
        <v>0</v>
      </c>
      <c r="BQ22" s="816">
        <v>0</v>
      </c>
      <c r="BR22" s="816">
        <v>0</v>
      </c>
      <c r="BS22" s="816">
        <v>0</v>
      </c>
      <c r="BT22" s="816">
        <v>0</v>
      </c>
      <c r="BU22" s="816">
        <v>0</v>
      </c>
      <c r="BV22" s="816">
        <v>0</v>
      </c>
      <c r="BW22" s="816">
        <v>0</v>
      </c>
      <c r="BX22" s="816">
        <v>0</v>
      </c>
      <c r="BY22" s="816">
        <v>0</v>
      </c>
      <c r="BZ22" s="816">
        <v>0</v>
      </c>
      <c r="CA22" s="816">
        <v>0</v>
      </c>
      <c r="CB22" s="816">
        <v>0</v>
      </c>
      <c r="CC22" s="816">
        <v>0</v>
      </c>
      <c r="CD22" s="816">
        <v>0</v>
      </c>
      <c r="CE22" s="816">
        <v>0</v>
      </c>
      <c r="CF22" s="816">
        <v>0</v>
      </c>
      <c r="CG22" s="816">
        <v>0</v>
      </c>
      <c r="CH22" s="816">
        <v>0</v>
      </c>
      <c r="CI22" s="816">
        <v>0</v>
      </c>
      <c r="CJ22" s="816">
        <v>0</v>
      </c>
      <c r="CK22" s="816">
        <v>0</v>
      </c>
      <c r="CL22" s="816">
        <v>0</v>
      </c>
      <c r="CM22" s="816">
        <v>0</v>
      </c>
      <c r="CN22" s="816">
        <v>0</v>
      </c>
      <c r="CO22" s="816">
        <v>0</v>
      </c>
      <c r="CP22" s="816">
        <v>0</v>
      </c>
      <c r="CQ22" s="816">
        <v>0</v>
      </c>
      <c r="CR22" s="816">
        <v>0</v>
      </c>
      <c r="CS22" s="816">
        <v>0</v>
      </c>
      <c r="CT22" s="816">
        <v>0</v>
      </c>
      <c r="CU22" s="816">
        <v>0</v>
      </c>
      <c r="CV22" s="816">
        <v>0</v>
      </c>
      <c r="CW22" s="816">
        <v>0</v>
      </c>
      <c r="CX22" s="816">
        <v>0</v>
      </c>
      <c r="CY22" s="816">
        <v>0</v>
      </c>
      <c r="CZ22" s="816">
        <v>0</v>
      </c>
      <c r="DA22" s="816">
        <v>0</v>
      </c>
      <c r="DB22" s="816">
        <v>0</v>
      </c>
      <c r="DC22" s="816">
        <v>0</v>
      </c>
      <c r="DD22" s="816">
        <v>0</v>
      </c>
      <c r="DE22" s="816">
        <v>0</v>
      </c>
      <c r="DF22" s="816">
        <v>0</v>
      </c>
      <c r="DG22" s="816">
        <v>0</v>
      </c>
      <c r="DH22" s="816">
        <v>0</v>
      </c>
      <c r="DI22" s="816">
        <v>0</v>
      </c>
      <c r="DJ22" s="816">
        <v>0</v>
      </c>
      <c r="DK22" s="816">
        <v>0</v>
      </c>
      <c r="DL22" s="816">
        <v>0</v>
      </c>
      <c r="DM22" s="816">
        <v>0</v>
      </c>
      <c r="DN22" s="816">
        <v>0</v>
      </c>
      <c r="DO22" s="816">
        <v>0</v>
      </c>
      <c r="DP22" s="816">
        <v>0</v>
      </c>
      <c r="DQ22" s="816">
        <v>0</v>
      </c>
      <c r="DR22" s="816">
        <v>0</v>
      </c>
      <c r="DS22" s="816">
        <v>0</v>
      </c>
      <c r="DT22" s="816">
        <v>0</v>
      </c>
      <c r="DU22" s="816">
        <v>0</v>
      </c>
      <c r="DV22" s="816">
        <v>0</v>
      </c>
      <c r="DW22" s="816">
        <v>0</v>
      </c>
      <c r="DX22" s="816">
        <v>0</v>
      </c>
      <c r="DY22" s="816">
        <v>0</v>
      </c>
      <c r="DZ22" s="816">
        <v>0</v>
      </c>
      <c r="EA22" s="816">
        <v>0</v>
      </c>
      <c r="EB22" s="816">
        <v>0</v>
      </c>
      <c r="EC22" s="816">
        <v>0</v>
      </c>
      <c r="ED22" s="816">
        <v>0</v>
      </c>
      <c r="EE22" s="816">
        <v>0</v>
      </c>
      <c r="EF22" s="816">
        <v>0</v>
      </c>
      <c r="EG22" s="816">
        <v>0</v>
      </c>
      <c r="EH22" s="816">
        <v>0</v>
      </c>
      <c r="EI22" s="816">
        <v>0</v>
      </c>
      <c r="EJ22" s="816">
        <v>0</v>
      </c>
      <c r="EK22" s="816">
        <v>0</v>
      </c>
      <c r="EL22" s="816">
        <v>0</v>
      </c>
      <c r="EM22" s="816">
        <v>0</v>
      </c>
      <c r="EN22" s="816">
        <v>0</v>
      </c>
      <c r="EO22" s="816">
        <v>0</v>
      </c>
      <c r="EP22" s="816">
        <v>0</v>
      </c>
      <c r="EQ22" s="816">
        <v>0</v>
      </c>
      <c r="ER22" s="816">
        <v>0</v>
      </c>
      <c r="ES22" s="816">
        <v>0</v>
      </c>
      <c r="ET22" s="816">
        <v>0</v>
      </c>
      <c r="EU22" s="816">
        <v>0</v>
      </c>
      <c r="EV22" s="816">
        <v>0</v>
      </c>
      <c r="EW22" s="816">
        <v>0</v>
      </c>
      <c r="EX22" s="816">
        <v>0</v>
      </c>
      <c r="EY22" s="816">
        <v>0</v>
      </c>
      <c r="EZ22" s="816">
        <v>0</v>
      </c>
      <c r="FA22" s="816">
        <v>0</v>
      </c>
      <c r="FB22" s="816">
        <v>0</v>
      </c>
      <c r="FC22" s="816">
        <v>0</v>
      </c>
      <c r="FD22" s="816">
        <v>0</v>
      </c>
      <c r="FE22" s="816">
        <v>0</v>
      </c>
      <c r="FF22" s="816">
        <v>0</v>
      </c>
      <c r="FG22" s="816">
        <v>0</v>
      </c>
      <c r="FH22" s="1716" t="s">
        <v>4067</v>
      </c>
      <c r="FI22" s="319"/>
      <c r="FJ22" s="319"/>
      <c r="FK22" s="319"/>
      <c r="FL22" s="319"/>
      <c r="FM22" s="321"/>
      <c r="FN22" s="319"/>
      <c r="FO22" s="319"/>
      <c r="FP22" s="319"/>
      <c r="FQ22" s="319"/>
      <c r="FR22" s="319"/>
      <c r="FS22" s="319"/>
      <c r="FT22" s="319"/>
      <c r="FU22" s="319"/>
      <c r="FV22" s="319"/>
      <c r="FW22" s="319"/>
      <c r="FX22" s="319"/>
      <c r="FY22" s="319"/>
      <c r="FZ22" s="319"/>
      <c r="GA22" s="319"/>
      <c r="GB22" s="319"/>
      <c r="GC22" s="319"/>
      <c r="GD22" s="319"/>
      <c r="GE22" s="319"/>
      <c r="GF22" s="319"/>
      <c r="GG22" s="319"/>
      <c r="GH22" s="319"/>
      <c r="GI22" s="319"/>
      <c r="GJ22" s="319"/>
      <c r="GK22" s="319"/>
      <c r="GL22" s="319"/>
      <c r="GM22" s="319"/>
      <c r="GN22" s="319"/>
      <c r="GO22" s="319"/>
      <c r="GP22" s="319"/>
      <c r="GQ22" s="319"/>
      <c r="GR22" s="319"/>
      <c r="GS22" s="319"/>
      <c r="GT22" s="319"/>
      <c r="GU22" s="319"/>
      <c r="GV22" s="319"/>
      <c r="GW22" s="319"/>
      <c r="GX22" s="319"/>
      <c r="GY22" s="319"/>
      <c r="GZ22" s="319"/>
      <c r="HA22" s="319"/>
      <c r="HB22" s="319"/>
      <c r="HC22" s="319"/>
      <c r="HD22" s="319"/>
      <c r="HE22" s="319"/>
      <c r="HF22" s="319"/>
      <c r="HG22" s="319"/>
      <c r="HH22" s="319"/>
      <c r="HI22" s="319"/>
      <c r="HJ22" s="319"/>
      <c r="HK22" s="319"/>
      <c r="HL22" s="319"/>
      <c r="HM22" s="319"/>
      <c r="HN22" s="319"/>
      <c r="HO22" s="319"/>
      <c r="HP22" s="319"/>
      <c r="HQ22" s="319"/>
      <c r="HR22" s="319"/>
      <c r="HS22" s="319"/>
      <c r="HT22" s="319"/>
      <c r="HU22" s="319"/>
      <c r="HV22" s="319"/>
      <c r="HW22" s="319"/>
      <c r="HX22" s="319"/>
      <c r="HY22" s="319"/>
      <c r="HZ22" s="319"/>
      <c r="IA22" s="319"/>
      <c r="IB22" s="319"/>
      <c r="IC22" s="319"/>
      <c r="ID22" s="319"/>
      <c r="IE22" s="319"/>
      <c r="IF22" s="319"/>
      <c r="IG22" s="319"/>
      <c r="IH22" s="319"/>
      <c r="II22" s="319"/>
      <c r="IJ22" s="319"/>
      <c r="IK22" s="319"/>
      <c r="IL22" s="319"/>
      <c r="IM22" s="319"/>
      <c r="IN22" s="319"/>
      <c r="IO22" s="319"/>
      <c r="IP22" s="319"/>
      <c r="IQ22" s="319"/>
      <c r="IR22" s="319"/>
      <c r="IS22" s="319"/>
      <c r="IT22" s="319"/>
      <c r="IU22" s="319"/>
      <c r="IV22" s="319"/>
      <c r="IW22" s="319"/>
      <c r="IX22" s="319"/>
      <c r="IY22" s="319"/>
      <c r="IZ22" s="319"/>
      <c r="JA22" s="319"/>
      <c r="JB22" s="319"/>
      <c r="JC22" s="319"/>
      <c r="JD22" s="319"/>
      <c r="JE22" s="319"/>
      <c r="JF22" s="319"/>
      <c r="JG22" s="319"/>
      <c r="JH22" s="319"/>
      <c r="JI22" s="319"/>
      <c r="JJ22" s="319"/>
      <c r="JK22" s="319"/>
      <c r="JL22" s="319"/>
      <c r="JM22" s="319"/>
      <c r="JN22" s="319"/>
      <c r="JO22" s="319"/>
      <c r="JP22" s="319"/>
      <c r="JQ22" s="319"/>
      <c r="JR22" s="319"/>
      <c r="JS22" s="319"/>
      <c r="JT22" s="319"/>
      <c r="JU22" s="319"/>
      <c r="JV22" s="319"/>
      <c r="JW22" s="319"/>
      <c r="JX22" s="319"/>
      <c r="JY22" s="319"/>
      <c r="JZ22" s="319"/>
      <c r="KA22" s="319"/>
      <c r="KB22" s="319"/>
      <c r="KC22" s="319"/>
      <c r="KD22" s="319"/>
      <c r="KE22" s="319"/>
      <c r="KF22" s="319"/>
      <c r="KG22" s="319"/>
      <c r="KH22" s="319"/>
      <c r="KI22" s="319"/>
      <c r="KJ22" s="319"/>
      <c r="KK22" s="319"/>
      <c r="KL22" s="319"/>
      <c r="KM22" s="319"/>
      <c r="KN22" s="319"/>
      <c r="KO22" s="319"/>
      <c r="KP22" s="319"/>
    </row>
    <row r="23" spans="1:302" ht="21">
      <c r="A23" s="1745" t="s">
        <v>1962</v>
      </c>
      <c r="B23" s="791">
        <f t="shared" ref="B23:V23" si="6">+B21-B22</f>
        <v>33.37653444</v>
      </c>
      <c r="C23" s="792">
        <f t="shared" si="6"/>
        <v>38.284802460000002</v>
      </c>
      <c r="D23" s="792">
        <f t="shared" si="6"/>
        <v>32.291455790000001</v>
      </c>
      <c r="E23" s="792">
        <f t="shared" si="6"/>
        <v>32.416135570000002</v>
      </c>
      <c r="F23" s="792">
        <f t="shared" si="6"/>
        <v>30.75529573</v>
      </c>
      <c r="G23" s="792">
        <f t="shared" si="6"/>
        <v>26.785114499999999</v>
      </c>
      <c r="H23" s="792">
        <f t="shared" si="6"/>
        <v>40.257966070000002</v>
      </c>
      <c r="I23" s="792">
        <f t="shared" si="6"/>
        <v>25.524618320000002</v>
      </c>
      <c r="J23" s="792">
        <f t="shared" si="6"/>
        <v>23.73547151</v>
      </c>
      <c r="K23" s="792">
        <f t="shared" si="6"/>
        <v>21.414086530000002</v>
      </c>
      <c r="L23" s="792">
        <f t="shared" si="6"/>
        <v>17.694070329999999</v>
      </c>
      <c r="M23" s="784">
        <f t="shared" si="6"/>
        <v>19.83737352</v>
      </c>
      <c r="N23" s="784">
        <f t="shared" si="6"/>
        <v>21.793904640000001</v>
      </c>
      <c r="O23" s="784">
        <f t="shared" si="6"/>
        <v>22.410281809999997</v>
      </c>
      <c r="P23" s="781">
        <f t="shared" si="6"/>
        <v>26.279781489999998</v>
      </c>
      <c r="Q23" s="781">
        <f t="shared" si="6"/>
        <v>26.861976800000001</v>
      </c>
      <c r="R23" s="781">
        <f t="shared" si="6"/>
        <v>26.35428954</v>
      </c>
      <c r="S23" s="781">
        <f t="shared" si="6"/>
        <v>32.927030090000002</v>
      </c>
      <c r="T23" s="781">
        <f t="shared" si="6"/>
        <v>28.194918090000002</v>
      </c>
      <c r="U23" s="781">
        <f t="shared" si="6"/>
        <v>30.789815230000006</v>
      </c>
      <c r="V23" s="781">
        <f t="shared" si="6"/>
        <v>31.364949560000003</v>
      </c>
      <c r="W23" s="781">
        <v>22.908887440000001</v>
      </c>
      <c r="X23" s="781">
        <v>23.740957510000001</v>
      </c>
      <c r="Y23" s="784">
        <v>8.9878955899999973</v>
      </c>
      <c r="Z23" s="781">
        <v>11.939778990000001</v>
      </c>
      <c r="AA23" s="784">
        <v>129.34739091</v>
      </c>
      <c r="AB23" s="784">
        <f>+AB21-AB22</f>
        <v>188.74675490000001</v>
      </c>
      <c r="AC23" s="784">
        <v>192.28770824000003</v>
      </c>
      <c r="AD23" s="784">
        <v>250.95672349999998</v>
      </c>
      <c r="AE23" s="784">
        <v>249.65866488999995</v>
      </c>
      <c r="AF23" s="784">
        <v>249.08291219999998</v>
      </c>
      <c r="AG23" s="784">
        <v>200.66108516999998</v>
      </c>
      <c r="AH23" s="784">
        <f>+AH21-AH22</f>
        <v>205.83267531000001</v>
      </c>
      <c r="AI23" s="784">
        <v>101.33070312999999</v>
      </c>
      <c r="AJ23" s="784">
        <f>+AJ21-AJ22</f>
        <v>352.64133537999999</v>
      </c>
      <c r="AK23" s="784">
        <f>+AK21-AK22</f>
        <v>324.96704239999997</v>
      </c>
      <c r="AL23" s="784">
        <v>325.25207098000004</v>
      </c>
      <c r="AM23" s="784">
        <f>+AM21-AM22</f>
        <v>299.63180826000001</v>
      </c>
      <c r="AN23" s="784">
        <f>+AN21-AN22</f>
        <v>318.51458757</v>
      </c>
      <c r="AO23" s="784">
        <f>+AO21-AO22</f>
        <v>317.69400105</v>
      </c>
      <c r="AP23" s="784">
        <f>+AP21-AP22</f>
        <v>315.28356422000002</v>
      </c>
      <c r="AQ23" s="784">
        <v>328.70186964999999</v>
      </c>
      <c r="AR23" s="784">
        <v>126.96210976</v>
      </c>
      <c r="AS23" s="784">
        <f>+AS21-AS22</f>
        <v>134.66275386000001</v>
      </c>
      <c r="AT23" s="784">
        <f>AT15-AT19</f>
        <v>131.1520878</v>
      </c>
      <c r="AU23" s="784">
        <v>126.58233214000003</v>
      </c>
      <c r="AV23" s="784">
        <v>141.05486810000002</v>
      </c>
      <c r="AW23" s="784">
        <v>168.44950276999998</v>
      </c>
      <c r="AX23" s="784">
        <v>181.07556269</v>
      </c>
      <c r="AY23" s="784">
        <v>193.71882672999999</v>
      </c>
      <c r="AZ23" s="784">
        <v>187.11279551000001</v>
      </c>
      <c r="BA23" s="784">
        <v>190.51751041</v>
      </c>
      <c r="BB23" s="784">
        <v>182.86686898000002</v>
      </c>
      <c r="BC23" s="784">
        <v>69.365331400000002</v>
      </c>
      <c r="BD23" s="784">
        <f>+BD21-BD22</f>
        <v>71.811968679999993</v>
      </c>
      <c r="BE23" s="784">
        <v>48.381844450000003</v>
      </c>
      <c r="BF23" s="784">
        <v>53.189001269999999</v>
      </c>
      <c r="BG23" s="784">
        <v>52.148185300000002</v>
      </c>
      <c r="BH23" s="827">
        <v>57.076196479999986</v>
      </c>
      <c r="BI23" s="816">
        <v>27.024076859999994</v>
      </c>
      <c r="BJ23" s="816">
        <v>26.835646109999992</v>
      </c>
      <c r="BK23" s="816">
        <v>20.194845179999998</v>
      </c>
      <c r="BL23" s="816">
        <v>41.454114329999996</v>
      </c>
      <c r="BM23" s="816">
        <v>38.256200280000002</v>
      </c>
      <c r="BN23" s="816">
        <v>34.108609259999994</v>
      </c>
      <c r="BO23" s="816">
        <v>32.80005379</v>
      </c>
      <c r="BP23" s="816">
        <v>40.51487327000001</v>
      </c>
      <c r="BQ23" s="816">
        <v>41.919242210000007</v>
      </c>
      <c r="BR23" s="816">
        <v>72.674882410000009</v>
      </c>
      <c r="BS23" s="816">
        <v>77.663452250000006</v>
      </c>
      <c r="BT23" s="816">
        <v>76.840756260000006</v>
      </c>
      <c r="BU23" s="816">
        <v>80.499040890000003</v>
      </c>
      <c r="BV23" s="816">
        <v>78.535874460000002</v>
      </c>
      <c r="BW23" s="816">
        <v>81.206370919999983</v>
      </c>
      <c r="BX23" s="816">
        <v>80.624867590000008</v>
      </c>
      <c r="BY23" s="816">
        <v>82.749231499999993</v>
      </c>
      <c r="BZ23" s="816">
        <v>87.296832229999978</v>
      </c>
      <c r="CA23" s="816">
        <v>86.550527779999996</v>
      </c>
      <c r="CB23" s="816">
        <v>91.72967632000001</v>
      </c>
      <c r="CC23" s="816">
        <v>97.613311149999987</v>
      </c>
      <c r="CD23" s="816">
        <v>103.28368470999999</v>
      </c>
      <c r="CE23" s="816">
        <f t="shared" ref="CE23:CP23" si="7">+CE21-CE22</f>
        <v>105.41648290000001</v>
      </c>
      <c r="CF23" s="816">
        <f t="shared" si="7"/>
        <v>124.69953118999999</v>
      </c>
      <c r="CG23" s="816">
        <f t="shared" si="7"/>
        <v>125.14757453</v>
      </c>
      <c r="CH23" s="816">
        <f t="shared" si="7"/>
        <v>124.09281759999999</v>
      </c>
      <c r="CI23" s="816">
        <f t="shared" si="7"/>
        <v>114.38321648000002</v>
      </c>
      <c r="CJ23" s="816">
        <f t="shared" si="7"/>
        <v>97.390995870000012</v>
      </c>
      <c r="CK23" s="816">
        <f t="shared" si="7"/>
        <v>103.73036064</v>
      </c>
      <c r="CL23" s="816">
        <f t="shared" si="7"/>
        <v>66.406850140000003</v>
      </c>
      <c r="CM23" s="816">
        <f t="shared" si="7"/>
        <v>59.213336000000005</v>
      </c>
      <c r="CN23" s="816">
        <f t="shared" si="7"/>
        <v>57.83552091</v>
      </c>
      <c r="CO23" s="816">
        <f t="shared" si="7"/>
        <v>54.851317640000005</v>
      </c>
      <c r="CP23" s="816">
        <f t="shared" si="7"/>
        <v>52.559790890000002</v>
      </c>
      <c r="CQ23" s="816">
        <f>+CQ21-CQ22</f>
        <v>56.873876940000002</v>
      </c>
      <c r="CR23" s="816">
        <f>+CR21-CR22</f>
        <v>56.714876410000002</v>
      </c>
      <c r="CS23" s="816">
        <f>+CS21-CS22</f>
        <v>66.871358520000001</v>
      </c>
      <c r="CT23" s="816">
        <v>52.733948339999998</v>
      </c>
      <c r="CU23" s="816">
        <f>+CU21-CU22</f>
        <v>57.77523248</v>
      </c>
      <c r="CV23" s="816">
        <v>65.017339939999999</v>
      </c>
      <c r="CW23" s="816">
        <v>54.962592979999997</v>
      </c>
      <c r="CX23" s="816">
        <v>56.952730180000003</v>
      </c>
      <c r="CY23" s="816">
        <v>60.306160380000001</v>
      </c>
      <c r="CZ23" s="816">
        <v>68.957704129999996</v>
      </c>
      <c r="DA23" s="816">
        <v>86.369496580000003</v>
      </c>
      <c r="DB23" s="816">
        <v>76.966174559999999</v>
      </c>
      <c r="DC23" s="816">
        <f>+DC21-DC22</f>
        <v>82.672212459999997</v>
      </c>
      <c r="DD23" s="816">
        <v>91.63544958</v>
      </c>
      <c r="DE23" s="816">
        <v>88.014648879999996</v>
      </c>
      <c r="DF23" s="816">
        <v>85.460829070000003</v>
      </c>
      <c r="DG23" s="816">
        <f>+DG21-DG22</f>
        <v>106.74124431</v>
      </c>
      <c r="DH23" s="816">
        <v>112.19267263</v>
      </c>
      <c r="DI23" s="816">
        <f>+DI21-DI22</f>
        <v>115.13093489000001</v>
      </c>
      <c r="DJ23" s="816">
        <v>116.33238227</v>
      </c>
      <c r="DK23" s="816">
        <v>157.85827094999999</v>
      </c>
      <c r="DL23" s="816">
        <v>157.51458980000001</v>
      </c>
      <c r="DM23" s="816">
        <v>147.12645871999999</v>
      </c>
      <c r="DN23" s="816">
        <f>+DN21-DN22</f>
        <v>149.52955768000001</v>
      </c>
      <c r="DO23" s="816">
        <f>+DO21-DO22</f>
        <v>116.02097089999999</v>
      </c>
      <c r="DP23" s="816">
        <f>+DP21-DP22</f>
        <v>92.634123750000001</v>
      </c>
      <c r="DQ23" s="816">
        <f>+DQ21-DQ22</f>
        <v>72.727545910000003</v>
      </c>
      <c r="DR23" s="816">
        <v>70.275594290000001</v>
      </c>
      <c r="DS23" s="816">
        <v>51.223608859999999</v>
      </c>
      <c r="DT23" s="816">
        <v>55.086829389999998</v>
      </c>
      <c r="DU23" s="816">
        <f>+DU21-DU22</f>
        <v>51.365460779999999</v>
      </c>
      <c r="DV23" s="816">
        <f>+DV21-DV22</f>
        <v>30.625007109999999</v>
      </c>
      <c r="DW23" s="816">
        <v>45.003559000000003</v>
      </c>
      <c r="DX23" s="816">
        <v>44.158425520000002</v>
      </c>
      <c r="DY23" s="816">
        <v>43.863819820000003</v>
      </c>
      <c r="DZ23" s="816">
        <f>+DZ21-DZ22</f>
        <v>40.525794099999999</v>
      </c>
      <c r="EA23" s="816">
        <v>36.994845300000001</v>
      </c>
      <c r="EB23" s="816">
        <v>35.80398907</v>
      </c>
      <c r="EC23" s="816">
        <v>33.60448547</v>
      </c>
      <c r="ED23" s="816">
        <v>37.05325998</v>
      </c>
      <c r="EE23" s="816">
        <v>34.280295700000003</v>
      </c>
      <c r="EF23" s="816">
        <v>38.990028389999999</v>
      </c>
      <c r="EG23" s="816">
        <v>35.816342239999997</v>
      </c>
      <c r="EH23" s="816">
        <v>35.264698459999998</v>
      </c>
      <c r="EI23" s="816">
        <v>44.532926660000001</v>
      </c>
      <c r="EJ23" s="816">
        <f>+EJ21-EJ22</f>
        <v>42.430820429999997</v>
      </c>
      <c r="EK23" s="816">
        <v>38.850251180000001</v>
      </c>
      <c r="EL23" s="816">
        <v>37.748716590000001</v>
      </c>
      <c r="EM23" s="816">
        <v>35.162125680000003</v>
      </c>
      <c r="EN23" s="816">
        <f>+EN21-EN22</f>
        <v>28.73743966</v>
      </c>
      <c r="EO23" s="816">
        <v>17.920921329999999</v>
      </c>
      <c r="EP23" s="816">
        <v>14.35958145</v>
      </c>
      <c r="EQ23" s="816">
        <v>12.18176646</v>
      </c>
      <c r="ER23" s="816">
        <v>12.341596109999999</v>
      </c>
      <c r="ES23" s="816">
        <v>9.7602536299999993</v>
      </c>
      <c r="ET23" s="816">
        <v>10.63016174</v>
      </c>
      <c r="EU23" s="816">
        <f>+EU21-EU22</f>
        <v>12.919014199999999</v>
      </c>
      <c r="EV23" s="816">
        <v>16.59871519</v>
      </c>
      <c r="EW23" s="816">
        <f>+EW21-EW22</f>
        <v>25.182130180000001</v>
      </c>
      <c r="EX23" s="816">
        <f>+EX21-EX22</f>
        <v>27.430497500000001</v>
      </c>
      <c r="EY23" s="816">
        <v>26.155584640000001</v>
      </c>
      <c r="EZ23" s="816">
        <v>26.745971860000001</v>
      </c>
      <c r="FA23" s="816">
        <v>21.904613550000001</v>
      </c>
      <c r="FB23" s="816">
        <v>21.86818152</v>
      </c>
      <c r="FC23" s="816">
        <v>31.3520866</v>
      </c>
      <c r="FD23" s="816">
        <v>45.149424240000002</v>
      </c>
      <c r="FE23" s="816">
        <v>40.001614689999997</v>
      </c>
      <c r="FF23" s="816">
        <f>+FF21-FF22</f>
        <v>43.418749920000003</v>
      </c>
      <c r="FG23" s="816">
        <f>+FG21-FG22</f>
        <v>46.729093310000003</v>
      </c>
      <c r="FH23" s="1716" t="s">
        <v>4066</v>
      </c>
      <c r="FI23" s="319"/>
      <c r="FJ23" s="319"/>
      <c r="FK23" s="319"/>
      <c r="FL23" s="319"/>
      <c r="FM23" s="321"/>
      <c r="FN23" s="319"/>
      <c r="FO23" s="319"/>
      <c r="FP23" s="319"/>
      <c r="FQ23" s="319"/>
      <c r="FR23" s="319"/>
      <c r="FS23" s="319"/>
      <c r="FT23" s="319"/>
      <c r="FU23" s="319"/>
      <c r="FV23" s="319"/>
      <c r="FW23" s="319"/>
      <c r="FX23" s="319"/>
      <c r="FY23" s="319"/>
      <c r="FZ23" s="319"/>
      <c r="GA23" s="319"/>
      <c r="GB23" s="319"/>
      <c r="GC23" s="319"/>
      <c r="GD23" s="319"/>
      <c r="GE23" s="319"/>
      <c r="GF23" s="319"/>
      <c r="GG23" s="319"/>
      <c r="GH23" s="319"/>
      <c r="GI23" s="319"/>
      <c r="GJ23" s="319"/>
      <c r="GK23" s="319"/>
      <c r="GL23" s="319"/>
      <c r="GM23" s="319"/>
      <c r="GN23" s="319"/>
      <c r="GO23" s="319"/>
      <c r="GP23" s="319"/>
      <c r="GQ23" s="319"/>
      <c r="GR23" s="319"/>
      <c r="GS23" s="319"/>
      <c r="GT23" s="319"/>
      <c r="GU23" s="319"/>
      <c r="GV23" s="319"/>
      <c r="GW23" s="319"/>
      <c r="GX23" s="319"/>
      <c r="GY23" s="319"/>
      <c r="GZ23" s="319"/>
      <c r="HA23" s="319"/>
      <c r="HB23" s="319"/>
      <c r="HC23" s="319"/>
      <c r="HD23" s="319"/>
      <c r="HE23" s="319"/>
      <c r="HF23" s="319"/>
      <c r="HG23" s="319"/>
      <c r="HH23" s="319"/>
      <c r="HI23" s="319"/>
      <c r="HJ23" s="319"/>
      <c r="HK23" s="319"/>
      <c r="HL23" s="319"/>
      <c r="HM23" s="319"/>
      <c r="HN23" s="319"/>
      <c r="HO23" s="319"/>
      <c r="HP23" s="319"/>
      <c r="HQ23" s="319"/>
      <c r="HR23" s="319"/>
      <c r="HS23" s="319"/>
      <c r="HT23" s="319"/>
      <c r="HU23" s="319"/>
      <c r="HV23" s="319"/>
      <c r="HW23" s="319"/>
      <c r="HX23" s="319"/>
      <c r="HY23" s="319"/>
      <c r="HZ23" s="319"/>
      <c r="IA23" s="319"/>
      <c r="IB23" s="319"/>
      <c r="IC23" s="319"/>
      <c r="ID23" s="319"/>
      <c r="IE23" s="319"/>
      <c r="IF23" s="319"/>
      <c r="IG23" s="319"/>
      <c r="IH23" s="319"/>
      <c r="II23" s="319"/>
      <c r="IJ23" s="319"/>
      <c r="IK23" s="319"/>
      <c r="IL23" s="319"/>
      <c r="IM23" s="319"/>
      <c r="IN23" s="319"/>
      <c r="IO23" s="319"/>
      <c r="IP23" s="319"/>
      <c r="IQ23" s="319"/>
      <c r="IR23" s="319"/>
      <c r="IS23" s="319"/>
      <c r="IT23" s="319"/>
      <c r="IU23" s="319"/>
      <c r="IV23" s="319"/>
      <c r="IW23" s="319"/>
      <c r="IX23" s="319"/>
      <c r="IY23" s="319"/>
      <c r="IZ23" s="319"/>
      <c r="JA23" s="319"/>
      <c r="JB23" s="319"/>
      <c r="JC23" s="319"/>
      <c r="JD23" s="319"/>
      <c r="JE23" s="319"/>
      <c r="JF23" s="319"/>
      <c r="JG23" s="319"/>
      <c r="JH23" s="319"/>
      <c r="JI23" s="319"/>
      <c r="JJ23" s="319"/>
      <c r="JK23" s="319"/>
      <c r="JL23" s="319"/>
      <c r="JM23" s="319"/>
      <c r="JN23" s="319"/>
      <c r="JO23" s="319"/>
      <c r="JP23" s="319"/>
      <c r="JQ23" s="319"/>
      <c r="JR23" s="319"/>
      <c r="JS23" s="319"/>
      <c r="JT23" s="319"/>
      <c r="JU23" s="319"/>
      <c r="JV23" s="319"/>
      <c r="JW23" s="319"/>
      <c r="JX23" s="319"/>
      <c r="JY23" s="319"/>
      <c r="JZ23" s="319"/>
      <c r="KA23" s="319"/>
      <c r="KB23" s="319"/>
      <c r="KC23" s="319"/>
      <c r="KD23" s="319"/>
      <c r="KE23" s="319"/>
      <c r="KF23" s="319"/>
      <c r="KG23" s="319"/>
      <c r="KH23" s="319"/>
      <c r="KI23" s="319"/>
      <c r="KJ23" s="319"/>
      <c r="KK23" s="319"/>
      <c r="KL23" s="319"/>
      <c r="KM23" s="319"/>
      <c r="KN23" s="319"/>
      <c r="KO23" s="319"/>
      <c r="KP23" s="319"/>
    </row>
    <row r="24" spans="1:302" ht="21">
      <c r="A24" s="1721"/>
      <c r="B24" s="792"/>
      <c r="C24" s="792"/>
      <c r="D24" s="792"/>
      <c r="E24" s="792"/>
      <c r="F24" s="792"/>
      <c r="G24" s="792"/>
      <c r="H24" s="792"/>
      <c r="I24" s="792"/>
      <c r="J24" s="792"/>
      <c r="K24" s="792"/>
      <c r="L24" s="792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84"/>
      <c r="AF24" s="784"/>
      <c r="AG24" s="784"/>
      <c r="AH24" s="784"/>
      <c r="AI24" s="784"/>
      <c r="AJ24" s="784"/>
      <c r="AK24" s="784"/>
      <c r="AL24" s="784"/>
      <c r="AM24" s="784"/>
      <c r="AN24" s="784"/>
      <c r="AO24" s="784"/>
      <c r="AP24" s="784"/>
      <c r="AQ24" s="784"/>
      <c r="AR24" s="784"/>
      <c r="AS24" s="784"/>
      <c r="AT24" s="784"/>
      <c r="AU24" s="784"/>
      <c r="AV24" s="784"/>
      <c r="AW24" s="784"/>
      <c r="AX24" s="784"/>
      <c r="AY24" s="784"/>
      <c r="AZ24" s="784"/>
      <c r="BA24" s="784"/>
      <c r="BB24" s="784"/>
      <c r="BC24" s="784"/>
      <c r="BD24" s="784"/>
      <c r="BE24" s="784"/>
      <c r="BF24" s="784"/>
      <c r="BG24" s="784"/>
      <c r="BH24" s="827"/>
      <c r="BI24" s="816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/>
      <c r="CI24" s="816"/>
      <c r="CJ24" s="816"/>
      <c r="CK24" s="816"/>
      <c r="CL24" s="816"/>
      <c r="CM24" s="816"/>
      <c r="CN24" s="816"/>
      <c r="CO24" s="816"/>
      <c r="CP24" s="816"/>
      <c r="CQ24" s="816"/>
      <c r="CR24" s="816"/>
      <c r="CS24" s="816"/>
      <c r="CT24" s="816"/>
      <c r="CU24" s="816"/>
      <c r="CV24" s="816"/>
      <c r="CW24" s="816"/>
      <c r="CX24" s="816"/>
      <c r="CY24" s="816"/>
      <c r="CZ24" s="816"/>
      <c r="DA24" s="816"/>
      <c r="DB24" s="816"/>
      <c r="DC24" s="816"/>
      <c r="DD24" s="816"/>
      <c r="DE24" s="816"/>
      <c r="DF24" s="816"/>
      <c r="DG24" s="816"/>
      <c r="DH24" s="816"/>
      <c r="DI24" s="816"/>
      <c r="DJ24" s="816"/>
      <c r="DK24" s="816"/>
      <c r="DL24" s="816"/>
      <c r="DM24" s="816"/>
      <c r="DN24" s="816"/>
      <c r="DO24" s="816"/>
      <c r="DP24" s="816"/>
      <c r="DQ24" s="816"/>
      <c r="DR24" s="816"/>
      <c r="DS24" s="816"/>
      <c r="DT24" s="816"/>
      <c r="DU24" s="816"/>
      <c r="DV24" s="816"/>
      <c r="DW24" s="816"/>
      <c r="DX24" s="816"/>
      <c r="DY24" s="816"/>
      <c r="DZ24" s="816"/>
      <c r="EA24" s="816"/>
      <c r="EB24" s="816"/>
      <c r="EC24" s="816"/>
      <c r="ED24" s="816"/>
      <c r="EE24" s="816"/>
      <c r="EF24" s="816"/>
      <c r="EG24" s="816"/>
      <c r="EH24" s="816"/>
      <c r="EI24" s="816"/>
      <c r="EJ24" s="816"/>
      <c r="EK24" s="816"/>
      <c r="EL24" s="816"/>
      <c r="EM24" s="816"/>
      <c r="EN24" s="816"/>
      <c r="EO24" s="816"/>
      <c r="EP24" s="816"/>
      <c r="EQ24" s="816"/>
      <c r="ER24" s="816"/>
      <c r="ES24" s="816"/>
      <c r="ET24" s="816"/>
      <c r="EU24" s="816"/>
      <c r="EV24" s="816"/>
      <c r="EW24" s="816"/>
      <c r="EX24" s="816"/>
      <c r="EY24" s="816"/>
      <c r="EZ24" s="816"/>
      <c r="FA24" s="816"/>
      <c r="FB24" s="816"/>
      <c r="FC24" s="816"/>
      <c r="FD24" s="816"/>
      <c r="FE24" s="816"/>
      <c r="FF24" s="816"/>
      <c r="FG24" s="816"/>
      <c r="FH24" s="1711"/>
      <c r="FI24" s="319"/>
      <c r="FJ24" s="319"/>
      <c r="FK24" s="319"/>
      <c r="FL24" s="319"/>
      <c r="FM24" s="321"/>
      <c r="FN24" s="319"/>
      <c r="FO24" s="319"/>
      <c r="FP24" s="319"/>
      <c r="FQ24" s="319"/>
      <c r="FR24" s="319"/>
      <c r="FS24" s="319"/>
      <c r="FT24" s="319"/>
      <c r="FU24" s="319"/>
      <c r="FV24" s="319"/>
      <c r="FW24" s="319"/>
      <c r="FX24" s="319"/>
      <c r="FY24" s="319"/>
      <c r="FZ24" s="319"/>
      <c r="GA24" s="319"/>
      <c r="GB24" s="319"/>
      <c r="GC24" s="319"/>
      <c r="GD24" s="319"/>
      <c r="GE24" s="319"/>
      <c r="GF24" s="319"/>
      <c r="GG24" s="319"/>
      <c r="GH24" s="319"/>
      <c r="GI24" s="319"/>
      <c r="GJ24" s="319"/>
      <c r="GK24" s="319"/>
      <c r="GL24" s="319"/>
      <c r="GM24" s="319"/>
      <c r="GN24" s="319"/>
      <c r="GO24" s="319"/>
      <c r="GP24" s="319"/>
      <c r="GQ24" s="319"/>
      <c r="GR24" s="319"/>
      <c r="GS24" s="319"/>
      <c r="GT24" s="319"/>
      <c r="GU24" s="319"/>
      <c r="GV24" s="319"/>
      <c r="GW24" s="319"/>
      <c r="GX24" s="319"/>
      <c r="GY24" s="319"/>
      <c r="GZ24" s="319"/>
      <c r="HA24" s="319"/>
      <c r="HB24" s="319"/>
      <c r="HC24" s="319"/>
      <c r="HD24" s="319"/>
      <c r="HE24" s="319"/>
      <c r="HF24" s="319"/>
      <c r="HG24" s="319"/>
      <c r="HH24" s="319"/>
      <c r="HI24" s="319"/>
      <c r="HJ24" s="319"/>
      <c r="HK24" s="319"/>
      <c r="HL24" s="319"/>
      <c r="HM24" s="319"/>
      <c r="HN24" s="319"/>
      <c r="HO24" s="319"/>
      <c r="HP24" s="319"/>
      <c r="HQ24" s="319"/>
      <c r="HR24" s="319"/>
      <c r="HS24" s="319"/>
      <c r="HT24" s="319"/>
      <c r="HU24" s="319"/>
      <c r="HV24" s="319"/>
      <c r="HW24" s="319"/>
      <c r="HX24" s="319"/>
      <c r="HY24" s="319"/>
      <c r="HZ24" s="319"/>
      <c r="IA24" s="319"/>
      <c r="IB24" s="319"/>
      <c r="IC24" s="319"/>
      <c r="ID24" s="319"/>
      <c r="IE24" s="319"/>
      <c r="IF24" s="319"/>
      <c r="IG24" s="319"/>
      <c r="IH24" s="319"/>
      <c r="II24" s="319"/>
      <c r="IJ24" s="319"/>
      <c r="IK24" s="319"/>
      <c r="IL24" s="319"/>
      <c r="IM24" s="319"/>
      <c r="IN24" s="319"/>
      <c r="IO24" s="319"/>
      <c r="IP24" s="319"/>
      <c r="IQ24" s="319"/>
      <c r="IR24" s="319"/>
      <c r="IS24" s="319"/>
      <c r="IT24" s="319"/>
      <c r="IU24" s="319"/>
      <c r="IV24" s="319"/>
      <c r="IW24" s="319"/>
      <c r="IX24" s="319"/>
      <c r="IY24" s="319"/>
      <c r="IZ24" s="319"/>
      <c r="JA24" s="319"/>
      <c r="JB24" s="319"/>
      <c r="JC24" s="319"/>
      <c r="JD24" s="319"/>
      <c r="JE24" s="319"/>
      <c r="JF24" s="319"/>
      <c r="JG24" s="319"/>
      <c r="JH24" s="319"/>
      <c r="JI24" s="319"/>
      <c r="JJ24" s="319"/>
      <c r="JK24" s="319"/>
      <c r="JL24" s="319"/>
      <c r="JM24" s="319"/>
      <c r="JN24" s="319"/>
      <c r="JO24" s="319"/>
      <c r="JP24" s="319"/>
      <c r="JQ24" s="319"/>
      <c r="JR24" s="319"/>
      <c r="JS24" s="319"/>
      <c r="JT24" s="319"/>
      <c r="JU24" s="319"/>
      <c r="JV24" s="319"/>
      <c r="JW24" s="319"/>
      <c r="JX24" s="319"/>
      <c r="JY24" s="319"/>
      <c r="JZ24" s="319"/>
      <c r="KA24" s="319"/>
      <c r="KB24" s="319"/>
      <c r="KC24" s="319"/>
      <c r="KD24" s="319"/>
      <c r="KE24" s="319"/>
      <c r="KF24" s="319"/>
      <c r="KG24" s="319"/>
      <c r="KH24" s="319"/>
      <c r="KI24" s="319"/>
      <c r="KJ24" s="319"/>
      <c r="KK24" s="319"/>
      <c r="KL24" s="319"/>
      <c r="KM24" s="319"/>
      <c r="KN24" s="319"/>
      <c r="KO24" s="319"/>
      <c r="KP24" s="319"/>
    </row>
    <row r="25" spans="1:302" ht="21">
      <c r="A25" s="1722" t="s">
        <v>2743</v>
      </c>
      <c r="B25" s="791">
        <v>907.38260177999996</v>
      </c>
      <c r="C25" s="792">
        <v>1216.3269459599999</v>
      </c>
      <c r="D25" s="792">
        <v>1290.172309</v>
      </c>
      <c r="E25" s="792">
        <v>1488.0265801500002</v>
      </c>
      <c r="F25" s="792">
        <v>1583.1148315700002</v>
      </c>
      <c r="G25" s="792">
        <v>1634.6194345700001</v>
      </c>
      <c r="H25" s="792">
        <v>1703.1266170200001</v>
      </c>
      <c r="I25" s="792">
        <v>1758.6335877900001</v>
      </c>
      <c r="J25" s="792">
        <v>1803.01118447</v>
      </c>
      <c r="K25" s="792">
        <v>1831.8652481899999</v>
      </c>
      <c r="L25" s="792">
        <v>1876.3229773</v>
      </c>
      <c r="M25" s="781">
        <v>1893.0533547099999</v>
      </c>
      <c r="N25" s="784">
        <v>1525.5075528</v>
      </c>
      <c r="O25" s="784">
        <v>1565.1347453199999</v>
      </c>
      <c r="P25" s="781">
        <v>1592.8216937200002</v>
      </c>
      <c r="Q25" s="781">
        <v>1624.4021067600002</v>
      </c>
      <c r="R25" s="781">
        <v>1694.48702862</v>
      </c>
      <c r="S25" s="781">
        <v>1752.4282320599998</v>
      </c>
      <c r="T25" s="781">
        <v>1802.5301847799999</v>
      </c>
      <c r="U25" s="781">
        <v>1851.2305950799998</v>
      </c>
      <c r="V25" s="781">
        <v>1878.1346363900002</v>
      </c>
      <c r="W25" s="781">
        <v>1903.82943017</v>
      </c>
      <c r="X25" s="781">
        <v>1957.5110684700001</v>
      </c>
      <c r="Y25" s="781">
        <v>1951.5916448400003</v>
      </c>
      <c r="Z25" s="781">
        <v>1953.8260139900001</v>
      </c>
      <c r="AA25" s="784">
        <v>1516.6256409499999</v>
      </c>
      <c r="AB25" s="781">
        <v>1470.5935772600001</v>
      </c>
      <c r="AC25" s="781">
        <v>1443.7248342299999</v>
      </c>
      <c r="AD25" s="781">
        <v>1456.0297844899999</v>
      </c>
      <c r="AE25" s="781">
        <v>1447.9805996099999</v>
      </c>
      <c r="AF25" s="781">
        <v>1465.9663845</v>
      </c>
      <c r="AG25" s="781">
        <v>1454.7307928799999</v>
      </c>
      <c r="AH25" s="781">
        <v>1437.1026184300003</v>
      </c>
      <c r="AI25" s="781">
        <v>1443.3831003600001</v>
      </c>
      <c r="AJ25" s="781">
        <v>1473.3754530799999</v>
      </c>
      <c r="AK25" s="781">
        <v>1725.9187787899998</v>
      </c>
      <c r="AL25" s="781">
        <v>1764.0287047500001</v>
      </c>
      <c r="AM25" s="781">
        <v>1795.5291791100001</v>
      </c>
      <c r="AN25" s="781">
        <v>1789.3266238600002</v>
      </c>
      <c r="AO25" s="781">
        <v>1652.2679346099999</v>
      </c>
      <c r="AP25" s="781">
        <v>1610.8042300500001</v>
      </c>
      <c r="AQ25" s="781">
        <v>1418.4797518</v>
      </c>
      <c r="AR25" s="781">
        <v>1034.21720858</v>
      </c>
      <c r="AS25" s="781">
        <v>1040.8736804800001</v>
      </c>
      <c r="AT25" s="781">
        <f>AT9-AT13</f>
        <v>978.44550304999984</v>
      </c>
      <c r="AU25" s="781">
        <v>866.25717680999992</v>
      </c>
      <c r="AV25" s="781">
        <v>870.50071308000008</v>
      </c>
      <c r="AW25" s="781">
        <v>845.39033604000008</v>
      </c>
      <c r="AX25" s="781">
        <v>851.52832847000013</v>
      </c>
      <c r="AY25" s="781">
        <v>836.03204660999995</v>
      </c>
      <c r="AZ25" s="781">
        <v>825.75265525999998</v>
      </c>
      <c r="BA25" s="781">
        <v>821.01283520000004</v>
      </c>
      <c r="BB25" s="781">
        <v>789.08665296000004</v>
      </c>
      <c r="BC25" s="781">
        <v>720.25918967000007</v>
      </c>
      <c r="BD25" s="781">
        <v>449.90275262</v>
      </c>
      <c r="BE25" s="781">
        <v>419.15527811999999</v>
      </c>
      <c r="BF25" s="781">
        <v>424.99207997999997</v>
      </c>
      <c r="BG25" s="781">
        <v>429.15814401</v>
      </c>
      <c r="BH25" s="826">
        <v>421.66999498999996</v>
      </c>
      <c r="BI25" s="815">
        <v>461.38996000000009</v>
      </c>
      <c r="BJ25" s="815">
        <v>460.44617189999997</v>
      </c>
      <c r="BK25" s="815">
        <v>461.38423437</v>
      </c>
      <c r="BL25" s="815">
        <v>451.32228979999996</v>
      </c>
      <c r="BM25" s="815">
        <v>431.21762754999997</v>
      </c>
      <c r="BN25" s="815">
        <v>424.65756445</v>
      </c>
      <c r="BO25" s="815">
        <v>427.46377598999993</v>
      </c>
      <c r="BP25" s="815">
        <v>416.60877066</v>
      </c>
      <c r="BQ25" s="815">
        <v>412.18768779999994</v>
      </c>
      <c r="BR25" s="815">
        <v>269.57212821999997</v>
      </c>
      <c r="BS25" s="815">
        <v>256.17142883999998</v>
      </c>
      <c r="BT25" s="815">
        <v>260.04257878999999</v>
      </c>
      <c r="BU25" s="815">
        <v>209.96345624999998</v>
      </c>
      <c r="BV25" s="815">
        <v>183.11798540000001</v>
      </c>
      <c r="BW25" s="815">
        <v>184.32484588</v>
      </c>
      <c r="BX25" s="815">
        <v>186.38414638</v>
      </c>
      <c r="BY25" s="815">
        <v>186.08729743000001</v>
      </c>
      <c r="BZ25" s="815">
        <v>196.25525478000003</v>
      </c>
      <c r="CA25" s="815">
        <v>200.68088478999999</v>
      </c>
      <c r="CB25" s="815">
        <v>169.38575711000004</v>
      </c>
      <c r="CC25" s="815">
        <v>180.77721107999997</v>
      </c>
      <c r="CD25" s="815">
        <v>182.72046218999998</v>
      </c>
      <c r="CE25" s="815">
        <v>185.15802388999998</v>
      </c>
      <c r="CF25" s="815">
        <v>202.34887738999998</v>
      </c>
      <c r="CG25" s="815">
        <v>249.55792810999998</v>
      </c>
      <c r="CH25" s="815">
        <v>246.10071568999999</v>
      </c>
      <c r="CI25" s="815">
        <v>240.90891178999999</v>
      </c>
      <c r="CJ25" s="815">
        <v>254.27188792999999</v>
      </c>
      <c r="CK25" s="815">
        <v>251.38438622000001</v>
      </c>
      <c r="CL25" s="815">
        <v>258.33791471000001</v>
      </c>
      <c r="CM25" s="815">
        <v>256.83678271000002</v>
      </c>
      <c r="CN25" s="815">
        <v>261.37917258000004</v>
      </c>
      <c r="CO25" s="815">
        <v>260.66349876000004</v>
      </c>
      <c r="CP25" s="815">
        <v>261.39205229999999</v>
      </c>
      <c r="CQ25" s="815">
        <v>260.73676184999999</v>
      </c>
      <c r="CR25" s="815">
        <v>277.72331154999995</v>
      </c>
      <c r="CS25" s="815">
        <v>289.69171109000001</v>
      </c>
      <c r="CT25" s="815">
        <v>321.24326488000003</v>
      </c>
      <c r="CU25" s="815">
        <v>325.86797238999998</v>
      </c>
      <c r="CV25" s="815">
        <v>299.76336240000001</v>
      </c>
      <c r="CW25" s="815">
        <v>311.14996143000002</v>
      </c>
      <c r="CX25" s="815">
        <v>331.50012921000001</v>
      </c>
      <c r="CY25" s="815">
        <v>324.43997012</v>
      </c>
      <c r="CZ25" s="815">
        <v>324.87902645000003</v>
      </c>
      <c r="DA25" s="815">
        <v>336.13482123</v>
      </c>
      <c r="DB25" s="815">
        <v>362.84233899999998</v>
      </c>
      <c r="DC25" s="815">
        <v>376.00501503999999</v>
      </c>
      <c r="DD25" s="815">
        <v>376.2366753</v>
      </c>
      <c r="DE25" s="815">
        <v>387.60424969000002</v>
      </c>
      <c r="DF25" s="815">
        <v>391.88594799999998</v>
      </c>
      <c r="DG25" s="815">
        <v>402.65581830999997</v>
      </c>
      <c r="DH25" s="815">
        <v>416.20956036000001</v>
      </c>
      <c r="DI25" s="815">
        <v>462.22402772999999</v>
      </c>
      <c r="DJ25" s="815">
        <v>464.63953142999998</v>
      </c>
      <c r="DK25" s="815">
        <v>469.92300820000003</v>
      </c>
      <c r="DL25" s="815">
        <v>486.51971288999999</v>
      </c>
      <c r="DM25" s="815">
        <v>492.42640095000002</v>
      </c>
      <c r="DN25" s="815">
        <v>499.17307543999999</v>
      </c>
      <c r="DO25" s="815">
        <v>489.94748332</v>
      </c>
      <c r="DP25" s="815">
        <v>491.90895562999998</v>
      </c>
      <c r="DQ25" s="815">
        <v>545.72776687999999</v>
      </c>
      <c r="DR25" s="815">
        <v>583.92619491999994</v>
      </c>
      <c r="DS25" s="815">
        <v>550.82532613000001</v>
      </c>
      <c r="DT25" s="815">
        <v>528.36057059999996</v>
      </c>
      <c r="DU25" s="815">
        <v>534.93495135000001</v>
      </c>
      <c r="DV25" s="815">
        <v>582.35950256000001</v>
      </c>
      <c r="DW25" s="815">
        <v>604.36518455999999</v>
      </c>
      <c r="DX25" s="815">
        <v>615.39875235</v>
      </c>
      <c r="DY25" s="815">
        <v>606.99759974000006</v>
      </c>
      <c r="DZ25" s="815">
        <v>630.88927587000001</v>
      </c>
      <c r="EA25" s="815">
        <v>634.34255510000003</v>
      </c>
      <c r="EB25" s="815">
        <v>660.61255113000004</v>
      </c>
      <c r="EC25" s="815">
        <v>681.77892059999999</v>
      </c>
      <c r="ED25" s="815">
        <v>679.73320579999995</v>
      </c>
      <c r="EE25" s="815">
        <v>667.09703728</v>
      </c>
      <c r="EF25" s="815">
        <v>648.36087521000002</v>
      </c>
      <c r="EG25" s="815">
        <v>665.27455020000002</v>
      </c>
      <c r="EH25" s="815">
        <v>664.38566716000003</v>
      </c>
      <c r="EI25" s="815">
        <v>670.95558003999997</v>
      </c>
      <c r="EJ25" s="815">
        <v>664.86612778999995</v>
      </c>
      <c r="EK25" s="815">
        <v>696.05115897999997</v>
      </c>
      <c r="EL25" s="815">
        <v>693.46459132999996</v>
      </c>
      <c r="EM25" s="815">
        <v>819.63522377000004</v>
      </c>
      <c r="EN25" s="815">
        <v>853.58742278</v>
      </c>
      <c r="EO25" s="815">
        <v>838.69392817000005</v>
      </c>
      <c r="EP25" s="815">
        <v>862.38467750999996</v>
      </c>
      <c r="EQ25" s="815">
        <v>863.98216451999997</v>
      </c>
      <c r="ER25" s="815">
        <v>879.14810940999996</v>
      </c>
      <c r="ES25" s="815">
        <v>871.70233688999997</v>
      </c>
      <c r="ET25" s="815">
        <v>900.6730288</v>
      </c>
      <c r="EU25" s="815">
        <v>905.00480144999995</v>
      </c>
      <c r="EV25" s="815">
        <v>910.71840283999995</v>
      </c>
      <c r="EW25" s="815">
        <v>944.26617381000005</v>
      </c>
      <c r="EX25" s="815">
        <v>965.43181996999999</v>
      </c>
      <c r="EY25" s="815">
        <v>980.57567289999997</v>
      </c>
      <c r="EZ25" s="815">
        <v>999.90181135</v>
      </c>
      <c r="FA25" s="815">
        <v>1024.4857791699999</v>
      </c>
      <c r="FB25" s="815">
        <v>1019.42119573</v>
      </c>
      <c r="FC25" s="815">
        <v>1008.41700829</v>
      </c>
      <c r="FD25" s="815">
        <v>1016.28810335</v>
      </c>
      <c r="FE25" s="815">
        <v>1015.3425528400001</v>
      </c>
      <c r="FF25" s="815">
        <v>1022.08993531</v>
      </c>
      <c r="FG25" s="815">
        <v>1607.92147565</v>
      </c>
      <c r="FH25" s="1710" t="s">
        <v>4065</v>
      </c>
      <c r="FI25" s="319"/>
      <c r="FJ25" s="319"/>
      <c r="FK25" s="319"/>
      <c r="FL25" s="319"/>
      <c r="FM25" s="321"/>
      <c r="FN25" s="319"/>
      <c r="FO25" s="319"/>
      <c r="FP25" s="319"/>
      <c r="FQ25" s="319"/>
      <c r="FR25" s="319"/>
      <c r="FS25" s="319"/>
      <c r="FT25" s="319"/>
      <c r="FU25" s="319"/>
      <c r="FV25" s="319"/>
      <c r="FW25" s="319"/>
      <c r="FX25" s="319"/>
      <c r="FY25" s="319"/>
      <c r="FZ25" s="319"/>
      <c r="GA25" s="319"/>
      <c r="GB25" s="319"/>
      <c r="GC25" s="319"/>
      <c r="GD25" s="319"/>
      <c r="GE25" s="319"/>
      <c r="GF25" s="319"/>
      <c r="GG25" s="319"/>
      <c r="GH25" s="319"/>
      <c r="GI25" s="319"/>
      <c r="GJ25" s="319"/>
      <c r="GK25" s="319"/>
      <c r="GL25" s="319"/>
      <c r="GM25" s="319"/>
      <c r="GN25" s="319"/>
      <c r="GO25" s="319"/>
      <c r="GP25" s="319"/>
      <c r="GQ25" s="319"/>
      <c r="GR25" s="319"/>
      <c r="GS25" s="319"/>
      <c r="GT25" s="319"/>
      <c r="GU25" s="319"/>
      <c r="GV25" s="319"/>
      <c r="GW25" s="319"/>
      <c r="GX25" s="319"/>
      <c r="GY25" s="319"/>
      <c r="GZ25" s="319"/>
      <c r="HA25" s="319"/>
      <c r="HB25" s="319"/>
      <c r="HC25" s="319"/>
      <c r="HD25" s="319"/>
      <c r="HE25" s="319"/>
      <c r="HF25" s="319"/>
      <c r="HG25" s="319"/>
      <c r="HH25" s="319"/>
      <c r="HI25" s="319"/>
      <c r="HJ25" s="319"/>
      <c r="HK25" s="319"/>
      <c r="HL25" s="319"/>
      <c r="HM25" s="319"/>
      <c r="HN25" s="319"/>
      <c r="HO25" s="319"/>
      <c r="HP25" s="319"/>
      <c r="HQ25" s="319"/>
      <c r="HR25" s="319"/>
      <c r="HS25" s="319"/>
      <c r="HT25" s="319"/>
      <c r="HU25" s="319"/>
      <c r="HV25" s="319"/>
      <c r="HW25" s="319"/>
      <c r="HX25" s="319"/>
      <c r="HY25" s="319"/>
      <c r="HZ25" s="319"/>
      <c r="IA25" s="319"/>
      <c r="IB25" s="319"/>
      <c r="IC25" s="319"/>
      <c r="ID25" s="319"/>
      <c r="IE25" s="319"/>
      <c r="IF25" s="319"/>
      <c r="IG25" s="319"/>
      <c r="IH25" s="319"/>
      <c r="II25" s="319"/>
      <c r="IJ25" s="319"/>
      <c r="IK25" s="319"/>
      <c r="IL25" s="319"/>
      <c r="IM25" s="319"/>
      <c r="IN25" s="319"/>
      <c r="IO25" s="319"/>
      <c r="IP25" s="319"/>
      <c r="IQ25" s="319"/>
      <c r="IR25" s="319"/>
      <c r="IS25" s="319"/>
      <c r="IT25" s="319"/>
      <c r="IU25" s="319"/>
      <c r="IV25" s="319"/>
      <c r="IW25" s="319"/>
      <c r="IX25" s="319"/>
      <c r="IY25" s="319"/>
      <c r="IZ25" s="319"/>
      <c r="JA25" s="319"/>
      <c r="JB25" s="319"/>
      <c r="JC25" s="319"/>
      <c r="JD25" s="319"/>
      <c r="JE25" s="319"/>
      <c r="JF25" s="319"/>
      <c r="JG25" s="319"/>
      <c r="JH25" s="319"/>
      <c r="JI25" s="319"/>
      <c r="JJ25" s="319"/>
      <c r="JK25" s="319"/>
      <c r="JL25" s="319"/>
      <c r="JM25" s="319"/>
      <c r="JN25" s="319"/>
      <c r="JO25" s="319"/>
      <c r="JP25" s="319"/>
      <c r="JQ25" s="319"/>
      <c r="JR25" s="319"/>
      <c r="JS25" s="319"/>
      <c r="JT25" s="319"/>
      <c r="JU25" s="319"/>
      <c r="JV25" s="319"/>
      <c r="JW25" s="319"/>
      <c r="JX25" s="319"/>
      <c r="JY25" s="319"/>
      <c r="JZ25" s="319"/>
      <c r="KA25" s="319"/>
      <c r="KB25" s="319"/>
      <c r="KC25" s="319"/>
      <c r="KD25" s="319"/>
      <c r="KE25" s="319"/>
      <c r="KF25" s="319"/>
      <c r="KG25" s="319"/>
      <c r="KH25" s="319"/>
      <c r="KI25" s="319"/>
      <c r="KJ25" s="319"/>
      <c r="KK25" s="319"/>
      <c r="KL25" s="319"/>
      <c r="KM25" s="319"/>
      <c r="KN25" s="319"/>
      <c r="KO25" s="319"/>
      <c r="KP25" s="319"/>
    </row>
    <row r="26" spans="1:302" ht="21">
      <c r="A26" s="1723" t="s">
        <v>1961</v>
      </c>
      <c r="B26" s="792">
        <v>0.68612640000000003</v>
      </c>
      <c r="C26" s="792">
        <v>0.53880640000000002</v>
      </c>
      <c r="D26" s="792">
        <v>0.53880640000000002</v>
      </c>
      <c r="E26" s="792">
        <v>0.25</v>
      </c>
      <c r="F26" s="792">
        <v>0.25</v>
      </c>
      <c r="G26" s="792">
        <v>0</v>
      </c>
      <c r="H26" s="792">
        <v>0</v>
      </c>
      <c r="I26" s="792">
        <v>0</v>
      </c>
      <c r="J26" s="792">
        <v>0</v>
      </c>
      <c r="K26" s="792">
        <v>0</v>
      </c>
      <c r="L26" s="792">
        <v>0</v>
      </c>
      <c r="M26" s="784">
        <v>7.4706999999999996E-2</v>
      </c>
      <c r="N26" s="784">
        <v>7.3109439999999998E-2</v>
      </c>
      <c r="O26" s="784">
        <v>7.142488000000001E-2</v>
      </c>
      <c r="P26" s="784">
        <v>6.9750350000000003E-2</v>
      </c>
      <c r="Q26" s="784">
        <v>6.8115490000000001E-2</v>
      </c>
      <c r="R26" s="784">
        <v>6.6336289999999992E-2</v>
      </c>
      <c r="S26" s="784">
        <v>15.064593910000001</v>
      </c>
      <c r="T26" s="784">
        <v>15.062885720000001</v>
      </c>
      <c r="U26" s="784">
        <v>15.06104144</v>
      </c>
      <c r="V26" s="784">
        <v>15.059228470000001</v>
      </c>
      <c r="W26" s="784">
        <v>13.18241765</v>
      </c>
      <c r="X26" s="784">
        <v>13.180530839999999</v>
      </c>
      <c r="Y26" s="784">
        <v>13.178644390000001</v>
      </c>
      <c r="Z26" s="784">
        <v>13.176732789999999</v>
      </c>
      <c r="AA26" s="784">
        <v>13.224661199999998</v>
      </c>
      <c r="AB26" s="784">
        <v>9.5561369999999993E-2</v>
      </c>
      <c r="AC26" s="784">
        <v>9.1527089999999992E-2</v>
      </c>
      <c r="AD26" s="784">
        <v>8.7431979999999992E-2</v>
      </c>
      <c r="AE26" s="784">
        <v>8.3249319999999988E-2</v>
      </c>
      <c r="AF26" s="784">
        <v>7.9110130000000001E-2</v>
      </c>
      <c r="AG26" s="784">
        <v>7.2207069999999998E-2</v>
      </c>
      <c r="AH26" s="784">
        <v>7.0115260000000013E-2</v>
      </c>
      <c r="AI26" s="784">
        <v>6.6572209999999993E-2</v>
      </c>
      <c r="AJ26" s="784">
        <v>6.2369599999999997E-2</v>
      </c>
      <c r="AK26" s="784">
        <v>7.2186780000000006E-2</v>
      </c>
      <c r="AL26" s="784">
        <v>8.7899410000000011E-2</v>
      </c>
      <c r="AM26" s="784">
        <v>8.1622079999999986E-2</v>
      </c>
      <c r="AN26" s="784">
        <v>51.479302609999998</v>
      </c>
      <c r="AO26" s="784">
        <v>50.306822029999999</v>
      </c>
      <c r="AP26" s="784">
        <v>56.34114143</v>
      </c>
      <c r="AQ26" s="784">
        <v>63.267108130000004</v>
      </c>
      <c r="AR26" s="784">
        <v>62.217454310000008</v>
      </c>
      <c r="AS26" s="784">
        <v>61.896348260000003</v>
      </c>
      <c r="AT26" s="784">
        <f>AT10-AT14</f>
        <v>62.215907100000003</v>
      </c>
      <c r="AU26" s="784">
        <v>61.657766139999993</v>
      </c>
      <c r="AV26" s="784">
        <v>61.466815079999989</v>
      </c>
      <c r="AW26" s="784">
        <v>60.957972660000003</v>
      </c>
      <c r="AX26" s="784">
        <v>60.97962296</v>
      </c>
      <c r="AY26" s="784">
        <v>58.017257200000003</v>
      </c>
      <c r="AZ26" s="784">
        <v>53.628075609999996</v>
      </c>
      <c r="BA26" s="784">
        <v>52.506867990000003</v>
      </c>
      <c r="BB26" s="784">
        <v>51.500777040000003</v>
      </c>
      <c r="BC26" s="784">
        <v>48.379755630000005</v>
      </c>
      <c r="BD26" s="784">
        <v>47.656588899999996</v>
      </c>
      <c r="BE26" s="784">
        <v>46.588443849999997</v>
      </c>
      <c r="BF26" s="784">
        <v>45.620438360000001</v>
      </c>
      <c r="BG26" s="784">
        <v>44.613535509999998</v>
      </c>
      <c r="BH26" s="827">
        <v>43.731509880000004</v>
      </c>
      <c r="BI26" s="816">
        <v>40.200829729999995</v>
      </c>
      <c r="BJ26" s="816">
        <v>39.285286499999998</v>
      </c>
      <c r="BK26" s="816">
        <v>38.257577349999998</v>
      </c>
      <c r="BL26" s="816">
        <v>37.21594176</v>
      </c>
      <c r="BM26" s="816">
        <v>36.353385719999991</v>
      </c>
      <c r="BN26" s="816">
        <v>35.219896920000004</v>
      </c>
      <c r="BO26" s="816">
        <v>34.633920909999993</v>
      </c>
      <c r="BP26" s="816">
        <v>34.251979720000001</v>
      </c>
      <c r="BQ26" s="816">
        <v>33.725469459999999</v>
      </c>
      <c r="BR26" s="816">
        <v>36.154014939999996</v>
      </c>
      <c r="BS26" s="816">
        <v>35.667925140000001</v>
      </c>
      <c r="BT26" s="816">
        <v>34.090150689999994</v>
      </c>
      <c r="BU26" s="816">
        <v>32.47835697</v>
      </c>
      <c r="BV26" s="816">
        <v>7.7490047000000004</v>
      </c>
      <c r="BW26" s="816">
        <v>7.7490047000000004</v>
      </c>
      <c r="BX26" s="816">
        <v>7.7490047000000004</v>
      </c>
      <c r="BY26" s="816">
        <v>7.7490047000000004</v>
      </c>
      <c r="BZ26" s="816">
        <v>7.749004700000004</v>
      </c>
      <c r="CA26" s="816">
        <v>7.1987613099999983</v>
      </c>
      <c r="CB26" s="816">
        <v>7.1987613099999983</v>
      </c>
      <c r="CC26" s="816">
        <v>7.1987613099999983</v>
      </c>
      <c r="CD26" s="816">
        <v>7.2495114100000002</v>
      </c>
      <c r="CE26" s="816">
        <v>7.2495114100000002</v>
      </c>
      <c r="CF26" s="816">
        <v>6.6920870800000003</v>
      </c>
      <c r="CG26" s="816">
        <v>13.743764759999999</v>
      </c>
      <c r="CH26" s="816">
        <v>6.7542097600000002</v>
      </c>
      <c r="CI26" s="816">
        <v>6.76465476</v>
      </c>
      <c r="CJ26" s="816">
        <v>10.04747476</v>
      </c>
      <c r="CK26" s="816">
        <v>6.9440869800000007</v>
      </c>
      <c r="CL26" s="816">
        <v>6.90028782</v>
      </c>
      <c r="CM26" s="816">
        <v>6.8296029200000001</v>
      </c>
      <c r="CN26" s="816">
        <v>6.8284654500000004</v>
      </c>
      <c r="CO26" s="816">
        <v>6.7577119699999999</v>
      </c>
      <c r="CP26" s="816">
        <v>6.6869387400000004</v>
      </c>
      <c r="CQ26" s="816">
        <v>6.6161454199999996</v>
      </c>
      <c r="CR26" s="816">
        <v>6.5451887900000001</v>
      </c>
      <c r="CS26" s="816">
        <v>6.4744988499999998</v>
      </c>
      <c r="CT26" s="816">
        <v>1.655616E-2</v>
      </c>
      <c r="CU26" s="816">
        <v>1.531357E-2</v>
      </c>
      <c r="CV26" s="816">
        <v>1.4039579999999999E-2</v>
      </c>
      <c r="CW26" s="816">
        <v>1.2735099999999999E-2</v>
      </c>
      <c r="CX26" s="816">
        <v>1.1415979999999999E-2</v>
      </c>
      <c r="CY26" s="816">
        <v>5.0073779999999998E-2</v>
      </c>
      <c r="CZ26" s="816">
        <v>4.8708090000000002E-2</v>
      </c>
      <c r="DA26" s="816">
        <v>4.597035E-2</v>
      </c>
      <c r="DB26" s="816">
        <v>4.0150859999999997E-2</v>
      </c>
      <c r="DC26" s="816">
        <v>8.7373889999999996E-2</v>
      </c>
      <c r="DD26" s="816">
        <v>1.07748541</v>
      </c>
      <c r="DE26" s="816">
        <v>3.5341092199999999</v>
      </c>
      <c r="DF26" s="816">
        <v>3.47492036</v>
      </c>
      <c r="DG26" s="816">
        <v>3.9652590000000001</v>
      </c>
      <c r="DH26" s="816">
        <v>4.3141974200000002</v>
      </c>
      <c r="DI26" s="816">
        <v>4.0142898499999999</v>
      </c>
      <c r="DJ26" s="816">
        <v>3.9360665500000001</v>
      </c>
      <c r="DK26" s="816">
        <v>3.8559742699999999</v>
      </c>
      <c r="DL26" s="816">
        <v>3.7757613999999999</v>
      </c>
      <c r="DM26" s="816">
        <v>3.8256600500000002</v>
      </c>
      <c r="DN26" s="816">
        <v>3.72869406</v>
      </c>
      <c r="DO26" s="816">
        <v>3.6407092200000002</v>
      </c>
      <c r="DP26" s="816">
        <v>3.5528039800000002</v>
      </c>
      <c r="DQ26" s="816">
        <v>3.4276491500000001</v>
      </c>
      <c r="DR26" s="816">
        <v>3.3272526500000001</v>
      </c>
      <c r="DS26" s="816">
        <v>3.2211372200000001</v>
      </c>
      <c r="DT26" s="816">
        <v>3.07214148</v>
      </c>
      <c r="DU26" s="816">
        <v>2.9378061600000001</v>
      </c>
      <c r="DV26" s="816">
        <v>2.80568989</v>
      </c>
      <c r="DW26" s="816">
        <v>2.7368298200000001</v>
      </c>
      <c r="DX26" s="816">
        <v>2.5393560800000001</v>
      </c>
      <c r="DY26" s="816">
        <v>2.40192351</v>
      </c>
      <c r="DZ26" s="816">
        <v>2.2569638200000002</v>
      </c>
      <c r="EA26" s="816">
        <v>2.1215335299999998</v>
      </c>
      <c r="EB26" s="816">
        <v>22.005020380000001</v>
      </c>
      <c r="EC26" s="816">
        <v>26.539853319999999</v>
      </c>
      <c r="ED26" s="816">
        <v>26.036267169999999</v>
      </c>
      <c r="EE26" s="816">
        <v>25.506268680000002</v>
      </c>
      <c r="EF26" s="816">
        <v>25.015596970000001</v>
      </c>
      <c r="EG26" s="816">
        <v>24.451615019999998</v>
      </c>
      <c r="EH26" s="816">
        <v>23.927911009999999</v>
      </c>
      <c r="EI26" s="816">
        <v>23.475236809999998</v>
      </c>
      <c r="EJ26" s="816">
        <v>22.923676260000001</v>
      </c>
      <c r="EK26" s="816">
        <v>32.543368600000001</v>
      </c>
      <c r="EL26" s="816">
        <v>31.936472240000001</v>
      </c>
      <c r="EM26" s="816">
        <v>31.310924610000001</v>
      </c>
      <c r="EN26" s="816">
        <v>34.062771840000003</v>
      </c>
      <c r="EO26" s="816">
        <v>33.704531350000003</v>
      </c>
      <c r="EP26" s="816">
        <v>33.01138272</v>
      </c>
      <c r="EQ26" s="816">
        <v>32.437535259999997</v>
      </c>
      <c r="ER26" s="816">
        <v>32.307414899999998</v>
      </c>
      <c r="ES26" s="816">
        <v>31.484647630000001</v>
      </c>
      <c r="ET26" s="816">
        <v>30.86975743</v>
      </c>
      <c r="EU26" s="816">
        <v>30.286610249999999</v>
      </c>
      <c r="EV26" s="816">
        <v>29.685125119999999</v>
      </c>
      <c r="EW26" s="816">
        <v>29.090331209999999</v>
      </c>
      <c r="EX26" s="816">
        <v>28.487910809999999</v>
      </c>
      <c r="EY26" s="816">
        <v>27.87306658</v>
      </c>
      <c r="EZ26" s="816">
        <v>27.262902539999999</v>
      </c>
      <c r="FA26" s="816">
        <v>26.648835250000001</v>
      </c>
      <c r="FB26" s="816">
        <v>26.02791598</v>
      </c>
      <c r="FC26" s="816">
        <v>25.66468368</v>
      </c>
      <c r="FD26" s="816">
        <v>24.78223732</v>
      </c>
      <c r="FE26" s="816">
        <v>24.123572889999998</v>
      </c>
      <c r="FF26" s="816">
        <v>23.845824440000001</v>
      </c>
      <c r="FG26" s="816">
        <v>617.84000200000003</v>
      </c>
      <c r="FH26" s="1712" t="s">
        <v>4067</v>
      </c>
      <c r="FI26" s="319"/>
      <c r="FJ26" s="319"/>
      <c r="FK26" s="319"/>
      <c r="FL26" s="319"/>
      <c r="FM26" s="321"/>
      <c r="FN26" s="319"/>
      <c r="FO26" s="319"/>
      <c r="FP26" s="319"/>
      <c r="FQ26" s="319"/>
      <c r="FR26" s="319"/>
      <c r="FS26" s="319"/>
      <c r="FT26" s="319"/>
      <c r="FU26" s="319"/>
      <c r="FV26" s="319"/>
      <c r="FW26" s="319"/>
      <c r="FX26" s="319"/>
      <c r="FY26" s="319"/>
      <c r="FZ26" s="319"/>
      <c r="GA26" s="319"/>
      <c r="GB26" s="319"/>
      <c r="GC26" s="319"/>
      <c r="GD26" s="319"/>
      <c r="GE26" s="319"/>
      <c r="GF26" s="319"/>
      <c r="GG26" s="319"/>
      <c r="GH26" s="319"/>
      <c r="GI26" s="319"/>
      <c r="GJ26" s="319"/>
      <c r="GK26" s="319"/>
      <c r="GL26" s="319"/>
      <c r="GM26" s="319"/>
      <c r="GN26" s="319"/>
      <c r="GO26" s="319"/>
      <c r="GP26" s="319"/>
      <c r="GQ26" s="319"/>
      <c r="GR26" s="319"/>
      <c r="GS26" s="319"/>
      <c r="GT26" s="319"/>
      <c r="GU26" s="319"/>
      <c r="GV26" s="319"/>
      <c r="GW26" s="319"/>
      <c r="GX26" s="319"/>
      <c r="GY26" s="319"/>
      <c r="GZ26" s="319"/>
      <c r="HA26" s="319"/>
      <c r="HB26" s="319"/>
      <c r="HC26" s="319"/>
      <c r="HD26" s="319"/>
      <c r="HE26" s="319"/>
      <c r="HF26" s="319"/>
      <c r="HG26" s="319"/>
      <c r="HH26" s="319"/>
      <c r="HI26" s="319"/>
      <c r="HJ26" s="319"/>
      <c r="HK26" s="319"/>
      <c r="HL26" s="319"/>
      <c r="HM26" s="319"/>
      <c r="HN26" s="319"/>
      <c r="HO26" s="319"/>
      <c r="HP26" s="319"/>
      <c r="HQ26" s="319"/>
      <c r="HR26" s="319"/>
      <c r="HS26" s="319"/>
      <c r="HT26" s="319"/>
      <c r="HU26" s="319"/>
      <c r="HV26" s="319"/>
      <c r="HW26" s="319"/>
      <c r="HX26" s="319"/>
      <c r="HY26" s="319"/>
      <c r="HZ26" s="319"/>
      <c r="IA26" s="319"/>
      <c r="IB26" s="319"/>
      <c r="IC26" s="319"/>
      <c r="ID26" s="319"/>
      <c r="IE26" s="319"/>
      <c r="IF26" s="319"/>
      <c r="IG26" s="319"/>
      <c r="IH26" s="319"/>
      <c r="II26" s="319"/>
      <c r="IJ26" s="319"/>
      <c r="IK26" s="319"/>
      <c r="IL26" s="319"/>
      <c r="IM26" s="319"/>
      <c r="IN26" s="319"/>
      <c r="IO26" s="319"/>
      <c r="IP26" s="319"/>
      <c r="IQ26" s="319"/>
      <c r="IR26" s="319"/>
      <c r="IS26" s="319"/>
      <c r="IT26" s="319"/>
      <c r="IU26" s="319"/>
      <c r="IV26" s="319"/>
      <c r="IW26" s="319"/>
      <c r="IX26" s="319"/>
      <c r="IY26" s="319"/>
      <c r="IZ26" s="319"/>
      <c r="JA26" s="319"/>
      <c r="JB26" s="319"/>
      <c r="JC26" s="319"/>
      <c r="JD26" s="319"/>
      <c r="JE26" s="319"/>
      <c r="JF26" s="319"/>
      <c r="JG26" s="319"/>
      <c r="JH26" s="319"/>
      <c r="JI26" s="319"/>
      <c r="JJ26" s="319"/>
      <c r="JK26" s="319"/>
      <c r="JL26" s="319"/>
      <c r="JM26" s="319"/>
      <c r="JN26" s="319"/>
      <c r="JO26" s="319"/>
      <c r="JP26" s="319"/>
      <c r="JQ26" s="319"/>
      <c r="JR26" s="319"/>
      <c r="JS26" s="319"/>
      <c r="JT26" s="319"/>
      <c r="JU26" s="319"/>
      <c r="JV26" s="319"/>
      <c r="JW26" s="319"/>
      <c r="JX26" s="319"/>
      <c r="JY26" s="319"/>
      <c r="JZ26" s="319"/>
      <c r="KA26" s="319"/>
      <c r="KB26" s="319"/>
      <c r="KC26" s="319"/>
      <c r="KD26" s="319"/>
      <c r="KE26" s="319"/>
      <c r="KF26" s="319"/>
      <c r="KG26" s="319"/>
      <c r="KH26" s="319"/>
      <c r="KI26" s="319"/>
      <c r="KJ26" s="319"/>
      <c r="KK26" s="319"/>
      <c r="KL26" s="319"/>
      <c r="KM26" s="319"/>
      <c r="KN26" s="319"/>
      <c r="KO26" s="319"/>
      <c r="KP26" s="319"/>
    </row>
    <row r="27" spans="1:302" ht="21">
      <c r="A27" s="1723" t="s">
        <v>1962</v>
      </c>
      <c r="B27" s="791">
        <f t="shared" ref="B27:V27" si="8">+B25-B26</f>
        <v>906.69647537999992</v>
      </c>
      <c r="C27" s="792">
        <f t="shared" si="8"/>
        <v>1215.7881395599998</v>
      </c>
      <c r="D27" s="792">
        <f t="shared" si="8"/>
        <v>1289.6335025999999</v>
      </c>
      <c r="E27" s="792">
        <f t="shared" si="8"/>
        <v>1487.7765801500002</v>
      </c>
      <c r="F27" s="792">
        <f t="shared" si="8"/>
        <v>1582.8648315700002</v>
      </c>
      <c r="G27" s="792">
        <f t="shared" si="8"/>
        <v>1634.6194345700001</v>
      </c>
      <c r="H27" s="792">
        <f t="shared" si="8"/>
        <v>1703.1266170200001</v>
      </c>
      <c r="I27" s="792">
        <f t="shared" si="8"/>
        <v>1758.6335877900001</v>
      </c>
      <c r="J27" s="792">
        <f t="shared" si="8"/>
        <v>1803.01118447</v>
      </c>
      <c r="K27" s="792">
        <f t="shared" si="8"/>
        <v>1831.8652481899999</v>
      </c>
      <c r="L27" s="792">
        <f t="shared" si="8"/>
        <v>1876.3229773</v>
      </c>
      <c r="M27" s="784">
        <f t="shared" si="8"/>
        <v>1892.9786477099999</v>
      </c>
      <c r="N27" s="784">
        <f t="shared" si="8"/>
        <v>1525.4344433599999</v>
      </c>
      <c r="O27" s="784">
        <f t="shared" si="8"/>
        <v>1565.0633204399999</v>
      </c>
      <c r="P27" s="781">
        <f t="shared" si="8"/>
        <v>1592.7519433700002</v>
      </c>
      <c r="Q27" s="781">
        <f t="shared" si="8"/>
        <v>1624.3339912700001</v>
      </c>
      <c r="R27" s="781">
        <f t="shared" si="8"/>
        <v>1694.4206923300001</v>
      </c>
      <c r="S27" s="781">
        <f t="shared" si="8"/>
        <v>1737.3636381499998</v>
      </c>
      <c r="T27" s="781">
        <f t="shared" si="8"/>
        <v>1787.46729906</v>
      </c>
      <c r="U27" s="781">
        <f t="shared" si="8"/>
        <v>1836.1695536399998</v>
      </c>
      <c r="V27" s="781">
        <f t="shared" si="8"/>
        <v>1863.0754079200001</v>
      </c>
      <c r="W27" s="781">
        <v>1890.6470125200001</v>
      </c>
      <c r="X27" s="781">
        <v>1944.33053763</v>
      </c>
      <c r="Y27" s="784">
        <v>1938.4130004500003</v>
      </c>
      <c r="Z27" s="781">
        <v>1940.6492812000001</v>
      </c>
      <c r="AA27" s="784">
        <v>1503.40097975</v>
      </c>
      <c r="AB27" s="784">
        <f>+AB25-AB26</f>
        <v>1470.49801589</v>
      </c>
      <c r="AC27" s="784">
        <v>1443.6333071399999</v>
      </c>
      <c r="AD27" s="784">
        <v>1455.9423525099999</v>
      </c>
      <c r="AE27" s="784">
        <v>1447.8973502899998</v>
      </c>
      <c r="AF27" s="784">
        <v>1465.8872743700001</v>
      </c>
      <c r="AG27" s="784">
        <v>1454.6585858099997</v>
      </c>
      <c r="AH27" s="784">
        <f>+AH25-AH26</f>
        <v>1437.0325031700004</v>
      </c>
      <c r="AI27" s="784">
        <v>1443.3165281500001</v>
      </c>
      <c r="AJ27" s="784">
        <f>+AJ25-AJ26</f>
        <v>1473.3130834799999</v>
      </c>
      <c r="AK27" s="784">
        <f>+AK25-AK26</f>
        <v>1725.8465920099998</v>
      </c>
      <c r="AL27" s="784">
        <v>1763.94080534</v>
      </c>
      <c r="AM27" s="784">
        <f>+AM25-AM26</f>
        <v>1795.4475570300001</v>
      </c>
      <c r="AN27" s="784">
        <f>+AN25-AN26</f>
        <v>1737.84732125</v>
      </c>
      <c r="AO27" s="784">
        <f>+AO25-AO26</f>
        <v>1601.96111258</v>
      </c>
      <c r="AP27" s="784">
        <f>+AP25-AP26</f>
        <v>1554.46308862</v>
      </c>
      <c r="AQ27" s="784">
        <v>1355.21264367</v>
      </c>
      <c r="AR27" s="784">
        <v>971.99975427000004</v>
      </c>
      <c r="AS27" s="784">
        <f>+AS25-AS26</f>
        <v>978.97733222000011</v>
      </c>
      <c r="AT27" s="784">
        <f>AT11-AT15</f>
        <v>916.22959594999998</v>
      </c>
      <c r="AU27" s="784">
        <v>804.59941067</v>
      </c>
      <c r="AV27" s="784">
        <v>809.03389800000014</v>
      </c>
      <c r="AW27" s="784">
        <v>784.43236338000008</v>
      </c>
      <c r="AX27" s="784">
        <v>790.5487055100001</v>
      </c>
      <c r="AY27" s="784">
        <v>778.01478940999993</v>
      </c>
      <c r="AZ27" s="784">
        <v>772.12457964999999</v>
      </c>
      <c r="BA27" s="784">
        <v>768.50596720999999</v>
      </c>
      <c r="BB27" s="784">
        <v>737.58587592000003</v>
      </c>
      <c r="BC27" s="784">
        <v>671.87943404000009</v>
      </c>
      <c r="BD27" s="784">
        <f>+BD25-BD26</f>
        <v>402.24616372000003</v>
      </c>
      <c r="BE27" s="784">
        <v>372.56683427000002</v>
      </c>
      <c r="BF27" s="784">
        <v>379.37164161999999</v>
      </c>
      <c r="BG27" s="784">
        <v>384.54460849999998</v>
      </c>
      <c r="BH27" s="827">
        <v>377.93848510999999</v>
      </c>
      <c r="BI27" s="816">
        <v>421.18913027000008</v>
      </c>
      <c r="BJ27" s="816">
        <v>421.16088539999998</v>
      </c>
      <c r="BK27" s="816">
        <v>423.12665701999998</v>
      </c>
      <c r="BL27" s="816">
        <v>414.10634803999994</v>
      </c>
      <c r="BM27" s="816">
        <v>394.86424182999997</v>
      </c>
      <c r="BN27" s="816">
        <v>389.43766753</v>
      </c>
      <c r="BO27" s="816">
        <v>392.82985507999996</v>
      </c>
      <c r="BP27" s="816">
        <v>382.35679094</v>
      </c>
      <c r="BQ27" s="816">
        <v>378.46221833999994</v>
      </c>
      <c r="BR27" s="816">
        <v>233.41811327999997</v>
      </c>
      <c r="BS27" s="816">
        <v>220.50350369999998</v>
      </c>
      <c r="BT27" s="816">
        <v>225.95242809999999</v>
      </c>
      <c r="BU27" s="816">
        <v>177.48509927999999</v>
      </c>
      <c r="BV27" s="816">
        <v>175.36898070000001</v>
      </c>
      <c r="BW27" s="816">
        <v>176.57584118</v>
      </c>
      <c r="BX27" s="816">
        <v>178.63514168</v>
      </c>
      <c r="BY27" s="816">
        <v>178.33829273000001</v>
      </c>
      <c r="BZ27" s="816">
        <v>188.50625008000003</v>
      </c>
      <c r="CA27" s="816">
        <v>193.48212347999998</v>
      </c>
      <c r="CB27" s="816">
        <v>162.18699580000003</v>
      </c>
      <c r="CC27" s="816">
        <v>173.57844976999996</v>
      </c>
      <c r="CD27" s="816">
        <v>175.47095077999998</v>
      </c>
      <c r="CE27" s="816">
        <f t="shared" ref="CE27:CP27" si="9">+CE25-CE26</f>
        <v>177.90851247999998</v>
      </c>
      <c r="CF27" s="816">
        <f t="shared" si="9"/>
        <v>195.65679030999999</v>
      </c>
      <c r="CG27" s="816">
        <f t="shared" si="9"/>
        <v>235.81416334999997</v>
      </c>
      <c r="CH27" s="816">
        <f t="shared" si="9"/>
        <v>239.34650592999998</v>
      </c>
      <c r="CI27" s="816">
        <f t="shared" si="9"/>
        <v>234.14425702999998</v>
      </c>
      <c r="CJ27" s="816">
        <f t="shared" si="9"/>
        <v>244.22441316999999</v>
      </c>
      <c r="CK27" s="816">
        <f t="shared" si="9"/>
        <v>244.44029924</v>
      </c>
      <c r="CL27" s="816">
        <f t="shared" si="9"/>
        <v>251.43762689000002</v>
      </c>
      <c r="CM27" s="816">
        <f t="shared" si="9"/>
        <v>250.00717979000001</v>
      </c>
      <c r="CN27" s="816">
        <f t="shared" si="9"/>
        <v>254.55070713000003</v>
      </c>
      <c r="CO27" s="816">
        <f t="shared" si="9"/>
        <v>253.90578679000004</v>
      </c>
      <c r="CP27" s="816">
        <f t="shared" si="9"/>
        <v>254.70511356</v>
      </c>
      <c r="CQ27" s="816">
        <f>+CQ25-CQ26</f>
        <v>254.12061642999998</v>
      </c>
      <c r="CR27" s="816">
        <f>+CR25-CR26</f>
        <v>271.17812275999995</v>
      </c>
      <c r="CS27" s="816">
        <f>+CS25-CS26</f>
        <v>283.21721224000004</v>
      </c>
      <c r="CT27" s="816">
        <v>321.22670872000003</v>
      </c>
      <c r="CU27" s="816">
        <f>+CU25-CU26</f>
        <v>325.85265881999999</v>
      </c>
      <c r="CV27" s="816">
        <v>299.74932282000003</v>
      </c>
      <c r="CW27" s="816">
        <v>311.13722633000003</v>
      </c>
      <c r="CX27" s="816">
        <v>331.48871323000003</v>
      </c>
      <c r="CY27" s="816">
        <v>324.38989634000001</v>
      </c>
      <c r="CZ27" s="816">
        <v>324.83031836000004</v>
      </c>
      <c r="DA27" s="816">
        <v>336.08885088</v>
      </c>
      <c r="DB27" s="816">
        <v>362.80218814</v>
      </c>
      <c r="DC27" s="816">
        <f>+DC25-DC26</f>
        <v>375.91764115000001</v>
      </c>
      <c r="DD27" s="816">
        <v>375.15918988999999</v>
      </c>
      <c r="DE27" s="816">
        <v>384.07014047000001</v>
      </c>
      <c r="DF27" s="816">
        <v>388.41102763999999</v>
      </c>
      <c r="DG27" s="816">
        <f>+DG25-DG26</f>
        <v>398.69055930999997</v>
      </c>
      <c r="DH27" s="816">
        <v>411.89536293999998</v>
      </c>
      <c r="DI27" s="816">
        <f>+DI25-DI26</f>
        <v>458.20973787999998</v>
      </c>
      <c r="DJ27" s="816">
        <v>460.70346487999996</v>
      </c>
      <c r="DK27" s="816">
        <v>466.06703393000004</v>
      </c>
      <c r="DL27" s="816">
        <v>482.74395148999997</v>
      </c>
      <c r="DM27" s="816">
        <v>488.60074090000001</v>
      </c>
      <c r="DN27" s="816">
        <f>+DN25-DN26</f>
        <v>495.44438137999998</v>
      </c>
      <c r="DO27" s="816">
        <f>+DO25-DO26</f>
        <v>486.30677409999998</v>
      </c>
      <c r="DP27" s="816">
        <f>+DP25-DP26</f>
        <v>488.35615164999996</v>
      </c>
      <c r="DQ27" s="816">
        <f>+DQ25-DQ26</f>
        <v>542.30011773000001</v>
      </c>
      <c r="DR27" s="816">
        <v>580.59894226999995</v>
      </c>
      <c r="DS27" s="816">
        <v>547.60418891000006</v>
      </c>
      <c r="DT27" s="816">
        <v>525.28842911999993</v>
      </c>
      <c r="DU27" s="816">
        <f>+DU25-DU26</f>
        <v>531.99714518999997</v>
      </c>
      <c r="DV27" s="816">
        <f>+DV25-DV26</f>
        <v>579.55381266999996</v>
      </c>
      <c r="DW27" s="816">
        <v>601.62835473999996</v>
      </c>
      <c r="DX27" s="816">
        <v>612.85939627000005</v>
      </c>
      <c r="DY27" s="816">
        <v>604.59567623000009</v>
      </c>
      <c r="DZ27" s="816">
        <f>+DZ25-DZ26</f>
        <v>628.63231205</v>
      </c>
      <c r="EA27" s="816">
        <v>632.22102157000006</v>
      </c>
      <c r="EB27" s="816">
        <v>638.60753075000002</v>
      </c>
      <c r="EC27" s="816">
        <v>655.23906727999997</v>
      </c>
      <c r="ED27" s="816">
        <v>653.69693862999998</v>
      </c>
      <c r="EE27" s="816">
        <v>641.59076860000005</v>
      </c>
      <c r="EF27" s="816">
        <v>623.34527823999997</v>
      </c>
      <c r="EG27" s="816">
        <v>640.82293518000006</v>
      </c>
      <c r="EH27" s="816">
        <v>640.45775615000002</v>
      </c>
      <c r="EI27" s="816">
        <v>647.48034323000002</v>
      </c>
      <c r="EJ27" s="816">
        <f>+EJ25-EJ26</f>
        <v>641.94245152999997</v>
      </c>
      <c r="EK27" s="816">
        <v>663.50779037999996</v>
      </c>
      <c r="EL27" s="816">
        <v>661.52811909000002</v>
      </c>
      <c r="EM27" s="816">
        <v>788.32429916000001</v>
      </c>
      <c r="EN27" s="816">
        <f>+EN25-EN26</f>
        <v>819.52465094000001</v>
      </c>
      <c r="EO27" s="816">
        <v>804.98939682000002</v>
      </c>
      <c r="EP27" s="816">
        <v>829.37329478999993</v>
      </c>
      <c r="EQ27" s="816">
        <v>831.54462925999997</v>
      </c>
      <c r="ER27" s="816">
        <v>846.84069450999993</v>
      </c>
      <c r="ES27" s="816">
        <v>840.21768925999993</v>
      </c>
      <c r="ET27" s="816">
        <v>869.80327136999995</v>
      </c>
      <c r="EU27" s="816">
        <f>+EU25-EU26</f>
        <v>874.71819119999998</v>
      </c>
      <c r="EV27" s="816">
        <v>881.03327772</v>
      </c>
      <c r="EW27" s="816">
        <f>+EW25-EW26</f>
        <v>915.17584260000001</v>
      </c>
      <c r="EX27" s="816">
        <f>+EX25-EX26</f>
        <v>936.94390915999998</v>
      </c>
      <c r="EY27" s="816">
        <v>952.70260631999997</v>
      </c>
      <c r="EZ27" s="816">
        <v>972.63890880999998</v>
      </c>
      <c r="FA27" s="816">
        <v>997.83694391999984</v>
      </c>
      <c r="FB27" s="816">
        <v>993.39327975000003</v>
      </c>
      <c r="FC27" s="816">
        <v>982.75232460999996</v>
      </c>
      <c r="FD27" s="816">
        <v>991.50586602999999</v>
      </c>
      <c r="FE27" s="816">
        <v>991.21897995000006</v>
      </c>
      <c r="FF27" s="816">
        <f>+FF25-FF26</f>
        <v>998.24411086999999</v>
      </c>
      <c r="FG27" s="816">
        <f>+FG25-FG26</f>
        <v>990.08147365000002</v>
      </c>
      <c r="FH27" s="1712" t="s">
        <v>4066</v>
      </c>
      <c r="FI27" s="319"/>
      <c r="FJ27" s="319"/>
      <c r="FK27" s="319"/>
      <c r="FL27" s="319"/>
      <c r="FM27" s="321"/>
      <c r="FN27" s="319"/>
      <c r="FO27" s="319"/>
      <c r="FP27" s="319"/>
      <c r="FQ27" s="319"/>
      <c r="FR27" s="319"/>
      <c r="FS27" s="319"/>
      <c r="FT27" s="319"/>
      <c r="FU27" s="319"/>
      <c r="FV27" s="319"/>
      <c r="FW27" s="319"/>
      <c r="FX27" s="319"/>
      <c r="FY27" s="319"/>
      <c r="FZ27" s="319"/>
      <c r="GA27" s="319"/>
      <c r="GB27" s="319"/>
      <c r="GC27" s="319"/>
      <c r="GD27" s="319"/>
      <c r="GE27" s="319"/>
      <c r="GF27" s="319"/>
      <c r="GG27" s="319"/>
      <c r="GH27" s="319"/>
      <c r="GI27" s="319"/>
      <c r="GJ27" s="319"/>
      <c r="GK27" s="319"/>
      <c r="GL27" s="319"/>
      <c r="GM27" s="319"/>
      <c r="GN27" s="319"/>
      <c r="GO27" s="319"/>
      <c r="GP27" s="319"/>
      <c r="GQ27" s="319"/>
      <c r="GR27" s="319"/>
      <c r="GS27" s="319"/>
      <c r="GT27" s="319"/>
      <c r="GU27" s="319"/>
      <c r="GV27" s="319"/>
      <c r="GW27" s="319"/>
      <c r="GX27" s="319"/>
      <c r="GY27" s="319"/>
      <c r="GZ27" s="319"/>
      <c r="HA27" s="319"/>
      <c r="HB27" s="319"/>
      <c r="HC27" s="319"/>
      <c r="HD27" s="319"/>
      <c r="HE27" s="319"/>
      <c r="HF27" s="319"/>
      <c r="HG27" s="319"/>
      <c r="HH27" s="319"/>
      <c r="HI27" s="319"/>
      <c r="HJ27" s="319"/>
      <c r="HK27" s="319"/>
      <c r="HL27" s="319"/>
      <c r="HM27" s="319"/>
      <c r="HN27" s="319"/>
      <c r="HO27" s="319"/>
      <c r="HP27" s="319"/>
      <c r="HQ27" s="319"/>
      <c r="HR27" s="319"/>
      <c r="HS27" s="319"/>
      <c r="HT27" s="319"/>
      <c r="HU27" s="319"/>
      <c r="HV27" s="319"/>
      <c r="HW27" s="319"/>
      <c r="HX27" s="319"/>
      <c r="HY27" s="319"/>
      <c r="HZ27" s="319"/>
      <c r="IA27" s="319"/>
      <c r="IB27" s="319"/>
      <c r="IC27" s="319"/>
      <c r="ID27" s="319"/>
      <c r="IE27" s="319"/>
      <c r="IF27" s="319"/>
      <c r="IG27" s="319"/>
      <c r="IH27" s="319"/>
      <c r="II27" s="319"/>
      <c r="IJ27" s="319"/>
      <c r="IK27" s="319"/>
      <c r="IL27" s="319"/>
      <c r="IM27" s="319"/>
      <c r="IN27" s="319"/>
      <c r="IO27" s="319"/>
      <c r="IP27" s="319"/>
      <c r="IQ27" s="319"/>
      <c r="IR27" s="319"/>
      <c r="IS27" s="319"/>
      <c r="IT27" s="319"/>
      <c r="IU27" s="319"/>
      <c r="IV27" s="319"/>
      <c r="IW27" s="319"/>
      <c r="IX27" s="319"/>
      <c r="IY27" s="319"/>
      <c r="IZ27" s="319"/>
      <c r="JA27" s="319"/>
      <c r="JB27" s="319"/>
      <c r="JC27" s="319"/>
      <c r="JD27" s="319"/>
      <c r="JE27" s="319"/>
      <c r="JF27" s="319"/>
      <c r="JG27" s="319"/>
      <c r="JH27" s="319"/>
      <c r="JI27" s="319"/>
      <c r="JJ27" s="319"/>
      <c r="JK27" s="319"/>
      <c r="JL27" s="319"/>
      <c r="JM27" s="319"/>
      <c r="JN27" s="319"/>
      <c r="JO27" s="319"/>
      <c r="JP27" s="319"/>
      <c r="JQ27" s="319"/>
      <c r="JR27" s="319"/>
      <c r="JS27" s="319"/>
      <c r="JT27" s="319"/>
      <c r="JU27" s="319"/>
      <c r="JV27" s="319"/>
      <c r="JW27" s="319"/>
      <c r="JX27" s="319"/>
      <c r="JY27" s="319"/>
      <c r="JZ27" s="319"/>
      <c r="KA27" s="319"/>
      <c r="KB27" s="319"/>
      <c r="KC27" s="319"/>
      <c r="KD27" s="319"/>
      <c r="KE27" s="319"/>
      <c r="KF27" s="319"/>
      <c r="KG27" s="319"/>
      <c r="KH27" s="319"/>
      <c r="KI27" s="319"/>
      <c r="KJ27" s="319"/>
      <c r="KK27" s="319"/>
      <c r="KL27" s="319"/>
      <c r="KM27" s="319"/>
      <c r="KN27" s="319"/>
      <c r="KO27" s="319"/>
      <c r="KP27" s="319"/>
    </row>
    <row r="28" spans="1:302" ht="21">
      <c r="A28" s="1721"/>
      <c r="B28" s="792"/>
      <c r="C28" s="792"/>
      <c r="D28" s="792"/>
      <c r="E28" s="792"/>
      <c r="F28" s="792"/>
      <c r="G28" s="792"/>
      <c r="H28" s="792"/>
      <c r="I28" s="792"/>
      <c r="J28" s="792"/>
      <c r="K28" s="792"/>
      <c r="L28" s="792"/>
      <c r="M28" s="784"/>
      <c r="N28" s="784"/>
      <c r="O28" s="784"/>
      <c r="P28" s="784"/>
      <c r="Q28" s="784"/>
      <c r="R28" s="784"/>
      <c r="S28" s="784"/>
      <c r="T28" s="784"/>
      <c r="U28" s="784"/>
      <c r="V28" s="784"/>
      <c r="W28" s="784"/>
      <c r="X28" s="784"/>
      <c r="Y28" s="784"/>
      <c r="Z28" s="784"/>
      <c r="AA28" s="784"/>
      <c r="AB28" s="784"/>
      <c r="AC28" s="784"/>
      <c r="AD28" s="784"/>
      <c r="AE28" s="784"/>
      <c r="AF28" s="784"/>
      <c r="AG28" s="784"/>
      <c r="AH28" s="784"/>
      <c r="AI28" s="784"/>
      <c r="AJ28" s="784"/>
      <c r="AK28" s="784"/>
      <c r="AL28" s="784"/>
      <c r="AM28" s="784"/>
      <c r="AN28" s="784"/>
      <c r="AO28" s="784"/>
      <c r="AP28" s="784"/>
      <c r="AQ28" s="784"/>
      <c r="AR28" s="784"/>
      <c r="AS28" s="784"/>
      <c r="AT28" s="784"/>
      <c r="AU28" s="784"/>
      <c r="AV28" s="784"/>
      <c r="AW28" s="784"/>
      <c r="AX28" s="784"/>
      <c r="AY28" s="784"/>
      <c r="AZ28" s="784"/>
      <c r="BA28" s="784"/>
      <c r="BB28" s="784"/>
      <c r="BC28" s="784"/>
      <c r="BD28" s="784"/>
      <c r="BE28" s="784"/>
      <c r="BF28" s="784"/>
      <c r="BG28" s="784"/>
      <c r="BH28" s="827"/>
      <c r="BI28" s="816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6"/>
      <c r="CN28" s="816"/>
      <c r="CO28" s="816"/>
      <c r="CP28" s="816"/>
      <c r="CQ28" s="816"/>
      <c r="CR28" s="816"/>
      <c r="CS28" s="816"/>
      <c r="CT28" s="816"/>
      <c r="CU28" s="816"/>
      <c r="CV28" s="816"/>
      <c r="CW28" s="816"/>
      <c r="CX28" s="816"/>
      <c r="CY28" s="816"/>
      <c r="CZ28" s="816"/>
      <c r="DA28" s="816"/>
      <c r="DB28" s="816"/>
      <c r="DC28" s="816"/>
      <c r="DD28" s="816"/>
      <c r="DE28" s="816"/>
      <c r="DF28" s="816"/>
      <c r="DG28" s="816"/>
      <c r="DH28" s="816"/>
      <c r="DI28" s="816"/>
      <c r="DJ28" s="816"/>
      <c r="DK28" s="816"/>
      <c r="DL28" s="816"/>
      <c r="DM28" s="816"/>
      <c r="DN28" s="816"/>
      <c r="DO28" s="816"/>
      <c r="DP28" s="816"/>
      <c r="DQ28" s="816"/>
      <c r="DR28" s="816"/>
      <c r="DS28" s="816"/>
      <c r="DT28" s="816"/>
      <c r="DU28" s="816"/>
      <c r="DV28" s="816"/>
      <c r="DW28" s="816"/>
      <c r="DX28" s="816"/>
      <c r="DY28" s="816"/>
      <c r="DZ28" s="816"/>
      <c r="EA28" s="816"/>
      <c r="EB28" s="816"/>
      <c r="EC28" s="816"/>
      <c r="ED28" s="816"/>
      <c r="EE28" s="816"/>
      <c r="EF28" s="816"/>
      <c r="EG28" s="816"/>
      <c r="EH28" s="816"/>
      <c r="EI28" s="816"/>
      <c r="EJ28" s="816"/>
      <c r="EK28" s="816"/>
      <c r="EL28" s="816"/>
      <c r="EM28" s="816"/>
      <c r="EN28" s="816"/>
      <c r="EO28" s="816"/>
      <c r="EP28" s="816"/>
      <c r="EQ28" s="816"/>
      <c r="ER28" s="816"/>
      <c r="ES28" s="816"/>
      <c r="ET28" s="816"/>
      <c r="EU28" s="816"/>
      <c r="EV28" s="816"/>
      <c r="EW28" s="816"/>
      <c r="EX28" s="816"/>
      <c r="EY28" s="816"/>
      <c r="EZ28" s="816"/>
      <c r="FA28" s="816"/>
      <c r="FB28" s="816"/>
      <c r="FC28" s="816"/>
      <c r="FD28" s="816"/>
      <c r="FE28" s="816"/>
      <c r="FF28" s="816"/>
      <c r="FG28" s="816"/>
      <c r="FH28" s="1711"/>
      <c r="FI28" s="319"/>
      <c r="FJ28" s="319"/>
      <c r="FK28" s="319"/>
      <c r="FL28" s="319"/>
      <c r="FM28" s="321"/>
      <c r="FN28" s="319"/>
      <c r="FO28" s="319"/>
      <c r="FP28" s="319"/>
      <c r="FQ28" s="319"/>
      <c r="FR28" s="319"/>
      <c r="FS28" s="319"/>
      <c r="FT28" s="319"/>
      <c r="FU28" s="319"/>
      <c r="FV28" s="319"/>
      <c r="FW28" s="319"/>
      <c r="FX28" s="319"/>
      <c r="FY28" s="319"/>
      <c r="FZ28" s="319"/>
      <c r="GA28" s="319"/>
      <c r="GB28" s="319"/>
      <c r="GC28" s="319"/>
      <c r="GD28" s="319"/>
      <c r="GE28" s="319"/>
      <c r="GF28" s="319"/>
      <c r="GG28" s="319"/>
      <c r="GH28" s="319"/>
      <c r="GI28" s="319"/>
      <c r="GJ28" s="319"/>
      <c r="GK28" s="319"/>
      <c r="GL28" s="319"/>
      <c r="GM28" s="319"/>
      <c r="GN28" s="319"/>
      <c r="GO28" s="319"/>
      <c r="GP28" s="319"/>
      <c r="GQ28" s="319"/>
      <c r="GR28" s="319"/>
      <c r="GS28" s="319"/>
      <c r="GT28" s="319"/>
      <c r="GU28" s="319"/>
      <c r="GV28" s="319"/>
      <c r="GW28" s="319"/>
      <c r="GX28" s="319"/>
      <c r="GY28" s="319"/>
      <c r="GZ28" s="319"/>
      <c r="HA28" s="319"/>
      <c r="HB28" s="319"/>
      <c r="HC28" s="319"/>
      <c r="HD28" s="319"/>
      <c r="HE28" s="319"/>
      <c r="HF28" s="319"/>
      <c r="HG28" s="319"/>
      <c r="HH28" s="319"/>
      <c r="HI28" s="319"/>
      <c r="HJ28" s="319"/>
      <c r="HK28" s="319"/>
      <c r="HL28" s="319"/>
      <c r="HM28" s="319"/>
      <c r="HN28" s="319"/>
      <c r="HO28" s="319"/>
      <c r="HP28" s="319"/>
      <c r="HQ28" s="319"/>
      <c r="HR28" s="319"/>
      <c r="HS28" s="319"/>
      <c r="HT28" s="319"/>
      <c r="HU28" s="319"/>
      <c r="HV28" s="319"/>
      <c r="HW28" s="319"/>
      <c r="HX28" s="319"/>
      <c r="HY28" s="319"/>
      <c r="HZ28" s="319"/>
      <c r="IA28" s="319"/>
      <c r="IB28" s="319"/>
      <c r="IC28" s="319"/>
      <c r="ID28" s="319"/>
      <c r="IE28" s="319"/>
      <c r="IF28" s="319"/>
      <c r="IG28" s="319"/>
      <c r="IH28" s="319"/>
      <c r="II28" s="319"/>
      <c r="IJ28" s="319"/>
      <c r="IK28" s="319"/>
      <c r="IL28" s="319"/>
      <c r="IM28" s="319"/>
      <c r="IN28" s="319"/>
      <c r="IO28" s="319"/>
      <c r="IP28" s="319"/>
      <c r="IQ28" s="319"/>
      <c r="IR28" s="319"/>
      <c r="IS28" s="319"/>
      <c r="IT28" s="319"/>
      <c r="IU28" s="319"/>
      <c r="IV28" s="319"/>
      <c r="IW28" s="319"/>
      <c r="IX28" s="319"/>
      <c r="IY28" s="319"/>
      <c r="IZ28" s="319"/>
      <c r="JA28" s="319"/>
      <c r="JB28" s="319"/>
      <c r="JC28" s="319"/>
      <c r="JD28" s="319"/>
      <c r="JE28" s="319"/>
      <c r="JF28" s="319"/>
      <c r="JG28" s="319"/>
      <c r="JH28" s="319"/>
      <c r="JI28" s="319"/>
      <c r="JJ28" s="319"/>
      <c r="JK28" s="319"/>
      <c r="JL28" s="319"/>
      <c r="JM28" s="319"/>
      <c r="JN28" s="319"/>
      <c r="JO28" s="319"/>
      <c r="JP28" s="319"/>
      <c r="JQ28" s="319"/>
      <c r="JR28" s="319"/>
      <c r="JS28" s="319"/>
      <c r="JT28" s="319"/>
      <c r="JU28" s="319"/>
      <c r="JV28" s="319"/>
      <c r="JW28" s="319"/>
      <c r="JX28" s="319"/>
      <c r="JY28" s="319"/>
      <c r="JZ28" s="319"/>
      <c r="KA28" s="319"/>
      <c r="KB28" s="319"/>
      <c r="KC28" s="319"/>
      <c r="KD28" s="319"/>
      <c r="KE28" s="319"/>
      <c r="KF28" s="319"/>
      <c r="KG28" s="319"/>
      <c r="KH28" s="319"/>
      <c r="KI28" s="319"/>
      <c r="KJ28" s="319"/>
      <c r="KK28" s="319"/>
      <c r="KL28" s="319"/>
      <c r="KM28" s="319"/>
      <c r="KN28" s="319"/>
      <c r="KO28" s="319"/>
      <c r="KP28" s="319"/>
    </row>
    <row r="29" spans="1:302" ht="21">
      <c r="A29" s="1744" t="s">
        <v>185</v>
      </c>
      <c r="B29" s="792">
        <v>890.79571515999999</v>
      </c>
      <c r="C29" s="792">
        <v>1198.7368987</v>
      </c>
      <c r="D29" s="792">
        <v>1272.8284622400001</v>
      </c>
      <c r="E29" s="792">
        <v>1471.3395681400002</v>
      </c>
      <c r="F29" s="792">
        <v>1566.4748872100001</v>
      </c>
      <c r="G29" s="792">
        <v>1619.0921400500001</v>
      </c>
      <c r="H29" s="792">
        <v>1687.8298249200002</v>
      </c>
      <c r="I29" s="792">
        <v>1743.49229616</v>
      </c>
      <c r="J29" s="792">
        <v>1787.96960162</v>
      </c>
      <c r="K29" s="792">
        <v>1816.9938925499998</v>
      </c>
      <c r="L29" s="792">
        <v>1862.6899854200001</v>
      </c>
      <c r="M29" s="781">
        <v>1878.8883455599998</v>
      </c>
      <c r="N29" s="784">
        <v>1511.6176579799999</v>
      </c>
      <c r="O29" s="784">
        <v>1550.9892783299999</v>
      </c>
      <c r="P29" s="784">
        <v>1579.1461440100002</v>
      </c>
      <c r="Q29" s="784">
        <v>1611.5456076100002</v>
      </c>
      <c r="R29" s="784">
        <v>1678.88326923</v>
      </c>
      <c r="S29" s="784">
        <v>1738.3149132199999</v>
      </c>
      <c r="T29" s="784">
        <v>1788.43189207</v>
      </c>
      <c r="U29" s="784">
        <v>1837.0001609799999</v>
      </c>
      <c r="V29" s="784">
        <v>1863.4743088100001</v>
      </c>
      <c r="W29" s="784">
        <v>1889.6121977600001</v>
      </c>
      <c r="X29" s="784">
        <v>1942.86173001</v>
      </c>
      <c r="Y29" s="781">
        <v>1923.1711851400003</v>
      </c>
      <c r="Z29" s="784">
        <v>1921.8867576</v>
      </c>
      <c r="AA29" s="784">
        <v>1392.36091562</v>
      </c>
      <c r="AB29" s="781">
        <v>1346.28938034</v>
      </c>
      <c r="AC29" s="781">
        <v>1307.5959270199999</v>
      </c>
      <c r="AD29" s="781">
        <v>1297.9577175899999</v>
      </c>
      <c r="AE29" s="781">
        <v>1285.33523612</v>
      </c>
      <c r="AF29" s="781">
        <v>1309.56777124</v>
      </c>
      <c r="AG29" s="781">
        <v>1300.0164706099999</v>
      </c>
      <c r="AH29" s="781">
        <v>1281.0151419000003</v>
      </c>
      <c r="AI29" s="781">
        <v>1287.48181505</v>
      </c>
      <c r="AJ29" s="781">
        <v>1318.35725819</v>
      </c>
      <c r="AK29" s="781">
        <v>1497.2529906499999</v>
      </c>
      <c r="AL29" s="781">
        <v>1550.12783655</v>
      </c>
      <c r="AM29" s="781">
        <v>1549.0895509700001</v>
      </c>
      <c r="AN29" s="781">
        <v>1544.9567681500002</v>
      </c>
      <c r="AO29" s="781">
        <v>1414.1348277799998</v>
      </c>
      <c r="AP29" s="781">
        <v>1434.4991705800001</v>
      </c>
      <c r="AQ29" s="781">
        <v>1220.2067439100001</v>
      </c>
      <c r="AR29" s="781">
        <v>799.94520016000001</v>
      </c>
      <c r="AS29" s="781">
        <v>800.11657141000012</v>
      </c>
      <c r="AT29" s="781">
        <v>803.04256210999995</v>
      </c>
      <c r="AU29" s="781">
        <v>740.57597749999991</v>
      </c>
      <c r="AV29" s="781">
        <v>739.09115025999995</v>
      </c>
      <c r="AW29" s="781">
        <v>737.83972367000013</v>
      </c>
      <c r="AX29" s="781">
        <v>735.32486495000001</v>
      </c>
      <c r="AY29" s="781">
        <v>732.36087268999995</v>
      </c>
      <c r="AZ29" s="781">
        <v>725.70090312000002</v>
      </c>
      <c r="BA29" s="781">
        <v>723.19943367000008</v>
      </c>
      <c r="BB29" s="781">
        <v>691.37506354000004</v>
      </c>
      <c r="BC29" s="781">
        <v>652.14528225000004</v>
      </c>
      <c r="BD29" s="781">
        <v>382.22341072</v>
      </c>
      <c r="BE29" s="781">
        <v>351.52412009</v>
      </c>
      <c r="BF29" s="781">
        <v>346.49782775</v>
      </c>
      <c r="BG29" s="781">
        <v>341.72139575000006</v>
      </c>
      <c r="BH29" s="826">
        <v>334.97680702999997</v>
      </c>
      <c r="BI29" s="815">
        <v>354.94423090000004</v>
      </c>
      <c r="BJ29" s="815">
        <v>352.083395</v>
      </c>
      <c r="BK29" s="815">
        <v>347.64340625</v>
      </c>
      <c r="BL29" s="815">
        <v>335.38872108999999</v>
      </c>
      <c r="BM29" s="815">
        <v>325.92517979999997</v>
      </c>
      <c r="BN29" s="815">
        <v>321.97520028000002</v>
      </c>
      <c r="BO29" s="815">
        <v>323.09564045999997</v>
      </c>
      <c r="BP29" s="815">
        <v>312.18303608000002</v>
      </c>
      <c r="BQ29" s="815">
        <v>304.47872896000001</v>
      </c>
      <c r="BR29" s="815">
        <v>159.63269509999998</v>
      </c>
      <c r="BS29" s="815">
        <v>145.56443143000001</v>
      </c>
      <c r="BT29" s="815">
        <v>140.46951541999999</v>
      </c>
      <c r="BU29" s="815">
        <v>121.54355838000001</v>
      </c>
      <c r="BV29" s="815">
        <v>95.96268065000001</v>
      </c>
      <c r="BW29" s="815">
        <v>95.917389620000009</v>
      </c>
      <c r="BX29" s="815">
        <v>98.397067490000012</v>
      </c>
      <c r="BY29" s="815">
        <v>86.384385230000007</v>
      </c>
      <c r="BZ29" s="815">
        <v>84.266923140000003</v>
      </c>
      <c r="CA29" s="815">
        <v>84.825405849999996</v>
      </c>
      <c r="CB29" s="815">
        <v>80.925907820000006</v>
      </c>
      <c r="CC29" s="815">
        <v>88.506229579999982</v>
      </c>
      <c r="CD29" s="815">
        <v>91.765076379999996</v>
      </c>
      <c r="CE29" s="815">
        <v>85.204461679999994</v>
      </c>
      <c r="CF29" s="815">
        <v>106.93877567999998</v>
      </c>
      <c r="CG29" s="815">
        <v>117.96085544</v>
      </c>
      <c r="CH29" s="815">
        <v>113.76335682999999</v>
      </c>
      <c r="CI29" s="815">
        <v>111.59863451</v>
      </c>
      <c r="CJ29" s="815">
        <v>126.40781910999999</v>
      </c>
      <c r="CK29" s="815">
        <v>122.4747764</v>
      </c>
      <c r="CL29" s="815">
        <v>131.43122552</v>
      </c>
      <c r="CM29" s="815">
        <v>126.28819065</v>
      </c>
      <c r="CN29" s="815">
        <v>129.02320048000001</v>
      </c>
      <c r="CO29" s="815">
        <v>129.80404823000001</v>
      </c>
      <c r="CP29" s="815">
        <v>131.96744502999999</v>
      </c>
      <c r="CQ29" s="815">
        <v>127.95581802999999</v>
      </c>
      <c r="CR29" s="815">
        <v>146.54716535999998</v>
      </c>
      <c r="CS29" s="815">
        <v>158.77626090000001</v>
      </c>
      <c r="CT29" s="815">
        <v>172.36667965999999</v>
      </c>
      <c r="CU29" s="815">
        <v>178.03286011</v>
      </c>
      <c r="CV29" s="815">
        <v>175.91222725</v>
      </c>
      <c r="CW29" s="815">
        <v>187.54890130999999</v>
      </c>
      <c r="CX29" s="815">
        <v>188.04226036</v>
      </c>
      <c r="CY29" s="815">
        <v>194.78366169</v>
      </c>
      <c r="CZ29" s="815">
        <v>191.16270983000001</v>
      </c>
      <c r="DA29" s="815">
        <v>198.08410673</v>
      </c>
      <c r="DB29" s="815">
        <v>209.93223510000001</v>
      </c>
      <c r="DC29" s="815">
        <v>219.85982440999999</v>
      </c>
      <c r="DD29" s="815">
        <v>222.73273567999999</v>
      </c>
      <c r="DE29" s="815">
        <v>240.51215160000001</v>
      </c>
      <c r="DF29" s="815">
        <v>245.88349364999999</v>
      </c>
      <c r="DG29" s="815">
        <v>276.55412602000001</v>
      </c>
      <c r="DH29" s="815">
        <v>320.73492220000003</v>
      </c>
      <c r="DI29" s="815">
        <v>338.59527075</v>
      </c>
      <c r="DJ29" s="815">
        <v>341.60367215000002</v>
      </c>
      <c r="DK29" s="815">
        <v>349.31707141999999</v>
      </c>
      <c r="DL29" s="815">
        <v>366.76003234000001</v>
      </c>
      <c r="DM29" s="815">
        <v>376.49095388000001</v>
      </c>
      <c r="DN29" s="815">
        <v>383.07822636999998</v>
      </c>
      <c r="DO29" s="815">
        <v>373.48808291</v>
      </c>
      <c r="DP29" s="815">
        <v>378.15259449000001</v>
      </c>
      <c r="DQ29" s="815">
        <v>415.44770054999998</v>
      </c>
      <c r="DR29" s="815">
        <v>404.96158214000002</v>
      </c>
      <c r="DS29" s="815">
        <v>368.39667006000002</v>
      </c>
      <c r="DT29" s="815">
        <v>348.57128888</v>
      </c>
      <c r="DU29" s="815">
        <v>361.78920592999998</v>
      </c>
      <c r="DV29" s="815">
        <v>380.63661210999999</v>
      </c>
      <c r="DW29" s="815">
        <v>401.30466883999998</v>
      </c>
      <c r="DX29" s="815">
        <v>410.34907476000001</v>
      </c>
      <c r="DY29" s="815">
        <v>405.75321464000001</v>
      </c>
      <c r="DZ29" s="815">
        <v>431.96067763000002</v>
      </c>
      <c r="EA29" s="815">
        <v>438.10500918999998</v>
      </c>
      <c r="EB29" s="815">
        <v>467.92446805999998</v>
      </c>
      <c r="EC29" s="815">
        <v>496.47838488999997</v>
      </c>
      <c r="ED29" s="815">
        <v>494.46645344000001</v>
      </c>
      <c r="EE29" s="815">
        <v>498.12760682999999</v>
      </c>
      <c r="EF29" s="815">
        <v>497.99630363</v>
      </c>
      <c r="EG29" s="815">
        <v>513.60802859</v>
      </c>
      <c r="EH29" s="815">
        <v>519.30917316</v>
      </c>
      <c r="EI29" s="815">
        <v>527.91162033000001</v>
      </c>
      <c r="EJ29" s="815">
        <v>526.77163775999998</v>
      </c>
      <c r="EK29" s="815">
        <v>557.35253776000002</v>
      </c>
      <c r="EL29" s="815">
        <v>558.08852230000002</v>
      </c>
      <c r="EM29" s="815">
        <v>647.94660190000002</v>
      </c>
      <c r="EN29" s="815">
        <v>687.41437373999997</v>
      </c>
      <c r="EO29" s="815">
        <v>674.85302464999995</v>
      </c>
      <c r="EP29" s="815">
        <v>714.57726283</v>
      </c>
      <c r="EQ29" s="815">
        <v>727.35512334999999</v>
      </c>
      <c r="ER29" s="815">
        <v>741.94678979000003</v>
      </c>
      <c r="ES29" s="815">
        <v>739.52492529999995</v>
      </c>
      <c r="ET29" s="815">
        <v>763.40400394000005</v>
      </c>
      <c r="EU29" s="815">
        <v>770.97636326999998</v>
      </c>
      <c r="EV29" s="815">
        <v>765.68781661000003</v>
      </c>
      <c r="EW29" s="815">
        <v>779.69232883999996</v>
      </c>
      <c r="EX29" s="815">
        <v>798.29843948999996</v>
      </c>
      <c r="EY29" s="815">
        <v>811.79590298999995</v>
      </c>
      <c r="EZ29" s="815">
        <v>833.60762266999996</v>
      </c>
      <c r="FA29" s="815">
        <v>849.32855615000005</v>
      </c>
      <c r="FB29" s="815">
        <v>855.67339337999999</v>
      </c>
      <c r="FC29" s="815">
        <v>851.43351712000003</v>
      </c>
      <c r="FD29" s="815">
        <v>866.57610253999997</v>
      </c>
      <c r="FE29" s="815">
        <v>866.75070757000003</v>
      </c>
      <c r="FF29" s="815">
        <v>872.07344867999996</v>
      </c>
      <c r="FG29" s="815">
        <v>869.17445978000001</v>
      </c>
      <c r="FH29" s="1714" t="s">
        <v>206</v>
      </c>
      <c r="FI29" s="319"/>
      <c r="FJ29" s="319"/>
      <c r="FK29" s="319"/>
      <c r="FL29" s="319"/>
      <c r="FM29" s="321"/>
      <c r="FN29" s="319"/>
      <c r="FO29" s="319"/>
      <c r="FP29" s="319"/>
      <c r="FQ29" s="319"/>
      <c r="FR29" s="319"/>
      <c r="FS29" s="319"/>
      <c r="FT29" s="319"/>
      <c r="FU29" s="319"/>
      <c r="FV29" s="319"/>
      <c r="FW29" s="319"/>
      <c r="FX29" s="319"/>
      <c r="FY29" s="319"/>
      <c r="FZ29" s="319"/>
      <c r="GA29" s="319"/>
      <c r="GB29" s="319"/>
      <c r="GC29" s="319"/>
      <c r="GD29" s="319"/>
      <c r="GE29" s="319"/>
      <c r="GF29" s="319"/>
      <c r="GG29" s="319"/>
      <c r="GH29" s="319"/>
      <c r="GI29" s="319"/>
      <c r="GJ29" s="319"/>
      <c r="GK29" s="319"/>
      <c r="GL29" s="319"/>
      <c r="GM29" s="319"/>
      <c r="GN29" s="319"/>
      <c r="GO29" s="319"/>
      <c r="GP29" s="319"/>
      <c r="GQ29" s="319"/>
      <c r="GR29" s="319"/>
      <c r="GS29" s="319"/>
      <c r="GT29" s="319"/>
      <c r="GU29" s="319"/>
      <c r="GV29" s="319"/>
      <c r="GW29" s="319"/>
      <c r="GX29" s="319"/>
      <c r="GY29" s="319"/>
      <c r="GZ29" s="319"/>
      <c r="HA29" s="319"/>
      <c r="HB29" s="319"/>
      <c r="HC29" s="319"/>
      <c r="HD29" s="319"/>
      <c r="HE29" s="319"/>
      <c r="HF29" s="319"/>
      <c r="HG29" s="319"/>
      <c r="HH29" s="319"/>
      <c r="HI29" s="319"/>
      <c r="HJ29" s="319"/>
      <c r="HK29" s="319"/>
      <c r="HL29" s="319"/>
      <c r="HM29" s="319"/>
      <c r="HN29" s="319"/>
      <c r="HO29" s="319"/>
      <c r="HP29" s="319"/>
      <c r="HQ29" s="319"/>
      <c r="HR29" s="319"/>
      <c r="HS29" s="319"/>
      <c r="HT29" s="319"/>
      <c r="HU29" s="319"/>
      <c r="HV29" s="319"/>
      <c r="HW29" s="319"/>
      <c r="HX29" s="319"/>
      <c r="HY29" s="319"/>
      <c r="HZ29" s="319"/>
      <c r="IA29" s="319"/>
      <c r="IB29" s="319"/>
      <c r="IC29" s="319"/>
      <c r="ID29" s="319"/>
      <c r="IE29" s="319"/>
      <c r="IF29" s="319"/>
      <c r="IG29" s="319"/>
      <c r="IH29" s="319"/>
      <c r="II29" s="319"/>
      <c r="IJ29" s="319"/>
      <c r="IK29" s="319"/>
      <c r="IL29" s="319"/>
      <c r="IM29" s="319"/>
      <c r="IN29" s="319"/>
      <c r="IO29" s="319"/>
      <c r="IP29" s="319"/>
      <c r="IQ29" s="319"/>
      <c r="IR29" s="319"/>
      <c r="IS29" s="319"/>
      <c r="IT29" s="319"/>
      <c r="IU29" s="319"/>
      <c r="IV29" s="319"/>
      <c r="IW29" s="319"/>
      <c r="IX29" s="319"/>
      <c r="IY29" s="319"/>
      <c r="IZ29" s="319"/>
      <c r="JA29" s="319"/>
      <c r="JB29" s="319"/>
      <c r="JC29" s="319"/>
      <c r="JD29" s="319"/>
      <c r="JE29" s="319"/>
      <c r="JF29" s="319"/>
      <c r="JG29" s="319"/>
      <c r="JH29" s="319"/>
      <c r="JI29" s="319"/>
      <c r="JJ29" s="319"/>
      <c r="JK29" s="319"/>
      <c r="JL29" s="319"/>
      <c r="JM29" s="319"/>
      <c r="JN29" s="319"/>
      <c r="JO29" s="319"/>
      <c r="JP29" s="319"/>
      <c r="JQ29" s="319"/>
      <c r="JR29" s="319"/>
      <c r="JS29" s="319"/>
      <c r="JT29" s="319"/>
      <c r="JU29" s="319"/>
      <c r="JV29" s="319"/>
      <c r="JW29" s="319"/>
      <c r="JX29" s="319"/>
      <c r="JY29" s="319"/>
      <c r="JZ29" s="319"/>
      <c r="KA29" s="319"/>
      <c r="KB29" s="319"/>
      <c r="KC29" s="319"/>
      <c r="KD29" s="319"/>
      <c r="KE29" s="319"/>
      <c r="KF29" s="319"/>
      <c r="KG29" s="319"/>
      <c r="KH29" s="319"/>
      <c r="KI29" s="319"/>
      <c r="KJ29" s="319"/>
      <c r="KK29" s="319"/>
      <c r="KL29" s="319"/>
      <c r="KM29" s="319"/>
      <c r="KN29" s="319"/>
      <c r="KO29" s="319"/>
      <c r="KP29" s="319"/>
    </row>
    <row r="30" spans="1:302" ht="21">
      <c r="A30" s="1745" t="s">
        <v>1961</v>
      </c>
      <c r="B30" s="792">
        <v>0.25</v>
      </c>
      <c r="C30" s="792">
        <v>0.25</v>
      </c>
      <c r="D30" s="792">
        <v>0.25</v>
      </c>
      <c r="E30" s="792">
        <v>0.25</v>
      </c>
      <c r="F30" s="792">
        <v>0.25</v>
      </c>
      <c r="G30" s="792">
        <v>0</v>
      </c>
      <c r="H30" s="792">
        <v>0</v>
      </c>
      <c r="I30" s="792">
        <v>0</v>
      </c>
      <c r="J30" s="792">
        <v>0</v>
      </c>
      <c r="K30" s="792">
        <v>0</v>
      </c>
      <c r="L30" s="792">
        <v>0</v>
      </c>
      <c r="M30" s="784">
        <v>7.4706999999999996E-2</v>
      </c>
      <c r="N30" s="784">
        <v>7.3109439999999998E-2</v>
      </c>
      <c r="O30" s="784">
        <v>7.142488000000001E-2</v>
      </c>
      <c r="P30" s="784">
        <v>6.9750350000000003E-2</v>
      </c>
      <c r="Q30" s="784">
        <v>6.8115490000000001E-2</v>
      </c>
      <c r="R30" s="784">
        <v>6.6336289999999992E-2</v>
      </c>
      <c r="S30" s="784">
        <v>15.064593910000001</v>
      </c>
      <c r="T30" s="784">
        <v>15.062885720000001</v>
      </c>
      <c r="U30" s="784">
        <v>15.06104144</v>
      </c>
      <c r="V30" s="784">
        <v>15.059228470000001</v>
      </c>
      <c r="W30" s="784">
        <v>13.18241765</v>
      </c>
      <c r="X30" s="784">
        <v>13.180530839999999</v>
      </c>
      <c r="Y30" s="784">
        <v>13.178644390000001</v>
      </c>
      <c r="Z30" s="784">
        <v>13.176732789999999</v>
      </c>
      <c r="AA30" s="784">
        <v>13.174795699999999</v>
      </c>
      <c r="AB30" s="784">
        <v>4.7832779999999998E-2</v>
      </c>
      <c r="AC30" s="784">
        <v>4.5864949999999995E-2</v>
      </c>
      <c r="AD30" s="784">
        <v>4.3829239999999998E-2</v>
      </c>
      <c r="AE30" s="784">
        <v>4.1786769999999994E-2</v>
      </c>
      <c r="AF30" s="784">
        <v>3.9735640000000003E-2</v>
      </c>
      <c r="AG30" s="784">
        <v>3.7620929999999997E-2</v>
      </c>
      <c r="AH30" s="784">
        <v>3.5529120000000004E-2</v>
      </c>
      <c r="AI30" s="784">
        <v>3.3344400000000003E-2</v>
      </c>
      <c r="AJ30" s="784">
        <v>3.116213E-2</v>
      </c>
      <c r="AK30" s="784">
        <v>2.8978459999999998E-2</v>
      </c>
      <c r="AL30" s="784">
        <v>4.6712219999999999E-2</v>
      </c>
      <c r="AM30" s="784">
        <v>4.4441519999999998E-2</v>
      </c>
      <c r="AN30" s="784">
        <v>6.0478279999999995E-2</v>
      </c>
      <c r="AO30" s="784">
        <v>5.4664629999999999E-2</v>
      </c>
      <c r="AP30" s="784">
        <v>56.314590189999997</v>
      </c>
      <c r="AQ30" s="784">
        <v>55.730397590000003</v>
      </c>
      <c r="AR30" s="784">
        <v>55.081193420000005</v>
      </c>
      <c r="AS30" s="784">
        <v>54.551722090000005</v>
      </c>
      <c r="AT30" s="784">
        <v>54.923990549999999</v>
      </c>
      <c r="AU30" s="784">
        <v>54.292623479999996</v>
      </c>
      <c r="AV30" s="784">
        <v>53.683810729999998</v>
      </c>
      <c r="AW30" s="784">
        <v>53.003649600000003</v>
      </c>
      <c r="AX30" s="784">
        <v>52.377924419999999</v>
      </c>
      <c r="AY30" s="784">
        <v>50.904900900000001</v>
      </c>
      <c r="AZ30" s="784">
        <v>48.536484869999995</v>
      </c>
      <c r="BA30" s="784">
        <v>47.479940810000002</v>
      </c>
      <c r="BB30" s="784">
        <v>46.475326200000005</v>
      </c>
      <c r="BC30" s="784">
        <v>45.826605630000003</v>
      </c>
      <c r="BD30" s="784">
        <v>45.105238899999996</v>
      </c>
      <c r="BE30" s="784">
        <v>44.03694385</v>
      </c>
      <c r="BF30" s="784">
        <v>43.070138360000001</v>
      </c>
      <c r="BG30" s="784">
        <v>42.063235509999998</v>
      </c>
      <c r="BH30" s="827">
        <v>41.181359880000002</v>
      </c>
      <c r="BI30" s="816">
        <v>40.200829729999995</v>
      </c>
      <c r="BJ30" s="816">
        <v>39.285286499999998</v>
      </c>
      <c r="BK30" s="816">
        <v>38.257577349999998</v>
      </c>
      <c r="BL30" s="816">
        <v>37.21594176</v>
      </c>
      <c r="BM30" s="816">
        <v>36.353385719999999</v>
      </c>
      <c r="BN30" s="816">
        <v>35.219896920000004</v>
      </c>
      <c r="BO30" s="816">
        <v>34.633920909999993</v>
      </c>
      <c r="BP30" s="816">
        <v>34.251979720000001</v>
      </c>
      <c r="BQ30" s="816">
        <v>33.725469459999999</v>
      </c>
      <c r="BR30" s="816">
        <v>36.154014939999996</v>
      </c>
      <c r="BS30" s="816">
        <v>35.667925140000001</v>
      </c>
      <c r="BT30" s="816">
        <v>34.090150689999994</v>
      </c>
      <c r="BU30" s="816">
        <v>32.47835697</v>
      </c>
      <c r="BV30" s="816">
        <v>7.7490047000000004</v>
      </c>
      <c r="BW30" s="816">
        <v>7.7490047000000004</v>
      </c>
      <c r="BX30" s="816">
        <v>7.7490047000000004</v>
      </c>
      <c r="BY30" s="816">
        <v>7.7490047000000004</v>
      </c>
      <c r="BZ30" s="816">
        <v>7.7490047000000004</v>
      </c>
      <c r="CA30" s="816">
        <v>7.1987613099999992</v>
      </c>
      <c r="CB30" s="816">
        <v>7.1987613099999992</v>
      </c>
      <c r="CC30" s="816">
        <v>7.1987613099999992</v>
      </c>
      <c r="CD30" s="816">
        <v>7.2495114100000002</v>
      </c>
      <c r="CE30" s="816">
        <v>7.2495114100000002</v>
      </c>
      <c r="CF30" s="816">
        <v>6.6920870800000003</v>
      </c>
      <c r="CG30" s="816">
        <v>13.743764759999999</v>
      </c>
      <c r="CH30" s="816">
        <v>6.7542097600000002</v>
      </c>
      <c r="CI30" s="816">
        <v>6.76465476</v>
      </c>
      <c r="CJ30" s="816">
        <v>10.04747476</v>
      </c>
      <c r="CK30" s="816">
        <v>6.9440869800000007</v>
      </c>
      <c r="CL30" s="816">
        <v>6.90028782</v>
      </c>
      <c r="CM30" s="816">
        <v>6.8296029200000001</v>
      </c>
      <c r="CN30" s="816">
        <v>6.8284654500000004</v>
      </c>
      <c r="CO30" s="816">
        <v>6.7577119699999999</v>
      </c>
      <c r="CP30" s="816">
        <v>6.6869387400000004</v>
      </c>
      <c r="CQ30" s="816">
        <v>6.6161454199999996</v>
      </c>
      <c r="CR30" s="816">
        <v>6.5451887900000001</v>
      </c>
      <c r="CS30" s="816">
        <v>6.4744988499999998</v>
      </c>
      <c r="CT30" s="816">
        <v>1.655616E-2</v>
      </c>
      <c r="CU30" s="816">
        <v>1.531357E-2</v>
      </c>
      <c r="CV30" s="816">
        <v>1.4039579999999999E-2</v>
      </c>
      <c r="CW30" s="816">
        <v>1.2735099999999999E-2</v>
      </c>
      <c r="CX30" s="816">
        <v>1.1415979999999999E-2</v>
      </c>
      <c r="CY30" s="816">
        <v>5.0073779999999998E-2</v>
      </c>
      <c r="CZ30" s="816">
        <v>4.8708090000000002E-2</v>
      </c>
      <c r="DA30" s="816">
        <v>4.597035E-2</v>
      </c>
      <c r="DB30" s="816">
        <v>4.0150859999999997E-2</v>
      </c>
      <c r="DC30" s="816">
        <v>8.7373889999999996E-2</v>
      </c>
      <c r="DD30" s="816">
        <v>1.07748541</v>
      </c>
      <c r="DE30" s="816">
        <v>3.5341092199999999</v>
      </c>
      <c r="DF30" s="816">
        <v>3.47492036</v>
      </c>
      <c r="DG30" s="816">
        <v>3.9652590000000001</v>
      </c>
      <c r="DH30" s="816">
        <v>4.3141974200000002</v>
      </c>
      <c r="DI30" s="816">
        <v>4.0142898499999999</v>
      </c>
      <c r="DJ30" s="816">
        <v>3.9360665500000001</v>
      </c>
      <c r="DK30" s="816">
        <v>3.8559742699999999</v>
      </c>
      <c r="DL30" s="816">
        <v>3.7757613999999999</v>
      </c>
      <c r="DM30" s="816">
        <v>3.8256600500000002</v>
      </c>
      <c r="DN30" s="816">
        <v>3.72869406</v>
      </c>
      <c r="DO30" s="816">
        <v>3.6407092200000002</v>
      </c>
      <c r="DP30" s="816">
        <v>3.5528039800000002</v>
      </c>
      <c r="DQ30" s="816">
        <v>3.4276491500000001</v>
      </c>
      <c r="DR30" s="816">
        <v>3.3272526500000001</v>
      </c>
      <c r="DS30" s="816">
        <v>3.2211372200000001</v>
      </c>
      <c r="DT30" s="816">
        <v>3.07214148</v>
      </c>
      <c r="DU30" s="816">
        <v>2.9378061600000001</v>
      </c>
      <c r="DV30" s="816">
        <v>2.80568989</v>
      </c>
      <c r="DW30" s="816">
        <v>2.7368298200000001</v>
      </c>
      <c r="DX30" s="816">
        <v>2.5393560800000001</v>
      </c>
      <c r="DY30" s="816">
        <v>2.40192351</v>
      </c>
      <c r="DZ30" s="816">
        <v>2.2569638200000002</v>
      </c>
      <c r="EA30" s="816">
        <v>2.1215335299999998</v>
      </c>
      <c r="EB30" s="816">
        <v>22.005020380000001</v>
      </c>
      <c r="EC30" s="816">
        <v>26.539853319999999</v>
      </c>
      <c r="ED30" s="816">
        <v>26.036267169999999</v>
      </c>
      <c r="EE30" s="816">
        <v>25.506268680000002</v>
      </c>
      <c r="EF30" s="816">
        <v>25.015596970000001</v>
      </c>
      <c r="EG30" s="816">
        <v>24.451615019999998</v>
      </c>
      <c r="EH30" s="816">
        <v>23.927911009999999</v>
      </c>
      <c r="EI30" s="816">
        <v>23.475236809999998</v>
      </c>
      <c r="EJ30" s="816">
        <v>22.923676260000001</v>
      </c>
      <c r="EK30" s="816">
        <v>32.543368600000001</v>
      </c>
      <c r="EL30" s="816">
        <v>31.936472240000001</v>
      </c>
      <c r="EM30" s="816">
        <v>31.310924610000001</v>
      </c>
      <c r="EN30" s="816">
        <v>34.062771840000003</v>
      </c>
      <c r="EO30" s="816">
        <v>33.704531350000003</v>
      </c>
      <c r="EP30" s="816">
        <v>33.01138272</v>
      </c>
      <c r="EQ30" s="816">
        <v>32.437535259999997</v>
      </c>
      <c r="ER30" s="816">
        <v>32.307414899999998</v>
      </c>
      <c r="ES30" s="816">
        <v>31.484647630000001</v>
      </c>
      <c r="ET30" s="816">
        <v>30.86975743</v>
      </c>
      <c r="EU30" s="816">
        <v>30.286610249999999</v>
      </c>
      <c r="EV30" s="816">
        <v>29.685125119999999</v>
      </c>
      <c r="EW30" s="816">
        <v>29.090331209999999</v>
      </c>
      <c r="EX30" s="816">
        <v>28.487910809999999</v>
      </c>
      <c r="EY30" s="816">
        <v>27.87306658</v>
      </c>
      <c r="EZ30" s="816">
        <v>27.262902539999999</v>
      </c>
      <c r="FA30" s="816">
        <v>26.648835250000001</v>
      </c>
      <c r="FB30" s="816">
        <v>26.02791598</v>
      </c>
      <c r="FC30" s="816">
        <v>25.66468368</v>
      </c>
      <c r="FD30" s="816">
        <v>24.78223732</v>
      </c>
      <c r="FE30" s="816">
        <v>24.123572889999998</v>
      </c>
      <c r="FF30" s="816">
        <v>23.845824440000001</v>
      </c>
      <c r="FG30" s="816">
        <v>22.840001999999998</v>
      </c>
      <c r="FH30" s="1716" t="s">
        <v>4067</v>
      </c>
      <c r="FI30" s="319"/>
      <c r="FJ30" s="319"/>
      <c r="FK30" s="319"/>
      <c r="FL30" s="319"/>
      <c r="FM30" s="321"/>
      <c r="FN30" s="319"/>
      <c r="FO30" s="319"/>
      <c r="FP30" s="319"/>
      <c r="FQ30" s="319"/>
      <c r="FR30" s="319"/>
      <c r="FS30" s="319"/>
      <c r="FT30" s="319"/>
      <c r="FU30" s="319"/>
      <c r="FV30" s="319"/>
      <c r="FW30" s="319"/>
      <c r="FX30" s="319"/>
      <c r="FY30" s="319"/>
      <c r="FZ30" s="319"/>
      <c r="GA30" s="319"/>
      <c r="GB30" s="319"/>
      <c r="GC30" s="319"/>
      <c r="GD30" s="319"/>
      <c r="GE30" s="319"/>
      <c r="GF30" s="319"/>
      <c r="GG30" s="319"/>
      <c r="GH30" s="319"/>
      <c r="GI30" s="319"/>
      <c r="GJ30" s="319"/>
      <c r="GK30" s="319"/>
      <c r="GL30" s="319"/>
      <c r="GM30" s="319"/>
      <c r="GN30" s="319"/>
      <c r="GO30" s="319"/>
      <c r="GP30" s="319"/>
      <c r="GQ30" s="319"/>
      <c r="GR30" s="319"/>
      <c r="GS30" s="319"/>
      <c r="GT30" s="319"/>
      <c r="GU30" s="319"/>
      <c r="GV30" s="319"/>
      <c r="GW30" s="319"/>
      <c r="GX30" s="319"/>
      <c r="GY30" s="319"/>
      <c r="GZ30" s="319"/>
      <c r="HA30" s="319"/>
      <c r="HB30" s="319"/>
      <c r="HC30" s="319"/>
      <c r="HD30" s="319"/>
      <c r="HE30" s="319"/>
      <c r="HF30" s="319"/>
      <c r="HG30" s="319"/>
      <c r="HH30" s="319"/>
      <c r="HI30" s="319"/>
      <c r="HJ30" s="319"/>
      <c r="HK30" s="319"/>
      <c r="HL30" s="319"/>
      <c r="HM30" s="319"/>
      <c r="HN30" s="319"/>
      <c r="HO30" s="319"/>
      <c r="HP30" s="319"/>
      <c r="HQ30" s="319"/>
      <c r="HR30" s="319"/>
      <c r="HS30" s="319"/>
      <c r="HT30" s="319"/>
      <c r="HU30" s="319"/>
      <c r="HV30" s="319"/>
      <c r="HW30" s="319"/>
      <c r="HX30" s="319"/>
      <c r="HY30" s="319"/>
      <c r="HZ30" s="319"/>
      <c r="IA30" s="319"/>
      <c r="IB30" s="319"/>
      <c r="IC30" s="319"/>
      <c r="ID30" s="319"/>
      <c r="IE30" s="319"/>
      <c r="IF30" s="319"/>
      <c r="IG30" s="319"/>
      <c r="IH30" s="319"/>
      <c r="II30" s="319"/>
      <c r="IJ30" s="319"/>
      <c r="IK30" s="319"/>
      <c r="IL30" s="319"/>
      <c r="IM30" s="319"/>
      <c r="IN30" s="319"/>
      <c r="IO30" s="319"/>
      <c r="IP30" s="319"/>
      <c r="IQ30" s="319"/>
      <c r="IR30" s="319"/>
      <c r="IS30" s="319"/>
      <c r="IT30" s="319"/>
      <c r="IU30" s="319"/>
      <c r="IV30" s="319"/>
      <c r="IW30" s="319"/>
      <c r="IX30" s="319"/>
      <c r="IY30" s="319"/>
      <c r="IZ30" s="319"/>
      <c r="JA30" s="319"/>
      <c r="JB30" s="319"/>
      <c r="JC30" s="319"/>
      <c r="JD30" s="319"/>
      <c r="JE30" s="319"/>
      <c r="JF30" s="319"/>
      <c r="JG30" s="319"/>
      <c r="JH30" s="319"/>
      <c r="JI30" s="319"/>
      <c r="JJ30" s="319"/>
      <c r="JK30" s="319"/>
      <c r="JL30" s="319"/>
      <c r="JM30" s="319"/>
      <c r="JN30" s="319"/>
      <c r="JO30" s="319"/>
      <c r="JP30" s="319"/>
      <c r="JQ30" s="319"/>
      <c r="JR30" s="319"/>
      <c r="JS30" s="319"/>
      <c r="JT30" s="319"/>
      <c r="JU30" s="319"/>
      <c r="JV30" s="319"/>
      <c r="JW30" s="319"/>
      <c r="JX30" s="319"/>
      <c r="JY30" s="319"/>
      <c r="JZ30" s="319"/>
      <c r="KA30" s="319"/>
      <c r="KB30" s="319"/>
      <c r="KC30" s="319"/>
      <c r="KD30" s="319"/>
      <c r="KE30" s="319"/>
      <c r="KF30" s="319"/>
      <c r="KG30" s="319"/>
      <c r="KH30" s="319"/>
      <c r="KI30" s="319"/>
      <c r="KJ30" s="319"/>
      <c r="KK30" s="319"/>
      <c r="KL30" s="319"/>
      <c r="KM30" s="319"/>
      <c r="KN30" s="319"/>
      <c r="KO30" s="319"/>
      <c r="KP30" s="319"/>
    </row>
    <row r="31" spans="1:302" ht="21">
      <c r="A31" s="1745" t="s">
        <v>1962</v>
      </c>
      <c r="B31" s="791">
        <f>+B29-B30</f>
        <v>890.54571515999999</v>
      </c>
      <c r="C31" s="791">
        <f t="shared" ref="C31:R31" si="10">+C29-C30</f>
        <v>1198.4868987</v>
      </c>
      <c r="D31" s="791">
        <f t="shared" si="10"/>
        <v>1272.5784622400001</v>
      </c>
      <c r="E31" s="791">
        <f t="shared" si="10"/>
        <v>1471.0895681400002</v>
      </c>
      <c r="F31" s="791">
        <f t="shared" si="10"/>
        <v>1566.2248872100001</v>
      </c>
      <c r="G31" s="791">
        <f t="shared" si="10"/>
        <v>1619.0921400500001</v>
      </c>
      <c r="H31" s="791">
        <f t="shared" si="10"/>
        <v>1687.8298249200002</v>
      </c>
      <c r="I31" s="791">
        <f t="shared" si="10"/>
        <v>1743.49229616</v>
      </c>
      <c r="J31" s="791">
        <f t="shared" si="10"/>
        <v>1787.96960162</v>
      </c>
      <c r="K31" s="791">
        <f t="shared" si="10"/>
        <v>1816.9938925499998</v>
      </c>
      <c r="L31" s="791">
        <f t="shared" si="10"/>
        <v>1862.6899854200001</v>
      </c>
      <c r="M31" s="784">
        <f t="shared" si="10"/>
        <v>1878.8136385599998</v>
      </c>
      <c r="N31" s="781">
        <f t="shared" si="10"/>
        <v>1511.5445485399998</v>
      </c>
      <c r="O31" s="781">
        <f t="shared" si="10"/>
        <v>1550.9178534499999</v>
      </c>
      <c r="P31" s="781">
        <f t="shared" si="10"/>
        <v>1579.0763936600001</v>
      </c>
      <c r="Q31" s="781">
        <f t="shared" si="10"/>
        <v>1611.4774921200001</v>
      </c>
      <c r="R31" s="781">
        <f t="shared" si="10"/>
        <v>1678.81693294</v>
      </c>
      <c r="S31" s="781">
        <f>+S29-S30</f>
        <v>1723.2503193099999</v>
      </c>
      <c r="T31" s="781">
        <f>+T29-T30</f>
        <v>1773.3690063500001</v>
      </c>
      <c r="U31" s="781">
        <f>+U29-U30</f>
        <v>1821.9391195399999</v>
      </c>
      <c r="V31" s="781">
        <f>+V29-V30</f>
        <v>1848.41508034</v>
      </c>
      <c r="W31" s="781">
        <v>1876.4297801100001</v>
      </c>
      <c r="X31" s="781">
        <v>1929.6811991699999</v>
      </c>
      <c r="Y31" s="784">
        <v>1909.9925407500002</v>
      </c>
      <c r="Z31" s="781">
        <v>1908.71002481</v>
      </c>
      <c r="AA31" s="781">
        <v>1379.18611992</v>
      </c>
      <c r="AB31" s="784">
        <f>+AB29-AB30</f>
        <v>1346.2415475600001</v>
      </c>
      <c r="AC31" s="784">
        <v>1307.55006207</v>
      </c>
      <c r="AD31" s="784">
        <v>1297.91388835</v>
      </c>
      <c r="AE31" s="784">
        <v>1285.2934493499999</v>
      </c>
      <c r="AF31" s="784">
        <v>1309.5280356000001</v>
      </c>
      <c r="AG31" s="784">
        <v>1299.9788496799999</v>
      </c>
      <c r="AH31" s="784">
        <f>+AH29-AH30</f>
        <v>1280.9796127800003</v>
      </c>
      <c r="AI31" s="784">
        <v>1287.44847065</v>
      </c>
      <c r="AJ31" s="784">
        <f>+AJ29-AJ30</f>
        <v>1318.3260960600001</v>
      </c>
      <c r="AK31" s="784">
        <f>+AK29-AK30</f>
        <v>1497.2240121899999</v>
      </c>
      <c r="AL31" s="784">
        <v>1550.08112433</v>
      </c>
      <c r="AM31" s="784">
        <f>+AM29-AM30</f>
        <v>1549.0451094500002</v>
      </c>
      <c r="AN31" s="784">
        <f>+AN29-AN30</f>
        <v>1544.8962898700001</v>
      </c>
      <c r="AO31" s="784">
        <f>+AO29-AO30</f>
        <v>1414.0801631499999</v>
      </c>
      <c r="AP31" s="784">
        <f>+AP29-AP30</f>
        <v>1378.1845803900001</v>
      </c>
      <c r="AQ31" s="784">
        <v>1164.4763463200002</v>
      </c>
      <c r="AR31" s="784">
        <v>744.86400674000004</v>
      </c>
      <c r="AS31" s="784">
        <f>+AS29-AS30</f>
        <v>745.56484932000012</v>
      </c>
      <c r="AT31" s="784">
        <f>+AT29-AT30</f>
        <v>748.11857155999996</v>
      </c>
      <c r="AU31" s="784">
        <v>686.28335401999993</v>
      </c>
      <c r="AV31" s="784">
        <v>685.40733952999994</v>
      </c>
      <c r="AW31" s="784">
        <v>684.83607407000011</v>
      </c>
      <c r="AX31" s="784">
        <v>682.94694053000001</v>
      </c>
      <c r="AY31" s="784">
        <v>681.45597178999992</v>
      </c>
      <c r="AZ31" s="784">
        <v>677.16441825000004</v>
      </c>
      <c r="BA31" s="784">
        <v>675.71949286000006</v>
      </c>
      <c r="BB31" s="784">
        <v>644.89973734</v>
      </c>
      <c r="BC31" s="784">
        <v>606.31867662000002</v>
      </c>
      <c r="BD31" s="784">
        <f>+BD29-BD30</f>
        <v>337.11817181999999</v>
      </c>
      <c r="BE31" s="784">
        <v>307.48717624</v>
      </c>
      <c r="BF31" s="784">
        <v>303.42768939000001</v>
      </c>
      <c r="BG31" s="784">
        <v>299.65816024000003</v>
      </c>
      <c r="BH31" s="827">
        <v>293.79544714999997</v>
      </c>
      <c r="BI31" s="816">
        <v>314.74340117000003</v>
      </c>
      <c r="BJ31" s="816">
        <v>312.79810850000001</v>
      </c>
      <c r="BK31" s="816">
        <v>309.38582889999998</v>
      </c>
      <c r="BL31" s="816">
        <v>298.17277932999997</v>
      </c>
      <c r="BM31" s="816">
        <v>289.57179407999996</v>
      </c>
      <c r="BN31" s="816">
        <v>286.75530336000003</v>
      </c>
      <c r="BO31" s="816">
        <v>288.46171955</v>
      </c>
      <c r="BP31" s="816">
        <v>277.93105636000001</v>
      </c>
      <c r="BQ31" s="816">
        <v>270.75325950000001</v>
      </c>
      <c r="BR31" s="816">
        <v>123.47868015999998</v>
      </c>
      <c r="BS31" s="816">
        <v>109.89650629000002</v>
      </c>
      <c r="BT31" s="816">
        <v>106.37936472999999</v>
      </c>
      <c r="BU31" s="816">
        <v>89.065201410000014</v>
      </c>
      <c r="BV31" s="816">
        <v>88.21367595000001</v>
      </c>
      <c r="BW31" s="816">
        <v>88.168384920000008</v>
      </c>
      <c r="BX31" s="816">
        <v>90.648062790000012</v>
      </c>
      <c r="BY31" s="816">
        <v>78.635380530000006</v>
      </c>
      <c r="BZ31" s="816">
        <v>76.517918440000003</v>
      </c>
      <c r="CA31" s="816">
        <v>77.626644540000001</v>
      </c>
      <c r="CB31" s="816">
        <v>73.727146510000011</v>
      </c>
      <c r="CC31" s="816">
        <v>81.307468269999987</v>
      </c>
      <c r="CD31" s="816">
        <v>84.51556497</v>
      </c>
      <c r="CE31" s="816">
        <f t="shared" ref="CE31:CP31" si="11">+CE29-CE30</f>
        <v>77.954950269999998</v>
      </c>
      <c r="CF31" s="816">
        <f t="shared" si="11"/>
        <v>100.24668859999997</v>
      </c>
      <c r="CG31" s="816">
        <f t="shared" si="11"/>
        <v>104.21709068</v>
      </c>
      <c r="CH31" s="816">
        <f t="shared" si="11"/>
        <v>107.00914707</v>
      </c>
      <c r="CI31" s="816">
        <f t="shared" si="11"/>
        <v>104.83397975</v>
      </c>
      <c r="CJ31" s="816">
        <f t="shared" si="11"/>
        <v>116.36034434999999</v>
      </c>
      <c r="CK31" s="816">
        <f t="shared" si="11"/>
        <v>115.53068942</v>
      </c>
      <c r="CL31" s="816">
        <f t="shared" si="11"/>
        <v>124.5309377</v>
      </c>
      <c r="CM31" s="816">
        <f t="shared" si="11"/>
        <v>119.45858773</v>
      </c>
      <c r="CN31" s="816">
        <f t="shared" si="11"/>
        <v>122.19473503000002</v>
      </c>
      <c r="CO31" s="816">
        <f t="shared" si="11"/>
        <v>123.04633626</v>
      </c>
      <c r="CP31" s="816">
        <f t="shared" si="11"/>
        <v>125.28050628999999</v>
      </c>
      <c r="CQ31" s="816">
        <f>+CQ29-CQ30</f>
        <v>121.33967260999999</v>
      </c>
      <c r="CR31" s="816">
        <f>+CR29-CR30</f>
        <v>140.00197656999998</v>
      </c>
      <c r="CS31" s="816">
        <f>+CS29-CS30</f>
        <v>152.30176205000001</v>
      </c>
      <c r="CT31" s="816">
        <v>172.3501235</v>
      </c>
      <c r="CU31" s="816">
        <f>+CU29-CU30</f>
        <v>178.01754654000001</v>
      </c>
      <c r="CV31" s="816">
        <v>175.89818767</v>
      </c>
      <c r="CW31" s="816">
        <v>187.53616621</v>
      </c>
      <c r="CX31" s="816">
        <v>188.03084437999999</v>
      </c>
      <c r="CY31" s="816">
        <v>194.73358791000001</v>
      </c>
      <c r="CZ31" s="816">
        <v>191.11400174000002</v>
      </c>
      <c r="DA31" s="816">
        <v>198.03813638</v>
      </c>
      <c r="DB31" s="816">
        <v>209.89208424</v>
      </c>
      <c r="DC31" s="816">
        <f>+DC29-DC30</f>
        <v>219.77245051999998</v>
      </c>
      <c r="DD31" s="816">
        <v>221.65525026999998</v>
      </c>
      <c r="DE31" s="816">
        <v>236.97804238000001</v>
      </c>
      <c r="DF31" s="816">
        <v>242.40857328999999</v>
      </c>
      <c r="DG31" s="816">
        <f>+DG29-DG30</f>
        <v>272.58886702000001</v>
      </c>
      <c r="DH31" s="816">
        <v>316.42072478</v>
      </c>
      <c r="DI31" s="816">
        <f>+DI29-DI30</f>
        <v>334.58098089999999</v>
      </c>
      <c r="DJ31" s="816">
        <v>337.6676056</v>
      </c>
      <c r="DK31" s="816">
        <v>345.46109715</v>
      </c>
      <c r="DL31" s="816">
        <v>362.98427093999999</v>
      </c>
      <c r="DM31" s="816">
        <v>372.66529383</v>
      </c>
      <c r="DN31" s="816">
        <f>+DN29-DN30</f>
        <v>379.34953230999997</v>
      </c>
      <c r="DO31" s="816">
        <f>+DO29-DO30</f>
        <v>369.84737368999998</v>
      </c>
      <c r="DP31" s="816">
        <f>+DP29-DP30</f>
        <v>374.59979050999999</v>
      </c>
      <c r="DQ31" s="816">
        <f>+DQ29-DQ30</f>
        <v>412.0200514</v>
      </c>
      <c r="DR31" s="816">
        <v>401.63432949000003</v>
      </c>
      <c r="DS31" s="816">
        <v>365.17553284000002</v>
      </c>
      <c r="DT31" s="816">
        <v>345.49914739999997</v>
      </c>
      <c r="DU31" s="816">
        <f>+DU29-DU30</f>
        <v>358.85139977</v>
      </c>
      <c r="DV31" s="816">
        <f>+DV29-DV30</f>
        <v>377.83092221999999</v>
      </c>
      <c r="DW31" s="816">
        <v>398.56783901999995</v>
      </c>
      <c r="DX31" s="816">
        <v>407.80971868</v>
      </c>
      <c r="DY31" s="816">
        <v>403.35129112999999</v>
      </c>
      <c r="DZ31" s="816">
        <f>+DZ29-DZ30</f>
        <v>429.70371381000001</v>
      </c>
      <c r="EA31" s="816">
        <v>435.98347565999995</v>
      </c>
      <c r="EB31" s="816">
        <v>445.91944767999996</v>
      </c>
      <c r="EC31" s="816">
        <v>469.93853156999995</v>
      </c>
      <c r="ED31" s="816">
        <v>468.43018627000004</v>
      </c>
      <c r="EE31" s="816">
        <v>472.62133814999999</v>
      </c>
      <c r="EF31" s="816">
        <v>472.98070666000001</v>
      </c>
      <c r="EG31" s="816">
        <v>489.15641356999998</v>
      </c>
      <c r="EH31" s="816">
        <v>495.38126215</v>
      </c>
      <c r="EI31" s="816">
        <v>504.43638351999999</v>
      </c>
      <c r="EJ31" s="816">
        <f>+EJ29-EJ30</f>
        <v>503.8479615</v>
      </c>
      <c r="EK31" s="816">
        <v>524.80916916000001</v>
      </c>
      <c r="EL31" s="816">
        <v>526.15205005999997</v>
      </c>
      <c r="EM31" s="816">
        <v>616.63567728999999</v>
      </c>
      <c r="EN31" s="816">
        <f>+EN29-EN30</f>
        <v>653.35160189999999</v>
      </c>
      <c r="EO31" s="816">
        <v>641.14849329999993</v>
      </c>
      <c r="EP31" s="816">
        <v>681.56588010999997</v>
      </c>
      <c r="EQ31" s="816">
        <v>694.91758808999998</v>
      </c>
      <c r="ER31" s="816">
        <v>709.63937489</v>
      </c>
      <c r="ES31" s="816">
        <v>708.04027766999991</v>
      </c>
      <c r="ET31" s="816">
        <v>732.53424651</v>
      </c>
      <c r="EU31" s="816">
        <f>+EU29-EU30</f>
        <v>740.68975302000001</v>
      </c>
      <c r="EV31" s="816">
        <v>736.00269149000007</v>
      </c>
      <c r="EW31" s="816">
        <f>+EW29-EW30</f>
        <v>750.60199762999991</v>
      </c>
      <c r="EX31" s="816">
        <f>+EX29-EX30</f>
        <v>769.81052867999995</v>
      </c>
      <c r="EY31" s="816">
        <v>783.92283640999995</v>
      </c>
      <c r="EZ31" s="816">
        <v>806.34472012999993</v>
      </c>
      <c r="FA31" s="816">
        <v>822.67972090000001</v>
      </c>
      <c r="FB31" s="816">
        <v>829.6454774</v>
      </c>
      <c r="FC31" s="816">
        <v>825.76883343999998</v>
      </c>
      <c r="FD31" s="816">
        <v>841.79386521999993</v>
      </c>
      <c r="FE31" s="816">
        <v>842.62713468000004</v>
      </c>
      <c r="FF31" s="816">
        <f>+FF29-FF30</f>
        <v>848.22762423999995</v>
      </c>
      <c r="FG31" s="816">
        <f>+FG29-FG30</f>
        <v>846.33445777999998</v>
      </c>
      <c r="FH31" s="1716" t="s">
        <v>4066</v>
      </c>
      <c r="FI31" s="319"/>
      <c r="FJ31" s="319"/>
      <c r="FK31" s="319"/>
      <c r="FL31" s="319"/>
      <c r="FM31" s="321"/>
      <c r="FN31" s="319"/>
      <c r="FO31" s="319"/>
      <c r="FP31" s="319"/>
      <c r="FQ31" s="319"/>
      <c r="FR31" s="319"/>
      <c r="FS31" s="319"/>
      <c r="FT31" s="319"/>
      <c r="FU31" s="319"/>
      <c r="FV31" s="319"/>
      <c r="FW31" s="319"/>
      <c r="FX31" s="319"/>
      <c r="FY31" s="319"/>
      <c r="FZ31" s="319"/>
      <c r="GA31" s="319"/>
      <c r="GB31" s="319"/>
      <c r="GC31" s="319"/>
      <c r="GD31" s="319"/>
      <c r="GE31" s="319"/>
      <c r="GF31" s="319"/>
      <c r="GG31" s="319"/>
      <c r="GH31" s="319"/>
      <c r="GI31" s="319"/>
      <c r="GJ31" s="319"/>
      <c r="GK31" s="319"/>
      <c r="GL31" s="319"/>
      <c r="GM31" s="319"/>
      <c r="GN31" s="319"/>
      <c r="GO31" s="319"/>
      <c r="GP31" s="319"/>
      <c r="GQ31" s="319"/>
      <c r="GR31" s="319"/>
      <c r="GS31" s="319"/>
      <c r="GT31" s="319"/>
      <c r="GU31" s="319"/>
      <c r="GV31" s="319"/>
      <c r="GW31" s="319"/>
      <c r="GX31" s="319"/>
      <c r="GY31" s="319"/>
      <c r="GZ31" s="319"/>
      <c r="HA31" s="319"/>
      <c r="HB31" s="319"/>
      <c r="HC31" s="319"/>
      <c r="HD31" s="319"/>
      <c r="HE31" s="319"/>
      <c r="HF31" s="319"/>
      <c r="HG31" s="319"/>
      <c r="HH31" s="319"/>
      <c r="HI31" s="319"/>
      <c r="HJ31" s="319"/>
      <c r="HK31" s="319"/>
      <c r="HL31" s="319"/>
      <c r="HM31" s="319"/>
      <c r="HN31" s="319"/>
      <c r="HO31" s="319"/>
      <c r="HP31" s="319"/>
      <c r="HQ31" s="319"/>
      <c r="HR31" s="319"/>
      <c r="HS31" s="319"/>
      <c r="HT31" s="319"/>
      <c r="HU31" s="319"/>
      <c r="HV31" s="319"/>
      <c r="HW31" s="319"/>
      <c r="HX31" s="319"/>
      <c r="HY31" s="319"/>
      <c r="HZ31" s="319"/>
      <c r="IA31" s="319"/>
      <c r="IB31" s="319"/>
      <c r="IC31" s="319"/>
      <c r="ID31" s="319"/>
      <c r="IE31" s="319"/>
      <c r="IF31" s="319"/>
      <c r="IG31" s="319"/>
      <c r="IH31" s="319"/>
      <c r="II31" s="319"/>
      <c r="IJ31" s="319"/>
      <c r="IK31" s="319"/>
      <c r="IL31" s="319"/>
      <c r="IM31" s="319"/>
      <c r="IN31" s="319"/>
      <c r="IO31" s="319"/>
      <c r="IP31" s="319"/>
      <c r="IQ31" s="319"/>
      <c r="IR31" s="319"/>
      <c r="IS31" s="319"/>
      <c r="IT31" s="319"/>
      <c r="IU31" s="319"/>
      <c r="IV31" s="319"/>
      <c r="IW31" s="319"/>
      <c r="IX31" s="319"/>
      <c r="IY31" s="319"/>
      <c r="IZ31" s="319"/>
      <c r="JA31" s="319"/>
      <c r="JB31" s="319"/>
      <c r="JC31" s="319"/>
      <c r="JD31" s="319"/>
      <c r="JE31" s="319"/>
      <c r="JF31" s="319"/>
      <c r="JG31" s="319"/>
      <c r="JH31" s="319"/>
      <c r="JI31" s="319"/>
      <c r="JJ31" s="319"/>
      <c r="JK31" s="319"/>
      <c r="JL31" s="319"/>
      <c r="JM31" s="319"/>
      <c r="JN31" s="319"/>
      <c r="JO31" s="319"/>
      <c r="JP31" s="319"/>
      <c r="JQ31" s="319"/>
      <c r="JR31" s="319"/>
      <c r="JS31" s="319"/>
      <c r="JT31" s="319"/>
      <c r="JU31" s="319"/>
      <c r="JV31" s="319"/>
      <c r="JW31" s="319"/>
      <c r="JX31" s="319"/>
      <c r="JY31" s="319"/>
      <c r="JZ31" s="319"/>
      <c r="KA31" s="319"/>
      <c r="KB31" s="319"/>
      <c r="KC31" s="319"/>
      <c r="KD31" s="319"/>
      <c r="KE31" s="319"/>
      <c r="KF31" s="319"/>
      <c r="KG31" s="319"/>
      <c r="KH31" s="319"/>
      <c r="KI31" s="319"/>
      <c r="KJ31" s="319"/>
      <c r="KK31" s="319"/>
      <c r="KL31" s="319"/>
      <c r="KM31" s="319"/>
      <c r="KN31" s="319"/>
      <c r="KO31" s="319"/>
      <c r="KP31" s="319"/>
    </row>
    <row r="32" spans="1:302" ht="21">
      <c r="A32" s="1746"/>
      <c r="B32" s="792"/>
      <c r="C32" s="792"/>
      <c r="D32" s="792"/>
      <c r="E32" s="792"/>
      <c r="F32" s="792"/>
      <c r="G32" s="792"/>
      <c r="H32" s="792"/>
      <c r="I32" s="792"/>
      <c r="J32" s="792"/>
      <c r="K32" s="792"/>
      <c r="L32" s="792"/>
      <c r="M32" s="784"/>
      <c r="N32" s="784"/>
      <c r="O32" s="784"/>
      <c r="P32" s="784"/>
      <c r="Q32" s="784"/>
      <c r="R32" s="784"/>
      <c r="S32" s="784"/>
      <c r="T32" s="784"/>
      <c r="U32" s="784"/>
      <c r="V32" s="784"/>
      <c r="W32" s="784"/>
      <c r="X32" s="784"/>
      <c r="Y32" s="784"/>
      <c r="Z32" s="784"/>
      <c r="AA32" s="784"/>
      <c r="AB32" s="784"/>
      <c r="AC32" s="784"/>
      <c r="AD32" s="784"/>
      <c r="AE32" s="784"/>
      <c r="AF32" s="784"/>
      <c r="AG32" s="784"/>
      <c r="AH32" s="784"/>
      <c r="AI32" s="784"/>
      <c r="AJ32" s="784"/>
      <c r="AK32" s="784"/>
      <c r="AL32" s="784"/>
      <c r="AM32" s="784"/>
      <c r="AN32" s="784"/>
      <c r="AO32" s="784"/>
      <c r="AP32" s="784"/>
      <c r="AQ32" s="784"/>
      <c r="AR32" s="784"/>
      <c r="AS32" s="784"/>
      <c r="AT32" s="784"/>
      <c r="AU32" s="784"/>
      <c r="AV32" s="784"/>
      <c r="AW32" s="784"/>
      <c r="AX32" s="784"/>
      <c r="AY32" s="784"/>
      <c r="AZ32" s="784"/>
      <c r="BA32" s="784"/>
      <c r="BB32" s="784"/>
      <c r="BC32" s="784"/>
      <c r="BD32" s="784"/>
      <c r="BE32" s="784"/>
      <c r="BF32" s="784"/>
      <c r="BG32" s="784"/>
      <c r="BH32" s="827"/>
      <c r="BI32" s="816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6"/>
      <c r="CN32" s="816"/>
      <c r="CO32" s="816"/>
      <c r="CP32" s="816"/>
      <c r="CQ32" s="816"/>
      <c r="CR32" s="816"/>
      <c r="CS32" s="816"/>
      <c r="CT32" s="816"/>
      <c r="CU32" s="816"/>
      <c r="CV32" s="816"/>
      <c r="CW32" s="816"/>
      <c r="CX32" s="816"/>
      <c r="CY32" s="816"/>
      <c r="CZ32" s="816"/>
      <c r="DA32" s="816"/>
      <c r="DB32" s="816"/>
      <c r="DC32" s="816"/>
      <c r="DD32" s="816"/>
      <c r="DE32" s="816"/>
      <c r="DF32" s="816"/>
      <c r="DG32" s="816"/>
      <c r="DH32" s="816"/>
      <c r="DI32" s="816"/>
      <c r="DJ32" s="816"/>
      <c r="DK32" s="816"/>
      <c r="DL32" s="816"/>
      <c r="DM32" s="816"/>
      <c r="DN32" s="816"/>
      <c r="DO32" s="816"/>
      <c r="DP32" s="816"/>
      <c r="DQ32" s="816"/>
      <c r="DR32" s="816"/>
      <c r="DS32" s="816"/>
      <c r="DT32" s="816"/>
      <c r="DU32" s="816"/>
      <c r="DV32" s="816"/>
      <c r="DW32" s="816"/>
      <c r="DX32" s="816"/>
      <c r="DY32" s="816"/>
      <c r="DZ32" s="816"/>
      <c r="EA32" s="816"/>
      <c r="EB32" s="816"/>
      <c r="EC32" s="816"/>
      <c r="ED32" s="816"/>
      <c r="EE32" s="816"/>
      <c r="EF32" s="816"/>
      <c r="EG32" s="816"/>
      <c r="EH32" s="816"/>
      <c r="EI32" s="816"/>
      <c r="EJ32" s="816"/>
      <c r="EK32" s="816"/>
      <c r="EL32" s="816"/>
      <c r="EM32" s="816"/>
      <c r="EN32" s="816"/>
      <c r="EO32" s="816"/>
      <c r="EP32" s="816"/>
      <c r="EQ32" s="816"/>
      <c r="ER32" s="816"/>
      <c r="ES32" s="816"/>
      <c r="ET32" s="816"/>
      <c r="EU32" s="816"/>
      <c r="EV32" s="816"/>
      <c r="EW32" s="816"/>
      <c r="EX32" s="816"/>
      <c r="EY32" s="816"/>
      <c r="EZ32" s="816"/>
      <c r="FA32" s="816"/>
      <c r="FB32" s="816"/>
      <c r="FC32" s="816"/>
      <c r="FD32" s="816"/>
      <c r="FE32" s="816"/>
      <c r="FF32" s="816"/>
      <c r="FG32" s="816"/>
      <c r="FH32" s="1715"/>
      <c r="FI32" s="319"/>
      <c r="FJ32" s="319"/>
      <c r="FK32" s="319"/>
      <c r="FL32" s="319"/>
      <c r="FM32" s="321"/>
      <c r="FN32" s="319"/>
      <c r="FO32" s="319"/>
      <c r="FP32" s="319"/>
      <c r="FQ32" s="319"/>
      <c r="FR32" s="319"/>
      <c r="FS32" s="319"/>
      <c r="FT32" s="319"/>
      <c r="FU32" s="319"/>
      <c r="FV32" s="319"/>
      <c r="FW32" s="319"/>
      <c r="FX32" s="319"/>
      <c r="FY32" s="319"/>
      <c r="FZ32" s="319"/>
      <c r="GA32" s="319"/>
      <c r="GB32" s="319"/>
      <c r="GC32" s="319"/>
      <c r="GD32" s="319"/>
      <c r="GE32" s="319"/>
      <c r="GF32" s="319"/>
      <c r="GG32" s="319"/>
      <c r="GH32" s="319"/>
      <c r="GI32" s="319"/>
      <c r="GJ32" s="319"/>
      <c r="GK32" s="319"/>
      <c r="GL32" s="319"/>
      <c r="GM32" s="319"/>
      <c r="GN32" s="319"/>
      <c r="GO32" s="319"/>
      <c r="GP32" s="319"/>
      <c r="GQ32" s="319"/>
      <c r="GR32" s="319"/>
      <c r="GS32" s="319"/>
      <c r="GT32" s="319"/>
      <c r="GU32" s="319"/>
      <c r="GV32" s="319"/>
      <c r="GW32" s="319"/>
      <c r="GX32" s="319"/>
      <c r="GY32" s="319"/>
      <c r="GZ32" s="319"/>
      <c r="HA32" s="319"/>
      <c r="HB32" s="319"/>
      <c r="HC32" s="319"/>
      <c r="HD32" s="319"/>
      <c r="HE32" s="319"/>
      <c r="HF32" s="319"/>
      <c r="HG32" s="319"/>
      <c r="HH32" s="319"/>
      <c r="HI32" s="319"/>
      <c r="HJ32" s="319"/>
      <c r="HK32" s="319"/>
      <c r="HL32" s="319"/>
      <c r="HM32" s="319"/>
      <c r="HN32" s="319"/>
      <c r="HO32" s="319"/>
      <c r="HP32" s="319"/>
      <c r="HQ32" s="319"/>
      <c r="HR32" s="319"/>
      <c r="HS32" s="319"/>
      <c r="HT32" s="319"/>
      <c r="HU32" s="319"/>
      <c r="HV32" s="319"/>
      <c r="HW32" s="319"/>
      <c r="HX32" s="319"/>
      <c r="HY32" s="319"/>
      <c r="HZ32" s="319"/>
      <c r="IA32" s="319"/>
      <c r="IB32" s="319"/>
      <c r="IC32" s="319"/>
      <c r="ID32" s="319"/>
      <c r="IE32" s="319"/>
      <c r="IF32" s="319"/>
      <c r="IG32" s="319"/>
      <c r="IH32" s="319"/>
      <c r="II32" s="319"/>
      <c r="IJ32" s="319"/>
      <c r="IK32" s="319"/>
      <c r="IL32" s="319"/>
      <c r="IM32" s="319"/>
      <c r="IN32" s="319"/>
      <c r="IO32" s="319"/>
      <c r="IP32" s="319"/>
      <c r="IQ32" s="319"/>
      <c r="IR32" s="319"/>
      <c r="IS32" s="319"/>
      <c r="IT32" s="319"/>
      <c r="IU32" s="319"/>
      <c r="IV32" s="319"/>
      <c r="IW32" s="319"/>
      <c r="IX32" s="319"/>
      <c r="IY32" s="319"/>
      <c r="IZ32" s="319"/>
      <c r="JA32" s="319"/>
      <c r="JB32" s="319"/>
      <c r="JC32" s="319"/>
      <c r="JD32" s="319"/>
      <c r="JE32" s="319"/>
      <c r="JF32" s="319"/>
      <c r="JG32" s="319"/>
      <c r="JH32" s="319"/>
      <c r="JI32" s="319"/>
      <c r="JJ32" s="319"/>
      <c r="JK32" s="319"/>
      <c r="JL32" s="319"/>
      <c r="JM32" s="319"/>
      <c r="JN32" s="319"/>
      <c r="JO32" s="319"/>
      <c r="JP32" s="319"/>
      <c r="JQ32" s="319"/>
      <c r="JR32" s="319"/>
      <c r="JS32" s="319"/>
      <c r="JT32" s="319"/>
      <c r="JU32" s="319"/>
      <c r="JV32" s="319"/>
      <c r="JW32" s="319"/>
      <c r="JX32" s="319"/>
      <c r="JY32" s="319"/>
      <c r="JZ32" s="319"/>
      <c r="KA32" s="319"/>
      <c r="KB32" s="319"/>
      <c r="KC32" s="319"/>
      <c r="KD32" s="319"/>
      <c r="KE32" s="319"/>
      <c r="KF32" s="319"/>
      <c r="KG32" s="319"/>
      <c r="KH32" s="319"/>
      <c r="KI32" s="319"/>
      <c r="KJ32" s="319"/>
      <c r="KK32" s="319"/>
      <c r="KL32" s="319"/>
      <c r="KM32" s="319"/>
      <c r="KN32" s="319"/>
      <c r="KO32" s="319"/>
      <c r="KP32" s="319"/>
    </row>
    <row r="33" spans="1:302" ht="21">
      <c r="A33" s="1744" t="s">
        <v>2742</v>
      </c>
      <c r="B33" s="791">
        <v>16.586886620000001</v>
      </c>
      <c r="C33" s="791">
        <v>17.590047259999999</v>
      </c>
      <c r="D33" s="791">
        <v>17.343846760000002</v>
      </c>
      <c r="E33" s="791">
        <v>16.68701201</v>
      </c>
      <c r="F33" s="791">
        <v>16.639944359999998</v>
      </c>
      <c r="G33" s="791">
        <v>15.527294519999998</v>
      </c>
      <c r="H33" s="791">
        <v>15.296792099999999</v>
      </c>
      <c r="I33" s="791">
        <v>15.141291630000001</v>
      </c>
      <c r="J33" s="791">
        <v>15.041582849999999</v>
      </c>
      <c r="K33" s="791">
        <v>14.871355639999999</v>
      </c>
      <c r="L33" s="791">
        <v>13.632991879999999</v>
      </c>
      <c r="M33" s="781">
        <v>14.165009149999999</v>
      </c>
      <c r="N33" s="781">
        <v>13.889894819999999</v>
      </c>
      <c r="O33" s="781">
        <v>14.145466989999999</v>
      </c>
      <c r="P33" s="781">
        <v>13.67554971</v>
      </c>
      <c r="Q33" s="781">
        <v>12.856499149999999</v>
      </c>
      <c r="R33" s="781">
        <v>15.60375939</v>
      </c>
      <c r="S33" s="781">
        <v>14.11331884</v>
      </c>
      <c r="T33" s="781">
        <v>14.098292709999999</v>
      </c>
      <c r="U33" s="781">
        <v>14.2304341</v>
      </c>
      <c r="V33" s="781">
        <v>14.660327580000001</v>
      </c>
      <c r="W33" s="781">
        <v>14.217232410000001</v>
      </c>
      <c r="X33" s="781">
        <v>14.649338459999999</v>
      </c>
      <c r="Y33" s="781">
        <v>28.420459699999999</v>
      </c>
      <c r="Z33" s="781">
        <v>31.939256390000001</v>
      </c>
      <c r="AA33" s="781">
        <v>124.26472533</v>
      </c>
      <c r="AB33" s="781">
        <v>124.30419692000001</v>
      </c>
      <c r="AC33" s="781">
        <v>136.12890720999999</v>
      </c>
      <c r="AD33" s="781">
        <v>158.07206690000004</v>
      </c>
      <c r="AE33" s="781">
        <v>162.64536349000002</v>
      </c>
      <c r="AF33" s="781">
        <v>156.39861326000002</v>
      </c>
      <c r="AG33" s="781">
        <v>154.71432227</v>
      </c>
      <c r="AH33" s="781">
        <v>156.08747652999998</v>
      </c>
      <c r="AI33" s="781">
        <v>155.90128530999999</v>
      </c>
      <c r="AJ33" s="781">
        <v>155.01819488999999</v>
      </c>
      <c r="AK33" s="781">
        <v>228.66578813999999</v>
      </c>
      <c r="AL33" s="781">
        <v>213.90086819999999</v>
      </c>
      <c r="AM33" s="781">
        <v>246.43962814</v>
      </c>
      <c r="AN33" s="781">
        <v>244.36985571</v>
      </c>
      <c r="AO33" s="781">
        <v>238.13310683000003</v>
      </c>
      <c r="AP33" s="781">
        <v>176.30505947</v>
      </c>
      <c r="AQ33" s="781">
        <v>198.27300789</v>
      </c>
      <c r="AR33" s="781">
        <v>234.27200841999999</v>
      </c>
      <c r="AS33" s="781">
        <v>240.75710907000001</v>
      </c>
      <c r="AT33" s="781">
        <f>AT25-AT29</f>
        <v>175.40294093999989</v>
      </c>
      <c r="AU33" s="781">
        <v>125.68119931000001</v>
      </c>
      <c r="AV33" s="781">
        <v>131.40956282000013</v>
      </c>
      <c r="AW33" s="781">
        <v>107.55061236999995</v>
      </c>
      <c r="AX33" s="781">
        <v>116.20346352000013</v>
      </c>
      <c r="AY33" s="781">
        <v>103.67117392</v>
      </c>
      <c r="AZ33" s="781">
        <v>100.05175214</v>
      </c>
      <c r="BA33" s="781">
        <v>97.813401529999993</v>
      </c>
      <c r="BB33" s="781">
        <v>97.71158942000001</v>
      </c>
      <c r="BC33" s="781">
        <v>68.113907420000004</v>
      </c>
      <c r="BD33" s="781">
        <v>67.679341899999997</v>
      </c>
      <c r="BE33" s="781">
        <v>67.631158030000009</v>
      </c>
      <c r="BF33" s="781">
        <v>78.494252229999972</v>
      </c>
      <c r="BG33" s="781">
        <v>87.436748259999945</v>
      </c>
      <c r="BH33" s="826">
        <v>86.693187959999989</v>
      </c>
      <c r="BI33" s="815">
        <v>106.44572910000005</v>
      </c>
      <c r="BJ33" s="815">
        <v>108.36277689999997</v>
      </c>
      <c r="BK33" s="815">
        <v>113.74082812</v>
      </c>
      <c r="BL33" s="815">
        <v>115.93356870999997</v>
      </c>
      <c r="BM33" s="815">
        <v>105.29244775000001</v>
      </c>
      <c r="BN33" s="815">
        <v>102.68236416999997</v>
      </c>
      <c r="BO33" s="815">
        <v>104.36813552999996</v>
      </c>
      <c r="BP33" s="815">
        <v>104.42573457999998</v>
      </c>
      <c r="BQ33" s="815">
        <v>107.70895883999992</v>
      </c>
      <c r="BR33" s="815">
        <v>109.93943311999999</v>
      </c>
      <c r="BS33" s="815">
        <v>110.60699740999996</v>
      </c>
      <c r="BT33" s="815">
        <v>119.57306337</v>
      </c>
      <c r="BU33" s="815">
        <v>88.419897869999971</v>
      </c>
      <c r="BV33" s="815">
        <v>87.155304749999999</v>
      </c>
      <c r="BW33" s="815">
        <v>88.407456259999989</v>
      </c>
      <c r="BX33" s="815">
        <v>87.987078889999992</v>
      </c>
      <c r="BY33" s="815">
        <v>99.7029122</v>
      </c>
      <c r="BZ33" s="815">
        <v>111.98833164000003</v>
      </c>
      <c r="CA33" s="815">
        <v>115.85547894</v>
      </c>
      <c r="CB33" s="815">
        <v>88.459849290000037</v>
      </c>
      <c r="CC33" s="815">
        <v>92.270981499999991</v>
      </c>
      <c r="CD33" s="815">
        <v>90.955385809999996</v>
      </c>
      <c r="CE33" s="815">
        <v>99.953562210000001</v>
      </c>
      <c r="CF33" s="815">
        <v>95.410101710000006</v>
      </c>
      <c r="CG33" s="815">
        <v>131.59707266999999</v>
      </c>
      <c r="CH33" s="815">
        <v>132.33735885999999</v>
      </c>
      <c r="CI33" s="815">
        <v>129.31027728000001</v>
      </c>
      <c r="CJ33" s="815">
        <v>127.86406882</v>
      </c>
      <c r="CK33" s="815">
        <v>128.90960982000001</v>
      </c>
      <c r="CL33" s="815">
        <v>126.90668918999999</v>
      </c>
      <c r="CM33" s="815">
        <v>130.54859206</v>
      </c>
      <c r="CN33" s="815">
        <v>132.3559721</v>
      </c>
      <c r="CO33" s="815">
        <v>130.85945053</v>
      </c>
      <c r="CP33" s="815">
        <v>129.42460727</v>
      </c>
      <c r="CQ33" s="815">
        <v>132.78094382</v>
      </c>
      <c r="CR33" s="815">
        <v>131.17614619</v>
      </c>
      <c r="CS33" s="815">
        <v>130.91545019</v>
      </c>
      <c r="CT33" s="815">
        <v>148.87658522000001</v>
      </c>
      <c r="CU33" s="815">
        <v>147.83511228</v>
      </c>
      <c r="CV33" s="815">
        <v>123.85113515</v>
      </c>
      <c r="CW33" s="815">
        <v>123.60106012</v>
      </c>
      <c r="CX33" s="815">
        <v>143.45786885000001</v>
      </c>
      <c r="CY33" s="815">
        <v>129.65630843</v>
      </c>
      <c r="CZ33" s="815">
        <v>133.71631661999999</v>
      </c>
      <c r="DA33" s="815">
        <v>138.0507145</v>
      </c>
      <c r="DB33" s="815">
        <v>152.9101039</v>
      </c>
      <c r="DC33" s="815">
        <v>156.14519063</v>
      </c>
      <c r="DD33" s="815">
        <v>153.50393962000001</v>
      </c>
      <c r="DE33" s="815">
        <v>147.09209809000001</v>
      </c>
      <c r="DF33" s="815">
        <v>146.00245434999999</v>
      </c>
      <c r="DG33" s="815">
        <v>126.10169229</v>
      </c>
      <c r="DH33" s="815">
        <v>95.474638159999998</v>
      </c>
      <c r="DI33" s="815">
        <v>123.62875698000001</v>
      </c>
      <c r="DJ33" s="815">
        <v>123.03585928</v>
      </c>
      <c r="DK33" s="815">
        <v>120.60593677999999</v>
      </c>
      <c r="DL33" s="815">
        <v>119.75968055</v>
      </c>
      <c r="DM33" s="815">
        <v>115.93544707</v>
      </c>
      <c r="DN33" s="815">
        <v>116.09484907</v>
      </c>
      <c r="DO33" s="815">
        <v>116.45940041</v>
      </c>
      <c r="DP33" s="815">
        <v>113.75636114</v>
      </c>
      <c r="DQ33" s="815">
        <v>130.28006633000001</v>
      </c>
      <c r="DR33" s="815">
        <v>178.96461278000001</v>
      </c>
      <c r="DS33" s="815">
        <v>182.42865606999999</v>
      </c>
      <c r="DT33" s="815">
        <v>179.78928171999999</v>
      </c>
      <c r="DU33" s="815">
        <v>173.14574542</v>
      </c>
      <c r="DV33" s="815">
        <v>201.72289044999999</v>
      </c>
      <c r="DW33" s="815">
        <v>203.06051572000001</v>
      </c>
      <c r="DX33" s="815">
        <v>205.04967758999999</v>
      </c>
      <c r="DY33" s="815">
        <v>201.24438509999999</v>
      </c>
      <c r="DZ33" s="815">
        <v>198.92859824000001</v>
      </c>
      <c r="EA33" s="815">
        <v>196.23754590999999</v>
      </c>
      <c r="EB33" s="815">
        <v>192.68808307</v>
      </c>
      <c r="EC33" s="815">
        <v>185.30053570999999</v>
      </c>
      <c r="ED33" s="815">
        <v>185.26675236</v>
      </c>
      <c r="EE33" s="815">
        <v>168.96943045</v>
      </c>
      <c r="EF33" s="815">
        <v>150.36457157999999</v>
      </c>
      <c r="EG33" s="815">
        <v>151.66652160999999</v>
      </c>
      <c r="EH33" s="815">
        <v>145.076494</v>
      </c>
      <c r="EI33" s="815">
        <v>143.04395971</v>
      </c>
      <c r="EJ33" s="815">
        <v>138.09449003</v>
      </c>
      <c r="EK33" s="815">
        <v>138.69862122000001</v>
      </c>
      <c r="EL33" s="815">
        <v>135.37606903</v>
      </c>
      <c r="EM33" s="815">
        <v>171.68862186999999</v>
      </c>
      <c r="EN33" s="815">
        <v>166.17304904</v>
      </c>
      <c r="EO33" s="815">
        <v>163.84090352000001</v>
      </c>
      <c r="EP33" s="815">
        <v>147.80741467999999</v>
      </c>
      <c r="EQ33" s="815">
        <v>136.62704117000001</v>
      </c>
      <c r="ER33" s="815">
        <v>137.20131961999999</v>
      </c>
      <c r="ES33" s="815">
        <v>132.17741158999999</v>
      </c>
      <c r="ET33" s="815">
        <v>137.26902486</v>
      </c>
      <c r="EU33" s="815">
        <v>134.02843817999999</v>
      </c>
      <c r="EV33" s="815">
        <v>145.03058623000001</v>
      </c>
      <c r="EW33" s="815">
        <v>164.57384497000001</v>
      </c>
      <c r="EX33" s="815">
        <v>167.13338048</v>
      </c>
      <c r="EY33" s="815">
        <v>168.77976991</v>
      </c>
      <c r="EZ33" s="815">
        <v>166.29418867999999</v>
      </c>
      <c r="FA33" s="815">
        <v>175.15722302</v>
      </c>
      <c r="FB33" s="815">
        <v>163.74780235</v>
      </c>
      <c r="FC33" s="815">
        <v>156.98349117000001</v>
      </c>
      <c r="FD33" s="815">
        <v>149.71200081000001</v>
      </c>
      <c r="FE33" s="815">
        <v>148.59184526999999</v>
      </c>
      <c r="FF33" s="815">
        <v>150.01648663</v>
      </c>
      <c r="FG33" s="815">
        <v>738.74701587000004</v>
      </c>
      <c r="FH33" s="1714" t="s">
        <v>4068</v>
      </c>
      <c r="FI33" s="319"/>
      <c r="FJ33" s="319"/>
      <c r="FK33" s="319"/>
      <c r="FL33" s="319"/>
      <c r="FM33" s="321"/>
      <c r="FN33" s="319"/>
      <c r="FO33" s="319"/>
      <c r="FP33" s="319"/>
      <c r="FQ33" s="319"/>
      <c r="FR33" s="319"/>
      <c r="FS33" s="319"/>
      <c r="FT33" s="319"/>
      <c r="FU33" s="319"/>
      <c r="FV33" s="319"/>
      <c r="FW33" s="319"/>
      <c r="FX33" s="319"/>
      <c r="FY33" s="319"/>
      <c r="FZ33" s="319"/>
      <c r="GA33" s="319"/>
      <c r="GB33" s="319"/>
      <c r="GC33" s="319"/>
      <c r="GD33" s="319"/>
      <c r="GE33" s="319"/>
      <c r="GF33" s="319"/>
      <c r="GG33" s="319"/>
      <c r="GH33" s="319"/>
      <c r="GI33" s="319"/>
      <c r="GJ33" s="319"/>
      <c r="GK33" s="319"/>
      <c r="GL33" s="319"/>
      <c r="GM33" s="319"/>
      <c r="GN33" s="319"/>
      <c r="GO33" s="319"/>
      <c r="GP33" s="319"/>
      <c r="GQ33" s="319"/>
      <c r="GR33" s="319"/>
      <c r="GS33" s="319"/>
      <c r="GT33" s="319"/>
      <c r="GU33" s="319"/>
      <c r="GV33" s="319"/>
      <c r="GW33" s="319"/>
      <c r="GX33" s="319"/>
      <c r="GY33" s="319"/>
      <c r="GZ33" s="319"/>
      <c r="HA33" s="319"/>
      <c r="HB33" s="319"/>
      <c r="HC33" s="319"/>
      <c r="HD33" s="319"/>
      <c r="HE33" s="319"/>
      <c r="HF33" s="319"/>
      <c r="HG33" s="319"/>
      <c r="HH33" s="319"/>
      <c r="HI33" s="319"/>
      <c r="HJ33" s="319"/>
      <c r="HK33" s="319"/>
      <c r="HL33" s="319"/>
      <c r="HM33" s="319"/>
      <c r="HN33" s="319"/>
      <c r="HO33" s="319"/>
      <c r="HP33" s="319"/>
      <c r="HQ33" s="319"/>
      <c r="HR33" s="319"/>
      <c r="HS33" s="319"/>
      <c r="HT33" s="319"/>
      <c r="HU33" s="319"/>
      <c r="HV33" s="319"/>
      <c r="HW33" s="319"/>
      <c r="HX33" s="319"/>
      <c r="HY33" s="319"/>
      <c r="HZ33" s="319"/>
      <c r="IA33" s="319"/>
      <c r="IB33" s="319"/>
      <c r="IC33" s="319"/>
      <c r="ID33" s="319"/>
      <c r="IE33" s="319"/>
      <c r="IF33" s="319"/>
      <c r="IG33" s="319"/>
      <c r="IH33" s="319"/>
      <c r="II33" s="319"/>
      <c r="IJ33" s="319"/>
      <c r="IK33" s="319"/>
      <c r="IL33" s="319"/>
      <c r="IM33" s="319"/>
      <c r="IN33" s="319"/>
      <c r="IO33" s="319"/>
      <c r="IP33" s="319"/>
      <c r="IQ33" s="319"/>
      <c r="IR33" s="319"/>
      <c r="IS33" s="319"/>
      <c r="IT33" s="319"/>
      <c r="IU33" s="319"/>
      <c r="IV33" s="319"/>
      <c r="IW33" s="319"/>
      <c r="IX33" s="319"/>
      <c r="IY33" s="319"/>
      <c r="IZ33" s="319"/>
      <c r="JA33" s="319"/>
      <c r="JB33" s="319"/>
      <c r="JC33" s="319"/>
      <c r="JD33" s="319"/>
      <c r="JE33" s="319"/>
      <c r="JF33" s="319"/>
      <c r="JG33" s="319"/>
      <c r="JH33" s="319"/>
      <c r="JI33" s="319"/>
      <c r="JJ33" s="319"/>
      <c r="JK33" s="319"/>
      <c r="JL33" s="319"/>
      <c r="JM33" s="319"/>
      <c r="JN33" s="319"/>
      <c r="JO33" s="319"/>
      <c r="JP33" s="319"/>
      <c r="JQ33" s="319"/>
      <c r="JR33" s="319"/>
      <c r="JS33" s="319"/>
      <c r="JT33" s="319"/>
      <c r="JU33" s="319"/>
      <c r="JV33" s="319"/>
      <c r="JW33" s="319"/>
      <c r="JX33" s="319"/>
      <c r="JY33" s="319"/>
      <c r="JZ33" s="319"/>
      <c r="KA33" s="319"/>
      <c r="KB33" s="319"/>
      <c r="KC33" s="319"/>
      <c r="KD33" s="319"/>
      <c r="KE33" s="319"/>
      <c r="KF33" s="319"/>
      <c r="KG33" s="319"/>
      <c r="KH33" s="319"/>
      <c r="KI33" s="319"/>
      <c r="KJ33" s="319"/>
      <c r="KK33" s="319"/>
      <c r="KL33" s="319"/>
      <c r="KM33" s="319"/>
      <c r="KN33" s="319"/>
      <c r="KO33" s="319"/>
      <c r="KP33" s="319"/>
    </row>
    <row r="34" spans="1:302" ht="21">
      <c r="A34" s="1745" t="s">
        <v>1961</v>
      </c>
      <c r="B34" s="792">
        <v>0.43612640000000003</v>
      </c>
      <c r="C34" s="792">
        <v>0.28880640000000002</v>
      </c>
      <c r="D34" s="792">
        <v>0.28880640000000002</v>
      </c>
      <c r="E34" s="792">
        <v>0</v>
      </c>
      <c r="F34" s="792">
        <v>0</v>
      </c>
      <c r="G34" s="792">
        <v>0</v>
      </c>
      <c r="H34" s="792">
        <v>0</v>
      </c>
      <c r="I34" s="792">
        <v>0</v>
      </c>
      <c r="J34" s="792">
        <v>0</v>
      </c>
      <c r="K34" s="792">
        <v>0</v>
      </c>
      <c r="L34" s="792">
        <v>0</v>
      </c>
      <c r="M34" s="784">
        <v>0</v>
      </c>
      <c r="N34" s="784">
        <v>0</v>
      </c>
      <c r="O34" s="784">
        <v>0</v>
      </c>
      <c r="P34" s="784">
        <v>0</v>
      </c>
      <c r="Q34" s="784">
        <v>0</v>
      </c>
      <c r="R34" s="784">
        <v>0</v>
      </c>
      <c r="S34" s="784">
        <v>0</v>
      </c>
      <c r="T34" s="784">
        <v>0</v>
      </c>
      <c r="U34" s="784">
        <v>0</v>
      </c>
      <c r="V34" s="784">
        <v>0</v>
      </c>
      <c r="W34" s="784">
        <v>0</v>
      </c>
      <c r="X34" s="784">
        <v>0</v>
      </c>
      <c r="Y34" s="784">
        <v>0</v>
      </c>
      <c r="Z34" s="784">
        <v>0</v>
      </c>
      <c r="AA34" s="784">
        <v>4.98655E-2</v>
      </c>
      <c r="AB34" s="784">
        <v>4.7728589999999994E-2</v>
      </c>
      <c r="AC34" s="784">
        <v>4.5662139999999997E-2</v>
      </c>
      <c r="AD34" s="784">
        <v>4.3602740000000001E-2</v>
      </c>
      <c r="AE34" s="784">
        <v>4.1462550000000001E-2</v>
      </c>
      <c r="AF34" s="784">
        <v>3.9374489999999998E-2</v>
      </c>
      <c r="AG34" s="784">
        <v>3.4586140000000001E-2</v>
      </c>
      <c r="AH34" s="784">
        <v>3.4586140000000001E-2</v>
      </c>
      <c r="AI34" s="784">
        <v>3.3227809999999997E-2</v>
      </c>
      <c r="AJ34" s="784">
        <v>3.1207470000000001E-2</v>
      </c>
      <c r="AK34" s="784">
        <v>4.3208320000000001E-2</v>
      </c>
      <c r="AL34" s="784">
        <v>4.1187190000000005E-2</v>
      </c>
      <c r="AM34" s="784">
        <v>3.7180559999999994E-2</v>
      </c>
      <c r="AN34" s="784">
        <v>51.41882433</v>
      </c>
      <c r="AO34" s="784">
        <v>50.252157400000002</v>
      </c>
      <c r="AP34" s="784">
        <v>2.655124E-2</v>
      </c>
      <c r="AQ34" s="784">
        <v>7.5367105399999996</v>
      </c>
      <c r="AR34" s="784">
        <v>7.13626089</v>
      </c>
      <c r="AS34" s="784">
        <v>7.3446261699999997</v>
      </c>
      <c r="AT34" s="784">
        <f>AT26-AT30</f>
        <v>7.2919165500000034</v>
      </c>
      <c r="AU34" s="784">
        <v>7.3651426599999965</v>
      </c>
      <c r="AV34" s="784">
        <v>7.7830043499999917</v>
      </c>
      <c r="AW34" s="784">
        <v>7.9543230600000001</v>
      </c>
      <c r="AX34" s="784">
        <v>8.601698540000001</v>
      </c>
      <c r="AY34" s="784">
        <v>7.1123563000000001</v>
      </c>
      <c r="AZ34" s="784">
        <v>5.09159074</v>
      </c>
      <c r="BA34" s="784">
        <v>5.0269271799999995</v>
      </c>
      <c r="BB34" s="784">
        <v>5.0254508399999995</v>
      </c>
      <c r="BC34" s="784">
        <v>2.55315</v>
      </c>
      <c r="BD34" s="784">
        <v>2.5513499999999998</v>
      </c>
      <c r="BE34" s="784">
        <v>2.5514999999999999</v>
      </c>
      <c r="BF34" s="784">
        <v>2.5503</v>
      </c>
      <c r="BG34" s="784">
        <v>2.5503</v>
      </c>
      <c r="BH34" s="827">
        <v>2.5501500000000021</v>
      </c>
      <c r="BI34" s="816">
        <v>0</v>
      </c>
      <c r="BJ34" s="816">
        <v>0</v>
      </c>
      <c r="BK34" s="816">
        <v>0</v>
      </c>
      <c r="BL34" s="816">
        <v>0</v>
      </c>
      <c r="BM34" s="816">
        <v>0</v>
      </c>
      <c r="BN34" s="816">
        <v>0</v>
      </c>
      <c r="BO34" s="816">
        <v>0</v>
      </c>
      <c r="BP34" s="816">
        <v>0</v>
      </c>
      <c r="BQ34" s="816">
        <v>0</v>
      </c>
      <c r="BR34" s="816">
        <v>0</v>
      </c>
      <c r="BS34" s="816">
        <v>0</v>
      </c>
      <c r="BT34" s="816">
        <v>0</v>
      </c>
      <c r="BU34" s="816">
        <v>0</v>
      </c>
      <c r="BV34" s="816">
        <v>0</v>
      </c>
      <c r="BW34" s="816">
        <v>0</v>
      </c>
      <c r="BX34" s="816">
        <v>0</v>
      </c>
      <c r="BY34" s="816">
        <v>0</v>
      </c>
      <c r="BZ34" s="816">
        <v>0</v>
      </c>
      <c r="CA34" s="816">
        <v>0</v>
      </c>
      <c r="CB34" s="816">
        <v>0</v>
      </c>
      <c r="CC34" s="816">
        <v>0</v>
      </c>
      <c r="CD34" s="816">
        <v>0</v>
      </c>
      <c r="CE34" s="816">
        <v>0</v>
      </c>
      <c r="CF34" s="816">
        <v>0</v>
      </c>
      <c r="CG34" s="816">
        <v>0</v>
      </c>
      <c r="CH34" s="816">
        <v>0</v>
      </c>
      <c r="CI34" s="816">
        <v>0</v>
      </c>
      <c r="CJ34" s="816">
        <v>0</v>
      </c>
      <c r="CK34" s="816">
        <v>0</v>
      </c>
      <c r="CL34" s="816">
        <v>0</v>
      </c>
      <c r="CM34" s="816">
        <v>0</v>
      </c>
      <c r="CN34" s="816">
        <v>0</v>
      </c>
      <c r="CO34" s="816">
        <v>0</v>
      </c>
      <c r="CP34" s="816">
        <v>0</v>
      </c>
      <c r="CQ34" s="816">
        <v>0</v>
      </c>
      <c r="CR34" s="816">
        <v>0</v>
      </c>
      <c r="CS34" s="816">
        <v>0</v>
      </c>
      <c r="CT34" s="816">
        <v>0</v>
      </c>
      <c r="CU34" s="816">
        <v>0</v>
      </c>
      <c r="CV34" s="816">
        <v>0</v>
      </c>
      <c r="CW34" s="816">
        <v>0</v>
      </c>
      <c r="CX34" s="816">
        <v>0</v>
      </c>
      <c r="CY34" s="816">
        <v>0</v>
      </c>
      <c r="CZ34" s="816">
        <v>0</v>
      </c>
      <c r="DA34" s="816">
        <v>0</v>
      </c>
      <c r="DB34" s="816">
        <v>0</v>
      </c>
      <c r="DC34" s="816">
        <v>0</v>
      </c>
      <c r="DD34" s="816">
        <v>0</v>
      </c>
      <c r="DE34" s="816">
        <v>0</v>
      </c>
      <c r="DF34" s="816">
        <v>0</v>
      </c>
      <c r="DG34" s="816">
        <v>0</v>
      </c>
      <c r="DH34" s="816">
        <v>0</v>
      </c>
      <c r="DI34" s="816">
        <v>0</v>
      </c>
      <c r="DJ34" s="816">
        <v>0</v>
      </c>
      <c r="DK34" s="816">
        <v>0</v>
      </c>
      <c r="DL34" s="816">
        <v>0</v>
      </c>
      <c r="DM34" s="816">
        <v>0</v>
      </c>
      <c r="DN34" s="816">
        <v>0</v>
      </c>
      <c r="DO34" s="816">
        <v>0</v>
      </c>
      <c r="DP34" s="816">
        <v>0</v>
      </c>
      <c r="DQ34" s="816">
        <v>0</v>
      </c>
      <c r="DR34" s="816">
        <v>0</v>
      </c>
      <c r="DS34" s="816">
        <v>0</v>
      </c>
      <c r="DT34" s="816">
        <v>0</v>
      </c>
      <c r="DU34" s="816">
        <v>0</v>
      </c>
      <c r="DV34" s="816">
        <v>0</v>
      </c>
      <c r="DW34" s="816">
        <v>0</v>
      </c>
      <c r="DX34" s="816">
        <v>0</v>
      </c>
      <c r="DY34" s="816">
        <v>0</v>
      </c>
      <c r="DZ34" s="816">
        <v>0</v>
      </c>
      <c r="EA34" s="816">
        <v>0</v>
      </c>
      <c r="EB34" s="816">
        <v>0</v>
      </c>
      <c r="EC34" s="816">
        <v>0</v>
      </c>
      <c r="ED34" s="816">
        <v>0</v>
      </c>
      <c r="EE34" s="816">
        <v>0</v>
      </c>
      <c r="EF34" s="816">
        <v>0</v>
      </c>
      <c r="EG34" s="816">
        <v>0</v>
      </c>
      <c r="EH34" s="816">
        <v>0</v>
      </c>
      <c r="EI34" s="816">
        <v>0</v>
      </c>
      <c r="EJ34" s="816">
        <v>0</v>
      </c>
      <c r="EK34" s="816">
        <v>0</v>
      </c>
      <c r="EL34" s="816">
        <v>0</v>
      </c>
      <c r="EM34" s="816">
        <v>0</v>
      </c>
      <c r="EN34" s="816">
        <v>0</v>
      </c>
      <c r="EO34" s="816">
        <v>0</v>
      </c>
      <c r="EP34" s="816">
        <v>0</v>
      </c>
      <c r="EQ34" s="816">
        <v>0</v>
      </c>
      <c r="ER34" s="816">
        <v>0</v>
      </c>
      <c r="ES34" s="816">
        <v>0</v>
      </c>
      <c r="ET34" s="816">
        <v>0</v>
      </c>
      <c r="EU34" s="816">
        <v>0</v>
      </c>
      <c r="EV34" s="816">
        <v>0</v>
      </c>
      <c r="EW34" s="816">
        <v>0</v>
      </c>
      <c r="EX34" s="816">
        <v>0</v>
      </c>
      <c r="EY34" s="816">
        <v>0</v>
      </c>
      <c r="EZ34" s="816">
        <v>0</v>
      </c>
      <c r="FA34" s="816">
        <v>0</v>
      </c>
      <c r="FB34" s="816">
        <v>0</v>
      </c>
      <c r="FC34" s="816">
        <v>0</v>
      </c>
      <c r="FD34" s="816">
        <v>0</v>
      </c>
      <c r="FE34" s="816">
        <v>0</v>
      </c>
      <c r="FF34" s="816">
        <v>0</v>
      </c>
      <c r="FG34" s="816">
        <v>595</v>
      </c>
      <c r="FH34" s="1716" t="s">
        <v>4067</v>
      </c>
      <c r="FI34" s="319"/>
      <c r="FJ34" s="319"/>
      <c r="FK34" s="319"/>
      <c r="FL34" s="319"/>
      <c r="FM34" s="321"/>
      <c r="FN34" s="319"/>
      <c r="FO34" s="319"/>
      <c r="FP34" s="319"/>
      <c r="FQ34" s="319"/>
      <c r="FR34" s="319"/>
      <c r="FS34" s="319"/>
      <c r="FT34" s="319"/>
      <c r="FU34" s="319"/>
      <c r="FV34" s="319"/>
      <c r="FW34" s="319"/>
      <c r="FX34" s="319"/>
      <c r="FY34" s="319"/>
      <c r="FZ34" s="319"/>
      <c r="GA34" s="319"/>
      <c r="GB34" s="319"/>
      <c r="GC34" s="319"/>
      <c r="GD34" s="319"/>
      <c r="GE34" s="319"/>
      <c r="GF34" s="319"/>
      <c r="GG34" s="319"/>
      <c r="GH34" s="319"/>
      <c r="GI34" s="319"/>
      <c r="GJ34" s="319"/>
      <c r="GK34" s="319"/>
      <c r="GL34" s="319"/>
      <c r="GM34" s="319"/>
      <c r="GN34" s="319"/>
      <c r="GO34" s="319"/>
      <c r="GP34" s="319"/>
      <c r="GQ34" s="319"/>
      <c r="GR34" s="319"/>
      <c r="GS34" s="319"/>
      <c r="GT34" s="319"/>
      <c r="GU34" s="319"/>
      <c r="GV34" s="319"/>
      <c r="GW34" s="319"/>
      <c r="GX34" s="319"/>
      <c r="GY34" s="319"/>
      <c r="GZ34" s="319"/>
      <c r="HA34" s="319"/>
      <c r="HB34" s="319"/>
      <c r="HC34" s="319"/>
      <c r="HD34" s="319"/>
      <c r="HE34" s="319"/>
      <c r="HF34" s="319"/>
      <c r="HG34" s="319"/>
      <c r="HH34" s="319"/>
      <c r="HI34" s="319"/>
      <c r="HJ34" s="319"/>
      <c r="HK34" s="319"/>
      <c r="HL34" s="319"/>
      <c r="HM34" s="319"/>
      <c r="HN34" s="319"/>
      <c r="HO34" s="319"/>
      <c r="HP34" s="319"/>
      <c r="HQ34" s="319"/>
      <c r="HR34" s="319"/>
      <c r="HS34" s="319"/>
      <c r="HT34" s="319"/>
      <c r="HU34" s="319"/>
      <c r="HV34" s="319"/>
      <c r="HW34" s="319"/>
      <c r="HX34" s="319"/>
      <c r="HY34" s="319"/>
      <c r="HZ34" s="319"/>
      <c r="IA34" s="319"/>
      <c r="IB34" s="319"/>
      <c r="IC34" s="319"/>
      <c r="ID34" s="319"/>
      <c r="IE34" s="319"/>
      <c r="IF34" s="319"/>
      <c r="IG34" s="319"/>
      <c r="IH34" s="319"/>
      <c r="II34" s="319"/>
      <c r="IJ34" s="319"/>
      <c r="IK34" s="319"/>
      <c r="IL34" s="319"/>
      <c r="IM34" s="319"/>
      <c r="IN34" s="319"/>
      <c r="IO34" s="319"/>
      <c r="IP34" s="319"/>
      <c r="IQ34" s="319"/>
      <c r="IR34" s="319"/>
      <c r="IS34" s="319"/>
      <c r="IT34" s="319"/>
      <c r="IU34" s="319"/>
      <c r="IV34" s="319"/>
      <c r="IW34" s="319"/>
      <c r="IX34" s="319"/>
      <c r="IY34" s="319"/>
      <c r="IZ34" s="319"/>
      <c r="JA34" s="319"/>
      <c r="JB34" s="319"/>
      <c r="JC34" s="319"/>
      <c r="JD34" s="319"/>
      <c r="JE34" s="319"/>
      <c r="JF34" s="319"/>
      <c r="JG34" s="319"/>
      <c r="JH34" s="319"/>
      <c r="JI34" s="319"/>
      <c r="JJ34" s="319"/>
      <c r="JK34" s="319"/>
      <c r="JL34" s="319"/>
      <c r="JM34" s="319"/>
      <c r="JN34" s="319"/>
      <c r="JO34" s="319"/>
      <c r="JP34" s="319"/>
      <c r="JQ34" s="319"/>
      <c r="JR34" s="319"/>
      <c r="JS34" s="319"/>
      <c r="JT34" s="319"/>
      <c r="JU34" s="319"/>
      <c r="JV34" s="319"/>
      <c r="JW34" s="319"/>
      <c r="JX34" s="319"/>
      <c r="JY34" s="319"/>
      <c r="JZ34" s="319"/>
      <c r="KA34" s="319"/>
      <c r="KB34" s="319"/>
      <c r="KC34" s="319"/>
      <c r="KD34" s="319"/>
      <c r="KE34" s="319"/>
      <c r="KF34" s="319"/>
      <c r="KG34" s="319"/>
      <c r="KH34" s="319"/>
      <c r="KI34" s="319"/>
      <c r="KJ34" s="319"/>
      <c r="KK34" s="319"/>
      <c r="KL34" s="319"/>
      <c r="KM34" s="319"/>
      <c r="KN34" s="319"/>
      <c r="KO34" s="319"/>
      <c r="KP34" s="319"/>
    </row>
    <row r="35" spans="1:302" ht="21">
      <c r="A35" s="1747" t="s">
        <v>1962</v>
      </c>
      <c r="B35" s="793">
        <f>+B33-B34</f>
        <v>16.150760220000002</v>
      </c>
      <c r="C35" s="793">
        <f t="shared" ref="C35:V35" si="12">+C33-C34</f>
        <v>17.30124086</v>
      </c>
      <c r="D35" s="793">
        <f t="shared" si="12"/>
        <v>17.055040360000003</v>
      </c>
      <c r="E35" s="793">
        <f t="shared" si="12"/>
        <v>16.68701201</v>
      </c>
      <c r="F35" s="793">
        <f t="shared" si="12"/>
        <v>16.639944359999998</v>
      </c>
      <c r="G35" s="793">
        <f t="shared" si="12"/>
        <v>15.527294519999998</v>
      </c>
      <c r="H35" s="793">
        <f t="shared" si="12"/>
        <v>15.296792099999999</v>
      </c>
      <c r="I35" s="793">
        <f t="shared" si="12"/>
        <v>15.141291630000001</v>
      </c>
      <c r="J35" s="793">
        <f t="shared" si="12"/>
        <v>15.041582849999999</v>
      </c>
      <c r="K35" s="793">
        <f t="shared" si="12"/>
        <v>14.871355639999999</v>
      </c>
      <c r="L35" s="793">
        <f t="shared" si="12"/>
        <v>13.632991879999999</v>
      </c>
      <c r="M35" s="787">
        <f t="shared" si="12"/>
        <v>14.165009149999999</v>
      </c>
      <c r="N35" s="794">
        <f t="shared" si="12"/>
        <v>13.889894819999999</v>
      </c>
      <c r="O35" s="794">
        <f t="shared" si="12"/>
        <v>14.145466989999999</v>
      </c>
      <c r="P35" s="794">
        <f t="shared" si="12"/>
        <v>13.67554971</v>
      </c>
      <c r="Q35" s="794">
        <f t="shared" si="12"/>
        <v>12.856499149999999</v>
      </c>
      <c r="R35" s="794">
        <f t="shared" si="12"/>
        <v>15.60375939</v>
      </c>
      <c r="S35" s="794">
        <f t="shared" si="12"/>
        <v>14.11331884</v>
      </c>
      <c r="T35" s="794">
        <f t="shared" si="12"/>
        <v>14.098292709999999</v>
      </c>
      <c r="U35" s="794">
        <f t="shared" si="12"/>
        <v>14.2304341</v>
      </c>
      <c r="V35" s="794">
        <f t="shared" si="12"/>
        <v>14.660327580000001</v>
      </c>
      <c r="W35" s="794">
        <v>14.217232410000001</v>
      </c>
      <c r="X35" s="794">
        <v>14.649338459999999</v>
      </c>
      <c r="Y35" s="787">
        <v>28.420459699999999</v>
      </c>
      <c r="Z35" s="794">
        <v>31.939256390000001</v>
      </c>
      <c r="AA35" s="794">
        <v>124.21485983000001</v>
      </c>
      <c r="AB35" s="787">
        <f>+AB33-AB34</f>
        <v>124.25646833</v>
      </c>
      <c r="AC35" s="787">
        <v>136.08324507</v>
      </c>
      <c r="AD35" s="787">
        <v>158.02846416000003</v>
      </c>
      <c r="AE35" s="787">
        <v>162.60390094000002</v>
      </c>
      <c r="AF35" s="787">
        <v>156.35923877000002</v>
      </c>
      <c r="AG35" s="787">
        <v>154.67973613000001</v>
      </c>
      <c r="AH35" s="787">
        <f>+AH33-AH34</f>
        <v>156.05289038999999</v>
      </c>
      <c r="AI35" s="787">
        <v>155.86805749999999</v>
      </c>
      <c r="AJ35" s="787">
        <f>+AJ33-AJ34</f>
        <v>154.98698741999999</v>
      </c>
      <c r="AK35" s="787">
        <f>+AK33-AK34</f>
        <v>228.62257982</v>
      </c>
      <c r="AL35" s="787">
        <v>213.85968101</v>
      </c>
      <c r="AM35" s="787">
        <f>+AM33-AM34</f>
        <v>246.40244758</v>
      </c>
      <c r="AN35" s="787">
        <f>+AN33-AN34</f>
        <v>192.95103137999999</v>
      </c>
      <c r="AO35" s="787">
        <f>+AO33-AO34</f>
        <v>187.88094943000004</v>
      </c>
      <c r="AP35" s="787">
        <f>+AP33-AP34</f>
        <v>176.27850823</v>
      </c>
      <c r="AQ35" s="787">
        <v>190.73629735</v>
      </c>
      <c r="AR35" s="787">
        <v>227.13574753</v>
      </c>
      <c r="AS35" s="787">
        <f>+AS33-AS34</f>
        <v>233.41248290000001</v>
      </c>
      <c r="AT35" s="787">
        <f>AT27-AT31</f>
        <v>168.11102439000001</v>
      </c>
      <c r="AU35" s="787">
        <v>118.31605665000006</v>
      </c>
      <c r="AV35" s="787">
        <v>123.62655847000019</v>
      </c>
      <c r="AW35" s="787">
        <v>99.596289309999975</v>
      </c>
      <c r="AX35" s="787">
        <v>107.6017649800001</v>
      </c>
      <c r="AY35" s="787">
        <v>96.558817619999999</v>
      </c>
      <c r="AZ35" s="787">
        <v>94.960161400000004</v>
      </c>
      <c r="BA35" s="787">
        <v>92.786474349999992</v>
      </c>
      <c r="BB35" s="787">
        <v>92.686138580000005</v>
      </c>
      <c r="BC35" s="787">
        <v>65.560757420000002</v>
      </c>
      <c r="BD35" s="787">
        <f>+BD33-BD34</f>
        <v>65.127991899999998</v>
      </c>
      <c r="BE35" s="787">
        <v>65.079658030000004</v>
      </c>
      <c r="BF35" s="787">
        <v>75.943952229999979</v>
      </c>
      <c r="BG35" s="787">
        <v>84.886448259999952</v>
      </c>
      <c r="BH35" s="828">
        <v>84.143037959999987</v>
      </c>
      <c r="BI35" s="818">
        <v>106.44572910000005</v>
      </c>
      <c r="BJ35" s="818">
        <v>108.36277689999997</v>
      </c>
      <c r="BK35" s="818">
        <v>113.74082812</v>
      </c>
      <c r="BL35" s="818">
        <v>115.93356870999997</v>
      </c>
      <c r="BM35" s="818">
        <v>105.29244775000001</v>
      </c>
      <c r="BN35" s="818">
        <v>102.68236416999997</v>
      </c>
      <c r="BO35" s="818">
        <v>104.36813552999996</v>
      </c>
      <c r="BP35" s="818">
        <v>104.42573457999998</v>
      </c>
      <c r="BQ35" s="818">
        <v>107.70895883999992</v>
      </c>
      <c r="BR35" s="818">
        <v>109.93943311999999</v>
      </c>
      <c r="BS35" s="818">
        <v>110.60699740999996</v>
      </c>
      <c r="BT35" s="818">
        <v>119.57306337</v>
      </c>
      <c r="BU35" s="818">
        <v>88.419897869999971</v>
      </c>
      <c r="BV35" s="818">
        <v>87.155304749999999</v>
      </c>
      <c r="BW35" s="818">
        <v>88.407456259999989</v>
      </c>
      <c r="BX35" s="818">
        <v>87.987078889999992</v>
      </c>
      <c r="BY35" s="818">
        <v>99.7029122</v>
      </c>
      <c r="BZ35" s="818">
        <v>111.98833164000003</v>
      </c>
      <c r="CA35" s="818">
        <v>115.85547894</v>
      </c>
      <c r="CB35" s="818">
        <v>88.459849290000037</v>
      </c>
      <c r="CC35" s="818">
        <v>92.270981499999991</v>
      </c>
      <c r="CD35" s="818">
        <v>90.955385809999996</v>
      </c>
      <c r="CE35" s="818">
        <f t="shared" ref="CE35:CP35" si="13">+CE33-CE34</f>
        <v>99.953562210000001</v>
      </c>
      <c r="CF35" s="818">
        <f t="shared" si="13"/>
        <v>95.410101710000006</v>
      </c>
      <c r="CG35" s="818">
        <f t="shared" si="13"/>
        <v>131.59707266999999</v>
      </c>
      <c r="CH35" s="818">
        <f t="shared" si="13"/>
        <v>132.33735885999999</v>
      </c>
      <c r="CI35" s="818">
        <f t="shared" si="13"/>
        <v>129.31027728000001</v>
      </c>
      <c r="CJ35" s="818">
        <f t="shared" si="13"/>
        <v>127.86406882</v>
      </c>
      <c r="CK35" s="818">
        <f t="shared" si="13"/>
        <v>128.90960982000001</v>
      </c>
      <c r="CL35" s="818">
        <f t="shared" si="13"/>
        <v>126.90668918999999</v>
      </c>
      <c r="CM35" s="818">
        <f t="shared" si="13"/>
        <v>130.54859206</v>
      </c>
      <c r="CN35" s="818">
        <f t="shared" si="13"/>
        <v>132.3559721</v>
      </c>
      <c r="CO35" s="818">
        <f t="shared" si="13"/>
        <v>130.85945053</v>
      </c>
      <c r="CP35" s="818">
        <f t="shared" si="13"/>
        <v>129.42460727</v>
      </c>
      <c r="CQ35" s="818">
        <f>+CQ33-CQ34</f>
        <v>132.78094382</v>
      </c>
      <c r="CR35" s="818">
        <f>+CR33-CR34</f>
        <v>131.17614619</v>
      </c>
      <c r="CS35" s="818">
        <f>+CS33-CS34</f>
        <v>130.91545019</v>
      </c>
      <c r="CT35" s="818">
        <v>148.87658522000001</v>
      </c>
      <c r="CU35" s="818">
        <f>+CU33-CU34</f>
        <v>147.83511228</v>
      </c>
      <c r="CV35" s="818">
        <v>123.85113515</v>
      </c>
      <c r="CW35" s="818">
        <v>123.60106012</v>
      </c>
      <c r="CX35" s="818">
        <v>143.45786885000001</v>
      </c>
      <c r="CY35" s="818">
        <v>129.65630843</v>
      </c>
      <c r="CZ35" s="818">
        <v>133.71631661999999</v>
      </c>
      <c r="DA35" s="818">
        <v>138.0507145</v>
      </c>
      <c r="DB35" s="818">
        <v>152.9101039</v>
      </c>
      <c r="DC35" s="818">
        <f>+DC33-DC34</f>
        <v>156.14519063</v>
      </c>
      <c r="DD35" s="818">
        <v>153.50393962000001</v>
      </c>
      <c r="DE35" s="818">
        <v>147.09209809000001</v>
      </c>
      <c r="DF35" s="818">
        <v>146.00245434999999</v>
      </c>
      <c r="DG35" s="818">
        <f>+DG33-DG34</f>
        <v>126.10169229</v>
      </c>
      <c r="DH35" s="818">
        <v>95.474638159999998</v>
      </c>
      <c r="DI35" s="818">
        <f>+DI33-DI34</f>
        <v>123.62875698000001</v>
      </c>
      <c r="DJ35" s="818">
        <v>123.03585928</v>
      </c>
      <c r="DK35" s="818">
        <v>120.60593677999999</v>
      </c>
      <c r="DL35" s="818">
        <v>119.75968055</v>
      </c>
      <c r="DM35" s="818">
        <v>115.93544707</v>
      </c>
      <c r="DN35" s="818">
        <f>+DN33-DN34</f>
        <v>116.09484907</v>
      </c>
      <c r="DO35" s="818">
        <f>+DO33-DO34</f>
        <v>116.45940041</v>
      </c>
      <c r="DP35" s="818">
        <f>+DP33-DP34</f>
        <v>113.75636114</v>
      </c>
      <c r="DQ35" s="818">
        <f>+DQ33-DQ34</f>
        <v>130.28006633000001</v>
      </c>
      <c r="DR35" s="818">
        <v>178.96461278000001</v>
      </c>
      <c r="DS35" s="818">
        <v>182.42865606999999</v>
      </c>
      <c r="DT35" s="818">
        <v>179.78928171999999</v>
      </c>
      <c r="DU35" s="818">
        <f>+DU33-DU34</f>
        <v>173.14574542</v>
      </c>
      <c r="DV35" s="818">
        <f>+DV33-DV34</f>
        <v>201.72289044999999</v>
      </c>
      <c r="DW35" s="818">
        <v>203.06051572000001</v>
      </c>
      <c r="DX35" s="818">
        <v>205.04967758999999</v>
      </c>
      <c r="DY35" s="818">
        <v>201.24438509999999</v>
      </c>
      <c r="DZ35" s="818">
        <f>+DZ33-DZ34</f>
        <v>198.92859824000001</v>
      </c>
      <c r="EA35" s="818">
        <v>196.23754590999999</v>
      </c>
      <c r="EB35" s="818">
        <v>192.68808307</v>
      </c>
      <c r="EC35" s="818">
        <v>185.30053570999999</v>
      </c>
      <c r="ED35" s="818">
        <v>185.26675236</v>
      </c>
      <c r="EE35" s="818">
        <v>168.96943045</v>
      </c>
      <c r="EF35" s="818">
        <v>150.36457157999999</v>
      </c>
      <c r="EG35" s="818">
        <v>151.66652160999999</v>
      </c>
      <c r="EH35" s="818">
        <v>145.076494</v>
      </c>
      <c r="EI35" s="818">
        <v>143.04395971</v>
      </c>
      <c r="EJ35" s="818">
        <f>+EJ33-EJ34</f>
        <v>138.09449003</v>
      </c>
      <c r="EK35" s="816">
        <v>138.69862122000001</v>
      </c>
      <c r="EL35" s="816">
        <v>135.37606903</v>
      </c>
      <c r="EM35" s="816">
        <v>171.68862186999999</v>
      </c>
      <c r="EN35" s="816">
        <f>+EN33-EN34</f>
        <v>166.17304904</v>
      </c>
      <c r="EO35" s="816">
        <v>163.84090352000001</v>
      </c>
      <c r="EP35" s="816">
        <v>147.80741467999999</v>
      </c>
      <c r="EQ35" s="816">
        <v>136.62704117000001</v>
      </c>
      <c r="ER35" s="816">
        <v>137.20131961999999</v>
      </c>
      <c r="ES35" s="816">
        <v>132.17741158999999</v>
      </c>
      <c r="ET35" s="816">
        <v>137.26902486</v>
      </c>
      <c r="EU35" s="816">
        <f>+EU33-EU34</f>
        <v>134.02843817999999</v>
      </c>
      <c r="EV35" s="816">
        <v>145.03058623000001</v>
      </c>
      <c r="EW35" s="816">
        <f>+EW33-EW34</f>
        <v>164.57384497000001</v>
      </c>
      <c r="EX35" s="816">
        <f>+EX33-EX34</f>
        <v>167.13338048</v>
      </c>
      <c r="EY35" s="816">
        <v>168.77976991</v>
      </c>
      <c r="EZ35" s="816">
        <v>166.29418867999999</v>
      </c>
      <c r="FA35" s="816">
        <v>175.15722302</v>
      </c>
      <c r="FB35" s="816">
        <v>163.74780235</v>
      </c>
      <c r="FC35" s="816">
        <v>156.98349117000001</v>
      </c>
      <c r="FD35" s="816">
        <v>149.71200081000001</v>
      </c>
      <c r="FE35" s="816">
        <v>148.59184526999999</v>
      </c>
      <c r="FF35" s="816">
        <f>+FF33-FF34</f>
        <v>150.01648663</v>
      </c>
      <c r="FG35" s="816">
        <f>+FG33-FG34</f>
        <v>143.74701587000004</v>
      </c>
      <c r="FH35" s="1717" t="s">
        <v>4066</v>
      </c>
      <c r="FI35" s="319"/>
      <c r="FJ35" s="319"/>
      <c r="FK35" s="319"/>
      <c r="FL35" s="319"/>
      <c r="FM35" s="321"/>
      <c r="FN35" s="319"/>
      <c r="FO35" s="319"/>
      <c r="FP35" s="319"/>
      <c r="FQ35" s="319"/>
      <c r="FR35" s="319"/>
      <c r="FS35" s="319"/>
      <c r="FT35" s="319"/>
      <c r="FU35" s="319"/>
      <c r="FV35" s="319"/>
      <c r="FW35" s="319"/>
      <c r="FX35" s="319"/>
      <c r="FY35" s="319"/>
      <c r="FZ35" s="319"/>
      <c r="GA35" s="319"/>
      <c r="GB35" s="319"/>
      <c r="GC35" s="319"/>
      <c r="GD35" s="319"/>
      <c r="GE35" s="319"/>
      <c r="GF35" s="319"/>
      <c r="GG35" s="319"/>
      <c r="GH35" s="319"/>
      <c r="GI35" s="319"/>
      <c r="GJ35" s="319"/>
      <c r="GK35" s="319"/>
      <c r="GL35" s="319"/>
      <c r="GM35" s="319"/>
      <c r="GN35" s="319"/>
      <c r="GO35" s="319"/>
      <c r="GP35" s="319"/>
      <c r="GQ35" s="319"/>
      <c r="GR35" s="319"/>
      <c r="GS35" s="319"/>
      <c r="GT35" s="319"/>
      <c r="GU35" s="319"/>
      <c r="GV35" s="319"/>
      <c r="GW35" s="319"/>
      <c r="GX35" s="319"/>
      <c r="GY35" s="319"/>
      <c r="GZ35" s="319"/>
      <c r="HA35" s="319"/>
      <c r="HB35" s="319"/>
      <c r="HC35" s="319"/>
      <c r="HD35" s="319"/>
      <c r="HE35" s="319"/>
      <c r="HF35" s="319"/>
      <c r="HG35" s="319"/>
      <c r="HH35" s="319"/>
      <c r="HI35" s="319"/>
      <c r="HJ35" s="319"/>
      <c r="HK35" s="319"/>
      <c r="HL35" s="319"/>
      <c r="HM35" s="319"/>
      <c r="HN35" s="319"/>
      <c r="HO35" s="319"/>
      <c r="HP35" s="319"/>
      <c r="HQ35" s="319"/>
      <c r="HR35" s="319"/>
      <c r="HS35" s="319"/>
      <c r="HT35" s="319"/>
      <c r="HU35" s="319"/>
      <c r="HV35" s="319"/>
      <c r="HW35" s="319"/>
      <c r="HX35" s="319"/>
      <c r="HY35" s="319"/>
      <c r="HZ35" s="319"/>
      <c r="IA35" s="319"/>
      <c r="IB35" s="319"/>
      <c r="IC35" s="319"/>
      <c r="ID35" s="319"/>
      <c r="IE35" s="319"/>
      <c r="IF35" s="319"/>
      <c r="IG35" s="319"/>
      <c r="IH35" s="319"/>
      <c r="II35" s="319"/>
      <c r="IJ35" s="319"/>
      <c r="IK35" s="319"/>
      <c r="IL35" s="319"/>
      <c r="IM35" s="319"/>
      <c r="IN35" s="319"/>
      <c r="IO35" s="319"/>
      <c r="IP35" s="319"/>
      <c r="IQ35" s="319"/>
      <c r="IR35" s="319"/>
      <c r="IS35" s="319"/>
      <c r="IT35" s="319"/>
      <c r="IU35" s="319"/>
      <c r="IV35" s="319"/>
      <c r="IW35" s="319"/>
      <c r="IX35" s="319"/>
      <c r="IY35" s="319"/>
      <c r="IZ35" s="319"/>
      <c r="JA35" s="319"/>
      <c r="JB35" s="319"/>
      <c r="JC35" s="319"/>
      <c r="JD35" s="319"/>
      <c r="JE35" s="319"/>
      <c r="JF35" s="319"/>
      <c r="JG35" s="319"/>
      <c r="JH35" s="319"/>
      <c r="JI35" s="319"/>
      <c r="JJ35" s="319"/>
      <c r="JK35" s="319"/>
      <c r="JL35" s="319"/>
      <c r="JM35" s="319"/>
      <c r="JN35" s="319"/>
      <c r="JO35" s="319"/>
      <c r="JP35" s="319"/>
      <c r="JQ35" s="319"/>
      <c r="JR35" s="319"/>
      <c r="JS35" s="319"/>
      <c r="JT35" s="319"/>
      <c r="JU35" s="319"/>
      <c r="JV35" s="319"/>
      <c r="JW35" s="319"/>
      <c r="JX35" s="319"/>
      <c r="JY35" s="319"/>
      <c r="JZ35" s="319"/>
      <c r="KA35" s="319"/>
      <c r="KB35" s="319"/>
      <c r="KC35" s="319"/>
      <c r="KD35" s="319"/>
      <c r="KE35" s="319"/>
      <c r="KF35" s="319"/>
      <c r="KG35" s="319"/>
      <c r="KH35" s="319"/>
      <c r="KI35" s="319"/>
      <c r="KJ35" s="319"/>
      <c r="KK35" s="319"/>
      <c r="KL35" s="319"/>
      <c r="KM35" s="319"/>
      <c r="KN35" s="319"/>
      <c r="KO35" s="319"/>
      <c r="KP35" s="319"/>
    </row>
    <row r="36" spans="1:302" s="736" customFormat="1" ht="39" customHeight="1">
      <c r="A36" s="2306" t="s">
        <v>3278</v>
      </c>
      <c r="B36" s="2306"/>
      <c r="C36" s="2306"/>
      <c r="D36" s="2306"/>
      <c r="E36" s="2306"/>
      <c r="F36" s="2306"/>
      <c r="G36" s="2306"/>
      <c r="H36" s="2306"/>
      <c r="I36" s="2306"/>
      <c r="J36" s="2306"/>
      <c r="K36" s="2306"/>
      <c r="L36" s="2306"/>
      <c r="M36" s="2306"/>
      <c r="N36" s="2306"/>
      <c r="O36" s="2306"/>
      <c r="P36" s="2306"/>
      <c r="Q36" s="2306"/>
      <c r="R36" s="2306"/>
      <c r="S36" s="2306"/>
      <c r="T36" s="2306"/>
      <c r="U36" s="2306"/>
      <c r="V36" s="2306"/>
      <c r="W36" s="2306"/>
      <c r="X36" s="2306"/>
      <c r="Y36" s="2306"/>
      <c r="Z36" s="2306"/>
      <c r="AA36" s="2306"/>
      <c r="AB36" s="2306"/>
      <c r="AC36" s="2306"/>
      <c r="AD36" s="2306"/>
      <c r="AE36" s="2306"/>
      <c r="AF36" s="2306"/>
      <c r="AG36" s="2306"/>
      <c r="AH36" s="2306"/>
      <c r="AI36" s="2306"/>
      <c r="AJ36" s="2306"/>
      <c r="AK36" s="2306"/>
      <c r="AL36" s="2306"/>
      <c r="AM36" s="2306"/>
      <c r="AN36" s="2306"/>
      <c r="AO36" s="2306"/>
      <c r="AP36" s="2306"/>
      <c r="AQ36" s="2306"/>
      <c r="AR36" s="2306"/>
      <c r="AS36" s="2306"/>
      <c r="AT36" s="2306"/>
      <c r="AU36" s="2306"/>
      <c r="AV36" s="2306"/>
      <c r="AW36" s="2306"/>
      <c r="AX36" s="2306"/>
      <c r="AY36" s="2306"/>
      <c r="AZ36" s="2306"/>
      <c r="BA36" s="2306"/>
      <c r="BB36" s="2306"/>
      <c r="BC36" s="2306"/>
      <c r="BD36" s="2306"/>
      <c r="BE36" s="2306"/>
      <c r="BF36" s="2306"/>
      <c r="BG36" s="2306"/>
      <c r="BH36" s="2306"/>
      <c r="BI36" s="2306"/>
      <c r="BJ36" s="2306"/>
      <c r="BK36" s="2306"/>
      <c r="BL36" s="2306"/>
      <c r="BM36" s="2306"/>
      <c r="BN36" s="2306"/>
      <c r="BO36" s="2306"/>
      <c r="BP36" s="2306"/>
      <c r="BQ36" s="2306"/>
      <c r="BR36" s="2306"/>
      <c r="BS36" s="2306"/>
      <c r="BT36" s="2306"/>
      <c r="BU36" s="2306"/>
      <c r="BV36" s="2306"/>
      <c r="BW36" s="2306"/>
      <c r="BX36" s="2306"/>
      <c r="BY36" s="2306"/>
      <c r="BZ36" s="2306"/>
      <c r="CA36" s="2306"/>
      <c r="CB36" s="2306"/>
      <c r="CC36" s="2306"/>
      <c r="CD36" s="2306"/>
      <c r="CE36" s="2306"/>
      <c r="CF36" s="2306"/>
      <c r="CG36" s="2306"/>
      <c r="CH36" s="2306"/>
      <c r="CI36" s="2306"/>
      <c r="CJ36" s="2306"/>
      <c r="CK36" s="2306"/>
      <c r="CL36" s="2306"/>
      <c r="CM36" s="2306"/>
      <c r="CN36" s="2306"/>
      <c r="CO36" s="2306"/>
      <c r="CP36" s="2306"/>
      <c r="CQ36" s="2306"/>
      <c r="CR36" s="2306"/>
      <c r="CS36" s="2306"/>
      <c r="CT36" s="2306"/>
      <c r="CU36" s="2306"/>
      <c r="CV36" s="2306"/>
      <c r="CW36" s="2306"/>
      <c r="CX36" s="2306"/>
      <c r="CY36" s="2306"/>
      <c r="CZ36" s="2306"/>
      <c r="DA36" s="2306"/>
      <c r="DB36" s="2306"/>
      <c r="DC36" s="2306"/>
      <c r="DD36" s="2306"/>
      <c r="DE36" s="2306"/>
      <c r="DF36" s="2306"/>
      <c r="DG36" s="2306"/>
      <c r="DH36" s="2306"/>
      <c r="DI36" s="2306"/>
      <c r="DJ36" s="2306"/>
      <c r="DK36" s="2306"/>
      <c r="DL36" s="2306"/>
      <c r="DM36" s="2306"/>
      <c r="DN36" s="2306"/>
      <c r="DO36" s="2306"/>
      <c r="DP36" s="2306"/>
      <c r="DQ36" s="2306"/>
      <c r="DR36" s="2306"/>
      <c r="DS36" s="2306"/>
      <c r="DT36" s="2306"/>
      <c r="DU36" s="2306"/>
      <c r="DV36" s="2306"/>
      <c r="DW36" s="2306"/>
      <c r="DX36" s="2306"/>
      <c r="DY36" s="2306"/>
      <c r="DZ36" s="2306"/>
      <c r="EA36" s="2307"/>
      <c r="EB36" s="2307"/>
      <c r="EC36" s="2307"/>
      <c r="ED36" s="2307"/>
      <c r="EE36" s="2307"/>
      <c r="EF36" s="2307"/>
      <c r="EG36" s="2307"/>
      <c r="EH36" s="2307"/>
      <c r="EI36" s="2307"/>
      <c r="EJ36" s="2307"/>
      <c r="EK36" s="2307"/>
      <c r="EL36" s="2307"/>
      <c r="EM36" s="2307"/>
      <c r="EN36" s="2307"/>
      <c r="EO36" s="2307"/>
      <c r="EP36" s="2307"/>
      <c r="EQ36" s="2307"/>
      <c r="ER36" s="2307"/>
      <c r="ES36" s="2307"/>
      <c r="ET36" s="2307"/>
      <c r="EU36" s="2307"/>
      <c r="EV36" s="2307"/>
      <c r="EW36" s="2307"/>
      <c r="EX36" s="2307"/>
      <c r="EY36" s="2307"/>
      <c r="EZ36" s="2307"/>
      <c r="FA36" s="2307"/>
      <c r="FB36" s="2307"/>
      <c r="FC36" s="2307"/>
      <c r="FD36" s="2307"/>
      <c r="FE36" s="2307"/>
      <c r="FF36" s="2307"/>
      <c r="FG36" s="2306"/>
    </row>
    <row r="37" spans="1:302" ht="18">
      <c r="A37" s="759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4"/>
      <c r="Z37" s="274"/>
      <c r="AA37" s="274"/>
      <c r="AB37" s="274"/>
      <c r="AC37" s="274"/>
      <c r="AD37" s="274"/>
      <c r="AE37" s="274"/>
      <c r="AF37" s="274"/>
      <c r="AG37" s="274"/>
      <c r="AH37" s="274"/>
      <c r="AI37" s="274"/>
      <c r="AJ37" s="274"/>
      <c r="AK37" s="274"/>
      <c r="AL37" s="274"/>
      <c r="AM37" s="274"/>
      <c r="AN37" s="274"/>
      <c r="AO37" s="274"/>
      <c r="AP37" s="274"/>
      <c r="AQ37" s="274"/>
      <c r="AR37" s="274"/>
      <c r="AS37" s="274"/>
      <c r="AT37" s="274"/>
      <c r="AU37" s="274"/>
      <c r="AV37" s="274"/>
      <c r="AW37" s="274"/>
      <c r="AX37" s="274"/>
      <c r="AY37" s="274"/>
      <c r="AZ37" s="274"/>
      <c r="BA37" s="274"/>
      <c r="BB37" s="274"/>
      <c r="BC37" s="274"/>
      <c r="BD37" s="274"/>
      <c r="BE37" s="274"/>
      <c r="BF37" s="274"/>
      <c r="BG37" s="274"/>
      <c r="BH37" s="274"/>
      <c r="BI37" s="274"/>
      <c r="BJ37" s="274"/>
      <c r="BK37" s="274"/>
      <c r="BL37" s="274"/>
      <c r="BM37" s="274"/>
      <c r="BN37" s="274"/>
      <c r="BO37" s="274"/>
      <c r="BP37" s="274"/>
      <c r="BQ37" s="274"/>
      <c r="BR37" s="274"/>
      <c r="BS37" s="274"/>
      <c r="BT37" s="274"/>
      <c r="BU37" s="274"/>
      <c r="BV37" s="274"/>
      <c r="BW37" s="274"/>
      <c r="BX37" s="274"/>
      <c r="BY37" s="274"/>
      <c r="BZ37" s="274"/>
      <c r="CA37" s="274"/>
      <c r="CB37" s="274"/>
      <c r="CC37" s="274"/>
      <c r="CD37" s="274"/>
      <c r="CE37" s="274"/>
      <c r="CF37" s="274"/>
      <c r="CG37" s="274"/>
    </row>
    <row r="38" spans="1:302" ht="18">
      <c r="A38" s="760"/>
      <c r="B38" s="273"/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3"/>
      <c r="AY38" s="273"/>
      <c r="AZ38" s="273"/>
      <c r="BA38" s="273"/>
      <c r="BB38" s="273"/>
      <c r="BC38" s="273"/>
      <c r="BD38" s="273"/>
      <c r="BE38" s="273"/>
      <c r="BF38" s="273"/>
      <c r="BG38" s="273"/>
      <c r="BH38" s="273"/>
      <c r="BI38" s="273"/>
      <c r="BJ38" s="273"/>
      <c r="BK38" s="273"/>
      <c r="BL38" s="273"/>
      <c r="BM38" s="273"/>
      <c r="BN38" s="273"/>
      <c r="BO38" s="273"/>
      <c r="BP38" s="273"/>
      <c r="BQ38" s="273"/>
      <c r="BR38" s="273"/>
      <c r="BS38" s="273"/>
      <c r="BT38" s="273"/>
      <c r="BU38" s="273"/>
      <c r="BV38" s="273"/>
      <c r="BW38" s="273"/>
      <c r="BX38" s="273"/>
      <c r="BY38" s="273"/>
      <c r="BZ38" s="273"/>
      <c r="CA38" s="273"/>
      <c r="CB38" s="273"/>
      <c r="CC38" s="273"/>
      <c r="CD38" s="273"/>
      <c r="CE38" s="273"/>
      <c r="CF38" s="273"/>
      <c r="CG38" s="273"/>
    </row>
    <row r="39" spans="1:302" ht="18">
      <c r="A39" s="759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  <c r="AM39" s="274"/>
      <c r="AN39" s="274"/>
      <c r="AO39" s="274"/>
      <c r="AP39" s="274"/>
      <c r="AQ39" s="274"/>
      <c r="AR39" s="274"/>
      <c r="AS39" s="274"/>
      <c r="AT39" s="274"/>
      <c r="AU39" s="274"/>
      <c r="AV39" s="274"/>
      <c r="AW39" s="274"/>
      <c r="AX39" s="274"/>
      <c r="AY39" s="274"/>
      <c r="AZ39" s="274"/>
      <c r="BA39" s="274"/>
      <c r="BB39" s="274"/>
      <c r="BC39" s="274"/>
      <c r="BD39" s="274"/>
      <c r="BE39" s="274"/>
      <c r="BF39" s="274"/>
      <c r="BG39" s="274"/>
      <c r="BH39" s="274"/>
      <c r="BI39" s="274"/>
      <c r="BJ39" s="274"/>
      <c r="BK39" s="274"/>
      <c r="BL39" s="274"/>
      <c r="BM39" s="274"/>
      <c r="BN39" s="274"/>
      <c r="BO39" s="274"/>
      <c r="BP39" s="274"/>
      <c r="BQ39" s="274"/>
      <c r="BR39" s="274"/>
      <c r="BS39" s="274"/>
      <c r="BT39" s="274"/>
      <c r="BU39" s="274"/>
      <c r="BV39" s="274"/>
      <c r="BW39" s="274"/>
      <c r="BX39" s="274"/>
      <c r="BY39" s="274"/>
      <c r="BZ39" s="274"/>
      <c r="CA39" s="274"/>
      <c r="CB39" s="274"/>
      <c r="CC39" s="274"/>
      <c r="CD39" s="274"/>
      <c r="CE39" s="274"/>
      <c r="CF39" s="274"/>
      <c r="CG39" s="274"/>
    </row>
    <row r="40" spans="1:302" ht="18">
      <c r="A40" s="760"/>
      <c r="B40" s="273"/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3"/>
      <c r="AO40" s="273"/>
      <c r="AP40" s="273"/>
      <c r="AQ40" s="273"/>
      <c r="AR40" s="273"/>
      <c r="AS40" s="273"/>
      <c r="AT40" s="273"/>
      <c r="AU40" s="273"/>
      <c r="AV40" s="273"/>
      <c r="AW40" s="273"/>
      <c r="AX40" s="273"/>
      <c r="AY40" s="273"/>
      <c r="AZ40" s="273"/>
      <c r="BA40" s="273"/>
      <c r="BB40" s="273"/>
      <c r="BC40" s="273"/>
      <c r="BD40" s="273"/>
      <c r="BE40" s="273"/>
      <c r="BF40" s="273"/>
      <c r="BG40" s="273"/>
      <c r="BH40" s="273"/>
      <c r="BI40" s="273"/>
      <c r="BJ40" s="273"/>
      <c r="BK40" s="273"/>
      <c r="BL40" s="273"/>
      <c r="BM40" s="273"/>
      <c r="BN40" s="273"/>
      <c r="BO40" s="273"/>
      <c r="BP40" s="273"/>
      <c r="BQ40" s="273"/>
      <c r="BR40" s="273"/>
      <c r="BS40" s="273"/>
      <c r="BT40" s="273"/>
      <c r="BU40" s="273"/>
      <c r="BV40" s="273"/>
      <c r="BW40" s="273"/>
      <c r="BX40" s="273"/>
      <c r="BY40" s="273"/>
      <c r="BZ40" s="273"/>
      <c r="CA40" s="273"/>
      <c r="CB40" s="273"/>
      <c r="CC40" s="273"/>
      <c r="CD40" s="273"/>
      <c r="CE40" s="273"/>
      <c r="CF40" s="273"/>
      <c r="CG40" s="273"/>
    </row>
    <row r="41" spans="1:302" ht="18">
      <c r="A41" s="759"/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274"/>
      <c r="AE41" s="274"/>
      <c r="AF41" s="274"/>
      <c r="AG41" s="274"/>
      <c r="AH41" s="274"/>
      <c r="AI41" s="274"/>
      <c r="AJ41" s="274"/>
      <c r="AK41" s="274"/>
      <c r="AL41" s="274"/>
      <c r="AM41" s="274"/>
      <c r="AN41" s="274"/>
      <c r="AO41" s="274"/>
      <c r="AP41" s="274"/>
      <c r="AQ41" s="274"/>
      <c r="AR41" s="274"/>
      <c r="AS41" s="274"/>
      <c r="AT41" s="274"/>
      <c r="AU41" s="274"/>
      <c r="AV41" s="274"/>
      <c r="AW41" s="274"/>
      <c r="AX41" s="274"/>
      <c r="AY41" s="274"/>
      <c r="AZ41" s="274"/>
      <c r="BA41" s="274"/>
      <c r="BB41" s="274"/>
      <c r="BC41" s="274"/>
      <c r="BD41" s="274"/>
      <c r="BE41" s="274"/>
      <c r="BF41" s="274"/>
      <c r="BG41" s="274"/>
      <c r="BH41" s="274"/>
      <c r="BI41" s="274"/>
      <c r="BJ41" s="274"/>
      <c r="BK41" s="274"/>
      <c r="BL41" s="274"/>
      <c r="BM41" s="274"/>
      <c r="BN41" s="274"/>
      <c r="BO41" s="274"/>
      <c r="BP41" s="274"/>
      <c r="BQ41" s="274"/>
      <c r="BR41" s="274"/>
      <c r="BS41" s="274"/>
      <c r="BT41" s="274"/>
      <c r="BU41" s="274"/>
      <c r="BV41" s="274"/>
      <c r="BW41" s="274"/>
      <c r="BX41" s="274"/>
      <c r="BY41" s="274"/>
      <c r="BZ41" s="274"/>
      <c r="CA41" s="274"/>
      <c r="CB41" s="274"/>
      <c r="CC41" s="274"/>
      <c r="CD41" s="274"/>
      <c r="CE41" s="274"/>
      <c r="CF41" s="274"/>
      <c r="CG41" s="274"/>
    </row>
    <row r="42" spans="1:302" ht="18">
      <c r="A42" s="761"/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274"/>
      <c r="AE42" s="274"/>
      <c r="AF42" s="274"/>
      <c r="AG42" s="274"/>
      <c r="AH42" s="274"/>
      <c r="AI42" s="274"/>
      <c r="AJ42" s="274"/>
      <c r="AK42" s="274"/>
      <c r="AL42" s="274"/>
      <c r="AM42" s="274"/>
      <c r="AN42" s="274"/>
      <c r="AO42" s="274"/>
      <c r="AP42" s="274"/>
      <c r="AQ42" s="274"/>
      <c r="AR42" s="274"/>
      <c r="AS42" s="274"/>
      <c r="AT42" s="274"/>
      <c r="AU42" s="274"/>
      <c r="AV42" s="274"/>
      <c r="AW42" s="274"/>
      <c r="AX42" s="274"/>
      <c r="AY42" s="274"/>
      <c r="AZ42" s="274"/>
      <c r="BA42" s="274"/>
      <c r="BB42" s="274"/>
      <c r="BC42" s="274"/>
      <c r="BD42" s="274"/>
      <c r="BE42" s="274"/>
      <c r="BF42" s="274"/>
      <c r="BG42" s="274"/>
      <c r="BH42" s="274"/>
      <c r="BI42" s="274"/>
      <c r="BJ42" s="274"/>
      <c r="BK42" s="274"/>
      <c r="BL42" s="274"/>
      <c r="BM42" s="274"/>
      <c r="BN42" s="274"/>
      <c r="BO42" s="274"/>
      <c r="BP42" s="274"/>
      <c r="BQ42" s="274"/>
      <c r="BR42" s="274"/>
      <c r="BS42" s="274"/>
      <c r="BT42" s="274"/>
      <c r="BU42" s="274"/>
      <c r="BV42" s="274"/>
      <c r="BW42" s="274"/>
      <c r="BX42" s="274"/>
      <c r="BY42" s="274"/>
      <c r="BZ42" s="274"/>
      <c r="CA42" s="274"/>
      <c r="CB42" s="274"/>
      <c r="CC42" s="274"/>
      <c r="CD42" s="274"/>
      <c r="CE42" s="274"/>
      <c r="CF42" s="274"/>
      <c r="CG42" s="274"/>
    </row>
    <row r="43" spans="1:302" ht="18">
      <c r="A43" s="762"/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  <c r="AU43" s="273"/>
      <c r="AV43" s="273"/>
      <c r="AW43" s="273"/>
      <c r="AX43" s="273"/>
      <c r="AY43" s="273"/>
      <c r="AZ43" s="273"/>
      <c r="BA43" s="273"/>
      <c r="BB43" s="273"/>
      <c r="BC43" s="273"/>
      <c r="BD43" s="273"/>
      <c r="BE43" s="273"/>
      <c r="BF43" s="273"/>
      <c r="BG43" s="273"/>
      <c r="BH43" s="273"/>
      <c r="BI43" s="273"/>
      <c r="BJ43" s="273"/>
      <c r="BK43" s="273"/>
      <c r="BL43" s="273"/>
      <c r="BM43" s="273"/>
      <c r="BN43" s="273"/>
      <c r="BO43" s="273"/>
      <c r="BP43" s="273"/>
      <c r="BQ43" s="273"/>
      <c r="BR43" s="273"/>
      <c r="BS43" s="273"/>
      <c r="BT43" s="273"/>
      <c r="BU43" s="273"/>
      <c r="BV43" s="273"/>
      <c r="BW43" s="273"/>
      <c r="BX43" s="273"/>
      <c r="BY43" s="273"/>
      <c r="BZ43" s="273"/>
      <c r="CA43" s="273"/>
      <c r="CB43" s="273"/>
      <c r="CC43" s="273"/>
      <c r="CD43" s="273"/>
      <c r="CE43" s="273"/>
      <c r="CF43" s="273"/>
      <c r="CG43" s="273"/>
    </row>
    <row r="44" spans="1:302" ht="18">
      <c r="A44" s="759"/>
      <c r="B44" s="274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4"/>
      <c r="O44" s="274"/>
      <c r="P44" s="274"/>
      <c r="Q44" s="274"/>
      <c r="R44" s="274"/>
      <c r="S44" s="274"/>
      <c r="T44" s="274"/>
      <c r="U44" s="274"/>
      <c r="V44" s="274"/>
      <c r="W44" s="274"/>
      <c r="X44" s="274"/>
      <c r="Y44" s="274"/>
      <c r="Z44" s="274"/>
      <c r="AA44" s="274"/>
      <c r="AB44" s="274"/>
      <c r="AC44" s="274"/>
      <c r="AD44" s="274"/>
      <c r="AE44" s="274"/>
      <c r="AF44" s="274"/>
      <c r="AG44" s="274"/>
      <c r="AH44" s="274"/>
      <c r="AI44" s="274"/>
      <c r="AJ44" s="274"/>
      <c r="AK44" s="274"/>
      <c r="AL44" s="274"/>
      <c r="AM44" s="274"/>
      <c r="AN44" s="274"/>
      <c r="AO44" s="274"/>
      <c r="AP44" s="274"/>
      <c r="AQ44" s="274"/>
      <c r="AR44" s="274"/>
      <c r="AS44" s="274"/>
      <c r="AT44" s="274"/>
      <c r="AU44" s="274"/>
      <c r="AV44" s="274"/>
      <c r="AW44" s="274"/>
      <c r="AX44" s="274"/>
      <c r="AY44" s="274"/>
      <c r="AZ44" s="274"/>
      <c r="BA44" s="274"/>
      <c r="BB44" s="274"/>
      <c r="BC44" s="274"/>
      <c r="BD44" s="274"/>
      <c r="BE44" s="274"/>
      <c r="BF44" s="274"/>
      <c r="BG44" s="274"/>
      <c r="BH44" s="274"/>
      <c r="BI44" s="274"/>
      <c r="BJ44" s="274"/>
      <c r="BK44" s="274"/>
      <c r="BL44" s="274"/>
      <c r="BM44" s="274"/>
      <c r="BN44" s="274"/>
      <c r="BO44" s="274"/>
      <c r="BP44" s="274"/>
      <c r="BQ44" s="274"/>
      <c r="BR44" s="274"/>
      <c r="BS44" s="274"/>
      <c r="BT44" s="274"/>
      <c r="BU44" s="274"/>
      <c r="BV44" s="274"/>
      <c r="BW44" s="274"/>
      <c r="BX44" s="274"/>
      <c r="BY44" s="274"/>
      <c r="BZ44" s="274"/>
      <c r="CA44" s="274"/>
      <c r="CB44" s="274"/>
      <c r="CC44" s="274"/>
      <c r="CD44" s="274"/>
      <c r="CE44" s="274"/>
      <c r="CF44" s="274"/>
      <c r="CG44" s="274"/>
    </row>
    <row r="45" spans="1:302" ht="18">
      <c r="A45" s="760"/>
      <c r="B45" s="273"/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  <c r="BG45" s="273"/>
      <c r="BH45" s="273"/>
      <c r="BI45" s="273"/>
      <c r="BJ45" s="273"/>
      <c r="BK45" s="273"/>
      <c r="BL45" s="273"/>
      <c r="BM45" s="273"/>
      <c r="BN45" s="273"/>
      <c r="BO45" s="273"/>
      <c r="BP45" s="273"/>
      <c r="BQ45" s="273"/>
      <c r="BR45" s="273"/>
      <c r="BS45" s="273"/>
      <c r="BT45" s="273"/>
      <c r="BU45" s="273"/>
      <c r="BV45" s="273"/>
      <c r="BW45" s="273"/>
      <c r="BX45" s="273"/>
      <c r="BY45" s="273"/>
      <c r="BZ45" s="273"/>
      <c r="CA45" s="273"/>
      <c r="CB45" s="273"/>
      <c r="CC45" s="273"/>
      <c r="CD45" s="273"/>
      <c r="CE45" s="273"/>
      <c r="CF45" s="273"/>
      <c r="CG45" s="273"/>
    </row>
    <row r="46" spans="1:302" ht="18">
      <c r="A46" s="759"/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4"/>
      <c r="BA46" s="274"/>
      <c r="BB46" s="274"/>
      <c r="BC46" s="274"/>
      <c r="BD46" s="274"/>
      <c r="BE46" s="274"/>
      <c r="BF46" s="274"/>
      <c r="BG46" s="274"/>
      <c r="BH46" s="274"/>
      <c r="BI46" s="274"/>
      <c r="BJ46" s="274"/>
      <c r="BK46" s="274"/>
      <c r="BL46" s="274"/>
      <c r="BM46" s="274"/>
      <c r="BN46" s="274"/>
      <c r="BO46" s="274"/>
      <c r="BP46" s="274"/>
      <c r="BQ46" s="274"/>
      <c r="BR46" s="274"/>
      <c r="BS46" s="274"/>
      <c r="BT46" s="274"/>
      <c r="BU46" s="274"/>
      <c r="BV46" s="274"/>
      <c r="BW46" s="274"/>
      <c r="BX46" s="274"/>
      <c r="BY46" s="274"/>
      <c r="BZ46" s="274"/>
      <c r="CA46" s="274"/>
      <c r="CB46" s="274"/>
      <c r="CC46" s="274"/>
      <c r="CD46" s="274"/>
      <c r="CE46" s="274"/>
      <c r="CF46" s="274"/>
      <c r="CG46" s="274"/>
    </row>
    <row r="47" spans="1:302" ht="18">
      <c r="A47" s="760"/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73"/>
      <c r="BA47" s="273"/>
      <c r="BB47" s="273"/>
      <c r="BC47" s="273"/>
      <c r="BD47" s="273"/>
      <c r="BE47" s="273"/>
      <c r="BF47" s="273"/>
      <c r="BG47" s="273"/>
      <c r="BH47" s="273"/>
      <c r="BI47" s="273"/>
      <c r="BJ47" s="273"/>
      <c r="BK47" s="273"/>
      <c r="BL47" s="273"/>
      <c r="BM47" s="273"/>
      <c r="BN47" s="273"/>
      <c r="BO47" s="273"/>
      <c r="BP47" s="273"/>
      <c r="BQ47" s="273"/>
      <c r="BR47" s="273"/>
      <c r="BS47" s="273"/>
      <c r="BT47" s="273"/>
      <c r="BU47" s="273"/>
      <c r="BV47" s="273"/>
      <c r="BW47" s="273"/>
      <c r="BX47" s="273"/>
      <c r="BY47" s="273"/>
      <c r="BZ47" s="273"/>
      <c r="CA47" s="273"/>
      <c r="CB47" s="273"/>
      <c r="CC47" s="273"/>
      <c r="CD47" s="273"/>
      <c r="CE47" s="273"/>
      <c r="CF47" s="273"/>
      <c r="CG47" s="273"/>
    </row>
    <row r="48" spans="1:302" ht="18">
      <c r="A48" s="759"/>
      <c r="B48" s="274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  <c r="AA48" s="274"/>
      <c r="AB48" s="274"/>
      <c r="AC48" s="274"/>
      <c r="AD48" s="274"/>
      <c r="AE48" s="274"/>
      <c r="AF48" s="274"/>
      <c r="AG48" s="274"/>
      <c r="AH48" s="274"/>
      <c r="AI48" s="274"/>
      <c r="AJ48" s="274"/>
      <c r="AK48" s="274"/>
      <c r="AL48" s="274"/>
      <c r="AM48" s="274"/>
      <c r="AN48" s="274"/>
      <c r="AO48" s="274"/>
      <c r="AP48" s="274"/>
      <c r="AQ48" s="274"/>
      <c r="AR48" s="274"/>
      <c r="AS48" s="274"/>
      <c r="AT48" s="274"/>
      <c r="AU48" s="274"/>
      <c r="AV48" s="274"/>
      <c r="AW48" s="274"/>
      <c r="AX48" s="274"/>
      <c r="AY48" s="274"/>
      <c r="AZ48" s="274"/>
      <c r="BA48" s="274"/>
      <c r="BB48" s="274"/>
      <c r="BC48" s="274"/>
      <c r="BD48" s="274"/>
      <c r="BE48" s="274"/>
      <c r="BF48" s="274"/>
      <c r="BG48" s="274"/>
      <c r="BH48" s="274"/>
      <c r="BI48" s="274"/>
      <c r="BJ48" s="274"/>
      <c r="BK48" s="274"/>
      <c r="BL48" s="274"/>
      <c r="BM48" s="274"/>
      <c r="BN48" s="274"/>
      <c r="BO48" s="274"/>
      <c r="BP48" s="274"/>
      <c r="BQ48" s="274"/>
      <c r="BR48" s="274"/>
      <c r="BS48" s="274"/>
      <c r="BT48" s="274"/>
      <c r="BU48" s="274"/>
      <c r="BV48" s="274"/>
      <c r="BW48" s="274"/>
      <c r="BX48" s="274"/>
      <c r="BY48" s="274"/>
      <c r="BZ48" s="274"/>
      <c r="CA48" s="274"/>
      <c r="CB48" s="274"/>
      <c r="CC48" s="274"/>
      <c r="CD48" s="274"/>
      <c r="CE48" s="274"/>
      <c r="CF48" s="274"/>
      <c r="CG48" s="274"/>
    </row>
  </sheetData>
  <mergeCells count="17">
    <mergeCell ref="FB6:FG6"/>
    <mergeCell ref="A2:FH2"/>
    <mergeCell ref="A3:FH3"/>
    <mergeCell ref="A6:A8"/>
    <mergeCell ref="FH6:FH8"/>
    <mergeCell ref="A36:FG36"/>
    <mergeCell ref="A5:FG5"/>
    <mergeCell ref="B6:M6"/>
    <mergeCell ref="N6:Y6"/>
    <mergeCell ref="Z6:AK6"/>
    <mergeCell ref="AV6:AW6"/>
    <mergeCell ref="BV6:CG6"/>
    <mergeCell ref="CT6:DE6"/>
    <mergeCell ref="DF6:DQ6"/>
    <mergeCell ref="DR6:EC6"/>
    <mergeCell ref="ED6:EO6"/>
    <mergeCell ref="EP6:FA6"/>
  </mergeCells>
  <pageMargins left="0.7" right="0.7" top="0.75" bottom="0.75" header="0.3" footer="0.3"/>
  <pageSetup scale="2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8">
    <tabColor rgb="FF92D050"/>
  </sheetPr>
  <dimension ref="A2:KP63"/>
  <sheetViews>
    <sheetView showGridLines="0" view="pageBreakPreview" zoomScale="65" zoomScaleNormal="100" zoomScaleSheetLayoutView="65" workbookViewId="0">
      <selection activeCell="F40" sqref="F40"/>
    </sheetView>
  </sheetViews>
  <sheetFormatPr defaultColWidth="9.140625" defaultRowHeight="15"/>
  <cols>
    <col min="1" max="1" width="61.42578125" style="765" customWidth="1"/>
    <col min="2" max="12" width="13.5703125" style="319" hidden="1" customWidth="1"/>
    <col min="13" max="13" width="19" style="319" hidden="1" customWidth="1"/>
    <col min="14" max="23" width="13.5703125" style="319" hidden="1" customWidth="1"/>
    <col min="24" max="24" width="13.28515625" style="319" hidden="1" customWidth="1"/>
    <col min="25" max="25" width="18.140625" style="319" hidden="1" customWidth="1"/>
    <col min="26" max="33" width="14.7109375" style="319" hidden="1" customWidth="1"/>
    <col min="34" max="34" width="17.85546875" style="319" hidden="1" customWidth="1"/>
    <col min="35" max="35" width="18.140625" style="319" hidden="1" customWidth="1"/>
    <col min="36" max="36" width="17.140625" style="319" hidden="1" customWidth="1"/>
    <col min="37" max="37" width="16.85546875" style="319" hidden="1" customWidth="1"/>
    <col min="38" max="44" width="14.7109375" style="319" hidden="1" customWidth="1"/>
    <col min="45" max="45" width="17.140625" style="319" hidden="1" customWidth="1"/>
    <col min="46" max="60" width="17.28515625" style="319" hidden="1" customWidth="1"/>
    <col min="61" max="61" width="13.28515625" style="319" customWidth="1"/>
    <col min="62" max="72" width="17.28515625" style="319" hidden="1" customWidth="1"/>
    <col min="73" max="73" width="13.28515625" style="319" customWidth="1"/>
    <col min="74" max="82" width="17.28515625" style="319" hidden="1" customWidth="1"/>
    <col min="83" max="84" width="17.140625" style="319" hidden="1" customWidth="1"/>
    <col min="85" max="85" width="13.28515625" style="319" customWidth="1"/>
    <col min="86" max="96" width="16" style="319" hidden="1" customWidth="1"/>
    <col min="97" max="97" width="13.28515625" style="319" customWidth="1"/>
    <col min="98" max="108" width="13.28515625" style="319" hidden="1" customWidth="1"/>
    <col min="109" max="109" width="13.28515625" style="319" customWidth="1"/>
    <col min="110" max="120" width="13.28515625" style="319" hidden="1" customWidth="1"/>
    <col min="121" max="121" width="13.28515625" style="319" customWidth="1"/>
    <col min="122" max="132" width="13.28515625" style="319" hidden="1" customWidth="1"/>
    <col min="133" max="133" width="13.28515625" style="319" customWidth="1"/>
    <col min="134" max="144" width="13.28515625" style="319" hidden="1" customWidth="1"/>
    <col min="145" max="145" width="13.28515625" style="319" customWidth="1"/>
    <col min="146" max="156" width="13.28515625" style="319" hidden="1" customWidth="1"/>
    <col min="157" max="163" width="13.28515625" style="319" customWidth="1"/>
    <col min="164" max="164" width="57.28515625" style="319" customWidth="1"/>
    <col min="165" max="166" width="9.140625" style="319"/>
    <col min="167" max="167" width="0" style="319" hidden="1" customWidth="1"/>
    <col min="168" max="16384" width="9.140625" style="319"/>
  </cols>
  <sheetData>
    <row r="2" spans="1:302" ht="40.15" customHeight="1">
      <c r="A2" s="2310" t="s">
        <v>3281</v>
      </c>
      <c r="B2" s="2310"/>
      <c r="C2" s="2310"/>
      <c r="D2" s="2310"/>
      <c r="E2" s="2310"/>
      <c r="F2" s="2310"/>
      <c r="G2" s="2310"/>
      <c r="H2" s="2310"/>
      <c r="I2" s="2310"/>
      <c r="J2" s="2310"/>
      <c r="K2" s="2310"/>
      <c r="L2" s="2310"/>
      <c r="M2" s="2310"/>
      <c r="N2" s="2310"/>
      <c r="O2" s="2310"/>
      <c r="P2" s="2310"/>
      <c r="Q2" s="2310"/>
      <c r="R2" s="2310"/>
      <c r="S2" s="2310"/>
      <c r="T2" s="2310"/>
      <c r="U2" s="2310"/>
      <c r="V2" s="2310"/>
      <c r="W2" s="2310"/>
      <c r="X2" s="2310"/>
      <c r="Y2" s="2310"/>
      <c r="Z2" s="2310"/>
      <c r="AA2" s="2310"/>
      <c r="AB2" s="2310"/>
      <c r="AC2" s="2310"/>
      <c r="AD2" s="2310"/>
      <c r="AE2" s="2310"/>
      <c r="AF2" s="2310"/>
      <c r="AG2" s="2310"/>
      <c r="AH2" s="2310"/>
      <c r="AI2" s="2310"/>
      <c r="AJ2" s="2310"/>
      <c r="AK2" s="2310"/>
      <c r="AL2" s="2310"/>
      <c r="AM2" s="2310"/>
      <c r="AN2" s="2310"/>
      <c r="AO2" s="2310"/>
      <c r="AP2" s="2310"/>
      <c r="AQ2" s="2310"/>
      <c r="AR2" s="2310"/>
      <c r="AS2" s="2310"/>
      <c r="AT2" s="2310"/>
      <c r="AU2" s="2310"/>
      <c r="AV2" s="2310"/>
      <c r="AW2" s="2310"/>
      <c r="AX2" s="2310"/>
      <c r="AY2" s="2310"/>
      <c r="AZ2" s="2310"/>
      <c r="BA2" s="2310"/>
      <c r="BB2" s="2310"/>
      <c r="BC2" s="2310"/>
      <c r="BD2" s="2310"/>
      <c r="BE2" s="2310"/>
      <c r="BF2" s="2310"/>
      <c r="BG2" s="2310"/>
      <c r="BH2" s="2310"/>
      <c r="BI2" s="2310"/>
      <c r="BJ2" s="2310"/>
      <c r="BK2" s="2310"/>
      <c r="BL2" s="2310"/>
      <c r="BM2" s="2310"/>
      <c r="BN2" s="2310"/>
      <c r="BO2" s="2310"/>
      <c r="BP2" s="2310"/>
      <c r="BQ2" s="2310"/>
      <c r="BR2" s="2310"/>
      <c r="BS2" s="2310"/>
      <c r="BT2" s="2310"/>
      <c r="BU2" s="2310"/>
      <c r="BV2" s="2310"/>
      <c r="BW2" s="2310"/>
      <c r="BX2" s="2310"/>
      <c r="BY2" s="2310"/>
      <c r="BZ2" s="2310"/>
      <c r="CA2" s="2310"/>
      <c r="CB2" s="2310"/>
      <c r="CC2" s="2310"/>
      <c r="CD2" s="2310"/>
      <c r="CE2" s="2310"/>
      <c r="CF2" s="2310"/>
      <c r="CG2" s="2310"/>
      <c r="CH2" s="2310"/>
      <c r="CI2" s="2310"/>
      <c r="CJ2" s="2310"/>
      <c r="CK2" s="2310"/>
      <c r="CL2" s="2310"/>
      <c r="CM2" s="2310"/>
      <c r="CN2" s="2310"/>
      <c r="CO2" s="2310"/>
      <c r="CP2" s="2310"/>
      <c r="CQ2" s="2310"/>
      <c r="CR2" s="2310"/>
      <c r="CS2" s="2310"/>
      <c r="CT2" s="2310"/>
      <c r="CU2" s="2310"/>
      <c r="CV2" s="2310"/>
      <c r="CW2" s="2310"/>
      <c r="CX2" s="2310"/>
      <c r="CY2" s="2310"/>
      <c r="CZ2" s="2310"/>
      <c r="DA2" s="2310"/>
      <c r="DB2" s="2310"/>
      <c r="DC2" s="2310"/>
      <c r="DD2" s="2310"/>
      <c r="DE2" s="2310"/>
      <c r="DF2" s="2310"/>
      <c r="DG2" s="2310"/>
      <c r="DH2" s="2310"/>
      <c r="DI2" s="2310"/>
      <c r="DJ2" s="2310"/>
      <c r="DK2" s="2310"/>
      <c r="DL2" s="2310"/>
      <c r="DM2" s="2310"/>
      <c r="DN2" s="2310"/>
      <c r="DO2" s="2310"/>
      <c r="DP2" s="2310"/>
      <c r="DQ2" s="2310"/>
      <c r="DR2" s="2310"/>
      <c r="DS2" s="2310"/>
      <c r="DT2" s="2310"/>
      <c r="DU2" s="2310"/>
      <c r="DV2" s="2310"/>
      <c r="DW2" s="2310"/>
      <c r="DX2" s="2310"/>
      <c r="DY2" s="2310"/>
      <c r="DZ2" s="2310"/>
      <c r="EA2" s="2310"/>
      <c r="EB2" s="2310"/>
      <c r="EC2" s="2310"/>
      <c r="ED2" s="2310"/>
      <c r="EE2" s="2310"/>
      <c r="EF2" s="2310"/>
      <c r="EG2" s="2310"/>
      <c r="EH2" s="2310"/>
      <c r="EI2" s="2310"/>
      <c r="EJ2" s="2310"/>
      <c r="EK2" s="2310"/>
      <c r="EL2" s="2310"/>
      <c r="EM2" s="2310"/>
      <c r="EN2" s="2310"/>
      <c r="EO2" s="2310"/>
      <c r="EP2" s="2310"/>
      <c r="EQ2" s="2310"/>
      <c r="ER2" s="2310"/>
      <c r="ES2" s="2310"/>
      <c r="ET2" s="2310"/>
      <c r="EU2" s="2310"/>
      <c r="EV2" s="2310"/>
      <c r="EW2" s="2310"/>
      <c r="EX2" s="2310"/>
      <c r="EY2" s="2310"/>
      <c r="EZ2" s="2310"/>
      <c r="FA2" s="2310"/>
      <c r="FB2" s="2310"/>
      <c r="FC2" s="2310"/>
      <c r="FD2" s="2310"/>
      <c r="FE2" s="2310"/>
      <c r="FF2" s="2310"/>
      <c r="FG2" s="2310"/>
      <c r="FH2" s="2310"/>
    </row>
    <row r="3" spans="1:302" ht="47.25" customHeight="1">
      <c r="A3" s="2299" t="s">
        <v>3275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</row>
    <row r="4" spans="1:302" s="648" customFormat="1" ht="20.25" customHeight="1">
      <c r="A4" s="767"/>
      <c r="B4" s="647"/>
      <c r="C4" s="647"/>
      <c r="D4" s="647"/>
      <c r="E4" s="647"/>
      <c r="F4" s="647"/>
      <c r="G4" s="647"/>
      <c r="H4" s="647"/>
      <c r="I4" s="647"/>
      <c r="J4" s="647"/>
      <c r="K4" s="647"/>
      <c r="L4" s="647"/>
      <c r="M4" s="647"/>
      <c r="N4" s="647"/>
      <c r="O4" s="647"/>
      <c r="P4" s="647"/>
      <c r="Q4" s="647"/>
      <c r="R4" s="647"/>
      <c r="S4" s="647"/>
      <c r="T4" s="647"/>
      <c r="U4" s="647"/>
      <c r="V4" s="647"/>
      <c r="W4" s="647"/>
      <c r="X4" s="647"/>
      <c r="Y4" s="647"/>
      <c r="Z4" s="647"/>
      <c r="AA4" s="647"/>
      <c r="AB4" s="647"/>
      <c r="AC4" s="647"/>
      <c r="AD4" s="647"/>
      <c r="AE4" s="647"/>
      <c r="AF4" s="647"/>
      <c r="AG4" s="647"/>
      <c r="AH4" s="647"/>
      <c r="AI4" s="647"/>
      <c r="AJ4" s="647"/>
      <c r="AK4" s="647"/>
      <c r="AL4" s="647"/>
      <c r="AM4" s="647"/>
      <c r="AN4" s="647"/>
      <c r="AO4" s="647"/>
      <c r="AP4" s="647"/>
      <c r="AQ4" s="647"/>
      <c r="AR4" s="647"/>
      <c r="AS4" s="647"/>
      <c r="AT4" s="647"/>
      <c r="AU4" s="647"/>
      <c r="AV4" s="647"/>
      <c r="AW4" s="647"/>
      <c r="AX4" s="647"/>
      <c r="AY4" s="647"/>
      <c r="AZ4" s="647"/>
      <c r="BA4" s="647"/>
      <c r="BB4" s="647"/>
      <c r="BC4" s="647"/>
      <c r="BD4" s="647"/>
      <c r="BE4" s="647"/>
      <c r="BF4" s="647"/>
      <c r="BG4" s="647"/>
      <c r="BH4" s="647"/>
      <c r="BI4" s="647"/>
      <c r="BJ4" s="647"/>
      <c r="BK4" s="647"/>
      <c r="BL4" s="647"/>
      <c r="BM4" s="647"/>
      <c r="BN4" s="647"/>
      <c r="BO4" s="647"/>
      <c r="BP4" s="647"/>
      <c r="BQ4" s="647"/>
      <c r="BR4" s="647"/>
      <c r="BS4" s="647"/>
      <c r="BT4" s="647"/>
      <c r="BU4" s="647"/>
      <c r="BV4" s="647"/>
      <c r="BW4" s="647"/>
      <c r="BX4" s="647"/>
      <c r="BY4" s="647"/>
      <c r="BZ4" s="647"/>
      <c r="CA4" s="647"/>
      <c r="CB4" s="647"/>
      <c r="CC4" s="647"/>
      <c r="CD4" s="647"/>
      <c r="CE4" s="647"/>
      <c r="CF4" s="647"/>
      <c r="CG4" s="647"/>
      <c r="CH4" s="647"/>
      <c r="CI4" s="647"/>
      <c r="CJ4" s="647"/>
      <c r="CK4" s="647"/>
      <c r="CL4" s="647"/>
      <c r="CM4" s="647"/>
      <c r="CN4" s="647"/>
      <c r="CO4" s="647"/>
      <c r="CP4" s="647"/>
      <c r="CQ4" s="647"/>
      <c r="CR4" s="647"/>
      <c r="CS4" s="647"/>
      <c r="CT4" s="647"/>
      <c r="CU4" s="647"/>
      <c r="CV4" s="647"/>
      <c r="CW4" s="647"/>
      <c r="CX4" s="647"/>
      <c r="CY4" s="647"/>
      <c r="CZ4" s="647"/>
      <c r="DA4" s="647"/>
      <c r="DB4" s="647"/>
      <c r="DC4" s="647"/>
      <c r="DD4" s="647"/>
      <c r="DE4" s="647"/>
      <c r="DF4" s="647"/>
      <c r="DG4" s="647"/>
      <c r="DH4" s="647"/>
      <c r="DI4" s="647"/>
      <c r="DJ4" s="647"/>
      <c r="DK4" s="647"/>
      <c r="DL4" s="647"/>
      <c r="DM4" s="647"/>
      <c r="DN4" s="647"/>
      <c r="DO4" s="647"/>
      <c r="DP4" s="647"/>
      <c r="DQ4" s="647"/>
      <c r="DR4" s="647"/>
      <c r="DS4" s="647"/>
      <c r="DT4" s="647"/>
      <c r="DU4" s="647"/>
      <c r="DV4" s="647"/>
      <c r="DW4" s="647"/>
      <c r="DX4" s="647"/>
      <c r="DY4" s="647"/>
      <c r="DZ4" s="647"/>
      <c r="EA4" s="647"/>
      <c r="EB4" s="647"/>
      <c r="EC4" s="647"/>
      <c r="ED4" s="647"/>
      <c r="EE4" s="647"/>
      <c r="EF4" s="647"/>
      <c r="EG4" s="647"/>
      <c r="EH4" s="647"/>
      <c r="EI4" s="647"/>
      <c r="EJ4" s="647"/>
      <c r="EK4" s="647"/>
      <c r="EL4" s="647"/>
      <c r="EM4" s="647"/>
      <c r="EN4" s="647"/>
      <c r="EO4" s="647"/>
      <c r="EP4" s="647"/>
      <c r="EQ4" s="647"/>
      <c r="ER4" s="647"/>
      <c r="ES4" s="647"/>
      <c r="ET4" s="647"/>
      <c r="EU4" s="647"/>
      <c r="EV4" s="647"/>
      <c r="EW4" s="647"/>
      <c r="EX4" s="647"/>
      <c r="EY4" s="647"/>
      <c r="EZ4" s="647"/>
      <c r="FA4" s="647"/>
      <c r="FB4" s="647"/>
      <c r="FC4" s="647"/>
      <c r="FD4" s="647"/>
      <c r="FE4" s="647"/>
      <c r="FF4" s="647"/>
      <c r="FG4" s="647"/>
      <c r="FH4" s="752"/>
      <c r="FI4" s="319"/>
      <c r="FJ4" s="319"/>
      <c r="FK4" s="319"/>
      <c r="FL4" s="319"/>
      <c r="FM4" s="319"/>
      <c r="FN4" s="319"/>
      <c r="FO4" s="319"/>
      <c r="FP4" s="319"/>
      <c r="FQ4" s="319"/>
      <c r="FR4" s="319"/>
      <c r="FS4" s="319"/>
      <c r="FT4" s="319"/>
      <c r="FU4" s="319"/>
      <c r="FV4" s="319"/>
      <c r="FW4" s="319"/>
      <c r="FX4" s="319"/>
      <c r="FY4" s="319"/>
      <c r="FZ4" s="319"/>
      <c r="GA4" s="319"/>
      <c r="GB4" s="319"/>
      <c r="GC4" s="319"/>
      <c r="GD4" s="319"/>
      <c r="GE4" s="319"/>
      <c r="GF4" s="319"/>
      <c r="GG4" s="319"/>
      <c r="GH4" s="319"/>
      <c r="GI4" s="319"/>
      <c r="GJ4" s="319"/>
      <c r="GK4" s="319"/>
      <c r="GL4" s="319"/>
      <c r="GM4" s="319"/>
      <c r="GN4" s="319"/>
      <c r="GO4" s="319"/>
      <c r="GP4" s="319"/>
      <c r="GQ4" s="319"/>
      <c r="GR4" s="319"/>
      <c r="GS4" s="319"/>
      <c r="GT4" s="319"/>
      <c r="GU4" s="319"/>
      <c r="GV4" s="319"/>
      <c r="GW4" s="319"/>
      <c r="GX4" s="319"/>
      <c r="GY4" s="319"/>
      <c r="GZ4" s="319"/>
      <c r="HA4" s="319"/>
      <c r="HB4" s="319"/>
      <c r="HC4" s="319"/>
      <c r="HD4" s="319"/>
      <c r="HE4" s="319"/>
      <c r="HF4" s="319"/>
      <c r="HG4" s="319"/>
      <c r="HH4" s="319"/>
      <c r="HI4" s="319"/>
      <c r="HJ4" s="319"/>
      <c r="HK4" s="319"/>
      <c r="HL4" s="319"/>
      <c r="HM4" s="319"/>
      <c r="HN4" s="319"/>
      <c r="HO4" s="319"/>
      <c r="HP4" s="319"/>
      <c r="HQ4" s="319"/>
      <c r="HR4" s="319"/>
      <c r="HS4" s="319"/>
      <c r="HT4" s="319"/>
      <c r="HU4" s="319"/>
      <c r="HV4" s="319"/>
      <c r="HW4" s="319"/>
      <c r="HX4" s="319"/>
      <c r="HY4" s="319"/>
      <c r="HZ4" s="319"/>
      <c r="IA4" s="319"/>
      <c r="IB4" s="319"/>
      <c r="IC4" s="319"/>
      <c r="ID4" s="319"/>
      <c r="IE4" s="319"/>
      <c r="IF4" s="319"/>
      <c r="IG4" s="319"/>
      <c r="IH4" s="319"/>
      <c r="II4" s="319"/>
      <c r="IJ4" s="319"/>
      <c r="IK4" s="319"/>
      <c r="IL4" s="319"/>
      <c r="IM4" s="319"/>
      <c r="IN4" s="319"/>
      <c r="IO4" s="319"/>
      <c r="IP4" s="319"/>
      <c r="IQ4" s="319"/>
      <c r="IR4" s="319"/>
      <c r="IS4" s="319"/>
      <c r="IT4" s="319"/>
      <c r="IU4" s="319"/>
      <c r="IV4" s="319"/>
      <c r="IW4" s="319"/>
      <c r="IX4" s="319"/>
      <c r="IY4" s="319"/>
      <c r="IZ4" s="319"/>
      <c r="JA4" s="319"/>
      <c r="JB4" s="319"/>
      <c r="JC4" s="319"/>
      <c r="JD4" s="319"/>
      <c r="JE4" s="319"/>
      <c r="JF4" s="319"/>
      <c r="JG4" s="319"/>
      <c r="JH4" s="319"/>
      <c r="JI4" s="319"/>
      <c r="JJ4" s="319"/>
      <c r="JK4" s="319"/>
      <c r="JL4" s="319"/>
      <c r="JM4" s="319"/>
      <c r="JN4" s="319"/>
      <c r="JO4" s="319"/>
      <c r="JP4" s="319"/>
      <c r="JQ4" s="319"/>
      <c r="JR4" s="319"/>
      <c r="JS4" s="319"/>
      <c r="JT4" s="319"/>
      <c r="JU4" s="319"/>
      <c r="JV4" s="319"/>
      <c r="JW4" s="319"/>
      <c r="JX4" s="319"/>
      <c r="JY4" s="319"/>
      <c r="JZ4" s="319"/>
      <c r="KA4" s="319"/>
      <c r="KB4" s="319"/>
      <c r="KC4" s="319"/>
      <c r="KD4" s="319"/>
      <c r="KE4" s="319"/>
      <c r="KF4" s="319"/>
      <c r="KG4" s="319"/>
      <c r="KH4" s="319"/>
      <c r="KI4" s="319"/>
      <c r="KJ4" s="319"/>
      <c r="KK4" s="319"/>
      <c r="KL4" s="319"/>
      <c r="KM4" s="319"/>
      <c r="KN4" s="319"/>
      <c r="KO4" s="319"/>
      <c r="KP4" s="319"/>
    </row>
    <row r="5" spans="1:302" s="648" customFormat="1" ht="20.25" customHeight="1">
      <c r="A5" s="2348"/>
      <c r="B5" s="2348"/>
      <c r="C5" s="2348"/>
      <c r="D5" s="2348"/>
      <c r="E5" s="2348"/>
      <c r="F5" s="2348"/>
      <c r="G5" s="2348"/>
      <c r="H5" s="2348"/>
      <c r="I5" s="2348"/>
      <c r="J5" s="2348"/>
      <c r="K5" s="2348"/>
      <c r="L5" s="2348"/>
      <c r="M5" s="2348"/>
      <c r="N5" s="2348"/>
      <c r="O5" s="2348"/>
      <c r="P5" s="2348"/>
      <c r="Q5" s="2348"/>
      <c r="R5" s="2348"/>
      <c r="S5" s="2348"/>
      <c r="T5" s="2348"/>
      <c r="U5" s="2348"/>
      <c r="V5" s="2348"/>
      <c r="W5" s="2348"/>
      <c r="X5" s="2348"/>
      <c r="Y5" s="2348"/>
      <c r="Z5" s="2348"/>
      <c r="AA5" s="2348"/>
      <c r="AB5" s="2348"/>
      <c r="AC5" s="2348"/>
      <c r="AD5" s="2348"/>
      <c r="AE5" s="2348"/>
      <c r="AF5" s="2348"/>
      <c r="AG5" s="2348"/>
      <c r="AH5" s="2348"/>
      <c r="AI5" s="2348"/>
      <c r="AJ5" s="2348"/>
      <c r="AK5" s="2348"/>
      <c r="AL5" s="2348"/>
      <c r="AM5" s="2348"/>
      <c r="AN5" s="2348"/>
      <c r="AO5" s="2348"/>
      <c r="AP5" s="2348"/>
      <c r="AQ5" s="2348"/>
      <c r="AR5" s="2348"/>
      <c r="AS5" s="2348"/>
      <c r="AT5" s="2348"/>
      <c r="AU5" s="2348"/>
      <c r="AV5" s="2348"/>
      <c r="AW5" s="2348"/>
      <c r="AX5" s="2348"/>
      <c r="AY5" s="2348"/>
      <c r="AZ5" s="2348"/>
      <c r="BA5" s="2348"/>
      <c r="BB5" s="2348"/>
      <c r="BC5" s="2348"/>
      <c r="BD5" s="2348"/>
      <c r="BE5" s="2348"/>
      <c r="BF5" s="2348"/>
      <c r="BG5" s="2348"/>
      <c r="BH5" s="2348"/>
      <c r="BI5" s="2348"/>
      <c r="BJ5" s="2348"/>
      <c r="BK5" s="2348"/>
      <c r="BL5" s="2348"/>
      <c r="BM5" s="2348"/>
      <c r="BN5" s="2348"/>
      <c r="BO5" s="2348"/>
      <c r="BP5" s="2348"/>
      <c r="BQ5" s="2348"/>
      <c r="BR5" s="2348"/>
      <c r="BS5" s="2348"/>
      <c r="BT5" s="2348"/>
      <c r="BU5" s="2348"/>
      <c r="BV5" s="2348"/>
      <c r="BW5" s="2348"/>
      <c r="BX5" s="2348"/>
      <c r="BY5" s="2348"/>
      <c r="BZ5" s="2348"/>
      <c r="CA5" s="2348"/>
      <c r="CB5" s="2348"/>
      <c r="CC5" s="2348"/>
      <c r="CD5" s="2348"/>
      <c r="CE5" s="2348"/>
      <c r="CF5" s="2348"/>
      <c r="CG5" s="2348"/>
      <c r="CH5" s="2348"/>
      <c r="CI5" s="2348"/>
      <c r="CJ5" s="2348"/>
      <c r="CK5" s="2348"/>
      <c r="CL5" s="2348"/>
      <c r="CM5" s="2348"/>
      <c r="CN5" s="2348"/>
      <c r="CO5" s="2348"/>
      <c r="CP5" s="2348"/>
      <c r="CQ5" s="2348"/>
      <c r="CR5" s="2348"/>
      <c r="CS5" s="2348"/>
      <c r="CT5" s="2348"/>
      <c r="CU5" s="2348"/>
      <c r="CV5" s="2348"/>
      <c r="CW5" s="2348"/>
      <c r="CX5" s="2348"/>
      <c r="CY5" s="2348"/>
      <c r="CZ5" s="2348"/>
      <c r="DA5" s="2348"/>
      <c r="DB5" s="2348"/>
      <c r="DC5" s="2348"/>
      <c r="DD5" s="2348"/>
      <c r="DE5" s="2348"/>
      <c r="DF5" s="2348"/>
      <c r="DG5" s="2348"/>
      <c r="DH5" s="2348"/>
      <c r="DI5" s="2348"/>
      <c r="DJ5" s="2348"/>
      <c r="DK5" s="2348"/>
      <c r="DL5" s="2348"/>
      <c r="DM5" s="2348"/>
      <c r="DN5" s="2348"/>
      <c r="DO5" s="2348"/>
      <c r="DP5" s="2348"/>
      <c r="DQ5" s="2348"/>
      <c r="DR5" s="2348"/>
      <c r="DS5" s="2348"/>
      <c r="DT5" s="2348"/>
      <c r="DU5" s="2348"/>
      <c r="DV5" s="2348"/>
      <c r="DW5" s="2348"/>
      <c r="DX5" s="2348"/>
      <c r="DY5" s="2348"/>
      <c r="DZ5" s="2348"/>
      <c r="EA5" s="2348"/>
      <c r="EB5" s="2348"/>
      <c r="EC5" s="2348"/>
      <c r="ED5" s="2348"/>
      <c r="EE5" s="2348"/>
      <c r="EF5" s="2348"/>
      <c r="EG5" s="2348"/>
      <c r="EH5" s="2348"/>
      <c r="EI5" s="2348"/>
      <c r="EJ5" s="2348"/>
      <c r="EK5" s="2348"/>
      <c r="EL5" s="2348"/>
      <c r="EM5" s="2348"/>
      <c r="EN5" s="2348"/>
      <c r="EO5" s="2348"/>
      <c r="EP5" s="2348"/>
      <c r="EQ5" s="2348"/>
      <c r="ER5" s="2348"/>
      <c r="ES5" s="2348"/>
      <c r="ET5" s="2348"/>
      <c r="EU5" s="2348"/>
      <c r="EV5" s="2348"/>
      <c r="EW5" s="2348"/>
      <c r="EX5" s="2348"/>
      <c r="EY5" s="2348"/>
      <c r="EZ5" s="2348"/>
      <c r="FA5" s="2348"/>
      <c r="FB5" s="2348"/>
      <c r="FC5" s="2348"/>
      <c r="FD5" s="2348"/>
      <c r="FE5" s="2348"/>
      <c r="FF5" s="2348"/>
      <c r="FG5" s="2348"/>
      <c r="FH5" s="1709" t="s">
        <v>158</v>
      </c>
      <c r="FI5" s="1719"/>
      <c r="FJ5" s="1719"/>
      <c r="FK5" s="1719"/>
      <c r="FL5" s="1719"/>
      <c r="FM5" s="1719"/>
      <c r="FN5" s="1719"/>
      <c r="FO5" s="1719"/>
      <c r="FP5" s="1719"/>
      <c r="FQ5" s="1719"/>
      <c r="FR5" s="1719"/>
      <c r="FS5" s="1719"/>
      <c r="FT5" s="1719"/>
      <c r="FU5" s="1719"/>
      <c r="FV5" s="1719"/>
      <c r="FW5" s="1719"/>
      <c r="FX5" s="1719"/>
      <c r="FY5" s="1719"/>
      <c r="FZ5" s="1719"/>
      <c r="GA5" s="1719"/>
      <c r="GB5" s="1719"/>
      <c r="GC5" s="1719"/>
      <c r="GD5" s="1719"/>
      <c r="GE5" s="1719"/>
      <c r="GF5" s="1719"/>
      <c r="GG5" s="1719"/>
      <c r="GH5" s="1719"/>
      <c r="GI5" s="1719"/>
      <c r="GJ5" s="1719"/>
      <c r="GK5" s="1719"/>
      <c r="GL5" s="1719"/>
      <c r="GM5" s="1719"/>
      <c r="GN5" s="1719"/>
      <c r="GO5" s="1719"/>
      <c r="GP5" s="1719"/>
      <c r="GQ5" s="1719"/>
      <c r="GR5" s="1719"/>
      <c r="GS5" s="1719"/>
      <c r="GT5" s="1719"/>
      <c r="GU5" s="1719"/>
      <c r="GV5" s="1719"/>
      <c r="GW5" s="1719"/>
      <c r="GX5" s="1719"/>
      <c r="GY5" s="1719"/>
      <c r="GZ5" s="1719"/>
      <c r="HA5" s="1719"/>
      <c r="HB5" s="1719"/>
      <c r="HC5" s="1719"/>
      <c r="HD5" s="1719"/>
      <c r="HE5" s="1719"/>
      <c r="HF5" s="1719"/>
      <c r="HG5" s="1719"/>
      <c r="HH5" s="1719"/>
      <c r="HI5" s="1719"/>
      <c r="HJ5" s="1719"/>
      <c r="HK5" s="1719"/>
      <c r="HL5" s="1719"/>
      <c r="HM5" s="1719"/>
      <c r="HN5" s="1719"/>
      <c r="HO5" s="1719"/>
      <c r="HP5" s="1719"/>
      <c r="HQ5" s="1719"/>
      <c r="HR5" s="1719"/>
      <c r="HS5" s="1719"/>
      <c r="HT5" s="1719"/>
      <c r="HU5" s="1719"/>
      <c r="HV5" s="1719"/>
      <c r="HW5" s="1719"/>
      <c r="HX5" s="1719"/>
      <c r="HY5" s="1719"/>
      <c r="HZ5" s="1719"/>
      <c r="IA5" s="1719"/>
      <c r="IB5" s="1719"/>
      <c r="IC5" s="1719"/>
      <c r="ID5" s="1719"/>
      <c r="IE5" s="1719"/>
      <c r="IF5" s="1719"/>
      <c r="IG5" s="1719"/>
      <c r="IH5" s="1719"/>
      <c r="II5" s="1719"/>
      <c r="IJ5" s="1719"/>
      <c r="IK5" s="1719"/>
      <c r="IL5" s="1719"/>
      <c r="IM5" s="1719"/>
      <c r="IN5" s="1719"/>
      <c r="IO5" s="1719"/>
      <c r="IP5" s="1719"/>
      <c r="IQ5" s="1719"/>
      <c r="IR5" s="1719"/>
      <c r="IS5" s="1719"/>
      <c r="IT5" s="1719"/>
      <c r="IU5" s="1719"/>
      <c r="IV5" s="1719"/>
      <c r="IW5" s="1719"/>
      <c r="IX5" s="1719"/>
      <c r="IY5" s="1719"/>
      <c r="IZ5" s="1719"/>
      <c r="JA5" s="1719"/>
      <c r="JB5" s="1719"/>
      <c r="JC5" s="1719"/>
      <c r="JD5" s="1719"/>
      <c r="JE5" s="1719"/>
      <c r="JF5" s="1719"/>
      <c r="JG5" s="1719"/>
      <c r="JH5" s="1719"/>
      <c r="JI5" s="1719"/>
      <c r="JJ5" s="1719"/>
      <c r="JK5" s="1719"/>
      <c r="JL5" s="1719"/>
      <c r="JM5" s="1719"/>
      <c r="JN5" s="1719"/>
      <c r="JO5" s="1719"/>
      <c r="JP5" s="1719"/>
      <c r="JQ5" s="1719"/>
      <c r="JR5" s="1719"/>
      <c r="JS5" s="1719"/>
      <c r="JT5" s="1719"/>
      <c r="JU5" s="1719"/>
      <c r="JV5" s="1719"/>
      <c r="JW5" s="1719"/>
      <c r="JX5" s="1719"/>
      <c r="JY5" s="1719"/>
      <c r="JZ5" s="1719"/>
      <c r="KA5" s="1719"/>
      <c r="KB5" s="1719"/>
      <c r="KC5" s="1719"/>
      <c r="KD5" s="1719"/>
      <c r="KE5" s="1719"/>
      <c r="KF5" s="1719"/>
      <c r="KG5" s="1719"/>
      <c r="KH5" s="1719"/>
      <c r="KI5" s="1719"/>
      <c r="KJ5" s="1719"/>
      <c r="KK5" s="1719"/>
      <c r="KL5" s="1719"/>
      <c r="KM5" s="1719"/>
      <c r="KN5" s="1719"/>
      <c r="KO5" s="1719"/>
      <c r="KP5" s="1719"/>
    </row>
    <row r="6" spans="1:302" ht="28.5" customHeight="1">
      <c r="A6" s="2322"/>
      <c r="B6" s="2349">
        <v>2013</v>
      </c>
      <c r="C6" s="2349"/>
      <c r="D6" s="2349"/>
      <c r="E6" s="2349"/>
      <c r="F6" s="2349"/>
      <c r="G6" s="2349"/>
      <c r="H6" s="2349"/>
      <c r="I6" s="2349"/>
      <c r="J6" s="2349"/>
      <c r="K6" s="2349"/>
      <c r="L6" s="2349"/>
      <c r="M6" s="2349">
        <v>2013</v>
      </c>
      <c r="N6" s="2349">
        <v>2014</v>
      </c>
      <c r="O6" s="2349"/>
      <c r="P6" s="2349"/>
      <c r="Q6" s="2349"/>
      <c r="R6" s="2349"/>
      <c r="S6" s="2349"/>
      <c r="T6" s="2349"/>
      <c r="U6" s="2349"/>
      <c r="V6" s="2349"/>
      <c r="W6" s="2349"/>
      <c r="X6" s="2349"/>
      <c r="Y6" s="2349">
        <v>2014</v>
      </c>
      <c r="Z6" s="2349">
        <v>2015</v>
      </c>
      <c r="AA6" s="2349"/>
      <c r="AB6" s="2349">
        <v>2015</v>
      </c>
      <c r="AC6" s="2349"/>
      <c r="AD6" s="2349"/>
      <c r="AE6" s="2349"/>
      <c r="AF6" s="2349"/>
      <c r="AG6" s="2349"/>
      <c r="AH6" s="2349"/>
      <c r="AI6" s="2349"/>
      <c r="AJ6" s="2349"/>
      <c r="AK6" s="2349"/>
      <c r="AL6" s="2349">
        <v>2016</v>
      </c>
      <c r="AM6" s="2349"/>
      <c r="AN6" s="2349"/>
      <c r="AO6" s="2349"/>
      <c r="AP6" s="2349"/>
      <c r="AQ6" s="2349"/>
      <c r="AR6" s="2349"/>
      <c r="AS6" s="2349"/>
      <c r="AT6" s="2349"/>
      <c r="AU6" s="2349"/>
      <c r="AV6" s="2349"/>
      <c r="AW6" s="2349"/>
      <c r="AX6" s="809">
        <v>2017</v>
      </c>
      <c r="AY6" s="809"/>
      <c r="AZ6" s="809"/>
      <c r="BA6" s="809"/>
      <c r="BB6" s="809"/>
      <c r="BC6" s="809"/>
      <c r="BD6" s="809"/>
      <c r="BE6" s="809"/>
      <c r="BF6" s="809"/>
      <c r="BG6" s="809"/>
      <c r="BH6" s="841"/>
      <c r="BI6" s="832">
        <v>2017</v>
      </c>
      <c r="BJ6" s="833">
        <v>2018</v>
      </c>
      <c r="BK6" s="833"/>
      <c r="BL6" s="833"/>
      <c r="BM6" s="833"/>
      <c r="BN6" s="833"/>
      <c r="BO6" s="833"/>
      <c r="BP6" s="833"/>
      <c r="BQ6" s="833"/>
      <c r="BR6" s="833"/>
      <c r="BS6" s="833"/>
      <c r="BT6" s="833"/>
      <c r="BU6" s="832">
        <v>2018</v>
      </c>
      <c r="BV6" s="2341">
        <v>2019</v>
      </c>
      <c r="BW6" s="2341"/>
      <c r="BX6" s="2341"/>
      <c r="BY6" s="2341"/>
      <c r="BZ6" s="2341"/>
      <c r="CA6" s="2341"/>
      <c r="CB6" s="2341"/>
      <c r="CC6" s="2341"/>
      <c r="CD6" s="2341"/>
      <c r="CE6" s="2341"/>
      <c r="CF6" s="2341"/>
      <c r="CG6" s="2341"/>
      <c r="CH6" s="834">
        <v>2020</v>
      </c>
      <c r="CI6" s="834">
        <v>2020</v>
      </c>
      <c r="CJ6" s="834">
        <v>2020</v>
      </c>
      <c r="CK6" s="834">
        <v>2020</v>
      </c>
      <c r="CL6" s="834">
        <v>2020</v>
      </c>
      <c r="CM6" s="834">
        <v>2020</v>
      </c>
      <c r="CN6" s="834">
        <v>2020</v>
      </c>
      <c r="CO6" s="834">
        <v>2020</v>
      </c>
      <c r="CP6" s="834">
        <v>2020</v>
      </c>
      <c r="CQ6" s="834">
        <v>2020</v>
      </c>
      <c r="CR6" s="834">
        <v>2020</v>
      </c>
      <c r="CS6" s="834">
        <v>2020</v>
      </c>
      <c r="CT6" s="2318">
        <v>2021</v>
      </c>
      <c r="CU6" s="2319"/>
      <c r="CV6" s="2319"/>
      <c r="CW6" s="2319"/>
      <c r="CX6" s="2319"/>
      <c r="CY6" s="2319"/>
      <c r="CZ6" s="2319"/>
      <c r="DA6" s="2319"/>
      <c r="DB6" s="2319"/>
      <c r="DC6" s="2319"/>
      <c r="DD6" s="2319"/>
      <c r="DE6" s="2320"/>
      <c r="DF6" s="2321">
        <v>2022</v>
      </c>
      <c r="DG6" s="2319"/>
      <c r="DH6" s="2319"/>
      <c r="DI6" s="2319"/>
      <c r="DJ6" s="2319"/>
      <c r="DK6" s="2319"/>
      <c r="DL6" s="2319"/>
      <c r="DM6" s="2319"/>
      <c r="DN6" s="2319"/>
      <c r="DO6" s="2319"/>
      <c r="DP6" s="2319"/>
      <c r="DQ6" s="2320"/>
      <c r="DR6" s="2321">
        <v>2023</v>
      </c>
      <c r="DS6" s="2319"/>
      <c r="DT6" s="2319"/>
      <c r="DU6" s="2319"/>
      <c r="DV6" s="2319"/>
      <c r="DW6" s="2319"/>
      <c r="DX6" s="2319"/>
      <c r="DY6" s="2319"/>
      <c r="DZ6" s="2319"/>
      <c r="EA6" s="2319"/>
      <c r="EB6" s="2319"/>
      <c r="EC6" s="2320"/>
      <c r="ED6" s="2321">
        <v>2024</v>
      </c>
      <c r="EE6" s="2319"/>
      <c r="EF6" s="2319"/>
      <c r="EG6" s="2319"/>
      <c r="EH6" s="2319"/>
      <c r="EI6" s="2319"/>
      <c r="EJ6" s="2319"/>
      <c r="EK6" s="2319"/>
      <c r="EL6" s="2319"/>
      <c r="EM6" s="2319"/>
      <c r="EN6" s="2319"/>
      <c r="EO6" s="2320"/>
      <c r="EP6" s="2321">
        <v>2025</v>
      </c>
      <c r="EQ6" s="2319"/>
      <c r="ER6" s="2319"/>
      <c r="ES6" s="2319"/>
      <c r="ET6" s="2319"/>
      <c r="EU6" s="2319"/>
      <c r="EV6" s="2319"/>
      <c r="EW6" s="2319"/>
      <c r="EX6" s="2319"/>
      <c r="EY6" s="2319"/>
      <c r="EZ6" s="2319"/>
      <c r="FA6" s="2320"/>
      <c r="FB6" s="2321">
        <v>2026</v>
      </c>
      <c r="FC6" s="2319"/>
      <c r="FD6" s="2319"/>
      <c r="FE6" s="2319"/>
      <c r="FF6" s="2319"/>
      <c r="FG6" s="2320"/>
      <c r="FH6" s="2345"/>
    </row>
    <row r="7" spans="1:302" ht="28.5" customHeight="1">
      <c r="A7" s="2323"/>
      <c r="B7" s="810" t="s">
        <v>1948</v>
      </c>
      <c r="C7" s="810" t="s">
        <v>1959</v>
      </c>
      <c r="D7" s="810" t="s">
        <v>1958</v>
      </c>
      <c r="E7" s="810" t="s">
        <v>1957</v>
      </c>
      <c r="F7" s="810" t="s">
        <v>1956</v>
      </c>
      <c r="G7" s="810" t="s">
        <v>1955</v>
      </c>
      <c r="H7" s="810" t="s">
        <v>1954</v>
      </c>
      <c r="I7" s="810" t="s">
        <v>1953</v>
      </c>
      <c r="J7" s="810" t="s">
        <v>1952</v>
      </c>
      <c r="K7" s="810" t="s">
        <v>1951</v>
      </c>
      <c r="L7" s="810" t="s">
        <v>1950</v>
      </c>
      <c r="M7" s="810" t="s">
        <v>1949</v>
      </c>
      <c r="N7" s="810" t="s">
        <v>1948</v>
      </c>
      <c r="O7" s="810" t="s">
        <v>1959</v>
      </c>
      <c r="P7" s="810" t="s">
        <v>1958</v>
      </c>
      <c r="Q7" s="810" t="s">
        <v>1957</v>
      </c>
      <c r="R7" s="810" t="s">
        <v>1956</v>
      </c>
      <c r="S7" s="810" t="s">
        <v>1955</v>
      </c>
      <c r="T7" s="810" t="s">
        <v>1954</v>
      </c>
      <c r="U7" s="810" t="s">
        <v>1953</v>
      </c>
      <c r="V7" s="810" t="s">
        <v>1952</v>
      </c>
      <c r="W7" s="810" t="s">
        <v>1951</v>
      </c>
      <c r="X7" s="810" t="s">
        <v>1950</v>
      </c>
      <c r="Y7" s="810" t="s">
        <v>1949</v>
      </c>
      <c r="Z7" s="810" t="s">
        <v>1948</v>
      </c>
      <c r="AA7" s="810" t="s">
        <v>1959</v>
      </c>
      <c r="AB7" s="810" t="s">
        <v>1958</v>
      </c>
      <c r="AC7" s="810" t="s">
        <v>1957</v>
      </c>
      <c r="AD7" s="810" t="s">
        <v>1956</v>
      </c>
      <c r="AE7" s="810" t="s">
        <v>1960</v>
      </c>
      <c r="AF7" s="810" t="s">
        <v>1964</v>
      </c>
      <c r="AG7" s="810" t="s">
        <v>1953</v>
      </c>
      <c r="AH7" s="810" t="s">
        <v>1952</v>
      </c>
      <c r="AI7" s="810" t="s">
        <v>1951</v>
      </c>
      <c r="AJ7" s="810" t="s">
        <v>1950</v>
      </c>
      <c r="AK7" s="810" t="s">
        <v>1949</v>
      </c>
      <c r="AL7" s="810" t="s">
        <v>1948</v>
      </c>
      <c r="AM7" s="810" t="s">
        <v>1959</v>
      </c>
      <c r="AN7" s="810" t="s">
        <v>1958</v>
      </c>
      <c r="AO7" s="810" t="s">
        <v>1957</v>
      </c>
      <c r="AP7" s="810" t="s">
        <v>1956</v>
      </c>
      <c r="AQ7" s="810" t="s">
        <v>1955</v>
      </c>
      <c r="AR7" s="810" t="s">
        <v>1954</v>
      </c>
      <c r="AS7" s="810" t="s">
        <v>1953</v>
      </c>
      <c r="AT7" s="810" t="s">
        <v>1952</v>
      </c>
      <c r="AU7" s="810" t="s">
        <v>1951</v>
      </c>
      <c r="AV7" s="810" t="s">
        <v>1950</v>
      </c>
      <c r="AW7" s="810" t="s">
        <v>1949</v>
      </c>
      <c r="AX7" s="810" t="s">
        <v>1948</v>
      </c>
      <c r="AY7" s="810" t="s">
        <v>1947</v>
      </c>
      <c r="AZ7" s="810" t="s">
        <v>1946</v>
      </c>
      <c r="BA7" s="810" t="s">
        <v>1945</v>
      </c>
      <c r="BB7" s="810" t="s">
        <v>1965</v>
      </c>
      <c r="BC7" s="810" t="s">
        <v>1966</v>
      </c>
      <c r="BD7" s="810" t="s">
        <v>1975</v>
      </c>
      <c r="BE7" s="810" t="s">
        <v>1985</v>
      </c>
      <c r="BF7" s="810" t="s">
        <v>1995</v>
      </c>
      <c r="BG7" s="810" t="s">
        <v>2008</v>
      </c>
      <c r="BH7" s="837" t="s">
        <v>2019</v>
      </c>
      <c r="BI7" s="847" t="s">
        <v>1949</v>
      </c>
      <c r="BJ7" s="847" t="s">
        <v>1948</v>
      </c>
      <c r="BK7" s="847" t="s">
        <v>1947</v>
      </c>
      <c r="BL7" s="847" t="s">
        <v>1946</v>
      </c>
      <c r="BM7" s="847" t="s">
        <v>1945</v>
      </c>
      <c r="BN7" s="847" t="s">
        <v>1965</v>
      </c>
      <c r="BO7" s="847" t="s">
        <v>1966</v>
      </c>
      <c r="BP7" s="847" t="s">
        <v>1975</v>
      </c>
      <c r="BQ7" s="847" t="s">
        <v>1985</v>
      </c>
      <c r="BR7" s="847" t="s">
        <v>1995</v>
      </c>
      <c r="BS7" s="847" t="s">
        <v>2008</v>
      </c>
      <c r="BT7" s="847" t="s">
        <v>2019</v>
      </c>
      <c r="BU7" s="847" t="s">
        <v>1949</v>
      </c>
      <c r="BV7" s="847" t="s">
        <v>1948</v>
      </c>
      <c r="BW7" s="847" t="s">
        <v>1947</v>
      </c>
      <c r="BX7" s="847" t="s">
        <v>1946</v>
      </c>
      <c r="BY7" s="847" t="s">
        <v>1945</v>
      </c>
      <c r="BZ7" s="847" t="s">
        <v>1965</v>
      </c>
      <c r="CA7" s="847" t="s">
        <v>1966</v>
      </c>
      <c r="CB7" s="847" t="s">
        <v>1975</v>
      </c>
      <c r="CC7" s="847" t="s">
        <v>1985</v>
      </c>
      <c r="CD7" s="847" t="s">
        <v>1995</v>
      </c>
      <c r="CE7" s="847" t="s">
        <v>2008</v>
      </c>
      <c r="CF7" s="847" t="s">
        <v>2019</v>
      </c>
      <c r="CG7" s="847" t="s">
        <v>1949</v>
      </c>
      <c r="CH7" s="847" t="s">
        <v>1948</v>
      </c>
      <c r="CI7" s="847" t="s">
        <v>1947</v>
      </c>
      <c r="CJ7" s="847" t="s">
        <v>1946</v>
      </c>
      <c r="CK7" s="847" t="s">
        <v>1945</v>
      </c>
      <c r="CL7" s="847" t="s">
        <v>1965</v>
      </c>
      <c r="CM7" s="847" t="s">
        <v>2413</v>
      </c>
      <c r="CN7" s="847" t="s">
        <v>2419</v>
      </c>
      <c r="CO7" s="847" t="s">
        <v>1985</v>
      </c>
      <c r="CP7" s="847" t="s">
        <v>1995</v>
      </c>
      <c r="CQ7" s="847" t="s">
        <v>2008</v>
      </c>
      <c r="CR7" s="847" t="s">
        <v>2019</v>
      </c>
      <c r="CS7" s="847" t="s">
        <v>1949</v>
      </c>
      <c r="CT7" s="847" t="s">
        <v>1948</v>
      </c>
      <c r="CU7" s="847" t="s">
        <v>1947</v>
      </c>
      <c r="CV7" s="847" t="s">
        <v>1946</v>
      </c>
      <c r="CW7" s="847" t="s">
        <v>1945</v>
      </c>
      <c r="CX7" s="847" t="s">
        <v>1965</v>
      </c>
      <c r="CY7" s="847" t="s">
        <v>1966</v>
      </c>
      <c r="CZ7" s="847" t="s">
        <v>1975</v>
      </c>
      <c r="DA7" s="847" t="s">
        <v>1985</v>
      </c>
      <c r="DB7" s="847" t="s">
        <v>1995</v>
      </c>
      <c r="DC7" s="847" t="s">
        <v>2008</v>
      </c>
      <c r="DD7" s="884" t="s">
        <v>2019</v>
      </c>
      <c r="DE7" s="884" t="s">
        <v>1949</v>
      </c>
      <c r="DF7" s="884" t="s">
        <v>1948</v>
      </c>
      <c r="DG7" s="848" t="s">
        <v>1947</v>
      </c>
      <c r="DH7" s="848" t="s">
        <v>1946</v>
      </c>
      <c r="DI7" s="848" t="s">
        <v>1945</v>
      </c>
      <c r="DJ7" s="848" t="s">
        <v>1965</v>
      </c>
      <c r="DK7" s="848" t="s">
        <v>1966</v>
      </c>
      <c r="DL7" s="848" t="s">
        <v>1975</v>
      </c>
      <c r="DM7" s="848" t="s">
        <v>1985</v>
      </c>
      <c r="DN7" s="848" t="s">
        <v>1995</v>
      </c>
      <c r="DO7" s="848" t="s">
        <v>2008</v>
      </c>
      <c r="DP7" s="848" t="s">
        <v>2019</v>
      </c>
      <c r="DQ7" s="848" t="s">
        <v>1949</v>
      </c>
      <c r="DR7" s="848" t="s">
        <v>1948</v>
      </c>
      <c r="DS7" s="848" t="s">
        <v>1947</v>
      </c>
      <c r="DT7" s="848" t="s">
        <v>1946</v>
      </c>
      <c r="DU7" s="848" t="s">
        <v>1945</v>
      </c>
      <c r="DV7" s="848" t="s">
        <v>1965</v>
      </c>
      <c r="DW7" s="848" t="s">
        <v>1966</v>
      </c>
      <c r="DX7" s="848" t="s">
        <v>1975</v>
      </c>
      <c r="DY7" s="848" t="s">
        <v>1985</v>
      </c>
      <c r="DZ7" s="848" t="s">
        <v>1995</v>
      </c>
      <c r="EA7" s="848" t="s">
        <v>2008</v>
      </c>
      <c r="EB7" s="848" t="s">
        <v>2019</v>
      </c>
      <c r="EC7" s="848" t="s">
        <v>1949</v>
      </c>
      <c r="ED7" s="848" t="s">
        <v>1948</v>
      </c>
      <c r="EE7" s="848" t="s">
        <v>1947</v>
      </c>
      <c r="EF7" s="848" t="s">
        <v>1946</v>
      </c>
      <c r="EG7" s="848" t="s">
        <v>1945</v>
      </c>
      <c r="EH7" s="848" t="s">
        <v>1965</v>
      </c>
      <c r="EI7" s="848" t="s">
        <v>1966</v>
      </c>
      <c r="EJ7" s="848" t="s">
        <v>1975</v>
      </c>
      <c r="EK7" s="848" t="s">
        <v>1985</v>
      </c>
      <c r="EL7" s="848" t="s">
        <v>1995</v>
      </c>
      <c r="EM7" s="848" t="s">
        <v>2008</v>
      </c>
      <c r="EN7" s="848" t="s">
        <v>2019</v>
      </c>
      <c r="EO7" s="848" t="s">
        <v>1949</v>
      </c>
      <c r="EP7" s="848" t="s">
        <v>1948</v>
      </c>
      <c r="EQ7" s="848" t="s">
        <v>1947</v>
      </c>
      <c r="ER7" s="848" t="s">
        <v>1946</v>
      </c>
      <c r="ES7" s="884" t="s">
        <v>1945</v>
      </c>
      <c r="ET7" s="847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46"/>
    </row>
    <row r="8" spans="1:302" ht="28.5" customHeight="1">
      <c r="A8" s="2324"/>
      <c r="B8" s="812"/>
      <c r="C8" s="812"/>
      <c r="D8" s="812"/>
      <c r="E8" s="812"/>
      <c r="F8" s="812"/>
      <c r="G8" s="812"/>
      <c r="H8" s="812"/>
      <c r="I8" s="812"/>
      <c r="J8" s="812"/>
      <c r="K8" s="812"/>
      <c r="L8" s="812"/>
      <c r="M8" s="812"/>
      <c r="N8" s="812"/>
      <c r="O8" s="812"/>
      <c r="P8" s="812"/>
      <c r="Q8" s="812"/>
      <c r="R8" s="812"/>
      <c r="S8" s="812"/>
      <c r="T8" s="812"/>
      <c r="U8" s="812"/>
      <c r="V8" s="812"/>
      <c r="W8" s="812"/>
      <c r="X8" s="812"/>
      <c r="Y8" s="812"/>
      <c r="Z8" s="812"/>
      <c r="AA8" s="812"/>
      <c r="AB8" s="812"/>
      <c r="AC8" s="812"/>
      <c r="AD8" s="812"/>
      <c r="AE8" s="812"/>
      <c r="AF8" s="812"/>
      <c r="AG8" s="812"/>
      <c r="AH8" s="812"/>
      <c r="AI8" s="812"/>
      <c r="AJ8" s="812"/>
      <c r="AK8" s="812"/>
      <c r="AL8" s="812"/>
      <c r="AM8" s="812"/>
      <c r="AN8" s="812"/>
      <c r="AO8" s="812"/>
      <c r="AP8" s="812"/>
      <c r="AQ8" s="812"/>
      <c r="AR8" s="812"/>
      <c r="AS8" s="812"/>
      <c r="AT8" s="812"/>
      <c r="AU8" s="812"/>
      <c r="AV8" s="812"/>
      <c r="AW8" s="812"/>
      <c r="AX8" s="812"/>
      <c r="AY8" s="812"/>
      <c r="AZ8" s="812"/>
      <c r="BA8" s="812"/>
      <c r="BB8" s="812"/>
      <c r="BC8" s="812"/>
      <c r="BD8" s="812"/>
      <c r="BE8" s="812"/>
      <c r="BF8" s="812"/>
      <c r="BG8" s="812"/>
      <c r="BH8" s="1741"/>
      <c r="BI8" s="1730" t="s">
        <v>3174</v>
      </c>
      <c r="BJ8" s="1730" t="s">
        <v>3174</v>
      </c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 t="s">
        <v>3174</v>
      </c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 t="s">
        <v>3174</v>
      </c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 t="s">
        <v>3174</v>
      </c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 t="s">
        <v>3174</v>
      </c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 t="s">
        <v>3174</v>
      </c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47"/>
    </row>
    <row r="9" spans="1:302" ht="21">
      <c r="A9" s="1722" t="s">
        <v>2740</v>
      </c>
      <c r="B9" s="780">
        <v>169.88382347999999</v>
      </c>
      <c r="C9" s="780">
        <v>247.99884533000002</v>
      </c>
      <c r="D9" s="780">
        <v>242.24135702999999</v>
      </c>
      <c r="E9" s="780">
        <v>245.52382365</v>
      </c>
      <c r="F9" s="780">
        <v>246.21219626000001</v>
      </c>
      <c r="G9" s="780">
        <v>252.96139915999998</v>
      </c>
      <c r="H9" s="780">
        <v>251.37748672000001</v>
      </c>
      <c r="I9" s="780">
        <v>251.29768046000001</v>
      </c>
      <c r="J9" s="780">
        <v>251.67808912000001</v>
      </c>
      <c r="K9" s="780">
        <v>258.21215817999996</v>
      </c>
      <c r="L9" s="780">
        <v>259.46775642000006</v>
      </c>
      <c r="M9" s="781">
        <v>260.50737816000003</v>
      </c>
      <c r="N9" s="781">
        <v>259.0075324</v>
      </c>
      <c r="O9" s="781">
        <v>260.66100265999995</v>
      </c>
      <c r="P9" s="781">
        <v>260.95556768</v>
      </c>
      <c r="Q9" s="781">
        <v>261.31267273000003</v>
      </c>
      <c r="R9" s="781">
        <v>261.44438452000003</v>
      </c>
      <c r="S9" s="781">
        <v>264.39176478000002</v>
      </c>
      <c r="T9" s="781">
        <v>265.31255012000003</v>
      </c>
      <c r="U9" s="781">
        <v>263.80898729</v>
      </c>
      <c r="V9" s="781">
        <v>263.43730214999999</v>
      </c>
      <c r="W9" s="781">
        <v>262.92923533000004</v>
      </c>
      <c r="X9" s="781">
        <v>262.61974581000004</v>
      </c>
      <c r="Y9" s="781">
        <v>311.12994394999998</v>
      </c>
      <c r="Z9" s="781">
        <v>304.05473837999995</v>
      </c>
      <c r="AA9" s="781">
        <v>915.67673547000004</v>
      </c>
      <c r="AB9" s="781">
        <v>863.3438288000001</v>
      </c>
      <c r="AC9" s="781">
        <v>865.75160313000003</v>
      </c>
      <c r="AD9" s="781">
        <v>861.71480962999999</v>
      </c>
      <c r="AE9" s="781">
        <v>860.69671413000003</v>
      </c>
      <c r="AF9" s="781">
        <v>864.772156</v>
      </c>
      <c r="AG9" s="781">
        <v>864.54325744999983</v>
      </c>
      <c r="AH9" s="781">
        <v>863.41699129999995</v>
      </c>
      <c r="AI9" s="781">
        <v>603.54650871999991</v>
      </c>
      <c r="AJ9" s="781">
        <v>598.22206088000007</v>
      </c>
      <c r="AK9" s="781">
        <v>868.33384219999994</v>
      </c>
      <c r="AL9" s="781">
        <v>868.97574106000013</v>
      </c>
      <c r="AM9" s="781">
        <v>852.46831829999996</v>
      </c>
      <c r="AN9" s="781">
        <v>836.18880465999996</v>
      </c>
      <c r="AO9" s="781">
        <v>762.64084291999995</v>
      </c>
      <c r="AP9" s="781">
        <v>742.98158794000005</v>
      </c>
      <c r="AQ9" s="781">
        <v>766.15728853999985</v>
      </c>
      <c r="AR9" s="781">
        <v>773.38130673000001</v>
      </c>
      <c r="AS9" s="781">
        <v>775.36362268000005</v>
      </c>
      <c r="AT9" s="781">
        <v>767.86342136999997</v>
      </c>
      <c r="AU9" s="781">
        <v>771.95771472000013</v>
      </c>
      <c r="AV9" s="781">
        <v>813.86239699000009</v>
      </c>
      <c r="AW9" s="781">
        <v>831.06472173000009</v>
      </c>
      <c r="AX9" s="781">
        <v>898.53107594999994</v>
      </c>
      <c r="AY9" s="781">
        <v>818.37992768000004</v>
      </c>
      <c r="AZ9" s="781">
        <v>806.64993419999996</v>
      </c>
      <c r="BA9" s="781">
        <v>795.55517027999997</v>
      </c>
      <c r="BB9" s="781">
        <v>734.72260599999993</v>
      </c>
      <c r="BC9" s="781">
        <v>51.911281440000003</v>
      </c>
      <c r="BD9" s="781">
        <v>43.957436620000003</v>
      </c>
      <c r="BE9" s="781">
        <v>22.02057245</v>
      </c>
      <c r="BF9" s="781">
        <v>16.685853870000003</v>
      </c>
      <c r="BG9" s="781">
        <v>15.09283226</v>
      </c>
      <c r="BH9" s="826">
        <v>14.213046050000001</v>
      </c>
      <c r="BI9" s="815">
        <v>12.14333553</v>
      </c>
      <c r="BJ9" s="815">
        <v>8.3822816200000005</v>
      </c>
      <c r="BK9" s="815">
        <v>7.50647252</v>
      </c>
      <c r="BL9" s="815">
        <v>10.030302820000001</v>
      </c>
      <c r="BM9" s="815">
        <v>12.55454523</v>
      </c>
      <c r="BN9" s="815">
        <v>14.451147650000001</v>
      </c>
      <c r="BO9" s="815">
        <v>13.57539006</v>
      </c>
      <c r="BP9" s="815">
        <v>13.19963248</v>
      </c>
      <c r="BQ9" s="815">
        <v>9.9163587</v>
      </c>
      <c r="BR9" s="815">
        <v>6.4982411100000004</v>
      </c>
      <c r="BS9" s="815">
        <v>5.6924837999999998</v>
      </c>
      <c r="BT9" s="815">
        <v>5.8307804700000005</v>
      </c>
      <c r="BU9" s="815">
        <v>4.0889691800000003</v>
      </c>
      <c r="BV9" s="815">
        <v>4.0835534500000001</v>
      </c>
      <c r="BW9" s="815">
        <v>4.0687518599999999</v>
      </c>
      <c r="BX9" s="815">
        <v>4.0631907500000004</v>
      </c>
      <c r="BY9" s="815">
        <v>4.0575554900000004</v>
      </c>
      <c r="BZ9" s="815">
        <v>3.4147770900000003</v>
      </c>
      <c r="CA9" s="815">
        <v>3.4085130000000001</v>
      </c>
      <c r="CB9" s="815">
        <v>10.627164259999999</v>
      </c>
      <c r="CC9" s="815">
        <v>10.554968950000001</v>
      </c>
      <c r="CD9" s="815">
        <v>16.012061299999999</v>
      </c>
      <c r="CE9" s="815">
        <v>26.22584015</v>
      </c>
      <c r="CF9" s="815">
        <v>165.63629550000002</v>
      </c>
      <c r="CG9" s="815">
        <v>35.824461579999998</v>
      </c>
      <c r="CH9" s="815">
        <v>43.062833189999999</v>
      </c>
      <c r="CI9" s="815">
        <v>45.989883039999995</v>
      </c>
      <c r="CJ9" s="815">
        <v>42.438705810000002</v>
      </c>
      <c r="CK9" s="815">
        <v>41.324060490000008</v>
      </c>
      <c r="CL9" s="815">
        <v>47.775236360000001</v>
      </c>
      <c r="CM9" s="815">
        <v>51.594207059999995</v>
      </c>
      <c r="CN9" s="815">
        <v>66.601194359999994</v>
      </c>
      <c r="CO9" s="815">
        <v>69.123743109999992</v>
      </c>
      <c r="CP9" s="815">
        <v>75.250761589999996</v>
      </c>
      <c r="CQ9" s="815">
        <v>76.221932819999992</v>
      </c>
      <c r="CR9" s="815">
        <v>95.982817420000003</v>
      </c>
      <c r="CS9" s="815">
        <v>100.9654961</v>
      </c>
      <c r="CT9" s="815">
        <v>104.80600579999999</v>
      </c>
      <c r="CU9" s="815">
        <v>243.75187188999999</v>
      </c>
      <c r="CV9" s="815">
        <v>247.95774632000001</v>
      </c>
      <c r="CW9" s="815">
        <v>249.23912799999999</v>
      </c>
      <c r="CX9" s="815">
        <v>252.30897077</v>
      </c>
      <c r="CY9" s="815">
        <v>265.32752973999999</v>
      </c>
      <c r="CZ9" s="815">
        <v>266.33422457</v>
      </c>
      <c r="DA9" s="815">
        <v>265.78165603999997</v>
      </c>
      <c r="DB9" s="815">
        <v>275.40268788999998</v>
      </c>
      <c r="DC9" s="815">
        <v>273.13845358999998</v>
      </c>
      <c r="DD9" s="885">
        <v>270.36666331999999</v>
      </c>
      <c r="DE9" s="885">
        <v>279.93951504</v>
      </c>
      <c r="DF9" s="885">
        <v>276.66269678999998</v>
      </c>
      <c r="DG9" s="838">
        <v>275.02338974000003</v>
      </c>
      <c r="DH9" s="838">
        <v>268.45311521999997</v>
      </c>
      <c r="DI9" s="838">
        <v>274.00583617000001</v>
      </c>
      <c r="DJ9" s="838">
        <v>276.43745202999997</v>
      </c>
      <c r="DK9" s="838">
        <v>282.40821255999998</v>
      </c>
      <c r="DL9" s="838">
        <v>289.24492780999998</v>
      </c>
      <c r="DM9" s="838">
        <v>283.53300524000002</v>
      </c>
      <c r="DN9" s="838">
        <v>282.77153706000001</v>
      </c>
      <c r="DO9" s="838">
        <v>283.01895357000001</v>
      </c>
      <c r="DP9" s="838">
        <v>263.07961186</v>
      </c>
      <c r="DQ9" s="838">
        <v>261.26516622999998</v>
      </c>
      <c r="DR9" s="838">
        <v>261.50346846999997</v>
      </c>
      <c r="DS9" s="838">
        <v>259.71133880999997</v>
      </c>
      <c r="DT9" s="838">
        <v>257.22117804999999</v>
      </c>
      <c r="DU9" s="838">
        <v>265.60792450000002</v>
      </c>
      <c r="DV9" s="838">
        <v>282.31186286000002</v>
      </c>
      <c r="DW9" s="838">
        <v>281.33964673000003</v>
      </c>
      <c r="DX9" s="838">
        <v>276.86807190000002</v>
      </c>
      <c r="DY9" s="838">
        <v>275.17071999000001</v>
      </c>
      <c r="DZ9" s="838">
        <v>275.12530187999999</v>
      </c>
      <c r="EA9" s="838">
        <v>272.92844172999997</v>
      </c>
      <c r="EB9" s="838">
        <v>270.38717330999998</v>
      </c>
      <c r="EC9" s="838">
        <v>268.00238601000001</v>
      </c>
      <c r="ED9" s="838">
        <v>264.80877253</v>
      </c>
      <c r="EE9" s="838">
        <v>260.53925977</v>
      </c>
      <c r="EF9" s="838">
        <v>253.81463543000001</v>
      </c>
      <c r="EG9" s="838">
        <v>254.25884472999999</v>
      </c>
      <c r="EH9" s="838">
        <v>252.17487677</v>
      </c>
      <c r="EI9" s="838">
        <v>243.46622103999999</v>
      </c>
      <c r="EJ9" s="838">
        <v>259.92521068000002</v>
      </c>
      <c r="EK9" s="838">
        <v>259.27249302000001</v>
      </c>
      <c r="EL9" s="838">
        <v>259.97930203999999</v>
      </c>
      <c r="EM9" s="838">
        <v>85.517592269999994</v>
      </c>
      <c r="EN9" s="838">
        <v>83.724265889999998</v>
      </c>
      <c r="EO9" s="838">
        <v>86.697381210000003</v>
      </c>
      <c r="EP9" s="838">
        <v>85.430459060000004</v>
      </c>
      <c r="EQ9" s="838">
        <v>83.850993340000002</v>
      </c>
      <c r="ER9" s="838">
        <v>83.329404550000007</v>
      </c>
      <c r="ES9" s="838">
        <v>83.205988730000001</v>
      </c>
      <c r="ET9" s="838">
        <v>82.594778689999998</v>
      </c>
      <c r="EU9" s="838">
        <v>79.654478080000004</v>
      </c>
      <c r="EV9" s="838">
        <v>44.244984789999997</v>
      </c>
      <c r="EW9" s="838">
        <v>43.734841590000002</v>
      </c>
      <c r="EX9" s="838">
        <v>44.712523959999999</v>
      </c>
      <c r="EY9" s="838">
        <v>26.174782870000001</v>
      </c>
      <c r="EZ9" s="838">
        <v>24.803810160000001</v>
      </c>
      <c r="FA9" s="838">
        <v>28.2885445</v>
      </c>
      <c r="FB9" s="838">
        <v>27.51416592</v>
      </c>
      <c r="FC9" s="838">
        <v>44.023932039999998</v>
      </c>
      <c r="FD9" s="838">
        <v>43.931414310000001</v>
      </c>
      <c r="FE9" s="838">
        <v>44.564407469999999</v>
      </c>
      <c r="FF9" s="838">
        <v>45.43849135</v>
      </c>
      <c r="FG9" s="838">
        <v>45.062412170000002</v>
      </c>
      <c r="FH9" s="1710" t="s">
        <v>1152</v>
      </c>
      <c r="FL9" s="1"/>
      <c r="FM9" s="320"/>
    </row>
    <row r="10" spans="1:302" ht="21">
      <c r="A10" s="1723" t="s">
        <v>1961</v>
      </c>
      <c r="B10" s="783">
        <v>0</v>
      </c>
      <c r="C10" s="783">
        <v>0</v>
      </c>
      <c r="D10" s="783">
        <v>0</v>
      </c>
      <c r="E10" s="783">
        <v>0</v>
      </c>
      <c r="F10" s="783">
        <v>0</v>
      </c>
      <c r="G10" s="783">
        <v>0</v>
      </c>
      <c r="H10" s="783">
        <v>0</v>
      </c>
      <c r="I10" s="783">
        <v>0</v>
      </c>
      <c r="J10" s="783">
        <v>0</v>
      </c>
      <c r="K10" s="783">
        <v>0</v>
      </c>
      <c r="L10" s="783">
        <v>0</v>
      </c>
      <c r="M10" s="784">
        <v>0</v>
      </c>
      <c r="N10" s="784">
        <v>0</v>
      </c>
      <c r="O10" s="784">
        <v>0</v>
      </c>
      <c r="P10" s="784">
        <v>0</v>
      </c>
      <c r="Q10" s="784">
        <v>0</v>
      </c>
      <c r="R10" s="784">
        <v>0</v>
      </c>
      <c r="S10" s="784">
        <v>0</v>
      </c>
      <c r="T10" s="784">
        <v>0</v>
      </c>
      <c r="U10" s="784">
        <v>0</v>
      </c>
      <c r="V10" s="784">
        <v>0</v>
      </c>
      <c r="W10" s="784">
        <v>0</v>
      </c>
      <c r="X10" s="784">
        <v>0</v>
      </c>
      <c r="Y10" s="784">
        <v>0</v>
      </c>
      <c r="Z10" s="784">
        <v>0</v>
      </c>
      <c r="AA10" s="784">
        <v>0</v>
      </c>
      <c r="AB10" s="784">
        <v>0</v>
      </c>
      <c r="AC10" s="784">
        <v>0</v>
      </c>
      <c r="AD10" s="784">
        <v>0</v>
      </c>
      <c r="AE10" s="784">
        <v>0</v>
      </c>
      <c r="AF10" s="784">
        <v>0</v>
      </c>
      <c r="AG10" s="784">
        <v>0</v>
      </c>
      <c r="AH10" s="784">
        <v>0</v>
      </c>
      <c r="AI10" s="784">
        <v>0</v>
      </c>
      <c r="AJ10" s="784">
        <v>0</v>
      </c>
      <c r="AK10" s="784">
        <v>0</v>
      </c>
      <c r="AL10" s="784">
        <v>0</v>
      </c>
      <c r="AM10" s="784">
        <v>0</v>
      </c>
      <c r="AN10" s="784">
        <v>0</v>
      </c>
      <c r="AO10" s="784">
        <v>0</v>
      </c>
      <c r="AP10" s="784">
        <v>0</v>
      </c>
      <c r="AQ10" s="784">
        <v>0</v>
      </c>
      <c r="AR10" s="784">
        <v>0</v>
      </c>
      <c r="AS10" s="784">
        <v>0</v>
      </c>
      <c r="AT10" s="784">
        <v>0</v>
      </c>
      <c r="AU10" s="784">
        <v>0</v>
      </c>
      <c r="AV10" s="784">
        <v>0</v>
      </c>
      <c r="AW10" s="784">
        <v>0</v>
      </c>
      <c r="AX10" s="784">
        <v>0</v>
      </c>
      <c r="AY10" s="784">
        <v>0</v>
      </c>
      <c r="AZ10" s="784">
        <v>0</v>
      </c>
      <c r="BA10" s="784">
        <v>0</v>
      </c>
      <c r="BB10" s="784">
        <v>0</v>
      </c>
      <c r="BC10" s="784">
        <v>0</v>
      </c>
      <c r="BD10" s="784">
        <v>0</v>
      </c>
      <c r="BE10" s="784">
        <v>0</v>
      </c>
      <c r="BF10" s="784">
        <v>0</v>
      </c>
      <c r="BG10" s="784">
        <v>0</v>
      </c>
      <c r="BH10" s="827">
        <v>0</v>
      </c>
      <c r="BI10" s="816">
        <v>0</v>
      </c>
      <c r="BJ10" s="816">
        <v>0</v>
      </c>
      <c r="BK10" s="816">
        <v>0</v>
      </c>
      <c r="BL10" s="816">
        <v>0</v>
      </c>
      <c r="BM10" s="816">
        <v>0</v>
      </c>
      <c r="BN10" s="816">
        <v>0</v>
      </c>
      <c r="BO10" s="816">
        <v>0</v>
      </c>
      <c r="BP10" s="816">
        <v>0</v>
      </c>
      <c r="BQ10" s="816">
        <v>0</v>
      </c>
      <c r="BR10" s="816">
        <v>0</v>
      </c>
      <c r="BS10" s="816">
        <v>0</v>
      </c>
      <c r="BT10" s="816">
        <v>0</v>
      </c>
      <c r="BU10" s="816">
        <v>0</v>
      </c>
      <c r="BV10" s="816">
        <v>0</v>
      </c>
      <c r="BW10" s="816">
        <v>0</v>
      </c>
      <c r="BX10" s="816">
        <v>0</v>
      </c>
      <c r="BY10" s="816">
        <v>0</v>
      </c>
      <c r="BZ10" s="816">
        <v>0</v>
      </c>
      <c r="CA10" s="816">
        <v>0</v>
      </c>
      <c r="CB10" s="816">
        <v>0</v>
      </c>
      <c r="CC10" s="816">
        <v>0</v>
      </c>
      <c r="CD10" s="816">
        <v>5.1007791600000001</v>
      </c>
      <c r="CE10" s="816">
        <v>0</v>
      </c>
      <c r="CF10" s="816">
        <v>0</v>
      </c>
      <c r="CG10" s="816">
        <v>0</v>
      </c>
      <c r="CH10" s="816">
        <v>0</v>
      </c>
      <c r="CI10" s="816">
        <v>0</v>
      </c>
      <c r="CJ10" s="816">
        <v>0</v>
      </c>
      <c r="CK10" s="816">
        <v>0</v>
      </c>
      <c r="CL10" s="816">
        <v>0</v>
      </c>
      <c r="CM10" s="816">
        <v>0</v>
      </c>
      <c r="CN10" s="816">
        <v>0</v>
      </c>
      <c r="CO10" s="816">
        <v>0</v>
      </c>
      <c r="CP10" s="816">
        <v>0</v>
      </c>
      <c r="CQ10" s="816">
        <v>0</v>
      </c>
      <c r="CR10" s="816">
        <v>0</v>
      </c>
      <c r="CS10" s="816">
        <v>0</v>
      </c>
      <c r="CT10" s="816">
        <v>0</v>
      </c>
      <c r="CU10" s="816">
        <v>0</v>
      </c>
      <c r="CV10" s="816">
        <v>0</v>
      </c>
      <c r="CW10" s="816">
        <v>0</v>
      </c>
      <c r="CX10" s="816">
        <v>0</v>
      </c>
      <c r="CY10" s="816">
        <v>0</v>
      </c>
      <c r="CZ10" s="816">
        <v>0</v>
      </c>
      <c r="DA10" s="816">
        <v>0</v>
      </c>
      <c r="DB10" s="816">
        <v>0</v>
      </c>
      <c r="DC10" s="816">
        <v>0</v>
      </c>
      <c r="DD10" s="886">
        <v>0</v>
      </c>
      <c r="DE10" s="886">
        <v>0</v>
      </c>
      <c r="DF10" s="886">
        <v>0</v>
      </c>
      <c r="DG10" s="839">
        <v>0</v>
      </c>
      <c r="DH10" s="839">
        <v>0</v>
      </c>
      <c r="DI10" s="839">
        <v>0</v>
      </c>
      <c r="DJ10" s="839">
        <v>0</v>
      </c>
      <c r="DK10" s="839">
        <v>0</v>
      </c>
      <c r="DL10" s="839">
        <v>0</v>
      </c>
      <c r="DM10" s="839">
        <v>0</v>
      </c>
      <c r="DN10" s="839">
        <v>0</v>
      </c>
      <c r="DO10" s="839">
        <v>0</v>
      </c>
      <c r="DP10" s="839">
        <v>0</v>
      </c>
      <c r="DQ10" s="839">
        <v>0</v>
      </c>
      <c r="DR10" s="839">
        <v>0</v>
      </c>
      <c r="DS10" s="839">
        <v>0</v>
      </c>
      <c r="DT10" s="839">
        <v>0</v>
      </c>
      <c r="DU10" s="839">
        <v>0</v>
      </c>
      <c r="DV10" s="839">
        <v>0</v>
      </c>
      <c r="DW10" s="839">
        <v>0</v>
      </c>
      <c r="DX10" s="839">
        <v>0</v>
      </c>
      <c r="DY10" s="839">
        <v>0</v>
      </c>
      <c r="DZ10" s="839">
        <v>0</v>
      </c>
      <c r="EA10" s="839">
        <v>0</v>
      </c>
      <c r="EB10" s="839">
        <v>0</v>
      </c>
      <c r="EC10" s="839">
        <v>0</v>
      </c>
      <c r="ED10" s="839">
        <v>0</v>
      </c>
      <c r="EE10" s="839">
        <v>0</v>
      </c>
      <c r="EF10" s="839">
        <v>0</v>
      </c>
      <c r="EG10" s="839">
        <v>0</v>
      </c>
      <c r="EH10" s="839">
        <v>0</v>
      </c>
      <c r="EI10" s="839">
        <v>0</v>
      </c>
      <c r="EJ10" s="839">
        <v>0</v>
      </c>
      <c r="EK10" s="839">
        <v>0</v>
      </c>
      <c r="EL10" s="839">
        <v>0</v>
      </c>
      <c r="EM10" s="839">
        <v>7.7374760000000001E-2</v>
      </c>
      <c r="EN10" s="839">
        <v>7.3542910000000003E-2</v>
      </c>
      <c r="EO10" s="839">
        <v>6.9659970000000002E-2</v>
      </c>
      <c r="EP10" s="839">
        <v>6.5725259999999994E-2</v>
      </c>
      <c r="EQ10" s="839">
        <v>6.1738090000000002E-2</v>
      </c>
      <c r="ER10" s="839">
        <v>5.7697749999999999E-2</v>
      </c>
      <c r="ES10" s="839">
        <v>5.3603539999999998E-2</v>
      </c>
      <c r="ET10" s="839">
        <v>4.9454739999999997E-2</v>
      </c>
      <c r="EU10" s="839">
        <v>4.9454739999999997E-2</v>
      </c>
      <c r="EV10" s="839">
        <v>4.0990459999999999E-2</v>
      </c>
      <c r="EW10" s="839">
        <v>3.6673490000000003E-2</v>
      </c>
      <c r="EX10" s="839">
        <v>0</v>
      </c>
      <c r="EY10" s="839">
        <v>0</v>
      </c>
      <c r="EZ10" s="839">
        <v>0</v>
      </c>
      <c r="FA10" s="839">
        <v>0</v>
      </c>
      <c r="FB10" s="839">
        <v>0</v>
      </c>
      <c r="FC10" s="839">
        <v>0</v>
      </c>
      <c r="FD10" s="839">
        <v>0</v>
      </c>
      <c r="FE10" s="839">
        <v>0</v>
      </c>
      <c r="FF10" s="839">
        <v>0</v>
      </c>
      <c r="FG10" s="839">
        <v>0</v>
      </c>
      <c r="FH10" s="1712" t="s">
        <v>4067</v>
      </c>
      <c r="FM10" s="321"/>
    </row>
    <row r="11" spans="1:302" ht="21">
      <c r="A11" s="1723" t="s">
        <v>1962</v>
      </c>
      <c r="B11" s="780">
        <f>+B9-B10</f>
        <v>169.88382347999999</v>
      </c>
      <c r="C11" s="780">
        <f t="shared" ref="C11:V11" si="0">+C9-C10</f>
        <v>247.99884533000002</v>
      </c>
      <c r="D11" s="780">
        <f t="shared" si="0"/>
        <v>242.24135702999999</v>
      </c>
      <c r="E11" s="780">
        <f t="shared" si="0"/>
        <v>245.52382365</v>
      </c>
      <c r="F11" s="780">
        <f t="shared" si="0"/>
        <v>246.21219626000001</v>
      </c>
      <c r="G11" s="780">
        <f t="shared" si="0"/>
        <v>252.96139915999998</v>
      </c>
      <c r="H11" s="780">
        <f t="shared" si="0"/>
        <v>251.37748672000001</v>
      </c>
      <c r="I11" s="780">
        <f t="shared" si="0"/>
        <v>251.29768046000001</v>
      </c>
      <c r="J11" s="780">
        <f t="shared" si="0"/>
        <v>251.67808912000001</v>
      </c>
      <c r="K11" s="780">
        <f t="shared" si="0"/>
        <v>258.21215817999996</v>
      </c>
      <c r="L11" s="780">
        <f t="shared" si="0"/>
        <v>259.46775642000006</v>
      </c>
      <c r="M11" s="784">
        <f t="shared" si="0"/>
        <v>260.50737816000003</v>
      </c>
      <c r="N11" s="781">
        <f t="shared" si="0"/>
        <v>259.0075324</v>
      </c>
      <c r="O11" s="781">
        <f t="shared" si="0"/>
        <v>260.66100265999995</v>
      </c>
      <c r="P11" s="781">
        <f t="shared" si="0"/>
        <v>260.95556768</v>
      </c>
      <c r="Q11" s="781">
        <f t="shared" si="0"/>
        <v>261.31267273000003</v>
      </c>
      <c r="R11" s="781">
        <f t="shared" si="0"/>
        <v>261.44438452000003</v>
      </c>
      <c r="S11" s="781">
        <f t="shared" si="0"/>
        <v>264.39176478000002</v>
      </c>
      <c r="T11" s="781">
        <f t="shared" si="0"/>
        <v>265.31255012000003</v>
      </c>
      <c r="U11" s="781">
        <f t="shared" si="0"/>
        <v>263.80898729</v>
      </c>
      <c r="V11" s="781">
        <f t="shared" si="0"/>
        <v>263.43730214999999</v>
      </c>
      <c r="W11" s="781">
        <v>262.92923533000004</v>
      </c>
      <c r="X11" s="781">
        <v>262.61974581000004</v>
      </c>
      <c r="Y11" s="784">
        <v>311.12994394999998</v>
      </c>
      <c r="Z11" s="781">
        <v>304.05473837999995</v>
      </c>
      <c r="AA11" s="781">
        <v>915.67673547000004</v>
      </c>
      <c r="AB11" s="784">
        <v>863.3438288000001</v>
      </c>
      <c r="AC11" s="784">
        <v>865.75160313000003</v>
      </c>
      <c r="AD11" s="784">
        <v>861.71480962999999</v>
      </c>
      <c r="AE11" s="784">
        <v>860.69671413000003</v>
      </c>
      <c r="AF11" s="784">
        <v>864.772156</v>
      </c>
      <c r="AG11" s="784">
        <v>864.54325744999983</v>
      </c>
      <c r="AH11" s="784">
        <f>+AH9-AH10</f>
        <v>863.41699129999995</v>
      </c>
      <c r="AI11" s="784">
        <v>603.54650871999991</v>
      </c>
      <c r="AJ11" s="784">
        <f>+AJ9-AJ10</f>
        <v>598.22206088000007</v>
      </c>
      <c r="AK11" s="784">
        <f>+AK9-AK10</f>
        <v>868.33384219999994</v>
      </c>
      <c r="AL11" s="784">
        <v>868.97574106000013</v>
      </c>
      <c r="AM11" s="784">
        <f>+AM9-AM10</f>
        <v>852.46831829999996</v>
      </c>
      <c r="AN11" s="784">
        <f>+AN9-AN10</f>
        <v>836.18880465999996</v>
      </c>
      <c r="AO11" s="784">
        <f>+AO9-AO10</f>
        <v>762.64084291999995</v>
      </c>
      <c r="AP11" s="784">
        <f>+AP9-AP10</f>
        <v>742.98158794000005</v>
      </c>
      <c r="AQ11" s="784">
        <v>766.15728853999985</v>
      </c>
      <c r="AR11" s="784">
        <f>+AR9-AR10</f>
        <v>773.38130673000001</v>
      </c>
      <c r="AS11" s="784">
        <f>+AS9-AS10</f>
        <v>775.36362268000005</v>
      </c>
      <c r="AT11" s="784">
        <f>+AT9-AT10</f>
        <v>767.86342136999997</v>
      </c>
      <c r="AU11" s="784">
        <v>771.95771472000013</v>
      </c>
      <c r="AV11" s="784">
        <v>813.86239699000009</v>
      </c>
      <c r="AW11" s="784">
        <v>831.06472173000009</v>
      </c>
      <c r="AX11" s="784">
        <v>898.53107594999994</v>
      </c>
      <c r="AY11" s="784">
        <v>818.37992768000004</v>
      </c>
      <c r="AZ11" s="784">
        <v>806.64993419999996</v>
      </c>
      <c r="BA11" s="784">
        <v>795.55517027999997</v>
      </c>
      <c r="BB11" s="784">
        <v>734.72260599999993</v>
      </c>
      <c r="BC11" s="784">
        <v>51.911281440000003</v>
      </c>
      <c r="BD11" s="784">
        <f>+BD9-BD10</f>
        <v>43.957436620000003</v>
      </c>
      <c r="BE11" s="784">
        <v>22.02057245</v>
      </c>
      <c r="BF11" s="784">
        <v>16.685853870000003</v>
      </c>
      <c r="BG11" s="784">
        <v>15.09283226</v>
      </c>
      <c r="BH11" s="827">
        <v>14.213046050000001</v>
      </c>
      <c r="BI11" s="816">
        <v>12.14333553</v>
      </c>
      <c r="BJ11" s="816">
        <v>8.3822816200000005</v>
      </c>
      <c r="BK11" s="816">
        <v>7.50647252</v>
      </c>
      <c r="BL11" s="816">
        <v>10.030302820000001</v>
      </c>
      <c r="BM11" s="816">
        <v>12.55454523</v>
      </c>
      <c r="BN11" s="816">
        <v>14.451147650000001</v>
      </c>
      <c r="BO11" s="816">
        <v>13.57539006</v>
      </c>
      <c r="BP11" s="816">
        <v>13.19963248</v>
      </c>
      <c r="BQ11" s="816">
        <v>9.9163587</v>
      </c>
      <c r="BR11" s="816">
        <v>6.4982411100000004</v>
      </c>
      <c r="BS11" s="816">
        <v>5.6924837999999998</v>
      </c>
      <c r="BT11" s="816">
        <v>5.8307804700000005</v>
      </c>
      <c r="BU11" s="816">
        <v>4.0889691800000003</v>
      </c>
      <c r="BV11" s="816">
        <v>4.0835534500000001</v>
      </c>
      <c r="BW11" s="816">
        <v>4.0687518599999999</v>
      </c>
      <c r="BX11" s="816">
        <v>4.0631907500000004</v>
      </c>
      <c r="BY11" s="816">
        <v>4.0575554900000004</v>
      </c>
      <c r="BZ11" s="816">
        <v>3.4147770900000003</v>
      </c>
      <c r="CA11" s="816">
        <v>3.4085130000000001</v>
      </c>
      <c r="CB11" s="816">
        <v>10.627164259999999</v>
      </c>
      <c r="CC11" s="816">
        <v>10.554968950000001</v>
      </c>
      <c r="CD11" s="816">
        <v>10.911282139999999</v>
      </c>
      <c r="CE11" s="816">
        <f t="shared" ref="CE11:CP11" si="1">+CE9-CE10</f>
        <v>26.22584015</v>
      </c>
      <c r="CF11" s="816">
        <f t="shared" si="1"/>
        <v>165.63629550000002</v>
      </c>
      <c r="CG11" s="816">
        <f t="shared" si="1"/>
        <v>35.824461579999998</v>
      </c>
      <c r="CH11" s="816">
        <f t="shared" si="1"/>
        <v>43.062833189999999</v>
      </c>
      <c r="CI11" s="816">
        <f t="shared" si="1"/>
        <v>45.989883039999995</v>
      </c>
      <c r="CJ11" s="816">
        <f t="shared" si="1"/>
        <v>42.438705810000002</v>
      </c>
      <c r="CK11" s="816">
        <f t="shared" si="1"/>
        <v>41.324060490000008</v>
      </c>
      <c r="CL11" s="816">
        <f t="shared" si="1"/>
        <v>47.775236360000001</v>
      </c>
      <c r="CM11" s="816">
        <f t="shared" si="1"/>
        <v>51.594207059999995</v>
      </c>
      <c r="CN11" s="816">
        <f t="shared" si="1"/>
        <v>66.601194359999994</v>
      </c>
      <c r="CO11" s="816">
        <f t="shared" si="1"/>
        <v>69.123743109999992</v>
      </c>
      <c r="CP11" s="816">
        <f t="shared" si="1"/>
        <v>75.250761589999996</v>
      </c>
      <c r="CQ11" s="816">
        <f>+CQ9-CQ10</f>
        <v>76.221932819999992</v>
      </c>
      <c r="CR11" s="816">
        <f>+CR9-CR10</f>
        <v>95.982817420000003</v>
      </c>
      <c r="CS11" s="816">
        <f>+CS9-CS10</f>
        <v>100.9654961</v>
      </c>
      <c r="CT11" s="816">
        <v>104.80600579999999</v>
      </c>
      <c r="CU11" s="816">
        <v>243.75187188999999</v>
      </c>
      <c r="CV11" s="816">
        <v>247.95774632000001</v>
      </c>
      <c r="CW11" s="816">
        <v>249.23912799999999</v>
      </c>
      <c r="CX11" s="816">
        <v>252.30897077</v>
      </c>
      <c r="CY11" s="816">
        <v>265.32752973999999</v>
      </c>
      <c r="CZ11" s="816">
        <v>266.33422457</v>
      </c>
      <c r="DA11" s="816">
        <v>265.78165603999997</v>
      </c>
      <c r="DB11" s="816">
        <v>275.40268788999998</v>
      </c>
      <c r="DC11" s="816">
        <v>273.13845358999998</v>
      </c>
      <c r="DD11" s="886">
        <v>270.36666331999999</v>
      </c>
      <c r="DE11" s="886">
        <v>279.93951504</v>
      </c>
      <c r="DF11" s="886">
        <v>276.66269678999998</v>
      </c>
      <c r="DG11" s="839">
        <v>275.02338974000003</v>
      </c>
      <c r="DH11" s="839">
        <v>268.45311521999997</v>
      </c>
      <c r="DI11" s="839">
        <v>274.00583617000001</v>
      </c>
      <c r="DJ11" s="839">
        <v>276.43745202999997</v>
      </c>
      <c r="DK11" s="839">
        <v>282.40821255999998</v>
      </c>
      <c r="DL11" s="839">
        <v>289.24492780999998</v>
      </c>
      <c r="DM11" s="839">
        <v>283.53300524000002</v>
      </c>
      <c r="DN11" s="839">
        <v>282.77153706000001</v>
      </c>
      <c r="DO11" s="839">
        <v>283.01895357000001</v>
      </c>
      <c r="DP11" s="839">
        <v>263.07961186</v>
      </c>
      <c r="DQ11" s="839">
        <v>261.26516622999998</v>
      </c>
      <c r="DR11" s="839">
        <v>261.50346846999997</v>
      </c>
      <c r="DS11" s="839">
        <v>259.71133880999997</v>
      </c>
      <c r="DT11" s="839">
        <v>257.22117804999999</v>
      </c>
      <c r="DU11" s="839">
        <v>265.60792450000002</v>
      </c>
      <c r="DV11" s="839">
        <v>282.31186286000002</v>
      </c>
      <c r="DW11" s="839">
        <v>281.33964673000003</v>
      </c>
      <c r="DX11" s="839">
        <v>276.86807190000002</v>
      </c>
      <c r="DY11" s="839">
        <v>275.17071999000001</v>
      </c>
      <c r="DZ11" s="839">
        <v>275.12530187999999</v>
      </c>
      <c r="EA11" s="839">
        <v>272.92844172999997</v>
      </c>
      <c r="EB11" s="839">
        <v>270.38717330999998</v>
      </c>
      <c r="EC11" s="839">
        <v>268.00238601000001</v>
      </c>
      <c r="ED11" s="839">
        <v>264.80877253</v>
      </c>
      <c r="EE11" s="839">
        <v>260.53925977</v>
      </c>
      <c r="EF11" s="839">
        <v>253.81463543000001</v>
      </c>
      <c r="EG11" s="839">
        <v>254.25884472999999</v>
      </c>
      <c r="EH11" s="839">
        <v>252.17487677</v>
      </c>
      <c r="EI11" s="839">
        <v>243.46622103999999</v>
      </c>
      <c r="EJ11" s="839">
        <v>259.92521068000002</v>
      </c>
      <c r="EK11" s="839">
        <v>259.27249302000001</v>
      </c>
      <c r="EL11" s="839">
        <v>259.97930203999999</v>
      </c>
      <c r="EM11" s="839">
        <v>85.440217509999997</v>
      </c>
      <c r="EN11" s="839">
        <v>83.650722979999998</v>
      </c>
      <c r="EO11" s="839">
        <v>86.62772124</v>
      </c>
      <c r="EP11" s="839">
        <v>85.364733799999996</v>
      </c>
      <c r="EQ11" s="839">
        <v>83.789255249999997</v>
      </c>
      <c r="ER11" s="839">
        <v>83.271706800000004</v>
      </c>
      <c r="ES11" s="839">
        <v>83.152385190000004</v>
      </c>
      <c r="ET11" s="839">
        <v>82.545323949999997</v>
      </c>
      <c r="EU11" s="839">
        <v>79.605023340000002</v>
      </c>
      <c r="EV11" s="839">
        <v>44.20399433</v>
      </c>
      <c r="EW11" s="839">
        <v>43.698168099999997</v>
      </c>
      <c r="EX11" s="839">
        <v>44.712523959999999</v>
      </c>
      <c r="EY11" s="839">
        <v>26.174782870000001</v>
      </c>
      <c r="EZ11" s="839">
        <v>24.803810160000001</v>
      </c>
      <c r="FA11" s="839">
        <v>28.2885445</v>
      </c>
      <c r="FB11" s="839">
        <v>27.51416592</v>
      </c>
      <c r="FC11" s="839">
        <v>44.023932039999998</v>
      </c>
      <c r="FD11" s="839">
        <v>43.931414310000001</v>
      </c>
      <c r="FE11" s="839">
        <v>44.564407469999999</v>
      </c>
      <c r="FF11" s="839">
        <v>45.43849135</v>
      </c>
      <c r="FG11" s="839">
        <v>45.062412170000002</v>
      </c>
      <c r="FH11" s="1712" t="s">
        <v>4066</v>
      </c>
      <c r="FM11" s="321"/>
    </row>
    <row r="12" spans="1:302" ht="21">
      <c r="A12" s="1721"/>
      <c r="B12" s="783"/>
      <c r="C12" s="783"/>
      <c r="D12" s="783"/>
      <c r="E12" s="783"/>
      <c r="F12" s="783"/>
      <c r="G12" s="783"/>
      <c r="H12" s="783"/>
      <c r="I12" s="783"/>
      <c r="J12" s="783"/>
      <c r="K12" s="783"/>
      <c r="L12" s="783"/>
      <c r="M12" s="784"/>
      <c r="N12" s="784"/>
      <c r="O12" s="784"/>
      <c r="P12" s="784"/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84"/>
      <c r="AF12" s="784"/>
      <c r="AG12" s="784"/>
      <c r="AH12" s="784"/>
      <c r="AI12" s="784"/>
      <c r="AJ12" s="784"/>
      <c r="AK12" s="784"/>
      <c r="AL12" s="784"/>
      <c r="AM12" s="784"/>
      <c r="AN12" s="784"/>
      <c r="AO12" s="784"/>
      <c r="AP12" s="784"/>
      <c r="AQ12" s="784"/>
      <c r="AR12" s="784"/>
      <c r="AS12" s="784"/>
      <c r="AT12" s="784"/>
      <c r="AU12" s="784"/>
      <c r="AV12" s="784"/>
      <c r="AW12" s="784"/>
      <c r="AX12" s="784"/>
      <c r="AY12" s="784"/>
      <c r="AZ12" s="784"/>
      <c r="BA12" s="784"/>
      <c r="BB12" s="784"/>
      <c r="BC12" s="784"/>
      <c r="BD12" s="784"/>
      <c r="BE12" s="784"/>
      <c r="BF12" s="784"/>
      <c r="BG12" s="784"/>
      <c r="BH12" s="827"/>
      <c r="BI12" s="816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6"/>
      <c r="CN12" s="816"/>
      <c r="CO12" s="816"/>
      <c r="CP12" s="816"/>
      <c r="CQ12" s="816"/>
      <c r="CR12" s="816"/>
      <c r="CS12" s="816"/>
      <c r="CT12" s="816"/>
      <c r="CU12" s="816"/>
      <c r="CV12" s="816"/>
      <c r="CW12" s="816"/>
      <c r="CX12" s="816"/>
      <c r="CY12" s="816"/>
      <c r="CZ12" s="816"/>
      <c r="DA12" s="816"/>
      <c r="DB12" s="816"/>
      <c r="DC12" s="816"/>
      <c r="DD12" s="886"/>
      <c r="DE12" s="886"/>
      <c r="DF12" s="886"/>
      <c r="DG12" s="839"/>
      <c r="DH12" s="839"/>
      <c r="DI12" s="839"/>
      <c r="DJ12" s="839"/>
      <c r="DK12" s="839"/>
      <c r="DL12" s="839"/>
      <c r="DM12" s="839"/>
      <c r="DN12" s="839"/>
      <c r="DO12" s="839"/>
      <c r="DP12" s="839"/>
      <c r="DQ12" s="839"/>
      <c r="DR12" s="839"/>
      <c r="DS12" s="839"/>
      <c r="DT12" s="839"/>
      <c r="DU12" s="839"/>
      <c r="DV12" s="839"/>
      <c r="DW12" s="839"/>
      <c r="DX12" s="839"/>
      <c r="DY12" s="839"/>
      <c r="DZ12" s="839"/>
      <c r="EA12" s="839"/>
      <c r="EB12" s="839"/>
      <c r="EC12" s="839"/>
      <c r="ED12" s="839"/>
      <c r="EE12" s="839"/>
      <c r="EF12" s="839"/>
      <c r="EG12" s="839"/>
      <c r="EH12" s="839"/>
      <c r="EI12" s="839"/>
      <c r="EJ12" s="839"/>
      <c r="EK12" s="839"/>
      <c r="EL12" s="839"/>
      <c r="EM12" s="839"/>
      <c r="EN12" s="839"/>
      <c r="EO12" s="839"/>
      <c r="EP12" s="839"/>
      <c r="EQ12" s="839"/>
      <c r="ER12" s="839"/>
      <c r="ES12" s="839"/>
      <c r="ET12" s="839"/>
      <c r="EU12" s="839"/>
      <c r="EV12" s="839"/>
      <c r="EW12" s="839"/>
      <c r="EX12" s="839"/>
      <c r="EY12" s="839"/>
      <c r="EZ12" s="839"/>
      <c r="FA12" s="839"/>
      <c r="FB12" s="839"/>
      <c r="FC12" s="839"/>
      <c r="FD12" s="839"/>
      <c r="FE12" s="839"/>
      <c r="FF12" s="839"/>
      <c r="FG12" s="839"/>
      <c r="FH12" s="1711"/>
      <c r="FM12" s="321"/>
    </row>
    <row r="13" spans="1:302" ht="21">
      <c r="A13" s="1722" t="s">
        <v>2741</v>
      </c>
      <c r="B13" s="780">
        <v>0.71924679999999996</v>
      </c>
      <c r="C13" s="780">
        <v>3.3257617499999999</v>
      </c>
      <c r="D13" s="780">
        <v>3.1663374599999998</v>
      </c>
      <c r="E13" s="780">
        <v>3.08069361</v>
      </c>
      <c r="F13" s="780">
        <v>3.0398728500000001</v>
      </c>
      <c r="G13" s="780">
        <v>2.9984903100000002</v>
      </c>
      <c r="H13" s="780">
        <v>2.9565737400000005</v>
      </c>
      <c r="I13" s="780">
        <v>2.8748607900000001</v>
      </c>
      <c r="J13" s="780">
        <v>2.7822050099999998</v>
      </c>
      <c r="K13" s="780">
        <v>2.7543022000000001</v>
      </c>
      <c r="L13" s="780">
        <v>2.7542897000000002</v>
      </c>
      <c r="M13" s="781">
        <v>2.6973755000000001</v>
      </c>
      <c r="N13" s="781">
        <v>2.6973379999999998</v>
      </c>
      <c r="O13" s="781">
        <v>2.7603630000000003</v>
      </c>
      <c r="P13" s="781">
        <v>2.7603505000000004</v>
      </c>
      <c r="Q13" s="781">
        <v>2.7603505000000004</v>
      </c>
      <c r="R13" s="781">
        <v>2.8056975000000004</v>
      </c>
      <c r="S13" s="781">
        <v>2.7679602799999996</v>
      </c>
      <c r="T13" s="781">
        <v>2.5448661900000005</v>
      </c>
      <c r="U13" s="781">
        <v>2.9322027899999998</v>
      </c>
      <c r="V13" s="781">
        <v>3.7422552900000001</v>
      </c>
      <c r="W13" s="781">
        <v>4.4065872299999995</v>
      </c>
      <c r="X13" s="781">
        <v>4.7866376800000001</v>
      </c>
      <c r="Y13" s="781">
        <v>5.00299491</v>
      </c>
      <c r="Z13" s="781">
        <v>5.0037725799999997</v>
      </c>
      <c r="AA13" s="781">
        <v>5.6717204199999998</v>
      </c>
      <c r="AB13" s="781">
        <v>5.6783570399999999</v>
      </c>
      <c r="AC13" s="781">
        <v>5.6940404400000002</v>
      </c>
      <c r="AD13" s="781">
        <v>5.7065762800000002</v>
      </c>
      <c r="AE13" s="781">
        <v>4.70644638</v>
      </c>
      <c r="AF13" s="781">
        <v>4.7108481700000002</v>
      </c>
      <c r="AG13" s="781">
        <v>4.9477580699999999</v>
      </c>
      <c r="AH13" s="781">
        <v>3.9207857599999998</v>
      </c>
      <c r="AI13" s="781">
        <v>3.9145460000000001</v>
      </c>
      <c r="AJ13" s="781">
        <v>3.89771767</v>
      </c>
      <c r="AK13" s="781">
        <v>4.6234668399999999</v>
      </c>
      <c r="AL13" s="781">
        <v>2.1435756800000001</v>
      </c>
      <c r="AM13" s="781">
        <v>2.0958947000000001</v>
      </c>
      <c r="AN13" s="781">
        <v>2.1495100000000003E-3</v>
      </c>
      <c r="AO13" s="781">
        <v>2.1495100000000003E-3</v>
      </c>
      <c r="AP13" s="781">
        <v>1.5647899999999999E-3</v>
      </c>
      <c r="AQ13" s="781">
        <v>1.5647899999999999E-3</v>
      </c>
      <c r="AR13" s="781">
        <v>1.26399E-3</v>
      </c>
      <c r="AS13" s="781">
        <v>6.4259000000000007E-4</v>
      </c>
      <c r="AT13" s="781">
        <v>6.4259000000000007E-4</v>
      </c>
      <c r="AU13" s="781">
        <v>0</v>
      </c>
      <c r="AV13" s="781">
        <v>0</v>
      </c>
      <c r="AW13" s="781">
        <v>0</v>
      </c>
      <c r="AX13" s="781">
        <v>0</v>
      </c>
      <c r="AY13" s="781">
        <v>0</v>
      </c>
      <c r="AZ13" s="781">
        <v>0</v>
      </c>
      <c r="BA13" s="781">
        <v>0</v>
      </c>
      <c r="BB13" s="781">
        <v>0</v>
      </c>
      <c r="BC13" s="781">
        <v>0</v>
      </c>
      <c r="BD13" s="781">
        <v>0</v>
      </c>
      <c r="BE13" s="781">
        <v>0</v>
      </c>
      <c r="BF13" s="781">
        <v>0</v>
      </c>
      <c r="BG13" s="781">
        <v>0</v>
      </c>
      <c r="BH13" s="826">
        <v>0</v>
      </c>
      <c r="BI13" s="815">
        <v>0</v>
      </c>
      <c r="BJ13" s="815">
        <v>0</v>
      </c>
      <c r="BK13" s="815">
        <v>0</v>
      </c>
      <c r="BL13" s="815">
        <v>3.4</v>
      </c>
      <c r="BM13" s="815">
        <v>3.4</v>
      </c>
      <c r="BN13" s="815">
        <v>3.4</v>
      </c>
      <c r="BO13" s="815">
        <v>3.4</v>
      </c>
      <c r="BP13" s="815">
        <v>3.4</v>
      </c>
      <c r="BQ13" s="815">
        <v>2.9750000000000001</v>
      </c>
      <c r="BR13" s="815">
        <v>2.9750000000000001</v>
      </c>
      <c r="BS13" s="815">
        <v>2.9750000000000001</v>
      </c>
      <c r="BT13" s="815">
        <v>2.9750000000000001</v>
      </c>
      <c r="BU13" s="815">
        <v>2.9750000000000001</v>
      </c>
      <c r="BV13" s="815">
        <v>2.9750000000000001</v>
      </c>
      <c r="BW13" s="815">
        <v>2.9750000000000001</v>
      </c>
      <c r="BX13" s="815">
        <v>2.9750000000000001</v>
      </c>
      <c r="BY13" s="815">
        <v>2.9750000000000001</v>
      </c>
      <c r="BZ13" s="815">
        <v>2.9750000000000001</v>
      </c>
      <c r="CA13" s="815">
        <v>2.9750000000000001</v>
      </c>
      <c r="CB13" s="815">
        <v>2.9750000000000001</v>
      </c>
      <c r="CC13" s="815">
        <v>2.9750000000000001</v>
      </c>
      <c r="CD13" s="815">
        <v>2.9750000000000001</v>
      </c>
      <c r="CE13" s="815">
        <v>3.145</v>
      </c>
      <c r="CF13" s="815">
        <v>3.3149999999999999</v>
      </c>
      <c r="CG13" s="815">
        <v>3.3149999999999999</v>
      </c>
      <c r="CH13" s="815">
        <v>3.3149999999999999</v>
      </c>
      <c r="CI13" s="815">
        <v>3.3510149999999999</v>
      </c>
      <c r="CJ13" s="815">
        <v>3.4849999999999999</v>
      </c>
      <c r="CK13" s="815">
        <v>3.6209988100000001</v>
      </c>
      <c r="CL13" s="815">
        <v>3.90305233</v>
      </c>
      <c r="CM13" s="815">
        <v>3.91807317</v>
      </c>
      <c r="CN13" s="815">
        <v>3.9283878200000002</v>
      </c>
      <c r="CO13" s="815">
        <v>3.9468023099999998</v>
      </c>
      <c r="CP13" s="815">
        <v>6.5682484999999993</v>
      </c>
      <c r="CQ13" s="815">
        <v>9.36269347</v>
      </c>
      <c r="CR13" s="815">
        <v>16.961453479999999</v>
      </c>
      <c r="CS13" s="815">
        <v>16.630232190000001</v>
      </c>
      <c r="CT13" s="815">
        <v>15.83908175</v>
      </c>
      <c r="CU13" s="815">
        <v>14.61538648</v>
      </c>
      <c r="CV13" s="815">
        <v>14.209023869999999</v>
      </c>
      <c r="CW13" s="815">
        <v>12.34617873</v>
      </c>
      <c r="CX13" s="815">
        <v>11.57953597</v>
      </c>
      <c r="CY13" s="815">
        <v>11.820621279999999</v>
      </c>
      <c r="CZ13" s="815">
        <v>13.051994410000001</v>
      </c>
      <c r="DA13" s="815">
        <v>14.430100080000001</v>
      </c>
      <c r="DB13" s="815">
        <v>15.21314971</v>
      </c>
      <c r="DC13" s="815">
        <v>14.725355049999999</v>
      </c>
      <c r="DD13" s="885">
        <v>13.449618470000001</v>
      </c>
      <c r="DE13" s="885">
        <v>13.49137487</v>
      </c>
      <c r="DF13" s="885">
        <v>13.693136109999999</v>
      </c>
      <c r="DG13" s="838">
        <v>13.2541612</v>
      </c>
      <c r="DH13" s="838">
        <v>8.3835420900000006</v>
      </c>
      <c r="DI13" s="838">
        <v>10.29822912</v>
      </c>
      <c r="DJ13" s="838">
        <v>10.11127774</v>
      </c>
      <c r="DK13" s="838">
        <v>10.43964443</v>
      </c>
      <c r="DL13" s="838">
        <v>18.530975040000001</v>
      </c>
      <c r="DM13" s="838">
        <v>13.16586676</v>
      </c>
      <c r="DN13" s="838">
        <v>13.283064639999999</v>
      </c>
      <c r="DO13" s="838">
        <v>13.595074609999999</v>
      </c>
      <c r="DP13" s="838">
        <v>13.596465650000001</v>
      </c>
      <c r="DQ13" s="838">
        <v>10.45711551</v>
      </c>
      <c r="DR13" s="838">
        <v>9.5560258699999991</v>
      </c>
      <c r="DS13" s="838">
        <v>8.7300143600000002</v>
      </c>
      <c r="DT13" s="838">
        <v>7.7894355800000001</v>
      </c>
      <c r="DU13" s="838">
        <v>16.220745340000001</v>
      </c>
      <c r="DV13" s="838">
        <v>16.626281630000001</v>
      </c>
      <c r="DW13" s="838">
        <v>17.317262360000001</v>
      </c>
      <c r="DX13" s="838">
        <v>15.71157923</v>
      </c>
      <c r="DY13" s="838">
        <v>15.202089559999999</v>
      </c>
      <c r="DZ13" s="838">
        <v>14.979586599999999</v>
      </c>
      <c r="EA13" s="838">
        <v>13.82867304</v>
      </c>
      <c r="EB13" s="838">
        <v>12.5698259</v>
      </c>
      <c r="EC13" s="838">
        <v>11.238747679999999</v>
      </c>
      <c r="ED13" s="838">
        <v>9.8295236100000007</v>
      </c>
      <c r="EE13" s="838">
        <v>8.4128692100000002</v>
      </c>
      <c r="EF13" s="838">
        <v>3.4863865999999999</v>
      </c>
      <c r="EG13" s="838">
        <v>2.4028964300000002</v>
      </c>
      <c r="EH13" s="838">
        <v>1.22103469</v>
      </c>
      <c r="EI13" s="838">
        <v>2.77270328</v>
      </c>
      <c r="EJ13" s="838">
        <v>5.3975254100000001</v>
      </c>
      <c r="EK13" s="838">
        <v>6.4213099500000004</v>
      </c>
      <c r="EL13" s="838">
        <v>7.1522106499999998</v>
      </c>
      <c r="EM13" s="838">
        <v>7.0905498199999997</v>
      </c>
      <c r="EN13" s="838">
        <v>6.5991249300000003</v>
      </c>
      <c r="EO13" s="838">
        <v>6.8954811200000004</v>
      </c>
      <c r="EP13" s="838">
        <v>6.6674565299999999</v>
      </c>
      <c r="EQ13" s="838">
        <v>6.3359490000000003</v>
      </c>
      <c r="ER13" s="838">
        <v>6.1833278600000003</v>
      </c>
      <c r="ES13" s="838">
        <v>6.11791661</v>
      </c>
      <c r="ET13" s="838">
        <v>6.8617808800000004</v>
      </c>
      <c r="EU13" s="838">
        <v>5.20815698</v>
      </c>
      <c r="EV13" s="838">
        <v>5.05637399</v>
      </c>
      <c r="EW13" s="838">
        <v>3.8502446799999999</v>
      </c>
      <c r="EX13" s="838">
        <v>4.5041087600000003</v>
      </c>
      <c r="EY13" s="838">
        <v>4.5228568500000002</v>
      </c>
      <c r="EZ13" s="838">
        <v>4.4265805800000004</v>
      </c>
      <c r="FA13" s="838">
        <v>5.2988418499999996</v>
      </c>
      <c r="FB13" s="838">
        <v>5.33459503</v>
      </c>
      <c r="FC13" s="838">
        <v>4.5667498100000001</v>
      </c>
      <c r="FD13" s="838">
        <v>5.5529705399999996</v>
      </c>
      <c r="FE13" s="838">
        <v>8.3658751999999996</v>
      </c>
      <c r="FF13" s="838">
        <v>10.0203515</v>
      </c>
      <c r="FG13" s="838">
        <v>11.12259212</v>
      </c>
      <c r="FH13" s="1710" t="s">
        <v>4064</v>
      </c>
      <c r="FM13" s="321"/>
    </row>
    <row r="14" spans="1:302" ht="21">
      <c r="A14" s="1723" t="s">
        <v>1961</v>
      </c>
      <c r="B14" s="783">
        <v>0</v>
      </c>
      <c r="C14" s="783">
        <v>0</v>
      </c>
      <c r="D14" s="783">
        <v>0</v>
      </c>
      <c r="E14" s="783">
        <v>0</v>
      </c>
      <c r="F14" s="783">
        <v>0</v>
      </c>
      <c r="G14" s="783">
        <v>0</v>
      </c>
      <c r="H14" s="783">
        <v>0</v>
      </c>
      <c r="I14" s="783">
        <v>0</v>
      </c>
      <c r="J14" s="783">
        <v>0</v>
      </c>
      <c r="K14" s="783">
        <v>0</v>
      </c>
      <c r="L14" s="783">
        <v>0</v>
      </c>
      <c r="M14" s="784">
        <v>0</v>
      </c>
      <c r="N14" s="784">
        <v>0</v>
      </c>
      <c r="O14" s="784">
        <v>0</v>
      </c>
      <c r="P14" s="784">
        <v>0</v>
      </c>
      <c r="Q14" s="784">
        <v>0</v>
      </c>
      <c r="R14" s="784">
        <v>0</v>
      </c>
      <c r="S14" s="784">
        <v>0</v>
      </c>
      <c r="T14" s="784">
        <v>0</v>
      </c>
      <c r="U14" s="784">
        <v>0</v>
      </c>
      <c r="V14" s="784">
        <v>0</v>
      </c>
      <c r="W14" s="784">
        <v>0</v>
      </c>
      <c r="X14" s="784">
        <v>0</v>
      </c>
      <c r="Y14" s="784">
        <v>0</v>
      </c>
      <c r="Z14" s="784">
        <v>0</v>
      </c>
      <c r="AA14" s="784">
        <v>0</v>
      </c>
      <c r="AB14" s="784">
        <v>0</v>
      </c>
      <c r="AC14" s="784">
        <v>0</v>
      </c>
      <c r="AD14" s="784">
        <v>0</v>
      </c>
      <c r="AE14" s="784">
        <v>0</v>
      </c>
      <c r="AF14" s="784">
        <v>0</v>
      </c>
      <c r="AG14" s="784">
        <v>0</v>
      </c>
      <c r="AH14" s="784">
        <v>0</v>
      </c>
      <c r="AI14" s="784">
        <v>0</v>
      </c>
      <c r="AJ14" s="784">
        <v>0</v>
      </c>
      <c r="AK14" s="784">
        <v>0</v>
      </c>
      <c r="AL14" s="784">
        <v>0</v>
      </c>
      <c r="AM14" s="784">
        <v>0</v>
      </c>
      <c r="AN14" s="784">
        <v>0</v>
      </c>
      <c r="AO14" s="784">
        <v>0</v>
      </c>
      <c r="AP14" s="784">
        <v>0</v>
      </c>
      <c r="AQ14" s="784">
        <v>0</v>
      </c>
      <c r="AR14" s="784">
        <v>0</v>
      </c>
      <c r="AS14" s="784">
        <v>0</v>
      </c>
      <c r="AT14" s="784">
        <v>0</v>
      </c>
      <c r="AU14" s="784">
        <v>0</v>
      </c>
      <c r="AV14" s="784">
        <v>0</v>
      </c>
      <c r="AW14" s="784">
        <v>0</v>
      </c>
      <c r="AX14" s="784">
        <v>0</v>
      </c>
      <c r="AY14" s="784">
        <v>0</v>
      </c>
      <c r="AZ14" s="784">
        <v>0</v>
      </c>
      <c r="BA14" s="784">
        <v>0</v>
      </c>
      <c r="BB14" s="784">
        <v>0</v>
      </c>
      <c r="BC14" s="784">
        <v>0</v>
      </c>
      <c r="BD14" s="784">
        <v>0</v>
      </c>
      <c r="BE14" s="784">
        <v>0</v>
      </c>
      <c r="BF14" s="784">
        <v>0</v>
      </c>
      <c r="BG14" s="784">
        <v>0</v>
      </c>
      <c r="BH14" s="827">
        <v>0</v>
      </c>
      <c r="BI14" s="816">
        <v>0</v>
      </c>
      <c r="BJ14" s="816">
        <v>0</v>
      </c>
      <c r="BK14" s="816">
        <v>0</v>
      </c>
      <c r="BL14" s="816">
        <v>0</v>
      </c>
      <c r="BM14" s="816">
        <v>0</v>
      </c>
      <c r="BN14" s="816">
        <v>0</v>
      </c>
      <c r="BO14" s="816">
        <v>0</v>
      </c>
      <c r="BP14" s="816">
        <v>0</v>
      </c>
      <c r="BQ14" s="816">
        <v>0</v>
      </c>
      <c r="BR14" s="816">
        <v>0</v>
      </c>
      <c r="BS14" s="816">
        <v>0</v>
      </c>
      <c r="BT14" s="816">
        <v>0</v>
      </c>
      <c r="BU14" s="816">
        <v>0</v>
      </c>
      <c r="BV14" s="816">
        <v>0</v>
      </c>
      <c r="BW14" s="816">
        <v>0</v>
      </c>
      <c r="BX14" s="816">
        <v>0</v>
      </c>
      <c r="BY14" s="816">
        <v>0</v>
      </c>
      <c r="BZ14" s="816">
        <v>0</v>
      </c>
      <c r="CA14" s="816">
        <v>0</v>
      </c>
      <c r="CB14" s="816">
        <v>0</v>
      </c>
      <c r="CC14" s="816">
        <v>0</v>
      </c>
      <c r="CD14" s="816">
        <v>0</v>
      </c>
      <c r="CE14" s="816">
        <v>0</v>
      </c>
      <c r="CF14" s="816">
        <v>0</v>
      </c>
      <c r="CG14" s="816">
        <v>0</v>
      </c>
      <c r="CH14" s="816">
        <v>0</v>
      </c>
      <c r="CI14" s="816">
        <v>0</v>
      </c>
      <c r="CJ14" s="816">
        <v>0</v>
      </c>
      <c r="CK14" s="816">
        <v>0</v>
      </c>
      <c r="CL14" s="816">
        <v>0</v>
      </c>
      <c r="CM14" s="816">
        <v>0</v>
      </c>
      <c r="CN14" s="816">
        <v>0</v>
      </c>
      <c r="CO14" s="816">
        <v>0</v>
      </c>
      <c r="CP14" s="816">
        <v>0</v>
      </c>
      <c r="CQ14" s="816">
        <v>0</v>
      </c>
      <c r="CR14" s="816">
        <v>0</v>
      </c>
      <c r="CS14" s="816">
        <v>0</v>
      </c>
      <c r="CT14" s="816">
        <v>0</v>
      </c>
      <c r="CU14" s="816">
        <v>0</v>
      </c>
      <c r="CV14" s="816">
        <v>0</v>
      </c>
      <c r="CW14" s="816">
        <v>0</v>
      </c>
      <c r="CX14" s="816">
        <v>0</v>
      </c>
      <c r="CY14" s="816">
        <v>0</v>
      </c>
      <c r="CZ14" s="816">
        <v>0</v>
      </c>
      <c r="DA14" s="816">
        <v>0</v>
      </c>
      <c r="DB14" s="816">
        <v>0</v>
      </c>
      <c r="DC14" s="816">
        <v>0</v>
      </c>
      <c r="DD14" s="886">
        <v>0</v>
      </c>
      <c r="DE14" s="886">
        <v>0</v>
      </c>
      <c r="DF14" s="886">
        <v>0</v>
      </c>
      <c r="DG14" s="839">
        <v>0</v>
      </c>
      <c r="DH14" s="839">
        <v>0</v>
      </c>
      <c r="DI14" s="839">
        <v>0</v>
      </c>
      <c r="DJ14" s="839">
        <v>0</v>
      </c>
      <c r="DK14" s="839">
        <v>0</v>
      </c>
      <c r="DL14" s="839">
        <v>0</v>
      </c>
      <c r="DM14" s="839">
        <v>0</v>
      </c>
      <c r="DN14" s="839">
        <v>0</v>
      </c>
      <c r="DO14" s="839">
        <v>0</v>
      </c>
      <c r="DP14" s="839">
        <v>0</v>
      </c>
      <c r="DQ14" s="839">
        <v>0</v>
      </c>
      <c r="DR14" s="839">
        <v>0</v>
      </c>
      <c r="DS14" s="839">
        <v>0</v>
      </c>
      <c r="DT14" s="839">
        <v>0</v>
      </c>
      <c r="DU14" s="839">
        <v>0</v>
      </c>
      <c r="DV14" s="839">
        <v>0</v>
      </c>
      <c r="DW14" s="839">
        <v>0</v>
      </c>
      <c r="DX14" s="839">
        <v>0</v>
      </c>
      <c r="DY14" s="839">
        <v>0</v>
      </c>
      <c r="DZ14" s="839">
        <v>0</v>
      </c>
      <c r="EA14" s="839">
        <v>0</v>
      </c>
      <c r="EB14" s="839">
        <v>0</v>
      </c>
      <c r="EC14" s="839">
        <v>0</v>
      </c>
      <c r="ED14" s="839">
        <v>0</v>
      </c>
      <c r="EE14" s="839">
        <v>0</v>
      </c>
      <c r="EF14" s="839">
        <v>0</v>
      </c>
      <c r="EG14" s="839">
        <v>0</v>
      </c>
      <c r="EH14" s="839">
        <v>0</v>
      </c>
      <c r="EI14" s="839">
        <v>0</v>
      </c>
      <c r="EJ14" s="839">
        <v>0</v>
      </c>
      <c r="EK14" s="839">
        <v>0</v>
      </c>
      <c r="EL14" s="839">
        <v>0</v>
      </c>
      <c r="EM14" s="839">
        <v>0</v>
      </c>
      <c r="EN14" s="839">
        <v>0</v>
      </c>
      <c r="EO14" s="839">
        <v>0</v>
      </c>
      <c r="EP14" s="839">
        <v>0</v>
      </c>
      <c r="EQ14" s="839">
        <v>0</v>
      </c>
      <c r="ER14" s="839">
        <v>0</v>
      </c>
      <c r="ES14" s="839">
        <v>0</v>
      </c>
      <c r="ET14" s="839">
        <v>0</v>
      </c>
      <c r="EU14" s="839">
        <v>0</v>
      </c>
      <c r="EV14" s="839">
        <v>0</v>
      </c>
      <c r="EW14" s="839">
        <v>0</v>
      </c>
      <c r="EX14" s="839">
        <v>0</v>
      </c>
      <c r="EY14" s="839">
        <v>0</v>
      </c>
      <c r="EZ14" s="839">
        <v>0</v>
      </c>
      <c r="FA14" s="839">
        <v>0</v>
      </c>
      <c r="FB14" s="839">
        <v>0</v>
      </c>
      <c r="FC14" s="839">
        <v>0</v>
      </c>
      <c r="FD14" s="839">
        <v>0</v>
      </c>
      <c r="FE14" s="839">
        <v>0</v>
      </c>
      <c r="FF14" s="839">
        <v>0</v>
      </c>
      <c r="FG14" s="839">
        <v>0</v>
      </c>
      <c r="FH14" s="1712" t="s">
        <v>4067</v>
      </c>
      <c r="FM14" s="321"/>
    </row>
    <row r="15" spans="1:302" ht="21">
      <c r="A15" s="1723" t="s">
        <v>1962</v>
      </c>
      <c r="B15" s="783">
        <f>+B13-B14</f>
        <v>0.71924679999999996</v>
      </c>
      <c r="C15" s="783">
        <f t="shared" ref="C15:V15" si="2">+C13-C14</f>
        <v>3.3257617499999999</v>
      </c>
      <c r="D15" s="783">
        <f t="shared" si="2"/>
        <v>3.1663374599999998</v>
      </c>
      <c r="E15" s="783">
        <f t="shared" si="2"/>
        <v>3.08069361</v>
      </c>
      <c r="F15" s="783">
        <f t="shared" si="2"/>
        <v>3.0398728500000001</v>
      </c>
      <c r="G15" s="783">
        <f t="shared" si="2"/>
        <v>2.9984903100000002</v>
      </c>
      <c r="H15" s="783">
        <f t="shared" si="2"/>
        <v>2.9565737400000005</v>
      </c>
      <c r="I15" s="783">
        <f t="shared" si="2"/>
        <v>2.8748607900000001</v>
      </c>
      <c r="J15" s="783">
        <f t="shared" si="2"/>
        <v>2.7822050099999998</v>
      </c>
      <c r="K15" s="783">
        <f t="shared" si="2"/>
        <v>2.7543022000000001</v>
      </c>
      <c r="L15" s="783">
        <f t="shared" si="2"/>
        <v>2.7542897000000002</v>
      </c>
      <c r="M15" s="784">
        <f t="shared" si="2"/>
        <v>2.6973755000000001</v>
      </c>
      <c r="N15" s="784">
        <f t="shared" si="2"/>
        <v>2.6973379999999998</v>
      </c>
      <c r="O15" s="784">
        <f t="shared" si="2"/>
        <v>2.7603630000000003</v>
      </c>
      <c r="P15" s="784">
        <f t="shared" si="2"/>
        <v>2.7603505000000004</v>
      </c>
      <c r="Q15" s="784">
        <f t="shared" si="2"/>
        <v>2.7603505000000004</v>
      </c>
      <c r="R15" s="784">
        <f t="shared" si="2"/>
        <v>2.8056975000000004</v>
      </c>
      <c r="S15" s="784">
        <f t="shared" si="2"/>
        <v>2.7679602799999996</v>
      </c>
      <c r="T15" s="784">
        <f t="shared" si="2"/>
        <v>2.5448661900000005</v>
      </c>
      <c r="U15" s="784">
        <f t="shared" si="2"/>
        <v>2.9322027899999998</v>
      </c>
      <c r="V15" s="784">
        <f t="shared" si="2"/>
        <v>3.7422552900000001</v>
      </c>
      <c r="W15" s="784">
        <v>4.4065872299999995</v>
      </c>
      <c r="X15" s="784">
        <v>4.7866376800000001</v>
      </c>
      <c r="Y15" s="784">
        <v>5.00299491</v>
      </c>
      <c r="Z15" s="784">
        <v>5.0037725799999997</v>
      </c>
      <c r="AA15" s="784">
        <v>5.6717204199999998</v>
      </c>
      <c r="AB15" s="784">
        <v>5.6783570399999999</v>
      </c>
      <c r="AC15" s="784">
        <v>5.6940404400000002</v>
      </c>
      <c r="AD15" s="784">
        <v>5.7065762800000002</v>
      </c>
      <c r="AE15" s="784">
        <v>4.70644638</v>
      </c>
      <c r="AF15" s="784">
        <v>4.7108481700000002</v>
      </c>
      <c r="AG15" s="784">
        <v>4.9477580699999999</v>
      </c>
      <c r="AH15" s="784">
        <f>+AH13-AH14</f>
        <v>3.9207857599999998</v>
      </c>
      <c r="AI15" s="784">
        <v>3.9145460000000001</v>
      </c>
      <c r="AJ15" s="784">
        <f>+AJ13-AJ14</f>
        <v>3.89771767</v>
      </c>
      <c r="AK15" s="784">
        <f>+AK13-AK14</f>
        <v>4.6234668399999999</v>
      </c>
      <c r="AL15" s="784">
        <v>2.1435756800000001</v>
      </c>
      <c r="AM15" s="784">
        <f>+AM13-AM14</f>
        <v>2.0958947000000001</v>
      </c>
      <c r="AN15" s="784">
        <f>+AN13-AN14</f>
        <v>2.1495100000000003E-3</v>
      </c>
      <c r="AO15" s="784">
        <f>+AO13-AO14</f>
        <v>2.1495100000000003E-3</v>
      </c>
      <c r="AP15" s="784">
        <f>+AP13-AP14</f>
        <v>1.5647899999999999E-3</v>
      </c>
      <c r="AQ15" s="784">
        <v>1.5647899999999999E-3</v>
      </c>
      <c r="AR15" s="784">
        <f>+AR13-AR14</f>
        <v>1.26399E-3</v>
      </c>
      <c r="AS15" s="784">
        <f>+AS13-AS14</f>
        <v>6.4259000000000007E-4</v>
      </c>
      <c r="AT15" s="784">
        <f>+AT13-AT14</f>
        <v>6.4259000000000007E-4</v>
      </c>
      <c r="AU15" s="784">
        <v>0</v>
      </c>
      <c r="AV15" s="784">
        <v>0</v>
      </c>
      <c r="AW15" s="784">
        <v>0</v>
      </c>
      <c r="AX15" s="784">
        <v>0</v>
      </c>
      <c r="AY15" s="784">
        <v>0</v>
      </c>
      <c r="AZ15" s="784">
        <v>0</v>
      </c>
      <c r="BA15" s="784">
        <v>0</v>
      </c>
      <c r="BB15" s="784">
        <v>0</v>
      </c>
      <c r="BC15" s="784">
        <v>0</v>
      </c>
      <c r="BD15" s="784">
        <f>+BD13-BD14</f>
        <v>0</v>
      </c>
      <c r="BE15" s="784">
        <v>0</v>
      </c>
      <c r="BF15" s="784">
        <v>0</v>
      </c>
      <c r="BG15" s="784">
        <v>0</v>
      </c>
      <c r="BH15" s="827">
        <v>0</v>
      </c>
      <c r="BI15" s="816">
        <v>0</v>
      </c>
      <c r="BJ15" s="816">
        <v>0</v>
      </c>
      <c r="BK15" s="816">
        <v>0</v>
      </c>
      <c r="BL15" s="816">
        <v>3.4</v>
      </c>
      <c r="BM15" s="816">
        <v>3.4</v>
      </c>
      <c r="BN15" s="816">
        <v>3.4</v>
      </c>
      <c r="BO15" s="816">
        <v>3.4</v>
      </c>
      <c r="BP15" s="816">
        <v>3.4</v>
      </c>
      <c r="BQ15" s="816">
        <v>2.9750000000000001</v>
      </c>
      <c r="BR15" s="816">
        <v>2.9750000000000001</v>
      </c>
      <c r="BS15" s="816">
        <v>2.9750000000000001</v>
      </c>
      <c r="BT15" s="816">
        <v>2.9750000000000001</v>
      </c>
      <c r="BU15" s="816">
        <v>2.9750000000000001</v>
      </c>
      <c r="BV15" s="816">
        <v>2.9750000000000001</v>
      </c>
      <c r="BW15" s="816">
        <v>2.9750000000000001</v>
      </c>
      <c r="BX15" s="816">
        <v>2.9750000000000001</v>
      </c>
      <c r="BY15" s="816">
        <v>2.9750000000000001</v>
      </c>
      <c r="BZ15" s="816">
        <v>2.9750000000000001</v>
      </c>
      <c r="CA15" s="816">
        <v>2.9750000000000001</v>
      </c>
      <c r="CB15" s="816">
        <v>2.9750000000000001</v>
      </c>
      <c r="CC15" s="816">
        <v>2.9750000000000001</v>
      </c>
      <c r="CD15" s="816">
        <v>2.9750000000000001</v>
      </c>
      <c r="CE15" s="816">
        <f t="shared" ref="CE15:CP15" si="3">+CE13-CE14</f>
        <v>3.145</v>
      </c>
      <c r="CF15" s="816">
        <f t="shared" si="3"/>
        <v>3.3149999999999999</v>
      </c>
      <c r="CG15" s="816">
        <f t="shared" si="3"/>
        <v>3.3149999999999999</v>
      </c>
      <c r="CH15" s="816">
        <f t="shared" si="3"/>
        <v>3.3149999999999999</v>
      </c>
      <c r="CI15" s="816">
        <f t="shared" si="3"/>
        <v>3.3510149999999999</v>
      </c>
      <c r="CJ15" s="816">
        <f t="shared" si="3"/>
        <v>3.4849999999999999</v>
      </c>
      <c r="CK15" s="816">
        <f t="shared" si="3"/>
        <v>3.6209988100000001</v>
      </c>
      <c r="CL15" s="816">
        <f t="shared" si="3"/>
        <v>3.90305233</v>
      </c>
      <c r="CM15" s="816">
        <f t="shared" si="3"/>
        <v>3.91807317</v>
      </c>
      <c r="CN15" s="816">
        <f t="shared" si="3"/>
        <v>3.9283878200000002</v>
      </c>
      <c r="CO15" s="816">
        <f t="shared" si="3"/>
        <v>3.9468023099999998</v>
      </c>
      <c r="CP15" s="816">
        <f t="shared" si="3"/>
        <v>6.5682484999999993</v>
      </c>
      <c r="CQ15" s="816">
        <f>+CQ13-CQ14</f>
        <v>9.36269347</v>
      </c>
      <c r="CR15" s="816">
        <f>+CR13-CR14</f>
        <v>16.961453479999999</v>
      </c>
      <c r="CS15" s="816">
        <f>+CS13-CS14</f>
        <v>16.630232190000001</v>
      </c>
      <c r="CT15" s="816">
        <v>15.83908175</v>
      </c>
      <c r="CU15" s="816">
        <v>14.61538648</v>
      </c>
      <c r="CV15" s="816">
        <v>14.209023869999999</v>
      </c>
      <c r="CW15" s="816">
        <v>12.34617873</v>
      </c>
      <c r="CX15" s="816">
        <v>11.57953597</v>
      </c>
      <c r="CY15" s="816">
        <v>11.820621279999999</v>
      </c>
      <c r="CZ15" s="816">
        <v>13.051994410000001</v>
      </c>
      <c r="DA15" s="816">
        <v>14.430100080000001</v>
      </c>
      <c r="DB15" s="816">
        <v>15.21314971</v>
      </c>
      <c r="DC15" s="816">
        <v>14.725355049999999</v>
      </c>
      <c r="DD15" s="886">
        <v>13.449618470000001</v>
      </c>
      <c r="DE15" s="886">
        <v>13.49137487</v>
      </c>
      <c r="DF15" s="886">
        <v>13.693136109999999</v>
      </c>
      <c r="DG15" s="839">
        <v>13.2541612</v>
      </c>
      <c r="DH15" s="839">
        <v>8.3835420900000006</v>
      </c>
      <c r="DI15" s="839">
        <v>10.29822912</v>
      </c>
      <c r="DJ15" s="839">
        <v>10.11127774</v>
      </c>
      <c r="DK15" s="839">
        <v>10.43964443</v>
      </c>
      <c r="DL15" s="839">
        <v>18.530975040000001</v>
      </c>
      <c r="DM15" s="839">
        <v>13.16586676</v>
      </c>
      <c r="DN15" s="839">
        <v>13.283064639999999</v>
      </c>
      <c r="DO15" s="839">
        <v>13.595074609999999</v>
      </c>
      <c r="DP15" s="839">
        <v>13.596465650000001</v>
      </c>
      <c r="DQ15" s="839">
        <v>10.45711551</v>
      </c>
      <c r="DR15" s="839">
        <v>9.5560258699999991</v>
      </c>
      <c r="DS15" s="839">
        <v>8.7300143600000002</v>
      </c>
      <c r="DT15" s="839">
        <v>7.7894355800000001</v>
      </c>
      <c r="DU15" s="839">
        <v>16.220745340000001</v>
      </c>
      <c r="DV15" s="839">
        <v>16.626281630000001</v>
      </c>
      <c r="DW15" s="839">
        <v>17.317262360000001</v>
      </c>
      <c r="DX15" s="839">
        <v>15.71157923</v>
      </c>
      <c r="DY15" s="839">
        <v>15.202089559999999</v>
      </c>
      <c r="DZ15" s="839">
        <v>14.979586599999999</v>
      </c>
      <c r="EA15" s="839">
        <v>13.82867304</v>
      </c>
      <c r="EB15" s="839">
        <v>12.5698259</v>
      </c>
      <c r="EC15" s="839">
        <v>11.238747679999999</v>
      </c>
      <c r="ED15" s="839">
        <v>9.8295236100000007</v>
      </c>
      <c r="EE15" s="839">
        <v>8.4128692100000002</v>
      </c>
      <c r="EF15" s="839">
        <v>3.4863865999999999</v>
      </c>
      <c r="EG15" s="839">
        <v>2.4028964300000002</v>
      </c>
      <c r="EH15" s="839">
        <v>1.22103469</v>
      </c>
      <c r="EI15" s="839">
        <v>2.77270328</v>
      </c>
      <c r="EJ15" s="839">
        <v>5.3975254100000001</v>
      </c>
      <c r="EK15" s="839">
        <v>6.4213099500000004</v>
      </c>
      <c r="EL15" s="839">
        <v>7.1522106499999998</v>
      </c>
      <c r="EM15" s="839">
        <v>7.0905498199999997</v>
      </c>
      <c r="EN15" s="839">
        <v>6.5991249300000003</v>
      </c>
      <c r="EO15" s="839">
        <v>6.8954811200000004</v>
      </c>
      <c r="EP15" s="839">
        <v>6.6674565299999999</v>
      </c>
      <c r="EQ15" s="839">
        <v>6.3359490000000003</v>
      </c>
      <c r="ER15" s="839">
        <v>6.1833278600000003</v>
      </c>
      <c r="ES15" s="839">
        <v>6.11791661</v>
      </c>
      <c r="ET15" s="839">
        <v>6.8617808800000004</v>
      </c>
      <c r="EU15" s="839">
        <v>5.20815698</v>
      </c>
      <c r="EV15" s="839">
        <v>5.05637399</v>
      </c>
      <c r="EW15" s="839">
        <v>3.8502446799999999</v>
      </c>
      <c r="EX15" s="839">
        <v>4.5041087600000003</v>
      </c>
      <c r="EY15" s="839">
        <v>4.5228568500000002</v>
      </c>
      <c r="EZ15" s="839">
        <v>4.4265805800000004</v>
      </c>
      <c r="FA15" s="839">
        <v>5.2988418499999996</v>
      </c>
      <c r="FB15" s="839">
        <v>5.33459503</v>
      </c>
      <c r="FC15" s="839">
        <v>4.5667498100000001</v>
      </c>
      <c r="FD15" s="839">
        <v>5.5529705399999996</v>
      </c>
      <c r="FE15" s="839">
        <v>8.3658751999999996</v>
      </c>
      <c r="FF15" s="839">
        <v>10.0203515</v>
      </c>
      <c r="FG15" s="839">
        <v>11.12259212</v>
      </c>
      <c r="FH15" s="1712" t="s">
        <v>4066</v>
      </c>
      <c r="FM15" s="321"/>
    </row>
    <row r="16" spans="1:302" ht="21">
      <c r="A16" s="1720"/>
      <c r="B16" s="780"/>
      <c r="C16" s="780"/>
      <c r="D16" s="780"/>
      <c r="E16" s="780"/>
      <c r="F16" s="780"/>
      <c r="G16" s="780"/>
      <c r="H16" s="780"/>
      <c r="I16" s="780"/>
      <c r="J16" s="780"/>
      <c r="K16" s="780"/>
      <c r="L16" s="780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781"/>
      <c r="AA16" s="781"/>
      <c r="AB16" s="781"/>
      <c r="AC16" s="781"/>
      <c r="AD16" s="781"/>
      <c r="AE16" s="781"/>
      <c r="AF16" s="781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  <c r="AT16" s="781"/>
      <c r="AU16" s="781"/>
      <c r="AV16" s="781"/>
      <c r="AW16" s="781"/>
      <c r="AX16" s="781"/>
      <c r="AY16" s="781"/>
      <c r="AZ16" s="781"/>
      <c r="BA16" s="781"/>
      <c r="BB16" s="781"/>
      <c r="BC16" s="781"/>
      <c r="BD16" s="781"/>
      <c r="BE16" s="781"/>
      <c r="BF16" s="781"/>
      <c r="BG16" s="781"/>
      <c r="BH16" s="826"/>
      <c r="BI16" s="815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5"/>
      <c r="CN16" s="815"/>
      <c r="CO16" s="815"/>
      <c r="CP16" s="815"/>
      <c r="CQ16" s="815"/>
      <c r="CR16" s="815"/>
      <c r="CS16" s="815"/>
      <c r="CT16" s="815"/>
      <c r="CU16" s="815"/>
      <c r="CV16" s="815"/>
      <c r="CW16" s="815"/>
      <c r="CX16" s="815"/>
      <c r="CY16" s="815"/>
      <c r="CZ16" s="815"/>
      <c r="DA16" s="815"/>
      <c r="DB16" s="815"/>
      <c r="DC16" s="815"/>
      <c r="DD16" s="885"/>
      <c r="DE16" s="885"/>
      <c r="DF16" s="885"/>
      <c r="DG16" s="838"/>
      <c r="DH16" s="838"/>
      <c r="DI16" s="838"/>
      <c r="DJ16" s="838"/>
      <c r="DK16" s="838"/>
      <c r="DL16" s="838"/>
      <c r="DM16" s="838"/>
      <c r="DN16" s="838"/>
      <c r="DO16" s="838"/>
      <c r="DP16" s="838"/>
      <c r="DQ16" s="838"/>
      <c r="DR16" s="838"/>
      <c r="DS16" s="838"/>
      <c r="DT16" s="838"/>
      <c r="DU16" s="838"/>
      <c r="DV16" s="838"/>
      <c r="DW16" s="838"/>
      <c r="DX16" s="838"/>
      <c r="DY16" s="838"/>
      <c r="DZ16" s="838"/>
      <c r="EA16" s="838"/>
      <c r="EB16" s="838"/>
      <c r="EC16" s="838"/>
      <c r="ED16" s="838"/>
      <c r="EE16" s="838"/>
      <c r="EF16" s="838"/>
      <c r="EG16" s="838"/>
      <c r="EH16" s="838"/>
      <c r="EI16" s="838"/>
      <c r="EJ16" s="838"/>
      <c r="EK16" s="838"/>
      <c r="EL16" s="838"/>
      <c r="EM16" s="838"/>
      <c r="EN16" s="838"/>
      <c r="EO16" s="838"/>
      <c r="EP16" s="838"/>
      <c r="EQ16" s="838"/>
      <c r="ER16" s="838"/>
      <c r="ES16" s="838"/>
      <c r="ET16" s="838"/>
      <c r="EU16" s="838"/>
      <c r="EV16" s="838"/>
      <c r="EW16" s="838"/>
      <c r="EX16" s="838"/>
      <c r="EY16" s="838"/>
      <c r="EZ16" s="838"/>
      <c r="FA16" s="838"/>
      <c r="FB16" s="838"/>
      <c r="FC16" s="838"/>
      <c r="FD16" s="838"/>
      <c r="FE16" s="838"/>
      <c r="FF16" s="838"/>
      <c r="FG16" s="838"/>
      <c r="FH16" s="1713"/>
      <c r="FM16" s="321"/>
    </row>
    <row r="17" spans="1:169" ht="21">
      <c r="A17" s="1744" t="s">
        <v>185</v>
      </c>
      <c r="B17" s="783">
        <v>0.64119899999999996</v>
      </c>
      <c r="C17" s="783">
        <v>3.1885865600000001</v>
      </c>
      <c r="D17" s="783">
        <v>3.0289974599999998</v>
      </c>
      <c r="E17" s="783">
        <v>2.94338861</v>
      </c>
      <c r="F17" s="783">
        <v>2.9025678500000001</v>
      </c>
      <c r="G17" s="783">
        <v>2.86120281</v>
      </c>
      <c r="H17" s="783">
        <v>2.8192862400000003</v>
      </c>
      <c r="I17" s="783">
        <v>2.7768107899999999</v>
      </c>
      <c r="J17" s="783">
        <v>2.6841425099999996</v>
      </c>
      <c r="K17" s="783">
        <v>2.6562397</v>
      </c>
      <c r="L17" s="783">
        <v>2.6562397</v>
      </c>
      <c r="M17" s="781">
        <v>2.599313</v>
      </c>
      <c r="N17" s="784">
        <v>2.599313</v>
      </c>
      <c r="O17" s="784">
        <v>2.6623130000000002</v>
      </c>
      <c r="P17" s="784">
        <v>2.6623130000000002</v>
      </c>
      <c r="Q17" s="784">
        <v>2.6623130000000002</v>
      </c>
      <c r="R17" s="784">
        <v>2.7076475000000002</v>
      </c>
      <c r="S17" s="784">
        <v>2.6699227799999998</v>
      </c>
      <c r="T17" s="784">
        <v>2.4580871600000003</v>
      </c>
      <c r="U17" s="784">
        <v>2.4454015600000001</v>
      </c>
      <c r="V17" s="784">
        <v>2.9325502999999999</v>
      </c>
      <c r="W17" s="784">
        <v>3.4191944799999998</v>
      </c>
      <c r="X17" s="784">
        <v>3.4063452400000003</v>
      </c>
      <c r="Y17" s="781">
        <v>3.3829859</v>
      </c>
      <c r="Z17" s="784">
        <v>3.3694529800000002</v>
      </c>
      <c r="AA17" s="784">
        <v>3.3557439100000002</v>
      </c>
      <c r="AB17" s="781">
        <v>3.3418563999999997</v>
      </c>
      <c r="AC17" s="781">
        <v>3.3331367699999999</v>
      </c>
      <c r="AD17" s="781">
        <v>3.3239522400000001</v>
      </c>
      <c r="AE17" s="781">
        <v>3.3251662099999999</v>
      </c>
      <c r="AF17" s="781">
        <v>3.3251662099999999</v>
      </c>
      <c r="AG17" s="781">
        <v>3.3039457099999998</v>
      </c>
      <c r="AH17" s="781">
        <v>2.3027786899999998</v>
      </c>
      <c r="AI17" s="781">
        <v>2.30507975</v>
      </c>
      <c r="AJ17" s="781">
        <v>2.3035937400000002</v>
      </c>
      <c r="AK17" s="781">
        <v>2.3029763999999999</v>
      </c>
      <c r="AL17" s="781">
        <v>2.9057499999999999E-3</v>
      </c>
      <c r="AM17" s="781">
        <v>2.4296999999999999E-3</v>
      </c>
      <c r="AN17" s="781">
        <v>2.4296999999999999E-3</v>
      </c>
      <c r="AO17" s="781">
        <v>2.1495100000000003E-3</v>
      </c>
      <c r="AP17" s="781">
        <v>1.5647899999999999E-3</v>
      </c>
      <c r="AQ17" s="781">
        <v>1.5647899999999999E-3</v>
      </c>
      <c r="AR17" s="781">
        <v>1.26399E-3</v>
      </c>
      <c r="AS17" s="781">
        <v>6.4259000000000007E-4</v>
      </c>
      <c r="AT17" s="781">
        <v>6.4259000000000007E-4</v>
      </c>
      <c r="AU17" s="781">
        <v>0</v>
      </c>
      <c r="AV17" s="781">
        <v>0</v>
      </c>
      <c r="AW17" s="781">
        <v>0</v>
      </c>
      <c r="AX17" s="781">
        <v>0</v>
      </c>
      <c r="AY17" s="781">
        <v>0</v>
      </c>
      <c r="AZ17" s="781">
        <v>0</v>
      </c>
      <c r="BA17" s="781">
        <v>0</v>
      </c>
      <c r="BB17" s="781">
        <v>0</v>
      </c>
      <c r="BC17" s="781">
        <v>0</v>
      </c>
      <c r="BD17" s="781">
        <v>0</v>
      </c>
      <c r="BE17" s="781">
        <v>0</v>
      </c>
      <c r="BF17" s="781">
        <v>0</v>
      </c>
      <c r="BG17" s="781">
        <v>0</v>
      </c>
      <c r="BH17" s="826">
        <v>0</v>
      </c>
      <c r="BI17" s="815">
        <v>0</v>
      </c>
      <c r="BJ17" s="815">
        <v>0</v>
      </c>
      <c r="BK17" s="815">
        <v>0</v>
      </c>
      <c r="BL17" s="815">
        <v>0</v>
      </c>
      <c r="BM17" s="815">
        <v>0</v>
      </c>
      <c r="BN17" s="815">
        <v>0</v>
      </c>
      <c r="BO17" s="815">
        <v>0</v>
      </c>
      <c r="BP17" s="815">
        <v>0</v>
      </c>
      <c r="BQ17" s="815">
        <v>0</v>
      </c>
      <c r="BR17" s="815">
        <v>0</v>
      </c>
      <c r="BS17" s="815">
        <v>0</v>
      </c>
      <c r="BT17" s="815">
        <v>0</v>
      </c>
      <c r="BU17" s="815">
        <v>0</v>
      </c>
      <c r="BV17" s="815">
        <v>0</v>
      </c>
      <c r="BW17" s="815">
        <v>0</v>
      </c>
      <c r="BX17" s="815">
        <v>0</v>
      </c>
      <c r="BY17" s="815">
        <v>0</v>
      </c>
      <c r="BZ17" s="815">
        <v>0</v>
      </c>
      <c r="CA17" s="815">
        <v>0</v>
      </c>
      <c r="CB17" s="815">
        <v>0</v>
      </c>
      <c r="CC17" s="815">
        <v>0</v>
      </c>
      <c r="CD17" s="815">
        <v>0</v>
      </c>
      <c r="CE17" s="815">
        <v>0</v>
      </c>
      <c r="CF17" s="815">
        <v>0</v>
      </c>
      <c r="CG17" s="815">
        <v>0</v>
      </c>
      <c r="CH17" s="815">
        <v>0</v>
      </c>
      <c r="CI17" s="815">
        <v>3.6014999999999998E-2</v>
      </c>
      <c r="CJ17" s="815">
        <v>0.17</v>
      </c>
      <c r="CK17" s="815">
        <v>0.16999881</v>
      </c>
      <c r="CL17" s="815">
        <v>0.22813617</v>
      </c>
      <c r="CM17" s="815">
        <v>0.24810538000000001</v>
      </c>
      <c r="CN17" s="815">
        <v>0.26338486999999999</v>
      </c>
      <c r="CO17" s="815">
        <v>0.28679180999999998</v>
      </c>
      <c r="CP17" s="815">
        <v>0.27318320000000001</v>
      </c>
      <c r="CQ17" s="815">
        <v>2.5516420600000003</v>
      </c>
      <c r="CR17" s="815">
        <v>6.5469235299999999</v>
      </c>
      <c r="CS17" s="815">
        <v>6.5372503200000001</v>
      </c>
      <c r="CT17" s="815">
        <v>6.5357042500000002</v>
      </c>
      <c r="CU17" s="815">
        <v>6.56729479</v>
      </c>
      <c r="CV17" s="815">
        <v>6.6029321799999998</v>
      </c>
      <c r="CW17" s="815">
        <v>5.7637168000000001</v>
      </c>
      <c r="CX17" s="815">
        <v>5.6817105699999999</v>
      </c>
      <c r="CY17" s="815">
        <v>5.5884434000000001</v>
      </c>
      <c r="CZ17" s="815">
        <v>5.4598165300000003</v>
      </c>
      <c r="DA17" s="815">
        <v>5.3929222000000001</v>
      </c>
      <c r="DB17" s="815">
        <v>5.3089718299999999</v>
      </c>
      <c r="DC17" s="815">
        <v>5.3413550499999998</v>
      </c>
      <c r="DD17" s="885">
        <v>5.2810724699999998</v>
      </c>
      <c r="DE17" s="885">
        <v>4.3113288699999996</v>
      </c>
      <c r="DF17" s="885">
        <v>4.3413278699999998</v>
      </c>
      <c r="DG17" s="838">
        <v>4.3603377200000004</v>
      </c>
      <c r="DH17" s="838">
        <v>0.34827711</v>
      </c>
      <c r="DI17" s="838">
        <v>0.33360413999999999</v>
      </c>
      <c r="DJ17" s="838">
        <v>0.30063297</v>
      </c>
      <c r="DK17" s="838">
        <v>0.30405411999999998</v>
      </c>
      <c r="DL17" s="838">
        <v>5.7688247500000003</v>
      </c>
      <c r="DM17" s="838">
        <v>0.10602584</v>
      </c>
      <c r="DN17" s="838">
        <v>0.11482098</v>
      </c>
      <c r="DO17" s="838">
        <v>0.42209913999999998</v>
      </c>
      <c r="DP17" s="838">
        <v>0.43780026999999999</v>
      </c>
      <c r="DQ17" s="838">
        <v>9.8862350000000002E-2</v>
      </c>
      <c r="DR17" s="838">
        <v>9.4607689999999994E-2</v>
      </c>
      <c r="DS17" s="838">
        <v>0.2114558</v>
      </c>
      <c r="DT17" s="838">
        <v>0.20791689999999999</v>
      </c>
      <c r="DU17" s="838">
        <v>10.242612449999999</v>
      </c>
      <c r="DV17" s="838">
        <v>9.59196676</v>
      </c>
      <c r="DW17" s="838">
        <v>8.8117587799999999</v>
      </c>
      <c r="DX17" s="838">
        <v>7.9343709100000002</v>
      </c>
      <c r="DY17" s="838">
        <v>6.9759928100000002</v>
      </c>
      <c r="DZ17" s="838">
        <v>6.9985704999999996</v>
      </c>
      <c r="EA17" s="838">
        <v>6.0937587500000001</v>
      </c>
      <c r="EB17" s="838">
        <v>5.18080769</v>
      </c>
      <c r="EC17" s="838">
        <v>4.2528200900000002</v>
      </c>
      <c r="ED17" s="838">
        <v>3.3433034400000001</v>
      </c>
      <c r="EE17" s="838">
        <v>2.4287300599999999</v>
      </c>
      <c r="EF17" s="838">
        <v>1.5043004799999999</v>
      </c>
      <c r="EG17" s="838">
        <v>0.88730291999999999</v>
      </c>
      <c r="EH17" s="838">
        <v>0.49749330000000003</v>
      </c>
      <c r="EI17" s="838">
        <v>2.27278834</v>
      </c>
      <c r="EJ17" s="838">
        <v>4.89761047</v>
      </c>
      <c r="EK17" s="838">
        <v>5.9113099499999997</v>
      </c>
      <c r="EL17" s="838">
        <v>6.64221065</v>
      </c>
      <c r="EM17" s="838">
        <v>6.5805498199999999</v>
      </c>
      <c r="EN17" s="838">
        <v>6.0891249299999997</v>
      </c>
      <c r="EO17" s="838">
        <v>6.3854811199999997</v>
      </c>
      <c r="EP17" s="838">
        <v>6.1574565300000001</v>
      </c>
      <c r="EQ17" s="838">
        <v>5.8259489999999996</v>
      </c>
      <c r="ER17" s="838">
        <v>5.6733278599999997</v>
      </c>
      <c r="ES17" s="838">
        <v>5.6079166100000002</v>
      </c>
      <c r="ET17" s="838">
        <v>6.3517808799999997</v>
      </c>
      <c r="EU17" s="838">
        <v>5.20815698</v>
      </c>
      <c r="EV17" s="838">
        <v>5.05637399</v>
      </c>
      <c r="EW17" s="838">
        <v>3.8502446799999999</v>
      </c>
      <c r="EX17" s="838">
        <v>4.5041087600000003</v>
      </c>
      <c r="EY17" s="838">
        <v>4.5228568500000002</v>
      </c>
      <c r="EZ17" s="838">
        <v>4.4265805800000004</v>
      </c>
      <c r="FA17" s="838">
        <v>4.8908418500000002</v>
      </c>
      <c r="FB17" s="838">
        <v>4.6877450300000003</v>
      </c>
      <c r="FC17" s="838">
        <v>3.5373998100000001</v>
      </c>
      <c r="FD17" s="838">
        <v>3.4951205399999998</v>
      </c>
      <c r="FE17" s="838">
        <v>5.3533052000000003</v>
      </c>
      <c r="FF17" s="838">
        <v>6.5804014999999998</v>
      </c>
      <c r="FG17" s="838">
        <v>7.0759121199999999</v>
      </c>
      <c r="FH17" s="1714" t="s">
        <v>206</v>
      </c>
      <c r="FM17" s="321"/>
    </row>
    <row r="18" spans="1:169" ht="21">
      <c r="A18" s="1745" t="s">
        <v>1961</v>
      </c>
      <c r="B18" s="780">
        <v>0</v>
      </c>
      <c r="C18" s="780">
        <v>0</v>
      </c>
      <c r="D18" s="780">
        <v>0</v>
      </c>
      <c r="E18" s="780">
        <v>0</v>
      </c>
      <c r="F18" s="780">
        <v>0</v>
      </c>
      <c r="G18" s="780">
        <v>0</v>
      </c>
      <c r="H18" s="780">
        <v>0</v>
      </c>
      <c r="I18" s="780">
        <v>0</v>
      </c>
      <c r="J18" s="780">
        <v>0</v>
      </c>
      <c r="K18" s="780">
        <v>0</v>
      </c>
      <c r="L18" s="780">
        <v>0</v>
      </c>
      <c r="M18" s="784">
        <v>0</v>
      </c>
      <c r="N18" s="781">
        <v>0</v>
      </c>
      <c r="O18" s="781">
        <v>0</v>
      </c>
      <c r="P18" s="781">
        <v>0</v>
      </c>
      <c r="Q18" s="781">
        <v>0</v>
      </c>
      <c r="R18" s="781">
        <v>0</v>
      </c>
      <c r="S18" s="781">
        <v>0</v>
      </c>
      <c r="T18" s="781">
        <v>0</v>
      </c>
      <c r="U18" s="781">
        <v>0</v>
      </c>
      <c r="V18" s="781">
        <v>0</v>
      </c>
      <c r="W18" s="781">
        <v>0</v>
      </c>
      <c r="X18" s="781">
        <v>0</v>
      </c>
      <c r="Y18" s="784">
        <v>0</v>
      </c>
      <c r="Z18" s="781">
        <v>0</v>
      </c>
      <c r="AA18" s="781">
        <v>0</v>
      </c>
      <c r="AB18" s="784">
        <v>0</v>
      </c>
      <c r="AC18" s="784">
        <v>0</v>
      </c>
      <c r="AD18" s="784">
        <v>0</v>
      </c>
      <c r="AE18" s="784">
        <v>0</v>
      </c>
      <c r="AF18" s="784">
        <v>0</v>
      </c>
      <c r="AG18" s="784">
        <v>0</v>
      </c>
      <c r="AH18" s="784">
        <v>0</v>
      </c>
      <c r="AI18" s="784">
        <v>0</v>
      </c>
      <c r="AJ18" s="784">
        <v>0</v>
      </c>
      <c r="AK18" s="784">
        <v>0</v>
      </c>
      <c r="AL18" s="784">
        <v>0</v>
      </c>
      <c r="AM18" s="784">
        <v>0</v>
      </c>
      <c r="AN18" s="784">
        <v>0</v>
      </c>
      <c r="AO18" s="784">
        <v>0</v>
      </c>
      <c r="AP18" s="784">
        <v>0</v>
      </c>
      <c r="AQ18" s="784">
        <v>0</v>
      </c>
      <c r="AR18" s="784">
        <v>0</v>
      </c>
      <c r="AS18" s="784">
        <v>0</v>
      </c>
      <c r="AT18" s="784">
        <v>0</v>
      </c>
      <c r="AU18" s="784">
        <v>0</v>
      </c>
      <c r="AV18" s="784">
        <v>0</v>
      </c>
      <c r="AW18" s="784">
        <v>0</v>
      </c>
      <c r="AX18" s="784">
        <v>0</v>
      </c>
      <c r="AY18" s="784">
        <v>0</v>
      </c>
      <c r="AZ18" s="784">
        <v>0</v>
      </c>
      <c r="BA18" s="784">
        <v>0</v>
      </c>
      <c r="BB18" s="784">
        <v>0</v>
      </c>
      <c r="BC18" s="784">
        <v>0</v>
      </c>
      <c r="BD18" s="784">
        <v>0</v>
      </c>
      <c r="BE18" s="784">
        <v>0</v>
      </c>
      <c r="BF18" s="784">
        <v>0</v>
      </c>
      <c r="BG18" s="784">
        <v>0</v>
      </c>
      <c r="BH18" s="827">
        <v>0</v>
      </c>
      <c r="BI18" s="816">
        <v>0</v>
      </c>
      <c r="BJ18" s="816">
        <v>0</v>
      </c>
      <c r="BK18" s="816">
        <v>0</v>
      </c>
      <c r="BL18" s="816">
        <v>0</v>
      </c>
      <c r="BM18" s="816">
        <v>0</v>
      </c>
      <c r="BN18" s="816">
        <v>0</v>
      </c>
      <c r="BO18" s="816">
        <v>0</v>
      </c>
      <c r="BP18" s="816">
        <v>0</v>
      </c>
      <c r="BQ18" s="816">
        <v>0</v>
      </c>
      <c r="BR18" s="816">
        <v>0</v>
      </c>
      <c r="BS18" s="816">
        <v>0</v>
      </c>
      <c r="BT18" s="816">
        <v>0</v>
      </c>
      <c r="BU18" s="816">
        <v>0</v>
      </c>
      <c r="BV18" s="816">
        <v>0</v>
      </c>
      <c r="BW18" s="816">
        <v>0</v>
      </c>
      <c r="BX18" s="816">
        <v>0</v>
      </c>
      <c r="BY18" s="816">
        <v>0</v>
      </c>
      <c r="BZ18" s="816">
        <v>0</v>
      </c>
      <c r="CA18" s="816">
        <v>0</v>
      </c>
      <c r="CB18" s="816">
        <v>0</v>
      </c>
      <c r="CC18" s="816">
        <v>0</v>
      </c>
      <c r="CD18" s="816">
        <v>0</v>
      </c>
      <c r="CE18" s="816">
        <v>0</v>
      </c>
      <c r="CF18" s="816">
        <v>0</v>
      </c>
      <c r="CG18" s="816">
        <v>0</v>
      </c>
      <c r="CH18" s="816">
        <v>0</v>
      </c>
      <c r="CI18" s="816">
        <v>0</v>
      </c>
      <c r="CJ18" s="816">
        <v>0</v>
      </c>
      <c r="CK18" s="816">
        <v>0</v>
      </c>
      <c r="CL18" s="816">
        <v>0</v>
      </c>
      <c r="CM18" s="816">
        <v>0</v>
      </c>
      <c r="CN18" s="816">
        <v>0</v>
      </c>
      <c r="CO18" s="816">
        <v>0</v>
      </c>
      <c r="CP18" s="816">
        <v>0</v>
      </c>
      <c r="CQ18" s="816">
        <v>0</v>
      </c>
      <c r="CR18" s="816">
        <v>0</v>
      </c>
      <c r="CS18" s="816">
        <v>0</v>
      </c>
      <c r="CT18" s="816">
        <v>0</v>
      </c>
      <c r="CU18" s="816">
        <v>0</v>
      </c>
      <c r="CV18" s="816">
        <v>0</v>
      </c>
      <c r="CW18" s="816">
        <v>0</v>
      </c>
      <c r="CX18" s="816">
        <v>0</v>
      </c>
      <c r="CY18" s="816">
        <v>0</v>
      </c>
      <c r="CZ18" s="816">
        <v>0</v>
      </c>
      <c r="DA18" s="816">
        <v>0</v>
      </c>
      <c r="DB18" s="816">
        <v>0</v>
      </c>
      <c r="DC18" s="816">
        <v>0</v>
      </c>
      <c r="DD18" s="886">
        <v>0</v>
      </c>
      <c r="DE18" s="886">
        <v>0</v>
      </c>
      <c r="DF18" s="886">
        <v>0</v>
      </c>
      <c r="DG18" s="839">
        <v>0</v>
      </c>
      <c r="DH18" s="839">
        <v>0</v>
      </c>
      <c r="DI18" s="839">
        <v>0</v>
      </c>
      <c r="DJ18" s="839">
        <v>0</v>
      </c>
      <c r="DK18" s="839">
        <v>0</v>
      </c>
      <c r="DL18" s="839">
        <v>0</v>
      </c>
      <c r="DM18" s="839">
        <v>0</v>
      </c>
      <c r="DN18" s="839">
        <v>0</v>
      </c>
      <c r="DO18" s="839">
        <v>0</v>
      </c>
      <c r="DP18" s="839">
        <v>0</v>
      </c>
      <c r="DQ18" s="839">
        <v>0</v>
      </c>
      <c r="DR18" s="839">
        <v>0</v>
      </c>
      <c r="DS18" s="839">
        <v>0</v>
      </c>
      <c r="DT18" s="839">
        <v>0</v>
      </c>
      <c r="DU18" s="839">
        <v>0</v>
      </c>
      <c r="DV18" s="839">
        <v>0</v>
      </c>
      <c r="DW18" s="839">
        <v>0</v>
      </c>
      <c r="DX18" s="839">
        <v>0</v>
      </c>
      <c r="DY18" s="839">
        <v>0</v>
      </c>
      <c r="DZ18" s="839">
        <v>0</v>
      </c>
      <c r="EA18" s="839">
        <v>0</v>
      </c>
      <c r="EB18" s="839">
        <v>0</v>
      </c>
      <c r="EC18" s="839">
        <v>0</v>
      </c>
      <c r="ED18" s="839">
        <v>0</v>
      </c>
      <c r="EE18" s="839">
        <v>0</v>
      </c>
      <c r="EF18" s="839">
        <v>0</v>
      </c>
      <c r="EG18" s="839">
        <v>0</v>
      </c>
      <c r="EH18" s="839">
        <v>0</v>
      </c>
      <c r="EI18" s="839">
        <v>0</v>
      </c>
      <c r="EJ18" s="839">
        <v>0</v>
      </c>
      <c r="EK18" s="839">
        <v>0</v>
      </c>
      <c r="EL18" s="839">
        <v>0</v>
      </c>
      <c r="EM18" s="839">
        <v>0</v>
      </c>
      <c r="EN18" s="839">
        <v>0</v>
      </c>
      <c r="EO18" s="839">
        <v>0</v>
      </c>
      <c r="EP18" s="839">
        <v>0</v>
      </c>
      <c r="EQ18" s="839">
        <v>0</v>
      </c>
      <c r="ER18" s="839">
        <v>0</v>
      </c>
      <c r="ES18" s="839">
        <v>0</v>
      </c>
      <c r="ET18" s="839">
        <v>0</v>
      </c>
      <c r="EU18" s="839">
        <v>0</v>
      </c>
      <c r="EV18" s="839">
        <v>0</v>
      </c>
      <c r="EW18" s="839">
        <v>0</v>
      </c>
      <c r="EX18" s="839">
        <v>0</v>
      </c>
      <c r="EY18" s="839">
        <v>0</v>
      </c>
      <c r="EZ18" s="839">
        <v>0</v>
      </c>
      <c r="FA18" s="839">
        <v>0</v>
      </c>
      <c r="FB18" s="839">
        <v>0</v>
      </c>
      <c r="FC18" s="839">
        <v>0</v>
      </c>
      <c r="FD18" s="839">
        <v>0</v>
      </c>
      <c r="FE18" s="839">
        <v>0</v>
      </c>
      <c r="FF18" s="839">
        <v>0</v>
      </c>
      <c r="FG18" s="839">
        <v>0</v>
      </c>
      <c r="FH18" s="1716" t="s">
        <v>4067</v>
      </c>
      <c r="FM18" s="321"/>
    </row>
    <row r="19" spans="1:169" ht="21">
      <c r="A19" s="1745" t="s">
        <v>1962</v>
      </c>
      <c r="B19" s="783">
        <f>+B17-B18</f>
        <v>0.64119899999999996</v>
      </c>
      <c r="C19" s="783">
        <f t="shared" ref="C19:V19" si="4">+C17-C18</f>
        <v>3.1885865600000001</v>
      </c>
      <c r="D19" s="783">
        <f t="shared" si="4"/>
        <v>3.0289974599999998</v>
      </c>
      <c r="E19" s="783">
        <f t="shared" si="4"/>
        <v>2.94338861</v>
      </c>
      <c r="F19" s="783">
        <f t="shared" si="4"/>
        <v>2.9025678500000001</v>
      </c>
      <c r="G19" s="783">
        <f t="shared" si="4"/>
        <v>2.86120281</v>
      </c>
      <c r="H19" s="783">
        <f t="shared" si="4"/>
        <v>2.8192862400000003</v>
      </c>
      <c r="I19" s="783">
        <f t="shared" si="4"/>
        <v>2.7768107899999999</v>
      </c>
      <c r="J19" s="783">
        <f t="shared" si="4"/>
        <v>2.6841425099999996</v>
      </c>
      <c r="K19" s="783">
        <f t="shared" si="4"/>
        <v>2.6562397</v>
      </c>
      <c r="L19" s="783">
        <f t="shared" si="4"/>
        <v>2.6562397</v>
      </c>
      <c r="M19" s="784">
        <f t="shared" si="4"/>
        <v>2.599313</v>
      </c>
      <c r="N19" s="784">
        <f t="shared" si="4"/>
        <v>2.599313</v>
      </c>
      <c r="O19" s="784">
        <f t="shared" si="4"/>
        <v>2.6623130000000002</v>
      </c>
      <c r="P19" s="784">
        <f t="shared" si="4"/>
        <v>2.6623130000000002</v>
      </c>
      <c r="Q19" s="784">
        <f t="shared" si="4"/>
        <v>2.6623130000000002</v>
      </c>
      <c r="R19" s="784">
        <f t="shared" si="4"/>
        <v>2.7076475000000002</v>
      </c>
      <c r="S19" s="784">
        <f t="shared" si="4"/>
        <v>2.6699227799999998</v>
      </c>
      <c r="T19" s="784">
        <f t="shared" si="4"/>
        <v>2.4580871600000003</v>
      </c>
      <c r="U19" s="784">
        <f t="shared" si="4"/>
        <v>2.4454015600000001</v>
      </c>
      <c r="V19" s="784">
        <f t="shared" si="4"/>
        <v>2.9325502999999999</v>
      </c>
      <c r="W19" s="784">
        <v>3.4191944799999998</v>
      </c>
      <c r="X19" s="784">
        <v>3.4063452400000003</v>
      </c>
      <c r="Y19" s="784">
        <v>3.3829859</v>
      </c>
      <c r="Z19" s="784">
        <v>3.3694529800000002</v>
      </c>
      <c r="AA19" s="784">
        <v>3.3557439100000002</v>
      </c>
      <c r="AB19" s="784">
        <v>3.3418563999999997</v>
      </c>
      <c r="AC19" s="784">
        <v>3.3331367699999999</v>
      </c>
      <c r="AD19" s="784">
        <v>3.3239522400000001</v>
      </c>
      <c r="AE19" s="784">
        <v>3.3251662099999999</v>
      </c>
      <c r="AF19" s="784">
        <v>3.3251662099999999</v>
      </c>
      <c r="AG19" s="784">
        <v>3.3039457099999998</v>
      </c>
      <c r="AH19" s="784">
        <f>+AH17-AH18</f>
        <v>2.3027786899999998</v>
      </c>
      <c r="AI19" s="784">
        <v>2.30507975</v>
      </c>
      <c r="AJ19" s="784">
        <f>+AJ17-AJ18</f>
        <v>2.3035937400000002</v>
      </c>
      <c r="AK19" s="784">
        <f>+AK17-AK18</f>
        <v>2.3029763999999999</v>
      </c>
      <c r="AL19" s="784">
        <v>2.9057499999999999E-3</v>
      </c>
      <c r="AM19" s="784">
        <f>+AM17-AM18</f>
        <v>2.4296999999999999E-3</v>
      </c>
      <c r="AN19" s="784">
        <f>+AN17-AN18</f>
        <v>2.4296999999999999E-3</v>
      </c>
      <c r="AO19" s="784">
        <f>+AO17-AO18</f>
        <v>2.1495100000000003E-3</v>
      </c>
      <c r="AP19" s="784">
        <f>+AP17-AP18</f>
        <v>1.5647899999999999E-3</v>
      </c>
      <c r="AQ19" s="784">
        <v>1.5647899999999999E-3</v>
      </c>
      <c r="AR19" s="784">
        <f>+AR17-AR18</f>
        <v>1.26399E-3</v>
      </c>
      <c r="AS19" s="784">
        <f>+AS17-AS18</f>
        <v>6.4259000000000007E-4</v>
      </c>
      <c r="AT19" s="784">
        <f>+AT17-AT18</f>
        <v>6.4259000000000007E-4</v>
      </c>
      <c r="AU19" s="784">
        <v>0</v>
      </c>
      <c r="AV19" s="784">
        <v>0</v>
      </c>
      <c r="AW19" s="784">
        <v>0</v>
      </c>
      <c r="AX19" s="784">
        <v>0</v>
      </c>
      <c r="AY19" s="784">
        <v>0</v>
      </c>
      <c r="AZ19" s="784">
        <v>0</v>
      </c>
      <c r="BA19" s="784">
        <v>0</v>
      </c>
      <c r="BB19" s="784">
        <v>0</v>
      </c>
      <c r="BC19" s="784">
        <v>0</v>
      </c>
      <c r="BD19" s="784">
        <f>+BD17-BD18</f>
        <v>0</v>
      </c>
      <c r="BE19" s="784">
        <v>0</v>
      </c>
      <c r="BF19" s="784">
        <v>0</v>
      </c>
      <c r="BG19" s="784">
        <v>0</v>
      </c>
      <c r="BH19" s="827">
        <v>0</v>
      </c>
      <c r="BI19" s="816">
        <v>0</v>
      </c>
      <c r="BJ19" s="816">
        <v>0</v>
      </c>
      <c r="BK19" s="816">
        <v>0</v>
      </c>
      <c r="BL19" s="816">
        <v>0</v>
      </c>
      <c r="BM19" s="816">
        <v>0</v>
      </c>
      <c r="BN19" s="816">
        <v>0</v>
      </c>
      <c r="BO19" s="816">
        <v>0</v>
      </c>
      <c r="BP19" s="816">
        <v>0</v>
      </c>
      <c r="BQ19" s="816">
        <v>0</v>
      </c>
      <c r="BR19" s="816">
        <v>0</v>
      </c>
      <c r="BS19" s="816">
        <v>0</v>
      </c>
      <c r="BT19" s="816">
        <v>0</v>
      </c>
      <c r="BU19" s="816">
        <v>0</v>
      </c>
      <c r="BV19" s="816">
        <v>0</v>
      </c>
      <c r="BW19" s="816">
        <v>0</v>
      </c>
      <c r="BX19" s="816">
        <v>0</v>
      </c>
      <c r="BY19" s="816">
        <v>0</v>
      </c>
      <c r="BZ19" s="816">
        <v>0</v>
      </c>
      <c r="CA19" s="816">
        <v>0</v>
      </c>
      <c r="CB19" s="816">
        <v>0</v>
      </c>
      <c r="CC19" s="816">
        <v>0</v>
      </c>
      <c r="CD19" s="816">
        <v>0</v>
      </c>
      <c r="CE19" s="816">
        <f t="shared" ref="CE19:CP19" si="5">+CE17-CE18</f>
        <v>0</v>
      </c>
      <c r="CF19" s="816">
        <f t="shared" si="5"/>
        <v>0</v>
      </c>
      <c r="CG19" s="816">
        <f t="shared" si="5"/>
        <v>0</v>
      </c>
      <c r="CH19" s="816">
        <f t="shared" si="5"/>
        <v>0</v>
      </c>
      <c r="CI19" s="816">
        <f t="shared" si="5"/>
        <v>3.6014999999999998E-2</v>
      </c>
      <c r="CJ19" s="816">
        <f t="shared" si="5"/>
        <v>0.17</v>
      </c>
      <c r="CK19" s="816">
        <f t="shared" si="5"/>
        <v>0.16999881</v>
      </c>
      <c r="CL19" s="816">
        <f t="shared" si="5"/>
        <v>0.22813617</v>
      </c>
      <c r="CM19" s="816">
        <f t="shared" si="5"/>
        <v>0.24810538000000001</v>
      </c>
      <c r="CN19" s="816">
        <f t="shared" si="5"/>
        <v>0.26338486999999999</v>
      </c>
      <c r="CO19" s="816">
        <f t="shared" si="5"/>
        <v>0.28679180999999998</v>
      </c>
      <c r="CP19" s="816">
        <f t="shared" si="5"/>
        <v>0.27318320000000001</v>
      </c>
      <c r="CQ19" s="816">
        <f>+CQ17-CQ18</f>
        <v>2.5516420600000003</v>
      </c>
      <c r="CR19" s="816">
        <f>+CR17-CR18</f>
        <v>6.5469235299999999</v>
      </c>
      <c r="CS19" s="816">
        <f>+CS17-CS18</f>
        <v>6.5372503200000001</v>
      </c>
      <c r="CT19" s="816">
        <v>6.5357042500000002</v>
      </c>
      <c r="CU19" s="816">
        <v>6.56729479</v>
      </c>
      <c r="CV19" s="816">
        <v>6.6029321799999998</v>
      </c>
      <c r="CW19" s="816">
        <v>5.7637168000000001</v>
      </c>
      <c r="CX19" s="816">
        <v>5.6817105699999999</v>
      </c>
      <c r="CY19" s="816">
        <v>5.5884434000000001</v>
      </c>
      <c r="CZ19" s="816">
        <v>5.4598165300000003</v>
      </c>
      <c r="DA19" s="816">
        <v>5.3929222000000001</v>
      </c>
      <c r="DB19" s="816">
        <v>5.3089718299999999</v>
      </c>
      <c r="DC19" s="816">
        <v>5.3413550499999998</v>
      </c>
      <c r="DD19" s="886">
        <v>5.2810724699999998</v>
      </c>
      <c r="DE19" s="886">
        <v>4.3113288699999996</v>
      </c>
      <c r="DF19" s="886">
        <v>4.3413278699999998</v>
      </c>
      <c r="DG19" s="839">
        <v>4.3603377200000004</v>
      </c>
      <c r="DH19" s="839">
        <v>0.34827711</v>
      </c>
      <c r="DI19" s="839">
        <v>0.33360413999999999</v>
      </c>
      <c r="DJ19" s="839">
        <v>0.30063297</v>
      </c>
      <c r="DK19" s="839">
        <v>0.30405411999999998</v>
      </c>
      <c r="DL19" s="839">
        <v>5.7688247500000003</v>
      </c>
      <c r="DM19" s="839">
        <v>0.10602584</v>
      </c>
      <c r="DN19" s="839">
        <v>0.11482098</v>
      </c>
      <c r="DO19" s="839">
        <v>0.42209913999999998</v>
      </c>
      <c r="DP19" s="839">
        <v>0.43780026999999999</v>
      </c>
      <c r="DQ19" s="839">
        <v>9.8862350000000002E-2</v>
      </c>
      <c r="DR19" s="839">
        <v>9.4607689999999994E-2</v>
      </c>
      <c r="DS19" s="839">
        <v>0.2114558</v>
      </c>
      <c r="DT19" s="839">
        <v>0.20791689999999999</v>
      </c>
      <c r="DU19" s="839">
        <v>10.242612449999999</v>
      </c>
      <c r="DV19" s="839">
        <v>9.59196676</v>
      </c>
      <c r="DW19" s="839">
        <v>8.8117587799999999</v>
      </c>
      <c r="DX19" s="839">
        <v>7.9343709100000002</v>
      </c>
      <c r="DY19" s="839">
        <v>6.9759928100000002</v>
      </c>
      <c r="DZ19" s="839">
        <v>6.9985704999999996</v>
      </c>
      <c r="EA19" s="839">
        <v>6.0937587500000001</v>
      </c>
      <c r="EB19" s="839">
        <v>5.18080769</v>
      </c>
      <c r="EC19" s="839">
        <v>4.2528200900000002</v>
      </c>
      <c r="ED19" s="839">
        <v>3.3433034400000001</v>
      </c>
      <c r="EE19" s="839">
        <v>2.4287300599999999</v>
      </c>
      <c r="EF19" s="839">
        <v>1.5043004799999999</v>
      </c>
      <c r="EG19" s="839">
        <v>0.88730291999999999</v>
      </c>
      <c r="EH19" s="839">
        <v>0.49749330000000003</v>
      </c>
      <c r="EI19" s="839">
        <v>2.27278834</v>
      </c>
      <c r="EJ19" s="839">
        <v>4.89761047</v>
      </c>
      <c r="EK19" s="839">
        <v>5.9113099499999997</v>
      </c>
      <c r="EL19" s="839">
        <v>6.64221065</v>
      </c>
      <c r="EM19" s="839">
        <v>6.5805498199999999</v>
      </c>
      <c r="EN19" s="839">
        <v>6.0891249299999997</v>
      </c>
      <c r="EO19" s="839">
        <v>6.3854811199999997</v>
      </c>
      <c r="EP19" s="839">
        <v>6.1574565300000001</v>
      </c>
      <c r="EQ19" s="839">
        <v>5.8259489999999996</v>
      </c>
      <c r="ER19" s="839">
        <v>5.6733278599999997</v>
      </c>
      <c r="ES19" s="839">
        <v>5.6079166100000002</v>
      </c>
      <c r="ET19" s="839">
        <v>6.3517808799999997</v>
      </c>
      <c r="EU19" s="839">
        <v>5.20815698</v>
      </c>
      <c r="EV19" s="839">
        <v>5.05637399</v>
      </c>
      <c r="EW19" s="839">
        <v>3.8502446799999999</v>
      </c>
      <c r="EX19" s="839">
        <v>4.5041087600000003</v>
      </c>
      <c r="EY19" s="839">
        <v>4.5228568500000002</v>
      </c>
      <c r="EZ19" s="839">
        <v>4.4265805800000004</v>
      </c>
      <c r="FA19" s="839">
        <v>4.8908418500000002</v>
      </c>
      <c r="FB19" s="839">
        <v>4.6877450300000003</v>
      </c>
      <c r="FC19" s="839">
        <v>3.5373998100000001</v>
      </c>
      <c r="FD19" s="839">
        <v>3.4951205399999998</v>
      </c>
      <c r="FE19" s="839">
        <v>5.3533052000000003</v>
      </c>
      <c r="FF19" s="839">
        <v>6.5804014999999998</v>
      </c>
      <c r="FG19" s="839">
        <v>7.0759121199999999</v>
      </c>
      <c r="FH19" s="1716" t="s">
        <v>4066</v>
      </c>
      <c r="FM19" s="321"/>
    </row>
    <row r="20" spans="1:169" ht="21">
      <c r="A20" s="1744"/>
      <c r="B20" s="780"/>
      <c r="C20" s="780"/>
      <c r="D20" s="780"/>
      <c r="E20" s="780"/>
      <c r="F20" s="780"/>
      <c r="G20" s="780"/>
      <c r="H20" s="780"/>
      <c r="I20" s="780"/>
      <c r="J20" s="780"/>
      <c r="K20" s="780"/>
      <c r="L20" s="780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  <c r="AD20" s="781"/>
      <c r="AE20" s="781"/>
      <c r="AF20" s="781"/>
      <c r="AG20" s="781"/>
      <c r="AH20" s="781"/>
      <c r="AI20" s="781"/>
      <c r="AJ20" s="781"/>
      <c r="AK20" s="781"/>
      <c r="AL20" s="781"/>
      <c r="AM20" s="781"/>
      <c r="AN20" s="781"/>
      <c r="AO20" s="781"/>
      <c r="AP20" s="781"/>
      <c r="AQ20" s="781"/>
      <c r="AR20" s="781"/>
      <c r="AS20" s="781"/>
      <c r="AT20" s="781"/>
      <c r="AU20" s="781"/>
      <c r="AV20" s="781"/>
      <c r="AW20" s="781"/>
      <c r="AX20" s="781"/>
      <c r="AY20" s="781"/>
      <c r="AZ20" s="781"/>
      <c r="BA20" s="781"/>
      <c r="BB20" s="781"/>
      <c r="BC20" s="781"/>
      <c r="BD20" s="781"/>
      <c r="BE20" s="781"/>
      <c r="BF20" s="781"/>
      <c r="BG20" s="781"/>
      <c r="BH20" s="826"/>
      <c r="BI20" s="815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5"/>
      <c r="CN20" s="815"/>
      <c r="CO20" s="815"/>
      <c r="CP20" s="815"/>
      <c r="CQ20" s="815"/>
      <c r="CR20" s="815"/>
      <c r="CS20" s="815"/>
      <c r="CT20" s="815"/>
      <c r="CU20" s="815"/>
      <c r="CV20" s="815"/>
      <c r="CW20" s="815"/>
      <c r="CX20" s="815"/>
      <c r="CY20" s="815"/>
      <c r="CZ20" s="815"/>
      <c r="DA20" s="815"/>
      <c r="DB20" s="815"/>
      <c r="DC20" s="815"/>
      <c r="DD20" s="885"/>
      <c r="DE20" s="885"/>
      <c r="DF20" s="885"/>
      <c r="DG20" s="838"/>
      <c r="DH20" s="838"/>
      <c r="DI20" s="838"/>
      <c r="DJ20" s="838"/>
      <c r="DK20" s="838"/>
      <c r="DL20" s="838"/>
      <c r="DM20" s="838"/>
      <c r="DN20" s="838"/>
      <c r="DO20" s="838"/>
      <c r="DP20" s="838"/>
      <c r="DQ20" s="838"/>
      <c r="DR20" s="838"/>
      <c r="DS20" s="838"/>
      <c r="DT20" s="838"/>
      <c r="DU20" s="838"/>
      <c r="DV20" s="838"/>
      <c r="DW20" s="838"/>
      <c r="DX20" s="838"/>
      <c r="DY20" s="838"/>
      <c r="DZ20" s="838"/>
      <c r="EA20" s="838"/>
      <c r="EB20" s="838"/>
      <c r="EC20" s="838"/>
      <c r="ED20" s="838"/>
      <c r="EE20" s="838"/>
      <c r="EF20" s="838"/>
      <c r="EG20" s="838"/>
      <c r="EH20" s="838"/>
      <c r="EI20" s="838"/>
      <c r="EJ20" s="838"/>
      <c r="EK20" s="838"/>
      <c r="EL20" s="838"/>
      <c r="EM20" s="838"/>
      <c r="EN20" s="838"/>
      <c r="EO20" s="838"/>
      <c r="EP20" s="838"/>
      <c r="EQ20" s="838"/>
      <c r="ER20" s="838"/>
      <c r="ES20" s="838"/>
      <c r="ET20" s="838"/>
      <c r="EU20" s="838"/>
      <c r="EV20" s="838"/>
      <c r="EW20" s="838"/>
      <c r="EX20" s="838"/>
      <c r="EY20" s="838"/>
      <c r="EZ20" s="838"/>
      <c r="FA20" s="838"/>
      <c r="FB20" s="838"/>
      <c r="FC20" s="838"/>
      <c r="FD20" s="838"/>
      <c r="FE20" s="838"/>
      <c r="FF20" s="838"/>
      <c r="FG20" s="838"/>
      <c r="FH20" s="1714"/>
      <c r="FM20" s="321"/>
    </row>
    <row r="21" spans="1:169" ht="21">
      <c r="A21" s="1744" t="s">
        <v>2742</v>
      </c>
      <c r="B21" s="783">
        <v>7.8047800000000001E-2</v>
      </c>
      <c r="C21" s="783">
        <v>0.13717519</v>
      </c>
      <c r="D21" s="783">
        <v>0.13733999999999999</v>
      </c>
      <c r="E21" s="783">
        <v>0.13730500000000001</v>
      </c>
      <c r="F21" s="783">
        <v>0.13730500000000001</v>
      </c>
      <c r="G21" s="783">
        <v>0.13728750000000001</v>
      </c>
      <c r="H21" s="783">
        <v>0.13728750000000001</v>
      </c>
      <c r="I21" s="783">
        <v>9.8049999999999998E-2</v>
      </c>
      <c r="J21" s="783">
        <v>9.8062499999999997E-2</v>
      </c>
      <c r="K21" s="783">
        <v>9.8062499999999997E-2</v>
      </c>
      <c r="L21" s="783">
        <v>9.8049999999999998E-2</v>
      </c>
      <c r="M21" s="781">
        <v>9.8062499999999997E-2</v>
      </c>
      <c r="N21" s="784">
        <v>9.8025000000000001E-2</v>
      </c>
      <c r="O21" s="784">
        <v>9.8049999999999998E-2</v>
      </c>
      <c r="P21" s="784">
        <v>9.80375E-2</v>
      </c>
      <c r="Q21" s="784">
        <v>9.80375E-2</v>
      </c>
      <c r="R21" s="784">
        <v>9.8049999999999998E-2</v>
      </c>
      <c r="S21" s="784">
        <v>9.80375E-2</v>
      </c>
      <c r="T21" s="784">
        <v>8.6779029999999993E-2</v>
      </c>
      <c r="U21" s="784">
        <v>0.48680122999999997</v>
      </c>
      <c r="V21" s="784">
        <v>0.80970498999999996</v>
      </c>
      <c r="W21" s="784">
        <v>0.98739275000000004</v>
      </c>
      <c r="X21" s="784">
        <v>1.3802924399999998</v>
      </c>
      <c r="Y21" s="781">
        <v>1.62000901</v>
      </c>
      <c r="Z21" s="784">
        <v>1.6343196</v>
      </c>
      <c r="AA21" s="784">
        <v>2.3159765099999996</v>
      </c>
      <c r="AB21" s="781">
        <v>2.3365006400000001</v>
      </c>
      <c r="AC21" s="781">
        <v>2.3609036699999999</v>
      </c>
      <c r="AD21" s="781">
        <v>2.3609036699999999</v>
      </c>
      <c r="AE21" s="781">
        <v>1.3812801699999999</v>
      </c>
      <c r="AF21" s="781">
        <v>1.3812801699999999</v>
      </c>
      <c r="AG21" s="781">
        <v>1.6438123600000001</v>
      </c>
      <c r="AH21" s="781">
        <v>1.61800707</v>
      </c>
      <c r="AI21" s="781">
        <v>1.6094662500000001</v>
      </c>
      <c r="AJ21" s="781">
        <v>1.5941239299999999</v>
      </c>
      <c r="AK21" s="781">
        <v>2.3204904399999999</v>
      </c>
      <c r="AL21" s="781">
        <v>2.1406699300000001</v>
      </c>
      <c r="AM21" s="781">
        <v>2.0934650000000001</v>
      </c>
      <c r="AN21" s="781">
        <v>0</v>
      </c>
      <c r="AO21" s="781">
        <v>0</v>
      </c>
      <c r="AP21" s="781">
        <v>0</v>
      </c>
      <c r="AQ21" s="781">
        <v>0</v>
      </c>
      <c r="AR21" s="781">
        <v>0</v>
      </c>
      <c r="AS21" s="781">
        <v>0</v>
      </c>
      <c r="AT21" s="781">
        <f>AT13-AT17</f>
        <v>0</v>
      </c>
      <c r="AU21" s="781">
        <v>0</v>
      </c>
      <c r="AV21" s="781">
        <v>0</v>
      </c>
      <c r="AW21" s="781">
        <v>0</v>
      </c>
      <c r="AX21" s="781">
        <v>0</v>
      </c>
      <c r="AY21" s="781">
        <v>0</v>
      </c>
      <c r="AZ21" s="781">
        <v>0</v>
      </c>
      <c r="BA21" s="781">
        <v>0</v>
      </c>
      <c r="BB21" s="781">
        <v>0</v>
      </c>
      <c r="BC21" s="781">
        <v>0</v>
      </c>
      <c r="BD21" s="781">
        <v>0</v>
      </c>
      <c r="BE21" s="781">
        <v>0</v>
      </c>
      <c r="BF21" s="781">
        <v>0</v>
      </c>
      <c r="BG21" s="781">
        <v>0</v>
      </c>
      <c r="BH21" s="826">
        <v>0</v>
      </c>
      <c r="BI21" s="815">
        <v>0</v>
      </c>
      <c r="BJ21" s="815">
        <v>0</v>
      </c>
      <c r="BK21" s="815">
        <v>0</v>
      </c>
      <c r="BL21" s="815">
        <v>3.4</v>
      </c>
      <c r="BM21" s="815">
        <v>3.4</v>
      </c>
      <c r="BN21" s="815">
        <v>3.4</v>
      </c>
      <c r="BO21" s="815">
        <v>3.4</v>
      </c>
      <c r="BP21" s="815">
        <v>3.4</v>
      </c>
      <c r="BQ21" s="815">
        <v>2.9750000000000001</v>
      </c>
      <c r="BR21" s="815">
        <v>2.9750000000000001</v>
      </c>
      <c r="BS21" s="815">
        <v>2.9750000000000001</v>
      </c>
      <c r="BT21" s="815">
        <v>2.9750000000000001</v>
      </c>
      <c r="BU21" s="815">
        <v>2.9750000000000001</v>
      </c>
      <c r="BV21" s="815">
        <v>2.9750000000000001</v>
      </c>
      <c r="BW21" s="815">
        <v>2.9750000000000001</v>
      </c>
      <c r="BX21" s="815">
        <v>2.9750000000000001</v>
      </c>
      <c r="BY21" s="815">
        <v>2.9750000000000001</v>
      </c>
      <c r="BZ21" s="815">
        <v>2.9750000000000001</v>
      </c>
      <c r="CA21" s="815">
        <v>2.9750000000000001</v>
      </c>
      <c r="CB21" s="815">
        <v>2.9750000000000001</v>
      </c>
      <c r="CC21" s="815">
        <v>2.9750000000000001</v>
      </c>
      <c r="CD21" s="815">
        <v>2.9750000000000001</v>
      </c>
      <c r="CE21" s="815">
        <v>3.145</v>
      </c>
      <c r="CF21" s="815">
        <v>3.3149999999999999</v>
      </c>
      <c r="CG21" s="815">
        <v>3.3149999999999999</v>
      </c>
      <c r="CH21" s="815">
        <v>3.3149999999999999</v>
      </c>
      <c r="CI21" s="815">
        <v>3.3149999999999999</v>
      </c>
      <c r="CJ21" s="815">
        <v>3.3149999999999999</v>
      </c>
      <c r="CK21" s="815">
        <v>3.4510000000000001</v>
      </c>
      <c r="CL21" s="815">
        <v>3.67491616</v>
      </c>
      <c r="CM21" s="815">
        <v>3.6699677899999998</v>
      </c>
      <c r="CN21" s="815">
        <v>3.6650029500000003</v>
      </c>
      <c r="CO21" s="815">
        <v>3.6600104999999998</v>
      </c>
      <c r="CP21" s="815">
        <v>6.2950652999999992</v>
      </c>
      <c r="CQ21" s="815">
        <v>6.8110514100000001</v>
      </c>
      <c r="CR21" s="815">
        <v>10.41452995</v>
      </c>
      <c r="CS21" s="815">
        <v>10.092981870000001</v>
      </c>
      <c r="CT21" s="815">
        <v>9.3033774999999999</v>
      </c>
      <c r="CU21" s="815">
        <v>8.0480916899999997</v>
      </c>
      <c r="CV21" s="815">
        <v>7.6060916900000004</v>
      </c>
      <c r="CW21" s="815">
        <v>6.58246193</v>
      </c>
      <c r="CX21" s="815">
        <v>5.8978254000000003</v>
      </c>
      <c r="CY21" s="815">
        <v>6.2321778800000001</v>
      </c>
      <c r="CZ21" s="815">
        <v>7.5921778800000004</v>
      </c>
      <c r="DA21" s="815">
        <v>9.0371778799999998</v>
      </c>
      <c r="DB21" s="815">
        <v>9.9041778800000007</v>
      </c>
      <c r="DC21" s="815">
        <v>9.3840000000000003</v>
      </c>
      <c r="DD21" s="885">
        <v>8.1685459999999992</v>
      </c>
      <c r="DE21" s="885">
        <v>9.1800460000000008</v>
      </c>
      <c r="DF21" s="885">
        <v>9.3518082400000004</v>
      </c>
      <c r="DG21" s="838">
        <v>8.89382348</v>
      </c>
      <c r="DH21" s="838">
        <v>8.0352649799999991</v>
      </c>
      <c r="DI21" s="838">
        <v>9.96462498</v>
      </c>
      <c r="DJ21" s="838">
        <v>9.8106447699999997</v>
      </c>
      <c r="DK21" s="838">
        <v>10.13559031</v>
      </c>
      <c r="DL21" s="838">
        <v>12.762150289999999</v>
      </c>
      <c r="DM21" s="838">
        <v>13.059840919999999</v>
      </c>
      <c r="DN21" s="838">
        <v>13.16824366</v>
      </c>
      <c r="DO21" s="838">
        <v>13.172975470000001</v>
      </c>
      <c r="DP21" s="838">
        <v>13.15866538</v>
      </c>
      <c r="DQ21" s="838">
        <v>10.35825316</v>
      </c>
      <c r="DR21" s="838">
        <v>9.4614181800000008</v>
      </c>
      <c r="DS21" s="838">
        <v>8.5185585600000007</v>
      </c>
      <c r="DT21" s="838">
        <v>7.5815186800000003</v>
      </c>
      <c r="DU21" s="838">
        <v>5.9781328900000004</v>
      </c>
      <c r="DV21" s="838">
        <v>7.0343148700000002</v>
      </c>
      <c r="DW21" s="838">
        <v>8.5055035799999992</v>
      </c>
      <c r="DX21" s="838">
        <v>7.7772083199999997</v>
      </c>
      <c r="DY21" s="838">
        <v>8.22609675</v>
      </c>
      <c r="DZ21" s="838">
        <v>7.9810160999999997</v>
      </c>
      <c r="EA21" s="838">
        <v>7.7349142899999999</v>
      </c>
      <c r="EB21" s="838">
        <v>7.3890182099999997</v>
      </c>
      <c r="EC21" s="838">
        <v>6.9859275900000002</v>
      </c>
      <c r="ED21" s="838">
        <v>6.4862201700000002</v>
      </c>
      <c r="EE21" s="838">
        <v>5.9841391499999999</v>
      </c>
      <c r="EF21" s="838">
        <v>1.98208612</v>
      </c>
      <c r="EG21" s="838">
        <v>1.51559351</v>
      </c>
      <c r="EH21" s="838">
        <v>0.72354138999999995</v>
      </c>
      <c r="EI21" s="838">
        <v>0.49991493999999997</v>
      </c>
      <c r="EJ21" s="838">
        <v>0.49991493999999997</v>
      </c>
      <c r="EK21" s="838">
        <v>0.51</v>
      </c>
      <c r="EL21" s="838">
        <v>0.51</v>
      </c>
      <c r="EM21" s="838">
        <v>0.51</v>
      </c>
      <c r="EN21" s="838">
        <v>0.51</v>
      </c>
      <c r="EO21" s="838">
        <v>0.51</v>
      </c>
      <c r="EP21" s="838">
        <v>0.51</v>
      </c>
      <c r="EQ21" s="838">
        <v>0.51</v>
      </c>
      <c r="ER21" s="838">
        <v>0.51</v>
      </c>
      <c r="ES21" s="838">
        <v>0.51</v>
      </c>
      <c r="ET21" s="838">
        <v>0.51</v>
      </c>
      <c r="EU21" s="838">
        <v>0</v>
      </c>
      <c r="EV21" s="838">
        <v>0</v>
      </c>
      <c r="EW21" s="838">
        <v>0</v>
      </c>
      <c r="EX21" s="838">
        <v>0</v>
      </c>
      <c r="EY21" s="838">
        <v>0</v>
      </c>
      <c r="EZ21" s="838">
        <v>0</v>
      </c>
      <c r="FA21" s="838">
        <v>0.40799999999999997</v>
      </c>
      <c r="FB21" s="838">
        <v>0.64685000000000004</v>
      </c>
      <c r="FC21" s="838">
        <v>1.02935</v>
      </c>
      <c r="FD21" s="838">
        <v>2.0578500000000002</v>
      </c>
      <c r="FE21" s="838">
        <v>3.0125700000000002</v>
      </c>
      <c r="FF21" s="838">
        <v>3.4399500000000001</v>
      </c>
      <c r="FG21" s="838">
        <v>4.0466800000000003</v>
      </c>
      <c r="FH21" s="1714" t="s">
        <v>4068</v>
      </c>
      <c r="FM21" s="321"/>
    </row>
    <row r="22" spans="1:169" ht="21">
      <c r="A22" s="1745" t="s">
        <v>1961</v>
      </c>
      <c r="B22" s="783">
        <v>0</v>
      </c>
      <c r="C22" s="783">
        <v>0</v>
      </c>
      <c r="D22" s="783">
        <v>0</v>
      </c>
      <c r="E22" s="783">
        <v>0</v>
      </c>
      <c r="F22" s="783">
        <v>0</v>
      </c>
      <c r="G22" s="783">
        <v>0</v>
      </c>
      <c r="H22" s="783">
        <v>0</v>
      </c>
      <c r="I22" s="783">
        <v>0</v>
      </c>
      <c r="J22" s="783">
        <v>0</v>
      </c>
      <c r="K22" s="783">
        <v>0</v>
      </c>
      <c r="L22" s="783">
        <v>0</v>
      </c>
      <c r="M22" s="784">
        <v>0</v>
      </c>
      <c r="N22" s="784">
        <v>0</v>
      </c>
      <c r="O22" s="784">
        <v>0</v>
      </c>
      <c r="P22" s="784">
        <v>0</v>
      </c>
      <c r="Q22" s="784">
        <v>0</v>
      </c>
      <c r="R22" s="784">
        <v>0</v>
      </c>
      <c r="S22" s="784">
        <v>0</v>
      </c>
      <c r="T22" s="784">
        <v>0</v>
      </c>
      <c r="U22" s="784">
        <v>0</v>
      </c>
      <c r="V22" s="784">
        <v>0</v>
      </c>
      <c r="W22" s="784">
        <v>0</v>
      </c>
      <c r="X22" s="784">
        <v>0</v>
      </c>
      <c r="Y22" s="784">
        <v>0</v>
      </c>
      <c r="Z22" s="784">
        <v>0</v>
      </c>
      <c r="AA22" s="784">
        <v>0</v>
      </c>
      <c r="AB22" s="784">
        <v>0</v>
      </c>
      <c r="AC22" s="784">
        <v>0</v>
      </c>
      <c r="AD22" s="784">
        <v>0</v>
      </c>
      <c r="AE22" s="784">
        <v>0</v>
      </c>
      <c r="AF22" s="784">
        <v>0</v>
      </c>
      <c r="AG22" s="784">
        <v>0</v>
      </c>
      <c r="AH22" s="784">
        <v>0</v>
      </c>
      <c r="AI22" s="784">
        <v>0</v>
      </c>
      <c r="AJ22" s="784">
        <v>0</v>
      </c>
      <c r="AK22" s="784">
        <v>0</v>
      </c>
      <c r="AL22" s="784">
        <v>0</v>
      </c>
      <c r="AM22" s="784">
        <v>0</v>
      </c>
      <c r="AN22" s="784">
        <v>0</v>
      </c>
      <c r="AO22" s="784">
        <v>0</v>
      </c>
      <c r="AP22" s="784">
        <v>0</v>
      </c>
      <c r="AQ22" s="784">
        <v>0</v>
      </c>
      <c r="AR22" s="784">
        <v>0</v>
      </c>
      <c r="AS22" s="784">
        <v>0</v>
      </c>
      <c r="AT22" s="784">
        <f>AT14-AT18</f>
        <v>0</v>
      </c>
      <c r="AU22" s="784">
        <v>0</v>
      </c>
      <c r="AV22" s="784">
        <v>0</v>
      </c>
      <c r="AW22" s="784">
        <v>0</v>
      </c>
      <c r="AX22" s="784">
        <v>0</v>
      </c>
      <c r="AY22" s="784">
        <v>0</v>
      </c>
      <c r="AZ22" s="784">
        <v>0</v>
      </c>
      <c r="BA22" s="784">
        <v>0</v>
      </c>
      <c r="BB22" s="784">
        <v>0</v>
      </c>
      <c r="BC22" s="784">
        <v>0</v>
      </c>
      <c r="BD22" s="784">
        <v>0</v>
      </c>
      <c r="BE22" s="784">
        <v>0</v>
      </c>
      <c r="BF22" s="784">
        <v>0</v>
      </c>
      <c r="BG22" s="784">
        <v>0</v>
      </c>
      <c r="BH22" s="827">
        <v>0</v>
      </c>
      <c r="BI22" s="816">
        <v>0</v>
      </c>
      <c r="BJ22" s="816">
        <v>0</v>
      </c>
      <c r="BK22" s="816">
        <v>0</v>
      </c>
      <c r="BL22" s="816">
        <v>0</v>
      </c>
      <c r="BM22" s="816">
        <v>0</v>
      </c>
      <c r="BN22" s="816">
        <v>0</v>
      </c>
      <c r="BO22" s="816">
        <v>0</v>
      </c>
      <c r="BP22" s="816">
        <v>0</v>
      </c>
      <c r="BQ22" s="816">
        <v>0</v>
      </c>
      <c r="BR22" s="816">
        <v>0</v>
      </c>
      <c r="BS22" s="816">
        <v>0</v>
      </c>
      <c r="BT22" s="816">
        <v>0</v>
      </c>
      <c r="BU22" s="816">
        <v>0</v>
      </c>
      <c r="BV22" s="816">
        <v>0</v>
      </c>
      <c r="BW22" s="816">
        <v>0</v>
      </c>
      <c r="BX22" s="816">
        <v>0</v>
      </c>
      <c r="BY22" s="816">
        <v>0</v>
      </c>
      <c r="BZ22" s="816">
        <v>0</v>
      </c>
      <c r="CA22" s="816">
        <v>0</v>
      </c>
      <c r="CB22" s="816">
        <v>0</v>
      </c>
      <c r="CC22" s="816">
        <v>0</v>
      </c>
      <c r="CD22" s="816">
        <v>0</v>
      </c>
      <c r="CE22" s="816">
        <v>0</v>
      </c>
      <c r="CF22" s="816">
        <v>0</v>
      </c>
      <c r="CG22" s="816">
        <v>0</v>
      </c>
      <c r="CH22" s="816">
        <v>0</v>
      </c>
      <c r="CI22" s="816">
        <v>0</v>
      </c>
      <c r="CJ22" s="816">
        <v>0</v>
      </c>
      <c r="CK22" s="816">
        <v>0</v>
      </c>
      <c r="CL22" s="816">
        <v>0</v>
      </c>
      <c r="CM22" s="816">
        <v>0</v>
      </c>
      <c r="CN22" s="816">
        <v>0</v>
      </c>
      <c r="CO22" s="816">
        <v>0</v>
      </c>
      <c r="CP22" s="816">
        <v>0</v>
      </c>
      <c r="CQ22" s="816">
        <v>0</v>
      </c>
      <c r="CR22" s="816">
        <v>0</v>
      </c>
      <c r="CS22" s="816">
        <v>0</v>
      </c>
      <c r="CT22" s="816">
        <v>0</v>
      </c>
      <c r="CU22" s="816">
        <v>0</v>
      </c>
      <c r="CV22" s="816">
        <v>0</v>
      </c>
      <c r="CW22" s="816">
        <v>0</v>
      </c>
      <c r="CX22" s="816">
        <v>0</v>
      </c>
      <c r="CY22" s="816">
        <v>0</v>
      </c>
      <c r="CZ22" s="816">
        <v>0</v>
      </c>
      <c r="DA22" s="816">
        <v>0</v>
      </c>
      <c r="DB22" s="816">
        <v>0</v>
      </c>
      <c r="DC22" s="816">
        <v>0</v>
      </c>
      <c r="DD22" s="886">
        <v>0</v>
      </c>
      <c r="DE22" s="886">
        <v>0</v>
      </c>
      <c r="DF22" s="886">
        <v>0</v>
      </c>
      <c r="DG22" s="839">
        <v>0</v>
      </c>
      <c r="DH22" s="839">
        <v>0</v>
      </c>
      <c r="DI22" s="839">
        <v>0</v>
      </c>
      <c r="DJ22" s="839">
        <v>0</v>
      </c>
      <c r="DK22" s="839">
        <v>0</v>
      </c>
      <c r="DL22" s="839">
        <v>0</v>
      </c>
      <c r="DM22" s="839">
        <v>0</v>
      </c>
      <c r="DN22" s="839">
        <v>0</v>
      </c>
      <c r="DO22" s="839">
        <v>0</v>
      </c>
      <c r="DP22" s="839">
        <v>0</v>
      </c>
      <c r="DQ22" s="839">
        <v>0</v>
      </c>
      <c r="DR22" s="839">
        <v>0</v>
      </c>
      <c r="DS22" s="839">
        <v>0</v>
      </c>
      <c r="DT22" s="839">
        <v>0</v>
      </c>
      <c r="DU22" s="839">
        <v>0</v>
      </c>
      <c r="DV22" s="839">
        <v>0</v>
      </c>
      <c r="DW22" s="839">
        <v>0</v>
      </c>
      <c r="DX22" s="839">
        <v>0</v>
      </c>
      <c r="DY22" s="839">
        <v>0</v>
      </c>
      <c r="DZ22" s="839">
        <v>0</v>
      </c>
      <c r="EA22" s="839">
        <v>0</v>
      </c>
      <c r="EB22" s="839">
        <v>0</v>
      </c>
      <c r="EC22" s="839">
        <v>0</v>
      </c>
      <c r="ED22" s="839">
        <v>0</v>
      </c>
      <c r="EE22" s="839">
        <v>0</v>
      </c>
      <c r="EF22" s="839">
        <v>0</v>
      </c>
      <c r="EG22" s="839">
        <v>0</v>
      </c>
      <c r="EH22" s="839">
        <v>0</v>
      </c>
      <c r="EI22" s="839">
        <v>0</v>
      </c>
      <c r="EJ22" s="839">
        <v>0</v>
      </c>
      <c r="EK22" s="839">
        <v>0</v>
      </c>
      <c r="EL22" s="839">
        <v>0</v>
      </c>
      <c r="EM22" s="839">
        <v>0</v>
      </c>
      <c r="EN22" s="839">
        <v>0</v>
      </c>
      <c r="EO22" s="839">
        <v>0</v>
      </c>
      <c r="EP22" s="839">
        <v>0</v>
      </c>
      <c r="EQ22" s="839">
        <v>0</v>
      </c>
      <c r="ER22" s="839">
        <v>0</v>
      </c>
      <c r="ES22" s="839">
        <v>0</v>
      </c>
      <c r="ET22" s="839">
        <v>0</v>
      </c>
      <c r="EU22" s="839">
        <v>0</v>
      </c>
      <c r="EV22" s="839">
        <v>0</v>
      </c>
      <c r="EW22" s="839">
        <v>0</v>
      </c>
      <c r="EX22" s="839">
        <v>0</v>
      </c>
      <c r="EY22" s="839">
        <v>0</v>
      </c>
      <c r="EZ22" s="839">
        <v>0</v>
      </c>
      <c r="FA22" s="839">
        <v>0</v>
      </c>
      <c r="FB22" s="839">
        <v>0</v>
      </c>
      <c r="FC22" s="839">
        <v>0</v>
      </c>
      <c r="FD22" s="839">
        <v>0</v>
      </c>
      <c r="FE22" s="839">
        <v>0</v>
      </c>
      <c r="FF22" s="839">
        <v>0</v>
      </c>
      <c r="FG22" s="839">
        <v>0</v>
      </c>
      <c r="FH22" s="1716" t="s">
        <v>4067</v>
      </c>
      <c r="FM22" s="321"/>
    </row>
    <row r="23" spans="1:169" ht="21">
      <c r="A23" s="1745" t="s">
        <v>1962</v>
      </c>
      <c r="B23" s="780">
        <f>+B21-B22</f>
        <v>7.8047800000000001E-2</v>
      </c>
      <c r="C23" s="783">
        <f t="shared" ref="C23:V23" si="6">+C21-C22</f>
        <v>0.13717519</v>
      </c>
      <c r="D23" s="783">
        <f t="shared" si="6"/>
        <v>0.13733999999999999</v>
      </c>
      <c r="E23" s="783">
        <f t="shared" si="6"/>
        <v>0.13730500000000001</v>
      </c>
      <c r="F23" s="783">
        <f t="shared" si="6"/>
        <v>0.13730500000000001</v>
      </c>
      <c r="G23" s="783">
        <f t="shared" si="6"/>
        <v>0.13728750000000001</v>
      </c>
      <c r="H23" s="783">
        <f t="shared" si="6"/>
        <v>0.13728750000000001</v>
      </c>
      <c r="I23" s="783">
        <f t="shared" si="6"/>
        <v>9.8049999999999998E-2</v>
      </c>
      <c r="J23" s="783">
        <f t="shared" si="6"/>
        <v>9.8062499999999997E-2</v>
      </c>
      <c r="K23" s="783">
        <f t="shared" si="6"/>
        <v>9.8062499999999997E-2</v>
      </c>
      <c r="L23" s="783">
        <f t="shared" si="6"/>
        <v>9.8049999999999998E-2</v>
      </c>
      <c r="M23" s="784">
        <f t="shared" si="6"/>
        <v>9.8062499999999997E-2</v>
      </c>
      <c r="N23" s="784">
        <f t="shared" si="6"/>
        <v>9.8025000000000001E-2</v>
      </c>
      <c r="O23" s="784">
        <f t="shared" si="6"/>
        <v>9.8049999999999998E-2</v>
      </c>
      <c r="P23" s="781">
        <f t="shared" si="6"/>
        <v>9.80375E-2</v>
      </c>
      <c r="Q23" s="781">
        <f t="shared" si="6"/>
        <v>9.80375E-2</v>
      </c>
      <c r="R23" s="781">
        <f t="shared" si="6"/>
        <v>9.8049999999999998E-2</v>
      </c>
      <c r="S23" s="781">
        <f t="shared" si="6"/>
        <v>9.80375E-2</v>
      </c>
      <c r="T23" s="781">
        <f t="shared" si="6"/>
        <v>8.6779029999999993E-2</v>
      </c>
      <c r="U23" s="781">
        <f t="shared" si="6"/>
        <v>0.48680122999999997</v>
      </c>
      <c r="V23" s="781">
        <f t="shared" si="6"/>
        <v>0.80970498999999996</v>
      </c>
      <c r="W23" s="781">
        <v>0.98739275000000004</v>
      </c>
      <c r="X23" s="781">
        <v>1.3802924399999998</v>
      </c>
      <c r="Y23" s="784">
        <v>1.62000901</v>
      </c>
      <c r="Z23" s="781">
        <v>1.6343196</v>
      </c>
      <c r="AA23" s="784">
        <v>2.3159765099999996</v>
      </c>
      <c r="AB23" s="784">
        <v>2.3365006400000001</v>
      </c>
      <c r="AC23" s="784">
        <v>2.3609036699999999</v>
      </c>
      <c r="AD23" s="784">
        <v>2.3609036699999999</v>
      </c>
      <c r="AE23" s="784">
        <v>1.3812801699999999</v>
      </c>
      <c r="AF23" s="784">
        <v>1.3812801699999999</v>
      </c>
      <c r="AG23" s="784">
        <v>1.6438123600000001</v>
      </c>
      <c r="AH23" s="784">
        <f>+AH21-AH22</f>
        <v>1.61800707</v>
      </c>
      <c r="AI23" s="784">
        <v>1.6094662500000001</v>
      </c>
      <c r="AJ23" s="784">
        <f>+AJ21-AJ22</f>
        <v>1.5941239299999999</v>
      </c>
      <c r="AK23" s="784">
        <f>+AK21-AK22</f>
        <v>2.3204904399999999</v>
      </c>
      <c r="AL23" s="784">
        <v>2.1406699300000001</v>
      </c>
      <c r="AM23" s="784">
        <f>+AM21-AM22</f>
        <v>2.0934650000000001</v>
      </c>
      <c r="AN23" s="784">
        <f>+AN21-AN22</f>
        <v>0</v>
      </c>
      <c r="AO23" s="784">
        <f>+AO21-AO22</f>
        <v>0</v>
      </c>
      <c r="AP23" s="784">
        <f>+AP21-AP22</f>
        <v>0</v>
      </c>
      <c r="AQ23" s="784">
        <v>0</v>
      </c>
      <c r="AR23" s="784">
        <f>+AR21-AR22</f>
        <v>0</v>
      </c>
      <c r="AS23" s="784">
        <f>+AS21-AS22</f>
        <v>0</v>
      </c>
      <c r="AT23" s="784">
        <f>AT15-AT19</f>
        <v>0</v>
      </c>
      <c r="AU23" s="784">
        <v>0</v>
      </c>
      <c r="AV23" s="784">
        <v>0</v>
      </c>
      <c r="AW23" s="784">
        <v>0</v>
      </c>
      <c r="AX23" s="784">
        <v>0</v>
      </c>
      <c r="AY23" s="784">
        <v>0</v>
      </c>
      <c r="AZ23" s="784">
        <v>0</v>
      </c>
      <c r="BA23" s="784">
        <v>0</v>
      </c>
      <c r="BB23" s="784">
        <v>0</v>
      </c>
      <c r="BC23" s="784">
        <v>0</v>
      </c>
      <c r="BD23" s="784">
        <f>+BD21-BD22</f>
        <v>0</v>
      </c>
      <c r="BE23" s="784">
        <v>0</v>
      </c>
      <c r="BF23" s="784">
        <v>0</v>
      </c>
      <c r="BG23" s="784">
        <v>0</v>
      </c>
      <c r="BH23" s="827">
        <v>0</v>
      </c>
      <c r="BI23" s="816">
        <v>0</v>
      </c>
      <c r="BJ23" s="816">
        <v>0</v>
      </c>
      <c r="BK23" s="816">
        <v>0</v>
      </c>
      <c r="BL23" s="816">
        <v>3.4</v>
      </c>
      <c r="BM23" s="816">
        <v>3.4</v>
      </c>
      <c r="BN23" s="816">
        <v>3.4</v>
      </c>
      <c r="BO23" s="816">
        <v>3.4</v>
      </c>
      <c r="BP23" s="816">
        <v>3.4</v>
      </c>
      <c r="BQ23" s="816">
        <v>2.9750000000000001</v>
      </c>
      <c r="BR23" s="816">
        <v>2.9750000000000001</v>
      </c>
      <c r="BS23" s="816">
        <v>2.9750000000000001</v>
      </c>
      <c r="BT23" s="816">
        <v>2.9750000000000001</v>
      </c>
      <c r="BU23" s="816">
        <v>2.9750000000000001</v>
      </c>
      <c r="BV23" s="816">
        <v>2.9750000000000001</v>
      </c>
      <c r="BW23" s="816">
        <v>2.9750000000000001</v>
      </c>
      <c r="BX23" s="816">
        <v>2.9750000000000001</v>
      </c>
      <c r="BY23" s="816">
        <v>2.9750000000000001</v>
      </c>
      <c r="BZ23" s="816">
        <v>2.9750000000000001</v>
      </c>
      <c r="CA23" s="816">
        <v>2.9750000000000001</v>
      </c>
      <c r="CB23" s="816">
        <v>2.9750000000000001</v>
      </c>
      <c r="CC23" s="816">
        <v>2.9750000000000001</v>
      </c>
      <c r="CD23" s="816">
        <v>2.9750000000000001</v>
      </c>
      <c r="CE23" s="816">
        <f t="shared" ref="CE23:CP23" si="7">+CE21-CE22</f>
        <v>3.145</v>
      </c>
      <c r="CF23" s="816">
        <f t="shared" si="7"/>
        <v>3.3149999999999999</v>
      </c>
      <c r="CG23" s="816">
        <f t="shared" si="7"/>
        <v>3.3149999999999999</v>
      </c>
      <c r="CH23" s="816">
        <f t="shared" si="7"/>
        <v>3.3149999999999999</v>
      </c>
      <c r="CI23" s="816">
        <f t="shared" si="7"/>
        <v>3.3149999999999999</v>
      </c>
      <c r="CJ23" s="816">
        <f t="shared" si="7"/>
        <v>3.3149999999999999</v>
      </c>
      <c r="CK23" s="816">
        <f t="shared" si="7"/>
        <v>3.4510000000000001</v>
      </c>
      <c r="CL23" s="816">
        <f t="shared" si="7"/>
        <v>3.67491616</v>
      </c>
      <c r="CM23" s="816">
        <f t="shared" si="7"/>
        <v>3.6699677899999998</v>
      </c>
      <c r="CN23" s="816">
        <f t="shared" si="7"/>
        <v>3.6650029500000003</v>
      </c>
      <c r="CO23" s="816">
        <f t="shared" si="7"/>
        <v>3.6600104999999998</v>
      </c>
      <c r="CP23" s="816">
        <f t="shared" si="7"/>
        <v>6.2950652999999992</v>
      </c>
      <c r="CQ23" s="816">
        <f>+CQ21-CQ22</f>
        <v>6.8110514100000001</v>
      </c>
      <c r="CR23" s="816">
        <f>+CR21-CR22</f>
        <v>10.41452995</v>
      </c>
      <c r="CS23" s="816">
        <f>+CS21-CS22</f>
        <v>10.092981870000001</v>
      </c>
      <c r="CT23" s="816">
        <v>9.3033774999999999</v>
      </c>
      <c r="CU23" s="816">
        <v>8.0480916899999997</v>
      </c>
      <c r="CV23" s="816">
        <v>7.6060916900000004</v>
      </c>
      <c r="CW23" s="816">
        <v>6.58246193</v>
      </c>
      <c r="CX23" s="816">
        <v>5.8978254000000003</v>
      </c>
      <c r="CY23" s="816">
        <v>6.2321778800000001</v>
      </c>
      <c r="CZ23" s="816">
        <v>7.5921778800000004</v>
      </c>
      <c r="DA23" s="816">
        <v>9.0371778799999998</v>
      </c>
      <c r="DB23" s="816">
        <v>9.9041778800000007</v>
      </c>
      <c r="DC23" s="816">
        <v>9.3840000000000003</v>
      </c>
      <c r="DD23" s="886">
        <v>8.1685459999999992</v>
      </c>
      <c r="DE23" s="886">
        <v>9.1800460000000008</v>
      </c>
      <c r="DF23" s="886">
        <v>9.3518082400000004</v>
      </c>
      <c r="DG23" s="839">
        <v>8.89382348</v>
      </c>
      <c r="DH23" s="839">
        <v>8.0352649799999991</v>
      </c>
      <c r="DI23" s="839">
        <v>9.96462498</v>
      </c>
      <c r="DJ23" s="839">
        <v>9.8106447699999997</v>
      </c>
      <c r="DK23" s="839">
        <v>10.13559031</v>
      </c>
      <c r="DL23" s="839">
        <v>12.762150289999999</v>
      </c>
      <c r="DM23" s="839">
        <v>13.059840919999999</v>
      </c>
      <c r="DN23" s="839">
        <v>13.16824366</v>
      </c>
      <c r="DO23" s="839">
        <v>13.172975470000001</v>
      </c>
      <c r="DP23" s="839">
        <v>13.15866538</v>
      </c>
      <c r="DQ23" s="839">
        <v>10.35825316</v>
      </c>
      <c r="DR23" s="839">
        <v>9.4614181800000008</v>
      </c>
      <c r="DS23" s="839">
        <v>8.5185585600000007</v>
      </c>
      <c r="DT23" s="839">
        <v>7.5815186800000003</v>
      </c>
      <c r="DU23" s="839">
        <v>5.9781328900000004</v>
      </c>
      <c r="DV23" s="839">
        <v>7.0343148700000002</v>
      </c>
      <c r="DW23" s="839">
        <v>8.5055035799999992</v>
      </c>
      <c r="DX23" s="839">
        <v>7.7772083199999997</v>
      </c>
      <c r="DY23" s="839">
        <v>8.22609675</v>
      </c>
      <c r="DZ23" s="839">
        <v>7.9810160999999997</v>
      </c>
      <c r="EA23" s="839">
        <v>7.7349142899999999</v>
      </c>
      <c r="EB23" s="839">
        <v>7.3890182099999997</v>
      </c>
      <c r="EC23" s="839">
        <v>6.9859275900000002</v>
      </c>
      <c r="ED23" s="839">
        <v>6.4862201700000002</v>
      </c>
      <c r="EE23" s="839">
        <v>5.9841391499999999</v>
      </c>
      <c r="EF23" s="839">
        <v>1.98208612</v>
      </c>
      <c r="EG23" s="839">
        <v>1.51559351</v>
      </c>
      <c r="EH23" s="839">
        <v>0.72354138999999995</v>
      </c>
      <c r="EI23" s="839">
        <v>0.49991493999999997</v>
      </c>
      <c r="EJ23" s="839">
        <v>0.49991493999999997</v>
      </c>
      <c r="EK23" s="839">
        <v>0.51</v>
      </c>
      <c r="EL23" s="839">
        <v>0.51</v>
      </c>
      <c r="EM23" s="839">
        <v>0.51</v>
      </c>
      <c r="EN23" s="839">
        <v>0.51</v>
      </c>
      <c r="EO23" s="839">
        <v>0.51</v>
      </c>
      <c r="EP23" s="839">
        <v>0.51</v>
      </c>
      <c r="EQ23" s="839">
        <v>0.51</v>
      </c>
      <c r="ER23" s="839">
        <v>0.51</v>
      </c>
      <c r="ES23" s="839">
        <v>0.51</v>
      </c>
      <c r="ET23" s="839">
        <v>0.51</v>
      </c>
      <c r="EU23" s="839">
        <v>0</v>
      </c>
      <c r="EV23" s="839">
        <v>0</v>
      </c>
      <c r="EW23" s="839">
        <v>0</v>
      </c>
      <c r="EX23" s="839">
        <v>0</v>
      </c>
      <c r="EY23" s="839">
        <v>0</v>
      </c>
      <c r="EZ23" s="839">
        <v>0</v>
      </c>
      <c r="FA23" s="839">
        <v>0.40799999999999997</v>
      </c>
      <c r="FB23" s="839">
        <v>0.64685000000000004</v>
      </c>
      <c r="FC23" s="839">
        <v>1.02935</v>
      </c>
      <c r="FD23" s="839">
        <v>2.0578500000000002</v>
      </c>
      <c r="FE23" s="839">
        <v>3.0125700000000002</v>
      </c>
      <c r="FF23" s="839">
        <v>3.4399500000000001</v>
      </c>
      <c r="FG23" s="839">
        <v>4.0466800000000003</v>
      </c>
      <c r="FH23" s="1716" t="s">
        <v>4066</v>
      </c>
      <c r="FM23" s="321"/>
    </row>
    <row r="24" spans="1:169" ht="21">
      <c r="A24" s="1721"/>
      <c r="B24" s="783"/>
      <c r="C24" s="783"/>
      <c r="D24" s="783"/>
      <c r="E24" s="783"/>
      <c r="F24" s="783"/>
      <c r="G24" s="783"/>
      <c r="H24" s="783"/>
      <c r="I24" s="783"/>
      <c r="J24" s="783"/>
      <c r="K24" s="783"/>
      <c r="L24" s="783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84"/>
      <c r="AF24" s="784"/>
      <c r="AG24" s="784"/>
      <c r="AH24" s="784"/>
      <c r="AI24" s="784"/>
      <c r="AJ24" s="784"/>
      <c r="AK24" s="784"/>
      <c r="AL24" s="784"/>
      <c r="AM24" s="784"/>
      <c r="AN24" s="784"/>
      <c r="AO24" s="784"/>
      <c r="AP24" s="784"/>
      <c r="AQ24" s="784"/>
      <c r="AR24" s="784"/>
      <c r="AS24" s="784"/>
      <c r="AT24" s="784"/>
      <c r="AU24" s="784"/>
      <c r="AV24" s="784"/>
      <c r="AW24" s="784"/>
      <c r="AX24" s="784"/>
      <c r="AY24" s="784"/>
      <c r="AZ24" s="784"/>
      <c r="BA24" s="784"/>
      <c r="BB24" s="784"/>
      <c r="BC24" s="784"/>
      <c r="BD24" s="784"/>
      <c r="BE24" s="784"/>
      <c r="BF24" s="784"/>
      <c r="BG24" s="784"/>
      <c r="BH24" s="827"/>
      <c r="BI24" s="816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/>
      <c r="CI24" s="816"/>
      <c r="CJ24" s="816"/>
      <c r="CK24" s="816"/>
      <c r="CL24" s="816"/>
      <c r="CM24" s="816"/>
      <c r="CN24" s="816"/>
      <c r="CO24" s="816"/>
      <c r="CP24" s="816"/>
      <c r="CQ24" s="816"/>
      <c r="CR24" s="816"/>
      <c r="CS24" s="816"/>
      <c r="CT24" s="816"/>
      <c r="CU24" s="816"/>
      <c r="CV24" s="816"/>
      <c r="CW24" s="816"/>
      <c r="CX24" s="816"/>
      <c r="CY24" s="816"/>
      <c r="CZ24" s="816"/>
      <c r="DA24" s="816"/>
      <c r="DB24" s="816"/>
      <c r="DC24" s="816"/>
      <c r="DD24" s="886"/>
      <c r="DE24" s="886"/>
      <c r="DF24" s="886"/>
      <c r="DG24" s="839"/>
      <c r="DH24" s="839"/>
      <c r="DI24" s="839"/>
      <c r="DJ24" s="839"/>
      <c r="DK24" s="839"/>
      <c r="DL24" s="839"/>
      <c r="DM24" s="839"/>
      <c r="DN24" s="839"/>
      <c r="DO24" s="839"/>
      <c r="DP24" s="839"/>
      <c r="DQ24" s="839"/>
      <c r="DR24" s="839"/>
      <c r="DS24" s="839"/>
      <c r="DT24" s="839"/>
      <c r="DU24" s="839"/>
      <c r="DV24" s="839"/>
      <c r="DW24" s="839"/>
      <c r="DX24" s="839"/>
      <c r="DY24" s="839"/>
      <c r="DZ24" s="839"/>
      <c r="EA24" s="839"/>
      <c r="EB24" s="839"/>
      <c r="EC24" s="839"/>
      <c r="ED24" s="839"/>
      <c r="EE24" s="839"/>
      <c r="EF24" s="839"/>
      <c r="EG24" s="839"/>
      <c r="EH24" s="839"/>
      <c r="EI24" s="839"/>
      <c r="EJ24" s="839"/>
      <c r="EK24" s="839"/>
      <c r="EL24" s="839"/>
      <c r="EM24" s="839"/>
      <c r="EN24" s="839"/>
      <c r="EO24" s="839"/>
      <c r="EP24" s="839"/>
      <c r="EQ24" s="839"/>
      <c r="ER24" s="839"/>
      <c r="ES24" s="839"/>
      <c r="ET24" s="839"/>
      <c r="EU24" s="839"/>
      <c r="EV24" s="839"/>
      <c r="EW24" s="839"/>
      <c r="EX24" s="839"/>
      <c r="EY24" s="839"/>
      <c r="EZ24" s="839"/>
      <c r="FA24" s="839"/>
      <c r="FB24" s="839"/>
      <c r="FC24" s="839"/>
      <c r="FD24" s="839"/>
      <c r="FE24" s="839"/>
      <c r="FF24" s="839"/>
      <c r="FG24" s="839"/>
      <c r="FH24" s="1711"/>
      <c r="FM24" s="321"/>
    </row>
    <row r="25" spans="1:169" ht="21">
      <c r="A25" s="1722" t="s">
        <v>2743</v>
      </c>
      <c r="B25" s="780">
        <v>169.16457667999998</v>
      </c>
      <c r="C25" s="783">
        <v>244.67308358000002</v>
      </c>
      <c r="D25" s="783">
        <v>239.07501956999999</v>
      </c>
      <c r="E25" s="783">
        <v>242.44313004</v>
      </c>
      <c r="F25" s="783">
        <v>243.17232341000002</v>
      </c>
      <c r="G25" s="783">
        <v>249.96290884999999</v>
      </c>
      <c r="H25" s="783">
        <v>248.42091298</v>
      </c>
      <c r="I25" s="783">
        <v>248.42281967</v>
      </c>
      <c r="J25" s="783">
        <v>248.89588411</v>
      </c>
      <c r="K25" s="783">
        <v>255.45785597999998</v>
      </c>
      <c r="L25" s="783">
        <v>256.71346672000004</v>
      </c>
      <c r="M25" s="781">
        <v>257.81000266000001</v>
      </c>
      <c r="N25" s="784">
        <v>256.3101944</v>
      </c>
      <c r="O25" s="784">
        <v>257.90063965999997</v>
      </c>
      <c r="P25" s="781">
        <v>258.19521717999999</v>
      </c>
      <c r="Q25" s="781">
        <v>258.55232223000002</v>
      </c>
      <c r="R25" s="781">
        <v>258.63868702000002</v>
      </c>
      <c r="S25" s="781">
        <v>261.62380450000001</v>
      </c>
      <c r="T25" s="781">
        <v>262.76768393000003</v>
      </c>
      <c r="U25" s="781">
        <v>260.87678449999999</v>
      </c>
      <c r="V25" s="781">
        <v>259.69504685999999</v>
      </c>
      <c r="W25" s="781">
        <v>258.52264810000003</v>
      </c>
      <c r="X25" s="781">
        <v>257.83310813000003</v>
      </c>
      <c r="Y25" s="781">
        <v>306.12694904</v>
      </c>
      <c r="Z25" s="781">
        <v>299.05096579999997</v>
      </c>
      <c r="AA25" s="784">
        <v>910.00501505</v>
      </c>
      <c r="AB25" s="781">
        <v>857.66547176000006</v>
      </c>
      <c r="AC25" s="781">
        <v>860.05756269000005</v>
      </c>
      <c r="AD25" s="781">
        <v>856.00823334999995</v>
      </c>
      <c r="AE25" s="781">
        <v>855.99026775000004</v>
      </c>
      <c r="AF25" s="781">
        <v>860.06130783000003</v>
      </c>
      <c r="AG25" s="781">
        <v>859.59549937999986</v>
      </c>
      <c r="AH25" s="781">
        <v>859.49620554000001</v>
      </c>
      <c r="AI25" s="781">
        <v>599.63196271999993</v>
      </c>
      <c r="AJ25" s="781">
        <v>594.32434321000005</v>
      </c>
      <c r="AK25" s="781">
        <v>863.71037535999994</v>
      </c>
      <c r="AL25" s="781">
        <v>866.83216538000011</v>
      </c>
      <c r="AM25" s="781">
        <v>850.37242359999993</v>
      </c>
      <c r="AN25" s="781">
        <v>836.18665514999998</v>
      </c>
      <c r="AO25" s="781">
        <v>762.63869340999997</v>
      </c>
      <c r="AP25" s="781">
        <v>742.98002315000008</v>
      </c>
      <c r="AQ25" s="781">
        <v>766.15572374999988</v>
      </c>
      <c r="AR25" s="781">
        <v>773.38004274000002</v>
      </c>
      <c r="AS25" s="781">
        <v>775.36298009000006</v>
      </c>
      <c r="AT25" s="781">
        <f>AT9-AT13</f>
        <v>767.86277877999999</v>
      </c>
      <c r="AU25" s="781">
        <v>771.95771472000013</v>
      </c>
      <c r="AV25" s="781">
        <v>813.86239699000009</v>
      </c>
      <c r="AW25" s="781">
        <v>831.06472173000009</v>
      </c>
      <c r="AX25" s="781">
        <v>898.53107594999994</v>
      </c>
      <c r="AY25" s="781">
        <v>818.37992768000004</v>
      </c>
      <c r="AZ25" s="781">
        <v>806.64993419999996</v>
      </c>
      <c r="BA25" s="781">
        <v>795.55517027999997</v>
      </c>
      <c r="BB25" s="781">
        <v>734.72260599999993</v>
      </c>
      <c r="BC25" s="781">
        <v>51.911281440000003</v>
      </c>
      <c r="BD25" s="781">
        <v>43.957436620000003</v>
      </c>
      <c r="BE25" s="781">
        <v>22.02057245</v>
      </c>
      <c r="BF25" s="781">
        <v>16.685853870000003</v>
      </c>
      <c r="BG25" s="781">
        <v>15.09283226</v>
      </c>
      <c r="BH25" s="826">
        <v>14.213046050000001</v>
      </c>
      <c r="BI25" s="815">
        <v>12.14333553</v>
      </c>
      <c r="BJ25" s="815">
        <v>8.3822816200000005</v>
      </c>
      <c r="BK25" s="815">
        <v>7.50647252</v>
      </c>
      <c r="BL25" s="815">
        <v>6.6303028200000007</v>
      </c>
      <c r="BM25" s="815">
        <v>9.1545452300000001</v>
      </c>
      <c r="BN25" s="815">
        <v>11.051147650000001</v>
      </c>
      <c r="BO25" s="815">
        <v>10.17539006</v>
      </c>
      <c r="BP25" s="815">
        <v>9.7996324799999996</v>
      </c>
      <c r="BQ25" s="815">
        <v>6.9413587000000003</v>
      </c>
      <c r="BR25" s="815">
        <v>3.5232411100000003</v>
      </c>
      <c r="BS25" s="815">
        <v>2.7174837999999997</v>
      </c>
      <c r="BT25" s="815">
        <v>2.8557804700000005</v>
      </c>
      <c r="BU25" s="815">
        <v>1.1139691800000002</v>
      </c>
      <c r="BV25" s="815">
        <v>1.1085534500000001</v>
      </c>
      <c r="BW25" s="815">
        <v>1.0937518599999998</v>
      </c>
      <c r="BX25" s="815">
        <v>1.0881907500000003</v>
      </c>
      <c r="BY25" s="815">
        <v>1.0825554900000003</v>
      </c>
      <c r="BZ25" s="815">
        <v>0.4397770900000002</v>
      </c>
      <c r="CA25" s="815">
        <v>0.43351300000000004</v>
      </c>
      <c r="CB25" s="815">
        <v>7.6521642599999993</v>
      </c>
      <c r="CC25" s="815">
        <v>7.5799689500000014</v>
      </c>
      <c r="CD25" s="815">
        <v>13.0370613</v>
      </c>
      <c r="CE25" s="815">
        <v>23.08084015</v>
      </c>
      <c r="CF25" s="815">
        <v>162.32129550000002</v>
      </c>
      <c r="CG25" s="815">
        <v>32.50946158</v>
      </c>
      <c r="CH25" s="815">
        <v>39.747833190000001</v>
      </c>
      <c r="CI25" s="815">
        <v>42.638868039999998</v>
      </c>
      <c r="CJ25" s="815">
        <v>38.953705810000002</v>
      </c>
      <c r="CK25" s="815">
        <v>37.703061680000005</v>
      </c>
      <c r="CL25" s="815">
        <v>43.87218403</v>
      </c>
      <c r="CM25" s="815">
        <v>47.676133889999996</v>
      </c>
      <c r="CN25" s="815">
        <v>62.672806539999996</v>
      </c>
      <c r="CO25" s="815">
        <v>65.176940799999997</v>
      </c>
      <c r="CP25" s="815">
        <v>68.68251309</v>
      </c>
      <c r="CQ25" s="815">
        <v>66.859239349999996</v>
      </c>
      <c r="CR25" s="815">
        <v>79.021363940000001</v>
      </c>
      <c r="CS25" s="815">
        <v>84.335263909999995</v>
      </c>
      <c r="CT25" s="815">
        <v>88.966924050000003</v>
      </c>
      <c r="CU25" s="815">
        <v>229.13648541000001</v>
      </c>
      <c r="CV25" s="815">
        <v>233.74872245</v>
      </c>
      <c r="CW25" s="815">
        <v>236.89294927</v>
      </c>
      <c r="CX25" s="815">
        <v>240.72943480000001</v>
      </c>
      <c r="CY25" s="815">
        <v>253.50690846000001</v>
      </c>
      <c r="CZ25" s="815">
        <v>253.28223016000001</v>
      </c>
      <c r="DA25" s="815">
        <v>251.35155596000001</v>
      </c>
      <c r="DB25" s="815">
        <v>260.18953818</v>
      </c>
      <c r="DC25" s="815">
        <v>258.41309854000002</v>
      </c>
      <c r="DD25" s="885">
        <v>256.91704485000002</v>
      </c>
      <c r="DE25" s="885">
        <v>266.44814016999999</v>
      </c>
      <c r="DF25" s="885">
        <v>262.96956067999997</v>
      </c>
      <c r="DG25" s="838">
        <v>261.76922853999997</v>
      </c>
      <c r="DH25" s="838">
        <v>260.06957312999998</v>
      </c>
      <c r="DI25" s="838">
        <v>263.70760704999998</v>
      </c>
      <c r="DJ25" s="838">
        <v>266.32617428999998</v>
      </c>
      <c r="DK25" s="838">
        <v>271.96856812999999</v>
      </c>
      <c r="DL25" s="838">
        <v>270.71395276999999</v>
      </c>
      <c r="DM25" s="838">
        <v>270.36713847999999</v>
      </c>
      <c r="DN25" s="838">
        <v>269.48847241999999</v>
      </c>
      <c r="DO25" s="838">
        <v>269.42387896000002</v>
      </c>
      <c r="DP25" s="838">
        <v>249.48314621</v>
      </c>
      <c r="DQ25" s="838">
        <v>250.80805072000001</v>
      </c>
      <c r="DR25" s="838">
        <v>251.94744259999999</v>
      </c>
      <c r="DS25" s="838">
        <v>250.98132444999999</v>
      </c>
      <c r="DT25" s="838">
        <v>249.43174246999999</v>
      </c>
      <c r="DU25" s="838">
        <v>249.38717915999999</v>
      </c>
      <c r="DV25" s="838">
        <v>265.68558123000003</v>
      </c>
      <c r="DW25" s="838">
        <v>264.02238437</v>
      </c>
      <c r="DX25" s="838">
        <v>261.15649266999998</v>
      </c>
      <c r="DY25" s="838">
        <v>259.96863043000002</v>
      </c>
      <c r="DZ25" s="838">
        <v>260.14571527999999</v>
      </c>
      <c r="EA25" s="838">
        <v>259.09976869000002</v>
      </c>
      <c r="EB25" s="838">
        <v>257.81734741000002</v>
      </c>
      <c r="EC25" s="838">
        <v>256.76363832999999</v>
      </c>
      <c r="ED25" s="838">
        <v>254.97924892</v>
      </c>
      <c r="EE25" s="838">
        <v>252.12639056</v>
      </c>
      <c r="EF25" s="838">
        <v>250.32824883000001</v>
      </c>
      <c r="EG25" s="838">
        <v>251.85594829999999</v>
      </c>
      <c r="EH25" s="838">
        <v>250.95384207999999</v>
      </c>
      <c r="EI25" s="838">
        <v>240.69351775999999</v>
      </c>
      <c r="EJ25" s="838">
        <v>254.52768527000001</v>
      </c>
      <c r="EK25" s="838">
        <v>252.85118306999999</v>
      </c>
      <c r="EL25" s="838">
        <v>252.82709138999999</v>
      </c>
      <c r="EM25" s="838">
        <v>78.427042450000002</v>
      </c>
      <c r="EN25" s="838">
        <v>77.125140959999996</v>
      </c>
      <c r="EO25" s="838">
        <v>79.801900090000004</v>
      </c>
      <c r="EP25" s="838">
        <v>78.763002529999994</v>
      </c>
      <c r="EQ25" s="838">
        <v>77.515044340000003</v>
      </c>
      <c r="ER25" s="838">
        <v>77.146076690000001</v>
      </c>
      <c r="ES25" s="838">
        <v>77.088072120000007</v>
      </c>
      <c r="ET25" s="838">
        <v>75.732997810000001</v>
      </c>
      <c r="EU25" s="838">
        <v>74.446321100000006</v>
      </c>
      <c r="EV25" s="838">
        <v>39.188610799999999</v>
      </c>
      <c r="EW25" s="838">
        <v>39.884596909999999</v>
      </c>
      <c r="EX25" s="838">
        <v>40.208415199999997</v>
      </c>
      <c r="EY25" s="838">
        <v>21.651926020000001</v>
      </c>
      <c r="EZ25" s="838">
        <v>20.377229580000002</v>
      </c>
      <c r="FA25" s="838">
        <v>22.989702650000002</v>
      </c>
      <c r="FB25" s="838">
        <v>22.179570890000001</v>
      </c>
      <c r="FC25" s="838">
        <v>39.457182230000001</v>
      </c>
      <c r="FD25" s="838">
        <v>38.378443769999997</v>
      </c>
      <c r="FE25" s="838">
        <v>36.198532270000001</v>
      </c>
      <c r="FF25" s="838">
        <v>35.418139850000003</v>
      </c>
      <c r="FG25" s="838">
        <v>33.939820050000002</v>
      </c>
      <c r="FH25" s="1710" t="s">
        <v>4065</v>
      </c>
      <c r="FM25" s="321"/>
    </row>
    <row r="26" spans="1:169" ht="21">
      <c r="A26" s="1723" t="s">
        <v>1961</v>
      </c>
      <c r="B26" s="783">
        <v>0</v>
      </c>
      <c r="C26" s="783">
        <v>0</v>
      </c>
      <c r="D26" s="783">
        <v>0</v>
      </c>
      <c r="E26" s="783">
        <v>0</v>
      </c>
      <c r="F26" s="783">
        <v>0</v>
      </c>
      <c r="G26" s="783">
        <v>0</v>
      </c>
      <c r="H26" s="783">
        <v>0</v>
      </c>
      <c r="I26" s="783">
        <v>0</v>
      </c>
      <c r="J26" s="783">
        <v>0</v>
      </c>
      <c r="K26" s="783">
        <v>0</v>
      </c>
      <c r="L26" s="783">
        <v>0</v>
      </c>
      <c r="M26" s="784">
        <v>0</v>
      </c>
      <c r="N26" s="784">
        <v>0</v>
      </c>
      <c r="O26" s="784">
        <v>0</v>
      </c>
      <c r="P26" s="784">
        <v>0</v>
      </c>
      <c r="Q26" s="784">
        <v>0</v>
      </c>
      <c r="R26" s="784">
        <v>0</v>
      </c>
      <c r="S26" s="784">
        <v>0</v>
      </c>
      <c r="T26" s="784">
        <v>0</v>
      </c>
      <c r="U26" s="784">
        <v>0</v>
      </c>
      <c r="V26" s="784">
        <v>0</v>
      </c>
      <c r="W26" s="784">
        <v>0</v>
      </c>
      <c r="X26" s="784">
        <v>0</v>
      </c>
      <c r="Y26" s="784">
        <v>0</v>
      </c>
      <c r="Z26" s="784">
        <v>0</v>
      </c>
      <c r="AA26" s="784">
        <v>0</v>
      </c>
      <c r="AB26" s="784">
        <v>0</v>
      </c>
      <c r="AC26" s="784">
        <v>0</v>
      </c>
      <c r="AD26" s="784">
        <v>0</v>
      </c>
      <c r="AE26" s="784">
        <v>0</v>
      </c>
      <c r="AF26" s="784">
        <v>0</v>
      </c>
      <c r="AG26" s="784">
        <v>0</v>
      </c>
      <c r="AH26" s="784">
        <v>0</v>
      </c>
      <c r="AI26" s="784">
        <v>0</v>
      </c>
      <c r="AJ26" s="784">
        <v>0</v>
      </c>
      <c r="AK26" s="784">
        <v>0</v>
      </c>
      <c r="AL26" s="784">
        <v>0</v>
      </c>
      <c r="AM26" s="784">
        <v>0</v>
      </c>
      <c r="AN26" s="784">
        <v>0</v>
      </c>
      <c r="AO26" s="784">
        <v>0</v>
      </c>
      <c r="AP26" s="784">
        <v>0</v>
      </c>
      <c r="AQ26" s="784">
        <v>0</v>
      </c>
      <c r="AR26" s="784">
        <v>0</v>
      </c>
      <c r="AS26" s="784">
        <v>0</v>
      </c>
      <c r="AT26" s="784">
        <f>AT10-AT14</f>
        <v>0</v>
      </c>
      <c r="AU26" s="784">
        <v>0</v>
      </c>
      <c r="AV26" s="784">
        <v>0</v>
      </c>
      <c r="AW26" s="784">
        <v>0</v>
      </c>
      <c r="AX26" s="784">
        <v>0</v>
      </c>
      <c r="AY26" s="784">
        <v>0</v>
      </c>
      <c r="AZ26" s="784">
        <v>0</v>
      </c>
      <c r="BA26" s="784">
        <v>0</v>
      </c>
      <c r="BB26" s="784">
        <v>0</v>
      </c>
      <c r="BC26" s="784">
        <v>0</v>
      </c>
      <c r="BD26" s="784">
        <v>0</v>
      </c>
      <c r="BE26" s="784">
        <v>0</v>
      </c>
      <c r="BF26" s="784">
        <v>0</v>
      </c>
      <c r="BG26" s="784">
        <v>0</v>
      </c>
      <c r="BH26" s="827">
        <v>0</v>
      </c>
      <c r="BI26" s="816">
        <v>0</v>
      </c>
      <c r="BJ26" s="816">
        <v>0</v>
      </c>
      <c r="BK26" s="816">
        <v>0</v>
      </c>
      <c r="BL26" s="816">
        <v>0</v>
      </c>
      <c r="BM26" s="816">
        <v>0</v>
      </c>
      <c r="BN26" s="816">
        <v>0</v>
      </c>
      <c r="BO26" s="816">
        <v>0</v>
      </c>
      <c r="BP26" s="816">
        <v>0</v>
      </c>
      <c r="BQ26" s="816">
        <v>0</v>
      </c>
      <c r="BR26" s="816">
        <v>0</v>
      </c>
      <c r="BS26" s="816">
        <v>0</v>
      </c>
      <c r="BT26" s="816">
        <v>0</v>
      </c>
      <c r="BU26" s="816">
        <v>0</v>
      </c>
      <c r="BV26" s="816">
        <v>0</v>
      </c>
      <c r="BW26" s="816">
        <v>0</v>
      </c>
      <c r="BX26" s="816">
        <v>0</v>
      </c>
      <c r="BY26" s="816">
        <v>0</v>
      </c>
      <c r="BZ26" s="816">
        <v>0</v>
      </c>
      <c r="CA26" s="816">
        <v>0</v>
      </c>
      <c r="CB26" s="816">
        <v>0</v>
      </c>
      <c r="CC26" s="816">
        <v>0</v>
      </c>
      <c r="CD26" s="816">
        <v>5.1007791600000001</v>
      </c>
      <c r="CE26" s="816">
        <v>0</v>
      </c>
      <c r="CF26" s="816">
        <v>0</v>
      </c>
      <c r="CG26" s="816">
        <v>0</v>
      </c>
      <c r="CH26" s="816">
        <v>0</v>
      </c>
      <c r="CI26" s="816">
        <v>0</v>
      </c>
      <c r="CJ26" s="816">
        <v>0</v>
      </c>
      <c r="CK26" s="816">
        <v>0</v>
      </c>
      <c r="CL26" s="816">
        <v>0</v>
      </c>
      <c r="CM26" s="816">
        <v>0</v>
      </c>
      <c r="CN26" s="816">
        <v>0</v>
      </c>
      <c r="CO26" s="816">
        <v>0</v>
      </c>
      <c r="CP26" s="816">
        <v>0</v>
      </c>
      <c r="CQ26" s="816">
        <v>0</v>
      </c>
      <c r="CR26" s="816">
        <v>0</v>
      </c>
      <c r="CS26" s="816">
        <v>0</v>
      </c>
      <c r="CT26" s="816">
        <v>0</v>
      </c>
      <c r="CU26" s="816">
        <v>0</v>
      </c>
      <c r="CV26" s="816">
        <v>0</v>
      </c>
      <c r="CW26" s="816">
        <v>0</v>
      </c>
      <c r="CX26" s="816">
        <v>0</v>
      </c>
      <c r="CY26" s="816">
        <v>0</v>
      </c>
      <c r="CZ26" s="816">
        <v>0</v>
      </c>
      <c r="DA26" s="816">
        <v>0</v>
      </c>
      <c r="DB26" s="816">
        <v>0</v>
      </c>
      <c r="DC26" s="816">
        <v>0</v>
      </c>
      <c r="DD26" s="886">
        <v>0</v>
      </c>
      <c r="DE26" s="886">
        <v>0</v>
      </c>
      <c r="DF26" s="886">
        <v>0</v>
      </c>
      <c r="DG26" s="839">
        <v>0</v>
      </c>
      <c r="DH26" s="839">
        <v>0</v>
      </c>
      <c r="DI26" s="839">
        <v>0</v>
      </c>
      <c r="DJ26" s="839">
        <v>0</v>
      </c>
      <c r="DK26" s="839">
        <v>0</v>
      </c>
      <c r="DL26" s="839">
        <v>0</v>
      </c>
      <c r="DM26" s="839">
        <v>0</v>
      </c>
      <c r="DN26" s="839">
        <v>0</v>
      </c>
      <c r="DO26" s="839">
        <v>0</v>
      </c>
      <c r="DP26" s="839">
        <v>0</v>
      </c>
      <c r="DQ26" s="839">
        <v>0</v>
      </c>
      <c r="DR26" s="839">
        <v>0</v>
      </c>
      <c r="DS26" s="839">
        <v>0</v>
      </c>
      <c r="DT26" s="839">
        <v>0</v>
      </c>
      <c r="DU26" s="839">
        <v>0</v>
      </c>
      <c r="DV26" s="839">
        <v>0</v>
      </c>
      <c r="DW26" s="839">
        <v>0</v>
      </c>
      <c r="DX26" s="839">
        <v>0</v>
      </c>
      <c r="DY26" s="839">
        <v>0</v>
      </c>
      <c r="DZ26" s="839">
        <v>0</v>
      </c>
      <c r="EA26" s="839">
        <v>0</v>
      </c>
      <c r="EB26" s="839">
        <v>0</v>
      </c>
      <c r="EC26" s="839">
        <v>0</v>
      </c>
      <c r="ED26" s="839">
        <v>0</v>
      </c>
      <c r="EE26" s="839">
        <v>0</v>
      </c>
      <c r="EF26" s="839">
        <v>0</v>
      </c>
      <c r="EG26" s="839">
        <v>0</v>
      </c>
      <c r="EH26" s="839">
        <v>0</v>
      </c>
      <c r="EI26" s="839">
        <v>0</v>
      </c>
      <c r="EJ26" s="839">
        <v>0</v>
      </c>
      <c r="EK26" s="839">
        <v>0</v>
      </c>
      <c r="EL26" s="839">
        <v>0</v>
      </c>
      <c r="EM26" s="839">
        <v>7.7374760000000001E-2</v>
      </c>
      <c r="EN26" s="839">
        <v>7.3542910000000003E-2</v>
      </c>
      <c r="EO26" s="839">
        <v>6.9659970000000002E-2</v>
      </c>
      <c r="EP26" s="839">
        <v>6.5725259999999994E-2</v>
      </c>
      <c r="EQ26" s="839">
        <v>6.1738090000000002E-2</v>
      </c>
      <c r="ER26" s="839">
        <v>5.7697749999999999E-2</v>
      </c>
      <c r="ES26" s="839">
        <v>5.3603539999999998E-2</v>
      </c>
      <c r="ET26" s="839">
        <v>4.9454739999999997E-2</v>
      </c>
      <c r="EU26" s="839">
        <v>4.9454739999999997E-2</v>
      </c>
      <c r="EV26" s="839">
        <v>4.0990459999999999E-2</v>
      </c>
      <c r="EW26" s="839">
        <v>3.6673490000000003E-2</v>
      </c>
      <c r="EX26" s="839">
        <v>0</v>
      </c>
      <c r="EY26" s="839">
        <v>0</v>
      </c>
      <c r="EZ26" s="839">
        <v>0</v>
      </c>
      <c r="FA26" s="839">
        <v>0</v>
      </c>
      <c r="FB26" s="839">
        <v>0</v>
      </c>
      <c r="FC26" s="839">
        <v>0</v>
      </c>
      <c r="FD26" s="839">
        <v>0</v>
      </c>
      <c r="FE26" s="839">
        <v>0</v>
      </c>
      <c r="FF26" s="839">
        <v>0</v>
      </c>
      <c r="FG26" s="839">
        <v>0</v>
      </c>
      <c r="FH26" s="1712" t="s">
        <v>4067</v>
      </c>
      <c r="FM26" s="321"/>
    </row>
    <row r="27" spans="1:169" ht="21">
      <c r="A27" s="1723" t="s">
        <v>1962</v>
      </c>
      <c r="B27" s="780">
        <f>+B25-B26</f>
        <v>169.16457667999998</v>
      </c>
      <c r="C27" s="783">
        <f t="shared" ref="C27:V27" si="8">+C25-C26</f>
        <v>244.67308358000002</v>
      </c>
      <c r="D27" s="783">
        <f t="shared" si="8"/>
        <v>239.07501956999999</v>
      </c>
      <c r="E27" s="783">
        <f t="shared" si="8"/>
        <v>242.44313004</v>
      </c>
      <c r="F27" s="783">
        <f t="shared" si="8"/>
        <v>243.17232341000002</v>
      </c>
      <c r="G27" s="783">
        <f t="shared" si="8"/>
        <v>249.96290884999999</v>
      </c>
      <c r="H27" s="783">
        <f t="shared" si="8"/>
        <v>248.42091298</v>
      </c>
      <c r="I27" s="783">
        <f t="shared" si="8"/>
        <v>248.42281967</v>
      </c>
      <c r="J27" s="783">
        <f t="shared" si="8"/>
        <v>248.89588411</v>
      </c>
      <c r="K27" s="783">
        <f t="shared" si="8"/>
        <v>255.45785597999998</v>
      </c>
      <c r="L27" s="783">
        <f t="shared" si="8"/>
        <v>256.71346672000004</v>
      </c>
      <c r="M27" s="784">
        <f t="shared" si="8"/>
        <v>257.81000266000001</v>
      </c>
      <c r="N27" s="784">
        <f t="shared" si="8"/>
        <v>256.3101944</v>
      </c>
      <c r="O27" s="784">
        <f t="shared" si="8"/>
        <v>257.90063965999997</v>
      </c>
      <c r="P27" s="781">
        <f t="shared" si="8"/>
        <v>258.19521717999999</v>
      </c>
      <c r="Q27" s="781">
        <f t="shared" si="8"/>
        <v>258.55232223000002</v>
      </c>
      <c r="R27" s="781">
        <f t="shared" si="8"/>
        <v>258.63868702000002</v>
      </c>
      <c r="S27" s="781">
        <f t="shared" si="8"/>
        <v>261.62380450000001</v>
      </c>
      <c r="T27" s="781">
        <f t="shared" si="8"/>
        <v>262.76768393000003</v>
      </c>
      <c r="U27" s="781">
        <f t="shared" si="8"/>
        <v>260.87678449999999</v>
      </c>
      <c r="V27" s="781">
        <f t="shared" si="8"/>
        <v>259.69504685999999</v>
      </c>
      <c r="W27" s="781">
        <v>258.52264810000003</v>
      </c>
      <c r="X27" s="781">
        <v>257.83310813000003</v>
      </c>
      <c r="Y27" s="784">
        <v>306.12694904</v>
      </c>
      <c r="Z27" s="781">
        <v>299.05096579999997</v>
      </c>
      <c r="AA27" s="784">
        <v>910.00501505</v>
      </c>
      <c r="AB27" s="784">
        <v>857.66547176000006</v>
      </c>
      <c r="AC27" s="784">
        <v>860.05756269000005</v>
      </c>
      <c r="AD27" s="784">
        <v>856.00823334999995</v>
      </c>
      <c r="AE27" s="784">
        <v>855.99026775000004</v>
      </c>
      <c r="AF27" s="784">
        <v>860.06130783000003</v>
      </c>
      <c r="AG27" s="784">
        <v>859.59549937999986</v>
      </c>
      <c r="AH27" s="784">
        <f>+AH25-AH26</f>
        <v>859.49620554000001</v>
      </c>
      <c r="AI27" s="784">
        <v>599.63196271999993</v>
      </c>
      <c r="AJ27" s="784">
        <f>+AJ25-AJ26</f>
        <v>594.32434321000005</v>
      </c>
      <c r="AK27" s="784">
        <f>+AK25-AK26</f>
        <v>863.71037535999994</v>
      </c>
      <c r="AL27" s="784">
        <v>866.83216538000011</v>
      </c>
      <c r="AM27" s="784">
        <f>+AM25-AM26</f>
        <v>850.37242359999993</v>
      </c>
      <c r="AN27" s="784">
        <f>+AN25-AN26</f>
        <v>836.18665514999998</v>
      </c>
      <c r="AO27" s="784">
        <f>+AO25-AO26</f>
        <v>762.63869340999997</v>
      </c>
      <c r="AP27" s="784">
        <f>+AP25-AP26</f>
        <v>742.98002315000008</v>
      </c>
      <c r="AQ27" s="784">
        <v>766.15572374999988</v>
      </c>
      <c r="AR27" s="784">
        <f>+AR25-AR26</f>
        <v>773.38004274000002</v>
      </c>
      <c r="AS27" s="784">
        <f>+AS25-AS26</f>
        <v>775.36298009000006</v>
      </c>
      <c r="AT27" s="784">
        <f>AT11-AT15</f>
        <v>767.86277877999999</v>
      </c>
      <c r="AU27" s="784">
        <v>771.95771472000013</v>
      </c>
      <c r="AV27" s="784">
        <v>813.86239699000009</v>
      </c>
      <c r="AW27" s="784">
        <v>831.06472173000009</v>
      </c>
      <c r="AX27" s="784">
        <v>898.53107594999994</v>
      </c>
      <c r="AY27" s="784">
        <v>818.37992768000004</v>
      </c>
      <c r="AZ27" s="784">
        <v>806.64993419999996</v>
      </c>
      <c r="BA27" s="784">
        <v>795.55517027999997</v>
      </c>
      <c r="BB27" s="784">
        <v>734.72260599999993</v>
      </c>
      <c r="BC27" s="784">
        <v>51.911281440000003</v>
      </c>
      <c r="BD27" s="784">
        <f>+BD25-BD26</f>
        <v>43.957436620000003</v>
      </c>
      <c r="BE27" s="784">
        <v>22.02057245</v>
      </c>
      <c r="BF27" s="784">
        <v>16.685853870000003</v>
      </c>
      <c r="BG27" s="784">
        <v>15.09283226</v>
      </c>
      <c r="BH27" s="827">
        <v>14.213046050000001</v>
      </c>
      <c r="BI27" s="816">
        <v>12.14333553</v>
      </c>
      <c r="BJ27" s="816">
        <v>8.3822816200000005</v>
      </c>
      <c r="BK27" s="816">
        <v>7.50647252</v>
      </c>
      <c r="BL27" s="816">
        <v>6.6303028200000007</v>
      </c>
      <c r="BM27" s="816">
        <v>9.1545452300000001</v>
      </c>
      <c r="BN27" s="816">
        <v>11.051147650000001</v>
      </c>
      <c r="BO27" s="816">
        <v>10.17539006</v>
      </c>
      <c r="BP27" s="816">
        <v>9.7996324799999996</v>
      </c>
      <c r="BQ27" s="816">
        <v>6.9413587000000003</v>
      </c>
      <c r="BR27" s="816">
        <v>3.5232411100000003</v>
      </c>
      <c r="BS27" s="816">
        <v>2.7174837999999997</v>
      </c>
      <c r="BT27" s="816">
        <v>2.8557804700000005</v>
      </c>
      <c r="BU27" s="816">
        <v>1.1139691800000002</v>
      </c>
      <c r="BV27" s="816">
        <v>1.1085534500000001</v>
      </c>
      <c r="BW27" s="816">
        <v>1.0937518599999998</v>
      </c>
      <c r="BX27" s="816">
        <v>1.0881907500000003</v>
      </c>
      <c r="BY27" s="816">
        <v>1.0825554900000003</v>
      </c>
      <c r="BZ27" s="816">
        <v>0.4397770900000002</v>
      </c>
      <c r="CA27" s="816">
        <v>0.43351300000000004</v>
      </c>
      <c r="CB27" s="816">
        <v>7.6521642599999993</v>
      </c>
      <c r="CC27" s="816">
        <v>7.5799689500000014</v>
      </c>
      <c r="CD27" s="816">
        <v>7.9362821399999994</v>
      </c>
      <c r="CE27" s="816">
        <f t="shared" ref="CE27:CJ27" si="9">+CE11-CE15</f>
        <v>23.08084015</v>
      </c>
      <c r="CF27" s="816">
        <f t="shared" si="9"/>
        <v>162.32129550000002</v>
      </c>
      <c r="CG27" s="816">
        <f t="shared" si="9"/>
        <v>32.50946158</v>
      </c>
      <c r="CH27" s="816">
        <f t="shared" si="9"/>
        <v>39.747833190000001</v>
      </c>
      <c r="CI27" s="816">
        <f t="shared" si="9"/>
        <v>42.638868039999998</v>
      </c>
      <c r="CJ27" s="816">
        <f t="shared" si="9"/>
        <v>38.953705810000002</v>
      </c>
      <c r="CK27" s="816">
        <f>+CK11-CK15</f>
        <v>37.703061680000005</v>
      </c>
      <c r="CL27" s="816">
        <f>+CL11-CL15</f>
        <v>43.87218403</v>
      </c>
      <c r="CM27" s="816">
        <f>+CM11-CM15</f>
        <v>47.676133889999996</v>
      </c>
      <c r="CN27" s="816">
        <f>+CN11-CN15</f>
        <v>62.672806539999996</v>
      </c>
      <c r="CO27" s="816">
        <f>+CO25-CO26</f>
        <v>65.176940799999997</v>
      </c>
      <c r="CP27" s="816">
        <f>+CP25-CP26</f>
        <v>68.68251309</v>
      </c>
      <c r="CQ27" s="816">
        <f>+CQ25-CQ26</f>
        <v>66.859239349999996</v>
      </c>
      <c r="CR27" s="816">
        <f>+CR25-CR26</f>
        <v>79.021363940000001</v>
      </c>
      <c r="CS27" s="816">
        <f>+CS25-CS26</f>
        <v>84.335263909999995</v>
      </c>
      <c r="CT27" s="816">
        <v>88.966924050000003</v>
      </c>
      <c r="CU27" s="816">
        <v>229.13648541000001</v>
      </c>
      <c r="CV27" s="816">
        <v>233.74872245</v>
      </c>
      <c r="CW27" s="816">
        <v>236.89294927</v>
      </c>
      <c r="CX27" s="816">
        <v>240.72943480000001</v>
      </c>
      <c r="CY27" s="816">
        <v>253.50690846000001</v>
      </c>
      <c r="CZ27" s="816">
        <v>253.28223016000001</v>
      </c>
      <c r="DA27" s="816">
        <v>251.35155596000001</v>
      </c>
      <c r="DB27" s="816">
        <v>260.18953818</v>
      </c>
      <c r="DC27" s="816">
        <v>258.41309854000002</v>
      </c>
      <c r="DD27" s="886">
        <v>256.91704485000002</v>
      </c>
      <c r="DE27" s="886">
        <v>266.44814016999999</v>
      </c>
      <c r="DF27" s="886">
        <v>262.96956067999997</v>
      </c>
      <c r="DG27" s="839">
        <v>261.76922853999997</v>
      </c>
      <c r="DH27" s="839">
        <v>260.06957312999998</v>
      </c>
      <c r="DI27" s="839">
        <v>263.70760704999998</v>
      </c>
      <c r="DJ27" s="839">
        <v>266.32617428999998</v>
      </c>
      <c r="DK27" s="839">
        <v>271.96856812999999</v>
      </c>
      <c r="DL27" s="839">
        <v>270.71395276999999</v>
      </c>
      <c r="DM27" s="839">
        <v>270.36713847999999</v>
      </c>
      <c r="DN27" s="839">
        <v>269.48847241999999</v>
      </c>
      <c r="DO27" s="839">
        <v>269.42387896000002</v>
      </c>
      <c r="DP27" s="839">
        <v>249.48314621</v>
      </c>
      <c r="DQ27" s="839">
        <v>250.80805072000001</v>
      </c>
      <c r="DR27" s="839">
        <v>251.94744259999999</v>
      </c>
      <c r="DS27" s="839">
        <v>250.98132444999999</v>
      </c>
      <c r="DT27" s="839">
        <v>249.43174246999999</v>
      </c>
      <c r="DU27" s="839">
        <v>249.38717915999999</v>
      </c>
      <c r="DV27" s="839">
        <v>265.68558123000003</v>
      </c>
      <c r="DW27" s="839">
        <v>264.02238437</v>
      </c>
      <c r="DX27" s="839">
        <v>261.15649266999998</v>
      </c>
      <c r="DY27" s="839">
        <v>259.96863043000002</v>
      </c>
      <c r="DZ27" s="839">
        <v>260.14571527999999</v>
      </c>
      <c r="EA27" s="839">
        <v>259.09976869000002</v>
      </c>
      <c r="EB27" s="839">
        <v>257.81734741000002</v>
      </c>
      <c r="EC27" s="839">
        <v>256.76363832999999</v>
      </c>
      <c r="ED27" s="839">
        <v>254.97924892</v>
      </c>
      <c r="EE27" s="839">
        <v>252.12639056</v>
      </c>
      <c r="EF27" s="839">
        <v>250.32824883000001</v>
      </c>
      <c r="EG27" s="839">
        <v>251.85594829999999</v>
      </c>
      <c r="EH27" s="839">
        <v>250.95384207999999</v>
      </c>
      <c r="EI27" s="839">
        <v>240.69351775999999</v>
      </c>
      <c r="EJ27" s="839">
        <v>254.52768527000001</v>
      </c>
      <c r="EK27" s="839">
        <v>252.85118306999999</v>
      </c>
      <c r="EL27" s="839">
        <v>252.82709138999999</v>
      </c>
      <c r="EM27" s="839">
        <v>78.349667690000004</v>
      </c>
      <c r="EN27" s="839">
        <v>77.051598049999996</v>
      </c>
      <c r="EO27" s="839">
        <v>79.73224012</v>
      </c>
      <c r="EP27" s="839">
        <v>78.697277270000001</v>
      </c>
      <c r="EQ27" s="839">
        <v>77.453306249999997</v>
      </c>
      <c r="ER27" s="839">
        <v>77.088378939999998</v>
      </c>
      <c r="ES27" s="839">
        <v>77.034468579999995</v>
      </c>
      <c r="ET27" s="839">
        <v>75.683543069999999</v>
      </c>
      <c r="EU27" s="839">
        <v>74.396866360000004</v>
      </c>
      <c r="EV27" s="839">
        <v>39.147620340000003</v>
      </c>
      <c r="EW27" s="839">
        <v>39.847923420000001</v>
      </c>
      <c r="EX27" s="839">
        <v>40.208415199999997</v>
      </c>
      <c r="EY27" s="839">
        <v>21.651926020000001</v>
      </c>
      <c r="EZ27" s="839">
        <v>20.377229580000002</v>
      </c>
      <c r="FA27" s="839">
        <v>22.989702650000002</v>
      </c>
      <c r="FB27" s="839">
        <v>22.179570890000001</v>
      </c>
      <c r="FC27" s="839">
        <v>39.457182230000001</v>
      </c>
      <c r="FD27" s="839">
        <v>38.378443769999997</v>
      </c>
      <c r="FE27" s="839">
        <v>36.198532270000001</v>
      </c>
      <c r="FF27" s="839">
        <v>35.418139850000003</v>
      </c>
      <c r="FG27" s="839">
        <v>33.939820050000002</v>
      </c>
      <c r="FH27" s="1712" t="s">
        <v>4066</v>
      </c>
      <c r="FM27" s="321"/>
    </row>
    <row r="28" spans="1:169" ht="21">
      <c r="A28" s="1721"/>
      <c r="B28" s="783"/>
      <c r="C28" s="783"/>
      <c r="D28" s="783"/>
      <c r="E28" s="783"/>
      <c r="F28" s="783"/>
      <c r="G28" s="783"/>
      <c r="H28" s="783"/>
      <c r="I28" s="783"/>
      <c r="J28" s="783"/>
      <c r="K28" s="783"/>
      <c r="L28" s="783"/>
      <c r="M28" s="784"/>
      <c r="N28" s="784"/>
      <c r="O28" s="784"/>
      <c r="P28" s="784"/>
      <c r="Q28" s="784"/>
      <c r="R28" s="784"/>
      <c r="S28" s="784"/>
      <c r="T28" s="784"/>
      <c r="U28" s="784"/>
      <c r="V28" s="784"/>
      <c r="W28" s="784"/>
      <c r="X28" s="784"/>
      <c r="Y28" s="784"/>
      <c r="Z28" s="784"/>
      <c r="AA28" s="784"/>
      <c r="AB28" s="784"/>
      <c r="AC28" s="784"/>
      <c r="AD28" s="784"/>
      <c r="AE28" s="784"/>
      <c r="AF28" s="784"/>
      <c r="AG28" s="784"/>
      <c r="AH28" s="784"/>
      <c r="AI28" s="784"/>
      <c r="AJ28" s="784"/>
      <c r="AK28" s="784"/>
      <c r="AL28" s="784"/>
      <c r="AM28" s="784"/>
      <c r="AN28" s="784"/>
      <c r="AO28" s="784"/>
      <c r="AP28" s="784"/>
      <c r="AQ28" s="784"/>
      <c r="AR28" s="784"/>
      <c r="AS28" s="784"/>
      <c r="AT28" s="784"/>
      <c r="AU28" s="784"/>
      <c r="AV28" s="784"/>
      <c r="AW28" s="784"/>
      <c r="AX28" s="784"/>
      <c r="AY28" s="784"/>
      <c r="AZ28" s="784"/>
      <c r="BA28" s="784"/>
      <c r="BB28" s="784"/>
      <c r="BC28" s="784"/>
      <c r="BD28" s="784"/>
      <c r="BE28" s="784"/>
      <c r="BF28" s="784"/>
      <c r="BG28" s="784"/>
      <c r="BH28" s="827"/>
      <c r="BI28" s="816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6"/>
      <c r="CN28" s="816"/>
      <c r="CO28" s="816"/>
      <c r="CP28" s="816"/>
      <c r="CQ28" s="816"/>
      <c r="CR28" s="816"/>
      <c r="CS28" s="816"/>
      <c r="CT28" s="816"/>
      <c r="CU28" s="816"/>
      <c r="CV28" s="816"/>
      <c r="CW28" s="816"/>
      <c r="CX28" s="816"/>
      <c r="CY28" s="816"/>
      <c r="CZ28" s="816"/>
      <c r="DA28" s="816"/>
      <c r="DB28" s="816"/>
      <c r="DC28" s="816"/>
      <c r="DD28" s="886"/>
      <c r="DE28" s="886"/>
      <c r="DF28" s="886"/>
      <c r="DG28" s="839"/>
      <c r="DH28" s="839"/>
      <c r="DI28" s="839"/>
      <c r="DJ28" s="839"/>
      <c r="DK28" s="839"/>
      <c r="DL28" s="839"/>
      <c r="DM28" s="839"/>
      <c r="DN28" s="839"/>
      <c r="DO28" s="839"/>
      <c r="DP28" s="839"/>
      <c r="DQ28" s="839"/>
      <c r="DR28" s="839"/>
      <c r="DS28" s="839"/>
      <c r="DT28" s="839"/>
      <c r="DU28" s="839"/>
      <c r="DV28" s="839"/>
      <c r="DW28" s="839"/>
      <c r="DX28" s="839"/>
      <c r="DY28" s="839"/>
      <c r="DZ28" s="839"/>
      <c r="EA28" s="839"/>
      <c r="EB28" s="839"/>
      <c r="EC28" s="839"/>
      <c r="ED28" s="839"/>
      <c r="EE28" s="839"/>
      <c r="EF28" s="839"/>
      <c r="EG28" s="839"/>
      <c r="EH28" s="839"/>
      <c r="EI28" s="839"/>
      <c r="EJ28" s="839"/>
      <c r="EK28" s="839"/>
      <c r="EL28" s="839"/>
      <c r="EM28" s="839"/>
      <c r="EN28" s="839"/>
      <c r="EO28" s="839"/>
      <c r="EP28" s="839"/>
      <c r="EQ28" s="839"/>
      <c r="ER28" s="839"/>
      <c r="ES28" s="839"/>
      <c r="ET28" s="839"/>
      <c r="EU28" s="839"/>
      <c r="EV28" s="839"/>
      <c r="EW28" s="839"/>
      <c r="EX28" s="839"/>
      <c r="EY28" s="839"/>
      <c r="EZ28" s="839"/>
      <c r="FA28" s="839"/>
      <c r="FB28" s="839"/>
      <c r="FC28" s="839"/>
      <c r="FD28" s="839"/>
      <c r="FE28" s="839"/>
      <c r="FF28" s="839"/>
      <c r="FG28" s="839"/>
      <c r="FH28" s="1711"/>
      <c r="FM28" s="321"/>
    </row>
    <row r="29" spans="1:169" ht="21">
      <c r="A29" s="1744" t="s">
        <v>185</v>
      </c>
      <c r="B29" s="783">
        <v>46.254203830000002</v>
      </c>
      <c r="C29" s="783">
        <v>38.63327065</v>
      </c>
      <c r="D29" s="783">
        <v>38.005698259999996</v>
      </c>
      <c r="E29" s="783">
        <v>37.752392560000004</v>
      </c>
      <c r="F29" s="783">
        <v>38.409636040000002</v>
      </c>
      <c r="G29" s="783">
        <v>38.030524630000002</v>
      </c>
      <c r="H29" s="783">
        <v>41.412116140000002</v>
      </c>
      <c r="I29" s="783">
        <v>41.423112780000004</v>
      </c>
      <c r="J29" s="783">
        <v>40.948909869999994</v>
      </c>
      <c r="K29" s="783">
        <v>46.425499030000005</v>
      </c>
      <c r="L29" s="783">
        <v>46.771095100000004</v>
      </c>
      <c r="M29" s="781">
        <v>47.724016729999995</v>
      </c>
      <c r="N29" s="784">
        <v>47.62525333</v>
      </c>
      <c r="O29" s="784">
        <v>48.289740159999994</v>
      </c>
      <c r="P29" s="784">
        <v>48.47032652</v>
      </c>
      <c r="Q29" s="784">
        <v>48.325112920000002</v>
      </c>
      <c r="R29" s="784">
        <v>49.679857920000003</v>
      </c>
      <c r="S29" s="784">
        <v>50.427143649999998</v>
      </c>
      <c r="T29" s="784">
        <v>52.78641588</v>
      </c>
      <c r="U29" s="784">
        <v>52.462860110000001</v>
      </c>
      <c r="V29" s="784">
        <v>54.315938729999999</v>
      </c>
      <c r="W29" s="784">
        <v>53.859680350000005</v>
      </c>
      <c r="X29" s="784">
        <v>52.73801933</v>
      </c>
      <c r="Y29" s="781">
        <v>50.650812119999998</v>
      </c>
      <c r="Z29" s="784">
        <v>48.588748100000004</v>
      </c>
      <c r="AA29" s="784">
        <v>53.085998420000003</v>
      </c>
      <c r="AB29" s="781">
        <v>50.670332070000001</v>
      </c>
      <c r="AC29" s="781">
        <v>49.512955689999998</v>
      </c>
      <c r="AD29" s="781">
        <v>48.395055820000003</v>
      </c>
      <c r="AE29" s="781">
        <v>47.587859479999999</v>
      </c>
      <c r="AF29" s="781">
        <v>35.700965109999999</v>
      </c>
      <c r="AG29" s="781">
        <v>33.519754329999998</v>
      </c>
      <c r="AH29" s="781">
        <v>33.222163610000003</v>
      </c>
      <c r="AI29" s="781">
        <v>32.218120939999999</v>
      </c>
      <c r="AJ29" s="781">
        <v>594.32434321000005</v>
      </c>
      <c r="AK29" s="781">
        <v>21.745366440000002</v>
      </c>
      <c r="AL29" s="781">
        <v>2.95465131</v>
      </c>
      <c r="AM29" s="781">
        <v>2.69867546</v>
      </c>
      <c r="AN29" s="781">
        <v>2.3819547700000001</v>
      </c>
      <c r="AO29" s="781">
        <v>2.1228837</v>
      </c>
      <c r="AP29" s="781">
        <v>1.86236366</v>
      </c>
      <c r="AQ29" s="781">
        <v>1.5902256100000001</v>
      </c>
      <c r="AR29" s="781">
        <v>1.3071844699999999</v>
      </c>
      <c r="AS29" s="781">
        <v>1.14420543</v>
      </c>
      <c r="AT29" s="781">
        <v>1.0801258999999999</v>
      </c>
      <c r="AU29" s="781">
        <v>4.1510900000000003E-2</v>
      </c>
      <c r="AV29" s="781">
        <v>3.6001390000000001E-2</v>
      </c>
      <c r="AW29" s="781">
        <v>3.6001390000000001E-2</v>
      </c>
      <c r="AX29" s="781">
        <v>3.3181410000000001E-2</v>
      </c>
      <c r="AY29" s="781">
        <v>3.0323830000000003E-2</v>
      </c>
      <c r="AZ29" s="781">
        <v>2.7428150000000002E-2</v>
      </c>
      <c r="BA29" s="781">
        <v>2.7428150000000002E-2</v>
      </c>
      <c r="BB29" s="781">
        <v>2.1520439999999998E-2</v>
      </c>
      <c r="BC29" s="781">
        <v>2.1520439999999998E-2</v>
      </c>
      <c r="BD29" s="781">
        <v>2.1520439999999998E-2</v>
      </c>
      <c r="BE29" s="781">
        <v>2.1520439999999998E-2</v>
      </c>
      <c r="BF29" s="781">
        <v>0.50922513999999997</v>
      </c>
      <c r="BG29" s="781">
        <v>0.50614813999999997</v>
      </c>
      <c r="BH29" s="826">
        <v>0.50302897999999996</v>
      </c>
      <c r="BI29" s="815">
        <v>0.5</v>
      </c>
      <c r="BJ29" s="815">
        <v>0.5</v>
      </c>
      <c r="BK29" s="815">
        <v>0.5</v>
      </c>
      <c r="BL29" s="815">
        <v>0.5</v>
      </c>
      <c r="BM29" s="815">
        <v>0.5</v>
      </c>
      <c r="BN29" s="815">
        <v>0.5</v>
      </c>
      <c r="BO29" s="815">
        <v>0.5</v>
      </c>
      <c r="BP29" s="815">
        <v>1</v>
      </c>
      <c r="BQ29" s="815">
        <v>1</v>
      </c>
      <c r="BR29" s="815">
        <v>1.23</v>
      </c>
      <c r="BS29" s="815">
        <v>1.3</v>
      </c>
      <c r="BT29" s="815">
        <v>1.4382966699999999</v>
      </c>
      <c r="BU29" s="815">
        <v>1.1046555300000001</v>
      </c>
      <c r="BV29" s="815">
        <v>1.0992398000000001</v>
      </c>
      <c r="BW29" s="815">
        <v>1.09375186</v>
      </c>
      <c r="BX29" s="815">
        <v>1.0881907500000001</v>
      </c>
      <c r="BY29" s="815">
        <v>1.0825554900000001</v>
      </c>
      <c r="BZ29" s="815">
        <v>0.43977709000000004</v>
      </c>
      <c r="CA29" s="815">
        <v>0.43351299999999998</v>
      </c>
      <c r="CB29" s="815">
        <v>0.42716426000000002</v>
      </c>
      <c r="CC29" s="815">
        <v>0.42072953999999996</v>
      </c>
      <c r="CD29" s="815">
        <v>0.91420779000000008</v>
      </c>
      <c r="CE29" s="815">
        <v>0.88817696000000002</v>
      </c>
      <c r="CF29" s="815">
        <v>0.85961054000000003</v>
      </c>
      <c r="CG29" s="815">
        <v>0.82986705000000005</v>
      </c>
      <c r="CH29" s="815">
        <v>0.80053240000000003</v>
      </c>
      <c r="CI29" s="815">
        <v>0.77084754</v>
      </c>
      <c r="CJ29" s="815">
        <v>1.0837384800000001</v>
      </c>
      <c r="CK29" s="815">
        <v>1.06462246</v>
      </c>
      <c r="CL29" s="815">
        <v>3.4928417299999999</v>
      </c>
      <c r="CM29" s="815">
        <v>3.3867915899999996</v>
      </c>
      <c r="CN29" s="815">
        <v>3.48192586</v>
      </c>
      <c r="CO29" s="815">
        <v>3.3735617200000001</v>
      </c>
      <c r="CP29" s="815">
        <v>3.2288478199999999</v>
      </c>
      <c r="CQ29" s="815">
        <v>3.0862252200000002</v>
      </c>
      <c r="CR29" s="815">
        <v>3.0259489400000001</v>
      </c>
      <c r="CS29" s="815">
        <v>3.1478981400000001</v>
      </c>
      <c r="CT29" s="815">
        <v>5.6253254200000002</v>
      </c>
      <c r="CU29" s="815">
        <v>6.5365980400000003</v>
      </c>
      <c r="CV29" s="815">
        <v>6.70918964</v>
      </c>
      <c r="CW29" s="815">
        <v>8.4208723699999997</v>
      </c>
      <c r="CX29" s="815">
        <v>8.3062313799999998</v>
      </c>
      <c r="CY29" s="815">
        <v>8.4308104999999998</v>
      </c>
      <c r="CZ29" s="815">
        <v>9.9346093500000006</v>
      </c>
      <c r="DA29" s="815">
        <v>9.6225126799999998</v>
      </c>
      <c r="DB29" s="815">
        <v>9.2815698900000001</v>
      </c>
      <c r="DC29" s="815">
        <v>9.0561801299999996</v>
      </c>
      <c r="DD29" s="885">
        <v>8.6403173100000004</v>
      </c>
      <c r="DE29" s="885">
        <v>9.9563370800000008</v>
      </c>
      <c r="DF29" s="885">
        <v>6.7567788699999998</v>
      </c>
      <c r="DG29" s="838">
        <v>6.4284177099999997</v>
      </c>
      <c r="DH29" s="838">
        <v>5.9816840100000004</v>
      </c>
      <c r="DI29" s="838">
        <v>5.9379101700000003</v>
      </c>
      <c r="DJ29" s="838">
        <v>5.8115643200000004</v>
      </c>
      <c r="DK29" s="838">
        <v>5.9884891299999996</v>
      </c>
      <c r="DL29" s="838">
        <v>6.2783188799999996</v>
      </c>
      <c r="DM29" s="838">
        <v>6.3582407500000002</v>
      </c>
      <c r="DN29" s="838">
        <v>7.0952761100000004</v>
      </c>
      <c r="DO29" s="838">
        <v>7.4373536700000002</v>
      </c>
      <c r="DP29" s="838">
        <v>7.1380993699999999</v>
      </c>
      <c r="DQ29" s="838">
        <v>7.4423620799999997</v>
      </c>
      <c r="DR29" s="838">
        <v>8.1970261999999998</v>
      </c>
      <c r="DS29" s="838">
        <v>7.9577714100000003</v>
      </c>
      <c r="DT29" s="838">
        <v>7.8265489300000004</v>
      </c>
      <c r="DU29" s="838">
        <v>8.2620568199999997</v>
      </c>
      <c r="DV29" s="838">
        <v>7.7208884600000003</v>
      </c>
      <c r="DW29" s="838">
        <v>7.6056059400000002</v>
      </c>
      <c r="DX29" s="838">
        <v>7.5055935500000004</v>
      </c>
      <c r="DY29" s="838">
        <v>7.2034147099999997</v>
      </c>
      <c r="DZ29" s="838">
        <v>8.2190036000000006</v>
      </c>
      <c r="EA29" s="838">
        <v>8.9177553199999995</v>
      </c>
      <c r="EB29" s="838">
        <v>8.7709543799999992</v>
      </c>
      <c r="EC29" s="838">
        <v>8.9404617799999997</v>
      </c>
      <c r="ED29" s="838">
        <v>9.0334841499999996</v>
      </c>
      <c r="EE29" s="838">
        <v>8.8891335700000003</v>
      </c>
      <c r="EF29" s="838">
        <v>8.2173077899999996</v>
      </c>
      <c r="EG29" s="838">
        <v>7.8820688099999998</v>
      </c>
      <c r="EH29" s="838">
        <v>7.4889928000000001</v>
      </c>
      <c r="EI29" s="838">
        <v>8.3136611200000008</v>
      </c>
      <c r="EJ29" s="838">
        <v>19.05155865</v>
      </c>
      <c r="EK29" s="838">
        <v>19.212249839999998</v>
      </c>
      <c r="EL29" s="838">
        <v>20.45845207</v>
      </c>
      <c r="EM29" s="838">
        <v>25.528986400000001</v>
      </c>
      <c r="EN29" s="838">
        <v>24.487483990000001</v>
      </c>
      <c r="EO29" s="838">
        <v>27.447466890000001</v>
      </c>
      <c r="EP29" s="838">
        <v>26.5448956</v>
      </c>
      <c r="EQ29" s="838">
        <v>25.45019817</v>
      </c>
      <c r="ER29" s="838">
        <v>25.116887439999999</v>
      </c>
      <c r="ES29" s="838">
        <v>25.13900121</v>
      </c>
      <c r="ET29" s="838">
        <v>23.831525979999999</v>
      </c>
      <c r="EU29" s="838">
        <v>22.59270257</v>
      </c>
      <c r="EV29" s="838">
        <v>21.76016375</v>
      </c>
      <c r="EW29" s="838">
        <v>22.476476760000001</v>
      </c>
      <c r="EX29" s="838">
        <v>22.820740950000001</v>
      </c>
      <c r="EY29" s="838">
        <v>21.26346904</v>
      </c>
      <c r="EZ29" s="838">
        <v>19.988772600000001</v>
      </c>
      <c r="FA29" s="838">
        <v>22.601878679999999</v>
      </c>
      <c r="FB29" s="838">
        <v>21.811044880000001</v>
      </c>
      <c r="FC29" s="838">
        <v>39.088656219999997</v>
      </c>
      <c r="FD29" s="838">
        <v>38.030664530000003</v>
      </c>
      <c r="FE29" s="838">
        <v>35.608262439999997</v>
      </c>
      <c r="FF29" s="838">
        <v>34.9347037</v>
      </c>
      <c r="FG29" s="838">
        <v>33.477433300000001</v>
      </c>
      <c r="FH29" s="1714" t="s">
        <v>206</v>
      </c>
      <c r="FM29" s="321"/>
    </row>
    <row r="30" spans="1:169" ht="21">
      <c r="A30" s="1745" t="s">
        <v>1961</v>
      </c>
      <c r="B30" s="783">
        <v>0</v>
      </c>
      <c r="C30" s="783">
        <v>0</v>
      </c>
      <c r="D30" s="783">
        <v>0</v>
      </c>
      <c r="E30" s="783">
        <v>0</v>
      </c>
      <c r="F30" s="783">
        <v>0</v>
      </c>
      <c r="G30" s="783">
        <v>0</v>
      </c>
      <c r="H30" s="783">
        <v>0</v>
      </c>
      <c r="I30" s="783">
        <v>0</v>
      </c>
      <c r="J30" s="783">
        <v>0</v>
      </c>
      <c r="K30" s="783">
        <v>0</v>
      </c>
      <c r="L30" s="783">
        <v>0</v>
      </c>
      <c r="M30" s="784">
        <v>0</v>
      </c>
      <c r="N30" s="784">
        <v>0</v>
      </c>
      <c r="O30" s="784">
        <v>0</v>
      </c>
      <c r="P30" s="784">
        <v>0</v>
      </c>
      <c r="Q30" s="784">
        <v>0</v>
      </c>
      <c r="R30" s="784">
        <v>0</v>
      </c>
      <c r="S30" s="784">
        <v>0</v>
      </c>
      <c r="T30" s="784">
        <v>0</v>
      </c>
      <c r="U30" s="784">
        <v>0</v>
      </c>
      <c r="V30" s="784">
        <v>0</v>
      </c>
      <c r="W30" s="784">
        <v>0</v>
      </c>
      <c r="X30" s="784">
        <v>0</v>
      </c>
      <c r="Y30" s="784">
        <v>0</v>
      </c>
      <c r="Z30" s="784">
        <v>0</v>
      </c>
      <c r="AA30" s="784">
        <v>0</v>
      </c>
      <c r="AB30" s="784">
        <v>0</v>
      </c>
      <c r="AC30" s="784">
        <v>0</v>
      </c>
      <c r="AD30" s="784">
        <v>0</v>
      </c>
      <c r="AE30" s="784">
        <v>0</v>
      </c>
      <c r="AF30" s="784">
        <v>0</v>
      </c>
      <c r="AG30" s="784">
        <v>0</v>
      </c>
      <c r="AH30" s="784">
        <v>0</v>
      </c>
      <c r="AI30" s="784">
        <v>0</v>
      </c>
      <c r="AJ30" s="784">
        <v>0</v>
      </c>
      <c r="AK30" s="784">
        <v>0</v>
      </c>
      <c r="AL30" s="784">
        <v>0</v>
      </c>
      <c r="AM30" s="784">
        <v>0</v>
      </c>
      <c r="AN30" s="784">
        <v>0</v>
      </c>
      <c r="AO30" s="784">
        <v>0</v>
      </c>
      <c r="AP30" s="784">
        <v>0</v>
      </c>
      <c r="AQ30" s="784">
        <v>0</v>
      </c>
      <c r="AR30" s="784">
        <v>0</v>
      </c>
      <c r="AS30" s="784">
        <v>0</v>
      </c>
      <c r="AT30" s="784">
        <v>0</v>
      </c>
      <c r="AU30" s="784">
        <v>0</v>
      </c>
      <c r="AV30" s="784">
        <v>0</v>
      </c>
      <c r="AW30" s="784">
        <v>0</v>
      </c>
      <c r="AX30" s="784">
        <v>0</v>
      </c>
      <c r="AY30" s="784">
        <v>0</v>
      </c>
      <c r="AZ30" s="784">
        <v>0</v>
      </c>
      <c r="BA30" s="784">
        <v>0</v>
      </c>
      <c r="BB30" s="784">
        <v>0</v>
      </c>
      <c r="BC30" s="784">
        <v>0</v>
      </c>
      <c r="BD30" s="784">
        <v>0</v>
      </c>
      <c r="BE30" s="784">
        <v>0</v>
      </c>
      <c r="BF30" s="784">
        <v>0</v>
      </c>
      <c r="BG30" s="784">
        <v>0</v>
      </c>
      <c r="BH30" s="827">
        <v>0</v>
      </c>
      <c r="BI30" s="816">
        <v>0</v>
      </c>
      <c r="BJ30" s="816">
        <v>0</v>
      </c>
      <c r="BK30" s="816">
        <v>0</v>
      </c>
      <c r="BL30" s="816">
        <v>0</v>
      </c>
      <c r="BM30" s="816">
        <v>0</v>
      </c>
      <c r="BN30" s="816">
        <v>0</v>
      </c>
      <c r="BO30" s="816">
        <v>0</v>
      </c>
      <c r="BP30" s="816">
        <v>0</v>
      </c>
      <c r="BQ30" s="816">
        <v>0</v>
      </c>
      <c r="BR30" s="816">
        <v>0</v>
      </c>
      <c r="BS30" s="816">
        <v>0</v>
      </c>
      <c r="BT30" s="816">
        <v>0</v>
      </c>
      <c r="BU30" s="816">
        <v>0</v>
      </c>
      <c r="BV30" s="816">
        <v>0</v>
      </c>
      <c r="BW30" s="816">
        <v>0</v>
      </c>
      <c r="BX30" s="816">
        <v>0</v>
      </c>
      <c r="BY30" s="816">
        <v>0</v>
      </c>
      <c r="BZ30" s="816">
        <v>0</v>
      </c>
      <c r="CA30" s="816">
        <v>0</v>
      </c>
      <c r="CB30" s="816">
        <v>0</v>
      </c>
      <c r="CC30" s="816">
        <v>0</v>
      </c>
      <c r="CD30" s="816">
        <v>0</v>
      </c>
      <c r="CE30" s="816">
        <v>0</v>
      </c>
      <c r="CF30" s="816">
        <v>0</v>
      </c>
      <c r="CG30" s="816">
        <v>0</v>
      </c>
      <c r="CH30" s="816">
        <v>0</v>
      </c>
      <c r="CI30" s="816">
        <v>0</v>
      </c>
      <c r="CJ30" s="816">
        <v>0</v>
      </c>
      <c r="CK30" s="816">
        <v>0</v>
      </c>
      <c r="CL30" s="816">
        <v>0</v>
      </c>
      <c r="CM30" s="816">
        <v>0</v>
      </c>
      <c r="CN30" s="816">
        <v>0</v>
      </c>
      <c r="CO30" s="816">
        <v>0</v>
      </c>
      <c r="CP30" s="816">
        <v>0</v>
      </c>
      <c r="CQ30" s="816">
        <v>0</v>
      </c>
      <c r="CR30" s="816">
        <v>0</v>
      </c>
      <c r="CS30" s="816">
        <v>0</v>
      </c>
      <c r="CT30" s="816">
        <v>0</v>
      </c>
      <c r="CU30" s="816">
        <v>0</v>
      </c>
      <c r="CV30" s="816">
        <v>0</v>
      </c>
      <c r="CW30" s="816">
        <v>0</v>
      </c>
      <c r="CX30" s="816">
        <v>0</v>
      </c>
      <c r="CY30" s="816">
        <v>0</v>
      </c>
      <c r="CZ30" s="816">
        <v>0</v>
      </c>
      <c r="DA30" s="816">
        <v>0</v>
      </c>
      <c r="DB30" s="816">
        <v>0</v>
      </c>
      <c r="DC30" s="816">
        <v>0</v>
      </c>
      <c r="DD30" s="886">
        <v>0</v>
      </c>
      <c r="DE30" s="886">
        <v>0</v>
      </c>
      <c r="DF30" s="886">
        <v>0</v>
      </c>
      <c r="DG30" s="839">
        <v>0</v>
      </c>
      <c r="DH30" s="839">
        <v>0</v>
      </c>
      <c r="DI30" s="839">
        <v>0</v>
      </c>
      <c r="DJ30" s="839">
        <v>0</v>
      </c>
      <c r="DK30" s="839">
        <v>0</v>
      </c>
      <c r="DL30" s="839">
        <v>0</v>
      </c>
      <c r="DM30" s="839">
        <v>0</v>
      </c>
      <c r="DN30" s="839">
        <v>0</v>
      </c>
      <c r="DO30" s="839">
        <v>0</v>
      </c>
      <c r="DP30" s="839">
        <v>0</v>
      </c>
      <c r="DQ30" s="839">
        <v>0</v>
      </c>
      <c r="DR30" s="839">
        <v>0</v>
      </c>
      <c r="DS30" s="839">
        <v>0</v>
      </c>
      <c r="DT30" s="839">
        <v>0</v>
      </c>
      <c r="DU30" s="839">
        <v>0</v>
      </c>
      <c r="DV30" s="839">
        <v>0</v>
      </c>
      <c r="DW30" s="839">
        <v>0</v>
      </c>
      <c r="DX30" s="839">
        <v>0</v>
      </c>
      <c r="DY30" s="839">
        <v>0</v>
      </c>
      <c r="DZ30" s="839">
        <v>0</v>
      </c>
      <c r="EA30" s="839">
        <v>0</v>
      </c>
      <c r="EB30" s="839">
        <v>0</v>
      </c>
      <c r="EC30" s="839">
        <v>0</v>
      </c>
      <c r="ED30" s="839">
        <v>0</v>
      </c>
      <c r="EE30" s="839">
        <v>0</v>
      </c>
      <c r="EF30" s="839">
        <v>0</v>
      </c>
      <c r="EG30" s="839">
        <v>0</v>
      </c>
      <c r="EH30" s="839">
        <v>0</v>
      </c>
      <c r="EI30" s="839">
        <v>0</v>
      </c>
      <c r="EJ30" s="839">
        <v>0</v>
      </c>
      <c r="EK30" s="839">
        <v>0</v>
      </c>
      <c r="EL30" s="839">
        <v>0</v>
      </c>
      <c r="EM30" s="839">
        <v>7.7374760000000001E-2</v>
      </c>
      <c r="EN30" s="839">
        <v>7.3542910000000003E-2</v>
      </c>
      <c r="EO30" s="839">
        <v>6.9659970000000002E-2</v>
      </c>
      <c r="EP30" s="839">
        <v>6.5725259999999994E-2</v>
      </c>
      <c r="EQ30" s="839">
        <v>6.1738090000000002E-2</v>
      </c>
      <c r="ER30" s="839">
        <v>5.7697749999999999E-2</v>
      </c>
      <c r="ES30" s="839">
        <v>5.3603539999999998E-2</v>
      </c>
      <c r="ET30" s="839">
        <v>4.9454739999999997E-2</v>
      </c>
      <c r="EU30" s="839">
        <v>4.9454739999999997E-2</v>
      </c>
      <c r="EV30" s="839">
        <v>4.0990459999999999E-2</v>
      </c>
      <c r="EW30" s="839">
        <v>3.6673490000000003E-2</v>
      </c>
      <c r="EX30" s="839">
        <v>0</v>
      </c>
      <c r="EY30" s="839">
        <v>0</v>
      </c>
      <c r="EZ30" s="839">
        <v>0</v>
      </c>
      <c r="FA30" s="839">
        <v>0</v>
      </c>
      <c r="FB30" s="839">
        <v>0</v>
      </c>
      <c r="FC30" s="839">
        <v>0</v>
      </c>
      <c r="FD30" s="839">
        <v>0</v>
      </c>
      <c r="FE30" s="839">
        <v>0</v>
      </c>
      <c r="FF30" s="839">
        <v>0</v>
      </c>
      <c r="FG30" s="839">
        <v>0</v>
      </c>
      <c r="FH30" s="1716" t="s">
        <v>4067</v>
      </c>
      <c r="FM30" s="321"/>
    </row>
    <row r="31" spans="1:169" ht="21">
      <c r="A31" s="1745" t="s">
        <v>1962</v>
      </c>
      <c r="B31" s="780">
        <f>+B29-B30</f>
        <v>46.254203830000002</v>
      </c>
      <c r="C31" s="780">
        <f t="shared" ref="C31:V31" si="10">+C29-C30</f>
        <v>38.63327065</v>
      </c>
      <c r="D31" s="780">
        <f t="shared" si="10"/>
        <v>38.005698259999996</v>
      </c>
      <c r="E31" s="780">
        <f t="shared" si="10"/>
        <v>37.752392560000004</v>
      </c>
      <c r="F31" s="780">
        <f t="shared" si="10"/>
        <v>38.409636040000002</v>
      </c>
      <c r="G31" s="780">
        <f t="shared" si="10"/>
        <v>38.030524630000002</v>
      </c>
      <c r="H31" s="780">
        <f t="shared" si="10"/>
        <v>41.412116140000002</v>
      </c>
      <c r="I31" s="780">
        <f t="shared" si="10"/>
        <v>41.423112780000004</v>
      </c>
      <c r="J31" s="780">
        <f t="shared" si="10"/>
        <v>40.948909869999994</v>
      </c>
      <c r="K31" s="780">
        <f t="shared" si="10"/>
        <v>46.425499030000005</v>
      </c>
      <c r="L31" s="780">
        <f t="shared" si="10"/>
        <v>46.771095100000004</v>
      </c>
      <c r="M31" s="784">
        <f t="shared" si="10"/>
        <v>47.724016729999995</v>
      </c>
      <c r="N31" s="781">
        <f t="shared" si="10"/>
        <v>47.62525333</v>
      </c>
      <c r="O31" s="781">
        <f t="shared" si="10"/>
        <v>48.289740159999994</v>
      </c>
      <c r="P31" s="781">
        <f t="shared" si="10"/>
        <v>48.47032652</v>
      </c>
      <c r="Q31" s="781">
        <f t="shared" si="10"/>
        <v>48.325112920000002</v>
      </c>
      <c r="R31" s="781">
        <f t="shared" si="10"/>
        <v>49.679857920000003</v>
      </c>
      <c r="S31" s="781">
        <f t="shared" si="10"/>
        <v>50.427143649999998</v>
      </c>
      <c r="T31" s="781">
        <f t="shared" si="10"/>
        <v>52.78641588</v>
      </c>
      <c r="U31" s="781">
        <f t="shared" si="10"/>
        <v>52.462860110000001</v>
      </c>
      <c r="V31" s="781">
        <f t="shared" si="10"/>
        <v>54.315938729999999</v>
      </c>
      <c r="W31" s="781">
        <v>53.859680350000005</v>
      </c>
      <c r="X31" s="781">
        <v>52.73801933</v>
      </c>
      <c r="Y31" s="784">
        <v>50.650812119999998</v>
      </c>
      <c r="Z31" s="781">
        <v>48.588748100000004</v>
      </c>
      <c r="AA31" s="781">
        <v>53.085998420000003</v>
      </c>
      <c r="AB31" s="784">
        <v>50.670332070000001</v>
      </c>
      <c r="AC31" s="784">
        <v>49.512955689999998</v>
      </c>
      <c r="AD31" s="784">
        <v>48.395055820000003</v>
      </c>
      <c r="AE31" s="784">
        <v>47.587859479999999</v>
      </c>
      <c r="AF31" s="784">
        <v>35.700965109999999</v>
      </c>
      <c r="AG31" s="784">
        <v>33.519754329999998</v>
      </c>
      <c r="AH31" s="784">
        <f>+AH29-AH30</f>
        <v>33.222163610000003</v>
      </c>
      <c r="AI31" s="784">
        <v>32.218120939999999</v>
      </c>
      <c r="AJ31" s="784">
        <f>+AJ29-AJ30</f>
        <v>594.32434321000005</v>
      </c>
      <c r="AK31" s="784">
        <f>+AK29-AK30</f>
        <v>21.745366440000002</v>
      </c>
      <c r="AL31" s="784">
        <v>2.95465131</v>
      </c>
      <c r="AM31" s="784">
        <f>+AM29-AM30</f>
        <v>2.69867546</v>
      </c>
      <c r="AN31" s="784">
        <f>+AN29-AN30</f>
        <v>2.3819547700000001</v>
      </c>
      <c r="AO31" s="784">
        <f>+AO29-AO30</f>
        <v>2.1228837</v>
      </c>
      <c r="AP31" s="784">
        <f>+AP29-AP30</f>
        <v>1.86236366</v>
      </c>
      <c r="AQ31" s="784">
        <v>1.5902256100000001</v>
      </c>
      <c r="AR31" s="784">
        <f>+AR29-AR30</f>
        <v>1.3071844699999999</v>
      </c>
      <c r="AS31" s="784">
        <f>+AS29-AS30</f>
        <v>1.14420543</v>
      </c>
      <c r="AT31" s="784">
        <f>+AT29-AT30</f>
        <v>1.0801258999999999</v>
      </c>
      <c r="AU31" s="784">
        <v>4.1510900000000003E-2</v>
      </c>
      <c r="AV31" s="784">
        <v>3.6001390000000001E-2</v>
      </c>
      <c r="AW31" s="784">
        <v>3.6001390000000001E-2</v>
      </c>
      <c r="AX31" s="784">
        <v>3.3181410000000001E-2</v>
      </c>
      <c r="AY31" s="784">
        <v>3.0323830000000003E-2</v>
      </c>
      <c r="AZ31" s="784">
        <v>2.7428150000000002E-2</v>
      </c>
      <c r="BA31" s="784">
        <v>2.7428150000000002E-2</v>
      </c>
      <c r="BB31" s="784">
        <v>2.1520439999999998E-2</v>
      </c>
      <c r="BC31" s="784">
        <v>2.1520439999999998E-2</v>
      </c>
      <c r="BD31" s="784">
        <f>+BD29-BD30</f>
        <v>2.1520439999999998E-2</v>
      </c>
      <c r="BE31" s="784">
        <v>2.1520439999999998E-2</v>
      </c>
      <c r="BF31" s="784">
        <v>0.50922513999999997</v>
      </c>
      <c r="BG31" s="784">
        <v>0.50614813999999997</v>
      </c>
      <c r="BH31" s="827">
        <v>0.50302897999999996</v>
      </c>
      <c r="BI31" s="816">
        <v>0.5</v>
      </c>
      <c r="BJ31" s="816">
        <v>0.5</v>
      </c>
      <c r="BK31" s="816">
        <v>0.5</v>
      </c>
      <c r="BL31" s="816">
        <v>0.5</v>
      </c>
      <c r="BM31" s="816">
        <v>0.5</v>
      </c>
      <c r="BN31" s="816">
        <v>0.5</v>
      </c>
      <c r="BO31" s="816">
        <v>0.5</v>
      </c>
      <c r="BP31" s="816">
        <v>1</v>
      </c>
      <c r="BQ31" s="816">
        <v>1</v>
      </c>
      <c r="BR31" s="816">
        <v>1.23</v>
      </c>
      <c r="BS31" s="816">
        <v>1.3</v>
      </c>
      <c r="BT31" s="816">
        <v>1.4382966699999999</v>
      </c>
      <c r="BU31" s="816">
        <v>1.1046555300000001</v>
      </c>
      <c r="BV31" s="816">
        <v>1.0992398000000001</v>
      </c>
      <c r="BW31" s="816">
        <v>1.09375186</v>
      </c>
      <c r="BX31" s="816">
        <v>1.0881907500000001</v>
      </c>
      <c r="BY31" s="816">
        <v>1.0825554900000001</v>
      </c>
      <c r="BZ31" s="816">
        <v>0.43977709000000004</v>
      </c>
      <c r="CA31" s="816">
        <v>0.43351299999999998</v>
      </c>
      <c r="CB31" s="816">
        <v>0.42716426000000002</v>
      </c>
      <c r="CC31" s="816">
        <v>0.42072953999999996</v>
      </c>
      <c r="CD31" s="816">
        <v>0.91420779000000008</v>
      </c>
      <c r="CE31" s="816">
        <f t="shared" ref="CE31:CP31" si="11">+CE29-CE30</f>
        <v>0.88817696000000002</v>
      </c>
      <c r="CF31" s="816">
        <f t="shared" si="11"/>
        <v>0.85961054000000003</v>
      </c>
      <c r="CG31" s="816">
        <f t="shared" si="11"/>
        <v>0.82986705000000005</v>
      </c>
      <c r="CH31" s="816">
        <f t="shared" si="11"/>
        <v>0.80053240000000003</v>
      </c>
      <c r="CI31" s="816">
        <f t="shared" si="11"/>
        <v>0.77084754</v>
      </c>
      <c r="CJ31" s="816">
        <f t="shared" si="11"/>
        <v>1.0837384800000001</v>
      </c>
      <c r="CK31" s="816">
        <f t="shared" si="11"/>
        <v>1.06462246</v>
      </c>
      <c r="CL31" s="816">
        <f t="shared" si="11"/>
        <v>3.4928417299999999</v>
      </c>
      <c r="CM31" s="816">
        <f t="shared" si="11"/>
        <v>3.3867915899999996</v>
      </c>
      <c r="CN31" s="816">
        <f t="shared" si="11"/>
        <v>3.48192586</v>
      </c>
      <c r="CO31" s="816">
        <f t="shared" si="11"/>
        <v>3.3735617200000001</v>
      </c>
      <c r="CP31" s="816">
        <f t="shared" si="11"/>
        <v>3.2288478199999999</v>
      </c>
      <c r="CQ31" s="816">
        <f>+CQ29-CQ30</f>
        <v>3.0862252200000002</v>
      </c>
      <c r="CR31" s="816">
        <f>+CR29-CR30</f>
        <v>3.0259489400000001</v>
      </c>
      <c r="CS31" s="816">
        <f>+CS29-CS30</f>
        <v>3.1478981400000001</v>
      </c>
      <c r="CT31" s="816">
        <v>5.6253254200000002</v>
      </c>
      <c r="CU31" s="816">
        <v>6.5365980400000003</v>
      </c>
      <c r="CV31" s="816">
        <v>6.70918964</v>
      </c>
      <c r="CW31" s="816">
        <v>8.4208723699999997</v>
      </c>
      <c r="CX31" s="816">
        <v>8.3062313799999998</v>
      </c>
      <c r="CY31" s="816">
        <v>8.4308104999999998</v>
      </c>
      <c r="CZ31" s="816">
        <v>9.9346093500000006</v>
      </c>
      <c r="DA31" s="816">
        <v>9.6225126799999998</v>
      </c>
      <c r="DB31" s="816">
        <v>9.2815698900000001</v>
      </c>
      <c r="DC31" s="816">
        <v>9.0561801299999996</v>
      </c>
      <c r="DD31" s="886">
        <v>8.6403173100000004</v>
      </c>
      <c r="DE31" s="886">
        <v>9.9563370800000008</v>
      </c>
      <c r="DF31" s="886">
        <v>6.7567788699999998</v>
      </c>
      <c r="DG31" s="839">
        <v>6.4284177099999997</v>
      </c>
      <c r="DH31" s="839">
        <v>5.9816840100000004</v>
      </c>
      <c r="DI31" s="839">
        <v>5.9379101700000003</v>
      </c>
      <c r="DJ31" s="839">
        <v>5.8115643200000004</v>
      </c>
      <c r="DK31" s="839">
        <v>5.9884891299999996</v>
      </c>
      <c r="DL31" s="839">
        <v>6.2783188799999996</v>
      </c>
      <c r="DM31" s="839">
        <v>6.3582407500000002</v>
      </c>
      <c r="DN31" s="839">
        <v>7.0952761100000004</v>
      </c>
      <c r="DO31" s="839">
        <v>7.4373536700000002</v>
      </c>
      <c r="DP31" s="839">
        <v>7.1380993699999999</v>
      </c>
      <c r="DQ31" s="839">
        <v>7.4423620799999997</v>
      </c>
      <c r="DR31" s="839">
        <v>8.1970261999999998</v>
      </c>
      <c r="DS31" s="839">
        <v>7.9577714100000003</v>
      </c>
      <c r="DT31" s="839">
        <v>7.8265489300000004</v>
      </c>
      <c r="DU31" s="839">
        <v>8.2620568199999997</v>
      </c>
      <c r="DV31" s="839">
        <v>7.7208884600000003</v>
      </c>
      <c r="DW31" s="839">
        <v>7.6056059400000002</v>
      </c>
      <c r="DX31" s="839">
        <v>7.5055935500000004</v>
      </c>
      <c r="DY31" s="839">
        <v>7.2034147099999997</v>
      </c>
      <c r="DZ31" s="839">
        <v>8.2190036000000006</v>
      </c>
      <c r="EA31" s="839">
        <v>8.9177553199999995</v>
      </c>
      <c r="EB31" s="839">
        <v>8.7709543799999992</v>
      </c>
      <c r="EC31" s="839">
        <v>8.9404617799999997</v>
      </c>
      <c r="ED31" s="839">
        <v>9.0334841499999996</v>
      </c>
      <c r="EE31" s="839">
        <v>8.8891335700000003</v>
      </c>
      <c r="EF31" s="839">
        <v>8.2173077899999996</v>
      </c>
      <c r="EG31" s="839">
        <v>7.8820688099999998</v>
      </c>
      <c r="EH31" s="839">
        <v>7.4889928000000001</v>
      </c>
      <c r="EI31" s="839">
        <v>8.3136611200000008</v>
      </c>
      <c r="EJ31" s="839">
        <v>19.05155865</v>
      </c>
      <c r="EK31" s="839">
        <v>19.212249839999998</v>
      </c>
      <c r="EL31" s="839">
        <v>20.45845207</v>
      </c>
      <c r="EM31" s="839">
        <v>25.451611639999999</v>
      </c>
      <c r="EN31" s="839">
        <v>24.413941080000001</v>
      </c>
      <c r="EO31" s="839">
        <v>27.377806920000001</v>
      </c>
      <c r="EP31" s="839">
        <v>26.47917034</v>
      </c>
      <c r="EQ31" s="839">
        <v>25.388460080000002</v>
      </c>
      <c r="ER31" s="839">
        <v>25.05918969</v>
      </c>
      <c r="ES31" s="839">
        <v>25.085397669999999</v>
      </c>
      <c r="ET31" s="839">
        <v>23.782071240000001</v>
      </c>
      <c r="EU31" s="839">
        <v>22.543247829999999</v>
      </c>
      <c r="EV31" s="839">
        <v>21.719173290000001</v>
      </c>
      <c r="EW31" s="839">
        <v>22.439803269999999</v>
      </c>
      <c r="EX31" s="839">
        <v>22.820740950000001</v>
      </c>
      <c r="EY31" s="839">
        <v>21.26346904</v>
      </c>
      <c r="EZ31" s="839">
        <v>19.988772600000001</v>
      </c>
      <c r="FA31" s="839">
        <v>22.601878679999999</v>
      </c>
      <c r="FB31" s="839">
        <v>21.811044880000001</v>
      </c>
      <c r="FC31" s="839">
        <v>39.088656219999997</v>
      </c>
      <c r="FD31" s="839">
        <v>38.030664530000003</v>
      </c>
      <c r="FE31" s="839">
        <v>35.608262439999997</v>
      </c>
      <c r="FF31" s="839">
        <v>34.9347037</v>
      </c>
      <c r="FG31" s="839">
        <v>33.477433300000001</v>
      </c>
      <c r="FH31" s="1716" t="s">
        <v>4066</v>
      </c>
      <c r="FM31" s="321"/>
    </row>
    <row r="32" spans="1:169" ht="21">
      <c r="A32" s="1746"/>
      <c r="B32" s="783"/>
      <c r="C32" s="783"/>
      <c r="D32" s="783"/>
      <c r="E32" s="783"/>
      <c r="F32" s="783"/>
      <c r="G32" s="783"/>
      <c r="H32" s="783"/>
      <c r="I32" s="783"/>
      <c r="J32" s="783"/>
      <c r="K32" s="783"/>
      <c r="L32" s="783"/>
      <c r="M32" s="784"/>
      <c r="N32" s="784"/>
      <c r="O32" s="784"/>
      <c r="P32" s="784"/>
      <c r="Q32" s="784"/>
      <c r="R32" s="784"/>
      <c r="S32" s="784"/>
      <c r="T32" s="784"/>
      <c r="U32" s="784"/>
      <c r="V32" s="784"/>
      <c r="W32" s="784"/>
      <c r="X32" s="784"/>
      <c r="Y32" s="784"/>
      <c r="Z32" s="784"/>
      <c r="AA32" s="784"/>
      <c r="AB32" s="784"/>
      <c r="AC32" s="784"/>
      <c r="AD32" s="784"/>
      <c r="AE32" s="784"/>
      <c r="AF32" s="784"/>
      <c r="AG32" s="784"/>
      <c r="AH32" s="784"/>
      <c r="AI32" s="784"/>
      <c r="AJ32" s="784"/>
      <c r="AK32" s="784"/>
      <c r="AL32" s="784"/>
      <c r="AM32" s="784"/>
      <c r="AN32" s="784"/>
      <c r="AO32" s="784"/>
      <c r="AP32" s="784"/>
      <c r="AQ32" s="784"/>
      <c r="AR32" s="784"/>
      <c r="AS32" s="784"/>
      <c r="AT32" s="784"/>
      <c r="AU32" s="784"/>
      <c r="AV32" s="784"/>
      <c r="AW32" s="784"/>
      <c r="AX32" s="784"/>
      <c r="AY32" s="784"/>
      <c r="AZ32" s="784"/>
      <c r="BA32" s="784"/>
      <c r="BB32" s="784"/>
      <c r="BC32" s="784"/>
      <c r="BD32" s="784"/>
      <c r="BE32" s="784"/>
      <c r="BF32" s="784"/>
      <c r="BG32" s="784"/>
      <c r="BH32" s="827"/>
      <c r="BI32" s="816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6"/>
      <c r="CN32" s="816"/>
      <c r="CO32" s="816"/>
      <c r="CP32" s="816"/>
      <c r="CQ32" s="816"/>
      <c r="CR32" s="816"/>
      <c r="CS32" s="816"/>
      <c r="CT32" s="816"/>
      <c r="CU32" s="816"/>
      <c r="CV32" s="816"/>
      <c r="CW32" s="816"/>
      <c r="CX32" s="816"/>
      <c r="CY32" s="816"/>
      <c r="CZ32" s="816"/>
      <c r="DA32" s="816"/>
      <c r="DB32" s="816"/>
      <c r="DC32" s="816"/>
      <c r="DD32" s="886"/>
      <c r="DE32" s="886"/>
      <c r="DF32" s="886"/>
      <c r="DG32" s="839"/>
      <c r="DH32" s="839"/>
      <c r="DI32" s="839"/>
      <c r="DJ32" s="839"/>
      <c r="DK32" s="839"/>
      <c r="DL32" s="839"/>
      <c r="DM32" s="839"/>
      <c r="DN32" s="839"/>
      <c r="DO32" s="839"/>
      <c r="DP32" s="839"/>
      <c r="DQ32" s="839"/>
      <c r="DR32" s="839"/>
      <c r="DS32" s="839"/>
      <c r="DT32" s="839"/>
      <c r="DU32" s="839"/>
      <c r="DV32" s="839"/>
      <c r="DW32" s="839"/>
      <c r="DX32" s="839"/>
      <c r="DY32" s="839"/>
      <c r="DZ32" s="839"/>
      <c r="EA32" s="839"/>
      <c r="EB32" s="839"/>
      <c r="EC32" s="839"/>
      <c r="ED32" s="839"/>
      <c r="EE32" s="839"/>
      <c r="EF32" s="839"/>
      <c r="EG32" s="839"/>
      <c r="EH32" s="839"/>
      <c r="EI32" s="839"/>
      <c r="EJ32" s="839"/>
      <c r="EK32" s="839"/>
      <c r="EL32" s="839"/>
      <c r="EM32" s="839"/>
      <c r="EN32" s="839"/>
      <c r="EO32" s="839"/>
      <c r="EP32" s="839"/>
      <c r="EQ32" s="839"/>
      <c r="ER32" s="839"/>
      <c r="ES32" s="839"/>
      <c r="ET32" s="839"/>
      <c r="EU32" s="839"/>
      <c r="EV32" s="839"/>
      <c r="EW32" s="839"/>
      <c r="EX32" s="839"/>
      <c r="EY32" s="839"/>
      <c r="EZ32" s="839"/>
      <c r="FA32" s="839"/>
      <c r="FB32" s="839"/>
      <c r="FC32" s="839"/>
      <c r="FD32" s="839"/>
      <c r="FE32" s="839"/>
      <c r="FF32" s="839"/>
      <c r="FG32" s="839"/>
      <c r="FH32" s="1715"/>
      <c r="FM32" s="321"/>
    </row>
    <row r="33" spans="1:169" ht="21">
      <c r="A33" s="1744" t="s">
        <v>2742</v>
      </c>
      <c r="B33" s="780">
        <v>122.91037284999999</v>
      </c>
      <c r="C33" s="780">
        <v>206.03981293000001</v>
      </c>
      <c r="D33" s="780">
        <v>201.06932130999999</v>
      </c>
      <c r="E33" s="780">
        <v>204.69073748</v>
      </c>
      <c r="F33" s="780">
        <v>204.76268737000001</v>
      </c>
      <c r="G33" s="780">
        <v>211.93238421999999</v>
      </c>
      <c r="H33" s="780">
        <v>207.00879684</v>
      </c>
      <c r="I33" s="780">
        <v>206.99970689</v>
      </c>
      <c r="J33" s="780">
        <v>207.94697424</v>
      </c>
      <c r="K33" s="780">
        <v>209.03235694999998</v>
      </c>
      <c r="L33" s="780">
        <v>209.94237162000002</v>
      </c>
      <c r="M33" s="781">
        <v>210.08598593000002</v>
      </c>
      <c r="N33" s="781">
        <v>208.68494106999998</v>
      </c>
      <c r="O33" s="781">
        <v>209.61089949999999</v>
      </c>
      <c r="P33" s="781">
        <v>209.72489066</v>
      </c>
      <c r="Q33" s="781">
        <v>210.22720931000001</v>
      </c>
      <c r="R33" s="781">
        <v>208.9588291</v>
      </c>
      <c r="S33" s="781">
        <v>211.19666085</v>
      </c>
      <c r="T33" s="781">
        <v>209.98126805000001</v>
      </c>
      <c r="U33" s="781">
        <v>208.41392438999998</v>
      </c>
      <c r="V33" s="781">
        <v>205.37910812999999</v>
      </c>
      <c r="W33" s="781">
        <v>204.66296775000001</v>
      </c>
      <c r="X33" s="781">
        <v>205.09508880000001</v>
      </c>
      <c r="Y33" s="781">
        <v>255.47613691999999</v>
      </c>
      <c r="Z33" s="781">
        <v>250.4622177</v>
      </c>
      <c r="AA33" s="781">
        <v>856.91901662999999</v>
      </c>
      <c r="AB33" s="781">
        <v>806.99513969000009</v>
      </c>
      <c r="AC33" s="781">
        <v>810.54460700000004</v>
      </c>
      <c r="AD33" s="781">
        <v>807.61317752999992</v>
      </c>
      <c r="AE33" s="781">
        <v>808.40240827000002</v>
      </c>
      <c r="AF33" s="781">
        <v>824.36034272000006</v>
      </c>
      <c r="AG33" s="781">
        <v>826.07574504999991</v>
      </c>
      <c r="AH33" s="781">
        <v>826.27404192999995</v>
      </c>
      <c r="AI33" s="781">
        <v>567.41384177999998</v>
      </c>
      <c r="AJ33" s="781">
        <v>567.38418463000005</v>
      </c>
      <c r="AK33" s="781">
        <v>841.96500891999995</v>
      </c>
      <c r="AL33" s="781">
        <v>863.87751407000007</v>
      </c>
      <c r="AM33" s="781">
        <v>847.67374813999993</v>
      </c>
      <c r="AN33" s="781">
        <v>833.80470037999999</v>
      </c>
      <c r="AO33" s="781">
        <v>760.51580970999998</v>
      </c>
      <c r="AP33" s="781">
        <v>741.11765949000005</v>
      </c>
      <c r="AQ33" s="781">
        <v>764.56549813999993</v>
      </c>
      <c r="AR33" s="781">
        <v>772.07285826999998</v>
      </c>
      <c r="AS33" s="781">
        <v>774.21877466000001</v>
      </c>
      <c r="AT33" s="781">
        <f>AT25-AT29</f>
        <v>766.78265288</v>
      </c>
      <c r="AU33" s="781">
        <v>771.91620382000008</v>
      </c>
      <c r="AV33" s="781">
        <v>813.82639560000007</v>
      </c>
      <c r="AW33" s="781">
        <v>831.02872034000006</v>
      </c>
      <c r="AX33" s="781">
        <v>898.49789453999995</v>
      </c>
      <c r="AY33" s="781">
        <v>818.34960384999999</v>
      </c>
      <c r="AZ33" s="781">
        <v>806.62250604999997</v>
      </c>
      <c r="BA33" s="781">
        <v>795.53067641999996</v>
      </c>
      <c r="BB33" s="781">
        <v>734.70108555999991</v>
      </c>
      <c r="BC33" s="781">
        <v>51.89276581</v>
      </c>
      <c r="BD33" s="781">
        <v>43.941982340000003</v>
      </c>
      <c r="BE33" s="781">
        <v>22.02057245</v>
      </c>
      <c r="BF33" s="781">
        <v>16.176628730000001</v>
      </c>
      <c r="BG33" s="781">
        <v>14.586684119999999</v>
      </c>
      <c r="BH33" s="826">
        <v>13.710017070000001</v>
      </c>
      <c r="BI33" s="815">
        <v>11.64333553</v>
      </c>
      <c r="BJ33" s="815">
        <v>7.8822816200000005</v>
      </c>
      <c r="BK33" s="815">
        <v>7.00647252</v>
      </c>
      <c r="BL33" s="815">
        <v>6.1303028200000007</v>
      </c>
      <c r="BM33" s="815">
        <v>8.6545452300000001</v>
      </c>
      <c r="BN33" s="815">
        <v>10.551147650000001</v>
      </c>
      <c r="BO33" s="815">
        <v>9.6753900599999998</v>
      </c>
      <c r="BP33" s="815">
        <v>8.7996324799999996</v>
      </c>
      <c r="BQ33" s="815">
        <v>5.9413587000000003</v>
      </c>
      <c r="BR33" s="815">
        <v>2.2932411100000003</v>
      </c>
      <c r="BS33" s="815">
        <v>1.4174837999999996</v>
      </c>
      <c r="BT33" s="815">
        <v>1.4174838000000005</v>
      </c>
      <c r="BU33" s="815">
        <v>9.3136500000001732E-3</v>
      </c>
      <c r="BV33" s="815">
        <v>9.3136499999999511E-3</v>
      </c>
      <c r="BW33" s="815">
        <v>0</v>
      </c>
      <c r="BX33" s="815">
        <v>0</v>
      </c>
      <c r="BY33" s="815">
        <v>0</v>
      </c>
      <c r="BZ33" s="815">
        <v>0</v>
      </c>
      <c r="CA33" s="815">
        <v>0</v>
      </c>
      <c r="CB33" s="815">
        <v>7.2249999999999996</v>
      </c>
      <c r="CC33" s="815">
        <v>7.1592394100000014</v>
      </c>
      <c r="CD33" s="815">
        <v>12.122853509999999</v>
      </c>
      <c r="CE33" s="815">
        <v>22.192663190000001</v>
      </c>
      <c r="CF33" s="815">
        <v>161.46168496000001</v>
      </c>
      <c r="CG33" s="815">
        <v>31.679594530000003</v>
      </c>
      <c r="CH33" s="815">
        <v>38.94730079</v>
      </c>
      <c r="CI33" s="815">
        <v>41.8680205</v>
      </c>
      <c r="CJ33" s="815">
        <v>37.869967330000001</v>
      </c>
      <c r="CK33" s="815">
        <v>36.638439220000002</v>
      </c>
      <c r="CL33" s="815">
        <v>40.379342299999998</v>
      </c>
      <c r="CM33" s="815">
        <v>44.289342299999994</v>
      </c>
      <c r="CN33" s="815">
        <v>59.190880679999999</v>
      </c>
      <c r="CO33" s="815">
        <v>61.803379079999999</v>
      </c>
      <c r="CP33" s="815">
        <v>65.453665270000002</v>
      </c>
      <c r="CQ33" s="815">
        <v>63.77301413</v>
      </c>
      <c r="CR33" s="815">
        <v>75.995414999999994</v>
      </c>
      <c r="CS33" s="815">
        <v>81.18736577</v>
      </c>
      <c r="CT33" s="815">
        <v>83.341598629999993</v>
      </c>
      <c r="CU33" s="815">
        <v>222.59988737</v>
      </c>
      <c r="CV33" s="815">
        <v>227.03953281</v>
      </c>
      <c r="CW33" s="815">
        <v>228.47207689999999</v>
      </c>
      <c r="CX33" s="815">
        <v>232.42320341999999</v>
      </c>
      <c r="CY33" s="815">
        <v>245.07609796</v>
      </c>
      <c r="CZ33" s="815">
        <v>243.34762081</v>
      </c>
      <c r="DA33" s="815">
        <v>241.72904328000001</v>
      </c>
      <c r="DB33" s="815">
        <v>250.90796829000001</v>
      </c>
      <c r="DC33" s="815">
        <v>249.35691840999999</v>
      </c>
      <c r="DD33" s="885">
        <v>248.27672754</v>
      </c>
      <c r="DE33" s="885">
        <v>256.49180309000002</v>
      </c>
      <c r="DF33" s="885">
        <v>256.21278181000002</v>
      </c>
      <c r="DG33" s="838">
        <v>255.34081083000001</v>
      </c>
      <c r="DH33" s="838">
        <v>254.08788912</v>
      </c>
      <c r="DI33" s="838">
        <v>257.76969688000003</v>
      </c>
      <c r="DJ33" s="838">
        <v>260.51460996999998</v>
      </c>
      <c r="DK33" s="838">
        <v>265.98007899999999</v>
      </c>
      <c r="DL33" s="838">
        <v>264.43563389000002</v>
      </c>
      <c r="DM33" s="838">
        <v>264.00889773</v>
      </c>
      <c r="DN33" s="838">
        <v>262.39319631000001</v>
      </c>
      <c r="DO33" s="838">
        <v>261.98652528999997</v>
      </c>
      <c r="DP33" s="838">
        <v>242.34504684000001</v>
      </c>
      <c r="DQ33" s="838">
        <v>243.36568864</v>
      </c>
      <c r="DR33" s="838">
        <v>243.75041640000001</v>
      </c>
      <c r="DS33" s="838">
        <v>243.02355304</v>
      </c>
      <c r="DT33" s="838">
        <v>241.60519353999999</v>
      </c>
      <c r="DU33" s="838">
        <v>241.12512233999999</v>
      </c>
      <c r="DV33" s="838">
        <v>257.96469277</v>
      </c>
      <c r="DW33" s="838">
        <v>256.41677843000002</v>
      </c>
      <c r="DX33" s="838">
        <v>253.65089911999999</v>
      </c>
      <c r="DY33" s="838">
        <v>252.76521571999999</v>
      </c>
      <c r="DZ33" s="838">
        <v>251.92671168000001</v>
      </c>
      <c r="EA33" s="838">
        <v>250.18201336999999</v>
      </c>
      <c r="EB33" s="838">
        <v>249.04639302999999</v>
      </c>
      <c r="EC33" s="838">
        <v>247.82317655</v>
      </c>
      <c r="ED33" s="838">
        <v>245.94576477000001</v>
      </c>
      <c r="EE33" s="838">
        <v>243.23725698999999</v>
      </c>
      <c r="EF33" s="838">
        <v>242.11094104</v>
      </c>
      <c r="EG33" s="838">
        <v>243.97387949</v>
      </c>
      <c r="EH33" s="838">
        <v>243.46484928000001</v>
      </c>
      <c r="EI33" s="838">
        <v>232.37985664000001</v>
      </c>
      <c r="EJ33" s="838">
        <v>235.47612662</v>
      </c>
      <c r="EK33" s="838">
        <v>233.63893322999999</v>
      </c>
      <c r="EL33" s="838">
        <v>232.36863932</v>
      </c>
      <c r="EM33" s="838">
        <v>52.898056050000001</v>
      </c>
      <c r="EN33" s="838">
        <v>52.637656970000002</v>
      </c>
      <c r="EO33" s="838">
        <v>52.354433200000003</v>
      </c>
      <c r="EP33" s="838">
        <v>52.218106929999998</v>
      </c>
      <c r="EQ33" s="838">
        <v>52.064846170000003</v>
      </c>
      <c r="ER33" s="838">
        <v>52.029189250000002</v>
      </c>
      <c r="ES33" s="838">
        <v>51.949070910000003</v>
      </c>
      <c r="ET33" s="838">
        <v>51.901471829999998</v>
      </c>
      <c r="EU33" s="838">
        <v>51.853618529999999</v>
      </c>
      <c r="EV33" s="838">
        <v>17.428447049999999</v>
      </c>
      <c r="EW33" s="838">
        <v>17.408120149999998</v>
      </c>
      <c r="EX33" s="838">
        <v>17.38767425</v>
      </c>
      <c r="EY33" s="838">
        <v>0.38845698000000001</v>
      </c>
      <c r="EZ33" s="838">
        <v>0.38845698000000001</v>
      </c>
      <c r="FA33" s="838">
        <v>0.38782397000000002</v>
      </c>
      <c r="FB33" s="838">
        <v>0.36852601000000001</v>
      </c>
      <c r="FC33" s="838">
        <v>0.36852601000000001</v>
      </c>
      <c r="FD33" s="838">
        <v>0.34777923999999999</v>
      </c>
      <c r="FE33" s="838">
        <v>0.59026983</v>
      </c>
      <c r="FF33" s="838">
        <v>0.48343615000000001</v>
      </c>
      <c r="FG33" s="838">
        <v>0.46238675000000001</v>
      </c>
      <c r="FH33" s="1714" t="s">
        <v>4068</v>
      </c>
      <c r="FM33" s="321"/>
    </row>
    <row r="34" spans="1:169" ht="21">
      <c r="A34" s="1745" t="s">
        <v>1961</v>
      </c>
      <c r="B34" s="783">
        <v>0</v>
      </c>
      <c r="C34" s="783">
        <v>0</v>
      </c>
      <c r="D34" s="783">
        <v>0</v>
      </c>
      <c r="E34" s="783">
        <v>0</v>
      </c>
      <c r="F34" s="783">
        <v>0</v>
      </c>
      <c r="G34" s="783">
        <v>0</v>
      </c>
      <c r="H34" s="783">
        <v>0</v>
      </c>
      <c r="I34" s="783">
        <v>0</v>
      </c>
      <c r="J34" s="783">
        <v>0</v>
      </c>
      <c r="K34" s="783">
        <v>0</v>
      </c>
      <c r="L34" s="783">
        <v>0</v>
      </c>
      <c r="M34" s="784">
        <v>0</v>
      </c>
      <c r="N34" s="784">
        <v>0</v>
      </c>
      <c r="O34" s="784">
        <v>0</v>
      </c>
      <c r="P34" s="784">
        <v>0</v>
      </c>
      <c r="Q34" s="784">
        <v>0</v>
      </c>
      <c r="R34" s="784">
        <v>0</v>
      </c>
      <c r="S34" s="784">
        <v>0</v>
      </c>
      <c r="T34" s="784">
        <v>0</v>
      </c>
      <c r="U34" s="784">
        <v>0</v>
      </c>
      <c r="V34" s="784">
        <v>0</v>
      </c>
      <c r="W34" s="784">
        <v>0</v>
      </c>
      <c r="X34" s="784">
        <v>0</v>
      </c>
      <c r="Y34" s="784">
        <v>0</v>
      </c>
      <c r="Z34" s="784">
        <v>0</v>
      </c>
      <c r="AA34" s="784">
        <v>0</v>
      </c>
      <c r="AB34" s="784">
        <v>0</v>
      </c>
      <c r="AC34" s="784">
        <v>0</v>
      </c>
      <c r="AD34" s="784">
        <v>0</v>
      </c>
      <c r="AE34" s="784">
        <v>0</v>
      </c>
      <c r="AF34" s="784">
        <v>0</v>
      </c>
      <c r="AG34" s="784">
        <v>0</v>
      </c>
      <c r="AH34" s="784">
        <v>0</v>
      </c>
      <c r="AI34" s="784">
        <v>0</v>
      </c>
      <c r="AJ34" s="784">
        <v>0</v>
      </c>
      <c r="AK34" s="784">
        <v>0</v>
      </c>
      <c r="AL34" s="784">
        <v>0</v>
      </c>
      <c r="AM34" s="784">
        <v>0</v>
      </c>
      <c r="AN34" s="784">
        <v>0</v>
      </c>
      <c r="AO34" s="784">
        <v>0</v>
      </c>
      <c r="AP34" s="784">
        <v>0</v>
      </c>
      <c r="AQ34" s="784">
        <v>0</v>
      </c>
      <c r="AR34" s="784">
        <v>0</v>
      </c>
      <c r="AS34" s="784">
        <v>0</v>
      </c>
      <c r="AT34" s="784">
        <f>AT26-AT30</f>
        <v>0</v>
      </c>
      <c r="AU34" s="784">
        <v>0</v>
      </c>
      <c r="AV34" s="784">
        <v>0</v>
      </c>
      <c r="AW34" s="784">
        <v>0</v>
      </c>
      <c r="AX34" s="784">
        <v>0</v>
      </c>
      <c r="AY34" s="784">
        <v>0</v>
      </c>
      <c r="AZ34" s="784">
        <v>0</v>
      </c>
      <c r="BA34" s="784">
        <v>0</v>
      </c>
      <c r="BB34" s="784">
        <v>0</v>
      </c>
      <c r="BC34" s="784">
        <v>0</v>
      </c>
      <c r="BD34" s="784">
        <v>0</v>
      </c>
      <c r="BE34" s="784">
        <v>0</v>
      </c>
      <c r="BF34" s="784">
        <v>0</v>
      </c>
      <c r="BG34" s="784">
        <v>0</v>
      </c>
      <c r="BH34" s="827">
        <v>0</v>
      </c>
      <c r="BI34" s="816">
        <v>0</v>
      </c>
      <c r="BJ34" s="816">
        <v>0</v>
      </c>
      <c r="BK34" s="816">
        <v>0</v>
      </c>
      <c r="BL34" s="816">
        <v>0</v>
      </c>
      <c r="BM34" s="816">
        <v>0</v>
      </c>
      <c r="BN34" s="816">
        <v>0</v>
      </c>
      <c r="BO34" s="816">
        <v>0</v>
      </c>
      <c r="BP34" s="816">
        <v>0</v>
      </c>
      <c r="BQ34" s="816">
        <v>0</v>
      </c>
      <c r="BR34" s="816">
        <v>0</v>
      </c>
      <c r="BS34" s="816">
        <v>0</v>
      </c>
      <c r="BT34" s="816">
        <v>0</v>
      </c>
      <c r="BU34" s="816">
        <v>0</v>
      </c>
      <c r="BV34" s="816">
        <v>0</v>
      </c>
      <c r="BW34" s="816">
        <v>0</v>
      </c>
      <c r="BX34" s="816">
        <v>0</v>
      </c>
      <c r="BY34" s="816">
        <v>0</v>
      </c>
      <c r="BZ34" s="816">
        <v>0</v>
      </c>
      <c r="CA34" s="816">
        <v>0</v>
      </c>
      <c r="CB34" s="816">
        <v>0</v>
      </c>
      <c r="CC34" s="816">
        <v>0</v>
      </c>
      <c r="CD34" s="816">
        <v>5.1007791600000001</v>
      </c>
      <c r="CE34" s="816">
        <v>0</v>
      </c>
      <c r="CF34" s="816">
        <v>0</v>
      </c>
      <c r="CG34" s="816">
        <v>0</v>
      </c>
      <c r="CH34" s="816">
        <v>0</v>
      </c>
      <c r="CI34" s="816">
        <v>0</v>
      </c>
      <c r="CJ34" s="816">
        <v>0</v>
      </c>
      <c r="CK34" s="816">
        <v>0</v>
      </c>
      <c r="CL34" s="816">
        <v>0</v>
      </c>
      <c r="CM34" s="816">
        <v>0</v>
      </c>
      <c r="CN34" s="816">
        <v>0</v>
      </c>
      <c r="CO34" s="816">
        <v>0</v>
      </c>
      <c r="CP34" s="816">
        <v>0</v>
      </c>
      <c r="CQ34" s="816">
        <v>0</v>
      </c>
      <c r="CR34" s="816">
        <v>0</v>
      </c>
      <c r="CS34" s="816">
        <v>0</v>
      </c>
      <c r="CT34" s="816">
        <v>0</v>
      </c>
      <c r="CU34" s="816">
        <v>0</v>
      </c>
      <c r="CV34" s="816">
        <v>0</v>
      </c>
      <c r="CW34" s="816">
        <v>0</v>
      </c>
      <c r="CX34" s="816">
        <v>0</v>
      </c>
      <c r="CY34" s="816">
        <v>0</v>
      </c>
      <c r="CZ34" s="816">
        <v>0</v>
      </c>
      <c r="DA34" s="816">
        <v>0</v>
      </c>
      <c r="DB34" s="816">
        <v>0</v>
      </c>
      <c r="DC34" s="816">
        <v>0</v>
      </c>
      <c r="DD34" s="886">
        <v>0</v>
      </c>
      <c r="DE34" s="886">
        <v>0</v>
      </c>
      <c r="DF34" s="886">
        <v>0</v>
      </c>
      <c r="DG34" s="839">
        <v>0</v>
      </c>
      <c r="DH34" s="839">
        <v>0</v>
      </c>
      <c r="DI34" s="839">
        <v>0</v>
      </c>
      <c r="DJ34" s="839">
        <v>0</v>
      </c>
      <c r="DK34" s="839">
        <v>0</v>
      </c>
      <c r="DL34" s="839">
        <v>0</v>
      </c>
      <c r="DM34" s="839">
        <v>0</v>
      </c>
      <c r="DN34" s="839">
        <v>0</v>
      </c>
      <c r="DO34" s="839">
        <v>0</v>
      </c>
      <c r="DP34" s="839">
        <v>0</v>
      </c>
      <c r="DQ34" s="839">
        <v>0</v>
      </c>
      <c r="DR34" s="839">
        <v>0</v>
      </c>
      <c r="DS34" s="839">
        <v>0</v>
      </c>
      <c r="DT34" s="839">
        <v>0</v>
      </c>
      <c r="DU34" s="839">
        <v>0</v>
      </c>
      <c r="DV34" s="839">
        <v>0</v>
      </c>
      <c r="DW34" s="839">
        <v>0</v>
      </c>
      <c r="DX34" s="839">
        <v>0</v>
      </c>
      <c r="DY34" s="839">
        <v>0</v>
      </c>
      <c r="DZ34" s="839">
        <v>0</v>
      </c>
      <c r="EA34" s="839">
        <v>0</v>
      </c>
      <c r="EB34" s="839">
        <v>0</v>
      </c>
      <c r="EC34" s="839">
        <v>0</v>
      </c>
      <c r="ED34" s="839">
        <v>0</v>
      </c>
      <c r="EE34" s="839">
        <v>0</v>
      </c>
      <c r="EF34" s="839">
        <v>0</v>
      </c>
      <c r="EG34" s="839">
        <v>0</v>
      </c>
      <c r="EH34" s="839">
        <v>0</v>
      </c>
      <c r="EI34" s="839">
        <v>0</v>
      </c>
      <c r="EJ34" s="839">
        <v>0</v>
      </c>
      <c r="EK34" s="839">
        <v>0</v>
      </c>
      <c r="EL34" s="839">
        <v>0</v>
      </c>
      <c r="EM34" s="839">
        <v>0</v>
      </c>
      <c r="EN34" s="839">
        <v>0</v>
      </c>
      <c r="EO34" s="839">
        <v>0</v>
      </c>
      <c r="EP34" s="839">
        <v>0</v>
      </c>
      <c r="EQ34" s="839">
        <v>0</v>
      </c>
      <c r="ER34" s="839">
        <v>0</v>
      </c>
      <c r="ES34" s="839">
        <v>0</v>
      </c>
      <c r="ET34" s="839">
        <v>0</v>
      </c>
      <c r="EU34" s="839">
        <v>0</v>
      </c>
      <c r="EV34" s="839">
        <v>0</v>
      </c>
      <c r="EW34" s="839">
        <v>0</v>
      </c>
      <c r="EX34" s="839">
        <v>0</v>
      </c>
      <c r="EY34" s="839">
        <v>0</v>
      </c>
      <c r="EZ34" s="839">
        <v>0</v>
      </c>
      <c r="FA34" s="839">
        <v>0</v>
      </c>
      <c r="FB34" s="839">
        <v>0</v>
      </c>
      <c r="FC34" s="839">
        <v>0</v>
      </c>
      <c r="FD34" s="839">
        <v>0</v>
      </c>
      <c r="FE34" s="839">
        <v>0</v>
      </c>
      <c r="FF34" s="839">
        <v>0</v>
      </c>
      <c r="FG34" s="839">
        <v>0</v>
      </c>
      <c r="FH34" s="1716" t="s">
        <v>4067</v>
      </c>
      <c r="FM34" s="321"/>
    </row>
    <row r="35" spans="1:169" ht="21">
      <c r="A35" s="1747" t="s">
        <v>1962</v>
      </c>
      <c r="B35" s="808">
        <f>+B33-B34</f>
        <v>122.91037284999999</v>
      </c>
      <c r="C35" s="808">
        <f t="shared" ref="C35:V35" si="12">+C33-C34</f>
        <v>206.03981293000001</v>
      </c>
      <c r="D35" s="808">
        <f t="shared" si="12"/>
        <v>201.06932130999999</v>
      </c>
      <c r="E35" s="808">
        <f t="shared" si="12"/>
        <v>204.69073748</v>
      </c>
      <c r="F35" s="808">
        <f t="shared" si="12"/>
        <v>204.76268737000001</v>
      </c>
      <c r="G35" s="808">
        <f t="shared" si="12"/>
        <v>211.93238421999999</v>
      </c>
      <c r="H35" s="808">
        <f t="shared" si="12"/>
        <v>207.00879684</v>
      </c>
      <c r="I35" s="808">
        <f t="shared" si="12"/>
        <v>206.99970689</v>
      </c>
      <c r="J35" s="808">
        <f t="shared" si="12"/>
        <v>207.94697424</v>
      </c>
      <c r="K35" s="808">
        <f t="shared" si="12"/>
        <v>209.03235694999998</v>
      </c>
      <c r="L35" s="808">
        <f t="shared" si="12"/>
        <v>209.94237162000002</v>
      </c>
      <c r="M35" s="787">
        <f t="shared" si="12"/>
        <v>210.08598593000002</v>
      </c>
      <c r="N35" s="794">
        <f t="shared" si="12"/>
        <v>208.68494106999998</v>
      </c>
      <c r="O35" s="794">
        <f t="shared" si="12"/>
        <v>209.61089949999999</v>
      </c>
      <c r="P35" s="794">
        <f t="shared" si="12"/>
        <v>209.72489066</v>
      </c>
      <c r="Q35" s="794">
        <f t="shared" si="12"/>
        <v>210.22720931000001</v>
      </c>
      <c r="R35" s="794">
        <f t="shared" si="12"/>
        <v>208.9588291</v>
      </c>
      <c r="S35" s="794">
        <f t="shared" si="12"/>
        <v>211.19666085</v>
      </c>
      <c r="T35" s="794">
        <f t="shared" si="12"/>
        <v>209.98126805000001</v>
      </c>
      <c r="U35" s="794">
        <f t="shared" si="12"/>
        <v>208.41392438999998</v>
      </c>
      <c r="V35" s="794">
        <f t="shared" si="12"/>
        <v>205.37910812999999</v>
      </c>
      <c r="W35" s="794">
        <v>204.66296775000001</v>
      </c>
      <c r="X35" s="794">
        <v>205.09508880000001</v>
      </c>
      <c r="Y35" s="787">
        <v>255.47613691999999</v>
      </c>
      <c r="Z35" s="794">
        <v>250.4622177</v>
      </c>
      <c r="AA35" s="794">
        <v>856.91901662999999</v>
      </c>
      <c r="AB35" s="787">
        <v>806.99513969000009</v>
      </c>
      <c r="AC35" s="787">
        <v>810.54460700000004</v>
      </c>
      <c r="AD35" s="787">
        <v>807.61317752999992</v>
      </c>
      <c r="AE35" s="787">
        <v>808.40240827000002</v>
      </c>
      <c r="AF35" s="787">
        <v>824.36034272000006</v>
      </c>
      <c r="AG35" s="787">
        <v>826.07574504999991</v>
      </c>
      <c r="AH35" s="787">
        <f>+AH33-AH34</f>
        <v>826.27404192999995</v>
      </c>
      <c r="AI35" s="787">
        <v>567.41384177999998</v>
      </c>
      <c r="AJ35" s="787">
        <f>+AJ33-AJ34</f>
        <v>567.38418463000005</v>
      </c>
      <c r="AK35" s="787">
        <f>+AK33-AK34</f>
        <v>841.96500891999995</v>
      </c>
      <c r="AL35" s="787">
        <v>863.87751407000007</v>
      </c>
      <c r="AM35" s="787">
        <f>+AM33-AM34</f>
        <v>847.67374813999993</v>
      </c>
      <c r="AN35" s="787">
        <f>+AN33-AN34</f>
        <v>833.80470037999999</v>
      </c>
      <c r="AO35" s="787">
        <f>+AO33-AO34</f>
        <v>760.51580970999998</v>
      </c>
      <c r="AP35" s="787">
        <f>+AP33-AP34</f>
        <v>741.11765949000005</v>
      </c>
      <c r="AQ35" s="787">
        <v>764.56549813999993</v>
      </c>
      <c r="AR35" s="787">
        <f>+AR33-AR34</f>
        <v>772.07285826999998</v>
      </c>
      <c r="AS35" s="787">
        <f>+AS33-AS34</f>
        <v>774.21877466000001</v>
      </c>
      <c r="AT35" s="787">
        <f>AT27-AT31</f>
        <v>766.78265288</v>
      </c>
      <c r="AU35" s="787">
        <v>771.91620382000008</v>
      </c>
      <c r="AV35" s="787">
        <v>813.82639560000007</v>
      </c>
      <c r="AW35" s="787">
        <v>831.02872034000006</v>
      </c>
      <c r="AX35" s="787">
        <v>898.49789453999995</v>
      </c>
      <c r="AY35" s="787">
        <v>818.34960384999999</v>
      </c>
      <c r="AZ35" s="787">
        <v>806.62250604999997</v>
      </c>
      <c r="BA35" s="787">
        <v>795.53067641999996</v>
      </c>
      <c r="BB35" s="787">
        <v>734.70108555999991</v>
      </c>
      <c r="BC35" s="787">
        <v>51.89276581</v>
      </c>
      <c r="BD35" s="787">
        <f>+BD33-BD34</f>
        <v>43.941982340000003</v>
      </c>
      <c r="BE35" s="787">
        <v>22.02057245</v>
      </c>
      <c r="BF35" s="787">
        <v>16.176628730000001</v>
      </c>
      <c r="BG35" s="787">
        <v>14.586684119999999</v>
      </c>
      <c r="BH35" s="828">
        <v>13.710017070000001</v>
      </c>
      <c r="BI35" s="818">
        <v>11.64333553</v>
      </c>
      <c r="BJ35" s="818">
        <v>7.8822816200000005</v>
      </c>
      <c r="BK35" s="818">
        <v>7.00647252</v>
      </c>
      <c r="BL35" s="818">
        <v>6.1303028200000007</v>
      </c>
      <c r="BM35" s="818">
        <v>8.6545452300000001</v>
      </c>
      <c r="BN35" s="818">
        <v>10.551147650000001</v>
      </c>
      <c r="BO35" s="818">
        <v>9.6753900599999998</v>
      </c>
      <c r="BP35" s="818">
        <v>8.7996324799999996</v>
      </c>
      <c r="BQ35" s="818">
        <v>5.9413587000000003</v>
      </c>
      <c r="BR35" s="818">
        <v>2.2932411100000003</v>
      </c>
      <c r="BS35" s="818">
        <v>1.4174837999999996</v>
      </c>
      <c r="BT35" s="818">
        <v>1.4174838000000005</v>
      </c>
      <c r="BU35" s="818">
        <v>9.3136500000001732E-3</v>
      </c>
      <c r="BV35" s="818">
        <v>9.3136499999999511E-3</v>
      </c>
      <c r="BW35" s="818">
        <v>0</v>
      </c>
      <c r="BX35" s="818">
        <v>0</v>
      </c>
      <c r="BY35" s="818">
        <v>0</v>
      </c>
      <c r="BZ35" s="818">
        <v>0</v>
      </c>
      <c r="CA35" s="818">
        <v>0</v>
      </c>
      <c r="CB35" s="818">
        <v>7.2249999999999996</v>
      </c>
      <c r="CC35" s="818">
        <v>7.1592394100000014</v>
      </c>
      <c r="CD35" s="818">
        <v>7.0220743499999987</v>
      </c>
      <c r="CE35" s="818">
        <f t="shared" ref="CE35:CP35" si="13">+CE33-CE34</f>
        <v>22.192663190000001</v>
      </c>
      <c r="CF35" s="818">
        <f t="shared" si="13"/>
        <v>161.46168496000001</v>
      </c>
      <c r="CG35" s="818">
        <f t="shared" si="13"/>
        <v>31.679594530000003</v>
      </c>
      <c r="CH35" s="818">
        <f t="shared" si="13"/>
        <v>38.94730079</v>
      </c>
      <c r="CI35" s="818">
        <f t="shared" si="13"/>
        <v>41.8680205</v>
      </c>
      <c r="CJ35" s="818">
        <f t="shared" si="13"/>
        <v>37.869967330000001</v>
      </c>
      <c r="CK35" s="818">
        <f t="shared" si="13"/>
        <v>36.638439220000002</v>
      </c>
      <c r="CL35" s="818">
        <f t="shared" si="13"/>
        <v>40.379342299999998</v>
      </c>
      <c r="CM35" s="818">
        <f t="shared" si="13"/>
        <v>44.289342299999994</v>
      </c>
      <c r="CN35" s="818">
        <f t="shared" si="13"/>
        <v>59.190880679999999</v>
      </c>
      <c r="CO35" s="818">
        <f t="shared" si="13"/>
        <v>61.803379079999999</v>
      </c>
      <c r="CP35" s="818">
        <f t="shared" si="13"/>
        <v>65.453665270000002</v>
      </c>
      <c r="CQ35" s="818">
        <f>+CQ33-CQ34</f>
        <v>63.77301413</v>
      </c>
      <c r="CR35" s="818">
        <f>+CR33-CR34</f>
        <v>75.995414999999994</v>
      </c>
      <c r="CS35" s="818">
        <f>+CS33-CS34</f>
        <v>81.18736577</v>
      </c>
      <c r="CT35" s="818">
        <v>83.341598629999993</v>
      </c>
      <c r="CU35" s="818">
        <v>222.59988737</v>
      </c>
      <c r="CV35" s="818">
        <v>227.03953281</v>
      </c>
      <c r="CW35" s="818">
        <v>228.47207689999999</v>
      </c>
      <c r="CX35" s="818">
        <v>232.42320341999999</v>
      </c>
      <c r="CY35" s="818">
        <v>245.07609796</v>
      </c>
      <c r="CZ35" s="818">
        <v>243.34762081</v>
      </c>
      <c r="DA35" s="818">
        <v>241.72904328000001</v>
      </c>
      <c r="DB35" s="818">
        <v>250.90796829000001</v>
      </c>
      <c r="DC35" s="818">
        <v>249.35691840999999</v>
      </c>
      <c r="DD35" s="887">
        <v>248.27672754</v>
      </c>
      <c r="DE35" s="887">
        <v>256.49180309000002</v>
      </c>
      <c r="DF35" s="887">
        <v>256.21278181000002</v>
      </c>
      <c r="DG35" s="840">
        <v>255.34081083000001</v>
      </c>
      <c r="DH35" s="840">
        <v>254.08788912</v>
      </c>
      <c r="DI35" s="840">
        <v>257.76969688000003</v>
      </c>
      <c r="DJ35" s="840">
        <v>260.51460996999998</v>
      </c>
      <c r="DK35" s="840">
        <v>265.98007899999999</v>
      </c>
      <c r="DL35" s="840">
        <v>264.43563389000002</v>
      </c>
      <c r="DM35" s="840">
        <v>264.00889773</v>
      </c>
      <c r="DN35" s="840">
        <v>262.39319631000001</v>
      </c>
      <c r="DO35" s="840">
        <v>261.98652528999997</v>
      </c>
      <c r="DP35" s="840">
        <v>242.34504684000001</v>
      </c>
      <c r="DQ35" s="840">
        <v>243.36568864</v>
      </c>
      <c r="DR35" s="840">
        <v>243.75041640000001</v>
      </c>
      <c r="DS35" s="840">
        <v>243.02355304</v>
      </c>
      <c r="DT35" s="840">
        <v>241.60519353999999</v>
      </c>
      <c r="DU35" s="840">
        <v>241.12512233999999</v>
      </c>
      <c r="DV35" s="840">
        <v>257.96469277</v>
      </c>
      <c r="DW35" s="840">
        <v>256.41677843000002</v>
      </c>
      <c r="DX35" s="840">
        <v>253.65089911999999</v>
      </c>
      <c r="DY35" s="840">
        <f>DY33-DY34</f>
        <v>252.76521571999999</v>
      </c>
      <c r="DZ35" s="840">
        <v>251.92671168000001</v>
      </c>
      <c r="EA35" s="840">
        <v>250.18201336999999</v>
      </c>
      <c r="EB35" s="840">
        <v>249.04639302999999</v>
      </c>
      <c r="EC35" s="840">
        <v>247.82317655</v>
      </c>
      <c r="ED35" s="840">
        <v>245.94576477000001</v>
      </c>
      <c r="EE35" s="840">
        <v>243.23725698999999</v>
      </c>
      <c r="EF35" s="840">
        <v>242.11094104</v>
      </c>
      <c r="EG35" s="840">
        <v>243.97387949</v>
      </c>
      <c r="EH35" s="840">
        <v>243.46484928000001</v>
      </c>
      <c r="EI35" s="840">
        <v>232.37985664000001</v>
      </c>
      <c r="EJ35" s="840">
        <v>235.47612662</v>
      </c>
      <c r="EK35" s="840">
        <v>233.63893322999999</v>
      </c>
      <c r="EL35" s="840">
        <v>232.36863932</v>
      </c>
      <c r="EM35" s="840">
        <v>52.898056050000001</v>
      </c>
      <c r="EN35" s="840">
        <v>52.637656970000002</v>
      </c>
      <c r="EO35" s="840">
        <v>52.354433200000003</v>
      </c>
      <c r="EP35" s="840">
        <v>52.218106929999998</v>
      </c>
      <c r="EQ35" s="840">
        <v>52.064846170000003</v>
      </c>
      <c r="ER35" s="840">
        <v>52.029189250000002</v>
      </c>
      <c r="ES35" s="840">
        <v>51.949070910000003</v>
      </c>
      <c r="ET35" s="840">
        <v>51.901471829999998</v>
      </c>
      <c r="EU35" s="840">
        <v>51.853618529999999</v>
      </c>
      <c r="EV35" s="840">
        <v>17.428447049999999</v>
      </c>
      <c r="EW35" s="840">
        <v>17.408120149999998</v>
      </c>
      <c r="EX35" s="840">
        <v>17.38767425</v>
      </c>
      <c r="EY35" s="840">
        <v>0.38845698000000001</v>
      </c>
      <c r="EZ35" s="840">
        <v>0.38845698000000001</v>
      </c>
      <c r="FA35" s="840">
        <v>0.38782397000000002</v>
      </c>
      <c r="FB35" s="840">
        <v>0.36852601000000001</v>
      </c>
      <c r="FC35" s="840">
        <v>0.36852601000000001</v>
      </c>
      <c r="FD35" s="840">
        <v>0.34777923999999999</v>
      </c>
      <c r="FE35" s="840">
        <v>0.59026983</v>
      </c>
      <c r="FF35" s="840">
        <v>0.48343615000000001</v>
      </c>
      <c r="FG35" s="840">
        <v>0.46238675000000001</v>
      </c>
      <c r="FH35" s="1717" t="s">
        <v>4066</v>
      </c>
      <c r="FM35" s="321"/>
    </row>
    <row r="36" spans="1:169" s="736" customFormat="1" ht="42.75" customHeight="1">
      <c r="A36" s="2306" t="s">
        <v>3278</v>
      </c>
      <c r="B36" s="2306"/>
      <c r="C36" s="2306"/>
      <c r="D36" s="2306"/>
      <c r="E36" s="2306"/>
      <c r="F36" s="2306"/>
      <c r="G36" s="2306"/>
      <c r="H36" s="2306"/>
      <c r="I36" s="2306"/>
      <c r="J36" s="2306"/>
      <c r="K36" s="2306"/>
      <c r="L36" s="2306"/>
      <c r="M36" s="2306"/>
      <c r="N36" s="2306"/>
      <c r="O36" s="2306"/>
      <c r="P36" s="2306"/>
      <c r="Q36" s="2306"/>
      <c r="R36" s="2306"/>
      <c r="S36" s="2306"/>
      <c r="T36" s="2306"/>
      <c r="U36" s="2306"/>
      <c r="V36" s="2306"/>
      <c r="W36" s="2306"/>
      <c r="X36" s="2306"/>
      <c r="Y36" s="2306"/>
      <c r="Z36" s="2306"/>
      <c r="AA36" s="2306"/>
      <c r="AB36" s="2306"/>
      <c r="AC36" s="2306"/>
      <c r="AD36" s="2306"/>
      <c r="AE36" s="2306"/>
      <c r="AF36" s="2306"/>
      <c r="AG36" s="2306"/>
      <c r="AH36" s="2306"/>
      <c r="AI36" s="2306"/>
      <c r="AJ36" s="2306"/>
      <c r="AK36" s="2306"/>
      <c r="AL36" s="2306"/>
      <c r="AM36" s="2306"/>
      <c r="AN36" s="2306"/>
      <c r="AO36" s="2306"/>
      <c r="AP36" s="2306"/>
      <c r="AQ36" s="2306"/>
      <c r="AR36" s="2306"/>
      <c r="AS36" s="2306"/>
      <c r="AT36" s="2306"/>
      <c r="AU36" s="2306"/>
      <c r="AV36" s="2306"/>
      <c r="AW36" s="2306"/>
      <c r="AX36" s="2306"/>
      <c r="AY36" s="2306"/>
      <c r="AZ36" s="2306"/>
      <c r="BA36" s="2306"/>
      <c r="BB36" s="2306"/>
      <c r="BC36" s="2306"/>
      <c r="BD36" s="2306"/>
      <c r="BE36" s="2306"/>
      <c r="BF36" s="2306"/>
      <c r="BG36" s="2306"/>
      <c r="BH36" s="2306"/>
      <c r="BI36" s="2306"/>
      <c r="BJ36" s="2306"/>
      <c r="BK36" s="2306"/>
      <c r="BL36" s="2306"/>
      <c r="BM36" s="2306"/>
      <c r="BN36" s="2306"/>
      <c r="BO36" s="2306"/>
      <c r="BP36" s="2306"/>
      <c r="BQ36" s="2306"/>
      <c r="BR36" s="2306"/>
      <c r="BS36" s="2306"/>
      <c r="BT36" s="2306"/>
      <c r="BU36" s="2306"/>
      <c r="BV36" s="2306"/>
      <c r="BW36" s="2306"/>
      <c r="BX36" s="2306"/>
      <c r="BY36" s="2306"/>
      <c r="BZ36" s="2306"/>
      <c r="CA36" s="2306"/>
      <c r="CB36" s="2306"/>
      <c r="CC36" s="2306"/>
      <c r="CD36" s="2306"/>
      <c r="CE36" s="2306"/>
      <c r="CF36" s="2306"/>
      <c r="CG36" s="2306"/>
      <c r="CH36" s="2306"/>
      <c r="CI36" s="2306"/>
      <c r="CJ36" s="2306"/>
      <c r="CK36" s="2306"/>
      <c r="CL36" s="2306"/>
      <c r="CM36" s="2306"/>
      <c r="CN36" s="2306"/>
      <c r="CO36" s="2306"/>
      <c r="CP36" s="2306"/>
      <c r="CQ36" s="2306"/>
      <c r="CR36" s="2306"/>
      <c r="CS36" s="2306"/>
      <c r="CT36" s="2306"/>
      <c r="CU36" s="2306"/>
      <c r="CV36" s="2306"/>
      <c r="CW36" s="2306"/>
      <c r="CX36" s="2306"/>
      <c r="CY36" s="2306"/>
      <c r="CZ36" s="2306"/>
      <c r="DA36" s="2306"/>
      <c r="DB36" s="2306"/>
      <c r="DC36" s="2306"/>
      <c r="DD36" s="2306"/>
      <c r="DE36" s="2306"/>
      <c r="DF36" s="2306"/>
      <c r="DG36" s="2306"/>
      <c r="DH36" s="2306"/>
      <c r="DI36" s="2306"/>
      <c r="DJ36" s="2306"/>
      <c r="DK36" s="2306"/>
      <c r="DL36" s="2306"/>
      <c r="DM36" s="2306"/>
      <c r="DN36" s="2306"/>
      <c r="DO36" s="2306"/>
      <c r="DP36" s="2306"/>
      <c r="DQ36" s="2306"/>
      <c r="DR36" s="2306"/>
      <c r="DS36" s="2306"/>
      <c r="DT36" s="2306"/>
      <c r="DU36" s="2306"/>
      <c r="DV36" s="2306"/>
      <c r="DW36" s="2306"/>
      <c r="DX36" s="2306"/>
      <c r="DY36" s="2306"/>
      <c r="DZ36" s="2306"/>
      <c r="EA36" s="2307"/>
      <c r="EB36" s="2307"/>
      <c r="EC36" s="2307"/>
      <c r="ED36" s="2307"/>
      <c r="EE36" s="2307"/>
      <c r="EF36" s="2307"/>
      <c r="EG36" s="2307"/>
      <c r="EH36" s="2307"/>
      <c r="EI36" s="2307"/>
      <c r="EJ36" s="2307"/>
      <c r="EK36" s="2307"/>
      <c r="EL36" s="2307"/>
      <c r="EM36" s="2307"/>
      <c r="EN36" s="2307"/>
      <c r="EO36" s="2307"/>
      <c r="EP36" s="2307"/>
      <c r="EQ36" s="2307"/>
      <c r="ER36" s="2307"/>
      <c r="ES36" s="2307"/>
      <c r="ET36" s="2307"/>
      <c r="EU36" s="2307"/>
      <c r="EV36" s="2307"/>
      <c r="EW36" s="2307"/>
      <c r="EX36" s="2307"/>
      <c r="EY36" s="2307"/>
      <c r="EZ36" s="2307"/>
      <c r="FA36" s="2307"/>
      <c r="FB36" s="2307"/>
      <c r="FC36" s="2307"/>
      <c r="FD36" s="2307"/>
      <c r="FE36" s="2307"/>
      <c r="FF36" s="2307"/>
      <c r="FG36" s="2306"/>
    </row>
    <row r="37" spans="1:169" ht="18">
      <c r="A37" s="759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T37" s="270"/>
      <c r="BU37" s="270"/>
      <c r="BV37" s="270"/>
      <c r="BW37" s="270"/>
      <c r="BX37" s="270"/>
      <c r="BY37" s="270"/>
      <c r="BZ37" s="270"/>
      <c r="CA37" s="270"/>
      <c r="CB37" s="270"/>
      <c r="CC37" s="270"/>
      <c r="CD37" s="270"/>
      <c r="CE37" s="270"/>
      <c r="CF37" s="270"/>
      <c r="CG37" s="270"/>
      <c r="FM37" s="321"/>
    </row>
    <row r="38" spans="1:169" ht="18">
      <c r="A38" s="760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  <c r="CF38" s="271"/>
      <c r="CG38" s="271"/>
      <c r="FM38" s="321"/>
    </row>
    <row r="39" spans="1:169" ht="18">
      <c r="A39" s="759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0"/>
      <c r="BP39" s="270"/>
      <c r="BQ39" s="270"/>
      <c r="BR39" s="270"/>
      <c r="BS39" s="270"/>
      <c r="BT39" s="270"/>
      <c r="BU39" s="270"/>
      <c r="BV39" s="270"/>
      <c r="BW39" s="270"/>
      <c r="BX39" s="270"/>
      <c r="BY39" s="270"/>
      <c r="BZ39" s="270"/>
      <c r="CA39" s="270"/>
      <c r="CB39" s="270"/>
      <c r="CC39" s="270"/>
      <c r="CD39" s="270"/>
      <c r="CE39" s="270"/>
      <c r="CF39" s="270"/>
      <c r="CG39" s="270"/>
      <c r="FM39" s="321"/>
    </row>
    <row r="40" spans="1:169" ht="18">
      <c r="A40" s="760"/>
      <c r="B40" s="271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  <c r="CF40" s="271"/>
      <c r="CG40" s="271"/>
      <c r="FM40" s="321"/>
    </row>
    <row r="41" spans="1:169" ht="18">
      <c r="A41" s="759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70"/>
      <c r="AS41" s="270"/>
      <c r="AT41" s="270"/>
      <c r="AU41" s="270"/>
      <c r="AV41" s="270"/>
      <c r="AW41" s="270"/>
      <c r="AX41" s="270"/>
      <c r="AY41" s="270"/>
      <c r="AZ41" s="270"/>
      <c r="BA41" s="270"/>
      <c r="BB41" s="270"/>
      <c r="BC41" s="270"/>
      <c r="BD41" s="270"/>
      <c r="BE41" s="270"/>
      <c r="BF41" s="270"/>
      <c r="BG41" s="270"/>
      <c r="BH41" s="270"/>
      <c r="BI41" s="270"/>
      <c r="BJ41" s="270"/>
      <c r="BK41" s="270"/>
      <c r="BL41" s="270"/>
      <c r="BM41" s="270"/>
      <c r="BN41" s="270"/>
      <c r="BO41" s="270"/>
      <c r="BP41" s="270"/>
      <c r="BQ41" s="270"/>
      <c r="BR41" s="270"/>
      <c r="BS41" s="270"/>
      <c r="BT41" s="270"/>
      <c r="BU41" s="270"/>
      <c r="BV41" s="270"/>
      <c r="BW41" s="270"/>
      <c r="BX41" s="270"/>
      <c r="BY41" s="270"/>
      <c r="BZ41" s="270"/>
      <c r="CA41" s="270"/>
      <c r="CB41" s="270"/>
      <c r="CC41" s="270"/>
      <c r="CD41" s="270"/>
      <c r="CE41" s="270"/>
      <c r="CF41" s="270"/>
      <c r="CG41" s="270"/>
      <c r="FM41" s="321"/>
    </row>
    <row r="42" spans="1:169" ht="18">
      <c r="A42" s="761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0"/>
      <c r="AZ42" s="270"/>
      <c r="BA42" s="270"/>
      <c r="BB42" s="270"/>
      <c r="BC42" s="270"/>
      <c r="BD42" s="270"/>
      <c r="BE42" s="270"/>
      <c r="BF42" s="270"/>
      <c r="BG42" s="270"/>
      <c r="BH42" s="270"/>
      <c r="BI42" s="270"/>
      <c r="BJ42" s="270"/>
      <c r="BK42" s="270"/>
      <c r="BL42" s="270"/>
      <c r="BM42" s="270"/>
      <c r="BN42" s="270"/>
      <c r="BO42" s="270"/>
      <c r="BP42" s="270"/>
      <c r="BQ42" s="270"/>
      <c r="BR42" s="270"/>
      <c r="BS42" s="270"/>
      <c r="BT42" s="270"/>
      <c r="BU42" s="270"/>
      <c r="BV42" s="270"/>
      <c r="BW42" s="270"/>
      <c r="BX42" s="270"/>
      <c r="BY42" s="270"/>
      <c r="BZ42" s="270"/>
      <c r="CA42" s="270"/>
      <c r="CB42" s="270"/>
      <c r="CC42" s="270"/>
      <c r="CD42" s="270"/>
      <c r="CE42" s="270"/>
      <c r="CF42" s="270"/>
      <c r="CG42" s="270"/>
      <c r="FM42" s="321"/>
    </row>
    <row r="43" spans="1:169" ht="18">
      <c r="A43" s="762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  <c r="BX43" s="271"/>
      <c r="BY43" s="271"/>
      <c r="BZ43" s="271"/>
      <c r="CA43" s="271"/>
      <c r="CB43" s="271"/>
      <c r="CC43" s="271"/>
      <c r="CD43" s="271"/>
      <c r="CE43" s="271"/>
      <c r="CF43" s="271"/>
      <c r="CG43" s="271"/>
      <c r="FM43" s="321"/>
    </row>
    <row r="44" spans="1:169" ht="18">
      <c r="A44" s="759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  <c r="BP44" s="270"/>
      <c r="BQ44" s="270"/>
      <c r="BR44" s="270"/>
      <c r="BS44" s="270"/>
      <c r="BT44" s="270"/>
      <c r="BU44" s="270"/>
      <c r="BV44" s="270"/>
      <c r="BW44" s="270"/>
      <c r="BX44" s="270"/>
      <c r="BY44" s="270"/>
      <c r="BZ44" s="270"/>
      <c r="CA44" s="270"/>
      <c r="CB44" s="270"/>
      <c r="CC44" s="270"/>
      <c r="CD44" s="270"/>
      <c r="CE44" s="270"/>
      <c r="CF44" s="270"/>
      <c r="CG44" s="270"/>
      <c r="FM44" s="321"/>
    </row>
    <row r="45" spans="1:169" ht="18">
      <c r="A45" s="760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  <c r="BX45" s="271"/>
      <c r="BY45" s="271"/>
      <c r="BZ45" s="271"/>
      <c r="CA45" s="271"/>
      <c r="CB45" s="271"/>
      <c r="CC45" s="271"/>
      <c r="CD45" s="271"/>
      <c r="CE45" s="271"/>
      <c r="CF45" s="271"/>
      <c r="CG45" s="271"/>
      <c r="FM45" s="321"/>
    </row>
    <row r="46" spans="1:169" ht="18">
      <c r="A46" s="759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0"/>
      <c r="AZ46" s="270"/>
      <c r="BA46" s="270"/>
      <c r="BB46" s="270"/>
      <c r="BC46" s="270"/>
      <c r="BD46" s="270"/>
      <c r="BE46" s="270"/>
      <c r="BF46" s="270"/>
      <c r="BG46" s="270"/>
      <c r="BH46" s="270"/>
      <c r="BI46" s="270"/>
      <c r="BJ46" s="270"/>
      <c r="BK46" s="270"/>
      <c r="BL46" s="270"/>
      <c r="BM46" s="270"/>
      <c r="BN46" s="270"/>
      <c r="BO46" s="270"/>
      <c r="BP46" s="270"/>
      <c r="BQ46" s="270"/>
      <c r="BR46" s="270"/>
      <c r="BS46" s="270"/>
      <c r="BT46" s="270"/>
      <c r="BU46" s="270"/>
      <c r="BV46" s="270"/>
      <c r="BW46" s="270"/>
      <c r="BX46" s="270"/>
      <c r="BY46" s="270"/>
      <c r="BZ46" s="270"/>
      <c r="CA46" s="270"/>
      <c r="CB46" s="270"/>
      <c r="CC46" s="270"/>
      <c r="CD46" s="270"/>
      <c r="CE46" s="270"/>
      <c r="CF46" s="270"/>
      <c r="CG46" s="270"/>
      <c r="FM46" s="321"/>
    </row>
    <row r="47" spans="1:169" ht="18">
      <c r="A47" s="760"/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  <c r="BG47" s="271"/>
      <c r="BH47" s="271"/>
      <c r="BI47" s="271"/>
      <c r="BJ47" s="271"/>
      <c r="BK47" s="271"/>
      <c r="BL47" s="271"/>
      <c r="BM47" s="271"/>
      <c r="BN47" s="271"/>
      <c r="BO47" s="271"/>
      <c r="BP47" s="271"/>
      <c r="BQ47" s="271"/>
      <c r="BR47" s="271"/>
      <c r="BS47" s="271"/>
      <c r="BT47" s="271"/>
      <c r="BU47" s="271"/>
      <c r="BV47" s="271"/>
      <c r="BW47" s="271"/>
      <c r="BX47" s="271"/>
      <c r="BY47" s="271"/>
      <c r="BZ47" s="271"/>
      <c r="CA47" s="271"/>
      <c r="CB47" s="271"/>
      <c r="CC47" s="271"/>
      <c r="CD47" s="271"/>
      <c r="CE47" s="271"/>
      <c r="CF47" s="271"/>
      <c r="CG47" s="271"/>
      <c r="FM47" s="321"/>
    </row>
    <row r="48" spans="1:169" ht="18">
      <c r="A48" s="759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0"/>
      <c r="AZ48" s="270"/>
      <c r="BA48" s="270"/>
      <c r="BB48" s="270"/>
      <c r="BC48" s="270"/>
      <c r="BD48" s="270"/>
      <c r="BE48" s="270"/>
      <c r="BF48" s="270"/>
      <c r="BG48" s="270"/>
      <c r="BH48" s="270"/>
      <c r="BI48" s="270"/>
      <c r="BJ48" s="270"/>
      <c r="BK48" s="270"/>
      <c r="BL48" s="270"/>
      <c r="BM48" s="270"/>
      <c r="BN48" s="270"/>
      <c r="BO48" s="270"/>
      <c r="BP48" s="270"/>
      <c r="BQ48" s="270"/>
      <c r="BR48" s="270"/>
      <c r="BS48" s="270"/>
      <c r="BT48" s="270"/>
      <c r="BU48" s="270"/>
      <c r="BV48" s="270"/>
      <c r="BW48" s="270"/>
      <c r="BX48" s="270"/>
      <c r="BY48" s="270"/>
      <c r="BZ48" s="270"/>
      <c r="CA48" s="270"/>
      <c r="CB48" s="270"/>
      <c r="CC48" s="270"/>
      <c r="CD48" s="270"/>
      <c r="CE48" s="270"/>
      <c r="CF48" s="270"/>
      <c r="CG48" s="270"/>
      <c r="FM48" s="321"/>
    </row>
    <row r="49" spans="1:169" ht="18">
      <c r="A49" s="763"/>
      <c r="B49" s="322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2"/>
      <c r="AJ49" s="322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2"/>
      <c r="AZ49" s="322"/>
      <c r="BA49" s="322"/>
      <c r="BB49" s="322"/>
      <c r="BC49" s="322"/>
      <c r="BD49" s="322"/>
      <c r="BE49" s="322"/>
      <c r="BF49" s="322"/>
      <c r="BG49" s="322"/>
      <c r="BH49" s="322"/>
      <c r="BI49" s="322"/>
      <c r="BJ49" s="322"/>
      <c r="BK49" s="322"/>
      <c r="BL49" s="322"/>
      <c r="BM49" s="322"/>
      <c r="BN49" s="322"/>
      <c r="BO49" s="322"/>
      <c r="BP49" s="322"/>
      <c r="BQ49" s="322"/>
      <c r="BR49" s="322"/>
      <c r="BS49" s="322"/>
      <c r="BT49" s="322"/>
      <c r="BU49" s="322"/>
      <c r="BV49" s="322"/>
      <c r="BW49" s="322"/>
      <c r="BX49" s="322"/>
      <c r="BY49" s="322"/>
      <c r="BZ49" s="322"/>
      <c r="CA49" s="322"/>
      <c r="CB49" s="322"/>
      <c r="CC49" s="322"/>
      <c r="CD49" s="322"/>
      <c r="CE49" s="322"/>
      <c r="CF49" s="322"/>
      <c r="CG49" s="322"/>
      <c r="FM49" s="321"/>
    </row>
    <row r="50" spans="1:169" ht="18.75">
      <c r="A50" s="764"/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2"/>
      <c r="U50" s="322"/>
      <c r="V50" s="322"/>
      <c r="W50" s="322"/>
      <c r="X50" s="322"/>
      <c r="Y50" s="322"/>
      <c r="Z50" s="322"/>
      <c r="AA50" s="322"/>
      <c r="AB50" s="322"/>
      <c r="AC50" s="322"/>
      <c r="AD50" s="322"/>
      <c r="AE50" s="322"/>
      <c r="AF50" s="322"/>
      <c r="AG50" s="322"/>
      <c r="AH50" s="322"/>
      <c r="AI50" s="322"/>
      <c r="AJ50" s="322"/>
      <c r="AK50" s="322"/>
      <c r="AL50" s="322"/>
      <c r="AM50" s="322"/>
      <c r="AN50" s="322"/>
      <c r="AO50" s="322"/>
      <c r="AP50" s="322"/>
      <c r="AQ50" s="322"/>
      <c r="AR50" s="322"/>
      <c r="AS50" s="322"/>
      <c r="AT50" s="322"/>
      <c r="AU50" s="322"/>
      <c r="AV50" s="322"/>
      <c r="AW50" s="322"/>
      <c r="AX50" s="322"/>
      <c r="AY50" s="322"/>
      <c r="AZ50" s="322"/>
      <c r="BA50" s="322"/>
      <c r="BB50" s="322"/>
      <c r="BC50" s="322"/>
      <c r="BD50" s="322"/>
      <c r="BE50" s="322"/>
      <c r="BF50" s="322"/>
      <c r="BG50" s="322"/>
      <c r="BH50" s="322"/>
      <c r="BI50" s="322"/>
      <c r="BJ50" s="322"/>
      <c r="BK50" s="322"/>
      <c r="BL50" s="322"/>
      <c r="BM50" s="322"/>
      <c r="BN50" s="322"/>
      <c r="BO50" s="322"/>
      <c r="BP50" s="322"/>
      <c r="BQ50" s="322"/>
      <c r="BR50" s="322"/>
      <c r="BS50" s="322"/>
      <c r="BT50" s="322"/>
      <c r="BU50" s="322"/>
      <c r="BV50" s="322"/>
      <c r="BW50" s="322"/>
      <c r="BX50" s="322"/>
      <c r="BY50" s="322"/>
      <c r="BZ50" s="322"/>
      <c r="CA50" s="322"/>
      <c r="CB50" s="322"/>
      <c r="CC50" s="322"/>
      <c r="CD50" s="322"/>
      <c r="CE50" s="322"/>
      <c r="CF50" s="322"/>
      <c r="CG50" s="322"/>
      <c r="FM50" s="321"/>
    </row>
    <row r="51" spans="1:169">
      <c r="FM51" s="321"/>
    </row>
    <row r="52" spans="1:169">
      <c r="FM52" s="321"/>
    </row>
    <row r="53" spans="1:169">
      <c r="FM53" s="321"/>
    </row>
    <row r="54" spans="1:169">
      <c r="FM54" s="321"/>
    </row>
    <row r="55" spans="1:169">
      <c r="FM55" s="321"/>
    </row>
    <row r="56" spans="1:169">
      <c r="FM56" s="321"/>
    </row>
    <row r="57" spans="1:169">
      <c r="FM57" s="321"/>
    </row>
    <row r="58" spans="1:169">
      <c r="FM58" s="321"/>
    </row>
    <row r="59" spans="1:169">
      <c r="FM59" s="321"/>
    </row>
    <row r="60" spans="1:169">
      <c r="FM60" s="321"/>
    </row>
    <row r="61" spans="1:169">
      <c r="FM61" s="321"/>
    </row>
    <row r="62" spans="1:169">
      <c r="FM62" s="321"/>
    </row>
    <row r="63" spans="1:169">
      <c r="FM63" s="321"/>
    </row>
  </sheetData>
  <mergeCells count="17">
    <mergeCell ref="FB6:FG6"/>
    <mergeCell ref="A2:FH2"/>
    <mergeCell ref="A3:FH3"/>
    <mergeCell ref="A6:A8"/>
    <mergeCell ref="FH6:FH8"/>
    <mergeCell ref="A36:FG36"/>
    <mergeCell ref="A5:FG5"/>
    <mergeCell ref="B6:M6"/>
    <mergeCell ref="N6:Y6"/>
    <mergeCell ref="Z6:AK6"/>
    <mergeCell ref="AL6:AW6"/>
    <mergeCell ref="BV6:CG6"/>
    <mergeCell ref="CT6:DE6"/>
    <mergeCell ref="DF6:DQ6"/>
    <mergeCell ref="DR6:EC6"/>
    <mergeCell ref="ED6:EO6"/>
    <mergeCell ref="EP6:FA6"/>
  </mergeCells>
  <pageMargins left="0.7" right="0.7" top="0.75" bottom="0.75" header="0.3" footer="0.3"/>
  <pageSetup scale="2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9">
    <tabColor rgb="FF92D050"/>
  </sheetPr>
  <dimension ref="A2:KP50"/>
  <sheetViews>
    <sheetView showGridLines="0" view="pageBreakPreview" zoomScale="66" zoomScaleNormal="100" zoomScaleSheetLayoutView="66" workbookViewId="0">
      <selection activeCell="F40" sqref="F40"/>
    </sheetView>
  </sheetViews>
  <sheetFormatPr defaultColWidth="9.140625" defaultRowHeight="15"/>
  <cols>
    <col min="1" max="1" width="61.42578125" style="765" customWidth="1"/>
    <col min="2" max="12" width="13.5703125" style="319" hidden="1" customWidth="1"/>
    <col min="13" max="13" width="19" style="319" hidden="1" customWidth="1"/>
    <col min="14" max="23" width="13.5703125" style="319" hidden="1" customWidth="1"/>
    <col min="24" max="24" width="13.28515625" style="319" hidden="1" customWidth="1"/>
    <col min="25" max="25" width="18.140625" style="319" hidden="1" customWidth="1"/>
    <col min="26" max="33" width="14.7109375" style="319" hidden="1" customWidth="1"/>
    <col min="34" max="34" width="17.85546875" style="319" hidden="1" customWidth="1"/>
    <col min="35" max="35" width="18" style="319" hidden="1" customWidth="1"/>
    <col min="36" max="36" width="18.85546875" style="319" hidden="1" customWidth="1"/>
    <col min="37" max="37" width="16.85546875" style="319" hidden="1" customWidth="1"/>
    <col min="38" max="44" width="14.7109375" style="319" hidden="1" customWidth="1"/>
    <col min="45" max="60" width="18" style="319" hidden="1" customWidth="1"/>
    <col min="61" max="61" width="14" style="319" customWidth="1"/>
    <col min="62" max="72" width="18" style="319" hidden="1" customWidth="1"/>
    <col min="73" max="73" width="14" style="319" customWidth="1"/>
    <col min="74" max="82" width="18" style="319" hidden="1" customWidth="1"/>
    <col min="83" max="84" width="17" style="319" hidden="1" customWidth="1"/>
    <col min="85" max="85" width="14" style="319" customWidth="1"/>
    <col min="86" max="90" width="17" style="319" hidden="1" customWidth="1"/>
    <col min="91" max="96" width="14.85546875" style="319" hidden="1" customWidth="1"/>
    <col min="97" max="97" width="14" style="319" customWidth="1"/>
    <col min="98" max="108" width="14" style="319" hidden="1" customWidth="1"/>
    <col min="109" max="109" width="14" style="319" customWidth="1"/>
    <col min="110" max="120" width="14" style="319" hidden="1" customWidth="1"/>
    <col min="121" max="121" width="14" style="319" customWidth="1"/>
    <col min="122" max="132" width="14" style="319" hidden="1" customWidth="1"/>
    <col min="133" max="133" width="14" style="319" customWidth="1"/>
    <col min="134" max="144" width="14" style="319" hidden="1" customWidth="1"/>
    <col min="145" max="145" width="14" style="319" customWidth="1"/>
    <col min="146" max="156" width="14" style="319" hidden="1" customWidth="1"/>
    <col min="157" max="163" width="14" style="319" customWidth="1"/>
    <col min="164" max="164" width="55.28515625" style="319" customWidth="1"/>
    <col min="165" max="16384" width="9.140625" style="319"/>
  </cols>
  <sheetData>
    <row r="2" spans="1:302" ht="37.15" customHeight="1">
      <c r="A2" s="2310" t="s">
        <v>3280</v>
      </c>
      <c r="B2" s="2310"/>
      <c r="C2" s="2310"/>
      <c r="D2" s="2310"/>
      <c r="E2" s="2310"/>
      <c r="F2" s="2310"/>
      <c r="G2" s="2310"/>
      <c r="H2" s="2310"/>
      <c r="I2" s="2310"/>
      <c r="J2" s="2310"/>
      <c r="K2" s="2310"/>
      <c r="L2" s="2310"/>
      <c r="M2" s="2310"/>
      <c r="N2" s="2310"/>
      <c r="O2" s="2310"/>
      <c r="P2" s="2310"/>
      <c r="Q2" s="2310"/>
      <c r="R2" s="2310"/>
      <c r="S2" s="2310"/>
      <c r="T2" s="2310"/>
      <c r="U2" s="2310"/>
      <c r="V2" s="2310"/>
      <c r="W2" s="2310"/>
      <c r="X2" s="2310"/>
      <c r="Y2" s="2310"/>
      <c r="Z2" s="2310"/>
      <c r="AA2" s="2310"/>
      <c r="AB2" s="2310"/>
      <c r="AC2" s="2310"/>
      <c r="AD2" s="2310"/>
      <c r="AE2" s="2310"/>
      <c r="AF2" s="2310"/>
      <c r="AG2" s="2310"/>
      <c r="AH2" s="2310"/>
      <c r="AI2" s="2310"/>
      <c r="AJ2" s="2310"/>
      <c r="AK2" s="2310"/>
      <c r="AL2" s="2310"/>
      <c r="AM2" s="2310"/>
      <c r="AN2" s="2310"/>
      <c r="AO2" s="2310"/>
      <c r="AP2" s="2310"/>
      <c r="AQ2" s="2310"/>
      <c r="AR2" s="2310"/>
      <c r="AS2" s="2310"/>
      <c r="AT2" s="2310"/>
      <c r="AU2" s="2310"/>
      <c r="AV2" s="2310"/>
      <c r="AW2" s="2310"/>
      <c r="AX2" s="2310"/>
      <c r="AY2" s="2310"/>
      <c r="AZ2" s="2310"/>
      <c r="BA2" s="2310"/>
      <c r="BB2" s="2310"/>
      <c r="BC2" s="2310"/>
      <c r="BD2" s="2310"/>
      <c r="BE2" s="2310"/>
      <c r="BF2" s="2310"/>
      <c r="BG2" s="2310"/>
      <c r="BH2" s="2310"/>
      <c r="BI2" s="2310"/>
      <c r="BJ2" s="2310"/>
      <c r="BK2" s="2310"/>
      <c r="BL2" s="2310"/>
      <c r="BM2" s="2310"/>
      <c r="BN2" s="2310"/>
      <c r="BO2" s="2310"/>
      <c r="BP2" s="2310"/>
      <c r="BQ2" s="2310"/>
      <c r="BR2" s="2310"/>
      <c r="BS2" s="2310"/>
      <c r="BT2" s="2310"/>
      <c r="BU2" s="2310"/>
      <c r="BV2" s="2310"/>
      <c r="BW2" s="2310"/>
      <c r="BX2" s="2310"/>
      <c r="BY2" s="2310"/>
      <c r="BZ2" s="2310"/>
      <c r="CA2" s="2310"/>
      <c r="CB2" s="2310"/>
      <c r="CC2" s="2310"/>
      <c r="CD2" s="2310"/>
      <c r="CE2" s="2310"/>
      <c r="CF2" s="2310"/>
      <c r="CG2" s="2310"/>
      <c r="CH2" s="2310"/>
      <c r="CI2" s="2310"/>
      <c r="CJ2" s="2310"/>
      <c r="CK2" s="2310"/>
      <c r="CL2" s="2310"/>
      <c r="CM2" s="2310"/>
      <c r="CN2" s="2310"/>
      <c r="CO2" s="2310"/>
      <c r="CP2" s="2310"/>
      <c r="CQ2" s="2310"/>
      <c r="CR2" s="2310"/>
      <c r="CS2" s="2310"/>
      <c r="CT2" s="2310"/>
      <c r="CU2" s="2310"/>
      <c r="CV2" s="2310"/>
      <c r="CW2" s="2310"/>
      <c r="CX2" s="2310"/>
      <c r="CY2" s="2310"/>
      <c r="CZ2" s="2310"/>
      <c r="DA2" s="2310"/>
      <c r="DB2" s="2310"/>
      <c r="DC2" s="2310"/>
      <c r="DD2" s="2310"/>
      <c r="DE2" s="2310"/>
      <c r="DF2" s="2310"/>
      <c r="DG2" s="2310"/>
      <c r="DH2" s="2310"/>
      <c r="DI2" s="2310"/>
      <c r="DJ2" s="2310"/>
      <c r="DK2" s="2310"/>
      <c r="DL2" s="2310"/>
      <c r="DM2" s="2310"/>
      <c r="DN2" s="2310"/>
      <c r="DO2" s="2310"/>
      <c r="DP2" s="2310"/>
      <c r="DQ2" s="2310"/>
      <c r="DR2" s="2310"/>
      <c r="DS2" s="2310"/>
      <c r="DT2" s="2310"/>
      <c r="DU2" s="2310"/>
      <c r="DV2" s="2310"/>
      <c r="DW2" s="2310"/>
      <c r="DX2" s="2310"/>
      <c r="DY2" s="2310"/>
      <c r="DZ2" s="2310"/>
      <c r="EA2" s="2310"/>
      <c r="EB2" s="2310"/>
      <c r="EC2" s="2310"/>
      <c r="ED2" s="2310"/>
      <c r="EE2" s="2310"/>
      <c r="EF2" s="2310"/>
      <c r="EG2" s="2310"/>
      <c r="EH2" s="2310"/>
      <c r="EI2" s="2310"/>
      <c r="EJ2" s="2310"/>
      <c r="EK2" s="2310"/>
      <c r="EL2" s="2310"/>
      <c r="EM2" s="2310"/>
      <c r="EN2" s="2310"/>
      <c r="EO2" s="2310"/>
      <c r="EP2" s="2310"/>
      <c r="EQ2" s="2310"/>
      <c r="ER2" s="2310"/>
      <c r="ES2" s="2310"/>
      <c r="ET2" s="2310"/>
      <c r="EU2" s="2310"/>
      <c r="EV2" s="2310"/>
      <c r="EW2" s="2310"/>
      <c r="EX2" s="2310"/>
      <c r="EY2" s="2310"/>
      <c r="EZ2" s="2310"/>
      <c r="FA2" s="2310"/>
      <c r="FB2" s="2310"/>
      <c r="FC2" s="2310"/>
      <c r="FD2" s="2310"/>
      <c r="FE2" s="2310"/>
      <c r="FF2" s="2310"/>
      <c r="FG2" s="2310"/>
      <c r="FH2" s="2310"/>
    </row>
    <row r="3" spans="1:302" ht="41.25" customHeight="1">
      <c r="A3" s="2299" t="s">
        <v>3276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</row>
    <row r="4" spans="1:302" s="648" customFormat="1" ht="27">
      <c r="A4" s="768"/>
      <c r="B4" s="649"/>
      <c r="C4" s="649"/>
      <c r="D4" s="649"/>
      <c r="E4" s="649"/>
      <c r="F4" s="649"/>
      <c r="G4" s="649"/>
      <c r="H4" s="649"/>
      <c r="I4" s="649"/>
      <c r="J4" s="649"/>
      <c r="K4" s="649"/>
      <c r="L4" s="649"/>
      <c r="M4" s="649"/>
      <c r="N4" s="649"/>
      <c r="O4" s="649"/>
      <c r="P4" s="649"/>
      <c r="Q4" s="649"/>
      <c r="R4" s="649"/>
      <c r="S4" s="649"/>
      <c r="T4" s="649"/>
      <c r="U4" s="649"/>
      <c r="V4" s="649"/>
      <c r="W4" s="649"/>
      <c r="X4" s="649"/>
      <c r="Y4" s="649"/>
      <c r="Z4" s="649"/>
      <c r="AA4" s="649"/>
      <c r="AB4" s="649"/>
      <c r="AC4" s="649"/>
      <c r="AD4" s="649"/>
      <c r="AE4" s="649"/>
      <c r="AF4" s="649"/>
      <c r="AG4" s="649"/>
      <c r="AH4" s="649"/>
      <c r="AI4" s="649"/>
      <c r="AJ4" s="649"/>
      <c r="AK4" s="649"/>
      <c r="AL4" s="649"/>
      <c r="AM4" s="649"/>
      <c r="AN4" s="649"/>
      <c r="AO4" s="649"/>
      <c r="AP4" s="649"/>
      <c r="AQ4" s="649"/>
      <c r="AR4" s="649"/>
      <c r="AS4" s="649"/>
      <c r="AT4" s="649"/>
      <c r="AU4" s="649"/>
      <c r="AV4" s="649"/>
      <c r="AW4" s="649"/>
      <c r="AX4" s="649"/>
      <c r="AY4" s="649"/>
      <c r="AZ4" s="649"/>
      <c r="BA4" s="649"/>
      <c r="BB4" s="649"/>
      <c r="BC4" s="649"/>
      <c r="BD4" s="649"/>
      <c r="BE4" s="649"/>
      <c r="BF4" s="649"/>
      <c r="BG4" s="649"/>
      <c r="BH4" s="649"/>
      <c r="BI4" s="649"/>
      <c r="BJ4" s="649"/>
      <c r="BK4" s="649"/>
      <c r="BL4" s="649"/>
      <c r="BM4" s="649"/>
      <c r="BN4" s="649"/>
      <c r="BO4" s="649"/>
      <c r="BP4" s="649"/>
      <c r="BQ4" s="649"/>
      <c r="BR4" s="649"/>
      <c r="BS4" s="649"/>
      <c r="BT4" s="649"/>
      <c r="BU4" s="649"/>
      <c r="BV4" s="649"/>
      <c r="BW4" s="649"/>
      <c r="BX4" s="649"/>
      <c r="BY4" s="649"/>
      <c r="BZ4" s="649"/>
      <c r="CA4" s="649"/>
      <c r="CB4" s="649"/>
      <c r="CC4" s="649"/>
      <c r="CD4" s="649"/>
      <c r="CE4" s="649"/>
      <c r="CF4" s="649"/>
      <c r="CG4" s="649"/>
      <c r="CH4" s="649"/>
      <c r="CI4" s="649"/>
      <c r="CJ4" s="649"/>
      <c r="CK4" s="649"/>
      <c r="CL4" s="649"/>
      <c r="CM4" s="649"/>
      <c r="CN4" s="649"/>
      <c r="CO4" s="649"/>
      <c r="CP4" s="649"/>
      <c r="CQ4" s="649"/>
      <c r="CR4" s="649"/>
      <c r="CS4" s="649"/>
      <c r="CT4" s="649"/>
      <c r="CU4" s="649"/>
      <c r="CV4" s="649"/>
      <c r="CW4" s="649"/>
      <c r="CX4" s="649"/>
      <c r="CY4" s="649"/>
      <c r="CZ4" s="649"/>
      <c r="DA4" s="649"/>
      <c r="DB4" s="649"/>
      <c r="DC4" s="649"/>
      <c r="DD4" s="649"/>
      <c r="DE4" s="649"/>
      <c r="DF4" s="649"/>
      <c r="DG4" s="649"/>
      <c r="DH4" s="649"/>
      <c r="DI4" s="649"/>
      <c r="DJ4" s="649"/>
      <c r="DK4" s="649"/>
      <c r="DL4" s="649"/>
      <c r="DM4" s="649"/>
      <c r="DN4" s="649"/>
      <c r="DO4" s="649"/>
      <c r="DP4" s="649"/>
      <c r="DQ4" s="649"/>
      <c r="DR4" s="649"/>
      <c r="DS4" s="649"/>
      <c r="DT4" s="649"/>
      <c r="DU4" s="649"/>
      <c r="DV4" s="649"/>
      <c r="DW4" s="649"/>
      <c r="DX4" s="649"/>
      <c r="DY4" s="649"/>
      <c r="DZ4" s="649"/>
      <c r="EA4" s="649"/>
      <c r="EB4" s="649"/>
      <c r="EC4" s="649"/>
      <c r="ED4" s="649"/>
      <c r="EE4" s="649"/>
      <c r="EF4" s="649"/>
      <c r="EG4" s="649"/>
      <c r="EH4" s="649"/>
      <c r="EI4" s="649"/>
      <c r="EJ4" s="649"/>
      <c r="EK4" s="649"/>
      <c r="EL4" s="649"/>
      <c r="EM4" s="649"/>
      <c r="EN4" s="649"/>
      <c r="EO4" s="649"/>
      <c r="EP4" s="649"/>
      <c r="EQ4" s="649"/>
      <c r="ER4" s="649"/>
      <c r="ES4" s="649"/>
      <c r="ET4" s="649"/>
      <c r="EU4" s="649"/>
      <c r="EV4" s="649"/>
      <c r="EW4" s="649"/>
      <c r="EX4" s="649"/>
      <c r="EY4" s="649"/>
      <c r="EZ4" s="649"/>
      <c r="FA4" s="649"/>
      <c r="FB4" s="649"/>
      <c r="FC4" s="649"/>
      <c r="FD4" s="649"/>
      <c r="FE4" s="649"/>
      <c r="FF4" s="649"/>
      <c r="FG4" s="649"/>
      <c r="FH4" s="752"/>
      <c r="FI4" s="319"/>
      <c r="FJ4" s="319"/>
      <c r="FK4" s="319"/>
      <c r="FL4" s="319"/>
      <c r="FM4" s="319"/>
      <c r="FN4" s="319"/>
      <c r="FO4" s="319"/>
      <c r="FP4" s="319"/>
      <c r="FQ4" s="319"/>
      <c r="FR4" s="319"/>
      <c r="FS4" s="319"/>
      <c r="FT4" s="319"/>
      <c r="FU4" s="319"/>
      <c r="FV4" s="319"/>
      <c r="FW4" s="319"/>
      <c r="FX4" s="319"/>
      <c r="FY4" s="319"/>
      <c r="FZ4" s="319"/>
      <c r="GA4" s="319"/>
      <c r="GB4" s="319"/>
      <c r="GC4" s="319"/>
      <c r="GD4" s="319"/>
      <c r="GE4" s="319"/>
      <c r="GF4" s="319"/>
      <c r="GG4" s="319"/>
      <c r="GH4" s="319"/>
      <c r="GI4" s="319"/>
      <c r="GJ4" s="319"/>
      <c r="GK4" s="319"/>
      <c r="GL4" s="319"/>
      <c r="GM4" s="319"/>
      <c r="GN4" s="319"/>
      <c r="GO4" s="319"/>
      <c r="GP4" s="319"/>
      <c r="GQ4" s="319"/>
      <c r="GR4" s="319"/>
      <c r="GS4" s="319"/>
      <c r="GT4" s="319"/>
      <c r="GU4" s="319"/>
      <c r="GV4" s="319"/>
      <c r="GW4" s="319"/>
      <c r="GX4" s="319"/>
      <c r="GY4" s="319"/>
      <c r="GZ4" s="319"/>
      <c r="HA4" s="319"/>
      <c r="HB4" s="319"/>
      <c r="HC4" s="319"/>
      <c r="HD4" s="319"/>
      <c r="HE4" s="319"/>
      <c r="HF4" s="319"/>
      <c r="HG4" s="319"/>
      <c r="HH4" s="319"/>
      <c r="HI4" s="319"/>
      <c r="HJ4" s="319"/>
      <c r="HK4" s="319"/>
      <c r="HL4" s="319"/>
      <c r="HM4" s="319"/>
      <c r="HN4" s="319"/>
      <c r="HO4" s="319"/>
      <c r="HP4" s="319"/>
      <c r="HQ4" s="319"/>
      <c r="HR4" s="319"/>
      <c r="HS4" s="319"/>
      <c r="HT4" s="319"/>
      <c r="HU4" s="319"/>
      <c r="HV4" s="319"/>
      <c r="HW4" s="319"/>
      <c r="HX4" s="319"/>
      <c r="HY4" s="319"/>
      <c r="HZ4" s="319"/>
      <c r="IA4" s="319"/>
      <c r="IB4" s="319"/>
      <c r="IC4" s="319"/>
      <c r="ID4" s="319"/>
      <c r="IE4" s="319"/>
      <c r="IF4" s="319"/>
      <c r="IG4" s="319"/>
      <c r="IH4" s="319"/>
      <c r="II4" s="319"/>
      <c r="IJ4" s="319"/>
      <c r="IK4" s="319"/>
      <c r="IL4" s="319"/>
      <c r="IM4" s="319"/>
      <c r="IN4" s="319"/>
      <c r="IO4" s="319"/>
      <c r="IP4" s="319"/>
      <c r="IQ4" s="319"/>
      <c r="IR4" s="319"/>
      <c r="IS4" s="319"/>
      <c r="IT4" s="319"/>
      <c r="IU4" s="319"/>
      <c r="IV4" s="319"/>
      <c r="IW4" s="319"/>
      <c r="IX4" s="319"/>
      <c r="IY4" s="319"/>
      <c r="IZ4" s="319"/>
      <c r="JA4" s="319"/>
      <c r="JB4" s="319"/>
      <c r="JC4" s="319"/>
      <c r="JD4" s="319"/>
      <c r="JE4" s="319"/>
      <c r="JF4" s="319"/>
      <c r="JG4" s="319"/>
      <c r="JH4" s="319"/>
      <c r="JI4" s="319"/>
      <c r="JJ4" s="319"/>
      <c r="JK4" s="319"/>
      <c r="JL4" s="319"/>
      <c r="JM4" s="319"/>
      <c r="JN4" s="319"/>
      <c r="JO4" s="319"/>
      <c r="JP4" s="319"/>
      <c r="JQ4" s="319"/>
      <c r="JR4" s="319"/>
      <c r="JS4" s="319"/>
      <c r="JT4" s="319"/>
      <c r="JU4" s="319"/>
      <c r="JV4" s="319"/>
      <c r="JW4" s="319"/>
      <c r="JX4" s="319"/>
      <c r="JY4" s="319"/>
      <c r="JZ4" s="319"/>
      <c r="KA4" s="319"/>
      <c r="KB4" s="319"/>
      <c r="KC4" s="319"/>
      <c r="KD4" s="319"/>
      <c r="KE4" s="319"/>
      <c r="KF4" s="319"/>
      <c r="KG4" s="319"/>
      <c r="KH4" s="319"/>
      <c r="KI4" s="319"/>
      <c r="KJ4" s="319"/>
      <c r="KK4" s="319"/>
      <c r="KL4" s="319"/>
      <c r="KM4" s="319"/>
      <c r="KN4" s="319"/>
      <c r="KO4" s="319"/>
      <c r="KP4" s="319"/>
    </row>
    <row r="5" spans="1:302" s="648" customFormat="1" ht="21.75" customHeight="1">
      <c r="A5" s="2348"/>
      <c r="B5" s="2348"/>
      <c r="C5" s="2348"/>
      <c r="D5" s="2348"/>
      <c r="E5" s="2348"/>
      <c r="F5" s="2348"/>
      <c r="G5" s="2348"/>
      <c r="H5" s="2348"/>
      <c r="I5" s="2348"/>
      <c r="J5" s="2348"/>
      <c r="K5" s="2348"/>
      <c r="L5" s="2348"/>
      <c r="M5" s="2348"/>
      <c r="N5" s="2348"/>
      <c r="O5" s="2348"/>
      <c r="P5" s="2348"/>
      <c r="Q5" s="2348"/>
      <c r="R5" s="2348"/>
      <c r="S5" s="2348"/>
      <c r="T5" s="2348"/>
      <c r="U5" s="2348"/>
      <c r="V5" s="2348"/>
      <c r="W5" s="2348"/>
      <c r="X5" s="2348"/>
      <c r="Y5" s="2348"/>
      <c r="Z5" s="2348"/>
      <c r="AA5" s="2348"/>
      <c r="AB5" s="2348"/>
      <c r="AC5" s="2348"/>
      <c r="AD5" s="2348"/>
      <c r="AE5" s="2348"/>
      <c r="AF5" s="2348"/>
      <c r="AG5" s="2348"/>
      <c r="AH5" s="2348"/>
      <c r="AI5" s="2348"/>
      <c r="AJ5" s="2348"/>
      <c r="AK5" s="2348"/>
      <c r="AL5" s="2348"/>
      <c r="AM5" s="2348"/>
      <c r="AN5" s="2348"/>
      <c r="AO5" s="2348"/>
      <c r="AP5" s="2348"/>
      <c r="AQ5" s="2348"/>
      <c r="AR5" s="2348"/>
      <c r="AS5" s="2348"/>
      <c r="AT5" s="2348"/>
      <c r="AU5" s="2348"/>
      <c r="AV5" s="2348"/>
      <c r="AW5" s="2348"/>
      <c r="AX5" s="2348"/>
      <c r="AY5" s="2348"/>
      <c r="AZ5" s="2348"/>
      <c r="BA5" s="2348"/>
      <c r="BB5" s="2348"/>
      <c r="BC5" s="2348"/>
      <c r="BD5" s="2348"/>
      <c r="BE5" s="2348"/>
      <c r="BF5" s="2348"/>
      <c r="BG5" s="2348"/>
      <c r="BH5" s="2348"/>
      <c r="BI5" s="2348"/>
      <c r="BJ5" s="2348"/>
      <c r="BK5" s="2348"/>
      <c r="BL5" s="2348"/>
      <c r="BM5" s="2348"/>
      <c r="BN5" s="2348"/>
      <c r="BO5" s="2348"/>
      <c r="BP5" s="2348"/>
      <c r="BQ5" s="2348"/>
      <c r="BR5" s="2348"/>
      <c r="BS5" s="2348"/>
      <c r="BT5" s="2348"/>
      <c r="BU5" s="2348"/>
      <c r="BV5" s="2348"/>
      <c r="BW5" s="2348"/>
      <c r="BX5" s="2348"/>
      <c r="BY5" s="2348"/>
      <c r="BZ5" s="2348"/>
      <c r="CA5" s="2348"/>
      <c r="CB5" s="2348"/>
      <c r="CC5" s="2348"/>
      <c r="CD5" s="2348"/>
      <c r="CE5" s="2348"/>
      <c r="CF5" s="2348"/>
      <c r="CG5" s="2348"/>
      <c r="CH5" s="2348"/>
      <c r="CI5" s="2348"/>
      <c r="CJ5" s="2348"/>
      <c r="CK5" s="2348"/>
      <c r="CL5" s="2348"/>
      <c r="CM5" s="2348"/>
      <c r="CN5" s="2348"/>
      <c r="CO5" s="2348"/>
      <c r="CP5" s="2348"/>
      <c r="CQ5" s="2348"/>
      <c r="CR5" s="2348"/>
      <c r="CS5" s="2348"/>
      <c r="CT5" s="2348"/>
      <c r="CU5" s="2348"/>
      <c r="CV5" s="2348"/>
      <c r="CW5" s="2348"/>
      <c r="CX5" s="2348"/>
      <c r="CY5" s="2348"/>
      <c r="CZ5" s="2348"/>
      <c r="DA5" s="2348"/>
      <c r="DB5" s="2348"/>
      <c r="DC5" s="2348"/>
      <c r="DD5" s="2348"/>
      <c r="DE5" s="2348"/>
      <c r="DF5" s="2348"/>
      <c r="DG5" s="2348"/>
      <c r="DH5" s="2348"/>
      <c r="DI5" s="2348"/>
      <c r="DJ5" s="2348"/>
      <c r="DK5" s="2348"/>
      <c r="DL5" s="2348"/>
      <c r="DM5" s="2348"/>
      <c r="DN5" s="2348"/>
      <c r="DO5" s="2348"/>
      <c r="DP5" s="2348"/>
      <c r="DQ5" s="2348"/>
      <c r="DR5" s="2348"/>
      <c r="DS5" s="2348"/>
      <c r="DT5" s="2348"/>
      <c r="DU5" s="2348"/>
      <c r="DV5" s="2348"/>
      <c r="DW5" s="2348"/>
      <c r="DX5" s="2348"/>
      <c r="DY5" s="2348"/>
      <c r="DZ5" s="2348"/>
      <c r="EA5" s="2348"/>
      <c r="EB5" s="2348"/>
      <c r="EC5" s="2348"/>
      <c r="ED5" s="2348"/>
      <c r="EE5" s="2348"/>
      <c r="EF5" s="2348"/>
      <c r="EG5" s="2348"/>
      <c r="EH5" s="2348"/>
      <c r="EI5" s="2348"/>
      <c r="EJ5" s="2348"/>
      <c r="EK5" s="2348"/>
      <c r="EL5" s="2348"/>
      <c r="EM5" s="2348"/>
      <c r="EN5" s="2348"/>
      <c r="EO5" s="2348"/>
      <c r="EP5" s="2348"/>
      <c r="EQ5" s="2348"/>
      <c r="ER5" s="2348"/>
      <c r="ES5" s="2348"/>
      <c r="ET5" s="2348"/>
      <c r="EU5" s="2348"/>
      <c r="EV5" s="2348"/>
      <c r="EW5" s="2348"/>
      <c r="EX5" s="2348"/>
      <c r="EY5" s="2348"/>
      <c r="EZ5" s="2348"/>
      <c r="FA5" s="2348"/>
      <c r="FB5" s="2348"/>
      <c r="FC5" s="2348"/>
      <c r="FD5" s="2348"/>
      <c r="FE5" s="2348"/>
      <c r="FF5" s="2348"/>
      <c r="FG5" s="2348"/>
      <c r="FH5" s="1709" t="s">
        <v>158</v>
      </c>
      <c r="FI5" s="1719"/>
      <c r="FJ5" s="1719"/>
      <c r="FK5" s="1719"/>
      <c r="FL5" s="1719"/>
      <c r="FM5" s="1719"/>
      <c r="FN5" s="1719"/>
      <c r="FO5" s="1719"/>
      <c r="FP5" s="1719"/>
      <c r="FQ5" s="1719"/>
      <c r="FR5" s="1719"/>
      <c r="FS5" s="1719"/>
      <c r="FT5" s="1719"/>
      <c r="FU5" s="1719"/>
      <c r="FV5" s="1719"/>
      <c r="FW5" s="1719"/>
      <c r="FX5" s="1719"/>
      <c r="FY5" s="1719"/>
      <c r="FZ5" s="1719"/>
      <c r="GA5" s="1719"/>
      <c r="GB5" s="1719"/>
      <c r="GC5" s="1719"/>
      <c r="GD5" s="1719"/>
      <c r="GE5" s="1719"/>
      <c r="GF5" s="1719"/>
      <c r="GG5" s="1719"/>
      <c r="GH5" s="1719"/>
      <c r="GI5" s="1719"/>
      <c r="GJ5" s="1719"/>
      <c r="GK5" s="1719"/>
      <c r="GL5" s="1719"/>
      <c r="GM5" s="1719"/>
      <c r="GN5" s="1719"/>
      <c r="GO5" s="1719"/>
      <c r="GP5" s="1719"/>
      <c r="GQ5" s="1719"/>
      <c r="GR5" s="1719"/>
      <c r="GS5" s="1719"/>
      <c r="GT5" s="1719"/>
      <c r="GU5" s="1719"/>
      <c r="GV5" s="1719"/>
      <c r="GW5" s="1719"/>
      <c r="GX5" s="1719"/>
      <c r="GY5" s="1719"/>
      <c r="GZ5" s="1719"/>
      <c r="HA5" s="1719"/>
      <c r="HB5" s="1719"/>
      <c r="HC5" s="1719"/>
      <c r="HD5" s="1719"/>
      <c r="HE5" s="1719"/>
      <c r="HF5" s="1719"/>
      <c r="HG5" s="1719"/>
      <c r="HH5" s="1719"/>
      <c r="HI5" s="1719"/>
      <c r="HJ5" s="1719"/>
      <c r="HK5" s="1719"/>
      <c r="HL5" s="1719"/>
      <c r="HM5" s="1719"/>
      <c r="HN5" s="1719"/>
      <c r="HO5" s="1719"/>
      <c r="HP5" s="1719"/>
      <c r="HQ5" s="1719"/>
      <c r="HR5" s="1719"/>
      <c r="HS5" s="1719"/>
      <c r="HT5" s="1719"/>
      <c r="HU5" s="1719"/>
      <c r="HV5" s="1719"/>
      <c r="HW5" s="1719"/>
      <c r="HX5" s="1719"/>
      <c r="HY5" s="1719"/>
      <c r="HZ5" s="1719"/>
      <c r="IA5" s="1719"/>
      <c r="IB5" s="1719"/>
      <c r="IC5" s="1719"/>
      <c r="ID5" s="1719"/>
      <c r="IE5" s="1719"/>
      <c r="IF5" s="1719"/>
      <c r="IG5" s="1719"/>
      <c r="IH5" s="1719"/>
      <c r="II5" s="1719"/>
      <c r="IJ5" s="1719"/>
      <c r="IK5" s="1719"/>
      <c r="IL5" s="1719"/>
      <c r="IM5" s="1719"/>
      <c r="IN5" s="1719"/>
      <c r="IO5" s="1719"/>
      <c r="IP5" s="1719"/>
      <c r="IQ5" s="1719"/>
      <c r="IR5" s="1719"/>
      <c r="IS5" s="1719"/>
      <c r="IT5" s="1719"/>
      <c r="IU5" s="1719"/>
      <c r="IV5" s="1719"/>
      <c r="IW5" s="1719"/>
      <c r="IX5" s="1719"/>
      <c r="IY5" s="1719"/>
      <c r="IZ5" s="1719"/>
      <c r="JA5" s="1719"/>
      <c r="JB5" s="1719"/>
      <c r="JC5" s="1719"/>
      <c r="JD5" s="1719"/>
      <c r="JE5" s="1719"/>
      <c r="JF5" s="1719"/>
      <c r="JG5" s="1719"/>
      <c r="JH5" s="1719"/>
      <c r="JI5" s="1719"/>
      <c r="JJ5" s="1719"/>
      <c r="JK5" s="1719"/>
      <c r="JL5" s="1719"/>
      <c r="JM5" s="1719"/>
      <c r="JN5" s="1719"/>
      <c r="JO5" s="1719"/>
      <c r="JP5" s="1719"/>
      <c r="JQ5" s="1719"/>
      <c r="JR5" s="1719"/>
      <c r="JS5" s="1719"/>
      <c r="JT5" s="1719"/>
      <c r="JU5" s="1719"/>
      <c r="JV5" s="1719"/>
      <c r="JW5" s="1719"/>
      <c r="JX5" s="1719"/>
      <c r="JY5" s="1719"/>
      <c r="JZ5" s="1719"/>
      <c r="KA5" s="1719"/>
      <c r="KB5" s="1719"/>
      <c r="KC5" s="1719"/>
      <c r="KD5" s="1719"/>
      <c r="KE5" s="1719"/>
      <c r="KF5" s="1719"/>
      <c r="KG5" s="1719"/>
      <c r="KH5" s="1719"/>
      <c r="KI5" s="1719"/>
      <c r="KJ5" s="1719"/>
      <c r="KK5" s="1719"/>
      <c r="KL5" s="1719"/>
      <c r="KM5" s="1719"/>
      <c r="KN5" s="1719"/>
      <c r="KO5" s="1719"/>
      <c r="KP5" s="1719"/>
    </row>
    <row r="6" spans="1:302" ht="31.5" customHeight="1">
      <c r="A6" s="2322"/>
      <c r="B6" s="2349">
        <v>2013</v>
      </c>
      <c r="C6" s="2349"/>
      <c r="D6" s="2349"/>
      <c r="E6" s="2349"/>
      <c r="F6" s="2349"/>
      <c r="G6" s="2349"/>
      <c r="H6" s="2349"/>
      <c r="I6" s="2349"/>
      <c r="J6" s="2349"/>
      <c r="K6" s="2349"/>
      <c r="L6" s="2349"/>
      <c r="M6" s="2349"/>
      <c r="N6" s="2349">
        <v>2014</v>
      </c>
      <c r="O6" s="2349"/>
      <c r="P6" s="2349"/>
      <c r="Q6" s="2349"/>
      <c r="R6" s="2349"/>
      <c r="S6" s="2349"/>
      <c r="T6" s="2349"/>
      <c r="U6" s="2349"/>
      <c r="V6" s="2349"/>
      <c r="W6" s="2349"/>
      <c r="X6" s="2349"/>
      <c r="Y6" s="2349"/>
      <c r="Z6" s="2349">
        <v>2015</v>
      </c>
      <c r="AA6" s="2349"/>
      <c r="AB6" s="2349"/>
      <c r="AC6" s="2349"/>
      <c r="AD6" s="2349"/>
      <c r="AE6" s="2349"/>
      <c r="AF6" s="2349"/>
      <c r="AG6" s="2349"/>
      <c r="AH6" s="2349"/>
      <c r="AI6" s="2349"/>
      <c r="AJ6" s="2349"/>
      <c r="AK6" s="2349"/>
      <c r="AL6" s="809">
        <v>2016</v>
      </c>
      <c r="AM6" s="809"/>
      <c r="AN6" s="809"/>
      <c r="AO6" s="809"/>
      <c r="AP6" s="809"/>
      <c r="AQ6" s="809"/>
      <c r="AR6" s="809"/>
      <c r="AS6" s="809"/>
      <c r="AT6" s="809"/>
      <c r="AU6" s="809"/>
      <c r="AV6" s="2349">
        <v>2016</v>
      </c>
      <c r="AW6" s="2349"/>
      <c r="AX6" s="809">
        <v>2017</v>
      </c>
      <c r="AY6" s="809"/>
      <c r="AZ6" s="809"/>
      <c r="BA6" s="809"/>
      <c r="BB6" s="809"/>
      <c r="BC6" s="809"/>
      <c r="BD6" s="809"/>
      <c r="BE6" s="809"/>
      <c r="BF6" s="809"/>
      <c r="BG6" s="809"/>
      <c r="BH6" s="841"/>
      <c r="BI6" s="832">
        <v>2017</v>
      </c>
      <c r="BJ6" s="833">
        <v>2018</v>
      </c>
      <c r="BK6" s="833"/>
      <c r="BL6" s="833"/>
      <c r="BM6" s="833"/>
      <c r="BN6" s="833"/>
      <c r="BO6" s="833"/>
      <c r="BP6" s="833"/>
      <c r="BQ6" s="833"/>
      <c r="BR6" s="833"/>
      <c r="BS6" s="833"/>
      <c r="BT6" s="833"/>
      <c r="BU6" s="832">
        <v>2018</v>
      </c>
      <c r="BV6" s="2341">
        <v>2019</v>
      </c>
      <c r="BW6" s="2341"/>
      <c r="BX6" s="2341"/>
      <c r="BY6" s="2341"/>
      <c r="BZ6" s="2341"/>
      <c r="CA6" s="2341"/>
      <c r="CB6" s="2341"/>
      <c r="CC6" s="2341"/>
      <c r="CD6" s="2341"/>
      <c r="CE6" s="2341"/>
      <c r="CF6" s="2341"/>
      <c r="CG6" s="2341"/>
      <c r="CH6" s="834">
        <v>2020</v>
      </c>
      <c r="CI6" s="834">
        <v>2020</v>
      </c>
      <c r="CJ6" s="834">
        <v>2020</v>
      </c>
      <c r="CK6" s="834">
        <v>2020</v>
      </c>
      <c r="CL6" s="834">
        <v>2020</v>
      </c>
      <c r="CM6" s="834">
        <v>2020</v>
      </c>
      <c r="CN6" s="834">
        <v>2020</v>
      </c>
      <c r="CO6" s="834">
        <v>2020</v>
      </c>
      <c r="CP6" s="834">
        <v>2020</v>
      </c>
      <c r="CQ6" s="834">
        <v>2020</v>
      </c>
      <c r="CR6" s="834">
        <v>2020</v>
      </c>
      <c r="CS6" s="834">
        <v>2020</v>
      </c>
      <c r="CT6" s="2318">
        <v>2021</v>
      </c>
      <c r="CU6" s="2319"/>
      <c r="CV6" s="2319"/>
      <c r="CW6" s="2319"/>
      <c r="CX6" s="2319"/>
      <c r="CY6" s="2319"/>
      <c r="CZ6" s="2319"/>
      <c r="DA6" s="2319"/>
      <c r="DB6" s="2319"/>
      <c r="DC6" s="2319"/>
      <c r="DD6" s="2319"/>
      <c r="DE6" s="2320"/>
      <c r="DF6" s="2321">
        <v>2022</v>
      </c>
      <c r="DG6" s="2319"/>
      <c r="DH6" s="2319"/>
      <c r="DI6" s="2319"/>
      <c r="DJ6" s="2319"/>
      <c r="DK6" s="2319"/>
      <c r="DL6" s="2319"/>
      <c r="DM6" s="2319"/>
      <c r="DN6" s="2319"/>
      <c r="DO6" s="2319"/>
      <c r="DP6" s="2319"/>
      <c r="DQ6" s="2320"/>
      <c r="DR6" s="2321">
        <v>2023</v>
      </c>
      <c r="DS6" s="2319"/>
      <c r="DT6" s="2319"/>
      <c r="DU6" s="2319"/>
      <c r="DV6" s="2319"/>
      <c r="DW6" s="2319"/>
      <c r="DX6" s="2319"/>
      <c r="DY6" s="2319"/>
      <c r="DZ6" s="2319"/>
      <c r="EA6" s="2319"/>
      <c r="EB6" s="2319"/>
      <c r="EC6" s="2320"/>
      <c r="ED6" s="2321">
        <v>2024</v>
      </c>
      <c r="EE6" s="2319"/>
      <c r="EF6" s="2319"/>
      <c r="EG6" s="2319"/>
      <c r="EH6" s="2319"/>
      <c r="EI6" s="2319"/>
      <c r="EJ6" s="2319"/>
      <c r="EK6" s="2319"/>
      <c r="EL6" s="2319"/>
      <c r="EM6" s="2319"/>
      <c r="EN6" s="2319"/>
      <c r="EO6" s="2320"/>
      <c r="EP6" s="2321">
        <v>2025</v>
      </c>
      <c r="EQ6" s="2319"/>
      <c r="ER6" s="2319"/>
      <c r="ES6" s="2319"/>
      <c r="ET6" s="2319"/>
      <c r="EU6" s="2319"/>
      <c r="EV6" s="2319"/>
      <c r="EW6" s="2319"/>
      <c r="EX6" s="2319"/>
      <c r="EY6" s="2319"/>
      <c r="EZ6" s="2319"/>
      <c r="FA6" s="2320"/>
      <c r="FB6" s="2321">
        <v>2026</v>
      </c>
      <c r="FC6" s="2319"/>
      <c r="FD6" s="2319"/>
      <c r="FE6" s="2319"/>
      <c r="FF6" s="2319"/>
      <c r="FG6" s="2320"/>
      <c r="FH6" s="2345"/>
    </row>
    <row r="7" spans="1:302" ht="31.5" customHeight="1">
      <c r="A7" s="2323"/>
      <c r="B7" s="810" t="s">
        <v>1948</v>
      </c>
      <c r="C7" s="810" t="s">
        <v>1959</v>
      </c>
      <c r="D7" s="810" t="s">
        <v>1958</v>
      </c>
      <c r="E7" s="810" t="s">
        <v>1957</v>
      </c>
      <c r="F7" s="810" t="s">
        <v>1956</v>
      </c>
      <c r="G7" s="810" t="s">
        <v>1955</v>
      </c>
      <c r="H7" s="810" t="s">
        <v>1954</v>
      </c>
      <c r="I7" s="810" t="s">
        <v>1953</v>
      </c>
      <c r="J7" s="810" t="s">
        <v>1952</v>
      </c>
      <c r="K7" s="810" t="s">
        <v>1951</v>
      </c>
      <c r="L7" s="810" t="s">
        <v>1950</v>
      </c>
      <c r="M7" s="810" t="s">
        <v>1949</v>
      </c>
      <c r="N7" s="810" t="s">
        <v>1948</v>
      </c>
      <c r="O7" s="810" t="s">
        <v>1959</v>
      </c>
      <c r="P7" s="810" t="s">
        <v>1958</v>
      </c>
      <c r="Q7" s="810" t="s">
        <v>1957</v>
      </c>
      <c r="R7" s="810" t="s">
        <v>1956</v>
      </c>
      <c r="S7" s="810" t="s">
        <v>1955</v>
      </c>
      <c r="T7" s="810" t="s">
        <v>1954</v>
      </c>
      <c r="U7" s="810" t="s">
        <v>1953</v>
      </c>
      <c r="V7" s="810" t="s">
        <v>1952</v>
      </c>
      <c r="W7" s="810" t="s">
        <v>1951</v>
      </c>
      <c r="X7" s="810" t="s">
        <v>1950</v>
      </c>
      <c r="Y7" s="810" t="s">
        <v>1949</v>
      </c>
      <c r="Z7" s="810" t="s">
        <v>1948</v>
      </c>
      <c r="AA7" s="810" t="s">
        <v>1959</v>
      </c>
      <c r="AB7" s="810" t="s">
        <v>1958</v>
      </c>
      <c r="AC7" s="810" t="s">
        <v>1957</v>
      </c>
      <c r="AD7" s="810" t="s">
        <v>1956</v>
      </c>
      <c r="AE7" s="810" t="s">
        <v>1960</v>
      </c>
      <c r="AF7" s="810" t="s">
        <v>1964</v>
      </c>
      <c r="AG7" s="810" t="s">
        <v>1953</v>
      </c>
      <c r="AH7" s="810" t="s">
        <v>1952</v>
      </c>
      <c r="AI7" s="810" t="s">
        <v>1951</v>
      </c>
      <c r="AJ7" s="810" t="s">
        <v>1950</v>
      </c>
      <c r="AK7" s="810" t="s">
        <v>1949</v>
      </c>
      <c r="AL7" s="810" t="s">
        <v>1948</v>
      </c>
      <c r="AM7" s="810" t="s">
        <v>1959</v>
      </c>
      <c r="AN7" s="810" t="s">
        <v>1958</v>
      </c>
      <c r="AO7" s="810" t="s">
        <v>1957</v>
      </c>
      <c r="AP7" s="810" t="s">
        <v>1956</v>
      </c>
      <c r="AQ7" s="810" t="s">
        <v>1955</v>
      </c>
      <c r="AR7" s="810" t="s">
        <v>1954</v>
      </c>
      <c r="AS7" s="810" t="s">
        <v>1953</v>
      </c>
      <c r="AT7" s="810" t="s">
        <v>1952</v>
      </c>
      <c r="AU7" s="810" t="s">
        <v>1951</v>
      </c>
      <c r="AV7" s="810" t="s">
        <v>1950</v>
      </c>
      <c r="AW7" s="810" t="s">
        <v>1949</v>
      </c>
      <c r="AX7" s="810" t="s">
        <v>1948</v>
      </c>
      <c r="AY7" s="810" t="s">
        <v>1947</v>
      </c>
      <c r="AZ7" s="810" t="s">
        <v>1946</v>
      </c>
      <c r="BA7" s="810" t="s">
        <v>1945</v>
      </c>
      <c r="BB7" s="810" t="s">
        <v>1965</v>
      </c>
      <c r="BC7" s="810" t="s">
        <v>1966</v>
      </c>
      <c r="BD7" s="810" t="s">
        <v>1975</v>
      </c>
      <c r="BE7" s="810" t="s">
        <v>1985</v>
      </c>
      <c r="BF7" s="810" t="s">
        <v>1995</v>
      </c>
      <c r="BG7" s="810" t="s">
        <v>2008</v>
      </c>
      <c r="BH7" s="837" t="s">
        <v>2019</v>
      </c>
      <c r="BI7" s="847" t="s">
        <v>1949</v>
      </c>
      <c r="BJ7" s="847" t="s">
        <v>1948</v>
      </c>
      <c r="BK7" s="847" t="s">
        <v>1947</v>
      </c>
      <c r="BL7" s="847" t="s">
        <v>1946</v>
      </c>
      <c r="BM7" s="847" t="s">
        <v>1945</v>
      </c>
      <c r="BN7" s="847" t="s">
        <v>1965</v>
      </c>
      <c r="BO7" s="847" t="s">
        <v>1966</v>
      </c>
      <c r="BP7" s="847" t="s">
        <v>1975</v>
      </c>
      <c r="BQ7" s="847" t="s">
        <v>1985</v>
      </c>
      <c r="BR7" s="847" t="s">
        <v>1995</v>
      </c>
      <c r="BS7" s="847" t="s">
        <v>2008</v>
      </c>
      <c r="BT7" s="847" t="s">
        <v>2019</v>
      </c>
      <c r="BU7" s="847" t="s">
        <v>1949</v>
      </c>
      <c r="BV7" s="847" t="s">
        <v>1948</v>
      </c>
      <c r="BW7" s="847" t="s">
        <v>1947</v>
      </c>
      <c r="BX7" s="847" t="s">
        <v>1946</v>
      </c>
      <c r="BY7" s="847" t="s">
        <v>1945</v>
      </c>
      <c r="BZ7" s="847" t="s">
        <v>1965</v>
      </c>
      <c r="CA7" s="847" t="s">
        <v>1966</v>
      </c>
      <c r="CB7" s="847" t="s">
        <v>1975</v>
      </c>
      <c r="CC7" s="847" t="s">
        <v>1985</v>
      </c>
      <c r="CD7" s="847" t="s">
        <v>1995</v>
      </c>
      <c r="CE7" s="847" t="s">
        <v>2008</v>
      </c>
      <c r="CF7" s="847" t="s">
        <v>2019</v>
      </c>
      <c r="CG7" s="847" t="s">
        <v>1949</v>
      </c>
      <c r="CH7" s="847" t="s">
        <v>1948</v>
      </c>
      <c r="CI7" s="847" t="s">
        <v>1947</v>
      </c>
      <c r="CJ7" s="847" t="s">
        <v>1946</v>
      </c>
      <c r="CK7" s="847" t="s">
        <v>1945</v>
      </c>
      <c r="CL7" s="847" t="s">
        <v>1965</v>
      </c>
      <c r="CM7" s="847" t="s">
        <v>2413</v>
      </c>
      <c r="CN7" s="847" t="s">
        <v>2419</v>
      </c>
      <c r="CO7" s="847" t="s">
        <v>1985</v>
      </c>
      <c r="CP7" s="847" t="s">
        <v>1995</v>
      </c>
      <c r="CQ7" s="847" t="s">
        <v>2008</v>
      </c>
      <c r="CR7" s="847" t="s">
        <v>2019</v>
      </c>
      <c r="CS7" s="847" t="s">
        <v>1949</v>
      </c>
      <c r="CT7" s="847" t="s">
        <v>1948</v>
      </c>
      <c r="CU7" s="847" t="s">
        <v>1947</v>
      </c>
      <c r="CV7" s="847" t="s">
        <v>1946</v>
      </c>
      <c r="CW7" s="847" t="s">
        <v>1945</v>
      </c>
      <c r="CX7" s="847" t="s">
        <v>1965</v>
      </c>
      <c r="CY7" s="847" t="s">
        <v>1966</v>
      </c>
      <c r="CZ7" s="847" t="s">
        <v>1975</v>
      </c>
      <c r="DA7" s="847" t="s">
        <v>1985</v>
      </c>
      <c r="DB7" s="847" t="s">
        <v>1995</v>
      </c>
      <c r="DC7" s="847" t="s">
        <v>2008</v>
      </c>
      <c r="DD7" s="884" t="s">
        <v>2019</v>
      </c>
      <c r="DE7" s="884" t="s">
        <v>1949</v>
      </c>
      <c r="DF7" s="884" t="s">
        <v>1948</v>
      </c>
      <c r="DG7" s="848" t="s">
        <v>1947</v>
      </c>
      <c r="DH7" s="848" t="s">
        <v>1946</v>
      </c>
      <c r="DI7" s="848" t="s">
        <v>1945</v>
      </c>
      <c r="DJ7" s="848" t="s">
        <v>1965</v>
      </c>
      <c r="DK7" s="848" t="s">
        <v>1966</v>
      </c>
      <c r="DL7" s="848" t="s">
        <v>1975</v>
      </c>
      <c r="DM7" s="848" t="s">
        <v>1985</v>
      </c>
      <c r="DN7" s="848" t="s">
        <v>1995</v>
      </c>
      <c r="DO7" s="848" t="s">
        <v>2008</v>
      </c>
      <c r="DP7" s="848" t="s">
        <v>2019</v>
      </c>
      <c r="DQ7" s="848" t="s">
        <v>1949</v>
      </c>
      <c r="DR7" s="848" t="s">
        <v>1948</v>
      </c>
      <c r="DS7" s="848" t="s">
        <v>1947</v>
      </c>
      <c r="DT7" s="848" t="s">
        <v>1946</v>
      </c>
      <c r="DU7" s="848" t="s">
        <v>1945</v>
      </c>
      <c r="DV7" s="848" t="s">
        <v>1965</v>
      </c>
      <c r="DW7" s="848" t="s">
        <v>1966</v>
      </c>
      <c r="DX7" s="848" t="s">
        <v>1975</v>
      </c>
      <c r="DY7" s="848" t="s">
        <v>1985</v>
      </c>
      <c r="DZ7" s="848" t="s">
        <v>1995</v>
      </c>
      <c r="EA7" s="848" t="s">
        <v>2008</v>
      </c>
      <c r="EB7" s="848" t="s">
        <v>2019</v>
      </c>
      <c r="EC7" s="848" t="s">
        <v>1949</v>
      </c>
      <c r="ED7" s="848" t="s">
        <v>1948</v>
      </c>
      <c r="EE7" s="848" t="s">
        <v>1947</v>
      </c>
      <c r="EF7" s="848" t="s">
        <v>1946</v>
      </c>
      <c r="EG7" s="848" t="s">
        <v>1945</v>
      </c>
      <c r="EH7" s="848" t="s">
        <v>1965</v>
      </c>
      <c r="EI7" s="848" t="s">
        <v>1966</v>
      </c>
      <c r="EJ7" s="848" t="s">
        <v>1975</v>
      </c>
      <c r="EK7" s="848" t="s">
        <v>1985</v>
      </c>
      <c r="EL7" s="848" t="s">
        <v>1995</v>
      </c>
      <c r="EM7" s="848" t="s">
        <v>2008</v>
      </c>
      <c r="EN7" s="848" t="s">
        <v>2019</v>
      </c>
      <c r="EO7" s="848" t="s">
        <v>1949</v>
      </c>
      <c r="EP7" s="848" t="s">
        <v>1948</v>
      </c>
      <c r="EQ7" s="848" t="s">
        <v>1947</v>
      </c>
      <c r="ER7" s="848" t="s">
        <v>1946</v>
      </c>
      <c r="ES7" s="884" t="s">
        <v>1945</v>
      </c>
      <c r="ET7" s="884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46"/>
    </row>
    <row r="8" spans="1:302" ht="31.5" customHeight="1">
      <c r="A8" s="2324"/>
      <c r="B8" s="812"/>
      <c r="C8" s="812"/>
      <c r="D8" s="812"/>
      <c r="E8" s="812"/>
      <c r="F8" s="812"/>
      <c r="G8" s="812"/>
      <c r="H8" s="812"/>
      <c r="I8" s="812"/>
      <c r="J8" s="812"/>
      <c r="K8" s="812"/>
      <c r="L8" s="812"/>
      <c r="M8" s="812"/>
      <c r="N8" s="812"/>
      <c r="O8" s="812"/>
      <c r="P8" s="812"/>
      <c r="Q8" s="812"/>
      <c r="R8" s="812"/>
      <c r="S8" s="812"/>
      <c r="T8" s="812"/>
      <c r="U8" s="812"/>
      <c r="V8" s="812"/>
      <c r="W8" s="812"/>
      <c r="X8" s="812"/>
      <c r="Y8" s="812"/>
      <c r="Z8" s="812"/>
      <c r="AA8" s="812"/>
      <c r="AB8" s="812"/>
      <c r="AC8" s="812"/>
      <c r="AD8" s="812"/>
      <c r="AE8" s="812"/>
      <c r="AF8" s="812"/>
      <c r="AG8" s="812"/>
      <c r="AH8" s="812"/>
      <c r="AI8" s="812"/>
      <c r="AJ8" s="812"/>
      <c r="AK8" s="812"/>
      <c r="AL8" s="812"/>
      <c r="AM8" s="812"/>
      <c r="AN8" s="812"/>
      <c r="AO8" s="812"/>
      <c r="AP8" s="812"/>
      <c r="AQ8" s="812"/>
      <c r="AR8" s="812"/>
      <c r="AS8" s="812"/>
      <c r="AT8" s="812"/>
      <c r="AU8" s="812"/>
      <c r="AV8" s="812"/>
      <c r="AW8" s="812"/>
      <c r="AX8" s="812"/>
      <c r="AY8" s="812"/>
      <c r="AZ8" s="812"/>
      <c r="BA8" s="812"/>
      <c r="BB8" s="812"/>
      <c r="BC8" s="812"/>
      <c r="BD8" s="812"/>
      <c r="BE8" s="812"/>
      <c r="BF8" s="812"/>
      <c r="BG8" s="812"/>
      <c r="BH8" s="1741"/>
      <c r="BI8" s="1730" t="s">
        <v>3174</v>
      </c>
      <c r="BJ8" s="1730" t="s">
        <v>3174</v>
      </c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 t="s">
        <v>3174</v>
      </c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 t="s">
        <v>3174</v>
      </c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 t="s">
        <v>3174</v>
      </c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 t="s">
        <v>3174</v>
      </c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 t="s">
        <v>3174</v>
      </c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47"/>
    </row>
    <row r="9" spans="1:302" ht="21">
      <c r="A9" s="1722" t="s">
        <v>2740</v>
      </c>
      <c r="B9" s="780">
        <v>1428.183906</v>
      </c>
      <c r="C9" s="780">
        <v>1149.18645735</v>
      </c>
      <c r="D9" s="780">
        <v>1139.6423065099998</v>
      </c>
      <c r="E9" s="780">
        <v>1230.9027256600002</v>
      </c>
      <c r="F9" s="780">
        <v>1283.85502954</v>
      </c>
      <c r="G9" s="780">
        <v>1341.61179952</v>
      </c>
      <c r="H9" s="780">
        <v>1371.82922347</v>
      </c>
      <c r="I9" s="780">
        <v>1412.9474226100001</v>
      </c>
      <c r="J9" s="780">
        <v>1467.32344638</v>
      </c>
      <c r="K9" s="780">
        <v>1456.38456032</v>
      </c>
      <c r="L9" s="780">
        <v>1461.20563808</v>
      </c>
      <c r="M9" s="781">
        <v>1516.4168226499999</v>
      </c>
      <c r="N9" s="781">
        <v>1841.3114409099999</v>
      </c>
      <c r="O9" s="781">
        <v>1801.4803269099998</v>
      </c>
      <c r="P9" s="781">
        <v>1830.6190634100003</v>
      </c>
      <c r="Q9" s="781">
        <v>1907.9842716100002</v>
      </c>
      <c r="R9" s="781">
        <v>1925.2843710400002</v>
      </c>
      <c r="S9" s="781">
        <v>1965.7615578500004</v>
      </c>
      <c r="T9" s="781">
        <v>1994.8483600300001</v>
      </c>
      <c r="U9" s="781">
        <v>2008.4568079000001</v>
      </c>
      <c r="V9" s="781">
        <v>2021.0187138399999</v>
      </c>
      <c r="W9" s="781">
        <v>2078.34941669</v>
      </c>
      <c r="X9" s="781">
        <v>2066.6721560299998</v>
      </c>
      <c r="Y9" s="781">
        <v>2027.84494105</v>
      </c>
      <c r="Z9" s="781">
        <v>2007.0901509099999</v>
      </c>
      <c r="AA9" s="781">
        <v>2248.13395915</v>
      </c>
      <c r="AB9" s="781">
        <v>2238.0025100100002</v>
      </c>
      <c r="AC9" s="781">
        <v>2210.9461330099998</v>
      </c>
      <c r="AD9" s="781">
        <v>2182.7752435699999</v>
      </c>
      <c r="AE9" s="781">
        <v>2172.1726600900001</v>
      </c>
      <c r="AF9" s="781">
        <v>2177.4185807900003</v>
      </c>
      <c r="AG9" s="781">
        <v>2135.7916002400002</v>
      </c>
      <c r="AH9" s="781">
        <v>1968.91817251</v>
      </c>
      <c r="AI9" s="781">
        <v>1610.2726114500001</v>
      </c>
      <c r="AJ9" s="781">
        <v>1818.6654537099998</v>
      </c>
      <c r="AK9" s="781">
        <v>1948.3333018399999</v>
      </c>
      <c r="AL9" s="781">
        <v>1881.53008694</v>
      </c>
      <c r="AM9" s="781">
        <v>1723.0961431700002</v>
      </c>
      <c r="AN9" s="781">
        <v>1369.0636536899999</v>
      </c>
      <c r="AO9" s="781">
        <v>1208.0488752299998</v>
      </c>
      <c r="AP9" s="781">
        <v>1211.70943842</v>
      </c>
      <c r="AQ9" s="781">
        <v>1325.8798217900001</v>
      </c>
      <c r="AR9" s="781">
        <v>1306.0223551099998</v>
      </c>
      <c r="AS9" s="781">
        <v>1320.3134043</v>
      </c>
      <c r="AT9" s="781">
        <v>1332.11418411</v>
      </c>
      <c r="AU9" s="781">
        <v>1208.6823844099999</v>
      </c>
      <c r="AV9" s="781">
        <v>1238.3630109599999</v>
      </c>
      <c r="AW9" s="781">
        <v>1263.1095771600001</v>
      </c>
      <c r="AX9" s="781">
        <v>1298.45241844</v>
      </c>
      <c r="AY9" s="781">
        <v>1254.3710778200002</v>
      </c>
      <c r="AZ9" s="781">
        <v>1204.3293183199999</v>
      </c>
      <c r="BA9" s="781">
        <v>1206.1408741700002</v>
      </c>
      <c r="BB9" s="781">
        <v>1071.5953943</v>
      </c>
      <c r="BC9" s="781">
        <v>1040.3336183599999</v>
      </c>
      <c r="BD9" s="781">
        <v>633.34679924</v>
      </c>
      <c r="BE9" s="781">
        <v>638.24987032000001</v>
      </c>
      <c r="BF9" s="781">
        <v>632.05855556999995</v>
      </c>
      <c r="BG9" s="781">
        <v>615.22808975999999</v>
      </c>
      <c r="BH9" s="826">
        <v>625.64178061999996</v>
      </c>
      <c r="BI9" s="815">
        <v>612.36645699999997</v>
      </c>
      <c r="BJ9" s="815">
        <v>614.72017367000001</v>
      </c>
      <c r="BK9" s="815">
        <v>651.64406981000002</v>
      </c>
      <c r="BL9" s="815">
        <v>647.4186706800001</v>
      </c>
      <c r="BM9" s="815">
        <v>669.29635422000001</v>
      </c>
      <c r="BN9" s="815">
        <v>685.77672811000002</v>
      </c>
      <c r="BO9" s="815">
        <v>677.00939595999989</v>
      </c>
      <c r="BP9" s="815">
        <v>664.36494074999996</v>
      </c>
      <c r="BQ9" s="815">
        <v>676.72343440999998</v>
      </c>
      <c r="BR9" s="815">
        <v>671.8785015200001</v>
      </c>
      <c r="BS9" s="815">
        <v>681.46482938999998</v>
      </c>
      <c r="BT9" s="815">
        <v>679.59337290999997</v>
      </c>
      <c r="BU9" s="815">
        <v>700.64651284000001</v>
      </c>
      <c r="BV9" s="815">
        <v>701.46210560999998</v>
      </c>
      <c r="BW9" s="815">
        <v>720.27792026999998</v>
      </c>
      <c r="BX9" s="815">
        <v>742.80116336000003</v>
      </c>
      <c r="BY9" s="815">
        <v>757.10349629999996</v>
      </c>
      <c r="BZ9" s="815">
        <v>766.29979461999994</v>
      </c>
      <c r="CA9" s="815">
        <v>777.35009609999997</v>
      </c>
      <c r="CB9" s="815">
        <v>895.79496054999993</v>
      </c>
      <c r="CC9" s="815">
        <v>856.11254572999997</v>
      </c>
      <c r="CD9" s="815">
        <v>866.21003390999999</v>
      </c>
      <c r="CE9" s="815">
        <v>898.55133841999987</v>
      </c>
      <c r="CF9" s="815">
        <v>924.54653706999989</v>
      </c>
      <c r="CG9" s="815">
        <v>869.43478271000004</v>
      </c>
      <c r="CH9" s="815">
        <v>1135.2953768500001</v>
      </c>
      <c r="CI9" s="815">
        <v>1132.1902052399998</v>
      </c>
      <c r="CJ9" s="815">
        <v>1123.7267305099999</v>
      </c>
      <c r="CK9" s="815">
        <v>1132.2547219600001</v>
      </c>
      <c r="CL9" s="815">
        <v>1153.8423967900001</v>
      </c>
      <c r="CM9" s="815">
        <v>1164.4747104199998</v>
      </c>
      <c r="CN9" s="815">
        <v>1183.6976434199998</v>
      </c>
      <c r="CO9" s="815">
        <v>1187.6001615399998</v>
      </c>
      <c r="CP9" s="815">
        <v>1182.60945509</v>
      </c>
      <c r="CQ9" s="815">
        <v>1221.48748387</v>
      </c>
      <c r="CR9" s="815">
        <v>1375.1527625599999</v>
      </c>
      <c r="CS9" s="815">
        <v>1241.2799363700001</v>
      </c>
      <c r="CT9" s="815">
        <v>972.77601623999999</v>
      </c>
      <c r="CU9" s="815">
        <v>899.53158281000003</v>
      </c>
      <c r="CV9" s="815">
        <v>910.73295687999996</v>
      </c>
      <c r="CW9" s="815">
        <v>905.59455224999999</v>
      </c>
      <c r="CX9" s="815">
        <v>915.36763212000005</v>
      </c>
      <c r="CY9" s="815">
        <v>910.15272129000004</v>
      </c>
      <c r="CZ9" s="815">
        <v>906.00177702999997</v>
      </c>
      <c r="DA9" s="815">
        <v>860.10702729000002</v>
      </c>
      <c r="DB9" s="815">
        <v>894.29216449</v>
      </c>
      <c r="DC9" s="815">
        <v>931.10649753999996</v>
      </c>
      <c r="DD9" s="885">
        <v>924.56066939000004</v>
      </c>
      <c r="DE9" s="885">
        <v>960.22491319000005</v>
      </c>
      <c r="DF9" s="885">
        <v>948.28755951000005</v>
      </c>
      <c r="DG9" s="838">
        <v>985.04823421000003</v>
      </c>
      <c r="DH9" s="838">
        <v>1004.56486473</v>
      </c>
      <c r="DI9" s="838">
        <v>1013.29004033</v>
      </c>
      <c r="DJ9" s="838">
        <v>981.09731834000002</v>
      </c>
      <c r="DK9" s="838">
        <v>980.58902658</v>
      </c>
      <c r="DL9" s="838">
        <v>1037.67454316</v>
      </c>
      <c r="DM9" s="838">
        <v>1061.30586866</v>
      </c>
      <c r="DN9" s="838">
        <v>1057.6198145200001</v>
      </c>
      <c r="DO9" s="838">
        <v>1068.7433036299999</v>
      </c>
      <c r="DP9" s="838">
        <v>1052.0862463799999</v>
      </c>
      <c r="DQ9" s="838">
        <v>1048.8211128</v>
      </c>
      <c r="DR9" s="838">
        <v>1064.04884924</v>
      </c>
      <c r="DS9" s="838">
        <v>1064.9589326600001</v>
      </c>
      <c r="DT9" s="838">
        <v>1077.43719143</v>
      </c>
      <c r="DU9" s="838">
        <v>1050.6385203299999</v>
      </c>
      <c r="DV9" s="838">
        <v>1021.98210517</v>
      </c>
      <c r="DW9" s="838">
        <v>1065.86555006</v>
      </c>
      <c r="DX9" s="838">
        <v>1070.5849528399999</v>
      </c>
      <c r="DY9" s="838">
        <v>1084.6226701200001</v>
      </c>
      <c r="DZ9" s="838">
        <v>1089.5345540999999</v>
      </c>
      <c r="EA9" s="838">
        <v>1130.77302792</v>
      </c>
      <c r="EB9" s="838">
        <v>1143.0243782</v>
      </c>
      <c r="EC9" s="838">
        <v>1188.0659588000001</v>
      </c>
      <c r="ED9" s="838">
        <v>1386.1662965099999</v>
      </c>
      <c r="EE9" s="838">
        <v>1390.6726234499999</v>
      </c>
      <c r="EF9" s="838">
        <v>1399.8904659699999</v>
      </c>
      <c r="EG9" s="838">
        <v>1397.4653280499999</v>
      </c>
      <c r="EH9" s="838">
        <v>1437.23427683</v>
      </c>
      <c r="EI9" s="838">
        <v>1452.6443335199999</v>
      </c>
      <c r="EJ9" s="838">
        <v>1421.78829436</v>
      </c>
      <c r="EK9" s="838">
        <v>1417.48038524</v>
      </c>
      <c r="EL9" s="838">
        <v>1441.7466851500001</v>
      </c>
      <c r="EM9" s="838">
        <v>1507.88893183</v>
      </c>
      <c r="EN9" s="838">
        <v>1517.40410896</v>
      </c>
      <c r="EO9" s="838">
        <v>1534.8844257200001</v>
      </c>
      <c r="EP9" s="838">
        <v>1536.7714749300001</v>
      </c>
      <c r="EQ9" s="838">
        <v>1556.2937602899999</v>
      </c>
      <c r="ER9" s="838">
        <v>1568.8462233400001</v>
      </c>
      <c r="ES9" s="838">
        <v>1554.56446016</v>
      </c>
      <c r="ET9" s="838">
        <v>1559.6696848900001</v>
      </c>
      <c r="EU9" s="838">
        <v>1585.6387530100001</v>
      </c>
      <c r="EV9" s="838">
        <v>1529.9040091700001</v>
      </c>
      <c r="EW9" s="838">
        <v>1540.3946143000001</v>
      </c>
      <c r="EX9" s="838">
        <v>1611.8722428000001</v>
      </c>
      <c r="EY9" s="838">
        <v>1631.2269263799999</v>
      </c>
      <c r="EZ9" s="838">
        <v>1617.00916861</v>
      </c>
      <c r="FA9" s="838">
        <v>1644.4910124600001</v>
      </c>
      <c r="FB9" s="838">
        <v>1635.9947434600001</v>
      </c>
      <c r="FC9" s="838">
        <v>1650.8493081500001</v>
      </c>
      <c r="FD9" s="838">
        <v>1653.68874514</v>
      </c>
      <c r="FE9" s="838">
        <v>1668.85235051</v>
      </c>
      <c r="FF9" s="838">
        <v>1656.29733235</v>
      </c>
      <c r="FG9" s="838">
        <v>1632.21831804</v>
      </c>
      <c r="FH9" s="1710" t="s">
        <v>1152</v>
      </c>
      <c r="FL9" s="1"/>
      <c r="FM9" s="320"/>
    </row>
    <row r="10" spans="1:302" ht="21">
      <c r="A10" s="1723" t="s">
        <v>1961</v>
      </c>
      <c r="B10" s="783">
        <v>651.98611257999994</v>
      </c>
      <c r="C10" s="783">
        <v>123.34811096</v>
      </c>
      <c r="D10" s="783">
        <v>84.942547319999989</v>
      </c>
      <c r="E10" s="783">
        <v>93.558326480000005</v>
      </c>
      <c r="F10" s="783">
        <v>107.3112879</v>
      </c>
      <c r="G10" s="783">
        <v>121.18865502</v>
      </c>
      <c r="H10" s="783">
        <v>112.74529396</v>
      </c>
      <c r="I10" s="783">
        <v>115.3464295</v>
      </c>
      <c r="J10" s="783">
        <v>115.02437277</v>
      </c>
      <c r="K10" s="783">
        <v>105.37847120000001</v>
      </c>
      <c r="L10" s="783">
        <v>93.916759949999999</v>
      </c>
      <c r="M10" s="784">
        <v>79.894837569999993</v>
      </c>
      <c r="N10" s="784">
        <v>60.546527869999998</v>
      </c>
      <c r="O10" s="784">
        <v>54.994578830000002</v>
      </c>
      <c r="P10" s="784">
        <v>53.3447344</v>
      </c>
      <c r="Q10" s="784">
        <v>51.62177234</v>
      </c>
      <c r="R10" s="784">
        <v>52.261443479999997</v>
      </c>
      <c r="S10" s="784">
        <v>52.530328589999996</v>
      </c>
      <c r="T10" s="784">
        <v>53.531505750000001</v>
      </c>
      <c r="U10" s="784">
        <v>54.019738589999996</v>
      </c>
      <c r="V10" s="784">
        <v>53.310998820000002</v>
      </c>
      <c r="W10" s="784">
        <v>52.87204741</v>
      </c>
      <c r="X10" s="784">
        <v>48.302395709999999</v>
      </c>
      <c r="Y10" s="784">
        <v>40.770908400000003</v>
      </c>
      <c r="Z10" s="784">
        <v>33.28503164</v>
      </c>
      <c r="AA10" s="784">
        <v>27.107521759999997</v>
      </c>
      <c r="AB10" s="784">
        <v>18.536644770000002</v>
      </c>
      <c r="AC10" s="784">
        <v>15.784246169999999</v>
      </c>
      <c r="AD10" s="784">
        <v>14.779076669999998</v>
      </c>
      <c r="AE10" s="784">
        <v>13.26026487</v>
      </c>
      <c r="AF10" s="784">
        <v>13.94947726</v>
      </c>
      <c r="AG10" s="784">
        <v>13.85207387</v>
      </c>
      <c r="AH10" s="784">
        <v>13.49778178</v>
      </c>
      <c r="AI10" s="784">
        <v>15.92621205</v>
      </c>
      <c r="AJ10" s="784">
        <v>14.416971999999998</v>
      </c>
      <c r="AK10" s="784">
        <v>19.46189841</v>
      </c>
      <c r="AL10" s="784">
        <v>21.357508299999999</v>
      </c>
      <c r="AM10" s="784">
        <v>20.367606909999999</v>
      </c>
      <c r="AN10" s="784">
        <v>22.914722780000002</v>
      </c>
      <c r="AO10" s="784">
        <v>21.132616680000002</v>
      </c>
      <c r="AP10" s="784">
        <v>21.499350680000003</v>
      </c>
      <c r="AQ10" s="784">
        <v>22.26900942</v>
      </c>
      <c r="AR10" s="784">
        <v>22.45482453</v>
      </c>
      <c r="AS10" s="784">
        <v>22.280903590000001</v>
      </c>
      <c r="AT10" s="784">
        <v>23.485196890000001</v>
      </c>
      <c r="AU10" s="784">
        <v>20.956096049999999</v>
      </c>
      <c r="AV10" s="784">
        <v>21.044413550000002</v>
      </c>
      <c r="AW10" s="784">
        <v>17.73985519</v>
      </c>
      <c r="AX10" s="784">
        <v>22.30469712</v>
      </c>
      <c r="AY10" s="784">
        <v>22.897321599999998</v>
      </c>
      <c r="AZ10" s="784">
        <v>20.292370980000001</v>
      </c>
      <c r="BA10" s="784">
        <v>23.61504691</v>
      </c>
      <c r="BB10" s="784">
        <v>22.90025121</v>
      </c>
      <c r="BC10" s="784">
        <v>22.938948440000001</v>
      </c>
      <c r="BD10" s="784">
        <v>22.403413019999999</v>
      </c>
      <c r="BE10" s="784">
        <v>24.46950056</v>
      </c>
      <c r="BF10" s="784">
        <v>23.432095689999997</v>
      </c>
      <c r="BG10" s="784">
        <v>22.675817760000001</v>
      </c>
      <c r="BH10" s="827">
        <v>23.54920005</v>
      </c>
      <c r="BI10" s="816">
        <v>23.637622069999999</v>
      </c>
      <c r="BJ10" s="816">
        <v>20.342743950000003</v>
      </c>
      <c r="BK10" s="816">
        <v>24.144741289999999</v>
      </c>
      <c r="BL10" s="816">
        <v>23.137942340000002</v>
      </c>
      <c r="BM10" s="816">
        <v>21.437334610000001</v>
      </c>
      <c r="BN10" s="816">
        <v>21.633768979999999</v>
      </c>
      <c r="BO10" s="816">
        <v>22.662641319999999</v>
      </c>
      <c r="BP10" s="816">
        <v>21.761955990000004</v>
      </c>
      <c r="BQ10" s="816">
        <v>19.806999430000001</v>
      </c>
      <c r="BR10" s="816">
        <v>20.397622049999999</v>
      </c>
      <c r="BS10" s="816">
        <v>19.575226149999999</v>
      </c>
      <c r="BT10" s="816">
        <v>23.448292249999998</v>
      </c>
      <c r="BU10" s="816">
        <v>12.177229570000002</v>
      </c>
      <c r="BV10" s="816">
        <v>12.43824287</v>
      </c>
      <c r="BW10" s="816">
        <v>13.67680236</v>
      </c>
      <c r="BX10" s="816">
        <v>13.57144452</v>
      </c>
      <c r="BY10" s="816">
        <v>15.702372579999999</v>
      </c>
      <c r="BZ10" s="816">
        <v>14.08868629</v>
      </c>
      <c r="CA10" s="816">
        <v>16.750325050000001</v>
      </c>
      <c r="CB10" s="816">
        <v>14.1899651</v>
      </c>
      <c r="CC10" s="816">
        <v>12.52060232</v>
      </c>
      <c r="CD10" s="816">
        <v>12.352258450000001</v>
      </c>
      <c r="CE10" s="816">
        <v>12.20372592</v>
      </c>
      <c r="CF10" s="816">
        <v>12.215536160000001</v>
      </c>
      <c r="CG10" s="816">
        <v>8.8058696399999992</v>
      </c>
      <c r="CH10" s="816">
        <v>264.49295413999999</v>
      </c>
      <c r="CI10" s="816">
        <v>266.14130547000002</v>
      </c>
      <c r="CJ10" s="816">
        <v>267.28400216</v>
      </c>
      <c r="CK10" s="816">
        <v>265.30857500000002</v>
      </c>
      <c r="CL10" s="816">
        <v>274.49015537999998</v>
      </c>
      <c r="CM10" s="816">
        <v>280.19506337000001</v>
      </c>
      <c r="CN10" s="816">
        <v>280.98960104999998</v>
      </c>
      <c r="CO10" s="816">
        <v>280.63102354</v>
      </c>
      <c r="CP10" s="816">
        <v>278.43564430999999</v>
      </c>
      <c r="CQ10" s="816">
        <v>283.33021944000001</v>
      </c>
      <c r="CR10" s="816">
        <v>413.50147177999997</v>
      </c>
      <c r="CS10" s="816">
        <v>286.41053583000001</v>
      </c>
      <c r="CT10" s="816">
        <v>15.9027449</v>
      </c>
      <c r="CU10" s="816">
        <v>15.368054860000001</v>
      </c>
      <c r="CV10" s="816">
        <v>15.2672519</v>
      </c>
      <c r="CW10" s="816">
        <v>11.529267020000001</v>
      </c>
      <c r="CX10" s="816">
        <v>16.267083329999998</v>
      </c>
      <c r="CY10" s="816">
        <v>16.473009080000001</v>
      </c>
      <c r="CZ10" s="816">
        <v>15.80165077</v>
      </c>
      <c r="DA10" s="816">
        <v>15.57330054</v>
      </c>
      <c r="DB10" s="816">
        <v>15.64790814</v>
      </c>
      <c r="DC10" s="816">
        <v>16.702823819999999</v>
      </c>
      <c r="DD10" s="886">
        <v>16.683767499999998</v>
      </c>
      <c r="DE10" s="886">
        <v>14.19515752</v>
      </c>
      <c r="DF10" s="886">
        <v>14.00784185</v>
      </c>
      <c r="DG10" s="839">
        <v>13.823232170000001</v>
      </c>
      <c r="DH10" s="839">
        <v>13.66506221</v>
      </c>
      <c r="DI10" s="839">
        <v>14.52001843</v>
      </c>
      <c r="DJ10" s="839">
        <v>14.11484432</v>
      </c>
      <c r="DK10" s="839">
        <v>10.81065757</v>
      </c>
      <c r="DL10" s="839">
        <v>11.19815386</v>
      </c>
      <c r="DM10" s="839">
        <v>11.17009751</v>
      </c>
      <c r="DN10" s="839">
        <v>8.5135082299999993</v>
      </c>
      <c r="DO10" s="839">
        <v>7.7260031099999997</v>
      </c>
      <c r="DP10" s="839">
        <v>7.5939121399999996</v>
      </c>
      <c r="DQ10" s="839">
        <v>13.03948666</v>
      </c>
      <c r="DR10" s="839">
        <v>12.74168663</v>
      </c>
      <c r="DS10" s="839">
        <v>10.956747910000001</v>
      </c>
      <c r="DT10" s="839">
        <v>9.8013200200000004</v>
      </c>
      <c r="DU10" s="839">
        <v>7.9357922399999996</v>
      </c>
      <c r="DV10" s="839">
        <v>12.98133402</v>
      </c>
      <c r="DW10" s="839">
        <v>12.14476973</v>
      </c>
      <c r="DX10" s="839">
        <v>12.46498132</v>
      </c>
      <c r="DY10" s="839">
        <v>13.58357942</v>
      </c>
      <c r="DZ10" s="839">
        <v>13.890954860000001</v>
      </c>
      <c r="EA10" s="839">
        <v>6.32633724</v>
      </c>
      <c r="EB10" s="839">
        <v>12.241687499999999</v>
      </c>
      <c r="EC10" s="839">
        <v>12.831688550000001</v>
      </c>
      <c r="ED10" s="839">
        <v>225.40449473999999</v>
      </c>
      <c r="EE10" s="839">
        <v>225.63851518999999</v>
      </c>
      <c r="EF10" s="839">
        <v>225.50510588</v>
      </c>
      <c r="EG10" s="839">
        <v>227.19034499</v>
      </c>
      <c r="EH10" s="839">
        <v>227.27673952999999</v>
      </c>
      <c r="EI10" s="839">
        <v>227.21248492999999</v>
      </c>
      <c r="EJ10" s="839">
        <v>226.84144158000001</v>
      </c>
      <c r="EK10" s="839">
        <v>225.96290988000001</v>
      </c>
      <c r="EL10" s="839">
        <v>226.69057733</v>
      </c>
      <c r="EM10" s="839">
        <v>226.92780195</v>
      </c>
      <c r="EN10" s="839">
        <v>229.04718226</v>
      </c>
      <c r="EO10" s="839">
        <v>227.05094226</v>
      </c>
      <c r="EP10" s="839">
        <v>226.73861067000001</v>
      </c>
      <c r="EQ10" s="839">
        <v>225.78174942000001</v>
      </c>
      <c r="ER10" s="839">
        <v>222.43401435000001</v>
      </c>
      <c r="ES10" s="839">
        <v>209.16001315</v>
      </c>
      <c r="ET10" s="839">
        <v>209.15125995</v>
      </c>
      <c r="EU10" s="839">
        <v>195.69095584999999</v>
      </c>
      <c r="EV10" s="839">
        <v>195.74364044000001</v>
      </c>
      <c r="EW10" s="839">
        <v>195.69201269999999</v>
      </c>
      <c r="EX10" s="839">
        <v>184.38328283999999</v>
      </c>
      <c r="EY10" s="839">
        <v>184.33360937</v>
      </c>
      <c r="EZ10" s="839">
        <v>192.21450684999999</v>
      </c>
      <c r="FA10" s="839">
        <v>181.65539129000001</v>
      </c>
      <c r="FB10" s="839">
        <v>181.64382209999999</v>
      </c>
      <c r="FC10" s="839">
        <v>182.32358094</v>
      </c>
      <c r="FD10" s="839">
        <v>169.01924880000001</v>
      </c>
      <c r="FE10" s="839">
        <v>162.40115639999999</v>
      </c>
      <c r="FF10" s="839">
        <v>168.32445971999999</v>
      </c>
      <c r="FG10" s="839">
        <v>150.00539605</v>
      </c>
      <c r="FH10" s="1712" t="s">
        <v>4067</v>
      </c>
      <c r="FM10" s="321"/>
    </row>
    <row r="11" spans="1:302" ht="21">
      <c r="A11" s="1723" t="s">
        <v>1962</v>
      </c>
      <c r="B11" s="780">
        <f>+B9-B10</f>
        <v>776.19779342000004</v>
      </c>
      <c r="C11" s="780">
        <f t="shared" ref="C11:V11" si="0">+C9-C10</f>
        <v>1025.83834639</v>
      </c>
      <c r="D11" s="780">
        <f t="shared" si="0"/>
        <v>1054.6997591899999</v>
      </c>
      <c r="E11" s="780">
        <f t="shared" si="0"/>
        <v>1137.3443991800002</v>
      </c>
      <c r="F11" s="780">
        <f t="shared" si="0"/>
        <v>1176.54374164</v>
      </c>
      <c r="G11" s="780">
        <f t="shared" si="0"/>
        <v>1220.4231445</v>
      </c>
      <c r="H11" s="780">
        <f t="shared" si="0"/>
        <v>1259.08392951</v>
      </c>
      <c r="I11" s="780">
        <f t="shared" si="0"/>
        <v>1297.6009931100002</v>
      </c>
      <c r="J11" s="780">
        <f t="shared" si="0"/>
        <v>1352.2990736100001</v>
      </c>
      <c r="K11" s="780">
        <f t="shared" si="0"/>
        <v>1351.0060891200001</v>
      </c>
      <c r="L11" s="780">
        <f t="shared" si="0"/>
        <v>1367.2888781300001</v>
      </c>
      <c r="M11" s="784">
        <f t="shared" si="0"/>
        <v>1436.5219850799999</v>
      </c>
      <c r="N11" s="781">
        <f t="shared" si="0"/>
        <v>1780.7649130399998</v>
      </c>
      <c r="O11" s="781">
        <f t="shared" si="0"/>
        <v>1746.4857480799999</v>
      </c>
      <c r="P11" s="781">
        <f t="shared" si="0"/>
        <v>1777.2743290100002</v>
      </c>
      <c r="Q11" s="781">
        <f t="shared" si="0"/>
        <v>1856.3624992700002</v>
      </c>
      <c r="R11" s="781">
        <f t="shared" si="0"/>
        <v>1873.0229275600002</v>
      </c>
      <c r="S11" s="781">
        <f t="shared" si="0"/>
        <v>1913.2312292600004</v>
      </c>
      <c r="T11" s="781">
        <f t="shared" si="0"/>
        <v>1941.3168542800001</v>
      </c>
      <c r="U11" s="781">
        <f t="shared" si="0"/>
        <v>1954.43706931</v>
      </c>
      <c r="V11" s="781">
        <f t="shared" si="0"/>
        <v>1967.70771502</v>
      </c>
      <c r="W11" s="781">
        <v>2025.4773692799999</v>
      </c>
      <c r="X11" s="781">
        <v>2018.3697603199998</v>
      </c>
      <c r="Y11" s="784">
        <v>1987.0740326499999</v>
      </c>
      <c r="Z11" s="781">
        <v>1973.80511927</v>
      </c>
      <c r="AA11" s="781">
        <v>2221.02643739</v>
      </c>
      <c r="AB11" s="784">
        <f>+AB9-AB10</f>
        <v>2219.4658652400003</v>
      </c>
      <c r="AC11" s="784">
        <v>2195.1618868399996</v>
      </c>
      <c r="AD11" s="784">
        <v>2167.9961668999999</v>
      </c>
      <c r="AE11" s="784">
        <v>2158.9123952200002</v>
      </c>
      <c r="AF11" s="784">
        <v>2163.4691035300002</v>
      </c>
      <c r="AG11" s="784">
        <v>2121.9395263700003</v>
      </c>
      <c r="AH11" s="784">
        <f>+AH9-AH10</f>
        <v>1955.42039073</v>
      </c>
      <c r="AI11" s="784">
        <v>1594.3463994000001</v>
      </c>
      <c r="AJ11" s="784">
        <f>+AJ9-AJ10</f>
        <v>1804.2484817099999</v>
      </c>
      <c r="AK11" s="784">
        <f>+AK9-AK10</f>
        <v>1928.8714034299999</v>
      </c>
      <c r="AL11" s="784">
        <v>1860.17257864</v>
      </c>
      <c r="AM11" s="784">
        <f>+AM9-AM10</f>
        <v>1702.7285362600003</v>
      </c>
      <c r="AN11" s="784">
        <f>+AN9-AN10</f>
        <v>1346.14893091</v>
      </c>
      <c r="AO11" s="784">
        <f>+AO9-AO10</f>
        <v>1186.9162585499998</v>
      </c>
      <c r="AP11" s="784">
        <f>+AP9-AP10</f>
        <v>1190.2100877400001</v>
      </c>
      <c r="AQ11" s="784">
        <v>1303.6108123700001</v>
      </c>
      <c r="AR11" s="784">
        <f>+AR9-AR10</f>
        <v>1283.5675305799998</v>
      </c>
      <c r="AS11" s="784">
        <f>+AS9-AS10</f>
        <v>1298.03250071</v>
      </c>
      <c r="AT11" s="784">
        <f>+AT9-AT10</f>
        <v>1308.62898722</v>
      </c>
      <c r="AU11" s="784">
        <v>1187.7262883599999</v>
      </c>
      <c r="AV11" s="784">
        <v>1217.3185974099999</v>
      </c>
      <c r="AW11" s="784">
        <v>1245.36972197</v>
      </c>
      <c r="AX11" s="784">
        <v>1276.1477213200001</v>
      </c>
      <c r="AY11" s="784">
        <v>1231.4737562200003</v>
      </c>
      <c r="AZ11" s="784">
        <v>1184.0369473399999</v>
      </c>
      <c r="BA11" s="784">
        <v>1182.5258272600001</v>
      </c>
      <c r="BB11" s="784">
        <v>1048.6951430899999</v>
      </c>
      <c r="BC11" s="784">
        <v>1017.39466992</v>
      </c>
      <c r="BD11" s="784">
        <f>+BD9-BD10</f>
        <v>610.94338621999998</v>
      </c>
      <c r="BE11" s="784">
        <v>613.78036975999999</v>
      </c>
      <c r="BF11" s="784">
        <v>608.62645987999997</v>
      </c>
      <c r="BG11" s="784">
        <v>592.55227200000002</v>
      </c>
      <c r="BH11" s="827">
        <v>602.09258057</v>
      </c>
      <c r="BI11" s="816">
        <v>588.72883492999995</v>
      </c>
      <c r="BJ11" s="816">
        <v>594.37742972000001</v>
      </c>
      <c r="BK11" s="816">
        <v>627.49932852000006</v>
      </c>
      <c r="BL11" s="816">
        <v>624.28072834000011</v>
      </c>
      <c r="BM11" s="816">
        <v>647.85901961000002</v>
      </c>
      <c r="BN11" s="816">
        <v>664.14295913000001</v>
      </c>
      <c r="BO11" s="816">
        <v>654.34675463999986</v>
      </c>
      <c r="BP11" s="816">
        <v>642.60298475999991</v>
      </c>
      <c r="BQ11" s="816">
        <v>656.91643497999996</v>
      </c>
      <c r="BR11" s="816">
        <v>651.4808794700001</v>
      </c>
      <c r="BS11" s="816">
        <v>661.88960323999993</v>
      </c>
      <c r="BT11" s="816">
        <v>656.14508065999996</v>
      </c>
      <c r="BU11" s="816">
        <v>688.46928327000001</v>
      </c>
      <c r="BV11" s="816">
        <v>689.02386274000003</v>
      </c>
      <c r="BW11" s="816">
        <v>706.60111790999997</v>
      </c>
      <c r="BX11" s="816">
        <v>729.22971884000003</v>
      </c>
      <c r="BY11" s="816">
        <v>741.40112371999999</v>
      </c>
      <c r="BZ11" s="816">
        <v>752.21110832999989</v>
      </c>
      <c r="CA11" s="816">
        <v>760.59977104999996</v>
      </c>
      <c r="CB11" s="816">
        <v>881.60499544999993</v>
      </c>
      <c r="CC11" s="816">
        <v>843.59194341</v>
      </c>
      <c r="CD11" s="816">
        <v>853.85777545999997</v>
      </c>
      <c r="CE11" s="816">
        <f t="shared" ref="CE11:CP11" si="1">+CE9-CE10</f>
        <v>886.34761249999985</v>
      </c>
      <c r="CF11" s="816">
        <f t="shared" si="1"/>
        <v>912.33100090999983</v>
      </c>
      <c r="CG11" s="816">
        <f t="shared" si="1"/>
        <v>860.62891307000007</v>
      </c>
      <c r="CH11" s="816">
        <f t="shared" si="1"/>
        <v>870.8024227100002</v>
      </c>
      <c r="CI11" s="816">
        <f t="shared" si="1"/>
        <v>866.04889976999982</v>
      </c>
      <c r="CJ11" s="816">
        <f t="shared" si="1"/>
        <v>856.44272834999992</v>
      </c>
      <c r="CK11" s="816">
        <f t="shared" si="1"/>
        <v>866.94614696000008</v>
      </c>
      <c r="CL11" s="816">
        <f t="shared" si="1"/>
        <v>879.35224141000003</v>
      </c>
      <c r="CM11" s="816">
        <f t="shared" si="1"/>
        <v>884.27964704999977</v>
      </c>
      <c r="CN11" s="816">
        <f t="shared" si="1"/>
        <v>902.70804236999993</v>
      </c>
      <c r="CO11" s="816">
        <f t="shared" si="1"/>
        <v>906.96913799999982</v>
      </c>
      <c r="CP11" s="816">
        <f t="shared" si="1"/>
        <v>904.17381077999994</v>
      </c>
      <c r="CQ11" s="816">
        <f>+CQ9-CQ10</f>
        <v>938.15726442999994</v>
      </c>
      <c r="CR11" s="816">
        <f>+CR9-CR10</f>
        <v>961.65129077999995</v>
      </c>
      <c r="CS11" s="816">
        <v>954.86940054000002</v>
      </c>
      <c r="CT11" s="816">
        <v>956.87327133999997</v>
      </c>
      <c r="CU11" s="816">
        <v>884.16352795</v>
      </c>
      <c r="CV11" s="816">
        <v>895.46570498000006</v>
      </c>
      <c r="CW11" s="816">
        <v>894.06528522999997</v>
      </c>
      <c r="CX11" s="816">
        <v>899.10054878999995</v>
      </c>
      <c r="CY11" s="816">
        <v>893.67971221000005</v>
      </c>
      <c r="CZ11" s="816">
        <v>890.20012626000005</v>
      </c>
      <c r="DA11" s="816">
        <v>844.53372675000003</v>
      </c>
      <c r="DB11" s="816">
        <v>878.64425634999998</v>
      </c>
      <c r="DC11" s="816">
        <v>914.40367372000003</v>
      </c>
      <c r="DD11" s="886">
        <v>907.87690189</v>
      </c>
      <c r="DE11" s="886">
        <v>946.02975566999999</v>
      </c>
      <c r="DF11" s="886">
        <v>934.27971765999996</v>
      </c>
      <c r="DG11" s="839">
        <v>971.22500204000005</v>
      </c>
      <c r="DH11" s="839">
        <v>990.89980251999998</v>
      </c>
      <c r="DI11" s="839">
        <v>998.77002189999996</v>
      </c>
      <c r="DJ11" s="839">
        <v>966.98247402000004</v>
      </c>
      <c r="DK11" s="839">
        <v>969.77836901000001</v>
      </c>
      <c r="DL11" s="839">
        <v>1026.4763892999999</v>
      </c>
      <c r="DM11" s="839">
        <v>1050.13577115</v>
      </c>
      <c r="DN11" s="839">
        <v>1049.10630629</v>
      </c>
      <c r="DO11" s="839">
        <v>1061.0173005199999</v>
      </c>
      <c r="DP11" s="839">
        <v>1044.49233424</v>
      </c>
      <c r="DQ11" s="839">
        <v>1035.7816261400001</v>
      </c>
      <c r="DR11" s="839">
        <v>1051.30716261</v>
      </c>
      <c r="DS11" s="839">
        <v>1054.00218475</v>
      </c>
      <c r="DT11" s="839">
        <v>1067.6358714099999</v>
      </c>
      <c r="DU11" s="839">
        <v>1042.7027280899999</v>
      </c>
      <c r="DV11" s="839">
        <v>1009.00077115</v>
      </c>
      <c r="DW11" s="839">
        <v>1053.72078033</v>
      </c>
      <c r="DX11" s="839">
        <v>1058.11997152</v>
      </c>
      <c r="DY11" s="839">
        <v>1071.0390907000001</v>
      </c>
      <c r="DZ11" s="839">
        <v>1075.64359924</v>
      </c>
      <c r="EA11" s="839">
        <v>1124.4466906800001</v>
      </c>
      <c r="EB11" s="839">
        <v>1130.7826907000001</v>
      </c>
      <c r="EC11" s="839">
        <v>1175.23427025</v>
      </c>
      <c r="ED11" s="839">
        <v>1160.7618017699999</v>
      </c>
      <c r="EE11" s="839">
        <v>1165.03410826</v>
      </c>
      <c r="EF11" s="839">
        <v>1174.3853600899999</v>
      </c>
      <c r="EG11" s="839">
        <v>1170.2749830600001</v>
      </c>
      <c r="EH11" s="839">
        <v>1209.9575373</v>
      </c>
      <c r="EI11" s="839">
        <v>1225.4318485900001</v>
      </c>
      <c r="EJ11" s="839">
        <v>1194.94685278</v>
      </c>
      <c r="EK11" s="839">
        <v>1191.5174753599999</v>
      </c>
      <c r="EL11" s="839">
        <v>1215.0561078200001</v>
      </c>
      <c r="EM11" s="839">
        <v>1280.96112988</v>
      </c>
      <c r="EN11" s="839">
        <v>1288.3569267</v>
      </c>
      <c r="EO11" s="839">
        <v>1307.83348346</v>
      </c>
      <c r="EP11" s="839">
        <v>1310.03286426</v>
      </c>
      <c r="EQ11" s="839">
        <v>1330.51201087</v>
      </c>
      <c r="ER11" s="839">
        <v>1346.41220899</v>
      </c>
      <c r="ES11" s="839">
        <v>1345.40444701</v>
      </c>
      <c r="ET11" s="839">
        <v>1350.5184249399999</v>
      </c>
      <c r="EU11" s="839">
        <v>1389.9477971599999</v>
      </c>
      <c r="EV11" s="839">
        <v>1334.1603687300001</v>
      </c>
      <c r="EW11" s="839">
        <v>1344.7026016</v>
      </c>
      <c r="EX11" s="839">
        <v>1427.4889599600001</v>
      </c>
      <c r="EY11" s="839">
        <v>1446.8933170099999</v>
      </c>
      <c r="EZ11" s="839">
        <v>1424.7946617600001</v>
      </c>
      <c r="FA11" s="839">
        <v>1462.83562117</v>
      </c>
      <c r="FB11" s="839">
        <v>1454.35092136</v>
      </c>
      <c r="FC11" s="839">
        <v>1468.52572721</v>
      </c>
      <c r="FD11" s="839">
        <v>1484.66949634</v>
      </c>
      <c r="FE11" s="839">
        <v>1506.45119411</v>
      </c>
      <c r="FF11" s="839">
        <v>1487.97287263</v>
      </c>
      <c r="FG11" s="839">
        <v>1482.21292199</v>
      </c>
      <c r="FH11" s="1712" t="s">
        <v>4066</v>
      </c>
      <c r="FM11" s="321"/>
    </row>
    <row r="12" spans="1:302" ht="21">
      <c r="A12" s="1721"/>
      <c r="B12" s="783"/>
      <c r="C12" s="783"/>
      <c r="D12" s="783"/>
      <c r="E12" s="783"/>
      <c r="F12" s="783"/>
      <c r="G12" s="783"/>
      <c r="H12" s="783"/>
      <c r="I12" s="783"/>
      <c r="J12" s="783"/>
      <c r="K12" s="783"/>
      <c r="L12" s="783"/>
      <c r="M12" s="784"/>
      <c r="N12" s="784"/>
      <c r="O12" s="784"/>
      <c r="P12" s="784"/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84"/>
      <c r="AF12" s="784"/>
      <c r="AG12" s="784"/>
      <c r="AH12" s="784"/>
      <c r="AI12" s="784"/>
      <c r="AJ12" s="784"/>
      <c r="AK12" s="784"/>
      <c r="AL12" s="784"/>
      <c r="AM12" s="784"/>
      <c r="AN12" s="784"/>
      <c r="AO12" s="784"/>
      <c r="AP12" s="784"/>
      <c r="AQ12" s="784"/>
      <c r="AR12" s="784"/>
      <c r="AS12" s="784"/>
      <c r="AT12" s="784"/>
      <c r="AU12" s="784"/>
      <c r="AV12" s="784"/>
      <c r="AW12" s="784"/>
      <c r="AX12" s="784"/>
      <c r="AY12" s="784"/>
      <c r="AZ12" s="784"/>
      <c r="BA12" s="784"/>
      <c r="BB12" s="784"/>
      <c r="BC12" s="784"/>
      <c r="BD12" s="784"/>
      <c r="BE12" s="784"/>
      <c r="BF12" s="784"/>
      <c r="BG12" s="784"/>
      <c r="BH12" s="827"/>
      <c r="BI12" s="816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6"/>
      <c r="CN12" s="816"/>
      <c r="CO12" s="816"/>
      <c r="CP12" s="816"/>
      <c r="CQ12" s="816"/>
      <c r="CR12" s="816"/>
      <c r="CS12" s="816"/>
      <c r="CT12" s="816"/>
      <c r="CU12" s="816"/>
      <c r="CV12" s="816"/>
      <c r="CW12" s="816"/>
      <c r="CX12" s="816"/>
      <c r="CY12" s="816"/>
      <c r="CZ12" s="816"/>
      <c r="DA12" s="816"/>
      <c r="DB12" s="816"/>
      <c r="DC12" s="816"/>
      <c r="DD12" s="886"/>
      <c r="DE12" s="886"/>
      <c r="DF12" s="886"/>
      <c r="DG12" s="839"/>
      <c r="DH12" s="839"/>
      <c r="DI12" s="839"/>
      <c r="DJ12" s="839"/>
      <c r="DK12" s="839"/>
      <c r="DL12" s="839"/>
      <c r="DM12" s="839"/>
      <c r="DN12" s="839"/>
      <c r="DO12" s="839"/>
      <c r="DP12" s="839"/>
      <c r="DQ12" s="839"/>
      <c r="DR12" s="839"/>
      <c r="DS12" s="839"/>
      <c r="DT12" s="839"/>
      <c r="DU12" s="839"/>
      <c r="DV12" s="839"/>
      <c r="DW12" s="839"/>
      <c r="DX12" s="839"/>
      <c r="DY12" s="839"/>
      <c r="DZ12" s="839"/>
      <c r="EA12" s="839"/>
      <c r="EB12" s="839"/>
      <c r="EC12" s="839"/>
      <c r="ED12" s="839"/>
      <c r="EE12" s="839"/>
      <c r="EF12" s="839"/>
      <c r="EG12" s="839"/>
      <c r="EH12" s="839"/>
      <c r="EI12" s="839"/>
      <c r="EJ12" s="839"/>
      <c r="EK12" s="839"/>
      <c r="EL12" s="839"/>
      <c r="EM12" s="839"/>
      <c r="EN12" s="839"/>
      <c r="EO12" s="839"/>
      <c r="EP12" s="839"/>
      <c r="EQ12" s="839"/>
      <c r="ER12" s="839"/>
      <c r="ES12" s="839"/>
      <c r="ET12" s="839"/>
      <c r="EU12" s="839"/>
      <c r="EV12" s="839"/>
      <c r="EW12" s="839"/>
      <c r="EX12" s="839"/>
      <c r="EY12" s="839"/>
      <c r="EZ12" s="839"/>
      <c r="FA12" s="839"/>
      <c r="FB12" s="839"/>
      <c r="FC12" s="839"/>
      <c r="FD12" s="839"/>
      <c r="FE12" s="839"/>
      <c r="FF12" s="839"/>
      <c r="FG12" s="839"/>
      <c r="FH12" s="1711"/>
      <c r="FM12" s="321"/>
    </row>
    <row r="13" spans="1:302" ht="21">
      <c r="A13" s="1722" t="s">
        <v>2741</v>
      </c>
      <c r="B13" s="780">
        <v>764.33278829999995</v>
      </c>
      <c r="C13" s="780">
        <v>273.13636229999997</v>
      </c>
      <c r="D13" s="780">
        <v>242.81806624999996</v>
      </c>
      <c r="E13" s="780">
        <v>235.77288635000002</v>
      </c>
      <c r="F13" s="780">
        <v>239.94204141</v>
      </c>
      <c r="G13" s="780">
        <v>249.33901094000001</v>
      </c>
      <c r="H13" s="780">
        <v>250.32201478000002</v>
      </c>
      <c r="I13" s="780">
        <v>269.24925845000001</v>
      </c>
      <c r="J13" s="780">
        <v>272.96780111999999</v>
      </c>
      <c r="K13" s="780">
        <v>271.79538146000004</v>
      </c>
      <c r="L13" s="780">
        <v>262.01861151999998</v>
      </c>
      <c r="M13" s="781">
        <v>261.23455690999998</v>
      </c>
      <c r="N13" s="781">
        <v>238.20380871999998</v>
      </c>
      <c r="O13" s="781">
        <v>252.48645586000001</v>
      </c>
      <c r="P13" s="781">
        <v>260.79145755000002</v>
      </c>
      <c r="Q13" s="781">
        <v>294.34738585000002</v>
      </c>
      <c r="R13" s="781">
        <v>295.23385059999998</v>
      </c>
      <c r="S13" s="781">
        <v>294.84701727000004</v>
      </c>
      <c r="T13" s="781">
        <v>304.00494399000002</v>
      </c>
      <c r="U13" s="781">
        <v>300.20331023999995</v>
      </c>
      <c r="V13" s="781">
        <v>309.53497033999997</v>
      </c>
      <c r="W13" s="781">
        <v>309.96735160000003</v>
      </c>
      <c r="X13" s="781">
        <v>315.55264082000002</v>
      </c>
      <c r="Y13" s="781">
        <v>307.32375281999998</v>
      </c>
      <c r="Z13" s="781">
        <v>300.26873007999995</v>
      </c>
      <c r="AA13" s="781">
        <v>479.40811377</v>
      </c>
      <c r="AB13" s="781">
        <v>481.54872170000004</v>
      </c>
      <c r="AC13" s="781">
        <v>486.29095879000005</v>
      </c>
      <c r="AD13" s="781">
        <v>456.50135356999999</v>
      </c>
      <c r="AE13" s="781">
        <v>447.74253826</v>
      </c>
      <c r="AF13" s="781">
        <v>452.89100569000004</v>
      </c>
      <c r="AG13" s="781">
        <v>405.89062719000003</v>
      </c>
      <c r="AH13" s="781">
        <v>405.31201484000002</v>
      </c>
      <c r="AI13" s="781">
        <v>483.05333233000005</v>
      </c>
      <c r="AJ13" s="781">
        <v>700.20921448000001</v>
      </c>
      <c r="AK13" s="781">
        <v>723.13352765999991</v>
      </c>
      <c r="AL13" s="781">
        <v>673.39233919000003</v>
      </c>
      <c r="AM13" s="781">
        <v>609.50014180000005</v>
      </c>
      <c r="AN13" s="781">
        <v>323.16673334000001</v>
      </c>
      <c r="AO13" s="781">
        <v>315.88162025999998</v>
      </c>
      <c r="AP13" s="781">
        <v>313.42586082000003</v>
      </c>
      <c r="AQ13" s="781">
        <v>431.35450308000003</v>
      </c>
      <c r="AR13" s="781">
        <v>417.40145485999994</v>
      </c>
      <c r="AS13" s="781">
        <v>431.92466652000002</v>
      </c>
      <c r="AT13" s="781">
        <v>432.87207080000002</v>
      </c>
      <c r="AU13" s="781">
        <v>327.43604424</v>
      </c>
      <c r="AV13" s="781">
        <v>344.96267849000003</v>
      </c>
      <c r="AW13" s="781">
        <v>382.95774993999999</v>
      </c>
      <c r="AX13" s="781">
        <v>405.18065394000001</v>
      </c>
      <c r="AY13" s="781">
        <v>378.28280013000006</v>
      </c>
      <c r="AZ13" s="781">
        <v>377.09081828000001</v>
      </c>
      <c r="BA13" s="781">
        <v>385.58098824000012</v>
      </c>
      <c r="BB13" s="781">
        <v>253.95349143999999</v>
      </c>
      <c r="BC13" s="781">
        <v>250.19132418000001</v>
      </c>
      <c r="BD13" s="781">
        <v>240.80403874999996</v>
      </c>
      <c r="BE13" s="781">
        <v>245.11331634999999</v>
      </c>
      <c r="BF13" s="781">
        <v>248.42211828000001</v>
      </c>
      <c r="BG13" s="781">
        <v>244.90238615000001</v>
      </c>
      <c r="BH13" s="826">
        <v>255.09694987000003</v>
      </c>
      <c r="BI13" s="815">
        <v>256.80792014999997</v>
      </c>
      <c r="BJ13" s="815">
        <v>251.82990612</v>
      </c>
      <c r="BK13" s="815">
        <v>268.17866142000003</v>
      </c>
      <c r="BL13" s="815">
        <v>261.75677084</v>
      </c>
      <c r="BM13" s="815">
        <v>264.84207832999999</v>
      </c>
      <c r="BN13" s="815">
        <v>267.24130347000005</v>
      </c>
      <c r="BO13" s="815">
        <v>250.57817277999996</v>
      </c>
      <c r="BP13" s="815">
        <v>244.87794990000003</v>
      </c>
      <c r="BQ13" s="815">
        <v>257.78054635000001</v>
      </c>
      <c r="BR13" s="815">
        <v>258.74390237</v>
      </c>
      <c r="BS13" s="815">
        <v>271.71127867999996</v>
      </c>
      <c r="BT13" s="815">
        <v>271.19047797999997</v>
      </c>
      <c r="BU13" s="815">
        <v>264.58771673000001</v>
      </c>
      <c r="BV13" s="815">
        <v>270.61441042999996</v>
      </c>
      <c r="BW13" s="815">
        <v>249.41993125000002</v>
      </c>
      <c r="BX13" s="815">
        <v>261.10512685000003</v>
      </c>
      <c r="BY13" s="815">
        <v>269.69504792999999</v>
      </c>
      <c r="BZ13" s="815">
        <v>273.19123680999996</v>
      </c>
      <c r="CA13" s="815">
        <v>277.99782220999998</v>
      </c>
      <c r="CB13" s="815">
        <v>284.05481932999999</v>
      </c>
      <c r="CC13" s="815">
        <v>251.21388495999997</v>
      </c>
      <c r="CD13" s="815">
        <v>229.37810027</v>
      </c>
      <c r="CE13" s="815">
        <v>226.89817868999995</v>
      </c>
      <c r="CF13" s="815">
        <v>224.99674381</v>
      </c>
      <c r="CG13" s="815">
        <v>196.18120028999999</v>
      </c>
      <c r="CH13" s="815">
        <v>171.731109</v>
      </c>
      <c r="CI13" s="815">
        <v>166.70615744</v>
      </c>
      <c r="CJ13" s="815">
        <v>158.17235597000001</v>
      </c>
      <c r="CK13" s="815">
        <v>171.86250315000001</v>
      </c>
      <c r="CL13" s="815">
        <v>176.08408481000001</v>
      </c>
      <c r="CM13" s="815">
        <v>190.20428197999999</v>
      </c>
      <c r="CN13" s="815">
        <v>203.66827004000001</v>
      </c>
      <c r="CO13" s="815">
        <v>188.15086406999998</v>
      </c>
      <c r="CP13" s="815">
        <v>167.85167876</v>
      </c>
      <c r="CQ13" s="815">
        <v>180.27271314000001</v>
      </c>
      <c r="CR13" s="815">
        <v>196.59545661999999</v>
      </c>
      <c r="CS13" s="815">
        <v>198.11179692000002</v>
      </c>
      <c r="CT13" s="815">
        <v>187.93672921999999</v>
      </c>
      <c r="CU13" s="815">
        <v>180.04779614</v>
      </c>
      <c r="CV13" s="815">
        <v>189.1546233</v>
      </c>
      <c r="CW13" s="815">
        <v>185.01074826999999</v>
      </c>
      <c r="CX13" s="815">
        <v>188.00151504999999</v>
      </c>
      <c r="CY13" s="815">
        <v>184.44429113999999</v>
      </c>
      <c r="CZ13" s="815">
        <v>181.21699839999999</v>
      </c>
      <c r="DA13" s="815">
        <v>165.13474151</v>
      </c>
      <c r="DB13" s="815">
        <v>188.18320693999999</v>
      </c>
      <c r="DC13" s="815">
        <v>181.41635216</v>
      </c>
      <c r="DD13" s="885">
        <v>161.97030642999999</v>
      </c>
      <c r="DE13" s="885">
        <v>193.21195172</v>
      </c>
      <c r="DF13" s="885">
        <v>182.3762893</v>
      </c>
      <c r="DG13" s="838">
        <v>219.14479502</v>
      </c>
      <c r="DH13" s="838">
        <v>228.29227791</v>
      </c>
      <c r="DI13" s="838">
        <v>237.87733865999999</v>
      </c>
      <c r="DJ13" s="838">
        <v>205.38218677</v>
      </c>
      <c r="DK13" s="838">
        <v>216.96679571000001</v>
      </c>
      <c r="DL13" s="838">
        <v>277.10623106999998</v>
      </c>
      <c r="DM13" s="838">
        <v>302.72616127999999</v>
      </c>
      <c r="DN13" s="838">
        <v>309.67748311999998</v>
      </c>
      <c r="DO13" s="838">
        <v>325.95657333999998</v>
      </c>
      <c r="DP13" s="838">
        <v>295.18903718000001</v>
      </c>
      <c r="DQ13" s="838">
        <v>292.72840972</v>
      </c>
      <c r="DR13" s="838">
        <v>316.86186744999998</v>
      </c>
      <c r="DS13" s="838">
        <v>324.04200945999997</v>
      </c>
      <c r="DT13" s="838">
        <v>326.41512289999997</v>
      </c>
      <c r="DU13" s="838">
        <v>308.42903669999998</v>
      </c>
      <c r="DV13" s="838">
        <v>310.94359176</v>
      </c>
      <c r="DW13" s="838">
        <v>299.35875191000002</v>
      </c>
      <c r="DX13" s="838">
        <v>241.24993072999999</v>
      </c>
      <c r="DY13" s="838">
        <v>257.60235734999998</v>
      </c>
      <c r="DZ13" s="838">
        <v>268.41155113000002</v>
      </c>
      <c r="EA13" s="838">
        <v>263.92982164</v>
      </c>
      <c r="EB13" s="838">
        <v>275.41044871000003</v>
      </c>
      <c r="EC13" s="838">
        <v>283.93735722999998</v>
      </c>
      <c r="ED13" s="838">
        <v>240.15516047</v>
      </c>
      <c r="EE13" s="838">
        <v>267.93743290999998</v>
      </c>
      <c r="EF13" s="838">
        <v>283.84134596000001</v>
      </c>
      <c r="EG13" s="838">
        <v>298.34930036999998</v>
      </c>
      <c r="EH13" s="838">
        <v>301.80546859999998</v>
      </c>
      <c r="EI13" s="838">
        <v>316.16962982000001</v>
      </c>
      <c r="EJ13" s="838">
        <v>301.55279445999997</v>
      </c>
      <c r="EK13" s="838">
        <v>279.08263332000001</v>
      </c>
      <c r="EL13" s="838">
        <v>295.24754823000001</v>
      </c>
      <c r="EM13" s="838">
        <v>309.86489827000003</v>
      </c>
      <c r="EN13" s="838">
        <v>329.37017999</v>
      </c>
      <c r="EO13" s="838">
        <v>342.60955251000001</v>
      </c>
      <c r="EP13" s="838">
        <v>306.59552860000002</v>
      </c>
      <c r="EQ13" s="838">
        <v>335.65291445000003</v>
      </c>
      <c r="ER13" s="838">
        <v>341.26056856000002</v>
      </c>
      <c r="ES13" s="838">
        <v>315.79528116</v>
      </c>
      <c r="ET13" s="838">
        <v>332.2562848</v>
      </c>
      <c r="EU13" s="838">
        <v>375.36777390999998</v>
      </c>
      <c r="EV13" s="838">
        <v>332.44120192000003</v>
      </c>
      <c r="EW13" s="838">
        <v>324.81092477999999</v>
      </c>
      <c r="EX13" s="838">
        <v>396.37800154000001</v>
      </c>
      <c r="EY13" s="838">
        <v>435.63564437000002</v>
      </c>
      <c r="EZ13" s="838">
        <v>420.40283191999998</v>
      </c>
      <c r="FA13" s="838">
        <v>447.51117786999998</v>
      </c>
      <c r="FB13" s="838">
        <v>405.52477164999999</v>
      </c>
      <c r="FC13" s="838">
        <v>421.73774588999999</v>
      </c>
      <c r="FD13" s="838">
        <v>435.65525815000001</v>
      </c>
      <c r="FE13" s="838">
        <v>455.97559494000001</v>
      </c>
      <c r="FF13" s="838">
        <v>440.71287931000001</v>
      </c>
      <c r="FG13" s="838">
        <v>425.35300783999998</v>
      </c>
      <c r="FH13" s="1710" t="s">
        <v>4064</v>
      </c>
      <c r="FM13" s="321"/>
    </row>
    <row r="14" spans="1:302" ht="21">
      <c r="A14" s="1723" t="s">
        <v>1961</v>
      </c>
      <c r="B14" s="783">
        <v>650.41113174999998</v>
      </c>
      <c r="C14" s="783">
        <v>121.7726464</v>
      </c>
      <c r="D14" s="783">
        <v>83.368055939999991</v>
      </c>
      <c r="E14" s="783">
        <v>72.055313510000005</v>
      </c>
      <c r="F14" s="783">
        <v>65.779194959999998</v>
      </c>
      <c r="G14" s="783">
        <v>59.858204659999998</v>
      </c>
      <c r="H14" s="783">
        <v>51.425258720000002</v>
      </c>
      <c r="I14" s="783">
        <v>54.107795719999999</v>
      </c>
      <c r="J14" s="783">
        <v>53.813629559999995</v>
      </c>
      <c r="K14" s="783">
        <v>45.197733810000003</v>
      </c>
      <c r="L14" s="783">
        <v>35.764143869999998</v>
      </c>
      <c r="M14" s="784">
        <v>25.942348289999998</v>
      </c>
      <c r="N14" s="784">
        <v>9.4000834700000002</v>
      </c>
      <c r="O14" s="784">
        <v>8.5983040000000006</v>
      </c>
      <c r="P14" s="784">
        <v>11.97663275</v>
      </c>
      <c r="Q14" s="784">
        <v>12.281787339999999</v>
      </c>
      <c r="R14" s="784">
        <v>13.766649789999999</v>
      </c>
      <c r="S14" s="784">
        <v>12.529960460000002</v>
      </c>
      <c r="T14" s="784">
        <v>13.914934199999999</v>
      </c>
      <c r="U14" s="784">
        <v>13.24890291</v>
      </c>
      <c r="V14" s="784">
        <v>13.416887300000001</v>
      </c>
      <c r="W14" s="784">
        <v>14.015406050000001</v>
      </c>
      <c r="X14" s="784">
        <v>13.613941310000001</v>
      </c>
      <c r="Y14" s="784">
        <v>12.48963131</v>
      </c>
      <c r="Z14" s="784">
        <v>7.5203049900000005</v>
      </c>
      <c r="AA14" s="784">
        <v>6.9408427599999998</v>
      </c>
      <c r="AB14" s="784">
        <v>2.4049563300000001</v>
      </c>
      <c r="AC14" s="784">
        <v>1.8466481200000002</v>
      </c>
      <c r="AD14" s="784">
        <v>2.1767448899999997</v>
      </c>
      <c r="AE14" s="784">
        <v>1.08859321</v>
      </c>
      <c r="AF14" s="784">
        <v>1.896695</v>
      </c>
      <c r="AG14" s="784">
        <v>1.9988699999999999</v>
      </c>
      <c r="AH14" s="784">
        <v>1.8954366899999999</v>
      </c>
      <c r="AI14" s="784">
        <v>5.3511279599999995</v>
      </c>
      <c r="AJ14" s="784">
        <v>7.5500896499999994</v>
      </c>
      <c r="AK14" s="784">
        <v>17.543890359999999</v>
      </c>
      <c r="AL14" s="784">
        <v>19.240113940000001</v>
      </c>
      <c r="AM14" s="784">
        <v>18.2445795</v>
      </c>
      <c r="AN14" s="784">
        <v>18.772289520000001</v>
      </c>
      <c r="AO14" s="784">
        <v>18.914564640000002</v>
      </c>
      <c r="AP14" s="784">
        <v>18.014781990000003</v>
      </c>
      <c r="AQ14" s="784">
        <v>18.06390648</v>
      </c>
      <c r="AR14" s="784">
        <v>18.973721699999999</v>
      </c>
      <c r="AS14" s="784">
        <v>19.313851190000001</v>
      </c>
      <c r="AT14" s="784">
        <v>19.672717380000002</v>
      </c>
      <c r="AU14" s="784">
        <v>17.37625091</v>
      </c>
      <c r="AV14" s="784">
        <v>17.040956449999999</v>
      </c>
      <c r="AW14" s="784">
        <v>17.54308606</v>
      </c>
      <c r="AX14" s="784">
        <v>20.497531479999999</v>
      </c>
      <c r="AY14" s="784">
        <v>19.751545419999999</v>
      </c>
      <c r="AZ14" s="784">
        <v>16.91437535</v>
      </c>
      <c r="BA14" s="784">
        <v>20.12416035</v>
      </c>
      <c r="BB14" s="784">
        <v>21.064033819999999</v>
      </c>
      <c r="BC14" s="784">
        <v>20.525368280000002</v>
      </c>
      <c r="BD14" s="784">
        <v>20.946569279999999</v>
      </c>
      <c r="BE14" s="784">
        <v>20.902486879999998</v>
      </c>
      <c r="BF14" s="784">
        <v>20.682232889999998</v>
      </c>
      <c r="BG14" s="784">
        <v>19.15858742</v>
      </c>
      <c r="BH14" s="827">
        <v>21.570038180000001</v>
      </c>
      <c r="BI14" s="816">
        <v>21.557572069999999</v>
      </c>
      <c r="BJ14" s="816">
        <v>19.034693950000001</v>
      </c>
      <c r="BK14" s="816">
        <v>21.245904289999999</v>
      </c>
      <c r="BL14" s="816">
        <v>21.079163270000002</v>
      </c>
      <c r="BM14" s="816">
        <v>18.459834610000001</v>
      </c>
      <c r="BN14" s="816">
        <v>18.103456810000001</v>
      </c>
      <c r="BO14" s="816">
        <v>15.836106860000001</v>
      </c>
      <c r="BP14" s="816">
        <v>15.282047380000002</v>
      </c>
      <c r="BQ14" s="816">
        <v>15.35496749</v>
      </c>
      <c r="BR14" s="816">
        <v>16.21010922</v>
      </c>
      <c r="BS14" s="816">
        <v>14.549584830000001</v>
      </c>
      <c r="BT14" s="816">
        <v>16.812253519999999</v>
      </c>
      <c r="BU14" s="816">
        <v>6.2650000000000006</v>
      </c>
      <c r="BV14" s="816">
        <v>6.7940000000000005</v>
      </c>
      <c r="BW14" s="816">
        <v>7.0139999999999993</v>
      </c>
      <c r="BX14" s="816">
        <v>8.1950000000000003</v>
      </c>
      <c r="BY14" s="816">
        <v>8.0359999999999996</v>
      </c>
      <c r="BZ14" s="816">
        <v>8.2110000000000003</v>
      </c>
      <c r="CA14" s="816">
        <v>7.6859999999999999</v>
      </c>
      <c r="CB14" s="816">
        <v>7.7887000000000004</v>
      </c>
      <c r="CC14" s="816">
        <v>7.3456999999999999</v>
      </c>
      <c r="CD14" s="816">
        <v>7.1909999999999998</v>
      </c>
      <c r="CE14" s="816">
        <v>6.7069999999999999</v>
      </c>
      <c r="CF14" s="816">
        <v>6.5890000000000004</v>
      </c>
      <c r="CG14" s="816">
        <v>6.5227458799999996</v>
      </c>
      <c r="CH14" s="816">
        <v>7.5727396699999998</v>
      </c>
      <c r="CI14" s="816">
        <v>9.1257390000000012</v>
      </c>
      <c r="CJ14" s="816">
        <v>9.5325889999999998</v>
      </c>
      <c r="CK14" s="816">
        <v>7.54405036</v>
      </c>
      <c r="CL14" s="816">
        <v>15.333654800000001</v>
      </c>
      <c r="CM14" s="816">
        <v>21.437702510000001</v>
      </c>
      <c r="CN14" s="816">
        <v>22.549366110000001</v>
      </c>
      <c r="CO14" s="816">
        <v>22.42336611</v>
      </c>
      <c r="CP14" s="816">
        <v>21.76210335</v>
      </c>
      <c r="CQ14" s="816">
        <v>26.53186479</v>
      </c>
      <c r="CR14" s="816">
        <v>29.511061259999998</v>
      </c>
      <c r="CS14" s="816">
        <v>21.133880769999998</v>
      </c>
      <c r="CT14" s="816">
        <v>13.09826934</v>
      </c>
      <c r="CU14" s="816">
        <v>9.0209716400000008</v>
      </c>
      <c r="CV14" s="816">
        <v>8.7614615899999997</v>
      </c>
      <c r="CW14" s="816">
        <v>4.8704298000000001</v>
      </c>
      <c r="CX14" s="816">
        <v>8.9205261999999994</v>
      </c>
      <c r="CY14" s="816">
        <v>9.2053453800000007</v>
      </c>
      <c r="CZ14" s="816">
        <v>9.7330824699999994</v>
      </c>
      <c r="DA14" s="816">
        <v>9.3675582500000001</v>
      </c>
      <c r="DB14" s="816">
        <v>9.6358915500000002</v>
      </c>
      <c r="DC14" s="816">
        <v>10.078200000000001</v>
      </c>
      <c r="DD14" s="886">
        <v>10.281391920000001</v>
      </c>
      <c r="DE14" s="886">
        <v>8.4299919200000009</v>
      </c>
      <c r="DF14" s="886">
        <v>8.4279919200000002</v>
      </c>
      <c r="DG14" s="839">
        <v>8.4279919200000002</v>
      </c>
      <c r="DH14" s="839">
        <v>8.4562030200000002</v>
      </c>
      <c r="DI14" s="839">
        <v>8.4732030199999997</v>
      </c>
      <c r="DJ14" s="839">
        <v>8.3318947600000008</v>
      </c>
      <c r="DK14" s="839">
        <v>5.2045525599999998</v>
      </c>
      <c r="DL14" s="839">
        <v>5.2024812999999996</v>
      </c>
      <c r="DM14" s="839">
        <v>5.4320924100000001</v>
      </c>
      <c r="DN14" s="839">
        <v>5.4067743699999999</v>
      </c>
      <c r="DO14" s="839">
        <v>5.3827034999999999</v>
      </c>
      <c r="DP14" s="839">
        <v>5.3224290200000004</v>
      </c>
      <c r="DQ14" s="839">
        <v>10.308236490000001</v>
      </c>
      <c r="DR14" s="839">
        <v>10.29899397</v>
      </c>
      <c r="DS14" s="839">
        <v>8.6647075200000003</v>
      </c>
      <c r="DT14" s="839">
        <v>7.4537629799999996</v>
      </c>
      <c r="DU14" s="839">
        <v>5.67875029</v>
      </c>
      <c r="DV14" s="839">
        <v>10.775110059999999</v>
      </c>
      <c r="DW14" s="839">
        <v>9.9747194500000003</v>
      </c>
      <c r="DX14" s="839">
        <v>10.463433090000001</v>
      </c>
      <c r="DY14" s="839">
        <v>11.045642300000001</v>
      </c>
      <c r="DZ14" s="839">
        <v>11.203847870000001</v>
      </c>
      <c r="EA14" s="839">
        <v>3.7315561000000002</v>
      </c>
      <c r="EB14" s="839">
        <v>10.050590189999999</v>
      </c>
      <c r="EC14" s="839">
        <v>11.08775857</v>
      </c>
      <c r="ED14" s="839">
        <v>11.05338845</v>
      </c>
      <c r="EE14" s="839">
        <v>11.387021880000001</v>
      </c>
      <c r="EF14" s="839">
        <v>11.377165339999999</v>
      </c>
      <c r="EG14" s="839">
        <v>11.3652085</v>
      </c>
      <c r="EH14" s="839">
        <v>11.3827765</v>
      </c>
      <c r="EI14" s="839">
        <v>11.362555</v>
      </c>
      <c r="EJ14" s="839">
        <v>10.868392869999999</v>
      </c>
      <c r="EK14" s="839">
        <v>10.96</v>
      </c>
      <c r="EL14" s="839">
        <v>10.96</v>
      </c>
      <c r="EM14" s="839">
        <v>10.96</v>
      </c>
      <c r="EN14" s="839">
        <v>6.25</v>
      </c>
      <c r="EO14" s="839">
        <v>4.88614704</v>
      </c>
      <c r="EP14" s="839">
        <v>4.8822612899999998</v>
      </c>
      <c r="EQ14" s="839">
        <v>4.8782787399999998</v>
      </c>
      <c r="ER14" s="839">
        <v>2.0740776699999999</v>
      </c>
      <c r="ES14" s="839">
        <v>2.0700555700000001</v>
      </c>
      <c r="ET14" s="839">
        <v>2.04</v>
      </c>
      <c r="EU14" s="839">
        <v>2.04</v>
      </c>
      <c r="EV14" s="839">
        <v>2.04</v>
      </c>
      <c r="EW14" s="839">
        <v>2.04</v>
      </c>
      <c r="EX14" s="839">
        <v>4.0629999999999997</v>
      </c>
      <c r="EY14" s="839">
        <v>2.0230000000000001</v>
      </c>
      <c r="EZ14" s="839">
        <v>10.573499999999999</v>
      </c>
      <c r="FA14" s="839">
        <v>12.06563444</v>
      </c>
      <c r="FB14" s="839">
        <v>12.06161848</v>
      </c>
      <c r="FC14" s="839">
        <v>12.05758638</v>
      </c>
      <c r="FD14" s="839">
        <v>12.053708110000001</v>
      </c>
      <c r="FE14" s="839">
        <v>5.4534197999999998</v>
      </c>
      <c r="FF14" s="839">
        <v>10.894504400000001</v>
      </c>
      <c r="FG14" s="839">
        <v>5.8993015900000003</v>
      </c>
      <c r="FH14" s="1712" t="s">
        <v>4067</v>
      </c>
      <c r="FM14" s="321"/>
    </row>
    <row r="15" spans="1:302" ht="21">
      <c r="A15" s="1723" t="s">
        <v>1962</v>
      </c>
      <c r="B15" s="783">
        <f>+B13-B14</f>
        <v>113.92165654999997</v>
      </c>
      <c r="C15" s="783">
        <f t="shared" ref="C15:V15" si="2">+C13-C14</f>
        <v>151.36371589999999</v>
      </c>
      <c r="D15" s="783">
        <f t="shared" si="2"/>
        <v>159.45001030999998</v>
      </c>
      <c r="E15" s="783">
        <f t="shared" si="2"/>
        <v>163.71757284</v>
      </c>
      <c r="F15" s="783">
        <f t="shared" si="2"/>
        <v>174.16284645000002</v>
      </c>
      <c r="G15" s="783">
        <f t="shared" si="2"/>
        <v>189.48080628000002</v>
      </c>
      <c r="H15" s="783">
        <f t="shared" si="2"/>
        <v>198.89675606000003</v>
      </c>
      <c r="I15" s="783">
        <f t="shared" si="2"/>
        <v>215.14146273</v>
      </c>
      <c r="J15" s="783">
        <f t="shared" si="2"/>
        <v>219.15417156000001</v>
      </c>
      <c r="K15" s="783">
        <f t="shared" si="2"/>
        <v>226.59764765000006</v>
      </c>
      <c r="L15" s="783">
        <f t="shared" si="2"/>
        <v>226.25446764999998</v>
      </c>
      <c r="M15" s="784">
        <f t="shared" si="2"/>
        <v>235.29220862</v>
      </c>
      <c r="N15" s="784">
        <f t="shared" si="2"/>
        <v>228.80372524999999</v>
      </c>
      <c r="O15" s="784">
        <f t="shared" si="2"/>
        <v>243.88815185999999</v>
      </c>
      <c r="P15" s="784">
        <f t="shared" si="2"/>
        <v>248.81482480000003</v>
      </c>
      <c r="Q15" s="784">
        <f t="shared" si="2"/>
        <v>282.06559851000003</v>
      </c>
      <c r="R15" s="784">
        <f t="shared" si="2"/>
        <v>281.46720081000001</v>
      </c>
      <c r="S15" s="784">
        <f t="shared" si="2"/>
        <v>282.31705681000005</v>
      </c>
      <c r="T15" s="784">
        <f t="shared" si="2"/>
        <v>290.09000979000001</v>
      </c>
      <c r="U15" s="784">
        <f t="shared" si="2"/>
        <v>286.95440732999992</v>
      </c>
      <c r="V15" s="784">
        <f t="shared" si="2"/>
        <v>296.11808303999999</v>
      </c>
      <c r="W15" s="784">
        <v>295.95194555</v>
      </c>
      <c r="X15" s="784">
        <v>301.93869950999999</v>
      </c>
      <c r="Y15" s="784">
        <v>294.83412150999999</v>
      </c>
      <c r="Z15" s="784">
        <v>292.74842508999996</v>
      </c>
      <c r="AA15" s="784">
        <v>472.46727100999999</v>
      </c>
      <c r="AB15" s="784">
        <f>+AB13-AB14</f>
        <v>479.14376537000004</v>
      </c>
      <c r="AC15" s="784">
        <v>484.44431067000005</v>
      </c>
      <c r="AD15" s="784">
        <v>454.32460867999998</v>
      </c>
      <c r="AE15" s="784">
        <v>446.65394505</v>
      </c>
      <c r="AF15" s="784">
        <v>450.99431069000002</v>
      </c>
      <c r="AG15" s="784">
        <v>403.89175719000002</v>
      </c>
      <c r="AH15" s="784">
        <f>+AH13-AH14</f>
        <v>403.41657815000002</v>
      </c>
      <c r="AI15" s="784">
        <v>477.70220437000006</v>
      </c>
      <c r="AJ15" s="784">
        <f>+AJ13-AJ14</f>
        <v>692.65912483</v>
      </c>
      <c r="AK15" s="784">
        <f>+AK13-AK14</f>
        <v>705.58963729999994</v>
      </c>
      <c r="AL15" s="784">
        <v>654.15222525000001</v>
      </c>
      <c r="AM15" s="784">
        <f>+AM13-AM14</f>
        <v>591.25556230000007</v>
      </c>
      <c r="AN15" s="784">
        <f>+AN13-AN14</f>
        <v>304.39444381999999</v>
      </c>
      <c r="AO15" s="784">
        <f>+AO13-AO14</f>
        <v>296.96705562</v>
      </c>
      <c r="AP15" s="784">
        <f>+AP13-AP14</f>
        <v>295.41107883000001</v>
      </c>
      <c r="AQ15" s="784">
        <v>413.29059660000001</v>
      </c>
      <c r="AR15" s="784">
        <f>+AR13-AR14</f>
        <v>398.42773315999995</v>
      </c>
      <c r="AS15" s="784">
        <f>+AS13-AS14</f>
        <v>412.61081533000004</v>
      </c>
      <c r="AT15" s="784">
        <f>+AT13-AT14</f>
        <v>413.19935342000002</v>
      </c>
      <c r="AU15" s="784">
        <v>310.05979332999999</v>
      </c>
      <c r="AV15" s="784">
        <v>327.92172204000002</v>
      </c>
      <c r="AW15" s="784">
        <v>365.41466387999998</v>
      </c>
      <c r="AX15" s="784">
        <v>384.68312245999999</v>
      </c>
      <c r="AY15" s="784">
        <v>358.53125471000004</v>
      </c>
      <c r="AZ15" s="784">
        <v>360.17644293000001</v>
      </c>
      <c r="BA15" s="784">
        <v>365.45682789000011</v>
      </c>
      <c r="BB15" s="784">
        <v>232.88945762</v>
      </c>
      <c r="BC15" s="784">
        <v>229.6659559</v>
      </c>
      <c r="BD15" s="784">
        <f>+BD13-BD14</f>
        <v>219.85746946999996</v>
      </c>
      <c r="BE15" s="784">
        <v>224.21082946999999</v>
      </c>
      <c r="BF15" s="784">
        <v>227.73988539000001</v>
      </c>
      <c r="BG15" s="784">
        <v>225.74379873000001</v>
      </c>
      <c r="BH15" s="827">
        <v>233.52691169000002</v>
      </c>
      <c r="BI15" s="816">
        <v>235.25034807999998</v>
      </c>
      <c r="BJ15" s="816">
        <v>232.79521217000001</v>
      </c>
      <c r="BK15" s="816">
        <v>246.93275713000003</v>
      </c>
      <c r="BL15" s="816">
        <v>240.67760756999999</v>
      </c>
      <c r="BM15" s="816">
        <v>246.38224371999999</v>
      </c>
      <c r="BN15" s="816">
        <v>249.13784666000004</v>
      </c>
      <c r="BO15" s="816">
        <v>234.74206591999996</v>
      </c>
      <c r="BP15" s="816">
        <v>229.59590252000004</v>
      </c>
      <c r="BQ15" s="816">
        <v>242.42557886</v>
      </c>
      <c r="BR15" s="816">
        <v>242.53379315000001</v>
      </c>
      <c r="BS15" s="816">
        <v>257.16169384999995</v>
      </c>
      <c r="BT15" s="816">
        <v>254.37822445999996</v>
      </c>
      <c r="BU15" s="816">
        <v>258.32271673000002</v>
      </c>
      <c r="BV15" s="816">
        <v>263.82041042999998</v>
      </c>
      <c r="BW15" s="816">
        <v>242.40593125000001</v>
      </c>
      <c r="BX15" s="816">
        <v>252.91012685000004</v>
      </c>
      <c r="BY15" s="816">
        <v>261.65904792999999</v>
      </c>
      <c r="BZ15" s="816">
        <v>264.98023680999995</v>
      </c>
      <c r="CA15" s="816">
        <v>270.31182221</v>
      </c>
      <c r="CB15" s="816">
        <v>276.26611932999998</v>
      </c>
      <c r="CC15" s="816">
        <v>243.86818495999998</v>
      </c>
      <c r="CD15" s="816">
        <v>222.18710027</v>
      </c>
      <c r="CE15" s="816">
        <f t="shared" ref="CE15:CP15" si="3">+CE13-CE14</f>
        <v>220.19117868999996</v>
      </c>
      <c r="CF15" s="816">
        <f t="shared" si="3"/>
        <v>218.40774381</v>
      </c>
      <c r="CG15" s="816">
        <f t="shared" si="3"/>
        <v>189.65845440999999</v>
      </c>
      <c r="CH15" s="816">
        <f t="shared" si="3"/>
        <v>164.15836933</v>
      </c>
      <c r="CI15" s="816">
        <f t="shared" si="3"/>
        <v>157.58041843999999</v>
      </c>
      <c r="CJ15" s="816">
        <f t="shared" si="3"/>
        <v>148.63976697000001</v>
      </c>
      <c r="CK15" s="816">
        <f t="shared" si="3"/>
        <v>164.31845279000001</v>
      </c>
      <c r="CL15" s="816">
        <f t="shared" si="3"/>
        <v>160.75043001</v>
      </c>
      <c r="CM15" s="816">
        <f t="shared" si="3"/>
        <v>168.76657946999998</v>
      </c>
      <c r="CN15" s="816">
        <f t="shared" si="3"/>
        <v>181.11890393000002</v>
      </c>
      <c r="CO15" s="816">
        <f t="shared" si="3"/>
        <v>165.72749795999999</v>
      </c>
      <c r="CP15" s="816">
        <f t="shared" si="3"/>
        <v>146.08957541000001</v>
      </c>
      <c r="CQ15" s="816">
        <f>+CQ13-CQ14</f>
        <v>153.74084835000002</v>
      </c>
      <c r="CR15" s="816">
        <f>+CR13-CR14</f>
        <v>167.08439536</v>
      </c>
      <c r="CS15" s="816">
        <v>176.97791615000003</v>
      </c>
      <c r="CT15" s="816">
        <v>174.83845987999999</v>
      </c>
      <c r="CU15" s="816">
        <v>171.0268245</v>
      </c>
      <c r="CV15" s="816">
        <v>180.39316170999999</v>
      </c>
      <c r="CW15" s="816">
        <v>180.14031847000001</v>
      </c>
      <c r="CX15" s="816">
        <v>179.08098885000001</v>
      </c>
      <c r="CY15" s="816">
        <v>175.23894576000001</v>
      </c>
      <c r="CZ15" s="816">
        <v>171.48391592999999</v>
      </c>
      <c r="DA15" s="816">
        <v>155.76718326</v>
      </c>
      <c r="DB15" s="816">
        <v>178.54731538999999</v>
      </c>
      <c r="DC15" s="816">
        <v>171.33815215999999</v>
      </c>
      <c r="DD15" s="886">
        <v>151.68891450999999</v>
      </c>
      <c r="DE15" s="886">
        <v>184.78195980000001</v>
      </c>
      <c r="DF15" s="886">
        <v>173.94829738000001</v>
      </c>
      <c r="DG15" s="839">
        <v>210.71680309999999</v>
      </c>
      <c r="DH15" s="839">
        <v>219.83607488999999</v>
      </c>
      <c r="DI15" s="839">
        <v>229.40413563999999</v>
      </c>
      <c r="DJ15" s="839">
        <v>197.05029200999999</v>
      </c>
      <c r="DK15" s="839">
        <v>211.76224314999999</v>
      </c>
      <c r="DL15" s="839">
        <v>271.90374976999999</v>
      </c>
      <c r="DM15" s="839">
        <v>297.29406886999999</v>
      </c>
      <c r="DN15" s="839">
        <v>304.27070874999998</v>
      </c>
      <c r="DO15" s="839">
        <v>320.57386983999999</v>
      </c>
      <c r="DP15" s="839">
        <v>289.86660816</v>
      </c>
      <c r="DQ15" s="839">
        <v>282.42017322999999</v>
      </c>
      <c r="DR15" s="839">
        <v>306.56287348000001</v>
      </c>
      <c r="DS15" s="839">
        <v>315.37730194</v>
      </c>
      <c r="DT15" s="839">
        <v>318.96135992000001</v>
      </c>
      <c r="DU15" s="839">
        <v>302.75028641</v>
      </c>
      <c r="DV15" s="839">
        <v>300.16848169999997</v>
      </c>
      <c r="DW15" s="839">
        <v>289.38403246000001</v>
      </c>
      <c r="DX15" s="839">
        <v>230.78649763999999</v>
      </c>
      <c r="DY15" s="839">
        <v>246.55671505000001</v>
      </c>
      <c r="DZ15" s="839">
        <v>257.20770326000002</v>
      </c>
      <c r="EA15" s="839">
        <v>260.19826554000002</v>
      </c>
      <c r="EB15" s="839">
        <v>265.35985851999999</v>
      </c>
      <c r="EC15" s="839">
        <v>272.84959866000003</v>
      </c>
      <c r="ED15" s="839">
        <v>229.10177202</v>
      </c>
      <c r="EE15" s="839">
        <v>256.55041103000002</v>
      </c>
      <c r="EF15" s="839">
        <v>272.46418061999998</v>
      </c>
      <c r="EG15" s="839">
        <v>286.98409186999999</v>
      </c>
      <c r="EH15" s="839">
        <v>290.42269210000001</v>
      </c>
      <c r="EI15" s="839">
        <v>304.80707482000003</v>
      </c>
      <c r="EJ15" s="839">
        <v>290.68440158999999</v>
      </c>
      <c r="EK15" s="839">
        <v>268.12263331999998</v>
      </c>
      <c r="EL15" s="839">
        <v>284.28754823000003</v>
      </c>
      <c r="EM15" s="839">
        <v>298.90489826999999</v>
      </c>
      <c r="EN15" s="839">
        <v>323.12017999</v>
      </c>
      <c r="EO15" s="839">
        <v>337.72340546999999</v>
      </c>
      <c r="EP15" s="839">
        <v>301.71326730999999</v>
      </c>
      <c r="EQ15" s="839">
        <v>330.77463570999998</v>
      </c>
      <c r="ER15" s="839">
        <v>339.18649089000002</v>
      </c>
      <c r="ES15" s="839">
        <v>313.72522558999998</v>
      </c>
      <c r="ET15" s="839">
        <v>330.21628479999998</v>
      </c>
      <c r="EU15" s="839">
        <v>373.32777391000002</v>
      </c>
      <c r="EV15" s="839">
        <v>330.40120192000001</v>
      </c>
      <c r="EW15" s="839">
        <v>322.77092477999997</v>
      </c>
      <c r="EX15" s="839">
        <v>392.31500154000003</v>
      </c>
      <c r="EY15" s="839">
        <v>433.61264437</v>
      </c>
      <c r="EZ15" s="839">
        <v>409.82933192000002</v>
      </c>
      <c r="FA15" s="839">
        <v>435.44554342999999</v>
      </c>
      <c r="FB15" s="839">
        <v>393.46315317</v>
      </c>
      <c r="FC15" s="839">
        <v>409.68015951000001</v>
      </c>
      <c r="FD15" s="839">
        <v>423.60155004000001</v>
      </c>
      <c r="FE15" s="839">
        <v>450.52217514</v>
      </c>
      <c r="FF15" s="839">
        <v>429.81837490999999</v>
      </c>
      <c r="FG15" s="839">
        <v>419.45370624999998</v>
      </c>
      <c r="FH15" s="1712" t="s">
        <v>4066</v>
      </c>
      <c r="FM15" s="321"/>
    </row>
    <row r="16" spans="1:302" ht="21">
      <c r="A16" s="1720"/>
      <c r="B16" s="780"/>
      <c r="C16" s="780"/>
      <c r="D16" s="780"/>
      <c r="E16" s="780"/>
      <c r="F16" s="780"/>
      <c r="G16" s="780"/>
      <c r="H16" s="780"/>
      <c r="I16" s="780"/>
      <c r="J16" s="780"/>
      <c r="K16" s="780"/>
      <c r="L16" s="780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781"/>
      <c r="AA16" s="781"/>
      <c r="AB16" s="781"/>
      <c r="AC16" s="781"/>
      <c r="AD16" s="781"/>
      <c r="AE16" s="781"/>
      <c r="AF16" s="781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  <c r="AT16" s="781"/>
      <c r="AU16" s="781"/>
      <c r="AV16" s="781"/>
      <c r="AW16" s="781"/>
      <c r="AX16" s="781"/>
      <c r="AY16" s="781"/>
      <c r="AZ16" s="781"/>
      <c r="BA16" s="781"/>
      <c r="BB16" s="781"/>
      <c r="BC16" s="781"/>
      <c r="BD16" s="781"/>
      <c r="BE16" s="781"/>
      <c r="BF16" s="781"/>
      <c r="BG16" s="781"/>
      <c r="BH16" s="826"/>
      <c r="BI16" s="815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5"/>
      <c r="CN16" s="815"/>
      <c r="CO16" s="815"/>
      <c r="CP16" s="815"/>
      <c r="CQ16" s="815"/>
      <c r="CR16" s="815"/>
      <c r="CS16" s="815"/>
      <c r="CT16" s="815"/>
      <c r="CU16" s="815"/>
      <c r="CV16" s="815"/>
      <c r="CW16" s="815"/>
      <c r="CX16" s="815"/>
      <c r="CY16" s="815"/>
      <c r="CZ16" s="815"/>
      <c r="DA16" s="815"/>
      <c r="DB16" s="815"/>
      <c r="DC16" s="815"/>
      <c r="DD16" s="885"/>
      <c r="DE16" s="885"/>
      <c r="DF16" s="885"/>
      <c r="DG16" s="838"/>
      <c r="DH16" s="838"/>
      <c r="DI16" s="838"/>
      <c r="DJ16" s="838"/>
      <c r="DK16" s="838"/>
      <c r="DL16" s="838"/>
      <c r="DM16" s="838"/>
      <c r="DN16" s="838"/>
      <c r="DO16" s="838"/>
      <c r="DP16" s="838"/>
      <c r="DQ16" s="838"/>
      <c r="DR16" s="838"/>
      <c r="DS16" s="838"/>
      <c r="DT16" s="838"/>
      <c r="DU16" s="838"/>
      <c r="DV16" s="838"/>
      <c r="DW16" s="838"/>
      <c r="DX16" s="838"/>
      <c r="DY16" s="838"/>
      <c r="DZ16" s="838"/>
      <c r="EA16" s="838"/>
      <c r="EB16" s="838"/>
      <c r="EC16" s="838"/>
      <c r="ED16" s="838"/>
      <c r="EE16" s="838"/>
      <c r="EF16" s="838"/>
      <c r="EG16" s="838"/>
      <c r="EH16" s="838"/>
      <c r="EI16" s="838"/>
      <c r="EJ16" s="838"/>
      <c r="EK16" s="838"/>
      <c r="EL16" s="838"/>
      <c r="EM16" s="838"/>
      <c r="EN16" s="838"/>
      <c r="EO16" s="838"/>
      <c r="EP16" s="838"/>
      <c r="EQ16" s="838"/>
      <c r="ER16" s="838"/>
      <c r="ES16" s="838"/>
      <c r="ET16" s="838"/>
      <c r="EU16" s="838"/>
      <c r="EV16" s="838"/>
      <c r="EW16" s="838"/>
      <c r="EX16" s="838"/>
      <c r="EY16" s="838"/>
      <c r="EZ16" s="838"/>
      <c r="FA16" s="838"/>
      <c r="FB16" s="838"/>
      <c r="FC16" s="838"/>
      <c r="FD16" s="838"/>
      <c r="FE16" s="838"/>
      <c r="FF16" s="838"/>
      <c r="FG16" s="838"/>
      <c r="FH16" s="1713"/>
      <c r="FM16" s="321"/>
    </row>
    <row r="17" spans="1:169" ht="21">
      <c r="A17" s="1744" t="s">
        <v>185</v>
      </c>
      <c r="B17" s="783">
        <v>720.11121107999998</v>
      </c>
      <c r="C17" s="783">
        <v>194.72925989999999</v>
      </c>
      <c r="D17" s="783">
        <v>159.93338204999998</v>
      </c>
      <c r="E17" s="783">
        <v>160.52472284000001</v>
      </c>
      <c r="F17" s="783">
        <v>159.52265652</v>
      </c>
      <c r="G17" s="783">
        <v>144.70108126</v>
      </c>
      <c r="H17" s="783">
        <v>142.56554070999999</v>
      </c>
      <c r="I17" s="783">
        <v>146.10422783000001</v>
      </c>
      <c r="J17" s="783">
        <v>145.40225165000001</v>
      </c>
      <c r="K17" s="783">
        <v>147.33464153</v>
      </c>
      <c r="L17" s="783">
        <v>135.83484147999999</v>
      </c>
      <c r="M17" s="781">
        <v>111.85460558999999</v>
      </c>
      <c r="N17" s="784">
        <v>89.153139980000006</v>
      </c>
      <c r="O17" s="784">
        <v>100.10180312</v>
      </c>
      <c r="P17" s="784">
        <v>105.09325987</v>
      </c>
      <c r="Q17" s="784">
        <v>126.47441056</v>
      </c>
      <c r="R17" s="784">
        <v>117.59632866000001</v>
      </c>
      <c r="S17" s="784">
        <v>121.62733879</v>
      </c>
      <c r="T17" s="784">
        <v>128.20105099</v>
      </c>
      <c r="U17" s="784">
        <v>121.85977472</v>
      </c>
      <c r="V17" s="784">
        <v>132.65585058000002</v>
      </c>
      <c r="W17" s="784">
        <v>134.07466457000001</v>
      </c>
      <c r="X17" s="784">
        <v>133.09121311000001</v>
      </c>
      <c r="Y17" s="781">
        <v>133.20614158000001</v>
      </c>
      <c r="Z17" s="784">
        <v>128.83268241000002</v>
      </c>
      <c r="AA17" s="784">
        <v>127.81307801</v>
      </c>
      <c r="AB17" s="781">
        <v>112.93254564999999</v>
      </c>
      <c r="AC17" s="781">
        <v>115.16454180000001</v>
      </c>
      <c r="AD17" s="781">
        <v>92.58494327999999</v>
      </c>
      <c r="AE17" s="781">
        <v>90.389732970000011</v>
      </c>
      <c r="AF17" s="781">
        <v>91.315301329999997</v>
      </c>
      <c r="AG17" s="781">
        <v>93.629050989999996</v>
      </c>
      <c r="AH17" s="781">
        <v>92.935331599999998</v>
      </c>
      <c r="AI17" s="781">
        <v>304.14350253000003</v>
      </c>
      <c r="AJ17" s="781">
        <v>90.290286630000011</v>
      </c>
      <c r="AK17" s="781">
        <v>95.557863440000006</v>
      </c>
      <c r="AL17" s="781">
        <v>87.708865000000003</v>
      </c>
      <c r="AM17" s="781">
        <v>90.368312549999999</v>
      </c>
      <c r="AN17" s="781">
        <v>82.726903800000002</v>
      </c>
      <c r="AO17" s="781">
        <v>85.98050997</v>
      </c>
      <c r="AP17" s="781">
        <v>82.526037279999997</v>
      </c>
      <c r="AQ17" s="781">
        <v>86.779612319999998</v>
      </c>
      <c r="AR17" s="781">
        <v>68.613470180000007</v>
      </c>
      <c r="AS17" s="781">
        <v>68.066315630000005</v>
      </c>
      <c r="AT17" s="781">
        <v>71.442575829999996</v>
      </c>
      <c r="AU17" s="781">
        <v>72.161136929999998</v>
      </c>
      <c r="AV17" s="781">
        <v>72.521586650000017</v>
      </c>
      <c r="AW17" s="781">
        <v>96.738754749999998</v>
      </c>
      <c r="AX17" s="781">
        <v>98.321915919999995</v>
      </c>
      <c r="AY17" s="781">
        <v>100.93252884</v>
      </c>
      <c r="AZ17" s="781">
        <v>89.123798640000004</v>
      </c>
      <c r="BA17" s="781">
        <v>81.836132660000004</v>
      </c>
      <c r="BB17" s="781">
        <v>80.807884320000014</v>
      </c>
      <c r="BC17" s="781">
        <v>81.084688370000009</v>
      </c>
      <c r="BD17" s="781">
        <v>82.561553079999996</v>
      </c>
      <c r="BE17" s="781">
        <v>88.55584816999999</v>
      </c>
      <c r="BF17" s="781">
        <v>88.351730759999995</v>
      </c>
      <c r="BG17" s="781">
        <v>88.290310669999997</v>
      </c>
      <c r="BH17" s="826">
        <v>93.113518090000014</v>
      </c>
      <c r="BI17" s="815">
        <v>86.056356940000001</v>
      </c>
      <c r="BJ17" s="815">
        <v>76.828976130000001</v>
      </c>
      <c r="BK17" s="815">
        <v>110.73359939000001</v>
      </c>
      <c r="BL17" s="815">
        <v>105.89611619</v>
      </c>
      <c r="BM17" s="815">
        <v>109.37079328999999</v>
      </c>
      <c r="BN17" s="815">
        <v>108.28777256000001</v>
      </c>
      <c r="BO17" s="815">
        <v>105.38545138999999</v>
      </c>
      <c r="BP17" s="815">
        <v>104.02466145000001</v>
      </c>
      <c r="BQ17" s="815">
        <v>102.76030075999999</v>
      </c>
      <c r="BR17" s="815">
        <v>103.35884204999999</v>
      </c>
      <c r="BS17" s="815">
        <v>107.75461632</v>
      </c>
      <c r="BT17" s="815">
        <v>111.22226065999999</v>
      </c>
      <c r="BU17" s="815">
        <v>117.00546561</v>
      </c>
      <c r="BV17" s="815">
        <v>127.90872376</v>
      </c>
      <c r="BW17" s="815">
        <v>98.859927260000006</v>
      </c>
      <c r="BX17" s="815">
        <v>99.354056549999996</v>
      </c>
      <c r="BY17" s="815">
        <v>104.12769965000001</v>
      </c>
      <c r="BZ17" s="815">
        <v>107.73652255</v>
      </c>
      <c r="CA17" s="815">
        <v>112.32144751</v>
      </c>
      <c r="CB17" s="815">
        <v>117.58753481000001</v>
      </c>
      <c r="CC17" s="815">
        <v>79.277199769999996</v>
      </c>
      <c r="CD17" s="815">
        <v>88.649087569999992</v>
      </c>
      <c r="CE17" s="815">
        <v>91.320025909999984</v>
      </c>
      <c r="CF17" s="815">
        <v>96.827300219999998</v>
      </c>
      <c r="CG17" s="815">
        <v>82.710180479999991</v>
      </c>
      <c r="CH17" s="815">
        <v>82.15486829000001</v>
      </c>
      <c r="CI17" s="815">
        <v>84.986707060000001</v>
      </c>
      <c r="CJ17" s="815">
        <v>92.257867050000002</v>
      </c>
      <c r="CK17" s="815">
        <v>105.82295098000002</v>
      </c>
      <c r="CL17" s="815">
        <v>105.88883366</v>
      </c>
      <c r="CM17" s="815">
        <v>117.17730945999999</v>
      </c>
      <c r="CN17" s="815">
        <v>129.4674224</v>
      </c>
      <c r="CO17" s="815">
        <v>133.62233340999998</v>
      </c>
      <c r="CP17" s="815">
        <v>120.99077589000001</v>
      </c>
      <c r="CQ17" s="815">
        <v>126.92148451</v>
      </c>
      <c r="CR17" s="815">
        <v>136.19566469</v>
      </c>
      <c r="CS17" s="815">
        <v>142.24177610000001</v>
      </c>
      <c r="CT17" s="815">
        <v>145.53592545000001</v>
      </c>
      <c r="CU17" s="815">
        <v>146.14189972</v>
      </c>
      <c r="CV17" s="815">
        <v>155.81307996000001</v>
      </c>
      <c r="CW17" s="815">
        <v>149.76039560000001</v>
      </c>
      <c r="CX17" s="815">
        <v>152.75246217</v>
      </c>
      <c r="CY17" s="815">
        <v>148.22829204000001</v>
      </c>
      <c r="CZ17" s="815">
        <v>142.73280592</v>
      </c>
      <c r="DA17" s="815">
        <v>122.93782935999999</v>
      </c>
      <c r="DB17" s="815">
        <v>128.02028483000001</v>
      </c>
      <c r="DC17" s="815">
        <v>128.45369385999999</v>
      </c>
      <c r="DD17" s="885">
        <v>123.17923958</v>
      </c>
      <c r="DE17" s="885">
        <v>146.82455558000001</v>
      </c>
      <c r="DF17" s="885">
        <v>133.54999178</v>
      </c>
      <c r="DG17" s="838">
        <v>167.44911625</v>
      </c>
      <c r="DH17" s="838">
        <v>171.85857386000001</v>
      </c>
      <c r="DI17" s="838">
        <v>180.95014789999999</v>
      </c>
      <c r="DJ17" s="838">
        <v>154.09880745000001</v>
      </c>
      <c r="DK17" s="838">
        <v>156.65372793</v>
      </c>
      <c r="DL17" s="838">
        <v>170.79291794</v>
      </c>
      <c r="DM17" s="838">
        <v>191.38931873999999</v>
      </c>
      <c r="DN17" s="838">
        <v>218.35430608999999</v>
      </c>
      <c r="DO17" s="838">
        <v>232.44670146000001</v>
      </c>
      <c r="DP17" s="838">
        <v>224.49026789999999</v>
      </c>
      <c r="DQ17" s="838">
        <v>217.71049951000001</v>
      </c>
      <c r="DR17" s="838">
        <v>242.23235002999999</v>
      </c>
      <c r="DS17" s="838">
        <v>246.7641429</v>
      </c>
      <c r="DT17" s="838">
        <v>253.20969435000001</v>
      </c>
      <c r="DU17" s="838">
        <v>245.50933921999999</v>
      </c>
      <c r="DV17" s="838">
        <v>255.58430145</v>
      </c>
      <c r="DW17" s="838">
        <v>250.03115775000001</v>
      </c>
      <c r="DX17" s="838">
        <v>181.60744059999999</v>
      </c>
      <c r="DY17" s="838">
        <v>187.65763683</v>
      </c>
      <c r="DZ17" s="838">
        <v>188.57040778000001</v>
      </c>
      <c r="EA17" s="838">
        <v>179.74251558</v>
      </c>
      <c r="EB17" s="838">
        <v>174.8259075</v>
      </c>
      <c r="EC17" s="838">
        <v>171.56673466000001</v>
      </c>
      <c r="ED17" s="838">
        <v>135.02707896000001</v>
      </c>
      <c r="EE17" s="838">
        <v>163.89239950000001</v>
      </c>
      <c r="EF17" s="838">
        <v>187.21103704000001</v>
      </c>
      <c r="EG17" s="838">
        <v>217.06067715</v>
      </c>
      <c r="EH17" s="838">
        <v>223.36319778999999</v>
      </c>
      <c r="EI17" s="838">
        <v>234.06631032000001</v>
      </c>
      <c r="EJ17" s="838">
        <v>222.07519550000001</v>
      </c>
      <c r="EK17" s="838">
        <v>213.52907403</v>
      </c>
      <c r="EL17" s="838">
        <v>219.92156764999999</v>
      </c>
      <c r="EM17" s="838">
        <v>229.01970154</v>
      </c>
      <c r="EN17" s="838">
        <v>236.85390142</v>
      </c>
      <c r="EO17" s="838">
        <v>243.26476762999999</v>
      </c>
      <c r="EP17" s="838">
        <v>209.40642908000001</v>
      </c>
      <c r="EQ17" s="838">
        <v>228.22350223999999</v>
      </c>
      <c r="ER17" s="838">
        <v>230.01631814000001</v>
      </c>
      <c r="ES17" s="838">
        <v>218.87772687</v>
      </c>
      <c r="ET17" s="838">
        <v>245.01218781</v>
      </c>
      <c r="EU17" s="838">
        <v>292.45565837999999</v>
      </c>
      <c r="EV17" s="838">
        <v>246.8369586</v>
      </c>
      <c r="EW17" s="838">
        <v>245.31002516999999</v>
      </c>
      <c r="EX17" s="838">
        <v>302.52430477000001</v>
      </c>
      <c r="EY17" s="838">
        <v>314.49289395</v>
      </c>
      <c r="EZ17" s="838">
        <v>297.12618043999998</v>
      </c>
      <c r="FA17" s="838">
        <v>324.83188364</v>
      </c>
      <c r="FB17" s="838">
        <v>287.98351157000002</v>
      </c>
      <c r="FC17" s="838">
        <v>301.58493182000001</v>
      </c>
      <c r="FD17" s="838">
        <v>313.00730331</v>
      </c>
      <c r="FE17" s="838">
        <v>339.1909551</v>
      </c>
      <c r="FF17" s="838">
        <v>345.96160530999998</v>
      </c>
      <c r="FG17" s="838">
        <v>326.37626290999998</v>
      </c>
      <c r="FH17" s="1714" t="s">
        <v>206</v>
      </c>
      <c r="FM17" s="321"/>
    </row>
    <row r="18" spans="1:169" ht="21">
      <c r="A18" s="1745" t="s">
        <v>1961</v>
      </c>
      <c r="B18" s="780">
        <v>636.01739175</v>
      </c>
      <c r="C18" s="780">
        <v>115.9651264</v>
      </c>
      <c r="D18" s="780">
        <v>79.914935939999992</v>
      </c>
      <c r="E18" s="780">
        <v>72.055313510000005</v>
      </c>
      <c r="F18" s="780">
        <v>65.779194959999998</v>
      </c>
      <c r="G18" s="780">
        <v>59.269829659999999</v>
      </c>
      <c r="H18" s="780">
        <v>51.425258720000002</v>
      </c>
      <c r="I18" s="780">
        <v>52.382115720000002</v>
      </c>
      <c r="J18" s="780">
        <v>49.498879559999999</v>
      </c>
      <c r="K18" s="780">
        <v>45.197733810000003</v>
      </c>
      <c r="L18" s="780">
        <v>35.764143869999998</v>
      </c>
      <c r="M18" s="784">
        <v>25.942348289999998</v>
      </c>
      <c r="N18" s="781">
        <v>9.4000834700000002</v>
      </c>
      <c r="O18" s="781">
        <v>8.5983040000000006</v>
      </c>
      <c r="P18" s="781">
        <v>11.97663275</v>
      </c>
      <c r="Q18" s="781">
        <v>12.281787339999999</v>
      </c>
      <c r="R18" s="781">
        <v>13.766649789999999</v>
      </c>
      <c r="S18" s="781">
        <v>12.529960460000002</v>
      </c>
      <c r="T18" s="781">
        <v>13.914934199999999</v>
      </c>
      <c r="U18" s="781">
        <v>13.24890291</v>
      </c>
      <c r="V18" s="781">
        <v>13.416887300000001</v>
      </c>
      <c r="W18" s="781">
        <v>14.015406050000001</v>
      </c>
      <c r="X18" s="781">
        <v>13.613941310000001</v>
      </c>
      <c r="Y18" s="784">
        <v>12.48963131</v>
      </c>
      <c r="Z18" s="781">
        <v>7.5203049900000005</v>
      </c>
      <c r="AA18" s="781">
        <v>6.7308827600000001</v>
      </c>
      <c r="AB18" s="784">
        <v>2.1952563299999999</v>
      </c>
      <c r="AC18" s="784">
        <v>1.6369081200000002</v>
      </c>
      <c r="AD18" s="784">
        <v>1.9668648899999999</v>
      </c>
      <c r="AE18" s="784">
        <v>0.87893320999999991</v>
      </c>
      <c r="AF18" s="784">
        <v>1.7392700000000001</v>
      </c>
      <c r="AG18" s="784">
        <v>1.7892699999999999</v>
      </c>
      <c r="AH18" s="784">
        <v>1.6858366899999999</v>
      </c>
      <c r="AI18" s="784">
        <v>2.5095144300000003</v>
      </c>
      <c r="AJ18" s="784">
        <v>4.7681624299999994</v>
      </c>
      <c r="AK18" s="784">
        <v>2.51684142</v>
      </c>
      <c r="AL18" s="784">
        <v>3.7653435399999999</v>
      </c>
      <c r="AM18" s="784">
        <v>3.56099342</v>
      </c>
      <c r="AN18" s="784">
        <v>4.3081834199999998</v>
      </c>
      <c r="AO18" s="784">
        <v>4.8365834200000002</v>
      </c>
      <c r="AP18" s="784">
        <v>4.5915445300000002</v>
      </c>
      <c r="AQ18" s="784">
        <v>4.2775630400000004</v>
      </c>
      <c r="AR18" s="784">
        <v>4.3514367500000004</v>
      </c>
      <c r="AS18" s="784">
        <v>3.9271130400000001</v>
      </c>
      <c r="AT18" s="784">
        <v>4.5648387900000005</v>
      </c>
      <c r="AU18" s="784">
        <v>4.5571547900000002</v>
      </c>
      <c r="AV18" s="784">
        <v>3.7206134700000004</v>
      </c>
      <c r="AW18" s="784">
        <v>4.0084596800000005</v>
      </c>
      <c r="AX18" s="784">
        <v>5.8484596799999995</v>
      </c>
      <c r="AY18" s="784">
        <v>6.37080118</v>
      </c>
      <c r="AZ18" s="784">
        <v>3.2525686299999998</v>
      </c>
      <c r="BA18" s="784">
        <v>6.9486822500000001</v>
      </c>
      <c r="BB18" s="784">
        <v>6.6975244000000007</v>
      </c>
      <c r="BC18" s="784">
        <v>6.2060431900000008</v>
      </c>
      <c r="BD18" s="784">
        <v>7.1442663299999998</v>
      </c>
      <c r="BE18" s="784">
        <v>7.2661542099999998</v>
      </c>
      <c r="BF18" s="784">
        <v>7.1373235399999997</v>
      </c>
      <c r="BG18" s="784">
        <v>6.16622629</v>
      </c>
      <c r="BH18" s="827">
        <v>8.5784412200000002</v>
      </c>
      <c r="BI18" s="816">
        <v>8.5659751100000001</v>
      </c>
      <c r="BJ18" s="816">
        <v>6.0430969900000004</v>
      </c>
      <c r="BK18" s="816">
        <v>8.2543073299999996</v>
      </c>
      <c r="BL18" s="816">
        <v>8.0883304699999989</v>
      </c>
      <c r="BM18" s="816">
        <v>5.46900181</v>
      </c>
      <c r="BN18" s="816">
        <v>5.1126240100000002</v>
      </c>
      <c r="BO18" s="816">
        <v>2.8452740599999999</v>
      </c>
      <c r="BP18" s="816">
        <v>2.2912145800000001</v>
      </c>
      <c r="BQ18" s="816">
        <v>3.0101346900000001</v>
      </c>
      <c r="BR18" s="816">
        <v>3.8652764199999998</v>
      </c>
      <c r="BS18" s="816">
        <v>2.2047520299999999</v>
      </c>
      <c r="BT18" s="816">
        <v>4.4674207199999998</v>
      </c>
      <c r="BU18" s="816">
        <v>5.0750000000000002</v>
      </c>
      <c r="BV18" s="816">
        <v>5.6040000000000001</v>
      </c>
      <c r="BW18" s="816">
        <v>5.8239999999999998</v>
      </c>
      <c r="BX18" s="816">
        <v>7.0049999999999999</v>
      </c>
      <c r="BY18" s="816">
        <v>6.8460000000000001</v>
      </c>
      <c r="BZ18" s="816">
        <v>7.0209999999999999</v>
      </c>
      <c r="CA18" s="816">
        <v>6.4960000000000004</v>
      </c>
      <c r="CB18" s="816">
        <v>7.7887000000000004</v>
      </c>
      <c r="CC18" s="816">
        <v>7.3456999999999999</v>
      </c>
      <c r="CD18" s="816">
        <v>7.1909999999999998</v>
      </c>
      <c r="CE18" s="816">
        <v>6.7069999999999999</v>
      </c>
      <c r="CF18" s="816">
        <v>6.5890000000000004</v>
      </c>
      <c r="CG18" s="816">
        <v>6.5227458799999996</v>
      </c>
      <c r="CH18" s="816">
        <v>7.4197396700000002</v>
      </c>
      <c r="CI18" s="816">
        <v>8.9727390000000007</v>
      </c>
      <c r="CJ18" s="816">
        <v>9.0727390000000003</v>
      </c>
      <c r="CK18" s="816">
        <v>4.97620036</v>
      </c>
      <c r="CL18" s="816">
        <v>6.8843930000000002</v>
      </c>
      <c r="CM18" s="816">
        <v>9.0353929999999991</v>
      </c>
      <c r="CN18" s="816">
        <v>9.0853929999999998</v>
      </c>
      <c r="CO18" s="816">
        <v>8.9593930000000004</v>
      </c>
      <c r="CP18" s="816">
        <v>8.7506532400000001</v>
      </c>
      <c r="CQ18" s="816">
        <v>9.2478102899999985</v>
      </c>
      <c r="CR18" s="816">
        <v>9.3370067599999995</v>
      </c>
      <c r="CS18" s="816">
        <v>9.4598262699999989</v>
      </c>
      <c r="CT18" s="816">
        <v>7.1491462200000004</v>
      </c>
      <c r="CU18" s="816">
        <v>8.9881345400000008</v>
      </c>
      <c r="CV18" s="816">
        <v>8.7614615899999997</v>
      </c>
      <c r="CW18" s="816">
        <v>4.8704298000000001</v>
      </c>
      <c r="CX18" s="816">
        <v>8.9205261999999994</v>
      </c>
      <c r="CY18" s="816">
        <v>9.2053453800000007</v>
      </c>
      <c r="CZ18" s="816">
        <v>9.7330824699999994</v>
      </c>
      <c r="DA18" s="816">
        <v>9.3675582500000001</v>
      </c>
      <c r="DB18" s="816">
        <v>9.6358915500000002</v>
      </c>
      <c r="DC18" s="816">
        <v>10.078200000000001</v>
      </c>
      <c r="DD18" s="886">
        <v>10.281391920000001</v>
      </c>
      <c r="DE18" s="886">
        <v>8.4299919200000009</v>
      </c>
      <c r="DF18" s="886">
        <v>8.4279919200000002</v>
      </c>
      <c r="DG18" s="839">
        <v>8.4279919200000002</v>
      </c>
      <c r="DH18" s="839">
        <v>8.4562030200000002</v>
      </c>
      <c r="DI18" s="839">
        <v>8.4732030199999997</v>
      </c>
      <c r="DJ18" s="839">
        <v>8.3318947600000008</v>
      </c>
      <c r="DK18" s="839">
        <v>5.2045525599999998</v>
      </c>
      <c r="DL18" s="839">
        <v>5.2024812999999996</v>
      </c>
      <c r="DM18" s="839">
        <v>5.1940924099999997</v>
      </c>
      <c r="DN18" s="839">
        <v>5.18811423</v>
      </c>
      <c r="DO18" s="839">
        <v>5.1834050500000002</v>
      </c>
      <c r="DP18" s="839">
        <v>5.1819736399999998</v>
      </c>
      <c r="DQ18" s="839">
        <v>10.273671119999999</v>
      </c>
      <c r="DR18" s="839">
        <v>10.26867549</v>
      </c>
      <c r="DS18" s="839">
        <v>8.6386699500000006</v>
      </c>
      <c r="DT18" s="839">
        <v>7.4320126899999996</v>
      </c>
      <c r="DU18" s="839">
        <v>5.657</v>
      </c>
      <c r="DV18" s="839">
        <v>10.762</v>
      </c>
      <c r="DW18" s="839">
        <v>9.9616093899999996</v>
      </c>
      <c r="DX18" s="839">
        <v>8.8590798100000008</v>
      </c>
      <c r="DY18" s="839">
        <v>9.4586767999999992</v>
      </c>
      <c r="DZ18" s="839">
        <v>9.6661303699999994</v>
      </c>
      <c r="EA18" s="839">
        <v>2.9030025400000001</v>
      </c>
      <c r="EB18" s="839">
        <v>2.9025932999999999</v>
      </c>
      <c r="EC18" s="839">
        <v>2.9021695699999999</v>
      </c>
      <c r="ED18" s="839">
        <v>2.90174595</v>
      </c>
      <c r="EE18" s="839">
        <v>2.9013173800000001</v>
      </c>
      <c r="EF18" s="839">
        <v>2.9008853399999999</v>
      </c>
      <c r="EG18" s="839">
        <v>2.9</v>
      </c>
      <c r="EH18" s="839">
        <v>2.9</v>
      </c>
      <c r="EI18" s="839">
        <v>2.9</v>
      </c>
      <c r="EJ18" s="839">
        <v>2.4</v>
      </c>
      <c r="EK18" s="839">
        <v>2.8</v>
      </c>
      <c r="EL18" s="839">
        <v>2.8</v>
      </c>
      <c r="EM18" s="839">
        <v>2.8</v>
      </c>
      <c r="EN18" s="839">
        <v>2.85</v>
      </c>
      <c r="EO18" s="839">
        <v>2.84614704</v>
      </c>
      <c r="EP18" s="839">
        <v>2.8422612900000002</v>
      </c>
      <c r="EQ18" s="839">
        <v>2.8382787399999998</v>
      </c>
      <c r="ER18" s="839">
        <v>3.4077669999999997E-2</v>
      </c>
      <c r="ES18" s="839">
        <v>3.005557E-2</v>
      </c>
      <c r="ET18" s="839">
        <v>0</v>
      </c>
      <c r="EU18" s="839">
        <v>0</v>
      </c>
      <c r="EV18" s="839">
        <v>0</v>
      </c>
      <c r="EW18" s="839">
        <v>0</v>
      </c>
      <c r="EX18" s="839">
        <v>2.0230000000000001</v>
      </c>
      <c r="EY18" s="839">
        <v>2.0230000000000001</v>
      </c>
      <c r="EZ18" s="839">
        <v>2.0735000000000001</v>
      </c>
      <c r="FA18" s="839">
        <v>2.0696344400000002</v>
      </c>
      <c r="FB18" s="839">
        <v>2.0656184799999999</v>
      </c>
      <c r="FC18" s="839">
        <v>2.0615863800000001</v>
      </c>
      <c r="FD18" s="839">
        <v>2.0577081100000001</v>
      </c>
      <c r="FE18" s="839">
        <v>2.0534197999999999</v>
      </c>
      <c r="FF18" s="839">
        <v>10.894504400000001</v>
      </c>
      <c r="FG18" s="839">
        <v>5.8993015900000003</v>
      </c>
      <c r="FH18" s="1716" t="s">
        <v>4067</v>
      </c>
      <c r="FM18" s="321"/>
    </row>
    <row r="19" spans="1:169" ht="21">
      <c r="A19" s="1745" t="s">
        <v>1962</v>
      </c>
      <c r="B19" s="783">
        <f>+B17-B18</f>
        <v>84.093819329999974</v>
      </c>
      <c r="C19" s="783">
        <f t="shared" ref="C19:V19" si="4">+C17-C18</f>
        <v>78.764133499999986</v>
      </c>
      <c r="D19" s="783">
        <f t="shared" si="4"/>
        <v>80.018446109999985</v>
      </c>
      <c r="E19" s="783">
        <f t="shared" si="4"/>
        <v>88.469409330000005</v>
      </c>
      <c r="F19" s="783">
        <f t="shared" si="4"/>
        <v>93.74346156</v>
      </c>
      <c r="G19" s="783">
        <f t="shared" si="4"/>
        <v>85.431251599999996</v>
      </c>
      <c r="H19" s="783">
        <f t="shared" si="4"/>
        <v>91.140281989999991</v>
      </c>
      <c r="I19" s="783">
        <f t="shared" si="4"/>
        <v>93.722112110000012</v>
      </c>
      <c r="J19" s="783">
        <f t="shared" si="4"/>
        <v>95.903372090000005</v>
      </c>
      <c r="K19" s="783">
        <f t="shared" si="4"/>
        <v>102.13690772</v>
      </c>
      <c r="L19" s="783">
        <f t="shared" si="4"/>
        <v>100.07069761</v>
      </c>
      <c r="M19" s="784">
        <f t="shared" si="4"/>
        <v>85.912257299999993</v>
      </c>
      <c r="N19" s="784">
        <f t="shared" si="4"/>
        <v>79.753056510000008</v>
      </c>
      <c r="O19" s="784">
        <f t="shared" si="4"/>
        <v>91.503499120000001</v>
      </c>
      <c r="P19" s="784">
        <f t="shared" si="4"/>
        <v>93.116627120000004</v>
      </c>
      <c r="Q19" s="784">
        <f t="shared" si="4"/>
        <v>114.19262322</v>
      </c>
      <c r="R19" s="784">
        <f t="shared" si="4"/>
        <v>103.82967887000001</v>
      </c>
      <c r="S19" s="784">
        <f t="shared" si="4"/>
        <v>109.09737833</v>
      </c>
      <c r="T19" s="784">
        <f t="shared" si="4"/>
        <v>114.28611678999999</v>
      </c>
      <c r="U19" s="784">
        <f t="shared" si="4"/>
        <v>108.61087181000001</v>
      </c>
      <c r="V19" s="784">
        <f t="shared" si="4"/>
        <v>119.23896328000002</v>
      </c>
      <c r="W19" s="784">
        <v>120.05925852000001</v>
      </c>
      <c r="X19" s="784">
        <v>119.47727180000001</v>
      </c>
      <c r="Y19" s="784">
        <v>120.71651027000001</v>
      </c>
      <c r="Z19" s="784">
        <v>121.31237742000002</v>
      </c>
      <c r="AA19" s="784">
        <v>121.08219525</v>
      </c>
      <c r="AB19" s="784">
        <f>+AB17-AB18</f>
        <v>110.73728931999999</v>
      </c>
      <c r="AC19" s="784">
        <v>113.52763368000001</v>
      </c>
      <c r="AD19" s="784">
        <v>90.618078389999994</v>
      </c>
      <c r="AE19" s="784">
        <v>89.510799760000012</v>
      </c>
      <c r="AF19" s="784">
        <v>89.576031329999992</v>
      </c>
      <c r="AG19" s="784">
        <v>91.839780989999994</v>
      </c>
      <c r="AH19" s="784">
        <f>+AH17-AH18</f>
        <v>91.249494909999996</v>
      </c>
      <c r="AI19" s="784">
        <v>301.63398810000001</v>
      </c>
      <c r="AJ19" s="784">
        <f>+AJ17-AJ18</f>
        <v>85.522124200000007</v>
      </c>
      <c r="AK19" s="784">
        <f>+AK17-AK18</f>
        <v>93.04102202</v>
      </c>
      <c r="AL19" s="784">
        <v>83.943521459999999</v>
      </c>
      <c r="AM19" s="784">
        <f>+AM17-AM18</f>
        <v>86.807319129999996</v>
      </c>
      <c r="AN19" s="784">
        <f>+AN17-AN18</f>
        <v>78.418720379999996</v>
      </c>
      <c r="AO19" s="784">
        <f>+AO17-AO18</f>
        <v>81.143926550000003</v>
      </c>
      <c r="AP19" s="784">
        <f>+AP17-AP18</f>
        <v>77.934492750000004</v>
      </c>
      <c r="AQ19" s="784">
        <v>82.502049279999994</v>
      </c>
      <c r="AR19" s="784">
        <f>+AR17-AR18</f>
        <v>64.262033430000002</v>
      </c>
      <c r="AS19" s="784">
        <f>+AS17-AS18</f>
        <v>64.139202590000011</v>
      </c>
      <c r="AT19" s="784">
        <f>+AT17-AT18</f>
        <v>66.87773704</v>
      </c>
      <c r="AU19" s="784">
        <v>67.603982139999999</v>
      </c>
      <c r="AV19" s="784">
        <v>68.800973180000014</v>
      </c>
      <c r="AW19" s="784">
        <v>92.730295069999997</v>
      </c>
      <c r="AX19" s="784">
        <v>92.47345623999999</v>
      </c>
      <c r="AY19" s="784">
        <v>94.561727660000003</v>
      </c>
      <c r="AZ19" s="784">
        <v>85.871230010000005</v>
      </c>
      <c r="BA19" s="784">
        <v>74.88745041</v>
      </c>
      <c r="BB19" s="784">
        <v>74.110359920000008</v>
      </c>
      <c r="BC19" s="784">
        <v>74.878645180000007</v>
      </c>
      <c r="BD19" s="784">
        <f>+BD17-BD18</f>
        <v>75.417286750000002</v>
      </c>
      <c r="BE19" s="784">
        <v>81.289693959999994</v>
      </c>
      <c r="BF19" s="784">
        <v>81.214407219999998</v>
      </c>
      <c r="BG19" s="784">
        <v>82.124084379999999</v>
      </c>
      <c r="BH19" s="827">
        <v>84.535076870000012</v>
      </c>
      <c r="BI19" s="816">
        <v>77.490381830000004</v>
      </c>
      <c r="BJ19" s="816">
        <v>70.785879140000006</v>
      </c>
      <c r="BK19" s="816">
        <v>102.47929206000001</v>
      </c>
      <c r="BL19" s="816">
        <v>97.807785719999998</v>
      </c>
      <c r="BM19" s="816">
        <v>103.90179148</v>
      </c>
      <c r="BN19" s="816">
        <v>103.17514855</v>
      </c>
      <c r="BO19" s="816">
        <v>102.54017732999999</v>
      </c>
      <c r="BP19" s="816">
        <v>101.73344687000001</v>
      </c>
      <c r="BQ19" s="816">
        <v>99.750166069999992</v>
      </c>
      <c r="BR19" s="816">
        <v>99.493565629999992</v>
      </c>
      <c r="BS19" s="816">
        <v>105.54986429</v>
      </c>
      <c r="BT19" s="816">
        <v>106.75483993999998</v>
      </c>
      <c r="BU19" s="816">
        <v>111.93046561</v>
      </c>
      <c r="BV19" s="816">
        <v>122.30472376</v>
      </c>
      <c r="BW19" s="816">
        <v>93.035927260000008</v>
      </c>
      <c r="BX19" s="816">
        <v>92.34905655</v>
      </c>
      <c r="BY19" s="816">
        <v>97.281699650000007</v>
      </c>
      <c r="BZ19" s="816">
        <v>100.71552255</v>
      </c>
      <c r="CA19" s="816">
        <v>105.82544751</v>
      </c>
      <c r="CB19" s="816">
        <v>109.79883481</v>
      </c>
      <c r="CC19" s="816">
        <v>71.931499770000002</v>
      </c>
      <c r="CD19" s="816">
        <v>81.458087569999989</v>
      </c>
      <c r="CE19" s="816">
        <f t="shared" ref="CE19:CP19" si="5">+CE17-CE18</f>
        <v>84.61302590999999</v>
      </c>
      <c r="CF19" s="816">
        <f t="shared" si="5"/>
        <v>90.238300219999999</v>
      </c>
      <c r="CG19" s="816">
        <f t="shared" si="5"/>
        <v>76.187434599999989</v>
      </c>
      <c r="CH19" s="816">
        <f t="shared" si="5"/>
        <v>74.735128620000012</v>
      </c>
      <c r="CI19" s="816">
        <f t="shared" si="5"/>
        <v>76.013968059999996</v>
      </c>
      <c r="CJ19" s="816">
        <f t="shared" si="5"/>
        <v>83.185128050000003</v>
      </c>
      <c r="CK19" s="816">
        <f t="shared" si="5"/>
        <v>100.84675062000002</v>
      </c>
      <c r="CL19" s="816">
        <f t="shared" si="5"/>
        <v>99.00444066</v>
      </c>
      <c r="CM19" s="816">
        <f t="shared" si="5"/>
        <v>108.14191645999999</v>
      </c>
      <c r="CN19" s="816">
        <f t="shared" si="5"/>
        <v>120.38202940000001</v>
      </c>
      <c r="CO19" s="816">
        <f t="shared" si="5"/>
        <v>124.66294040999998</v>
      </c>
      <c r="CP19" s="816">
        <f t="shared" si="5"/>
        <v>112.24012265</v>
      </c>
      <c r="CQ19" s="816">
        <f>+CQ17-CQ18</f>
        <v>117.67367422</v>
      </c>
      <c r="CR19" s="816">
        <f>+CR17-CR18</f>
        <v>126.85865793000001</v>
      </c>
      <c r="CS19" s="816">
        <v>132.78194983</v>
      </c>
      <c r="CT19" s="816">
        <v>138.38677923</v>
      </c>
      <c r="CU19" s="816">
        <v>137.15376517999999</v>
      </c>
      <c r="CV19" s="816">
        <v>147.05161837</v>
      </c>
      <c r="CW19" s="816">
        <v>144.8899658</v>
      </c>
      <c r="CX19" s="816">
        <v>143.83193596999999</v>
      </c>
      <c r="CY19" s="816">
        <v>139.02294666</v>
      </c>
      <c r="CZ19" s="816">
        <v>132.99972345</v>
      </c>
      <c r="DA19" s="816">
        <v>113.57027110999999</v>
      </c>
      <c r="DB19" s="816">
        <v>118.38439328</v>
      </c>
      <c r="DC19" s="816">
        <v>118.37549386000001</v>
      </c>
      <c r="DD19" s="886">
        <v>112.89784766</v>
      </c>
      <c r="DE19" s="886">
        <v>138.39456365999999</v>
      </c>
      <c r="DF19" s="886">
        <v>125.12199986</v>
      </c>
      <c r="DG19" s="839">
        <v>159.02112432999999</v>
      </c>
      <c r="DH19" s="839">
        <v>163.40237084</v>
      </c>
      <c r="DI19" s="839">
        <v>172.47694487999999</v>
      </c>
      <c r="DJ19" s="839">
        <v>145.76691269</v>
      </c>
      <c r="DK19" s="839">
        <v>151.44917537000001</v>
      </c>
      <c r="DL19" s="839">
        <v>165.59043664000001</v>
      </c>
      <c r="DM19" s="839">
        <v>186.19522633</v>
      </c>
      <c r="DN19" s="839">
        <v>213.16619186</v>
      </c>
      <c r="DO19" s="839">
        <v>227.26329641000001</v>
      </c>
      <c r="DP19" s="839">
        <v>219.30829426</v>
      </c>
      <c r="DQ19" s="839">
        <v>207.43682838999999</v>
      </c>
      <c r="DR19" s="839">
        <v>231.96367454</v>
      </c>
      <c r="DS19" s="839">
        <v>238.12547294999999</v>
      </c>
      <c r="DT19" s="839">
        <v>245.77768166000001</v>
      </c>
      <c r="DU19" s="839">
        <v>239.85233922</v>
      </c>
      <c r="DV19" s="839">
        <v>244.82230145</v>
      </c>
      <c r="DW19" s="839">
        <v>240.06954836</v>
      </c>
      <c r="DX19" s="839">
        <v>172.74836078999999</v>
      </c>
      <c r="DY19" s="839">
        <v>178.19896002999999</v>
      </c>
      <c r="DZ19" s="839">
        <v>178.90427740999999</v>
      </c>
      <c r="EA19" s="839">
        <v>176.83951304000001</v>
      </c>
      <c r="EB19" s="839">
        <v>171.92331419999999</v>
      </c>
      <c r="EC19" s="839">
        <v>168.66456509</v>
      </c>
      <c r="ED19" s="839">
        <v>132.12533300999999</v>
      </c>
      <c r="EE19" s="839">
        <v>160.99108211999999</v>
      </c>
      <c r="EF19" s="839">
        <v>184.31015170000001</v>
      </c>
      <c r="EG19" s="839">
        <v>214.16067715</v>
      </c>
      <c r="EH19" s="839">
        <v>220.46319779000001</v>
      </c>
      <c r="EI19" s="839">
        <v>231.16631032000001</v>
      </c>
      <c r="EJ19" s="839">
        <v>219.6751955</v>
      </c>
      <c r="EK19" s="839">
        <v>210.72907402999999</v>
      </c>
      <c r="EL19" s="839">
        <v>217.12156765</v>
      </c>
      <c r="EM19" s="839">
        <v>226.21970153999999</v>
      </c>
      <c r="EN19" s="839">
        <v>234.00390142000001</v>
      </c>
      <c r="EO19" s="839">
        <v>240.41862058999999</v>
      </c>
      <c r="EP19" s="839">
        <v>206.56416779</v>
      </c>
      <c r="EQ19" s="839">
        <v>225.3852235</v>
      </c>
      <c r="ER19" s="839">
        <v>229.98224046999999</v>
      </c>
      <c r="ES19" s="839">
        <v>218.8476713</v>
      </c>
      <c r="ET19" s="839">
        <v>245.01218781</v>
      </c>
      <c r="EU19" s="839">
        <v>292.45565837999999</v>
      </c>
      <c r="EV19" s="839">
        <v>246.8369586</v>
      </c>
      <c r="EW19" s="839">
        <v>245.31002516999999</v>
      </c>
      <c r="EX19" s="839">
        <v>300.50130476999999</v>
      </c>
      <c r="EY19" s="839">
        <v>312.46989395000003</v>
      </c>
      <c r="EZ19" s="839">
        <v>295.05268044000002</v>
      </c>
      <c r="FA19" s="839">
        <v>322.76224919999999</v>
      </c>
      <c r="FB19" s="839">
        <v>285.91789309000001</v>
      </c>
      <c r="FC19" s="839">
        <v>299.52334544000001</v>
      </c>
      <c r="FD19" s="839">
        <v>310.94959519999998</v>
      </c>
      <c r="FE19" s="839">
        <v>337.13753530000002</v>
      </c>
      <c r="FF19" s="839">
        <v>335.06710091000002</v>
      </c>
      <c r="FG19" s="839">
        <v>320.47696131999999</v>
      </c>
      <c r="FH19" s="1716" t="s">
        <v>4066</v>
      </c>
      <c r="FM19" s="321"/>
    </row>
    <row r="20" spans="1:169" ht="21">
      <c r="A20" s="1744"/>
      <c r="B20" s="780"/>
      <c r="C20" s="780"/>
      <c r="D20" s="780"/>
      <c r="E20" s="780"/>
      <c r="F20" s="780"/>
      <c r="G20" s="780"/>
      <c r="H20" s="780"/>
      <c r="I20" s="780"/>
      <c r="J20" s="780"/>
      <c r="K20" s="780"/>
      <c r="L20" s="780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  <c r="AD20" s="781"/>
      <c r="AE20" s="781"/>
      <c r="AF20" s="781"/>
      <c r="AG20" s="781"/>
      <c r="AH20" s="781"/>
      <c r="AI20" s="781"/>
      <c r="AJ20" s="781"/>
      <c r="AK20" s="781"/>
      <c r="AL20" s="781"/>
      <c r="AM20" s="781"/>
      <c r="AN20" s="781"/>
      <c r="AO20" s="781"/>
      <c r="AP20" s="781"/>
      <c r="AQ20" s="781"/>
      <c r="AR20" s="781"/>
      <c r="AS20" s="781"/>
      <c r="AT20" s="781"/>
      <c r="AU20" s="781"/>
      <c r="AV20" s="781"/>
      <c r="AW20" s="781"/>
      <c r="AX20" s="781"/>
      <c r="AY20" s="781"/>
      <c r="AZ20" s="781"/>
      <c r="BA20" s="781"/>
      <c r="BB20" s="781"/>
      <c r="BC20" s="781"/>
      <c r="BD20" s="781"/>
      <c r="BE20" s="781"/>
      <c r="BF20" s="781"/>
      <c r="BG20" s="781"/>
      <c r="BH20" s="826"/>
      <c r="BI20" s="815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5"/>
      <c r="CN20" s="815"/>
      <c r="CO20" s="815"/>
      <c r="CP20" s="815"/>
      <c r="CQ20" s="815"/>
      <c r="CR20" s="815"/>
      <c r="CS20" s="815"/>
      <c r="CT20" s="815"/>
      <c r="CU20" s="815"/>
      <c r="CV20" s="815"/>
      <c r="CW20" s="815"/>
      <c r="CX20" s="815"/>
      <c r="CY20" s="815"/>
      <c r="CZ20" s="815"/>
      <c r="DA20" s="815"/>
      <c r="DB20" s="815"/>
      <c r="DC20" s="815"/>
      <c r="DD20" s="885"/>
      <c r="DE20" s="885"/>
      <c r="DF20" s="885"/>
      <c r="DG20" s="838"/>
      <c r="DH20" s="838"/>
      <c r="DI20" s="838"/>
      <c r="DJ20" s="838"/>
      <c r="DK20" s="838"/>
      <c r="DL20" s="838"/>
      <c r="DM20" s="838"/>
      <c r="DN20" s="838"/>
      <c r="DO20" s="838"/>
      <c r="DP20" s="838"/>
      <c r="DQ20" s="838"/>
      <c r="DR20" s="838"/>
      <c r="DS20" s="838"/>
      <c r="DT20" s="838"/>
      <c r="DU20" s="838"/>
      <c r="DV20" s="838"/>
      <c r="DW20" s="838"/>
      <c r="DX20" s="838"/>
      <c r="DY20" s="838"/>
      <c r="DZ20" s="838"/>
      <c r="EA20" s="838"/>
      <c r="EB20" s="838"/>
      <c r="EC20" s="838"/>
      <c r="ED20" s="838"/>
      <c r="EE20" s="838"/>
      <c r="EF20" s="838"/>
      <c r="EG20" s="838"/>
      <c r="EH20" s="838"/>
      <c r="EI20" s="838"/>
      <c r="EJ20" s="838"/>
      <c r="EK20" s="838"/>
      <c r="EL20" s="838"/>
      <c r="EM20" s="838"/>
      <c r="EN20" s="838"/>
      <c r="EO20" s="838"/>
      <c r="EP20" s="838"/>
      <c r="EQ20" s="838"/>
      <c r="ER20" s="838"/>
      <c r="ES20" s="838"/>
      <c r="ET20" s="838"/>
      <c r="EU20" s="838"/>
      <c r="EV20" s="838"/>
      <c r="EW20" s="838"/>
      <c r="EX20" s="838"/>
      <c r="EY20" s="838"/>
      <c r="EZ20" s="838"/>
      <c r="FA20" s="838"/>
      <c r="FB20" s="838"/>
      <c r="FC20" s="838"/>
      <c r="FD20" s="838"/>
      <c r="FE20" s="838"/>
      <c r="FF20" s="838"/>
      <c r="FG20" s="838"/>
      <c r="FH20" s="1714"/>
      <c r="FM20" s="321"/>
    </row>
    <row r="21" spans="1:169" ht="21">
      <c r="A21" s="1744" t="s">
        <v>2742</v>
      </c>
      <c r="B21" s="783">
        <v>44.22157722</v>
      </c>
      <c r="C21" s="783">
        <v>78.407102399999985</v>
      </c>
      <c r="D21" s="783">
        <v>82.884684199999995</v>
      </c>
      <c r="E21" s="783">
        <v>75.248163509999998</v>
      </c>
      <c r="F21" s="783">
        <v>80.419384890000003</v>
      </c>
      <c r="G21" s="783">
        <v>104.63792968000001</v>
      </c>
      <c r="H21" s="783">
        <v>107.75647407000001</v>
      </c>
      <c r="I21" s="783">
        <v>123.14503061999999</v>
      </c>
      <c r="J21" s="783">
        <v>127.56554947000001</v>
      </c>
      <c r="K21" s="783">
        <v>124.46073993000002</v>
      </c>
      <c r="L21" s="783">
        <v>126.18377004</v>
      </c>
      <c r="M21" s="781">
        <v>149.37995132</v>
      </c>
      <c r="N21" s="784">
        <v>149.05066873999999</v>
      </c>
      <c r="O21" s="784">
        <v>152.38465274000001</v>
      </c>
      <c r="P21" s="784">
        <v>155.69819767999999</v>
      </c>
      <c r="Q21" s="784">
        <v>167.87297529000003</v>
      </c>
      <c r="R21" s="784">
        <v>177.63752194</v>
      </c>
      <c r="S21" s="784">
        <v>173.21967848000003</v>
      </c>
      <c r="T21" s="784">
        <v>175.80389299999999</v>
      </c>
      <c r="U21" s="784">
        <v>178.34353551999996</v>
      </c>
      <c r="V21" s="784">
        <v>176.87911975999998</v>
      </c>
      <c r="W21" s="784">
        <v>175.89268702999999</v>
      </c>
      <c r="X21" s="784">
        <v>182.46142771000001</v>
      </c>
      <c r="Y21" s="781">
        <v>174.11761124</v>
      </c>
      <c r="Z21" s="784">
        <v>171.43604766999997</v>
      </c>
      <c r="AA21" s="784">
        <v>351.59503576000003</v>
      </c>
      <c r="AB21" s="781">
        <v>368.61617605000004</v>
      </c>
      <c r="AC21" s="781">
        <v>371.12641699000005</v>
      </c>
      <c r="AD21" s="781">
        <v>363.91641028999999</v>
      </c>
      <c r="AE21" s="781">
        <v>357.35280528999999</v>
      </c>
      <c r="AF21" s="781">
        <v>361.57570436000003</v>
      </c>
      <c r="AG21" s="781">
        <v>312.26157620000004</v>
      </c>
      <c r="AH21" s="781">
        <v>312.37668324000003</v>
      </c>
      <c r="AI21" s="781">
        <v>178.90982980000001</v>
      </c>
      <c r="AJ21" s="781">
        <v>609.91892785000005</v>
      </c>
      <c r="AK21" s="781">
        <v>627.57566421999991</v>
      </c>
      <c r="AL21" s="781">
        <v>585.68347418999997</v>
      </c>
      <c r="AM21" s="781">
        <v>519.13182925000001</v>
      </c>
      <c r="AN21" s="781">
        <v>240.43982954000001</v>
      </c>
      <c r="AO21" s="781">
        <v>229.90111028999999</v>
      </c>
      <c r="AP21" s="781">
        <v>230.89982354</v>
      </c>
      <c r="AQ21" s="781">
        <v>344.57489076000002</v>
      </c>
      <c r="AR21" s="781">
        <v>348.78798467999997</v>
      </c>
      <c r="AS21" s="781">
        <v>363.85835089</v>
      </c>
      <c r="AT21" s="781">
        <f>AT13-AT17</f>
        <v>361.42949497000001</v>
      </c>
      <c r="AU21" s="781">
        <v>255.27490731</v>
      </c>
      <c r="AV21" s="781">
        <v>272.44109184000001</v>
      </c>
      <c r="AW21" s="781">
        <v>286.21899518999999</v>
      </c>
      <c r="AX21" s="781">
        <v>306.85873802000003</v>
      </c>
      <c r="AY21" s="781">
        <v>277.35027129000002</v>
      </c>
      <c r="AZ21" s="781">
        <v>287.96701963999999</v>
      </c>
      <c r="BA21" s="781">
        <v>303.74485558000009</v>
      </c>
      <c r="BB21" s="781">
        <v>173.14560711999999</v>
      </c>
      <c r="BC21" s="781">
        <v>169.10663581</v>
      </c>
      <c r="BD21" s="781">
        <v>158.24248566999998</v>
      </c>
      <c r="BE21" s="781">
        <v>156.55746818</v>
      </c>
      <c r="BF21" s="781">
        <v>160.07038752</v>
      </c>
      <c r="BG21" s="781">
        <v>156.61207548000002</v>
      </c>
      <c r="BH21" s="826">
        <v>161.98343178000002</v>
      </c>
      <c r="BI21" s="815">
        <v>170.75156320999997</v>
      </c>
      <c r="BJ21" s="815">
        <v>175.00092999</v>
      </c>
      <c r="BK21" s="815">
        <v>157.44506203000003</v>
      </c>
      <c r="BL21" s="815">
        <v>155.86065465000001</v>
      </c>
      <c r="BM21" s="815">
        <v>155.47128504</v>
      </c>
      <c r="BN21" s="815">
        <v>158.95353091000004</v>
      </c>
      <c r="BO21" s="815">
        <v>145.19272138999997</v>
      </c>
      <c r="BP21" s="815">
        <v>140.85328845000004</v>
      </c>
      <c r="BQ21" s="815">
        <v>155.02024559</v>
      </c>
      <c r="BR21" s="815">
        <v>155.38506032000001</v>
      </c>
      <c r="BS21" s="815">
        <v>163.95666235999997</v>
      </c>
      <c r="BT21" s="815">
        <v>159.96821731999998</v>
      </c>
      <c r="BU21" s="815">
        <v>147.58225112000002</v>
      </c>
      <c r="BV21" s="815">
        <v>142.70568666999998</v>
      </c>
      <c r="BW21" s="815">
        <v>150.56000399000001</v>
      </c>
      <c r="BX21" s="815">
        <v>161.75107030000004</v>
      </c>
      <c r="BY21" s="815">
        <v>165.56734827999998</v>
      </c>
      <c r="BZ21" s="815">
        <v>165.45471425999995</v>
      </c>
      <c r="CA21" s="815">
        <v>165.6763747</v>
      </c>
      <c r="CB21" s="815">
        <v>166.46728451999996</v>
      </c>
      <c r="CC21" s="815">
        <v>171.93668518999999</v>
      </c>
      <c r="CD21" s="815">
        <v>140.7290127</v>
      </c>
      <c r="CE21" s="815">
        <v>135.57815277999998</v>
      </c>
      <c r="CF21" s="815">
        <v>128.16944359000001</v>
      </c>
      <c r="CG21" s="815">
        <v>113.47101981</v>
      </c>
      <c r="CH21" s="815">
        <v>89.576240709999993</v>
      </c>
      <c r="CI21" s="815">
        <v>81.719450379999998</v>
      </c>
      <c r="CJ21" s="815">
        <v>65.914488920000011</v>
      </c>
      <c r="CK21" s="815">
        <v>66.039552170000007</v>
      </c>
      <c r="CL21" s="815">
        <v>70.195251150000004</v>
      </c>
      <c r="CM21" s="815">
        <v>73.026972520000001</v>
      </c>
      <c r="CN21" s="815">
        <v>74.200847640000006</v>
      </c>
      <c r="CO21" s="815">
        <v>54.528530659999994</v>
      </c>
      <c r="CP21" s="815">
        <v>46.860902869999997</v>
      </c>
      <c r="CQ21" s="815">
        <v>53.351228630000008</v>
      </c>
      <c r="CR21" s="815">
        <v>60.399791930000006</v>
      </c>
      <c r="CS21" s="815">
        <v>55.870020820000008</v>
      </c>
      <c r="CT21" s="815">
        <v>42.400803770000003</v>
      </c>
      <c r="CU21" s="815">
        <v>33.905896419999998</v>
      </c>
      <c r="CV21" s="815">
        <v>33.341543340000001</v>
      </c>
      <c r="CW21" s="815">
        <v>35.250352669999998</v>
      </c>
      <c r="CX21" s="815">
        <v>35.249052880000001</v>
      </c>
      <c r="CY21" s="815">
        <v>36.215999099999998</v>
      </c>
      <c r="CZ21" s="815">
        <v>38.484192479999997</v>
      </c>
      <c r="DA21" s="815">
        <v>42.196912150000003</v>
      </c>
      <c r="DB21" s="815">
        <v>60.162922109999997</v>
      </c>
      <c r="DC21" s="815">
        <v>52.962658300000001</v>
      </c>
      <c r="DD21" s="885">
        <v>38.79106685</v>
      </c>
      <c r="DE21" s="885">
        <v>46.38739614</v>
      </c>
      <c r="DF21" s="885">
        <v>48.826297519999997</v>
      </c>
      <c r="DG21" s="838">
        <v>51.695678770000001</v>
      </c>
      <c r="DH21" s="838">
        <v>56.433704050000003</v>
      </c>
      <c r="DI21" s="838">
        <v>56.927190760000002</v>
      </c>
      <c r="DJ21" s="838">
        <v>51.283379320000002</v>
      </c>
      <c r="DK21" s="838">
        <v>60.313067779999997</v>
      </c>
      <c r="DL21" s="838">
        <v>106.31331313</v>
      </c>
      <c r="DM21" s="838">
        <v>111.33684254000001</v>
      </c>
      <c r="DN21" s="838">
        <v>91.323177029999997</v>
      </c>
      <c r="DO21" s="838">
        <v>93.509871880000006</v>
      </c>
      <c r="DP21" s="838">
        <v>70.698769279999993</v>
      </c>
      <c r="DQ21" s="838">
        <v>75.017910209999997</v>
      </c>
      <c r="DR21" s="838">
        <v>74.629517419999999</v>
      </c>
      <c r="DS21" s="838">
        <v>77.277866560000007</v>
      </c>
      <c r="DT21" s="838">
        <v>73.205428549999993</v>
      </c>
      <c r="DU21" s="838">
        <v>62.919697480000004</v>
      </c>
      <c r="DV21" s="838">
        <v>55.359290309999999</v>
      </c>
      <c r="DW21" s="838">
        <v>49.327594159999997</v>
      </c>
      <c r="DX21" s="838">
        <v>59.642490129999999</v>
      </c>
      <c r="DY21" s="838">
        <v>69.944720520000004</v>
      </c>
      <c r="DZ21" s="838">
        <v>79.841143349999996</v>
      </c>
      <c r="EA21" s="838">
        <v>84.187306059999997</v>
      </c>
      <c r="EB21" s="838">
        <v>100.58454121</v>
      </c>
      <c r="EC21" s="838">
        <v>112.37062256999999</v>
      </c>
      <c r="ED21" s="838">
        <v>105.12808151</v>
      </c>
      <c r="EE21" s="838">
        <v>104.04503341</v>
      </c>
      <c r="EF21" s="838">
        <v>96.630308920000004</v>
      </c>
      <c r="EG21" s="838">
        <v>81.288623220000005</v>
      </c>
      <c r="EH21" s="838">
        <v>78.442270809999997</v>
      </c>
      <c r="EI21" s="838">
        <v>82.103319499999998</v>
      </c>
      <c r="EJ21" s="838">
        <v>79.477598959999995</v>
      </c>
      <c r="EK21" s="838">
        <v>65.553559289999995</v>
      </c>
      <c r="EL21" s="838">
        <v>75.325980580000007</v>
      </c>
      <c r="EM21" s="838">
        <v>80.845196729999998</v>
      </c>
      <c r="EN21" s="838">
        <v>92.516278569999997</v>
      </c>
      <c r="EO21" s="838">
        <v>99.344784880000006</v>
      </c>
      <c r="EP21" s="838">
        <v>97.189099519999999</v>
      </c>
      <c r="EQ21" s="838">
        <v>107.42941221</v>
      </c>
      <c r="ER21" s="838">
        <v>111.24425042</v>
      </c>
      <c r="ES21" s="838">
        <v>96.917554289999998</v>
      </c>
      <c r="ET21" s="838">
        <v>87.244096990000003</v>
      </c>
      <c r="EU21" s="838">
        <v>82.912115529999994</v>
      </c>
      <c r="EV21" s="838">
        <v>85.604243319999995</v>
      </c>
      <c r="EW21" s="838">
        <v>79.500899610000005</v>
      </c>
      <c r="EX21" s="838">
        <v>93.853696769999999</v>
      </c>
      <c r="EY21" s="838">
        <v>121.14275042</v>
      </c>
      <c r="EZ21" s="838">
        <v>123.27665148</v>
      </c>
      <c r="FA21" s="838">
        <v>122.67929423</v>
      </c>
      <c r="FB21" s="838">
        <v>117.54126008</v>
      </c>
      <c r="FC21" s="838">
        <v>120.15281407000001</v>
      </c>
      <c r="FD21" s="838">
        <v>122.64795484</v>
      </c>
      <c r="FE21" s="838">
        <v>116.78463984</v>
      </c>
      <c r="FF21" s="838">
        <v>94.751273999999995</v>
      </c>
      <c r="FG21" s="838">
        <v>98.976744929999995</v>
      </c>
      <c r="FH21" s="1714" t="s">
        <v>4068</v>
      </c>
      <c r="FM21" s="321"/>
    </row>
    <row r="22" spans="1:169" ht="21">
      <c r="A22" s="1745" t="s">
        <v>1961</v>
      </c>
      <c r="B22" s="783">
        <v>14.393739999999999</v>
      </c>
      <c r="C22" s="783">
        <v>5.8075200000000002</v>
      </c>
      <c r="D22" s="783">
        <v>3.4531200000000002</v>
      </c>
      <c r="E22" s="783">
        <v>0</v>
      </c>
      <c r="F22" s="783">
        <v>0</v>
      </c>
      <c r="G22" s="783">
        <v>0.58837499999999998</v>
      </c>
      <c r="H22" s="783">
        <v>0</v>
      </c>
      <c r="I22" s="783">
        <v>1.7256800000000001</v>
      </c>
      <c r="J22" s="783">
        <v>4.3147500000000001</v>
      </c>
      <c r="K22" s="783">
        <v>0</v>
      </c>
      <c r="L22" s="783">
        <v>0</v>
      </c>
      <c r="M22" s="784">
        <v>0</v>
      </c>
      <c r="N22" s="784">
        <v>0</v>
      </c>
      <c r="O22" s="784">
        <v>0</v>
      </c>
      <c r="P22" s="784">
        <v>0</v>
      </c>
      <c r="Q22" s="784">
        <v>0</v>
      </c>
      <c r="R22" s="784">
        <v>0</v>
      </c>
      <c r="S22" s="784">
        <v>0</v>
      </c>
      <c r="T22" s="784">
        <v>0</v>
      </c>
      <c r="U22" s="784">
        <v>0</v>
      </c>
      <c r="V22" s="784">
        <v>0</v>
      </c>
      <c r="W22" s="784">
        <v>0</v>
      </c>
      <c r="X22" s="784">
        <v>0</v>
      </c>
      <c r="Y22" s="784">
        <v>0</v>
      </c>
      <c r="Z22" s="784">
        <v>0</v>
      </c>
      <c r="AA22" s="784">
        <v>0.20996000000000001</v>
      </c>
      <c r="AB22" s="784">
        <v>0.2097</v>
      </c>
      <c r="AC22" s="784">
        <v>0.20974000000000001</v>
      </c>
      <c r="AD22" s="784">
        <v>0.20988000000000001</v>
      </c>
      <c r="AE22" s="784">
        <v>0.20966000000000001</v>
      </c>
      <c r="AF22" s="784">
        <v>0.15742500000000001</v>
      </c>
      <c r="AG22" s="784">
        <v>0.20960000000000001</v>
      </c>
      <c r="AH22" s="784">
        <v>0.20960000000000001</v>
      </c>
      <c r="AI22" s="784">
        <v>2.8416135299999996</v>
      </c>
      <c r="AJ22" s="784">
        <v>2.78192722</v>
      </c>
      <c r="AK22" s="784">
        <v>15.02704894</v>
      </c>
      <c r="AL22" s="784">
        <v>15.474770400000001</v>
      </c>
      <c r="AM22" s="784">
        <v>14.68358608</v>
      </c>
      <c r="AN22" s="784">
        <v>14.4641061</v>
      </c>
      <c r="AO22" s="784">
        <v>14.07798122</v>
      </c>
      <c r="AP22" s="784">
        <v>13.423237460000001</v>
      </c>
      <c r="AQ22" s="784">
        <v>13.78634344</v>
      </c>
      <c r="AR22" s="784">
        <v>14.622284949999999</v>
      </c>
      <c r="AS22" s="784">
        <v>15.386738149999999</v>
      </c>
      <c r="AT22" s="784">
        <f>AT14-AT18</f>
        <v>15.107878590000002</v>
      </c>
      <c r="AU22" s="784">
        <v>12.819096119999999</v>
      </c>
      <c r="AV22" s="784">
        <v>13.320342979999999</v>
      </c>
      <c r="AW22" s="784">
        <v>13.534626379999999</v>
      </c>
      <c r="AX22" s="784">
        <v>14.6490718</v>
      </c>
      <c r="AY22" s="784">
        <v>13.38074424</v>
      </c>
      <c r="AZ22" s="784">
        <v>13.661806720000001</v>
      </c>
      <c r="BA22" s="784">
        <v>13.175478099999999</v>
      </c>
      <c r="BB22" s="784">
        <v>14.36650942</v>
      </c>
      <c r="BC22" s="784">
        <v>14.31932509</v>
      </c>
      <c r="BD22" s="784">
        <v>13.80230295</v>
      </c>
      <c r="BE22" s="784">
        <v>13.63633267</v>
      </c>
      <c r="BF22" s="784">
        <v>13.544909349999998</v>
      </c>
      <c r="BG22" s="784">
        <v>12.992361129999999</v>
      </c>
      <c r="BH22" s="827">
        <v>12.991596960000001</v>
      </c>
      <c r="BI22" s="816">
        <v>12.991596959999999</v>
      </c>
      <c r="BJ22" s="816">
        <v>12.991596960000001</v>
      </c>
      <c r="BK22" s="816">
        <v>12.991596959999999</v>
      </c>
      <c r="BL22" s="816">
        <v>12.990832800000003</v>
      </c>
      <c r="BM22" s="816">
        <v>12.990832800000002</v>
      </c>
      <c r="BN22" s="816">
        <v>12.9908328</v>
      </c>
      <c r="BO22" s="816">
        <v>12.990832800000002</v>
      </c>
      <c r="BP22" s="816">
        <v>12.990832800000002</v>
      </c>
      <c r="BQ22" s="816">
        <v>12.344832799999999</v>
      </c>
      <c r="BR22" s="816">
        <v>12.344832799999999</v>
      </c>
      <c r="BS22" s="816">
        <v>12.344832800000001</v>
      </c>
      <c r="BT22" s="816">
        <v>12.344832799999999</v>
      </c>
      <c r="BU22" s="816">
        <v>1.1900000000000004</v>
      </c>
      <c r="BV22" s="816">
        <v>1.1900000000000004</v>
      </c>
      <c r="BW22" s="816">
        <v>1.1899999999999995</v>
      </c>
      <c r="BX22" s="816">
        <v>1.1900000000000004</v>
      </c>
      <c r="BY22" s="816">
        <v>1.1899999999999995</v>
      </c>
      <c r="BZ22" s="816">
        <v>1.1900000000000004</v>
      </c>
      <c r="CA22" s="816">
        <v>1.1899999999999995</v>
      </c>
      <c r="CB22" s="816">
        <v>0</v>
      </c>
      <c r="CC22" s="816">
        <v>0</v>
      </c>
      <c r="CD22" s="816">
        <v>0</v>
      </c>
      <c r="CE22" s="816">
        <v>0</v>
      </c>
      <c r="CF22" s="816">
        <v>0</v>
      </c>
      <c r="CG22" s="816">
        <v>0</v>
      </c>
      <c r="CH22" s="816">
        <v>0.153</v>
      </c>
      <c r="CI22" s="816">
        <v>0.153</v>
      </c>
      <c r="CJ22" s="816">
        <v>0.45984999999999998</v>
      </c>
      <c r="CK22" s="816">
        <v>2.56785</v>
      </c>
      <c r="CL22" s="816">
        <v>8.4492618000000004</v>
      </c>
      <c r="CM22" s="816">
        <v>12.40230951</v>
      </c>
      <c r="CN22" s="816">
        <v>13.46397311</v>
      </c>
      <c r="CO22" s="816">
        <v>13.46397311</v>
      </c>
      <c r="CP22" s="816">
        <v>13.01145011</v>
      </c>
      <c r="CQ22" s="816">
        <v>17.2840545</v>
      </c>
      <c r="CR22" s="816">
        <v>20.1740545</v>
      </c>
      <c r="CS22" s="816">
        <v>11.6740545</v>
      </c>
      <c r="CT22" s="816">
        <v>5.9491231200000003</v>
      </c>
      <c r="CU22" s="816">
        <v>3.2837100000000001E-2</v>
      </c>
      <c r="CV22" s="816">
        <v>0</v>
      </c>
      <c r="CW22" s="816">
        <v>0</v>
      </c>
      <c r="CX22" s="816">
        <v>0</v>
      </c>
      <c r="CY22" s="816">
        <v>0</v>
      </c>
      <c r="CZ22" s="816">
        <v>0</v>
      </c>
      <c r="DA22" s="816">
        <v>0</v>
      </c>
      <c r="DB22" s="816">
        <v>0</v>
      </c>
      <c r="DC22" s="816">
        <v>0</v>
      </c>
      <c r="DD22" s="886">
        <v>0</v>
      </c>
      <c r="DE22" s="886">
        <v>0</v>
      </c>
      <c r="DF22" s="886">
        <v>0</v>
      </c>
      <c r="DG22" s="839">
        <v>0</v>
      </c>
      <c r="DH22" s="839">
        <v>0</v>
      </c>
      <c r="DI22" s="839">
        <v>0</v>
      </c>
      <c r="DJ22" s="839">
        <v>0</v>
      </c>
      <c r="DK22" s="839">
        <v>0</v>
      </c>
      <c r="DL22" s="839">
        <v>0</v>
      </c>
      <c r="DM22" s="839">
        <v>0.23799999999999999</v>
      </c>
      <c r="DN22" s="839">
        <v>0.21866014</v>
      </c>
      <c r="DO22" s="839">
        <v>0.19929844999999999</v>
      </c>
      <c r="DP22" s="839">
        <v>0.14045537999999999</v>
      </c>
      <c r="DQ22" s="839">
        <v>3.4565369999999998E-2</v>
      </c>
      <c r="DR22" s="839">
        <v>3.0318479999999998E-2</v>
      </c>
      <c r="DS22" s="839">
        <v>2.6037569999999999E-2</v>
      </c>
      <c r="DT22" s="839">
        <v>2.1750289999999999E-2</v>
      </c>
      <c r="DU22" s="839">
        <v>2.1750289999999999E-2</v>
      </c>
      <c r="DV22" s="839">
        <v>1.311006E-2</v>
      </c>
      <c r="DW22" s="839">
        <v>1.311006E-2</v>
      </c>
      <c r="DX22" s="839">
        <v>1.60435328</v>
      </c>
      <c r="DY22" s="839">
        <v>1.5869655</v>
      </c>
      <c r="DZ22" s="839">
        <v>1.5377175000000001</v>
      </c>
      <c r="EA22" s="839">
        <v>0.82855356000000002</v>
      </c>
      <c r="EB22" s="839">
        <v>7.1479968899999999</v>
      </c>
      <c r="EC22" s="839">
        <v>8.1855890000000002</v>
      </c>
      <c r="ED22" s="839">
        <v>8.1516424999999995</v>
      </c>
      <c r="EE22" s="839">
        <v>8.4857045000000006</v>
      </c>
      <c r="EF22" s="839">
        <v>8.4762799999999991</v>
      </c>
      <c r="EG22" s="839">
        <v>8.4652084999999992</v>
      </c>
      <c r="EH22" s="839">
        <v>8.4827764999999999</v>
      </c>
      <c r="EI22" s="839">
        <v>8.462555</v>
      </c>
      <c r="EJ22" s="839">
        <v>8.4683928700000006</v>
      </c>
      <c r="EK22" s="839">
        <v>8.16</v>
      </c>
      <c r="EL22" s="839">
        <v>8.16</v>
      </c>
      <c r="EM22" s="839">
        <v>8.16</v>
      </c>
      <c r="EN22" s="839">
        <v>3.4</v>
      </c>
      <c r="EO22" s="839">
        <v>2.04</v>
      </c>
      <c r="EP22" s="839">
        <v>2.04</v>
      </c>
      <c r="EQ22" s="839">
        <v>2.04</v>
      </c>
      <c r="ER22" s="839">
        <v>2.04</v>
      </c>
      <c r="ES22" s="839">
        <v>2.04</v>
      </c>
      <c r="ET22" s="839">
        <v>2.04</v>
      </c>
      <c r="EU22" s="839">
        <v>2.04</v>
      </c>
      <c r="EV22" s="839">
        <v>2.04</v>
      </c>
      <c r="EW22" s="839">
        <v>2.04</v>
      </c>
      <c r="EX22" s="839">
        <v>2.04</v>
      </c>
      <c r="EY22" s="839">
        <v>0</v>
      </c>
      <c r="EZ22" s="839">
        <v>8.5</v>
      </c>
      <c r="FA22" s="839">
        <v>9.9960000000000004</v>
      </c>
      <c r="FB22" s="839">
        <v>9.9960000000000004</v>
      </c>
      <c r="FC22" s="839">
        <v>9.9960000000000004</v>
      </c>
      <c r="FD22" s="839">
        <v>9.9960000000000004</v>
      </c>
      <c r="FE22" s="839">
        <v>3.4</v>
      </c>
      <c r="FF22" s="839">
        <v>0</v>
      </c>
      <c r="FG22" s="839">
        <v>0</v>
      </c>
      <c r="FH22" s="1716" t="s">
        <v>4067</v>
      </c>
      <c r="FM22" s="321"/>
    </row>
    <row r="23" spans="1:169" ht="21">
      <c r="A23" s="1745" t="s">
        <v>1962</v>
      </c>
      <c r="B23" s="780">
        <f>+B21-B22</f>
        <v>29.827837219999999</v>
      </c>
      <c r="C23" s="783">
        <f t="shared" ref="C23:V23" si="6">+C21-C22</f>
        <v>72.599582399999989</v>
      </c>
      <c r="D23" s="783">
        <f t="shared" si="6"/>
        <v>79.431564199999997</v>
      </c>
      <c r="E23" s="783">
        <f t="shared" si="6"/>
        <v>75.248163509999998</v>
      </c>
      <c r="F23" s="783">
        <f t="shared" si="6"/>
        <v>80.419384890000003</v>
      </c>
      <c r="G23" s="783">
        <f t="shared" si="6"/>
        <v>104.04955468000001</v>
      </c>
      <c r="H23" s="783">
        <f t="shared" si="6"/>
        <v>107.75647407000001</v>
      </c>
      <c r="I23" s="783">
        <f t="shared" si="6"/>
        <v>121.41935061999999</v>
      </c>
      <c r="J23" s="783">
        <f t="shared" si="6"/>
        <v>123.25079947</v>
      </c>
      <c r="K23" s="783">
        <f t="shared" si="6"/>
        <v>124.46073993000002</v>
      </c>
      <c r="L23" s="783">
        <f t="shared" si="6"/>
        <v>126.18377004</v>
      </c>
      <c r="M23" s="784">
        <f t="shared" si="6"/>
        <v>149.37995132</v>
      </c>
      <c r="N23" s="784">
        <f t="shared" si="6"/>
        <v>149.05066873999999</v>
      </c>
      <c r="O23" s="784">
        <f t="shared" si="6"/>
        <v>152.38465274000001</v>
      </c>
      <c r="P23" s="781">
        <f t="shared" si="6"/>
        <v>155.69819767999999</v>
      </c>
      <c r="Q23" s="781">
        <f t="shared" si="6"/>
        <v>167.87297529000003</v>
      </c>
      <c r="R23" s="781">
        <f t="shared" si="6"/>
        <v>177.63752194</v>
      </c>
      <c r="S23" s="781">
        <f t="shared" si="6"/>
        <v>173.21967848000003</v>
      </c>
      <c r="T23" s="781">
        <f t="shared" si="6"/>
        <v>175.80389299999999</v>
      </c>
      <c r="U23" s="781">
        <f t="shared" si="6"/>
        <v>178.34353551999996</v>
      </c>
      <c r="V23" s="781">
        <f t="shared" si="6"/>
        <v>176.87911975999998</v>
      </c>
      <c r="W23" s="781">
        <v>175.89268702999999</v>
      </c>
      <c r="X23" s="781">
        <v>182.46142771000001</v>
      </c>
      <c r="Y23" s="784">
        <v>174.11761124</v>
      </c>
      <c r="Z23" s="781">
        <v>171.43604766999997</v>
      </c>
      <c r="AA23" s="784">
        <v>351.38507576000001</v>
      </c>
      <c r="AB23" s="784">
        <f>+AB21-AB22</f>
        <v>368.40647605000004</v>
      </c>
      <c r="AC23" s="784">
        <v>370.91667699000004</v>
      </c>
      <c r="AD23" s="784">
        <v>363.70653028999999</v>
      </c>
      <c r="AE23" s="784">
        <v>357.14314529000001</v>
      </c>
      <c r="AF23" s="784">
        <v>361.41827936000004</v>
      </c>
      <c r="AG23" s="784">
        <v>312.05197620000001</v>
      </c>
      <c r="AH23" s="784">
        <f>+AH21-AH22</f>
        <v>312.16708324000001</v>
      </c>
      <c r="AI23" s="784">
        <v>176.06821627000002</v>
      </c>
      <c r="AJ23" s="784">
        <f>+AJ21-AJ22</f>
        <v>607.1370006300001</v>
      </c>
      <c r="AK23" s="784">
        <f>+AK21-AK22</f>
        <v>612.54861527999992</v>
      </c>
      <c r="AL23" s="784">
        <v>570.20870378999996</v>
      </c>
      <c r="AM23" s="784">
        <f>+AM21-AM22</f>
        <v>504.44824317000001</v>
      </c>
      <c r="AN23" s="784">
        <f>+AN21-AN22</f>
        <v>225.97572344</v>
      </c>
      <c r="AO23" s="784">
        <f>+AO21-AO22</f>
        <v>215.82312906999999</v>
      </c>
      <c r="AP23" s="784">
        <f>+AP21-AP22</f>
        <v>217.47658608</v>
      </c>
      <c r="AQ23" s="784">
        <v>330.78854732000002</v>
      </c>
      <c r="AR23" s="784">
        <f>+AR21-AR22</f>
        <v>334.16569972999997</v>
      </c>
      <c r="AS23" s="784">
        <f>+AS21-AS22</f>
        <v>348.47161274000001</v>
      </c>
      <c r="AT23" s="784">
        <f>AT15-AT19</f>
        <v>346.32161638000002</v>
      </c>
      <c r="AU23" s="784">
        <v>242.45581118999999</v>
      </c>
      <c r="AV23" s="784">
        <v>259.12074885999999</v>
      </c>
      <c r="AW23" s="784">
        <v>272.68436880999997</v>
      </c>
      <c r="AX23" s="784">
        <v>292.20966622000003</v>
      </c>
      <c r="AY23" s="784">
        <v>263.96952705000001</v>
      </c>
      <c r="AZ23" s="784">
        <v>274.30521291999997</v>
      </c>
      <c r="BA23" s="784">
        <v>290.56937748000007</v>
      </c>
      <c r="BB23" s="784">
        <v>158.77909769999999</v>
      </c>
      <c r="BC23" s="784">
        <v>154.78731071999999</v>
      </c>
      <c r="BD23" s="784">
        <f>+BD21-BD22</f>
        <v>144.44018271999997</v>
      </c>
      <c r="BE23" s="784">
        <v>142.92113551</v>
      </c>
      <c r="BF23" s="784">
        <v>146.52547816999999</v>
      </c>
      <c r="BG23" s="784">
        <v>143.61971435000001</v>
      </c>
      <c r="BH23" s="827">
        <v>148.99183482000001</v>
      </c>
      <c r="BI23" s="816">
        <v>157.75996624999996</v>
      </c>
      <c r="BJ23" s="816">
        <v>162.00933302999999</v>
      </c>
      <c r="BK23" s="816">
        <v>144.45346507000002</v>
      </c>
      <c r="BL23" s="816">
        <v>142.86982185000002</v>
      </c>
      <c r="BM23" s="816">
        <v>142.48045224000001</v>
      </c>
      <c r="BN23" s="816">
        <v>145.96269811000005</v>
      </c>
      <c r="BO23" s="816">
        <v>132.20188858999998</v>
      </c>
      <c r="BP23" s="816">
        <v>127.86245565000003</v>
      </c>
      <c r="BQ23" s="816">
        <v>142.67541279</v>
      </c>
      <c r="BR23" s="816">
        <v>143.04022752</v>
      </c>
      <c r="BS23" s="816">
        <v>151.61182955999996</v>
      </c>
      <c r="BT23" s="816">
        <v>147.62338451999997</v>
      </c>
      <c r="BU23" s="816">
        <v>146.39225112000003</v>
      </c>
      <c r="BV23" s="816">
        <v>141.51568666999998</v>
      </c>
      <c r="BW23" s="816">
        <v>149.37000399000001</v>
      </c>
      <c r="BX23" s="816">
        <v>160.56107030000004</v>
      </c>
      <c r="BY23" s="816">
        <v>164.37734827999998</v>
      </c>
      <c r="BZ23" s="816">
        <v>164.26471425999995</v>
      </c>
      <c r="CA23" s="816">
        <v>164.4863747</v>
      </c>
      <c r="CB23" s="816">
        <v>166.46728451999996</v>
      </c>
      <c r="CC23" s="816">
        <v>171.93668518999999</v>
      </c>
      <c r="CD23" s="816">
        <v>140.7290127</v>
      </c>
      <c r="CE23" s="816">
        <f t="shared" ref="CE23:CP23" si="7">+CE21-CE22</f>
        <v>135.57815277999998</v>
      </c>
      <c r="CF23" s="816">
        <f t="shared" si="7"/>
        <v>128.16944359000001</v>
      </c>
      <c r="CG23" s="816">
        <f t="shared" si="7"/>
        <v>113.47101981</v>
      </c>
      <c r="CH23" s="816">
        <f t="shared" si="7"/>
        <v>89.423240709999988</v>
      </c>
      <c r="CI23" s="816">
        <f t="shared" si="7"/>
        <v>81.566450379999992</v>
      </c>
      <c r="CJ23" s="816">
        <f t="shared" si="7"/>
        <v>65.454638920000008</v>
      </c>
      <c r="CK23" s="816">
        <f t="shared" si="7"/>
        <v>63.471702170000007</v>
      </c>
      <c r="CL23" s="816">
        <f t="shared" si="7"/>
        <v>61.745989350000002</v>
      </c>
      <c r="CM23" s="816">
        <f t="shared" si="7"/>
        <v>60.624663009999999</v>
      </c>
      <c r="CN23" s="816">
        <f t="shared" si="7"/>
        <v>60.736874530000009</v>
      </c>
      <c r="CO23" s="816">
        <f t="shared" si="7"/>
        <v>41.064557549999996</v>
      </c>
      <c r="CP23" s="816">
        <f t="shared" si="7"/>
        <v>33.849452759999998</v>
      </c>
      <c r="CQ23" s="816">
        <f>+CQ21-CQ22</f>
        <v>36.067174130000012</v>
      </c>
      <c r="CR23" s="816">
        <f>+CR21-CR22</f>
        <v>40.225737430000009</v>
      </c>
      <c r="CS23" s="816">
        <v>44.195966320000011</v>
      </c>
      <c r="CT23" s="816">
        <v>36.45168065</v>
      </c>
      <c r="CU23" s="816">
        <v>33.873059320000003</v>
      </c>
      <c r="CV23" s="816">
        <v>33.341543340000001</v>
      </c>
      <c r="CW23" s="816">
        <v>35.250352669999998</v>
      </c>
      <c r="CX23" s="816">
        <v>35.249052880000001</v>
      </c>
      <c r="CY23" s="816">
        <v>36.215999099999998</v>
      </c>
      <c r="CZ23" s="816">
        <v>38.484192479999997</v>
      </c>
      <c r="DA23" s="816">
        <v>42.196912150000003</v>
      </c>
      <c r="DB23" s="816">
        <v>60.162922109999997</v>
      </c>
      <c r="DC23" s="816">
        <v>52.962658300000001</v>
      </c>
      <c r="DD23" s="886">
        <v>38.79106685</v>
      </c>
      <c r="DE23" s="886">
        <v>46.38739614</v>
      </c>
      <c r="DF23" s="886">
        <v>48.826297519999997</v>
      </c>
      <c r="DG23" s="839">
        <v>51.695678770000001</v>
      </c>
      <c r="DH23" s="839">
        <v>56.433704050000003</v>
      </c>
      <c r="DI23" s="839">
        <v>56.927190760000002</v>
      </c>
      <c r="DJ23" s="839">
        <v>51.283379320000002</v>
      </c>
      <c r="DK23" s="839">
        <v>60.313067779999997</v>
      </c>
      <c r="DL23" s="839">
        <v>106.31331313</v>
      </c>
      <c r="DM23" s="839">
        <v>111.09884254000001</v>
      </c>
      <c r="DN23" s="839">
        <v>91.104516889999999</v>
      </c>
      <c r="DO23" s="839">
        <v>93.310573430000005</v>
      </c>
      <c r="DP23" s="839">
        <v>70.558313900000002</v>
      </c>
      <c r="DQ23" s="839">
        <v>74.983344840000001</v>
      </c>
      <c r="DR23" s="839">
        <v>74.599198939999994</v>
      </c>
      <c r="DS23" s="839">
        <v>77.251828990000007</v>
      </c>
      <c r="DT23" s="839">
        <v>73.183678259999994</v>
      </c>
      <c r="DU23" s="839">
        <v>62.897947189999996</v>
      </c>
      <c r="DV23" s="839">
        <v>55.346180250000003</v>
      </c>
      <c r="DW23" s="839">
        <v>49.314484100000001</v>
      </c>
      <c r="DX23" s="839">
        <v>58.038136850000001</v>
      </c>
      <c r="DY23" s="839">
        <v>68.357755019999999</v>
      </c>
      <c r="DZ23" s="839">
        <v>78.303425849999996</v>
      </c>
      <c r="EA23" s="839">
        <v>83.358752499999994</v>
      </c>
      <c r="EB23" s="839">
        <v>93.436544319999996</v>
      </c>
      <c r="EC23" s="839">
        <v>104.18503357</v>
      </c>
      <c r="ED23" s="839">
        <v>96.976439010000007</v>
      </c>
      <c r="EE23" s="839">
        <v>95.559328910000005</v>
      </c>
      <c r="EF23" s="839">
        <v>88.154028920000002</v>
      </c>
      <c r="EG23" s="839">
        <v>72.823414720000002</v>
      </c>
      <c r="EH23" s="839">
        <v>69.959494309999997</v>
      </c>
      <c r="EI23" s="839">
        <v>73.640764500000003</v>
      </c>
      <c r="EJ23" s="839">
        <v>71.009206090000006</v>
      </c>
      <c r="EK23" s="839">
        <v>57.393559289999999</v>
      </c>
      <c r="EL23" s="839">
        <v>67.165980579999996</v>
      </c>
      <c r="EM23" s="839">
        <v>72.685196730000001</v>
      </c>
      <c r="EN23" s="839">
        <v>89.116278570000006</v>
      </c>
      <c r="EO23" s="839">
        <v>97.30478488</v>
      </c>
      <c r="EP23" s="839">
        <v>95.149099519999993</v>
      </c>
      <c r="EQ23" s="839">
        <v>105.38941221</v>
      </c>
      <c r="ER23" s="839">
        <v>109.20425041999999</v>
      </c>
      <c r="ES23" s="839">
        <v>94.877554290000006</v>
      </c>
      <c r="ET23" s="839">
        <v>85.204096989999996</v>
      </c>
      <c r="EU23" s="839">
        <v>80.872115530000002</v>
      </c>
      <c r="EV23" s="839">
        <v>83.564243320000003</v>
      </c>
      <c r="EW23" s="839">
        <v>77.460899609999998</v>
      </c>
      <c r="EX23" s="839">
        <v>91.813696770000007</v>
      </c>
      <c r="EY23" s="839">
        <v>121.14275042</v>
      </c>
      <c r="EZ23" s="839">
        <v>114.77665148</v>
      </c>
      <c r="FA23" s="839">
        <v>112.68329423</v>
      </c>
      <c r="FB23" s="839">
        <v>107.54526008000001</v>
      </c>
      <c r="FC23" s="839">
        <v>110.15681407</v>
      </c>
      <c r="FD23" s="839">
        <v>112.65195484</v>
      </c>
      <c r="FE23" s="839">
        <v>113.38463984000001</v>
      </c>
      <c r="FF23" s="839">
        <v>94.751273999999995</v>
      </c>
      <c r="FG23" s="839">
        <v>98.976744929999995</v>
      </c>
      <c r="FH23" s="1716" t="s">
        <v>4066</v>
      </c>
      <c r="FM23" s="321"/>
    </row>
    <row r="24" spans="1:169" ht="21">
      <c r="A24" s="1721"/>
      <c r="B24" s="783"/>
      <c r="C24" s="783"/>
      <c r="D24" s="783"/>
      <c r="E24" s="783"/>
      <c r="F24" s="783"/>
      <c r="G24" s="783"/>
      <c r="H24" s="783"/>
      <c r="I24" s="783"/>
      <c r="J24" s="783"/>
      <c r="K24" s="783"/>
      <c r="L24" s="783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84"/>
      <c r="AF24" s="784"/>
      <c r="AG24" s="784"/>
      <c r="AH24" s="784"/>
      <c r="AI24" s="784"/>
      <c r="AJ24" s="784"/>
      <c r="AK24" s="784"/>
      <c r="AL24" s="784"/>
      <c r="AM24" s="784"/>
      <c r="AN24" s="784"/>
      <c r="AO24" s="784"/>
      <c r="AP24" s="784"/>
      <c r="AQ24" s="784"/>
      <c r="AR24" s="784"/>
      <c r="AS24" s="784"/>
      <c r="AT24" s="784"/>
      <c r="AU24" s="784"/>
      <c r="AV24" s="784"/>
      <c r="AW24" s="784"/>
      <c r="AX24" s="784"/>
      <c r="AY24" s="784"/>
      <c r="AZ24" s="784"/>
      <c r="BA24" s="784"/>
      <c r="BB24" s="784"/>
      <c r="BC24" s="784"/>
      <c r="BD24" s="784"/>
      <c r="BE24" s="784"/>
      <c r="BF24" s="784"/>
      <c r="BG24" s="784"/>
      <c r="BH24" s="827"/>
      <c r="BI24" s="816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>
        <v>0</v>
      </c>
      <c r="CI24" s="816"/>
      <c r="CJ24" s="816"/>
      <c r="CK24" s="816"/>
      <c r="CL24" s="816"/>
      <c r="CM24" s="816"/>
      <c r="CN24" s="816"/>
      <c r="CO24" s="816"/>
      <c r="CP24" s="816"/>
      <c r="CQ24" s="816"/>
      <c r="CR24" s="816"/>
      <c r="CS24" s="816"/>
      <c r="CT24" s="816"/>
      <c r="CU24" s="816"/>
      <c r="CV24" s="816"/>
      <c r="CW24" s="816"/>
      <c r="CX24" s="816"/>
      <c r="CY24" s="816"/>
      <c r="CZ24" s="816"/>
      <c r="DA24" s="816"/>
      <c r="DB24" s="816"/>
      <c r="DC24" s="816"/>
      <c r="DD24" s="886"/>
      <c r="DE24" s="886"/>
      <c r="DF24" s="886"/>
      <c r="DG24" s="839"/>
      <c r="DH24" s="839"/>
      <c r="DI24" s="839"/>
      <c r="DJ24" s="839"/>
      <c r="DK24" s="839"/>
      <c r="DL24" s="839"/>
      <c r="DM24" s="839"/>
      <c r="DN24" s="839"/>
      <c r="DO24" s="839"/>
      <c r="DP24" s="839"/>
      <c r="DQ24" s="839"/>
      <c r="DR24" s="839"/>
      <c r="DS24" s="839"/>
      <c r="DT24" s="839"/>
      <c r="DU24" s="839"/>
      <c r="DV24" s="839"/>
      <c r="DW24" s="839"/>
      <c r="DX24" s="839"/>
      <c r="DY24" s="839"/>
      <c r="DZ24" s="839"/>
      <c r="EA24" s="839"/>
      <c r="EB24" s="839"/>
      <c r="EC24" s="839"/>
      <c r="ED24" s="839"/>
      <c r="EE24" s="839"/>
      <c r="EF24" s="839"/>
      <c r="EG24" s="839"/>
      <c r="EH24" s="839"/>
      <c r="EI24" s="839"/>
      <c r="EJ24" s="839"/>
      <c r="EK24" s="839"/>
      <c r="EL24" s="839"/>
      <c r="EM24" s="839"/>
      <c r="EN24" s="839"/>
      <c r="EO24" s="839"/>
      <c r="EP24" s="839"/>
      <c r="EQ24" s="839"/>
      <c r="ER24" s="839"/>
      <c r="ES24" s="839"/>
      <c r="ET24" s="839"/>
      <c r="EU24" s="839"/>
      <c r="EV24" s="839"/>
      <c r="EW24" s="839"/>
      <c r="EX24" s="839"/>
      <c r="EY24" s="839"/>
      <c r="EZ24" s="839"/>
      <c r="FA24" s="839"/>
      <c r="FB24" s="839"/>
      <c r="FC24" s="839"/>
      <c r="FD24" s="839"/>
      <c r="FE24" s="839"/>
      <c r="FF24" s="839"/>
      <c r="FG24" s="839"/>
      <c r="FH24" s="1711"/>
      <c r="FM24" s="321"/>
    </row>
    <row r="25" spans="1:169" ht="21">
      <c r="A25" s="1722" t="s">
        <v>2743</v>
      </c>
      <c r="B25" s="780">
        <v>663.85111770000003</v>
      </c>
      <c r="C25" s="783">
        <v>876.05009504999998</v>
      </c>
      <c r="D25" s="783">
        <v>896.8242402599999</v>
      </c>
      <c r="E25" s="783">
        <v>995.12983931000008</v>
      </c>
      <c r="F25" s="783">
        <v>1043.91298813</v>
      </c>
      <c r="G25" s="783">
        <v>1092.27278858</v>
      </c>
      <c r="H25" s="783">
        <v>1121.50720869</v>
      </c>
      <c r="I25" s="783">
        <v>1143.69816416</v>
      </c>
      <c r="J25" s="783">
        <v>1194.3556452600001</v>
      </c>
      <c r="K25" s="783">
        <v>1184.5891788599999</v>
      </c>
      <c r="L25" s="783">
        <v>1199.18702656</v>
      </c>
      <c r="M25" s="781">
        <v>1255.1822657399998</v>
      </c>
      <c r="N25" s="784">
        <v>1603.10763219</v>
      </c>
      <c r="O25" s="784">
        <v>1548.9938710499998</v>
      </c>
      <c r="P25" s="781">
        <v>1569.8276058600002</v>
      </c>
      <c r="Q25" s="781">
        <v>1613.63688576</v>
      </c>
      <c r="R25" s="781">
        <v>1630.0505204400001</v>
      </c>
      <c r="S25" s="781">
        <v>1670.9145405800002</v>
      </c>
      <c r="T25" s="781">
        <v>1690.8434160400002</v>
      </c>
      <c r="U25" s="781">
        <v>1708.25349766</v>
      </c>
      <c r="V25" s="781">
        <v>1711.4837434999999</v>
      </c>
      <c r="W25" s="781">
        <v>1768.3820650900002</v>
      </c>
      <c r="X25" s="781">
        <v>1751.1195152099999</v>
      </c>
      <c r="Y25" s="781">
        <v>1720.52118823</v>
      </c>
      <c r="Z25" s="781">
        <v>1706.8214208300001</v>
      </c>
      <c r="AA25" s="784">
        <v>1768.72584538</v>
      </c>
      <c r="AB25" s="781">
        <v>1756.4537883100002</v>
      </c>
      <c r="AC25" s="781">
        <v>1724.6551742199999</v>
      </c>
      <c r="AD25" s="781">
        <v>1726.2738899999999</v>
      </c>
      <c r="AE25" s="781">
        <v>1724.4301218300002</v>
      </c>
      <c r="AF25" s="781">
        <v>1724.5275751000001</v>
      </c>
      <c r="AG25" s="781">
        <v>1729.9009730500002</v>
      </c>
      <c r="AH25" s="781">
        <v>1563.6061576699999</v>
      </c>
      <c r="AI25" s="781">
        <v>1127.21927912</v>
      </c>
      <c r="AJ25" s="781">
        <v>1118.4562392299999</v>
      </c>
      <c r="AK25" s="781">
        <v>1225.1997741799998</v>
      </c>
      <c r="AL25" s="781">
        <v>1208.13774775</v>
      </c>
      <c r="AM25" s="781">
        <v>1113.5960013700001</v>
      </c>
      <c r="AN25" s="781">
        <v>1045.8969203499998</v>
      </c>
      <c r="AO25" s="781">
        <v>892.16725496999993</v>
      </c>
      <c r="AP25" s="781">
        <v>898.28357760000006</v>
      </c>
      <c r="AQ25" s="781">
        <v>894.52531871000008</v>
      </c>
      <c r="AR25" s="781">
        <v>888.62090024999998</v>
      </c>
      <c r="AS25" s="781">
        <v>888.38873778000004</v>
      </c>
      <c r="AT25" s="781">
        <f>AT9-AT13</f>
        <v>899.24211330999992</v>
      </c>
      <c r="AU25" s="781">
        <v>881.24634016999994</v>
      </c>
      <c r="AV25" s="781">
        <v>893.40033246999985</v>
      </c>
      <c r="AW25" s="781">
        <v>880.15182722000009</v>
      </c>
      <c r="AX25" s="781">
        <v>893.27176450000002</v>
      </c>
      <c r="AY25" s="781">
        <v>876.08827769000004</v>
      </c>
      <c r="AZ25" s="781">
        <v>827.23850003999996</v>
      </c>
      <c r="BA25" s="781">
        <v>820.55988593000006</v>
      </c>
      <c r="BB25" s="781">
        <v>817.64190286000007</v>
      </c>
      <c r="BC25" s="781">
        <v>790.14229418000002</v>
      </c>
      <c r="BD25" s="781">
        <v>392.54276049000003</v>
      </c>
      <c r="BE25" s="781">
        <v>393.13655397000002</v>
      </c>
      <c r="BF25" s="781">
        <v>383.63643728999995</v>
      </c>
      <c r="BG25" s="781">
        <v>370.32570361000001</v>
      </c>
      <c r="BH25" s="826">
        <v>370.54483074999996</v>
      </c>
      <c r="BI25" s="815">
        <v>355.55853685</v>
      </c>
      <c r="BJ25" s="815">
        <v>362.89026754999998</v>
      </c>
      <c r="BK25" s="815">
        <v>383.46540838999999</v>
      </c>
      <c r="BL25" s="815">
        <v>385.6618998400001</v>
      </c>
      <c r="BM25" s="815">
        <v>404.45427589000002</v>
      </c>
      <c r="BN25" s="815">
        <v>418.53542463999997</v>
      </c>
      <c r="BO25" s="815">
        <v>426.43122317999996</v>
      </c>
      <c r="BP25" s="815">
        <v>419.48699084999993</v>
      </c>
      <c r="BQ25" s="815">
        <v>418.94288805999997</v>
      </c>
      <c r="BR25" s="815">
        <v>413.1345991500001</v>
      </c>
      <c r="BS25" s="815">
        <v>409.75355071000001</v>
      </c>
      <c r="BT25" s="815">
        <v>408.40289493</v>
      </c>
      <c r="BU25" s="815">
        <v>436.05879611</v>
      </c>
      <c r="BV25" s="815">
        <v>430.84769518000002</v>
      </c>
      <c r="BW25" s="815">
        <v>470.85798901999999</v>
      </c>
      <c r="BX25" s="815">
        <v>481.69603651</v>
      </c>
      <c r="BY25" s="815">
        <v>487.40844836999997</v>
      </c>
      <c r="BZ25" s="815">
        <v>493.10855780999998</v>
      </c>
      <c r="CA25" s="815">
        <v>499.35227388999999</v>
      </c>
      <c r="CB25" s="815">
        <v>611.74014121999994</v>
      </c>
      <c r="CC25" s="815">
        <v>604.89866076999999</v>
      </c>
      <c r="CD25" s="815">
        <v>636.83193363999999</v>
      </c>
      <c r="CE25" s="815">
        <v>671.65315972999997</v>
      </c>
      <c r="CF25" s="815">
        <v>699.54979325999989</v>
      </c>
      <c r="CG25" s="815">
        <v>673.25358242000004</v>
      </c>
      <c r="CH25" s="815">
        <v>963.56426785000008</v>
      </c>
      <c r="CI25" s="815">
        <v>965.48404779999987</v>
      </c>
      <c r="CJ25" s="815">
        <v>965.55437454000003</v>
      </c>
      <c r="CK25" s="815">
        <v>960.39221881000003</v>
      </c>
      <c r="CL25" s="815">
        <v>977.75831198000014</v>
      </c>
      <c r="CM25" s="815">
        <v>974.27042843999993</v>
      </c>
      <c r="CN25" s="815">
        <v>980.02937337999992</v>
      </c>
      <c r="CO25" s="815">
        <v>999.44929746999992</v>
      </c>
      <c r="CP25" s="815">
        <v>1014.75777633</v>
      </c>
      <c r="CQ25" s="815">
        <v>1041.2147707300001</v>
      </c>
      <c r="CR25" s="815">
        <v>1178.5573059399999</v>
      </c>
      <c r="CS25" s="815">
        <v>1043.1681394500001</v>
      </c>
      <c r="CT25" s="815">
        <v>784.83928702000003</v>
      </c>
      <c r="CU25" s="815">
        <v>719.48378666999997</v>
      </c>
      <c r="CV25" s="815">
        <v>721.57833358000005</v>
      </c>
      <c r="CW25" s="815">
        <v>720.58380397999997</v>
      </c>
      <c r="CX25" s="815">
        <v>727.36611706999997</v>
      </c>
      <c r="CY25" s="815">
        <v>725.70843015000003</v>
      </c>
      <c r="CZ25" s="815">
        <v>724.78477863000001</v>
      </c>
      <c r="DA25" s="815">
        <v>694.97228577999999</v>
      </c>
      <c r="DB25" s="815">
        <v>706.10895755000001</v>
      </c>
      <c r="DC25" s="815">
        <v>749.69014537999999</v>
      </c>
      <c r="DD25" s="885">
        <v>762.59036295999999</v>
      </c>
      <c r="DE25" s="885">
        <v>767.01296147000005</v>
      </c>
      <c r="DF25" s="885">
        <v>765.91127021</v>
      </c>
      <c r="DG25" s="838">
        <v>765.90343918999997</v>
      </c>
      <c r="DH25" s="838">
        <v>776.27258682000001</v>
      </c>
      <c r="DI25" s="838">
        <v>775.41270167000005</v>
      </c>
      <c r="DJ25" s="838">
        <v>775.71513157000004</v>
      </c>
      <c r="DK25" s="838">
        <v>763.62223086999995</v>
      </c>
      <c r="DL25" s="838">
        <v>760.56831208999995</v>
      </c>
      <c r="DM25" s="838">
        <v>758.57970737999995</v>
      </c>
      <c r="DN25" s="838">
        <v>747.94233139999994</v>
      </c>
      <c r="DO25" s="838">
        <v>742.78673029000004</v>
      </c>
      <c r="DP25" s="838">
        <v>756.89720920000002</v>
      </c>
      <c r="DQ25" s="838">
        <v>756.09270307999998</v>
      </c>
      <c r="DR25" s="838">
        <v>747.18698179</v>
      </c>
      <c r="DS25" s="838">
        <v>740.91692320000004</v>
      </c>
      <c r="DT25" s="838">
        <v>751.02206852999996</v>
      </c>
      <c r="DU25" s="838">
        <v>742.20948363000002</v>
      </c>
      <c r="DV25" s="838">
        <v>711.03851340999995</v>
      </c>
      <c r="DW25" s="838">
        <v>766.50679815000001</v>
      </c>
      <c r="DX25" s="838">
        <v>829.33502210999995</v>
      </c>
      <c r="DY25" s="838">
        <v>827.02031277000003</v>
      </c>
      <c r="DZ25" s="838">
        <v>821.12300297000002</v>
      </c>
      <c r="EA25" s="838">
        <v>866.84320628</v>
      </c>
      <c r="EB25" s="838">
        <v>867.61392949000003</v>
      </c>
      <c r="EC25" s="838">
        <v>904.12860157</v>
      </c>
      <c r="ED25" s="838">
        <v>1146.0111360400001</v>
      </c>
      <c r="EE25" s="838">
        <v>1122.7351905400001</v>
      </c>
      <c r="EF25" s="838">
        <v>1116.04912001</v>
      </c>
      <c r="EG25" s="838">
        <v>1099.1160276799999</v>
      </c>
      <c r="EH25" s="838">
        <v>1135.42880823</v>
      </c>
      <c r="EI25" s="838">
        <v>1136.4747037</v>
      </c>
      <c r="EJ25" s="838">
        <v>1120.2354998999999</v>
      </c>
      <c r="EK25" s="838">
        <v>1138.39775192</v>
      </c>
      <c r="EL25" s="838">
        <v>1146.49913692</v>
      </c>
      <c r="EM25" s="838">
        <v>1198.0240335599999</v>
      </c>
      <c r="EN25" s="838">
        <v>1188.03392897</v>
      </c>
      <c r="EO25" s="838">
        <v>1192.2748732099999</v>
      </c>
      <c r="EP25" s="838">
        <v>1230.17594633</v>
      </c>
      <c r="EQ25" s="838">
        <v>1220.6408458400001</v>
      </c>
      <c r="ER25" s="838">
        <v>1227.5856547799999</v>
      </c>
      <c r="ES25" s="838">
        <v>1238.7691789999999</v>
      </c>
      <c r="ET25" s="838">
        <v>1227.4134000900001</v>
      </c>
      <c r="EU25" s="838">
        <v>1210.2709791</v>
      </c>
      <c r="EV25" s="838">
        <v>1197.46280725</v>
      </c>
      <c r="EW25" s="838">
        <v>1215.58368952</v>
      </c>
      <c r="EX25" s="838">
        <v>1215.4942412600001</v>
      </c>
      <c r="EY25" s="838">
        <v>1195.59128201</v>
      </c>
      <c r="EZ25" s="838">
        <v>1196.60633669</v>
      </c>
      <c r="FA25" s="838">
        <v>1196.9798345900001</v>
      </c>
      <c r="FB25" s="838">
        <v>1230.4699718100001</v>
      </c>
      <c r="FC25" s="838">
        <v>1229.11156226</v>
      </c>
      <c r="FD25" s="838">
        <v>1218.03348699</v>
      </c>
      <c r="FE25" s="838">
        <v>1212.8767555699999</v>
      </c>
      <c r="FF25" s="838">
        <v>1215.58445304</v>
      </c>
      <c r="FG25" s="838">
        <v>1206.8653102000001</v>
      </c>
      <c r="FH25" s="1710" t="s">
        <v>4065</v>
      </c>
      <c r="FM25" s="321"/>
    </row>
    <row r="26" spans="1:169" ht="21">
      <c r="A26" s="1723" t="s">
        <v>1961</v>
      </c>
      <c r="B26" s="783">
        <v>1.5749808299999999</v>
      </c>
      <c r="C26" s="783">
        <v>1.5754645599999999</v>
      </c>
      <c r="D26" s="783">
        <v>1.57449138</v>
      </c>
      <c r="E26" s="783">
        <v>21.503012970000004</v>
      </c>
      <c r="F26" s="783">
        <v>41.532092939999998</v>
      </c>
      <c r="G26" s="783">
        <v>61.33045036</v>
      </c>
      <c r="H26" s="783">
        <v>61.320035240000003</v>
      </c>
      <c r="I26" s="783">
        <v>61.238633780000001</v>
      </c>
      <c r="J26" s="783">
        <v>61.210743210000004</v>
      </c>
      <c r="K26" s="783">
        <v>60.180737389999997</v>
      </c>
      <c r="L26" s="783">
        <v>58.152616080000001</v>
      </c>
      <c r="M26" s="784">
        <v>53.952489279999995</v>
      </c>
      <c r="N26" s="784">
        <v>51.1464444</v>
      </c>
      <c r="O26" s="784">
        <v>46.396274830000003</v>
      </c>
      <c r="P26" s="784">
        <v>41.36810165</v>
      </c>
      <c r="Q26" s="784">
        <v>39.339984999999999</v>
      </c>
      <c r="R26" s="784">
        <v>38.494793690000002</v>
      </c>
      <c r="S26" s="784">
        <v>40.000368129999998</v>
      </c>
      <c r="T26" s="784">
        <v>39.616571550000003</v>
      </c>
      <c r="U26" s="784">
        <v>40.770835679999998</v>
      </c>
      <c r="V26" s="784">
        <v>39.894111520000003</v>
      </c>
      <c r="W26" s="784">
        <v>38.856641359999998</v>
      </c>
      <c r="X26" s="784">
        <v>34.688454399999998</v>
      </c>
      <c r="Y26" s="784">
        <v>28.281277090000003</v>
      </c>
      <c r="Z26" s="784">
        <v>25.76472665</v>
      </c>
      <c r="AA26" s="784">
        <v>20.166678999999998</v>
      </c>
      <c r="AB26" s="784">
        <v>16.131688440000001</v>
      </c>
      <c r="AC26" s="784">
        <v>13.93759805</v>
      </c>
      <c r="AD26" s="784">
        <v>12.602331779999998</v>
      </c>
      <c r="AE26" s="784">
        <v>12.171671659999999</v>
      </c>
      <c r="AF26" s="784">
        <v>12.052782260000001</v>
      </c>
      <c r="AG26" s="784">
        <v>11.85320387</v>
      </c>
      <c r="AH26" s="784">
        <v>11.60234509</v>
      </c>
      <c r="AI26" s="784">
        <v>10.575084090000001</v>
      </c>
      <c r="AJ26" s="784">
        <v>6.8668823499999991</v>
      </c>
      <c r="AK26" s="784">
        <v>1.9180080500000001</v>
      </c>
      <c r="AL26" s="784">
        <v>2.11739436</v>
      </c>
      <c r="AM26" s="784">
        <v>2.1230274099999997</v>
      </c>
      <c r="AN26" s="784">
        <v>4.1424332599999998</v>
      </c>
      <c r="AO26" s="784">
        <v>2.2180520399999999</v>
      </c>
      <c r="AP26" s="784">
        <v>3.4845686900000001</v>
      </c>
      <c r="AQ26" s="784">
        <v>4.2051029399999997</v>
      </c>
      <c r="AR26" s="784">
        <v>3.4811028300000002</v>
      </c>
      <c r="AS26" s="784">
        <v>2.9670524</v>
      </c>
      <c r="AT26" s="784">
        <f>AT10-AT14</f>
        <v>3.8124795099999993</v>
      </c>
      <c r="AU26" s="784">
        <v>3.5798451399999998</v>
      </c>
      <c r="AV26" s="784">
        <v>4.0034571000000021</v>
      </c>
      <c r="AW26" s="784">
        <v>0.19676912999999985</v>
      </c>
      <c r="AX26" s="784">
        <v>1.8071656400000009</v>
      </c>
      <c r="AY26" s="784">
        <v>3.1457761800000004</v>
      </c>
      <c r="AZ26" s="784">
        <v>3.37799563</v>
      </c>
      <c r="BA26" s="784">
        <v>3.4908865599999999</v>
      </c>
      <c r="BB26" s="784">
        <v>1.8362173899999998</v>
      </c>
      <c r="BC26" s="784">
        <v>2.41358016</v>
      </c>
      <c r="BD26" s="784">
        <v>1.4568437400000001</v>
      </c>
      <c r="BE26" s="784">
        <v>3.5670136800000005</v>
      </c>
      <c r="BF26" s="784">
        <v>2.7498627999999989</v>
      </c>
      <c r="BG26" s="784">
        <v>3.5172303400000011</v>
      </c>
      <c r="BH26" s="827">
        <v>1.9791618699999987</v>
      </c>
      <c r="BI26" s="816">
        <v>2.08005</v>
      </c>
      <c r="BJ26" s="816">
        <v>1.3080500000000015</v>
      </c>
      <c r="BK26" s="816">
        <v>2.8988370000000003</v>
      </c>
      <c r="BL26" s="816">
        <v>2.0587790699999999</v>
      </c>
      <c r="BM26" s="816">
        <v>2.9774999999999991</v>
      </c>
      <c r="BN26" s="816">
        <v>3.5303121699999984</v>
      </c>
      <c r="BO26" s="816">
        <v>6.8265344599999978</v>
      </c>
      <c r="BP26" s="816">
        <v>6.4799086100000025</v>
      </c>
      <c r="BQ26" s="816">
        <v>4.4520319400000012</v>
      </c>
      <c r="BR26" s="816">
        <v>4.1875128299999993</v>
      </c>
      <c r="BS26" s="816">
        <v>5.0256413199999983</v>
      </c>
      <c r="BT26" s="816">
        <v>6.6360387299999992</v>
      </c>
      <c r="BU26" s="816">
        <v>5.9122295700000009</v>
      </c>
      <c r="BV26" s="816">
        <v>5.6442428699999994</v>
      </c>
      <c r="BW26" s="816">
        <v>6.6628023600000006</v>
      </c>
      <c r="BX26" s="816">
        <v>5.3764445199999997</v>
      </c>
      <c r="BY26" s="816">
        <v>7.6663725799999991</v>
      </c>
      <c r="BZ26" s="816">
        <v>5.8776862899999998</v>
      </c>
      <c r="CA26" s="816">
        <v>9.0643250500000008</v>
      </c>
      <c r="CB26" s="816">
        <v>6.4012650999999998</v>
      </c>
      <c r="CC26" s="816">
        <v>5.1749023200000002</v>
      </c>
      <c r="CD26" s="816">
        <v>5.1612584500000001</v>
      </c>
      <c r="CE26" s="816">
        <v>5.4967259200000003</v>
      </c>
      <c r="CF26" s="816">
        <v>5.6265361600000006</v>
      </c>
      <c r="CG26" s="816">
        <v>2.2831237599999996</v>
      </c>
      <c r="CH26" s="816">
        <v>256.92021447000002</v>
      </c>
      <c r="CI26" s="816">
        <v>257.01556647000001</v>
      </c>
      <c r="CJ26" s="816">
        <v>257.75141316000003</v>
      </c>
      <c r="CK26" s="816">
        <v>257.76452463999999</v>
      </c>
      <c r="CL26" s="816">
        <v>259.15650058</v>
      </c>
      <c r="CM26" s="816">
        <v>258.75736086000001</v>
      </c>
      <c r="CN26" s="816">
        <v>258.44023493999998</v>
      </c>
      <c r="CO26" s="816">
        <v>258.20765742999998</v>
      </c>
      <c r="CP26" s="816">
        <v>256.67354095999997</v>
      </c>
      <c r="CQ26" s="816">
        <v>256.79835465000002</v>
      </c>
      <c r="CR26" s="816">
        <v>383.99041051999995</v>
      </c>
      <c r="CS26" s="816">
        <v>265.27665506</v>
      </c>
      <c r="CT26" s="816">
        <v>2.8044755600000002</v>
      </c>
      <c r="CU26" s="816">
        <v>6.34708322</v>
      </c>
      <c r="CV26" s="816">
        <v>6.5057903100000001</v>
      </c>
      <c r="CW26" s="816">
        <v>6.6588372199999997</v>
      </c>
      <c r="CX26" s="816">
        <v>7.3465571299999999</v>
      </c>
      <c r="CY26" s="816">
        <v>7.2676636999999999</v>
      </c>
      <c r="CZ26" s="816">
        <v>6.0685682999999999</v>
      </c>
      <c r="DA26" s="816">
        <v>6.2057422899999999</v>
      </c>
      <c r="DB26" s="816">
        <v>6.01201659</v>
      </c>
      <c r="DC26" s="816">
        <v>6.6246238200000001</v>
      </c>
      <c r="DD26" s="886">
        <v>6.4023755800000002</v>
      </c>
      <c r="DE26" s="886">
        <v>5.7651655999999996</v>
      </c>
      <c r="DF26" s="886">
        <v>5.57984993</v>
      </c>
      <c r="DG26" s="839">
        <v>5.3952402499999996</v>
      </c>
      <c r="DH26" s="839">
        <v>5.2088591900000001</v>
      </c>
      <c r="DI26" s="839">
        <v>6.0468154099999998</v>
      </c>
      <c r="DJ26" s="839">
        <v>5.7829495599999996</v>
      </c>
      <c r="DK26" s="839">
        <v>5.6061050100000003</v>
      </c>
      <c r="DL26" s="839">
        <v>5.99567256</v>
      </c>
      <c r="DM26" s="839">
        <v>5.7380050999999996</v>
      </c>
      <c r="DN26" s="839">
        <v>3.1067338599999998</v>
      </c>
      <c r="DO26" s="839">
        <v>2.3432996099999999</v>
      </c>
      <c r="DP26" s="839">
        <v>2.2714831200000001</v>
      </c>
      <c r="DQ26" s="839">
        <v>2.73125017</v>
      </c>
      <c r="DR26" s="839">
        <v>2.4426926600000001</v>
      </c>
      <c r="DS26" s="839">
        <v>2.2920403899999999</v>
      </c>
      <c r="DT26" s="839">
        <v>2.3475570399999999</v>
      </c>
      <c r="DU26" s="839">
        <v>2.2570419500000001</v>
      </c>
      <c r="DV26" s="839">
        <v>2.20622396</v>
      </c>
      <c r="DW26" s="839">
        <v>2.1700502799999999</v>
      </c>
      <c r="DX26" s="839">
        <v>2.00154823</v>
      </c>
      <c r="DY26" s="839">
        <v>2.53793712</v>
      </c>
      <c r="DZ26" s="839">
        <v>2.6871069900000002</v>
      </c>
      <c r="EA26" s="839">
        <v>2.5947811399999998</v>
      </c>
      <c r="EB26" s="839">
        <v>2.19109731</v>
      </c>
      <c r="EC26" s="839">
        <v>1.7439299800000001</v>
      </c>
      <c r="ED26" s="839">
        <v>214.35110628999999</v>
      </c>
      <c r="EE26" s="839">
        <v>214.25149331</v>
      </c>
      <c r="EF26" s="839">
        <v>214.12794054</v>
      </c>
      <c r="EG26" s="839">
        <v>215.82513649000001</v>
      </c>
      <c r="EH26" s="839">
        <v>215.89396303000001</v>
      </c>
      <c r="EI26" s="839">
        <v>215.84992993</v>
      </c>
      <c r="EJ26" s="839">
        <v>215.97304871</v>
      </c>
      <c r="EK26" s="839">
        <v>215.00290988</v>
      </c>
      <c r="EL26" s="839">
        <v>215.73057732999999</v>
      </c>
      <c r="EM26" s="839">
        <v>215.96780194999999</v>
      </c>
      <c r="EN26" s="839">
        <v>222.79718226</v>
      </c>
      <c r="EO26" s="839">
        <v>222.16479522</v>
      </c>
      <c r="EP26" s="839">
        <v>221.85634938000001</v>
      </c>
      <c r="EQ26" s="839">
        <v>220.90347068</v>
      </c>
      <c r="ER26" s="839">
        <v>220.35993668</v>
      </c>
      <c r="ES26" s="839">
        <v>207.08995758</v>
      </c>
      <c r="ET26" s="839">
        <v>207.11125995</v>
      </c>
      <c r="EU26" s="839">
        <v>193.65095585</v>
      </c>
      <c r="EV26" s="839">
        <v>193.70364043999999</v>
      </c>
      <c r="EW26" s="839">
        <v>193.6520127</v>
      </c>
      <c r="EX26" s="839">
        <v>180.32028284</v>
      </c>
      <c r="EY26" s="839">
        <v>182.31060937000001</v>
      </c>
      <c r="EZ26" s="839">
        <v>181.64100685</v>
      </c>
      <c r="FA26" s="839">
        <v>169.58975684999999</v>
      </c>
      <c r="FB26" s="839">
        <v>169.58220362</v>
      </c>
      <c r="FC26" s="839">
        <v>170.26599456</v>
      </c>
      <c r="FD26" s="839">
        <v>156.96554069000001</v>
      </c>
      <c r="FE26" s="839">
        <v>156.94773660000001</v>
      </c>
      <c r="FF26" s="839">
        <v>157.42995532</v>
      </c>
      <c r="FG26" s="839">
        <v>144.10609446000001</v>
      </c>
      <c r="FH26" s="1712" t="s">
        <v>4067</v>
      </c>
      <c r="FM26" s="321"/>
    </row>
    <row r="27" spans="1:169" ht="21">
      <c r="A27" s="1723" t="s">
        <v>1962</v>
      </c>
      <c r="B27" s="780">
        <f>+B25-B26</f>
        <v>662.27613687000007</v>
      </c>
      <c r="C27" s="783">
        <f t="shared" ref="C27:R27" si="8">+C25-C26</f>
        <v>874.47463048999998</v>
      </c>
      <c r="D27" s="783">
        <f t="shared" si="8"/>
        <v>895.24974887999986</v>
      </c>
      <c r="E27" s="783">
        <f t="shared" si="8"/>
        <v>973.62682634000009</v>
      </c>
      <c r="F27" s="783">
        <f t="shared" si="8"/>
        <v>1002.38089519</v>
      </c>
      <c r="G27" s="783">
        <f t="shared" si="8"/>
        <v>1030.94233822</v>
      </c>
      <c r="H27" s="783">
        <f t="shared" si="8"/>
        <v>1060.18717345</v>
      </c>
      <c r="I27" s="783">
        <f t="shared" si="8"/>
        <v>1082.4595303799999</v>
      </c>
      <c r="J27" s="783">
        <f t="shared" si="8"/>
        <v>1133.1449020500002</v>
      </c>
      <c r="K27" s="783">
        <f t="shared" si="8"/>
        <v>1124.4084414699998</v>
      </c>
      <c r="L27" s="783">
        <f t="shared" si="8"/>
        <v>1141.0344104800001</v>
      </c>
      <c r="M27" s="784">
        <f t="shared" si="8"/>
        <v>1201.2297764599998</v>
      </c>
      <c r="N27" s="784">
        <f t="shared" si="8"/>
        <v>1551.9611877899999</v>
      </c>
      <c r="O27" s="784">
        <f t="shared" si="8"/>
        <v>1502.5975962199998</v>
      </c>
      <c r="P27" s="781">
        <f t="shared" si="8"/>
        <v>1528.4595042100002</v>
      </c>
      <c r="Q27" s="781">
        <f t="shared" si="8"/>
        <v>1574.29690076</v>
      </c>
      <c r="R27" s="781">
        <f t="shared" si="8"/>
        <v>1591.5557267500001</v>
      </c>
      <c r="S27" s="781">
        <f>+S25-S26</f>
        <v>1630.9141724500003</v>
      </c>
      <c r="T27" s="781">
        <f>+T25-T26</f>
        <v>1651.2268444900001</v>
      </c>
      <c r="U27" s="781">
        <f>+U25-U26</f>
        <v>1667.4826619800001</v>
      </c>
      <c r="V27" s="781">
        <f>+V25-V26</f>
        <v>1671.5896319799999</v>
      </c>
      <c r="W27" s="781">
        <v>1729.5254237300003</v>
      </c>
      <c r="X27" s="781">
        <v>1716.43106081</v>
      </c>
      <c r="Y27" s="784">
        <v>1692.23991114</v>
      </c>
      <c r="Z27" s="781">
        <v>1681.05669418</v>
      </c>
      <c r="AA27" s="784">
        <v>1748.5591663800001</v>
      </c>
      <c r="AB27" s="784">
        <f>+AB25-AB26</f>
        <v>1740.3220998700001</v>
      </c>
      <c r="AC27" s="784">
        <v>1710.71757617</v>
      </c>
      <c r="AD27" s="784">
        <v>1713.67155822</v>
      </c>
      <c r="AE27" s="784">
        <v>1712.2584501700003</v>
      </c>
      <c r="AF27" s="784">
        <v>1712.4747928400002</v>
      </c>
      <c r="AG27" s="784">
        <v>1718.0477691800002</v>
      </c>
      <c r="AH27" s="784">
        <f>+AH25-AH26</f>
        <v>1552.0038125799999</v>
      </c>
      <c r="AI27" s="784">
        <v>1116.64419503</v>
      </c>
      <c r="AJ27" s="784">
        <f>+AJ25-AJ26</f>
        <v>1111.58935688</v>
      </c>
      <c r="AK27" s="784">
        <f>+AK25-AK26</f>
        <v>1223.2817661299998</v>
      </c>
      <c r="AL27" s="784">
        <v>1206.0203533900001</v>
      </c>
      <c r="AM27" s="784">
        <f>+AM25-AM26</f>
        <v>1111.47297396</v>
      </c>
      <c r="AN27" s="784">
        <f>+AN25-AN26</f>
        <v>1041.7544870899999</v>
      </c>
      <c r="AO27" s="784">
        <f>+AO25-AO26</f>
        <v>889.94920292999996</v>
      </c>
      <c r="AP27" s="784">
        <f>+AP25-AP26</f>
        <v>894.79900891000011</v>
      </c>
      <c r="AQ27" s="784">
        <v>890.32021577000012</v>
      </c>
      <c r="AR27" s="784">
        <f>+AR25-AR26</f>
        <v>885.13979741999992</v>
      </c>
      <c r="AS27" s="784">
        <f>+AS25-AS26</f>
        <v>885.4216853800001</v>
      </c>
      <c r="AT27" s="784">
        <f>AT11-AT15</f>
        <v>895.42963379999992</v>
      </c>
      <c r="AU27" s="784">
        <v>877.66649502999985</v>
      </c>
      <c r="AV27" s="784">
        <v>889.39687536999986</v>
      </c>
      <c r="AW27" s="784">
        <v>879.95505808999997</v>
      </c>
      <c r="AX27" s="784">
        <v>891.46459886000002</v>
      </c>
      <c r="AY27" s="784">
        <v>872.94250151000006</v>
      </c>
      <c r="AZ27" s="784">
        <v>823.86050440999998</v>
      </c>
      <c r="BA27" s="784">
        <v>817.06899937000003</v>
      </c>
      <c r="BB27" s="784">
        <v>815.80568547000007</v>
      </c>
      <c r="BC27" s="784">
        <v>787.72871401999998</v>
      </c>
      <c r="BD27" s="784">
        <f>+BD25-BD26</f>
        <v>391.08591675000002</v>
      </c>
      <c r="BE27" s="784">
        <v>389.56954029000002</v>
      </c>
      <c r="BF27" s="784">
        <v>380.88657448999993</v>
      </c>
      <c r="BG27" s="784">
        <v>366.80847326999998</v>
      </c>
      <c r="BH27" s="827">
        <v>368.56566887999998</v>
      </c>
      <c r="BI27" s="816">
        <v>353.47848684999997</v>
      </c>
      <c r="BJ27" s="816">
        <v>361.58221755</v>
      </c>
      <c r="BK27" s="816">
        <v>380.56657138999998</v>
      </c>
      <c r="BL27" s="816">
        <v>383.60312077000009</v>
      </c>
      <c r="BM27" s="816">
        <v>401.47677589</v>
      </c>
      <c r="BN27" s="816">
        <v>415.00511246999997</v>
      </c>
      <c r="BO27" s="816">
        <v>419.60468871999996</v>
      </c>
      <c r="BP27" s="816">
        <v>413.00708223999993</v>
      </c>
      <c r="BQ27" s="816">
        <v>414.49085611999999</v>
      </c>
      <c r="BR27" s="816">
        <v>408.9470863200001</v>
      </c>
      <c r="BS27" s="816">
        <v>404.72790939000004</v>
      </c>
      <c r="BT27" s="816">
        <v>401.76685620000001</v>
      </c>
      <c r="BU27" s="816">
        <v>430.14656653999998</v>
      </c>
      <c r="BV27" s="816">
        <v>425.20345230999999</v>
      </c>
      <c r="BW27" s="816">
        <v>464.19518665999999</v>
      </c>
      <c r="BX27" s="816">
        <v>476.31959198999999</v>
      </c>
      <c r="BY27" s="816">
        <v>479.74207579</v>
      </c>
      <c r="BZ27" s="816">
        <v>487.23087151999999</v>
      </c>
      <c r="CA27" s="816">
        <v>490.28794884000001</v>
      </c>
      <c r="CB27" s="816">
        <v>605.3388761199999</v>
      </c>
      <c r="CC27" s="816">
        <v>599.72375844999999</v>
      </c>
      <c r="CD27" s="816">
        <v>631.67067519</v>
      </c>
      <c r="CE27" s="816">
        <f t="shared" ref="CE27:CP27" si="9">+CE25-CE26</f>
        <v>666.15643380999995</v>
      </c>
      <c r="CF27" s="816">
        <f t="shared" si="9"/>
        <v>693.92325709999989</v>
      </c>
      <c r="CG27" s="816">
        <f t="shared" si="9"/>
        <v>670.97045866000008</v>
      </c>
      <c r="CH27" s="816">
        <f t="shared" si="9"/>
        <v>706.64405338000006</v>
      </c>
      <c r="CI27" s="816">
        <f t="shared" si="9"/>
        <v>708.4684813299998</v>
      </c>
      <c r="CJ27" s="816">
        <f t="shared" si="9"/>
        <v>707.80296137999994</v>
      </c>
      <c r="CK27" s="816">
        <f t="shared" si="9"/>
        <v>702.62769417000004</v>
      </c>
      <c r="CL27" s="816">
        <f t="shared" si="9"/>
        <v>718.60181140000009</v>
      </c>
      <c r="CM27" s="816">
        <f t="shared" si="9"/>
        <v>715.51306757999987</v>
      </c>
      <c r="CN27" s="816">
        <f t="shared" si="9"/>
        <v>721.58913843999994</v>
      </c>
      <c r="CO27" s="816">
        <f t="shared" si="9"/>
        <v>741.24164003999999</v>
      </c>
      <c r="CP27" s="816">
        <f t="shared" si="9"/>
        <v>758.08423536999999</v>
      </c>
      <c r="CQ27" s="816">
        <f>+CQ25-CQ26</f>
        <v>784.41641608000009</v>
      </c>
      <c r="CR27" s="816">
        <f>+CR25-CR26</f>
        <v>794.56689541999992</v>
      </c>
      <c r="CS27" s="816">
        <v>777.89148439000019</v>
      </c>
      <c r="CT27" s="816">
        <v>782.03481146000001</v>
      </c>
      <c r="CU27" s="816">
        <v>713.13670345000003</v>
      </c>
      <c r="CV27" s="816">
        <v>715.07254326999998</v>
      </c>
      <c r="CW27" s="816">
        <v>713.92496675999996</v>
      </c>
      <c r="CX27" s="816">
        <v>720.01955994000002</v>
      </c>
      <c r="CY27" s="816">
        <v>718.44076644999996</v>
      </c>
      <c r="CZ27" s="816">
        <v>718.71621032999997</v>
      </c>
      <c r="DA27" s="816">
        <v>688.76654349</v>
      </c>
      <c r="DB27" s="816">
        <v>700.09694095999998</v>
      </c>
      <c r="DC27" s="816">
        <v>743.06552155999998</v>
      </c>
      <c r="DD27" s="886">
        <v>756.18798737999998</v>
      </c>
      <c r="DE27" s="886">
        <v>761.24779587</v>
      </c>
      <c r="DF27" s="886">
        <v>760.33142027999997</v>
      </c>
      <c r="DG27" s="839">
        <v>760.50819894000006</v>
      </c>
      <c r="DH27" s="839">
        <v>771.06372763000002</v>
      </c>
      <c r="DI27" s="839">
        <v>769.36588626000002</v>
      </c>
      <c r="DJ27" s="839">
        <v>769.93218201000002</v>
      </c>
      <c r="DK27" s="839">
        <v>758.01612585999999</v>
      </c>
      <c r="DL27" s="839">
        <v>754.57263952999995</v>
      </c>
      <c r="DM27" s="839">
        <v>752.84170228000005</v>
      </c>
      <c r="DN27" s="839">
        <v>744.83559753999998</v>
      </c>
      <c r="DO27" s="839">
        <v>740.44343068000001</v>
      </c>
      <c r="DP27" s="839">
        <v>754.62572608000005</v>
      </c>
      <c r="DQ27" s="839">
        <v>753.36145291000003</v>
      </c>
      <c r="DR27" s="839">
        <v>744.74428912999997</v>
      </c>
      <c r="DS27" s="839">
        <v>738.62488281000003</v>
      </c>
      <c r="DT27" s="839">
        <v>748.67451148999999</v>
      </c>
      <c r="DU27" s="839">
        <v>739.95244167999999</v>
      </c>
      <c r="DV27" s="839">
        <v>708.83228944999996</v>
      </c>
      <c r="DW27" s="839">
        <v>764.33674786999995</v>
      </c>
      <c r="DX27" s="839">
        <v>827.33347388000004</v>
      </c>
      <c r="DY27" s="839">
        <v>824.48237564999999</v>
      </c>
      <c r="DZ27" s="839">
        <v>818.43589598000005</v>
      </c>
      <c r="EA27" s="839">
        <v>864.24842513999999</v>
      </c>
      <c r="EB27" s="839">
        <v>865.42283218</v>
      </c>
      <c r="EC27" s="839">
        <v>902.38467159000004</v>
      </c>
      <c r="ED27" s="839">
        <v>931.66002975000004</v>
      </c>
      <c r="EE27" s="839">
        <v>908.48369722999996</v>
      </c>
      <c r="EF27" s="839">
        <v>901.92117946999997</v>
      </c>
      <c r="EG27" s="839">
        <v>883.29089119000002</v>
      </c>
      <c r="EH27" s="839">
        <v>919.53484519999995</v>
      </c>
      <c r="EI27" s="839">
        <v>920.62477377000005</v>
      </c>
      <c r="EJ27" s="839">
        <v>904.26245118999998</v>
      </c>
      <c r="EK27" s="839">
        <v>923.39484203999996</v>
      </c>
      <c r="EL27" s="839">
        <v>930.76855959</v>
      </c>
      <c r="EM27" s="839">
        <v>982.05623161000005</v>
      </c>
      <c r="EN27" s="839">
        <v>965.23674671000003</v>
      </c>
      <c r="EO27" s="839">
        <v>970.11007799000004</v>
      </c>
      <c r="EP27" s="839">
        <v>1008.31959695</v>
      </c>
      <c r="EQ27" s="839">
        <v>999.73737516000006</v>
      </c>
      <c r="ER27" s="839">
        <v>1007.2257181</v>
      </c>
      <c r="ES27" s="839">
        <v>1031.67922142</v>
      </c>
      <c r="ET27" s="839">
        <v>1020.30214014</v>
      </c>
      <c r="EU27" s="839">
        <v>1016.62002325</v>
      </c>
      <c r="EV27" s="839">
        <v>1003.75916681</v>
      </c>
      <c r="EW27" s="839">
        <v>1021.93167682</v>
      </c>
      <c r="EX27" s="839">
        <v>1035.17395842</v>
      </c>
      <c r="EY27" s="839">
        <v>1013.28067264</v>
      </c>
      <c r="EZ27" s="839">
        <v>1014.96532984</v>
      </c>
      <c r="FA27" s="839">
        <v>1027.3900777399999</v>
      </c>
      <c r="FB27" s="839">
        <v>1060.8877681900001</v>
      </c>
      <c r="FC27" s="839">
        <v>1058.8455676999999</v>
      </c>
      <c r="FD27" s="839">
        <v>1061.0679462999999</v>
      </c>
      <c r="FE27" s="839">
        <v>1055.92901897</v>
      </c>
      <c r="FF27" s="839">
        <v>1058.1544977200001</v>
      </c>
      <c r="FG27" s="839">
        <v>1062.7592157399999</v>
      </c>
      <c r="FH27" s="1712" t="s">
        <v>4066</v>
      </c>
      <c r="FM27" s="321"/>
    </row>
    <row r="28" spans="1:169" ht="21">
      <c r="A28" s="1721"/>
      <c r="B28" s="783"/>
      <c r="C28" s="783"/>
      <c r="D28" s="783"/>
      <c r="E28" s="783"/>
      <c r="F28" s="783"/>
      <c r="G28" s="783"/>
      <c r="H28" s="783"/>
      <c r="I28" s="783"/>
      <c r="J28" s="783"/>
      <c r="K28" s="783"/>
      <c r="L28" s="783"/>
      <c r="M28" s="784"/>
      <c r="N28" s="784"/>
      <c r="O28" s="784"/>
      <c r="P28" s="784"/>
      <c r="Q28" s="784"/>
      <c r="R28" s="784"/>
      <c r="S28" s="784"/>
      <c r="T28" s="784"/>
      <c r="U28" s="784"/>
      <c r="V28" s="784"/>
      <c r="W28" s="784"/>
      <c r="X28" s="784"/>
      <c r="Y28" s="784"/>
      <c r="Z28" s="784"/>
      <c r="AA28" s="784"/>
      <c r="AB28" s="784"/>
      <c r="AC28" s="784"/>
      <c r="AD28" s="784"/>
      <c r="AE28" s="784"/>
      <c r="AF28" s="784"/>
      <c r="AG28" s="784"/>
      <c r="AH28" s="784"/>
      <c r="AI28" s="784"/>
      <c r="AJ28" s="784"/>
      <c r="AK28" s="784"/>
      <c r="AL28" s="784"/>
      <c r="AM28" s="784"/>
      <c r="AN28" s="784"/>
      <c r="AO28" s="784"/>
      <c r="AP28" s="784"/>
      <c r="AQ28" s="784"/>
      <c r="AR28" s="784"/>
      <c r="AS28" s="784"/>
      <c r="AT28" s="784"/>
      <c r="AU28" s="784"/>
      <c r="AV28" s="784"/>
      <c r="AW28" s="784"/>
      <c r="AX28" s="784"/>
      <c r="AY28" s="784"/>
      <c r="AZ28" s="784"/>
      <c r="BA28" s="784"/>
      <c r="BB28" s="784"/>
      <c r="BC28" s="784"/>
      <c r="BD28" s="784"/>
      <c r="BE28" s="784"/>
      <c r="BF28" s="784"/>
      <c r="BG28" s="784"/>
      <c r="BH28" s="827"/>
      <c r="BI28" s="816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6"/>
      <c r="CN28" s="816"/>
      <c r="CO28" s="816"/>
      <c r="CP28" s="816"/>
      <c r="CQ28" s="816"/>
      <c r="CR28" s="816"/>
      <c r="CS28" s="816"/>
      <c r="CT28" s="816"/>
      <c r="CU28" s="816"/>
      <c r="CV28" s="816"/>
      <c r="CW28" s="816"/>
      <c r="CX28" s="816"/>
      <c r="CY28" s="816"/>
      <c r="CZ28" s="816"/>
      <c r="DA28" s="816"/>
      <c r="DB28" s="816"/>
      <c r="DC28" s="816"/>
      <c r="DD28" s="886"/>
      <c r="DE28" s="886"/>
      <c r="DF28" s="886"/>
      <c r="DG28" s="839"/>
      <c r="DH28" s="839"/>
      <c r="DI28" s="839"/>
      <c r="DJ28" s="839"/>
      <c r="DK28" s="839"/>
      <c r="DL28" s="839"/>
      <c r="DM28" s="839"/>
      <c r="DN28" s="839"/>
      <c r="DO28" s="839"/>
      <c r="DP28" s="839"/>
      <c r="DQ28" s="839"/>
      <c r="DR28" s="839"/>
      <c r="DS28" s="839"/>
      <c r="DT28" s="839"/>
      <c r="DU28" s="839"/>
      <c r="DV28" s="839"/>
      <c r="DW28" s="839"/>
      <c r="DX28" s="839"/>
      <c r="DY28" s="839"/>
      <c r="DZ28" s="839"/>
      <c r="EA28" s="839"/>
      <c r="EB28" s="839"/>
      <c r="EC28" s="839"/>
      <c r="ED28" s="839"/>
      <c r="EE28" s="839"/>
      <c r="EF28" s="839"/>
      <c r="EG28" s="839"/>
      <c r="EH28" s="839"/>
      <c r="EI28" s="839"/>
      <c r="EJ28" s="839"/>
      <c r="EK28" s="839"/>
      <c r="EL28" s="839"/>
      <c r="EM28" s="839"/>
      <c r="EN28" s="839"/>
      <c r="EO28" s="839"/>
      <c r="EP28" s="839"/>
      <c r="EQ28" s="839"/>
      <c r="ER28" s="839"/>
      <c r="ES28" s="839"/>
      <c r="ET28" s="839"/>
      <c r="EU28" s="839"/>
      <c r="EV28" s="839"/>
      <c r="EW28" s="839"/>
      <c r="EX28" s="839"/>
      <c r="EY28" s="839"/>
      <c r="EZ28" s="839"/>
      <c r="FA28" s="839"/>
      <c r="FB28" s="839"/>
      <c r="FC28" s="839"/>
      <c r="FD28" s="839"/>
      <c r="FE28" s="839"/>
      <c r="FF28" s="839"/>
      <c r="FG28" s="839"/>
      <c r="FH28" s="1711"/>
      <c r="FM28" s="321"/>
    </row>
    <row r="29" spans="1:169" ht="21">
      <c r="A29" s="1744" t="s">
        <v>185</v>
      </c>
      <c r="B29" s="783">
        <v>474.68845883</v>
      </c>
      <c r="C29" s="783">
        <v>611.46492519000003</v>
      </c>
      <c r="D29" s="783">
        <v>626.70764567999993</v>
      </c>
      <c r="E29" s="783">
        <v>664.65496351000002</v>
      </c>
      <c r="F29" s="783">
        <v>711.39151156000003</v>
      </c>
      <c r="G29" s="783">
        <v>752.65386182000009</v>
      </c>
      <c r="H29" s="783">
        <v>772.64654458999996</v>
      </c>
      <c r="I29" s="783">
        <v>788.50070264999999</v>
      </c>
      <c r="J29" s="783">
        <v>809.35866274</v>
      </c>
      <c r="K29" s="783">
        <v>826.06029692999994</v>
      </c>
      <c r="L29" s="783">
        <v>840.95243269000002</v>
      </c>
      <c r="M29" s="781">
        <v>891.41350994999993</v>
      </c>
      <c r="N29" s="784">
        <v>1238.58983304</v>
      </c>
      <c r="O29" s="784">
        <v>1212.0741544099999</v>
      </c>
      <c r="P29" s="784">
        <v>1231.3432686200001</v>
      </c>
      <c r="Q29" s="784">
        <v>1249.4109852399999</v>
      </c>
      <c r="R29" s="784">
        <v>1268.42319378</v>
      </c>
      <c r="S29" s="784">
        <v>1302.9464996800002</v>
      </c>
      <c r="T29" s="784">
        <v>1322.2987384000003</v>
      </c>
      <c r="U29" s="784">
        <v>1338.1425938699999</v>
      </c>
      <c r="V29" s="784">
        <v>1342.83459741</v>
      </c>
      <c r="W29" s="784">
        <v>1404.8691184900001</v>
      </c>
      <c r="X29" s="784">
        <v>1384.9072332799999</v>
      </c>
      <c r="Y29" s="781">
        <v>1381.5846281199999</v>
      </c>
      <c r="Z29" s="784">
        <v>1375.62979612</v>
      </c>
      <c r="AA29" s="784">
        <v>948.33576385000003</v>
      </c>
      <c r="AB29" s="781">
        <v>934.45402221999996</v>
      </c>
      <c r="AC29" s="781">
        <v>906.88430116999996</v>
      </c>
      <c r="AD29" s="781">
        <v>887.26889962999996</v>
      </c>
      <c r="AE29" s="781">
        <v>879.16980595000007</v>
      </c>
      <c r="AF29" s="781">
        <v>875.75709975000007</v>
      </c>
      <c r="AG29" s="781">
        <v>883.05004988000007</v>
      </c>
      <c r="AH29" s="781">
        <v>783.33371264999994</v>
      </c>
      <c r="AI29" s="781">
        <v>786.47550797999997</v>
      </c>
      <c r="AJ29" s="781">
        <v>776.00162976000001</v>
      </c>
      <c r="AK29" s="781">
        <v>756.76556631999995</v>
      </c>
      <c r="AL29" s="781">
        <v>737.69932990000007</v>
      </c>
      <c r="AM29" s="781">
        <v>726.16111610000007</v>
      </c>
      <c r="AN29" s="781">
        <v>725.25790355999993</v>
      </c>
      <c r="AO29" s="781">
        <v>727.07730872999991</v>
      </c>
      <c r="AP29" s="781">
        <v>731.60823546000006</v>
      </c>
      <c r="AQ29" s="781">
        <v>722.3579024500001</v>
      </c>
      <c r="AR29" s="781">
        <v>716.69626521999999</v>
      </c>
      <c r="AS29" s="781">
        <v>712.38654869000004</v>
      </c>
      <c r="AT29" s="781">
        <v>726.08608998</v>
      </c>
      <c r="AU29" s="781">
        <v>710.62299726000003</v>
      </c>
      <c r="AV29" s="781">
        <v>709.38333647000002</v>
      </c>
      <c r="AW29" s="781">
        <v>693.88603808000005</v>
      </c>
      <c r="AX29" s="781">
        <v>693.33924743999989</v>
      </c>
      <c r="AY29" s="781">
        <v>694.31419715000004</v>
      </c>
      <c r="AZ29" s="781">
        <v>648.92004098999996</v>
      </c>
      <c r="BA29" s="781">
        <v>646.06421168000008</v>
      </c>
      <c r="BB29" s="781">
        <v>645.72058558000003</v>
      </c>
      <c r="BC29" s="781">
        <v>648.36736957000005</v>
      </c>
      <c r="BD29" s="781">
        <v>254.76191244</v>
      </c>
      <c r="BE29" s="781">
        <v>255.45488173999999</v>
      </c>
      <c r="BF29" s="781">
        <v>256.18259761000002</v>
      </c>
      <c r="BG29" s="781">
        <v>241.00010439000002</v>
      </c>
      <c r="BH29" s="826">
        <v>241.68829052999999</v>
      </c>
      <c r="BI29" s="815">
        <v>202.97773952</v>
      </c>
      <c r="BJ29" s="815">
        <v>218.58858434999999</v>
      </c>
      <c r="BK29" s="815">
        <v>236.78829243000001</v>
      </c>
      <c r="BL29" s="815">
        <v>237.68166059000001</v>
      </c>
      <c r="BM29" s="815">
        <v>237.24107013999998</v>
      </c>
      <c r="BN29" s="815">
        <v>240.43486102</v>
      </c>
      <c r="BO29" s="815">
        <v>251.72277008</v>
      </c>
      <c r="BP29" s="815">
        <v>248.29137097</v>
      </c>
      <c r="BQ29" s="815">
        <v>238.72267816000002</v>
      </c>
      <c r="BR29" s="815">
        <v>239.21937254000002</v>
      </c>
      <c r="BS29" s="815">
        <v>236.02649700000001</v>
      </c>
      <c r="BT29" s="815">
        <v>232.87185169</v>
      </c>
      <c r="BU29" s="815">
        <v>252.70315393000001</v>
      </c>
      <c r="BV29" s="815">
        <v>253.18948444</v>
      </c>
      <c r="BW29" s="815">
        <v>288.76078735999999</v>
      </c>
      <c r="BX29" s="815">
        <v>293.00708994000001</v>
      </c>
      <c r="BY29" s="815">
        <v>287.89675228999994</v>
      </c>
      <c r="BZ29" s="815">
        <v>289.36685556999998</v>
      </c>
      <c r="CA29" s="815">
        <v>297.86059657999994</v>
      </c>
      <c r="CB29" s="815">
        <v>410.35721357</v>
      </c>
      <c r="CC29" s="815">
        <v>400.32397682999999</v>
      </c>
      <c r="CD29" s="815">
        <v>403.87273599000002</v>
      </c>
      <c r="CE29" s="815">
        <v>401.76014967000003</v>
      </c>
      <c r="CF29" s="815">
        <v>412.32391673999996</v>
      </c>
      <c r="CG29" s="815">
        <v>415.26517176000004</v>
      </c>
      <c r="CH29" s="815">
        <v>436.45404734000005</v>
      </c>
      <c r="CI29" s="815">
        <v>428.21777049999997</v>
      </c>
      <c r="CJ29" s="815">
        <v>442.10341133000003</v>
      </c>
      <c r="CK29" s="815">
        <v>444.43814493000002</v>
      </c>
      <c r="CL29" s="815">
        <v>447.18179942</v>
      </c>
      <c r="CM29" s="815">
        <v>449.61185095000002</v>
      </c>
      <c r="CN29" s="815">
        <v>450.26061403</v>
      </c>
      <c r="CO29" s="815">
        <v>456.28828979999997</v>
      </c>
      <c r="CP29" s="815">
        <v>485.72001609999995</v>
      </c>
      <c r="CQ29" s="815">
        <v>508.50552796000005</v>
      </c>
      <c r="CR29" s="815">
        <v>638.12730896999994</v>
      </c>
      <c r="CS29" s="815">
        <v>515.36702852000008</v>
      </c>
      <c r="CT29" s="815">
        <v>531.96766222999997</v>
      </c>
      <c r="CU29" s="815">
        <v>480.65060196000002</v>
      </c>
      <c r="CV29" s="815">
        <v>487.16329051999998</v>
      </c>
      <c r="CW29" s="815">
        <v>488.71805323000001</v>
      </c>
      <c r="CX29" s="815">
        <v>495.09318661999998</v>
      </c>
      <c r="CY29" s="815">
        <v>498.10874708</v>
      </c>
      <c r="CZ29" s="815">
        <v>499.46747268000001</v>
      </c>
      <c r="DA29" s="815">
        <v>507.76260033</v>
      </c>
      <c r="DB29" s="815">
        <v>516.67723479000006</v>
      </c>
      <c r="DC29" s="815">
        <v>536.72924520000004</v>
      </c>
      <c r="DD29" s="885">
        <v>550.95203300000003</v>
      </c>
      <c r="DE29" s="885">
        <v>555.13193616000001</v>
      </c>
      <c r="DF29" s="885">
        <v>555.88656311</v>
      </c>
      <c r="DG29" s="838">
        <v>557.91790326</v>
      </c>
      <c r="DH29" s="838">
        <v>561.96033402</v>
      </c>
      <c r="DI29" s="838">
        <v>562.80412735000004</v>
      </c>
      <c r="DJ29" s="838">
        <v>560.31954817999997</v>
      </c>
      <c r="DK29" s="838">
        <v>552.69970995999995</v>
      </c>
      <c r="DL29" s="838">
        <v>553.87479445999998</v>
      </c>
      <c r="DM29" s="838">
        <v>553.41518113999996</v>
      </c>
      <c r="DN29" s="838">
        <v>544.33927215000006</v>
      </c>
      <c r="DO29" s="838">
        <v>538.14527094000005</v>
      </c>
      <c r="DP29" s="838">
        <v>554.13832834000004</v>
      </c>
      <c r="DQ29" s="838">
        <v>553.78529338999999</v>
      </c>
      <c r="DR29" s="838">
        <v>544.52479427000003</v>
      </c>
      <c r="DS29" s="838">
        <v>544.86614851000002</v>
      </c>
      <c r="DT29" s="838">
        <v>555.85496264999995</v>
      </c>
      <c r="DU29" s="838">
        <v>557.92545203999998</v>
      </c>
      <c r="DV29" s="838">
        <v>531.40294759000005</v>
      </c>
      <c r="DW29" s="838">
        <v>558.32028118999995</v>
      </c>
      <c r="DX29" s="838">
        <v>616.92675036000003</v>
      </c>
      <c r="DY29" s="838">
        <v>618.95100677999994</v>
      </c>
      <c r="DZ29" s="838">
        <v>620.11702971</v>
      </c>
      <c r="EA29" s="838">
        <v>657.25711834000003</v>
      </c>
      <c r="EB29" s="838">
        <v>666.28424563999999</v>
      </c>
      <c r="EC29" s="838">
        <v>696.60013135999998</v>
      </c>
      <c r="ED29" s="838">
        <v>731.37505315999999</v>
      </c>
      <c r="EE29" s="838">
        <v>708.98148876000005</v>
      </c>
      <c r="EF29" s="838">
        <v>711.11531265999997</v>
      </c>
      <c r="EG29" s="838">
        <v>689.64623889999996</v>
      </c>
      <c r="EH29" s="838">
        <v>731.88586836000002</v>
      </c>
      <c r="EI29" s="838">
        <v>737.43851729000005</v>
      </c>
      <c r="EJ29" s="838">
        <v>734.16261649</v>
      </c>
      <c r="EK29" s="838">
        <v>734.95082689000003</v>
      </c>
      <c r="EL29" s="838">
        <v>743.75579863999997</v>
      </c>
      <c r="EM29" s="838">
        <v>788.82847654</v>
      </c>
      <c r="EN29" s="838">
        <v>786.90313534999996</v>
      </c>
      <c r="EO29" s="838">
        <v>794.27601836999997</v>
      </c>
      <c r="EP29" s="838">
        <v>835.29801422000003</v>
      </c>
      <c r="EQ29" s="838">
        <v>834.71811410999999</v>
      </c>
      <c r="ER29" s="838">
        <v>841.40619575000005</v>
      </c>
      <c r="ES29" s="838">
        <v>850.22003016999997</v>
      </c>
      <c r="ET29" s="838">
        <v>849.33611217999999</v>
      </c>
      <c r="EU29" s="838">
        <v>837.00994336999997</v>
      </c>
      <c r="EV29" s="838">
        <v>831.54775237000001</v>
      </c>
      <c r="EW29" s="838">
        <v>844.01872060999995</v>
      </c>
      <c r="EX29" s="838">
        <v>855.08827781000002</v>
      </c>
      <c r="EY29" s="838">
        <v>829.07591142000001</v>
      </c>
      <c r="EZ29" s="838">
        <v>833.61208435000003</v>
      </c>
      <c r="FA29" s="838">
        <v>835.29158952</v>
      </c>
      <c r="FB29" s="838">
        <v>863.45396546999996</v>
      </c>
      <c r="FC29" s="838">
        <v>866.63191452000001</v>
      </c>
      <c r="FD29" s="838">
        <v>870.83040096000002</v>
      </c>
      <c r="FE29" s="838">
        <v>862.99360177999995</v>
      </c>
      <c r="FF29" s="838">
        <v>877.60903481000003</v>
      </c>
      <c r="FG29" s="838">
        <v>881.68189665</v>
      </c>
      <c r="FH29" s="1714" t="s">
        <v>206</v>
      </c>
      <c r="FM29" s="321"/>
    </row>
    <row r="30" spans="1:169" ht="21">
      <c r="A30" s="1745" t="s">
        <v>1961</v>
      </c>
      <c r="B30" s="783">
        <v>0.62639933999999997</v>
      </c>
      <c r="C30" s="783">
        <v>0.62639933999999997</v>
      </c>
      <c r="D30" s="783">
        <v>0.62542616000000006</v>
      </c>
      <c r="E30" s="783">
        <v>20.554189620000002</v>
      </c>
      <c r="F30" s="783">
        <v>40.58326959</v>
      </c>
      <c r="G30" s="783">
        <v>60.555332849999999</v>
      </c>
      <c r="H30" s="783">
        <v>60.55404618</v>
      </c>
      <c r="I30" s="783">
        <v>60.472742359999998</v>
      </c>
      <c r="J30" s="783">
        <v>60.444754150000001</v>
      </c>
      <c r="K30" s="783">
        <v>59.414748329999995</v>
      </c>
      <c r="L30" s="783">
        <v>57.386724659999999</v>
      </c>
      <c r="M30" s="784">
        <v>53.358682899999998</v>
      </c>
      <c r="N30" s="784">
        <v>50.330622810000001</v>
      </c>
      <c r="O30" s="784">
        <v>45.802544140000002</v>
      </c>
      <c r="P30" s="784">
        <v>40.774446650000002</v>
      </c>
      <c r="Q30" s="784">
        <v>38.74633</v>
      </c>
      <c r="R30" s="784">
        <v>37.901063000000001</v>
      </c>
      <c r="S30" s="784">
        <v>39.596046000000001</v>
      </c>
      <c r="T30" s="784">
        <v>39.212300970000001</v>
      </c>
      <c r="U30" s="784">
        <v>40.366461999999999</v>
      </c>
      <c r="V30" s="784">
        <v>39.489737840000004</v>
      </c>
      <c r="W30" s="784">
        <v>38.38370484</v>
      </c>
      <c r="X30" s="784">
        <v>34.284080719999999</v>
      </c>
      <c r="Y30" s="784">
        <v>28.074688600000002</v>
      </c>
      <c r="Z30" s="784">
        <v>25.176263219999999</v>
      </c>
      <c r="AA30" s="784">
        <v>20.166678999999998</v>
      </c>
      <c r="AB30" s="784">
        <v>15.82814769</v>
      </c>
      <c r="AC30" s="784">
        <v>13.8170395</v>
      </c>
      <c r="AD30" s="784">
        <v>12.335800599999999</v>
      </c>
      <c r="AE30" s="784">
        <v>11.819963869999999</v>
      </c>
      <c r="AF30" s="784">
        <v>11.79912676</v>
      </c>
      <c r="AG30" s="784">
        <v>11.78852206</v>
      </c>
      <c r="AH30" s="784">
        <v>11.2754891</v>
      </c>
      <c r="AI30" s="784">
        <v>9.74122427</v>
      </c>
      <c r="AJ30" s="784">
        <v>5.7032649199999996</v>
      </c>
      <c r="AK30" s="784">
        <v>0.36331476000000001</v>
      </c>
      <c r="AL30" s="784">
        <v>0.52142602000000005</v>
      </c>
      <c r="AM30" s="784">
        <v>0.56225252999999997</v>
      </c>
      <c r="AN30" s="784">
        <v>2.6049877499999998</v>
      </c>
      <c r="AO30" s="784">
        <v>0.71408993000000009</v>
      </c>
      <c r="AP30" s="784">
        <v>1.9955536200000001</v>
      </c>
      <c r="AQ30" s="784">
        <v>2.66733975</v>
      </c>
      <c r="AR30" s="784">
        <v>1.8976882399999999</v>
      </c>
      <c r="AS30" s="784">
        <v>1.3366877800000001</v>
      </c>
      <c r="AT30" s="784">
        <v>2.19310319</v>
      </c>
      <c r="AU30" s="784">
        <v>3.5798451400000002</v>
      </c>
      <c r="AV30" s="784">
        <v>4.0034571000000003</v>
      </c>
      <c r="AW30" s="784">
        <v>0.19676913000000001</v>
      </c>
      <c r="AX30" s="784">
        <v>1.8071656399999998</v>
      </c>
      <c r="AY30" s="784">
        <v>3.1457761800000004</v>
      </c>
      <c r="AZ30" s="784">
        <v>3.37799563</v>
      </c>
      <c r="BA30" s="784">
        <v>3.4908865599999999</v>
      </c>
      <c r="BB30" s="784">
        <v>1.8362173899999998</v>
      </c>
      <c r="BC30" s="784">
        <v>2.41358016</v>
      </c>
      <c r="BD30" s="784">
        <v>1.4568437400000001</v>
      </c>
      <c r="BE30" s="784">
        <v>2.7165136800000003</v>
      </c>
      <c r="BF30" s="784">
        <v>1.8997628</v>
      </c>
      <c r="BG30" s="784">
        <v>2.6671303399999999</v>
      </c>
      <c r="BH30" s="827">
        <v>1.12911187</v>
      </c>
      <c r="BI30" s="816">
        <v>1.23</v>
      </c>
      <c r="BJ30" s="816">
        <v>0.45800000000000002</v>
      </c>
      <c r="BK30" s="816">
        <v>2.0487869999999999</v>
      </c>
      <c r="BL30" s="816">
        <v>1.2087790700000001</v>
      </c>
      <c r="BM30" s="816">
        <v>2.1274999999999999</v>
      </c>
      <c r="BN30" s="816">
        <v>2.8150003300000002</v>
      </c>
      <c r="BO30" s="816">
        <v>6.8265344599999995</v>
      </c>
      <c r="BP30" s="816">
        <v>6.4799086100000007</v>
      </c>
      <c r="BQ30" s="816">
        <v>4.4520319400000004</v>
      </c>
      <c r="BR30" s="816">
        <v>4.1875128300000002</v>
      </c>
      <c r="BS30" s="816">
        <v>5.0256413200000001</v>
      </c>
      <c r="BT30" s="816">
        <v>6.6360387300000001</v>
      </c>
      <c r="BU30" s="816">
        <v>5.91222957</v>
      </c>
      <c r="BV30" s="816">
        <v>5.6442428700000002</v>
      </c>
      <c r="BW30" s="816">
        <v>6.6628023600000006</v>
      </c>
      <c r="BX30" s="816">
        <v>5.3764445199999997</v>
      </c>
      <c r="BY30" s="816">
        <v>7.66637258</v>
      </c>
      <c r="BZ30" s="816">
        <v>5.8776862899999998</v>
      </c>
      <c r="CA30" s="816">
        <v>9.0643250500000008</v>
      </c>
      <c r="CB30" s="816">
        <v>6.4012650999999998</v>
      </c>
      <c r="CC30" s="816">
        <v>5.1749023200000002</v>
      </c>
      <c r="CD30" s="816">
        <v>5.1612584500000001</v>
      </c>
      <c r="CE30" s="816">
        <v>5.4967259200000003</v>
      </c>
      <c r="CF30" s="816">
        <v>5.6265361600000006</v>
      </c>
      <c r="CG30" s="816">
        <v>2.2831237599999996</v>
      </c>
      <c r="CH30" s="816">
        <v>1.9202144699999999</v>
      </c>
      <c r="CI30" s="816">
        <v>2.01556647</v>
      </c>
      <c r="CJ30" s="816">
        <v>2.3748631600000003</v>
      </c>
      <c r="CK30" s="816">
        <v>2.2859746400000001</v>
      </c>
      <c r="CL30" s="816">
        <v>2.7454316200000002</v>
      </c>
      <c r="CM30" s="816">
        <v>2.3631322900000002</v>
      </c>
      <c r="CN30" s="816">
        <v>2.1292574800000001</v>
      </c>
      <c r="CO30" s="816">
        <v>1.91381527</v>
      </c>
      <c r="CP30" s="816">
        <v>0.73654407999999993</v>
      </c>
      <c r="CQ30" s="816">
        <v>0.91531054000000001</v>
      </c>
      <c r="CR30" s="816">
        <v>128.06712059999998</v>
      </c>
      <c r="CS30" s="816">
        <v>0.89275553000000007</v>
      </c>
      <c r="CT30" s="816">
        <v>1.96100553</v>
      </c>
      <c r="CU30" s="816">
        <v>0.90255545999999998</v>
      </c>
      <c r="CV30" s="816">
        <v>1.20280192</v>
      </c>
      <c r="CW30" s="816">
        <v>1.57891483</v>
      </c>
      <c r="CX30" s="816">
        <v>2.42425092</v>
      </c>
      <c r="CY30" s="816">
        <v>2.5025888100000002</v>
      </c>
      <c r="CZ30" s="816">
        <v>1.46274452</v>
      </c>
      <c r="DA30" s="816">
        <v>1.7588790599999999</v>
      </c>
      <c r="DB30" s="816">
        <v>1.7241877299999999</v>
      </c>
      <c r="DC30" s="816">
        <v>2.5713719400000001</v>
      </c>
      <c r="DD30" s="886">
        <v>2.5347394099999998</v>
      </c>
      <c r="DE30" s="886">
        <v>2.03585824</v>
      </c>
      <c r="DF30" s="886">
        <v>1.9898499599999999</v>
      </c>
      <c r="DG30" s="839">
        <v>1.94398717</v>
      </c>
      <c r="DH30" s="839">
        <v>1.8972975400000001</v>
      </c>
      <c r="DI30" s="839">
        <v>2.8758463500000002</v>
      </c>
      <c r="DJ30" s="839">
        <v>2.7523732299999999</v>
      </c>
      <c r="DK30" s="839">
        <v>2.7160197899999998</v>
      </c>
      <c r="DL30" s="839">
        <v>3.2466822199999998</v>
      </c>
      <c r="DM30" s="839">
        <v>2.9890147599999999</v>
      </c>
      <c r="DN30" s="839">
        <v>3.1067338599999998</v>
      </c>
      <c r="DO30" s="839">
        <v>2.3432996099999999</v>
      </c>
      <c r="DP30" s="839">
        <v>2.2714831200000001</v>
      </c>
      <c r="DQ30" s="839">
        <v>2.73125017</v>
      </c>
      <c r="DR30" s="839">
        <v>2.4426926600000001</v>
      </c>
      <c r="DS30" s="839">
        <v>2.2920403899999999</v>
      </c>
      <c r="DT30" s="839">
        <v>2.3475570399999999</v>
      </c>
      <c r="DU30" s="839">
        <v>2.2570419500000001</v>
      </c>
      <c r="DV30" s="839">
        <v>2.20622396</v>
      </c>
      <c r="DW30" s="839">
        <v>2.1700502799999999</v>
      </c>
      <c r="DX30" s="839">
        <v>2.00154823</v>
      </c>
      <c r="DY30" s="839">
        <v>2.53793712</v>
      </c>
      <c r="DZ30" s="839">
        <v>2.6871069900000002</v>
      </c>
      <c r="EA30" s="839">
        <v>2.5947811399999998</v>
      </c>
      <c r="EB30" s="839">
        <v>2.19109731</v>
      </c>
      <c r="EC30" s="839">
        <v>1.7439299800000001</v>
      </c>
      <c r="ED30" s="839">
        <v>1.8511062899999999</v>
      </c>
      <c r="EE30" s="839">
        <v>1.7514933100000001</v>
      </c>
      <c r="EF30" s="839">
        <v>1.62794054</v>
      </c>
      <c r="EG30" s="839">
        <v>3.3251364899999998</v>
      </c>
      <c r="EH30" s="839">
        <v>3.3939630300000001</v>
      </c>
      <c r="EI30" s="839">
        <v>3.3499299300000001</v>
      </c>
      <c r="EJ30" s="839">
        <v>3.47304871</v>
      </c>
      <c r="EK30" s="839">
        <v>2.5029098799999998</v>
      </c>
      <c r="EL30" s="839">
        <v>3.23057733</v>
      </c>
      <c r="EM30" s="839">
        <v>3.4678019500000001</v>
      </c>
      <c r="EN30" s="839">
        <v>3.4971822600000002</v>
      </c>
      <c r="EO30" s="839">
        <v>3.52875856</v>
      </c>
      <c r="EP30" s="839">
        <v>3.2203127199999999</v>
      </c>
      <c r="EQ30" s="839">
        <v>2.2674340200000001</v>
      </c>
      <c r="ER30" s="839">
        <v>1.7239000200000001</v>
      </c>
      <c r="ES30" s="839">
        <v>1.7351709200000001</v>
      </c>
      <c r="ET30" s="839">
        <v>1.75647329</v>
      </c>
      <c r="EU30" s="839">
        <v>1.5774192</v>
      </c>
      <c r="EV30" s="839">
        <v>1.63010378</v>
      </c>
      <c r="EW30" s="839">
        <v>1.57847604</v>
      </c>
      <c r="EX30" s="839">
        <v>1.5279961799999999</v>
      </c>
      <c r="EY30" s="839">
        <v>1.47832271</v>
      </c>
      <c r="EZ30" s="839">
        <v>0.80872018999999995</v>
      </c>
      <c r="FA30" s="839">
        <v>2.0387201899999998</v>
      </c>
      <c r="FB30" s="839">
        <v>2.0311669600000002</v>
      </c>
      <c r="FC30" s="839">
        <v>2.7149578999999999</v>
      </c>
      <c r="FD30" s="839">
        <v>2.6957540299999998</v>
      </c>
      <c r="FE30" s="839">
        <v>2.67794994</v>
      </c>
      <c r="FF30" s="839">
        <v>3.1601686600000001</v>
      </c>
      <c r="FG30" s="839">
        <v>3.1175578000000002</v>
      </c>
      <c r="FH30" s="1716" t="s">
        <v>4067</v>
      </c>
      <c r="FM30" s="321"/>
    </row>
    <row r="31" spans="1:169" ht="21">
      <c r="A31" s="1745" t="s">
        <v>1962</v>
      </c>
      <c r="B31" s="780">
        <f>+B29-B30</f>
        <v>474.06205949000002</v>
      </c>
      <c r="C31" s="780">
        <f t="shared" ref="C31:V31" si="10">+C29-C30</f>
        <v>610.83852585</v>
      </c>
      <c r="D31" s="780">
        <f t="shared" si="10"/>
        <v>626.08221951999997</v>
      </c>
      <c r="E31" s="780">
        <f t="shared" si="10"/>
        <v>644.10077389000003</v>
      </c>
      <c r="F31" s="780">
        <f t="shared" si="10"/>
        <v>670.80824197000004</v>
      </c>
      <c r="G31" s="780">
        <f t="shared" si="10"/>
        <v>692.09852897000007</v>
      </c>
      <c r="H31" s="780">
        <f t="shared" si="10"/>
        <v>712.09249840999996</v>
      </c>
      <c r="I31" s="780">
        <f t="shared" si="10"/>
        <v>728.02796029000001</v>
      </c>
      <c r="J31" s="780">
        <f t="shared" si="10"/>
        <v>748.91390859000001</v>
      </c>
      <c r="K31" s="780">
        <f t="shared" si="10"/>
        <v>766.64554859999998</v>
      </c>
      <c r="L31" s="780">
        <f t="shared" si="10"/>
        <v>783.56570803</v>
      </c>
      <c r="M31" s="784">
        <f t="shared" si="10"/>
        <v>838.05482704999997</v>
      </c>
      <c r="N31" s="781">
        <f t="shared" si="10"/>
        <v>1188.25921023</v>
      </c>
      <c r="O31" s="781">
        <f t="shared" si="10"/>
        <v>1166.2716102699999</v>
      </c>
      <c r="P31" s="781">
        <f t="shared" si="10"/>
        <v>1190.56882197</v>
      </c>
      <c r="Q31" s="781">
        <f t="shared" si="10"/>
        <v>1210.66465524</v>
      </c>
      <c r="R31" s="781">
        <f t="shared" si="10"/>
        <v>1230.52213078</v>
      </c>
      <c r="S31" s="781">
        <f t="shared" si="10"/>
        <v>1263.3504536800001</v>
      </c>
      <c r="T31" s="781">
        <f t="shared" si="10"/>
        <v>1283.0864374300004</v>
      </c>
      <c r="U31" s="781">
        <f t="shared" si="10"/>
        <v>1297.77613187</v>
      </c>
      <c r="V31" s="781">
        <f t="shared" si="10"/>
        <v>1303.3448595699999</v>
      </c>
      <c r="W31" s="781">
        <v>1366.4854136500001</v>
      </c>
      <c r="X31" s="781">
        <v>1350.6231525599999</v>
      </c>
      <c r="Y31" s="784">
        <v>1353.50993952</v>
      </c>
      <c r="Z31" s="781">
        <v>1350.4535329</v>
      </c>
      <c r="AA31" s="781">
        <v>928.16908484999999</v>
      </c>
      <c r="AB31" s="784">
        <f>+AB29-AB30</f>
        <v>918.62587452999992</v>
      </c>
      <c r="AC31" s="784">
        <v>893.06726166999999</v>
      </c>
      <c r="AD31" s="784">
        <v>874.93309902999999</v>
      </c>
      <c r="AE31" s="784">
        <v>867.34984208000003</v>
      </c>
      <c r="AF31" s="784">
        <v>863.95797299000003</v>
      </c>
      <c r="AG31" s="784">
        <v>871.26152782000008</v>
      </c>
      <c r="AH31" s="784">
        <f>+AH29-AH30</f>
        <v>772.05822354999998</v>
      </c>
      <c r="AI31" s="784">
        <v>776.73428371</v>
      </c>
      <c r="AJ31" s="784">
        <f>+AJ29-AJ30</f>
        <v>770.29836483999998</v>
      </c>
      <c r="AK31" s="784">
        <f>+AK29-AK30</f>
        <v>756.40225155999997</v>
      </c>
      <c r="AL31" s="784">
        <v>737.17790388000003</v>
      </c>
      <c r="AM31" s="784">
        <f>+AM29-AM30</f>
        <v>725.59886357000005</v>
      </c>
      <c r="AN31" s="784">
        <f>+AN29-AN30</f>
        <v>722.65291580999997</v>
      </c>
      <c r="AO31" s="784">
        <f>+AO29-AO30</f>
        <v>726.36321879999991</v>
      </c>
      <c r="AP31" s="784">
        <f>+AP29-AP30</f>
        <v>729.61268184000005</v>
      </c>
      <c r="AQ31" s="784">
        <v>719.6905627000001</v>
      </c>
      <c r="AR31" s="784">
        <f>+AR29-AR30</f>
        <v>714.79857698000001</v>
      </c>
      <c r="AS31" s="784">
        <f>+AS29-AS30</f>
        <v>711.04986091000001</v>
      </c>
      <c r="AT31" s="784">
        <f>+AT29-AT30</f>
        <v>723.89298679000001</v>
      </c>
      <c r="AU31" s="784">
        <v>707.04315212000006</v>
      </c>
      <c r="AV31" s="784">
        <v>705.37987937000003</v>
      </c>
      <c r="AW31" s="784">
        <v>693.68926895000004</v>
      </c>
      <c r="AX31" s="784">
        <v>691.5320817999999</v>
      </c>
      <c r="AY31" s="784">
        <v>691.16842097000006</v>
      </c>
      <c r="AZ31" s="784">
        <v>645.54204535999997</v>
      </c>
      <c r="BA31" s="784">
        <v>642.57332512000005</v>
      </c>
      <c r="BB31" s="784">
        <v>643.88436819000003</v>
      </c>
      <c r="BC31" s="784">
        <v>645.95378941000001</v>
      </c>
      <c r="BD31" s="784">
        <f>+BD29-BD30</f>
        <v>253.30506869999999</v>
      </c>
      <c r="BE31" s="784">
        <v>252.73836806</v>
      </c>
      <c r="BF31" s="784">
        <v>254.28283481000003</v>
      </c>
      <c r="BG31" s="784">
        <v>238.33297405000002</v>
      </c>
      <c r="BH31" s="827">
        <v>240.55917865999999</v>
      </c>
      <c r="BI31" s="816">
        <v>201.74773952000001</v>
      </c>
      <c r="BJ31" s="816">
        <v>218.13058434999999</v>
      </c>
      <c r="BK31" s="816">
        <v>234.73950543000001</v>
      </c>
      <c r="BL31" s="816">
        <v>236.47288152000002</v>
      </c>
      <c r="BM31" s="816">
        <v>235.11357013999998</v>
      </c>
      <c r="BN31" s="816">
        <v>237.61986069</v>
      </c>
      <c r="BO31" s="816">
        <v>244.89623562</v>
      </c>
      <c r="BP31" s="816">
        <v>241.81146236000001</v>
      </c>
      <c r="BQ31" s="816">
        <v>234.27064622</v>
      </c>
      <c r="BR31" s="816">
        <v>235.03185971000002</v>
      </c>
      <c r="BS31" s="816">
        <v>231.00085568</v>
      </c>
      <c r="BT31" s="816">
        <v>226.23581296</v>
      </c>
      <c r="BU31" s="816">
        <v>246.79092436000002</v>
      </c>
      <c r="BV31" s="816">
        <v>247.54524157</v>
      </c>
      <c r="BW31" s="816">
        <v>282.09798499999999</v>
      </c>
      <c r="BX31" s="816">
        <v>287.63064542000001</v>
      </c>
      <c r="BY31" s="816">
        <v>280.23037970999997</v>
      </c>
      <c r="BZ31" s="816">
        <v>283.48916928</v>
      </c>
      <c r="CA31" s="816">
        <v>288.79627152999996</v>
      </c>
      <c r="CB31" s="816">
        <v>403.95594847000001</v>
      </c>
      <c r="CC31" s="816">
        <v>395.14907450999999</v>
      </c>
      <c r="CD31" s="816">
        <v>398.71147754000003</v>
      </c>
      <c r="CE31" s="816">
        <f t="shared" ref="CE31:CP31" si="11">+CE29-CE30</f>
        <v>396.26342375000002</v>
      </c>
      <c r="CF31" s="816">
        <f t="shared" si="11"/>
        <v>406.69738057999996</v>
      </c>
      <c r="CG31" s="816">
        <f t="shared" si="11"/>
        <v>412.98204800000002</v>
      </c>
      <c r="CH31" s="816">
        <f t="shared" si="11"/>
        <v>434.53383287000003</v>
      </c>
      <c r="CI31" s="816">
        <f t="shared" si="11"/>
        <v>426.20220402999996</v>
      </c>
      <c r="CJ31" s="816">
        <f t="shared" si="11"/>
        <v>439.72854817000001</v>
      </c>
      <c r="CK31" s="816">
        <f t="shared" si="11"/>
        <v>442.15217029000002</v>
      </c>
      <c r="CL31" s="816">
        <f t="shared" si="11"/>
        <v>444.43636780000003</v>
      </c>
      <c r="CM31" s="816">
        <f t="shared" si="11"/>
        <v>447.24871866000001</v>
      </c>
      <c r="CN31" s="816">
        <f t="shared" si="11"/>
        <v>448.13135655000002</v>
      </c>
      <c r="CO31" s="816">
        <f t="shared" si="11"/>
        <v>454.37447452999999</v>
      </c>
      <c r="CP31" s="816">
        <f t="shared" si="11"/>
        <v>484.98347201999997</v>
      </c>
      <c r="CQ31" s="816">
        <f>+CQ29-CQ30</f>
        <v>507.59021742000004</v>
      </c>
      <c r="CR31" s="816">
        <f>+CR29-CR30</f>
        <v>510.06018836999999</v>
      </c>
      <c r="CS31" s="816">
        <v>514.47427299000003</v>
      </c>
      <c r="CT31" s="816">
        <v>530.00665670000001</v>
      </c>
      <c r="CU31" s="816">
        <v>479.74804649999999</v>
      </c>
      <c r="CV31" s="816">
        <v>485.96048860000002</v>
      </c>
      <c r="CW31" s="816">
        <v>487.13913839999998</v>
      </c>
      <c r="CX31" s="816">
        <v>492.66893570000002</v>
      </c>
      <c r="CY31" s="816">
        <v>495.60615826999998</v>
      </c>
      <c r="CZ31" s="816">
        <v>498.00472816000001</v>
      </c>
      <c r="DA31" s="816">
        <v>506.00372127000003</v>
      </c>
      <c r="DB31" s="816">
        <v>514.95304706000002</v>
      </c>
      <c r="DC31" s="816">
        <v>534.15787325999997</v>
      </c>
      <c r="DD31" s="886">
        <v>548.41729358999999</v>
      </c>
      <c r="DE31" s="886">
        <v>553.09607791999997</v>
      </c>
      <c r="DF31" s="886">
        <v>553.89671314999998</v>
      </c>
      <c r="DG31" s="839">
        <v>555.97391608999999</v>
      </c>
      <c r="DH31" s="839">
        <v>560.06303648000005</v>
      </c>
      <c r="DI31" s="839">
        <v>559.92828099999997</v>
      </c>
      <c r="DJ31" s="839">
        <v>557.56717494999998</v>
      </c>
      <c r="DK31" s="839">
        <v>549.98369017000005</v>
      </c>
      <c r="DL31" s="839">
        <v>550.62811223999995</v>
      </c>
      <c r="DM31" s="839">
        <v>550.42616638000004</v>
      </c>
      <c r="DN31" s="839">
        <v>541.23253828999998</v>
      </c>
      <c r="DO31" s="839">
        <v>535.80197133000001</v>
      </c>
      <c r="DP31" s="839">
        <v>551.86684521999996</v>
      </c>
      <c r="DQ31" s="839">
        <v>551.05404322000004</v>
      </c>
      <c r="DR31" s="839">
        <v>542.08210161</v>
      </c>
      <c r="DS31" s="839">
        <v>542.57410812000001</v>
      </c>
      <c r="DT31" s="839">
        <v>553.50740560999998</v>
      </c>
      <c r="DU31" s="839">
        <v>555.66841008999995</v>
      </c>
      <c r="DV31" s="839">
        <v>529.19672362999995</v>
      </c>
      <c r="DW31" s="839">
        <v>556.15023091</v>
      </c>
      <c r="DX31" s="839">
        <v>614.92520213</v>
      </c>
      <c r="DY31" s="839">
        <v>616.41306966000002</v>
      </c>
      <c r="DZ31" s="839">
        <v>617.42992272000004</v>
      </c>
      <c r="EA31" s="839">
        <v>654.66233720000002</v>
      </c>
      <c r="EB31" s="839">
        <v>664.09314832999996</v>
      </c>
      <c r="EC31" s="839">
        <v>694.85620138000002</v>
      </c>
      <c r="ED31" s="839">
        <v>729.52394687000003</v>
      </c>
      <c r="EE31" s="839">
        <v>707.22999545000005</v>
      </c>
      <c r="EF31" s="839">
        <v>709.48737212000003</v>
      </c>
      <c r="EG31" s="839">
        <v>686.32110240999998</v>
      </c>
      <c r="EH31" s="839">
        <v>728.49190533000001</v>
      </c>
      <c r="EI31" s="839">
        <v>734.08858736000002</v>
      </c>
      <c r="EJ31" s="839">
        <v>730.68956777999995</v>
      </c>
      <c r="EK31" s="839">
        <v>732.44791700999997</v>
      </c>
      <c r="EL31" s="839">
        <v>740.52522131000001</v>
      </c>
      <c r="EM31" s="839">
        <v>785.36067459000003</v>
      </c>
      <c r="EN31" s="839">
        <v>783.40595309000003</v>
      </c>
      <c r="EO31" s="839">
        <v>790.74725980999995</v>
      </c>
      <c r="EP31" s="839">
        <v>832.07770149999999</v>
      </c>
      <c r="EQ31" s="839">
        <v>832.45068008999999</v>
      </c>
      <c r="ER31" s="839">
        <v>839.68229572999996</v>
      </c>
      <c r="ES31" s="839">
        <v>848.48485925</v>
      </c>
      <c r="ET31" s="839">
        <v>847.57963888999996</v>
      </c>
      <c r="EU31" s="839">
        <v>835.43252416999997</v>
      </c>
      <c r="EV31" s="839">
        <v>829.91764859</v>
      </c>
      <c r="EW31" s="839">
        <v>842.44024457</v>
      </c>
      <c r="EX31" s="839">
        <v>853.56028162999996</v>
      </c>
      <c r="EY31" s="839">
        <v>827.59758870999997</v>
      </c>
      <c r="EZ31" s="839">
        <v>832.80336416</v>
      </c>
      <c r="FA31" s="839">
        <v>833.25286932999995</v>
      </c>
      <c r="FB31" s="839">
        <v>861.42279851000001</v>
      </c>
      <c r="FC31" s="839">
        <v>863.91695661999995</v>
      </c>
      <c r="FD31" s="839">
        <v>868.13464693000003</v>
      </c>
      <c r="FE31" s="839">
        <v>860.31565183999999</v>
      </c>
      <c r="FF31" s="839">
        <v>874.44886614999996</v>
      </c>
      <c r="FG31" s="839">
        <v>878.56433885000001</v>
      </c>
      <c r="FH31" s="1716" t="s">
        <v>4066</v>
      </c>
      <c r="FM31" s="321"/>
    </row>
    <row r="32" spans="1:169" ht="21">
      <c r="A32" s="1746"/>
      <c r="B32" s="783"/>
      <c r="C32" s="783"/>
      <c r="D32" s="783"/>
      <c r="E32" s="783"/>
      <c r="F32" s="783"/>
      <c r="G32" s="783"/>
      <c r="H32" s="783"/>
      <c r="I32" s="783"/>
      <c r="J32" s="783"/>
      <c r="K32" s="783"/>
      <c r="L32" s="783"/>
      <c r="M32" s="784"/>
      <c r="N32" s="784"/>
      <c r="O32" s="784"/>
      <c r="P32" s="784"/>
      <c r="Q32" s="784"/>
      <c r="R32" s="784"/>
      <c r="S32" s="784"/>
      <c r="T32" s="784"/>
      <c r="U32" s="784"/>
      <c r="V32" s="784"/>
      <c r="W32" s="784"/>
      <c r="X32" s="784"/>
      <c r="Y32" s="784"/>
      <c r="Z32" s="784"/>
      <c r="AA32" s="784"/>
      <c r="AB32" s="784"/>
      <c r="AC32" s="784"/>
      <c r="AD32" s="784"/>
      <c r="AE32" s="784"/>
      <c r="AF32" s="784"/>
      <c r="AG32" s="784"/>
      <c r="AH32" s="784"/>
      <c r="AI32" s="784"/>
      <c r="AJ32" s="784"/>
      <c r="AK32" s="784"/>
      <c r="AL32" s="784"/>
      <c r="AM32" s="784"/>
      <c r="AN32" s="784"/>
      <c r="AO32" s="784"/>
      <c r="AP32" s="784"/>
      <c r="AQ32" s="784"/>
      <c r="AR32" s="784"/>
      <c r="AS32" s="784"/>
      <c r="AT32" s="784"/>
      <c r="AU32" s="784"/>
      <c r="AV32" s="784"/>
      <c r="AW32" s="784"/>
      <c r="AX32" s="784"/>
      <c r="AY32" s="784"/>
      <c r="AZ32" s="784"/>
      <c r="BA32" s="784"/>
      <c r="BB32" s="784"/>
      <c r="BC32" s="784"/>
      <c r="BD32" s="784"/>
      <c r="BE32" s="784"/>
      <c r="BF32" s="784"/>
      <c r="BG32" s="784"/>
      <c r="BH32" s="827"/>
      <c r="BI32" s="816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6"/>
      <c r="CN32" s="816"/>
      <c r="CO32" s="816"/>
      <c r="CP32" s="816"/>
      <c r="CQ32" s="816"/>
      <c r="CR32" s="816"/>
      <c r="CS32" s="816"/>
      <c r="CT32" s="816"/>
      <c r="CU32" s="816"/>
      <c r="CV32" s="816"/>
      <c r="CW32" s="816"/>
      <c r="CX32" s="816"/>
      <c r="CY32" s="816"/>
      <c r="CZ32" s="816"/>
      <c r="DA32" s="816"/>
      <c r="DB32" s="816"/>
      <c r="DC32" s="816"/>
      <c r="DD32" s="886"/>
      <c r="DE32" s="886"/>
      <c r="DF32" s="886"/>
      <c r="DG32" s="839"/>
      <c r="DH32" s="839"/>
      <c r="DI32" s="839"/>
      <c r="DJ32" s="839"/>
      <c r="DK32" s="839"/>
      <c r="DL32" s="839"/>
      <c r="DM32" s="839"/>
      <c r="DN32" s="839"/>
      <c r="DO32" s="839"/>
      <c r="DP32" s="839"/>
      <c r="DQ32" s="839"/>
      <c r="DR32" s="839"/>
      <c r="DS32" s="839"/>
      <c r="DT32" s="839"/>
      <c r="DU32" s="839"/>
      <c r="DV32" s="839"/>
      <c r="DW32" s="839"/>
      <c r="DX32" s="839"/>
      <c r="DY32" s="839"/>
      <c r="DZ32" s="839"/>
      <c r="EA32" s="839"/>
      <c r="EB32" s="839"/>
      <c r="EC32" s="839"/>
      <c r="ED32" s="839"/>
      <c r="EE32" s="839"/>
      <c r="EF32" s="839"/>
      <c r="EG32" s="839"/>
      <c r="EH32" s="839"/>
      <c r="EI32" s="839"/>
      <c r="EJ32" s="839"/>
      <c r="EK32" s="839"/>
      <c r="EL32" s="839"/>
      <c r="EM32" s="839"/>
      <c r="EN32" s="839"/>
      <c r="EO32" s="839"/>
      <c r="EP32" s="839"/>
      <c r="EQ32" s="839"/>
      <c r="ER32" s="839"/>
      <c r="ES32" s="839"/>
      <c r="ET32" s="839"/>
      <c r="EU32" s="839"/>
      <c r="EV32" s="839"/>
      <c r="EW32" s="839"/>
      <c r="EX32" s="839"/>
      <c r="EY32" s="839"/>
      <c r="EZ32" s="839"/>
      <c r="FA32" s="839"/>
      <c r="FB32" s="839"/>
      <c r="FC32" s="839"/>
      <c r="FD32" s="839"/>
      <c r="FE32" s="839"/>
      <c r="FF32" s="839"/>
      <c r="FG32" s="839"/>
      <c r="FH32" s="1715"/>
      <c r="FM32" s="321"/>
    </row>
    <row r="33" spans="1:169" ht="21">
      <c r="A33" s="1744" t="s">
        <v>2742</v>
      </c>
      <c r="B33" s="780">
        <v>189.16265887</v>
      </c>
      <c r="C33" s="780">
        <v>264.58516986000001</v>
      </c>
      <c r="D33" s="780">
        <v>270.11659458000003</v>
      </c>
      <c r="E33" s="780">
        <v>330.47487580000001</v>
      </c>
      <c r="F33" s="780">
        <v>332.52147657</v>
      </c>
      <c r="G33" s="780">
        <v>339.61892675999997</v>
      </c>
      <c r="H33" s="780">
        <v>348.86066410000001</v>
      </c>
      <c r="I33" s="780">
        <v>355.19746150999998</v>
      </c>
      <c r="J33" s="780">
        <v>384.99698251999996</v>
      </c>
      <c r="K33" s="780">
        <v>358.52888193000001</v>
      </c>
      <c r="L33" s="780">
        <v>358.23459386999997</v>
      </c>
      <c r="M33" s="781">
        <v>363.76875579</v>
      </c>
      <c r="N33" s="781">
        <v>364.51779914999997</v>
      </c>
      <c r="O33" s="781">
        <v>336.91971663999993</v>
      </c>
      <c r="P33" s="781">
        <v>338.48433724</v>
      </c>
      <c r="Q33" s="781">
        <v>364.22590051999998</v>
      </c>
      <c r="R33" s="781">
        <v>361.62732665999999</v>
      </c>
      <c r="S33" s="781">
        <v>367.96804090000001</v>
      </c>
      <c r="T33" s="781">
        <v>368.54467764000003</v>
      </c>
      <c r="U33" s="781">
        <v>370.11090379000001</v>
      </c>
      <c r="V33" s="781">
        <v>368.64914609000004</v>
      </c>
      <c r="W33" s="781">
        <v>363.51294660000002</v>
      </c>
      <c r="X33" s="781">
        <v>366.21228193000002</v>
      </c>
      <c r="Y33" s="781">
        <v>338.93656011000002</v>
      </c>
      <c r="Z33" s="781">
        <v>331.19162470999999</v>
      </c>
      <c r="AA33" s="781">
        <v>820.39008152999997</v>
      </c>
      <c r="AB33" s="781">
        <v>821.99976609000009</v>
      </c>
      <c r="AC33" s="781">
        <v>817.77087305000009</v>
      </c>
      <c r="AD33" s="781">
        <v>839.00499037000009</v>
      </c>
      <c r="AE33" s="781">
        <v>845.26031588000001</v>
      </c>
      <c r="AF33" s="781">
        <v>848.77047535000008</v>
      </c>
      <c r="AG33" s="781">
        <v>846.85092316999999</v>
      </c>
      <c r="AH33" s="781">
        <v>783.33371264999994</v>
      </c>
      <c r="AI33" s="781">
        <v>340.74377113999998</v>
      </c>
      <c r="AJ33" s="781">
        <v>342.45460947000004</v>
      </c>
      <c r="AK33" s="781">
        <v>468.43420785999996</v>
      </c>
      <c r="AL33" s="781">
        <v>470.43841785000001</v>
      </c>
      <c r="AM33" s="781">
        <v>387.43488527</v>
      </c>
      <c r="AN33" s="781">
        <v>320.63901678999997</v>
      </c>
      <c r="AO33" s="781">
        <v>165.08994623999999</v>
      </c>
      <c r="AP33" s="781">
        <v>166.67534214</v>
      </c>
      <c r="AQ33" s="781">
        <v>172.16741625999998</v>
      </c>
      <c r="AR33" s="781">
        <v>171.92463502999999</v>
      </c>
      <c r="AS33" s="781">
        <v>176.00218909</v>
      </c>
      <c r="AT33" s="781">
        <f>AT25-AT29</f>
        <v>173.15602332999993</v>
      </c>
      <c r="AU33" s="781">
        <v>170.62334290999991</v>
      </c>
      <c r="AV33" s="781">
        <v>184.01699599999984</v>
      </c>
      <c r="AW33" s="781">
        <v>186.26578914000004</v>
      </c>
      <c r="AX33" s="781">
        <v>199.93251706000012</v>
      </c>
      <c r="AY33" s="781">
        <v>181.77408054</v>
      </c>
      <c r="AZ33" s="781">
        <v>178.31845905000003</v>
      </c>
      <c r="BA33" s="781">
        <v>174.49567425000001</v>
      </c>
      <c r="BB33" s="781">
        <v>171.92131727999998</v>
      </c>
      <c r="BC33" s="781">
        <v>141.77492461</v>
      </c>
      <c r="BD33" s="781">
        <v>137.78084805000003</v>
      </c>
      <c r="BE33" s="781">
        <v>137.68167223</v>
      </c>
      <c r="BF33" s="781">
        <v>127.45383967999993</v>
      </c>
      <c r="BG33" s="781">
        <v>129.32559921999999</v>
      </c>
      <c r="BH33" s="826">
        <v>128.85654021999997</v>
      </c>
      <c r="BI33" s="815">
        <v>152.58079733</v>
      </c>
      <c r="BJ33" s="815">
        <v>144.30168319999999</v>
      </c>
      <c r="BK33" s="815">
        <v>146.67711595999998</v>
      </c>
      <c r="BL33" s="815">
        <v>147.9802392500001</v>
      </c>
      <c r="BM33" s="815">
        <v>167.21320575000004</v>
      </c>
      <c r="BN33" s="815">
        <v>178.10056361999997</v>
      </c>
      <c r="BO33" s="815">
        <v>174.70845309999996</v>
      </c>
      <c r="BP33" s="815">
        <v>171.19561987999992</v>
      </c>
      <c r="BQ33" s="815">
        <v>180.22020989999996</v>
      </c>
      <c r="BR33" s="815">
        <v>173.91522661000008</v>
      </c>
      <c r="BS33" s="815">
        <v>173.72705371000001</v>
      </c>
      <c r="BT33" s="815">
        <v>175.53104324</v>
      </c>
      <c r="BU33" s="815">
        <v>183.35564217999999</v>
      </c>
      <c r="BV33" s="815">
        <v>177.65821074000002</v>
      </c>
      <c r="BW33" s="815">
        <v>182.09720166</v>
      </c>
      <c r="BX33" s="815">
        <v>188.68894656999998</v>
      </c>
      <c r="BY33" s="815">
        <v>199.51169608000004</v>
      </c>
      <c r="BZ33" s="815">
        <v>203.74170224</v>
      </c>
      <c r="CA33" s="815">
        <v>201.49167731000006</v>
      </c>
      <c r="CB33" s="815">
        <v>201.38292764999994</v>
      </c>
      <c r="CC33" s="815">
        <v>204.57468394</v>
      </c>
      <c r="CD33" s="815">
        <v>232.95919764999999</v>
      </c>
      <c r="CE33" s="815">
        <v>269.89301005999999</v>
      </c>
      <c r="CF33" s="815">
        <v>287.22587651999999</v>
      </c>
      <c r="CG33" s="815">
        <v>257.98841066</v>
      </c>
      <c r="CH33" s="815">
        <v>527.11022050999998</v>
      </c>
      <c r="CI33" s="815">
        <v>537.26627729999996</v>
      </c>
      <c r="CJ33" s="815">
        <v>523.45096321000005</v>
      </c>
      <c r="CK33" s="815">
        <v>515.95407388000001</v>
      </c>
      <c r="CL33" s="815">
        <v>530.57651256000008</v>
      </c>
      <c r="CM33" s="815">
        <v>524.65857748999997</v>
      </c>
      <c r="CN33" s="815">
        <v>529.76875934999998</v>
      </c>
      <c r="CO33" s="815">
        <v>543.16100767</v>
      </c>
      <c r="CP33" s="815">
        <v>529.03776023</v>
      </c>
      <c r="CQ33" s="815">
        <v>532.70924277000006</v>
      </c>
      <c r="CR33" s="815">
        <v>540.42999696999993</v>
      </c>
      <c r="CS33" s="815">
        <v>527.80111093000005</v>
      </c>
      <c r="CT33" s="815">
        <v>252.87162479</v>
      </c>
      <c r="CU33" s="815">
        <v>238.83318471000001</v>
      </c>
      <c r="CV33" s="815">
        <v>234.41504305999999</v>
      </c>
      <c r="CW33" s="815">
        <v>231.86575074999999</v>
      </c>
      <c r="CX33" s="815">
        <v>232.27293044999999</v>
      </c>
      <c r="CY33" s="815">
        <v>227.59968307</v>
      </c>
      <c r="CZ33" s="815">
        <v>225.31730594999999</v>
      </c>
      <c r="DA33" s="815">
        <v>187.20968544999999</v>
      </c>
      <c r="DB33" s="815">
        <v>189.43172276000001</v>
      </c>
      <c r="DC33" s="815">
        <v>212.96090018000001</v>
      </c>
      <c r="DD33" s="885">
        <v>211.63832995999999</v>
      </c>
      <c r="DE33" s="885">
        <v>211.88102531000001</v>
      </c>
      <c r="DF33" s="885">
        <v>210.0247071</v>
      </c>
      <c r="DG33" s="838">
        <v>207.98553593</v>
      </c>
      <c r="DH33" s="838">
        <v>214.31225280000001</v>
      </c>
      <c r="DI33" s="838">
        <v>212.60857432</v>
      </c>
      <c r="DJ33" s="838">
        <v>215.39558339000001</v>
      </c>
      <c r="DK33" s="838">
        <v>210.92252091</v>
      </c>
      <c r="DL33" s="838">
        <v>206.69351763</v>
      </c>
      <c r="DM33" s="838">
        <v>205.16452623999999</v>
      </c>
      <c r="DN33" s="838">
        <v>203.60305925</v>
      </c>
      <c r="DO33" s="838">
        <v>204.64145934999999</v>
      </c>
      <c r="DP33" s="838">
        <v>202.75888086</v>
      </c>
      <c r="DQ33" s="838">
        <v>202.30740968999999</v>
      </c>
      <c r="DR33" s="838">
        <v>202.66218752</v>
      </c>
      <c r="DS33" s="838">
        <v>196.05077469</v>
      </c>
      <c r="DT33" s="838">
        <v>195.16710588000001</v>
      </c>
      <c r="DU33" s="838">
        <v>184.28403159000001</v>
      </c>
      <c r="DV33" s="838">
        <v>179.63556582000001</v>
      </c>
      <c r="DW33" s="838">
        <v>208.18651696000001</v>
      </c>
      <c r="DX33" s="838">
        <v>212.40827175000001</v>
      </c>
      <c r="DY33" s="838">
        <v>208.06930599</v>
      </c>
      <c r="DZ33" s="838">
        <v>201.00597325999999</v>
      </c>
      <c r="EA33" s="838">
        <v>209.58608794</v>
      </c>
      <c r="EB33" s="838">
        <v>201.32968385000001</v>
      </c>
      <c r="EC33" s="838">
        <v>207.52847020999999</v>
      </c>
      <c r="ED33" s="838">
        <v>414.63608288</v>
      </c>
      <c r="EE33" s="838">
        <v>413.75370177999997</v>
      </c>
      <c r="EF33" s="838">
        <v>404.93380735</v>
      </c>
      <c r="EG33" s="838">
        <v>409.46978877999999</v>
      </c>
      <c r="EH33" s="838">
        <v>403.54293987</v>
      </c>
      <c r="EI33" s="838">
        <v>399.03618641000003</v>
      </c>
      <c r="EJ33" s="838">
        <v>386.07288340999997</v>
      </c>
      <c r="EK33" s="838">
        <v>403.44692502999999</v>
      </c>
      <c r="EL33" s="838">
        <v>402.74333827999999</v>
      </c>
      <c r="EM33" s="838">
        <v>409.19555702000002</v>
      </c>
      <c r="EN33" s="838">
        <v>401.13079362000002</v>
      </c>
      <c r="EO33" s="838">
        <v>397.99885483999998</v>
      </c>
      <c r="EP33" s="838">
        <v>394.87793211000002</v>
      </c>
      <c r="EQ33" s="838">
        <v>385.92273173000001</v>
      </c>
      <c r="ER33" s="838">
        <v>386.17945902999998</v>
      </c>
      <c r="ES33" s="838">
        <v>388.54914882999998</v>
      </c>
      <c r="ET33" s="838">
        <v>378.07728791</v>
      </c>
      <c r="EU33" s="838">
        <v>373.26103573</v>
      </c>
      <c r="EV33" s="838">
        <v>365.91505488000001</v>
      </c>
      <c r="EW33" s="838">
        <v>371.56496891</v>
      </c>
      <c r="EX33" s="838">
        <v>360.40596345</v>
      </c>
      <c r="EY33" s="838">
        <v>366.51537058999997</v>
      </c>
      <c r="EZ33" s="838">
        <v>362.99425234</v>
      </c>
      <c r="FA33" s="838">
        <v>361.68824506999999</v>
      </c>
      <c r="FB33" s="838">
        <v>367.01600633999999</v>
      </c>
      <c r="FC33" s="838">
        <v>362.47964774000002</v>
      </c>
      <c r="FD33" s="838">
        <v>347.20308603000001</v>
      </c>
      <c r="FE33" s="838">
        <v>349.88315378999999</v>
      </c>
      <c r="FF33" s="838">
        <v>337.97541823</v>
      </c>
      <c r="FG33" s="838">
        <v>325.18341355000001</v>
      </c>
      <c r="FH33" s="1714" t="s">
        <v>4068</v>
      </c>
      <c r="FM33" s="321"/>
    </row>
    <row r="34" spans="1:169" ht="21">
      <c r="A34" s="1745" t="s">
        <v>1961</v>
      </c>
      <c r="B34" s="783">
        <v>0.94858149000000003</v>
      </c>
      <c r="C34" s="783">
        <v>0.94906521999999993</v>
      </c>
      <c r="D34" s="783">
        <v>0.94906521999999993</v>
      </c>
      <c r="E34" s="783">
        <v>0.94882334999999995</v>
      </c>
      <c r="F34" s="783">
        <v>0.94882334999999995</v>
      </c>
      <c r="G34" s="783">
        <v>0.77511750999999995</v>
      </c>
      <c r="H34" s="783">
        <v>0.76598906000000011</v>
      </c>
      <c r="I34" s="783">
        <v>0.76589141999999999</v>
      </c>
      <c r="J34" s="783">
        <v>0.76598906000000011</v>
      </c>
      <c r="K34" s="783">
        <v>0.76598906000000011</v>
      </c>
      <c r="L34" s="783">
        <v>0.76589141999999999</v>
      </c>
      <c r="M34" s="784">
        <v>0.59380637999999997</v>
      </c>
      <c r="N34" s="784">
        <v>0.81582158999999999</v>
      </c>
      <c r="O34" s="784">
        <v>0.59373068999999989</v>
      </c>
      <c r="P34" s="784">
        <v>0.59365500000000004</v>
      </c>
      <c r="Q34" s="784">
        <v>0.59365500000000004</v>
      </c>
      <c r="R34" s="784">
        <v>0.59373068999999989</v>
      </c>
      <c r="S34" s="784">
        <v>0.40432213</v>
      </c>
      <c r="T34" s="784">
        <v>0.40427057999999999</v>
      </c>
      <c r="U34" s="784">
        <v>0.40437368000000001</v>
      </c>
      <c r="V34" s="784">
        <v>0.40437368000000001</v>
      </c>
      <c r="W34" s="784">
        <v>0.47293652000000003</v>
      </c>
      <c r="X34" s="784">
        <v>0.40437368000000001</v>
      </c>
      <c r="Y34" s="784">
        <v>0.20658848999999999</v>
      </c>
      <c r="Z34" s="784">
        <v>0.58846343000000001</v>
      </c>
      <c r="AA34" s="784">
        <v>0</v>
      </c>
      <c r="AB34" s="784">
        <v>0.30354075000000003</v>
      </c>
      <c r="AC34" s="784">
        <v>0.12055855</v>
      </c>
      <c r="AD34" s="784">
        <v>0.26653117999999998</v>
      </c>
      <c r="AE34" s="784">
        <v>0.35170778999999996</v>
      </c>
      <c r="AF34" s="784">
        <v>0.25365549999999998</v>
      </c>
      <c r="AG34" s="784">
        <v>6.4681809999999992E-2</v>
      </c>
      <c r="AH34" s="784">
        <v>11.2754891</v>
      </c>
      <c r="AI34" s="784">
        <v>0.83385981999999992</v>
      </c>
      <c r="AJ34" s="784">
        <v>1.16361743</v>
      </c>
      <c r="AK34" s="784">
        <v>1.5546932900000001</v>
      </c>
      <c r="AL34" s="784">
        <v>1.59596834</v>
      </c>
      <c r="AM34" s="784">
        <v>1.5607748799999999</v>
      </c>
      <c r="AN34" s="784">
        <v>1.53744551</v>
      </c>
      <c r="AO34" s="784">
        <v>1.50396211</v>
      </c>
      <c r="AP34" s="784">
        <v>1.48901507</v>
      </c>
      <c r="AQ34" s="784">
        <v>1.5377631899999999</v>
      </c>
      <c r="AR34" s="784">
        <v>1.5834145900000001</v>
      </c>
      <c r="AS34" s="784">
        <v>1.6303646200000002</v>
      </c>
      <c r="AT34" s="784">
        <f>AT26-AT30</f>
        <v>1.6193763199999993</v>
      </c>
      <c r="AU34" s="784">
        <v>0</v>
      </c>
      <c r="AV34" s="784">
        <v>0</v>
      </c>
      <c r="AW34" s="784">
        <v>0</v>
      </c>
      <c r="AX34" s="784">
        <v>0</v>
      </c>
      <c r="AY34" s="784">
        <v>0</v>
      </c>
      <c r="AZ34" s="784">
        <v>0</v>
      </c>
      <c r="BA34" s="784">
        <v>0</v>
      </c>
      <c r="BB34" s="784">
        <v>0</v>
      </c>
      <c r="BC34" s="784">
        <v>0</v>
      </c>
      <c r="BD34" s="784">
        <v>0</v>
      </c>
      <c r="BE34" s="784">
        <v>0.85050000000000003</v>
      </c>
      <c r="BF34" s="784">
        <v>0.85009999999999897</v>
      </c>
      <c r="BG34" s="784">
        <v>0.85010000000000119</v>
      </c>
      <c r="BH34" s="827">
        <v>0.85004999999999864</v>
      </c>
      <c r="BI34" s="816">
        <v>0.85004999999999997</v>
      </c>
      <c r="BJ34" s="816">
        <v>0.85005000000000153</v>
      </c>
      <c r="BK34" s="816">
        <v>0.85005000000000042</v>
      </c>
      <c r="BL34" s="816">
        <v>0.84999999999999987</v>
      </c>
      <c r="BM34" s="816">
        <v>0.8499999999999992</v>
      </c>
      <c r="BN34" s="816">
        <v>0.71531183999999826</v>
      </c>
      <c r="BO34" s="816">
        <v>0</v>
      </c>
      <c r="BP34" s="816">
        <v>0</v>
      </c>
      <c r="BQ34" s="816">
        <v>0</v>
      </c>
      <c r="BR34" s="816">
        <v>0</v>
      </c>
      <c r="BS34" s="816">
        <v>0</v>
      </c>
      <c r="BT34" s="816">
        <v>0</v>
      </c>
      <c r="BU34" s="816">
        <v>0</v>
      </c>
      <c r="BV34" s="816">
        <v>0</v>
      </c>
      <c r="BW34" s="816">
        <v>0</v>
      </c>
      <c r="BX34" s="816">
        <v>0</v>
      </c>
      <c r="BY34" s="816">
        <v>0</v>
      </c>
      <c r="BZ34" s="816">
        <v>0</v>
      </c>
      <c r="CA34" s="816">
        <v>0</v>
      </c>
      <c r="CB34" s="816">
        <v>0</v>
      </c>
      <c r="CC34" s="816">
        <v>0</v>
      </c>
      <c r="CD34" s="816">
        <v>0</v>
      </c>
      <c r="CE34" s="816">
        <v>0</v>
      </c>
      <c r="CF34" s="816">
        <v>0</v>
      </c>
      <c r="CG34" s="816">
        <v>0</v>
      </c>
      <c r="CH34" s="816">
        <v>255</v>
      </c>
      <c r="CI34" s="816">
        <v>255</v>
      </c>
      <c r="CJ34" s="816">
        <v>255.37655000000001</v>
      </c>
      <c r="CK34" s="816">
        <v>255.47855000000001</v>
      </c>
      <c r="CL34" s="816">
        <v>256.41106896000002</v>
      </c>
      <c r="CM34" s="816">
        <v>256.39422857</v>
      </c>
      <c r="CN34" s="816">
        <v>256.31097746</v>
      </c>
      <c r="CO34" s="816">
        <v>256.29384216</v>
      </c>
      <c r="CP34" s="816">
        <v>255.93699687999998</v>
      </c>
      <c r="CQ34" s="816">
        <v>255.88304411000001</v>
      </c>
      <c r="CR34" s="816">
        <v>255.92328991999997</v>
      </c>
      <c r="CS34" s="816">
        <v>264.38389953000001</v>
      </c>
      <c r="CT34" s="816">
        <v>0.84347002999999998</v>
      </c>
      <c r="CU34" s="816">
        <v>5.4445277599999997</v>
      </c>
      <c r="CV34" s="816">
        <v>5.3029883900000003</v>
      </c>
      <c r="CW34" s="816">
        <v>5.0799223900000001</v>
      </c>
      <c r="CX34" s="816">
        <v>4.9223062100000003</v>
      </c>
      <c r="CY34" s="816">
        <v>4.7650748900000002</v>
      </c>
      <c r="CZ34" s="816">
        <v>4.6058237799999997</v>
      </c>
      <c r="DA34" s="816">
        <v>4.4468632299999999</v>
      </c>
      <c r="DB34" s="816">
        <v>4.2878288600000003</v>
      </c>
      <c r="DC34" s="816">
        <v>4.0532518800000004</v>
      </c>
      <c r="DD34" s="886">
        <v>3.8676361699999999</v>
      </c>
      <c r="DE34" s="886">
        <v>3.72930736</v>
      </c>
      <c r="DF34" s="886">
        <v>3.58999997</v>
      </c>
      <c r="DG34" s="839">
        <v>3.4512530799999999</v>
      </c>
      <c r="DH34" s="839">
        <v>3.3115616499999998</v>
      </c>
      <c r="DI34" s="839">
        <v>3.17096906</v>
      </c>
      <c r="DJ34" s="839">
        <v>3.0305763300000002</v>
      </c>
      <c r="DK34" s="839">
        <v>2.89008522</v>
      </c>
      <c r="DL34" s="839">
        <v>2.7489903400000002</v>
      </c>
      <c r="DM34" s="839">
        <v>2.7489903400000002</v>
      </c>
      <c r="DN34" s="839">
        <v>0</v>
      </c>
      <c r="DO34" s="839">
        <v>0</v>
      </c>
      <c r="DP34" s="839">
        <v>0</v>
      </c>
      <c r="DQ34" s="839">
        <v>0</v>
      </c>
      <c r="DR34" s="839">
        <v>0</v>
      </c>
      <c r="DS34" s="839">
        <v>0</v>
      </c>
      <c r="DT34" s="839">
        <v>0</v>
      </c>
      <c r="DU34" s="839">
        <v>0</v>
      </c>
      <c r="DV34" s="839">
        <v>0</v>
      </c>
      <c r="DW34" s="839">
        <v>0</v>
      </c>
      <c r="DX34" s="839">
        <v>0</v>
      </c>
      <c r="DY34" s="839">
        <v>0</v>
      </c>
      <c r="DZ34" s="839">
        <v>0</v>
      </c>
      <c r="EA34" s="839">
        <v>0</v>
      </c>
      <c r="EB34" s="839">
        <v>0</v>
      </c>
      <c r="EC34" s="839">
        <v>0</v>
      </c>
      <c r="ED34" s="839">
        <v>212.5</v>
      </c>
      <c r="EE34" s="839">
        <v>212.5</v>
      </c>
      <c r="EF34" s="839">
        <v>212.5</v>
      </c>
      <c r="EG34" s="839">
        <v>212.5</v>
      </c>
      <c r="EH34" s="839">
        <v>212.5</v>
      </c>
      <c r="EI34" s="839">
        <v>212.5</v>
      </c>
      <c r="EJ34" s="839">
        <v>212.5</v>
      </c>
      <c r="EK34" s="839">
        <v>212.5</v>
      </c>
      <c r="EL34" s="839">
        <v>212.5</v>
      </c>
      <c r="EM34" s="839">
        <v>212.5</v>
      </c>
      <c r="EN34" s="839">
        <v>219.3</v>
      </c>
      <c r="EO34" s="839">
        <v>218.63603666</v>
      </c>
      <c r="EP34" s="839">
        <v>218.63603666</v>
      </c>
      <c r="EQ34" s="839">
        <v>218.63603666</v>
      </c>
      <c r="ER34" s="839">
        <v>218.63603666</v>
      </c>
      <c r="ES34" s="839">
        <v>205.35478666</v>
      </c>
      <c r="ET34" s="839">
        <v>205.35478666</v>
      </c>
      <c r="EU34" s="839">
        <v>192.07353664999999</v>
      </c>
      <c r="EV34" s="839">
        <v>192.07353666</v>
      </c>
      <c r="EW34" s="839">
        <v>192.07353666</v>
      </c>
      <c r="EX34" s="839">
        <v>178.79228666</v>
      </c>
      <c r="EY34" s="839">
        <v>180.83228665999999</v>
      </c>
      <c r="EZ34" s="839">
        <v>180.83228665999999</v>
      </c>
      <c r="FA34" s="839">
        <v>167.55103665999999</v>
      </c>
      <c r="FB34" s="839">
        <v>167.55103665999999</v>
      </c>
      <c r="FC34" s="839">
        <v>167.55103665999999</v>
      </c>
      <c r="FD34" s="839">
        <v>154.26978665999999</v>
      </c>
      <c r="FE34" s="839">
        <v>154.26978665999999</v>
      </c>
      <c r="FF34" s="839">
        <v>154.26978665999999</v>
      </c>
      <c r="FG34" s="839">
        <v>140.98853665999999</v>
      </c>
      <c r="FH34" s="1716" t="s">
        <v>4067</v>
      </c>
      <c r="FM34" s="321"/>
    </row>
    <row r="35" spans="1:169" ht="21">
      <c r="A35" s="1747" t="s">
        <v>1962</v>
      </c>
      <c r="B35" s="808">
        <f>+B33-B34</f>
        <v>188.21407737999999</v>
      </c>
      <c r="C35" s="808">
        <f t="shared" ref="C35:V35" si="12">+C33-C34</f>
        <v>263.63610463999999</v>
      </c>
      <c r="D35" s="808">
        <f t="shared" si="12"/>
        <v>269.16752936</v>
      </c>
      <c r="E35" s="808">
        <f t="shared" si="12"/>
        <v>329.52605245000001</v>
      </c>
      <c r="F35" s="808">
        <f t="shared" si="12"/>
        <v>331.57265322000001</v>
      </c>
      <c r="G35" s="808">
        <f t="shared" si="12"/>
        <v>338.84380924999999</v>
      </c>
      <c r="H35" s="808">
        <f t="shared" si="12"/>
        <v>348.09467504000003</v>
      </c>
      <c r="I35" s="808">
        <f t="shared" si="12"/>
        <v>354.43157008999998</v>
      </c>
      <c r="J35" s="808">
        <f t="shared" si="12"/>
        <v>384.23099345999998</v>
      </c>
      <c r="K35" s="808">
        <f t="shared" si="12"/>
        <v>357.76289287000003</v>
      </c>
      <c r="L35" s="808">
        <f t="shared" si="12"/>
        <v>357.46870244999997</v>
      </c>
      <c r="M35" s="787">
        <f t="shared" si="12"/>
        <v>363.17494941000001</v>
      </c>
      <c r="N35" s="794">
        <f t="shared" si="12"/>
        <v>363.70197755999999</v>
      </c>
      <c r="O35" s="794">
        <f t="shared" si="12"/>
        <v>336.32598594999996</v>
      </c>
      <c r="P35" s="794">
        <f t="shared" si="12"/>
        <v>337.89068223999999</v>
      </c>
      <c r="Q35" s="794">
        <f t="shared" si="12"/>
        <v>363.63224551999997</v>
      </c>
      <c r="R35" s="794">
        <f t="shared" si="12"/>
        <v>361.03359597000002</v>
      </c>
      <c r="S35" s="794">
        <f t="shared" si="12"/>
        <v>367.56371876999998</v>
      </c>
      <c r="T35" s="794">
        <f t="shared" si="12"/>
        <v>368.14040706000003</v>
      </c>
      <c r="U35" s="794">
        <f t="shared" si="12"/>
        <v>369.70653011000002</v>
      </c>
      <c r="V35" s="794">
        <f t="shared" si="12"/>
        <v>368.24477241000005</v>
      </c>
      <c r="W35" s="794">
        <v>363.04001008</v>
      </c>
      <c r="X35" s="794">
        <v>365.80790825000003</v>
      </c>
      <c r="Y35" s="787">
        <v>338.72997162000001</v>
      </c>
      <c r="Z35" s="794">
        <v>330.60316127999999</v>
      </c>
      <c r="AA35" s="794">
        <v>820.39008152999997</v>
      </c>
      <c r="AB35" s="787">
        <f>+AB33-AB34</f>
        <v>821.69622534000007</v>
      </c>
      <c r="AC35" s="787">
        <v>817.65031450000004</v>
      </c>
      <c r="AD35" s="787">
        <v>838.73845919000007</v>
      </c>
      <c r="AE35" s="787">
        <v>844.90860809000003</v>
      </c>
      <c r="AF35" s="787">
        <v>848.51681985000005</v>
      </c>
      <c r="AG35" s="787">
        <v>846.78624135999996</v>
      </c>
      <c r="AH35" s="787">
        <f>+AH33-AH34</f>
        <v>772.05822354999998</v>
      </c>
      <c r="AI35" s="787">
        <v>339.90991131999999</v>
      </c>
      <c r="AJ35" s="787">
        <f>+AJ33-AJ34</f>
        <v>341.29099204000005</v>
      </c>
      <c r="AK35" s="787">
        <f>+AK33-AK34</f>
        <v>466.87951456999997</v>
      </c>
      <c r="AL35" s="787">
        <v>468.84244950999999</v>
      </c>
      <c r="AM35" s="787">
        <f>+AM33-AM34</f>
        <v>385.87411039</v>
      </c>
      <c r="AN35" s="787">
        <f>+AN33-AN34</f>
        <v>319.10157127999997</v>
      </c>
      <c r="AO35" s="787">
        <f>+AO33-AO34</f>
        <v>163.58598412999999</v>
      </c>
      <c r="AP35" s="787">
        <f>+AP33-AP34</f>
        <v>165.18632707</v>
      </c>
      <c r="AQ35" s="787">
        <v>170.62965306999999</v>
      </c>
      <c r="AR35" s="787">
        <f>+AR33-AR34</f>
        <v>170.34122044</v>
      </c>
      <c r="AS35" s="787">
        <f>+AS33-AS34</f>
        <v>174.37182447000001</v>
      </c>
      <c r="AT35" s="787">
        <f>AT27-AT31</f>
        <v>171.53664700999991</v>
      </c>
      <c r="AU35" s="787">
        <v>170.62334290999979</v>
      </c>
      <c r="AV35" s="787">
        <v>184.01699599999984</v>
      </c>
      <c r="AW35" s="787">
        <v>186.26578913999992</v>
      </c>
      <c r="AX35" s="787">
        <v>199.93251706000012</v>
      </c>
      <c r="AY35" s="787">
        <v>181.77408054</v>
      </c>
      <c r="AZ35" s="787">
        <v>178.31845905000003</v>
      </c>
      <c r="BA35" s="787">
        <v>174.49567425000001</v>
      </c>
      <c r="BB35" s="787">
        <v>171.92131727999998</v>
      </c>
      <c r="BC35" s="787">
        <v>141.77492461</v>
      </c>
      <c r="BD35" s="787">
        <f>+BD33-BD34</f>
        <v>137.78084805000003</v>
      </c>
      <c r="BE35" s="787">
        <v>136.83117222999999</v>
      </c>
      <c r="BF35" s="787">
        <v>126.60373967999993</v>
      </c>
      <c r="BG35" s="787">
        <v>128.47549921999999</v>
      </c>
      <c r="BH35" s="828">
        <v>128.00649021999996</v>
      </c>
      <c r="BI35" s="818">
        <v>151.73074732999999</v>
      </c>
      <c r="BJ35" s="818">
        <v>143.45163319999997</v>
      </c>
      <c r="BK35" s="818">
        <v>145.82706595999997</v>
      </c>
      <c r="BL35" s="818">
        <v>147.1302392500001</v>
      </c>
      <c r="BM35" s="818">
        <v>166.36320575000005</v>
      </c>
      <c r="BN35" s="818">
        <v>177.38525177999998</v>
      </c>
      <c r="BO35" s="818">
        <v>174.70845309999996</v>
      </c>
      <c r="BP35" s="818">
        <v>171.19561987999992</v>
      </c>
      <c r="BQ35" s="818">
        <v>180.22020989999996</v>
      </c>
      <c r="BR35" s="818">
        <v>173.91522661000008</v>
      </c>
      <c r="BS35" s="818">
        <v>173.72705371000001</v>
      </c>
      <c r="BT35" s="818">
        <v>175.53104324</v>
      </c>
      <c r="BU35" s="818">
        <v>183.35564217999999</v>
      </c>
      <c r="BV35" s="818">
        <v>177.65821074000002</v>
      </c>
      <c r="BW35" s="818">
        <v>182.09720166</v>
      </c>
      <c r="BX35" s="818">
        <v>188.68894656999998</v>
      </c>
      <c r="BY35" s="818">
        <v>199.51169608000004</v>
      </c>
      <c r="BZ35" s="818">
        <v>203.74170224</v>
      </c>
      <c r="CA35" s="818">
        <v>201.49167731000006</v>
      </c>
      <c r="CB35" s="818">
        <v>201.38292764999994</v>
      </c>
      <c r="CC35" s="818">
        <v>204.57468394</v>
      </c>
      <c r="CD35" s="818">
        <v>232.95919764999999</v>
      </c>
      <c r="CE35" s="818">
        <f t="shared" ref="CE35:CP35" si="13">+CE33-CE34</f>
        <v>269.89301005999999</v>
      </c>
      <c r="CF35" s="818">
        <f t="shared" si="13"/>
        <v>287.22587651999999</v>
      </c>
      <c r="CG35" s="818">
        <f t="shared" si="13"/>
        <v>257.98841066</v>
      </c>
      <c r="CH35" s="818">
        <f t="shared" si="13"/>
        <v>272.11022050999998</v>
      </c>
      <c r="CI35" s="818">
        <f t="shared" si="13"/>
        <v>282.26627729999996</v>
      </c>
      <c r="CJ35" s="818">
        <f t="shared" si="13"/>
        <v>268.07441321000005</v>
      </c>
      <c r="CK35" s="818">
        <f t="shared" si="13"/>
        <v>260.47552387999997</v>
      </c>
      <c r="CL35" s="818">
        <f t="shared" si="13"/>
        <v>274.16544360000006</v>
      </c>
      <c r="CM35" s="818">
        <f t="shared" si="13"/>
        <v>268.26434891999997</v>
      </c>
      <c r="CN35" s="818">
        <f t="shared" si="13"/>
        <v>273.45778188999998</v>
      </c>
      <c r="CO35" s="818">
        <f t="shared" si="13"/>
        <v>286.86716551000001</v>
      </c>
      <c r="CP35" s="818">
        <f t="shared" si="13"/>
        <v>273.10076335000002</v>
      </c>
      <c r="CQ35" s="818">
        <f>+CQ33-CQ34</f>
        <v>276.82619866000005</v>
      </c>
      <c r="CR35" s="818">
        <f>+CR33-CR34</f>
        <v>284.50670704999993</v>
      </c>
      <c r="CS35" s="818">
        <v>263.41721140000004</v>
      </c>
      <c r="CT35" s="818">
        <v>252.02815476000001</v>
      </c>
      <c r="CU35" s="818">
        <v>233.38865695000001</v>
      </c>
      <c r="CV35" s="818">
        <v>229.11205466999999</v>
      </c>
      <c r="CW35" s="818">
        <v>226.78582836000001</v>
      </c>
      <c r="CX35" s="818">
        <v>227.35062424</v>
      </c>
      <c r="CY35" s="818">
        <v>222.83460818</v>
      </c>
      <c r="CZ35" s="818">
        <v>220.71148217000001</v>
      </c>
      <c r="DA35" s="818">
        <v>182.76282222</v>
      </c>
      <c r="DB35" s="818">
        <v>185.14389389999999</v>
      </c>
      <c r="DC35" s="818">
        <v>208.90764830000001</v>
      </c>
      <c r="DD35" s="887">
        <v>207.77069379</v>
      </c>
      <c r="DE35" s="887">
        <v>208.15171795000001</v>
      </c>
      <c r="DF35" s="887">
        <v>206.43470712999999</v>
      </c>
      <c r="DG35" s="840">
        <v>204.53428285000001</v>
      </c>
      <c r="DH35" s="840">
        <v>211.00069114999999</v>
      </c>
      <c r="DI35" s="840">
        <v>209.43760526</v>
      </c>
      <c r="DJ35" s="840">
        <v>212.36500706000001</v>
      </c>
      <c r="DK35" s="840">
        <v>208.03243569</v>
      </c>
      <c r="DL35" s="840">
        <v>203.94452729</v>
      </c>
      <c r="DM35" s="840">
        <v>202.41553590000001</v>
      </c>
      <c r="DN35" s="840">
        <v>203.60305925</v>
      </c>
      <c r="DO35" s="840">
        <v>204.64145934999999</v>
      </c>
      <c r="DP35" s="840">
        <v>202.75888086</v>
      </c>
      <c r="DQ35" s="840">
        <v>202.30740968999999</v>
      </c>
      <c r="DR35" s="840">
        <v>202.66218752</v>
      </c>
      <c r="DS35" s="840">
        <v>196.05077469</v>
      </c>
      <c r="DT35" s="840">
        <v>195.16710588000001</v>
      </c>
      <c r="DU35" s="840">
        <v>184.28403159000001</v>
      </c>
      <c r="DV35" s="840">
        <v>179.63556582000001</v>
      </c>
      <c r="DW35" s="840">
        <v>208.18651696000001</v>
      </c>
      <c r="DX35" s="840">
        <v>212.40827175000001</v>
      </c>
      <c r="DY35" s="840">
        <v>208.06930599</v>
      </c>
      <c r="DZ35" s="840">
        <v>201.00597325999999</v>
      </c>
      <c r="EA35" s="840">
        <v>209.58608794</v>
      </c>
      <c r="EB35" s="840">
        <v>201.32968385000001</v>
      </c>
      <c r="EC35" s="840">
        <v>207.52847020999999</v>
      </c>
      <c r="ED35" s="840">
        <v>202.13608288</v>
      </c>
      <c r="EE35" s="840">
        <v>201.25370178</v>
      </c>
      <c r="EF35" s="840">
        <v>192.43380735</v>
      </c>
      <c r="EG35" s="840">
        <v>196.96978877999999</v>
      </c>
      <c r="EH35" s="840">
        <v>191.04293987</v>
      </c>
      <c r="EI35" s="840">
        <v>186.53618641</v>
      </c>
      <c r="EJ35" s="840">
        <v>173.57288341</v>
      </c>
      <c r="EK35" s="840">
        <v>190.94692502999999</v>
      </c>
      <c r="EL35" s="840">
        <v>190.24333827999999</v>
      </c>
      <c r="EM35" s="840">
        <v>196.69555702</v>
      </c>
      <c r="EN35" s="840">
        <v>181.83079362000001</v>
      </c>
      <c r="EO35" s="840">
        <v>179.36281818</v>
      </c>
      <c r="EP35" s="840">
        <v>176.24189544999999</v>
      </c>
      <c r="EQ35" s="840">
        <v>167.28669507000001</v>
      </c>
      <c r="ER35" s="840">
        <v>167.54342237</v>
      </c>
      <c r="ES35" s="840">
        <v>183.19436217000001</v>
      </c>
      <c r="ET35" s="840">
        <v>172.72250124999999</v>
      </c>
      <c r="EU35" s="840">
        <v>181.18749908000001</v>
      </c>
      <c r="EV35" s="840">
        <v>173.84151822000001</v>
      </c>
      <c r="EW35" s="840">
        <v>179.49143225</v>
      </c>
      <c r="EX35" s="840">
        <v>181.61367679</v>
      </c>
      <c r="EY35" s="840">
        <v>185.68308393000001</v>
      </c>
      <c r="EZ35" s="840">
        <v>182.16196568000001</v>
      </c>
      <c r="FA35" s="840">
        <v>194.13720841</v>
      </c>
      <c r="FB35" s="840">
        <v>199.46496968</v>
      </c>
      <c r="FC35" s="840">
        <v>194.92861108</v>
      </c>
      <c r="FD35" s="840">
        <v>192.93329936999999</v>
      </c>
      <c r="FE35" s="840">
        <v>195.61336713</v>
      </c>
      <c r="FF35" s="840">
        <v>183.70563157000001</v>
      </c>
      <c r="FG35" s="840">
        <v>184.19487688999999</v>
      </c>
      <c r="FH35" s="1717" t="s">
        <v>4066</v>
      </c>
      <c r="FM35" s="321"/>
    </row>
    <row r="36" spans="1:169" s="736" customFormat="1" ht="39" customHeight="1">
      <c r="A36" s="2306" t="s">
        <v>3278</v>
      </c>
      <c r="B36" s="2306"/>
      <c r="C36" s="2306"/>
      <c r="D36" s="2306"/>
      <c r="E36" s="2306"/>
      <c r="F36" s="2306"/>
      <c r="G36" s="2306"/>
      <c r="H36" s="2306"/>
      <c r="I36" s="2306"/>
      <c r="J36" s="2306"/>
      <c r="K36" s="2306"/>
      <c r="L36" s="2306"/>
      <c r="M36" s="2306"/>
      <c r="N36" s="2306"/>
      <c r="O36" s="2306"/>
      <c r="P36" s="2306"/>
      <c r="Q36" s="2306"/>
      <c r="R36" s="2306"/>
      <c r="S36" s="2306"/>
      <c r="T36" s="2306"/>
      <c r="U36" s="2306"/>
      <c r="V36" s="2306"/>
      <c r="W36" s="2306"/>
      <c r="X36" s="2306"/>
      <c r="Y36" s="2306"/>
      <c r="Z36" s="2306"/>
      <c r="AA36" s="2306"/>
      <c r="AB36" s="2306"/>
      <c r="AC36" s="2306"/>
      <c r="AD36" s="2306"/>
      <c r="AE36" s="2306"/>
      <c r="AF36" s="2306"/>
      <c r="AG36" s="2306"/>
      <c r="AH36" s="2306"/>
      <c r="AI36" s="2306"/>
      <c r="AJ36" s="2306"/>
      <c r="AK36" s="2306"/>
      <c r="AL36" s="2306"/>
      <c r="AM36" s="2306"/>
      <c r="AN36" s="2306"/>
      <c r="AO36" s="2306"/>
      <c r="AP36" s="2306"/>
      <c r="AQ36" s="2306"/>
      <c r="AR36" s="2306"/>
      <c r="AS36" s="2306"/>
      <c r="AT36" s="2306"/>
      <c r="AU36" s="2306"/>
      <c r="AV36" s="2306"/>
      <c r="AW36" s="2306"/>
      <c r="AX36" s="2306"/>
      <c r="AY36" s="2306"/>
      <c r="AZ36" s="2306"/>
      <c r="BA36" s="2306"/>
      <c r="BB36" s="2306"/>
      <c r="BC36" s="2306"/>
      <c r="BD36" s="2306"/>
      <c r="BE36" s="2306"/>
      <c r="BF36" s="2306"/>
      <c r="BG36" s="2306"/>
      <c r="BH36" s="2306"/>
      <c r="BI36" s="2306"/>
      <c r="BJ36" s="2306"/>
      <c r="BK36" s="2306"/>
      <c r="BL36" s="2306"/>
      <c r="BM36" s="2306"/>
      <c r="BN36" s="2306"/>
      <c r="BO36" s="2306"/>
      <c r="BP36" s="2306"/>
      <c r="BQ36" s="2306"/>
      <c r="BR36" s="2306"/>
      <c r="BS36" s="2306"/>
      <c r="BT36" s="2306"/>
      <c r="BU36" s="2306"/>
      <c r="BV36" s="2306"/>
      <c r="BW36" s="2306"/>
      <c r="BX36" s="2306"/>
      <c r="BY36" s="2306"/>
      <c r="BZ36" s="2306"/>
      <c r="CA36" s="2306"/>
      <c r="CB36" s="2306"/>
      <c r="CC36" s="2306"/>
      <c r="CD36" s="2306"/>
      <c r="CE36" s="2306"/>
      <c r="CF36" s="2306"/>
      <c r="CG36" s="2306"/>
      <c r="CH36" s="2306"/>
      <c r="CI36" s="2306"/>
      <c r="CJ36" s="2306"/>
      <c r="CK36" s="2306"/>
      <c r="CL36" s="2306"/>
      <c r="CM36" s="2306"/>
      <c r="CN36" s="2306"/>
      <c r="CO36" s="2306"/>
      <c r="CP36" s="2306"/>
      <c r="CQ36" s="2306"/>
      <c r="CR36" s="2306"/>
      <c r="CS36" s="2306"/>
      <c r="CT36" s="2306"/>
      <c r="CU36" s="2306"/>
      <c r="CV36" s="2306"/>
      <c r="CW36" s="2306"/>
      <c r="CX36" s="2306"/>
      <c r="CY36" s="2306"/>
      <c r="CZ36" s="2306"/>
      <c r="DA36" s="2306"/>
      <c r="DB36" s="2306"/>
      <c r="DC36" s="2306"/>
      <c r="DD36" s="2306"/>
      <c r="DE36" s="2306"/>
      <c r="DF36" s="2306"/>
      <c r="DG36" s="2306"/>
      <c r="DH36" s="2306"/>
      <c r="DI36" s="2306"/>
      <c r="DJ36" s="2306"/>
      <c r="DK36" s="2306"/>
      <c r="DL36" s="2306"/>
      <c r="DM36" s="2306"/>
      <c r="DN36" s="2306"/>
      <c r="DO36" s="2306"/>
      <c r="DP36" s="2306"/>
      <c r="DQ36" s="2306"/>
      <c r="DR36" s="2306"/>
      <c r="DS36" s="2306"/>
      <c r="DT36" s="2306"/>
      <c r="DU36" s="2306"/>
      <c r="DV36" s="2306"/>
      <c r="DW36" s="2306"/>
      <c r="DX36" s="2306"/>
      <c r="DY36" s="2306"/>
      <c r="DZ36" s="2306"/>
      <c r="EA36" s="2307"/>
      <c r="EB36" s="2307"/>
      <c r="EC36" s="2307"/>
      <c r="ED36" s="2307"/>
      <c r="EE36" s="2307"/>
      <c r="EF36" s="2307"/>
      <c r="EG36" s="2307"/>
      <c r="EH36" s="2307"/>
      <c r="EI36" s="2307"/>
      <c r="EJ36" s="2307"/>
      <c r="EK36" s="2307"/>
      <c r="EL36" s="2307"/>
      <c r="EM36" s="2307"/>
      <c r="EN36" s="2307"/>
      <c r="EO36" s="2307"/>
      <c r="EP36" s="2307"/>
      <c r="EQ36" s="2307"/>
      <c r="ER36" s="2307"/>
      <c r="ES36" s="2307"/>
      <c r="ET36" s="2307"/>
      <c r="EU36" s="2307"/>
      <c r="EV36" s="2307"/>
      <c r="EW36" s="2307"/>
      <c r="EX36" s="2307"/>
      <c r="EY36" s="2307"/>
      <c r="EZ36" s="2307"/>
      <c r="FA36" s="2307"/>
      <c r="FB36" s="2307"/>
      <c r="FC36" s="2307"/>
      <c r="FD36" s="2307"/>
      <c r="FE36" s="2307"/>
      <c r="FF36" s="2307"/>
      <c r="FG36" s="2306"/>
    </row>
    <row r="37" spans="1:169" ht="18">
      <c r="A37" s="759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T37" s="270"/>
      <c r="BU37" s="270"/>
      <c r="BV37" s="270"/>
      <c r="BW37" s="270"/>
      <c r="BX37" s="270"/>
      <c r="BY37" s="270"/>
      <c r="BZ37" s="270"/>
      <c r="CA37" s="270"/>
      <c r="CB37" s="270"/>
      <c r="CC37" s="270"/>
      <c r="CD37" s="270"/>
      <c r="CE37" s="270"/>
      <c r="CF37" s="270"/>
      <c r="CG37" s="270"/>
      <c r="CH37" s="270"/>
      <c r="CI37" s="270"/>
      <c r="CJ37" s="270"/>
      <c r="CK37" s="270"/>
      <c r="CL37" s="270"/>
    </row>
    <row r="38" spans="1:169" ht="18">
      <c r="A38" s="760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  <c r="CF38" s="271"/>
      <c r="CG38" s="271"/>
      <c r="CH38" s="271"/>
      <c r="CI38" s="271"/>
      <c r="CJ38" s="271"/>
      <c r="CK38" s="271"/>
      <c r="CL38" s="271"/>
    </row>
    <row r="39" spans="1:169" ht="18">
      <c r="A39" s="759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0"/>
      <c r="BP39" s="270"/>
      <c r="BQ39" s="270"/>
      <c r="BR39" s="270"/>
      <c r="BS39" s="270"/>
      <c r="BT39" s="270"/>
      <c r="BU39" s="270"/>
      <c r="BV39" s="270"/>
      <c r="BW39" s="270"/>
      <c r="BX39" s="270"/>
      <c r="BY39" s="270"/>
      <c r="BZ39" s="270"/>
      <c r="CA39" s="270"/>
      <c r="CB39" s="270"/>
      <c r="CC39" s="270"/>
      <c r="CD39" s="270"/>
      <c r="CE39" s="270"/>
      <c r="CF39" s="270"/>
      <c r="CG39" s="270"/>
      <c r="CH39" s="270"/>
      <c r="CI39" s="270"/>
      <c r="CJ39" s="270"/>
      <c r="CK39" s="270"/>
      <c r="CL39" s="270"/>
    </row>
    <row r="40" spans="1:169" ht="18">
      <c r="A40" s="760"/>
      <c r="B40" s="271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  <c r="CF40" s="271"/>
      <c r="CG40" s="271"/>
      <c r="CH40" s="271"/>
      <c r="CI40" s="271"/>
      <c r="CJ40" s="271"/>
      <c r="CK40" s="271"/>
      <c r="CL40" s="271"/>
    </row>
    <row r="41" spans="1:169" ht="18">
      <c r="A41" s="759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70"/>
      <c r="AS41" s="270"/>
      <c r="AT41" s="270"/>
      <c r="AU41" s="270"/>
      <c r="AV41" s="270"/>
      <c r="AW41" s="270"/>
      <c r="AX41" s="270"/>
      <c r="AY41" s="270"/>
      <c r="AZ41" s="270"/>
      <c r="BA41" s="270"/>
      <c r="BB41" s="270"/>
      <c r="BC41" s="270"/>
      <c r="BD41" s="270"/>
      <c r="BE41" s="270"/>
      <c r="BF41" s="270"/>
      <c r="BG41" s="270"/>
      <c r="BH41" s="270"/>
      <c r="BI41" s="270"/>
      <c r="BJ41" s="270"/>
      <c r="BK41" s="270"/>
      <c r="BL41" s="270"/>
      <c r="BM41" s="270"/>
      <c r="BN41" s="270"/>
      <c r="BO41" s="270"/>
      <c r="BP41" s="270"/>
      <c r="BQ41" s="270"/>
      <c r="BR41" s="270"/>
      <c r="BS41" s="270"/>
      <c r="BT41" s="270"/>
      <c r="BU41" s="270"/>
      <c r="BV41" s="270"/>
      <c r="BW41" s="270"/>
      <c r="BX41" s="270"/>
      <c r="BY41" s="270"/>
      <c r="BZ41" s="270"/>
      <c r="CA41" s="270"/>
      <c r="CB41" s="270"/>
      <c r="CC41" s="270"/>
      <c r="CD41" s="270"/>
      <c r="CE41" s="270"/>
      <c r="CF41" s="270"/>
      <c r="CG41" s="270"/>
      <c r="CH41" s="270"/>
      <c r="CI41" s="270"/>
      <c r="CJ41" s="270"/>
      <c r="CK41" s="270"/>
      <c r="CL41" s="270"/>
    </row>
    <row r="42" spans="1:169" ht="18">
      <c r="A42" s="761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0"/>
      <c r="AZ42" s="270"/>
      <c r="BA42" s="270"/>
      <c r="BB42" s="270"/>
      <c r="BC42" s="270"/>
      <c r="BD42" s="270"/>
      <c r="BE42" s="270"/>
      <c r="BF42" s="270"/>
      <c r="BG42" s="270"/>
      <c r="BH42" s="270"/>
      <c r="BI42" s="270"/>
      <c r="BJ42" s="270"/>
      <c r="BK42" s="270"/>
      <c r="BL42" s="270"/>
      <c r="BM42" s="270"/>
      <c r="BN42" s="270"/>
      <c r="BO42" s="270"/>
      <c r="BP42" s="270"/>
      <c r="BQ42" s="270"/>
      <c r="BR42" s="270"/>
      <c r="BS42" s="270"/>
      <c r="BT42" s="270"/>
      <c r="BU42" s="270"/>
      <c r="BV42" s="270"/>
      <c r="BW42" s="270"/>
      <c r="BX42" s="270"/>
      <c r="BY42" s="270"/>
      <c r="BZ42" s="270"/>
      <c r="CA42" s="270"/>
      <c r="CB42" s="270"/>
      <c r="CC42" s="270"/>
      <c r="CD42" s="270"/>
      <c r="CE42" s="270"/>
      <c r="CF42" s="270"/>
      <c r="CG42" s="270"/>
      <c r="CH42" s="270"/>
      <c r="CI42" s="270"/>
      <c r="CJ42" s="270"/>
      <c r="CK42" s="270"/>
      <c r="CL42" s="270"/>
    </row>
    <row r="43" spans="1:169" ht="18">
      <c r="A43" s="762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  <c r="BX43" s="271"/>
      <c r="BY43" s="271"/>
      <c r="BZ43" s="271"/>
      <c r="CA43" s="271"/>
      <c r="CB43" s="271"/>
      <c r="CC43" s="271"/>
      <c r="CD43" s="271"/>
      <c r="CE43" s="271"/>
      <c r="CF43" s="271"/>
      <c r="CG43" s="271"/>
      <c r="CH43" s="271"/>
      <c r="CI43" s="271"/>
      <c r="CJ43" s="271"/>
      <c r="CK43" s="271"/>
      <c r="CL43" s="271"/>
    </row>
    <row r="44" spans="1:169" ht="18">
      <c r="A44" s="759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  <c r="BP44" s="270"/>
      <c r="BQ44" s="270"/>
      <c r="BR44" s="270"/>
      <c r="BS44" s="270"/>
      <c r="BT44" s="270"/>
      <c r="BU44" s="270"/>
      <c r="BV44" s="270"/>
      <c r="BW44" s="270"/>
      <c r="BX44" s="270"/>
      <c r="BY44" s="270"/>
      <c r="BZ44" s="270"/>
      <c r="CA44" s="270"/>
      <c r="CB44" s="270"/>
      <c r="CC44" s="270"/>
      <c r="CD44" s="270"/>
      <c r="CE44" s="270"/>
      <c r="CF44" s="270"/>
      <c r="CG44" s="270"/>
      <c r="CH44" s="270"/>
      <c r="CI44" s="270"/>
      <c r="CJ44" s="270"/>
      <c r="CK44" s="270"/>
      <c r="CL44" s="270"/>
    </row>
    <row r="45" spans="1:169" ht="18">
      <c r="A45" s="760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  <c r="BX45" s="271"/>
      <c r="BY45" s="271"/>
      <c r="BZ45" s="271"/>
      <c r="CA45" s="271"/>
      <c r="CB45" s="271"/>
      <c r="CC45" s="271"/>
      <c r="CD45" s="271"/>
      <c r="CE45" s="271"/>
      <c r="CF45" s="271"/>
      <c r="CG45" s="271"/>
      <c r="CH45" s="271"/>
      <c r="CI45" s="271"/>
      <c r="CJ45" s="271"/>
      <c r="CK45" s="271"/>
      <c r="CL45" s="271"/>
    </row>
    <row r="46" spans="1:169" ht="18">
      <c r="A46" s="759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0"/>
      <c r="AZ46" s="270"/>
      <c r="BA46" s="270"/>
      <c r="BB46" s="270"/>
      <c r="BC46" s="270"/>
      <c r="BD46" s="270"/>
      <c r="BE46" s="270"/>
      <c r="BF46" s="270"/>
      <c r="BG46" s="270"/>
      <c r="BH46" s="270"/>
      <c r="BI46" s="270"/>
      <c r="BJ46" s="270"/>
      <c r="BK46" s="270"/>
      <c r="BL46" s="270"/>
      <c r="BM46" s="270"/>
      <c r="BN46" s="270"/>
      <c r="BO46" s="270"/>
      <c r="BP46" s="270"/>
      <c r="BQ46" s="270"/>
      <c r="BR46" s="270"/>
      <c r="BS46" s="270"/>
      <c r="BT46" s="270"/>
      <c r="BU46" s="270"/>
      <c r="BV46" s="270"/>
      <c r="BW46" s="270"/>
      <c r="BX46" s="270"/>
      <c r="BY46" s="270"/>
      <c r="BZ46" s="270"/>
      <c r="CA46" s="270"/>
      <c r="CB46" s="270"/>
      <c r="CC46" s="270"/>
      <c r="CD46" s="270"/>
      <c r="CE46" s="270"/>
      <c r="CF46" s="270"/>
      <c r="CG46" s="270"/>
      <c r="CH46" s="270"/>
      <c r="CI46" s="270"/>
      <c r="CJ46" s="270"/>
      <c r="CK46" s="270"/>
      <c r="CL46" s="270"/>
    </row>
    <row r="47" spans="1:169" ht="18">
      <c r="A47" s="760"/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  <c r="BG47" s="271"/>
      <c r="BH47" s="271"/>
      <c r="BI47" s="271"/>
      <c r="BJ47" s="271"/>
      <c r="BK47" s="271"/>
      <c r="BL47" s="271"/>
      <c r="BM47" s="271"/>
      <c r="BN47" s="271"/>
      <c r="BO47" s="271"/>
      <c r="BP47" s="271"/>
      <c r="BQ47" s="271"/>
      <c r="BR47" s="271"/>
      <c r="BS47" s="271"/>
      <c r="BT47" s="271"/>
      <c r="BU47" s="271"/>
      <c r="BV47" s="271"/>
      <c r="BW47" s="271"/>
      <c r="BX47" s="271"/>
      <c r="BY47" s="271"/>
      <c r="BZ47" s="271"/>
      <c r="CA47" s="271"/>
      <c r="CB47" s="271"/>
      <c r="CC47" s="271"/>
      <c r="CD47" s="271"/>
      <c r="CE47" s="271"/>
      <c r="CF47" s="271"/>
      <c r="CG47" s="271"/>
      <c r="CH47" s="271"/>
      <c r="CI47" s="271"/>
      <c r="CJ47" s="271"/>
      <c r="CK47" s="271"/>
      <c r="CL47" s="271"/>
    </row>
    <row r="48" spans="1:169" ht="18">
      <c r="A48" s="759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0"/>
      <c r="AZ48" s="270"/>
      <c r="BA48" s="270"/>
      <c r="BB48" s="270"/>
      <c r="BC48" s="270"/>
      <c r="BD48" s="270"/>
      <c r="BE48" s="270"/>
      <c r="BF48" s="270"/>
      <c r="BG48" s="270"/>
      <c r="BH48" s="270"/>
      <c r="BI48" s="270"/>
      <c r="BJ48" s="270"/>
      <c r="BK48" s="270"/>
      <c r="BL48" s="270"/>
      <c r="BM48" s="270"/>
      <c r="BN48" s="270"/>
      <c r="BO48" s="270"/>
      <c r="BP48" s="270"/>
      <c r="BQ48" s="270"/>
      <c r="BR48" s="270"/>
      <c r="BS48" s="270"/>
      <c r="BT48" s="270"/>
      <c r="BU48" s="270"/>
      <c r="BV48" s="270"/>
      <c r="BW48" s="270"/>
      <c r="BX48" s="270"/>
      <c r="BY48" s="270"/>
      <c r="BZ48" s="270"/>
      <c r="CA48" s="270"/>
      <c r="CB48" s="270"/>
      <c r="CC48" s="270"/>
      <c r="CD48" s="270"/>
      <c r="CE48" s="270"/>
      <c r="CF48" s="270"/>
      <c r="CG48" s="270"/>
      <c r="CH48" s="270"/>
      <c r="CI48" s="270"/>
      <c r="CJ48" s="270"/>
      <c r="CK48" s="270"/>
      <c r="CL48" s="270"/>
    </row>
    <row r="49" spans="1:90" ht="18">
      <c r="A49" s="763"/>
      <c r="B49" s="322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2"/>
      <c r="AJ49" s="322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2"/>
      <c r="AZ49" s="322"/>
      <c r="BA49" s="322"/>
      <c r="BB49" s="322"/>
      <c r="BC49" s="322"/>
      <c r="BD49" s="322"/>
      <c r="BE49" s="322"/>
      <c r="BF49" s="322"/>
      <c r="BG49" s="322"/>
      <c r="BH49" s="322"/>
      <c r="BI49" s="322"/>
      <c r="BJ49" s="322"/>
      <c r="BK49" s="322"/>
      <c r="BL49" s="322"/>
      <c r="BM49" s="322"/>
      <c r="BN49" s="322"/>
      <c r="BO49" s="322"/>
      <c r="BP49" s="322"/>
      <c r="BQ49" s="322"/>
      <c r="BR49" s="322"/>
      <c r="BS49" s="322"/>
      <c r="BT49" s="322"/>
      <c r="BU49" s="322"/>
      <c r="BV49" s="322"/>
      <c r="BW49" s="322"/>
      <c r="BX49" s="322"/>
      <c r="BY49" s="322"/>
      <c r="BZ49" s="322"/>
      <c r="CA49" s="322"/>
      <c r="CB49" s="322"/>
      <c r="CC49" s="322"/>
      <c r="CD49" s="322"/>
      <c r="CE49" s="322"/>
      <c r="CF49" s="322"/>
      <c r="CG49" s="322"/>
      <c r="CH49" s="322"/>
      <c r="CI49" s="322"/>
      <c r="CJ49" s="322"/>
      <c r="CK49" s="322"/>
      <c r="CL49" s="322"/>
    </row>
    <row r="50" spans="1:90" ht="18.75">
      <c r="A50" s="764"/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2"/>
      <c r="U50" s="322"/>
      <c r="V50" s="322"/>
      <c r="W50" s="322"/>
      <c r="X50" s="322"/>
      <c r="Y50" s="322"/>
      <c r="Z50" s="322"/>
      <c r="AA50" s="322"/>
      <c r="AB50" s="322"/>
      <c r="AC50" s="322"/>
      <c r="AD50" s="322"/>
      <c r="AE50" s="322"/>
      <c r="AF50" s="322"/>
      <c r="AG50" s="322"/>
      <c r="AH50" s="322"/>
      <c r="AI50" s="322"/>
      <c r="AJ50" s="322"/>
      <c r="AK50" s="322"/>
      <c r="AL50" s="322"/>
      <c r="AM50" s="322"/>
      <c r="AN50" s="322"/>
      <c r="AO50" s="322"/>
      <c r="AP50" s="322"/>
      <c r="AQ50" s="322"/>
      <c r="AR50" s="322"/>
      <c r="AS50" s="322"/>
      <c r="AT50" s="322"/>
      <c r="AU50" s="322"/>
      <c r="AV50" s="322"/>
      <c r="AW50" s="322"/>
      <c r="AX50" s="322"/>
      <c r="AY50" s="322"/>
      <c r="AZ50" s="322"/>
      <c r="BA50" s="322"/>
      <c r="BB50" s="322"/>
      <c r="BC50" s="322"/>
      <c r="BD50" s="322"/>
      <c r="BE50" s="322"/>
      <c r="BF50" s="322"/>
      <c r="BG50" s="322"/>
      <c r="BH50" s="322"/>
      <c r="BI50" s="322"/>
      <c r="BJ50" s="322"/>
      <c r="BK50" s="322"/>
      <c r="BL50" s="322"/>
      <c r="BM50" s="322"/>
      <c r="BN50" s="322"/>
      <c r="BO50" s="322"/>
      <c r="BP50" s="322"/>
      <c r="BQ50" s="322"/>
      <c r="BR50" s="322"/>
      <c r="BS50" s="322"/>
      <c r="BT50" s="322"/>
      <c r="BU50" s="322"/>
      <c r="BV50" s="322"/>
      <c r="BW50" s="322"/>
      <c r="BX50" s="322"/>
      <c r="BY50" s="322"/>
      <c r="BZ50" s="322"/>
      <c r="CA50" s="322"/>
      <c r="CB50" s="322"/>
      <c r="CC50" s="322"/>
      <c r="CD50" s="322"/>
      <c r="CE50" s="322"/>
      <c r="CF50" s="322"/>
      <c r="CG50" s="322"/>
      <c r="CH50" s="322"/>
      <c r="CI50" s="322"/>
      <c r="CJ50" s="322"/>
      <c r="CK50" s="322"/>
      <c r="CL50" s="322"/>
    </row>
  </sheetData>
  <mergeCells count="17">
    <mergeCell ref="EP6:FA6"/>
    <mergeCell ref="A2:FH2"/>
    <mergeCell ref="A6:A8"/>
    <mergeCell ref="FH6:FH8"/>
    <mergeCell ref="A3:FH3"/>
    <mergeCell ref="A36:FG36"/>
    <mergeCell ref="A5:FG5"/>
    <mergeCell ref="B6:M6"/>
    <mergeCell ref="N6:Y6"/>
    <mergeCell ref="Z6:AK6"/>
    <mergeCell ref="AV6:AW6"/>
    <mergeCell ref="BV6:CG6"/>
    <mergeCell ref="CT6:DE6"/>
    <mergeCell ref="DF6:DQ6"/>
    <mergeCell ref="DR6:EC6"/>
    <mergeCell ref="ED6:EO6"/>
    <mergeCell ref="FB6:FG6"/>
  </mergeCells>
  <pageMargins left="0.7" right="0.7" top="0.75" bottom="0.75" header="0.3" footer="0.3"/>
  <pageSetup scale="2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40">
    <tabColor rgb="FF92D050"/>
  </sheetPr>
  <dimension ref="A1:KP63"/>
  <sheetViews>
    <sheetView showGridLines="0" view="pageBreakPreview" zoomScale="66" zoomScaleNormal="100" zoomScaleSheetLayoutView="66" workbookViewId="0">
      <selection activeCell="F40" sqref="F40"/>
    </sheetView>
  </sheetViews>
  <sheetFormatPr defaultColWidth="9.140625" defaultRowHeight="15"/>
  <cols>
    <col min="1" max="1" width="61.42578125" style="765" customWidth="1"/>
    <col min="2" max="12" width="13.5703125" style="319" hidden="1" customWidth="1"/>
    <col min="13" max="13" width="19" style="319" hidden="1" customWidth="1"/>
    <col min="14" max="23" width="13.5703125" style="319" hidden="1" customWidth="1"/>
    <col min="24" max="24" width="13.28515625" style="319" hidden="1" customWidth="1"/>
    <col min="25" max="25" width="18.140625" style="319" hidden="1" customWidth="1"/>
    <col min="26" max="33" width="14.7109375" style="319" hidden="1" customWidth="1"/>
    <col min="34" max="34" width="17.85546875" style="319" hidden="1" customWidth="1"/>
    <col min="35" max="35" width="16.140625" style="319" hidden="1" customWidth="1"/>
    <col min="36" max="36" width="14.7109375" style="319" hidden="1" customWidth="1"/>
    <col min="37" max="37" width="16.85546875" style="319" hidden="1" customWidth="1"/>
    <col min="38" max="44" width="14.7109375" style="319" hidden="1" customWidth="1"/>
    <col min="45" max="60" width="16" style="319" hidden="1" customWidth="1"/>
    <col min="61" max="61" width="13.28515625" style="319" customWidth="1"/>
    <col min="62" max="72" width="16" style="319" hidden="1" customWidth="1"/>
    <col min="73" max="73" width="13.28515625" style="319" customWidth="1"/>
    <col min="74" max="82" width="16" style="319" hidden="1" customWidth="1"/>
    <col min="83" max="84" width="17.5703125" style="319" hidden="1" customWidth="1"/>
    <col min="85" max="85" width="13.28515625" style="319" customWidth="1"/>
    <col min="86" max="96" width="15.85546875" style="319" hidden="1" customWidth="1"/>
    <col min="97" max="97" width="13.28515625" style="319" customWidth="1"/>
    <col min="98" max="108" width="13.28515625" style="319" hidden="1" customWidth="1"/>
    <col min="109" max="109" width="13.28515625" style="319" customWidth="1"/>
    <col min="110" max="120" width="13.28515625" style="319" hidden="1" customWidth="1"/>
    <col min="121" max="121" width="13.28515625" style="319" customWidth="1"/>
    <col min="122" max="132" width="13.28515625" style="319" hidden="1" customWidth="1"/>
    <col min="133" max="133" width="13.28515625" style="319" customWidth="1"/>
    <col min="134" max="144" width="13.28515625" style="319" hidden="1" customWidth="1"/>
    <col min="145" max="145" width="13.28515625" style="319" customWidth="1"/>
    <col min="146" max="156" width="13.28515625" style="319" hidden="1" customWidth="1"/>
    <col min="157" max="162" width="13.28515625" style="319" customWidth="1"/>
    <col min="163" max="163" width="13.7109375" style="319" customWidth="1"/>
    <col min="164" max="164" width="50.28515625" style="319" customWidth="1"/>
    <col min="165" max="166" width="9.140625" style="319"/>
    <col min="167" max="167" width="0" style="319" hidden="1" customWidth="1"/>
    <col min="168" max="16384" width="9.140625" style="319"/>
  </cols>
  <sheetData>
    <row r="1" spans="1:302" ht="18.75" customHeight="1"/>
    <row r="2" spans="1:302" ht="39" customHeight="1">
      <c r="A2" s="2310" t="s">
        <v>3279</v>
      </c>
      <c r="B2" s="2310"/>
      <c r="C2" s="2310"/>
      <c r="D2" s="2310"/>
      <c r="E2" s="2310"/>
      <c r="F2" s="2310"/>
      <c r="G2" s="2310"/>
      <c r="H2" s="2310"/>
      <c r="I2" s="2310"/>
      <c r="J2" s="2310"/>
      <c r="K2" s="2310"/>
      <c r="L2" s="2310"/>
      <c r="M2" s="2310"/>
      <c r="N2" s="2310"/>
      <c r="O2" s="2310"/>
      <c r="P2" s="2310"/>
      <c r="Q2" s="2310"/>
      <c r="R2" s="2310"/>
      <c r="S2" s="2310"/>
      <c r="T2" s="2310"/>
      <c r="U2" s="2310"/>
      <c r="V2" s="2310"/>
      <c r="W2" s="2310"/>
      <c r="X2" s="2310"/>
      <c r="Y2" s="2310"/>
      <c r="Z2" s="2310"/>
      <c r="AA2" s="2310"/>
      <c r="AB2" s="2310"/>
      <c r="AC2" s="2310"/>
      <c r="AD2" s="2310"/>
      <c r="AE2" s="2310"/>
      <c r="AF2" s="2310"/>
      <c r="AG2" s="2310"/>
      <c r="AH2" s="2310"/>
      <c r="AI2" s="2310"/>
      <c r="AJ2" s="2310"/>
      <c r="AK2" s="2310"/>
      <c r="AL2" s="2310"/>
      <c r="AM2" s="2310"/>
      <c r="AN2" s="2310"/>
      <c r="AO2" s="2310"/>
      <c r="AP2" s="2310"/>
      <c r="AQ2" s="2310"/>
      <c r="AR2" s="2310"/>
      <c r="AS2" s="2310"/>
      <c r="AT2" s="2310"/>
      <c r="AU2" s="2310"/>
      <c r="AV2" s="2310"/>
      <c r="AW2" s="2310"/>
      <c r="AX2" s="2310"/>
      <c r="AY2" s="2310"/>
      <c r="AZ2" s="2310"/>
      <c r="BA2" s="2310"/>
      <c r="BB2" s="2310"/>
      <c r="BC2" s="2310"/>
      <c r="BD2" s="2310"/>
      <c r="BE2" s="2310"/>
      <c r="BF2" s="2310"/>
      <c r="BG2" s="2310"/>
      <c r="BH2" s="2310"/>
      <c r="BI2" s="2310"/>
      <c r="BJ2" s="2310"/>
      <c r="BK2" s="2310"/>
      <c r="BL2" s="2310"/>
      <c r="BM2" s="2310"/>
      <c r="BN2" s="2310"/>
      <c r="BO2" s="2310"/>
      <c r="BP2" s="2310"/>
      <c r="BQ2" s="2310"/>
      <c r="BR2" s="2310"/>
      <c r="BS2" s="2310"/>
      <c r="BT2" s="2310"/>
      <c r="BU2" s="2310"/>
      <c r="BV2" s="2310"/>
      <c r="BW2" s="2310"/>
      <c r="BX2" s="2310"/>
      <c r="BY2" s="2310"/>
      <c r="BZ2" s="2310"/>
      <c r="CA2" s="2310"/>
      <c r="CB2" s="2310"/>
      <c r="CC2" s="2310"/>
      <c r="CD2" s="2310"/>
      <c r="CE2" s="2310"/>
      <c r="CF2" s="2310"/>
      <c r="CG2" s="2310"/>
      <c r="CH2" s="2310"/>
      <c r="CI2" s="2310"/>
      <c r="CJ2" s="2310"/>
      <c r="CK2" s="2310"/>
      <c r="CL2" s="2310"/>
      <c r="CM2" s="2310"/>
      <c r="CN2" s="2310"/>
      <c r="CO2" s="2310"/>
      <c r="CP2" s="2310"/>
      <c r="CQ2" s="2310"/>
      <c r="CR2" s="2310"/>
      <c r="CS2" s="2310"/>
      <c r="CT2" s="2310"/>
      <c r="CU2" s="2310"/>
      <c r="CV2" s="2310"/>
      <c r="CW2" s="2310"/>
      <c r="CX2" s="2310"/>
      <c r="CY2" s="2310"/>
      <c r="CZ2" s="2310"/>
      <c r="DA2" s="2310"/>
      <c r="DB2" s="2310"/>
      <c r="DC2" s="2310"/>
      <c r="DD2" s="2310"/>
      <c r="DE2" s="2310"/>
      <c r="DF2" s="2310"/>
      <c r="DG2" s="2310"/>
      <c r="DH2" s="2310"/>
      <c r="DI2" s="2310"/>
      <c r="DJ2" s="2310"/>
      <c r="DK2" s="2310"/>
      <c r="DL2" s="2310"/>
      <c r="DM2" s="2310"/>
      <c r="DN2" s="2310"/>
      <c r="DO2" s="2310"/>
      <c r="DP2" s="2310"/>
      <c r="DQ2" s="2310"/>
      <c r="DR2" s="2310"/>
      <c r="DS2" s="2310"/>
      <c r="DT2" s="2310"/>
      <c r="DU2" s="2310"/>
      <c r="DV2" s="2310"/>
      <c r="DW2" s="2310"/>
      <c r="DX2" s="2310"/>
      <c r="DY2" s="2310"/>
      <c r="DZ2" s="2310"/>
      <c r="EA2" s="2310"/>
      <c r="EB2" s="2310"/>
      <c r="EC2" s="2310"/>
      <c r="ED2" s="2310"/>
      <c r="EE2" s="2310"/>
      <c r="EF2" s="2310"/>
      <c r="EG2" s="2310"/>
      <c r="EH2" s="2310"/>
      <c r="EI2" s="2310"/>
      <c r="EJ2" s="2310"/>
      <c r="EK2" s="2310"/>
      <c r="EL2" s="2310"/>
      <c r="EM2" s="2310"/>
      <c r="EN2" s="2310"/>
      <c r="EO2" s="2310"/>
      <c r="EP2" s="2310"/>
      <c r="EQ2" s="2310"/>
      <c r="ER2" s="2310"/>
      <c r="ES2" s="2310"/>
      <c r="ET2" s="2310"/>
      <c r="EU2" s="2310"/>
      <c r="EV2" s="2310"/>
      <c r="EW2" s="2310"/>
      <c r="EX2" s="2310"/>
      <c r="EY2" s="2310"/>
      <c r="EZ2" s="2310"/>
      <c r="FA2" s="2310"/>
      <c r="FB2" s="2310"/>
      <c r="FC2" s="2310"/>
      <c r="FD2" s="2310"/>
      <c r="FE2" s="2310"/>
      <c r="FF2" s="2310"/>
      <c r="FG2" s="2310"/>
      <c r="FH2" s="2310"/>
    </row>
    <row r="3" spans="1:302" ht="39.75" customHeight="1">
      <c r="A3" s="2299" t="s">
        <v>3277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</row>
    <row r="4" spans="1:302" s="648" customFormat="1" ht="20.25" customHeight="1">
      <c r="A4" s="768"/>
      <c r="B4" s="649"/>
      <c r="C4" s="649"/>
      <c r="D4" s="649"/>
      <c r="E4" s="649"/>
      <c r="F4" s="649"/>
      <c r="G4" s="649"/>
      <c r="H4" s="649"/>
      <c r="I4" s="649"/>
      <c r="J4" s="649"/>
      <c r="K4" s="649"/>
      <c r="L4" s="649"/>
      <c r="M4" s="649"/>
      <c r="N4" s="649"/>
      <c r="O4" s="649"/>
      <c r="P4" s="649"/>
      <c r="Q4" s="649"/>
      <c r="R4" s="649"/>
      <c r="S4" s="649"/>
      <c r="T4" s="649"/>
      <c r="U4" s="649"/>
      <c r="V4" s="649"/>
      <c r="W4" s="649"/>
      <c r="X4" s="649"/>
      <c r="Y4" s="649"/>
      <c r="Z4" s="649"/>
      <c r="AA4" s="649"/>
      <c r="AB4" s="649"/>
      <c r="AC4" s="649"/>
      <c r="AD4" s="649"/>
      <c r="AE4" s="649"/>
      <c r="AF4" s="649"/>
      <c r="AG4" s="649"/>
      <c r="AH4" s="649"/>
      <c r="AI4" s="649"/>
      <c r="AJ4" s="649"/>
      <c r="AK4" s="649"/>
      <c r="AL4" s="649"/>
      <c r="AM4" s="649"/>
      <c r="AN4" s="649"/>
      <c r="AO4" s="649"/>
      <c r="AP4" s="649"/>
      <c r="AQ4" s="649"/>
      <c r="AR4" s="649"/>
      <c r="AS4" s="649"/>
      <c r="AT4" s="649"/>
      <c r="AU4" s="649"/>
      <c r="AV4" s="649"/>
      <c r="AW4" s="649"/>
      <c r="AX4" s="649"/>
      <c r="AY4" s="649"/>
      <c r="AZ4" s="649"/>
      <c r="BA4" s="649"/>
      <c r="BB4" s="649"/>
      <c r="BC4" s="649"/>
      <c r="BD4" s="649"/>
      <c r="BE4" s="649"/>
      <c r="BF4" s="649"/>
      <c r="BG4" s="649"/>
      <c r="BH4" s="649"/>
      <c r="BI4" s="649"/>
      <c r="BJ4" s="649"/>
      <c r="BK4" s="649"/>
      <c r="BL4" s="649"/>
      <c r="BM4" s="649"/>
      <c r="BN4" s="649"/>
      <c r="BO4" s="649"/>
      <c r="BP4" s="649"/>
      <c r="BQ4" s="649"/>
      <c r="BR4" s="649"/>
      <c r="BS4" s="649"/>
      <c r="BT4" s="649"/>
      <c r="BU4" s="649"/>
      <c r="BV4" s="649"/>
      <c r="BW4" s="649"/>
      <c r="BX4" s="649"/>
      <c r="BY4" s="649"/>
      <c r="BZ4" s="649"/>
      <c r="CA4" s="649"/>
      <c r="CB4" s="649"/>
      <c r="CC4" s="649"/>
      <c r="CD4" s="649"/>
      <c r="CE4" s="649"/>
      <c r="CF4" s="649"/>
      <c r="CG4" s="649"/>
      <c r="CH4" s="649"/>
      <c r="CI4" s="649"/>
      <c r="CJ4" s="649"/>
      <c r="CK4" s="649"/>
      <c r="CL4" s="649"/>
      <c r="CM4" s="649"/>
      <c r="CN4" s="649"/>
      <c r="CO4" s="649"/>
      <c r="CP4" s="649"/>
      <c r="CQ4" s="649"/>
      <c r="CR4" s="649"/>
      <c r="CS4" s="649"/>
      <c r="CT4" s="649"/>
      <c r="CU4" s="649"/>
      <c r="CV4" s="649"/>
      <c r="CW4" s="649"/>
      <c r="CX4" s="649"/>
      <c r="CY4" s="649"/>
      <c r="CZ4" s="649"/>
      <c r="DA4" s="649"/>
      <c r="DB4" s="649"/>
      <c r="DC4" s="649"/>
      <c r="DD4" s="649"/>
      <c r="DE4" s="649"/>
      <c r="DF4" s="649"/>
      <c r="DG4" s="649"/>
      <c r="DH4" s="649"/>
      <c r="DI4" s="649"/>
      <c r="DJ4" s="649"/>
      <c r="DK4" s="649"/>
      <c r="DL4" s="649"/>
      <c r="DM4" s="649"/>
      <c r="DN4" s="649"/>
      <c r="DO4" s="649"/>
      <c r="DP4" s="649"/>
      <c r="DQ4" s="649"/>
      <c r="DR4" s="649"/>
      <c r="DS4" s="649"/>
      <c r="DT4" s="649"/>
      <c r="DU4" s="649"/>
      <c r="DV4" s="649"/>
      <c r="DW4" s="649"/>
      <c r="DX4" s="649"/>
      <c r="DY4" s="649"/>
      <c r="DZ4" s="649"/>
      <c r="EA4" s="649"/>
      <c r="EB4" s="649"/>
      <c r="EC4" s="649"/>
      <c r="ED4" s="649"/>
      <c r="EE4" s="649"/>
      <c r="EF4" s="649"/>
      <c r="EG4" s="649"/>
      <c r="EH4" s="649"/>
      <c r="EI4" s="649"/>
      <c r="EJ4" s="649"/>
      <c r="EK4" s="649"/>
      <c r="EL4" s="649"/>
      <c r="EM4" s="649"/>
      <c r="EN4" s="649"/>
      <c r="EO4" s="649"/>
      <c r="EP4" s="649"/>
      <c r="EQ4" s="649"/>
      <c r="ER4" s="649"/>
      <c r="ES4" s="649"/>
      <c r="ET4" s="649"/>
      <c r="EU4" s="649"/>
      <c r="EV4" s="649"/>
      <c r="EW4" s="649"/>
      <c r="EX4" s="649"/>
      <c r="EY4" s="649"/>
      <c r="EZ4" s="649"/>
      <c r="FA4" s="649"/>
      <c r="FB4" s="649"/>
      <c r="FC4" s="649"/>
      <c r="FD4" s="649"/>
      <c r="FE4" s="649"/>
      <c r="FF4" s="649"/>
      <c r="FG4" s="649"/>
      <c r="FH4" s="752"/>
      <c r="FI4" s="319"/>
      <c r="FJ4" s="319"/>
      <c r="FK4" s="319"/>
      <c r="FL4" s="319"/>
      <c r="FM4" s="319"/>
      <c r="FN4" s="319"/>
      <c r="FO4" s="319"/>
      <c r="FP4" s="319"/>
      <c r="FQ4" s="319"/>
      <c r="FR4" s="319"/>
      <c r="FS4" s="319"/>
      <c r="FT4" s="319"/>
      <c r="FU4" s="319"/>
      <c r="FV4" s="319"/>
      <c r="FW4" s="319"/>
      <c r="FX4" s="319"/>
      <c r="FY4" s="319"/>
      <c r="FZ4" s="319"/>
      <c r="GA4" s="319"/>
      <c r="GB4" s="319"/>
      <c r="GC4" s="319"/>
      <c r="GD4" s="319"/>
      <c r="GE4" s="319"/>
      <c r="GF4" s="319"/>
      <c r="GG4" s="319"/>
      <c r="GH4" s="319"/>
      <c r="GI4" s="319"/>
      <c r="GJ4" s="319"/>
      <c r="GK4" s="319"/>
      <c r="GL4" s="319"/>
      <c r="GM4" s="319"/>
      <c r="GN4" s="319"/>
      <c r="GO4" s="319"/>
      <c r="GP4" s="319"/>
      <c r="GQ4" s="319"/>
      <c r="GR4" s="319"/>
      <c r="GS4" s="319"/>
      <c r="GT4" s="319"/>
      <c r="GU4" s="319"/>
      <c r="GV4" s="319"/>
      <c r="GW4" s="319"/>
      <c r="GX4" s="319"/>
      <c r="GY4" s="319"/>
      <c r="GZ4" s="319"/>
      <c r="HA4" s="319"/>
      <c r="HB4" s="319"/>
      <c r="HC4" s="319"/>
      <c r="HD4" s="319"/>
      <c r="HE4" s="319"/>
      <c r="HF4" s="319"/>
      <c r="HG4" s="319"/>
      <c r="HH4" s="319"/>
      <c r="HI4" s="319"/>
      <c r="HJ4" s="319"/>
      <c r="HK4" s="319"/>
      <c r="HL4" s="319"/>
      <c r="HM4" s="319"/>
      <c r="HN4" s="319"/>
      <c r="HO4" s="319"/>
      <c r="HP4" s="319"/>
      <c r="HQ4" s="319"/>
      <c r="HR4" s="319"/>
      <c r="HS4" s="319"/>
      <c r="HT4" s="319"/>
      <c r="HU4" s="319"/>
      <c r="HV4" s="319"/>
      <c r="HW4" s="319"/>
      <c r="HX4" s="319"/>
      <c r="HY4" s="319"/>
      <c r="HZ4" s="319"/>
      <c r="IA4" s="319"/>
      <c r="IB4" s="319"/>
      <c r="IC4" s="319"/>
      <c r="ID4" s="319"/>
      <c r="IE4" s="319"/>
      <c r="IF4" s="319"/>
      <c r="IG4" s="319"/>
      <c r="IH4" s="319"/>
      <c r="II4" s="319"/>
      <c r="IJ4" s="319"/>
      <c r="IK4" s="319"/>
      <c r="IL4" s="319"/>
      <c r="IM4" s="319"/>
      <c r="IN4" s="319"/>
      <c r="IO4" s="319"/>
      <c r="IP4" s="319"/>
      <c r="IQ4" s="319"/>
      <c r="IR4" s="319"/>
      <c r="IS4" s="319"/>
      <c r="IT4" s="319"/>
      <c r="IU4" s="319"/>
      <c r="IV4" s="319"/>
      <c r="IW4" s="319"/>
      <c r="IX4" s="319"/>
      <c r="IY4" s="319"/>
      <c r="IZ4" s="319"/>
      <c r="JA4" s="319"/>
      <c r="JB4" s="319"/>
      <c r="JC4" s="319"/>
      <c r="JD4" s="319"/>
      <c r="JE4" s="319"/>
      <c r="JF4" s="319"/>
      <c r="JG4" s="319"/>
      <c r="JH4" s="319"/>
      <c r="JI4" s="319"/>
      <c r="JJ4" s="319"/>
      <c r="JK4" s="319"/>
      <c r="JL4" s="319"/>
      <c r="JM4" s="319"/>
      <c r="JN4" s="319"/>
      <c r="JO4" s="319"/>
      <c r="JP4" s="319"/>
      <c r="JQ4" s="319"/>
      <c r="JR4" s="319"/>
      <c r="JS4" s="319"/>
      <c r="JT4" s="319"/>
      <c r="JU4" s="319"/>
      <c r="JV4" s="319"/>
      <c r="JW4" s="319"/>
      <c r="JX4" s="319"/>
      <c r="JY4" s="319"/>
      <c r="JZ4" s="319"/>
      <c r="KA4" s="319"/>
      <c r="KB4" s="319"/>
      <c r="KC4" s="319"/>
      <c r="KD4" s="319"/>
      <c r="KE4" s="319"/>
      <c r="KF4" s="319"/>
      <c r="KG4" s="319"/>
      <c r="KH4" s="319"/>
      <c r="KI4" s="319"/>
      <c r="KJ4" s="319"/>
      <c r="KK4" s="319"/>
      <c r="KL4" s="319"/>
      <c r="KM4" s="319"/>
      <c r="KN4" s="319"/>
      <c r="KO4" s="319"/>
      <c r="KP4" s="319"/>
    </row>
    <row r="5" spans="1:302" s="648" customFormat="1" ht="20.25" customHeight="1">
      <c r="A5" s="2246"/>
      <c r="B5" s="2246"/>
      <c r="C5" s="2246"/>
      <c r="D5" s="2246"/>
      <c r="E5" s="2246"/>
      <c r="F5" s="2246"/>
      <c r="G5" s="2246"/>
      <c r="H5" s="2246"/>
      <c r="I5" s="2246"/>
      <c r="J5" s="2246"/>
      <c r="K5" s="2246"/>
      <c r="L5" s="2246"/>
      <c r="M5" s="2246"/>
      <c r="N5" s="2246"/>
      <c r="O5" s="2246"/>
      <c r="P5" s="2246"/>
      <c r="Q5" s="2246"/>
      <c r="R5" s="2246"/>
      <c r="S5" s="2246"/>
      <c r="T5" s="2246"/>
      <c r="U5" s="2246"/>
      <c r="V5" s="2246"/>
      <c r="W5" s="2246"/>
      <c r="X5" s="2246"/>
      <c r="Y5" s="2246"/>
      <c r="Z5" s="2246"/>
      <c r="AA5" s="2246"/>
      <c r="AB5" s="2246"/>
      <c r="AC5" s="2246"/>
      <c r="AD5" s="2246"/>
      <c r="AE5" s="2246"/>
      <c r="AF5" s="2246"/>
      <c r="AG5" s="2246"/>
      <c r="AH5" s="2246"/>
      <c r="AI5" s="2246"/>
      <c r="AJ5" s="2246"/>
      <c r="AK5" s="2246"/>
      <c r="AL5" s="2246"/>
      <c r="AM5" s="2246"/>
      <c r="AN5" s="2246"/>
      <c r="AO5" s="2246"/>
      <c r="AP5" s="2246"/>
      <c r="AQ5" s="2246"/>
      <c r="AR5" s="2246"/>
      <c r="AS5" s="2246"/>
      <c r="AT5" s="2246"/>
      <c r="AU5" s="2246"/>
      <c r="AV5" s="2246"/>
      <c r="AW5" s="2246"/>
      <c r="AX5" s="2246"/>
      <c r="AY5" s="2246"/>
      <c r="AZ5" s="2246"/>
      <c r="BA5" s="2246"/>
      <c r="BB5" s="2246"/>
      <c r="BC5" s="2246"/>
      <c r="BD5" s="2246"/>
      <c r="BE5" s="2246"/>
      <c r="BF5" s="2246"/>
      <c r="BG5" s="2246"/>
      <c r="BH5" s="2246"/>
      <c r="BI5" s="2246"/>
      <c r="BJ5" s="2246"/>
      <c r="BK5" s="2246"/>
      <c r="BL5" s="2246"/>
      <c r="BM5" s="2246"/>
      <c r="BN5" s="2246"/>
      <c r="BO5" s="2246"/>
      <c r="BP5" s="2246"/>
      <c r="BQ5" s="2246"/>
      <c r="BR5" s="2246"/>
      <c r="BS5" s="2246"/>
      <c r="BT5" s="2246"/>
      <c r="BU5" s="2246"/>
      <c r="BV5" s="2246"/>
      <c r="BW5" s="2246"/>
      <c r="BX5" s="2246"/>
      <c r="BY5" s="2246"/>
      <c r="BZ5" s="2246"/>
      <c r="CA5" s="2246"/>
      <c r="CB5" s="2246"/>
      <c r="CC5" s="2246"/>
      <c r="CD5" s="2246"/>
      <c r="CE5" s="2246"/>
      <c r="CF5" s="2246"/>
      <c r="CG5" s="2246"/>
      <c r="CH5" s="2246"/>
      <c r="CI5" s="2246"/>
      <c r="CJ5" s="2246"/>
      <c r="CK5" s="2246"/>
      <c r="CL5" s="2246"/>
      <c r="CM5" s="2246"/>
      <c r="CN5" s="2246"/>
      <c r="CO5" s="2246"/>
      <c r="CP5" s="2246"/>
      <c r="CQ5" s="2246"/>
      <c r="CR5" s="2246"/>
      <c r="CS5" s="2246"/>
      <c r="CT5" s="2246"/>
      <c r="CU5" s="2246"/>
      <c r="CV5" s="2246"/>
      <c r="CW5" s="2246"/>
      <c r="CX5" s="2246"/>
      <c r="CY5" s="2246"/>
      <c r="CZ5" s="2246"/>
      <c r="DA5" s="2246"/>
      <c r="DB5" s="2246"/>
      <c r="DC5" s="2246"/>
      <c r="DD5" s="2246"/>
      <c r="DE5" s="2246"/>
      <c r="DF5" s="2246"/>
      <c r="DG5" s="2246"/>
      <c r="DH5" s="2246"/>
      <c r="DI5" s="2246"/>
      <c r="DJ5" s="2246"/>
      <c r="DK5" s="2246"/>
      <c r="DL5" s="2246"/>
      <c r="DM5" s="2246"/>
      <c r="DN5" s="2246"/>
      <c r="DO5" s="2246"/>
      <c r="DP5" s="2246"/>
      <c r="DQ5" s="2246"/>
      <c r="DR5" s="2246"/>
      <c r="DS5" s="2246"/>
      <c r="DT5" s="2246"/>
      <c r="DU5" s="2246"/>
      <c r="DV5" s="2246"/>
      <c r="DW5" s="2246"/>
      <c r="DX5" s="2246"/>
      <c r="DY5" s="2246"/>
      <c r="DZ5" s="2246"/>
      <c r="EA5" s="2246"/>
      <c r="EB5" s="2246"/>
      <c r="EC5" s="2246"/>
      <c r="ED5" s="2246"/>
      <c r="EE5" s="2246"/>
      <c r="EF5" s="2246"/>
      <c r="EG5" s="2246"/>
      <c r="EH5" s="2246"/>
      <c r="EI5" s="2246"/>
      <c r="EJ5" s="2246"/>
      <c r="EK5" s="2246"/>
      <c r="EL5" s="2246"/>
      <c r="EM5" s="2246"/>
      <c r="EN5" s="2246"/>
      <c r="EO5" s="2246"/>
      <c r="EP5" s="2246"/>
      <c r="EQ5" s="2246"/>
      <c r="ER5" s="2246"/>
      <c r="ES5" s="2246"/>
      <c r="ET5" s="2246"/>
      <c r="EU5" s="2246"/>
      <c r="EV5" s="2246"/>
      <c r="EW5" s="2246"/>
      <c r="EX5" s="2246"/>
      <c r="EY5" s="2246"/>
      <c r="EZ5" s="2246"/>
      <c r="FA5" s="2246"/>
      <c r="FB5" s="2246"/>
      <c r="FC5" s="2246"/>
      <c r="FD5" s="2246"/>
      <c r="FE5" s="2246"/>
      <c r="FF5" s="2246"/>
      <c r="FG5" s="2246"/>
      <c r="FH5" s="1709" t="s">
        <v>158</v>
      </c>
      <c r="FI5" s="1719"/>
      <c r="FJ5" s="1719"/>
      <c r="FK5" s="1719"/>
      <c r="FL5" s="1719"/>
      <c r="FM5" s="1719"/>
      <c r="FN5" s="1719"/>
      <c r="FO5" s="1719"/>
      <c r="FP5" s="1719"/>
      <c r="FQ5" s="1719"/>
      <c r="FR5" s="1719"/>
      <c r="FS5" s="1719"/>
      <c r="FT5" s="1719"/>
      <c r="FU5" s="1719"/>
      <c r="FV5" s="1719"/>
      <c r="FW5" s="1719"/>
      <c r="FX5" s="1719"/>
      <c r="FY5" s="1719"/>
      <c r="FZ5" s="1719"/>
      <c r="GA5" s="1719"/>
      <c r="GB5" s="1719"/>
      <c r="GC5" s="1719"/>
      <c r="GD5" s="1719"/>
      <c r="GE5" s="1719"/>
      <c r="GF5" s="1719"/>
      <c r="GG5" s="1719"/>
      <c r="GH5" s="1719"/>
      <c r="GI5" s="1719"/>
      <c r="GJ5" s="1719"/>
      <c r="GK5" s="1719"/>
      <c r="GL5" s="1719"/>
      <c r="GM5" s="1719"/>
      <c r="GN5" s="1719"/>
      <c r="GO5" s="1719"/>
      <c r="GP5" s="1719"/>
      <c r="GQ5" s="1719"/>
      <c r="GR5" s="1719"/>
      <c r="GS5" s="1719"/>
      <c r="GT5" s="1719"/>
      <c r="GU5" s="1719"/>
      <c r="GV5" s="1719"/>
      <c r="GW5" s="1719"/>
      <c r="GX5" s="1719"/>
      <c r="GY5" s="1719"/>
      <c r="GZ5" s="1719"/>
      <c r="HA5" s="1719"/>
      <c r="HB5" s="1719"/>
      <c r="HC5" s="1719"/>
      <c r="HD5" s="1719"/>
      <c r="HE5" s="1719"/>
      <c r="HF5" s="1719"/>
      <c r="HG5" s="1719"/>
      <c r="HH5" s="1719"/>
      <c r="HI5" s="1719"/>
      <c r="HJ5" s="1719"/>
      <c r="HK5" s="1719"/>
      <c r="HL5" s="1719"/>
      <c r="HM5" s="1719"/>
      <c r="HN5" s="1719"/>
      <c r="HO5" s="1719"/>
      <c r="HP5" s="1719"/>
      <c r="HQ5" s="1719"/>
      <c r="HR5" s="1719"/>
      <c r="HS5" s="1719"/>
      <c r="HT5" s="1719"/>
      <c r="HU5" s="1719"/>
      <c r="HV5" s="1719"/>
      <c r="HW5" s="1719"/>
      <c r="HX5" s="1719"/>
      <c r="HY5" s="1719"/>
      <c r="HZ5" s="1719"/>
      <c r="IA5" s="1719"/>
      <c r="IB5" s="1719"/>
      <c r="IC5" s="1719"/>
      <c r="ID5" s="1719"/>
      <c r="IE5" s="1719"/>
      <c r="IF5" s="1719"/>
      <c r="IG5" s="1719"/>
      <c r="IH5" s="1719"/>
      <c r="II5" s="1719"/>
      <c r="IJ5" s="1719"/>
      <c r="IK5" s="1719"/>
      <c r="IL5" s="1719"/>
      <c r="IM5" s="1719"/>
      <c r="IN5" s="1719"/>
      <c r="IO5" s="1719"/>
      <c r="IP5" s="1719"/>
      <c r="IQ5" s="1719"/>
      <c r="IR5" s="1719"/>
      <c r="IS5" s="1719"/>
      <c r="IT5" s="1719"/>
      <c r="IU5" s="1719"/>
      <c r="IV5" s="1719"/>
      <c r="IW5" s="1719"/>
      <c r="IX5" s="1719"/>
      <c r="IY5" s="1719"/>
      <c r="IZ5" s="1719"/>
      <c r="JA5" s="1719"/>
      <c r="JB5" s="1719"/>
      <c r="JC5" s="1719"/>
      <c r="JD5" s="1719"/>
      <c r="JE5" s="1719"/>
      <c r="JF5" s="1719"/>
      <c r="JG5" s="1719"/>
      <c r="JH5" s="1719"/>
      <c r="JI5" s="1719"/>
      <c r="JJ5" s="1719"/>
      <c r="JK5" s="1719"/>
      <c r="JL5" s="1719"/>
      <c r="JM5" s="1719"/>
      <c r="JN5" s="1719"/>
      <c r="JO5" s="1719"/>
      <c r="JP5" s="1719"/>
      <c r="JQ5" s="1719"/>
      <c r="JR5" s="1719"/>
      <c r="JS5" s="1719"/>
      <c r="JT5" s="1719"/>
      <c r="JU5" s="1719"/>
      <c r="JV5" s="1719"/>
      <c r="JW5" s="1719"/>
      <c r="JX5" s="1719"/>
      <c r="JY5" s="1719"/>
      <c r="JZ5" s="1719"/>
      <c r="KA5" s="1719"/>
      <c r="KB5" s="1719"/>
      <c r="KC5" s="1719"/>
      <c r="KD5" s="1719"/>
      <c r="KE5" s="1719"/>
      <c r="KF5" s="1719"/>
      <c r="KG5" s="1719"/>
      <c r="KH5" s="1719"/>
      <c r="KI5" s="1719"/>
      <c r="KJ5" s="1719"/>
      <c r="KK5" s="1719"/>
      <c r="KL5" s="1719"/>
      <c r="KM5" s="1719"/>
      <c r="KN5" s="1719"/>
      <c r="KO5" s="1719"/>
      <c r="KP5" s="1719"/>
    </row>
    <row r="6" spans="1:302" ht="34.5" customHeight="1">
      <c r="A6" s="1739"/>
      <c r="B6" s="2350">
        <v>2013</v>
      </c>
      <c r="C6" s="2351"/>
      <c r="D6" s="2351"/>
      <c r="E6" s="2351"/>
      <c r="F6" s="2351"/>
      <c r="G6" s="2351"/>
      <c r="H6" s="2351"/>
      <c r="I6" s="2351"/>
      <c r="J6" s="2351"/>
      <c r="K6" s="2351"/>
      <c r="L6" s="2351"/>
      <c r="M6" s="2352"/>
      <c r="N6" s="2350">
        <v>2014</v>
      </c>
      <c r="O6" s="2351"/>
      <c r="P6" s="2351"/>
      <c r="Q6" s="2351"/>
      <c r="R6" s="2351"/>
      <c r="S6" s="2351"/>
      <c r="T6" s="2351"/>
      <c r="U6" s="2351"/>
      <c r="V6" s="2351"/>
      <c r="W6" s="2351"/>
      <c r="X6" s="2351"/>
      <c r="Y6" s="2352"/>
      <c r="Z6" s="2350">
        <v>2015</v>
      </c>
      <c r="AA6" s="2351"/>
      <c r="AB6" s="2351"/>
      <c r="AC6" s="2351"/>
      <c r="AD6" s="2351"/>
      <c r="AE6" s="2351"/>
      <c r="AF6" s="2351"/>
      <c r="AG6" s="2351"/>
      <c r="AH6" s="2351"/>
      <c r="AI6" s="2351"/>
      <c r="AJ6" s="2351"/>
      <c r="AK6" s="2352"/>
      <c r="AL6" s="811">
        <v>2016</v>
      </c>
      <c r="AM6" s="811"/>
      <c r="AN6" s="811"/>
      <c r="AO6" s="811"/>
      <c r="AP6" s="811"/>
      <c r="AQ6" s="811"/>
      <c r="AR6" s="811"/>
      <c r="AS6" s="811"/>
      <c r="AT6" s="811"/>
      <c r="AU6" s="811"/>
      <c r="AV6" s="2350">
        <v>2016</v>
      </c>
      <c r="AW6" s="2352"/>
      <c r="AX6" s="811">
        <v>2017</v>
      </c>
      <c r="AY6" s="811"/>
      <c r="AZ6" s="811"/>
      <c r="BA6" s="811"/>
      <c r="BB6" s="811"/>
      <c r="BC6" s="811"/>
      <c r="BD6" s="811"/>
      <c r="BE6" s="811"/>
      <c r="BF6" s="811"/>
      <c r="BG6" s="811"/>
      <c r="BH6" s="843"/>
      <c r="BI6" s="832">
        <v>2017</v>
      </c>
      <c r="BJ6" s="833">
        <v>2018</v>
      </c>
      <c r="BK6" s="833"/>
      <c r="BL6" s="833"/>
      <c r="BM6" s="833"/>
      <c r="BN6" s="833"/>
      <c r="BO6" s="833"/>
      <c r="BP6" s="833"/>
      <c r="BQ6" s="833"/>
      <c r="BR6" s="833"/>
      <c r="BS6" s="833"/>
      <c r="BT6" s="833"/>
      <c r="BU6" s="832">
        <v>2018</v>
      </c>
      <c r="BV6" s="2295">
        <v>2019</v>
      </c>
      <c r="BW6" s="2296"/>
      <c r="BX6" s="2296"/>
      <c r="BY6" s="2296"/>
      <c r="BZ6" s="2296"/>
      <c r="CA6" s="2296"/>
      <c r="CB6" s="2296"/>
      <c r="CC6" s="2296"/>
      <c r="CD6" s="2296"/>
      <c r="CE6" s="2296"/>
      <c r="CF6" s="2296"/>
      <c r="CG6" s="2305"/>
      <c r="CH6" s="834">
        <v>2020</v>
      </c>
      <c r="CI6" s="834">
        <v>2020</v>
      </c>
      <c r="CJ6" s="834">
        <v>2020</v>
      </c>
      <c r="CK6" s="834">
        <v>2020</v>
      </c>
      <c r="CL6" s="834">
        <v>2020</v>
      </c>
      <c r="CM6" s="834">
        <v>2020</v>
      </c>
      <c r="CN6" s="834">
        <v>2020</v>
      </c>
      <c r="CO6" s="834">
        <v>2020</v>
      </c>
      <c r="CP6" s="834">
        <v>2020</v>
      </c>
      <c r="CQ6" s="834">
        <v>2020</v>
      </c>
      <c r="CR6" s="834">
        <v>2020</v>
      </c>
      <c r="CS6" s="834">
        <v>2020</v>
      </c>
      <c r="CT6" s="2318">
        <v>2021</v>
      </c>
      <c r="CU6" s="2319"/>
      <c r="CV6" s="2319"/>
      <c r="CW6" s="2319"/>
      <c r="CX6" s="2319"/>
      <c r="CY6" s="2319"/>
      <c r="CZ6" s="2319"/>
      <c r="DA6" s="2319"/>
      <c r="DB6" s="2319"/>
      <c r="DC6" s="2319"/>
      <c r="DD6" s="2319"/>
      <c r="DE6" s="2320"/>
      <c r="DF6" s="2321">
        <v>2022</v>
      </c>
      <c r="DG6" s="2319"/>
      <c r="DH6" s="2319"/>
      <c r="DI6" s="2319"/>
      <c r="DJ6" s="2319"/>
      <c r="DK6" s="2319"/>
      <c r="DL6" s="2319"/>
      <c r="DM6" s="2319"/>
      <c r="DN6" s="2319"/>
      <c r="DO6" s="2319"/>
      <c r="DP6" s="2319"/>
      <c r="DQ6" s="2320"/>
      <c r="DR6" s="2321">
        <v>2023</v>
      </c>
      <c r="DS6" s="2319"/>
      <c r="DT6" s="2319"/>
      <c r="DU6" s="2319"/>
      <c r="DV6" s="2319"/>
      <c r="DW6" s="2319"/>
      <c r="DX6" s="2319"/>
      <c r="DY6" s="2319"/>
      <c r="DZ6" s="2319"/>
      <c r="EA6" s="2319"/>
      <c r="EB6" s="2319"/>
      <c r="EC6" s="2320"/>
      <c r="ED6" s="2321">
        <v>2024</v>
      </c>
      <c r="EE6" s="2319"/>
      <c r="EF6" s="2319"/>
      <c r="EG6" s="2319"/>
      <c r="EH6" s="2319"/>
      <c r="EI6" s="2319"/>
      <c r="EJ6" s="2319"/>
      <c r="EK6" s="2319"/>
      <c r="EL6" s="2319"/>
      <c r="EM6" s="2319"/>
      <c r="EN6" s="2319"/>
      <c r="EO6" s="2320"/>
      <c r="EP6" s="2321">
        <v>2025</v>
      </c>
      <c r="EQ6" s="2319"/>
      <c r="ER6" s="2319"/>
      <c r="ES6" s="2319"/>
      <c r="ET6" s="2319"/>
      <c r="EU6" s="2319"/>
      <c r="EV6" s="2319"/>
      <c r="EW6" s="2319"/>
      <c r="EX6" s="2319"/>
      <c r="EY6" s="2319"/>
      <c r="EZ6" s="2319"/>
      <c r="FA6" s="2320"/>
      <c r="FB6" s="2321">
        <v>2026</v>
      </c>
      <c r="FC6" s="2319"/>
      <c r="FD6" s="2319"/>
      <c r="FE6" s="2319"/>
      <c r="FF6" s="2319"/>
      <c r="FG6" s="2320"/>
      <c r="FH6" s="2345"/>
    </row>
    <row r="7" spans="1:302" ht="34.5" customHeight="1">
      <c r="A7" s="1742"/>
      <c r="B7" s="812" t="s">
        <v>1948</v>
      </c>
      <c r="C7" s="812" t="s">
        <v>1959</v>
      </c>
      <c r="D7" s="812" t="s">
        <v>1958</v>
      </c>
      <c r="E7" s="812" t="s">
        <v>1957</v>
      </c>
      <c r="F7" s="812" t="s">
        <v>1956</v>
      </c>
      <c r="G7" s="812" t="s">
        <v>1955</v>
      </c>
      <c r="H7" s="812" t="s">
        <v>1954</v>
      </c>
      <c r="I7" s="812" t="s">
        <v>1953</v>
      </c>
      <c r="J7" s="812" t="s">
        <v>1952</v>
      </c>
      <c r="K7" s="812" t="s">
        <v>1951</v>
      </c>
      <c r="L7" s="812" t="s">
        <v>1950</v>
      </c>
      <c r="M7" s="813" t="s">
        <v>1949</v>
      </c>
      <c r="N7" s="813" t="s">
        <v>1948</v>
      </c>
      <c r="O7" s="813" t="s">
        <v>1959</v>
      </c>
      <c r="P7" s="813" t="s">
        <v>1958</v>
      </c>
      <c r="Q7" s="813" t="s">
        <v>1957</v>
      </c>
      <c r="R7" s="813" t="s">
        <v>1956</v>
      </c>
      <c r="S7" s="813" t="s">
        <v>1955</v>
      </c>
      <c r="T7" s="813" t="s">
        <v>1954</v>
      </c>
      <c r="U7" s="813" t="s">
        <v>1953</v>
      </c>
      <c r="V7" s="813" t="s">
        <v>1952</v>
      </c>
      <c r="W7" s="813" t="s">
        <v>1951</v>
      </c>
      <c r="X7" s="813" t="s">
        <v>1950</v>
      </c>
      <c r="Y7" s="813" t="s">
        <v>1949</v>
      </c>
      <c r="Z7" s="813" t="s">
        <v>1948</v>
      </c>
      <c r="AA7" s="813" t="s">
        <v>1959</v>
      </c>
      <c r="AB7" s="813" t="s">
        <v>1958</v>
      </c>
      <c r="AC7" s="813" t="s">
        <v>1957</v>
      </c>
      <c r="AD7" s="813" t="s">
        <v>1956</v>
      </c>
      <c r="AE7" s="813" t="s">
        <v>1960</v>
      </c>
      <c r="AF7" s="813" t="s">
        <v>1964</v>
      </c>
      <c r="AG7" s="813" t="s">
        <v>1953</v>
      </c>
      <c r="AH7" s="813" t="s">
        <v>1952</v>
      </c>
      <c r="AI7" s="813" t="s">
        <v>1951</v>
      </c>
      <c r="AJ7" s="813" t="s">
        <v>1950</v>
      </c>
      <c r="AK7" s="813" t="s">
        <v>1949</v>
      </c>
      <c r="AL7" s="813" t="s">
        <v>1948</v>
      </c>
      <c r="AM7" s="813" t="s">
        <v>1959</v>
      </c>
      <c r="AN7" s="813" t="s">
        <v>1958</v>
      </c>
      <c r="AO7" s="813" t="s">
        <v>1957</v>
      </c>
      <c r="AP7" s="813" t="s">
        <v>1956</v>
      </c>
      <c r="AQ7" s="813" t="s">
        <v>1955</v>
      </c>
      <c r="AR7" s="813" t="s">
        <v>1954</v>
      </c>
      <c r="AS7" s="813" t="s">
        <v>1953</v>
      </c>
      <c r="AT7" s="813" t="s">
        <v>1952</v>
      </c>
      <c r="AU7" s="813" t="s">
        <v>1951</v>
      </c>
      <c r="AV7" s="813" t="s">
        <v>1950</v>
      </c>
      <c r="AW7" s="813" t="s">
        <v>1949</v>
      </c>
      <c r="AX7" s="813" t="s">
        <v>1948</v>
      </c>
      <c r="AY7" s="813" t="s">
        <v>1947</v>
      </c>
      <c r="AZ7" s="813" t="s">
        <v>1946</v>
      </c>
      <c r="BA7" s="813" t="s">
        <v>1945</v>
      </c>
      <c r="BB7" s="813" t="s">
        <v>1965</v>
      </c>
      <c r="BC7" s="813" t="s">
        <v>1966</v>
      </c>
      <c r="BD7" s="813" t="s">
        <v>1975</v>
      </c>
      <c r="BE7" s="813" t="s">
        <v>1985</v>
      </c>
      <c r="BF7" s="813" t="s">
        <v>1995</v>
      </c>
      <c r="BG7" s="813" t="s">
        <v>2008</v>
      </c>
      <c r="BH7" s="842" t="s">
        <v>2019</v>
      </c>
      <c r="BI7" s="849" t="s">
        <v>1949</v>
      </c>
      <c r="BJ7" s="849" t="s">
        <v>1948</v>
      </c>
      <c r="BK7" s="849" t="s">
        <v>1947</v>
      </c>
      <c r="BL7" s="849" t="s">
        <v>1946</v>
      </c>
      <c r="BM7" s="849" t="s">
        <v>1945</v>
      </c>
      <c r="BN7" s="849" t="s">
        <v>1965</v>
      </c>
      <c r="BO7" s="849" t="s">
        <v>1966</v>
      </c>
      <c r="BP7" s="849" t="s">
        <v>1975</v>
      </c>
      <c r="BQ7" s="849" t="s">
        <v>1985</v>
      </c>
      <c r="BR7" s="849" t="s">
        <v>1995</v>
      </c>
      <c r="BS7" s="849" t="s">
        <v>2008</v>
      </c>
      <c r="BT7" s="849" t="s">
        <v>2019</v>
      </c>
      <c r="BU7" s="849" t="s">
        <v>1949</v>
      </c>
      <c r="BV7" s="849" t="s">
        <v>1948</v>
      </c>
      <c r="BW7" s="849" t="s">
        <v>1947</v>
      </c>
      <c r="BX7" s="849" t="s">
        <v>1946</v>
      </c>
      <c r="BY7" s="849" t="s">
        <v>1945</v>
      </c>
      <c r="BZ7" s="849" t="s">
        <v>1965</v>
      </c>
      <c r="CA7" s="849" t="s">
        <v>1966</v>
      </c>
      <c r="CB7" s="849" t="s">
        <v>1975</v>
      </c>
      <c r="CC7" s="849" t="s">
        <v>1985</v>
      </c>
      <c r="CD7" s="849" t="s">
        <v>1995</v>
      </c>
      <c r="CE7" s="849" t="s">
        <v>2008</v>
      </c>
      <c r="CF7" s="849" t="s">
        <v>2019</v>
      </c>
      <c r="CG7" s="849" t="s">
        <v>1949</v>
      </c>
      <c r="CH7" s="849" t="s">
        <v>1948</v>
      </c>
      <c r="CI7" s="849" t="s">
        <v>1947</v>
      </c>
      <c r="CJ7" s="849" t="s">
        <v>1946</v>
      </c>
      <c r="CK7" s="849" t="s">
        <v>1945</v>
      </c>
      <c r="CL7" s="849" t="s">
        <v>1965</v>
      </c>
      <c r="CM7" s="849" t="s">
        <v>2413</v>
      </c>
      <c r="CN7" s="849" t="s">
        <v>2419</v>
      </c>
      <c r="CO7" s="849" t="s">
        <v>1985</v>
      </c>
      <c r="CP7" s="849" t="s">
        <v>1995</v>
      </c>
      <c r="CQ7" s="849" t="s">
        <v>2008</v>
      </c>
      <c r="CR7" s="849" t="s">
        <v>2019</v>
      </c>
      <c r="CS7" s="849" t="s">
        <v>1949</v>
      </c>
      <c r="CT7" s="849" t="s">
        <v>1948</v>
      </c>
      <c r="CU7" s="849" t="s">
        <v>1947</v>
      </c>
      <c r="CV7" s="849" t="s">
        <v>1946</v>
      </c>
      <c r="CW7" s="849" t="s">
        <v>1945</v>
      </c>
      <c r="CX7" s="849" t="s">
        <v>1965</v>
      </c>
      <c r="CY7" s="849" t="s">
        <v>1966</v>
      </c>
      <c r="CZ7" s="849" t="s">
        <v>1975</v>
      </c>
      <c r="DA7" s="849" t="s">
        <v>1985</v>
      </c>
      <c r="DB7" s="849" t="s">
        <v>1995</v>
      </c>
      <c r="DC7" s="849" t="s">
        <v>2008</v>
      </c>
      <c r="DD7" s="888" t="s">
        <v>2019</v>
      </c>
      <c r="DE7" s="888" t="s">
        <v>1949</v>
      </c>
      <c r="DF7" s="888" t="s">
        <v>1948</v>
      </c>
      <c r="DG7" s="850" t="s">
        <v>1947</v>
      </c>
      <c r="DH7" s="850" t="s">
        <v>1946</v>
      </c>
      <c r="DI7" s="850" t="s">
        <v>1945</v>
      </c>
      <c r="DJ7" s="850" t="s">
        <v>1965</v>
      </c>
      <c r="DK7" s="850" t="s">
        <v>1966</v>
      </c>
      <c r="DL7" s="850" t="s">
        <v>1975</v>
      </c>
      <c r="DM7" s="850" t="s">
        <v>1985</v>
      </c>
      <c r="DN7" s="850" t="s">
        <v>1995</v>
      </c>
      <c r="DO7" s="850" t="s">
        <v>2008</v>
      </c>
      <c r="DP7" s="850" t="s">
        <v>2019</v>
      </c>
      <c r="DQ7" s="850" t="s">
        <v>1949</v>
      </c>
      <c r="DR7" s="850" t="s">
        <v>1948</v>
      </c>
      <c r="DS7" s="850" t="s">
        <v>1947</v>
      </c>
      <c r="DT7" s="850" t="s">
        <v>1946</v>
      </c>
      <c r="DU7" s="850" t="s">
        <v>1945</v>
      </c>
      <c r="DV7" s="850" t="s">
        <v>1965</v>
      </c>
      <c r="DW7" s="850" t="s">
        <v>1966</v>
      </c>
      <c r="DX7" s="850" t="s">
        <v>1975</v>
      </c>
      <c r="DY7" s="850" t="s">
        <v>1985</v>
      </c>
      <c r="DZ7" s="850" t="s">
        <v>1995</v>
      </c>
      <c r="EA7" s="850" t="s">
        <v>2008</v>
      </c>
      <c r="EB7" s="850" t="s">
        <v>2019</v>
      </c>
      <c r="EC7" s="850" t="s">
        <v>1949</v>
      </c>
      <c r="ED7" s="850" t="s">
        <v>1948</v>
      </c>
      <c r="EE7" s="850" t="s">
        <v>1947</v>
      </c>
      <c r="EF7" s="850" t="s">
        <v>1946</v>
      </c>
      <c r="EG7" s="850" t="s">
        <v>1945</v>
      </c>
      <c r="EH7" s="850" t="s">
        <v>1965</v>
      </c>
      <c r="EI7" s="850" t="s">
        <v>1966</v>
      </c>
      <c r="EJ7" s="850" t="s">
        <v>1975</v>
      </c>
      <c r="EK7" s="850" t="s">
        <v>1985</v>
      </c>
      <c r="EL7" s="850" t="s">
        <v>1995</v>
      </c>
      <c r="EM7" s="850" t="s">
        <v>2008</v>
      </c>
      <c r="EN7" s="850" t="s">
        <v>2019</v>
      </c>
      <c r="EO7" s="850" t="s">
        <v>1949</v>
      </c>
      <c r="EP7" s="850" t="s">
        <v>1948</v>
      </c>
      <c r="EQ7" s="850" t="s">
        <v>1947</v>
      </c>
      <c r="ER7" s="850" t="s">
        <v>1946</v>
      </c>
      <c r="ES7" s="888" t="s">
        <v>1945</v>
      </c>
      <c r="ET7" s="847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46"/>
    </row>
    <row r="8" spans="1:302" ht="34.5" customHeight="1">
      <c r="A8" s="1743"/>
      <c r="B8" s="812"/>
      <c r="C8" s="812"/>
      <c r="D8" s="812"/>
      <c r="E8" s="812"/>
      <c r="F8" s="812"/>
      <c r="G8" s="812"/>
      <c r="H8" s="812"/>
      <c r="I8" s="812"/>
      <c r="J8" s="812"/>
      <c r="K8" s="812"/>
      <c r="L8" s="812"/>
      <c r="M8" s="813"/>
      <c r="N8" s="813"/>
      <c r="O8" s="813"/>
      <c r="P8" s="813"/>
      <c r="Q8" s="813"/>
      <c r="R8" s="813"/>
      <c r="S8" s="813"/>
      <c r="T8" s="813"/>
      <c r="U8" s="813"/>
      <c r="V8" s="813"/>
      <c r="W8" s="813"/>
      <c r="X8" s="813"/>
      <c r="Y8" s="813"/>
      <c r="Z8" s="813"/>
      <c r="AA8" s="813"/>
      <c r="AB8" s="813"/>
      <c r="AC8" s="813"/>
      <c r="AD8" s="813"/>
      <c r="AE8" s="813"/>
      <c r="AF8" s="813"/>
      <c r="AG8" s="813"/>
      <c r="AH8" s="813"/>
      <c r="AI8" s="813"/>
      <c r="AJ8" s="813"/>
      <c r="AK8" s="813"/>
      <c r="AL8" s="813"/>
      <c r="AM8" s="813"/>
      <c r="AN8" s="813"/>
      <c r="AO8" s="813"/>
      <c r="AP8" s="813"/>
      <c r="AQ8" s="813"/>
      <c r="AR8" s="813"/>
      <c r="AS8" s="813"/>
      <c r="AT8" s="813"/>
      <c r="AU8" s="813"/>
      <c r="AV8" s="813"/>
      <c r="AW8" s="813"/>
      <c r="AX8" s="813"/>
      <c r="AY8" s="813"/>
      <c r="AZ8" s="813"/>
      <c r="BA8" s="813"/>
      <c r="BB8" s="813"/>
      <c r="BC8" s="813"/>
      <c r="BD8" s="813"/>
      <c r="BE8" s="813"/>
      <c r="BF8" s="813"/>
      <c r="BG8" s="813"/>
      <c r="BH8" s="842"/>
      <c r="BI8" s="1730" t="s">
        <v>3174</v>
      </c>
      <c r="BJ8" s="1730" t="s">
        <v>3174</v>
      </c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 t="s">
        <v>3174</v>
      </c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 t="s">
        <v>3174</v>
      </c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 t="s">
        <v>3174</v>
      </c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 t="s">
        <v>3174</v>
      </c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 t="s">
        <v>3174</v>
      </c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47"/>
    </row>
    <row r="9" spans="1:302" ht="21">
      <c r="A9" s="1722" t="s">
        <v>2740</v>
      </c>
      <c r="B9" s="780">
        <v>774.89987827000004</v>
      </c>
      <c r="C9" s="780">
        <v>806.98599349999995</v>
      </c>
      <c r="D9" s="780">
        <v>817.19575879000001</v>
      </c>
      <c r="E9" s="780">
        <v>829.72123290000013</v>
      </c>
      <c r="F9" s="780">
        <v>448.45985101999997</v>
      </c>
      <c r="G9" s="780">
        <v>442.89592489</v>
      </c>
      <c r="H9" s="780">
        <v>488.90894050999998</v>
      </c>
      <c r="I9" s="780">
        <v>482.49486396999993</v>
      </c>
      <c r="J9" s="780">
        <v>515.53094249000003</v>
      </c>
      <c r="K9" s="780">
        <v>497.00290584999993</v>
      </c>
      <c r="L9" s="780">
        <v>500.85395933000001</v>
      </c>
      <c r="M9" s="781">
        <v>506.04149092999995</v>
      </c>
      <c r="N9" s="781">
        <v>514.73581374999992</v>
      </c>
      <c r="O9" s="781">
        <v>529.5908810200001</v>
      </c>
      <c r="P9" s="781">
        <v>579.24930182000003</v>
      </c>
      <c r="Q9" s="781">
        <v>586.28539974</v>
      </c>
      <c r="R9" s="781">
        <v>581.96836254000004</v>
      </c>
      <c r="S9" s="781">
        <v>586.77895809999995</v>
      </c>
      <c r="T9" s="781">
        <v>578.71437349999997</v>
      </c>
      <c r="U9" s="781">
        <v>586.53495371999998</v>
      </c>
      <c r="V9" s="781">
        <v>582.64030193000008</v>
      </c>
      <c r="W9" s="781">
        <v>569.07431792000011</v>
      </c>
      <c r="X9" s="781">
        <v>562.82478220999997</v>
      </c>
      <c r="Y9" s="781">
        <v>736.03862677000006</v>
      </c>
      <c r="Z9" s="781">
        <v>726.45876132000001</v>
      </c>
      <c r="AA9" s="781">
        <v>831.82752202000006</v>
      </c>
      <c r="AB9" s="781">
        <v>866.0972816200001</v>
      </c>
      <c r="AC9" s="781">
        <v>871.72757006000006</v>
      </c>
      <c r="AD9" s="781">
        <v>890.88034559999994</v>
      </c>
      <c r="AE9" s="781">
        <v>894.92473717000007</v>
      </c>
      <c r="AF9" s="781">
        <v>921.03092142999992</v>
      </c>
      <c r="AG9" s="781">
        <v>1005.7535230899999</v>
      </c>
      <c r="AH9" s="781">
        <v>1014.1371359100001</v>
      </c>
      <c r="AI9" s="781">
        <v>1074.4110466299999</v>
      </c>
      <c r="AJ9" s="781">
        <v>1059.7072641499999</v>
      </c>
      <c r="AK9" s="781">
        <v>1464.96452346</v>
      </c>
      <c r="AL9" s="781">
        <v>1501.3373809099999</v>
      </c>
      <c r="AM9" s="781">
        <v>1536.8921674200001</v>
      </c>
      <c r="AN9" s="781">
        <v>1512.8207082200001</v>
      </c>
      <c r="AO9" s="781">
        <v>1511.7901545600002</v>
      </c>
      <c r="AP9" s="781">
        <v>1243.4556798399999</v>
      </c>
      <c r="AQ9" s="781">
        <v>1273.18458379</v>
      </c>
      <c r="AR9" s="781">
        <v>1156.2404554</v>
      </c>
      <c r="AS9" s="781">
        <v>1175.4458427300001</v>
      </c>
      <c r="AT9" s="781">
        <v>1162.7504401900001</v>
      </c>
      <c r="AU9" s="781">
        <v>1164.5475072699999</v>
      </c>
      <c r="AV9" s="781">
        <v>1233.4677069900001</v>
      </c>
      <c r="AW9" s="781">
        <v>1270.7975573800002</v>
      </c>
      <c r="AX9" s="781">
        <v>1395.6981700000001</v>
      </c>
      <c r="AY9" s="781">
        <v>1268.8936271600001</v>
      </c>
      <c r="AZ9" s="781">
        <v>1227.1089426399999</v>
      </c>
      <c r="BA9" s="781">
        <v>1208.7685870400001</v>
      </c>
      <c r="BB9" s="781">
        <v>1001.92446995</v>
      </c>
      <c r="BC9" s="781">
        <v>1022.6385556299999</v>
      </c>
      <c r="BD9" s="781">
        <v>1059.3154159000001</v>
      </c>
      <c r="BE9" s="781">
        <v>1062.6306521900001</v>
      </c>
      <c r="BF9" s="781">
        <v>1060.9058423000001</v>
      </c>
      <c r="BG9" s="781">
        <v>1069.4876785700001</v>
      </c>
      <c r="BH9" s="826">
        <v>1069.57037728</v>
      </c>
      <c r="BI9" s="815">
        <v>1126.7102225399999</v>
      </c>
      <c r="BJ9" s="815">
        <v>1120.4296421500001</v>
      </c>
      <c r="BK9" s="815">
        <v>983.26888073000009</v>
      </c>
      <c r="BL9" s="815">
        <v>992.91432655000006</v>
      </c>
      <c r="BM9" s="815">
        <v>1104.84376737</v>
      </c>
      <c r="BN9" s="815">
        <v>1101.37557242</v>
      </c>
      <c r="BO9" s="815">
        <v>1157.44073469</v>
      </c>
      <c r="BP9" s="815">
        <v>1176.20237238</v>
      </c>
      <c r="BQ9" s="815">
        <v>1175.08520795</v>
      </c>
      <c r="BR9" s="815">
        <v>1289.2964963599998</v>
      </c>
      <c r="BS9" s="815">
        <v>1288.9801127799999</v>
      </c>
      <c r="BT9" s="815">
        <v>1367.1655438299999</v>
      </c>
      <c r="BU9" s="815">
        <v>1370.6535793099999</v>
      </c>
      <c r="BV9" s="815">
        <v>1368.1564542599999</v>
      </c>
      <c r="BW9" s="815">
        <v>1359.0258615700002</v>
      </c>
      <c r="BX9" s="815">
        <v>1357.88037076</v>
      </c>
      <c r="BY9" s="815">
        <v>1271.92489125</v>
      </c>
      <c r="BZ9" s="815">
        <v>1301.1727264900001</v>
      </c>
      <c r="CA9" s="815">
        <v>1335.5882296099999</v>
      </c>
      <c r="CB9" s="815">
        <v>1274.1666465100002</v>
      </c>
      <c r="CC9" s="815">
        <v>1268.7893180599999</v>
      </c>
      <c r="CD9" s="815">
        <v>1167.7401792000001</v>
      </c>
      <c r="CE9" s="815">
        <v>1163.7995481300002</v>
      </c>
      <c r="CF9" s="815">
        <v>1207.65957334</v>
      </c>
      <c r="CG9" s="815">
        <v>1203.8487096499998</v>
      </c>
      <c r="CH9" s="815">
        <v>1177.10613827</v>
      </c>
      <c r="CI9" s="815">
        <v>1172.1177573999998</v>
      </c>
      <c r="CJ9" s="815">
        <v>1168.1839398400002</v>
      </c>
      <c r="CK9" s="815">
        <v>1101.1423324299999</v>
      </c>
      <c r="CL9" s="815">
        <v>961.53081285999986</v>
      </c>
      <c r="CM9" s="815">
        <v>915.38829026000008</v>
      </c>
      <c r="CN9" s="815">
        <v>917.40482293999992</v>
      </c>
      <c r="CO9" s="815">
        <v>901.43872137000005</v>
      </c>
      <c r="CP9" s="815">
        <v>891.58932236999988</v>
      </c>
      <c r="CQ9" s="815">
        <v>875.18294334000007</v>
      </c>
      <c r="CR9" s="815">
        <v>857.47137640999995</v>
      </c>
      <c r="CS9" s="815">
        <v>847.85810412000001</v>
      </c>
      <c r="CT9" s="815">
        <v>831.50276643999996</v>
      </c>
      <c r="CU9" s="815">
        <v>859.87628553000002</v>
      </c>
      <c r="CV9" s="815">
        <v>853.29803943000002</v>
      </c>
      <c r="CW9" s="815">
        <v>870.09419117000004</v>
      </c>
      <c r="CX9" s="815">
        <v>824.98340723000001</v>
      </c>
      <c r="CY9" s="815">
        <v>820.05745450999996</v>
      </c>
      <c r="CZ9" s="815">
        <v>756.40349148999996</v>
      </c>
      <c r="DA9" s="815">
        <v>747.68904634</v>
      </c>
      <c r="DB9" s="815">
        <v>751.53076547000001</v>
      </c>
      <c r="DC9" s="815">
        <v>746.35539194</v>
      </c>
      <c r="DD9" s="885">
        <v>740.65590216999999</v>
      </c>
      <c r="DE9" s="885">
        <v>733.94094085999996</v>
      </c>
      <c r="DF9" s="885">
        <v>741.22516050000002</v>
      </c>
      <c r="DG9" s="838">
        <v>728.15753729000005</v>
      </c>
      <c r="DH9" s="838">
        <v>734.21636339999998</v>
      </c>
      <c r="DI9" s="838">
        <v>739.31876212999998</v>
      </c>
      <c r="DJ9" s="838">
        <v>758.37285073999999</v>
      </c>
      <c r="DK9" s="838">
        <v>770.25907812000003</v>
      </c>
      <c r="DL9" s="838">
        <v>778.42155815000001</v>
      </c>
      <c r="DM9" s="838">
        <v>755.42052295999997</v>
      </c>
      <c r="DN9" s="838">
        <v>789.14396804</v>
      </c>
      <c r="DO9" s="838">
        <v>794.39277890000005</v>
      </c>
      <c r="DP9" s="838">
        <v>797.74826809000001</v>
      </c>
      <c r="DQ9" s="838">
        <v>788.56792967000001</v>
      </c>
      <c r="DR9" s="838">
        <v>781.41484681999998</v>
      </c>
      <c r="DS9" s="838">
        <v>766.25506600999995</v>
      </c>
      <c r="DT9" s="838">
        <v>796.96831259999999</v>
      </c>
      <c r="DU9" s="838">
        <v>820.09704146000001</v>
      </c>
      <c r="DV9" s="838">
        <v>856.07240155</v>
      </c>
      <c r="DW9" s="838">
        <v>1089.99946987</v>
      </c>
      <c r="DX9" s="838">
        <v>1076.02517726</v>
      </c>
      <c r="DY9" s="838">
        <v>1098.5173462400001</v>
      </c>
      <c r="DZ9" s="838">
        <v>1105.06507093</v>
      </c>
      <c r="EA9" s="838">
        <v>1321.41701459</v>
      </c>
      <c r="EB9" s="838">
        <v>1314.2108879</v>
      </c>
      <c r="EC9" s="838">
        <v>1421.0077585399999</v>
      </c>
      <c r="ED9" s="838">
        <v>1390.6909822099999</v>
      </c>
      <c r="EE9" s="838">
        <v>1462.80029496</v>
      </c>
      <c r="EF9" s="838">
        <v>1466.9427995999999</v>
      </c>
      <c r="EG9" s="838">
        <v>1542.2544693</v>
      </c>
      <c r="EH9" s="838">
        <v>1681.7985262300001</v>
      </c>
      <c r="EI9" s="838">
        <v>1709.8807681400001</v>
      </c>
      <c r="EJ9" s="838">
        <v>1696.3784745</v>
      </c>
      <c r="EK9" s="838">
        <v>1705.2883640800001</v>
      </c>
      <c r="EL9" s="838">
        <v>1768.2495564999999</v>
      </c>
      <c r="EM9" s="838">
        <v>1807.3631336399999</v>
      </c>
      <c r="EN9" s="838">
        <v>1816.8445370899999</v>
      </c>
      <c r="EO9" s="838">
        <v>1854.0983942099999</v>
      </c>
      <c r="EP9" s="838">
        <v>1837.96866</v>
      </c>
      <c r="EQ9" s="838">
        <v>1852.2721150699999</v>
      </c>
      <c r="ER9" s="838">
        <v>1887.5358671500001</v>
      </c>
      <c r="ES9" s="838">
        <v>1887.5281951500001</v>
      </c>
      <c r="ET9" s="838">
        <v>1898.9688741099999</v>
      </c>
      <c r="EU9" s="838">
        <v>1887.4434468100001</v>
      </c>
      <c r="EV9" s="838">
        <v>1893.5308953900001</v>
      </c>
      <c r="EW9" s="838">
        <v>1913.97823408</v>
      </c>
      <c r="EX9" s="838">
        <v>2086.8423763300002</v>
      </c>
      <c r="EY9" s="838">
        <v>2115.7531149900001</v>
      </c>
      <c r="EZ9" s="838">
        <v>2135.0868329499999</v>
      </c>
      <c r="FA9" s="838">
        <v>2190.1681448700001</v>
      </c>
      <c r="FB9" s="838">
        <v>2163.6068804900001</v>
      </c>
      <c r="FC9" s="838">
        <v>2155.12681075</v>
      </c>
      <c r="FD9" s="838">
        <v>2257.0127899899999</v>
      </c>
      <c r="FE9" s="838">
        <v>2306.8450282700001</v>
      </c>
      <c r="FF9" s="838">
        <v>2288.9581769000001</v>
      </c>
      <c r="FG9" s="838">
        <v>2483.66541379</v>
      </c>
      <c r="FH9" s="1710" t="s">
        <v>1152</v>
      </c>
      <c r="FL9" s="1"/>
      <c r="FM9" s="320"/>
    </row>
    <row r="10" spans="1:302" ht="21">
      <c r="A10" s="1723" t="s">
        <v>1961</v>
      </c>
      <c r="B10" s="783">
        <v>470.33041431999999</v>
      </c>
      <c r="C10" s="783">
        <v>482.01647725999999</v>
      </c>
      <c r="D10" s="783">
        <v>490.5559197</v>
      </c>
      <c r="E10" s="783">
        <v>498.72304463</v>
      </c>
      <c r="F10" s="783">
        <v>118.74163664</v>
      </c>
      <c r="G10" s="783">
        <v>108.19685994000001</v>
      </c>
      <c r="H10" s="783">
        <v>136.06096600999999</v>
      </c>
      <c r="I10" s="783">
        <v>134.05635708</v>
      </c>
      <c r="J10" s="783">
        <v>141.09821805000001</v>
      </c>
      <c r="K10" s="783">
        <v>131.09943238</v>
      </c>
      <c r="L10" s="783">
        <v>135.14853092000001</v>
      </c>
      <c r="M10" s="784">
        <v>131.08763291999998</v>
      </c>
      <c r="N10" s="784">
        <v>137.21736048999998</v>
      </c>
      <c r="O10" s="784">
        <v>144.02456171</v>
      </c>
      <c r="P10" s="784">
        <v>205.66816359000001</v>
      </c>
      <c r="Q10" s="784">
        <v>215.91092725999999</v>
      </c>
      <c r="R10" s="784">
        <v>221.94209365999998</v>
      </c>
      <c r="S10" s="784">
        <v>224.63880134999999</v>
      </c>
      <c r="T10" s="784">
        <v>221.55502951</v>
      </c>
      <c r="U10" s="784">
        <v>221.02653531999999</v>
      </c>
      <c r="V10" s="784">
        <v>223.51583880000001</v>
      </c>
      <c r="W10" s="784">
        <v>227.59999175999997</v>
      </c>
      <c r="X10" s="784">
        <v>229.86968580999996</v>
      </c>
      <c r="Y10" s="784">
        <v>393.36210693999999</v>
      </c>
      <c r="Z10" s="784">
        <v>388.02356772999997</v>
      </c>
      <c r="AA10" s="784">
        <v>436.99734518000002</v>
      </c>
      <c r="AB10" s="784">
        <v>454.13826929000004</v>
      </c>
      <c r="AC10" s="784">
        <v>449.91782843999999</v>
      </c>
      <c r="AD10" s="784">
        <v>459.96901541999995</v>
      </c>
      <c r="AE10" s="784">
        <v>459.89180684000002</v>
      </c>
      <c r="AF10" s="784">
        <v>452.38938588999997</v>
      </c>
      <c r="AG10" s="784">
        <v>539.40436950999992</v>
      </c>
      <c r="AH10" s="784">
        <v>543.35058392999997</v>
      </c>
      <c r="AI10" s="784">
        <v>590.25791898</v>
      </c>
      <c r="AJ10" s="784">
        <v>587.18085044999998</v>
      </c>
      <c r="AK10" s="784">
        <v>835.96484687999998</v>
      </c>
      <c r="AL10" s="784">
        <v>859.81413688999987</v>
      </c>
      <c r="AM10" s="784">
        <v>915.97287056000005</v>
      </c>
      <c r="AN10" s="784">
        <v>889.22349469999995</v>
      </c>
      <c r="AO10" s="784">
        <v>904.59454247999997</v>
      </c>
      <c r="AP10" s="784">
        <v>635.17052659000001</v>
      </c>
      <c r="AQ10" s="784">
        <v>649.76178717999994</v>
      </c>
      <c r="AR10" s="784">
        <v>658.46331538000004</v>
      </c>
      <c r="AS10" s="784">
        <v>666.23566278999999</v>
      </c>
      <c r="AT10" s="784">
        <v>662.05018065000002</v>
      </c>
      <c r="AU10" s="784">
        <v>655.82043627999997</v>
      </c>
      <c r="AV10" s="784">
        <v>692.64777032000006</v>
      </c>
      <c r="AW10" s="784">
        <v>716.52135666000004</v>
      </c>
      <c r="AX10" s="784">
        <v>815.97289054999999</v>
      </c>
      <c r="AY10" s="784">
        <v>739.92917187</v>
      </c>
      <c r="AZ10" s="784">
        <v>717.05636463999997</v>
      </c>
      <c r="BA10" s="784">
        <v>713.26840070000003</v>
      </c>
      <c r="BB10" s="784">
        <v>514.74406880000004</v>
      </c>
      <c r="BC10" s="784">
        <v>449.93814546999999</v>
      </c>
      <c r="BD10" s="784">
        <v>556.28803870000002</v>
      </c>
      <c r="BE10" s="784">
        <v>562.03467877000003</v>
      </c>
      <c r="BF10" s="784">
        <v>564.23899266000001</v>
      </c>
      <c r="BG10" s="784">
        <v>560.90701624000008</v>
      </c>
      <c r="BH10" s="827">
        <v>558.24920702999998</v>
      </c>
      <c r="BI10" s="816">
        <v>587.45271791999994</v>
      </c>
      <c r="BJ10" s="816">
        <v>576.41761564000001</v>
      </c>
      <c r="BK10" s="816">
        <v>448.34323267999997</v>
      </c>
      <c r="BL10" s="816">
        <v>438.21877163999994</v>
      </c>
      <c r="BM10" s="816">
        <v>440.79072854999998</v>
      </c>
      <c r="BN10" s="816">
        <v>439.97160451999997</v>
      </c>
      <c r="BO10" s="816">
        <v>460.61150981999998</v>
      </c>
      <c r="BP10" s="816">
        <v>466.35573925000006</v>
      </c>
      <c r="BQ10" s="816">
        <v>464.39037102999998</v>
      </c>
      <c r="BR10" s="816">
        <v>468.22312769000001</v>
      </c>
      <c r="BS10" s="816">
        <v>461.28682637999998</v>
      </c>
      <c r="BT10" s="816">
        <v>462.71017678999999</v>
      </c>
      <c r="BU10" s="816">
        <v>473.28663753000001</v>
      </c>
      <c r="BV10" s="816">
        <v>466.40882180000006</v>
      </c>
      <c r="BW10" s="816">
        <v>472.49069474000004</v>
      </c>
      <c r="BX10" s="816">
        <v>469.18256199000001</v>
      </c>
      <c r="BY10" s="816">
        <v>400.03511544999998</v>
      </c>
      <c r="BZ10" s="816">
        <v>407.39206663000004</v>
      </c>
      <c r="CA10" s="816">
        <v>406.87375298999996</v>
      </c>
      <c r="CB10" s="816">
        <v>402.11777109999997</v>
      </c>
      <c r="CC10" s="816">
        <v>399.35571682000005</v>
      </c>
      <c r="CD10" s="816">
        <v>276.84450260999995</v>
      </c>
      <c r="CE10" s="816">
        <v>282.57323888000002</v>
      </c>
      <c r="CF10" s="816">
        <v>270.02359273000002</v>
      </c>
      <c r="CG10" s="816">
        <v>289.62521072999999</v>
      </c>
      <c r="CH10" s="816">
        <v>261.82338851999998</v>
      </c>
      <c r="CI10" s="816">
        <v>269.92292183999996</v>
      </c>
      <c r="CJ10" s="816">
        <v>276.25197876999999</v>
      </c>
      <c r="CK10" s="816">
        <v>272.28082657000004</v>
      </c>
      <c r="CL10" s="816">
        <v>211.66581278999999</v>
      </c>
      <c r="CM10" s="816">
        <v>193.70737768999999</v>
      </c>
      <c r="CN10" s="816">
        <v>193.03314757000001</v>
      </c>
      <c r="CO10" s="816">
        <v>187.74701800000003</v>
      </c>
      <c r="CP10" s="816">
        <v>187.18031102999998</v>
      </c>
      <c r="CQ10" s="816">
        <v>189.93353534000002</v>
      </c>
      <c r="CR10" s="816">
        <v>190.64017178</v>
      </c>
      <c r="CS10" s="816">
        <v>173.28483374999999</v>
      </c>
      <c r="CT10" s="816">
        <v>171.06707675999999</v>
      </c>
      <c r="CU10" s="816">
        <v>169.51842887000001</v>
      </c>
      <c r="CV10" s="816">
        <v>170.57506821999999</v>
      </c>
      <c r="CW10" s="816">
        <v>169.32613724999999</v>
      </c>
      <c r="CX10" s="816">
        <v>163.59614475999999</v>
      </c>
      <c r="CY10" s="816">
        <v>180.80696243</v>
      </c>
      <c r="CZ10" s="816">
        <v>179.16939737999999</v>
      </c>
      <c r="DA10" s="816">
        <v>177.69214934999999</v>
      </c>
      <c r="DB10" s="816">
        <v>176.30831752</v>
      </c>
      <c r="DC10" s="816">
        <v>174.87861373000001</v>
      </c>
      <c r="DD10" s="886">
        <v>163.74010878000001</v>
      </c>
      <c r="DE10" s="886">
        <v>163.89743983</v>
      </c>
      <c r="DF10" s="886">
        <v>163.86037561000001</v>
      </c>
      <c r="DG10" s="839">
        <v>163.85986507999999</v>
      </c>
      <c r="DH10" s="839">
        <v>163.84735309999999</v>
      </c>
      <c r="DI10" s="839">
        <v>163.83257510000001</v>
      </c>
      <c r="DJ10" s="839">
        <v>163.78346113000001</v>
      </c>
      <c r="DK10" s="839">
        <v>163.77177048999999</v>
      </c>
      <c r="DL10" s="839">
        <v>163.74109053999999</v>
      </c>
      <c r="DM10" s="839">
        <v>152.39220904999999</v>
      </c>
      <c r="DN10" s="839">
        <v>152.66013919</v>
      </c>
      <c r="DO10" s="839">
        <v>146.94425215000001</v>
      </c>
      <c r="DP10" s="839">
        <v>141.31359064</v>
      </c>
      <c r="DQ10" s="839">
        <v>98.171173249999995</v>
      </c>
      <c r="DR10" s="839">
        <v>96.143053170000002</v>
      </c>
      <c r="DS10" s="839">
        <v>96.142682820000005</v>
      </c>
      <c r="DT10" s="839">
        <v>96.119826759999995</v>
      </c>
      <c r="DU10" s="839">
        <v>96.096153959999995</v>
      </c>
      <c r="DV10" s="839">
        <v>96.072547170000007</v>
      </c>
      <c r="DW10" s="839">
        <v>96.091957750000006</v>
      </c>
      <c r="DX10" s="839">
        <v>96.053906449999999</v>
      </c>
      <c r="DY10" s="839">
        <v>94.838897309999993</v>
      </c>
      <c r="DZ10" s="839">
        <v>56.138270470000002</v>
      </c>
      <c r="EA10" s="839">
        <v>258.88372269000001</v>
      </c>
      <c r="EB10" s="839">
        <v>258.85848026999997</v>
      </c>
      <c r="EC10" s="839">
        <v>233.33244382000001</v>
      </c>
      <c r="ED10" s="839">
        <v>227.48407116000001</v>
      </c>
      <c r="EE10" s="839">
        <v>227.47848124000001</v>
      </c>
      <c r="EF10" s="839">
        <v>227.45289439000001</v>
      </c>
      <c r="EG10" s="839">
        <v>222.43931957000001</v>
      </c>
      <c r="EH10" s="839">
        <v>254.11999428999999</v>
      </c>
      <c r="EI10" s="839">
        <v>281.39951595999997</v>
      </c>
      <c r="EJ10" s="839">
        <v>275.42939969000003</v>
      </c>
      <c r="EK10" s="839">
        <v>275.36026827000001</v>
      </c>
      <c r="EL10" s="839">
        <v>322.39130168000003</v>
      </c>
      <c r="EM10" s="839">
        <v>394.73333996000002</v>
      </c>
      <c r="EN10" s="839">
        <v>403.51873361999998</v>
      </c>
      <c r="EO10" s="839">
        <v>404.65343916</v>
      </c>
      <c r="EP10" s="839">
        <v>409.65857133999998</v>
      </c>
      <c r="EQ10" s="839">
        <v>409.60058930000002</v>
      </c>
      <c r="ER10" s="839">
        <v>409.58978452000002</v>
      </c>
      <c r="ES10" s="839">
        <v>408.17919225000003</v>
      </c>
      <c r="ET10" s="839">
        <v>413.57465551000001</v>
      </c>
      <c r="EU10" s="839">
        <v>413.51455220999998</v>
      </c>
      <c r="EV10" s="839">
        <v>408.01858564000003</v>
      </c>
      <c r="EW10" s="839">
        <v>405.08785852</v>
      </c>
      <c r="EX10" s="839">
        <v>404.51894895999999</v>
      </c>
      <c r="EY10" s="839">
        <v>398.39058204000003</v>
      </c>
      <c r="EZ10" s="839">
        <v>395.15540307999999</v>
      </c>
      <c r="FA10" s="839">
        <v>429.65128949000001</v>
      </c>
      <c r="FB10" s="839">
        <v>420.71662724999999</v>
      </c>
      <c r="FC10" s="839">
        <v>415.74673991999998</v>
      </c>
      <c r="FD10" s="839">
        <v>456.12416482999998</v>
      </c>
      <c r="FE10" s="839">
        <v>448.33691485000003</v>
      </c>
      <c r="FF10" s="839">
        <v>443.28197856000003</v>
      </c>
      <c r="FG10" s="839">
        <v>604.70897362000005</v>
      </c>
      <c r="FH10" s="1712" t="s">
        <v>4067</v>
      </c>
      <c r="FM10" s="321"/>
    </row>
    <row r="11" spans="1:302" ht="21">
      <c r="A11" s="1723" t="s">
        <v>1962</v>
      </c>
      <c r="B11" s="780">
        <f>+B9-B10</f>
        <v>304.56946395000006</v>
      </c>
      <c r="C11" s="780">
        <f t="shared" ref="C11:V11" si="0">+C9-C10</f>
        <v>324.96951623999996</v>
      </c>
      <c r="D11" s="780">
        <f t="shared" si="0"/>
        <v>326.63983909000001</v>
      </c>
      <c r="E11" s="780">
        <f t="shared" si="0"/>
        <v>330.99818827000013</v>
      </c>
      <c r="F11" s="780">
        <f t="shared" si="0"/>
        <v>329.71821437999995</v>
      </c>
      <c r="G11" s="780">
        <f t="shared" si="0"/>
        <v>334.69906494999998</v>
      </c>
      <c r="H11" s="780">
        <f t="shared" si="0"/>
        <v>352.84797449999996</v>
      </c>
      <c r="I11" s="780">
        <f t="shared" si="0"/>
        <v>348.43850688999993</v>
      </c>
      <c r="J11" s="780">
        <f t="shared" si="0"/>
        <v>374.43272444000002</v>
      </c>
      <c r="K11" s="780">
        <f t="shared" si="0"/>
        <v>365.90347346999994</v>
      </c>
      <c r="L11" s="780">
        <f t="shared" si="0"/>
        <v>365.70542840999997</v>
      </c>
      <c r="M11" s="784">
        <f t="shared" si="0"/>
        <v>374.95385800999998</v>
      </c>
      <c r="N11" s="781">
        <f t="shared" si="0"/>
        <v>377.51845325999994</v>
      </c>
      <c r="O11" s="781">
        <f t="shared" si="0"/>
        <v>385.5663193100001</v>
      </c>
      <c r="P11" s="781">
        <f t="shared" si="0"/>
        <v>373.58113823000002</v>
      </c>
      <c r="Q11" s="781">
        <f t="shared" si="0"/>
        <v>370.37447248000001</v>
      </c>
      <c r="R11" s="781">
        <f t="shared" si="0"/>
        <v>360.02626888000009</v>
      </c>
      <c r="S11" s="781">
        <f t="shared" si="0"/>
        <v>362.14015674999996</v>
      </c>
      <c r="T11" s="781">
        <f t="shared" si="0"/>
        <v>357.15934398999997</v>
      </c>
      <c r="U11" s="781">
        <f t="shared" si="0"/>
        <v>365.50841839999998</v>
      </c>
      <c r="V11" s="781">
        <f t="shared" si="0"/>
        <v>359.12446313000009</v>
      </c>
      <c r="W11" s="781">
        <v>341.47432616000015</v>
      </c>
      <c r="X11" s="781">
        <v>332.9550964</v>
      </c>
      <c r="Y11" s="784">
        <v>342.67651983000007</v>
      </c>
      <c r="Z11" s="781">
        <v>338.43519359000004</v>
      </c>
      <c r="AA11" s="781">
        <v>394.83017684000004</v>
      </c>
      <c r="AB11" s="784">
        <f>AB9-AB10</f>
        <v>411.95901233000006</v>
      </c>
      <c r="AC11" s="784">
        <v>421.80974162000007</v>
      </c>
      <c r="AD11" s="784">
        <v>430.91133017999999</v>
      </c>
      <c r="AE11" s="784">
        <v>435.03293033000006</v>
      </c>
      <c r="AF11" s="784">
        <v>468.64153553999995</v>
      </c>
      <c r="AG11" s="784">
        <v>466.34915358000001</v>
      </c>
      <c r="AH11" s="784">
        <f>AH9-AH10</f>
        <v>470.78655198000013</v>
      </c>
      <c r="AI11" s="784">
        <v>484.15312764999987</v>
      </c>
      <c r="AJ11" s="784">
        <f>AJ9-AJ10</f>
        <v>472.52641369999992</v>
      </c>
      <c r="AK11" s="784">
        <f>AK9-AK10</f>
        <v>628.99967658000003</v>
      </c>
      <c r="AL11" s="784">
        <v>641.52324401999999</v>
      </c>
      <c r="AM11" s="784">
        <f>AM9-AM10</f>
        <v>620.91929686000003</v>
      </c>
      <c r="AN11" s="784">
        <f>AN9-AN10</f>
        <v>623.5972135200002</v>
      </c>
      <c r="AO11" s="784">
        <f>AO9-AO10</f>
        <v>607.19561208000027</v>
      </c>
      <c r="AP11" s="784">
        <f>AP9-AP10</f>
        <v>608.28515324999989</v>
      </c>
      <c r="AQ11" s="784">
        <v>623.42279661000009</v>
      </c>
      <c r="AR11" s="784">
        <f>AR9-AR10</f>
        <v>497.77714001999993</v>
      </c>
      <c r="AS11" s="784">
        <v>509.2101799400001</v>
      </c>
      <c r="AT11" s="784">
        <f>AT9-AT10</f>
        <v>500.70025954000005</v>
      </c>
      <c r="AU11" s="784">
        <v>508.7270709899999</v>
      </c>
      <c r="AV11" s="784">
        <v>540.81993667000006</v>
      </c>
      <c r="AW11" s="784">
        <v>554.27620072000013</v>
      </c>
      <c r="AX11" s="784">
        <v>579.72527945000013</v>
      </c>
      <c r="AY11" s="784">
        <v>528.96445529000005</v>
      </c>
      <c r="AZ11" s="784">
        <v>510.05257799999993</v>
      </c>
      <c r="BA11" s="784">
        <v>495.50018634000003</v>
      </c>
      <c r="BB11" s="784">
        <v>487.18040114999997</v>
      </c>
      <c r="BC11" s="784">
        <v>572.70041015999993</v>
      </c>
      <c r="BD11" s="784">
        <f>+BD9-BD10</f>
        <v>503.02737720000005</v>
      </c>
      <c r="BE11" s="784">
        <v>500.59597342000006</v>
      </c>
      <c r="BF11" s="784">
        <v>496.66684964000012</v>
      </c>
      <c r="BG11" s="784">
        <v>508.58066233</v>
      </c>
      <c r="BH11" s="827">
        <v>511.32117025000002</v>
      </c>
      <c r="BI11" s="816">
        <v>539.25750461999996</v>
      </c>
      <c r="BJ11" s="816">
        <v>544.01202651000006</v>
      </c>
      <c r="BK11" s="816">
        <v>534.92564805000006</v>
      </c>
      <c r="BL11" s="816">
        <v>554.69555491000006</v>
      </c>
      <c r="BM11" s="816">
        <v>664.05303881999998</v>
      </c>
      <c r="BN11" s="816">
        <v>661.4039679</v>
      </c>
      <c r="BO11" s="816">
        <v>696.82922486999996</v>
      </c>
      <c r="BP11" s="816">
        <v>709.84663312999999</v>
      </c>
      <c r="BQ11" s="816">
        <v>710.69483692000006</v>
      </c>
      <c r="BR11" s="816">
        <v>821.07336866999981</v>
      </c>
      <c r="BS11" s="816">
        <v>827.69328639999992</v>
      </c>
      <c r="BT11" s="816">
        <v>904.45536703999994</v>
      </c>
      <c r="BU11" s="816">
        <v>897.36694177999993</v>
      </c>
      <c r="BV11" s="816">
        <v>901.74763245999986</v>
      </c>
      <c r="BW11" s="816">
        <v>886.53516683000021</v>
      </c>
      <c r="BX11" s="816">
        <v>888.69780876999994</v>
      </c>
      <c r="BY11" s="816">
        <v>871.88977580000005</v>
      </c>
      <c r="BZ11" s="816">
        <v>893.78065986000001</v>
      </c>
      <c r="CA11" s="816">
        <v>928.71447661999991</v>
      </c>
      <c r="CB11" s="816">
        <v>872.04887541000016</v>
      </c>
      <c r="CC11" s="816">
        <v>869.43360123999992</v>
      </c>
      <c r="CD11" s="816">
        <v>890.89567659000011</v>
      </c>
      <c r="CE11" s="816">
        <f t="shared" ref="CE11:CP11" si="1">+CE9-CE10</f>
        <v>881.22630925000021</v>
      </c>
      <c r="CF11" s="816">
        <f t="shared" si="1"/>
        <v>937.63598060999993</v>
      </c>
      <c r="CG11" s="816">
        <f t="shared" si="1"/>
        <v>914.22349891999988</v>
      </c>
      <c r="CH11" s="816">
        <f t="shared" si="1"/>
        <v>915.28274974999999</v>
      </c>
      <c r="CI11" s="816">
        <f t="shared" si="1"/>
        <v>902.19483555999989</v>
      </c>
      <c r="CJ11" s="816">
        <f t="shared" si="1"/>
        <v>891.93196107000017</v>
      </c>
      <c r="CK11" s="816">
        <f t="shared" si="1"/>
        <v>828.86150585999985</v>
      </c>
      <c r="CL11" s="816">
        <f t="shared" si="1"/>
        <v>749.86500006999984</v>
      </c>
      <c r="CM11" s="816">
        <f t="shared" si="1"/>
        <v>721.68091257000015</v>
      </c>
      <c r="CN11" s="816">
        <f t="shared" si="1"/>
        <v>724.37167536999993</v>
      </c>
      <c r="CO11" s="816">
        <f t="shared" si="1"/>
        <v>713.69170337000003</v>
      </c>
      <c r="CP11" s="816">
        <f t="shared" si="1"/>
        <v>704.40901133999989</v>
      </c>
      <c r="CQ11" s="816">
        <f>+CQ9-CQ10</f>
        <v>685.24940800000002</v>
      </c>
      <c r="CR11" s="816">
        <f>+CR9-CR10</f>
        <v>666.83120463</v>
      </c>
      <c r="CS11" s="816">
        <v>674.57327037000005</v>
      </c>
      <c r="CT11" s="816">
        <v>660.43568968</v>
      </c>
      <c r="CU11" s="816">
        <v>690.35785666000004</v>
      </c>
      <c r="CV11" s="816">
        <v>682.72297120999997</v>
      </c>
      <c r="CW11" s="816">
        <v>700.76805392000006</v>
      </c>
      <c r="CX11" s="816">
        <v>661.38726247</v>
      </c>
      <c r="CY11" s="816">
        <v>639.25049207999996</v>
      </c>
      <c r="CZ11" s="816">
        <v>577.23409411</v>
      </c>
      <c r="DA11" s="816">
        <v>569.99689698999998</v>
      </c>
      <c r="DB11" s="816">
        <v>575.22244794999995</v>
      </c>
      <c r="DC11" s="816">
        <v>571.47677821000002</v>
      </c>
      <c r="DD11" s="886">
        <v>576.91579338999998</v>
      </c>
      <c r="DE11" s="886">
        <v>570.04350103000002</v>
      </c>
      <c r="DF11" s="886">
        <v>577.36478489000001</v>
      </c>
      <c r="DG11" s="839">
        <v>564.29767220999997</v>
      </c>
      <c r="DH11" s="839">
        <v>570.36901030000001</v>
      </c>
      <c r="DI11" s="839">
        <v>575.48618703</v>
      </c>
      <c r="DJ11" s="839">
        <v>594.58938961000001</v>
      </c>
      <c r="DK11" s="839">
        <v>606.48730763000003</v>
      </c>
      <c r="DL11" s="839">
        <v>614.68046761000005</v>
      </c>
      <c r="DM11" s="839">
        <v>603.02831390999995</v>
      </c>
      <c r="DN11" s="839">
        <v>636.48382885000001</v>
      </c>
      <c r="DO11" s="839">
        <v>647.44852675000004</v>
      </c>
      <c r="DP11" s="839">
        <v>656.43467744999998</v>
      </c>
      <c r="DQ11" s="839">
        <v>690.39675641999997</v>
      </c>
      <c r="DR11" s="839">
        <v>685.27179364999995</v>
      </c>
      <c r="DS11" s="839">
        <v>670.11238318999995</v>
      </c>
      <c r="DT11" s="839">
        <v>700.84848583999997</v>
      </c>
      <c r="DU11" s="839">
        <v>724.00088749999998</v>
      </c>
      <c r="DV11" s="839">
        <v>759.99985437999999</v>
      </c>
      <c r="DW11" s="839">
        <v>993.90751211999998</v>
      </c>
      <c r="DX11" s="839">
        <v>979.97127080999996</v>
      </c>
      <c r="DY11" s="839">
        <v>1003.6784489299999</v>
      </c>
      <c r="DZ11" s="839">
        <v>1048.9268004600001</v>
      </c>
      <c r="EA11" s="839">
        <v>1062.5332919</v>
      </c>
      <c r="EB11" s="839">
        <v>1055.35240763</v>
      </c>
      <c r="EC11" s="839">
        <v>1187.67531472</v>
      </c>
      <c r="ED11" s="839">
        <v>1163.2069110499999</v>
      </c>
      <c r="EE11" s="839">
        <v>1235.3218137199999</v>
      </c>
      <c r="EF11" s="839">
        <v>1239.48990521</v>
      </c>
      <c r="EG11" s="839">
        <v>1319.81514973</v>
      </c>
      <c r="EH11" s="839">
        <v>1427.6785319400001</v>
      </c>
      <c r="EI11" s="839">
        <v>1428.48125218</v>
      </c>
      <c r="EJ11" s="839">
        <v>1420.94907481</v>
      </c>
      <c r="EK11" s="839">
        <v>1429.9280958100001</v>
      </c>
      <c r="EL11" s="839">
        <v>1445.85825482</v>
      </c>
      <c r="EM11" s="839">
        <v>1412.6297936799999</v>
      </c>
      <c r="EN11" s="839">
        <v>1413.32580347</v>
      </c>
      <c r="EO11" s="839">
        <v>1449.4449550500001</v>
      </c>
      <c r="EP11" s="839">
        <v>1428.31008866</v>
      </c>
      <c r="EQ11" s="839">
        <v>1442.67152577</v>
      </c>
      <c r="ER11" s="839">
        <v>1477.9460826300001</v>
      </c>
      <c r="ES11" s="839">
        <v>1479.3490029</v>
      </c>
      <c r="ET11" s="839">
        <v>1485.3942185999999</v>
      </c>
      <c r="EU11" s="839">
        <v>1473.9288945999999</v>
      </c>
      <c r="EV11" s="839">
        <v>1485.51230975</v>
      </c>
      <c r="EW11" s="839">
        <v>1508.8903755599999</v>
      </c>
      <c r="EX11" s="839">
        <v>1682.32342737</v>
      </c>
      <c r="EY11" s="839">
        <v>1717.3625329500001</v>
      </c>
      <c r="EZ11" s="839">
        <v>1739.9314298700001</v>
      </c>
      <c r="FA11" s="839">
        <v>1760.5168553799999</v>
      </c>
      <c r="FB11" s="839">
        <v>1742.89025324</v>
      </c>
      <c r="FC11" s="839">
        <v>1739.38007083</v>
      </c>
      <c r="FD11" s="839">
        <v>1800.8886251599999</v>
      </c>
      <c r="FE11" s="839">
        <v>1858.50811342</v>
      </c>
      <c r="FF11" s="839">
        <v>1845.6761983399999</v>
      </c>
      <c r="FG11" s="839">
        <v>1878.95644017</v>
      </c>
      <c r="FH11" s="1712" t="s">
        <v>4066</v>
      </c>
      <c r="FM11" s="321"/>
    </row>
    <row r="12" spans="1:302" ht="21">
      <c r="A12" s="1721"/>
      <c r="B12" s="783"/>
      <c r="C12" s="783"/>
      <c r="D12" s="783"/>
      <c r="E12" s="783"/>
      <c r="F12" s="783"/>
      <c r="G12" s="783"/>
      <c r="H12" s="783"/>
      <c r="I12" s="783"/>
      <c r="J12" s="783"/>
      <c r="K12" s="783"/>
      <c r="L12" s="783"/>
      <c r="M12" s="784"/>
      <c r="N12" s="784"/>
      <c r="O12" s="784"/>
      <c r="P12" s="784"/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84"/>
      <c r="AF12" s="784"/>
      <c r="AG12" s="784"/>
      <c r="AH12" s="784"/>
      <c r="AI12" s="784"/>
      <c r="AJ12" s="784"/>
      <c r="AK12" s="784"/>
      <c r="AL12" s="784"/>
      <c r="AM12" s="784"/>
      <c r="AN12" s="784"/>
      <c r="AO12" s="784"/>
      <c r="AP12" s="784"/>
      <c r="AQ12" s="784"/>
      <c r="AR12" s="784"/>
      <c r="AS12" s="784"/>
      <c r="AT12" s="784"/>
      <c r="AU12" s="784"/>
      <c r="AV12" s="784"/>
      <c r="AW12" s="784"/>
      <c r="AX12" s="784"/>
      <c r="AY12" s="784"/>
      <c r="AZ12" s="784"/>
      <c r="BA12" s="784"/>
      <c r="BB12" s="784"/>
      <c r="BC12" s="784"/>
      <c r="BD12" s="784"/>
      <c r="BE12" s="784"/>
      <c r="BF12" s="784"/>
      <c r="BG12" s="784"/>
      <c r="BH12" s="827"/>
      <c r="BI12" s="816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6"/>
      <c r="CN12" s="816"/>
      <c r="CO12" s="816"/>
      <c r="CP12" s="816"/>
      <c r="CQ12" s="816"/>
      <c r="CR12" s="816"/>
      <c r="CS12" s="816"/>
      <c r="CT12" s="816"/>
      <c r="CU12" s="816"/>
      <c r="CV12" s="816"/>
      <c r="CW12" s="816"/>
      <c r="CX12" s="816"/>
      <c r="CY12" s="816"/>
      <c r="CZ12" s="816"/>
      <c r="DA12" s="816"/>
      <c r="DB12" s="816"/>
      <c r="DC12" s="816"/>
      <c r="DD12" s="886"/>
      <c r="DE12" s="886"/>
      <c r="DF12" s="886"/>
      <c r="DG12" s="839"/>
      <c r="DH12" s="839"/>
      <c r="DI12" s="839"/>
      <c r="DJ12" s="839"/>
      <c r="DK12" s="839"/>
      <c r="DL12" s="839"/>
      <c r="DM12" s="839"/>
      <c r="DN12" s="839"/>
      <c r="DO12" s="839"/>
      <c r="DP12" s="839"/>
      <c r="DQ12" s="839"/>
      <c r="DR12" s="839"/>
      <c r="DS12" s="839"/>
      <c r="DT12" s="839"/>
      <c r="DU12" s="839"/>
      <c r="DV12" s="839"/>
      <c r="DW12" s="839"/>
      <c r="DX12" s="839"/>
      <c r="DY12" s="839"/>
      <c r="DZ12" s="839"/>
      <c r="EA12" s="839"/>
      <c r="EB12" s="839"/>
      <c r="EC12" s="839"/>
      <c r="ED12" s="839"/>
      <c r="EE12" s="839"/>
      <c r="EF12" s="839"/>
      <c r="EG12" s="839"/>
      <c r="EH12" s="839"/>
      <c r="EI12" s="839"/>
      <c r="EJ12" s="839"/>
      <c r="EK12" s="839"/>
      <c r="EL12" s="839"/>
      <c r="EM12" s="839"/>
      <c r="EN12" s="839"/>
      <c r="EO12" s="839"/>
      <c r="EP12" s="839"/>
      <c r="EQ12" s="839"/>
      <c r="ER12" s="839"/>
      <c r="ES12" s="839"/>
      <c r="ET12" s="839"/>
      <c r="EU12" s="839"/>
      <c r="EV12" s="839"/>
      <c r="EW12" s="839"/>
      <c r="EX12" s="839"/>
      <c r="EY12" s="839"/>
      <c r="EZ12" s="839"/>
      <c r="FA12" s="839"/>
      <c r="FB12" s="839"/>
      <c r="FC12" s="839"/>
      <c r="FD12" s="839"/>
      <c r="FE12" s="839"/>
      <c r="FF12" s="839"/>
      <c r="FG12" s="839"/>
      <c r="FH12" s="1711"/>
      <c r="FM12" s="321"/>
    </row>
    <row r="13" spans="1:302" ht="21">
      <c r="A13" s="1722" t="s">
        <v>2741</v>
      </c>
      <c r="B13" s="780">
        <v>507.42843032000002</v>
      </c>
      <c r="C13" s="780">
        <v>524.99967651999998</v>
      </c>
      <c r="D13" s="780">
        <v>534.04919411000003</v>
      </c>
      <c r="E13" s="780">
        <v>540.16775615000006</v>
      </c>
      <c r="F13" s="780">
        <v>163.89234923000001</v>
      </c>
      <c r="G13" s="780">
        <v>153.89323934999999</v>
      </c>
      <c r="H13" s="780">
        <v>183.08798338</v>
      </c>
      <c r="I13" s="780">
        <v>180.10297616999998</v>
      </c>
      <c r="J13" s="780">
        <v>182.85229500000003</v>
      </c>
      <c r="K13" s="780">
        <v>168.39408284999999</v>
      </c>
      <c r="L13" s="780">
        <v>174.02265593999999</v>
      </c>
      <c r="M13" s="781">
        <v>166.41937283999999</v>
      </c>
      <c r="N13" s="781">
        <v>178.53736264999998</v>
      </c>
      <c r="O13" s="781">
        <v>187.98067644000002</v>
      </c>
      <c r="P13" s="781">
        <v>240.49386544999999</v>
      </c>
      <c r="Q13" s="781">
        <v>248.98681202999998</v>
      </c>
      <c r="R13" s="781">
        <v>243.00768470000003</v>
      </c>
      <c r="S13" s="781">
        <v>247.12669526999997</v>
      </c>
      <c r="T13" s="781">
        <v>244.17903846999997</v>
      </c>
      <c r="U13" s="781">
        <v>253.08849155000001</v>
      </c>
      <c r="V13" s="781">
        <v>185.46936525000001</v>
      </c>
      <c r="W13" s="781">
        <v>173.20822641000001</v>
      </c>
      <c r="X13" s="781">
        <v>165.37175228999999</v>
      </c>
      <c r="Y13" s="781">
        <v>329.00700834999998</v>
      </c>
      <c r="Z13" s="781">
        <v>322.35860346999999</v>
      </c>
      <c r="AA13" s="781">
        <v>371.96641175000002</v>
      </c>
      <c r="AB13" s="781">
        <v>370.33742301000007</v>
      </c>
      <c r="AC13" s="781">
        <v>366.51985273000003</v>
      </c>
      <c r="AD13" s="781">
        <v>368.48354021</v>
      </c>
      <c r="AE13" s="781">
        <v>369.93536634000003</v>
      </c>
      <c r="AF13" s="781">
        <v>394.30213676999995</v>
      </c>
      <c r="AG13" s="781">
        <v>405.70291370999996</v>
      </c>
      <c r="AH13" s="781">
        <v>381.26119168999998</v>
      </c>
      <c r="AI13" s="781">
        <v>379.39115588000004</v>
      </c>
      <c r="AJ13" s="781">
        <v>382.19071415999997</v>
      </c>
      <c r="AK13" s="781">
        <v>544.50113308000005</v>
      </c>
      <c r="AL13" s="781">
        <v>561.68299117999993</v>
      </c>
      <c r="AM13" s="781">
        <v>550.83424279999997</v>
      </c>
      <c r="AN13" s="781">
        <v>526.31375068</v>
      </c>
      <c r="AO13" s="781">
        <v>525.61498124000002</v>
      </c>
      <c r="AP13" s="781">
        <v>269.06161515999997</v>
      </c>
      <c r="AQ13" s="781">
        <v>266.83380957999998</v>
      </c>
      <c r="AR13" s="781">
        <v>231.72581046000005</v>
      </c>
      <c r="AS13" s="781">
        <v>227.1274688</v>
      </c>
      <c r="AT13" s="781">
        <v>211.23994210000001</v>
      </c>
      <c r="AU13" s="781">
        <v>202.23761458999996</v>
      </c>
      <c r="AV13" s="781">
        <v>228.21558055</v>
      </c>
      <c r="AW13" s="781">
        <v>255.37415869</v>
      </c>
      <c r="AX13" s="781">
        <v>314.04464339000003</v>
      </c>
      <c r="AY13" s="781">
        <v>280.92747125</v>
      </c>
      <c r="AZ13" s="781">
        <v>280.09984621000001</v>
      </c>
      <c r="BA13" s="781">
        <v>279.50294514000001</v>
      </c>
      <c r="BB13" s="781">
        <v>237.45733312999999</v>
      </c>
      <c r="BC13" s="781">
        <v>227.52258305999999</v>
      </c>
      <c r="BD13" s="781">
        <v>225.43872663999997</v>
      </c>
      <c r="BE13" s="781">
        <v>223.88630667000001</v>
      </c>
      <c r="BF13" s="781">
        <v>227.73351843</v>
      </c>
      <c r="BG13" s="781">
        <v>237.67564231</v>
      </c>
      <c r="BH13" s="826">
        <v>237.88854345000001</v>
      </c>
      <c r="BI13" s="815">
        <v>239.78881192999995</v>
      </c>
      <c r="BJ13" s="815">
        <v>228.50738426999999</v>
      </c>
      <c r="BK13" s="815">
        <v>223.85886670999997</v>
      </c>
      <c r="BL13" s="815">
        <v>280.41741375000004</v>
      </c>
      <c r="BM13" s="815">
        <v>305.19798595000003</v>
      </c>
      <c r="BN13" s="815">
        <v>305.58191987999999</v>
      </c>
      <c r="BO13" s="815">
        <v>287.55329999999998</v>
      </c>
      <c r="BP13" s="815">
        <v>303.02505136000002</v>
      </c>
      <c r="BQ13" s="815">
        <v>302.73775936999999</v>
      </c>
      <c r="BR13" s="815">
        <v>316.63087144999997</v>
      </c>
      <c r="BS13" s="815">
        <v>330.08963831</v>
      </c>
      <c r="BT13" s="815">
        <v>350.82080633999999</v>
      </c>
      <c r="BU13" s="815">
        <v>325.14299610999996</v>
      </c>
      <c r="BV13" s="815">
        <v>334.01972843999999</v>
      </c>
      <c r="BW13" s="815">
        <v>335.80891435999996</v>
      </c>
      <c r="BX13" s="815">
        <v>345.99121041000001</v>
      </c>
      <c r="BY13" s="815">
        <v>330.66645369999998</v>
      </c>
      <c r="BZ13" s="815">
        <v>343.76317367000001</v>
      </c>
      <c r="CA13" s="815">
        <v>331.27804697000005</v>
      </c>
      <c r="CB13" s="815">
        <v>285.13509785999997</v>
      </c>
      <c r="CC13" s="815">
        <v>283.99604725</v>
      </c>
      <c r="CD13" s="815">
        <v>284.57489620000001</v>
      </c>
      <c r="CE13" s="815">
        <v>286.91781349000001</v>
      </c>
      <c r="CF13" s="815">
        <v>285.66822238999998</v>
      </c>
      <c r="CG13" s="815">
        <v>215.57699778999995</v>
      </c>
      <c r="CH13" s="815">
        <v>204.24516796999998</v>
      </c>
      <c r="CI13" s="815">
        <v>203.38606125000001</v>
      </c>
      <c r="CJ13" s="815">
        <v>201.84166063000001</v>
      </c>
      <c r="CK13" s="815">
        <v>199.75225159999999</v>
      </c>
      <c r="CL13" s="815">
        <v>160.23167658</v>
      </c>
      <c r="CM13" s="815">
        <v>155.63601152000001</v>
      </c>
      <c r="CN13" s="815">
        <v>159.64286839999997</v>
      </c>
      <c r="CO13" s="815">
        <v>158.49652209999999</v>
      </c>
      <c r="CP13" s="815">
        <v>155.42169095999998</v>
      </c>
      <c r="CQ13" s="815">
        <v>158.77220137</v>
      </c>
      <c r="CR13" s="815">
        <v>159.34004904</v>
      </c>
      <c r="CS13" s="815">
        <v>150.13681513</v>
      </c>
      <c r="CT13" s="815">
        <v>140.99529387000001</v>
      </c>
      <c r="CU13" s="815">
        <v>135.03820755999999</v>
      </c>
      <c r="CV13" s="815">
        <v>135.05164977000001</v>
      </c>
      <c r="CW13" s="815">
        <v>136.31650493999999</v>
      </c>
      <c r="CX13" s="815">
        <v>111.04016678000001</v>
      </c>
      <c r="CY13" s="815">
        <v>115.21341258</v>
      </c>
      <c r="CZ13" s="815">
        <v>114.46442819000001</v>
      </c>
      <c r="DA13" s="815">
        <v>113.35979033</v>
      </c>
      <c r="DB13" s="815">
        <v>114.55895836000001</v>
      </c>
      <c r="DC13" s="815">
        <v>114.44869543</v>
      </c>
      <c r="DD13" s="885">
        <v>119.90102752999999</v>
      </c>
      <c r="DE13" s="885">
        <v>114.54357974</v>
      </c>
      <c r="DF13" s="885">
        <v>105.94506761</v>
      </c>
      <c r="DG13" s="838">
        <v>99.917687290000003</v>
      </c>
      <c r="DH13" s="838">
        <v>102.27527628</v>
      </c>
      <c r="DI13" s="838">
        <v>106.52911872999999</v>
      </c>
      <c r="DJ13" s="838">
        <v>125.0299682</v>
      </c>
      <c r="DK13" s="838">
        <v>143.56555510000001</v>
      </c>
      <c r="DL13" s="838">
        <v>154.52858075</v>
      </c>
      <c r="DM13" s="838">
        <v>135.54000291</v>
      </c>
      <c r="DN13" s="838">
        <v>142.32856484000001</v>
      </c>
      <c r="DO13" s="838">
        <v>143.24978615000001</v>
      </c>
      <c r="DP13" s="838">
        <v>152.44454098</v>
      </c>
      <c r="DQ13" s="838">
        <v>133.24660169000001</v>
      </c>
      <c r="DR13" s="838">
        <v>130.89760705</v>
      </c>
      <c r="DS13" s="838">
        <v>118.28909629</v>
      </c>
      <c r="DT13" s="838">
        <v>120.07092326999999</v>
      </c>
      <c r="DU13" s="838">
        <v>131.47410522999999</v>
      </c>
      <c r="DV13" s="838">
        <v>125.98212436999999</v>
      </c>
      <c r="DW13" s="838">
        <v>165.21896161999999</v>
      </c>
      <c r="DX13" s="838">
        <v>163.76919305999999</v>
      </c>
      <c r="DY13" s="838">
        <v>172.80605455</v>
      </c>
      <c r="DZ13" s="838">
        <v>165.5356524</v>
      </c>
      <c r="EA13" s="838">
        <v>152.11525878</v>
      </c>
      <c r="EB13" s="838">
        <v>153.54993941999999</v>
      </c>
      <c r="EC13" s="838">
        <v>185.40605622999999</v>
      </c>
      <c r="ED13" s="838">
        <v>178.93155598999999</v>
      </c>
      <c r="EE13" s="838">
        <v>184.4530187</v>
      </c>
      <c r="EF13" s="838">
        <v>204.19260703</v>
      </c>
      <c r="EG13" s="838">
        <v>255.35322644999999</v>
      </c>
      <c r="EH13" s="838">
        <v>285.28480810999997</v>
      </c>
      <c r="EI13" s="838">
        <v>236.35599844999999</v>
      </c>
      <c r="EJ13" s="838">
        <v>232.26886087</v>
      </c>
      <c r="EK13" s="838">
        <v>244.24593062</v>
      </c>
      <c r="EL13" s="838">
        <v>268.42536494000001</v>
      </c>
      <c r="EM13" s="838">
        <v>226.46458403</v>
      </c>
      <c r="EN13" s="838">
        <v>228.64767950000001</v>
      </c>
      <c r="EO13" s="838">
        <v>240.30265610999999</v>
      </c>
      <c r="EP13" s="838">
        <v>234.19012230999999</v>
      </c>
      <c r="EQ13" s="838">
        <v>205.92284866</v>
      </c>
      <c r="ER13" s="838">
        <v>221.72768400999999</v>
      </c>
      <c r="ES13" s="838">
        <v>189.80044892000001</v>
      </c>
      <c r="ET13" s="838">
        <v>180.90102776000001</v>
      </c>
      <c r="EU13" s="838">
        <v>152.32699425999999</v>
      </c>
      <c r="EV13" s="838">
        <v>165.89432427</v>
      </c>
      <c r="EW13" s="838">
        <v>179.23043851</v>
      </c>
      <c r="EX13" s="838">
        <v>324.82101361000002</v>
      </c>
      <c r="EY13" s="838">
        <v>476.24195474999999</v>
      </c>
      <c r="EZ13" s="838">
        <v>516.80806723000001</v>
      </c>
      <c r="FA13" s="838">
        <v>519.21692579</v>
      </c>
      <c r="FB13" s="838">
        <v>527.52094655999997</v>
      </c>
      <c r="FC13" s="838">
        <v>536.94557362</v>
      </c>
      <c r="FD13" s="838">
        <v>589.60206431999995</v>
      </c>
      <c r="FE13" s="838">
        <v>635.96651310000004</v>
      </c>
      <c r="FF13" s="838">
        <v>558.62931059000005</v>
      </c>
      <c r="FG13" s="838">
        <v>463.03788737999997</v>
      </c>
      <c r="FH13" s="1710" t="s">
        <v>4064</v>
      </c>
      <c r="FM13" s="321"/>
    </row>
    <row r="14" spans="1:302" ht="21">
      <c r="A14" s="1723" t="s">
        <v>1961</v>
      </c>
      <c r="B14" s="783">
        <v>421.77123088999997</v>
      </c>
      <c r="C14" s="783">
        <v>433.70391663999999</v>
      </c>
      <c r="D14" s="783">
        <v>440.61041441000003</v>
      </c>
      <c r="E14" s="783">
        <v>442.83119631</v>
      </c>
      <c r="F14" s="783">
        <v>65.143066930000003</v>
      </c>
      <c r="G14" s="783">
        <v>47.453785300000007</v>
      </c>
      <c r="H14" s="783">
        <v>73.282596829999989</v>
      </c>
      <c r="I14" s="783">
        <v>68.302858470000004</v>
      </c>
      <c r="J14" s="783">
        <v>70.391703250000006</v>
      </c>
      <c r="K14" s="783">
        <v>61.005585449999998</v>
      </c>
      <c r="L14" s="783">
        <v>65.232429150000002</v>
      </c>
      <c r="M14" s="784">
        <v>57.139128810000003</v>
      </c>
      <c r="N14" s="784">
        <v>64.137846449999998</v>
      </c>
      <c r="O14" s="784">
        <v>68.692105150000003</v>
      </c>
      <c r="P14" s="784">
        <v>123.62457008000001</v>
      </c>
      <c r="Q14" s="784">
        <v>131.87406752999999</v>
      </c>
      <c r="R14" s="784">
        <v>133.52639028999999</v>
      </c>
      <c r="S14" s="784">
        <v>131.98248361999998</v>
      </c>
      <c r="T14" s="784">
        <v>130.03342852</v>
      </c>
      <c r="U14" s="784">
        <v>129.68638933</v>
      </c>
      <c r="V14" s="784">
        <v>126.55434447</v>
      </c>
      <c r="W14" s="784">
        <v>129.27390130999999</v>
      </c>
      <c r="X14" s="784">
        <v>127.71818900999999</v>
      </c>
      <c r="Y14" s="784">
        <v>290.03036824999998</v>
      </c>
      <c r="Z14" s="784">
        <v>283.99101204999999</v>
      </c>
      <c r="AA14" s="784">
        <v>311.32461193</v>
      </c>
      <c r="AB14" s="784">
        <v>314.38521264000002</v>
      </c>
      <c r="AC14" s="784">
        <v>303.41292950999997</v>
      </c>
      <c r="AD14" s="784">
        <v>289.54116685999998</v>
      </c>
      <c r="AE14" s="784">
        <v>290.13801495000001</v>
      </c>
      <c r="AF14" s="784">
        <v>289.00668979</v>
      </c>
      <c r="AG14" s="784">
        <v>300.32606691999996</v>
      </c>
      <c r="AH14" s="784">
        <v>303.96089654999997</v>
      </c>
      <c r="AI14" s="784">
        <v>307.58140834</v>
      </c>
      <c r="AJ14" s="784">
        <v>308.16335513000001</v>
      </c>
      <c r="AK14" s="784">
        <v>439.56167402</v>
      </c>
      <c r="AL14" s="784">
        <v>454.03155796999994</v>
      </c>
      <c r="AM14" s="784">
        <v>444.82720469999998</v>
      </c>
      <c r="AN14" s="784">
        <v>440.57643894</v>
      </c>
      <c r="AO14" s="784">
        <v>441.26456444000002</v>
      </c>
      <c r="AP14" s="784">
        <v>184.57451903999998</v>
      </c>
      <c r="AQ14" s="784">
        <v>184.71156592999998</v>
      </c>
      <c r="AR14" s="784">
        <v>183.83922755000003</v>
      </c>
      <c r="AS14" s="784">
        <v>179.04532610000001</v>
      </c>
      <c r="AT14" s="784">
        <v>165.81514197999999</v>
      </c>
      <c r="AU14" s="784">
        <v>157.44744721999999</v>
      </c>
      <c r="AV14" s="784">
        <v>170.13295744999999</v>
      </c>
      <c r="AW14" s="784">
        <v>197.09213811000001</v>
      </c>
      <c r="AX14" s="784">
        <v>257.35990168000001</v>
      </c>
      <c r="AY14" s="784">
        <v>235.7791105</v>
      </c>
      <c r="AZ14" s="784">
        <v>228.27365291999999</v>
      </c>
      <c r="BA14" s="784">
        <v>230.80530952000001</v>
      </c>
      <c r="BB14" s="784">
        <v>193.81864182000001</v>
      </c>
      <c r="BC14" s="784">
        <v>183.35464489</v>
      </c>
      <c r="BD14" s="784">
        <v>183.26709857999998</v>
      </c>
      <c r="BE14" s="784">
        <v>183.04152098</v>
      </c>
      <c r="BF14" s="784">
        <v>188.74528176999999</v>
      </c>
      <c r="BG14" s="784">
        <v>187.16640705999998</v>
      </c>
      <c r="BH14" s="827">
        <v>187.15658876999998</v>
      </c>
      <c r="BI14" s="816">
        <v>188.73520959999996</v>
      </c>
      <c r="BJ14" s="816">
        <v>178.72520959999997</v>
      </c>
      <c r="BK14" s="816">
        <v>178.72520959999997</v>
      </c>
      <c r="BL14" s="816">
        <v>178.71588724999998</v>
      </c>
      <c r="BM14" s="816">
        <v>178.71588724999998</v>
      </c>
      <c r="BN14" s="816">
        <v>178.71588724999998</v>
      </c>
      <c r="BO14" s="816">
        <v>178.71588724999998</v>
      </c>
      <c r="BP14" s="816">
        <v>183.81588725</v>
      </c>
      <c r="BQ14" s="816">
        <v>183.81588725</v>
      </c>
      <c r="BR14" s="816">
        <v>188.81588725</v>
      </c>
      <c r="BS14" s="816">
        <v>180.31588725</v>
      </c>
      <c r="BT14" s="816">
        <v>106.36588725</v>
      </c>
      <c r="BU14" s="816">
        <v>100.13027600999999</v>
      </c>
      <c r="BV14" s="816">
        <v>92.52027600000001</v>
      </c>
      <c r="BW14" s="816">
        <v>97.920276000000001</v>
      </c>
      <c r="BX14" s="816">
        <v>95.220275999999998</v>
      </c>
      <c r="BY14" s="816">
        <v>81.620276000000004</v>
      </c>
      <c r="BZ14" s="816">
        <v>86.720275999999998</v>
      </c>
      <c r="CA14" s="816">
        <v>86.720275999999998</v>
      </c>
      <c r="CB14" s="816">
        <v>86.720275999999998</v>
      </c>
      <c r="CC14" s="816">
        <v>86.720275999999998</v>
      </c>
      <c r="CD14" s="816">
        <v>86.347895080000001</v>
      </c>
      <c r="CE14" s="816">
        <v>86.076304780000001</v>
      </c>
      <c r="CF14" s="816">
        <v>85.895518879999997</v>
      </c>
      <c r="CG14" s="816">
        <v>90.71862123999999</v>
      </c>
      <c r="CH14" s="816">
        <v>80.426628570000005</v>
      </c>
      <c r="CI14" s="816">
        <v>80.444288180000001</v>
      </c>
      <c r="CJ14" s="816">
        <v>80.160836200000006</v>
      </c>
      <c r="CK14" s="816">
        <v>79.874079160000008</v>
      </c>
      <c r="CL14" s="816">
        <v>78.270528180000014</v>
      </c>
      <c r="CM14" s="816">
        <v>75.323675589999993</v>
      </c>
      <c r="CN14" s="816">
        <v>76.797602370000007</v>
      </c>
      <c r="CO14" s="816">
        <v>75.271472130000006</v>
      </c>
      <c r="CP14" s="816">
        <v>76.528116389999994</v>
      </c>
      <c r="CQ14" s="816">
        <v>82.779120180000007</v>
      </c>
      <c r="CR14" s="816">
        <v>80.047220180000011</v>
      </c>
      <c r="CS14" s="816">
        <v>72.760275989999997</v>
      </c>
      <c r="CT14" s="816">
        <v>63.899107839999999</v>
      </c>
      <c r="CU14" s="816">
        <v>63.934107840000003</v>
      </c>
      <c r="CV14" s="816">
        <v>64.019087839999997</v>
      </c>
      <c r="CW14" s="816">
        <v>64.035072970000002</v>
      </c>
      <c r="CX14" s="816">
        <v>64.472031340000001</v>
      </c>
      <c r="CY14" s="816">
        <v>67.564279769999999</v>
      </c>
      <c r="CZ14" s="816">
        <v>67.552745869999995</v>
      </c>
      <c r="DA14" s="816">
        <v>67.541102449999997</v>
      </c>
      <c r="DB14" s="816">
        <v>67.459664129999993</v>
      </c>
      <c r="DC14" s="816">
        <v>67.441742399999995</v>
      </c>
      <c r="DD14" s="886">
        <v>67.427479259999998</v>
      </c>
      <c r="DE14" s="886">
        <v>67.409172749999996</v>
      </c>
      <c r="DF14" s="886">
        <v>67.376765219999996</v>
      </c>
      <c r="DG14" s="839">
        <v>67.361237959999997</v>
      </c>
      <c r="DH14" s="839">
        <v>67.349689659999996</v>
      </c>
      <c r="DI14" s="839">
        <v>67.342205480000004</v>
      </c>
      <c r="DJ14" s="839">
        <v>67.320500499999994</v>
      </c>
      <c r="DK14" s="839">
        <v>67.316276939999995</v>
      </c>
      <c r="DL14" s="839">
        <v>67.299107840000005</v>
      </c>
      <c r="DM14" s="839">
        <v>55.963607889999999</v>
      </c>
      <c r="DN14" s="839">
        <v>55.963607889999999</v>
      </c>
      <c r="DO14" s="839">
        <v>50.24921913</v>
      </c>
      <c r="DP14" s="839">
        <v>50.24921913</v>
      </c>
      <c r="DQ14" s="839">
        <v>46.214380149999997</v>
      </c>
      <c r="DR14" s="839">
        <v>44.188920150000001</v>
      </c>
      <c r="DS14" s="839">
        <v>44.208920149999997</v>
      </c>
      <c r="DT14" s="839">
        <v>44.206929070000001</v>
      </c>
      <c r="DU14" s="839">
        <v>44.204747939999997</v>
      </c>
      <c r="DV14" s="839">
        <v>44.202617429999997</v>
      </c>
      <c r="DW14" s="839">
        <v>44.200418399999997</v>
      </c>
      <c r="DX14" s="839">
        <v>44.198196869999997</v>
      </c>
      <c r="DY14" s="839">
        <v>43.005941870000001</v>
      </c>
      <c r="DZ14" s="839">
        <v>30.1536379</v>
      </c>
      <c r="EA14" s="839">
        <v>2.2499999999999999E-2</v>
      </c>
      <c r="EB14" s="839">
        <v>2.0786220000000001E-2</v>
      </c>
      <c r="EC14" s="839">
        <v>1.9014699999999999E-2</v>
      </c>
      <c r="ED14" s="839">
        <v>1.7237389999999998E-2</v>
      </c>
      <c r="EE14" s="839">
        <v>1.5442040000000001E-2</v>
      </c>
      <c r="EF14" s="839">
        <v>1.360342E-2</v>
      </c>
      <c r="EG14" s="839">
        <v>1.1744940000000001E-2</v>
      </c>
      <c r="EH14" s="839">
        <v>9.8703300000000001E-3</v>
      </c>
      <c r="EI14" s="839">
        <v>7.9459800000000001E-3</v>
      </c>
      <c r="EJ14" s="839">
        <v>6.0525800000000001E-3</v>
      </c>
      <c r="EK14" s="839">
        <v>4.0830900000000002E-3</v>
      </c>
      <c r="EL14" s="839">
        <v>2.0790399999999999E-3</v>
      </c>
      <c r="EM14" s="839">
        <v>4.994E-5</v>
      </c>
      <c r="EN14" s="839">
        <v>4.994E-5</v>
      </c>
      <c r="EO14" s="839">
        <v>1.19432834</v>
      </c>
      <c r="EP14" s="839">
        <v>4.994E-5</v>
      </c>
      <c r="EQ14" s="839">
        <v>4.994E-5</v>
      </c>
      <c r="ER14" s="839">
        <v>4.994E-5</v>
      </c>
      <c r="ES14" s="839">
        <v>0</v>
      </c>
      <c r="ET14" s="839">
        <v>0</v>
      </c>
      <c r="EU14" s="839">
        <v>0</v>
      </c>
      <c r="EV14" s="839">
        <v>0.37748900000000002</v>
      </c>
      <c r="EW14" s="839">
        <v>0.45617041000000003</v>
      </c>
      <c r="EX14" s="839">
        <v>0</v>
      </c>
      <c r="EY14" s="839">
        <v>8.3959690000000003E-2</v>
      </c>
      <c r="EZ14" s="839">
        <v>0.27731278999999998</v>
      </c>
      <c r="FA14" s="839">
        <v>1.8830397400000001</v>
      </c>
      <c r="FB14" s="839">
        <v>0</v>
      </c>
      <c r="FC14" s="839">
        <v>0</v>
      </c>
      <c r="FD14" s="839">
        <v>41.598999999999997</v>
      </c>
      <c r="FE14" s="839">
        <v>41.598999999999997</v>
      </c>
      <c r="FF14" s="839">
        <v>41.599002110000001</v>
      </c>
      <c r="FG14" s="839">
        <v>34.294243969999997</v>
      </c>
      <c r="FH14" s="1712" t="s">
        <v>4067</v>
      </c>
      <c r="FM14" s="321"/>
    </row>
    <row r="15" spans="1:302" ht="21">
      <c r="A15" s="1723" t="s">
        <v>1962</v>
      </c>
      <c r="B15" s="783">
        <f>+B13-B14</f>
        <v>85.657199430000048</v>
      </c>
      <c r="C15" s="783">
        <f t="shared" ref="C15:V15" si="2">+C13-C14</f>
        <v>91.295759879999991</v>
      </c>
      <c r="D15" s="783">
        <f t="shared" si="2"/>
        <v>93.438779699999998</v>
      </c>
      <c r="E15" s="783">
        <f t="shared" si="2"/>
        <v>97.336559840000064</v>
      </c>
      <c r="F15" s="783">
        <f t="shared" si="2"/>
        <v>98.749282300000004</v>
      </c>
      <c r="G15" s="783">
        <f t="shared" si="2"/>
        <v>106.43945404999998</v>
      </c>
      <c r="H15" s="783">
        <f t="shared" si="2"/>
        <v>109.80538655000001</v>
      </c>
      <c r="I15" s="783">
        <f t="shared" si="2"/>
        <v>111.80011769999997</v>
      </c>
      <c r="J15" s="783">
        <f t="shared" si="2"/>
        <v>112.46059175000002</v>
      </c>
      <c r="K15" s="783">
        <f t="shared" si="2"/>
        <v>107.38849739999999</v>
      </c>
      <c r="L15" s="783">
        <f t="shared" si="2"/>
        <v>108.79022678999999</v>
      </c>
      <c r="M15" s="784">
        <f t="shared" si="2"/>
        <v>109.28024402999999</v>
      </c>
      <c r="N15" s="784">
        <f t="shared" si="2"/>
        <v>114.39951619999998</v>
      </c>
      <c r="O15" s="784">
        <f t="shared" si="2"/>
        <v>119.28857129000002</v>
      </c>
      <c r="P15" s="784">
        <f t="shared" si="2"/>
        <v>116.86929536999997</v>
      </c>
      <c r="Q15" s="784">
        <f t="shared" si="2"/>
        <v>117.11274449999999</v>
      </c>
      <c r="R15" s="784">
        <f t="shared" si="2"/>
        <v>109.48129441000003</v>
      </c>
      <c r="S15" s="784">
        <f t="shared" si="2"/>
        <v>115.14421164999999</v>
      </c>
      <c r="T15" s="784">
        <f t="shared" si="2"/>
        <v>114.14560994999997</v>
      </c>
      <c r="U15" s="784">
        <f t="shared" si="2"/>
        <v>123.40210222000002</v>
      </c>
      <c r="V15" s="784">
        <f t="shared" si="2"/>
        <v>58.915020780000006</v>
      </c>
      <c r="W15" s="784">
        <v>43.934325100000024</v>
      </c>
      <c r="X15" s="784">
        <v>37.65356328</v>
      </c>
      <c r="Y15" s="784">
        <v>38.976640099999997</v>
      </c>
      <c r="Z15" s="784">
        <v>38.367591419999997</v>
      </c>
      <c r="AA15" s="784">
        <v>60.641799820000017</v>
      </c>
      <c r="AB15" s="784">
        <f>+AB13-AB14</f>
        <v>55.952210370000046</v>
      </c>
      <c r="AC15" s="784">
        <v>63.106923220000056</v>
      </c>
      <c r="AD15" s="784">
        <v>78.942373350000025</v>
      </c>
      <c r="AE15" s="784">
        <v>79.797351390000017</v>
      </c>
      <c r="AF15" s="784">
        <v>105.29544697999995</v>
      </c>
      <c r="AG15" s="784">
        <v>105.37684679</v>
      </c>
      <c r="AH15" s="784">
        <f>+AH13-AH14</f>
        <v>77.300295140000003</v>
      </c>
      <c r="AI15" s="784">
        <v>71.809747540000046</v>
      </c>
      <c r="AJ15" s="784">
        <f>+AJ13-AJ14</f>
        <v>74.027359029999957</v>
      </c>
      <c r="AK15" s="784">
        <f>+AK13-AK14</f>
        <v>104.93945906000005</v>
      </c>
      <c r="AL15" s="784">
        <v>107.65143320999999</v>
      </c>
      <c r="AM15" s="784">
        <f>+AM13-AM14</f>
        <v>106.00703809999999</v>
      </c>
      <c r="AN15" s="784">
        <f>+AN13-AN14</f>
        <v>85.737311739999996</v>
      </c>
      <c r="AO15" s="784">
        <f>+AO13-AO14</f>
        <v>84.350416800000005</v>
      </c>
      <c r="AP15" s="784">
        <f>+AP13-AP14</f>
        <v>84.48709611999999</v>
      </c>
      <c r="AQ15" s="784">
        <v>82.122243650000001</v>
      </c>
      <c r="AR15" s="784">
        <f>+AR13-AR14</f>
        <v>47.886582910000016</v>
      </c>
      <c r="AS15" s="784">
        <v>48.082142699999991</v>
      </c>
      <c r="AT15" s="784">
        <f>+AT13-AT14</f>
        <v>45.424800120000015</v>
      </c>
      <c r="AU15" s="784">
        <v>44.790167369999978</v>
      </c>
      <c r="AV15" s="784">
        <v>58.082623100000006</v>
      </c>
      <c r="AW15" s="784">
        <v>58.282020579999994</v>
      </c>
      <c r="AX15" s="784">
        <v>56.684741710000026</v>
      </c>
      <c r="AY15" s="784">
        <v>45.148360749999995</v>
      </c>
      <c r="AZ15" s="784">
        <v>51.82619329000002</v>
      </c>
      <c r="BA15" s="784">
        <v>48.69763562</v>
      </c>
      <c r="BB15" s="784">
        <v>43.638691309999984</v>
      </c>
      <c r="BC15" s="784">
        <v>44.167938169999985</v>
      </c>
      <c r="BD15" s="784">
        <f>+BD13-BD14</f>
        <v>42.171628059999989</v>
      </c>
      <c r="BE15" s="784">
        <v>40.844785690000009</v>
      </c>
      <c r="BF15" s="784">
        <v>38.988236660000013</v>
      </c>
      <c r="BG15" s="784">
        <v>50.509235250000017</v>
      </c>
      <c r="BH15" s="827">
        <v>50.73195468000003</v>
      </c>
      <c r="BI15" s="816">
        <v>51.05360232999999</v>
      </c>
      <c r="BJ15" s="816">
        <v>49.782174670000018</v>
      </c>
      <c r="BK15" s="816">
        <v>45.133657110000001</v>
      </c>
      <c r="BL15" s="816">
        <v>101.70152650000006</v>
      </c>
      <c r="BM15" s="816">
        <v>126.48209870000005</v>
      </c>
      <c r="BN15" s="816">
        <v>126.86603263000001</v>
      </c>
      <c r="BO15" s="816">
        <v>108.83741275</v>
      </c>
      <c r="BP15" s="816">
        <v>119.20916411000002</v>
      </c>
      <c r="BQ15" s="816">
        <v>118.92187211999999</v>
      </c>
      <c r="BR15" s="816">
        <v>127.81498419999997</v>
      </c>
      <c r="BS15" s="816">
        <v>149.77375106</v>
      </c>
      <c r="BT15" s="816">
        <v>244.45491908999998</v>
      </c>
      <c r="BU15" s="816">
        <v>225.01272009999997</v>
      </c>
      <c r="BV15" s="816">
        <v>241.49945243999997</v>
      </c>
      <c r="BW15" s="816">
        <v>237.88863835999996</v>
      </c>
      <c r="BX15" s="816">
        <v>250.77093441</v>
      </c>
      <c r="BY15" s="816">
        <v>249.04617769999999</v>
      </c>
      <c r="BZ15" s="816">
        <v>257.04289767</v>
      </c>
      <c r="CA15" s="816">
        <v>244.55777097000004</v>
      </c>
      <c r="CB15" s="816">
        <v>198.41482185999996</v>
      </c>
      <c r="CC15" s="816">
        <v>197.27577124999999</v>
      </c>
      <c r="CD15" s="816">
        <v>198.22700112000001</v>
      </c>
      <c r="CE15" s="816">
        <f t="shared" ref="CE15:CP15" si="3">+CE13-CE14</f>
        <v>200.84150871000003</v>
      </c>
      <c r="CF15" s="816">
        <f t="shared" si="3"/>
        <v>199.77270350999999</v>
      </c>
      <c r="CG15" s="816">
        <f t="shared" si="3"/>
        <v>124.85837654999996</v>
      </c>
      <c r="CH15" s="816">
        <f t="shared" si="3"/>
        <v>123.81853939999998</v>
      </c>
      <c r="CI15" s="816">
        <f t="shared" si="3"/>
        <v>122.94177307000001</v>
      </c>
      <c r="CJ15" s="816">
        <f t="shared" si="3"/>
        <v>121.68082443</v>
      </c>
      <c r="CK15" s="816">
        <f t="shared" si="3"/>
        <v>119.87817243999999</v>
      </c>
      <c r="CL15" s="816">
        <f t="shared" si="3"/>
        <v>81.961148399999985</v>
      </c>
      <c r="CM15" s="816">
        <f t="shared" si="3"/>
        <v>80.312335930000017</v>
      </c>
      <c r="CN15" s="816">
        <f t="shared" si="3"/>
        <v>82.845266029999962</v>
      </c>
      <c r="CO15" s="816">
        <f t="shared" si="3"/>
        <v>83.225049969999986</v>
      </c>
      <c r="CP15" s="816">
        <f t="shared" si="3"/>
        <v>78.893574569999984</v>
      </c>
      <c r="CQ15" s="816">
        <f>+CQ13-CQ14</f>
        <v>75.993081189999998</v>
      </c>
      <c r="CR15" s="816">
        <f>+CR13-CR14</f>
        <v>79.292828859999986</v>
      </c>
      <c r="CS15" s="816">
        <v>77.376539140000006</v>
      </c>
      <c r="CT15" s="816">
        <v>77.096186029999998</v>
      </c>
      <c r="CU15" s="816">
        <v>71.104099719999994</v>
      </c>
      <c r="CV15" s="816">
        <v>71.03256193</v>
      </c>
      <c r="CW15" s="816">
        <v>72.28143197</v>
      </c>
      <c r="CX15" s="816">
        <v>46.568135439999999</v>
      </c>
      <c r="CY15" s="816">
        <v>47.649132809999998</v>
      </c>
      <c r="CZ15" s="816">
        <v>46.911682319999997</v>
      </c>
      <c r="DA15" s="816">
        <v>45.818687879999999</v>
      </c>
      <c r="DB15" s="816">
        <v>47.099294229999998</v>
      </c>
      <c r="DC15" s="816">
        <v>47.006953029999998</v>
      </c>
      <c r="DD15" s="886">
        <v>52.473548270000002</v>
      </c>
      <c r="DE15" s="886">
        <v>47.134406990000002</v>
      </c>
      <c r="DF15" s="886">
        <v>38.568302389999999</v>
      </c>
      <c r="DG15" s="839">
        <v>32.55644933</v>
      </c>
      <c r="DH15" s="839">
        <v>34.925586619999997</v>
      </c>
      <c r="DI15" s="839">
        <v>39.186913250000003</v>
      </c>
      <c r="DJ15" s="839">
        <v>57.709467699999998</v>
      </c>
      <c r="DK15" s="839">
        <v>76.249278160000003</v>
      </c>
      <c r="DL15" s="839">
        <v>87.229472909999998</v>
      </c>
      <c r="DM15" s="839">
        <v>79.576395020000007</v>
      </c>
      <c r="DN15" s="839">
        <v>86.364956950000007</v>
      </c>
      <c r="DO15" s="839">
        <v>93.000567020000005</v>
      </c>
      <c r="DP15" s="839">
        <v>102.19532185</v>
      </c>
      <c r="DQ15" s="839">
        <v>87.032221539999995</v>
      </c>
      <c r="DR15" s="839">
        <v>86.708686900000004</v>
      </c>
      <c r="DS15" s="839">
        <v>74.080176140000006</v>
      </c>
      <c r="DT15" s="839">
        <v>75.863994199999993</v>
      </c>
      <c r="DU15" s="839">
        <v>87.269357290000002</v>
      </c>
      <c r="DV15" s="839">
        <v>81.779506940000005</v>
      </c>
      <c r="DW15" s="839">
        <v>121.01854322</v>
      </c>
      <c r="DX15" s="839">
        <v>119.57099619</v>
      </c>
      <c r="DY15" s="839">
        <v>129.80011268000001</v>
      </c>
      <c r="DZ15" s="839">
        <v>135.3820145</v>
      </c>
      <c r="EA15" s="839">
        <v>152.09275878</v>
      </c>
      <c r="EB15" s="839">
        <v>153.5291532</v>
      </c>
      <c r="EC15" s="839">
        <v>185.38704153</v>
      </c>
      <c r="ED15" s="839">
        <v>178.9143186</v>
      </c>
      <c r="EE15" s="839">
        <v>184.43757665999999</v>
      </c>
      <c r="EF15" s="839">
        <v>204.17900361</v>
      </c>
      <c r="EG15" s="839">
        <v>255.34148150999999</v>
      </c>
      <c r="EH15" s="839">
        <v>285.27493778000002</v>
      </c>
      <c r="EI15" s="839">
        <v>236.34805247</v>
      </c>
      <c r="EJ15" s="839">
        <v>232.26280829000001</v>
      </c>
      <c r="EK15" s="839">
        <v>244.24184753</v>
      </c>
      <c r="EL15" s="839">
        <v>268.4232859</v>
      </c>
      <c r="EM15" s="839">
        <v>226.46453409</v>
      </c>
      <c r="EN15" s="839">
        <v>228.64762956000001</v>
      </c>
      <c r="EO15" s="839">
        <v>239.10832776999999</v>
      </c>
      <c r="EP15" s="839">
        <v>234.19007237</v>
      </c>
      <c r="EQ15" s="839">
        <v>205.92279872</v>
      </c>
      <c r="ER15" s="839">
        <v>221.72763406999999</v>
      </c>
      <c r="ES15" s="839">
        <v>189.80044892000001</v>
      </c>
      <c r="ET15" s="839">
        <v>180.90102776000001</v>
      </c>
      <c r="EU15" s="839">
        <v>152.32699425999999</v>
      </c>
      <c r="EV15" s="839">
        <v>165.51683527</v>
      </c>
      <c r="EW15" s="839">
        <v>178.7742681</v>
      </c>
      <c r="EX15" s="839">
        <v>324.82101361000002</v>
      </c>
      <c r="EY15" s="839">
        <v>476.15799506000002</v>
      </c>
      <c r="EZ15" s="839">
        <v>516.53075444000001</v>
      </c>
      <c r="FA15" s="839">
        <v>517.33388605000005</v>
      </c>
      <c r="FB15" s="839">
        <v>527.52094655999997</v>
      </c>
      <c r="FC15" s="839">
        <v>536.94557362</v>
      </c>
      <c r="FD15" s="839">
        <v>548.00306432000002</v>
      </c>
      <c r="FE15" s="839">
        <v>594.3675131</v>
      </c>
      <c r="FF15" s="839">
        <v>517.03030848000003</v>
      </c>
      <c r="FG15" s="839">
        <v>428.74364341</v>
      </c>
      <c r="FH15" s="1712" t="s">
        <v>4066</v>
      </c>
      <c r="FM15" s="321"/>
    </row>
    <row r="16" spans="1:302" ht="21">
      <c r="A16" s="1720"/>
      <c r="B16" s="780"/>
      <c r="C16" s="780"/>
      <c r="D16" s="780"/>
      <c r="E16" s="780"/>
      <c r="F16" s="780"/>
      <c r="G16" s="780"/>
      <c r="H16" s="780"/>
      <c r="I16" s="780"/>
      <c r="J16" s="780"/>
      <c r="K16" s="780"/>
      <c r="L16" s="780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781"/>
      <c r="AA16" s="781"/>
      <c r="AB16" s="781"/>
      <c r="AC16" s="781"/>
      <c r="AD16" s="781"/>
      <c r="AE16" s="781"/>
      <c r="AF16" s="781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  <c r="AT16" s="781"/>
      <c r="AU16" s="781"/>
      <c r="AV16" s="781"/>
      <c r="AW16" s="781"/>
      <c r="AX16" s="781"/>
      <c r="AY16" s="781"/>
      <c r="AZ16" s="781"/>
      <c r="BA16" s="781"/>
      <c r="BB16" s="781"/>
      <c r="BC16" s="781"/>
      <c r="BD16" s="781"/>
      <c r="BE16" s="781"/>
      <c r="BF16" s="781"/>
      <c r="BG16" s="781"/>
      <c r="BH16" s="826"/>
      <c r="BI16" s="815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5"/>
      <c r="CN16" s="815"/>
      <c r="CO16" s="815"/>
      <c r="CP16" s="815"/>
      <c r="CQ16" s="815"/>
      <c r="CR16" s="815"/>
      <c r="CS16" s="815"/>
      <c r="CT16" s="815"/>
      <c r="CU16" s="815"/>
      <c r="CV16" s="815"/>
      <c r="CW16" s="815"/>
      <c r="CX16" s="815"/>
      <c r="CY16" s="815"/>
      <c r="CZ16" s="815"/>
      <c r="DA16" s="815"/>
      <c r="DB16" s="815"/>
      <c r="DC16" s="815"/>
      <c r="DD16" s="885"/>
      <c r="DE16" s="885"/>
      <c r="DF16" s="885"/>
      <c r="DG16" s="838"/>
      <c r="DH16" s="838"/>
      <c r="DI16" s="838"/>
      <c r="DJ16" s="838"/>
      <c r="DK16" s="838"/>
      <c r="DL16" s="838"/>
      <c r="DM16" s="838"/>
      <c r="DN16" s="838"/>
      <c r="DO16" s="838"/>
      <c r="DP16" s="838"/>
      <c r="DQ16" s="838"/>
      <c r="DR16" s="838"/>
      <c r="DS16" s="838"/>
      <c r="DT16" s="838"/>
      <c r="DU16" s="838"/>
      <c r="DV16" s="838"/>
      <c r="DW16" s="838"/>
      <c r="DX16" s="838"/>
      <c r="DY16" s="838"/>
      <c r="DZ16" s="838"/>
      <c r="EA16" s="838"/>
      <c r="EB16" s="838"/>
      <c r="EC16" s="838"/>
      <c r="ED16" s="838"/>
      <c r="EE16" s="838"/>
      <c r="EF16" s="838"/>
      <c r="EG16" s="838"/>
      <c r="EH16" s="838"/>
      <c r="EI16" s="838"/>
      <c r="EJ16" s="838"/>
      <c r="EK16" s="838"/>
      <c r="EL16" s="838"/>
      <c r="EM16" s="838"/>
      <c r="EN16" s="838"/>
      <c r="EO16" s="838"/>
      <c r="EP16" s="838"/>
      <c r="EQ16" s="838"/>
      <c r="ER16" s="838"/>
      <c r="ES16" s="838"/>
      <c r="ET16" s="838"/>
      <c r="EU16" s="838"/>
      <c r="EV16" s="838"/>
      <c r="EW16" s="838"/>
      <c r="EX16" s="838"/>
      <c r="EY16" s="838"/>
      <c r="EZ16" s="838"/>
      <c r="FA16" s="838"/>
      <c r="FB16" s="838"/>
      <c r="FC16" s="838"/>
      <c r="FD16" s="838"/>
      <c r="FE16" s="838"/>
      <c r="FF16" s="838"/>
      <c r="FG16" s="838"/>
      <c r="FH16" s="1713"/>
      <c r="FM16" s="321"/>
    </row>
    <row r="17" spans="1:169" ht="21">
      <c r="A17" s="1744" t="s">
        <v>185</v>
      </c>
      <c r="B17" s="783">
        <v>63.543391400000004</v>
      </c>
      <c r="C17" s="783">
        <v>65.497840239999988</v>
      </c>
      <c r="D17" s="783">
        <v>63.8877162</v>
      </c>
      <c r="E17" s="783">
        <v>64.492311760000007</v>
      </c>
      <c r="F17" s="783">
        <v>91.649270990000005</v>
      </c>
      <c r="G17" s="783">
        <v>79.740994099999995</v>
      </c>
      <c r="H17" s="783">
        <v>94.403503540000003</v>
      </c>
      <c r="I17" s="783">
        <v>89.560851299999996</v>
      </c>
      <c r="J17" s="783">
        <v>89.907766510000002</v>
      </c>
      <c r="K17" s="783">
        <v>85.567900839999993</v>
      </c>
      <c r="L17" s="783">
        <v>92.193794270000012</v>
      </c>
      <c r="M17" s="781">
        <v>87.407880659999989</v>
      </c>
      <c r="N17" s="784">
        <v>98.807692129999992</v>
      </c>
      <c r="O17" s="784">
        <v>101.46063670000001</v>
      </c>
      <c r="P17" s="784">
        <v>99.279568470000001</v>
      </c>
      <c r="Q17" s="784">
        <v>103.21040708999999</v>
      </c>
      <c r="R17" s="784">
        <v>101.46150639000001</v>
      </c>
      <c r="S17" s="784">
        <v>101.11443770999999</v>
      </c>
      <c r="T17" s="784">
        <v>98.050094880000003</v>
      </c>
      <c r="U17" s="784">
        <v>91.232598440000004</v>
      </c>
      <c r="V17" s="784">
        <v>71.465355000000002</v>
      </c>
      <c r="W17" s="784">
        <v>66.996252690000006</v>
      </c>
      <c r="X17" s="784">
        <v>65.906070639999996</v>
      </c>
      <c r="Y17" s="781">
        <v>77.975106089999997</v>
      </c>
      <c r="Z17" s="784">
        <v>71.273859260000009</v>
      </c>
      <c r="AA17" s="784">
        <v>67.327085370000006</v>
      </c>
      <c r="AB17" s="781">
        <v>67.342085310000002</v>
      </c>
      <c r="AC17" s="781">
        <v>53.88084164</v>
      </c>
      <c r="AD17" s="781">
        <v>41.315329930000004</v>
      </c>
      <c r="AE17" s="781">
        <v>40.321463799999997</v>
      </c>
      <c r="AF17" s="781">
        <v>61.36611293</v>
      </c>
      <c r="AG17" s="781">
        <v>58.600953070000003</v>
      </c>
      <c r="AH17" s="781">
        <v>47.304734850000003</v>
      </c>
      <c r="AI17" s="781">
        <v>53.197158680000001</v>
      </c>
      <c r="AJ17" s="781">
        <v>53.698320980000005</v>
      </c>
      <c r="AK17" s="781">
        <v>53.867807830000004</v>
      </c>
      <c r="AL17" s="781">
        <v>53.290021580000001</v>
      </c>
      <c r="AM17" s="781">
        <v>68.361724339999995</v>
      </c>
      <c r="AN17" s="781">
        <v>68.827131699999995</v>
      </c>
      <c r="AO17" s="781">
        <v>70.727390360000001</v>
      </c>
      <c r="AP17" s="781">
        <v>65.500680529999997</v>
      </c>
      <c r="AQ17" s="781">
        <v>63.018631110000001</v>
      </c>
      <c r="AR17" s="781">
        <v>61.838905830000002</v>
      </c>
      <c r="AS17" s="781">
        <v>62.040386159999997</v>
      </c>
      <c r="AT17" s="781">
        <v>60.256518679999999</v>
      </c>
      <c r="AU17" s="781">
        <v>59.650852669999992</v>
      </c>
      <c r="AV17" s="781">
        <v>62.915649989999999</v>
      </c>
      <c r="AW17" s="781">
        <v>57.353747429999999</v>
      </c>
      <c r="AX17" s="781">
        <v>55.480426800000004</v>
      </c>
      <c r="AY17" s="781">
        <v>53.728997379999996</v>
      </c>
      <c r="AZ17" s="781">
        <v>53.063912290000005</v>
      </c>
      <c r="BA17" s="781">
        <v>50.030097380000001</v>
      </c>
      <c r="BB17" s="781">
        <v>46.4256879</v>
      </c>
      <c r="BC17" s="781">
        <v>46.359113690000001</v>
      </c>
      <c r="BD17" s="781">
        <v>44.742390299999997</v>
      </c>
      <c r="BE17" s="781">
        <v>43.145765909999994</v>
      </c>
      <c r="BF17" s="781">
        <v>42.988271839999996</v>
      </c>
      <c r="BG17" s="781">
        <v>42.535881140000001</v>
      </c>
      <c r="BH17" s="826">
        <v>41.665515509999999</v>
      </c>
      <c r="BI17" s="815">
        <v>41.620709950000006</v>
      </c>
      <c r="BJ17" s="815">
        <v>41.195556539999998</v>
      </c>
      <c r="BK17" s="815">
        <v>43.713749020000002</v>
      </c>
      <c r="BL17" s="815">
        <v>52.091083120000008</v>
      </c>
      <c r="BM17" s="815">
        <v>67.240190429999998</v>
      </c>
      <c r="BN17" s="815">
        <v>66.844149219999991</v>
      </c>
      <c r="BO17" s="815">
        <v>50.029586850000001</v>
      </c>
      <c r="BP17" s="815">
        <v>49.578828940000008</v>
      </c>
      <c r="BQ17" s="815">
        <v>49.289878139999999</v>
      </c>
      <c r="BR17" s="815">
        <v>53.975874149999996</v>
      </c>
      <c r="BS17" s="815">
        <v>53.784508119999998</v>
      </c>
      <c r="BT17" s="815">
        <v>68.885795110000004</v>
      </c>
      <c r="BU17" s="815">
        <v>61.219958030000008</v>
      </c>
      <c r="BV17" s="815">
        <v>62.973301640000003</v>
      </c>
      <c r="BW17" s="815">
        <v>62.907938210000005</v>
      </c>
      <c r="BX17" s="815">
        <v>65.46037681</v>
      </c>
      <c r="BY17" s="815">
        <v>63.812843180000002</v>
      </c>
      <c r="BZ17" s="815">
        <v>63.708767300000005</v>
      </c>
      <c r="CA17" s="815">
        <v>64.165253939999999</v>
      </c>
      <c r="CB17" s="815">
        <v>63.848569960000006</v>
      </c>
      <c r="CC17" s="815">
        <v>60.988305100000005</v>
      </c>
      <c r="CD17" s="815">
        <v>63.493601720000001</v>
      </c>
      <c r="CE17" s="815">
        <v>64.626751620000007</v>
      </c>
      <c r="CF17" s="815">
        <v>64.133804159999997</v>
      </c>
      <c r="CG17" s="815">
        <v>59.441486130000001</v>
      </c>
      <c r="CH17" s="815">
        <v>59.288069790000009</v>
      </c>
      <c r="CI17" s="815">
        <v>59.28220658</v>
      </c>
      <c r="CJ17" s="815">
        <v>58.842645180000005</v>
      </c>
      <c r="CK17" s="815">
        <v>57.926599599999996</v>
      </c>
      <c r="CL17" s="815">
        <v>26.651984530000004</v>
      </c>
      <c r="CM17" s="815">
        <v>27.640808550000003</v>
      </c>
      <c r="CN17" s="815">
        <v>29.821847400000003</v>
      </c>
      <c r="CO17" s="815">
        <v>28.416935070000001</v>
      </c>
      <c r="CP17" s="815">
        <v>26.827105759999998</v>
      </c>
      <c r="CQ17" s="815">
        <v>24.778588940000002</v>
      </c>
      <c r="CR17" s="815">
        <v>26.295627320000001</v>
      </c>
      <c r="CS17" s="815">
        <v>24.058719340000003</v>
      </c>
      <c r="CT17" s="815">
        <v>24.095563429999999</v>
      </c>
      <c r="CU17" s="815">
        <v>26.135681869999999</v>
      </c>
      <c r="CV17" s="815">
        <v>26.338683379999999</v>
      </c>
      <c r="CW17" s="815">
        <v>27.41761236</v>
      </c>
      <c r="CX17" s="815">
        <v>26.509607800000001</v>
      </c>
      <c r="CY17" s="815">
        <v>27.444412010000001</v>
      </c>
      <c r="CZ17" s="815">
        <v>26.702016530000002</v>
      </c>
      <c r="DA17" s="815">
        <v>25.869946460000001</v>
      </c>
      <c r="DB17" s="815">
        <v>26.4010359</v>
      </c>
      <c r="DC17" s="815">
        <v>26.20778705</v>
      </c>
      <c r="DD17" s="885">
        <v>32.5343789</v>
      </c>
      <c r="DE17" s="885">
        <v>26.921160789999998</v>
      </c>
      <c r="DF17" s="885">
        <v>37.253493220000003</v>
      </c>
      <c r="DG17" s="838">
        <v>29.90041497</v>
      </c>
      <c r="DH17" s="838">
        <v>30.204882130000001</v>
      </c>
      <c r="DI17" s="838">
        <v>32.801261580000002</v>
      </c>
      <c r="DJ17" s="838">
        <v>33.538321590000002</v>
      </c>
      <c r="DK17" s="838">
        <v>38.200409360000002</v>
      </c>
      <c r="DL17" s="838">
        <v>40.706396849999997</v>
      </c>
      <c r="DM17" s="838">
        <v>46.042587670000003</v>
      </c>
      <c r="DN17" s="838">
        <v>50.402703809999998</v>
      </c>
      <c r="DO17" s="838">
        <v>44.791325729999997</v>
      </c>
      <c r="DP17" s="838">
        <v>50.152879169999999</v>
      </c>
      <c r="DQ17" s="838">
        <v>42.897924809999999</v>
      </c>
      <c r="DR17" s="838">
        <v>42.720975150000001</v>
      </c>
      <c r="DS17" s="838">
        <v>29.249177</v>
      </c>
      <c r="DT17" s="838">
        <v>29.093294830000001</v>
      </c>
      <c r="DU17" s="838">
        <v>30.426668670000002</v>
      </c>
      <c r="DV17" s="838">
        <v>26.228072189999999</v>
      </c>
      <c r="DW17" s="838">
        <v>51.1996751</v>
      </c>
      <c r="DX17" s="838">
        <v>51.158143709999997</v>
      </c>
      <c r="DY17" s="838">
        <v>60.387924750000003</v>
      </c>
      <c r="DZ17" s="838">
        <v>56.252762269999998</v>
      </c>
      <c r="EA17" s="838">
        <v>61.754041299999997</v>
      </c>
      <c r="EB17" s="838">
        <v>60.572684440000003</v>
      </c>
      <c r="EC17" s="838">
        <v>90.94095523</v>
      </c>
      <c r="ED17" s="838">
        <v>86.357866770000001</v>
      </c>
      <c r="EE17" s="838">
        <v>91.781873610000005</v>
      </c>
      <c r="EF17" s="838">
        <v>110.56783253</v>
      </c>
      <c r="EG17" s="838">
        <v>145.69682115000001</v>
      </c>
      <c r="EH17" s="838">
        <v>173.91951508</v>
      </c>
      <c r="EI17" s="838">
        <v>146.65556659999999</v>
      </c>
      <c r="EJ17" s="838">
        <v>149.00021993999999</v>
      </c>
      <c r="EK17" s="838">
        <v>162.26007849000001</v>
      </c>
      <c r="EL17" s="838">
        <v>184.98476715999999</v>
      </c>
      <c r="EM17" s="838">
        <v>143.52124734</v>
      </c>
      <c r="EN17" s="838">
        <v>140.49417584</v>
      </c>
      <c r="EO17" s="838">
        <v>155.13013212999999</v>
      </c>
      <c r="EP17" s="838">
        <v>151.89433842</v>
      </c>
      <c r="EQ17" s="838">
        <v>142.04105061999999</v>
      </c>
      <c r="ER17" s="838">
        <v>138.13805482000001</v>
      </c>
      <c r="ES17" s="838">
        <v>115.86367418</v>
      </c>
      <c r="ET17" s="838">
        <v>124.31452585</v>
      </c>
      <c r="EU17" s="838">
        <v>97.80556765</v>
      </c>
      <c r="EV17" s="838">
        <v>107.09796071</v>
      </c>
      <c r="EW17" s="838">
        <v>110.53093981000001</v>
      </c>
      <c r="EX17" s="838">
        <v>99.321011400000003</v>
      </c>
      <c r="EY17" s="838">
        <v>108.85921802999999</v>
      </c>
      <c r="EZ17" s="838">
        <v>112.71645307</v>
      </c>
      <c r="FA17" s="838">
        <v>112.19446152</v>
      </c>
      <c r="FB17" s="838">
        <v>105.96499239000001</v>
      </c>
      <c r="FC17" s="838">
        <v>107.17298417000001</v>
      </c>
      <c r="FD17" s="838">
        <v>94.063037159999993</v>
      </c>
      <c r="FE17" s="838">
        <v>93.03772644</v>
      </c>
      <c r="FF17" s="838">
        <v>92.265772780000006</v>
      </c>
      <c r="FG17" s="838">
        <v>80.863347939999997</v>
      </c>
      <c r="FH17" s="1714" t="s">
        <v>206</v>
      </c>
      <c r="FM17" s="321"/>
    </row>
    <row r="18" spans="1:169" ht="21">
      <c r="A18" s="1745" t="s">
        <v>1961</v>
      </c>
      <c r="B18" s="780">
        <v>36.700619530000004</v>
      </c>
      <c r="C18" s="780">
        <v>36.664940869999995</v>
      </c>
      <c r="D18" s="780">
        <v>36.576302800000001</v>
      </c>
      <c r="E18" s="780">
        <v>38.979519880000005</v>
      </c>
      <c r="F18" s="780">
        <v>63.26440753</v>
      </c>
      <c r="G18" s="780">
        <v>45.575365340000005</v>
      </c>
      <c r="H18" s="780">
        <v>61.597926869999995</v>
      </c>
      <c r="I18" s="780">
        <v>56.657630869999998</v>
      </c>
      <c r="J18" s="780">
        <v>58.744991040000002</v>
      </c>
      <c r="K18" s="780">
        <v>49.440618139999998</v>
      </c>
      <c r="L18" s="780">
        <v>53.668936030000005</v>
      </c>
      <c r="M18" s="784">
        <v>45.732315939999999</v>
      </c>
      <c r="N18" s="781">
        <v>52.735395650000001</v>
      </c>
      <c r="O18" s="781">
        <v>53.756946310000004</v>
      </c>
      <c r="P18" s="781">
        <v>54.776118400000001</v>
      </c>
      <c r="Q18" s="781">
        <v>57.836687829999995</v>
      </c>
      <c r="R18" s="781">
        <v>58.143885920000002</v>
      </c>
      <c r="S18" s="781">
        <v>56.808644799999996</v>
      </c>
      <c r="T18" s="781">
        <v>55.454344570000004</v>
      </c>
      <c r="U18" s="781">
        <v>51.043722459999998</v>
      </c>
      <c r="V18" s="781">
        <v>47.852847600000004</v>
      </c>
      <c r="W18" s="781">
        <v>49.264253600000004</v>
      </c>
      <c r="X18" s="781">
        <v>53.24264599</v>
      </c>
      <c r="Y18" s="784">
        <v>64.53884497</v>
      </c>
      <c r="Z18" s="781">
        <v>58.514654600000007</v>
      </c>
      <c r="AA18" s="781">
        <v>49.523415520000007</v>
      </c>
      <c r="AB18" s="784">
        <v>52.908212800000001</v>
      </c>
      <c r="AC18" s="784">
        <v>36.15992936</v>
      </c>
      <c r="AD18" s="784">
        <v>23.525657670000001</v>
      </c>
      <c r="AE18" s="784">
        <v>23.376456989999998</v>
      </c>
      <c r="AF18" s="784">
        <v>23.041742079999999</v>
      </c>
      <c r="AG18" s="784">
        <v>22.898850149999998</v>
      </c>
      <c r="AH18" s="784">
        <v>22.76087978</v>
      </c>
      <c r="AI18" s="784">
        <v>32.95795476</v>
      </c>
      <c r="AJ18" s="784">
        <v>28.747954760000002</v>
      </c>
      <c r="AK18" s="784">
        <v>28.767954760000002</v>
      </c>
      <c r="AL18" s="784">
        <v>28.61795476</v>
      </c>
      <c r="AM18" s="784">
        <v>32.661383620000002</v>
      </c>
      <c r="AN18" s="784">
        <v>34.355490520000004</v>
      </c>
      <c r="AO18" s="784">
        <v>36.954972610000006</v>
      </c>
      <c r="AP18" s="784">
        <v>33.205486279999995</v>
      </c>
      <c r="AQ18" s="784">
        <v>32.151202949999998</v>
      </c>
      <c r="AR18" s="784">
        <v>31.479302059999998</v>
      </c>
      <c r="AS18" s="784">
        <v>31.254349949999998</v>
      </c>
      <c r="AT18" s="784">
        <v>31.016773949999997</v>
      </c>
      <c r="AU18" s="784">
        <v>31.016186949999998</v>
      </c>
      <c r="AV18" s="784">
        <v>30.465582949999998</v>
      </c>
      <c r="AW18" s="784">
        <v>23.765582949999999</v>
      </c>
      <c r="AX18" s="784">
        <v>23.765582949999999</v>
      </c>
      <c r="AY18" s="784">
        <v>23.61558295</v>
      </c>
      <c r="AZ18" s="784">
        <v>23.61558295</v>
      </c>
      <c r="BA18" s="784">
        <v>23.61558295</v>
      </c>
      <c r="BB18" s="784">
        <v>20.244959949999998</v>
      </c>
      <c r="BC18" s="784">
        <v>20.244959949999998</v>
      </c>
      <c r="BD18" s="784">
        <v>20.235959949999998</v>
      </c>
      <c r="BE18" s="784">
        <v>20.235959949999998</v>
      </c>
      <c r="BF18" s="784">
        <v>20.235959949999998</v>
      </c>
      <c r="BG18" s="784">
        <v>20.235798930000001</v>
      </c>
      <c r="BH18" s="827">
        <v>20.235798930000001</v>
      </c>
      <c r="BI18" s="816">
        <v>20.235798930000001</v>
      </c>
      <c r="BJ18" s="816">
        <v>20.235798930000001</v>
      </c>
      <c r="BK18" s="816">
        <v>20.235798930000001</v>
      </c>
      <c r="BL18" s="816">
        <v>20.235798930000001</v>
      </c>
      <c r="BM18" s="816">
        <v>20.235798930000001</v>
      </c>
      <c r="BN18" s="816">
        <v>20.235798930000001</v>
      </c>
      <c r="BO18" s="816">
        <v>20.235798930000001</v>
      </c>
      <c r="BP18" s="816">
        <v>20.235798930000001</v>
      </c>
      <c r="BQ18" s="816">
        <v>20.235798930000001</v>
      </c>
      <c r="BR18" s="816">
        <v>25.235798930000001</v>
      </c>
      <c r="BS18" s="816">
        <v>25.235798930000001</v>
      </c>
      <c r="BT18" s="816">
        <v>25.235798930000001</v>
      </c>
      <c r="BU18" s="816">
        <v>21.550187690000001</v>
      </c>
      <c r="BV18" s="816">
        <v>20.550187690000001</v>
      </c>
      <c r="BW18" s="816">
        <v>22.550187690000001</v>
      </c>
      <c r="BX18" s="816">
        <v>19.850187690000002</v>
      </c>
      <c r="BY18" s="816">
        <v>19.850187690000002</v>
      </c>
      <c r="BZ18" s="816">
        <v>19.850187690000002</v>
      </c>
      <c r="CA18" s="816">
        <v>19.850187690000002</v>
      </c>
      <c r="CB18" s="816">
        <v>19.850187690000002</v>
      </c>
      <c r="CC18" s="816">
        <v>19.850187690000002</v>
      </c>
      <c r="CD18" s="816">
        <v>19.850187690000002</v>
      </c>
      <c r="CE18" s="816">
        <v>19.850187690000002</v>
      </c>
      <c r="CF18" s="816">
        <v>19.850187690000002</v>
      </c>
      <c r="CG18" s="816">
        <v>19.850187690000002</v>
      </c>
      <c r="CH18" s="816">
        <v>19.850187690000002</v>
      </c>
      <c r="CI18" s="816">
        <v>20.150187690000003</v>
      </c>
      <c r="CJ18" s="816">
        <v>20.150187690000003</v>
      </c>
      <c r="CK18" s="816">
        <v>20.150187690000003</v>
      </c>
      <c r="CL18" s="816">
        <v>20.150187690000003</v>
      </c>
      <c r="CM18" s="816">
        <v>20.150187690000003</v>
      </c>
      <c r="CN18" s="816">
        <v>21.920187690000002</v>
      </c>
      <c r="CO18" s="816">
        <v>20.6921055</v>
      </c>
      <c r="CP18" s="816">
        <v>20.21236566</v>
      </c>
      <c r="CQ18" s="816">
        <v>20.150187690000003</v>
      </c>
      <c r="CR18" s="816">
        <v>20.150187690000003</v>
      </c>
      <c r="CS18" s="816">
        <v>20.150187690000003</v>
      </c>
      <c r="CT18" s="816">
        <v>20.150187689999999</v>
      </c>
      <c r="CU18" s="816">
        <v>20.185187689999999</v>
      </c>
      <c r="CV18" s="816">
        <v>20.220187689999999</v>
      </c>
      <c r="CW18" s="816">
        <v>20.240187689999999</v>
      </c>
      <c r="CX18" s="816">
        <v>20.681187690000002</v>
      </c>
      <c r="CY18" s="816">
        <v>20.37748607</v>
      </c>
      <c r="CZ18" s="816">
        <v>20.370064589999998</v>
      </c>
      <c r="DA18" s="816">
        <v>20.362544159999999</v>
      </c>
      <c r="DB18" s="816">
        <v>20.26076398</v>
      </c>
      <c r="DC18" s="816">
        <v>20.24684611</v>
      </c>
      <c r="DD18" s="886">
        <v>20.232582969999999</v>
      </c>
      <c r="DE18" s="886">
        <v>20.21818846</v>
      </c>
      <c r="DF18" s="886">
        <v>20.189852699999999</v>
      </c>
      <c r="DG18" s="839">
        <v>20.178443049999998</v>
      </c>
      <c r="DH18" s="839">
        <v>20.17103036</v>
      </c>
      <c r="DI18" s="839">
        <v>20.167696129999999</v>
      </c>
      <c r="DJ18" s="839">
        <v>20.150187689999999</v>
      </c>
      <c r="DK18" s="839">
        <v>20.150187689999999</v>
      </c>
      <c r="DL18" s="839">
        <v>20.150187689999999</v>
      </c>
      <c r="DM18" s="839">
        <v>16.464687739999999</v>
      </c>
      <c r="DN18" s="839">
        <v>16.464687739999999</v>
      </c>
      <c r="DO18" s="839">
        <v>10.75029898</v>
      </c>
      <c r="DP18" s="839">
        <v>10.75029898</v>
      </c>
      <c r="DQ18" s="839">
        <v>6.7154600000000002</v>
      </c>
      <c r="DR18" s="839">
        <v>4.6900000000000004</v>
      </c>
      <c r="DS18" s="839">
        <v>4.71</v>
      </c>
      <c r="DT18" s="839">
        <v>4.7080089200000002</v>
      </c>
      <c r="DU18" s="839">
        <v>4.7058277899999998</v>
      </c>
      <c r="DV18" s="839">
        <v>4.7036972800000001</v>
      </c>
      <c r="DW18" s="839">
        <v>4.7014982500000002</v>
      </c>
      <c r="DX18" s="839">
        <v>4.6992767200000003</v>
      </c>
      <c r="DY18" s="839">
        <v>3.50702172</v>
      </c>
      <c r="DZ18" s="839">
        <v>4.7177499999999997E-3</v>
      </c>
      <c r="EA18" s="839">
        <v>2.2499999999999999E-2</v>
      </c>
      <c r="EB18" s="839">
        <v>2.0786220000000001E-2</v>
      </c>
      <c r="EC18" s="839">
        <v>1.9014699999999999E-2</v>
      </c>
      <c r="ED18" s="839">
        <v>1.7237389999999998E-2</v>
      </c>
      <c r="EE18" s="839">
        <v>1.5442040000000001E-2</v>
      </c>
      <c r="EF18" s="839">
        <v>1.360342E-2</v>
      </c>
      <c r="EG18" s="839">
        <v>1.1744940000000001E-2</v>
      </c>
      <c r="EH18" s="839">
        <v>9.8703300000000001E-3</v>
      </c>
      <c r="EI18" s="839">
        <v>7.9459800000000001E-3</v>
      </c>
      <c r="EJ18" s="839">
        <v>6.0525800000000001E-3</v>
      </c>
      <c r="EK18" s="839">
        <v>4.0830900000000002E-3</v>
      </c>
      <c r="EL18" s="839">
        <v>2.0790399999999999E-3</v>
      </c>
      <c r="EM18" s="839">
        <v>4.994E-5</v>
      </c>
      <c r="EN18" s="839">
        <v>4.994E-5</v>
      </c>
      <c r="EO18" s="839">
        <v>1.19432834</v>
      </c>
      <c r="EP18" s="839">
        <v>4.994E-5</v>
      </c>
      <c r="EQ18" s="839">
        <v>4.994E-5</v>
      </c>
      <c r="ER18" s="839">
        <v>4.994E-5</v>
      </c>
      <c r="ES18" s="839">
        <v>0</v>
      </c>
      <c r="ET18" s="839">
        <v>0</v>
      </c>
      <c r="EU18" s="839">
        <v>0</v>
      </c>
      <c r="EV18" s="839">
        <v>0.37748900000000002</v>
      </c>
      <c r="EW18" s="839">
        <v>0.45617041000000003</v>
      </c>
      <c r="EX18" s="839">
        <v>0</v>
      </c>
      <c r="EY18" s="839">
        <v>8.3959690000000003E-2</v>
      </c>
      <c r="EZ18" s="839">
        <v>0.27731278999999998</v>
      </c>
      <c r="FA18" s="839">
        <v>1.8830397400000001</v>
      </c>
      <c r="FB18" s="839">
        <v>0</v>
      </c>
      <c r="FC18" s="839">
        <v>0</v>
      </c>
      <c r="FD18" s="839">
        <v>0</v>
      </c>
      <c r="FE18" s="839">
        <v>0</v>
      </c>
      <c r="FF18" s="839">
        <v>2.1100000000000001E-6</v>
      </c>
      <c r="FG18" s="839">
        <v>2.9602750900000001</v>
      </c>
      <c r="FH18" s="1716" t="s">
        <v>4067</v>
      </c>
      <c r="FM18" s="321"/>
    </row>
    <row r="19" spans="1:169" ht="21">
      <c r="A19" s="1745" t="s">
        <v>1962</v>
      </c>
      <c r="B19" s="783">
        <f>+B17-B18</f>
        <v>26.84277187</v>
      </c>
      <c r="C19" s="783">
        <f t="shared" ref="C19:V19" si="4">+C17-C18</f>
        <v>28.832899369999993</v>
      </c>
      <c r="D19" s="783">
        <f t="shared" si="4"/>
        <v>27.311413399999999</v>
      </c>
      <c r="E19" s="783">
        <f t="shared" si="4"/>
        <v>25.512791880000002</v>
      </c>
      <c r="F19" s="783">
        <f t="shared" si="4"/>
        <v>28.384863460000005</v>
      </c>
      <c r="G19" s="783">
        <f t="shared" si="4"/>
        <v>34.16562875999999</v>
      </c>
      <c r="H19" s="783">
        <f t="shared" si="4"/>
        <v>32.805576670000008</v>
      </c>
      <c r="I19" s="783">
        <f t="shared" si="4"/>
        <v>32.903220429999998</v>
      </c>
      <c r="J19" s="783">
        <f t="shared" si="4"/>
        <v>31.16277547</v>
      </c>
      <c r="K19" s="783">
        <f t="shared" si="4"/>
        <v>36.127282699999995</v>
      </c>
      <c r="L19" s="783">
        <f t="shared" si="4"/>
        <v>38.524858240000007</v>
      </c>
      <c r="M19" s="784">
        <f t="shared" si="4"/>
        <v>41.67556471999999</v>
      </c>
      <c r="N19" s="784">
        <f t="shared" si="4"/>
        <v>46.072296479999991</v>
      </c>
      <c r="O19" s="784">
        <f t="shared" si="4"/>
        <v>47.703690390000006</v>
      </c>
      <c r="P19" s="784">
        <f t="shared" si="4"/>
        <v>44.50345007</v>
      </c>
      <c r="Q19" s="784">
        <f t="shared" si="4"/>
        <v>45.373719259999994</v>
      </c>
      <c r="R19" s="784">
        <f t="shared" si="4"/>
        <v>43.317620470000008</v>
      </c>
      <c r="S19" s="784">
        <f t="shared" si="4"/>
        <v>44.305792909999994</v>
      </c>
      <c r="T19" s="784">
        <f t="shared" si="4"/>
        <v>42.59575031</v>
      </c>
      <c r="U19" s="784">
        <f t="shared" si="4"/>
        <v>40.188875980000006</v>
      </c>
      <c r="V19" s="784">
        <f t="shared" si="4"/>
        <v>23.612507399999998</v>
      </c>
      <c r="W19" s="784">
        <v>17.731999090000002</v>
      </c>
      <c r="X19" s="784">
        <v>12.663424649999996</v>
      </c>
      <c r="Y19" s="784">
        <v>13.436261119999998</v>
      </c>
      <c r="Z19" s="784">
        <v>12.759204660000002</v>
      </c>
      <c r="AA19" s="784">
        <v>17.803669849999999</v>
      </c>
      <c r="AB19" s="784">
        <f>+AB17-AB18</f>
        <v>14.43387251</v>
      </c>
      <c r="AC19" s="784">
        <v>17.72091228</v>
      </c>
      <c r="AD19" s="784">
        <v>17.789672260000003</v>
      </c>
      <c r="AE19" s="784">
        <v>16.945006809999999</v>
      </c>
      <c r="AF19" s="784">
        <v>38.324370850000001</v>
      </c>
      <c r="AG19" s="784">
        <v>35.702102920000002</v>
      </c>
      <c r="AH19" s="784">
        <f>+AH17-AH18</f>
        <v>24.543855070000003</v>
      </c>
      <c r="AI19" s="784">
        <v>20.239203920000001</v>
      </c>
      <c r="AJ19" s="784">
        <f>+AJ17-AJ18</f>
        <v>24.950366220000003</v>
      </c>
      <c r="AK19" s="784">
        <f>+AK17-AK18</f>
        <v>25.099853070000002</v>
      </c>
      <c r="AL19" s="784">
        <v>24.672066820000001</v>
      </c>
      <c r="AM19" s="784">
        <f>+AM17-AM18</f>
        <v>35.700340719999993</v>
      </c>
      <c r="AN19" s="784">
        <f>+AN17-AN18</f>
        <v>34.471641179999992</v>
      </c>
      <c r="AO19" s="784">
        <f>+AO17-AO18</f>
        <v>33.772417749999995</v>
      </c>
      <c r="AP19" s="784">
        <f>+AP17-AP18</f>
        <v>32.295194250000002</v>
      </c>
      <c r="AQ19" s="784">
        <v>30.867428160000003</v>
      </c>
      <c r="AR19" s="784">
        <f>+AR17-AR18</f>
        <v>30.359603770000003</v>
      </c>
      <c r="AS19" s="784">
        <v>30.786036209999999</v>
      </c>
      <c r="AT19" s="784">
        <f>+AT17-AT18</f>
        <v>29.239744730000002</v>
      </c>
      <c r="AU19" s="784">
        <v>28.634665719999994</v>
      </c>
      <c r="AV19" s="784">
        <v>32.45006704</v>
      </c>
      <c r="AW19" s="784">
        <v>33.588164480000003</v>
      </c>
      <c r="AX19" s="784">
        <v>31.714843850000005</v>
      </c>
      <c r="AY19" s="784">
        <v>30.113414429999995</v>
      </c>
      <c r="AZ19" s="784">
        <v>29.448329340000004</v>
      </c>
      <c r="BA19" s="784">
        <v>26.414514430000001</v>
      </c>
      <c r="BB19" s="784">
        <v>26.180727950000001</v>
      </c>
      <c r="BC19" s="784">
        <v>26.114153740000003</v>
      </c>
      <c r="BD19" s="784">
        <f>+BD17-BD18</f>
        <v>24.506430349999999</v>
      </c>
      <c r="BE19" s="784">
        <v>22.909805959999996</v>
      </c>
      <c r="BF19" s="784">
        <v>22.752311889999998</v>
      </c>
      <c r="BG19" s="784">
        <v>22.300082209999999</v>
      </c>
      <c r="BH19" s="827">
        <v>21.429716579999997</v>
      </c>
      <c r="BI19" s="816">
        <v>21.384911020000004</v>
      </c>
      <c r="BJ19" s="816">
        <v>20.959757609999997</v>
      </c>
      <c r="BK19" s="816">
        <v>23.47795009</v>
      </c>
      <c r="BL19" s="816">
        <v>31.855284190000006</v>
      </c>
      <c r="BM19" s="816">
        <v>47.004391499999997</v>
      </c>
      <c r="BN19" s="816">
        <v>46.60835028999999</v>
      </c>
      <c r="BO19" s="816">
        <v>29.79378792</v>
      </c>
      <c r="BP19" s="816">
        <v>29.343030010000007</v>
      </c>
      <c r="BQ19" s="816">
        <v>29.054079209999998</v>
      </c>
      <c r="BR19" s="816">
        <v>28.740075219999994</v>
      </c>
      <c r="BS19" s="816">
        <v>28.548709189999997</v>
      </c>
      <c r="BT19" s="816">
        <v>43.649996180000002</v>
      </c>
      <c r="BU19" s="816">
        <v>39.669770340000007</v>
      </c>
      <c r="BV19" s="816">
        <v>42.423113950000001</v>
      </c>
      <c r="BW19" s="816">
        <v>40.357750520000003</v>
      </c>
      <c r="BX19" s="816">
        <v>45.610189120000001</v>
      </c>
      <c r="BY19" s="816">
        <v>43.962655490000003</v>
      </c>
      <c r="BZ19" s="816">
        <v>43.858579610000007</v>
      </c>
      <c r="CA19" s="816">
        <v>44.315066250000001</v>
      </c>
      <c r="CB19" s="816">
        <v>43.998382270000008</v>
      </c>
      <c r="CC19" s="816">
        <v>41.138117410000007</v>
      </c>
      <c r="CD19" s="816">
        <v>43.643414030000002</v>
      </c>
      <c r="CE19" s="816">
        <f t="shared" ref="CE19:CP19" si="5">+CE17-CE18</f>
        <v>44.776563930000009</v>
      </c>
      <c r="CF19" s="816">
        <f t="shared" si="5"/>
        <v>44.283616469999998</v>
      </c>
      <c r="CG19" s="816">
        <f t="shared" si="5"/>
        <v>39.591298440000003</v>
      </c>
      <c r="CH19" s="816">
        <f t="shared" si="5"/>
        <v>39.43788210000001</v>
      </c>
      <c r="CI19" s="816">
        <f t="shared" si="5"/>
        <v>39.132018889999998</v>
      </c>
      <c r="CJ19" s="816">
        <f t="shared" si="5"/>
        <v>38.692457490000002</v>
      </c>
      <c r="CK19" s="816">
        <f t="shared" si="5"/>
        <v>37.776411909999993</v>
      </c>
      <c r="CL19" s="816">
        <f t="shared" si="5"/>
        <v>6.5017968400000008</v>
      </c>
      <c r="CM19" s="816">
        <f t="shared" si="5"/>
        <v>7.4906208599999999</v>
      </c>
      <c r="CN19" s="816">
        <f t="shared" si="5"/>
        <v>7.9016597100000006</v>
      </c>
      <c r="CO19" s="816">
        <f t="shared" si="5"/>
        <v>7.7248295700000007</v>
      </c>
      <c r="CP19" s="816">
        <f t="shared" si="5"/>
        <v>6.6147400999999988</v>
      </c>
      <c r="CQ19" s="816">
        <f>+CQ17-CQ18</f>
        <v>4.6284012499999996</v>
      </c>
      <c r="CR19" s="816">
        <f>+CR17-CR18</f>
        <v>6.1454396299999985</v>
      </c>
      <c r="CS19" s="816">
        <v>3.9085316500000005</v>
      </c>
      <c r="CT19" s="816">
        <v>3.9453757399999998</v>
      </c>
      <c r="CU19" s="816">
        <v>5.9504941799999997</v>
      </c>
      <c r="CV19" s="816">
        <v>6.1184956899999996</v>
      </c>
      <c r="CW19" s="816">
        <v>7.1774246699999997</v>
      </c>
      <c r="CX19" s="816">
        <v>5.8284201099999997</v>
      </c>
      <c r="CY19" s="816">
        <v>7.06692594</v>
      </c>
      <c r="CZ19" s="816">
        <v>6.3319519399999997</v>
      </c>
      <c r="DA19" s="816">
        <v>5.5074022999999999</v>
      </c>
      <c r="DB19" s="816">
        <v>6.14027192</v>
      </c>
      <c r="DC19" s="816">
        <v>5.9609409400000004</v>
      </c>
      <c r="DD19" s="886">
        <v>12.301795930000001</v>
      </c>
      <c r="DE19" s="886">
        <v>6.7029723299999997</v>
      </c>
      <c r="DF19" s="886">
        <v>17.06364052</v>
      </c>
      <c r="DG19" s="839">
        <v>9.7219719199999997</v>
      </c>
      <c r="DH19" s="839">
        <v>10.03385177</v>
      </c>
      <c r="DI19" s="839">
        <v>12.633565450000001</v>
      </c>
      <c r="DJ19" s="839">
        <v>13.3881339</v>
      </c>
      <c r="DK19" s="839">
        <v>18.050221669999999</v>
      </c>
      <c r="DL19" s="839">
        <v>20.556209160000002</v>
      </c>
      <c r="DM19" s="839">
        <v>29.577899930000001</v>
      </c>
      <c r="DN19" s="839">
        <v>33.938016070000003</v>
      </c>
      <c r="DO19" s="839">
        <v>34.04102675</v>
      </c>
      <c r="DP19" s="839">
        <v>39.402580190000002</v>
      </c>
      <c r="DQ19" s="839">
        <v>36.182464809999999</v>
      </c>
      <c r="DR19" s="839">
        <v>38.030975150000003</v>
      </c>
      <c r="DS19" s="839">
        <v>24.539176999999999</v>
      </c>
      <c r="DT19" s="839">
        <v>24.38528591</v>
      </c>
      <c r="DU19" s="839">
        <v>25.720840880000001</v>
      </c>
      <c r="DV19" s="839">
        <v>21.524374909999999</v>
      </c>
      <c r="DW19" s="839">
        <v>46.49817685</v>
      </c>
      <c r="DX19" s="839">
        <v>46.458866989999997</v>
      </c>
      <c r="DY19" s="839">
        <v>56.880903029999999</v>
      </c>
      <c r="DZ19" s="839">
        <v>56.248044520000001</v>
      </c>
      <c r="EA19" s="839">
        <v>61.731541300000004</v>
      </c>
      <c r="EB19" s="839">
        <v>60.551898219999998</v>
      </c>
      <c r="EC19" s="839">
        <v>90.921940530000001</v>
      </c>
      <c r="ED19" s="839">
        <v>86.340629379999996</v>
      </c>
      <c r="EE19" s="839">
        <v>91.766431569999995</v>
      </c>
      <c r="EF19" s="839">
        <v>110.55422910999999</v>
      </c>
      <c r="EG19" s="839">
        <v>145.68507621000001</v>
      </c>
      <c r="EH19" s="839">
        <v>173.90964475000001</v>
      </c>
      <c r="EI19" s="839">
        <v>146.64762062</v>
      </c>
      <c r="EJ19" s="839">
        <v>148.99416736000001</v>
      </c>
      <c r="EK19" s="839">
        <v>162.25599539999999</v>
      </c>
      <c r="EL19" s="839">
        <v>184.98268812000001</v>
      </c>
      <c r="EM19" s="839">
        <v>143.52119740000001</v>
      </c>
      <c r="EN19" s="839">
        <v>140.4941259</v>
      </c>
      <c r="EO19" s="839">
        <v>153.93580378999999</v>
      </c>
      <c r="EP19" s="839">
        <v>151.89428848</v>
      </c>
      <c r="EQ19" s="839">
        <v>142.04100068</v>
      </c>
      <c r="ER19" s="839">
        <v>138.13800488000001</v>
      </c>
      <c r="ES19" s="839">
        <v>115.86367418</v>
      </c>
      <c r="ET19" s="839">
        <v>124.31452585</v>
      </c>
      <c r="EU19" s="839">
        <v>97.80556765</v>
      </c>
      <c r="EV19" s="839">
        <v>106.72047171</v>
      </c>
      <c r="EW19" s="839">
        <v>110.07476939999999</v>
      </c>
      <c r="EX19" s="839">
        <v>99.321011400000003</v>
      </c>
      <c r="EY19" s="839">
        <v>108.77525833999999</v>
      </c>
      <c r="EZ19" s="839">
        <v>112.43914028</v>
      </c>
      <c r="FA19" s="839">
        <v>110.31142178</v>
      </c>
      <c r="FB19" s="839">
        <v>105.96499239000001</v>
      </c>
      <c r="FC19" s="839">
        <v>107.17298417000001</v>
      </c>
      <c r="FD19" s="839">
        <v>94.063037159999993</v>
      </c>
      <c r="FE19" s="839">
        <v>93.03772644</v>
      </c>
      <c r="FF19" s="839">
        <v>92.265770669999995</v>
      </c>
      <c r="FG19" s="839">
        <v>77.903072850000001</v>
      </c>
      <c r="FH19" s="1716" t="s">
        <v>4066</v>
      </c>
      <c r="FM19" s="321"/>
    </row>
    <row r="20" spans="1:169" ht="21">
      <c r="A20" s="1744"/>
      <c r="B20" s="780"/>
      <c r="C20" s="780"/>
      <c r="D20" s="780"/>
      <c r="E20" s="780"/>
      <c r="F20" s="780"/>
      <c r="G20" s="780"/>
      <c r="H20" s="780"/>
      <c r="I20" s="780"/>
      <c r="J20" s="780"/>
      <c r="K20" s="780"/>
      <c r="L20" s="780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  <c r="AD20" s="781"/>
      <c r="AE20" s="781"/>
      <c r="AF20" s="781"/>
      <c r="AG20" s="781"/>
      <c r="AH20" s="781"/>
      <c r="AI20" s="781"/>
      <c r="AJ20" s="781"/>
      <c r="AK20" s="781"/>
      <c r="AL20" s="781"/>
      <c r="AM20" s="781"/>
      <c r="AN20" s="781"/>
      <c r="AO20" s="781"/>
      <c r="AP20" s="781"/>
      <c r="AQ20" s="781"/>
      <c r="AR20" s="781"/>
      <c r="AS20" s="781"/>
      <c r="AT20" s="781"/>
      <c r="AU20" s="781"/>
      <c r="AV20" s="781"/>
      <c r="AW20" s="781"/>
      <c r="AX20" s="781"/>
      <c r="AY20" s="781"/>
      <c r="AZ20" s="781"/>
      <c r="BA20" s="781"/>
      <c r="BB20" s="781"/>
      <c r="BC20" s="781"/>
      <c r="BD20" s="781"/>
      <c r="BE20" s="781"/>
      <c r="BF20" s="781"/>
      <c r="BG20" s="781"/>
      <c r="BH20" s="826"/>
      <c r="BI20" s="815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5"/>
      <c r="CN20" s="815"/>
      <c r="CO20" s="815"/>
      <c r="CP20" s="815"/>
      <c r="CQ20" s="815"/>
      <c r="CR20" s="815"/>
      <c r="CS20" s="815"/>
      <c r="CT20" s="815"/>
      <c r="CU20" s="815"/>
      <c r="CV20" s="815"/>
      <c r="CW20" s="815"/>
      <c r="CX20" s="815"/>
      <c r="CY20" s="815"/>
      <c r="CZ20" s="815"/>
      <c r="DA20" s="815"/>
      <c r="DB20" s="815"/>
      <c r="DC20" s="815"/>
      <c r="DD20" s="885"/>
      <c r="DE20" s="885"/>
      <c r="DF20" s="885"/>
      <c r="DG20" s="838"/>
      <c r="DH20" s="838"/>
      <c r="DI20" s="838"/>
      <c r="DJ20" s="838"/>
      <c r="DK20" s="838"/>
      <c r="DL20" s="838"/>
      <c r="DM20" s="838"/>
      <c r="DN20" s="838"/>
      <c r="DO20" s="838"/>
      <c r="DP20" s="838"/>
      <c r="DQ20" s="838"/>
      <c r="DR20" s="838"/>
      <c r="DS20" s="838"/>
      <c r="DT20" s="838"/>
      <c r="DU20" s="838"/>
      <c r="DV20" s="838"/>
      <c r="DW20" s="838"/>
      <c r="DX20" s="838"/>
      <c r="DY20" s="838"/>
      <c r="DZ20" s="838"/>
      <c r="EA20" s="838"/>
      <c r="EB20" s="838"/>
      <c r="EC20" s="838"/>
      <c r="ED20" s="838"/>
      <c r="EE20" s="838"/>
      <c r="EF20" s="838"/>
      <c r="EG20" s="838"/>
      <c r="EH20" s="838"/>
      <c r="EI20" s="838"/>
      <c r="EJ20" s="838"/>
      <c r="EK20" s="838"/>
      <c r="EL20" s="838"/>
      <c r="EM20" s="838"/>
      <c r="EN20" s="838"/>
      <c r="EO20" s="838"/>
      <c r="EP20" s="838"/>
      <c r="EQ20" s="838"/>
      <c r="ER20" s="838"/>
      <c r="ES20" s="838"/>
      <c r="ET20" s="838"/>
      <c r="EU20" s="838"/>
      <c r="EV20" s="838"/>
      <c r="EW20" s="838"/>
      <c r="EX20" s="838"/>
      <c r="EY20" s="838"/>
      <c r="EZ20" s="838"/>
      <c r="FA20" s="838"/>
      <c r="FB20" s="838"/>
      <c r="FC20" s="838"/>
      <c r="FD20" s="838"/>
      <c r="FE20" s="838"/>
      <c r="FF20" s="838"/>
      <c r="FG20" s="838"/>
      <c r="FH20" s="1714"/>
      <c r="FM20" s="321"/>
    </row>
    <row r="21" spans="1:169" ht="21">
      <c r="A21" s="1744" t="s">
        <v>2742</v>
      </c>
      <c r="B21" s="783">
        <v>443.88503892</v>
      </c>
      <c r="C21" s="783">
        <v>459.50183627999996</v>
      </c>
      <c r="D21" s="783">
        <v>470.16147791000003</v>
      </c>
      <c r="E21" s="783">
        <v>475.67544439</v>
      </c>
      <c r="F21" s="783">
        <v>72.243078240000003</v>
      </c>
      <c r="G21" s="783">
        <v>74.152245250000007</v>
      </c>
      <c r="H21" s="783">
        <v>88.684479839999995</v>
      </c>
      <c r="I21" s="783">
        <v>90.542124869999995</v>
      </c>
      <c r="J21" s="783">
        <v>92.94452849000001</v>
      </c>
      <c r="K21" s="783">
        <v>82.826182009999997</v>
      </c>
      <c r="L21" s="783">
        <v>81.828861669999995</v>
      </c>
      <c r="M21" s="781">
        <v>79.011492180000005</v>
      </c>
      <c r="N21" s="784">
        <v>79.729670519999985</v>
      </c>
      <c r="O21" s="784">
        <v>86.520039740000001</v>
      </c>
      <c r="P21" s="784">
        <v>141.21429698</v>
      </c>
      <c r="Q21" s="784">
        <v>145.77640493999999</v>
      </c>
      <c r="R21" s="784">
        <v>141.54617831000002</v>
      </c>
      <c r="S21" s="784">
        <v>146.01225755999997</v>
      </c>
      <c r="T21" s="784">
        <v>146.12894358999998</v>
      </c>
      <c r="U21" s="784">
        <v>161.85589311000001</v>
      </c>
      <c r="V21" s="784">
        <v>114.00401024999999</v>
      </c>
      <c r="W21" s="784">
        <v>106.21197372</v>
      </c>
      <c r="X21" s="784">
        <v>99.465681649999993</v>
      </c>
      <c r="Y21" s="781">
        <v>251.03190225999998</v>
      </c>
      <c r="Z21" s="784">
        <v>251.08474421</v>
      </c>
      <c r="AA21" s="784">
        <v>304.63932638</v>
      </c>
      <c r="AB21" s="781">
        <v>302.99533770000005</v>
      </c>
      <c r="AC21" s="781">
        <v>312.63901109</v>
      </c>
      <c r="AD21" s="781">
        <v>327.16821027999998</v>
      </c>
      <c r="AE21" s="781">
        <v>329.61390254000003</v>
      </c>
      <c r="AF21" s="781">
        <v>332.93602383999996</v>
      </c>
      <c r="AG21" s="781">
        <v>347.10196063999996</v>
      </c>
      <c r="AH21" s="781">
        <v>333.95645683999999</v>
      </c>
      <c r="AI21" s="781">
        <v>326.19399720000001</v>
      </c>
      <c r="AJ21" s="781">
        <v>328.49239317999997</v>
      </c>
      <c r="AK21" s="781">
        <v>490.63332524999998</v>
      </c>
      <c r="AL21" s="781">
        <v>508.39296959999996</v>
      </c>
      <c r="AM21" s="781">
        <v>482.47251846</v>
      </c>
      <c r="AN21" s="781">
        <v>457.48661898</v>
      </c>
      <c r="AO21" s="781">
        <v>454.88759088</v>
      </c>
      <c r="AP21" s="781">
        <v>203.56093462999996</v>
      </c>
      <c r="AQ21" s="781">
        <v>203.81517846999998</v>
      </c>
      <c r="AR21" s="781">
        <v>169.88690463000003</v>
      </c>
      <c r="AS21" s="781">
        <v>165.08708264000001</v>
      </c>
      <c r="AT21" s="781">
        <f>AT13-AT17</f>
        <v>150.98342342000001</v>
      </c>
      <c r="AU21" s="781">
        <v>142.58676191999996</v>
      </c>
      <c r="AV21" s="781">
        <v>165.29993056000001</v>
      </c>
      <c r="AW21" s="781">
        <v>198.02041126</v>
      </c>
      <c r="AX21" s="781">
        <v>258.56421659</v>
      </c>
      <c r="AY21" s="781">
        <v>227.19847386999999</v>
      </c>
      <c r="AZ21" s="781">
        <v>227.03593391999999</v>
      </c>
      <c r="BA21" s="781">
        <v>229.47284776000001</v>
      </c>
      <c r="BB21" s="781">
        <v>191.03164523000001</v>
      </c>
      <c r="BC21" s="781">
        <v>181.16346937</v>
      </c>
      <c r="BD21" s="781">
        <v>180.69633633999999</v>
      </c>
      <c r="BE21" s="781">
        <v>180.74054076000002</v>
      </c>
      <c r="BF21" s="781">
        <v>184.74524659000002</v>
      </c>
      <c r="BG21" s="781">
        <v>195.13976116999999</v>
      </c>
      <c r="BH21" s="826">
        <v>196.22302794000001</v>
      </c>
      <c r="BI21" s="815">
        <v>198.16810197999996</v>
      </c>
      <c r="BJ21" s="815">
        <v>187.31182773</v>
      </c>
      <c r="BK21" s="815">
        <v>180.14511768999998</v>
      </c>
      <c r="BL21" s="815">
        <v>228.32633063000003</v>
      </c>
      <c r="BM21" s="815">
        <v>237.95779552000005</v>
      </c>
      <c r="BN21" s="815">
        <v>238.73777066</v>
      </c>
      <c r="BO21" s="815">
        <v>237.52371314999999</v>
      </c>
      <c r="BP21" s="815">
        <v>253.44622242000003</v>
      </c>
      <c r="BQ21" s="815">
        <v>253.44788123000001</v>
      </c>
      <c r="BR21" s="815">
        <v>262.65499729999999</v>
      </c>
      <c r="BS21" s="815">
        <v>276.30513019</v>
      </c>
      <c r="BT21" s="815">
        <v>281.93501122999999</v>
      </c>
      <c r="BU21" s="815">
        <v>263.92303807999997</v>
      </c>
      <c r="BV21" s="815">
        <v>271.04642680000001</v>
      </c>
      <c r="BW21" s="815">
        <v>272.90097614999996</v>
      </c>
      <c r="BX21" s="815">
        <v>280.53083359999999</v>
      </c>
      <c r="BY21" s="815">
        <v>266.85361051999996</v>
      </c>
      <c r="BZ21" s="815">
        <v>280.05440637000004</v>
      </c>
      <c r="CA21" s="815">
        <v>267.11279303000003</v>
      </c>
      <c r="CB21" s="815">
        <v>221.28652789999995</v>
      </c>
      <c r="CC21" s="815">
        <v>223.00774215000001</v>
      </c>
      <c r="CD21" s="815">
        <v>221.08129448</v>
      </c>
      <c r="CE21" s="815">
        <v>222.29106186999999</v>
      </c>
      <c r="CF21" s="815">
        <v>221.53441822999997</v>
      </c>
      <c r="CG21" s="815">
        <v>156.13551165999996</v>
      </c>
      <c r="CH21" s="815">
        <v>144.95709817999997</v>
      </c>
      <c r="CI21" s="815">
        <v>144.10385467</v>
      </c>
      <c r="CJ21" s="815">
        <v>142.99901545</v>
      </c>
      <c r="CK21" s="815">
        <v>141.82565199999999</v>
      </c>
      <c r="CL21" s="815">
        <v>133.57969205000001</v>
      </c>
      <c r="CM21" s="815">
        <v>127.99520296999999</v>
      </c>
      <c r="CN21" s="815">
        <v>129.82102099999997</v>
      </c>
      <c r="CO21" s="815">
        <v>130.07958703</v>
      </c>
      <c r="CP21" s="815">
        <v>128.59458519999998</v>
      </c>
      <c r="CQ21" s="815">
        <v>133.99361243000001</v>
      </c>
      <c r="CR21" s="815">
        <v>133.04442172</v>
      </c>
      <c r="CS21" s="815">
        <v>126.07809578999999</v>
      </c>
      <c r="CT21" s="815">
        <v>116.89973044</v>
      </c>
      <c r="CU21" s="815">
        <v>108.90252569</v>
      </c>
      <c r="CV21" s="815">
        <v>108.71296639000001</v>
      </c>
      <c r="CW21" s="815">
        <v>108.89889257999999</v>
      </c>
      <c r="CX21" s="815">
        <v>84.530558979999995</v>
      </c>
      <c r="CY21" s="815">
        <v>87.769000570000003</v>
      </c>
      <c r="CZ21" s="815">
        <v>87.762411659999998</v>
      </c>
      <c r="DA21" s="815">
        <v>87.489843870000001</v>
      </c>
      <c r="DB21" s="815">
        <v>88.157922459999995</v>
      </c>
      <c r="DC21" s="815">
        <v>88.240908379999993</v>
      </c>
      <c r="DD21" s="885">
        <v>87.36664863</v>
      </c>
      <c r="DE21" s="885">
        <v>87.622418949999997</v>
      </c>
      <c r="DF21" s="885">
        <v>68.69157439</v>
      </c>
      <c r="DG21" s="838">
        <v>70.017272320000004</v>
      </c>
      <c r="DH21" s="838">
        <v>72.070394149999998</v>
      </c>
      <c r="DI21" s="838">
        <v>73.727857150000006</v>
      </c>
      <c r="DJ21" s="838">
        <v>91.491646610000004</v>
      </c>
      <c r="DK21" s="838">
        <v>105.36514574</v>
      </c>
      <c r="DL21" s="838">
        <v>113.8221839</v>
      </c>
      <c r="DM21" s="838">
        <v>89.497415239999995</v>
      </c>
      <c r="DN21" s="838">
        <v>91.925861029999993</v>
      </c>
      <c r="DO21" s="838">
        <v>98.458460419999994</v>
      </c>
      <c r="DP21" s="838">
        <v>102.29166180999999</v>
      </c>
      <c r="DQ21" s="838">
        <v>90.348676879999999</v>
      </c>
      <c r="DR21" s="838">
        <v>88.176631900000004</v>
      </c>
      <c r="DS21" s="838">
        <v>89.03991929</v>
      </c>
      <c r="DT21" s="838">
        <v>90.977628440000004</v>
      </c>
      <c r="DU21" s="838">
        <v>101.04743655999999</v>
      </c>
      <c r="DV21" s="838">
        <v>99.754052180000002</v>
      </c>
      <c r="DW21" s="838">
        <v>114.01928651999999</v>
      </c>
      <c r="DX21" s="838">
        <v>112.61104935</v>
      </c>
      <c r="DY21" s="838">
        <v>112.4181298</v>
      </c>
      <c r="DZ21" s="838">
        <v>109.28289013</v>
      </c>
      <c r="EA21" s="838">
        <v>90.361217479999993</v>
      </c>
      <c r="EB21" s="838">
        <v>92.977254979999998</v>
      </c>
      <c r="EC21" s="838">
        <v>94.465101000000004</v>
      </c>
      <c r="ED21" s="838">
        <v>92.573689220000006</v>
      </c>
      <c r="EE21" s="838">
        <v>92.671145089999996</v>
      </c>
      <c r="EF21" s="838">
        <v>93.624774500000001</v>
      </c>
      <c r="EG21" s="838">
        <v>109.6564053</v>
      </c>
      <c r="EH21" s="838">
        <v>111.36529303</v>
      </c>
      <c r="EI21" s="838">
        <v>89.700431850000001</v>
      </c>
      <c r="EJ21" s="838">
        <v>83.268640930000004</v>
      </c>
      <c r="EK21" s="838">
        <v>81.985852129999998</v>
      </c>
      <c r="EL21" s="838">
        <v>83.440597780000004</v>
      </c>
      <c r="EM21" s="838">
        <v>82.943336689999995</v>
      </c>
      <c r="EN21" s="838">
        <v>88.153503659999998</v>
      </c>
      <c r="EO21" s="838">
        <v>85.172523979999994</v>
      </c>
      <c r="EP21" s="838">
        <v>82.295783889999996</v>
      </c>
      <c r="EQ21" s="838">
        <v>63.88179804</v>
      </c>
      <c r="ER21" s="838">
        <v>83.589629189999997</v>
      </c>
      <c r="ES21" s="838">
        <v>73.936774740000004</v>
      </c>
      <c r="ET21" s="838">
        <v>56.586501910000003</v>
      </c>
      <c r="EU21" s="838">
        <v>54.521426609999999</v>
      </c>
      <c r="EV21" s="838">
        <v>58.796363560000003</v>
      </c>
      <c r="EW21" s="838">
        <v>68.699498700000007</v>
      </c>
      <c r="EX21" s="838">
        <v>225.50000220999999</v>
      </c>
      <c r="EY21" s="838">
        <v>367.38273672000003</v>
      </c>
      <c r="EZ21" s="838">
        <v>404.09161416000001</v>
      </c>
      <c r="FA21" s="838">
        <v>407.02246427</v>
      </c>
      <c r="FB21" s="838">
        <v>421.55595417000001</v>
      </c>
      <c r="FC21" s="838">
        <v>429.77258945</v>
      </c>
      <c r="FD21" s="838">
        <v>495.53902715999999</v>
      </c>
      <c r="FE21" s="838">
        <v>542.92878666000001</v>
      </c>
      <c r="FF21" s="838">
        <v>466.36353781000003</v>
      </c>
      <c r="FG21" s="838">
        <v>382.17453943999999</v>
      </c>
      <c r="FH21" s="1714" t="s">
        <v>4068</v>
      </c>
      <c r="FM21" s="321"/>
    </row>
    <row r="22" spans="1:169" ht="21">
      <c r="A22" s="1745" t="s">
        <v>1961</v>
      </c>
      <c r="B22" s="783">
        <v>385.07061135999999</v>
      </c>
      <c r="C22" s="783">
        <v>397.03897576999998</v>
      </c>
      <c r="D22" s="783">
        <v>404.03411161000002</v>
      </c>
      <c r="E22" s="783">
        <v>403.85167643</v>
      </c>
      <c r="F22" s="783">
        <v>1.8786593999999999</v>
      </c>
      <c r="G22" s="783">
        <v>1.87841996</v>
      </c>
      <c r="H22" s="783">
        <v>11.684669960000001</v>
      </c>
      <c r="I22" s="783">
        <v>11.6452276</v>
      </c>
      <c r="J22" s="783">
        <v>11.64671221</v>
      </c>
      <c r="K22" s="783">
        <v>11.56496731</v>
      </c>
      <c r="L22" s="783">
        <v>11.563493119999999</v>
      </c>
      <c r="M22" s="784">
        <v>11.40681287</v>
      </c>
      <c r="N22" s="784">
        <v>11.4024508</v>
      </c>
      <c r="O22" s="784">
        <v>14.93515884</v>
      </c>
      <c r="P22" s="784">
        <v>68.848451680000011</v>
      </c>
      <c r="Q22" s="784">
        <v>74.037379700000002</v>
      </c>
      <c r="R22" s="784">
        <v>75.382504370000007</v>
      </c>
      <c r="S22" s="784">
        <v>75.173838819999986</v>
      </c>
      <c r="T22" s="784">
        <v>74.579083949999998</v>
      </c>
      <c r="U22" s="784">
        <v>78.642666869999999</v>
      </c>
      <c r="V22" s="784">
        <v>78.70149687</v>
      </c>
      <c r="W22" s="784">
        <v>80.009647709999996</v>
      </c>
      <c r="X22" s="784">
        <v>74.475543019999989</v>
      </c>
      <c r="Y22" s="784">
        <v>225.49152328</v>
      </c>
      <c r="Z22" s="784">
        <v>225.47635744999999</v>
      </c>
      <c r="AA22" s="784">
        <v>261.80119640999999</v>
      </c>
      <c r="AB22" s="784">
        <v>261.47699984000002</v>
      </c>
      <c r="AC22" s="784">
        <v>267.25300014999999</v>
      </c>
      <c r="AD22" s="784">
        <v>266.01550918999999</v>
      </c>
      <c r="AE22" s="784">
        <v>266.76155796</v>
      </c>
      <c r="AF22" s="784">
        <v>265.96494770999999</v>
      </c>
      <c r="AG22" s="784">
        <v>277.42721676999997</v>
      </c>
      <c r="AH22" s="784">
        <v>281.20001676999999</v>
      </c>
      <c r="AI22" s="784">
        <v>274.62345357999999</v>
      </c>
      <c r="AJ22" s="784">
        <v>279.41540036999999</v>
      </c>
      <c r="AK22" s="784">
        <v>410.79371925999999</v>
      </c>
      <c r="AL22" s="784">
        <v>425.41360320999996</v>
      </c>
      <c r="AM22" s="784">
        <v>412.16582108</v>
      </c>
      <c r="AN22" s="784">
        <v>406.22094842000001</v>
      </c>
      <c r="AO22" s="784">
        <v>404.30959182999999</v>
      </c>
      <c r="AP22" s="784">
        <v>151.36903275999998</v>
      </c>
      <c r="AQ22" s="784">
        <v>152.56036297999998</v>
      </c>
      <c r="AR22" s="784">
        <v>152.35992549000002</v>
      </c>
      <c r="AS22" s="784">
        <v>147.79097615000001</v>
      </c>
      <c r="AT22" s="784">
        <f>AT14-AT18</f>
        <v>134.79836803000001</v>
      </c>
      <c r="AU22" s="784">
        <v>126.43126027</v>
      </c>
      <c r="AV22" s="784">
        <v>139.66737449999999</v>
      </c>
      <c r="AW22" s="784">
        <v>173.32655516</v>
      </c>
      <c r="AX22" s="784">
        <v>233.59431873</v>
      </c>
      <c r="AY22" s="784">
        <v>212.16352755</v>
      </c>
      <c r="AZ22" s="784">
        <v>204.65806996999999</v>
      </c>
      <c r="BA22" s="784">
        <v>207.18972657</v>
      </c>
      <c r="BB22" s="784">
        <v>173.57368187</v>
      </c>
      <c r="BC22" s="784">
        <v>163.10968493999999</v>
      </c>
      <c r="BD22" s="784">
        <v>163.03113862999999</v>
      </c>
      <c r="BE22" s="784">
        <v>162.80556103000001</v>
      </c>
      <c r="BF22" s="784">
        <v>168.50932182</v>
      </c>
      <c r="BG22" s="784">
        <v>166.93060813</v>
      </c>
      <c r="BH22" s="827">
        <v>166.92078984</v>
      </c>
      <c r="BI22" s="816">
        <v>168.49941066999997</v>
      </c>
      <c r="BJ22" s="816">
        <v>158.48941066999998</v>
      </c>
      <c r="BK22" s="816">
        <v>158.48941066999998</v>
      </c>
      <c r="BL22" s="816">
        <v>158.48008831999999</v>
      </c>
      <c r="BM22" s="816">
        <v>158.48008831999999</v>
      </c>
      <c r="BN22" s="816">
        <v>158.48008831999999</v>
      </c>
      <c r="BO22" s="816">
        <v>158.48008831999999</v>
      </c>
      <c r="BP22" s="816">
        <v>163.58008832000002</v>
      </c>
      <c r="BQ22" s="816">
        <v>163.58008832000002</v>
      </c>
      <c r="BR22" s="816">
        <v>163.58008832000002</v>
      </c>
      <c r="BS22" s="816">
        <v>155.08008832000002</v>
      </c>
      <c r="BT22" s="816">
        <v>81.130088319999999</v>
      </c>
      <c r="BU22" s="816">
        <v>78.580088319999987</v>
      </c>
      <c r="BV22" s="816">
        <v>71.970088310000008</v>
      </c>
      <c r="BW22" s="816">
        <v>75.37008831</v>
      </c>
      <c r="BX22" s="816">
        <v>75.37008831</v>
      </c>
      <c r="BY22" s="816">
        <v>61.770088310000006</v>
      </c>
      <c r="BZ22" s="816">
        <v>66.87008831</v>
      </c>
      <c r="CA22" s="816">
        <v>66.87008831</v>
      </c>
      <c r="CB22" s="816">
        <v>66.87008831</v>
      </c>
      <c r="CC22" s="816">
        <v>66.87008831</v>
      </c>
      <c r="CD22" s="816">
        <v>66.497707390000002</v>
      </c>
      <c r="CE22" s="816">
        <v>66.226117090000002</v>
      </c>
      <c r="CF22" s="816">
        <v>66.045331189999999</v>
      </c>
      <c r="CG22" s="816">
        <v>70.868433549999992</v>
      </c>
      <c r="CH22" s="816">
        <v>60.57644088</v>
      </c>
      <c r="CI22" s="816">
        <v>60.294100490000005</v>
      </c>
      <c r="CJ22" s="816">
        <v>60.010648509999996</v>
      </c>
      <c r="CK22" s="816">
        <v>59.723891469999998</v>
      </c>
      <c r="CL22" s="816">
        <v>58.120340490000004</v>
      </c>
      <c r="CM22" s="816">
        <v>55.173487899999998</v>
      </c>
      <c r="CN22" s="816">
        <v>54.877414680000001</v>
      </c>
      <c r="CO22" s="816">
        <v>54.579366630000003</v>
      </c>
      <c r="CP22" s="816">
        <v>56.315750729999998</v>
      </c>
      <c r="CQ22" s="816">
        <v>62.628932490000004</v>
      </c>
      <c r="CR22" s="816">
        <v>59.897032490000001</v>
      </c>
      <c r="CS22" s="816">
        <v>52.610088299999994</v>
      </c>
      <c r="CT22" s="816">
        <v>43.748920149999996</v>
      </c>
      <c r="CU22" s="816">
        <v>43.748920149999996</v>
      </c>
      <c r="CV22" s="816">
        <v>43.798900150000001</v>
      </c>
      <c r="CW22" s="816">
        <v>43.794885280000003</v>
      </c>
      <c r="CX22" s="816">
        <v>43.790843649999999</v>
      </c>
      <c r="CY22" s="816">
        <v>47.186793700000003</v>
      </c>
      <c r="CZ22" s="816">
        <v>47.182681279999997</v>
      </c>
      <c r="DA22" s="816">
        <v>47.178558289999998</v>
      </c>
      <c r="DB22" s="816">
        <v>47.19890015</v>
      </c>
      <c r="DC22" s="816">
        <v>47.194896290000003</v>
      </c>
      <c r="DD22" s="886">
        <v>47.194896290000003</v>
      </c>
      <c r="DE22" s="886">
        <v>47.190984290000003</v>
      </c>
      <c r="DF22" s="886">
        <v>47.18691252</v>
      </c>
      <c r="DG22" s="839">
        <v>47.182794909999998</v>
      </c>
      <c r="DH22" s="839">
        <v>47.1786593</v>
      </c>
      <c r="DI22" s="839">
        <v>47.174509350000001</v>
      </c>
      <c r="DJ22" s="839">
        <v>47.170312809999999</v>
      </c>
      <c r="DK22" s="839">
        <v>47.166089249999999</v>
      </c>
      <c r="DL22" s="839">
        <v>47.148920150000002</v>
      </c>
      <c r="DM22" s="839">
        <v>39.498920149999996</v>
      </c>
      <c r="DN22" s="839">
        <v>39.498920149999996</v>
      </c>
      <c r="DO22" s="839">
        <v>39.498920149999996</v>
      </c>
      <c r="DP22" s="839">
        <v>39.498920149999996</v>
      </c>
      <c r="DQ22" s="839">
        <v>39.498920149999996</v>
      </c>
      <c r="DR22" s="839">
        <v>39.498920149999996</v>
      </c>
      <c r="DS22" s="839">
        <v>39.498920149999996</v>
      </c>
      <c r="DT22" s="839">
        <v>39.498920149999996</v>
      </c>
      <c r="DU22" s="839">
        <v>39.498920149999996</v>
      </c>
      <c r="DV22" s="839">
        <v>39.498920149999996</v>
      </c>
      <c r="DW22" s="839">
        <v>39.498920149999996</v>
      </c>
      <c r="DX22" s="839">
        <v>39.498920149999996</v>
      </c>
      <c r="DY22" s="839">
        <v>39.498920149999996</v>
      </c>
      <c r="DZ22" s="839">
        <v>30.148920149999999</v>
      </c>
      <c r="EA22" s="839">
        <v>0</v>
      </c>
      <c r="EB22" s="839">
        <v>0</v>
      </c>
      <c r="EC22" s="839">
        <v>0</v>
      </c>
      <c r="ED22" s="839">
        <v>0</v>
      </c>
      <c r="EE22" s="839">
        <v>0</v>
      </c>
      <c r="EF22" s="839">
        <v>0</v>
      </c>
      <c r="EG22" s="839">
        <v>0</v>
      </c>
      <c r="EH22" s="839">
        <v>0</v>
      </c>
      <c r="EI22" s="839">
        <v>0</v>
      </c>
      <c r="EJ22" s="839">
        <v>0</v>
      </c>
      <c r="EK22" s="839">
        <v>0</v>
      </c>
      <c r="EL22" s="839">
        <v>0</v>
      </c>
      <c r="EM22" s="839">
        <v>0</v>
      </c>
      <c r="EN22" s="839">
        <v>0</v>
      </c>
      <c r="EO22" s="839">
        <v>0</v>
      </c>
      <c r="EP22" s="839">
        <v>0</v>
      </c>
      <c r="EQ22" s="839">
        <v>0</v>
      </c>
      <c r="ER22" s="839">
        <v>0</v>
      </c>
      <c r="ES22" s="839">
        <v>0</v>
      </c>
      <c r="ET22" s="839">
        <v>0</v>
      </c>
      <c r="EU22" s="839">
        <v>0</v>
      </c>
      <c r="EV22" s="839">
        <v>0</v>
      </c>
      <c r="EW22" s="839">
        <v>0</v>
      </c>
      <c r="EX22" s="839">
        <v>0</v>
      </c>
      <c r="EY22" s="839">
        <v>0</v>
      </c>
      <c r="EZ22" s="839">
        <v>0</v>
      </c>
      <c r="FA22" s="839">
        <v>0</v>
      </c>
      <c r="FB22" s="839">
        <v>0</v>
      </c>
      <c r="FC22" s="839">
        <v>0</v>
      </c>
      <c r="FD22" s="839">
        <v>41.598999999999997</v>
      </c>
      <c r="FE22" s="839">
        <v>41.598999999999997</v>
      </c>
      <c r="FF22" s="839">
        <v>41.598999999999997</v>
      </c>
      <c r="FG22" s="839">
        <v>31.33396888</v>
      </c>
      <c r="FH22" s="1716" t="s">
        <v>4067</v>
      </c>
      <c r="FM22" s="321"/>
    </row>
    <row r="23" spans="1:169" ht="21">
      <c r="A23" s="1745" t="s">
        <v>1962</v>
      </c>
      <c r="B23" s="780">
        <f>+B21-B22</f>
        <v>58.814427560000013</v>
      </c>
      <c r="C23" s="783">
        <f t="shared" ref="C23:V23" si="6">+C21-C22</f>
        <v>62.462860509999985</v>
      </c>
      <c r="D23" s="783">
        <f t="shared" si="6"/>
        <v>66.127366300000006</v>
      </c>
      <c r="E23" s="783">
        <f t="shared" si="6"/>
        <v>71.823767959999998</v>
      </c>
      <c r="F23" s="783">
        <f t="shared" si="6"/>
        <v>70.364418839999999</v>
      </c>
      <c r="G23" s="783">
        <f t="shared" si="6"/>
        <v>72.273825290000005</v>
      </c>
      <c r="H23" s="783">
        <f t="shared" si="6"/>
        <v>76.999809879999987</v>
      </c>
      <c r="I23" s="783">
        <f t="shared" si="6"/>
        <v>78.896897269999997</v>
      </c>
      <c r="J23" s="783">
        <f t="shared" si="6"/>
        <v>81.297816280000006</v>
      </c>
      <c r="K23" s="783">
        <f t="shared" si="6"/>
        <v>71.261214699999996</v>
      </c>
      <c r="L23" s="783">
        <f t="shared" si="6"/>
        <v>70.265368549999991</v>
      </c>
      <c r="M23" s="784">
        <f t="shared" si="6"/>
        <v>67.604679310000009</v>
      </c>
      <c r="N23" s="784">
        <f t="shared" si="6"/>
        <v>68.327219719999988</v>
      </c>
      <c r="O23" s="784">
        <f t="shared" si="6"/>
        <v>71.584880900000002</v>
      </c>
      <c r="P23" s="781">
        <f t="shared" si="6"/>
        <v>72.365845299999989</v>
      </c>
      <c r="Q23" s="781">
        <f t="shared" si="6"/>
        <v>71.739025239999989</v>
      </c>
      <c r="R23" s="781">
        <f t="shared" si="6"/>
        <v>66.16367394000001</v>
      </c>
      <c r="S23" s="781">
        <f t="shared" si="6"/>
        <v>70.83841873999998</v>
      </c>
      <c r="T23" s="781">
        <f t="shared" si="6"/>
        <v>71.54985963999998</v>
      </c>
      <c r="U23" s="781">
        <f t="shared" si="6"/>
        <v>83.213226240000012</v>
      </c>
      <c r="V23" s="781">
        <f t="shared" si="6"/>
        <v>35.302513379999994</v>
      </c>
      <c r="W23" s="781">
        <v>26.202326010000007</v>
      </c>
      <c r="X23" s="781">
        <v>24.990138630000004</v>
      </c>
      <c r="Y23" s="784">
        <v>25.540378979999986</v>
      </c>
      <c r="Z23" s="781">
        <v>25.608386760000002</v>
      </c>
      <c r="AA23" s="784">
        <v>42.838129970000011</v>
      </c>
      <c r="AB23" s="784">
        <f>+AB21-AB22</f>
        <v>41.518337860000031</v>
      </c>
      <c r="AC23" s="784">
        <v>45.386010940000006</v>
      </c>
      <c r="AD23" s="784">
        <v>61.152701089999994</v>
      </c>
      <c r="AE23" s="784">
        <v>62.852344580000022</v>
      </c>
      <c r="AF23" s="784">
        <v>66.971076129999972</v>
      </c>
      <c r="AG23" s="784">
        <v>69.674743869999986</v>
      </c>
      <c r="AH23" s="784">
        <f>+AH21-AH22</f>
        <v>52.756440069999996</v>
      </c>
      <c r="AI23" s="784">
        <v>51.570543620000024</v>
      </c>
      <c r="AJ23" s="784">
        <f>+AJ21-AJ22</f>
        <v>49.076992809999979</v>
      </c>
      <c r="AK23" s="784">
        <f>+AK21-AK22</f>
        <v>79.839605989999995</v>
      </c>
      <c r="AL23" s="784">
        <v>82.979366389999996</v>
      </c>
      <c r="AM23" s="784">
        <f>+AM21-AM22</f>
        <v>70.306697380000003</v>
      </c>
      <c r="AN23" s="784">
        <f>+AN21-AN22</f>
        <v>51.26567055999999</v>
      </c>
      <c r="AO23" s="784">
        <f>+AO21-AO22</f>
        <v>50.577999050000017</v>
      </c>
      <c r="AP23" s="784">
        <f>+AP21-AP22</f>
        <v>52.191901869999981</v>
      </c>
      <c r="AQ23" s="784">
        <v>51.254815489999999</v>
      </c>
      <c r="AR23" s="784">
        <f>+AR21-AR22</f>
        <v>17.526979140000009</v>
      </c>
      <c r="AS23" s="784">
        <v>17.29610649</v>
      </c>
      <c r="AT23" s="784">
        <f>AT15-AT19</f>
        <v>16.185055390000013</v>
      </c>
      <c r="AU23" s="784">
        <v>16.155501649999984</v>
      </c>
      <c r="AV23" s="784">
        <v>25.632556060000006</v>
      </c>
      <c r="AW23" s="784">
        <v>24.693856099999991</v>
      </c>
      <c r="AX23" s="784">
        <v>24.969897860000021</v>
      </c>
      <c r="AY23" s="784">
        <v>15.034946319999989</v>
      </c>
      <c r="AZ23" s="784">
        <v>22.377863950000005</v>
      </c>
      <c r="BA23" s="784">
        <v>22.283121190000003</v>
      </c>
      <c r="BB23" s="784">
        <v>17.457963360000008</v>
      </c>
      <c r="BC23" s="784">
        <v>18.053784430000007</v>
      </c>
      <c r="BD23" s="784">
        <f>+BD21-BD22</f>
        <v>17.665197710000001</v>
      </c>
      <c r="BE23" s="784">
        <v>17.934979730000009</v>
      </c>
      <c r="BF23" s="784">
        <v>16.235924770000025</v>
      </c>
      <c r="BG23" s="784">
        <v>28.20915303999999</v>
      </c>
      <c r="BH23" s="827">
        <v>29.302238100000011</v>
      </c>
      <c r="BI23" s="816">
        <v>29.668691309999986</v>
      </c>
      <c r="BJ23" s="816">
        <v>28.822417060000021</v>
      </c>
      <c r="BK23" s="816">
        <v>21.655707019999994</v>
      </c>
      <c r="BL23" s="816">
        <v>69.846242310000036</v>
      </c>
      <c r="BM23" s="816">
        <v>79.477707200000054</v>
      </c>
      <c r="BN23" s="816">
        <v>80.257682340000002</v>
      </c>
      <c r="BO23" s="816">
        <v>79.043624829999999</v>
      </c>
      <c r="BP23" s="816">
        <v>89.866134100000011</v>
      </c>
      <c r="BQ23" s="816">
        <v>89.867792909999991</v>
      </c>
      <c r="BR23" s="816">
        <v>99.074908979999975</v>
      </c>
      <c r="BS23" s="816">
        <v>121.22504186999998</v>
      </c>
      <c r="BT23" s="816">
        <v>200.80492290999999</v>
      </c>
      <c r="BU23" s="816">
        <v>185.34294975999998</v>
      </c>
      <c r="BV23" s="816">
        <v>199.07633849000001</v>
      </c>
      <c r="BW23" s="816">
        <v>197.53088783999996</v>
      </c>
      <c r="BX23" s="816">
        <v>205.16074528999999</v>
      </c>
      <c r="BY23" s="816">
        <v>205.08352220999996</v>
      </c>
      <c r="BZ23" s="816">
        <v>213.18431806000004</v>
      </c>
      <c r="CA23" s="816">
        <v>200.24270472000003</v>
      </c>
      <c r="CB23" s="816">
        <v>154.41643958999995</v>
      </c>
      <c r="CC23" s="816">
        <v>156.13765384000001</v>
      </c>
      <c r="CD23" s="816">
        <v>154.58358708999998</v>
      </c>
      <c r="CE23" s="816">
        <f t="shared" ref="CE23:CP23" si="7">+CE21-CE22</f>
        <v>156.06494477999999</v>
      </c>
      <c r="CF23" s="816">
        <f t="shared" si="7"/>
        <v>155.48908703999996</v>
      </c>
      <c r="CG23" s="816">
        <f t="shared" si="7"/>
        <v>85.267078109999972</v>
      </c>
      <c r="CH23" s="816">
        <f t="shared" si="7"/>
        <v>84.380657299999967</v>
      </c>
      <c r="CI23" s="816">
        <f t="shared" si="7"/>
        <v>83.809754179999999</v>
      </c>
      <c r="CJ23" s="816">
        <f t="shared" si="7"/>
        <v>82.988366940000006</v>
      </c>
      <c r="CK23" s="816">
        <f t="shared" si="7"/>
        <v>82.101760529999993</v>
      </c>
      <c r="CL23" s="816">
        <f t="shared" si="7"/>
        <v>75.459351560000002</v>
      </c>
      <c r="CM23" s="816">
        <f t="shared" si="7"/>
        <v>72.821715069999996</v>
      </c>
      <c r="CN23" s="816">
        <f t="shared" si="7"/>
        <v>74.943606319999972</v>
      </c>
      <c r="CO23" s="816">
        <f t="shared" si="7"/>
        <v>75.500220399999989</v>
      </c>
      <c r="CP23" s="816">
        <f t="shared" si="7"/>
        <v>72.278834469999993</v>
      </c>
      <c r="CQ23" s="816">
        <f>+CQ21-CQ22</f>
        <v>71.364679940000002</v>
      </c>
      <c r="CR23" s="816">
        <f>+CR21-CR22</f>
        <v>73.147389230000002</v>
      </c>
      <c r="CS23" s="816">
        <v>73.468007489999991</v>
      </c>
      <c r="CT23" s="816">
        <v>73.150810289999995</v>
      </c>
      <c r="CU23" s="816">
        <v>65.153605540000001</v>
      </c>
      <c r="CV23" s="816">
        <v>64.914066239999997</v>
      </c>
      <c r="CW23" s="816">
        <v>65.104007300000006</v>
      </c>
      <c r="CX23" s="816">
        <v>40.739715330000003</v>
      </c>
      <c r="CY23" s="816">
        <v>40.58220687</v>
      </c>
      <c r="CZ23" s="816">
        <v>40.579730380000001</v>
      </c>
      <c r="DA23" s="816">
        <v>40.311285580000003</v>
      </c>
      <c r="DB23" s="816">
        <v>40.959022310000002</v>
      </c>
      <c r="DC23" s="816">
        <v>41.046012089999998</v>
      </c>
      <c r="DD23" s="886">
        <v>40.171752339999998</v>
      </c>
      <c r="DE23" s="886">
        <v>40.431434660000001</v>
      </c>
      <c r="DF23" s="886">
        <v>21.50466187</v>
      </c>
      <c r="DG23" s="839">
        <v>22.834477410000002</v>
      </c>
      <c r="DH23" s="839">
        <v>24.891734849999999</v>
      </c>
      <c r="DI23" s="839">
        <v>26.553347800000001</v>
      </c>
      <c r="DJ23" s="839">
        <v>44.321333799999998</v>
      </c>
      <c r="DK23" s="839">
        <v>58.199056489999997</v>
      </c>
      <c r="DL23" s="839">
        <v>66.673263750000004</v>
      </c>
      <c r="DM23" s="839">
        <v>49.998495089999999</v>
      </c>
      <c r="DN23" s="839">
        <v>52.426940879999997</v>
      </c>
      <c r="DO23" s="839">
        <v>58.959540269999998</v>
      </c>
      <c r="DP23" s="839">
        <v>62.792741659999997</v>
      </c>
      <c r="DQ23" s="839">
        <v>50.849756730000003</v>
      </c>
      <c r="DR23" s="839">
        <v>48.67771175</v>
      </c>
      <c r="DS23" s="839">
        <v>49.540999139999997</v>
      </c>
      <c r="DT23" s="839">
        <v>51.47870829</v>
      </c>
      <c r="DU23" s="839">
        <v>61.548516409999998</v>
      </c>
      <c r="DV23" s="839">
        <v>60.255132029999999</v>
      </c>
      <c r="DW23" s="839">
        <v>74.520366370000005</v>
      </c>
      <c r="DX23" s="839">
        <v>73.112129199999998</v>
      </c>
      <c r="DY23" s="839">
        <v>72.919209649999999</v>
      </c>
      <c r="DZ23" s="839">
        <v>79.133969980000003</v>
      </c>
      <c r="EA23" s="839">
        <v>90.361217479999993</v>
      </c>
      <c r="EB23" s="839">
        <v>92.977254979999998</v>
      </c>
      <c r="EC23" s="839">
        <v>94.465101000000004</v>
      </c>
      <c r="ED23" s="839">
        <v>92.573689220000006</v>
      </c>
      <c r="EE23" s="839">
        <v>92.671145089999996</v>
      </c>
      <c r="EF23" s="839">
        <v>93.624774500000001</v>
      </c>
      <c r="EG23" s="839">
        <v>109.6564053</v>
      </c>
      <c r="EH23" s="839">
        <v>111.36529303</v>
      </c>
      <c r="EI23" s="839">
        <v>89.700431850000001</v>
      </c>
      <c r="EJ23" s="839">
        <v>83.268640930000004</v>
      </c>
      <c r="EK23" s="839">
        <v>81.985852129999998</v>
      </c>
      <c r="EL23" s="839">
        <v>83.440597780000004</v>
      </c>
      <c r="EM23" s="839">
        <v>82.943336689999995</v>
      </c>
      <c r="EN23" s="839">
        <v>88.153503659999998</v>
      </c>
      <c r="EO23" s="839">
        <v>85.172523979999994</v>
      </c>
      <c r="EP23" s="839">
        <v>82.295783889999996</v>
      </c>
      <c r="EQ23" s="839">
        <v>63.88179804</v>
      </c>
      <c r="ER23" s="839">
        <v>83.589629189999997</v>
      </c>
      <c r="ES23" s="839">
        <v>73.936774740000004</v>
      </c>
      <c r="ET23" s="839">
        <v>56.586501910000003</v>
      </c>
      <c r="EU23" s="839">
        <v>54.521426609999999</v>
      </c>
      <c r="EV23" s="839">
        <v>58.796363560000003</v>
      </c>
      <c r="EW23" s="839">
        <v>68.699498700000007</v>
      </c>
      <c r="EX23" s="839">
        <v>225.50000220999999</v>
      </c>
      <c r="EY23" s="839">
        <v>367.38273672000003</v>
      </c>
      <c r="EZ23" s="839">
        <v>404.09161416000001</v>
      </c>
      <c r="FA23" s="839">
        <v>407.02246427</v>
      </c>
      <c r="FB23" s="839">
        <v>421.55595417000001</v>
      </c>
      <c r="FC23" s="839">
        <v>429.77258945</v>
      </c>
      <c r="FD23" s="839">
        <v>453.94002716</v>
      </c>
      <c r="FE23" s="839">
        <v>501.32978666000002</v>
      </c>
      <c r="FF23" s="839">
        <v>424.76453780999998</v>
      </c>
      <c r="FG23" s="839">
        <v>350.84057056</v>
      </c>
      <c r="FH23" s="1716" t="s">
        <v>4066</v>
      </c>
      <c r="FM23" s="321"/>
    </row>
    <row r="24" spans="1:169" ht="21">
      <c r="A24" s="1721"/>
      <c r="B24" s="783"/>
      <c r="C24" s="783"/>
      <c r="D24" s="783"/>
      <c r="E24" s="783"/>
      <c r="F24" s="783"/>
      <c r="G24" s="783"/>
      <c r="H24" s="783"/>
      <c r="I24" s="783"/>
      <c r="J24" s="783"/>
      <c r="K24" s="783"/>
      <c r="L24" s="783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84"/>
      <c r="AF24" s="784"/>
      <c r="AG24" s="784"/>
      <c r="AH24" s="784"/>
      <c r="AI24" s="784"/>
      <c r="AJ24" s="784"/>
      <c r="AK24" s="784"/>
      <c r="AL24" s="784"/>
      <c r="AM24" s="784"/>
      <c r="AN24" s="784"/>
      <c r="AO24" s="784"/>
      <c r="AP24" s="784"/>
      <c r="AQ24" s="784"/>
      <c r="AR24" s="784"/>
      <c r="AS24" s="784"/>
      <c r="AT24" s="784"/>
      <c r="AU24" s="784"/>
      <c r="AV24" s="784"/>
      <c r="AW24" s="784"/>
      <c r="AX24" s="784"/>
      <c r="AY24" s="784"/>
      <c r="AZ24" s="784"/>
      <c r="BA24" s="784"/>
      <c r="BB24" s="784"/>
      <c r="BC24" s="784"/>
      <c r="BD24" s="784"/>
      <c r="BE24" s="784"/>
      <c r="BF24" s="784"/>
      <c r="BG24" s="784"/>
      <c r="BH24" s="827"/>
      <c r="BI24" s="816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/>
      <c r="CI24" s="816"/>
      <c r="CJ24" s="816"/>
      <c r="CK24" s="816"/>
      <c r="CL24" s="816"/>
      <c r="CM24" s="816"/>
      <c r="CN24" s="816"/>
      <c r="CO24" s="816"/>
      <c r="CP24" s="816"/>
      <c r="CQ24" s="816"/>
      <c r="CR24" s="816"/>
      <c r="CS24" s="816"/>
      <c r="CT24" s="816"/>
      <c r="CU24" s="816"/>
      <c r="CV24" s="816"/>
      <c r="CW24" s="816"/>
      <c r="CX24" s="816"/>
      <c r="CY24" s="816"/>
      <c r="CZ24" s="816"/>
      <c r="DA24" s="816"/>
      <c r="DB24" s="816"/>
      <c r="DC24" s="816"/>
      <c r="DD24" s="886"/>
      <c r="DE24" s="886"/>
      <c r="DF24" s="886"/>
      <c r="DG24" s="839"/>
      <c r="DH24" s="839"/>
      <c r="DI24" s="839"/>
      <c r="DJ24" s="839"/>
      <c r="DK24" s="839"/>
      <c r="DL24" s="839"/>
      <c r="DM24" s="839"/>
      <c r="DN24" s="839"/>
      <c r="DO24" s="839"/>
      <c r="DP24" s="839"/>
      <c r="DQ24" s="839"/>
      <c r="DR24" s="839"/>
      <c r="DS24" s="839"/>
      <c r="DT24" s="839"/>
      <c r="DU24" s="839"/>
      <c r="DV24" s="839"/>
      <c r="DW24" s="839"/>
      <c r="DX24" s="839"/>
      <c r="DY24" s="839"/>
      <c r="DZ24" s="839"/>
      <c r="EA24" s="839"/>
      <c r="EB24" s="839"/>
      <c r="EC24" s="839"/>
      <c r="ED24" s="839"/>
      <c r="EE24" s="839"/>
      <c r="EF24" s="839"/>
      <c r="EG24" s="839"/>
      <c r="EH24" s="839"/>
      <c r="EI24" s="839"/>
      <c r="EJ24" s="839"/>
      <c r="EK24" s="839"/>
      <c r="EL24" s="839"/>
      <c r="EM24" s="839"/>
      <c r="EN24" s="839"/>
      <c r="EO24" s="839"/>
      <c r="EP24" s="839"/>
      <c r="EQ24" s="839"/>
      <c r="ER24" s="839"/>
      <c r="ES24" s="839"/>
      <c r="ET24" s="839"/>
      <c r="EU24" s="839"/>
      <c r="EV24" s="839"/>
      <c r="EW24" s="839"/>
      <c r="EX24" s="839"/>
      <c r="EY24" s="839"/>
      <c r="EZ24" s="839"/>
      <c r="FA24" s="839"/>
      <c r="FB24" s="839"/>
      <c r="FC24" s="839"/>
      <c r="FD24" s="839"/>
      <c r="FE24" s="839"/>
      <c r="FF24" s="839"/>
      <c r="FG24" s="839"/>
      <c r="FH24" s="1711"/>
      <c r="FM24" s="321"/>
    </row>
    <row r="25" spans="1:169" ht="21">
      <c r="A25" s="1722" t="s">
        <v>2743</v>
      </c>
      <c r="B25" s="780">
        <v>267.47144794999997</v>
      </c>
      <c r="C25" s="783">
        <v>281.98631698000003</v>
      </c>
      <c r="D25" s="783">
        <v>283.14656467999998</v>
      </c>
      <c r="E25" s="783">
        <v>289.55347675000002</v>
      </c>
      <c r="F25" s="783">
        <v>284.56750178999999</v>
      </c>
      <c r="G25" s="783">
        <v>289.00268554000002</v>
      </c>
      <c r="H25" s="783">
        <v>305.82095713000001</v>
      </c>
      <c r="I25" s="783">
        <v>302.39188779999995</v>
      </c>
      <c r="J25" s="783">
        <v>332.67864749</v>
      </c>
      <c r="K25" s="783">
        <v>328.60882299999997</v>
      </c>
      <c r="L25" s="783">
        <v>326.83130339000002</v>
      </c>
      <c r="M25" s="781">
        <v>339.62211808999996</v>
      </c>
      <c r="N25" s="784">
        <v>336.19845109999994</v>
      </c>
      <c r="O25" s="784">
        <v>341.61020458000002</v>
      </c>
      <c r="P25" s="781">
        <v>338.75543636999998</v>
      </c>
      <c r="Q25" s="781">
        <v>337.29858770999999</v>
      </c>
      <c r="R25" s="781">
        <v>338.96067784000002</v>
      </c>
      <c r="S25" s="781">
        <v>339.65226282999998</v>
      </c>
      <c r="T25" s="781">
        <v>334.53533503</v>
      </c>
      <c r="U25" s="781">
        <v>333.44646217000002</v>
      </c>
      <c r="V25" s="781">
        <v>397.17093668000007</v>
      </c>
      <c r="W25" s="781">
        <v>395.86609151000005</v>
      </c>
      <c r="X25" s="781">
        <v>397.45302992000001</v>
      </c>
      <c r="Y25" s="781">
        <v>407.03161842000003</v>
      </c>
      <c r="Z25" s="781">
        <v>404.10015785000002</v>
      </c>
      <c r="AA25" s="784">
        <v>459.86111026999998</v>
      </c>
      <c r="AB25" s="781">
        <v>495.75985860999998</v>
      </c>
      <c r="AC25" s="781">
        <v>505.20771732999998</v>
      </c>
      <c r="AD25" s="781">
        <v>522.39680538999994</v>
      </c>
      <c r="AE25" s="781">
        <v>524.98937082999998</v>
      </c>
      <c r="AF25" s="781">
        <v>526.72878465999997</v>
      </c>
      <c r="AG25" s="781">
        <v>600.05060937999997</v>
      </c>
      <c r="AH25" s="781">
        <v>632.87594422000006</v>
      </c>
      <c r="AI25" s="781">
        <v>695.01989074999995</v>
      </c>
      <c r="AJ25" s="781">
        <v>677.51654999000004</v>
      </c>
      <c r="AK25" s="781">
        <v>920.46339037999996</v>
      </c>
      <c r="AL25" s="781">
        <v>939.65438973000005</v>
      </c>
      <c r="AM25" s="781">
        <v>986.05792461999999</v>
      </c>
      <c r="AN25" s="781">
        <v>986.50695754000003</v>
      </c>
      <c r="AO25" s="781">
        <v>986.17517332000011</v>
      </c>
      <c r="AP25" s="781">
        <v>974.39406467999993</v>
      </c>
      <c r="AQ25" s="781">
        <v>1006.3507742099999</v>
      </c>
      <c r="AR25" s="781">
        <v>924.51464494000004</v>
      </c>
      <c r="AS25" s="781">
        <v>948.31837393000001</v>
      </c>
      <c r="AT25" s="781">
        <f>AT9-AT13</f>
        <v>951.51049809000006</v>
      </c>
      <c r="AU25" s="781">
        <v>962.30989267999985</v>
      </c>
      <c r="AV25" s="781">
        <v>1005.2521264400001</v>
      </c>
      <c r="AW25" s="781">
        <v>1015.4233986900001</v>
      </c>
      <c r="AX25" s="781">
        <v>1081.65352661</v>
      </c>
      <c r="AY25" s="781">
        <v>987.96615591</v>
      </c>
      <c r="AZ25" s="781">
        <v>947.00909643</v>
      </c>
      <c r="BA25" s="781">
        <v>929.26564189999999</v>
      </c>
      <c r="BB25" s="781">
        <v>764.46713681999995</v>
      </c>
      <c r="BC25" s="781">
        <v>795.11597256999994</v>
      </c>
      <c r="BD25" s="781">
        <v>833.87668926000003</v>
      </c>
      <c r="BE25" s="781">
        <v>838.74434552000002</v>
      </c>
      <c r="BF25" s="781">
        <v>833.17232387000013</v>
      </c>
      <c r="BG25" s="781">
        <v>831.81203626000001</v>
      </c>
      <c r="BH25" s="826">
        <v>831.68183382999996</v>
      </c>
      <c r="BI25" s="815">
        <v>886.92141060999995</v>
      </c>
      <c r="BJ25" s="815">
        <v>891.92225788000007</v>
      </c>
      <c r="BK25" s="815">
        <v>759.41001402000006</v>
      </c>
      <c r="BL25" s="815">
        <v>712.49691280000002</v>
      </c>
      <c r="BM25" s="815">
        <v>799.64578142000005</v>
      </c>
      <c r="BN25" s="815">
        <v>795.79365254000004</v>
      </c>
      <c r="BO25" s="815">
        <v>869.88743468999996</v>
      </c>
      <c r="BP25" s="815">
        <v>873.17732102000002</v>
      </c>
      <c r="BQ25" s="815">
        <v>872.34744857999999</v>
      </c>
      <c r="BR25" s="815">
        <v>972.66562490999979</v>
      </c>
      <c r="BS25" s="815">
        <v>958.89047446999984</v>
      </c>
      <c r="BT25" s="815">
        <v>1016.3447374899999</v>
      </c>
      <c r="BU25" s="815">
        <v>1045.5105831999999</v>
      </c>
      <c r="BV25" s="815">
        <v>1034.1367258199998</v>
      </c>
      <c r="BW25" s="815">
        <v>1023.2169472100002</v>
      </c>
      <c r="BX25" s="815">
        <v>1011.88916035</v>
      </c>
      <c r="BY25" s="815">
        <v>941.25843755000005</v>
      </c>
      <c r="BZ25" s="815">
        <v>957.40955282000004</v>
      </c>
      <c r="CA25" s="815">
        <v>1004.3101826399998</v>
      </c>
      <c r="CB25" s="815">
        <v>989.03154865000022</v>
      </c>
      <c r="CC25" s="815">
        <v>984.79327080999997</v>
      </c>
      <c r="CD25" s="815">
        <v>883.16528300000004</v>
      </c>
      <c r="CE25" s="815">
        <v>876.8817346400001</v>
      </c>
      <c r="CF25" s="815">
        <v>921.99135094999997</v>
      </c>
      <c r="CG25" s="815">
        <v>988.27171185999998</v>
      </c>
      <c r="CH25" s="815">
        <v>972.86097029999996</v>
      </c>
      <c r="CI25" s="815">
        <v>968.73169614999995</v>
      </c>
      <c r="CJ25" s="815">
        <v>966.34227921000013</v>
      </c>
      <c r="CK25" s="815">
        <v>901.39008082999999</v>
      </c>
      <c r="CL25" s="815">
        <v>801.29913627999986</v>
      </c>
      <c r="CM25" s="815">
        <v>759.75227874000007</v>
      </c>
      <c r="CN25" s="815">
        <v>757.76195453999992</v>
      </c>
      <c r="CO25" s="815">
        <v>742.94219927000006</v>
      </c>
      <c r="CP25" s="815">
        <v>736.1676314099999</v>
      </c>
      <c r="CQ25" s="815">
        <v>716.41074197</v>
      </c>
      <c r="CR25" s="815">
        <v>698.13132737000001</v>
      </c>
      <c r="CS25" s="815">
        <v>697.72128898999995</v>
      </c>
      <c r="CT25" s="815">
        <v>690.50747257</v>
      </c>
      <c r="CU25" s="815">
        <v>724.83807796999997</v>
      </c>
      <c r="CV25" s="815">
        <v>718.24638965999998</v>
      </c>
      <c r="CW25" s="815">
        <v>733.77768622999997</v>
      </c>
      <c r="CX25" s="815">
        <v>713.94324044999996</v>
      </c>
      <c r="CY25" s="815">
        <v>704.84404193</v>
      </c>
      <c r="CZ25" s="815">
        <v>641.93906330000004</v>
      </c>
      <c r="DA25" s="815">
        <v>634.32925600999999</v>
      </c>
      <c r="DB25" s="815">
        <v>636.97180710999999</v>
      </c>
      <c r="DC25" s="815">
        <v>631.90669650999996</v>
      </c>
      <c r="DD25" s="885">
        <v>620.75487464000003</v>
      </c>
      <c r="DE25" s="885">
        <v>619.39736112000003</v>
      </c>
      <c r="DF25" s="885">
        <v>635.28009288999999</v>
      </c>
      <c r="DG25" s="838">
        <v>628.23985000000005</v>
      </c>
      <c r="DH25" s="838">
        <v>631.94108712000002</v>
      </c>
      <c r="DI25" s="838">
        <v>632.78964340000005</v>
      </c>
      <c r="DJ25" s="838">
        <v>633.34288254000001</v>
      </c>
      <c r="DK25" s="838">
        <v>626.69352302000004</v>
      </c>
      <c r="DL25" s="838">
        <v>623.89297739999995</v>
      </c>
      <c r="DM25" s="838">
        <v>619.88052004999997</v>
      </c>
      <c r="DN25" s="838">
        <v>646.81540319999999</v>
      </c>
      <c r="DO25" s="838">
        <v>651.14299274999996</v>
      </c>
      <c r="DP25" s="838">
        <v>645.30372710999995</v>
      </c>
      <c r="DQ25" s="838">
        <v>655.32132797999998</v>
      </c>
      <c r="DR25" s="838">
        <v>650.51723976999995</v>
      </c>
      <c r="DS25" s="838">
        <v>647.96596971999998</v>
      </c>
      <c r="DT25" s="838">
        <v>676.89738933000001</v>
      </c>
      <c r="DU25" s="838">
        <v>688.62293623000005</v>
      </c>
      <c r="DV25" s="838">
        <v>730.09027718000004</v>
      </c>
      <c r="DW25" s="838">
        <v>924.78050825000003</v>
      </c>
      <c r="DX25" s="838">
        <v>912.25598419999994</v>
      </c>
      <c r="DY25" s="838">
        <v>925.71129169000005</v>
      </c>
      <c r="DZ25" s="838">
        <v>939.52941853000004</v>
      </c>
      <c r="EA25" s="838">
        <v>1169.30175581</v>
      </c>
      <c r="EB25" s="838">
        <v>1160.6609484799999</v>
      </c>
      <c r="EC25" s="838">
        <v>1235.6017023100001</v>
      </c>
      <c r="ED25" s="838">
        <v>1211.75942622</v>
      </c>
      <c r="EE25" s="838">
        <v>1278.3472762599999</v>
      </c>
      <c r="EF25" s="838">
        <v>1262.7501925700001</v>
      </c>
      <c r="EG25" s="838">
        <v>1286.90124285</v>
      </c>
      <c r="EH25" s="838">
        <v>1396.51371812</v>
      </c>
      <c r="EI25" s="838">
        <v>1473.5247696900001</v>
      </c>
      <c r="EJ25" s="838">
        <v>1464.10961363</v>
      </c>
      <c r="EK25" s="838">
        <v>1461.04243346</v>
      </c>
      <c r="EL25" s="838">
        <v>1499.8241915599999</v>
      </c>
      <c r="EM25" s="838">
        <v>1580.8985496099999</v>
      </c>
      <c r="EN25" s="838">
        <v>1588.19685759</v>
      </c>
      <c r="EO25" s="838">
        <v>1613.7957381000001</v>
      </c>
      <c r="EP25" s="838">
        <v>1603.7785376899999</v>
      </c>
      <c r="EQ25" s="838">
        <v>1646.3492664099999</v>
      </c>
      <c r="ER25" s="838">
        <v>1665.80818314</v>
      </c>
      <c r="ES25" s="838">
        <v>1697.7277462300001</v>
      </c>
      <c r="ET25" s="838">
        <v>1718.0678463500001</v>
      </c>
      <c r="EU25" s="838">
        <v>1735.1164525500001</v>
      </c>
      <c r="EV25" s="838">
        <v>1727.6365711200001</v>
      </c>
      <c r="EW25" s="838">
        <v>1734.7477955700001</v>
      </c>
      <c r="EX25" s="838">
        <v>1762.0213627200001</v>
      </c>
      <c r="EY25" s="838">
        <v>1639.51116024</v>
      </c>
      <c r="EZ25" s="838">
        <v>1618.2787657199999</v>
      </c>
      <c r="FA25" s="838">
        <v>1670.9512190800001</v>
      </c>
      <c r="FB25" s="838">
        <v>1636.08593393</v>
      </c>
      <c r="FC25" s="838">
        <v>1618.18123713</v>
      </c>
      <c r="FD25" s="838">
        <v>1667.4107256699999</v>
      </c>
      <c r="FE25" s="838">
        <v>1670.8785151699999</v>
      </c>
      <c r="FF25" s="838">
        <v>1730.32886631</v>
      </c>
      <c r="FG25" s="838">
        <v>2020.62752641</v>
      </c>
      <c r="FH25" s="1710" t="s">
        <v>4065</v>
      </c>
      <c r="FM25" s="321"/>
    </row>
    <row r="26" spans="1:169" ht="21">
      <c r="A26" s="1723" t="s">
        <v>1961</v>
      </c>
      <c r="B26" s="783">
        <v>48.559183430000004</v>
      </c>
      <c r="C26" s="783">
        <v>48.312560619999999</v>
      </c>
      <c r="D26" s="783">
        <v>49.94550529</v>
      </c>
      <c r="E26" s="783">
        <v>55.891848320000001</v>
      </c>
      <c r="F26" s="783">
        <v>53.598569709999992</v>
      </c>
      <c r="G26" s="783">
        <v>60.743074640000003</v>
      </c>
      <c r="H26" s="783">
        <v>62.778369180000006</v>
      </c>
      <c r="I26" s="783">
        <v>65.753498609999994</v>
      </c>
      <c r="J26" s="783">
        <v>70.706514799999994</v>
      </c>
      <c r="K26" s="783">
        <v>70.093846929999998</v>
      </c>
      <c r="L26" s="783">
        <v>69.916101770000012</v>
      </c>
      <c r="M26" s="784">
        <v>73.948504109999988</v>
      </c>
      <c r="N26" s="784">
        <v>73.079514039999992</v>
      </c>
      <c r="O26" s="784">
        <v>75.332456559999997</v>
      </c>
      <c r="P26" s="784">
        <v>82.043593509999994</v>
      </c>
      <c r="Q26" s="784">
        <v>84.036859729999989</v>
      </c>
      <c r="R26" s="784">
        <v>88.415703369999989</v>
      </c>
      <c r="S26" s="784">
        <v>92.656317729999998</v>
      </c>
      <c r="T26" s="784">
        <v>91.52160099000001</v>
      </c>
      <c r="U26" s="784">
        <v>91.340145989999996</v>
      </c>
      <c r="V26" s="784">
        <v>96.961494330000008</v>
      </c>
      <c r="W26" s="784">
        <v>98.326090449999995</v>
      </c>
      <c r="X26" s="784">
        <v>102.15149679999999</v>
      </c>
      <c r="Y26" s="784">
        <v>103.33173869000001</v>
      </c>
      <c r="Z26" s="784">
        <v>104.03255568</v>
      </c>
      <c r="AA26" s="784">
        <v>125.67273324999999</v>
      </c>
      <c r="AB26" s="784">
        <v>139.75305665000002</v>
      </c>
      <c r="AC26" s="784">
        <v>146.50489893</v>
      </c>
      <c r="AD26" s="784">
        <v>170.42784855999997</v>
      </c>
      <c r="AE26" s="784">
        <v>169.75379189</v>
      </c>
      <c r="AF26" s="784">
        <v>163.3826961</v>
      </c>
      <c r="AG26" s="784">
        <v>239.07830258999999</v>
      </c>
      <c r="AH26" s="784">
        <v>239.38968738</v>
      </c>
      <c r="AI26" s="784">
        <v>282.67651064</v>
      </c>
      <c r="AJ26" s="784">
        <v>279.01749531999997</v>
      </c>
      <c r="AK26" s="784">
        <v>396.40317285999998</v>
      </c>
      <c r="AL26" s="784">
        <v>405.78257891999999</v>
      </c>
      <c r="AM26" s="784">
        <v>471.14566586000001</v>
      </c>
      <c r="AN26" s="784">
        <v>448.64705576</v>
      </c>
      <c r="AO26" s="784">
        <v>463.32997804000001</v>
      </c>
      <c r="AP26" s="784">
        <v>450.59600754999997</v>
      </c>
      <c r="AQ26" s="784">
        <v>465.05022124999999</v>
      </c>
      <c r="AR26" s="784">
        <v>474.62408783000001</v>
      </c>
      <c r="AS26" s="784">
        <v>487.19033668999998</v>
      </c>
      <c r="AT26" s="784">
        <f>AT10-AT14</f>
        <v>496.23503866999999</v>
      </c>
      <c r="AU26" s="784">
        <v>498.37298906000001</v>
      </c>
      <c r="AV26" s="784">
        <v>522.51481287000001</v>
      </c>
      <c r="AW26" s="784">
        <v>519.42921855000009</v>
      </c>
      <c r="AX26" s="784">
        <v>558.61298886999998</v>
      </c>
      <c r="AY26" s="784">
        <v>504.15006137</v>
      </c>
      <c r="AZ26" s="784">
        <v>488.78271172000001</v>
      </c>
      <c r="BA26" s="784">
        <v>482.46309117999999</v>
      </c>
      <c r="BB26" s="784">
        <v>320.92542698000005</v>
      </c>
      <c r="BC26" s="784">
        <v>266.58350058000002</v>
      </c>
      <c r="BD26" s="784">
        <v>373.02094011999998</v>
      </c>
      <c r="BE26" s="784">
        <v>378.99315779</v>
      </c>
      <c r="BF26" s="784">
        <v>375.49371088999999</v>
      </c>
      <c r="BG26" s="784">
        <v>373.74060918000009</v>
      </c>
      <c r="BH26" s="827">
        <v>371.09261825999999</v>
      </c>
      <c r="BI26" s="816">
        <v>398.71750831999998</v>
      </c>
      <c r="BJ26" s="816">
        <v>397.69240604000004</v>
      </c>
      <c r="BK26" s="816">
        <v>269.61802308</v>
      </c>
      <c r="BL26" s="816">
        <v>259.50288438999996</v>
      </c>
      <c r="BM26" s="816">
        <v>262.0748413</v>
      </c>
      <c r="BN26" s="816">
        <v>261.25571726999999</v>
      </c>
      <c r="BO26" s="816">
        <v>281.89562257</v>
      </c>
      <c r="BP26" s="816">
        <v>282.53985200000005</v>
      </c>
      <c r="BQ26" s="816">
        <v>280.57448377999998</v>
      </c>
      <c r="BR26" s="816">
        <v>279.40724044000001</v>
      </c>
      <c r="BS26" s="816">
        <v>280.97093912999998</v>
      </c>
      <c r="BT26" s="816">
        <v>356.34428953999998</v>
      </c>
      <c r="BU26" s="816">
        <v>373.15636152000002</v>
      </c>
      <c r="BV26" s="816">
        <v>373.88854580000003</v>
      </c>
      <c r="BW26" s="816">
        <v>374.57041874000004</v>
      </c>
      <c r="BX26" s="816">
        <v>373.96228599</v>
      </c>
      <c r="BY26" s="816">
        <v>318.41483944999999</v>
      </c>
      <c r="BZ26" s="816">
        <v>320.67179063000003</v>
      </c>
      <c r="CA26" s="816">
        <v>320.15347698999994</v>
      </c>
      <c r="CB26" s="816">
        <v>315.39749509999996</v>
      </c>
      <c r="CC26" s="816">
        <v>312.63544082000004</v>
      </c>
      <c r="CD26" s="816">
        <v>190.49660752999998</v>
      </c>
      <c r="CE26" s="816">
        <v>196.4969341</v>
      </c>
      <c r="CF26" s="816">
        <v>184.12807385000002</v>
      </c>
      <c r="CG26" s="816">
        <v>198.90658949000002</v>
      </c>
      <c r="CH26" s="816">
        <v>181.39675994999999</v>
      </c>
      <c r="CI26" s="816">
        <v>189.47863365999999</v>
      </c>
      <c r="CJ26" s="816">
        <v>196.09114256999999</v>
      </c>
      <c r="CK26" s="816">
        <v>192.40674741000001</v>
      </c>
      <c r="CL26" s="816">
        <v>133.39528460999998</v>
      </c>
      <c r="CM26" s="816">
        <v>118.38370209999999</v>
      </c>
      <c r="CN26" s="816">
        <v>116.2355452</v>
      </c>
      <c r="CO26" s="816">
        <v>112.47554587</v>
      </c>
      <c r="CP26" s="816">
        <v>110.65219464</v>
      </c>
      <c r="CQ26" s="816">
        <v>107.15441516000001</v>
      </c>
      <c r="CR26" s="816">
        <v>110.59295159999999</v>
      </c>
      <c r="CS26" s="816">
        <v>100.52455775999999</v>
      </c>
      <c r="CT26" s="816">
        <v>107.16796892000001</v>
      </c>
      <c r="CU26" s="816">
        <v>105.58432103</v>
      </c>
      <c r="CV26" s="816">
        <v>106.55598037999999</v>
      </c>
      <c r="CW26" s="816">
        <v>105.29106428</v>
      </c>
      <c r="CX26" s="816">
        <v>99.12411342</v>
      </c>
      <c r="CY26" s="816">
        <v>113.24268266</v>
      </c>
      <c r="CZ26" s="816">
        <v>111.61665151</v>
      </c>
      <c r="DA26" s="816">
        <v>110.1510469</v>
      </c>
      <c r="DB26" s="816">
        <v>108.84865339</v>
      </c>
      <c r="DC26" s="816">
        <v>107.43687133</v>
      </c>
      <c r="DD26" s="886">
        <v>96.312629520000002</v>
      </c>
      <c r="DE26" s="886">
        <v>96.48826708</v>
      </c>
      <c r="DF26" s="886">
        <v>96.483610389999996</v>
      </c>
      <c r="DG26" s="839">
        <v>96.498627119999995</v>
      </c>
      <c r="DH26" s="839">
        <v>96.497663439999997</v>
      </c>
      <c r="DI26" s="839">
        <v>96.490369619999996</v>
      </c>
      <c r="DJ26" s="839">
        <v>96.462960629999998</v>
      </c>
      <c r="DK26" s="839">
        <v>96.45549355</v>
      </c>
      <c r="DL26" s="839">
        <v>96.441982699999997</v>
      </c>
      <c r="DM26" s="839">
        <v>96.428601159999999</v>
      </c>
      <c r="DN26" s="839">
        <v>96.696531300000004</v>
      </c>
      <c r="DO26" s="839">
        <v>96.695033019999997</v>
      </c>
      <c r="DP26" s="839">
        <v>91.064371510000001</v>
      </c>
      <c r="DQ26" s="839">
        <v>51.956793099999999</v>
      </c>
      <c r="DR26" s="839">
        <v>51.95413302</v>
      </c>
      <c r="DS26" s="839">
        <v>51.93376267</v>
      </c>
      <c r="DT26" s="839">
        <v>51.912897690000001</v>
      </c>
      <c r="DU26" s="839">
        <v>51.891406019999998</v>
      </c>
      <c r="DV26" s="839">
        <v>51.869929740000003</v>
      </c>
      <c r="DW26" s="839">
        <v>51.891539350000002</v>
      </c>
      <c r="DX26" s="839">
        <v>51.855709580000003</v>
      </c>
      <c r="DY26" s="839">
        <v>51.832955439999999</v>
      </c>
      <c r="DZ26" s="839">
        <v>25.984632569999999</v>
      </c>
      <c r="EA26" s="839">
        <v>258.86122268999998</v>
      </c>
      <c r="EB26" s="839">
        <v>258.83769404999998</v>
      </c>
      <c r="EC26" s="839">
        <v>233.31342912</v>
      </c>
      <c r="ED26" s="839">
        <v>227.46683376999999</v>
      </c>
      <c r="EE26" s="839">
        <v>227.4630392</v>
      </c>
      <c r="EF26" s="839">
        <v>227.43929097</v>
      </c>
      <c r="EG26" s="839">
        <v>222.42757463000001</v>
      </c>
      <c r="EH26" s="839">
        <v>254.11012396000001</v>
      </c>
      <c r="EI26" s="839">
        <v>281.39156997999999</v>
      </c>
      <c r="EJ26" s="839">
        <v>275.42334711000001</v>
      </c>
      <c r="EK26" s="839">
        <v>275.35618518000001</v>
      </c>
      <c r="EL26" s="839">
        <v>322.38922264000001</v>
      </c>
      <c r="EM26" s="839">
        <v>394.73329002000003</v>
      </c>
      <c r="EN26" s="839">
        <v>403.51868367999998</v>
      </c>
      <c r="EO26" s="839">
        <v>403.45911081999998</v>
      </c>
      <c r="EP26" s="839">
        <v>409.65852139999998</v>
      </c>
      <c r="EQ26" s="839">
        <v>409.60053936000003</v>
      </c>
      <c r="ER26" s="839">
        <v>409.58973458000003</v>
      </c>
      <c r="ES26" s="839">
        <v>408.17919225000003</v>
      </c>
      <c r="ET26" s="839">
        <v>413.57465551000001</v>
      </c>
      <c r="EU26" s="839">
        <v>413.51455220999998</v>
      </c>
      <c r="EV26" s="839">
        <v>407.64109664</v>
      </c>
      <c r="EW26" s="839">
        <v>404.63168811000003</v>
      </c>
      <c r="EX26" s="839">
        <v>404.51894895999999</v>
      </c>
      <c r="EY26" s="839">
        <v>398.30662235</v>
      </c>
      <c r="EZ26" s="839">
        <v>394.87809028999999</v>
      </c>
      <c r="FA26" s="839">
        <v>427.76824975</v>
      </c>
      <c r="FB26" s="839">
        <v>420.71662724999999</v>
      </c>
      <c r="FC26" s="839">
        <v>415.74673991999998</v>
      </c>
      <c r="FD26" s="839">
        <v>414.52516482999999</v>
      </c>
      <c r="FE26" s="839">
        <v>406.73791484999998</v>
      </c>
      <c r="FF26" s="839">
        <v>401.68297645000001</v>
      </c>
      <c r="FG26" s="839">
        <v>570.41472965000003</v>
      </c>
      <c r="FH26" s="1712" t="s">
        <v>4067</v>
      </c>
      <c r="FM26" s="321"/>
    </row>
    <row r="27" spans="1:169" ht="21">
      <c r="A27" s="1723" t="s">
        <v>1962</v>
      </c>
      <c r="B27" s="780">
        <f>+B25-B26</f>
        <v>218.91226451999995</v>
      </c>
      <c r="C27" s="783">
        <f t="shared" ref="C27:V27" si="8">+C25-C26</f>
        <v>233.67375636000003</v>
      </c>
      <c r="D27" s="783">
        <f t="shared" si="8"/>
        <v>233.20105938999998</v>
      </c>
      <c r="E27" s="783">
        <f t="shared" si="8"/>
        <v>233.66162843000001</v>
      </c>
      <c r="F27" s="783">
        <f t="shared" si="8"/>
        <v>230.96893208</v>
      </c>
      <c r="G27" s="783">
        <f t="shared" si="8"/>
        <v>228.25961090000001</v>
      </c>
      <c r="H27" s="783">
        <f t="shared" si="8"/>
        <v>243.04258795000001</v>
      </c>
      <c r="I27" s="783">
        <f t="shared" si="8"/>
        <v>236.63838918999994</v>
      </c>
      <c r="J27" s="783">
        <f t="shared" si="8"/>
        <v>261.97213269000002</v>
      </c>
      <c r="K27" s="783">
        <f t="shared" si="8"/>
        <v>258.51497606999999</v>
      </c>
      <c r="L27" s="783">
        <f t="shared" si="8"/>
        <v>256.91520162</v>
      </c>
      <c r="M27" s="784">
        <f t="shared" si="8"/>
        <v>265.67361397999997</v>
      </c>
      <c r="N27" s="784">
        <f t="shared" si="8"/>
        <v>263.11893705999995</v>
      </c>
      <c r="O27" s="784">
        <f t="shared" si="8"/>
        <v>266.27774801999999</v>
      </c>
      <c r="P27" s="781">
        <f t="shared" si="8"/>
        <v>256.71184285999999</v>
      </c>
      <c r="Q27" s="781">
        <f t="shared" si="8"/>
        <v>253.26172797999999</v>
      </c>
      <c r="R27" s="781">
        <f t="shared" si="8"/>
        <v>250.54497447000003</v>
      </c>
      <c r="S27" s="781">
        <f t="shared" si="8"/>
        <v>246.99594509999997</v>
      </c>
      <c r="T27" s="781">
        <f t="shared" si="8"/>
        <v>243.01373403999997</v>
      </c>
      <c r="U27" s="781">
        <f t="shared" si="8"/>
        <v>242.10631618000002</v>
      </c>
      <c r="V27" s="781">
        <f t="shared" si="8"/>
        <v>300.20944235000007</v>
      </c>
      <c r="W27" s="781">
        <v>297.54000106000007</v>
      </c>
      <c r="X27" s="781">
        <v>295.30153312000004</v>
      </c>
      <c r="Y27" s="784">
        <v>303.69987973000002</v>
      </c>
      <c r="Z27" s="781">
        <v>300.06760216999999</v>
      </c>
      <c r="AA27" s="784">
        <v>334.18837701999996</v>
      </c>
      <c r="AB27" s="784">
        <f>+AB25-AB26</f>
        <v>356.00680195999996</v>
      </c>
      <c r="AC27" s="784">
        <v>358.70281839999996</v>
      </c>
      <c r="AD27" s="784">
        <v>351.96895682999997</v>
      </c>
      <c r="AE27" s="784">
        <v>355.23557893999998</v>
      </c>
      <c r="AF27" s="784">
        <v>363.34608856</v>
      </c>
      <c r="AG27" s="784">
        <v>360.97230678999995</v>
      </c>
      <c r="AH27" s="784">
        <f>+AH25-AH26</f>
        <v>393.48625684000007</v>
      </c>
      <c r="AI27" s="784">
        <v>412.34338010999994</v>
      </c>
      <c r="AJ27" s="784">
        <f>+AJ25-AJ26</f>
        <v>398.49905467000008</v>
      </c>
      <c r="AK27" s="784">
        <f>+AK25-AK26</f>
        <v>524.06021751999992</v>
      </c>
      <c r="AL27" s="784">
        <v>533.87181081000006</v>
      </c>
      <c r="AM27" s="784">
        <f>+AM25-AM26</f>
        <v>514.91225875999999</v>
      </c>
      <c r="AN27" s="784">
        <f>+AN25-AN26</f>
        <v>537.85990177999997</v>
      </c>
      <c r="AO27" s="784">
        <f>+AO25-AO26</f>
        <v>522.8451952800001</v>
      </c>
      <c r="AP27" s="784">
        <f>+AP25-AP26</f>
        <v>523.79805712999996</v>
      </c>
      <c r="AQ27" s="784">
        <v>541.30055296</v>
      </c>
      <c r="AR27" s="784">
        <f>+AR25-AR26</f>
        <v>449.89055711000003</v>
      </c>
      <c r="AS27" s="784">
        <v>461.12803724000003</v>
      </c>
      <c r="AT27" s="784">
        <f>AT11-AT15</f>
        <v>455.27545942000006</v>
      </c>
      <c r="AU27" s="784">
        <v>463.93690361999995</v>
      </c>
      <c r="AV27" s="784">
        <v>482.73731357000008</v>
      </c>
      <c r="AW27" s="784">
        <v>495.99418014000014</v>
      </c>
      <c r="AX27" s="784">
        <v>523.0405377400001</v>
      </c>
      <c r="AY27" s="784">
        <v>483.81609453999999</v>
      </c>
      <c r="AZ27" s="784">
        <v>458.22638470999999</v>
      </c>
      <c r="BA27" s="784">
        <v>446.80255072</v>
      </c>
      <c r="BB27" s="784">
        <v>443.5417098399999</v>
      </c>
      <c r="BC27" s="784">
        <v>528.53247198999998</v>
      </c>
      <c r="BD27" s="784">
        <f>+BD25-BD26</f>
        <v>460.85574914000006</v>
      </c>
      <c r="BE27" s="784">
        <v>459.75118773000003</v>
      </c>
      <c r="BF27" s="784">
        <v>457.67861298000014</v>
      </c>
      <c r="BG27" s="784">
        <v>458.07142707999992</v>
      </c>
      <c r="BH27" s="827">
        <v>460.58921556999996</v>
      </c>
      <c r="BI27" s="816">
        <v>488.20390228999997</v>
      </c>
      <c r="BJ27" s="816">
        <v>494.22985184000004</v>
      </c>
      <c r="BK27" s="816">
        <v>489.79199094000006</v>
      </c>
      <c r="BL27" s="816">
        <v>452.99402841000006</v>
      </c>
      <c r="BM27" s="816">
        <v>537.57094012000005</v>
      </c>
      <c r="BN27" s="816">
        <v>534.53793527000005</v>
      </c>
      <c r="BO27" s="816">
        <v>587.99181211999996</v>
      </c>
      <c r="BP27" s="816">
        <v>590.63746902000003</v>
      </c>
      <c r="BQ27" s="816">
        <v>591.77296479999995</v>
      </c>
      <c r="BR27" s="816">
        <v>693.25838446999978</v>
      </c>
      <c r="BS27" s="816">
        <v>677.91953533999981</v>
      </c>
      <c r="BT27" s="816">
        <v>660.00044794999997</v>
      </c>
      <c r="BU27" s="816">
        <v>672.35422167999991</v>
      </c>
      <c r="BV27" s="816">
        <v>660.24818001999984</v>
      </c>
      <c r="BW27" s="816">
        <v>648.64652847000013</v>
      </c>
      <c r="BX27" s="816">
        <v>637.92687436000006</v>
      </c>
      <c r="BY27" s="816">
        <v>622.84359810000001</v>
      </c>
      <c r="BZ27" s="816">
        <v>636.73776219000001</v>
      </c>
      <c r="CA27" s="816">
        <v>684.15670564999982</v>
      </c>
      <c r="CB27" s="816">
        <v>673.63405355000032</v>
      </c>
      <c r="CC27" s="816">
        <v>672.15782998999998</v>
      </c>
      <c r="CD27" s="816">
        <v>692.66867547000004</v>
      </c>
      <c r="CE27" s="816">
        <f t="shared" ref="CE27:CP27" si="9">+CE25-CE26</f>
        <v>680.38480054000013</v>
      </c>
      <c r="CF27" s="816">
        <f t="shared" si="9"/>
        <v>737.8632771</v>
      </c>
      <c r="CG27" s="816">
        <f t="shared" si="9"/>
        <v>789.36512236999999</v>
      </c>
      <c r="CH27" s="816">
        <f t="shared" si="9"/>
        <v>791.46421035000003</v>
      </c>
      <c r="CI27" s="816">
        <f t="shared" si="9"/>
        <v>779.25306248999993</v>
      </c>
      <c r="CJ27" s="816">
        <f t="shared" si="9"/>
        <v>770.25113664000014</v>
      </c>
      <c r="CK27" s="816">
        <f t="shared" si="9"/>
        <v>708.98333342000001</v>
      </c>
      <c r="CL27" s="816">
        <f t="shared" si="9"/>
        <v>667.90385166999988</v>
      </c>
      <c r="CM27" s="816">
        <f t="shared" si="9"/>
        <v>641.36857664000013</v>
      </c>
      <c r="CN27" s="816">
        <f t="shared" si="9"/>
        <v>641.52640933999987</v>
      </c>
      <c r="CO27" s="816">
        <f t="shared" si="9"/>
        <v>630.46665340000004</v>
      </c>
      <c r="CP27" s="816">
        <f t="shared" si="9"/>
        <v>625.51543676999995</v>
      </c>
      <c r="CQ27" s="816">
        <f>+CQ25-CQ26</f>
        <v>609.25632681000002</v>
      </c>
      <c r="CR27" s="816">
        <f>+CR25-CR26</f>
        <v>587.53837577000002</v>
      </c>
      <c r="CS27" s="816">
        <v>597.19673122999995</v>
      </c>
      <c r="CT27" s="816">
        <v>583.33950364999998</v>
      </c>
      <c r="CU27" s="816">
        <v>619.25375694000002</v>
      </c>
      <c r="CV27" s="816">
        <v>611.69040928000004</v>
      </c>
      <c r="CW27" s="816">
        <v>628.48662194999997</v>
      </c>
      <c r="CX27" s="816">
        <v>614.81912703</v>
      </c>
      <c r="CY27" s="816">
        <v>591.60135926999999</v>
      </c>
      <c r="CZ27" s="816">
        <v>530.32241179000005</v>
      </c>
      <c r="DA27" s="816">
        <v>524.17820911000001</v>
      </c>
      <c r="DB27" s="816">
        <v>528.12315372</v>
      </c>
      <c r="DC27" s="816">
        <v>524.46982518000004</v>
      </c>
      <c r="DD27" s="886">
        <v>524.44224512000005</v>
      </c>
      <c r="DE27" s="886">
        <v>522.90909404000001</v>
      </c>
      <c r="DF27" s="886">
        <v>538.79648250000002</v>
      </c>
      <c r="DG27" s="839">
        <v>531.74122288000001</v>
      </c>
      <c r="DH27" s="839">
        <v>535.44342368000002</v>
      </c>
      <c r="DI27" s="839">
        <v>536.29927378000002</v>
      </c>
      <c r="DJ27" s="839">
        <v>536.87992191000001</v>
      </c>
      <c r="DK27" s="839">
        <v>530.23802947000001</v>
      </c>
      <c r="DL27" s="839">
        <v>527.45099470000002</v>
      </c>
      <c r="DM27" s="839">
        <v>523.45191889</v>
      </c>
      <c r="DN27" s="839">
        <v>550.11887190000004</v>
      </c>
      <c r="DO27" s="839">
        <v>554.44795972999998</v>
      </c>
      <c r="DP27" s="839">
        <v>554.23935559999995</v>
      </c>
      <c r="DQ27" s="839">
        <v>603.36453487999995</v>
      </c>
      <c r="DR27" s="839">
        <v>598.56310674999997</v>
      </c>
      <c r="DS27" s="839">
        <v>596.03220705000001</v>
      </c>
      <c r="DT27" s="839">
        <v>624.98449163999999</v>
      </c>
      <c r="DU27" s="839">
        <v>636.73153020999996</v>
      </c>
      <c r="DV27" s="839">
        <v>678.22034743999995</v>
      </c>
      <c r="DW27" s="839">
        <v>872.88896890000001</v>
      </c>
      <c r="DX27" s="839">
        <v>860.40027462</v>
      </c>
      <c r="DY27" s="839">
        <v>873.87833624999996</v>
      </c>
      <c r="DZ27" s="839">
        <v>913.54478596000001</v>
      </c>
      <c r="EA27" s="839">
        <v>910.44053312000005</v>
      </c>
      <c r="EB27" s="839">
        <v>901.82325443000002</v>
      </c>
      <c r="EC27" s="839">
        <v>1002.28827319</v>
      </c>
      <c r="ED27" s="839">
        <v>984.29259245000003</v>
      </c>
      <c r="EE27" s="839">
        <v>1050.88423706</v>
      </c>
      <c r="EF27" s="839">
        <v>1035.3109016000001</v>
      </c>
      <c r="EG27" s="839">
        <v>1064.47366822</v>
      </c>
      <c r="EH27" s="839">
        <v>1142.40359416</v>
      </c>
      <c r="EI27" s="839">
        <v>1192.1331997100001</v>
      </c>
      <c r="EJ27" s="839">
        <v>1188.6862665199999</v>
      </c>
      <c r="EK27" s="839">
        <v>1185.68624828</v>
      </c>
      <c r="EL27" s="839">
        <v>1177.4349689200001</v>
      </c>
      <c r="EM27" s="839">
        <v>1186.16525959</v>
      </c>
      <c r="EN27" s="839">
        <v>1184.6781739099999</v>
      </c>
      <c r="EO27" s="839">
        <v>1210.3366272799999</v>
      </c>
      <c r="EP27" s="839">
        <v>1194.12001629</v>
      </c>
      <c r="EQ27" s="839">
        <v>1236.7487270500001</v>
      </c>
      <c r="ER27" s="839">
        <v>1256.2184485600001</v>
      </c>
      <c r="ES27" s="839">
        <v>1289.54855398</v>
      </c>
      <c r="ET27" s="839">
        <v>1304.4931908399999</v>
      </c>
      <c r="EU27" s="839">
        <v>1321.6019003399999</v>
      </c>
      <c r="EV27" s="839">
        <v>1319.99547448</v>
      </c>
      <c r="EW27" s="839">
        <v>1330.11610746</v>
      </c>
      <c r="EX27" s="839">
        <v>1357.5024137600001</v>
      </c>
      <c r="EY27" s="839">
        <v>1241.20453789</v>
      </c>
      <c r="EZ27" s="839">
        <v>1223.4006754300001</v>
      </c>
      <c r="FA27" s="839">
        <v>1243.1829693300001</v>
      </c>
      <c r="FB27" s="839">
        <v>1215.3693066799999</v>
      </c>
      <c r="FC27" s="839">
        <v>1202.43449721</v>
      </c>
      <c r="FD27" s="839">
        <v>1252.8855608399999</v>
      </c>
      <c r="FE27" s="839">
        <v>1264.14060032</v>
      </c>
      <c r="FF27" s="839">
        <v>1328.6458898599999</v>
      </c>
      <c r="FG27" s="839">
        <v>1450.2127967599999</v>
      </c>
      <c r="FH27" s="1712" t="s">
        <v>4066</v>
      </c>
      <c r="FM27" s="321"/>
    </row>
    <row r="28" spans="1:169" ht="21">
      <c r="A28" s="1721"/>
      <c r="B28" s="783"/>
      <c r="C28" s="783"/>
      <c r="D28" s="783"/>
      <c r="E28" s="783"/>
      <c r="F28" s="783"/>
      <c r="G28" s="783"/>
      <c r="H28" s="783"/>
      <c r="I28" s="783"/>
      <c r="J28" s="783"/>
      <c r="K28" s="783"/>
      <c r="L28" s="783"/>
      <c r="M28" s="784"/>
      <c r="N28" s="784"/>
      <c r="O28" s="784"/>
      <c r="P28" s="784"/>
      <c r="Q28" s="784"/>
      <c r="R28" s="784"/>
      <c r="S28" s="784"/>
      <c r="T28" s="784"/>
      <c r="U28" s="784"/>
      <c r="V28" s="784"/>
      <c r="W28" s="784"/>
      <c r="X28" s="784"/>
      <c r="Y28" s="784"/>
      <c r="Z28" s="784"/>
      <c r="AA28" s="784"/>
      <c r="AB28" s="784"/>
      <c r="AC28" s="784"/>
      <c r="AD28" s="784"/>
      <c r="AE28" s="784"/>
      <c r="AF28" s="784"/>
      <c r="AG28" s="784"/>
      <c r="AH28" s="784"/>
      <c r="AI28" s="784"/>
      <c r="AJ28" s="784"/>
      <c r="AK28" s="784"/>
      <c r="AL28" s="784"/>
      <c r="AM28" s="784"/>
      <c r="AN28" s="784"/>
      <c r="AO28" s="784"/>
      <c r="AP28" s="784"/>
      <c r="AQ28" s="784"/>
      <c r="AR28" s="784"/>
      <c r="AS28" s="784"/>
      <c r="AT28" s="784"/>
      <c r="AU28" s="784"/>
      <c r="AV28" s="784"/>
      <c r="AW28" s="784"/>
      <c r="AX28" s="784"/>
      <c r="AY28" s="784"/>
      <c r="AZ28" s="784"/>
      <c r="BA28" s="784"/>
      <c r="BB28" s="784"/>
      <c r="BC28" s="784"/>
      <c r="BD28" s="784"/>
      <c r="BE28" s="784"/>
      <c r="BF28" s="784"/>
      <c r="BG28" s="784"/>
      <c r="BH28" s="827"/>
      <c r="BI28" s="816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6"/>
      <c r="CN28" s="816"/>
      <c r="CO28" s="816"/>
      <c r="CP28" s="816"/>
      <c r="CQ28" s="816"/>
      <c r="CR28" s="816"/>
      <c r="CS28" s="816"/>
      <c r="CT28" s="816"/>
      <c r="CU28" s="816"/>
      <c r="CV28" s="816"/>
      <c r="CW28" s="816"/>
      <c r="CX28" s="816"/>
      <c r="CY28" s="816"/>
      <c r="CZ28" s="816"/>
      <c r="DA28" s="816"/>
      <c r="DB28" s="816"/>
      <c r="DC28" s="816"/>
      <c r="DD28" s="886"/>
      <c r="DE28" s="886"/>
      <c r="DF28" s="886"/>
      <c r="DG28" s="839"/>
      <c r="DH28" s="839"/>
      <c r="DI28" s="839"/>
      <c r="DJ28" s="839"/>
      <c r="DK28" s="839"/>
      <c r="DL28" s="839"/>
      <c r="DM28" s="839"/>
      <c r="DN28" s="839"/>
      <c r="DO28" s="839"/>
      <c r="DP28" s="839"/>
      <c r="DQ28" s="839"/>
      <c r="DR28" s="839"/>
      <c r="DS28" s="839"/>
      <c r="DT28" s="839"/>
      <c r="DU28" s="839"/>
      <c r="DV28" s="839"/>
      <c r="DW28" s="839"/>
      <c r="DX28" s="839"/>
      <c r="DY28" s="839"/>
      <c r="DZ28" s="839"/>
      <c r="EA28" s="839"/>
      <c r="EB28" s="839"/>
      <c r="EC28" s="839"/>
      <c r="ED28" s="839"/>
      <c r="EE28" s="839"/>
      <c r="EF28" s="839"/>
      <c r="EG28" s="839"/>
      <c r="EH28" s="839"/>
      <c r="EI28" s="839"/>
      <c r="EJ28" s="839"/>
      <c r="EK28" s="839"/>
      <c r="EL28" s="839"/>
      <c r="EM28" s="839"/>
      <c r="EN28" s="839"/>
      <c r="EO28" s="839"/>
      <c r="EP28" s="839"/>
      <c r="EQ28" s="839"/>
      <c r="ER28" s="839"/>
      <c r="ES28" s="839"/>
      <c r="ET28" s="839"/>
      <c r="EU28" s="839"/>
      <c r="EV28" s="839"/>
      <c r="EW28" s="839"/>
      <c r="EX28" s="839"/>
      <c r="EY28" s="839"/>
      <c r="EZ28" s="839"/>
      <c r="FA28" s="839"/>
      <c r="FB28" s="839"/>
      <c r="FC28" s="839"/>
      <c r="FD28" s="839"/>
      <c r="FE28" s="839"/>
      <c r="FF28" s="839"/>
      <c r="FG28" s="839"/>
      <c r="FH28" s="1711"/>
      <c r="FM28" s="321"/>
    </row>
    <row r="29" spans="1:169" ht="21">
      <c r="A29" s="1744" t="s">
        <v>185</v>
      </c>
      <c r="B29" s="783">
        <v>54.579735669999998</v>
      </c>
      <c r="C29" s="783">
        <v>69.33917627000001</v>
      </c>
      <c r="D29" s="783">
        <v>69.029160559999994</v>
      </c>
      <c r="E29" s="783">
        <v>74.506363210000004</v>
      </c>
      <c r="F29" s="783">
        <v>71.083963139999994</v>
      </c>
      <c r="G29" s="783">
        <v>75.744314860000003</v>
      </c>
      <c r="H29" s="783">
        <v>76.257813840000011</v>
      </c>
      <c r="I29" s="783">
        <v>69.148299819999991</v>
      </c>
      <c r="J29" s="783">
        <v>96.122311859999996</v>
      </c>
      <c r="K29" s="783">
        <v>91.791905679999999</v>
      </c>
      <c r="L29" s="783">
        <v>90.699055580000007</v>
      </c>
      <c r="M29" s="781">
        <v>91.020919899999996</v>
      </c>
      <c r="N29" s="784">
        <v>89.033079549999997</v>
      </c>
      <c r="O29" s="784">
        <v>92.014217079999995</v>
      </c>
      <c r="P29" s="784">
        <v>91.748293289999992</v>
      </c>
      <c r="Q29" s="784">
        <v>90.787522409999994</v>
      </c>
      <c r="R29" s="784">
        <v>116.5738198</v>
      </c>
      <c r="S29" s="784">
        <v>116.48098275</v>
      </c>
      <c r="T29" s="784">
        <v>112.60505630999999</v>
      </c>
      <c r="U29" s="784">
        <v>111.23805409000001</v>
      </c>
      <c r="V29" s="784">
        <v>129.19321355000002</v>
      </c>
      <c r="W29" s="784">
        <v>128.63914389000001</v>
      </c>
      <c r="X29" s="784">
        <v>129.95573985999999</v>
      </c>
      <c r="Y29" s="781">
        <v>125.38866665</v>
      </c>
      <c r="Z29" s="784">
        <v>120.03161571999999</v>
      </c>
      <c r="AA29" s="784">
        <v>110.47394776</v>
      </c>
      <c r="AB29" s="781">
        <v>126.58986424999999</v>
      </c>
      <c r="AC29" s="781">
        <v>135.18260753999999</v>
      </c>
      <c r="AD29" s="781">
        <v>141.32127122999998</v>
      </c>
      <c r="AE29" s="781">
        <v>139.26238463999999</v>
      </c>
      <c r="AF29" s="781">
        <v>139.63278694000002</v>
      </c>
      <c r="AG29" s="781">
        <v>139.51124135999999</v>
      </c>
      <c r="AH29" s="781">
        <v>155.12902419</v>
      </c>
      <c r="AI29" s="781">
        <v>164.71345902999997</v>
      </c>
      <c r="AJ29" s="781">
        <v>162.23065593000001</v>
      </c>
      <c r="AK29" s="781">
        <v>156.0731145</v>
      </c>
      <c r="AL29" s="781">
        <v>157.28777199999999</v>
      </c>
      <c r="AM29" s="781">
        <v>154.21317875000003</v>
      </c>
      <c r="AN29" s="781">
        <v>155.11263038999999</v>
      </c>
      <c r="AO29" s="781">
        <v>149.88064306000001</v>
      </c>
      <c r="AP29" s="781">
        <v>149.82252937999999</v>
      </c>
      <c r="AQ29" s="781">
        <v>150.1319824</v>
      </c>
      <c r="AR29" s="781">
        <v>123.36238168999999</v>
      </c>
      <c r="AS29" s="781">
        <v>136.37647343</v>
      </c>
      <c r="AT29" s="781">
        <v>138.65784348</v>
      </c>
      <c r="AU29" s="781">
        <v>142.55825396</v>
      </c>
      <c r="AV29" s="781">
        <v>141.26464788999999</v>
      </c>
      <c r="AW29" s="781">
        <v>130.00025671</v>
      </c>
      <c r="AX29" s="781">
        <v>129.83041173999999</v>
      </c>
      <c r="AY29" s="781">
        <v>128.82778895999999</v>
      </c>
      <c r="AZ29" s="781">
        <v>127.65305033999999</v>
      </c>
      <c r="BA29" s="781">
        <v>123.46714177000001</v>
      </c>
      <c r="BB29" s="781">
        <v>114.34349172</v>
      </c>
      <c r="BC29" s="781">
        <v>116.38297179</v>
      </c>
      <c r="BD29" s="781">
        <v>118.04581011000001</v>
      </c>
      <c r="BE29" s="781">
        <v>125.70209693999999</v>
      </c>
      <c r="BF29" s="781">
        <v>122.73073832</v>
      </c>
      <c r="BG29" s="781">
        <v>122.98893609999999</v>
      </c>
      <c r="BH29" s="826">
        <v>120.74347581000001</v>
      </c>
      <c r="BI29" s="815">
        <v>118.32390330999999</v>
      </c>
      <c r="BJ29" s="815">
        <v>120.11415145999999</v>
      </c>
      <c r="BK29" s="815">
        <v>118.79139753999999</v>
      </c>
      <c r="BL29" s="815">
        <v>109.07768242</v>
      </c>
      <c r="BM29" s="815">
        <v>113.2495911</v>
      </c>
      <c r="BN29" s="815">
        <v>112.72998847999999</v>
      </c>
      <c r="BO29" s="815">
        <v>111.67199954</v>
      </c>
      <c r="BP29" s="815">
        <v>113.10348077</v>
      </c>
      <c r="BQ29" s="815">
        <v>111.68904791</v>
      </c>
      <c r="BR29" s="815">
        <v>122.41167555</v>
      </c>
      <c r="BS29" s="815">
        <v>120.73675756</v>
      </c>
      <c r="BT29" s="815">
        <v>114.34577662999999</v>
      </c>
      <c r="BU29" s="815">
        <v>141.35949453000001</v>
      </c>
      <c r="BV29" s="815">
        <v>144.05318571000001</v>
      </c>
      <c r="BW29" s="815">
        <v>147.49309384999998</v>
      </c>
      <c r="BX29" s="815">
        <v>156.23492493000001</v>
      </c>
      <c r="BY29" s="815">
        <v>159.70283215000003</v>
      </c>
      <c r="BZ29" s="815">
        <v>162.13565007000003</v>
      </c>
      <c r="CA29" s="815">
        <v>163.68834538000002</v>
      </c>
      <c r="CB29" s="815">
        <v>164.17042437000003</v>
      </c>
      <c r="CC29" s="815">
        <v>176.53872941999998</v>
      </c>
      <c r="CD29" s="815">
        <v>184.64923761999998</v>
      </c>
      <c r="CE29" s="815">
        <v>192.57085422</v>
      </c>
      <c r="CF29" s="815">
        <v>210.88280302000001</v>
      </c>
      <c r="CG29" s="815">
        <v>209.92705027</v>
      </c>
      <c r="CH29" s="815">
        <v>203.41224586999999</v>
      </c>
      <c r="CI29" s="815">
        <v>208.80949536</v>
      </c>
      <c r="CJ29" s="815">
        <v>211.42529159</v>
      </c>
      <c r="CK29" s="815">
        <v>210.85660525</v>
      </c>
      <c r="CL29" s="815">
        <v>194.03733638</v>
      </c>
      <c r="CM29" s="815">
        <v>194.86150638999999</v>
      </c>
      <c r="CN29" s="815">
        <v>192.01747746999999</v>
      </c>
      <c r="CO29" s="815">
        <v>196.63909949000001</v>
      </c>
      <c r="CP29" s="815">
        <v>206.7177025</v>
      </c>
      <c r="CQ29" s="815">
        <v>223.84971345</v>
      </c>
      <c r="CR29" s="815">
        <v>227.69814098000001</v>
      </c>
      <c r="CS29" s="815">
        <v>239.82627107000002</v>
      </c>
      <c r="CT29" s="815">
        <v>237.92966143999999</v>
      </c>
      <c r="CU29" s="815">
        <v>236.89999594</v>
      </c>
      <c r="CV29" s="815">
        <v>231.938118</v>
      </c>
      <c r="CW29" s="815">
        <v>222.83034469</v>
      </c>
      <c r="CX29" s="815">
        <v>205.62780871000001</v>
      </c>
      <c r="CY29" s="815">
        <v>184.18055935999999</v>
      </c>
      <c r="CZ29" s="815">
        <v>131.13965572999999</v>
      </c>
      <c r="DA29" s="815">
        <v>130.78976012000001</v>
      </c>
      <c r="DB29" s="815">
        <v>133.99027093000001</v>
      </c>
      <c r="DC29" s="815">
        <v>130.14741025000001</v>
      </c>
      <c r="DD29" s="885">
        <v>136.43962805999999</v>
      </c>
      <c r="DE29" s="885">
        <v>138.68979074999999</v>
      </c>
      <c r="DF29" s="885">
        <v>137.24838402</v>
      </c>
      <c r="DG29" s="838">
        <v>134.68413079999999</v>
      </c>
      <c r="DH29" s="838">
        <v>131.02408466</v>
      </c>
      <c r="DI29" s="838">
        <v>140.74170946000001</v>
      </c>
      <c r="DJ29" s="838">
        <v>149.61299489000001</v>
      </c>
      <c r="DK29" s="838">
        <v>144.72475363000001</v>
      </c>
      <c r="DL29" s="838">
        <v>146.38947114000001</v>
      </c>
      <c r="DM29" s="838">
        <v>145.12217507</v>
      </c>
      <c r="DN29" s="838">
        <v>171.43057830000001</v>
      </c>
      <c r="DO29" s="838">
        <v>178.66565431999999</v>
      </c>
      <c r="DP29" s="838">
        <v>241.67752013</v>
      </c>
      <c r="DQ29" s="838">
        <v>273.21182666999999</v>
      </c>
      <c r="DR29" s="838">
        <v>271.42953984000002</v>
      </c>
      <c r="DS29" s="838">
        <v>265.52348125999998</v>
      </c>
      <c r="DT29" s="838">
        <v>258.28489223000003</v>
      </c>
      <c r="DU29" s="838">
        <v>270.53019850999999</v>
      </c>
      <c r="DV29" s="838">
        <v>313.81745827999998</v>
      </c>
      <c r="DW29" s="838">
        <v>340.51378468000001</v>
      </c>
      <c r="DX29" s="838">
        <v>334.0196262</v>
      </c>
      <c r="DY29" s="838">
        <v>352.18050068999997</v>
      </c>
      <c r="DZ29" s="838">
        <v>335.53768357000001</v>
      </c>
      <c r="EA29" s="838">
        <v>343.25213382999999</v>
      </c>
      <c r="EB29" s="838">
        <v>335.36562896999999</v>
      </c>
      <c r="EC29" s="838">
        <v>405.63607449</v>
      </c>
      <c r="ED29" s="838">
        <v>380.94517313</v>
      </c>
      <c r="EE29" s="838">
        <v>441.42464043000001</v>
      </c>
      <c r="EF29" s="838">
        <v>433.22642279000002</v>
      </c>
      <c r="EG29" s="838">
        <v>467.06663629000002</v>
      </c>
      <c r="EH29" s="838">
        <v>569.78436438999995</v>
      </c>
      <c r="EI29" s="838">
        <v>633.71979166000006</v>
      </c>
      <c r="EJ29" s="838">
        <v>630.92464113999995</v>
      </c>
      <c r="EK29" s="838">
        <v>638.42380665999997</v>
      </c>
      <c r="EL29" s="838">
        <v>642.75572517000001</v>
      </c>
      <c r="EM29" s="838">
        <v>639.96750334000001</v>
      </c>
      <c r="EN29" s="838">
        <v>655.47794266999995</v>
      </c>
      <c r="EO29" s="838">
        <v>697.65811449</v>
      </c>
      <c r="EP29" s="838">
        <v>705.94482635999998</v>
      </c>
      <c r="EQ29" s="838">
        <v>770.63645037000003</v>
      </c>
      <c r="ER29" s="838">
        <v>789.65038075999996</v>
      </c>
      <c r="ES29" s="838">
        <v>822.05291483999997</v>
      </c>
      <c r="ET29" s="838">
        <v>830.53659956000001</v>
      </c>
      <c r="EU29" s="838">
        <v>852.85220348999997</v>
      </c>
      <c r="EV29" s="838">
        <v>844.74636992000001</v>
      </c>
      <c r="EW29" s="838">
        <v>856.09721152999998</v>
      </c>
      <c r="EX29" s="838">
        <v>887.77126347000001</v>
      </c>
      <c r="EY29" s="838">
        <v>917.37690100999998</v>
      </c>
      <c r="EZ29" s="838">
        <v>900.88186293000001</v>
      </c>
      <c r="FA29" s="838">
        <v>924.93886823000003</v>
      </c>
      <c r="FB29" s="838">
        <v>925.43863540999996</v>
      </c>
      <c r="FC29" s="838">
        <v>912.82446062999998</v>
      </c>
      <c r="FD29" s="838">
        <v>945.83023230000003</v>
      </c>
      <c r="FE29" s="838">
        <v>938.62226857999997</v>
      </c>
      <c r="FF29" s="838">
        <v>929.35199236999995</v>
      </c>
      <c r="FG29" s="838">
        <v>974.19231893000006</v>
      </c>
      <c r="FH29" s="1714" t="s">
        <v>206</v>
      </c>
      <c r="FM29" s="321"/>
    </row>
    <row r="30" spans="1:169" ht="21">
      <c r="A30" s="1745" t="s">
        <v>1961</v>
      </c>
      <c r="B30" s="783">
        <v>4.2081070499999997</v>
      </c>
      <c r="C30" s="783">
        <v>3.3317856400000001</v>
      </c>
      <c r="D30" s="783">
        <v>3.0468360699999999</v>
      </c>
      <c r="E30" s="783">
        <v>8.4850783500000002</v>
      </c>
      <c r="F30" s="783">
        <v>5.6692686999999999</v>
      </c>
      <c r="G30" s="783">
        <v>2.91191019</v>
      </c>
      <c r="H30" s="783">
        <v>3.9797357999999998</v>
      </c>
      <c r="I30" s="783">
        <v>3.8250740299999997</v>
      </c>
      <c r="J30" s="783">
        <v>4.8384773399999998</v>
      </c>
      <c r="K30" s="783">
        <v>4.2258094699999997</v>
      </c>
      <c r="L30" s="783">
        <v>4.0564604900000001</v>
      </c>
      <c r="M30" s="784">
        <v>4.3645521699999996</v>
      </c>
      <c r="N30" s="784">
        <v>3.4751196499999999</v>
      </c>
      <c r="O30" s="784">
        <v>5.5377424699999995</v>
      </c>
      <c r="P30" s="784">
        <v>7.65817149</v>
      </c>
      <c r="Q30" s="784">
        <v>9.6514377100000015</v>
      </c>
      <c r="R30" s="784">
        <v>12.451997039999998</v>
      </c>
      <c r="S30" s="784">
        <v>13.90583097</v>
      </c>
      <c r="T30" s="784">
        <v>12.78115509</v>
      </c>
      <c r="U30" s="784">
        <v>12.57961836</v>
      </c>
      <c r="V30" s="784">
        <v>12.971486430000001</v>
      </c>
      <c r="W30" s="784">
        <v>14.355452439999999</v>
      </c>
      <c r="X30" s="784">
        <v>17.71668773</v>
      </c>
      <c r="Y30" s="784">
        <v>16.54369432</v>
      </c>
      <c r="Z30" s="784">
        <v>17.24451131</v>
      </c>
      <c r="AA30" s="784">
        <v>11.537160929999999</v>
      </c>
      <c r="AB30" s="784">
        <v>25.758821949999998</v>
      </c>
      <c r="AC30" s="784">
        <v>32.488919979999999</v>
      </c>
      <c r="AD30" s="784">
        <v>40.594764740000002</v>
      </c>
      <c r="AE30" s="784">
        <v>39.600233450000005</v>
      </c>
      <c r="AF30" s="784">
        <v>34.142628600000002</v>
      </c>
      <c r="AG30" s="784">
        <v>33.905948619999997</v>
      </c>
      <c r="AH30" s="784">
        <v>36.958805950000006</v>
      </c>
      <c r="AI30" s="784">
        <v>27.339194859999999</v>
      </c>
      <c r="AJ30" s="784">
        <v>27.248353309999999</v>
      </c>
      <c r="AK30" s="784">
        <v>25.360703530000002</v>
      </c>
      <c r="AL30" s="784">
        <v>24.981416109999998</v>
      </c>
      <c r="AM30" s="784">
        <v>23.385746960000002</v>
      </c>
      <c r="AN30" s="784">
        <v>33.070161820000003</v>
      </c>
      <c r="AO30" s="784">
        <v>29.233504249999999</v>
      </c>
      <c r="AP30" s="784">
        <v>27.491419029999999</v>
      </c>
      <c r="AQ30" s="784">
        <v>28.093825450000001</v>
      </c>
      <c r="AR30" s="784">
        <v>27.179712089999999</v>
      </c>
      <c r="AS30" s="784">
        <v>37.389720619999999</v>
      </c>
      <c r="AT30" s="784">
        <v>41.26929715</v>
      </c>
      <c r="AU30" s="784">
        <v>38.667152170000001</v>
      </c>
      <c r="AV30" s="784">
        <v>38.577371110000001</v>
      </c>
      <c r="AW30" s="784">
        <v>27.73662848</v>
      </c>
      <c r="AX30" s="784">
        <v>28.057330820000001</v>
      </c>
      <c r="AY30" s="784">
        <v>27.97651106</v>
      </c>
      <c r="AZ30" s="784">
        <v>27.895338489999997</v>
      </c>
      <c r="BA30" s="784">
        <v>27.81373537</v>
      </c>
      <c r="BB30" s="784">
        <v>19.95235263</v>
      </c>
      <c r="BC30" s="784">
        <v>22.868232589999998</v>
      </c>
      <c r="BD30" s="784">
        <v>24.784832480000002</v>
      </c>
      <c r="BE30" s="784">
        <v>31.699084370000001</v>
      </c>
      <c r="BF30" s="784">
        <v>29.29493166</v>
      </c>
      <c r="BG30" s="784">
        <v>29.637500579999998</v>
      </c>
      <c r="BH30" s="827">
        <v>28.44717769</v>
      </c>
      <c r="BI30" s="816">
        <v>26.360021920000001</v>
      </c>
      <c r="BJ30" s="816">
        <v>26.27198125</v>
      </c>
      <c r="BK30" s="816">
        <v>28.183458719999997</v>
      </c>
      <c r="BL30" s="816">
        <v>19.102615950000001</v>
      </c>
      <c r="BM30" s="816">
        <v>24.019858460000002</v>
      </c>
      <c r="BN30" s="816">
        <v>112.72998847999999</v>
      </c>
      <c r="BO30" s="816">
        <v>23.254532820000001</v>
      </c>
      <c r="BP30" s="816">
        <v>25.12911823</v>
      </c>
      <c r="BQ30" s="816">
        <v>23.855006399999997</v>
      </c>
      <c r="BR30" s="816">
        <v>23.395638440000003</v>
      </c>
      <c r="BS30" s="816">
        <v>23.194389409999999</v>
      </c>
      <c r="BT30" s="816">
        <v>22.990495469999999</v>
      </c>
      <c r="BU30" s="816">
        <v>24.175783930000001</v>
      </c>
      <c r="BV30" s="816">
        <v>25.942002800000001</v>
      </c>
      <c r="BW30" s="816">
        <v>25.730733749999999</v>
      </c>
      <c r="BX30" s="816">
        <v>25.51694655</v>
      </c>
      <c r="BY30" s="816">
        <v>20.300611190000001</v>
      </c>
      <c r="BZ30" s="816">
        <v>20.081696699999998</v>
      </c>
      <c r="CA30" s="816">
        <v>19.928878609999998</v>
      </c>
      <c r="CB30" s="816">
        <v>17.746982760000002</v>
      </c>
      <c r="CC30" s="816">
        <v>17.590229570000002</v>
      </c>
      <c r="CD30" s="816">
        <v>17.43142164</v>
      </c>
      <c r="CE30" s="816">
        <v>25.270582109999999</v>
      </c>
      <c r="CF30" s="816">
        <v>25.697835300000001</v>
      </c>
      <c r="CG30" s="816">
        <v>27.532905299999999</v>
      </c>
      <c r="CH30" s="816">
        <v>17.36594298</v>
      </c>
      <c r="CI30" s="816">
        <v>23.776717250000001</v>
      </c>
      <c r="CJ30" s="816">
        <v>32.635751219999996</v>
      </c>
      <c r="CK30" s="816">
        <v>32.493023289999996</v>
      </c>
      <c r="CL30" s="816">
        <v>31.22451126</v>
      </c>
      <c r="CM30" s="816">
        <v>32.202192629999999</v>
      </c>
      <c r="CN30" s="816">
        <v>30.054045200000001</v>
      </c>
      <c r="CO30" s="816">
        <v>26.294045870000001</v>
      </c>
      <c r="CP30" s="816">
        <v>26.12271647</v>
      </c>
      <c r="CQ30" s="816">
        <v>25.949245480000002</v>
      </c>
      <c r="CR30" s="816">
        <v>26.070623770000001</v>
      </c>
      <c r="CS30" s="816">
        <v>25.850357760000001</v>
      </c>
      <c r="CT30" s="816">
        <v>25.627868920000001</v>
      </c>
      <c r="CU30" s="816">
        <v>25.403129209999999</v>
      </c>
      <c r="CV30" s="816">
        <v>25.206110819999999</v>
      </c>
      <c r="CW30" s="816">
        <v>24.97577416</v>
      </c>
      <c r="CX30" s="816">
        <v>24.743051699999999</v>
      </c>
      <c r="CY30" s="816">
        <v>24.507962330000002</v>
      </c>
      <c r="CZ30" s="816">
        <v>24.312906269999999</v>
      </c>
      <c r="DA30" s="816">
        <v>24.289490659999998</v>
      </c>
      <c r="DB30" s="816">
        <v>24.457218210000001</v>
      </c>
      <c r="DC30" s="816">
        <v>24.43348722</v>
      </c>
      <c r="DD30" s="886">
        <v>24.40942952</v>
      </c>
      <c r="DE30" s="886">
        <v>24.585067080000002</v>
      </c>
      <c r="DF30" s="886">
        <v>24.580410390000001</v>
      </c>
      <c r="DG30" s="839">
        <v>24.59542712</v>
      </c>
      <c r="DH30" s="839">
        <v>24.594463439999998</v>
      </c>
      <c r="DI30" s="839">
        <v>24.587169620000001</v>
      </c>
      <c r="DJ30" s="839">
        <v>24.55976063</v>
      </c>
      <c r="DK30" s="839">
        <v>24.552293550000002</v>
      </c>
      <c r="DL30" s="839">
        <v>24.538782699999999</v>
      </c>
      <c r="DM30" s="839">
        <v>24.525401160000001</v>
      </c>
      <c r="DN30" s="839">
        <v>24.793331299999998</v>
      </c>
      <c r="DO30" s="839">
        <v>24.791833019999999</v>
      </c>
      <c r="DP30" s="839">
        <v>24.771171509999999</v>
      </c>
      <c r="DQ30" s="839">
        <v>24.756793099999999</v>
      </c>
      <c r="DR30" s="839">
        <v>24.754133020000001</v>
      </c>
      <c r="DS30" s="839">
        <v>24.733762670000001</v>
      </c>
      <c r="DT30" s="839">
        <v>24.712897689999998</v>
      </c>
      <c r="DU30" s="839">
        <v>24.691406019999999</v>
      </c>
      <c r="DV30" s="839">
        <v>24.669929740000001</v>
      </c>
      <c r="DW30" s="839">
        <v>24.691539349999999</v>
      </c>
      <c r="DX30" s="839">
        <v>24.65570958</v>
      </c>
      <c r="DY30" s="839">
        <v>24.63295544</v>
      </c>
      <c r="DZ30" s="839">
        <v>0.48463256999999998</v>
      </c>
      <c r="EA30" s="839">
        <v>0.46122268999999999</v>
      </c>
      <c r="EB30" s="839">
        <v>0.43769405</v>
      </c>
      <c r="EC30" s="839">
        <v>0.41342911999999998</v>
      </c>
      <c r="ED30" s="839">
        <v>0.38933377000000002</v>
      </c>
      <c r="EE30" s="839">
        <v>0.38553920000000003</v>
      </c>
      <c r="EF30" s="839">
        <v>0.36179096999999999</v>
      </c>
      <c r="EG30" s="839">
        <v>1.17257463</v>
      </c>
      <c r="EH30" s="839">
        <v>32.85512396</v>
      </c>
      <c r="EI30" s="839">
        <v>60.136569979999997</v>
      </c>
      <c r="EJ30" s="839">
        <v>59.990847109999997</v>
      </c>
      <c r="EK30" s="839">
        <v>59.92368518</v>
      </c>
      <c r="EL30" s="839">
        <v>59.866722639999999</v>
      </c>
      <c r="EM30" s="839">
        <v>59.83329002</v>
      </c>
      <c r="EN30" s="839">
        <v>68.618683680000004</v>
      </c>
      <c r="EO30" s="839">
        <v>68.559110820000001</v>
      </c>
      <c r="EP30" s="839">
        <v>80.581021399999997</v>
      </c>
      <c r="EQ30" s="839">
        <v>80.523039359999999</v>
      </c>
      <c r="ER30" s="839">
        <v>80.512234579999998</v>
      </c>
      <c r="ES30" s="839">
        <v>84.924192250000004</v>
      </c>
      <c r="ET30" s="839">
        <v>90.319655510000004</v>
      </c>
      <c r="EU30" s="839">
        <v>90.259552209999995</v>
      </c>
      <c r="EV30" s="839">
        <v>90.208596639999996</v>
      </c>
      <c r="EW30" s="839">
        <v>87.199188109999994</v>
      </c>
      <c r="EX30" s="839">
        <v>87.086448959999998</v>
      </c>
      <c r="EY30" s="839">
        <v>87.018880789999997</v>
      </c>
      <c r="EZ30" s="839">
        <v>83.945504369999995</v>
      </c>
      <c r="FA30" s="839">
        <v>83.941641129999994</v>
      </c>
      <c r="FB30" s="839">
        <v>83.937823519999995</v>
      </c>
      <c r="FC30" s="839">
        <v>80.244295350000002</v>
      </c>
      <c r="FD30" s="839">
        <v>80.240967609999998</v>
      </c>
      <c r="FE30" s="839">
        <v>79.514802579999994</v>
      </c>
      <c r="FF30" s="839">
        <v>75.735234689999999</v>
      </c>
      <c r="FG30" s="839">
        <v>75.734516940000006</v>
      </c>
      <c r="FH30" s="1716" t="s">
        <v>4067</v>
      </c>
      <c r="FM30" s="321"/>
    </row>
    <row r="31" spans="1:169" ht="21">
      <c r="A31" s="1745" t="s">
        <v>1962</v>
      </c>
      <c r="B31" s="780">
        <f>+B29-B30</f>
        <v>50.371628619999996</v>
      </c>
      <c r="C31" s="780">
        <f t="shared" ref="C31:V31" si="10">+C29-C30</f>
        <v>66.007390630000003</v>
      </c>
      <c r="D31" s="780">
        <f t="shared" si="10"/>
        <v>65.982324489999996</v>
      </c>
      <c r="E31" s="780">
        <f t="shared" si="10"/>
        <v>66.021284860000009</v>
      </c>
      <c r="F31" s="780">
        <f t="shared" si="10"/>
        <v>65.414694439999991</v>
      </c>
      <c r="G31" s="780">
        <f t="shared" si="10"/>
        <v>72.832404670000003</v>
      </c>
      <c r="H31" s="780">
        <f t="shared" si="10"/>
        <v>72.278078040000011</v>
      </c>
      <c r="I31" s="780">
        <f t="shared" si="10"/>
        <v>65.323225789999995</v>
      </c>
      <c r="J31" s="780">
        <f t="shared" si="10"/>
        <v>91.283834519999999</v>
      </c>
      <c r="K31" s="780">
        <f t="shared" si="10"/>
        <v>87.566096209999998</v>
      </c>
      <c r="L31" s="780">
        <f t="shared" si="10"/>
        <v>86.64259509</v>
      </c>
      <c r="M31" s="784">
        <f t="shared" si="10"/>
        <v>86.656367729999999</v>
      </c>
      <c r="N31" s="781">
        <f t="shared" si="10"/>
        <v>85.5579599</v>
      </c>
      <c r="O31" s="781">
        <f t="shared" si="10"/>
        <v>86.476474609999997</v>
      </c>
      <c r="P31" s="781">
        <f t="shared" si="10"/>
        <v>84.090121799999991</v>
      </c>
      <c r="Q31" s="781">
        <f t="shared" si="10"/>
        <v>81.136084699999998</v>
      </c>
      <c r="R31" s="781">
        <f t="shared" si="10"/>
        <v>104.12182276</v>
      </c>
      <c r="S31" s="781">
        <f t="shared" si="10"/>
        <v>102.57515178</v>
      </c>
      <c r="T31" s="781">
        <f t="shared" si="10"/>
        <v>99.823901219999996</v>
      </c>
      <c r="U31" s="781">
        <f t="shared" si="10"/>
        <v>98.658435730000008</v>
      </c>
      <c r="V31" s="781">
        <f t="shared" si="10"/>
        <v>116.22172712000003</v>
      </c>
      <c r="W31" s="781">
        <v>114.28369145000002</v>
      </c>
      <c r="X31" s="781">
        <v>112.23905212999999</v>
      </c>
      <c r="Y31" s="784">
        <v>108.84497233</v>
      </c>
      <c r="Z31" s="781">
        <v>102.78710440999998</v>
      </c>
      <c r="AA31" s="781">
        <v>98.936786830000003</v>
      </c>
      <c r="AB31" s="784">
        <f>+AB29-AB30</f>
        <v>100.83104229999999</v>
      </c>
      <c r="AC31" s="784">
        <v>102.69368756</v>
      </c>
      <c r="AD31" s="784">
        <v>100.72650648999998</v>
      </c>
      <c r="AE31" s="784">
        <v>99.662151189999989</v>
      </c>
      <c r="AF31" s="784">
        <v>105.49015834000002</v>
      </c>
      <c r="AG31" s="784">
        <v>105.60529273999998</v>
      </c>
      <c r="AH31" s="784">
        <f>+AH29-AH30</f>
        <v>118.17021824</v>
      </c>
      <c r="AI31" s="784">
        <v>137.37426416999998</v>
      </c>
      <c r="AJ31" s="784">
        <f>+AJ29-AJ30</f>
        <v>134.98230262000001</v>
      </c>
      <c r="AK31" s="784">
        <f>+AK29-AK30</f>
        <v>130.71241097000001</v>
      </c>
      <c r="AL31" s="784">
        <v>132.30635588999999</v>
      </c>
      <c r="AM31" s="784">
        <f>+AM29-AM30</f>
        <v>130.82743179000002</v>
      </c>
      <c r="AN31" s="784">
        <f>+AN29-AN30</f>
        <v>122.04246856999998</v>
      </c>
      <c r="AO31" s="784">
        <f>+AO29-AO30</f>
        <v>120.64713881000002</v>
      </c>
      <c r="AP31" s="784">
        <f>+AP29-AP30</f>
        <v>122.33111034999999</v>
      </c>
      <c r="AQ31" s="784">
        <v>122.03815695</v>
      </c>
      <c r="AR31" s="784">
        <f>+AR29-AR30</f>
        <v>96.182669599999997</v>
      </c>
      <c r="AS31" s="784">
        <v>98.986752810000013</v>
      </c>
      <c r="AT31" s="784">
        <f>+AT29-AT30</f>
        <v>97.388546329999997</v>
      </c>
      <c r="AU31" s="784">
        <v>103.89110178999999</v>
      </c>
      <c r="AV31" s="784">
        <v>102.68727677999999</v>
      </c>
      <c r="AW31" s="784">
        <v>102.26362822999999</v>
      </c>
      <c r="AX31" s="784">
        <v>101.77308091999998</v>
      </c>
      <c r="AY31" s="784">
        <v>100.85127789999999</v>
      </c>
      <c r="AZ31" s="784">
        <v>99.757711849999993</v>
      </c>
      <c r="BA31" s="784">
        <v>95.653406400000009</v>
      </c>
      <c r="BB31" s="784">
        <v>94.391139089999996</v>
      </c>
      <c r="BC31" s="784">
        <v>93.514739200000008</v>
      </c>
      <c r="BD31" s="784">
        <f>+BD29-BD30</f>
        <v>93.260977629999999</v>
      </c>
      <c r="BE31" s="784">
        <v>94.003012569999981</v>
      </c>
      <c r="BF31" s="784">
        <v>93.435806659999997</v>
      </c>
      <c r="BG31" s="784">
        <v>93.351435519999995</v>
      </c>
      <c r="BH31" s="827">
        <v>92.296298120000003</v>
      </c>
      <c r="BI31" s="816">
        <v>91.963881389999983</v>
      </c>
      <c r="BJ31" s="816">
        <v>93.842170209999992</v>
      </c>
      <c r="BK31" s="816">
        <v>90.607938819999987</v>
      </c>
      <c r="BL31" s="816">
        <v>89.975066470000002</v>
      </c>
      <c r="BM31" s="816">
        <v>89.229732640000009</v>
      </c>
      <c r="BN31" s="816">
        <v>0</v>
      </c>
      <c r="BO31" s="816">
        <v>88.417466719999993</v>
      </c>
      <c r="BP31" s="816">
        <v>87.974362540000001</v>
      </c>
      <c r="BQ31" s="816">
        <v>87.834041510000006</v>
      </c>
      <c r="BR31" s="816">
        <v>99.016037109999999</v>
      </c>
      <c r="BS31" s="816">
        <v>97.542368150000001</v>
      </c>
      <c r="BT31" s="816">
        <v>91.35528115999999</v>
      </c>
      <c r="BU31" s="816">
        <v>117.18371060000001</v>
      </c>
      <c r="BV31" s="816">
        <v>118.11118291000001</v>
      </c>
      <c r="BW31" s="816">
        <v>121.76236009999998</v>
      </c>
      <c r="BX31" s="816">
        <v>130.71797838000001</v>
      </c>
      <c r="BY31" s="816">
        <v>139.40222096000002</v>
      </c>
      <c r="BZ31" s="816">
        <v>142.05395337000002</v>
      </c>
      <c r="CA31" s="816">
        <v>143.75946677000002</v>
      </c>
      <c r="CB31" s="816">
        <v>146.42344161000003</v>
      </c>
      <c r="CC31" s="816">
        <v>158.94849984999999</v>
      </c>
      <c r="CD31" s="816">
        <v>167.21781597999998</v>
      </c>
      <c r="CE31" s="816">
        <f t="shared" ref="CE31:CP31" si="11">+CE29-CE30</f>
        <v>167.30027211000001</v>
      </c>
      <c r="CF31" s="816">
        <f t="shared" si="11"/>
        <v>185.18496772</v>
      </c>
      <c r="CG31" s="816">
        <f t="shared" si="11"/>
        <v>182.39414496999999</v>
      </c>
      <c r="CH31" s="816">
        <f t="shared" si="11"/>
        <v>186.04630288999999</v>
      </c>
      <c r="CI31" s="816">
        <f t="shared" si="11"/>
        <v>185.03277811000001</v>
      </c>
      <c r="CJ31" s="816">
        <f t="shared" si="11"/>
        <v>178.78954037</v>
      </c>
      <c r="CK31" s="816">
        <f t="shared" si="11"/>
        <v>178.36358196</v>
      </c>
      <c r="CL31" s="816">
        <f t="shared" si="11"/>
        <v>162.81282512000001</v>
      </c>
      <c r="CM31" s="816">
        <f t="shared" si="11"/>
        <v>162.65931375999997</v>
      </c>
      <c r="CN31" s="816">
        <f t="shared" si="11"/>
        <v>161.96343227</v>
      </c>
      <c r="CO31" s="816">
        <f t="shared" si="11"/>
        <v>170.34505362000002</v>
      </c>
      <c r="CP31" s="816">
        <f t="shared" si="11"/>
        <v>180.59498603</v>
      </c>
      <c r="CQ31" s="816">
        <f>+CQ29-CQ30</f>
        <v>197.90046796999999</v>
      </c>
      <c r="CR31" s="816">
        <f>+CR29-CR30</f>
        <v>201.62751721000001</v>
      </c>
      <c r="CS31" s="816">
        <v>213.97591331000001</v>
      </c>
      <c r="CT31" s="816">
        <v>212.30179251999999</v>
      </c>
      <c r="CU31" s="816">
        <v>211.49686672999999</v>
      </c>
      <c r="CV31" s="816">
        <v>206.73200718000001</v>
      </c>
      <c r="CW31" s="816">
        <v>197.85457052999999</v>
      </c>
      <c r="CX31" s="816">
        <v>180.88475700999999</v>
      </c>
      <c r="CY31" s="816">
        <v>159.67259702999999</v>
      </c>
      <c r="CZ31" s="816">
        <v>106.82674946</v>
      </c>
      <c r="DA31" s="816">
        <v>106.50026946</v>
      </c>
      <c r="DB31" s="816">
        <v>109.53305272</v>
      </c>
      <c r="DC31" s="816">
        <v>105.71392303</v>
      </c>
      <c r="DD31" s="886">
        <v>112.03019854</v>
      </c>
      <c r="DE31" s="886">
        <v>114.10472367</v>
      </c>
      <c r="DF31" s="886">
        <v>112.66797363000001</v>
      </c>
      <c r="DG31" s="839">
        <v>110.08870367999999</v>
      </c>
      <c r="DH31" s="839">
        <v>106.42962122</v>
      </c>
      <c r="DI31" s="839">
        <v>116.15453984</v>
      </c>
      <c r="DJ31" s="839">
        <v>125.05323426</v>
      </c>
      <c r="DK31" s="839">
        <v>120.17246007999999</v>
      </c>
      <c r="DL31" s="839">
        <v>121.85068844</v>
      </c>
      <c r="DM31" s="839">
        <v>120.59677391</v>
      </c>
      <c r="DN31" s="839">
        <v>146.637247</v>
      </c>
      <c r="DO31" s="839">
        <v>153.8738213</v>
      </c>
      <c r="DP31" s="839">
        <v>216.90634861999999</v>
      </c>
      <c r="DQ31" s="839">
        <v>248.45503357000001</v>
      </c>
      <c r="DR31" s="839">
        <v>246.67540682000001</v>
      </c>
      <c r="DS31" s="839">
        <v>240.78971859000001</v>
      </c>
      <c r="DT31" s="839">
        <v>233.57199453999999</v>
      </c>
      <c r="DU31" s="839">
        <v>245.83879249</v>
      </c>
      <c r="DV31" s="839">
        <v>289.14752854</v>
      </c>
      <c r="DW31" s="839">
        <v>315.82224532999999</v>
      </c>
      <c r="DX31" s="839">
        <v>309.36391662</v>
      </c>
      <c r="DY31" s="839">
        <v>327.54754524999998</v>
      </c>
      <c r="DZ31" s="839">
        <v>335.05305099999998</v>
      </c>
      <c r="EA31" s="839">
        <v>342.79091113999999</v>
      </c>
      <c r="EB31" s="839">
        <v>334.92793491999998</v>
      </c>
      <c r="EC31" s="839">
        <v>405.22264537000001</v>
      </c>
      <c r="ED31" s="839">
        <v>380.55583935999999</v>
      </c>
      <c r="EE31" s="839">
        <v>441.03910123000003</v>
      </c>
      <c r="EF31" s="839">
        <v>432.86463182</v>
      </c>
      <c r="EG31" s="839">
        <v>465.89406165999998</v>
      </c>
      <c r="EH31" s="839">
        <v>536.92924043000005</v>
      </c>
      <c r="EI31" s="839">
        <v>573.58322167999995</v>
      </c>
      <c r="EJ31" s="839">
        <v>570.93379402999994</v>
      </c>
      <c r="EK31" s="839">
        <v>578.50012147999996</v>
      </c>
      <c r="EL31" s="839">
        <v>582.88900252999997</v>
      </c>
      <c r="EM31" s="839">
        <v>580.13421331999996</v>
      </c>
      <c r="EN31" s="839">
        <v>586.85925898999994</v>
      </c>
      <c r="EO31" s="839">
        <v>629.09900367</v>
      </c>
      <c r="EP31" s="839">
        <v>625.36380496000004</v>
      </c>
      <c r="EQ31" s="839">
        <v>690.11341101000005</v>
      </c>
      <c r="ER31" s="839">
        <v>709.13814618000004</v>
      </c>
      <c r="ES31" s="839">
        <v>737.12872259000005</v>
      </c>
      <c r="ET31" s="839">
        <v>740.21694405000005</v>
      </c>
      <c r="EU31" s="839">
        <v>762.59265128000004</v>
      </c>
      <c r="EV31" s="839">
        <v>754.53777328000001</v>
      </c>
      <c r="EW31" s="839">
        <v>768.89802341999996</v>
      </c>
      <c r="EX31" s="839">
        <v>800.68481451000002</v>
      </c>
      <c r="EY31" s="839">
        <v>830.35802021999996</v>
      </c>
      <c r="EZ31" s="839">
        <v>816.93635856000003</v>
      </c>
      <c r="FA31" s="839">
        <v>840.99722710000003</v>
      </c>
      <c r="FB31" s="839">
        <v>841.50081189000002</v>
      </c>
      <c r="FC31" s="839">
        <v>832.58016527999996</v>
      </c>
      <c r="FD31" s="839">
        <v>865.58926469000005</v>
      </c>
      <c r="FE31" s="839">
        <v>859.10746600000004</v>
      </c>
      <c r="FF31" s="839">
        <v>853.61675767999998</v>
      </c>
      <c r="FG31" s="839">
        <v>898.45780199000001</v>
      </c>
      <c r="FH31" s="1716" t="s">
        <v>4066</v>
      </c>
      <c r="FM31" s="321"/>
    </row>
    <row r="32" spans="1:169" ht="21">
      <c r="A32" s="1746"/>
      <c r="B32" s="783"/>
      <c r="C32" s="783"/>
      <c r="D32" s="783"/>
      <c r="E32" s="783"/>
      <c r="F32" s="783"/>
      <c r="G32" s="783"/>
      <c r="H32" s="783"/>
      <c r="I32" s="783"/>
      <c r="J32" s="783"/>
      <c r="K32" s="783"/>
      <c r="L32" s="783"/>
      <c r="M32" s="784"/>
      <c r="N32" s="784"/>
      <c r="O32" s="784"/>
      <c r="P32" s="784"/>
      <c r="Q32" s="784"/>
      <c r="R32" s="784"/>
      <c r="S32" s="784"/>
      <c r="T32" s="784"/>
      <c r="U32" s="784"/>
      <c r="V32" s="784"/>
      <c r="W32" s="784"/>
      <c r="X32" s="784"/>
      <c r="Y32" s="784"/>
      <c r="Z32" s="784"/>
      <c r="AA32" s="784"/>
      <c r="AB32" s="784"/>
      <c r="AC32" s="784"/>
      <c r="AD32" s="784"/>
      <c r="AE32" s="784"/>
      <c r="AF32" s="784"/>
      <c r="AG32" s="784"/>
      <c r="AH32" s="784"/>
      <c r="AI32" s="784"/>
      <c r="AJ32" s="784"/>
      <c r="AK32" s="784"/>
      <c r="AL32" s="784"/>
      <c r="AM32" s="784"/>
      <c r="AN32" s="784"/>
      <c r="AO32" s="784"/>
      <c r="AP32" s="784"/>
      <c r="AQ32" s="784"/>
      <c r="AR32" s="784"/>
      <c r="AS32" s="784"/>
      <c r="AT32" s="784"/>
      <c r="AU32" s="784"/>
      <c r="AV32" s="784"/>
      <c r="AW32" s="784"/>
      <c r="AX32" s="784"/>
      <c r="AY32" s="784"/>
      <c r="AZ32" s="784"/>
      <c r="BA32" s="784"/>
      <c r="BB32" s="784"/>
      <c r="BC32" s="784"/>
      <c r="BD32" s="784"/>
      <c r="BE32" s="784"/>
      <c r="BF32" s="784"/>
      <c r="BG32" s="784"/>
      <c r="BH32" s="827"/>
      <c r="BI32" s="816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6"/>
      <c r="CN32" s="816"/>
      <c r="CO32" s="816"/>
      <c r="CP32" s="816"/>
      <c r="CQ32" s="816"/>
      <c r="CR32" s="816"/>
      <c r="CS32" s="816"/>
      <c r="CT32" s="816"/>
      <c r="CU32" s="816"/>
      <c r="CV32" s="816"/>
      <c r="CW32" s="816"/>
      <c r="CX32" s="816"/>
      <c r="CY32" s="816"/>
      <c r="CZ32" s="816"/>
      <c r="DA32" s="816"/>
      <c r="DB32" s="816"/>
      <c r="DC32" s="816"/>
      <c r="DD32" s="886"/>
      <c r="DE32" s="886"/>
      <c r="DF32" s="886"/>
      <c r="DG32" s="839"/>
      <c r="DH32" s="839"/>
      <c r="DI32" s="839"/>
      <c r="DJ32" s="839"/>
      <c r="DK32" s="839"/>
      <c r="DL32" s="839"/>
      <c r="DM32" s="839"/>
      <c r="DN32" s="839"/>
      <c r="DO32" s="839"/>
      <c r="DP32" s="839"/>
      <c r="DQ32" s="839"/>
      <c r="DR32" s="839"/>
      <c r="DS32" s="839"/>
      <c r="DT32" s="839"/>
      <c r="DU32" s="839"/>
      <c r="DV32" s="839"/>
      <c r="DW32" s="839"/>
      <c r="DX32" s="839"/>
      <c r="DY32" s="839"/>
      <c r="DZ32" s="839"/>
      <c r="EA32" s="839"/>
      <c r="EB32" s="839"/>
      <c r="EC32" s="839"/>
      <c r="ED32" s="839"/>
      <c r="EE32" s="839"/>
      <c r="EF32" s="839"/>
      <c r="EG32" s="839"/>
      <c r="EH32" s="839"/>
      <c r="EI32" s="839"/>
      <c r="EJ32" s="839"/>
      <c r="EK32" s="839"/>
      <c r="EL32" s="839"/>
      <c r="EM32" s="839"/>
      <c r="EN32" s="839"/>
      <c r="EO32" s="839"/>
      <c r="EP32" s="839"/>
      <c r="EQ32" s="839"/>
      <c r="ER32" s="839"/>
      <c r="ES32" s="839"/>
      <c r="ET32" s="839"/>
      <c r="EU32" s="839"/>
      <c r="EV32" s="839"/>
      <c r="EW32" s="839"/>
      <c r="EX32" s="839"/>
      <c r="EY32" s="839"/>
      <c r="EZ32" s="839"/>
      <c r="FA32" s="839"/>
      <c r="FB32" s="839"/>
      <c r="FC32" s="839"/>
      <c r="FD32" s="839"/>
      <c r="FE32" s="839"/>
      <c r="FF32" s="839"/>
      <c r="FG32" s="839"/>
      <c r="FH32" s="1715"/>
      <c r="FM32" s="321"/>
    </row>
    <row r="33" spans="1:169" ht="21">
      <c r="A33" s="1744" t="s">
        <v>2742</v>
      </c>
      <c r="B33" s="780">
        <v>212.89171227999998</v>
      </c>
      <c r="C33" s="780">
        <v>212.64714071000003</v>
      </c>
      <c r="D33" s="780">
        <v>214.11740411999997</v>
      </c>
      <c r="E33" s="780">
        <v>215.04711354</v>
      </c>
      <c r="F33" s="780">
        <v>213.48353865000001</v>
      </c>
      <c r="G33" s="780">
        <v>213.25837068000001</v>
      </c>
      <c r="H33" s="780">
        <v>229.56314329000003</v>
      </c>
      <c r="I33" s="780">
        <v>233.24358797999997</v>
      </c>
      <c r="J33" s="780">
        <v>236.55633563000001</v>
      </c>
      <c r="K33" s="780">
        <v>236.81691731999999</v>
      </c>
      <c r="L33" s="780">
        <v>236.13224781</v>
      </c>
      <c r="M33" s="781">
        <v>248.60119818999999</v>
      </c>
      <c r="N33" s="781">
        <v>247.16537154999997</v>
      </c>
      <c r="O33" s="781">
        <v>249.59598750000001</v>
      </c>
      <c r="P33" s="781">
        <v>247.00714307999999</v>
      </c>
      <c r="Q33" s="781">
        <v>246.51106529999998</v>
      </c>
      <c r="R33" s="781">
        <v>222.38685803999999</v>
      </c>
      <c r="S33" s="781">
        <v>223.17128008</v>
      </c>
      <c r="T33" s="781">
        <v>221.93027872000002</v>
      </c>
      <c r="U33" s="781">
        <v>222.20840808</v>
      </c>
      <c r="V33" s="781">
        <v>267.97772313000002</v>
      </c>
      <c r="W33" s="781">
        <v>267.22694762000003</v>
      </c>
      <c r="X33" s="781">
        <v>267.49729006000001</v>
      </c>
      <c r="Y33" s="781">
        <v>281.64295177000002</v>
      </c>
      <c r="Z33" s="781">
        <v>284.06854213000003</v>
      </c>
      <c r="AA33" s="781">
        <v>349.38716251</v>
      </c>
      <c r="AB33" s="781">
        <v>369.16999435999998</v>
      </c>
      <c r="AC33" s="781">
        <v>370.02510978999999</v>
      </c>
      <c r="AD33" s="781">
        <v>381.07553415999996</v>
      </c>
      <c r="AE33" s="781">
        <v>385.72698618999999</v>
      </c>
      <c r="AF33" s="781">
        <v>387.09599772000001</v>
      </c>
      <c r="AG33" s="781">
        <v>460.53936801999998</v>
      </c>
      <c r="AH33" s="781">
        <v>477.74692003000001</v>
      </c>
      <c r="AI33" s="781">
        <v>530.30643171999998</v>
      </c>
      <c r="AJ33" s="781">
        <v>515.28589406000003</v>
      </c>
      <c r="AK33" s="781">
        <v>764.39027587999999</v>
      </c>
      <c r="AL33" s="781">
        <v>782.36661773000003</v>
      </c>
      <c r="AM33" s="781">
        <v>831.84474587</v>
      </c>
      <c r="AN33" s="781">
        <v>831.39432714999998</v>
      </c>
      <c r="AO33" s="781">
        <v>836.2945302600001</v>
      </c>
      <c r="AP33" s="781">
        <v>824.57153529999994</v>
      </c>
      <c r="AQ33" s="781">
        <v>856.21879180999997</v>
      </c>
      <c r="AR33" s="781">
        <v>801.15226325000003</v>
      </c>
      <c r="AS33" s="781">
        <v>811.94190049999997</v>
      </c>
      <c r="AT33" s="781">
        <f>AT25-AT29</f>
        <v>812.85265461000006</v>
      </c>
      <c r="AU33" s="781">
        <v>819.75163871999985</v>
      </c>
      <c r="AV33" s="781">
        <v>863.98747855000011</v>
      </c>
      <c r="AW33" s="781">
        <v>885.42314198000008</v>
      </c>
      <c r="AX33" s="781">
        <v>951.82311486999993</v>
      </c>
      <c r="AY33" s="781">
        <v>859.13836694999998</v>
      </c>
      <c r="AZ33" s="781">
        <v>819.35604609000006</v>
      </c>
      <c r="BA33" s="781">
        <v>805.79850012999998</v>
      </c>
      <c r="BB33" s="781">
        <v>650.12364509999998</v>
      </c>
      <c r="BC33" s="781">
        <v>678.73300078</v>
      </c>
      <c r="BD33" s="781">
        <v>715.83087914999999</v>
      </c>
      <c r="BE33" s="781">
        <v>713.04224857999998</v>
      </c>
      <c r="BF33" s="781">
        <v>710.44158555000013</v>
      </c>
      <c r="BG33" s="781">
        <v>708.82310015999997</v>
      </c>
      <c r="BH33" s="826">
        <v>710.9383580199999</v>
      </c>
      <c r="BI33" s="815">
        <v>768.59750729999996</v>
      </c>
      <c r="BJ33" s="815">
        <v>771.80810642000006</v>
      </c>
      <c r="BK33" s="815">
        <v>640.61861648000013</v>
      </c>
      <c r="BL33" s="815">
        <v>603.41923038000004</v>
      </c>
      <c r="BM33" s="815">
        <v>686.39619032000007</v>
      </c>
      <c r="BN33" s="815">
        <v>683.06366406000006</v>
      </c>
      <c r="BO33" s="815">
        <v>758.21543514999996</v>
      </c>
      <c r="BP33" s="815">
        <v>760.07384024999999</v>
      </c>
      <c r="BQ33" s="815">
        <v>760.65840066999999</v>
      </c>
      <c r="BR33" s="815">
        <v>850.25394935999975</v>
      </c>
      <c r="BS33" s="815">
        <v>838.15371690999984</v>
      </c>
      <c r="BT33" s="815">
        <v>901.9989608599999</v>
      </c>
      <c r="BU33" s="815">
        <v>904.15108866999992</v>
      </c>
      <c r="BV33" s="815">
        <v>890.08354010999983</v>
      </c>
      <c r="BW33" s="815">
        <v>875.72385336000025</v>
      </c>
      <c r="BX33" s="815">
        <v>855.65423541999996</v>
      </c>
      <c r="BY33" s="815">
        <v>781.55560539999999</v>
      </c>
      <c r="BZ33" s="815">
        <v>795.27390275000005</v>
      </c>
      <c r="CA33" s="815">
        <v>840.62183725999978</v>
      </c>
      <c r="CB33" s="815">
        <v>824.86112428000024</v>
      </c>
      <c r="CC33" s="815">
        <v>808.25454138999999</v>
      </c>
      <c r="CD33" s="815">
        <v>698.51604538000004</v>
      </c>
      <c r="CE33" s="815">
        <v>684.3108804200001</v>
      </c>
      <c r="CF33" s="815">
        <v>711.10854792999999</v>
      </c>
      <c r="CG33" s="815">
        <v>778.34466158999999</v>
      </c>
      <c r="CH33" s="815">
        <v>769.44872442999997</v>
      </c>
      <c r="CI33" s="815">
        <v>759.92220078999992</v>
      </c>
      <c r="CJ33" s="815">
        <v>754.9169876200001</v>
      </c>
      <c r="CK33" s="815">
        <v>690.53347557999996</v>
      </c>
      <c r="CL33" s="815">
        <v>607.26179989999991</v>
      </c>
      <c r="CM33" s="815">
        <v>564.89077235000002</v>
      </c>
      <c r="CN33" s="815">
        <v>565.7444770699999</v>
      </c>
      <c r="CO33" s="815">
        <v>546.30309978000003</v>
      </c>
      <c r="CP33" s="815">
        <v>529.44992890999993</v>
      </c>
      <c r="CQ33" s="815">
        <v>492.56102851999998</v>
      </c>
      <c r="CR33" s="815">
        <v>470.43318638999995</v>
      </c>
      <c r="CS33" s="815">
        <v>457.89501791999999</v>
      </c>
      <c r="CT33" s="815">
        <v>452.57781112999999</v>
      </c>
      <c r="CU33" s="815">
        <v>487.93808202999998</v>
      </c>
      <c r="CV33" s="815">
        <v>486.30827166</v>
      </c>
      <c r="CW33" s="815">
        <v>510.94734154000002</v>
      </c>
      <c r="CX33" s="815">
        <v>508.31543174000001</v>
      </c>
      <c r="CY33" s="815">
        <v>520.66348257000004</v>
      </c>
      <c r="CZ33" s="815">
        <v>510.79940757000003</v>
      </c>
      <c r="DA33" s="815">
        <v>503.53949589000001</v>
      </c>
      <c r="DB33" s="815">
        <v>502.98153617999998</v>
      </c>
      <c r="DC33" s="815">
        <v>501.75928626000001</v>
      </c>
      <c r="DD33" s="885">
        <v>484.31524658000001</v>
      </c>
      <c r="DE33" s="885">
        <v>480.70757036999998</v>
      </c>
      <c r="DF33" s="885">
        <v>498.03170886999999</v>
      </c>
      <c r="DG33" s="838">
        <v>493.5557192</v>
      </c>
      <c r="DH33" s="838">
        <v>500.91700245999999</v>
      </c>
      <c r="DI33" s="838">
        <v>492.04793394000001</v>
      </c>
      <c r="DJ33" s="838">
        <v>483.72988765000002</v>
      </c>
      <c r="DK33" s="838">
        <v>481.96876938999998</v>
      </c>
      <c r="DL33" s="838">
        <v>477.50350625999999</v>
      </c>
      <c r="DM33" s="838">
        <v>474.75834498</v>
      </c>
      <c r="DN33" s="838">
        <v>475.38482490000001</v>
      </c>
      <c r="DO33" s="838">
        <v>472.47733842999997</v>
      </c>
      <c r="DP33" s="838">
        <v>403.62620698000001</v>
      </c>
      <c r="DQ33" s="838">
        <v>382.10950130999998</v>
      </c>
      <c r="DR33" s="838">
        <v>379.08769992999999</v>
      </c>
      <c r="DS33" s="838">
        <v>382.44248845999999</v>
      </c>
      <c r="DT33" s="838">
        <v>418.61249709999998</v>
      </c>
      <c r="DU33" s="838">
        <v>418.09273772</v>
      </c>
      <c r="DV33" s="838">
        <v>416.2728189</v>
      </c>
      <c r="DW33" s="838">
        <v>584.26672356999995</v>
      </c>
      <c r="DX33" s="838">
        <v>578.236358</v>
      </c>
      <c r="DY33" s="838">
        <v>573.53079100000002</v>
      </c>
      <c r="DZ33" s="838">
        <v>603.99173496000003</v>
      </c>
      <c r="EA33" s="838">
        <v>826.04962197999998</v>
      </c>
      <c r="EB33" s="838">
        <v>825.29531951000001</v>
      </c>
      <c r="EC33" s="838">
        <v>829.96562782000001</v>
      </c>
      <c r="ED33" s="838">
        <v>830.81425308999997</v>
      </c>
      <c r="EE33" s="838">
        <v>836.92263582999999</v>
      </c>
      <c r="EF33" s="838">
        <v>829.52376977999995</v>
      </c>
      <c r="EG33" s="838">
        <v>819.83460656</v>
      </c>
      <c r="EH33" s="838">
        <v>826.72935372999996</v>
      </c>
      <c r="EI33" s="838">
        <v>839.80497803000003</v>
      </c>
      <c r="EJ33" s="838">
        <v>833.18497248999995</v>
      </c>
      <c r="EK33" s="838">
        <v>822.61862680000002</v>
      </c>
      <c r="EL33" s="838">
        <v>857.06846639000003</v>
      </c>
      <c r="EM33" s="838">
        <v>940.93104627000002</v>
      </c>
      <c r="EN33" s="838">
        <v>932.71891491999997</v>
      </c>
      <c r="EO33" s="838">
        <v>916.13762360999999</v>
      </c>
      <c r="EP33" s="838">
        <v>897.83371133000003</v>
      </c>
      <c r="EQ33" s="838">
        <v>875.71281604000001</v>
      </c>
      <c r="ER33" s="838">
        <v>876.15780238000002</v>
      </c>
      <c r="ES33" s="838">
        <v>875.67483139000001</v>
      </c>
      <c r="ET33" s="838">
        <v>887.53124678999995</v>
      </c>
      <c r="EU33" s="838">
        <v>882.26424906</v>
      </c>
      <c r="EV33" s="838">
        <v>882.89020119999998</v>
      </c>
      <c r="EW33" s="838">
        <v>878.65058404000001</v>
      </c>
      <c r="EX33" s="838">
        <v>874.25009924999995</v>
      </c>
      <c r="EY33" s="838">
        <v>722.13425923</v>
      </c>
      <c r="EZ33" s="838">
        <v>717.39690279000001</v>
      </c>
      <c r="FA33" s="838">
        <v>746.01235084999996</v>
      </c>
      <c r="FB33" s="838">
        <v>710.64729852000005</v>
      </c>
      <c r="FC33" s="838">
        <v>705.35677650000002</v>
      </c>
      <c r="FD33" s="838">
        <v>721.58049337</v>
      </c>
      <c r="FE33" s="838">
        <v>732.25624659000005</v>
      </c>
      <c r="FF33" s="838">
        <v>800.97687394000002</v>
      </c>
      <c r="FG33" s="838">
        <v>1046.4352074799999</v>
      </c>
      <c r="FH33" s="1714" t="s">
        <v>4068</v>
      </c>
      <c r="FM33" s="321"/>
    </row>
    <row r="34" spans="1:169" ht="21">
      <c r="A34" s="1745" t="s">
        <v>1961</v>
      </c>
      <c r="B34" s="783">
        <v>44.351076380000002</v>
      </c>
      <c r="C34" s="783">
        <v>44.98077498</v>
      </c>
      <c r="D34" s="783">
        <v>46.898669220000002</v>
      </c>
      <c r="E34" s="783">
        <v>47.406769969999999</v>
      </c>
      <c r="F34" s="783">
        <v>47.929301009999996</v>
      </c>
      <c r="G34" s="783">
        <v>57.831164450000003</v>
      </c>
      <c r="H34" s="783">
        <v>58.798633380000005</v>
      </c>
      <c r="I34" s="783">
        <v>61.928424579999998</v>
      </c>
      <c r="J34" s="783">
        <v>65.868037459999996</v>
      </c>
      <c r="K34" s="783">
        <v>65.868037459999996</v>
      </c>
      <c r="L34" s="783">
        <v>65.859641280000005</v>
      </c>
      <c r="M34" s="784">
        <v>69.583951939999992</v>
      </c>
      <c r="N34" s="784">
        <v>69.604394389999996</v>
      </c>
      <c r="O34" s="784">
        <v>69.794714089999999</v>
      </c>
      <c r="P34" s="784">
        <v>74.385422019999993</v>
      </c>
      <c r="Q34" s="784">
        <v>74.385422019999993</v>
      </c>
      <c r="R34" s="784">
        <v>75.963706329999994</v>
      </c>
      <c r="S34" s="784">
        <v>78.750486760000001</v>
      </c>
      <c r="T34" s="784">
        <v>78.740445900000012</v>
      </c>
      <c r="U34" s="784">
        <v>78.760527629999999</v>
      </c>
      <c r="V34" s="784">
        <v>83.990007900000009</v>
      </c>
      <c r="W34" s="784">
        <v>83.970638010000002</v>
      </c>
      <c r="X34" s="784">
        <v>84.434809069999986</v>
      </c>
      <c r="Y34" s="784">
        <v>86.788044370000009</v>
      </c>
      <c r="Z34" s="784">
        <v>86.788044370000009</v>
      </c>
      <c r="AA34" s="784">
        <v>114.13557231999999</v>
      </c>
      <c r="AB34" s="784">
        <v>113.99423470000001</v>
      </c>
      <c r="AC34" s="784">
        <v>114.01597895</v>
      </c>
      <c r="AD34" s="784">
        <v>129.83308381999998</v>
      </c>
      <c r="AE34" s="784">
        <v>385.72698618999999</v>
      </c>
      <c r="AF34" s="784">
        <v>129.24006750000001</v>
      </c>
      <c r="AG34" s="784">
        <v>205.17235396999999</v>
      </c>
      <c r="AH34" s="784">
        <v>202.43088143</v>
      </c>
      <c r="AI34" s="784">
        <v>255.33731578000001</v>
      </c>
      <c r="AJ34" s="784">
        <v>251.76914201</v>
      </c>
      <c r="AK34" s="784">
        <v>371.04246932999996</v>
      </c>
      <c r="AL34" s="784">
        <v>380.80116280999999</v>
      </c>
      <c r="AM34" s="784">
        <v>447.7599189</v>
      </c>
      <c r="AN34" s="784">
        <v>415.57689393999999</v>
      </c>
      <c r="AO34" s="784">
        <v>434.09647379</v>
      </c>
      <c r="AP34" s="784">
        <v>423.10458851999999</v>
      </c>
      <c r="AQ34" s="784">
        <v>436.9563958</v>
      </c>
      <c r="AR34" s="784">
        <v>447.44437574</v>
      </c>
      <c r="AS34" s="784">
        <v>449.80061606999999</v>
      </c>
      <c r="AT34" s="784">
        <f>AT26-AT30</f>
        <v>454.96574151999999</v>
      </c>
      <c r="AU34" s="784">
        <v>459.70583689</v>
      </c>
      <c r="AV34" s="784">
        <v>483.93744176000001</v>
      </c>
      <c r="AW34" s="784">
        <v>491.69259007000011</v>
      </c>
      <c r="AX34" s="784">
        <v>530.55565805000003</v>
      </c>
      <c r="AY34" s="784">
        <v>476.17355031</v>
      </c>
      <c r="AZ34" s="784">
        <v>460.88737323000004</v>
      </c>
      <c r="BA34" s="784">
        <v>454.64935580999997</v>
      </c>
      <c r="BB34" s="784">
        <v>300.97307435000005</v>
      </c>
      <c r="BC34" s="784">
        <v>243.71526799</v>
      </c>
      <c r="BD34" s="784">
        <v>348.23610764</v>
      </c>
      <c r="BE34" s="784">
        <v>347.29407342000002</v>
      </c>
      <c r="BF34" s="784">
        <v>346.19877923000001</v>
      </c>
      <c r="BG34" s="784">
        <v>344.1031086000001</v>
      </c>
      <c r="BH34" s="827">
        <v>342.64544057000001</v>
      </c>
      <c r="BI34" s="816">
        <v>372.35748639999997</v>
      </c>
      <c r="BJ34" s="816">
        <v>371.42042479000003</v>
      </c>
      <c r="BK34" s="816">
        <v>241.43456436</v>
      </c>
      <c r="BL34" s="816">
        <v>240.40026843999996</v>
      </c>
      <c r="BM34" s="816">
        <v>238.05498284000001</v>
      </c>
      <c r="BN34" s="816">
        <v>148.52572879000002</v>
      </c>
      <c r="BO34" s="816">
        <v>258.64108974999999</v>
      </c>
      <c r="BP34" s="816">
        <v>257.41073377000004</v>
      </c>
      <c r="BQ34" s="816">
        <v>256.71947738</v>
      </c>
      <c r="BR34" s="816">
        <v>256.01160199999998</v>
      </c>
      <c r="BS34" s="816">
        <v>257.77654971999999</v>
      </c>
      <c r="BT34" s="816">
        <v>333.35379406999999</v>
      </c>
      <c r="BU34" s="816">
        <v>348.98057759</v>
      </c>
      <c r="BV34" s="816">
        <v>347.94654300000002</v>
      </c>
      <c r="BW34" s="816">
        <v>348.83968499000002</v>
      </c>
      <c r="BX34" s="816">
        <v>348.44533944</v>
      </c>
      <c r="BY34" s="816">
        <v>298.11422826</v>
      </c>
      <c r="BZ34" s="816">
        <v>300.59009393000002</v>
      </c>
      <c r="CA34" s="816">
        <v>300.22459837999997</v>
      </c>
      <c r="CB34" s="816">
        <v>297.65051233999998</v>
      </c>
      <c r="CC34" s="816">
        <v>295.04521125000002</v>
      </c>
      <c r="CD34" s="816">
        <v>173.06518588999998</v>
      </c>
      <c r="CE34" s="816">
        <v>171.22635199000001</v>
      </c>
      <c r="CF34" s="816">
        <v>158.43023855000001</v>
      </c>
      <c r="CG34" s="816">
        <v>171.37368419000001</v>
      </c>
      <c r="CH34" s="816">
        <v>164.03081696999999</v>
      </c>
      <c r="CI34" s="816">
        <v>165.70191641</v>
      </c>
      <c r="CJ34" s="816">
        <v>163.45539134999999</v>
      </c>
      <c r="CK34" s="816">
        <v>159.91372412000001</v>
      </c>
      <c r="CL34" s="816">
        <v>102.17077334999999</v>
      </c>
      <c r="CM34" s="816">
        <v>86.181509469999995</v>
      </c>
      <c r="CN34" s="816">
        <v>86.1815</v>
      </c>
      <c r="CO34" s="816">
        <v>86.1815</v>
      </c>
      <c r="CP34" s="816">
        <v>84.529478170000004</v>
      </c>
      <c r="CQ34" s="816">
        <v>81.205169680000012</v>
      </c>
      <c r="CR34" s="816">
        <v>84.522327829999995</v>
      </c>
      <c r="CS34" s="816">
        <v>74.674199999999999</v>
      </c>
      <c r="CT34" s="816">
        <v>81.540099999999995</v>
      </c>
      <c r="CU34" s="816">
        <v>80.181191819999995</v>
      </c>
      <c r="CV34" s="816">
        <v>81.349869560000002</v>
      </c>
      <c r="CW34" s="816">
        <v>80.31529012</v>
      </c>
      <c r="CX34" s="816">
        <v>74.381061720000005</v>
      </c>
      <c r="CY34" s="816">
        <v>88.734720330000002</v>
      </c>
      <c r="CZ34" s="816">
        <v>87.303745239999998</v>
      </c>
      <c r="DA34" s="816">
        <v>85.861556239999999</v>
      </c>
      <c r="DB34" s="816">
        <v>84.391435180000002</v>
      </c>
      <c r="DC34" s="816">
        <v>83.003384109999999</v>
      </c>
      <c r="DD34" s="886">
        <v>71.903199999999998</v>
      </c>
      <c r="DE34" s="886">
        <v>71.903199999999998</v>
      </c>
      <c r="DF34" s="886">
        <v>71.903199999999998</v>
      </c>
      <c r="DG34" s="839">
        <v>71.903199999999998</v>
      </c>
      <c r="DH34" s="839">
        <v>71.903199999999998</v>
      </c>
      <c r="DI34" s="839">
        <v>71.903199999999998</v>
      </c>
      <c r="DJ34" s="839">
        <v>71.903199999999998</v>
      </c>
      <c r="DK34" s="839">
        <v>71.903199999999998</v>
      </c>
      <c r="DL34" s="839">
        <v>71.903199999999998</v>
      </c>
      <c r="DM34" s="839">
        <v>71.903199999999998</v>
      </c>
      <c r="DN34" s="839">
        <v>71.903199999999998</v>
      </c>
      <c r="DO34" s="839">
        <v>71.903199999999998</v>
      </c>
      <c r="DP34" s="839">
        <v>66.293199999999999</v>
      </c>
      <c r="DQ34" s="839">
        <v>27.2</v>
      </c>
      <c r="DR34" s="839">
        <v>27.2</v>
      </c>
      <c r="DS34" s="839">
        <v>27.2</v>
      </c>
      <c r="DT34" s="839">
        <v>27.2</v>
      </c>
      <c r="DU34" s="839">
        <v>27.2</v>
      </c>
      <c r="DV34" s="839">
        <v>27.2</v>
      </c>
      <c r="DW34" s="839">
        <v>27.2</v>
      </c>
      <c r="DX34" s="839">
        <v>27.2</v>
      </c>
      <c r="DY34" s="839">
        <v>27.2</v>
      </c>
      <c r="DZ34" s="839">
        <v>25.5</v>
      </c>
      <c r="EA34" s="839">
        <v>258.39999999999998</v>
      </c>
      <c r="EB34" s="839">
        <v>258.39999999999998</v>
      </c>
      <c r="EC34" s="839">
        <v>232.9</v>
      </c>
      <c r="ED34" s="839">
        <v>227.07749999999999</v>
      </c>
      <c r="EE34" s="839">
        <v>227.07749999999999</v>
      </c>
      <c r="EF34" s="839">
        <v>227.07749999999999</v>
      </c>
      <c r="EG34" s="839">
        <v>221.255</v>
      </c>
      <c r="EH34" s="839">
        <v>221.255</v>
      </c>
      <c r="EI34" s="839">
        <v>221.255</v>
      </c>
      <c r="EJ34" s="839">
        <v>215.4325</v>
      </c>
      <c r="EK34" s="839">
        <v>215.4325</v>
      </c>
      <c r="EL34" s="839">
        <v>262.52249999999998</v>
      </c>
      <c r="EM34" s="839">
        <v>334.9</v>
      </c>
      <c r="EN34" s="839">
        <v>334.9</v>
      </c>
      <c r="EO34" s="839">
        <v>334.9</v>
      </c>
      <c r="EP34" s="839">
        <v>329.07749999999999</v>
      </c>
      <c r="EQ34" s="839">
        <v>329.07749999999999</v>
      </c>
      <c r="ER34" s="839">
        <v>329.07749999999999</v>
      </c>
      <c r="ES34" s="839">
        <v>323.255</v>
      </c>
      <c r="ET34" s="839">
        <v>323.255</v>
      </c>
      <c r="EU34" s="839">
        <v>323.255</v>
      </c>
      <c r="EV34" s="839">
        <v>317.4325</v>
      </c>
      <c r="EW34" s="839">
        <v>317.4325</v>
      </c>
      <c r="EX34" s="839">
        <v>317.4325</v>
      </c>
      <c r="EY34" s="839">
        <v>311.28774155999997</v>
      </c>
      <c r="EZ34" s="839">
        <v>310.93258592000001</v>
      </c>
      <c r="FA34" s="839">
        <v>343.82660862</v>
      </c>
      <c r="FB34" s="839">
        <v>336.77880372999999</v>
      </c>
      <c r="FC34" s="839">
        <v>335.50244457000002</v>
      </c>
      <c r="FD34" s="839">
        <v>334.28419722000001</v>
      </c>
      <c r="FE34" s="839">
        <v>327.22311227</v>
      </c>
      <c r="FF34" s="839">
        <v>325.94774175999999</v>
      </c>
      <c r="FG34" s="839">
        <v>494.68021270999998</v>
      </c>
      <c r="FH34" s="1716" t="s">
        <v>4067</v>
      </c>
      <c r="FM34" s="321"/>
    </row>
    <row r="35" spans="1:169" ht="21">
      <c r="A35" s="1747" t="s">
        <v>1962</v>
      </c>
      <c r="B35" s="808">
        <f>+B33-B34</f>
        <v>168.54063589999998</v>
      </c>
      <c r="C35" s="808">
        <f t="shared" ref="C35:V35" si="12">+C33-C34</f>
        <v>167.66636573000002</v>
      </c>
      <c r="D35" s="808">
        <f t="shared" si="12"/>
        <v>167.21873489999996</v>
      </c>
      <c r="E35" s="808">
        <f t="shared" si="12"/>
        <v>167.64034357</v>
      </c>
      <c r="F35" s="808">
        <f t="shared" si="12"/>
        <v>165.55423764000003</v>
      </c>
      <c r="G35" s="808">
        <f t="shared" si="12"/>
        <v>155.42720623000002</v>
      </c>
      <c r="H35" s="808">
        <f t="shared" si="12"/>
        <v>170.76450991000002</v>
      </c>
      <c r="I35" s="808">
        <f t="shared" si="12"/>
        <v>171.31516339999996</v>
      </c>
      <c r="J35" s="808">
        <f t="shared" si="12"/>
        <v>170.68829817</v>
      </c>
      <c r="K35" s="808">
        <f t="shared" si="12"/>
        <v>170.94887985999998</v>
      </c>
      <c r="L35" s="808">
        <f t="shared" si="12"/>
        <v>170.27260652999999</v>
      </c>
      <c r="M35" s="787">
        <f t="shared" si="12"/>
        <v>179.01724625</v>
      </c>
      <c r="N35" s="794">
        <f t="shared" si="12"/>
        <v>177.56097715999999</v>
      </c>
      <c r="O35" s="794">
        <f t="shared" si="12"/>
        <v>179.80127341000002</v>
      </c>
      <c r="P35" s="794">
        <f t="shared" si="12"/>
        <v>172.62172106</v>
      </c>
      <c r="Q35" s="794">
        <f t="shared" si="12"/>
        <v>172.12564327999999</v>
      </c>
      <c r="R35" s="794">
        <f t="shared" si="12"/>
        <v>146.42315171000001</v>
      </c>
      <c r="S35" s="794">
        <f t="shared" si="12"/>
        <v>144.42079332</v>
      </c>
      <c r="T35" s="794">
        <f t="shared" si="12"/>
        <v>143.18983281999999</v>
      </c>
      <c r="U35" s="794">
        <f t="shared" si="12"/>
        <v>143.44788045000001</v>
      </c>
      <c r="V35" s="794">
        <f t="shared" si="12"/>
        <v>183.98771522999999</v>
      </c>
      <c r="W35" s="794">
        <v>183.25630961000002</v>
      </c>
      <c r="X35" s="794">
        <v>183.06248099000004</v>
      </c>
      <c r="Y35" s="787">
        <v>194.8549074</v>
      </c>
      <c r="Z35" s="794">
        <v>197.28049776</v>
      </c>
      <c r="AA35" s="794">
        <v>235.25159019</v>
      </c>
      <c r="AB35" s="787">
        <f>+AB33-AB34</f>
        <v>255.17575965999998</v>
      </c>
      <c r="AC35" s="787">
        <v>256.00913084000001</v>
      </c>
      <c r="AD35" s="787">
        <v>251.24245033999998</v>
      </c>
      <c r="AE35" s="787">
        <v>0</v>
      </c>
      <c r="AF35" s="787">
        <v>257.85593022</v>
      </c>
      <c r="AG35" s="787">
        <v>255.36701404999999</v>
      </c>
      <c r="AH35" s="787">
        <f>+AH33-AH34</f>
        <v>275.31603860000001</v>
      </c>
      <c r="AI35" s="787">
        <v>274.96911593999994</v>
      </c>
      <c r="AJ35" s="787">
        <f>+AJ33-AJ34</f>
        <v>263.51675205000004</v>
      </c>
      <c r="AK35" s="787">
        <f>+AK33-AK34</f>
        <v>393.34780655000003</v>
      </c>
      <c r="AL35" s="787">
        <v>401.56545492000004</v>
      </c>
      <c r="AM35" s="787">
        <f>+AM33-AM34</f>
        <v>384.08482696999999</v>
      </c>
      <c r="AN35" s="787">
        <f>+AN33-AN34</f>
        <v>415.81743320999999</v>
      </c>
      <c r="AO35" s="787">
        <f>+AO33-AO34</f>
        <v>402.1980564700001</v>
      </c>
      <c r="AP35" s="787">
        <f>+AP33-AP34</f>
        <v>401.46694677999994</v>
      </c>
      <c r="AQ35" s="787">
        <v>419.26239600999997</v>
      </c>
      <c r="AR35" s="787">
        <f>+AR33-AR34</f>
        <v>353.70788751000003</v>
      </c>
      <c r="AS35" s="787">
        <v>362.14128442999998</v>
      </c>
      <c r="AT35" s="787">
        <f>AT27-AT31</f>
        <v>357.88691309000006</v>
      </c>
      <c r="AU35" s="787">
        <v>360.04580182999996</v>
      </c>
      <c r="AV35" s="787">
        <v>380.05003679000009</v>
      </c>
      <c r="AW35" s="787">
        <v>393.73055191000014</v>
      </c>
      <c r="AX35" s="787">
        <v>421.26745682000012</v>
      </c>
      <c r="AY35" s="787">
        <v>382.96481663999998</v>
      </c>
      <c r="AZ35" s="787">
        <v>358.46867286000003</v>
      </c>
      <c r="BA35" s="787">
        <v>351.14914432</v>
      </c>
      <c r="BB35" s="787">
        <v>349.15057074999993</v>
      </c>
      <c r="BC35" s="787">
        <v>435.01773278999997</v>
      </c>
      <c r="BD35" s="787">
        <f>+BD33-BD34</f>
        <v>367.59477150999999</v>
      </c>
      <c r="BE35" s="787">
        <v>365.74817515999996</v>
      </c>
      <c r="BF35" s="787">
        <v>364.24280632000011</v>
      </c>
      <c r="BG35" s="787">
        <v>364.71999155999987</v>
      </c>
      <c r="BH35" s="828">
        <v>368.29291744999989</v>
      </c>
      <c r="BI35" s="818">
        <v>396.24002089999999</v>
      </c>
      <c r="BJ35" s="818">
        <v>400.38768163000003</v>
      </c>
      <c r="BK35" s="818">
        <v>399.18405212000016</v>
      </c>
      <c r="BL35" s="818">
        <v>363.01896194000005</v>
      </c>
      <c r="BM35" s="818">
        <v>448.34120748000009</v>
      </c>
      <c r="BN35" s="818">
        <v>534.53793527000005</v>
      </c>
      <c r="BO35" s="818">
        <v>499.57434539999997</v>
      </c>
      <c r="BP35" s="818">
        <v>502.66310647999995</v>
      </c>
      <c r="BQ35" s="818">
        <v>503.93892328999999</v>
      </c>
      <c r="BR35" s="818">
        <v>594.24234735999971</v>
      </c>
      <c r="BS35" s="818">
        <v>580.37716718999991</v>
      </c>
      <c r="BT35" s="818">
        <v>568.64516678999985</v>
      </c>
      <c r="BU35" s="818">
        <v>555.17051107999987</v>
      </c>
      <c r="BV35" s="818">
        <v>542.13699710999981</v>
      </c>
      <c r="BW35" s="818">
        <v>526.88416837000022</v>
      </c>
      <c r="BX35" s="818">
        <v>507.20889597999997</v>
      </c>
      <c r="BY35" s="818">
        <v>483.44137713999999</v>
      </c>
      <c r="BZ35" s="818">
        <v>494.68380882000002</v>
      </c>
      <c r="CA35" s="818">
        <v>540.3972388799998</v>
      </c>
      <c r="CB35" s="818">
        <v>527.21061194000026</v>
      </c>
      <c r="CC35" s="818">
        <v>513.20933014000002</v>
      </c>
      <c r="CD35" s="818">
        <v>525.45085949000008</v>
      </c>
      <c r="CE35" s="818">
        <f t="shared" ref="CE35:CP35" si="13">+CE33-CE34</f>
        <v>513.08452843000009</v>
      </c>
      <c r="CF35" s="818">
        <f t="shared" si="13"/>
        <v>552.67830937999997</v>
      </c>
      <c r="CG35" s="818">
        <f t="shared" si="13"/>
        <v>606.97097740000004</v>
      </c>
      <c r="CH35" s="818">
        <f t="shared" si="13"/>
        <v>605.41790745999992</v>
      </c>
      <c r="CI35" s="818">
        <f t="shared" si="13"/>
        <v>594.22028437999995</v>
      </c>
      <c r="CJ35" s="818">
        <f t="shared" si="13"/>
        <v>591.46159627000009</v>
      </c>
      <c r="CK35" s="818">
        <f t="shared" si="13"/>
        <v>530.61975145999997</v>
      </c>
      <c r="CL35" s="818">
        <f t="shared" si="13"/>
        <v>505.09102654999992</v>
      </c>
      <c r="CM35" s="818">
        <f t="shared" si="13"/>
        <v>478.70926288000004</v>
      </c>
      <c r="CN35" s="818">
        <f t="shared" si="13"/>
        <v>479.56297706999987</v>
      </c>
      <c r="CO35" s="818">
        <f t="shared" si="13"/>
        <v>460.12159978</v>
      </c>
      <c r="CP35" s="818">
        <f t="shared" si="13"/>
        <v>444.92045073999992</v>
      </c>
      <c r="CQ35" s="818">
        <f>+CQ33-CQ34</f>
        <v>411.35585884</v>
      </c>
      <c r="CR35" s="818">
        <f>+CR33-CR34</f>
        <v>385.91085855999995</v>
      </c>
      <c r="CS35" s="818">
        <v>383.22081792</v>
      </c>
      <c r="CT35" s="818">
        <v>371.03771112999999</v>
      </c>
      <c r="CU35" s="818">
        <v>407.75689020999999</v>
      </c>
      <c r="CV35" s="818">
        <v>404.9584021</v>
      </c>
      <c r="CW35" s="818">
        <v>430.63205141999998</v>
      </c>
      <c r="CX35" s="818">
        <v>433.93437002000002</v>
      </c>
      <c r="CY35" s="818">
        <v>431.92876224000003</v>
      </c>
      <c r="CZ35" s="818">
        <v>423.49566233000002</v>
      </c>
      <c r="DA35" s="818">
        <v>417.67793964999998</v>
      </c>
      <c r="DB35" s="818">
        <v>418.590101</v>
      </c>
      <c r="DC35" s="818">
        <v>418.75590215</v>
      </c>
      <c r="DD35" s="887">
        <v>412.41204657999998</v>
      </c>
      <c r="DE35" s="887">
        <v>408.80437037000002</v>
      </c>
      <c r="DF35" s="887">
        <v>426.12850887000002</v>
      </c>
      <c r="DG35" s="840">
        <v>421.65251919999997</v>
      </c>
      <c r="DH35" s="840">
        <v>429.01380246000002</v>
      </c>
      <c r="DI35" s="840">
        <v>420.14473393999998</v>
      </c>
      <c r="DJ35" s="840">
        <v>411.82668765</v>
      </c>
      <c r="DK35" s="840">
        <v>410.06556939000001</v>
      </c>
      <c r="DL35" s="840">
        <v>405.60030626000002</v>
      </c>
      <c r="DM35" s="840">
        <v>402.85514497999998</v>
      </c>
      <c r="DN35" s="840">
        <v>403.48162489999999</v>
      </c>
      <c r="DO35" s="840">
        <v>400.57413843</v>
      </c>
      <c r="DP35" s="840">
        <v>337.33300697999999</v>
      </c>
      <c r="DQ35" s="840">
        <v>354.90950131</v>
      </c>
      <c r="DR35" s="840">
        <v>351.88769993</v>
      </c>
      <c r="DS35" s="840">
        <v>355.24248846</v>
      </c>
      <c r="DT35" s="840">
        <v>391.4124971</v>
      </c>
      <c r="DU35" s="840">
        <v>390.89273772000001</v>
      </c>
      <c r="DV35" s="840">
        <v>389.07281890000002</v>
      </c>
      <c r="DW35" s="840">
        <v>557.06672357000002</v>
      </c>
      <c r="DX35" s="840">
        <v>551.03635799999995</v>
      </c>
      <c r="DY35" s="840">
        <v>546.33079099999998</v>
      </c>
      <c r="DZ35" s="840">
        <v>578.49173496000003</v>
      </c>
      <c r="EA35" s="840">
        <v>567.64962198000001</v>
      </c>
      <c r="EB35" s="840">
        <v>566.89531951000004</v>
      </c>
      <c r="EC35" s="840">
        <v>597.06562782000003</v>
      </c>
      <c r="ED35" s="840">
        <v>603.73675308999998</v>
      </c>
      <c r="EE35" s="840">
        <v>609.84513583</v>
      </c>
      <c r="EF35" s="840">
        <v>602.44626977999997</v>
      </c>
      <c r="EG35" s="840">
        <v>598.57960656</v>
      </c>
      <c r="EH35" s="840">
        <v>605.47435372999996</v>
      </c>
      <c r="EI35" s="840">
        <v>618.54997803000003</v>
      </c>
      <c r="EJ35" s="840">
        <v>617.75247248999995</v>
      </c>
      <c r="EK35" s="840">
        <v>607.18612680000001</v>
      </c>
      <c r="EL35" s="840">
        <v>594.54596638999999</v>
      </c>
      <c r="EM35" s="840">
        <v>606.03104627000005</v>
      </c>
      <c r="EN35" s="840">
        <v>597.81891492</v>
      </c>
      <c r="EO35" s="840">
        <v>581.23762361000001</v>
      </c>
      <c r="EP35" s="840">
        <v>568.75621133000004</v>
      </c>
      <c r="EQ35" s="840">
        <v>546.63531604000002</v>
      </c>
      <c r="ER35" s="840">
        <v>547.08030238000003</v>
      </c>
      <c r="ES35" s="840">
        <v>552.41983139000001</v>
      </c>
      <c r="ET35" s="840">
        <v>564.27624678999996</v>
      </c>
      <c r="EU35" s="840">
        <v>559.00924906</v>
      </c>
      <c r="EV35" s="840">
        <v>565.45770119999997</v>
      </c>
      <c r="EW35" s="840">
        <v>561.21808404000001</v>
      </c>
      <c r="EX35" s="840">
        <v>556.81759924999994</v>
      </c>
      <c r="EY35" s="840">
        <v>410.84651767000003</v>
      </c>
      <c r="EZ35" s="840">
        <v>406.46431687</v>
      </c>
      <c r="FA35" s="840">
        <v>402.18574223000002</v>
      </c>
      <c r="FB35" s="840">
        <v>373.86849479</v>
      </c>
      <c r="FC35" s="840">
        <v>369.85433193</v>
      </c>
      <c r="FD35" s="840">
        <v>387.29629614999999</v>
      </c>
      <c r="FE35" s="840">
        <v>405.03313431999999</v>
      </c>
      <c r="FF35" s="840">
        <v>475.02913217999998</v>
      </c>
      <c r="FG35" s="840">
        <v>551.75499477000005</v>
      </c>
      <c r="FH35" s="1717" t="s">
        <v>4066</v>
      </c>
      <c r="FM35" s="321"/>
    </row>
    <row r="36" spans="1:169" s="736" customFormat="1" ht="39" customHeight="1">
      <c r="A36" s="2306" t="s">
        <v>3278</v>
      </c>
      <c r="B36" s="2306"/>
      <c r="C36" s="2306"/>
      <c r="D36" s="2306"/>
      <c r="E36" s="2306"/>
      <c r="F36" s="2306"/>
      <c r="G36" s="2306"/>
      <c r="H36" s="2306"/>
      <c r="I36" s="2306"/>
      <c r="J36" s="2306"/>
      <c r="K36" s="2306"/>
      <c r="L36" s="2306"/>
      <c r="M36" s="2306"/>
      <c r="N36" s="2306"/>
      <c r="O36" s="2306"/>
      <c r="P36" s="2306"/>
      <c r="Q36" s="2306"/>
      <c r="R36" s="2306"/>
      <c r="S36" s="2306"/>
      <c r="T36" s="2306"/>
      <c r="U36" s="2306"/>
      <c r="V36" s="2306"/>
      <c r="W36" s="2306"/>
      <c r="X36" s="2306"/>
      <c r="Y36" s="2306"/>
      <c r="Z36" s="2306"/>
      <c r="AA36" s="2306"/>
      <c r="AB36" s="2306"/>
      <c r="AC36" s="2306"/>
      <c r="AD36" s="2306"/>
      <c r="AE36" s="2306"/>
      <c r="AF36" s="2306"/>
      <c r="AG36" s="2306"/>
      <c r="AH36" s="2306"/>
      <c r="AI36" s="2306"/>
      <c r="AJ36" s="2306"/>
      <c r="AK36" s="2306"/>
      <c r="AL36" s="2306"/>
      <c r="AM36" s="2306"/>
      <c r="AN36" s="2306"/>
      <c r="AO36" s="2306"/>
      <c r="AP36" s="2306"/>
      <c r="AQ36" s="2306"/>
      <c r="AR36" s="2306"/>
      <c r="AS36" s="2306"/>
      <c r="AT36" s="2306"/>
      <c r="AU36" s="2306"/>
      <c r="AV36" s="2306"/>
      <c r="AW36" s="2306"/>
      <c r="AX36" s="2306"/>
      <c r="AY36" s="2306"/>
      <c r="AZ36" s="2306"/>
      <c r="BA36" s="2306"/>
      <c r="BB36" s="2306"/>
      <c r="BC36" s="2306"/>
      <c r="BD36" s="2306"/>
      <c r="BE36" s="2306"/>
      <c r="BF36" s="2306"/>
      <c r="BG36" s="2306"/>
      <c r="BH36" s="2306"/>
      <c r="BI36" s="2306"/>
      <c r="BJ36" s="2306"/>
      <c r="BK36" s="2306"/>
      <c r="BL36" s="2306"/>
      <c r="BM36" s="2306"/>
      <c r="BN36" s="2306"/>
      <c r="BO36" s="2306"/>
      <c r="BP36" s="2306"/>
      <c r="BQ36" s="2306"/>
      <c r="BR36" s="2306"/>
      <c r="BS36" s="2306"/>
      <c r="BT36" s="2306"/>
      <c r="BU36" s="2306"/>
      <c r="BV36" s="2306"/>
      <c r="BW36" s="2306"/>
      <c r="BX36" s="2306"/>
      <c r="BY36" s="2306"/>
      <c r="BZ36" s="2306"/>
      <c r="CA36" s="2306"/>
      <c r="CB36" s="2306"/>
      <c r="CC36" s="2306"/>
      <c r="CD36" s="2306"/>
      <c r="CE36" s="2306"/>
      <c r="CF36" s="2306"/>
      <c r="CG36" s="2306"/>
      <c r="CH36" s="2306"/>
      <c r="CI36" s="2306"/>
      <c r="CJ36" s="2306"/>
      <c r="CK36" s="2306"/>
      <c r="CL36" s="2306"/>
      <c r="CM36" s="2306"/>
      <c r="CN36" s="2306"/>
      <c r="CO36" s="2306"/>
      <c r="CP36" s="2306"/>
      <c r="CQ36" s="2306"/>
      <c r="CR36" s="2306"/>
      <c r="CS36" s="2306"/>
      <c r="CT36" s="2306"/>
      <c r="CU36" s="2306"/>
      <c r="CV36" s="2306"/>
      <c r="CW36" s="2306"/>
      <c r="CX36" s="2306"/>
      <c r="CY36" s="2306"/>
      <c r="CZ36" s="2306"/>
      <c r="DA36" s="2306"/>
      <c r="DB36" s="2306"/>
      <c r="DC36" s="2306"/>
      <c r="DD36" s="2306"/>
      <c r="DE36" s="2306"/>
      <c r="DF36" s="2306"/>
      <c r="DG36" s="2306"/>
      <c r="DH36" s="2306"/>
      <c r="DI36" s="2306"/>
      <c r="DJ36" s="2306"/>
      <c r="DK36" s="2306"/>
      <c r="DL36" s="2306"/>
      <c r="DM36" s="2306"/>
      <c r="DN36" s="2306"/>
      <c r="DO36" s="2306"/>
      <c r="DP36" s="2306"/>
      <c r="DQ36" s="2306"/>
      <c r="DR36" s="2306"/>
      <c r="DS36" s="2306"/>
      <c r="DT36" s="2306"/>
      <c r="DU36" s="2306"/>
      <c r="DV36" s="2306"/>
      <c r="DW36" s="2306"/>
      <c r="DX36" s="2306"/>
      <c r="DY36" s="2306"/>
      <c r="DZ36" s="2306"/>
      <c r="EA36" s="2307"/>
      <c r="EB36" s="2307"/>
      <c r="EC36" s="2307"/>
      <c r="ED36" s="2307"/>
      <c r="EE36" s="2307"/>
      <c r="EF36" s="2307"/>
      <c r="EG36" s="2307"/>
      <c r="EH36" s="2307"/>
      <c r="EI36" s="2307"/>
      <c r="EJ36" s="2307"/>
      <c r="EK36" s="2307"/>
      <c r="EL36" s="2307"/>
      <c r="EM36" s="2307"/>
      <c r="EN36" s="2307"/>
      <c r="EO36" s="2307"/>
      <c r="EP36" s="2307"/>
      <c r="EQ36" s="2307"/>
      <c r="ER36" s="2307"/>
      <c r="ES36" s="2307"/>
      <c r="ET36" s="2307"/>
      <c r="EU36" s="2307"/>
      <c r="EV36" s="2307"/>
      <c r="EW36" s="2307"/>
      <c r="EX36" s="2307"/>
      <c r="EY36" s="2307"/>
      <c r="EZ36" s="2307"/>
      <c r="FA36" s="2307"/>
      <c r="FB36" s="2307"/>
      <c r="FC36" s="2307"/>
      <c r="FD36" s="2307"/>
      <c r="FE36" s="2307"/>
      <c r="FF36" s="2307"/>
      <c r="FG36" s="2306"/>
    </row>
    <row r="37" spans="1:169" ht="18">
      <c r="A37" s="759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T37" s="270"/>
      <c r="BU37" s="270"/>
      <c r="BV37" s="270"/>
      <c r="BW37" s="270"/>
      <c r="BX37" s="270"/>
      <c r="BY37" s="270"/>
      <c r="BZ37" s="270"/>
      <c r="CA37" s="270"/>
      <c r="CB37" s="270"/>
      <c r="CC37" s="270"/>
      <c r="CD37" s="270"/>
      <c r="CE37" s="270"/>
      <c r="CF37" s="270"/>
      <c r="CG37" s="270"/>
      <c r="FM37" s="321"/>
    </row>
    <row r="38" spans="1:169" ht="18">
      <c r="A38" s="760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  <c r="CF38" s="271"/>
      <c r="CG38" s="271"/>
      <c r="FM38" s="321"/>
    </row>
    <row r="39" spans="1:169" ht="18">
      <c r="A39" s="759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0"/>
      <c r="BP39" s="270"/>
      <c r="BQ39" s="270"/>
      <c r="BR39" s="270"/>
      <c r="BS39" s="270"/>
      <c r="BT39" s="270"/>
      <c r="BU39" s="270"/>
      <c r="BV39" s="270"/>
      <c r="BW39" s="270"/>
      <c r="BX39" s="270"/>
      <c r="BY39" s="270"/>
      <c r="BZ39" s="270"/>
      <c r="CA39" s="270"/>
      <c r="CB39" s="270"/>
      <c r="CC39" s="270"/>
      <c r="CD39" s="270"/>
      <c r="CE39" s="270"/>
      <c r="CF39" s="270"/>
      <c r="CG39" s="270"/>
      <c r="FM39" s="321"/>
    </row>
    <row r="40" spans="1:169" ht="18">
      <c r="A40" s="761"/>
      <c r="B40" s="270"/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G40" s="270"/>
      <c r="AH40" s="270"/>
      <c r="AI40" s="270"/>
      <c r="AJ40" s="270"/>
      <c r="AK40" s="270"/>
      <c r="AL40" s="270"/>
      <c r="AM40" s="270"/>
      <c r="AN40" s="270"/>
      <c r="AO40" s="270"/>
      <c r="AP40" s="270"/>
      <c r="AQ40" s="270"/>
      <c r="AR40" s="270"/>
      <c r="AS40" s="270"/>
      <c r="AT40" s="270"/>
      <c r="AU40" s="270"/>
      <c r="AV40" s="270"/>
      <c r="AW40" s="270"/>
      <c r="AX40" s="270"/>
      <c r="AY40" s="270"/>
      <c r="AZ40" s="270"/>
      <c r="BA40" s="270"/>
      <c r="BB40" s="270"/>
      <c r="BC40" s="270"/>
      <c r="BD40" s="270"/>
      <c r="BE40" s="270"/>
      <c r="BF40" s="270"/>
      <c r="BG40" s="270"/>
      <c r="BH40" s="270"/>
      <c r="BI40" s="270"/>
      <c r="BJ40" s="270"/>
      <c r="BK40" s="270"/>
      <c r="BL40" s="270"/>
      <c r="BM40" s="270"/>
      <c r="BN40" s="270"/>
      <c r="BO40" s="270"/>
      <c r="BP40" s="270"/>
      <c r="BQ40" s="270"/>
      <c r="BR40" s="270"/>
      <c r="BS40" s="270"/>
      <c r="BT40" s="270"/>
      <c r="BU40" s="270"/>
      <c r="BV40" s="270"/>
      <c r="BW40" s="270"/>
      <c r="BX40" s="270"/>
      <c r="BY40" s="270"/>
      <c r="BZ40" s="270"/>
      <c r="CA40" s="270"/>
      <c r="CB40" s="270"/>
      <c r="CC40" s="270"/>
      <c r="CD40" s="270"/>
      <c r="CE40" s="270"/>
      <c r="CF40" s="270"/>
      <c r="CG40" s="270"/>
      <c r="FM40" s="321"/>
    </row>
    <row r="41" spans="1:169" ht="18">
      <c r="A41" s="762"/>
      <c r="B41" s="271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271"/>
      <c r="Q41" s="271"/>
      <c r="R41" s="271"/>
      <c r="S41" s="271"/>
      <c r="T41" s="271"/>
      <c r="U41" s="271"/>
      <c r="V41" s="271"/>
      <c r="W41" s="271"/>
      <c r="X41" s="271"/>
      <c r="Y41" s="271"/>
      <c r="Z41" s="271"/>
      <c r="AA41" s="271"/>
      <c r="AB41" s="271"/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271"/>
      <c r="BC41" s="271"/>
      <c r="BD41" s="271"/>
      <c r="BE41" s="271"/>
      <c r="BF41" s="271"/>
      <c r="BG41" s="271"/>
      <c r="BH41" s="271"/>
      <c r="BI41" s="271"/>
      <c r="BJ41" s="271"/>
      <c r="BK41" s="271"/>
      <c r="BL41" s="271"/>
      <c r="BM41" s="271"/>
      <c r="BN41" s="271"/>
      <c r="BO41" s="271"/>
      <c r="BP41" s="271"/>
      <c r="BQ41" s="271"/>
      <c r="BR41" s="271"/>
      <c r="BS41" s="271"/>
      <c r="BT41" s="271"/>
      <c r="BU41" s="271"/>
      <c r="BV41" s="271"/>
      <c r="BW41" s="271"/>
      <c r="BX41" s="271"/>
      <c r="BY41" s="271"/>
      <c r="BZ41" s="271"/>
      <c r="CA41" s="271"/>
      <c r="CB41" s="271"/>
      <c r="CC41" s="271"/>
      <c r="CD41" s="271"/>
      <c r="CE41" s="271"/>
      <c r="CF41" s="271"/>
      <c r="CG41" s="271"/>
      <c r="FM41" s="321"/>
    </row>
    <row r="42" spans="1:169" ht="18">
      <c r="A42" s="759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0"/>
      <c r="AZ42" s="270"/>
      <c r="BA42" s="270"/>
      <c r="BB42" s="270"/>
      <c r="BC42" s="270"/>
      <c r="BD42" s="270"/>
      <c r="BE42" s="270"/>
      <c r="BF42" s="270"/>
      <c r="BG42" s="270"/>
      <c r="BH42" s="270"/>
      <c r="BI42" s="270"/>
      <c r="BJ42" s="270"/>
      <c r="BK42" s="270"/>
      <c r="BL42" s="270"/>
      <c r="BM42" s="270"/>
      <c r="BN42" s="270"/>
      <c r="BO42" s="270"/>
      <c r="BP42" s="270"/>
      <c r="BQ42" s="270"/>
      <c r="BR42" s="270"/>
      <c r="BS42" s="270"/>
      <c r="BT42" s="270"/>
      <c r="BU42" s="270"/>
      <c r="BV42" s="270"/>
      <c r="BW42" s="270"/>
      <c r="BX42" s="270"/>
      <c r="BY42" s="270"/>
      <c r="BZ42" s="270"/>
      <c r="CA42" s="270"/>
      <c r="CB42" s="270"/>
      <c r="CC42" s="270"/>
      <c r="CD42" s="270"/>
      <c r="CE42" s="270"/>
      <c r="CF42" s="270"/>
      <c r="CG42" s="270"/>
      <c r="FM42" s="321"/>
    </row>
    <row r="43" spans="1:169" ht="18">
      <c r="A43" s="760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  <c r="BX43" s="271"/>
      <c r="BY43" s="271"/>
      <c r="BZ43" s="271"/>
      <c r="CA43" s="271"/>
      <c r="CB43" s="271"/>
      <c r="CC43" s="271"/>
      <c r="CD43" s="271"/>
      <c r="CE43" s="271"/>
      <c r="CF43" s="271"/>
      <c r="CG43" s="271"/>
      <c r="FM43" s="321"/>
    </row>
    <row r="44" spans="1:169" ht="18">
      <c r="A44" s="759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  <c r="BP44" s="270"/>
      <c r="BQ44" s="270"/>
      <c r="BR44" s="270"/>
      <c r="BS44" s="270"/>
      <c r="BT44" s="270"/>
      <c r="BU44" s="270"/>
      <c r="BV44" s="270"/>
      <c r="BW44" s="270"/>
      <c r="BX44" s="270"/>
      <c r="BY44" s="270"/>
      <c r="BZ44" s="270"/>
      <c r="CA44" s="270"/>
      <c r="CB44" s="270"/>
      <c r="CC44" s="270"/>
      <c r="CD44" s="270"/>
      <c r="CE44" s="270"/>
      <c r="CF44" s="270"/>
      <c r="CG44" s="270"/>
      <c r="FM44" s="321"/>
    </row>
    <row r="45" spans="1:169" ht="18">
      <c r="A45" s="760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  <c r="BX45" s="271"/>
      <c r="BY45" s="271"/>
      <c r="BZ45" s="271"/>
      <c r="CA45" s="271"/>
      <c r="CB45" s="271"/>
      <c r="CC45" s="271"/>
      <c r="CD45" s="271"/>
      <c r="CE45" s="271"/>
      <c r="CF45" s="271"/>
      <c r="CG45" s="271"/>
      <c r="FM45" s="321"/>
    </row>
    <row r="46" spans="1:169" ht="18">
      <c r="A46" s="759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0"/>
      <c r="AZ46" s="270"/>
      <c r="BA46" s="270"/>
      <c r="BB46" s="270"/>
      <c r="BC46" s="270"/>
      <c r="BD46" s="270"/>
      <c r="BE46" s="270"/>
      <c r="BF46" s="270"/>
      <c r="BG46" s="270"/>
      <c r="BH46" s="270"/>
      <c r="BI46" s="270"/>
      <c r="BJ46" s="270"/>
      <c r="BK46" s="270"/>
      <c r="BL46" s="270"/>
      <c r="BM46" s="270"/>
      <c r="BN46" s="270"/>
      <c r="BO46" s="270"/>
      <c r="BP46" s="270"/>
      <c r="BQ46" s="270"/>
      <c r="BR46" s="270"/>
      <c r="BS46" s="270"/>
      <c r="BT46" s="270"/>
      <c r="BU46" s="270"/>
      <c r="BV46" s="270"/>
      <c r="BW46" s="270"/>
      <c r="BX46" s="270"/>
      <c r="BY46" s="270"/>
      <c r="BZ46" s="270"/>
      <c r="CA46" s="270"/>
      <c r="CB46" s="270"/>
      <c r="CC46" s="270"/>
      <c r="CD46" s="270"/>
      <c r="CE46" s="270"/>
      <c r="CF46" s="270"/>
      <c r="CG46" s="270"/>
      <c r="FM46" s="321"/>
    </row>
    <row r="47" spans="1:169" ht="18">
      <c r="A47" s="763"/>
      <c r="B47" s="322"/>
      <c r="C47" s="322"/>
      <c r="D47" s="322"/>
      <c r="E47" s="322"/>
      <c r="F47" s="322"/>
      <c r="G47" s="322"/>
      <c r="H47" s="322"/>
      <c r="I47" s="322"/>
      <c r="J47" s="322"/>
      <c r="K47" s="322"/>
      <c r="L47" s="322"/>
      <c r="M47" s="322"/>
      <c r="N47" s="322"/>
      <c r="O47" s="322"/>
      <c r="P47" s="322"/>
      <c r="Q47" s="322"/>
      <c r="R47" s="322"/>
      <c r="S47" s="322"/>
      <c r="T47" s="322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2"/>
      <c r="AJ47" s="322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2"/>
      <c r="AY47" s="322"/>
      <c r="AZ47" s="322"/>
      <c r="BA47" s="322"/>
      <c r="BB47" s="322"/>
      <c r="BC47" s="322"/>
      <c r="BD47" s="322"/>
      <c r="BE47" s="322"/>
      <c r="BF47" s="322"/>
      <c r="BG47" s="322"/>
      <c r="BH47" s="322"/>
      <c r="BI47" s="322"/>
      <c r="BJ47" s="322"/>
      <c r="BK47" s="322"/>
      <c r="BL47" s="322"/>
      <c r="BM47" s="322"/>
      <c r="BN47" s="322"/>
      <c r="BO47" s="322"/>
      <c r="BP47" s="322"/>
      <c r="BQ47" s="322"/>
      <c r="BR47" s="322"/>
      <c r="BS47" s="322"/>
      <c r="BT47" s="322"/>
      <c r="BU47" s="322"/>
      <c r="BV47" s="322"/>
      <c r="BW47" s="322"/>
      <c r="BX47" s="322"/>
      <c r="BY47" s="322"/>
      <c r="BZ47" s="322"/>
      <c r="CA47" s="322"/>
      <c r="CB47" s="322"/>
      <c r="CC47" s="322"/>
      <c r="CD47" s="322"/>
      <c r="CE47" s="322"/>
      <c r="CF47" s="322"/>
      <c r="CG47" s="322"/>
      <c r="FM47" s="321"/>
    </row>
    <row r="48" spans="1:169" ht="18.75">
      <c r="A48" s="764"/>
      <c r="B48" s="322"/>
      <c r="C48" s="322"/>
      <c r="D48" s="322"/>
      <c r="E48" s="322"/>
      <c r="F48" s="322"/>
      <c r="G48" s="322"/>
      <c r="H48" s="322"/>
      <c r="I48" s="322"/>
      <c r="J48" s="322"/>
      <c r="K48" s="322"/>
      <c r="L48" s="322"/>
      <c r="M48" s="322"/>
      <c r="N48" s="322"/>
      <c r="O48" s="322"/>
      <c r="P48" s="322"/>
      <c r="Q48" s="322"/>
      <c r="R48" s="322"/>
      <c r="S48" s="322"/>
      <c r="T48" s="322"/>
      <c r="U48" s="322"/>
      <c r="V48" s="322"/>
      <c r="W48" s="322"/>
      <c r="X48" s="322"/>
      <c r="Y48" s="322"/>
      <c r="Z48" s="322"/>
      <c r="AA48" s="322"/>
      <c r="AB48" s="322"/>
      <c r="AC48" s="322"/>
      <c r="AD48" s="322"/>
      <c r="AE48" s="322"/>
      <c r="AF48" s="322"/>
      <c r="AG48" s="322"/>
      <c r="AH48" s="322"/>
      <c r="AI48" s="322"/>
      <c r="AJ48" s="322"/>
      <c r="AK48" s="322"/>
      <c r="AL48" s="322"/>
      <c r="AM48" s="322"/>
      <c r="AN48" s="322"/>
      <c r="AO48" s="322"/>
      <c r="AP48" s="322"/>
      <c r="AQ48" s="322"/>
      <c r="AR48" s="322"/>
      <c r="AS48" s="322"/>
      <c r="AT48" s="322"/>
      <c r="AU48" s="322"/>
      <c r="AV48" s="322"/>
      <c r="AW48" s="322"/>
      <c r="AX48" s="322"/>
      <c r="AY48" s="322"/>
      <c r="AZ48" s="322"/>
      <c r="BA48" s="322"/>
      <c r="BB48" s="322"/>
      <c r="BC48" s="322"/>
      <c r="BD48" s="322"/>
      <c r="BE48" s="322"/>
      <c r="BF48" s="322"/>
      <c r="BG48" s="322"/>
      <c r="BH48" s="322"/>
      <c r="BI48" s="322"/>
      <c r="BJ48" s="322"/>
      <c r="BK48" s="322"/>
      <c r="BL48" s="322"/>
      <c r="BM48" s="322"/>
      <c r="BN48" s="322"/>
      <c r="BO48" s="322"/>
      <c r="BP48" s="322"/>
      <c r="BQ48" s="322"/>
      <c r="BR48" s="322"/>
      <c r="BS48" s="322"/>
      <c r="BT48" s="322"/>
      <c r="BU48" s="322"/>
      <c r="BV48" s="322"/>
      <c r="BW48" s="322"/>
      <c r="BX48" s="322"/>
      <c r="BY48" s="322"/>
      <c r="BZ48" s="322"/>
      <c r="CA48" s="322"/>
      <c r="CB48" s="322"/>
      <c r="CC48" s="322"/>
      <c r="CD48" s="322"/>
      <c r="CE48" s="322"/>
      <c r="CF48" s="322"/>
      <c r="CG48" s="322"/>
      <c r="FM48" s="321"/>
    </row>
    <row r="49" spans="169:169">
      <c r="FM49" s="321"/>
    </row>
    <row r="50" spans="169:169">
      <c r="FM50" s="321"/>
    </row>
    <row r="51" spans="169:169">
      <c r="FM51" s="321"/>
    </row>
    <row r="52" spans="169:169">
      <c r="FM52" s="321"/>
    </row>
    <row r="53" spans="169:169">
      <c r="FM53" s="321"/>
    </row>
    <row r="54" spans="169:169">
      <c r="FM54" s="321"/>
    </row>
    <row r="55" spans="169:169">
      <c r="FM55" s="321"/>
    </row>
    <row r="56" spans="169:169">
      <c r="FM56" s="321"/>
    </row>
    <row r="57" spans="169:169">
      <c r="FM57" s="321"/>
    </row>
    <row r="58" spans="169:169">
      <c r="FM58" s="321"/>
    </row>
    <row r="59" spans="169:169">
      <c r="FM59" s="321"/>
    </row>
    <row r="60" spans="169:169">
      <c r="FM60" s="321"/>
    </row>
    <row r="61" spans="169:169">
      <c r="FM61" s="321"/>
    </row>
    <row r="62" spans="169:169">
      <c r="FM62" s="321"/>
    </row>
    <row r="63" spans="169:169">
      <c r="FM63" s="321"/>
    </row>
  </sheetData>
  <mergeCells count="16">
    <mergeCell ref="A3:FH3"/>
    <mergeCell ref="A2:FH2"/>
    <mergeCell ref="FH6:FH8"/>
    <mergeCell ref="A36:FG36"/>
    <mergeCell ref="A5:FG5"/>
    <mergeCell ref="B6:M6"/>
    <mergeCell ref="N6:Y6"/>
    <mergeCell ref="Z6:AK6"/>
    <mergeCell ref="AV6:AW6"/>
    <mergeCell ref="BV6:CG6"/>
    <mergeCell ref="CT6:DE6"/>
    <mergeCell ref="DF6:DQ6"/>
    <mergeCell ref="DR6:EC6"/>
    <mergeCell ref="ED6:EO6"/>
    <mergeCell ref="EP6:FA6"/>
    <mergeCell ref="FB6:FG6"/>
  </mergeCells>
  <pageMargins left="0.7" right="0.7" top="0.75" bottom="0.75" header="0.3" footer="0.3"/>
  <pageSetup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A407-8F56-4F73-943C-C2CB03266D47}">
  <sheetPr codeName="Sheet3">
    <tabColor rgb="FF92D050"/>
  </sheetPr>
  <dimension ref="A1:GE308"/>
  <sheetViews>
    <sheetView showGridLines="0" view="pageBreakPreview" zoomScaleNormal="100" zoomScaleSheetLayoutView="100" workbookViewId="0">
      <pane ySplit="11" topLeftCell="A288" activePane="bottomLeft" state="frozen"/>
      <selection activeCell="F40" sqref="F40"/>
      <selection pane="bottomLeft" activeCell="T302" sqref="T302"/>
    </sheetView>
  </sheetViews>
  <sheetFormatPr defaultColWidth="9.140625" defaultRowHeight="12.75"/>
  <cols>
    <col min="1" max="1" width="6.7109375" style="1672" customWidth="1"/>
    <col min="2" max="2" width="10.28515625" style="1672" customWidth="1"/>
    <col min="3" max="3" width="13" style="1672" customWidth="1"/>
    <col min="4" max="4" width="10.85546875" style="1672" customWidth="1"/>
    <col min="5" max="5" width="10.28515625" style="1672" customWidth="1"/>
    <col min="6" max="6" width="13" style="1672" customWidth="1"/>
    <col min="7" max="7" width="10.28515625" style="1700" customWidth="1"/>
    <col min="8" max="8" width="13" style="1700" customWidth="1"/>
    <col min="9" max="9" width="11.28515625" style="1672" customWidth="1"/>
    <col min="10" max="10" width="13" style="1672" customWidth="1"/>
    <col min="11" max="11" width="10.28515625" style="1672" customWidth="1"/>
    <col min="12" max="12" width="13" style="1672" customWidth="1"/>
    <col min="13" max="14" width="12.7109375" style="1672" customWidth="1"/>
    <col min="15" max="15" width="13.85546875" style="1672" customWidth="1"/>
    <col min="16" max="16384" width="9.140625" style="1672"/>
  </cols>
  <sheetData>
    <row r="1" spans="1:49" ht="9.75" customHeight="1">
      <c r="A1" s="2048"/>
      <c r="B1" s="2048"/>
      <c r="C1" s="2048"/>
      <c r="D1" s="2048"/>
      <c r="E1" s="2048"/>
      <c r="F1" s="2048"/>
      <c r="G1" s="2048"/>
      <c r="H1" s="2048"/>
      <c r="I1" s="2048"/>
      <c r="J1" s="2048"/>
      <c r="K1" s="2048"/>
      <c r="L1" s="2048"/>
      <c r="M1" s="2048"/>
      <c r="N1" s="2048"/>
      <c r="O1" s="2048"/>
    </row>
    <row r="2" spans="1:49" ht="20.25" customHeight="1">
      <c r="A2" s="2049" t="s">
        <v>2704</v>
      </c>
      <c r="B2" s="2049"/>
      <c r="C2" s="2049"/>
      <c r="D2" s="2049"/>
      <c r="E2" s="2049"/>
      <c r="F2" s="2049"/>
      <c r="G2" s="2049"/>
      <c r="H2" s="2049"/>
      <c r="I2" s="2049"/>
      <c r="J2" s="2049"/>
      <c r="K2" s="2049"/>
      <c r="L2" s="2049"/>
      <c r="M2" s="2049"/>
      <c r="N2" s="2049"/>
      <c r="O2" s="2049"/>
    </row>
    <row r="3" spans="1:49" ht="20.25" customHeight="1">
      <c r="A3" s="2050" t="s">
        <v>2705</v>
      </c>
      <c r="B3" s="2050"/>
      <c r="C3" s="2050"/>
      <c r="D3" s="2050"/>
      <c r="E3" s="2050"/>
      <c r="F3" s="2050"/>
      <c r="G3" s="2050"/>
      <c r="H3" s="2050"/>
      <c r="I3" s="2050"/>
      <c r="J3" s="2050"/>
      <c r="K3" s="2050"/>
      <c r="L3" s="2050"/>
      <c r="M3" s="2050"/>
      <c r="N3" s="2050"/>
      <c r="O3" s="2050"/>
    </row>
    <row r="4" spans="1:49" ht="9.75" customHeight="1">
      <c r="A4" s="882"/>
      <c r="B4" s="882"/>
      <c r="C4" s="882"/>
      <c r="D4" s="882"/>
      <c r="E4" s="882"/>
      <c r="F4" s="882"/>
      <c r="G4" s="882"/>
      <c r="H4" s="882"/>
      <c r="I4" s="882"/>
      <c r="J4" s="882"/>
      <c r="K4" s="882"/>
      <c r="L4" s="882"/>
      <c r="M4" s="882"/>
      <c r="N4" s="882"/>
      <c r="O4" s="882"/>
    </row>
    <row r="5" spans="1:49" ht="9.75" customHeight="1">
      <c r="A5" s="2051"/>
      <c r="B5" s="2051"/>
      <c r="C5" s="2051"/>
      <c r="D5" s="2051"/>
      <c r="E5" s="2051"/>
      <c r="F5" s="2051"/>
      <c r="G5" s="2051"/>
      <c r="H5" s="2051"/>
      <c r="I5" s="2051"/>
      <c r="J5" s="2051"/>
      <c r="K5" s="2051"/>
      <c r="L5" s="2051"/>
      <c r="M5" s="2051"/>
      <c r="N5" s="2051"/>
      <c r="O5" s="2051"/>
      <c r="AV5" s="1673"/>
      <c r="AW5" s="1673"/>
    </row>
    <row r="6" spans="1:49" s="1673" customFormat="1" ht="27.6" customHeight="1">
      <c r="A6" s="2052" t="s">
        <v>182</v>
      </c>
      <c r="B6" s="2055" t="s">
        <v>0</v>
      </c>
      <c r="C6" s="2032"/>
      <c r="D6" s="2046" t="s">
        <v>1</v>
      </c>
      <c r="E6" s="2044" t="s">
        <v>1622</v>
      </c>
      <c r="F6" s="2032"/>
      <c r="G6" s="2044" t="s">
        <v>2</v>
      </c>
      <c r="H6" s="2032"/>
      <c r="I6" s="2044" t="s">
        <v>3</v>
      </c>
      <c r="J6" s="2032"/>
      <c r="K6" s="2044" t="s">
        <v>2086</v>
      </c>
      <c r="L6" s="2032"/>
      <c r="M6" s="2044" t="s">
        <v>1655</v>
      </c>
      <c r="N6" s="2045"/>
      <c r="O6" s="2032"/>
    </row>
    <row r="7" spans="1:49" s="1673" customFormat="1" ht="14.25" customHeight="1">
      <c r="A7" s="2053"/>
      <c r="B7" s="1670" t="s">
        <v>4</v>
      </c>
      <c r="C7" s="2046" t="s">
        <v>5</v>
      </c>
      <c r="D7" s="2042"/>
      <c r="E7" s="1670" t="s">
        <v>4</v>
      </c>
      <c r="F7" s="2046" t="s">
        <v>5</v>
      </c>
      <c r="G7" s="1670" t="s">
        <v>4</v>
      </c>
      <c r="H7" s="2046" t="s">
        <v>5</v>
      </c>
      <c r="I7" s="1670" t="s">
        <v>4</v>
      </c>
      <c r="J7" s="2046" t="s">
        <v>5</v>
      </c>
      <c r="K7" s="1670" t="s">
        <v>4</v>
      </c>
      <c r="L7" s="2046" t="s">
        <v>5</v>
      </c>
      <c r="M7" s="2046" t="s">
        <v>6</v>
      </c>
      <c r="N7" s="2046" t="s">
        <v>3987</v>
      </c>
      <c r="O7" s="2046" t="s">
        <v>7</v>
      </c>
    </row>
    <row r="8" spans="1:49" s="1673" customFormat="1" ht="14.25" customHeight="1">
      <c r="A8" s="2054"/>
      <c r="B8" s="881" t="s">
        <v>8</v>
      </c>
      <c r="C8" s="2035"/>
      <c r="D8" s="2035"/>
      <c r="E8" s="881" t="s">
        <v>8</v>
      </c>
      <c r="F8" s="2035"/>
      <c r="G8" s="881" t="s">
        <v>8</v>
      </c>
      <c r="H8" s="2035"/>
      <c r="I8" s="881" t="s">
        <v>8</v>
      </c>
      <c r="J8" s="2035"/>
      <c r="K8" s="881" t="s">
        <v>1408</v>
      </c>
      <c r="L8" s="2035"/>
      <c r="M8" s="2035"/>
      <c r="N8" s="2047"/>
      <c r="O8" s="2035"/>
    </row>
    <row r="9" spans="1:49" ht="27.6" customHeight="1">
      <c r="A9" s="2037" t="s">
        <v>283</v>
      </c>
      <c r="B9" s="2040" t="s">
        <v>9</v>
      </c>
      <c r="C9" s="2041"/>
      <c r="D9" s="2034" t="s">
        <v>10</v>
      </c>
      <c r="E9" s="2031" t="s">
        <v>2780</v>
      </c>
      <c r="F9" s="2043"/>
      <c r="G9" s="2031" t="s">
        <v>11</v>
      </c>
      <c r="H9" s="2043"/>
      <c r="I9" s="2031" t="s">
        <v>12</v>
      </c>
      <c r="J9" s="2032"/>
      <c r="K9" s="2031" t="s">
        <v>2585</v>
      </c>
      <c r="L9" s="2032"/>
      <c r="M9" s="2031" t="s">
        <v>13</v>
      </c>
      <c r="N9" s="2033"/>
      <c r="O9" s="2032"/>
    </row>
    <row r="10" spans="1:49" ht="13.15" customHeight="1">
      <c r="A10" s="2038"/>
      <c r="B10" s="1671" t="s">
        <v>14</v>
      </c>
      <c r="C10" s="2034" t="s">
        <v>15</v>
      </c>
      <c r="D10" s="2042"/>
      <c r="E10" s="1671" t="s">
        <v>14</v>
      </c>
      <c r="F10" s="2034" t="s">
        <v>15</v>
      </c>
      <c r="G10" s="1671" t="s">
        <v>14</v>
      </c>
      <c r="H10" s="2034" t="s">
        <v>15</v>
      </c>
      <c r="I10" s="1671" t="s">
        <v>14</v>
      </c>
      <c r="J10" s="2034" t="s">
        <v>15</v>
      </c>
      <c r="K10" s="1671" t="s">
        <v>14</v>
      </c>
      <c r="L10" s="2034" t="s">
        <v>15</v>
      </c>
      <c r="M10" s="2034" t="s">
        <v>16</v>
      </c>
      <c r="N10" s="2034" t="s">
        <v>3988</v>
      </c>
      <c r="O10" s="2034" t="s">
        <v>17</v>
      </c>
    </row>
    <row r="11" spans="1:49" ht="15" customHeight="1">
      <c r="A11" s="2039"/>
      <c r="B11" s="880" t="s">
        <v>8</v>
      </c>
      <c r="C11" s="2035"/>
      <c r="D11" s="2035"/>
      <c r="E11" s="880" t="s">
        <v>8</v>
      </c>
      <c r="F11" s="2035"/>
      <c r="G11" s="880" t="s">
        <v>8</v>
      </c>
      <c r="H11" s="2035"/>
      <c r="I11" s="880" t="s">
        <v>8</v>
      </c>
      <c r="J11" s="2035"/>
      <c r="K11" s="880" t="s">
        <v>1409</v>
      </c>
      <c r="L11" s="2035"/>
      <c r="M11" s="2035"/>
      <c r="N11" s="2036"/>
      <c r="O11" s="2035"/>
    </row>
    <row r="12" spans="1:49">
      <c r="A12" s="1674"/>
      <c r="B12" s="1675"/>
      <c r="C12" s="1675"/>
      <c r="D12" s="1675"/>
      <c r="E12" s="1675"/>
      <c r="F12" s="1675"/>
      <c r="G12" s="1675"/>
      <c r="H12" s="1675"/>
      <c r="I12" s="1676"/>
      <c r="J12" s="1677"/>
      <c r="L12" s="1677"/>
      <c r="M12" s="1675"/>
      <c r="N12" s="1675"/>
      <c r="O12" s="1678"/>
    </row>
    <row r="13" spans="1:49" ht="15" hidden="1" customHeight="1">
      <c r="A13" s="1679">
        <v>1995</v>
      </c>
      <c r="B13" s="1680">
        <v>2133.8000000000002</v>
      </c>
      <c r="C13" s="1680">
        <v>88.2</v>
      </c>
      <c r="D13" s="1680"/>
      <c r="E13" s="1680"/>
      <c r="F13" s="1680"/>
      <c r="G13" s="1681">
        <v>227.96</v>
      </c>
      <c r="H13" s="1681">
        <v>187.01</v>
      </c>
      <c r="I13" s="1682">
        <v>1313.98</v>
      </c>
      <c r="J13" s="1680"/>
      <c r="K13" s="1683">
        <v>13.4</v>
      </c>
      <c r="L13" s="1680"/>
      <c r="M13" s="1680">
        <v>4.7</v>
      </c>
      <c r="N13" s="1680"/>
      <c r="O13" s="1675">
        <v>411.8</v>
      </c>
    </row>
    <row r="14" spans="1:49" ht="15" hidden="1" customHeight="1">
      <c r="A14" s="1679">
        <v>1996</v>
      </c>
      <c r="B14" s="1681">
        <v>2732.6</v>
      </c>
      <c r="C14" s="1681">
        <v>101.3</v>
      </c>
      <c r="D14" s="1681"/>
      <c r="E14" s="1684"/>
      <c r="F14" s="1681"/>
      <c r="G14" s="1682">
        <v>644.5</v>
      </c>
      <c r="H14" s="1681">
        <v>282.7</v>
      </c>
      <c r="I14" s="1682">
        <v>1708.18</v>
      </c>
      <c r="J14" s="1681">
        <v>130</v>
      </c>
      <c r="K14" s="1682">
        <v>18.72</v>
      </c>
      <c r="L14" s="1681">
        <v>139.5</v>
      </c>
      <c r="M14" s="1681">
        <v>1.7</v>
      </c>
      <c r="N14" s="1681"/>
      <c r="O14" s="1681">
        <v>19.899999999999999</v>
      </c>
    </row>
    <row r="15" spans="1:49" ht="15" hidden="1" customHeight="1">
      <c r="A15" s="1679">
        <v>1997</v>
      </c>
      <c r="B15" s="1681">
        <v>3158.2</v>
      </c>
      <c r="C15" s="1681">
        <v>105.8</v>
      </c>
      <c r="D15" s="1681"/>
      <c r="E15" s="1684"/>
      <c r="F15" s="1681"/>
      <c r="G15" s="1681">
        <v>910.2</v>
      </c>
      <c r="H15" s="1681">
        <v>141.19999999999999</v>
      </c>
      <c r="I15" s="1682">
        <v>2473.2199999999998</v>
      </c>
      <c r="J15" s="1681">
        <v>177.78</v>
      </c>
      <c r="K15" s="1682">
        <v>28.33</v>
      </c>
      <c r="L15" s="1681">
        <v>151.33000000000001</v>
      </c>
      <c r="M15" s="1681">
        <v>-0.2</v>
      </c>
      <c r="N15" s="1681"/>
      <c r="O15" s="1681">
        <v>3.7</v>
      </c>
    </row>
    <row r="16" spans="1:49" ht="15" hidden="1" customHeight="1">
      <c r="A16" s="1679">
        <v>1998</v>
      </c>
      <c r="B16" s="1681">
        <v>3440.6</v>
      </c>
      <c r="C16" s="1681">
        <v>110</v>
      </c>
      <c r="D16" s="1681"/>
      <c r="E16" s="1684"/>
      <c r="F16" s="1681"/>
      <c r="G16" s="1682">
        <v>1102.4000000000001</v>
      </c>
      <c r="H16" s="1681">
        <v>121.1</v>
      </c>
      <c r="I16" s="1682">
        <v>2849.16</v>
      </c>
      <c r="J16" s="1681">
        <v>115.2</v>
      </c>
      <c r="K16" s="1682">
        <v>33.72</v>
      </c>
      <c r="L16" s="1681">
        <v>119</v>
      </c>
      <c r="M16" s="1681">
        <v>-5.9</v>
      </c>
      <c r="N16" s="1681"/>
      <c r="O16" s="1681">
        <v>-0.79999999999999716</v>
      </c>
    </row>
    <row r="17" spans="1:15" ht="15" hidden="1" customHeight="1">
      <c r="A17" s="1679">
        <v>1999</v>
      </c>
      <c r="B17" s="1681">
        <v>3775</v>
      </c>
      <c r="C17" s="1681">
        <v>107.4</v>
      </c>
      <c r="D17" s="1681"/>
      <c r="E17" s="1684"/>
      <c r="F17" s="1681"/>
      <c r="G17" s="1681">
        <v>928.5</v>
      </c>
      <c r="H17" s="1681">
        <v>84.2</v>
      </c>
      <c r="I17" s="1682">
        <v>3227.38</v>
      </c>
      <c r="J17" s="1681">
        <v>113.2</v>
      </c>
      <c r="K17" s="1682">
        <v>36.85</v>
      </c>
      <c r="L17" s="1681">
        <v>109.28</v>
      </c>
      <c r="M17" s="1681">
        <v>0.4</v>
      </c>
      <c r="N17" s="1681"/>
      <c r="O17" s="1681">
        <v>-8.5</v>
      </c>
    </row>
    <row r="18" spans="1:15" ht="15" hidden="1" customHeight="1">
      <c r="A18" s="1679">
        <v>2000</v>
      </c>
      <c r="B18" s="1681">
        <v>4718.2</v>
      </c>
      <c r="C18" s="1681">
        <v>111.1</v>
      </c>
      <c r="D18" s="1681"/>
      <c r="E18" s="1682">
        <v>3055.8</v>
      </c>
      <c r="F18" s="1681">
        <v>109.9</v>
      </c>
      <c r="G18" s="1682">
        <v>967.8</v>
      </c>
      <c r="H18" s="1681">
        <v>104.2</v>
      </c>
      <c r="I18" s="1682">
        <v>3511.36</v>
      </c>
      <c r="J18" s="1681">
        <v>108.8</v>
      </c>
      <c r="K18" s="1682">
        <v>44.32</v>
      </c>
      <c r="L18" s="1681">
        <v>120.2</v>
      </c>
      <c r="M18" s="1681">
        <v>0.6</v>
      </c>
      <c r="N18" s="1681"/>
      <c r="O18" s="1681">
        <v>1.8</v>
      </c>
    </row>
    <row r="19" spans="1:15" ht="15" hidden="1" customHeight="1">
      <c r="A19" s="1679">
        <v>2001</v>
      </c>
      <c r="B19" s="1681">
        <v>5315.6</v>
      </c>
      <c r="C19" s="1681">
        <v>109.9</v>
      </c>
      <c r="D19" s="1681"/>
      <c r="E19" s="1682">
        <v>3195.9</v>
      </c>
      <c r="F19" s="1681">
        <v>108.7</v>
      </c>
      <c r="G19" s="1682">
        <v>1170.8203000000001</v>
      </c>
      <c r="H19" s="1681">
        <v>116.7</v>
      </c>
      <c r="I19" s="1682">
        <v>3876.36</v>
      </c>
      <c r="J19" s="1681">
        <v>110.4</v>
      </c>
      <c r="K19" s="1682">
        <v>52</v>
      </c>
      <c r="L19" s="1681">
        <v>126.7</v>
      </c>
      <c r="M19" s="1681">
        <v>0.9</v>
      </c>
      <c r="N19" s="1681"/>
      <c r="O19" s="1681">
        <v>1.5</v>
      </c>
    </row>
    <row r="20" spans="1:15" ht="15" hidden="1" customHeight="1">
      <c r="A20" s="1679">
        <v>2002</v>
      </c>
      <c r="B20" s="1685">
        <v>6062.5</v>
      </c>
      <c r="C20" s="1681">
        <v>110.6</v>
      </c>
      <c r="D20" s="1681"/>
      <c r="E20" s="1682">
        <v>3693.9</v>
      </c>
      <c r="F20" s="1681">
        <v>113.8</v>
      </c>
      <c r="G20" s="1682">
        <v>2106.9767000000002</v>
      </c>
      <c r="H20" s="1681">
        <v>182.2</v>
      </c>
      <c r="I20" s="1682">
        <v>4233.9799999999996</v>
      </c>
      <c r="J20" s="1681">
        <v>111.4</v>
      </c>
      <c r="K20" s="1682">
        <v>62.6</v>
      </c>
      <c r="L20" s="1681">
        <v>121.2</v>
      </c>
      <c r="M20" s="1681">
        <v>0.6</v>
      </c>
      <c r="N20" s="1681"/>
      <c r="O20" s="1681">
        <v>2.8</v>
      </c>
    </row>
    <row r="21" spans="1:15" ht="15" hidden="1" customHeight="1">
      <c r="A21" s="1679">
        <v>2003</v>
      </c>
      <c r="B21" s="1685">
        <v>7146.5</v>
      </c>
      <c r="C21" s="1681">
        <v>111.2</v>
      </c>
      <c r="D21" s="1681"/>
      <c r="E21" s="1682">
        <v>4447.6000000000004</v>
      </c>
      <c r="F21" s="1681">
        <v>114.9</v>
      </c>
      <c r="G21" s="1686">
        <v>3786.3667</v>
      </c>
      <c r="H21" s="1681">
        <v>173</v>
      </c>
      <c r="I21" s="1682">
        <v>4841.58</v>
      </c>
      <c r="J21" s="1681">
        <v>111.4</v>
      </c>
      <c r="K21" s="1682">
        <v>76.599999999999994</v>
      </c>
      <c r="L21" s="1681">
        <v>121.4</v>
      </c>
      <c r="M21" s="1681">
        <v>1.5</v>
      </c>
      <c r="N21" s="1681"/>
      <c r="O21" s="1681">
        <v>2.2000000000000002</v>
      </c>
    </row>
    <row r="22" spans="1:15" ht="15" hidden="1" customHeight="1">
      <c r="A22" s="1679">
        <v>2004</v>
      </c>
      <c r="B22" s="1685">
        <v>8530.2000000000007</v>
      </c>
      <c r="C22" s="1681">
        <v>110.2</v>
      </c>
      <c r="D22" s="1681"/>
      <c r="E22" s="1682">
        <v>5242.5</v>
      </c>
      <c r="F22" s="1681">
        <v>113.6</v>
      </c>
      <c r="G22" s="1686">
        <v>4922.7559000000001</v>
      </c>
      <c r="H22" s="1681">
        <v>135.9</v>
      </c>
      <c r="I22" s="1682">
        <v>6009.48</v>
      </c>
      <c r="J22" s="1681">
        <v>120.7</v>
      </c>
      <c r="K22" s="1682">
        <v>96.7</v>
      </c>
      <c r="L22" s="1681">
        <v>126.2</v>
      </c>
      <c r="M22" s="1681">
        <v>1.8</v>
      </c>
      <c r="N22" s="1681"/>
      <c r="O22" s="1681">
        <v>6.7</v>
      </c>
    </row>
    <row r="23" spans="1:15" ht="14.25" hidden="1" customHeight="1">
      <c r="A23" s="1679">
        <v>2005</v>
      </c>
      <c r="B23" s="1681">
        <v>12522.5</v>
      </c>
      <c r="C23" s="1681">
        <v>126.4</v>
      </c>
      <c r="D23" s="1681">
        <v>116.1</v>
      </c>
      <c r="E23" s="1681">
        <v>6055.1</v>
      </c>
      <c r="F23" s="1681">
        <v>108.3</v>
      </c>
      <c r="G23" s="1681">
        <v>5769.8762999999999</v>
      </c>
      <c r="H23" s="1681">
        <v>112.7</v>
      </c>
      <c r="I23" s="1681">
        <v>7792.3</v>
      </c>
      <c r="J23" s="1681">
        <v>125.7</v>
      </c>
      <c r="K23" s="1681">
        <v>117.9</v>
      </c>
      <c r="L23" s="1681">
        <v>121.9</v>
      </c>
      <c r="M23" s="1681">
        <v>2.2000000000000002</v>
      </c>
      <c r="N23" s="1681">
        <v>5.4</v>
      </c>
      <c r="O23" s="1681">
        <v>9.6</v>
      </c>
    </row>
    <row r="24" spans="1:15" ht="14.25" hidden="1" customHeight="1">
      <c r="A24" s="1687" t="s">
        <v>18</v>
      </c>
      <c r="B24" s="1681">
        <v>656.06</v>
      </c>
      <c r="C24" s="1681">
        <v>107</v>
      </c>
      <c r="D24" s="1681"/>
      <c r="E24" s="1681">
        <v>396.78</v>
      </c>
      <c r="F24" s="1681">
        <v>107.4</v>
      </c>
      <c r="G24" s="1681">
        <v>364.18</v>
      </c>
      <c r="H24" s="1681">
        <v>102.1</v>
      </c>
      <c r="I24" s="1681">
        <v>491.9</v>
      </c>
      <c r="J24" s="1681">
        <v>117.8</v>
      </c>
      <c r="K24" s="1681">
        <v>106.42</v>
      </c>
      <c r="L24" s="1681">
        <v>121.6</v>
      </c>
      <c r="M24" s="1681">
        <v>1.4</v>
      </c>
      <c r="N24" s="1681">
        <v>9.7936583933029908</v>
      </c>
      <c r="O24" s="1681">
        <v>9.7936583933029908</v>
      </c>
    </row>
    <row r="25" spans="1:15" ht="14.25" hidden="1" customHeight="1">
      <c r="A25" s="1687" t="s">
        <v>19</v>
      </c>
      <c r="B25" s="1681">
        <v>1406.36</v>
      </c>
      <c r="C25" s="1681">
        <v>108.5</v>
      </c>
      <c r="D25" s="1681"/>
      <c r="E25" s="1681">
        <v>879.64</v>
      </c>
      <c r="F25" s="1681">
        <v>108.4</v>
      </c>
      <c r="G25" s="1681">
        <v>667.6</v>
      </c>
      <c r="H25" s="1681">
        <v>105.2</v>
      </c>
      <c r="I25" s="1681">
        <v>1009.24</v>
      </c>
      <c r="J25" s="1681">
        <v>122.7</v>
      </c>
      <c r="K25" s="1681">
        <v>106.6</v>
      </c>
      <c r="L25" s="1681">
        <v>121.7</v>
      </c>
      <c r="M25" s="1681">
        <v>1.2</v>
      </c>
      <c r="N25" s="1681">
        <v>10.967549748110855</v>
      </c>
      <c r="O25" s="1681">
        <v>10.3809836860856</v>
      </c>
    </row>
    <row r="26" spans="1:15" ht="14.25" hidden="1" customHeight="1">
      <c r="A26" s="1687" t="s">
        <v>20</v>
      </c>
      <c r="B26" s="1681">
        <v>2131.48</v>
      </c>
      <c r="C26" s="1681">
        <v>110.8</v>
      </c>
      <c r="D26" s="1681"/>
      <c r="E26" s="1681">
        <v>1260.9000000000001</v>
      </c>
      <c r="F26" s="1681">
        <v>107.3</v>
      </c>
      <c r="G26" s="1681">
        <v>1082.58</v>
      </c>
      <c r="H26" s="1681">
        <v>98.2</v>
      </c>
      <c r="I26" s="1681">
        <v>1620.9</v>
      </c>
      <c r="J26" s="1681">
        <v>124.1</v>
      </c>
      <c r="K26" s="1681">
        <v>106.78</v>
      </c>
      <c r="L26" s="1681">
        <v>122.8</v>
      </c>
      <c r="M26" s="1681">
        <v>2.2000000000000002</v>
      </c>
      <c r="N26" s="1681">
        <v>12.310628126638505</v>
      </c>
      <c r="O26" s="1681">
        <v>11.028656085002936</v>
      </c>
    </row>
    <row r="27" spans="1:15" ht="14.25" hidden="1" customHeight="1">
      <c r="A27" s="1687" t="s">
        <v>21</v>
      </c>
      <c r="B27" s="1681">
        <v>3088.96</v>
      </c>
      <c r="C27" s="1681">
        <v>114.2</v>
      </c>
      <c r="D27" s="1681"/>
      <c r="E27" s="1681">
        <v>1835.9</v>
      </c>
      <c r="F27" s="1681">
        <v>107</v>
      </c>
      <c r="G27" s="1681">
        <v>1582.84</v>
      </c>
      <c r="H27" s="1681">
        <v>109.9</v>
      </c>
      <c r="I27" s="1681">
        <v>2227.3000000000002</v>
      </c>
      <c r="J27" s="1681">
        <v>125.2</v>
      </c>
      <c r="K27" s="1681">
        <v>109.76</v>
      </c>
      <c r="L27" s="1681">
        <v>124.5</v>
      </c>
      <c r="M27" s="1681">
        <v>0.6</v>
      </c>
      <c r="N27" s="1681">
        <v>12.252607226831429</v>
      </c>
      <c r="O27" s="1681">
        <v>11.337730511194422</v>
      </c>
    </row>
    <row r="28" spans="1:15" ht="14.25" hidden="1" customHeight="1">
      <c r="A28" s="1687" t="s">
        <v>22</v>
      </c>
      <c r="B28" s="1681">
        <v>3967.82</v>
      </c>
      <c r="C28" s="1681">
        <v>116</v>
      </c>
      <c r="D28" s="1681"/>
      <c r="E28" s="1681">
        <v>2391.86</v>
      </c>
      <c r="F28" s="1681">
        <v>107.8</v>
      </c>
      <c r="G28" s="1681">
        <v>2123.3000000000002</v>
      </c>
      <c r="H28" s="1681">
        <v>114.5</v>
      </c>
      <c r="I28" s="1681">
        <v>2820.9</v>
      </c>
      <c r="J28" s="1681">
        <v>125.4</v>
      </c>
      <c r="K28" s="1681">
        <v>111.14</v>
      </c>
      <c r="L28" s="1681">
        <v>125.5</v>
      </c>
      <c r="M28" s="1681">
        <v>-0.7</v>
      </c>
      <c r="N28" s="1681">
        <v>11.305353825057907</v>
      </c>
      <c r="O28" s="1681">
        <v>11.331195464641013</v>
      </c>
    </row>
    <row r="29" spans="1:15" ht="14.25" hidden="1" customHeight="1">
      <c r="A29" s="1687" t="s">
        <v>23</v>
      </c>
      <c r="B29" s="1681">
        <v>4901.0200000000004</v>
      </c>
      <c r="C29" s="1681">
        <v>116.5</v>
      </c>
      <c r="D29" s="1681"/>
      <c r="E29" s="1681">
        <v>2962.08</v>
      </c>
      <c r="F29" s="1681">
        <v>107.7</v>
      </c>
      <c r="G29" s="1681">
        <v>2555.2199999999998</v>
      </c>
      <c r="H29" s="1681">
        <v>110.3</v>
      </c>
      <c r="I29" s="1681">
        <v>3446.22</v>
      </c>
      <c r="J29" s="1681">
        <v>125.9</v>
      </c>
      <c r="K29" s="1681">
        <v>112.24</v>
      </c>
      <c r="L29" s="1681">
        <v>125.9</v>
      </c>
      <c r="M29" s="1681">
        <v>-1.8</v>
      </c>
      <c r="N29" s="1681">
        <v>10.997022827265752</v>
      </c>
      <c r="O29" s="1681">
        <v>11.275787708469124</v>
      </c>
    </row>
    <row r="30" spans="1:15" ht="14.25" hidden="1" customHeight="1">
      <c r="A30" s="1687" t="s">
        <v>24</v>
      </c>
      <c r="B30" s="1681">
        <v>5870.46</v>
      </c>
      <c r="C30" s="1681">
        <v>118.9</v>
      </c>
      <c r="D30" s="1681"/>
      <c r="E30" s="1681">
        <v>3546.82</v>
      </c>
      <c r="F30" s="1681">
        <v>107.8</v>
      </c>
      <c r="G30" s="1681">
        <v>2966.06</v>
      </c>
      <c r="H30" s="1681">
        <v>109.7</v>
      </c>
      <c r="I30" s="1681">
        <v>4077.36</v>
      </c>
      <c r="J30" s="1681">
        <v>126</v>
      </c>
      <c r="K30" s="1681">
        <v>113.44</v>
      </c>
      <c r="L30" s="1681">
        <v>122.3</v>
      </c>
      <c r="M30" s="1681">
        <v>-1.6</v>
      </c>
      <c r="N30" s="1681">
        <v>10.514883043019722</v>
      </c>
      <c r="O30" s="1681">
        <v>11.168657216900925</v>
      </c>
    </row>
    <row r="31" spans="1:15" ht="14.25" hidden="1" customHeight="1">
      <c r="A31" s="1687" t="s">
        <v>25</v>
      </c>
      <c r="B31" s="1681">
        <v>7142.8</v>
      </c>
      <c r="C31" s="1681">
        <v>120.2</v>
      </c>
      <c r="D31" s="1681"/>
      <c r="E31" s="1681">
        <v>4258.8599999999997</v>
      </c>
      <c r="F31" s="1681">
        <v>107.9</v>
      </c>
      <c r="G31" s="1681">
        <v>3413.4</v>
      </c>
      <c r="H31" s="1681">
        <v>111.4</v>
      </c>
      <c r="I31" s="1681">
        <v>4698.6400000000003</v>
      </c>
      <c r="J31" s="1681">
        <v>126.3</v>
      </c>
      <c r="K31" s="1681">
        <v>114.48</v>
      </c>
      <c r="L31" s="1681">
        <v>122.5</v>
      </c>
      <c r="M31" s="1681">
        <v>-0.6</v>
      </c>
      <c r="N31" s="1681">
        <v>10.114411925730678</v>
      </c>
      <c r="O31" s="1681">
        <v>11.038817280966981</v>
      </c>
    </row>
    <row r="32" spans="1:15" ht="14.25" hidden="1" customHeight="1">
      <c r="A32" s="1687" t="s">
        <v>26</v>
      </c>
      <c r="B32" s="1681">
        <v>8180.58</v>
      </c>
      <c r="C32" s="1681">
        <v>121.8</v>
      </c>
      <c r="D32" s="1681"/>
      <c r="E32" s="1681">
        <v>4784.16</v>
      </c>
      <c r="F32" s="1681">
        <v>107.7</v>
      </c>
      <c r="G32" s="1681">
        <v>3808.22</v>
      </c>
      <c r="H32" s="1681">
        <v>110.7</v>
      </c>
      <c r="I32" s="1681">
        <v>5374</v>
      </c>
      <c r="J32" s="1681">
        <v>126.7</v>
      </c>
      <c r="K32" s="1681">
        <v>115.5</v>
      </c>
      <c r="L32" s="1681">
        <v>122.2</v>
      </c>
      <c r="M32" s="1681">
        <v>0.8</v>
      </c>
      <c r="N32" s="1681">
        <v>10.241006461507268</v>
      </c>
      <c r="O32" s="1681">
        <v>10.950801398777088</v>
      </c>
    </row>
    <row r="33" spans="1:15" ht="14.25" hidden="1" customHeight="1">
      <c r="A33" s="1687" t="s">
        <v>27</v>
      </c>
      <c r="B33" s="1681">
        <v>9278.84</v>
      </c>
      <c r="C33" s="1681">
        <v>123.4</v>
      </c>
      <c r="D33" s="1681"/>
      <c r="E33" s="1681">
        <v>5368.2</v>
      </c>
      <c r="F33" s="1681">
        <v>107.8</v>
      </c>
      <c r="G33" s="1681">
        <v>4307</v>
      </c>
      <c r="H33" s="1681">
        <v>110.4</v>
      </c>
      <c r="I33" s="1681">
        <v>6117.78</v>
      </c>
      <c r="J33" s="1681">
        <v>126.8</v>
      </c>
      <c r="K33" s="1681">
        <v>116.36</v>
      </c>
      <c r="L33" s="1681">
        <v>121.7</v>
      </c>
      <c r="M33" s="1681">
        <v>0.5</v>
      </c>
      <c r="N33" s="1681">
        <v>6.1429576927333471</v>
      </c>
      <c r="O33" s="1681">
        <v>10.454329524005686</v>
      </c>
    </row>
    <row r="34" spans="1:15" ht="14.25" hidden="1" customHeight="1">
      <c r="A34" s="1687" t="s">
        <v>28</v>
      </c>
      <c r="B34" s="1681">
        <v>10465.94</v>
      </c>
      <c r="C34" s="1681">
        <v>125.2</v>
      </c>
      <c r="D34" s="1681"/>
      <c r="E34" s="1681">
        <v>6061.04</v>
      </c>
      <c r="F34" s="1681">
        <v>108.1</v>
      </c>
      <c r="G34" s="1681">
        <v>4716.66</v>
      </c>
      <c r="H34" s="1681">
        <v>111.9</v>
      </c>
      <c r="I34" s="1681">
        <v>6884.9</v>
      </c>
      <c r="J34" s="1681">
        <v>126.9</v>
      </c>
      <c r="K34" s="1681">
        <v>117.12</v>
      </c>
      <c r="L34" s="1681">
        <v>122.2</v>
      </c>
      <c r="M34" s="1681">
        <v>1.1000000000000001</v>
      </c>
      <c r="N34" s="1681">
        <v>4.9376642905702965</v>
      </c>
      <c r="O34" s="1681">
        <v>9.9274216548090237</v>
      </c>
    </row>
    <row r="35" spans="1:15" ht="14.25" hidden="1" customHeight="1">
      <c r="A35" s="1687" t="s">
        <v>29</v>
      </c>
      <c r="B35" s="1681">
        <v>12522.5</v>
      </c>
      <c r="C35" s="1681">
        <v>126.4</v>
      </c>
      <c r="D35" s="1681"/>
      <c r="E35" s="1681">
        <v>6055</v>
      </c>
      <c r="F35" s="1681">
        <v>108.3</v>
      </c>
      <c r="G35" s="1681">
        <v>5424.3</v>
      </c>
      <c r="H35" s="1681">
        <v>112.7</v>
      </c>
      <c r="I35" s="1681">
        <v>7792.3</v>
      </c>
      <c r="J35" s="1681">
        <v>125.7</v>
      </c>
      <c r="K35" s="1681">
        <v>117.9</v>
      </c>
      <c r="L35" s="1681">
        <v>121.9</v>
      </c>
      <c r="M35" s="1681">
        <v>2.2000000000000002</v>
      </c>
      <c r="N35" s="1681">
        <v>5.4</v>
      </c>
      <c r="O35" s="1681">
        <v>9.6</v>
      </c>
    </row>
    <row r="36" spans="1:15" ht="14.25" hidden="1" customHeight="1">
      <c r="A36" s="1687"/>
      <c r="B36" s="1681"/>
      <c r="C36" s="1681"/>
      <c r="D36" s="1681"/>
      <c r="E36" s="1681"/>
      <c r="F36" s="1681"/>
      <c r="G36" s="1681"/>
      <c r="H36" s="1681"/>
      <c r="I36" s="1681"/>
      <c r="J36" s="1681"/>
      <c r="K36" s="1681"/>
      <c r="L36" s="1681"/>
      <c r="M36" s="1681"/>
      <c r="N36" s="1681"/>
      <c r="O36" s="1681"/>
    </row>
    <row r="37" spans="1:15" ht="14.25" hidden="1" customHeight="1">
      <c r="A37" s="1679">
        <v>2006</v>
      </c>
      <c r="B37" s="1681">
        <v>18746.2</v>
      </c>
      <c r="C37" s="1681">
        <v>134.5</v>
      </c>
      <c r="D37" s="1681">
        <v>107.1</v>
      </c>
      <c r="E37" s="1681">
        <v>7630</v>
      </c>
      <c r="F37" s="1681">
        <v>111.9</v>
      </c>
      <c r="G37" s="1681">
        <v>6234.4836999999998</v>
      </c>
      <c r="H37" s="1681">
        <v>114.8</v>
      </c>
      <c r="I37" s="1681">
        <v>9949.7999999999993</v>
      </c>
      <c r="J37" s="1681">
        <v>123.4</v>
      </c>
      <c r="K37" s="1681">
        <v>141.30000000000001</v>
      </c>
      <c r="L37" s="1681">
        <v>119.8</v>
      </c>
      <c r="M37" s="1681">
        <v>2.1</v>
      </c>
      <c r="N37" s="1681">
        <v>11.4</v>
      </c>
      <c r="O37" s="1681">
        <v>8.3000000000000007</v>
      </c>
    </row>
    <row r="38" spans="1:15" ht="14.25" hidden="1" customHeight="1">
      <c r="A38" s="1687" t="s">
        <v>18</v>
      </c>
      <c r="B38" s="1681">
        <v>1012.8</v>
      </c>
      <c r="C38" s="1681">
        <v>134.6</v>
      </c>
      <c r="D38" s="1681"/>
      <c r="E38" s="1681">
        <v>513</v>
      </c>
      <c r="F38" s="1681">
        <v>106.4</v>
      </c>
      <c r="G38" s="1681">
        <v>356.5</v>
      </c>
      <c r="H38" s="1681">
        <v>101.2</v>
      </c>
      <c r="I38" s="1681">
        <v>602.5</v>
      </c>
      <c r="J38" s="1681">
        <v>117.9</v>
      </c>
      <c r="K38" s="1681">
        <v>127.2</v>
      </c>
      <c r="L38" s="1681">
        <v>119.5</v>
      </c>
      <c r="M38" s="1681">
        <v>1.3</v>
      </c>
      <c r="N38" s="1681">
        <v>5.3</v>
      </c>
      <c r="O38" s="1681">
        <v>5.3</v>
      </c>
    </row>
    <row r="39" spans="1:15" ht="14.25" hidden="1" customHeight="1">
      <c r="A39" s="1687" t="s">
        <v>19</v>
      </c>
      <c r="B39" s="1681">
        <v>2228.9</v>
      </c>
      <c r="C39" s="1681">
        <v>148.1</v>
      </c>
      <c r="D39" s="1681"/>
      <c r="E39" s="1681">
        <v>1066.8</v>
      </c>
      <c r="F39" s="1681">
        <v>107.6</v>
      </c>
      <c r="G39" s="1681">
        <v>687.7</v>
      </c>
      <c r="H39" s="1681">
        <v>105.2</v>
      </c>
      <c r="I39" s="1681">
        <v>1572.1</v>
      </c>
      <c r="J39" s="1681">
        <v>118.4</v>
      </c>
      <c r="K39" s="1681">
        <v>128.69999999999999</v>
      </c>
      <c r="L39" s="1681">
        <v>120.7</v>
      </c>
      <c r="M39" s="1681">
        <v>1.9</v>
      </c>
      <c r="N39" s="1681">
        <v>6.1</v>
      </c>
      <c r="O39" s="1681">
        <v>5.7</v>
      </c>
    </row>
    <row r="40" spans="1:15" ht="14.25" hidden="1" customHeight="1">
      <c r="A40" s="1687" t="s">
        <v>20</v>
      </c>
      <c r="B40" s="1681">
        <v>3223</v>
      </c>
      <c r="C40" s="1681">
        <v>139.5</v>
      </c>
      <c r="D40" s="1681"/>
      <c r="E40" s="1681">
        <v>1310.5</v>
      </c>
      <c r="F40" s="1681">
        <v>108.9</v>
      </c>
      <c r="G40" s="1681">
        <v>1106.7</v>
      </c>
      <c r="H40" s="1681">
        <v>106.9</v>
      </c>
      <c r="I40" s="1681">
        <v>2460.6</v>
      </c>
      <c r="J40" s="1681">
        <v>118.6</v>
      </c>
      <c r="K40" s="1681">
        <v>129.69999999999999</v>
      </c>
      <c r="L40" s="1681">
        <v>120.3</v>
      </c>
      <c r="M40" s="1681">
        <v>1.3</v>
      </c>
      <c r="N40" s="1681">
        <v>5</v>
      </c>
      <c r="O40" s="1681">
        <v>5.5</v>
      </c>
    </row>
    <row r="41" spans="1:15" ht="14.25" hidden="1" customHeight="1">
      <c r="A41" s="1687" t="s">
        <v>21</v>
      </c>
      <c r="B41" s="1681">
        <v>4477.8999999999996</v>
      </c>
      <c r="C41" s="1681">
        <v>139.5</v>
      </c>
      <c r="D41" s="1681"/>
      <c r="E41" s="1681">
        <v>2185</v>
      </c>
      <c r="F41" s="1681">
        <v>108</v>
      </c>
      <c r="G41" s="1681">
        <v>1668.2</v>
      </c>
      <c r="H41" s="1681">
        <v>111.3</v>
      </c>
      <c r="I41" s="1681">
        <v>3249.1</v>
      </c>
      <c r="J41" s="1681">
        <v>118.9</v>
      </c>
      <c r="K41" s="1681">
        <v>132</v>
      </c>
      <c r="L41" s="1681">
        <v>120.2</v>
      </c>
      <c r="M41" s="1681">
        <v>0.7</v>
      </c>
      <c r="N41" s="1681">
        <v>5.2</v>
      </c>
      <c r="O41" s="1681">
        <v>5.4</v>
      </c>
    </row>
    <row r="42" spans="1:15" ht="14.25" hidden="1" customHeight="1">
      <c r="A42" s="1687" t="s">
        <v>22</v>
      </c>
      <c r="B42" s="1681">
        <v>5853.9</v>
      </c>
      <c r="C42" s="1681">
        <v>138</v>
      </c>
      <c r="D42" s="1681"/>
      <c r="E42" s="1681">
        <v>2926.7</v>
      </c>
      <c r="F42" s="1681">
        <v>108</v>
      </c>
      <c r="G42" s="1681">
        <v>2184.1</v>
      </c>
      <c r="H42" s="1681">
        <v>108.8</v>
      </c>
      <c r="I42" s="1681">
        <v>4043.7</v>
      </c>
      <c r="J42" s="1681">
        <v>119.6</v>
      </c>
      <c r="K42" s="1681">
        <v>133.69999999999999</v>
      </c>
      <c r="L42" s="1681">
        <v>120.3</v>
      </c>
      <c r="M42" s="1681">
        <v>0.3</v>
      </c>
      <c r="N42" s="1681">
        <v>6.3</v>
      </c>
      <c r="O42" s="1681">
        <v>5.6</v>
      </c>
    </row>
    <row r="43" spans="1:15" ht="14.25" hidden="1" customHeight="1">
      <c r="A43" s="1687" t="s">
        <v>23</v>
      </c>
      <c r="B43" s="1681">
        <v>7146.4</v>
      </c>
      <c r="C43" s="1681">
        <v>136.30000000000001</v>
      </c>
      <c r="D43" s="1681"/>
      <c r="E43" s="1681">
        <v>3584.8</v>
      </c>
      <c r="F43" s="1681">
        <v>108.8</v>
      </c>
      <c r="G43" s="1681">
        <v>2626.7</v>
      </c>
      <c r="H43" s="1681">
        <v>107.9</v>
      </c>
      <c r="I43" s="1681">
        <v>4843.2</v>
      </c>
      <c r="J43" s="1681">
        <v>119.6</v>
      </c>
      <c r="K43" s="1681">
        <v>135.1</v>
      </c>
      <c r="L43" s="1681">
        <v>120.4</v>
      </c>
      <c r="M43" s="1681">
        <v>-0.1</v>
      </c>
      <c r="N43" s="1681">
        <v>8.1</v>
      </c>
      <c r="O43" s="1681">
        <v>6</v>
      </c>
    </row>
    <row r="44" spans="1:15" s="1688" customFormat="1" ht="15" hidden="1">
      <c r="A44" s="1687" t="s">
        <v>24</v>
      </c>
      <c r="B44" s="1681">
        <v>8803.5</v>
      </c>
      <c r="C44" s="1681">
        <v>135.1</v>
      </c>
      <c r="D44" s="1681"/>
      <c r="E44" s="1681">
        <v>4435.5</v>
      </c>
      <c r="F44" s="1681">
        <v>108.5</v>
      </c>
      <c r="G44" s="1681">
        <v>3164.3</v>
      </c>
      <c r="H44" s="1681">
        <v>112.9</v>
      </c>
      <c r="I44" s="1681">
        <v>5704.1</v>
      </c>
      <c r="J44" s="1681">
        <v>120.1</v>
      </c>
      <c r="K44" s="1681">
        <v>136.1</v>
      </c>
      <c r="L44" s="1681">
        <v>120</v>
      </c>
      <c r="M44" s="1681">
        <v>-0.3</v>
      </c>
      <c r="N44" s="1681">
        <v>9.6</v>
      </c>
      <c r="O44" s="1681">
        <v>6.5</v>
      </c>
    </row>
    <row r="45" spans="1:15" s="1688" customFormat="1" ht="15" hidden="1">
      <c r="A45" s="1687" t="s">
        <v>25</v>
      </c>
      <c r="B45" s="1681">
        <v>10296.700000000001</v>
      </c>
      <c r="C45" s="1681">
        <v>134.4</v>
      </c>
      <c r="D45" s="1681"/>
      <c r="E45" s="1681">
        <v>4993.5</v>
      </c>
      <c r="F45" s="1681">
        <v>108</v>
      </c>
      <c r="G45" s="1681">
        <v>3623.9</v>
      </c>
      <c r="H45" s="1681">
        <v>111.7</v>
      </c>
      <c r="I45" s="1681">
        <v>6536.9</v>
      </c>
      <c r="J45" s="1681">
        <v>120.6</v>
      </c>
      <c r="K45" s="1681">
        <v>137.4</v>
      </c>
      <c r="L45" s="1681">
        <v>120</v>
      </c>
      <c r="M45" s="1681">
        <v>0</v>
      </c>
      <c r="N45" s="1681">
        <v>10.199999999999999</v>
      </c>
      <c r="O45" s="1681">
        <v>6.9</v>
      </c>
    </row>
    <row r="46" spans="1:15" s="1688" customFormat="1" ht="15" hidden="1">
      <c r="A46" s="1687" t="s">
        <v>26</v>
      </c>
      <c r="B46" s="1681">
        <v>12730.2</v>
      </c>
      <c r="C46" s="1681">
        <v>134</v>
      </c>
      <c r="D46" s="1681"/>
      <c r="E46" s="1681">
        <v>5880.4</v>
      </c>
      <c r="F46" s="1681">
        <v>107.6</v>
      </c>
      <c r="G46" s="1681">
        <v>4251.5</v>
      </c>
      <c r="H46" s="1681">
        <v>116.4</v>
      </c>
      <c r="I46" s="1681">
        <v>7416.2</v>
      </c>
      <c r="J46" s="1681">
        <v>121.2</v>
      </c>
      <c r="K46" s="1681">
        <v>138.5</v>
      </c>
      <c r="L46" s="1681">
        <v>119.9</v>
      </c>
      <c r="M46" s="1681">
        <v>0.9</v>
      </c>
      <c r="N46" s="1681">
        <v>10.3</v>
      </c>
      <c r="O46" s="1681">
        <v>7.3</v>
      </c>
    </row>
    <row r="47" spans="1:15" s="1688" customFormat="1" ht="15" hidden="1">
      <c r="A47" s="1687" t="s">
        <v>27</v>
      </c>
      <c r="B47" s="1681">
        <v>14761.8</v>
      </c>
      <c r="C47" s="1681">
        <v>134.30000000000001</v>
      </c>
      <c r="D47" s="1681"/>
      <c r="E47" s="1681">
        <v>7037.2</v>
      </c>
      <c r="F47" s="1681">
        <v>111</v>
      </c>
      <c r="G47" s="1681">
        <v>4750.1000000000004</v>
      </c>
      <c r="H47" s="1681">
        <v>115</v>
      </c>
      <c r="I47" s="1681">
        <v>8339.2000000000007</v>
      </c>
      <c r="J47" s="1681">
        <v>121.9</v>
      </c>
      <c r="K47" s="1681">
        <v>139.5</v>
      </c>
      <c r="L47" s="1681">
        <v>119.8</v>
      </c>
      <c r="M47" s="1681">
        <v>1.3</v>
      </c>
      <c r="N47" s="1681">
        <v>11.2</v>
      </c>
      <c r="O47" s="1681">
        <v>7.7</v>
      </c>
    </row>
    <row r="48" spans="1:15" s="1688" customFormat="1" ht="15" hidden="1">
      <c r="A48" s="1687" t="s">
        <v>28</v>
      </c>
      <c r="B48" s="1681">
        <v>16329.4</v>
      </c>
      <c r="C48" s="1681">
        <v>134.4</v>
      </c>
      <c r="D48" s="1681"/>
      <c r="E48" s="1681">
        <v>7605.8</v>
      </c>
      <c r="F48" s="1681">
        <v>111.2</v>
      </c>
      <c r="G48" s="1681">
        <v>5219.5</v>
      </c>
      <c r="H48" s="1681">
        <v>115.2</v>
      </c>
      <c r="I48" s="1681">
        <v>9223.2000000000007</v>
      </c>
      <c r="J48" s="1681">
        <v>122.5</v>
      </c>
      <c r="K48" s="1681">
        <v>140.4</v>
      </c>
      <c r="L48" s="1681">
        <v>119.9</v>
      </c>
      <c r="M48" s="1681">
        <v>1.3</v>
      </c>
      <c r="N48" s="1681">
        <v>11.5</v>
      </c>
      <c r="O48" s="1681">
        <v>8</v>
      </c>
    </row>
    <row r="49" spans="1:187" s="1688" customFormat="1" ht="15.75" hidden="1" customHeight="1">
      <c r="A49" s="1687" t="s">
        <v>29</v>
      </c>
      <c r="B49" s="1681">
        <v>18746.2</v>
      </c>
      <c r="C49" s="1681">
        <v>134.5</v>
      </c>
      <c r="D49" s="1681"/>
      <c r="E49" s="1681">
        <v>7630</v>
      </c>
      <c r="F49" s="1681">
        <v>111.8</v>
      </c>
      <c r="G49" s="1681">
        <v>5963.6</v>
      </c>
      <c r="H49" s="1681">
        <v>114.8</v>
      </c>
      <c r="I49" s="1681">
        <v>9949.7999999999993</v>
      </c>
      <c r="J49" s="1681">
        <v>123.4</v>
      </c>
      <c r="K49" s="1681">
        <v>141.30000000000001</v>
      </c>
      <c r="L49" s="1681">
        <v>119.8</v>
      </c>
      <c r="M49" s="1681">
        <v>2.1</v>
      </c>
      <c r="N49" s="1681">
        <v>11.4</v>
      </c>
      <c r="O49" s="1681">
        <v>8.3000000000000007</v>
      </c>
    </row>
    <row r="50" spans="1:187" s="1688" customFormat="1" ht="15" hidden="1">
      <c r="A50" s="1679">
        <v>2007</v>
      </c>
      <c r="B50" s="1681">
        <v>28360.5</v>
      </c>
      <c r="C50" s="1681">
        <v>125</v>
      </c>
      <c r="D50" s="1681">
        <v>114.4</v>
      </c>
      <c r="E50" s="1681">
        <v>10576.1</v>
      </c>
      <c r="F50" s="1681">
        <v>111.4</v>
      </c>
      <c r="G50" s="1681">
        <v>7471.1899000000003</v>
      </c>
      <c r="H50" s="1681">
        <v>117.8</v>
      </c>
      <c r="I50" s="1681">
        <v>14305.6</v>
      </c>
      <c r="J50" s="1681">
        <v>140.30000000000001</v>
      </c>
      <c r="K50" s="1681">
        <v>214</v>
      </c>
      <c r="L50" s="1681">
        <v>142</v>
      </c>
      <c r="M50" s="1681">
        <v>2.5</v>
      </c>
      <c r="N50" s="1681">
        <v>19.636026926081001</v>
      </c>
      <c r="O50" s="1681">
        <v>16.7</v>
      </c>
    </row>
    <row r="51" spans="1:187" s="1688" customFormat="1" ht="15" hidden="1" customHeight="1">
      <c r="A51" s="1687" t="s">
        <v>18</v>
      </c>
      <c r="B51" s="1681" t="s">
        <v>30</v>
      </c>
      <c r="C51" s="1681">
        <v>146.69999999999999</v>
      </c>
      <c r="D51" s="1681">
        <v>100.1</v>
      </c>
      <c r="E51" s="1681">
        <v>613.6</v>
      </c>
      <c r="F51" s="1681">
        <v>106.2</v>
      </c>
      <c r="G51" s="1681">
        <v>357.2</v>
      </c>
      <c r="H51" s="1681">
        <v>103.5</v>
      </c>
      <c r="I51" s="1681">
        <v>838.7</v>
      </c>
      <c r="J51" s="1681">
        <v>129.9</v>
      </c>
      <c r="K51" s="1681">
        <v>160.6</v>
      </c>
      <c r="L51" s="1681">
        <v>126.3</v>
      </c>
      <c r="M51" s="1681">
        <v>6.4</v>
      </c>
      <c r="N51" s="1681">
        <v>17</v>
      </c>
      <c r="O51" s="1681">
        <v>17</v>
      </c>
    </row>
    <row r="52" spans="1:187" s="1688" customFormat="1" ht="15" hidden="1" customHeight="1">
      <c r="A52" s="1687" t="s">
        <v>19</v>
      </c>
      <c r="B52" s="1681" t="s">
        <v>31</v>
      </c>
      <c r="C52" s="1681">
        <v>141.69999999999999</v>
      </c>
      <c r="D52" s="1681">
        <v>101.4</v>
      </c>
      <c r="E52" s="1681">
        <v>1255.7</v>
      </c>
      <c r="F52" s="1681">
        <v>106.6</v>
      </c>
      <c r="G52" s="1681">
        <v>725.1</v>
      </c>
      <c r="H52" s="1681">
        <v>113.9</v>
      </c>
      <c r="I52" s="1681">
        <v>1825.7</v>
      </c>
      <c r="J52" s="1681">
        <v>133</v>
      </c>
      <c r="K52" s="1681">
        <v>161.4</v>
      </c>
      <c r="L52" s="1681">
        <v>125.4</v>
      </c>
      <c r="M52" s="1681">
        <v>1.5</v>
      </c>
      <c r="N52" s="1681">
        <v>16.5</v>
      </c>
      <c r="O52" s="1681">
        <v>16.7</v>
      </c>
    </row>
    <row r="53" spans="1:187" s="1688" customFormat="1" ht="15" hidden="1" customHeight="1">
      <c r="A53" s="1687" t="s">
        <v>20</v>
      </c>
      <c r="B53" s="1681" t="s">
        <v>32</v>
      </c>
      <c r="C53" s="1681">
        <v>139.69999999999999</v>
      </c>
      <c r="D53" s="1681">
        <v>102.1</v>
      </c>
      <c r="E53" s="1681">
        <v>2005.8</v>
      </c>
      <c r="F53" s="1681">
        <v>106.6</v>
      </c>
      <c r="G53" s="1681">
        <v>1180</v>
      </c>
      <c r="H53" s="1681">
        <v>112.3</v>
      </c>
      <c r="I53" s="1681">
        <v>2924.4</v>
      </c>
      <c r="J53" s="1681">
        <v>135.19999999999999</v>
      </c>
      <c r="K53" s="1681">
        <v>163.69999999999999</v>
      </c>
      <c r="L53" s="1681">
        <v>126.2</v>
      </c>
      <c r="M53" s="1681">
        <v>1.2</v>
      </c>
      <c r="N53" s="1681">
        <v>16.399999999999999</v>
      </c>
      <c r="O53" s="1681">
        <v>16.600000000000001</v>
      </c>
    </row>
    <row r="54" spans="1:187" s="1689" customFormat="1" ht="15" hidden="1" customHeight="1">
      <c r="A54" s="1687" t="s">
        <v>21</v>
      </c>
      <c r="B54" s="1681" t="s">
        <v>33</v>
      </c>
      <c r="C54" s="1681">
        <v>137.1</v>
      </c>
      <c r="D54" s="1681">
        <v>101.9</v>
      </c>
      <c r="E54" s="1681">
        <v>2746.5</v>
      </c>
      <c r="F54" s="1681">
        <v>107.4</v>
      </c>
      <c r="G54" s="1681">
        <v>1692.8</v>
      </c>
      <c r="H54" s="1681">
        <v>109.6</v>
      </c>
      <c r="I54" s="1681">
        <v>4008.9</v>
      </c>
      <c r="J54" s="1681">
        <v>136.69999999999999</v>
      </c>
      <c r="K54" s="1681">
        <v>166.1</v>
      </c>
      <c r="L54" s="1681">
        <v>125.8</v>
      </c>
      <c r="M54" s="1681">
        <v>0.4</v>
      </c>
      <c r="N54" s="1681">
        <v>16</v>
      </c>
      <c r="O54" s="1681">
        <v>16.5</v>
      </c>
      <c r="P54" s="1688"/>
      <c r="Q54" s="1688"/>
      <c r="R54" s="1688"/>
      <c r="S54" s="1688"/>
      <c r="T54" s="1688"/>
      <c r="U54" s="1688"/>
      <c r="V54" s="1688"/>
      <c r="W54" s="1688"/>
      <c r="X54" s="1688"/>
      <c r="Y54" s="1688"/>
      <c r="Z54" s="1688"/>
      <c r="AA54" s="1688"/>
      <c r="AB54" s="1688"/>
      <c r="AC54" s="1688"/>
      <c r="AD54" s="1688"/>
      <c r="AE54" s="1688"/>
      <c r="AF54" s="1688"/>
      <c r="AG54" s="1688"/>
      <c r="AH54" s="1688"/>
      <c r="AI54" s="1688"/>
      <c r="AJ54" s="1688"/>
      <c r="AK54" s="1688"/>
      <c r="AL54" s="1688"/>
      <c r="AM54" s="1688"/>
      <c r="AN54" s="1688"/>
      <c r="AO54" s="1688"/>
      <c r="AP54" s="1688"/>
      <c r="AQ54" s="1688"/>
      <c r="AR54" s="1688"/>
      <c r="AS54" s="1688"/>
      <c r="AT54" s="1688"/>
      <c r="AU54" s="1688"/>
      <c r="AV54" s="1688"/>
      <c r="AW54" s="1688"/>
      <c r="AX54" s="1688"/>
      <c r="AY54" s="1688"/>
      <c r="AZ54" s="1688"/>
      <c r="BA54" s="1688"/>
      <c r="BB54" s="1688"/>
      <c r="BC54" s="1688"/>
      <c r="BD54" s="1688"/>
      <c r="BE54" s="1688"/>
      <c r="BF54" s="1688"/>
      <c r="BG54" s="1688"/>
      <c r="BH54" s="1688"/>
      <c r="BI54" s="1688"/>
      <c r="BJ54" s="1688"/>
      <c r="BK54" s="1688"/>
      <c r="BL54" s="1688"/>
      <c r="BM54" s="1688"/>
      <c r="BN54" s="1688"/>
      <c r="BO54" s="1688"/>
      <c r="BP54" s="1688"/>
      <c r="BQ54" s="1688"/>
      <c r="BR54" s="1688"/>
      <c r="BS54" s="1688"/>
      <c r="BT54" s="1688"/>
      <c r="BU54" s="1688"/>
      <c r="BV54" s="1688"/>
      <c r="BW54" s="1688"/>
      <c r="BX54" s="1688"/>
      <c r="BY54" s="1688"/>
      <c r="BZ54" s="1688"/>
      <c r="CA54" s="1688"/>
      <c r="CB54" s="1688"/>
      <c r="CC54" s="1688"/>
      <c r="CD54" s="1688"/>
      <c r="CE54" s="1688"/>
      <c r="CF54" s="1688"/>
      <c r="CG54" s="1688"/>
      <c r="CH54" s="1688"/>
      <c r="CI54" s="1688"/>
      <c r="CJ54" s="1688"/>
      <c r="CK54" s="1688"/>
      <c r="CL54" s="1688"/>
      <c r="CM54" s="1688"/>
      <c r="CN54" s="1688"/>
      <c r="CO54" s="1688"/>
      <c r="CP54" s="1688"/>
      <c r="CQ54" s="1688"/>
      <c r="CR54" s="1688"/>
      <c r="CS54" s="1688"/>
      <c r="CT54" s="1688"/>
      <c r="CU54" s="1688"/>
      <c r="CV54" s="1688"/>
      <c r="CW54" s="1688"/>
      <c r="CX54" s="1688"/>
      <c r="CY54" s="1688"/>
      <c r="CZ54" s="1688"/>
      <c r="DA54" s="1688"/>
      <c r="DB54" s="1688"/>
      <c r="DC54" s="1688"/>
      <c r="DD54" s="1688"/>
      <c r="DE54" s="1688"/>
      <c r="DF54" s="1688"/>
      <c r="DG54" s="1688"/>
      <c r="DH54" s="1688"/>
      <c r="DI54" s="1688"/>
      <c r="DJ54" s="1688"/>
      <c r="DK54" s="1688"/>
      <c r="DL54" s="1688"/>
      <c r="DM54" s="1688"/>
      <c r="DN54" s="1688"/>
      <c r="DO54" s="1688"/>
      <c r="DP54" s="1688"/>
      <c r="DQ54" s="1688"/>
      <c r="DR54" s="1688"/>
      <c r="DS54" s="1688"/>
      <c r="DT54" s="1688"/>
      <c r="DU54" s="1688"/>
      <c r="DV54" s="1688"/>
      <c r="DW54" s="1688"/>
      <c r="DX54" s="1688"/>
      <c r="DY54" s="1688"/>
      <c r="DZ54" s="1688"/>
      <c r="EA54" s="1688"/>
      <c r="EB54" s="1688"/>
      <c r="EC54" s="1688"/>
      <c r="ED54" s="1688"/>
      <c r="EE54" s="1688"/>
      <c r="EF54" s="1688"/>
      <c r="EG54" s="1688"/>
      <c r="EH54" s="1688"/>
      <c r="EI54" s="1688"/>
      <c r="EJ54" s="1688"/>
      <c r="EK54" s="1688"/>
      <c r="EL54" s="1688"/>
      <c r="EM54" s="1688"/>
      <c r="EN54" s="1688"/>
      <c r="EO54" s="1688"/>
      <c r="EP54" s="1688"/>
      <c r="EQ54" s="1688"/>
      <c r="ER54" s="1688"/>
      <c r="ES54" s="1688"/>
      <c r="ET54" s="1688"/>
      <c r="EU54" s="1688"/>
      <c r="EV54" s="1688"/>
      <c r="EW54" s="1688"/>
      <c r="EX54" s="1688"/>
      <c r="EY54" s="1688"/>
      <c r="EZ54" s="1688"/>
      <c r="FA54" s="1688"/>
      <c r="FB54" s="1688"/>
      <c r="FC54" s="1688"/>
      <c r="FD54" s="1688"/>
      <c r="FE54" s="1688"/>
      <c r="FF54" s="1688"/>
      <c r="FG54" s="1688"/>
      <c r="FH54" s="1688"/>
      <c r="FI54" s="1688"/>
      <c r="FJ54" s="1688"/>
      <c r="FK54" s="1688"/>
      <c r="FL54" s="1688"/>
      <c r="FM54" s="1688"/>
      <c r="FN54" s="1688"/>
      <c r="FO54" s="1688"/>
      <c r="FP54" s="1688"/>
      <c r="FQ54" s="1688"/>
      <c r="FR54" s="1688"/>
      <c r="FS54" s="1688"/>
      <c r="FT54" s="1688"/>
      <c r="FU54" s="1688"/>
      <c r="FV54" s="1688"/>
      <c r="FW54" s="1688"/>
      <c r="FX54" s="1688"/>
      <c r="FY54" s="1688"/>
      <c r="FZ54" s="1688"/>
      <c r="GA54" s="1688"/>
      <c r="GB54" s="1688"/>
      <c r="GC54" s="1688"/>
      <c r="GD54" s="1688"/>
      <c r="GE54" s="1688"/>
    </row>
    <row r="55" spans="1:187" s="1689" customFormat="1" ht="15" hidden="1" customHeight="1">
      <c r="A55" s="1687" t="s">
        <v>22</v>
      </c>
      <c r="B55" s="1681" t="s">
        <v>34</v>
      </c>
      <c r="C55" s="1681">
        <v>136.19999999999999</v>
      </c>
      <c r="D55" s="1681">
        <v>100.6</v>
      </c>
      <c r="E55" s="1681">
        <v>3572.1</v>
      </c>
      <c r="F55" s="1681">
        <v>108</v>
      </c>
      <c r="G55" s="1681">
        <v>2272.1</v>
      </c>
      <c r="H55" s="1681">
        <v>109.9</v>
      </c>
      <c r="I55" s="1681">
        <v>5017</v>
      </c>
      <c r="J55" s="1681">
        <v>136.9</v>
      </c>
      <c r="K55" s="1681">
        <v>168.6</v>
      </c>
      <c r="L55" s="1681">
        <v>126.1</v>
      </c>
      <c r="M55" s="1681">
        <v>-0.3</v>
      </c>
      <c r="N55" s="1681">
        <v>15.3</v>
      </c>
      <c r="O55" s="1681">
        <v>16.2</v>
      </c>
      <c r="P55" s="1688"/>
      <c r="Q55" s="1688"/>
      <c r="R55" s="1688"/>
      <c r="S55" s="1688"/>
      <c r="T55" s="1688"/>
      <c r="U55" s="1688"/>
      <c r="V55" s="1688"/>
      <c r="W55" s="1688"/>
      <c r="X55" s="1688"/>
      <c r="Y55" s="1688"/>
      <c r="Z55" s="1688"/>
      <c r="AA55" s="1688"/>
      <c r="AB55" s="1688"/>
      <c r="AC55" s="1688"/>
      <c r="AD55" s="1688"/>
      <c r="AE55" s="1688"/>
      <c r="AF55" s="1688"/>
      <c r="AG55" s="1688"/>
      <c r="AH55" s="1688"/>
      <c r="AI55" s="1688"/>
      <c r="AJ55" s="1688"/>
      <c r="AK55" s="1688"/>
      <c r="AL55" s="1688"/>
      <c r="AM55" s="1688"/>
      <c r="AN55" s="1688"/>
      <c r="AO55" s="1688"/>
      <c r="AP55" s="1688"/>
      <c r="AQ55" s="1688"/>
      <c r="AR55" s="1688"/>
      <c r="AS55" s="1688"/>
      <c r="AT55" s="1688"/>
      <c r="AU55" s="1688"/>
      <c r="AV55" s="1688"/>
      <c r="AW55" s="1688"/>
      <c r="AX55" s="1688"/>
      <c r="AY55" s="1688"/>
      <c r="AZ55" s="1688"/>
      <c r="BA55" s="1688"/>
      <c r="BB55" s="1688"/>
      <c r="BC55" s="1688"/>
      <c r="BD55" s="1688"/>
      <c r="BE55" s="1688"/>
      <c r="BF55" s="1688"/>
      <c r="BG55" s="1688"/>
      <c r="BH55" s="1688"/>
      <c r="BI55" s="1688"/>
      <c r="BJ55" s="1688"/>
      <c r="BK55" s="1688"/>
      <c r="BL55" s="1688"/>
      <c r="BM55" s="1688"/>
      <c r="BN55" s="1688"/>
      <c r="BO55" s="1688"/>
      <c r="BP55" s="1688"/>
      <c r="BQ55" s="1688"/>
      <c r="BR55" s="1688"/>
      <c r="BS55" s="1688"/>
      <c r="BT55" s="1688"/>
      <c r="BU55" s="1688"/>
      <c r="BV55" s="1688"/>
      <c r="BW55" s="1688"/>
      <c r="BX55" s="1688"/>
      <c r="BY55" s="1688"/>
      <c r="BZ55" s="1688"/>
      <c r="CA55" s="1688"/>
      <c r="CB55" s="1688"/>
      <c r="CC55" s="1688"/>
      <c r="CD55" s="1688"/>
      <c r="CE55" s="1688"/>
      <c r="CF55" s="1688"/>
      <c r="CG55" s="1688"/>
      <c r="CH55" s="1688"/>
      <c r="CI55" s="1688"/>
      <c r="CJ55" s="1688"/>
      <c r="CK55" s="1688"/>
      <c r="CL55" s="1688"/>
      <c r="CM55" s="1688"/>
      <c r="CN55" s="1688"/>
      <c r="CO55" s="1688"/>
      <c r="CP55" s="1688"/>
      <c r="CQ55" s="1688"/>
      <c r="CR55" s="1688"/>
      <c r="CS55" s="1688"/>
      <c r="CT55" s="1688"/>
      <c r="CU55" s="1688"/>
      <c r="CV55" s="1688"/>
      <c r="CW55" s="1688"/>
      <c r="CX55" s="1688"/>
      <c r="CY55" s="1688"/>
      <c r="CZ55" s="1688"/>
      <c r="DA55" s="1688"/>
      <c r="DB55" s="1688"/>
      <c r="DC55" s="1688"/>
      <c r="DD55" s="1688"/>
      <c r="DE55" s="1688"/>
      <c r="DF55" s="1688"/>
      <c r="DG55" s="1688"/>
      <c r="DH55" s="1688"/>
      <c r="DI55" s="1688"/>
      <c r="DJ55" s="1688"/>
      <c r="DK55" s="1688"/>
      <c r="DL55" s="1688"/>
      <c r="DM55" s="1688"/>
      <c r="DN55" s="1688"/>
      <c r="DO55" s="1688"/>
      <c r="DP55" s="1688"/>
      <c r="DQ55" s="1688"/>
      <c r="DR55" s="1688"/>
      <c r="DS55" s="1688"/>
      <c r="DT55" s="1688"/>
      <c r="DU55" s="1688"/>
      <c r="DV55" s="1688"/>
      <c r="DW55" s="1688"/>
      <c r="DX55" s="1688"/>
      <c r="DY55" s="1688"/>
      <c r="DZ55" s="1688"/>
      <c r="EA55" s="1688"/>
      <c r="EB55" s="1688"/>
      <c r="EC55" s="1688"/>
      <c r="ED55" s="1688"/>
      <c r="EE55" s="1688"/>
      <c r="EF55" s="1688"/>
      <c r="EG55" s="1688"/>
      <c r="EH55" s="1688"/>
      <c r="EI55" s="1688"/>
      <c r="EJ55" s="1688"/>
      <c r="EK55" s="1688"/>
      <c r="EL55" s="1688"/>
      <c r="EM55" s="1688"/>
      <c r="EN55" s="1688"/>
      <c r="EO55" s="1688"/>
      <c r="EP55" s="1688"/>
      <c r="EQ55" s="1688"/>
      <c r="ER55" s="1688"/>
      <c r="ES55" s="1688"/>
      <c r="ET55" s="1688"/>
      <c r="EU55" s="1688"/>
      <c r="EV55" s="1688"/>
      <c r="EW55" s="1688"/>
      <c r="EX55" s="1688"/>
      <c r="EY55" s="1688"/>
      <c r="EZ55" s="1688"/>
      <c r="FA55" s="1688"/>
      <c r="FB55" s="1688"/>
      <c r="FC55" s="1688"/>
      <c r="FD55" s="1688"/>
      <c r="FE55" s="1688"/>
      <c r="FF55" s="1688"/>
      <c r="FG55" s="1688"/>
      <c r="FH55" s="1688"/>
      <c r="FI55" s="1688"/>
      <c r="FJ55" s="1688"/>
      <c r="FK55" s="1688"/>
      <c r="FL55" s="1688"/>
      <c r="FM55" s="1688"/>
      <c r="FN55" s="1688"/>
      <c r="FO55" s="1688"/>
      <c r="FP55" s="1688"/>
      <c r="FQ55" s="1688"/>
      <c r="FR55" s="1688"/>
      <c r="FS55" s="1688"/>
      <c r="FT55" s="1688"/>
      <c r="FU55" s="1688"/>
      <c r="FV55" s="1688"/>
      <c r="FW55" s="1688"/>
      <c r="FX55" s="1688"/>
      <c r="FY55" s="1688"/>
      <c r="FZ55" s="1688"/>
      <c r="GA55" s="1688"/>
      <c r="GB55" s="1688"/>
      <c r="GC55" s="1688"/>
      <c r="GD55" s="1688"/>
      <c r="GE55" s="1688"/>
    </row>
    <row r="56" spans="1:187" s="1688" customFormat="1" ht="15" hidden="1" customHeight="1">
      <c r="A56" s="1687" t="s">
        <v>23</v>
      </c>
      <c r="B56" s="1681" t="s">
        <v>35</v>
      </c>
      <c r="C56" s="1681">
        <v>135.1</v>
      </c>
      <c r="D56" s="1681">
        <v>100.5</v>
      </c>
      <c r="E56" s="1681">
        <v>3688</v>
      </c>
      <c r="F56" s="1681">
        <v>107.8</v>
      </c>
      <c r="G56" s="1681">
        <v>2727.3</v>
      </c>
      <c r="H56" s="1681">
        <v>110.6</v>
      </c>
      <c r="I56" s="1681">
        <v>6001.3</v>
      </c>
      <c r="J56" s="1681">
        <v>138.4</v>
      </c>
      <c r="K56" s="1681">
        <v>170.7</v>
      </c>
      <c r="L56" s="1681">
        <v>126.4</v>
      </c>
      <c r="M56" s="1681">
        <v>-0.5</v>
      </c>
      <c r="N56" s="1681">
        <v>14.8</v>
      </c>
      <c r="O56" s="1681">
        <v>16</v>
      </c>
    </row>
    <row r="57" spans="1:187" s="1688" customFormat="1" ht="15" hidden="1" customHeight="1">
      <c r="A57" s="1687" t="s">
        <v>24</v>
      </c>
      <c r="B57" s="1681" t="s">
        <v>36</v>
      </c>
      <c r="C57" s="1681">
        <v>134.5</v>
      </c>
      <c r="D57" s="1681">
        <v>101.1</v>
      </c>
      <c r="E57" s="1681">
        <v>4458.3</v>
      </c>
      <c r="F57" s="1681">
        <v>108.2</v>
      </c>
      <c r="G57" s="1681">
        <v>3318.7</v>
      </c>
      <c r="H57" s="1681">
        <v>111.3</v>
      </c>
      <c r="I57" s="1681">
        <v>7026.1</v>
      </c>
      <c r="J57" s="1681">
        <v>139.1</v>
      </c>
      <c r="K57" s="1681">
        <v>173</v>
      </c>
      <c r="L57" s="1681">
        <v>127.1</v>
      </c>
      <c r="M57" s="1681">
        <v>0.1</v>
      </c>
      <c r="N57" s="1681">
        <v>15.3</v>
      </c>
      <c r="O57" s="1681">
        <v>15.9</v>
      </c>
    </row>
    <row r="58" spans="1:187" s="1688" customFormat="1" ht="15" hidden="1" customHeight="1">
      <c r="A58" s="1687" t="s">
        <v>25</v>
      </c>
      <c r="B58" s="1681" t="s">
        <v>37</v>
      </c>
      <c r="C58" s="1681">
        <v>132.5</v>
      </c>
      <c r="D58" s="1681">
        <v>101.2</v>
      </c>
      <c r="E58" s="1681">
        <v>5176.2</v>
      </c>
      <c r="F58" s="1681">
        <v>108.4</v>
      </c>
      <c r="G58" s="1681">
        <v>3827.7</v>
      </c>
      <c r="H58" s="1681">
        <v>111.6</v>
      </c>
      <c r="I58" s="1681">
        <v>8089.2</v>
      </c>
      <c r="J58" s="1681">
        <v>139.69999999999999</v>
      </c>
      <c r="K58" s="1681">
        <v>175.5</v>
      </c>
      <c r="L58" s="1681">
        <v>127.7</v>
      </c>
      <c r="M58" s="1681">
        <v>0.8</v>
      </c>
      <c r="N58" s="1681">
        <v>16.2</v>
      </c>
      <c r="O58" s="1681">
        <v>15.9</v>
      </c>
    </row>
    <row r="59" spans="1:187" s="1688" customFormat="1" ht="15" hidden="1" customHeight="1">
      <c r="A59" s="1687" t="s">
        <v>26</v>
      </c>
      <c r="B59" s="1681" t="s">
        <v>38</v>
      </c>
      <c r="C59" s="1681">
        <v>127.1</v>
      </c>
      <c r="D59" s="1681">
        <v>100.8</v>
      </c>
      <c r="E59" s="1681">
        <v>6301.5</v>
      </c>
      <c r="F59" s="1681">
        <v>108.9</v>
      </c>
      <c r="G59" s="1681">
        <v>4518.6000000000004</v>
      </c>
      <c r="H59" s="1681">
        <v>115.1</v>
      </c>
      <c r="I59" s="1681">
        <v>9115.2999999999993</v>
      </c>
      <c r="J59" s="1681">
        <v>139.80000000000001</v>
      </c>
      <c r="K59" s="1681">
        <v>177.6</v>
      </c>
      <c r="L59" s="1681">
        <v>128.19999999999999</v>
      </c>
      <c r="M59" s="1681">
        <v>1.1000000000000001</v>
      </c>
      <c r="N59" s="1681">
        <v>16.399999999999999</v>
      </c>
      <c r="O59" s="1681">
        <v>16</v>
      </c>
    </row>
    <row r="60" spans="1:187" s="1688" customFormat="1" ht="15" hidden="1" customHeight="1">
      <c r="A60" s="1687" t="s">
        <v>27</v>
      </c>
      <c r="B60" s="1681">
        <v>18739.599999999999</v>
      </c>
      <c r="C60" s="1681">
        <v>126.8</v>
      </c>
      <c r="D60" s="1681">
        <v>103.1</v>
      </c>
      <c r="E60" s="1681">
        <v>6762.8</v>
      </c>
      <c r="F60" s="1681">
        <v>109.6</v>
      </c>
      <c r="G60" s="1681">
        <v>5138.5</v>
      </c>
      <c r="H60" s="1681">
        <v>116.6</v>
      </c>
      <c r="I60" s="1681">
        <v>10603.2</v>
      </c>
      <c r="J60" s="1681">
        <v>139.9</v>
      </c>
      <c r="K60" s="1681">
        <v>186.8</v>
      </c>
      <c r="L60" s="1681">
        <v>133.9</v>
      </c>
      <c r="M60" s="1681">
        <v>1.9</v>
      </c>
      <c r="N60" s="1681">
        <v>17.100000000000001</v>
      </c>
      <c r="O60" s="1681">
        <v>16.085514044829001</v>
      </c>
    </row>
    <row r="61" spans="1:187" s="1688" customFormat="1" ht="15" hidden="1" customHeight="1">
      <c r="A61" s="1687" t="s">
        <v>28</v>
      </c>
      <c r="B61" s="1681" t="s">
        <v>39</v>
      </c>
      <c r="C61" s="1681">
        <v>125.4</v>
      </c>
      <c r="D61" s="1681">
        <v>104.3</v>
      </c>
      <c r="E61" s="1681">
        <v>7458.6</v>
      </c>
      <c r="F61" s="1681">
        <v>109.9</v>
      </c>
      <c r="G61" s="1681">
        <v>5746.2</v>
      </c>
      <c r="H61" s="1681">
        <v>116.8</v>
      </c>
      <c r="I61" s="1681">
        <v>12360.5</v>
      </c>
      <c r="J61" s="1681">
        <v>139.69999999999999</v>
      </c>
      <c r="K61" s="1681">
        <v>199</v>
      </c>
      <c r="L61" s="1681">
        <v>141.69999999999999</v>
      </c>
      <c r="M61" s="1681">
        <v>3.2</v>
      </c>
      <c r="N61" s="1681">
        <v>19.2</v>
      </c>
      <c r="O61" s="1681">
        <v>16.399999999999999</v>
      </c>
    </row>
    <row r="62" spans="1:187" s="1688" customFormat="1" ht="16.5" hidden="1" customHeight="1">
      <c r="A62" s="1687" t="s">
        <v>29</v>
      </c>
      <c r="B62" s="1681">
        <v>28360.5</v>
      </c>
      <c r="C62" s="1681">
        <v>125</v>
      </c>
      <c r="D62" s="1681">
        <v>114.4</v>
      </c>
      <c r="E62" s="1681">
        <v>10576.1</v>
      </c>
      <c r="F62" s="1681">
        <v>111.3</v>
      </c>
      <c r="G62" s="1681">
        <v>6774.8</v>
      </c>
      <c r="H62" s="1681">
        <v>117.8</v>
      </c>
      <c r="I62" s="1681">
        <v>14305.6</v>
      </c>
      <c r="J62" s="1681">
        <v>140.30000000000001</v>
      </c>
      <c r="K62" s="1681">
        <v>214</v>
      </c>
      <c r="L62" s="1681">
        <v>142</v>
      </c>
      <c r="M62" s="1681">
        <v>2.5</v>
      </c>
      <c r="N62" s="1681">
        <v>19.636026926081001</v>
      </c>
      <c r="O62" s="1681">
        <v>16.7</v>
      </c>
    </row>
    <row r="63" spans="1:187" s="1688" customFormat="1" ht="15" hidden="1">
      <c r="A63" s="1679">
        <v>2008</v>
      </c>
      <c r="B63" s="1681">
        <v>40137.199999999997</v>
      </c>
      <c r="C63" s="1681">
        <v>110.8</v>
      </c>
      <c r="D63" s="1681">
        <v>127.8</v>
      </c>
      <c r="E63" s="1681">
        <v>15197.3</v>
      </c>
      <c r="F63" s="1681">
        <v>115.9</v>
      </c>
      <c r="G63" s="1681">
        <v>9944.1538</v>
      </c>
      <c r="H63" s="1681">
        <v>134.30000000000001</v>
      </c>
      <c r="I63" s="1681">
        <v>20058.2</v>
      </c>
      <c r="J63" s="1681">
        <v>137.80000000000001</v>
      </c>
      <c r="K63" s="1681">
        <v>268</v>
      </c>
      <c r="L63" s="1681">
        <v>124.2</v>
      </c>
      <c r="M63" s="1681">
        <v>-0.4</v>
      </c>
      <c r="N63" s="1681">
        <v>15.4</v>
      </c>
      <c r="O63" s="1681">
        <v>20.8</v>
      </c>
    </row>
    <row r="64" spans="1:187" s="1688" customFormat="1" ht="15" hidden="1">
      <c r="A64" s="1687" t="s">
        <v>18</v>
      </c>
      <c r="B64" s="1681" t="s">
        <v>40</v>
      </c>
      <c r="C64" s="1681">
        <v>111.3</v>
      </c>
      <c r="D64" s="1681">
        <v>115.7</v>
      </c>
      <c r="E64" s="1681">
        <v>732.4</v>
      </c>
      <c r="F64" s="1681">
        <v>109.6</v>
      </c>
      <c r="G64" s="1681">
        <v>367.2</v>
      </c>
      <c r="H64" s="1681">
        <v>105.1</v>
      </c>
      <c r="I64" s="1681">
        <v>1218.7</v>
      </c>
      <c r="J64" s="1681">
        <v>132.9</v>
      </c>
      <c r="K64" s="1681">
        <v>230</v>
      </c>
      <c r="L64" s="1681">
        <v>131.4</v>
      </c>
      <c r="M64" s="1681">
        <v>2.5</v>
      </c>
      <c r="N64" s="1681">
        <v>15.262619008512999</v>
      </c>
      <c r="O64" s="1681">
        <v>15.3</v>
      </c>
    </row>
    <row r="65" spans="1:15" s="1688" customFormat="1" ht="15" hidden="1">
      <c r="A65" s="1687" t="s">
        <v>19</v>
      </c>
      <c r="B65" s="1681" t="s">
        <v>41</v>
      </c>
      <c r="C65" s="1681">
        <v>113.4</v>
      </c>
      <c r="D65" s="1681">
        <v>118.5</v>
      </c>
      <c r="E65" s="1681">
        <v>1518.3</v>
      </c>
      <c r="F65" s="1681">
        <v>110.1</v>
      </c>
      <c r="G65" s="1681">
        <v>859.9</v>
      </c>
      <c r="H65" s="1681">
        <v>120.5</v>
      </c>
      <c r="I65" s="1681">
        <v>2625.5</v>
      </c>
      <c r="J65" s="1681">
        <v>133</v>
      </c>
      <c r="K65" s="1681">
        <v>231</v>
      </c>
      <c r="L65" s="1681">
        <v>127.6</v>
      </c>
      <c r="M65" s="1681">
        <v>2.2000000000000002</v>
      </c>
      <c r="N65" s="1681">
        <v>16.033538244990002</v>
      </c>
      <c r="O65" s="1681">
        <v>15.7</v>
      </c>
    </row>
    <row r="66" spans="1:15" s="1688" customFormat="1" ht="15" hidden="1">
      <c r="A66" s="1687" t="s">
        <v>20</v>
      </c>
      <c r="B66" s="1681">
        <v>8209.7999999999993</v>
      </c>
      <c r="C66" s="1681">
        <v>113.8</v>
      </c>
      <c r="D66" s="1681">
        <v>137.1</v>
      </c>
      <c r="E66" s="1681">
        <v>2390.8000000000002</v>
      </c>
      <c r="F66" s="1681">
        <v>111.3</v>
      </c>
      <c r="G66" s="1681">
        <v>1409.2</v>
      </c>
      <c r="H66" s="1681">
        <v>121.4</v>
      </c>
      <c r="I66" s="1681">
        <v>4143.8</v>
      </c>
      <c r="J66" s="1681">
        <v>133.1</v>
      </c>
      <c r="K66" s="1681">
        <v>229.8</v>
      </c>
      <c r="L66" s="1681">
        <v>126.5</v>
      </c>
      <c r="M66" s="1681">
        <v>3.1</v>
      </c>
      <c r="N66" s="1681">
        <v>18.3</v>
      </c>
      <c r="O66" s="1681">
        <v>16.5</v>
      </c>
    </row>
    <row r="67" spans="1:15" s="1688" customFormat="1" ht="15" hidden="1">
      <c r="A67" s="1687" t="s">
        <v>21</v>
      </c>
      <c r="B67" s="1681">
        <v>11172.4</v>
      </c>
      <c r="C67" s="1681">
        <v>115</v>
      </c>
      <c r="D67" s="1681">
        <v>135.1</v>
      </c>
      <c r="E67" s="1681">
        <v>3184</v>
      </c>
      <c r="F67" s="1681">
        <v>111.53</v>
      </c>
      <c r="G67" s="1681">
        <v>2031.7</v>
      </c>
      <c r="H67" s="1681">
        <v>121.6</v>
      </c>
      <c r="I67" s="1681">
        <v>5762</v>
      </c>
      <c r="J67" s="1681">
        <v>134</v>
      </c>
      <c r="K67" s="1681">
        <v>237.5</v>
      </c>
      <c r="L67" s="1681">
        <v>123.2</v>
      </c>
      <c r="M67" s="1681">
        <v>3.1</v>
      </c>
      <c r="N67" s="1681">
        <v>21.440726859247999</v>
      </c>
      <c r="O67" s="1681">
        <v>17.8</v>
      </c>
    </row>
    <row r="68" spans="1:15" s="1688" customFormat="1" ht="15" hidden="1">
      <c r="A68" s="1687" t="s">
        <v>22</v>
      </c>
      <c r="B68" s="1681">
        <v>14308.6</v>
      </c>
      <c r="C68" s="1681">
        <v>114.6</v>
      </c>
      <c r="D68" s="1681">
        <v>133.9</v>
      </c>
      <c r="E68" s="1681">
        <v>4047</v>
      </c>
      <c r="F68" s="1681">
        <v>111.9</v>
      </c>
      <c r="G68" s="1681">
        <v>2695.9</v>
      </c>
      <c r="H68" s="1681">
        <v>121.7</v>
      </c>
      <c r="I68" s="1681">
        <v>7380.8</v>
      </c>
      <c r="J68" s="1681">
        <v>134.1</v>
      </c>
      <c r="K68" s="1681">
        <v>242.7</v>
      </c>
      <c r="L68" s="1681">
        <v>124.3</v>
      </c>
      <c r="M68" s="1681">
        <v>2.2999999999999998</v>
      </c>
      <c r="N68" s="1681">
        <v>24.6</v>
      </c>
      <c r="O68" s="1681">
        <v>19.2</v>
      </c>
    </row>
    <row r="69" spans="1:15" s="1688" customFormat="1" ht="15" hidden="1">
      <c r="A69" s="1687" t="s">
        <v>23</v>
      </c>
      <c r="B69" s="1681">
        <v>18505.7</v>
      </c>
      <c r="C69" s="1681">
        <v>116.5</v>
      </c>
      <c r="D69" s="1681">
        <v>131.9</v>
      </c>
      <c r="E69" s="1681">
        <v>5694.6</v>
      </c>
      <c r="F69" s="1681">
        <v>115.6</v>
      </c>
      <c r="G69" s="1681">
        <v>3643.4</v>
      </c>
      <c r="H69" s="1681">
        <v>131.9</v>
      </c>
      <c r="I69" s="1681">
        <v>9041.2000000000007</v>
      </c>
      <c r="J69" s="1681">
        <v>134.19999999999999</v>
      </c>
      <c r="K69" s="1681">
        <v>250.4</v>
      </c>
      <c r="L69" s="1681">
        <v>123.8</v>
      </c>
      <c r="M69" s="1681">
        <v>0.127</v>
      </c>
      <c r="N69" s="1681">
        <v>25.4</v>
      </c>
      <c r="O69" s="1681">
        <v>20.2</v>
      </c>
    </row>
    <row r="70" spans="1:15" s="1688" customFormat="1" ht="15" hidden="1">
      <c r="A70" s="1687" t="s">
        <v>24</v>
      </c>
      <c r="B70" s="1681" t="s">
        <v>42</v>
      </c>
      <c r="C70" s="1681">
        <v>116.7</v>
      </c>
      <c r="D70" s="1681">
        <v>130.6</v>
      </c>
      <c r="E70" s="1681">
        <v>7308.6</v>
      </c>
      <c r="F70" s="1681">
        <v>115</v>
      </c>
      <c r="G70" s="1681">
        <v>4532.1000000000004</v>
      </c>
      <c r="H70" s="1681">
        <v>134.19999999999999</v>
      </c>
      <c r="I70" s="1681">
        <v>10860.6</v>
      </c>
      <c r="J70" s="1681">
        <v>134.6</v>
      </c>
      <c r="K70" s="1681">
        <v>253</v>
      </c>
      <c r="L70" s="1681">
        <v>123.8</v>
      </c>
      <c r="M70" s="1681">
        <v>-0.3</v>
      </c>
      <c r="N70" s="1681">
        <v>24.9</v>
      </c>
      <c r="O70" s="1681">
        <v>20.9</v>
      </c>
    </row>
    <row r="71" spans="1:15" s="1688" customFormat="1" ht="15" hidden="1">
      <c r="A71" s="1687" t="s">
        <v>25</v>
      </c>
      <c r="B71" s="1681">
        <v>25891.9</v>
      </c>
      <c r="C71" s="1681">
        <v>113.2</v>
      </c>
      <c r="D71" s="1681">
        <v>127.8</v>
      </c>
      <c r="E71" s="1681">
        <v>8627.1</v>
      </c>
      <c r="F71" s="1681">
        <v>114.8</v>
      </c>
      <c r="G71" s="1681">
        <v>5396.6</v>
      </c>
      <c r="H71" s="1681">
        <v>136.6</v>
      </c>
      <c r="I71" s="1681">
        <v>12709.5</v>
      </c>
      <c r="J71" s="1681">
        <v>135.4</v>
      </c>
      <c r="K71" s="1681">
        <v>255.3</v>
      </c>
      <c r="L71" s="1681">
        <v>123.4</v>
      </c>
      <c r="M71" s="1681">
        <v>0</v>
      </c>
      <c r="N71" s="1681">
        <v>23.9</v>
      </c>
      <c r="O71" s="1681">
        <v>21.3</v>
      </c>
    </row>
    <row r="72" spans="1:15" s="1688" customFormat="1" ht="15" hidden="1">
      <c r="A72" s="1687" t="s">
        <v>26</v>
      </c>
      <c r="B72" s="1681">
        <v>30370.400000000001</v>
      </c>
      <c r="C72" s="1681">
        <v>115</v>
      </c>
      <c r="D72" s="1681">
        <v>132.69999999999999</v>
      </c>
      <c r="E72" s="1681">
        <v>9853.2000000000007</v>
      </c>
      <c r="F72" s="1681">
        <v>115.4</v>
      </c>
      <c r="G72" s="1681">
        <v>6283</v>
      </c>
      <c r="H72" s="1681">
        <v>138</v>
      </c>
      <c r="I72" s="1681">
        <v>14557.9</v>
      </c>
      <c r="J72" s="1681">
        <v>135.6</v>
      </c>
      <c r="K72" s="1681">
        <v>256.89999999999998</v>
      </c>
      <c r="L72" s="1681">
        <v>123.1</v>
      </c>
      <c r="M72" s="1681">
        <v>0.9</v>
      </c>
      <c r="N72" s="1681">
        <v>23.7</v>
      </c>
      <c r="O72" s="1681">
        <v>21.5</v>
      </c>
    </row>
    <row r="73" spans="1:15" s="1688" customFormat="1" ht="15" hidden="1">
      <c r="A73" s="1687" t="s">
        <v>27</v>
      </c>
      <c r="B73" s="1681">
        <v>32542.400000000001</v>
      </c>
      <c r="C73" s="1681">
        <v>112.7</v>
      </c>
      <c r="D73" s="1681">
        <v>126.7</v>
      </c>
      <c r="E73" s="1681">
        <v>11098.8</v>
      </c>
      <c r="F73" s="1681">
        <v>115.4</v>
      </c>
      <c r="G73" s="1681">
        <v>7171.3</v>
      </c>
      <c r="H73" s="1681">
        <v>138.4</v>
      </c>
      <c r="I73" s="1681">
        <v>16504.2</v>
      </c>
      <c r="J73" s="1681">
        <v>135.69999999999999</v>
      </c>
      <c r="K73" s="1681">
        <v>260.2</v>
      </c>
      <c r="L73" s="1681">
        <v>123.9</v>
      </c>
      <c r="M73" s="1681">
        <v>0.8</v>
      </c>
      <c r="N73" s="1681">
        <v>22.5</v>
      </c>
      <c r="O73" s="1681">
        <v>21.6</v>
      </c>
    </row>
    <row r="74" spans="1:15" s="1688" customFormat="1" ht="15" hidden="1">
      <c r="A74" s="1687" t="s">
        <v>28</v>
      </c>
      <c r="B74" s="1681">
        <v>34660.6</v>
      </c>
      <c r="C74" s="1681">
        <v>111.5</v>
      </c>
      <c r="D74" s="1681">
        <v>121.8</v>
      </c>
      <c r="E74" s="1681">
        <v>12206.2</v>
      </c>
      <c r="F74" s="1681">
        <v>116.3</v>
      </c>
      <c r="G74" s="1681">
        <v>7957.5</v>
      </c>
      <c r="H74" s="1681">
        <v>138.80000000000001</v>
      </c>
      <c r="I74" s="1681">
        <v>18176.8</v>
      </c>
      <c r="J74" s="1681">
        <v>135.80000000000001</v>
      </c>
      <c r="K74" s="1681">
        <v>265.10000000000002</v>
      </c>
      <c r="L74" s="1681">
        <v>124.3</v>
      </c>
      <c r="M74" s="1681">
        <v>0.1</v>
      </c>
      <c r="N74" s="1681">
        <v>18.899999999999999</v>
      </c>
      <c r="O74" s="1681">
        <v>21.4</v>
      </c>
    </row>
    <row r="75" spans="1:15" s="1688" customFormat="1" ht="15" hidden="1">
      <c r="A75" s="1687" t="s">
        <v>29</v>
      </c>
      <c r="B75" s="1681">
        <v>40137.199999999997</v>
      </c>
      <c r="C75" s="1681">
        <v>110.8</v>
      </c>
      <c r="D75" s="1681">
        <v>127.8</v>
      </c>
      <c r="E75" s="1681">
        <v>15197.3</v>
      </c>
      <c r="F75" s="1681">
        <v>115.7</v>
      </c>
      <c r="G75" s="1681">
        <v>9073.6</v>
      </c>
      <c r="H75" s="1681">
        <v>134.30000000000001</v>
      </c>
      <c r="I75" s="1681">
        <v>20058.2</v>
      </c>
      <c r="J75" s="1681">
        <v>137.80000000000001</v>
      </c>
      <c r="K75" s="1681">
        <v>268</v>
      </c>
      <c r="L75" s="1681">
        <v>124.2</v>
      </c>
      <c r="M75" s="1681">
        <v>-0.4</v>
      </c>
      <c r="N75" s="1681">
        <v>15.4</v>
      </c>
      <c r="O75" s="1681">
        <v>20.8</v>
      </c>
    </row>
    <row r="76" spans="1:15" s="1688" customFormat="1" ht="15" hidden="1">
      <c r="A76" s="1687" t="s">
        <v>43</v>
      </c>
      <c r="B76" s="1681">
        <v>35601.5</v>
      </c>
      <c r="C76" s="1681">
        <v>109.3</v>
      </c>
      <c r="D76" s="1681">
        <v>78.8</v>
      </c>
      <c r="E76" s="1681">
        <v>16726</v>
      </c>
      <c r="F76" s="1681">
        <v>103.7</v>
      </c>
      <c r="G76" s="1681">
        <v>7724.9448000000002</v>
      </c>
      <c r="H76" s="1681">
        <v>81.3</v>
      </c>
      <c r="I76" s="1681">
        <v>22396.1</v>
      </c>
      <c r="J76" s="1681">
        <v>108</v>
      </c>
      <c r="K76" s="1681">
        <v>298</v>
      </c>
      <c r="L76" s="1681">
        <v>108.6</v>
      </c>
      <c r="M76" s="1681">
        <v>0.8</v>
      </c>
      <c r="N76" s="1681">
        <v>0.7268374609775492</v>
      </c>
      <c r="O76" s="1681">
        <v>1.532503107893</v>
      </c>
    </row>
    <row r="77" spans="1:15" s="1688" customFormat="1" ht="15" hidden="1">
      <c r="A77" s="1687" t="s">
        <v>18</v>
      </c>
      <c r="B77" s="1681">
        <v>1860</v>
      </c>
      <c r="C77" s="1681">
        <v>97.4</v>
      </c>
      <c r="D77" s="1681">
        <v>83.5</v>
      </c>
      <c r="E77" s="1684">
        <v>891.5</v>
      </c>
      <c r="F77" s="1681">
        <v>102.8</v>
      </c>
      <c r="G77" s="1681">
        <v>277.39999999999998</v>
      </c>
      <c r="H77" s="1681">
        <v>75.400000000000006</v>
      </c>
      <c r="I77" s="1681">
        <v>1434.7</v>
      </c>
      <c r="J77" s="1681">
        <v>121.9</v>
      </c>
      <c r="K77" s="1681">
        <v>291</v>
      </c>
      <c r="L77" s="1681">
        <v>126.5</v>
      </c>
      <c r="M77" s="1681">
        <v>-0.6</v>
      </c>
      <c r="N77" s="1681">
        <v>11.9</v>
      </c>
      <c r="O77" s="1681">
        <v>11.9</v>
      </c>
    </row>
    <row r="78" spans="1:15" s="1688" customFormat="1" ht="15" hidden="1">
      <c r="A78" s="1687" t="s">
        <v>19</v>
      </c>
      <c r="B78" s="1681">
        <v>3859.3</v>
      </c>
      <c r="C78" s="1681">
        <v>103.4</v>
      </c>
      <c r="D78" s="1681">
        <v>66.900000000000006</v>
      </c>
      <c r="E78" s="1684">
        <v>2079.6999999999998</v>
      </c>
      <c r="F78" s="1681">
        <v>113.9</v>
      </c>
      <c r="G78" s="1681">
        <v>1104.5</v>
      </c>
      <c r="H78" s="1681">
        <v>127.2</v>
      </c>
      <c r="I78" s="1681">
        <v>3069</v>
      </c>
      <c r="J78" s="1681">
        <v>120.8</v>
      </c>
      <c r="K78" s="1681">
        <v>292</v>
      </c>
      <c r="L78" s="1681">
        <v>126.4</v>
      </c>
      <c r="M78" s="1681">
        <v>-0.76537810000000661</v>
      </c>
      <c r="N78" s="1681">
        <v>8.6999999999999993</v>
      </c>
      <c r="O78" s="1681">
        <v>10.3</v>
      </c>
    </row>
    <row r="79" spans="1:15" s="1688" customFormat="1" ht="15" hidden="1">
      <c r="A79" s="1687" t="s">
        <v>20</v>
      </c>
      <c r="B79" s="1681">
        <v>6741.8</v>
      </c>
      <c r="C79" s="1681">
        <v>104.1</v>
      </c>
      <c r="D79" s="1681">
        <v>71.5</v>
      </c>
      <c r="E79" s="1684">
        <v>3549.3</v>
      </c>
      <c r="F79" s="1681">
        <v>113.7</v>
      </c>
      <c r="G79" s="1681">
        <v>1638.9</v>
      </c>
      <c r="H79" s="1681">
        <v>115.2</v>
      </c>
      <c r="I79" s="1681">
        <v>4964</v>
      </c>
      <c r="J79" s="1681">
        <v>121</v>
      </c>
      <c r="K79" s="1681">
        <v>292</v>
      </c>
      <c r="L79" s="1681">
        <v>126.5</v>
      </c>
      <c r="M79" s="1681">
        <v>-0.70000000000000284</v>
      </c>
      <c r="N79" s="1681">
        <v>4.6372758575097635</v>
      </c>
      <c r="O79" s="1681">
        <v>8.3918483480587867</v>
      </c>
    </row>
    <row r="80" spans="1:15" s="1688" customFormat="1" ht="15" hidden="1">
      <c r="A80" s="1687" t="s">
        <v>21</v>
      </c>
      <c r="B80" s="1681" t="s">
        <v>44</v>
      </c>
      <c r="C80" s="1681">
        <v>104.3</v>
      </c>
      <c r="D80" s="1681">
        <v>64.7</v>
      </c>
      <c r="E80" s="1684">
        <v>4564.7</v>
      </c>
      <c r="F80" s="1681">
        <v>108.4</v>
      </c>
      <c r="G80" s="1681">
        <v>2159.1</v>
      </c>
      <c r="H80" s="1681">
        <v>105.2</v>
      </c>
      <c r="I80" s="1681">
        <v>6738</v>
      </c>
      <c r="J80" s="1681">
        <v>120.3</v>
      </c>
      <c r="K80" s="1681">
        <v>295.7</v>
      </c>
      <c r="L80" s="1681">
        <v>124.5</v>
      </c>
      <c r="M80" s="1681">
        <v>-0.2</v>
      </c>
      <c r="N80" s="1681">
        <v>1.3</v>
      </c>
      <c r="O80" s="1681">
        <v>6.6</v>
      </c>
    </row>
    <row r="81" spans="1:15" s="1688" customFormat="1" ht="15" hidden="1">
      <c r="A81" s="1687" t="s">
        <v>22</v>
      </c>
      <c r="B81" s="1681" t="s">
        <v>45</v>
      </c>
      <c r="C81" s="1681">
        <v>104.4</v>
      </c>
      <c r="D81" s="1681">
        <v>63.9</v>
      </c>
      <c r="E81" s="1684">
        <v>5392.2</v>
      </c>
      <c r="F81" s="1681">
        <v>106.6</v>
      </c>
      <c r="G81" s="1681">
        <v>2698.6</v>
      </c>
      <c r="H81" s="1681">
        <v>100.4</v>
      </c>
      <c r="I81" s="1681">
        <v>8584.2000000000007</v>
      </c>
      <c r="J81" s="1681">
        <v>118.5</v>
      </c>
      <c r="K81" s="1681">
        <v>296.5</v>
      </c>
      <c r="L81" s="1681">
        <v>122.2</v>
      </c>
      <c r="M81" s="1681">
        <v>-0.2</v>
      </c>
      <c r="N81" s="1681">
        <v>-1.2</v>
      </c>
      <c r="O81" s="1681">
        <v>4.9000000000000004</v>
      </c>
    </row>
    <row r="82" spans="1:15" s="1688" customFormat="1" ht="15" hidden="1">
      <c r="A82" s="1687" t="s">
        <v>23</v>
      </c>
      <c r="B82" s="1681">
        <v>14287.7</v>
      </c>
      <c r="C82" s="1681">
        <v>103.6</v>
      </c>
      <c r="D82" s="1681">
        <v>64.599999999999994</v>
      </c>
      <c r="E82" s="1684">
        <v>6713.7</v>
      </c>
      <c r="F82" s="1681">
        <v>104.1</v>
      </c>
      <c r="G82" s="1681">
        <v>3374.9</v>
      </c>
      <c r="H82" s="1681">
        <v>92.9</v>
      </c>
      <c r="I82" s="1681">
        <v>10584.2</v>
      </c>
      <c r="J82" s="1681">
        <v>116.2</v>
      </c>
      <c r="K82" s="1681">
        <v>298</v>
      </c>
      <c r="L82" s="1681">
        <v>119</v>
      </c>
      <c r="M82" s="1681">
        <v>-0.6</v>
      </c>
      <c r="N82" s="1681">
        <v>-1.8799988929116864</v>
      </c>
      <c r="O82" s="1681">
        <v>3.7</v>
      </c>
    </row>
    <row r="83" spans="1:15" s="1688" customFormat="1" ht="15" hidden="1">
      <c r="A83" s="1687" t="s">
        <v>24</v>
      </c>
      <c r="B83" s="1681" t="s">
        <v>46</v>
      </c>
      <c r="C83" s="1681">
        <v>102.7</v>
      </c>
      <c r="D83" s="1681">
        <v>65.5</v>
      </c>
      <c r="E83" s="1684">
        <v>8315.7000000000007</v>
      </c>
      <c r="F83" s="1681">
        <v>103.6</v>
      </c>
      <c r="G83" s="1681">
        <v>4082.5</v>
      </c>
      <c r="H83" s="1681">
        <v>90.3</v>
      </c>
      <c r="I83" s="1681">
        <v>12530.5</v>
      </c>
      <c r="J83" s="1681">
        <v>113.6</v>
      </c>
      <c r="K83" s="1681">
        <v>298</v>
      </c>
      <c r="L83" s="1681">
        <v>117.8</v>
      </c>
      <c r="M83" s="1681">
        <v>0.8</v>
      </c>
      <c r="N83" s="1681">
        <v>-0.82115292742555823</v>
      </c>
      <c r="O83" s="1681">
        <v>3.1</v>
      </c>
    </row>
    <row r="84" spans="1:15" s="1688" customFormat="1" ht="15" hidden="1">
      <c r="A84" s="1687" t="s">
        <v>25</v>
      </c>
      <c r="B84" s="1681" t="s">
        <v>47</v>
      </c>
      <c r="C84" s="1681">
        <v>105</v>
      </c>
      <c r="D84" s="1681">
        <v>68.2</v>
      </c>
      <c r="E84" s="1684">
        <v>9502.1</v>
      </c>
      <c r="F84" s="1681">
        <v>101.5</v>
      </c>
      <c r="G84" s="1681">
        <v>4562.5</v>
      </c>
      <c r="H84" s="1681">
        <v>84.7</v>
      </c>
      <c r="I84" s="1681">
        <v>14583.5</v>
      </c>
      <c r="J84" s="1681">
        <v>112.6</v>
      </c>
      <c r="K84" s="1681">
        <v>298</v>
      </c>
      <c r="L84" s="1681">
        <v>116.7</v>
      </c>
      <c r="M84" s="1681">
        <v>0.1</v>
      </c>
      <c r="N84" s="1681">
        <v>-0.69344184864097258</v>
      </c>
      <c r="O84" s="1681">
        <v>2.6</v>
      </c>
    </row>
    <row r="85" spans="1:15" s="1688" customFormat="1" ht="15" hidden="1">
      <c r="A85" s="1687" t="s">
        <v>26</v>
      </c>
      <c r="B85" s="1681">
        <v>23427.1</v>
      </c>
      <c r="C85" s="1681">
        <v>106.1</v>
      </c>
      <c r="D85" s="1681">
        <v>68.7</v>
      </c>
      <c r="E85" s="1684">
        <v>10676.6</v>
      </c>
      <c r="F85" s="1681">
        <v>100.8</v>
      </c>
      <c r="G85" s="1681">
        <v>5199.3999999999996</v>
      </c>
      <c r="H85" s="1681">
        <v>82.9</v>
      </c>
      <c r="I85" s="1681">
        <v>16082.6</v>
      </c>
      <c r="J85" s="1681">
        <v>109.8</v>
      </c>
      <c r="K85" s="1681">
        <v>296.60000000000002</v>
      </c>
      <c r="L85" s="1681">
        <v>115.5</v>
      </c>
      <c r="M85" s="1681">
        <v>0.4</v>
      </c>
      <c r="N85" s="1681">
        <v>-1.536024194061568</v>
      </c>
      <c r="O85" s="1681">
        <v>2.1</v>
      </c>
    </row>
    <row r="86" spans="1:15" s="1688" customFormat="1" ht="15" hidden="1">
      <c r="A86" s="1687" t="s">
        <v>27</v>
      </c>
      <c r="B86" s="1681">
        <v>26647.5</v>
      </c>
      <c r="C86" s="1681">
        <v>108.3</v>
      </c>
      <c r="D86" s="1681">
        <v>71.5</v>
      </c>
      <c r="E86" s="1684">
        <v>12029.3</v>
      </c>
      <c r="F86" s="1681">
        <v>101.1</v>
      </c>
      <c r="G86" s="1681">
        <v>5922.7</v>
      </c>
      <c r="H86" s="1681">
        <v>82.8</v>
      </c>
      <c r="I86" s="1681">
        <v>18073.900000000001</v>
      </c>
      <c r="J86" s="1681">
        <v>107.8</v>
      </c>
      <c r="K86" s="1681">
        <v>296.3</v>
      </c>
      <c r="L86" s="1681">
        <v>113.9</v>
      </c>
      <c r="M86" s="1681">
        <v>0.35242309999999999</v>
      </c>
      <c r="N86" s="1681">
        <v>-1.7</v>
      </c>
      <c r="O86" s="1681">
        <v>1.7</v>
      </c>
    </row>
    <row r="87" spans="1:15" s="1688" customFormat="1" ht="15" hidden="1">
      <c r="A87" s="1687" t="s">
        <v>28</v>
      </c>
      <c r="B87" s="1681">
        <v>29654.2</v>
      </c>
      <c r="C87" s="1681">
        <v>109</v>
      </c>
      <c r="D87" s="1681">
        <v>74.5</v>
      </c>
      <c r="E87" s="1684">
        <v>13227.9</v>
      </c>
      <c r="F87" s="1681">
        <v>101</v>
      </c>
      <c r="G87" s="1681">
        <v>6444.4</v>
      </c>
      <c r="H87" s="1681">
        <v>81.2</v>
      </c>
      <c r="I87" s="1681">
        <v>19816.2</v>
      </c>
      <c r="J87" s="1681">
        <v>107.6</v>
      </c>
      <c r="K87" s="1681">
        <v>296</v>
      </c>
      <c r="L87" s="1681">
        <v>111.7</v>
      </c>
      <c r="M87" s="1681">
        <v>1.2983884999999999</v>
      </c>
      <c r="N87" s="1681">
        <v>-0.53634470074491958</v>
      </c>
      <c r="O87" s="1681">
        <v>1.532503107893</v>
      </c>
    </row>
    <row r="88" spans="1:15" s="1688" customFormat="1" ht="15" hidden="1">
      <c r="A88" s="1687" t="s">
        <v>29</v>
      </c>
      <c r="B88" s="1681">
        <v>35601.5</v>
      </c>
      <c r="C88" s="1681">
        <v>109.3</v>
      </c>
      <c r="D88" s="1681">
        <v>78.8</v>
      </c>
      <c r="E88" s="1684">
        <v>16726</v>
      </c>
      <c r="F88" s="1681">
        <v>103.2</v>
      </c>
      <c r="G88" s="1681">
        <v>7358.7</v>
      </c>
      <c r="H88" s="1681">
        <v>81.3</v>
      </c>
      <c r="I88" s="1681">
        <v>22396.1</v>
      </c>
      <c r="J88" s="1681">
        <v>108</v>
      </c>
      <c r="K88" s="1681">
        <v>298</v>
      </c>
      <c r="L88" s="1681">
        <v>108.6</v>
      </c>
      <c r="M88" s="1681">
        <v>0.8</v>
      </c>
      <c r="N88" s="1681">
        <v>0.7268374609775492</v>
      </c>
      <c r="O88" s="1681">
        <v>1.532503107893</v>
      </c>
    </row>
    <row r="89" spans="1:15" s="1692" customFormat="1" ht="14.25" hidden="1">
      <c r="A89" s="1687" t="s">
        <v>48</v>
      </c>
      <c r="B89" s="1690">
        <v>42465</v>
      </c>
      <c r="C89" s="1690">
        <v>105</v>
      </c>
      <c r="D89" s="1690">
        <v>111.3</v>
      </c>
      <c r="E89" s="1691">
        <v>19179</v>
      </c>
      <c r="F89" s="1690">
        <v>107.7</v>
      </c>
      <c r="G89" s="1690">
        <v>9905.6658000000007</v>
      </c>
      <c r="H89" s="1690">
        <v>121.2</v>
      </c>
      <c r="I89" s="1690">
        <v>25605.599999999999</v>
      </c>
      <c r="J89" s="1690">
        <v>113.3</v>
      </c>
      <c r="K89" s="1690">
        <v>331.5</v>
      </c>
      <c r="L89" s="1690">
        <v>111.24161073825502</v>
      </c>
      <c r="M89" s="1690">
        <v>1.4</v>
      </c>
      <c r="N89" s="1690">
        <v>7.9320063168250003</v>
      </c>
      <c r="O89" s="1690">
        <v>5.7</v>
      </c>
    </row>
    <row r="90" spans="1:15" s="1688" customFormat="1" ht="15" hidden="1">
      <c r="A90" s="1687" t="s">
        <v>18</v>
      </c>
      <c r="B90" s="1681">
        <v>3212</v>
      </c>
      <c r="C90" s="1681">
        <v>109.2</v>
      </c>
      <c r="D90" s="1681">
        <v>140.4</v>
      </c>
      <c r="E90" s="1684">
        <v>1147.5</v>
      </c>
      <c r="F90" s="1681">
        <v>104.7</v>
      </c>
      <c r="G90" s="1681">
        <v>401.3</v>
      </c>
      <c r="H90" s="1681">
        <v>105.6</v>
      </c>
      <c r="I90" s="1681">
        <v>1526.9</v>
      </c>
      <c r="J90" s="1681">
        <v>106.4</v>
      </c>
      <c r="K90" s="1681">
        <v>296.89999999999998</v>
      </c>
      <c r="L90" s="1681">
        <v>102</v>
      </c>
      <c r="M90" s="1681">
        <v>0.5</v>
      </c>
      <c r="N90" s="1681">
        <v>1.8</v>
      </c>
      <c r="O90" s="1681">
        <v>1.8</v>
      </c>
    </row>
    <row r="91" spans="1:15" s="1688" customFormat="1" ht="15" hidden="1">
      <c r="A91" s="1687" t="s">
        <v>19</v>
      </c>
      <c r="B91" s="1681">
        <v>6128</v>
      </c>
      <c r="C91" s="1681">
        <v>105.6</v>
      </c>
      <c r="D91" s="1681">
        <v>137.9</v>
      </c>
      <c r="E91" s="1684">
        <v>2236.4</v>
      </c>
      <c r="F91" s="1681">
        <v>104.2</v>
      </c>
      <c r="G91" s="1681">
        <v>1076.7</v>
      </c>
      <c r="H91" s="1681">
        <v>102.4</v>
      </c>
      <c r="I91" s="1681">
        <v>3201</v>
      </c>
      <c r="J91" s="1681">
        <v>104.3</v>
      </c>
      <c r="K91" s="1681">
        <v>298.2</v>
      </c>
      <c r="L91" s="1681">
        <v>102.1</v>
      </c>
      <c r="M91" s="1681">
        <v>1.1000000000000001</v>
      </c>
      <c r="N91" s="1681">
        <v>3.7412374951220002</v>
      </c>
      <c r="O91" s="1681">
        <v>2.8</v>
      </c>
    </row>
    <row r="92" spans="1:15" s="1688" customFormat="1" ht="15" hidden="1">
      <c r="A92" s="1687" t="s">
        <v>20</v>
      </c>
      <c r="B92" s="1681">
        <v>9551.6</v>
      </c>
      <c r="C92" s="1681">
        <v>105.4</v>
      </c>
      <c r="D92" s="1681">
        <v>134.30000000000001</v>
      </c>
      <c r="E92" s="1684">
        <v>3613.2</v>
      </c>
      <c r="F92" s="1681">
        <v>104.3</v>
      </c>
      <c r="G92" s="1681">
        <v>1636.8</v>
      </c>
      <c r="H92" s="1681">
        <v>104.9</v>
      </c>
      <c r="I92" s="1681">
        <v>5183.8</v>
      </c>
      <c r="J92" s="1681">
        <v>106.5</v>
      </c>
      <c r="K92" s="1681">
        <v>304</v>
      </c>
      <c r="L92" s="1681">
        <v>104.1</v>
      </c>
      <c r="M92" s="1681">
        <v>1.3</v>
      </c>
      <c r="N92" s="1681">
        <v>5.8</v>
      </c>
      <c r="O92" s="1681">
        <v>3.8</v>
      </c>
    </row>
    <row r="93" spans="1:15" s="1688" customFormat="1" ht="15" hidden="1">
      <c r="A93" s="1687" t="s">
        <v>21</v>
      </c>
      <c r="B93" s="1681">
        <v>12984.9</v>
      </c>
      <c r="C93" s="1681">
        <v>105</v>
      </c>
      <c r="D93" s="1681">
        <v>130.69999999999999</v>
      </c>
      <c r="E93" s="1684">
        <v>4931.7</v>
      </c>
      <c r="F93" s="1681">
        <v>105</v>
      </c>
      <c r="G93" s="1681">
        <v>2291.3000000000002</v>
      </c>
      <c r="H93" s="1681">
        <v>105.5</v>
      </c>
      <c r="I93" s="1681">
        <v>7320</v>
      </c>
      <c r="J93" s="1681">
        <v>108.6</v>
      </c>
      <c r="K93" s="1681">
        <v>309.8</v>
      </c>
      <c r="L93" s="1681">
        <v>104.8</v>
      </c>
      <c r="M93" s="1681">
        <v>0</v>
      </c>
      <c r="N93" s="1681">
        <v>6</v>
      </c>
      <c r="O93" s="1681">
        <v>4.4000000000000004</v>
      </c>
    </row>
    <row r="94" spans="1:15" s="1688" customFormat="1" ht="15" hidden="1">
      <c r="A94" s="1687" t="s">
        <v>22</v>
      </c>
      <c r="B94" s="1681">
        <v>16533.900000000001</v>
      </c>
      <c r="C94" s="1681">
        <v>104.3</v>
      </c>
      <c r="D94" s="1681">
        <v>129.69999999999999</v>
      </c>
      <c r="E94" s="1684">
        <v>6392.4</v>
      </c>
      <c r="F94" s="1681">
        <v>104.9</v>
      </c>
      <c r="G94" s="1681">
        <v>3021.3</v>
      </c>
      <c r="H94" s="1681">
        <v>111.3</v>
      </c>
      <c r="I94" s="1681">
        <v>9403.1</v>
      </c>
      <c r="J94" s="1681">
        <v>109.5</v>
      </c>
      <c r="K94" s="1681">
        <v>313.89999999999998</v>
      </c>
      <c r="L94" s="1681">
        <v>105.9</v>
      </c>
      <c r="M94" s="1681">
        <v>-0.2</v>
      </c>
      <c r="N94" s="1681">
        <v>6.1</v>
      </c>
      <c r="O94" s="1681">
        <v>4.7</v>
      </c>
    </row>
    <row r="95" spans="1:15" s="1688" customFormat="1" ht="15" hidden="1">
      <c r="A95" s="1687" t="s">
        <v>23</v>
      </c>
      <c r="B95" s="1681">
        <v>19680</v>
      </c>
      <c r="C95" s="1681">
        <v>103.7</v>
      </c>
      <c r="D95" s="1681">
        <v>125.2</v>
      </c>
      <c r="E95" s="1684">
        <v>7865</v>
      </c>
      <c r="F95" s="1681">
        <v>104.7</v>
      </c>
      <c r="G95" s="1681">
        <v>3766.9</v>
      </c>
      <c r="H95" s="1681">
        <v>110.9</v>
      </c>
      <c r="I95" s="1681">
        <v>11483.7</v>
      </c>
      <c r="J95" s="1681">
        <v>109.7</v>
      </c>
      <c r="K95" s="1681">
        <v>315.2</v>
      </c>
      <c r="L95" s="1681">
        <v>105</v>
      </c>
      <c r="M95" s="1681">
        <v>-0.61972480000000019</v>
      </c>
      <c r="N95" s="1681">
        <v>6.062452538594</v>
      </c>
      <c r="O95" s="1681">
        <v>4.9000000000000004</v>
      </c>
    </row>
    <row r="96" spans="1:15" s="1688" customFormat="1" ht="15" hidden="1">
      <c r="A96" s="1687" t="s">
        <v>24</v>
      </c>
      <c r="B96" s="1681">
        <v>23154.7</v>
      </c>
      <c r="C96" s="1681">
        <v>103.5</v>
      </c>
      <c r="D96" s="1681">
        <v>120.3</v>
      </c>
      <c r="E96" s="1684">
        <v>9674.1</v>
      </c>
      <c r="F96" s="1681">
        <v>104.2</v>
      </c>
      <c r="G96" s="1681">
        <v>4567.3999999999996</v>
      </c>
      <c r="H96" s="1681">
        <v>111.2</v>
      </c>
      <c r="I96" s="1681">
        <v>13604</v>
      </c>
      <c r="J96" s="1681">
        <v>109.3</v>
      </c>
      <c r="K96" s="1681">
        <v>316.3</v>
      </c>
      <c r="L96" s="1681">
        <v>105.3</v>
      </c>
      <c r="M96" s="1681">
        <v>-0.2</v>
      </c>
      <c r="N96" s="1681">
        <v>5</v>
      </c>
      <c r="O96" s="1681">
        <v>4.9000000000000004</v>
      </c>
    </row>
    <row r="97" spans="1:15" s="1688" customFormat="1" ht="15" hidden="1">
      <c r="A97" s="1687" t="s">
        <v>25</v>
      </c>
      <c r="B97" s="1681">
        <v>26189.599999999999</v>
      </c>
      <c r="C97" s="1681">
        <v>103.8</v>
      </c>
      <c r="D97" s="1681">
        <v>116.8</v>
      </c>
      <c r="E97" s="1684">
        <v>10964.9</v>
      </c>
      <c r="F97" s="1681">
        <v>104.5</v>
      </c>
      <c r="G97" s="1681">
        <v>5218.1000000000004</v>
      </c>
      <c r="H97" s="1681">
        <v>111.3</v>
      </c>
      <c r="I97" s="1681">
        <v>15832.8</v>
      </c>
      <c r="J97" s="1681">
        <v>111</v>
      </c>
      <c r="K97" s="1681">
        <v>317.39999999999998</v>
      </c>
      <c r="L97" s="1681">
        <v>105.7</v>
      </c>
      <c r="M97" s="1681">
        <v>0.69996259999999999</v>
      </c>
      <c r="N97" s="1681">
        <v>5.7</v>
      </c>
      <c r="O97" s="1681">
        <v>5.0336515161650004</v>
      </c>
    </row>
    <row r="98" spans="1:15" ht="15" hidden="1" customHeight="1">
      <c r="A98" s="1687" t="s">
        <v>26</v>
      </c>
      <c r="B98" s="1681">
        <v>29308</v>
      </c>
      <c r="C98" s="1681">
        <v>104.1</v>
      </c>
      <c r="D98" s="1681">
        <v>115.6</v>
      </c>
      <c r="E98" s="1684">
        <v>12394.8</v>
      </c>
      <c r="F98" s="1681">
        <v>105.2</v>
      </c>
      <c r="G98" s="1681">
        <v>6157.8</v>
      </c>
      <c r="H98" s="1681">
        <v>115.2</v>
      </c>
      <c r="I98" s="1681">
        <v>17979.2</v>
      </c>
      <c r="J98" s="1681">
        <v>111.3</v>
      </c>
      <c r="K98" s="1681">
        <v>319.10000000000002</v>
      </c>
      <c r="L98" s="1681">
        <v>106.6</v>
      </c>
      <c r="M98" s="1681">
        <v>0.9</v>
      </c>
      <c r="N98" s="1681">
        <v>6.3</v>
      </c>
      <c r="O98" s="1681">
        <v>5.2</v>
      </c>
    </row>
    <row r="99" spans="1:15" ht="15" hidden="1" customHeight="1">
      <c r="A99" s="1687" t="s">
        <v>27</v>
      </c>
      <c r="B99" s="1681">
        <v>32499.5</v>
      </c>
      <c r="C99" s="1681">
        <v>104.1</v>
      </c>
      <c r="D99" s="1681">
        <v>113.9</v>
      </c>
      <c r="E99" s="1684">
        <v>13732.4</v>
      </c>
      <c r="F99" s="1681">
        <v>105.4</v>
      </c>
      <c r="G99" s="1681">
        <v>7057.8</v>
      </c>
      <c r="H99" s="1681">
        <v>114.8</v>
      </c>
      <c r="I99" s="1681">
        <v>20290.2</v>
      </c>
      <c r="J99" s="1681">
        <v>111.7</v>
      </c>
      <c r="K99" s="1681">
        <v>320</v>
      </c>
      <c r="L99" s="1681">
        <v>107.2</v>
      </c>
      <c r="M99" s="1681">
        <v>0.9</v>
      </c>
      <c r="N99" s="1681">
        <v>6.9</v>
      </c>
      <c r="O99" s="1681">
        <v>5.3</v>
      </c>
    </row>
    <row r="100" spans="1:15" ht="15" hidden="1" customHeight="1">
      <c r="A100" s="1687" t="s">
        <v>28</v>
      </c>
      <c r="B100" s="1681">
        <v>36575.4</v>
      </c>
      <c r="C100" s="1681">
        <v>104.5</v>
      </c>
      <c r="D100" s="1681">
        <v>113.8</v>
      </c>
      <c r="E100" s="1684">
        <v>15506.9</v>
      </c>
      <c r="F100" s="1681">
        <v>105.9</v>
      </c>
      <c r="G100" s="1681">
        <v>7704.5</v>
      </c>
      <c r="H100" s="1681">
        <v>115.2</v>
      </c>
      <c r="I100" s="1681">
        <v>22678.400000000001</v>
      </c>
      <c r="J100" s="1681">
        <v>112</v>
      </c>
      <c r="K100" s="1681">
        <v>321.2</v>
      </c>
      <c r="L100" s="1681">
        <v>107.7</v>
      </c>
      <c r="M100" s="1681">
        <v>1.7737821000000054</v>
      </c>
      <c r="N100" s="1681">
        <v>7.3664508086809999</v>
      </c>
      <c r="O100" s="1681">
        <v>5.527390410604994</v>
      </c>
    </row>
    <row r="101" spans="1:15" ht="15" hidden="1" customHeight="1">
      <c r="A101" s="1687" t="s">
        <v>29</v>
      </c>
      <c r="B101" s="1681">
        <v>42465</v>
      </c>
      <c r="C101" s="1681">
        <v>105</v>
      </c>
      <c r="D101" s="1681">
        <v>111.3</v>
      </c>
      <c r="E101" s="1681">
        <v>19179</v>
      </c>
      <c r="F101" s="1681">
        <v>107.9</v>
      </c>
      <c r="G101" s="1681">
        <v>9715.2000000000007</v>
      </c>
      <c r="H101" s="1681">
        <v>121.2</v>
      </c>
      <c r="I101" s="1681">
        <v>25605.599999999999</v>
      </c>
      <c r="J101" s="1681">
        <v>113.3</v>
      </c>
      <c r="K101" s="1681">
        <v>325</v>
      </c>
      <c r="L101" s="1681">
        <v>109.1</v>
      </c>
      <c r="M101" s="1681">
        <v>1.4</v>
      </c>
      <c r="N101" s="1681">
        <v>7.9320063168250003</v>
      </c>
      <c r="O101" s="1681">
        <v>5.7</v>
      </c>
    </row>
    <row r="102" spans="1:15" s="1673" customFormat="1" ht="15" hidden="1" customHeight="1">
      <c r="A102" s="864" t="s">
        <v>1024</v>
      </c>
      <c r="B102" s="860">
        <v>52082</v>
      </c>
      <c r="C102" s="860">
        <v>100.1</v>
      </c>
      <c r="D102" s="860">
        <v>117.8</v>
      </c>
      <c r="E102" s="860">
        <v>23196.1</v>
      </c>
      <c r="F102" s="860">
        <v>109.4</v>
      </c>
      <c r="G102" s="860">
        <v>12799.1</v>
      </c>
      <c r="H102" s="860">
        <v>127.3</v>
      </c>
      <c r="I102" s="860">
        <v>30524.6</v>
      </c>
      <c r="J102" s="860">
        <v>119.6</v>
      </c>
      <c r="K102" s="860">
        <v>364.2</v>
      </c>
      <c r="L102" s="860">
        <v>109.86425339366515</v>
      </c>
      <c r="M102" s="860">
        <v>0.9</v>
      </c>
      <c r="N102" s="860">
        <f>+N114</f>
        <v>5.5911934944952435</v>
      </c>
      <c r="O102" s="860">
        <v>7.9</v>
      </c>
    </row>
    <row r="103" spans="1:15" ht="15" hidden="1" customHeight="1">
      <c r="A103" s="864" t="s">
        <v>18</v>
      </c>
      <c r="B103" s="859">
        <v>3442.5</v>
      </c>
      <c r="C103" s="859">
        <v>100.8</v>
      </c>
      <c r="D103" s="859">
        <v>109.1</v>
      </c>
      <c r="E103" s="859">
        <v>1412.8</v>
      </c>
      <c r="F103" s="859">
        <v>106.6</v>
      </c>
      <c r="G103" s="859">
        <v>432</v>
      </c>
      <c r="H103" s="859">
        <v>101.7</v>
      </c>
      <c r="I103" s="859">
        <v>1910.7</v>
      </c>
      <c r="J103" s="859">
        <v>114.3</v>
      </c>
      <c r="K103" s="859">
        <v>325.10000000000002</v>
      </c>
      <c r="L103" s="859">
        <v>109.5</v>
      </c>
      <c r="M103" s="859">
        <v>0.8</v>
      </c>
      <c r="N103" s="859">
        <v>8.3177324881610009</v>
      </c>
      <c r="O103" s="859">
        <v>8.3000000000000007</v>
      </c>
    </row>
    <row r="104" spans="1:15" ht="15" hidden="1" customHeight="1">
      <c r="A104" s="864" t="s">
        <v>19</v>
      </c>
      <c r="B104" s="859">
        <v>6711.5</v>
      </c>
      <c r="C104" s="859">
        <v>101.4</v>
      </c>
      <c r="D104" s="859">
        <v>110.2</v>
      </c>
      <c r="E104" s="859">
        <v>2747.2</v>
      </c>
      <c r="F104" s="859">
        <v>103.8</v>
      </c>
      <c r="G104" s="859">
        <v>1120.3</v>
      </c>
      <c r="H104" s="859">
        <v>98.3</v>
      </c>
      <c r="I104" s="859">
        <v>4158.3999999999996</v>
      </c>
      <c r="J104" s="859">
        <v>114.5</v>
      </c>
      <c r="K104" s="859">
        <v>332.3</v>
      </c>
      <c r="L104" s="859">
        <v>111.4</v>
      </c>
      <c r="M104" s="859">
        <v>2.2000000000000002</v>
      </c>
      <c r="N104" s="859">
        <v>9.5436479892725856</v>
      </c>
      <c r="O104" s="859">
        <v>8.9</v>
      </c>
    </row>
    <row r="105" spans="1:15" ht="15" hidden="1" customHeight="1">
      <c r="A105" s="864" t="s">
        <v>20</v>
      </c>
      <c r="B105" s="859">
        <v>10421.1</v>
      </c>
      <c r="C105" s="859">
        <v>101.6</v>
      </c>
      <c r="D105" s="859">
        <v>111</v>
      </c>
      <c r="E105" s="859">
        <v>4448.3</v>
      </c>
      <c r="F105" s="859">
        <v>105.6</v>
      </c>
      <c r="G105" s="859">
        <v>1775.8</v>
      </c>
      <c r="H105" s="859">
        <v>102.5</v>
      </c>
      <c r="I105" s="859">
        <v>6496.5</v>
      </c>
      <c r="J105" s="859">
        <v>116.8</v>
      </c>
      <c r="K105" s="859">
        <v>339.6</v>
      </c>
      <c r="L105" s="859">
        <v>111.7</v>
      </c>
      <c r="M105" s="859">
        <v>1.1000000000000001</v>
      </c>
      <c r="N105" s="859">
        <v>9.3032358668667001</v>
      </c>
      <c r="O105" s="859">
        <v>9.0548721147670008</v>
      </c>
    </row>
    <row r="106" spans="1:15" ht="15" hidden="1" customHeight="1">
      <c r="A106" s="864" t="s">
        <v>21</v>
      </c>
      <c r="B106" s="859">
        <v>13714.9</v>
      </c>
      <c r="C106" s="859">
        <v>100.8</v>
      </c>
      <c r="D106" s="859">
        <v>109.6</v>
      </c>
      <c r="E106" s="859">
        <v>5792.5</v>
      </c>
      <c r="F106" s="859">
        <v>106.2</v>
      </c>
      <c r="G106" s="859">
        <v>2589.1999999999998</v>
      </c>
      <c r="H106" s="859">
        <v>112</v>
      </c>
      <c r="I106" s="859">
        <v>8858.9</v>
      </c>
      <c r="J106" s="859">
        <v>116</v>
      </c>
      <c r="K106" s="859">
        <v>348.6</v>
      </c>
      <c r="L106" s="859">
        <v>112.5</v>
      </c>
      <c r="M106" s="859">
        <v>-0.29999999999999716</v>
      </c>
      <c r="N106" s="859">
        <v>8.9344735259792003</v>
      </c>
      <c r="O106" s="859">
        <v>9</v>
      </c>
    </row>
    <row r="107" spans="1:15" ht="15" hidden="1" customHeight="1">
      <c r="A107" s="864" t="s">
        <v>22</v>
      </c>
      <c r="B107" s="859">
        <v>17596.599999999999</v>
      </c>
      <c r="C107" s="859">
        <v>100.8</v>
      </c>
      <c r="D107" s="859">
        <v>109.3</v>
      </c>
      <c r="E107" s="859">
        <v>7549.6</v>
      </c>
      <c r="F107" s="859">
        <v>106.6</v>
      </c>
      <c r="G107" s="859">
        <v>3415.7</v>
      </c>
      <c r="H107" s="859">
        <v>112.1</v>
      </c>
      <c r="I107" s="859">
        <v>11192.5</v>
      </c>
      <c r="J107" s="859">
        <v>116.5</v>
      </c>
      <c r="K107" s="859">
        <v>349.6</v>
      </c>
      <c r="L107" s="859">
        <v>111.4</v>
      </c>
      <c r="M107" s="859">
        <v>-0.4</v>
      </c>
      <c r="N107" s="859">
        <v>8.6229879926790858</v>
      </c>
      <c r="O107" s="859">
        <v>8.9</v>
      </c>
    </row>
    <row r="108" spans="1:15" ht="15" hidden="1" customHeight="1">
      <c r="A108" s="864" t="s">
        <v>23</v>
      </c>
      <c r="B108" s="859">
        <v>22516.5</v>
      </c>
      <c r="C108" s="859">
        <v>100.9</v>
      </c>
      <c r="D108" s="859">
        <v>112.5</v>
      </c>
      <c r="E108" s="859">
        <v>9795.1</v>
      </c>
      <c r="F108" s="859">
        <v>107.2</v>
      </c>
      <c r="G108" s="859">
        <v>4476.6000000000004</v>
      </c>
      <c r="H108" s="859">
        <v>117.8</v>
      </c>
      <c r="I108" s="859">
        <v>13489.2</v>
      </c>
      <c r="J108" s="859">
        <v>117</v>
      </c>
      <c r="K108" s="859">
        <v>351.3</v>
      </c>
      <c r="L108" s="859">
        <v>110.7</v>
      </c>
      <c r="M108" s="859">
        <v>-0.90281650000000013</v>
      </c>
      <c r="N108" s="859">
        <v>8.3135677755580986</v>
      </c>
      <c r="O108" s="859">
        <v>8.8392742730860761</v>
      </c>
    </row>
    <row r="109" spans="1:15" ht="15" hidden="1" customHeight="1">
      <c r="A109" s="864" t="s">
        <v>24</v>
      </c>
      <c r="B109" s="859">
        <v>26502.3</v>
      </c>
      <c r="C109" s="859">
        <v>101.1</v>
      </c>
      <c r="D109" s="859">
        <v>111.3</v>
      </c>
      <c r="E109" s="859">
        <v>11859.9</v>
      </c>
      <c r="F109" s="859">
        <v>108.5</v>
      </c>
      <c r="G109" s="859">
        <v>5491.5</v>
      </c>
      <c r="H109" s="859">
        <v>119.1</v>
      </c>
      <c r="I109" s="859">
        <v>16337.5</v>
      </c>
      <c r="J109" s="859">
        <v>117.3</v>
      </c>
      <c r="K109" s="859">
        <v>352.7</v>
      </c>
      <c r="L109" s="859">
        <v>110.3</v>
      </c>
      <c r="M109" s="859">
        <v>-0.8</v>
      </c>
      <c r="N109" s="859">
        <v>7.6559338364420455</v>
      </c>
      <c r="O109" s="859">
        <v>8.6999999999999993</v>
      </c>
    </row>
    <row r="110" spans="1:15" ht="15" hidden="1" customHeight="1">
      <c r="A110" s="864" t="s">
        <v>25</v>
      </c>
      <c r="B110" s="859">
        <v>30868.799999999999</v>
      </c>
      <c r="C110" s="859">
        <v>101.1</v>
      </c>
      <c r="D110" s="859">
        <v>111.8</v>
      </c>
      <c r="E110" s="859">
        <v>13806.7</v>
      </c>
      <c r="F110" s="859">
        <v>108.5</v>
      </c>
      <c r="G110" s="859">
        <v>6398.4</v>
      </c>
      <c r="H110" s="859">
        <v>121.4</v>
      </c>
      <c r="I110" s="859">
        <v>19030.2</v>
      </c>
      <c r="J110" s="859">
        <v>118.5</v>
      </c>
      <c r="K110" s="859">
        <v>353.7</v>
      </c>
      <c r="L110" s="859">
        <v>109.8</v>
      </c>
      <c r="M110" s="859">
        <v>0.6</v>
      </c>
      <c r="N110" s="859">
        <v>7.5979181711304022</v>
      </c>
      <c r="O110" s="859">
        <v>8.5</v>
      </c>
    </row>
    <row r="111" spans="1:15" ht="15" hidden="1" customHeight="1">
      <c r="A111" s="864" t="s">
        <v>26</v>
      </c>
      <c r="B111" s="859">
        <v>34583.1</v>
      </c>
      <c r="C111" s="859">
        <v>100.5</v>
      </c>
      <c r="D111" s="859">
        <v>111.4</v>
      </c>
      <c r="E111" s="859">
        <v>15544.7</v>
      </c>
      <c r="F111" s="859">
        <v>108.2</v>
      </c>
      <c r="G111" s="859">
        <v>7576.7</v>
      </c>
      <c r="H111" s="859">
        <v>121.9</v>
      </c>
      <c r="I111" s="859">
        <v>21776.3</v>
      </c>
      <c r="J111" s="859">
        <v>119.2</v>
      </c>
      <c r="K111" s="859">
        <v>354.5</v>
      </c>
      <c r="L111" s="859">
        <v>109.5</v>
      </c>
      <c r="M111" s="859">
        <v>1.1000000000000001</v>
      </c>
      <c r="N111" s="859">
        <v>7.7428770292172544</v>
      </c>
      <c r="O111" s="859">
        <v>8.4</v>
      </c>
    </row>
    <row r="112" spans="1:15" ht="15" hidden="1" customHeight="1">
      <c r="A112" s="864" t="s">
        <v>27</v>
      </c>
      <c r="B112" s="859">
        <v>40690</v>
      </c>
      <c r="C112" s="859">
        <v>100.3</v>
      </c>
      <c r="D112" s="859">
        <v>117.7</v>
      </c>
      <c r="E112" s="859">
        <v>17463.099999999999</v>
      </c>
      <c r="F112" s="859">
        <v>108.5</v>
      </c>
      <c r="G112" s="859">
        <v>8649.2999999999993</v>
      </c>
      <c r="H112" s="859">
        <v>121.7</v>
      </c>
      <c r="I112" s="859">
        <v>24538.6</v>
      </c>
      <c r="J112" s="859">
        <v>119</v>
      </c>
      <c r="K112" s="859" t="s">
        <v>1254</v>
      </c>
      <c r="L112" s="859">
        <v>109</v>
      </c>
      <c r="M112" s="859">
        <v>0</v>
      </c>
      <c r="N112" s="859">
        <v>6.7944925724378749</v>
      </c>
      <c r="O112" s="859">
        <v>8.3000000000000007</v>
      </c>
    </row>
    <row r="113" spans="1:15" ht="15" hidden="1" customHeight="1">
      <c r="A113" s="864" t="s">
        <v>28</v>
      </c>
      <c r="B113" s="859">
        <v>45476.6</v>
      </c>
      <c r="C113" s="859">
        <v>100.2</v>
      </c>
      <c r="D113" s="859">
        <v>118.8</v>
      </c>
      <c r="E113" s="859">
        <v>19512.7</v>
      </c>
      <c r="F113" s="859">
        <v>109.5</v>
      </c>
      <c r="G113" s="859">
        <v>10017.200000000001</v>
      </c>
      <c r="H113" s="859">
        <v>128.30000000000001</v>
      </c>
      <c r="I113" s="859">
        <v>27277.9</v>
      </c>
      <c r="J113" s="859">
        <v>119.2</v>
      </c>
      <c r="K113" s="859">
        <v>355.7</v>
      </c>
      <c r="L113" s="859">
        <v>108.7</v>
      </c>
      <c r="M113" s="859">
        <v>1.1000000000000001</v>
      </c>
      <c r="N113" s="859">
        <v>6.0369840595394066</v>
      </c>
      <c r="O113" s="859">
        <v>8</v>
      </c>
    </row>
    <row r="114" spans="1:15" ht="15" hidden="1" customHeight="1">
      <c r="A114" s="864" t="s">
        <v>29</v>
      </c>
      <c r="B114" s="859">
        <v>52082</v>
      </c>
      <c r="C114" s="859">
        <v>100.1</v>
      </c>
      <c r="D114" s="859">
        <v>117.8</v>
      </c>
      <c r="E114" s="859">
        <v>23196.1</v>
      </c>
      <c r="F114" s="859">
        <v>109.4</v>
      </c>
      <c r="G114" s="859">
        <v>12776.4</v>
      </c>
      <c r="H114" s="859">
        <v>127.3</v>
      </c>
      <c r="I114" s="859">
        <v>30524.6</v>
      </c>
      <c r="J114" s="859">
        <v>119.6</v>
      </c>
      <c r="K114" s="859">
        <v>356.6</v>
      </c>
      <c r="L114" s="859">
        <v>108.3</v>
      </c>
      <c r="M114" s="859">
        <v>0.9</v>
      </c>
      <c r="N114" s="859">
        <v>5.5911934944952435</v>
      </c>
      <c r="O114" s="859">
        <v>7.9</v>
      </c>
    </row>
    <row r="115" spans="1:15" s="1673" customFormat="1" ht="15" hidden="1" customHeight="1">
      <c r="A115" s="864" t="s">
        <v>1288</v>
      </c>
      <c r="B115" s="860">
        <v>54743.7</v>
      </c>
      <c r="C115" s="860">
        <v>102.2</v>
      </c>
      <c r="D115" s="860">
        <v>101.5</v>
      </c>
      <c r="E115" s="860">
        <v>26864.400000000001</v>
      </c>
      <c r="F115" s="860">
        <v>109.7</v>
      </c>
      <c r="G115" s="860">
        <v>15407.3</v>
      </c>
      <c r="H115" s="860">
        <v>118</v>
      </c>
      <c r="I115" s="860">
        <v>34769.5</v>
      </c>
      <c r="J115" s="860">
        <v>113.8</v>
      </c>
      <c r="K115" s="860">
        <v>396</v>
      </c>
      <c r="L115" s="860">
        <v>108.73146622734762</v>
      </c>
      <c r="M115" s="860">
        <v>0.7</v>
      </c>
      <c r="N115" s="860">
        <f>+N127</f>
        <v>-0.26192629669733947</v>
      </c>
      <c r="O115" s="860">
        <v>1.1000000000000001</v>
      </c>
    </row>
    <row r="116" spans="1:15" ht="15" hidden="1" customHeight="1">
      <c r="A116" s="864" t="s">
        <v>18</v>
      </c>
      <c r="B116" s="859">
        <v>4091.2</v>
      </c>
      <c r="C116" s="859">
        <v>101.2</v>
      </c>
      <c r="D116" s="859">
        <v>105.2</v>
      </c>
      <c r="E116" s="859">
        <v>1598.7</v>
      </c>
      <c r="F116" s="859">
        <v>105.9</v>
      </c>
      <c r="G116" s="859">
        <v>459.4</v>
      </c>
      <c r="H116" s="859">
        <v>104.8</v>
      </c>
      <c r="I116" s="859">
        <v>2062.4</v>
      </c>
      <c r="J116" s="859">
        <v>114.8</v>
      </c>
      <c r="K116" s="859">
        <v>363.1</v>
      </c>
      <c r="L116" s="859">
        <v>109.5</v>
      </c>
      <c r="M116" s="859">
        <v>0.1</v>
      </c>
      <c r="N116" s="859">
        <v>4.803886361388308</v>
      </c>
      <c r="O116" s="859">
        <v>4.8</v>
      </c>
    </row>
    <row r="117" spans="1:15" ht="15" hidden="1" customHeight="1">
      <c r="A117" s="864" t="s">
        <v>19</v>
      </c>
      <c r="B117" s="859">
        <v>8001.9</v>
      </c>
      <c r="C117" s="859">
        <v>100.5</v>
      </c>
      <c r="D117" s="859">
        <v>106.2</v>
      </c>
      <c r="E117" s="859">
        <v>3012.3</v>
      </c>
      <c r="F117" s="859">
        <v>107.1</v>
      </c>
      <c r="G117" s="859">
        <v>1196.4000000000001</v>
      </c>
      <c r="H117" s="859">
        <v>105.2</v>
      </c>
      <c r="I117" s="859">
        <v>4543.7</v>
      </c>
      <c r="J117" s="859">
        <v>113.6</v>
      </c>
      <c r="K117" s="859">
        <v>368.4</v>
      </c>
      <c r="L117" s="859">
        <v>108.5</v>
      </c>
      <c r="M117" s="859">
        <v>0.1</v>
      </c>
      <c r="N117" s="859">
        <v>2.6577246318197751</v>
      </c>
      <c r="O117" s="859">
        <v>3.7</v>
      </c>
    </row>
    <row r="118" spans="1:15" ht="15" hidden="1" customHeight="1">
      <c r="A118" s="864" t="s">
        <v>20</v>
      </c>
      <c r="B118" s="859">
        <v>12289.1</v>
      </c>
      <c r="C118" s="859">
        <v>100.5</v>
      </c>
      <c r="D118" s="859">
        <v>109.3</v>
      </c>
      <c r="E118" s="859">
        <v>4427.8</v>
      </c>
      <c r="F118" s="859">
        <v>107.7</v>
      </c>
      <c r="G118" s="859">
        <v>2099.4</v>
      </c>
      <c r="H118" s="859">
        <v>116.5</v>
      </c>
      <c r="I118" s="859">
        <v>7231.6</v>
      </c>
      <c r="J118" s="859">
        <v>113.9</v>
      </c>
      <c r="K118" s="859">
        <v>380.6</v>
      </c>
      <c r="L118" s="859">
        <v>108.5</v>
      </c>
      <c r="M118" s="859">
        <v>0.3</v>
      </c>
      <c r="N118" s="859">
        <v>1.8471878022345578</v>
      </c>
      <c r="O118" s="859">
        <v>3.1</v>
      </c>
    </row>
    <row r="119" spans="1:15" ht="15" hidden="1" customHeight="1">
      <c r="A119" s="864" t="s">
        <v>21</v>
      </c>
      <c r="B119" s="859">
        <v>16625</v>
      </c>
      <c r="C119" s="859">
        <v>100.3</v>
      </c>
      <c r="D119" s="859">
        <v>106.7</v>
      </c>
      <c r="E119" s="859">
        <v>6365.9</v>
      </c>
      <c r="F119" s="859">
        <v>109.5</v>
      </c>
      <c r="G119" s="859">
        <v>3724.9</v>
      </c>
      <c r="H119" s="859">
        <v>124</v>
      </c>
      <c r="I119" s="859">
        <v>9761.1</v>
      </c>
      <c r="J119" s="859">
        <v>114.1</v>
      </c>
      <c r="K119" s="859">
        <v>378.9</v>
      </c>
      <c r="L119" s="859">
        <v>108.7</v>
      </c>
      <c r="M119" s="859">
        <v>-0.4</v>
      </c>
      <c r="N119" s="859">
        <v>1.7452354030001942</v>
      </c>
      <c r="O119" s="859">
        <v>2.7</v>
      </c>
    </row>
    <row r="120" spans="1:15" ht="15" hidden="1" customHeight="1">
      <c r="A120" s="864" t="s">
        <v>22</v>
      </c>
      <c r="B120" s="859">
        <v>20852</v>
      </c>
      <c r="C120" s="859">
        <v>100.7</v>
      </c>
      <c r="D120" s="859">
        <v>103.9</v>
      </c>
      <c r="E120" s="859">
        <v>8371.7999999999993</v>
      </c>
      <c r="F120" s="859">
        <v>110.6</v>
      </c>
      <c r="G120" s="859">
        <v>4473.3999999999996</v>
      </c>
      <c r="H120" s="859">
        <v>128.30000000000001</v>
      </c>
      <c r="I120" s="859">
        <v>12358.7</v>
      </c>
      <c r="J120" s="859">
        <v>114.6</v>
      </c>
      <c r="K120" s="859">
        <v>379.1</v>
      </c>
      <c r="L120" s="859">
        <v>108.4</v>
      </c>
      <c r="M120" s="859">
        <v>-0.90533530000000439</v>
      </c>
      <c r="N120" s="859">
        <v>1.2682515865845687</v>
      </c>
      <c r="O120" s="859">
        <v>2.4644571570054694</v>
      </c>
    </row>
    <row r="121" spans="1:15" ht="15" hidden="1" customHeight="1">
      <c r="A121" s="864" t="s">
        <v>23</v>
      </c>
      <c r="B121" s="859">
        <v>25861.3</v>
      </c>
      <c r="C121" s="859">
        <v>101.5</v>
      </c>
      <c r="D121" s="859">
        <v>102</v>
      </c>
      <c r="E121" s="859">
        <v>11287.7</v>
      </c>
      <c r="F121" s="859">
        <v>111.3</v>
      </c>
      <c r="G121" s="859">
        <v>5924.9</v>
      </c>
      <c r="H121" s="859">
        <v>129.6</v>
      </c>
      <c r="I121" s="859">
        <v>15099.8</v>
      </c>
      <c r="J121" s="859">
        <v>114.2</v>
      </c>
      <c r="K121" s="859">
        <v>386.2</v>
      </c>
      <c r="L121" s="859">
        <v>108.8</v>
      </c>
      <c r="M121" s="859">
        <v>-1.2999999999999972</v>
      </c>
      <c r="N121" s="859">
        <v>0.82784214404509271</v>
      </c>
      <c r="O121" s="859">
        <v>2.2000000000000002</v>
      </c>
    </row>
    <row r="122" spans="1:15" ht="15" hidden="1" customHeight="1">
      <c r="A122" s="864" t="s">
        <v>24</v>
      </c>
      <c r="B122" s="859">
        <v>30783.1</v>
      </c>
      <c r="C122" s="859">
        <v>101.6</v>
      </c>
      <c r="D122" s="859">
        <v>101.5</v>
      </c>
      <c r="E122" s="859">
        <v>13901.3</v>
      </c>
      <c r="F122" s="859">
        <v>110.5</v>
      </c>
      <c r="G122" s="859">
        <v>7126</v>
      </c>
      <c r="H122" s="859">
        <v>127.2</v>
      </c>
      <c r="I122" s="859">
        <v>18231.8</v>
      </c>
      <c r="J122" s="859">
        <v>113.9</v>
      </c>
      <c r="K122" s="859">
        <v>384.5</v>
      </c>
      <c r="L122" s="859">
        <v>108.3</v>
      </c>
      <c r="M122" s="859">
        <v>-0.69461029999999369</v>
      </c>
      <c r="N122" s="859">
        <v>0.90555105278566828</v>
      </c>
      <c r="O122" s="859">
        <v>2.0079541402654542</v>
      </c>
    </row>
    <row r="123" spans="1:15" ht="15" hidden="1" customHeight="1">
      <c r="A123" s="864" t="s">
        <v>25</v>
      </c>
      <c r="B123" s="859">
        <v>35136.400000000001</v>
      </c>
      <c r="C123" s="859">
        <v>101.3</v>
      </c>
      <c r="D123" s="859">
        <v>101.1</v>
      </c>
      <c r="E123" s="859">
        <v>15998.3</v>
      </c>
      <c r="F123" s="859">
        <v>110.6</v>
      </c>
      <c r="G123" s="859">
        <v>8383.9</v>
      </c>
      <c r="H123" s="859">
        <v>128.4</v>
      </c>
      <c r="I123" s="859">
        <v>21365</v>
      </c>
      <c r="J123" s="859">
        <v>113.4</v>
      </c>
      <c r="K123" s="859">
        <v>386</v>
      </c>
      <c r="L123" s="859">
        <v>108.4</v>
      </c>
      <c r="M123" s="859">
        <v>-0.46625629999999774</v>
      </c>
      <c r="N123" s="859">
        <v>-0.20927167823850823</v>
      </c>
      <c r="O123" s="859">
        <v>1.7</v>
      </c>
    </row>
    <row r="124" spans="1:15" ht="15" hidden="1" customHeight="1">
      <c r="A124" s="864" t="s">
        <v>26</v>
      </c>
      <c r="B124" s="859">
        <v>39760.6</v>
      </c>
      <c r="C124" s="859">
        <v>101.1</v>
      </c>
      <c r="D124" s="859">
        <v>101</v>
      </c>
      <c r="E124" s="859">
        <v>18318.3</v>
      </c>
      <c r="F124" s="859">
        <v>110.2</v>
      </c>
      <c r="G124" s="859">
        <v>9850.6</v>
      </c>
      <c r="H124" s="859">
        <v>127.4</v>
      </c>
      <c r="I124" s="859">
        <v>24228.400000000001</v>
      </c>
      <c r="J124" s="859">
        <v>113.6</v>
      </c>
      <c r="K124" s="859">
        <v>390</v>
      </c>
      <c r="L124" s="859">
        <v>109.1</v>
      </c>
      <c r="M124" s="859">
        <v>0.60754810000000248</v>
      </c>
      <c r="N124" s="859">
        <v>-0.67684782398694665</v>
      </c>
      <c r="O124" s="859">
        <v>1.5</v>
      </c>
    </row>
    <row r="125" spans="1:15" ht="15" hidden="1" customHeight="1">
      <c r="A125" s="864" t="s">
        <v>27</v>
      </c>
      <c r="B125" s="859">
        <v>44218</v>
      </c>
      <c r="C125" s="859">
        <v>101</v>
      </c>
      <c r="D125" s="859">
        <v>101.3</v>
      </c>
      <c r="E125" s="859">
        <v>20527</v>
      </c>
      <c r="F125" s="859">
        <v>110.3</v>
      </c>
      <c r="G125" s="859">
        <v>11135.8</v>
      </c>
      <c r="H125" s="859">
        <v>126.8</v>
      </c>
      <c r="I125" s="859">
        <v>27128.5</v>
      </c>
      <c r="J125" s="859">
        <v>113.7</v>
      </c>
      <c r="K125" s="859">
        <v>388.2</v>
      </c>
      <c r="L125" s="859">
        <v>108.6</v>
      </c>
      <c r="M125" s="859">
        <v>0.7</v>
      </c>
      <c r="N125" s="859">
        <v>2.2047056546114163E-2</v>
      </c>
      <c r="O125" s="859">
        <v>1.3</v>
      </c>
    </row>
    <row r="126" spans="1:15" ht="15" hidden="1" customHeight="1">
      <c r="A126" s="864" t="s">
        <v>28</v>
      </c>
      <c r="B126" s="859">
        <v>48189.4</v>
      </c>
      <c r="C126" s="859">
        <v>101.2</v>
      </c>
      <c r="D126" s="859">
        <v>100.8</v>
      </c>
      <c r="E126" s="859">
        <v>22544.9</v>
      </c>
      <c r="F126" s="859">
        <v>109.7</v>
      </c>
      <c r="G126" s="859">
        <v>12615.1</v>
      </c>
      <c r="H126" s="859">
        <v>124</v>
      </c>
      <c r="I126" s="859">
        <v>29906</v>
      </c>
      <c r="J126" s="859">
        <v>113.7</v>
      </c>
      <c r="K126" s="859">
        <v>390.2</v>
      </c>
      <c r="L126" s="859">
        <v>109</v>
      </c>
      <c r="M126" s="859">
        <v>1</v>
      </c>
      <c r="N126" s="859">
        <v>1.6846107608046168E-3</v>
      </c>
      <c r="O126" s="859">
        <v>1.2</v>
      </c>
    </row>
    <row r="127" spans="1:15" ht="15" hidden="1" customHeight="1">
      <c r="A127" s="864" t="s">
        <v>29</v>
      </c>
      <c r="B127" s="859">
        <v>54743.7</v>
      </c>
      <c r="C127" s="859">
        <v>102.2</v>
      </c>
      <c r="D127" s="859">
        <v>101.5</v>
      </c>
      <c r="E127" s="859">
        <v>26864.400000000001</v>
      </c>
      <c r="F127" s="859">
        <v>109.6</v>
      </c>
      <c r="G127" s="859">
        <v>15407.3</v>
      </c>
      <c r="H127" s="859">
        <v>118</v>
      </c>
      <c r="I127" s="859">
        <v>34769.5</v>
      </c>
      <c r="J127" s="859">
        <v>113.8</v>
      </c>
      <c r="K127" s="859">
        <v>396</v>
      </c>
      <c r="L127" s="859">
        <v>108.7</v>
      </c>
      <c r="M127" s="859">
        <v>0.7</v>
      </c>
      <c r="N127" s="859">
        <v>-0.26192629669733947</v>
      </c>
      <c r="O127" s="859">
        <v>1.1000000000000001</v>
      </c>
    </row>
    <row r="128" spans="1:15" s="1673" customFormat="1" ht="15" hidden="1" customHeight="1">
      <c r="A128" s="864" t="s">
        <v>1410</v>
      </c>
      <c r="B128" s="860">
        <v>58182</v>
      </c>
      <c r="C128" s="860">
        <v>105.8</v>
      </c>
      <c r="D128" s="860">
        <v>99.6</v>
      </c>
      <c r="E128" s="860">
        <v>30525.9</v>
      </c>
      <c r="F128" s="860">
        <v>109.9</v>
      </c>
      <c r="G128" s="860">
        <v>17850.8</v>
      </c>
      <c r="H128" s="860">
        <v>115.1</v>
      </c>
      <c r="I128" s="860">
        <v>37562</v>
      </c>
      <c r="J128" s="860">
        <v>108</v>
      </c>
      <c r="K128" s="860">
        <v>420.5</v>
      </c>
      <c r="L128" s="860">
        <v>106.18686868686868</v>
      </c>
      <c r="M128" s="860">
        <v>1.9</v>
      </c>
      <c r="N128" s="860">
        <f>+N140</f>
        <v>3.5388587166589929</v>
      </c>
      <c r="O128" s="860">
        <v>2.4</v>
      </c>
    </row>
    <row r="129" spans="1:15" ht="15" hidden="1" customHeight="1">
      <c r="A129" s="864" t="s">
        <v>18</v>
      </c>
      <c r="B129" s="859">
        <v>4474.3</v>
      </c>
      <c r="C129" s="859">
        <v>102.8</v>
      </c>
      <c r="D129" s="859">
        <v>98</v>
      </c>
      <c r="E129" s="859">
        <v>1913.2</v>
      </c>
      <c r="F129" s="859">
        <v>108.7</v>
      </c>
      <c r="G129" s="859">
        <v>617.70000000000005</v>
      </c>
      <c r="H129" s="859">
        <v>132.4</v>
      </c>
      <c r="I129" s="859">
        <v>2273.8000000000002</v>
      </c>
      <c r="J129" s="859">
        <v>105.3</v>
      </c>
      <c r="K129" s="859">
        <v>398.4</v>
      </c>
      <c r="L129" s="859">
        <v>107.70478507704786</v>
      </c>
      <c r="M129" s="859">
        <v>1.2</v>
      </c>
      <c r="N129" s="859">
        <v>0.80643013353214599</v>
      </c>
      <c r="O129" s="859">
        <v>0.8</v>
      </c>
    </row>
    <row r="130" spans="1:15" ht="15" hidden="1" customHeight="1">
      <c r="A130" s="864" t="s">
        <v>19</v>
      </c>
      <c r="B130" s="859">
        <v>8344.6</v>
      </c>
      <c r="C130" s="859">
        <v>103.2</v>
      </c>
      <c r="D130" s="859">
        <v>97.7</v>
      </c>
      <c r="E130" s="859">
        <v>3619.1</v>
      </c>
      <c r="F130" s="859">
        <v>110.5</v>
      </c>
      <c r="G130" s="859">
        <v>1680.1</v>
      </c>
      <c r="H130" s="859">
        <v>138.30000000000001</v>
      </c>
      <c r="I130" s="859">
        <v>4785.5</v>
      </c>
      <c r="J130" s="859">
        <v>105.8</v>
      </c>
      <c r="K130" s="859">
        <v>397.4</v>
      </c>
      <c r="L130" s="859">
        <v>107.40540540540539</v>
      </c>
      <c r="M130" s="859">
        <v>0.5</v>
      </c>
      <c r="N130" s="859">
        <v>1.1658308089038627</v>
      </c>
      <c r="O130" s="859">
        <v>1</v>
      </c>
    </row>
    <row r="131" spans="1:15" ht="15" hidden="1" customHeight="1">
      <c r="A131" s="864" t="s">
        <v>20</v>
      </c>
      <c r="B131" s="859">
        <v>12946.6</v>
      </c>
      <c r="C131" s="859">
        <v>103.1</v>
      </c>
      <c r="D131" s="859">
        <v>97.3</v>
      </c>
      <c r="E131" s="859">
        <v>5981.2</v>
      </c>
      <c r="F131" s="859">
        <v>111.4</v>
      </c>
      <c r="G131" s="859">
        <v>2902.2</v>
      </c>
      <c r="H131" s="859">
        <v>136.1</v>
      </c>
      <c r="I131" s="859">
        <v>7736.7</v>
      </c>
      <c r="J131" s="859">
        <v>105.9</v>
      </c>
      <c r="K131" s="859">
        <v>405.1</v>
      </c>
      <c r="L131" s="859">
        <v>106.43720441408303</v>
      </c>
      <c r="M131" s="859">
        <v>0.6</v>
      </c>
      <c r="N131" s="859">
        <v>1.4765382382217069</v>
      </c>
      <c r="O131" s="859">
        <v>1.2</v>
      </c>
    </row>
    <row r="132" spans="1:15" ht="15" hidden="1" customHeight="1">
      <c r="A132" s="864" t="s">
        <v>21</v>
      </c>
      <c r="B132" s="859">
        <v>17230.5</v>
      </c>
      <c r="C132" s="859">
        <v>103.5</v>
      </c>
      <c r="D132" s="859">
        <v>97.9</v>
      </c>
      <c r="E132" s="859">
        <v>8079</v>
      </c>
      <c r="F132" s="859">
        <v>110.8</v>
      </c>
      <c r="G132" s="859">
        <v>4252.7</v>
      </c>
      <c r="H132" s="859">
        <v>128.4</v>
      </c>
      <c r="I132" s="859">
        <v>10259.700000000001</v>
      </c>
      <c r="J132" s="859">
        <v>106.3</v>
      </c>
      <c r="K132" s="859">
        <v>407.2</v>
      </c>
      <c r="L132" s="859">
        <v>106.9327731092437</v>
      </c>
      <c r="M132" s="859">
        <v>0.4</v>
      </c>
      <c r="N132" s="859">
        <v>2.3409022271319913</v>
      </c>
      <c r="O132" s="859">
        <v>1.4</v>
      </c>
    </row>
    <row r="133" spans="1:15" ht="15" hidden="1" customHeight="1">
      <c r="A133" s="864" t="s">
        <v>22</v>
      </c>
      <c r="B133" s="859">
        <v>22119.3</v>
      </c>
      <c r="C133" s="859">
        <v>104.5</v>
      </c>
      <c r="D133" s="859">
        <v>98.3</v>
      </c>
      <c r="E133" s="859">
        <v>10639.3</v>
      </c>
      <c r="F133" s="859">
        <v>110.9</v>
      </c>
      <c r="G133" s="859">
        <v>5762.6</v>
      </c>
      <c r="H133" s="859">
        <v>127.4</v>
      </c>
      <c r="I133" s="859">
        <v>12992.5</v>
      </c>
      <c r="J133" s="859">
        <v>106.8</v>
      </c>
      <c r="K133" s="859">
        <v>409.3</v>
      </c>
      <c r="L133" s="859">
        <v>106.81106471816284</v>
      </c>
      <c r="M133" s="859">
        <v>-0.40000000000000568</v>
      </c>
      <c r="N133" s="859">
        <v>2.9051410964517288</v>
      </c>
      <c r="O133" s="859">
        <v>1.7</v>
      </c>
    </row>
    <row r="134" spans="1:15" ht="15" hidden="1" customHeight="1">
      <c r="A134" s="864" t="s">
        <v>23</v>
      </c>
      <c r="B134" s="859">
        <v>27202</v>
      </c>
      <c r="C134" s="859">
        <v>105</v>
      </c>
      <c r="D134" s="859">
        <v>98.4</v>
      </c>
      <c r="E134" s="859">
        <v>13465.3</v>
      </c>
      <c r="F134" s="859">
        <v>110.9</v>
      </c>
      <c r="G134" s="859">
        <v>7361.8</v>
      </c>
      <c r="H134" s="859">
        <v>122.9</v>
      </c>
      <c r="I134" s="859">
        <v>15830.7</v>
      </c>
      <c r="J134" s="859">
        <v>107.1</v>
      </c>
      <c r="K134" s="859">
        <v>411.3</v>
      </c>
      <c r="L134" s="859">
        <v>106.49922320041429</v>
      </c>
      <c r="M134" s="859">
        <v>-1.1490586000000036</v>
      </c>
      <c r="N134" s="859">
        <v>3.0978028243614801</v>
      </c>
      <c r="O134" s="859">
        <v>1.9593807065210029</v>
      </c>
    </row>
    <row r="135" spans="1:15" ht="15" hidden="1" customHeight="1">
      <c r="A135" s="864" t="s">
        <v>24</v>
      </c>
      <c r="B135" s="859">
        <v>32296.7</v>
      </c>
      <c r="C135" s="859">
        <v>105</v>
      </c>
      <c r="D135" s="859">
        <v>98.6</v>
      </c>
      <c r="E135" s="859">
        <v>16251.4</v>
      </c>
      <c r="F135" s="859">
        <v>110.4</v>
      </c>
      <c r="G135" s="859">
        <v>8798.7999999999993</v>
      </c>
      <c r="H135" s="859">
        <v>123.3</v>
      </c>
      <c r="I135" s="859">
        <v>18914.400000000001</v>
      </c>
      <c r="J135" s="859">
        <v>107.2</v>
      </c>
      <c r="K135" s="859">
        <v>413.1</v>
      </c>
      <c r="L135" s="859">
        <v>106.52398143372872</v>
      </c>
      <c r="M135" s="859">
        <v>-0.70000000000000284</v>
      </c>
      <c r="N135" s="859">
        <v>3.0644703002497664</v>
      </c>
      <c r="O135" s="859">
        <v>2.1</v>
      </c>
    </row>
    <row r="136" spans="1:15" ht="15" hidden="1" customHeight="1">
      <c r="A136" s="864" t="s">
        <v>25</v>
      </c>
      <c r="B136" s="859">
        <v>37419.800000000003</v>
      </c>
      <c r="C136" s="859">
        <v>105.2</v>
      </c>
      <c r="D136" s="859">
        <v>99.2</v>
      </c>
      <c r="E136" s="859">
        <v>18934.599999999999</v>
      </c>
      <c r="F136" s="859">
        <v>110.3</v>
      </c>
      <c r="G136" s="859">
        <v>10378.799999999999</v>
      </c>
      <c r="H136" s="859">
        <v>122.7</v>
      </c>
      <c r="I136" s="859">
        <v>22033.3</v>
      </c>
      <c r="J136" s="859">
        <v>107.4</v>
      </c>
      <c r="K136" s="859">
        <v>414.1</v>
      </c>
      <c r="L136" s="859">
        <v>106.3977389516958</v>
      </c>
      <c r="M136" s="859">
        <v>-0.29999999999999716</v>
      </c>
      <c r="N136" s="859">
        <v>3.2085244282629759</v>
      </c>
      <c r="O136" s="859">
        <v>2.2000000000000002</v>
      </c>
    </row>
    <row r="137" spans="1:15" ht="15" hidden="1" customHeight="1">
      <c r="A137" s="864" t="s">
        <v>26</v>
      </c>
      <c r="B137" s="859">
        <v>42748</v>
      </c>
      <c r="C137" s="859">
        <v>105.4</v>
      </c>
      <c r="D137" s="859">
        <v>99.6</v>
      </c>
      <c r="E137" s="859">
        <v>21946.3</v>
      </c>
      <c r="F137" s="859">
        <v>110.3</v>
      </c>
      <c r="G137" s="859">
        <v>11826.5</v>
      </c>
      <c r="H137" s="859">
        <v>119</v>
      </c>
      <c r="I137" s="859">
        <v>25393.599999999999</v>
      </c>
      <c r="J137" s="859">
        <v>107.6</v>
      </c>
      <c r="K137" s="859">
        <v>415.3</v>
      </c>
      <c r="L137" s="859">
        <v>106.48717948717949</v>
      </c>
      <c r="M137" s="859">
        <v>0.1</v>
      </c>
      <c r="N137" s="859">
        <v>2.6598139789145421</v>
      </c>
      <c r="O137" s="859">
        <v>2.2999999999999998</v>
      </c>
    </row>
    <row r="138" spans="1:15" ht="15" hidden="1" customHeight="1">
      <c r="A138" s="864" t="s">
        <v>27</v>
      </c>
      <c r="B138" s="859">
        <v>47564.6</v>
      </c>
      <c r="C138" s="859">
        <v>105.7</v>
      </c>
      <c r="D138" s="859">
        <v>99.2</v>
      </c>
      <c r="E138" s="859">
        <v>24584.9</v>
      </c>
      <c r="F138" s="859">
        <v>109.8</v>
      </c>
      <c r="G138" s="859" t="s">
        <v>1531</v>
      </c>
      <c r="H138" s="859">
        <v>116.6</v>
      </c>
      <c r="I138" s="1693">
        <v>29064.2</v>
      </c>
      <c r="J138" s="859">
        <v>107.7</v>
      </c>
      <c r="K138" s="859">
        <v>416.6</v>
      </c>
      <c r="L138" s="859">
        <v>106.30262822148508</v>
      </c>
      <c r="M138" s="859">
        <v>0.7</v>
      </c>
      <c r="N138" s="859">
        <v>2.5931964859767049</v>
      </c>
      <c r="O138" s="859">
        <v>2.2999999999999998</v>
      </c>
    </row>
    <row r="139" spans="1:15" ht="14.25" hidden="1" customHeight="1">
      <c r="A139" s="864" t="s">
        <v>28</v>
      </c>
      <c r="B139" s="859">
        <v>52072.3</v>
      </c>
      <c r="C139" s="859">
        <v>105.7</v>
      </c>
      <c r="D139" s="859">
        <v>99.2</v>
      </c>
      <c r="E139" s="859">
        <v>26857.9</v>
      </c>
      <c r="F139" s="859">
        <v>109.5</v>
      </c>
      <c r="G139" s="859">
        <v>14592.3</v>
      </c>
      <c r="H139" s="859">
        <v>114.8</v>
      </c>
      <c r="I139" s="859">
        <v>32257.9</v>
      </c>
      <c r="J139" s="859">
        <v>107.9</v>
      </c>
      <c r="K139" s="859">
        <v>417.3</v>
      </c>
      <c r="L139" s="859">
        <v>106.15619435258203</v>
      </c>
      <c r="M139" s="859">
        <v>0.6945062000000064</v>
      </c>
      <c r="N139" s="859">
        <v>2.2511817416319531</v>
      </c>
      <c r="O139" s="859">
        <v>2.2999999999999998</v>
      </c>
    </row>
    <row r="140" spans="1:15" ht="15" hidden="1" customHeight="1">
      <c r="A140" s="864" t="s">
        <v>29</v>
      </c>
      <c r="B140" s="859">
        <v>58182</v>
      </c>
      <c r="C140" s="859">
        <v>105.8</v>
      </c>
      <c r="D140" s="859">
        <v>99.6</v>
      </c>
      <c r="E140" s="859">
        <v>30525.9</v>
      </c>
      <c r="F140" s="859">
        <v>109.9</v>
      </c>
      <c r="G140" s="859">
        <v>17850.8</v>
      </c>
      <c r="H140" s="859">
        <v>115.1</v>
      </c>
      <c r="I140" s="859">
        <v>37562</v>
      </c>
      <c r="J140" s="859">
        <v>108</v>
      </c>
      <c r="K140" s="859">
        <v>420.5</v>
      </c>
      <c r="L140" s="859">
        <v>106.18686868686868</v>
      </c>
      <c r="M140" s="859">
        <v>1.9</v>
      </c>
      <c r="N140" s="859">
        <v>3.5388587166589929</v>
      </c>
      <c r="O140" s="859">
        <v>2.4</v>
      </c>
    </row>
    <row r="141" spans="1:15" s="1673" customFormat="1" ht="15" hidden="1" customHeight="1">
      <c r="A141" s="864" t="s">
        <v>1621</v>
      </c>
      <c r="B141" s="860">
        <v>59014.1</v>
      </c>
      <c r="C141" s="860">
        <v>102.8</v>
      </c>
      <c r="D141" s="860">
        <v>98.7</v>
      </c>
      <c r="E141" s="860">
        <v>33195.9</v>
      </c>
      <c r="F141" s="860">
        <v>107</v>
      </c>
      <c r="G141" s="860">
        <v>17618.599999999999</v>
      </c>
      <c r="H141" s="860">
        <v>98.3</v>
      </c>
      <c r="I141" s="860">
        <v>39472.199999999997</v>
      </c>
      <c r="J141" s="860">
        <v>104.8</v>
      </c>
      <c r="K141" s="860">
        <v>444.3</v>
      </c>
      <c r="L141" s="860">
        <v>105.65992865636147</v>
      </c>
      <c r="M141" s="860">
        <v>0.5</v>
      </c>
      <c r="N141" s="860">
        <f>+N153</f>
        <v>-9.6906275256344543E-2</v>
      </c>
      <c r="O141" s="860">
        <v>1.4</v>
      </c>
    </row>
    <row r="142" spans="1:15" ht="15" hidden="1" customHeight="1">
      <c r="A142" s="864" t="s">
        <v>18</v>
      </c>
      <c r="B142" s="859">
        <v>4359</v>
      </c>
      <c r="C142" s="859">
        <v>100.8</v>
      </c>
      <c r="D142" s="859">
        <v>99.3</v>
      </c>
      <c r="E142" s="859">
        <v>2122</v>
      </c>
      <c r="F142" s="859">
        <v>107.7</v>
      </c>
      <c r="G142" s="859">
        <v>660.9</v>
      </c>
      <c r="H142" s="859">
        <v>106.3</v>
      </c>
      <c r="I142" s="859">
        <v>2618.1999999999998</v>
      </c>
      <c r="J142" s="859">
        <v>103.8</v>
      </c>
      <c r="K142" s="859">
        <v>426.2</v>
      </c>
      <c r="L142" s="859">
        <v>106.97791164658635</v>
      </c>
      <c r="M142" s="859">
        <v>-0.20000000000000284</v>
      </c>
      <c r="N142" s="859">
        <v>2.1751625921459379</v>
      </c>
      <c r="O142" s="859">
        <v>2.2000000000000002</v>
      </c>
    </row>
    <row r="143" spans="1:15" ht="11.25" hidden="1" customHeight="1">
      <c r="A143" s="864" t="s">
        <v>19</v>
      </c>
      <c r="B143" s="859">
        <v>8462.4</v>
      </c>
      <c r="C143" s="859">
        <v>101.6</v>
      </c>
      <c r="D143" s="859">
        <v>100</v>
      </c>
      <c r="E143" s="859">
        <v>4096</v>
      </c>
      <c r="F143" s="859">
        <v>108.8</v>
      </c>
      <c r="G143" s="859">
        <v>1824.6</v>
      </c>
      <c r="H143" s="859">
        <v>107.9</v>
      </c>
      <c r="I143" s="859">
        <v>5636</v>
      </c>
      <c r="J143" s="859">
        <v>104.1</v>
      </c>
      <c r="K143" s="859">
        <v>426.3</v>
      </c>
      <c r="L143" s="859">
        <v>107.2722697533971</v>
      </c>
      <c r="M143" s="859">
        <v>0.4</v>
      </c>
      <c r="N143" s="859">
        <v>2.0436265479097671</v>
      </c>
      <c r="O143" s="859">
        <v>2.1</v>
      </c>
    </row>
    <row r="144" spans="1:15" ht="15" hidden="1" customHeight="1">
      <c r="A144" s="864" t="s">
        <v>20</v>
      </c>
      <c r="B144" s="859">
        <v>13150.7</v>
      </c>
      <c r="C144" s="859">
        <v>102.5</v>
      </c>
      <c r="D144" s="859">
        <v>99.1</v>
      </c>
      <c r="E144" s="859">
        <v>6561.9</v>
      </c>
      <c r="F144" s="859">
        <v>108.8</v>
      </c>
      <c r="G144" s="859">
        <v>3125.9</v>
      </c>
      <c r="H144" s="859">
        <v>107</v>
      </c>
      <c r="I144" s="859">
        <v>9081.7999999999993</v>
      </c>
      <c r="J144" s="859">
        <v>104.5</v>
      </c>
      <c r="K144" s="859">
        <v>434.2</v>
      </c>
      <c r="L144" s="859">
        <v>107.18341150333251</v>
      </c>
      <c r="M144" s="859">
        <v>0.3</v>
      </c>
      <c r="N144" s="859">
        <v>1.7120516810749999</v>
      </c>
      <c r="O144" s="859">
        <v>2</v>
      </c>
    </row>
    <row r="145" spans="1:15" ht="15" hidden="1" customHeight="1">
      <c r="A145" s="864" t="s">
        <v>21</v>
      </c>
      <c r="B145" s="859">
        <v>18206.3</v>
      </c>
      <c r="C145" s="859">
        <v>103.2</v>
      </c>
      <c r="D145" s="859">
        <v>100.7</v>
      </c>
      <c r="E145" s="859">
        <v>9165.6</v>
      </c>
      <c r="F145" s="859">
        <v>108.9</v>
      </c>
      <c r="G145" s="859">
        <v>4627.8999999999996</v>
      </c>
      <c r="H145" s="859">
        <v>108.6</v>
      </c>
      <c r="I145" s="859">
        <v>12096.8</v>
      </c>
      <c r="J145" s="859">
        <v>104.6</v>
      </c>
      <c r="K145" s="859">
        <v>436.6</v>
      </c>
      <c r="L145" s="859">
        <v>107.22003929273085</v>
      </c>
      <c r="M145" s="859">
        <v>0.2</v>
      </c>
      <c r="N145" s="859">
        <v>1.4769071858735856</v>
      </c>
      <c r="O145" s="859">
        <v>1.9</v>
      </c>
    </row>
    <row r="146" spans="1:15" ht="15" hidden="1" customHeight="1">
      <c r="A146" s="864" t="s">
        <v>22</v>
      </c>
      <c r="B146" s="859">
        <v>23444.799999999999</v>
      </c>
      <c r="C146" s="859">
        <v>102.8</v>
      </c>
      <c r="D146" s="859">
        <v>101.9</v>
      </c>
      <c r="E146" s="859">
        <v>11876.9</v>
      </c>
      <c r="F146" s="859">
        <v>108.3</v>
      </c>
      <c r="G146" s="859">
        <v>6121.2</v>
      </c>
      <c r="H146" s="859">
        <v>106</v>
      </c>
      <c r="I146" s="859">
        <v>15042.4</v>
      </c>
      <c r="J146" s="859">
        <v>104.4</v>
      </c>
      <c r="K146" s="859">
        <v>438.1</v>
      </c>
      <c r="L146" s="859">
        <v>107.03640361592963</v>
      </c>
      <c r="M146" s="859">
        <v>-0.79999999999999716</v>
      </c>
      <c r="N146" s="859">
        <v>1.0256307776752749</v>
      </c>
      <c r="O146" s="859">
        <v>1.7</v>
      </c>
    </row>
    <row r="147" spans="1:15" ht="15" hidden="1" customHeight="1">
      <c r="A147" s="864" t="s">
        <v>23</v>
      </c>
      <c r="B147" s="859">
        <v>28743</v>
      </c>
      <c r="C147" s="859">
        <v>102.1</v>
      </c>
      <c r="D147" s="879">
        <v>102.3</v>
      </c>
      <c r="E147" s="859">
        <v>14800.3</v>
      </c>
      <c r="F147" s="859">
        <v>107</v>
      </c>
      <c r="G147" s="859">
        <v>7625.9</v>
      </c>
      <c r="H147" s="859">
        <v>103.4</v>
      </c>
      <c r="I147" s="859">
        <v>17780.599999999999</v>
      </c>
      <c r="J147" s="859">
        <v>104.7</v>
      </c>
      <c r="K147" s="859">
        <v>439.7</v>
      </c>
      <c r="L147" s="859">
        <v>106.90493557014345</v>
      </c>
      <c r="M147" s="859">
        <v>-1.2</v>
      </c>
      <c r="N147" s="859">
        <v>0.95265897830752522</v>
      </c>
      <c r="O147" s="859">
        <v>1.6</v>
      </c>
    </row>
    <row r="148" spans="1:15" ht="15" hidden="1" customHeight="1">
      <c r="A148" s="864" t="s">
        <v>24</v>
      </c>
      <c r="B148" s="859">
        <v>33994.800000000003</v>
      </c>
      <c r="C148" s="859">
        <v>102.4</v>
      </c>
      <c r="D148" s="879">
        <v>101.8</v>
      </c>
      <c r="E148" s="859">
        <v>17692.5</v>
      </c>
      <c r="F148" s="859">
        <v>106.7</v>
      </c>
      <c r="G148" s="859">
        <v>9075.5</v>
      </c>
      <c r="H148" s="859">
        <v>103</v>
      </c>
      <c r="I148" s="859">
        <v>21019.3</v>
      </c>
      <c r="J148" s="859">
        <v>104.7</v>
      </c>
      <c r="K148" s="859">
        <v>440.7</v>
      </c>
      <c r="L148" s="859">
        <v>106.68119099491649</v>
      </c>
      <c r="M148" s="859">
        <v>-0.79484159999999804</v>
      </c>
      <c r="N148" s="859">
        <v>0.88338163027370342</v>
      </c>
      <c r="O148" s="859" t="s">
        <v>982</v>
      </c>
    </row>
    <row r="149" spans="1:15" ht="15" hidden="1" customHeight="1">
      <c r="A149" s="864" t="s">
        <v>25</v>
      </c>
      <c r="B149" s="859">
        <v>39171.599999999999</v>
      </c>
      <c r="C149" s="859">
        <v>102.4</v>
      </c>
      <c r="D149" s="879">
        <v>101.3</v>
      </c>
      <c r="E149" s="859">
        <v>20577.900000000001</v>
      </c>
      <c r="F149" s="859">
        <v>106.2</v>
      </c>
      <c r="G149" s="859">
        <v>10445.299999999999</v>
      </c>
      <c r="H149" s="859">
        <v>100.5</v>
      </c>
      <c r="I149" s="859">
        <v>24044.799999999999</v>
      </c>
      <c r="J149" s="859">
        <v>105.1</v>
      </c>
      <c r="K149" s="859">
        <v>440.8</v>
      </c>
      <c r="L149" s="859">
        <v>106.44771794252597</v>
      </c>
      <c r="M149" s="859">
        <v>0</v>
      </c>
      <c r="N149" s="859">
        <v>1.2056141591850746</v>
      </c>
      <c r="O149" s="859">
        <v>1.4</v>
      </c>
    </row>
    <row r="150" spans="1:15" ht="15" hidden="1" customHeight="1">
      <c r="A150" s="864" t="s">
        <v>26</v>
      </c>
      <c r="B150" s="859">
        <v>44145.4</v>
      </c>
      <c r="C150" s="859">
        <v>102.5</v>
      </c>
      <c r="D150" s="879">
        <v>100.7</v>
      </c>
      <c r="E150" s="859">
        <v>23426.5</v>
      </c>
      <c r="F150" s="859">
        <v>105.9</v>
      </c>
      <c r="G150" s="859">
        <v>11868.5</v>
      </c>
      <c r="H150" s="859">
        <v>100.2</v>
      </c>
      <c r="I150" s="859">
        <v>27168.6</v>
      </c>
      <c r="J150" s="859">
        <v>105.4</v>
      </c>
      <c r="K150" s="859">
        <v>441.5</v>
      </c>
      <c r="L150" s="859">
        <v>106.30869251143751</v>
      </c>
      <c r="M150" s="859">
        <v>1.1000000000000001</v>
      </c>
      <c r="N150" s="859">
        <v>2.2896428408786846</v>
      </c>
      <c r="O150" s="859">
        <v>1.5</v>
      </c>
    </row>
    <row r="151" spans="1:15" ht="15" hidden="1" customHeight="1">
      <c r="A151" s="864" t="s">
        <v>27</v>
      </c>
      <c r="B151" s="859">
        <v>49225.2</v>
      </c>
      <c r="C151" s="859">
        <v>102.8</v>
      </c>
      <c r="D151" s="879">
        <v>100.2</v>
      </c>
      <c r="E151" s="859">
        <v>26487.8</v>
      </c>
      <c r="F151" s="859">
        <v>106.4</v>
      </c>
      <c r="G151" s="859">
        <v>13219.8</v>
      </c>
      <c r="H151" s="859">
        <v>100.6</v>
      </c>
      <c r="I151" s="859">
        <v>30377.200000000001</v>
      </c>
      <c r="J151" s="859">
        <v>105.4</v>
      </c>
      <c r="K151" s="859">
        <v>441.8</v>
      </c>
      <c r="L151" s="859">
        <v>106.04896783485358</v>
      </c>
      <c r="M151" s="859">
        <v>0.3</v>
      </c>
      <c r="N151" s="859">
        <v>1.9019852360609377</v>
      </c>
      <c r="O151" s="859">
        <v>1.6</v>
      </c>
    </row>
    <row r="152" spans="1:15" ht="15" hidden="1" customHeight="1">
      <c r="A152" s="864" t="s">
        <v>28</v>
      </c>
      <c r="B152" s="859">
        <v>53743.6</v>
      </c>
      <c r="C152" s="859">
        <v>102.2</v>
      </c>
      <c r="D152" s="859">
        <v>99.6</v>
      </c>
      <c r="E152" s="859">
        <v>29445.1</v>
      </c>
      <c r="F152" s="859">
        <v>106.4</v>
      </c>
      <c r="G152" s="859">
        <v>14693.1</v>
      </c>
      <c r="H152" s="859">
        <v>100.3</v>
      </c>
      <c r="I152" s="859">
        <v>33627.9</v>
      </c>
      <c r="J152" s="859">
        <v>104.7</v>
      </c>
      <c r="K152" s="859">
        <v>442</v>
      </c>
      <c r="L152" s="859">
        <v>105.91900311526479</v>
      </c>
      <c r="M152" s="859">
        <v>0.1</v>
      </c>
      <c r="N152" s="859">
        <v>1.2943249160121297</v>
      </c>
      <c r="O152" s="859">
        <v>1.5</v>
      </c>
    </row>
    <row r="153" spans="1:15" ht="15" hidden="1" customHeight="1">
      <c r="A153" s="864" t="s">
        <v>29</v>
      </c>
      <c r="B153" s="859">
        <v>59014.1</v>
      </c>
      <c r="C153" s="859">
        <v>102.8</v>
      </c>
      <c r="D153" s="859">
        <v>98.7</v>
      </c>
      <c r="E153" s="859">
        <v>33195.9</v>
      </c>
      <c r="F153" s="859">
        <v>106.9</v>
      </c>
      <c r="G153" s="859">
        <v>17618.599999999999</v>
      </c>
      <c r="H153" s="859">
        <v>98.3</v>
      </c>
      <c r="I153" s="859">
        <v>39472.199999999997</v>
      </c>
      <c r="J153" s="859">
        <v>104.8</v>
      </c>
      <c r="K153" s="859">
        <v>444.3</v>
      </c>
      <c r="L153" s="859">
        <v>105.65992865636147</v>
      </c>
      <c r="M153" s="859">
        <v>0.5</v>
      </c>
      <c r="N153" s="859">
        <v>-9.6906275256344543E-2</v>
      </c>
      <c r="O153" s="859">
        <v>1.4</v>
      </c>
    </row>
    <row r="154" spans="1:15" s="1673" customFormat="1" ht="15" hidden="1" customHeight="1">
      <c r="A154" s="864" t="s">
        <v>1816</v>
      </c>
      <c r="B154" s="860">
        <v>54380</v>
      </c>
      <c r="C154" s="860">
        <v>101.1</v>
      </c>
      <c r="D154" s="860">
        <v>91.1</v>
      </c>
      <c r="E154" s="860">
        <v>34138.800000000003</v>
      </c>
      <c r="F154" s="860">
        <v>101.1</v>
      </c>
      <c r="G154" s="860">
        <v>15957</v>
      </c>
      <c r="H154" s="860">
        <v>88.9</v>
      </c>
      <c r="I154" s="860">
        <v>41744.800000000003</v>
      </c>
      <c r="J154" s="860">
        <v>105.7</v>
      </c>
      <c r="K154" s="860">
        <v>464.4</v>
      </c>
      <c r="L154" s="860">
        <v>104.52397029034435</v>
      </c>
      <c r="M154" s="860">
        <v>4.3532866000000041</v>
      </c>
      <c r="N154" s="860">
        <f>+N166</f>
        <v>7.5682791363655895</v>
      </c>
      <c r="O154" s="860">
        <v>4.0094383999999934</v>
      </c>
    </row>
    <row r="155" spans="1:15" ht="15" hidden="1" customHeight="1">
      <c r="A155" s="864" t="s">
        <v>18</v>
      </c>
      <c r="B155" s="859">
        <v>3631.7</v>
      </c>
      <c r="C155" s="859">
        <v>104.4</v>
      </c>
      <c r="D155" s="859">
        <v>78.599999999999994</v>
      </c>
      <c r="E155" s="859">
        <v>2258.3000000000002</v>
      </c>
      <c r="F155" s="859">
        <v>105.5</v>
      </c>
      <c r="G155" s="859">
        <v>682.7</v>
      </c>
      <c r="H155" s="859">
        <v>102.9</v>
      </c>
      <c r="I155" s="859">
        <v>2680.9</v>
      </c>
      <c r="J155" s="859">
        <v>105.5</v>
      </c>
      <c r="K155" s="859">
        <v>444.4</v>
      </c>
      <c r="L155" s="859">
        <v>104.27029563585171</v>
      </c>
      <c r="M155" s="859">
        <v>0.2</v>
      </c>
      <c r="N155" s="859">
        <v>0.2</v>
      </c>
      <c r="O155" s="859">
        <v>0.2</v>
      </c>
    </row>
    <row r="156" spans="1:15" ht="15" hidden="1" customHeight="1">
      <c r="A156" s="864" t="s">
        <v>19</v>
      </c>
      <c r="B156" s="859">
        <v>7113.6</v>
      </c>
      <c r="C156" s="859">
        <v>104.2</v>
      </c>
      <c r="D156" s="859">
        <v>80.5</v>
      </c>
      <c r="E156" s="859">
        <v>4238.2</v>
      </c>
      <c r="F156" s="859">
        <v>105.1</v>
      </c>
      <c r="G156" s="859">
        <v>1697.5</v>
      </c>
      <c r="H156" s="859">
        <v>100</v>
      </c>
      <c r="I156" s="859">
        <v>5859.4</v>
      </c>
      <c r="J156" s="859">
        <v>105</v>
      </c>
      <c r="K156" s="859">
        <v>444.5</v>
      </c>
      <c r="L156" s="859">
        <v>104.26929392446634</v>
      </c>
      <c r="M156" s="859">
        <v>4</v>
      </c>
      <c r="N156" s="859">
        <v>3.8880293419652645</v>
      </c>
      <c r="O156" s="859">
        <v>2</v>
      </c>
    </row>
    <row r="157" spans="1:15" ht="15" hidden="1" customHeight="1">
      <c r="A157" s="864" t="s">
        <v>20</v>
      </c>
      <c r="B157" s="859">
        <v>11525</v>
      </c>
      <c r="C157" s="859">
        <v>105.3</v>
      </c>
      <c r="D157" s="859">
        <v>82.1</v>
      </c>
      <c r="E157" s="859">
        <v>7091</v>
      </c>
      <c r="F157" s="859">
        <v>106.9</v>
      </c>
      <c r="G157" s="859">
        <v>3232.8</v>
      </c>
      <c r="H157" s="859">
        <v>103</v>
      </c>
      <c r="I157" s="859">
        <v>9455.9</v>
      </c>
      <c r="J157" s="859">
        <v>105.3</v>
      </c>
      <c r="K157" s="859">
        <v>449.5</v>
      </c>
      <c r="L157" s="859">
        <v>103.52372178719484</v>
      </c>
      <c r="M157" s="859">
        <v>0.9</v>
      </c>
      <c r="N157" s="859">
        <v>4.5259123755934496</v>
      </c>
      <c r="O157" s="859">
        <v>2.8</v>
      </c>
    </row>
    <row r="158" spans="1:15" ht="15" hidden="1" customHeight="1">
      <c r="A158" s="864" t="s">
        <v>21</v>
      </c>
      <c r="B158" s="859">
        <v>16639</v>
      </c>
      <c r="C158" s="859">
        <v>105.5</v>
      </c>
      <c r="D158" s="859">
        <v>84.7</v>
      </c>
      <c r="E158" s="859">
        <v>9792.2000000000007</v>
      </c>
      <c r="F158" s="859">
        <v>106.7</v>
      </c>
      <c r="G158" s="859">
        <v>4868.6000000000004</v>
      </c>
      <c r="H158" s="859">
        <v>103.5</v>
      </c>
      <c r="I158" s="859">
        <v>12649.3</v>
      </c>
      <c r="J158" s="859">
        <v>105.7</v>
      </c>
      <c r="K158" s="859">
        <v>452.3</v>
      </c>
      <c r="L158" s="859">
        <v>103.59596885020615</v>
      </c>
      <c r="M158" s="859">
        <v>-0.2</v>
      </c>
      <c r="N158" s="859">
        <v>4.1060461382235474</v>
      </c>
      <c r="O158" s="859">
        <v>3.1</v>
      </c>
    </row>
    <row r="159" spans="1:15" ht="15" hidden="1" customHeight="1">
      <c r="A159" s="864" t="s">
        <v>22</v>
      </c>
      <c r="B159" s="859">
        <v>21344.3</v>
      </c>
      <c r="C159" s="859">
        <v>105.3</v>
      </c>
      <c r="D159" s="859">
        <v>86.5</v>
      </c>
      <c r="E159" s="859">
        <v>12801</v>
      </c>
      <c r="F159" s="859">
        <v>107.6</v>
      </c>
      <c r="G159" s="859">
        <v>6416.3</v>
      </c>
      <c r="H159" s="859">
        <v>103.7</v>
      </c>
      <c r="I159" s="859">
        <v>16163.1</v>
      </c>
      <c r="J159" s="859">
        <v>105.8</v>
      </c>
      <c r="K159" s="859">
        <v>454.8</v>
      </c>
      <c r="L159" s="859">
        <v>103.81191508787948</v>
      </c>
      <c r="M159" s="859">
        <v>-0.6</v>
      </c>
      <c r="N159" s="859">
        <v>4.3181520178182211</v>
      </c>
      <c r="O159" s="859">
        <v>3.4</v>
      </c>
    </row>
    <row r="160" spans="1:15" ht="15" hidden="1" customHeight="1">
      <c r="A160" s="864" t="s">
        <v>23</v>
      </c>
      <c r="B160" s="859">
        <v>26265.1</v>
      </c>
      <c r="C160" s="859">
        <v>105.7</v>
      </c>
      <c r="D160" s="859">
        <v>87.5</v>
      </c>
      <c r="E160" s="859">
        <v>16009.9</v>
      </c>
      <c r="F160" s="859">
        <v>109.2</v>
      </c>
      <c r="G160" s="859">
        <v>7925.6</v>
      </c>
      <c r="H160" s="859">
        <v>103.7</v>
      </c>
      <c r="I160" s="859">
        <v>19826.3</v>
      </c>
      <c r="J160" s="859">
        <v>106.2</v>
      </c>
      <c r="K160" s="859">
        <v>456.3</v>
      </c>
      <c r="L160" s="859">
        <v>103.77530134182398</v>
      </c>
      <c r="M160" s="859">
        <v>-1.1000000000000001</v>
      </c>
      <c r="N160" s="859">
        <v>4.4027198147509097</v>
      </c>
      <c r="O160" s="859">
        <v>3.5</v>
      </c>
    </row>
    <row r="161" spans="1:15" ht="15" hidden="1" customHeight="1">
      <c r="A161" s="864" t="s">
        <v>24</v>
      </c>
      <c r="B161" s="859">
        <v>32057.5</v>
      </c>
      <c r="C161" s="859">
        <v>105.6</v>
      </c>
      <c r="D161" s="859">
        <v>88.8</v>
      </c>
      <c r="E161" s="859">
        <v>19926.900000000001</v>
      </c>
      <c r="F161" s="859">
        <v>109</v>
      </c>
      <c r="G161" s="859">
        <v>9368.5</v>
      </c>
      <c r="H161" s="859">
        <v>103.5</v>
      </c>
      <c r="I161" s="859">
        <v>23606.1</v>
      </c>
      <c r="J161" s="859">
        <v>106.4</v>
      </c>
      <c r="K161" s="859">
        <v>458.1</v>
      </c>
      <c r="L161" s="859">
        <v>103.94826412525529</v>
      </c>
      <c r="M161" s="859">
        <v>-0.7</v>
      </c>
      <c r="N161" s="859">
        <v>4.4734774993333559</v>
      </c>
      <c r="O161" s="859">
        <v>3.7</v>
      </c>
    </row>
    <row r="162" spans="1:15" ht="15" hidden="1" customHeight="1">
      <c r="A162" s="864" t="s">
        <v>25</v>
      </c>
      <c r="B162" s="859">
        <v>36027.599999999999</v>
      </c>
      <c r="C162" s="859">
        <v>104.2</v>
      </c>
      <c r="D162" s="859">
        <v>88.4</v>
      </c>
      <c r="E162" s="859">
        <v>22589.200000000001</v>
      </c>
      <c r="F162" s="859">
        <v>107.4</v>
      </c>
      <c r="G162" s="859">
        <v>10550.1</v>
      </c>
      <c r="H162" s="859">
        <v>101.7</v>
      </c>
      <c r="I162" s="859">
        <v>26674.7</v>
      </c>
      <c r="J162" s="859">
        <v>105.9</v>
      </c>
      <c r="K162" s="859">
        <v>459.4</v>
      </c>
      <c r="L162" s="859">
        <v>104.2196007259528</v>
      </c>
      <c r="M162" s="859">
        <v>-0.1</v>
      </c>
      <c r="N162" s="859">
        <v>4.3647808636489032</v>
      </c>
      <c r="O162" s="859">
        <v>3.8</v>
      </c>
    </row>
    <row r="163" spans="1:15" ht="15" hidden="1" customHeight="1">
      <c r="A163" s="864" t="s">
        <v>26</v>
      </c>
      <c r="B163" s="859">
        <v>40678.400000000001</v>
      </c>
      <c r="C163" s="859">
        <v>103.7</v>
      </c>
      <c r="D163" s="859">
        <v>88.2</v>
      </c>
      <c r="E163" s="859">
        <v>25872.1</v>
      </c>
      <c r="F163" s="859">
        <v>106.4</v>
      </c>
      <c r="G163" s="859">
        <v>11831.2</v>
      </c>
      <c r="H163" s="859">
        <v>100.5</v>
      </c>
      <c r="I163" s="859">
        <v>30122.799999999999</v>
      </c>
      <c r="J163" s="859">
        <v>105.8</v>
      </c>
      <c r="K163" s="859">
        <v>459.7</v>
      </c>
      <c r="L163" s="859">
        <v>104.12231030577577</v>
      </c>
      <c r="M163" s="859">
        <v>0.3</v>
      </c>
      <c r="N163" s="859">
        <v>3.4919142783413264</v>
      </c>
      <c r="O163" s="859">
        <v>3.7</v>
      </c>
    </row>
    <row r="164" spans="1:15" ht="15" hidden="1" customHeight="1">
      <c r="A164" s="864" t="s">
        <v>27</v>
      </c>
      <c r="B164" s="859">
        <v>45934.8</v>
      </c>
      <c r="C164" s="859">
        <v>103.3</v>
      </c>
      <c r="D164" s="859">
        <v>89.4</v>
      </c>
      <c r="E164" s="859">
        <v>29315.3</v>
      </c>
      <c r="F164" s="859">
        <v>105.2</v>
      </c>
      <c r="G164" s="859">
        <v>13078.1</v>
      </c>
      <c r="H164" s="859">
        <v>98.1</v>
      </c>
      <c r="I164" s="859">
        <v>33518.699999999997</v>
      </c>
      <c r="J164" s="859">
        <v>105.7</v>
      </c>
      <c r="K164" s="859">
        <v>460.5</v>
      </c>
      <c r="L164" s="859">
        <v>104.23268447261205</v>
      </c>
      <c r="M164" s="859">
        <v>0.1</v>
      </c>
      <c r="N164" s="859">
        <v>3.3246235714315304</v>
      </c>
      <c r="O164" s="859">
        <v>3.7</v>
      </c>
    </row>
    <row r="165" spans="1:15" ht="15" hidden="1" customHeight="1">
      <c r="A165" s="864" t="s">
        <v>28</v>
      </c>
      <c r="B165" s="859">
        <v>50057.5</v>
      </c>
      <c r="C165" s="859">
        <v>103.1</v>
      </c>
      <c r="D165" s="859">
        <v>89.9</v>
      </c>
      <c r="E165" s="859">
        <v>31885.7</v>
      </c>
      <c r="F165" s="859">
        <v>104</v>
      </c>
      <c r="G165" s="859">
        <v>14438.8</v>
      </c>
      <c r="H165" s="859">
        <v>97.6</v>
      </c>
      <c r="I165" s="859">
        <v>36770.199999999997</v>
      </c>
      <c r="J165" s="859">
        <v>105.7</v>
      </c>
      <c r="K165" s="859">
        <v>460.5</v>
      </c>
      <c r="L165" s="859">
        <v>104.18552036199095</v>
      </c>
      <c r="M165" s="859">
        <v>0.38944680000000176</v>
      </c>
      <c r="N165" s="859">
        <v>3.6295582463055354</v>
      </c>
      <c r="O165" s="859">
        <v>3.681657400000006</v>
      </c>
    </row>
    <row r="166" spans="1:15" ht="15" hidden="1" customHeight="1">
      <c r="A166" s="864" t="s">
        <v>29</v>
      </c>
      <c r="B166" s="859">
        <v>54380</v>
      </c>
      <c r="C166" s="859">
        <v>101.1</v>
      </c>
      <c r="D166" s="859">
        <v>91.1</v>
      </c>
      <c r="E166" s="859">
        <v>34138.800000000003</v>
      </c>
      <c r="F166" s="859">
        <v>101.1</v>
      </c>
      <c r="G166" s="859">
        <v>15957</v>
      </c>
      <c r="H166" s="859">
        <v>88.9</v>
      </c>
      <c r="I166" s="859">
        <v>41744.800000000003</v>
      </c>
      <c r="J166" s="859">
        <v>105.7</v>
      </c>
      <c r="K166" s="859">
        <v>464.4</v>
      </c>
      <c r="L166" s="859">
        <v>104.52397029034435</v>
      </c>
      <c r="M166" s="859">
        <v>4.3532866000000041</v>
      </c>
      <c r="N166" s="859">
        <v>7.5682791363655895</v>
      </c>
      <c r="O166" s="859">
        <v>4.0094383999999934</v>
      </c>
    </row>
    <row r="167" spans="1:15" ht="15" customHeight="1">
      <c r="A167" s="864" t="s">
        <v>1839</v>
      </c>
      <c r="B167" s="860">
        <v>60425.2</v>
      </c>
      <c r="C167" s="860">
        <v>96.9</v>
      </c>
      <c r="D167" s="860">
        <v>114.7</v>
      </c>
      <c r="E167" s="860">
        <v>35951.1</v>
      </c>
      <c r="F167" s="860">
        <v>95.6</v>
      </c>
      <c r="G167" s="860">
        <v>15772.825800000001</v>
      </c>
      <c r="H167" s="860">
        <v>78.3</v>
      </c>
      <c r="I167" s="860">
        <v>45395.1</v>
      </c>
      <c r="J167" s="860">
        <v>108.7</v>
      </c>
      <c r="K167" s="860">
        <v>498.6</v>
      </c>
      <c r="L167" s="860">
        <v>107.36434108527133</v>
      </c>
      <c r="M167" s="860">
        <v>3</v>
      </c>
      <c r="N167" s="860">
        <f>+N179</f>
        <v>15.663170556703562</v>
      </c>
      <c r="O167" s="860">
        <v>12.4</v>
      </c>
    </row>
    <row r="168" spans="1:15" ht="15" hidden="1" customHeight="1">
      <c r="A168" s="864" t="s">
        <v>18</v>
      </c>
      <c r="B168" s="859">
        <v>4011.2</v>
      </c>
      <c r="C168" s="859">
        <v>96.7</v>
      </c>
      <c r="D168" s="859">
        <v>115.8</v>
      </c>
      <c r="E168" s="859">
        <v>2445.4</v>
      </c>
      <c r="F168" s="859">
        <v>96.3</v>
      </c>
      <c r="G168" s="859">
        <v>880.7</v>
      </c>
      <c r="H168" s="859">
        <v>100</v>
      </c>
      <c r="I168" s="859">
        <v>3080.6</v>
      </c>
      <c r="J168" s="859">
        <v>112.1</v>
      </c>
      <c r="K168" s="859">
        <v>478</v>
      </c>
      <c r="L168" s="859">
        <v>107.56075607560756</v>
      </c>
      <c r="M168" s="859">
        <v>5.8</v>
      </c>
      <c r="N168" s="859">
        <v>13.60210270932258</v>
      </c>
      <c r="O168" s="859">
        <v>13.6</v>
      </c>
    </row>
    <row r="169" spans="1:15" ht="15" hidden="1" customHeight="1">
      <c r="A169" s="864" t="s">
        <v>19</v>
      </c>
      <c r="B169" s="859">
        <v>7888.7</v>
      </c>
      <c r="C169" s="859">
        <v>96.8</v>
      </c>
      <c r="D169" s="859">
        <v>117.5</v>
      </c>
      <c r="E169" s="859">
        <v>4538.8999999999996</v>
      </c>
      <c r="F169" s="859">
        <v>94.5</v>
      </c>
      <c r="G169" s="859">
        <v>1834.9</v>
      </c>
      <c r="H169" s="859">
        <v>68.900000000000006</v>
      </c>
      <c r="I169" s="859">
        <v>6459.3</v>
      </c>
      <c r="J169" s="859">
        <v>110.2</v>
      </c>
      <c r="K169" s="859">
        <v>470.2</v>
      </c>
      <c r="L169" s="859">
        <v>105.78177727784026</v>
      </c>
      <c r="M169" s="859">
        <v>0.4</v>
      </c>
      <c r="N169" s="859">
        <v>9.7263033036773834</v>
      </c>
      <c r="O169" s="859">
        <v>11.7</v>
      </c>
    </row>
    <row r="170" spans="1:15" ht="15" hidden="1" customHeight="1">
      <c r="A170" s="864" t="s">
        <v>20</v>
      </c>
      <c r="B170" s="859">
        <v>12588.7</v>
      </c>
      <c r="C170" s="859">
        <v>96.5</v>
      </c>
      <c r="D170" s="859">
        <v>113.1</v>
      </c>
      <c r="E170" s="859">
        <v>7387.3</v>
      </c>
      <c r="F170" s="859">
        <v>94.3</v>
      </c>
      <c r="G170" s="859">
        <v>2876.8</v>
      </c>
      <c r="H170" s="859">
        <v>65.8</v>
      </c>
      <c r="I170" s="859">
        <v>10303.5</v>
      </c>
      <c r="J170" s="859">
        <v>109</v>
      </c>
      <c r="K170" s="859">
        <v>484.4</v>
      </c>
      <c r="L170" s="859">
        <v>107.76418242491657</v>
      </c>
      <c r="M170" s="859">
        <v>0.4</v>
      </c>
      <c r="N170" s="859">
        <v>9.1702140941422954</v>
      </c>
      <c r="O170" s="859">
        <v>10.8</v>
      </c>
    </row>
    <row r="171" spans="1:15" ht="15" hidden="1" customHeight="1">
      <c r="A171" s="864" t="s">
        <v>21</v>
      </c>
      <c r="B171" s="859">
        <v>16867.900000000001</v>
      </c>
      <c r="C171" s="859">
        <v>95.5</v>
      </c>
      <c r="D171" s="859">
        <v>110.9</v>
      </c>
      <c r="E171" s="859">
        <v>9859.5</v>
      </c>
      <c r="F171" s="859">
        <v>93.2</v>
      </c>
      <c r="G171" s="859">
        <v>4291.3</v>
      </c>
      <c r="H171" s="859">
        <v>68.900000000000006</v>
      </c>
      <c r="I171" s="859">
        <v>13789.5</v>
      </c>
      <c r="J171" s="859">
        <v>109</v>
      </c>
      <c r="K171" s="859">
        <v>486.3</v>
      </c>
      <c r="L171" s="859">
        <v>107.51713464514702</v>
      </c>
      <c r="M171" s="859">
        <v>0.2</v>
      </c>
      <c r="N171" s="859">
        <v>9.609686877446606</v>
      </c>
      <c r="O171" s="859">
        <v>10.5</v>
      </c>
    </row>
    <row r="172" spans="1:15" ht="15" hidden="1" customHeight="1">
      <c r="A172" s="864" t="s">
        <v>22</v>
      </c>
      <c r="B172" s="859">
        <v>21512.799999999999</v>
      </c>
      <c r="C172" s="859">
        <v>95.8</v>
      </c>
      <c r="D172" s="859">
        <v>110.3</v>
      </c>
      <c r="E172" s="859">
        <v>12502.6</v>
      </c>
      <c r="F172" s="859">
        <v>93</v>
      </c>
      <c r="G172" s="859">
        <v>5388.8</v>
      </c>
      <c r="H172" s="859">
        <v>66.900000000000006</v>
      </c>
      <c r="I172" s="859">
        <v>17511.599999999999</v>
      </c>
      <c r="J172" s="859">
        <v>108.3</v>
      </c>
      <c r="K172" s="859">
        <v>488.4</v>
      </c>
      <c r="L172" s="859">
        <v>107.38786279683377</v>
      </c>
      <c r="M172" s="859">
        <v>-0.1</v>
      </c>
      <c r="N172" s="859">
        <v>10.137774218977498</v>
      </c>
      <c r="O172" s="859">
        <v>10.4</v>
      </c>
    </row>
    <row r="173" spans="1:15" ht="15" hidden="1" customHeight="1">
      <c r="A173" s="864" t="s">
        <v>23</v>
      </c>
      <c r="B173" s="859">
        <v>27002.3</v>
      </c>
      <c r="C173" s="859">
        <v>96.6</v>
      </c>
      <c r="D173" s="859">
        <v>109.3</v>
      </c>
      <c r="E173" s="859">
        <v>16004.2</v>
      </c>
      <c r="F173" s="859">
        <v>94</v>
      </c>
      <c r="G173" s="859">
        <v>6769.6</v>
      </c>
      <c r="H173" s="859">
        <v>69.599999999999994</v>
      </c>
      <c r="I173" s="859">
        <v>21493.9</v>
      </c>
      <c r="J173" s="859">
        <v>108.4</v>
      </c>
      <c r="K173" s="859">
        <v>488.1</v>
      </c>
      <c r="L173" s="859">
        <v>106.9690992767916</v>
      </c>
      <c r="M173" s="859">
        <v>-0.5</v>
      </c>
      <c r="N173" s="859">
        <v>10.889517453387484</v>
      </c>
      <c r="O173" s="859">
        <v>10.5</v>
      </c>
    </row>
    <row r="174" spans="1:15" ht="15" hidden="1" customHeight="1">
      <c r="A174" s="864" t="s">
        <v>24</v>
      </c>
      <c r="B174" s="859">
        <v>32122.6</v>
      </c>
      <c r="C174" s="859">
        <v>97</v>
      </c>
      <c r="D174" s="859">
        <v>110.3</v>
      </c>
      <c r="E174" s="859">
        <v>18957.7</v>
      </c>
      <c r="F174" s="859">
        <v>94.7</v>
      </c>
      <c r="G174" s="859">
        <v>7959.7</v>
      </c>
      <c r="H174" s="859">
        <v>70.3</v>
      </c>
      <c r="I174" s="859">
        <v>25682.7</v>
      </c>
      <c r="J174" s="859">
        <v>108.5</v>
      </c>
      <c r="K174" s="859">
        <v>489.3</v>
      </c>
      <c r="L174" s="859">
        <v>106.81074001309759</v>
      </c>
      <c r="M174" s="859">
        <v>-0.3</v>
      </c>
      <c r="N174" s="859">
        <v>11.377210236314667</v>
      </c>
      <c r="O174" s="859">
        <v>10.6</v>
      </c>
    </row>
    <row r="175" spans="1:15" ht="15" hidden="1" customHeight="1">
      <c r="A175" s="864" t="s">
        <v>25</v>
      </c>
      <c r="B175" s="859">
        <v>38027.800000000003</v>
      </c>
      <c r="C175" s="859">
        <v>96.9</v>
      </c>
      <c r="D175" s="859">
        <v>111.8</v>
      </c>
      <c r="E175" s="859">
        <v>22795.9</v>
      </c>
      <c r="F175" s="859">
        <v>94.3</v>
      </c>
      <c r="G175" s="859">
        <v>8999.1</v>
      </c>
      <c r="H175" s="859">
        <v>69.3</v>
      </c>
      <c r="I175" s="859">
        <v>28972.400000000001</v>
      </c>
      <c r="J175" s="859">
        <v>108.6</v>
      </c>
      <c r="K175" s="859">
        <v>488.7</v>
      </c>
      <c r="L175" s="859">
        <v>106.37788419677841</v>
      </c>
      <c r="M175" s="859">
        <v>0.5</v>
      </c>
      <c r="N175" s="859">
        <v>12.084881359380901</v>
      </c>
      <c r="O175" s="859">
        <v>10.8</v>
      </c>
    </row>
    <row r="176" spans="1:15" ht="15" hidden="1" customHeight="1">
      <c r="A176" s="864" t="s">
        <v>26</v>
      </c>
      <c r="B176" s="859">
        <v>43436.3</v>
      </c>
      <c r="C176" s="859">
        <v>96.1</v>
      </c>
      <c r="D176" s="859">
        <v>112.9</v>
      </c>
      <c r="E176" s="859">
        <v>25988.6</v>
      </c>
      <c r="F176" s="859">
        <v>94</v>
      </c>
      <c r="G176" s="859">
        <v>10268.700000000001</v>
      </c>
      <c r="H176" s="859">
        <v>69.599999999999994</v>
      </c>
      <c r="I176" s="859">
        <v>32762.5</v>
      </c>
      <c r="J176" s="859">
        <v>108.7</v>
      </c>
      <c r="K176" s="859">
        <v>490.5</v>
      </c>
      <c r="L176" s="859">
        <v>106.70002175331739</v>
      </c>
      <c r="M176" s="859">
        <v>2.2999999999999998</v>
      </c>
      <c r="N176" s="859">
        <v>14.287619839830484</v>
      </c>
      <c r="O176" s="859">
        <v>11.2</v>
      </c>
    </row>
    <row r="177" spans="1:15" ht="15" hidden="1" customHeight="1">
      <c r="A177" s="864" t="s">
        <v>27</v>
      </c>
      <c r="B177" s="859">
        <v>49223.4</v>
      </c>
      <c r="C177" s="859">
        <v>96.3</v>
      </c>
      <c r="D177" s="859">
        <v>113.8</v>
      </c>
      <c r="E177" s="859">
        <v>29471.3</v>
      </c>
      <c r="F177" s="859">
        <v>94.5</v>
      </c>
      <c r="G177" s="859">
        <v>11889.2</v>
      </c>
      <c r="H177" s="859">
        <v>73.7</v>
      </c>
      <c r="I177" s="859">
        <v>36635.800000000003</v>
      </c>
      <c r="J177" s="859">
        <v>108.7</v>
      </c>
      <c r="K177" s="859">
        <v>493.8</v>
      </c>
      <c r="L177" s="859">
        <v>107.23127035830619</v>
      </c>
      <c r="M177" s="859">
        <v>1.3</v>
      </c>
      <c r="N177" s="859">
        <v>15.663054964385154</v>
      </c>
      <c r="O177" s="859">
        <v>11.6</v>
      </c>
    </row>
    <row r="178" spans="1:15" ht="15" hidden="1" customHeight="1">
      <c r="A178" s="864" t="s">
        <v>28</v>
      </c>
      <c r="B178" s="859">
        <v>54433.1</v>
      </c>
      <c r="C178" s="859">
        <v>96.1</v>
      </c>
      <c r="D178" s="859">
        <v>114.7</v>
      </c>
      <c r="E178" s="859">
        <v>32675.9</v>
      </c>
      <c r="F178" s="859">
        <v>94.4</v>
      </c>
      <c r="G178" s="859">
        <v>13009.1</v>
      </c>
      <c r="H178" s="859">
        <v>72</v>
      </c>
      <c r="I178" s="859">
        <v>40028.5</v>
      </c>
      <c r="J178" s="859">
        <v>108.9</v>
      </c>
      <c r="K178" s="859">
        <v>494.3</v>
      </c>
      <c r="L178" s="859">
        <v>107.3398479913138</v>
      </c>
      <c r="M178" s="859">
        <v>1.7</v>
      </c>
      <c r="N178" s="859">
        <v>17.134583784143913</v>
      </c>
      <c r="O178" s="859">
        <v>12.1</v>
      </c>
    </row>
    <row r="179" spans="1:15" ht="15" hidden="1" customHeight="1">
      <c r="A179" s="864" t="s">
        <v>29</v>
      </c>
      <c r="B179" s="859">
        <v>60425.2</v>
      </c>
      <c r="C179" s="859">
        <v>96.9</v>
      </c>
      <c r="D179" s="859">
        <v>114.7</v>
      </c>
      <c r="E179" s="859">
        <v>35951.1</v>
      </c>
      <c r="F179" s="859">
        <v>95.6</v>
      </c>
      <c r="G179" s="859">
        <v>15772.825800000001</v>
      </c>
      <c r="H179" s="859">
        <v>78.3</v>
      </c>
      <c r="I179" s="859">
        <v>45395.1</v>
      </c>
      <c r="J179" s="859">
        <v>108.7</v>
      </c>
      <c r="K179" s="859">
        <v>498.6</v>
      </c>
      <c r="L179" s="859">
        <v>107.36434108527133</v>
      </c>
      <c r="M179" s="859">
        <v>3</v>
      </c>
      <c r="N179" s="859">
        <v>15.663170556703562</v>
      </c>
      <c r="O179" s="859">
        <v>12.4</v>
      </c>
    </row>
    <row r="180" spans="1:15" ht="15" customHeight="1">
      <c r="A180" s="864" t="s">
        <v>1902</v>
      </c>
      <c r="B180" s="860">
        <v>70337.8</v>
      </c>
      <c r="C180" s="860">
        <v>100.2</v>
      </c>
      <c r="D180" s="860">
        <v>116</v>
      </c>
      <c r="E180" s="860">
        <v>40328</v>
      </c>
      <c r="F180" s="860">
        <v>102.8</v>
      </c>
      <c r="G180" s="860">
        <v>17430.339499999998</v>
      </c>
      <c r="H180" s="860">
        <v>102.8</v>
      </c>
      <c r="I180" s="860">
        <v>49187.9</v>
      </c>
      <c r="J180" s="860">
        <v>108.3</v>
      </c>
      <c r="K180" s="860">
        <v>528.20000000000005</v>
      </c>
      <c r="L180" s="860">
        <v>105.93662254312075</v>
      </c>
      <c r="M180" s="860">
        <v>0.45967969999999525</v>
      </c>
      <c r="N180" s="860">
        <f>+N192</f>
        <v>7.9270442346791583</v>
      </c>
      <c r="O180" s="860">
        <v>12.9</v>
      </c>
    </row>
    <row r="181" spans="1:15" ht="15" hidden="1" customHeight="1">
      <c r="A181" s="864" t="s">
        <v>18</v>
      </c>
      <c r="B181" s="859">
        <v>5233.1000000000004</v>
      </c>
      <c r="C181" s="859">
        <v>100.8</v>
      </c>
      <c r="D181" s="859">
        <v>128.1</v>
      </c>
      <c r="E181" s="859">
        <v>2673.2</v>
      </c>
      <c r="F181" s="859">
        <v>101.5</v>
      </c>
      <c r="G181" s="859">
        <v>954.2</v>
      </c>
      <c r="H181" s="859">
        <v>97.9</v>
      </c>
      <c r="I181" s="859">
        <v>3476.1</v>
      </c>
      <c r="J181" s="859">
        <v>104.6</v>
      </c>
      <c r="K181" s="859">
        <v>504.8</v>
      </c>
      <c r="L181" s="859">
        <v>105.60669456066947</v>
      </c>
      <c r="M181" s="859">
        <v>2.2999999999999998</v>
      </c>
      <c r="N181" s="859">
        <v>11.860488592820701</v>
      </c>
      <c r="O181" s="859">
        <v>11.9</v>
      </c>
    </row>
    <row r="182" spans="1:15" ht="15" hidden="1" customHeight="1">
      <c r="A182" s="864" t="s">
        <v>19</v>
      </c>
      <c r="B182" s="859">
        <v>10042.6</v>
      </c>
      <c r="C182" s="859">
        <v>100.4</v>
      </c>
      <c r="D182" s="859">
        <v>127.9</v>
      </c>
      <c r="E182" s="859">
        <v>5172.2</v>
      </c>
      <c r="F182" s="859">
        <v>102.3</v>
      </c>
      <c r="G182" s="859">
        <v>2093.6999999999998</v>
      </c>
      <c r="H182" s="859">
        <v>105.7</v>
      </c>
      <c r="I182" s="859">
        <v>6980.3</v>
      </c>
      <c r="J182" s="859">
        <v>104.7</v>
      </c>
      <c r="K182" s="859">
        <v>499.9</v>
      </c>
      <c r="L182" s="859">
        <v>106.31646108039132</v>
      </c>
      <c r="M182" s="859">
        <v>1.6</v>
      </c>
      <c r="N182" s="859">
        <v>13.172427610827782</v>
      </c>
      <c r="O182" s="859">
        <v>12.5</v>
      </c>
    </row>
    <row r="183" spans="1:15" ht="15" hidden="1" customHeight="1">
      <c r="A183" s="864" t="s">
        <v>20</v>
      </c>
      <c r="B183" s="859">
        <v>15229.7</v>
      </c>
      <c r="C183" s="859">
        <v>99.1</v>
      </c>
      <c r="D183" s="859">
        <v>129.19999999999999</v>
      </c>
      <c r="E183" s="859">
        <v>7782.1</v>
      </c>
      <c r="F183" s="859">
        <v>102.4</v>
      </c>
      <c r="G183" s="859">
        <v>3182.3</v>
      </c>
      <c r="H183" s="859">
        <v>103</v>
      </c>
      <c r="I183" s="859">
        <v>11362.1</v>
      </c>
      <c r="J183" s="859">
        <v>106.7</v>
      </c>
      <c r="K183" s="859">
        <v>514.29999999999995</v>
      </c>
      <c r="L183" s="859">
        <v>106.17258464079273</v>
      </c>
      <c r="M183" s="859">
        <v>1.6</v>
      </c>
      <c r="N183" s="859">
        <v>14.505859935056222</v>
      </c>
      <c r="O183" s="859">
        <v>13.2</v>
      </c>
    </row>
    <row r="184" spans="1:15" ht="15" hidden="1" customHeight="1">
      <c r="A184" s="864" t="s">
        <v>21</v>
      </c>
      <c r="B184" s="859">
        <v>20381.3</v>
      </c>
      <c r="C184" s="859">
        <v>98.8</v>
      </c>
      <c r="D184" s="859">
        <v>123.6</v>
      </c>
      <c r="E184" s="859">
        <v>10614.3</v>
      </c>
      <c r="F184" s="859">
        <v>101.9</v>
      </c>
      <c r="G184" s="859">
        <v>4533.3999999999996</v>
      </c>
      <c r="H184" s="859">
        <v>96.5</v>
      </c>
      <c r="I184" s="859">
        <v>14655.6</v>
      </c>
      <c r="J184" s="859">
        <v>106.8</v>
      </c>
      <c r="K184" s="859">
        <v>520.5</v>
      </c>
      <c r="L184" s="859">
        <v>107.03269586674892</v>
      </c>
      <c r="M184" s="859">
        <v>0.2</v>
      </c>
      <c r="N184" s="859">
        <v>14.56180522257317</v>
      </c>
      <c r="O184" s="859">
        <v>13.5</v>
      </c>
    </row>
    <row r="185" spans="1:15" ht="15" hidden="1" customHeight="1">
      <c r="A185" s="864" t="s">
        <v>22</v>
      </c>
      <c r="B185" s="859">
        <v>25338.7</v>
      </c>
      <c r="C185" s="859">
        <v>99.1</v>
      </c>
      <c r="D185" s="859">
        <v>121.4</v>
      </c>
      <c r="E185" s="859">
        <v>13534.3</v>
      </c>
      <c r="F185" s="859">
        <v>102.3</v>
      </c>
      <c r="G185" s="859">
        <v>5671.7</v>
      </c>
      <c r="H185" s="859">
        <v>96.8</v>
      </c>
      <c r="I185" s="859">
        <v>18613.900000000001</v>
      </c>
      <c r="J185" s="859">
        <v>107.3</v>
      </c>
      <c r="K185" s="859">
        <v>520.1</v>
      </c>
      <c r="L185" s="859">
        <v>106.4905814905815</v>
      </c>
      <c r="M185" s="859">
        <v>0.2</v>
      </c>
      <c r="N185" s="859">
        <v>14.89688510897777</v>
      </c>
      <c r="O185" s="859">
        <v>13.8</v>
      </c>
    </row>
    <row r="186" spans="1:15" ht="15" hidden="1" customHeight="1">
      <c r="A186" s="864" t="s">
        <v>23</v>
      </c>
      <c r="B186" s="859">
        <v>31310.6</v>
      </c>
      <c r="C186" s="859">
        <v>98.7</v>
      </c>
      <c r="D186" s="859">
        <v>119.1</v>
      </c>
      <c r="E186" s="859">
        <v>17275.7</v>
      </c>
      <c r="F186" s="859">
        <v>101.7</v>
      </c>
      <c r="G186" s="859">
        <v>7138.6</v>
      </c>
      <c r="H186" s="859">
        <v>97.1</v>
      </c>
      <c r="I186" s="859">
        <v>23526.7</v>
      </c>
      <c r="J186" s="859">
        <v>107.3</v>
      </c>
      <c r="K186" s="859">
        <v>522</v>
      </c>
      <c r="L186" s="859">
        <v>106.94529809465274</v>
      </c>
      <c r="M186" s="859">
        <v>-1.0350633999999985</v>
      </c>
      <c r="N186" s="859">
        <v>14.239548719996492</v>
      </c>
      <c r="O186" s="859">
        <v>13.876268899999999</v>
      </c>
    </row>
    <row r="187" spans="1:15" ht="15" hidden="1" customHeight="1">
      <c r="A187" s="864" t="s">
        <v>24</v>
      </c>
      <c r="B187" s="859">
        <v>37645.4</v>
      </c>
      <c r="C187" s="859">
        <v>99</v>
      </c>
      <c r="D187" s="859">
        <v>117.8</v>
      </c>
      <c r="E187" s="859">
        <v>21158.6</v>
      </c>
      <c r="F187" s="859">
        <v>102.2</v>
      </c>
      <c r="G187" s="859">
        <v>8728.7999999999993</v>
      </c>
      <c r="H187" s="859">
        <v>99.7</v>
      </c>
      <c r="I187" s="859">
        <v>27716.9</v>
      </c>
      <c r="J187" s="859">
        <v>107.5</v>
      </c>
      <c r="K187" s="859">
        <v>523.1</v>
      </c>
      <c r="L187" s="859">
        <v>106.90782750868588</v>
      </c>
      <c r="M187" s="859">
        <v>0.1</v>
      </c>
      <c r="N187" s="859">
        <v>14.700161704856086</v>
      </c>
      <c r="O187" s="859">
        <v>14</v>
      </c>
    </row>
    <row r="188" spans="1:15" ht="15" hidden="1" customHeight="1">
      <c r="A188" s="864" t="s">
        <v>25</v>
      </c>
      <c r="B188" s="859">
        <v>43713.2</v>
      </c>
      <c r="C188" s="859">
        <v>98.9</v>
      </c>
      <c r="D188" s="859">
        <v>117.5</v>
      </c>
      <c r="E188" s="859">
        <v>24941.7</v>
      </c>
      <c r="F188" s="859">
        <v>102.4</v>
      </c>
      <c r="G188" s="859">
        <v>9868.5</v>
      </c>
      <c r="H188" s="859">
        <v>100.1</v>
      </c>
      <c r="I188" s="859">
        <v>31770.799999999999</v>
      </c>
      <c r="J188" s="859">
        <v>107.6</v>
      </c>
      <c r="K188" s="859">
        <v>524.70000000000005</v>
      </c>
      <c r="L188" s="859">
        <v>107.36648250460405</v>
      </c>
      <c r="M188" s="859">
        <v>0.2</v>
      </c>
      <c r="N188" s="859">
        <v>14.332008388406337</v>
      </c>
      <c r="O188" s="859">
        <v>14</v>
      </c>
    </row>
    <row r="189" spans="1:15" ht="15" hidden="1" customHeight="1">
      <c r="A189" s="864" t="s">
        <v>26</v>
      </c>
      <c r="B189" s="859">
        <v>50067.3</v>
      </c>
      <c r="C189" s="859">
        <v>99.4</v>
      </c>
      <c r="D189" s="859">
        <v>118</v>
      </c>
      <c r="E189" s="859">
        <v>28408.7</v>
      </c>
      <c r="F189" s="859">
        <v>102.5</v>
      </c>
      <c r="G189" s="859">
        <v>11090.8</v>
      </c>
      <c r="H189" s="859">
        <v>99</v>
      </c>
      <c r="I189" s="859">
        <v>36247</v>
      </c>
      <c r="J189" s="859">
        <v>108</v>
      </c>
      <c r="K189" s="859">
        <v>525.6</v>
      </c>
      <c r="L189" s="859">
        <v>107.1559633027523</v>
      </c>
      <c r="M189" s="859">
        <v>0.7294181999999978</v>
      </c>
      <c r="N189" s="859">
        <v>12.61001732620781</v>
      </c>
      <c r="O189" s="859">
        <v>13.9</v>
      </c>
    </row>
    <row r="190" spans="1:15" ht="15" hidden="1" customHeight="1">
      <c r="A190" s="864" t="s">
        <v>27</v>
      </c>
      <c r="B190" s="859">
        <v>56481.5</v>
      </c>
      <c r="C190" s="859">
        <v>99.3</v>
      </c>
      <c r="D190" s="859">
        <v>117.2</v>
      </c>
      <c r="E190" s="859">
        <v>32159.599999999999</v>
      </c>
      <c r="F190" s="859">
        <v>102.1</v>
      </c>
      <c r="G190" s="859">
        <v>12536.5</v>
      </c>
      <c r="H190" s="859">
        <v>97</v>
      </c>
      <c r="I190" s="859">
        <v>40190.699999999997</v>
      </c>
      <c r="J190" s="859">
        <v>108.2</v>
      </c>
      <c r="K190" s="859">
        <v>525.4</v>
      </c>
      <c r="L190" s="859">
        <v>106.39935196435803</v>
      </c>
      <c r="M190" s="859">
        <v>1.1000000000000001</v>
      </c>
      <c r="N190" s="859">
        <v>12.343312198847144</v>
      </c>
      <c r="O190" s="859">
        <v>13.7</v>
      </c>
    </row>
    <row r="191" spans="1:15" ht="15" hidden="1" customHeight="1">
      <c r="A191" s="864" t="s">
        <v>28</v>
      </c>
      <c r="B191" s="859">
        <v>63071.3</v>
      </c>
      <c r="C191" s="859">
        <v>99.8</v>
      </c>
      <c r="D191" s="859">
        <v>116.7</v>
      </c>
      <c r="E191" s="859">
        <v>35696.800000000003</v>
      </c>
      <c r="F191" s="859">
        <v>102.4</v>
      </c>
      <c r="G191" s="859">
        <v>13688.4</v>
      </c>
      <c r="H191" s="859">
        <v>97.2</v>
      </c>
      <c r="I191" s="859">
        <v>43389.9</v>
      </c>
      <c r="J191" s="859">
        <v>108.2</v>
      </c>
      <c r="K191" s="859">
        <v>525</v>
      </c>
      <c r="L191" s="859">
        <v>106.21080315597816</v>
      </c>
      <c r="M191" s="859">
        <v>0.2</v>
      </c>
      <c r="N191" s="859">
        <v>10.701773913389928</v>
      </c>
      <c r="O191" s="859">
        <v>13.4</v>
      </c>
    </row>
    <row r="192" spans="1:15" ht="15" hidden="1" customHeight="1">
      <c r="A192" s="864" t="s">
        <v>29</v>
      </c>
      <c r="B192" s="859">
        <v>70337.8</v>
      </c>
      <c r="C192" s="859">
        <v>100.2</v>
      </c>
      <c r="D192" s="859">
        <v>116</v>
      </c>
      <c r="E192" s="859">
        <v>40328</v>
      </c>
      <c r="F192" s="859">
        <v>102.7</v>
      </c>
      <c r="G192" s="859">
        <v>17430.339499999998</v>
      </c>
      <c r="H192" s="859">
        <v>102.8</v>
      </c>
      <c r="I192" s="859">
        <v>49187.9</v>
      </c>
      <c r="J192" s="859">
        <v>108.3</v>
      </c>
      <c r="K192" s="859">
        <v>528.20000000000005</v>
      </c>
      <c r="L192" s="859">
        <v>105.93662254312075</v>
      </c>
      <c r="M192" s="859">
        <v>0.45967969999999525</v>
      </c>
      <c r="N192" s="859">
        <v>7.9270442346791583</v>
      </c>
      <c r="O192" s="859">
        <v>12.9</v>
      </c>
    </row>
    <row r="193" spans="1:15" ht="15" customHeight="1">
      <c r="A193" s="864" t="s">
        <v>2038</v>
      </c>
      <c r="B193" s="860">
        <v>80092</v>
      </c>
      <c r="C193" s="860">
        <v>101.5</v>
      </c>
      <c r="D193" s="860">
        <v>111.5</v>
      </c>
      <c r="E193" s="860">
        <v>41662</v>
      </c>
      <c r="F193" s="860">
        <v>102</v>
      </c>
      <c r="G193" s="860">
        <v>17244.8629</v>
      </c>
      <c r="H193" s="860">
        <v>95.7</v>
      </c>
      <c r="I193" s="860">
        <v>53103.7</v>
      </c>
      <c r="J193" s="860">
        <v>109.2</v>
      </c>
      <c r="K193" s="860">
        <v>544.1</v>
      </c>
      <c r="L193" s="860">
        <v>103</v>
      </c>
      <c r="M193" s="860">
        <v>0.8</v>
      </c>
      <c r="N193" s="860">
        <f>+N205</f>
        <v>1.5307219797211928</v>
      </c>
      <c r="O193" s="860">
        <v>2.2999999999999998</v>
      </c>
    </row>
    <row r="194" spans="1:15" ht="15" hidden="1" customHeight="1">
      <c r="A194" s="864" t="s">
        <v>18</v>
      </c>
      <c r="B194" s="859">
        <v>5816.9</v>
      </c>
      <c r="C194" s="859">
        <v>102</v>
      </c>
      <c r="D194" s="859">
        <v>110.7</v>
      </c>
      <c r="E194" s="859">
        <v>2948.2</v>
      </c>
      <c r="F194" s="859">
        <v>103.9</v>
      </c>
      <c r="G194" s="859">
        <v>960.3</v>
      </c>
      <c r="H194" s="859">
        <v>94.5</v>
      </c>
      <c r="I194" s="859">
        <v>3882.3</v>
      </c>
      <c r="J194" s="859">
        <v>111.7</v>
      </c>
      <c r="K194" s="859">
        <v>519.79999999999995</v>
      </c>
      <c r="L194" s="859">
        <v>102.9714738510301</v>
      </c>
      <c r="M194" s="859">
        <v>0</v>
      </c>
      <c r="N194" s="859">
        <v>5.4943366120822503</v>
      </c>
      <c r="O194" s="859">
        <v>5.5</v>
      </c>
    </row>
    <row r="195" spans="1:15" ht="15" hidden="1" customHeight="1">
      <c r="A195" s="864" t="s">
        <v>19</v>
      </c>
      <c r="B195" s="859">
        <v>11311.3</v>
      </c>
      <c r="C195" s="859">
        <v>101.3</v>
      </c>
      <c r="D195" s="859">
        <v>111</v>
      </c>
      <c r="E195" s="859">
        <v>5696.2</v>
      </c>
      <c r="F195" s="859">
        <v>102.3</v>
      </c>
      <c r="G195" s="859">
        <v>1824.7</v>
      </c>
      <c r="H195" s="859">
        <v>81.8</v>
      </c>
      <c r="I195" s="859">
        <v>7700.3</v>
      </c>
      <c r="J195" s="859">
        <v>110.2</v>
      </c>
      <c r="K195" s="859">
        <v>510.8</v>
      </c>
      <c r="L195" s="859">
        <v>102.18043608721746</v>
      </c>
      <c r="M195" s="859">
        <v>0.2</v>
      </c>
      <c r="N195" s="859">
        <v>3.9702872524136694</v>
      </c>
      <c r="O195" s="859">
        <v>4.7</v>
      </c>
    </row>
    <row r="196" spans="1:15" ht="15" hidden="1" customHeight="1">
      <c r="A196" s="864" t="s">
        <v>20</v>
      </c>
      <c r="B196" s="859">
        <v>17654</v>
      </c>
      <c r="C196" s="859">
        <v>102.3</v>
      </c>
      <c r="D196" s="859">
        <v>109.9</v>
      </c>
      <c r="E196" s="859">
        <v>8549</v>
      </c>
      <c r="F196" s="859">
        <v>102.9</v>
      </c>
      <c r="G196" s="859">
        <v>2869.2</v>
      </c>
      <c r="H196" s="859">
        <v>84.7</v>
      </c>
      <c r="I196" s="859">
        <v>12533.3</v>
      </c>
      <c r="J196" s="859">
        <v>109.8</v>
      </c>
      <c r="K196" s="859">
        <v>532.4</v>
      </c>
      <c r="L196" s="859">
        <v>103.51934668481431</v>
      </c>
      <c r="M196" s="859">
        <v>0.2</v>
      </c>
      <c r="N196" s="859">
        <v>2.5496058957475327</v>
      </c>
      <c r="O196" s="859">
        <v>4</v>
      </c>
    </row>
    <row r="197" spans="1:15" ht="15" hidden="1" customHeight="1">
      <c r="A197" s="864" t="s">
        <v>21</v>
      </c>
      <c r="B197" s="859">
        <v>23083.5</v>
      </c>
      <c r="C197" s="859">
        <v>101.2</v>
      </c>
      <c r="D197" s="859">
        <v>111.3</v>
      </c>
      <c r="E197" s="859">
        <v>11299.2</v>
      </c>
      <c r="F197" s="859">
        <v>102.1</v>
      </c>
      <c r="G197" s="859">
        <v>4160.1000000000004</v>
      </c>
      <c r="H197" s="859">
        <v>88.9</v>
      </c>
      <c r="I197" s="859">
        <v>16272.8</v>
      </c>
      <c r="J197" s="859">
        <v>109.2</v>
      </c>
      <c r="K197" s="859">
        <v>538.79999999999995</v>
      </c>
      <c r="L197" s="859">
        <v>103.51585014409221</v>
      </c>
      <c r="M197" s="859">
        <v>-0.20408580000000101</v>
      </c>
      <c r="N197" s="859">
        <v>2.0966545719999488</v>
      </c>
      <c r="O197" s="859">
        <v>3.5094799999999964</v>
      </c>
    </row>
    <row r="198" spans="1:15" ht="15" hidden="1" customHeight="1">
      <c r="A198" s="864" t="s">
        <v>22</v>
      </c>
      <c r="B198" s="859">
        <v>29762.9</v>
      </c>
      <c r="C198" s="859">
        <v>101.1</v>
      </c>
      <c r="D198" s="859">
        <v>113.6</v>
      </c>
      <c r="E198" s="859">
        <v>14271.2</v>
      </c>
      <c r="F198" s="859">
        <v>101.9</v>
      </c>
      <c r="G198" s="859">
        <v>5240.8</v>
      </c>
      <c r="H198" s="859">
        <v>89.5</v>
      </c>
      <c r="I198" s="859">
        <v>20753.7</v>
      </c>
      <c r="J198" s="859">
        <v>109.3</v>
      </c>
      <c r="K198" s="859">
        <v>541</v>
      </c>
      <c r="L198" s="859">
        <v>104.0184579888483</v>
      </c>
      <c r="M198" s="859">
        <v>0</v>
      </c>
      <c r="N198" s="859">
        <v>1.8889306371097803</v>
      </c>
      <c r="O198" s="859">
        <v>3.2</v>
      </c>
    </row>
    <row r="199" spans="1:15" ht="15" hidden="1" customHeight="1">
      <c r="A199" s="864" t="s">
        <v>23</v>
      </c>
      <c r="B199" s="859">
        <v>36897.5</v>
      </c>
      <c r="C199" s="859">
        <v>101.3</v>
      </c>
      <c r="D199" s="859">
        <v>114.8</v>
      </c>
      <c r="E199" s="859">
        <v>18270.3</v>
      </c>
      <c r="F199" s="859">
        <v>102.1</v>
      </c>
      <c r="G199" s="859">
        <v>6331.7</v>
      </c>
      <c r="H199" s="859">
        <v>85.9</v>
      </c>
      <c r="I199" s="859">
        <v>25705.200000000001</v>
      </c>
      <c r="J199" s="859">
        <v>109.3</v>
      </c>
      <c r="K199" s="859">
        <v>541.1</v>
      </c>
      <c r="L199" s="859">
        <v>103.7</v>
      </c>
      <c r="M199" s="859">
        <v>-0.7</v>
      </c>
      <c r="N199" s="859">
        <v>2.2769364734035662</v>
      </c>
      <c r="O199" s="859">
        <v>3</v>
      </c>
    </row>
    <row r="200" spans="1:15" ht="15" hidden="1" customHeight="1">
      <c r="A200" s="864" t="s">
        <v>24</v>
      </c>
      <c r="B200" s="859">
        <v>43667.9</v>
      </c>
      <c r="C200" s="859">
        <v>100.2</v>
      </c>
      <c r="D200" s="859">
        <v>115.2</v>
      </c>
      <c r="E200" s="859">
        <v>21492.6</v>
      </c>
      <c r="F200" s="859">
        <v>101</v>
      </c>
      <c r="G200" s="859">
        <v>7457.3</v>
      </c>
      <c r="H200" s="859">
        <v>82.1</v>
      </c>
      <c r="I200" s="859">
        <v>30331</v>
      </c>
      <c r="J200" s="859">
        <v>109.4</v>
      </c>
      <c r="K200" s="859">
        <v>542.29999999999995</v>
      </c>
      <c r="L200" s="859">
        <v>103.7</v>
      </c>
      <c r="M200" s="859">
        <v>-0.6</v>
      </c>
      <c r="N200" s="859">
        <v>1.5597100856908952</v>
      </c>
      <c r="O200" s="859">
        <v>2.819826599999999</v>
      </c>
    </row>
    <row r="201" spans="1:15" ht="15" hidden="1" customHeight="1">
      <c r="A201" s="864" t="s">
        <v>25</v>
      </c>
      <c r="B201" s="859">
        <v>50345.8</v>
      </c>
      <c r="C201" s="859">
        <v>100.7</v>
      </c>
      <c r="D201" s="859">
        <v>115</v>
      </c>
      <c r="E201" s="859">
        <v>25325.200000000001</v>
      </c>
      <c r="F201" s="859">
        <v>100.9</v>
      </c>
      <c r="G201" s="859">
        <v>8953.6</v>
      </c>
      <c r="H201" s="859">
        <v>87.2</v>
      </c>
      <c r="I201" s="859">
        <v>34786.300000000003</v>
      </c>
      <c r="J201" s="859">
        <v>109.5</v>
      </c>
      <c r="K201" s="859">
        <v>541.20000000000005</v>
      </c>
      <c r="L201" s="859">
        <v>103.1</v>
      </c>
      <c r="M201" s="859">
        <v>0.863519299999993</v>
      </c>
      <c r="N201" s="859">
        <v>2.2330331218079209</v>
      </c>
      <c r="O201" s="859">
        <v>2.7462036000000012</v>
      </c>
    </row>
    <row r="202" spans="1:15" ht="15" hidden="1" customHeight="1">
      <c r="A202" s="864" t="s">
        <v>26</v>
      </c>
      <c r="B202" s="859">
        <v>57766.2</v>
      </c>
      <c r="C202" s="859">
        <v>100.8</v>
      </c>
      <c r="D202" s="859">
        <v>114.9</v>
      </c>
      <c r="E202" s="859">
        <v>29147.8</v>
      </c>
      <c r="F202" s="859">
        <v>101.1</v>
      </c>
      <c r="G202" s="859">
        <v>10148.700000000001</v>
      </c>
      <c r="H202" s="859">
        <v>88.5</v>
      </c>
      <c r="I202" s="859">
        <v>39690.300000000003</v>
      </c>
      <c r="J202" s="859">
        <v>109.5</v>
      </c>
      <c r="K202" s="859">
        <v>540.5</v>
      </c>
      <c r="L202" s="859">
        <v>102.8</v>
      </c>
      <c r="M202" s="859">
        <v>0.24849059999999668</v>
      </c>
      <c r="N202" s="859">
        <v>1.7449265871074715</v>
      </c>
      <c r="O202" s="859">
        <v>2.6338587000000047</v>
      </c>
    </row>
    <row r="203" spans="1:15" ht="15" hidden="1" customHeight="1">
      <c r="A203" s="864" t="s">
        <v>27</v>
      </c>
      <c r="B203" s="859">
        <v>65106.8</v>
      </c>
      <c r="C203" s="859">
        <v>100.8</v>
      </c>
      <c r="D203" s="859">
        <v>114.5</v>
      </c>
      <c r="E203" s="859">
        <v>33014.9</v>
      </c>
      <c r="F203" s="859">
        <v>101.1</v>
      </c>
      <c r="G203" s="859">
        <v>11482.7</v>
      </c>
      <c r="H203" s="859">
        <v>88.7</v>
      </c>
      <c r="I203" s="859">
        <v>43871.5</v>
      </c>
      <c r="J203" s="859">
        <v>109.2</v>
      </c>
      <c r="K203" s="859">
        <v>540</v>
      </c>
      <c r="L203" s="859">
        <v>102.8</v>
      </c>
      <c r="M203" s="859">
        <v>0.16350239999999872</v>
      </c>
      <c r="N203" s="859">
        <v>0.79947047735544174</v>
      </c>
      <c r="O203" s="859">
        <v>2.4469679999999983</v>
      </c>
    </row>
    <row r="204" spans="1:15" ht="15" hidden="1" customHeight="1">
      <c r="A204" s="864" t="s">
        <v>28</v>
      </c>
      <c r="B204" s="859">
        <v>72432.100000000006</v>
      </c>
      <c r="C204" s="859">
        <v>101</v>
      </c>
      <c r="D204" s="859">
        <v>114</v>
      </c>
      <c r="E204" s="859">
        <v>36925.300000000003</v>
      </c>
      <c r="F204" s="859">
        <v>101.4</v>
      </c>
      <c r="G204" s="859">
        <v>12899.4</v>
      </c>
      <c r="H204" s="859">
        <v>91.2</v>
      </c>
      <c r="I204" s="859">
        <v>47368.800000000003</v>
      </c>
      <c r="J204" s="859">
        <v>109.2</v>
      </c>
      <c r="K204" s="859">
        <v>540.1</v>
      </c>
      <c r="L204" s="859">
        <v>102.9</v>
      </c>
      <c r="M204" s="859">
        <v>0.6</v>
      </c>
      <c r="N204" s="859">
        <v>1.2023098669190944</v>
      </c>
      <c r="O204" s="859">
        <v>2.2999999999999998</v>
      </c>
    </row>
    <row r="205" spans="1:15" ht="15.6" hidden="1" customHeight="1">
      <c r="A205" s="864" t="s">
        <v>29</v>
      </c>
      <c r="B205" s="859">
        <v>80092</v>
      </c>
      <c r="C205" s="859">
        <v>101.5</v>
      </c>
      <c r="D205" s="859">
        <v>111.5</v>
      </c>
      <c r="E205" s="859">
        <v>41662</v>
      </c>
      <c r="F205" s="859">
        <v>102</v>
      </c>
      <c r="G205" s="859">
        <v>17244.8629</v>
      </c>
      <c r="H205" s="859">
        <v>95.7</v>
      </c>
      <c r="I205" s="859">
        <v>53103.7</v>
      </c>
      <c r="J205" s="859">
        <v>109.2</v>
      </c>
      <c r="K205" s="859">
        <v>544.1</v>
      </c>
      <c r="L205" s="859">
        <v>103</v>
      </c>
      <c r="M205" s="859">
        <v>0.8</v>
      </c>
      <c r="N205" s="859">
        <v>1.5307219797211928</v>
      </c>
      <c r="O205" s="859">
        <v>2.2999999999999998</v>
      </c>
    </row>
    <row r="206" spans="1:15" ht="15" customHeight="1">
      <c r="A206" s="864" t="s">
        <v>2131</v>
      </c>
      <c r="B206" s="860">
        <v>81896.2</v>
      </c>
      <c r="C206" s="860">
        <v>102.5</v>
      </c>
      <c r="D206" s="860">
        <v>99.8</v>
      </c>
      <c r="E206" s="860">
        <v>44481.8</v>
      </c>
      <c r="F206" s="860">
        <v>104</v>
      </c>
      <c r="G206" s="860">
        <v>18539.476500000001</v>
      </c>
      <c r="H206" s="860">
        <v>105.5</v>
      </c>
      <c r="I206" s="860">
        <v>56769</v>
      </c>
      <c r="J206" s="860">
        <v>107.4</v>
      </c>
      <c r="K206" s="860">
        <v>634.79999999999995</v>
      </c>
      <c r="L206" s="860">
        <v>116.6</v>
      </c>
      <c r="M206" s="860">
        <v>0.53637389999999996</v>
      </c>
      <c r="N206" s="860">
        <f>+N218</f>
        <v>2.3623765746619227</v>
      </c>
      <c r="O206" s="860">
        <v>2.6083398</v>
      </c>
    </row>
    <row r="207" spans="1:15" ht="15" hidden="1" customHeight="1">
      <c r="A207" s="864" t="s">
        <v>18</v>
      </c>
      <c r="B207" s="859">
        <v>5929.5</v>
      </c>
      <c r="C207" s="859">
        <v>102.9</v>
      </c>
      <c r="D207" s="859">
        <v>99</v>
      </c>
      <c r="E207" s="859">
        <v>3103.4</v>
      </c>
      <c r="F207" s="859">
        <v>102.7</v>
      </c>
      <c r="G207" s="859">
        <v>868.7</v>
      </c>
      <c r="H207" s="859">
        <v>87.5</v>
      </c>
      <c r="I207" s="859">
        <v>3800</v>
      </c>
      <c r="J207" s="859">
        <v>106.1</v>
      </c>
      <c r="K207" s="859">
        <v>557.20000000000005</v>
      </c>
      <c r="L207" s="859">
        <v>107.2</v>
      </c>
      <c r="M207" s="859">
        <v>0.2</v>
      </c>
      <c r="N207" s="859">
        <v>1.70947518783737</v>
      </c>
      <c r="O207" s="859">
        <v>1.7</v>
      </c>
    </row>
    <row r="208" spans="1:15" ht="15" hidden="1" customHeight="1">
      <c r="A208" s="864" t="s">
        <v>19</v>
      </c>
      <c r="B208" s="859">
        <v>11484.5</v>
      </c>
      <c r="C208" s="859">
        <v>103</v>
      </c>
      <c r="D208" s="859">
        <v>98.6</v>
      </c>
      <c r="E208" s="859">
        <v>5807.9</v>
      </c>
      <c r="F208" s="859">
        <v>101.4</v>
      </c>
      <c r="G208" s="859">
        <v>1711.2</v>
      </c>
      <c r="H208" s="859">
        <v>90.7</v>
      </c>
      <c r="I208" s="859">
        <v>7619.7</v>
      </c>
      <c r="J208" s="859">
        <v>105.1</v>
      </c>
      <c r="K208" s="859">
        <v>554.9</v>
      </c>
      <c r="L208" s="859">
        <v>108.6</v>
      </c>
      <c r="M208" s="859">
        <v>0.56387780000000021</v>
      </c>
      <c r="N208" s="859">
        <v>2.1250773530578186</v>
      </c>
      <c r="O208" s="859">
        <v>1.9174368999999984</v>
      </c>
    </row>
    <row r="209" spans="1:15" ht="15" hidden="1" customHeight="1">
      <c r="A209" s="864" t="s">
        <v>20</v>
      </c>
      <c r="B209" s="859">
        <v>18111.7</v>
      </c>
      <c r="C209" s="859">
        <v>103</v>
      </c>
      <c r="D209" s="859">
        <v>99.6</v>
      </c>
      <c r="E209" s="859">
        <v>9140</v>
      </c>
      <c r="F209" s="859">
        <v>101.7</v>
      </c>
      <c r="G209" s="859">
        <v>2699.7</v>
      </c>
      <c r="H209" s="859">
        <v>91</v>
      </c>
      <c r="I209" s="859">
        <v>12590.6</v>
      </c>
      <c r="J209" s="859">
        <v>105.5</v>
      </c>
      <c r="K209" s="859">
        <v>577.6</v>
      </c>
      <c r="L209" s="859">
        <v>108.5</v>
      </c>
      <c r="M209" s="859">
        <v>0.60680410000000506</v>
      </c>
      <c r="N209" s="859">
        <v>2.5327947754075808</v>
      </c>
      <c r="O209" s="859">
        <v>2.1229443999999944</v>
      </c>
    </row>
    <row r="210" spans="1:15" ht="15" hidden="1" customHeight="1">
      <c r="A210" s="864" t="s">
        <v>21</v>
      </c>
      <c r="B210" s="859">
        <v>23813.4</v>
      </c>
      <c r="C210" s="859">
        <v>102.1</v>
      </c>
      <c r="D210" s="859">
        <v>101.1</v>
      </c>
      <c r="E210" s="859">
        <v>11855.8</v>
      </c>
      <c r="F210" s="859">
        <v>102.1</v>
      </c>
      <c r="G210" s="859">
        <v>3916</v>
      </c>
      <c r="H210" s="859">
        <v>91.9</v>
      </c>
      <c r="I210" s="859">
        <v>17072</v>
      </c>
      <c r="J210" s="859">
        <v>105.5</v>
      </c>
      <c r="K210" s="859">
        <v>581.20000000000005</v>
      </c>
      <c r="L210" s="859">
        <v>107.9</v>
      </c>
      <c r="M210" s="859">
        <v>0.38392530000000136</v>
      </c>
      <c r="N210" s="859">
        <v>3.1369319480089928</v>
      </c>
      <c r="O210" s="859">
        <v>2.3764124000000066</v>
      </c>
    </row>
    <row r="211" spans="1:15" ht="15" hidden="1" customHeight="1">
      <c r="A211" s="864" t="s">
        <v>22</v>
      </c>
      <c r="B211" s="859">
        <v>30608.7</v>
      </c>
      <c r="C211" s="859">
        <v>102.2</v>
      </c>
      <c r="D211" s="859">
        <v>100.7</v>
      </c>
      <c r="E211" s="859">
        <v>15252.1</v>
      </c>
      <c r="F211" s="859">
        <v>102.4</v>
      </c>
      <c r="G211" s="859">
        <v>5038.7</v>
      </c>
      <c r="H211" s="859">
        <v>93.9</v>
      </c>
      <c r="I211" s="859">
        <v>22164.1</v>
      </c>
      <c r="J211" s="859">
        <v>106.8</v>
      </c>
      <c r="K211" s="859">
        <v>583.70000000000005</v>
      </c>
      <c r="L211" s="859">
        <v>107.9</v>
      </c>
      <c r="M211" s="859">
        <v>-0.43077370000000315</v>
      </c>
      <c r="N211" s="859">
        <v>2.7263124863917483</v>
      </c>
      <c r="O211" s="859">
        <v>2.4463676999999961</v>
      </c>
    </row>
    <row r="212" spans="1:15" ht="15" hidden="1" customHeight="1">
      <c r="A212" s="864" t="s">
        <v>23</v>
      </c>
      <c r="B212" s="859">
        <v>37825.199999999997</v>
      </c>
      <c r="C212" s="859">
        <v>102.4</v>
      </c>
      <c r="D212" s="859">
        <v>100.1</v>
      </c>
      <c r="E212" s="859">
        <v>19454.099999999999</v>
      </c>
      <c r="F212" s="859">
        <v>103.3</v>
      </c>
      <c r="G212" s="859">
        <v>6131.6</v>
      </c>
      <c r="H212" s="859">
        <v>94.6</v>
      </c>
      <c r="I212" s="859">
        <v>27355.8</v>
      </c>
      <c r="J212" s="859">
        <v>106.6</v>
      </c>
      <c r="K212" s="859">
        <v>585.20000000000005</v>
      </c>
      <c r="L212" s="859">
        <v>108.2</v>
      </c>
      <c r="M212" s="859">
        <v>-0.5</v>
      </c>
      <c r="N212" s="859">
        <v>2.9239489797076317</v>
      </c>
      <c r="O212" s="859">
        <v>2.5</v>
      </c>
    </row>
    <row r="213" spans="1:15" ht="15" hidden="1" customHeight="1">
      <c r="A213" s="864" t="s">
        <v>24</v>
      </c>
      <c r="B213" s="859">
        <v>44473.1</v>
      </c>
      <c r="C213" s="859">
        <v>102.5</v>
      </c>
      <c r="D213" s="859">
        <v>99.4</v>
      </c>
      <c r="E213" s="859">
        <v>23079.8</v>
      </c>
      <c r="F213" s="859">
        <v>103</v>
      </c>
      <c r="G213" s="859">
        <v>7395.5</v>
      </c>
      <c r="H213" s="859">
        <v>97.3</v>
      </c>
      <c r="I213" s="859">
        <v>32218.799999999999</v>
      </c>
      <c r="J213" s="859">
        <v>106.6</v>
      </c>
      <c r="K213" s="859">
        <v>587.70000000000005</v>
      </c>
      <c r="L213" s="859">
        <v>108.4</v>
      </c>
      <c r="M213" s="859">
        <v>5.4304000000001906E-2</v>
      </c>
      <c r="N213" s="859">
        <v>3.5920883790815594</v>
      </c>
      <c r="O213" s="859">
        <v>2.7</v>
      </c>
    </row>
    <row r="214" spans="1:15" ht="15" hidden="1" customHeight="1">
      <c r="A214" s="864" t="s">
        <v>25</v>
      </c>
      <c r="B214" s="859">
        <v>50875.7</v>
      </c>
      <c r="C214" s="859">
        <v>102.4</v>
      </c>
      <c r="D214" s="859">
        <v>98.7</v>
      </c>
      <c r="E214" s="859">
        <v>26588.5</v>
      </c>
      <c r="F214" s="859">
        <v>103.1</v>
      </c>
      <c r="G214" s="859">
        <v>8627.2000000000007</v>
      </c>
      <c r="H214" s="859">
        <v>94.6</v>
      </c>
      <c r="I214" s="859">
        <v>36861.599999999999</v>
      </c>
      <c r="J214" s="859">
        <v>106.4</v>
      </c>
      <c r="K214" s="859">
        <v>589.29999999999995</v>
      </c>
      <c r="L214" s="859">
        <v>108.9</v>
      </c>
      <c r="M214" s="859">
        <v>-0.31973089999999615</v>
      </c>
      <c r="N214" s="859">
        <v>2.3768287872722738</v>
      </c>
      <c r="O214" s="859">
        <v>2.6389558999999991</v>
      </c>
    </row>
    <row r="215" spans="1:15" ht="15" hidden="1" customHeight="1">
      <c r="A215" s="864" t="s">
        <v>26</v>
      </c>
      <c r="B215" s="859">
        <v>58464.2</v>
      </c>
      <c r="C215" s="859">
        <v>102.5</v>
      </c>
      <c r="D215" s="859">
        <v>98.8</v>
      </c>
      <c r="E215" s="859">
        <v>31141.9</v>
      </c>
      <c r="F215" s="859">
        <v>103.5</v>
      </c>
      <c r="G215" s="859">
        <v>10146.200000000001</v>
      </c>
      <c r="H215" s="859">
        <v>98.1</v>
      </c>
      <c r="I215" s="859">
        <v>42202.7</v>
      </c>
      <c r="J215" s="859">
        <v>106.7</v>
      </c>
      <c r="K215" s="859">
        <v>603.5</v>
      </c>
      <c r="L215" s="859">
        <v>111.7</v>
      </c>
      <c r="M215" s="859">
        <v>0.34683900000000001</v>
      </c>
      <c r="N215" s="859">
        <v>2.4772651853471217</v>
      </c>
      <c r="O215" s="859">
        <v>2.6209711000000002</v>
      </c>
    </row>
    <row r="216" spans="1:15" ht="15" hidden="1" customHeight="1">
      <c r="A216" s="864" t="s">
        <v>27</v>
      </c>
      <c r="B216" s="859">
        <v>65415.1</v>
      </c>
      <c r="C216" s="859">
        <v>102.1</v>
      </c>
      <c r="D216" s="859">
        <v>98.4</v>
      </c>
      <c r="E216" s="859">
        <v>35177</v>
      </c>
      <c r="F216" s="859">
        <v>103.6</v>
      </c>
      <c r="G216" s="859">
        <v>11407.4</v>
      </c>
      <c r="H216" s="859">
        <v>97.4</v>
      </c>
      <c r="I216" s="859">
        <v>46705.8</v>
      </c>
      <c r="J216" s="859">
        <v>106.9</v>
      </c>
      <c r="K216" s="859">
        <v>614.20000000000005</v>
      </c>
      <c r="L216" s="859">
        <v>113.7</v>
      </c>
      <c r="M216" s="859">
        <v>0.41676990000000003</v>
      </c>
      <c r="N216" s="859">
        <v>2.7363831288938769</v>
      </c>
      <c r="O216" s="859">
        <v>2.6325403999999999</v>
      </c>
    </row>
    <row r="217" spans="1:15" ht="15" hidden="1" customHeight="1">
      <c r="A217" s="864" t="s">
        <v>28</v>
      </c>
      <c r="B217" s="859">
        <v>72852.2</v>
      </c>
      <c r="C217" s="859">
        <v>102.1</v>
      </c>
      <c r="D217" s="859">
        <v>99.1</v>
      </c>
      <c r="E217" s="859">
        <v>39470.400000000001</v>
      </c>
      <c r="F217" s="859">
        <v>103.5</v>
      </c>
      <c r="G217" s="859">
        <v>12786.9</v>
      </c>
      <c r="H217" s="859">
        <v>97.2</v>
      </c>
      <c r="I217" s="859">
        <v>50845.1</v>
      </c>
      <c r="J217" s="859">
        <v>107.4</v>
      </c>
      <c r="K217" s="859">
        <v>623.1</v>
      </c>
      <c r="L217" s="859">
        <v>115.4</v>
      </c>
      <c r="M217" s="859">
        <v>0.46384160000000002</v>
      </c>
      <c r="N217" s="859">
        <v>2.6162126579531275</v>
      </c>
      <c r="O217" s="859">
        <v>2.6310449</v>
      </c>
    </row>
    <row r="218" spans="1:15" ht="15" hidden="1" customHeight="1">
      <c r="A218" s="864" t="s">
        <v>29</v>
      </c>
      <c r="B218" s="859">
        <v>81896.2</v>
      </c>
      <c r="C218" s="859">
        <v>102.5</v>
      </c>
      <c r="D218" s="859">
        <v>99.8</v>
      </c>
      <c r="E218" s="859">
        <v>44481.8</v>
      </c>
      <c r="F218" s="859">
        <v>104</v>
      </c>
      <c r="G218" s="859">
        <v>18539.476500000001</v>
      </c>
      <c r="H218" s="859" t="s">
        <v>2827</v>
      </c>
      <c r="I218" s="859">
        <v>56769</v>
      </c>
      <c r="J218" s="859">
        <v>107.4</v>
      </c>
      <c r="K218" s="859">
        <v>634.79999999999995</v>
      </c>
      <c r="L218" s="859">
        <v>116.6</v>
      </c>
      <c r="M218" s="859">
        <v>0.53637389999999996</v>
      </c>
      <c r="N218" s="859">
        <v>2.3623765746619227</v>
      </c>
      <c r="O218" s="859">
        <v>2.6083398</v>
      </c>
    </row>
    <row r="219" spans="1:15" ht="15" customHeight="1">
      <c r="A219" s="864" t="s">
        <v>2362</v>
      </c>
      <c r="B219" s="860">
        <v>72578.100000000006</v>
      </c>
      <c r="C219" s="860">
        <v>95.8</v>
      </c>
      <c r="D219" s="860">
        <v>92.5</v>
      </c>
      <c r="E219" s="860">
        <v>45312.2</v>
      </c>
      <c r="F219" s="860">
        <v>97.1</v>
      </c>
      <c r="G219" s="860">
        <v>17226.110700000001</v>
      </c>
      <c r="H219" s="860">
        <v>92.7</v>
      </c>
      <c r="I219" s="860">
        <v>55754.1</v>
      </c>
      <c r="J219" s="860">
        <v>98.2</v>
      </c>
      <c r="K219" s="860">
        <v>707.3</v>
      </c>
      <c r="L219" s="860">
        <v>111.4</v>
      </c>
      <c r="M219" s="860">
        <v>0.79115939999999996</v>
      </c>
      <c r="N219" s="860">
        <f>+N231</f>
        <v>2.6114420662024571</v>
      </c>
      <c r="O219" s="860">
        <v>2.7598847000000002</v>
      </c>
    </row>
    <row r="220" spans="1:15" ht="15" customHeight="1">
      <c r="A220" s="1694" t="s">
        <v>18</v>
      </c>
      <c r="B220" s="859">
        <v>6646.9</v>
      </c>
      <c r="C220" s="859">
        <v>102.4</v>
      </c>
      <c r="D220" s="859">
        <v>102.3</v>
      </c>
      <c r="E220" s="859">
        <v>3381.9</v>
      </c>
      <c r="F220" s="859">
        <v>104.8</v>
      </c>
      <c r="G220" s="859">
        <v>996.7</v>
      </c>
      <c r="H220" s="859">
        <v>112.6</v>
      </c>
      <c r="I220" s="859">
        <v>4057.5</v>
      </c>
      <c r="J220" s="859">
        <v>106.8</v>
      </c>
      <c r="K220" s="859">
        <v>712.1</v>
      </c>
      <c r="L220" s="859">
        <v>127.8</v>
      </c>
      <c r="M220" s="859">
        <v>0.6</v>
      </c>
      <c r="N220" s="859">
        <v>2.7459699081494193</v>
      </c>
      <c r="O220" s="859">
        <v>2.7</v>
      </c>
    </row>
    <row r="221" spans="1:15" ht="15" customHeight="1">
      <c r="A221" s="1694" t="s">
        <v>19</v>
      </c>
      <c r="B221" s="859">
        <v>12504</v>
      </c>
      <c r="C221" s="859">
        <v>102.8</v>
      </c>
      <c r="D221" s="859">
        <v>102.3</v>
      </c>
      <c r="E221" s="859">
        <v>6600.1</v>
      </c>
      <c r="F221" s="859">
        <v>106.7</v>
      </c>
      <c r="G221" s="859">
        <v>1965.2</v>
      </c>
      <c r="H221" s="859">
        <v>112.7</v>
      </c>
      <c r="I221" s="859">
        <v>8301.5</v>
      </c>
      <c r="J221" s="859">
        <v>108.9</v>
      </c>
      <c r="K221" s="859">
        <v>712.3</v>
      </c>
      <c r="L221" s="859">
        <v>128.4</v>
      </c>
      <c r="M221" s="859">
        <v>0.70653160000000526</v>
      </c>
      <c r="N221" s="859">
        <v>2.8917190912828943</v>
      </c>
      <c r="O221" s="859">
        <v>2.8187254999999993</v>
      </c>
    </row>
    <row r="222" spans="1:15" ht="15" customHeight="1">
      <c r="A222" s="1694" t="s">
        <v>20</v>
      </c>
      <c r="B222" s="859">
        <v>17928.099999999999</v>
      </c>
      <c r="C222" s="859">
        <v>101.1</v>
      </c>
      <c r="D222" s="859">
        <v>98.1</v>
      </c>
      <c r="E222" s="859">
        <v>10077.9</v>
      </c>
      <c r="F222" s="859">
        <v>103.5</v>
      </c>
      <c r="G222" s="859">
        <v>2929.4</v>
      </c>
      <c r="H222" s="859">
        <v>106.5</v>
      </c>
      <c r="I222" s="859">
        <v>13442.5</v>
      </c>
      <c r="J222" s="859">
        <v>106.8</v>
      </c>
      <c r="K222" s="859">
        <v>744.5</v>
      </c>
      <c r="L222" s="859">
        <v>128.9</v>
      </c>
      <c r="M222" s="859">
        <v>0.97766120000000001</v>
      </c>
      <c r="N222" s="859">
        <v>3.270998851708228</v>
      </c>
      <c r="O222" s="859">
        <v>2.9702656999999988</v>
      </c>
    </row>
    <row r="223" spans="1:15" ht="15" customHeight="1">
      <c r="A223" s="1694" t="s">
        <v>21</v>
      </c>
      <c r="B223" s="859">
        <v>22674</v>
      </c>
      <c r="C223" s="859">
        <v>100.2</v>
      </c>
      <c r="D223" s="859">
        <v>92.2</v>
      </c>
      <c r="E223" s="859">
        <v>12610.4</v>
      </c>
      <c r="F223" s="859">
        <v>99.2</v>
      </c>
      <c r="G223" s="859">
        <v>3903.5</v>
      </c>
      <c r="H223" s="859">
        <v>99.5</v>
      </c>
      <c r="I223" s="859">
        <v>17145.7</v>
      </c>
      <c r="J223" s="859">
        <v>101.3</v>
      </c>
      <c r="K223" s="859">
        <v>736.2</v>
      </c>
      <c r="L223" s="859">
        <v>126.7</v>
      </c>
      <c r="M223" s="859">
        <v>8.5501300000004221E-2</v>
      </c>
      <c r="N223" s="859">
        <v>2.963992082753748</v>
      </c>
      <c r="O223" s="859">
        <v>2.9686040999999932</v>
      </c>
    </row>
    <row r="224" spans="1:15" ht="15" customHeight="1">
      <c r="A224" s="1694" t="s">
        <v>22</v>
      </c>
      <c r="B224" s="859">
        <v>27640.6</v>
      </c>
      <c r="C224" s="859">
        <v>98.3</v>
      </c>
      <c r="D224" s="859">
        <v>91.2</v>
      </c>
      <c r="E224" s="859">
        <v>15796.5</v>
      </c>
      <c r="F224" s="859">
        <v>97.9</v>
      </c>
      <c r="G224" s="859">
        <v>4907.6000000000004</v>
      </c>
      <c r="H224" s="859">
        <v>97.2</v>
      </c>
      <c r="I224" s="859">
        <v>22382.1</v>
      </c>
      <c r="J224" s="859">
        <v>101.3</v>
      </c>
      <c r="K224" s="859">
        <v>728.9</v>
      </c>
      <c r="L224" s="859">
        <v>124.9</v>
      </c>
      <c r="M224" s="859">
        <v>-0.51617000000000246</v>
      </c>
      <c r="N224" s="859">
        <v>2.8756842362048332</v>
      </c>
      <c r="O224" s="859">
        <v>2.9499110000000002</v>
      </c>
    </row>
    <row r="225" spans="1:16" ht="15" customHeight="1">
      <c r="A225" s="1694" t="s">
        <v>23</v>
      </c>
      <c r="B225" s="859">
        <v>34378.699999999997</v>
      </c>
      <c r="C225" s="859">
        <v>97.3</v>
      </c>
      <c r="D225" s="859">
        <v>90.4</v>
      </c>
      <c r="E225" s="859">
        <v>20155</v>
      </c>
      <c r="F225" s="859">
        <v>97.6</v>
      </c>
      <c r="G225" s="859">
        <v>5956.2</v>
      </c>
      <c r="H225" s="859">
        <v>97.3</v>
      </c>
      <c r="I225" s="859">
        <v>27377.8</v>
      </c>
      <c r="J225" s="859">
        <v>100.6</v>
      </c>
      <c r="K225" s="859">
        <v>720</v>
      </c>
      <c r="L225" s="859">
        <v>123</v>
      </c>
      <c r="M225" s="859">
        <v>-0.32989030000000241</v>
      </c>
      <c r="N225" s="859">
        <v>3.0174684472909803</v>
      </c>
      <c r="O225" s="859">
        <v>2.9610950000000003</v>
      </c>
    </row>
    <row r="226" spans="1:16" ht="15" customHeight="1">
      <c r="A226" s="1694" t="s">
        <v>24</v>
      </c>
      <c r="B226" s="859">
        <v>40325.199999999997</v>
      </c>
      <c r="C226" s="859">
        <v>97.2</v>
      </c>
      <c r="D226" s="859">
        <v>91.2</v>
      </c>
      <c r="E226" s="859">
        <v>24082.9</v>
      </c>
      <c r="F226" s="859">
        <v>98.5</v>
      </c>
      <c r="G226" s="859">
        <v>7588.3</v>
      </c>
      <c r="H226" s="859">
        <v>102.6</v>
      </c>
      <c r="I226" s="859">
        <v>32144.799999999999</v>
      </c>
      <c r="J226" s="859">
        <v>100.2</v>
      </c>
      <c r="K226" s="859">
        <v>715.4</v>
      </c>
      <c r="L226" s="859">
        <v>121.7</v>
      </c>
      <c r="M226" s="859">
        <v>-0.27575589999999295</v>
      </c>
      <c r="N226" s="859">
        <v>2.6776336378462702</v>
      </c>
      <c r="O226" s="859">
        <v>2.9206022000000047</v>
      </c>
    </row>
    <row r="227" spans="1:16" ht="15" customHeight="1">
      <c r="A227" s="1694" t="s">
        <v>25</v>
      </c>
      <c r="B227" s="859">
        <v>46113.2</v>
      </c>
      <c r="C227" s="859">
        <v>97</v>
      </c>
      <c r="D227" s="859">
        <v>91.4</v>
      </c>
      <c r="E227" s="859">
        <v>27634.400000000001</v>
      </c>
      <c r="F227" s="859">
        <v>98.4</v>
      </c>
      <c r="G227" s="859">
        <v>8682.4</v>
      </c>
      <c r="H227" s="859">
        <v>100.7</v>
      </c>
      <c r="I227" s="859">
        <v>36809.4</v>
      </c>
      <c r="J227" s="859">
        <v>100.1</v>
      </c>
      <c r="K227" s="859">
        <v>710.2</v>
      </c>
      <c r="L227" s="859">
        <v>120.5</v>
      </c>
      <c r="M227" s="859">
        <v>-0.1802016999999978</v>
      </c>
      <c r="N227" s="859">
        <v>2.8213584512795791</v>
      </c>
      <c r="O227" s="859">
        <v>2.9082039000000037</v>
      </c>
    </row>
    <row r="228" spans="1:16" ht="15" customHeight="1">
      <c r="A228" s="864" t="s">
        <v>26</v>
      </c>
      <c r="B228" s="859">
        <v>52344.3</v>
      </c>
      <c r="C228" s="859">
        <v>96.1</v>
      </c>
      <c r="D228" s="859">
        <v>91.7</v>
      </c>
      <c r="E228" s="859">
        <v>31778</v>
      </c>
      <c r="F228" s="859">
        <v>97.7</v>
      </c>
      <c r="G228" s="859">
        <v>10430.200000000001</v>
      </c>
      <c r="H228" s="859">
        <v>96.2</v>
      </c>
      <c r="I228" s="859">
        <v>41609</v>
      </c>
      <c r="J228" s="859">
        <v>99.1</v>
      </c>
      <c r="K228" s="859">
        <v>706.6</v>
      </c>
      <c r="L228" s="859">
        <v>117.1</v>
      </c>
      <c r="M228" s="859">
        <v>0.10774539999999888</v>
      </c>
      <c r="N228" s="859">
        <v>2.5763688831577127</v>
      </c>
      <c r="O228" s="859">
        <v>2.8713098000000059</v>
      </c>
    </row>
    <row r="229" spans="1:16" ht="15" customHeight="1">
      <c r="A229" s="864" t="s">
        <v>27</v>
      </c>
      <c r="B229" s="859">
        <v>58454.400000000001</v>
      </c>
      <c r="C229" s="859">
        <v>96.2</v>
      </c>
      <c r="D229" s="859">
        <v>92.3</v>
      </c>
      <c r="E229" s="859">
        <v>36031</v>
      </c>
      <c r="F229" s="859">
        <v>97.7</v>
      </c>
      <c r="G229" s="859">
        <v>11540.2</v>
      </c>
      <c r="H229" s="859">
        <v>97.9</v>
      </c>
      <c r="I229" s="859">
        <v>46056.800000000003</v>
      </c>
      <c r="J229" s="859">
        <v>98.6</v>
      </c>
      <c r="K229" s="859">
        <v>704.5</v>
      </c>
      <c r="L229" s="859">
        <v>114.7</v>
      </c>
      <c r="M229" s="859">
        <v>0.16727899999999352</v>
      </c>
      <c r="N229" s="859">
        <v>2.3215123425930386</v>
      </c>
      <c r="O229" s="859">
        <v>2.8161080999999939</v>
      </c>
    </row>
    <row r="230" spans="1:16" ht="15" customHeight="1">
      <c r="A230" s="864" t="s">
        <v>28</v>
      </c>
      <c r="B230" s="859">
        <v>64441.3</v>
      </c>
      <c r="C230" s="859">
        <v>95.7</v>
      </c>
      <c r="D230" s="859">
        <v>92.5</v>
      </c>
      <c r="E230" s="859">
        <v>39926.9</v>
      </c>
      <c r="F230" s="859">
        <v>97.2</v>
      </c>
      <c r="G230" s="859">
        <v>12716.6</v>
      </c>
      <c r="H230" s="859">
        <v>96</v>
      </c>
      <c r="I230" s="859">
        <v>50173.1</v>
      </c>
      <c r="J230" s="859">
        <v>98.7</v>
      </c>
      <c r="K230" s="859">
        <v>703.5</v>
      </c>
      <c r="L230" s="859">
        <v>112.9</v>
      </c>
      <c r="M230" s="859">
        <v>0.49382989999999399</v>
      </c>
      <c r="N230" s="859">
        <v>2.3520551544118575</v>
      </c>
      <c r="O230" s="859">
        <v>2.7735813999999999</v>
      </c>
    </row>
    <row r="231" spans="1:16" ht="15" customHeight="1">
      <c r="A231" s="864" t="s">
        <v>29</v>
      </c>
      <c r="B231" s="859">
        <v>72578.100000000006</v>
      </c>
      <c r="C231" s="859">
        <v>95.8</v>
      </c>
      <c r="D231" s="859">
        <v>92.5</v>
      </c>
      <c r="E231" s="859">
        <v>45312.2</v>
      </c>
      <c r="F231" s="859">
        <v>97.1</v>
      </c>
      <c r="G231" s="859">
        <v>17226.110700000001</v>
      </c>
      <c r="H231" s="859">
        <v>92.7</v>
      </c>
      <c r="I231" s="859">
        <v>55754.1</v>
      </c>
      <c r="J231" s="859">
        <v>98.2</v>
      </c>
      <c r="K231" s="859">
        <v>707.3</v>
      </c>
      <c r="L231" s="859">
        <v>111.4</v>
      </c>
      <c r="M231" s="859">
        <v>0.79115939999999996</v>
      </c>
      <c r="N231" s="859">
        <v>2.6114420662024571</v>
      </c>
      <c r="O231" s="859">
        <v>2.7598847000000002</v>
      </c>
    </row>
    <row r="232" spans="1:16" ht="15" customHeight="1">
      <c r="A232" s="864" t="s">
        <v>2523</v>
      </c>
      <c r="B232" s="860">
        <v>93203.199999999997</v>
      </c>
      <c r="C232" s="860">
        <v>105.6</v>
      </c>
      <c r="D232" s="860">
        <v>121.6</v>
      </c>
      <c r="E232" s="860">
        <v>51122.2</v>
      </c>
      <c r="F232" s="860">
        <v>107.1</v>
      </c>
      <c r="G232" s="860">
        <v>16815.458999999999</v>
      </c>
      <c r="H232" s="860">
        <v>95.5</v>
      </c>
      <c r="I232" s="860">
        <v>57206.8</v>
      </c>
      <c r="J232" s="860">
        <v>102.6</v>
      </c>
      <c r="K232" s="860">
        <v>732.1</v>
      </c>
      <c r="L232" s="860">
        <v>103.4</v>
      </c>
      <c r="M232" s="860">
        <v>1.5861479999999943</v>
      </c>
      <c r="N232" s="860">
        <f>+N244</f>
        <v>11.97139806863818</v>
      </c>
      <c r="O232" s="860">
        <v>6.650326899999996</v>
      </c>
    </row>
    <row r="233" spans="1:16" ht="15" customHeight="1">
      <c r="A233" s="864" t="s">
        <v>18</v>
      </c>
      <c r="B233" s="859">
        <v>6256.8</v>
      </c>
      <c r="C233" s="859">
        <v>97.5</v>
      </c>
      <c r="D233" s="859">
        <v>96.5</v>
      </c>
      <c r="E233" s="859">
        <v>3444.7</v>
      </c>
      <c r="F233" s="859">
        <v>100.1</v>
      </c>
      <c r="G233" s="859">
        <v>724</v>
      </c>
      <c r="H233" s="859">
        <v>72.5</v>
      </c>
      <c r="I233" s="859">
        <v>4011.2</v>
      </c>
      <c r="J233" s="859">
        <v>98.7</v>
      </c>
      <c r="K233" s="859">
        <v>690.9</v>
      </c>
      <c r="L233" s="859">
        <v>97</v>
      </c>
      <c r="M233" s="859">
        <v>1.1999966000000057</v>
      </c>
      <c r="N233" s="859">
        <v>3.2582790891587479</v>
      </c>
      <c r="O233" s="859">
        <v>3.2582790999999958</v>
      </c>
      <c r="P233" s="1356"/>
    </row>
    <row r="234" spans="1:16" ht="15" customHeight="1">
      <c r="A234" s="864" t="s">
        <v>19</v>
      </c>
      <c r="B234" s="859">
        <v>12419.7</v>
      </c>
      <c r="C234" s="859">
        <v>96.8</v>
      </c>
      <c r="D234" s="859">
        <v>99.3</v>
      </c>
      <c r="E234" s="859">
        <v>6611.4</v>
      </c>
      <c r="F234" s="859">
        <v>99.6</v>
      </c>
      <c r="G234" s="859">
        <v>1338.4</v>
      </c>
      <c r="H234" s="859">
        <v>68</v>
      </c>
      <c r="I234" s="859">
        <v>7979.9</v>
      </c>
      <c r="J234" s="859">
        <v>95.8</v>
      </c>
      <c r="K234" s="859">
        <v>692.3</v>
      </c>
      <c r="L234" s="859">
        <v>97.2</v>
      </c>
      <c r="M234" s="859">
        <v>1.6311450000000036</v>
      </c>
      <c r="N234" s="859">
        <v>4.2063207602391515</v>
      </c>
      <c r="O234" s="859">
        <v>3.7339685999999972</v>
      </c>
    </row>
    <row r="235" spans="1:16" ht="15" customHeight="1">
      <c r="A235" s="864" t="s">
        <v>20</v>
      </c>
      <c r="B235" s="859">
        <v>19181.900000000001</v>
      </c>
      <c r="C235" s="859">
        <v>98.7</v>
      </c>
      <c r="D235" s="859">
        <v>106.9</v>
      </c>
      <c r="E235" s="859">
        <v>10413.299999999999</v>
      </c>
      <c r="F235" s="859">
        <v>102.1</v>
      </c>
      <c r="G235" s="859">
        <v>2365.1999999999998</v>
      </c>
      <c r="H235" s="859">
        <v>80.599999999999994</v>
      </c>
      <c r="I235" s="859">
        <v>13455.9</v>
      </c>
      <c r="J235" s="859">
        <v>98.9</v>
      </c>
      <c r="K235" s="859">
        <v>713.2</v>
      </c>
      <c r="L235" s="859">
        <v>95.8</v>
      </c>
      <c r="M235" s="859">
        <v>0.85630559999999889</v>
      </c>
      <c r="N235" s="859">
        <v>4.0810849364998347</v>
      </c>
      <c r="O235" s="859">
        <v>3.8506978000000061</v>
      </c>
    </row>
    <row r="236" spans="1:16" ht="15" customHeight="1">
      <c r="A236" s="864" t="s">
        <v>21</v>
      </c>
      <c r="B236" s="859">
        <v>25119.8</v>
      </c>
      <c r="C236" s="859">
        <v>99.8</v>
      </c>
      <c r="D236" s="859">
        <v>110.8</v>
      </c>
      <c r="E236" s="859">
        <v>13638.4</v>
      </c>
      <c r="F236" s="859">
        <v>104.1</v>
      </c>
      <c r="G236" s="859">
        <v>3752.8</v>
      </c>
      <c r="H236" s="859">
        <v>91.3</v>
      </c>
      <c r="I236" s="859">
        <v>17037.900000000001</v>
      </c>
      <c r="J236" s="859">
        <v>98.9</v>
      </c>
      <c r="K236" s="859">
        <v>722.3</v>
      </c>
      <c r="L236" s="859">
        <v>98.1</v>
      </c>
      <c r="M236" s="859">
        <v>0.31258090000000038</v>
      </c>
      <c r="N236" s="859">
        <v>4.3172299408007291</v>
      </c>
      <c r="O236" s="859">
        <v>3.968178199999997</v>
      </c>
    </row>
    <row r="237" spans="1:16" ht="15" customHeight="1">
      <c r="A237" s="864" t="s">
        <v>22</v>
      </c>
      <c r="B237" s="859">
        <v>32126.2</v>
      </c>
      <c r="C237" s="859">
        <v>100.8</v>
      </c>
      <c r="D237" s="859">
        <v>113.1</v>
      </c>
      <c r="E237" s="859">
        <v>17321.8</v>
      </c>
      <c r="F237" s="859">
        <v>104.5</v>
      </c>
      <c r="G237" s="859">
        <v>4907</v>
      </c>
      <c r="H237" s="859">
        <v>94.7</v>
      </c>
      <c r="I237" s="859">
        <v>22090</v>
      </c>
      <c r="J237" s="859">
        <v>99.2</v>
      </c>
      <c r="K237" s="859">
        <v>724</v>
      </c>
      <c r="L237" s="859">
        <v>99.3</v>
      </c>
      <c r="M237" s="859">
        <v>4.6719800000005307E-2</v>
      </c>
      <c r="N237" s="859">
        <v>4.9074676175963674</v>
      </c>
      <c r="O237" s="859">
        <v>4.1563464999999979</v>
      </c>
    </row>
    <row r="238" spans="1:16" ht="15" customHeight="1">
      <c r="A238" s="864" t="s">
        <v>23</v>
      </c>
      <c r="B238" s="859">
        <v>40763.699999999997</v>
      </c>
      <c r="C238" s="859">
        <v>102.1</v>
      </c>
      <c r="D238" s="859">
        <v>113.7</v>
      </c>
      <c r="E238" s="859">
        <v>22467.5</v>
      </c>
      <c r="F238" s="859">
        <v>105.1</v>
      </c>
      <c r="G238" s="859">
        <v>5919.4</v>
      </c>
      <c r="H238" s="859">
        <v>92.4</v>
      </c>
      <c r="I238" s="859">
        <v>27580.7</v>
      </c>
      <c r="J238" s="859">
        <v>100.4</v>
      </c>
      <c r="K238" s="859">
        <v>724.4</v>
      </c>
      <c r="L238" s="859">
        <v>100.6</v>
      </c>
      <c r="M238" s="859">
        <v>-0.49214870000000133</v>
      </c>
      <c r="N238" s="859">
        <v>4.7366830373955793</v>
      </c>
      <c r="O238" s="859">
        <v>4.2529360999999994</v>
      </c>
    </row>
    <row r="239" spans="1:16" ht="15" customHeight="1">
      <c r="A239" s="864" t="s">
        <v>24</v>
      </c>
      <c r="B239" s="859">
        <v>48103.7</v>
      </c>
      <c r="C239" s="859">
        <v>102.7</v>
      </c>
      <c r="D239" s="859">
        <v>114.1</v>
      </c>
      <c r="E239" s="859">
        <v>26511.9</v>
      </c>
      <c r="F239" s="859">
        <v>105.3</v>
      </c>
      <c r="G239" s="859">
        <v>7059.3</v>
      </c>
      <c r="H239" s="859">
        <v>87.9</v>
      </c>
      <c r="I239" s="859">
        <v>32321</v>
      </c>
      <c r="J239" s="859">
        <v>100.6</v>
      </c>
      <c r="K239" s="859">
        <v>728.5</v>
      </c>
      <c r="L239" s="859">
        <v>101.8</v>
      </c>
      <c r="M239" s="859">
        <v>0.91673509999999681</v>
      </c>
      <c r="N239" s="859">
        <v>5.9891122036342495</v>
      </c>
      <c r="O239" s="859">
        <v>4.5000825000000049</v>
      </c>
    </row>
    <row r="240" spans="1:16" ht="15" customHeight="1">
      <c r="A240" s="864" t="s">
        <v>25</v>
      </c>
      <c r="B240" s="859">
        <v>55576.7</v>
      </c>
      <c r="C240" s="859">
        <v>103.6</v>
      </c>
      <c r="D240" s="859">
        <v>114.6</v>
      </c>
      <c r="E240" s="859">
        <v>30574.3</v>
      </c>
      <c r="F240" s="859">
        <v>105.7</v>
      </c>
      <c r="G240" s="859">
        <v>8259.4</v>
      </c>
      <c r="H240" s="859">
        <v>89.9</v>
      </c>
      <c r="I240" s="859">
        <v>37170.400000000001</v>
      </c>
      <c r="J240" s="859">
        <v>101.2</v>
      </c>
      <c r="K240" s="859">
        <v>725.6</v>
      </c>
      <c r="L240" s="859">
        <v>102.2</v>
      </c>
      <c r="M240" s="859">
        <v>0.4657703999999967</v>
      </c>
      <c r="N240" s="859">
        <v>6.6750082939223603</v>
      </c>
      <c r="O240" s="859">
        <v>4.770677500000005</v>
      </c>
    </row>
    <row r="241" spans="1:15" ht="15" customHeight="1">
      <c r="A241" s="864" t="s">
        <v>26</v>
      </c>
      <c r="B241" s="859">
        <v>63889</v>
      </c>
      <c r="C241" s="859">
        <v>104.8</v>
      </c>
      <c r="D241" s="859">
        <v>114.7</v>
      </c>
      <c r="E241" s="859">
        <v>35352</v>
      </c>
      <c r="F241" s="859">
        <v>106.2</v>
      </c>
      <c r="G241" s="859">
        <v>9560.2000000000007</v>
      </c>
      <c r="H241" s="859">
        <v>91.3</v>
      </c>
      <c r="I241" s="859">
        <v>42251.7</v>
      </c>
      <c r="J241" s="859">
        <v>102</v>
      </c>
      <c r="K241" s="859">
        <v>723.2</v>
      </c>
      <c r="L241" s="859">
        <v>102.3</v>
      </c>
      <c r="M241" s="859">
        <v>1.8156395999999972</v>
      </c>
      <c r="N241" s="859">
        <v>8.4949436767658</v>
      </c>
      <c r="O241" s="859">
        <v>5.1831593999999939</v>
      </c>
    </row>
    <row r="242" spans="1:15" ht="15" customHeight="1">
      <c r="A242" s="864" t="s">
        <v>27</v>
      </c>
      <c r="B242" s="859">
        <v>72407.8</v>
      </c>
      <c r="C242" s="859">
        <v>104.9</v>
      </c>
      <c r="D242" s="859">
        <v>116.7</v>
      </c>
      <c r="E242" s="859">
        <v>39913.300000000003</v>
      </c>
      <c r="F242" s="859">
        <v>105.9</v>
      </c>
      <c r="G242" s="859">
        <v>10568.5</v>
      </c>
      <c r="H242" s="859">
        <v>88.5</v>
      </c>
      <c r="I242" s="859">
        <v>47259.8</v>
      </c>
      <c r="J242" s="859">
        <v>102.4</v>
      </c>
      <c r="K242" s="859">
        <v>722.9</v>
      </c>
      <c r="L242" s="859">
        <v>102.6</v>
      </c>
      <c r="M242" s="859">
        <v>1.574101799999994</v>
      </c>
      <c r="N242" s="859">
        <v>10.018726312901791</v>
      </c>
      <c r="O242" s="859">
        <v>5.6660478000000012</v>
      </c>
    </row>
    <row r="243" spans="1:15" ht="15" customHeight="1">
      <c r="A243" s="864" t="s">
        <v>28</v>
      </c>
      <c r="B243" s="859">
        <v>81100.7</v>
      </c>
      <c r="C243" s="859">
        <v>105.3</v>
      </c>
      <c r="D243" s="859">
        <v>118.9</v>
      </c>
      <c r="E243" s="859">
        <v>44419.7</v>
      </c>
      <c r="F243" s="859">
        <v>106.4</v>
      </c>
      <c r="G243" s="859">
        <v>11708.1</v>
      </c>
      <c r="H243" s="859">
        <v>88.8</v>
      </c>
      <c r="I243" s="859">
        <v>51619.3</v>
      </c>
      <c r="J243" s="859">
        <v>102.5</v>
      </c>
      <c r="K243" s="859">
        <v>724.1</v>
      </c>
      <c r="L243" s="859">
        <v>102.9</v>
      </c>
      <c r="M243" s="859">
        <v>1.4770500999999996</v>
      </c>
      <c r="N243" s="859">
        <v>11.095137015894778</v>
      </c>
      <c r="O243" s="859">
        <v>6.1611934000000019</v>
      </c>
    </row>
    <row r="244" spans="1:15" ht="15" customHeight="1">
      <c r="A244" s="864" t="s">
        <v>29</v>
      </c>
      <c r="B244" s="859">
        <v>93203.199999999997</v>
      </c>
      <c r="C244" s="859">
        <v>105.6</v>
      </c>
      <c r="D244" s="859">
        <v>121.6</v>
      </c>
      <c r="E244" s="859">
        <v>51122.2</v>
      </c>
      <c r="F244" s="859">
        <v>107.1</v>
      </c>
      <c r="G244" s="859">
        <v>16815.458999999999</v>
      </c>
      <c r="H244" s="859">
        <v>95.5</v>
      </c>
      <c r="I244" s="859">
        <v>57206.8</v>
      </c>
      <c r="J244" s="859">
        <v>102.6</v>
      </c>
      <c r="K244" s="859">
        <v>732.1</v>
      </c>
      <c r="L244" s="859">
        <v>103.4</v>
      </c>
      <c r="M244" s="859">
        <v>1.5861479999999943</v>
      </c>
      <c r="N244" s="859">
        <v>11.97139806863818</v>
      </c>
      <c r="O244" s="859">
        <v>6.650326899999996</v>
      </c>
    </row>
    <row r="245" spans="1:15" ht="15" customHeight="1">
      <c r="A245" s="864" t="s">
        <v>2812</v>
      </c>
      <c r="B245" s="860">
        <v>133972.70000000001</v>
      </c>
      <c r="C245" s="860">
        <v>104.7</v>
      </c>
      <c r="D245" s="860">
        <v>137.30000000000001</v>
      </c>
      <c r="E245" s="860">
        <v>61509.1</v>
      </c>
      <c r="F245" s="860">
        <v>109</v>
      </c>
      <c r="G245" s="860">
        <v>17878.165099999998</v>
      </c>
      <c r="H245" s="860">
        <v>103.3</v>
      </c>
      <c r="I245" s="860">
        <v>69163</v>
      </c>
      <c r="J245" s="860">
        <v>120.9</v>
      </c>
      <c r="K245" s="860">
        <v>839.4</v>
      </c>
      <c r="L245" s="860">
        <v>114.7</v>
      </c>
      <c r="M245" s="860">
        <v>0.9582556000000011</v>
      </c>
      <c r="N245" s="860">
        <f>+N257</f>
        <v>14.382451264983615</v>
      </c>
      <c r="O245" s="860">
        <v>13.852259099999998</v>
      </c>
    </row>
    <row r="246" spans="1:15" ht="15" customHeight="1">
      <c r="A246" s="864" t="s">
        <v>18</v>
      </c>
      <c r="B246" s="859">
        <v>9283.5</v>
      </c>
      <c r="C246" s="859">
        <v>105.8</v>
      </c>
      <c r="D246" s="859">
        <v>139.5</v>
      </c>
      <c r="E246" s="859">
        <v>4085.8</v>
      </c>
      <c r="F246" s="859">
        <v>108.7</v>
      </c>
      <c r="G246" s="859">
        <v>658.1</v>
      </c>
      <c r="H246" s="859">
        <v>88.9</v>
      </c>
      <c r="I246" s="859">
        <v>4675.8999999999996</v>
      </c>
      <c r="J246" s="859">
        <v>115.5</v>
      </c>
      <c r="K246" s="859">
        <v>765.9</v>
      </c>
      <c r="L246" s="859">
        <v>110.9</v>
      </c>
      <c r="M246" s="859">
        <v>1.6459641</v>
      </c>
      <c r="N246" s="859">
        <v>12.464832911976657</v>
      </c>
      <c r="O246" s="859">
        <v>12.464832899999999</v>
      </c>
    </row>
    <row r="247" spans="1:15" ht="15" customHeight="1">
      <c r="A247" s="864" t="s">
        <v>19</v>
      </c>
      <c r="B247" s="859">
        <v>18742.8</v>
      </c>
      <c r="C247" s="859">
        <v>106.7</v>
      </c>
      <c r="D247" s="859">
        <v>144.69999999999999</v>
      </c>
      <c r="E247" s="859">
        <v>8093.6</v>
      </c>
      <c r="F247" s="859">
        <v>110.1</v>
      </c>
      <c r="G247" s="859">
        <v>1339.7</v>
      </c>
      <c r="H247" s="859">
        <v>97.9</v>
      </c>
      <c r="I247" s="859">
        <v>9273.2000000000007</v>
      </c>
      <c r="J247" s="859">
        <v>115.6</v>
      </c>
      <c r="K247" s="859">
        <v>768.3</v>
      </c>
      <c r="L247" s="859">
        <v>111</v>
      </c>
      <c r="M247" s="859">
        <v>1.0978858000000002</v>
      </c>
      <c r="N247" s="859">
        <v>11.874729289442683</v>
      </c>
      <c r="O247" s="859">
        <v>12.167394200000004</v>
      </c>
    </row>
    <row r="248" spans="1:15" ht="15" customHeight="1">
      <c r="A248" s="864" t="s">
        <v>20</v>
      </c>
      <c r="B248" s="859">
        <v>29676.7</v>
      </c>
      <c r="C248" s="859">
        <v>106.8</v>
      </c>
      <c r="D248" s="859">
        <v>146.69999999999999</v>
      </c>
      <c r="E248" s="859">
        <v>13080.5</v>
      </c>
      <c r="F248" s="859">
        <v>110.3</v>
      </c>
      <c r="G248" s="859">
        <v>2440.6999999999998</v>
      </c>
      <c r="H248" s="859">
        <v>90.5</v>
      </c>
      <c r="I248" s="859">
        <v>16043.8</v>
      </c>
      <c r="J248" s="859">
        <v>119.2</v>
      </c>
      <c r="K248" s="859">
        <v>809</v>
      </c>
      <c r="L248" s="859">
        <v>113.4</v>
      </c>
      <c r="M248" s="859">
        <v>1.1043106999999992</v>
      </c>
      <c r="N248" s="859">
        <v>12.149828632610578</v>
      </c>
      <c r="O248" s="859">
        <v>12.161474100000007</v>
      </c>
    </row>
    <row r="249" spans="1:15" ht="15" customHeight="1">
      <c r="A249" s="864" t="s">
        <v>21</v>
      </c>
      <c r="B249" s="859">
        <v>39859</v>
      </c>
      <c r="C249" s="859">
        <v>107.2</v>
      </c>
      <c r="D249" s="859">
        <v>146.9</v>
      </c>
      <c r="E249" s="859">
        <v>16870.8</v>
      </c>
      <c r="F249" s="859">
        <v>111.3</v>
      </c>
      <c r="G249" s="859">
        <v>3678</v>
      </c>
      <c r="H249" s="859">
        <v>94.7</v>
      </c>
      <c r="I249" s="859">
        <v>20480.900000000001</v>
      </c>
      <c r="J249" s="859">
        <v>119.6</v>
      </c>
      <c r="K249" s="859">
        <v>824.7</v>
      </c>
      <c r="L249" s="859">
        <v>114.2</v>
      </c>
      <c r="M249" s="859">
        <v>1.0396510000000063</v>
      </c>
      <c r="N249" s="859">
        <v>12.962695636802053</v>
      </c>
      <c r="O249" s="859">
        <v>12.363912200000001</v>
      </c>
    </row>
    <row r="250" spans="1:15" ht="15" customHeight="1">
      <c r="A250" s="864" t="s">
        <v>22</v>
      </c>
      <c r="B250" s="859">
        <v>51073.9</v>
      </c>
      <c r="C250" s="859">
        <v>107.2</v>
      </c>
      <c r="D250" s="859">
        <v>147.80000000000001</v>
      </c>
      <c r="E250" s="859">
        <v>21730.400000000001</v>
      </c>
      <c r="F250" s="859">
        <v>111</v>
      </c>
      <c r="G250" s="859">
        <v>4915.5</v>
      </c>
      <c r="H250" s="859">
        <v>96.8</v>
      </c>
      <c r="I250" s="859">
        <v>26422.400000000001</v>
      </c>
      <c r="J250" s="859">
        <v>119.6</v>
      </c>
      <c r="K250" s="859">
        <v>825.3</v>
      </c>
      <c r="L250" s="859">
        <v>114</v>
      </c>
      <c r="M250" s="859">
        <v>0.73696019999999862</v>
      </c>
      <c r="N250" s="859">
        <v>13.742045688230945</v>
      </c>
      <c r="O250" s="859">
        <v>12.641985300000002</v>
      </c>
    </row>
    <row r="251" spans="1:15" ht="15" customHeight="1">
      <c r="A251" s="864" t="s">
        <v>23</v>
      </c>
      <c r="B251" s="859">
        <v>63389.599999999999</v>
      </c>
      <c r="C251" s="859">
        <v>106.2</v>
      </c>
      <c r="D251" s="859">
        <v>146.4</v>
      </c>
      <c r="E251" s="859">
        <v>27965.8</v>
      </c>
      <c r="F251" s="859">
        <v>109.4</v>
      </c>
      <c r="G251" s="859">
        <v>6299.6</v>
      </c>
      <c r="H251" s="859">
        <v>100.7</v>
      </c>
      <c r="I251" s="859">
        <v>33017.4</v>
      </c>
      <c r="J251" s="859">
        <v>119.6</v>
      </c>
      <c r="K251" s="859">
        <v>827.1</v>
      </c>
      <c r="L251" s="859">
        <v>114.2</v>
      </c>
      <c r="M251" s="859">
        <v>-0.10657299999999736</v>
      </c>
      <c r="N251" s="859">
        <v>14.182776427692417</v>
      </c>
      <c r="O251" s="859">
        <v>12.899620100000007</v>
      </c>
    </row>
    <row r="252" spans="1:15" ht="15" customHeight="1">
      <c r="A252" s="864" t="s">
        <v>24</v>
      </c>
      <c r="B252" s="859">
        <v>74910.100000000006</v>
      </c>
      <c r="C252" s="859">
        <v>106.2</v>
      </c>
      <c r="D252" s="859">
        <v>145.19999999999999</v>
      </c>
      <c r="E252" s="859">
        <v>32909.300000000003</v>
      </c>
      <c r="F252" s="859">
        <v>109.9</v>
      </c>
      <c r="G252" s="859">
        <v>7301.7000000000007</v>
      </c>
      <c r="H252" s="859">
        <v>100.1</v>
      </c>
      <c r="I252" s="859">
        <v>38806.6</v>
      </c>
      <c r="J252" s="859">
        <v>120.1</v>
      </c>
      <c r="K252" s="859">
        <v>831.3</v>
      </c>
      <c r="L252" s="859">
        <v>114.1</v>
      </c>
      <c r="M252" s="859">
        <v>0.47719069999999419</v>
      </c>
      <c r="N252" s="859">
        <v>13.685451579583585</v>
      </c>
      <c r="O252" s="859">
        <v>13.013077999999993</v>
      </c>
    </row>
    <row r="253" spans="1:15" ht="15" customHeight="1">
      <c r="A253" s="864" t="s">
        <v>25</v>
      </c>
      <c r="B253" s="859">
        <v>85691.4</v>
      </c>
      <c r="C253" s="859">
        <v>105.8</v>
      </c>
      <c r="D253" s="859">
        <v>144.30000000000001</v>
      </c>
      <c r="E253" s="859">
        <v>37985.1</v>
      </c>
      <c r="F253" s="859">
        <v>110.2</v>
      </c>
      <c r="G253" s="859">
        <v>9117</v>
      </c>
      <c r="H253" s="859">
        <v>106.9</v>
      </c>
      <c r="I253" s="859">
        <v>44491.199999999997</v>
      </c>
      <c r="J253" s="859">
        <v>120</v>
      </c>
      <c r="K253" s="859">
        <v>829</v>
      </c>
      <c r="L253" s="859">
        <v>114.3</v>
      </c>
      <c r="M253" s="859">
        <v>0.89103889999999808</v>
      </c>
      <c r="N253" s="859">
        <v>14.166678581303501</v>
      </c>
      <c r="O253" s="859">
        <v>13.159212800000006</v>
      </c>
    </row>
    <row r="254" spans="1:15" ht="15" customHeight="1">
      <c r="A254" s="864" t="s">
        <v>26</v>
      </c>
      <c r="B254" s="859">
        <v>98193.8</v>
      </c>
      <c r="C254" s="859">
        <v>105.6</v>
      </c>
      <c r="D254" s="859">
        <v>145.4</v>
      </c>
      <c r="E254" s="859">
        <v>43951.5</v>
      </c>
      <c r="F254" s="859">
        <v>110</v>
      </c>
      <c r="G254" s="859">
        <v>10154.400000000001</v>
      </c>
      <c r="H254" s="859">
        <v>104.6</v>
      </c>
      <c r="I254" s="859">
        <v>50990.6</v>
      </c>
      <c r="J254" s="859">
        <v>120.3</v>
      </c>
      <c r="K254" s="859">
        <v>827.4</v>
      </c>
      <c r="L254" s="859">
        <v>114.4</v>
      </c>
      <c r="M254" s="859">
        <v>3.1123975999999942</v>
      </c>
      <c r="N254" s="859">
        <v>15.620743539942069</v>
      </c>
      <c r="O254" s="859">
        <v>13.440424100000001</v>
      </c>
    </row>
    <row r="255" spans="1:15" ht="15" customHeight="1">
      <c r="A255" s="864" t="s">
        <v>27</v>
      </c>
      <c r="B255" s="859">
        <v>111474.6</v>
      </c>
      <c r="C255" s="859">
        <v>105.2</v>
      </c>
      <c r="D255" s="859">
        <v>145.69999999999999</v>
      </c>
      <c r="E255" s="859">
        <v>49104.9</v>
      </c>
      <c r="F255" s="859">
        <v>109.6</v>
      </c>
      <c r="G255" s="859">
        <v>11774.5</v>
      </c>
      <c r="H255" s="859">
        <v>108.2</v>
      </c>
      <c r="I255" s="859">
        <v>56860.800000000003</v>
      </c>
      <c r="J255" s="859">
        <v>120.4</v>
      </c>
      <c r="K255" s="859">
        <v>827.9</v>
      </c>
      <c r="L255" s="859">
        <v>114.5</v>
      </c>
      <c r="M255" s="859">
        <v>1.5513487000000055</v>
      </c>
      <c r="N255" s="859">
        <v>15.594843922882021</v>
      </c>
      <c r="O255" s="859">
        <v>13.664430699999997</v>
      </c>
    </row>
    <row r="256" spans="1:15" ht="15" customHeight="1">
      <c r="A256" s="864" t="s">
        <v>28</v>
      </c>
      <c r="B256" s="859">
        <v>121984.7</v>
      </c>
      <c r="C256" s="859">
        <v>104.8</v>
      </c>
      <c r="D256" s="859">
        <v>142.9</v>
      </c>
      <c r="E256" s="859">
        <v>54052.2</v>
      </c>
      <c r="F256" s="859">
        <v>109.099999999999</v>
      </c>
      <c r="G256" s="859">
        <v>13053.600000000002</v>
      </c>
      <c r="H256" s="859">
        <v>108.2</v>
      </c>
      <c r="I256" s="859">
        <v>62238.7</v>
      </c>
      <c r="J256" s="859">
        <v>120.5</v>
      </c>
      <c r="K256" s="859">
        <v>829.9</v>
      </c>
      <c r="L256" s="859">
        <v>114.6</v>
      </c>
      <c r="M256" s="859">
        <v>1.0372286000000059</v>
      </c>
      <c r="N256" s="859">
        <v>15.093833126881108</v>
      </c>
      <c r="O256" s="859">
        <v>13.8</v>
      </c>
    </row>
    <row r="257" spans="1:15" ht="15" customHeight="1">
      <c r="A257" s="864" t="s">
        <v>29</v>
      </c>
      <c r="B257" s="859">
        <v>133972.70000000001</v>
      </c>
      <c r="C257" s="859">
        <v>104.7</v>
      </c>
      <c r="D257" s="859">
        <v>137.30000000000001</v>
      </c>
      <c r="E257" s="859">
        <v>61509.1</v>
      </c>
      <c r="F257" s="859">
        <v>109</v>
      </c>
      <c r="G257" s="859">
        <v>17878.165099999998</v>
      </c>
      <c r="H257" s="859">
        <v>103.3</v>
      </c>
      <c r="I257" s="859">
        <v>69163</v>
      </c>
      <c r="J257" s="859">
        <v>120.9</v>
      </c>
      <c r="K257" s="859">
        <v>839.4</v>
      </c>
      <c r="L257" s="859">
        <v>114.7</v>
      </c>
      <c r="M257" s="859">
        <v>0.9582556000000011</v>
      </c>
      <c r="N257" s="859">
        <v>14.382451264983615</v>
      </c>
      <c r="O257" s="859">
        <v>13.852259099999998</v>
      </c>
    </row>
    <row r="258" spans="1:15" ht="15" customHeight="1">
      <c r="A258" s="864" t="s">
        <v>3500</v>
      </c>
      <c r="B258" s="860">
        <v>123128.4</v>
      </c>
      <c r="C258" s="860">
        <v>101.4</v>
      </c>
      <c r="D258" s="860">
        <v>90.6</v>
      </c>
      <c r="E258" s="860">
        <v>69482.8</v>
      </c>
      <c r="F258" s="860">
        <v>104.5</v>
      </c>
      <c r="G258" s="860">
        <v>21310.7055</v>
      </c>
      <c r="H258" s="860">
        <v>115.2</v>
      </c>
      <c r="I258" s="860">
        <v>78124.2</v>
      </c>
      <c r="J258" s="860">
        <v>113</v>
      </c>
      <c r="K258" s="860">
        <v>933.8</v>
      </c>
      <c r="L258" s="860">
        <v>111.2</v>
      </c>
      <c r="M258" s="860">
        <v>0.50078760000000955</v>
      </c>
      <c r="N258" s="860">
        <f>+N270</f>
        <v>2.1499577082974497</v>
      </c>
      <c r="O258" s="860">
        <v>8.7854305000000039</v>
      </c>
    </row>
    <row r="259" spans="1:15" ht="15" customHeight="1">
      <c r="A259" s="864" t="s">
        <v>18</v>
      </c>
      <c r="B259" s="859">
        <v>9727.7000000000007</v>
      </c>
      <c r="C259" s="859">
        <v>98.5</v>
      </c>
      <c r="D259" s="859">
        <v>105.9</v>
      </c>
      <c r="E259" s="859">
        <v>4272.2</v>
      </c>
      <c r="F259" s="859">
        <v>101.7</v>
      </c>
      <c r="G259" s="859">
        <v>1091.7</v>
      </c>
      <c r="H259" s="859">
        <v>161.19999999999999</v>
      </c>
      <c r="I259" s="859">
        <v>5378.4</v>
      </c>
      <c r="J259" s="859">
        <v>115</v>
      </c>
      <c r="K259" s="859">
        <v>856.2</v>
      </c>
      <c r="L259" s="859">
        <v>111.8</v>
      </c>
      <c r="M259" s="859">
        <v>0.98019559999999994</v>
      </c>
      <c r="N259" s="859">
        <v>13.633260348459956</v>
      </c>
      <c r="O259" s="859">
        <v>13.633260399999999</v>
      </c>
    </row>
    <row r="260" spans="1:15" ht="15" customHeight="1">
      <c r="A260" s="864" t="s">
        <v>19</v>
      </c>
      <c r="B260" s="859">
        <v>19724.7</v>
      </c>
      <c r="C260" s="859">
        <v>100.4</v>
      </c>
      <c r="D260" s="859">
        <v>105.3</v>
      </c>
      <c r="E260" s="859">
        <v>9052.2000000000007</v>
      </c>
      <c r="F260" s="859">
        <v>104.599999999999</v>
      </c>
      <c r="G260" s="859">
        <v>2206.9</v>
      </c>
      <c r="H260" s="859">
        <v>160.1</v>
      </c>
      <c r="I260" s="859">
        <v>10688.5</v>
      </c>
      <c r="J260" s="859">
        <v>115.3</v>
      </c>
      <c r="K260" s="859">
        <v>854.5</v>
      </c>
      <c r="L260" s="859">
        <v>111.2</v>
      </c>
      <c r="M260" s="859">
        <v>1.4831996000000061</v>
      </c>
      <c r="N260" s="859">
        <v>14.066350150534277</v>
      </c>
      <c r="O260" s="859">
        <v>13.8509875</v>
      </c>
    </row>
    <row r="261" spans="1:15" ht="15" customHeight="1">
      <c r="A261" s="864" t="s">
        <v>20</v>
      </c>
      <c r="B261" s="859">
        <v>30360.3</v>
      </c>
      <c r="C261" s="859">
        <v>100.4</v>
      </c>
      <c r="D261" s="859">
        <v>101.7</v>
      </c>
      <c r="E261" s="859">
        <v>14498.6</v>
      </c>
      <c r="F261" s="859">
        <v>104.8</v>
      </c>
      <c r="G261" s="859">
        <v>3523.1000000000004</v>
      </c>
      <c r="H261" s="859">
        <v>140.30000000000001</v>
      </c>
      <c r="I261" s="859">
        <v>18482.900000000001</v>
      </c>
      <c r="J261" s="859">
        <v>115.2</v>
      </c>
      <c r="K261" s="859">
        <v>901.3</v>
      </c>
      <c r="L261" s="859">
        <v>111.4</v>
      </c>
      <c r="M261" s="859">
        <v>0.69390169999999785</v>
      </c>
      <c r="N261" s="859">
        <v>13.603324821793962</v>
      </c>
      <c r="O261" s="859">
        <v>13.767526699999999</v>
      </c>
    </row>
    <row r="262" spans="1:15" ht="15" customHeight="1">
      <c r="A262" s="864" t="s">
        <v>21</v>
      </c>
      <c r="B262" s="859">
        <v>39480</v>
      </c>
      <c r="C262" s="859">
        <v>100.1</v>
      </c>
      <c r="D262" s="859">
        <v>100.299999999999</v>
      </c>
      <c r="E262" s="859">
        <v>19170.5</v>
      </c>
      <c r="F262" s="859">
        <v>103.099999999999</v>
      </c>
      <c r="G262" s="859">
        <v>4580</v>
      </c>
      <c r="H262" s="859">
        <v>121.1</v>
      </c>
      <c r="I262" s="859">
        <v>23570.6</v>
      </c>
      <c r="J262" s="859">
        <v>115.1</v>
      </c>
      <c r="K262" s="859">
        <v>913.9</v>
      </c>
      <c r="L262" s="859">
        <v>110.8</v>
      </c>
      <c r="M262" s="859">
        <v>0.30707580000000689</v>
      </c>
      <c r="N262" s="859">
        <v>12.779658295055938</v>
      </c>
      <c r="O262" s="859">
        <v>13.5166</v>
      </c>
    </row>
    <row r="263" spans="1:15" ht="15" customHeight="1">
      <c r="A263" s="864" t="s">
        <v>22</v>
      </c>
      <c r="B263" s="859">
        <v>49384.7</v>
      </c>
      <c r="C263" s="859">
        <v>100.7</v>
      </c>
      <c r="D263" s="859">
        <v>96.4</v>
      </c>
      <c r="E263" s="859">
        <v>24747.1</v>
      </c>
      <c r="F263" s="859">
        <v>104</v>
      </c>
      <c r="G263" s="859">
        <v>5858.2</v>
      </c>
      <c r="H263" s="859">
        <v>115.9</v>
      </c>
      <c r="I263" s="859">
        <v>30297.9</v>
      </c>
      <c r="J263" s="859">
        <v>114.7</v>
      </c>
      <c r="K263" s="859">
        <v>916.8</v>
      </c>
      <c r="L263" s="859">
        <v>111.1</v>
      </c>
      <c r="M263" s="859">
        <v>-0.38304540000000031</v>
      </c>
      <c r="N263" s="859">
        <v>11.525760533938595</v>
      </c>
      <c r="O263" s="859">
        <v>13.110975100000005</v>
      </c>
    </row>
    <row r="264" spans="1:15" ht="15" customHeight="1">
      <c r="A264" s="864" t="s">
        <v>23</v>
      </c>
      <c r="B264" s="859">
        <v>60413</v>
      </c>
      <c r="C264" s="859">
        <v>100.5</v>
      </c>
      <c r="D264" s="859">
        <v>94.7</v>
      </c>
      <c r="E264" s="859">
        <v>31265.4</v>
      </c>
      <c r="F264" s="859">
        <v>103.1</v>
      </c>
      <c r="G264" s="859">
        <v>7148.3</v>
      </c>
      <c r="H264" s="859">
        <v>110.4</v>
      </c>
      <c r="I264" s="859">
        <v>37879.5</v>
      </c>
      <c r="J264" s="859">
        <v>114.7</v>
      </c>
      <c r="K264" s="859">
        <v>921.9</v>
      </c>
      <c r="L264" s="859">
        <v>111.5</v>
      </c>
      <c r="M264" s="859">
        <v>-0.90000890000000311</v>
      </c>
      <c r="N264" s="859">
        <v>10.639931057065908</v>
      </c>
      <c r="O264" s="859">
        <v>12.693097199999997</v>
      </c>
    </row>
    <row r="265" spans="1:15" ht="15" customHeight="1">
      <c r="A265" s="864" t="s">
        <v>24</v>
      </c>
      <c r="B265" s="859">
        <v>70303.8</v>
      </c>
      <c r="C265" s="859">
        <v>100.7</v>
      </c>
      <c r="D265" s="859">
        <v>93.3</v>
      </c>
      <c r="E265" s="859">
        <v>37224.9</v>
      </c>
      <c r="F265" s="859">
        <v>103.4</v>
      </c>
      <c r="G265" s="859">
        <v>9114.9</v>
      </c>
      <c r="H265" s="859">
        <v>120.8</v>
      </c>
      <c r="I265" s="859">
        <v>44559.4</v>
      </c>
      <c r="J265" s="859">
        <v>114.8</v>
      </c>
      <c r="K265" s="859">
        <v>925.3</v>
      </c>
      <c r="L265" s="859">
        <v>111.3</v>
      </c>
      <c r="M265" s="859">
        <v>-0.65338739999999973</v>
      </c>
      <c r="N265" s="859">
        <v>9.3950009175270139</v>
      </c>
      <c r="O265" s="859">
        <v>12.2</v>
      </c>
    </row>
    <row r="266" spans="1:15" ht="15" customHeight="1">
      <c r="A266" s="864" t="s">
        <v>25</v>
      </c>
      <c r="B266" s="859">
        <v>80162.2</v>
      </c>
      <c r="C266" s="859">
        <v>100.8</v>
      </c>
      <c r="D266" s="859">
        <v>92.7</v>
      </c>
      <c r="E266" s="859">
        <v>42591.1</v>
      </c>
      <c r="F266" s="859">
        <v>102.6</v>
      </c>
      <c r="G266" s="859">
        <v>10864.8</v>
      </c>
      <c r="H266" s="859">
        <v>115.4</v>
      </c>
      <c r="I266" s="859">
        <v>50861.1</v>
      </c>
      <c r="J266" s="859">
        <v>114.3</v>
      </c>
      <c r="K266" s="859">
        <v>923</v>
      </c>
      <c r="L266" s="859">
        <v>111.3</v>
      </c>
      <c r="M266" s="859">
        <v>-0.4034168999999963</v>
      </c>
      <c r="N266" s="859">
        <v>7.9914372812257284</v>
      </c>
      <c r="O266" s="859">
        <v>11.7</v>
      </c>
    </row>
    <row r="267" spans="1:15" ht="15" customHeight="1">
      <c r="A267" s="864" t="s">
        <v>26</v>
      </c>
      <c r="B267" s="859">
        <v>91489.4</v>
      </c>
      <c r="C267" s="859">
        <v>100.8</v>
      </c>
      <c r="D267" s="859">
        <v>91.7</v>
      </c>
      <c r="E267" s="859">
        <v>48915.3</v>
      </c>
      <c r="F267" s="859">
        <v>103</v>
      </c>
      <c r="G267" s="859">
        <v>12728.9</v>
      </c>
      <c r="H267" s="859">
        <v>121.3</v>
      </c>
      <c r="I267" s="859">
        <v>58020.1</v>
      </c>
      <c r="J267" s="859">
        <v>113.8</v>
      </c>
      <c r="K267" s="859">
        <v>919.8</v>
      </c>
      <c r="L267" s="859">
        <v>111.2</v>
      </c>
      <c r="M267" s="859">
        <v>0.3</v>
      </c>
      <c r="N267" s="859">
        <v>5.0558398552808654</v>
      </c>
      <c r="O267" s="859">
        <v>10.903757000000001</v>
      </c>
    </row>
    <row r="268" spans="1:15" ht="15" customHeight="1">
      <c r="A268" s="864" t="s">
        <v>27</v>
      </c>
      <c r="B268" s="859">
        <v>101327.7</v>
      </c>
      <c r="C268" s="859">
        <v>100.5</v>
      </c>
      <c r="D268" s="859">
        <v>90.1</v>
      </c>
      <c r="E268" s="859">
        <v>54711.9</v>
      </c>
      <c r="F268" s="859">
        <v>103.1</v>
      </c>
      <c r="G268" s="859">
        <v>14258</v>
      </c>
      <c r="H268" s="859">
        <v>117.1</v>
      </c>
      <c r="I268" s="859">
        <v>64346.6</v>
      </c>
      <c r="J268" s="859">
        <v>113.2</v>
      </c>
      <c r="K268" s="859">
        <v>921.1</v>
      </c>
      <c r="L268" s="859">
        <v>111.3</v>
      </c>
      <c r="M268" s="859">
        <v>0.40862479999999834</v>
      </c>
      <c r="N268" s="859">
        <v>3.873681069858435</v>
      </c>
      <c r="O268" s="859">
        <v>10.160388100000006</v>
      </c>
    </row>
    <row r="269" spans="1:15" ht="15" customHeight="1">
      <c r="A269" s="864" t="s">
        <v>28</v>
      </c>
      <c r="B269" s="859">
        <v>110933.4</v>
      </c>
      <c r="C269" s="859">
        <v>100.8</v>
      </c>
      <c r="D269" s="859">
        <v>89.6</v>
      </c>
      <c r="E269" s="859">
        <v>59870</v>
      </c>
      <c r="F269" s="859">
        <v>103.2</v>
      </c>
      <c r="G269" s="859">
        <v>15725.9</v>
      </c>
      <c r="H269" s="859">
        <v>116.5</v>
      </c>
      <c r="I269" s="859">
        <v>70223.5</v>
      </c>
      <c r="J269" s="859">
        <v>112.8</v>
      </c>
      <c r="K269" s="859">
        <v>923.1</v>
      </c>
      <c r="L269" s="859">
        <v>111.2</v>
      </c>
      <c r="M269" s="859">
        <v>-0.18714760000000297</v>
      </c>
      <c r="N269" s="859">
        <v>2.6149325405235118</v>
      </c>
      <c r="O269" s="859">
        <v>9.4320597999999904</v>
      </c>
    </row>
    <row r="270" spans="1:15" ht="15" customHeight="1">
      <c r="A270" s="864" t="s">
        <v>29</v>
      </c>
      <c r="B270" s="859">
        <v>123128.4</v>
      </c>
      <c r="C270" s="859">
        <v>101.4</v>
      </c>
      <c r="D270" s="859">
        <v>90.6</v>
      </c>
      <c r="E270" s="859">
        <v>69482.8</v>
      </c>
      <c r="F270" s="859">
        <v>104.5</v>
      </c>
      <c r="G270" s="859">
        <v>21310.7055</v>
      </c>
      <c r="H270" s="859">
        <v>115.2</v>
      </c>
      <c r="I270" s="859">
        <v>78124.2</v>
      </c>
      <c r="J270" s="859">
        <v>113</v>
      </c>
      <c r="K270" s="859">
        <v>933.8</v>
      </c>
      <c r="L270" s="859">
        <v>111.2</v>
      </c>
      <c r="M270" s="859">
        <v>0.50078760000000955</v>
      </c>
      <c r="N270" s="859">
        <v>2.1499577082974497</v>
      </c>
      <c r="O270" s="859">
        <v>8.7854305000000039</v>
      </c>
    </row>
    <row r="271" spans="1:15" ht="15" customHeight="1">
      <c r="A271" s="864" t="s">
        <v>3971</v>
      </c>
      <c r="B271" s="860">
        <v>126524.2</v>
      </c>
      <c r="C271" s="860">
        <v>104.2</v>
      </c>
      <c r="D271" s="860">
        <v>98.6</v>
      </c>
      <c r="E271" s="860">
        <v>75734.7</v>
      </c>
      <c r="F271" s="860">
        <v>106.5</v>
      </c>
      <c r="G271" s="860">
        <v>22106.334199999998</v>
      </c>
      <c r="H271" s="860">
        <v>102.4</v>
      </c>
      <c r="I271" s="860">
        <v>83255.399999999994</v>
      </c>
      <c r="J271" s="860">
        <v>106.4</v>
      </c>
      <c r="K271" s="860">
        <v>1009.2</v>
      </c>
      <c r="L271" s="860">
        <v>108.1</v>
      </c>
      <c r="M271" s="860">
        <v>1.0387630999999971</v>
      </c>
      <c r="N271" s="860">
        <v>4.9344123838892529</v>
      </c>
      <c r="O271" s="860">
        <v>2.2105434000000059</v>
      </c>
    </row>
    <row r="272" spans="1:15" ht="15" customHeight="1">
      <c r="A272" s="864" t="s">
        <v>18</v>
      </c>
      <c r="B272" s="859">
        <v>9173.7000000000007</v>
      </c>
      <c r="C272" s="859">
        <v>105</v>
      </c>
      <c r="D272" s="859">
        <v>89.4</v>
      </c>
      <c r="E272" s="859">
        <v>4837.3999999999996</v>
      </c>
      <c r="F272" s="859">
        <v>112.2</v>
      </c>
      <c r="G272" s="859">
        <v>1553</v>
      </c>
      <c r="H272" s="859">
        <v>137.4</v>
      </c>
      <c r="I272" s="859">
        <v>5618.8</v>
      </c>
      <c r="J272" s="859">
        <v>104.5</v>
      </c>
      <c r="K272" s="859">
        <v>942.4</v>
      </c>
      <c r="L272" s="859">
        <v>110.1</v>
      </c>
      <c r="M272" s="859">
        <v>0.52366509999998812</v>
      </c>
      <c r="N272" s="859">
        <v>1.6881387249764117</v>
      </c>
      <c r="O272" s="859">
        <v>1.6881386999999961</v>
      </c>
    </row>
    <row r="273" spans="1:15" ht="15" customHeight="1">
      <c r="A273" s="864" t="s">
        <v>19</v>
      </c>
      <c r="B273" s="859">
        <v>18361</v>
      </c>
      <c r="C273" s="859">
        <v>105</v>
      </c>
      <c r="D273" s="859">
        <v>89.7</v>
      </c>
      <c r="E273" s="859">
        <v>10083.299999999999</v>
      </c>
      <c r="F273" s="859">
        <v>110.1</v>
      </c>
      <c r="G273" s="859">
        <v>2638.1</v>
      </c>
      <c r="H273" s="859">
        <v>115.5</v>
      </c>
      <c r="I273" s="859">
        <v>11190.3</v>
      </c>
      <c r="J273" s="859">
        <v>104.7</v>
      </c>
      <c r="K273" s="859">
        <v>946.8</v>
      </c>
      <c r="L273" s="859">
        <v>110.8</v>
      </c>
      <c r="M273" s="859">
        <v>0.63771800000000667</v>
      </c>
      <c r="N273" s="859">
        <v>0.8409497265107575</v>
      </c>
      <c r="O273" s="859">
        <v>1.2614259000000061</v>
      </c>
    </row>
    <row r="274" spans="1:15" ht="15" customHeight="1">
      <c r="A274" s="864" t="s">
        <v>20</v>
      </c>
      <c r="B274" s="859">
        <v>28940.6</v>
      </c>
      <c r="C274" s="859">
        <v>104</v>
      </c>
      <c r="D274" s="859">
        <v>92.2</v>
      </c>
      <c r="E274" s="859">
        <v>16022.8</v>
      </c>
      <c r="F274" s="859">
        <v>106.7</v>
      </c>
      <c r="G274" s="859">
        <v>3809.2</v>
      </c>
      <c r="H274" s="859">
        <v>104</v>
      </c>
      <c r="I274" s="859">
        <v>19408.099999999999</v>
      </c>
      <c r="J274" s="859">
        <v>105</v>
      </c>
      <c r="K274" s="859">
        <v>985.3</v>
      </c>
      <c r="L274" s="859">
        <v>109.3</v>
      </c>
      <c r="M274" s="859">
        <v>0.2279941999999977</v>
      </c>
      <c r="N274" s="859">
        <v>0.37436183994061878</v>
      </c>
      <c r="O274" s="859">
        <v>0.96292229999998824</v>
      </c>
    </row>
    <row r="275" spans="1:15" ht="15" customHeight="1">
      <c r="A275" s="864" t="s">
        <v>21</v>
      </c>
      <c r="B275" s="859">
        <v>37912.6</v>
      </c>
      <c r="C275" s="859">
        <v>104.3</v>
      </c>
      <c r="D275" s="859">
        <v>92.7</v>
      </c>
      <c r="E275" s="859">
        <v>21010</v>
      </c>
      <c r="F275" s="859">
        <v>107.7</v>
      </c>
      <c r="G275" s="859">
        <v>5230.3999999999996</v>
      </c>
      <c r="H275" s="859">
        <v>111.8</v>
      </c>
      <c r="I275" s="859">
        <v>24579.9</v>
      </c>
      <c r="J275" s="859">
        <v>104.3</v>
      </c>
      <c r="K275" s="859">
        <v>1007.5</v>
      </c>
      <c r="L275" s="859">
        <v>110.2</v>
      </c>
      <c r="M275" s="859">
        <v>-9.9999999999994316E-2</v>
      </c>
      <c r="N275" s="859">
        <v>-3.2987026723091617E-2</v>
      </c>
      <c r="O275" s="859">
        <v>0.70000000000000284</v>
      </c>
    </row>
    <row r="276" spans="1:15" ht="15" customHeight="1">
      <c r="A276" s="864" t="s">
        <v>22</v>
      </c>
      <c r="B276" s="859">
        <v>48168</v>
      </c>
      <c r="C276" s="859">
        <v>104.2</v>
      </c>
      <c r="D276" s="859">
        <v>93.3</v>
      </c>
      <c r="E276" s="859">
        <v>26889.3</v>
      </c>
      <c r="F276" s="859">
        <v>107.2</v>
      </c>
      <c r="G276" s="859">
        <v>6640.9</v>
      </c>
      <c r="H276" s="859">
        <v>111</v>
      </c>
      <c r="I276" s="859">
        <v>31899.3</v>
      </c>
      <c r="J276" s="859">
        <v>105.3</v>
      </c>
      <c r="K276" s="859">
        <v>1003.3</v>
      </c>
      <c r="L276" s="859">
        <v>109.4</v>
      </c>
      <c r="M276" s="859">
        <v>-8.2871100000005526E-2</v>
      </c>
      <c r="N276" s="859">
        <v>0.25853956578119153</v>
      </c>
      <c r="O276" s="859">
        <v>0.61863010000000429</v>
      </c>
    </row>
    <row r="277" spans="1:15" ht="15" customHeight="1">
      <c r="A277" s="864" t="s">
        <v>23</v>
      </c>
      <c r="B277" s="859">
        <v>59965.3</v>
      </c>
      <c r="C277" s="859">
        <v>104.3</v>
      </c>
      <c r="D277" s="859">
        <v>94.4</v>
      </c>
      <c r="E277" s="859">
        <v>33997.599999999999</v>
      </c>
      <c r="F277" s="859">
        <v>106.8</v>
      </c>
      <c r="G277" s="859">
        <v>7984.4</v>
      </c>
      <c r="H277" s="859">
        <v>109.4</v>
      </c>
      <c r="I277" s="859">
        <v>39881.199999999997</v>
      </c>
      <c r="J277" s="859">
        <v>105.3</v>
      </c>
      <c r="K277" s="859">
        <v>1002.8</v>
      </c>
      <c r="L277" s="859">
        <v>108.8</v>
      </c>
      <c r="M277" s="859">
        <v>-8.4068999999999505E-2</v>
      </c>
      <c r="N277" s="859">
        <v>1.0840183760154218</v>
      </c>
      <c r="O277" s="859">
        <v>0.69589799999999968</v>
      </c>
    </row>
    <row r="278" spans="1:15" ht="15" customHeight="1">
      <c r="A278" s="864" t="s">
        <v>24</v>
      </c>
      <c r="B278" s="859">
        <v>70520.2</v>
      </c>
      <c r="C278" s="859">
        <v>104.5</v>
      </c>
      <c r="D278" s="859">
        <v>96</v>
      </c>
      <c r="E278" s="859">
        <v>40081.1</v>
      </c>
      <c r="F278" s="859">
        <v>106.599999999999</v>
      </c>
      <c r="G278" s="859">
        <v>9438.7000000000007</v>
      </c>
      <c r="H278" s="859">
        <v>102</v>
      </c>
      <c r="I278" s="859">
        <v>47138.9</v>
      </c>
      <c r="J278" s="859">
        <v>105.8</v>
      </c>
      <c r="K278" s="859">
        <v>1002.4</v>
      </c>
      <c r="L278" s="859">
        <v>108.3</v>
      </c>
      <c r="M278" s="859">
        <v>0.90000000000000568</v>
      </c>
      <c r="N278" s="859">
        <v>2.6645719185794974</v>
      </c>
      <c r="O278" s="859">
        <v>1</v>
      </c>
    </row>
    <row r="279" spans="1:15" ht="15" customHeight="1">
      <c r="A279" s="864" t="s">
        <v>25</v>
      </c>
      <c r="B279" s="859">
        <v>81286.3</v>
      </c>
      <c r="C279" s="859">
        <v>104.3</v>
      </c>
      <c r="D279" s="859">
        <v>96.8</v>
      </c>
      <c r="E279" s="859">
        <v>46287.7</v>
      </c>
      <c r="F279" s="859">
        <v>106.9</v>
      </c>
      <c r="G279" s="859">
        <v>11216.9</v>
      </c>
      <c r="H279" s="859">
        <v>101.7</v>
      </c>
      <c r="I279" s="859">
        <v>53947.199999999997</v>
      </c>
      <c r="J279" s="859">
        <v>106.1</v>
      </c>
      <c r="K279" s="859">
        <v>997.1</v>
      </c>
      <c r="L279" s="859">
        <v>108</v>
      </c>
      <c r="M279" s="859">
        <v>0.42996990000000324</v>
      </c>
      <c r="N279" s="859">
        <v>3.5236304967105383</v>
      </c>
      <c r="O279" s="859">
        <v>1.2893272999999965</v>
      </c>
    </row>
    <row r="280" spans="1:15" ht="15" customHeight="1">
      <c r="A280" s="864" t="s">
        <v>26</v>
      </c>
      <c r="B280" s="859">
        <v>92655</v>
      </c>
      <c r="C280" s="859">
        <v>104.7</v>
      </c>
      <c r="D280" s="859">
        <v>96.9</v>
      </c>
      <c r="E280" s="859">
        <v>53758.5</v>
      </c>
      <c r="F280" s="859">
        <v>107</v>
      </c>
      <c r="G280" s="859">
        <v>12711.1</v>
      </c>
      <c r="H280" s="859">
        <v>96.1</v>
      </c>
      <c r="I280" s="859">
        <v>61587</v>
      </c>
      <c r="J280" s="859">
        <v>106.1</v>
      </c>
      <c r="K280" s="859">
        <v>993</v>
      </c>
      <c r="L280" s="859">
        <v>108</v>
      </c>
      <c r="M280" s="859">
        <v>0.29681469999999877</v>
      </c>
      <c r="N280" s="859">
        <v>3.510610863293536</v>
      </c>
      <c r="O280" s="859">
        <v>1.5341776000000067</v>
      </c>
    </row>
    <row r="281" spans="1:15" ht="15" customHeight="1">
      <c r="A281" s="864" t="s">
        <v>27</v>
      </c>
      <c r="B281" s="859">
        <v>103345.3</v>
      </c>
      <c r="C281" s="859">
        <v>104.9</v>
      </c>
      <c r="D281" s="859">
        <v>97.4</v>
      </c>
      <c r="E281" s="859">
        <v>60173</v>
      </c>
      <c r="F281" s="859">
        <v>106.7</v>
      </c>
      <c r="G281" s="859">
        <v>14391.1</v>
      </c>
      <c r="H281" s="859">
        <v>95.6</v>
      </c>
      <c r="I281" s="859">
        <v>68169.600000000006</v>
      </c>
      <c r="J281" s="859">
        <v>105.8</v>
      </c>
      <c r="K281" s="859">
        <v>993.2</v>
      </c>
      <c r="L281" s="859">
        <v>107.8</v>
      </c>
      <c r="M281" s="859">
        <v>0.32893629999999519</v>
      </c>
      <c r="N281" s="859">
        <v>3.4284604969259931</v>
      </c>
      <c r="O281" s="859">
        <v>1.722911400000001</v>
      </c>
    </row>
    <row r="282" spans="1:15" ht="15" customHeight="1">
      <c r="A282" s="864" t="s">
        <v>28</v>
      </c>
      <c r="B282" s="859">
        <v>113224.1</v>
      </c>
      <c r="C282" s="859">
        <v>104.1</v>
      </c>
      <c r="D282" s="859">
        <v>98.1</v>
      </c>
      <c r="E282" s="859">
        <v>65868.100000000006</v>
      </c>
      <c r="F282" s="859">
        <v>106.3</v>
      </c>
      <c r="G282" s="859">
        <v>15910.3</v>
      </c>
      <c r="H282" s="859">
        <v>96.2</v>
      </c>
      <c r="I282" s="859">
        <v>74681.7</v>
      </c>
      <c r="J282" s="859">
        <v>106.3</v>
      </c>
      <c r="K282" s="859">
        <v>996.8</v>
      </c>
      <c r="L282" s="859">
        <v>108</v>
      </c>
      <c r="M282" s="859">
        <v>0.72697360000000799</v>
      </c>
      <c r="N282" s="859">
        <v>4.3756947072530465</v>
      </c>
      <c r="O282" s="859">
        <v>1.9628936999999951</v>
      </c>
    </row>
    <row r="283" spans="1:15" ht="15" customHeight="1">
      <c r="A283" s="864" t="s">
        <v>29</v>
      </c>
      <c r="B283" s="859">
        <v>126524.2</v>
      </c>
      <c r="C283" s="859">
        <v>104.2</v>
      </c>
      <c r="D283" s="859">
        <v>98.6</v>
      </c>
      <c r="E283" s="859">
        <v>75734.7</v>
      </c>
      <c r="F283" s="859">
        <v>106.5</v>
      </c>
      <c r="G283" s="859">
        <v>22106.334199999998</v>
      </c>
      <c r="H283" s="859">
        <v>102.4</v>
      </c>
      <c r="I283" s="859">
        <v>83255.399999999994</v>
      </c>
      <c r="J283" s="859">
        <v>106.4</v>
      </c>
      <c r="K283" s="859">
        <v>1009.2</v>
      </c>
      <c r="L283" s="859">
        <v>108.1</v>
      </c>
      <c r="M283" s="859">
        <v>1.0387630999999971</v>
      </c>
      <c r="N283" s="859">
        <v>4.9344123838892529</v>
      </c>
      <c r="O283" s="859">
        <v>2.2105434000000059</v>
      </c>
    </row>
    <row r="284" spans="1:15" ht="15" customHeight="1">
      <c r="A284" s="864" t="s">
        <v>4202</v>
      </c>
      <c r="B284" s="860">
        <v>129094</v>
      </c>
      <c r="C284" s="860">
        <v>101.4</v>
      </c>
      <c r="D284" s="860">
        <v>100.799999999999</v>
      </c>
      <c r="E284" s="860">
        <v>81807.3</v>
      </c>
      <c r="F284" s="860">
        <v>102.7</v>
      </c>
      <c r="G284" s="860">
        <v>21226.1</v>
      </c>
      <c r="H284" s="860">
        <v>94.4</v>
      </c>
      <c r="I284" s="860">
        <v>89916</v>
      </c>
      <c r="J284" s="860">
        <v>108</v>
      </c>
      <c r="K284" s="860">
        <v>1102.9000000000001</v>
      </c>
      <c r="L284" s="860">
        <v>109.3</v>
      </c>
      <c r="M284" s="860">
        <v>0.7525574000000006</v>
      </c>
      <c r="N284" s="860">
        <v>5.1821729381304351</v>
      </c>
      <c r="O284" s="860">
        <v>5.6223638999999963</v>
      </c>
    </row>
    <row r="285" spans="1:15" ht="15" customHeight="1">
      <c r="A285" s="864" t="s">
        <v>18</v>
      </c>
      <c r="B285" s="859">
        <v>9371</v>
      </c>
      <c r="C285" s="859">
        <v>99.1</v>
      </c>
      <c r="D285" s="859">
        <v>103.7</v>
      </c>
      <c r="E285" s="859">
        <v>5250.8</v>
      </c>
      <c r="F285" s="859">
        <v>101</v>
      </c>
      <c r="G285" s="859">
        <v>787</v>
      </c>
      <c r="H285" s="859">
        <v>50</v>
      </c>
      <c r="I285" s="859">
        <v>5967.8</v>
      </c>
      <c r="J285" s="859">
        <v>106.2</v>
      </c>
      <c r="K285" s="859">
        <v>1062.9000000000001</v>
      </c>
      <c r="L285" s="859">
        <v>112.8</v>
      </c>
      <c r="M285" s="859">
        <v>1</v>
      </c>
      <c r="N285" s="859">
        <v>5.4</v>
      </c>
      <c r="O285" s="859">
        <v>5.4</v>
      </c>
    </row>
    <row r="286" spans="1:15" ht="15" customHeight="1">
      <c r="A286" s="864" t="s">
        <v>19</v>
      </c>
      <c r="B286" s="859">
        <v>19191.099999999999</v>
      </c>
      <c r="C286" s="859">
        <v>100.2</v>
      </c>
      <c r="D286" s="859">
        <v>103.7</v>
      </c>
      <c r="E286" s="859">
        <v>10868</v>
      </c>
      <c r="F286" s="859">
        <v>101.7</v>
      </c>
      <c r="G286" s="859">
        <v>2008.9</v>
      </c>
      <c r="H286" s="859">
        <v>75.2</v>
      </c>
      <c r="I286" s="859">
        <v>11907.2</v>
      </c>
      <c r="J286" s="859">
        <v>106.4</v>
      </c>
      <c r="K286" s="859">
        <v>1043.5999999999999</v>
      </c>
      <c r="L286" s="859">
        <v>110.2</v>
      </c>
      <c r="M286" s="859">
        <v>0.70159979999999678</v>
      </c>
      <c r="N286" s="859">
        <v>5.4518591965788232</v>
      </c>
      <c r="O286" s="859">
        <v>5.4170976000000053</v>
      </c>
    </row>
    <row r="287" spans="1:15" ht="15" customHeight="1">
      <c r="A287" s="864" t="s">
        <v>20</v>
      </c>
      <c r="B287" s="859">
        <v>29886.9</v>
      </c>
      <c r="C287" s="859">
        <v>100.3</v>
      </c>
      <c r="D287" s="859">
        <v>103</v>
      </c>
      <c r="E287" s="859">
        <v>17369.900000000001</v>
      </c>
      <c r="F287" s="859">
        <v>102.5</v>
      </c>
      <c r="G287" s="859">
        <v>3467.7</v>
      </c>
      <c r="H287" s="859">
        <v>89.9</v>
      </c>
      <c r="I287" s="859">
        <v>20891.7</v>
      </c>
      <c r="J287" s="859">
        <v>106.6</v>
      </c>
      <c r="K287" s="859">
        <v>1083.8</v>
      </c>
      <c r="L287" s="859">
        <v>110</v>
      </c>
      <c r="M287" s="859">
        <v>0.63890920000000051</v>
      </c>
      <c r="N287" s="859">
        <v>5.8841910123317689</v>
      </c>
      <c r="O287" s="859">
        <v>5.5728844000000066</v>
      </c>
    </row>
    <row r="288" spans="1:15" ht="15" customHeight="1">
      <c r="A288" s="864" t="s">
        <v>21</v>
      </c>
      <c r="B288" s="859">
        <v>38971.599999999999</v>
      </c>
      <c r="C288" s="859">
        <v>100.9</v>
      </c>
      <c r="D288" s="859">
        <v>102.8</v>
      </c>
      <c r="E288" s="859">
        <v>22970.3</v>
      </c>
      <c r="F288" s="859">
        <v>103.3</v>
      </c>
      <c r="G288" s="859">
        <v>5069.3</v>
      </c>
      <c r="H288" s="859">
        <v>95.4</v>
      </c>
      <c r="I288" s="859">
        <v>26370.2</v>
      </c>
      <c r="J288" s="859">
        <v>106.9</v>
      </c>
      <c r="K288" s="859">
        <v>1100.5999999999999</v>
      </c>
      <c r="L288" s="859">
        <v>109.2</v>
      </c>
      <c r="M288" s="859">
        <v>0.31185290000000521</v>
      </c>
      <c r="N288" s="859">
        <v>6.3310038483046043</v>
      </c>
      <c r="O288" s="859">
        <v>5.7624157999999994</v>
      </c>
    </row>
    <row r="289" spans="1:15" ht="15" customHeight="1">
      <c r="A289" s="864" t="s">
        <v>22</v>
      </c>
      <c r="B289" s="859">
        <v>49579.9</v>
      </c>
      <c r="C289" s="859">
        <v>101.5</v>
      </c>
      <c r="D289" s="859">
        <v>102.5</v>
      </c>
      <c r="E289" s="859">
        <v>29688.3</v>
      </c>
      <c r="F289" s="859">
        <v>103.9</v>
      </c>
      <c r="G289" s="859">
        <v>6694.6</v>
      </c>
      <c r="H289" s="859">
        <v>99.2</v>
      </c>
      <c r="I289" s="859">
        <v>34206.300000000003</v>
      </c>
      <c r="J289" s="859">
        <v>106.9</v>
      </c>
      <c r="K289" s="859">
        <v>1095</v>
      </c>
      <c r="L289" s="859">
        <v>109.1</v>
      </c>
      <c r="M289" s="859">
        <v>-7.3078199999997651E-2</v>
      </c>
      <c r="N289" s="859">
        <v>6.3414253736131059</v>
      </c>
      <c r="O289" s="859">
        <v>5.8780301000000037</v>
      </c>
    </row>
    <row r="290" spans="1:15" ht="15" customHeight="1">
      <c r="A290" s="864" t="s">
        <v>23</v>
      </c>
      <c r="B290" s="859">
        <v>61924.5</v>
      </c>
      <c r="C290" s="859">
        <v>101.5</v>
      </c>
      <c r="D290" s="859">
        <v>102</v>
      </c>
      <c r="E290" s="859">
        <v>37673.300000000003</v>
      </c>
      <c r="F290" s="859">
        <v>103.8</v>
      </c>
      <c r="G290" s="859">
        <v>8073.5</v>
      </c>
      <c r="H290" s="859">
        <v>99.5</v>
      </c>
      <c r="I290" s="859">
        <v>42747.8</v>
      </c>
      <c r="J290" s="859">
        <v>107.2</v>
      </c>
      <c r="K290" s="859">
        <v>1097.3</v>
      </c>
      <c r="L290" s="859">
        <v>109.4</v>
      </c>
      <c r="M290" s="859">
        <v>-0.42626300000000583</v>
      </c>
      <c r="N290" s="859">
        <v>5.9772252170404983</v>
      </c>
      <c r="O290" s="859">
        <v>5.8943249000000009</v>
      </c>
    </row>
    <row r="291" spans="1:15" ht="15" customHeight="1">
      <c r="A291" s="864" t="s">
        <v>24</v>
      </c>
      <c r="B291" s="859">
        <v>72429.899999999994</v>
      </c>
      <c r="C291" s="859">
        <v>100.9</v>
      </c>
      <c r="D291" s="859">
        <v>101.8</v>
      </c>
      <c r="E291" s="859">
        <v>44049.8</v>
      </c>
      <c r="F291" s="859">
        <v>103.1</v>
      </c>
      <c r="G291" s="859">
        <v>9911.7999999999993</v>
      </c>
      <c r="H291" s="859">
        <v>103.4</v>
      </c>
      <c r="I291" s="859">
        <v>50514.1</v>
      </c>
      <c r="J291" s="859">
        <v>107.2</v>
      </c>
      <c r="K291" s="859">
        <v>1098.0999999999999</v>
      </c>
      <c r="L291" s="859">
        <v>109.5</v>
      </c>
      <c r="M291" s="859">
        <v>-7.0713299999994206E-2</v>
      </c>
      <c r="N291" s="859">
        <v>4.9576662277909946</v>
      </c>
      <c r="O291" s="859">
        <v>5.759485699999999</v>
      </c>
    </row>
    <row r="292" spans="1:15" ht="15" customHeight="1">
      <c r="A292" s="864" t="s">
        <v>25</v>
      </c>
      <c r="B292" s="859">
        <v>83037.8</v>
      </c>
      <c r="C292" s="859">
        <v>101</v>
      </c>
      <c r="D292" s="859">
        <v>101.1</v>
      </c>
      <c r="E292" s="859">
        <v>50714.6</v>
      </c>
      <c r="F292" s="859">
        <v>102.6</v>
      </c>
      <c r="G292" s="859">
        <v>11374.5</v>
      </c>
      <c r="H292" s="859">
        <v>99.8</v>
      </c>
      <c r="I292" s="859">
        <v>57939.3</v>
      </c>
      <c r="J292" s="859">
        <v>107.4</v>
      </c>
      <c r="K292" s="859">
        <v>1093.8</v>
      </c>
      <c r="L292" s="859">
        <v>109.7</v>
      </c>
      <c r="M292" s="859">
        <v>0.36571709999999769</v>
      </c>
      <c r="N292" s="859">
        <v>4.8905167111346088</v>
      </c>
      <c r="O292" s="859">
        <v>5.6497222999999934</v>
      </c>
    </row>
    <row r="293" spans="1:15" ht="15" customHeight="1">
      <c r="A293" s="864" t="s">
        <v>26</v>
      </c>
      <c r="B293" s="859">
        <v>95229.2</v>
      </c>
      <c r="C293" s="859">
        <v>101.3</v>
      </c>
      <c r="D293" s="859">
        <v>101.4</v>
      </c>
      <c r="E293" s="859">
        <v>58985.1</v>
      </c>
      <c r="F293" s="859">
        <v>102.8</v>
      </c>
      <c r="G293" s="859">
        <v>13048.1</v>
      </c>
      <c r="H293" s="859">
        <v>101</v>
      </c>
      <c r="I293" s="859">
        <v>66267.3</v>
      </c>
      <c r="J293" s="859">
        <v>107.6</v>
      </c>
      <c r="K293" s="859">
        <v>1087.7</v>
      </c>
      <c r="L293" s="859">
        <v>109.5</v>
      </c>
      <c r="M293" s="859">
        <v>1.0720211999999947</v>
      </c>
      <c r="N293" s="859">
        <v>5.7012285027906415</v>
      </c>
      <c r="O293" s="859">
        <v>5.6555139000000025</v>
      </c>
    </row>
    <row r="294" spans="1:15" ht="15" customHeight="1">
      <c r="A294" s="864" t="s">
        <v>27</v>
      </c>
      <c r="B294" s="859">
        <v>106435.4</v>
      </c>
      <c r="C294" s="859">
        <v>101.3</v>
      </c>
      <c r="D294" s="859">
        <v>101.599999999999</v>
      </c>
      <c r="E294" s="859">
        <v>65916.2</v>
      </c>
      <c r="F294" s="859">
        <v>103</v>
      </c>
      <c r="G294" s="859">
        <v>14830</v>
      </c>
      <c r="H294" s="859">
        <v>101.3</v>
      </c>
      <c r="I294" s="859">
        <v>73705.899999999994</v>
      </c>
      <c r="J294" s="859">
        <v>108.1</v>
      </c>
      <c r="K294" s="859">
        <v>1086.3</v>
      </c>
      <c r="L294" s="859">
        <v>109.4</v>
      </c>
      <c r="M294" s="859">
        <v>0.5</v>
      </c>
      <c r="N294" s="859">
        <v>5.8814521143334133</v>
      </c>
      <c r="O294" s="859">
        <v>5.6801532191362583</v>
      </c>
    </row>
    <row r="295" spans="1:15" ht="15" customHeight="1">
      <c r="A295" s="864" t="s">
        <v>28</v>
      </c>
      <c r="B295" s="859">
        <v>116320.1</v>
      </c>
      <c r="C295" s="859">
        <v>101.6</v>
      </c>
      <c r="D295" s="859">
        <v>101.099999999999</v>
      </c>
      <c r="E295" s="859">
        <v>72469.899999999994</v>
      </c>
      <c r="F295" s="859">
        <v>103.2</v>
      </c>
      <c r="G295" s="859">
        <v>16658.900000000001</v>
      </c>
      <c r="H295" s="859">
        <v>103</v>
      </c>
      <c r="I295" s="859">
        <v>80747.199999999997</v>
      </c>
      <c r="J295" s="859">
        <v>108.1</v>
      </c>
      <c r="K295" s="859">
        <v>1089.2</v>
      </c>
      <c r="L295" s="859">
        <v>109.3</v>
      </c>
      <c r="M295" s="859">
        <v>0.30136770000000013</v>
      </c>
      <c r="N295" s="859">
        <v>5.480961755110684</v>
      </c>
      <c r="O295" s="859">
        <v>5.6644557999999989</v>
      </c>
    </row>
    <row r="296" spans="1:15" ht="15" customHeight="1">
      <c r="A296" s="864" t="s">
        <v>29</v>
      </c>
      <c r="B296" s="859">
        <v>129094</v>
      </c>
      <c r="C296" s="859">
        <v>101.4</v>
      </c>
      <c r="D296" s="859">
        <v>100.799999999999</v>
      </c>
      <c r="E296" s="859">
        <v>81807.3</v>
      </c>
      <c r="F296" s="859">
        <v>102.7</v>
      </c>
      <c r="G296" s="859">
        <v>21226.1</v>
      </c>
      <c r="H296" s="859">
        <v>94.4</v>
      </c>
      <c r="I296" s="859">
        <v>89916</v>
      </c>
      <c r="J296" s="859">
        <v>108</v>
      </c>
      <c r="K296" s="859">
        <v>1102.9000000000001</v>
      </c>
      <c r="L296" s="859">
        <v>109.3</v>
      </c>
      <c r="M296" s="859">
        <v>0.7525574000000006</v>
      </c>
      <c r="N296" s="859">
        <v>5.1821729381304351</v>
      </c>
      <c r="O296" s="859">
        <v>5.6223638999999963</v>
      </c>
    </row>
    <row r="297" spans="1:15" ht="15" customHeight="1">
      <c r="A297" s="864" t="s">
        <v>4465</v>
      </c>
      <c r="B297" s="859"/>
      <c r="C297" s="859"/>
      <c r="D297" s="859"/>
      <c r="E297" s="859"/>
      <c r="F297" s="859"/>
      <c r="G297" s="859"/>
      <c r="H297" s="859"/>
      <c r="I297" s="859"/>
      <c r="J297" s="859"/>
      <c r="K297" s="859"/>
      <c r="L297" s="859"/>
      <c r="M297" s="859"/>
      <c r="N297" s="859"/>
      <c r="O297" s="859"/>
    </row>
    <row r="298" spans="1:15" ht="15" customHeight="1">
      <c r="A298" s="864" t="s">
        <v>18</v>
      </c>
      <c r="B298" s="859">
        <v>9078.7000000000007</v>
      </c>
      <c r="C298" s="859">
        <v>101.7</v>
      </c>
      <c r="D298" s="859">
        <v>95.3</v>
      </c>
      <c r="E298" s="859">
        <v>5596.4</v>
      </c>
      <c r="F298" s="859">
        <v>102.3</v>
      </c>
      <c r="G298" s="859">
        <v>1405.9</v>
      </c>
      <c r="H298" s="859">
        <v>175.6</v>
      </c>
      <c r="I298" s="859">
        <v>6478.2</v>
      </c>
      <c r="J298" s="859">
        <v>108.6</v>
      </c>
      <c r="K298" s="859">
        <v>1103.8</v>
      </c>
      <c r="L298" s="859">
        <v>103.8</v>
      </c>
      <c r="M298" s="859">
        <v>1.4976220000000069</v>
      </c>
      <c r="N298" s="859">
        <v>5.7472238067570913</v>
      </c>
      <c r="O298" s="859">
        <v>5.7472238067570913</v>
      </c>
    </row>
    <row r="299" spans="1:15" ht="15" customHeight="1">
      <c r="A299" s="864" t="s">
        <v>19</v>
      </c>
      <c r="B299" s="859">
        <v>18473.099999999999</v>
      </c>
      <c r="C299" s="859">
        <v>100.3</v>
      </c>
      <c r="D299" s="859">
        <v>95.9</v>
      </c>
      <c r="E299" s="859">
        <v>11404.1</v>
      </c>
      <c r="F299" s="859">
        <v>101.4</v>
      </c>
      <c r="G299" s="859">
        <v>2436.4</v>
      </c>
      <c r="H299" s="859">
        <v>119.4</v>
      </c>
      <c r="I299" s="859">
        <v>12573.8</v>
      </c>
      <c r="J299" s="859">
        <v>105.6</v>
      </c>
      <c r="K299" s="859">
        <v>1099.0999999999999</v>
      </c>
      <c r="L299" s="859">
        <v>105.3</v>
      </c>
      <c r="M299" s="859">
        <v>0.63617139999999495</v>
      </c>
      <c r="N299" s="859">
        <v>5.6785171360402558</v>
      </c>
      <c r="O299" s="859">
        <v>5.7079913999999974</v>
      </c>
    </row>
    <row r="300" spans="1:15" ht="15" customHeight="1">
      <c r="A300" s="864" t="s">
        <v>20</v>
      </c>
      <c r="B300" s="859">
        <v>29703.200000000001</v>
      </c>
      <c r="C300" s="859">
        <v>99.7</v>
      </c>
      <c r="D300" s="859">
        <v>99.7</v>
      </c>
      <c r="E300" s="859">
        <v>18169.400000000001</v>
      </c>
      <c r="F300" s="859">
        <v>100.2</v>
      </c>
      <c r="G300" s="859">
        <v>4049.8</v>
      </c>
      <c r="H300" s="859">
        <v>114.9</v>
      </c>
      <c r="I300" s="859">
        <v>22359.1</v>
      </c>
      <c r="J300" s="859">
        <v>107</v>
      </c>
      <c r="K300" s="859">
        <v>1151.5</v>
      </c>
      <c r="L300" s="859">
        <v>106.2</v>
      </c>
      <c r="M300" s="859">
        <v>0.52758649999999818</v>
      </c>
      <c r="N300" s="859">
        <v>5.5616198251184983</v>
      </c>
      <c r="O300" s="859">
        <v>5.657285200000004</v>
      </c>
    </row>
    <row r="301" spans="1:15" ht="15" customHeight="1">
      <c r="A301" s="864" t="s">
        <v>21</v>
      </c>
      <c r="B301" s="859">
        <v>39875.1</v>
      </c>
      <c r="C301" s="859">
        <v>100.2</v>
      </c>
      <c r="D301" s="859">
        <v>102.1</v>
      </c>
      <c r="E301" s="859">
        <v>24224.5</v>
      </c>
      <c r="F301" s="859">
        <v>100.7</v>
      </c>
      <c r="G301" s="859">
        <v>5275</v>
      </c>
      <c r="H301" s="859">
        <v>102.6</v>
      </c>
      <c r="I301" s="859">
        <v>28702.400000000001</v>
      </c>
      <c r="J301" s="859">
        <v>108.8</v>
      </c>
      <c r="K301" s="859">
        <v>1172.0999999999999</v>
      </c>
      <c r="L301" s="859">
        <v>106.5</v>
      </c>
      <c r="M301" s="859">
        <v>0.26520949999999743</v>
      </c>
      <c r="N301" s="859">
        <v>5.5125353678404423</v>
      </c>
      <c r="O301" s="859">
        <v>5.6196383999999995</v>
      </c>
    </row>
    <row r="302" spans="1:15" ht="15" customHeight="1">
      <c r="A302" s="864" t="s">
        <v>22</v>
      </c>
      <c r="B302" s="859">
        <v>51783.8</v>
      </c>
      <c r="C302" s="859">
        <v>100</v>
      </c>
      <c r="D302" s="859">
        <v>104.5</v>
      </c>
      <c r="E302" s="859">
        <v>31454.400000000001</v>
      </c>
      <c r="F302" s="859">
        <v>100.4</v>
      </c>
      <c r="G302" s="859">
        <v>6650.1</v>
      </c>
      <c r="H302" s="859">
        <v>97.9</v>
      </c>
      <c r="I302" s="859">
        <v>37699.800000000003</v>
      </c>
      <c r="J302" s="859">
        <v>110.2</v>
      </c>
      <c r="K302" s="859">
        <v>1175</v>
      </c>
      <c r="L302" s="859">
        <v>107.3</v>
      </c>
      <c r="M302" s="859">
        <v>5.1286300000001006E-2</v>
      </c>
      <c r="N302" s="859">
        <v>5.6438514683305243</v>
      </c>
      <c r="O302" s="859">
        <v>5.6235501999999968</v>
      </c>
    </row>
    <row r="303" spans="1:15" ht="15" customHeight="1">
      <c r="A303" s="1695" t="s">
        <v>23</v>
      </c>
      <c r="B303" s="1696">
        <v>65207</v>
      </c>
      <c r="C303" s="1696">
        <v>100.8</v>
      </c>
      <c r="D303" s="1169">
        <v>104.4</v>
      </c>
      <c r="E303" s="1696">
        <v>40309.599999999999</v>
      </c>
      <c r="F303" s="1696">
        <v>101.5</v>
      </c>
      <c r="G303" s="1696">
        <v>9295.2000000000007</v>
      </c>
      <c r="H303" s="1696">
        <v>113.8</v>
      </c>
      <c r="I303" s="1696">
        <v>47309</v>
      </c>
      <c r="J303" s="1696">
        <v>110.3</v>
      </c>
      <c r="K303" s="1696" t="s">
        <v>93</v>
      </c>
      <c r="L303" s="1696" t="s">
        <v>93</v>
      </c>
      <c r="M303" s="1696">
        <v>-0.29999999999999716</v>
      </c>
      <c r="N303" s="1696">
        <v>5.7778115869303406</v>
      </c>
      <c r="O303" s="1696">
        <v>5.6535931985028611</v>
      </c>
    </row>
    <row r="304" spans="1:15" s="1697" customFormat="1" ht="11.25" customHeight="1">
      <c r="A304" s="2029" t="s">
        <v>2796</v>
      </c>
      <c r="B304" s="2029"/>
      <c r="C304" s="2029"/>
      <c r="D304" s="2029"/>
      <c r="E304" s="2029"/>
      <c r="F304" s="2029"/>
      <c r="G304" s="2029"/>
      <c r="H304" s="2029"/>
      <c r="I304" s="2029"/>
      <c r="J304" s="2029"/>
      <c r="K304" s="2029"/>
      <c r="L304" s="2029"/>
      <c r="M304" s="2029"/>
      <c r="N304" s="2029"/>
      <c r="O304" s="2029"/>
    </row>
    <row r="305" spans="1:15" s="1697" customFormat="1" ht="11.25" customHeight="1">
      <c r="A305" s="2030" t="s">
        <v>2795</v>
      </c>
      <c r="B305" s="2030"/>
      <c r="C305" s="2030"/>
      <c r="D305" s="2030"/>
      <c r="E305" s="2030"/>
      <c r="F305" s="2030"/>
      <c r="G305" s="2030"/>
      <c r="H305" s="2030"/>
      <c r="I305" s="2030"/>
      <c r="J305" s="2030"/>
      <c r="K305" s="2030"/>
      <c r="L305" s="2030"/>
      <c r="M305" s="2030"/>
      <c r="N305" s="2030"/>
      <c r="O305" s="2030"/>
    </row>
    <row r="306" spans="1:15">
      <c r="C306" s="1698"/>
      <c r="D306" s="1698"/>
      <c r="E306" s="1698"/>
      <c r="F306" s="1698"/>
      <c r="G306" s="1698"/>
      <c r="H306" s="1698"/>
      <c r="I306" s="1698"/>
      <c r="J306" s="1698"/>
      <c r="K306" s="1698"/>
      <c r="L306" s="1698"/>
      <c r="M306" s="1698"/>
      <c r="N306" s="1698"/>
      <c r="O306" s="1698"/>
    </row>
    <row r="307" spans="1:15">
      <c r="D307" s="1699"/>
    </row>
    <row r="308" spans="1:15" ht="15.75" customHeight="1">
      <c r="E308" s="459"/>
      <c r="F308" s="459"/>
    </row>
  </sheetData>
  <mergeCells count="38">
    <mergeCell ref="A1:O1"/>
    <mergeCell ref="A2:O2"/>
    <mergeCell ref="A3:O3"/>
    <mergeCell ref="A5:O5"/>
    <mergeCell ref="A6:A8"/>
    <mergeCell ref="B6:C6"/>
    <mergeCell ref="D6:D8"/>
    <mergeCell ref="E6:F6"/>
    <mergeCell ref="G6:H6"/>
    <mergeCell ref="I6:J6"/>
    <mergeCell ref="G9:H9"/>
    <mergeCell ref="I9:J9"/>
    <mergeCell ref="K6:L6"/>
    <mergeCell ref="M6:O6"/>
    <mergeCell ref="C7:C8"/>
    <mergeCell ref="F7:F8"/>
    <mergeCell ref="H7:H8"/>
    <mergeCell ref="J7:J8"/>
    <mergeCell ref="L7:L8"/>
    <mergeCell ref="M7:M8"/>
    <mergeCell ref="N7:N8"/>
    <mergeCell ref="O7:O8"/>
    <mergeCell ref="A304:O304"/>
    <mergeCell ref="A305:O305"/>
    <mergeCell ref="K9:L9"/>
    <mergeCell ref="M9:O9"/>
    <mergeCell ref="C10:C11"/>
    <mergeCell ref="F10:F11"/>
    <mergeCell ref="H10:H11"/>
    <mergeCell ref="J10:J11"/>
    <mergeCell ref="L10:L11"/>
    <mergeCell ref="M10:M11"/>
    <mergeCell ref="N10:N11"/>
    <mergeCell ref="O10:O11"/>
    <mergeCell ref="A9:A11"/>
    <mergeCell ref="B9:C9"/>
    <mergeCell ref="D9:D11"/>
    <mergeCell ref="E9:F9"/>
  </mergeCells>
  <pageMargins left="0.7" right="0.7" top="0.31" bottom="0.75" header="0.3" footer="0.3"/>
  <pageSetup paperSize="9" scale="2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7">
    <tabColor rgb="FF92D050"/>
  </sheetPr>
  <dimension ref="A1:CD303"/>
  <sheetViews>
    <sheetView showGridLines="0" view="pageBreakPreview" zoomScaleSheetLayoutView="100" workbookViewId="0">
      <pane ySplit="9" topLeftCell="A220" activePane="bottomLeft" state="frozen"/>
      <selection activeCell="F40" sqref="F40"/>
      <selection pane="bottomLeft" activeCell="N231" sqref="N231"/>
    </sheetView>
  </sheetViews>
  <sheetFormatPr defaultColWidth="8.85546875" defaultRowHeight="15"/>
  <cols>
    <col min="1" max="1" width="8.42578125" style="78" customWidth="1"/>
    <col min="2" max="4" width="18.42578125" style="78" customWidth="1"/>
    <col min="5" max="6" width="15.140625" style="78" customWidth="1"/>
    <col min="7" max="8" width="13" style="78" customWidth="1"/>
    <col min="9" max="9" width="19.140625" style="78" customWidth="1"/>
    <col min="10" max="79" width="8.85546875" style="78"/>
    <col min="80" max="80" width="0" style="78" hidden="1" customWidth="1"/>
    <col min="81" max="16384" width="8.85546875" style="78"/>
  </cols>
  <sheetData>
    <row r="1" spans="1:82" ht="7.5" customHeight="1"/>
    <row r="2" spans="1:82" customFormat="1" ht="21" customHeight="1">
      <c r="A2" s="2357" t="s">
        <v>2722</v>
      </c>
      <c r="B2" s="2357"/>
      <c r="C2" s="2357"/>
      <c r="D2" s="2357"/>
      <c r="E2" s="2357"/>
      <c r="F2" s="2357"/>
      <c r="G2" s="2357"/>
      <c r="H2" s="2357"/>
      <c r="I2" s="2357"/>
    </row>
    <row r="3" spans="1:82" customFormat="1" ht="29.25" customHeight="1">
      <c r="A3" s="2358" t="s">
        <v>2723</v>
      </c>
      <c r="B3" s="2358"/>
      <c r="C3" s="2358"/>
      <c r="D3" s="2358"/>
      <c r="E3" s="2358"/>
      <c r="F3" s="2358"/>
      <c r="G3" s="2358"/>
      <c r="H3" s="2358"/>
      <c r="I3" s="2358"/>
    </row>
    <row r="4" spans="1:82" ht="14.25" customHeight="1">
      <c r="A4" s="495"/>
      <c r="B4" s="495"/>
      <c r="C4" s="495"/>
      <c r="D4" s="495"/>
      <c r="E4" s="495"/>
      <c r="F4" s="495"/>
      <c r="G4" s="495"/>
      <c r="H4" s="495"/>
      <c r="I4" s="495"/>
    </row>
    <row r="5" spans="1:82" ht="14.25" customHeight="1">
      <c r="A5" s="471"/>
      <c r="B5" s="471"/>
      <c r="C5" s="471"/>
      <c r="D5" s="471"/>
      <c r="E5" s="471"/>
      <c r="F5" s="471"/>
      <c r="G5" s="471"/>
      <c r="H5" s="471"/>
      <c r="I5" s="471"/>
    </row>
    <row r="6" spans="1:82" ht="20.25" customHeight="1">
      <c r="A6" s="2355" t="s">
        <v>2756</v>
      </c>
      <c r="B6" s="2356"/>
      <c r="C6" s="2356"/>
      <c r="D6" s="2356"/>
      <c r="E6" s="2356"/>
      <c r="F6" s="2356" t="s">
        <v>2048</v>
      </c>
      <c r="G6" s="2356"/>
      <c r="H6" s="2356"/>
      <c r="I6" s="2356"/>
    </row>
    <row r="7" spans="1:82" s="77" customFormat="1" ht="72.75" customHeight="1">
      <c r="A7" s="1171" t="s">
        <v>182</v>
      </c>
      <c r="B7" s="1171" t="s">
        <v>2642</v>
      </c>
      <c r="C7" s="1171" t="s">
        <v>997</v>
      </c>
      <c r="D7" s="1171" t="s">
        <v>2643</v>
      </c>
      <c r="E7" s="1171" t="s">
        <v>2644</v>
      </c>
      <c r="F7" s="1171" t="s">
        <v>2645</v>
      </c>
      <c r="G7" s="1171" t="s">
        <v>998</v>
      </c>
      <c r="H7" s="1171" t="s">
        <v>999</v>
      </c>
      <c r="I7" s="1171" t="s">
        <v>1000</v>
      </c>
      <c r="CC7" s="41" t="s">
        <v>2049</v>
      </c>
      <c r="CD7" s="299" t="s">
        <v>2050</v>
      </c>
    </row>
    <row r="8" spans="1:82" s="110" customFormat="1" ht="20.25" customHeight="1">
      <c r="A8" s="2359" t="s">
        <v>2757</v>
      </c>
      <c r="B8" s="2360"/>
      <c r="C8" s="2360"/>
      <c r="D8" s="2360"/>
      <c r="E8" s="2360"/>
      <c r="F8" s="2360" t="s">
        <v>1157</v>
      </c>
      <c r="G8" s="2360"/>
      <c r="H8" s="2360"/>
      <c r="I8" s="2360"/>
      <c r="BY8" s="110">
        <f>BY10+BY22+BY32+BY40</f>
        <v>0</v>
      </c>
      <c r="CC8" s="110">
        <f>CC10+CC22+CC32+CC40</f>
        <v>622</v>
      </c>
      <c r="CD8" s="300">
        <f>BY8+BZ8+CA8+CC8</f>
        <v>622</v>
      </c>
    </row>
    <row r="9" spans="1:82" s="110" customFormat="1" ht="56.25" customHeight="1">
      <c r="A9" s="518" t="s">
        <v>283</v>
      </c>
      <c r="B9" s="518" t="s">
        <v>2648</v>
      </c>
      <c r="C9" s="518" t="s">
        <v>2649</v>
      </c>
      <c r="D9" s="518" t="s">
        <v>2647</v>
      </c>
      <c r="E9" s="518" t="s">
        <v>2650</v>
      </c>
      <c r="F9" s="518" t="s">
        <v>2646</v>
      </c>
      <c r="G9" s="518" t="s">
        <v>1158</v>
      </c>
      <c r="H9" s="518" t="s">
        <v>1159</v>
      </c>
      <c r="I9" s="518" t="s">
        <v>1160</v>
      </c>
      <c r="CD9" s="300"/>
    </row>
    <row r="10" spans="1:82">
      <c r="A10" s="79">
        <v>2005</v>
      </c>
      <c r="B10" s="259">
        <v>6</v>
      </c>
      <c r="C10" s="259">
        <v>0</v>
      </c>
      <c r="D10" s="259">
        <v>0</v>
      </c>
      <c r="E10" s="259">
        <v>0</v>
      </c>
      <c r="F10" s="259">
        <v>0</v>
      </c>
      <c r="G10" s="259">
        <v>0</v>
      </c>
      <c r="H10" s="259">
        <v>0</v>
      </c>
      <c r="I10" s="259">
        <v>0</v>
      </c>
      <c r="CC10" s="78">
        <f>CC12+CC17</f>
        <v>1713</v>
      </c>
      <c r="CD10" s="228">
        <f>BY10+BZ10+CA10+CC10</f>
        <v>1713</v>
      </c>
    </row>
    <row r="11" spans="1:82">
      <c r="A11" s="80">
        <v>2006</v>
      </c>
      <c r="B11" s="260">
        <v>20</v>
      </c>
      <c r="C11" s="260">
        <v>5.6</v>
      </c>
      <c r="D11" s="260">
        <v>1.28</v>
      </c>
      <c r="E11" s="260">
        <v>0</v>
      </c>
      <c r="F11" s="260">
        <v>0</v>
      </c>
      <c r="G11" s="260">
        <v>0</v>
      </c>
      <c r="H11" s="260">
        <v>0</v>
      </c>
      <c r="I11" s="260">
        <v>0</v>
      </c>
      <c r="CD11" s="228"/>
    </row>
    <row r="12" spans="1:82">
      <c r="A12" s="80">
        <v>2007</v>
      </c>
      <c r="B12" s="260">
        <v>20</v>
      </c>
      <c r="C12" s="260">
        <v>70.2</v>
      </c>
      <c r="D12" s="260">
        <v>45.36</v>
      </c>
      <c r="E12" s="260">
        <v>0</v>
      </c>
      <c r="F12" s="260">
        <v>0</v>
      </c>
      <c r="G12" s="260">
        <v>0</v>
      </c>
      <c r="H12" s="260">
        <v>0</v>
      </c>
      <c r="I12" s="260">
        <v>0</v>
      </c>
      <c r="CC12" s="78">
        <f>CC14+CC15</f>
        <v>4361</v>
      </c>
      <c r="CD12" s="228">
        <f>BY12+BZ12+CA12+CC12</f>
        <v>4361</v>
      </c>
    </row>
    <row r="13" spans="1:82">
      <c r="A13" s="80">
        <v>2008</v>
      </c>
      <c r="B13" s="260">
        <v>22</v>
      </c>
      <c r="C13" s="260">
        <v>0</v>
      </c>
      <c r="D13" s="260">
        <v>16.920000000000002</v>
      </c>
      <c r="E13" s="260">
        <v>0</v>
      </c>
      <c r="F13" s="260">
        <v>0</v>
      </c>
      <c r="G13" s="260">
        <v>0</v>
      </c>
      <c r="H13" s="260">
        <v>0</v>
      </c>
      <c r="I13" s="260">
        <v>0</v>
      </c>
      <c r="CD13" s="228"/>
    </row>
    <row r="14" spans="1:82">
      <c r="A14" s="80">
        <v>2009</v>
      </c>
      <c r="B14" s="260">
        <v>14</v>
      </c>
      <c r="C14" s="260">
        <v>77.150000000000006</v>
      </c>
      <c r="D14" s="260">
        <v>21.85</v>
      </c>
      <c r="E14" s="260">
        <v>55</v>
      </c>
      <c r="F14" s="260">
        <v>40303.4</v>
      </c>
      <c r="G14" s="260">
        <v>260.11</v>
      </c>
      <c r="H14" s="260">
        <v>6.79</v>
      </c>
      <c r="I14" s="260">
        <v>303.77</v>
      </c>
      <c r="CC14" s="78">
        <v>3917</v>
      </c>
      <c r="CD14" s="228">
        <f>BY14+BZ14+CA14+CC14</f>
        <v>3917</v>
      </c>
    </row>
    <row r="15" spans="1:82">
      <c r="A15" s="80">
        <v>2010</v>
      </c>
      <c r="B15" s="260">
        <f>SUM(B16:B27)</f>
        <v>65.02000000000001</v>
      </c>
      <c r="C15" s="260">
        <f>SUM(C16:C27)</f>
        <v>634.19000000000005</v>
      </c>
      <c r="D15" s="260">
        <f>SUM(D16:D27)</f>
        <v>580.75199999999995</v>
      </c>
      <c r="E15" s="260">
        <f>SUM(E16:E27)</f>
        <v>451</v>
      </c>
      <c r="F15" s="260">
        <f>AVERAGE(F16:F27)</f>
        <v>40199.243333333339</v>
      </c>
      <c r="G15" s="260">
        <f>AVERAGE(G16:G27)</f>
        <v>265.65999999999997</v>
      </c>
      <c r="H15" s="260">
        <f>AVERAGE(H16:H27)</f>
        <v>6.8441666666666663</v>
      </c>
      <c r="I15" s="260">
        <f>AVERAGE(I16:I27)</f>
        <v>305.29000000000002</v>
      </c>
      <c r="CC15" s="78">
        <v>444</v>
      </c>
      <c r="CD15" s="228">
        <f t="shared" ref="CD15:CD56" si="0">BY15+BZ15+CA15+CC15</f>
        <v>444</v>
      </c>
    </row>
    <row r="16" spans="1:82" hidden="1">
      <c r="A16" s="80" t="s">
        <v>18</v>
      </c>
      <c r="B16" s="260">
        <v>0</v>
      </c>
      <c r="C16" s="260">
        <v>4.05</v>
      </c>
      <c r="D16" s="260">
        <v>5.2619999999999996</v>
      </c>
      <c r="E16" s="260">
        <v>0</v>
      </c>
      <c r="F16" s="260">
        <v>40302.67</v>
      </c>
      <c r="G16" s="260">
        <v>260.68</v>
      </c>
      <c r="H16" s="261">
        <v>6.79</v>
      </c>
      <c r="I16" s="260">
        <v>303.89999999999998</v>
      </c>
      <c r="CD16" s="228"/>
    </row>
    <row r="17" spans="1:82" hidden="1">
      <c r="A17" s="80" t="s">
        <v>19</v>
      </c>
      <c r="B17" s="260">
        <v>0</v>
      </c>
      <c r="C17" s="260">
        <v>10.5</v>
      </c>
      <c r="D17" s="260">
        <v>15.47</v>
      </c>
      <c r="E17" s="260">
        <v>9</v>
      </c>
      <c r="F17" s="260">
        <v>40332.93</v>
      </c>
      <c r="G17" s="260">
        <v>261.33999999999997</v>
      </c>
      <c r="H17" s="261">
        <v>6.8000000000000007</v>
      </c>
      <c r="I17" s="260">
        <v>304.58</v>
      </c>
      <c r="CC17" s="78">
        <f>CC19+CC20</f>
        <v>-2648</v>
      </c>
      <c r="CD17" s="228">
        <f t="shared" si="0"/>
        <v>-2648</v>
      </c>
    </row>
    <row r="18" spans="1:82" hidden="1">
      <c r="A18" s="80" t="s">
        <v>20</v>
      </c>
      <c r="B18" s="260">
        <v>3</v>
      </c>
      <c r="C18" s="260">
        <v>19.89</v>
      </c>
      <c r="D18" s="260">
        <v>22.13</v>
      </c>
      <c r="E18" s="260">
        <v>12</v>
      </c>
      <c r="F18" s="260">
        <v>40349.449999999997</v>
      </c>
      <c r="G18" s="260">
        <v>262.64999999999998</v>
      </c>
      <c r="H18" s="261">
        <v>6.81</v>
      </c>
      <c r="I18" s="260">
        <v>304.51</v>
      </c>
      <c r="CD18" s="228"/>
    </row>
    <row r="19" spans="1:82" hidden="1">
      <c r="A19" s="80" t="s">
        <v>21</v>
      </c>
      <c r="B19" s="260">
        <v>4</v>
      </c>
      <c r="C19" s="260">
        <v>32.24</v>
      </c>
      <c r="D19" s="260">
        <v>30.83</v>
      </c>
      <c r="E19" s="260">
        <v>23</v>
      </c>
      <c r="F19" s="260">
        <v>40326.58</v>
      </c>
      <c r="G19" s="260">
        <v>264.25</v>
      </c>
      <c r="H19" s="261">
        <v>6.81</v>
      </c>
      <c r="I19" s="260">
        <v>303.99</v>
      </c>
      <c r="CC19" s="78">
        <v>-367</v>
      </c>
      <c r="CD19" s="228">
        <f t="shared" si="0"/>
        <v>-367</v>
      </c>
    </row>
    <row r="20" spans="1:82" hidden="1">
      <c r="A20" s="80" t="s">
        <v>22</v>
      </c>
      <c r="B20" s="260">
        <v>5</v>
      </c>
      <c r="C20" s="260">
        <v>42.88</v>
      </c>
      <c r="D20" s="260">
        <v>38.99</v>
      </c>
      <c r="E20" s="260">
        <v>38</v>
      </c>
      <c r="F20" s="260">
        <v>40296.879999999997</v>
      </c>
      <c r="G20" s="260">
        <v>265.60000000000002</v>
      </c>
      <c r="H20" s="261">
        <v>6.81</v>
      </c>
      <c r="I20" s="260">
        <v>303.39999999999998</v>
      </c>
      <c r="CC20" s="78">
        <v>-2281</v>
      </c>
      <c r="CD20" s="228">
        <f t="shared" si="0"/>
        <v>-2281</v>
      </c>
    </row>
    <row r="21" spans="1:82" hidden="1">
      <c r="A21" s="80" t="s">
        <v>23</v>
      </c>
      <c r="B21" s="260">
        <v>0</v>
      </c>
      <c r="C21" s="260">
        <v>52.99</v>
      </c>
      <c r="D21" s="260">
        <v>45.78</v>
      </c>
      <c r="E21" s="260">
        <v>0</v>
      </c>
      <c r="F21" s="260">
        <v>40227.17</v>
      </c>
      <c r="G21" s="260">
        <v>266.55</v>
      </c>
      <c r="H21" s="261">
        <v>6.8199999999999994</v>
      </c>
      <c r="I21" s="260">
        <v>302.83999999999997</v>
      </c>
      <c r="CD21" s="228"/>
    </row>
    <row r="22" spans="1:82" hidden="1">
      <c r="A22" s="80" t="s">
        <v>24</v>
      </c>
      <c r="B22" s="260">
        <v>0</v>
      </c>
      <c r="C22" s="260">
        <v>61.86</v>
      </c>
      <c r="D22" s="260">
        <v>51.25</v>
      </c>
      <c r="E22" s="260">
        <v>49</v>
      </c>
      <c r="F22" s="260">
        <v>40209.01</v>
      </c>
      <c r="G22" s="260">
        <v>267.05</v>
      </c>
      <c r="H22" s="261">
        <v>6.84</v>
      </c>
      <c r="I22" s="260">
        <v>307.35000000000002</v>
      </c>
      <c r="CC22" s="78">
        <f>CC24+CC25</f>
        <v>-797</v>
      </c>
      <c r="CD22" s="228">
        <f t="shared" si="0"/>
        <v>-797</v>
      </c>
    </row>
    <row r="23" spans="1:82" hidden="1">
      <c r="A23" s="80" t="s">
        <v>25</v>
      </c>
      <c r="B23" s="260">
        <v>7</v>
      </c>
      <c r="C23" s="260">
        <v>68.459999999999994</v>
      </c>
      <c r="D23" s="260">
        <v>59.42</v>
      </c>
      <c r="E23" s="260">
        <v>54</v>
      </c>
      <c r="F23" s="260">
        <v>40133.5</v>
      </c>
      <c r="G23" s="260">
        <v>267.43</v>
      </c>
      <c r="H23" s="261">
        <v>6.8499999999999988</v>
      </c>
      <c r="I23" s="260">
        <v>306.64999999999998</v>
      </c>
      <c r="CD23" s="228"/>
    </row>
    <row r="24" spans="1:82" hidden="1">
      <c r="A24" s="80" t="s">
        <v>26</v>
      </c>
      <c r="B24" s="260">
        <v>9.3000000000000007</v>
      </c>
      <c r="C24" s="260">
        <v>74.55</v>
      </c>
      <c r="D24" s="260">
        <v>66.05</v>
      </c>
      <c r="E24" s="260">
        <v>59</v>
      </c>
      <c r="F24" s="260">
        <v>40096.25</v>
      </c>
      <c r="G24" s="260">
        <v>267.77</v>
      </c>
      <c r="H24" s="261">
        <v>6.87</v>
      </c>
      <c r="I24" s="260">
        <v>306.54000000000002</v>
      </c>
      <c r="CC24" s="78">
        <v>-644</v>
      </c>
      <c r="CD24" s="228">
        <f t="shared" si="0"/>
        <v>-644</v>
      </c>
    </row>
    <row r="25" spans="1:82" hidden="1">
      <c r="A25" s="80" t="s">
        <v>27</v>
      </c>
      <c r="B25" s="260">
        <v>10.76</v>
      </c>
      <c r="C25" s="260">
        <v>81.88</v>
      </c>
      <c r="D25" s="260">
        <v>73.760000000000005</v>
      </c>
      <c r="E25" s="260">
        <v>62</v>
      </c>
      <c r="F25" s="260">
        <v>40057.24</v>
      </c>
      <c r="G25" s="260">
        <v>268.23</v>
      </c>
      <c r="H25" s="261">
        <v>6.8900000000000006</v>
      </c>
      <c r="I25" s="260">
        <v>306.32</v>
      </c>
      <c r="CC25" s="78">
        <v>-153</v>
      </c>
      <c r="CD25" s="228">
        <f t="shared" si="0"/>
        <v>-153</v>
      </c>
    </row>
    <row r="26" spans="1:82" hidden="1">
      <c r="A26" s="80" t="s">
        <v>28</v>
      </c>
      <c r="B26" s="260">
        <v>11.96</v>
      </c>
      <c r="C26" s="260">
        <v>88.04</v>
      </c>
      <c r="D26" s="260">
        <v>81.31</v>
      </c>
      <c r="E26" s="260">
        <v>70</v>
      </c>
      <c r="F26" s="260">
        <v>40033.72</v>
      </c>
      <c r="G26" s="260">
        <v>268.37</v>
      </c>
      <c r="H26" s="261">
        <v>6.9099999999999993</v>
      </c>
      <c r="I26" s="260">
        <v>306.68</v>
      </c>
      <c r="CD26" s="228"/>
    </row>
    <row r="27" spans="1:82" hidden="1">
      <c r="A27" s="80" t="s">
        <v>29</v>
      </c>
      <c r="B27" s="260">
        <v>14</v>
      </c>
      <c r="C27" s="260">
        <v>96.85</v>
      </c>
      <c r="D27" s="260">
        <v>90.5</v>
      </c>
      <c r="E27" s="260">
        <v>75</v>
      </c>
      <c r="F27" s="260">
        <v>40025.519999999997</v>
      </c>
      <c r="G27" s="260">
        <v>268</v>
      </c>
      <c r="H27" s="261">
        <v>6.93</v>
      </c>
      <c r="I27" s="260">
        <v>306.72000000000003</v>
      </c>
      <c r="CD27" s="228"/>
    </row>
    <row r="28" spans="1:82" hidden="1">
      <c r="A28" s="80"/>
      <c r="B28" s="260"/>
      <c r="C28" s="260"/>
      <c r="D28" s="260"/>
      <c r="E28" s="260"/>
      <c r="F28" s="260"/>
      <c r="G28" s="260"/>
      <c r="H28" s="261"/>
      <c r="I28" s="260"/>
      <c r="CD28" s="228"/>
    </row>
    <row r="29" spans="1:82">
      <c r="A29" s="80">
        <v>2011</v>
      </c>
      <c r="B29" s="260">
        <f>SUM(B30:B41)</f>
        <v>108.32</v>
      </c>
      <c r="C29" s="260">
        <f>SUM(C30:C41)</f>
        <v>575.57999999999993</v>
      </c>
      <c r="D29" s="260">
        <f>SUM(D30:D41)</f>
        <v>454.76</v>
      </c>
      <c r="E29" s="260">
        <f>SUM(E30:E41)</f>
        <v>517</v>
      </c>
      <c r="F29" s="260">
        <f>AVERAGE(F30:F41)</f>
        <v>39537.908055555563</v>
      </c>
      <c r="G29" s="260">
        <f>AVERAGE(G30:G41)</f>
        <v>269.64833333333337</v>
      </c>
      <c r="H29" s="260">
        <f>AVERAGE(H30:H41)</f>
        <v>6.9175000000000004</v>
      </c>
      <c r="I29" s="260">
        <f>AVERAGE(I30:I41)</f>
        <v>302.93749999999994</v>
      </c>
      <c r="CC29" s="78">
        <v>-31</v>
      </c>
      <c r="CD29" s="228">
        <f t="shared" si="0"/>
        <v>-31</v>
      </c>
    </row>
    <row r="30" spans="1:82" hidden="1">
      <c r="A30" s="80" t="s">
        <v>18</v>
      </c>
      <c r="B30" s="81">
        <v>0</v>
      </c>
      <c r="C30" s="81">
        <v>3.4</v>
      </c>
      <c r="D30" s="81">
        <v>5.22</v>
      </c>
      <c r="E30" s="81">
        <v>13</v>
      </c>
      <c r="F30" s="81">
        <v>39991.14</v>
      </c>
      <c r="G30" s="81">
        <v>269</v>
      </c>
      <c r="H30" s="209">
        <v>6.94</v>
      </c>
      <c r="I30" s="81">
        <v>305.95999999999998</v>
      </c>
      <c r="CC30" s="78">
        <v>-440</v>
      </c>
      <c r="CD30" s="228">
        <f t="shared" si="0"/>
        <v>-440</v>
      </c>
    </row>
    <row r="31" spans="1:82" hidden="1">
      <c r="A31" s="80" t="s">
        <v>19</v>
      </c>
      <c r="B31" s="81">
        <v>0.8</v>
      </c>
      <c r="C31" s="81">
        <v>8.8000000000000007</v>
      </c>
      <c r="D31" s="81">
        <v>11.1</v>
      </c>
      <c r="E31" s="81">
        <v>16</v>
      </c>
      <c r="F31" s="81">
        <v>39810.54</v>
      </c>
      <c r="G31" s="81">
        <v>268.70999999999998</v>
      </c>
      <c r="H31" s="209">
        <v>6.93</v>
      </c>
      <c r="I31" s="81">
        <v>305.89</v>
      </c>
      <c r="CD31" s="228"/>
    </row>
    <row r="32" spans="1:82" hidden="1">
      <c r="A32" s="80" t="s">
        <v>20</v>
      </c>
      <c r="B32" s="81">
        <v>2.6</v>
      </c>
      <c r="C32" s="81">
        <v>17.2</v>
      </c>
      <c r="D32" s="81">
        <v>15.2</v>
      </c>
      <c r="E32" s="81">
        <v>19</v>
      </c>
      <c r="F32" s="81">
        <v>39728.75</v>
      </c>
      <c r="G32" s="81">
        <v>268.85000000000002</v>
      </c>
      <c r="H32" s="209">
        <v>6.94</v>
      </c>
      <c r="I32" s="81">
        <v>305.29000000000002</v>
      </c>
      <c r="CC32" s="78">
        <f>CC34+CC35</f>
        <v>-498</v>
      </c>
      <c r="CD32" s="228">
        <f>BY32+BZ32+CA32+CC32</f>
        <v>-498</v>
      </c>
    </row>
    <row r="33" spans="1:82" hidden="1">
      <c r="A33" s="80" t="s">
        <v>21</v>
      </c>
      <c r="B33" s="233">
        <v>3.6</v>
      </c>
      <c r="C33" s="233">
        <v>26.4</v>
      </c>
      <c r="D33" s="233">
        <v>21.1</v>
      </c>
      <c r="E33" s="233">
        <v>22</v>
      </c>
      <c r="F33" s="233">
        <v>39635.33</v>
      </c>
      <c r="G33" s="233">
        <v>269.44</v>
      </c>
      <c r="H33" s="234">
        <v>6.93</v>
      </c>
      <c r="I33" s="233">
        <v>303.81</v>
      </c>
      <c r="CD33" s="228"/>
    </row>
    <row r="34" spans="1:82" hidden="1">
      <c r="A34" s="80" t="s">
        <v>22</v>
      </c>
      <c r="B34" s="233">
        <v>4.5999999999999996</v>
      </c>
      <c r="C34" s="233">
        <v>35.799999999999997</v>
      </c>
      <c r="D34" s="233">
        <v>28.8</v>
      </c>
      <c r="E34" s="233">
        <v>38</v>
      </c>
      <c r="F34" s="233">
        <v>39545.99</v>
      </c>
      <c r="G34" s="233">
        <v>269.8</v>
      </c>
      <c r="H34" s="234">
        <v>6.92</v>
      </c>
      <c r="I34" s="233">
        <v>302.79000000000002</v>
      </c>
      <c r="CC34" s="78">
        <v>-521</v>
      </c>
      <c r="CD34" s="228">
        <f>BY34+BZ34+CA34+CC34</f>
        <v>-521</v>
      </c>
    </row>
    <row r="35" spans="1:82" hidden="1">
      <c r="A35" s="80" t="s">
        <v>23</v>
      </c>
      <c r="B35" s="233">
        <v>5.6</v>
      </c>
      <c r="C35" s="233">
        <v>43.8</v>
      </c>
      <c r="D35" s="233">
        <v>33.4</v>
      </c>
      <c r="E35" s="233">
        <v>41</v>
      </c>
      <c r="F35" s="233">
        <v>39438.51</v>
      </c>
      <c r="G35" s="233">
        <v>269.91000000000003</v>
      </c>
      <c r="H35" s="234">
        <v>6.91</v>
      </c>
      <c r="I35" s="233">
        <v>302.06</v>
      </c>
      <c r="CC35" s="78">
        <v>23</v>
      </c>
      <c r="CD35" s="228">
        <f>BY35+BZ35+CA35+CC35</f>
        <v>23</v>
      </c>
    </row>
    <row r="36" spans="1:82" hidden="1">
      <c r="A36" s="80" t="s">
        <v>24</v>
      </c>
      <c r="B36" s="233">
        <v>6.9</v>
      </c>
      <c r="C36" s="233">
        <v>50.2</v>
      </c>
      <c r="D36" s="233">
        <v>38.299999999999997</v>
      </c>
      <c r="E36" s="233">
        <v>44</v>
      </c>
      <c r="F36" s="233">
        <v>39405.65</v>
      </c>
      <c r="G36" s="233">
        <v>269.95</v>
      </c>
      <c r="H36" s="234">
        <v>6.91</v>
      </c>
      <c r="I36" s="233">
        <v>301.76</v>
      </c>
      <c r="CD36" s="228"/>
    </row>
    <row r="37" spans="1:82" hidden="1">
      <c r="A37" s="80" t="s">
        <v>25</v>
      </c>
      <c r="B37" s="233">
        <v>14.2</v>
      </c>
      <c r="C37" s="233">
        <v>61.3</v>
      </c>
      <c r="D37" s="233">
        <v>44.3</v>
      </c>
      <c r="E37" s="233">
        <v>47</v>
      </c>
      <c r="F37" s="233">
        <v>39382.79</v>
      </c>
      <c r="G37" s="233">
        <v>269.98</v>
      </c>
      <c r="H37" s="234">
        <v>6.91</v>
      </c>
      <c r="I37" s="233">
        <v>301.66000000000003</v>
      </c>
      <c r="CC37" s="78">
        <v>433</v>
      </c>
      <c r="CD37" s="228">
        <f t="shared" si="0"/>
        <v>433</v>
      </c>
    </row>
    <row r="38" spans="1:82" hidden="1">
      <c r="A38" s="80" t="s">
        <v>26</v>
      </c>
      <c r="B38" s="233">
        <v>15.43</v>
      </c>
      <c r="C38" s="233">
        <v>72.86</v>
      </c>
      <c r="D38" s="233">
        <v>52.57</v>
      </c>
      <c r="E38" s="233">
        <v>60</v>
      </c>
      <c r="F38" s="233">
        <v>39379.93</v>
      </c>
      <c r="G38" s="233">
        <v>270.06</v>
      </c>
      <c r="H38" s="234">
        <v>6.91</v>
      </c>
      <c r="I38" s="233">
        <v>301.58999999999997</v>
      </c>
      <c r="CC38" s="78">
        <v>-931</v>
      </c>
      <c r="CD38" s="228">
        <f t="shared" si="0"/>
        <v>-931</v>
      </c>
    </row>
    <row r="39" spans="1:82" hidden="1">
      <c r="A39" s="80" t="s">
        <v>27</v>
      </c>
      <c r="B39" s="233">
        <v>16.7</v>
      </c>
      <c r="C39" s="233">
        <v>74.400000000000006</v>
      </c>
      <c r="D39" s="233">
        <v>59.9</v>
      </c>
      <c r="E39" s="233">
        <v>66</v>
      </c>
      <c r="F39" s="233">
        <v>39379.160000000003</v>
      </c>
      <c r="G39" s="233">
        <v>270.04000000000002</v>
      </c>
      <c r="H39" s="234">
        <v>6.9</v>
      </c>
      <c r="I39" s="233">
        <v>301.52999999999997</v>
      </c>
      <c r="CD39" s="228"/>
    </row>
    <row r="40" spans="1:82" hidden="1">
      <c r="A40" s="80" t="s">
        <v>28</v>
      </c>
      <c r="B40" s="233">
        <v>17.89</v>
      </c>
      <c r="C40" s="233">
        <v>85.88</v>
      </c>
      <c r="D40" s="233">
        <v>67.87</v>
      </c>
      <c r="E40" s="233">
        <v>74</v>
      </c>
      <c r="F40" s="233">
        <v>39378.86</v>
      </c>
      <c r="G40" s="233">
        <v>270.02999999999997</v>
      </c>
      <c r="H40" s="234">
        <v>6.9</v>
      </c>
      <c r="I40" s="233">
        <v>301.48</v>
      </c>
      <c r="CC40" s="78">
        <v>204</v>
      </c>
      <c r="CD40" s="228">
        <f t="shared" si="0"/>
        <v>204</v>
      </c>
    </row>
    <row r="41" spans="1:82" hidden="1">
      <c r="A41" s="80" t="s">
        <v>29</v>
      </c>
      <c r="B41" s="233">
        <v>20</v>
      </c>
      <c r="C41" s="233">
        <v>95.54</v>
      </c>
      <c r="D41" s="233">
        <v>77</v>
      </c>
      <c r="E41" s="233">
        <v>77</v>
      </c>
      <c r="F41" s="233">
        <v>39378.246666666702</v>
      </c>
      <c r="G41" s="233">
        <v>270.01</v>
      </c>
      <c r="H41" s="234">
        <v>6.91</v>
      </c>
      <c r="I41" s="233">
        <v>301.43</v>
      </c>
      <c r="CC41" s="78">
        <v>200</v>
      </c>
      <c r="CD41" s="228">
        <f t="shared" si="0"/>
        <v>200</v>
      </c>
    </row>
    <row r="42" spans="1:82">
      <c r="A42" s="80" t="s">
        <v>1288</v>
      </c>
      <c r="B42" s="260">
        <f>SUM(B43:B54)</f>
        <v>20</v>
      </c>
      <c r="C42" s="260">
        <f>SUM(C43:C54)</f>
        <v>435.37000000000006</v>
      </c>
      <c r="D42" s="260">
        <f>SUM(D43:D54)</f>
        <v>583.97</v>
      </c>
      <c r="E42" s="260">
        <f>SUM(E43:E54)</f>
        <v>210</v>
      </c>
      <c r="F42" s="260">
        <f>AVERAGE(F43:F54)</f>
        <v>38980.184999999998</v>
      </c>
      <c r="G42" s="260">
        <f>AVERAGE(G43:G54)</f>
        <v>276.08333333333331</v>
      </c>
      <c r="H42" s="260">
        <f>AVERAGE(H43:H54)</f>
        <v>7.0508333333333333</v>
      </c>
      <c r="I42" s="260">
        <f>AVERAGE(I43:I54)</f>
        <v>312.27166666666665</v>
      </c>
      <c r="CD42" s="228"/>
    </row>
    <row r="43" spans="1:82" hidden="1">
      <c r="A43" s="80" t="s">
        <v>18</v>
      </c>
      <c r="B43" s="233">
        <v>0</v>
      </c>
      <c r="C43" s="233">
        <v>2.57</v>
      </c>
      <c r="D43" s="233">
        <v>4.6900000000000004</v>
      </c>
      <c r="E43" s="233">
        <v>0</v>
      </c>
      <c r="F43" s="233">
        <v>39377.89</v>
      </c>
      <c r="G43" s="233">
        <v>270</v>
      </c>
      <c r="H43" s="234">
        <v>6.9</v>
      </c>
      <c r="I43" s="233">
        <v>301.39999999999998</v>
      </c>
      <c r="CC43" s="78">
        <v>295</v>
      </c>
      <c r="CD43" s="228">
        <f t="shared" si="0"/>
        <v>295</v>
      </c>
    </row>
    <row r="44" spans="1:82" hidden="1">
      <c r="A44" s="80" t="s">
        <v>19</v>
      </c>
      <c r="B44" s="233">
        <v>0</v>
      </c>
      <c r="C44" s="233">
        <v>9.02</v>
      </c>
      <c r="D44" s="233">
        <v>12.74</v>
      </c>
      <c r="E44" s="233">
        <v>3</v>
      </c>
      <c r="F44" s="233">
        <v>39377.33</v>
      </c>
      <c r="G44" s="233">
        <v>270</v>
      </c>
      <c r="H44" s="234">
        <v>6.9</v>
      </c>
      <c r="I44" s="233">
        <v>301.39</v>
      </c>
      <c r="CC44" s="78">
        <v>-95</v>
      </c>
      <c r="CD44" s="228">
        <f t="shared" si="0"/>
        <v>-95</v>
      </c>
    </row>
    <row r="45" spans="1:82" hidden="1">
      <c r="A45" s="80" t="s">
        <v>20</v>
      </c>
      <c r="B45" s="233">
        <v>0</v>
      </c>
      <c r="C45" s="233">
        <v>15.39</v>
      </c>
      <c r="D45" s="233">
        <v>19.16</v>
      </c>
      <c r="E45" s="233">
        <v>5</v>
      </c>
      <c r="F45" s="233">
        <v>39201</v>
      </c>
      <c r="G45" s="233">
        <v>277</v>
      </c>
      <c r="H45" s="234">
        <v>7.21</v>
      </c>
      <c r="I45" s="233">
        <v>308.45999999999998</v>
      </c>
      <c r="CD45" s="228"/>
    </row>
    <row r="46" spans="1:82" hidden="1">
      <c r="A46" s="80" t="s">
        <v>21</v>
      </c>
      <c r="B46" s="233">
        <v>0</v>
      </c>
      <c r="C46" s="233">
        <v>23.97</v>
      </c>
      <c r="D46" s="233">
        <v>26.72</v>
      </c>
      <c r="E46" s="233">
        <v>11</v>
      </c>
      <c r="F46" s="233">
        <v>39101</v>
      </c>
      <c r="G46" s="233">
        <v>277</v>
      </c>
      <c r="H46" s="234">
        <v>7.17</v>
      </c>
      <c r="I46" s="233">
        <v>312.66000000000003</v>
      </c>
      <c r="CC46" s="78">
        <v>0</v>
      </c>
      <c r="CD46" s="228">
        <f t="shared" si="0"/>
        <v>0</v>
      </c>
    </row>
    <row r="47" spans="1:82" hidden="1">
      <c r="A47" s="80" t="s">
        <v>22</v>
      </c>
      <c r="B47" s="233">
        <v>0</v>
      </c>
      <c r="C47" s="233">
        <v>31.74</v>
      </c>
      <c r="D47" s="233">
        <v>33.15</v>
      </c>
      <c r="E47" s="233">
        <v>17</v>
      </c>
      <c r="F47" s="233">
        <v>39003</v>
      </c>
      <c r="G47" s="233">
        <v>277</v>
      </c>
      <c r="H47" s="234">
        <v>7.14</v>
      </c>
      <c r="I47" s="233">
        <v>312.20999999999998</v>
      </c>
      <c r="CD47" s="228"/>
    </row>
    <row r="48" spans="1:82" hidden="1">
      <c r="A48" s="80" t="s">
        <v>23</v>
      </c>
      <c r="B48" s="233">
        <v>20</v>
      </c>
      <c r="C48" s="233">
        <v>36.630000000000003</v>
      </c>
      <c r="D48" s="233">
        <v>44.46</v>
      </c>
      <c r="E48" s="233">
        <v>23</v>
      </c>
      <c r="F48" s="233">
        <v>38940</v>
      </c>
      <c r="G48" s="233">
        <v>277</v>
      </c>
      <c r="H48" s="234">
        <v>7.1</v>
      </c>
      <c r="I48" s="233">
        <v>310.75</v>
      </c>
      <c r="CC48" s="78">
        <f>CC49-CC53</f>
        <v>481</v>
      </c>
      <c r="CD48" s="228">
        <f t="shared" si="0"/>
        <v>481</v>
      </c>
    </row>
    <row r="49" spans="1:82" hidden="1">
      <c r="A49" s="80" t="s">
        <v>24</v>
      </c>
      <c r="B49" s="233">
        <v>0</v>
      </c>
      <c r="C49" s="233">
        <v>39.840000000000003</v>
      </c>
      <c r="D49" s="233">
        <v>56.78</v>
      </c>
      <c r="E49" s="233">
        <v>23</v>
      </c>
      <c r="F49" s="233">
        <v>38903</v>
      </c>
      <c r="G49" s="233">
        <v>277</v>
      </c>
      <c r="H49" s="234">
        <v>7.08</v>
      </c>
      <c r="I49" s="233">
        <v>314.05</v>
      </c>
      <c r="CC49" s="78">
        <f>CC51+CC52</f>
        <v>965</v>
      </c>
      <c r="CD49" s="228">
        <f t="shared" si="0"/>
        <v>965</v>
      </c>
    </row>
    <row r="50" spans="1:82" hidden="1">
      <c r="A50" s="80" t="s">
        <v>25</v>
      </c>
      <c r="B50" s="233">
        <v>0</v>
      </c>
      <c r="C50" s="233">
        <v>42.64</v>
      </c>
      <c r="D50" s="233">
        <v>65.53</v>
      </c>
      <c r="E50" s="233">
        <v>23</v>
      </c>
      <c r="F50" s="233">
        <v>38860</v>
      </c>
      <c r="G50" s="233">
        <v>277</v>
      </c>
      <c r="H50" s="234">
        <v>7.07</v>
      </c>
      <c r="I50" s="233">
        <v>313.19</v>
      </c>
      <c r="CD50" s="228"/>
    </row>
    <row r="51" spans="1:82" hidden="1">
      <c r="A51" s="80" t="s">
        <v>26</v>
      </c>
      <c r="B51" s="233">
        <v>0</v>
      </c>
      <c r="C51" s="233">
        <v>46.24</v>
      </c>
      <c r="D51" s="233">
        <v>69.5</v>
      </c>
      <c r="E51" s="233">
        <v>23</v>
      </c>
      <c r="F51" s="233">
        <v>38796</v>
      </c>
      <c r="G51" s="233">
        <v>278</v>
      </c>
      <c r="H51" s="234">
        <v>7.03</v>
      </c>
      <c r="I51" s="233">
        <v>319.62</v>
      </c>
      <c r="CC51" s="78">
        <v>954</v>
      </c>
      <c r="CD51" s="228">
        <f t="shared" si="0"/>
        <v>954</v>
      </c>
    </row>
    <row r="52" spans="1:82" hidden="1">
      <c r="A52" s="80" t="s">
        <v>27</v>
      </c>
      <c r="B52" s="233">
        <v>0</v>
      </c>
      <c r="C52" s="233">
        <v>50.62</v>
      </c>
      <c r="D52" s="233">
        <v>74.680000000000007</v>
      </c>
      <c r="E52" s="233">
        <v>23</v>
      </c>
      <c r="F52" s="233">
        <v>38755</v>
      </c>
      <c r="G52" s="233">
        <v>278</v>
      </c>
      <c r="H52" s="234">
        <v>7.01</v>
      </c>
      <c r="I52" s="233">
        <v>318.47000000000003</v>
      </c>
      <c r="CC52" s="78">
        <v>11</v>
      </c>
      <c r="CD52" s="228">
        <f t="shared" si="0"/>
        <v>11</v>
      </c>
    </row>
    <row r="53" spans="1:82" hidden="1">
      <c r="A53" s="80" t="s">
        <v>28</v>
      </c>
      <c r="B53" s="233">
        <v>0</v>
      </c>
      <c r="C53" s="233">
        <v>61.54</v>
      </c>
      <c r="D53" s="233">
        <v>85.41</v>
      </c>
      <c r="E53" s="233">
        <v>23</v>
      </c>
      <c r="F53" s="233">
        <v>38733</v>
      </c>
      <c r="G53" s="233">
        <v>277</v>
      </c>
      <c r="H53" s="234">
        <v>7</v>
      </c>
      <c r="I53" s="233">
        <v>318.06</v>
      </c>
      <c r="CC53" s="78">
        <f>CC55+CC56+CC57+CC58</f>
        <v>484</v>
      </c>
      <c r="CD53" s="228">
        <f t="shared" si="0"/>
        <v>484</v>
      </c>
    </row>
    <row r="54" spans="1:82" hidden="1">
      <c r="A54" s="80" t="s">
        <v>29</v>
      </c>
      <c r="B54" s="233">
        <v>0</v>
      </c>
      <c r="C54" s="233">
        <v>75.17</v>
      </c>
      <c r="D54" s="233">
        <v>91.15</v>
      </c>
      <c r="E54" s="233">
        <v>36</v>
      </c>
      <c r="F54" s="233">
        <v>38715</v>
      </c>
      <c r="G54" s="233">
        <v>278</v>
      </c>
      <c r="H54" s="234">
        <v>7</v>
      </c>
      <c r="I54" s="233">
        <v>317</v>
      </c>
      <c r="CD54" s="228"/>
    </row>
    <row r="55" spans="1:82">
      <c r="A55" s="80" t="s">
        <v>1410</v>
      </c>
      <c r="B55" s="260">
        <f>SUM(B56:B67)</f>
        <v>40</v>
      </c>
      <c r="C55" s="260">
        <f>SUM(C56:C67)</f>
        <v>701.11469999999997</v>
      </c>
      <c r="D55" s="260">
        <f>SUM(D56:D67)</f>
        <v>471.407736</v>
      </c>
      <c r="E55" s="260">
        <f>SUM(E56:E67)</f>
        <v>357</v>
      </c>
      <c r="F55" s="260">
        <f>AVERAGE(F56:F67)</f>
        <v>40790.5</v>
      </c>
      <c r="G55" s="260">
        <f>AVERAGE(G56:G67)</f>
        <v>280.66666666666669</v>
      </c>
      <c r="H55" s="260">
        <f>AVERAGE(H56:H67)</f>
        <v>6.600741666666667</v>
      </c>
      <c r="I55" s="260">
        <f>AVERAGE(I56:I67)</f>
        <v>311.7091666666667</v>
      </c>
      <c r="CC55" s="78">
        <v>1214</v>
      </c>
      <c r="CD55" s="228">
        <f t="shared" si="0"/>
        <v>1214</v>
      </c>
    </row>
    <row r="56" spans="1:82" hidden="1">
      <c r="A56" s="80" t="s">
        <v>18</v>
      </c>
      <c r="B56" s="233">
        <v>0</v>
      </c>
      <c r="C56" s="233">
        <v>2.06</v>
      </c>
      <c r="D56" s="233">
        <v>2.68</v>
      </c>
      <c r="E56" s="233">
        <v>8</v>
      </c>
      <c r="F56" s="233">
        <v>38701</v>
      </c>
      <c r="G56" s="233">
        <v>278</v>
      </c>
      <c r="H56" s="234">
        <v>6.99</v>
      </c>
      <c r="I56" s="233">
        <v>316.25</v>
      </c>
      <c r="CC56" s="78">
        <v>-745</v>
      </c>
      <c r="CD56" s="228">
        <f t="shared" si="0"/>
        <v>-745</v>
      </c>
    </row>
    <row r="57" spans="1:82" hidden="1">
      <c r="A57" s="80" t="s">
        <v>19</v>
      </c>
      <c r="B57" s="233">
        <v>0</v>
      </c>
      <c r="C57" s="233">
        <v>7.89</v>
      </c>
      <c r="D57" s="233">
        <v>7.93</v>
      </c>
      <c r="E57" s="233">
        <v>11</v>
      </c>
      <c r="F57" s="233">
        <v>38705</v>
      </c>
      <c r="G57" s="233">
        <v>278</v>
      </c>
      <c r="H57" s="234">
        <v>6.99</v>
      </c>
      <c r="I57" s="233">
        <v>319.08999999999997</v>
      </c>
      <c r="CC57" s="78">
        <v>0</v>
      </c>
      <c r="CD57" s="228">
        <f>BY57+BZ57+CA57+CC57</f>
        <v>0</v>
      </c>
    </row>
    <row r="58" spans="1:82" hidden="1">
      <c r="A58" s="80" t="s">
        <v>20</v>
      </c>
      <c r="B58" s="233">
        <v>20</v>
      </c>
      <c r="C58" s="233">
        <v>15.19</v>
      </c>
      <c r="D58" s="233">
        <v>12.05</v>
      </c>
      <c r="E58" s="233">
        <v>11</v>
      </c>
      <c r="F58" s="233">
        <v>38749</v>
      </c>
      <c r="G58" s="233">
        <v>278</v>
      </c>
      <c r="H58" s="234">
        <v>6.99</v>
      </c>
      <c r="I58" s="233">
        <v>319.02</v>
      </c>
      <c r="CC58" s="78">
        <v>15</v>
      </c>
      <c r="CD58" s="228">
        <f>BY58+BZ58+CA58+CC58</f>
        <v>15</v>
      </c>
    </row>
    <row r="59" spans="1:82" hidden="1">
      <c r="A59" s="80" t="s">
        <v>21</v>
      </c>
      <c r="B59" s="233">
        <v>0</v>
      </c>
      <c r="C59" s="233">
        <v>32.14</v>
      </c>
      <c r="D59" s="233">
        <v>20.41</v>
      </c>
      <c r="E59" s="233">
        <v>11</v>
      </c>
      <c r="F59" s="233">
        <v>38846</v>
      </c>
      <c r="G59" s="233">
        <v>277</v>
      </c>
      <c r="H59" s="234">
        <v>6.97</v>
      </c>
      <c r="I59" s="233">
        <v>318.52</v>
      </c>
      <c r="CC59" s="78">
        <v>-372</v>
      </c>
      <c r="CD59" s="228">
        <f>BY59+BZ59+CA59+CC59</f>
        <v>-372</v>
      </c>
    </row>
    <row r="60" spans="1:82" hidden="1">
      <c r="A60" s="80" t="s">
        <v>22</v>
      </c>
      <c r="B60" s="233">
        <v>0</v>
      </c>
      <c r="C60" s="233">
        <v>49.54</v>
      </c>
      <c r="D60" s="233">
        <v>28.31</v>
      </c>
      <c r="E60" s="233">
        <v>26</v>
      </c>
      <c r="F60" s="233">
        <v>38923</v>
      </c>
      <c r="G60" s="233">
        <v>277</v>
      </c>
      <c r="H60" s="234">
        <v>6.95</v>
      </c>
      <c r="I60" s="233">
        <v>321.02999999999997</v>
      </c>
      <c r="CC60" s="78">
        <v>-231</v>
      </c>
      <c r="CD60" s="228">
        <f>BY60+BZ60+CA60+CC60</f>
        <v>-231</v>
      </c>
    </row>
    <row r="61" spans="1:82" hidden="1">
      <c r="A61" s="80" t="s">
        <v>23</v>
      </c>
      <c r="B61" s="233">
        <v>0</v>
      </c>
      <c r="C61" s="233">
        <v>64.174999999999997</v>
      </c>
      <c r="D61" s="233">
        <v>35.643000000000001</v>
      </c>
      <c r="E61" s="233">
        <v>31</v>
      </c>
      <c r="F61" s="233">
        <v>42434</v>
      </c>
      <c r="G61" s="233">
        <v>278</v>
      </c>
      <c r="H61" s="234">
        <v>6.3010000000000002</v>
      </c>
      <c r="I61" s="233">
        <v>301.73</v>
      </c>
      <c r="CD61" s="228"/>
    </row>
    <row r="62" spans="1:82" hidden="1">
      <c r="A62" s="80" t="s">
        <v>24</v>
      </c>
      <c r="B62" s="233">
        <v>20</v>
      </c>
      <c r="C62" s="233">
        <v>73.281000000000006</v>
      </c>
      <c r="D62" s="233">
        <v>41.712000000000003</v>
      </c>
      <c r="E62" s="233">
        <v>34</v>
      </c>
      <c r="F62" s="233">
        <v>42567</v>
      </c>
      <c r="G62" s="233">
        <v>287</v>
      </c>
      <c r="H62" s="234">
        <v>6.3559999999999999</v>
      </c>
      <c r="I62" s="233">
        <v>301.5</v>
      </c>
      <c r="CC62" s="78">
        <f>CC8+CC46-CC48+CC59-CC60</f>
        <v>0</v>
      </c>
      <c r="CD62" s="228">
        <f>BY62+BZ62+CA62+CC62</f>
        <v>0</v>
      </c>
    </row>
    <row r="63" spans="1:82" hidden="1">
      <c r="A63" s="80" t="s">
        <v>25</v>
      </c>
      <c r="B63" s="233">
        <v>0</v>
      </c>
      <c r="C63" s="233">
        <v>79.057000000000002</v>
      </c>
      <c r="D63" s="233">
        <v>47.353436000000002</v>
      </c>
      <c r="E63" s="233">
        <v>37</v>
      </c>
      <c r="F63" s="233">
        <v>44411</v>
      </c>
      <c r="G63" s="233">
        <v>288</v>
      </c>
      <c r="H63" s="234">
        <v>5.7419000000000002</v>
      </c>
      <c r="I63" s="233">
        <v>297.89999999999998</v>
      </c>
    </row>
    <row r="64" spans="1:82" hidden="1">
      <c r="A64" s="80" t="s">
        <v>26</v>
      </c>
      <c r="B64" s="233">
        <v>0</v>
      </c>
      <c r="C64" s="233">
        <v>82.005700000000004</v>
      </c>
      <c r="D64" s="233">
        <v>56.214300000000001</v>
      </c>
      <c r="E64" s="233">
        <v>37</v>
      </c>
      <c r="F64" s="233">
        <v>44208</v>
      </c>
      <c r="G64" s="233">
        <v>288</v>
      </c>
      <c r="H64" s="234">
        <v>5.64</v>
      </c>
      <c r="I64" s="233">
        <v>294.39</v>
      </c>
    </row>
    <row r="65" spans="1:9" hidden="1">
      <c r="A65" s="80" t="s">
        <v>27</v>
      </c>
      <c r="B65" s="233">
        <v>0</v>
      </c>
      <c r="C65" s="233">
        <v>86.445999999999998</v>
      </c>
      <c r="D65" s="233">
        <v>62.244999999999997</v>
      </c>
      <c r="E65" s="233">
        <v>47</v>
      </c>
      <c r="F65" s="233">
        <v>43140</v>
      </c>
      <c r="G65" s="233">
        <v>284</v>
      </c>
      <c r="H65" s="234">
        <v>6.51</v>
      </c>
      <c r="I65" s="233">
        <v>311.61</v>
      </c>
    </row>
    <row r="66" spans="1:9" hidden="1">
      <c r="A66" s="80" t="s">
        <v>28</v>
      </c>
      <c r="B66" s="233">
        <v>0</v>
      </c>
      <c r="C66" s="233">
        <v>96.42</v>
      </c>
      <c r="D66" s="233">
        <v>70</v>
      </c>
      <c r="E66" s="233">
        <v>47</v>
      </c>
      <c r="F66" s="233">
        <v>39328</v>
      </c>
      <c r="G66" s="233">
        <v>277</v>
      </c>
      <c r="H66" s="234">
        <v>6.89</v>
      </c>
      <c r="I66" s="233">
        <v>319.58999999999997</v>
      </c>
    </row>
    <row r="67" spans="1:9" hidden="1">
      <c r="A67" s="80" t="s">
        <v>29</v>
      </c>
      <c r="B67" s="233">
        <v>0</v>
      </c>
      <c r="C67" s="233">
        <v>112.91</v>
      </c>
      <c r="D67" s="233">
        <v>86.86</v>
      </c>
      <c r="E67" s="233">
        <v>57</v>
      </c>
      <c r="F67" s="233">
        <v>39474</v>
      </c>
      <c r="G67" s="233">
        <v>278</v>
      </c>
      <c r="H67" s="234">
        <v>6.88</v>
      </c>
      <c r="I67" s="233">
        <v>319.88</v>
      </c>
    </row>
    <row r="68" spans="1:9">
      <c r="A68" s="80" t="s">
        <v>1621</v>
      </c>
      <c r="B68" s="260">
        <f>SUM(B69:B80)</f>
        <v>40</v>
      </c>
      <c r="C68" s="260">
        <f>SUM(C69:C80)</f>
        <v>686.1</v>
      </c>
      <c r="D68" s="260">
        <f>SUM(D69:D80)</f>
        <v>791.99999999999989</v>
      </c>
      <c r="E68" s="260">
        <f>SUM(E69:E80)</f>
        <v>40</v>
      </c>
      <c r="F68" s="260">
        <f>AVERAGE(F69:F80)</f>
        <v>39880.712500000001</v>
      </c>
      <c r="G68" s="260">
        <f>AVERAGE(G69:G80)</f>
        <v>278.25</v>
      </c>
      <c r="H68" s="260">
        <f>AVERAGE(H69:H80)</f>
        <v>6.8333333333333348</v>
      </c>
      <c r="I68" s="260">
        <f>AVERAGE(I69:I80)</f>
        <v>321.11083333333335</v>
      </c>
    </row>
    <row r="69" spans="1:9" hidden="1">
      <c r="A69" s="80" t="s">
        <v>18</v>
      </c>
      <c r="B69" s="233">
        <v>0</v>
      </c>
      <c r="C69" s="233">
        <v>3.42</v>
      </c>
      <c r="D69" s="233">
        <v>9.93</v>
      </c>
      <c r="E69" s="233">
        <v>0</v>
      </c>
      <c r="F69" s="233">
        <v>39513</v>
      </c>
      <c r="G69" s="233">
        <v>278</v>
      </c>
      <c r="H69" s="234">
        <v>6.88</v>
      </c>
      <c r="I69" s="233">
        <v>319.75</v>
      </c>
    </row>
    <row r="70" spans="1:9" hidden="1">
      <c r="A70" s="80" t="s">
        <v>19</v>
      </c>
      <c r="B70" s="233">
        <v>0</v>
      </c>
      <c r="C70" s="233">
        <v>13.66</v>
      </c>
      <c r="D70" s="233">
        <v>18.14</v>
      </c>
      <c r="E70" s="233">
        <v>5</v>
      </c>
      <c r="F70" s="233">
        <v>39578</v>
      </c>
      <c r="G70" s="233">
        <v>278</v>
      </c>
      <c r="H70" s="234">
        <v>6.87</v>
      </c>
      <c r="I70" s="233">
        <v>319.27</v>
      </c>
    </row>
    <row r="71" spans="1:9" hidden="1">
      <c r="A71" s="80" t="s">
        <v>20</v>
      </c>
      <c r="B71" s="233">
        <v>10</v>
      </c>
      <c r="C71" s="233">
        <v>27.4</v>
      </c>
      <c r="D71" s="233">
        <v>27.13</v>
      </c>
      <c r="E71" s="233">
        <v>10</v>
      </c>
      <c r="F71" s="233">
        <v>39676</v>
      </c>
      <c r="G71" s="233">
        <v>278</v>
      </c>
      <c r="H71" s="234">
        <v>6.86</v>
      </c>
      <c r="I71" s="233">
        <v>319.37</v>
      </c>
    </row>
    <row r="72" spans="1:9" hidden="1">
      <c r="A72" s="80" t="s">
        <v>21</v>
      </c>
      <c r="B72" s="233">
        <v>0</v>
      </c>
      <c r="C72" s="233">
        <v>41.97</v>
      </c>
      <c r="D72" s="233">
        <v>37.99</v>
      </c>
      <c r="E72" s="233">
        <v>5</v>
      </c>
      <c r="F72" s="233">
        <v>39749</v>
      </c>
      <c r="G72" s="233">
        <v>278</v>
      </c>
      <c r="H72" s="234">
        <v>6.85</v>
      </c>
      <c r="I72" s="233">
        <v>318.97000000000003</v>
      </c>
    </row>
    <row r="73" spans="1:9" hidden="1">
      <c r="A73" s="80" t="s">
        <v>22</v>
      </c>
      <c r="B73" s="233">
        <v>0</v>
      </c>
      <c r="C73" s="233">
        <v>52.71</v>
      </c>
      <c r="D73" s="233">
        <v>44.66</v>
      </c>
      <c r="E73" s="233">
        <v>10</v>
      </c>
      <c r="F73" s="233">
        <v>39839</v>
      </c>
      <c r="G73" s="233">
        <v>278</v>
      </c>
      <c r="H73" s="234">
        <v>6.83</v>
      </c>
      <c r="I73" s="233">
        <v>318.52999999999997</v>
      </c>
    </row>
    <row r="74" spans="1:9" hidden="1">
      <c r="A74" s="80" t="s">
        <v>23</v>
      </c>
      <c r="B74" s="233">
        <v>0</v>
      </c>
      <c r="C74" s="233">
        <v>60.71</v>
      </c>
      <c r="D74" s="233">
        <v>56.56</v>
      </c>
      <c r="E74" s="233">
        <v>10</v>
      </c>
      <c r="F74" s="233">
        <v>39891</v>
      </c>
      <c r="G74" s="233">
        <v>278</v>
      </c>
      <c r="H74" s="234">
        <v>6.83</v>
      </c>
      <c r="I74" s="233">
        <v>318.61</v>
      </c>
    </row>
    <row r="75" spans="1:9" hidden="1">
      <c r="A75" s="80" t="s">
        <v>24</v>
      </c>
      <c r="B75" s="233">
        <v>10</v>
      </c>
      <c r="C75" s="233">
        <v>66.69</v>
      </c>
      <c r="D75" s="233">
        <v>68.63</v>
      </c>
      <c r="E75" s="233">
        <v>0</v>
      </c>
      <c r="F75" s="233">
        <v>39944</v>
      </c>
      <c r="G75" s="233">
        <v>278</v>
      </c>
      <c r="H75" s="234">
        <v>6.82</v>
      </c>
      <c r="I75" s="233">
        <v>318.64999999999998</v>
      </c>
    </row>
    <row r="76" spans="1:9" hidden="1">
      <c r="A76" s="80" t="s">
        <v>25</v>
      </c>
      <c r="B76" s="233">
        <v>0</v>
      </c>
      <c r="C76" s="233">
        <v>73.23</v>
      </c>
      <c r="D76" s="233">
        <v>78.540000000000006</v>
      </c>
      <c r="E76" s="233">
        <v>0</v>
      </c>
      <c r="F76" s="233">
        <v>39978</v>
      </c>
      <c r="G76" s="233">
        <v>278</v>
      </c>
      <c r="H76" s="234">
        <v>6.82</v>
      </c>
      <c r="I76" s="233">
        <v>318.73</v>
      </c>
    </row>
    <row r="77" spans="1:9" hidden="1">
      <c r="A77" s="80" t="s">
        <v>26</v>
      </c>
      <c r="B77" s="233">
        <v>20</v>
      </c>
      <c r="C77" s="233">
        <v>78.63</v>
      </c>
      <c r="D77" s="233">
        <v>94.35</v>
      </c>
      <c r="E77" s="233">
        <v>0</v>
      </c>
      <c r="F77" s="233">
        <v>40031.35</v>
      </c>
      <c r="G77" s="233">
        <v>278</v>
      </c>
      <c r="H77" s="234">
        <v>6.82</v>
      </c>
      <c r="I77" s="233">
        <v>318.76</v>
      </c>
    </row>
    <row r="78" spans="1:9" hidden="1">
      <c r="A78" s="80" t="s">
        <v>27</v>
      </c>
      <c r="B78" s="233">
        <v>0</v>
      </c>
      <c r="C78" s="233">
        <v>81.98</v>
      </c>
      <c r="D78" s="233">
        <v>109.67</v>
      </c>
      <c r="E78" s="233">
        <v>0</v>
      </c>
      <c r="F78" s="233">
        <v>40049.199999999997</v>
      </c>
      <c r="G78" s="233">
        <v>279</v>
      </c>
      <c r="H78" s="234">
        <v>6.82</v>
      </c>
      <c r="I78" s="233">
        <v>318.67</v>
      </c>
    </row>
    <row r="79" spans="1:9" hidden="1">
      <c r="A79" s="80" t="s">
        <v>28</v>
      </c>
      <c r="B79" s="233">
        <v>0</v>
      </c>
      <c r="C79" s="233">
        <v>88.6</v>
      </c>
      <c r="D79" s="233">
        <v>120</v>
      </c>
      <c r="E79" s="233">
        <v>0</v>
      </c>
      <c r="F79" s="233">
        <v>40114</v>
      </c>
      <c r="G79" s="233">
        <v>279</v>
      </c>
      <c r="H79" s="234">
        <v>6.81</v>
      </c>
      <c r="I79" s="233">
        <v>331.56</v>
      </c>
    </row>
    <row r="80" spans="1:9" hidden="1">
      <c r="A80" s="80" t="s">
        <v>29</v>
      </c>
      <c r="B80" s="233">
        <v>0</v>
      </c>
      <c r="C80" s="233">
        <v>97.1</v>
      </c>
      <c r="D80" s="233">
        <v>126.4</v>
      </c>
      <c r="E80" s="233">
        <v>0</v>
      </c>
      <c r="F80" s="233">
        <v>40206</v>
      </c>
      <c r="G80" s="233">
        <v>279</v>
      </c>
      <c r="H80" s="234">
        <v>6.79</v>
      </c>
      <c r="I80" s="233">
        <v>332.46</v>
      </c>
    </row>
    <row r="81" spans="1:9">
      <c r="A81" s="80" t="s">
        <v>1816</v>
      </c>
      <c r="B81" s="260">
        <f>SUM(B82:B93)</f>
        <v>50.1</v>
      </c>
      <c r="C81" s="260">
        <f>SUM(C82:C93)</f>
        <v>663.35439999999994</v>
      </c>
      <c r="D81" s="260">
        <f>SUM(D82:D93)</f>
        <v>606.7476999999999</v>
      </c>
      <c r="E81" s="260">
        <f>SUM(E82:E93)</f>
        <v>50</v>
      </c>
      <c r="F81" s="260">
        <f>AVERAGE(F82:F93)</f>
        <v>40578.768333333333</v>
      </c>
      <c r="G81" s="260">
        <f>AVERAGE(G82:G93)</f>
        <v>279.39000000000004</v>
      </c>
      <c r="H81" s="261">
        <f>AVERAGE(H82:H93)</f>
        <v>6.732499999999999</v>
      </c>
      <c r="I81" s="260">
        <f>AVERAGE(I82:I93)</f>
        <v>297.30916666666667</v>
      </c>
    </row>
    <row r="82" spans="1:9">
      <c r="A82" s="80" t="s">
        <v>18</v>
      </c>
      <c r="B82" s="233">
        <v>0</v>
      </c>
      <c r="C82" s="233">
        <v>4.2</v>
      </c>
      <c r="D82" s="233">
        <v>5</v>
      </c>
      <c r="E82" s="233">
        <v>3</v>
      </c>
      <c r="F82" s="233">
        <v>40174</v>
      </c>
      <c r="G82" s="233">
        <v>278</v>
      </c>
      <c r="H82" s="234">
        <v>6.77</v>
      </c>
      <c r="I82" s="233">
        <v>297.41000000000003</v>
      </c>
    </row>
    <row r="83" spans="1:9">
      <c r="A83" s="80" t="s">
        <v>19</v>
      </c>
      <c r="B83" s="233">
        <v>3.77</v>
      </c>
      <c r="C83" s="233">
        <v>14.087999999999999</v>
      </c>
      <c r="D83" s="233">
        <v>8.08</v>
      </c>
      <c r="E83" s="233">
        <v>0</v>
      </c>
      <c r="F83" s="233">
        <v>40251</v>
      </c>
      <c r="G83" s="233">
        <v>279</v>
      </c>
      <c r="H83" s="234">
        <v>6.77</v>
      </c>
      <c r="I83" s="233">
        <v>297.08999999999997</v>
      </c>
    </row>
    <row r="84" spans="1:9">
      <c r="A84" s="80" t="s">
        <v>20</v>
      </c>
      <c r="B84" s="233">
        <v>2.5870000000000002</v>
      </c>
      <c r="C84" s="233">
        <v>21.698</v>
      </c>
      <c r="D84" s="233">
        <v>15.38</v>
      </c>
      <c r="E84" s="233">
        <v>0</v>
      </c>
      <c r="F84" s="233">
        <v>40306</v>
      </c>
      <c r="G84" s="233">
        <v>279</v>
      </c>
      <c r="H84" s="234">
        <v>6.76</v>
      </c>
      <c r="I84" s="233">
        <v>297.16000000000003</v>
      </c>
    </row>
    <row r="85" spans="1:9">
      <c r="A85" s="80" t="s">
        <v>21</v>
      </c>
      <c r="B85" s="233">
        <v>2.8250000000000002</v>
      </c>
      <c r="C85" s="233">
        <v>34.902000000000001</v>
      </c>
      <c r="D85" s="233">
        <v>21.917999999999999</v>
      </c>
      <c r="E85" s="233">
        <v>8</v>
      </c>
      <c r="F85" s="233">
        <v>40482</v>
      </c>
      <c r="G85" s="233">
        <v>279</v>
      </c>
      <c r="H85" s="234">
        <v>6.74</v>
      </c>
      <c r="I85" s="233">
        <v>297.64</v>
      </c>
    </row>
    <row r="86" spans="1:9">
      <c r="A86" s="80" t="s">
        <v>22</v>
      </c>
      <c r="B86" s="233">
        <v>10.038</v>
      </c>
      <c r="C86" s="233">
        <v>47.018999999999998</v>
      </c>
      <c r="D86" s="233">
        <v>29.488</v>
      </c>
      <c r="E86" s="233">
        <v>0</v>
      </c>
      <c r="F86" s="233">
        <v>40524</v>
      </c>
      <c r="G86" s="233">
        <v>279</v>
      </c>
      <c r="H86" s="234">
        <v>6.74</v>
      </c>
      <c r="I86" s="233">
        <v>297.29000000000002</v>
      </c>
    </row>
    <row r="87" spans="1:9">
      <c r="A87" s="80" t="s">
        <v>23</v>
      </c>
      <c r="B87" s="233">
        <v>4.6900000000000004</v>
      </c>
      <c r="C87" s="233">
        <v>56.517000000000003</v>
      </c>
      <c r="D87" s="233">
        <v>37.777000000000001</v>
      </c>
      <c r="E87" s="233">
        <v>10</v>
      </c>
      <c r="F87" s="233">
        <v>40584</v>
      </c>
      <c r="G87" s="233">
        <v>279</v>
      </c>
      <c r="H87" s="234">
        <v>6.73</v>
      </c>
      <c r="I87" s="233">
        <v>297.42</v>
      </c>
    </row>
    <row r="88" spans="1:9">
      <c r="A88" s="80" t="s">
        <v>24</v>
      </c>
      <c r="B88" s="233">
        <v>5.26</v>
      </c>
      <c r="C88" s="233">
        <v>65.22</v>
      </c>
      <c r="D88" s="233">
        <v>48.87</v>
      </c>
      <c r="E88" s="233">
        <v>10</v>
      </c>
      <c r="F88" s="233">
        <v>40697.83</v>
      </c>
      <c r="G88" s="233">
        <v>279.68</v>
      </c>
      <c r="H88" s="234">
        <v>6.72</v>
      </c>
      <c r="I88" s="233">
        <v>297.52999999999997</v>
      </c>
    </row>
    <row r="89" spans="1:9">
      <c r="A89" s="80" t="s">
        <v>25</v>
      </c>
      <c r="B89" s="233">
        <v>4.125</v>
      </c>
      <c r="C89" s="233">
        <v>71.778000000000006</v>
      </c>
      <c r="D89" s="233">
        <v>58.665999999999997</v>
      </c>
      <c r="E89" s="233">
        <v>0</v>
      </c>
      <c r="F89" s="233">
        <v>40699.69</v>
      </c>
      <c r="G89" s="233">
        <v>280</v>
      </c>
      <c r="H89" s="234">
        <v>6.7160000000000002</v>
      </c>
      <c r="I89" s="233">
        <v>297.47000000000003</v>
      </c>
    </row>
    <row r="90" spans="1:9">
      <c r="A90" s="80" t="s">
        <v>26</v>
      </c>
      <c r="B90" s="233">
        <v>3.9849999999999999</v>
      </c>
      <c r="C90" s="233">
        <v>77.210999999999999</v>
      </c>
      <c r="D90" s="233">
        <v>75.052999999999997</v>
      </c>
      <c r="E90" s="233">
        <v>5</v>
      </c>
      <c r="F90" s="233">
        <v>40736.730000000003</v>
      </c>
      <c r="G90" s="233">
        <v>280</v>
      </c>
      <c r="H90" s="234">
        <v>6.7140000000000004</v>
      </c>
      <c r="I90" s="233">
        <v>297.02</v>
      </c>
    </row>
    <row r="91" spans="1:9">
      <c r="A91" s="80" t="s">
        <v>27</v>
      </c>
      <c r="B91" s="233">
        <v>4.3250000000000002</v>
      </c>
      <c r="C91" s="233">
        <v>83.152000000000001</v>
      </c>
      <c r="D91" s="233">
        <v>89.881</v>
      </c>
      <c r="E91" s="233">
        <v>5</v>
      </c>
      <c r="F91" s="233">
        <v>40783.21</v>
      </c>
      <c r="G91" s="233">
        <v>280</v>
      </c>
      <c r="H91" s="234">
        <v>6.71</v>
      </c>
      <c r="I91" s="233">
        <v>297.06</v>
      </c>
    </row>
    <row r="92" spans="1:9">
      <c r="A92" s="80" t="s">
        <v>28</v>
      </c>
      <c r="B92" s="233">
        <v>3.93</v>
      </c>
      <c r="C92" s="233">
        <v>90.388099999999994</v>
      </c>
      <c r="D92" s="233">
        <v>103.06189999999999</v>
      </c>
      <c r="E92" s="233">
        <v>5</v>
      </c>
      <c r="F92" s="233">
        <v>40833.620000000003</v>
      </c>
      <c r="G92" s="233">
        <v>280</v>
      </c>
      <c r="H92" s="234">
        <v>6.71</v>
      </c>
      <c r="I92" s="233">
        <v>297.06</v>
      </c>
    </row>
    <row r="93" spans="1:9">
      <c r="A93" s="80" t="s">
        <v>29</v>
      </c>
      <c r="B93" s="233">
        <v>4.5650000000000004</v>
      </c>
      <c r="C93" s="233">
        <v>97.181299999999993</v>
      </c>
      <c r="D93" s="233">
        <v>113.5728</v>
      </c>
      <c r="E93" s="233">
        <v>4</v>
      </c>
      <c r="F93" s="233">
        <v>40873.14</v>
      </c>
      <c r="G93" s="233">
        <v>280</v>
      </c>
      <c r="H93" s="234">
        <v>6.71</v>
      </c>
      <c r="I93" s="233">
        <v>297.56</v>
      </c>
    </row>
    <row r="94" spans="1:9">
      <c r="A94" s="80" t="s">
        <v>1839</v>
      </c>
      <c r="B94" s="260">
        <f>SUM(B95:B106)</f>
        <v>51.024999999999991</v>
      </c>
      <c r="C94" s="260">
        <f>SUM(C95:C106)</f>
        <v>1.0664</v>
      </c>
      <c r="D94" s="260">
        <f>SUM(D95:D106)</f>
        <v>33.237034999999992</v>
      </c>
      <c r="E94" s="260">
        <f>SUM(E95:E106)</f>
        <v>0</v>
      </c>
      <c r="F94" s="260">
        <f>AVERAGE(F95:F106)</f>
        <v>40907.147499999999</v>
      </c>
      <c r="G94" s="260">
        <f>AVERAGE(G95:G106)</f>
        <v>280</v>
      </c>
      <c r="H94" s="261">
        <f>AVERAGE(H95:H106)</f>
        <v>6.7008333333333345</v>
      </c>
      <c r="I94" s="260">
        <f>AVERAGE(I95:I106)</f>
        <v>296.40000000000003</v>
      </c>
    </row>
    <row r="95" spans="1:9">
      <c r="A95" s="80" t="s">
        <v>18</v>
      </c>
      <c r="B95" s="233">
        <v>0</v>
      </c>
      <c r="C95" s="233">
        <v>0.63639999999999997</v>
      </c>
      <c r="D95" s="233">
        <v>4.1711499999999999</v>
      </c>
      <c r="E95" s="233">
        <v>0</v>
      </c>
      <c r="F95" s="233">
        <v>40878.699999999997</v>
      </c>
      <c r="G95" s="233">
        <v>280</v>
      </c>
      <c r="H95" s="234">
        <v>6.71</v>
      </c>
      <c r="I95" s="233">
        <v>297.27999999999997</v>
      </c>
    </row>
    <row r="96" spans="1:9">
      <c r="A96" s="80" t="s">
        <v>19</v>
      </c>
      <c r="B96" s="233">
        <v>0</v>
      </c>
      <c r="C96" s="233">
        <v>0.186</v>
      </c>
      <c r="D96" s="233">
        <v>8.5376999999999992</v>
      </c>
      <c r="E96" s="233">
        <v>0</v>
      </c>
      <c r="F96" s="233">
        <v>40880.120000000003</v>
      </c>
      <c r="G96" s="233">
        <v>280</v>
      </c>
      <c r="H96" s="234">
        <v>6.71</v>
      </c>
      <c r="I96" s="233">
        <v>297.16000000000003</v>
      </c>
    </row>
    <row r="97" spans="1:9">
      <c r="A97" s="80" t="s">
        <v>20</v>
      </c>
      <c r="B97" s="233">
        <v>10.98</v>
      </c>
      <c r="C97" s="233">
        <v>0.05</v>
      </c>
      <c r="D97" s="233">
        <v>5.3662200000000002</v>
      </c>
      <c r="E97" s="233">
        <v>0</v>
      </c>
      <c r="F97" s="233">
        <v>40881.26</v>
      </c>
      <c r="G97" s="233">
        <v>280</v>
      </c>
      <c r="H97" s="234">
        <v>6.71</v>
      </c>
      <c r="I97" s="233">
        <v>296.91000000000003</v>
      </c>
    </row>
    <row r="98" spans="1:9">
      <c r="A98" s="80" t="s">
        <v>21</v>
      </c>
      <c r="B98" s="233">
        <v>3.5049999999999999</v>
      </c>
      <c r="C98" s="233">
        <v>0.19400000000000001</v>
      </c>
      <c r="D98" s="233">
        <v>3.5173000000000001</v>
      </c>
      <c r="E98" s="233">
        <v>0</v>
      </c>
      <c r="F98" s="233">
        <v>40883.129999999997</v>
      </c>
      <c r="G98" s="233">
        <v>280</v>
      </c>
      <c r="H98" s="234">
        <v>6.7</v>
      </c>
      <c r="I98" s="233">
        <v>296.7</v>
      </c>
    </row>
    <row r="99" spans="1:9">
      <c r="A99" s="80" t="s">
        <v>22</v>
      </c>
      <c r="B99" s="233">
        <v>4.18</v>
      </c>
      <c r="C99" s="233">
        <v>0</v>
      </c>
      <c r="D99" s="233">
        <v>4.18</v>
      </c>
      <c r="E99" s="233">
        <v>0</v>
      </c>
      <c r="F99" s="233">
        <v>40885.480000000003</v>
      </c>
      <c r="G99" s="233">
        <v>280</v>
      </c>
      <c r="H99" s="234">
        <v>6.7</v>
      </c>
      <c r="I99" s="233">
        <v>296.57</v>
      </c>
    </row>
    <row r="100" spans="1:9">
      <c r="A100" s="80" t="s">
        <v>23</v>
      </c>
      <c r="B100" s="233">
        <v>4.415</v>
      </c>
      <c r="C100" s="233">
        <v>0</v>
      </c>
      <c r="D100" s="233">
        <v>2.6692999999999998</v>
      </c>
      <c r="E100" s="233">
        <v>0</v>
      </c>
      <c r="F100" s="233">
        <v>40882.61</v>
      </c>
      <c r="G100" s="233">
        <v>280</v>
      </c>
      <c r="H100" s="234">
        <v>6.7</v>
      </c>
      <c r="I100" s="233">
        <v>296.33999999999997</v>
      </c>
    </row>
    <row r="101" spans="1:9">
      <c r="A101" s="80" t="s">
        <v>24</v>
      </c>
      <c r="B101" s="233">
        <v>5.05</v>
      </c>
      <c r="C101" s="233">
        <v>0</v>
      </c>
      <c r="D101" s="233">
        <v>0.85406499999999996</v>
      </c>
      <c r="E101" s="233">
        <v>0</v>
      </c>
      <c r="F101" s="233">
        <v>40882.61</v>
      </c>
      <c r="G101" s="233">
        <v>280</v>
      </c>
      <c r="H101" s="234">
        <v>6.7</v>
      </c>
      <c r="I101" s="233">
        <v>296.12</v>
      </c>
    </row>
    <row r="102" spans="1:9">
      <c r="A102" s="80" t="s">
        <v>25</v>
      </c>
      <c r="B102" s="233">
        <v>4.18</v>
      </c>
      <c r="C102" s="233">
        <v>0</v>
      </c>
      <c r="D102" s="233">
        <v>1.1189</v>
      </c>
      <c r="E102" s="233">
        <v>0</v>
      </c>
      <c r="F102" s="233">
        <v>40882.61</v>
      </c>
      <c r="G102" s="233">
        <v>280</v>
      </c>
      <c r="H102" s="234">
        <v>6.7</v>
      </c>
      <c r="I102" s="233">
        <v>295.92</v>
      </c>
    </row>
    <row r="103" spans="1:9">
      <c r="A103" s="80" t="s">
        <v>26</v>
      </c>
      <c r="B103" s="233">
        <v>4.2699999999999996</v>
      </c>
      <c r="C103" s="233">
        <v>0</v>
      </c>
      <c r="D103" s="233">
        <v>0.77370000000000005</v>
      </c>
      <c r="E103" s="233">
        <v>0</v>
      </c>
      <c r="F103" s="233">
        <v>40882.61</v>
      </c>
      <c r="G103" s="233">
        <v>280</v>
      </c>
      <c r="H103" s="234">
        <v>6.7</v>
      </c>
      <c r="I103" s="233">
        <v>295.81</v>
      </c>
    </row>
    <row r="104" spans="1:9">
      <c r="A104" s="80" t="s">
        <v>27</v>
      </c>
      <c r="B104" s="233">
        <v>4.5650000000000004</v>
      </c>
      <c r="C104" s="233">
        <v>0</v>
      </c>
      <c r="D104" s="233">
        <v>0.75390000000000001</v>
      </c>
      <c r="E104" s="233">
        <v>0</v>
      </c>
      <c r="F104" s="233">
        <v>40882.61</v>
      </c>
      <c r="G104" s="233">
        <v>280</v>
      </c>
      <c r="H104" s="234">
        <v>6.7</v>
      </c>
      <c r="I104" s="233">
        <v>295.69</v>
      </c>
    </row>
    <row r="105" spans="1:9">
      <c r="A105" s="80" t="s">
        <v>28</v>
      </c>
      <c r="B105" s="233">
        <v>4.9400000000000004</v>
      </c>
      <c r="C105" s="233">
        <v>0</v>
      </c>
      <c r="D105" s="233">
        <v>0.64739999999999998</v>
      </c>
      <c r="E105" s="233">
        <v>0</v>
      </c>
      <c r="F105" s="233">
        <v>40945.620000000003</v>
      </c>
      <c r="G105" s="233">
        <v>280</v>
      </c>
      <c r="H105" s="234">
        <v>6.69</v>
      </c>
      <c r="I105" s="233">
        <v>295.79000000000002</v>
      </c>
    </row>
    <row r="106" spans="1:9">
      <c r="A106" s="80" t="s">
        <v>29</v>
      </c>
      <c r="B106" s="233">
        <v>4.9400000000000004</v>
      </c>
      <c r="C106" s="233">
        <v>0</v>
      </c>
      <c r="D106" s="233">
        <v>0.64739999999999998</v>
      </c>
      <c r="E106" s="233">
        <v>0</v>
      </c>
      <c r="F106" s="233">
        <v>41118.410000000003</v>
      </c>
      <c r="G106" s="233">
        <v>280</v>
      </c>
      <c r="H106" s="234">
        <v>6.69</v>
      </c>
      <c r="I106" s="233">
        <v>296.51</v>
      </c>
    </row>
    <row r="107" spans="1:9">
      <c r="A107" s="80" t="s">
        <v>1902</v>
      </c>
      <c r="B107" s="260">
        <f>SUM(B108:B119)</f>
        <v>50</v>
      </c>
      <c r="C107" s="260">
        <f>SUM(C108:C119)</f>
        <v>202.99649999999997</v>
      </c>
      <c r="D107" s="260">
        <f>SUM(D108:D119)</f>
        <v>113.81610000000001</v>
      </c>
      <c r="E107" s="260">
        <f>SUM(E108:E119)</f>
        <v>265</v>
      </c>
      <c r="F107" s="260">
        <f>AVERAGE(F108:F119)</f>
        <v>42937.178333333337</v>
      </c>
      <c r="G107" s="260">
        <f>AVERAGE(G108:G119)</f>
        <v>280.5</v>
      </c>
      <c r="H107" s="261">
        <f>AVERAGE(H108:H119)</f>
        <v>6.6560833333333322</v>
      </c>
      <c r="I107" s="260">
        <f>AVERAGE(I108:I119)</f>
        <v>307.53583333333336</v>
      </c>
    </row>
    <row r="108" spans="1:9">
      <c r="A108" s="80" t="s">
        <v>18</v>
      </c>
      <c r="B108" s="233">
        <v>0</v>
      </c>
      <c r="C108" s="233">
        <v>10.113</v>
      </c>
      <c r="D108" s="233">
        <v>0.16850000000000001</v>
      </c>
      <c r="E108" s="233">
        <v>10</v>
      </c>
      <c r="F108" s="233">
        <v>41331.51</v>
      </c>
      <c r="G108" s="233">
        <v>280</v>
      </c>
      <c r="H108" s="234">
        <v>6.6829999999999998</v>
      </c>
      <c r="I108" s="233">
        <v>297.64</v>
      </c>
    </row>
    <row r="109" spans="1:9">
      <c r="A109" s="80" t="s">
        <v>19</v>
      </c>
      <c r="B109" s="233">
        <v>0</v>
      </c>
      <c r="C109" s="233">
        <v>14.8</v>
      </c>
      <c r="D109" s="233">
        <v>0.18129999999999999</v>
      </c>
      <c r="E109" s="233">
        <v>20</v>
      </c>
      <c r="F109" s="233">
        <v>41651.800000000003</v>
      </c>
      <c r="G109" s="233">
        <v>280</v>
      </c>
      <c r="H109" s="234">
        <v>6.67</v>
      </c>
      <c r="I109" s="233">
        <v>299.36</v>
      </c>
    </row>
    <row r="110" spans="1:9">
      <c r="A110" s="80" t="s">
        <v>20</v>
      </c>
      <c r="B110" s="233">
        <v>12.125</v>
      </c>
      <c r="C110" s="233">
        <v>12.618</v>
      </c>
      <c r="D110" s="233">
        <v>1.8015000000000001</v>
      </c>
      <c r="E110" s="233">
        <v>20</v>
      </c>
      <c r="F110" s="233">
        <v>41904.230000000003</v>
      </c>
      <c r="G110" s="233">
        <v>280</v>
      </c>
      <c r="H110" s="234">
        <v>6.66</v>
      </c>
      <c r="I110" s="233">
        <v>300.55</v>
      </c>
    </row>
    <row r="111" spans="1:9">
      <c r="A111" s="80" t="s">
        <v>21</v>
      </c>
      <c r="B111" s="233">
        <v>4.4000000000000004</v>
      </c>
      <c r="C111" s="233">
        <v>16.1096</v>
      </c>
      <c r="D111" s="233">
        <v>5.6322000000000001</v>
      </c>
      <c r="E111" s="233">
        <v>25</v>
      </c>
      <c r="F111" s="233">
        <v>42187.55</v>
      </c>
      <c r="G111" s="233">
        <v>280</v>
      </c>
      <c r="H111" s="234">
        <v>6.66</v>
      </c>
      <c r="I111" s="233">
        <v>302.68</v>
      </c>
    </row>
    <row r="112" spans="1:9">
      <c r="A112" s="80" t="s">
        <v>22</v>
      </c>
      <c r="B112" s="233">
        <v>3.87</v>
      </c>
      <c r="C112" s="233">
        <v>11.520099999999999</v>
      </c>
      <c r="D112" s="233">
        <v>8.9938000000000002</v>
      </c>
      <c r="E112" s="233">
        <v>25</v>
      </c>
      <c r="F112" s="233">
        <v>42390.27</v>
      </c>
      <c r="G112" s="233">
        <v>280</v>
      </c>
      <c r="H112" s="234">
        <v>6.67</v>
      </c>
      <c r="I112" s="233">
        <v>304.3</v>
      </c>
    </row>
    <row r="113" spans="1:9">
      <c r="A113" s="80" t="s">
        <v>23</v>
      </c>
      <c r="B113" s="233">
        <v>3.8</v>
      </c>
      <c r="C113" s="233">
        <v>11.8772</v>
      </c>
      <c r="D113" s="233">
        <v>9.1902000000000008</v>
      </c>
      <c r="E113" s="233">
        <v>25</v>
      </c>
      <c r="F113" s="233">
        <v>42612.13</v>
      </c>
      <c r="G113" s="233">
        <v>280</v>
      </c>
      <c r="H113" s="234">
        <v>6.67</v>
      </c>
      <c r="I113" s="233">
        <v>305.56</v>
      </c>
    </row>
    <row r="114" spans="1:9">
      <c r="A114" s="80" t="s">
        <v>24</v>
      </c>
      <c r="B114" s="233">
        <v>4.5650000000000004</v>
      </c>
      <c r="C114" s="233">
        <v>16.498100000000001</v>
      </c>
      <c r="D114" s="233">
        <v>12.755800000000001</v>
      </c>
      <c r="E114" s="233">
        <v>25</v>
      </c>
      <c r="F114" s="233">
        <v>42900.69</v>
      </c>
      <c r="G114" s="233">
        <v>281</v>
      </c>
      <c r="H114" s="234">
        <v>6.66</v>
      </c>
      <c r="I114" s="233">
        <v>307</v>
      </c>
    </row>
    <row r="115" spans="1:9">
      <c r="A115" s="80" t="s">
        <v>25</v>
      </c>
      <c r="B115" s="233">
        <v>2.2850000000000001</v>
      </c>
      <c r="C115" s="233">
        <v>19.773</v>
      </c>
      <c r="D115" s="233">
        <v>8.1585000000000001</v>
      </c>
      <c r="E115" s="233">
        <v>0</v>
      </c>
      <c r="F115" s="233">
        <v>43279.64</v>
      </c>
      <c r="G115" s="233">
        <v>281</v>
      </c>
      <c r="H115" s="234">
        <v>6.65</v>
      </c>
      <c r="I115" s="233">
        <v>309.5</v>
      </c>
    </row>
    <row r="116" spans="1:9">
      <c r="A116" s="80" t="s">
        <v>26</v>
      </c>
      <c r="B116" s="233">
        <v>4.3449999999999998</v>
      </c>
      <c r="C116" s="233">
        <v>17.212399999999999</v>
      </c>
      <c r="D116" s="233">
        <v>11.836399999999999</v>
      </c>
      <c r="E116" s="233">
        <v>50</v>
      </c>
      <c r="F116" s="233">
        <v>43594.35</v>
      </c>
      <c r="G116" s="233">
        <v>281</v>
      </c>
      <c r="H116" s="234">
        <v>6.64</v>
      </c>
      <c r="I116" s="233">
        <v>311.35000000000002</v>
      </c>
    </row>
    <row r="117" spans="1:9">
      <c r="A117" s="80" t="s">
        <v>27</v>
      </c>
      <c r="B117" s="233">
        <v>4.6100000000000003</v>
      </c>
      <c r="C117" s="233">
        <v>18.595500000000001</v>
      </c>
      <c r="D117" s="233">
        <v>14.4072</v>
      </c>
      <c r="E117" s="233">
        <v>25</v>
      </c>
      <c r="F117" s="233">
        <v>43915.06</v>
      </c>
      <c r="G117" s="233">
        <v>281</v>
      </c>
      <c r="H117" s="234">
        <v>6.64</v>
      </c>
      <c r="I117" s="233">
        <v>313.5</v>
      </c>
    </row>
    <row r="118" spans="1:9">
      <c r="A118" s="80" t="s">
        <v>28</v>
      </c>
      <c r="B118" s="233">
        <v>4.6749999999999998</v>
      </c>
      <c r="C118" s="233">
        <v>23.4818</v>
      </c>
      <c r="D118" s="233">
        <v>21.082999999999998</v>
      </c>
      <c r="E118" s="233">
        <v>25</v>
      </c>
      <c r="F118" s="233">
        <v>44435.57</v>
      </c>
      <c r="G118" s="233">
        <v>281</v>
      </c>
      <c r="H118" s="234">
        <v>6.64</v>
      </c>
      <c r="I118" s="233">
        <v>317.27999999999997</v>
      </c>
    </row>
    <row r="119" spans="1:9">
      <c r="A119" s="80" t="s">
        <v>29</v>
      </c>
      <c r="B119" s="233">
        <v>5.3250000000000002</v>
      </c>
      <c r="C119" s="233">
        <v>30.3978</v>
      </c>
      <c r="D119" s="233">
        <v>19.607700000000001</v>
      </c>
      <c r="E119" s="233">
        <v>15</v>
      </c>
      <c r="F119" s="233">
        <v>45043.34</v>
      </c>
      <c r="G119" s="233">
        <v>281</v>
      </c>
      <c r="H119" s="234">
        <v>6.63</v>
      </c>
      <c r="I119" s="233">
        <v>321.70999999999998</v>
      </c>
    </row>
    <row r="120" spans="1:9">
      <c r="A120" s="80" t="s">
        <v>2038</v>
      </c>
      <c r="B120" s="260">
        <f>SUM(B121:B132)</f>
        <v>100</v>
      </c>
      <c r="C120" s="260">
        <f>SUM(C121:C132)</f>
        <v>272.5093</v>
      </c>
      <c r="D120" s="260">
        <f>SUM(D121:D132)</f>
        <v>244.50640000000004</v>
      </c>
      <c r="E120" s="260">
        <f>SUM(E121:E132)</f>
        <v>200</v>
      </c>
      <c r="F120" s="260">
        <f>AVERAGE(F121:F132)</f>
        <v>47201.718333333331</v>
      </c>
      <c r="G120" s="260">
        <f>AVERAGE(G121:G132)</f>
        <v>281</v>
      </c>
      <c r="H120" s="261">
        <f>AVERAGE(H121:H132)</f>
        <v>6.5966666666666676</v>
      </c>
      <c r="I120" s="260">
        <f>AVERAGE(I121:I132)</f>
        <v>335.51833333333332</v>
      </c>
    </row>
    <row r="121" spans="1:9">
      <c r="A121" s="80" t="s">
        <v>18</v>
      </c>
      <c r="B121" s="233">
        <v>0</v>
      </c>
      <c r="C121" s="233">
        <v>14.5593</v>
      </c>
      <c r="D121" s="233">
        <v>16.561800000000002</v>
      </c>
      <c r="E121" s="233">
        <v>0</v>
      </c>
      <c r="F121" s="233">
        <v>45323</v>
      </c>
      <c r="G121" s="233">
        <v>281</v>
      </c>
      <c r="H121" s="234">
        <v>6.63</v>
      </c>
      <c r="I121" s="233">
        <v>323.43</v>
      </c>
    </row>
    <row r="122" spans="1:9">
      <c r="A122" s="80" t="s">
        <v>19</v>
      </c>
      <c r="B122" s="233">
        <v>50</v>
      </c>
      <c r="C122" s="233">
        <v>19.2485</v>
      </c>
      <c r="D122" s="233">
        <v>22.546900000000001</v>
      </c>
      <c r="E122" s="233">
        <v>35</v>
      </c>
      <c r="F122" s="233">
        <v>45700</v>
      </c>
      <c r="G122" s="233">
        <v>281</v>
      </c>
      <c r="H122" s="234">
        <v>6.63</v>
      </c>
      <c r="I122" s="233">
        <v>325.88</v>
      </c>
    </row>
    <row r="123" spans="1:9">
      <c r="A123" s="80" t="s">
        <v>20</v>
      </c>
      <c r="B123" s="233">
        <v>0</v>
      </c>
      <c r="C123" s="233">
        <v>15.486800000000001</v>
      </c>
      <c r="D123" s="233">
        <v>13.219200000000001</v>
      </c>
      <c r="E123" s="233">
        <v>0</v>
      </c>
      <c r="F123" s="233">
        <v>45950</v>
      </c>
      <c r="G123" s="233">
        <v>281</v>
      </c>
      <c r="H123" s="234">
        <v>6.63</v>
      </c>
      <c r="I123" s="233">
        <v>327.60000000000002</v>
      </c>
    </row>
    <row r="124" spans="1:9">
      <c r="A124" s="80" t="s">
        <v>21</v>
      </c>
      <c r="B124" s="233">
        <v>0</v>
      </c>
      <c r="C124" s="233">
        <v>26.129300000000001</v>
      </c>
      <c r="D124" s="233">
        <v>16.338899999999999</v>
      </c>
      <c r="E124" s="233">
        <v>20</v>
      </c>
      <c r="F124" s="233">
        <v>46409</v>
      </c>
      <c r="G124" s="233">
        <v>281</v>
      </c>
      <c r="H124" s="234">
        <v>6.62</v>
      </c>
      <c r="I124" s="233">
        <v>330.5</v>
      </c>
    </row>
    <row r="125" spans="1:9">
      <c r="A125" s="80" t="s">
        <v>22</v>
      </c>
      <c r="B125" s="233">
        <v>0</v>
      </c>
      <c r="C125" s="233">
        <v>23.001300000000001</v>
      </c>
      <c r="D125" s="233">
        <v>18.290600000000001</v>
      </c>
      <c r="E125" s="233">
        <v>20</v>
      </c>
      <c r="F125" s="233">
        <v>46765</v>
      </c>
      <c r="G125" s="233">
        <v>281</v>
      </c>
      <c r="H125" s="234">
        <v>6.6</v>
      </c>
      <c r="I125" s="233">
        <v>332.63</v>
      </c>
    </row>
    <row r="126" spans="1:9">
      <c r="A126" s="80" t="s">
        <v>23</v>
      </c>
      <c r="B126" s="233">
        <v>0</v>
      </c>
      <c r="C126" s="233">
        <v>18.989100000000001</v>
      </c>
      <c r="D126" s="233">
        <v>21.4114</v>
      </c>
      <c r="E126" s="233">
        <v>20</v>
      </c>
      <c r="F126" s="233">
        <v>47077.73</v>
      </c>
      <c r="G126" s="233">
        <v>281</v>
      </c>
      <c r="H126" s="234">
        <v>6.6</v>
      </c>
      <c r="I126" s="233">
        <v>334.95</v>
      </c>
    </row>
    <row r="127" spans="1:9">
      <c r="A127" s="80" t="s">
        <v>24</v>
      </c>
      <c r="B127" s="233">
        <v>0</v>
      </c>
      <c r="C127" s="233">
        <v>18.581700000000001</v>
      </c>
      <c r="D127" s="233">
        <v>27.331499999999998</v>
      </c>
      <c r="E127" s="233">
        <v>20</v>
      </c>
      <c r="F127" s="233">
        <v>47340.28</v>
      </c>
      <c r="G127" s="233">
        <v>281</v>
      </c>
      <c r="H127" s="234">
        <v>6.6</v>
      </c>
      <c r="I127" s="233">
        <v>336.86</v>
      </c>
    </row>
    <row r="128" spans="1:9">
      <c r="A128" s="80" t="s">
        <v>25</v>
      </c>
      <c r="B128" s="233">
        <v>0</v>
      </c>
      <c r="C128" s="233">
        <v>19.313199999999998</v>
      </c>
      <c r="D128" s="233">
        <v>22.8035</v>
      </c>
      <c r="E128" s="233">
        <v>20</v>
      </c>
      <c r="F128" s="233">
        <v>47632.47</v>
      </c>
      <c r="G128" s="233">
        <v>281</v>
      </c>
      <c r="H128" s="234">
        <v>6.6</v>
      </c>
      <c r="I128" s="233">
        <v>338.73</v>
      </c>
    </row>
    <row r="129" spans="1:9">
      <c r="A129" s="80" t="s">
        <v>26</v>
      </c>
      <c r="B129" s="233">
        <v>50</v>
      </c>
      <c r="C129" s="233">
        <v>27.897500000000001</v>
      </c>
      <c r="D129" s="233">
        <v>20.247599999999998</v>
      </c>
      <c r="E129" s="233">
        <v>20</v>
      </c>
      <c r="F129" s="233">
        <v>48084.23</v>
      </c>
      <c r="G129" s="233">
        <v>281</v>
      </c>
      <c r="H129" s="234">
        <v>6.57</v>
      </c>
      <c r="I129" s="233">
        <v>341.31</v>
      </c>
    </row>
    <row r="130" spans="1:9">
      <c r="A130" s="80" t="s">
        <v>27</v>
      </c>
      <c r="B130" s="233">
        <v>0</v>
      </c>
      <c r="C130" s="233">
        <v>31.194199999999999</v>
      </c>
      <c r="D130" s="233">
        <v>22.561900000000001</v>
      </c>
      <c r="E130" s="233">
        <v>20</v>
      </c>
      <c r="F130" s="233">
        <v>48306.58</v>
      </c>
      <c r="G130" s="233">
        <v>281</v>
      </c>
      <c r="H130" s="234">
        <v>6.57</v>
      </c>
      <c r="I130" s="233">
        <v>342.32</v>
      </c>
    </row>
    <row r="131" spans="1:9">
      <c r="A131" s="80" t="s">
        <v>28</v>
      </c>
      <c r="B131" s="233">
        <v>0</v>
      </c>
      <c r="C131" s="233">
        <v>27.587</v>
      </c>
      <c r="D131" s="233">
        <v>20.220199999999998</v>
      </c>
      <c r="E131" s="233">
        <v>25</v>
      </c>
      <c r="F131" s="233">
        <v>48703.839999999997</v>
      </c>
      <c r="G131" s="233">
        <v>281</v>
      </c>
      <c r="H131" s="234">
        <v>6.56</v>
      </c>
      <c r="I131" s="233">
        <v>344.68</v>
      </c>
    </row>
    <row r="132" spans="1:9">
      <c r="A132" s="80" t="s">
        <v>29</v>
      </c>
      <c r="B132" s="233">
        <v>0</v>
      </c>
      <c r="C132" s="233">
        <v>30.5214</v>
      </c>
      <c r="D132" s="233">
        <v>22.972899999999999</v>
      </c>
      <c r="E132" s="233">
        <v>0</v>
      </c>
      <c r="F132" s="233">
        <v>49128.49</v>
      </c>
      <c r="G132" s="233">
        <v>281</v>
      </c>
      <c r="H132" s="234">
        <v>6.55</v>
      </c>
      <c r="I132" s="233">
        <v>347.33</v>
      </c>
    </row>
    <row r="133" spans="1:9">
      <c r="A133" s="80" t="s">
        <v>2131</v>
      </c>
      <c r="B133" s="260">
        <f>SUM(B134:B145)</f>
        <v>80</v>
      </c>
      <c r="C133" s="260">
        <f>SUM(C134:C145)</f>
        <v>173.57835300000002</v>
      </c>
      <c r="D133" s="260">
        <f>SUM(D134:D145)</f>
        <v>220.35491999999996</v>
      </c>
      <c r="E133" s="260">
        <f>SUM(E134:E145)</f>
        <v>150</v>
      </c>
      <c r="F133" s="260">
        <f>AVERAGE(F134:F145)</f>
        <v>50141.708333333336</v>
      </c>
      <c r="G133" s="260">
        <f>AVERAGE(G134:G145)</f>
        <v>281.25</v>
      </c>
      <c r="H133" s="261">
        <f>AVERAGE(H134:H145)</f>
        <v>6.4925000000000006</v>
      </c>
      <c r="I133" s="260">
        <f>AVERAGE(I134:I145)</f>
        <v>351.84250000000003</v>
      </c>
    </row>
    <row r="134" spans="1:9">
      <c r="A134" s="80" t="s">
        <v>18</v>
      </c>
      <c r="B134" s="233">
        <v>0</v>
      </c>
      <c r="C134" s="233">
        <v>13.0352</v>
      </c>
      <c r="D134" s="233">
        <v>22.866599999999998</v>
      </c>
      <c r="E134" s="233">
        <v>0</v>
      </c>
      <c r="F134" s="233">
        <v>49291.91</v>
      </c>
      <c r="G134" s="233">
        <v>281</v>
      </c>
      <c r="H134" s="234">
        <v>6.55</v>
      </c>
      <c r="I134" s="233">
        <v>348.14</v>
      </c>
    </row>
    <row r="135" spans="1:9">
      <c r="A135" s="80" t="s">
        <v>19</v>
      </c>
      <c r="B135" s="233">
        <v>0</v>
      </c>
      <c r="C135" s="233">
        <v>23.507999999999999</v>
      </c>
      <c r="D135" s="233">
        <v>20.7834</v>
      </c>
      <c r="E135" s="233">
        <v>0</v>
      </c>
      <c r="F135" s="233">
        <v>49500</v>
      </c>
      <c r="G135" s="233">
        <v>281</v>
      </c>
      <c r="H135" s="234">
        <v>6.53</v>
      </c>
      <c r="I135" s="233">
        <v>348.72</v>
      </c>
    </row>
    <row r="136" spans="1:9">
      <c r="A136" s="80" t="s">
        <v>20</v>
      </c>
      <c r="B136" s="233">
        <v>0</v>
      </c>
      <c r="C136" s="233">
        <v>16.206299999999999</v>
      </c>
      <c r="D136" s="233">
        <v>27.242000000000001</v>
      </c>
      <c r="E136" s="233">
        <v>20</v>
      </c>
      <c r="F136" s="233">
        <v>49690</v>
      </c>
      <c r="G136" s="233">
        <v>282</v>
      </c>
      <c r="H136" s="234">
        <v>6.52</v>
      </c>
      <c r="I136" s="233">
        <v>349.32</v>
      </c>
    </row>
    <row r="137" spans="1:9">
      <c r="A137" s="80" t="s">
        <v>21</v>
      </c>
      <c r="B137" s="233">
        <v>20</v>
      </c>
      <c r="C137" s="233">
        <v>20.945699999999999</v>
      </c>
      <c r="D137" s="233">
        <v>29.6416</v>
      </c>
      <c r="E137" s="233">
        <v>0</v>
      </c>
      <c r="F137" s="233">
        <v>49942</v>
      </c>
      <c r="G137" s="233">
        <v>282</v>
      </c>
      <c r="H137" s="234">
        <v>6.51</v>
      </c>
      <c r="I137" s="233">
        <v>350.39</v>
      </c>
    </row>
    <row r="138" spans="1:9">
      <c r="A138" s="80" t="s">
        <v>22</v>
      </c>
      <c r="B138" s="233">
        <v>20</v>
      </c>
      <c r="C138" s="233">
        <v>20.208600000000001</v>
      </c>
      <c r="D138" s="233">
        <v>21.057200000000002</v>
      </c>
      <c r="E138" s="233">
        <v>20</v>
      </c>
      <c r="F138" s="233">
        <v>50106.07</v>
      </c>
      <c r="G138" s="233">
        <v>282</v>
      </c>
      <c r="H138" s="234">
        <v>6.49</v>
      </c>
      <c r="I138" s="233">
        <v>351.25</v>
      </c>
    </row>
    <row r="139" spans="1:9">
      <c r="A139" s="80" t="s">
        <v>23</v>
      </c>
      <c r="B139" s="233">
        <v>0</v>
      </c>
      <c r="C139" s="233">
        <v>6.09131</v>
      </c>
      <c r="D139" s="233">
        <v>14.0261</v>
      </c>
      <c r="E139" s="233">
        <v>0</v>
      </c>
      <c r="F139" s="233">
        <v>50182.27</v>
      </c>
      <c r="G139" s="233">
        <v>281</v>
      </c>
      <c r="H139" s="234">
        <v>6.49</v>
      </c>
      <c r="I139" s="233">
        <v>351.78</v>
      </c>
    </row>
    <row r="140" spans="1:9">
      <c r="A140" s="80" t="s">
        <v>24</v>
      </c>
      <c r="B140" s="233">
        <v>0</v>
      </c>
      <c r="C140" s="233">
        <v>7.6467200000000002</v>
      </c>
      <c r="D140" s="233">
        <v>20.507850000000001</v>
      </c>
      <c r="E140" s="233">
        <v>20</v>
      </c>
      <c r="F140" s="233">
        <v>50266</v>
      </c>
      <c r="G140" s="233">
        <v>281</v>
      </c>
      <c r="H140" s="234">
        <v>6.49</v>
      </c>
      <c r="I140" s="233">
        <v>352.35</v>
      </c>
    </row>
    <row r="141" spans="1:9" ht="14.45" customHeight="1">
      <c r="A141" s="80" t="s">
        <v>25</v>
      </c>
      <c r="B141" s="233">
        <v>0</v>
      </c>
      <c r="C141" s="233">
        <v>5.01572</v>
      </c>
      <c r="D141" s="233">
        <v>14.920629999999999</v>
      </c>
      <c r="E141" s="233">
        <v>20</v>
      </c>
      <c r="F141" s="233">
        <v>50336</v>
      </c>
      <c r="G141" s="233">
        <v>281</v>
      </c>
      <c r="H141" s="234">
        <v>6.49</v>
      </c>
      <c r="I141" s="233">
        <v>352.68</v>
      </c>
    </row>
    <row r="142" spans="1:9" ht="14.45" customHeight="1">
      <c r="A142" s="80" t="s">
        <v>26</v>
      </c>
      <c r="B142" s="233">
        <v>40</v>
      </c>
      <c r="C142" s="233">
        <v>6.0289000000000001</v>
      </c>
      <c r="D142" s="233">
        <v>17.67107</v>
      </c>
      <c r="E142" s="233">
        <v>30</v>
      </c>
      <c r="F142" s="233">
        <v>50403</v>
      </c>
      <c r="G142" s="233">
        <v>281</v>
      </c>
      <c r="H142" s="234">
        <v>6.48</v>
      </c>
      <c r="I142" s="233">
        <v>353.13</v>
      </c>
    </row>
    <row r="143" spans="1:9" ht="14.45" customHeight="1">
      <c r="A143" s="80" t="s">
        <v>27</v>
      </c>
      <c r="B143" s="233">
        <v>0</v>
      </c>
      <c r="C143" s="233">
        <v>9.1243800000000004</v>
      </c>
      <c r="D143" s="233">
        <v>18.955549999999999</v>
      </c>
      <c r="E143" s="233">
        <v>20</v>
      </c>
      <c r="F143" s="233">
        <v>50530</v>
      </c>
      <c r="G143" s="233">
        <v>281</v>
      </c>
      <c r="H143" s="234">
        <v>6.48</v>
      </c>
      <c r="I143" s="233">
        <v>354.08</v>
      </c>
    </row>
    <row r="144" spans="1:9" ht="14.45" customHeight="1">
      <c r="A144" s="80" t="s">
        <v>28</v>
      </c>
      <c r="B144" s="233">
        <v>0</v>
      </c>
      <c r="C144" s="233">
        <v>31.024450000000002</v>
      </c>
      <c r="D144" s="233">
        <v>7.5196500000000004</v>
      </c>
      <c r="E144" s="233">
        <v>20</v>
      </c>
      <c r="F144" s="233">
        <v>50632.25</v>
      </c>
      <c r="G144" s="233">
        <v>281</v>
      </c>
      <c r="H144" s="234">
        <v>6.44</v>
      </c>
      <c r="I144" s="233">
        <v>354.38</v>
      </c>
    </row>
    <row r="145" spans="1:9" ht="14.45" customHeight="1">
      <c r="A145" s="80" t="s">
        <v>29</v>
      </c>
      <c r="B145" s="233">
        <v>0</v>
      </c>
      <c r="C145" s="233">
        <v>14.743073000000001</v>
      </c>
      <c r="D145" s="233">
        <v>5.1632699999999998</v>
      </c>
      <c r="E145" s="233">
        <v>0</v>
      </c>
      <c r="F145" s="233">
        <v>50821</v>
      </c>
      <c r="G145" s="233">
        <v>281</v>
      </c>
      <c r="H145" s="234">
        <v>6.44</v>
      </c>
      <c r="I145" s="233">
        <v>355.89</v>
      </c>
    </row>
    <row r="146" spans="1:9" ht="14.45" customHeight="1">
      <c r="A146" s="80" t="s">
        <v>2362</v>
      </c>
      <c r="B146" s="260">
        <f>SUM(B147:B158)</f>
        <v>161.001</v>
      </c>
      <c r="C146" s="260">
        <f>SUM(C147:C158)</f>
        <v>257.48837900000001</v>
      </c>
      <c r="D146" s="260">
        <f>SUM(D147:D158)</f>
        <v>163.67166500000002</v>
      </c>
      <c r="E146" s="260">
        <f>SUM(E147:E158)</f>
        <v>250</v>
      </c>
      <c r="F146" s="260">
        <f>AVERAGE(F147:F158)</f>
        <v>51936.027499999997</v>
      </c>
      <c r="G146" s="260">
        <f>AVERAGE(G147:G158)</f>
        <v>281.5</v>
      </c>
      <c r="H146" s="261">
        <f>AVERAGE(H147:H158)</f>
        <v>6.3991666666666669</v>
      </c>
      <c r="I146" s="260">
        <f>AVERAGE(I147:I158)</f>
        <v>362.99250000000001</v>
      </c>
    </row>
    <row r="147" spans="1:9" ht="14.45" customHeight="1">
      <c r="A147" s="80" t="s">
        <v>18</v>
      </c>
      <c r="B147" s="233">
        <v>17.75</v>
      </c>
      <c r="C147" s="233">
        <v>6.1365259999999999</v>
      </c>
      <c r="D147" s="233">
        <v>6.241689</v>
      </c>
      <c r="E147" s="233">
        <v>0</v>
      </c>
      <c r="F147" s="233">
        <v>50825</v>
      </c>
      <c r="G147" s="233">
        <v>281</v>
      </c>
      <c r="H147" s="234">
        <v>6.43</v>
      </c>
      <c r="I147" s="233">
        <v>355.77</v>
      </c>
    </row>
    <row r="148" spans="1:9" ht="14.45" customHeight="1">
      <c r="A148" s="80" t="s">
        <v>19</v>
      </c>
      <c r="B148" s="233">
        <v>0</v>
      </c>
      <c r="C148" s="233">
        <v>20.358519999999999</v>
      </c>
      <c r="D148" s="233">
        <v>5.138388</v>
      </c>
      <c r="E148" s="233">
        <v>0</v>
      </c>
      <c r="F148" s="233">
        <v>51004</v>
      </c>
      <c r="G148" s="233">
        <v>281</v>
      </c>
      <c r="H148" s="234">
        <v>6.42</v>
      </c>
      <c r="I148" s="233">
        <v>356.82</v>
      </c>
    </row>
    <row r="149" spans="1:9" ht="14.45" customHeight="1">
      <c r="A149" s="80" t="s">
        <v>20</v>
      </c>
      <c r="B149" s="233">
        <v>0</v>
      </c>
      <c r="C149" s="233">
        <v>27.974720000000001</v>
      </c>
      <c r="D149" s="233">
        <v>2.695068</v>
      </c>
      <c r="E149" s="233">
        <v>20</v>
      </c>
      <c r="F149" s="233">
        <v>51357</v>
      </c>
      <c r="G149" s="233">
        <v>281</v>
      </c>
      <c r="H149" s="234">
        <v>6.42</v>
      </c>
      <c r="I149" s="233">
        <v>359.15</v>
      </c>
    </row>
    <row r="150" spans="1:9" ht="14.45" customHeight="1">
      <c r="A150" s="80" t="s">
        <v>21</v>
      </c>
      <c r="B150" s="233">
        <v>57.750999999999998</v>
      </c>
      <c r="C150" s="233">
        <v>11.364940000000001</v>
      </c>
      <c r="D150" s="233">
        <v>0</v>
      </c>
      <c r="E150" s="233">
        <v>30</v>
      </c>
      <c r="F150" s="233">
        <v>51493.65</v>
      </c>
      <c r="G150" s="233">
        <v>281</v>
      </c>
      <c r="H150" s="234">
        <v>6.42</v>
      </c>
      <c r="I150" s="233">
        <v>360.18</v>
      </c>
    </row>
    <row r="151" spans="1:9" ht="14.45" customHeight="1">
      <c r="A151" s="80" t="s">
        <v>22</v>
      </c>
      <c r="B151" s="233">
        <v>0</v>
      </c>
      <c r="C151" s="233">
        <v>8.6287800000000008</v>
      </c>
      <c r="D151" s="233">
        <v>5.0273300000000001</v>
      </c>
      <c r="E151" s="233">
        <v>25</v>
      </c>
      <c r="F151" s="233">
        <v>51575.43</v>
      </c>
      <c r="G151" s="233">
        <v>281</v>
      </c>
      <c r="H151" s="234">
        <v>6.42</v>
      </c>
      <c r="I151" s="233">
        <v>360.77</v>
      </c>
    </row>
    <row r="152" spans="1:9" ht="14.45" customHeight="1">
      <c r="A152" s="80" t="s">
        <v>23</v>
      </c>
      <c r="B152" s="233">
        <v>0</v>
      </c>
      <c r="C152" s="233">
        <v>18.744430000000001</v>
      </c>
      <c r="D152" s="233">
        <v>5.2018599999999999</v>
      </c>
      <c r="E152" s="233">
        <v>25</v>
      </c>
      <c r="F152" s="233">
        <v>51781.25</v>
      </c>
      <c r="G152" s="233">
        <v>281</v>
      </c>
      <c r="H152" s="234">
        <v>6.42</v>
      </c>
      <c r="I152" s="233">
        <v>362.31</v>
      </c>
    </row>
    <row r="153" spans="1:9" ht="14.45" customHeight="1">
      <c r="A153" s="80" t="s">
        <v>24</v>
      </c>
      <c r="B153" s="233">
        <v>67.75</v>
      </c>
      <c r="C153" s="233">
        <v>38.568530000000003</v>
      </c>
      <c r="D153" s="233">
        <v>17.03</v>
      </c>
      <c r="E153" s="233">
        <v>25</v>
      </c>
      <c r="F153" s="233">
        <v>52100</v>
      </c>
      <c r="G153" s="233">
        <v>282</v>
      </c>
      <c r="H153" s="234">
        <v>6.41</v>
      </c>
      <c r="I153" s="233">
        <v>364.12</v>
      </c>
    </row>
    <row r="154" spans="1:9" ht="14.45" customHeight="1">
      <c r="A154" s="80" t="s">
        <v>25</v>
      </c>
      <c r="B154" s="233">
        <v>0</v>
      </c>
      <c r="C154" s="233">
        <v>25.95701</v>
      </c>
      <c r="D154" s="233">
        <v>23.72016</v>
      </c>
      <c r="E154" s="233">
        <v>25</v>
      </c>
      <c r="F154" s="233">
        <v>52306</v>
      </c>
      <c r="G154" s="233">
        <v>282</v>
      </c>
      <c r="H154" s="234">
        <v>6.39</v>
      </c>
      <c r="I154" s="233">
        <v>365.24</v>
      </c>
    </row>
    <row r="155" spans="1:9" ht="14.45" customHeight="1">
      <c r="A155" s="80" t="s">
        <v>26</v>
      </c>
      <c r="B155" s="233">
        <v>0</v>
      </c>
      <c r="C155" s="233">
        <v>22.726603000000001</v>
      </c>
      <c r="D155" s="233">
        <v>15.418559999999999</v>
      </c>
      <c r="E155" s="233">
        <v>25</v>
      </c>
      <c r="F155" s="233">
        <v>52462</v>
      </c>
      <c r="G155" s="233">
        <v>282</v>
      </c>
      <c r="H155" s="234">
        <v>6.38</v>
      </c>
      <c r="I155" s="233">
        <v>366.35</v>
      </c>
    </row>
    <row r="156" spans="1:9" ht="14.45" customHeight="1">
      <c r="A156" s="80" t="s">
        <v>27</v>
      </c>
      <c r="B156" s="233">
        <v>17.75</v>
      </c>
      <c r="C156" s="233">
        <v>27.098469999999999</v>
      </c>
      <c r="D156" s="233">
        <v>29.089590000000001</v>
      </c>
      <c r="E156" s="233">
        <v>25</v>
      </c>
      <c r="F156" s="233">
        <v>52556</v>
      </c>
      <c r="G156" s="233">
        <v>282</v>
      </c>
      <c r="H156" s="234">
        <v>6.36</v>
      </c>
      <c r="I156" s="233">
        <v>366.76</v>
      </c>
    </row>
    <row r="157" spans="1:9" ht="14.45" customHeight="1">
      <c r="A157" s="80" t="s">
        <v>28</v>
      </c>
      <c r="B157" s="233">
        <v>0</v>
      </c>
      <c r="C157" s="233">
        <v>21.086279999999999</v>
      </c>
      <c r="D157" s="233">
        <v>28.74878</v>
      </c>
      <c r="E157" s="233">
        <v>0</v>
      </c>
      <c r="F157" s="233">
        <v>52746</v>
      </c>
      <c r="G157" s="233">
        <v>282</v>
      </c>
      <c r="H157" s="234">
        <v>6.36</v>
      </c>
      <c r="I157" s="233">
        <v>368.22</v>
      </c>
    </row>
    <row r="158" spans="1:9" ht="14.45" customHeight="1">
      <c r="A158" s="80" t="s">
        <v>29</v>
      </c>
      <c r="B158" s="233">
        <v>0</v>
      </c>
      <c r="C158" s="233">
        <v>28.84357</v>
      </c>
      <c r="D158" s="233">
        <v>25.360240000000001</v>
      </c>
      <c r="E158" s="233">
        <v>50</v>
      </c>
      <c r="F158" s="233">
        <v>53026</v>
      </c>
      <c r="G158" s="233">
        <v>282</v>
      </c>
      <c r="H158" s="234">
        <v>6.36</v>
      </c>
      <c r="I158" s="233">
        <v>370.22</v>
      </c>
    </row>
    <row r="159" spans="1:9" ht="14.45" customHeight="1">
      <c r="A159" s="80" t="s">
        <v>2523</v>
      </c>
      <c r="B159" s="260">
        <f>SUM(B160:B171)</f>
        <v>71</v>
      </c>
      <c r="C159" s="260">
        <f>SUM(C160:C171)</f>
        <v>356.20413000000008</v>
      </c>
      <c r="D159" s="260">
        <f>SUM(D160:D171)</f>
        <v>410.01489000000004</v>
      </c>
      <c r="E159" s="260">
        <f>SUM(E160:E171)</f>
        <v>280</v>
      </c>
      <c r="F159" s="260">
        <f>AVERAGE(F160:F171)</f>
        <v>54290.519166666665</v>
      </c>
      <c r="G159" s="260">
        <f>AVERAGE(G160:G171)</f>
        <v>282</v>
      </c>
      <c r="H159" s="260">
        <f>AVERAGE(H160:H171)</f>
        <v>6.3275000000000006</v>
      </c>
      <c r="I159" s="260">
        <f>AVERAGE(I160:I171)</f>
        <v>380.20833333333331</v>
      </c>
    </row>
    <row r="160" spans="1:9" ht="14.45" customHeight="1">
      <c r="A160" s="80" t="s">
        <v>18</v>
      </c>
      <c r="B160" s="233">
        <v>0</v>
      </c>
      <c r="C160" s="233">
        <v>16.916119999999999</v>
      </c>
      <c r="D160" s="233">
        <v>19.937760000000001</v>
      </c>
      <c r="E160" s="233">
        <v>0</v>
      </c>
      <c r="F160" s="233">
        <v>53059</v>
      </c>
      <c r="G160" s="233">
        <v>282</v>
      </c>
      <c r="H160" s="234">
        <v>6.34</v>
      </c>
      <c r="I160" s="233">
        <v>370.23</v>
      </c>
    </row>
    <row r="161" spans="1:9" ht="14.45" customHeight="1">
      <c r="A161" s="80" t="s">
        <v>19</v>
      </c>
      <c r="B161" s="233">
        <v>17.75</v>
      </c>
      <c r="C161" s="233">
        <v>40.777650000000001</v>
      </c>
      <c r="D161" s="233">
        <v>20.295629999999999</v>
      </c>
      <c r="E161" s="233">
        <v>0</v>
      </c>
      <c r="F161" s="233">
        <v>53399</v>
      </c>
      <c r="G161" s="233">
        <v>282</v>
      </c>
      <c r="H161" s="234">
        <v>6.34</v>
      </c>
      <c r="I161" s="233">
        <v>372.75</v>
      </c>
    </row>
    <row r="162" spans="1:9" ht="15.75" customHeight="1">
      <c r="A162" s="80" t="s">
        <v>20</v>
      </c>
      <c r="B162" s="233">
        <v>0</v>
      </c>
      <c r="C162" s="233">
        <v>39.769019999999998</v>
      </c>
      <c r="D162" s="233">
        <v>18.10558</v>
      </c>
      <c r="E162" s="233">
        <v>55</v>
      </c>
      <c r="F162" s="233">
        <v>53760</v>
      </c>
      <c r="G162" s="233">
        <v>282</v>
      </c>
      <c r="H162" s="234">
        <v>6.34</v>
      </c>
      <c r="I162" s="233">
        <v>375.78</v>
      </c>
    </row>
    <row r="163" spans="1:9" ht="15.75" customHeight="1">
      <c r="A163" s="80" t="s">
        <v>21</v>
      </c>
      <c r="B163" s="233">
        <v>17.75</v>
      </c>
      <c r="C163" s="233">
        <v>37.309480000000001</v>
      </c>
      <c r="D163" s="233">
        <v>27.002089999999999</v>
      </c>
      <c r="E163" s="233">
        <v>0</v>
      </c>
      <c r="F163" s="233">
        <v>54052</v>
      </c>
      <c r="G163" s="233">
        <v>282</v>
      </c>
      <c r="H163" s="234">
        <v>6.34</v>
      </c>
      <c r="I163" s="233">
        <v>378.16</v>
      </c>
    </row>
    <row r="164" spans="1:9" ht="15.75" customHeight="1">
      <c r="A164" s="80" t="s">
        <v>22</v>
      </c>
      <c r="B164" s="233">
        <v>0</v>
      </c>
      <c r="C164" s="233">
        <v>35.791710000000002</v>
      </c>
      <c r="D164" s="233">
        <v>27.43017</v>
      </c>
      <c r="E164" s="233">
        <v>0</v>
      </c>
      <c r="F164" s="233">
        <v>54140</v>
      </c>
      <c r="G164" s="233">
        <v>282</v>
      </c>
      <c r="H164" s="234">
        <v>6.33</v>
      </c>
      <c r="I164" s="233">
        <v>378.58</v>
      </c>
    </row>
    <row r="165" spans="1:9" ht="15.75" customHeight="1">
      <c r="A165" s="80" t="s">
        <v>23</v>
      </c>
      <c r="B165" s="233">
        <v>0</v>
      </c>
      <c r="C165" s="233">
        <v>32.750149999999998</v>
      </c>
      <c r="D165" s="233">
        <v>39.113660000000003</v>
      </c>
      <c r="E165" s="233">
        <v>50</v>
      </c>
      <c r="F165" s="233">
        <v>54338</v>
      </c>
      <c r="G165" s="233">
        <v>282</v>
      </c>
      <c r="H165" s="234">
        <v>6.32</v>
      </c>
      <c r="I165" s="233">
        <v>380.14</v>
      </c>
    </row>
    <row r="166" spans="1:9" ht="15.75" customHeight="1">
      <c r="A166" s="429" t="s">
        <v>24</v>
      </c>
      <c r="B166" s="233">
        <v>0</v>
      </c>
      <c r="C166" s="233">
        <v>27.12</v>
      </c>
      <c r="D166" s="233">
        <v>30.47</v>
      </c>
      <c r="E166" s="233">
        <v>0</v>
      </c>
      <c r="F166" s="233">
        <v>54476</v>
      </c>
      <c r="G166" s="233">
        <v>282</v>
      </c>
      <c r="H166" s="234">
        <v>6.32</v>
      </c>
      <c r="I166" s="233">
        <v>381.49</v>
      </c>
    </row>
    <row r="167" spans="1:9" ht="15.75" customHeight="1">
      <c r="A167" s="429" t="s">
        <v>25</v>
      </c>
      <c r="B167" s="233">
        <v>0</v>
      </c>
      <c r="C167" s="233">
        <v>25.72</v>
      </c>
      <c r="D167" s="233">
        <v>54.22</v>
      </c>
      <c r="E167" s="233">
        <v>55</v>
      </c>
      <c r="F167" s="233">
        <v>54541</v>
      </c>
      <c r="G167" s="233">
        <v>282</v>
      </c>
      <c r="H167" s="234">
        <v>6.32</v>
      </c>
      <c r="I167" s="233">
        <v>382.18</v>
      </c>
    </row>
    <row r="168" spans="1:9" ht="15.75" customHeight="1">
      <c r="A168" s="429" t="s">
        <v>26</v>
      </c>
      <c r="B168" s="233">
        <v>0</v>
      </c>
      <c r="C168" s="233">
        <v>26.18</v>
      </c>
      <c r="D168" s="233">
        <v>44.98</v>
      </c>
      <c r="E168" s="233">
        <v>0</v>
      </c>
      <c r="F168" s="233">
        <v>54661</v>
      </c>
      <c r="G168" s="233">
        <v>282</v>
      </c>
      <c r="H168" s="234">
        <v>6.32</v>
      </c>
      <c r="I168" s="233">
        <v>383.23</v>
      </c>
    </row>
    <row r="169" spans="1:9" ht="15.75" customHeight="1">
      <c r="A169" s="429" t="s">
        <v>27</v>
      </c>
      <c r="B169" s="233">
        <v>35.5</v>
      </c>
      <c r="C169" s="233">
        <v>21.67</v>
      </c>
      <c r="D169" s="233">
        <v>41.93</v>
      </c>
      <c r="E169" s="233">
        <v>40</v>
      </c>
      <c r="F169" s="233">
        <v>54885</v>
      </c>
      <c r="G169" s="233">
        <v>282</v>
      </c>
      <c r="H169" s="234">
        <v>6.32</v>
      </c>
      <c r="I169" s="233">
        <v>385.56</v>
      </c>
    </row>
    <row r="170" spans="1:9" ht="15.75" customHeight="1">
      <c r="A170" s="429" t="s">
        <v>28</v>
      </c>
      <c r="B170" s="233">
        <v>0</v>
      </c>
      <c r="C170" s="233">
        <v>21.42</v>
      </c>
      <c r="D170" s="233">
        <v>55.42</v>
      </c>
      <c r="E170" s="233">
        <v>0</v>
      </c>
      <c r="F170" s="233">
        <v>54951</v>
      </c>
      <c r="G170" s="233">
        <v>282</v>
      </c>
      <c r="H170" s="234">
        <v>6.32</v>
      </c>
      <c r="I170" s="233">
        <v>386.19</v>
      </c>
    </row>
    <row r="171" spans="1:9" ht="15.75" customHeight="1">
      <c r="A171" s="429" t="s">
        <v>29</v>
      </c>
      <c r="B171" s="233">
        <v>0</v>
      </c>
      <c r="C171" s="233">
        <v>30.78</v>
      </c>
      <c r="D171" s="233">
        <v>31.11</v>
      </c>
      <c r="E171" s="233">
        <v>80</v>
      </c>
      <c r="F171" s="233">
        <v>55224.23</v>
      </c>
      <c r="G171" s="233">
        <v>282</v>
      </c>
      <c r="H171" s="234">
        <v>6.32</v>
      </c>
      <c r="I171" s="233">
        <v>388.21</v>
      </c>
    </row>
    <row r="172" spans="1:9" ht="15.75" customHeight="1">
      <c r="A172" s="429" t="s">
        <v>2812</v>
      </c>
      <c r="B172" s="260">
        <f>SUM(B173:B184)</f>
        <v>95</v>
      </c>
      <c r="C172" s="260">
        <f>SUM(C173:C184)</f>
        <v>422.51</v>
      </c>
      <c r="D172" s="260">
        <f>SUM(D173:D184)</f>
        <v>406.79000000000008</v>
      </c>
      <c r="E172" s="260">
        <f>SUM(E173:E184)</f>
        <v>450</v>
      </c>
      <c r="F172" s="260">
        <f>AVERAGE(F173:F184)</f>
        <v>56814.16166666666</v>
      </c>
      <c r="G172" s="260">
        <f>AVERAGE(G173:G184)</f>
        <v>282</v>
      </c>
      <c r="H172" s="261">
        <f>AVERAGE(H173:H184)</f>
        <v>6.3208333333333337</v>
      </c>
      <c r="I172" s="260">
        <f>AVERAGE(I173:I184)</f>
        <v>399.48583333333335</v>
      </c>
    </row>
    <row r="173" spans="1:9" ht="15.75" customHeight="1">
      <c r="A173" s="429" t="s">
        <v>18</v>
      </c>
      <c r="B173" s="233">
        <v>23.75</v>
      </c>
      <c r="C173" s="233">
        <v>13.93</v>
      </c>
      <c r="D173" s="233">
        <v>21.57</v>
      </c>
      <c r="E173" s="233">
        <v>0</v>
      </c>
      <c r="F173" s="233">
        <v>55260</v>
      </c>
      <c r="G173" s="233">
        <v>282</v>
      </c>
      <c r="H173" s="234">
        <v>6.32</v>
      </c>
      <c r="I173" s="233">
        <v>388.32</v>
      </c>
    </row>
    <row r="174" spans="1:9" ht="15.75" customHeight="1">
      <c r="A174" s="429" t="s">
        <v>19</v>
      </c>
      <c r="B174" s="233">
        <v>0</v>
      </c>
      <c r="C174" s="233">
        <v>41.96</v>
      </c>
      <c r="D174" s="233">
        <v>18.420000000000002</v>
      </c>
      <c r="E174" s="233">
        <v>20</v>
      </c>
      <c r="F174" s="233">
        <v>55596</v>
      </c>
      <c r="G174" s="233">
        <v>282</v>
      </c>
      <c r="H174" s="234">
        <v>6.32</v>
      </c>
      <c r="I174" s="233">
        <v>390.15</v>
      </c>
    </row>
    <row r="175" spans="1:9" ht="15.75" customHeight="1">
      <c r="A175" s="429" t="s">
        <v>20</v>
      </c>
      <c r="B175" s="233">
        <v>0</v>
      </c>
      <c r="C175" s="233">
        <v>52</v>
      </c>
      <c r="D175" s="233">
        <v>34.229999999999997</v>
      </c>
      <c r="E175" s="233">
        <v>20</v>
      </c>
      <c r="F175" s="233">
        <v>56019</v>
      </c>
      <c r="G175" s="233">
        <v>282</v>
      </c>
      <c r="H175" s="234">
        <v>6.31</v>
      </c>
      <c r="I175" s="233">
        <v>392.66</v>
      </c>
    </row>
    <row r="176" spans="1:9" ht="15.75" customHeight="1">
      <c r="A176" s="429" t="s">
        <v>21</v>
      </c>
      <c r="B176" s="233">
        <v>23.75</v>
      </c>
      <c r="C176" s="233">
        <v>49.16</v>
      </c>
      <c r="D176" s="233">
        <v>26.08</v>
      </c>
      <c r="E176" s="233">
        <v>50</v>
      </c>
      <c r="F176" s="233">
        <v>56405.9</v>
      </c>
      <c r="G176" s="233">
        <v>282</v>
      </c>
      <c r="H176" s="234">
        <v>6.31</v>
      </c>
      <c r="I176" s="233">
        <v>395.72</v>
      </c>
    </row>
    <row r="177" spans="1:9" ht="15.75" customHeight="1">
      <c r="A177" s="429" t="s">
        <v>22</v>
      </c>
      <c r="B177" s="233">
        <v>0</v>
      </c>
      <c r="C177" s="233">
        <v>32.86</v>
      </c>
      <c r="D177" s="233">
        <v>35.07</v>
      </c>
      <c r="E177" s="233">
        <v>0</v>
      </c>
      <c r="F177" s="233">
        <v>56645.36</v>
      </c>
      <c r="G177" s="233">
        <v>282</v>
      </c>
      <c r="H177" s="234">
        <v>6.31</v>
      </c>
      <c r="I177" s="233">
        <v>397.56</v>
      </c>
    </row>
    <row r="178" spans="1:9" ht="15.75" customHeight="1">
      <c r="A178" s="429" t="s">
        <v>23</v>
      </c>
      <c r="B178" s="233">
        <v>0</v>
      </c>
      <c r="C178" s="233">
        <v>26.98</v>
      </c>
      <c r="D178" s="233">
        <v>52.93</v>
      </c>
      <c r="E178" s="233">
        <v>40</v>
      </c>
      <c r="F178" s="233">
        <v>56826.85</v>
      </c>
      <c r="G178" s="233">
        <v>282</v>
      </c>
      <c r="H178" s="234">
        <v>6.31</v>
      </c>
      <c r="I178" s="233">
        <v>399.15</v>
      </c>
    </row>
    <row r="179" spans="1:9" ht="15.75" customHeight="1">
      <c r="A179" s="429" t="s">
        <v>24</v>
      </c>
      <c r="B179" s="233">
        <v>23.75</v>
      </c>
      <c r="C179" s="233">
        <v>18.260000000000002</v>
      </c>
      <c r="D179" s="233">
        <v>5.3</v>
      </c>
      <c r="E179" s="233">
        <v>0</v>
      </c>
      <c r="F179" s="233">
        <v>56992.92</v>
      </c>
      <c r="G179" s="233">
        <v>282</v>
      </c>
      <c r="H179" s="234">
        <v>6.31</v>
      </c>
      <c r="I179" s="233">
        <v>400.73</v>
      </c>
    </row>
    <row r="180" spans="1:9" ht="15.75" customHeight="1">
      <c r="A180" s="429" t="s">
        <v>25</v>
      </c>
      <c r="B180" s="233">
        <v>0</v>
      </c>
      <c r="C180" s="233">
        <v>24.09</v>
      </c>
      <c r="D180" s="233">
        <v>27.53</v>
      </c>
      <c r="E180" s="233">
        <v>25</v>
      </c>
      <c r="F180" s="233">
        <v>57134.16</v>
      </c>
      <c r="G180" s="233">
        <v>282</v>
      </c>
      <c r="H180" s="234">
        <v>6.33</v>
      </c>
      <c r="I180" s="233">
        <v>401.98</v>
      </c>
    </row>
    <row r="181" spans="1:9" ht="15.75" customHeight="1">
      <c r="A181" s="429" t="s">
        <v>26</v>
      </c>
      <c r="B181" s="233">
        <v>23.75</v>
      </c>
      <c r="C181" s="233">
        <v>31.12</v>
      </c>
      <c r="D181" s="233">
        <v>64.14</v>
      </c>
      <c r="E181" s="233">
        <v>50</v>
      </c>
      <c r="F181" s="233">
        <v>57367.86</v>
      </c>
      <c r="G181" s="233">
        <v>282</v>
      </c>
      <c r="H181" s="234">
        <v>6.34</v>
      </c>
      <c r="I181" s="233">
        <v>404.13</v>
      </c>
    </row>
    <row r="182" spans="1:9" ht="15.75" customHeight="1">
      <c r="A182" s="429" t="s">
        <v>27</v>
      </c>
      <c r="B182" s="233">
        <v>0</v>
      </c>
      <c r="C182" s="233">
        <v>64.430000000000007</v>
      </c>
      <c r="D182" s="233">
        <v>35.1</v>
      </c>
      <c r="E182" s="233">
        <v>70</v>
      </c>
      <c r="F182" s="233">
        <v>57596.97</v>
      </c>
      <c r="G182" s="233">
        <v>282</v>
      </c>
      <c r="H182" s="234">
        <v>6.32</v>
      </c>
      <c r="I182" s="233">
        <v>405.6</v>
      </c>
    </row>
    <row r="183" spans="1:9" ht="15.75" customHeight="1">
      <c r="A183" s="429" t="s">
        <v>28</v>
      </c>
      <c r="B183" s="233">
        <v>0</v>
      </c>
      <c r="C183" s="233">
        <v>35.770000000000003</v>
      </c>
      <c r="D183" s="233">
        <v>30.06</v>
      </c>
      <c r="E183" s="233">
        <v>100</v>
      </c>
      <c r="F183" s="233">
        <v>57844.55</v>
      </c>
      <c r="G183" s="233">
        <v>282</v>
      </c>
      <c r="H183" s="234">
        <v>6.33</v>
      </c>
      <c r="I183" s="233">
        <v>407.85</v>
      </c>
    </row>
    <row r="184" spans="1:9" ht="15.75" customHeight="1">
      <c r="A184" s="429" t="s">
        <v>29</v>
      </c>
      <c r="B184" s="233">
        <v>0</v>
      </c>
      <c r="C184" s="233">
        <v>31.95</v>
      </c>
      <c r="D184" s="233">
        <v>56.36</v>
      </c>
      <c r="E184" s="233">
        <v>75</v>
      </c>
      <c r="F184" s="233">
        <v>58080.37</v>
      </c>
      <c r="G184" s="233">
        <v>282</v>
      </c>
      <c r="H184" s="234">
        <v>6.34</v>
      </c>
      <c r="I184" s="233">
        <v>409.98</v>
      </c>
    </row>
    <row r="185" spans="1:9" ht="15.75" customHeight="1">
      <c r="A185" s="429" t="s">
        <v>3500</v>
      </c>
      <c r="B185" s="260">
        <f>SUM(B186:B197)</f>
        <v>87.715000000000003</v>
      </c>
      <c r="C185" s="260">
        <f>SUM(C186:C197)</f>
        <v>461.38</v>
      </c>
      <c r="D185" s="260">
        <f>SUM(D186:D197)</f>
        <v>491.96</v>
      </c>
      <c r="E185" s="260">
        <f>SUM(E186:E197)</f>
        <v>450</v>
      </c>
      <c r="F185" s="260">
        <f>AVERAGE(F186:F197)</f>
        <v>59872.517500000009</v>
      </c>
      <c r="G185" s="260">
        <f>AVERAGE(G186:G197)</f>
        <v>281.97333333333336</v>
      </c>
      <c r="H185" s="261">
        <f>AVERAGE(H186:H197)</f>
        <v>6.3408333333333333</v>
      </c>
      <c r="I185" s="260">
        <f>AVERAGE(I186:I197)</f>
        <v>423.41333333333336</v>
      </c>
    </row>
    <row r="186" spans="1:9" ht="15.75" customHeight="1">
      <c r="A186" s="429" t="s">
        <v>18</v>
      </c>
      <c r="B186" s="233">
        <v>0</v>
      </c>
      <c r="C186" s="233">
        <v>8.8000000000000007</v>
      </c>
      <c r="D186" s="233">
        <v>29.86</v>
      </c>
      <c r="E186" s="233">
        <v>0</v>
      </c>
      <c r="F186" s="233">
        <v>58143.22</v>
      </c>
      <c r="G186" s="233">
        <v>282</v>
      </c>
      <c r="H186" s="234">
        <v>6.34</v>
      </c>
      <c r="I186" s="233">
        <v>410.57</v>
      </c>
    </row>
    <row r="187" spans="1:9" ht="15.75" customHeight="1">
      <c r="A187" s="429" t="s">
        <v>19</v>
      </c>
      <c r="B187" s="233">
        <v>21.925000000000001</v>
      </c>
      <c r="C187" s="233">
        <v>33.6</v>
      </c>
      <c r="D187" s="233">
        <v>40.22</v>
      </c>
      <c r="E187" s="233">
        <v>0</v>
      </c>
      <c r="F187" s="233">
        <v>58426.87</v>
      </c>
      <c r="G187" s="233">
        <v>282</v>
      </c>
      <c r="H187" s="234">
        <v>6.34</v>
      </c>
      <c r="I187" s="233">
        <v>412.6</v>
      </c>
    </row>
    <row r="188" spans="1:9" ht="15.75" customHeight="1">
      <c r="A188" s="429" t="s">
        <v>20</v>
      </c>
      <c r="B188" s="233">
        <v>0</v>
      </c>
      <c r="C188" s="233">
        <v>68.64</v>
      </c>
      <c r="D188" s="233">
        <v>26.37</v>
      </c>
      <c r="E188" s="233">
        <v>0</v>
      </c>
      <c r="F188" s="233">
        <v>58977.35</v>
      </c>
      <c r="G188" s="233">
        <v>282</v>
      </c>
      <c r="H188" s="234">
        <v>6.34</v>
      </c>
      <c r="I188" s="233">
        <v>416.13</v>
      </c>
    </row>
    <row r="189" spans="1:9" ht="15.75" customHeight="1">
      <c r="A189" s="429" t="s">
        <v>21</v>
      </c>
      <c r="B189" s="233">
        <v>21.93</v>
      </c>
      <c r="C189" s="233">
        <v>53.91</v>
      </c>
      <c r="D189" s="233">
        <v>11.82</v>
      </c>
      <c r="E189" s="233">
        <v>100</v>
      </c>
      <c r="F189" s="233">
        <v>59366.45</v>
      </c>
      <c r="G189" s="233">
        <v>282</v>
      </c>
      <c r="H189" s="234">
        <v>6.34</v>
      </c>
      <c r="I189" s="233">
        <v>419</v>
      </c>
    </row>
    <row r="190" spans="1:9" ht="15.75" customHeight="1">
      <c r="A190" s="429" t="s">
        <v>22</v>
      </c>
      <c r="B190" s="233">
        <v>0</v>
      </c>
      <c r="C190" s="233">
        <v>40.94</v>
      </c>
      <c r="D190" s="233">
        <v>52.02</v>
      </c>
      <c r="E190" s="233">
        <v>0</v>
      </c>
      <c r="F190" s="233">
        <v>59668.67</v>
      </c>
      <c r="G190" s="233">
        <v>282</v>
      </c>
      <c r="H190" s="234">
        <v>6.34</v>
      </c>
      <c r="I190" s="233">
        <v>421.38</v>
      </c>
    </row>
    <row r="191" spans="1:9" ht="15.75" customHeight="1">
      <c r="A191" s="429" t="s">
        <v>23</v>
      </c>
      <c r="B191" s="233">
        <v>0</v>
      </c>
      <c r="C191" s="233">
        <v>37.81</v>
      </c>
      <c r="D191" s="233">
        <v>51.53</v>
      </c>
      <c r="E191" s="233">
        <v>40</v>
      </c>
      <c r="F191" s="233">
        <v>59950</v>
      </c>
      <c r="G191" s="233">
        <v>282</v>
      </c>
      <c r="H191" s="234">
        <v>6.35</v>
      </c>
      <c r="I191" s="233">
        <v>423.8</v>
      </c>
    </row>
    <row r="192" spans="1:9" ht="15.75" customHeight="1">
      <c r="A192" s="429" t="s">
        <v>24</v>
      </c>
      <c r="B192" s="233">
        <v>21.93</v>
      </c>
      <c r="C192" s="233">
        <v>35.89</v>
      </c>
      <c r="D192" s="233">
        <v>52.91</v>
      </c>
      <c r="E192" s="233">
        <v>30</v>
      </c>
      <c r="F192" s="233">
        <v>60216.5</v>
      </c>
      <c r="G192" s="233">
        <v>281.68</v>
      </c>
      <c r="H192" s="234">
        <v>6.36</v>
      </c>
      <c r="I192" s="233">
        <v>426.15</v>
      </c>
    </row>
    <row r="193" spans="1:9" ht="15.75" customHeight="1">
      <c r="A193" s="429" t="s">
        <v>25</v>
      </c>
      <c r="B193" s="233">
        <v>0</v>
      </c>
      <c r="C193" s="233">
        <v>70.06</v>
      </c>
      <c r="D193" s="233">
        <v>47.51</v>
      </c>
      <c r="E193" s="233">
        <v>50</v>
      </c>
      <c r="F193" s="233">
        <v>60391</v>
      </c>
      <c r="G193" s="233">
        <v>282</v>
      </c>
      <c r="H193" s="234">
        <v>6.33</v>
      </c>
      <c r="I193" s="233">
        <v>427.18</v>
      </c>
    </row>
    <row r="194" spans="1:9" ht="15.75" customHeight="1">
      <c r="A194" s="429" t="s">
        <v>26</v>
      </c>
      <c r="B194" s="233">
        <v>0</v>
      </c>
      <c r="C194" s="233">
        <v>42.27</v>
      </c>
      <c r="D194" s="233">
        <v>41.37</v>
      </c>
      <c r="E194" s="233">
        <v>50</v>
      </c>
      <c r="F194" s="233">
        <v>60569</v>
      </c>
      <c r="G194" s="233">
        <v>282</v>
      </c>
      <c r="H194" s="234">
        <v>6.33</v>
      </c>
      <c r="I194" s="233">
        <v>428.71</v>
      </c>
    </row>
    <row r="195" spans="1:9" ht="15.75" customHeight="1">
      <c r="A195" s="429" t="s">
        <v>27</v>
      </c>
      <c r="B195" s="233">
        <v>21.93</v>
      </c>
      <c r="C195" s="233">
        <v>23.86</v>
      </c>
      <c r="D195" s="233">
        <v>42.8</v>
      </c>
      <c r="E195" s="233">
        <v>50</v>
      </c>
      <c r="F195" s="233">
        <v>60807</v>
      </c>
      <c r="G195" s="233">
        <v>282</v>
      </c>
      <c r="H195" s="234">
        <v>6.34</v>
      </c>
      <c r="I195" s="233">
        <v>430.9</v>
      </c>
    </row>
    <row r="196" spans="1:9" ht="15.75" customHeight="1">
      <c r="A196" s="429" t="s">
        <v>28</v>
      </c>
      <c r="B196" s="233">
        <v>0</v>
      </c>
      <c r="C196" s="233">
        <v>20.87</v>
      </c>
      <c r="D196" s="233">
        <v>56.15</v>
      </c>
      <c r="E196" s="233">
        <v>50</v>
      </c>
      <c r="F196" s="233">
        <v>60904.11</v>
      </c>
      <c r="G196" s="233">
        <v>282</v>
      </c>
      <c r="H196" s="234">
        <v>6.34</v>
      </c>
      <c r="I196" s="233">
        <v>431.68</v>
      </c>
    </row>
    <row r="197" spans="1:9" ht="15.75" customHeight="1">
      <c r="A197" s="429" t="s">
        <v>29</v>
      </c>
      <c r="B197" s="233">
        <v>0</v>
      </c>
      <c r="C197" s="233">
        <v>24.73</v>
      </c>
      <c r="D197" s="233">
        <v>39.4</v>
      </c>
      <c r="E197" s="233">
        <v>80</v>
      </c>
      <c r="F197" s="233">
        <v>61050.04</v>
      </c>
      <c r="G197" s="233">
        <v>282</v>
      </c>
      <c r="H197" s="234">
        <v>6.34</v>
      </c>
      <c r="I197" s="233">
        <v>432.86</v>
      </c>
    </row>
    <row r="198" spans="1:9" ht="15.75" customHeight="1">
      <c r="A198" s="429" t="s">
        <v>3971</v>
      </c>
      <c r="B198" s="260">
        <f>SUM(B199:B210)</f>
        <v>87.74</v>
      </c>
      <c r="C198" s="260">
        <f>SUM(C199:C210)</f>
        <v>439.8531999999999</v>
      </c>
      <c r="D198" s="260">
        <f>SUM(D199:D210)</f>
        <v>447.34043100000002</v>
      </c>
      <c r="E198" s="260">
        <f>SUM(E199:E210)</f>
        <v>600</v>
      </c>
      <c r="F198" s="260">
        <f>AVERAGE(F199:F210)</f>
        <v>62828.227830833326</v>
      </c>
      <c r="G198" s="260">
        <f>AVERAGE(G199:G210)</f>
        <v>281.55833333333334</v>
      </c>
      <c r="H198" s="261">
        <f>AVERAGE(H199:H210)</f>
        <v>6.3525</v>
      </c>
      <c r="I198" s="260">
        <f>AVERAGE(I199:I210)</f>
        <v>446.46</v>
      </c>
    </row>
    <row r="199" spans="1:9" ht="15.75" customHeight="1">
      <c r="A199" s="429" t="s">
        <v>18</v>
      </c>
      <c r="B199" s="233">
        <v>0</v>
      </c>
      <c r="C199" s="233">
        <v>16.100000000000001</v>
      </c>
      <c r="D199" s="233">
        <v>20.87</v>
      </c>
      <c r="E199" s="233">
        <v>50</v>
      </c>
      <c r="F199" s="233">
        <v>61056.33</v>
      </c>
      <c r="G199" s="233">
        <v>282</v>
      </c>
      <c r="H199" s="234">
        <v>6.33</v>
      </c>
      <c r="I199" s="233">
        <v>432.63</v>
      </c>
    </row>
    <row r="200" spans="1:9" ht="15.75" customHeight="1">
      <c r="A200" s="429" t="s">
        <v>19</v>
      </c>
      <c r="B200" s="233">
        <v>21.93</v>
      </c>
      <c r="C200" s="233">
        <v>36.090000000000003</v>
      </c>
      <c r="D200" s="233">
        <v>27</v>
      </c>
      <c r="E200" s="233">
        <v>0</v>
      </c>
      <c r="F200" s="233">
        <v>61684.71</v>
      </c>
      <c r="G200" s="233">
        <v>281.5</v>
      </c>
      <c r="H200" s="234">
        <v>6.34</v>
      </c>
      <c r="I200" s="233">
        <v>437.85</v>
      </c>
    </row>
    <row r="201" spans="1:9" ht="15.75" customHeight="1">
      <c r="A201" s="429" t="s">
        <v>20</v>
      </c>
      <c r="B201" s="233">
        <v>0</v>
      </c>
      <c r="C201" s="233">
        <v>62.84</v>
      </c>
      <c r="D201" s="233">
        <v>22.65</v>
      </c>
      <c r="E201" s="233">
        <v>90</v>
      </c>
      <c r="F201" s="233">
        <v>61820.62</v>
      </c>
      <c r="G201" s="233">
        <v>281.47000000000003</v>
      </c>
      <c r="H201" s="234">
        <v>6.34</v>
      </c>
      <c r="I201" s="233">
        <v>438.76</v>
      </c>
    </row>
    <row r="202" spans="1:9" ht="15.75" customHeight="1">
      <c r="A202" s="429" t="s">
        <v>21</v>
      </c>
      <c r="B202" s="233">
        <v>21.93</v>
      </c>
      <c r="C202" s="233">
        <v>62.75</v>
      </c>
      <c r="D202" s="233">
        <v>24.24</v>
      </c>
      <c r="E202" s="233">
        <v>60</v>
      </c>
      <c r="F202" s="233">
        <v>62259.93</v>
      </c>
      <c r="G202" s="233">
        <v>281.56</v>
      </c>
      <c r="H202" s="234">
        <v>6.34</v>
      </c>
      <c r="I202" s="233">
        <v>441.56</v>
      </c>
    </row>
    <row r="203" spans="1:9" ht="15.75" customHeight="1">
      <c r="A203" s="429" t="s">
        <v>22</v>
      </c>
      <c r="B203" s="233">
        <v>0</v>
      </c>
      <c r="C203" s="233">
        <v>37.97</v>
      </c>
      <c r="D203" s="233">
        <v>40.07</v>
      </c>
      <c r="E203" s="233">
        <v>50</v>
      </c>
      <c r="F203" s="233">
        <v>62514.81</v>
      </c>
      <c r="G203" s="233">
        <v>281.58999999999997</v>
      </c>
      <c r="H203" s="234">
        <v>6.34</v>
      </c>
      <c r="I203" s="233">
        <v>443.43</v>
      </c>
    </row>
    <row r="204" spans="1:9" ht="15.75" customHeight="1">
      <c r="A204" s="429" t="s">
        <v>23</v>
      </c>
      <c r="B204" s="233">
        <v>0</v>
      </c>
      <c r="C204" s="233">
        <v>14.45</v>
      </c>
      <c r="D204" s="233">
        <v>60.34</v>
      </c>
      <c r="E204" s="233">
        <v>50</v>
      </c>
      <c r="F204" s="233">
        <v>62609.843970000002</v>
      </c>
      <c r="G204" s="233">
        <v>281.58999999999997</v>
      </c>
      <c r="H204" s="234">
        <v>6.34</v>
      </c>
      <c r="I204" s="233">
        <v>444.17</v>
      </c>
    </row>
    <row r="205" spans="1:9" ht="15.75" customHeight="1">
      <c r="A205" s="429" t="s">
        <v>24</v>
      </c>
      <c r="B205" s="233">
        <v>21.93</v>
      </c>
      <c r="C205" s="233">
        <v>50.08</v>
      </c>
      <c r="D205" s="233">
        <v>51.04</v>
      </c>
      <c r="E205" s="233">
        <v>0</v>
      </c>
      <c r="F205" s="233">
        <v>63050.16</v>
      </c>
      <c r="G205" s="233">
        <v>281.56</v>
      </c>
      <c r="H205" s="234">
        <v>6.35</v>
      </c>
      <c r="I205" s="233">
        <v>447.94</v>
      </c>
    </row>
    <row r="206" spans="1:9" ht="15.75" customHeight="1">
      <c r="A206" s="429" t="s">
        <v>25</v>
      </c>
      <c r="B206" s="233">
        <v>0</v>
      </c>
      <c r="C206" s="233">
        <v>57.33</v>
      </c>
      <c r="D206" s="233">
        <v>34.479999999999997</v>
      </c>
      <c r="E206" s="233">
        <v>50</v>
      </c>
      <c r="F206" s="233">
        <v>63579.21</v>
      </c>
      <c r="G206" s="233">
        <v>281.52</v>
      </c>
      <c r="H206" s="234">
        <v>6.37</v>
      </c>
      <c r="I206" s="233">
        <v>452.46</v>
      </c>
    </row>
    <row r="207" spans="1:9" ht="15.75" customHeight="1">
      <c r="A207" s="429" t="s">
        <v>26</v>
      </c>
      <c r="B207" s="233">
        <v>0</v>
      </c>
      <c r="C207" s="233">
        <v>28.26</v>
      </c>
      <c r="D207" s="233">
        <v>27.28</v>
      </c>
      <c r="E207" s="233">
        <v>100</v>
      </c>
      <c r="F207" s="233">
        <v>63657.77</v>
      </c>
      <c r="G207" s="233">
        <v>281.48</v>
      </c>
      <c r="H207" s="234">
        <v>6.37</v>
      </c>
      <c r="I207" s="233">
        <v>453.18</v>
      </c>
    </row>
    <row r="208" spans="1:9" ht="15.75" customHeight="1">
      <c r="A208" s="429" t="s">
        <v>27</v>
      </c>
      <c r="B208" s="233">
        <v>0</v>
      </c>
      <c r="C208" s="233">
        <v>17.063199999999998</v>
      </c>
      <c r="D208" s="233">
        <v>70.810430999999994</v>
      </c>
      <c r="E208" s="233">
        <v>50</v>
      </c>
      <c r="F208" s="233">
        <v>63765.95</v>
      </c>
      <c r="G208" s="233">
        <v>281.45</v>
      </c>
      <c r="H208" s="234">
        <v>6.37</v>
      </c>
      <c r="I208" s="233">
        <v>454.16</v>
      </c>
    </row>
    <row r="209" spans="1:9" ht="15.75" customHeight="1">
      <c r="A209" s="429" t="s">
        <v>28</v>
      </c>
      <c r="B209" s="233">
        <v>21.95</v>
      </c>
      <c r="C209" s="233">
        <v>12.96</v>
      </c>
      <c r="D209" s="233">
        <v>40.119999999999997</v>
      </c>
      <c r="E209" s="233">
        <v>50</v>
      </c>
      <c r="F209" s="233">
        <v>63852.92</v>
      </c>
      <c r="G209" s="233">
        <v>281.45</v>
      </c>
      <c r="H209" s="234">
        <v>6.37</v>
      </c>
      <c r="I209" s="233">
        <v>454.94</v>
      </c>
    </row>
    <row r="210" spans="1:9" ht="15.75" customHeight="1">
      <c r="A210" s="429" t="s">
        <v>29</v>
      </c>
      <c r="B210" s="233">
        <v>0</v>
      </c>
      <c r="C210" s="233">
        <v>43.96</v>
      </c>
      <c r="D210" s="233">
        <v>28.44</v>
      </c>
      <c r="E210" s="233">
        <v>50</v>
      </c>
      <c r="F210" s="233">
        <v>64086.48</v>
      </c>
      <c r="G210" s="233">
        <v>281.52999999999997</v>
      </c>
      <c r="H210" s="234">
        <v>6.37</v>
      </c>
      <c r="I210" s="233">
        <v>456.44</v>
      </c>
    </row>
    <row r="211" spans="1:9" ht="15.75" customHeight="1">
      <c r="A211" s="429" t="s">
        <v>4202</v>
      </c>
      <c r="B211" s="260">
        <f>SUM(B212:B223)</f>
        <v>85</v>
      </c>
      <c r="C211" s="260">
        <f t="shared" ref="C211:E211" si="1">SUM(C212:C223)</f>
        <v>443</v>
      </c>
      <c r="D211" s="260">
        <f t="shared" si="1"/>
        <v>434.803</v>
      </c>
      <c r="E211" s="260">
        <f t="shared" si="1"/>
        <v>650</v>
      </c>
      <c r="F211" s="260">
        <f>AVERAGE(F212:F223)</f>
        <v>65235.297500000008</v>
      </c>
      <c r="G211" s="260">
        <f t="shared" ref="G211:I211" si="2">AVERAGE(G212:G223)</f>
        <v>281.21946375833335</v>
      </c>
      <c r="H211" s="260">
        <f t="shared" si="2"/>
        <v>6.3716558431666668</v>
      </c>
      <c r="I211" s="260">
        <f t="shared" si="2"/>
        <v>464.92632758333326</v>
      </c>
    </row>
    <row r="212" spans="1:9" ht="15.75" customHeight="1">
      <c r="A212" s="429" t="s">
        <v>18</v>
      </c>
      <c r="B212" s="233">
        <v>21.25</v>
      </c>
      <c r="C212" s="233">
        <v>21.15</v>
      </c>
      <c r="D212" s="233">
        <v>18.23</v>
      </c>
      <c r="E212" s="233">
        <v>150</v>
      </c>
      <c r="F212" s="233">
        <v>64174.36</v>
      </c>
      <c r="G212" s="233">
        <v>281.60000000000002</v>
      </c>
      <c r="H212" s="234">
        <v>6.37</v>
      </c>
      <c r="I212" s="233">
        <v>456.9</v>
      </c>
    </row>
    <row r="213" spans="1:9" ht="15.75" customHeight="1">
      <c r="A213" s="429" t="s">
        <v>4217</v>
      </c>
      <c r="B213" s="233">
        <v>0</v>
      </c>
      <c r="C213" s="233">
        <v>24.32</v>
      </c>
      <c r="D213" s="233">
        <v>29.58</v>
      </c>
      <c r="E213" s="233">
        <v>50</v>
      </c>
      <c r="F213" s="233">
        <v>64369.7</v>
      </c>
      <c r="G213" s="233">
        <v>281.63</v>
      </c>
      <c r="H213" s="234">
        <v>6.37</v>
      </c>
      <c r="I213" s="233">
        <v>458.33</v>
      </c>
    </row>
    <row r="214" spans="1:9" ht="15.75" customHeight="1">
      <c r="A214" s="429" t="s">
        <v>4218</v>
      </c>
      <c r="B214" s="233">
        <v>21.25</v>
      </c>
      <c r="C214" s="233">
        <v>79.540000000000006</v>
      </c>
      <c r="D214" s="233">
        <v>23.573</v>
      </c>
      <c r="E214" s="233">
        <v>0</v>
      </c>
      <c r="F214" s="233">
        <v>64949.66</v>
      </c>
      <c r="G214" s="233">
        <v>281.79000000000002</v>
      </c>
      <c r="H214" s="234">
        <v>6.37</v>
      </c>
      <c r="I214" s="233">
        <v>462.3</v>
      </c>
    </row>
    <row r="215" spans="1:9" ht="15.75" customHeight="1">
      <c r="A215" s="429" t="s">
        <v>21</v>
      </c>
      <c r="B215" s="233">
        <v>0</v>
      </c>
      <c r="C215" s="233">
        <v>57.08</v>
      </c>
      <c r="D215" s="233">
        <v>19.399999999999999</v>
      </c>
      <c r="E215" s="233">
        <v>100</v>
      </c>
      <c r="F215" s="233">
        <v>65357.9</v>
      </c>
      <c r="G215" s="233">
        <v>281.89356509999999</v>
      </c>
      <c r="H215" s="234">
        <v>6.3638701180000004</v>
      </c>
      <c r="I215" s="233">
        <v>465.09593100000001</v>
      </c>
    </row>
    <row r="216" spans="1:9" ht="15.75" customHeight="1">
      <c r="A216" s="429" t="s">
        <v>22</v>
      </c>
      <c r="B216" s="233">
        <v>0</v>
      </c>
      <c r="C216" s="233">
        <v>22.41</v>
      </c>
      <c r="D216" s="233">
        <v>59.66</v>
      </c>
      <c r="E216" s="233">
        <v>30</v>
      </c>
      <c r="F216" s="233">
        <v>65524.43</v>
      </c>
      <c r="G216" s="233">
        <v>281.89</v>
      </c>
      <c r="H216" s="234">
        <v>6.3659999999999997</v>
      </c>
      <c r="I216" s="233">
        <v>466.41</v>
      </c>
    </row>
    <row r="217" spans="1:9" ht="15.75" customHeight="1">
      <c r="A217" s="429" t="s">
        <v>23</v>
      </c>
      <c r="B217" s="233">
        <v>0</v>
      </c>
      <c r="C217" s="233">
        <v>28.4</v>
      </c>
      <c r="D217" s="233">
        <v>67.8</v>
      </c>
      <c r="E217" s="233">
        <v>0</v>
      </c>
      <c r="F217" s="233">
        <v>64774.6</v>
      </c>
      <c r="G217" s="233">
        <v>280.8</v>
      </c>
      <c r="H217" s="234">
        <v>6.36</v>
      </c>
      <c r="I217" s="233">
        <v>461</v>
      </c>
    </row>
    <row r="218" spans="1:9" ht="15.75" customHeight="1">
      <c r="A218" s="429" t="s">
        <v>24</v>
      </c>
      <c r="B218" s="233">
        <v>5.25</v>
      </c>
      <c r="C218" s="233">
        <v>14.3</v>
      </c>
      <c r="D218" s="233">
        <v>39.479999999999997</v>
      </c>
      <c r="E218" s="233">
        <v>40</v>
      </c>
      <c r="F218" s="233">
        <v>64868.21</v>
      </c>
      <c r="G218" s="233">
        <v>280.82</v>
      </c>
      <c r="H218" s="234">
        <v>6.36</v>
      </c>
      <c r="I218" s="233">
        <v>461.82</v>
      </c>
    </row>
    <row r="219" spans="1:9" ht="15.75" customHeight="1">
      <c r="A219" s="429" t="s">
        <v>25</v>
      </c>
      <c r="B219" s="233">
        <v>0</v>
      </c>
      <c r="C219" s="233">
        <v>57.5</v>
      </c>
      <c r="D219" s="233">
        <v>28.2</v>
      </c>
      <c r="E219" s="233">
        <v>30</v>
      </c>
      <c r="F219" s="233">
        <v>65297.5</v>
      </c>
      <c r="G219" s="233">
        <v>280.82</v>
      </c>
      <c r="H219" s="234">
        <v>6.37</v>
      </c>
      <c r="I219" s="233">
        <v>465.5</v>
      </c>
    </row>
    <row r="220" spans="1:9" ht="15.75" customHeight="1">
      <c r="A220" s="429" t="s">
        <v>26</v>
      </c>
      <c r="B220" s="233">
        <v>0</v>
      </c>
      <c r="C220" s="233">
        <v>49.7</v>
      </c>
      <c r="D220" s="233">
        <v>20.5</v>
      </c>
      <c r="E220" s="233">
        <v>150</v>
      </c>
      <c r="F220" s="233">
        <v>65655.490000000005</v>
      </c>
      <c r="G220" s="233">
        <v>280.86</v>
      </c>
      <c r="H220" s="234">
        <v>6.38</v>
      </c>
      <c r="I220" s="233">
        <v>468.69</v>
      </c>
    </row>
    <row r="221" spans="1:9" ht="15.75" customHeight="1">
      <c r="A221" s="429" t="s">
        <v>27</v>
      </c>
      <c r="B221" s="233">
        <v>21.25</v>
      </c>
      <c r="C221" s="233">
        <v>16.899999999999999</v>
      </c>
      <c r="D221" s="233">
        <v>44.5</v>
      </c>
      <c r="E221" s="233">
        <v>0</v>
      </c>
      <c r="F221" s="233">
        <v>65770.039999999994</v>
      </c>
      <c r="G221" s="233">
        <v>280.82</v>
      </c>
      <c r="H221" s="234">
        <v>6.38</v>
      </c>
      <c r="I221" s="233">
        <v>469.67</v>
      </c>
    </row>
    <row r="222" spans="1:9" ht="15.75" customHeight="1">
      <c r="A222" s="429" t="s">
        <v>28</v>
      </c>
      <c r="B222" s="233">
        <v>16</v>
      </c>
      <c r="C222" s="233">
        <v>22</v>
      </c>
      <c r="D222" s="233">
        <v>48.38</v>
      </c>
      <c r="E222" s="233">
        <v>0</v>
      </c>
      <c r="F222" s="233">
        <v>65927.240000000005</v>
      </c>
      <c r="G222" s="233">
        <v>280.81</v>
      </c>
      <c r="H222" s="234">
        <v>6.39</v>
      </c>
      <c r="I222" s="233">
        <v>471.04</v>
      </c>
    </row>
    <row r="223" spans="1:9" ht="15.75" customHeight="1">
      <c r="A223" s="429" t="s">
        <v>29</v>
      </c>
      <c r="B223" s="233">
        <v>0</v>
      </c>
      <c r="C223" s="233">
        <v>49.7</v>
      </c>
      <c r="D223" s="233">
        <v>35.5</v>
      </c>
      <c r="E223" s="233">
        <v>100</v>
      </c>
      <c r="F223" s="233">
        <v>66154.44</v>
      </c>
      <c r="G223" s="233">
        <v>280.89999999999998</v>
      </c>
      <c r="H223" s="234">
        <v>6.38</v>
      </c>
      <c r="I223" s="233">
        <v>472.36</v>
      </c>
    </row>
    <row r="224" spans="1:9" ht="15.75" customHeight="1">
      <c r="A224" s="429" t="s">
        <v>4465</v>
      </c>
      <c r="B224" s="233"/>
      <c r="C224" s="233"/>
      <c r="D224" s="233"/>
      <c r="E224" s="233"/>
      <c r="F224" s="233"/>
      <c r="G224" s="233"/>
      <c r="H224" s="234"/>
      <c r="I224" s="233"/>
    </row>
    <row r="225" spans="1:20" ht="15.75" customHeight="1">
      <c r="A225" s="429" t="s">
        <v>18</v>
      </c>
      <c r="B225" s="233">
        <v>0</v>
      </c>
      <c r="C225" s="233">
        <v>17.399999999999999</v>
      </c>
      <c r="D225" s="233">
        <v>19.600000000000001</v>
      </c>
      <c r="E225" s="233">
        <v>0</v>
      </c>
      <c r="F225" s="233">
        <v>66204.179999999993</v>
      </c>
      <c r="G225" s="233">
        <v>280.97000000000003</v>
      </c>
      <c r="H225" s="234">
        <v>6.37</v>
      </c>
      <c r="I225" s="233">
        <v>472.47</v>
      </c>
    </row>
    <row r="226" spans="1:20" ht="15.75" customHeight="1">
      <c r="A226" s="429" t="s">
        <v>19</v>
      </c>
      <c r="B226" s="233">
        <v>21.25</v>
      </c>
      <c r="C226" s="233">
        <v>4.9000000000000004</v>
      </c>
      <c r="D226" s="233">
        <v>34.9</v>
      </c>
      <c r="E226" s="233">
        <v>100</v>
      </c>
      <c r="F226" s="233">
        <v>66214.19</v>
      </c>
      <c r="G226" s="233">
        <v>281</v>
      </c>
      <c r="H226" s="234">
        <v>6.37</v>
      </c>
      <c r="I226" s="233">
        <v>472.42</v>
      </c>
    </row>
    <row r="227" spans="1:20" ht="15.75" customHeight="1">
      <c r="A227" s="429" t="s">
        <v>20</v>
      </c>
      <c r="B227" s="233">
        <v>0</v>
      </c>
      <c r="C227" s="233">
        <v>7.8</v>
      </c>
      <c r="D227" s="233">
        <v>21.3</v>
      </c>
      <c r="E227" s="233">
        <v>0</v>
      </c>
      <c r="F227" s="233">
        <v>66270.210000000006</v>
      </c>
      <c r="G227" s="233">
        <v>281.01</v>
      </c>
      <c r="H227" s="234">
        <v>6.37</v>
      </c>
      <c r="I227" s="233">
        <v>472.82</v>
      </c>
    </row>
    <row r="228" spans="1:20" ht="15.75" customHeight="1">
      <c r="A228" s="429" t="s">
        <v>21</v>
      </c>
      <c r="B228" s="233">
        <v>21.25</v>
      </c>
      <c r="C228" s="233">
        <v>112.7</v>
      </c>
      <c r="D228" s="233">
        <v>11.3</v>
      </c>
      <c r="E228" s="233">
        <v>50</v>
      </c>
      <c r="F228" s="233">
        <v>67220.929999999993</v>
      </c>
      <c r="G228" s="233">
        <v>281.23</v>
      </c>
      <c r="H228" s="234">
        <v>6.38</v>
      </c>
      <c r="I228" s="233">
        <v>479.76</v>
      </c>
    </row>
    <row r="229" spans="1:20" ht="15.75" customHeight="1">
      <c r="A229" s="429" t="s">
        <v>22</v>
      </c>
      <c r="B229" s="233">
        <v>0</v>
      </c>
      <c r="C229" s="233">
        <v>57.2</v>
      </c>
      <c r="D229" s="233">
        <v>13.3</v>
      </c>
      <c r="E229" s="233">
        <v>50</v>
      </c>
      <c r="F229" s="233">
        <v>67310.2</v>
      </c>
      <c r="G229" s="233">
        <v>281.24</v>
      </c>
      <c r="H229" s="234">
        <v>6.38</v>
      </c>
      <c r="I229" s="233">
        <v>480.45</v>
      </c>
    </row>
    <row r="230" spans="1:20" ht="15.6" customHeight="1">
      <c r="A230" s="429" t="s">
        <v>23</v>
      </c>
      <c r="B230" s="233">
        <v>0</v>
      </c>
      <c r="C230" s="233">
        <v>26.3</v>
      </c>
      <c r="D230" s="233">
        <v>31.2</v>
      </c>
      <c r="E230" s="233">
        <v>0</v>
      </c>
      <c r="F230" s="233">
        <v>67474.27</v>
      </c>
      <c r="G230" s="233">
        <v>281.2</v>
      </c>
      <c r="H230" s="234">
        <v>6.38</v>
      </c>
      <c r="I230" s="233">
        <v>481.83</v>
      </c>
    </row>
    <row r="231" spans="1:20" s="734" customFormat="1" ht="31.5" customHeight="1">
      <c r="A231" s="2353" t="s">
        <v>2683</v>
      </c>
      <c r="B231" s="2353"/>
      <c r="C231" s="2353"/>
      <c r="D231" s="2353"/>
      <c r="E231" s="2353"/>
      <c r="F231" s="2353"/>
      <c r="G231" s="2353"/>
      <c r="H231" s="2353"/>
      <c r="I231" s="2354"/>
      <c r="L231" s="78"/>
      <c r="M231" s="78"/>
      <c r="N231" s="78"/>
      <c r="O231" s="78"/>
      <c r="P231" s="78"/>
      <c r="Q231" s="78"/>
      <c r="R231" s="78"/>
      <c r="S231" s="78"/>
      <c r="T231" s="78"/>
    </row>
    <row r="303" spans="7:8">
      <c r="G303" s="228"/>
      <c r="H303" s="228"/>
    </row>
  </sheetData>
  <mergeCells count="7">
    <mergeCell ref="A231:I231"/>
    <mergeCell ref="A6:E6"/>
    <mergeCell ref="F6:I6"/>
    <mergeCell ref="A2:I2"/>
    <mergeCell ref="A3:I3"/>
    <mergeCell ref="A8:E8"/>
    <mergeCell ref="F8:I8"/>
  </mergeCells>
  <pageMargins left="0.61" right="0.17" top="0.17" bottom="0.17" header="0.17" footer="0.16"/>
  <pageSetup scale="21" orientation="landscape" r:id="rId1"/>
  <ignoredErrors>
    <ignoredError sqref="A155:A168 A142:A154" numberStoredAsText="1"/>
    <ignoredError sqref="B211:I211" formulaRange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8">
    <tabColor rgb="FF92D050"/>
    <pageSetUpPr fitToPage="1"/>
  </sheetPr>
  <dimension ref="A2:AF46"/>
  <sheetViews>
    <sheetView showGridLines="0" view="pageBreakPreview" topLeftCell="B1" zoomScale="70" zoomScaleSheetLayoutView="70" workbookViewId="0">
      <pane ySplit="11" topLeftCell="A12" activePane="bottomLeft" state="frozen"/>
      <selection activeCell="F40" sqref="F40"/>
      <selection pane="bottomLeft" activeCell="B52" sqref="B52"/>
    </sheetView>
  </sheetViews>
  <sheetFormatPr defaultColWidth="8.85546875" defaultRowHeight="15"/>
  <cols>
    <col min="1" max="1" width="9.85546875" style="96" hidden="1" customWidth="1"/>
    <col min="2" max="2" width="37.85546875" style="104" customWidth="1"/>
    <col min="3" max="3" width="17.28515625" style="43" customWidth="1"/>
    <col min="4" max="4" width="9.85546875" style="103" customWidth="1"/>
    <col min="5" max="5" width="14.28515625" style="42" customWidth="1"/>
    <col min="6" max="6" width="13.5703125" style="103" customWidth="1"/>
    <col min="7" max="7" width="14.28515625" style="42" customWidth="1"/>
    <col min="8" max="8" width="13.5703125" style="103" customWidth="1"/>
    <col min="9" max="9" width="14.28515625" style="42" customWidth="1"/>
    <col min="10" max="10" width="13.5703125" style="103" customWidth="1"/>
    <col min="11" max="11" width="14.28515625" style="42" customWidth="1"/>
    <col min="12" max="12" width="13.5703125" style="103" customWidth="1"/>
    <col min="13" max="13" width="14.28515625" style="42" customWidth="1"/>
    <col min="14" max="14" width="13.5703125" style="103" customWidth="1"/>
    <col min="15" max="15" width="14.28515625" style="42" customWidth="1"/>
    <col min="16" max="16" width="13.5703125" style="103" customWidth="1"/>
    <col min="17" max="19" width="8.85546875" style="42" hidden="1" customWidth="1"/>
    <col min="20" max="20" width="9.5703125" style="42" bestFit="1" customWidth="1"/>
    <col min="21" max="22" width="8.85546875" style="42"/>
    <col min="23" max="23" width="12.85546875" style="42" bestFit="1" customWidth="1"/>
    <col min="24" max="16384" width="8.85546875" style="42"/>
  </cols>
  <sheetData>
    <row r="2" spans="1:23" ht="30.75" customHeight="1">
      <c r="A2" s="2368" t="s">
        <v>2724</v>
      </c>
      <c r="B2" s="2368"/>
      <c r="C2" s="2368"/>
      <c r="D2" s="2368"/>
      <c r="E2" s="2368"/>
      <c r="F2" s="2368"/>
      <c r="G2" s="2368"/>
      <c r="H2" s="2368"/>
      <c r="I2" s="2368"/>
      <c r="J2" s="2368"/>
      <c r="K2" s="2368"/>
      <c r="L2" s="2368"/>
      <c r="M2" s="2368"/>
      <c r="N2" s="2368"/>
      <c r="O2" s="2368"/>
      <c r="P2" s="2368"/>
    </row>
    <row r="3" spans="1:23" ht="30.75" customHeight="1">
      <c r="A3" s="654"/>
      <c r="B3" s="2372" t="s">
        <v>2725</v>
      </c>
      <c r="C3" s="2372"/>
      <c r="D3" s="2372"/>
      <c r="E3" s="2372"/>
      <c r="F3" s="2372"/>
      <c r="G3" s="2372"/>
      <c r="H3" s="2372"/>
      <c r="I3" s="2372"/>
      <c r="J3" s="2372"/>
      <c r="K3" s="2372"/>
      <c r="L3" s="2372"/>
      <c r="M3" s="2372"/>
      <c r="N3" s="2372"/>
      <c r="O3" s="2372"/>
      <c r="P3" s="2372"/>
    </row>
    <row r="4" spans="1:23" s="652" customFormat="1" ht="21.75" customHeight="1">
      <c r="A4" s="650"/>
      <c r="B4" s="651"/>
      <c r="C4" s="651"/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651"/>
      <c r="P4" s="651"/>
    </row>
    <row r="5" spans="1:23" s="652" customFormat="1" ht="21.75" customHeight="1" thickBot="1">
      <c r="A5" s="653"/>
      <c r="B5" s="2373" t="s">
        <v>4549</v>
      </c>
      <c r="C5" s="2373"/>
      <c r="D5" s="2373"/>
      <c r="E5" s="2373"/>
      <c r="F5" s="2373"/>
      <c r="G5" s="2373"/>
      <c r="H5" s="2373"/>
      <c r="I5" s="2373"/>
      <c r="J5" s="2373"/>
      <c r="K5" s="2373"/>
      <c r="L5" s="2373"/>
      <c r="M5" s="2374" t="s">
        <v>1161</v>
      </c>
      <c r="N5" s="2374"/>
      <c r="O5" s="2374"/>
      <c r="P5" s="2374"/>
    </row>
    <row r="6" spans="1:23" ht="20.25" customHeight="1">
      <c r="A6" s="97"/>
      <c r="B6" s="2369" t="s">
        <v>1162</v>
      </c>
      <c r="C6" s="2365" t="s">
        <v>155</v>
      </c>
      <c r="D6" s="2365" t="s">
        <v>1140</v>
      </c>
      <c r="E6" s="2371" t="s">
        <v>183</v>
      </c>
      <c r="F6" s="2363"/>
      <c r="G6" s="2363"/>
      <c r="H6" s="2363"/>
      <c r="I6" s="2371" t="s">
        <v>187</v>
      </c>
      <c r="J6" s="2363"/>
      <c r="K6" s="2363"/>
      <c r="L6" s="2363"/>
      <c r="M6" s="2371" t="s">
        <v>188</v>
      </c>
      <c r="N6" s="2363"/>
      <c r="O6" s="2363"/>
      <c r="P6" s="2363"/>
    </row>
    <row r="7" spans="1:23" ht="33" customHeight="1">
      <c r="A7" s="98"/>
      <c r="B7" s="2369"/>
      <c r="C7" s="2370"/>
      <c r="D7" s="2370"/>
      <c r="E7" s="2371" t="s">
        <v>189</v>
      </c>
      <c r="F7" s="2363"/>
      <c r="G7" s="2365" t="s">
        <v>1163</v>
      </c>
      <c r="H7" s="2363"/>
      <c r="I7" s="2371" t="s">
        <v>189</v>
      </c>
      <c r="J7" s="2363"/>
      <c r="K7" s="2365" t="s">
        <v>1163</v>
      </c>
      <c r="L7" s="2363"/>
      <c r="M7" s="2371" t="s">
        <v>189</v>
      </c>
      <c r="N7" s="2363"/>
      <c r="O7" s="2365" t="s">
        <v>1163</v>
      </c>
      <c r="P7" s="2363"/>
    </row>
    <row r="8" spans="1:23" ht="39" customHeight="1" thickBot="1">
      <c r="A8" s="98"/>
      <c r="B8" s="2369"/>
      <c r="C8" s="2370"/>
      <c r="D8" s="2370"/>
      <c r="E8" s="523" t="s">
        <v>190</v>
      </c>
      <c r="F8" s="522" t="s">
        <v>2151</v>
      </c>
      <c r="G8" s="523" t="s">
        <v>190</v>
      </c>
      <c r="H8" s="524" t="s">
        <v>1140</v>
      </c>
      <c r="I8" s="523" t="s">
        <v>190</v>
      </c>
      <c r="J8" s="524" t="s">
        <v>1140</v>
      </c>
      <c r="K8" s="523" t="s">
        <v>190</v>
      </c>
      <c r="L8" s="524" t="s">
        <v>1140</v>
      </c>
      <c r="M8" s="523" t="s">
        <v>190</v>
      </c>
      <c r="N8" s="524" t="s">
        <v>1140</v>
      </c>
      <c r="O8" s="523" t="s">
        <v>190</v>
      </c>
      <c r="P8" s="524" t="s">
        <v>1140</v>
      </c>
    </row>
    <row r="9" spans="1:23" ht="17.45" customHeight="1">
      <c r="A9" s="114"/>
      <c r="B9" s="2363" t="s">
        <v>1190</v>
      </c>
      <c r="C9" s="2366" t="s">
        <v>105</v>
      </c>
      <c r="D9" s="2366" t="s">
        <v>1164</v>
      </c>
      <c r="E9" s="2363" t="s">
        <v>106</v>
      </c>
      <c r="F9" s="2364"/>
      <c r="G9" s="2364"/>
      <c r="H9" s="2364"/>
      <c r="I9" s="2363" t="s">
        <v>1151</v>
      </c>
      <c r="J9" s="2364"/>
      <c r="K9" s="2364"/>
      <c r="L9" s="2364"/>
      <c r="M9" s="2363" t="s">
        <v>1150</v>
      </c>
      <c r="N9" s="2364"/>
      <c r="O9" s="2364"/>
      <c r="P9" s="2364"/>
    </row>
    <row r="10" spans="1:23" ht="33" customHeight="1">
      <c r="A10" s="115"/>
      <c r="B10" s="2363"/>
      <c r="C10" s="2367"/>
      <c r="D10" s="2367"/>
      <c r="E10" s="2363" t="s">
        <v>1165</v>
      </c>
      <c r="F10" s="2364"/>
      <c r="G10" s="2363" t="s">
        <v>207</v>
      </c>
      <c r="H10" s="2364"/>
      <c r="I10" s="2363" t="s">
        <v>1165</v>
      </c>
      <c r="J10" s="2364"/>
      <c r="K10" s="2363" t="s">
        <v>207</v>
      </c>
      <c r="L10" s="2364"/>
      <c r="M10" s="2363" t="s">
        <v>1165</v>
      </c>
      <c r="N10" s="2364"/>
      <c r="O10" s="2363" t="s">
        <v>207</v>
      </c>
      <c r="P10" s="2364"/>
    </row>
    <row r="11" spans="1:23" ht="39" customHeight="1" thickBot="1">
      <c r="A11" s="116"/>
      <c r="B11" s="2363"/>
      <c r="C11" s="2367"/>
      <c r="D11" s="2367"/>
      <c r="E11" s="525" t="s">
        <v>1166</v>
      </c>
      <c r="F11" s="526" t="s">
        <v>1164</v>
      </c>
      <c r="G11" s="525" t="s">
        <v>1166</v>
      </c>
      <c r="H11" s="526" t="s">
        <v>1164</v>
      </c>
      <c r="I11" s="525" t="s">
        <v>1166</v>
      </c>
      <c r="J11" s="526" t="s">
        <v>1164</v>
      </c>
      <c r="K11" s="525" t="s">
        <v>1166</v>
      </c>
      <c r="L11" s="526" t="s">
        <v>1164</v>
      </c>
      <c r="M11" s="525" t="s">
        <v>1166</v>
      </c>
      <c r="N11" s="526" t="s">
        <v>1164</v>
      </c>
      <c r="O11" s="525" t="s">
        <v>1166</v>
      </c>
      <c r="P11" s="526" t="s">
        <v>1164</v>
      </c>
    </row>
    <row r="12" spans="1:23" s="100" customFormat="1" ht="15.75">
      <c r="A12" s="99"/>
      <c r="B12" s="772"/>
      <c r="C12" s="773"/>
      <c r="D12" s="773"/>
      <c r="E12" s="774"/>
      <c r="F12" s="773"/>
      <c r="G12" s="774"/>
      <c r="H12" s="773"/>
      <c r="I12" s="774"/>
      <c r="J12" s="773"/>
      <c r="K12" s="774"/>
      <c r="L12" s="773"/>
      <c r="M12" s="774"/>
      <c r="N12" s="773"/>
      <c r="O12" s="774"/>
      <c r="P12" s="773"/>
    </row>
    <row r="13" spans="1:23" ht="15.75">
      <c r="A13" s="98"/>
      <c r="B13" s="676" t="s">
        <v>191</v>
      </c>
      <c r="C13" s="1920">
        <v>31821341.984060001</v>
      </c>
      <c r="D13" s="1921">
        <v>0.14120906366629402</v>
      </c>
      <c r="E13" s="1922">
        <v>26852229.697790001</v>
      </c>
      <c r="F13" s="1923">
        <v>0.15686068837143299</v>
      </c>
      <c r="G13" s="1922">
        <v>4969112.28627</v>
      </c>
      <c r="H13" s="1923">
        <v>5.6633260688889804E-2</v>
      </c>
      <c r="I13" s="1922">
        <v>3990925.3828500002</v>
      </c>
      <c r="J13" s="1923">
        <v>0.147022075191996</v>
      </c>
      <c r="K13" s="1922">
        <v>1349634.9382100001</v>
      </c>
      <c r="L13" s="1923">
        <v>5.63804023121625E-2</v>
      </c>
      <c r="M13" s="1924">
        <v>22861304.314940002</v>
      </c>
      <c r="N13" s="682">
        <v>0.15800831494421799</v>
      </c>
      <c r="O13" s="1924">
        <v>3619477.3480600002</v>
      </c>
      <c r="P13" s="682">
        <v>5.67301472217644E-2</v>
      </c>
      <c r="Q13" s="42">
        <v>760416.17984</v>
      </c>
      <c r="W13" s="1164"/>
    </row>
    <row r="14" spans="1:23" s="102" customFormat="1" ht="15.75">
      <c r="A14" s="101"/>
      <c r="B14" s="624" t="s">
        <v>144</v>
      </c>
      <c r="C14" s="1925"/>
      <c r="D14" s="1926"/>
      <c r="E14" s="1927"/>
      <c r="F14" s="1926"/>
      <c r="G14" s="1927"/>
      <c r="H14" s="1928"/>
      <c r="I14" s="1927"/>
      <c r="J14" s="1928"/>
      <c r="K14" s="1927"/>
      <c r="L14" s="1928"/>
      <c r="M14" s="1929"/>
      <c r="N14" s="677"/>
      <c r="O14" s="1929"/>
      <c r="P14" s="677"/>
    </row>
    <row r="15" spans="1:23" ht="15.75">
      <c r="A15" s="98">
        <v>8</v>
      </c>
      <c r="B15" s="676" t="s">
        <v>2655</v>
      </c>
      <c r="C15" s="1930">
        <v>24267127.9342811</v>
      </c>
      <c r="D15" s="1931">
        <v>0.12719945448513001</v>
      </c>
      <c r="E15" s="1927">
        <v>19400984.0449811</v>
      </c>
      <c r="F15" s="677">
        <v>0.14495490709773501</v>
      </c>
      <c r="G15" s="1927">
        <v>4866143.8892999999</v>
      </c>
      <c r="H15" s="677">
        <v>5.6412283181221004E-2</v>
      </c>
      <c r="I15" s="1927">
        <v>3633919.3544299998</v>
      </c>
      <c r="J15" s="677">
        <v>0.142112728585228</v>
      </c>
      <c r="K15" s="1927">
        <v>1288765.4452800001</v>
      </c>
      <c r="L15" s="677">
        <v>5.59292334801521E-2</v>
      </c>
      <c r="M15" s="1927">
        <v>15767064.6905511</v>
      </c>
      <c r="N15" s="677">
        <v>0.145365314063303</v>
      </c>
      <c r="O15" s="1927">
        <v>3577378.4440199998</v>
      </c>
      <c r="P15" s="677">
        <v>5.6591284395360805E-2</v>
      </c>
      <c r="Q15" s="42">
        <v>652330.81756999996</v>
      </c>
    </row>
    <row r="16" spans="1:23" ht="15.75">
      <c r="A16" s="98"/>
      <c r="B16" s="748"/>
      <c r="C16" s="1930"/>
      <c r="D16" s="677"/>
      <c r="E16" s="1927"/>
      <c r="F16" s="677"/>
      <c r="G16" s="1927"/>
      <c r="H16" s="677"/>
      <c r="I16" s="1927"/>
      <c r="J16" s="677"/>
      <c r="K16" s="1927"/>
      <c r="L16" s="677"/>
      <c r="M16" s="1927"/>
      <c r="N16" s="677"/>
      <c r="O16" s="1927"/>
      <c r="P16" s="677"/>
    </row>
    <row r="17" spans="1:32" ht="15.75">
      <c r="A17" s="98"/>
      <c r="B17" s="676" t="s">
        <v>195</v>
      </c>
      <c r="C17" s="1930">
        <v>515088.85373999999</v>
      </c>
      <c r="D17" s="1931">
        <v>0.15423608924010501</v>
      </c>
      <c r="E17" s="1927">
        <v>514841.3137</v>
      </c>
      <c r="F17" s="677">
        <v>0.154263802168769</v>
      </c>
      <c r="G17" s="1927">
        <v>247.54004</v>
      </c>
      <c r="H17" s="677">
        <v>9.6597896243371395E-2</v>
      </c>
      <c r="I17" s="1927">
        <v>15723.104670000001</v>
      </c>
      <c r="J17" s="677">
        <v>0.14358040815612</v>
      </c>
      <c r="K17" s="1932">
        <v>27.33</v>
      </c>
      <c r="L17" s="677">
        <v>8.3973655323820007E-2</v>
      </c>
      <c r="M17" s="1927">
        <v>499118.20903000003</v>
      </c>
      <c r="N17" s="677">
        <v>0.154600347939396</v>
      </c>
      <c r="O17" s="1927">
        <v>220.21003999999999</v>
      </c>
      <c r="P17" s="677">
        <v>9.8164675416252595E-2</v>
      </c>
      <c r="Q17" s="42">
        <v>5682.61</v>
      </c>
    </row>
    <row r="18" spans="1:32" ht="15" customHeight="1">
      <c r="A18" s="98"/>
      <c r="B18" s="748"/>
      <c r="C18" s="1930"/>
      <c r="D18" s="677"/>
      <c r="E18" s="1927"/>
      <c r="F18" s="677"/>
      <c r="G18" s="1927"/>
      <c r="H18" s="677"/>
      <c r="I18" s="1927"/>
      <c r="J18" s="677"/>
      <c r="K18" s="1927"/>
      <c r="L18" s="677"/>
      <c r="M18" s="1927"/>
      <c r="N18" s="677"/>
      <c r="O18" s="1927"/>
      <c r="P18" s="677"/>
      <c r="W18" s="414"/>
    </row>
    <row r="19" spans="1:32" ht="15.75">
      <c r="A19" s="98"/>
      <c r="B19" s="676" t="s">
        <v>2656</v>
      </c>
      <c r="C19" s="1930">
        <v>1248116.4715199999</v>
      </c>
      <c r="D19" s="1931">
        <v>0.168866435409294</v>
      </c>
      <c r="E19" s="1927">
        <v>1221458.4995899999</v>
      </c>
      <c r="F19" s="677">
        <v>0.17122083731498702</v>
      </c>
      <c r="G19" s="1927">
        <v>26657.97193</v>
      </c>
      <c r="H19" s="677">
        <v>6.0988603340464201E-2</v>
      </c>
      <c r="I19" s="1927">
        <v>71735.142319999999</v>
      </c>
      <c r="J19" s="677">
        <v>0.16299921818992502</v>
      </c>
      <c r="K19" s="1927">
        <v>5217.0830500000002</v>
      </c>
      <c r="L19" s="677">
        <v>2.7206439142271298E-2</v>
      </c>
      <c r="M19" s="1927">
        <v>1149723.35727</v>
      </c>
      <c r="N19" s="677">
        <v>0.17173381203565199</v>
      </c>
      <c r="O19" s="1927">
        <v>21440.888879999999</v>
      </c>
      <c r="P19" s="677">
        <v>6.9208614983503405E-2</v>
      </c>
      <c r="Q19" s="42">
        <v>30512.639999999999</v>
      </c>
    </row>
    <row r="20" spans="1:32" ht="15.75">
      <c r="A20" s="98"/>
      <c r="B20" s="748"/>
      <c r="C20" s="1930"/>
      <c r="D20" s="677"/>
      <c r="E20" s="1927"/>
      <c r="F20" s="677"/>
      <c r="G20" s="1927"/>
      <c r="H20" s="677"/>
      <c r="I20" s="1927"/>
      <c r="J20" s="677"/>
      <c r="K20" s="1927"/>
      <c r="L20" s="677"/>
      <c r="M20" s="1927"/>
      <c r="N20" s="677"/>
      <c r="O20" s="1927"/>
      <c r="P20" s="677"/>
    </row>
    <row r="21" spans="1:32" ht="15.75">
      <c r="A21" s="98"/>
      <c r="B21" s="676" t="s">
        <v>192</v>
      </c>
      <c r="C21" s="1930">
        <v>219401.71</v>
      </c>
      <c r="D21" s="1931">
        <v>0.20636844663152298</v>
      </c>
      <c r="E21" s="1927">
        <v>217923.42</v>
      </c>
      <c r="F21" s="677">
        <v>0.20735055319432799</v>
      </c>
      <c r="G21" s="1927">
        <v>1478.29</v>
      </c>
      <c r="H21" s="677">
        <v>6.1590344249098601E-2</v>
      </c>
      <c r="I21" s="1927">
        <v>7161.12</v>
      </c>
      <c r="J21" s="677">
        <v>0.21341842016332599</v>
      </c>
      <c r="K21" s="1932">
        <v>476.47</v>
      </c>
      <c r="L21" s="677">
        <v>4.0031502508027804E-2</v>
      </c>
      <c r="M21" s="1927">
        <v>210762.3</v>
      </c>
      <c r="N21" s="677">
        <v>0.207144383858024</v>
      </c>
      <c r="O21" s="1927">
        <v>1001.82</v>
      </c>
      <c r="P21" s="677">
        <v>7.1843824239883392E-2</v>
      </c>
      <c r="Q21" s="42">
        <v>1981.75</v>
      </c>
    </row>
    <row r="22" spans="1:32" ht="15.75">
      <c r="A22" s="98"/>
      <c r="B22" s="748"/>
      <c r="C22" s="1930"/>
      <c r="D22" s="677"/>
      <c r="E22" s="1927"/>
      <c r="F22" s="677"/>
      <c r="G22" s="1927"/>
      <c r="H22" s="677"/>
      <c r="I22" s="1927"/>
      <c r="J22" s="677"/>
      <c r="K22" s="1927"/>
      <c r="L22" s="677"/>
      <c r="M22" s="1927"/>
      <c r="N22" s="677"/>
      <c r="O22" s="1927"/>
      <c r="P22" s="677"/>
    </row>
    <row r="23" spans="1:32" ht="15.75">
      <c r="A23" s="98"/>
      <c r="B23" s="676" t="s">
        <v>2657</v>
      </c>
      <c r="C23" s="1930">
        <v>961360.33848999999</v>
      </c>
      <c r="D23" s="1931">
        <v>0.18168691586432001</v>
      </c>
      <c r="E23" s="1927">
        <v>948256.31348999997</v>
      </c>
      <c r="F23" s="677">
        <v>0.183280794984335</v>
      </c>
      <c r="G23" s="1927">
        <v>13104.025</v>
      </c>
      <c r="H23" s="677">
        <v>6.6347854889241997E-2</v>
      </c>
      <c r="I23" s="1927">
        <v>44672.01096</v>
      </c>
      <c r="J23" s="677">
        <v>0.181455960473735</v>
      </c>
      <c r="K23" s="1927">
        <v>4377.9998800000003</v>
      </c>
      <c r="L23" s="677">
        <v>7.5051370545035301E-2</v>
      </c>
      <c r="M23" s="1927">
        <v>903584.30252999999</v>
      </c>
      <c r="N23" s="677">
        <v>0.18337101238522302</v>
      </c>
      <c r="O23" s="1927">
        <v>8726.0251200000002</v>
      </c>
      <c r="P23" s="677">
        <v>6.1981148402309401E-2</v>
      </c>
      <c r="Q23" s="42">
        <v>19954.55227</v>
      </c>
    </row>
    <row r="24" spans="1:32" ht="15.75">
      <c r="A24" s="98"/>
      <c r="B24" s="748"/>
      <c r="C24" s="1930"/>
      <c r="D24" s="677"/>
      <c r="E24" s="1927"/>
      <c r="F24" s="677"/>
      <c r="G24" s="1927"/>
      <c r="H24" s="677"/>
      <c r="I24" s="1927"/>
      <c r="J24" s="677"/>
      <c r="K24" s="1927"/>
      <c r="L24" s="677"/>
      <c r="M24" s="1927"/>
      <c r="N24" s="677"/>
      <c r="O24" s="1927"/>
      <c r="P24" s="677"/>
    </row>
    <row r="25" spans="1:32" ht="15.75">
      <c r="A25" s="98"/>
      <c r="B25" s="676" t="s">
        <v>2658</v>
      </c>
      <c r="C25" s="1930">
        <v>566791.26090999995</v>
      </c>
      <c r="D25" s="1931">
        <v>0.197356062029268</v>
      </c>
      <c r="E25" s="1927">
        <v>566597.79090999998</v>
      </c>
      <c r="F25" s="677">
        <v>0.19739311755553002</v>
      </c>
      <c r="G25" s="1927">
        <v>193.47</v>
      </c>
      <c r="H25" s="677">
        <v>8.8834951155217889E-2</v>
      </c>
      <c r="I25" s="1927">
        <v>31966.961480000002</v>
      </c>
      <c r="J25" s="677">
        <v>0.18995313278864701</v>
      </c>
      <c r="K25" s="1927">
        <v>12.51</v>
      </c>
      <c r="L25" s="677">
        <v>6.1862190247801797E-2</v>
      </c>
      <c r="M25" s="1927">
        <v>534630.82943000004</v>
      </c>
      <c r="N25" s="677">
        <v>0.19783797350726801</v>
      </c>
      <c r="O25" s="1927">
        <v>180.96</v>
      </c>
      <c r="P25" s="677">
        <v>9.0699613174182098E-2</v>
      </c>
      <c r="Q25" s="42">
        <v>8697.43</v>
      </c>
    </row>
    <row r="26" spans="1:32" ht="15.75">
      <c r="A26" s="98"/>
      <c r="B26" s="748"/>
      <c r="C26" s="1930"/>
      <c r="D26" s="677"/>
      <c r="E26" s="1927"/>
      <c r="F26" s="677"/>
      <c r="G26" s="1927"/>
      <c r="H26" s="677"/>
      <c r="I26" s="1927"/>
      <c r="J26" s="677"/>
      <c r="K26" s="1927"/>
      <c r="L26" s="677"/>
      <c r="M26" s="1927"/>
      <c r="N26" s="677"/>
      <c r="O26" s="1927"/>
      <c r="P26" s="677"/>
    </row>
    <row r="27" spans="1:32" ht="15.75">
      <c r="A27" s="98"/>
      <c r="B27" s="676" t="s">
        <v>2659</v>
      </c>
      <c r="C27" s="1930">
        <v>604415.08527000004</v>
      </c>
      <c r="D27" s="1931">
        <v>0.200111304829516</v>
      </c>
      <c r="E27" s="1927">
        <v>601187.70527000003</v>
      </c>
      <c r="F27" s="677">
        <v>0.20084891734070598</v>
      </c>
      <c r="G27" s="1927">
        <v>3227.38</v>
      </c>
      <c r="H27" s="677">
        <v>6.2710821161437502E-2</v>
      </c>
      <c r="I27" s="1927">
        <v>27545.93</v>
      </c>
      <c r="J27" s="677">
        <v>0.20306820597453001</v>
      </c>
      <c r="K27" s="1927">
        <v>1662.65</v>
      </c>
      <c r="L27" s="677">
        <v>7.5046010886235803E-2</v>
      </c>
      <c r="M27" s="1927">
        <v>573641.77526999998</v>
      </c>
      <c r="N27" s="677">
        <v>0.20074234844702998</v>
      </c>
      <c r="O27" s="1927">
        <v>1564.73</v>
      </c>
      <c r="P27" s="677">
        <v>4.96037015970806E-2</v>
      </c>
      <c r="Q27" s="42">
        <v>5769.49</v>
      </c>
    </row>
    <row r="28" spans="1:32" ht="15.75">
      <c r="A28" s="98"/>
      <c r="B28" s="748"/>
      <c r="C28" s="1930"/>
      <c r="D28" s="677"/>
      <c r="E28" s="1927"/>
      <c r="F28" s="677"/>
      <c r="G28" s="1927"/>
      <c r="H28" s="677"/>
      <c r="I28" s="1927"/>
      <c r="J28" s="677"/>
      <c r="K28" s="1927"/>
      <c r="L28" s="677"/>
      <c r="M28" s="1927"/>
      <c r="N28" s="677"/>
      <c r="O28" s="1927"/>
      <c r="P28" s="677"/>
      <c r="S28" s="378"/>
      <c r="T28" s="379"/>
      <c r="U28" s="378"/>
      <c r="V28" s="379"/>
      <c r="W28" s="378"/>
      <c r="X28" s="379"/>
      <c r="Y28" s="378"/>
      <c r="Z28" s="379"/>
      <c r="AA28" s="378"/>
      <c r="AB28" s="379"/>
      <c r="AC28" s="378"/>
      <c r="AD28" s="379"/>
      <c r="AE28" s="378"/>
      <c r="AF28" s="379"/>
    </row>
    <row r="29" spans="1:32" ht="15.75">
      <c r="A29" s="98"/>
      <c r="B29" s="676" t="s">
        <v>193</v>
      </c>
      <c r="C29" s="1930">
        <v>539838.44198</v>
      </c>
      <c r="D29" s="1931">
        <v>0.18308342748869999</v>
      </c>
      <c r="E29" s="1927">
        <v>537739.03197999997</v>
      </c>
      <c r="F29" s="677">
        <v>0.18349599347388998</v>
      </c>
      <c r="G29" s="1927">
        <v>2099.41</v>
      </c>
      <c r="H29" s="677">
        <v>7.7409531725580003E-2</v>
      </c>
      <c r="I29" s="1927">
        <v>19462.349999999999</v>
      </c>
      <c r="J29" s="677">
        <v>0.19240868877602099</v>
      </c>
      <c r="K29" s="1927">
        <v>1079.1099999999999</v>
      </c>
      <c r="L29" s="677">
        <v>6.8580798065072099E-2</v>
      </c>
      <c r="M29" s="1927">
        <v>518276.68197999999</v>
      </c>
      <c r="N29" s="677">
        <v>0.18316130352652302</v>
      </c>
      <c r="O29" s="1927">
        <v>1020.3</v>
      </c>
      <c r="P29" s="677">
        <v>8.67471527981966E-2</v>
      </c>
      <c r="Q29" s="42">
        <v>4539.21</v>
      </c>
      <c r="S29" s="380"/>
      <c r="T29" s="380"/>
      <c r="U29" s="381"/>
      <c r="V29" s="382"/>
      <c r="W29" s="381"/>
      <c r="X29" s="383"/>
      <c r="Y29" s="381"/>
      <c r="Z29" s="383"/>
      <c r="AA29" s="381"/>
      <c r="AB29" s="383"/>
      <c r="AC29" s="381"/>
      <c r="AD29" s="383"/>
      <c r="AE29" s="381"/>
      <c r="AF29" s="383"/>
    </row>
    <row r="30" spans="1:32" ht="15.75">
      <c r="A30" s="98"/>
      <c r="B30" s="748"/>
      <c r="C30" s="1930"/>
      <c r="D30" s="677"/>
      <c r="E30" s="1927"/>
      <c r="F30" s="677"/>
      <c r="G30" s="1927"/>
      <c r="H30" s="677"/>
      <c r="I30" s="1927"/>
      <c r="J30" s="677"/>
      <c r="K30" s="1927"/>
      <c r="L30" s="677"/>
      <c r="M30" s="1927"/>
      <c r="N30" s="677"/>
      <c r="O30" s="1927"/>
      <c r="P30" s="677"/>
      <c r="S30" s="384"/>
      <c r="T30" s="384"/>
      <c r="U30" s="384"/>
      <c r="V30" s="384"/>
      <c r="W30" s="384"/>
      <c r="X30" s="384"/>
      <c r="Y30" s="384"/>
      <c r="Z30" s="384"/>
      <c r="AA30" s="384"/>
      <c r="AB30" s="384"/>
      <c r="AC30" s="384"/>
      <c r="AD30" s="384"/>
      <c r="AE30" s="384"/>
      <c r="AF30" s="384"/>
    </row>
    <row r="31" spans="1:32" ht="15.75">
      <c r="A31" s="98"/>
      <c r="B31" s="676" t="s">
        <v>2660</v>
      </c>
      <c r="C31" s="1930">
        <v>725759.81952999998</v>
      </c>
      <c r="D31" s="1931">
        <v>0.19772163209039198</v>
      </c>
      <c r="E31" s="1927">
        <v>724950.08953</v>
      </c>
      <c r="F31" s="677">
        <v>0.197842194455188</v>
      </c>
      <c r="G31" s="1927">
        <v>809.73</v>
      </c>
      <c r="H31" s="677">
        <v>8.97823225025626E-2</v>
      </c>
      <c r="I31" s="1927">
        <v>30243.63</v>
      </c>
      <c r="J31" s="677">
        <v>0.19735279022392502</v>
      </c>
      <c r="K31" s="1927">
        <v>17.100000000000001</v>
      </c>
      <c r="L31" s="677">
        <v>2.3168421052631599E-2</v>
      </c>
      <c r="M31" s="1927">
        <v>694706.45952999999</v>
      </c>
      <c r="N31" s="677">
        <v>0.19786350037553402</v>
      </c>
      <c r="O31" s="1927">
        <v>792.63</v>
      </c>
      <c r="P31" s="677">
        <v>9.1219434036057201E-2</v>
      </c>
      <c r="Q31" s="42">
        <v>8165.27</v>
      </c>
      <c r="S31" s="43"/>
      <c r="T31" s="103"/>
      <c r="U31" s="103"/>
      <c r="V31" s="103"/>
      <c r="X31" s="103"/>
      <c r="Z31" s="103"/>
      <c r="AB31" s="103"/>
      <c r="AD31" s="103"/>
      <c r="AF31" s="103"/>
    </row>
    <row r="32" spans="1:32" ht="15.75">
      <c r="A32" s="98"/>
      <c r="B32" s="748"/>
      <c r="C32" s="1930"/>
      <c r="D32" s="677"/>
      <c r="E32" s="1927"/>
      <c r="F32" s="677"/>
      <c r="G32" s="1927"/>
      <c r="H32" s="677"/>
      <c r="I32" s="1927"/>
      <c r="J32" s="677"/>
      <c r="K32" s="1927"/>
      <c r="L32" s="677"/>
      <c r="M32" s="1927"/>
      <c r="N32" s="677"/>
      <c r="O32" s="1927"/>
      <c r="P32" s="677"/>
      <c r="S32" s="262"/>
      <c r="T32" s="262"/>
      <c r="U32" s="262"/>
      <c r="V32" s="103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</row>
    <row r="33" spans="1:32" ht="15.75">
      <c r="A33" s="98"/>
      <c r="B33" s="676" t="s">
        <v>2661</v>
      </c>
      <c r="C33" s="1930">
        <v>628947.91225000005</v>
      </c>
      <c r="D33" s="677">
        <v>0.20208721803117602</v>
      </c>
      <c r="E33" s="1927">
        <v>626696.64225000003</v>
      </c>
      <c r="F33" s="677">
        <v>0.20255049179995702</v>
      </c>
      <c r="G33" s="1927">
        <v>2251.27</v>
      </c>
      <c r="H33" s="677">
        <v>7.3123515171436601E-2</v>
      </c>
      <c r="I33" s="1927">
        <v>22508.400000000001</v>
      </c>
      <c r="J33" s="677">
        <v>0.206125677702547</v>
      </c>
      <c r="K33" s="1927">
        <v>2157.09</v>
      </c>
      <c r="L33" s="677">
        <v>7.3491502904375797E-2</v>
      </c>
      <c r="M33" s="1927">
        <v>604188.24225000001</v>
      </c>
      <c r="N33" s="677">
        <v>0.20241730199462299</v>
      </c>
      <c r="O33" s="1927">
        <v>94.18</v>
      </c>
      <c r="P33" s="677">
        <v>6.4695158207687398E-2</v>
      </c>
      <c r="Q33" s="42">
        <v>7766.79</v>
      </c>
      <c r="S33" s="262"/>
      <c r="T33" s="262"/>
      <c r="U33" s="262"/>
      <c r="V33" s="103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</row>
    <row r="34" spans="1:32" ht="15.75">
      <c r="A34" s="98"/>
      <c r="B34" s="748"/>
      <c r="C34" s="1930"/>
      <c r="D34" s="677"/>
      <c r="E34" s="1927"/>
      <c r="F34" s="677"/>
      <c r="G34" s="1927"/>
      <c r="H34" s="677"/>
      <c r="I34" s="1927"/>
      <c r="J34" s="677"/>
      <c r="K34" s="1927"/>
      <c r="L34" s="677"/>
      <c r="M34" s="1927"/>
      <c r="N34" s="677"/>
      <c r="O34" s="1927"/>
      <c r="P34" s="677"/>
      <c r="S34" s="262"/>
      <c r="T34" s="262"/>
      <c r="U34" s="262"/>
      <c r="V34" s="103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</row>
    <row r="35" spans="1:32" ht="15.75">
      <c r="A35" s="98"/>
      <c r="B35" s="676" t="s">
        <v>2662</v>
      </c>
      <c r="C35" s="1930">
        <v>373960.96003000002</v>
      </c>
      <c r="D35" s="677">
        <v>0.19522617130096701</v>
      </c>
      <c r="E35" s="1927">
        <v>373955.94003</v>
      </c>
      <c r="F35" s="677">
        <v>0.195228388079179</v>
      </c>
      <c r="G35" s="1927">
        <v>5.0199999999999996</v>
      </c>
      <c r="H35" s="677">
        <v>3.0091235059760999E-2</v>
      </c>
      <c r="I35" s="1927">
        <v>38869.17</v>
      </c>
      <c r="J35" s="677">
        <v>0.16259008857148199</v>
      </c>
      <c r="K35" s="1932">
        <v>4.5999999999999996</v>
      </c>
      <c r="L35" s="677">
        <v>2.2403913043478298E-2</v>
      </c>
      <c r="M35" s="1927">
        <v>335086.77003000001</v>
      </c>
      <c r="N35" s="677">
        <v>0.19901434361529902</v>
      </c>
      <c r="O35" s="1932">
        <v>0.42</v>
      </c>
      <c r="P35" s="677">
        <v>0.114285714285714</v>
      </c>
      <c r="Q35" s="42">
        <v>4117.43</v>
      </c>
      <c r="S35" s="262"/>
      <c r="T35" s="262"/>
      <c r="U35" s="262"/>
      <c r="V35" s="103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</row>
    <row r="36" spans="1:32" ht="15.75">
      <c r="A36" s="98"/>
      <c r="B36" s="748"/>
      <c r="C36" s="1930"/>
      <c r="D36" s="677"/>
      <c r="E36" s="1927"/>
      <c r="F36" s="677"/>
      <c r="G36" s="1927"/>
      <c r="H36" s="677"/>
      <c r="I36" s="1927"/>
      <c r="J36" s="677"/>
      <c r="K36" s="1927"/>
      <c r="L36" s="677"/>
      <c r="M36" s="1927"/>
      <c r="N36" s="677"/>
      <c r="O36" s="1927"/>
      <c r="P36" s="677"/>
      <c r="S36" s="262"/>
      <c r="T36" s="262"/>
      <c r="U36" s="262"/>
      <c r="V36" s="103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</row>
    <row r="37" spans="1:32" ht="15.75">
      <c r="A37" s="98"/>
      <c r="B37" s="676" t="s">
        <v>194</v>
      </c>
      <c r="C37" s="1930">
        <v>651166.18388000003</v>
      </c>
      <c r="D37" s="677">
        <v>0.183956098201014</v>
      </c>
      <c r="E37" s="1927">
        <v>613369.59387999994</v>
      </c>
      <c r="F37" s="677">
        <v>0.190913808247754</v>
      </c>
      <c r="G37" s="1927">
        <v>37796.589999999997</v>
      </c>
      <c r="H37" s="677">
        <v>7.1045177250116998E-2</v>
      </c>
      <c r="I37" s="1927">
        <v>30752.639999999999</v>
      </c>
      <c r="J37" s="677">
        <v>0.17755484758381701</v>
      </c>
      <c r="K37" s="1927">
        <v>37190.839999999997</v>
      </c>
      <c r="L37" s="677">
        <v>7.1829553621268E-2</v>
      </c>
      <c r="M37" s="1927">
        <v>582616.95388000004</v>
      </c>
      <c r="N37" s="677">
        <v>0.19161894273678001</v>
      </c>
      <c r="O37" s="1927">
        <v>605.75</v>
      </c>
      <c r="P37" s="677">
        <v>2.2887329756500197E-2</v>
      </c>
      <c r="Q37" s="42">
        <v>4316.92</v>
      </c>
      <c r="S37" s="43">
        <f>SUM(C31,C21)</f>
        <v>945161.52952999994</v>
      </c>
      <c r="T37" s="385"/>
      <c r="U37" s="385"/>
      <c r="V37" s="103"/>
      <c r="W37" s="386"/>
      <c r="X37" s="385"/>
      <c r="Y37" s="386"/>
      <c r="Z37" s="385"/>
      <c r="AA37" s="386"/>
      <c r="AB37" s="385"/>
      <c r="AC37" s="386"/>
      <c r="AD37" s="385"/>
      <c r="AE37" s="386"/>
      <c r="AF37" s="385"/>
    </row>
    <row r="38" spans="1:32" ht="15.75">
      <c r="A38" s="98"/>
      <c r="B38" s="676"/>
      <c r="C38" s="1930"/>
      <c r="D38" s="1933"/>
      <c r="E38" s="1927"/>
      <c r="F38" s="1933"/>
      <c r="G38" s="1927"/>
      <c r="H38" s="1933"/>
      <c r="I38" s="1927"/>
      <c r="J38" s="1933"/>
      <c r="K38" s="1927"/>
      <c r="L38" s="1933"/>
      <c r="M38" s="1927"/>
      <c r="N38" s="1933"/>
      <c r="O38" s="1927"/>
      <c r="P38" s="1933"/>
      <c r="S38" s="43"/>
      <c r="T38" s="385"/>
      <c r="U38" s="385"/>
      <c r="V38" s="103"/>
      <c r="W38" s="386"/>
      <c r="X38" s="385"/>
      <c r="Y38" s="386"/>
      <c r="Z38" s="385"/>
      <c r="AA38" s="386"/>
      <c r="AB38" s="385"/>
      <c r="AC38" s="386"/>
      <c r="AD38" s="385"/>
      <c r="AE38" s="386"/>
      <c r="AF38" s="385"/>
    </row>
    <row r="39" spans="1:32" ht="15.75">
      <c r="A39" s="98"/>
      <c r="B39" s="676" t="s">
        <v>2663</v>
      </c>
      <c r="C39" s="1930">
        <v>34418.350528971998</v>
      </c>
      <c r="D39" s="677">
        <v>0.13619935033976099</v>
      </c>
      <c r="E39" s="1927">
        <v>25773.850528972001</v>
      </c>
      <c r="F39" s="677">
        <v>0.16235998486560099</v>
      </c>
      <c r="G39" s="1927">
        <v>8644.5</v>
      </c>
      <c r="H39" s="677">
        <v>5.8200589970501503E-2</v>
      </c>
      <c r="I39" s="1927">
        <v>4271.0489900000002</v>
      </c>
      <c r="J39" s="677">
        <v>0.15805455942569199</v>
      </c>
      <c r="K39" s="1927">
        <v>8644.5</v>
      </c>
      <c r="L39" s="677">
        <v>5.8200589970501503E-2</v>
      </c>
      <c r="M39" s="1927">
        <v>21502.801538971999</v>
      </c>
      <c r="N39" s="677">
        <v>0.163215161012919</v>
      </c>
      <c r="O39" s="1927">
        <v>0</v>
      </c>
      <c r="P39" s="677">
        <v>0</v>
      </c>
      <c r="Q39" s="42">
        <v>0</v>
      </c>
      <c r="S39" s="262"/>
      <c r="T39" s="262"/>
      <c r="U39" s="262"/>
      <c r="V39" s="103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</row>
    <row r="40" spans="1:32" ht="15.75">
      <c r="A40" s="98"/>
      <c r="B40" s="748"/>
      <c r="C40" s="1930"/>
      <c r="D40" s="677"/>
      <c r="E40" s="1927"/>
      <c r="F40" s="677"/>
      <c r="G40" s="1927"/>
      <c r="H40" s="677"/>
      <c r="I40" s="1927"/>
      <c r="J40" s="677"/>
      <c r="K40" s="1927"/>
      <c r="L40" s="677"/>
      <c r="M40" s="1927"/>
      <c r="N40" s="677"/>
      <c r="O40" s="1927"/>
      <c r="P40" s="677"/>
      <c r="S40" s="262"/>
      <c r="T40" s="262"/>
      <c r="U40" s="262"/>
      <c r="V40" s="103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</row>
    <row r="41" spans="1:32" ht="15.75">
      <c r="A41" s="98"/>
      <c r="B41" s="679" t="s">
        <v>2664</v>
      </c>
      <c r="C41" s="1934">
        <v>484948.66165000002</v>
      </c>
      <c r="D41" s="684">
        <v>0.19963987757784299</v>
      </c>
      <c r="E41" s="1935">
        <v>478495.46165000001</v>
      </c>
      <c r="F41" s="684">
        <v>0.20131116036332203</v>
      </c>
      <c r="G41" s="1935">
        <v>6453.2</v>
      </c>
      <c r="H41" s="684">
        <v>7.5716672348602201E-2</v>
      </c>
      <c r="I41" s="1935">
        <v>12094.52</v>
      </c>
      <c r="J41" s="684">
        <v>0.20233432959720599</v>
      </c>
      <c r="K41" s="1935">
        <v>2.21</v>
      </c>
      <c r="L41" s="684">
        <v>0.21538461538461501</v>
      </c>
      <c r="M41" s="1935">
        <v>466400.94164999999</v>
      </c>
      <c r="N41" s="684">
        <v>0.20128462795384899</v>
      </c>
      <c r="O41" s="1935">
        <v>6450.99</v>
      </c>
      <c r="P41" s="684">
        <v>7.5668824475003102E-2</v>
      </c>
      <c r="Q41" s="42">
        <v>6581.27</v>
      </c>
      <c r="S41" s="43"/>
      <c r="T41" s="385"/>
      <c r="U41" s="385"/>
      <c r="V41" s="103"/>
      <c r="W41" s="43"/>
      <c r="X41" s="385"/>
      <c r="Y41" s="43"/>
      <c r="Z41" s="385"/>
      <c r="AA41" s="43"/>
      <c r="AB41" s="385"/>
      <c r="AC41" s="43"/>
      <c r="AD41" s="385"/>
      <c r="AE41" s="43"/>
      <c r="AF41" s="385"/>
    </row>
    <row r="42" spans="1:32" s="738" customFormat="1" ht="45.75" customHeight="1">
      <c r="A42" s="737"/>
      <c r="B42" s="2361" t="s">
        <v>2684</v>
      </c>
      <c r="C42" s="2362"/>
      <c r="D42" s="2362"/>
      <c r="E42" s="2362"/>
      <c r="F42" s="2362"/>
      <c r="G42" s="2362"/>
      <c r="H42" s="2362"/>
      <c r="I42" s="2362"/>
      <c r="J42" s="2362"/>
      <c r="K42" s="2362"/>
      <c r="L42" s="2362"/>
      <c r="M42" s="2362"/>
      <c r="N42" s="2362"/>
      <c r="O42" s="2362"/>
      <c r="P42" s="2362"/>
      <c r="S42" s="739"/>
      <c r="T42" s="739"/>
      <c r="U42" s="739"/>
      <c r="V42" s="739"/>
      <c r="W42" s="739"/>
      <c r="X42" s="739"/>
      <c r="Y42" s="739"/>
      <c r="Z42" s="739"/>
      <c r="AA42" s="739"/>
      <c r="AB42" s="739"/>
      <c r="AC42" s="739"/>
      <c r="AD42" s="739"/>
      <c r="AE42" s="739"/>
      <c r="AF42" s="739"/>
    </row>
    <row r="43" spans="1:32">
      <c r="S43" s="43"/>
      <c r="T43" s="385"/>
      <c r="U43" s="385"/>
      <c r="V43" s="385"/>
      <c r="W43" s="43"/>
      <c r="X43" s="385"/>
      <c r="Y43" s="43"/>
      <c r="Z43" s="385"/>
      <c r="AA43" s="43"/>
      <c r="AB43" s="385"/>
      <c r="AC43" s="43"/>
      <c r="AD43" s="385"/>
      <c r="AE43" s="43"/>
      <c r="AF43" s="385"/>
    </row>
    <row r="44" spans="1:32"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</row>
    <row r="45" spans="1:32">
      <c r="S45" s="43"/>
      <c r="T45" s="385"/>
      <c r="U45" s="385"/>
      <c r="V45" s="385"/>
      <c r="W45" s="43"/>
      <c r="X45" s="385"/>
      <c r="Y45" s="43"/>
      <c r="Z45" s="385"/>
      <c r="AA45" s="43"/>
      <c r="AB45" s="385"/>
      <c r="AC45" s="43"/>
      <c r="AD45" s="385"/>
      <c r="AE45" s="43"/>
      <c r="AF45" s="385"/>
    </row>
    <row r="46" spans="1:32"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</row>
  </sheetData>
  <mergeCells count="29">
    <mergeCell ref="A2:P2"/>
    <mergeCell ref="B6:B8"/>
    <mergeCell ref="C6:C8"/>
    <mergeCell ref="D6:D8"/>
    <mergeCell ref="E6:H6"/>
    <mergeCell ref="I7:J7"/>
    <mergeCell ref="B3:P3"/>
    <mergeCell ref="B5:L5"/>
    <mergeCell ref="M5:P5"/>
    <mergeCell ref="G7:H7"/>
    <mergeCell ref="I6:L6"/>
    <mergeCell ref="M6:P6"/>
    <mergeCell ref="K7:L7"/>
    <mergeCell ref="M7:N7"/>
    <mergeCell ref="E7:F7"/>
    <mergeCell ref="B42:P42"/>
    <mergeCell ref="I9:L9"/>
    <mergeCell ref="O10:P10"/>
    <mergeCell ref="O7:P7"/>
    <mergeCell ref="B9:B11"/>
    <mergeCell ref="C9:C11"/>
    <mergeCell ref="E9:H9"/>
    <mergeCell ref="D9:D11"/>
    <mergeCell ref="E10:F10"/>
    <mergeCell ref="G10:H10"/>
    <mergeCell ref="M10:N10"/>
    <mergeCell ref="K10:L10"/>
    <mergeCell ref="M9:P9"/>
    <mergeCell ref="I10:J10"/>
  </mergeCells>
  <pageMargins left="0.17" right="0.17" top="0.4" bottom="0.75" header="0.3" footer="0.3"/>
  <pageSetup paperSize="9" scale="6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7055-1152-4C20-9069-B9FB85249BCD}">
  <sheetPr codeName="Sheet19">
    <tabColor rgb="FF92D050"/>
  </sheetPr>
  <dimension ref="A2:CD301"/>
  <sheetViews>
    <sheetView showGridLines="0" view="pageBreakPreview" zoomScale="85" zoomScaleSheetLayoutView="85" workbookViewId="0">
      <pane ySplit="17" topLeftCell="A278" activePane="bottomLeft" state="frozen"/>
      <selection activeCell="F40" sqref="F40"/>
      <selection pane="bottomLeft" activeCell="F40" sqref="F40"/>
    </sheetView>
  </sheetViews>
  <sheetFormatPr defaultColWidth="8.85546875" defaultRowHeight="12.95" customHeight="1"/>
  <cols>
    <col min="1" max="1" width="10.42578125" style="1570" customWidth="1"/>
    <col min="2" max="2" width="13.28515625" style="1567" customWidth="1"/>
    <col min="3" max="3" width="11.140625" style="1567" customWidth="1"/>
    <col min="4" max="4" width="14.85546875" style="1567" customWidth="1"/>
    <col min="5" max="5" width="14" style="1567" customWidth="1"/>
    <col min="6" max="6" width="14.85546875" style="1567" customWidth="1"/>
    <col min="7" max="7" width="14" style="1567" customWidth="1"/>
    <col min="8" max="8" width="11.140625" style="1567" customWidth="1"/>
    <col min="9" max="9" width="14.85546875" style="1567" customWidth="1"/>
    <col min="10" max="10" width="14" style="1567" customWidth="1"/>
    <col min="11" max="11" width="14.85546875" style="1567" customWidth="1"/>
    <col min="12" max="12" width="14" style="1567" customWidth="1"/>
    <col min="13" max="13" width="11.140625" style="1567" customWidth="1"/>
    <col min="14" max="14" width="14.85546875" style="1567" customWidth="1"/>
    <col min="15" max="15" width="14" style="1567" customWidth="1"/>
    <col min="16" max="16" width="14.85546875" style="1567" customWidth="1"/>
    <col min="17" max="17" width="14" style="1567" customWidth="1"/>
    <col min="18" max="21" width="20" style="1567" hidden="1" customWidth="1"/>
    <col min="22" max="24" width="20" style="1567" customWidth="1"/>
    <col min="25" max="79" width="8.85546875" style="1567"/>
    <col min="80" max="80" width="0" style="1567" hidden="1" customWidth="1"/>
    <col min="81" max="16384" width="8.85546875" style="1567"/>
  </cols>
  <sheetData>
    <row r="2" spans="1:81" ht="22.5" customHeight="1">
      <c r="A2" s="2376" t="s">
        <v>2726</v>
      </c>
      <c r="B2" s="2376"/>
      <c r="C2" s="2376"/>
      <c r="D2" s="2376"/>
      <c r="E2" s="2376"/>
      <c r="F2" s="2376"/>
      <c r="G2" s="2376"/>
      <c r="H2" s="2376"/>
      <c r="I2" s="2376"/>
      <c r="J2" s="2376"/>
      <c r="K2" s="2376"/>
      <c r="L2" s="2376"/>
      <c r="M2" s="2376"/>
      <c r="N2" s="2376"/>
      <c r="O2" s="2376"/>
      <c r="P2" s="2376"/>
      <c r="Q2" s="2376"/>
    </row>
    <row r="3" spans="1:81" ht="27" customHeight="1">
      <c r="A3" s="2377" t="s">
        <v>2727</v>
      </c>
      <c r="B3" s="2377"/>
      <c r="C3" s="2377"/>
      <c r="D3" s="2377"/>
      <c r="E3" s="2377"/>
      <c r="F3" s="2377"/>
      <c r="G3" s="2377"/>
      <c r="H3" s="2377"/>
      <c r="I3" s="2377"/>
      <c r="J3" s="2377"/>
      <c r="K3" s="2377"/>
      <c r="L3" s="2377"/>
      <c r="M3" s="2377"/>
      <c r="N3" s="2377"/>
      <c r="O3" s="2377"/>
      <c r="P3" s="2377"/>
      <c r="Q3" s="2377"/>
    </row>
    <row r="4" spans="1:81" s="1569" customFormat="1" ht="15" customHeight="1">
      <c r="A4" s="1568"/>
      <c r="B4" s="1568"/>
      <c r="C4" s="1568"/>
      <c r="D4" s="1568"/>
      <c r="E4" s="1568"/>
      <c r="F4" s="1568"/>
      <c r="G4" s="1568"/>
      <c r="H4" s="1568"/>
      <c r="I4" s="1568"/>
      <c r="J4" s="1568"/>
      <c r="K4" s="1568"/>
      <c r="L4" s="1568"/>
      <c r="M4" s="1568"/>
      <c r="N4" s="1568"/>
      <c r="O4" s="1568"/>
      <c r="P4" s="1568"/>
      <c r="Q4" s="1568"/>
    </row>
    <row r="5" spans="1:81" s="1569" customFormat="1" ht="15" customHeight="1">
      <c r="A5" s="2378" t="s">
        <v>8</v>
      </c>
      <c r="B5" s="2378"/>
      <c r="C5" s="2378"/>
      <c r="D5" s="2378"/>
      <c r="E5" s="2378"/>
      <c r="F5" s="2378"/>
      <c r="G5" s="2378"/>
      <c r="H5" s="2378"/>
      <c r="I5" s="2378"/>
      <c r="J5" s="2378"/>
      <c r="K5" s="2378"/>
      <c r="L5" s="2378"/>
      <c r="M5" s="2378"/>
      <c r="N5" s="2378"/>
      <c r="O5" s="2378"/>
      <c r="P5" s="2378"/>
      <c r="Q5" s="2378"/>
    </row>
    <row r="6" spans="1:81" s="1570" customFormat="1" ht="15.75">
      <c r="A6" s="2375" t="s">
        <v>182</v>
      </c>
      <c r="B6" s="2375" t="s">
        <v>198</v>
      </c>
      <c r="C6" s="2375" t="s">
        <v>199</v>
      </c>
      <c r="D6" s="2375"/>
      <c r="E6" s="2375"/>
      <c r="F6" s="2375"/>
      <c r="G6" s="2375"/>
      <c r="H6" s="2375" t="s">
        <v>1236</v>
      </c>
      <c r="I6" s="2375"/>
      <c r="J6" s="2375"/>
      <c r="K6" s="2375"/>
      <c r="L6" s="2375"/>
      <c r="M6" s="2375" t="s">
        <v>200</v>
      </c>
      <c r="N6" s="2375"/>
      <c r="O6" s="2375"/>
      <c r="P6" s="2375"/>
      <c r="Q6" s="2375"/>
    </row>
    <row r="7" spans="1:81" s="1570" customFormat="1" ht="15.75">
      <c r="A7" s="2375"/>
      <c r="B7" s="2375"/>
      <c r="C7" s="2375" t="s">
        <v>145</v>
      </c>
      <c r="D7" s="2375" t="s">
        <v>185</v>
      </c>
      <c r="E7" s="2375"/>
      <c r="F7" s="2375" t="s">
        <v>201</v>
      </c>
      <c r="G7" s="2375"/>
      <c r="H7" s="2375" t="s">
        <v>145</v>
      </c>
      <c r="I7" s="2375" t="s">
        <v>185</v>
      </c>
      <c r="J7" s="2375"/>
      <c r="K7" s="2375" t="s">
        <v>201</v>
      </c>
      <c r="L7" s="2375"/>
      <c r="M7" s="2375" t="s">
        <v>145</v>
      </c>
      <c r="N7" s="2375" t="s">
        <v>185</v>
      </c>
      <c r="O7" s="2375"/>
      <c r="P7" s="2375" t="s">
        <v>201</v>
      </c>
      <c r="Q7" s="2375"/>
      <c r="CC7" s="286"/>
    </row>
    <row r="8" spans="1:81" s="1570" customFormat="1" ht="15.75">
      <c r="A8" s="2375"/>
      <c r="B8" s="2375"/>
      <c r="C8" s="2375"/>
      <c r="D8" s="2375" t="s">
        <v>202</v>
      </c>
      <c r="E8" s="2375" t="s">
        <v>203</v>
      </c>
      <c r="F8" s="2375" t="s">
        <v>202</v>
      </c>
      <c r="G8" s="2375" t="s">
        <v>203</v>
      </c>
      <c r="H8" s="2375"/>
      <c r="I8" s="2375" t="s">
        <v>202</v>
      </c>
      <c r="J8" s="2375" t="s">
        <v>203</v>
      </c>
      <c r="K8" s="2375" t="s">
        <v>202</v>
      </c>
      <c r="L8" s="2375" t="s">
        <v>203</v>
      </c>
      <c r="M8" s="2375"/>
      <c r="N8" s="2375" t="s">
        <v>202</v>
      </c>
      <c r="O8" s="2375" t="s">
        <v>203</v>
      </c>
      <c r="P8" s="2375" t="s">
        <v>202</v>
      </c>
      <c r="Q8" s="2375" t="s">
        <v>203</v>
      </c>
    </row>
    <row r="9" spans="1:81" s="1570" customFormat="1" ht="15.75">
      <c r="A9" s="2375"/>
      <c r="B9" s="2375"/>
      <c r="C9" s="2375"/>
      <c r="D9" s="2375"/>
      <c r="E9" s="2375"/>
      <c r="F9" s="2375"/>
      <c r="G9" s="2375"/>
      <c r="H9" s="2375"/>
      <c r="I9" s="2375"/>
      <c r="J9" s="2375"/>
      <c r="K9" s="2375"/>
      <c r="L9" s="2375"/>
      <c r="M9" s="2375"/>
      <c r="N9" s="2375"/>
      <c r="O9" s="2375"/>
      <c r="P9" s="2375"/>
      <c r="Q9" s="2375"/>
    </row>
    <row r="10" spans="1:81" ht="15.75">
      <c r="A10" s="2379"/>
      <c r="B10" s="2379"/>
      <c r="C10" s="2379"/>
      <c r="D10" s="2379"/>
      <c r="E10" s="2379"/>
      <c r="F10" s="2379"/>
      <c r="G10" s="2379"/>
      <c r="H10" s="2379"/>
      <c r="I10" s="2379"/>
      <c r="J10" s="2379"/>
      <c r="K10" s="2379"/>
      <c r="L10" s="2379"/>
      <c r="M10" s="2379"/>
      <c r="N10" s="2379"/>
      <c r="O10" s="2379"/>
      <c r="P10" s="2379"/>
      <c r="Q10" s="2379"/>
    </row>
    <row r="11" spans="1:81" ht="15.75">
      <c r="A11" s="2379" t="s">
        <v>283</v>
      </c>
      <c r="B11" s="2379" t="s">
        <v>204</v>
      </c>
      <c r="C11" s="2379" t="s">
        <v>177</v>
      </c>
      <c r="D11" s="2379"/>
      <c r="E11" s="2379"/>
      <c r="F11" s="2379"/>
      <c r="G11" s="2379"/>
      <c r="H11" s="2379" t="s">
        <v>1174</v>
      </c>
      <c r="I11" s="2379"/>
      <c r="J11" s="2379"/>
      <c r="K11" s="2379"/>
      <c r="L11" s="2379"/>
      <c r="M11" s="2379" t="s">
        <v>1167</v>
      </c>
      <c r="N11" s="2379"/>
      <c r="O11" s="2379"/>
      <c r="P11" s="2379"/>
      <c r="Q11" s="2379"/>
    </row>
    <row r="12" spans="1:81" ht="15.75">
      <c r="A12" s="2379"/>
      <c r="B12" s="2379"/>
      <c r="C12" s="2379" t="s">
        <v>205</v>
      </c>
      <c r="D12" s="2379" t="s">
        <v>206</v>
      </c>
      <c r="E12" s="2379"/>
      <c r="F12" s="2379" t="s">
        <v>207</v>
      </c>
      <c r="G12" s="2379"/>
      <c r="H12" s="2379" t="s">
        <v>205</v>
      </c>
      <c r="I12" s="2379" t="s">
        <v>206</v>
      </c>
      <c r="J12" s="2379"/>
      <c r="K12" s="2379" t="s">
        <v>207</v>
      </c>
      <c r="L12" s="2379"/>
      <c r="M12" s="2379" t="s">
        <v>205</v>
      </c>
      <c r="N12" s="2379" t="s">
        <v>206</v>
      </c>
      <c r="O12" s="2379"/>
      <c r="P12" s="2379" t="s">
        <v>207</v>
      </c>
      <c r="Q12" s="2379"/>
    </row>
    <row r="13" spans="1:81" ht="31.5">
      <c r="A13" s="2379"/>
      <c r="B13" s="2379"/>
      <c r="C13" s="2379"/>
      <c r="D13" s="1565" t="s">
        <v>208</v>
      </c>
      <c r="E13" s="1565" t="s">
        <v>209</v>
      </c>
      <c r="F13" s="1565" t="s">
        <v>208</v>
      </c>
      <c r="G13" s="1566" t="s">
        <v>209</v>
      </c>
      <c r="H13" s="2379"/>
      <c r="I13" s="1565" t="s">
        <v>208</v>
      </c>
      <c r="J13" s="1566" t="s">
        <v>209</v>
      </c>
      <c r="K13" s="1565" t="s">
        <v>208</v>
      </c>
      <c r="L13" s="1566" t="s">
        <v>209</v>
      </c>
      <c r="M13" s="2379"/>
      <c r="N13" s="1565" t="s">
        <v>208</v>
      </c>
      <c r="O13" s="1566" t="s">
        <v>209</v>
      </c>
      <c r="P13" s="1565" t="s">
        <v>208</v>
      </c>
      <c r="Q13" s="1566" t="s">
        <v>209</v>
      </c>
      <c r="R13" s="1571" t="s">
        <v>1826</v>
      </c>
      <c r="S13" s="1571" t="s">
        <v>1827</v>
      </c>
      <c r="T13" s="1571" t="s">
        <v>2516</v>
      </c>
      <c r="U13" s="1571" t="s">
        <v>2517</v>
      </c>
    </row>
    <row r="14" spans="1:81" ht="15.75" hidden="1">
      <c r="A14" s="1572">
        <v>2001</v>
      </c>
      <c r="B14" s="1573">
        <f>+C14+M14</f>
        <v>412.97515686106203</v>
      </c>
      <c r="C14" s="56">
        <f>+D14+E14+F14+G14</f>
        <v>117.02368425330999</v>
      </c>
      <c r="D14" s="56">
        <v>1.8598273348560002</v>
      </c>
      <c r="E14" s="56">
        <v>10.181434441135998</v>
      </c>
      <c r="F14" s="56">
        <v>33.687188488229999</v>
      </c>
      <c r="G14" s="56">
        <v>71.295233989088004</v>
      </c>
      <c r="H14" s="56">
        <f>+I14+J14+K14+L14</f>
        <v>295.95147260775201</v>
      </c>
      <c r="I14" s="56">
        <v>47.58869427729401</v>
      </c>
      <c r="J14" s="56">
        <v>3.4380445627579999</v>
      </c>
      <c r="K14" s="56">
        <v>162.03836786259998</v>
      </c>
      <c r="L14" s="56">
        <v>82.886365905099993</v>
      </c>
      <c r="M14" s="56">
        <f>+N14+O14+P14+Q14</f>
        <v>295.95147260775201</v>
      </c>
      <c r="N14" s="56">
        <v>47.58869427729401</v>
      </c>
      <c r="O14" s="56">
        <v>3.4380445627579999</v>
      </c>
      <c r="P14" s="56">
        <v>162.03836786259998</v>
      </c>
      <c r="Q14" s="1574">
        <v>82.886365905099993</v>
      </c>
      <c r="R14" s="56">
        <v>49.44852161215001</v>
      </c>
      <c r="S14" s="56">
        <v>13.619479003893998</v>
      </c>
      <c r="T14" s="56">
        <v>195.72555635082998</v>
      </c>
      <c r="U14" s="56">
        <v>154.181599894188</v>
      </c>
      <c r="V14" s="56"/>
    </row>
    <row r="15" spans="1:81" ht="15.75" hidden="1">
      <c r="A15" s="1572">
        <v>2002</v>
      </c>
      <c r="B15" s="1573">
        <f t="shared" ref="B15:B77" si="0">+C15+M15</f>
        <v>483.15978184729602</v>
      </c>
      <c r="C15" s="56">
        <f>+D15+E15+F15+G15</f>
        <v>153.45411193965603</v>
      </c>
      <c r="D15" s="56">
        <v>3.5223037435799998</v>
      </c>
      <c r="E15" s="56">
        <v>9.9774402997900005</v>
      </c>
      <c r="F15" s="56">
        <v>27.348646649591995</v>
      </c>
      <c r="G15" s="56">
        <v>112.60572124669403</v>
      </c>
      <c r="H15" s="56">
        <f>+I15+J15+K15+L15</f>
        <v>329.70566990764002</v>
      </c>
      <c r="I15" s="56">
        <v>59.712269845920005</v>
      </c>
      <c r="J15" s="56">
        <v>2.9712383731839971</v>
      </c>
      <c r="K15" s="56">
        <v>103.62160357761799</v>
      </c>
      <c r="L15" s="56">
        <v>163.40055811091804</v>
      </c>
      <c r="M15" s="56">
        <f t="shared" ref="M15:M77" si="1">+N15+O15+P15+Q15</f>
        <v>329.70566990764002</v>
      </c>
      <c r="N15" s="56">
        <v>59.712269845920005</v>
      </c>
      <c r="O15" s="56">
        <v>2.9712383731839971</v>
      </c>
      <c r="P15" s="56">
        <v>103.62160357761799</v>
      </c>
      <c r="Q15" s="1574">
        <v>163.40055811091804</v>
      </c>
      <c r="R15" s="56">
        <v>63.234573589500002</v>
      </c>
      <c r="S15" s="56">
        <v>12.948678672973998</v>
      </c>
      <c r="T15" s="56">
        <v>130.97025022720999</v>
      </c>
      <c r="U15" s="56">
        <v>276.00627935761207</v>
      </c>
      <c r="V15" s="56"/>
    </row>
    <row r="16" spans="1:81" ht="15.75" hidden="1">
      <c r="A16" s="1572">
        <v>2003</v>
      </c>
      <c r="B16" s="1573">
        <f t="shared" si="0"/>
        <v>644.37994144988397</v>
      </c>
      <c r="C16" s="56">
        <f>+D16+E16+F16+G16</f>
        <v>251.93511738187601</v>
      </c>
      <c r="D16" s="56">
        <v>7.7400585161379984</v>
      </c>
      <c r="E16" s="56">
        <v>11.246076919432003</v>
      </c>
      <c r="F16" s="56">
        <v>40.262415726721997</v>
      </c>
      <c r="G16" s="56">
        <v>192.68656621958402</v>
      </c>
      <c r="H16" s="56">
        <f>+I16+J16+K16+L16</f>
        <v>392.44482406800802</v>
      </c>
      <c r="I16" s="56">
        <v>89.564187967094</v>
      </c>
      <c r="J16" s="56">
        <v>11.627330259122001</v>
      </c>
      <c r="K16" s="56">
        <v>152.75450807743402</v>
      </c>
      <c r="L16" s="56">
        <v>138.49879776435799</v>
      </c>
      <c r="M16" s="56">
        <f t="shared" si="1"/>
        <v>392.44482406800802</v>
      </c>
      <c r="N16" s="56">
        <v>89.564187967094</v>
      </c>
      <c r="O16" s="56">
        <v>11.627330259122001</v>
      </c>
      <c r="P16" s="56">
        <v>152.75450807743402</v>
      </c>
      <c r="Q16" s="1574">
        <v>138.49879776435799</v>
      </c>
      <c r="R16" s="56">
        <v>97.304246483231992</v>
      </c>
      <c r="S16" s="56">
        <v>22.873407178554004</v>
      </c>
      <c r="T16" s="56">
        <v>193.01692380415602</v>
      </c>
      <c r="U16" s="56">
        <v>331.18536398394201</v>
      </c>
      <c r="V16" s="56"/>
    </row>
    <row r="17" spans="1:22" ht="15.75" hidden="1">
      <c r="A17" s="1572">
        <v>2004</v>
      </c>
      <c r="B17" s="1573">
        <f>+C17+M17</f>
        <v>1118.0426953927879</v>
      </c>
      <c r="C17" s="56">
        <f>+D17+E17+F17+G17</f>
        <v>403.12769143106192</v>
      </c>
      <c r="D17" s="56">
        <v>15.955597224904</v>
      </c>
      <c r="E17" s="56">
        <v>14.174613427751998</v>
      </c>
      <c r="F17" s="56">
        <v>61.031647387751995</v>
      </c>
      <c r="G17" s="56">
        <v>311.96583339065393</v>
      </c>
      <c r="H17" s="56">
        <f>+I17+J17+K17+L17</f>
        <v>714.91500396172592</v>
      </c>
      <c r="I17" s="56">
        <v>177.52197048484396</v>
      </c>
      <c r="J17" s="56">
        <v>14.259139113799998</v>
      </c>
      <c r="K17" s="56">
        <v>248.37984228524402</v>
      </c>
      <c r="L17" s="56">
        <v>274.75405207783803</v>
      </c>
      <c r="M17" s="56">
        <f t="shared" si="1"/>
        <v>714.91500396172592</v>
      </c>
      <c r="N17" s="56">
        <v>177.52197048484396</v>
      </c>
      <c r="O17" s="56">
        <v>14.259139113799998</v>
      </c>
      <c r="P17" s="56">
        <v>248.37984228524402</v>
      </c>
      <c r="Q17" s="1574">
        <v>274.75405207783803</v>
      </c>
      <c r="R17" s="56">
        <v>193.47756770974797</v>
      </c>
      <c r="S17" s="56">
        <v>28.433752541551996</v>
      </c>
      <c r="T17" s="56">
        <v>309.41148967299603</v>
      </c>
      <c r="U17" s="56">
        <v>586.71988546849195</v>
      </c>
      <c r="V17" s="56"/>
    </row>
    <row r="18" spans="1:22" ht="15.75">
      <c r="A18" s="1575">
        <v>2005</v>
      </c>
      <c r="B18" s="619">
        <f>+C18+M18</f>
        <v>1368.7164538735801</v>
      </c>
      <c r="C18" s="619">
        <f>+D18+E18+F18+G18</f>
        <v>494.53391455511206</v>
      </c>
      <c r="D18" s="619">
        <v>27.779654134526002</v>
      </c>
      <c r="E18" s="619">
        <v>28.058224396446001</v>
      </c>
      <c r="F18" s="619">
        <v>82.03544031062799</v>
      </c>
      <c r="G18" s="619">
        <v>356.66059571351207</v>
      </c>
      <c r="H18" s="619" t="s">
        <v>93</v>
      </c>
      <c r="I18" s="619" t="s">
        <v>93</v>
      </c>
      <c r="J18" s="619" t="s">
        <v>93</v>
      </c>
      <c r="K18" s="619" t="s">
        <v>93</v>
      </c>
      <c r="L18" s="619" t="s">
        <v>93</v>
      </c>
      <c r="M18" s="619">
        <f t="shared" si="1"/>
        <v>874.182539318468</v>
      </c>
      <c r="N18" s="619">
        <v>204.18628984915802</v>
      </c>
      <c r="O18" s="619">
        <v>20.166362801447995</v>
      </c>
      <c r="P18" s="619">
        <v>282.36037415142005</v>
      </c>
      <c r="Q18" s="619">
        <v>367.46951251644191</v>
      </c>
      <c r="R18" s="56"/>
      <c r="S18" s="56"/>
      <c r="T18" s="56"/>
      <c r="U18" s="56"/>
      <c r="V18" s="56"/>
    </row>
    <row r="19" spans="1:22" ht="15.75" hidden="1">
      <c r="A19" s="655" t="s">
        <v>18</v>
      </c>
      <c r="B19" s="592">
        <f t="shared" si="0"/>
        <v>1063.4966561646759</v>
      </c>
      <c r="C19" s="619">
        <f t="shared" ref="C19:C30" si="2">+D19+E19+F19+G19</f>
        <v>406.70491415222199</v>
      </c>
      <c r="D19" s="592">
        <v>15.134369305978002</v>
      </c>
      <c r="E19" s="592">
        <v>14.231994775455995</v>
      </c>
      <c r="F19" s="592">
        <v>60.961454474529994</v>
      </c>
      <c r="G19" s="592">
        <v>316.37709559625802</v>
      </c>
      <c r="H19" s="592" t="s">
        <v>93</v>
      </c>
      <c r="I19" s="592" t="s">
        <v>93</v>
      </c>
      <c r="J19" s="592" t="s">
        <v>93</v>
      </c>
      <c r="K19" s="592" t="s">
        <v>93</v>
      </c>
      <c r="L19" s="592" t="s">
        <v>93</v>
      </c>
      <c r="M19" s="592">
        <f t="shared" si="1"/>
        <v>656.79174201245382</v>
      </c>
      <c r="N19" s="592">
        <v>162.47776356627199</v>
      </c>
      <c r="O19" s="592">
        <v>12.143996220200002</v>
      </c>
      <c r="P19" s="592">
        <v>236.82087154101976</v>
      </c>
      <c r="Q19" s="592">
        <v>245.34911068496211</v>
      </c>
      <c r="R19" s="56">
        <v>177.61213287224999</v>
      </c>
      <c r="S19" s="56">
        <v>26.375990995655997</v>
      </c>
      <c r="T19" s="56">
        <v>297.78232601554976</v>
      </c>
      <c r="U19" s="56">
        <v>561.72620628122013</v>
      </c>
      <c r="V19" s="56"/>
    </row>
    <row r="20" spans="1:22" ht="15.75" hidden="1">
      <c r="A20" s="655" t="s">
        <v>19</v>
      </c>
      <c r="B20" s="592">
        <f t="shared" si="0"/>
        <v>1048.9799363667141</v>
      </c>
      <c r="C20" s="619">
        <f t="shared" si="2"/>
        <v>413.8254021203</v>
      </c>
      <c r="D20" s="592">
        <v>17.428663236807999</v>
      </c>
      <c r="E20" s="592">
        <v>14.947397832992001</v>
      </c>
      <c r="F20" s="592">
        <v>63.271366458445996</v>
      </c>
      <c r="G20" s="592">
        <v>318.177974592054</v>
      </c>
      <c r="H20" s="592" t="s">
        <v>93</v>
      </c>
      <c r="I20" s="592" t="s">
        <v>93</v>
      </c>
      <c r="J20" s="592" t="s">
        <v>93</v>
      </c>
      <c r="K20" s="592" t="s">
        <v>93</v>
      </c>
      <c r="L20" s="592" t="s">
        <v>93</v>
      </c>
      <c r="M20" s="592">
        <f t="shared" si="1"/>
        <v>635.15453424641407</v>
      </c>
      <c r="N20" s="592">
        <v>166.35517436954601</v>
      </c>
      <c r="O20" s="592">
        <v>13.769888064199998</v>
      </c>
      <c r="P20" s="592">
        <v>213.39937358376812</v>
      </c>
      <c r="Q20" s="592">
        <v>241.63009822889995</v>
      </c>
      <c r="R20" s="56">
        <v>183.78383760635401</v>
      </c>
      <c r="S20" s="56">
        <v>28.717285897191999</v>
      </c>
      <c r="T20" s="56">
        <v>276.67074004221411</v>
      </c>
      <c r="U20" s="56">
        <v>559.80807282095395</v>
      </c>
      <c r="V20" s="56"/>
    </row>
    <row r="21" spans="1:22" ht="15.75" hidden="1">
      <c r="A21" s="655" t="s">
        <v>20</v>
      </c>
      <c r="B21" s="592">
        <f t="shared" si="0"/>
        <v>1053.8228669286777</v>
      </c>
      <c r="C21" s="619">
        <f t="shared" si="2"/>
        <v>419.606675986852</v>
      </c>
      <c r="D21" s="592">
        <v>17.625101484098</v>
      </c>
      <c r="E21" s="592">
        <v>15.050721005593999</v>
      </c>
      <c r="F21" s="592">
        <v>66.320857953230004</v>
      </c>
      <c r="G21" s="592">
        <v>320.60999554392998</v>
      </c>
      <c r="H21" s="592" t="s">
        <v>93</v>
      </c>
      <c r="I21" s="592" t="s">
        <v>93</v>
      </c>
      <c r="J21" s="592" t="s">
        <v>93</v>
      </c>
      <c r="K21" s="592" t="s">
        <v>93</v>
      </c>
      <c r="L21" s="592" t="s">
        <v>93</v>
      </c>
      <c r="M21" s="592">
        <f t="shared" si="1"/>
        <v>634.21619094182574</v>
      </c>
      <c r="N21" s="592">
        <v>162.32582845139001</v>
      </c>
      <c r="O21" s="592">
        <v>15.985743624199998</v>
      </c>
      <c r="P21" s="592">
        <v>220.54135063364782</v>
      </c>
      <c r="Q21" s="592">
        <v>235.36326823258793</v>
      </c>
      <c r="R21" s="56">
        <v>179.95092993548801</v>
      </c>
      <c r="S21" s="56">
        <v>31.036464629793997</v>
      </c>
      <c r="T21" s="56">
        <v>286.86220858687784</v>
      </c>
      <c r="U21" s="56">
        <v>555.97326377651791</v>
      </c>
      <c r="V21" s="56"/>
    </row>
    <row r="22" spans="1:22" ht="15.75" hidden="1">
      <c r="A22" s="655" t="s">
        <v>21</v>
      </c>
      <c r="B22" s="592">
        <f t="shared" si="0"/>
        <v>1166.0089263965961</v>
      </c>
      <c r="C22" s="619">
        <f t="shared" si="2"/>
        <v>421.04511378452605</v>
      </c>
      <c r="D22" s="592">
        <v>20.04431320962</v>
      </c>
      <c r="E22" s="592">
        <v>16.538387940482007</v>
      </c>
      <c r="F22" s="592">
        <v>63.881193396003994</v>
      </c>
      <c r="G22" s="592">
        <v>320.58121923842003</v>
      </c>
      <c r="H22" s="592" t="s">
        <v>93</v>
      </c>
      <c r="I22" s="592" t="s">
        <v>93</v>
      </c>
      <c r="J22" s="592" t="s">
        <v>93</v>
      </c>
      <c r="K22" s="592" t="s">
        <v>93</v>
      </c>
      <c r="L22" s="592" t="s">
        <v>93</v>
      </c>
      <c r="M22" s="592">
        <f t="shared" si="1"/>
        <v>744.96381261207011</v>
      </c>
      <c r="N22" s="592">
        <v>175.219455213694</v>
      </c>
      <c r="O22" s="592">
        <v>15.276027790005998</v>
      </c>
      <c r="P22" s="592">
        <v>249.40081676096003</v>
      </c>
      <c r="Q22" s="592">
        <v>305.06751284741</v>
      </c>
      <c r="R22" s="56">
        <v>195.26376842331399</v>
      </c>
      <c r="S22" s="56">
        <v>31.814415730488005</v>
      </c>
      <c r="T22" s="56">
        <v>313.28201015696402</v>
      </c>
      <c r="U22" s="56">
        <v>625.64873208583003</v>
      </c>
      <c r="V22" s="56"/>
    </row>
    <row r="23" spans="1:22" ht="15.75" hidden="1">
      <c r="A23" s="655" t="s">
        <v>22</v>
      </c>
      <c r="B23" s="592">
        <f t="shared" si="0"/>
        <v>1213.5454937892737</v>
      </c>
      <c r="C23" s="619">
        <f t="shared" si="2"/>
        <v>424.95067404526998</v>
      </c>
      <c r="D23" s="592">
        <v>20.565216925968002</v>
      </c>
      <c r="E23" s="592">
        <v>18.779278470721998</v>
      </c>
      <c r="F23" s="592">
        <v>64.697821114283997</v>
      </c>
      <c r="G23" s="592">
        <v>320.90835753429599</v>
      </c>
      <c r="H23" s="592" t="s">
        <v>93</v>
      </c>
      <c r="I23" s="592" t="s">
        <v>93</v>
      </c>
      <c r="J23" s="592" t="s">
        <v>93</v>
      </c>
      <c r="K23" s="592" t="s">
        <v>93</v>
      </c>
      <c r="L23" s="592" t="s">
        <v>93</v>
      </c>
      <c r="M23" s="592">
        <f t="shared" si="1"/>
        <v>788.59481974400364</v>
      </c>
      <c r="N23" s="592">
        <v>190.50330881501003</v>
      </c>
      <c r="O23" s="592">
        <v>19.786619168888002</v>
      </c>
      <c r="P23" s="592">
        <v>233.93035006144964</v>
      </c>
      <c r="Q23" s="592">
        <v>344.374541698656</v>
      </c>
      <c r="R23" s="56">
        <v>211.06852574097803</v>
      </c>
      <c r="S23" s="56">
        <v>38.56589763961</v>
      </c>
      <c r="T23" s="56">
        <v>298.62817117573366</v>
      </c>
      <c r="U23" s="56">
        <v>665.28289923295199</v>
      </c>
      <c r="V23" s="56"/>
    </row>
    <row r="24" spans="1:22" ht="15.75" hidden="1">
      <c r="A24" s="655" t="s">
        <v>23</v>
      </c>
      <c r="B24" s="592">
        <f t="shared" si="0"/>
        <v>1216.5151143711018</v>
      </c>
      <c r="C24" s="619">
        <f t="shared" si="2"/>
        <v>430.50692186807993</v>
      </c>
      <c r="D24" s="592">
        <v>22.207957369458001</v>
      </c>
      <c r="E24" s="592">
        <v>21.746284227846004</v>
      </c>
      <c r="F24" s="592">
        <v>64.352211029433988</v>
      </c>
      <c r="G24" s="592">
        <v>322.20046924134192</v>
      </c>
      <c r="H24" s="592" t="s">
        <v>93</v>
      </c>
      <c r="I24" s="592" t="s">
        <v>93</v>
      </c>
      <c r="J24" s="592" t="s">
        <v>93</v>
      </c>
      <c r="K24" s="592" t="s">
        <v>93</v>
      </c>
      <c r="L24" s="592" t="s">
        <v>93</v>
      </c>
      <c r="M24" s="592">
        <f t="shared" si="1"/>
        <v>786.00819250302186</v>
      </c>
      <c r="N24" s="592">
        <v>191.26340058774801</v>
      </c>
      <c r="O24" s="592">
        <v>22.274413052866009</v>
      </c>
      <c r="P24" s="592">
        <v>235.64143676671404</v>
      </c>
      <c r="Q24" s="592">
        <v>336.82894209569383</v>
      </c>
      <c r="R24" s="56">
        <v>213.47135795720601</v>
      </c>
      <c r="S24" s="56">
        <v>44.020697280712014</v>
      </c>
      <c r="T24" s="56">
        <v>299.99364779614803</v>
      </c>
      <c r="U24" s="56">
        <v>659.02941133703575</v>
      </c>
      <c r="V24" s="56"/>
    </row>
    <row r="25" spans="1:22" ht="15.75" hidden="1">
      <c r="A25" s="655" t="s">
        <v>24</v>
      </c>
      <c r="B25" s="592">
        <f t="shared" si="0"/>
        <v>1277.149025846104</v>
      </c>
      <c r="C25" s="619">
        <f t="shared" si="2"/>
        <v>443.14842064208597</v>
      </c>
      <c r="D25" s="592">
        <v>24.336152530184002</v>
      </c>
      <c r="E25" s="592">
        <v>24.554515622192</v>
      </c>
      <c r="F25" s="592">
        <v>66.727173969110012</v>
      </c>
      <c r="G25" s="592">
        <v>327.53057852059993</v>
      </c>
      <c r="H25" s="592" t="s">
        <v>93</v>
      </c>
      <c r="I25" s="592" t="s">
        <v>93</v>
      </c>
      <c r="J25" s="592" t="s">
        <v>93</v>
      </c>
      <c r="K25" s="592" t="s">
        <v>93</v>
      </c>
      <c r="L25" s="592" t="s">
        <v>93</v>
      </c>
      <c r="M25" s="592">
        <f t="shared" si="1"/>
        <v>834.00060520401803</v>
      </c>
      <c r="N25" s="592">
        <v>202.46010063713601</v>
      </c>
      <c r="O25" s="592">
        <v>20.777331911536002</v>
      </c>
      <c r="P25" s="592">
        <v>269.97682625038021</v>
      </c>
      <c r="Q25" s="592">
        <v>340.78634640496585</v>
      </c>
      <c r="R25" s="56">
        <v>226.79625316732</v>
      </c>
      <c r="S25" s="56">
        <v>45.331847533728002</v>
      </c>
      <c r="T25" s="56">
        <v>336.70400021949024</v>
      </c>
      <c r="U25" s="56">
        <v>668.31692492556579</v>
      </c>
      <c r="V25" s="56"/>
    </row>
    <row r="26" spans="1:22" ht="15.75" hidden="1">
      <c r="A26" s="655" t="s">
        <v>25</v>
      </c>
      <c r="B26" s="592">
        <f t="shared" si="0"/>
        <v>1331.2752555563379</v>
      </c>
      <c r="C26" s="619">
        <f t="shared" si="2"/>
        <v>451.77814405733199</v>
      </c>
      <c r="D26" s="592">
        <v>24.548203651014003</v>
      </c>
      <c r="E26" s="592">
        <v>29.247900165707989</v>
      </c>
      <c r="F26" s="592">
        <v>69.866932499485998</v>
      </c>
      <c r="G26" s="592">
        <v>328.11510774112401</v>
      </c>
      <c r="H26" s="592" t="s">
        <v>93</v>
      </c>
      <c r="I26" s="592" t="s">
        <v>93</v>
      </c>
      <c r="J26" s="592" t="s">
        <v>93</v>
      </c>
      <c r="K26" s="592" t="s">
        <v>93</v>
      </c>
      <c r="L26" s="592" t="s">
        <v>93</v>
      </c>
      <c r="M26" s="592">
        <f t="shared" si="1"/>
        <v>879.497111499006</v>
      </c>
      <c r="N26" s="592">
        <v>212.25672293658801</v>
      </c>
      <c r="O26" s="592">
        <v>20.732208032832006</v>
      </c>
      <c r="P26" s="592">
        <v>292.47224681886382</v>
      </c>
      <c r="Q26" s="592">
        <v>354.03593371072213</v>
      </c>
      <c r="R26" s="56">
        <v>236.80492658760201</v>
      </c>
      <c r="S26" s="56">
        <v>49.980108198539995</v>
      </c>
      <c r="T26" s="56">
        <v>362.33917931834981</v>
      </c>
      <c r="U26" s="56">
        <v>682.15104145184614</v>
      </c>
      <c r="V26" s="56"/>
    </row>
    <row r="27" spans="1:22" ht="15.75" hidden="1">
      <c r="A27" s="655" t="s">
        <v>26</v>
      </c>
      <c r="B27" s="592">
        <f t="shared" si="0"/>
        <v>1353.6088446153863</v>
      </c>
      <c r="C27" s="619">
        <f t="shared" si="2"/>
        <v>455.47478384693807</v>
      </c>
      <c r="D27" s="592">
        <v>27.071172311326002</v>
      </c>
      <c r="E27" s="592">
        <v>25.847880078012007</v>
      </c>
      <c r="F27" s="592">
        <v>67.990966898934019</v>
      </c>
      <c r="G27" s="592">
        <v>334.56476455866601</v>
      </c>
      <c r="H27" s="592" t="s">
        <v>93</v>
      </c>
      <c r="I27" s="592" t="s">
        <v>93</v>
      </c>
      <c r="J27" s="592" t="s">
        <v>93</v>
      </c>
      <c r="K27" s="592" t="s">
        <v>93</v>
      </c>
      <c r="L27" s="592" t="s">
        <v>93</v>
      </c>
      <c r="M27" s="592">
        <f t="shared" si="1"/>
        <v>898.13406076844808</v>
      </c>
      <c r="N27" s="592">
        <v>200.96541767549201</v>
      </c>
      <c r="O27" s="592">
        <v>23.022939716143998</v>
      </c>
      <c r="P27" s="592">
        <v>286.30329898965016</v>
      </c>
      <c r="Q27" s="592">
        <v>387.84240438716193</v>
      </c>
      <c r="R27" s="56">
        <v>228.036589986818</v>
      </c>
      <c r="S27" s="56">
        <v>48.870819794156006</v>
      </c>
      <c r="T27" s="56">
        <v>354.29426588858416</v>
      </c>
      <c r="U27" s="56">
        <v>722.40716894582795</v>
      </c>
      <c r="V27" s="56"/>
    </row>
    <row r="28" spans="1:22" ht="15.75" hidden="1">
      <c r="A28" s="655" t="s">
        <v>27</v>
      </c>
      <c r="B28" s="592">
        <f t="shared" si="0"/>
        <v>1401.4029878443698</v>
      </c>
      <c r="C28" s="619">
        <f t="shared" si="2"/>
        <v>457.2681134259019</v>
      </c>
      <c r="D28" s="592">
        <v>24.061470321591994</v>
      </c>
      <c r="E28" s="592">
        <v>25.771477555174002</v>
      </c>
      <c r="F28" s="592">
        <v>65.541515063952005</v>
      </c>
      <c r="G28" s="592">
        <v>341.89365048518391</v>
      </c>
      <c r="H28" s="592" t="s">
        <v>93</v>
      </c>
      <c r="I28" s="592" t="s">
        <v>93</v>
      </c>
      <c r="J28" s="592" t="s">
        <v>93</v>
      </c>
      <c r="K28" s="592" t="s">
        <v>93</v>
      </c>
      <c r="L28" s="592" t="s">
        <v>93</v>
      </c>
      <c r="M28" s="592">
        <f t="shared" si="1"/>
        <v>944.1348744184678</v>
      </c>
      <c r="N28" s="592">
        <v>214.75196549321603</v>
      </c>
      <c r="O28" s="592">
        <v>22.226903330406003</v>
      </c>
      <c r="P28" s="592">
        <v>320.39781858118977</v>
      </c>
      <c r="Q28" s="592">
        <v>386.75818701365597</v>
      </c>
      <c r="R28" s="56">
        <v>238.81343581480803</v>
      </c>
      <c r="S28" s="56">
        <v>47.998380885580005</v>
      </c>
      <c r="T28" s="56">
        <v>385.9393336451418</v>
      </c>
      <c r="U28" s="56">
        <v>728.65183749883988</v>
      </c>
      <c r="V28" s="56"/>
    </row>
    <row r="29" spans="1:22" ht="15.75" hidden="1">
      <c r="A29" s="655" t="s">
        <v>28</v>
      </c>
      <c r="B29" s="592">
        <f t="shared" si="0"/>
        <v>1355.2231973839059</v>
      </c>
      <c r="C29" s="619">
        <f t="shared" si="2"/>
        <v>467.03543963430604</v>
      </c>
      <c r="D29" s="592">
        <v>23.99610273851</v>
      </c>
      <c r="E29" s="592">
        <v>27.445762746842007</v>
      </c>
      <c r="F29" s="592">
        <v>68.788068303291993</v>
      </c>
      <c r="G29" s="592">
        <v>346.80550584566203</v>
      </c>
      <c r="H29" s="592" t="s">
        <v>93</v>
      </c>
      <c r="I29" s="592" t="s">
        <v>93</v>
      </c>
      <c r="J29" s="592" t="s">
        <v>93</v>
      </c>
      <c r="K29" s="592" t="s">
        <v>93</v>
      </c>
      <c r="L29" s="592" t="s">
        <v>93</v>
      </c>
      <c r="M29" s="592">
        <f t="shared" si="1"/>
        <v>888.18775774959988</v>
      </c>
      <c r="N29" s="592">
        <v>203.55117892803801</v>
      </c>
      <c r="O29" s="592">
        <v>22.794835537339999</v>
      </c>
      <c r="P29" s="592">
        <v>272.14376593328575</v>
      </c>
      <c r="Q29" s="592">
        <v>389.69797735093613</v>
      </c>
      <c r="R29" s="56">
        <v>227.547281666548</v>
      </c>
      <c r="S29" s="56">
        <v>50.240598284182006</v>
      </c>
      <c r="T29" s="56">
        <v>340.93183423657774</v>
      </c>
      <c r="U29" s="56">
        <v>736.50348319659815</v>
      </c>
      <c r="V29" s="56"/>
    </row>
    <row r="30" spans="1:22" ht="15.75" hidden="1">
      <c r="A30" s="655" t="s">
        <v>29</v>
      </c>
      <c r="B30" s="592">
        <f t="shared" si="0"/>
        <v>1368.7164538735801</v>
      </c>
      <c r="C30" s="619">
        <f t="shared" si="2"/>
        <v>494.53391455511206</v>
      </c>
      <c r="D30" s="592">
        <v>27.779654134525998</v>
      </c>
      <c r="E30" s="592">
        <v>28.058224396446001</v>
      </c>
      <c r="F30" s="592">
        <v>82.03544031062799</v>
      </c>
      <c r="G30" s="592">
        <v>356.66059571351207</v>
      </c>
      <c r="H30" s="592" t="s">
        <v>93</v>
      </c>
      <c r="I30" s="592" t="s">
        <v>93</v>
      </c>
      <c r="J30" s="592" t="s">
        <v>93</v>
      </c>
      <c r="K30" s="592" t="s">
        <v>93</v>
      </c>
      <c r="L30" s="592" t="s">
        <v>93</v>
      </c>
      <c r="M30" s="592">
        <f t="shared" si="1"/>
        <v>874.182539318468</v>
      </c>
      <c r="N30" s="592">
        <v>204.18628984915802</v>
      </c>
      <c r="O30" s="592">
        <v>20.166362801447995</v>
      </c>
      <c r="P30" s="592">
        <v>282.36037415142005</v>
      </c>
      <c r="Q30" s="592">
        <v>367.46951251644191</v>
      </c>
      <c r="R30" s="56">
        <v>231.96594398368401</v>
      </c>
      <c r="S30" s="56">
        <v>48.224587197893996</v>
      </c>
      <c r="T30" s="56">
        <v>364.39581446204807</v>
      </c>
      <c r="U30" s="56">
        <v>724.13010822995398</v>
      </c>
      <c r="V30" s="56"/>
    </row>
    <row r="31" spans="1:22" ht="15.75">
      <c r="A31" s="462">
        <v>2006</v>
      </c>
      <c r="B31" s="592">
        <f t="shared" si="0"/>
        <v>2162.2232499800002</v>
      </c>
      <c r="C31" s="592">
        <f>+D31+E31+F31+G31</f>
        <v>819.50448542000004</v>
      </c>
      <c r="D31" s="592">
        <v>79.914839269999987</v>
      </c>
      <c r="E31" s="592">
        <v>170.41436218999999</v>
      </c>
      <c r="F31" s="592">
        <v>98.034702920000001</v>
      </c>
      <c r="G31" s="592">
        <v>471.14058104000003</v>
      </c>
      <c r="H31" s="592" t="s">
        <v>93</v>
      </c>
      <c r="I31" s="592" t="s">
        <v>93</v>
      </c>
      <c r="J31" s="592" t="s">
        <v>93</v>
      </c>
      <c r="K31" s="592" t="s">
        <v>93</v>
      </c>
      <c r="L31" s="592" t="s">
        <v>93</v>
      </c>
      <c r="M31" s="592">
        <f t="shared" si="1"/>
        <v>1342.7187645600002</v>
      </c>
      <c r="N31" s="592">
        <v>469.75696870000002</v>
      </c>
      <c r="O31" s="592">
        <v>100.94178429000002</v>
      </c>
      <c r="P31" s="592">
        <v>481.44463723999991</v>
      </c>
      <c r="Q31" s="592">
        <v>290.57537433000005</v>
      </c>
      <c r="R31" s="57"/>
      <c r="S31" s="57"/>
      <c r="T31" s="57"/>
      <c r="U31" s="57"/>
      <c r="V31" s="56"/>
    </row>
    <row r="32" spans="1:22" ht="15.75" hidden="1">
      <c r="A32" s="655" t="s">
        <v>18</v>
      </c>
      <c r="B32" s="592">
        <f t="shared" si="0"/>
        <v>1383.2134349799999</v>
      </c>
      <c r="C32" s="592">
        <f t="shared" ref="C32:C43" si="3">+D32+E32+F32+G32</f>
        <v>494.08814395000002</v>
      </c>
      <c r="D32" s="592">
        <v>30.034782400000001</v>
      </c>
      <c r="E32" s="592">
        <v>28.005372920000006</v>
      </c>
      <c r="F32" s="592">
        <v>73.219514610000004</v>
      </c>
      <c r="G32" s="592">
        <v>362.82847401999999</v>
      </c>
      <c r="H32" s="592" t="s">
        <v>93</v>
      </c>
      <c r="I32" s="592" t="s">
        <v>93</v>
      </c>
      <c r="J32" s="592" t="s">
        <v>93</v>
      </c>
      <c r="K32" s="592" t="s">
        <v>93</v>
      </c>
      <c r="L32" s="592" t="s">
        <v>93</v>
      </c>
      <c r="M32" s="592">
        <f t="shared" si="1"/>
        <v>889.12529102999997</v>
      </c>
      <c r="N32" s="592">
        <v>189.83757908000001</v>
      </c>
      <c r="O32" s="592">
        <v>20.746695360000004</v>
      </c>
      <c r="P32" s="592">
        <v>296.41532041000005</v>
      </c>
      <c r="Q32" s="592">
        <v>382.12569617999992</v>
      </c>
      <c r="R32" s="57">
        <v>219.87236148000002</v>
      </c>
      <c r="S32" s="57">
        <v>48.75206828000001</v>
      </c>
      <c r="T32" s="57">
        <v>369.63483502000008</v>
      </c>
      <c r="U32" s="57">
        <v>744.95417019999991</v>
      </c>
      <c r="V32" s="56"/>
    </row>
    <row r="33" spans="1:22" ht="15.75" hidden="1">
      <c r="A33" s="655" t="s">
        <v>19</v>
      </c>
      <c r="B33" s="592">
        <f t="shared" si="0"/>
        <v>1451.4978858499999</v>
      </c>
      <c r="C33" s="592">
        <f t="shared" si="3"/>
        <v>522.05475250999996</v>
      </c>
      <c r="D33" s="592">
        <v>27.423490940000001</v>
      </c>
      <c r="E33" s="592">
        <v>31.861988579999995</v>
      </c>
      <c r="F33" s="592">
        <v>82.184133250000002</v>
      </c>
      <c r="G33" s="592">
        <v>380.58513973999993</v>
      </c>
      <c r="H33" s="592" t="s">
        <v>93</v>
      </c>
      <c r="I33" s="592" t="s">
        <v>93</v>
      </c>
      <c r="J33" s="592" t="s">
        <v>93</v>
      </c>
      <c r="K33" s="592" t="s">
        <v>93</v>
      </c>
      <c r="L33" s="592" t="s">
        <v>93</v>
      </c>
      <c r="M33" s="592">
        <f t="shared" si="1"/>
        <v>929.44313334000003</v>
      </c>
      <c r="N33" s="592">
        <v>232.91152826999993</v>
      </c>
      <c r="O33" s="592">
        <v>24.236552970000005</v>
      </c>
      <c r="P33" s="592">
        <v>307.06405704000014</v>
      </c>
      <c r="Q33" s="592">
        <v>365.23099505999994</v>
      </c>
      <c r="R33" s="57">
        <v>260.33501920999993</v>
      </c>
      <c r="S33" s="57">
        <v>56.09854155</v>
      </c>
      <c r="T33" s="57">
        <v>389.24819029000014</v>
      </c>
      <c r="U33" s="57">
        <v>745.81613479999987</v>
      </c>
      <c r="V33" s="56"/>
    </row>
    <row r="34" spans="1:22" ht="15.75" hidden="1">
      <c r="A34" s="655" t="s">
        <v>20</v>
      </c>
      <c r="B34" s="592">
        <f t="shared" si="0"/>
        <v>1481.0066670299998</v>
      </c>
      <c r="C34" s="592">
        <f t="shared" si="3"/>
        <v>545.01132469999993</v>
      </c>
      <c r="D34" s="592">
        <v>34.537959389999997</v>
      </c>
      <c r="E34" s="592">
        <v>34.717815000000009</v>
      </c>
      <c r="F34" s="592">
        <v>76.481817759999998</v>
      </c>
      <c r="G34" s="592">
        <v>399.27373254999998</v>
      </c>
      <c r="H34" s="592" t="s">
        <v>93</v>
      </c>
      <c r="I34" s="592" t="s">
        <v>93</v>
      </c>
      <c r="J34" s="592" t="s">
        <v>93</v>
      </c>
      <c r="K34" s="592" t="s">
        <v>93</v>
      </c>
      <c r="L34" s="592" t="s">
        <v>93</v>
      </c>
      <c r="M34" s="592">
        <f t="shared" si="1"/>
        <v>935.99534232999986</v>
      </c>
      <c r="N34" s="592">
        <v>247.92220506999993</v>
      </c>
      <c r="O34" s="592">
        <v>24.863403380000001</v>
      </c>
      <c r="P34" s="592">
        <v>331.18936583999994</v>
      </c>
      <c r="Q34" s="592">
        <v>332.02036803999999</v>
      </c>
      <c r="R34" s="57">
        <v>282.46016445999993</v>
      </c>
      <c r="S34" s="57">
        <v>59.58121838000001</v>
      </c>
      <c r="T34" s="57">
        <v>407.67118359999995</v>
      </c>
      <c r="U34" s="57">
        <v>731.29410058999997</v>
      </c>
      <c r="V34" s="56"/>
    </row>
    <row r="35" spans="1:22" ht="15.75" hidden="1">
      <c r="A35" s="655" t="s">
        <v>21</v>
      </c>
      <c r="B35" s="592">
        <f t="shared" si="0"/>
        <v>1557.6401889599999</v>
      </c>
      <c r="C35" s="592">
        <f t="shared" si="3"/>
        <v>568.30047396999998</v>
      </c>
      <c r="D35" s="592">
        <v>39.192394550000003</v>
      </c>
      <c r="E35" s="592">
        <v>39.285058579999991</v>
      </c>
      <c r="F35" s="592">
        <v>79.15878404</v>
      </c>
      <c r="G35" s="592">
        <v>410.66423679999997</v>
      </c>
      <c r="H35" s="592" t="s">
        <v>93</v>
      </c>
      <c r="I35" s="592" t="s">
        <v>93</v>
      </c>
      <c r="J35" s="592" t="s">
        <v>93</v>
      </c>
      <c r="K35" s="592" t="s">
        <v>93</v>
      </c>
      <c r="L35" s="592" t="s">
        <v>93</v>
      </c>
      <c r="M35" s="592">
        <f t="shared" si="1"/>
        <v>989.33971498999995</v>
      </c>
      <c r="N35" s="592">
        <v>263.89040720000003</v>
      </c>
      <c r="O35" s="592">
        <v>22.71832903</v>
      </c>
      <c r="P35" s="592">
        <v>358.63728684000012</v>
      </c>
      <c r="Q35" s="592">
        <v>344.09369191999991</v>
      </c>
      <c r="R35" s="57">
        <v>303.08280175000004</v>
      </c>
      <c r="S35" s="57">
        <v>62.00338760999999</v>
      </c>
      <c r="T35" s="57">
        <v>437.79607088000012</v>
      </c>
      <c r="U35" s="57">
        <v>754.75792871999988</v>
      </c>
      <c r="V35" s="56"/>
    </row>
    <row r="36" spans="1:22" ht="15.75" hidden="1">
      <c r="A36" s="655" t="s">
        <v>22</v>
      </c>
      <c r="B36" s="592">
        <f t="shared" si="0"/>
        <v>1591.5808183700001</v>
      </c>
      <c r="C36" s="592">
        <f t="shared" si="3"/>
        <v>581.40550108000002</v>
      </c>
      <c r="D36" s="592">
        <v>42.23809593</v>
      </c>
      <c r="E36" s="592">
        <v>43.569025530000005</v>
      </c>
      <c r="F36" s="592">
        <v>81.913007550000003</v>
      </c>
      <c r="G36" s="592">
        <v>413.68537207000003</v>
      </c>
      <c r="H36" s="592" t="s">
        <v>93</v>
      </c>
      <c r="I36" s="592" t="s">
        <v>93</v>
      </c>
      <c r="J36" s="592" t="s">
        <v>93</v>
      </c>
      <c r="K36" s="592" t="s">
        <v>93</v>
      </c>
      <c r="L36" s="592" t="s">
        <v>93</v>
      </c>
      <c r="M36" s="592">
        <f t="shared" si="1"/>
        <v>1010.1753172900001</v>
      </c>
      <c r="N36" s="592">
        <v>261.16384357999999</v>
      </c>
      <c r="O36" s="592">
        <v>24.112841309999993</v>
      </c>
      <c r="P36" s="592">
        <v>383.09862685000007</v>
      </c>
      <c r="Q36" s="592">
        <v>341.80000554999998</v>
      </c>
      <c r="R36" s="57">
        <v>303.40193950999998</v>
      </c>
      <c r="S36" s="57">
        <v>67.681866839999998</v>
      </c>
      <c r="T36" s="57">
        <v>465.01163440000005</v>
      </c>
      <c r="U36" s="57">
        <v>755.48537762000001</v>
      </c>
      <c r="V36" s="56"/>
    </row>
    <row r="37" spans="1:22" ht="15.75" hidden="1">
      <c r="A37" s="655" t="s">
        <v>23</v>
      </c>
      <c r="B37" s="592">
        <f t="shared" si="0"/>
        <v>1695.9090985100001</v>
      </c>
      <c r="C37" s="592">
        <f t="shared" si="3"/>
        <v>614.61681299000008</v>
      </c>
      <c r="D37" s="592">
        <v>49.621956119999993</v>
      </c>
      <c r="E37" s="592">
        <v>62.687790590000013</v>
      </c>
      <c r="F37" s="592">
        <v>79.578920199999999</v>
      </c>
      <c r="G37" s="592">
        <v>422.72814608000004</v>
      </c>
      <c r="H37" s="592" t="s">
        <v>93</v>
      </c>
      <c r="I37" s="592" t="s">
        <v>93</v>
      </c>
      <c r="J37" s="592" t="s">
        <v>93</v>
      </c>
      <c r="K37" s="592" t="s">
        <v>93</v>
      </c>
      <c r="L37" s="592" t="s">
        <v>93</v>
      </c>
      <c r="M37" s="592">
        <f t="shared" si="1"/>
        <v>1081.2922855200002</v>
      </c>
      <c r="N37" s="592">
        <v>275.74995167999992</v>
      </c>
      <c r="O37" s="592">
        <v>32.195848599999998</v>
      </c>
      <c r="P37" s="592">
        <v>440.89080339000031</v>
      </c>
      <c r="Q37" s="592">
        <v>332.45568184999996</v>
      </c>
      <c r="R37" s="57">
        <v>325.37190779999992</v>
      </c>
      <c r="S37" s="57">
        <v>94.883639190000011</v>
      </c>
      <c r="T37" s="57">
        <v>520.46972359000029</v>
      </c>
      <c r="U37" s="57">
        <v>755.18382793000001</v>
      </c>
      <c r="V37" s="56"/>
    </row>
    <row r="38" spans="1:22" ht="15.75" hidden="1">
      <c r="A38" s="655" t="s">
        <v>24</v>
      </c>
      <c r="B38" s="592">
        <f t="shared" si="0"/>
        <v>1763.8645690999997</v>
      </c>
      <c r="C38" s="592">
        <f t="shared" si="3"/>
        <v>643.42004407000002</v>
      </c>
      <c r="D38" s="592">
        <v>52.189621299999992</v>
      </c>
      <c r="E38" s="592">
        <v>78.579402869999996</v>
      </c>
      <c r="F38" s="592">
        <v>80.232330779999984</v>
      </c>
      <c r="G38" s="592">
        <v>432.41868912000001</v>
      </c>
      <c r="H38" s="592" t="s">
        <v>93</v>
      </c>
      <c r="I38" s="592" t="s">
        <v>93</v>
      </c>
      <c r="J38" s="592" t="s">
        <v>93</v>
      </c>
      <c r="K38" s="592" t="s">
        <v>93</v>
      </c>
      <c r="L38" s="592" t="s">
        <v>93</v>
      </c>
      <c r="M38" s="592">
        <f t="shared" si="1"/>
        <v>1120.4445250299996</v>
      </c>
      <c r="N38" s="592">
        <v>290.18034140000009</v>
      </c>
      <c r="O38" s="592">
        <v>36.360110970000008</v>
      </c>
      <c r="P38" s="592">
        <v>464.80418268999972</v>
      </c>
      <c r="Q38" s="592">
        <v>329.09988996999988</v>
      </c>
      <c r="R38" s="57">
        <v>342.36996270000009</v>
      </c>
      <c r="S38" s="57">
        <v>114.93951384</v>
      </c>
      <c r="T38" s="57">
        <v>545.0365134699997</v>
      </c>
      <c r="U38" s="57">
        <v>761.51857908999989</v>
      </c>
      <c r="V38" s="56"/>
    </row>
    <row r="39" spans="1:22" ht="15.75" hidden="1">
      <c r="A39" s="655" t="s">
        <v>25</v>
      </c>
      <c r="B39" s="592">
        <f t="shared" si="0"/>
        <v>1831.5589231699998</v>
      </c>
      <c r="C39" s="592">
        <f t="shared" si="3"/>
        <v>668.38229610000008</v>
      </c>
      <c r="D39" s="592">
        <v>55.96733794</v>
      </c>
      <c r="E39" s="592">
        <v>92.886073139999993</v>
      </c>
      <c r="F39" s="592">
        <v>82.317566110000001</v>
      </c>
      <c r="G39" s="592">
        <v>437.21131891000005</v>
      </c>
      <c r="H39" s="592" t="s">
        <v>93</v>
      </c>
      <c r="I39" s="592" t="s">
        <v>93</v>
      </c>
      <c r="J39" s="592" t="s">
        <v>93</v>
      </c>
      <c r="K39" s="592" t="s">
        <v>93</v>
      </c>
      <c r="L39" s="592" t="s">
        <v>93</v>
      </c>
      <c r="M39" s="592">
        <f t="shared" si="1"/>
        <v>1163.1766270699998</v>
      </c>
      <c r="N39" s="592">
        <v>341.24181605999996</v>
      </c>
      <c r="O39" s="592">
        <v>41.966108949999992</v>
      </c>
      <c r="P39" s="592">
        <v>431.8204850599999</v>
      </c>
      <c r="Q39" s="592">
        <v>348.14821699999993</v>
      </c>
      <c r="R39" s="57">
        <v>397.20915399999996</v>
      </c>
      <c r="S39" s="57">
        <v>134.85218208999999</v>
      </c>
      <c r="T39" s="57">
        <v>514.13805116999993</v>
      </c>
      <c r="U39" s="57">
        <v>785.35953590999998</v>
      </c>
      <c r="V39" s="56"/>
    </row>
    <row r="40" spans="1:22" ht="15.75" hidden="1">
      <c r="A40" s="655" t="s">
        <v>26</v>
      </c>
      <c r="B40" s="592">
        <f t="shared" si="0"/>
        <v>1861.9868716400001</v>
      </c>
      <c r="C40" s="592">
        <f t="shared" si="3"/>
        <v>693.30904727000006</v>
      </c>
      <c r="D40" s="592">
        <v>60.653480889999997</v>
      </c>
      <c r="E40" s="592">
        <v>109.42575111999997</v>
      </c>
      <c r="F40" s="592">
        <v>82.923726000000002</v>
      </c>
      <c r="G40" s="592">
        <v>440.30608926000002</v>
      </c>
      <c r="H40" s="592" t="s">
        <v>93</v>
      </c>
      <c r="I40" s="592" t="s">
        <v>93</v>
      </c>
      <c r="J40" s="592" t="s">
        <v>93</v>
      </c>
      <c r="K40" s="592" t="s">
        <v>93</v>
      </c>
      <c r="L40" s="592" t="s">
        <v>93</v>
      </c>
      <c r="M40" s="592">
        <f t="shared" si="1"/>
        <v>1168.6778243700001</v>
      </c>
      <c r="N40" s="592">
        <v>317.02227455000002</v>
      </c>
      <c r="O40" s="592">
        <v>54.545017500000029</v>
      </c>
      <c r="P40" s="592">
        <v>488.0273342800001</v>
      </c>
      <c r="Q40" s="592">
        <v>309.08319803999996</v>
      </c>
      <c r="R40" s="57">
        <v>377.67575544000005</v>
      </c>
      <c r="S40" s="57">
        <v>163.97076862</v>
      </c>
      <c r="T40" s="57">
        <v>570.95106028000009</v>
      </c>
      <c r="U40" s="57">
        <v>749.38928729999998</v>
      </c>
      <c r="V40" s="56"/>
    </row>
    <row r="41" spans="1:22" ht="15.75" hidden="1">
      <c r="A41" s="655" t="s">
        <v>27</v>
      </c>
      <c r="B41" s="592">
        <f t="shared" si="0"/>
        <v>1923.72598348</v>
      </c>
      <c r="C41" s="592">
        <f t="shared" si="3"/>
        <v>704.88062265000008</v>
      </c>
      <c r="D41" s="592">
        <v>55.988498190000001</v>
      </c>
      <c r="E41" s="592">
        <v>120.69270441</v>
      </c>
      <c r="F41" s="592">
        <v>85.052518870000014</v>
      </c>
      <c r="G41" s="592">
        <v>443.14690118000004</v>
      </c>
      <c r="H41" s="592" t="s">
        <v>93</v>
      </c>
      <c r="I41" s="592" t="s">
        <v>93</v>
      </c>
      <c r="J41" s="592" t="s">
        <v>93</v>
      </c>
      <c r="K41" s="592" t="s">
        <v>93</v>
      </c>
      <c r="L41" s="592" t="s">
        <v>93</v>
      </c>
      <c r="M41" s="592">
        <f t="shared" si="1"/>
        <v>1218.8453608299999</v>
      </c>
      <c r="N41" s="592">
        <v>382.97617588999992</v>
      </c>
      <c r="O41" s="592">
        <v>78.186924290000007</v>
      </c>
      <c r="P41" s="592">
        <v>458.4888861</v>
      </c>
      <c r="Q41" s="592">
        <v>299.19337454999999</v>
      </c>
      <c r="R41" s="57">
        <v>438.96467407999995</v>
      </c>
      <c r="S41" s="57">
        <v>198.87962870000001</v>
      </c>
      <c r="T41" s="57">
        <v>543.54140497000003</v>
      </c>
      <c r="U41" s="57">
        <v>742.34027573000003</v>
      </c>
      <c r="V41" s="56"/>
    </row>
    <row r="42" spans="1:22" ht="15.75" hidden="1">
      <c r="A42" s="655" t="s">
        <v>28</v>
      </c>
      <c r="B42" s="592">
        <f t="shared" si="0"/>
        <v>1976.72432028</v>
      </c>
      <c r="C42" s="592">
        <f t="shared" si="3"/>
        <v>726.2294748700001</v>
      </c>
      <c r="D42" s="592">
        <v>61.438948159999995</v>
      </c>
      <c r="E42" s="592">
        <v>126.73382838000001</v>
      </c>
      <c r="F42" s="592">
        <v>85.941731959999998</v>
      </c>
      <c r="G42" s="592">
        <v>452.11496637000005</v>
      </c>
      <c r="H42" s="592" t="s">
        <v>93</v>
      </c>
      <c r="I42" s="592" t="s">
        <v>93</v>
      </c>
      <c r="J42" s="592" t="s">
        <v>93</v>
      </c>
      <c r="K42" s="592" t="s">
        <v>93</v>
      </c>
      <c r="L42" s="592" t="s">
        <v>93</v>
      </c>
      <c r="M42" s="592">
        <f t="shared" si="1"/>
        <v>1250.4948454099999</v>
      </c>
      <c r="N42" s="592">
        <v>443.82139665999995</v>
      </c>
      <c r="O42" s="592">
        <v>78.460469070000045</v>
      </c>
      <c r="P42" s="592">
        <v>420.20089158000008</v>
      </c>
      <c r="Q42" s="592">
        <v>308.01208809999991</v>
      </c>
      <c r="R42" s="57">
        <v>505.26034481999994</v>
      </c>
      <c r="S42" s="57">
        <v>205.19429745000005</v>
      </c>
      <c r="T42" s="57">
        <v>506.14262354000005</v>
      </c>
      <c r="U42" s="57">
        <v>760.12705446999996</v>
      </c>
      <c r="V42" s="56"/>
    </row>
    <row r="43" spans="1:22" ht="15.75" hidden="1">
      <c r="A43" s="655" t="s">
        <v>29</v>
      </c>
      <c r="B43" s="592">
        <f t="shared" si="0"/>
        <v>2162.2232499800002</v>
      </c>
      <c r="C43" s="592">
        <f t="shared" si="3"/>
        <v>819.50448542000004</v>
      </c>
      <c r="D43" s="592">
        <v>79.914839269999987</v>
      </c>
      <c r="E43" s="592">
        <v>170.41436218999999</v>
      </c>
      <c r="F43" s="592">
        <v>98.034702920000001</v>
      </c>
      <c r="G43" s="592">
        <v>471.14058104000003</v>
      </c>
      <c r="H43" s="592" t="s">
        <v>93</v>
      </c>
      <c r="I43" s="592" t="s">
        <v>93</v>
      </c>
      <c r="J43" s="592" t="s">
        <v>93</v>
      </c>
      <c r="K43" s="592" t="s">
        <v>93</v>
      </c>
      <c r="L43" s="592" t="s">
        <v>93</v>
      </c>
      <c r="M43" s="592">
        <f t="shared" si="1"/>
        <v>1342.7187645600002</v>
      </c>
      <c r="N43" s="592">
        <v>469.75696870000002</v>
      </c>
      <c r="O43" s="592">
        <v>100.94178429000002</v>
      </c>
      <c r="P43" s="592">
        <v>481.44463723999991</v>
      </c>
      <c r="Q43" s="592">
        <v>290.57537433000005</v>
      </c>
      <c r="R43" s="57">
        <v>549.67180797000003</v>
      </c>
      <c r="S43" s="57">
        <v>271.35614648000001</v>
      </c>
      <c r="T43" s="57">
        <v>579.47934015999988</v>
      </c>
      <c r="U43" s="57">
        <v>761.61595537000005</v>
      </c>
      <c r="V43" s="56"/>
    </row>
    <row r="44" spans="1:22" ht="15.75">
      <c r="A44" s="462">
        <v>2007</v>
      </c>
      <c r="B44" s="268">
        <f>+C44+M44+H44</f>
        <v>4127.1830896900001</v>
      </c>
      <c r="C44" s="592">
        <f>+C56</f>
        <v>1468.4471432400001</v>
      </c>
      <c r="D44" s="592">
        <f>+D56</f>
        <v>209.13821691999999</v>
      </c>
      <c r="E44" s="592">
        <f>+E56</f>
        <v>467.2896341899999</v>
      </c>
      <c r="F44" s="592">
        <f>+F56</f>
        <v>127.28427373</v>
      </c>
      <c r="G44" s="592">
        <f>+G56</f>
        <v>664.73501840000006</v>
      </c>
      <c r="H44" s="268">
        <f>SUM(I44:L44)</f>
        <v>493.20578638999996</v>
      </c>
      <c r="I44" s="631">
        <v>5.1250114299999989</v>
      </c>
      <c r="J44" s="631">
        <v>201.79778044</v>
      </c>
      <c r="K44" s="631">
        <v>91.65565986</v>
      </c>
      <c r="L44" s="631">
        <v>194.62733466</v>
      </c>
      <c r="M44" s="268">
        <f>SUM(N44:Q44)</f>
        <v>2165.5301600600001</v>
      </c>
      <c r="N44" s="268">
        <f>R44-D44-I44</f>
        <v>748.53817508000009</v>
      </c>
      <c r="O44" s="268">
        <f>S44-E44-J44</f>
        <v>270.28733296000007</v>
      </c>
      <c r="P44" s="268">
        <f>T44-F44-K44</f>
        <v>535.28325309000002</v>
      </c>
      <c r="Q44" s="268">
        <f>U44-G44-L44</f>
        <v>611.4213989299999</v>
      </c>
      <c r="R44" s="1573">
        <v>962.80140343000005</v>
      </c>
      <c r="S44" s="1573">
        <v>939.37474758999997</v>
      </c>
      <c r="T44" s="1573">
        <v>754.22318668000003</v>
      </c>
      <c r="U44" s="1573">
        <v>1470.7837519899999</v>
      </c>
      <c r="V44" s="56"/>
    </row>
    <row r="45" spans="1:22" ht="15.75" hidden="1">
      <c r="A45" s="655" t="s">
        <v>18</v>
      </c>
      <c r="B45" s="592">
        <f t="shared" si="0"/>
        <v>2096.6167330799999</v>
      </c>
      <c r="C45" s="592">
        <f>+D45+E45+F45+G45</f>
        <v>805.36801174000004</v>
      </c>
      <c r="D45" s="592">
        <v>79.265255980000006</v>
      </c>
      <c r="E45" s="592">
        <v>142.08609589</v>
      </c>
      <c r="F45" s="592">
        <v>89.637089879999991</v>
      </c>
      <c r="G45" s="592">
        <v>494.37956999000005</v>
      </c>
      <c r="H45" s="631" t="s">
        <v>93</v>
      </c>
      <c r="I45" s="631"/>
      <c r="J45" s="631"/>
      <c r="K45" s="631"/>
      <c r="L45" s="631"/>
      <c r="M45" s="631">
        <f t="shared" si="1"/>
        <v>1291.24872134</v>
      </c>
      <c r="N45" s="631">
        <v>421.63286606999998</v>
      </c>
      <c r="O45" s="631">
        <v>97.540257410000009</v>
      </c>
      <c r="P45" s="631">
        <v>479.13758514</v>
      </c>
      <c r="Q45" s="631">
        <v>292.93801272000007</v>
      </c>
      <c r="R45" s="1573">
        <v>500.89812204999998</v>
      </c>
      <c r="S45" s="1573">
        <v>239.62635330000001</v>
      </c>
      <c r="T45" s="1573">
        <v>568.77467502000013</v>
      </c>
      <c r="U45" s="1573">
        <v>787.31758271000012</v>
      </c>
      <c r="V45" s="56"/>
    </row>
    <row r="46" spans="1:22" ht="15.75" hidden="1">
      <c r="A46" s="655" t="s">
        <v>19</v>
      </c>
      <c r="B46" s="592">
        <f t="shared" si="0"/>
        <v>2147.5673924400003</v>
      </c>
      <c r="C46" s="592">
        <f t="shared" ref="C46:C82" si="4">+D46+E46+F46+G46</f>
        <v>844.66060427000002</v>
      </c>
      <c r="D46" s="592">
        <v>81.232247769999987</v>
      </c>
      <c r="E46" s="592">
        <v>174.07611989</v>
      </c>
      <c r="F46" s="592">
        <v>88.731144920000006</v>
      </c>
      <c r="G46" s="592">
        <v>500.62109169000007</v>
      </c>
      <c r="H46" s="631" t="s">
        <v>93</v>
      </c>
      <c r="I46" s="631"/>
      <c r="J46" s="631"/>
      <c r="K46" s="631"/>
      <c r="L46" s="631"/>
      <c r="M46" s="631">
        <f t="shared" si="1"/>
        <v>1302.9067881700003</v>
      </c>
      <c r="N46" s="631">
        <v>474.49219463000009</v>
      </c>
      <c r="O46" s="631">
        <v>97.437064580000055</v>
      </c>
      <c r="P46" s="631">
        <v>466.12374894000016</v>
      </c>
      <c r="Q46" s="631">
        <v>264.85378002000004</v>
      </c>
      <c r="R46" s="1573">
        <v>555.72444240000004</v>
      </c>
      <c r="S46" s="1573">
        <v>271.51318447000006</v>
      </c>
      <c r="T46" s="1573">
        <v>554.85489386000017</v>
      </c>
      <c r="U46" s="1573">
        <v>765.47487171000012</v>
      </c>
      <c r="V46" s="56"/>
    </row>
    <row r="47" spans="1:22" ht="15.75" hidden="1">
      <c r="A47" s="655" t="s">
        <v>20</v>
      </c>
      <c r="B47" s="592">
        <f t="shared" si="0"/>
        <v>2238.0863028400004</v>
      </c>
      <c r="C47" s="592">
        <f t="shared" si="4"/>
        <v>908.4442479999999</v>
      </c>
      <c r="D47" s="592">
        <v>92.074598960000003</v>
      </c>
      <c r="E47" s="592">
        <v>197.51977068999997</v>
      </c>
      <c r="F47" s="592">
        <v>107.11599709000001</v>
      </c>
      <c r="G47" s="592">
        <v>511.73388125999992</v>
      </c>
      <c r="H47" s="631" t="s">
        <v>93</v>
      </c>
      <c r="I47" s="631"/>
      <c r="J47" s="631"/>
      <c r="K47" s="631"/>
      <c r="L47" s="631"/>
      <c r="M47" s="631">
        <f t="shared" si="1"/>
        <v>1329.6420548400004</v>
      </c>
      <c r="N47" s="631">
        <v>531.39664353000012</v>
      </c>
      <c r="O47" s="631">
        <v>118.51179624999997</v>
      </c>
      <c r="P47" s="631">
        <v>431.48362467000032</v>
      </c>
      <c r="Q47" s="631">
        <v>248.24999039000005</v>
      </c>
      <c r="R47" s="1573">
        <v>623.47124249000012</v>
      </c>
      <c r="S47" s="1573">
        <v>316.03156693999995</v>
      </c>
      <c r="T47" s="1573">
        <v>538.59962176000033</v>
      </c>
      <c r="U47" s="1573">
        <v>759.98387164999997</v>
      </c>
      <c r="V47" s="56"/>
    </row>
    <row r="48" spans="1:22" ht="15.75" hidden="1">
      <c r="A48" s="655" t="s">
        <v>21</v>
      </c>
      <c r="B48" s="592">
        <f t="shared" si="0"/>
        <v>2248.8268927600006</v>
      </c>
      <c r="C48" s="592">
        <f t="shared" si="4"/>
        <v>961.29358310000009</v>
      </c>
      <c r="D48" s="592">
        <v>98.326788490000013</v>
      </c>
      <c r="E48" s="592">
        <v>224.49819621</v>
      </c>
      <c r="F48" s="592">
        <v>118.15709432</v>
      </c>
      <c r="G48" s="592">
        <v>520.31150408000008</v>
      </c>
      <c r="H48" s="631" t="s">
        <v>93</v>
      </c>
      <c r="I48" s="631"/>
      <c r="J48" s="631"/>
      <c r="K48" s="631"/>
      <c r="L48" s="631"/>
      <c r="M48" s="631">
        <f t="shared" si="1"/>
        <v>1287.5333096600007</v>
      </c>
      <c r="N48" s="631">
        <v>533.2081371999999</v>
      </c>
      <c r="O48" s="631">
        <v>140.40430051999999</v>
      </c>
      <c r="P48" s="631">
        <v>384.50746509000072</v>
      </c>
      <c r="Q48" s="631">
        <v>229.41340685</v>
      </c>
      <c r="R48" s="1573">
        <v>631.53492568999991</v>
      </c>
      <c r="S48" s="1573">
        <v>364.90249673</v>
      </c>
      <c r="T48" s="1573">
        <v>502.66455941000072</v>
      </c>
      <c r="U48" s="1573">
        <v>749.72491093000008</v>
      </c>
      <c r="V48" s="56"/>
    </row>
    <row r="49" spans="1:82" ht="15.75" hidden="1">
      <c r="A49" s="655" t="s">
        <v>22</v>
      </c>
      <c r="B49" s="592">
        <f t="shared" si="0"/>
        <v>2371.46952508</v>
      </c>
      <c r="C49" s="592">
        <f t="shared" si="4"/>
        <v>985.03364480999983</v>
      </c>
      <c r="D49" s="592">
        <v>99.711228800000001</v>
      </c>
      <c r="E49" s="592">
        <v>238.89629153999999</v>
      </c>
      <c r="F49" s="592">
        <v>115.70579663999999</v>
      </c>
      <c r="G49" s="592">
        <v>530.72032782999986</v>
      </c>
      <c r="H49" s="631" t="s">
        <v>93</v>
      </c>
      <c r="I49" s="631"/>
      <c r="J49" s="631"/>
      <c r="K49" s="631"/>
      <c r="L49" s="631"/>
      <c r="M49" s="631">
        <f t="shared" si="1"/>
        <v>1386.4358802700001</v>
      </c>
      <c r="N49" s="631">
        <v>537.52403600000014</v>
      </c>
      <c r="O49" s="631">
        <v>173.39501977999998</v>
      </c>
      <c r="P49" s="631">
        <v>334.51007777000018</v>
      </c>
      <c r="Q49" s="631">
        <v>341.00674671999991</v>
      </c>
      <c r="R49" s="1573">
        <v>637.2352648000001</v>
      </c>
      <c r="S49" s="1573">
        <v>412.29131131999998</v>
      </c>
      <c r="T49" s="1573">
        <v>450.2158744100002</v>
      </c>
      <c r="U49" s="1573">
        <v>871.72707454999977</v>
      </c>
      <c r="V49" s="56"/>
    </row>
    <row r="50" spans="1:82" ht="15.75" hidden="1">
      <c r="A50" s="655" t="s">
        <v>23</v>
      </c>
      <c r="B50" s="592">
        <f t="shared" si="0"/>
        <v>2436.3426978500001</v>
      </c>
      <c r="C50" s="592">
        <f t="shared" si="4"/>
        <v>1020.8584574499999</v>
      </c>
      <c r="D50" s="592">
        <v>110.44227332</v>
      </c>
      <c r="E50" s="592">
        <v>267.40287179999996</v>
      </c>
      <c r="F50" s="592">
        <v>98.197515299999992</v>
      </c>
      <c r="G50" s="592">
        <v>544.81579703</v>
      </c>
      <c r="H50" s="631" t="s">
        <v>93</v>
      </c>
      <c r="I50" s="631"/>
      <c r="J50" s="631"/>
      <c r="K50" s="631"/>
      <c r="L50" s="631"/>
      <c r="M50" s="631">
        <f t="shared" si="1"/>
        <v>1415.4842404000001</v>
      </c>
      <c r="N50" s="631">
        <v>536.06686271000012</v>
      </c>
      <c r="O50" s="631">
        <v>166.69929221000001</v>
      </c>
      <c r="P50" s="631">
        <v>361.94301267999981</v>
      </c>
      <c r="Q50" s="631">
        <v>350.77507280000009</v>
      </c>
      <c r="R50" s="1573">
        <v>646.50913603000015</v>
      </c>
      <c r="S50" s="1573">
        <v>434.10216400999997</v>
      </c>
      <c r="T50" s="1573">
        <v>460.14052797999977</v>
      </c>
      <c r="U50" s="1573">
        <v>895.59086983000009</v>
      </c>
      <c r="V50" s="56"/>
    </row>
    <row r="51" spans="1:82" ht="15.75" hidden="1">
      <c r="A51" s="655" t="s">
        <v>24</v>
      </c>
      <c r="B51" s="592">
        <f>+C51+M51</f>
        <v>2510.4601260499994</v>
      </c>
      <c r="C51" s="592">
        <f t="shared" si="4"/>
        <v>1088.11108863</v>
      </c>
      <c r="D51" s="592">
        <v>117.71330317</v>
      </c>
      <c r="E51" s="592">
        <v>307.10855963</v>
      </c>
      <c r="F51" s="592">
        <v>101.63486448</v>
      </c>
      <c r="G51" s="592">
        <v>561.65436135000004</v>
      </c>
      <c r="H51" s="631" t="s">
        <v>93</v>
      </c>
      <c r="I51" s="631"/>
      <c r="J51" s="631"/>
      <c r="K51" s="631"/>
      <c r="L51" s="631"/>
      <c r="M51" s="631">
        <f t="shared" si="1"/>
        <v>1422.3490374199996</v>
      </c>
      <c r="N51" s="631">
        <v>481.49265175000005</v>
      </c>
      <c r="O51" s="631">
        <v>222.54737585999993</v>
      </c>
      <c r="P51" s="631">
        <v>334.44187647000001</v>
      </c>
      <c r="Q51" s="631">
        <v>383.8671333399999</v>
      </c>
      <c r="R51" s="1573">
        <v>599.20595492000007</v>
      </c>
      <c r="S51" s="1573">
        <v>529.65593548999993</v>
      </c>
      <c r="T51" s="1573">
        <v>436.07674095000004</v>
      </c>
      <c r="U51" s="1573">
        <v>945.52149468999994</v>
      </c>
      <c r="V51" s="56"/>
    </row>
    <row r="52" spans="1:82" ht="15.75" hidden="1">
      <c r="A52" s="655" t="s">
        <v>25</v>
      </c>
      <c r="B52" s="592">
        <f t="shared" si="0"/>
        <v>2743.0334336599999</v>
      </c>
      <c r="C52" s="592">
        <f t="shared" si="4"/>
        <v>1199.99973559</v>
      </c>
      <c r="D52" s="592">
        <v>134.63084693000002</v>
      </c>
      <c r="E52" s="592">
        <v>341.12469172999994</v>
      </c>
      <c r="F52" s="592">
        <v>135.79012827</v>
      </c>
      <c r="G52" s="592">
        <v>588.45406866000008</v>
      </c>
      <c r="H52" s="631" t="s">
        <v>93</v>
      </c>
      <c r="I52" s="631"/>
      <c r="J52" s="631"/>
      <c r="K52" s="631"/>
      <c r="L52" s="631"/>
      <c r="M52" s="631">
        <f t="shared" si="1"/>
        <v>1543.0336980699999</v>
      </c>
      <c r="N52" s="631">
        <v>581.32473275999996</v>
      </c>
      <c r="O52" s="631">
        <v>236.68227714000005</v>
      </c>
      <c r="P52" s="631">
        <v>272.64181347999988</v>
      </c>
      <c r="Q52" s="631">
        <v>452.38487469000006</v>
      </c>
      <c r="R52" s="1573">
        <v>715.95557969000004</v>
      </c>
      <c r="S52" s="1573">
        <v>577.80696886999999</v>
      </c>
      <c r="T52" s="1573">
        <v>408.43194174999985</v>
      </c>
      <c r="U52" s="1573">
        <v>1040.8389433500001</v>
      </c>
    </row>
    <row r="53" spans="1:82" ht="15.75" hidden="1">
      <c r="A53" s="655" t="s">
        <v>26</v>
      </c>
      <c r="B53" s="592">
        <f t="shared" si="0"/>
        <v>2973.8333739999994</v>
      </c>
      <c r="C53" s="592">
        <f t="shared" si="4"/>
        <v>1259.26416006</v>
      </c>
      <c r="D53" s="592">
        <v>154.40904753000001</v>
      </c>
      <c r="E53" s="592">
        <v>349.31623956000004</v>
      </c>
      <c r="F53" s="592">
        <v>128.30077258</v>
      </c>
      <c r="G53" s="592">
        <v>627.23810039</v>
      </c>
      <c r="H53" s="631" t="s">
        <v>93</v>
      </c>
      <c r="I53" s="631"/>
      <c r="J53" s="631"/>
      <c r="K53" s="631"/>
      <c r="L53" s="631"/>
      <c r="M53" s="631">
        <f t="shared" si="1"/>
        <v>1714.5692139399994</v>
      </c>
      <c r="N53" s="631">
        <v>582.81709633999981</v>
      </c>
      <c r="O53" s="631">
        <v>253.46022450000004</v>
      </c>
      <c r="P53" s="631">
        <v>394.06173224999958</v>
      </c>
      <c r="Q53" s="631">
        <v>484.23016084999995</v>
      </c>
      <c r="R53" s="1573">
        <v>737.22614386999987</v>
      </c>
      <c r="S53" s="1573">
        <v>602.77646406000008</v>
      </c>
      <c r="T53" s="1573">
        <v>522.36250482999958</v>
      </c>
      <c r="U53" s="1573">
        <v>1111.4682612399999</v>
      </c>
    </row>
    <row r="54" spans="1:82" ht="15.75" hidden="1">
      <c r="A54" s="655" t="s">
        <v>27</v>
      </c>
      <c r="B54" s="592">
        <f t="shared" si="0"/>
        <v>3100.1979160199999</v>
      </c>
      <c r="C54" s="592">
        <f t="shared" si="4"/>
        <v>1336.3149997099999</v>
      </c>
      <c r="D54" s="592">
        <v>139.70010163000001</v>
      </c>
      <c r="E54" s="592">
        <v>380.48368108999995</v>
      </c>
      <c r="F54" s="592">
        <v>132.27277806999999</v>
      </c>
      <c r="G54" s="592">
        <v>683.85843892000003</v>
      </c>
      <c r="H54" s="631" t="s">
        <v>93</v>
      </c>
      <c r="I54" s="631"/>
      <c r="J54" s="631"/>
      <c r="K54" s="631"/>
      <c r="L54" s="631"/>
      <c r="M54" s="631">
        <f t="shared" si="1"/>
        <v>1763.8829163099997</v>
      </c>
      <c r="N54" s="631">
        <v>570.75191573999996</v>
      </c>
      <c r="O54" s="631">
        <v>270.42506171999997</v>
      </c>
      <c r="P54" s="631">
        <v>432.23770675999981</v>
      </c>
      <c r="Q54" s="631">
        <v>490.4682320899999</v>
      </c>
      <c r="R54" s="1573">
        <v>710.45201737000002</v>
      </c>
      <c r="S54" s="1573">
        <v>650.90874280999992</v>
      </c>
      <c r="T54" s="1573">
        <v>564.51048482999977</v>
      </c>
      <c r="U54" s="1573">
        <v>1174.3266710099999</v>
      </c>
    </row>
    <row r="55" spans="1:82" ht="15.75" hidden="1">
      <c r="A55" s="655" t="s">
        <v>28</v>
      </c>
      <c r="B55" s="592">
        <f t="shared" si="0"/>
        <v>3149.9321332299996</v>
      </c>
      <c r="C55" s="592">
        <f t="shared" si="4"/>
        <v>1368.0907700600001</v>
      </c>
      <c r="D55" s="592">
        <v>171.72864746000002</v>
      </c>
      <c r="E55" s="592">
        <v>407.21740892999992</v>
      </c>
      <c r="F55" s="592">
        <v>123.01321744000001</v>
      </c>
      <c r="G55" s="592">
        <v>666.13149623000004</v>
      </c>
      <c r="H55" s="631" t="s">
        <v>93</v>
      </c>
      <c r="I55" s="631"/>
      <c r="J55" s="631"/>
      <c r="K55" s="631"/>
      <c r="L55" s="631"/>
      <c r="M55" s="631">
        <f t="shared" si="1"/>
        <v>1781.8413631699998</v>
      </c>
      <c r="N55" s="631">
        <v>695.83804521000013</v>
      </c>
      <c r="O55" s="631">
        <v>213.12393137999993</v>
      </c>
      <c r="P55" s="631">
        <v>371.66565658999986</v>
      </c>
      <c r="Q55" s="631">
        <v>501.21372998999982</v>
      </c>
      <c r="R55" s="1573">
        <v>867.56669267000018</v>
      </c>
      <c r="S55" s="1573">
        <v>620.34134030999985</v>
      </c>
      <c r="T55" s="1573">
        <v>494.67887402999986</v>
      </c>
      <c r="U55" s="1573">
        <v>1167.3452262199999</v>
      </c>
    </row>
    <row r="56" spans="1:82" ht="15.75" hidden="1">
      <c r="A56" s="655" t="s">
        <v>29</v>
      </c>
      <c r="B56" s="592">
        <f t="shared" si="0"/>
        <v>3411.0184679300005</v>
      </c>
      <c r="C56" s="592">
        <f t="shared" si="4"/>
        <v>1468.4471432400001</v>
      </c>
      <c r="D56" s="592">
        <v>209.13821691999999</v>
      </c>
      <c r="E56" s="592">
        <v>467.2896341899999</v>
      </c>
      <c r="F56" s="592">
        <v>127.28427373</v>
      </c>
      <c r="G56" s="592">
        <v>664.73501840000006</v>
      </c>
      <c r="H56" s="631" t="s">
        <v>93</v>
      </c>
      <c r="I56" s="631"/>
      <c r="J56" s="631"/>
      <c r="K56" s="631"/>
      <c r="L56" s="631"/>
      <c r="M56" s="631">
        <f t="shared" si="1"/>
        <v>1942.5713246900004</v>
      </c>
      <c r="N56" s="631">
        <v>715.86218732000009</v>
      </c>
      <c r="O56" s="631">
        <v>270.28733296000007</v>
      </c>
      <c r="P56" s="631">
        <v>345.00040548000038</v>
      </c>
      <c r="Q56" s="631">
        <v>611.42139893000001</v>
      </c>
      <c r="R56" s="1573">
        <v>925.00040424000008</v>
      </c>
      <c r="S56" s="1573">
        <v>737.57696714999997</v>
      </c>
      <c r="T56" s="1573">
        <v>472.28467921000038</v>
      </c>
      <c r="U56" s="1573">
        <v>1276.1564173300001</v>
      </c>
    </row>
    <row r="57" spans="1:82" ht="15.75">
      <c r="A57" s="462">
        <v>2008</v>
      </c>
      <c r="B57" s="268">
        <f>+C57+M57+H57</f>
        <v>6460.18830738</v>
      </c>
      <c r="C57" s="592">
        <f>+C69</f>
        <v>1905.2516731700002</v>
      </c>
      <c r="D57" s="592">
        <f>+D69</f>
        <v>326.99539657000003</v>
      </c>
      <c r="E57" s="592">
        <f>+E69</f>
        <v>709.70871122000005</v>
      </c>
      <c r="F57" s="592">
        <f>+F69</f>
        <v>140.93540200000001</v>
      </c>
      <c r="G57" s="592">
        <f>+G69</f>
        <v>727.61216337999997</v>
      </c>
      <c r="H57" s="268">
        <f>SUM(I57:L57)</f>
        <v>1699.4718697600001</v>
      </c>
      <c r="I57" s="631">
        <v>4.1426726499999997</v>
      </c>
      <c r="J57" s="631">
        <v>350.56741977000001</v>
      </c>
      <c r="K57" s="631">
        <v>201.12700483999998</v>
      </c>
      <c r="L57" s="631">
        <v>1143.6347725000001</v>
      </c>
      <c r="M57" s="268">
        <f>SUM(N57:Q57)</f>
        <v>2855.4647644499992</v>
      </c>
      <c r="N57" s="268">
        <f>R57-D57-I57</f>
        <v>722.96277071999998</v>
      </c>
      <c r="O57" s="268">
        <f>S57-E57-J57</f>
        <v>179.78293486999985</v>
      </c>
      <c r="P57" s="268">
        <f>T57-F57-K57</f>
        <v>683.22154687999978</v>
      </c>
      <c r="Q57" s="268">
        <f>U57-G57-L57</f>
        <v>1269.4975119799997</v>
      </c>
      <c r="R57" s="1573">
        <v>1054.10083994</v>
      </c>
      <c r="S57" s="1573">
        <v>1240.0590658599999</v>
      </c>
      <c r="T57" s="1573">
        <v>1025.2839537199998</v>
      </c>
      <c r="U57" s="1573">
        <v>3140.7444478599996</v>
      </c>
    </row>
    <row r="58" spans="1:82" ht="15.75" hidden="1">
      <c r="A58" s="655" t="s">
        <v>18</v>
      </c>
      <c r="B58" s="592">
        <f t="shared" si="0"/>
        <v>3376.2820621499995</v>
      </c>
      <c r="C58" s="592">
        <f t="shared" si="4"/>
        <v>1499.6908089400001</v>
      </c>
      <c r="D58" s="592">
        <v>174.34848554000001</v>
      </c>
      <c r="E58" s="592">
        <v>519.16389662000006</v>
      </c>
      <c r="F58" s="592">
        <v>126.64823800000001</v>
      </c>
      <c r="G58" s="592">
        <v>679.53018878000012</v>
      </c>
      <c r="H58" s="631" t="s">
        <v>93</v>
      </c>
      <c r="I58" s="631"/>
      <c r="J58" s="631"/>
      <c r="K58" s="631"/>
      <c r="L58" s="631"/>
      <c r="M58" s="631">
        <f t="shared" si="1"/>
        <v>1876.5912532099996</v>
      </c>
      <c r="N58" s="631">
        <v>594.17581685999994</v>
      </c>
      <c r="O58" s="631">
        <v>278.10477797999999</v>
      </c>
      <c r="P58" s="631">
        <v>380.32318082999996</v>
      </c>
      <c r="Q58" s="631">
        <v>623.98747753999987</v>
      </c>
      <c r="R58" s="1573">
        <v>768.52430240000001</v>
      </c>
      <c r="S58" s="1573">
        <v>797.26867460000005</v>
      </c>
      <c r="T58" s="1573">
        <v>506.97141882999995</v>
      </c>
      <c r="U58" s="1573">
        <v>1303.51766632</v>
      </c>
      <c r="CD58" s="1570"/>
    </row>
    <row r="59" spans="1:82" ht="15.75" hidden="1">
      <c r="A59" s="655" t="s">
        <v>19</v>
      </c>
      <c r="B59" s="592">
        <f t="shared" si="0"/>
        <v>3865.327689669999</v>
      </c>
      <c r="C59" s="592">
        <f t="shared" si="4"/>
        <v>1563.3277661</v>
      </c>
      <c r="D59" s="592">
        <v>179.15420477999999</v>
      </c>
      <c r="E59" s="592">
        <v>549.76535858</v>
      </c>
      <c r="F59" s="592">
        <v>129.42095922000001</v>
      </c>
      <c r="G59" s="592">
        <v>704.98724351999999</v>
      </c>
      <c r="H59" s="631" t="s">
        <v>93</v>
      </c>
      <c r="I59" s="631"/>
      <c r="J59" s="631"/>
      <c r="K59" s="631"/>
      <c r="L59" s="631"/>
      <c r="M59" s="631">
        <f t="shared" si="1"/>
        <v>2301.9999235699993</v>
      </c>
      <c r="N59" s="631">
        <v>646.30118378999998</v>
      </c>
      <c r="O59" s="631">
        <v>293.86241941000003</v>
      </c>
      <c r="P59" s="631">
        <v>310.70557300999917</v>
      </c>
      <c r="Q59" s="631">
        <v>1051.13074736</v>
      </c>
      <c r="R59" s="1573">
        <v>825.45538856999997</v>
      </c>
      <c r="S59" s="1573">
        <v>843.62777799000003</v>
      </c>
      <c r="T59" s="1573">
        <v>440.12653222999916</v>
      </c>
      <c r="U59" s="1573">
        <v>1756.11799088</v>
      </c>
      <c r="CD59" s="1570"/>
    </row>
    <row r="60" spans="1:82" ht="15.75" hidden="1">
      <c r="A60" s="655" t="s">
        <v>20</v>
      </c>
      <c r="B60" s="592">
        <f t="shared" si="0"/>
        <v>3801.2519231299993</v>
      </c>
      <c r="C60" s="592">
        <f t="shared" si="4"/>
        <v>1587.1405410799998</v>
      </c>
      <c r="D60" s="592">
        <v>197.15584645999996</v>
      </c>
      <c r="E60" s="592">
        <v>531.97070213999996</v>
      </c>
      <c r="F60" s="592">
        <v>119.80429941</v>
      </c>
      <c r="G60" s="592">
        <v>738.20969306999996</v>
      </c>
      <c r="H60" s="631" t="s">
        <v>93</v>
      </c>
      <c r="I60" s="631"/>
      <c r="J60" s="631"/>
      <c r="K60" s="631"/>
      <c r="L60" s="631"/>
      <c r="M60" s="631">
        <f t="shared" si="1"/>
        <v>2214.1113820499995</v>
      </c>
      <c r="N60" s="631">
        <v>632.17129743999999</v>
      </c>
      <c r="O60" s="631">
        <v>296.99325682999995</v>
      </c>
      <c r="P60" s="631">
        <v>260.7148621599996</v>
      </c>
      <c r="Q60" s="631">
        <v>1024.2319656199998</v>
      </c>
      <c r="R60" s="1573">
        <v>829.32714390000001</v>
      </c>
      <c r="S60" s="1573">
        <v>828.96395896999991</v>
      </c>
      <c r="T60" s="1573">
        <v>380.5191615699996</v>
      </c>
      <c r="U60" s="1573">
        <v>1762.4416586899997</v>
      </c>
      <c r="CD60" s="1570"/>
    </row>
    <row r="61" spans="1:82" ht="15.75" hidden="1">
      <c r="A61" s="655" t="s">
        <v>21</v>
      </c>
      <c r="B61" s="592">
        <f t="shared" si="0"/>
        <v>3859.7257464200002</v>
      </c>
      <c r="C61" s="592">
        <f t="shared" si="4"/>
        <v>1593.7078401700001</v>
      </c>
      <c r="D61" s="592">
        <v>204.10669522000001</v>
      </c>
      <c r="E61" s="592">
        <v>549.61617012000011</v>
      </c>
      <c r="F61" s="592">
        <v>122.16298177</v>
      </c>
      <c r="G61" s="592">
        <v>717.82199306000007</v>
      </c>
      <c r="H61" s="631" t="s">
        <v>93</v>
      </c>
      <c r="I61" s="631"/>
      <c r="J61" s="631"/>
      <c r="K61" s="631"/>
      <c r="L61" s="631"/>
      <c r="M61" s="631">
        <f t="shared" si="1"/>
        <v>2266.0179062500001</v>
      </c>
      <c r="N61" s="631">
        <v>619.67800352999996</v>
      </c>
      <c r="O61" s="631">
        <v>273.7401659599999</v>
      </c>
      <c r="P61" s="631">
        <v>370.40694040000017</v>
      </c>
      <c r="Q61" s="631">
        <v>1002.1927963599999</v>
      </c>
      <c r="R61" s="1573">
        <v>823.78469875000008</v>
      </c>
      <c r="S61" s="1573">
        <v>823.35633608000001</v>
      </c>
      <c r="T61" s="1573">
        <v>492.56992217000015</v>
      </c>
      <c r="U61" s="1573">
        <v>1720.0147894199999</v>
      </c>
      <c r="CD61" s="1570"/>
    </row>
    <row r="62" spans="1:82" ht="15.75" hidden="1">
      <c r="A62" s="655" t="s">
        <v>22</v>
      </c>
      <c r="B62" s="592">
        <f t="shared" si="0"/>
        <v>4120.4938849399996</v>
      </c>
      <c r="C62" s="592">
        <f t="shared" si="4"/>
        <v>1603.2907805499997</v>
      </c>
      <c r="D62" s="592">
        <v>211.04319397</v>
      </c>
      <c r="E62" s="592">
        <v>571.38064296999983</v>
      </c>
      <c r="F62" s="592">
        <v>127.81953204999999</v>
      </c>
      <c r="G62" s="592">
        <v>693.04741155999989</v>
      </c>
      <c r="H62" s="631" t="s">
        <v>93</v>
      </c>
      <c r="I62" s="631"/>
      <c r="J62" s="631"/>
      <c r="K62" s="631"/>
      <c r="L62" s="631"/>
      <c r="M62" s="631">
        <f t="shared" si="1"/>
        <v>2517.2031043899997</v>
      </c>
      <c r="N62" s="631">
        <v>522.31349606000003</v>
      </c>
      <c r="O62" s="631">
        <v>276.78370558999984</v>
      </c>
      <c r="P62" s="631">
        <v>486.65749242999993</v>
      </c>
      <c r="Q62" s="631">
        <v>1231.4484103099999</v>
      </c>
      <c r="R62" s="1573">
        <v>733.3566900300001</v>
      </c>
      <c r="S62" s="1573">
        <v>848.16434855999967</v>
      </c>
      <c r="T62" s="1573">
        <v>614.47702447999995</v>
      </c>
      <c r="U62" s="1573">
        <v>1924.4958218699996</v>
      </c>
    </row>
    <row r="63" spans="1:82" ht="15.75" hidden="1">
      <c r="A63" s="655" t="s">
        <v>23</v>
      </c>
      <c r="B63" s="592">
        <f t="shared" si="0"/>
        <v>4372.531935779999</v>
      </c>
      <c r="C63" s="592">
        <f t="shared" si="4"/>
        <v>1661.62931546</v>
      </c>
      <c r="D63" s="592">
        <v>229.74472256000001</v>
      </c>
      <c r="E63" s="592">
        <v>612.58455818999994</v>
      </c>
      <c r="F63" s="592">
        <v>120.87471343999999</v>
      </c>
      <c r="G63" s="592">
        <v>698.42532127000004</v>
      </c>
      <c r="H63" s="631" t="s">
        <v>93</v>
      </c>
      <c r="I63" s="631"/>
      <c r="J63" s="631"/>
      <c r="K63" s="631"/>
      <c r="L63" s="631"/>
      <c r="M63" s="631">
        <f t="shared" si="1"/>
        <v>2710.9026203199992</v>
      </c>
      <c r="N63" s="631">
        <v>685.63237231999994</v>
      </c>
      <c r="O63" s="631">
        <v>176.4479014499999</v>
      </c>
      <c r="P63" s="631">
        <v>656.26001358999929</v>
      </c>
      <c r="Q63" s="631">
        <v>1192.5623329599998</v>
      </c>
      <c r="R63" s="1573">
        <v>915.37709487999996</v>
      </c>
      <c r="S63" s="1573">
        <v>789.03245963999984</v>
      </c>
      <c r="T63" s="1573">
        <v>777.13472702999934</v>
      </c>
      <c r="U63" s="1573">
        <v>1890.9876542299999</v>
      </c>
    </row>
    <row r="64" spans="1:82" ht="15.75" hidden="1">
      <c r="A64" s="655" t="s">
        <v>24</v>
      </c>
      <c r="B64" s="592">
        <f t="shared" si="0"/>
        <v>4259.7083277299998</v>
      </c>
      <c r="C64" s="592">
        <f t="shared" si="4"/>
        <v>1766.4824962</v>
      </c>
      <c r="D64" s="592">
        <v>243.07164164</v>
      </c>
      <c r="E64" s="592">
        <v>683.84070356999996</v>
      </c>
      <c r="F64" s="592">
        <v>124.84401631999999</v>
      </c>
      <c r="G64" s="592">
        <v>714.72613466999996</v>
      </c>
      <c r="H64" s="631" t="s">
        <v>93</v>
      </c>
      <c r="I64" s="631"/>
      <c r="J64" s="631"/>
      <c r="K64" s="631"/>
      <c r="L64" s="631"/>
      <c r="M64" s="631">
        <f t="shared" si="1"/>
        <v>2493.2258315300001</v>
      </c>
      <c r="N64" s="631">
        <v>574.50776094000003</v>
      </c>
      <c r="O64" s="631">
        <v>161.8454869599999</v>
      </c>
      <c r="P64" s="631">
        <v>514.87413835000007</v>
      </c>
      <c r="Q64" s="631">
        <v>1241.9984452799999</v>
      </c>
      <c r="R64" s="1573">
        <v>817.57940257999996</v>
      </c>
      <c r="S64" s="1573">
        <v>845.68619052999986</v>
      </c>
      <c r="T64" s="1573">
        <v>639.7181546700001</v>
      </c>
      <c r="U64" s="1573">
        <v>1956.7245799499999</v>
      </c>
    </row>
    <row r="65" spans="1:21" ht="15.75" hidden="1">
      <c r="A65" s="655" t="s">
        <v>25</v>
      </c>
      <c r="B65" s="592">
        <f t="shared" si="0"/>
        <v>4523.3699284900003</v>
      </c>
      <c r="C65" s="592">
        <f t="shared" si="4"/>
        <v>1826.99057111</v>
      </c>
      <c r="D65" s="592">
        <v>273.64096348999999</v>
      </c>
      <c r="E65" s="592">
        <v>712.05074019999995</v>
      </c>
      <c r="F65" s="592">
        <v>128.16155234999999</v>
      </c>
      <c r="G65" s="592">
        <v>713.13731507</v>
      </c>
      <c r="H65" s="631" t="s">
        <v>93</v>
      </c>
      <c r="I65" s="631"/>
      <c r="J65" s="631"/>
      <c r="K65" s="631"/>
      <c r="L65" s="631"/>
      <c r="M65" s="631">
        <f t="shared" si="1"/>
        <v>2696.3793573800003</v>
      </c>
      <c r="N65" s="631">
        <v>654.12619423000001</v>
      </c>
      <c r="O65" s="631">
        <v>173.31750541000008</v>
      </c>
      <c r="P65" s="631">
        <v>679.87474543000053</v>
      </c>
      <c r="Q65" s="631">
        <v>1189.0609123099998</v>
      </c>
      <c r="R65" s="1573">
        <v>927.76715772</v>
      </c>
      <c r="S65" s="1573">
        <v>885.36824561000003</v>
      </c>
      <c r="T65" s="1573">
        <v>808.0362977800005</v>
      </c>
      <c r="U65" s="1573">
        <v>1902.1982273799999</v>
      </c>
    </row>
    <row r="66" spans="1:21" ht="15.75" hidden="1">
      <c r="A66" s="655" t="s">
        <v>26</v>
      </c>
      <c r="B66" s="592">
        <f t="shared" si="0"/>
        <v>4479.4917286</v>
      </c>
      <c r="C66" s="592">
        <f t="shared" si="4"/>
        <v>1889.5822796699999</v>
      </c>
      <c r="D66" s="592">
        <v>322.3066369</v>
      </c>
      <c r="E66" s="592">
        <v>701.69263409999996</v>
      </c>
      <c r="F66" s="592">
        <v>128.40118737</v>
      </c>
      <c r="G66" s="592">
        <v>737.18182130000002</v>
      </c>
      <c r="H66" s="631" t="s">
        <v>93</v>
      </c>
      <c r="I66" s="631"/>
      <c r="J66" s="631"/>
      <c r="K66" s="631"/>
      <c r="L66" s="631"/>
      <c r="M66" s="631">
        <f t="shared" si="1"/>
        <v>2589.9094489299996</v>
      </c>
      <c r="N66" s="631">
        <v>697.89023750999991</v>
      </c>
      <c r="O66" s="631">
        <v>152.04260739000006</v>
      </c>
      <c r="P66" s="631">
        <v>599.52141429999995</v>
      </c>
      <c r="Q66" s="631">
        <v>1140.4551897299998</v>
      </c>
      <c r="R66" s="1573">
        <v>1020.19687441</v>
      </c>
      <c r="S66" s="1573">
        <v>853.73524149000002</v>
      </c>
      <c r="T66" s="1573">
        <v>727.92260166999995</v>
      </c>
      <c r="U66" s="1573">
        <v>1877.6370110299999</v>
      </c>
    </row>
    <row r="67" spans="1:21" ht="15.75" hidden="1">
      <c r="A67" s="655" t="s">
        <v>27</v>
      </c>
      <c r="B67" s="592">
        <f t="shared" si="0"/>
        <v>4508.2237846200005</v>
      </c>
      <c r="C67" s="592">
        <f t="shared" si="4"/>
        <v>1794.8542117900001</v>
      </c>
      <c r="D67" s="592">
        <v>263.01361274999999</v>
      </c>
      <c r="E67" s="592">
        <v>688.28573529000005</v>
      </c>
      <c r="F67" s="592">
        <v>132.49977978999999</v>
      </c>
      <c r="G67" s="592">
        <v>711.05508396000005</v>
      </c>
      <c r="H67" s="631" t="s">
        <v>93</v>
      </c>
      <c r="I67" s="631"/>
      <c r="J67" s="631"/>
      <c r="K67" s="631"/>
      <c r="L67" s="631"/>
      <c r="M67" s="631">
        <f t="shared" si="1"/>
        <v>2713.3695728299999</v>
      </c>
      <c r="N67" s="631">
        <v>666.55060508999998</v>
      </c>
      <c r="O67" s="631">
        <v>187.97638668999991</v>
      </c>
      <c r="P67" s="631">
        <v>738.61918956999989</v>
      </c>
      <c r="Q67" s="631">
        <v>1120.2233914799999</v>
      </c>
      <c r="R67" s="1573">
        <v>929.56421783999997</v>
      </c>
      <c r="S67" s="1573">
        <v>876.26212197999996</v>
      </c>
      <c r="T67" s="1573">
        <v>871.11896935999994</v>
      </c>
      <c r="U67" s="1573">
        <v>1831.27847544</v>
      </c>
    </row>
    <row r="68" spans="1:21" ht="15.75" hidden="1">
      <c r="A68" s="655" t="s">
        <v>28</v>
      </c>
      <c r="B68" s="592">
        <f t="shared" si="0"/>
        <v>4544.0344337400002</v>
      </c>
      <c r="C68" s="592">
        <f t="shared" si="4"/>
        <v>1808.9275479399998</v>
      </c>
      <c r="D68" s="592">
        <v>286.15559645000002</v>
      </c>
      <c r="E68" s="592">
        <v>681.97937262999994</v>
      </c>
      <c r="F68" s="592">
        <v>123.81197198</v>
      </c>
      <c r="G68" s="592">
        <v>716.98060687999998</v>
      </c>
      <c r="H68" s="631" t="s">
        <v>93</v>
      </c>
      <c r="I68" s="631"/>
      <c r="J68" s="631"/>
      <c r="K68" s="631"/>
      <c r="L68" s="631"/>
      <c r="M68" s="631">
        <f t="shared" si="1"/>
        <v>2735.1068858000003</v>
      </c>
      <c r="N68" s="631">
        <v>682.61107474000005</v>
      </c>
      <c r="O68" s="631">
        <v>198.41219663000004</v>
      </c>
      <c r="P68" s="631">
        <v>611.82042020000017</v>
      </c>
      <c r="Q68" s="631">
        <v>1242.26319423</v>
      </c>
      <c r="R68" s="1573">
        <v>968.76667119000001</v>
      </c>
      <c r="S68" s="1573">
        <v>880.39156925999998</v>
      </c>
      <c r="T68" s="1573">
        <v>735.63239218000012</v>
      </c>
      <c r="U68" s="1573">
        <v>1959.24380111</v>
      </c>
    </row>
    <row r="69" spans="1:21" ht="15.75" hidden="1">
      <c r="A69" s="655" t="s">
        <v>29</v>
      </c>
      <c r="B69" s="592">
        <f t="shared" si="0"/>
        <v>4760.7164376199999</v>
      </c>
      <c r="C69" s="592">
        <f t="shared" si="4"/>
        <v>1905.2516731700002</v>
      </c>
      <c r="D69" s="592">
        <v>326.99539657000003</v>
      </c>
      <c r="E69" s="592">
        <v>709.70871122000005</v>
      </c>
      <c r="F69" s="592">
        <v>140.93540200000001</v>
      </c>
      <c r="G69" s="592">
        <v>727.61216337999997</v>
      </c>
      <c r="H69" s="631" t="s">
        <v>93</v>
      </c>
      <c r="I69" s="631"/>
      <c r="J69" s="631"/>
      <c r="K69" s="631"/>
      <c r="L69" s="631"/>
      <c r="M69" s="631">
        <f t="shared" si="1"/>
        <v>2855.4647644500001</v>
      </c>
      <c r="N69" s="631">
        <v>722.96277071999987</v>
      </c>
      <c r="O69" s="631">
        <v>179.78293486999996</v>
      </c>
      <c r="P69" s="631">
        <v>683.22154688000001</v>
      </c>
      <c r="Q69" s="631">
        <v>1269.4975119800001</v>
      </c>
      <c r="R69" s="1573">
        <v>1049.9581672899999</v>
      </c>
      <c r="S69" s="1573">
        <v>889.49164609000002</v>
      </c>
      <c r="T69" s="1573">
        <v>824.15694888000007</v>
      </c>
      <c r="U69" s="1573">
        <v>1997.10967536</v>
      </c>
    </row>
    <row r="70" spans="1:21" ht="15.75">
      <c r="A70" s="462">
        <v>2009</v>
      </c>
      <c r="B70" s="268">
        <f>+C70+M70+H70</f>
        <v>6379.1216378400004</v>
      </c>
      <c r="C70" s="592">
        <f>+C82</f>
        <v>2334.8716709</v>
      </c>
      <c r="D70" s="592">
        <f>+D82</f>
        <v>353.49315752000001</v>
      </c>
      <c r="E70" s="592">
        <f>+E82</f>
        <v>612.09870946000001</v>
      </c>
      <c r="F70" s="592">
        <f>+F82</f>
        <v>166.53805993</v>
      </c>
      <c r="G70" s="592">
        <f>+G82</f>
        <v>1202.74174399</v>
      </c>
      <c r="H70" s="268">
        <f>SUM(I70:L70)</f>
        <v>1724.95393489</v>
      </c>
      <c r="I70" s="631">
        <v>5.5579741299999998</v>
      </c>
      <c r="J70" s="631">
        <v>431.96965411999997</v>
      </c>
      <c r="K70" s="631">
        <v>237.88132708000001</v>
      </c>
      <c r="L70" s="631">
        <v>1049.54497956</v>
      </c>
      <c r="M70" s="268">
        <f>SUM(N70:Q70)</f>
        <v>2319.2960320500006</v>
      </c>
      <c r="N70" s="268">
        <f>R70-D70-I70</f>
        <v>773.93681600000014</v>
      </c>
      <c r="O70" s="268">
        <f>S70-E70-J70</f>
        <v>176.26878554999973</v>
      </c>
      <c r="P70" s="268">
        <f>T70-F70-K70</f>
        <v>653.36384426999984</v>
      </c>
      <c r="Q70" s="268">
        <f>U70-G70-L70</f>
        <v>715.72658623000075</v>
      </c>
      <c r="R70" s="1573">
        <v>1132.9879476500003</v>
      </c>
      <c r="S70" s="1573">
        <v>1220.3371491299997</v>
      </c>
      <c r="T70" s="1573">
        <v>1057.7832312799999</v>
      </c>
      <c r="U70" s="1573">
        <v>2968.0133097800008</v>
      </c>
    </row>
    <row r="71" spans="1:21" ht="15.75" hidden="1">
      <c r="A71" s="655" t="s">
        <v>18</v>
      </c>
      <c r="B71" s="629">
        <f t="shared" si="0"/>
        <v>5287.85904114</v>
      </c>
      <c r="C71" s="629">
        <f t="shared" si="4"/>
        <v>1835.2138852099999</v>
      </c>
      <c r="D71" s="629">
        <v>260.66271921000003</v>
      </c>
      <c r="E71" s="629">
        <v>673.76722636</v>
      </c>
      <c r="F71" s="629">
        <v>153.08630427999998</v>
      </c>
      <c r="G71" s="629">
        <v>747.69763536000005</v>
      </c>
      <c r="H71" s="592" t="s">
        <v>93</v>
      </c>
      <c r="I71" s="594" t="s">
        <v>93</v>
      </c>
      <c r="J71" s="594" t="s">
        <v>93</v>
      </c>
      <c r="K71" s="594" t="s">
        <v>93</v>
      </c>
      <c r="L71" s="594" t="s">
        <v>93</v>
      </c>
      <c r="M71" s="629">
        <f t="shared" si="1"/>
        <v>3452.6451559299999</v>
      </c>
      <c r="N71" s="629">
        <v>607.48310562999995</v>
      </c>
      <c r="O71" s="629">
        <v>151.91014238000002</v>
      </c>
      <c r="P71" s="629">
        <v>1532.2455222899998</v>
      </c>
      <c r="Q71" s="629">
        <v>1161.0063856299998</v>
      </c>
      <c r="R71" s="57">
        <v>868.14582484000005</v>
      </c>
      <c r="S71" s="57">
        <v>825.67736874000002</v>
      </c>
      <c r="T71" s="57">
        <v>1685.3318265699997</v>
      </c>
      <c r="U71" s="57">
        <v>1908.7040209899999</v>
      </c>
    </row>
    <row r="72" spans="1:21" ht="15.75" hidden="1">
      <c r="A72" s="655" t="s">
        <v>19</v>
      </c>
      <c r="B72" s="629">
        <f t="shared" si="0"/>
        <v>4160.1361393999996</v>
      </c>
      <c r="C72" s="629">
        <f t="shared" si="4"/>
        <v>1814.75808772</v>
      </c>
      <c r="D72" s="629">
        <v>263.50218205000004</v>
      </c>
      <c r="E72" s="629">
        <v>553.96578531</v>
      </c>
      <c r="F72" s="629">
        <v>125.34397736</v>
      </c>
      <c r="G72" s="629">
        <v>871.94614299999989</v>
      </c>
      <c r="H72" s="592" t="s">
        <v>93</v>
      </c>
      <c r="I72" s="594" t="s">
        <v>93</v>
      </c>
      <c r="J72" s="594" t="s">
        <v>93</v>
      </c>
      <c r="K72" s="594" t="s">
        <v>93</v>
      </c>
      <c r="L72" s="594" t="s">
        <v>93</v>
      </c>
      <c r="M72" s="629">
        <f t="shared" si="1"/>
        <v>2345.3780516799998</v>
      </c>
      <c r="N72" s="629">
        <v>607.42076658999986</v>
      </c>
      <c r="O72" s="629">
        <v>136.79686875000004</v>
      </c>
      <c r="P72" s="629">
        <v>764.92901255999959</v>
      </c>
      <c r="Q72" s="629">
        <v>836.23140378000016</v>
      </c>
      <c r="R72" s="57">
        <v>870.92294863999996</v>
      </c>
      <c r="S72" s="57">
        <v>690.76265406000005</v>
      </c>
      <c r="T72" s="57">
        <v>890.27298991999965</v>
      </c>
      <c r="U72" s="57">
        <v>1708.1775467800001</v>
      </c>
    </row>
    <row r="73" spans="1:21" ht="15.75" hidden="1">
      <c r="A73" s="655" t="s">
        <v>20</v>
      </c>
      <c r="B73" s="629">
        <f t="shared" si="0"/>
        <v>3554.1640134599998</v>
      </c>
      <c r="C73" s="629">
        <f t="shared" si="4"/>
        <v>1773.7050923500001</v>
      </c>
      <c r="D73" s="629">
        <v>198.15483333999998</v>
      </c>
      <c r="E73" s="629">
        <v>464.45951454999999</v>
      </c>
      <c r="F73" s="629">
        <v>135.43934553</v>
      </c>
      <c r="G73" s="629">
        <v>975.65139893000003</v>
      </c>
      <c r="H73" s="592" t="s">
        <v>93</v>
      </c>
      <c r="I73" s="594" t="s">
        <v>93</v>
      </c>
      <c r="J73" s="594" t="s">
        <v>93</v>
      </c>
      <c r="K73" s="594" t="s">
        <v>93</v>
      </c>
      <c r="L73" s="594" t="s">
        <v>93</v>
      </c>
      <c r="M73" s="629">
        <f t="shared" si="1"/>
        <v>1780.4589211099997</v>
      </c>
      <c r="N73" s="629">
        <v>588.93523889000005</v>
      </c>
      <c r="O73" s="629">
        <v>115.71341075999999</v>
      </c>
      <c r="P73" s="629">
        <v>814.44983361999982</v>
      </c>
      <c r="Q73" s="629">
        <v>261.36043783999992</v>
      </c>
      <c r="R73" s="57">
        <v>787.09007223000003</v>
      </c>
      <c r="S73" s="57">
        <v>580.17292530999998</v>
      </c>
      <c r="T73" s="57">
        <v>949.88917914999979</v>
      </c>
      <c r="U73" s="57">
        <v>1237.0118367699999</v>
      </c>
    </row>
    <row r="74" spans="1:21" ht="15.75" hidden="1">
      <c r="A74" s="655" t="s">
        <v>21</v>
      </c>
      <c r="B74" s="629">
        <f t="shared" si="0"/>
        <v>3624.8817440100001</v>
      </c>
      <c r="C74" s="629">
        <f t="shared" si="4"/>
        <v>1867.0944280299998</v>
      </c>
      <c r="D74" s="629">
        <v>251.76277174999998</v>
      </c>
      <c r="E74" s="629">
        <v>440.42325626999991</v>
      </c>
      <c r="F74" s="629">
        <v>160.01396431000001</v>
      </c>
      <c r="G74" s="629">
        <v>1014.8944356999999</v>
      </c>
      <c r="H74" s="592" t="s">
        <v>93</v>
      </c>
      <c r="I74" s="594" t="s">
        <v>93</v>
      </c>
      <c r="J74" s="594" t="s">
        <v>93</v>
      </c>
      <c r="K74" s="594" t="s">
        <v>93</v>
      </c>
      <c r="L74" s="594" t="s">
        <v>93</v>
      </c>
      <c r="M74" s="629">
        <f t="shared" si="1"/>
        <v>1757.7873159800001</v>
      </c>
      <c r="N74" s="629">
        <v>567.39114182000003</v>
      </c>
      <c r="O74" s="629">
        <v>115.6016890300001</v>
      </c>
      <c r="P74" s="629">
        <v>722.41098853000005</v>
      </c>
      <c r="Q74" s="629">
        <v>352.38349660000006</v>
      </c>
      <c r="R74" s="57">
        <v>819.15391356999999</v>
      </c>
      <c r="S74" s="57">
        <v>556.02494530000001</v>
      </c>
      <c r="T74" s="57">
        <v>882.42495284000006</v>
      </c>
      <c r="U74" s="57">
        <v>1367.2779323</v>
      </c>
    </row>
    <row r="75" spans="1:21" ht="15.75" hidden="1">
      <c r="A75" s="655" t="s">
        <v>22</v>
      </c>
      <c r="B75" s="629">
        <f t="shared" si="0"/>
        <v>3704.75413028</v>
      </c>
      <c r="C75" s="629">
        <f t="shared" si="4"/>
        <v>1914.31575131</v>
      </c>
      <c r="D75" s="629">
        <v>256.76562258999996</v>
      </c>
      <c r="E75" s="629">
        <v>446.16791910000001</v>
      </c>
      <c r="F75" s="629">
        <v>155.88409179999999</v>
      </c>
      <c r="G75" s="629">
        <v>1055.4981178200001</v>
      </c>
      <c r="H75" s="592" t="s">
        <v>93</v>
      </c>
      <c r="I75" s="594" t="s">
        <v>93</v>
      </c>
      <c r="J75" s="594" t="s">
        <v>93</v>
      </c>
      <c r="K75" s="594" t="s">
        <v>93</v>
      </c>
      <c r="L75" s="594" t="s">
        <v>93</v>
      </c>
      <c r="M75" s="629">
        <f t="shared" si="1"/>
        <v>1790.43837897</v>
      </c>
      <c r="N75" s="629">
        <v>517.47749139999996</v>
      </c>
      <c r="O75" s="629">
        <v>136.13416029000001</v>
      </c>
      <c r="P75" s="629">
        <v>748.27226166000003</v>
      </c>
      <c r="Q75" s="629">
        <v>388.55446561999997</v>
      </c>
      <c r="R75" s="57">
        <v>774.24311398999998</v>
      </c>
      <c r="S75" s="57">
        <v>582.30207939000002</v>
      </c>
      <c r="T75" s="57">
        <v>904.15635345999999</v>
      </c>
      <c r="U75" s="57">
        <v>1444.05258344</v>
      </c>
    </row>
    <row r="76" spans="1:21" ht="15.75" hidden="1">
      <c r="A76" s="655" t="s">
        <v>23</v>
      </c>
      <c r="B76" s="629">
        <f t="shared" si="0"/>
        <v>3696.3320366399998</v>
      </c>
      <c r="C76" s="629">
        <f t="shared" si="4"/>
        <v>1935.6239967999998</v>
      </c>
      <c r="D76" s="629">
        <v>253.2754444</v>
      </c>
      <c r="E76" s="629">
        <v>444.39394855</v>
      </c>
      <c r="F76" s="629">
        <v>159.14527211000001</v>
      </c>
      <c r="G76" s="629">
        <v>1078.8093317399998</v>
      </c>
      <c r="H76" s="592" t="s">
        <v>93</v>
      </c>
      <c r="I76" s="594" t="s">
        <v>93</v>
      </c>
      <c r="J76" s="594" t="s">
        <v>93</v>
      </c>
      <c r="K76" s="594" t="s">
        <v>93</v>
      </c>
      <c r="L76" s="594" t="s">
        <v>93</v>
      </c>
      <c r="M76" s="629">
        <f t="shared" si="1"/>
        <v>1760.7080398400001</v>
      </c>
      <c r="N76" s="629">
        <v>482.05306417999998</v>
      </c>
      <c r="O76" s="629">
        <v>141.33906474000003</v>
      </c>
      <c r="P76" s="629">
        <v>750.89950860999988</v>
      </c>
      <c r="Q76" s="629">
        <v>386.41640231000019</v>
      </c>
      <c r="R76" s="57">
        <v>735.32850857999995</v>
      </c>
      <c r="S76" s="57">
        <v>585.73301329000003</v>
      </c>
      <c r="T76" s="57">
        <v>910.04478071999984</v>
      </c>
      <c r="U76" s="57">
        <v>1465.22573405</v>
      </c>
    </row>
    <row r="77" spans="1:21" s="55" customFormat="1" ht="15.75" hidden="1">
      <c r="A77" s="625" t="s">
        <v>24</v>
      </c>
      <c r="B77" s="629">
        <f t="shared" si="0"/>
        <v>4390.41418858</v>
      </c>
      <c r="C77" s="629">
        <f t="shared" si="4"/>
        <v>2000.7720869</v>
      </c>
      <c r="D77" s="180">
        <v>246.54656169</v>
      </c>
      <c r="E77" s="180">
        <v>461.58651695000003</v>
      </c>
      <c r="F77" s="180">
        <v>166.18944107999999</v>
      </c>
      <c r="G77" s="180">
        <v>1126.44956718</v>
      </c>
      <c r="H77" s="592" t="s">
        <v>93</v>
      </c>
      <c r="I77" s="594" t="s">
        <v>93</v>
      </c>
      <c r="J77" s="594" t="s">
        <v>93</v>
      </c>
      <c r="K77" s="594" t="s">
        <v>93</v>
      </c>
      <c r="L77" s="594" t="s">
        <v>93</v>
      </c>
      <c r="M77" s="629">
        <f t="shared" si="1"/>
        <v>2389.6421016799995</v>
      </c>
      <c r="N77" s="180">
        <v>489.19037741</v>
      </c>
      <c r="O77" s="180">
        <v>153.49149064999995</v>
      </c>
      <c r="P77" s="180">
        <v>1037.6444106899996</v>
      </c>
      <c r="Q77" s="180">
        <v>709.31582292999997</v>
      </c>
      <c r="R77" s="54">
        <v>735.73693909999997</v>
      </c>
      <c r="S77" s="54">
        <v>615.07800759999998</v>
      </c>
      <c r="T77" s="54">
        <v>1203.8338517699997</v>
      </c>
      <c r="U77" s="54">
        <v>1835.76539011</v>
      </c>
    </row>
    <row r="78" spans="1:21" s="55" customFormat="1" ht="15.75" hidden="1">
      <c r="A78" s="625" t="s">
        <v>25</v>
      </c>
      <c r="B78" s="629">
        <f>+C78+M78</f>
        <v>4314.5950495200013</v>
      </c>
      <c r="C78" s="629">
        <f t="shared" si="4"/>
        <v>2025.5944869099999</v>
      </c>
      <c r="D78" s="180">
        <v>251.73873101999999</v>
      </c>
      <c r="E78" s="180">
        <v>481.83203199000019</v>
      </c>
      <c r="F78" s="180">
        <v>153.71708376999999</v>
      </c>
      <c r="G78" s="180">
        <v>1138.3066401299998</v>
      </c>
      <c r="H78" s="592" t="s">
        <v>93</v>
      </c>
      <c r="I78" s="594" t="s">
        <v>93</v>
      </c>
      <c r="J78" s="594" t="s">
        <v>93</v>
      </c>
      <c r="K78" s="594" t="s">
        <v>93</v>
      </c>
      <c r="L78" s="594" t="s">
        <v>93</v>
      </c>
      <c r="M78" s="629">
        <f>+N78+O78+P78+Q78</f>
        <v>2289.000562610001</v>
      </c>
      <c r="N78" s="180">
        <v>676.35093387000006</v>
      </c>
      <c r="O78" s="180">
        <v>159.61170599999986</v>
      </c>
      <c r="P78" s="180">
        <v>749.71300204000067</v>
      </c>
      <c r="Q78" s="180">
        <v>703.32492070000012</v>
      </c>
      <c r="R78" s="54">
        <v>928.08966488999999</v>
      </c>
      <c r="S78" s="54">
        <v>641.44373799000005</v>
      </c>
      <c r="T78" s="54">
        <v>903.43008581000072</v>
      </c>
      <c r="U78" s="54">
        <v>1841.6315608299999</v>
      </c>
    </row>
    <row r="79" spans="1:21" ht="15.75" hidden="1">
      <c r="A79" s="625" t="s">
        <v>26</v>
      </c>
      <c r="B79" s="629">
        <f>+C79+M79</f>
        <v>4219.9536135199996</v>
      </c>
      <c r="C79" s="629">
        <f t="shared" si="4"/>
        <v>2120.73701781</v>
      </c>
      <c r="D79" s="180">
        <v>290.29131890999997</v>
      </c>
      <c r="E79" s="180">
        <v>515.76885160000006</v>
      </c>
      <c r="F79" s="180">
        <v>145.21879362999999</v>
      </c>
      <c r="G79" s="180">
        <v>1169.45805367</v>
      </c>
      <c r="H79" s="592" t="s">
        <v>93</v>
      </c>
      <c r="I79" s="594" t="s">
        <v>93</v>
      </c>
      <c r="J79" s="594" t="s">
        <v>93</v>
      </c>
      <c r="K79" s="594" t="s">
        <v>93</v>
      </c>
      <c r="L79" s="594" t="s">
        <v>93</v>
      </c>
      <c r="M79" s="629">
        <f>+N79+O79+P79+Q79</f>
        <v>2099.2165957100001</v>
      </c>
      <c r="N79" s="180">
        <v>578.01305247000005</v>
      </c>
      <c r="O79" s="180">
        <v>124.21292704999996</v>
      </c>
      <c r="P79" s="180">
        <v>703.90076180000005</v>
      </c>
      <c r="Q79" s="180">
        <v>693.08985439000003</v>
      </c>
      <c r="R79" s="57">
        <v>868.30437138000002</v>
      </c>
      <c r="S79" s="57">
        <v>639.98177865000002</v>
      </c>
      <c r="T79" s="57">
        <v>849.11955542999999</v>
      </c>
      <c r="U79" s="57">
        <v>1862.5479080600001</v>
      </c>
    </row>
    <row r="80" spans="1:21" ht="15.75" hidden="1">
      <c r="A80" s="625" t="s">
        <v>27</v>
      </c>
      <c r="B80" s="629">
        <f>+C80+M80</f>
        <v>4261.5050359699999</v>
      </c>
      <c r="C80" s="629">
        <f t="shared" si="4"/>
        <v>2125.6351555700003</v>
      </c>
      <c r="D80" s="180">
        <v>283.97197999000002</v>
      </c>
      <c r="E80" s="180">
        <v>540.97640233000004</v>
      </c>
      <c r="F80" s="180">
        <v>146.95304945999999</v>
      </c>
      <c r="G80" s="180">
        <v>1153.7337237900001</v>
      </c>
      <c r="H80" s="592" t="s">
        <v>93</v>
      </c>
      <c r="I80" s="594" t="s">
        <v>93</v>
      </c>
      <c r="J80" s="594" t="s">
        <v>93</v>
      </c>
      <c r="K80" s="594" t="s">
        <v>93</v>
      </c>
      <c r="L80" s="594" t="s">
        <v>93</v>
      </c>
      <c r="M80" s="629">
        <f>+N80+O80+P80+Q80</f>
        <v>2135.8698803999996</v>
      </c>
      <c r="N80" s="180">
        <v>636.78602885999999</v>
      </c>
      <c r="O80" s="180">
        <v>128.79382161000001</v>
      </c>
      <c r="P80" s="180">
        <v>654.26540917</v>
      </c>
      <c r="Q80" s="180">
        <v>716.02462075999983</v>
      </c>
      <c r="R80" s="54">
        <v>920.75800885000001</v>
      </c>
      <c r="S80" s="57">
        <v>669.77022394000005</v>
      </c>
      <c r="T80" s="57">
        <v>801.21845862999999</v>
      </c>
      <c r="U80" s="57">
        <v>1869.7583445499999</v>
      </c>
    </row>
    <row r="81" spans="1:22" ht="15.75" hidden="1">
      <c r="A81" s="655" t="s">
        <v>28</v>
      </c>
      <c r="B81" s="629">
        <f>+C81+M81</f>
        <v>4308.2396613099991</v>
      </c>
      <c r="C81" s="629">
        <f t="shared" si="4"/>
        <v>2251.7332600999998</v>
      </c>
      <c r="D81" s="629">
        <v>354.78191455000001</v>
      </c>
      <c r="E81" s="629">
        <v>558.94045063999999</v>
      </c>
      <c r="F81" s="629">
        <v>159.32449315</v>
      </c>
      <c r="G81" s="629">
        <v>1178.6864017600001</v>
      </c>
      <c r="H81" s="592" t="s">
        <v>93</v>
      </c>
      <c r="I81" s="594" t="s">
        <v>93</v>
      </c>
      <c r="J81" s="594" t="s">
        <v>93</v>
      </c>
      <c r="K81" s="594" t="s">
        <v>93</v>
      </c>
      <c r="L81" s="594" t="s">
        <v>93</v>
      </c>
      <c r="M81" s="629">
        <f>+N81+O81+P81+Q81</f>
        <v>2056.5064012099997</v>
      </c>
      <c r="N81" s="629">
        <v>584.69737602999999</v>
      </c>
      <c r="O81" s="629">
        <v>129.71124468000005</v>
      </c>
      <c r="P81" s="629">
        <v>628.0453345799998</v>
      </c>
      <c r="Q81" s="629">
        <v>714.05244591999985</v>
      </c>
      <c r="R81" s="57">
        <v>939.47929058</v>
      </c>
      <c r="S81" s="57">
        <v>688.65169532000004</v>
      </c>
      <c r="T81" s="57">
        <v>787.36982772999977</v>
      </c>
      <c r="U81" s="57">
        <v>1892.7388476799999</v>
      </c>
    </row>
    <row r="82" spans="1:22" ht="15.75" hidden="1">
      <c r="A82" s="655" t="s">
        <v>29</v>
      </c>
      <c r="B82" s="629">
        <f>+C82+M82</f>
        <v>4654.1677029499997</v>
      </c>
      <c r="C82" s="629">
        <f t="shared" si="4"/>
        <v>2334.8716709</v>
      </c>
      <c r="D82" s="629">
        <v>353.49315752000001</v>
      </c>
      <c r="E82" s="629">
        <v>612.09870946000001</v>
      </c>
      <c r="F82" s="629">
        <v>166.53805993</v>
      </c>
      <c r="G82" s="629">
        <v>1202.74174399</v>
      </c>
      <c r="H82" s="592" t="s">
        <v>93</v>
      </c>
      <c r="I82" s="594" t="s">
        <v>93</v>
      </c>
      <c r="J82" s="594" t="s">
        <v>93</v>
      </c>
      <c r="K82" s="594" t="s">
        <v>93</v>
      </c>
      <c r="L82" s="594" t="s">
        <v>93</v>
      </c>
      <c r="M82" s="629">
        <f>+N82+O82+P82+Q82</f>
        <v>2319.2960320499997</v>
      </c>
      <c r="N82" s="629">
        <v>773.93681599999991</v>
      </c>
      <c r="O82" s="629">
        <v>176.26878554999996</v>
      </c>
      <c r="P82" s="629">
        <v>653.36384426999996</v>
      </c>
      <c r="Q82" s="629">
        <v>715.72658623000007</v>
      </c>
      <c r="R82" s="57">
        <v>1127.42997352</v>
      </c>
      <c r="S82" s="57">
        <v>788.36749500999997</v>
      </c>
      <c r="T82" s="57">
        <v>819.90190419999999</v>
      </c>
      <c r="U82" s="57">
        <v>1918.4683302200001</v>
      </c>
    </row>
    <row r="83" spans="1:22" ht="15.75">
      <c r="A83" s="624">
        <v>2010</v>
      </c>
      <c r="B83" s="268">
        <v>7625.7781233199994</v>
      </c>
      <c r="C83" s="268">
        <v>3029.7520766299999</v>
      </c>
      <c r="D83" s="268">
        <v>385.00787456</v>
      </c>
      <c r="E83" s="268">
        <v>1024.9326918100001</v>
      </c>
      <c r="F83" s="268">
        <v>189.06966498000006</v>
      </c>
      <c r="G83" s="268">
        <v>1430.74184528</v>
      </c>
      <c r="H83" s="631">
        <v>2177.01318765</v>
      </c>
      <c r="I83" s="631">
        <v>7.5060353900000001</v>
      </c>
      <c r="J83" s="631">
        <v>544.40552508999997</v>
      </c>
      <c r="K83" s="631">
        <v>553.62977704000002</v>
      </c>
      <c r="L83" s="631">
        <v>1071.4718501300001</v>
      </c>
      <c r="M83" s="268">
        <v>2419.0128590399995</v>
      </c>
      <c r="N83" s="268">
        <v>1093.8131540799998</v>
      </c>
      <c r="O83" s="268">
        <v>149.66582327999993</v>
      </c>
      <c r="P83" s="268">
        <v>695.86862213000029</v>
      </c>
      <c r="Q83" s="268">
        <v>479.66525954999952</v>
      </c>
      <c r="R83" s="1576">
        <v>1486.32706403</v>
      </c>
      <c r="S83" s="1576">
        <v>1719.0040401799999</v>
      </c>
      <c r="T83" s="1576">
        <v>1438.5680641500003</v>
      </c>
      <c r="U83" s="1576">
        <v>2981.8789549599996</v>
      </c>
      <c r="V83" s="133"/>
    </row>
    <row r="84" spans="1:22" ht="15.75" hidden="1">
      <c r="A84" s="625" t="s">
        <v>18</v>
      </c>
      <c r="B84" s="268">
        <f t="shared" ref="B84:B108" si="5">+C84+M84+H84</f>
        <v>6178.0459799599994</v>
      </c>
      <c r="C84" s="268">
        <f t="shared" ref="C84:C90" si="6">SUM(D84:G84)</f>
        <v>2385.7566735800001</v>
      </c>
      <c r="D84" s="268">
        <v>328.11430781999991</v>
      </c>
      <c r="E84" s="268">
        <v>656.78027725000004</v>
      </c>
      <c r="F84" s="268">
        <v>167.43425257000001</v>
      </c>
      <c r="G84" s="268">
        <v>1233.42783594</v>
      </c>
      <c r="H84" s="268">
        <f t="shared" ref="H84:H95" si="7">SUM(I84:L84)</f>
        <v>1715.61529258</v>
      </c>
      <c r="I84" s="631">
        <v>6.6874883200000008</v>
      </c>
      <c r="J84" s="631">
        <v>427.76088243999999</v>
      </c>
      <c r="K84" s="631">
        <v>227.73859233000002</v>
      </c>
      <c r="L84" s="631">
        <v>1053.4283294899999</v>
      </c>
      <c r="M84" s="268">
        <f t="shared" ref="M84:M94" si="8">SUM(N84:Q84)</f>
        <v>2076.6740137999996</v>
      </c>
      <c r="N84" s="268">
        <f t="shared" ref="N84:Q95" si="9">R84-D84-I84</f>
        <v>617.47380782000005</v>
      </c>
      <c r="O84" s="268">
        <f t="shared" si="9"/>
        <v>180.31932118999981</v>
      </c>
      <c r="P84" s="268">
        <f t="shared" si="9"/>
        <v>587.64798637999979</v>
      </c>
      <c r="Q84" s="268">
        <f t="shared" si="9"/>
        <v>691.23289841000019</v>
      </c>
      <c r="R84" s="1576">
        <v>952.27560396000001</v>
      </c>
      <c r="S84" s="1576">
        <v>1264.8604808799998</v>
      </c>
      <c r="T84" s="1576">
        <v>982.82083127999988</v>
      </c>
      <c r="U84" s="1576">
        <v>2978.0890638400001</v>
      </c>
      <c r="V84" s="133"/>
    </row>
    <row r="85" spans="1:22" ht="15.75" hidden="1">
      <c r="A85" s="625" t="s">
        <v>19</v>
      </c>
      <c r="B85" s="268">
        <f t="shared" si="5"/>
        <v>6135.8669652500002</v>
      </c>
      <c r="C85" s="268">
        <f t="shared" si="6"/>
        <v>2422.8286894000003</v>
      </c>
      <c r="D85" s="268">
        <v>346.59478274999998</v>
      </c>
      <c r="E85" s="268">
        <v>683.13482431</v>
      </c>
      <c r="F85" s="268">
        <v>163.82575912999999</v>
      </c>
      <c r="G85" s="268">
        <v>1229.2733232099999</v>
      </c>
      <c r="H85" s="268">
        <f t="shared" si="7"/>
        <v>1705.4412332200002</v>
      </c>
      <c r="I85" s="631">
        <v>5.9270480899999995</v>
      </c>
      <c r="J85" s="631">
        <v>302.19447164000002</v>
      </c>
      <c r="K85" s="631">
        <v>219.32650411999998</v>
      </c>
      <c r="L85" s="631">
        <v>1177.9932093700002</v>
      </c>
      <c r="M85" s="268">
        <f t="shared" si="8"/>
        <v>2007.5970426300005</v>
      </c>
      <c r="N85" s="268">
        <f t="shared" si="9"/>
        <v>610.33387682000034</v>
      </c>
      <c r="O85" s="268">
        <f t="shared" si="9"/>
        <v>179.48568485000004</v>
      </c>
      <c r="P85" s="268">
        <f t="shared" si="9"/>
        <v>528.39193077000004</v>
      </c>
      <c r="Q85" s="268">
        <f t="shared" si="9"/>
        <v>689.38555019</v>
      </c>
      <c r="R85" s="1576">
        <v>962.85570766000035</v>
      </c>
      <c r="S85" s="1576">
        <v>1164.8149808000001</v>
      </c>
      <c r="T85" s="1576">
        <v>911.54419401999996</v>
      </c>
      <c r="U85" s="1576">
        <v>3096.6520827700001</v>
      </c>
      <c r="V85" s="133"/>
    </row>
    <row r="86" spans="1:22" ht="15.75" hidden="1">
      <c r="A86" s="625" t="s">
        <v>20</v>
      </c>
      <c r="B86" s="268">
        <f t="shared" si="5"/>
        <v>6737.6419238500011</v>
      </c>
      <c r="C86" s="268">
        <f t="shared" si="6"/>
        <v>2394.9631017000002</v>
      </c>
      <c r="D86" s="268">
        <v>276.60139115999999</v>
      </c>
      <c r="E86" s="268">
        <v>704.02125402000001</v>
      </c>
      <c r="F86" s="268">
        <v>176.71919093</v>
      </c>
      <c r="G86" s="268">
        <v>1237.6212655899999</v>
      </c>
      <c r="H86" s="268">
        <f t="shared" si="7"/>
        <v>2054.2764347900002</v>
      </c>
      <c r="I86" s="631">
        <v>6.0805428799999994</v>
      </c>
      <c r="J86" s="631">
        <v>413.35249870000001</v>
      </c>
      <c r="K86" s="631">
        <v>405.27180437000004</v>
      </c>
      <c r="L86" s="631">
        <v>1229.57158884</v>
      </c>
      <c r="M86" s="268">
        <f t="shared" si="8"/>
        <v>2288.4023873600004</v>
      </c>
      <c r="N86" s="268">
        <f t="shared" si="9"/>
        <v>689.12506273999986</v>
      </c>
      <c r="O86" s="268">
        <f t="shared" si="9"/>
        <v>175.59693623999993</v>
      </c>
      <c r="P86" s="268">
        <f t="shared" si="9"/>
        <v>740.15220757000009</v>
      </c>
      <c r="Q86" s="268">
        <f t="shared" si="9"/>
        <v>683.52818081000032</v>
      </c>
      <c r="R86" s="1576">
        <v>971.80699677999985</v>
      </c>
      <c r="S86" s="1576">
        <v>1292.97068896</v>
      </c>
      <c r="T86" s="1576">
        <v>1322.1432028700001</v>
      </c>
      <c r="U86" s="1576">
        <v>3150.7210352400002</v>
      </c>
      <c r="V86" s="133"/>
    </row>
    <row r="87" spans="1:22" ht="15.75" hidden="1">
      <c r="A87" s="625" t="s">
        <v>21</v>
      </c>
      <c r="B87" s="268">
        <f t="shared" si="5"/>
        <v>6780.8207531300013</v>
      </c>
      <c r="C87" s="268">
        <f t="shared" si="6"/>
        <v>2474.7451724800003</v>
      </c>
      <c r="D87" s="268">
        <v>342.60319303</v>
      </c>
      <c r="E87" s="268">
        <v>727.74332701000003</v>
      </c>
      <c r="F87" s="268">
        <v>151.60814135999999</v>
      </c>
      <c r="G87" s="268">
        <v>1252.79051108</v>
      </c>
      <c r="H87" s="268">
        <f t="shared" si="7"/>
        <v>2168.0553526100002</v>
      </c>
      <c r="I87" s="631">
        <v>6.3191584499999998</v>
      </c>
      <c r="J87" s="631">
        <v>412.40442260999998</v>
      </c>
      <c r="K87" s="631">
        <v>482.78363762999999</v>
      </c>
      <c r="L87" s="631">
        <v>1266.5481339200001</v>
      </c>
      <c r="M87" s="268">
        <f t="shared" si="8"/>
        <v>2138.0202280400008</v>
      </c>
      <c r="N87" s="268">
        <f t="shared" si="9"/>
        <v>621.86185074000014</v>
      </c>
      <c r="O87" s="268">
        <f t="shared" si="9"/>
        <v>188.59286051999993</v>
      </c>
      <c r="P87" s="268">
        <f t="shared" si="9"/>
        <v>663.4187934900001</v>
      </c>
      <c r="Q87" s="268">
        <f t="shared" si="9"/>
        <v>664.14672329000064</v>
      </c>
      <c r="R87" s="1576">
        <v>970.78420222000011</v>
      </c>
      <c r="S87" s="1576">
        <v>1328.7406101399999</v>
      </c>
      <c r="T87" s="1576">
        <v>1297.81057248</v>
      </c>
      <c r="U87" s="1576">
        <v>3183.4853682900007</v>
      </c>
      <c r="V87" s="133"/>
    </row>
    <row r="88" spans="1:22" ht="15.75" hidden="1">
      <c r="A88" s="625" t="s">
        <v>22</v>
      </c>
      <c r="B88" s="268">
        <f t="shared" si="5"/>
        <v>6536.6532337099998</v>
      </c>
      <c r="C88" s="268">
        <f t="shared" si="6"/>
        <v>2481.70096117</v>
      </c>
      <c r="D88" s="268">
        <v>325.97959022999999</v>
      </c>
      <c r="E88" s="268">
        <v>735.72430811000004</v>
      </c>
      <c r="F88" s="268">
        <v>162.15748017000001</v>
      </c>
      <c r="G88" s="268">
        <v>1257.8395826599999</v>
      </c>
      <c r="H88" s="268">
        <f t="shared" si="7"/>
        <v>1856.71107024</v>
      </c>
      <c r="I88" s="631">
        <v>5.0330859099999996</v>
      </c>
      <c r="J88" s="631">
        <v>402.31615160000007</v>
      </c>
      <c r="K88" s="631">
        <v>330.66352489999997</v>
      </c>
      <c r="L88" s="631">
        <v>1118.69830783</v>
      </c>
      <c r="M88" s="268">
        <f t="shared" si="8"/>
        <v>2198.2412022999997</v>
      </c>
      <c r="N88" s="268">
        <f t="shared" si="9"/>
        <v>626.88026320000017</v>
      </c>
      <c r="O88" s="268">
        <f t="shared" si="9"/>
        <v>203.74194092999977</v>
      </c>
      <c r="P88" s="268">
        <f t="shared" si="9"/>
        <v>593.91676241999994</v>
      </c>
      <c r="Q88" s="268">
        <f t="shared" si="9"/>
        <v>773.70223575</v>
      </c>
      <c r="R88" s="1576">
        <v>957.89293934000011</v>
      </c>
      <c r="S88" s="1576">
        <v>1341.7824006399999</v>
      </c>
      <c r="T88" s="1576">
        <v>1086.7377674899999</v>
      </c>
      <c r="U88" s="1576">
        <v>3150.2401262399999</v>
      </c>
      <c r="V88" s="133"/>
    </row>
    <row r="89" spans="1:22" ht="15.75" hidden="1">
      <c r="A89" s="625" t="s">
        <v>23</v>
      </c>
      <c r="B89" s="268">
        <f t="shared" si="5"/>
        <v>6596.8905588799989</v>
      </c>
      <c r="C89" s="268">
        <f>SUM(D89:G89)</f>
        <v>2562.83582191</v>
      </c>
      <c r="D89" s="268">
        <v>356.81037192999997</v>
      </c>
      <c r="E89" s="268">
        <v>755.66986754999994</v>
      </c>
      <c r="F89" s="268">
        <v>166.22718707000001</v>
      </c>
      <c r="G89" s="268">
        <v>1284.12839536</v>
      </c>
      <c r="H89" s="268">
        <f t="shared" si="7"/>
        <v>1885.4680929000001</v>
      </c>
      <c r="I89" s="631">
        <v>4.2087380599999999</v>
      </c>
      <c r="J89" s="631">
        <v>439.09227399999997</v>
      </c>
      <c r="K89" s="631">
        <v>190.05822742000001</v>
      </c>
      <c r="L89" s="631">
        <v>1252.1088534200001</v>
      </c>
      <c r="M89" s="268">
        <f t="shared" si="8"/>
        <v>2148.5866440699992</v>
      </c>
      <c r="N89" s="268">
        <f t="shared" si="9"/>
        <v>705.86456326999962</v>
      </c>
      <c r="O89" s="268">
        <f t="shared" si="9"/>
        <v>141.65988634999997</v>
      </c>
      <c r="P89" s="268">
        <f t="shared" si="9"/>
        <v>570.30249254</v>
      </c>
      <c r="Q89" s="268">
        <f t="shared" si="9"/>
        <v>730.75970190999965</v>
      </c>
      <c r="R89" s="1576">
        <v>1066.8836732599996</v>
      </c>
      <c r="S89" s="1576">
        <v>1336.4220278999999</v>
      </c>
      <c r="T89" s="1576">
        <v>926.58790703</v>
      </c>
      <c r="U89" s="1576">
        <v>3266.9969506899997</v>
      </c>
      <c r="V89" s="133"/>
    </row>
    <row r="90" spans="1:22" ht="15.75" hidden="1">
      <c r="A90" s="625" t="s">
        <v>24</v>
      </c>
      <c r="B90" s="268">
        <f t="shared" si="5"/>
        <v>6286.8784351699996</v>
      </c>
      <c r="C90" s="268">
        <f t="shared" si="6"/>
        <v>2716.2629999999999</v>
      </c>
      <c r="D90" s="268">
        <v>390.98599999999999</v>
      </c>
      <c r="E90" s="268">
        <v>821.10500000000002</v>
      </c>
      <c r="F90" s="268">
        <v>180.19300000000001</v>
      </c>
      <c r="G90" s="268">
        <v>1323.979</v>
      </c>
      <c r="H90" s="268">
        <f t="shared" si="7"/>
        <v>1885.4680929000001</v>
      </c>
      <c r="I90" s="268">
        <v>4.2087380599999999</v>
      </c>
      <c r="J90" s="268">
        <v>439.09227399999997</v>
      </c>
      <c r="K90" s="268">
        <v>190.05822742000001</v>
      </c>
      <c r="L90" s="268">
        <v>1252.1088534200001</v>
      </c>
      <c r="M90" s="268">
        <f t="shared" si="8"/>
        <v>1685.1473422699999</v>
      </c>
      <c r="N90" s="268">
        <f t="shared" si="9"/>
        <v>599.88985171000002</v>
      </c>
      <c r="O90" s="268">
        <f t="shared" si="9"/>
        <v>146.47462951</v>
      </c>
      <c r="P90" s="268">
        <f t="shared" si="9"/>
        <v>520.81950570999993</v>
      </c>
      <c r="Q90" s="268">
        <f t="shared" si="9"/>
        <v>417.96335533999991</v>
      </c>
      <c r="R90" s="1576">
        <v>995.08458976999998</v>
      </c>
      <c r="S90" s="1576">
        <v>1406.67190351</v>
      </c>
      <c r="T90" s="1576">
        <v>891.07073312999989</v>
      </c>
      <c r="U90" s="1576">
        <v>2994.05120876</v>
      </c>
      <c r="V90" s="133"/>
    </row>
    <row r="91" spans="1:22" ht="15.75" hidden="1">
      <c r="A91" s="625" t="s">
        <v>25</v>
      </c>
      <c r="B91" s="268">
        <f t="shared" si="5"/>
        <v>6591.2542577699996</v>
      </c>
      <c r="C91" s="268">
        <f>SUM(D91:G91)</f>
        <v>2720.8074087499999</v>
      </c>
      <c r="D91" s="268">
        <v>327.24065817000002</v>
      </c>
      <c r="E91" s="268">
        <v>859.72430570000006</v>
      </c>
      <c r="F91" s="268">
        <v>173.09549503</v>
      </c>
      <c r="G91" s="268">
        <v>1360.74694985</v>
      </c>
      <c r="H91" s="268">
        <f t="shared" si="7"/>
        <v>2001.8202688499998</v>
      </c>
      <c r="I91" s="268">
        <v>12.740292389999999</v>
      </c>
      <c r="J91" s="268">
        <v>459.95209440999997</v>
      </c>
      <c r="K91" s="268">
        <v>217.74254565000001</v>
      </c>
      <c r="L91" s="268">
        <v>1311.3853363999999</v>
      </c>
      <c r="M91" s="268">
        <f t="shared" si="8"/>
        <v>1868.6265801699999</v>
      </c>
      <c r="N91" s="268">
        <f t="shared" si="9"/>
        <v>675.99448442000005</v>
      </c>
      <c r="O91" s="268">
        <f t="shared" si="9"/>
        <v>166.45681371000001</v>
      </c>
      <c r="P91" s="268">
        <f t="shared" si="9"/>
        <v>581.62447372999986</v>
      </c>
      <c r="Q91" s="268">
        <f t="shared" si="9"/>
        <v>444.55080831000009</v>
      </c>
      <c r="R91" s="1576">
        <v>1015.97543498</v>
      </c>
      <c r="S91" s="1576">
        <v>1486.13321382</v>
      </c>
      <c r="T91" s="1576">
        <v>972.46251440999981</v>
      </c>
      <c r="U91" s="1576">
        <v>3116.68309456</v>
      </c>
      <c r="V91" s="133"/>
    </row>
    <row r="92" spans="1:22" ht="15.75" hidden="1">
      <c r="A92" s="625" t="s">
        <v>26</v>
      </c>
      <c r="B92" s="268">
        <f t="shared" si="5"/>
        <v>6741.7278075100003</v>
      </c>
      <c r="C92" s="268">
        <f>SUM(D92:G92)</f>
        <v>2798.3141282899996</v>
      </c>
      <c r="D92" s="268">
        <v>349.64738546999996</v>
      </c>
      <c r="E92" s="268">
        <v>895.94109732999982</v>
      </c>
      <c r="F92" s="268">
        <v>174.98318333999998</v>
      </c>
      <c r="G92" s="268">
        <v>1377.7424621499999</v>
      </c>
      <c r="H92" s="268">
        <f t="shared" si="7"/>
        <v>2026.5714229900002</v>
      </c>
      <c r="I92" s="268">
        <v>9.0558467199999999</v>
      </c>
      <c r="J92" s="268">
        <v>447.73951749999998</v>
      </c>
      <c r="K92" s="268">
        <v>368.77888604999998</v>
      </c>
      <c r="L92" s="268">
        <v>1200.9971727200002</v>
      </c>
      <c r="M92" s="268">
        <f t="shared" si="8"/>
        <v>1916.84225623</v>
      </c>
      <c r="N92" s="268">
        <f t="shared" si="9"/>
        <v>719.92781540999988</v>
      </c>
      <c r="O92" s="268">
        <f t="shared" si="9"/>
        <v>162.80852928000007</v>
      </c>
      <c r="P92" s="268">
        <f t="shared" si="9"/>
        <v>535.79070217999981</v>
      </c>
      <c r="Q92" s="268">
        <f t="shared" si="9"/>
        <v>498.31520936000038</v>
      </c>
      <c r="R92" s="1576">
        <v>1078.6310475999999</v>
      </c>
      <c r="S92" s="1576">
        <v>1506.4891441099999</v>
      </c>
      <c r="T92" s="1576">
        <v>1079.5527715699998</v>
      </c>
      <c r="U92" s="1576">
        <v>3077.0548442300005</v>
      </c>
      <c r="V92" s="133"/>
    </row>
    <row r="93" spans="1:22" ht="15.75" hidden="1">
      <c r="A93" s="625" t="s">
        <v>27</v>
      </c>
      <c r="B93" s="268">
        <f t="shared" si="5"/>
        <v>6968.6439867000008</v>
      </c>
      <c r="C93" s="268">
        <f>SUM(D93:G93)</f>
        <v>2887.52964651</v>
      </c>
      <c r="D93" s="268">
        <v>385.43445643000001</v>
      </c>
      <c r="E93" s="268">
        <v>923.09826384999997</v>
      </c>
      <c r="F93" s="268">
        <v>190.90857446000001</v>
      </c>
      <c r="G93" s="268">
        <v>1388.0883517700001</v>
      </c>
      <c r="H93" s="268">
        <f t="shared" si="7"/>
        <v>2094.2414163100002</v>
      </c>
      <c r="I93" s="268">
        <v>7.690623379999999</v>
      </c>
      <c r="J93" s="268">
        <v>442.55670349000002</v>
      </c>
      <c r="K93" s="268">
        <v>555.39764098000001</v>
      </c>
      <c r="L93" s="268">
        <v>1088.5964484599999</v>
      </c>
      <c r="M93" s="268">
        <f t="shared" si="8"/>
        <v>1986.8729238800001</v>
      </c>
      <c r="N93" s="268">
        <f t="shared" si="9"/>
        <v>740.65242556000021</v>
      </c>
      <c r="O93" s="268">
        <f t="shared" si="9"/>
        <v>180.64700788999994</v>
      </c>
      <c r="P93" s="268">
        <f t="shared" si="9"/>
        <v>591.64998951999996</v>
      </c>
      <c r="Q93" s="268">
        <f t="shared" si="9"/>
        <v>473.92350091000003</v>
      </c>
      <c r="R93" s="1576">
        <v>1133.7775053700002</v>
      </c>
      <c r="S93" s="1576">
        <v>1546.3019752299999</v>
      </c>
      <c r="T93" s="1576">
        <v>1337.9562049599999</v>
      </c>
      <c r="U93" s="1576">
        <v>2950.6083011400001</v>
      </c>
      <c r="V93" s="133"/>
    </row>
    <row r="94" spans="1:22" ht="15.75" hidden="1">
      <c r="A94" s="625" t="s">
        <v>28</v>
      </c>
      <c r="B94" s="268">
        <f t="shared" si="5"/>
        <v>6915.8610377499999</v>
      </c>
      <c r="C94" s="268">
        <f>SUM(D94:G94)</f>
        <v>2868.4287497800001</v>
      </c>
      <c r="D94" s="268">
        <v>327.80126077999995</v>
      </c>
      <c r="E94" s="268">
        <v>969.63645252000015</v>
      </c>
      <c r="F94" s="268">
        <v>176.94310339</v>
      </c>
      <c r="G94" s="268">
        <v>1394.04793309</v>
      </c>
      <c r="H94" s="268">
        <f t="shared" si="7"/>
        <v>2164.85723667</v>
      </c>
      <c r="I94" s="268">
        <v>4.9293718899999996</v>
      </c>
      <c r="J94" s="268">
        <v>550.69320362999997</v>
      </c>
      <c r="K94" s="268">
        <v>513.84641866000004</v>
      </c>
      <c r="L94" s="268">
        <v>1095.3882424900003</v>
      </c>
      <c r="M94" s="268">
        <f t="shared" si="8"/>
        <v>1882.5750512999996</v>
      </c>
      <c r="N94" s="268">
        <f t="shared" si="9"/>
        <v>710.81052267000007</v>
      </c>
      <c r="O94" s="268">
        <f t="shared" si="9"/>
        <v>209.73452986000007</v>
      </c>
      <c r="P94" s="268">
        <f t="shared" si="9"/>
        <v>489.67444464999983</v>
      </c>
      <c r="Q94" s="268">
        <f t="shared" si="9"/>
        <v>472.35555411999962</v>
      </c>
      <c r="R94" s="1576">
        <v>1043.5411553399999</v>
      </c>
      <c r="S94" s="1576">
        <v>1730.0641860100002</v>
      </c>
      <c r="T94" s="1576">
        <v>1180.4639666999999</v>
      </c>
      <c r="U94" s="1576">
        <v>2961.7917296999999</v>
      </c>
      <c r="V94" s="133"/>
    </row>
    <row r="95" spans="1:22" ht="15.75" hidden="1">
      <c r="A95" s="625" t="s">
        <v>29</v>
      </c>
      <c r="B95" s="268">
        <f t="shared" si="5"/>
        <v>7625.7781233199994</v>
      </c>
      <c r="C95" s="268">
        <f>SUM(D95:G95)</f>
        <v>3029.7520766299999</v>
      </c>
      <c r="D95" s="268">
        <v>385.00787456</v>
      </c>
      <c r="E95" s="268">
        <v>1024.9326918100001</v>
      </c>
      <c r="F95" s="268">
        <v>189.06966498000006</v>
      </c>
      <c r="G95" s="268">
        <v>1430.74184528</v>
      </c>
      <c r="H95" s="268">
        <f t="shared" si="7"/>
        <v>2177.01318765</v>
      </c>
      <c r="I95" s="268">
        <v>7.5060353900000001</v>
      </c>
      <c r="J95" s="268">
        <v>544.40552508999997</v>
      </c>
      <c r="K95" s="268">
        <v>553.62977704000002</v>
      </c>
      <c r="L95" s="268">
        <v>1071.4718501300001</v>
      </c>
      <c r="M95" s="268">
        <f>SUM(N95:Q95)</f>
        <v>2419.0128590399995</v>
      </c>
      <c r="N95" s="268">
        <f t="shared" si="9"/>
        <v>1093.8131540799998</v>
      </c>
      <c r="O95" s="268">
        <f t="shared" si="9"/>
        <v>149.66582327999993</v>
      </c>
      <c r="P95" s="268">
        <f t="shared" si="9"/>
        <v>695.86862213000029</v>
      </c>
      <c r="Q95" s="268">
        <f t="shared" si="9"/>
        <v>479.66525954999952</v>
      </c>
      <c r="R95" s="1576">
        <v>1486.32706403</v>
      </c>
      <c r="S95" s="1576">
        <v>1719.0040401799999</v>
      </c>
      <c r="T95" s="1576">
        <v>1438.5680641500003</v>
      </c>
      <c r="U95" s="1576">
        <v>2981.8789549599996</v>
      </c>
      <c r="V95" s="133"/>
    </row>
    <row r="96" spans="1:22" ht="15.75">
      <c r="A96" s="624">
        <v>2011</v>
      </c>
      <c r="B96" s="268">
        <v>9447.0007198299991</v>
      </c>
      <c r="C96" s="268">
        <v>4119.8374570199994</v>
      </c>
      <c r="D96" s="268">
        <v>613.14276837999989</v>
      </c>
      <c r="E96" s="268">
        <v>1668.53152163</v>
      </c>
      <c r="F96" s="268">
        <v>230.64662609999999</v>
      </c>
      <c r="G96" s="268">
        <v>1607.51654091</v>
      </c>
      <c r="H96" s="268">
        <v>2519.5341130699999</v>
      </c>
      <c r="I96" s="268">
        <v>7.2603093799999998</v>
      </c>
      <c r="J96" s="268">
        <v>670.64870108000002</v>
      </c>
      <c r="K96" s="268">
        <v>405.32414816000005</v>
      </c>
      <c r="L96" s="268">
        <v>1436.3009544499998</v>
      </c>
      <c r="M96" s="268">
        <v>2807.6291497399998</v>
      </c>
      <c r="N96" s="268">
        <v>1136.1893022399993</v>
      </c>
      <c r="O96" s="268">
        <v>184.90770575999989</v>
      </c>
      <c r="P96" s="268">
        <v>1035.94685912</v>
      </c>
      <c r="Q96" s="268">
        <v>450.5852826200005</v>
      </c>
      <c r="R96" s="1576">
        <v>1756.5923799999994</v>
      </c>
      <c r="S96" s="1576">
        <v>2524.08792847</v>
      </c>
      <c r="T96" s="1576">
        <v>1671.9176333800001</v>
      </c>
      <c r="U96" s="1576">
        <v>3494.4027779800003</v>
      </c>
      <c r="V96" s="133"/>
    </row>
    <row r="97" spans="1:22" ht="15.75" hidden="1">
      <c r="A97" s="625" t="s">
        <v>18</v>
      </c>
      <c r="B97" s="268">
        <f t="shared" si="5"/>
        <v>7321.2590175500009</v>
      </c>
      <c r="C97" s="268">
        <f t="shared" ref="C97:C108" si="10">SUM(D97:G97)</f>
        <v>3072.1312173899996</v>
      </c>
      <c r="D97" s="268">
        <v>352.36563034999995</v>
      </c>
      <c r="E97" s="268">
        <v>1036.3154988199999</v>
      </c>
      <c r="F97" s="268">
        <v>222.68455740999997</v>
      </c>
      <c r="G97" s="268">
        <v>1460.76553081</v>
      </c>
      <c r="H97" s="268">
        <f t="shared" ref="H97:H103" si="11">SUM(I97:L97)</f>
        <v>2139.44761204</v>
      </c>
      <c r="I97" s="268">
        <v>4.8922694099999999</v>
      </c>
      <c r="J97" s="268">
        <v>547.77911398000003</v>
      </c>
      <c r="K97" s="268">
        <v>535.19079316</v>
      </c>
      <c r="L97" s="268">
        <v>1051.5854354899998</v>
      </c>
      <c r="M97" s="268">
        <f t="shared" ref="M97:M108" si="12">SUM(N97:Q97)</f>
        <v>2109.6801881200008</v>
      </c>
      <c r="N97" s="268">
        <f t="shared" ref="N97:Q107" si="13">R97-D97-I97</f>
        <v>773.85809781000023</v>
      </c>
      <c r="O97" s="268">
        <f t="shared" si="13"/>
        <v>151.77672839000013</v>
      </c>
      <c r="P97" s="268">
        <f t="shared" si="13"/>
        <v>691.7838775700003</v>
      </c>
      <c r="Q97" s="268">
        <f t="shared" si="13"/>
        <v>492.26148435000027</v>
      </c>
      <c r="R97" s="1576">
        <v>1131.1159975700002</v>
      </c>
      <c r="S97" s="1576">
        <v>1735.8713411900001</v>
      </c>
      <c r="T97" s="1576">
        <v>1449.6592281400003</v>
      </c>
      <c r="U97" s="1576">
        <v>3004.61245065</v>
      </c>
      <c r="V97" s="133"/>
    </row>
    <row r="98" spans="1:22" ht="15.75" hidden="1">
      <c r="A98" s="625" t="s">
        <v>19</v>
      </c>
      <c r="B98" s="268">
        <f t="shared" si="5"/>
        <v>7315.0040979000014</v>
      </c>
      <c r="C98" s="268">
        <f t="shared" si="10"/>
        <v>3142.9067649100002</v>
      </c>
      <c r="D98" s="268">
        <v>426.50273661</v>
      </c>
      <c r="E98" s="268">
        <v>1061.34858994</v>
      </c>
      <c r="F98" s="268">
        <v>187.53697761999999</v>
      </c>
      <c r="G98" s="268">
        <v>1467.5184607400001</v>
      </c>
      <c r="H98" s="268">
        <f t="shared" si="11"/>
        <v>2105.2409353800003</v>
      </c>
      <c r="I98" s="268">
        <v>5.2992413599999999</v>
      </c>
      <c r="J98" s="268">
        <v>494.08893868000001</v>
      </c>
      <c r="K98" s="268">
        <v>534.1775725</v>
      </c>
      <c r="L98" s="268">
        <v>1071.6751828400002</v>
      </c>
      <c r="M98" s="268">
        <f t="shared" si="12"/>
        <v>2066.8563976100004</v>
      </c>
      <c r="N98" s="268">
        <f t="shared" si="13"/>
        <v>785.66140093000013</v>
      </c>
      <c r="O98" s="268">
        <f t="shared" si="13"/>
        <v>155.73470723999998</v>
      </c>
      <c r="P98" s="268">
        <f t="shared" si="13"/>
        <v>640.09946060000016</v>
      </c>
      <c r="Q98" s="268">
        <f t="shared" si="13"/>
        <v>485.36082884000007</v>
      </c>
      <c r="R98" s="1576">
        <v>1217.4633789000002</v>
      </c>
      <c r="S98" s="1576">
        <v>1711.17223586</v>
      </c>
      <c r="T98" s="1576">
        <v>1361.8140107200002</v>
      </c>
      <c r="U98" s="1576">
        <v>3024.5544724200004</v>
      </c>
      <c r="V98" s="133"/>
    </row>
    <row r="99" spans="1:22" ht="15.75" hidden="1">
      <c r="A99" s="625" t="s">
        <v>20</v>
      </c>
      <c r="B99" s="268">
        <f t="shared" si="5"/>
        <v>7751.0752097799996</v>
      </c>
      <c r="C99" s="268">
        <f t="shared" si="10"/>
        <v>3289.1362097499996</v>
      </c>
      <c r="D99" s="268">
        <v>411.43732685999998</v>
      </c>
      <c r="E99" s="268">
        <v>1103.23738585</v>
      </c>
      <c r="F99" s="268">
        <v>197.20771066000003</v>
      </c>
      <c r="G99" s="268">
        <v>1577.2537863799998</v>
      </c>
      <c r="H99" s="268">
        <f t="shared" si="11"/>
        <v>2218.7625696299997</v>
      </c>
      <c r="I99" s="268">
        <v>6.6762722099999996</v>
      </c>
      <c r="J99" s="268">
        <v>529.22265585000002</v>
      </c>
      <c r="K99" s="268">
        <v>243.23473928000001</v>
      </c>
      <c r="L99" s="268">
        <v>1439.6289022899998</v>
      </c>
      <c r="M99" s="268">
        <f t="shared" si="12"/>
        <v>2243.1764304000008</v>
      </c>
      <c r="N99" s="268">
        <f t="shared" si="13"/>
        <v>870.04760907000036</v>
      </c>
      <c r="O99" s="268">
        <f t="shared" si="13"/>
        <v>156.92085584999984</v>
      </c>
      <c r="P99" s="268">
        <f t="shared" si="13"/>
        <v>776.28783971999997</v>
      </c>
      <c r="Q99" s="268">
        <f t="shared" si="13"/>
        <v>439.92012576000047</v>
      </c>
      <c r="R99" s="1576">
        <v>1288.1612081400003</v>
      </c>
      <c r="S99" s="1576">
        <v>1789.3808975499999</v>
      </c>
      <c r="T99" s="1576">
        <v>1216.7302896599999</v>
      </c>
      <c r="U99" s="1576">
        <v>3456.8028144300001</v>
      </c>
      <c r="V99" s="133"/>
    </row>
    <row r="100" spans="1:22" ht="15.75" hidden="1">
      <c r="A100" s="625" t="s">
        <v>21</v>
      </c>
      <c r="B100" s="268">
        <f t="shared" si="5"/>
        <v>7788.8309037399995</v>
      </c>
      <c r="C100" s="268">
        <f t="shared" si="10"/>
        <v>3358.6820325299996</v>
      </c>
      <c r="D100" s="268">
        <v>430.59949551</v>
      </c>
      <c r="E100" s="268">
        <v>1125.37272267</v>
      </c>
      <c r="F100" s="268">
        <v>200.53341541999995</v>
      </c>
      <c r="G100" s="268">
        <v>1602.1763989299998</v>
      </c>
      <c r="H100" s="268">
        <f t="shared" si="11"/>
        <v>2203.4533359800002</v>
      </c>
      <c r="I100" s="268">
        <v>5.1024627900000006</v>
      </c>
      <c r="J100" s="268">
        <v>544.13569310000003</v>
      </c>
      <c r="K100" s="268">
        <v>228.90099741</v>
      </c>
      <c r="L100" s="268">
        <v>1425.3141826800002</v>
      </c>
      <c r="M100" s="268">
        <f t="shared" si="12"/>
        <v>2226.6955352300001</v>
      </c>
      <c r="N100" s="268">
        <f t="shared" si="13"/>
        <v>858.18235188000006</v>
      </c>
      <c r="O100" s="268">
        <f t="shared" si="13"/>
        <v>161.71404733000008</v>
      </c>
      <c r="P100" s="268">
        <f t="shared" si="13"/>
        <v>707.4658075100001</v>
      </c>
      <c r="Q100" s="268">
        <f t="shared" si="13"/>
        <v>499.33332850999977</v>
      </c>
      <c r="R100" s="1576">
        <v>1293.8843101800001</v>
      </c>
      <c r="S100" s="1576">
        <v>1831.2224631000001</v>
      </c>
      <c r="T100" s="1576">
        <v>1136.90022034</v>
      </c>
      <c r="U100" s="1576">
        <v>3526.8239101199997</v>
      </c>
      <c r="V100" s="133"/>
    </row>
    <row r="101" spans="1:22" ht="15.75" hidden="1">
      <c r="A101" s="625" t="s">
        <v>22</v>
      </c>
      <c r="B101" s="268">
        <f t="shared" si="5"/>
        <v>7959.1259541700001</v>
      </c>
      <c r="C101" s="268">
        <f t="shared" si="10"/>
        <v>3321.4622767800001</v>
      </c>
      <c r="D101" s="268">
        <v>428.80747981000002</v>
      </c>
      <c r="E101" s="268">
        <v>1148.91003284</v>
      </c>
      <c r="F101" s="268">
        <v>211.73589314000003</v>
      </c>
      <c r="G101" s="268">
        <v>1532.0088709900001</v>
      </c>
      <c r="H101" s="268">
        <f t="shared" si="11"/>
        <v>2229.8080406999998</v>
      </c>
      <c r="I101" s="268">
        <v>4.6767314100000004</v>
      </c>
      <c r="J101" s="268">
        <v>561.42345045000002</v>
      </c>
      <c r="K101" s="268">
        <v>223.78235784999998</v>
      </c>
      <c r="L101" s="268">
        <v>1439.92550099</v>
      </c>
      <c r="M101" s="268">
        <f t="shared" si="12"/>
        <v>2407.8556366900007</v>
      </c>
      <c r="N101" s="268">
        <f t="shared" si="13"/>
        <v>871.70514153000011</v>
      </c>
      <c r="O101" s="268">
        <f t="shared" si="13"/>
        <v>174.54583997999998</v>
      </c>
      <c r="P101" s="268">
        <f t="shared" si="13"/>
        <v>844.18031890000043</v>
      </c>
      <c r="Q101" s="268">
        <f t="shared" si="13"/>
        <v>517.42433628000003</v>
      </c>
      <c r="R101" s="1576">
        <v>1305.1893527500001</v>
      </c>
      <c r="S101" s="1576">
        <v>1884.87932327</v>
      </c>
      <c r="T101" s="1576">
        <v>1279.6985698900003</v>
      </c>
      <c r="U101" s="1576">
        <v>3489.3587082600002</v>
      </c>
      <c r="V101" s="133"/>
    </row>
    <row r="102" spans="1:22" ht="15.75" hidden="1">
      <c r="A102" s="625" t="s">
        <v>23</v>
      </c>
      <c r="B102" s="268">
        <f t="shared" si="5"/>
        <v>8126.7557803200007</v>
      </c>
      <c r="C102" s="268">
        <f t="shared" si="10"/>
        <v>3451.4294540000001</v>
      </c>
      <c r="D102" s="268">
        <v>485.03161867000006</v>
      </c>
      <c r="E102" s="268">
        <v>1189.1685057099999</v>
      </c>
      <c r="F102" s="268">
        <v>213.18281067999999</v>
      </c>
      <c r="G102" s="268">
        <v>1564.0465189400002</v>
      </c>
      <c r="H102" s="268">
        <f t="shared" si="11"/>
        <v>2196.77824839</v>
      </c>
      <c r="I102" s="268">
        <v>5.5791976199999995</v>
      </c>
      <c r="J102" s="268">
        <v>583.28886374000001</v>
      </c>
      <c r="K102" s="268">
        <v>221.46575591999999</v>
      </c>
      <c r="L102" s="268">
        <v>1386.4444311100001</v>
      </c>
      <c r="M102" s="268">
        <f t="shared" si="12"/>
        <v>2478.5480779300001</v>
      </c>
      <c r="N102" s="268">
        <f t="shared" si="13"/>
        <v>851.65265112999987</v>
      </c>
      <c r="O102" s="268">
        <f t="shared" si="13"/>
        <v>177.01564920000021</v>
      </c>
      <c r="P102" s="268">
        <f t="shared" si="13"/>
        <v>939.29551820999995</v>
      </c>
      <c r="Q102" s="268">
        <f t="shared" si="13"/>
        <v>510.58425939000017</v>
      </c>
      <c r="R102" s="1576">
        <v>1342.2634674199999</v>
      </c>
      <c r="S102" s="1576">
        <v>1949.4730186500001</v>
      </c>
      <c r="T102" s="1576">
        <v>1373.94408481</v>
      </c>
      <c r="U102" s="1576">
        <v>3461.0752094400004</v>
      </c>
      <c r="V102" s="133"/>
    </row>
    <row r="103" spans="1:22" ht="15.75" hidden="1">
      <c r="A103" s="625" t="s">
        <v>24</v>
      </c>
      <c r="B103" s="268">
        <f t="shared" si="5"/>
        <v>8345.8196153299996</v>
      </c>
      <c r="C103" s="268">
        <f t="shared" si="10"/>
        <v>3543.6408617500001</v>
      </c>
      <c r="D103" s="268">
        <v>517.85449964000009</v>
      </c>
      <c r="E103" s="268">
        <v>1227.5491714500001</v>
      </c>
      <c r="F103" s="268">
        <v>221.05351150000001</v>
      </c>
      <c r="G103" s="268">
        <v>1577.1836791599999</v>
      </c>
      <c r="H103" s="268">
        <f t="shared" si="11"/>
        <v>2207.08086237</v>
      </c>
      <c r="I103" s="268">
        <v>4.8727140599999998</v>
      </c>
      <c r="J103" s="268">
        <v>575.32561619000001</v>
      </c>
      <c r="K103" s="268">
        <v>426.12787192999997</v>
      </c>
      <c r="L103" s="268">
        <v>1200.7546601899999</v>
      </c>
      <c r="M103" s="268">
        <f t="shared" si="12"/>
        <v>2595.0978912100004</v>
      </c>
      <c r="N103" s="268">
        <f t="shared" si="13"/>
        <v>1053.3541074699999</v>
      </c>
      <c r="O103" s="268">
        <f t="shared" si="13"/>
        <v>188.17775201000006</v>
      </c>
      <c r="P103" s="268">
        <f t="shared" si="13"/>
        <v>859.44397401000003</v>
      </c>
      <c r="Q103" s="268">
        <f t="shared" si="13"/>
        <v>494.12205772000016</v>
      </c>
      <c r="R103" s="1576">
        <v>1576.0813211699999</v>
      </c>
      <c r="S103" s="1576">
        <v>1991.0525396500002</v>
      </c>
      <c r="T103" s="1576">
        <v>1506.62535744</v>
      </c>
      <c r="U103" s="1576">
        <v>3272.0603970699999</v>
      </c>
      <c r="V103" s="133"/>
    </row>
    <row r="104" spans="1:22" ht="15.75" hidden="1">
      <c r="A104" s="625" t="s">
        <v>25</v>
      </c>
      <c r="B104" s="268">
        <f t="shared" si="5"/>
        <v>8449.7129442299993</v>
      </c>
      <c r="C104" s="268">
        <f t="shared" si="10"/>
        <v>3660.7234386299997</v>
      </c>
      <c r="D104" s="268">
        <v>561.26581953999994</v>
      </c>
      <c r="E104" s="268">
        <v>1276.43985894</v>
      </c>
      <c r="F104" s="268">
        <v>213.63250916999999</v>
      </c>
      <c r="G104" s="268">
        <v>1609.3852509799999</v>
      </c>
      <c r="H104" s="268">
        <f>SUM(I104:L104)</f>
        <v>2473.23821047</v>
      </c>
      <c r="I104" s="268">
        <v>8.4671099499999993</v>
      </c>
      <c r="J104" s="268">
        <v>550.00012833000005</v>
      </c>
      <c r="K104" s="268">
        <v>452.00877516999998</v>
      </c>
      <c r="L104" s="268">
        <v>1462.7621970199998</v>
      </c>
      <c r="M104" s="268">
        <f t="shared" si="12"/>
        <v>2315.7512951300005</v>
      </c>
      <c r="N104" s="268">
        <f t="shared" si="13"/>
        <v>900.47017844000004</v>
      </c>
      <c r="O104" s="268">
        <f t="shared" si="13"/>
        <v>191.62881151000033</v>
      </c>
      <c r="P104" s="268">
        <f t="shared" si="13"/>
        <v>735.7017602200001</v>
      </c>
      <c r="Q104" s="268">
        <f t="shared" si="13"/>
        <v>487.95054496000012</v>
      </c>
      <c r="R104" s="1576">
        <v>1470.20310793</v>
      </c>
      <c r="S104" s="1576">
        <v>2018.0687987800004</v>
      </c>
      <c r="T104" s="1576">
        <v>1401.3430445600002</v>
      </c>
      <c r="U104" s="1576">
        <v>3560.0979929599998</v>
      </c>
      <c r="V104" s="133"/>
    </row>
    <row r="105" spans="1:22" ht="15.75" hidden="1">
      <c r="A105" s="625" t="s">
        <v>26</v>
      </c>
      <c r="B105" s="268">
        <f t="shared" si="5"/>
        <v>8740.581751329999</v>
      </c>
      <c r="C105" s="268">
        <f t="shared" si="10"/>
        <v>3622.4216608500001</v>
      </c>
      <c r="D105" s="268">
        <v>454.73067648</v>
      </c>
      <c r="E105" s="268">
        <v>1343.9700985799998</v>
      </c>
      <c r="F105" s="268">
        <v>208.59919260000001</v>
      </c>
      <c r="G105" s="268">
        <v>1615.1216931900003</v>
      </c>
      <c r="H105" s="268">
        <f>SUM(I105:L105)</f>
        <v>2530.3590625699999</v>
      </c>
      <c r="I105" s="268">
        <v>11.534986929999999</v>
      </c>
      <c r="J105" s="268">
        <v>649.86226107000016</v>
      </c>
      <c r="K105" s="268">
        <v>404.93355285000001</v>
      </c>
      <c r="L105" s="268">
        <v>1464.0282617199998</v>
      </c>
      <c r="M105" s="268">
        <f t="shared" si="12"/>
        <v>2587.8010279099999</v>
      </c>
      <c r="N105" s="268">
        <f t="shared" si="13"/>
        <v>974.19055739999988</v>
      </c>
      <c r="O105" s="268">
        <f t="shared" si="13"/>
        <v>182.60762141000032</v>
      </c>
      <c r="P105" s="268">
        <f t="shared" si="13"/>
        <v>969.38662055000032</v>
      </c>
      <c r="Q105" s="268">
        <f t="shared" si="13"/>
        <v>461.61622854999973</v>
      </c>
      <c r="R105" s="1576">
        <v>1440.4562208099999</v>
      </c>
      <c r="S105" s="1576">
        <v>2176.4399810600003</v>
      </c>
      <c r="T105" s="1576">
        <v>1582.9193660000003</v>
      </c>
      <c r="U105" s="1576">
        <v>3540.7661834599999</v>
      </c>
      <c r="V105" s="133"/>
    </row>
    <row r="106" spans="1:22" ht="15.75" hidden="1">
      <c r="A106" s="625" t="s">
        <v>27</v>
      </c>
      <c r="B106" s="268">
        <f t="shared" si="5"/>
        <v>8707.8253123100003</v>
      </c>
      <c r="C106" s="268">
        <f t="shared" si="10"/>
        <v>3674.9500908000005</v>
      </c>
      <c r="D106" s="268">
        <v>432.68067533999999</v>
      </c>
      <c r="E106" s="268">
        <v>1390.5666977300002</v>
      </c>
      <c r="F106" s="268">
        <v>210.3746745</v>
      </c>
      <c r="G106" s="268">
        <v>1641.32804323</v>
      </c>
      <c r="H106" s="268">
        <f>SUM(I106:L106)</f>
        <v>2563.4283718600004</v>
      </c>
      <c r="I106" s="268">
        <v>13.441559009999999</v>
      </c>
      <c r="J106" s="268">
        <v>687.74345773000005</v>
      </c>
      <c r="K106" s="268">
        <v>408.57466672999999</v>
      </c>
      <c r="L106" s="268">
        <v>1453.6686883900004</v>
      </c>
      <c r="M106" s="268">
        <f t="shared" si="12"/>
        <v>2469.4468496499994</v>
      </c>
      <c r="N106" s="268">
        <f t="shared" si="13"/>
        <v>967.70012228999997</v>
      </c>
      <c r="O106" s="268">
        <f t="shared" si="13"/>
        <v>184.08009030999983</v>
      </c>
      <c r="P106" s="268">
        <f t="shared" si="13"/>
        <v>886.29815371999985</v>
      </c>
      <c r="Q106" s="268">
        <f t="shared" si="13"/>
        <v>431.36848332999989</v>
      </c>
      <c r="R106" s="1573">
        <v>1413.82235664</v>
      </c>
      <c r="S106" s="1573">
        <v>2262.3902457700001</v>
      </c>
      <c r="T106" s="1573">
        <v>1505.2474949499999</v>
      </c>
      <c r="U106" s="1573">
        <v>3526.3652149500003</v>
      </c>
      <c r="V106" s="133"/>
    </row>
    <row r="107" spans="1:22" ht="15.75" hidden="1">
      <c r="A107" s="625" t="s">
        <v>28</v>
      </c>
      <c r="B107" s="268">
        <f t="shared" si="5"/>
        <v>8892.7983016500002</v>
      </c>
      <c r="C107" s="268">
        <f t="shared" si="10"/>
        <v>3830.0952434999999</v>
      </c>
      <c r="D107" s="268">
        <v>493.74183979000003</v>
      </c>
      <c r="E107" s="268">
        <v>1476.4286049699999</v>
      </c>
      <c r="F107" s="268">
        <v>255.54023355000001</v>
      </c>
      <c r="G107" s="268">
        <v>1604.3845651900001</v>
      </c>
      <c r="H107" s="268">
        <f>SUM(I107:L107)</f>
        <v>2459.7094855899995</v>
      </c>
      <c r="I107" s="268">
        <v>13.850641889999999</v>
      </c>
      <c r="J107" s="268">
        <v>671.24590702000012</v>
      </c>
      <c r="K107" s="268">
        <v>375.92633617000001</v>
      </c>
      <c r="L107" s="268">
        <v>1398.6866005099996</v>
      </c>
      <c r="M107" s="268">
        <f t="shared" si="12"/>
        <v>2602.9935725599998</v>
      </c>
      <c r="N107" s="268">
        <f t="shared" si="13"/>
        <v>1078.0299140000002</v>
      </c>
      <c r="O107" s="268">
        <f t="shared" si="13"/>
        <v>155.27642353000022</v>
      </c>
      <c r="P107" s="268">
        <f t="shared" si="13"/>
        <v>934.84206550999966</v>
      </c>
      <c r="Q107" s="268">
        <f t="shared" si="13"/>
        <v>434.84516952000013</v>
      </c>
      <c r="R107" s="1573">
        <v>1585.6223956800002</v>
      </c>
      <c r="S107" s="1573">
        <v>2302.9509355200003</v>
      </c>
      <c r="T107" s="1573">
        <v>1566.3086352299997</v>
      </c>
      <c r="U107" s="1573">
        <v>3437.9163352199998</v>
      </c>
      <c r="V107" s="133"/>
    </row>
    <row r="108" spans="1:22" ht="15.75" hidden="1">
      <c r="A108" s="625" t="s">
        <v>29</v>
      </c>
      <c r="B108" s="268">
        <f t="shared" si="5"/>
        <v>9447.0007198299991</v>
      </c>
      <c r="C108" s="268">
        <f t="shared" si="10"/>
        <v>4119.8374570199994</v>
      </c>
      <c r="D108" s="268">
        <v>613.14276837999989</v>
      </c>
      <c r="E108" s="268">
        <v>1668.53152163</v>
      </c>
      <c r="F108" s="268">
        <v>230.64662609999999</v>
      </c>
      <c r="G108" s="268">
        <v>1607.51654091</v>
      </c>
      <c r="H108" s="268">
        <f>SUM(I108:L108)</f>
        <v>2519.5341130699999</v>
      </c>
      <c r="I108" s="268">
        <v>7.2603093799999998</v>
      </c>
      <c r="J108" s="268">
        <v>670.64870108000002</v>
      </c>
      <c r="K108" s="268">
        <v>405.32414816000005</v>
      </c>
      <c r="L108" s="268">
        <v>1436.3009544499998</v>
      </c>
      <c r="M108" s="268">
        <f t="shared" si="12"/>
        <v>2807.6291497399998</v>
      </c>
      <c r="N108" s="268">
        <f>R108-D108-I108</f>
        <v>1136.1893022399993</v>
      </c>
      <c r="O108" s="268">
        <f>S108-E108-J108</f>
        <v>184.90770575999989</v>
      </c>
      <c r="P108" s="268">
        <f>T108-F108-K108</f>
        <v>1035.94685912</v>
      </c>
      <c r="Q108" s="268">
        <f>U108-G108-L108</f>
        <v>450.5852826200005</v>
      </c>
      <c r="R108" s="1573">
        <v>1756.5923799999994</v>
      </c>
      <c r="S108" s="1573">
        <v>2524.08792847</v>
      </c>
      <c r="T108" s="1573">
        <v>1671.9176333800001</v>
      </c>
      <c r="U108" s="1573">
        <v>3494.4027779800003</v>
      </c>
      <c r="V108" s="133"/>
    </row>
    <row r="109" spans="1:22" ht="15.75">
      <c r="A109" s="624">
        <v>2012</v>
      </c>
      <c r="B109" s="268">
        <v>10699.241985770001</v>
      </c>
      <c r="C109" s="268">
        <v>5113.4078103299998</v>
      </c>
      <c r="D109" s="268">
        <v>777.14939947000005</v>
      </c>
      <c r="E109" s="268">
        <v>2186.70776303</v>
      </c>
      <c r="F109" s="268">
        <v>265.68550679999998</v>
      </c>
      <c r="G109" s="268">
        <v>1883.8651410300004</v>
      </c>
      <c r="H109" s="268">
        <v>2782.9527644100003</v>
      </c>
      <c r="I109" s="268">
        <v>5.4634511200000002</v>
      </c>
      <c r="J109" s="268">
        <v>706.33409993999999</v>
      </c>
      <c r="K109" s="268">
        <v>449.44292741000004</v>
      </c>
      <c r="L109" s="268">
        <v>1621.7122859400004</v>
      </c>
      <c r="M109" s="268">
        <v>2802.88141103</v>
      </c>
      <c r="N109" s="268">
        <v>1198.4983402600003</v>
      </c>
      <c r="O109" s="268">
        <v>188.39494251000019</v>
      </c>
      <c r="P109" s="268">
        <v>929.97896890999982</v>
      </c>
      <c r="Q109" s="268">
        <v>486.00915934999989</v>
      </c>
      <c r="R109" s="1576">
        <v>1981.1111908500002</v>
      </c>
      <c r="S109" s="1576">
        <v>3081.4368054800002</v>
      </c>
      <c r="T109" s="1576">
        <v>1645.1074031199998</v>
      </c>
      <c r="U109" s="1576">
        <v>3991.5865863200006</v>
      </c>
      <c r="V109" s="133"/>
    </row>
    <row r="110" spans="1:22" ht="15.75" hidden="1">
      <c r="A110" s="625" t="s">
        <v>18</v>
      </c>
      <c r="B110" s="180">
        <f t="shared" ref="B110:B121" si="14">+C110+M110+H110</f>
        <v>9281.2090842100006</v>
      </c>
      <c r="C110" s="180">
        <f t="shared" ref="C110:C121" si="15">SUM(D110:G110)</f>
        <v>4179.4653587800003</v>
      </c>
      <c r="D110" s="180">
        <v>613.40160514000013</v>
      </c>
      <c r="E110" s="180">
        <v>1701.5840972999997</v>
      </c>
      <c r="F110" s="180">
        <v>227.32729905000002</v>
      </c>
      <c r="G110" s="180">
        <v>1637.1523572900001</v>
      </c>
      <c r="H110" s="180">
        <f t="shared" ref="H110:H121" si="16">SUM(I110:L110)</f>
        <v>2529.6728764100003</v>
      </c>
      <c r="I110" s="180">
        <v>7.6527032100000003</v>
      </c>
      <c r="J110" s="180">
        <v>682.04283025000007</v>
      </c>
      <c r="K110" s="180">
        <v>401.17750655999998</v>
      </c>
      <c r="L110" s="180">
        <v>1438.7998363900001</v>
      </c>
      <c r="M110" s="180">
        <f t="shared" ref="M110:M121" si="17">SUM(N110:Q110)</f>
        <v>2572.0708490200004</v>
      </c>
      <c r="N110" s="180">
        <f t="shared" ref="N110:Q120" si="18">R110-D110-I110</f>
        <v>1008.8140412600003</v>
      </c>
      <c r="O110" s="180">
        <f t="shared" si="18"/>
        <v>168.30407765999973</v>
      </c>
      <c r="P110" s="180">
        <f t="shared" si="18"/>
        <v>939.61514207999994</v>
      </c>
      <c r="Q110" s="180">
        <f t="shared" si="18"/>
        <v>455.33758802000011</v>
      </c>
      <c r="R110" s="54">
        <v>1629.8683496100005</v>
      </c>
      <c r="S110" s="54">
        <v>2551.9310052099995</v>
      </c>
      <c r="T110" s="54">
        <v>1568.1199476899999</v>
      </c>
      <c r="U110" s="54">
        <v>3531.2897817000003</v>
      </c>
    </row>
    <row r="111" spans="1:22" ht="15.75" hidden="1">
      <c r="A111" s="625" t="s">
        <v>19</v>
      </c>
      <c r="B111" s="180">
        <f t="shared" si="14"/>
        <v>9507.0192621999995</v>
      </c>
      <c r="C111" s="180">
        <f t="shared" si="15"/>
        <v>4330.6031756900002</v>
      </c>
      <c r="D111" s="180">
        <v>640.70385937000003</v>
      </c>
      <c r="E111" s="180">
        <v>1780.6559725000002</v>
      </c>
      <c r="F111" s="180">
        <v>241.04396923000002</v>
      </c>
      <c r="G111" s="180">
        <v>1668.1993745899999</v>
      </c>
      <c r="H111" s="180">
        <f t="shared" si="16"/>
        <v>2529.1533993100002</v>
      </c>
      <c r="I111" s="180">
        <v>10.377717780000001</v>
      </c>
      <c r="J111" s="180">
        <v>656.89795426000001</v>
      </c>
      <c r="K111" s="180">
        <v>425.15386432999998</v>
      </c>
      <c r="L111" s="180">
        <v>1436.7238629400001</v>
      </c>
      <c r="M111" s="180">
        <f t="shared" si="17"/>
        <v>2647.2626871999992</v>
      </c>
      <c r="N111" s="180">
        <f t="shared" si="18"/>
        <v>919.01146454000002</v>
      </c>
      <c r="O111" s="180">
        <f t="shared" si="18"/>
        <v>202.93871855999987</v>
      </c>
      <c r="P111" s="180">
        <f t="shared" si="18"/>
        <v>1030.0657886899999</v>
      </c>
      <c r="Q111" s="180">
        <f t="shared" si="18"/>
        <v>495.2467154099993</v>
      </c>
      <c r="R111" s="54">
        <v>1570.0930416900001</v>
      </c>
      <c r="S111" s="54">
        <v>2640.4926453200001</v>
      </c>
      <c r="T111" s="54">
        <v>1696.2636222499998</v>
      </c>
      <c r="U111" s="54">
        <v>3600.1699529399993</v>
      </c>
    </row>
    <row r="112" spans="1:22" ht="15.75" hidden="1">
      <c r="A112" s="625" t="s">
        <v>20</v>
      </c>
      <c r="B112" s="180">
        <f t="shared" si="14"/>
        <v>9796.4743111399985</v>
      </c>
      <c r="C112" s="180">
        <f t="shared" si="15"/>
        <v>4298.9149969499995</v>
      </c>
      <c r="D112" s="180">
        <v>649.11181754999984</v>
      </c>
      <c r="E112" s="180">
        <v>1746.6282395999999</v>
      </c>
      <c r="F112" s="180">
        <v>241.53345581999997</v>
      </c>
      <c r="G112" s="180">
        <v>1661.6414839800002</v>
      </c>
      <c r="H112" s="180">
        <f t="shared" si="16"/>
        <v>2539.63416263</v>
      </c>
      <c r="I112" s="180">
        <v>10.30967897</v>
      </c>
      <c r="J112" s="180">
        <v>631.46475049000003</v>
      </c>
      <c r="K112" s="180">
        <v>418.16210343</v>
      </c>
      <c r="L112" s="180">
        <v>1479.6976297400001</v>
      </c>
      <c r="M112" s="180">
        <f t="shared" si="17"/>
        <v>2957.9251515599999</v>
      </c>
      <c r="N112" s="180">
        <f t="shared" si="18"/>
        <v>1227.6899946699998</v>
      </c>
      <c r="O112" s="180">
        <f t="shared" si="18"/>
        <v>196.9698734599998</v>
      </c>
      <c r="P112" s="180">
        <f t="shared" si="18"/>
        <v>1074.7975338300002</v>
      </c>
      <c r="Q112" s="180">
        <f t="shared" si="18"/>
        <v>458.46774960000016</v>
      </c>
      <c r="R112" s="54">
        <v>1887.1114911899997</v>
      </c>
      <c r="S112" s="54">
        <v>2575.0628635499997</v>
      </c>
      <c r="T112" s="54">
        <v>1734.4930930800001</v>
      </c>
      <c r="U112" s="54">
        <v>3599.8068633200005</v>
      </c>
    </row>
    <row r="113" spans="1:21" ht="15.75" hidden="1">
      <c r="A113" s="625" t="s">
        <v>21</v>
      </c>
      <c r="B113" s="180">
        <f t="shared" si="14"/>
        <v>9870.0217999999986</v>
      </c>
      <c r="C113" s="180">
        <f t="shared" si="15"/>
        <v>4338.8307999999997</v>
      </c>
      <c r="D113" s="180">
        <v>672.02250000000004</v>
      </c>
      <c r="E113" s="180">
        <v>1728.4594</v>
      </c>
      <c r="F113" s="180">
        <v>254.8818</v>
      </c>
      <c r="G113" s="180">
        <v>1683.4671000000001</v>
      </c>
      <c r="H113" s="180">
        <f t="shared" si="16"/>
        <v>2479.8858</v>
      </c>
      <c r="I113" s="180">
        <v>5.0224000000000002</v>
      </c>
      <c r="J113" s="180">
        <v>608.96709999999996</v>
      </c>
      <c r="K113" s="180">
        <v>407.29539999999997</v>
      </c>
      <c r="L113" s="180">
        <v>1458.6008999999999</v>
      </c>
      <c r="M113" s="180">
        <f t="shared" si="17"/>
        <v>3051.3051999999998</v>
      </c>
      <c r="N113" s="180">
        <f t="shared" si="18"/>
        <v>1111.5926999999999</v>
      </c>
      <c r="O113" s="180">
        <f t="shared" si="18"/>
        <v>207.89170000000024</v>
      </c>
      <c r="P113" s="180">
        <f t="shared" si="18"/>
        <v>1256.3870999999999</v>
      </c>
      <c r="Q113" s="180">
        <f t="shared" si="18"/>
        <v>475.43369999999982</v>
      </c>
      <c r="R113" s="54">
        <v>1788.6376</v>
      </c>
      <c r="S113" s="54">
        <v>2545.3182000000002</v>
      </c>
      <c r="T113" s="54">
        <v>1918.5643</v>
      </c>
      <c r="U113" s="54">
        <v>3617.5016999999998</v>
      </c>
    </row>
    <row r="114" spans="1:21" ht="15.75" hidden="1">
      <c r="A114" s="625" t="s">
        <v>22</v>
      </c>
      <c r="B114" s="180">
        <f t="shared" si="14"/>
        <v>9884.5236785399993</v>
      </c>
      <c r="C114" s="180">
        <f t="shared" si="15"/>
        <v>4341.7222206499991</v>
      </c>
      <c r="D114" s="180">
        <v>679.25029234999988</v>
      </c>
      <c r="E114" s="180">
        <v>1771.4029413199999</v>
      </c>
      <c r="F114" s="180">
        <v>230.23662935999999</v>
      </c>
      <c r="G114" s="180">
        <v>1660.8323576199998</v>
      </c>
      <c r="H114" s="180">
        <f t="shared" si="16"/>
        <v>2450.7414263999999</v>
      </c>
      <c r="I114" s="180">
        <v>5.2371409699999996</v>
      </c>
      <c r="J114" s="180">
        <v>629.57038065999996</v>
      </c>
      <c r="K114" s="180">
        <v>390.89236090000003</v>
      </c>
      <c r="L114" s="180">
        <v>1425.0415438699999</v>
      </c>
      <c r="M114" s="180">
        <f t="shared" si="17"/>
        <v>3092.0600314899998</v>
      </c>
      <c r="N114" s="180">
        <f t="shared" si="18"/>
        <v>1138.7164626800002</v>
      </c>
      <c r="O114" s="180">
        <f t="shared" si="18"/>
        <v>187.37508336999986</v>
      </c>
      <c r="P114" s="180">
        <f t="shared" si="18"/>
        <v>1280.2792602499999</v>
      </c>
      <c r="Q114" s="180">
        <f t="shared" si="18"/>
        <v>485.68922518999989</v>
      </c>
      <c r="R114" s="54">
        <v>1823.203896</v>
      </c>
      <c r="S114" s="54">
        <v>2588.3484053499997</v>
      </c>
      <c r="T114" s="54">
        <v>1901.40825051</v>
      </c>
      <c r="U114" s="54">
        <v>3571.5631266799996</v>
      </c>
    </row>
    <row r="115" spans="1:21" ht="15.75" hidden="1">
      <c r="A115" s="625" t="s">
        <v>23</v>
      </c>
      <c r="B115" s="180">
        <f t="shared" si="14"/>
        <v>9704.262016839999</v>
      </c>
      <c r="C115" s="180">
        <f t="shared" si="15"/>
        <v>4372.6359070899998</v>
      </c>
      <c r="D115" s="180">
        <v>669.46719513999994</v>
      </c>
      <c r="E115" s="180">
        <v>1811.3279832200001</v>
      </c>
      <c r="F115" s="180">
        <v>231.98105070999998</v>
      </c>
      <c r="G115" s="180">
        <v>1659.85967802</v>
      </c>
      <c r="H115" s="180">
        <f t="shared" si="16"/>
        <v>2507.0515562099999</v>
      </c>
      <c r="I115" s="180">
        <v>6.5660524100000002</v>
      </c>
      <c r="J115" s="180">
        <v>652.09833856</v>
      </c>
      <c r="K115" s="180">
        <v>397.33267481999997</v>
      </c>
      <c r="L115" s="180">
        <v>1451.0544904199999</v>
      </c>
      <c r="M115" s="180">
        <f t="shared" si="17"/>
        <v>2824.5745535400001</v>
      </c>
      <c r="N115" s="180">
        <f t="shared" si="18"/>
        <v>1164.1472404999997</v>
      </c>
      <c r="O115" s="180">
        <f t="shared" si="18"/>
        <v>198.10971278000011</v>
      </c>
      <c r="P115" s="180">
        <f t="shared" si="18"/>
        <v>973.39075193999975</v>
      </c>
      <c r="Q115" s="180">
        <f t="shared" si="18"/>
        <v>488.92684832000009</v>
      </c>
      <c r="R115" s="54">
        <v>1840.1804880499999</v>
      </c>
      <c r="S115" s="54">
        <v>2661.5360345600002</v>
      </c>
      <c r="T115" s="54">
        <v>1602.7044774699998</v>
      </c>
      <c r="U115" s="54">
        <v>3599.84101676</v>
      </c>
    </row>
    <row r="116" spans="1:21" ht="15.75" hidden="1">
      <c r="A116" s="625" t="s">
        <v>24</v>
      </c>
      <c r="B116" s="180">
        <f t="shared" si="14"/>
        <v>9668.729364259998</v>
      </c>
      <c r="C116" s="180">
        <f t="shared" si="15"/>
        <v>4415.2287439399997</v>
      </c>
      <c r="D116" s="180">
        <v>658.88300986000002</v>
      </c>
      <c r="E116" s="180">
        <v>1825.7104709699997</v>
      </c>
      <c r="F116" s="180">
        <v>257.16935923</v>
      </c>
      <c r="G116" s="180">
        <v>1673.4659038799998</v>
      </c>
      <c r="H116" s="180">
        <f t="shared" si="16"/>
        <v>2499.52509568</v>
      </c>
      <c r="I116" s="180">
        <v>6.2388615000000005</v>
      </c>
      <c r="J116" s="180">
        <v>641.30587288999993</v>
      </c>
      <c r="K116" s="180">
        <v>379.42455395000002</v>
      </c>
      <c r="L116" s="180">
        <v>1472.55580734</v>
      </c>
      <c r="M116" s="180">
        <f t="shared" si="17"/>
        <v>2753.9755246399995</v>
      </c>
      <c r="N116" s="180">
        <f t="shared" si="18"/>
        <v>1121.8602814299998</v>
      </c>
      <c r="O116" s="180">
        <f t="shared" si="18"/>
        <v>173.76240737000001</v>
      </c>
      <c r="P116" s="180">
        <f t="shared" si="18"/>
        <v>1065.59418018</v>
      </c>
      <c r="Q116" s="180">
        <f t="shared" si="18"/>
        <v>392.75865565999993</v>
      </c>
      <c r="R116" s="54">
        <v>1786.9821527899999</v>
      </c>
      <c r="S116" s="54">
        <v>2640.7787512299997</v>
      </c>
      <c r="T116" s="54">
        <v>1702.18809336</v>
      </c>
      <c r="U116" s="54">
        <v>3538.7803668799997</v>
      </c>
    </row>
    <row r="117" spans="1:21" ht="15.75" hidden="1">
      <c r="A117" s="625" t="s">
        <v>25</v>
      </c>
      <c r="B117" s="180">
        <f t="shared" si="14"/>
        <v>9878.328764670001</v>
      </c>
      <c r="C117" s="180">
        <f t="shared" si="15"/>
        <v>4462.5601259300001</v>
      </c>
      <c r="D117" s="180">
        <v>721.67235341000014</v>
      </c>
      <c r="E117" s="180">
        <v>1809.5610204300001</v>
      </c>
      <c r="F117" s="180">
        <v>232.69745124999997</v>
      </c>
      <c r="G117" s="180">
        <v>1698.6293008399998</v>
      </c>
      <c r="H117" s="180">
        <f t="shared" si="16"/>
        <v>2610.3072060900004</v>
      </c>
      <c r="I117" s="180">
        <v>4.6164299800000004</v>
      </c>
      <c r="J117" s="180">
        <v>647.79572144999997</v>
      </c>
      <c r="K117" s="180">
        <v>381.31788356999999</v>
      </c>
      <c r="L117" s="180">
        <v>1576.5771710900001</v>
      </c>
      <c r="M117" s="180">
        <f t="shared" si="17"/>
        <v>2805.4614326500005</v>
      </c>
      <c r="N117" s="180">
        <f t="shared" si="18"/>
        <v>1176.5655515900003</v>
      </c>
      <c r="O117" s="180">
        <f t="shared" si="18"/>
        <v>180.80083114000013</v>
      </c>
      <c r="P117" s="180">
        <f t="shared" si="18"/>
        <v>1049.7707715299998</v>
      </c>
      <c r="Q117" s="180">
        <f t="shared" si="18"/>
        <v>398.32427839000025</v>
      </c>
      <c r="R117" s="54">
        <v>1902.8543349800004</v>
      </c>
      <c r="S117" s="54">
        <v>2638.1575730200002</v>
      </c>
      <c r="T117" s="54">
        <v>1663.78610635</v>
      </c>
      <c r="U117" s="54">
        <v>3673.5307503200002</v>
      </c>
    </row>
    <row r="118" spans="1:21" ht="15.75" hidden="1">
      <c r="A118" s="625" t="s">
        <v>26</v>
      </c>
      <c r="B118" s="180">
        <f t="shared" si="14"/>
        <v>10080.6149085</v>
      </c>
      <c r="C118" s="180">
        <f t="shared" si="15"/>
        <v>4556.3257138199997</v>
      </c>
      <c r="D118" s="180">
        <v>756.27759278000008</v>
      </c>
      <c r="E118" s="180">
        <v>1859.6378374399999</v>
      </c>
      <c r="F118" s="180">
        <v>237.46295470999999</v>
      </c>
      <c r="G118" s="180">
        <v>1702.9473288899999</v>
      </c>
      <c r="H118" s="180">
        <f t="shared" si="16"/>
        <v>2710.0146456299999</v>
      </c>
      <c r="I118" s="180">
        <v>4.34345713</v>
      </c>
      <c r="J118" s="180">
        <v>653.09437937999996</v>
      </c>
      <c r="K118" s="180">
        <v>138.46559632</v>
      </c>
      <c r="L118" s="180">
        <v>1914.1112128</v>
      </c>
      <c r="M118" s="180">
        <f t="shared" si="17"/>
        <v>2814.2745490500001</v>
      </c>
      <c r="N118" s="180">
        <f t="shared" si="18"/>
        <v>1102.88959903</v>
      </c>
      <c r="O118" s="180">
        <f t="shared" si="18"/>
        <v>183.6878387200004</v>
      </c>
      <c r="P118" s="180">
        <f t="shared" si="18"/>
        <v>1116.4094980399998</v>
      </c>
      <c r="Q118" s="180">
        <f t="shared" si="18"/>
        <v>411.28761325999994</v>
      </c>
      <c r="R118" s="54">
        <v>1863.51064894</v>
      </c>
      <c r="S118" s="54">
        <v>2696.4200555400002</v>
      </c>
      <c r="T118" s="54">
        <v>1492.3380490699999</v>
      </c>
      <c r="U118" s="54">
        <v>4028.3461549499998</v>
      </c>
    </row>
    <row r="119" spans="1:21" ht="15.75" hidden="1">
      <c r="A119" s="625" t="s">
        <v>27</v>
      </c>
      <c r="B119" s="180">
        <f t="shared" si="14"/>
        <v>10202.409563829999</v>
      </c>
      <c r="C119" s="180">
        <f t="shared" si="15"/>
        <v>4689.6690311399998</v>
      </c>
      <c r="D119" s="180">
        <v>740.00818454000012</v>
      </c>
      <c r="E119" s="180">
        <v>1964.2639437899998</v>
      </c>
      <c r="F119" s="180">
        <v>265.28756340000001</v>
      </c>
      <c r="G119" s="180">
        <v>1720.1093394100001</v>
      </c>
      <c r="H119" s="180">
        <f t="shared" si="16"/>
        <v>2732.4536095599997</v>
      </c>
      <c r="I119" s="180">
        <v>6.4126940900000005</v>
      </c>
      <c r="J119" s="180">
        <v>674.24850509999987</v>
      </c>
      <c r="K119" s="180">
        <v>398.36748927999997</v>
      </c>
      <c r="L119" s="180">
        <v>1653.42492109</v>
      </c>
      <c r="M119" s="180">
        <f t="shared" si="17"/>
        <v>2780.2869231300001</v>
      </c>
      <c r="N119" s="180">
        <f t="shared" si="18"/>
        <v>1057.8898554000002</v>
      </c>
      <c r="O119" s="180">
        <f t="shared" si="18"/>
        <v>182.71714234000001</v>
      </c>
      <c r="P119" s="180">
        <f t="shared" si="18"/>
        <v>1016.99807867</v>
      </c>
      <c r="Q119" s="180">
        <f t="shared" si="18"/>
        <v>522.68184671999984</v>
      </c>
      <c r="R119" s="54">
        <v>1804.3107340300003</v>
      </c>
      <c r="S119" s="54">
        <v>2821.2295912299996</v>
      </c>
      <c r="T119" s="54">
        <v>1680.65313135</v>
      </c>
      <c r="U119" s="54">
        <v>3896.2161072199997</v>
      </c>
    </row>
    <row r="120" spans="1:21" ht="15.75" hidden="1">
      <c r="A120" s="625" t="s">
        <v>28</v>
      </c>
      <c r="B120" s="180">
        <f t="shared" si="14"/>
        <v>10409.88123689</v>
      </c>
      <c r="C120" s="180">
        <f t="shared" si="15"/>
        <v>4762.9615697899999</v>
      </c>
      <c r="D120" s="180">
        <v>786.45607401999985</v>
      </c>
      <c r="E120" s="180">
        <v>2018.1416876500002</v>
      </c>
      <c r="F120" s="180">
        <v>233.77282270000001</v>
      </c>
      <c r="G120" s="180">
        <v>1724.5909854200002</v>
      </c>
      <c r="H120" s="180">
        <f t="shared" si="16"/>
        <v>2752.2809043000002</v>
      </c>
      <c r="I120" s="180">
        <v>4.8639516799999996</v>
      </c>
      <c r="J120" s="180">
        <v>678.3258898900001</v>
      </c>
      <c r="K120" s="180">
        <v>406.54243339000004</v>
      </c>
      <c r="L120" s="180">
        <v>1662.5486293399999</v>
      </c>
      <c r="M120" s="180">
        <f t="shared" si="17"/>
        <v>2894.6387628000002</v>
      </c>
      <c r="N120" s="180">
        <f t="shared" si="18"/>
        <v>1044.3525877100001</v>
      </c>
      <c r="O120" s="180">
        <f t="shared" si="18"/>
        <v>198.85315732999993</v>
      </c>
      <c r="P120" s="180">
        <f t="shared" si="18"/>
        <v>1151.8090281</v>
      </c>
      <c r="Q120" s="180">
        <f t="shared" si="18"/>
        <v>499.62398966000001</v>
      </c>
      <c r="R120" s="54">
        <v>1835.6726134099999</v>
      </c>
      <c r="S120" s="54">
        <v>2895.3207348700003</v>
      </c>
      <c r="T120" s="54">
        <v>1792.12428419</v>
      </c>
      <c r="U120" s="54">
        <v>3886.7636044200003</v>
      </c>
    </row>
    <row r="121" spans="1:21" ht="15.75" hidden="1">
      <c r="A121" s="625" t="s">
        <v>29</v>
      </c>
      <c r="B121" s="180">
        <f t="shared" si="14"/>
        <v>10699.241985770001</v>
      </c>
      <c r="C121" s="180">
        <f t="shared" si="15"/>
        <v>5113.4078103299998</v>
      </c>
      <c r="D121" s="180">
        <v>777.14939947000005</v>
      </c>
      <c r="E121" s="180">
        <v>2186.70776303</v>
      </c>
      <c r="F121" s="180">
        <v>265.68550679999998</v>
      </c>
      <c r="G121" s="180">
        <v>1883.8651410300004</v>
      </c>
      <c r="H121" s="180">
        <f t="shared" si="16"/>
        <v>2782.9527644100003</v>
      </c>
      <c r="I121" s="180">
        <v>5.4634511200000002</v>
      </c>
      <c r="J121" s="180">
        <v>706.33409993999999</v>
      </c>
      <c r="K121" s="180">
        <v>449.44292741000004</v>
      </c>
      <c r="L121" s="180">
        <v>1621.7122859400004</v>
      </c>
      <c r="M121" s="180">
        <f t="shared" si="17"/>
        <v>2802.88141103</v>
      </c>
      <c r="N121" s="180">
        <f>R121-D121-I121</f>
        <v>1198.4983402600003</v>
      </c>
      <c r="O121" s="180">
        <f>S121-E121-J121</f>
        <v>188.39494251000019</v>
      </c>
      <c r="P121" s="180">
        <f>T121-F121-K121</f>
        <v>929.97896890999982</v>
      </c>
      <c r="Q121" s="180">
        <f>U121-G121-L121</f>
        <v>486.00915934999989</v>
      </c>
      <c r="R121" s="54">
        <v>1981.1111908500002</v>
      </c>
      <c r="S121" s="54">
        <v>3081.4368054800002</v>
      </c>
      <c r="T121" s="54">
        <v>1645.1074031199998</v>
      </c>
      <c r="U121" s="54">
        <v>3991.5865863200006</v>
      </c>
    </row>
    <row r="122" spans="1:21" ht="15.75">
      <c r="A122" s="624">
        <v>2013</v>
      </c>
      <c r="B122" s="268">
        <v>12475.783595810002</v>
      </c>
      <c r="C122" s="268">
        <v>6395.8448741600005</v>
      </c>
      <c r="D122" s="268">
        <v>778.70325536999997</v>
      </c>
      <c r="E122" s="268">
        <v>3109.6437595800003</v>
      </c>
      <c r="F122" s="268">
        <v>309.56646377000004</v>
      </c>
      <c r="G122" s="268">
        <v>2197.9313954400004</v>
      </c>
      <c r="H122" s="268">
        <v>3261.5046962000001</v>
      </c>
      <c r="I122" s="268">
        <v>103.48941263000002</v>
      </c>
      <c r="J122" s="268">
        <v>731.25387891999992</v>
      </c>
      <c r="K122" s="268">
        <v>428.65719717000002</v>
      </c>
      <c r="L122" s="268">
        <v>1998.1042074800002</v>
      </c>
      <c r="M122" s="268">
        <v>2818.4340254500016</v>
      </c>
      <c r="N122" s="268">
        <v>1444.3999876199996</v>
      </c>
      <c r="O122" s="268">
        <v>243.37742881000065</v>
      </c>
      <c r="P122" s="268">
        <v>703.51957488000016</v>
      </c>
      <c r="Q122" s="268">
        <v>427.13703414000111</v>
      </c>
      <c r="R122" s="54"/>
      <c r="S122" s="54"/>
      <c r="T122" s="54"/>
      <c r="U122" s="54"/>
    </row>
    <row r="123" spans="1:21" ht="15.75" hidden="1">
      <c r="A123" s="625" t="s">
        <v>18</v>
      </c>
      <c r="B123" s="180">
        <f t="shared" ref="B123:B134" si="19">+C123+M123+H123</f>
        <v>10357.58610067</v>
      </c>
      <c r="C123" s="180">
        <f t="shared" ref="C123:C134" si="20">SUM(D123:G123)</f>
        <v>5315.3829536699986</v>
      </c>
      <c r="D123" s="180">
        <v>792.94621103999987</v>
      </c>
      <c r="E123" s="180">
        <v>2379.6441138899991</v>
      </c>
      <c r="F123" s="180">
        <v>275.02096951999994</v>
      </c>
      <c r="G123" s="180">
        <v>1867.7716592199995</v>
      </c>
      <c r="H123" s="180">
        <f t="shared" ref="H123:H134" si="21">SUM(I123:L123)</f>
        <v>2636.0091594700002</v>
      </c>
      <c r="I123" s="180">
        <v>100.20256955000001</v>
      </c>
      <c r="J123" s="180">
        <v>633.38256508000006</v>
      </c>
      <c r="K123" s="180">
        <v>448.99199352000005</v>
      </c>
      <c r="L123" s="180">
        <v>1453.4320313200001</v>
      </c>
      <c r="M123" s="180">
        <f t="shared" ref="M123:M134" si="22">SUM(N123:Q123)</f>
        <v>2406.19398753</v>
      </c>
      <c r="N123" s="180">
        <f t="shared" ref="N123:Q133" si="23">R123-D123-I123</f>
        <v>958.59188996999922</v>
      </c>
      <c r="O123" s="180">
        <f t="shared" si="23"/>
        <v>196.86302764000027</v>
      </c>
      <c r="P123" s="180">
        <f t="shared" si="23"/>
        <v>790.45784391999996</v>
      </c>
      <c r="Q123" s="180">
        <f t="shared" si="23"/>
        <v>460.28122600000052</v>
      </c>
      <c r="R123" s="54">
        <v>1851.7406705599992</v>
      </c>
      <c r="S123" s="54">
        <v>3209.8897066099994</v>
      </c>
      <c r="T123" s="54">
        <v>1514.4708069599999</v>
      </c>
      <c r="U123" s="54">
        <v>3781.4849165400001</v>
      </c>
    </row>
    <row r="124" spans="1:21" ht="15.75" hidden="1">
      <c r="A124" s="625" t="s">
        <v>19</v>
      </c>
      <c r="B124" s="180">
        <f t="shared" si="19"/>
        <v>10446.900583219998</v>
      </c>
      <c r="C124" s="180">
        <f t="shared" si="20"/>
        <v>5416.8434167400001</v>
      </c>
      <c r="D124" s="180">
        <v>864.91507689999992</v>
      </c>
      <c r="E124" s="180">
        <v>2361.7131653200004</v>
      </c>
      <c r="F124" s="180">
        <v>263.99812459000003</v>
      </c>
      <c r="G124" s="180">
        <v>1926.21704993</v>
      </c>
      <c r="H124" s="180">
        <f t="shared" si="21"/>
        <v>2613.5789296399998</v>
      </c>
      <c r="I124" s="180">
        <v>94.201924020000007</v>
      </c>
      <c r="J124" s="180">
        <v>660.33079098999997</v>
      </c>
      <c r="K124" s="180">
        <v>426.78661963999991</v>
      </c>
      <c r="L124" s="180">
        <v>1432.2595949899999</v>
      </c>
      <c r="M124" s="180">
        <f t="shared" si="22"/>
        <v>2416.4782368399992</v>
      </c>
      <c r="N124" s="180">
        <f t="shared" si="23"/>
        <v>1056.6722713299998</v>
      </c>
      <c r="O124" s="180">
        <f t="shared" si="23"/>
        <v>210.85119891999966</v>
      </c>
      <c r="P124" s="180">
        <f t="shared" si="23"/>
        <v>685.09787883999968</v>
      </c>
      <c r="Q124" s="180">
        <f t="shared" si="23"/>
        <v>463.85688774999994</v>
      </c>
      <c r="R124" s="54">
        <v>2015.7892722499996</v>
      </c>
      <c r="S124" s="54">
        <v>3232.89515523</v>
      </c>
      <c r="T124" s="54">
        <v>1375.8826230699997</v>
      </c>
      <c r="U124" s="54">
        <v>3822.3335326699998</v>
      </c>
    </row>
    <row r="125" spans="1:21" ht="15.75" hidden="1">
      <c r="A125" s="625" t="s">
        <v>20</v>
      </c>
      <c r="B125" s="180">
        <f t="shared" si="19"/>
        <v>11012.710718599999</v>
      </c>
      <c r="C125" s="180">
        <f t="shared" si="20"/>
        <v>5535.9675161499999</v>
      </c>
      <c r="D125" s="180">
        <v>858.79915614000015</v>
      </c>
      <c r="E125" s="180">
        <v>2400.9639115699997</v>
      </c>
      <c r="F125" s="180">
        <v>286.20754225000002</v>
      </c>
      <c r="G125" s="180">
        <v>1989.9969061899997</v>
      </c>
      <c r="H125" s="180">
        <f t="shared" si="21"/>
        <v>2605.3736680799993</v>
      </c>
      <c r="I125" s="180">
        <v>115.13421848999999</v>
      </c>
      <c r="J125" s="180">
        <v>640.68966505999992</v>
      </c>
      <c r="K125" s="180">
        <v>422.09620212999999</v>
      </c>
      <c r="L125" s="180">
        <v>1427.4535823999997</v>
      </c>
      <c r="M125" s="180">
        <f t="shared" si="22"/>
        <v>2871.3695343700001</v>
      </c>
      <c r="N125" s="180">
        <f t="shared" si="23"/>
        <v>1130.0643066</v>
      </c>
      <c r="O125" s="180">
        <f t="shared" si="23"/>
        <v>217.34985059999985</v>
      </c>
      <c r="P125" s="180">
        <f t="shared" si="23"/>
        <v>1111.2092281400001</v>
      </c>
      <c r="Q125" s="180">
        <f t="shared" si="23"/>
        <v>412.74614903000042</v>
      </c>
      <c r="R125" s="54">
        <v>2103.9976812300001</v>
      </c>
      <c r="S125" s="54">
        <v>3259.0034272299995</v>
      </c>
      <c r="T125" s="54">
        <v>1819.5129725199999</v>
      </c>
      <c r="U125" s="54">
        <v>3830.1966376199998</v>
      </c>
    </row>
    <row r="126" spans="1:21" ht="15.75" hidden="1">
      <c r="A126" s="625" t="s">
        <v>21</v>
      </c>
      <c r="B126" s="180">
        <f t="shared" si="19"/>
        <v>11405.290646939999</v>
      </c>
      <c r="C126" s="180">
        <f t="shared" si="20"/>
        <v>5768.28016561</v>
      </c>
      <c r="D126" s="180">
        <v>854.49023348000003</v>
      </c>
      <c r="E126" s="180">
        <v>2623.5965471</v>
      </c>
      <c r="F126" s="180">
        <v>259.28737891000014</v>
      </c>
      <c r="G126" s="180">
        <v>2030.9060061200003</v>
      </c>
      <c r="H126" s="180">
        <f t="shared" si="21"/>
        <v>2688.5701215499998</v>
      </c>
      <c r="I126" s="180">
        <v>94.600993639999999</v>
      </c>
      <c r="J126" s="180">
        <v>669.14858622999998</v>
      </c>
      <c r="K126" s="180">
        <v>424.61082911</v>
      </c>
      <c r="L126" s="180">
        <v>1500.20971257</v>
      </c>
      <c r="M126" s="180">
        <f t="shared" si="22"/>
        <v>2948.4403597800001</v>
      </c>
      <c r="N126" s="180">
        <f t="shared" si="23"/>
        <v>1278.81957091</v>
      </c>
      <c r="O126" s="180">
        <f t="shared" si="23"/>
        <v>178.76003415000025</v>
      </c>
      <c r="P126" s="180">
        <f t="shared" si="23"/>
        <v>1053.0026769699998</v>
      </c>
      <c r="Q126" s="180">
        <f t="shared" si="23"/>
        <v>437.85807774999989</v>
      </c>
      <c r="R126" s="54">
        <v>2227.91079803</v>
      </c>
      <c r="S126" s="54">
        <v>3471.5051674800002</v>
      </c>
      <c r="T126" s="54">
        <v>1736.9008849899999</v>
      </c>
      <c r="U126" s="54">
        <v>3968.9737964400001</v>
      </c>
    </row>
    <row r="127" spans="1:21" ht="15.75" hidden="1">
      <c r="A127" s="625" t="s">
        <v>22</v>
      </c>
      <c r="B127" s="180">
        <f t="shared" si="19"/>
        <v>11434.838022740001</v>
      </c>
      <c r="C127" s="180">
        <f t="shared" si="20"/>
        <v>5891.45147163</v>
      </c>
      <c r="D127" s="180">
        <v>876.25826108000001</v>
      </c>
      <c r="E127" s="180">
        <v>2689.0953467899999</v>
      </c>
      <c r="F127" s="180">
        <v>280.78414050000003</v>
      </c>
      <c r="G127" s="180">
        <v>2045.31372326</v>
      </c>
      <c r="H127" s="180">
        <f t="shared" si="21"/>
        <v>2653.2853939299998</v>
      </c>
      <c r="I127" s="180">
        <v>78.181303840000012</v>
      </c>
      <c r="J127" s="180">
        <v>657.37994577999996</v>
      </c>
      <c r="K127" s="180">
        <v>448.60835157999986</v>
      </c>
      <c r="L127" s="180">
        <v>1469.1157927300001</v>
      </c>
      <c r="M127" s="180">
        <f t="shared" si="22"/>
        <v>2890.10115718</v>
      </c>
      <c r="N127" s="180">
        <f t="shared" si="23"/>
        <v>1227.7584335600004</v>
      </c>
      <c r="O127" s="180">
        <f t="shared" si="23"/>
        <v>206.03727914999956</v>
      </c>
      <c r="P127" s="180">
        <f t="shared" si="23"/>
        <v>1074.8055990099999</v>
      </c>
      <c r="Q127" s="180">
        <f t="shared" si="23"/>
        <v>381.49984545999973</v>
      </c>
      <c r="R127" s="54">
        <v>2182.1979984800005</v>
      </c>
      <c r="S127" s="54">
        <v>3552.5125717199994</v>
      </c>
      <c r="T127" s="54">
        <v>1804.1980910899997</v>
      </c>
      <c r="U127" s="54">
        <v>3895.9293614499998</v>
      </c>
    </row>
    <row r="128" spans="1:21" ht="15.75" hidden="1">
      <c r="A128" s="625" t="s">
        <v>23</v>
      </c>
      <c r="B128" s="180">
        <f t="shared" si="19"/>
        <v>11399.91035052</v>
      </c>
      <c r="C128" s="180">
        <f t="shared" si="20"/>
        <v>5922.2164039400004</v>
      </c>
      <c r="D128" s="180">
        <v>914.47111170000017</v>
      </c>
      <c r="E128" s="180">
        <v>2669.3835586100004</v>
      </c>
      <c r="F128" s="180">
        <v>288.40273113999996</v>
      </c>
      <c r="G128" s="180">
        <v>2049.9590024899999</v>
      </c>
      <c r="H128" s="180">
        <f t="shared" si="21"/>
        <v>2827.1700825699995</v>
      </c>
      <c r="I128" s="180">
        <v>114.87015584000001</v>
      </c>
      <c r="J128" s="180">
        <v>679.62690398999973</v>
      </c>
      <c r="K128" s="180">
        <v>454.16518194999998</v>
      </c>
      <c r="L128" s="180">
        <v>1578.5078407899998</v>
      </c>
      <c r="M128" s="180">
        <f t="shared" si="22"/>
        <v>2650.5238640100006</v>
      </c>
      <c r="N128" s="180">
        <f t="shared" si="23"/>
        <v>1213.7837550800007</v>
      </c>
      <c r="O128" s="180">
        <f t="shared" si="23"/>
        <v>194.15445337999984</v>
      </c>
      <c r="P128" s="180">
        <f t="shared" si="23"/>
        <v>780.55432711999993</v>
      </c>
      <c r="Q128" s="180">
        <f t="shared" si="23"/>
        <v>462.03132843000026</v>
      </c>
      <c r="R128" s="54">
        <v>2243.1250226200009</v>
      </c>
      <c r="S128" s="54">
        <v>3543.1649159799999</v>
      </c>
      <c r="T128" s="54">
        <v>1523.12224021</v>
      </c>
      <c r="U128" s="54">
        <v>4090.49817171</v>
      </c>
    </row>
    <row r="129" spans="1:21" ht="15.75" hidden="1">
      <c r="A129" s="625" t="s">
        <v>24</v>
      </c>
      <c r="B129" s="180">
        <f t="shared" si="19"/>
        <v>11655.10998614</v>
      </c>
      <c r="C129" s="180">
        <f t="shared" si="20"/>
        <v>6019.3164782799995</v>
      </c>
      <c r="D129" s="180">
        <v>850.97289785000021</v>
      </c>
      <c r="E129" s="180">
        <v>2758.8862862400001</v>
      </c>
      <c r="F129" s="180">
        <v>309.16418523999999</v>
      </c>
      <c r="G129" s="180">
        <v>2100.2931089499998</v>
      </c>
      <c r="H129" s="180">
        <f t="shared" si="21"/>
        <v>2882.1212117900004</v>
      </c>
      <c r="I129" s="180">
        <v>109.30756085000002</v>
      </c>
      <c r="J129" s="180">
        <v>700.00717716999998</v>
      </c>
      <c r="K129" s="180">
        <v>467.43143580999998</v>
      </c>
      <c r="L129" s="180">
        <v>1605.3750379600001</v>
      </c>
      <c r="M129" s="180">
        <f t="shared" si="22"/>
        <v>2753.6722960699999</v>
      </c>
      <c r="N129" s="180">
        <f t="shared" si="23"/>
        <v>1208.1143705900001</v>
      </c>
      <c r="O129" s="180">
        <f t="shared" si="23"/>
        <v>189.44798328000024</v>
      </c>
      <c r="P129" s="180">
        <f t="shared" si="23"/>
        <v>928.79279054999938</v>
      </c>
      <c r="Q129" s="180">
        <f t="shared" si="23"/>
        <v>427.31715165000014</v>
      </c>
      <c r="R129" s="54">
        <v>2168.3948292900004</v>
      </c>
      <c r="S129" s="54">
        <v>3648.3414466900003</v>
      </c>
      <c r="T129" s="54">
        <v>1705.3884115999995</v>
      </c>
      <c r="U129" s="54">
        <v>4132.98529856</v>
      </c>
    </row>
    <row r="130" spans="1:21" ht="15.75" hidden="1">
      <c r="A130" s="625" t="s">
        <v>25</v>
      </c>
      <c r="B130" s="180">
        <f t="shared" si="19"/>
        <v>11661.530436970001</v>
      </c>
      <c r="C130" s="180">
        <f t="shared" si="20"/>
        <v>6090.431832010001</v>
      </c>
      <c r="D130" s="180">
        <v>909.82929411999999</v>
      </c>
      <c r="E130" s="180">
        <v>2776.4284540499998</v>
      </c>
      <c r="F130" s="180">
        <v>308.04844322000002</v>
      </c>
      <c r="G130" s="180">
        <v>2096.1256406200005</v>
      </c>
      <c r="H130" s="180">
        <f t="shared" si="21"/>
        <v>2931.2723908099997</v>
      </c>
      <c r="I130" s="180">
        <v>97.954440939999998</v>
      </c>
      <c r="J130" s="180">
        <v>752.5562511899999</v>
      </c>
      <c r="K130" s="180">
        <v>791.49659497999994</v>
      </c>
      <c r="L130" s="180">
        <v>1289.2651037000001</v>
      </c>
      <c r="M130" s="180">
        <f t="shared" si="22"/>
        <v>2639.8262141499999</v>
      </c>
      <c r="N130" s="180">
        <f t="shared" si="23"/>
        <v>1278.89994017</v>
      </c>
      <c r="O130" s="180">
        <f t="shared" si="23"/>
        <v>201.1021392399997</v>
      </c>
      <c r="P130" s="180">
        <f t="shared" si="23"/>
        <v>762.79325236000011</v>
      </c>
      <c r="Q130" s="180">
        <f t="shared" si="23"/>
        <v>397.03088238000009</v>
      </c>
      <c r="R130" s="54">
        <v>2286.6836752300001</v>
      </c>
      <c r="S130" s="54">
        <v>3730.0868444799994</v>
      </c>
      <c r="T130" s="54">
        <v>1862.3382905600001</v>
      </c>
      <c r="U130" s="54">
        <v>3782.4216267000006</v>
      </c>
    </row>
    <row r="131" spans="1:21" ht="15.75" hidden="1">
      <c r="A131" s="625" t="s">
        <v>26</v>
      </c>
      <c r="B131" s="180">
        <f t="shared" si="19"/>
        <v>11929.36142668</v>
      </c>
      <c r="C131" s="180">
        <f t="shared" si="20"/>
        <v>6237.3948655100003</v>
      </c>
      <c r="D131" s="180">
        <v>992.37874834000002</v>
      </c>
      <c r="E131" s="180">
        <v>2817.8499626499997</v>
      </c>
      <c r="F131" s="180">
        <v>319.43896704000014</v>
      </c>
      <c r="G131" s="180">
        <v>2107.7271874799999</v>
      </c>
      <c r="H131" s="180">
        <f t="shared" si="21"/>
        <v>3067.3028821299995</v>
      </c>
      <c r="I131" s="180">
        <v>98.178958879999996</v>
      </c>
      <c r="J131" s="180">
        <v>783.31214825999996</v>
      </c>
      <c r="K131" s="180">
        <v>440.90300232999999</v>
      </c>
      <c r="L131" s="180">
        <v>1744.9087726599998</v>
      </c>
      <c r="M131" s="180">
        <f t="shared" si="22"/>
        <v>2624.6636790399989</v>
      </c>
      <c r="N131" s="180">
        <f t="shared" si="23"/>
        <v>1178.5375590499996</v>
      </c>
      <c r="O131" s="180">
        <f t="shared" si="23"/>
        <v>212.25592955000002</v>
      </c>
      <c r="P131" s="180">
        <f t="shared" si="23"/>
        <v>843.3608407700001</v>
      </c>
      <c r="Q131" s="180">
        <f t="shared" si="23"/>
        <v>390.50934966999944</v>
      </c>
      <c r="R131" s="54">
        <v>2269.0952662699997</v>
      </c>
      <c r="S131" s="54">
        <v>3813.4180404599997</v>
      </c>
      <c r="T131" s="54">
        <v>1603.7028101400001</v>
      </c>
      <c r="U131" s="54">
        <v>4243.1453098099992</v>
      </c>
    </row>
    <row r="132" spans="1:21" ht="15.75" hidden="1">
      <c r="A132" s="625" t="s">
        <v>27</v>
      </c>
      <c r="B132" s="180">
        <f t="shared" si="19"/>
        <v>12042.25122926</v>
      </c>
      <c r="C132" s="180">
        <f t="shared" si="20"/>
        <v>6303.3730588999997</v>
      </c>
      <c r="D132" s="180">
        <v>945.16911811</v>
      </c>
      <c r="E132" s="180">
        <v>2920.6318050799991</v>
      </c>
      <c r="F132" s="180">
        <v>311.54953896000012</v>
      </c>
      <c r="G132" s="180">
        <v>2126.02259675</v>
      </c>
      <c r="H132" s="180">
        <f t="shared" si="21"/>
        <v>3067.8471613700003</v>
      </c>
      <c r="I132" s="180">
        <v>86.933718430000013</v>
      </c>
      <c r="J132" s="180">
        <v>782.41797007999992</v>
      </c>
      <c r="K132" s="180">
        <v>448.31190614999997</v>
      </c>
      <c r="L132" s="180">
        <v>1750.1835667100002</v>
      </c>
      <c r="M132" s="180">
        <f t="shared" si="22"/>
        <v>2671.0310089900004</v>
      </c>
      <c r="N132" s="180">
        <f t="shared" si="23"/>
        <v>1166.8942494399996</v>
      </c>
      <c r="O132" s="180">
        <f t="shared" si="23"/>
        <v>228.05287413000008</v>
      </c>
      <c r="P132" s="180">
        <f t="shared" si="23"/>
        <v>868.34383840999999</v>
      </c>
      <c r="Q132" s="180">
        <f t="shared" si="23"/>
        <v>407.74004701000035</v>
      </c>
      <c r="R132" s="54">
        <v>2198.9970859799996</v>
      </c>
      <c r="S132" s="54">
        <v>3931.1026492899991</v>
      </c>
      <c r="T132" s="54">
        <v>1628.20528352</v>
      </c>
      <c r="U132" s="54">
        <v>4283.9462104700006</v>
      </c>
    </row>
    <row r="133" spans="1:21" ht="15.75" hidden="1">
      <c r="A133" s="625" t="s">
        <v>28</v>
      </c>
      <c r="B133" s="180">
        <f t="shared" si="19"/>
        <v>12432.654090510001</v>
      </c>
      <c r="C133" s="180">
        <f t="shared" si="20"/>
        <v>6419.6112475600003</v>
      </c>
      <c r="D133" s="180">
        <v>977.85977923999985</v>
      </c>
      <c r="E133" s="180">
        <v>2977.5962449000003</v>
      </c>
      <c r="F133" s="180">
        <v>309.62957451999995</v>
      </c>
      <c r="G133" s="180">
        <v>2154.5256488999999</v>
      </c>
      <c r="H133" s="180">
        <f t="shared" si="21"/>
        <v>3250.1392026500002</v>
      </c>
      <c r="I133" s="180">
        <v>98.001636359999992</v>
      </c>
      <c r="J133" s="180">
        <v>764.71277609999993</v>
      </c>
      <c r="K133" s="180">
        <v>460.93221067000002</v>
      </c>
      <c r="L133" s="180">
        <v>1926.4925795200002</v>
      </c>
      <c r="M133" s="180">
        <f t="shared" si="22"/>
        <v>2762.9036403</v>
      </c>
      <c r="N133" s="180">
        <f t="shared" si="23"/>
        <v>1154.0201636000002</v>
      </c>
      <c r="O133" s="180">
        <f t="shared" si="23"/>
        <v>225.60669772999995</v>
      </c>
      <c r="P133" s="180">
        <f t="shared" si="23"/>
        <v>945.79912570000022</v>
      </c>
      <c r="Q133" s="180">
        <f t="shared" si="23"/>
        <v>437.47765326999979</v>
      </c>
      <c r="R133" s="54">
        <v>2229.8815792</v>
      </c>
      <c r="S133" s="54">
        <v>3967.9157187300002</v>
      </c>
      <c r="T133" s="54">
        <v>1716.3609108900002</v>
      </c>
      <c r="U133" s="54">
        <v>4518.4958816899998</v>
      </c>
    </row>
    <row r="134" spans="1:21" ht="15.75" hidden="1">
      <c r="A134" s="625" t="s">
        <v>29</v>
      </c>
      <c r="B134" s="180">
        <f t="shared" si="19"/>
        <v>12475.783595810002</v>
      </c>
      <c r="C134" s="180">
        <f t="shared" si="20"/>
        <v>6395.8448741600005</v>
      </c>
      <c r="D134" s="180">
        <v>778.70325536999997</v>
      </c>
      <c r="E134" s="180">
        <v>3109.6437595800003</v>
      </c>
      <c r="F134" s="180">
        <v>309.56646377000004</v>
      </c>
      <c r="G134" s="180">
        <v>2197.9313954400004</v>
      </c>
      <c r="H134" s="180">
        <f t="shared" si="21"/>
        <v>3261.5046962000001</v>
      </c>
      <c r="I134" s="180">
        <v>103.48941263000002</v>
      </c>
      <c r="J134" s="180">
        <v>731.25387891999992</v>
      </c>
      <c r="K134" s="180">
        <v>428.65719717000002</v>
      </c>
      <c r="L134" s="180">
        <v>1998.1042074800002</v>
      </c>
      <c r="M134" s="180">
        <f t="shared" si="22"/>
        <v>2818.4340254500016</v>
      </c>
      <c r="N134" s="180">
        <f>R134-D134-I134</f>
        <v>1444.3999876199996</v>
      </c>
      <c r="O134" s="180">
        <f>S134-E134-J134</f>
        <v>243.37742881000065</v>
      </c>
      <c r="P134" s="180">
        <f>T134-F134-K134</f>
        <v>703.51957488000016</v>
      </c>
      <c r="Q134" s="180">
        <f>U134-G134-L134</f>
        <v>427.13703414000111</v>
      </c>
      <c r="R134" s="54">
        <v>2326.5926556199997</v>
      </c>
      <c r="S134" s="54">
        <v>4084.2750673100008</v>
      </c>
      <c r="T134" s="54">
        <v>1441.7432358200001</v>
      </c>
      <c r="U134" s="54">
        <v>4623.1726370600018</v>
      </c>
    </row>
    <row r="135" spans="1:21" ht="15.75">
      <c r="A135" s="624">
        <v>2014</v>
      </c>
      <c r="B135" s="268">
        <v>15453.381102480002</v>
      </c>
      <c r="C135" s="268">
        <v>7188.3697248200006</v>
      </c>
      <c r="D135" s="268">
        <v>884.03469315000007</v>
      </c>
      <c r="E135" s="268">
        <v>3538.4</v>
      </c>
      <c r="F135" s="268">
        <v>338.39098192000006</v>
      </c>
      <c r="G135" s="268">
        <v>2427.5748312900005</v>
      </c>
      <c r="H135" s="268">
        <v>4298.0699313599998</v>
      </c>
      <c r="I135" s="268">
        <v>158.6681676</v>
      </c>
      <c r="J135" s="268">
        <v>965.83333450000009</v>
      </c>
      <c r="K135" s="268">
        <v>297.39951412999994</v>
      </c>
      <c r="L135" s="268">
        <v>2876.1689151299993</v>
      </c>
      <c r="M135" s="268">
        <v>3966.9106647600006</v>
      </c>
      <c r="N135" s="268">
        <v>1691.7301719500001</v>
      </c>
      <c r="O135" s="268">
        <v>504.88785321000023</v>
      </c>
      <c r="P135" s="268">
        <v>1163.0459617900003</v>
      </c>
      <c r="Q135" s="268">
        <v>607.24667781000016</v>
      </c>
      <c r="R135" s="54"/>
      <c r="S135" s="54"/>
      <c r="T135" s="54"/>
      <c r="U135" s="54"/>
    </row>
    <row r="136" spans="1:21" ht="15.75" hidden="1">
      <c r="A136" s="625" t="s">
        <v>18</v>
      </c>
      <c r="B136" s="180">
        <f t="shared" ref="B136:B142" si="24">+C136+M136+H136</f>
        <v>12682.982230280002</v>
      </c>
      <c r="C136" s="180">
        <f t="shared" ref="C136:C142" si="25">SUM(D136:G136)</f>
        <v>6451.4104649500005</v>
      </c>
      <c r="D136" s="180">
        <v>806.02335108999978</v>
      </c>
      <c r="E136" s="180">
        <v>3123.7748464199999</v>
      </c>
      <c r="F136" s="180">
        <v>299.82438132000004</v>
      </c>
      <c r="G136" s="180">
        <v>2221.7878861200002</v>
      </c>
      <c r="H136" s="180">
        <f t="shared" ref="H136:H142" si="26">SUM(I136:L136)</f>
        <v>3383.4003583500003</v>
      </c>
      <c r="I136" s="180">
        <v>189.09022464000003</v>
      </c>
      <c r="J136" s="180">
        <v>729.96729100000005</v>
      </c>
      <c r="K136" s="180">
        <v>432.96957368</v>
      </c>
      <c r="L136" s="180">
        <v>2031.3732690300003</v>
      </c>
      <c r="M136" s="180">
        <f t="shared" ref="M136:M142" si="27">SUM(N136:Q136)</f>
        <v>2848.1714069800014</v>
      </c>
      <c r="N136" s="180">
        <f t="shared" ref="N136:Q143" si="28">R136-D136-I136</f>
        <v>1411.1437701800005</v>
      </c>
      <c r="O136" s="180">
        <f t="shared" si="28"/>
        <v>241.54668814000013</v>
      </c>
      <c r="P136" s="180">
        <f t="shared" si="28"/>
        <v>747.61653039000021</v>
      </c>
      <c r="Q136" s="180">
        <f t="shared" si="28"/>
        <v>447.86441827000044</v>
      </c>
      <c r="R136" s="54">
        <v>2406.2573459100004</v>
      </c>
      <c r="S136" s="54">
        <v>4095.2888255600001</v>
      </c>
      <c r="T136" s="54">
        <v>1480.4104853900001</v>
      </c>
      <c r="U136" s="54">
        <v>4701.0255734200009</v>
      </c>
    </row>
    <row r="137" spans="1:21" ht="15.75" hidden="1">
      <c r="A137" s="625" t="s">
        <v>19</v>
      </c>
      <c r="B137" s="180">
        <f t="shared" si="24"/>
        <v>12926.584412960001</v>
      </c>
      <c r="C137" s="180">
        <f t="shared" si="25"/>
        <v>6591.6606563599998</v>
      </c>
      <c r="D137" s="180">
        <v>909.39596168000026</v>
      </c>
      <c r="E137" s="180">
        <v>3119.1144142700005</v>
      </c>
      <c r="F137" s="180">
        <v>304.95863658000002</v>
      </c>
      <c r="G137" s="180">
        <v>2258.19164383</v>
      </c>
      <c r="H137" s="180">
        <f t="shared" si="26"/>
        <v>3520.3530108699997</v>
      </c>
      <c r="I137" s="180">
        <v>230.47334183000004</v>
      </c>
      <c r="J137" s="180">
        <v>749.6965672299998</v>
      </c>
      <c r="K137" s="180">
        <v>432.14633094999999</v>
      </c>
      <c r="L137" s="180">
        <v>2108.0367708600002</v>
      </c>
      <c r="M137" s="180">
        <f t="shared" si="27"/>
        <v>2814.5707457300005</v>
      </c>
      <c r="N137" s="180">
        <f t="shared" si="28"/>
        <v>1336.6923877499996</v>
      </c>
      <c r="O137" s="180">
        <f t="shared" si="28"/>
        <v>277.87108863000003</v>
      </c>
      <c r="P137" s="180">
        <f t="shared" si="28"/>
        <v>768.23259169000016</v>
      </c>
      <c r="Q137" s="180">
        <f t="shared" si="28"/>
        <v>431.77467766000063</v>
      </c>
      <c r="R137" s="54">
        <v>2476.5616912599999</v>
      </c>
      <c r="S137" s="54">
        <v>4146.6820701300003</v>
      </c>
      <c r="T137" s="54">
        <v>1505.3375592200002</v>
      </c>
      <c r="U137" s="54">
        <v>4798.0030923500008</v>
      </c>
    </row>
    <row r="138" spans="1:21" ht="15.75" hidden="1">
      <c r="A138" s="625" t="s">
        <v>20</v>
      </c>
      <c r="B138" s="180">
        <f t="shared" si="24"/>
        <v>13308.087601419997</v>
      </c>
      <c r="C138" s="180">
        <f t="shared" si="25"/>
        <v>6656.3254772600003</v>
      </c>
      <c r="D138" s="180">
        <v>926.7595037399999</v>
      </c>
      <c r="E138" s="180">
        <v>3150.2905874800003</v>
      </c>
      <c r="F138" s="180">
        <v>329.53296780999995</v>
      </c>
      <c r="G138" s="180">
        <v>2249.7424182300001</v>
      </c>
      <c r="H138" s="180">
        <f t="shared" si="26"/>
        <v>3610.4386832799996</v>
      </c>
      <c r="I138" s="180">
        <v>139.84350463000001</v>
      </c>
      <c r="J138" s="180">
        <v>771.04639010999995</v>
      </c>
      <c r="K138" s="180">
        <v>384.57780867000002</v>
      </c>
      <c r="L138" s="180">
        <v>2314.9709798699996</v>
      </c>
      <c r="M138" s="180">
        <f t="shared" si="27"/>
        <v>3041.3234408799976</v>
      </c>
      <c r="N138" s="180">
        <f t="shared" si="28"/>
        <v>1329.0415002499997</v>
      </c>
      <c r="O138" s="180">
        <f t="shared" si="28"/>
        <v>279.32887561999883</v>
      </c>
      <c r="P138" s="180">
        <f t="shared" si="28"/>
        <v>1006.2444311499999</v>
      </c>
      <c r="Q138" s="180">
        <f t="shared" si="28"/>
        <v>426.70863385999928</v>
      </c>
      <c r="R138" s="54">
        <v>2395.6445086199997</v>
      </c>
      <c r="S138" s="54">
        <v>4200.6658532099991</v>
      </c>
      <c r="T138" s="54">
        <v>1720.3552076299998</v>
      </c>
      <c r="U138" s="54">
        <v>4991.422031959999</v>
      </c>
    </row>
    <row r="139" spans="1:21" ht="15.75" hidden="1">
      <c r="A139" s="625" t="s">
        <v>21</v>
      </c>
      <c r="B139" s="180">
        <f t="shared" si="24"/>
        <v>13615.56091823</v>
      </c>
      <c r="C139" s="180">
        <f t="shared" si="25"/>
        <v>6569.8810599799999</v>
      </c>
      <c r="D139" s="180">
        <v>800.65418823000016</v>
      </c>
      <c r="E139" s="180">
        <v>3266.3043853399995</v>
      </c>
      <c r="F139" s="180">
        <v>333.40620868999997</v>
      </c>
      <c r="G139" s="180">
        <v>2169.5162777199998</v>
      </c>
      <c r="H139" s="180">
        <f t="shared" si="26"/>
        <v>3624.7059700700001</v>
      </c>
      <c r="I139" s="180">
        <v>115.89015348</v>
      </c>
      <c r="J139" s="180">
        <v>855.40462407999996</v>
      </c>
      <c r="K139" s="180">
        <v>317.95375588000002</v>
      </c>
      <c r="L139" s="180">
        <v>2335.4574366300003</v>
      </c>
      <c r="M139" s="180">
        <f t="shared" si="27"/>
        <v>3420.9738881800008</v>
      </c>
      <c r="N139" s="180">
        <f t="shared" si="28"/>
        <v>1496.41381062</v>
      </c>
      <c r="O139" s="180">
        <f t="shared" si="28"/>
        <v>296.77697185000022</v>
      </c>
      <c r="P139" s="180">
        <f t="shared" si="28"/>
        <v>1268.76184584</v>
      </c>
      <c r="Q139" s="180">
        <f t="shared" si="28"/>
        <v>359.02125987000045</v>
      </c>
      <c r="R139" s="54">
        <v>2412.9581523300003</v>
      </c>
      <c r="S139" s="54">
        <v>4418.4859812699997</v>
      </c>
      <c r="T139" s="54">
        <v>1920.1218104100001</v>
      </c>
      <c r="U139" s="54">
        <v>4863.9949742200006</v>
      </c>
    </row>
    <row r="140" spans="1:21" ht="15.75" hidden="1">
      <c r="A140" s="625" t="s">
        <v>22</v>
      </c>
      <c r="B140" s="180">
        <f t="shared" si="24"/>
        <v>13637.018378619998</v>
      </c>
      <c r="C140" s="180">
        <f t="shared" si="25"/>
        <v>6643.045191879999</v>
      </c>
      <c r="D140" s="180">
        <v>815.45175207</v>
      </c>
      <c r="E140" s="180">
        <v>3343.3968147099999</v>
      </c>
      <c r="F140" s="180">
        <v>316.86015936000001</v>
      </c>
      <c r="G140" s="180">
        <v>2167.3364657399998</v>
      </c>
      <c r="H140" s="180">
        <f t="shared" si="26"/>
        <v>3684.2011206099992</v>
      </c>
      <c r="I140" s="180">
        <v>102.12635584</v>
      </c>
      <c r="J140" s="180">
        <v>857.33401172999993</v>
      </c>
      <c r="K140" s="180">
        <v>327.89372947999999</v>
      </c>
      <c r="L140" s="180">
        <v>2396.8470235599993</v>
      </c>
      <c r="M140" s="180">
        <f t="shared" si="27"/>
        <v>3309.7720661299986</v>
      </c>
      <c r="N140" s="180">
        <f t="shared" si="28"/>
        <v>1447.13395455</v>
      </c>
      <c r="O140" s="180">
        <f t="shared" si="28"/>
        <v>319.17640589999974</v>
      </c>
      <c r="P140" s="180">
        <f t="shared" si="28"/>
        <v>1065.4318082799998</v>
      </c>
      <c r="Q140" s="180">
        <f t="shared" si="28"/>
        <v>478.0298973999993</v>
      </c>
      <c r="R140" s="54">
        <v>2364.7120624600002</v>
      </c>
      <c r="S140" s="54">
        <v>4519.9072323399996</v>
      </c>
      <c r="T140" s="54">
        <v>1710.1856971199998</v>
      </c>
      <c r="U140" s="54">
        <v>5042.2133866999984</v>
      </c>
    </row>
    <row r="141" spans="1:21" ht="15.75" hidden="1">
      <c r="A141" s="625" t="s">
        <v>23</v>
      </c>
      <c r="B141" s="180">
        <f t="shared" si="24"/>
        <v>13991.379577760001</v>
      </c>
      <c r="C141" s="180">
        <f t="shared" si="25"/>
        <v>6720.5955842000003</v>
      </c>
      <c r="D141" s="180">
        <v>798.48918222999998</v>
      </c>
      <c r="E141" s="180">
        <v>3399.7615410499998</v>
      </c>
      <c r="F141" s="180">
        <v>331.28414517999994</v>
      </c>
      <c r="G141" s="180">
        <v>2191.0607157400004</v>
      </c>
      <c r="H141" s="180">
        <f t="shared" si="26"/>
        <v>4091.3691251499999</v>
      </c>
      <c r="I141" s="180">
        <v>107.87198387000001</v>
      </c>
      <c r="J141" s="180">
        <v>921.95101441000008</v>
      </c>
      <c r="K141" s="180">
        <v>307.12357411999994</v>
      </c>
      <c r="L141" s="180">
        <v>2754.4225527499998</v>
      </c>
      <c r="M141" s="180">
        <f t="shared" si="27"/>
        <v>3179.4148684100005</v>
      </c>
      <c r="N141" s="180">
        <f t="shared" si="28"/>
        <v>1510.1236208900004</v>
      </c>
      <c r="O141" s="180">
        <f t="shared" si="28"/>
        <v>345.73173261999989</v>
      </c>
      <c r="P141" s="180">
        <f t="shared" si="28"/>
        <v>853.5708219400002</v>
      </c>
      <c r="Q141" s="180">
        <f t="shared" si="28"/>
        <v>469.98869295999975</v>
      </c>
      <c r="R141" s="1577">
        <v>2416.4847869900004</v>
      </c>
      <c r="S141" s="1577">
        <v>4667.4442880799998</v>
      </c>
      <c r="T141" s="1577">
        <v>1491.9785412400001</v>
      </c>
      <c r="U141" s="1578">
        <v>5415.47196145</v>
      </c>
    </row>
    <row r="142" spans="1:21" ht="15.75" hidden="1">
      <c r="A142" s="625" t="s">
        <v>24</v>
      </c>
      <c r="B142" s="180">
        <f t="shared" si="24"/>
        <v>14558.072714710001</v>
      </c>
      <c r="C142" s="180">
        <f t="shared" si="25"/>
        <v>6940.0354102000001</v>
      </c>
      <c r="D142" s="180">
        <f>922794.44829/1000</f>
        <v>922.79444828999999</v>
      </c>
      <c r="E142" s="180">
        <f>3480768.01241/1000</f>
        <v>3480.7680124099998</v>
      </c>
      <c r="F142" s="180">
        <f>314189.3798/1000</f>
        <v>314.18937979999998</v>
      </c>
      <c r="G142" s="180">
        <f>2222283.5697/1000</f>
        <v>2222.2835697</v>
      </c>
      <c r="H142" s="180">
        <f t="shared" si="26"/>
        <v>4082.9599228900006</v>
      </c>
      <c r="I142" s="180">
        <f>114975.21332/1000</f>
        <v>114.97521331999999</v>
      </c>
      <c r="J142" s="180">
        <f>922620.73223/1000</f>
        <v>922.62073222999993</v>
      </c>
      <c r="K142" s="180">
        <f>307591.83097/1000</f>
        <v>307.59183096999999</v>
      </c>
      <c r="L142" s="180">
        <f>2737772.14637/1000</f>
        <v>2737.7721463700004</v>
      </c>
      <c r="M142" s="180">
        <f t="shared" si="27"/>
        <v>3535.0773816199999</v>
      </c>
      <c r="N142" s="180">
        <f t="shared" si="28"/>
        <v>1541.5991869300003</v>
      </c>
      <c r="O142" s="180">
        <f t="shared" si="28"/>
        <v>372.36639394000008</v>
      </c>
      <c r="P142" s="180">
        <f t="shared" si="28"/>
        <v>1172.2791921500002</v>
      </c>
      <c r="Q142" s="180">
        <f t="shared" si="28"/>
        <v>448.83260859999928</v>
      </c>
      <c r="R142" s="1577">
        <f>2579368.84854/1000</f>
        <v>2579.3688485400003</v>
      </c>
      <c r="S142" s="1577">
        <f>4775755.13858/1000</f>
        <v>4775.7551385799998</v>
      </c>
      <c r="T142" s="1577">
        <f>1794060.40292/1000</f>
        <v>1794.0604029200001</v>
      </c>
      <c r="U142" s="1578">
        <f>5408888.32467/1000</f>
        <v>5408.8883246699997</v>
      </c>
    </row>
    <row r="143" spans="1:21" ht="15.75" hidden="1">
      <c r="A143" s="625" t="s">
        <v>25</v>
      </c>
      <c r="B143" s="180">
        <f>+C143+M143+H143</f>
        <v>14639.824534340001</v>
      </c>
      <c r="C143" s="180">
        <f>SUM(D143:G143)</f>
        <v>6992.7978599899998</v>
      </c>
      <c r="D143" s="180">
        <v>953.78570688000013</v>
      </c>
      <c r="E143" s="180">
        <v>3493.2356249999998</v>
      </c>
      <c r="F143" s="180">
        <v>311.10804916000001</v>
      </c>
      <c r="G143" s="180">
        <v>2234.66847895</v>
      </c>
      <c r="H143" s="180">
        <f>SUM(I143:L143)</f>
        <v>4022.5627189699994</v>
      </c>
      <c r="I143" s="180">
        <v>100.94058175000001</v>
      </c>
      <c r="J143" s="180">
        <v>926.05722303000005</v>
      </c>
      <c r="K143" s="180">
        <v>301.58175446999996</v>
      </c>
      <c r="L143" s="180">
        <v>2693.9831597199995</v>
      </c>
      <c r="M143" s="180">
        <f>SUM(N143:Q143)</f>
        <v>3624.4639553800016</v>
      </c>
      <c r="N143" s="180">
        <f>R143-D143-I143</f>
        <v>1505.0117839600005</v>
      </c>
      <c r="O143" s="180">
        <f t="shared" si="28"/>
        <v>413.7243252800007</v>
      </c>
      <c r="P143" s="180">
        <f t="shared" si="28"/>
        <v>1253.99722316</v>
      </c>
      <c r="Q143" s="180">
        <f>U143-G143-L143</f>
        <v>451.73062298000059</v>
      </c>
      <c r="R143" s="1577">
        <v>2559.7380725900007</v>
      </c>
      <c r="S143" s="1577">
        <v>4833.0171733100005</v>
      </c>
      <c r="T143" s="1577">
        <v>1866.6870267900001</v>
      </c>
      <c r="U143" s="1578">
        <v>5380.3822616500001</v>
      </c>
    </row>
    <row r="144" spans="1:21" ht="15.75" hidden="1">
      <c r="A144" s="625" t="s">
        <v>26</v>
      </c>
      <c r="B144" s="180">
        <f>+C144+M144+H144</f>
        <v>14531.527112579999</v>
      </c>
      <c r="C144" s="180">
        <f>SUM(D144:G144)</f>
        <v>6959.6658804500012</v>
      </c>
      <c r="D144" s="180">
        <v>903.57757220000008</v>
      </c>
      <c r="E144" s="180">
        <v>3517.4985903100005</v>
      </c>
      <c r="F144" s="180">
        <v>329.38450423000012</v>
      </c>
      <c r="G144" s="180">
        <v>2209.2052137100009</v>
      </c>
      <c r="H144" s="180">
        <f>SUM(I144:L144)</f>
        <v>4085.6176387099995</v>
      </c>
      <c r="I144" s="180">
        <v>129.77192485</v>
      </c>
      <c r="J144" s="180">
        <v>940.09320977000004</v>
      </c>
      <c r="K144" s="180">
        <v>293.44312536000001</v>
      </c>
      <c r="L144" s="180">
        <v>2722.3093787299995</v>
      </c>
      <c r="M144" s="180">
        <f>SUM(N144:Q144)</f>
        <v>3486.2435934200003</v>
      </c>
      <c r="N144" s="180">
        <f>R144-D144-I144</f>
        <v>1461.46088224</v>
      </c>
      <c r="O144" s="180">
        <f>S144-E144-J144</f>
        <v>464.22081931000014</v>
      </c>
      <c r="P144" s="180">
        <f>T144-F144-K144</f>
        <v>1124.1474003999999</v>
      </c>
      <c r="Q144" s="180">
        <f>U144-G144-L144</f>
        <v>436.41449147000003</v>
      </c>
      <c r="R144" s="1577">
        <v>2494.8103792900001</v>
      </c>
      <c r="S144" s="1577">
        <v>4921.8126193900007</v>
      </c>
      <c r="T144" s="1577">
        <v>1746.9750299900002</v>
      </c>
      <c r="U144" s="1578">
        <v>5367.9290839100004</v>
      </c>
    </row>
    <row r="145" spans="1:21" ht="15.75" hidden="1">
      <c r="A145" s="625" t="s">
        <v>27</v>
      </c>
      <c r="B145" s="180">
        <f>+C145+M145+H145</f>
        <v>14826.703069280002</v>
      </c>
      <c r="C145" s="180">
        <f>SUM(D145:G145)</f>
        <v>7005.4142666900016</v>
      </c>
      <c r="D145" s="180">
        <v>872.47568078000006</v>
      </c>
      <c r="E145" s="180">
        <v>3566.7440125400008</v>
      </c>
      <c r="F145" s="180">
        <v>342.17221251999996</v>
      </c>
      <c r="G145" s="180">
        <v>2224.02236085</v>
      </c>
      <c r="H145" s="180">
        <f>SUM(I145:L145)</f>
        <v>4088.1035528699995</v>
      </c>
      <c r="I145" s="180">
        <v>104.64634278000001</v>
      </c>
      <c r="J145" s="180">
        <v>968.15920382000002</v>
      </c>
      <c r="K145" s="180">
        <v>303.87956991999999</v>
      </c>
      <c r="L145" s="180">
        <v>2711.4184363499994</v>
      </c>
      <c r="M145" s="180">
        <f>SUM(N145:Q145)</f>
        <v>3733.1852497200011</v>
      </c>
      <c r="N145" s="180">
        <f>R145-D145-I145</f>
        <v>1428.3990951999999</v>
      </c>
      <c r="O145" s="180">
        <f>S145-E145-J145</f>
        <v>544.73330276000036</v>
      </c>
      <c r="P145" s="180">
        <f>T145-F145-K145</f>
        <v>1118.4555750200004</v>
      </c>
      <c r="Q145" s="180">
        <f>U145-G145-L145</f>
        <v>641.59727674000032</v>
      </c>
      <c r="R145" s="1577">
        <v>2405.5211187599998</v>
      </c>
      <c r="S145" s="1577">
        <v>5079.6365191200011</v>
      </c>
      <c r="T145" s="1577">
        <v>1764.5073574600003</v>
      </c>
      <c r="U145" s="1578">
        <v>5577.0380739399998</v>
      </c>
    </row>
    <row r="146" spans="1:21" ht="15.75" hidden="1">
      <c r="A146" s="625" t="s">
        <v>28</v>
      </c>
      <c r="B146" s="180">
        <v>15312.03213983</v>
      </c>
      <c r="C146" s="180">
        <v>7086.3795704900003</v>
      </c>
      <c r="D146" s="180">
        <v>876.08846697000001</v>
      </c>
      <c r="E146" s="180">
        <v>3606.0267997400001</v>
      </c>
      <c r="F146" s="180">
        <v>351.80444329000005</v>
      </c>
      <c r="G146" s="180">
        <v>2252.4598604900002</v>
      </c>
      <c r="H146" s="180">
        <v>4131.4206027699993</v>
      </c>
      <c r="I146" s="180">
        <v>107.8</v>
      </c>
      <c r="J146" s="180">
        <v>978.67205638000007</v>
      </c>
      <c r="K146" s="180">
        <v>305.29069709999999</v>
      </c>
      <c r="L146" s="180">
        <v>2739.6150514199994</v>
      </c>
      <c r="M146" s="180">
        <f>(B146-H146-C146)</f>
        <v>4094.2319665700015</v>
      </c>
      <c r="N146" s="180">
        <f t="shared" ref="N146:Q147" si="29">(R146-D146-I146)</f>
        <v>1500.5733668700002</v>
      </c>
      <c r="O146" s="180">
        <f t="shared" si="29"/>
        <v>573.87869047000038</v>
      </c>
      <c r="P146" s="180">
        <f t="shared" si="29"/>
        <v>1391.8107113200001</v>
      </c>
      <c r="Q146" s="180">
        <f t="shared" si="29"/>
        <v>628.01199578000023</v>
      </c>
      <c r="R146" s="1577">
        <v>2484.4618338400001</v>
      </c>
      <c r="S146" s="1577">
        <v>5158.5775465900006</v>
      </c>
      <c r="T146" s="1577">
        <v>2048.9058517100002</v>
      </c>
      <c r="U146" s="1578">
        <v>5620.0869076899999</v>
      </c>
    </row>
    <row r="147" spans="1:21" ht="15.75" hidden="1">
      <c r="A147" s="625" t="s">
        <v>29</v>
      </c>
      <c r="B147" s="180">
        <v>15453.381102480002</v>
      </c>
      <c r="C147" s="180">
        <v>7188.3697248200006</v>
      </c>
      <c r="D147" s="180">
        <v>884.03469315000007</v>
      </c>
      <c r="E147" s="180">
        <v>3538.4</v>
      </c>
      <c r="F147" s="180">
        <v>338.39098192000006</v>
      </c>
      <c r="G147" s="180">
        <v>2427.5748312900005</v>
      </c>
      <c r="H147" s="180">
        <v>4298.0699313599998</v>
      </c>
      <c r="I147" s="180">
        <v>158.6681676</v>
      </c>
      <c r="J147" s="180">
        <v>965.83333450000009</v>
      </c>
      <c r="K147" s="180">
        <v>297.39951412999994</v>
      </c>
      <c r="L147" s="180">
        <v>2876.1689151299993</v>
      </c>
      <c r="M147" s="180">
        <f>SUM(N147:Q147)</f>
        <v>3966.9106647600006</v>
      </c>
      <c r="N147" s="180">
        <f t="shared" si="29"/>
        <v>1691.7301719500001</v>
      </c>
      <c r="O147" s="180">
        <f t="shared" si="29"/>
        <v>504.88785321000023</v>
      </c>
      <c r="P147" s="180">
        <f t="shared" si="29"/>
        <v>1163.0459617900003</v>
      </c>
      <c r="Q147" s="180">
        <f t="shared" si="29"/>
        <v>607.24667781000016</v>
      </c>
      <c r="R147" s="1577">
        <v>2734.4330327000002</v>
      </c>
      <c r="S147" s="1577">
        <v>5009.1211877100004</v>
      </c>
      <c r="T147" s="1577">
        <v>1798.8364578400003</v>
      </c>
      <c r="U147" s="1577">
        <v>5910.9904242299999</v>
      </c>
    </row>
    <row r="148" spans="1:21" ht="15.75">
      <c r="A148" s="625" t="s">
        <v>1816</v>
      </c>
      <c r="B148" s="268">
        <v>23463.07053248</v>
      </c>
      <c r="C148" s="268">
        <v>9473.9352678300002</v>
      </c>
      <c r="D148" s="268">
        <v>440.88992102999987</v>
      </c>
      <c r="E148" s="268">
        <v>979.32410602999994</v>
      </c>
      <c r="F148" s="268">
        <v>1200.3200105899998</v>
      </c>
      <c r="G148" s="268">
        <v>6853.4012301800003</v>
      </c>
      <c r="H148" s="268">
        <v>6358.7762940699995</v>
      </c>
      <c r="I148" s="268">
        <v>89.062323120000016</v>
      </c>
      <c r="J148" s="268">
        <v>603.39636632999998</v>
      </c>
      <c r="K148" s="268">
        <v>628.29423988999997</v>
      </c>
      <c r="L148" s="268">
        <v>5038.0233647300001</v>
      </c>
      <c r="M148" s="268">
        <v>7630.3589705799986</v>
      </c>
      <c r="N148" s="268">
        <v>1703.2633654700003</v>
      </c>
      <c r="O148" s="268">
        <v>485.73158481999997</v>
      </c>
      <c r="P148" s="268">
        <v>3910.8967744999995</v>
      </c>
      <c r="Q148" s="268">
        <v>1498.7861598100008</v>
      </c>
      <c r="R148" s="1577"/>
      <c r="S148" s="1577"/>
      <c r="T148" s="1577"/>
      <c r="U148" s="1577"/>
    </row>
    <row r="149" spans="1:21" ht="15.75" hidden="1">
      <c r="A149" s="625" t="s">
        <v>18</v>
      </c>
      <c r="B149" s="180">
        <v>15134.968000000001</v>
      </c>
      <c r="C149" s="180">
        <v>7121.3389999999999</v>
      </c>
      <c r="D149" s="180">
        <v>892.476</v>
      </c>
      <c r="E149" s="180">
        <v>3383.846</v>
      </c>
      <c r="F149" s="180">
        <v>337.61799999999999</v>
      </c>
      <c r="G149" s="180">
        <v>2507.3969999999999</v>
      </c>
      <c r="H149" s="180">
        <v>4246.9399999999996</v>
      </c>
      <c r="I149" s="180">
        <v>106.6818</v>
      </c>
      <c r="J149" s="180">
        <v>974.97500000000002</v>
      </c>
      <c r="K149" s="180">
        <v>276.45299999999997</v>
      </c>
      <c r="L149" s="180">
        <v>2888.828</v>
      </c>
      <c r="M149" s="180">
        <f>SUM(N149:Q149)</f>
        <v>3766.6911999999998</v>
      </c>
      <c r="N149" s="180">
        <f t="shared" ref="N149:Q150" si="30">(R149-D149-I149)</f>
        <v>1457.7402</v>
      </c>
      <c r="O149" s="180">
        <f t="shared" si="30"/>
        <v>514.23800000000017</v>
      </c>
      <c r="P149" s="180">
        <f t="shared" si="30"/>
        <v>1207.5640000000001</v>
      </c>
      <c r="Q149" s="180">
        <f t="shared" si="30"/>
        <v>587.14899999999989</v>
      </c>
      <c r="R149" s="1577">
        <v>2456.8980000000001</v>
      </c>
      <c r="S149" s="1577">
        <v>4873.0590000000002</v>
      </c>
      <c r="T149" s="1577">
        <v>1821.635</v>
      </c>
      <c r="U149" s="1577">
        <v>5983.3739999999998</v>
      </c>
    </row>
    <row r="150" spans="1:21" ht="15.75" hidden="1">
      <c r="A150" s="625" t="s">
        <v>19</v>
      </c>
      <c r="B150" s="180">
        <v>18481.656999999999</v>
      </c>
      <c r="C150" s="180">
        <v>7932.7</v>
      </c>
      <c r="D150" s="180">
        <v>739.6</v>
      </c>
      <c r="E150" s="180">
        <v>2248.1999999999998</v>
      </c>
      <c r="F150" s="180">
        <v>621.6</v>
      </c>
      <c r="G150" s="180">
        <v>4323.3</v>
      </c>
      <c r="H150" s="180">
        <v>6170.8190000000004</v>
      </c>
      <c r="I150" s="180">
        <v>83.436000000000007</v>
      </c>
      <c r="J150" s="180">
        <v>1159.2494999999999</v>
      </c>
      <c r="K150" s="180">
        <v>426.33699999999999</v>
      </c>
      <c r="L150" s="180">
        <v>4501.7960000000003</v>
      </c>
      <c r="M150" s="180">
        <f>SUM(N150:Q150)</f>
        <v>4378.1014999999989</v>
      </c>
      <c r="N150" s="180">
        <f t="shared" si="30"/>
        <v>1435.164</v>
      </c>
      <c r="O150" s="180">
        <f t="shared" si="30"/>
        <v>454.11050000000023</v>
      </c>
      <c r="P150" s="180">
        <f t="shared" si="30"/>
        <v>1689.623</v>
      </c>
      <c r="Q150" s="180">
        <f t="shared" si="30"/>
        <v>799.20399999999881</v>
      </c>
      <c r="R150" s="1577">
        <v>2258.1999999999998</v>
      </c>
      <c r="S150" s="1577">
        <v>3861.56</v>
      </c>
      <c r="T150" s="1577">
        <v>2737.56</v>
      </c>
      <c r="U150" s="1578">
        <v>9624.2999999999993</v>
      </c>
    </row>
    <row r="151" spans="1:21" ht="15.75" hidden="1">
      <c r="A151" s="625" t="s">
        <v>20</v>
      </c>
      <c r="B151" s="180">
        <v>18519.064999999999</v>
      </c>
      <c r="C151" s="180">
        <v>7781.6453000000001</v>
      </c>
      <c r="D151" s="180">
        <v>660.48900000000003</v>
      </c>
      <c r="E151" s="180">
        <v>2036.5438999999999</v>
      </c>
      <c r="F151" s="180">
        <v>620.08199999999999</v>
      </c>
      <c r="G151" s="180">
        <v>4464.5280000000002</v>
      </c>
      <c r="H151" s="180">
        <v>6094.5288</v>
      </c>
      <c r="I151" s="180">
        <v>80.170199999999994</v>
      </c>
      <c r="J151" s="180">
        <v>1073.924</v>
      </c>
      <c r="K151" s="180">
        <v>411.54050000000001</v>
      </c>
      <c r="L151" s="180">
        <v>4528.893</v>
      </c>
      <c r="M151" s="180">
        <v>4642.8942999999999</v>
      </c>
      <c r="N151" s="180">
        <v>1266.7214999999999</v>
      </c>
      <c r="O151" s="180">
        <v>428.97700000000009</v>
      </c>
      <c r="P151" s="180">
        <v>2087.9335000000001</v>
      </c>
      <c r="Q151" s="180">
        <v>859.26230000000032</v>
      </c>
      <c r="R151" s="1577">
        <v>2007.3806999999999</v>
      </c>
      <c r="S151" s="1577">
        <v>3539.4449</v>
      </c>
      <c r="T151" s="1577">
        <v>3119.556</v>
      </c>
      <c r="U151" s="1578">
        <v>9852.6833000000006</v>
      </c>
    </row>
    <row r="152" spans="1:21" ht="15.75" hidden="1">
      <c r="A152" s="625" t="s">
        <v>21</v>
      </c>
      <c r="B152" s="180">
        <v>18831.062000000002</v>
      </c>
      <c r="C152" s="180">
        <v>7717.2438000000002</v>
      </c>
      <c r="D152" s="180">
        <v>574.76030000000003</v>
      </c>
      <c r="E152" s="180">
        <v>1670.3175000000001</v>
      </c>
      <c r="F152" s="180">
        <v>643.78160000000003</v>
      </c>
      <c r="G152" s="180">
        <v>4828.3842999999997</v>
      </c>
      <c r="H152" s="180">
        <v>6263.66</v>
      </c>
      <c r="I152" s="180">
        <v>68.051299999999998</v>
      </c>
      <c r="J152" s="180">
        <v>983.22320000000002</v>
      </c>
      <c r="K152" s="180">
        <v>633.93520000000001</v>
      </c>
      <c r="L152" s="180">
        <v>4578.4503000000004</v>
      </c>
      <c r="M152" s="180">
        <v>4850.1581999999999</v>
      </c>
      <c r="N152" s="180">
        <v>1315.81</v>
      </c>
      <c r="O152" s="180">
        <v>394.94189999999969</v>
      </c>
      <c r="P152" s="180">
        <v>1832.7671</v>
      </c>
      <c r="Q152" s="180">
        <v>1306.6391999999996</v>
      </c>
      <c r="R152" s="1577">
        <v>1958.6215999999999</v>
      </c>
      <c r="S152" s="1577">
        <v>3048.4825999999998</v>
      </c>
      <c r="T152" s="1577">
        <v>3110.4839000000002</v>
      </c>
      <c r="U152" s="1578">
        <v>10713.4738</v>
      </c>
    </row>
    <row r="153" spans="1:21" ht="15.75" hidden="1">
      <c r="A153" s="625" t="s">
        <v>22</v>
      </c>
      <c r="B153" s="180">
        <v>18575.261172389997</v>
      </c>
      <c r="C153" s="180">
        <v>7601.0539698399998</v>
      </c>
      <c r="D153" s="180">
        <v>571.79054651000001</v>
      </c>
      <c r="E153" s="180">
        <v>1600.8070183500001</v>
      </c>
      <c r="F153" s="180">
        <v>605.9892078900001</v>
      </c>
      <c r="G153" s="180">
        <v>4822.4671970899999</v>
      </c>
      <c r="H153" s="180">
        <v>6142.6420843799997</v>
      </c>
      <c r="I153" s="180">
        <v>75.740098830000008</v>
      </c>
      <c r="J153" s="180">
        <v>950.52070342000002</v>
      </c>
      <c r="K153" s="180">
        <v>741.50690688999998</v>
      </c>
      <c r="L153" s="180">
        <v>4374.8743752399996</v>
      </c>
      <c r="M153" s="180">
        <f>SUM(N153:Q153)</f>
        <v>4831.5651181699986</v>
      </c>
      <c r="N153" s="180">
        <f>(R153-D153-I153)</f>
        <v>1314.7585579700001</v>
      </c>
      <c r="O153" s="180">
        <f>(S153-E153-J153)</f>
        <v>443.38101635000021</v>
      </c>
      <c r="P153" s="180">
        <f>(T153-F153-K153)</f>
        <v>1838.6990573600003</v>
      </c>
      <c r="Q153" s="180">
        <f>(U153-G153-L153)</f>
        <v>1234.726486489998</v>
      </c>
      <c r="R153" s="1577">
        <v>1962.2892033100002</v>
      </c>
      <c r="S153" s="1577">
        <v>2994.7087381200004</v>
      </c>
      <c r="T153" s="1577">
        <v>3186.1951721400005</v>
      </c>
      <c r="U153" s="1578">
        <v>10432.068058819998</v>
      </c>
    </row>
    <row r="154" spans="1:21" ht="15.75" hidden="1">
      <c r="A154" s="625" t="s">
        <v>23</v>
      </c>
      <c r="B154" s="180">
        <v>18231.558145329996</v>
      </c>
      <c r="C154" s="180">
        <v>7653.5739775600005</v>
      </c>
      <c r="D154" s="180">
        <v>623.7291557399999</v>
      </c>
      <c r="E154" s="180">
        <v>1556.1975219699998</v>
      </c>
      <c r="F154" s="180">
        <v>650.28054799999984</v>
      </c>
      <c r="G154" s="180">
        <v>4823.3667518500006</v>
      </c>
      <c r="H154" s="180">
        <v>5713.9065187999995</v>
      </c>
      <c r="I154" s="180">
        <v>79.131282709999994</v>
      </c>
      <c r="J154" s="180">
        <v>916.72427033999986</v>
      </c>
      <c r="K154" s="180">
        <v>727.87184375999993</v>
      </c>
      <c r="L154" s="180">
        <v>3990.1791219900001</v>
      </c>
      <c r="M154" s="180">
        <v>4864.0776489699992</v>
      </c>
      <c r="N154" s="180">
        <v>1328.7262649899999</v>
      </c>
      <c r="O154" s="180">
        <v>529.57196250000004</v>
      </c>
      <c r="P154" s="180">
        <v>1891.8844096000003</v>
      </c>
      <c r="Q154" s="180">
        <v>1113.8950118799989</v>
      </c>
      <c r="R154" s="1577">
        <v>2031.5867034399998</v>
      </c>
      <c r="S154" s="1577">
        <v>3002.4937548099997</v>
      </c>
      <c r="T154" s="1577">
        <v>3270.03680136</v>
      </c>
      <c r="U154" s="1578">
        <v>9927.4408857199996</v>
      </c>
    </row>
    <row r="155" spans="1:21" ht="15.75" hidden="1">
      <c r="A155" s="625" t="s">
        <v>24</v>
      </c>
      <c r="B155" s="180">
        <v>18213.55173241</v>
      </c>
      <c r="C155" s="180">
        <v>7605.1210989900001</v>
      </c>
      <c r="D155" s="180">
        <v>615.08488918999979</v>
      </c>
      <c r="E155" s="180">
        <v>1523.5865833899998</v>
      </c>
      <c r="F155" s="180">
        <v>656.40470650999998</v>
      </c>
      <c r="G155" s="180">
        <v>4810.0449199000004</v>
      </c>
      <c r="H155" s="180">
        <v>5667.5295810100006</v>
      </c>
      <c r="I155" s="180">
        <v>68.727934330000011</v>
      </c>
      <c r="J155" s="180">
        <v>895.27442808000012</v>
      </c>
      <c r="K155" s="180">
        <v>768.38386080999999</v>
      </c>
      <c r="L155" s="180">
        <v>3935.1433577900007</v>
      </c>
      <c r="M155" s="180">
        <v>4940.9010524099995</v>
      </c>
      <c r="N155" s="180">
        <v>1241.6207604000001</v>
      </c>
      <c r="O155" s="180">
        <v>535.39500273999977</v>
      </c>
      <c r="P155" s="180">
        <v>2040.9596329099995</v>
      </c>
      <c r="Q155" s="180">
        <v>1122.9256563600002</v>
      </c>
      <c r="R155" s="1577">
        <v>1925.4335839199998</v>
      </c>
      <c r="S155" s="1577">
        <v>2954.2560142099996</v>
      </c>
      <c r="T155" s="1577">
        <v>3465.7482002299994</v>
      </c>
      <c r="U155" s="1578">
        <v>9868.1139340500013</v>
      </c>
    </row>
    <row r="156" spans="1:21" ht="15.75" hidden="1">
      <c r="A156" s="625" t="s">
        <v>25</v>
      </c>
      <c r="B156" s="180">
        <v>17658.05866011</v>
      </c>
      <c r="C156" s="180">
        <v>7320.3477984499996</v>
      </c>
      <c r="D156" s="180">
        <v>471.51166130000001</v>
      </c>
      <c r="E156" s="180">
        <v>1376.43405375</v>
      </c>
      <c r="F156" s="180">
        <v>675.66764136999996</v>
      </c>
      <c r="G156" s="180">
        <v>4796.7344420299996</v>
      </c>
      <c r="H156" s="180">
        <v>5300.2686472300002</v>
      </c>
      <c r="I156" s="180">
        <v>68.921230010000002</v>
      </c>
      <c r="J156" s="180">
        <v>846.49067882999998</v>
      </c>
      <c r="K156" s="180">
        <v>496.15951104000015</v>
      </c>
      <c r="L156" s="180">
        <v>3888.6972273500005</v>
      </c>
      <c r="M156" s="180">
        <v>5037.4422144299979</v>
      </c>
      <c r="N156" s="180">
        <v>1125.1704191399999</v>
      </c>
      <c r="O156" s="180">
        <v>545.90173054999946</v>
      </c>
      <c r="P156" s="180">
        <v>2276.1549815999997</v>
      </c>
      <c r="Q156" s="180">
        <v>1090.2150831399986</v>
      </c>
      <c r="R156" s="1577">
        <v>1665.60331045</v>
      </c>
      <c r="S156" s="1577">
        <v>2768.8264631299994</v>
      </c>
      <c r="T156" s="1577">
        <v>3447.9821340099998</v>
      </c>
      <c r="U156" s="1578">
        <v>9775.6467525199987</v>
      </c>
    </row>
    <row r="157" spans="1:21" ht="15.75" hidden="1">
      <c r="A157" s="625" t="s">
        <v>26</v>
      </c>
      <c r="B157" s="180">
        <v>17477.467494050001</v>
      </c>
      <c r="C157" s="180">
        <v>7311.8063250799996</v>
      </c>
      <c r="D157" s="180">
        <v>462.99236394999997</v>
      </c>
      <c r="E157" s="180">
        <v>1314.8491139500002</v>
      </c>
      <c r="F157" s="180">
        <v>790.14634219999982</v>
      </c>
      <c r="G157" s="180">
        <v>4743.8185049799995</v>
      </c>
      <c r="H157" s="180">
        <v>5103.583032380001</v>
      </c>
      <c r="I157" s="180">
        <v>78.922903550000001</v>
      </c>
      <c r="J157" s="180">
        <v>813.69581436999999</v>
      </c>
      <c r="K157" s="180">
        <v>479.56031644000007</v>
      </c>
      <c r="L157" s="180">
        <v>3731.4039980200005</v>
      </c>
      <c r="M157" s="180">
        <f>SUM(N157:Q157)</f>
        <v>5062.0781365899993</v>
      </c>
      <c r="N157" s="180">
        <f>(R157-D157-I157)</f>
        <v>1267.56861564</v>
      </c>
      <c r="O157" s="180">
        <f>(S157-E157-J157)</f>
        <v>359.88894909999988</v>
      </c>
      <c r="P157" s="180">
        <f>(T157-F157-K157)</f>
        <v>2442.9236351</v>
      </c>
      <c r="Q157" s="180">
        <f>(U157-G157-L157)</f>
        <v>991.69693674999962</v>
      </c>
      <c r="R157" s="1577">
        <v>1809.48388314</v>
      </c>
      <c r="S157" s="1577">
        <v>2488.43387742</v>
      </c>
      <c r="T157" s="1577">
        <v>3712.6302937399996</v>
      </c>
      <c r="U157" s="1578">
        <v>9466.9194397499996</v>
      </c>
    </row>
    <row r="158" spans="1:21" ht="15.75" hidden="1">
      <c r="A158" s="625" t="s">
        <v>27</v>
      </c>
      <c r="B158" s="180">
        <v>17150.462399190001</v>
      </c>
      <c r="C158" s="180">
        <v>7172.9407930900006</v>
      </c>
      <c r="D158" s="180">
        <v>497.94087688000002</v>
      </c>
      <c r="E158" s="180">
        <v>1225.8779533200002</v>
      </c>
      <c r="F158" s="180">
        <v>737.03035611000018</v>
      </c>
      <c r="G158" s="180">
        <v>4712.0916067799999</v>
      </c>
      <c r="H158" s="180">
        <v>5049.7674403400006</v>
      </c>
      <c r="I158" s="180">
        <v>83.043859580000003</v>
      </c>
      <c r="J158" s="180">
        <v>795.67803546000005</v>
      </c>
      <c r="K158" s="180">
        <v>374.27825360999998</v>
      </c>
      <c r="L158" s="180">
        <v>3796.7672916900005</v>
      </c>
      <c r="M158" s="180">
        <v>4927.7541657599995</v>
      </c>
      <c r="N158" s="180">
        <v>1279.8902856799996</v>
      </c>
      <c r="O158" s="180">
        <v>432.27515238000001</v>
      </c>
      <c r="P158" s="180">
        <v>2230.3893570299992</v>
      </c>
      <c r="Q158" s="180">
        <v>985.19937067000092</v>
      </c>
      <c r="R158" s="1577">
        <v>1860.8750221399998</v>
      </c>
      <c r="S158" s="1577">
        <v>2453.8311411600002</v>
      </c>
      <c r="T158" s="1577">
        <v>3341.6979667499995</v>
      </c>
      <c r="U158" s="1578">
        <v>9494.0582691400014</v>
      </c>
    </row>
    <row r="159" spans="1:21" ht="15.75" hidden="1">
      <c r="A159" s="625" t="s">
        <v>28</v>
      </c>
      <c r="B159" s="180">
        <v>17598.888115910002</v>
      </c>
      <c r="C159" s="180">
        <v>7089.5180692200001</v>
      </c>
      <c r="D159" s="180">
        <v>504.37593103</v>
      </c>
      <c r="E159" s="180">
        <v>1164.67827186</v>
      </c>
      <c r="F159" s="180">
        <v>698.60521599000003</v>
      </c>
      <c r="G159" s="180">
        <v>4721.8586503400002</v>
      </c>
      <c r="H159" s="180">
        <v>5036.6649985499989</v>
      </c>
      <c r="I159" s="180">
        <v>67.895046669999999</v>
      </c>
      <c r="J159" s="180">
        <v>774.3351229299999</v>
      </c>
      <c r="K159" s="180">
        <v>393.79330616999994</v>
      </c>
      <c r="L159" s="180">
        <v>3800.6415227799994</v>
      </c>
      <c r="M159" s="180">
        <v>5472.7050481400001</v>
      </c>
      <c r="N159" s="180">
        <v>1300.7732300700002</v>
      </c>
      <c r="O159" s="180">
        <v>429.86518566999985</v>
      </c>
      <c r="P159" s="180">
        <v>2680.6728677699989</v>
      </c>
      <c r="Q159" s="180">
        <v>1061.3937646300014</v>
      </c>
      <c r="R159" s="1577">
        <v>1873.0442077700002</v>
      </c>
      <c r="S159" s="1577">
        <v>2368.8785804599997</v>
      </c>
      <c r="T159" s="1577">
        <v>3773.071389929999</v>
      </c>
      <c r="U159" s="1578">
        <v>9583.893937750001</v>
      </c>
    </row>
    <row r="160" spans="1:21" ht="15.75" hidden="1">
      <c r="A160" s="625" t="s">
        <v>29</v>
      </c>
      <c r="B160" s="180">
        <v>23431.389446500005</v>
      </c>
      <c r="C160" s="180">
        <v>9473.9352678300002</v>
      </c>
      <c r="D160" s="180">
        <v>440.88992102999987</v>
      </c>
      <c r="E160" s="180">
        <v>979.32410602999994</v>
      </c>
      <c r="F160" s="180">
        <v>1200.3200105899998</v>
      </c>
      <c r="G160" s="180">
        <v>6853.4012301800003</v>
      </c>
      <c r="H160" s="180">
        <v>6358.7762940699995</v>
      </c>
      <c r="I160" s="180">
        <v>89.062323120000016</v>
      </c>
      <c r="J160" s="180">
        <v>603.39636632999998</v>
      </c>
      <c r="K160" s="180">
        <v>628.29423988999997</v>
      </c>
      <c r="L160" s="180">
        <v>5038.0233647300001</v>
      </c>
      <c r="M160" s="180">
        <v>7630.3589705799986</v>
      </c>
      <c r="N160" s="180">
        <f>(R160-D160-I160)</f>
        <v>1703.2633654700003</v>
      </c>
      <c r="O160" s="180">
        <f>(S160-E160-J160)</f>
        <v>485.73158481999997</v>
      </c>
      <c r="P160" s="180">
        <f>(T160-F160-K160)</f>
        <v>3910.8967744999995</v>
      </c>
      <c r="Q160" s="180">
        <f>(U160-G160-L160)</f>
        <v>1498.7861598100008</v>
      </c>
      <c r="R160" s="1577">
        <v>2233.2156096200001</v>
      </c>
      <c r="S160" s="1577">
        <v>2068.4520571799999</v>
      </c>
      <c r="T160" s="1577">
        <v>5739.5110249799991</v>
      </c>
      <c r="U160" s="1578">
        <v>13390.210754720001</v>
      </c>
    </row>
    <row r="161" spans="1:23" ht="15.75">
      <c r="A161" s="625" t="s">
        <v>1839</v>
      </c>
      <c r="B161" s="268">
        <v>22090.979492840001</v>
      </c>
      <c r="C161" s="268">
        <v>7448.6703850999993</v>
      </c>
      <c r="D161" s="268">
        <v>593.12725676000014</v>
      </c>
      <c r="E161" s="268">
        <v>924.10969758999988</v>
      </c>
      <c r="F161" s="268">
        <v>1144.05167121</v>
      </c>
      <c r="G161" s="268">
        <v>4787.3817595399987</v>
      </c>
      <c r="H161" s="268">
        <v>5528.0058593799986</v>
      </c>
      <c r="I161" s="268">
        <v>71.700868359999987</v>
      </c>
      <c r="J161" s="268">
        <v>537.24336589999996</v>
      </c>
      <c r="K161" s="268">
        <v>675.08966911000005</v>
      </c>
      <c r="L161" s="268">
        <v>4243.9719560099993</v>
      </c>
      <c r="M161" s="268">
        <v>9114.3032483600036</v>
      </c>
      <c r="N161" s="268">
        <v>1970.2337789099997</v>
      </c>
      <c r="O161" s="268">
        <v>1362.5035719100001</v>
      </c>
      <c r="P161" s="268">
        <v>2984.1957252899997</v>
      </c>
      <c r="Q161" s="268">
        <v>2797.3701722499991</v>
      </c>
      <c r="R161" s="1577"/>
      <c r="S161" s="1577"/>
      <c r="T161" s="1577"/>
      <c r="U161" s="1578"/>
    </row>
    <row r="162" spans="1:23" ht="15.75" hidden="1">
      <c r="A162" s="625" t="s">
        <v>18</v>
      </c>
      <c r="B162" s="180">
        <v>22576.48662118</v>
      </c>
      <c r="C162" s="180">
        <v>8643.338840800001</v>
      </c>
      <c r="D162" s="180">
        <v>395.46395204000009</v>
      </c>
      <c r="E162" s="180">
        <v>1026.6177876700001</v>
      </c>
      <c r="F162" s="180">
        <v>1092.8380958600001</v>
      </c>
      <c r="G162" s="180">
        <v>6128.41900523</v>
      </c>
      <c r="H162" s="180">
        <v>7166.9949462900013</v>
      </c>
      <c r="I162" s="180">
        <v>102.97251574000001</v>
      </c>
      <c r="J162" s="180">
        <v>637.64784706</v>
      </c>
      <c r="K162" s="180">
        <v>526.94142351000005</v>
      </c>
      <c r="L162" s="180">
        <v>5899.4331599800007</v>
      </c>
      <c r="M162" s="180">
        <v>6800.5552543499998</v>
      </c>
      <c r="N162" s="180">
        <f>(R162-D162-I162)</f>
        <v>1354.9089323399996</v>
      </c>
      <c r="O162" s="180">
        <f>(S162-E162-J162)</f>
        <v>497.7081534700003</v>
      </c>
      <c r="P162" s="180">
        <f>(T162-F162-K162)</f>
        <v>3373.1934018499996</v>
      </c>
      <c r="Q162" s="180">
        <f>(U162-G162-L162)</f>
        <v>1540.3423464299995</v>
      </c>
      <c r="R162" s="1577">
        <v>1853.3454001199998</v>
      </c>
      <c r="S162" s="1577">
        <v>2161.9737882000004</v>
      </c>
      <c r="T162" s="1577">
        <v>4992.97292122</v>
      </c>
      <c r="U162" s="1578">
        <v>13568.19451164</v>
      </c>
    </row>
    <row r="163" spans="1:23" ht="15.75" hidden="1">
      <c r="A163" s="625" t="s">
        <v>19</v>
      </c>
      <c r="B163" s="180">
        <v>21285.444183420004</v>
      </c>
      <c r="C163" s="180">
        <v>8077.2805155200022</v>
      </c>
      <c r="D163" s="180">
        <v>414.88588116999995</v>
      </c>
      <c r="E163" s="180">
        <v>994.01538985000002</v>
      </c>
      <c r="F163" s="180">
        <v>1052.9077935900002</v>
      </c>
      <c r="G163" s="180">
        <v>5615.4714509100022</v>
      </c>
      <c r="H163" s="180">
        <v>6271.9979255600001</v>
      </c>
      <c r="I163" s="180">
        <v>63.462362460000001</v>
      </c>
      <c r="J163" s="180">
        <v>770.90365178000002</v>
      </c>
      <c r="K163" s="180">
        <v>505.49978245</v>
      </c>
      <c r="L163" s="180">
        <v>4932.1321288700001</v>
      </c>
      <c r="M163" s="180">
        <v>6936.1657423399975</v>
      </c>
      <c r="N163" s="180">
        <v>1430.4875528600003</v>
      </c>
      <c r="O163" s="180">
        <v>504.89889568000012</v>
      </c>
      <c r="P163" s="180">
        <v>3127.1378172699983</v>
      </c>
      <c r="Q163" s="180">
        <v>1873.6414765299987</v>
      </c>
      <c r="R163" s="1577">
        <v>1908.8357964900001</v>
      </c>
      <c r="S163" s="1577">
        <v>2269.8179373100002</v>
      </c>
      <c r="T163" s="1577">
        <v>4685.5453933099989</v>
      </c>
      <c r="U163" s="1578">
        <v>12421.245056310001</v>
      </c>
      <c r="W163" s="1567">
        <v>1000</v>
      </c>
    </row>
    <row r="164" spans="1:23" ht="15.75" hidden="1">
      <c r="A164" s="625" t="s">
        <v>20</v>
      </c>
      <c r="B164" s="180">
        <v>23121.637737280002</v>
      </c>
      <c r="C164" s="180">
        <v>7888.866837309999</v>
      </c>
      <c r="D164" s="180">
        <v>493.72119703999999</v>
      </c>
      <c r="E164" s="180">
        <v>1017.8553176299998</v>
      </c>
      <c r="F164" s="180">
        <v>1010.1086851500002</v>
      </c>
      <c r="G164" s="180">
        <v>5367.18163749</v>
      </c>
      <c r="H164" s="180">
        <v>6444.4571196599991</v>
      </c>
      <c r="I164" s="180">
        <v>84.578995370000001</v>
      </c>
      <c r="J164" s="180">
        <v>799.79413139000008</v>
      </c>
      <c r="K164" s="180">
        <v>495.80738154000005</v>
      </c>
      <c r="L164" s="180">
        <v>5064.2766113599992</v>
      </c>
      <c r="M164" s="180">
        <v>8788.3137803099999</v>
      </c>
      <c r="N164" s="180">
        <v>1506.8197085800002</v>
      </c>
      <c r="O164" s="180">
        <v>498.41800871000032</v>
      </c>
      <c r="P164" s="180">
        <v>4068.8546808200008</v>
      </c>
      <c r="Q164" s="180">
        <v>2714.2213821999985</v>
      </c>
      <c r="R164" s="1577">
        <v>2085.1199009900001</v>
      </c>
      <c r="S164" s="1577">
        <v>2316.0674577300001</v>
      </c>
      <c r="T164" s="1577">
        <v>5574.7707475100015</v>
      </c>
      <c r="U164" s="1578">
        <v>13145.679631049998</v>
      </c>
    </row>
    <row r="165" spans="1:23" ht="15.75" hidden="1">
      <c r="A165" s="625" t="s">
        <v>21</v>
      </c>
      <c r="B165" s="180">
        <v>22558.052858589999</v>
      </c>
      <c r="C165" s="180">
        <v>7684.95810256</v>
      </c>
      <c r="D165" s="180">
        <v>493.11902867000003</v>
      </c>
      <c r="E165" s="180">
        <v>914.49493087999997</v>
      </c>
      <c r="F165" s="180">
        <v>1058.9201124799999</v>
      </c>
      <c r="G165" s="180">
        <v>5218.4240305300009</v>
      </c>
      <c r="H165" s="180">
        <v>6182.4410817900007</v>
      </c>
      <c r="I165" s="180">
        <v>77.362904760000006</v>
      </c>
      <c r="J165" s="180">
        <v>762.09301765999999</v>
      </c>
      <c r="K165" s="180">
        <v>476.95064371000007</v>
      </c>
      <c r="L165" s="180">
        <v>4866.0345156600006</v>
      </c>
      <c r="M165" s="180">
        <v>8690.6536742400003</v>
      </c>
      <c r="N165" s="180">
        <v>1618.5548478399996</v>
      </c>
      <c r="O165" s="180">
        <v>468.91508461000012</v>
      </c>
      <c r="P165" s="180">
        <v>3973.8729139199995</v>
      </c>
      <c r="Q165" s="180">
        <v>2629.310827870001</v>
      </c>
      <c r="R165" s="1577">
        <v>2189.0367812699997</v>
      </c>
      <c r="S165" s="1577">
        <v>2145.5030331500002</v>
      </c>
      <c r="T165" s="1577">
        <v>5509.7436701099996</v>
      </c>
      <c r="U165" s="1578">
        <v>12713.769374060003</v>
      </c>
    </row>
    <row r="166" spans="1:23" ht="15.75" hidden="1">
      <c r="A166" s="625" t="s">
        <v>22</v>
      </c>
      <c r="B166" s="180">
        <v>23148.058778530001</v>
      </c>
      <c r="C166" s="180">
        <v>7565.9511798599997</v>
      </c>
      <c r="D166" s="180">
        <v>486.20993685999991</v>
      </c>
      <c r="E166" s="180">
        <v>961.33847025</v>
      </c>
      <c r="F166" s="180">
        <v>1052.7850527000001</v>
      </c>
      <c r="G166" s="180">
        <v>5065.6177200499997</v>
      </c>
      <c r="H166" s="180">
        <v>6221.6415653900012</v>
      </c>
      <c r="I166" s="180">
        <v>105.53736786</v>
      </c>
      <c r="J166" s="180">
        <v>761.88788498999998</v>
      </c>
      <c r="K166" s="180">
        <v>625.3260220300001</v>
      </c>
      <c r="L166" s="180">
        <v>4728.8902905100013</v>
      </c>
      <c r="M166" s="180">
        <v>9360.4660332800013</v>
      </c>
      <c r="N166" s="180">
        <v>1650.0556431400003</v>
      </c>
      <c r="O166" s="180">
        <v>485.79556657000012</v>
      </c>
      <c r="P166" s="180">
        <v>3834.7924638800005</v>
      </c>
      <c r="Q166" s="180">
        <v>3389.8223596900007</v>
      </c>
      <c r="R166" s="1577">
        <v>2241.8029478600001</v>
      </c>
      <c r="S166" s="1577">
        <v>2209.0219218100001</v>
      </c>
      <c r="T166" s="1577">
        <v>5512.9035386100004</v>
      </c>
      <c r="U166" s="1578">
        <v>13184.330370250002</v>
      </c>
    </row>
    <row r="167" spans="1:23" ht="15.75" hidden="1">
      <c r="A167" s="625" t="s">
        <v>23</v>
      </c>
      <c r="B167" s="180">
        <v>23366.762993790002</v>
      </c>
      <c r="C167" s="180">
        <v>7815.6264911699991</v>
      </c>
      <c r="D167" s="180">
        <v>546.73839292000002</v>
      </c>
      <c r="E167" s="180">
        <v>970.36375868999983</v>
      </c>
      <c r="F167" s="180">
        <v>1091.7599507300001</v>
      </c>
      <c r="G167" s="180">
        <v>5206.7643888299999</v>
      </c>
      <c r="H167" s="180">
        <v>6031.6449668599998</v>
      </c>
      <c r="I167" s="180">
        <v>91.712456960000011</v>
      </c>
      <c r="J167" s="180">
        <v>669.7833740100001</v>
      </c>
      <c r="K167" s="180">
        <v>635.55247772000007</v>
      </c>
      <c r="L167" s="180">
        <v>4634.5966581699995</v>
      </c>
      <c r="M167" s="180">
        <v>9519.4915357600003</v>
      </c>
      <c r="N167" s="180">
        <v>1844.8105047900003</v>
      </c>
      <c r="O167" s="180">
        <v>500.12846699999989</v>
      </c>
      <c r="P167" s="180">
        <v>3680.4814337299986</v>
      </c>
      <c r="Q167" s="180">
        <v>3494.0711302400023</v>
      </c>
      <c r="R167" s="1577">
        <v>2483.2613546700004</v>
      </c>
      <c r="S167" s="1577">
        <v>2140.2755996999999</v>
      </c>
      <c r="T167" s="1577">
        <v>5407.7938621799985</v>
      </c>
      <c r="U167" s="1578">
        <v>13335.432177240002</v>
      </c>
    </row>
    <row r="168" spans="1:23" ht="15.75" hidden="1">
      <c r="A168" s="625" t="s">
        <v>24</v>
      </c>
      <c r="B168" s="180">
        <v>23248.853358559994</v>
      </c>
      <c r="C168" s="180">
        <v>7843.8322067699992</v>
      </c>
      <c r="D168" s="180">
        <v>589.40381853999997</v>
      </c>
      <c r="E168" s="180">
        <v>916.61210225000002</v>
      </c>
      <c r="F168" s="180">
        <v>1141.9646619700002</v>
      </c>
      <c r="G168" s="180">
        <v>5195.8516240099998</v>
      </c>
      <c r="H168" s="180">
        <v>5858.4821139300002</v>
      </c>
      <c r="I168" s="180">
        <v>91.168270459999988</v>
      </c>
      <c r="J168" s="180">
        <v>631.69173768999997</v>
      </c>
      <c r="K168" s="180">
        <v>565.93032395</v>
      </c>
      <c r="L168" s="180">
        <v>4569.6917818299999</v>
      </c>
      <c r="M168" s="180">
        <v>9546.5390378600023</v>
      </c>
      <c r="N168" s="180">
        <v>1931.3786209799994</v>
      </c>
      <c r="O168" s="180">
        <v>485.54200054999967</v>
      </c>
      <c r="P168" s="180">
        <v>3499.5308249300006</v>
      </c>
      <c r="Q168" s="180">
        <v>3630.0875914000017</v>
      </c>
      <c r="R168" s="1577">
        <v>2611.9507099799994</v>
      </c>
      <c r="S168" s="1577">
        <v>2033.8458404899998</v>
      </c>
      <c r="T168" s="1577">
        <v>5207.4258108500007</v>
      </c>
      <c r="U168" s="1578">
        <v>13395.630997240001</v>
      </c>
    </row>
    <row r="169" spans="1:23" ht="15.75" hidden="1">
      <c r="A169" s="625" t="s">
        <v>25</v>
      </c>
      <c r="B169" s="180">
        <v>23673.772316860002</v>
      </c>
      <c r="C169" s="180">
        <v>7931.8856794199983</v>
      </c>
      <c r="D169" s="180">
        <v>530.98455763999993</v>
      </c>
      <c r="E169" s="180">
        <v>925.52463819000013</v>
      </c>
      <c r="F169" s="180">
        <v>1134.4384808299999</v>
      </c>
      <c r="G169" s="180">
        <v>5340.9380027599991</v>
      </c>
      <c r="H169" s="180">
        <v>5920.7974648299987</v>
      </c>
      <c r="I169" s="180">
        <v>99.228474560000009</v>
      </c>
      <c r="J169" s="180">
        <v>639.49957030999997</v>
      </c>
      <c r="K169" s="180">
        <v>571.95494786000006</v>
      </c>
      <c r="L169" s="180">
        <v>4610.1144720999991</v>
      </c>
      <c r="M169" s="180">
        <v>9821.0891726100017</v>
      </c>
      <c r="N169" s="180">
        <v>1814.7824133100007</v>
      </c>
      <c r="O169" s="180">
        <v>476.61142654000002</v>
      </c>
      <c r="P169" s="180">
        <v>3635.7740640800002</v>
      </c>
      <c r="Q169" s="180">
        <v>3893.921268680001</v>
      </c>
      <c r="R169" s="1577">
        <v>2444.9954455100005</v>
      </c>
      <c r="S169" s="1577">
        <v>2041.6356350400001</v>
      </c>
      <c r="T169" s="1577">
        <v>5342.1674927700005</v>
      </c>
      <c r="U169" s="1578">
        <v>13844.973743539998</v>
      </c>
    </row>
    <row r="170" spans="1:23" ht="15.75" hidden="1">
      <c r="A170" s="625" t="s">
        <v>26</v>
      </c>
      <c r="B170" s="180">
        <v>22841.823131839999</v>
      </c>
      <c r="C170" s="180">
        <v>7813.8673014100004</v>
      </c>
      <c r="D170" s="180">
        <v>518.38537985999994</v>
      </c>
      <c r="E170" s="180">
        <v>907.65208554000014</v>
      </c>
      <c r="F170" s="180">
        <v>1165.3700243300002</v>
      </c>
      <c r="G170" s="180">
        <v>5222.4598116800007</v>
      </c>
      <c r="H170" s="180">
        <v>5872.2361056900008</v>
      </c>
      <c r="I170" s="180">
        <v>98.169757440000012</v>
      </c>
      <c r="J170" s="180">
        <v>605.67192999999997</v>
      </c>
      <c r="K170" s="180">
        <v>650.97977207999998</v>
      </c>
      <c r="L170" s="180">
        <v>4517.4146461700002</v>
      </c>
      <c r="M170" s="180">
        <v>9155.7197247399999</v>
      </c>
      <c r="N170" s="180">
        <v>2300.8210969999996</v>
      </c>
      <c r="O170" s="180">
        <v>448.46705969999971</v>
      </c>
      <c r="P170" s="180">
        <v>2997.4751573400017</v>
      </c>
      <c r="Q170" s="180">
        <v>3408.9564106999987</v>
      </c>
      <c r="R170" s="1577">
        <v>2917.3762342999994</v>
      </c>
      <c r="S170" s="1577">
        <v>1961.7910752399998</v>
      </c>
      <c r="T170" s="1577">
        <v>4813.8249537500014</v>
      </c>
      <c r="U170" s="1578">
        <v>13148.83086855</v>
      </c>
    </row>
    <row r="171" spans="1:23" ht="15.75" hidden="1">
      <c r="A171" s="625" t="s">
        <v>27</v>
      </c>
      <c r="B171" s="180">
        <v>22227.398065330002</v>
      </c>
      <c r="C171" s="180">
        <v>7413.11107498</v>
      </c>
      <c r="D171" s="180">
        <v>480.19855046999999</v>
      </c>
      <c r="E171" s="180">
        <v>917.41285771000014</v>
      </c>
      <c r="F171" s="180">
        <v>1247.8405884899998</v>
      </c>
      <c r="G171" s="180">
        <v>4767.65907831</v>
      </c>
      <c r="H171" s="180">
        <v>5317.0422964700001</v>
      </c>
      <c r="I171" s="180">
        <v>85.53800360000001</v>
      </c>
      <c r="J171" s="180">
        <v>582.37352670999996</v>
      </c>
      <c r="K171" s="180">
        <v>572.88963208999996</v>
      </c>
      <c r="L171" s="180">
        <v>4076.24113407</v>
      </c>
      <c r="M171" s="180">
        <v>9497.2446938799985</v>
      </c>
      <c r="N171" s="180">
        <v>2018.4260913400001</v>
      </c>
      <c r="O171" s="180">
        <v>1361.2589425800002</v>
      </c>
      <c r="P171" s="180">
        <v>3277.8780135200013</v>
      </c>
      <c r="Q171" s="180">
        <v>2839.6816464399981</v>
      </c>
      <c r="R171" s="1577">
        <v>2584.1626454100001</v>
      </c>
      <c r="S171" s="1577">
        <v>2861.0453270000003</v>
      </c>
      <c r="T171" s="1577">
        <v>5098.608234100001</v>
      </c>
      <c r="U171" s="1578">
        <v>11683.581858819998</v>
      </c>
    </row>
    <row r="172" spans="1:23" ht="15.75" hidden="1">
      <c r="A172" s="625" t="s">
        <v>28</v>
      </c>
      <c r="B172" s="180">
        <v>22651.162103860002</v>
      </c>
      <c r="C172" s="180">
        <v>7605.7838093800001</v>
      </c>
      <c r="D172" s="180">
        <v>513.95585828000014</v>
      </c>
      <c r="E172" s="180">
        <v>916.54152053000007</v>
      </c>
      <c r="F172" s="180">
        <v>1328.3355681799999</v>
      </c>
      <c r="G172" s="180">
        <v>4846.9508623899992</v>
      </c>
      <c r="H172" s="180">
        <v>5602.2453031600007</v>
      </c>
      <c r="I172" s="180">
        <v>80.674939129999998</v>
      </c>
      <c r="J172" s="180">
        <v>575.23592660999998</v>
      </c>
      <c r="K172" s="180">
        <v>694.32862846</v>
      </c>
      <c r="L172" s="180">
        <v>4252.0058089600006</v>
      </c>
      <c r="M172" s="180">
        <v>9443.1329913200025</v>
      </c>
      <c r="N172" s="180">
        <v>2080.4813102400008</v>
      </c>
      <c r="O172" s="180">
        <v>1363.8596005799998</v>
      </c>
      <c r="P172" s="180">
        <v>3032.2216198600013</v>
      </c>
      <c r="Q172" s="180">
        <v>2966.5704606400004</v>
      </c>
      <c r="R172" s="1577">
        <v>2675.1121076500008</v>
      </c>
      <c r="S172" s="1577">
        <v>2855.6370477199998</v>
      </c>
      <c r="T172" s="1577">
        <v>5054.8858165000011</v>
      </c>
      <c r="U172" s="1578">
        <v>12065.52713199</v>
      </c>
    </row>
    <row r="173" spans="1:23" ht="15.75" hidden="1">
      <c r="A173" s="625" t="s">
        <v>29</v>
      </c>
      <c r="B173" s="180">
        <v>22090.979492840001</v>
      </c>
      <c r="C173" s="180">
        <v>7448.6703850999993</v>
      </c>
      <c r="D173" s="180">
        <v>593.12725676000014</v>
      </c>
      <c r="E173" s="180">
        <v>924.10969758999988</v>
      </c>
      <c r="F173" s="180">
        <v>1144.05167121</v>
      </c>
      <c r="G173" s="180">
        <v>4787.3817595399987</v>
      </c>
      <c r="H173" s="180">
        <v>5528.0058593799986</v>
      </c>
      <c r="I173" s="180">
        <v>71.700868359999987</v>
      </c>
      <c r="J173" s="180">
        <v>537.24336589999996</v>
      </c>
      <c r="K173" s="180">
        <v>675.08966911000005</v>
      </c>
      <c r="L173" s="180">
        <v>4243.9719560099993</v>
      </c>
      <c r="M173" s="180">
        <f>(B173-H173-C173)</f>
        <v>9114.3032483600036</v>
      </c>
      <c r="N173" s="180">
        <f>(R173-D173-I173)</f>
        <v>1970.2337789099997</v>
      </c>
      <c r="O173" s="180">
        <f>(S173-E173-J173)</f>
        <v>1362.5035719100001</v>
      </c>
      <c r="P173" s="180">
        <f>(T173-F173-K173)</f>
        <v>2984.1957252899997</v>
      </c>
      <c r="Q173" s="180">
        <f>(U173-G173-L173)</f>
        <v>2797.3701722499991</v>
      </c>
      <c r="R173" s="1577">
        <v>2635.0619040299998</v>
      </c>
      <c r="S173" s="1577">
        <v>2823.8566354</v>
      </c>
      <c r="T173" s="1577">
        <v>4803.3370656099996</v>
      </c>
      <c r="U173" s="1578">
        <v>11828.723887799997</v>
      </c>
    </row>
    <row r="174" spans="1:23" ht="15.75">
      <c r="A174" s="625" t="s">
        <v>1902</v>
      </c>
      <c r="B174" s="18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577"/>
      <c r="S174" s="1577"/>
      <c r="T174" s="1577"/>
      <c r="U174" s="1578"/>
    </row>
    <row r="175" spans="1:23" ht="15.75">
      <c r="A175" s="625" t="s">
        <v>18</v>
      </c>
      <c r="B175" s="180">
        <v>23215.011935040002</v>
      </c>
      <c r="C175" s="180">
        <v>7747.21384734</v>
      </c>
      <c r="D175" s="180">
        <v>511.30370880000004</v>
      </c>
      <c r="E175" s="180">
        <v>941.39024112000004</v>
      </c>
      <c r="F175" s="180">
        <v>1163.5807077500001</v>
      </c>
      <c r="G175" s="180">
        <v>5130.939189669999</v>
      </c>
      <c r="H175" s="180">
        <v>5753.1620311000006</v>
      </c>
      <c r="I175" s="180">
        <v>129.29041722000002</v>
      </c>
      <c r="J175" s="180">
        <v>540.35703023999986</v>
      </c>
      <c r="K175" s="180">
        <v>932.55738747999999</v>
      </c>
      <c r="L175" s="180">
        <v>4150.9571961600004</v>
      </c>
      <c r="M175" s="180">
        <v>9714.6360566000003</v>
      </c>
      <c r="N175" s="180">
        <v>1687.5110136199996</v>
      </c>
      <c r="O175" s="180">
        <v>1353.5823116600004</v>
      </c>
      <c r="P175" s="180">
        <v>3471.9036158099989</v>
      </c>
      <c r="Q175" s="180">
        <v>3201.6391155100009</v>
      </c>
      <c r="R175" s="1577">
        <v>2328.1051396399998</v>
      </c>
      <c r="S175" s="1577">
        <v>2835.3295830200004</v>
      </c>
      <c r="T175" s="1577">
        <v>5568.0417110399994</v>
      </c>
      <c r="U175" s="1578">
        <v>12483.53550134</v>
      </c>
    </row>
    <row r="176" spans="1:23" ht="15.75">
      <c r="A176" s="625" t="s">
        <v>19</v>
      </c>
      <c r="B176" s="180">
        <v>21761.454722259998</v>
      </c>
      <c r="C176" s="180">
        <v>7101.7795807600005</v>
      </c>
      <c r="D176" s="180">
        <v>510.01916794999994</v>
      </c>
      <c r="E176" s="180">
        <v>953.70506984000008</v>
      </c>
      <c r="F176" s="180">
        <v>1045.7598395100001</v>
      </c>
      <c r="G176" s="180">
        <v>4592.29550346</v>
      </c>
      <c r="H176" s="180">
        <v>5332.5730695300008</v>
      </c>
      <c r="I176" s="180">
        <v>86.003260250000011</v>
      </c>
      <c r="J176" s="180">
        <v>509.13614666000001</v>
      </c>
      <c r="K176" s="180">
        <v>1061.7027813699999</v>
      </c>
      <c r="L176" s="180">
        <v>3675.7308812500005</v>
      </c>
      <c r="M176" s="180">
        <v>9327.1020719700009</v>
      </c>
      <c r="N176" s="180">
        <v>1688.5442630400003</v>
      </c>
      <c r="O176" s="180">
        <v>1337.5645104200003</v>
      </c>
      <c r="P176" s="180">
        <v>3336.6310166699996</v>
      </c>
      <c r="Q176" s="180">
        <v>2964.3622818400008</v>
      </c>
      <c r="R176" s="1577">
        <v>2284.5666912400002</v>
      </c>
      <c r="S176" s="1577">
        <v>2800.4057269200002</v>
      </c>
      <c r="T176" s="1577">
        <v>5444.0936375499996</v>
      </c>
      <c r="U176" s="1578">
        <v>11232.388666550001</v>
      </c>
    </row>
    <row r="177" spans="1:21" ht="15.75">
      <c r="A177" s="625" t="s">
        <v>20</v>
      </c>
      <c r="B177" s="180">
        <v>21295.930216459998</v>
      </c>
      <c r="C177" s="180">
        <v>6911.4482994199989</v>
      </c>
      <c r="D177" s="180">
        <v>507.79294545999994</v>
      </c>
      <c r="E177" s="180">
        <v>972.67982346000008</v>
      </c>
      <c r="F177" s="180">
        <v>978.7682998600003</v>
      </c>
      <c r="G177" s="180">
        <v>4452.2072306399996</v>
      </c>
      <c r="H177" s="180">
        <v>5142.2947017300003</v>
      </c>
      <c r="I177" s="180">
        <v>96.016516910000021</v>
      </c>
      <c r="J177" s="180">
        <v>499.23899940999996</v>
      </c>
      <c r="K177" s="180">
        <v>415.64322666999999</v>
      </c>
      <c r="L177" s="180">
        <v>4131.3959587400004</v>
      </c>
      <c r="M177" s="180">
        <v>9242.1872153100012</v>
      </c>
      <c r="N177" s="180">
        <v>1706.5498026700002</v>
      </c>
      <c r="O177" s="180">
        <v>1373.0064841100002</v>
      </c>
      <c r="P177" s="180">
        <v>3241.1141526799997</v>
      </c>
      <c r="Q177" s="180">
        <v>2921.5167758500002</v>
      </c>
      <c r="R177" s="1577">
        <v>2310.3592650400001</v>
      </c>
      <c r="S177" s="1577">
        <v>2844.9253069800002</v>
      </c>
      <c r="T177" s="1577">
        <v>4635.5256792099999</v>
      </c>
      <c r="U177" s="1578">
        <v>11505.11996523</v>
      </c>
    </row>
    <row r="178" spans="1:21" ht="15.75">
      <c r="A178" s="625" t="s">
        <v>21</v>
      </c>
      <c r="B178" s="180">
        <v>22148.608690479999</v>
      </c>
      <c r="C178" s="180">
        <v>6873.1633715099997</v>
      </c>
      <c r="D178" s="180">
        <v>594.38608856999986</v>
      </c>
      <c r="E178" s="180">
        <v>1013.80627192</v>
      </c>
      <c r="F178" s="180">
        <v>977.86800097000014</v>
      </c>
      <c r="G178" s="180">
        <v>4287.1030100499993</v>
      </c>
      <c r="H178" s="180">
        <v>5125.0752365199996</v>
      </c>
      <c r="I178" s="180">
        <v>115.24164586000001</v>
      </c>
      <c r="J178" s="180">
        <v>531.13794129999997</v>
      </c>
      <c r="K178" s="180">
        <v>426.82019178000002</v>
      </c>
      <c r="L178" s="180">
        <v>4051.8754575799999</v>
      </c>
      <c r="M178" s="180">
        <v>10150.370082450001</v>
      </c>
      <c r="N178" s="180">
        <v>1924.45684426</v>
      </c>
      <c r="O178" s="180">
        <v>1391.96885662</v>
      </c>
      <c r="P178" s="180">
        <v>3916.8819643700003</v>
      </c>
      <c r="Q178" s="180">
        <v>2917.0624172000003</v>
      </c>
      <c r="R178" s="1577">
        <v>2634.0845786899999</v>
      </c>
      <c r="S178" s="1577">
        <v>2936.9130698399999</v>
      </c>
      <c r="T178" s="1577">
        <v>5321.5701571200007</v>
      </c>
      <c r="U178" s="1578">
        <v>11256.040884829999</v>
      </c>
    </row>
    <row r="179" spans="1:21" ht="15.75">
      <c r="A179" s="625" t="s">
        <v>22</v>
      </c>
      <c r="B179" s="180">
        <v>21594.662352359999</v>
      </c>
      <c r="C179" s="180">
        <v>6846.7235042599987</v>
      </c>
      <c r="D179" s="180">
        <v>691.21623787999988</v>
      </c>
      <c r="E179" s="180">
        <v>1053.5552705099999</v>
      </c>
      <c r="F179" s="180">
        <v>952.1354598800001</v>
      </c>
      <c r="G179" s="180">
        <v>4149.8165359899995</v>
      </c>
      <c r="H179" s="180">
        <v>4777.6970178000001</v>
      </c>
      <c r="I179" s="180">
        <v>95.91001399000001</v>
      </c>
      <c r="J179" s="180">
        <v>461.26379057999998</v>
      </c>
      <c r="K179" s="180">
        <v>994.41097788000002</v>
      </c>
      <c r="L179" s="180">
        <v>3226.1122353500004</v>
      </c>
      <c r="M179" s="180">
        <v>9970.2418303000013</v>
      </c>
      <c r="N179" s="180">
        <v>1632.5159611300007</v>
      </c>
      <c r="O179" s="180">
        <v>1419.6315292499996</v>
      </c>
      <c r="P179" s="180">
        <v>3936.0195881099999</v>
      </c>
      <c r="Q179" s="180">
        <v>2982.0747518100006</v>
      </c>
      <c r="R179" s="1577">
        <v>2419.6422130000005</v>
      </c>
      <c r="S179" s="1577">
        <v>2934.4505903399995</v>
      </c>
      <c r="T179" s="1577">
        <v>5882.56602587</v>
      </c>
      <c r="U179" s="1578">
        <v>10358.003523150001</v>
      </c>
    </row>
    <row r="180" spans="1:21" ht="15.75">
      <c r="A180" s="625" t="s">
        <v>23</v>
      </c>
      <c r="B180" s="180">
        <v>21595.415994440005</v>
      </c>
      <c r="C180" s="180">
        <v>6907.1098250700006</v>
      </c>
      <c r="D180" s="180">
        <v>734.24331022999991</v>
      </c>
      <c r="E180" s="180">
        <v>1104.18331337</v>
      </c>
      <c r="F180" s="180">
        <v>998.89185959999998</v>
      </c>
      <c r="G180" s="180">
        <v>4069.79134187</v>
      </c>
      <c r="H180" s="180">
        <v>4732.2032445300001</v>
      </c>
      <c r="I180" s="180">
        <v>120.98644231</v>
      </c>
      <c r="J180" s="180">
        <v>453.78207615999992</v>
      </c>
      <c r="K180" s="180">
        <v>489.53690608000005</v>
      </c>
      <c r="L180" s="180">
        <v>3667.8978199799999</v>
      </c>
      <c r="M180" s="180">
        <v>9956.1029248399991</v>
      </c>
      <c r="N180" s="180">
        <v>1680.6508633899998</v>
      </c>
      <c r="O180" s="180">
        <v>922.17756055000018</v>
      </c>
      <c r="P180" s="180">
        <v>4314.5917706599985</v>
      </c>
      <c r="Q180" s="180">
        <v>3038.6827302400011</v>
      </c>
      <c r="R180" s="1577">
        <v>2535.8806159299997</v>
      </c>
      <c r="S180" s="1577">
        <v>2480.14295008</v>
      </c>
      <c r="T180" s="1577">
        <v>5803.0205363399991</v>
      </c>
      <c r="U180" s="1578">
        <v>10776.371892090001</v>
      </c>
    </row>
    <row r="181" spans="1:21" ht="15.75">
      <c r="A181" s="625" t="s">
        <v>24</v>
      </c>
      <c r="B181" s="180">
        <v>21352.458820650005</v>
      </c>
      <c r="C181" s="180">
        <v>6860.7177209400006</v>
      </c>
      <c r="D181" s="180">
        <v>638.93427092000002</v>
      </c>
      <c r="E181" s="180">
        <v>1183.1059403500001</v>
      </c>
      <c r="F181" s="180">
        <v>1009.7550517699999</v>
      </c>
      <c r="G181" s="180">
        <v>4028.9224579000002</v>
      </c>
      <c r="H181" s="180">
        <v>4770.0330792200002</v>
      </c>
      <c r="I181" s="180">
        <v>132.59944523000001</v>
      </c>
      <c r="J181" s="180">
        <v>399.69076865</v>
      </c>
      <c r="K181" s="180">
        <v>489.61596076999996</v>
      </c>
      <c r="L181" s="180">
        <v>3748.1269045700001</v>
      </c>
      <c r="M181" s="180">
        <v>9721.7080204900012</v>
      </c>
      <c r="N181" s="180">
        <v>1629.2982414899998</v>
      </c>
      <c r="O181" s="180">
        <v>781.44949229999986</v>
      </c>
      <c r="P181" s="180">
        <v>4202.2245079299992</v>
      </c>
      <c r="Q181" s="180">
        <v>3108.7357787700012</v>
      </c>
      <c r="R181" s="1577">
        <v>2400.8319576399999</v>
      </c>
      <c r="S181" s="1577">
        <v>2364.2462012999999</v>
      </c>
      <c r="T181" s="1577">
        <v>5701.5955204699994</v>
      </c>
      <c r="U181" s="1578">
        <v>10885.785141240001</v>
      </c>
    </row>
    <row r="182" spans="1:21" ht="15.75">
      <c r="A182" s="625" t="s">
        <v>25</v>
      </c>
      <c r="B182" s="180">
        <v>21008.018939289999</v>
      </c>
      <c r="C182" s="180">
        <v>6895.4724854100014</v>
      </c>
      <c r="D182" s="180">
        <v>684.21014093999997</v>
      </c>
      <c r="E182" s="180">
        <v>1234.1775385000003</v>
      </c>
      <c r="F182" s="180">
        <v>1031.6891513799999</v>
      </c>
      <c r="G182" s="180">
        <v>3945.395654590001</v>
      </c>
      <c r="H182" s="180">
        <v>4170.33850833</v>
      </c>
      <c r="I182" s="180">
        <v>141.35162417000004</v>
      </c>
      <c r="J182" s="180">
        <v>200.71455113000002</v>
      </c>
      <c r="K182" s="180">
        <v>447.60887398</v>
      </c>
      <c r="L182" s="180">
        <v>3380.6634590499998</v>
      </c>
      <c r="M182" s="180">
        <v>9942.2079455499988</v>
      </c>
      <c r="N182" s="180">
        <v>1662.6271696400004</v>
      </c>
      <c r="O182" s="180">
        <v>783.38047376000009</v>
      </c>
      <c r="P182" s="180">
        <v>4384.3211732299987</v>
      </c>
      <c r="Q182" s="180">
        <v>3111.8791289199989</v>
      </c>
      <c r="R182" s="1577">
        <v>2488.1889347500005</v>
      </c>
      <c r="S182" s="1577">
        <v>2218.2725633900004</v>
      </c>
      <c r="T182" s="1577">
        <v>5863.6191985899986</v>
      </c>
      <c r="U182" s="1578">
        <v>10437.93824256</v>
      </c>
    </row>
    <row r="183" spans="1:21" ht="15.75">
      <c r="A183" s="625" t="s">
        <v>26</v>
      </c>
      <c r="B183" s="180">
        <v>19484.23664598</v>
      </c>
      <c r="C183" s="180">
        <v>7022.1769641999999</v>
      </c>
      <c r="D183" s="180">
        <v>685.53113867000002</v>
      </c>
      <c r="E183" s="180">
        <v>1296.24622202</v>
      </c>
      <c r="F183" s="180">
        <v>1172.4737137300001</v>
      </c>
      <c r="G183" s="180">
        <v>3867.9258897800005</v>
      </c>
      <c r="H183" s="180" t="s">
        <v>2007</v>
      </c>
      <c r="I183" s="180">
        <v>134.39916910000002</v>
      </c>
      <c r="J183" s="180">
        <v>209.69932566000003</v>
      </c>
      <c r="K183" s="180">
        <v>241.13432000999998</v>
      </c>
      <c r="L183" s="180">
        <v>1542.22673599</v>
      </c>
      <c r="M183" s="180">
        <v>10334.600131020001</v>
      </c>
      <c r="N183" s="180">
        <v>1968.6689919800001</v>
      </c>
      <c r="O183" s="180">
        <v>647.20562004999999</v>
      </c>
      <c r="P183" s="180">
        <v>4648.2796214199998</v>
      </c>
      <c r="Q183" s="180">
        <v>3070.4458975700018</v>
      </c>
      <c r="R183" s="1577">
        <v>2788.5992997500002</v>
      </c>
      <c r="S183" s="1577">
        <v>2153.15116773</v>
      </c>
      <c r="T183" s="1577">
        <v>6061.8876551599997</v>
      </c>
      <c r="U183" s="1578">
        <v>8480.5985233400024</v>
      </c>
    </row>
    <row r="184" spans="1:21" ht="15.75">
      <c r="A184" s="625" t="s">
        <v>27</v>
      </c>
      <c r="B184" s="180">
        <v>19696.726037439999</v>
      </c>
      <c r="C184" s="180">
        <v>7280.1157314900001</v>
      </c>
      <c r="D184" s="180">
        <v>730.23960569000008</v>
      </c>
      <c r="E184" s="180">
        <v>1459.3164028399999</v>
      </c>
      <c r="F184" s="180">
        <v>1289.6514403799999</v>
      </c>
      <c r="G184" s="180">
        <v>3800.9082825800001</v>
      </c>
      <c r="H184" s="180">
        <v>2054.7600175299999</v>
      </c>
      <c r="I184" s="180">
        <v>132.88479290000001</v>
      </c>
      <c r="J184" s="180">
        <v>213.53205822999999</v>
      </c>
      <c r="K184" s="180">
        <v>236.58157801999999</v>
      </c>
      <c r="L184" s="180">
        <v>1471.7615883799999</v>
      </c>
      <c r="M184" s="180">
        <v>10361.850288419999</v>
      </c>
      <c r="N184" s="180">
        <v>1866.0599670200006</v>
      </c>
      <c r="O184" s="180">
        <v>631.49836178999965</v>
      </c>
      <c r="P184" s="180">
        <v>4802.1738252099985</v>
      </c>
      <c r="Q184" s="180">
        <v>3062.1181343999988</v>
      </c>
      <c r="R184" s="1577">
        <v>2729.1843656100009</v>
      </c>
      <c r="S184" s="1577">
        <v>2304.3468228599995</v>
      </c>
      <c r="T184" s="1577">
        <v>6328.4068436099988</v>
      </c>
      <c r="U184" s="1578">
        <v>8334.7880053599984</v>
      </c>
    </row>
    <row r="185" spans="1:21" ht="15.75">
      <c r="A185" s="625" t="s">
        <v>28</v>
      </c>
      <c r="B185" s="180">
        <v>19635.302359779998</v>
      </c>
      <c r="C185" s="180">
        <v>7370.6137107699997</v>
      </c>
      <c r="D185" s="180">
        <v>719.73873243000003</v>
      </c>
      <c r="E185" s="180">
        <v>1565.7398545599997</v>
      </c>
      <c r="F185" s="180">
        <v>1489.1860028899996</v>
      </c>
      <c r="G185" s="180">
        <v>3595.9491208899999</v>
      </c>
      <c r="H185" s="180">
        <v>1918.5568416200001</v>
      </c>
      <c r="I185" s="180">
        <v>104.96571934000001</v>
      </c>
      <c r="J185" s="180">
        <v>228.02136705999996</v>
      </c>
      <c r="K185" s="180">
        <v>232.56659327999995</v>
      </c>
      <c r="L185" s="180">
        <v>1353.0031619400002</v>
      </c>
      <c r="M185" s="180">
        <v>10346.13180739</v>
      </c>
      <c r="N185" s="180">
        <v>2242.0657031199999</v>
      </c>
      <c r="O185" s="180">
        <v>621.1482193999999</v>
      </c>
      <c r="P185" s="180">
        <v>4397.0401643000005</v>
      </c>
      <c r="Q185" s="180">
        <v>3085.8777205699994</v>
      </c>
      <c r="R185" s="1577">
        <v>3066.7701548899995</v>
      </c>
      <c r="S185" s="1577">
        <v>2414.9094410199996</v>
      </c>
      <c r="T185" s="1577">
        <v>6118.7927604699998</v>
      </c>
      <c r="U185" s="1578">
        <v>8034.8300033999994</v>
      </c>
    </row>
    <row r="186" spans="1:21" ht="15.75">
      <c r="A186" s="625" t="s">
        <v>29</v>
      </c>
      <c r="B186" s="180">
        <v>20599.091444879999</v>
      </c>
      <c r="C186" s="180">
        <v>7561.1649168699996</v>
      </c>
      <c r="D186" s="180">
        <v>833.84853344999999</v>
      </c>
      <c r="E186" s="180">
        <v>1699.05114254</v>
      </c>
      <c r="F186" s="180">
        <v>1526.1741736200001</v>
      </c>
      <c r="G186" s="180">
        <v>3502.0910672599998</v>
      </c>
      <c r="H186" s="180">
        <v>1935.0288678900004</v>
      </c>
      <c r="I186" s="180">
        <v>118.85226854000001</v>
      </c>
      <c r="J186" s="180">
        <v>221.09402102000001</v>
      </c>
      <c r="K186" s="180">
        <v>233.61762527999994</v>
      </c>
      <c r="L186" s="180">
        <v>1361.4649530500003</v>
      </c>
      <c r="M186" s="180">
        <v>11102.897660120001</v>
      </c>
      <c r="N186" s="180">
        <v>2335.0621659400003</v>
      </c>
      <c r="O186" s="180">
        <v>477.63468647000002</v>
      </c>
      <c r="P186" s="180">
        <v>5255.53492018</v>
      </c>
      <c r="Q186" s="180">
        <v>3034.6658875300009</v>
      </c>
      <c r="R186" s="1577">
        <v>3287.7629679300003</v>
      </c>
      <c r="S186" s="1577">
        <v>2397.77985003</v>
      </c>
      <c r="T186" s="1577">
        <v>7015.3267190799997</v>
      </c>
      <c r="U186" s="1578">
        <v>7898.2219078400012</v>
      </c>
    </row>
    <row r="187" spans="1:21" ht="15.75">
      <c r="A187" s="625" t="s">
        <v>2038</v>
      </c>
      <c r="B187" s="18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577"/>
      <c r="S187" s="1577"/>
      <c r="T187" s="1577"/>
      <c r="U187" s="1578"/>
    </row>
    <row r="188" spans="1:21" ht="15.75">
      <c r="A188" s="625" t="s">
        <v>18</v>
      </c>
      <c r="B188" s="180">
        <v>20861.52014651</v>
      </c>
      <c r="C188" s="180">
        <v>7497.039985299999</v>
      </c>
      <c r="D188" s="180">
        <v>741.69174687999987</v>
      </c>
      <c r="E188" s="180">
        <v>1787.9554567299999</v>
      </c>
      <c r="F188" s="180">
        <v>1513.9568288600001</v>
      </c>
      <c r="G188" s="180">
        <v>3453.4359528299997</v>
      </c>
      <c r="H188" s="180">
        <v>1936.65975925</v>
      </c>
      <c r="I188" s="180">
        <v>144.86710582000003</v>
      </c>
      <c r="J188" s="180">
        <v>220.93961589999998</v>
      </c>
      <c r="K188" s="180">
        <v>247.70177226999994</v>
      </c>
      <c r="L188" s="180">
        <v>1323.1512652599999</v>
      </c>
      <c r="M188" s="180">
        <v>11427.82040196</v>
      </c>
      <c r="N188" s="180">
        <v>2047.5037671600001</v>
      </c>
      <c r="O188" s="180">
        <v>550.31400491000022</v>
      </c>
      <c r="P188" s="180">
        <v>5771.4759269099995</v>
      </c>
      <c r="Q188" s="180">
        <v>3058.5267029799993</v>
      </c>
      <c r="R188" s="1577">
        <v>2934.0626198599998</v>
      </c>
      <c r="S188" s="1577">
        <v>2559.2090775400002</v>
      </c>
      <c r="T188" s="1577">
        <v>7533.1345280400001</v>
      </c>
      <c r="U188" s="1578">
        <v>7835.1139210699994</v>
      </c>
    </row>
    <row r="189" spans="1:21" ht="15.75">
      <c r="A189" s="625" t="s">
        <v>19</v>
      </c>
      <c r="B189" s="180">
        <v>20686.631633080004</v>
      </c>
      <c r="C189" s="180">
        <v>7750.3027705800005</v>
      </c>
      <c r="D189" s="180">
        <v>993.99246617000017</v>
      </c>
      <c r="E189" s="180">
        <v>1941.1930086999998</v>
      </c>
      <c r="F189" s="180">
        <v>1478.1934614500001</v>
      </c>
      <c r="G189" s="180">
        <v>3336.9238342599997</v>
      </c>
      <c r="H189" s="180">
        <v>1869.7545668400003</v>
      </c>
      <c r="I189" s="180">
        <v>147.66554392</v>
      </c>
      <c r="J189" s="180">
        <v>240.07848050000001</v>
      </c>
      <c r="K189" s="180">
        <v>221.21629823999999</v>
      </c>
      <c r="L189" s="180">
        <v>1260.7942441800001</v>
      </c>
      <c r="M189" s="180">
        <v>11066.574295660002</v>
      </c>
      <c r="N189" s="180">
        <v>2051.2819356099999</v>
      </c>
      <c r="O189" s="180">
        <v>455.80533409000014</v>
      </c>
      <c r="P189" s="180">
        <v>5547.9412745000018</v>
      </c>
      <c r="Q189" s="180">
        <v>3011.5457514600007</v>
      </c>
      <c r="R189" s="1577">
        <v>3192.9399457</v>
      </c>
      <c r="S189" s="1577">
        <v>2637.07682329</v>
      </c>
      <c r="T189" s="1577">
        <v>7247.351034190001</v>
      </c>
      <c r="U189" s="1578">
        <v>7609.2638299</v>
      </c>
    </row>
    <row r="190" spans="1:21" ht="15.75">
      <c r="A190" s="625" t="s">
        <v>20</v>
      </c>
      <c r="B190" s="180">
        <v>20328.670449750007</v>
      </c>
      <c r="C190" s="180">
        <v>7657.1926146200003</v>
      </c>
      <c r="D190" s="180">
        <v>777.43081286999995</v>
      </c>
      <c r="E190" s="180">
        <v>1973.62260571</v>
      </c>
      <c r="F190" s="180">
        <v>1529.3477414099996</v>
      </c>
      <c r="G190" s="180">
        <v>3376.7914546299999</v>
      </c>
      <c r="H190" s="180">
        <v>1668.00005222</v>
      </c>
      <c r="I190" s="180">
        <v>149.86220959000002</v>
      </c>
      <c r="J190" s="180">
        <v>256.89918239999997</v>
      </c>
      <c r="K190" s="180">
        <v>216.26090340999997</v>
      </c>
      <c r="L190" s="180">
        <v>1044.97775682</v>
      </c>
      <c r="M190" s="180">
        <v>11003.47778291</v>
      </c>
      <c r="N190" s="180">
        <v>2473.2953953400001</v>
      </c>
      <c r="O190" s="180">
        <v>429.91169623000019</v>
      </c>
      <c r="P190" s="180">
        <v>5094.0225515599996</v>
      </c>
      <c r="Q190" s="180">
        <v>3006.2481397800002</v>
      </c>
      <c r="R190" s="1577">
        <v>3400.5884178000001</v>
      </c>
      <c r="S190" s="1577">
        <v>2660.4334843400002</v>
      </c>
      <c r="T190" s="1577">
        <v>6839.631196379999</v>
      </c>
      <c r="U190" s="1578">
        <v>7428.0173512299998</v>
      </c>
    </row>
    <row r="191" spans="1:21" ht="15.75">
      <c r="A191" s="625" t="s">
        <v>21</v>
      </c>
      <c r="B191" s="180">
        <v>20201.674806179999</v>
      </c>
      <c r="C191" s="180">
        <v>7881.3586957200005</v>
      </c>
      <c r="D191" s="180">
        <v>885.43564898999989</v>
      </c>
      <c r="E191" s="180">
        <v>2002.3976561900001</v>
      </c>
      <c r="F191" s="180">
        <v>1566.7741541099997</v>
      </c>
      <c r="G191" s="180">
        <v>3426.7512364299996</v>
      </c>
      <c r="H191" s="180">
        <v>1759.3374474699999</v>
      </c>
      <c r="I191" s="180">
        <v>275.18865254999997</v>
      </c>
      <c r="J191" s="180">
        <v>240.40940207</v>
      </c>
      <c r="K191" s="180">
        <v>482.56678790000001</v>
      </c>
      <c r="L191" s="180">
        <v>761.17260495000016</v>
      </c>
      <c r="M191" s="180">
        <v>10560.978662990001</v>
      </c>
      <c r="N191" s="180">
        <v>2249.7988475000006</v>
      </c>
      <c r="O191" s="180">
        <v>335.99090425000003</v>
      </c>
      <c r="P191" s="180">
        <v>4917.1091422399995</v>
      </c>
      <c r="Q191" s="180">
        <v>3058.0797690000004</v>
      </c>
      <c r="R191" s="1577">
        <v>3410.4231490400007</v>
      </c>
      <c r="S191" s="1577">
        <v>2578.7979625100002</v>
      </c>
      <c r="T191" s="1577">
        <v>6966.4500842499992</v>
      </c>
      <c r="U191" s="1578">
        <v>7246.0036103800003</v>
      </c>
    </row>
    <row r="192" spans="1:21" ht="15.75">
      <c r="A192" s="625" t="s">
        <v>22</v>
      </c>
      <c r="B192" s="180">
        <v>20130.535433860001</v>
      </c>
      <c r="C192" s="180">
        <v>7867.4841927100006</v>
      </c>
      <c r="D192" s="180">
        <v>822.95172704000026</v>
      </c>
      <c r="E192" s="180">
        <v>2096.2093240800004</v>
      </c>
      <c r="F192" s="180">
        <v>1478.5333535600003</v>
      </c>
      <c r="G192" s="180">
        <v>3469.7897880300002</v>
      </c>
      <c r="H192" s="180">
        <v>1730.5247752300002</v>
      </c>
      <c r="I192" s="180">
        <v>214.6185251</v>
      </c>
      <c r="J192" s="180">
        <v>250.74407776000001</v>
      </c>
      <c r="K192" s="180">
        <v>272.07418939000002</v>
      </c>
      <c r="L192" s="180">
        <v>993.08798298000022</v>
      </c>
      <c r="M192" s="180">
        <v>10532.52646592</v>
      </c>
      <c r="N192" s="180">
        <v>2313.3721713599998</v>
      </c>
      <c r="O192" s="180">
        <v>323.22554389000015</v>
      </c>
      <c r="P192" s="180">
        <v>4804.0745037299994</v>
      </c>
      <c r="Q192" s="180">
        <v>3091.8542469399999</v>
      </c>
      <c r="R192" s="1577">
        <v>3350.9424235000001</v>
      </c>
      <c r="S192" s="1577">
        <v>2670.1789457300006</v>
      </c>
      <c r="T192" s="1577">
        <v>6554.68204668</v>
      </c>
      <c r="U192" s="1578">
        <v>7554.7320179500002</v>
      </c>
    </row>
    <row r="193" spans="1:21" ht="15.75">
      <c r="A193" s="625" t="s">
        <v>23</v>
      </c>
      <c r="B193" s="180">
        <v>20439.065491319994</v>
      </c>
      <c r="C193" s="180">
        <v>8109.3167944799998</v>
      </c>
      <c r="D193" s="180">
        <v>917.95489522000003</v>
      </c>
      <c r="E193" s="180">
        <v>2130.7924515200002</v>
      </c>
      <c r="F193" s="180">
        <v>1480.20537528</v>
      </c>
      <c r="G193" s="180">
        <v>3580.36407246</v>
      </c>
      <c r="H193" s="180">
        <v>1732.32186559</v>
      </c>
      <c r="I193" s="180">
        <v>246.55818549</v>
      </c>
      <c r="J193" s="180">
        <v>252.02310839999998</v>
      </c>
      <c r="K193" s="180">
        <v>234.79285619000001</v>
      </c>
      <c r="L193" s="180">
        <v>998.94771551000008</v>
      </c>
      <c r="M193" s="180">
        <v>10597.426831250001</v>
      </c>
      <c r="N193" s="180">
        <v>2454.0385224700003</v>
      </c>
      <c r="O193" s="180">
        <v>302.4660808999995</v>
      </c>
      <c r="P193" s="180">
        <v>4733.0005721200005</v>
      </c>
      <c r="Q193" s="180">
        <v>3107.9216557600002</v>
      </c>
      <c r="R193" s="1577">
        <v>3618.5516031800003</v>
      </c>
      <c r="S193" s="1577">
        <v>2685.2816408199997</v>
      </c>
      <c r="T193" s="1577">
        <v>6447.9988035900005</v>
      </c>
      <c r="U193" s="1577">
        <v>7687.2334437300005</v>
      </c>
    </row>
    <row r="194" spans="1:21" ht="15.75">
      <c r="A194" s="625" t="s">
        <v>24</v>
      </c>
      <c r="B194" s="180">
        <v>20491.224001660001</v>
      </c>
      <c r="C194" s="180">
        <v>8049.5306197800001</v>
      </c>
      <c r="D194" s="180">
        <v>876.91558681000004</v>
      </c>
      <c r="E194" s="180">
        <v>2157.01236238</v>
      </c>
      <c r="F194" s="180">
        <v>1476.6492723500003</v>
      </c>
      <c r="G194" s="180">
        <v>3538.9533982399998</v>
      </c>
      <c r="H194" s="180">
        <v>1556.07739373</v>
      </c>
      <c r="I194" s="180">
        <v>110.53313078000004</v>
      </c>
      <c r="J194" s="180">
        <v>244.86243636999998</v>
      </c>
      <c r="K194" s="180">
        <v>215.73175524000001</v>
      </c>
      <c r="L194" s="180">
        <v>984.95007134000002</v>
      </c>
      <c r="M194" s="180">
        <v>10885.615988149999</v>
      </c>
      <c r="N194" s="180">
        <v>2772.1853539199997</v>
      </c>
      <c r="O194" s="180">
        <v>268.68012918999978</v>
      </c>
      <c r="P194" s="180">
        <v>4788.7361097599996</v>
      </c>
      <c r="Q194" s="180">
        <v>3056.0143952799999</v>
      </c>
      <c r="R194" s="1577">
        <v>3759.63407151</v>
      </c>
      <c r="S194" s="1577">
        <v>2670.5549279399997</v>
      </c>
      <c r="T194" s="1577">
        <v>6481.1171373500001</v>
      </c>
      <c r="U194" s="1577">
        <v>7579.91786486</v>
      </c>
    </row>
    <row r="195" spans="1:21" ht="15.75">
      <c r="A195" s="625" t="s">
        <v>25</v>
      </c>
      <c r="B195" s="180">
        <v>20590.612705210002</v>
      </c>
      <c r="C195" s="180">
        <v>8020.7721544300011</v>
      </c>
      <c r="D195" s="180">
        <v>827.40744354000014</v>
      </c>
      <c r="E195" s="180">
        <v>2139.4209975700001</v>
      </c>
      <c r="F195" s="180">
        <v>1484.7573798099997</v>
      </c>
      <c r="G195" s="180">
        <v>3569.1863335100006</v>
      </c>
      <c r="H195" s="180">
        <v>1581.0102847500002</v>
      </c>
      <c r="I195" s="180">
        <v>115.71787568000001</v>
      </c>
      <c r="J195" s="180">
        <v>246.15046806000001</v>
      </c>
      <c r="K195" s="180">
        <v>230.84662654999997</v>
      </c>
      <c r="L195" s="180">
        <v>988.2953144600001</v>
      </c>
      <c r="M195" s="180">
        <v>10988.83026603</v>
      </c>
      <c r="N195" s="180">
        <v>2865.3715612500005</v>
      </c>
      <c r="O195" s="180">
        <v>249.92063820999974</v>
      </c>
      <c r="P195" s="180">
        <v>4705.4700131899999</v>
      </c>
      <c r="Q195" s="180">
        <v>3168.06805338</v>
      </c>
      <c r="R195" s="1577">
        <v>3808.4968804700006</v>
      </c>
      <c r="S195" s="1577">
        <v>2635.4921038399998</v>
      </c>
      <c r="T195" s="1577">
        <v>6421.0740195500002</v>
      </c>
      <c r="U195" s="1577">
        <v>7725.5497013500008</v>
      </c>
    </row>
    <row r="196" spans="1:21" ht="15.75">
      <c r="A196" s="625" t="s">
        <v>26</v>
      </c>
      <c r="B196" s="180">
        <v>21583.579528689999</v>
      </c>
      <c r="C196" s="180">
        <v>8199.1276429999998</v>
      </c>
      <c r="D196" s="180">
        <v>976.05798141000002</v>
      </c>
      <c r="E196" s="180">
        <v>2094.1830284900002</v>
      </c>
      <c r="F196" s="180">
        <v>1655.8324848999998</v>
      </c>
      <c r="G196" s="180">
        <v>3473.0541481999999</v>
      </c>
      <c r="H196" s="180">
        <v>1632.0445377999997</v>
      </c>
      <c r="I196" s="180">
        <v>120.29472337000001</v>
      </c>
      <c r="J196" s="180">
        <v>254.26338566000001</v>
      </c>
      <c r="K196" s="180">
        <v>248.28851724</v>
      </c>
      <c r="L196" s="180">
        <v>1009.1979115299999</v>
      </c>
      <c r="M196" s="180">
        <v>11752.407347889999</v>
      </c>
      <c r="N196" s="180">
        <v>3334.1386971699999</v>
      </c>
      <c r="O196" s="180">
        <v>260.9148331600004</v>
      </c>
      <c r="P196" s="180">
        <v>4959.5581386899985</v>
      </c>
      <c r="Q196" s="180">
        <v>3197.7956788700003</v>
      </c>
      <c r="R196" s="1577">
        <v>4430.4914019500002</v>
      </c>
      <c r="S196" s="1577">
        <v>2609.3612473100006</v>
      </c>
      <c r="T196" s="1577">
        <v>6863.6791408299987</v>
      </c>
      <c r="U196" s="1577">
        <v>7680.0477386000002</v>
      </c>
    </row>
    <row r="197" spans="1:21" ht="15.75">
      <c r="A197" s="625" t="s">
        <v>27</v>
      </c>
      <c r="B197" s="180">
        <v>22003.129238079997</v>
      </c>
      <c r="C197" s="180">
        <v>8140.0415015399994</v>
      </c>
      <c r="D197" s="180">
        <v>893.81149075000019</v>
      </c>
      <c r="E197" s="180">
        <v>2074.3308062799997</v>
      </c>
      <c r="F197" s="180">
        <v>1688.1541165600001</v>
      </c>
      <c r="G197" s="180">
        <v>3483.7450879500002</v>
      </c>
      <c r="H197" s="180">
        <v>1591.82904242</v>
      </c>
      <c r="I197" s="180">
        <v>145.37616427000003</v>
      </c>
      <c r="J197" s="180">
        <v>255.41448873999997</v>
      </c>
      <c r="K197" s="180">
        <v>241.97430420999999</v>
      </c>
      <c r="L197" s="180">
        <v>949.06408519999991</v>
      </c>
      <c r="M197" s="180">
        <v>12271.258694120001</v>
      </c>
      <c r="N197" s="180">
        <v>3691.4278198499987</v>
      </c>
      <c r="O197" s="180">
        <v>293.21622350999979</v>
      </c>
      <c r="P197" s="180">
        <v>5067.2275998400019</v>
      </c>
      <c r="Q197" s="180">
        <v>3219.3870509200005</v>
      </c>
      <c r="R197" s="1577">
        <v>4730.6154748699992</v>
      </c>
      <c r="S197" s="1577">
        <v>2622.9615185299995</v>
      </c>
      <c r="T197" s="1577">
        <v>6997.3560206100019</v>
      </c>
      <c r="U197" s="1577">
        <v>7652.1962240700004</v>
      </c>
    </row>
    <row r="198" spans="1:21" ht="15.75">
      <c r="A198" s="625" t="s">
        <v>28</v>
      </c>
      <c r="B198" s="180">
        <v>21990.067519420001</v>
      </c>
      <c r="C198" s="180">
        <v>8073.4974073799995</v>
      </c>
      <c r="D198" s="180">
        <v>923.0870461799999</v>
      </c>
      <c r="E198" s="180">
        <v>2099.3108494900002</v>
      </c>
      <c r="F198" s="180">
        <v>1677.2828869399998</v>
      </c>
      <c r="G198" s="180">
        <v>3373.8166247699996</v>
      </c>
      <c r="H198" s="180">
        <v>1546.8912431799999</v>
      </c>
      <c r="I198" s="180">
        <v>145.86218808000004</v>
      </c>
      <c r="J198" s="180">
        <v>261.26343091000001</v>
      </c>
      <c r="K198" s="180">
        <v>229.18376868999999</v>
      </c>
      <c r="L198" s="180">
        <v>910.58185549999996</v>
      </c>
      <c r="M198" s="180">
        <v>12369.678868860001</v>
      </c>
      <c r="N198" s="180">
        <v>3603.5296542700003</v>
      </c>
      <c r="O198" s="180">
        <v>361.18702701000018</v>
      </c>
      <c r="P198" s="180">
        <v>5297.4777855400007</v>
      </c>
      <c r="Q198" s="180">
        <v>3107.4844020399996</v>
      </c>
      <c r="R198" s="1577">
        <v>4672.4788885300004</v>
      </c>
      <c r="S198" s="1577">
        <v>2721.7613074100004</v>
      </c>
      <c r="T198" s="1577">
        <v>7203.9444411700006</v>
      </c>
      <c r="U198" s="1577">
        <v>7391.8828823099993</v>
      </c>
    </row>
    <row r="199" spans="1:21" ht="15.75">
      <c r="A199" s="625" t="s">
        <v>29</v>
      </c>
      <c r="B199" s="180">
        <v>21870.407654459999</v>
      </c>
      <c r="C199" s="180">
        <v>8375.3809737499996</v>
      </c>
      <c r="D199" s="180">
        <v>1042.0562517200003</v>
      </c>
      <c r="E199" s="180">
        <v>2100.1668999799999</v>
      </c>
      <c r="F199" s="180">
        <v>1751.4342278399995</v>
      </c>
      <c r="G199" s="180">
        <v>3481.7235942099996</v>
      </c>
      <c r="H199" s="180">
        <v>1547.6521935900003</v>
      </c>
      <c r="I199" s="180">
        <v>120.43640258000001</v>
      </c>
      <c r="J199" s="180">
        <v>299.73629445000006</v>
      </c>
      <c r="K199" s="180">
        <v>254.39862756999997</v>
      </c>
      <c r="L199" s="180">
        <v>873.08086899000023</v>
      </c>
      <c r="M199" s="180">
        <v>11947.374487119998</v>
      </c>
      <c r="N199" s="180">
        <v>3773.0375790300009</v>
      </c>
      <c r="O199" s="180">
        <v>246.30038732999992</v>
      </c>
      <c r="P199" s="180">
        <v>5072.423194269998</v>
      </c>
      <c r="Q199" s="180">
        <v>2855.61332649</v>
      </c>
      <c r="R199" s="1577">
        <v>4935.5302333300015</v>
      </c>
      <c r="S199" s="1577">
        <v>2646.2035817599999</v>
      </c>
      <c r="T199" s="1577">
        <v>7078.2560496799979</v>
      </c>
      <c r="U199" s="1577">
        <v>7210.4177896900001</v>
      </c>
    </row>
    <row r="200" spans="1:21" ht="15.75">
      <c r="A200" s="625" t="s">
        <v>2131</v>
      </c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577"/>
      <c r="S200" s="1577"/>
      <c r="T200" s="1577"/>
      <c r="U200" s="1577"/>
    </row>
    <row r="201" spans="1:21" ht="15.75">
      <c r="A201" s="625" t="s">
        <v>18</v>
      </c>
      <c r="B201" s="180">
        <v>21978.147033900004</v>
      </c>
      <c r="C201" s="180">
        <v>8075.9421830599995</v>
      </c>
      <c r="D201" s="180">
        <v>902.81743503999996</v>
      </c>
      <c r="E201" s="180">
        <v>2125.2112483599999</v>
      </c>
      <c r="F201" s="180">
        <v>1650.8776774099995</v>
      </c>
      <c r="G201" s="180">
        <v>3397.0358222499999</v>
      </c>
      <c r="H201" s="180">
        <v>1670.5081310600001</v>
      </c>
      <c r="I201" s="180">
        <v>128.46202484000003</v>
      </c>
      <c r="J201" s="180">
        <v>352.06054181999997</v>
      </c>
      <c r="K201" s="180">
        <v>313.29287337</v>
      </c>
      <c r="L201" s="180">
        <v>876.69269103000011</v>
      </c>
      <c r="M201" s="180">
        <v>12231.696719780002</v>
      </c>
      <c r="N201" s="180">
        <v>3621.4121775499998</v>
      </c>
      <c r="O201" s="180">
        <v>238.65287355999982</v>
      </c>
      <c r="P201" s="180">
        <v>5185.3854249700007</v>
      </c>
      <c r="Q201" s="180">
        <v>3186.2462437000013</v>
      </c>
      <c r="R201" s="1577">
        <v>4652.6916374299999</v>
      </c>
      <c r="S201" s="1577">
        <v>2715.9246637399997</v>
      </c>
      <c r="T201" s="1577">
        <v>7149.5559757500005</v>
      </c>
      <c r="U201" s="1577">
        <v>7459.9747569800011</v>
      </c>
    </row>
    <row r="202" spans="1:21" ht="15.75">
      <c r="A202" s="625" t="s">
        <v>19</v>
      </c>
      <c r="B202" s="180">
        <v>22401.551348590001</v>
      </c>
      <c r="C202" s="180">
        <v>8214.0440353800004</v>
      </c>
      <c r="D202" s="180">
        <v>1164.92700747</v>
      </c>
      <c r="E202" s="180">
        <v>2166.5879768999998</v>
      </c>
      <c r="F202" s="180">
        <v>1696.6585533500001</v>
      </c>
      <c r="G202" s="180">
        <v>3185.8704976599997</v>
      </c>
      <c r="H202" s="180">
        <v>1534.2443533200001</v>
      </c>
      <c r="I202" s="180">
        <v>136.92783763000003</v>
      </c>
      <c r="J202" s="180">
        <v>374.74579917999995</v>
      </c>
      <c r="K202" s="180">
        <v>221.06890501000001</v>
      </c>
      <c r="L202" s="180">
        <v>801.50181149999992</v>
      </c>
      <c r="M202" s="180">
        <v>12653.262959890002</v>
      </c>
      <c r="N202" s="180">
        <v>3751.9914505499992</v>
      </c>
      <c r="O202" s="180">
        <v>235.38169299000015</v>
      </c>
      <c r="P202" s="180">
        <v>5506.9495701900014</v>
      </c>
      <c r="Q202" s="180">
        <v>3158.9402461600002</v>
      </c>
      <c r="R202" s="1577">
        <v>5053.8462956499989</v>
      </c>
      <c r="S202" s="1577">
        <v>2776.7154690699999</v>
      </c>
      <c r="T202" s="1577">
        <v>7424.6770285500015</v>
      </c>
      <c r="U202" s="1577">
        <v>7146.3125553199998</v>
      </c>
    </row>
    <row r="203" spans="1:21" ht="15.75">
      <c r="A203" s="625" t="s">
        <v>20</v>
      </c>
      <c r="B203" s="180">
        <v>22124.25300665</v>
      </c>
      <c r="C203" s="180">
        <v>8339.0993364300011</v>
      </c>
      <c r="D203" s="180">
        <v>991.50181295999994</v>
      </c>
      <c r="E203" s="180">
        <v>2305.8890213599993</v>
      </c>
      <c r="F203" s="180">
        <v>1859.2526174000002</v>
      </c>
      <c r="G203" s="180">
        <v>3182.4558847100006</v>
      </c>
      <c r="H203" s="180">
        <v>1712.9676124799998</v>
      </c>
      <c r="I203" s="180">
        <v>134.77568668000004</v>
      </c>
      <c r="J203" s="180">
        <v>359.84731195000001</v>
      </c>
      <c r="K203" s="180">
        <v>425.28097584999995</v>
      </c>
      <c r="L203" s="180">
        <v>793.06363799999986</v>
      </c>
      <c r="M203" s="180">
        <v>12072.186057740004</v>
      </c>
      <c r="N203" s="180">
        <v>3469.227153020001</v>
      </c>
      <c r="O203" s="180">
        <v>243.8766310800001</v>
      </c>
      <c r="P203" s="180">
        <v>5209.6765786200021</v>
      </c>
      <c r="Q203" s="180">
        <v>3149.4056950200002</v>
      </c>
      <c r="R203" s="1577">
        <v>4595.5046526600008</v>
      </c>
      <c r="S203" s="1577">
        <v>2909.6129643899994</v>
      </c>
      <c r="T203" s="1577">
        <v>7494.2101718700023</v>
      </c>
      <c r="U203" s="1577">
        <v>7124.9252177300004</v>
      </c>
    </row>
    <row r="204" spans="1:21" ht="15.75">
      <c r="A204" s="625" t="s">
        <v>21</v>
      </c>
      <c r="B204" s="180">
        <v>22132.041015399995</v>
      </c>
      <c r="C204" s="180">
        <v>8714.9740302499995</v>
      </c>
      <c r="D204" s="180">
        <v>1292.2645679399998</v>
      </c>
      <c r="E204" s="180">
        <v>2328.7708591099995</v>
      </c>
      <c r="F204" s="180">
        <v>1923.67850082</v>
      </c>
      <c r="G204" s="180">
        <v>3170.2601023799998</v>
      </c>
      <c r="H204" s="180">
        <v>1618.4195748999998</v>
      </c>
      <c r="I204" s="180">
        <v>186.56348684000002</v>
      </c>
      <c r="J204" s="180">
        <v>377.43569365999997</v>
      </c>
      <c r="K204" s="180">
        <v>306.23757552999996</v>
      </c>
      <c r="L204" s="180">
        <v>748.18281887000001</v>
      </c>
      <c r="M204" s="180">
        <v>11798.64741025</v>
      </c>
      <c r="N204" s="180">
        <v>3460.9888329799992</v>
      </c>
      <c r="O204" s="180">
        <v>271.99102768000034</v>
      </c>
      <c r="P204" s="180">
        <v>4950.1494897800003</v>
      </c>
      <c r="Q204" s="180">
        <v>3115.5180598099996</v>
      </c>
      <c r="R204" s="1577">
        <v>4939.8168877599992</v>
      </c>
      <c r="S204" s="1577">
        <v>2978.1975804499998</v>
      </c>
      <c r="T204" s="1577">
        <v>7180.0655661300007</v>
      </c>
      <c r="U204" s="1577">
        <v>7033.9609810599995</v>
      </c>
    </row>
    <row r="205" spans="1:21" ht="15.75">
      <c r="A205" s="625" t="s">
        <v>22</v>
      </c>
      <c r="B205" s="180">
        <v>21982.192593719999</v>
      </c>
      <c r="C205" s="180">
        <v>8622.9238094700013</v>
      </c>
      <c r="D205" s="180">
        <v>1364.93147576</v>
      </c>
      <c r="E205" s="180">
        <v>2307.5576692700001</v>
      </c>
      <c r="F205" s="180">
        <v>1848.7420827800001</v>
      </c>
      <c r="G205" s="180">
        <v>3101.6925816600001</v>
      </c>
      <c r="H205" s="180">
        <v>1618.6819249300002</v>
      </c>
      <c r="I205" s="180">
        <v>248.79491315000001</v>
      </c>
      <c r="J205" s="180">
        <v>364.61199192000004</v>
      </c>
      <c r="K205" s="180">
        <v>436.78800480999996</v>
      </c>
      <c r="L205" s="180">
        <v>568.48701505000008</v>
      </c>
      <c r="M205" s="180">
        <v>11740.586859320001</v>
      </c>
      <c r="N205" s="180">
        <v>3536.5904506299999</v>
      </c>
      <c r="O205" s="180">
        <v>254.58621842999992</v>
      </c>
      <c r="P205" s="180">
        <v>4499.0295486300001</v>
      </c>
      <c r="Q205" s="180">
        <v>3450.3806416300008</v>
      </c>
      <c r="R205" s="1577">
        <v>5150.3168395399998</v>
      </c>
      <c r="S205" s="1577">
        <v>2926.7558796200001</v>
      </c>
      <c r="T205" s="1577">
        <v>6784.5596362199994</v>
      </c>
      <c r="U205" s="1577">
        <v>7120.560238340001</v>
      </c>
    </row>
    <row r="206" spans="1:21" ht="15.75">
      <c r="A206" s="625" t="s">
        <v>23</v>
      </c>
      <c r="B206" s="180">
        <v>22128.01744766</v>
      </c>
      <c r="C206" s="180">
        <v>8736.2501463300014</v>
      </c>
      <c r="D206" s="180">
        <v>1490.1192988600001</v>
      </c>
      <c r="E206" s="180">
        <v>2310.8791879800001</v>
      </c>
      <c r="F206" s="180">
        <v>1880.58518542</v>
      </c>
      <c r="G206" s="180">
        <v>3054.6664740700003</v>
      </c>
      <c r="H206" s="180">
        <v>1606.4333407899999</v>
      </c>
      <c r="I206" s="180">
        <v>218.63070220000003</v>
      </c>
      <c r="J206" s="180">
        <v>353.05318718999996</v>
      </c>
      <c r="K206" s="180">
        <v>289.60498548999999</v>
      </c>
      <c r="L206" s="180">
        <v>745.14446590999978</v>
      </c>
      <c r="M206" s="180">
        <v>11785.333960540001</v>
      </c>
      <c r="N206" s="180">
        <v>3552.225120300001</v>
      </c>
      <c r="O206" s="180">
        <v>290.71144079999959</v>
      </c>
      <c r="P206" s="180">
        <v>4282.1283450500005</v>
      </c>
      <c r="Q206" s="180">
        <v>3660.2690543900007</v>
      </c>
      <c r="R206" s="1577">
        <v>5260.9751213600011</v>
      </c>
      <c r="S206" s="1577">
        <v>2954.6438159699997</v>
      </c>
      <c r="T206" s="1577">
        <v>6452.3185159600007</v>
      </c>
      <c r="U206" s="1577">
        <v>7460.0799943700003</v>
      </c>
    </row>
    <row r="207" spans="1:21" ht="15.75">
      <c r="A207" s="625" t="s">
        <v>24</v>
      </c>
      <c r="B207" s="180">
        <v>22383.870138889997</v>
      </c>
      <c r="C207" s="180">
        <v>8580.0406136500005</v>
      </c>
      <c r="D207" s="180">
        <v>1373.56801133</v>
      </c>
      <c r="E207" s="180">
        <v>2371.1013260300001</v>
      </c>
      <c r="F207" s="180">
        <v>1821.4772125100001</v>
      </c>
      <c r="G207" s="180">
        <v>3013.8940637800001</v>
      </c>
      <c r="H207" s="180">
        <v>1601.1523181299999</v>
      </c>
      <c r="I207" s="180">
        <v>172.32812251999999</v>
      </c>
      <c r="J207" s="180">
        <v>369.09763309999994</v>
      </c>
      <c r="K207" s="180">
        <v>257.51666296999997</v>
      </c>
      <c r="L207" s="180">
        <v>802.20989954000004</v>
      </c>
      <c r="M207" s="180">
        <v>12202.677207109999</v>
      </c>
      <c r="N207" s="180">
        <v>3852.5205400499995</v>
      </c>
      <c r="O207" s="180">
        <v>294.26403768999967</v>
      </c>
      <c r="P207" s="180">
        <v>4154.0741544599996</v>
      </c>
      <c r="Q207" s="180">
        <v>3901.818474910001</v>
      </c>
      <c r="R207" s="1577">
        <v>5398.4166738999993</v>
      </c>
      <c r="S207" s="1577">
        <v>3034.4629968199997</v>
      </c>
      <c r="T207" s="1577">
        <v>6233.0680299399992</v>
      </c>
      <c r="U207" s="1577">
        <v>7717.9224382300008</v>
      </c>
    </row>
    <row r="208" spans="1:21" ht="15.75">
      <c r="A208" s="625" t="s">
        <v>25</v>
      </c>
      <c r="B208" s="180">
        <v>22447.264083229999</v>
      </c>
      <c r="C208" s="180">
        <v>8561.8422749700003</v>
      </c>
      <c r="D208" s="180">
        <v>1340.0595577399997</v>
      </c>
      <c r="E208" s="180">
        <v>2425.5099294099996</v>
      </c>
      <c r="F208" s="180">
        <v>1758.04778786</v>
      </c>
      <c r="G208" s="180">
        <v>3038.2249999600003</v>
      </c>
      <c r="H208" s="180">
        <v>1657.7456359899998</v>
      </c>
      <c r="I208" s="180">
        <v>166.40470959000001</v>
      </c>
      <c r="J208" s="180">
        <v>370.50685606000002</v>
      </c>
      <c r="K208" s="180">
        <v>287.36756570000006</v>
      </c>
      <c r="L208" s="180">
        <v>833.46650463999981</v>
      </c>
      <c r="M208" s="180">
        <f>SUM(N208:Q208)</f>
        <v>12227.676172269999</v>
      </c>
      <c r="N208" s="180">
        <f t="shared" ref="N208:Q211" si="31">(R208-D208-I208)</f>
        <v>3712.0350740399995</v>
      </c>
      <c r="O208" s="180">
        <f t="shared" si="31"/>
        <v>301.59347354000033</v>
      </c>
      <c r="P208" s="180">
        <f t="shared" si="31"/>
        <v>4279.8799560799998</v>
      </c>
      <c r="Q208" s="180">
        <f t="shared" si="31"/>
        <v>3934.1676686100009</v>
      </c>
      <c r="R208" s="56">
        <v>5218.4993413699995</v>
      </c>
      <c r="S208" s="56">
        <v>3097.6102590099999</v>
      </c>
      <c r="T208" s="56">
        <v>6325.2953096399997</v>
      </c>
      <c r="U208" s="56">
        <v>7805.8591732100003</v>
      </c>
    </row>
    <row r="209" spans="1:21" ht="15.75">
      <c r="A209" s="625" t="s">
        <v>26</v>
      </c>
      <c r="B209" s="180">
        <v>23437.240016809999</v>
      </c>
      <c r="C209" s="180">
        <v>8605.3062544799996</v>
      </c>
      <c r="D209" s="180">
        <v>1362.02321368</v>
      </c>
      <c r="E209" s="180">
        <v>2448.1825514699995</v>
      </c>
      <c r="F209" s="180">
        <v>1750.5513910699999</v>
      </c>
      <c r="G209" s="180">
        <v>3044.5490982600004</v>
      </c>
      <c r="H209" s="180">
        <v>1684.0702638899998</v>
      </c>
      <c r="I209" s="180">
        <v>187.71154712999999</v>
      </c>
      <c r="J209" s="180">
        <v>377.29704256000002</v>
      </c>
      <c r="K209" s="180">
        <v>281.27990369999998</v>
      </c>
      <c r="L209" s="180">
        <v>837.78177049999999</v>
      </c>
      <c r="M209" s="180">
        <f>SUM(N209:Q209)</f>
        <v>13147.863498439998</v>
      </c>
      <c r="N209" s="180">
        <f t="shared" si="31"/>
        <v>3904.9015920200009</v>
      </c>
      <c r="O209" s="180">
        <f t="shared" si="31"/>
        <v>262.37005555000007</v>
      </c>
      <c r="P209" s="180">
        <f t="shared" si="31"/>
        <v>4895.0862366699985</v>
      </c>
      <c r="Q209" s="180">
        <f t="shared" si="31"/>
        <v>4085.5056142000003</v>
      </c>
      <c r="R209" s="56">
        <v>5454.6363528300008</v>
      </c>
      <c r="S209" s="56">
        <v>3087.8496495799996</v>
      </c>
      <c r="T209" s="56">
        <v>6926.9175314399981</v>
      </c>
      <c r="U209" s="56">
        <v>7967.8364829600005</v>
      </c>
    </row>
    <row r="210" spans="1:21" ht="15.75">
      <c r="A210" s="625" t="s">
        <v>27</v>
      </c>
      <c r="B210" s="180">
        <v>23413.52268233</v>
      </c>
      <c r="C210" s="180">
        <v>8811.10468674</v>
      </c>
      <c r="D210" s="180">
        <v>1451.0521270500003</v>
      </c>
      <c r="E210" s="180">
        <v>2475.6824578100004</v>
      </c>
      <c r="F210" s="180">
        <v>1825.99104902</v>
      </c>
      <c r="G210" s="180">
        <v>3058.3790528599998</v>
      </c>
      <c r="H210" s="180">
        <v>1704.05773329</v>
      </c>
      <c r="I210" s="180">
        <v>162.89158561000002</v>
      </c>
      <c r="J210" s="180">
        <v>412.47969509000001</v>
      </c>
      <c r="K210" s="180">
        <v>277.78935122000001</v>
      </c>
      <c r="L210" s="180">
        <v>850.89710136999986</v>
      </c>
      <c r="M210" s="180">
        <f>SUM(N210:Q210)</f>
        <v>12898.360262300001</v>
      </c>
      <c r="N210" s="180">
        <f t="shared" si="31"/>
        <v>3823.5505593999997</v>
      </c>
      <c r="O210" s="180">
        <f t="shared" si="31"/>
        <v>250.31645936999979</v>
      </c>
      <c r="P210" s="180">
        <f t="shared" si="31"/>
        <v>4889.2858862600006</v>
      </c>
      <c r="Q210" s="180">
        <f t="shared" si="31"/>
        <v>3935.2073572700006</v>
      </c>
      <c r="R210" s="56">
        <v>5437.4942720600002</v>
      </c>
      <c r="S210" s="56">
        <v>3138.4786122700002</v>
      </c>
      <c r="T210" s="56">
        <v>6993.0662865000004</v>
      </c>
      <c r="U210" s="56">
        <v>7844.4835114999996</v>
      </c>
    </row>
    <row r="211" spans="1:21" ht="15.75">
      <c r="A211" s="625" t="s">
        <v>28</v>
      </c>
      <c r="B211" s="180">
        <v>23579.109019219999</v>
      </c>
      <c r="C211" s="180">
        <v>8681.5184964199998</v>
      </c>
      <c r="D211" s="180">
        <v>1511.5276151200001</v>
      </c>
      <c r="E211" s="180">
        <v>2476.8654775800001</v>
      </c>
      <c r="F211" s="180">
        <v>1597.6966929000002</v>
      </c>
      <c r="G211" s="180">
        <v>3095.4287108199997</v>
      </c>
      <c r="H211" s="180">
        <v>1708.3840644699999</v>
      </c>
      <c r="I211" s="180">
        <v>190.63447908999999</v>
      </c>
      <c r="J211" s="180">
        <v>399.51643851</v>
      </c>
      <c r="K211" s="180">
        <v>258.15939763999995</v>
      </c>
      <c r="L211" s="180">
        <v>860.07374922999998</v>
      </c>
      <c r="M211" s="180">
        <f>SUM(N211:Q211)</f>
        <v>13189.206458330002</v>
      </c>
      <c r="N211" s="180">
        <f t="shared" si="31"/>
        <v>3933.8915286700017</v>
      </c>
      <c r="O211" s="180">
        <f t="shared" si="31"/>
        <v>254.52999749000008</v>
      </c>
      <c r="P211" s="180">
        <f t="shared" si="31"/>
        <v>4974.4899288100005</v>
      </c>
      <c r="Q211" s="180">
        <f t="shared" si="31"/>
        <v>4026.2950033599996</v>
      </c>
      <c r="R211" s="56">
        <v>5636.0536228800011</v>
      </c>
      <c r="S211" s="56">
        <v>3130.9119135800001</v>
      </c>
      <c r="T211" s="56">
        <v>6830.3460193500005</v>
      </c>
      <c r="U211" s="56">
        <v>7981.7974634099992</v>
      </c>
    </row>
    <row r="212" spans="1:21" ht="15.75">
      <c r="A212" s="625" t="s">
        <v>29</v>
      </c>
      <c r="B212" s="180">
        <v>24746.031022520001</v>
      </c>
      <c r="C212" s="180">
        <v>8637.9155303499992</v>
      </c>
      <c r="D212" s="180">
        <v>1565.5802501900002</v>
      </c>
      <c r="E212" s="180">
        <v>2567.1526578300004</v>
      </c>
      <c r="F212" s="180">
        <v>1389.4840974699998</v>
      </c>
      <c r="G212" s="180">
        <v>3115.6985248599995</v>
      </c>
      <c r="H212" s="180">
        <v>1726.6562713799999</v>
      </c>
      <c r="I212" s="180">
        <v>178.65218595999997</v>
      </c>
      <c r="J212" s="180">
        <v>406.05254871</v>
      </c>
      <c r="K212" s="180">
        <v>256.23387382999994</v>
      </c>
      <c r="L212" s="180">
        <v>885.71766288000003</v>
      </c>
      <c r="M212" s="180">
        <f>SUM(N212:Q212)</f>
        <v>14381.459220790002</v>
      </c>
      <c r="N212" s="180">
        <f>(R212-D212-I212)</f>
        <v>4695.9048427199996</v>
      </c>
      <c r="O212" s="180">
        <f>(S212-E212-J212)</f>
        <v>244.25606162999964</v>
      </c>
      <c r="P212" s="180">
        <f>(T212-F212-K212)</f>
        <v>5437.7147398100014</v>
      </c>
      <c r="Q212" s="180">
        <f>(U212-G212-L212)</f>
        <v>4003.5835766300006</v>
      </c>
      <c r="R212" s="56">
        <v>6440.13727887</v>
      </c>
      <c r="S212" s="56">
        <v>3217.46126817</v>
      </c>
      <c r="T212" s="56">
        <v>7083.432711110001</v>
      </c>
      <c r="U212" s="56">
        <v>8004.9997643699999</v>
      </c>
    </row>
    <row r="213" spans="1:21" ht="15.75">
      <c r="A213" s="625" t="s">
        <v>2362</v>
      </c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56"/>
      <c r="S213" s="56"/>
      <c r="T213" s="56"/>
      <c r="U213" s="56"/>
    </row>
    <row r="214" spans="1:21" ht="15.75">
      <c r="A214" s="625" t="s">
        <v>18</v>
      </c>
      <c r="B214" s="180">
        <v>24837.149398470006</v>
      </c>
      <c r="C214" s="180">
        <v>8588.4792337400013</v>
      </c>
      <c r="D214" s="180">
        <v>1566.0216184400003</v>
      </c>
      <c r="E214" s="180">
        <v>2633.83396038</v>
      </c>
      <c r="F214" s="180">
        <v>1362.7845814199998</v>
      </c>
      <c r="G214" s="180">
        <v>3025.8390735000003</v>
      </c>
      <c r="H214" s="180">
        <v>1742.9652537599998</v>
      </c>
      <c r="I214" s="180">
        <v>180.23337121</v>
      </c>
      <c r="J214" s="180">
        <v>413.12178333999992</v>
      </c>
      <c r="K214" s="180">
        <v>282.43710074999996</v>
      </c>
      <c r="L214" s="180">
        <v>867.17299845999992</v>
      </c>
      <c r="M214" s="180">
        <f>SUM(N214:Q214)</f>
        <v>14505.704910970002</v>
      </c>
      <c r="N214" s="180">
        <f t="shared" ref="N214:Q215" si="32">(R214-D214-I214)</f>
        <v>4642.3925820800014</v>
      </c>
      <c r="O214" s="180">
        <f t="shared" si="32"/>
        <v>198.22879315000017</v>
      </c>
      <c r="P214" s="180">
        <f t="shared" si="32"/>
        <v>5967.4117495699993</v>
      </c>
      <c r="Q214" s="180">
        <f t="shared" si="32"/>
        <v>3697.6717861700008</v>
      </c>
      <c r="R214" s="56">
        <v>6388.6475717300018</v>
      </c>
      <c r="S214" s="56">
        <v>3245.1845368700001</v>
      </c>
      <c r="T214" s="56">
        <v>7612.6334317399997</v>
      </c>
      <c r="U214" s="56">
        <v>7590.6838581300008</v>
      </c>
    </row>
    <row r="215" spans="1:21" ht="15.75">
      <c r="A215" s="625" t="s">
        <v>19</v>
      </c>
      <c r="B215" s="180">
        <v>24934.571062599996</v>
      </c>
      <c r="C215" s="180">
        <v>8694.4112436699997</v>
      </c>
      <c r="D215" s="180">
        <v>1491.2587033799998</v>
      </c>
      <c r="E215" s="180">
        <v>2631.4777248400001</v>
      </c>
      <c r="F215" s="180">
        <v>1600.5365522499997</v>
      </c>
      <c r="G215" s="180">
        <v>2971.1382632</v>
      </c>
      <c r="H215" s="180">
        <v>2043.1267787799998</v>
      </c>
      <c r="I215" s="180">
        <v>178.39506011</v>
      </c>
      <c r="J215" s="180">
        <v>447.80838563999998</v>
      </c>
      <c r="K215" s="180">
        <v>215.40115444999998</v>
      </c>
      <c r="L215" s="180">
        <v>1201.5221785799999</v>
      </c>
      <c r="M215" s="180">
        <f>SUM(N215:Q215)</f>
        <v>14197.03304015</v>
      </c>
      <c r="N215" s="180">
        <f t="shared" si="32"/>
        <v>4845.2766693200001</v>
      </c>
      <c r="O215" s="180">
        <f t="shared" si="32"/>
        <v>218.05054255999983</v>
      </c>
      <c r="P215" s="180">
        <f t="shared" si="32"/>
        <v>5456.9155036600005</v>
      </c>
      <c r="Q215" s="180">
        <f t="shared" si="32"/>
        <v>3676.79032461</v>
      </c>
      <c r="R215" s="56">
        <v>6514.9304328099997</v>
      </c>
      <c r="S215" s="56">
        <v>3297.3366530399999</v>
      </c>
      <c r="T215" s="56">
        <v>7272.85321036</v>
      </c>
      <c r="U215" s="56">
        <v>7849.4507663900004</v>
      </c>
    </row>
    <row r="216" spans="1:21" ht="15.75">
      <c r="A216" s="625" t="s">
        <v>20</v>
      </c>
      <c r="B216" s="180">
        <v>24085.053561459998</v>
      </c>
      <c r="C216" s="180">
        <v>8251.70134512</v>
      </c>
      <c r="D216" s="180">
        <v>1334.2123969199999</v>
      </c>
      <c r="E216" s="180">
        <v>2367.5078618699995</v>
      </c>
      <c r="F216" s="180">
        <v>1482.0835882999997</v>
      </c>
      <c r="G216" s="180">
        <v>3067.89749803</v>
      </c>
      <c r="H216" s="180">
        <v>2385.4006871199999</v>
      </c>
      <c r="I216" s="180">
        <v>204.08022514000001</v>
      </c>
      <c r="J216" s="180">
        <v>523.61211123999988</v>
      </c>
      <c r="K216" s="180">
        <v>354.24260644999998</v>
      </c>
      <c r="L216" s="180">
        <v>1303.46574429</v>
      </c>
      <c r="M216" s="180">
        <f>SUM(N216:Q216)</f>
        <v>13447.951529219998</v>
      </c>
      <c r="N216" s="180">
        <f>(R216-D216-I216)</f>
        <v>4389.1137679499998</v>
      </c>
      <c r="O216" s="180">
        <f>(S216-E216-J216)</f>
        <v>239.42987890999962</v>
      </c>
      <c r="P216" s="180">
        <f>(T216-F216-K216)</f>
        <v>5316.1552577499997</v>
      </c>
      <c r="Q216" s="180">
        <f>(U216-G216-L216)</f>
        <v>3503.2526246099997</v>
      </c>
      <c r="R216" s="56">
        <v>5927.40639001</v>
      </c>
      <c r="S216" s="56">
        <v>3130.549852019999</v>
      </c>
      <c r="T216" s="56">
        <v>7152.4814524999992</v>
      </c>
      <c r="U216" s="56">
        <v>7874.6158669299994</v>
      </c>
    </row>
    <row r="217" spans="1:21" ht="15.75">
      <c r="A217" s="625" t="s">
        <v>21</v>
      </c>
      <c r="B217" s="180">
        <v>23380.799999999999</v>
      </c>
      <c r="C217" s="180">
        <v>7758</v>
      </c>
      <c r="D217" s="180">
        <v>1413.1998564199998</v>
      </c>
      <c r="E217" s="180">
        <v>2067.8348112000003</v>
      </c>
      <c r="F217" s="180">
        <v>1428.5605750500008</v>
      </c>
      <c r="G217" s="180">
        <v>2848.4204015999999</v>
      </c>
      <c r="H217" s="180">
        <v>2378.1968876999999</v>
      </c>
      <c r="I217" s="180">
        <v>251.68506847000003</v>
      </c>
      <c r="J217" s="180">
        <v>545.89909015000001</v>
      </c>
      <c r="K217" s="180">
        <v>241.65108003999998</v>
      </c>
      <c r="L217" s="180">
        <v>1338.9616490399999</v>
      </c>
      <c r="M217" s="180">
        <v>13244.609966149997</v>
      </c>
      <c r="N217" s="180">
        <v>4367.1565507099986</v>
      </c>
      <c r="O217" s="180">
        <v>307.27753867000013</v>
      </c>
      <c r="P217" s="180">
        <v>5112.9664724699978</v>
      </c>
      <c r="Q217" s="180">
        <v>3457.2094043000002</v>
      </c>
      <c r="R217" s="56">
        <v>6032.0414755999991</v>
      </c>
      <c r="S217" s="56">
        <v>2921.0114400200005</v>
      </c>
      <c r="T217" s="56">
        <v>6783.1781275599988</v>
      </c>
      <c r="U217" s="56">
        <v>7644.5914549400004</v>
      </c>
    </row>
    <row r="218" spans="1:21" ht="15.75">
      <c r="A218" s="625" t="s">
        <v>22</v>
      </c>
      <c r="B218" s="180">
        <v>23357.3</v>
      </c>
      <c r="C218" s="180">
        <v>7661.3</v>
      </c>
      <c r="D218" s="180">
        <v>1618.6165247600002</v>
      </c>
      <c r="E218" s="180">
        <v>1909.7580736800003</v>
      </c>
      <c r="F218" s="180">
        <v>1348.4657959399999</v>
      </c>
      <c r="G218" s="180">
        <v>2784.4923473200001</v>
      </c>
      <c r="H218" s="180">
        <v>2371.0861739899997</v>
      </c>
      <c r="I218" s="180">
        <v>263.08769016999992</v>
      </c>
      <c r="J218" s="180">
        <v>541.02117511999995</v>
      </c>
      <c r="K218" s="180">
        <v>249.14574100999999</v>
      </c>
      <c r="L218" s="180">
        <v>1317.8315676899999</v>
      </c>
      <c r="M218" s="180">
        <f t="shared" ref="M218:M223" si="33">SUM(N218:Q218)</f>
        <v>13324.85167448</v>
      </c>
      <c r="N218" s="180">
        <f t="shared" ref="N218:Q225" si="34">(R218-D218-I218)</f>
        <v>4499.3118713200001</v>
      </c>
      <c r="O218" s="180">
        <f t="shared" si="34"/>
        <v>297.45381062000001</v>
      </c>
      <c r="P218" s="180">
        <f t="shared" si="34"/>
        <v>5164.6317747500007</v>
      </c>
      <c r="Q218" s="180">
        <f t="shared" si="34"/>
        <v>3363.4542177900003</v>
      </c>
      <c r="R218" s="56">
        <v>6381.0160862500006</v>
      </c>
      <c r="S218" s="56">
        <v>2748.2330594200002</v>
      </c>
      <c r="T218" s="56">
        <v>6762.243311700001</v>
      </c>
      <c r="U218" s="56">
        <v>7465.7781328000001</v>
      </c>
    </row>
    <row r="219" spans="1:21" ht="15.75">
      <c r="A219" s="625" t="s">
        <v>23</v>
      </c>
      <c r="B219" s="180">
        <v>22565.53825976</v>
      </c>
      <c r="C219" s="180">
        <v>7706.4012706499998</v>
      </c>
      <c r="D219" s="180">
        <v>1623.92083897</v>
      </c>
      <c r="E219" s="180">
        <v>1921.0492660000002</v>
      </c>
      <c r="F219" s="180">
        <v>1394.2786115999997</v>
      </c>
      <c r="G219" s="180">
        <v>2767.1525540799998</v>
      </c>
      <c r="H219" s="180">
        <v>2093.5129920899999</v>
      </c>
      <c r="I219" s="180">
        <v>173.62370498999999</v>
      </c>
      <c r="J219" s="180">
        <v>467.86233097999997</v>
      </c>
      <c r="K219" s="180">
        <v>302.79945858999992</v>
      </c>
      <c r="L219" s="180">
        <v>1149.2274975300002</v>
      </c>
      <c r="M219" s="180">
        <f t="shared" si="33"/>
        <v>12765.623997019999</v>
      </c>
      <c r="N219" s="180">
        <f t="shared" si="34"/>
        <v>4440.6565504799992</v>
      </c>
      <c r="O219" s="180">
        <f t="shared" si="34"/>
        <v>303.09027243999964</v>
      </c>
      <c r="P219" s="180">
        <f t="shared" si="34"/>
        <v>4447.1427713200001</v>
      </c>
      <c r="Q219" s="180">
        <f t="shared" si="34"/>
        <v>3574.7344027800013</v>
      </c>
      <c r="R219" s="56">
        <v>6238.201094439999</v>
      </c>
      <c r="S219" s="56">
        <v>2692.0018694199998</v>
      </c>
      <c r="T219" s="56">
        <v>6144.2208415099994</v>
      </c>
      <c r="U219" s="56">
        <v>7491.1144543900009</v>
      </c>
    </row>
    <row r="220" spans="1:21" ht="15.75">
      <c r="A220" s="625" t="s">
        <v>24</v>
      </c>
      <c r="B220" s="180">
        <v>22532.111036330003</v>
      </c>
      <c r="C220" s="180">
        <v>7774.2386770499998</v>
      </c>
      <c r="D220" s="180">
        <v>1650.7743836099996</v>
      </c>
      <c r="E220" s="180">
        <v>2034.1723085500003</v>
      </c>
      <c r="F220" s="180">
        <v>1407.6650322200001</v>
      </c>
      <c r="G220" s="180">
        <v>2681.6269526700007</v>
      </c>
      <c r="H220" s="180">
        <v>2077.6020416199999</v>
      </c>
      <c r="I220" s="180">
        <v>167.65652552000003</v>
      </c>
      <c r="J220" s="180">
        <v>492.08141911000001</v>
      </c>
      <c r="K220" s="180">
        <v>276.04374776000003</v>
      </c>
      <c r="L220" s="180">
        <v>1141.8203492299999</v>
      </c>
      <c r="M220" s="180">
        <f t="shared" si="33"/>
        <v>12680.270317660001</v>
      </c>
      <c r="N220" s="180">
        <f t="shared" si="34"/>
        <v>4569.1851176199998</v>
      </c>
      <c r="O220" s="180">
        <f t="shared" si="34"/>
        <v>313.43305408999987</v>
      </c>
      <c r="P220" s="180">
        <f t="shared" si="34"/>
        <v>4195.7731219599991</v>
      </c>
      <c r="Q220" s="180">
        <f t="shared" si="34"/>
        <v>3601.87902399</v>
      </c>
      <c r="R220" s="56">
        <v>6387.6160267499999</v>
      </c>
      <c r="S220" s="56">
        <v>2839.6867817500001</v>
      </c>
      <c r="T220" s="56">
        <v>5879.4819019399993</v>
      </c>
      <c r="U220" s="56">
        <v>7425.3263258900006</v>
      </c>
    </row>
    <row r="221" spans="1:21" ht="15.75">
      <c r="A221" s="625" t="s">
        <v>25</v>
      </c>
      <c r="B221" s="180">
        <v>22727.782969659995</v>
      </c>
      <c r="C221" s="180">
        <v>7874.4012779299992</v>
      </c>
      <c r="D221" s="180">
        <v>1484.1951500500002</v>
      </c>
      <c r="E221" s="180">
        <v>2094.8969761400003</v>
      </c>
      <c r="F221" s="180">
        <v>1418.0844527300001</v>
      </c>
      <c r="G221" s="180">
        <v>2877.2246990099998</v>
      </c>
      <c r="H221" s="180">
        <v>2069.7306534099998</v>
      </c>
      <c r="I221" s="180">
        <v>181.77602065000005</v>
      </c>
      <c r="J221" s="180">
        <v>489.78407417000005</v>
      </c>
      <c r="K221" s="180">
        <v>267.44785384999994</v>
      </c>
      <c r="L221" s="180">
        <v>1130.7227047399999</v>
      </c>
      <c r="M221" s="180">
        <f t="shared" si="33"/>
        <v>12783.651038319997</v>
      </c>
      <c r="N221" s="180">
        <f t="shared" si="34"/>
        <v>4694.1993501499992</v>
      </c>
      <c r="O221" s="180">
        <f t="shared" si="34"/>
        <v>306.87903113000004</v>
      </c>
      <c r="P221" s="180">
        <f t="shared" si="34"/>
        <v>4562.4668342799987</v>
      </c>
      <c r="Q221" s="180">
        <f t="shared" si="34"/>
        <v>3220.1058227599997</v>
      </c>
      <c r="R221" s="56">
        <v>6360.1705208499989</v>
      </c>
      <c r="S221" s="56">
        <v>2891.5600814400004</v>
      </c>
      <c r="T221" s="56">
        <v>6247.9991408599981</v>
      </c>
      <c r="U221" s="56">
        <v>7228.0532265100001</v>
      </c>
    </row>
    <row r="222" spans="1:21" ht="15.75">
      <c r="A222" s="625" t="s">
        <v>26</v>
      </c>
      <c r="B222" s="180">
        <v>22495.099938109997</v>
      </c>
      <c r="C222" s="180">
        <v>7834.2450796999992</v>
      </c>
      <c r="D222" s="180">
        <v>1513.2117639699998</v>
      </c>
      <c r="E222" s="180">
        <v>2100.3842460800006</v>
      </c>
      <c r="F222" s="180">
        <v>1409.1409778399993</v>
      </c>
      <c r="G222" s="180">
        <v>2811.5080918099993</v>
      </c>
      <c r="H222" s="180">
        <v>2018.9646001699998</v>
      </c>
      <c r="I222" s="180">
        <v>171.55641302000001</v>
      </c>
      <c r="J222" s="180">
        <v>478.55947757000001</v>
      </c>
      <c r="K222" s="180">
        <v>267.86880594000002</v>
      </c>
      <c r="L222" s="180">
        <v>1100.9799036399995</v>
      </c>
      <c r="M222" s="180">
        <f t="shared" si="33"/>
        <v>12641.890258239999</v>
      </c>
      <c r="N222" s="180">
        <f t="shared" si="34"/>
        <v>4872.3436810299982</v>
      </c>
      <c r="O222" s="180">
        <f t="shared" si="34"/>
        <v>408.87466673999972</v>
      </c>
      <c r="P222" s="180">
        <f t="shared" si="34"/>
        <v>4521.7889154200002</v>
      </c>
      <c r="Q222" s="180">
        <f t="shared" si="34"/>
        <v>2838.8829950500008</v>
      </c>
      <c r="R222" s="56">
        <v>6557.1118580199982</v>
      </c>
      <c r="S222" s="56">
        <v>2987.8183903900003</v>
      </c>
      <c r="T222" s="56">
        <v>6198.7986991999996</v>
      </c>
      <c r="U222" s="56">
        <v>6751.3709904999996</v>
      </c>
    </row>
    <row r="223" spans="1:21" ht="15.75">
      <c r="A223" s="625" t="s">
        <v>27</v>
      </c>
      <c r="B223" s="180">
        <v>22442.057939730003</v>
      </c>
      <c r="C223" s="180">
        <v>7870.3010247400007</v>
      </c>
      <c r="D223" s="180">
        <v>1591.7539182199998</v>
      </c>
      <c r="E223" s="180">
        <v>2105.2315232300002</v>
      </c>
      <c r="F223" s="180">
        <v>1385.9028486700001</v>
      </c>
      <c r="G223" s="180">
        <v>2787.4127346200003</v>
      </c>
      <c r="H223" s="180">
        <v>1961.4281670099999</v>
      </c>
      <c r="I223" s="180">
        <v>177.26972181000005</v>
      </c>
      <c r="J223" s="180">
        <v>463.42215447999985</v>
      </c>
      <c r="K223" s="180">
        <v>284.86174020000004</v>
      </c>
      <c r="L223" s="180">
        <v>1035.87455052</v>
      </c>
      <c r="M223" s="180">
        <f t="shared" si="33"/>
        <v>12610.328747980002</v>
      </c>
      <c r="N223" s="180">
        <f t="shared" si="34"/>
        <v>4899.9974246400016</v>
      </c>
      <c r="O223" s="180">
        <f t="shared" si="34"/>
        <v>329.92923165999986</v>
      </c>
      <c r="P223" s="180">
        <f t="shared" si="34"/>
        <v>4451.2827370200012</v>
      </c>
      <c r="Q223" s="180">
        <f t="shared" si="34"/>
        <v>2929.1193546600011</v>
      </c>
      <c r="R223" s="56">
        <v>6669.0210646700016</v>
      </c>
      <c r="S223" s="56">
        <v>2898.5829093699999</v>
      </c>
      <c r="T223" s="56">
        <v>6122.047325890001</v>
      </c>
      <c r="U223" s="56">
        <v>6752.4066398000014</v>
      </c>
    </row>
    <row r="224" spans="1:21" ht="15.75">
      <c r="A224" s="625" t="s">
        <v>28</v>
      </c>
      <c r="B224" s="180">
        <v>22305.824423959999</v>
      </c>
      <c r="C224" s="180">
        <v>7908.2428459499988</v>
      </c>
      <c r="D224" s="180">
        <v>1659.51513707</v>
      </c>
      <c r="E224" s="180">
        <v>2082.6452251699998</v>
      </c>
      <c r="F224" s="180">
        <v>1471.61589534</v>
      </c>
      <c r="G224" s="180">
        <v>2694.46658837</v>
      </c>
      <c r="H224" s="180">
        <v>1929.5450084999998</v>
      </c>
      <c r="I224" s="180">
        <v>195.30145947999998</v>
      </c>
      <c r="J224" s="180">
        <v>444.78141563999998</v>
      </c>
      <c r="K224" s="180">
        <v>253.04759254999999</v>
      </c>
      <c r="L224" s="180">
        <v>1036.4145408299999</v>
      </c>
      <c r="M224" s="180">
        <f t="shared" ref="M224:M225" si="35">SUM(N224:Q224)</f>
        <v>12468.036569510001</v>
      </c>
      <c r="N224" s="180">
        <f>(R224-D224-I224)</f>
        <v>4449.6192283999999</v>
      </c>
      <c r="O224" s="180">
        <f t="shared" si="34"/>
        <v>474.22103619000018</v>
      </c>
      <c r="P224" s="180">
        <f t="shared" si="34"/>
        <v>4609.7091796500008</v>
      </c>
      <c r="Q224" s="180">
        <f t="shared" si="34"/>
        <v>2934.4871252699995</v>
      </c>
      <c r="R224" s="56">
        <v>6304.4358249499992</v>
      </c>
      <c r="S224" s="56">
        <v>3001.6476769999999</v>
      </c>
      <c r="T224" s="56">
        <v>6334.3726675400012</v>
      </c>
      <c r="U224" s="56">
        <v>6665.3682544699996</v>
      </c>
    </row>
    <row r="225" spans="1:21" ht="15.75">
      <c r="A225" s="625" t="s">
        <v>29</v>
      </c>
      <c r="B225" s="180">
        <v>23666.868830550004</v>
      </c>
      <c r="C225" s="180">
        <v>8177.886792190001</v>
      </c>
      <c r="D225" s="180">
        <v>1886.8482784300006</v>
      </c>
      <c r="E225" s="180">
        <v>2140.2652058600002</v>
      </c>
      <c r="F225" s="180">
        <v>1487.5553838999999</v>
      </c>
      <c r="G225" s="180">
        <v>2663.217924</v>
      </c>
      <c r="H225" s="180">
        <v>1885.0894329500002</v>
      </c>
      <c r="I225" s="180">
        <v>189.10785044000002</v>
      </c>
      <c r="J225" s="180">
        <v>414.03409943000003</v>
      </c>
      <c r="K225" s="180">
        <v>315.26521802999997</v>
      </c>
      <c r="L225" s="180">
        <v>966.68226504999996</v>
      </c>
      <c r="M225" s="180">
        <f t="shared" si="35"/>
        <v>13603.892605410003</v>
      </c>
      <c r="N225" s="180">
        <f t="shared" ref="N225" si="36">(R225-D225-I225)</f>
        <v>5340.7254183600025</v>
      </c>
      <c r="O225" s="180">
        <f t="shared" si="34"/>
        <v>356.9508699299999</v>
      </c>
      <c r="P225" s="180">
        <f t="shared" si="34"/>
        <v>4893.274761130001</v>
      </c>
      <c r="Q225" s="180">
        <f t="shared" si="34"/>
        <v>3012.9415559899994</v>
      </c>
      <c r="R225" s="56">
        <v>7416.6815472300032</v>
      </c>
      <c r="S225" s="56">
        <v>2911.2501752200001</v>
      </c>
      <c r="T225" s="56">
        <v>6696.0953630600015</v>
      </c>
      <c r="U225" s="56">
        <v>6642.8417450399993</v>
      </c>
    </row>
    <row r="226" spans="1:21" ht="15.75">
      <c r="A226" s="625" t="s">
        <v>2523</v>
      </c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  <c r="M226" s="180"/>
      <c r="N226" s="180"/>
      <c r="O226" s="180"/>
      <c r="P226" s="180"/>
      <c r="Q226" s="180"/>
      <c r="R226" s="56"/>
      <c r="S226" s="56"/>
      <c r="T226" s="56"/>
      <c r="U226" s="56"/>
    </row>
    <row r="227" spans="1:21" ht="15.75">
      <c r="A227" s="625" t="s">
        <v>18</v>
      </c>
      <c r="B227" s="180">
        <v>23189.312012769999</v>
      </c>
      <c r="C227" s="180">
        <v>8202.9098893299997</v>
      </c>
      <c r="D227" s="180">
        <v>1868.6757231999998</v>
      </c>
      <c r="E227" s="180">
        <v>2178.8340790799998</v>
      </c>
      <c r="F227" s="180">
        <v>1566.3911789200001</v>
      </c>
      <c r="G227" s="180">
        <v>2589.0089081299998</v>
      </c>
      <c r="H227" s="180">
        <v>1833.3767631800001</v>
      </c>
      <c r="I227" s="180">
        <v>187.98328528000005</v>
      </c>
      <c r="J227" s="180">
        <v>395.59040794000009</v>
      </c>
      <c r="K227" s="180">
        <v>292.58915854000003</v>
      </c>
      <c r="L227" s="180">
        <v>957.21391142000004</v>
      </c>
      <c r="M227" s="180">
        <f t="shared" ref="M227" si="37">SUM(N227:Q227)</f>
        <v>13153.025360260001</v>
      </c>
      <c r="N227" s="180">
        <f t="shared" ref="N227:Q227" si="38">(R227-D227-I227)</f>
        <v>5030.2269739399999</v>
      </c>
      <c r="O227" s="180">
        <f t="shared" si="38"/>
        <v>438.47809135999989</v>
      </c>
      <c r="P227" s="180">
        <f t="shared" si="38"/>
        <v>4675.5044527700002</v>
      </c>
      <c r="Q227" s="180">
        <f t="shared" si="38"/>
        <v>3008.8158421900002</v>
      </c>
      <c r="R227" s="56">
        <v>7086.8859824199999</v>
      </c>
      <c r="S227" s="56">
        <v>3012.9025783799998</v>
      </c>
      <c r="T227" s="56">
        <v>6534.4847902300007</v>
      </c>
      <c r="U227" s="56">
        <v>6555.03866174</v>
      </c>
    </row>
    <row r="228" spans="1:21" ht="15.75">
      <c r="A228" s="625" t="s">
        <v>19</v>
      </c>
      <c r="B228" s="180">
        <v>23489.120903840001</v>
      </c>
      <c r="C228" s="180">
        <v>8379.9494325300002</v>
      </c>
      <c r="D228" s="180">
        <v>1952.0224437499999</v>
      </c>
      <c r="E228" s="180">
        <v>2227.5910128600008</v>
      </c>
      <c r="F228" s="180">
        <v>1626.72760094</v>
      </c>
      <c r="G228" s="180">
        <v>2573.6083749800005</v>
      </c>
      <c r="H228" s="180">
        <v>1754.1849223000002</v>
      </c>
      <c r="I228" s="180">
        <v>186.89385806999996</v>
      </c>
      <c r="J228" s="180">
        <v>368.44442142000003</v>
      </c>
      <c r="K228" s="180">
        <v>292.27157092000004</v>
      </c>
      <c r="L228" s="180">
        <v>906.57507189</v>
      </c>
      <c r="M228" s="180">
        <v>13354.98654901</v>
      </c>
      <c r="N228" s="180">
        <v>5229.7490794599989</v>
      </c>
      <c r="O228" s="180">
        <v>456.43745552000041</v>
      </c>
      <c r="P228" s="180">
        <v>4742.9240241300004</v>
      </c>
      <c r="Q228" s="180">
        <v>2925.8759898999992</v>
      </c>
      <c r="R228" s="56"/>
      <c r="S228" s="56"/>
      <c r="T228" s="56"/>
      <c r="U228" s="56"/>
    </row>
    <row r="229" spans="1:21" ht="15.75">
      <c r="A229" s="625" t="s">
        <v>20</v>
      </c>
      <c r="B229" s="180">
        <v>23825.92843634</v>
      </c>
      <c r="C229" s="180">
        <v>8147.481248770001</v>
      </c>
      <c r="D229" s="180">
        <v>1737.5526218699997</v>
      </c>
      <c r="E229" s="180">
        <v>2308.2650892500005</v>
      </c>
      <c r="F229" s="180">
        <v>1589.1291412700004</v>
      </c>
      <c r="G229" s="180">
        <v>2512.5343963800001</v>
      </c>
      <c r="H229" s="180">
        <v>1706.1566083799999</v>
      </c>
      <c r="I229" s="180">
        <v>182.67041608</v>
      </c>
      <c r="J229" s="180">
        <v>349.23919896999996</v>
      </c>
      <c r="K229" s="180">
        <v>280.39810767</v>
      </c>
      <c r="L229" s="180">
        <v>893.84888565999995</v>
      </c>
      <c r="M229" s="180">
        <v>13972.290579189999</v>
      </c>
      <c r="N229" s="180">
        <v>5692.2042150200004</v>
      </c>
      <c r="O229" s="180">
        <v>462.58087440000008</v>
      </c>
      <c r="P229" s="180">
        <v>4856.6214933399988</v>
      </c>
      <c r="Q229" s="180">
        <v>2960.8839964299987</v>
      </c>
      <c r="R229" s="56"/>
      <c r="S229" s="56"/>
      <c r="T229" s="56"/>
      <c r="U229" s="56"/>
    </row>
    <row r="230" spans="1:21" ht="15.75">
      <c r="A230" s="625" t="s">
        <v>21</v>
      </c>
      <c r="B230" s="180">
        <v>24213.241269210004</v>
      </c>
      <c r="C230" s="180">
        <v>8352.9226073399986</v>
      </c>
      <c r="D230" s="180">
        <v>1862.4086915200003</v>
      </c>
      <c r="E230" s="180">
        <v>2422.8148154</v>
      </c>
      <c r="F230" s="180">
        <v>1575.6320347099995</v>
      </c>
      <c r="G230" s="180">
        <v>2492.06706571</v>
      </c>
      <c r="H230" s="180">
        <v>1887.15468758</v>
      </c>
      <c r="I230" s="180">
        <v>337.16375497999996</v>
      </c>
      <c r="J230" s="180">
        <v>360.77551021999994</v>
      </c>
      <c r="K230" s="180">
        <v>281.93958794000008</v>
      </c>
      <c r="L230" s="180">
        <v>907.27583443999993</v>
      </c>
      <c r="M230" s="180">
        <v>13973.163974290006</v>
      </c>
      <c r="N230" s="180">
        <v>5798.6166856100008</v>
      </c>
      <c r="O230" s="180">
        <v>466.28773977999975</v>
      </c>
      <c r="P230" s="180">
        <v>4733.7979366700019</v>
      </c>
      <c r="Q230" s="180">
        <v>2974.4616122300004</v>
      </c>
      <c r="R230" s="56"/>
      <c r="S230" s="56"/>
      <c r="T230" s="56"/>
      <c r="U230" s="56"/>
    </row>
    <row r="231" spans="1:21" ht="15.75">
      <c r="A231" s="625" t="s">
        <v>22</v>
      </c>
      <c r="B231" s="180">
        <v>24991.213881430005</v>
      </c>
      <c r="C231" s="180">
        <v>8635.1500713999994</v>
      </c>
      <c r="D231" s="180">
        <v>2257.2199849100002</v>
      </c>
      <c r="E231" s="180">
        <v>2484.4238821199997</v>
      </c>
      <c r="F231" s="180">
        <v>1382.0369339499998</v>
      </c>
      <c r="G231" s="180">
        <v>2511.4692704200002</v>
      </c>
      <c r="H231" s="180">
        <v>1878.0820939299999</v>
      </c>
      <c r="I231" s="180">
        <v>253.48769137000002</v>
      </c>
      <c r="J231" s="180">
        <v>389.68368123999994</v>
      </c>
      <c r="K231" s="180">
        <v>314.37953800000008</v>
      </c>
      <c r="L231" s="180">
        <v>920.53118331999985</v>
      </c>
      <c r="M231" s="180">
        <v>14477.981716100006</v>
      </c>
      <c r="N231" s="180">
        <v>6053.4474093900017</v>
      </c>
      <c r="O231" s="180">
        <v>458.21381654999982</v>
      </c>
      <c r="P231" s="180">
        <v>4822.751068120001</v>
      </c>
      <c r="Q231" s="180">
        <v>3143.5694220400001</v>
      </c>
      <c r="R231" s="56"/>
      <c r="S231" s="56"/>
      <c r="T231" s="56"/>
      <c r="U231" s="56"/>
    </row>
    <row r="232" spans="1:21" ht="15.75">
      <c r="A232" s="625" t="s">
        <v>23</v>
      </c>
      <c r="B232" s="180">
        <v>24156.57158589</v>
      </c>
      <c r="C232" s="180">
        <v>8435.4425984400004</v>
      </c>
      <c r="D232" s="180">
        <v>2038.4566502799998</v>
      </c>
      <c r="E232" s="180">
        <v>2543.3425932599998</v>
      </c>
      <c r="F232" s="180">
        <v>1374.7897932200003</v>
      </c>
      <c r="G232" s="180">
        <v>2478.85356168</v>
      </c>
      <c r="H232" s="180">
        <v>1775.34518589</v>
      </c>
      <c r="I232" s="180">
        <v>205.80025734</v>
      </c>
      <c r="J232" s="180">
        <v>396.00358230999996</v>
      </c>
      <c r="K232" s="180">
        <v>249.59012576000001</v>
      </c>
      <c r="L232" s="180">
        <v>923.95122048000007</v>
      </c>
      <c r="M232" s="180">
        <v>13945.783801559999</v>
      </c>
      <c r="N232" s="180">
        <v>6024.2503466100025</v>
      </c>
      <c r="O232" s="180">
        <v>472.73400758999946</v>
      </c>
      <c r="P232" s="180">
        <v>5368.7517843399992</v>
      </c>
      <c r="Q232" s="180">
        <v>2080.0476630199992</v>
      </c>
      <c r="R232" s="56"/>
      <c r="S232" s="56"/>
      <c r="T232" s="56"/>
      <c r="U232" s="56"/>
    </row>
    <row r="233" spans="1:21" ht="15.75">
      <c r="A233" s="625" t="s">
        <v>24</v>
      </c>
      <c r="B233" s="180">
        <v>24926.871174650005</v>
      </c>
      <c r="C233" s="180">
        <v>8605.9042542200004</v>
      </c>
      <c r="D233" s="180">
        <v>2127.4191736799999</v>
      </c>
      <c r="E233" s="180">
        <v>2633.6575193500007</v>
      </c>
      <c r="F233" s="180">
        <v>1373.9910223800002</v>
      </c>
      <c r="G233" s="180">
        <v>2470.8365388100001</v>
      </c>
      <c r="H233" s="180">
        <v>1793.2627585099999</v>
      </c>
      <c r="I233" s="180">
        <v>183.74023432000001</v>
      </c>
      <c r="J233" s="180">
        <v>424.11512380000005</v>
      </c>
      <c r="K233" s="180">
        <v>239.80648344000002</v>
      </c>
      <c r="L233" s="180">
        <v>945.60091694999983</v>
      </c>
      <c r="M233" s="180">
        <v>14527.704161920004</v>
      </c>
      <c r="N233" s="180">
        <v>5951.4005391199998</v>
      </c>
      <c r="O233" s="180">
        <v>501.97684190999979</v>
      </c>
      <c r="P233" s="180">
        <v>5797.0035013499992</v>
      </c>
      <c r="Q233" s="180">
        <v>2277.3232795400004</v>
      </c>
      <c r="R233" s="56"/>
      <c r="S233" s="56"/>
      <c r="T233" s="56"/>
      <c r="U233" s="56"/>
    </row>
    <row r="234" spans="1:21" ht="15.75">
      <c r="A234" s="625" t="s">
        <v>25</v>
      </c>
      <c r="B234" s="180">
        <v>24791.852471049999</v>
      </c>
      <c r="C234" s="180">
        <v>8559.0822393499984</v>
      </c>
      <c r="D234" s="180">
        <v>2027.7020462299993</v>
      </c>
      <c r="E234" s="180">
        <v>2703.2896369099999</v>
      </c>
      <c r="F234" s="180">
        <v>1348.9076630499999</v>
      </c>
      <c r="G234" s="180">
        <v>2479.1828931600003</v>
      </c>
      <c r="H234" s="180">
        <v>1758.9172641700002</v>
      </c>
      <c r="I234" s="180">
        <v>185.80970624</v>
      </c>
      <c r="J234" s="180">
        <v>415.24990163000001</v>
      </c>
      <c r="K234" s="180">
        <v>218.63548064000003</v>
      </c>
      <c r="L234" s="180">
        <v>939.22217565999995</v>
      </c>
      <c r="M234" s="180">
        <v>14473.85296753</v>
      </c>
      <c r="N234" s="180">
        <v>6340.6895802200006</v>
      </c>
      <c r="O234" s="180">
        <v>441.24333390999965</v>
      </c>
      <c r="P234" s="180">
        <v>5407.50173524</v>
      </c>
      <c r="Q234" s="1579">
        <v>2284.4183181600001</v>
      </c>
      <c r="R234" s="56"/>
      <c r="S234" s="56"/>
      <c r="T234" s="56"/>
      <c r="U234" s="56"/>
    </row>
    <row r="235" spans="1:21" ht="15.75">
      <c r="A235" s="625" t="s">
        <v>26</v>
      </c>
      <c r="B235" s="180">
        <v>25705.473344060007</v>
      </c>
      <c r="C235" s="180">
        <v>8838.1387690800002</v>
      </c>
      <c r="D235" s="180">
        <v>2190.4178669900002</v>
      </c>
      <c r="E235" s="180">
        <v>2794.6954747499999</v>
      </c>
      <c r="F235" s="180">
        <v>1396.24874555</v>
      </c>
      <c r="G235" s="180">
        <v>2456.7766817899997</v>
      </c>
      <c r="H235" s="180">
        <v>1792.1316525500001</v>
      </c>
      <c r="I235" s="180">
        <v>176.28316702000004</v>
      </c>
      <c r="J235" s="180">
        <v>414.54721771000004</v>
      </c>
      <c r="K235" s="180">
        <v>250.30013026</v>
      </c>
      <c r="L235" s="180">
        <v>951.00113755999996</v>
      </c>
      <c r="M235" s="180">
        <v>15075.202922430006</v>
      </c>
      <c r="N235" s="180">
        <v>6434.7280831400003</v>
      </c>
      <c r="O235" s="180">
        <v>500.66111911999997</v>
      </c>
      <c r="P235" s="180">
        <v>6055.2464449999998</v>
      </c>
      <c r="Q235" s="1579">
        <v>2084.5672751699994</v>
      </c>
      <c r="R235" s="56"/>
      <c r="S235" s="56"/>
      <c r="T235" s="56"/>
      <c r="U235" s="56"/>
    </row>
    <row r="236" spans="1:21" ht="15.75">
      <c r="A236" s="625" t="s">
        <v>27</v>
      </c>
      <c r="B236" s="180">
        <v>26114.802925899996</v>
      </c>
      <c r="C236" s="180">
        <v>8887.4329394499982</v>
      </c>
      <c r="D236" s="180">
        <v>2184.0029753100002</v>
      </c>
      <c r="E236" s="180">
        <v>2859.3991650199991</v>
      </c>
      <c r="F236" s="180">
        <v>1428.92880685</v>
      </c>
      <c r="G236" s="180">
        <v>2415.1019922699998</v>
      </c>
      <c r="H236" s="180">
        <v>2003.4061354099997</v>
      </c>
      <c r="I236" s="180">
        <v>186.08140752000003</v>
      </c>
      <c r="J236" s="180">
        <v>392.21713358</v>
      </c>
      <c r="K236" s="180">
        <v>447.71841138999986</v>
      </c>
      <c r="L236" s="180">
        <v>977.38918291999983</v>
      </c>
      <c r="M236" s="180">
        <v>15223.963851039998</v>
      </c>
      <c r="N236" s="180">
        <v>6561.9275031300003</v>
      </c>
      <c r="O236" s="180">
        <v>500.15825355999993</v>
      </c>
      <c r="P236" s="180">
        <v>6096.4774209899997</v>
      </c>
      <c r="Q236" s="1579">
        <v>2065.4006733600004</v>
      </c>
      <c r="R236" s="56"/>
      <c r="S236" s="56"/>
      <c r="T236" s="56"/>
      <c r="U236" s="56"/>
    </row>
    <row r="237" spans="1:21" ht="15.75">
      <c r="A237" s="625" t="s">
        <v>28</v>
      </c>
      <c r="B237" s="180">
        <v>26790.859008169999</v>
      </c>
      <c r="C237" s="180">
        <v>9051.7110219500009</v>
      </c>
      <c r="D237" s="180">
        <v>2358.6125810600001</v>
      </c>
      <c r="E237" s="180">
        <v>2896.16777417</v>
      </c>
      <c r="F237" s="180">
        <v>1410.2477581200003</v>
      </c>
      <c r="G237" s="180">
        <v>2386.6829085999998</v>
      </c>
      <c r="H237" s="180">
        <v>1821.0162823599999</v>
      </c>
      <c r="I237" s="180">
        <v>202.25000488000001</v>
      </c>
      <c r="J237" s="180">
        <v>397.76429615000001</v>
      </c>
      <c r="K237" s="180">
        <v>258.01547363999998</v>
      </c>
      <c r="L237" s="180">
        <v>962.98650768999983</v>
      </c>
      <c r="M237" s="180">
        <v>15918.131703859999</v>
      </c>
      <c r="N237" s="180">
        <v>6750.46134076</v>
      </c>
      <c r="O237" s="180">
        <v>523.76965887000006</v>
      </c>
      <c r="P237" s="180">
        <v>6603.058107410001</v>
      </c>
      <c r="Q237" s="1579">
        <v>2040.8425968199997</v>
      </c>
      <c r="R237" s="56"/>
      <c r="S237" s="56"/>
      <c r="T237" s="56"/>
      <c r="U237" s="56"/>
    </row>
    <row r="238" spans="1:21" ht="15.75">
      <c r="A238" s="625" t="s">
        <v>29</v>
      </c>
      <c r="B238" s="180">
        <v>29027.731736139995</v>
      </c>
      <c r="C238" s="180">
        <v>9241.4627988799984</v>
      </c>
      <c r="D238" s="180">
        <v>2489.5264264500001</v>
      </c>
      <c r="E238" s="180">
        <v>2962.6537996900001</v>
      </c>
      <c r="F238" s="180">
        <v>1390.5800423299995</v>
      </c>
      <c r="G238" s="180">
        <v>2398.7025304099998</v>
      </c>
      <c r="H238" s="180">
        <v>1892.7085802300001</v>
      </c>
      <c r="I238" s="180">
        <v>233.99267588000001</v>
      </c>
      <c r="J238" s="180">
        <v>444.63889338999996</v>
      </c>
      <c r="K238" s="180">
        <v>259.36619756000005</v>
      </c>
      <c r="L238" s="180">
        <v>954.71081340000001</v>
      </c>
      <c r="M238" s="180">
        <v>17893.560357029997</v>
      </c>
      <c r="N238" s="180">
        <v>8030.6664632500006</v>
      </c>
      <c r="O238" s="180">
        <v>520.27523670000005</v>
      </c>
      <c r="P238" s="180">
        <v>7325.029904099998</v>
      </c>
      <c r="Q238" s="1579">
        <v>2017.5887529799993</v>
      </c>
      <c r="R238" s="56"/>
      <c r="S238" s="56"/>
      <c r="T238" s="56"/>
      <c r="U238" s="56"/>
    </row>
    <row r="239" spans="1:21" ht="15.75">
      <c r="A239" s="625" t="s">
        <v>2812</v>
      </c>
      <c r="B239" s="180"/>
      <c r="C239" s="180"/>
      <c r="D239" s="180"/>
      <c r="E239" s="180"/>
      <c r="F239" s="180"/>
      <c r="G239" s="180"/>
      <c r="H239" s="180"/>
      <c r="I239" s="180"/>
      <c r="J239" s="180"/>
      <c r="K239" s="180"/>
      <c r="L239" s="180"/>
      <c r="M239" s="180"/>
      <c r="N239" s="180"/>
      <c r="O239" s="180"/>
      <c r="P239" s="180"/>
      <c r="Q239" s="1579"/>
      <c r="R239" s="56"/>
      <c r="S239" s="56"/>
      <c r="T239" s="56"/>
      <c r="U239" s="56"/>
    </row>
    <row r="240" spans="1:21" ht="15.75">
      <c r="A240" s="625" t="s">
        <v>18</v>
      </c>
      <c r="B240" s="180">
        <v>29016.987753109999</v>
      </c>
      <c r="C240" s="180">
        <v>9635.77302366</v>
      </c>
      <c r="D240" s="180">
        <v>2845.2499069100004</v>
      </c>
      <c r="E240" s="180">
        <v>3003.3933354899991</v>
      </c>
      <c r="F240" s="180">
        <v>1379.9939565400002</v>
      </c>
      <c r="G240" s="180">
        <v>2407.1358247200001</v>
      </c>
      <c r="H240" s="180">
        <v>1894.0407553300001</v>
      </c>
      <c r="I240" s="180">
        <v>264.61669099</v>
      </c>
      <c r="J240" s="180">
        <v>433.82435377000007</v>
      </c>
      <c r="K240" s="180">
        <v>266.57750097000002</v>
      </c>
      <c r="L240" s="180">
        <v>929.02220959999988</v>
      </c>
      <c r="M240" s="180">
        <v>17487.17397412</v>
      </c>
      <c r="N240" s="180">
        <v>7079.1180386900005</v>
      </c>
      <c r="O240" s="180">
        <v>516.01751200000035</v>
      </c>
      <c r="P240" s="180">
        <v>7898.1994305599974</v>
      </c>
      <c r="Q240" s="1579">
        <v>1993.8389928700003</v>
      </c>
      <c r="R240" s="56"/>
      <c r="S240" s="56"/>
      <c r="T240" s="56"/>
      <c r="U240" s="56"/>
    </row>
    <row r="241" spans="1:21" ht="15.75">
      <c r="A241" s="625" t="s">
        <v>19</v>
      </c>
      <c r="B241" s="180">
        <v>29170.818363180002</v>
      </c>
      <c r="C241" s="180">
        <v>10036.66102424</v>
      </c>
      <c r="D241" s="180">
        <v>2923.8951665700001</v>
      </c>
      <c r="E241" s="180">
        <v>3058.8985208200006</v>
      </c>
      <c r="F241" s="180">
        <v>1661.3590477199998</v>
      </c>
      <c r="G241" s="180">
        <v>2392.5082891299999</v>
      </c>
      <c r="H241" s="180">
        <v>1962.8523260099998</v>
      </c>
      <c r="I241" s="180">
        <v>292.93354124999996</v>
      </c>
      <c r="J241" s="180">
        <v>514.61784480000006</v>
      </c>
      <c r="K241" s="180">
        <v>255.44970428999997</v>
      </c>
      <c r="L241" s="180">
        <v>899.85123566999982</v>
      </c>
      <c r="M241" s="180">
        <f>B241-C241-H241</f>
        <v>17171.305012929999</v>
      </c>
      <c r="N241" s="180">
        <v>6967.2992261100007</v>
      </c>
      <c r="O241" s="180">
        <v>503.78276013999994</v>
      </c>
      <c r="P241" s="180">
        <v>7701.2685236300003</v>
      </c>
      <c r="Q241" s="1579">
        <v>1998.9545030499999</v>
      </c>
      <c r="R241" s="56"/>
      <c r="S241" s="56"/>
      <c r="T241" s="56"/>
      <c r="U241" s="56"/>
    </row>
    <row r="242" spans="1:21" ht="15.75">
      <c r="A242" s="625" t="s">
        <v>20</v>
      </c>
      <c r="B242" s="180">
        <v>30508.507513960001</v>
      </c>
      <c r="C242" s="180">
        <v>10372.044511299999</v>
      </c>
      <c r="D242" s="180">
        <v>2903.2585276899995</v>
      </c>
      <c r="E242" s="180">
        <v>3081.64431831</v>
      </c>
      <c r="F242" s="180">
        <v>1947.4048629599995</v>
      </c>
      <c r="G242" s="180">
        <v>2439.7368023399999</v>
      </c>
      <c r="H242" s="180">
        <v>2231.8624965499998</v>
      </c>
      <c r="I242" s="180">
        <v>430.32399083999996</v>
      </c>
      <c r="J242" s="180">
        <v>527.87266001</v>
      </c>
      <c r="K242" s="180">
        <v>340.13658265000004</v>
      </c>
      <c r="L242" s="180">
        <v>933.52926304999994</v>
      </c>
      <c r="M242" s="180">
        <v>17904.600506110004</v>
      </c>
      <c r="N242" s="180">
        <v>7455.6415403700003</v>
      </c>
      <c r="O242" s="180">
        <v>482.98148340999967</v>
      </c>
      <c r="P242" s="180">
        <v>8028.1965935400003</v>
      </c>
      <c r="Q242" s="1579">
        <v>1937.7808887899996</v>
      </c>
      <c r="R242" s="56"/>
      <c r="S242" s="56"/>
      <c r="T242" s="56"/>
      <c r="U242" s="56"/>
    </row>
    <row r="243" spans="1:21" ht="15.75">
      <c r="A243" s="625" t="s">
        <v>21</v>
      </c>
      <c r="B243" s="180">
        <v>30890.39912767</v>
      </c>
      <c r="C243" s="180">
        <v>10515.39277742</v>
      </c>
      <c r="D243" s="180">
        <v>3180.4450775299997</v>
      </c>
      <c r="E243" s="180">
        <v>3167.0767891500004</v>
      </c>
      <c r="F243" s="180">
        <v>1741.1780598599998</v>
      </c>
      <c r="G243" s="180">
        <v>2426.6928508800006</v>
      </c>
      <c r="H243" s="180">
        <v>2309.6228971799997</v>
      </c>
      <c r="I243" s="180">
        <v>488.42859758999992</v>
      </c>
      <c r="J243" s="180">
        <v>557.36441835999995</v>
      </c>
      <c r="K243" s="180">
        <v>385.52510130000007</v>
      </c>
      <c r="L243" s="180">
        <v>878.30477992999988</v>
      </c>
      <c r="M243" s="180">
        <v>18065.383453069997</v>
      </c>
      <c r="N243" s="180">
        <v>7314.3335120600004</v>
      </c>
      <c r="O243" s="180">
        <v>485.62631963000013</v>
      </c>
      <c r="P243" s="180">
        <v>8359.3497351499991</v>
      </c>
      <c r="Q243" s="1579">
        <v>1906.0738862299995</v>
      </c>
      <c r="R243" s="56"/>
      <c r="S243" s="56"/>
      <c r="T243" s="56"/>
      <c r="U243" s="56"/>
    </row>
    <row r="244" spans="1:21" ht="15.75">
      <c r="A244" s="625" t="s">
        <v>22</v>
      </c>
      <c r="B244" s="180">
        <v>32025.252167420003</v>
      </c>
      <c r="C244" s="180">
        <v>10593.24553143</v>
      </c>
      <c r="D244" s="180">
        <v>2987.3838202400002</v>
      </c>
      <c r="E244" s="180">
        <v>3241.1937070399999</v>
      </c>
      <c r="F244" s="180">
        <v>1931.5254392900003</v>
      </c>
      <c r="G244" s="180">
        <v>2433.1425648600002</v>
      </c>
      <c r="H244" s="180">
        <v>2319.91486295</v>
      </c>
      <c r="I244" s="180">
        <v>458.57997947000001</v>
      </c>
      <c r="J244" s="180">
        <v>553.9152196</v>
      </c>
      <c r="K244" s="180">
        <v>466.64987967000002</v>
      </c>
      <c r="L244" s="180">
        <v>840.7697842099999</v>
      </c>
      <c r="M244" s="180">
        <v>19112.09177304</v>
      </c>
      <c r="N244" s="180">
        <v>8044.575353770002</v>
      </c>
      <c r="O244" s="180">
        <v>485.15809794000006</v>
      </c>
      <c r="P244" s="180">
        <v>8723.322352889998</v>
      </c>
      <c r="Q244" s="1579">
        <v>1859.0359684399994</v>
      </c>
      <c r="R244" s="56"/>
      <c r="S244" s="56"/>
      <c r="T244" s="56"/>
      <c r="U244" s="56"/>
    </row>
    <row r="245" spans="1:21" ht="15.75">
      <c r="A245" s="625" t="s">
        <v>23</v>
      </c>
      <c r="B245" s="180">
        <v>32417.121753569998</v>
      </c>
      <c r="C245" s="180">
        <v>10596.171226</v>
      </c>
      <c r="D245" s="180">
        <v>2995.2085680300006</v>
      </c>
      <c r="E245" s="180">
        <v>3338.6540517399999</v>
      </c>
      <c r="F245" s="180">
        <v>1848.6328109200001</v>
      </c>
      <c r="G245" s="180">
        <v>2413.67579531</v>
      </c>
      <c r="H245" s="180">
        <v>2375.0815632499998</v>
      </c>
      <c r="I245" s="180">
        <v>383.64062357999995</v>
      </c>
      <c r="J245" s="180">
        <v>585.89612785999998</v>
      </c>
      <c r="K245" s="180">
        <v>588.16937778999977</v>
      </c>
      <c r="L245" s="180">
        <v>817.37543401999983</v>
      </c>
      <c r="M245" s="180">
        <v>19445.868964319998</v>
      </c>
      <c r="N245" s="180">
        <v>8338.5902868699995</v>
      </c>
      <c r="O245" s="180">
        <v>535.87357210999926</v>
      </c>
      <c r="P245" s="180">
        <v>8390.8076007399995</v>
      </c>
      <c r="Q245" s="1579">
        <v>2180.5975046000003</v>
      </c>
      <c r="R245" s="56"/>
      <c r="S245" s="56"/>
      <c r="T245" s="56"/>
      <c r="U245" s="56"/>
    </row>
    <row r="246" spans="1:21" ht="15.75">
      <c r="A246" s="625" t="s">
        <v>24</v>
      </c>
      <c r="B246" s="180">
        <v>31957.277061000001</v>
      </c>
      <c r="C246" s="180">
        <v>10817.12822398</v>
      </c>
      <c r="D246" s="180">
        <v>3090.6108148200001</v>
      </c>
      <c r="E246" s="180">
        <v>3412.2051158400004</v>
      </c>
      <c r="F246" s="180">
        <v>1895.3109999499998</v>
      </c>
      <c r="G246" s="180">
        <v>2419.00129337</v>
      </c>
      <c r="H246" s="180">
        <v>2191.0758695</v>
      </c>
      <c r="I246" s="180">
        <v>254.34199249000002</v>
      </c>
      <c r="J246" s="180">
        <v>596.21666450000009</v>
      </c>
      <c r="K246" s="180">
        <v>423.39883322000009</v>
      </c>
      <c r="L246" s="180">
        <v>917.11837928999989</v>
      </c>
      <c r="M246" s="180">
        <v>18949.072967520002</v>
      </c>
      <c r="N246" s="180">
        <v>7821.9413241099983</v>
      </c>
      <c r="O246" s="180">
        <v>684.85540414999934</v>
      </c>
      <c r="P246" s="180">
        <v>8254.8329537100017</v>
      </c>
      <c r="Q246" s="1579">
        <v>2187.4432855499999</v>
      </c>
      <c r="R246" s="56"/>
      <c r="S246" s="56"/>
      <c r="T246" s="56"/>
      <c r="U246" s="56"/>
    </row>
    <row r="247" spans="1:21" ht="15.75">
      <c r="A247" s="625" t="s">
        <v>25</v>
      </c>
      <c r="B247" s="180">
        <v>32836.106540349996</v>
      </c>
      <c r="C247" s="180">
        <v>10858.376694009999</v>
      </c>
      <c r="D247" s="180">
        <v>3047.0856493699998</v>
      </c>
      <c r="E247" s="180">
        <v>3501.0589775399994</v>
      </c>
      <c r="F247" s="180">
        <v>1915.2867442900003</v>
      </c>
      <c r="G247" s="180">
        <v>2394.9453228100001</v>
      </c>
      <c r="H247" s="180">
        <v>2206.9399918300001</v>
      </c>
      <c r="I247" s="180">
        <v>274.93362664</v>
      </c>
      <c r="J247" s="180">
        <v>583.02662144999999</v>
      </c>
      <c r="K247" s="180">
        <v>443.15126127000002</v>
      </c>
      <c r="L247" s="180">
        <v>905.82848246999993</v>
      </c>
      <c r="M247" s="180">
        <v>19770.789854509996</v>
      </c>
      <c r="N247" s="180">
        <v>8532.6072739399988</v>
      </c>
      <c r="O247" s="180">
        <v>697.68266065999956</v>
      </c>
      <c r="P247" s="180">
        <v>8352.5576438000007</v>
      </c>
      <c r="Q247" s="1579">
        <v>2187.9422761099991</v>
      </c>
      <c r="R247" s="56"/>
      <c r="S247" s="56"/>
      <c r="T247" s="56"/>
      <c r="U247" s="56"/>
    </row>
    <row r="248" spans="1:21" ht="15.75">
      <c r="A248" s="625" t="s">
        <v>26</v>
      </c>
      <c r="B248" s="180">
        <v>33956.950859740005</v>
      </c>
      <c r="C248" s="180">
        <v>11225.705309769999</v>
      </c>
      <c r="D248" s="180">
        <v>3246.9941658399994</v>
      </c>
      <c r="E248" s="180">
        <v>3576.7510893499998</v>
      </c>
      <c r="F248" s="180">
        <v>2000.6142243499996</v>
      </c>
      <c r="G248" s="180">
        <v>2401.34583023</v>
      </c>
      <c r="H248" s="180">
        <v>2401.1235633699998</v>
      </c>
      <c r="I248" s="180">
        <v>291.64545994999992</v>
      </c>
      <c r="J248" s="180">
        <v>655.6537134099998</v>
      </c>
      <c r="K248" s="180">
        <v>583.61944757000003</v>
      </c>
      <c r="L248" s="180">
        <v>870.20494243999985</v>
      </c>
      <c r="M248" s="180">
        <v>20330.121986600003</v>
      </c>
      <c r="N248" s="180">
        <v>8822.1761353300026</v>
      </c>
      <c r="O248" s="180">
        <v>697.46497992000025</v>
      </c>
      <c r="P248" s="180">
        <v>8633.2486838600016</v>
      </c>
      <c r="Q248" s="1579">
        <v>2177.2321874899999</v>
      </c>
      <c r="R248" s="56"/>
      <c r="S248" s="56"/>
      <c r="T248" s="56"/>
      <c r="U248" s="56"/>
    </row>
    <row r="249" spans="1:21" ht="15.75">
      <c r="A249" s="625" t="s">
        <v>27</v>
      </c>
      <c r="B249" s="180">
        <v>34806.25794784</v>
      </c>
      <c r="C249" s="180">
        <v>11500.0053315</v>
      </c>
      <c r="D249" s="180">
        <v>3423.0472678699994</v>
      </c>
      <c r="E249" s="180">
        <v>3635.68619042</v>
      </c>
      <c r="F249" s="180">
        <v>2089.1146558600003</v>
      </c>
      <c r="G249" s="180">
        <v>2352.1572173500003</v>
      </c>
      <c r="H249" s="180">
        <v>2439.4120308399997</v>
      </c>
      <c r="I249" s="180">
        <v>265.24752152000002</v>
      </c>
      <c r="J249" s="180">
        <v>706.51641263999988</v>
      </c>
      <c r="K249" s="180">
        <v>610.20534321999992</v>
      </c>
      <c r="L249" s="180">
        <v>857.44275345999995</v>
      </c>
      <c r="M249" s="180">
        <v>20866.840585500006</v>
      </c>
      <c r="N249" s="180">
        <v>9286.5922257500024</v>
      </c>
      <c r="O249" s="180">
        <v>723.75668761000009</v>
      </c>
      <c r="P249" s="180">
        <v>8650.8879461800007</v>
      </c>
      <c r="Q249" s="1579">
        <v>2205.6037259600002</v>
      </c>
      <c r="R249" s="56"/>
      <c r="S249" s="56"/>
      <c r="T249" s="56"/>
      <c r="U249" s="56"/>
    </row>
    <row r="250" spans="1:21" ht="15.75">
      <c r="A250" s="625" t="s">
        <v>28</v>
      </c>
      <c r="B250" s="180">
        <v>35484.16493413</v>
      </c>
      <c r="C250" s="180">
        <v>11588.58637651</v>
      </c>
      <c r="D250" s="180">
        <v>3394.6715733799997</v>
      </c>
      <c r="E250" s="180">
        <v>3687.9131500600006</v>
      </c>
      <c r="F250" s="180">
        <v>2121.7242326999999</v>
      </c>
      <c r="G250" s="180">
        <v>2384.2774203700001</v>
      </c>
      <c r="H250" s="180">
        <v>2446.0378285899997</v>
      </c>
      <c r="I250" s="180">
        <v>255.76609307000001</v>
      </c>
      <c r="J250" s="180">
        <v>722.57569759000012</v>
      </c>
      <c r="K250" s="180">
        <v>590.5425164699999</v>
      </c>
      <c r="L250" s="180">
        <v>877.15352145999987</v>
      </c>
      <c r="M250" s="180">
        <v>21449.540729029999</v>
      </c>
      <c r="N250" s="180">
        <v>9277.2539944399996</v>
      </c>
      <c r="O250" s="180">
        <v>781.74189926000076</v>
      </c>
      <c r="P250" s="180">
        <v>9191.5817194499978</v>
      </c>
      <c r="Q250" s="1579">
        <v>2198.9631158799993</v>
      </c>
      <c r="R250" s="56"/>
      <c r="S250" s="56"/>
      <c r="T250" s="56"/>
      <c r="U250" s="56"/>
    </row>
    <row r="251" spans="1:21" ht="15.75">
      <c r="A251" s="625" t="s">
        <v>29</v>
      </c>
      <c r="B251" s="180">
        <v>36249.769001510009</v>
      </c>
      <c r="C251" s="180">
        <v>11742.95861156</v>
      </c>
      <c r="D251" s="180">
        <v>3349.2315357099997</v>
      </c>
      <c r="E251" s="180">
        <v>3790.1588456099998</v>
      </c>
      <c r="F251" s="180">
        <v>2173.4625190700003</v>
      </c>
      <c r="G251" s="180">
        <v>2430.1057111699997</v>
      </c>
      <c r="H251" s="180">
        <v>2481.77044716</v>
      </c>
      <c r="I251" s="180">
        <v>426.17921723000001</v>
      </c>
      <c r="J251" s="180">
        <v>717.75488679999989</v>
      </c>
      <c r="K251" s="180">
        <v>588.47687945999996</v>
      </c>
      <c r="L251" s="180">
        <v>749.35946366999985</v>
      </c>
      <c r="M251" s="180">
        <v>22025.039942790005</v>
      </c>
      <c r="N251" s="180">
        <v>9611.7453028300024</v>
      </c>
      <c r="O251" s="180">
        <v>809.45768441999962</v>
      </c>
      <c r="P251" s="180">
        <v>9377.1892714800015</v>
      </c>
      <c r="Q251" s="1579">
        <v>2226.6476840600003</v>
      </c>
      <c r="R251" s="56"/>
      <c r="S251" s="56"/>
      <c r="T251" s="56"/>
      <c r="U251" s="56"/>
    </row>
    <row r="252" spans="1:21" ht="15.75">
      <c r="A252" s="625" t="s">
        <v>3500</v>
      </c>
      <c r="B252" s="180"/>
      <c r="C252" s="180"/>
      <c r="D252" s="180"/>
      <c r="E252" s="180"/>
      <c r="F252" s="180"/>
      <c r="G252" s="180"/>
      <c r="H252" s="180"/>
      <c r="I252" s="180"/>
      <c r="J252" s="180"/>
      <c r="K252" s="180"/>
      <c r="L252" s="180"/>
      <c r="M252" s="180"/>
      <c r="N252" s="180"/>
      <c r="O252" s="180"/>
      <c r="P252" s="180"/>
      <c r="Q252" s="1579"/>
      <c r="R252" s="56"/>
      <c r="S252" s="56"/>
      <c r="T252" s="56"/>
      <c r="U252" s="56"/>
    </row>
    <row r="253" spans="1:21" ht="15.75">
      <c r="A253" s="625" t="s">
        <v>18</v>
      </c>
      <c r="B253" s="180">
        <v>35552.863399799993</v>
      </c>
      <c r="C253" s="180">
        <v>11928.495167870002</v>
      </c>
      <c r="D253" s="180">
        <v>3428.4033533899997</v>
      </c>
      <c r="E253" s="180">
        <v>3871.1348435600003</v>
      </c>
      <c r="F253" s="180">
        <v>2289.5861456500002</v>
      </c>
      <c r="G253" s="180">
        <v>2339.3708252700003</v>
      </c>
      <c r="H253" s="180">
        <v>2521.7209345399997</v>
      </c>
      <c r="I253" s="180">
        <v>443.60372776999998</v>
      </c>
      <c r="J253" s="180">
        <v>726.85710709999989</v>
      </c>
      <c r="K253" s="180">
        <v>519.55635375999998</v>
      </c>
      <c r="L253" s="180">
        <v>831.70374590999984</v>
      </c>
      <c r="M253" s="180">
        <f>SUM(N253:Q253)</f>
        <v>21102.647297390002</v>
      </c>
      <c r="N253" s="180">
        <v>8931.2691753500021</v>
      </c>
      <c r="O253" s="180">
        <v>824.88307325999972</v>
      </c>
      <c r="P253" s="180">
        <v>9171.1516070199978</v>
      </c>
      <c r="Q253" s="1579">
        <v>2175.3434417600001</v>
      </c>
      <c r="R253" s="56"/>
      <c r="S253" s="56"/>
      <c r="T253" s="56"/>
      <c r="U253" s="56"/>
    </row>
    <row r="254" spans="1:21" ht="15.75">
      <c r="A254" s="625" t="s">
        <v>19</v>
      </c>
      <c r="B254" s="180">
        <v>35179.241788129999</v>
      </c>
      <c r="C254" s="180">
        <v>11901.83757354</v>
      </c>
      <c r="D254" s="180">
        <v>3414.4064955100002</v>
      </c>
      <c r="E254" s="180">
        <v>3884.1172935800005</v>
      </c>
      <c r="F254" s="180">
        <v>2121.8370014299999</v>
      </c>
      <c r="G254" s="180">
        <v>2481.4767830199999</v>
      </c>
      <c r="H254" s="180">
        <v>2555.5924169800001</v>
      </c>
      <c r="I254" s="180">
        <v>438.28919721</v>
      </c>
      <c r="J254" s="180">
        <v>828.35173551000003</v>
      </c>
      <c r="K254" s="180">
        <v>492.38142025000002</v>
      </c>
      <c r="L254" s="180">
        <v>796.57006401000001</v>
      </c>
      <c r="M254" s="180">
        <v>20721.81179761</v>
      </c>
      <c r="N254" s="180">
        <v>8557.6614139999983</v>
      </c>
      <c r="O254" s="180">
        <v>917.65527167000005</v>
      </c>
      <c r="P254" s="180">
        <v>8780.5398415799973</v>
      </c>
      <c r="Q254" s="1579">
        <v>2465.9552703600007</v>
      </c>
      <c r="R254" s="56"/>
      <c r="S254" s="56"/>
      <c r="T254" s="56"/>
      <c r="U254" s="56"/>
    </row>
    <row r="255" spans="1:21" ht="15.75">
      <c r="A255" s="625" t="s">
        <v>20</v>
      </c>
      <c r="B255" s="180">
        <v>34554.831504200003</v>
      </c>
      <c r="C255" s="180">
        <v>11964.3955489</v>
      </c>
      <c r="D255" s="180">
        <v>3479.5931833500008</v>
      </c>
      <c r="E255" s="180">
        <v>3918.1247518900004</v>
      </c>
      <c r="F255" s="180">
        <v>2142.5609507200002</v>
      </c>
      <c r="G255" s="180">
        <v>2424.11666294</v>
      </c>
      <c r="H255" s="180">
        <v>2640.2669581599998</v>
      </c>
      <c r="I255" s="180">
        <v>445.15624847999999</v>
      </c>
      <c r="J255" s="180">
        <v>842.03371348999985</v>
      </c>
      <c r="K255" s="180">
        <v>521.60926846000007</v>
      </c>
      <c r="L255" s="180">
        <v>831.46772772999998</v>
      </c>
      <c r="M255" s="180">
        <v>19950.168997139997</v>
      </c>
      <c r="N255" s="180">
        <v>9035.9212121699984</v>
      </c>
      <c r="O255" s="180">
        <v>943.16542512000046</v>
      </c>
      <c r="P255" s="180">
        <v>7497.333111500001</v>
      </c>
      <c r="Q255" s="1579">
        <v>2473.7492483499991</v>
      </c>
      <c r="R255" s="56"/>
      <c r="S255" s="56"/>
      <c r="T255" s="56"/>
      <c r="U255" s="56"/>
    </row>
    <row r="256" spans="1:21" ht="15.75">
      <c r="A256" s="625" t="s">
        <v>21</v>
      </c>
      <c r="B256" s="180">
        <v>35202.44502739</v>
      </c>
      <c r="C256" s="180">
        <v>12211.631103010001</v>
      </c>
      <c r="D256" s="180">
        <v>3707.7561475699995</v>
      </c>
      <c r="E256" s="180">
        <v>3957.6163669000002</v>
      </c>
      <c r="F256" s="180">
        <v>2112.1675288800002</v>
      </c>
      <c r="G256" s="180">
        <v>2434.0910596600002</v>
      </c>
      <c r="H256" s="180">
        <v>2909.8154623299997</v>
      </c>
      <c r="I256" s="180">
        <v>537.49990011999989</v>
      </c>
      <c r="J256" s="180">
        <v>810.83043857999996</v>
      </c>
      <c r="K256" s="180">
        <v>742.31473015999995</v>
      </c>
      <c r="L256" s="180">
        <v>819.17039347000002</v>
      </c>
      <c r="M256" s="180">
        <v>20080.99846205</v>
      </c>
      <c r="N256" s="180">
        <v>8912.2529908900015</v>
      </c>
      <c r="O256" s="180">
        <v>989.99722295999959</v>
      </c>
      <c r="P256" s="180">
        <v>7678.8398396400007</v>
      </c>
      <c r="Q256" s="1579">
        <v>2499.9084085600002</v>
      </c>
      <c r="R256" s="56"/>
      <c r="S256" s="56"/>
      <c r="T256" s="56"/>
      <c r="U256" s="56"/>
    </row>
    <row r="257" spans="1:21" ht="15.75">
      <c r="A257" s="625" t="s">
        <v>22</v>
      </c>
      <c r="B257" s="180">
        <v>35393.087325780005</v>
      </c>
      <c r="C257" s="180">
        <v>12400.72389207</v>
      </c>
      <c r="D257" s="180">
        <v>3638.1915757399997</v>
      </c>
      <c r="E257" s="180">
        <v>4048.6433766999999</v>
      </c>
      <c r="F257" s="180">
        <v>2293.8150252999999</v>
      </c>
      <c r="G257" s="180">
        <v>2420.0739143300002</v>
      </c>
      <c r="H257" s="180">
        <v>2730.8099622899999</v>
      </c>
      <c r="I257" s="180">
        <v>479.36319852999998</v>
      </c>
      <c r="J257" s="180">
        <v>757.49803850000001</v>
      </c>
      <c r="K257" s="180">
        <v>702.2232703599999</v>
      </c>
      <c r="L257" s="180">
        <v>791.72545490000005</v>
      </c>
      <c r="M257" s="180">
        <v>20261.55347142</v>
      </c>
      <c r="N257" s="180">
        <v>9099.2063087899987</v>
      </c>
      <c r="O257" s="180">
        <v>1085.2929812100001</v>
      </c>
      <c r="P257" s="180">
        <v>7599.6822621700012</v>
      </c>
      <c r="Q257" s="1579">
        <v>2477.3719192499998</v>
      </c>
      <c r="R257" s="56"/>
      <c r="S257" s="56"/>
      <c r="T257" s="56"/>
      <c r="U257" s="56"/>
    </row>
    <row r="258" spans="1:21" ht="15.75">
      <c r="A258" s="625" t="s">
        <v>23</v>
      </c>
      <c r="B258" s="180">
        <v>34512.94671289</v>
      </c>
      <c r="C258" s="180">
        <v>12748.80840428</v>
      </c>
      <c r="D258" s="180">
        <v>3919.253059690001</v>
      </c>
      <c r="E258" s="180">
        <v>4168.1857900300001</v>
      </c>
      <c r="F258" s="180">
        <v>2218.9736204400001</v>
      </c>
      <c r="G258" s="180">
        <v>2442.3959341199998</v>
      </c>
      <c r="H258" s="180">
        <v>2474.6619893899997</v>
      </c>
      <c r="I258" s="180">
        <v>483.36870170999993</v>
      </c>
      <c r="J258" s="180">
        <v>538.50201820999996</v>
      </c>
      <c r="K258" s="180">
        <v>754.85433708000005</v>
      </c>
      <c r="L258" s="180">
        <v>697.93693239000004</v>
      </c>
      <c r="M258" s="180">
        <v>19289.476319220001</v>
      </c>
      <c r="N258" s="180">
        <v>9087.9320951299997</v>
      </c>
      <c r="O258" s="180">
        <v>1221.2513505599998</v>
      </c>
      <c r="P258" s="180">
        <v>6208.7405400600001</v>
      </c>
      <c r="Q258" s="1579">
        <v>2771.5523334700001</v>
      </c>
      <c r="R258" s="56"/>
      <c r="S258" s="56"/>
      <c r="T258" s="56"/>
      <c r="U258" s="56"/>
    </row>
    <row r="259" spans="1:21" ht="15.75">
      <c r="A259" s="625" t="s">
        <v>24</v>
      </c>
      <c r="B259" s="180">
        <v>34023.467394450003</v>
      </c>
      <c r="C259" s="180">
        <v>12705.497011170002</v>
      </c>
      <c r="D259" s="180">
        <v>3841.6218606300017</v>
      </c>
      <c r="E259" s="180">
        <v>4233.3811577100005</v>
      </c>
      <c r="F259" s="180">
        <v>2204.1997610200001</v>
      </c>
      <c r="G259" s="180">
        <v>2426.2942318099999</v>
      </c>
      <c r="H259" s="180">
        <v>2232.1454882900002</v>
      </c>
      <c r="I259" s="180">
        <v>477.44109351999992</v>
      </c>
      <c r="J259" s="180">
        <v>646.29483213999993</v>
      </c>
      <c r="K259" s="180">
        <v>405.64727720000002</v>
      </c>
      <c r="L259" s="180">
        <v>702.76228543000013</v>
      </c>
      <c r="M259" s="180">
        <v>19085.824894989997</v>
      </c>
      <c r="N259" s="180">
        <v>9286.6060429799982</v>
      </c>
      <c r="O259" s="180">
        <v>1284.1239086099999</v>
      </c>
      <c r="P259" s="180">
        <v>5720.8652743700004</v>
      </c>
      <c r="Q259" s="1579">
        <v>2794.22966903</v>
      </c>
      <c r="R259" s="56"/>
      <c r="S259" s="56"/>
      <c r="T259" s="56"/>
      <c r="U259" s="56"/>
    </row>
    <row r="260" spans="1:21" ht="15.75">
      <c r="A260" s="625" t="s">
        <v>25</v>
      </c>
      <c r="B260" s="180">
        <v>34325.122664660004</v>
      </c>
      <c r="C260" s="180">
        <v>12580.125602840002</v>
      </c>
      <c r="D260" s="180">
        <v>3717.7469765400006</v>
      </c>
      <c r="E260" s="180">
        <v>4300.07373069</v>
      </c>
      <c r="F260" s="180">
        <v>2156.5808836800002</v>
      </c>
      <c r="G260" s="180">
        <v>2405.7240119300004</v>
      </c>
      <c r="H260" s="180">
        <v>2339.74333187</v>
      </c>
      <c r="I260" s="180">
        <v>450.92321826</v>
      </c>
      <c r="J260" s="180">
        <v>752.65208719999998</v>
      </c>
      <c r="K260" s="180">
        <v>429.49120596000012</v>
      </c>
      <c r="L260" s="180">
        <v>706.67682044999981</v>
      </c>
      <c r="M260" s="180">
        <v>19405.25372995</v>
      </c>
      <c r="N260" s="180">
        <v>9665.9177721800006</v>
      </c>
      <c r="O260" s="180">
        <v>1439.0735833900007</v>
      </c>
      <c r="P260" s="180">
        <v>5472.2485661600012</v>
      </c>
      <c r="Q260" s="1579">
        <v>2828.0138082199996</v>
      </c>
      <c r="R260" s="56"/>
      <c r="S260" s="56"/>
      <c r="T260" s="56"/>
      <c r="U260" s="56"/>
    </row>
    <row r="261" spans="1:21" ht="15.75">
      <c r="A261" s="625" t="s">
        <v>26</v>
      </c>
      <c r="B261" s="180">
        <v>34230.529272649997</v>
      </c>
      <c r="C261" s="180">
        <v>12705.47209046</v>
      </c>
      <c r="D261" s="180">
        <v>3880.6098629600001</v>
      </c>
      <c r="E261" s="180">
        <v>4370.9302982199997</v>
      </c>
      <c r="F261" s="180">
        <v>2065.8548022900004</v>
      </c>
      <c r="G261" s="180">
        <v>2388.0771269900006</v>
      </c>
      <c r="H261" s="180">
        <v>2061.74313605</v>
      </c>
      <c r="I261" s="180">
        <v>454.72817416999999</v>
      </c>
      <c r="J261" s="180">
        <v>498.49453416</v>
      </c>
      <c r="K261" s="180">
        <v>342.53181935000009</v>
      </c>
      <c r="L261" s="180">
        <v>765.98860836999984</v>
      </c>
      <c r="M261" s="180">
        <v>19463.31404614</v>
      </c>
      <c r="N261" s="180">
        <v>9792.3123714100002</v>
      </c>
      <c r="O261" s="180">
        <v>1524.6560768599998</v>
      </c>
      <c r="P261" s="180">
        <v>5310.0783720900008</v>
      </c>
      <c r="Q261" s="1579">
        <v>2836.26722578</v>
      </c>
      <c r="R261" s="56"/>
      <c r="S261" s="56"/>
      <c r="T261" s="56"/>
      <c r="U261" s="56"/>
    </row>
    <row r="262" spans="1:21" ht="15.75">
      <c r="A262" s="625" t="s">
        <v>27</v>
      </c>
      <c r="B262" s="180">
        <v>34991.250378479992</v>
      </c>
      <c r="C262" s="180">
        <v>12564.1</v>
      </c>
      <c r="D262" s="180">
        <v>3891.0796489800005</v>
      </c>
      <c r="E262" s="180">
        <v>4250.6065408099994</v>
      </c>
      <c r="F262" s="180">
        <v>2076.4297283799997</v>
      </c>
      <c r="G262" s="180">
        <v>2345.9637463600002</v>
      </c>
      <c r="H262" s="180">
        <v>1929.3409091000001</v>
      </c>
      <c r="I262" s="180">
        <v>479.50345427999997</v>
      </c>
      <c r="J262" s="180">
        <v>500.53369467000005</v>
      </c>
      <c r="K262" s="180">
        <v>312.69315468000002</v>
      </c>
      <c r="L262" s="180">
        <v>636.61060547</v>
      </c>
      <c r="M262" s="180">
        <v>20497.82980485</v>
      </c>
      <c r="N262" s="180">
        <v>9776.2881645199977</v>
      </c>
      <c r="O262" s="180">
        <v>1677.7987509499999</v>
      </c>
      <c r="P262" s="180">
        <v>6258.7118345800009</v>
      </c>
      <c r="Q262" s="1579">
        <v>2785.0310548000011</v>
      </c>
      <c r="R262" s="56"/>
      <c r="S262" s="56"/>
      <c r="T262" s="56"/>
      <c r="U262" s="56"/>
    </row>
    <row r="263" spans="1:21" ht="15.75">
      <c r="A263" s="625" t="s">
        <v>28</v>
      </c>
      <c r="B263" s="180">
        <v>35128.819710420001</v>
      </c>
      <c r="C263" s="180">
        <v>12524.91391736</v>
      </c>
      <c r="D263" s="180">
        <v>3855.3848485999997</v>
      </c>
      <c r="E263" s="180">
        <v>4379.7804269200005</v>
      </c>
      <c r="F263" s="180">
        <v>1931.6570532300002</v>
      </c>
      <c r="G263" s="180">
        <v>2358.0915886099997</v>
      </c>
      <c r="H263" s="180">
        <v>1925.2084528099999</v>
      </c>
      <c r="I263" s="180">
        <v>476.78213931999994</v>
      </c>
      <c r="J263" s="180">
        <v>505.10693558000003</v>
      </c>
      <c r="K263" s="180">
        <v>301.94481826999998</v>
      </c>
      <c r="L263" s="180">
        <v>641.37455964000003</v>
      </c>
      <c r="M263" s="180">
        <v>20678.697340250001</v>
      </c>
      <c r="N263" s="180">
        <v>10287.15809284</v>
      </c>
      <c r="O263" s="180">
        <v>1736.8300263000001</v>
      </c>
      <c r="P263" s="180">
        <v>5789.7915937899998</v>
      </c>
      <c r="Q263" s="1579">
        <v>2864.9176273200001</v>
      </c>
      <c r="R263" s="56"/>
      <c r="S263" s="56"/>
      <c r="T263" s="56"/>
      <c r="U263" s="56"/>
    </row>
    <row r="264" spans="1:21" ht="15.75">
      <c r="A264" s="625" t="s">
        <v>29</v>
      </c>
      <c r="B264" s="180">
        <v>36965.110117480006</v>
      </c>
      <c r="C264" s="180">
        <v>12947.755622960001</v>
      </c>
      <c r="D264" s="180">
        <v>4124.6015843100004</v>
      </c>
      <c r="E264" s="180">
        <v>4521.4856089800005</v>
      </c>
      <c r="F264" s="180">
        <v>1939.8341434000004</v>
      </c>
      <c r="G264" s="180">
        <v>2361.8342862699997</v>
      </c>
      <c r="H264" s="180">
        <v>2365.8000574199996</v>
      </c>
      <c r="I264" s="180">
        <v>491.69795726999985</v>
      </c>
      <c r="J264" s="180">
        <v>758.92889563000006</v>
      </c>
      <c r="K264" s="180">
        <v>453.45584865000006</v>
      </c>
      <c r="L264" s="180">
        <v>661.71735586999989</v>
      </c>
      <c r="M264" s="180">
        <v>21651.554437100003</v>
      </c>
      <c r="N264" s="180">
        <v>10384.998328200003</v>
      </c>
      <c r="O264" s="180">
        <v>1962.1157988499986</v>
      </c>
      <c r="P264" s="180">
        <v>6224.2248027799997</v>
      </c>
      <c r="Q264" s="1579">
        <v>3080.2155072699998</v>
      </c>
      <c r="R264" s="56"/>
      <c r="S264" s="56"/>
      <c r="T264" s="56"/>
      <c r="U264" s="56"/>
    </row>
    <row r="265" spans="1:21" ht="15.75">
      <c r="A265" s="625" t="s">
        <v>3971</v>
      </c>
      <c r="B265" s="180"/>
      <c r="C265" s="180"/>
      <c r="D265" s="180"/>
      <c r="E265" s="180"/>
      <c r="F265" s="180"/>
      <c r="G265" s="180"/>
      <c r="H265" s="180"/>
      <c r="I265" s="180"/>
      <c r="J265" s="180"/>
      <c r="K265" s="180"/>
      <c r="L265" s="180"/>
      <c r="M265" s="180"/>
      <c r="N265" s="180"/>
      <c r="O265" s="180"/>
      <c r="P265" s="180"/>
      <c r="Q265" s="1579"/>
      <c r="R265" s="56"/>
      <c r="S265" s="56"/>
      <c r="T265" s="56"/>
      <c r="U265" s="56"/>
    </row>
    <row r="266" spans="1:21" ht="15.75">
      <c r="A266" s="625" t="s">
        <v>18</v>
      </c>
      <c r="B266" s="180">
        <v>37588.947156480004</v>
      </c>
      <c r="C266" s="180">
        <v>13116.172725189997</v>
      </c>
      <c r="D266" s="180">
        <v>3900.15271975</v>
      </c>
      <c r="E266" s="180">
        <v>4630.7480746399997</v>
      </c>
      <c r="F266" s="180">
        <v>2101.5505658699994</v>
      </c>
      <c r="G266" s="180">
        <v>2483.7213649299997</v>
      </c>
      <c r="H266" s="180">
        <v>2729.7897326100001</v>
      </c>
      <c r="I266" s="180">
        <v>497.33025177000002</v>
      </c>
      <c r="J266" s="180">
        <v>828.49891926000009</v>
      </c>
      <c r="K266" s="180">
        <v>660.0673843699999</v>
      </c>
      <c r="L266" s="180">
        <v>743.89317720999998</v>
      </c>
      <c r="M266" s="180">
        <v>21742.984698680004</v>
      </c>
      <c r="N266" s="180">
        <v>10301.069800620002</v>
      </c>
      <c r="O266" s="180">
        <v>1783.3458688800006</v>
      </c>
      <c r="P266" s="180">
        <v>6234.707242970002</v>
      </c>
      <c r="Q266" s="1579">
        <v>3423.8617862100004</v>
      </c>
      <c r="R266" s="56"/>
      <c r="S266" s="56"/>
      <c r="T266" s="56"/>
      <c r="U266" s="56"/>
    </row>
    <row r="267" spans="1:21" ht="15.75">
      <c r="A267" s="625" t="s">
        <v>19</v>
      </c>
      <c r="B267" s="180">
        <v>37154.228410869997</v>
      </c>
      <c r="C267" s="180">
        <v>13267.209236139999</v>
      </c>
      <c r="D267" s="180">
        <v>3899.9471199000004</v>
      </c>
      <c r="E267" s="180">
        <v>4679.5241555499988</v>
      </c>
      <c r="F267" s="180">
        <v>2191.4857113499997</v>
      </c>
      <c r="G267" s="180">
        <v>2496.2522493399997</v>
      </c>
      <c r="H267" s="180">
        <v>2311.1592694000001</v>
      </c>
      <c r="I267" s="180">
        <v>538.25472792000016</v>
      </c>
      <c r="J267" s="180">
        <v>577.91921739999998</v>
      </c>
      <c r="K267" s="180">
        <v>505.20691405000008</v>
      </c>
      <c r="L267" s="180">
        <v>689.7784100299998</v>
      </c>
      <c r="M267" s="180">
        <v>21575.859905329999</v>
      </c>
      <c r="N267" s="180">
        <v>10629.706787090001</v>
      </c>
      <c r="O267" s="180">
        <v>1851.8328299999994</v>
      </c>
      <c r="P267" s="180">
        <v>5482.9545071999992</v>
      </c>
      <c r="Q267" s="1579">
        <v>3611.36578104</v>
      </c>
      <c r="R267" s="56"/>
      <c r="S267" s="56"/>
      <c r="T267" s="56"/>
      <c r="U267" s="56"/>
    </row>
    <row r="268" spans="1:21" ht="15.75">
      <c r="A268" s="625" t="s">
        <v>20</v>
      </c>
      <c r="B268" s="180">
        <v>37127.632242880005</v>
      </c>
      <c r="C268" s="180">
        <v>13150.527694509999</v>
      </c>
      <c r="D268" s="180">
        <v>3814.3556189800001</v>
      </c>
      <c r="E268" s="180">
        <v>4715.0540928300006</v>
      </c>
      <c r="F268" s="180">
        <v>2108.1779471699997</v>
      </c>
      <c r="G268" s="180">
        <v>2512.9400355299999</v>
      </c>
      <c r="H268" s="180">
        <v>2600.3992068599996</v>
      </c>
      <c r="I268" s="180">
        <v>618.65197282999998</v>
      </c>
      <c r="J268" s="180">
        <v>626.48693619999995</v>
      </c>
      <c r="K268" s="180">
        <v>714.18994858999974</v>
      </c>
      <c r="L268" s="180">
        <v>641.07034923999993</v>
      </c>
      <c r="M268" s="180">
        <v>21376.705341510002</v>
      </c>
      <c r="N268" s="180">
        <v>10150.546322689999</v>
      </c>
      <c r="O268" s="180">
        <v>1999.1732466200001</v>
      </c>
      <c r="P268" s="180">
        <v>5808.7875361900005</v>
      </c>
      <c r="Q268" s="1579">
        <v>3418.1982360099996</v>
      </c>
      <c r="R268" s="56"/>
      <c r="S268" s="56"/>
      <c r="T268" s="56"/>
      <c r="U268" s="56"/>
    </row>
    <row r="269" spans="1:21" ht="15.75">
      <c r="A269" s="625" t="s">
        <v>21</v>
      </c>
      <c r="B269" s="180">
        <v>37547.287201159997</v>
      </c>
      <c r="C269" s="180">
        <v>13497.036176819998</v>
      </c>
      <c r="D269" s="180">
        <v>4003.6560761000001</v>
      </c>
      <c r="E269" s="180">
        <v>4869.5130378500007</v>
      </c>
      <c r="F269" s="180">
        <v>2076.4993538499994</v>
      </c>
      <c r="G269" s="180">
        <v>2547.3677090200003</v>
      </c>
      <c r="H269" s="180">
        <v>2552.0350798299996</v>
      </c>
      <c r="I269" s="180">
        <v>627.14472577000004</v>
      </c>
      <c r="J269" s="180">
        <v>581.24954467999999</v>
      </c>
      <c r="K269" s="180">
        <v>708.97947669999985</v>
      </c>
      <c r="L269" s="180">
        <v>634.66133267999987</v>
      </c>
      <c r="M269" s="180">
        <v>21498.215944510001</v>
      </c>
      <c r="N269" s="180">
        <v>9642.2757517599985</v>
      </c>
      <c r="O269" s="180">
        <v>2081.8322719000003</v>
      </c>
      <c r="P269" s="180">
        <v>6409.7723746000011</v>
      </c>
      <c r="Q269" s="1579">
        <v>3364.3355462499999</v>
      </c>
      <c r="R269" s="56"/>
      <c r="S269" s="56"/>
      <c r="T269" s="56"/>
      <c r="U269" s="56"/>
    </row>
    <row r="270" spans="1:21" ht="15.75">
      <c r="A270" s="625" t="s">
        <v>22</v>
      </c>
      <c r="B270" s="180">
        <f>SUM(C270,H270,M270)</f>
        <v>37471.555958539997</v>
      </c>
      <c r="C270" s="180">
        <v>13678.656195719999</v>
      </c>
      <c r="D270" s="180">
        <v>3957.1915484099995</v>
      </c>
      <c r="E270" s="180">
        <v>4975.37649994</v>
      </c>
      <c r="F270" s="180">
        <v>2093.8644836799999</v>
      </c>
      <c r="G270" s="180">
        <v>2652.2236636900002</v>
      </c>
      <c r="H270" s="180">
        <f>SUM(I270:L270)</f>
        <v>2628.4880515599993</v>
      </c>
      <c r="I270" s="180">
        <v>363.99211845999997</v>
      </c>
      <c r="J270" s="180">
        <v>915.18371923999985</v>
      </c>
      <c r="K270" s="180">
        <v>674.40928660999975</v>
      </c>
      <c r="L270" s="180">
        <v>674.90292724999983</v>
      </c>
      <c r="M270" s="180">
        <f>SUM(N270:Q270)</f>
        <v>21164.41171126</v>
      </c>
      <c r="N270" s="180">
        <v>9815.1723087400023</v>
      </c>
      <c r="O270" s="180">
        <v>2186.6782179699994</v>
      </c>
      <c r="P270" s="180">
        <v>5659.1505696500008</v>
      </c>
      <c r="Q270" s="1579">
        <v>3503.4106148999995</v>
      </c>
      <c r="R270" s="56"/>
      <c r="S270" s="56"/>
      <c r="T270" s="56"/>
      <c r="U270" s="56"/>
    </row>
    <row r="271" spans="1:21" ht="15.75">
      <c r="A271" s="625" t="s">
        <v>23</v>
      </c>
      <c r="B271" s="180">
        <v>38212.908973450001</v>
      </c>
      <c r="C271" s="180">
        <v>14180.707361170002</v>
      </c>
      <c r="D271" s="180">
        <v>4371.6476527200011</v>
      </c>
      <c r="E271" s="180">
        <v>4998.0365034799997</v>
      </c>
      <c r="F271" s="180">
        <v>2056.2241275799997</v>
      </c>
      <c r="G271" s="180">
        <v>2754.7990773900001</v>
      </c>
      <c r="H271" s="180">
        <v>2981.2145363399995</v>
      </c>
      <c r="I271" s="180">
        <v>362.75240020999985</v>
      </c>
      <c r="J271" s="180">
        <v>1175.1340419599999</v>
      </c>
      <c r="K271" s="180">
        <v>790.76560017999986</v>
      </c>
      <c r="L271" s="180">
        <v>652.56249398999989</v>
      </c>
      <c r="M271" s="180">
        <v>21050.987075940004</v>
      </c>
      <c r="N271" s="180">
        <v>9748.1140410000007</v>
      </c>
      <c r="O271" s="180">
        <v>2340.5434649999988</v>
      </c>
      <c r="P271" s="180">
        <v>5692.5396244800013</v>
      </c>
      <c r="Q271" s="1579">
        <v>3269.7899454600001</v>
      </c>
      <c r="R271" s="56"/>
      <c r="S271" s="56"/>
      <c r="T271" s="56"/>
      <c r="U271" s="56"/>
    </row>
    <row r="272" spans="1:21" ht="15.75">
      <c r="A272" s="625" t="s">
        <v>24</v>
      </c>
      <c r="B272" s="180">
        <v>36976.605035339999</v>
      </c>
      <c r="C272" s="180">
        <v>13963.33135</v>
      </c>
      <c r="D272" s="180">
        <v>3971.2981900300001</v>
      </c>
      <c r="E272" s="180">
        <v>5281.5822836999996</v>
      </c>
      <c r="F272" s="180">
        <v>1922.7314317500002</v>
      </c>
      <c r="G272" s="180">
        <v>2787.7194445199998</v>
      </c>
      <c r="H272" s="180">
        <v>2440.57405023</v>
      </c>
      <c r="I272" s="180">
        <v>378.44726169999996</v>
      </c>
      <c r="J272" s="180">
        <v>951.72658906000015</v>
      </c>
      <c r="K272" s="180">
        <v>507.05045203999998</v>
      </c>
      <c r="L272" s="180">
        <v>603.34974742999998</v>
      </c>
      <c r="M272" s="180">
        <v>20572.699635110002</v>
      </c>
      <c r="N272" s="180">
        <v>9514.4889284700021</v>
      </c>
      <c r="O272" s="180">
        <v>2373.5505145699999</v>
      </c>
      <c r="P272" s="180">
        <v>5170.8853848899998</v>
      </c>
      <c r="Q272" s="1579">
        <v>3513.7748071799997</v>
      </c>
      <c r="R272" s="56"/>
      <c r="S272" s="56"/>
      <c r="T272" s="56"/>
      <c r="U272" s="56"/>
    </row>
    <row r="273" spans="1:21" ht="15.75">
      <c r="A273" s="625" t="s">
        <v>25</v>
      </c>
      <c r="B273" s="180">
        <v>37397.545183769995</v>
      </c>
      <c r="C273" s="180">
        <v>14185.538765679998</v>
      </c>
      <c r="D273" s="180">
        <v>4002.7037036699994</v>
      </c>
      <c r="E273" s="180">
        <v>5368.9392102399979</v>
      </c>
      <c r="F273" s="180">
        <v>1965.8067228000002</v>
      </c>
      <c r="G273" s="180">
        <v>2848.0891289700007</v>
      </c>
      <c r="H273" s="180">
        <v>2232.8807471699997</v>
      </c>
      <c r="I273" s="180">
        <v>373.12623215999992</v>
      </c>
      <c r="J273" s="180">
        <v>764.57041348999996</v>
      </c>
      <c r="K273" s="180">
        <v>493.00562100000002</v>
      </c>
      <c r="L273" s="180">
        <v>602.17848051999988</v>
      </c>
      <c r="M273" s="180">
        <v>20979.125670919999</v>
      </c>
      <c r="N273" s="180">
        <v>9252.4826932299984</v>
      </c>
      <c r="O273" s="180">
        <v>2466.1358480900008</v>
      </c>
      <c r="P273" s="180">
        <v>5881.8697023100012</v>
      </c>
      <c r="Q273" s="1579">
        <v>3378.6374272899993</v>
      </c>
      <c r="R273" s="56"/>
      <c r="S273" s="56"/>
      <c r="T273" s="56"/>
      <c r="U273" s="56"/>
    </row>
    <row r="274" spans="1:21" ht="15.75">
      <c r="A274" s="625" t="s">
        <v>26</v>
      </c>
      <c r="B274" s="180">
        <v>38335.437444530005</v>
      </c>
      <c r="C274" s="180">
        <v>14163.953597429998</v>
      </c>
      <c r="D274" s="180">
        <v>3974.8512134299995</v>
      </c>
      <c r="E274" s="180">
        <v>5371.852383389999</v>
      </c>
      <c r="F274" s="180">
        <v>1944.7135038200001</v>
      </c>
      <c r="G274" s="180">
        <v>2872.5364967900005</v>
      </c>
      <c r="H274" s="180">
        <v>2695.7732310799997</v>
      </c>
      <c r="I274" s="180">
        <v>428.34705039999989</v>
      </c>
      <c r="J274" s="180">
        <v>1010.97366204</v>
      </c>
      <c r="K274" s="180">
        <v>681.87541804</v>
      </c>
      <c r="L274" s="180">
        <v>574.57710059999999</v>
      </c>
      <c r="M274" s="180">
        <v>21475.710616020009</v>
      </c>
      <c r="N274" s="180">
        <v>9927.7338906500008</v>
      </c>
      <c r="O274" s="180">
        <v>2561.9261730499993</v>
      </c>
      <c r="P274" s="180">
        <v>6000.4383792099998</v>
      </c>
      <c r="Q274" s="1579">
        <v>2985.6121731100006</v>
      </c>
      <c r="R274" s="56"/>
      <c r="S274" s="56"/>
      <c r="T274" s="56"/>
      <c r="U274" s="56"/>
    </row>
    <row r="275" spans="1:21" ht="15.75">
      <c r="A275" s="625" t="s">
        <v>27</v>
      </c>
      <c r="B275" s="180">
        <v>37022.114084909997</v>
      </c>
      <c r="C275" s="180">
        <v>14265.991405889999</v>
      </c>
      <c r="D275" s="180">
        <v>4034.6503673599991</v>
      </c>
      <c r="E275" s="180">
        <v>5447.0540109099993</v>
      </c>
      <c r="F275" s="180">
        <v>1914.0936445000002</v>
      </c>
      <c r="G275" s="180">
        <v>2870.1933831200004</v>
      </c>
      <c r="H275" s="180">
        <v>3023.61257157</v>
      </c>
      <c r="I275" s="180">
        <v>370.25194334999998</v>
      </c>
      <c r="J275" s="180">
        <v>1377.2726901600001</v>
      </c>
      <c r="K275" s="180">
        <v>678.72488452999994</v>
      </c>
      <c r="L275" s="180">
        <v>597.36305353</v>
      </c>
      <c r="M275" s="180">
        <v>19732.510107449998</v>
      </c>
      <c r="N275" s="180">
        <v>8577.8434291499998</v>
      </c>
      <c r="O275" s="180">
        <v>2611.1320451399997</v>
      </c>
      <c r="P275" s="180">
        <v>5584.3629194000005</v>
      </c>
      <c r="Q275" s="1579">
        <v>2959.1717137600008</v>
      </c>
      <c r="R275" s="56"/>
      <c r="S275" s="56"/>
      <c r="T275" s="56"/>
      <c r="U275" s="56"/>
    </row>
    <row r="276" spans="1:21" ht="15.75">
      <c r="A276" s="625" t="s">
        <v>28</v>
      </c>
      <c r="B276" s="180">
        <v>37627.139021819996</v>
      </c>
      <c r="C276" s="180">
        <v>14235.57581221</v>
      </c>
      <c r="D276" s="180">
        <v>3912.3338641</v>
      </c>
      <c r="E276" s="180">
        <v>5468.1642351</v>
      </c>
      <c r="F276" s="180">
        <v>1948.1365776199998</v>
      </c>
      <c r="G276" s="180">
        <v>2906.94113539</v>
      </c>
      <c r="H276" s="180">
        <v>2834.8752918099999</v>
      </c>
      <c r="I276" s="180">
        <v>390.46342042999993</v>
      </c>
      <c r="J276" s="180">
        <v>1106.47576895</v>
      </c>
      <c r="K276" s="180">
        <v>597.62686454999994</v>
      </c>
      <c r="L276" s="180">
        <v>740.30923788000007</v>
      </c>
      <c r="M276" s="180">
        <v>20556.687917799994</v>
      </c>
      <c r="N276" s="180">
        <v>9112.5495577599995</v>
      </c>
      <c r="O276" s="180">
        <v>2702.6794912099986</v>
      </c>
      <c r="P276" s="180">
        <v>5800.0872146099991</v>
      </c>
      <c r="Q276" s="1579">
        <v>2941.3716542199995</v>
      </c>
      <c r="R276" s="56"/>
      <c r="S276" s="56"/>
      <c r="T276" s="56"/>
      <c r="U276" s="56"/>
    </row>
    <row r="277" spans="1:21" ht="15.75">
      <c r="A277" s="625" t="s">
        <v>29</v>
      </c>
      <c r="B277" s="180">
        <v>40270.791496530008</v>
      </c>
      <c r="C277" s="180">
        <v>14661.94938401</v>
      </c>
      <c r="D277" s="180">
        <v>4149.8665275300018</v>
      </c>
      <c r="E277" s="180">
        <v>5580.1813151099986</v>
      </c>
      <c r="F277" s="180">
        <v>1909.1027797300003</v>
      </c>
      <c r="G277" s="180">
        <v>3022.7987616400005</v>
      </c>
      <c r="H277" s="180">
        <v>3076.4779523300003</v>
      </c>
      <c r="I277" s="180">
        <v>509.23117267000009</v>
      </c>
      <c r="J277" s="180">
        <v>901.61948442999994</v>
      </c>
      <c r="K277" s="180">
        <v>891.46318119</v>
      </c>
      <c r="L277" s="180">
        <v>774.16411404000019</v>
      </c>
      <c r="M277" s="180">
        <v>22532.364160189998</v>
      </c>
      <c r="N277" s="180">
        <v>10783.922456859995</v>
      </c>
      <c r="O277" s="180">
        <v>2867.0633918500007</v>
      </c>
      <c r="P277" s="180">
        <v>5829.8562517600012</v>
      </c>
      <c r="Q277" s="1579">
        <v>3051.5220597200009</v>
      </c>
      <c r="R277" s="56"/>
      <c r="S277" s="56"/>
      <c r="T277" s="56"/>
      <c r="U277" s="56"/>
    </row>
    <row r="278" spans="1:21" ht="15.75">
      <c r="A278" s="625" t="s">
        <v>4202</v>
      </c>
      <c r="B278" s="180"/>
      <c r="C278" s="180"/>
      <c r="D278" s="180"/>
      <c r="E278" s="180"/>
      <c r="F278" s="180"/>
      <c r="G278" s="180"/>
      <c r="H278" s="180"/>
      <c r="I278" s="180"/>
      <c r="J278" s="180"/>
      <c r="K278" s="180"/>
      <c r="L278" s="180"/>
      <c r="M278" s="180"/>
      <c r="N278" s="180"/>
      <c r="O278" s="180"/>
      <c r="P278" s="180"/>
      <c r="Q278" s="1579"/>
      <c r="R278" s="56"/>
      <c r="S278" s="56"/>
      <c r="T278" s="56"/>
      <c r="U278" s="56"/>
    </row>
    <row r="279" spans="1:21" ht="15.75">
      <c r="A279" s="625" t="s">
        <v>18</v>
      </c>
      <c r="B279" s="180">
        <v>40175.181765419999</v>
      </c>
      <c r="C279" s="180">
        <v>14698.654214310001</v>
      </c>
      <c r="D279" s="180">
        <v>4074.1833236099992</v>
      </c>
      <c r="E279" s="180">
        <v>5706.9043740200004</v>
      </c>
      <c r="F279" s="180">
        <v>1875.53090709</v>
      </c>
      <c r="G279" s="180">
        <v>3042.0356095900006</v>
      </c>
      <c r="H279" s="180">
        <v>3719.9658267700001</v>
      </c>
      <c r="I279" s="180">
        <v>508.92482125000004</v>
      </c>
      <c r="J279" s="180">
        <v>1485.8927740700001</v>
      </c>
      <c r="K279" s="180">
        <v>1007.3040258599999</v>
      </c>
      <c r="L279" s="180">
        <v>717.84420559</v>
      </c>
      <c r="M279" s="180">
        <v>21756.561724340001</v>
      </c>
      <c r="N279" s="180">
        <v>9049.6907896299999</v>
      </c>
      <c r="O279" s="180">
        <v>2914.8094670700002</v>
      </c>
      <c r="P279" s="180">
        <v>6711.5901733600022</v>
      </c>
      <c r="Q279" s="1579">
        <v>3080.4712942800011</v>
      </c>
      <c r="R279" s="56"/>
      <c r="S279" s="56"/>
      <c r="T279" s="56"/>
      <c r="U279" s="56"/>
    </row>
    <row r="280" spans="1:21" ht="15.75">
      <c r="A280" s="625" t="s">
        <v>19</v>
      </c>
      <c r="B280" s="180">
        <v>40420.466221750001</v>
      </c>
      <c r="C280" s="180">
        <v>14835.865925030001</v>
      </c>
      <c r="D280" s="180">
        <v>4191.5900717199993</v>
      </c>
      <c r="E280" s="180">
        <v>5741.2097038000011</v>
      </c>
      <c r="F280" s="180">
        <v>1837.4951434900001</v>
      </c>
      <c r="G280" s="180">
        <v>3065.5710060199999</v>
      </c>
      <c r="H280" s="180">
        <v>3625.6618418899998</v>
      </c>
      <c r="I280" s="180">
        <v>569.78000038999994</v>
      </c>
      <c r="J280" s="180">
        <v>1013.0139768799999</v>
      </c>
      <c r="K280" s="180">
        <v>1327.64592606</v>
      </c>
      <c r="L280" s="180">
        <v>715.22193856000013</v>
      </c>
      <c r="M280" s="180">
        <v>21958.938454830004</v>
      </c>
      <c r="N280" s="180">
        <v>9157.0597998499998</v>
      </c>
      <c r="O280" s="180">
        <v>3032.8257648899998</v>
      </c>
      <c r="P280" s="180">
        <v>6751.1543344400015</v>
      </c>
      <c r="Q280" s="1579">
        <v>3017.8985556500002</v>
      </c>
      <c r="R280" s="56"/>
      <c r="S280" s="56"/>
      <c r="T280" s="56"/>
      <c r="U280" s="56"/>
    </row>
    <row r="281" spans="1:21" ht="15.75">
      <c r="A281" s="625" t="s">
        <v>20</v>
      </c>
      <c r="B281" s="180">
        <v>40474.710646539999</v>
      </c>
      <c r="C281" s="180">
        <v>15074.000669289999</v>
      </c>
      <c r="D281" s="180">
        <v>4211.0510741400003</v>
      </c>
      <c r="E281" s="180">
        <v>5879.095996349999</v>
      </c>
      <c r="F281" s="180">
        <v>1851.3122799099997</v>
      </c>
      <c r="G281" s="180">
        <v>3132.5413188900006</v>
      </c>
      <c r="H281" s="180">
        <v>3782.041792439999</v>
      </c>
      <c r="I281" s="180">
        <v>493.54032456000004</v>
      </c>
      <c r="J281" s="180">
        <v>1399.9372494199997</v>
      </c>
      <c r="K281" s="180">
        <v>1085.0670871999994</v>
      </c>
      <c r="L281" s="180">
        <v>803.49713126000006</v>
      </c>
      <c r="M281" s="180">
        <v>21618.668184810002</v>
      </c>
      <c r="N281" s="180">
        <v>8830.861421880003</v>
      </c>
      <c r="O281" s="180">
        <v>2799.8971564500007</v>
      </c>
      <c r="P281" s="180">
        <v>6959.626399159999</v>
      </c>
      <c r="Q281" s="1579">
        <v>3028.2832073200002</v>
      </c>
      <c r="R281" s="56"/>
      <c r="S281" s="56"/>
      <c r="T281" s="56"/>
      <c r="U281" s="56"/>
    </row>
    <row r="282" spans="1:21" ht="15.75">
      <c r="A282" s="625" t="s">
        <v>21</v>
      </c>
      <c r="B282" s="180">
        <v>41433.452919610005</v>
      </c>
      <c r="C282" s="180">
        <v>14852.993585669999</v>
      </c>
      <c r="D282" s="180">
        <v>3920.9937029499993</v>
      </c>
      <c r="E282" s="180">
        <v>6002.2616736699993</v>
      </c>
      <c r="F282" s="180">
        <v>1793.7432886199999</v>
      </c>
      <c r="G282" s="180">
        <v>3135.9949204300005</v>
      </c>
      <c r="H282" s="180">
        <v>3350.4059349900003</v>
      </c>
      <c r="I282" s="180">
        <v>620.37553403000015</v>
      </c>
      <c r="J282" s="180">
        <v>1139.5794362700001</v>
      </c>
      <c r="K282" s="180">
        <v>725.11404392999998</v>
      </c>
      <c r="L282" s="180">
        <v>865.33692076000011</v>
      </c>
      <c r="M282" s="180">
        <v>23230.05339895</v>
      </c>
      <c r="N282" s="180">
        <v>8789.1784310200019</v>
      </c>
      <c r="O282" s="180">
        <v>4345.67050234</v>
      </c>
      <c r="P282" s="180">
        <v>7278.864471429999</v>
      </c>
      <c r="Q282" s="1579">
        <v>2816.3399941600001</v>
      </c>
      <c r="R282" s="56"/>
      <c r="S282" s="56"/>
      <c r="T282" s="56"/>
      <c r="U282" s="56"/>
    </row>
    <row r="283" spans="1:21" ht="15.75">
      <c r="A283" s="625" t="s">
        <v>22</v>
      </c>
      <c r="B283" s="180">
        <v>43207.098909219996</v>
      </c>
      <c r="C283" s="180">
        <v>15063.011597229997</v>
      </c>
      <c r="D283" s="180">
        <v>4024.19741845</v>
      </c>
      <c r="E283" s="180">
        <v>6111.7643074999996</v>
      </c>
      <c r="F283" s="180">
        <v>1837.9727169600001</v>
      </c>
      <c r="G283" s="180">
        <v>3089.0771543199999</v>
      </c>
      <c r="H283" s="180">
        <v>3305.2055298200003</v>
      </c>
      <c r="I283" s="180">
        <v>607.42813909000006</v>
      </c>
      <c r="J283" s="180">
        <v>1053.2488430300002</v>
      </c>
      <c r="K283" s="180">
        <v>726.90694229999974</v>
      </c>
      <c r="L283" s="180">
        <v>917.62160540000002</v>
      </c>
      <c r="M283" s="180">
        <v>24838.881782169999</v>
      </c>
      <c r="N283" s="180">
        <v>8754.4765326100005</v>
      </c>
      <c r="O283" s="180">
        <v>4741.853454600001</v>
      </c>
      <c r="P283" s="180">
        <v>8576.3390227599994</v>
      </c>
      <c r="Q283" s="1579">
        <v>2766.2127722</v>
      </c>
      <c r="R283" s="56"/>
      <c r="S283" s="56"/>
      <c r="T283" s="56"/>
      <c r="U283" s="56"/>
    </row>
    <row r="284" spans="1:21" ht="15.75">
      <c r="A284" s="625" t="s">
        <v>23</v>
      </c>
      <c r="B284" s="180">
        <v>42953.984545749998</v>
      </c>
      <c r="C284" s="180">
        <v>15436.972895950001</v>
      </c>
      <c r="D284" s="180">
        <v>4199.7729453300008</v>
      </c>
      <c r="E284" s="180">
        <v>6244.2181242199995</v>
      </c>
      <c r="F284" s="180">
        <v>1826.9521711400002</v>
      </c>
      <c r="G284" s="180">
        <v>3166.0296552600003</v>
      </c>
      <c r="H284" s="180">
        <v>3203.29133873</v>
      </c>
      <c r="I284" s="180">
        <v>575.12756932999991</v>
      </c>
      <c r="J284" s="180">
        <v>1128.3440255900002</v>
      </c>
      <c r="K284" s="180">
        <v>670.37003512999991</v>
      </c>
      <c r="L284" s="180">
        <v>829.44970867999996</v>
      </c>
      <c r="M284" s="180">
        <v>24313.720311070003</v>
      </c>
      <c r="N284" s="180">
        <v>9201.8301612300002</v>
      </c>
      <c r="O284" s="180">
        <v>5124.011655260002</v>
      </c>
      <c r="P284" s="180">
        <v>7040.3661594000005</v>
      </c>
      <c r="Q284" s="1579">
        <v>2947.5123351800003</v>
      </c>
      <c r="R284" s="56"/>
      <c r="S284" s="56"/>
      <c r="T284" s="56"/>
      <c r="U284" s="56"/>
    </row>
    <row r="285" spans="1:21" ht="15.75">
      <c r="A285" s="625" t="s">
        <v>24</v>
      </c>
      <c r="B285" s="180">
        <v>41776.089925520006</v>
      </c>
      <c r="C285" s="180">
        <v>15456.059509540002</v>
      </c>
      <c r="D285" s="180">
        <v>4124.9125394200009</v>
      </c>
      <c r="E285" s="180">
        <v>6347.2365757299995</v>
      </c>
      <c r="F285" s="180">
        <v>1809.1191788499998</v>
      </c>
      <c r="G285" s="180">
        <v>3174.7912155399999</v>
      </c>
      <c r="H285" s="180">
        <v>3075.7890537099997</v>
      </c>
      <c r="I285" s="180">
        <v>378.23361092999994</v>
      </c>
      <c r="J285" s="180">
        <v>1121.2293341999998</v>
      </c>
      <c r="K285" s="180">
        <v>774.11146551000002</v>
      </c>
      <c r="L285" s="180">
        <v>802.21464307000008</v>
      </c>
      <c r="M285" s="180">
        <v>23244.241362270004</v>
      </c>
      <c r="N285" s="180">
        <v>8920.2834419100018</v>
      </c>
      <c r="O285" s="180">
        <v>4921.2731621900002</v>
      </c>
      <c r="P285" s="180">
        <v>6418.0070676999994</v>
      </c>
      <c r="Q285" s="1579">
        <v>2984.6776904700014</v>
      </c>
      <c r="R285" s="56"/>
      <c r="S285" s="56"/>
      <c r="T285" s="56"/>
      <c r="U285" s="56"/>
    </row>
    <row r="286" spans="1:21" ht="15.75">
      <c r="A286" s="625" t="s">
        <v>25</v>
      </c>
      <c r="B286" s="180">
        <v>41441.301767170007</v>
      </c>
      <c r="C286" s="180">
        <v>15460.55037293</v>
      </c>
      <c r="D286" s="180">
        <v>4058.5134638999998</v>
      </c>
      <c r="E286" s="180">
        <v>6436.9685115000011</v>
      </c>
      <c r="F286" s="180">
        <v>1839.1013213799999</v>
      </c>
      <c r="G286" s="180">
        <v>3125.9670761500001</v>
      </c>
      <c r="H286" s="180">
        <v>3214.3019502899997</v>
      </c>
      <c r="I286" s="180">
        <v>349.95782851999996</v>
      </c>
      <c r="J286" s="180">
        <v>1197.8600113500001</v>
      </c>
      <c r="K286" s="180">
        <v>765.06321418000005</v>
      </c>
      <c r="L286" s="180">
        <v>901.42089623999993</v>
      </c>
      <c r="M286" s="180">
        <v>22766.449443950009</v>
      </c>
      <c r="N286" s="180">
        <v>8960.3453258000009</v>
      </c>
      <c r="O286" s="180">
        <v>4382.610651930001</v>
      </c>
      <c r="P286" s="180">
        <v>6439.4045677900012</v>
      </c>
      <c r="Q286" s="1579">
        <v>2984.0888984300009</v>
      </c>
      <c r="R286" s="56"/>
      <c r="S286" s="56"/>
      <c r="T286" s="56"/>
      <c r="U286" s="56"/>
    </row>
    <row r="287" spans="1:21" ht="15.75">
      <c r="A287" s="625" t="s">
        <v>26</v>
      </c>
      <c r="B287" s="180">
        <v>41700.892098759999</v>
      </c>
      <c r="C287" s="180">
        <v>15794.808994479999</v>
      </c>
      <c r="D287" s="180">
        <v>4189.3813000899981</v>
      </c>
      <c r="E287" s="180">
        <v>6598.59022181</v>
      </c>
      <c r="F287" s="180">
        <v>1883.1363423400005</v>
      </c>
      <c r="G287" s="180">
        <v>3123.7011302400001</v>
      </c>
      <c r="H287" s="180">
        <v>3692.5732021499998</v>
      </c>
      <c r="I287" s="180">
        <v>389.06608913999997</v>
      </c>
      <c r="J287" s="180">
        <v>1567.13074667</v>
      </c>
      <c r="K287" s="180">
        <v>839.07261090999975</v>
      </c>
      <c r="L287" s="180">
        <v>897.30375543000002</v>
      </c>
      <c r="M287" s="180">
        <v>22213.509902130001</v>
      </c>
      <c r="N287" s="180">
        <v>8925.9132857900004</v>
      </c>
      <c r="O287" s="180">
        <v>4066.8646497099999</v>
      </c>
      <c r="P287" s="180">
        <v>6175.9153311100008</v>
      </c>
      <c r="Q287" s="1579">
        <v>3044.8166355199996</v>
      </c>
      <c r="R287" s="56"/>
      <c r="S287" s="56"/>
      <c r="T287" s="56"/>
      <c r="U287" s="56"/>
    </row>
    <row r="288" spans="1:21" ht="15.75">
      <c r="A288" s="625" t="s">
        <v>27</v>
      </c>
      <c r="B288" s="180">
        <v>41589.439345459999</v>
      </c>
      <c r="C288" s="180">
        <v>15907.113545210001</v>
      </c>
      <c r="D288" s="180">
        <v>4194.64014563</v>
      </c>
      <c r="E288" s="180">
        <v>6748.7658936200005</v>
      </c>
      <c r="F288" s="180">
        <v>1826.8387474000001</v>
      </c>
      <c r="G288" s="180">
        <v>3136.8687585600001</v>
      </c>
      <c r="H288" s="180">
        <v>3539.3881898199998</v>
      </c>
      <c r="I288" s="180">
        <v>367.30390430999995</v>
      </c>
      <c r="J288" s="180">
        <v>1409.3063250499999</v>
      </c>
      <c r="K288" s="180">
        <v>772.56124860999989</v>
      </c>
      <c r="L288" s="180">
        <v>990.2167118499998</v>
      </c>
      <c r="M288" s="180">
        <v>22142.937610429999</v>
      </c>
      <c r="N288" s="180">
        <v>8500.3287841400015</v>
      </c>
      <c r="O288" s="180">
        <v>4702.6848811700002</v>
      </c>
      <c r="P288" s="180">
        <v>5923.6024769400001</v>
      </c>
      <c r="Q288" s="1579">
        <v>3016.3214681800005</v>
      </c>
      <c r="R288" s="56"/>
      <c r="S288" s="56"/>
      <c r="T288" s="56"/>
      <c r="U288" s="56"/>
    </row>
    <row r="289" spans="1:21" ht="15.75">
      <c r="A289" s="625" t="s">
        <v>28</v>
      </c>
      <c r="B289" s="180">
        <v>43281.178644560001</v>
      </c>
      <c r="C289" s="180">
        <v>16181.78537284</v>
      </c>
      <c r="D289" s="180">
        <v>4145.1139896800005</v>
      </c>
      <c r="E289" s="180">
        <v>6865.9237949799999</v>
      </c>
      <c r="F289" s="180">
        <v>2070.7238600200003</v>
      </c>
      <c r="G289" s="180">
        <v>3100.0237281599998</v>
      </c>
      <c r="H289" s="180">
        <v>3496.0799481399999</v>
      </c>
      <c r="I289" s="180">
        <v>326.70351870999997</v>
      </c>
      <c r="J289" s="180">
        <v>1419.0535886900002</v>
      </c>
      <c r="K289" s="180">
        <v>749.43548684999973</v>
      </c>
      <c r="L289" s="180">
        <v>1000.88735389</v>
      </c>
      <c r="M289" s="180">
        <v>23603.313323580001</v>
      </c>
      <c r="N289" s="180">
        <v>8831.4679245700008</v>
      </c>
      <c r="O289" s="180">
        <v>5272.5320343699987</v>
      </c>
      <c r="P289" s="180">
        <v>6465.4540574699986</v>
      </c>
      <c r="Q289" s="1579">
        <v>3033.8593071699997</v>
      </c>
      <c r="R289" s="56"/>
      <c r="S289" s="56"/>
      <c r="T289" s="56"/>
      <c r="U289" s="56"/>
    </row>
    <row r="290" spans="1:21" ht="15.75">
      <c r="A290" s="625" t="s">
        <v>29</v>
      </c>
      <c r="B290" s="180">
        <v>41726.336462839994</v>
      </c>
      <c r="C290" s="180">
        <v>16772.410345199998</v>
      </c>
      <c r="D290" s="180">
        <v>4528.3542605299999</v>
      </c>
      <c r="E290" s="180">
        <v>7074.4819309299992</v>
      </c>
      <c r="F290" s="180">
        <v>1926.0492615800003</v>
      </c>
      <c r="G290" s="180">
        <v>3243.5248921600005</v>
      </c>
      <c r="H290" s="180">
        <v>3921.0076190300001</v>
      </c>
      <c r="I290" s="180">
        <v>523.79273416000001</v>
      </c>
      <c r="J290" s="180">
        <v>1293.28760412</v>
      </c>
      <c r="K290" s="180">
        <v>854.07117942999992</v>
      </c>
      <c r="L290" s="180">
        <v>1249.8561013200001</v>
      </c>
      <c r="M290" s="180">
        <v>21032.918498609997</v>
      </c>
      <c r="N290" s="180">
        <v>10318.790183729998</v>
      </c>
      <c r="O290" s="180">
        <v>2619.1705475300014</v>
      </c>
      <c r="P290" s="180">
        <v>5038.8607904599994</v>
      </c>
      <c r="Q290" s="1579">
        <v>3056.09697689</v>
      </c>
      <c r="R290" s="56"/>
      <c r="S290" s="56"/>
      <c r="T290" s="56"/>
      <c r="U290" s="56"/>
    </row>
    <row r="291" spans="1:21" ht="15.75">
      <c r="A291" s="625" t="s">
        <v>4465</v>
      </c>
      <c r="B291" s="180"/>
      <c r="C291" s="180"/>
      <c r="D291" s="180"/>
      <c r="E291" s="180"/>
      <c r="F291" s="180"/>
      <c r="G291" s="180"/>
      <c r="H291" s="180"/>
      <c r="I291" s="180"/>
      <c r="J291" s="180"/>
      <c r="K291" s="180"/>
      <c r="L291" s="180"/>
      <c r="M291" s="180"/>
      <c r="N291" s="180"/>
      <c r="O291" s="180"/>
      <c r="P291" s="180"/>
      <c r="Q291" s="1579"/>
      <c r="R291" s="56"/>
      <c r="S291" s="56"/>
      <c r="T291" s="56"/>
      <c r="U291" s="56"/>
    </row>
    <row r="292" spans="1:21" ht="15.75">
      <c r="A292" s="625" t="s">
        <v>18</v>
      </c>
      <c r="B292" s="180">
        <v>41319.623119049997</v>
      </c>
      <c r="C292" s="180">
        <v>16666.572649959999</v>
      </c>
      <c r="D292" s="180">
        <v>4233.0989849400003</v>
      </c>
      <c r="E292" s="180">
        <v>7242.7319711399996</v>
      </c>
      <c r="F292" s="180">
        <v>1955.4743504600001</v>
      </c>
      <c r="G292" s="180">
        <v>3235.2673434200001</v>
      </c>
      <c r="H292" s="180">
        <v>4891.0165094499998</v>
      </c>
      <c r="I292" s="180">
        <v>436.11251795000004</v>
      </c>
      <c r="J292" s="180">
        <v>2500.47166341</v>
      </c>
      <c r="K292" s="180">
        <v>957.43304051000007</v>
      </c>
      <c r="L292" s="180">
        <v>996.99928757999987</v>
      </c>
      <c r="M292" s="180">
        <v>19762.033959640001</v>
      </c>
      <c r="N292" s="180">
        <v>8813.4425802100031</v>
      </c>
      <c r="O292" s="180">
        <v>2693.8005658099996</v>
      </c>
      <c r="P292" s="180">
        <v>5154.89987759</v>
      </c>
      <c r="Q292" s="1579">
        <v>3099.8909360299986</v>
      </c>
      <c r="R292" s="56"/>
      <c r="S292" s="56"/>
      <c r="T292" s="56"/>
      <c r="U292" s="56"/>
    </row>
    <row r="293" spans="1:21" ht="15.75">
      <c r="A293" s="625" t="s">
        <v>19</v>
      </c>
      <c r="B293" s="180">
        <v>41345.520693679995</v>
      </c>
      <c r="C293" s="180">
        <v>17209.312537460002</v>
      </c>
      <c r="D293" s="180">
        <v>4490.6603271200001</v>
      </c>
      <c r="E293" s="180">
        <v>7452.0691451200018</v>
      </c>
      <c r="F293" s="180">
        <v>2030.4256135099997</v>
      </c>
      <c r="G293" s="180">
        <v>3236.1574517100003</v>
      </c>
      <c r="H293" s="180">
        <v>4462.4555049700002</v>
      </c>
      <c r="I293" s="180">
        <v>478.71063009</v>
      </c>
      <c r="J293" s="180">
        <v>2068.0271396200005</v>
      </c>
      <c r="K293" s="180">
        <v>923.46385182999984</v>
      </c>
      <c r="L293" s="180">
        <v>992.25388342999986</v>
      </c>
      <c r="M293" s="180">
        <v>19673.752651249997</v>
      </c>
      <c r="N293" s="180">
        <v>8831.7176221699992</v>
      </c>
      <c r="O293" s="180">
        <v>2559.6169897300006</v>
      </c>
      <c r="P293" s="180">
        <v>5187.2122824099997</v>
      </c>
      <c r="Q293" s="1579">
        <v>3095.2057569399994</v>
      </c>
      <c r="R293" s="56"/>
      <c r="S293" s="56"/>
      <c r="T293" s="56"/>
      <c r="U293" s="56"/>
    </row>
    <row r="294" spans="1:21" ht="15.75">
      <c r="A294" s="625" t="s">
        <v>20</v>
      </c>
      <c r="B294" s="180">
        <v>41660.153637289994</v>
      </c>
      <c r="C294" s="180">
        <v>16960.414065369994</v>
      </c>
      <c r="D294" s="180">
        <v>4264.8452908399986</v>
      </c>
      <c r="E294" s="180">
        <v>7536.0326218899982</v>
      </c>
      <c r="F294" s="180">
        <v>1935.42424241</v>
      </c>
      <c r="G294" s="180">
        <v>3224.1119102299999</v>
      </c>
      <c r="H294" s="180">
        <v>4612.9314618499993</v>
      </c>
      <c r="I294" s="180">
        <v>620.84239404000004</v>
      </c>
      <c r="J294" s="180">
        <v>1794.6330067699998</v>
      </c>
      <c r="K294" s="180">
        <v>1060.69121292</v>
      </c>
      <c r="L294" s="180">
        <v>1136.7648481199999</v>
      </c>
      <c r="M294" s="180">
        <v>20086.80811007</v>
      </c>
      <c r="N294" s="180">
        <v>9350.9340027400012</v>
      </c>
      <c r="O294" s="180">
        <v>2608.7178249500002</v>
      </c>
      <c r="P294" s="180">
        <v>5178.6194473699989</v>
      </c>
      <c r="Q294" s="1579">
        <v>2948.5368350099993</v>
      </c>
      <c r="R294" s="56"/>
      <c r="S294" s="56"/>
      <c r="T294" s="56"/>
      <c r="U294" s="56"/>
    </row>
    <row r="295" spans="1:21" ht="15.75">
      <c r="A295" s="625" t="s">
        <v>21</v>
      </c>
      <c r="B295" s="180">
        <v>41337.479930460002</v>
      </c>
      <c r="C295" s="180">
        <v>17641.924430940002</v>
      </c>
      <c r="D295" s="180">
        <v>4639.6921597100009</v>
      </c>
      <c r="E295" s="180">
        <v>7761.5954272399995</v>
      </c>
      <c r="F295" s="180">
        <v>2020.4193158500002</v>
      </c>
      <c r="G295" s="180">
        <v>3220.2175281400005</v>
      </c>
      <c r="H295" s="180">
        <v>4087.3564805699998</v>
      </c>
      <c r="I295" s="180">
        <v>617.98587855000005</v>
      </c>
      <c r="J295" s="180">
        <v>1620.0468103999999</v>
      </c>
      <c r="K295" s="180">
        <v>999.30524296999977</v>
      </c>
      <c r="L295" s="180">
        <v>850.01854864999996</v>
      </c>
      <c r="M295" s="180">
        <v>19608.199018950003</v>
      </c>
      <c r="N295" s="180">
        <v>9156.0542621200002</v>
      </c>
      <c r="O295" s="180">
        <v>2760.7823938200008</v>
      </c>
      <c r="P295" s="180">
        <v>4735.8841494300004</v>
      </c>
      <c r="Q295" s="1579">
        <v>2955.4782135800001</v>
      </c>
      <c r="R295" s="56"/>
      <c r="S295" s="56"/>
      <c r="T295" s="56"/>
      <c r="U295" s="56"/>
    </row>
    <row r="296" spans="1:21" ht="15.75">
      <c r="A296" s="625" t="s">
        <v>22</v>
      </c>
      <c r="B296" s="180">
        <v>42232.816250459997</v>
      </c>
      <c r="C296" s="180">
        <v>17799.803354709999</v>
      </c>
      <c r="D296" s="180">
        <v>4678.8919476600004</v>
      </c>
      <c r="E296" s="180">
        <v>7931.4275128599993</v>
      </c>
      <c r="F296" s="180">
        <v>1903.7978540600002</v>
      </c>
      <c r="G296" s="180">
        <v>3285.68604013</v>
      </c>
      <c r="H296" s="180">
        <v>4397.5828033299995</v>
      </c>
      <c r="I296" s="180">
        <v>846.91508377000002</v>
      </c>
      <c r="J296" s="180">
        <v>1628.96288428</v>
      </c>
      <c r="K296" s="180">
        <v>1068.8304592199997</v>
      </c>
      <c r="L296" s="180">
        <v>852.8743760599998</v>
      </c>
      <c r="M296" s="180">
        <v>20035.43009242</v>
      </c>
      <c r="N296" s="180">
        <v>9340.7383812600001</v>
      </c>
      <c r="O296" s="180">
        <v>2914.3606914100001</v>
      </c>
      <c r="P296" s="180">
        <v>4848.2951552499999</v>
      </c>
      <c r="Q296" s="1579">
        <v>2932.0358644999997</v>
      </c>
      <c r="R296" s="56"/>
      <c r="S296" s="56"/>
      <c r="T296" s="56"/>
      <c r="U296" s="56"/>
    </row>
    <row r="297" spans="1:21" ht="15.75">
      <c r="A297" s="636" t="s">
        <v>23</v>
      </c>
      <c r="B297" s="637">
        <v>44155.31917391</v>
      </c>
      <c r="C297" s="637">
        <v>17823.608717800002</v>
      </c>
      <c r="D297" s="637">
        <v>4730.6268539599996</v>
      </c>
      <c r="E297" s="637">
        <v>8114.3942698900009</v>
      </c>
      <c r="F297" s="637">
        <v>1746.4956787400001</v>
      </c>
      <c r="G297" s="637">
        <v>3232.0919152100005</v>
      </c>
      <c r="H297" s="637">
        <v>4744.5041994700005</v>
      </c>
      <c r="I297" s="637">
        <v>637.99985671000002</v>
      </c>
      <c r="J297" s="637">
        <v>1796.1831572600001</v>
      </c>
      <c r="K297" s="637">
        <v>1121.4343072900001</v>
      </c>
      <c r="L297" s="637">
        <v>1188.8868782099998</v>
      </c>
      <c r="M297" s="637">
        <f>B297-C297-H297</f>
        <v>21587.206256639998</v>
      </c>
      <c r="N297" s="637">
        <v>10450.346359929999</v>
      </c>
      <c r="O297" s="637">
        <v>2908.5261714299995</v>
      </c>
      <c r="P297" s="637">
        <v>5132.2883568199986</v>
      </c>
      <c r="Q297" s="1580">
        <v>3096.0453684599997</v>
      </c>
      <c r="R297" s="56"/>
      <c r="S297" s="56"/>
      <c r="T297" s="56"/>
      <c r="U297" s="56"/>
    </row>
    <row r="298" spans="1:21" s="1581" customFormat="1" ht="35.25" customHeight="1">
      <c r="A298" s="2380" t="s">
        <v>2685</v>
      </c>
      <c r="B298" s="2380"/>
      <c r="C298" s="2380"/>
      <c r="D298" s="2380"/>
      <c r="E298" s="2380"/>
      <c r="F298" s="2380"/>
      <c r="G298" s="2380"/>
      <c r="H298" s="2380"/>
      <c r="I298" s="2380"/>
      <c r="J298" s="2380"/>
      <c r="K298" s="2380"/>
      <c r="L298" s="2380"/>
      <c r="M298" s="2380"/>
      <c r="N298" s="2380"/>
      <c r="O298" s="2380"/>
      <c r="P298" s="2380"/>
      <c r="Q298" s="2380"/>
    </row>
    <row r="299" spans="1:21" s="1581" customFormat="1" ht="15.75" customHeight="1">
      <c r="A299" s="2381" t="s">
        <v>2681</v>
      </c>
      <c r="B299" s="2381"/>
      <c r="C299" s="2381"/>
      <c r="D299" s="2381"/>
      <c r="E299" s="2381"/>
      <c r="F299" s="2381"/>
      <c r="G299" s="2381"/>
      <c r="H299" s="2381"/>
      <c r="I299" s="2381"/>
      <c r="J299" s="2381"/>
      <c r="K299" s="2381"/>
      <c r="L299" s="2381"/>
      <c r="M299" s="2381"/>
      <c r="N299" s="2381"/>
      <c r="O299" s="2381"/>
      <c r="P299" s="2381"/>
      <c r="Q299" s="2381"/>
    </row>
    <row r="301" spans="1:21" ht="12.95" customHeight="1">
      <c r="B301" s="1701"/>
    </row>
  </sheetData>
  <mergeCells count="46">
    <mergeCell ref="A298:Q298"/>
    <mergeCell ref="A299:Q299"/>
    <mergeCell ref="F12:G12"/>
    <mergeCell ref="H12:H13"/>
    <mergeCell ref="I12:J12"/>
    <mergeCell ref="K12:L12"/>
    <mergeCell ref="M12:M13"/>
    <mergeCell ref="N12:O12"/>
    <mergeCell ref="P8:P9"/>
    <mergeCell ref="Q8:Q9"/>
    <mergeCell ref="A10:Q10"/>
    <mergeCell ref="A11:A13"/>
    <mergeCell ref="B11:B13"/>
    <mergeCell ref="C11:G11"/>
    <mergeCell ref="H11:L11"/>
    <mergeCell ref="M11:Q11"/>
    <mergeCell ref="C12:C13"/>
    <mergeCell ref="D12:E12"/>
    <mergeCell ref="O8:O9"/>
    <mergeCell ref="P12:Q12"/>
    <mergeCell ref="J8:J9"/>
    <mergeCell ref="K8:K9"/>
    <mergeCell ref="L8:L9"/>
    <mergeCell ref="N8:N9"/>
    <mergeCell ref="F7:G7"/>
    <mergeCell ref="H7:H9"/>
    <mergeCell ref="I7:J7"/>
    <mergeCell ref="K7:L7"/>
    <mergeCell ref="M7:M9"/>
    <mergeCell ref="I8:I9"/>
    <mergeCell ref="N7:O7"/>
    <mergeCell ref="A2:Q2"/>
    <mergeCell ref="A3:Q3"/>
    <mergeCell ref="A5:Q5"/>
    <mergeCell ref="A6:A9"/>
    <mergeCell ref="B6:B9"/>
    <mergeCell ref="C6:G6"/>
    <mergeCell ref="H6:L6"/>
    <mergeCell ref="M6:Q6"/>
    <mergeCell ref="C7:C9"/>
    <mergeCell ref="D7:E7"/>
    <mergeCell ref="P7:Q7"/>
    <mergeCell ref="D8:D9"/>
    <mergeCell ref="E8:E9"/>
    <mergeCell ref="F8:F9"/>
    <mergeCell ref="G8:G9"/>
  </mergeCells>
  <pageMargins left="0.17" right="0.17" top="1.03" bottom="0.34" header="1.1000000000000001" footer="0.3"/>
  <pageSetup scale="21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tabColor rgb="FF92D050"/>
  </sheetPr>
  <dimension ref="A1:CD303"/>
  <sheetViews>
    <sheetView showGridLines="0" view="pageBreakPreview" zoomScale="115" zoomScaleSheetLayoutView="115" workbookViewId="0">
      <pane ySplit="42" topLeftCell="A289" activePane="bottomLeft" state="frozen"/>
      <selection activeCell="F40" sqref="F40"/>
      <selection pane="bottomLeft" activeCell="F40" sqref="F40"/>
    </sheetView>
  </sheetViews>
  <sheetFormatPr defaultColWidth="8.85546875" defaultRowHeight="15.75"/>
  <cols>
    <col min="1" max="1" width="8.42578125" style="50" customWidth="1"/>
    <col min="2" max="6" width="21.5703125" style="62" customWidth="1"/>
    <col min="7" max="79" width="8.85546875" style="59"/>
    <col min="80" max="80" width="0" style="59" hidden="1" customWidth="1"/>
    <col min="81" max="16384" width="8.85546875" style="59"/>
  </cols>
  <sheetData>
    <row r="1" spans="1:82" ht="8.25" customHeight="1"/>
    <row r="2" spans="1:82" ht="20.25" customHeight="1">
      <c r="A2" s="2387" t="s">
        <v>2728</v>
      </c>
      <c r="B2" s="2387"/>
      <c r="C2" s="2387"/>
      <c r="D2" s="2387"/>
      <c r="E2" s="2387"/>
      <c r="F2" s="2387"/>
    </row>
    <row r="3" spans="1:82" ht="24" customHeight="1">
      <c r="A3" s="2388" t="s">
        <v>2729</v>
      </c>
      <c r="B3" s="2388"/>
      <c r="C3" s="2388"/>
      <c r="D3" s="2388"/>
      <c r="E3" s="2388"/>
      <c r="F3" s="2388"/>
    </row>
    <row r="4" spans="1:82" s="657" customFormat="1" ht="12" customHeight="1">
      <c r="A4" s="656"/>
      <c r="B4" s="656"/>
      <c r="C4" s="656"/>
      <c r="D4" s="656"/>
      <c r="E4" s="656"/>
      <c r="F4" s="656"/>
    </row>
    <row r="5" spans="1:82" s="657" customFormat="1" ht="12" customHeight="1">
      <c r="A5" s="2394" t="s">
        <v>158</v>
      </c>
      <c r="B5" s="2394"/>
      <c r="C5" s="2394"/>
      <c r="D5" s="2394"/>
      <c r="E5" s="2394"/>
      <c r="F5" s="2394"/>
    </row>
    <row r="6" spans="1:82" s="61" customFormat="1">
      <c r="A6" s="2391" t="s">
        <v>182</v>
      </c>
      <c r="B6" s="2389" t="s">
        <v>198</v>
      </c>
      <c r="C6" s="2390" t="s">
        <v>144</v>
      </c>
      <c r="D6" s="2390"/>
      <c r="E6" s="2390"/>
      <c r="F6" s="2390"/>
    </row>
    <row r="7" spans="1:82" s="61" customFormat="1">
      <c r="A7" s="2392"/>
      <c r="B7" s="2389"/>
      <c r="C7" s="2390" t="s">
        <v>185</v>
      </c>
      <c r="D7" s="2390"/>
      <c r="E7" s="2390" t="s">
        <v>201</v>
      </c>
      <c r="F7" s="2390"/>
      <c r="CC7" s="285" t="s">
        <v>2049</v>
      </c>
      <c r="CD7" s="296" t="s">
        <v>2050</v>
      </c>
    </row>
    <row r="8" spans="1:82" s="61" customFormat="1" ht="21.75" customHeight="1">
      <c r="A8" s="2393"/>
      <c r="B8" s="2389"/>
      <c r="C8" s="519" t="s">
        <v>202</v>
      </c>
      <c r="D8" s="519" t="s">
        <v>203</v>
      </c>
      <c r="E8" s="519" t="s">
        <v>202</v>
      </c>
      <c r="F8" s="519" t="s">
        <v>203</v>
      </c>
      <c r="BY8" s="61">
        <f>BY10+BY22+BY32+BY40</f>
        <v>0</v>
      </c>
      <c r="CC8" s="61">
        <f>CC10+CC22+CC32+CC40</f>
        <v>622</v>
      </c>
      <c r="CD8" s="297">
        <f>BY8+BZ8+CA8+CC8</f>
        <v>622</v>
      </c>
    </row>
    <row r="9" spans="1:82" ht="10.5" customHeight="1">
      <c r="A9" s="2384"/>
      <c r="B9" s="2384"/>
      <c r="C9" s="2384"/>
      <c r="D9" s="2384"/>
      <c r="E9" s="2384"/>
      <c r="F9" s="2384"/>
      <c r="CD9" s="227"/>
    </row>
    <row r="10" spans="1:82">
      <c r="A10" s="2379" t="s">
        <v>283</v>
      </c>
      <c r="B10" s="2385" t="s">
        <v>204</v>
      </c>
      <c r="C10" s="2386" t="s">
        <v>149</v>
      </c>
      <c r="D10" s="2386"/>
      <c r="E10" s="2386"/>
      <c r="F10" s="2386"/>
      <c r="CC10" s="59">
        <f>CC12+CC17</f>
        <v>1713</v>
      </c>
      <c r="CD10" s="227">
        <f>BY10+BZ10+CA10+CC10</f>
        <v>1713</v>
      </c>
    </row>
    <row r="11" spans="1:82">
      <c r="A11" s="2379"/>
      <c r="B11" s="2385"/>
      <c r="C11" s="2386" t="s">
        <v>206</v>
      </c>
      <c r="D11" s="2386"/>
      <c r="E11" s="2386" t="s">
        <v>207</v>
      </c>
      <c r="F11" s="2386"/>
      <c r="CD11" s="227"/>
    </row>
    <row r="12" spans="1:82">
      <c r="A12" s="2379"/>
      <c r="B12" s="2385"/>
      <c r="C12" s="520" t="s">
        <v>208</v>
      </c>
      <c r="D12" s="520" t="s">
        <v>209</v>
      </c>
      <c r="E12" s="520" t="s">
        <v>208</v>
      </c>
      <c r="F12" s="520" t="s">
        <v>209</v>
      </c>
      <c r="CC12" s="59">
        <f>CC14+CC15</f>
        <v>4361</v>
      </c>
      <c r="CD12" s="227">
        <f>BY12+BZ12+CA12+CC12</f>
        <v>4361</v>
      </c>
    </row>
    <row r="13" spans="1:82" hidden="1">
      <c r="A13" s="51">
        <v>2001</v>
      </c>
      <c r="B13" s="235">
        <v>412.97515686106198</v>
      </c>
      <c r="C13" s="235">
        <v>49.44852161215001</v>
      </c>
      <c r="D13" s="235">
        <v>13.619479003893998</v>
      </c>
      <c r="E13" s="235">
        <v>195.72555635082998</v>
      </c>
      <c r="F13" s="235">
        <v>154.181599894188</v>
      </c>
      <c r="CD13" s="227"/>
    </row>
    <row r="14" spans="1:82" hidden="1">
      <c r="A14" s="51">
        <v>2002</v>
      </c>
      <c r="B14" s="235">
        <v>483.15978184729602</v>
      </c>
      <c r="C14" s="235">
        <v>63.234573589500002</v>
      </c>
      <c r="D14" s="235">
        <v>12.948678672973998</v>
      </c>
      <c r="E14" s="235">
        <v>130.97025022720999</v>
      </c>
      <c r="F14" s="235">
        <v>276.00627935761207</v>
      </c>
      <c r="CC14" s="59">
        <v>3917</v>
      </c>
      <c r="CD14" s="227">
        <f>BY14+BZ14+CA14+CC14</f>
        <v>3917</v>
      </c>
    </row>
    <row r="15" spans="1:82" hidden="1">
      <c r="A15" s="51">
        <v>2003</v>
      </c>
      <c r="B15" s="235">
        <v>644.37994144988397</v>
      </c>
      <c r="C15" s="235">
        <v>97.304246483231992</v>
      </c>
      <c r="D15" s="235">
        <v>22.873407178554004</v>
      </c>
      <c r="E15" s="235">
        <v>193.01692380415602</v>
      </c>
      <c r="F15" s="235">
        <v>331.18536398394201</v>
      </c>
      <c r="CC15" s="59">
        <v>444</v>
      </c>
      <c r="CD15" s="227">
        <f t="shared" ref="CD15:CD56" si="0">BY15+BZ15+CA15+CC15</f>
        <v>444</v>
      </c>
    </row>
    <row r="16" spans="1:82" hidden="1">
      <c r="A16" s="51">
        <v>2004</v>
      </c>
      <c r="B16" s="235">
        <v>1118.0426953927879</v>
      </c>
      <c r="C16" s="235">
        <v>193.47756770974797</v>
      </c>
      <c r="D16" s="235">
        <v>28.433752541551996</v>
      </c>
      <c r="E16" s="235">
        <v>309.41148967299603</v>
      </c>
      <c r="F16" s="235">
        <v>586.71988546849195</v>
      </c>
      <c r="CD16" s="227"/>
    </row>
    <row r="17" spans="1:82" hidden="1">
      <c r="A17" s="84">
        <v>2005</v>
      </c>
      <c r="B17" s="236">
        <f>+B29</f>
        <v>1368.7164538735799</v>
      </c>
      <c r="C17" s="236">
        <f>+C29</f>
        <v>231.96594398368401</v>
      </c>
      <c r="D17" s="236">
        <f>+D29</f>
        <v>48.224587197893996</v>
      </c>
      <c r="E17" s="236">
        <f>+E29</f>
        <v>364.39581446204807</v>
      </c>
      <c r="F17" s="237">
        <f>+F29</f>
        <v>724.13010822995398</v>
      </c>
      <c r="CC17" s="59">
        <f>CC19+CC20</f>
        <v>-2648</v>
      </c>
      <c r="CD17" s="227">
        <f t="shared" si="0"/>
        <v>-2648</v>
      </c>
    </row>
    <row r="18" spans="1:82" hidden="1">
      <c r="A18" s="85" t="s">
        <v>18</v>
      </c>
      <c r="B18" s="235">
        <v>1063.4966561646759</v>
      </c>
      <c r="C18" s="235">
        <v>177.61213287224999</v>
      </c>
      <c r="D18" s="235">
        <v>26.375990995655997</v>
      </c>
      <c r="E18" s="235">
        <v>297.78232601554976</v>
      </c>
      <c r="F18" s="238">
        <v>561.72620628122013</v>
      </c>
      <c r="H18" s="58"/>
      <c r="CD18" s="227"/>
    </row>
    <row r="19" spans="1:82" hidden="1">
      <c r="A19" s="85" t="s">
        <v>19</v>
      </c>
      <c r="B19" s="235">
        <v>1048.9799363667141</v>
      </c>
      <c r="C19" s="235">
        <v>183.78383760635401</v>
      </c>
      <c r="D19" s="235">
        <v>28.717285897191999</v>
      </c>
      <c r="E19" s="235">
        <v>276.67074004221411</v>
      </c>
      <c r="F19" s="238">
        <v>559.80807282095395</v>
      </c>
      <c r="H19" s="58"/>
      <c r="CC19" s="59">
        <v>-367</v>
      </c>
      <c r="CD19" s="227">
        <f t="shared" si="0"/>
        <v>-367</v>
      </c>
    </row>
    <row r="20" spans="1:82" hidden="1">
      <c r="A20" s="85" t="s">
        <v>20</v>
      </c>
      <c r="B20" s="235">
        <v>1053.8228669286777</v>
      </c>
      <c r="C20" s="235">
        <v>179.95092993548801</v>
      </c>
      <c r="D20" s="235">
        <v>31.036464629793997</v>
      </c>
      <c r="E20" s="235">
        <v>286.86220858687784</v>
      </c>
      <c r="F20" s="238">
        <v>555.97326377651791</v>
      </c>
      <c r="H20" s="58"/>
      <c r="CC20" s="59">
        <v>-2281</v>
      </c>
      <c r="CD20" s="227">
        <f t="shared" si="0"/>
        <v>-2281</v>
      </c>
    </row>
    <row r="21" spans="1:82" hidden="1">
      <c r="A21" s="85" t="s">
        <v>21</v>
      </c>
      <c r="B21" s="235">
        <v>1166.0089263965961</v>
      </c>
      <c r="C21" s="235">
        <v>195.26376842331399</v>
      </c>
      <c r="D21" s="235">
        <v>31.814415730488005</v>
      </c>
      <c r="E21" s="235">
        <v>313.28201015696402</v>
      </c>
      <c r="F21" s="238">
        <v>625.64873208583003</v>
      </c>
      <c r="H21" s="58"/>
      <c r="CD21" s="227"/>
    </row>
    <row r="22" spans="1:82" hidden="1">
      <c r="A22" s="85" t="s">
        <v>22</v>
      </c>
      <c r="B22" s="235">
        <v>1213.5454937892737</v>
      </c>
      <c r="C22" s="235">
        <v>211.06852574097803</v>
      </c>
      <c r="D22" s="235">
        <v>38.56589763961</v>
      </c>
      <c r="E22" s="235">
        <v>298.62817117573366</v>
      </c>
      <c r="F22" s="238">
        <v>665.28289923295199</v>
      </c>
      <c r="H22" s="58"/>
      <c r="CC22" s="59">
        <f>CC24+CC25</f>
        <v>-797</v>
      </c>
      <c r="CD22" s="227">
        <f t="shared" si="0"/>
        <v>-797</v>
      </c>
    </row>
    <row r="23" spans="1:82" hidden="1">
      <c r="A23" s="85" t="s">
        <v>23</v>
      </c>
      <c r="B23" s="235">
        <v>1216.5151143711018</v>
      </c>
      <c r="C23" s="235">
        <v>213.47135795720601</v>
      </c>
      <c r="D23" s="235">
        <v>44.020697280712014</v>
      </c>
      <c r="E23" s="235">
        <v>299.99364779614803</v>
      </c>
      <c r="F23" s="238">
        <v>659.02941133703575</v>
      </c>
      <c r="H23" s="58"/>
      <c r="CD23" s="227"/>
    </row>
    <row r="24" spans="1:82" hidden="1">
      <c r="A24" s="85" t="s">
        <v>24</v>
      </c>
      <c r="B24" s="235">
        <v>1277.149025846104</v>
      </c>
      <c r="C24" s="235">
        <v>226.79625316732</v>
      </c>
      <c r="D24" s="235">
        <v>45.331847533728002</v>
      </c>
      <c r="E24" s="235">
        <v>336.70400021949024</v>
      </c>
      <c r="F24" s="238">
        <v>668.31692492556579</v>
      </c>
      <c r="H24" s="58"/>
      <c r="CC24" s="59">
        <v>-644</v>
      </c>
      <c r="CD24" s="227">
        <f t="shared" si="0"/>
        <v>-644</v>
      </c>
    </row>
    <row r="25" spans="1:82" hidden="1">
      <c r="A25" s="85" t="s">
        <v>25</v>
      </c>
      <c r="B25" s="235">
        <v>1331.2752555563379</v>
      </c>
      <c r="C25" s="235">
        <v>236.80492658760201</v>
      </c>
      <c r="D25" s="235">
        <v>49.980108198539995</v>
      </c>
      <c r="E25" s="235">
        <v>362.33917931834981</v>
      </c>
      <c r="F25" s="238">
        <v>682.15104145184614</v>
      </c>
      <c r="H25" s="58"/>
      <c r="CC25" s="59">
        <v>-153</v>
      </c>
      <c r="CD25" s="227">
        <f t="shared" si="0"/>
        <v>-153</v>
      </c>
    </row>
    <row r="26" spans="1:82" hidden="1">
      <c r="A26" s="85" t="s">
        <v>26</v>
      </c>
      <c r="B26" s="235">
        <v>1353.608844615386</v>
      </c>
      <c r="C26" s="235">
        <v>228.036589986818</v>
      </c>
      <c r="D26" s="235">
        <v>48.870819794156006</v>
      </c>
      <c r="E26" s="235">
        <v>354.29426588858416</v>
      </c>
      <c r="F26" s="238">
        <v>722.40716894582795</v>
      </c>
      <c r="H26" s="58"/>
      <c r="CD26" s="227"/>
    </row>
    <row r="27" spans="1:82" hidden="1">
      <c r="A27" s="85" t="s">
        <v>27</v>
      </c>
      <c r="B27" s="235">
        <v>1401.4029878443698</v>
      </c>
      <c r="C27" s="235">
        <v>238.81343581480803</v>
      </c>
      <c r="D27" s="235">
        <v>47.998380885580005</v>
      </c>
      <c r="E27" s="235">
        <v>385.9393336451418</v>
      </c>
      <c r="F27" s="238">
        <v>728.65183749883988</v>
      </c>
      <c r="H27" s="58"/>
      <c r="CD27" s="227"/>
    </row>
    <row r="28" spans="1:82" hidden="1">
      <c r="A28" s="85" t="s">
        <v>28</v>
      </c>
      <c r="B28" s="235">
        <v>1355.2231973839059</v>
      </c>
      <c r="C28" s="235">
        <v>227.547281666548</v>
      </c>
      <c r="D28" s="235">
        <v>50.240598284182006</v>
      </c>
      <c r="E28" s="235">
        <v>340.93183423657774</v>
      </c>
      <c r="F28" s="238">
        <v>736.50348319659815</v>
      </c>
      <c r="H28" s="58"/>
      <c r="CD28" s="227"/>
    </row>
    <row r="29" spans="1:82" hidden="1">
      <c r="A29" s="85" t="s">
        <v>29</v>
      </c>
      <c r="B29" s="235">
        <v>1368.7164538735799</v>
      </c>
      <c r="C29" s="235">
        <v>231.96594398368401</v>
      </c>
      <c r="D29" s="235">
        <v>48.224587197893996</v>
      </c>
      <c r="E29" s="235">
        <v>364.39581446204807</v>
      </c>
      <c r="F29" s="238">
        <v>724.13010822995398</v>
      </c>
      <c r="H29" s="58"/>
      <c r="CC29" s="59">
        <v>-31</v>
      </c>
      <c r="CD29" s="227">
        <f t="shared" si="0"/>
        <v>-31</v>
      </c>
    </row>
    <row r="30" spans="1:82" hidden="1">
      <c r="A30" s="86">
        <v>2006</v>
      </c>
      <c r="B30" s="239">
        <f>+B42</f>
        <v>2162.1232499799999</v>
      </c>
      <c r="C30" s="239">
        <f>+C42</f>
        <v>549.67180797000003</v>
      </c>
      <c r="D30" s="239">
        <f>+D42</f>
        <v>271.35614648000001</v>
      </c>
      <c r="E30" s="239">
        <f>+E42</f>
        <v>579.47934015999988</v>
      </c>
      <c r="F30" s="240">
        <f>+F42</f>
        <v>761.61595537000005</v>
      </c>
      <c r="H30" s="58"/>
      <c r="CC30" s="59">
        <v>-440</v>
      </c>
      <c r="CD30" s="227">
        <f t="shared" si="0"/>
        <v>-440</v>
      </c>
    </row>
    <row r="31" spans="1:82" hidden="1">
      <c r="A31" s="85" t="s">
        <v>18</v>
      </c>
      <c r="B31" s="235">
        <v>1383.2134349800001</v>
      </c>
      <c r="C31" s="235">
        <v>219.87236148000002</v>
      </c>
      <c r="D31" s="235">
        <v>48.75206828000001</v>
      </c>
      <c r="E31" s="235">
        <v>369.63483502000008</v>
      </c>
      <c r="F31" s="238">
        <v>744.95417019999991</v>
      </c>
      <c r="H31" s="58"/>
      <c r="CD31" s="227"/>
    </row>
    <row r="32" spans="1:82" hidden="1">
      <c r="A32" s="85" t="s">
        <v>19</v>
      </c>
      <c r="B32" s="235">
        <v>1451.4978858499999</v>
      </c>
      <c r="C32" s="235">
        <v>260.33501920999993</v>
      </c>
      <c r="D32" s="235">
        <v>56.09854155</v>
      </c>
      <c r="E32" s="235">
        <v>389.24819029000014</v>
      </c>
      <c r="F32" s="238">
        <v>745.81613479999987</v>
      </c>
      <c r="H32" s="58"/>
      <c r="CC32" s="59">
        <f>CC34+CC35</f>
        <v>-498</v>
      </c>
      <c r="CD32" s="227">
        <f>BY32+BZ32+CA32+CC32</f>
        <v>-498</v>
      </c>
    </row>
    <row r="33" spans="1:82" hidden="1">
      <c r="A33" s="85" t="s">
        <v>20</v>
      </c>
      <c r="B33" s="235">
        <v>1481.00666703</v>
      </c>
      <c r="C33" s="235">
        <v>282.46016445999993</v>
      </c>
      <c r="D33" s="235">
        <v>59.58121838000001</v>
      </c>
      <c r="E33" s="235">
        <v>407.67118359999995</v>
      </c>
      <c r="F33" s="238">
        <v>731.29410058999997</v>
      </c>
      <c r="H33" s="58"/>
      <c r="CD33" s="227"/>
    </row>
    <row r="34" spans="1:82" hidden="1">
      <c r="A34" s="85" t="s">
        <v>21</v>
      </c>
      <c r="B34" s="235">
        <v>1557.6401889599999</v>
      </c>
      <c r="C34" s="235">
        <v>303.08280175000004</v>
      </c>
      <c r="D34" s="235">
        <v>62.00338760999999</v>
      </c>
      <c r="E34" s="235">
        <v>437.79607088000012</v>
      </c>
      <c r="F34" s="238">
        <v>754.75792871999988</v>
      </c>
      <c r="H34" s="58"/>
      <c r="CC34" s="59">
        <v>-521</v>
      </c>
      <c r="CD34" s="227">
        <f>BY34+BZ34+CA34+CC34</f>
        <v>-521</v>
      </c>
    </row>
    <row r="35" spans="1:82" hidden="1">
      <c r="A35" s="85" t="s">
        <v>22</v>
      </c>
      <c r="B35" s="235">
        <v>1591.5808183700001</v>
      </c>
      <c r="C35" s="235">
        <v>303.40193950999998</v>
      </c>
      <c r="D35" s="235">
        <v>67.681866839999998</v>
      </c>
      <c r="E35" s="235">
        <v>465.01163440000005</v>
      </c>
      <c r="F35" s="238">
        <v>755.48537762000001</v>
      </c>
      <c r="H35" s="58"/>
      <c r="CC35" s="59">
        <v>23</v>
      </c>
      <c r="CD35" s="227">
        <f>BY35+BZ35+CA35+CC35</f>
        <v>23</v>
      </c>
    </row>
    <row r="36" spans="1:82" hidden="1">
      <c r="A36" s="85" t="s">
        <v>23</v>
      </c>
      <c r="B36" s="235">
        <v>1695.9090985100001</v>
      </c>
      <c r="C36" s="235">
        <v>325.37190779999992</v>
      </c>
      <c r="D36" s="235">
        <v>94.883639190000011</v>
      </c>
      <c r="E36" s="235">
        <v>520.46972359000029</v>
      </c>
      <c r="F36" s="238">
        <v>755.18382793000001</v>
      </c>
      <c r="H36" s="58"/>
      <c r="CD36" s="227"/>
    </row>
    <row r="37" spans="1:82" hidden="1">
      <c r="A37" s="85" t="s">
        <v>24</v>
      </c>
      <c r="B37" s="235">
        <v>1763.8645690999997</v>
      </c>
      <c r="C37" s="235">
        <v>342.36996270000009</v>
      </c>
      <c r="D37" s="235">
        <v>114.93951384</v>
      </c>
      <c r="E37" s="235">
        <v>545.0365134699997</v>
      </c>
      <c r="F37" s="238">
        <v>761.51857908999989</v>
      </c>
      <c r="H37" s="58"/>
      <c r="CC37" s="59">
        <v>433</v>
      </c>
      <c r="CD37" s="227">
        <f t="shared" si="0"/>
        <v>433</v>
      </c>
    </row>
    <row r="38" spans="1:82" hidden="1">
      <c r="A38" s="85" t="s">
        <v>25</v>
      </c>
      <c r="B38" s="235">
        <v>1831.5589231699998</v>
      </c>
      <c r="C38" s="235">
        <v>397.20915399999996</v>
      </c>
      <c r="D38" s="235">
        <v>134.85218208999999</v>
      </c>
      <c r="E38" s="235">
        <v>514.13805116999993</v>
      </c>
      <c r="F38" s="238">
        <v>785.35953590999998</v>
      </c>
      <c r="H38" s="58"/>
      <c r="CC38" s="59">
        <v>-931</v>
      </c>
      <c r="CD38" s="227">
        <f t="shared" si="0"/>
        <v>-931</v>
      </c>
    </row>
    <row r="39" spans="1:82" hidden="1">
      <c r="A39" s="85" t="s">
        <v>26</v>
      </c>
      <c r="B39" s="235">
        <v>1861.9868716400001</v>
      </c>
      <c r="C39" s="235">
        <v>377.67575544000005</v>
      </c>
      <c r="D39" s="235">
        <v>163.97076862</v>
      </c>
      <c r="E39" s="235">
        <v>570.95106028000009</v>
      </c>
      <c r="F39" s="238">
        <v>749.38928729999998</v>
      </c>
      <c r="H39" s="58"/>
      <c r="CD39" s="227"/>
    </row>
    <row r="40" spans="1:82" hidden="1">
      <c r="A40" s="85" t="s">
        <v>27</v>
      </c>
      <c r="B40" s="235">
        <v>1923.72598348</v>
      </c>
      <c r="C40" s="235">
        <v>438.96467407999995</v>
      </c>
      <c r="D40" s="235">
        <v>198.87962870000001</v>
      </c>
      <c r="E40" s="235">
        <v>543.54140497000003</v>
      </c>
      <c r="F40" s="238">
        <v>742.34027573000003</v>
      </c>
      <c r="G40" s="58"/>
      <c r="H40" s="58"/>
      <c r="CC40" s="59">
        <v>204</v>
      </c>
      <c r="CD40" s="227">
        <f t="shared" si="0"/>
        <v>204</v>
      </c>
    </row>
    <row r="41" spans="1:82" hidden="1">
      <c r="A41" s="85" t="s">
        <v>28</v>
      </c>
      <c r="B41" s="235">
        <v>1976.72432028</v>
      </c>
      <c r="C41" s="235">
        <v>505.26034481999994</v>
      </c>
      <c r="D41" s="235">
        <v>205.19429745000005</v>
      </c>
      <c r="E41" s="235">
        <v>506.14262354000005</v>
      </c>
      <c r="F41" s="238">
        <v>760.12705446999996</v>
      </c>
      <c r="G41" s="58"/>
      <c r="H41" s="58"/>
      <c r="I41" s="58"/>
      <c r="CC41" s="59">
        <v>200</v>
      </c>
      <c r="CD41" s="227">
        <f t="shared" si="0"/>
        <v>200</v>
      </c>
    </row>
    <row r="42" spans="1:82" hidden="1">
      <c r="A42" s="85" t="s">
        <v>29</v>
      </c>
      <c r="B42" s="235">
        <v>2162.1232499799999</v>
      </c>
      <c r="C42" s="235">
        <v>549.67180797000003</v>
      </c>
      <c r="D42" s="235">
        <v>271.35614648000001</v>
      </c>
      <c r="E42" s="235">
        <v>579.47934015999988</v>
      </c>
      <c r="F42" s="238">
        <v>761.61595537000005</v>
      </c>
      <c r="G42" s="58"/>
      <c r="H42" s="58"/>
      <c r="I42" s="58"/>
      <c r="CD42" s="227"/>
    </row>
    <row r="43" spans="1:82">
      <c r="A43" s="658">
        <v>2007</v>
      </c>
      <c r="B43" s="659">
        <f>+B55</f>
        <v>4127.1830896899992</v>
      </c>
      <c r="C43" s="660">
        <f>+C55</f>
        <v>962.80140343000005</v>
      </c>
      <c r="D43" s="660">
        <f>+D55</f>
        <v>939.37474758999997</v>
      </c>
      <c r="E43" s="660">
        <f>+E55</f>
        <v>754.22318668000003</v>
      </c>
      <c r="F43" s="660">
        <f>+F55</f>
        <v>1470.7837519899999</v>
      </c>
      <c r="G43" s="58"/>
      <c r="H43" s="58"/>
      <c r="I43" s="58"/>
      <c r="CC43" s="59">
        <v>295</v>
      </c>
      <c r="CD43" s="227">
        <f t="shared" si="0"/>
        <v>295</v>
      </c>
    </row>
    <row r="44" spans="1:82" hidden="1">
      <c r="A44" s="661" t="s">
        <v>18</v>
      </c>
      <c r="B44" s="631">
        <v>2096.6167330800004</v>
      </c>
      <c r="C44" s="631">
        <v>500.89812204999998</v>
      </c>
      <c r="D44" s="631">
        <v>239.62635330000001</v>
      </c>
      <c r="E44" s="631">
        <v>568.77467502000013</v>
      </c>
      <c r="F44" s="631">
        <v>787.31758271000012</v>
      </c>
      <c r="G44" s="58"/>
      <c r="H44" s="58"/>
      <c r="I44" s="58"/>
      <c r="CC44" s="59">
        <v>-95</v>
      </c>
      <c r="CD44" s="227">
        <f t="shared" si="0"/>
        <v>-95</v>
      </c>
    </row>
    <row r="45" spans="1:82" hidden="1">
      <c r="A45" s="661" t="s">
        <v>19</v>
      </c>
      <c r="B45" s="631">
        <v>2147.5673924400003</v>
      </c>
      <c r="C45" s="631">
        <v>555.72444240000004</v>
      </c>
      <c r="D45" s="631">
        <v>271.51318447000006</v>
      </c>
      <c r="E45" s="631">
        <v>554.85489386000017</v>
      </c>
      <c r="F45" s="631">
        <v>765.47487171000012</v>
      </c>
      <c r="G45" s="58"/>
      <c r="H45" s="58"/>
      <c r="I45" s="58"/>
      <c r="CD45" s="227"/>
    </row>
    <row r="46" spans="1:82" hidden="1">
      <c r="A46" s="661" t="s">
        <v>20</v>
      </c>
      <c r="B46" s="631">
        <v>2238.0863028400004</v>
      </c>
      <c r="C46" s="631">
        <v>623.47124249000012</v>
      </c>
      <c r="D46" s="631">
        <v>316.03156693999995</v>
      </c>
      <c r="E46" s="631">
        <v>538.59962176000033</v>
      </c>
      <c r="F46" s="631">
        <v>759.98387164999997</v>
      </c>
      <c r="G46" s="58"/>
      <c r="H46" s="58"/>
      <c r="I46" s="58"/>
      <c r="CC46" s="59">
        <v>0</v>
      </c>
      <c r="CD46" s="227">
        <f t="shared" si="0"/>
        <v>0</v>
      </c>
    </row>
    <row r="47" spans="1:82" hidden="1">
      <c r="A47" s="661" t="s">
        <v>21</v>
      </c>
      <c r="B47" s="631">
        <v>2248.8268927600006</v>
      </c>
      <c r="C47" s="631">
        <v>631.53492568999991</v>
      </c>
      <c r="D47" s="631">
        <v>364.90249673</v>
      </c>
      <c r="E47" s="631">
        <v>502.66455941000072</v>
      </c>
      <c r="F47" s="631">
        <v>749.72491093000008</v>
      </c>
      <c r="G47" s="58"/>
      <c r="H47" s="58"/>
      <c r="I47" s="58"/>
      <c r="CD47" s="227"/>
    </row>
    <row r="48" spans="1:82" hidden="1">
      <c r="A48" s="661" t="s">
        <v>22</v>
      </c>
      <c r="B48" s="631">
        <v>2371.46952508</v>
      </c>
      <c r="C48" s="631">
        <v>637.2352648000001</v>
      </c>
      <c r="D48" s="631">
        <v>412.29131131999998</v>
      </c>
      <c r="E48" s="631">
        <v>450.2158744100002</v>
      </c>
      <c r="F48" s="631">
        <v>871.72707454999977</v>
      </c>
      <c r="G48" s="58"/>
      <c r="H48" s="58"/>
      <c r="I48" s="58"/>
      <c r="CC48" s="59">
        <f>CC49-CC53</f>
        <v>481</v>
      </c>
      <c r="CD48" s="227">
        <f t="shared" si="0"/>
        <v>481</v>
      </c>
    </row>
    <row r="49" spans="1:82" hidden="1">
      <c r="A49" s="661" t="s">
        <v>23</v>
      </c>
      <c r="B49" s="631">
        <v>2436.3426978500001</v>
      </c>
      <c r="C49" s="631">
        <v>646.50913603000015</v>
      </c>
      <c r="D49" s="631">
        <v>434.10216400999997</v>
      </c>
      <c r="E49" s="631">
        <v>460.14052797999977</v>
      </c>
      <c r="F49" s="631">
        <v>895.59086983000009</v>
      </c>
      <c r="G49" s="58"/>
      <c r="H49" s="58"/>
      <c r="I49" s="58"/>
      <c r="CC49" s="59">
        <f>CC51+CC52</f>
        <v>965</v>
      </c>
      <c r="CD49" s="227">
        <f t="shared" si="0"/>
        <v>965</v>
      </c>
    </row>
    <row r="50" spans="1:82" hidden="1">
      <c r="A50" s="661" t="s">
        <v>24</v>
      </c>
      <c r="B50" s="631">
        <v>2510.4601260499999</v>
      </c>
      <c r="C50" s="631">
        <v>599.20595492000007</v>
      </c>
      <c r="D50" s="631">
        <v>529.65593548999993</v>
      </c>
      <c r="E50" s="631">
        <v>436.07674095000004</v>
      </c>
      <c r="F50" s="631">
        <v>945.52149468999994</v>
      </c>
      <c r="G50" s="58"/>
      <c r="H50" s="58"/>
      <c r="I50" s="58"/>
      <c r="CD50" s="227"/>
    </row>
    <row r="51" spans="1:82" hidden="1">
      <c r="A51" s="661" t="s">
        <v>25</v>
      </c>
      <c r="B51" s="631">
        <v>2743.0334336599999</v>
      </c>
      <c r="C51" s="631">
        <v>715.95557969000004</v>
      </c>
      <c r="D51" s="631">
        <v>577.80696886999999</v>
      </c>
      <c r="E51" s="631">
        <v>408.43194174999985</v>
      </c>
      <c r="F51" s="631">
        <v>1040.8389433500001</v>
      </c>
      <c r="CC51" s="59">
        <v>954</v>
      </c>
      <c r="CD51" s="227">
        <f t="shared" si="0"/>
        <v>954</v>
      </c>
    </row>
    <row r="52" spans="1:82" hidden="1">
      <c r="A52" s="661" t="s">
        <v>26</v>
      </c>
      <c r="B52" s="631">
        <v>2973.8333739999994</v>
      </c>
      <c r="C52" s="631">
        <v>737.22614386999987</v>
      </c>
      <c r="D52" s="631">
        <v>602.77646406000008</v>
      </c>
      <c r="E52" s="631">
        <v>522.36250482999958</v>
      </c>
      <c r="F52" s="631">
        <v>1111.4682612399999</v>
      </c>
      <c r="CC52" s="59">
        <v>11</v>
      </c>
      <c r="CD52" s="227">
        <f t="shared" si="0"/>
        <v>11</v>
      </c>
    </row>
    <row r="53" spans="1:82" hidden="1">
      <c r="A53" s="661" t="s">
        <v>27</v>
      </c>
      <c r="B53" s="631">
        <v>3100.1979160199999</v>
      </c>
      <c r="C53" s="631">
        <v>710.45201737000002</v>
      </c>
      <c r="D53" s="631">
        <v>650.90874280999992</v>
      </c>
      <c r="E53" s="631">
        <v>564.51048482999977</v>
      </c>
      <c r="F53" s="631">
        <v>1174.3266710099999</v>
      </c>
      <c r="CC53" s="59">
        <f>CC55+CC56+CC57+CC58</f>
        <v>484</v>
      </c>
      <c r="CD53" s="227">
        <f t="shared" si="0"/>
        <v>484</v>
      </c>
    </row>
    <row r="54" spans="1:82" hidden="1">
      <c r="A54" s="661" t="s">
        <v>28</v>
      </c>
      <c r="B54" s="631">
        <v>3149.9321332299996</v>
      </c>
      <c r="C54" s="631">
        <v>867.56669267000018</v>
      </c>
      <c r="D54" s="631">
        <v>620.34134030999985</v>
      </c>
      <c r="E54" s="631">
        <v>494.67887402999986</v>
      </c>
      <c r="F54" s="631">
        <v>1167.3452262199999</v>
      </c>
      <c r="CD54" s="227"/>
    </row>
    <row r="55" spans="1:82" hidden="1">
      <c r="A55" s="661" t="s">
        <v>29</v>
      </c>
      <c r="B55" s="631">
        <f>+C55+D55+E55+F55</f>
        <v>4127.1830896899992</v>
      </c>
      <c r="C55" s="631">
        <v>962.80140343000005</v>
      </c>
      <c r="D55" s="631">
        <v>939.37474758999997</v>
      </c>
      <c r="E55" s="631">
        <v>754.22318668000003</v>
      </c>
      <c r="F55" s="631">
        <v>1470.7837519899999</v>
      </c>
      <c r="CC55" s="59">
        <v>1214</v>
      </c>
      <c r="CD55" s="227">
        <f t="shared" si="0"/>
        <v>1214</v>
      </c>
    </row>
    <row r="56" spans="1:82">
      <c r="A56" s="662">
        <v>2008</v>
      </c>
      <c r="B56" s="663">
        <f>+B68</f>
        <v>6460.18830738</v>
      </c>
      <c r="C56" s="664">
        <f>+C68</f>
        <v>1054.10083994</v>
      </c>
      <c r="D56" s="664">
        <f>+D68</f>
        <v>1240.0590658599999</v>
      </c>
      <c r="E56" s="664">
        <f>+E68</f>
        <v>1025.2839537199998</v>
      </c>
      <c r="F56" s="664">
        <f>+F68</f>
        <v>3140.7444478599996</v>
      </c>
      <c r="CC56" s="59">
        <v>-745</v>
      </c>
      <c r="CD56" s="227">
        <f t="shared" si="0"/>
        <v>-745</v>
      </c>
    </row>
    <row r="57" spans="1:82" hidden="1">
      <c r="A57" s="661" t="s">
        <v>18</v>
      </c>
      <c r="B57" s="631">
        <v>3376.28206215</v>
      </c>
      <c r="C57" s="631">
        <v>768.52430240000001</v>
      </c>
      <c r="D57" s="631">
        <v>797.26867460000005</v>
      </c>
      <c r="E57" s="631">
        <v>506.97141882999995</v>
      </c>
      <c r="F57" s="631">
        <v>1303.51766632</v>
      </c>
      <c r="CC57" s="59">
        <v>0</v>
      </c>
      <c r="CD57" s="227">
        <f>BY57+BZ57+CA57+CC57</f>
        <v>0</v>
      </c>
    </row>
    <row r="58" spans="1:82" hidden="1">
      <c r="A58" s="661" t="s">
        <v>19</v>
      </c>
      <c r="B58" s="631">
        <v>3865.3276896699995</v>
      </c>
      <c r="C58" s="631">
        <v>825.45538856999997</v>
      </c>
      <c r="D58" s="631">
        <v>843.62777799000003</v>
      </c>
      <c r="E58" s="631">
        <v>440.12653222999916</v>
      </c>
      <c r="F58" s="631">
        <v>1756.11799088</v>
      </c>
      <c r="CC58" s="59">
        <v>15</v>
      </c>
      <c r="CD58" s="227">
        <f>BY58+BZ58+CA58+CC58</f>
        <v>15</v>
      </c>
    </row>
    <row r="59" spans="1:82" hidden="1">
      <c r="A59" s="661" t="s">
        <v>20</v>
      </c>
      <c r="B59" s="631">
        <v>3801.2519231299993</v>
      </c>
      <c r="C59" s="631">
        <v>829.32714390000001</v>
      </c>
      <c r="D59" s="631">
        <v>828.96395896999991</v>
      </c>
      <c r="E59" s="631">
        <v>380.5191615699996</v>
      </c>
      <c r="F59" s="631">
        <v>1762.4416586899997</v>
      </c>
      <c r="CC59" s="59">
        <v>-372</v>
      </c>
      <c r="CD59" s="227">
        <f>BY59+BZ59+CA59+CC59</f>
        <v>-372</v>
      </c>
    </row>
    <row r="60" spans="1:82" hidden="1">
      <c r="A60" s="661" t="s">
        <v>21</v>
      </c>
      <c r="B60" s="631">
        <v>3859.7257464200002</v>
      </c>
      <c r="C60" s="631">
        <v>823.78469875000008</v>
      </c>
      <c r="D60" s="631">
        <v>823.35633608000001</v>
      </c>
      <c r="E60" s="631">
        <v>492.56992217000015</v>
      </c>
      <c r="F60" s="631">
        <v>1720.0147894199999</v>
      </c>
      <c r="CC60" s="59">
        <v>-231</v>
      </c>
      <c r="CD60" s="227">
        <f>BY60+BZ60+CA60+CC60</f>
        <v>-231</v>
      </c>
    </row>
    <row r="61" spans="1:82" hidden="1">
      <c r="A61" s="661" t="s">
        <v>22</v>
      </c>
      <c r="B61" s="631">
        <v>4120.4938849399996</v>
      </c>
      <c r="C61" s="631">
        <v>733.3566900300001</v>
      </c>
      <c r="D61" s="631">
        <v>848.16434855999967</v>
      </c>
      <c r="E61" s="631">
        <v>614.47702447999995</v>
      </c>
      <c r="F61" s="631">
        <v>1924.4958218699996</v>
      </c>
      <c r="CD61" s="227"/>
    </row>
    <row r="62" spans="1:82" hidden="1">
      <c r="A62" s="661" t="s">
        <v>23</v>
      </c>
      <c r="B62" s="631">
        <v>4372.531935779999</v>
      </c>
      <c r="C62" s="631">
        <v>915.37709487999996</v>
      </c>
      <c r="D62" s="631">
        <v>789.03245963999984</v>
      </c>
      <c r="E62" s="631">
        <v>777.13472702999934</v>
      </c>
      <c r="F62" s="631">
        <v>1890.9876542299999</v>
      </c>
      <c r="CC62" s="59">
        <f>CC8+CC46-CC48+CC59-CC60</f>
        <v>0</v>
      </c>
      <c r="CD62" s="227">
        <f>BY62+BZ62+CA62+CC62</f>
        <v>0</v>
      </c>
    </row>
    <row r="63" spans="1:82" hidden="1">
      <c r="A63" s="661" t="s">
        <v>24</v>
      </c>
      <c r="B63" s="631">
        <v>4259.7083277299998</v>
      </c>
      <c r="C63" s="631">
        <v>817.57940257999996</v>
      </c>
      <c r="D63" s="631">
        <v>845.68619052999986</v>
      </c>
      <c r="E63" s="631">
        <v>639.7181546700001</v>
      </c>
      <c r="F63" s="631">
        <v>1956.7245799499999</v>
      </c>
    </row>
    <row r="64" spans="1:82" hidden="1">
      <c r="A64" s="661" t="s">
        <v>25</v>
      </c>
      <c r="B64" s="631">
        <v>4523.3699284900003</v>
      </c>
      <c r="C64" s="631">
        <v>927.76715772</v>
      </c>
      <c r="D64" s="631">
        <v>885.36824561000003</v>
      </c>
      <c r="E64" s="631">
        <v>808.0362977800005</v>
      </c>
      <c r="F64" s="631">
        <v>1902.1982273799999</v>
      </c>
    </row>
    <row r="65" spans="1:6" hidden="1">
      <c r="A65" s="661" t="s">
        <v>26</v>
      </c>
      <c r="B65" s="631">
        <v>4479.4917286</v>
      </c>
      <c r="C65" s="631">
        <v>1020.19687441</v>
      </c>
      <c r="D65" s="631">
        <v>853.73524149000002</v>
      </c>
      <c r="E65" s="631">
        <v>727.92260166999995</v>
      </c>
      <c r="F65" s="631">
        <v>1877.6370110299999</v>
      </c>
    </row>
    <row r="66" spans="1:6" hidden="1">
      <c r="A66" s="661" t="s">
        <v>27</v>
      </c>
      <c r="B66" s="631">
        <v>4508.2237846199996</v>
      </c>
      <c r="C66" s="631">
        <v>929.56421783999997</v>
      </c>
      <c r="D66" s="631">
        <v>876.26212197999996</v>
      </c>
      <c r="E66" s="631">
        <v>871.11896935999994</v>
      </c>
      <c r="F66" s="631">
        <v>1831.27847544</v>
      </c>
    </row>
    <row r="67" spans="1:6" hidden="1">
      <c r="A67" s="661" t="s">
        <v>28</v>
      </c>
      <c r="B67" s="631">
        <v>4544.0344337400002</v>
      </c>
      <c r="C67" s="631">
        <v>968.76667119000001</v>
      </c>
      <c r="D67" s="631">
        <v>880.39156925999998</v>
      </c>
      <c r="E67" s="631">
        <v>735.63239218000012</v>
      </c>
      <c r="F67" s="631">
        <v>1959.24380111</v>
      </c>
    </row>
    <row r="68" spans="1:6" hidden="1">
      <c r="A68" s="661" t="s">
        <v>29</v>
      </c>
      <c r="B68" s="631">
        <f>+C68+D68+E68+F68</f>
        <v>6460.18830738</v>
      </c>
      <c r="C68" s="631">
        <v>1054.10083994</v>
      </c>
      <c r="D68" s="631">
        <v>1240.0590658599999</v>
      </c>
      <c r="E68" s="631">
        <v>1025.2839537199998</v>
      </c>
      <c r="F68" s="631">
        <v>3140.7444478599996</v>
      </c>
    </row>
    <row r="69" spans="1:6">
      <c r="A69" s="662">
        <v>2009</v>
      </c>
      <c r="B69" s="663">
        <f>+B81</f>
        <v>6379.1216378400004</v>
      </c>
      <c r="C69" s="664">
        <f>+C81</f>
        <v>1132.9879476500003</v>
      </c>
      <c r="D69" s="664">
        <f>+D81</f>
        <v>1220.3371491299997</v>
      </c>
      <c r="E69" s="664">
        <f>+E81</f>
        <v>1057.7832312799999</v>
      </c>
      <c r="F69" s="664">
        <f>+F81</f>
        <v>2968.0133097800008</v>
      </c>
    </row>
    <row r="70" spans="1:6" hidden="1">
      <c r="A70" s="661" t="s">
        <v>18</v>
      </c>
      <c r="B70" s="631">
        <f t="shared" ref="B70:B80" si="1">+C70+D70+E70+F70</f>
        <v>5287.8590411399991</v>
      </c>
      <c r="C70" s="631">
        <v>868.14582484000005</v>
      </c>
      <c r="D70" s="631">
        <v>825.67736874000002</v>
      </c>
      <c r="E70" s="631">
        <v>1685.3318265699997</v>
      </c>
      <c r="F70" s="631">
        <v>1908.7040209899999</v>
      </c>
    </row>
    <row r="71" spans="1:6" hidden="1">
      <c r="A71" s="661" t="s">
        <v>19</v>
      </c>
      <c r="B71" s="631">
        <f t="shared" si="1"/>
        <v>4160.1361393999996</v>
      </c>
      <c r="C71" s="631">
        <v>870.92294863999996</v>
      </c>
      <c r="D71" s="631">
        <v>690.76265406000005</v>
      </c>
      <c r="E71" s="631">
        <v>890.27298991999965</v>
      </c>
      <c r="F71" s="631">
        <v>1708.1775467800001</v>
      </c>
    </row>
    <row r="72" spans="1:6" hidden="1">
      <c r="A72" s="661" t="s">
        <v>20</v>
      </c>
      <c r="B72" s="631">
        <f t="shared" si="1"/>
        <v>3554.1640134599993</v>
      </c>
      <c r="C72" s="631">
        <v>787.09007223000003</v>
      </c>
      <c r="D72" s="631">
        <v>580.17292530999998</v>
      </c>
      <c r="E72" s="631">
        <v>949.88917914999979</v>
      </c>
      <c r="F72" s="631">
        <v>1237.0118367699999</v>
      </c>
    </row>
    <row r="73" spans="1:6" hidden="1">
      <c r="A73" s="661" t="s">
        <v>21</v>
      </c>
      <c r="B73" s="631">
        <f t="shared" si="1"/>
        <v>3624.8817440100001</v>
      </c>
      <c r="C73" s="631">
        <v>819.15391356999999</v>
      </c>
      <c r="D73" s="631">
        <v>556.02494530000001</v>
      </c>
      <c r="E73" s="631">
        <v>882.42495284000006</v>
      </c>
      <c r="F73" s="631">
        <v>1367.2779323</v>
      </c>
    </row>
    <row r="74" spans="1:6" hidden="1">
      <c r="A74" s="665" t="s">
        <v>22</v>
      </c>
      <c r="B74" s="631">
        <f t="shared" si="1"/>
        <v>3704.75413028</v>
      </c>
      <c r="C74" s="268">
        <v>774.24311398999998</v>
      </c>
      <c r="D74" s="268">
        <v>582.30207939000002</v>
      </c>
      <c r="E74" s="268">
        <v>904.15635345999999</v>
      </c>
      <c r="F74" s="268">
        <v>1444.05258344</v>
      </c>
    </row>
    <row r="75" spans="1:6" hidden="1">
      <c r="A75" s="661" t="s">
        <v>23</v>
      </c>
      <c r="B75" s="631">
        <f t="shared" si="1"/>
        <v>3696.3320366399998</v>
      </c>
      <c r="C75" s="631">
        <v>735.32850857999995</v>
      </c>
      <c r="D75" s="631">
        <v>585.73301329000003</v>
      </c>
      <c r="E75" s="631">
        <v>910.04478071999984</v>
      </c>
      <c r="F75" s="631">
        <v>1465.22573405</v>
      </c>
    </row>
    <row r="76" spans="1:6" s="60" customFormat="1" hidden="1">
      <c r="A76" s="665" t="s">
        <v>24</v>
      </c>
      <c r="B76" s="631">
        <f t="shared" si="1"/>
        <v>4390.41418858</v>
      </c>
      <c r="C76" s="268">
        <v>735.73693909999997</v>
      </c>
      <c r="D76" s="268">
        <v>615.07800759999998</v>
      </c>
      <c r="E76" s="268">
        <v>1203.8338517699997</v>
      </c>
      <c r="F76" s="268">
        <v>1835.76539011</v>
      </c>
    </row>
    <row r="77" spans="1:6" s="60" customFormat="1" hidden="1">
      <c r="A77" s="665" t="s">
        <v>25</v>
      </c>
      <c r="B77" s="631">
        <f t="shared" si="1"/>
        <v>4314.5950495200004</v>
      </c>
      <c r="C77" s="268">
        <v>928.08966488999999</v>
      </c>
      <c r="D77" s="268">
        <v>641.44373799000005</v>
      </c>
      <c r="E77" s="268">
        <v>903.43008581000072</v>
      </c>
      <c r="F77" s="268">
        <v>1841.6315608299999</v>
      </c>
    </row>
    <row r="78" spans="1:6" hidden="1">
      <c r="A78" s="665" t="s">
        <v>26</v>
      </c>
      <c r="B78" s="631">
        <f t="shared" si="1"/>
        <v>4219.9536135199996</v>
      </c>
      <c r="C78" s="268">
        <v>868.30437138000002</v>
      </c>
      <c r="D78" s="268">
        <v>639.98177865000002</v>
      </c>
      <c r="E78" s="268">
        <v>849.11955542999999</v>
      </c>
      <c r="F78" s="268">
        <v>1862.5479080600001</v>
      </c>
    </row>
    <row r="79" spans="1:6" hidden="1">
      <c r="A79" s="665" t="s">
        <v>27</v>
      </c>
      <c r="B79" s="631">
        <f t="shared" si="1"/>
        <v>4261.5050359699999</v>
      </c>
      <c r="C79" s="268">
        <v>920.75800885000001</v>
      </c>
      <c r="D79" s="268">
        <v>669.77022394000005</v>
      </c>
      <c r="E79" s="268">
        <v>801.21845862999999</v>
      </c>
      <c r="F79" s="268">
        <v>1869.7583445499999</v>
      </c>
    </row>
    <row r="80" spans="1:6" hidden="1">
      <c r="A80" s="661" t="s">
        <v>28</v>
      </c>
      <c r="B80" s="631">
        <f t="shared" si="1"/>
        <v>4308.23966131</v>
      </c>
      <c r="C80" s="631">
        <v>939.47929058</v>
      </c>
      <c r="D80" s="631">
        <v>688.65169532000004</v>
      </c>
      <c r="E80" s="631">
        <v>787.36982772999977</v>
      </c>
      <c r="F80" s="631">
        <v>1892.7388476799999</v>
      </c>
    </row>
    <row r="81" spans="1:6" hidden="1">
      <c r="A81" s="661" t="s">
        <v>29</v>
      </c>
      <c r="B81" s="631">
        <f t="shared" ref="B81:B94" si="2">+C81+D81+E81+F81</f>
        <v>6379.1216378400004</v>
      </c>
      <c r="C81" s="631">
        <v>1132.9879476500003</v>
      </c>
      <c r="D81" s="631">
        <v>1220.3371491299997</v>
      </c>
      <c r="E81" s="631">
        <v>1057.7832312799999</v>
      </c>
      <c r="F81" s="631">
        <v>2968.0133097800008</v>
      </c>
    </row>
    <row r="82" spans="1:6">
      <c r="A82" s="662">
        <v>2010</v>
      </c>
      <c r="B82" s="663">
        <v>7625.7781233199994</v>
      </c>
      <c r="C82" s="631">
        <v>1486.32706403</v>
      </c>
      <c r="D82" s="631">
        <v>1719.0040401799999</v>
      </c>
      <c r="E82" s="631">
        <v>1438.5680641500003</v>
      </c>
      <c r="F82" s="631">
        <v>2981.8789549599996</v>
      </c>
    </row>
    <row r="83" spans="1:6" hidden="1">
      <c r="A83" s="655" t="s">
        <v>18</v>
      </c>
      <c r="B83" s="631">
        <f t="shared" si="2"/>
        <v>6178.0459799599994</v>
      </c>
      <c r="C83" s="631">
        <v>952.27560396000001</v>
      </c>
      <c r="D83" s="631">
        <v>1264.8604808799998</v>
      </c>
      <c r="E83" s="631">
        <v>982.82083127999988</v>
      </c>
      <c r="F83" s="631">
        <v>2978.0890638400001</v>
      </c>
    </row>
    <row r="84" spans="1:6" hidden="1">
      <c r="A84" s="655" t="s">
        <v>19</v>
      </c>
      <c r="B84" s="631">
        <f t="shared" si="2"/>
        <v>6135.8669652500002</v>
      </c>
      <c r="C84" s="631">
        <v>962.85570766000035</v>
      </c>
      <c r="D84" s="631">
        <v>1164.8149808000001</v>
      </c>
      <c r="E84" s="631">
        <v>911.54419401999996</v>
      </c>
      <c r="F84" s="631">
        <v>3096.6520827700001</v>
      </c>
    </row>
    <row r="85" spans="1:6" hidden="1">
      <c r="A85" s="655" t="s">
        <v>20</v>
      </c>
      <c r="B85" s="631">
        <f t="shared" si="2"/>
        <v>6737.6419238500002</v>
      </c>
      <c r="C85" s="631">
        <v>971.80699677999985</v>
      </c>
      <c r="D85" s="631">
        <v>1292.97068896</v>
      </c>
      <c r="E85" s="631">
        <v>1322.1432028700001</v>
      </c>
      <c r="F85" s="631">
        <v>3150.7210352400002</v>
      </c>
    </row>
    <row r="86" spans="1:6" hidden="1">
      <c r="A86" s="655" t="s">
        <v>21</v>
      </c>
      <c r="B86" s="631">
        <f t="shared" si="2"/>
        <v>6780.8207531300013</v>
      </c>
      <c r="C86" s="631">
        <v>970.78420222000011</v>
      </c>
      <c r="D86" s="631">
        <v>1328.7406101399999</v>
      </c>
      <c r="E86" s="631">
        <v>1297.81057248</v>
      </c>
      <c r="F86" s="631">
        <v>3183.4853682900007</v>
      </c>
    </row>
    <row r="87" spans="1:6" hidden="1">
      <c r="A87" s="655" t="s">
        <v>22</v>
      </c>
      <c r="B87" s="631">
        <f t="shared" si="2"/>
        <v>6536.6532337099998</v>
      </c>
      <c r="C87" s="631">
        <v>957.89293934000011</v>
      </c>
      <c r="D87" s="631">
        <v>1341.7824006399999</v>
      </c>
      <c r="E87" s="631">
        <v>1086.7377674899999</v>
      </c>
      <c r="F87" s="631">
        <v>3150.2401262399999</v>
      </c>
    </row>
    <row r="88" spans="1:6" hidden="1">
      <c r="A88" s="655" t="s">
        <v>23</v>
      </c>
      <c r="B88" s="631">
        <f t="shared" si="2"/>
        <v>6596.8905588799989</v>
      </c>
      <c r="C88" s="631">
        <v>1066.8836732599996</v>
      </c>
      <c r="D88" s="631">
        <v>1336.4220278999999</v>
      </c>
      <c r="E88" s="631">
        <v>926.58790703</v>
      </c>
      <c r="F88" s="631">
        <v>3266.9969506899997</v>
      </c>
    </row>
    <row r="89" spans="1:6" hidden="1">
      <c r="A89" s="655" t="s">
        <v>24</v>
      </c>
      <c r="B89" s="631">
        <f t="shared" si="2"/>
        <v>6286.8784351699996</v>
      </c>
      <c r="C89" s="631">
        <v>995.08458976999998</v>
      </c>
      <c r="D89" s="631">
        <v>1406.67190351</v>
      </c>
      <c r="E89" s="631">
        <v>891.07073312999989</v>
      </c>
      <c r="F89" s="631">
        <v>2994.05120876</v>
      </c>
    </row>
    <row r="90" spans="1:6" hidden="1">
      <c r="A90" s="655" t="s">
        <v>25</v>
      </c>
      <c r="B90" s="631">
        <f t="shared" si="2"/>
        <v>6591.2542577700005</v>
      </c>
      <c r="C90" s="631">
        <v>1015.97543498</v>
      </c>
      <c r="D90" s="631">
        <v>1486.13321382</v>
      </c>
      <c r="E90" s="631">
        <v>972.46251440999981</v>
      </c>
      <c r="F90" s="631">
        <v>3116.68309456</v>
      </c>
    </row>
    <row r="91" spans="1:6" hidden="1">
      <c r="A91" s="655" t="s">
        <v>26</v>
      </c>
      <c r="B91" s="631">
        <f t="shared" si="2"/>
        <v>6741.7278075100003</v>
      </c>
      <c r="C91" s="631">
        <v>1078.6310475999999</v>
      </c>
      <c r="D91" s="631">
        <v>1506.4891441099999</v>
      </c>
      <c r="E91" s="631">
        <v>1079.5527715699998</v>
      </c>
      <c r="F91" s="631">
        <v>3077.0548442300005</v>
      </c>
    </row>
    <row r="92" spans="1:6" hidden="1">
      <c r="A92" s="655" t="s">
        <v>27</v>
      </c>
      <c r="B92" s="631">
        <f t="shared" si="2"/>
        <v>6968.6439867000008</v>
      </c>
      <c r="C92" s="631">
        <v>1133.7775053700002</v>
      </c>
      <c r="D92" s="631">
        <v>1546.3019752299999</v>
      </c>
      <c r="E92" s="631">
        <v>1337.9562049599999</v>
      </c>
      <c r="F92" s="631">
        <v>2950.6083011400001</v>
      </c>
    </row>
    <row r="93" spans="1:6" hidden="1">
      <c r="A93" s="655" t="s">
        <v>28</v>
      </c>
      <c r="B93" s="631">
        <f t="shared" si="2"/>
        <v>6915.8610377500008</v>
      </c>
      <c r="C93" s="631">
        <v>1043.5411553399999</v>
      </c>
      <c r="D93" s="631">
        <v>1730.0641860100002</v>
      </c>
      <c r="E93" s="631">
        <v>1180.4639666999999</v>
      </c>
      <c r="F93" s="631">
        <v>2961.7917296999999</v>
      </c>
    </row>
    <row r="94" spans="1:6" hidden="1">
      <c r="A94" s="655" t="s">
        <v>29</v>
      </c>
      <c r="B94" s="631">
        <f t="shared" si="2"/>
        <v>7625.7781233199994</v>
      </c>
      <c r="C94" s="631">
        <v>1486.32706403</v>
      </c>
      <c r="D94" s="631">
        <v>1719.0040401799999</v>
      </c>
      <c r="E94" s="631">
        <v>1438.5680641500003</v>
      </c>
      <c r="F94" s="631">
        <v>2981.8789549599996</v>
      </c>
    </row>
    <row r="95" spans="1:6">
      <c r="A95" s="462">
        <v>2011</v>
      </c>
      <c r="B95" s="663">
        <v>9447.0007198299991</v>
      </c>
      <c r="C95" s="664">
        <v>1756.5923799999994</v>
      </c>
      <c r="D95" s="664">
        <v>2524.08792847</v>
      </c>
      <c r="E95" s="664">
        <v>1671.9176333800001</v>
      </c>
      <c r="F95" s="664">
        <v>3494.4027779800003</v>
      </c>
    </row>
    <row r="96" spans="1:6" hidden="1">
      <c r="A96" s="655" t="s">
        <v>18</v>
      </c>
      <c r="B96" s="631">
        <f>+C96+D96+E96+F96</f>
        <v>7321.2590175500009</v>
      </c>
      <c r="C96" s="631">
        <v>1131.1159975700002</v>
      </c>
      <c r="D96" s="631">
        <v>1735.8713411900001</v>
      </c>
      <c r="E96" s="631">
        <v>1449.6592281400003</v>
      </c>
      <c r="F96" s="631">
        <v>3004.61245065</v>
      </c>
    </row>
    <row r="97" spans="1:6" hidden="1">
      <c r="A97" s="655" t="s">
        <v>19</v>
      </c>
      <c r="B97" s="631">
        <f t="shared" ref="B97:B102" si="3">+C97+D97+E97+F97</f>
        <v>7315.0040979000005</v>
      </c>
      <c r="C97" s="631">
        <v>1217.4633789000002</v>
      </c>
      <c r="D97" s="631">
        <v>1711.17223586</v>
      </c>
      <c r="E97" s="631">
        <v>1361.8140107200002</v>
      </c>
      <c r="F97" s="631">
        <v>3024.5544724200004</v>
      </c>
    </row>
    <row r="98" spans="1:6" hidden="1">
      <c r="A98" s="655" t="s">
        <v>20</v>
      </c>
      <c r="B98" s="631">
        <f t="shared" si="3"/>
        <v>7751.0752097800014</v>
      </c>
      <c r="C98" s="631">
        <v>1288.1612081400003</v>
      </c>
      <c r="D98" s="631">
        <v>1789.3808975499999</v>
      </c>
      <c r="E98" s="631">
        <v>1216.7302896599999</v>
      </c>
      <c r="F98" s="631">
        <v>3456.8028144300001</v>
      </c>
    </row>
    <row r="99" spans="1:6" hidden="1">
      <c r="A99" s="655" t="s">
        <v>21</v>
      </c>
      <c r="B99" s="631">
        <f t="shared" si="3"/>
        <v>7788.8309037399995</v>
      </c>
      <c r="C99" s="631">
        <v>1293.8843101800001</v>
      </c>
      <c r="D99" s="631">
        <v>1831.2224631000001</v>
      </c>
      <c r="E99" s="631">
        <v>1136.90022034</v>
      </c>
      <c r="F99" s="631">
        <v>3526.8239101199997</v>
      </c>
    </row>
    <row r="100" spans="1:6" hidden="1">
      <c r="A100" s="655" t="s">
        <v>22</v>
      </c>
      <c r="B100" s="631">
        <f t="shared" si="3"/>
        <v>7959.1259541700001</v>
      </c>
      <c r="C100" s="631">
        <v>1305.1893527500001</v>
      </c>
      <c r="D100" s="631">
        <v>1884.87932327</v>
      </c>
      <c r="E100" s="631">
        <v>1279.6985698900003</v>
      </c>
      <c r="F100" s="631">
        <v>3489.3587082600002</v>
      </c>
    </row>
    <row r="101" spans="1:6" hidden="1">
      <c r="A101" s="655" t="s">
        <v>23</v>
      </c>
      <c r="B101" s="631">
        <f t="shared" si="3"/>
        <v>8126.7557803200007</v>
      </c>
      <c r="C101" s="631">
        <v>1342.2634674199999</v>
      </c>
      <c r="D101" s="631">
        <v>1949.4730186500001</v>
      </c>
      <c r="E101" s="631">
        <v>1373.94408481</v>
      </c>
      <c r="F101" s="631">
        <v>3461.0752094400004</v>
      </c>
    </row>
    <row r="102" spans="1:6" hidden="1">
      <c r="A102" s="655" t="s">
        <v>24</v>
      </c>
      <c r="B102" s="631">
        <f t="shared" si="3"/>
        <v>8345.8196153299996</v>
      </c>
      <c r="C102" s="631">
        <v>1576.0813211699999</v>
      </c>
      <c r="D102" s="631">
        <v>1991.0525396500002</v>
      </c>
      <c r="E102" s="631">
        <v>1506.62535744</v>
      </c>
      <c r="F102" s="631">
        <v>3272.0603970699999</v>
      </c>
    </row>
    <row r="103" spans="1:6" hidden="1">
      <c r="A103" s="655" t="s">
        <v>25</v>
      </c>
      <c r="B103" s="631">
        <f>+C103+D103+E103+F103</f>
        <v>8449.7129442300011</v>
      </c>
      <c r="C103" s="631">
        <v>1470.20310793</v>
      </c>
      <c r="D103" s="631">
        <v>2018.0687987800004</v>
      </c>
      <c r="E103" s="631">
        <v>1401.3430445600002</v>
      </c>
      <c r="F103" s="631">
        <v>3560.0979929599998</v>
      </c>
    </row>
    <row r="104" spans="1:6" hidden="1">
      <c r="A104" s="655" t="s">
        <v>26</v>
      </c>
      <c r="B104" s="631">
        <f>+C104+D104+E104+F104</f>
        <v>8740.5817513300008</v>
      </c>
      <c r="C104" s="631">
        <v>1440.4562208099999</v>
      </c>
      <c r="D104" s="631">
        <v>2176.4399810600003</v>
      </c>
      <c r="E104" s="631">
        <v>1582.9193660000003</v>
      </c>
      <c r="F104" s="631">
        <v>3540.7661834599999</v>
      </c>
    </row>
    <row r="105" spans="1:6" hidden="1">
      <c r="A105" s="655" t="s">
        <v>27</v>
      </c>
      <c r="B105" s="631">
        <f>+C105+D105+E105+F105</f>
        <v>8707.8253123100003</v>
      </c>
      <c r="C105" s="631">
        <v>1413.82235664</v>
      </c>
      <c r="D105" s="631">
        <v>2262.3902457700001</v>
      </c>
      <c r="E105" s="631">
        <v>1505.2474949499999</v>
      </c>
      <c r="F105" s="631">
        <v>3526.3652149500003</v>
      </c>
    </row>
    <row r="106" spans="1:6" hidden="1">
      <c r="A106" s="655" t="s">
        <v>28</v>
      </c>
      <c r="B106" s="631">
        <f>+C106+D106+E106+F106</f>
        <v>8892.7983016500002</v>
      </c>
      <c r="C106" s="631">
        <v>1585.6223956800002</v>
      </c>
      <c r="D106" s="631">
        <v>2302.9509355200003</v>
      </c>
      <c r="E106" s="631">
        <v>1566.3086352299997</v>
      </c>
      <c r="F106" s="631">
        <v>3437.9163352199998</v>
      </c>
    </row>
    <row r="107" spans="1:6" hidden="1">
      <c r="A107" s="655" t="s">
        <v>29</v>
      </c>
      <c r="B107" s="631">
        <f>+C107+D107+E107+F107</f>
        <v>9447.0007198299991</v>
      </c>
      <c r="C107" s="631">
        <v>1756.5923799999994</v>
      </c>
      <c r="D107" s="631">
        <v>2524.08792847</v>
      </c>
      <c r="E107" s="631">
        <v>1671.9176333800001</v>
      </c>
      <c r="F107" s="631">
        <v>3494.4027779800003</v>
      </c>
    </row>
    <row r="108" spans="1:6">
      <c r="A108" s="462">
        <v>2012</v>
      </c>
      <c r="B108" s="663">
        <v>10699.241985770001</v>
      </c>
      <c r="C108" s="664">
        <v>1981.1111908500002</v>
      </c>
      <c r="D108" s="664">
        <v>3081.4368054800002</v>
      </c>
      <c r="E108" s="664">
        <v>1645.1074031199998</v>
      </c>
      <c r="F108" s="664">
        <v>3991.5865863200006</v>
      </c>
    </row>
    <row r="109" spans="1:6" hidden="1">
      <c r="A109" s="655" t="s">
        <v>18</v>
      </c>
      <c r="B109" s="666">
        <f t="shared" ref="B109:B114" si="4">+C109+D109+E109+F109</f>
        <v>9281.2090842100006</v>
      </c>
      <c r="C109" s="666">
        <v>1629.8683496100005</v>
      </c>
      <c r="D109" s="666">
        <v>2551.9310052099995</v>
      </c>
      <c r="E109" s="666">
        <v>1568.1199476899999</v>
      </c>
      <c r="F109" s="666">
        <v>3531.2897817000003</v>
      </c>
    </row>
    <row r="110" spans="1:6" hidden="1">
      <c r="A110" s="655" t="s">
        <v>19</v>
      </c>
      <c r="B110" s="666">
        <f t="shared" si="4"/>
        <v>9507.0192621999995</v>
      </c>
      <c r="C110" s="666">
        <v>1570.0930416900001</v>
      </c>
      <c r="D110" s="666">
        <v>2640.4926453200001</v>
      </c>
      <c r="E110" s="666">
        <v>1696.2636222499998</v>
      </c>
      <c r="F110" s="666">
        <v>3600.1699529399993</v>
      </c>
    </row>
    <row r="111" spans="1:6" hidden="1">
      <c r="A111" s="655" t="s">
        <v>20</v>
      </c>
      <c r="B111" s="666">
        <f t="shared" si="4"/>
        <v>9796.4743111400003</v>
      </c>
      <c r="C111" s="666">
        <v>1887.1114911899997</v>
      </c>
      <c r="D111" s="666">
        <v>2575.0628635499997</v>
      </c>
      <c r="E111" s="666">
        <v>1734.4930930800001</v>
      </c>
      <c r="F111" s="666">
        <v>3599.8068633200005</v>
      </c>
    </row>
    <row r="112" spans="1:6" hidden="1">
      <c r="A112" s="655" t="s">
        <v>21</v>
      </c>
      <c r="B112" s="666">
        <f t="shared" si="4"/>
        <v>9870.0211999999992</v>
      </c>
      <c r="C112" s="666">
        <v>1788.6369999999999</v>
      </c>
      <c r="D112" s="666">
        <v>2545.3182000000002</v>
      </c>
      <c r="E112" s="666">
        <v>1918.5643</v>
      </c>
      <c r="F112" s="666">
        <v>3617.5016999999998</v>
      </c>
    </row>
    <row r="113" spans="1:6" hidden="1">
      <c r="A113" s="655" t="s">
        <v>22</v>
      </c>
      <c r="B113" s="666">
        <f t="shared" si="4"/>
        <v>9884.5236785399993</v>
      </c>
      <c r="C113" s="666">
        <v>1823.203896</v>
      </c>
      <c r="D113" s="666">
        <v>2588.3484053499997</v>
      </c>
      <c r="E113" s="666">
        <v>1901.40825051</v>
      </c>
      <c r="F113" s="666">
        <v>3571.5631266799996</v>
      </c>
    </row>
    <row r="114" spans="1:6" hidden="1">
      <c r="A114" s="655" t="s">
        <v>23</v>
      </c>
      <c r="B114" s="666">
        <f t="shared" si="4"/>
        <v>9704.2620168400008</v>
      </c>
      <c r="C114" s="666">
        <v>1840.1804880499999</v>
      </c>
      <c r="D114" s="666">
        <v>2661.5360345600002</v>
      </c>
      <c r="E114" s="666">
        <v>1602.7044774699998</v>
      </c>
      <c r="F114" s="666">
        <v>3599.84101676</v>
      </c>
    </row>
    <row r="115" spans="1:6" hidden="1">
      <c r="A115" s="655" t="s">
        <v>24</v>
      </c>
      <c r="B115" s="666">
        <f t="shared" ref="B115:B120" si="5">+C115+D115+E115+F115</f>
        <v>9668.729364259998</v>
      </c>
      <c r="C115" s="666">
        <v>1786.9821527899999</v>
      </c>
      <c r="D115" s="666">
        <v>2640.7787512299997</v>
      </c>
      <c r="E115" s="666">
        <v>1702.18809336</v>
      </c>
      <c r="F115" s="666">
        <v>3538.7803668799997</v>
      </c>
    </row>
    <row r="116" spans="1:6" hidden="1">
      <c r="A116" s="655" t="s">
        <v>25</v>
      </c>
      <c r="B116" s="666">
        <f t="shared" si="5"/>
        <v>9878.328764670001</v>
      </c>
      <c r="C116" s="666">
        <v>1902.8543349800004</v>
      </c>
      <c r="D116" s="666">
        <v>2638.1575730200002</v>
      </c>
      <c r="E116" s="666">
        <v>1663.78610635</v>
      </c>
      <c r="F116" s="666">
        <v>3673.5307503200002</v>
      </c>
    </row>
    <row r="117" spans="1:6" hidden="1">
      <c r="A117" s="655" t="s">
        <v>26</v>
      </c>
      <c r="B117" s="666">
        <f t="shared" si="5"/>
        <v>10080.6149085</v>
      </c>
      <c r="C117" s="666">
        <v>1863.51064894</v>
      </c>
      <c r="D117" s="666">
        <v>2696.4200555400002</v>
      </c>
      <c r="E117" s="666">
        <v>1492.3380490699999</v>
      </c>
      <c r="F117" s="666">
        <v>4028.3461549499998</v>
      </c>
    </row>
    <row r="118" spans="1:6" hidden="1">
      <c r="A118" s="655" t="s">
        <v>27</v>
      </c>
      <c r="B118" s="666">
        <f t="shared" si="5"/>
        <v>10202.409563829999</v>
      </c>
      <c r="C118" s="666">
        <v>1804.3107340300003</v>
      </c>
      <c r="D118" s="666">
        <v>2821.2295912299996</v>
      </c>
      <c r="E118" s="666">
        <v>1680.65313135</v>
      </c>
      <c r="F118" s="666">
        <v>3896.2161072199997</v>
      </c>
    </row>
    <row r="119" spans="1:6" hidden="1">
      <c r="A119" s="655" t="s">
        <v>28</v>
      </c>
      <c r="B119" s="666">
        <f t="shared" si="5"/>
        <v>10409.881236890002</v>
      </c>
      <c r="C119" s="666">
        <v>1835.6726134099999</v>
      </c>
      <c r="D119" s="666">
        <v>2895.3207348700003</v>
      </c>
      <c r="E119" s="666">
        <v>1792.12428419</v>
      </c>
      <c r="F119" s="666">
        <v>3886.7636044200003</v>
      </c>
    </row>
    <row r="120" spans="1:6" hidden="1">
      <c r="A120" s="655" t="s">
        <v>29</v>
      </c>
      <c r="B120" s="666">
        <f t="shared" si="5"/>
        <v>10699.241985770001</v>
      </c>
      <c r="C120" s="666">
        <v>1981.1111908500002</v>
      </c>
      <c r="D120" s="666">
        <v>3081.4368054800002</v>
      </c>
      <c r="E120" s="666">
        <v>1645.1074031199998</v>
      </c>
      <c r="F120" s="666">
        <v>3991.5865863200006</v>
      </c>
    </row>
    <row r="121" spans="1:6">
      <c r="A121" s="462">
        <v>2013</v>
      </c>
      <c r="B121" s="667"/>
      <c r="C121" s="668"/>
      <c r="D121" s="668"/>
      <c r="E121" s="668"/>
      <c r="F121" s="668"/>
    </row>
    <row r="122" spans="1:6">
      <c r="A122" s="655" t="s">
        <v>18</v>
      </c>
      <c r="B122" s="666">
        <f t="shared" ref="B122:B127" si="6">+C122+D122+E122+F122</f>
        <v>10357.58610067</v>
      </c>
      <c r="C122" s="666">
        <v>1851.7406705599992</v>
      </c>
      <c r="D122" s="666">
        <v>3209.8897066099994</v>
      </c>
      <c r="E122" s="666">
        <v>1514.4708069599999</v>
      </c>
      <c r="F122" s="666">
        <v>3781.4849165400001</v>
      </c>
    </row>
    <row r="123" spans="1:6">
      <c r="A123" s="655" t="s">
        <v>19</v>
      </c>
      <c r="B123" s="666">
        <f t="shared" si="6"/>
        <v>10446.900583219998</v>
      </c>
      <c r="C123" s="666">
        <v>2015.7892722499996</v>
      </c>
      <c r="D123" s="666">
        <v>3232.89515523</v>
      </c>
      <c r="E123" s="666">
        <v>1375.8826230699997</v>
      </c>
      <c r="F123" s="666">
        <v>3822.3335326699998</v>
      </c>
    </row>
    <row r="124" spans="1:6">
      <c r="A124" s="655" t="s">
        <v>20</v>
      </c>
      <c r="B124" s="666">
        <f t="shared" si="6"/>
        <v>11012.710718599999</v>
      </c>
      <c r="C124" s="666">
        <v>2103.9976812300001</v>
      </c>
      <c r="D124" s="666">
        <v>3259.0034272299995</v>
      </c>
      <c r="E124" s="666">
        <v>1819.5129725199999</v>
      </c>
      <c r="F124" s="666">
        <v>3830.1966376199998</v>
      </c>
    </row>
    <row r="125" spans="1:6">
      <c r="A125" s="655" t="s">
        <v>21</v>
      </c>
      <c r="B125" s="666">
        <f t="shared" si="6"/>
        <v>11405.29064694</v>
      </c>
      <c r="C125" s="666">
        <v>2227.91079803</v>
      </c>
      <c r="D125" s="666">
        <v>3471.5051674800002</v>
      </c>
      <c r="E125" s="666">
        <v>1736.9008849899999</v>
      </c>
      <c r="F125" s="666">
        <v>3968.9737964400001</v>
      </c>
    </row>
    <row r="126" spans="1:6">
      <c r="A126" s="655" t="s">
        <v>22</v>
      </c>
      <c r="B126" s="666">
        <f t="shared" si="6"/>
        <v>11434.838022739999</v>
      </c>
      <c r="C126" s="666">
        <v>2182.1979984800005</v>
      </c>
      <c r="D126" s="666">
        <v>3552.5125717199994</v>
      </c>
      <c r="E126" s="666">
        <v>1804.1980910899997</v>
      </c>
      <c r="F126" s="666">
        <v>3895.9293614499998</v>
      </c>
    </row>
    <row r="127" spans="1:6">
      <c r="A127" s="655" t="s">
        <v>23</v>
      </c>
      <c r="B127" s="666">
        <f t="shared" si="6"/>
        <v>11399.91035052</v>
      </c>
      <c r="C127" s="666">
        <v>2243.1250226200009</v>
      </c>
      <c r="D127" s="666">
        <v>3543.1649159799999</v>
      </c>
      <c r="E127" s="666">
        <v>1523.12224021</v>
      </c>
      <c r="F127" s="666">
        <v>4090.49817171</v>
      </c>
    </row>
    <row r="128" spans="1:6">
      <c r="A128" s="655" t="s">
        <v>24</v>
      </c>
      <c r="B128" s="666">
        <f t="shared" ref="B128:B133" si="7">+C128+D128+E128+F128</f>
        <v>11655.10998614</v>
      </c>
      <c r="C128" s="666">
        <v>2168.3948292900004</v>
      </c>
      <c r="D128" s="666">
        <v>3648.3414466900003</v>
      </c>
      <c r="E128" s="666">
        <v>1705.3884115999995</v>
      </c>
      <c r="F128" s="666">
        <v>4132.98529856</v>
      </c>
    </row>
    <row r="129" spans="1:6">
      <c r="A129" s="655" t="s">
        <v>25</v>
      </c>
      <c r="B129" s="666">
        <f t="shared" si="7"/>
        <v>11661.530436970001</v>
      </c>
      <c r="C129" s="666">
        <v>2286.6836752300001</v>
      </c>
      <c r="D129" s="666">
        <v>3730.0868444799994</v>
      </c>
      <c r="E129" s="666">
        <v>1862.3382905600001</v>
      </c>
      <c r="F129" s="666">
        <v>3782.4216267000006</v>
      </c>
    </row>
    <row r="130" spans="1:6">
      <c r="A130" s="655" t="s">
        <v>26</v>
      </c>
      <c r="B130" s="666">
        <f t="shared" si="7"/>
        <v>11929.36142668</v>
      </c>
      <c r="C130" s="666">
        <v>2269.0952662699997</v>
      </c>
      <c r="D130" s="666">
        <v>3813.4180404599997</v>
      </c>
      <c r="E130" s="666">
        <v>1603.7028101400001</v>
      </c>
      <c r="F130" s="666">
        <v>4243.1453098099992</v>
      </c>
    </row>
    <row r="131" spans="1:6">
      <c r="A131" s="655" t="s">
        <v>27</v>
      </c>
      <c r="B131" s="666">
        <f t="shared" si="7"/>
        <v>12042.25122926</v>
      </c>
      <c r="C131" s="666">
        <v>2198.9970859799996</v>
      </c>
      <c r="D131" s="666">
        <v>3931.1026492899991</v>
      </c>
      <c r="E131" s="666">
        <v>1628.20528352</v>
      </c>
      <c r="F131" s="666">
        <v>4283.9462104700006</v>
      </c>
    </row>
    <row r="132" spans="1:6">
      <c r="A132" s="655" t="s">
        <v>28</v>
      </c>
      <c r="B132" s="666">
        <f t="shared" si="7"/>
        <v>12432.654090510001</v>
      </c>
      <c r="C132" s="666">
        <v>2229.8815792</v>
      </c>
      <c r="D132" s="666">
        <v>3967.9157187300002</v>
      </c>
      <c r="E132" s="666">
        <v>1716.3609108900002</v>
      </c>
      <c r="F132" s="666">
        <v>4518.4958816899998</v>
      </c>
    </row>
    <row r="133" spans="1:6">
      <c r="A133" s="655" t="s">
        <v>29</v>
      </c>
      <c r="B133" s="666">
        <f t="shared" si="7"/>
        <v>12475.783595810004</v>
      </c>
      <c r="C133" s="666">
        <v>2326.5926556199997</v>
      </c>
      <c r="D133" s="666">
        <v>4084.2750673100008</v>
      </c>
      <c r="E133" s="666">
        <v>1441.7432358200001</v>
      </c>
      <c r="F133" s="666">
        <v>4623.1726370600018</v>
      </c>
    </row>
    <row r="134" spans="1:6">
      <c r="A134" s="462">
        <v>2014</v>
      </c>
      <c r="B134" s="667"/>
      <c r="C134" s="668"/>
      <c r="D134" s="668"/>
      <c r="E134" s="668"/>
      <c r="F134" s="668"/>
    </row>
    <row r="135" spans="1:6">
      <c r="A135" s="655" t="s">
        <v>18</v>
      </c>
      <c r="B135" s="666">
        <f t="shared" ref="B135:B141" si="8">+C135+D135+E135+F135</f>
        <v>12682.982230280002</v>
      </c>
      <c r="C135" s="666">
        <v>2406.2573459100004</v>
      </c>
      <c r="D135" s="666">
        <v>4095.2888255600001</v>
      </c>
      <c r="E135" s="666">
        <v>1480.4104853900001</v>
      </c>
      <c r="F135" s="666">
        <v>4701.0255734200009</v>
      </c>
    </row>
    <row r="136" spans="1:6">
      <c r="A136" s="655" t="s">
        <v>19</v>
      </c>
      <c r="B136" s="666">
        <f t="shared" si="8"/>
        <v>12926.584412960001</v>
      </c>
      <c r="C136" s="666">
        <v>2476.5616912599999</v>
      </c>
      <c r="D136" s="666">
        <v>4146.6820701300003</v>
      </c>
      <c r="E136" s="666">
        <v>1505.3375592200002</v>
      </c>
      <c r="F136" s="666">
        <v>4798.0030923500008</v>
      </c>
    </row>
    <row r="137" spans="1:6">
      <c r="A137" s="655" t="s">
        <v>20</v>
      </c>
      <c r="B137" s="666">
        <f t="shared" si="8"/>
        <v>13308.087601419998</v>
      </c>
      <c r="C137" s="666">
        <v>2395.6445086199997</v>
      </c>
      <c r="D137" s="666">
        <v>4200.6658532099991</v>
      </c>
      <c r="E137" s="666">
        <v>1720.3552076299998</v>
      </c>
      <c r="F137" s="666">
        <v>4991.422031959999</v>
      </c>
    </row>
    <row r="138" spans="1:6">
      <c r="A138" s="655" t="s">
        <v>21</v>
      </c>
      <c r="B138" s="666">
        <f t="shared" si="8"/>
        <v>13615.560918230001</v>
      </c>
      <c r="C138" s="666">
        <v>2412.9581523300003</v>
      </c>
      <c r="D138" s="666">
        <v>4418.4859812699997</v>
      </c>
      <c r="E138" s="666">
        <v>1920.1218104100001</v>
      </c>
      <c r="F138" s="666">
        <v>4863.9949742200006</v>
      </c>
    </row>
    <row r="139" spans="1:6">
      <c r="A139" s="655" t="s">
        <v>22</v>
      </c>
      <c r="B139" s="666">
        <f t="shared" si="8"/>
        <v>13637.01837862</v>
      </c>
      <c r="C139" s="666">
        <v>2364.7120624600002</v>
      </c>
      <c r="D139" s="666">
        <v>4519.9072323399996</v>
      </c>
      <c r="E139" s="666">
        <v>1710.1856971199998</v>
      </c>
      <c r="F139" s="666">
        <v>5042.2133866999984</v>
      </c>
    </row>
    <row r="140" spans="1:6">
      <c r="A140" s="655" t="s">
        <v>23</v>
      </c>
      <c r="B140" s="666">
        <f t="shared" si="8"/>
        <v>13991.379577759999</v>
      </c>
      <c r="C140" s="666">
        <v>2416.4847869900004</v>
      </c>
      <c r="D140" s="666">
        <v>4667.4442880799998</v>
      </c>
      <c r="E140" s="666">
        <v>1491.9785412400001</v>
      </c>
      <c r="F140" s="666">
        <v>5415.47196145</v>
      </c>
    </row>
    <row r="141" spans="1:6">
      <c r="A141" s="655" t="s">
        <v>24</v>
      </c>
      <c r="B141" s="666">
        <f t="shared" si="8"/>
        <v>14558.072714710001</v>
      </c>
      <c r="C141" s="666">
        <f>2579368.84854/1000</f>
        <v>2579.3688485400003</v>
      </c>
      <c r="D141" s="666">
        <f>4775755.13858/1000</f>
        <v>4775.7551385799998</v>
      </c>
      <c r="E141" s="666">
        <f>1794060.40292/1000</f>
        <v>1794.0604029200001</v>
      </c>
      <c r="F141" s="666">
        <f>5408888.32467/1000</f>
        <v>5408.8883246699997</v>
      </c>
    </row>
    <row r="142" spans="1:6">
      <c r="A142" s="655" t="s">
        <v>25</v>
      </c>
      <c r="B142" s="666">
        <f>+C142+D142+E142+F142</f>
        <v>14639.824534340001</v>
      </c>
      <c r="C142" s="666">
        <v>2559.7380725900007</v>
      </c>
      <c r="D142" s="666">
        <v>4833.0171733100005</v>
      </c>
      <c r="E142" s="666">
        <v>1866.6870267900001</v>
      </c>
      <c r="F142" s="666">
        <v>5380.3822616500001</v>
      </c>
    </row>
    <row r="143" spans="1:6">
      <c r="A143" s="655" t="s">
        <v>26</v>
      </c>
      <c r="B143" s="666">
        <f>+C143+D143+E143+F143</f>
        <v>14531.527112580003</v>
      </c>
      <c r="C143" s="666">
        <v>2494.8103792900001</v>
      </c>
      <c r="D143" s="666">
        <v>4921.8126193900007</v>
      </c>
      <c r="E143" s="666">
        <v>1746.9750299900002</v>
      </c>
      <c r="F143" s="666">
        <v>5367.9290839100004</v>
      </c>
    </row>
    <row r="144" spans="1:6">
      <c r="A144" s="655" t="s">
        <v>27</v>
      </c>
      <c r="B144" s="666">
        <f>+C144+D144+E144+F144</f>
        <v>14826.70306928</v>
      </c>
      <c r="C144" s="666">
        <v>2405.5211187599998</v>
      </c>
      <c r="D144" s="666">
        <v>5079.6365191200011</v>
      </c>
      <c r="E144" s="666">
        <v>1764.5073574600003</v>
      </c>
      <c r="F144" s="666">
        <v>5577.0380739399998</v>
      </c>
    </row>
    <row r="145" spans="1:6">
      <c r="A145" s="655" t="s">
        <v>28</v>
      </c>
      <c r="B145" s="666">
        <f>+C145+D145+E145+F145</f>
        <v>15312.03213983</v>
      </c>
      <c r="C145" s="666">
        <v>2484.4618338400001</v>
      </c>
      <c r="D145" s="666">
        <v>5158.5775465900006</v>
      </c>
      <c r="E145" s="666">
        <v>2048.9058517100002</v>
      </c>
      <c r="F145" s="666">
        <v>5620.0869076899999</v>
      </c>
    </row>
    <row r="146" spans="1:6">
      <c r="A146" s="655" t="s">
        <v>29</v>
      </c>
      <c r="B146" s="666">
        <f>((SUM(C146:F146)))</f>
        <v>15453.38110248</v>
      </c>
      <c r="C146" s="666">
        <v>2734.4330327000002</v>
      </c>
      <c r="D146" s="666">
        <v>5009.1211877100004</v>
      </c>
      <c r="E146" s="666">
        <v>1798.8364578400003</v>
      </c>
      <c r="F146" s="666">
        <v>5910.9904242299999</v>
      </c>
    </row>
    <row r="147" spans="1:6">
      <c r="A147" s="655" t="s">
        <v>1816</v>
      </c>
      <c r="B147" s="666"/>
      <c r="C147" s="666"/>
      <c r="D147" s="666"/>
      <c r="E147" s="666"/>
      <c r="F147" s="666"/>
    </row>
    <row r="148" spans="1:6">
      <c r="A148" s="655" t="s">
        <v>18</v>
      </c>
      <c r="B148" s="666">
        <v>15134.7</v>
      </c>
      <c r="C148" s="666">
        <v>2456.8980000000001</v>
      </c>
      <c r="D148" s="666">
        <v>4873.0590000000002</v>
      </c>
      <c r="E148" s="666">
        <v>1821.635</v>
      </c>
      <c r="F148" s="666">
        <v>5983.3739999999998</v>
      </c>
    </row>
    <row r="149" spans="1:6">
      <c r="A149" s="655" t="s">
        <v>19</v>
      </c>
      <c r="B149" s="666">
        <v>18481.7</v>
      </c>
      <c r="C149" s="666">
        <v>2258.1999999999998</v>
      </c>
      <c r="D149" s="666">
        <v>3861.56</v>
      </c>
      <c r="E149" s="666">
        <v>2737.56</v>
      </c>
      <c r="F149" s="666">
        <v>9624.2999999999993</v>
      </c>
    </row>
    <row r="150" spans="1:6">
      <c r="A150" s="655" t="s">
        <v>20</v>
      </c>
      <c r="B150" s="666">
        <v>18519.064999999999</v>
      </c>
      <c r="C150" s="666">
        <v>2007.3806999999999</v>
      </c>
      <c r="D150" s="666">
        <v>3539.4449</v>
      </c>
      <c r="E150" s="666">
        <v>3119.556</v>
      </c>
      <c r="F150" s="666">
        <v>9852.6833000000006</v>
      </c>
    </row>
    <row r="151" spans="1:6">
      <c r="A151" s="655" t="s">
        <v>21</v>
      </c>
      <c r="B151" s="666">
        <v>18831.061000000002</v>
      </c>
      <c r="C151" s="666">
        <v>1958.6215999999999</v>
      </c>
      <c r="D151" s="666">
        <v>3048.4825999999998</v>
      </c>
      <c r="E151" s="666">
        <v>3110.4836</v>
      </c>
      <c r="F151" s="666">
        <v>10713.473</v>
      </c>
    </row>
    <row r="152" spans="1:6">
      <c r="A152" s="655" t="s">
        <v>22</v>
      </c>
      <c r="B152" s="666">
        <v>18575.261172389997</v>
      </c>
      <c r="C152" s="666">
        <v>1962.2892033100002</v>
      </c>
      <c r="D152" s="666">
        <v>2994.7087381200004</v>
      </c>
      <c r="E152" s="666">
        <v>3186.1951721400005</v>
      </c>
      <c r="F152" s="666">
        <v>10432.068058819998</v>
      </c>
    </row>
    <row r="153" spans="1:6">
      <c r="A153" s="655" t="s">
        <v>23</v>
      </c>
      <c r="B153" s="666">
        <v>18231.558145329996</v>
      </c>
      <c r="C153" s="666">
        <v>2031.5867034399998</v>
      </c>
      <c r="D153" s="666">
        <v>3002.4937548099997</v>
      </c>
      <c r="E153" s="666">
        <v>3270.03680136</v>
      </c>
      <c r="F153" s="666">
        <v>9927.4408857199996</v>
      </c>
    </row>
    <row r="154" spans="1:6">
      <c r="A154" s="655" t="s">
        <v>24</v>
      </c>
      <c r="B154" s="666">
        <v>18213.551732410004</v>
      </c>
      <c r="C154" s="666">
        <v>1925.4335839199998</v>
      </c>
      <c r="D154" s="666">
        <v>2954.2560142099996</v>
      </c>
      <c r="E154" s="666">
        <v>3465.7482002299994</v>
      </c>
      <c r="F154" s="666">
        <v>9868.1139340500013</v>
      </c>
    </row>
    <row r="155" spans="1:6">
      <c r="A155" s="655" t="s">
        <v>25</v>
      </c>
      <c r="B155" s="666">
        <v>17658.05866011</v>
      </c>
      <c r="C155" s="666">
        <v>1665.60331045</v>
      </c>
      <c r="D155" s="666">
        <v>2768.8264631299994</v>
      </c>
      <c r="E155" s="666">
        <v>3447.9821340099998</v>
      </c>
      <c r="F155" s="666">
        <v>9775.6467525199987</v>
      </c>
    </row>
    <row r="156" spans="1:6">
      <c r="A156" s="655" t="s">
        <v>26</v>
      </c>
      <c r="B156" s="666">
        <v>17477.467494050001</v>
      </c>
      <c r="C156" s="666">
        <v>1809.48388314</v>
      </c>
      <c r="D156" s="666">
        <v>2488.43387742</v>
      </c>
      <c r="E156" s="666">
        <v>3712.6302937399996</v>
      </c>
      <c r="F156" s="666">
        <v>9466.9194397499996</v>
      </c>
    </row>
    <row r="157" spans="1:6">
      <c r="A157" s="655" t="s">
        <v>27</v>
      </c>
      <c r="B157" s="666">
        <v>17150.462399190001</v>
      </c>
      <c r="C157" s="666">
        <v>1860.8750221399998</v>
      </c>
      <c r="D157" s="666">
        <v>2453.8311411600002</v>
      </c>
      <c r="E157" s="666">
        <v>3341.6979667499995</v>
      </c>
      <c r="F157" s="666">
        <v>9494.0582691400014</v>
      </c>
    </row>
    <row r="158" spans="1:6">
      <c r="A158" s="655" t="s">
        <v>28</v>
      </c>
      <c r="B158" s="666">
        <v>17598.888115910002</v>
      </c>
      <c r="C158" s="666">
        <v>1873.0442077700002</v>
      </c>
      <c r="D158" s="666">
        <v>2368.8785804599997</v>
      </c>
      <c r="E158" s="666">
        <v>3773.071389929999</v>
      </c>
      <c r="F158" s="666">
        <v>9583.893937750001</v>
      </c>
    </row>
    <row r="159" spans="1:6">
      <c r="A159" s="655" t="s">
        <v>29</v>
      </c>
      <c r="B159" s="666">
        <v>23463.071031960004</v>
      </c>
      <c r="C159" s="666">
        <v>2232.8505410799999</v>
      </c>
      <c r="D159" s="666">
        <v>2003.6278571799999</v>
      </c>
      <c r="E159" s="666">
        <v>5741.0318264299985</v>
      </c>
      <c r="F159" s="666">
        <v>13485.56080727</v>
      </c>
    </row>
    <row r="160" spans="1:6">
      <c r="A160" s="655" t="s">
        <v>1839</v>
      </c>
      <c r="B160" s="666"/>
      <c r="C160" s="666"/>
      <c r="D160" s="666"/>
      <c r="E160" s="666"/>
      <c r="F160" s="666"/>
    </row>
    <row r="161" spans="1:6">
      <c r="A161" s="655" t="s">
        <v>18</v>
      </c>
      <c r="B161" s="666">
        <f>SUM(C161:F161)</f>
        <v>22576.48662118</v>
      </c>
      <c r="C161" s="666">
        <v>1853.3454001199998</v>
      </c>
      <c r="D161" s="666">
        <v>2161.9737882000004</v>
      </c>
      <c r="E161" s="666">
        <v>4992.97292122</v>
      </c>
      <c r="F161" s="666">
        <v>13568.19451164</v>
      </c>
    </row>
    <row r="162" spans="1:6">
      <c r="A162" s="655" t="s">
        <v>19</v>
      </c>
      <c r="B162" s="666">
        <v>21285.444183419997</v>
      </c>
      <c r="C162" s="666">
        <v>1908.8357964900001</v>
      </c>
      <c r="D162" s="666">
        <v>2269.8179373100002</v>
      </c>
      <c r="E162" s="666">
        <v>4685.5453933099989</v>
      </c>
      <c r="F162" s="666">
        <v>12421.245056310001</v>
      </c>
    </row>
    <row r="163" spans="1:6">
      <c r="A163" s="655" t="s">
        <v>20</v>
      </c>
      <c r="B163" s="666">
        <f>SUM(C163:F163)</f>
        <v>23121.637737279998</v>
      </c>
      <c r="C163" s="666">
        <v>2085.1199009900001</v>
      </c>
      <c r="D163" s="666">
        <v>2316.0674577300001</v>
      </c>
      <c r="E163" s="666">
        <v>5574.7707475100015</v>
      </c>
      <c r="F163" s="666">
        <v>13145.679631049998</v>
      </c>
    </row>
    <row r="164" spans="1:6">
      <c r="A164" s="655" t="s">
        <v>21</v>
      </c>
      <c r="B164" s="666">
        <f>SUM(C164:F164)</f>
        <v>22558.052858590003</v>
      </c>
      <c r="C164" s="666">
        <v>2189.0367812699997</v>
      </c>
      <c r="D164" s="666">
        <v>2145.5030331500002</v>
      </c>
      <c r="E164" s="666">
        <v>5509.7436701099996</v>
      </c>
      <c r="F164" s="666">
        <v>12713.769374060003</v>
      </c>
    </row>
    <row r="165" spans="1:6">
      <c r="A165" s="655" t="s">
        <v>22</v>
      </c>
      <c r="B165" s="666">
        <v>23148.058778530001</v>
      </c>
      <c r="C165" s="666">
        <v>2241.8029478600001</v>
      </c>
      <c r="D165" s="666">
        <v>2209.0219218100001</v>
      </c>
      <c r="E165" s="666">
        <v>5512.9035386100004</v>
      </c>
      <c r="F165" s="666">
        <v>13184.330370250002</v>
      </c>
    </row>
    <row r="166" spans="1:6">
      <c r="A166" s="655" t="s">
        <v>23</v>
      </c>
      <c r="B166" s="666">
        <v>23366.762993790002</v>
      </c>
      <c r="C166" s="666">
        <v>2483.2613546700004</v>
      </c>
      <c r="D166" s="666">
        <v>2140.2755996999999</v>
      </c>
      <c r="E166" s="666">
        <v>5407.7938621799985</v>
      </c>
      <c r="F166" s="666">
        <v>13335.432177240002</v>
      </c>
    </row>
    <row r="167" spans="1:6">
      <c r="A167" s="655" t="s">
        <v>24</v>
      </c>
      <c r="B167" s="666">
        <v>23248.853358559994</v>
      </c>
      <c r="C167" s="666">
        <v>2611.9507099799994</v>
      </c>
      <c r="D167" s="666">
        <v>2033.8458404899998</v>
      </c>
      <c r="E167" s="666">
        <v>5207.4258108500007</v>
      </c>
      <c r="F167" s="666">
        <v>13395.630997240001</v>
      </c>
    </row>
    <row r="168" spans="1:6">
      <c r="A168" s="655" t="s">
        <v>25</v>
      </c>
      <c r="B168" s="666">
        <v>23673.772316860002</v>
      </c>
      <c r="C168" s="666">
        <v>2444.9954455100005</v>
      </c>
      <c r="D168" s="666">
        <v>2041.6356350400001</v>
      </c>
      <c r="E168" s="666">
        <v>5342.1674927700005</v>
      </c>
      <c r="F168" s="666">
        <v>13844.973743539998</v>
      </c>
    </row>
    <row r="169" spans="1:6">
      <c r="A169" s="655" t="s">
        <v>26</v>
      </c>
      <c r="B169" s="666">
        <v>22841.823131839999</v>
      </c>
      <c r="C169" s="666">
        <v>2917.3762342999994</v>
      </c>
      <c r="D169" s="666">
        <v>1961.7910752399998</v>
      </c>
      <c r="E169" s="666">
        <v>4813.8249537500014</v>
      </c>
      <c r="F169" s="666">
        <v>13148.83086855</v>
      </c>
    </row>
    <row r="170" spans="1:6">
      <c r="A170" s="655" t="s">
        <v>27</v>
      </c>
      <c r="B170" s="666">
        <v>22227.398065330002</v>
      </c>
      <c r="C170" s="666">
        <v>2584.1626454100001</v>
      </c>
      <c r="D170" s="666">
        <v>2861.0453270000003</v>
      </c>
      <c r="E170" s="666">
        <v>5098.608234100001</v>
      </c>
      <c r="F170" s="666">
        <v>11683.581858819998</v>
      </c>
    </row>
    <row r="171" spans="1:6">
      <c r="A171" s="655" t="s">
        <v>28</v>
      </c>
      <c r="B171" s="666">
        <v>22651.162103860002</v>
      </c>
      <c r="C171" s="666">
        <v>2675.1121076500008</v>
      </c>
      <c r="D171" s="666">
        <v>2855.6370477199998</v>
      </c>
      <c r="E171" s="666">
        <v>5054.8858165000011</v>
      </c>
      <c r="F171" s="666">
        <v>12065.52713199</v>
      </c>
    </row>
    <row r="172" spans="1:6">
      <c r="A172" s="655" t="s">
        <v>29</v>
      </c>
      <c r="B172" s="666">
        <v>22090.979492840001</v>
      </c>
      <c r="C172" s="666">
        <v>2635.0619040299998</v>
      </c>
      <c r="D172" s="666">
        <v>2823.8566354</v>
      </c>
      <c r="E172" s="666">
        <v>4803.3370656099996</v>
      </c>
      <c r="F172" s="666">
        <v>11828.723887799997</v>
      </c>
    </row>
    <row r="173" spans="1:6">
      <c r="A173" s="655" t="s">
        <v>1902</v>
      </c>
      <c r="B173" s="666"/>
      <c r="C173" s="666"/>
      <c r="D173" s="666"/>
      <c r="E173" s="666"/>
      <c r="F173" s="666"/>
    </row>
    <row r="174" spans="1:6">
      <c r="A174" s="655" t="s">
        <v>18</v>
      </c>
      <c r="B174" s="666">
        <v>23215.011935040002</v>
      </c>
      <c r="C174" s="666">
        <v>2328.1051396399998</v>
      </c>
      <c r="D174" s="666">
        <v>2835.3295830200004</v>
      </c>
      <c r="E174" s="666">
        <v>5568.0417110399994</v>
      </c>
      <c r="F174" s="666">
        <v>12483.53550134</v>
      </c>
    </row>
    <row r="175" spans="1:6">
      <c r="A175" s="655" t="s">
        <v>19</v>
      </c>
      <c r="B175" s="666">
        <v>21761.454722259998</v>
      </c>
      <c r="C175" s="666">
        <v>2284.5666912400002</v>
      </c>
      <c r="D175" s="666">
        <v>2800.4057269200002</v>
      </c>
      <c r="E175" s="666">
        <v>5444.0936375499996</v>
      </c>
      <c r="F175" s="666">
        <v>11232.388666550001</v>
      </c>
    </row>
    <row r="176" spans="1:6">
      <c r="A176" s="655" t="s">
        <v>20</v>
      </c>
      <c r="B176" s="666">
        <v>21295.930216459998</v>
      </c>
      <c r="C176" s="666">
        <v>2310.3592650400001</v>
      </c>
      <c r="D176" s="666">
        <v>2844.9253069800002</v>
      </c>
      <c r="E176" s="666">
        <v>4635.5256792099999</v>
      </c>
      <c r="F176" s="666">
        <v>11505.11996523</v>
      </c>
    </row>
    <row r="177" spans="1:6">
      <c r="A177" s="655" t="s">
        <v>21</v>
      </c>
      <c r="B177" s="666">
        <v>22148.608690479999</v>
      </c>
      <c r="C177" s="666">
        <v>2634.0845786899999</v>
      </c>
      <c r="D177" s="666">
        <v>2936.9130698399999</v>
      </c>
      <c r="E177" s="666">
        <v>5321.5701571200007</v>
      </c>
      <c r="F177" s="666">
        <v>11256.040884829999</v>
      </c>
    </row>
    <row r="178" spans="1:6">
      <c r="A178" s="655" t="s">
        <v>22</v>
      </c>
      <c r="B178" s="666">
        <v>21594.662352359999</v>
      </c>
      <c r="C178" s="666">
        <v>2419.6422130000005</v>
      </c>
      <c r="D178" s="666">
        <v>2934.4505903399995</v>
      </c>
      <c r="E178" s="666">
        <v>5882.56602587</v>
      </c>
      <c r="F178" s="666">
        <v>10358.003523150001</v>
      </c>
    </row>
    <row r="179" spans="1:6">
      <c r="A179" s="655" t="s">
        <v>23</v>
      </c>
      <c r="B179" s="666">
        <v>21595.415994440005</v>
      </c>
      <c r="C179" s="666">
        <v>2535.8806159299997</v>
      </c>
      <c r="D179" s="666">
        <v>2480.14295008</v>
      </c>
      <c r="E179" s="666">
        <v>5803.0205363399991</v>
      </c>
      <c r="F179" s="666">
        <v>10776.371892090001</v>
      </c>
    </row>
    <row r="180" spans="1:6">
      <c r="A180" s="655" t="s">
        <v>24</v>
      </c>
      <c r="B180" s="666">
        <v>21352.458820650005</v>
      </c>
      <c r="C180" s="666">
        <v>2400.8319576399999</v>
      </c>
      <c r="D180" s="666">
        <v>2364.2462012999999</v>
      </c>
      <c r="E180" s="666">
        <v>5701.5955204699994</v>
      </c>
      <c r="F180" s="666">
        <v>10885.785141240001</v>
      </c>
    </row>
    <row r="181" spans="1:6">
      <c r="A181" s="655" t="s">
        <v>25</v>
      </c>
      <c r="B181" s="666">
        <v>21008.018939289999</v>
      </c>
      <c r="C181" s="666">
        <v>2488.1889347500005</v>
      </c>
      <c r="D181" s="666">
        <v>2218.2725633900004</v>
      </c>
      <c r="E181" s="666">
        <v>5863.6191985899986</v>
      </c>
      <c r="F181" s="666">
        <v>10437.93824256</v>
      </c>
    </row>
    <row r="182" spans="1:6">
      <c r="A182" s="655" t="s">
        <v>26</v>
      </c>
      <c r="B182" s="666">
        <v>19484.23664598</v>
      </c>
      <c r="C182" s="666">
        <v>2788.5992997500002</v>
      </c>
      <c r="D182" s="666">
        <v>2153.15116773</v>
      </c>
      <c r="E182" s="666">
        <v>6061.8876551599997</v>
      </c>
      <c r="F182" s="666">
        <v>8480.5985233400024</v>
      </c>
    </row>
    <row r="183" spans="1:6">
      <c r="A183" s="655" t="s">
        <v>27</v>
      </c>
      <c r="B183" s="666">
        <v>19696.726037440003</v>
      </c>
      <c r="C183" s="666">
        <v>2729.1843656100009</v>
      </c>
      <c r="D183" s="666">
        <v>2304.3468228599995</v>
      </c>
      <c r="E183" s="666">
        <v>6328.4068436099988</v>
      </c>
      <c r="F183" s="666">
        <v>8334.7880053599984</v>
      </c>
    </row>
    <row r="184" spans="1:6">
      <c r="A184" s="655" t="s">
        <v>28</v>
      </c>
      <c r="B184" s="666">
        <v>19635.302359779998</v>
      </c>
      <c r="C184" s="666">
        <v>3066.7701548899995</v>
      </c>
      <c r="D184" s="666">
        <v>2414.9094410199996</v>
      </c>
      <c r="E184" s="666">
        <v>6118.7927604699998</v>
      </c>
      <c r="F184" s="666">
        <v>8034.8300033999994</v>
      </c>
    </row>
    <row r="185" spans="1:6">
      <c r="A185" s="655" t="s">
        <v>29</v>
      </c>
      <c r="B185" s="666">
        <v>20599.091444879999</v>
      </c>
      <c r="C185" s="666">
        <v>3287.7629679300003</v>
      </c>
      <c r="D185" s="666">
        <v>2397.77985003</v>
      </c>
      <c r="E185" s="666">
        <v>7015.3267190799997</v>
      </c>
      <c r="F185" s="666">
        <v>7898.2219078400012</v>
      </c>
    </row>
    <row r="186" spans="1:6">
      <c r="A186" s="655" t="s">
        <v>2038</v>
      </c>
      <c r="B186" s="666"/>
      <c r="C186" s="666"/>
      <c r="D186" s="666"/>
      <c r="E186" s="666"/>
      <c r="F186" s="666"/>
    </row>
    <row r="187" spans="1:6">
      <c r="A187" s="655" t="s">
        <v>18</v>
      </c>
      <c r="B187" s="666">
        <v>20861.52014651</v>
      </c>
      <c r="C187" s="666">
        <v>2934.0626198599998</v>
      </c>
      <c r="D187" s="666">
        <v>2559.2090775400002</v>
      </c>
      <c r="E187" s="666">
        <v>7533.1345280400001</v>
      </c>
      <c r="F187" s="666">
        <v>7835.1139210699994</v>
      </c>
    </row>
    <row r="188" spans="1:6">
      <c r="A188" s="655" t="s">
        <v>19</v>
      </c>
      <c r="B188" s="666">
        <v>20686.631633080004</v>
      </c>
      <c r="C188" s="666">
        <v>3192.9399457</v>
      </c>
      <c r="D188" s="666">
        <v>2637.07682329</v>
      </c>
      <c r="E188" s="666">
        <v>7247.351034190001</v>
      </c>
      <c r="F188" s="666">
        <v>7609.2638299</v>
      </c>
    </row>
    <row r="189" spans="1:6">
      <c r="A189" s="655" t="s">
        <v>20</v>
      </c>
      <c r="B189" s="666">
        <v>20328.670449750007</v>
      </c>
      <c r="C189" s="666">
        <v>3400.5884178000001</v>
      </c>
      <c r="D189" s="666">
        <v>2660.4334843400002</v>
      </c>
      <c r="E189" s="666">
        <v>6839.631196379999</v>
      </c>
      <c r="F189" s="666">
        <v>7428.0173512299998</v>
      </c>
    </row>
    <row r="190" spans="1:6">
      <c r="A190" s="655" t="s">
        <v>21</v>
      </c>
      <c r="B190" s="666">
        <v>20201.674806179999</v>
      </c>
      <c r="C190" s="666">
        <v>3410.4231490400007</v>
      </c>
      <c r="D190" s="666">
        <v>2578.7979625100002</v>
      </c>
      <c r="E190" s="666">
        <v>6966.4500842499992</v>
      </c>
      <c r="F190" s="666">
        <v>7246.0036103800003</v>
      </c>
    </row>
    <row r="191" spans="1:6">
      <c r="A191" s="655" t="s">
        <v>22</v>
      </c>
      <c r="B191" s="666">
        <v>20130.535433860001</v>
      </c>
      <c r="C191" s="666">
        <v>3350.9424235000001</v>
      </c>
      <c r="D191" s="666">
        <v>2670.1789457300006</v>
      </c>
      <c r="E191" s="666">
        <v>6554.68204668</v>
      </c>
      <c r="F191" s="666">
        <v>7554.7320179500002</v>
      </c>
    </row>
    <row r="192" spans="1:6">
      <c r="A192" s="655" t="s">
        <v>23</v>
      </c>
      <c r="B192" s="666">
        <v>20439.065491319994</v>
      </c>
      <c r="C192" s="666">
        <v>3618.5516031800003</v>
      </c>
      <c r="D192" s="666">
        <v>2685.2816408199997</v>
      </c>
      <c r="E192" s="666">
        <v>6447.9988035900005</v>
      </c>
      <c r="F192" s="666">
        <v>7687.2334437300005</v>
      </c>
    </row>
    <row r="193" spans="1:6">
      <c r="A193" s="655" t="s">
        <v>24</v>
      </c>
      <c r="B193" s="666">
        <v>20491.224001660004</v>
      </c>
      <c r="C193" s="666">
        <v>3759.6340715100018</v>
      </c>
      <c r="D193" s="666">
        <v>2670.5549279399997</v>
      </c>
      <c r="E193" s="666">
        <v>6481.1171373500001</v>
      </c>
      <c r="F193" s="666">
        <v>7579.91786486</v>
      </c>
    </row>
    <row r="194" spans="1:6">
      <c r="A194" s="655" t="s">
        <v>25</v>
      </c>
      <c r="B194" s="666">
        <v>20590.612705210002</v>
      </c>
      <c r="C194" s="666">
        <v>3808.4968804700006</v>
      </c>
      <c r="D194" s="666">
        <v>2635.4921038399998</v>
      </c>
      <c r="E194" s="666">
        <v>6421.0740195500002</v>
      </c>
      <c r="F194" s="666">
        <v>7725.5497013500008</v>
      </c>
    </row>
    <row r="195" spans="1:6">
      <c r="A195" s="655" t="s">
        <v>26</v>
      </c>
      <c r="B195" s="666">
        <v>21583.579528689999</v>
      </c>
      <c r="C195" s="666">
        <v>4430.4914019500002</v>
      </c>
      <c r="D195" s="666">
        <v>2609.3612473100006</v>
      </c>
      <c r="E195" s="666">
        <v>6863.6791408299987</v>
      </c>
      <c r="F195" s="666">
        <v>7680.0477386000002</v>
      </c>
    </row>
    <row r="196" spans="1:6">
      <c r="A196" s="655" t="s">
        <v>27</v>
      </c>
      <c r="B196" s="666">
        <v>22003.129238079997</v>
      </c>
      <c r="C196" s="666">
        <v>4730.6154748699992</v>
      </c>
      <c r="D196" s="666">
        <v>2622.9615185299995</v>
      </c>
      <c r="E196" s="666">
        <v>6997.3560206100019</v>
      </c>
      <c r="F196" s="666">
        <v>7652.1962240700004</v>
      </c>
    </row>
    <row r="197" spans="1:6">
      <c r="A197" s="655" t="s">
        <v>28</v>
      </c>
      <c r="B197" s="666">
        <v>21990.067519420001</v>
      </c>
      <c r="C197" s="666">
        <v>4672.4788885300004</v>
      </c>
      <c r="D197" s="666">
        <v>2721.7613074100004</v>
      </c>
      <c r="E197" s="666">
        <v>7203.9444411700006</v>
      </c>
      <c r="F197" s="666">
        <v>7391.8828823099993</v>
      </c>
    </row>
    <row r="198" spans="1:6">
      <c r="A198" s="655" t="s">
        <v>29</v>
      </c>
      <c r="B198" s="666">
        <v>21870.407654459999</v>
      </c>
      <c r="C198" s="666">
        <v>4935.5302333300015</v>
      </c>
      <c r="D198" s="666">
        <v>2646.2035817599999</v>
      </c>
      <c r="E198" s="666">
        <v>7078.2560496799979</v>
      </c>
      <c r="F198" s="666">
        <v>7210.4177896900001</v>
      </c>
    </row>
    <row r="199" spans="1:6">
      <c r="A199" s="655" t="s">
        <v>2131</v>
      </c>
      <c r="B199" s="666"/>
      <c r="C199" s="666"/>
      <c r="D199" s="666"/>
      <c r="E199" s="666"/>
      <c r="F199" s="666"/>
    </row>
    <row r="200" spans="1:6">
      <c r="A200" s="655" t="s">
        <v>18</v>
      </c>
      <c r="B200" s="666">
        <v>21978.147033900004</v>
      </c>
      <c r="C200" s="666">
        <v>4652.6916374299999</v>
      </c>
      <c r="D200" s="666">
        <v>2715.9246637399997</v>
      </c>
      <c r="E200" s="666">
        <v>7149.5559757500005</v>
      </c>
      <c r="F200" s="666">
        <v>7459.9747569800011</v>
      </c>
    </row>
    <row r="201" spans="1:6">
      <c r="A201" s="655" t="s">
        <v>19</v>
      </c>
      <c r="B201" s="666">
        <v>22401.551348590001</v>
      </c>
      <c r="C201" s="666">
        <v>5053.8462956499989</v>
      </c>
      <c r="D201" s="666">
        <v>2776.7154690699999</v>
      </c>
      <c r="E201" s="666">
        <v>7424.6770285500015</v>
      </c>
      <c r="F201" s="666">
        <v>7146.3125553199998</v>
      </c>
    </row>
    <row r="202" spans="1:6">
      <c r="A202" s="655" t="s">
        <v>20</v>
      </c>
      <c r="B202" s="666">
        <v>22124.25300665</v>
      </c>
      <c r="C202" s="666">
        <v>4595.5046526600008</v>
      </c>
      <c r="D202" s="666">
        <v>2909.6129643899994</v>
      </c>
      <c r="E202" s="666">
        <v>7494.2101718700023</v>
      </c>
      <c r="F202" s="666">
        <v>7124.9252177300004</v>
      </c>
    </row>
    <row r="203" spans="1:6">
      <c r="A203" s="655" t="s">
        <v>21</v>
      </c>
      <c r="B203" s="666">
        <v>22132.041015399995</v>
      </c>
      <c r="C203" s="666">
        <v>4939.8168877599992</v>
      </c>
      <c r="D203" s="666">
        <v>2978.1975804499998</v>
      </c>
      <c r="E203" s="666">
        <v>7180.0655661300007</v>
      </c>
      <c r="F203" s="666">
        <v>7033.9609810599995</v>
      </c>
    </row>
    <row r="204" spans="1:6">
      <c r="A204" s="655" t="s">
        <v>22</v>
      </c>
      <c r="B204" s="666">
        <v>21982.192593719999</v>
      </c>
      <c r="C204" s="666">
        <v>5150.3168395399998</v>
      </c>
      <c r="D204" s="666">
        <v>2926.7558796200001</v>
      </c>
      <c r="E204" s="666">
        <v>6784.5596362199994</v>
      </c>
      <c r="F204" s="666">
        <v>7120.560238340001</v>
      </c>
    </row>
    <row r="205" spans="1:6">
      <c r="A205" s="655" t="s">
        <v>23</v>
      </c>
      <c r="B205" s="666">
        <v>22128.01744766</v>
      </c>
      <c r="C205" s="666">
        <v>5260.9751213600011</v>
      </c>
      <c r="D205" s="666">
        <v>2954.6438159699997</v>
      </c>
      <c r="E205" s="666">
        <v>6452.3185159600007</v>
      </c>
      <c r="F205" s="666">
        <v>7460.0799943700003</v>
      </c>
    </row>
    <row r="206" spans="1:6">
      <c r="A206" s="655" t="s">
        <v>24</v>
      </c>
      <c r="B206" s="666">
        <v>22383.870138889997</v>
      </c>
      <c r="C206" s="666">
        <v>5398.4166738999993</v>
      </c>
      <c r="D206" s="666">
        <v>3034.4629968199997</v>
      </c>
      <c r="E206" s="666">
        <v>6233.0680299399992</v>
      </c>
      <c r="F206" s="666">
        <v>7717.9224382300008</v>
      </c>
    </row>
    <row r="207" spans="1:6">
      <c r="A207" s="655" t="s">
        <v>25</v>
      </c>
      <c r="B207" s="666">
        <v>22447.264083229999</v>
      </c>
      <c r="C207" s="666">
        <v>5218.4993413699995</v>
      </c>
      <c r="D207" s="666">
        <v>3097.6102590099999</v>
      </c>
      <c r="E207" s="666">
        <v>6325.2953096399997</v>
      </c>
      <c r="F207" s="666">
        <v>7805.8591732100003</v>
      </c>
    </row>
    <row r="208" spans="1:6">
      <c r="A208" s="655" t="s">
        <v>26</v>
      </c>
      <c r="B208" s="666">
        <v>23437.240016809999</v>
      </c>
      <c r="C208" s="666">
        <v>5454.6363528300008</v>
      </c>
      <c r="D208" s="666">
        <v>3087.8496495799996</v>
      </c>
      <c r="E208" s="666">
        <v>6926.9175314399981</v>
      </c>
      <c r="F208" s="666">
        <v>7967.8364829600005</v>
      </c>
    </row>
    <row r="209" spans="1:7">
      <c r="A209" s="655" t="s">
        <v>27</v>
      </c>
      <c r="B209" s="666">
        <v>23413.52268233</v>
      </c>
      <c r="C209" s="666">
        <v>5437.4942720600002</v>
      </c>
      <c r="D209" s="666">
        <v>3138.4786122700002</v>
      </c>
      <c r="E209" s="666">
        <v>6993.0662865000004</v>
      </c>
      <c r="F209" s="666">
        <v>7844.4835114999996</v>
      </c>
    </row>
    <row r="210" spans="1:7">
      <c r="A210" s="655" t="s">
        <v>28</v>
      </c>
      <c r="B210" s="666">
        <v>23579.109019219999</v>
      </c>
      <c r="C210" s="666">
        <v>5636.0536228800011</v>
      </c>
      <c r="D210" s="666">
        <v>3130.9119135800001</v>
      </c>
      <c r="E210" s="666">
        <v>6830.3460193500005</v>
      </c>
      <c r="F210" s="666">
        <v>7981.7974634099992</v>
      </c>
    </row>
    <row r="211" spans="1:7">
      <c r="A211" s="655" t="s">
        <v>29</v>
      </c>
      <c r="B211" s="666">
        <v>24746.031022520001</v>
      </c>
      <c r="C211" s="666">
        <v>6440.13727887</v>
      </c>
      <c r="D211" s="666">
        <v>3217.46126817</v>
      </c>
      <c r="E211" s="666">
        <v>7083.432711110001</v>
      </c>
      <c r="F211" s="666">
        <v>8004.9997643699999</v>
      </c>
    </row>
    <row r="212" spans="1:7">
      <c r="A212" s="655" t="s">
        <v>2362</v>
      </c>
      <c r="B212" s="666"/>
      <c r="C212" s="666"/>
      <c r="D212" s="666"/>
      <c r="E212" s="666"/>
      <c r="F212" s="666"/>
    </row>
    <row r="213" spans="1:7">
      <c r="A213" s="655" t="s">
        <v>18</v>
      </c>
      <c r="B213" s="666">
        <v>24837.149398470006</v>
      </c>
      <c r="C213" s="666">
        <v>6388.6475717300018</v>
      </c>
      <c r="D213" s="666">
        <v>3245.1845368700001</v>
      </c>
      <c r="E213" s="666">
        <v>7612.6334317399997</v>
      </c>
      <c r="F213" s="666">
        <v>7590.6838581300008</v>
      </c>
      <c r="G213" s="376"/>
    </row>
    <row r="214" spans="1:7">
      <c r="A214" s="655" t="s">
        <v>19</v>
      </c>
      <c r="B214" s="666">
        <v>24934.571062599996</v>
      </c>
      <c r="C214" s="666">
        <v>6514.9304328099997</v>
      </c>
      <c r="D214" s="666">
        <v>3297.3366530399999</v>
      </c>
      <c r="E214" s="666">
        <v>7272.85321036</v>
      </c>
      <c r="F214" s="666">
        <v>7849.4507663900004</v>
      </c>
      <c r="G214" s="376"/>
    </row>
    <row r="215" spans="1:7">
      <c r="A215" s="655" t="s">
        <v>20</v>
      </c>
      <c r="B215" s="666">
        <v>24085.053561460001</v>
      </c>
      <c r="C215" s="666">
        <v>5927.40639001</v>
      </c>
      <c r="D215" s="666">
        <v>3130.549852019999</v>
      </c>
      <c r="E215" s="666">
        <v>7152.4814524999992</v>
      </c>
      <c r="F215" s="666">
        <v>7874.6158669299994</v>
      </c>
      <c r="G215" s="376"/>
    </row>
    <row r="216" spans="1:7">
      <c r="A216" s="655" t="s">
        <v>21</v>
      </c>
      <c r="B216" s="666">
        <v>23380.799999999999</v>
      </c>
      <c r="C216" s="666">
        <v>6032.0414755999991</v>
      </c>
      <c r="D216" s="666">
        <v>2921.0114400200005</v>
      </c>
      <c r="E216" s="666">
        <v>6783.1781275599988</v>
      </c>
      <c r="F216" s="666">
        <v>7644.5914549400004</v>
      </c>
      <c r="G216" s="376"/>
    </row>
    <row r="217" spans="1:7">
      <c r="A217" s="655" t="s">
        <v>22</v>
      </c>
      <c r="B217" s="666">
        <v>23357.3</v>
      </c>
      <c r="C217" s="666">
        <v>6381.0160862500006</v>
      </c>
      <c r="D217" s="666">
        <v>2748.2330594200002</v>
      </c>
      <c r="E217" s="666">
        <v>6762.243311700001</v>
      </c>
      <c r="F217" s="666">
        <v>7465.7781328000001</v>
      </c>
      <c r="G217" s="376"/>
    </row>
    <row r="218" spans="1:7">
      <c r="A218" s="655" t="s">
        <v>23</v>
      </c>
      <c r="B218" s="666">
        <v>22565.53825976</v>
      </c>
      <c r="C218" s="666">
        <v>6238.201094439999</v>
      </c>
      <c r="D218" s="666">
        <v>2692.0018694199998</v>
      </c>
      <c r="E218" s="666">
        <v>6144.2208415099994</v>
      </c>
      <c r="F218" s="666">
        <v>7491.1144543900009</v>
      </c>
      <c r="G218" s="376"/>
    </row>
    <row r="219" spans="1:7">
      <c r="A219" s="655" t="s">
        <v>24</v>
      </c>
      <c r="B219" s="666">
        <v>22532.111036330003</v>
      </c>
      <c r="C219" s="666">
        <v>6387.6160267499999</v>
      </c>
      <c r="D219" s="666">
        <v>2839.6867817500001</v>
      </c>
      <c r="E219" s="666">
        <v>5879.4819019399993</v>
      </c>
      <c r="F219" s="666">
        <v>7425.3263258900006</v>
      </c>
      <c r="G219" s="376"/>
    </row>
    <row r="220" spans="1:7">
      <c r="A220" s="655" t="s">
        <v>25</v>
      </c>
      <c r="B220" s="666">
        <v>22727.782969659995</v>
      </c>
      <c r="C220" s="666">
        <v>6360.1705208499989</v>
      </c>
      <c r="D220" s="666">
        <v>2891.5600814400004</v>
      </c>
      <c r="E220" s="666">
        <v>6247.9991408599981</v>
      </c>
      <c r="F220" s="666">
        <v>7228.0532265100001</v>
      </c>
      <c r="G220" s="376"/>
    </row>
    <row r="221" spans="1:7">
      <c r="A221" s="655" t="s">
        <v>26</v>
      </c>
      <c r="B221" s="666">
        <v>22495.099938109997</v>
      </c>
      <c r="C221" s="666">
        <v>6557.1118580199982</v>
      </c>
      <c r="D221" s="666">
        <v>2987.8183903900003</v>
      </c>
      <c r="E221" s="666">
        <v>6198.7986991999996</v>
      </c>
      <c r="F221" s="666">
        <v>6751.3709904999996</v>
      </c>
      <c r="G221" s="128"/>
    </row>
    <row r="222" spans="1:7" ht="18" customHeight="1">
      <c r="A222" s="655" t="s">
        <v>27</v>
      </c>
      <c r="B222" s="666">
        <v>22442.057939730003</v>
      </c>
      <c r="C222" s="666">
        <v>6669.0210646700016</v>
      </c>
      <c r="D222" s="666">
        <v>2898.5829093699999</v>
      </c>
      <c r="E222" s="666">
        <v>6122.047325890001</v>
      </c>
      <c r="F222" s="666">
        <v>6752.4066398000014</v>
      </c>
      <c r="G222" s="128"/>
    </row>
    <row r="223" spans="1:7" ht="18" customHeight="1">
      <c r="A223" s="655" t="s">
        <v>28</v>
      </c>
      <c r="B223" s="666">
        <v>22305.824423959999</v>
      </c>
      <c r="C223" s="666">
        <v>6304.4358249499992</v>
      </c>
      <c r="D223" s="666">
        <v>3001.6476769999999</v>
      </c>
      <c r="E223" s="666">
        <v>6334.3726675400012</v>
      </c>
      <c r="F223" s="666">
        <v>6665.3682544699996</v>
      </c>
      <c r="G223" s="128"/>
    </row>
    <row r="224" spans="1:7" ht="18" customHeight="1">
      <c r="A224" s="655" t="s">
        <v>29</v>
      </c>
      <c r="B224" s="666">
        <v>23666.868830550004</v>
      </c>
      <c r="C224" s="666">
        <v>7416.6815472300032</v>
      </c>
      <c r="D224" s="666">
        <v>2911.2501752200001</v>
      </c>
      <c r="E224" s="666">
        <v>6696.0953630600015</v>
      </c>
      <c r="F224" s="666">
        <v>6642.8417450399993</v>
      </c>
      <c r="G224" s="128"/>
    </row>
    <row r="225" spans="1:7">
      <c r="A225" s="662">
        <v>2021</v>
      </c>
      <c r="B225" s="669"/>
      <c r="C225" s="669"/>
      <c r="D225" s="669"/>
      <c r="E225" s="669"/>
      <c r="F225" s="669"/>
      <c r="G225" s="128"/>
    </row>
    <row r="226" spans="1:7">
      <c r="A226" s="655" t="s">
        <v>18</v>
      </c>
      <c r="B226" s="666">
        <v>23189.312012770002</v>
      </c>
      <c r="C226" s="666">
        <v>7086.8859824199999</v>
      </c>
      <c r="D226" s="666">
        <v>3012.9025783799998</v>
      </c>
      <c r="E226" s="666">
        <v>6534.4847902300007</v>
      </c>
      <c r="F226" s="666">
        <v>6555.03866174</v>
      </c>
      <c r="G226" s="128"/>
    </row>
    <row r="227" spans="1:7">
      <c r="A227" s="655" t="s">
        <v>19</v>
      </c>
      <c r="B227" s="666">
        <v>23489.120903840001</v>
      </c>
      <c r="C227" s="666">
        <v>7368.6653812799987</v>
      </c>
      <c r="D227" s="666">
        <v>3052.4728898000012</v>
      </c>
      <c r="E227" s="666">
        <v>6661.9231959900007</v>
      </c>
      <c r="F227" s="666">
        <v>6406.0594367699996</v>
      </c>
      <c r="G227" s="128"/>
    </row>
    <row r="228" spans="1:7">
      <c r="A228" s="655" t="s">
        <v>20</v>
      </c>
      <c r="B228" s="666">
        <v>23825.92843634</v>
      </c>
      <c r="C228" s="666">
        <v>7612.4272529700002</v>
      </c>
      <c r="D228" s="666">
        <v>3120.0851626200006</v>
      </c>
      <c r="E228" s="666">
        <v>6726.1487422799992</v>
      </c>
      <c r="F228" s="666">
        <v>6367.2672784699989</v>
      </c>
      <c r="G228" s="128"/>
    </row>
    <row r="229" spans="1:7">
      <c r="A229" s="655" t="s">
        <v>21</v>
      </c>
      <c r="B229" s="666">
        <v>24213.241269210004</v>
      </c>
      <c r="C229" s="666">
        <v>7998.1891321100011</v>
      </c>
      <c r="D229" s="666">
        <v>3249.8780653999997</v>
      </c>
      <c r="E229" s="666">
        <v>6591.3695593200009</v>
      </c>
      <c r="F229" s="666">
        <v>6373.8045123800002</v>
      </c>
      <c r="G229" s="128"/>
    </row>
    <row r="230" spans="1:7">
      <c r="A230" s="655" t="s">
        <v>22</v>
      </c>
      <c r="B230" s="666">
        <v>24991.213881430005</v>
      </c>
      <c r="C230" s="666">
        <v>8564.1550856700014</v>
      </c>
      <c r="D230" s="666">
        <v>3332.3213799099995</v>
      </c>
      <c r="E230" s="666">
        <v>6519.1675400700015</v>
      </c>
      <c r="F230" s="666">
        <v>6575.5698757800001</v>
      </c>
      <c r="G230" s="128"/>
    </row>
    <row r="231" spans="1:7">
      <c r="A231" s="655" t="s">
        <v>23</v>
      </c>
      <c r="B231" s="666">
        <v>24156.57158589</v>
      </c>
      <c r="C231" s="666">
        <v>8268.5072542300022</v>
      </c>
      <c r="D231" s="666">
        <v>3412.0801831599993</v>
      </c>
      <c r="E231" s="666">
        <v>6993.1317033199994</v>
      </c>
      <c r="F231" s="666">
        <v>5482.8524451799994</v>
      </c>
      <c r="G231" s="128"/>
    </row>
    <row r="232" spans="1:7">
      <c r="A232" s="655" t="s">
        <v>24</v>
      </c>
      <c r="B232" s="666">
        <v>24926.871174650005</v>
      </c>
      <c r="C232" s="666">
        <v>8262.5599471200003</v>
      </c>
      <c r="D232" s="666">
        <v>3559.7494850600006</v>
      </c>
      <c r="E232" s="666">
        <v>7410.80100717</v>
      </c>
      <c r="F232" s="666">
        <v>5693.7607353000003</v>
      </c>
      <c r="G232" s="128"/>
    </row>
    <row r="233" spans="1:7">
      <c r="A233" s="655" t="s">
        <v>25</v>
      </c>
      <c r="B233" s="666">
        <v>24791.852471049999</v>
      </c>
      <c r="C233" s="666">
        <v>8554.2013326899996</v>
      </c>
      <c r="D233" s="666">
        <v>3559.7828724499996</v>
      </c>
      <c r="E233" s="666">
        <v>6975.0448789299999</v>
      </c>
      <c r="F233" s="666">
        <v>5702.8233869800006</v>
      </c>
      <c r="G233" s="128"/>
    </row>
    <row r="234" spans="1:7">
      <c r="A234" s="655" t="s">
        <v>26</v>
      </c>
      <c r="B234" s="666">
        <v>25705.473344060007</v>
      </c>
      <c r="C234" s="666">
        <v>8801.4291171500008</v>
      </c>
      <c r="D234" s="666">
        <v>3709.9038115799999</v>
      </c>
      <c r="E234" s="666">
        <v>7701.7953208099998</v>
      </c>
      <c r="F234" s="666">
        <v>5492.3450945199993</v>
      </c>
      <c r="G234" s="128"/>
    </row>
    <row r="235" spans="1:7">
      <c r="A235" s="655" t="s">
        <v>27</v>
      </c>
      <c r="B235" s="666">
        <v>26114.802925899996</v>
      </c>
      <c r="C235" s="666">
        <v>8932.0118859600007</v>
      </c>
      <c r="D235" s="666">
        <v>3751.7745521599991</v>
      </c>
      <c r="E235" s="666">
        <v>7973.12463923</v>
      </c>
      <c r="F235" s="666">
        <v>5492.3450945199993</v>
      </c>
      <c r="G235" s="128"/>
    </row>
    <row r="236" spans="1:7">
      <c r="A236" s="655" t="s">
        <v>28</v>
      </c>
      <c r="B236" s="666">
        <v>26790.859008169999</v>
      </c>
      <c r="C236" s="666">
        <v>9311.3239267000008</v>
      </c>
      <c r="D236" s="666">
        <v>3817.7017291900002</v>
      </c>
      <c r="E236" s="666">
        <v>8271.321339170001</v>
      </c>
      <c r="F236" s="666">
        <v>5390.5120131099993</v>
      </c>
      <c r="G236" s="128"/>
    </row>
    <row r="237" spans="1:7">
      <c r="A237" s="655" t="s">
        <v>29</v>
      </c>
      <c r="B237" s="666">
        <v>29027.731736139995</v>
      </c>
      <c r="C237" s="666">
        <v>10754.185565580001</v>
      </c>
      <c r="D237" s="666">
        <v>3927.5679297800002</v>
      </c>
      <c r="E237" s="666">
        <v>8974.9761439899976</v>
      </c>
      <c r="F237" s="666">
        <v>5371.0020967899991</v>
      </c>
      <c r="G237" s="128"/>
    </row>
    <row r="238" spans="1:7">
      <c r="A238" s="655" t="s">
        <v>2812</v>
      </c>
      <c r="B238" s="666"/>
      <c r="C238" s="666"/>
      <c r="D238" s="666"/>
      <c r="E238" s="666"/>
      <c r="F238" s="666"/>
      <c r="G238" s="128"/>
    </row>
    <row r="239" spans="1:7">
      <c r="A239" s="655" t="s">
        <v>18</v>
      </c>
      <c r="B239" s="666">
        <v>29016.987753109999</v>
      </c>
      <c r="C239" s="666">
        <v>10188.984636590001</v>
      </c>
      <c r="D239" s="666">
        <v>3953.2352012599995</v>
      </c>
      <c r="E239" s="666">
        <v>9544.7708880699975</v>
      </c>
      <c r="F239" s="666">
        <v>5329.9970271900002</v>
      </c>
      <c r="G239" s="128"/>
    </row>
    <row r="240" spans="1:7">
      <c r="A240" s="655" t="s">
        <v>19</v>
      </c>
      <c r="B240" s="666">
        <v>29170.818363180002</v>
      </c>
      <c r="C240" s="666">
        <v>10184.127933930002</v>
      </c>
      <c r="D240" s="666">
        <v>4077.2991257600006</v>
      </c>
      <c r="E240" s="666">
        <v>9618.0772756400002</v>
      </c>
      <c r="F240" s="666">
        <v>5291.3140278499995</v>
      </c>
      <c r="G240" s="128"/>
    </row>
    <row r="241" spans="1:7">
      <c r="A241" s="655" t="s">
        <v>20</v>
      </c>
      <c r="B241" s="666">
        <v>30508.507513960001</v>
      </c>
      <c r="C241" s="666">
        <v>10789.224058899999</v>
      </c>
      <c r="D241" s="666">
        <v>4092.4984617299997</v>
      </c>
      <c r="E241" s="666">
        <v>10315.738039150001</v>
      </c>
      <c r="F241" s="666">
        <v>5311.0469541799994</v>
      </c>
      <c r="G241" s="128"/>
    </row>
    <row r="242" spans="1:7">
      <c r="A242" s="655" t="s">
        <v>21</v>
      </c>
      <c r="B242" s="666">
        <v>30890.39912767</v>
      </c>
      <c r="C242" s="666">
        <v>10983.20718718</v>
      </c>
      <c r="D242" s="666">
        <v>4210.0675271400005</v>
      </c>
      <c r="E242" s="666">
        <v>10486.052896309999</v>
      </c>
      <c r="F242" s="666">
        <v>5211.0715170399999</v>
      </c>
      <c r="G242" s="128"/>
    </row>
    <row r="243" spans="1:7">
      <c r="A243" s="655" t="s">
        <v>22</v>
      </c>
      <c r="B243" s="666">
        <v>32025.252167420003</v>
      </c>
      <c r="C243" s="666">
        <v>11490.539153480002</v>
      </c>
      <c r="D243" s="666">
        <v>4280.26702458</v>
      </c>
      <c r="E243" s="666">
        <v>11121.497671849998</v>
      </c>
      <c r="F243" s="666">
        <v>5132.9483175099995</v>
      </c>
      <c r="G243" s="128"/>
    </row>
    <row r="244" spans="1:7">
      <c r="A244" s="655" t="s">
        <v>23</v>
      </c>
      <c r="B244" s="666">
        <v>32417.121753569998</v>
      </c>
      <c r="C244" s="666">
        <v>11717.439478480001</v>
      </c>
      <c r="D244" s="666">
        <v>4460.4237517099991</v>
      </c>
      <c r="E244" s="666">
        <v>10827.60978945</v>
      </c>
      <c r="F244" s="666">
        <v>5411.6487339300002</v>
      </c>
      <c r="G244" s="128"/>
    </row>
    <row r="245" spans="1:7">
      <c r="A245" s="655" t="s">
        <v>24</v>
      </c>
      <c r="B245" s="666">
        <v>31957.277061000001</v>
      </c>
      <c r="C245" s="666">
        <v>11166.894131419998</v>
      </c>
      <c r="D245" s="666">
        <v>4693.2771844899999</v>
      </c>
      <c r="E245" s="666">
        <v>10573.542786880002</v>
      </c>
      <c r="F245" s="666">
        <v>5523.56295821</v>
      </c>
      <c r="G245" s="128"/>
    </row>
    <row r="246" spans="1:7">
      <c r="A246" s="655" t="s">
        <v>25</v>
      </c>
      <c r="B246" s="666">
        <v>32836.106540349996</v>
      </c>
      <c r="C246" s="666">
        <v>11854.626549949999</v>
      </c>
      <c r="D246" s="666">
        <v>4781.768259649999</v>
      </c>
      <c r="E246" s="666">
        <v>10710.995649360002</v>
      </c>
      <c r="F246" s="666">
        <v>5488.7160813899991</v>
      </c>
      <c r="G246" s="128"/>
    </row>
    <row r="247" spans="1:7">
      <c r="A247" s="655" t="s">
        <v>26</v>
      </c>
      <c r="B247" s="666">
        <v>33956.950859740005</v>
      </c>
      <c r="C247" s="666">
        <v>12360.815761120002</v>
      </c>
      <c r="D247" s="666">
        <v>4929.8697826799998</v>
      </c>
      <c r="E247" s="666">
        <v>11217.482355780001</v>
      </c>
      <c r="F247" s="666">
        <v>5448.7829601599997</v>
      </c>
      <c r="G247" s="128"/>
    </row>
    <row r="248" spans="1:7">
      <c r="A248" s="655" t="s">
        <v>27</v>
      </c>
      <c r="B248" s="666">
        <v>34806.25794784</v>
      </c>
      <c r="C248" s="666">
        <v>12974.887015140001</v>
      </c>
      <c r="D248" s="666">
        <v>5065.95929067</v>
      </c>
      <c r="E248" s="666">
        <v>11350.207945260001</v>
      </c>
      <c r="F248" s="666">
        <v>5415.2036967700005</v>
      </c>
      <c r="G248" s="128"/>
    </row>
    <row r="249" spans="1:7">
      <c r="A249" s="655" t="s">
        <v>28</v>
      </c>
      <c r="B249" s="666">
        <v>35484.16493413</v>
      </c>
      <c r="C249" s="666">
        <v>12927.691660889999</v>
      </c>
      <c r="D249" s="666">
        <v>5192.2307469100015</v>
      </c>
      <c r="E249" s="666">
        <v>11903.848468619997</v>
      </c>
      <c r="F249" s="666">
        <v>5460.3940577099993</v>
      </c>
      <c r="G249" s="128"/>
    </row>
    <row r="250" spans="1:7">
      <c r="A250" s="655" t="s">
        <v>29</v>
      </c>
      <c r="B250" s="666">
        <v>36249.769001510009</v>
      </c>
      <c r="C250" s="666">
        <v>13387.156055770001</v>
      </c>
      <c r="D250" s="666">
        <v>5317.3714168299994</v>
      </c>
      <c r="E250" s="666">
        <v>12139.128670010003</v>
      </c>
      <c r="F250" s="666">
        <v>5406.1128589</v>
      </c>
      <c r="G250" s="128"/>
    </row>
    <row r="251" spans="1:7">
      <c r="A251" s="655" t="s">
        <v>3500</v>
      </c>
      <c r="B251" s="666"/>
      <c r="C251" s="666"/>
      <c r="D251" s="666"/>
      <c r="E251" s="666"/>
      <c r="F251" s="666"/>
      <c r="G251" s="128"/>
    </row>
    <row r="252" spans="1:7">
      <c r="A252" s="655" t="s">
        <v>18</v>
      </c>
      <c r="B252" s="666">
        <v>35552.863399799993</v>
      </c>
      <c r="C252" s="666">
        <v>12803.276256510002</v>
      </c>
      <c r="D252" s="666">
        <v>5422.8750239199999</v>
      </c>
      <c r="E252" s="666">
        <v>11980.294106429998</v>
      </c>
      <c r="F252" s="666">
        <v>5346.4180129400002</v>
      </c>
      <c r="G252" s="128"/>
    </row>
    <row r="253" spans="1:7">
      <c r="A253" s="655" t="s">
        <v>19</v>
      </c>
      <c r="B253" s="666">
        <v>35179.241788129999</v>
      </c>
      <c r="C253" s="666">
        <v>12410.357106719999</v>
      </c>
      <c r="D253" s="666">
        <v>5630.1243007600006</v>
      </c>
      <c r="E253" s="666">
        <v>11394.758263259997</v>
      </c>
      <c r="F253" s="666">
        <v>5744.0021173900004</v>
      </c>
      <c r="G253" s="128"/>
    </row>
    <row r="254" spans="1:7">
      <c r="A254" s="655" t="s">
        <v>20</v>
      </c>
      <c r="B254" s="666">
        <v>34554.831504200003</v>
      </c>
      <c r="C254" s="666">
        <v>12960.670644</v>
      </c>
      <c r="D254" s="666">
        <v>5703.3238905000007</v>
      </c>
      <c r="E254" s="666">
        <v>10161.503330680001</v>
      </c>
      <c r="F254" s="666">
        <v>5729.3336390199993</v>
      </c>
      <c r="G254" s="128"/>
    </row>
    <row r="255" spans="1:7">
      <c r="A255" s="655" t="s">
        <v>21</v>
      </c>
      <c r="B255" s="666">
        <v>35202.44502739</v>
      </c>
      <c r="C255" s="666">
        <v>13157.509038579999</v>
      </c>
      <c r="D255" s="666">
        <v>5758.4440284399998</v>
      </c>
      <c r="E255" s="666">
        <v>10533.322098680001</v>
      </c>
      <c r="F255" s="666">
        <v>5753.1698616900003</v>
      </c>
      <c r="G255" s="128"/>
    </row>
    <row r="256" spans="1:7">
      <c r="A256" s="655" t="s">
        <v>22</v>
      </c>
      <c r="B256" s="666">
        <v>35393.087325780005</v>
      </c>
      <c r="C256" s="666">
        <v>13216.761083059999</v>
      </c>
      <c r="D256" s="666">
        <v>5891.4343964099999</v>
      </c>
      <c r="E256" s="666">
        <v>10595.720557830002</v>
      </c>
      <c r="F256" s="666">
        <v>5689.1712884799999</v>
      </c>
      <c r="G256" s="128"/>
    </row>
    <row r="257" spans="1:7">
      <c r="A257" s="655" t="s">
        <v>23</v>
      </c>
      <c r="B257" s="666">
        <v>34512.94671289</v>
      </c>
      <c r="C257" s="666">
        <v>13490.553856530001</v>
      </c>
      <c r="D257" s="666">
        <v>5927.9391587999999</v>
      </c>
      <c r="E257" s="666">
        <v>9182.5684975799995</v>
      </c>
      <c r="F257" s="666">
        <v>5911.8851999799999</v>
      </c>
      <c r="G257" s="128"/>
    </row>
    <row r="258" spans="1:7">
      <c r="A258" s="655" t="s">
        <v>24</v>
      </c>
      <c r="B258" s="666">
        <v>34023.467394450003</v>
      </c>
      <c r="C258" s="666">
        <v>13605.66899713</v>
      </c>
      <c r="D258" s="666">
        <v>6163.7998984600008</v>
      </c>
      <c r="E258" s="666">
        <v>8330.7123125899998</v>
      </c>
      <c r="F258" s="666">
        <v>5923.2861862700001</v>
      </c>
      <c r="G258" s="128"/>
    </row>
    <row r="259" spans="1:7">
      <c r="A259" s="655" t="s">
        <v>25</v>
      </c>
      <c r="B259" s="666">
        <v>34325.122664660004</v>
      </c>
      <c r="C259" s="666">
        <v>13834.587966980002</v>
      </c>
      <c r="D259" s="666">
        <v>6491.7994012800009</v>
      </c>
      <c r="E259" s="666">
        <v>8058.320655800002</v>
      </c>
      <c r="F259" s="666">
        <v>5940.4146406</v>
      </c>
      <c r="G259" s="128"/>
    </row>
    <row r="260" spans="1:7">
      <c r="A260" s="655" t="s">
        <v>26</v>
      </c>
      <c r="B260" s="666">
        <v>34230.529272649997</v>
      </c>
      <c r="C260" s="666">
        <v>14127.650408540001</v>
      </c>
      <c r="D260" s="666">
        <v>6394.0809092399995</v>
      </c>
      <c r="E260" s="666">
        <v>7718.464993730001</v>
      </c>
      <c r="F260" s="666">
        <v>5990.3329611400004</v>
      </c>
      <c r="G260" s="128"/>
    </row>
    <row r="261" spans="1:7">
      <c r="A261" s="655" t="s">
        <v>27</v>
      </c>
      <c r="B261" s="666">
        <v>34991.250378479992</v>
      </c>
      <c r="C261" s="666">
        <v>14146.871267779999</v>
      </c>
      <c r="D261" s="666">
        <v>6428.9389864299992</v>
      </c>
      <c r="E261" s="666">
        <v>8647.8347176400002</v>
      </c>
      <c r="F261" s="666">
        <v>5767.6054066300012</v>
      </c>
      <c r="G261" s="128"/>
    </row>
    <row r="262" spans="1:7">
      <c r="A262" s="655" t="s">
        <v>28</v>
      </c>
      <c r="B262" s="666">
        <v>35128.819710420001</v>
      </c>
      <c r="C262" s="666">
        <v>14619.325080759998</v>
      </c>
      <c r="D262" s="666">
        <v>6621.7173888000007</v>
      </c>
      <c r="E262" s="666">
        <v>8023.3934652899998</v>
      </c>
      <c r="F262" s="666">
        <v>5864.3837755699997</v>
      </c>
      <c r="G262" s="128"/>
    </row>
    <row r="263" spans="1:7">
      <c r="A263" s="655" t="s">
        <v>29</v>
      </c>
      <c r="B263" s="666">
        <v>36965.110117480006</v>
      </c>
      <c r="C263" s="666">
        <v>15001.297869780003</v>
      </c>
      <c r="D263" s="666">
        <v>7242.5303034599992</v>
      </c>
      <c r="E263" s="666">
        <v>8617.51479483</v>
      </c>
      <c r="F263" s="666">
        <v>6103.7671494099995</v>
      </c>
      <c r="G263" s="128"/>
    </row>
    <row r="264" spans="1:7">
      <c r="A264" s="655" t="s">
        <v>3971</v>
      </c>
      <c r="B264" s="666"/>
      <c r="C264" s="666"/>
      <c r="D264" s="666"/>
      <c r="E264" s="666"/>
      <c r="F264" s="666"/>
      <c r="G264" s="128"/>
    </row>
    <row r="265" spans="1:7">
      <c r="A265" s="655" t="s">
        <v>18</v>
      </c>
      <c r="B265" s="666">
        <v>37588.947156480004</v>
      </c>
      <c r="C265" s="666">
        <v>14698.552772140001</v>
      </c>
      <c r="D265" s="666">
        <v>7242.5928627800004</v>
      </c>
      <c r="E265" s="666">
        <v>8996.3251932100011</v>
      </c>
      <c r="F265" s="666">
        <v>6651.4763283499997</v>
      </c>
      <c r="G265" s="128"/>
    </row>
    <row r="266" spans="1:7">
      <c r="A266" s="655" t="s">
        <v>19</v>
      </c>
      <c r="B266" s="666">
        <v>37154.228410869997</v>
      </c>
      <c r="C266" s="666">
        <v>15067.908634910002</v>
      </c>
      <c r="D266" s="666">
        <v>7109.2762029499982</v>
      </c>
      <c r="E266" s="666">
        <v>8179.6471325999992</v>
      </c>
      <c r="F266" s="666">
        <v>6797.3964404099988</v>
      </c>
      <c r="G266" s="128"/>
    </row>
    <row r="267" spans="1:7">
      <c r="A267" s="655" t="s">
        <v>20</v>
      </c>
      <c r="B267" s="666">
        <v>37127.632242879998</v>
      </c>
      <c r="C267" s="666">
        <v>14583.5539145</v>
      </c>
      <c r="D267" s="666">
        <v>7340.7142756500007</v>
      </c>
      <c r="E267" s="666">
        <v>8631.1554319499992</v>
      </c>
      <c r="F267" s="666">
        <v>6572.2086207799994</v>
      </c>
      <c r="G267" s="128"/>
    </row>
    <row r="268" spans="1:7">
      <c r="A268" s="655" t="s">
        <v>21</v>
      </c>
      <c r="B268" s="666">
        <v>37547.287201159997</v>
      </c>
      <c r="C268" s="666">
        <v>14273.076553629999</v>
      </c>
      <c r="D268" s="666">
        <v>7532.5948544300009</v>
      </c>
      <c r="E268" s="666">
        <v>9195.2512051499998</v>
      </c>
      <c r="F268" s="666">
        <v>6546.36458795</v>
      </c>
      <c r="G268" s="128"/>
    </row>
    <row r="269" spans="1:7">
      <c r="A269" s="655" t="s">
        <v>22</v>
      </c>
      <c r="B269" s="666">
        <v>37471.555958540004</v>
      </c>
      <c r="C269" s="666">
        <v>14136.355975610002</v>
      </c>
      <c r="D269" s="666">
        <v>8077.2384371499993</v>
      </c>
      <c r="E269" s="666">
        <v>8427.4243399400002</v>
      </c>
      <c r="F269" s="666">
        <v>6830.5372058399998</v>
      </c>
      <c r="G269" s="128"/>
    </row>
    <row r="270" spans="1:7">
      <c r="A270" s="655" t="s">
        <v>23</v>
      </c>
      <c r="B270" s="666">
        <v>38212.908973450001</v>
      </c>
      <c r="C270" s="666">
        <v>14482.514093930002</v>
      </c>
      <c r="D270" s="666">
        <v>8513.7140104399987</v>
      </c>
      <c r="E270" s="666">
        <v>8539.5293522400007</v>
      </c>
      <c r="F270" s="666">
        <v>6677.1515168400001</v>
      </c>
      <c r="G270" s="128"/>
    </row>
    <row r="271" spans="1:7">
      <c r="A271" s="655" t="s">
        <v>24</v>
      </c>
      <c r="B271" s="666">
        <v>36976.605035339999</v>
      </c>
      <c r="C271" s="666">
        <v>13864.234380200001</v>
      </c>
      <c r="D271" s="666">
        <v>8606.8593873299997</v>
      </c>
      <c r="E271" s="666">
        <v>7600.6672686800002</v>
      </c>
      <c r="F271" s="666">
        <v>6904.8439991299992</v>
      </c>
      <c r="G271" s="128"/>
    </row>
    <row r="272" spans="1:7">
      <c r="A272" s="655" t="s">
        <v>25</v>
      </c>
      <c r="B272" s="666">
        <v>37397.545183769995</v>
      </c>
      <c r="C272" s="666">
        <v>13628.312629059998</v>
      </c>
      <c r="D272" s="666">
        <v>8599.6454718199984</v>
      </c>
      <c r="E272" s="666">
        <v>8340.6820461100015</v>
      </c>
      <c r="F272" s="666">
        <v>6828.90503678</v>
      </c>
      <c r="G272" s="128"/>
    </row>
    <row r="273" spans="1:7">
      <c r="A273" s="655" t="s">
        <v>26</v>
      </c>
      <c r="B273" s="666">
        <v>38335.437444530005</v>
      </c>
      <c r="C273" s="666">
        <v>14330.93215448</v>
      </c>
      <c r="D273" s="666">
        <v>8944.7522184799982</v>
      </c>
      <c r="E273" s="666">
        <v>8627.0273010700002</v>
      </c>
      <c r="F273" s="666">
        <v>6432.7257705000011</v>
      </c>
      <c r="G273" s="128"/>
    </row>
    <row r="274" spans="1:7">
      <c r="A274" s="655" t="s">
        <v>27</v>
      </c>
      <c r="B274" s="666">
        <v>37022.114084909997</v>
      </c>
      <c r="C274" s="666">
        <v>12982.745739859998</v>
      </c>
      <c r="D274" s="666">
        <v>9435.4587462099989</v>
      </c>
      <c r="E274" s="666">
        <v>8177.1814484300012</v>
      </c>
      <c r="F274" s="666">
        <v>6426.728150410001</v>
      </c>
      <c r="G274" s="128"/>
    </row>
    <row r="275" spans="1:7">
      <c r="A275" s="655" t="s">
        <v>28</v>
      </c>
      <c r="B275" s="666">
        <v>37627.139021819996</v>
      </c>
      <c r="C275" s="666">
        <v>13415.346842289999</v>
      </c>
      <c r="D275" s="666">
        <v>9277.3194952599988</v>
      </c>
      <c r="E275" s="666">
        <v>8345.8506567799996</v>
      </c>
      <c r="F275" s="666">
        <v>6588.6220274899997</v>
      </c>
      <c r="G275" s="128"/>
    </row>
    <row r="276" spans="1:7">
      <c r="A276" s="655" t="s">
        <v>29</v>
      </c>
      <c r="B276" s="666">
        <v>40270.791496530008</v>
      </c>
      <c r="C276" s="666">
        <v>15443.020157059998</v>
      </c>
      <c r="D276" s="666">
        <v>9348.8641913899992</v>
      </c>
      <c r="E276" s="666">
        <v>8630.4222126800014</v>
      </c>
      <c r="F276" s="666">
        <v>6848.4849354000016</v>
      </c>
      <c r="G276" s="128"/>
    </row>
    <row r="277" spans="1:7">
      <c r="A277" s="655" t="s">
        <v>4202</v>
      </c>
      <c r="B277" s="666"/>
      <c r="C277" s="666"/>
      <c r="D277" s="666"/>
      <c r="E277" s="666"/>
      <c r="F277" s="666"/>
      <c r="G277" s="128"/>
    </row>
    <row r="278" spans="1:7">
      <c r="A278" s="655" t="s">
        <v>18</v>
      </c>
      <c r="B278" s="666">
        <f t="shared" ref="B278:B288" si="9">+C278+D278+E278+F278</f>
        <v>40175.181765420006</v>
      </c>
      <c r="C278" s="666">
        <v>13632.79893449</v>
      </c>
      <c r="D278" s="666">
        <v>10107.606615160001</v>
      </c>
      <c r="E278" s="666">
        <v>9594.4251063100019</v>
      </c>
      <c r="F278" s="666">
        <v>6840.3511094600017</v>
      </c>
      <c r="G278" s="128"/>
    </row>
    <row r="279" spans="1:7">
      <c r="A279" s="655" t="s">
        <v>19</v>
      </c>
      <c r="B279" s="666">
        <f t="shared" si="9"/>
        <v>40420.466221750001</v>
      </c>
      <c r="C279" s="666">
        <v>13918.429871959999</v>
      </c>
      <c r="D279" s="666">
        <v>9787.0494455700009</v>
      </c>
      <c r="E279" s="666">
        <v>9916.2954039900014</v>
      </c>
      <c r="F279" s="666">
        <v>6798.6915002300002</v>
      </c>
      <c r="G279" s="128"/>
    </row>
    <row r="280" spans="1:7">
      <c r="A280" s="655" t="s">
        <v>20</v>
      </c>
      <c r="B280" s="666">
        <f t="shared" si="9"/>
        <v>40474.710646539999</v>
      </c>
      <c r="C280" s="666">
        <v>13535.452820580002</v>
      </c>
      <c r="D280" s="666">
        <v>10078.930402219999</v>
      </c>
      <c r="E280" s="666">
        <v>9896.0057662699983</v>
      </c>
      <c r="F280" s="666">
        <v>6964.3216574700009</v>
      </c>
      <c r="G280" s="128"/>
    </row>
    <row r="281" spans="1:7">
      <c r="A281" s="655" t="s">
        <v>21</v>
      </c>
      <c r="B281" s="666">
        <f t="shared" si="9"/>
        <v>41433.452919610005</v>
      </c>
      <c r="C281" s="666">
        <v>13330.547668000001</v>
      </c>
      <c r="D281" s="666">
        <v>11487.511612279999</v>
      </c>
      <c r="E281" s="666">
        <v>9797.7218039799991</v>
      </c>
      <c r="F281" s="666">
        <v>6817.6718353500009</v>
      </c>
      <c r="G281" s="128"/>
    </row>
    <row r="282" spans="1:7">
      <c r="A282" s="655" t="s">
        <v>22</v>
      </c>
      <c r="B282" s="666">
        <f t="shared" si="9"/>
        <v>43207.098909219996</v>
      </c>
      <c r="C282" s="666">
        <v>13386.10209015</v>
      </c>
      <c r="D282" s="666">
        <v>11906.866605130001</v>
      </c>
      <c r="E282" s="666">
        <v>11141.218682019999</v>
      </c>
      <c r="F282" s="666">
        <v>6772.91153192</v>
      </c>
      <c r="G282" s="128"/>
    </row>
    <row r="283" spans="1:7">
      <c r="A283" s="655" t="s">
        <v>23</v>
      </c>
      <c r="B283" s="666">
        <f t="shared" si="9"/>
        <v>42953.984545750005</v>
      </c>
      <c r="C283" s="666">
        <v>13976.730675890001</v>
      </c>
      <c r="D283" s="666">
        <v>12496.573805070002</v>
      </c>
      <c r="E283" s="666">
        <v>9537.6883656700011</v>
      </c>
      <c r="F283" s="666">
        <v>6942.9916991200007</v>
      </c>
      <c r="G283" s="128"/>
    </row>
    <row r="284" spans="1:7">
      <c r="A284" s="655" t="s">
        <v>24</v>
      </c>
      <c r="B284" s="666">
        <f t="shared" si="9"/>
        <v>41776.089925519998</v>
      </c>
      <c r="C284" s="666">
        <v>13423.429592260001</v>
      </c>
      <c r="D284" s="666">
        <v>12389.739072119999</v>
      </c>
      <c r="E284" s="666">
        <v>9001.2377120599995</v>
      </c>
      <c r="F284" s="666">
        <v>6961.6835490800013</v>
      </c>
      <c r="G284" s="128"/>
    </row>
    <row r="285" spans="1:7">
      <c r="A285" s="655" t="s">
        <v>25</v>
      </c>
      <c r="B285" s="666">
        <f t="shared" si="9"/>
        <v>41441.301767170007</v>
      </c>
      <c r="C285" s="666">
        <v>13368.816618220002</v>
      </c>
      <c r="D285" s="666">
        <v>12017.439174780002</v>
      </c>
      <c r="E285" s="666">
        <v>9043.5691033500007</v>
      </c>
      <c r="F285" s="666">
        <v>7011.4768708200008</v>
      </c>
      <c r="G285" s="128"/>
    </row>
    <row r="286" spans="1:7">
      <c r="A286" s="655" t="s">
        <v>26</v>
      </c>
      <c r="B286" s="666">
        <f t="shared" si="9"/>
        <v>41700.892098760007</v>
      </c>
      <c r="C286" s="666">
        <v>13504.360675019998</v>
      </c>
      <c r="D286" s="666">
        <v>12232.58561819</v>
      </c>
      <c r="E286" s="666">
        <v>8898.1242843600012</v>
      </c>
      <c r="F286" s="666">
        <v>7065.8215211899997</v>
      </c>
      <c r="G286" s="128"/>
    </row>
    <row r="287" spans="1:7">
      <c r="A287" s="655" t="s">
        <v>27</v>
      </c>
      <c r="B287" s="666">
        <f t="shared" si="9"/>
        <v>41589.439345459999</v>
      </c>
      <c r="C287" s="666">
        <v>13062.27283408</v>
      </c>
      <c r="D287" s="666">
        <v>12860.757099840001</v>
      </c>
      <c r="E287" s="666">
        <v>8523.0024729500001</v>
      </c>
      <c r="F287" s="666">
        <v>7143.4069385900002</v>
      </c>
      <c r="G287" s="128"/>
    </row>
    <row r="288" spans="1:7">
      <c r="A288" s="655" t="s">
        <v>28</v>
      </c>
      <c r="B288" s="666">
        <f t="shared" si="9"/>
        <v>43281.178644559994</v>
      </c>
      <c r="C288" s="666">
        <v>13303.28543296</v>
      </c>
      <c r="D288" s="666">
        <v>13557.509418039999</v>
      </c>
      <c r="E288" s="666">
        <v>9285.6134043399979</v>
      </c>
      <c r="F288" s="666">
        <v>7134.7703892199997</v>
      </c>
      <c r="G288" s="128"/>
    </row>
    <row r="289" spans="1:8">
      <c r="A289" s="655" t="s">
        <v>29</v>
      </c>
      <c r="B289" s="666">
        <f>+C289+D289+E289+F289</f>
        <v>41726.336462840001</v>
      </c>
      <c r="C289" s="666">
        <v>15370.937178419998</v>
      </c>
      <c r="D289" s="666">
        <v>10986.94008258</v>
      </c>
      <c r="E289" s="666">
        <v>7818.9812314699993</v>
      </c>
      <c r="F289" s="666">
        <v>7549.4779703700005</v>
      </c>
      <c r="G289" s="128"/>
    </row>
    <row r="290" spans="1:8">
      <c r="A290" s="655" t="s">
        <v>4465</v>
      </c>
      <c r="B290" s="666"/>
      <c r="C290" s="666"/>
      <c r="D290" s="666"/>
      <c r="E290" s="666"/>
      <c r="F290" s="666"/>
      <c r="G290" s="128"/>
    </row>
    <row r="291" spans="1:8">
      <c r="A291" s="655" t="s">
        <v>18</v>
      </c>
      <c r="B291" s="666">
        <f>+C291+D291+E291+F291</f>
        <v>41319.623119050004</v>
      </c>
      <c r="C291" s="666">
        <v>13482.654083100004</v>
      </c>
      <c r="D291" s="666">
        <v>12437.004200359999</v>
      </c>
      <c r="E291" s="666">
        <v>8067.80726856</v>
      </c>
      <c r="F291" s="666">
        <v>7332.157567029999</v>
      </c>
      <c r="G291" s="128"/>
    </row>
    <row r="292" spans="1:8">
      <c r="A292" s="655" t="s">
        <v>19</v>
      </c>
      <c r="B292" s="666">
        <f>+C292+D292+E292+F292</f>
        <v>41345.520693680002</v>
      </c>
      <c r="C292" s="666">
        <v>13801.088579379999</v>
      </c>
      <c r="D292" s="666">
        <v>12079.713274470003</v>
      </c>
      <c r="E292" s="666">
        <v>8141.101747749999</v>
      </c>
      <c r="F292" s="666">
        <v>7323.6170920799996</v>
      </c>
      <c r="G292" s="128"/>
    </row>
    <row r="293" spans="1:8">
      <c r="A293" s="655" t="s">
        <v>20</v>
      </c>
      <c r="B293" s="666">
        <f>+C293+D293+E293+F293</f>
        <v>41660.153637289994</v>
      </c>
      <c r="C293" s="666">
        <v>14236.62168762</v>
      </c>
      <c r="D293" s="666">
        <v>11939.383453609998</v>
      </c>
      <c r="E293" s="666">
        <v>8174.7349026999991</v>
      </c>
      <c r="F293" s="666">
        <v>7309.4135933599991</v>
      </c>
      <c r="G293" s="128"/>
    </row>
    <row r="294" spans="1:8">
      <c r="A294" s="655" t="s">
        <v>21</v>
      </c>
      <c r="B294" s="666">
        <v>41337.479930460002</v>
      </c>
      <c r="C294" s="666">
        <v>14413.732300380001</v>
      </c>
      <c r="D294" s="666">
        <v>12142.42463146</v>
      </c>
      <c r="E294" s="666">
        <v>7755.6087082500007</v>
      </c>
      <c r="F294" s="666">
        <v>7025.7142903700005</v>
      </c>
      <c r="G294" s="128"/>
    </row>
    <row r="295" spans="1:8">
      <c r="A295" s="655" t="s">
        <v>22</v>
      </c>
      <c r="B295" s="666">
        <v>42232.816250459997</v>
      </c>
      <c r="C295" s="666">
        <v>14866.54541269</v>
      </c>
      <c r="D295" s="666">
        <v>12474.75108855</v>
      </c>
      <c r="E295" s="666">
        <v>7820.9234685299998</v>
      </c>
      <c r="F295" s="666">
        <v>7070.5962806899997</v>
      </c>
      <c r="G295" s="128"/>
    </row>
    <row r="296" spans="1:8">
      <c r="A296" s="1951" t="s">
        <v>23</v>
      </c>
      <c r="B296" s="1952">
        <v>44155.31917391</v>
      </c>
      <c r="C296" s="1952">
        <v>15818.973070599997</v>
      </c>
      <c r="D296" s="1952">
        <v>12819.103598580001</v>
      </c>
      <c r="E296" s="1952">
        <v>8000.2183428499984</v>
      </c>
      <c r="F296" s="1952">
        <v>7517.0241618800001</v>
      </c>
      <c r="G296" s="128"/>
    </row>
    <row r="297" spans="1:8" s="742" customFormat="1" ht="46.5" customHeight="1">
      <c r="A297" s="2383" t="s">
        <v>2686</v>
      </c>
      <c r="B297" s="2383"/>
      <c r="C297" s="2383"/>
      <c r="D297" s="2383"/>
      <c r="E297" s="2383"/>
      <c r="F297" s="2383"/>
      <c r="G297" s="740"/>
      <c r="H297" s="741"/>
    </row>
    <row r="298" spans="1:8" s="742" customFormat="1" ht="13.5" customHeight="1">
      <c r="A298" s="2382" t="s">
        <v>2688</v>
      </c>
      <c r="B298" s="2382"/>
      <c r="C298" s="2382"/>
      <c r="D298" s="2382"/>
      <c r="E298" s="2382"/>
      <c r="F298" s="2382"/>
      <c r="G298" s="740"/>
      <c r="H298" s="741"/>
    </row>
    <row r="303" spans="1:8">
      <c r="G303" s="227"/>
      <c r="H303" s="227"/>
    </row>
  </sheetData>
  <mergeCells count="16">
    <mergeCell ref="A2:F2"/>
    <mergeCell ref="A3:F3"/>
    <mergeCell ref="B6:B8"/>
    <mergeCell ref="C6:F6"/>
    <mergeCell ref="C7:D7"/>
    <mergeCell ref="E7:F7"/>
    <mergeCell ref="A6:A8"/>
    <mergeCell ref="A5:F5"/>
    <mergeCell ref="A298:F298"/>
    <mergeCell ref="A297:F297"/>
    <mergeCell ref="A9:F9"/>
    <mergeCell ref="A10:A12"/>
    <mergeCell ref="B10:B12"/>
    <mergeCell ref="C10:F10"/>
    <mergeCell ref="C11:D11"/>
    <mergeCell ref="E11:F11"/>
  </mergeCells>
  <pageMargins left="0.7" right="0.7" top="0.75" bottom="0.75" header="0.3" footer="0.3"/>
  <pageSetup scale="22" orientation="portrait" r:id="rId1"/>
  <ignoredErrors>
    <ignoredError sqref="A197:A235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CEDD-F9A6-419D-8951-848D0B408054}">
  <sheetPr codeName="Sheet21">
    <tabColor rgb="FF92D050"/>
  </sheetPr>
  <dimension ref="A1:AE306"/>
  <sheetViews>
    <sheetView showGridLines="0" view="pageBreakPreview" zoomScaleSheetLayoutView="100" workbookViewId="0">
      <pane ySplit="11" topLeftCell="A219" activePane="bottomLeft" state="frozen"/>
      <selection activeCell="F40" sqref="F40"/>
      <selection pane="bottomLeft" activeCell="J235" sqref="J235"/>
    </sheetView>
  </sheetViews>
  <sheetFormatPr defaultColWidth="8.85546875" defaultRowHeight="15"/>
  <cols>
    <col min="1" max="1" width="8" style="156" customWidth="1"/>
    <col min="2" max="2" width="11" style="156" customWidth="1"/>
    <col min="3" max="4" width="8.140625" style="156" customWidth="1"/>
    <col min="5" max="5" width="9.42578125" style="156" customWidth="1"/>
    <col min="6" max="7" width="8.140625" style="156" customWidth="1"/>
    <col min="8" max="8" width="9.42578125" style="156" customWidth="1"/>
    <col min="9" max="10" width="8.140625" style="156" customWidth="1"/>
    <col min="11" max="12" width="9.42578125" style="156" customWidth="1"/>
    <col min="13" max="14" width="8.140625" style="156" customWidth="1"/>
    <col min="15" max="15" width="9.42578125" style="156" customWidth="1"/>
    <col min="16" max="17" width="8.140625" style="156" customWidth="1"/>
    <col min="18" max="18" width="9.42578125" style="156" customWidth="1"/>
    <col min="19" max="19" width="7.28515625" style="156" customWidth="1"/>
    <col min="20" max="21" width="8.140625" style="156" customWidth="1"/>
    <col min="22" max="22" width="9.42578125" style="156" customWidth="1"/>
    <col min="23" max="24" width="8.140625" style="156" customWidth="1"/>
    <col min="25" max="26" width="9.42578125" style="156" customWidth="1"/>
    <col min="27" max="28" width="8.140625" style="156" customWidth="1"/>
    <col min="29" max="29" width="9.42578125" style="156" customWidth="1"/>
    <col min="30" max="31" width="8.140625" style="156" customWidth="1"/>
    <col min="32" max="16384" width="8.85546875" style="156"/>
  </cols>
  <sheetData>
    <row r="1" spans="1:31" ht="12" customHeight="1"/>
    <row r="2" spans="1:31" ht="18" customHeight="1">
      <c r="A2" s="2415" t="s">
        <v>2730</v>
      </c>
      <c r="B2" s="2415"/>
      <c r="C2" s="2415"/>
      <c r="D2" s="2415"/>
      <c r="E2" s="2415"/>
      <c r="F2" s="2415"/>
      <c r="G2" s="2415"/>
      <c r="H2" s="2415"/>
      <c r="I2" s="2415"/>
      <c r="J2" s="2415"/>
      <c r="K2" s="2415"/>
      <c r="L2" s="2415"/>
      <c r="M2" s="2415"/>
      <c r="N2" s="2415"/>
      <c r="O2" s="2415"/>
      <c r="P2" s="2415"/>
      <c r="Q2" s="2415"/>
      <c r="R2" s="2415"/>
      <c r="S2" s="2415"/>
      <c r="T2" s="2415"/>
      <c r="U2" s="2415"/>
      <c r="V2" s="2415"/>
      <c r="W2" s="2415"/>
      <c r="X2" s="2415"/>
      <c r="Y2" s="2415"/>
      <c r="Z2" s="2415"/>
      <c r="AA2" s="2415"/>
      <c r="AB2" s="2415"/>
      <c r="AC2" s="2415"/>
      <c r="AD2" s="2415"/>
      <c r="AE2" s="2415"/>
    </row>
    <row r="3" spans="1:31" ht="27" customHeight="1">
      <c r="A3" s="2416" t="s">
        <v>4353</v>
      </c>
      <c r="B3" s="2416"/>
      <c r="C3" s="2416"/>
      <c r="D3" s="2416"/>
      <c r="E3" s="2416"/>
      <c r="F3" s="2416"/>
      <c r="G3" s="2416"/>
      <c r="H3" s="2416"/>
      <c r="I3" s="2416"/>
      <c r="J3" s="2416"/>
      <c r="K3" s="2416"/>
      <c r="L3" s="2416"/>
      <c r="M3" s="2416"/>
      <c r="N3" s="2416"/>
      <c r="O3" s="2416"/>
      <c r="P3" s="2416"/>
      <c r="Q3" s="2416"/>
      <c r="R3" s="2416"/>
      <c r="S3" s="2416"/>
      <c r="T3" s="2416"/>
      <c r="U3" s="2416"/>
      <c r="V3" s="2416"/>
      <c r="W3" s="2416"/>
      <c r="X3" s="2416"/>
      <c r="Y3" s="2416"/>
      <c r="Z3" s="2416"/>
      <c r="AA3" s="2416"/>
      <c r="AB3" s="2416"/>
      <c r="AC3" s="2416"/>
      <c r="AD3" s="2416"/>
      <c r="AE3" s="2416"/>
    </row>
    <row r="4" spans="1:31" s="1583" customFormat="1" ht="12.75" customHeight="1">
      <c r="A4" s="1582"/>
      <c r="B4" s="1582"/>
      <c r="C4" s="1582"/>
      <c r="D4" s="1582"/>
      <c r="E4" s="1582"/>
      <c r="F4" s="1582"/>
      <c r="G4" s="1582"/>
      <c r="H4" s="1582"/>
      <c r="I4" s="1582"/>
      <c r="J4" s="1582"/>
      <c r="K4" s="1582"/>
      <c r="L4" s="1582"/>
      <c r="M4" s="1582"/>
      <c r="N4" s="1582"/>
      <c r="O4" s="1582"/>
      <c r="P4" s="1582"/>
      <c r="Q4" s="1582"/>
      <c r="R4" s="1582"/>
      <c r="S4" s="1582"/>
      <c r="T4" s="1582"/>
      <c r="U4" s="1582"/>
      <c r="V4" s="1582"/>
      <c r="W4" s="1582"/>
      <c r="X4" s="1582"/>
      <c r="Y4" s="1582"/>
      <c r="Z4" s="1582"/>
      <c r="AA4" s="1582"/>
      <c r="AB4" s="1582"/>
      <c r="AC4" s="1582"/>
      <c r="AD4" s="1582"/>
      <c r="AE4" s="1582"/>
    </row>
    <row r="5" spans="1:31" s="1583" customFormat="1" ht="12.75" customHeight="1">
      <c r="A5" s="670"/>
      <c r="B5" s="670"/>
      <c r="C5" s="670"/>
      <c r="D5" s="670"/>
      <c r="E5" s="670"/>
      <c r="F5" s="670"/>
      <c r="G5" s="670"/>
      <c r="H5" s="670"/>
      <c r="I5" s="670"/>
      <c r="J5" s="670"/>
      <c r="K5" s="670"/>
      <c r="L5" s="670"/>
      <c r="M5" s="670"/>
      <c r="N5" s="670"/>
      <c r="O5" s="670"/>
      <c r="P5" s="670"/>
      <c r="Q5" s="670"/>
      <c r="R5" s="670"/>
      <c r="S5" s="670"/>
      <c r="T5" s="670"/>
      <c r="U5" s="670"/>
      <c r="V5" s="670"/>
      <c r="W5" s="670"/>
      <c r="X5" s="670"/>
      <c r="Y5" s="670"/>
      <c r="Z5" s="670"/>
      <c r="AA5" s="670"/>
      <c r="AB5" s="2179" t="s">
        <v>8</v>
      </c>
      <c r="AC5" s="2179"/>
      <c r="AD5" s="2179"/>
      <c r="AE5" s="2179"/>
    </row>
    <row r="6" spans="1:31" s="1584" customFormat="1" ht="14.25">
      <c r="A6" s="2417" t="s">
        <v>182</v>
      </c>
      <c r="B6" s="2420" t="s">
        <v>155</v>
      </c>
      <c r="C6" s="2421" t="s">
        <v>183</v>
      </c>
      <c r="D6" s="2422"/>
      <c r="E6" s="2425" t="s">
        <v>4354</v>
      </c>
      <c r="F6" s="2412" t="s">
        <v>183</v>
      </c>
      <c r="G6" s="2412"/>
      <c r="H6" s="2426" t="s">
        <v>4355</v>
      </c>
      <c r="I6" s="2412" t="s">
        <v>183</v>
      </c>
      <c r="J6" s="2412"/>
      <c r="K6" s="2403" t="s">
        <v>4356</v>
      </c>
      <c r="L6" s="2404" t="s">
        <v>4357</v>
      </c>
      <c r="M6" s="2412" t="s">
        <v>183</v>
      </c>
      <c r="N6" s="2412"/>
      <c r="O6" s="2403" t="s">
        <v>351</v>
      </c>
      <c r="P6" s="2412" t="s">
        <v>183</v>
      </c>
      <c r="Q6" s="2412"/>
      <c r="R6" s="2403" t="s">
        <v>4358</v>
      </c>
      <c r="S6" s="2404" t="s">
        <v>4357</v>
      </c>
      <c r="T6" s="2412" t="s">
        <v>183</v>
      </c>
      <c r="U6" s="2412"/>
      <c r="V6" s="2403" t="s">
        <v>351</v>
      </c>
      <c r="W6" s="2412" t="s">
        <v>183</v>
      </c>
      <c r="X6" s="2412"/>
      <c r="Y6" s="2403" t="s">
        <v>4359</v>
      </c>
      <c r="Z6" s="2404" t="s">
        <v>4357</v>
      </c>
      <c r="AA6" s="2412" t="s">
        <v>183</v>
      </c>
      <c r="AB6" s="2412"/>
      <c r="AC6" s="2403" t="s">
        <v>351</v>
      </c>
      <c r="AD6" s="2412" t="s">
        <v>183</v>
      </c>
      <c r="AE6" s="2412"/>
    </row>
    <row r="7" spans="1:31" s="1584" customFormat="1" ht="14.25">
      <c r="A7" s="2418"/>
      <c r="B7" s="2420"/>
      <c r="C7" s="2423"/>
      <c r="D7" s="2424"/>
      <c r="E7" s="2425"/>
      <c r="F7" s="2412"/>
      <c r="G7" s="2412"/>
      <c r="H7" s="2426"/>
      <c r="I7" s="2412"/>
      <c r="J7" s="2412"/>
      <c r="K7" s="2403"/>
      <c r="L7" s="2405"/>
      <c r="M7" s="2412"/>
      <c r="N7" s="2412"/>
      <c r="O7" s="2403"/>
      <c r="P7" s="2412"/>
      <c r="Q7" s="2412"/>
      <c r="R7" s="2403"/>
      <c r="S7" s="2405"/>
      <c r="T7" s="2412"/>
      <c r="U7" s="2412"/>
      <c r="V7" s="2403"/>
      <c r="W7" s="2412"/>
      <c r="X7" s="2412"/>
      <c r="Y7" s="2403"/>
      <c r="Z7" s="2405"/>
      <c r="AA7" s="2412"/>
      <c r="AB7" s="2412"/>
      <c r="AC7" s="2403"/>
      <c r="AD7" s="2412"/>
      <c r="AE7" s="2412"/>
    </row>
    <row r="8" spans="1:31" s="1585" customFormat="1" ht="12">
      <c r="A8" s="2418"/>
      <c r="B8" s="2420"/>
      <c r="C8" s="2404" t="s">
        <v>1168</v>
      </c>
      <c r="D8" s="2403" t="s">
        <v>201</v>
      </c>
      <c r="E8" s="2425"/>
      <c r="F8" s="2413" t="s">
        <v>1168</v>
      </c>
      <c r="G8" s="2402" t="s">
        <v>201</v>
      </c>
      <c r="H8" s="2426"/>
      <c r="I8" s="2413" t="s">
        <v>1168</v>
      </c>
      <c r="J8" s="2402" t="s">
        <v>201</v>
      </c>
      <c r="K8" s="2403"/>
      <c r="L8" s="2405"/>
      <c r="M8" s="2401" t="s">
        <v>4360</v>
      </c>
      <c r="N8" s="2402" t="s">
        <v>4361</v>
      </c>
      <c r="O8" s="2403"/>
      <c r="P8" s="2401" t="s">
        <v>4360</v>
      </c>
      <c r="Q8" s="2402" t="s">
        <v>4361</v>
      </c>
      <c r="R8" s="2403"/>
      <c r="S8" s="2405"/>
      <c r="T8" s="2401" t="s">
        <v>4360</v>
      </c>
      <c r="U8" s="2402" t="s">
        <v>4361</v>
      </c>
      <c r="V8" s="2403"/>
      <c r="W8" s="2401" t="s">
        <v>4360</v>
      </c>
      <c r="X8" s="2402" t="s">
        <v>4361</v>
      </c>
      <c r="Y8" s="2403"/>
      <c r="Z8" s="2405"/>
      <c r="AA8" s="2401" t="s">
        <v>4360</v>
      </c>
      <c r="AB8" s="2402" t="s">
        <v>4361</v>
      </c>
      <c r="AC8" s="2403"/>
      <c r="AD8" s="2401" t="s">
        <v>4360</v>
      </c>
      <c r="AE8" s="2402" t="s">
        <v>4361</v>
      </c>
    </row>
    <row r="9" spans="1:31" s="1585" customFormat="1" ht="46.9" customHeight="1">
      <c r="A9" s="2419"/>
      <c r="B9" s="2420"/>
      <c r="C9" s="2406"/>
      <c r="D9" s="2403"/>
      <c r="E9" s="2425"/>
      <c r="F9" s="2414"/>
      <c r="G9" s="2402"/>
      <c r="H9" s="2426"/>
      <c r="I9" s="2414"/>
      <c r="J9" s="2402"/>
      <c r="K9" s="2403"/>
      <c r="L9" s="2406"/>
      <c r="M9" s="2401"/>
      <c r="N9" s="2402"/>
      <c r="O9" s="2403"/>
      <c r="P9" s="2401"/>
      <c r="Q9" s="2402"/>
      <c r="R9" s="2403"/>
      <c r="S9" s="2406"/>
      <c r="T9" s="2401"/>
      <c r="U9" s="2402"/>
      <c r="V9" s="2403"/>
      <c r="W9" s="2401"/>
      <c r="X9" s="2402"/>
      <c r="Y9" s="2403"/>
      <c r="Z9" s="2406"/>
      <c r="AA9" s="2401"/>
      <c r="AB9" s="2402"/>
      <c r="AC9" s="2403"/>
      <c r="AD9" s="2401"/>
      <c r="AE9" s="2402"/>
    </row>
    <row r="10" spans="1:31" s="1979" customFormat="1">
      <c r="A10" s="2407" t="s">
        <v>283</v>
      </c>
      <c r="B10" s="2408" t="s">
        <v>105</v>
      </c>
      <c r="C10" s="2409" t="s">
        <v>106</v>
      </c>
      <c r="D10" s="2410"/>
      <c r="E10" s="2411" t="s">
        <v>4362</v>
      </c>
      <c r="F10" s="2395" t="s">
        <v>106</v>
      </c>
      <c r="G10" s="2395"/>
      <c r="H10" s="2400" t="s">
        <v>4363</v>
      </c>
      <c r="I10" s="2395" t="s">
        <v>106</v>
      </c>
      <c r="J10" s="2395"/>
      <c r="K10" s="2399" t="s">
        <v>4364</v>
      </c>
      <c r="L10" s="2399" t="s">
        <v>350</v>
      </c>
      <c r="M10" s="2395" t="s">
        <v>106</v>
      </c>
      <c r="N10" s="2395"/>
      <c r="O10" s="2399" t="s">
        <v>207</v>
      </c>
      <c r="P10" s="2395" t="s">
        <v>106</v>
      </c>
      <c r="Q10" s="2395"/>
      <c r="R10" s="2399" t="s">
        <v>4365</v>
      </c>
      <c r="S10" s="2399" t="s">
        <v>350</v>
      </c>
      <c r="T10" s="2395" t="s">
        <v>106</v>
      </c>
      <c r="U10" s="2395"/>
      <c r="V10" s="2399" t="s">
        <v>207</v>
      </c>
      <c r="W10" s="2395" t="s">
        <v>106</v>
      </c>
      <c r="X10" s="2395"/>
      <c r="Y10" s="2399" t="s">
        <v>4366</v>
      </c>
      <c r="Z10" s="2399" t="s">
        <v>350</v>
      </c>
      <c r="AA10" s="2395" t="s">
        <v>106</v>
      </c>
      <c r="AB10" s="2395"/>
      <c r="AC10" s="2399" t="s">
        <v>207</v>
      </c>
      <c r="AD10" s="2395" t="s">
        <v>106</v>
      </c>
      <c r="AE10" s="2395"/>
    </row>
    <row r="11" spans="1:31" s="1979" customFormat="1" ht="66" customHeight="1">
      <c r="A11" s="2407"/>
      <c r="B11" s="2408"/>
      <c r="C11" s="1980" t="s">
        <v>350</v>
      </c>
      <c r="D11" s="1980" t="s">
        <v>207</v>
      </c>
      <c r="E11" s="2411"/>
      <c r="F11" s="1980" t="s">
        <v>350</v>
      </c>
      <c r="G11" s="1980" t="s">
        <v>207</v>
      </c>
      <c r="H11" s="2400"/>
      <c r="I11" s="1980" t="s">
        <v>350</v>
      </c>
      <c r="J11" s="1980" t="s">
        <v>207</v>
      </c>
      <c r="K11" s="2399"/>
      <c r="L11" s="2399"/>
      <c r="M11" s="1981" t="s">
        <v>4362</v>
      </c>
      <c r="N11" s="1982" t="s">
        <v>4363</v>
      </c>
      <c r="O11" s="2399"/>
      <c r="P11" s="1981" t="s">
        <v>4362</v>
      </c>
      <c r="Q11" s="1982" t="s">
        <v>4363</v>
      </c>
      <c r="R11" s="2399"/>
      <c r="S11" s="2399"/>
      <c r="T11" s="1981" t="s">
        <v>4362</v>
      </c>
      <c r="U11" s="1982" t="s">
        <v>4363</v>
      </c>
      <c r="V11" s="2399"/>
      <c r="W11" s="1981" t="s">
        <v>4362</v>
      </c>
      <c r="X11" s="1982" t="s">
        <v>4363</v>
      </c>
      <c r="Y11" s="2399"/>
      <c r="Z11" s="2399"/>
      <c r="AA11" s="1981" t="s">
        <v>4362</v>
      </c>
      <c r="AB11" s="1982" t="s">
        <v>4363</v>
      </c>
      <c r="AC11" s="2399"/>
      <c r="AD11" s="1981" t="s">
        <v>4362</v>
      </c>
      <c r="AE11" s="1982" t="s">
        <v>4363</v>
      </c>
    </row>
    <row r="12" spans="1:31" ht="15.75">
      <c r="A12" s="1983">
        <v>2009</v>
      </c>
      <c r="B12" s="1984">
        <f>+C12+D12</f>
        <v>2334.8716709</v>
      </c>
      <c r="C12" s="1984">
        <f>+F12+I12</f>
        <v>965.59186697999996</v>
      </c>
      <c r="D12" s="1984">
        <f>+G12+J12</f>
        <v>1369.2798039199999</v>
      </c>
      <c r="E12" s="1984">
        <f>+F12+G12</f>
        <v>2149.9815619199999</v>
      </c>
      <c r="F12" s="1984">
        <f>+M12+AA12</f>
        <v>940.34621092999998</v>
      </c>
      <c r="G12" s="1984">
        <f>+P12+AD12</f>
        <v>1209.63535099</v>
      </c>
      <c r="H12" s="1984">
        <f>+I12+J12</f>
        <v>184.89010898000001</v>
      </c>
      <c r="I12" s="1984">
        <f>+N12+AB12</f>
        <v>25.245656049999997</v>
      </c>
      <c r="J12" s="1984">
        <f>+Q12+AE12</f>
        <v>159.64445293</v>
      </c>
      <c r="K12" s="1984">
        <f>+L12+O12</f>
        <v>1581.74617478</v>
      </c>
      <c r="L12" s="1984">
        <f>+M12+N12</f>
        <v>729.52573712999992</v>
      </c>
      <c r="M12" s="1984">
        <v>716.34732660999998</v>
      </c>
      <c r="N12" s="1984">
        <v>13.17841052</v>
      </c>
      <c r="O12" s="1984">
        <f t="shared" ref="O12:O29" si="0">P12+Q12</f>
        <v>852.22043765000012</v>
      </c>
      <c r="P12" s="1984">
        <v>767.8179416800001</v>
      </c>
      <c r="Q12" s="1984">
        <v>84.402495970000004</v>
      </c>
      <c r="R12" s="1984">
        <f t="shared" ref="R12:R29" si="1">S12+V12</f>
        <v>520.03121744999999</v>
      </c>
      <c r="S12" s="1984">
        <f t="shared" ref="S12:S29" si="2">T12+U12</f>
        <v>353.49315752000007</v>
      </c>
      <c r="T12" s="1984">
        <v>345.85064731000006</v>
      </c>
      <c r="U12" s="1984">
        <v>7.6425102100000002</v>
      </c>
      <c r="V12" s="1984">
        <f t="shared" ref="V12:V29" si="3">W12+X12</f>
        <v>166.53805992999997</v>
      </c>
      <c r="W12" s="1984">
        <v>142.31297461999998</v>
      </c>
      <c r="X12" s="1984">
        <v>24.225085310000001</v>
      </c>
      <c r="Y12" s="1984">
        <f t="shared" ref="Y12:Y29" si="4">Z12+AC12</f>
        <v>753.12549612000009</v>
      </c>
      <c r="Z12" s="1984">
        <f t="shared" ref="Z12:Z29" si="5">AA12+AB12</f>
        <v>236.06612985000001</v>
      </c>
      <c r="AA12" s="1984">
        <v>223.99888432</v>
      </c>
      <c r="AB12" s="1984">
        <v>12.067245529999997</v>
      </c>
      <c r="AC12" s="1984">
        <f t="shared" ref="AC12:AC29" si="6">AD12+AE12</f>
        <v>517.05936627000006</v>
      </c>
      <c r="AD12" s="1984">
        <v>441.81740931000002</v>
      </c>
      <c r="AE12" s="1984">
        <v>75.241956959999996</v>
      </c>
    </row>
    <row r="13" spans="1:31" ht="15.75">
      <c r="A13" s="1586">
        <v>2010</v>
      </c>
      <c r="B13" s="1985">
        <v>3029.7520766299999</v>
      </c>
      <c r="C13" s="1985">
        <v>1409.9405663699999</v>
      </c>
      <c r="D13" s="1985">
        <v>1619.81151026</v>
      </c>
      <c r="E13" s="1985">
        <v>2753.1319171800001</v>
      </c>
      <c r="F13" s="1985">
        <v>1369.67122221</v>
      </c>
      <c r="G13" s="1985">
        <v>1383.4606949700001</v>
      </c>
      <c r="H13" s="1985">
        <v>276.62015945000002</v>
      </c>
      <c r="I13" s="1985">
        <v>40.269344160000003</v>
      </c>
      <c r="J13" s="1985">
        <v>236.35081529000001</v>
      </c>
      <c r="K13" s="1985">
        <v>1982.55478328</v>
      </c>
      <c r="L13" s="1985">
        <v>1050.46106233</v>
      </c>
      <c r="M13" s="1985">
        <v>1028.6627618</v>
      </c>
      <c r="N13" s="1985">
        <v>21.798300529999999</v>
      </c>
      <c r="O13" s="1985">
        <v>932.09372095000003</v>
      </c>
      <c r="P13" s="1985">
        <v>822.37151931000005</v>
      </c>
      <c r="Q13" s="1985">
        <v>109.72220163999999</v>
      </c>
      <c r="R13" s="1985">
        <v>574.07753954000009</v>
      </c>
      <c r="S13" s="1985">
        <v>385.00787456</v>
      </c>
      <c r="T13" s="1985">
        <v>373.94191294000001</v>
      </c>
      <c r="U13" s="1985">
        <v>11.065961620000001</v>
      </c>
      <c r="V13" s="1985">
        <v>189.06966498000006</v>
      </c>
      <c r="W13" s="1985">
        <v>158.07785595000004</v>
      </c>
      <c r="X13" s="1985">
        <v>30.991809030000002</v>
      </c>
      <c r="Y13" s="1985">
        <v>1047.1972933500001</v>
      </c>
      <c r="Z13" s="1985">
        <v>359.47950403999999</v>
      </c>
      <c r="AA13" s="1985">
        <v>341.00846041</v>
      </c>
      <c r="AB13" s="1985">
        <v>18.47104363</v>
      </c>
      <c r="AC13" s="1985">
        <v>687.71778931000006</v>
      </c>
      <c r="AD13" s="1985">
        <v>561.08917566000002</v>
      </c>
      <c r="AE13" s="1985">
        <v>126.62861365000001</v>
      </c>
    </row>
    <row r="14" spans="1:31" hidden="1">
      <c r="A14" s="1587">
        <v>1</v>
      </c>
      <c r="B14" s="1985">
        <f t="shared" ref="B14:B29" si="7">+C14+D14</f>
        <v>2385.7566735800001</v>
      </c>
      <c r="C14" s="1985">
        <f t="shared" ref="C14:D29" si="8">+F14+I14</f>
        <v>984.89458506999995</v>
      </c>
      <c r="D14" s="1985">
        <f t="shared" si="8"/>
        <v>1400.8620885099999</v>
      </c>
      <c r="E14" s="1985">
        <f t="shared" ref="E14:E29" si="9">+F14+G14</f>
        <v>2198.1479804699998</v>
      </c>
      <c r="F14" s="1985">
        <f t="shared" ref="F14:F29" si="10">+M14+AA14</f>
        <v>958.51113047999991</v>
      </c>
      <c r="G14" s="1985">
        <f t="shared" ref="G14:G29" si="11">+P14+AD14</f>
        <v>1239.63684999</v>
      </c>
      <c r="H14" s="1985">
        <f t="shared" ref="H14:H29" si="12">+I14+J14</f>
        <v>187.60869310999999</v>
      </c>
      <c r="I14" s="1985">
        <f t="shared" ref="I14:I29" si="13">+N14+AB14</f>
        <v>26.383454589999999</v>
      </c>
      <c r="J14" s="1985">
        <f t="shared" ref="J14:J29" si="14">+Q14+AE14</f>
        <v>161.22523852</v>
      </c>
      <c r="K14" s="1985">
        <f t="shared" ref="K14:K20" si="15">+L14+O14</f>
        <v>1620.03987478</v>
      </c>
      <c r="L14" s="1985">
        <f t="shared" ref="L14:L29" si="16">+M14+N14</f>
        <v>748.34873550999987</v>
      </c>
      <c r="M14" s="1985">
        <v>734.20506462999992</v>
      </c>
      <c r="N14" s="1985">
        <v>14.14367088</v>
      </c>
      <c r="O14" s="1985">
        <f t="shared" si="0"/>
        <v>871.69113927000012</v>
      </c>
      <c r="P14" s="1985">
        <v>787.20356221000009</v>
      </c>
      <c r="Q14" s="1985">
        <v>84.487577060000007</v>
      </c>
      <c r="R14" s="1985">
        <f t="shared" si="1"/>
        <v>495.54856038999992</v>
      </c>
      <c r="S14" s="1985">
        <f t="shared" si="2"/>
        <v>328.11430781999991</v>
      </c>
      <c r="T14" s="1985">
        <v>320.49947731999993</v>
      </c>
      <c r="U14" s="1985">
        <v>7.6148305000000001</v>
      </c>
      <c r="V14" s="1985">
        <f t="shared" si="3"/>
        <v>167.43425257000001</v>
      </c>
      <c r="W14" s="1985">
        <v>144.69308780000003</v>
      </c>
      <c r="X14" s="1985">
        <v>22.741164769999997</v>
      </c>
      <c r="Y14" s="1985">
        <f t="shared" si="4"/>
        <v>765.71679880000011</v>
      </c>
      <c r="Z14" s="1985">
        <f t="shared" si="5"/>
        <v>236.54584956000002</v>
      </c>
      <c r="AA14" s="1985">
        <v>224.30606585000001</v>
      </c>
      <c r="AB14" s="1985">
        <v>12.239783709999999</v>
      </c>
      <c r="AC14" s="1985">
        <f t="shared" si="6"/>
        <v>529.17094924000003</v>
      </c>
      <c r="AD14" s="1985">
        <v>452.43328778</v>
      </c>
      <c r="AE14" s="1985">
        <v>76.737661459999998</v>
      </c>
    </row>
    <row r="15" spans="1:31" hidden="1">
      <c r="A15" s="1587">
        <v>2</v>
      </c>
      <c r="B15" s="1985">
        <f t="shared" si="7"/>
        <v>2422.8286893999998</v>
      </c>
      <c r="C15" s="1985">
        <f t="shared" si="8"/>
        <v>1029.72960706</v>
      </c>
      <c r="D15" s="1985">
        <f t="shared" si="8"/>
        <v>1393.0990823399998</v>
      </c>
      <c r="E15" s="1985">
        <f t="shared" si="9"/>
        <v>2222.3145293199996</v>
      </c>
      <c r="F15" s="1985">
        <f t="shared" si="10"/>
        <v>996.30905269999994</v>
      </c>
      <c r="G15" s="1985">
        <f t="shared" si="11"/>
        <v>1226.0054766199999</v>
      </c>
      <c r="H15" s="1985">
        <f t="shared" si="12"/>
        <v>200.51416008000001</v>
      </c>
      <c r="I15" s="1985">
        <f t="shared" si="13"/>
        <v>33.420554359999997</v>
      </c>
      <c r="J15" s="1985">
        <f t="shared" si="14"/>
        <v>167.09360572000003</v>
      </c>
      <c r="K15" s="1985">
        <f t="shared" si="15"/>
        <v>1646.96342949</v>
      </c>
      <c r="L15" s="1985">
        <f t="shared" si="16"/>
        <v>787.73736747999999</v>
      </c>
      <c r="M15" s="1985">
        <v>766.69862157</v>
      </c>
      <c r="N15" s="1985">
        <v>21.038745909999999</v>
      </c>
      <c r="O15" s="1985">
        <f t="shared" si="0"/>
        <v>859.22606200999996</v>
      </c>
      <c r="P15" s="1985">
        <v>771.02189335999992</v>
      </c>
      <c r="Q15" s="1985">
        <v>88.204168650000014</v>
      </c>
      <c r="R15" s="1985">
        <f t="shared" si="1"/>
        <v>510.42054188000003</v>
      </c>
      <c r="S15" s="1985">
        <f t="shared" si="2"/>
        <v>346.59478275000004</v>
      </c>
      <c r="T15" s="1985">
        <v>338.94568735000001</v>
      </c>
      <c r="U15" s="1985">
        <v>7.6490954000000002</v>
      </c>
      <c r="V15" s="1985">
        <f t="shared" si="3"/>
        <v>163.82575912999999</v>
      </c>
      <c r="W15" s="1985">
        <v>138.62288117999998</v>
      </c>
      <c r="X15" s="1985">
        <v>25.202877950000001</v>
      </c>
      <c r="Y15" s="1985">
        <f t="shared" si="4"/>
        <v>775.86525991000008</v>
      </c>
      <c r="Z15" s="1985">
        <f t="shared" si="5"/>
        <v>241.99223957999999</v>
      </c>
      <c r="AA15" s="1985">
        <v>229.61043112999999</v>
      </c>
      <c r="AB15" s="1985">
        <v>12.381808449999999</v>
      </c>
      <c r="AC15" s="1985">
        <f t="shared" si="6"/>
        <v>533.87302033000003</v>
      </c>
      <c r="AD15" s="1985">
        <v>454.98358325999999</v>
      </c>
      <c r="AE15" s="1985">
        <v>78.88943707</v>
      </c>
    </row>
    <row r="16" spans="1:31" hidden="1">
      <c r="A16" s="1587">
        <v>3</v>
      </c>
      <c r="B16" s="1985">
        <f t="shared" si="7"/>
        <v>2394.9631016999997</v>
      </c>
      <c r="C16" s="1985">
        <f t="shared" si="8"/>
        <v>980.62264517999995</v>
      </c>
      <c r="D16" s="1985">
        <f t="shared" si="8"/>
        <v>1414.3404565199999</v>
      </c>
      <c r="E16" s="1985">
        <f t="shared" si="9"/>
        <v>2165.2093463299998</v>
      </c>
      <c r="F16" s="1985">
        <f t="shared" si="10"/>
        <v>947.3857183099999</v>
      </c>
      <c r="G16" s="1985">
        <f t="shared" si="11"/>
        <v>1217.8236280199999</v>
      </c>
      <c r="H16" s="1985">
        <f t="shared" si="12"/>
        <v>229.75375537000002</v>
      </c>
      <c r="I16" s="1985">
        <f t="shared" si="13"/>
        <v>33.236926870000005</v>
      </c>
      <c r="J16" s="1985">
        <f t="shared" si="14"/>
        <v>196.5168285</v>
      </c>
      <c r="K16" s="1985">
        <f t="shared" si="15"/>
        <v>1596.1196230800001</v>
      </c>
      <c r="L16" s="1985">
        <f t="shared" si="16"/>
        <v>728.57798585</v>
      </c>
      <c r="M16" s="1985">
        <v>707.55199848999996</v>
      </c>
      <c r="N16" s="1985">
        <v>21.025987360000002</v>
      </c>
      <c r="O16" s="1985">
        <f t="shared" si="0"/>
        <v>867.54163722999999</v>
      </c>
      <c r="P16" s="1985">
        <v>753.06996697</v>
      </c>
      <c r="Q16" s="1985">
        <v>114.47167026</v>
      </c>
      <c r="R16" s="1985">
        <f t="shared" si="1"/>
        <v>453.32058209000002</v>
      </c>
      <c r="S16" s="1985">
        <f t="shared" si="2"/>
        <v>276.60139115999993</v>
      </c>
      <c r="T16" s="1985">
        <v>267.79145539999996</v>
      </c>
      <c r="U16" s="1985">
        <v>8.8099357600000001</v>
      </c>
      <c r="V16" s="1985">
        <f t="shared" si="3"/>
        <v>176.71919093000005</v>
      </c>
      <c r="W16" s="1985">
        <v>151.87859067000005</v>
      </c>
      <c r="X16" s="1985">
        <v>24.840600260000002</v>
      </c>
      <c r="Y16" s="1985">
        <f t="shared" si="4"/>
        <v>798.84347862000004</v>
      </c>
      <c r="Z16" s="1985">
        <f t="shared" si="5"/>
        <v>252.04465933</v>
      </c>
      <c r="AA16" s="1985">
        <v>239.83371982</v>
      </c>
      <c r="AB16" s="1985">
        <v>12.210939509999999</v>
      </c>
      <c r="AC16" s="1985">
        <f t="shared" si="6"/>
        <v>546.79881928999998</v>
      </c>
      <c r="AD16" s="1985">
        <v>464.75366105000001</v>
      </c>
      <c r="AE16" s="1985">
        <v>82.045158240000006</v>
      </c>
    </row>
    <row r="17" spans="1:31" hidden="1">
      <c r="A17" s="1587">
        <v>4</v>
      </c>
      <c r="B17" s="1985">
        <f t="shared" si="7"/>
        <v>2474.7451724799998</v>
      </c>
      <c r="C17" s="1985">
        <f t="shared" si="8"/>
        <v>1070.3465200400001</v>
      </c>
      <c r="D17" s="1985">
        <f t="shared" si="8"/>
        <v>1404.3986524399998</v>
      </c>
      <c r="E17" s="1985">
        <f t="shared" si="9"/>
        <v>2243.6622416599998</v>
      </c>
      <c r="F17" s="1985">
        <f t="shared" si="10"/>
        <v>1034.97521663</v>
      </c>
      <c r="G17" s="1985">
        <f t="shared" si="11"/>
        <v>1208.6870250299999</v>
      </c>
      <c r="H17" s="1985">
        <f t="shared" si="12"/>
        <v>231.08293082</v>
      </c>
      <c r="I17" s="1985">
        <f t="shared" si="13"/>
        <v>35.371303410000003</v>
      </c>
      <c r="J17" s="1985">
        <f t="shared" si="14"/>
        <v>195.71162741000001</v>
      </c>
      <c r="K17" s="1985">
        <f t="shared" si="15"/>
        <v>1649.7198340999998</v>
      </c>
      <c r="L17" s="1985">
        <f t="shared" si="16"/>
        <v>808.99133410000002</v>
      </c>
      <c r="M17" s="1985">
        <v>785.81950931000006</v>
      </c>
      <c r="N17" s="1985">
        <v>23.171824790000002</v>
      </c>
      <c r="O17" s="1985">
        <f t="shared" si="0"/>
        <v>840.72849999999994</v>
      </c>
      <c r="P17" s="1985">
        <v>727.35913864999998</v>
      </c>
      <c r="Q17" s="1985">
        <v>113.36936134999999</v>
      </c>
      <c r="R17" s="1985">
        <f t="shared" si="1"/>
        <v>494.21133439000005</v>
      </c>
      <c r="S17" s="1985">
        <f t="shared" si="2"/>
        <v>342.60319303000006</v>
      </c>
      <c r="T17" s="1985">
        <v>334.35324584000006</v>
      </c>
      <c r="U17" s="1985">
        <v>8.2499471900000003</v>
      </c>
      <c r="V17" s="1985">
        <f t="shared" si="3"/>
        <v>151.60814135999999</v>
      </c>
      <c r="W17" s="1985">
        <v>123.79325000999999</v>
      </c>
      <c r="X17" s="1985">
        <v>27.814891350000003</v>
      </c>
      <c r="Y17" s="1985">
        <f t="shared" si="4"/>
        <v>825.02533837999999</v>
      </c>
      <c r="Z17" s="1985">
        <f t="shared" si="5"/>
        <v>261.35518594000001</v>
      </c>
      <c r="AA17" s="1985">
        <v>249.15570732</v>
      </c>
      <c r="AB17" s="1985">
        <v>12.199478620000001</v>
      </c>
      <c r="AC17" s="1985">
        <f t="shared" si="6"/>
        <v>563.67015244000004</v>
      </c>
      <c r="AD17" s="1985">
        <v>481.32788638</v>
      </c>
      <c r="AE17" s="1985">
        <v>82.34226606</v>
      </c>
    </row>
    <row r="18" spans="1:31" hidden="1">
      <c r="A18" s="1587">
        <v>5</v>
      </c>
      <c r="B18" s="1985">
        <f t="shared" si="7"/>
        <v>2481.70096117</v>
      </c>
      <c r="C18" s="1985">
        <f t="shared" si="8"/>
        <v>1061.70389834</v>
      </c>
      <c r="D18" s="1985">
        <f t="shared" si="8"/>
        <v>1419.99706283</v>
      </c>
      <c r="E18" s="1985">
        <f t="shared" si="9"/>
        <v>2253.7982198</v>
      </c>
      <c r="F18" s="1985">
        <f t="shared" si="10"/>
        <v>1027.41710334</v>
      </c>
      <c r="G18" s="1985">
        <f t="shared" si="11"/>
        <v>1226.3811164599999</v>
      </c>
      <c r="H18" s="1985">
        <f t="shared" si="12"/>
        <v>227.90274137</v>
      </c>
      <c r="I18" s="1985">
        <f t="shared" si="13"/>
        <v>34.286794999999998</v>
      </c>
      <c r="J18" s="1985">
        <f t="shared" si="14"/>
        <v>193.61594637000002</v>
      </c>
      <c r="K18" s="1985">
        <f t="shared" si="15"/>
        <v>1653.1428037599999</v>
      </c>
      <c r="L18" s="1985">
        <f t="shared" si="16"/>
        <v>797.51454086000001</v>
      </c>
      <c r="M18" s="1985">
        <v>775.48334707000004</v>
      </c>
      <c r="N18" s="1985">
        <v>22.03119379</v>
      </c>
      <c r="O18" s="1985">
        <f t="shared" si="0"/>
        <v>855.62826289999998</v>
      </c>
      <c r="P18" s="1985">
        <v>744.83533221999994</v>
      </c>
      <c r="Q18" s="1985">
        <v>110.79293068000001</v>
      </c>
      <c r="R18" s="1985">
        <f t="shared" si="1"/>
        <v>488.13707039999997</v>
      </c>
      <c r="S18" s="1985">
        <f t="shared" si="2"/>
        <v>325.97959022999999</v>
      </c>
      <c r="T18" s="1985">
        <v>318.08818076</v>
      </c>
      <c r="U18" s="1985">
        <v>7.8914094700000001</v>
      </c>
      <c r="V18" s="1985">
        <f t="shared" si="3"/>
        <v>162.15748017000001</v>
      </c>
      <c r="W18" s="1985">
        <v>136.91766004000002</v>
      </c>
      <c r="X18" s="1985">
        <v>25.239820130000002</v>
      </c>
      <c r="Y18" s="1985">
        <f t="shared" si="4"/>
        <v>828.55815741000004</v>
      </c>
      <c r="Z18" s="1985">
        <f t="shared" si="5"/>
        <v>264.18935748000001</v>
      </c>
      <c r="AA18" s="1985">
        <v>251.93375627</v>
      </c>
      <c r="AB18" s="1985">
        <v>12.25560121</v>
      </c>
      <c r="AC18" s="1985">
        <f t="shared" si="6"/>
        <v>564.36879993000002</v>
      </c>
      <c r="AD18" s="1985">
        <v>481.54578423999999</v>
      </c>
      <c r="AE18" s="1985">
        <v>82.823015690000005</v>
      </c>
    </row>
    <row r="19" spans="1:31" hidden="1">
      <c r="A19" s="1587">
        <v>6</v>
      </c>
      <c r="B19" s="1985">
        <f t="shared" si="7"/>
        <v>2562.83582191</v>
      </c>
      <c r="C19" s="1985">
        <f t="shared" si="8"/>
        <v>1112.4802394800001</v>
      </c>
      <c r="D19" s="1985">
        <f t="shared" si="8"/>
        <v>1450.3555824300001</v>
      </c>
      <c r="E19" s="1985">
        <f t="shared" si="9"/>
        <v>2328.14721422</v>
      </c>
      <c r="F19" s="1985">
        <f t="shared" si="10"/>
        <v>1073.8226409000001</v>
      </c>
      <c r="G19" s="1985">
        <f t="shared" si="11"/>
        <v>1254.3245733200001</v>
      </c>
      <c r="H19" s="1985">
        <f t="shared" si="12"/>
        <v>234.68860769000003</v>
      </c>
      <c r="I19" s="1985">
        <f t="shared" si="13"/>
        <v>38.657598579999998</v>
      </c>
      <c r="J19" s="1985">
        <f t="shared" si="14"/>
        <v>196.03100911000001</v>
      </c>
      <c r="K19" s="1985">
        <f t="shared" si="15"/>
        <v>1711.6235453700001</v>
      </c>
      <c r="L19" s="1985">
        <f t="shared" si="16"/>
        <v>837.24547739000002</v>
      </c>
      <c r="M19" s="1985">
        <v>814.75039459000004</v>
      </c>
      <c r="N19" s="1985">
        <v>22.495082799999999</v>
      </c>
      <c r="O19" s="1985">
        <f t="shared" si="0"/>
        <v>874.37806797999997</v>
      </c>
      <c r="P19" s="1985">
        <v>763.15453316000003</v>
      </c>
      <c r="Q19" s="1985">
        <v>111.22353482</v>
      </c>
      <c r="R19" s="1985">
        <f t="shared" si="1"/>
        <v>523.03755899999999</v>
      </c>
      <c r="S19" s="1985">
        <f t="shared" si="2"/>
        <v>356.81037192999997</v>
      </c>
      <c r="T19" s="1985">
        <v>343.92267056999998</v>
      </c>
      <c r="U19" s="1985">
        <v>12.887701359999999</v>
      </c>
      <c r="V19" s="1985">
        <f t="shared" si="3"/>
        <v>166.22718707000001</v>
      </c>
      <c r="W19" s="1985">
        <v>140.17602475000001</v>
      </c>
      <c r="X19" s="1985">
        <v>26.05116232</v>
      </c>
      <c r="Y19" s="1985">
        <f t="shared" si="4"/>
        <v>851.21227653999995</v>
      </c>
      <c r="Z19" s="1985">
        <f t="shared" si="5"/>
        <v>275.23476209</v>
      </c>
      <c r="AA19" s="1985">
        <v>259.07224631000003</v>
      </c>
      <c r="AB19" s="1985">
        <v>16.16251578</v>
      </c>
      <c r="AC19" s="1985">
        <f t="shared" si="6"/>
        <v>575.97751444999994</v>
      </c>
      <c r="AD19" s="1985">
        <v>491.17004015999999</v>
      </c>
      <c r="AE19" s="1985">
        <v>84.807474290000002</v>
      </c>
    </row>
    <row r="20" spans="1:31" hidden="1">
      <c r="A20" s="1587">
        <v>7</v>
      </c>
      <c r="B20" s="1985">
        <f t="shared" si="7"/>
        <v>2716.2651976500001</v>
      </c>
      <c r="C20" s="1985">
        <f t="shared" si="8"/>
        <v>1212.0917760699999</v>
      </c>
      <c r="D20" s="1985">
        <f t="shared" si="8"/>
        <v>1504.1734215800002</v>
      </c>
      <c r="E20" s="1985">
        <f t="shared" si="9"/>
        <v>2480.95948142</v>
      </c>
      <c r="F20" s="1985">
        <f t="shared" si="10"/>
        <v>1173.5092171199999</v>
      </c>
      <c r="G20" s="1985">
        <f t="shared" si="11"/>
        <v>1307.4502643000001</v>
      </c>
      <c r="H20" s="1985">
        <f t="shared" si="12"/>
        <v>235.30571623000003</v>
      </c>
      <c r="I20" s="1985">
        <f t="shared" si="13"/>
        <v>38.582558950000006</v>
      </c>
      <c r="J20" s="1985">
        <f t="shared" si="14"/>
        <v>196.72315728000001</v>
      </c>
      <c r="K20" s="1985">
        <f t="shared" si="15"/>
        <v>1830.47295712</v>
      </c>
      <c r="L20" s="1985">
        <f t="shared" si="16"/>
        <v>919.30402593999997</v>
      </c>
      <c r="M20" s="1985">
        <v>898.05716949999999</v>
      </c>
      <c r="N20" s="1985">
        <v>21.246856440000002</v>
      </c>
      <c r="O20" s="1985">
        <f t="shared" si="0"/>
        <v>911.16893118000007</v>
      </c>
      <c r="P20" s="1985">
        <v>806.51771411000004</v>
      </c>
      <c r="Q20" s="1985">
        <v>104.65121707</v>
      </c>
      <c r="R20" s="1985">
        <f t="shared" si="1"/>
        <v>571.18026027999997</v>
      </c>
      <c r="S20" s="1985">
        <f t="shared" si="2"/>
        <v>390.98637384</v>
      </c>
      <c r="T20" s="1985">
        <v>381.83419182</v>
      </c>
      <c r="U20" s="1985">
        <v>9.1521820199999997</v>
      </c>
      <c r="V20" s="1985">
        <f t="shared" si="3"/>
        <v>180.19388643999997</v>
      </c>
      <c r="W20" s="1985">
        <v>154.40856262999998</v>
      </c>
      <c r="X20" s="1985">
        <v>25.785323809999998</v>
      </c>
      <c r="Y20" s="1985">
        <f t="shared" si="4"/>
        <v>885.79224053000007</v>
      </c>
      <c r="Z20" s="1985">
        <f t="shared" si="5"/>
        <v>292.78775013000001</v>
      </c>
      <c r="AA20" s="1985">
        <v>275.45204762000003</v>
      </c>
      <c r="AB20" s="1985">
        <v>17.335702510000001</v>
      </c>
      <c r="AC20" s="1985">
        <f t="shared" si="6"/>
        <v>593.00449040000001</v>
      </c>
      <c r="AD20" s="1985">
        <v>500.93255018999997</v>
      </c>
      <c r="AE20" s="1985">
        <v>92.071940209999994</v>
      </c>
    </row>
    <row r="21" spans="1:31" hidden="1">
      <c r="A21" s="1587">
        <v>8</v>
      </c>
      <c r="B21" s="1985">
        <f t="shared" si="7"/>
        <v>2720.8074087499999</v>
      </c>
      <c r="C21" s="1985">
        <f t="shared" si="8"/>
        <v>1186.96496387</v>
      </c>
      <c r="D21" s="1985">
        <f t="shared" si="8"/>
        <v>1533.8424448799999</v>
      </c>
      <c r="E21" s="1985">
        <f t="shared" si="9"/>
        <v>2475.3234267299999</v>
      </c>
      <c r="F21" s="1985">
        <f t="shared" si="10"/>
        <v>1150.4242307</v>
      </c>
      <c r="G21" s="1985">
        <f t="shared" si="11"/>
        <v>1324.89919603</v>
      </c>
      <c r="H21" s="1985">
        <f t="shared" si="12"/>
        <v>245.48398201999998</v>
      </c>
      <c r="I21" s="1985">
        <f t="shared" si="13"/>
        <v>36.540733170000003</v>
      </c>
      <c r="J21" s="1985">
        <f t="shared" si="14"/>
        <v>208.94324884999997</v>
      </c>
      <c r="K21" s="1985">
        <f>+L21+O21</f>
        <v>1802.3728617300001</v>
      </c>
      <c r="L21" s="1985">
        <f t="shared" si="16"/>
        <v>876.04747244000009</v>
      </c>
      <c r="M21" s="1985">
        <v>856.98685096000008</v>
      </c>
      <c r="N21" s="1985">
        <v>19.060621480000002</v>
      </c>
      <c r="O21" s="1985">
        <f t="shared" si="0"/>
        <v>926.32538928999998</v>
      </c>
      <c r="P21" s="1985">
        <v>818.67524112000001</v>
      </c>
      <c r="Q21" s="1985">
        <v>107.65014816999999</v>
      </c>
      <c r="R21" s="1985">
        <f t="shared" si="1"/>
        <v>500.33615320000001</v>
      </c>
      <c r="S21" s="1985">
        <f t="shared" si="2"/>
        <v>327.24065817000002</v>
      </c>
      <c r="T21" s="1985">
        <v>317.29276216</v>
      </c>
      <c r="U21" s="1985">
        <v>9.9478960099999991</v>
      </c>
      <c r="V21" s="1985">
        <f t="shared" si="3"/>
        <v>173.09549503</v>
      </c>
      <c r="W21" s="1985">
        <v>145.28047014999999</v>
      </c>
      <c r="X21" s="1985">
        <v>27.815024880000003</v>
      </c>
      <c r="Y21" s="1985">
        <f t="shared" si="4"/>
        <v>918.43454701999985</v>
      </c>
      <c r="Z21" s="1985">
        <f t="shared" si="5"/>
        <v>310.91749142999998</v>
      </c>
      <c r="AA21" s="1985">
        <v>293.43737973999998</v>
      </c>
      <c r="AB21" s="1985">
        <v>17.480111690000001</v>
      </c>
      <c r="AC21" s="1985">
        <f t="shared" si="6"/>
        <v>607.51705558999993</v>
      </c>
      <c r="AD21" s="1985">
        <v>506.22395490999997</v>
      </c>
      <c r="AE21" s="1985">
        <v>101.29310067999999</v>
      </c>
    </row>
    <row r="22" spans="1:31" hidden="1">
      <c r="A22" s="1587">
        <v>9</v>
      </c>
      <c r="B22" s="1985">
        <f t="shared" si="7"/>
        <v>2798.3141282899996</v>
      </c>
      <c r="C22" s="1985">
        <f t="shared" si="8"/>
        <v>1245.5884828000001</v>
      </c>
      <c r="D22" s="1985">
        <f t="shared" si="8"/>
        <v>1552.7256454899998</v>
      </c>
      <c r="E22" s="1985">
        <f t="shared" si="9"/>
        <v>2541.6270219999997</v>
      </c>
      <c r="F22" s="1985">
        <f t="shared" si="10"/>
        <v>1206.23803677</v>
      </c>
      <c r="G22" s="1985">
        <f t="shared" si="11"/>
        <v>1335.3889852299999</v>
      </c>
      <c r="H22" s="1985">
        <f t="shared" si="12"/>
        <v>256.68710629000003</v>
      </c>
      <c r="I22" s="1985">
        <f t="shared" si="13"/>
        <v>39.350446030000001</v>
      </c>
      <c r="J22" s="1985">
        <f t="shared" si="14"/>
        <v>217.33666026000003</v>
      </c>
      <c r="K22" s="1985">
        <f t="shared" ref="K22:K29" si="17">+L22+O22</f>
        <v>1857.0890481699998</v>
      </c>
      <c r="L22" s="1985">
        <f t="shared" si="16"/>
        <v>922.80662541999993</v>
      </c>
      <c r="M22" s="1985">
        <v>900.97212835999994</v>
      </c>
      <c r="N22" s="1985">
        <v>21.834497059999997</v>
      </c>
      <c r="O22" s="1985">
        <f t="shared" si="0"/>
        <v>934.28242275000002</v>
      </c>
      <c r="P22" s="1985">
        <v>820.82542999999998</v>
      </c>
      <c r="Q22" s="1985">
        <v>113.45699275000001</v>
      </c>
      <c r="R22" s="1985">
        <f t="shared" si="1"/>
        <v>524.63056880999989</v>
      </c>
      <c r="S22" s="1985">
        <f t="shared" si="2"/>
        <v>349.64738546999996</v>
      </c>
      <c r="T22" s="1985">
        <v>338.36879901999998</v>
      </c>
      <c r="U22" s="1985">
        <v>11.278586449999999</v>
      </c>
      <c r="V22" s="1985">
        <f t="shared" si="3"/>
        <v>174.98318333999998</v>
      </c>
      <c r="W22" s="1985">
        <v>146.70725561999998</v>
      </c>
      <c r="X22" s="1985">
        <v>28.275927720000002</v>
      </c>
      <c r="Y22" s="1985">
        <f t="shared" si="4"/>
        <v>941.22508012000003</v>
      </c>
      <c r="Z22" s="1985">
        <f t="shared" si="5"/>
        <v>322.78185738000002</v>
      </c>
      <c r="AA22" s="1985">
        <v>305.26590841000001</v>
      </c>
      <c r="AB22" s="1985">
        <v>17.51594897</v>
      </c>
      <c r="AC22" s="1985">
        <f t="shared" si="6"/>
        <v>618.44322274000001</v>
      </c>
      <c r="AD22" s="1985">
        <v>514.56355523000002</v>
      </c>
      <c r="AE22" s="1985">
        <v>103.87966751</v>
      </c>
    </row>
    <row r="23" spans="1:31" hidden="1">
      <c r="A23" s="1587">
        <v>10</v>
      </c>
      <c r="B23" s="1985">
        <f t="shared" si="7"/>
        <v>2887.52964651</v>
      </c>
      <c r="C23" s="1985">
        <f t="shared" si="8"/>
        <v>1308.5327202799999</v>
      </c>
      <c r="D23" s="1985">
        <f t="shared" si="8"/>
        <v>1578.9969262300001</v>
      </c>
      <c r="E23" s="1985">
        <f t="shared" si="9"/>
        <v>2642.4944710499999</v>
      </c>
      <c r="F23" s="1985">
        <f t="shared" si="10"/>
        <v>1269.2193216999999</v>
      </c>
      <c r="G23" s="1985">
        <f t="shared" si="11"/>
        <v>1373.27514935</v>
      </c>
      <c r="H23" s="1985">
        <f t="shared" si="12"/>
        <v>245.03517546</v>
      </c>
      <c r="I23" s="1985">
        <f t="shared" si="13"/>
        <v>39.313398579999998</v>
      </c>
      <c r="J23" s="1985">
        <f t="shared" si="14"/>
        <v>205.72177687999999</v>
      </c>
      <c r="K23" s="1985">
        <f t="shared" si="17"/>
        <v>1896.3183770599999</v>
      </c>
      <c r="L23" s="1985">
        <f t="shared" si="16"/>
        <v>962.58070470999996</v>
      </c>
      <c r="M23" s="1985">
        <v>941.03463070999999</v>
      </c>
      <c r="N23" s="1985">
        <v>21.546073999999997</v>
      </c>
      <c r="O23" s="1985">
        <f t="shared" si="0"/>
        <v>933.73767234999991</v>
      </c>
      <c r="P23" s="1985">
        <v>835.56842071999995</v>
      </c>
      <c r="Q23" s="1985">
        <v>98.169251629999991</v>
      </c>
      <c r="R23" s="1985">
        <f t="shared" si="1"/>
        <v>576.34303089000002</v>
      </c>
      <c r="S23" s="1985">
        <f t="shared" si="2"/>
        <v>385.43445643000001</v>
      </c>
      <c r="T23" s="1985">
        <v>374.16780999000002</v>
      </c>
      <c r="U23" s="1985">
        <v>11.266646439999999</v>
      </c>
      <c r="V23" s="1985">
        <f t="shared" si="3"/>
        <v>190.90857445999998</v>
      </c>
      <c r="W23" s="1985">
        <v>162.55348000999999</v>
      </c>
      <c r="X23" s="1985">
        <v>28.355094449999999</v>
      </c>
      <c r="Y23" s="1985">
        <f t="shared" si="4"/>
        <v>991.21126945000003</v>
      </c>
      <c r="Z23" s="1985">
        <f t="shared" si="5"/>
        <v>345.95201556999996</v>
      </c>
      <c r="AA23" s="1985">
        <v>328.18469098999998</v>
      </c>
      <c r="AB23" s="1985">
        <v>17.76732458</v>
      </c>
      <c r="AC23" s="1985">
        <f t="shared" si="6"/>
        <v>645.25925388000007</v>
      </c>
      <c r="AD23" s="1985">
        <v>537.70672863000004</v>
      </c>
      <c r="AE23" s="1985">
        <v>107.55252525</v>
      </c>
    </row>
    <row r="24" spans="1:31" hidden="1">
      <c r="A24" s="1587">
        <v>11</v>
      </c>
      <c r="B24" s="1985">
        <f t="shared" si="7"/>
        <v>2868.4287497800001</v>
      </c>
      <c r="C24" s="1985">
        <f t="shared" si="8"/>
        <v>1297.4377133</v>
      </c>
      <c r="D24" s="1985">
        <f t="shared" si="8"/>
        <v>1570.99103648</v>
      </c>
      <c r="E24" s="1985">
        <f t="shared" si="9"/>
        <v>2611.73494059</v>
      </c>
      <c r="F24" s="1985">
        <f t="shared" si="10"/>
        <v>1259.19981117</v>
      </c>
      <c r="G24" s="1985">
        <f t="shared" si="11"/>
        <v>1352.53512942</v>
      </c>
      <c r="H24" s="1985">
        <f t="shared" si="12"/>
        <v>256.69380919000002</v>
      </c>
      <c r="I24" s="1985">
        <f t="shared" si="13"/>
        <v>38.237902130000002</v>
      </c>
      <c r="J24" s="1985">
        <f t="shared" si="14"/>
        <v>218.45590706000002</v>
      </c>
      <c r="K24" s="1985">
        <f t="shared" si="17"/>
        <v>1856.40667261</v>
      </c>
      <c r="L24" s="1985">
        <f t="shared" si="16"/>
        <v>941.23767450000003</v>
      </c>
      <c r="M24" s="1985">
        <v>920.95187013999998</v>
      </c>
      <c r="N24" s="1985">
        <v>20.28580436</v>
      </c>
      <c r="O24" s="1985">
        <f t="shared" si="0"/>
        <v>915.16899811000008</v>
      </c>
      <c r="P24" s="1985">
        <v>807.02573340000004</v>
      </c>
      <c r="Q24" s="1985">
        <v>108.14326471000001</v>
      </c>
      <c r="R24" s="1985">
        <f t="shared" si="1"/>
        <v>504.74436416999993</v>
      </c>
      <c r="S24" s="1985">
        <f t="shared" si="2"/>
        <v>327.80126077999995</v>
      </c>
      <c r="T24" s="1985">
        <v>317.54026840999995</v>
      </c>
      <c r="U24" s="1985">
        <v>10.260992369999999</v>
      </c>
      <c r="V24" s="1985">
        <f t="shared" si="3"/>
        <v>176.94310339</v>
      </c>
      <c r="W24" s="1985">
        <v>149.13601165</v>
      </c>
      <c r="X24" s="1985">
        <v>27.807091740000001</v>
      </c>
      <c r="Y24" s="1985">
        <f t="shared" si="4"/>
        <v>1012.02207717</v>
      </c>
      <c r="Z24" s="1985">
        <f t="shared" si="5"/>
        <v>356.20003880000002</v>
      </c>
      <c r="AA24" s="1985">
        <v>338.24794102999999</v>
      </c>
      <c r="AB24" s="1985">
        <v>17.952097770000002</v>
      </c>
      <c r="AC24" s="1985">
        <f t="shared" si="6"/>
        <v>655.82203836999997</v>
      </c>
      <c r="AD24" s="1985">
        <v>545.50939601999994</v>
      </c>
      <c r="AE24" s="1985">
        <v>110.31264235</v>
      </c>
    </row>
    <row r="25" spans="1:31" hidden="1">
      <c r="A25" s="1587">
        <v>12</v>
      </c>
      <c r="B25" s="1985">
        <f t="shared" si="7"/>
        <v>3029.7520766299999</v>
      </c>
      <c r="C25" s="1985">
        <f t="shared" si="8"/>
        <v>1409.9405663699999</v>
      </c>
      <c r="D25" s="1985">
        <f t="shared" si="8"/>
        <v>1619.81151026</v>
      </c>
      <c r="E25" s="1985">
        <f t="shared" si="9"/>
        <v>2753.1319171800001</v>
      </c>
      <c r="F25" s="1985">
        <f t="shared" si="10"/>
        <v>1369.67122221</v>
      </c>
      <c r="G25" s="1985">
        <f t="shared" si="11"/>
        <v>1383.4606949700001</v>
      </c>
      <c r="H25" s="1985">
        <f t="shared" si="12"/>
        <v>276.62015945000002</v>
      </c>
      <c r="I25" s="1985">
        <f t="shared" si="13"/>
        <v>40.269344160000003</v>
      </c>
      <c r="J25" s="1985">
        <f t="shared" si="14"/>
        <v>236.35081529000001</v>
      </c>
      <c r="K25" s="1985">
        <f t="shared" si="17"/>
        <v>1982.55478328</v>
      </c>
      <c r="L25" s="1985">
        <f t="shared" si="16"/>
        <v>1050.46106233</v>
      </c>
      <c r="M25" s="1985">
        <v>1028.6627618</v>
      </c>
      <c r="N25" s="1985">
        <v>21.798300529999999</v>
      </c>
      <c r="O25" s="1985">
        <f t="shared" si="0"/>
        <v>932.09372095000003</v>
      </c>
      <c r="P25" s="1985">
        <v>822.37151931000005</v>
      </c>
      <c r="Q25" s="1985">
        <v>109.72220163999999</v>
      </c>
      <c r="R25" s="1985">
        <f t="shared" si="1"/>
        <v>574.07753954000009</v>
      </c>
      <c r="S25" s="1985">
        <f t="shared" si="2"/>
        <v>385.00787456</v>
      </c>
      <c r="T25" s="1985">
        <v>373.94191294000001</v>
      </c>
      <c r="U25" s="1985">
        <v>11.065961620000001</v>
      </c>
      <c r="V25" s="1985">
        <f t="shared" si="3"/>
        <v>189.06966498000006</v>
      </c>
      <c r="W25" s="1985">
        <v>158.07785595000004</v>
      </c>
      <c r="X25" s="1985">
        <v>30.991809030000002</v>
      </c>
      <c r="Y25" s="1985">
        <f t="shared" si="4"/>
        <v>1047.1972933500001</v>
      </c>
      <c r="Z25" s="1985">
        <f t="shared" si="5"/>
        <v>359.47950403999999</v>
      </c>
      <c r="AA25" s="1985">
        <v>341.00846041</v>
      </c>
      <c r="AB25" s="1985">
        <v>18.47104363</v>
      </c>
      <c r="AC25" s="1985">
        <f t="shared" si="6"/>
        <v>687.71778931000006</v>
      </c>
      <c r="AD25" s="1985">
        <v>561.08917566000002</v>
      </c>
      <c r="AE25" s="1985">
        <v>126.62861365000001</v>
      </c>
    </row>
    <row r="26" spans="1:31" ht="15.75">
      <c r="A26" s="1586">
        <v>2011</v>
      </c>
      <c r="B26" s="1985">
        <v>4119.8374570199994</v>
      </c>
      <c r="C26" s="1985">
        <v>2281.6742900099998</v>
      </c>
      <c r="D26" s="1985">
        <v>1838.1631670100001</v>
      </c>
      <c r="E26" s="1985">
        <v>3747.3870726099994</v>
      </c>
      <c r="F26" s="1985">
        <v>2225.2523184399997</v>
      </c>
      <c r="G26" s="1985">
        <v>1522.13475417</v>
      </c>
      <c r="H26" s="1985">
        <v>372.45038440999997</v>
      </c>
      <c r="I26" s="1985">
        <v>56.421971569999997</v>
      </c>
      <c r="J26" s="1985">
        <v>316.02841283999999</v>
      </c>
      <c r="K26" s="1985">
        <v>2640.2781299799999</v>
      </c>
      <c r="L26" s="1985">
        <v>1615.5138685099998</v>
      </c>
      <c r="M26" s="1985">
        <v>1576.7078550199999</v>
      </c>
      <c r="N26" s="1985">
        <v>38.806013489999998</v>
      </c>
      <c r="O26" s="1985">
        <v>1024.7642614700001</v>
      </c>
      <c r="P26" s="1985">
        <v>846.78046261999998</v>
      </c>
      <c r="Q26" s="1985">
        <v>177.98379885000003</v>
      </c>
      <c r="R26" s="1985">
        <v>843.78939447999983</v>
      </c>
      <c r="S26" s="1985">
        <v>613.14276837999989</v>
      </c>
      <c r="T26" s="1985">
        <v>598.90492479999989</v>
      </c>
      <c r="U26" s="1985">
        <v>14.23784358</v>
      </c>
      <c r="V26" s="1985">
        <v>230.64662609999999</v>
      </c>
      <c r="W26" s="1985">
        <v>188.46886025000001</v>
      </c>
      <c r="X26" s="1985">
        <v>42.17776585</v>
      </c>
      <c r="Y26" s="1985">
        <v>1479.55932704</v>
      </c>
      <c r="Z26" s="1985">
        <v>666.16042149999998</v>
      </c>
      <c r="AA26" s="1985">
        <v>648.54446341999994</v>
      </c>
      <c r="AB26" s="1985">
        <v>17.615958079999999</v>
      </c>
      <c r="AC26" s="1985">
        <v>813.39890553999999</v>
      </c>
      <c r="AD26" s="1985">
        <v>675.35429154999997</v>
      </c>
      <c r="AE26" s="1985">
        <v>138.04461398999999</v>
      </c>
    </row>
    <row r="27" spans="1:31" hidden="1">
      <c r="A27" s="1588">
        <v>1</v>
      </c>
      <c r="B27" s="1985">
        <f t="shared" si="7"/>
        <v>3072.1312173899996</v>
      </c>
      <c r="C27" s="1985">
        <f t="shared" si="8"/>
        <v>1388.6811291700001</v>
      </c>
      <c r="D27" s="1985">
        <f t="shared" si="8"/>
        <v>1683.4500882199998</v>
      </c>
      <c r="E27" s="1985">
        <f t="shared" si="9"/>
        <v>2793.9685544699996</v>
      </c>
      <c r="F27" s="1985">
        <f t="shared" si="10"/>
        <v>1348.22280325</v>
      </c>
      <c r="G27" s="1985">
        <f t="shared" si="11"/>
        <v>1445.7457512199999</v>
      </c>
      <c r="H27" s="1985">
        <f t="shared" si="12"/>
        <v>278.16266292</v>
      </c>
      <c r="I27" s="1985">
        <f t="shared" si="13"/>
        <v>40.45832592</v>
      </c>
      <c r="J27" s="1985">
        <f t="shared" si="14"/>
        <v>237.70433699999998</v>
      </c>
      <c r="K27" s="1985">
        <f t="shared" si="17"/>
        <v>1993.4201421499997</v>
      </c>
      <c r="L27" s="1985">
        <f t="shared" si="16"/>
        <v>1021.0301880199999</v>
      </c>
      <c r="M27" s="1985">
        <v>999.51221319999991</v>
      </c>
      <c r="N27" s="1985">
        <v>21.517974819999999</v>
      </c>
      <c r="O27" s="1985">
        <f t="shared" si="0"/>
        <v>972.38995412999998</v>
      </c>
      <c r="P27" s="1985">
        <v>863.64217873999996</v>
      </c>
      <c r="Q27" s="1985">
        <v>108.74777538999999</v>
      </c>
      <c r="R27" s="1985">
        <f t="shared" si="1"/>
        <v>575.05018775999997</v>
      </c>
      <c r="S27" s="1985">
        <f t="shared" si="2"/>
        <v>352.36563034999995</v>
      </c>
      <c r="T27" s="1985">
        <v>341.89018159999995</v>
      </c>
      <c r="U27" s="1985">
        <v>10.47544875</v>
      </c>
      <c r="V27" s="1985">
        <f t="shared" si="3"/>
        <v>222.68455740999997</v>
      </c>
      <c r="W27" s="1985">
        <v>191.33102738999997</v>
      </c>
      <c r="X27" s="1985">
        <v>31.353530020000001</v>
      </c>
      <c r="Y27" s="1985">
        <f t="shared" si="4"/>
        <v>1078.7110752399999</v>
      </c>
      <c r="Z27" s="1985">
        <f t="shared" si="5"/>
        <v>367.65094114999999</v>
      </c>
      <c r="AA27" s="1985">
        <v>348.71059005000001</v>
      </c>
      <c r="AB27" s="1985">
        <v>18.940351100000001</v>
      </c>
      <c r="AC27" s="1985">
        <f t="shared" si="6"/>
        <v>711.06013409000002</v>
      </c>
      <c r="AD27" s="1985">
        <v>582.10357248000003</v>
      </c>
      <c r="AE27" s="1985">
        <v>128.95656160999999</v>
      </c>
    </row>
    <row r="28" spans="1:31" hidden="1">
      <c r="A28" s="1588">
        <v>2</v>
      </c>
      <c r="B28" s="1985">
        <f t="shared" si="7"/>
        <v>3142.9067649100002</v>
      </c>
      <c r="C28" s="1985">
        <f t="shared" si="8"/>
        <v>1487.8513265500001</v>
      </c>
      <c r="D28" s="1985">
        <f t="shared" si="8"/>
        <v>1655.0554383600002</v>
      </c>
      <c r="E28" s="1985">
        <f t="shared" si="9"/>
        <v>2864.0972923200006</v>
      </c>
      <c r="F28" s="1985">
        <f t="shared" si="10"/>
        <v>1446.9984427000002</v>
      </c>
      <c r="G28" s="1985">
        <f t="shared" si="11"/>
        <v>1417.0988496200002</v>
      </c>
      <c r="H28" s="1985">
        <f t="shared" si="12"/>
        <v>278.80947258999998</v>
      </c>
      <c r="I28" s="1985">
        <f t="shared" si="13"/>
        <v>40.852883849999998</v>
      </c>
      <c r="J28" s="1985">
        <f t="shared" si="14"/>
        <v>237.95658874</v>
      </c>
      <c r="K28" s="1985">
        <f t="shared" si="17"/>
        <v>2049.83709924</v>
      </c>
      <c r="L28" s="1985">
        <f t="shared" si="16"/>
        <v>1115.1497055100001</v>
      </c>
      <c r="M28" s="1985">
        <v>1093.3286710100001</v>
      </c>
      <c r="N28" s="1985">
        <v>21.8210345</v>
      </c>
      <c r="O28" s="1985">
        <f t="shared" si="0"/>
        <v>934.68739373000005</v>
      </c>
      <c r="P28" s="1985">
        <v>828.14898779000009</v>
      </c>
      <c r="Q28" s="1985">
        <v>106.53840593999999</v>
      </c>
      <c r="R28" s="1985">
        <f t="shared" si="1"/>
        <v>614.03971422999996</v>
      </c>
      <c r="S28" s="1985">
        <f t="shared" si="2"/>
        <v>426.50273661</v>
      </c>
      <c r="T28" s="1985">
        <v>415.08898418000001</v>
      </c>
      <c r="U28" s="1985">
        <v>11.413752429999999</v>
      </c>
      <c r="V28" s="1985">
        <f t="shared" si="3"/>
        <v>187.53697761999999</v>
      </c>
      <c r="W28" s="1985">
        <v>155.81740033</v>
      </c>
      <c r="X28" s="1985">
        <v>31.71957729</v>
      </c>
      <c r="Y28" s="1985">
        <f t="shared" si="4"/>
        <v>1093.0696656699999</v>
      </c>
      <c r="Z28" s="1985">
        <f t="shared" si="5"/>
        <v>372.70162104000002</v>
      </c>
      <c r="AA28" s="1985">
        <v>353.66977169</v>
      </c>
      <c r="AB28" s="1985">
        <v>19.031849350000002</v>
      </c>
      <c r="AC28" s="1985">
        <f t="shared" si="6"/>
        <v>720.36804462999999</v>
      </c>
      <c r="AD28" s="1985">
        <v>588.94986183000003</v>
      </c>
      <c r="AE28" s="1985">
        <v>131.41818280000001</v>
      </c>
    </row>
    <row r="29" spans="1:31" hidden="1">
      <c r="A29" s="1588">
        <v>3</v>
      </c>
      <c r="B29" s="1985">
        <f t="shared" si="7"/>
        <v>3289.13620975</v>
      </c>
      <c r="C29" s="1985">
        <f t="shared" si="8"/>
        <v>1514.67471271</v>
      </c>
      <c r="D29" s="1985">
        <f t="shared" si="8"/>
        <v>1774.46149704</v>
      </c>
      <c r="E29" s="1985">
        <f t="shared" si="9"/>
        <v>3005.1889364899998</v>
      </c>
      <c r="F29" s="1985">
        <f t="shared" si="10"/>
        <v>1476.5827620099999</v>
      </c>
      <c r="G29" s="1985">
        <f t="shared" si="11"/>
        <v>1528.6061744799999</v>
      </c>
      <c r="H29" s="1985">
        <f t="shared" si="12"/>
        <v>283.94727326000003</v>
      </c>
      <c r="I29" s="1985">
        <f t="shared" si="13"/>
        <v>38.091950699999998</v>
      </c>
      <c r="J29" s="1985">
        <f t="shared" si="14"/>
        <v>245.85532256000002</v>
      </c>
      <c r="K29" s="1985">
        <f t="shared" si="17"/>
        <v>2089.5310464099998</v>
      </c>
      <c r="L29" s="1985">
        <f t="shared" si="16"/>
        <v>1139.58409345</v>
      </c>
      <c r="M29" s="1985">
        <v>1117.7655891899999</v>
      </c>
      <c r="N29" s="1985">
        <v>21.818504259999997</v>
      </c>
      <c r="O29" s="1985">
        <f t="shared" si="0"/>
        <v>949.94695295999998</v>
      </c>
      <c r="P29" s="1985">
        <v>839.16299196</v>
      </c>
      <c r="Q29" s="1985">
        <v>110.78396100000001</v>
      </c>
      <c r="R29" s="1985">
        <f t="shared" si="1"/>
        <v>608.64503751999996</v>
      </c>
      <c r="S29" s="1985">
        <f t="shared" si="2"/>
        <v>411.43732685999998</v>
      </c>
      <c r="T29" s="1985">
        <v>400.05283784</v>
      </c>
      <c r="U29" s="1985">
        <v>11.384489019999998</v>
      </c>
      <c r="V29" s="1985">
        <f t="shared" si="3"/>
        <v>197.20771066000003</v>
      </c>
      <c r="W29" s="1985">
        <v>164.54670804000003</v>
      </c>
      <c r="X29" s="1985">
        <v>32.661002620000005</v>
      </c>
      <c r="Y29" s="1985">
        <f t="shared" si="4"/>
        <v>1199.60516334</v>
      </c>
      <c r="Z29" s="1985">
        <f t="shared" si="5"/>
        <v>375.09061925999998</v>
      </c>
      <c r="AA29" s="1985">
        <v>358.81717282</v>
      </c>
      <c r="AB29" s="1985">
        <v>16.273446440000001</v>
      </c>
      <c r="AC29" s="1985">
        <f t="shared" si="6"/>
        <v>824.51454407999995</v>
      </c>
      <c r="AD29" s="1985">
        <v>689.44318251999994</v>
      </c>
      <c r="AE29" s="1985">
        <v>135.07136156000001</v>
      </c>
    </row>
    <row r="30" spans="1:31" hidden="1">
      <c r="A30" s="1588">
        <v>4</v>
      </c>
      <c r="B30" s="1985">
        <f>+C30+D30</f>
        <v>3358.6820325299996</v>
      </c>
      <c r="C30" s="1985">
        <f t="shared" ref="C30:D32" si="18">+F30+I30</f>
        <v>1555.9722181799998</v>
      </c>
      <c r="D30" s="1985">
        <f t="shared" si="18"/>
        <v>1802.7098143499998</v>
      </c>
      <c r="E30" s="1985">
        <f>+F30+G30</f>
        <v>3069.7795907299997</v>
      </c>
      <c r="F30" s="1985">
        <f>+M30+AA30</f>
        <v>1517.8652517399998</v>
      </c>
      <c r="G30" s="1985">
        <f>+P30+AD30</f>
        <v>1551.9143389899998</v>
      </c>
      <c r="H30" s="1985">
        <f>+I30+J30</f>
        <v>288.90244180000002</v>
      </c>
      <c r="I30" s="1985">
        <f>+N30+AB30</f>
        <v>38.106966439999994</v>
      </c>
      <c r="J30" s="1985">
        <f>+Q30+AE30</f>
        <v>250.79547536000001</v>
      </c>
      <c r="K30" s="1985">
        <f>+L30+O30</f>
        <v>2120.3649516299997</v>
      </c>
      <c r="L30" s="1985">
        <f>+M30+N30</f>
        <v>1154.45868636</v>
      </c>
      <c r="M30" s="1985">
        <v>1132.7305356899999</v>
      </c>
      <c r="N30" s="1985">
        <v>21.728150669999998</v>
      </c>
      <c r="O30" s="1985">
        <f>P30+Q30</f>
        <v>965.90626526999984</v>
      </c>
      <c r="P30" s="1985">
        <v>852.45385943999986</v>
      </c>
      <c r="Q30" s="1985">
        <v>113.45240583</v>
      </c>
      <c r="R30" s="1985">
        <f>S30+V30</f>
        <v>631.13291092999998</v>
      </c>
      <c r="S30" s="1985">
        <f>T30+U30</f>
        <v>430.59949551</v>
      </c>
      <c r="T30" s="1985">
        <v>418.93577388</v>
      </c>
      <c r="U30" s="1985">
        <v>11.663721630000001</v>
      </c>
      <c r="V30" s="1985">
        <f>W30+X30</f>
        <v>200.53341541999995</v>
      </c>
      <c r="W30" s="1985">
        <v>166.31272977999996</v>
      </c>
      <c r="X30" s="1985">
        <v>34.220685639999992</v>
      </c>
      <c r="Y30" s="1985">
        <f>Z30+AC30</f>
        <v>1238.3170808999998</v>
      </c>
      <c r="Z30" s="1985">
        <f>AA30+AB30</f>
        <v>401.51353182000003</v>
      </c>
      <c r="AA30" s="1985">
        <v>385.13471605000001</v>
      </c>
      <c r="AB30" s="1985">
        <v>16.378815769999999</v>
      </c>
      <c r="AC30" s="1985">
        <f>AD30+AE30</f>
        <v>836.80354907999993</v>
      </c>
      <c r="AD30" s="1985">
        <v>699.46047954999995</v>
      </c>
      <c r="AE30" s="1985">
        <v>137.34306953000001</v>
      </c>
    </row>
    <row r="31" spans="1:31" hidden="1">
      <c r="A31" s="1588">
        <v>5</v>
      </c>
      <c r="B31" s="1985">
        <f>+C31+D31</f>
        <v>3321.4622767800001</v>
      </c>
      <c r="C31" s="1985">
        <f t="shared" si="18"/>
        <v>1577.7175126500001</v>
      </c>
      <c r="D31" s="1985">
        <f t="shared" si="18"/>
        <v>1743.7447641299998</v>
      </c>
      <c r="E31" s="1985">
        <f>+F31+G31</f>
        <v>3029.0114991099999</v>
      </c>
      <c r="F31" s="1985">
        <f>+M31+AA31</f>
        <v>1537.9609659600001</v>
      </c>
      <c r="G31" s="1985">
        <f>+P31+AD31</f>
        <v>1491.0505331499999</v>
      </c>
      <c r="H31" s="1985">
        <f>+I31+J31</f>
        <v>292.45077766999998</v>
      </c>
      <c r="I31" s="1985">
        <f>+N31+AB31</f>
        <v>39.75654669</v>
      </c>
      <c r="J31" s="1985">
        <f>+Q31+AE31</f>
        <v>252.69423097999999</v>
      </c>
      <c r="K31" s="1985">
        <f>+L31+O31</f>
        <v>2117.8241179699999</v>
      </c>
      <c r="L31" s="1985">
        <f>(+M31+N31)</f>
        <v>1153.1648539100001</v>
      </c>
      <c r="M31" s="1985">
        <v>1129.6905461700001</v>
      </c>
      <c r="N31" s="1985">
        <v>23.47430774</v>
      </c>
      <c r="O31" s="1985">
        <f>P31+Q31</f>
        <v>964.65926405999994</v>
      </c>
      <c r="P31" s="1985">
        <v>848.68281552999997</v>
      </c>
      <c r="Q31" s="1985">
        <v>115.97644853000001</v>
      </c>
      <c r="R31" s="1985">
        <f>S31+V31</f>
        <v>640.54337295000005</v>
      </c>
      <c r="S31" s="1985">
        <f>T31+U31</f>
        <v>428.80747981000002</v>
      </c>
      <c r="T31" s="1985">
        <v>416.40295070000002</v>
      </c>
      <c r="U31" s="1985">
        <v>12.40452911</v>
      </c>
      <c r="V31" s="1985">
        <f>W31+X31</f>
        <v>211.73589314000003</v>
      </c>
      <c r="W31" s="1985">
        <v>175.08719787000001</v>
      </c>
      <c r="X31" s="1985">
        <v>36.648695270000005</v>
      </c>
      <c r="Y31" s="1985">
        <f>Z31+AC31</f>
        <v>1203.63815881</v>
      </c>
      <c r="Z31" s="1985">
        <f>AA31+AB31</f>
        <v>424.55265874000003</v>
      </c>
      <c r="AA31" s="1985">
        <v>408.27041979000001</v>
      </c>
      <c r="AB31" s="1985">
        <v>16.28223895</v>
      </c>
      <c r="AC31" s="1985">
        <f>AD31+AE31</f>
        <v>779.08550006999997</v>
      </c>
      <c r="AD31" s="1985">
        <v>642.36771762000001</v>
      </c>
      <c r="AE31" s="1985">
        <v>136.71778244999999</v>
      </c>
    </row>
    <row r="32" spans="1:31" hidden="1">
      <c r="A32" s="1588">
        <v>6</v>
      </c>
      <c r="B32" s="1985">
        <f>+C32+D32</f>
        <v>3451.4294540000001</v>
      </c>
      <c r="C32" s="1985">
        <f t="shared" si="18"/>
        <v>1674.2001243799998</v>
      </c>
      <c r="D32" s="1985">
        <f t="shared" si="18"/>
        <v>1777.22932962</v>
      </c>
      <c r="E32" s="1985">
        <f>+F32+G32</f>
        <v>3156.3301891999999</v>
      </c>
      <c r="F32" s="1985">
        <f>+M32+AA32</f>
        <v>1634.7911974899998</v>
      </c>
      <c r="G32" s="1985">
        <f>+P32+AD32</f>
        <v>1521.5389917100001</v>
      </c>
      <c r="H32" s="1985">
        <f>+I32+J32</f>
        <v>295.09926480000001</v>
      </c>
      <c r="I32" s="1985">
        <f>+N32+AB32</f>
        <v>39.408926889999996</v>
      </c>
      <c r="J32" s="1985">
        <f>+Q32+AE32</f>
        <v>255.69033791000001</v>
      </c>
      <c r="K32" s="1985">
        <f>+L32+O32</f>
        <v>2202.2772249700001</v>
      </c>
      <c r="L32" s="1985">
        <f>(+M32+N32)</f>
        <v>1235.13767117</v>
      </c>
      <c r="M32" s="1985">
        <v>1211.62053167</v>
      </c>
      <c r="N32" s="1985">
        <v>23.517139499999999</v>
      </c>
      <c r="O32" s="1985">
        <f>P32+Q32</f>
        <v>967.13955379999993</v>
      </c>
      <c r="P32" s="1985">
        <v>851.26943202999996</v>
      </c>
      <c r="Q32" s="1985">
        <v>115.87012177</v>
      </c>
      <c r="R32" s="1985">
        <f>S32+V32</f>
        <v>698.21442935000005</v>
      </c>
      <c r="S32" s="1985">
        <f>T32+U32</f>
        <v>485.03161867000006</v>
      </c>
      <c r="T32" s="1985">
        <v>473.29168300000003</v>
      </c>
      <c r="U32" s="1985">
        <v>11.739935669999999</v>
      </c>
      <c r="V32" s="1985">
        <f>W32+X32</f>
        <v>213.18281067999999</v>
      </c>
      <c r="W32" s="1985">
        <v>174.3885018</v>
      </c>
      <c r="X32" s="1985">
        <v>38.794308880000003</v>
      </c>
      <c r="Y32" s="1985">
        <f>Z32+AC32</f>
        <v>1249.1522290299999</v>
      </c>
      <c r="Z32" s="1985">
        <f>AA32+AB32</f>
        <v>439.06245320999994</v>
      </c>
      <c r="AA32" s="1985">
        <v>423.17066581999995</v>
      </c>
      <c r="AB32" s="1985">
        <v>15.891787389999999</v>
      </c>
      <c r="AC32" s="1985">
        <f>AD32+AE32</f>
        <v>810.08977582000011</v>
      </c>
      <c r="AD32" s="1985">
        <v>670.26955968000004</v>
      </c>
      <c r="AE32" s="1985">
        <v>139.82021614000001</v>
      </c>
    </row>
    <row r="33" spans="1:31" hidden="1">
      <c r="A33" s="1588">
        <v>7</v>
      </c>
      <c r="B33" s="1985">
        <f>+C33+D33</f>
        <v>3543.6408617500001</v>
      </c>
      <c r="C33" s="1985">
        <f>+F33+I33</f>
        <v>1745.40367109</v>
      </c>
      <c r="D33" s="1985">
        <f>+G33+J33</f>
        <v>1798.2371906600001</v>
      </c>
      <c r="E33" s="1985">
        <f>+F33+G33</f>
        <v>3228.1626874399999</v>
      </c>
      <c r="F33" s="1985">
        <f>+M33+AA33</f>
        <v>1705.19663517</v>
      </c>
      <c r="G33" s="1985">
        <f>+P33+AD33</f>
        <v>1522.9660522700001</v>
      </c>
      <c r="H33" s="1985">
        <f>+I33+J33</f>
        <v>315.47817431000004</v>
      </c>
      <c r="I33" s="1985">
        <f>+N33+AB33</f>
        <v>40.207035919999996</v>
      </c>
      <c r="J33" s="1985">
        <f>+Q33+AE33</f>
        <v>275.27113839000003</v>
      </c>
      <c r="K33" s="1985">
        <f>+L33+O33</f>
        <v>2242.1092349400001</v>
      </c>
      <c r="L33" s="1985">
        <f>(+M33+N33)</f>
        <v>1278.6928524700002</v>
      </c>
      <c r="M33" s="1985">
        <v>1254.6082479900001</v>
      </c>
      <c r="N33" s="1985">
        <v>24.084604479999999</v>
      </c>
      <c r="O33" s="1985">
        <f>P33+Q33</f>
        <v>963.41638246999992</v>
      </c>
      <c r="P33" s="1985">
        <v>831.78723308999997</v>
      </c>
      <c r="Q33" s="1985">
        <v>131.62914938</v>
      </c>
      <c r="R33" s="1985">
        <f>S33+V33</f>
        <v>738.9080111400001</v>
      </c>
      <c r="S33" s="1985">
        <f>T33+U33</f>
        <v>517.85449964000009</v>
      </c>
      <c r="T33" s="1985">
        <v>506.18611441000007</v>
      </c>
      <c r="U33" s="1985">
        <v>11.66838523</v>
      </c>
      <c r="V33" s="1985">
        <f>W33+X33</f>
        <v>221.05351150000001</v>
      </c>
      <c r="W33" s="1985">
        <v>180.77334060000001</v>
      </c>
      <c r="X33" s="1985">
        <v>40.280170900000002</v>
      </c>
      <c r="Y33" s="1985">
        <f>Z33+AC33</f>
        <v>1301.53162681</v>
      </c>
      <c r="Z33" s="1985">
        <f>AA33+AB33</f>
        <v>466.71081862</v>
      </c>
      <c r="AA33" s="1985">
        <v>450.58838717999998</v>
      </c>
      <c r="AB33" s="1985">
        <v>16.12243144</v>
      </c>
      <c r="AC33" s="1985">
        <f>AD33+AE33</f>
        <v>834.82080818999998</v>
      </c>
      <c r="AD33" s="1985">
        <v>691.17881918</v>
      </c>
      <c r="AE33" s="1985">
        <v>143.64198901</v>
      </c>
    </row>
    <row r="34" spans="1:31" hidden="1">
      <c r="A34" s="1588">
        <v>8</v>
      </c>
      <c r="B34" s="1985">
        <v>3660.7234386299997</v>
      </c>
      <c r="C34" s="1985">
        <v>1837.70567848</v>
      </c>
      <c r="D34" s="1985">
        <v>1823.01776015</v>
      </c>
      <c r="E34" s="1985">
        <v>3341.2512515199996</v>
      </c>
      <c r="F34" s="1985">
        <v>1793.2349224299999</v>
      </c>
      <c r="G34" s="1985">
        <v>1548.01632909</v>
      </c>
      <c r="H34" s="1985">
        <v>319.47218710999994</v>
      </c>
      <c r="I34" s="1985">
        <v>44.470756049999999</v>
      </c>
      <c r="J34" s="1985">
        <v>275.00143105999996</v>
      </c>
      <c r="K34" s="1985">
        <v>2304.4993147599998</v>
      </c>
      <c r="L34" s="1985">
        <v>1343.9873504899999</v>
      </c>
      <c r="M34" s="1985">
        <v>1315.0583001099999</v>
      </c>
      <c r="N34" s="1985">
        <v>28.92905038</v>
      </c>
      <c r="O34" s="1985">
        <v>960.51196427000002</v>
      </c>
      <c r="P34" s="1985">
        <v>829.61670271000003</v>
      </c>
      <c r="Q34" s="1985">
        <v>130.89526155999999</v>
      </c>
      <c r="R34" s="1985">
        <v>774.89832870999999</v>
      </c>
      <c r="S34" s="1985">
        <v>561.26581954000005</v>
      </c>
      <c r="T34" s="1985">
        <v>546.19266758000003</v>
      </c>
      <c r="U34" s="1985">
        <v>15.073151960000001</v>
      </c>
      <c r="V34" s="1985">
        <v>213.63250916999999</v>
      </c>
      <c r="W34" s="1985">
        <v>174.74798201999999</v>
      </c>
      <c r="X34" s="1985">
        <v>38.884527149999997</v>
      </c>
      <c r="Y34" s="1985">
        <v>1356.2241238699999</v>
      </c>
      <c r="Z34" s="1985">
        <v>493.71832798999998</v>
      </c>
      <c r="AA34" s="1985">
        <v>478.17662231999998</v>
      </c>
      <c r="AB34" s="1985">
        <v>15.541705670000001</v>
      </c>
      <c r="AC34" s="1985">
        <v>862.50579587999994</v>
      </c>
      <c r="AD34" s="1985">
        <v>718.39962637999997</v>
      </c>
      <c r="AE34" s="1985">
        <v>144.10616949999999</v>
      </c>
    </row>
    <row r="35" spans="1:31" hidden="1">
      <c r="A35" s="1588">
        <v>9</v>
      </c>
      <c r="B35" s="1985">
        <f>+C35+D35</f>
        <v>3622.4216608500001</v>
      </c>
      <c r="C35" s="1985">
        <f t="shared" ref="C35:D37" si="19">+F35+I35</f>
        <v>1798.7007750599998</v>
      </c>
      <c r="D35" s="1985">
        <f t="shared" si="19"/>
        <v>1823.7208857900002</v>
      </c>
      <c r="E35" s="1985">
        <f>+F35+G35</f>
        <v>3301.87825918</v>
      </c>
      <c r="F35" s="1985">
        <f>+M35+AA35</f>
        <v>1755.7630382799998</v>
      </c>
      <c r="G35" s="1985">
        <f>+P35+AD35</f>
        <v>1546.1152209000002</v>
      </c>
      <c r="H35" s="1985">
        <f>+I35+J35</f>
        <v>320.54340167000004</v>
      </c>
      <c r="I35" s="1985">
        <f>+N35+AB35</f>
        <v>42.937736780000002</v>
      </c>
      <c r="J35" s="1985">
        <f>+Q35+AE35</f>
        <v>277.60566489000001</v>
      </c>
      <c r="K35" s="1985">
        <f>+L35+O35</f>
        <v>2207.5095781600003</v>
      </c>
      <c r="L35" s="1985">
        <f>M35+N35</f>
        <v>1270.9284819699999</v>
      </c>
      <c r="M35" s="1985">
        <v>1243.27559415</v>
      </c>
      <c r="N35" s="1985">
        <v>27.65288782</v>
      </c>
      <c r="O35" s="1985">
        <f>P35+Q35</f>
        <v>936.58109619000015</v>
      </c>
      <c r="P35" s="1985">
        <v>805.39899179000008</v>
      </c>
      <c r="Q35" s="1985">
        <v>131.18210440000001</v>
      </c>
      <c r="R35" s="1985">
        <f>S35+V35</f>
        <v>663.32986907999998</v>
      </c>
      <c r="S35" s="1985">
        <f>T35+U35</f>
        <v>454.73067648</v>
      </c>
      <c r="T35" s="1985">
        <v>441.42866126000001</v>
      </c>
      <c r="U35" s="1985">
        <v>13.302015219999999</v>
      </c>
      <c r="V35" s="1985">
        <f>W35+X35</f>
        <v>208.59919260000001</v>
      </c>
      <c r="W35" s="1985">
        <v>172.77462405</v>
      </c>
      <c r="X35" s="1985">
        <v>35.824568550000002</v>
      </c>
      <c r="Y35" s="1985">
        <f>Z35+AC35</f>
        <v>1414.91208269</v>
      </c>
      <c r="Z35" s="1985">
        <f>AA35+AB35</f>
        <v>527.77229308999995</v>
      </c>
      <c r="AA35" s="1985">
        <v>512.48744412999997</v>
      </c>
      <c r="AB35" s="1985">
        <v>15.28484896</v>
      </c>
      <c r="AC35" s="1985">
        <f>AD35+AE35</f>
        <v>887.13978960000009</v>
      </c>
      <c r="AD35" s="1985">
        <v>740.71622911000009</v>
      </c>
      <c r="AE35" s="1985">
        <v>146.42356049</v>
      </c>
    </row>
    <row r="36" spans="1:31" hidden="1">
      <c r="A36" s="1588">
        <v>10</v>
      </c>
      <c r="B36" s="1985">
        <f>+C36+D36</f>
        <v>3674.9500908</v>
      </c>
      <c r="C36" s="1985">
        <f t="shared" si="19"/>
        <v>1823.2473730700001</v>
      </c>
      <c r="D36" s="1985">
        <f t="shared" si="19"/>
        <v>1851.7027177300001</v>
      </c>
      <c r="E36" s="1985">
        <f>+F36+G36</f>
        <v>3349.0632772400004</v>
      </c>
      <c r="F36" s="1985">
        <f>+M36+AA36</f>
        <v>1778.6873445800002</v>
      </c>
      <c r="G36" s="1985">
        <f>+P36+AD36</f>
        <v>1570.37593266</v>
      </c>
      <c r="H36" s="1985">
        <f>+I36+J36</f>
        <v>325.88681356000001</v>
      </c>
      <c r="I36" s="1985">
        <f>+N36+AB36</f>
        <v>44.560028490000001</v>
      </c>
      <c r="J36" s="1985">
        <f>+Q36+AE36</f>
        <v>281.32678507000003</v>
      </c>
      <c r="K36" s="1985">
        <f>+L36+O36</f>
        <v>2218.5641748200001</v>
      </c>
      <c r="L36" s="1985">
        <f>M36+N36</f>
        <v>1277.2987592700001</v>
      </c>
      <c r="M36" s="1985">
        <v>1248.6488293500001</v>
      </c>
      <c r="N36" s="1985">
        <v>28.649929919999998</v>
      </c>
      <c r="O36" s="1985">
        <f>P36+Q36</f>
        <v>941.26541554999994</v>
      </c>
      <c r="P36" s="1985">
        <v>808.84038536999992</v>
      </c>
      <c r="Q36" s="1985">
        <v>132.42503018000002</v>
      </c>
      <c r="R36" s="1985">
        <f>S36+V36</f>
        <v>643.05534983999996</v>
      </c>
      <c r="S36" s="1985">
        <f>T36+U36</f>
        <v>432.68067533999999</v>
      </c>
      <c r="T36" s="1985">
        <v>418.71257238999999</v>
      </c>
      <c r="U36" s="1985">
        <v>13.96810295</v>
      </c>
      <c r="V36" s="1985">
        <f>W36+X36</f>
        <v>210.3746745</v>
      </c>
      <c r="W36" s="1985">
        <v>175.16818782999999</v>
      </c>
      <c r="X36" s="1985">
        <v>35.206486670000004</v>
      </c>
      <c r="Y36" s="1985">
        <f>Z36+AC36</f>
        <v>1456.3859159799999</v>
      </c>
      <c r="Z36" s="1985">
        <f>AA36+AB36</f>
        <v>545.94861379999998</v>
      </c>
      <c r="AA36" s="1985">
        <v>530.03851523000003</v>
      </c>
      <c r="AB36" s="1985">
        <v>15.910098570000001</v>
      </c>
      <c r="AC36" s="1985">
        <f>AD36+AE36</f>
        <v>910.43730218000007</v>
      </c>
      <c r="AD36" s="1985">
        <v>761.53554729000007</v>
      </c>
      <c r="AE36" s="1985">
        <v>148.90175489000001</v>
      </c>
    </row>
    <row r="37" spans="1:31" hidden="1">
      <c r="A37" s="1588">
        <v>11</v>
      </c>
      <c r="B37" s="1985">
        <f>+C37+D37</f>
        <v>3830.0952434999999</v>
      </c>
      <c r="C37" s="1985">
        <f t="shared" si="19"/>
        <v>1970.17044476</v>
      </c>
      <c r="D37" s="1985">
        <f t="shared" si="19"/>
        <v>1859.9247987399999</v>
      </c>
      <c r="E37" s="1985">
        <f>+F37+G37</f>
        <v>3481.2427367199998</v>
      </c>
      <c r="F37" s="1985">
        <f>+M37+AA37</f>
        <v>1924.90769974</v>
      </c>
      <c r="G37" s="1985">
        <f>+P37+AD37</f>
        <v>1556.33503698</v>
      </c>
      <c r="H37" s="1985">
        <f>+I37+J37</f>
        <v>348.85250678</v>
      </c>
      <c r="I37" s="1985">
        <f>+N37+AB37</f>
        <v>45.262745019999997</v>
      </c>
      <c r="J37" s="1985">
        <f>+Q37+AE37</f>
        <v>303.58976175999999</v>
      </c>
      <c r="K37" s="1985">
        <f>+L37+O37</f>
        <v>2392.6496577799999</v>
      </c>
      <c r="L37" s="1985">
        <f>M37+N37</f>
        <v>1358.91171371</v>
      </c>
      <c r="M37" s="1985">
        <v>1330.7775355799999</v>
      </c>
      <c r="N37" s="1985">
        <v>28.134178129999999</v>
      </c>
      <c r="O37" s="1985">
        <f>P37+Q37</f>
        <v>1033.7379440700001</v>
      </c>
      <c r="P37" s="1985">
        <v>852.83691593000003</v>
      </c>
      <c r="Q37" s="1985">
        <v>180.90102813999999</v>
      </c>
      <c r="R37" s="1985">
        <f>S37+V37</f>
        <v>749.28207334000001</v>
      </c>
      <c r="S37" s="1985">
        <f>T37+U37</f>
        <v>493.74183979000003</v>
      </c>
      <c r="T37" s="1985">
        <v>480.87453503</v>
      </c>
      <c r="U37" s="1985">
        <v>12.86730476</v>
      </c>
      <c r="V37" s="1985">
        <f>W37+X37</f>
        <v>255.54023355000001</v>
      </c>
      <c r="W37" s="1985">
        <v>205.76126374</v>
      </c>
      <c r="X37" s="1985">
        <v>49.77896981</v>
      </c>
      <c r="Y37" s="1985">
        <f>Z37+AC37</f>
        <v>1437.4455857200001</v>
      </c>
      <c r="Z37" s="1985">
        <f>AA37+AB37</f>
        <v>611.25873105000005</v>
      </c>
      <c r="AA37" s="1985">
        <v>594.13016416000005</v>
      </c>
      <c r="AB37" s="1985">
        <v>17.128566889999998</v>
      </c>
      <c r="AC37" s="1985">
        <f>AD37+AE37</f>
        <v>826.18685467</v>
      </c>
      <c r="AD37" s="1985">
        <v>703.49812105000001</v>
      </c>
      <c r="AE37" s="1985">
        <v>122.68873361999999</v>
      </c>
    </row>
    <row r="38" spans="1:31" hidden="1">
      <c r="A38" s="1588">
        <v>12</v>
      </c>
      <c r="B38" s="1985">
        <f>+C38+D38</f>
        <v>4119.8374570199994</v>
      </c>
      <c r="C38" s="1985">
        <f>+F38+I38</f>
        <v>2281.6742900099998</v>
      </c>
      <c r="D38" s="1985">
        <f>+G38+J38</f>
        <v>1838.1631670100001</v>
      </c>
      <c r="E38" s="1985">
        <f>+F38+G38</f>
        <v>3747.3870726099994</v>
      </c>
      <c r="F38" s="1985">
        <f>+M38+AA38</f>
        <v>2225.2523184399997</v>
      </c>
      <c r="G38" s="1985">
        <f>+P38+AD38</f>
        <v>1522.13475417</v>
      </c>
      <c r="H38" s="1985">
        <f>+I38+J38</f>
        <v>372.45038440999997</v>
      </c>
      <c r="I38" s="1985">
        <f>+N38+AB38</f>
        <v>56.421971569999997</v>
      </c>
      <c r="J38" s="1985">
        <f>+Q38+AE38</f>
        <v>316.02841283999999</v>
      </c>
      <c r="K38" s="1985">
        <f>+L38+O38</f>
        <v>2640.2781299799999</v>
      </c>
      <c r="L38" s="1985">
        <f>M38+N38</f>
        <v>1615.5138685099998</v>
      </c>
      <c r="M38" s="1985">
        <v>1576.7078550199999</v>
      </c>
      <c r="N38" s="1985">
        <v>38.806013489999998</v>
      </c>
      <c r="O38" s="1985">
        <f>P38+Q38</f>
        <v>1024.7642614700001</v>
      </c>
      <c r="P38" s="1985">
        <v>846.78046261999998</v>
      </c>
      <c r="Q38" s="1985">
        <v>177.98379885000003</v>
      </c>
      <c r="R38" s="1985">
        <f>S38+V38</f>
        <v>843.78939447999983</v>
      </c>
      <c r="S38" s="1985">
        <f>T38+U38</f>
        <v>613.14276837999989</v>
      </c>
      <c r="T38" s="1985">
        <v>598.90492479999989</v>
      </c>
      <c r="U38" s="1985">
        <v>14.23784358</v>
      </c>
      <c r="V38" s="1985">
        <f>W38+X38</f>
        <v>230.64662609999999</v>
      </c>
      <c r="W38" s="1985">
        <v>188.46886025000001</v>
      </c>
      <c r="X38" s="1985">
        <v>42.17776585</v>
      </c>
      <c r="Y38" s="1985">
        <f>Z38+AC38</f>
        <v>1479.55932704</v>
      </c>
      <c r="Z38" s="1985">
        <f>AA38+AB38</f>
        <v>666.16042149999998</v>
      </c>
      <c r="AA38" s="1985">
        <v>648.54446341999994</v>
      </c>
      <c r="AB38" s="1985">
        <v>17.615958079999999</v>
      </c>
      <c r="AC38" s="1985">
        <f>AD38+AE38</f>
        <v>813.39890553999999</v>
      </c>
      <c r="AD38" s="1985">
        <v>675.35429154999997</v>
      </c>
      <c r="AE38" s="1985">
        <v>138.04461398999999</v>
      </c>
    </row>
    <row r="39" spans="1:31" ht="15.75">
      <c r="A39" s="1586">
        <v>2012</v>
      </c>
      <c r="B39" s="1985">
        <v>5113.4078103299998</v>
      </c>
      <c r="C39" s="1985">
        <v>2963.8571625000004</v>
      </c>
      <c r="D39" s="1985">
        <v>2149.5506478299999</v>
      </c>
      <c r="E39" s="1985">
        <v>4525.1908701800003</v>
      </c>
      <c r="F39" s="1985">
        <v>2889.7716593200003</v>
      </c>
      <c r="G39" s="1985">
        <v>1635.41921086</v>
      </c>
      <c r="H39" s="1985">
        <v>588.21694015000003</v>
      </c>
      <c r="I39" s="1985">
        <v>74.085503180000003</v>
      </c>
      <c r="J39" s="1985">
        <v>514.13143696999998</v>
      </c>
      <c r="K39" s="1985">
        <v>3132.5954872399998</v>
      </c>
      <c r="L39" s="1985">
        <v>2058.5881624799999</v>
      </c>
      <c r="M39" s="1985">
        <v>2002.2039538700001</v>
      </c>
      <c r="N39" s="1985">
        <v>56.384208610000002</v>
      </c>
      <c r="O39" s="1985">
        <v>1074.0073247600001</v>
      </c>
      <c r="P39" s="1985">
        <v>886.2459640300001</v>
      </c>
      <c r="Q39" s="1985">
        <v>187.76136072999998</v>
      </c>
      <c r="R39" s="1985">
        <v>1042.8349062699999</v>
      </c>
      <c r="S39" s="1985">
        <v>777.14939947000005</v>
      </c>
      <c r="T39" s="1985">
        <v>760.27598019000004</v>
      </c>
      <c r="U39" s="1985">
        <v>16.873419280000004</v>
      </c>
      <c r="V39" s="1985">
        <v>265.68550679999998</v>
      </c>
      <c r="W39" s="1985">
        <v>227.82533279</v>
      </c>
      <c r="X39" s="1985">
        <v>37.860174009999994</v>
      </c>
      <c r="Y39" s="1985">
        <v>1980.8123230900001</v>
      </c>
      <c r="Z39" s="1985">
        <v>905.26900002000002</v>
      </c>
      <c r="AA39" s="1985">
        <v>887.56770545000006</v>
      </c>
      <c r="AB39" s="1985">
        <v>17.701294570000002</v>
      </c>
      <c r="AC39" s="1985">
        <v>1075.54332307</v>
      </c>
      <c r="AD39" s="1985">
        <v>749.17324683000004</v>
      </c>
      <c r="AE39" s="1985">
        <v>326.37007624</v>
      </c>
    </row>
    <row r="40" spans="1:31" hidden="1">
      <c r="A40" s="1588">
        <v>1</v>
      </c>
      <c r="B40" s="1589">
        <f t="shared" ref="B40:B51" si="20">+C40+D40</f>
        <v>4179.4653587800003</v>
      </c>
      <c r="C40" s="1589">
        <f t="shared" ref="C40:D51" si="21">+F40+I40</f>
        <v>2314.9857024400003</v>
      </c>
      <c r="D40" s="1589">
        <f t="shared" si="21"/>
        <v>1864.47965634</v>
      </c>
      <c r="E40" s="1589">
        <f t="shared" ref="E40:E51" si="22">+F40+G40</f>
        <v>3796.0538128400003</v>
      </c>
      <c r="F40" s="1589">
        <f t="shared" ref="F40:F51" si="23">+M40+AA40</f>
        <v>2255.7079404400001</v>
      </c>
      <c r="G40" s="1589">
        <f t="shared" ref="G40:G51" si="24">+P40+AD40</f>
        <v>1540.3458724</v>
      </c>
      <c r="H40" s="1589">
        <f t="shared" ref="H40:H51" si="25">+I40+J40</f>
        <v>383.41154593999994</v>
      </c>
      <c r="I40" s="1589">
        <f t="shared" ref="I40:I51" si="26">+N40+AB40</f>
        <v>59.277761999999996</v>
      </c>
      <c r="J40" s="1589">
        <f t="shared" ref="J40:J51" si="27">+Q40+AE40</f>
        <v>324.13378393999994</v>
      </c>
      <c r="K40" s="1589">
        <f t="shared" ref="K40:K51" si="28">+L40+O40</f>
        <v>2647.40506215</v>
      </c>
      <c r="L40" s="1589">
        <f t="shared" ref="L40:L51" si="29">+M40+N40</f>
        <v>1621.2583045699998</v>
      </c>
      <c r="M40" s="1589">
        <v>1580.7951487099999</v>
      </c>
      <c r="N40" s="1589">
        <v>40.463155860000001</v>
      </c>
      <c r="O40" s="1589">
        <f t="shared" ref="O40:O51" si="30">P40+Q40</f>
        <v>1026.14675758</v>
      </c>
      <c r="P40" s="1589">
        <v>847.99000544</v>
      </c>
      <c r="Q40" s="1589">
        <v>178.15675213999998</v>
      </c>
      <c r="R40" s="1589">
        <f t="shared" ref="R40:R51" si="31">S40+V40</f>
        <v>840.72890419000009</v>
      </c>
      <c r="S40" s="1589">
        <f t="shared" ref="S40:S51" si="32">T40+U40</f>
        <v>613.40160514000013</v>
      </c>
      <c r="T40" s="1589">
        <v>599.42742643000008</v>
      </c>
      <c r="U40" s="1589">
        <v>13.97417871</v>
      </c>
      <c r="V40" s="1589">
        <f t="shared" ref="V40:V51" si="33">W40+X40</f>
        <v>227.32729905000002</v>
      </c>
      <c r="W40" s="1589">
        <v>187.08697971000001</v>
      </c>
      <c r="X40" s="1589">
        <v>40.240319339999999</v>
      </c>
      <c r="Y40" s="1589">
        <f t="shared" ref="Y40:Y51" si="34">Z40+AC40</f>
        <v>1532.0602966299998</v>
      </c>
      <c r="Z40" s="1589">
        <f t="shared" ref="Z40:Z51" si="35">AA40+AB40</f>
        <v>693.72739787</v>
      </c>
      <c r="AA40" s="1589">
        <v>674.91279172999998</v>
      </c>
      <c r="AB40" s="1589">
        <v>18.814606139999999</v>
      </c>
      <c r="AC40" s="1589">
        <f t="shared" ref="AC40:AC51" si="36">AD40+AE40</f>
        <v>838.33289875999992</v>
      </c>
      <c r="AD40" s="1589">
        <v>692.35586695999996</v>
      </c>
      <c r="AE40" s="1589">
        <v>145.97703179999999</v>
      </c>
    </row>
    <row r="41" spans="1:31" hidden="1">
      <c r="A41" s="1588">
        <v>2</v>
      </c>
      <c r="B41" s="1589">
        <f t="shared" si="20"/>
        <v>4330.6031756900002</v>
      </c>
      <c r="C41" s="1589">
        <f t="shared" si="21"/>
        <v>2421.3598318700001</v>
      </c>
      <c r="D41" s="1589">
        <f t="shared" si="21"/>
        <v>1909.2433438200001</v>
      </c>
      <c r="E41" s="1589">
        <f t="shared" si="22"/>
        <v>3916.8289355000002</v>
      </c>
      <c r="F41" s="1589">
        <f t="shared" si="23"/>
        <v>2361.1873018800002</v>
      </c>
      <c r="G41" s="1589">
        <f t="shared" si="24"/>
        <v>1555.64163362</v>
      </c>
      <c r="H41" s="1589">
        <f t="shared" si="25"/>
        <v>413.77424018999994</v>
      </c>
      <c r="I41" s="1589">
        <f t="shared" si="26"/>
        <v>60.172529990000001</v>
      </c>
      <c r="J41" s="1589">
        <f t="shared" si="27"/>
        <v>353.60171019999996</v>
      </c>
      <c r="K41" s="1589">
        <f t="shared" si="28"/>
        <v>2791.9560604500002</v>
      </c>
      <c r="L41" s="1589">
        <f t="shared" si="29"/>
        <v>1709.5563666400001</v>
      </c>
      <c r="M41" s="1589">
        <v>1668.2396651700001</v>
      </c>
      <c r="N41" s="1589">
        <v>41.316701469999998</v>
      </c>
      <c r="O41" s="1589">
        <f t="shared" si="30"/>
        <v>1082.3996938099999</v>
      </c>
      <c r="P41" s="1589">
        <v>866.98648814000001</v>
      </c>
      <c r="Q41" s="1589">
        <v>215.41320567</v>
      </c>
      <c r="R41" s="1589">
        <f t="shared" si="31"/>
        <v>881.74782860000005</v>
      </c>
      <c r="S41" s="1589">
        <f t="shared" si="32"/>
        <v>640.70385937000003</v>
      </c>
      <c r="T41" s="1589">
        <v>626.03336222000007</v>
      </c>
      <c r="U41" s="1589">
        <v>14.670497150000001</v>
      </c>
      <c r="V41" s="1589">
        <f t="shared" si="33"/>
        <v>241.04396923000002</v>
      </c>
      <c r="W41" s="1589">
        <v>198.75926312000001</v>
      </c>
      <c r="X41" s="1589">
        <v>42.284706110000002</v>
      </c>
      <c r="Y41" s="1589">
        <f t="shared" si="34"/>
        <v>1538.6471152400002</v>
      </c>
      <c r="Z41" s="1589">
        <f t="shared" si="35"/>
        <v>711.80346523000003</v>
      </c>
      <c r="AA41" s="1589">
        <v>692.94763670999998</v>
      </c>
      <c r="AB41" s="1589">
        <v>18.855828519999999</v>
      </c>
      <c r="AC41" s="1589">
        <f t="shared" si="36"/>
        <v>826.84365001000015</v>
      </c>
      <c r="AD41" s="1589">
        <v>688.6551454800001</v>
      </c>
      <c r="AE41" s="1589">
        <v>138.18850452999999</v>
      </c>
    </row>
    <row r="42" spans="1:31" hidden="1">
      <c r="A42" s="1588">
        <v>3</v>
      </c>
      <c r="B42" s="1589">
        <f t="shared" si="20"/>
        <v>4298.9149969499995</v>
      </c>
      <c r="C42" s="1589">
        <f t="shared" si="21"/>
        <v>2395.7400571499998</v>
      </c>
      <c r="D42" s="1589">
        <f t="shared" si="21"/>
        <v>1903.1749398000002</v>
      </c>
      <c r="E42" s="1589">
        <f t="shared" si="22"/>
        <v>3881.55446605</v>
      </c>
      <c r="F42" s="1589">
        <f t="shared" si="23"/>
        <v>2335.3348436299998</v>
      </c>
      <c r="G42" s="1589">
        <f t="shared" si="24"/>
        <v>1546.2196224200002</v>
      </c>
      <c r="H42" s="1589">
        <f t="shared" si="25"/>
        <v>417.36053090000001</v>
      </c>
      <c r="I42" s="1589">
        <f t="shared" si="26"/>
        <v>60.405213519999997</v>
      </c>
      <c r="J42" s="1589">
        <f t="shared" si="27"/>
        <v>356.95531738</v>
      </c>
      <c r="K42" s="1589">
        <f t="shared" si="28"/>
        <v>2742.8503246700002</v>
      </c>
      <c r="L42" s="1589">
        <f t="shared" si="29"/>
        <v>1675.5915348199999</v>
      </c>
      <c r="M42" s="1589">
        <v>1634.1503025999998</v>
      </c>
      <c r="N42" s="1589">
        <v>41.441232219999996</v>
      </c>
      <c r="O42" s="1589">
        <f t="shared" si="30"/>
        <v>1067.2587898500001</v>
      </c>
      <c r="P42" s="1589">
        <v>851.89247178000005</v>
      </c>
      <c r="Q42" s="1589">
        <v>215.36631806999998</v>
      </c>
      <c r="R42" s="1589">
        <f t="shared" si="31"/>
        <v>890.64527336999993</v>
      </c>
      <c r="S42" s="1589">
        <f t="shared" si="32"/>
        <v>649.11181754999996</v>
      </c>
      <c r="T42" s="1589">
        <v>634.78676427999994</v>
      </c>
      <c r="U42" s="1589">
        <v>14.32505327</v>
      </c>
      <c r="V42" s="1589">
        <f t="shared" si="33"/>
        <v>241.53345581999997</v>
      </c>
      <c r="W42" s="1589">
        <v>202.35781094999999</v>
      </c>
      <c r="X42" s="1589">
        <v>39.175644869999999</v>
      </c>
      <c r="Y42" s="1589">
        <f t="shared" si="34"/>
        <v>1556.06467228</v>
      </c>
      <c r="Z42" s="1589">
        <f t="shared" si="35"/>
        <v>720.14852232999999</v>
      </c>
      <c r="AA42" s="1589">
        <v>701.18454102999999</v>
      </c>
      <c r="AB42" s="1589">
        <v>18.9639813</v>
      </c>
      <c r="AC42" s="1589">
        <f t="shared" si="36"/>
        <v>835.91614994999998</v>
      </c>
      <c r="AD42" s="1589">
        <v>694.32715064000001</v>
      </c>
      <c r="AE42" s="1589">
        <v>141.58899930999999</v>
      </c>
    </row>
    <row r="43" spans="1:31" hidden="1">
      <c r="A43" s="1588">
        <v>4</v>
      </c>
      <c r="B43" s="1589">
        <f t="shared" si="20"/>
        <v>4338.8285999999998</v>
      </c>
      <c r="C43" s="1589">
        <f t="shared" si="21"/>
        <v>2400.4805999999999</v>
      </c>
      <c r="D43" s="1589">
        <f t="shared" si="21"/>
        <v>1938.348</v>
      </c>
      <c r="E43" s="1589">
        <f t="shared" si="22"/>
        <v>3915.8477000000003</v>
      </c>
      <c r="F43" s="1589">
        <f t="shared" si="23"/>
        <v>2337.3977</v>
      </c>
      <c r="G43" s="1589">
        <f t="shared" si="24"/>
        <v>1578.45</v>
      </c>
      <c r="H43" s="1589">
        <f t="shared" si="25"/>
        <v>422.98090000000002</v>
      </c>
      <c r="I43" s="1589">
        <f t="shared" si="26"/>
        <v>63.082899999999995</v>
      </c>
      <c r="J43" s="1589">
        <f t="shared" si="27"/>
        <v>359.89800000000002</v>
      </c>
      <c r="K43" s="1589">
        <f t="shared" si="28"/>
        <v>2774.9306000000001</v>
      </c>
      <c r="L43" s="1589">
        <f t="shared" si="29"/>
        <v>1701.0066000000002</v>
      </c>
      <c r="M43" s="1589">
        <v>1658.1537000000001</v>
      </c>
      <c r="N43" s="1589">
        <v>42.852899999999998</v>
      </c>
      <c r="O43" s="1589">
        <f t="shared" si="30"/>
        <v>1073.924</v>
      </c>
      <c r="P43" s="1589">
        <v>863.26</v>
      </c>
      <c r="Q43" s="1589">
        <v>210.66399999999999</v>
      </c>
      <c r="R43" s="1589">
        <f t="shared" si="31"/>
        <v>926.90364</v>
      </c>
      <c r="S43" s="1589">
        <f t="shared" si="32"/>
        <v>672.02245000000005</v>
      </c>
      <c r="T43" s="1589">
        <v>657.52700000000004</v>
      </c>
      <c r="U43" s="1589">
        <v>14.49545</v>
      </c>
      <c r="V43" s="1589">
        <f t="shared" si="33"/>
        <v>254.88119</v>
      </c>
      <c r="W43" s="1589">
        <v>217.006</v>
      </c>
      <c r="X43" s="1589">
        <v>37.875190000000003</v>
      </c>
      <c r="Y43" s="1589">
        <f t="shared" si="34"/>
        <v>1563.8980000000001</v>
      </c>
      <c r="Z43" s="1589">
        <f t="shared" si="35"/>
        <v>699.47400000000005</v>
      </c>
      <c r="AA43" s="1589">
        <v>679.24400000000003</v>
      </c>
      <c r="AB43" s="1589">
        <v>20.23</v>
      </c>
      <c r="AC43" s="1589">
        <f t="shared" si="36"/>
        <v>864.42400000000009</v>
      </c>
      <c r="AD43" s="1589">
        <v>715.19</v>
      </c>
      <c r="AE43" s="1589">
        <v>149.23400000000001</v>
      </c>
    </row>
    <row r="44" spans="1:31" hidden="1">
      <c r="A44" s="1588">
        <v>5</v>
      </c>
      <c r="B44" s="1589">
        <f t="shared" si="20"/>
        <v>4341.7222206500001</v>
      </c>
      <c r="C44" s="1589">
        <f t="shared" si="21"/>
        <v>2450.6532336699997</v>
      </c>
      <c r="D44" s="1589">
        <f t="shared" si="21"/>
        <v>1891.0689869800001</v>
      </c>
      <c r="E44" s="1589">
        <f t="shared" si="22"/>
        <v>3916.0947369299997</v>
      </c>
      <c r="F44" s="1589">
        <f t="shared" si="23"/>
        <v>2382.0562332299996</v>
      </c>
      <c r="G44" s="1589">
        <f t="shared" si="24"/>
        <v>1534.0385037000001</v>
      </c>
      <c r="H44" s="1589">
        <f t="shared" si="25"/>
        <v>425.62748371999999</v>
      </c>
      <c r="I44" s="1589">
        <f t="shared" si="26"/>
        <v>68.597000440000002</v>
      </c>
      <c r="J44" s="1589">
        <f t="shared" si="27"/>
        <v>357.03048328</v>
      </c>
      <c r="K44" s="1589">
        <f t="shared" si="28"/>
        <v>2741.7785271499997</v>
      </c>
      <c r="L44" s="1589">
        <f t="shared" si="29"/>
        <v>1720.8144945699999</v>
      </c>
      <c r="M44" s="1589">
        <v>1673.7196331299999</v>
      </c>
      <c r="N44" s="1589">
        <v>47.094861440000003</v>
      </c>
      <c r="O44" s="1589">
        <f t="shared" si="30"/>
        <v>1020.96403258</v>
      </c>
      <c r="P44" s="1589">
        <v>814.28855099999998</v>
      </c>
      <c r="Q44" s="1589">
        <v>206.67548158</v>
      </c>
      <c r="R44" s="1589">
        <f t="shared" si="31"/>
        <v>909.48692170999993</v>
      </c>
      <c r="S44" s="1589">
        <f t="shared" si="32"/>
        <v>679.25029234999988</v>
      </c>
      <c r="T44" s="1589">
        <v>664.80310138999994</v>
      </c>
      <c r="U44" s="1589">
        <v>14.44719096</v>
      </c>
      <c r="V44" s="1589">
        <f t="shared" si="33"/>
        <v>230.23662935999999</v>
      </c>
      <c r="W44" s="1589">
        <v>195.16742299999999</v>
      </c>
      <c r="X44" s="1589">
        <v>35.069206360000003</v>
      </c>
      <c r="Y44" s="1589">
        <f t="shared" si="34"/>
        <v>1599.9436934999999</v>
      </c>
      <c r="Z44" s="1589">
        <f t="shared" si="35"/>
        <v>729.83873909999988</v>
      </c>
      <c r="AA44" s="1589">
        <v>708.33660009999994</v>
      </c>
      <c r="AB44" s="1589">
        <v>21.502139</v>
      </c>
      <c r="AC44" s="1589">
        <f t="shared" si="36"/>
        <v>870.1049544</v>
      </c>
      <c r="AD44" s="1589">
        <v>719.74995269999999</v>
      </c>
      <c r="AE44" s="1589">
        <v>150.3550017</v>
      </c>
    </row>
    <row r="45" spans="1:31" hidden="1">
      <c r="A45" s="1588">
        <v>6</v>
      </c>
      <c r="B45" s="1589">
        <f t="shared" si="20"/>
        <v>4372.6359070899998</v>
      </c>
      <c r="C45" s="1589">
        <f t="shared" si="21"/>
        <v>2480.7951783600001</v>
      </c>
      <c r="D45" s="1589">
        <f t="shared" si="21"/>
        <v>1891.8407287300001</v>
      </c>
      <c r="E45" s="1589">
        <f t="shared" si="22"/>
        <v>3934.2153623200002</v>
      </c>
      <c r="F45" s="1589">
        <f t="shared" si="23"/>
        <v>2409.1661784500002</v>
      </c>
      <c r="G45" s="1589">
        <f t="shared" si="24"/>
        <v>1525.04918387</v>
      </c>
      <c r="H45" s="1589">
        <f t="shared" si="25"/>
        <v>438.42054477000005</v>
      </c>
      <c r="I45" s="1589">
        <f t="shared" si="26"/>
        <v>71.628999910000005</v>
      </c>
      <c r="J45" s="1589">
        <f t="shared" si="27"/>
        <v>366.79154486000004</v>
      </c>
      <c r="K45" s="1589">
        <f t="shared" si="28"/>
        <v>2768.8895501500001</v>
      </c>
      <c r="L45" s="1589">
        <f t="shared" si="29"/>
        <v>1736.9693218800001</v>
      </c>
      <c r="M45" s="1589">
        <v>1687.48987504</v>
      </c>
      <c r="N45" s="1589">
        <v>49.479446840000001</v>
      </c>
      <c r="O45" s="1589">
        <f t="shared" si="30"/>
        <v>1031.9202282700001</v>
      </c>
      <c r="P45" s="1589">
        <v>819.94114969999998</v>
      </c>
      <c r="Q45" s="1589">
        <v>211.97907857000001</v>
      </c>
      <c r="R45" s="1589">
        <f t="shared" si="31"/>
        <v>901.44824584999992</v>
      </c>
      <c r="S45" s="1589">
        <f t="shared" si="32"/>
        <v>669.46719513999994</v>
      </c>
      <c r="T45" s="1589">
        <v>652.81941490999998</v>
      </c>
      <c r="U45" s="1589">
        <v>16.647780229999999</v>
      </c>
      <c r="V45" s="1589">
        <f t="shared" si="33"/>
        <v>231.98105070999998</v>
      </c>
      <c r="W45" s="1589">
        <v>192.49263912999999</v>
      </c>
      <c r="X45" s="1589">
        <v>39.488411579999998</v>
      </c>
      <c r="Y45" s="1589">
        <f t="shared" si="34"/>
        <v>1603.7463569399999</v>
      </c>
      <c r="Z45" s="1589">
        <f t="shared" si="35"/>
        <v>743.82585647999997</v>
      </c>
      <c r="AA45" s="1589">
        <v>721.67630340999995</v>
      </c>
      <c r="AB45" s="1589">
        <v>22.14955307</v>
      </c>
      <c r="AC45" s="1589">
        <f t="shared" si="36"/>
        <v>859.92050045999997</v>
      </c>
      <c r="AD45" s="1589">
        <v>705.10803417</v>
      </c>
      <c r="AE45" s="1589">
        <v>154.81246629</v>
      </c>
    </row>
    <row r="46" spans="1:31" hidden="1">
      <c r="A46" s="1588">
        <v>7</v>
      </c>
      <c r="B46" s="1589">
        <f t="shared" si="20"/>
        <v>4415.2287439399997</v>
      </c>
      <c r="C46" s="1589">
        <f t="shared" si="21"/>
        <v>2484.5934808299999</v>
      </c>
      <c r="D46" s="1589">
        <f t="shared" si="21"/>
        <v>1930.6352631099999</v>
      </c>
      <c r="E46" s="1589">
        <f t="shared" si="22"/>
        <v>3983.2384086899997</v>
      </c>
      <c r="F46" s="1589">
        <f t="shared" si="23"/>
        <v>2421.0602596499998</v>
      </c>
      <c r="G46" s="1589">
        <f t="shared" si="24"/>
        <v>1562.1781490399999</v>
      </c>
      <c r="H46" s="1589">
        <f t="shared" si="25"/>
        <v>431.99033524999999</v>
      </c>
      <c r="I46" s="1589">
        <f t="shared" si="26"/>
        <v>63.533221179999998</v>
      </c>
      <c r="J46" s="1589">
        <f t="shared" si="27"/>
        <v>368.45711406999999</v>
      </c>
      <c r="K46" s="1589">
        <f t="shared" si="28"/>
        <v>2788.7426619399998</v>
      </c>
      <c r="L46" s="1589">
        <f t="shared" si="29"/>
        <v>1721.8286432099999</v>
      </c>
      <c r="M46" s="1589">
        <v>1672.30660485</v>
      </c>
      <c r="N46" s="1589">
        <v>49.522038359999996</v>
      </c>
      <c r="O46" s="1589">
        <f t="shared" si="30"/>
        <v>1066.91401873</v>
      </c>
      <c r="P46" s="1589">
        <v>852.04811209000002</v>
      </c>
      <c r="Q46" s="1589">
        <v>214.86590663999999</v>
      </c>
      <c r="R46" s="1589">
        <f t="shared" si="31"/>
        <v>916.05236908999996</v>
      </c>
      <c r="S46" s="1589">
        <f t="shared" si="32"/>
        <v>658.88300986000002</v>
      </c>
      <c r="T46" s="1589">
        <v>642.58851195</v>
      </c>
      <c r="U46" s="1589">
        <v>16.29449791</v>
      </c>
      <c r="V46" s="1589">
        <f t="shared" si="33"/>
        <v>257.16935923</v>
      </c>
      <c r="W46" s="1589">
        <v>225.77914336000001</v>
      </c>
      <c r="X46" s="1589">
        <v>31.390215870000002</v>
      </c>
      <c r="Y46" s="1589">
        <f t="shared" si="34"/>
        <v>1626.4860819999999</v>
      </c>
      <c r="Z46" s="1589">
        <f t="shared" si="35"/>
        <v>762.76483761999998</v>
      </c>
      <c r="AA46" s="1589">
        <v>748.75365479999994</v>
      </c>
      <c r="AB46" s="1589">
        <v>14.01118282</v>
      </c>
      <c r="AC46" s="1589">
        <f t="shared" si="36"/>
        <v>863.72124437999992</v>
      </c>
      <c r="AD46" s="1589">
        <v>710.13003694999998</v>
      </c>
      <c r="AE46" s="1589">
        <v>153.59120743</v>
      </c>
    </row>
    <row r="47" spans="1:31" hidden="1">
      <c r="A47" s="1588">
        <v>8</v>
      </c>
      <c r="B47" s="1589">
        <f t="shared" si="20"/>
        <v>4462.5601259300001</v>
      </c>
      <c r="C47" s="1589">
        <f t="shared" si="21"/>
        <v>2531.2333738400002</v>
      </c>
      <c r="D47" s="1589">
        <f t="shared" si="21"/>
        <v>1931.3267520899999</v>
      </c>
      <c r="E47" s="1589">
        <f t="shared" si="22"/>
        <v>4026.7439203900003</v>
      </c>
      <c r="F47" s="1589">
        <f t="shared" si="23"/>
        <v>2468.4336892700003</v>
      </c>
      <c r="G47" s="1589">
        <f t="shared" si="24"/>
        <v>1558.31023112</v>
      </c>
      <c r="H47" s="1589">
        <f t="shared" si="25"/>
        <v>435.81620554</v>
      </c>
      <c r="I47" s="1589">
        <f t="shared" si="26"/>
        <v>62.799684570000011</v>
      </c>
      <c r="J47" s="1589">
        <f t="shared" si="27"/>
        <v>373.01652096999999</v>
      </c>
      <c r="K47" s="1589">
        <f t="shared" si="28"/>
        <v>2853.5252051700004</v>
      </c>
      <c r="L47" s="1589">
        <f t="shared" si="29"/>
        <v>1803.8922251400004</v>
      </c>
      <c r="M47" s="1589">
        <v>1756.2077578400003</v>
      </c>
      <c r="N47" s="1589">
        <v>47.684467300000009</v>
      </c>
      <c r="O47" s="1589">
        <f t="shared" si="30"/>
        <v>1049.63298003</v>
      </c>
      <c r="P47" s="1589">
        <v>834.38048157000003</v>
      </c>
      <c r="Q47" s="1589">
        <v>215.25249846</v>
      </c>
      <c r="R47" s="1589">
        <f t="shared" si="31"/>
        <v>954.36980466000011</v>
      </c>
      <c r="S47" s="1589">
        <f t="shared" si="32"/>
        <v>721.67235341000014</v>
      </c>
      <c r="T47" s="1589">
        <v>707.50938414000018</v>
      </c>
      <c r="U47" s="1589">
        <v>14.162969270000001</v>
      </c>
      <c r="V47" s="1589">
        <f t="shared" si="33"/>
        <v>232.69745124999997</v>
      </c>
      <c r="W47" s="1589">
        <v>201.42437547999998</v>
      </c>
      <c r="X47" s="1589">
        <v>31.273075769999998</v>
      </c>
      <c r="Y47" s="1589">
        <f t="shared" si="34"/>
        <v>1609.0349207600002</v>
      </c>
      <c r="Z47" s="1589">
        <f t="shared" si="35"/>
        <v>727.34114870000008</v>
      </c>
      <c r="AA47" s="1589">
        <v>712.22593143000006</v>
      </c>
      <c r="AB47" s="1589">
        <v>15.11521727</v>
      </c>
      <c r="AC47" s="1589">
        <f t="shared" si="36"/>
        <v>881.69377206000001</v>
      </c>
      <c r="AD47" s="1589">
        <v>723.92974955</v>
      </c>
      <c r="AE47" s="1589">
        <v>157.76402250999999</v>
      </c>
    </row>
    <row r="48" spans="1:31" hidden="1">
      <c r="A48" s="1588">
        <v>9</v>
      </c>
      <c r="B48" s="1589">
        <f t="shared" si="20"/>
        <v>4556.3257138199997</v>
      </c>
      <c r="C48" s="1589">
        <f t="shared" si="21"/>
        <v>2615.91543022</v>
      </c>
      <c r="D48" s="1589">
        <f t="shared" si="21"/>
        <v>1940.4102836</v>
      </c>
      <c r="E48" s="1589">
        <f t="shared" si="22"/>
        <v>4110.8239940399999</v>
      </c>
      <c r="F48" s="1589">
        <f t="shared" si="23"/>
        <v>2550.9160714199998</v>
      </c>
      <c r="G48" s="1589">
        <f t="shared" si="24"/>
        <v>1559.9079226199999</v>
      </c>
      <c r="H48" s="1589">
        <f t="shared" si="25"/>
        <v>445.50171978000003</v>
      </c>
      <c r="I48" s="1589">
        <f t="shared" si="26"/>
        <v>64.99935880000001</v>
      </c>
      <c r="J48" s="1589">
        <f t="shared" si="27"/>
        <v>380.50236097999999</v>
      </c>
      <c r="K48" s="1589">
        <f t="shared" si="28"/>
        <v>2921.21124143</v>
      </c>
      <c r="L48" s="1589">
        <f t="shared" si="29"/>
        <v>1859.4618799500001</v>
      </c>
      <c r="M48" s="1589">
        <v>1809.46790293</v>
      </c>
      <c r="N48" s="1589">
        <v>49.993977020000003</v>
      </c>
      <c r="O48" s="1589">
        <f t="shared" si="30"/>
        <v>1061.7493614800001</v>
      </c>
      <c r="P48" s="1589">
        <v>837.70243659999994</v>
      </c>
      <c r="Q48" s="1589">
        <v>224.04692488000001</v>
      </c>
      <c r="R48" s="1589">
        <f t="shared" si="31"/>
        <v>993.74054749000004</v>
      </c>
      <c r="S48" s="1589">
        <f t="shared" si="32"/>
        <v>756.27759278000008</v>
      </c>
      <c r="T48" s="1589">
        <v>740.13854533000006</v>
      </c>
      <c r="U48" s="1589">
        <v>16.13904745</v>
      </c>
      <c r="V48" s="1589">
        <f t="shared" si="33"/>
        <v>237.46295470999999</v>
      </c>
      <c r="W48" s="1589">
        <v>199.56677836999998</v>
      </c>
      <c r="X48" s="1589">
        <v>37.896176340000004</v>
      </c>
      <c r="Y48" s="1589">
        <f t="shared" si="34"/>
        <v>1635.1144723899997</v>
      </c>
      <c r="Z48" s="1589">
        <f t="shared" si="35"/>
        <v>756.45355026999994</v>
      </c>
      <c r="AA48" s="1589">
        <v>741.44816848999994</v>
      </c>
      <c r="AB48" s="1589">
        <v>15.00538178</v>
      </c>
      <c r="AC48" s="1589">
        <f t="shared" si="36"/>
        <v>878.6609221199999</v>
      </c>
      <c r="AD48" s="1589">
        <v>722.20548601999997</v>
      </c>
      <c r="AE48" s="1589">
        <v>156.45543609999999</v>
      </c>
    </row>
    <row r="49" spans="1:31" hidden="1">
      <c r="A49" s="1588">
        <v>10</v>
      </c>
      <c r="B49" s="1589">
        <f t="shared" si="20"/>
        <v>4689.6690311399998</v>
      </c>
      <c r="C49" s="1589">
        <f t="shared" si="21"/>
        <v>2704.2721283300002</v>
      </c>
      <c r="D49" s="1589">
        <f t="shared" si="21"/>
        <v>1985.39690281</v>
      </c>
      <c r="E49" s="1589">
        <f t="shared" si="22"/>
        <v>4253.1566267799999</v>
      </c>
      <c r="F49" s="1589">
        <f t="shared" si="23"/>
        <v>2640.0072848300001</v>
      </c>
      <c r="G49" s="1589">
        <f t="shared" si="24"/>
        <v>1613.14934195</v>
      </c>
      <c r="H49" s="1589">
        <f t="shared" si="25"/>
        <v>436.51240436</v>
      </c>
      <c r="I49" s="1589">
        <f t="shared" si="26"/>
        <v>64.264843500000012</v>
      </c>
      <c r="J49" s="1589">
        <f t="shared" si="27"/>
        <v>372.24756085999996</v>
      </c>
      <c r="K49" s="1589">
        <f t="shared" si="28"/>
        <v>3019.1945834500002</v>
      </c>
      <c r="L49" s="1589">
        <f t="shared" si="29"/>
        <v>1931.3115117</v>
      </c>
      <c r="M49" s="1589">
        <v>1882.2360399500001</v>
      </c>
      <c r="N49" s="1589">
        <v>49.075471750000005</v>
      </c>
      <c r="O49" s="1589">
        <f t="shared" si="30"/>
        <v>1087.88307175</v>
      </c>
      <c r="P49" s="1589">
        <v>872.69774899000004</v>
      </c>
      <c r="Q49" s="1589">
        <v>215.18532275999996</v>
      </c>
      <c r="R49" s="1589">
        <f t="shared" si="31"/>
        <v>1005.2957479400002</v>
      </c>
      <c r="S49" s="1589">
        <f t="shared" si="32"/>
        <v>740.00818454000012</v>
      </c>
      <c r="T49" s="1589">
        <v>725.05667938000011</v>
      </c>
      <c r="U49" s="1589">
        <v>14.95150516</v>
      </c>
      <c r="V49" s="1589">
        <f t="shared" si="33"/>
        <v>265.28756340000001</v>
      </c>
      <c r="W49" s="1589">
        <v>227.95867665000003</v>
      </c>
      <c r="X49" s="1589">
        <v>37.328886749999995</v>
      </c>
      <c r="Y49" s="1589">
        <f t="shared" si="34"/>
        <v>1670.47444769</v>
      </c>
      <c r="Z49" s="1589">
        <f t="shared" si="35"/>
        <v>772.96061663</v>
      </c>
      <c r="AA49" s="1589">
        <v>757.77124488000004</v>
      </c>
      <c r="AB49" s="1589">
        <v>15.189371749999999</v>
      </c>
      <c r="AC49" s="1589">
        <f t="shared" si="36"/>
        <v>897.51383106000003</v>
      </c>
      <c r="AD49" s="1589">
        <v>740.45159295999997</v>
      </c>
      <c r="AE49" s="1589">
        <v>157.0622381</v>
      </c>
    </row>
    <row r="50" spans="1:31" hidden="1">
      <c r="A50" s="1588">
        <v>11</v>
      </c>
      <c r="B50" s="1589">
        <f t="shared" si="20"/>
        <v>4762.9615697900008</v>
      </c>
      <c r="C50" s="1589">
        <f t="shared" si="21"/>
        <v>2804.5977616700002</v>
      </c>
      <c r="D50" s="1589">
        <f t="shared" si="21"/>
        <v>1958.3638081200002</v>
      </c>
      <c r="E50" s="1589">
        <f t="shared" si="22"/>
        <v>4332.6070064100004</v>
      </c>
      <c r="F50" s="1589">
        <f t="shared" si="23"/>
        <v>2738.2874585700001</v>
      </c>
      <c r="G50" s="1589">
        <f t="shared" si="24"/>
        <v>1594.3195478400003</v>
      </c>
      <c r="H50" s="1589">
        <f t="shared" si="25"/>
        <v>430.35456338</v>
      </c>
      <c r="I50" s="1589">
        <f t="shared" si="26"/>
        <v>66.310303099999999</v>
      </c>
      <c r="J50" s="1589">
        <f t="shared" si="27"/>
        <v>364.04426028</v>
      </c>
      <c r="K50" s="1589">
        <f t="shared" si="28"/>
        <v>3025.4096513400004</v>
      </c>
      <c r="L50" s="1589">
        <f t="shared" si="29"/>
        <v>1979.8520945200003</v>
      </c>
      <c r="M50" s="1589">
        <v>1929.3502524300002</v>
      </c>
      <c r="N50" s="1589">
        <v>50.501842089999997</v>
      </c>
      <c r="O50" s="1589">
        <f t="shared" si="30"/>
        <v>1045.5575568200002</v>
      </c>
      <c r="P50" s="1589">
        <v>844.8795509900001</v>
      </c>
      <c r="Q50" s="1589">
        <v>200.67800583000002</v>
      </c>
      <c r="R50" s="1589">
        <f t="shared" si="31"/>
        <v>1020.2288967199999</v>
      </c>
      <c r="S50" s="1589">
        <f t="shared" si="32"/>
        <v>786.45607401999985</v>
      </c>
      <c r="T50" s="1589">
        <v>771.32250100999988</v>
      </c>
      <c r="U50" s="1589">
        <v>15.133573009999999</v>
      </c>
      <c r="V50" s="1589">
        <f t="shared" si="33"/>
        <v>233.77282270000001</v>
      </c>
      <c r="W50" s="1589">
        <v>198.33695929999999</v>
      </c>
      <c r="X50" s="1589">
        <v>35.435863400000002</v>
      </c>
      <c r="Y50" s="1589">
        <f t="shared" si="34"/>
        <v>1737.5519184499999</v>
      </c>
      <c r="Z50" s="1589">
        <f t="shared" si="35"/>
        <v>824.74566715000003</v>
      </c>
      <c r="AA50" s="1589">
        <v>808.93720614000006</v>
      </c>
      <c r="AB50" s="1589">
        <v>15.80846101</v>
      </c>
      <c r="AC50" s="1589">
        <f t="shared" si="36"/>
        <v>912.80625129999999</v>
      </c>
      <c r="AD50" s="1589">
        <v>749.43999685000006</v>
      </c>
      <c r="AE50" s="1589">
        <v>163.36625444999999</v>
      </c>
    </row>
    <row r="51" spans="1:31" hidden="1">
      <c r="A51" s="1588">
        <v>12</v>
      </c>
      <c r="B51" s="1589">
        <f t="shared" si="20"/>
        <v>5113.4078103299998</v>
      </c>
      <c r="C51" s="1589">
        <f t="shared" si="21"/>
        <v>2963.8571625000004</v>
      </c>
      <c r="D51" s="1589">
        <f t="shared" si="21"/>
        <v>2149.5506478299999</v>
      </c>
      <c r="E51" s="1589">
        <f t="shared" si="22"/>
        <v>4525.1908701800003</v>
      </c>
      <c r="F51" s="1589">
        <f t="shared" si="23"/>
        <v>2889.7716593200003</v>
      </c>
      <c r="G51" s="1589">
        <f t="shared" si="24"/>
        <v>1635.41921086</v>
      </c>
      <c r="H51" s="1589">
        <f t="shared" si="25"/>
        <v>588.21694015000003</v>
      </c>
      <c r="I51" s="1589">
        <f t="shared" si="26"/>
        <v>74.085503180000003</v>
      </c>
      <c r="J51" s="1589">
        <f t="shared" si="27"/>
        <v>514.13143696999998</v>
      </c>
      <c r="K51" s="1589">
        <f t="shared" si="28"/>
        <v>3132.5954872399998</v>
      </c>
      <c r="L51" s="1589">
        <f t="shared" si="29"/>
        <v>2058.5881624799999</v>
      </c>
      <c r="M51" s="1589">
        <v>2002.2039538700001</v>
      </c>
      <c r="N51" s="1589">
        <v>56.384208610000002</v>
      </c>
      <c r="O51" s="1589">
        <f t="shared" si="30"/>
        <v>1074.0073247600001</v>
      </c>
      <c r="P51" s="1589">
        <v>886.2459640300001</v>
      </c>
      <c r="Q51" s="1589">
        <v>187.76136072999998</v>
      </c>
      <c r="R51" s="1589">
        <f t="shared" si="31"/>
        <v>1042.8349062699999</v>
      </c>
      <c r="S51" s="1589">
        <f t="shared" si="32"/>
        <v>777.14939947000005</v>
      </c>
      <c r="T51" s="1589">
        <v>760.27598019000004</v>
      </c>
      <c r="U51" s="1589">
        <v>16.873419280000004</v>
      </c>
      <c r="V51" s="1589">
        <f t="shared" si="33"/>
        <v>265.68550679999998</v>
      </c>
      <c r="W51" s="1589">
        <v>227.82533279</v>
      </c>
      <c r="X51" s="1589">
        <v>37.860174009999994</v>
      </c>
      <c r="Y51" s="1589">
        <f t="shared" si="34"/>
        <v>1980.8123230900001</v>
      </c>
      <c r="Z51" s="1589">
        <f t="shared" si="35"/>
        <v>905.26900002000002</v>
      </c>
      <c r="AA51" s="1589">
        <v>887.56770545000006</v>
      </c>
      <c r="AB51" s="1589">
        <v>17.701294570000002</v>
      </c>
      <c r="AC51" s="1589">
        <f t="shared" si="36"/>
        <v>1075.54332307</v>
      </c>
      <c r="AD51" s="1589">
        <v>749.17324683000004</v>
      </c>
      <c r="AE51" s="1589">
        <v>326.37007624</v>
      </c>
    </row>
    <row r="52" spans="1:31" ht="15.75">
      <c r="A52" s="1586">
        <v>2013</v>
      </c>
      <c r="B52" s="1589"/>
      <c r="C52" s="1589"/>
      <c r="D52" s="1589"/>
      <c r="E52" s="1589"/>
      <c r="F52" s="1589"/>
      <c r="G52" s="1589"/>
      <c r="H52" s="1589"/>
      <c r="I52" s="1589"/>
      <c r="J52" s="1589"/>
      <c r="K52" s="1589"/>
      <c r="L52" s="1589"/>
      <c r="M52" s="1589"/>
      <c r="N52" s="1589"/>
      <c r="O52" s="1589"/>
      <c r="P52" s="1589"/>
      <c r="Q52" s="1589"/>
      <c r="R52" s="1589"/>
      <c r="S52" s="1589"/>
      <c r="T52" s="1589"/>
      <c r="U52" s="1589"/>
      <c r="V52" s="1589"/>
      <c r="W52" s="1589"/>
      <c r="X52" s="1589"/>
      <c r="Y52" s="1589"/>
      <c r="Z52" s="1589"/>
      <c r="AA52" s="1589"/>
      <c r="AB52" s="1589"/>
      <c r="AC52" s="1589"/>
      <c r="AD52" s="1589"/>
      <c r="AE52" s="1589"/>
    </row>
    <row r="53" spans="1:31">
      <c r="A53" s="1588">
        <v>1</v>
      </c>
      <c r="B53" s="1589">
        <f t="shared" ref="B53:B64" si="37">+C53+D53</f>
        <v>5315.3829536699996</v>
      </c>
      <c r="C53" s="1589">
        <f t="shared" ref="C53:D64" si="38">+F53+I53</f>
        <v>3172.5903249300004</v>
      </c>
      <c r="D53" s="1589">
        <f t="shared" si="38"/>
        <v>2142.7926287399996</v>
      </c>
      <c r="E53" s="1589">
        <f t="shared" ref="E53:E64" si="39">+F53+G53</f>
        <v>4715.4322848299998</v>
      </c>
      <c r="F53" s="1589">
        <f t="shared" ref="F53:F64" si="40">+M53+AA53</f>
        <v>3054.1924471000002</v>
      </c>
      <c r="G53" s="1589">
        <f t="shared" ref="G53:G64" si="41">+P53+AD53</f>
        <v>1661.2398377299999</v>
      </c>
      <c r="H53" s="1589">
        <f t="shared" ref="H53:H64" si="42">+I53+J53</f>
        <v>599.95066883999993</v>
      </c>
      <c r="I53" s="1589">
        <f t="shared" ref="I53:I64" si="43">+N53+AB53</f>
        <v>118.39787783</v>
      </c>
      <c r="J53" s="1589">
        <f t="shared" ref="J53:J64" si="44">+Q53+AE53</f>
        <v>481.55279100999996</v>
      </c>
      <c r="K53" s="1589">
        <f t="shared" ref="K53:K64" si="45">+L53+O53</f>
        <v>3184.4374205399999</v>
      </c>
      <c r="L53" s="1589">
        <f t="shared" ref="L53:L64" si="46">+M53+N53</f>
        <v>2123.7093182899998</v>
      </c>
      <c r="M53" s="1589">
        <v>2067.03238126</v>
      </c>
      <c r="N53" s="1589">
        <v>56.676937030000005</v>
      </c>
      <c r="O53" s="1589">
        <f t="shared" ref="O53:O64" si="47">P53+Q53</f>
        <v>1060.7281022499999</v>
      </c>
      <c r="P53" s="1589">
        <v>907.68400254999995</v>
      </c>
      <c r="Q53" s="1589">
        <v>153.04409969999998</v>
      </c>
      <c r="R53" s="1589">
        <f t="shared" ref="R53:R64" si="48">S53+V53</f>
        <v>1067.9671805600001</v>
      </c>
      <c r="S53" s="1589">
        <f t="shared" ref="S53:S64" si="49">T53+U53</f>
        <v>792.94621103999998</v>
      </c>
      <c r="T53" s="1589">
        <v>777.99044253</v>
      </c>
      <c r="U53" s="1589">
        <v>14.95576851</v>
      </c>
      <c r="V53" s="1589">
        <f t="shared" ref="V53:V64" si="50">W53+X53</f>
        <v>275.02096951999999</v>
      </c>
      <c r="W53" s="1589">
        <v>234.38221780999999</v>
      </c>
      <c r="X53" s="1589">
        <v>40.638751709999994</v>
      </c>
      <c r="Y53" s="1589">
        <f t="shared" ref="Y53:Y64" si="51">Z53+AC53</f>
        <v>2130.9455331300001</v>
      </c>
      <c r="Z53" s="1589">
        <f t="shared" ref="Z53:Z64" si="52">AA53+AB53</f>
        <v>1048.8810066400001</v>
      </c>
      <c r="AA53" s="1589">
        <v>987.16006584000002</v>
      </c>
      <c r="AB53" s="1589">
        <v>61.720940799999994</v>
      </c>
      <c r="AC53" s="1589">
        <f t="shared" ref="AC53:AC64" si="53">AD53+AE53</f>
        <v>1082.0645264899999</v>
      </c>
      <c r="AD53" s="1589">
        <v>753.55583517999992</v>
      </c>
      <c r="AE53" s="1589">
        <v>328.50869130999996</v>
      </c>
    </row>
    <row r="54" spans="1:31">
      <c r="A54" s="1588">
        <v>2</v>
      </c>
      <c r="B54" s="1589">
        <f t="shared" si="37"/>
        <v>5416.8434167400001</v>
      </c>
      <c r="C54" s="1589">
        <f t="shared" si="38"/>
        <v>3226.6282422200002</v>
      </c>
      <c r="D54" s="1589">
        <f t="shared" si="38"/>
        <v>2190.2151745199999</v>
      </c>
      <c r="E54" s="1589">
        <f t="shared" si="39"/>
        <v>4798.8679654100006</v>
      </c>
      <c r="F54" s="1589">
        <f t="shared" si="40"/>
        <v>3109.8383471400002</v>
      </c>
      <c r="G54" s="1589">
        <f t="shared" si="41"/>
        <v>1689.0296182700001</v>
      </c>
      <c r="H54" s="1589">
        <f t="shared" si="42"/>
        <v>617.97545132999994</v>
      </c>
      <c r="I54" s="1589">
        <f t="shared" si="43"/>
        <v>116.78989508000001</v>
      </c>
      <c r="J54" s="1589">
        <f t="shared" si="44"/>
        <v>501.18555624999999</v>
      </c>
      <c r="K54" s="1589">
        <f t="shared" si="45"/>
        <v>3189.27294712</v>
      </c>
      <c r="L54" s="1589">
        <f t="shared" si="46"/>
        <v>2139.2774117399999</v>
      </c>
      <c r="M54" s="1589">
        <v>2084.3332848300001</v>
      </c>
      <c r="N54" s="1589">
        <v>54.944126910000001</v>
      </c>
      <c r="O54" s="1589">
        <f t="shared" si="47"/>
        <v>1049.9955353800001</v>
      </c>
      <c r="P54" s="1589">
        <v>892.67199314000004</v>
      </c>
      <c r="Q54" s="1589">
        <v>157.32354224000002</v>
      </c>
      <c r="R54" s="1589">
        <f t="shared" si="48"/>
        <v>1128.9132014900001</v>
      </c>
      <c r="S54" s="1589">
        <f t="shared" si="49"/>
        <v>864.91507690000003</v>
      </c>
      <c r="T54" s="1589">
        <v>849.25054256999999</v>
      </c>
      <c r="U54" s="1589">
        <v>15.664534329999999</v>
      </c>
      <c r="V54" s="1589">
        <f t="shared" si="50"/>
        <v>263.99812459000003</v>
      </c>
      <c r="W54" s="1589">
        <v>222.47107683000002</v>
      </c>
      <c r="X54" s="1589">
        <v>41.527047760000009</v>
      </c>
      <c r="Y54" s="1589">
        <f t="shared" si="51"/>
        <v>2227.57046962</v>
      </c>
      <c r="Z54" s="1589">
        <f t="shared" si="52"/>
        <v>1087.3508304799998</v>
      </c>
      <c r="AA54" s="1589">
        <v>1025.5050623099999</v>
      </c>
      <c r="AB54" s="1589">
        <v>61.845768169999999</v>
      </c>
      <c r="AC54" s="1589">
        <f t="shared" si="53"/>
        <v>1140.21963914</v>
      </c>
      <c r="AD54" s="1589">
        <v>796.35762513000009</v>
      </c>
      <c r="AE54" s="1589">
        <v>343.86201401</v>
      </c>
    </row>
    <row r="55" spans="1:31">
      <c r="A55" s="1588">
        <v>3</v>
      </c>
      <c r="B55" s="1589">
        <f t="shared" si="37"/>
        <v>5535.9675161499999</v>
      </c>
      <c r="C55" s="1589">
        <f t="shared" si="38"/>
        <v>3259.7630677100001</v>
      </c>
      <c r="D55" s="1589">
        <f t="shared" si="38"/>
        <v>2276.2044484400003</v>
      </c>
      <c r="E55" s="1589">
        <f t="shared" si="39"/>
        <v>4871.2586217900007</v>
      </c>
      <c r="F55" s="1589">
        <f t="shared" si="40"/>
        <v>3144.46212754</v>
      </c>
      <c r="G55" s="1589">
        <f t="shared" si="41"/>
        <v>1726.7964942500003</v>
      </c>
      <c r="H55" s="1589">
        <f t="shared" si="42"/>
        <v>664.70889436000004</v>
      </c>
      <c r="I55" s="1589">
        <f t="shared" si="43"/>
        <v>115.30094017</v>
      </c>
      <c r="J55" s="1589">
        <f t="shared" si="44"/>
        <v>549.40795419000005</v>
      </c>
      <c r="K55" s="1589">
        <f t="shared" si="45"/>
        <v>3268.9519692000003</v>
      </c>
      <c r="L55" s="1589">
        <f t="shared" si="46"/>
        <v>2197.4050623600001</v>
      </c>
      <c r="M55" s="1589">
        <v>2143.9020378300002</v>
      </c>
      <c r="N55" s="1589">
        <v>53.503024530000005</v>
      </c>
      <c r="O55" s="1589">
        <f t="shared" si="47"/>
        <v>1071.54690684</v>
      </c>
      <c r="P55" s="1589">
        <v>910.50264336000009</v>
      </c>
      <c r="Q55" s="1589">
        <v>161.04426348000001</v>
      </c>
      <c r="R55" s="1589">
        <f t="shared" si="48"/>
        <v>1145.0066983899999</v>
      </c>
      <c r="S55" s="1589">
        <f t="shared" si="49"/>
        <v>858.79915613999992</v>
      </c>
      <c r="T55" s="1589">
        <v>842.6302285999999</v>
      </c>
      <c r="U55" s="1589">
        <v>16.168927540000002</v>
      </c>
      <c r="V55" s="1589">
        <f t="shared" si="50"/>
        <v>286.20754225000002</v>
      </c>
      <c r="W55" s="1589">
        <v>239.86241933000002</v>
      </c>
      <c r="X55" s="1589">
        <v>46.345122919999994</v>
      </c>
      <c r="Y55" s="1589">
        <f t="shared" si="51"/>
        <v>2267.01554695</v>
      </c>
      <c r="Z55" s="1589">
        <f t="shared" si="52"/>
        <v>1062.35800535</v>
      </c>
      <c r="AA55" s="1589">
        <v>1000.5600897099999</v>
      </c>
      <c r="AB55" s="1589">
        <v>61.797915639999999</v>
      </c>
      <c r="AC55" s="1589">
        <f t="shared" si="53"/>
        <v>1204.6575416000001</v>
      </c>
      <c r="AD55" s="1589">
        <v>816.29385089000016</v>
      </c>
      <c r="AE55" s="1589">
        <v>388.36369071000001</v>
      </c>
    </row>
    <row r="56" spans="1:31">
      <c r="A56" s="1588">
        <v>4</v>
      </c>
      <c r="B56" s="1589">
        <f t="shared" si="37"/>
        <v>5768.28016561</v>
      </c>
      <c r="C56" s="1589">
        <f t="shared" si="38"/>
        <v>3478.0867805800003</v>
      </c>
      <c r="D56" s="1589">
        <f t="shared" si="38"/>
        <v>2290.1933850300002</v>
      </c>
      <c r="E56" s="1589">
        <f t="shared" si="39"/>
        <v>5080.6374338100004</v>
      </c>
      <c r="F56" s="1589">
        <f t="shared" si="40"/>
        <v>3361.9994418400001</v>
      </c>
      <c r="G56" s="1589">
        <f t="shared" si="41"/>
        <v>1718.63799197</v>
      </c>
      <c r="H56" s="1589">
        <f t="shared" si="42"/>
        <v>687.64273180000009</v>
      </c>
      <c r="I56" s="1589">
        <f t="shared" si="43"/>
        <v>116.08733874000001</v>
      </c>
      <c r="J56" s="1589">
        <f t="shared" si="44"/>
        <v>571.55539306000003</v>
      </c>
      <c r="K56" s="1589">
        <f t="shared" si="45"/>
        <v>3230.9247393799997</v>
      </c>
      <c r="L56" s="1589">
        <f t="shared" si="46"/>
        <v>2183.10890445</v>
      </c>
      <c r="M56" s="1589">
        <v>2128.1561349499998</v>
      </c>
      <c r="N56" s="1589">
        <v>54.952769499999995</v>
      </c>
      <c r="O56" s="1589">
        <f t="shared" si="47"/>
        <v>1047.8158349299999</v>
      </c>
      <c r="P56" s="1589">
        <v>896.95608104999997</v>
      </c>
      <c r="Q56" s="1589">
        <v>150.85975388</v>
      </c>
      <c r="R56" s="1589">
        <f t="shared" si="48"/>
        <v>1113.7776123900001</v>
      </c>
      <c r="S56" s="1589">
        <f t="shared" si="49"/>
        <v>854.49023348000003</v>
      </c>
      <c r="T56" s="1589">
        <v>838.85617839999998</v>
      </c>
      <c r="U56" s="1589">
        <v>15.634055079999998</v>
      </c>
      <c r="V56" s="1589">
        <f t="shared" si="50"/>
        <v>259.28737890999997</v>
      </c>
      <c r="W56" s="1589">
        <v>223.87313054999998</v>
      </c>
      <c r="X56" s="1589">
        <v>35.414248359999995</v>
      </c>
      <c r="Y56" s="1589">
        <f t="shared" si="51"/>
        <v>2537.3554262300004</v>
      </c>
      <c r="Z56" s="1589">
        <f t="shared" si="52"/>
        <v>1294.9778761300001</v>
      </c>
      <c r="AA56" s="1589">
        <v>1233.8433068900001</v>
      </c>
      <c r="AB56" s="1589">
        <v>61.134569240000005</v>
      </c>
      <c r="AC56" s="1589">
        <f t="shared" si="53"/>
        <v>1242.3775501</v>
      </c>
      <c r="AD56" s="1589">
        <v>821.68191092000006</v>
      </c>
      <c r="AE56" s="1589">
        <v>420.69563918</v>
      </c>
    </row>
    <row r="57" spans="1:31">
      <c r="A57" s="1588">
        <v>5</v>
      </c>
      <c r="B57" s="1589">
        <f t="shared" si="37"/>
        <v>5891.45147163</v>
      </c>
      <c r="C57" s="1589">
        <f t="shared" si="38"/>
        <v>3565.3536078699999</v>
      </c>
      <c r="D57" s="1589">
        <f t="shared" si="38"/>
        <v>2326.0978637600001</v>
      </c>
      <c r="E57" s="1589">
        <f t="shared" si="39"/>
        <v>5199.3350518699999</v>
      </c>
      <c r="F57" s="1589">
        <f t="shared" si="40"/>
        <v>3449.0419230699999</v>
      </c>
      <c r="G57" s="1589">
        <f t="shared" si="41"/>
        <v>1750.2931288</v>
      </c>
      <c r="H57" s="1589">
        <f t="shared" si="42"/>
        <v>692.11641975999999</v>
      </c>
      <c r="I57" s="1589">
        <f t="shared" si="43"/>
        <v>116.31168479999999</v>
      </c>
      <c r="J57" s="1589">
        <f t="shared" si="44"/>
        <v>575.80473496000002</v>
      </c>
      <c r="K57" s="1589">
        <f t="shared" si="45"/>
        <v>3344.1253506499997</v>
      </c>
      <c r="L57" s="1589">
        <f t="shared" si="46"/>
        <v>2264.05759081</v>
      </c>
      <c r="M57" s="1589">
        <v>2209.7448520399998</v>
      </c>
      <c r="N57" s="1589">
        <v>54.312738770000003</v>
      </c>
      <c r="O57" s="1589">
        <f t="shared" si="47"/>
        <v>1080.06775984</v>
      </c>
      <c r="P57" s="1589">
        <v>925.32565005000004</v>
      </c>
      <c r="Q57" s="1589">
        <v>154.74210979</v>
      </c>
      <c r="R57" s="1589">
        <f t="shared" si="48"/>
        <v>1157.0424015799999</v>
      </c>
      <c r="S57" s="1589">
        <f t="shared" si="49"/>
        <v>876.25826108000001</v>
      </c>
      <c r="T57" s="1589">
        <v>860.14382441999999</v>
      </c>
      <c r="U57" s="1589">
        <v>16.114436659999999</v>
      </c>
      <c r="V57" s="1589">
        <f t="shared" si="50"/>
        <v>280.78414050000003</v>
      </c>
      <c r="W57" s="1589">
        <v>242.63089644000001</v>
      </c>
      <c r="X57" s="1589">
        <v>38.153244059999999</v>
      </c>
      <c r="Y57" s="1589">
        <f t="shared" si="51"/>
        <v>2547.3261209800003</v>
      </c>
      <c r="Z57" s="1589">
        <f t="shared" si="52"/>
        <v>1301.2960170600002</v>
      </c>
      <c r="AA57" s="1589">
        <v>1239.2970710300001</v>
      </c>
      <c r="AB57" s="1589">
        <v>61.998946029999999</v>
      </c>
      <c r="AC57" s="1589">
        <f t="shared" si="53"/>
        <v>1246.0301039200001</v>
      </c>
      <c r="AD57" s="1589">
        <v>824.96747875000005</v>
      </c>
      <c r="AE57" s="1589">
        <v>421.06262516999999</v>
      </c>
    </row>
    <row r="58" spans="1:31">
      <c r="A58" s="1588">
        <v>6</v>
      </c>
      <c r="B58" s="1589">
        <f t="shared" si="37"/>
        <v>5922.2164039399995</v>
      </c>
      <c r="C58" s="1589">
        <f t="shared" si="38"/>
        <v>3583.8546703100001</v>
      </c>
      <c r="D58" s="1589">
        <f t="shared" si="38"/>
        <v>2338.3617336299999</v>
      </c>
      <c r="E58" s="1589">
        <f t="shared" si="39"/>
        <v>5221.4891143699997</v>
      </c>
      <c r="F58" s="1589">
        <f t="shared" si="40"/>
        <v>3467.03324591</v>
      </c>
      <c r="G58" s="1589">
        <f t="shared" si="41"/>
        <v>1754.4558684599999</v>
      </c>
      <c r="H58" s="1589">
        <f t="shared" si="42"/>
        <v>700.72728957000004</v>
      </c>
      <c r="I58" s="1589">
        <f t="shared" si="43"/>
        <v>116.8214244</v>
      </c>
      <c r="J58" s="1589">
        <f t="shared" si="44"/>
        <v>583.90586517000008</v>
      </c>
      <c r="K58" s="1589">
        <f t="shared" si="45"/>
        <v>3412.7238381100001</v>
      </c>
      <c r="L58" s="1589">
        <f t="shared" si="46"/>
        <v>2325.4691912900003</v>
      </c>
      <c r="M58" s="1589">
        <v>2272.0069924200002</v>
      </c>
      <c r="N58" s="1589">
        <v>53.462198870000002</v>
      </c>
      <c r="O58" s="1589">
        <f t="shared" si="47"/>
        <v>1087.2546468199998</v>
      </c>
      <c r="P58" s="1589">
        <v>925.44447775999993</v>
      </c>
      <c r="Q58" s="1589">
        <v>161.81016906000002</v>
      </c>
      <c r="R58" s="1589">
        <f t="shared" si="48"/>
        <v>1202.87384284</v>
      </c>
      <c r="S58" s="1589">
        <f t="shared" si="49"/>
        <v>914.47111170000005</v>
      </c>
      <c r="T58" s="1589">
        <v>899.04871462000006</v>
      </c>
      <c r="U58" s="1589">
        <v>15.42239708</v>
      </c>
      <c r="V58" s="1589">
        <f t="shared" si="50"/>
        <v>288.40273113999996</v>
      </c>
      <c r="W58" s="1589">
        <v>245.24628513999997</v>
      </c>
      <c r="X58" s="1589">
        <v>43.15644600000001</v>
      </c>
      <c r="Y58" s="1589">
        <f t="shared" si="51"/>
        <v>2509.4925658299999</v>
      </c>
      <c r="Z58" s="1589">
        <f t="shared" si="52"/>
        <v>1258.3854790199998</v>
      </c>
      <c r="AA58" s="1589">
        <v>1195.0262534899998</v>
      </c>
      <c r="AB58" s="1589">
        <v>63.359225529999996</v>
      </c>
      <c r="AC58" s="1589">
        <f t="shared" si="53"/>
        <v>1251.1070868100001</v>
      </c>
      <c r="AD58" s="1589">
        <v>829.01139069999999</v>
      </c>
      <c r="AE58" s="1589">
        <v>422.09569611000006</v>
      </c>
    </row>
    <row r="59" spans="1:31">
      <c r="A59" s="1588">
        <v>7</v>
      </c>
      <c r="B59" s="1589">
        <f t="shared" si="37"/>
        <v>6019.3164782800004</v>
      </c>
      <c r="C59" s="1589">
        <f t="shared" si="38"/>
        <v>3609.8591840900003</v>
      </c>
      <c r="D59" s="1589">
        <f t="shared" si="38"/>
        <v>2409.4572941900001</v>
      </c>
      <c r="E59" s="1589">
        <f t="shared" si="39"/>
        <v>5287.5822711800001</v>
      </c>
      <c r="F59" s="1589">
        <f t="shared" si="40"/>
        <v>3460.7371533200003</v>
      </c>
      <c r="G59" s="1589">
        <f t="shared" si="41"/>
        <v>1826.8451178600001</v>
      </c>
      <c r="H59" s="1589">
        <f t="shared" si="42"/>
        <v>731.73420710000005</v>
      </c>
      <c r="I59" s="1589">
        <f t="shared" si="43"/>
        <v>149.12203077000001</v>
      </c>
      <c r="J59" s="1589">
        <f t="shared" si="44"/>
        <v>582.61217633000001</v>
      </c>
      <c r="K59" s="1589">
        <f t="shared" si="45"/>
        <v>3452.1833446500004</v>
      </c>
      <c r="L59" s="1589">
        <f t="shared" si="46"/>
        <v>2315.9672258300002</v>
      </c>
      <c r="M59" s="1589">
        <v>2230.1244928900001</v>
      </c>
      <c r="N59" s="1589">
        <v>85.842732940000005</v>
      </c>
      <c r="O59" s="1589">
        <f t="shared" si="47"/>
        <v>1136.21611882</v>
      </c>
      <c r="P59" s="1589">
        <v>974.91382616999999</v>
      </c>
      <c r="Q59" s="1589">
        <v>161.30229265</v>
      </c>
      <c r="R59" s="1589">
        <f t="shared" si="48"/>
        <v>1160.13708309</v>
      </c>
      <c r="S59" s="1589">
        <f t="shared" si="49"/>
        <v>850.97289785000009</v>
      </c>
      <c r="T59" s="1589">
        <v>832.82103095000014</v>
      </c>
      <c r="U59" s="1589">
        <v>18.151866900000002</v>
      </c>
      <c r="V59" s="1589">
        <f t="shared" si="50"/>
        <v>309.16418523999988</v>
      </c>
      <c r="W59" s="1589">
        <v>276.4176686699999</v>
      </c>
      <c r="X59" s="1589">
        <v>32.746516570000004</v>
      </c>
      <c r="Y59" s="1589">
        <f t="shared" si="51"/>
        <v>2567.13313363</v>
      </c>
      <c r="Z59" s="1589">
        <f t="shared" si="52"/>
        <v>1293.8919582599999</v>
      </c>
      <c r="AA59" s="1589">
        <v>1230.61266043</v>
      </c>
      <c r="AB59" s="1589">
        <v>63.279297829999997</v>
      </c>
      <c r="AC59" s="1589">
        <f t="shared" si="53"/>
        <v>1273.2411753700001</v>
      </c>
      <c r="AD59" s="1589">
        <v>851.93129169000008</v>
      </c>
      <c r="AE59" s="1589">
        <v>421.30988367999998</v>
      </c>
    </row>
    <row r="60" spans="1:31">
      <c r="A60" s="1588">
        <v>8</v>
      </c>
      <c r="B60" s="1589">
        <f t="shared" si="37"/>
        <v>6090.4318320100001</v>
      </c>
      <c r="C60" s="1589">
        <f t="shared" si="38"/>
        <v>3686.25774817</v>
      </c>
      <c r="D60" s="1589">
        <f t="shared" si="38"/>
        <v>2404.1740838400001</v>
      </c>
      <c r="E60" s="1589">
        <f t="shared" si="39"/>
        <v>5353.5566308399993</v>
      </c>
      <c r="F60" s="1589">
        <f t="shared" si="40"/>
        <v>3537.5087298799999</v>
      </c>
      <c r="G60" s="1589">
        <f t="shared" si="41"/>
        <v>1816.0479009599999</v>
      </c>
      <c r="H60" s="1589">
        <f t="shared" si="42"/>
        <v>736.87520116999997</v>
      </c>
      <c r="I60" s="1589">
        <f t="shared" si="43"/>
        <v>148.74901828999998</v>
      </c>
      <c r="J60" s="1589">
        <f t="shared" si="44"/>
        <v>588.12618287999999</v>
      </c>
      <c r="K60" s="1589">
        <f t="shared" si="45"/>
        <v>3492.7363818100002</v>
      </c>
      <c r="L60" s="1589">
        <f t="shared" si="46"/>
        <v>2369.1564675300001</v>
      </c>
      <c r="M60" s="1589">
        <v>2284.4809292</v>
      </c>
      <c r="N60" s="1589">
        <v>84.675538329999995</v>
      </c>
      <c r="O60" s="1589">
        <f t="shared" si="47"/>
        <v>1123.5799142799999</v>
      </c>
      <c r="P60" s="1589">
        <v>958.36480546999996</v>
      </c>
      <c r="Q60" s="1589">
        <v>165.21510881</v>
      </c>
      <c r="R60" s="1589">
        <f t="shared" si="48"/>
        <v>1217.8777373399998</v>
      </c>
      <c r="S60" s="1589">
        <f t="shared" si="49"/>
        <v>909.82929411999999</v>
      </c>
      <c r="T60" s="1589">
        <v>892.03902519999997</v>
      </c>
      <c r="U60" s="1589">
        <v>17.790268919999999</v>
      </c>
      <c r="V60" s="1589">
        <f t="shared" si="50"/>
        <v>308.04844321999997</v>
      </c>
      <c r="W60" s="1589">
        <v>275.10109048999999</v>
      </c>
      <c r="X60" s="1589">
        <v>32.947352729999999</v>
      </c>
      <c r="Y60" s="1589">
        <f t="shared" si="51"/>
        <v>2597.6954501999999</v>
      </c>
      <c r="Z60" s="1589">
        <f t="shared" si="52"/>
        <v>1317.1012806399999</v>
      </c>
      <c r="AA60" s="1589">
        <v>1253.0278006799999</v>
      </c>
      <c r="AB60" s="1589">
        <v>64.07347996</v>
      </c>
      <c r="AC60" s="1589">
        <f t="shared" si="53"/>
        <v>1280.59416956</v>
      </c>
      <c r="AD60" s="1589">
        <v>857.68309549000003</v>
      </c>
      <c r="AE60" s="1589">
        <v>422.91107406999998</v>
      </c>
    </row>
    <row r="61" spans="1:31">
      <c r="A61" s="1588">
        <v>9</v>
      </c>
      <c r="B61" s="1589">
        <f t="shared" si="37"/>
        <v>6237.3948655100003</v>
      </c>
      <c r="C61" s="1589">
        <f t="shared" si="38"/>
        <v>3810.2287109899999</v>
      </c>
      <c r="D61" s="1589">
        <f t="shared" si="38"/>
        <v>2427.1661545200004</v>
      </c>
      <c r="E61" s="1589">
        <f t="shared" si="39"/>
        <v>5491.3099233700004</v>
      </c>
      <c r="F61" s="1589">
        <f t="shared" si="40"/>
        <v>3660.0852061400001</v>
      </c>
      <c r="G61" s="1589">
        <f t="shared" si="41"/>
        <v>1831.2247172300001</v>
      </c>
      <c r="H61" s="1589">
        <f t="shared" si="42"/>
        <v>746.08494214000007</v>
      </c>
      <c r="I61" s="1589">
        <f t="shared" si="43"/>
        <v>150.14350485</v>
      </c>
      <c r="J61" s="1589">
        <f t="shared" si="44"/>
        <v>595.94143729000007</v>
      </c>
      <c r="K61" s="1589">
        <f t="shared" si="45"/>
        <v>3613.4530662699999</v>
      </c>
      <c r="L61" s="1589">
        <f t="shared" si="46"/>
        <v>2471.5560135199999</v>
      </c>
      <c r="M61" s="1589">
        <v>2385.6003037199998</v>
      </c>
      <c r="N61" s="1589">
        <v>85.955709799999994</v>
      </c>
      <c r="O61" s="1589">
        <f t="shared" si="47"/>
        <v>1141.8970527500001</v>
      </c>
      <c r="P61" s="1589">
        <v>970.16047580000009</v>
      </c>
      <c r="Q61" s="1589">
        <v>171.73657694999997</v>
      </c>
      <c r="R61" s="1589">
        <f t="shared" si="48"/>
        <v>1311.8177153800002</v>
      </c>
      <c r="S61" s="1589">
        <f t="shared" si="49"/>
        <v>992.37874834000002</v>
      </c>
      <c r="T61" s="1589">
        <v>975.06882923000001</v>
      </c>
      <c r="U61" s="1589">
        <v>17.309919109999999</v>
      </c>
      <c r="V61" s="1589">
        <f t="shared" si="50"/>
        <v>319.43896704000008</v>
      </c>
      <c r="W61" s="1589">
        <v>284.5541591700001</v>
      </c>
      <c r="X61" s="1589">
        <v>34.884807869999996</v>
      </c>
      <c r="Y61" s="1589">
        <f t="shared" si="51"/>
        <v>2623.9417992400004</v>
      </c>
      <c r="Z61" s="1589">
        <f t="shared" si="52"/>
        <v>1338.67269747</v>
      </c>
      <c r="AA61" s="1589">
        <v>1274.48490242</v>
      </c>
      <c r="AB61" s="1589">
        <v>64.187795050000005</v>
      </c>
      <c r="AC61" s="1589">
        <f t="shared" si="53"/>
        <v>1285.2691017700001</v>
      </c>
      <c r="AD61" s="1589">
        <v>861.06424143000004</v>
      </c>
      <c r="AE61" s="1589">
        <v>424.20486034000004</v>
      </c>
    </row>
    <row r="62" spans="1:31">
      <c r="A62" s="1588">
        <v>10</v>
      </c>
      <c r="B62" s="1589">
        <f t="shared" si="37"/>
        <v>6303.3730588999988</v>
      </c>
      <c r="C62" s="1589">
        <f t="shared" si="38"/>
        <v>3865.8009231899991</v>
      </c>
      <c r="D62" s="1589">
        <f t="shared" si="38"/>
        <v>2437.5721357100001</v>
      </c>
      <c r="E62" s="1589">
        <f t="shared" si="39"/>
        <v>5551.8639683599995</v>
      </c>
      <c r="F62" s="1589">
        <f t="shared" si="40"/>
        <v>3712.4003578799993</v>
      </c>
      <c r="G62" s="1589">
        <f t="shared" si="41"/>
        <v>1839.4636104800002</v>
      </c>
      <c r="H62" s="1589">
        <f t="shared" si="42"/>
        <v>751.50909053999999</v>
      </c>
      <c r="I62" s="1589">
        <f t="shared" si="43"/>
        <v>153.40056530999999</v>
      </c>
      <c r="J62" s="1589">
        <f t="shared" si="44"/>
        <v>598.10852522999994</v>
      </c>
      <c r="K62" s="1589">
        <f t="shared" si="45"/>
        <v>3621.0030646999994</v>
      </c>
      <c r="L62" s="1589">
        <f t="shared" si="46"/>
        <v>2473.2560071499997</v>
      </c>
      <c r="M62" s="1589">
        <v>2383.8400182699997</v>
      </c>
      <c r="N62" s="1589">
        <v>89.41598888</v>
      </c>
      <c r="O62" s="1589">
        <f t="shared" si="47"/>
        <v>1147.7470575499999</v>
      </c>
      <c r="P62" s="1589">
        <v>976.11569015999999</v>
      </c>
      <c r="Q62" s="1589">
        <v>171.63136739000001</v>
      </c>
      <c r="R62" s="1589">
        <f t="shared" si="48"/>
        <v>1256.7186570700001</v>
      </c>
      <c r="S62" s="1589">
        <f t="shared" si="49"/>
        <v>945.16911811</v>
      </c>
      <c r="T62" s="1589">
        <v>927.13565699000003</v>
      </c>
      <c r="U62" s="1589">
        <v>18.033461120000002</v>
      </c>
      <c r="V62" s="1589">
        <f t="shared" si="50"/>
        <v>311.54953896000006</v>
      </c>
      <c r="W62" s="1589">
        <v>278.24269532000005</v>
      </c>
      <c r="X62" s="1589">
        <v>33.306843640000004</v>
      </c>
      <c r="Y62" s="1589">
        <f t="shared" si="51"/>
        <v>2682.3699941999998</v>
      </c>
      <c r="Z62" s="1589">
        <f t="shared" si="52"/>
        <v>1392.5449160399999</v>
      </c>
      <c r="AA62" s="1589">
        <v>1328.5603396099998</v>
      </c>
      <c r="AB62" s="1589">
        <v>63.984576430000004</v>
      </c>
      <c r="AC62" s="1589">
        <f t="shared" si="53"/>
        <v>1289.82507816</v>
      </c>
      <c r="AD62" s="1589">
        <v>863.34792032000007</v>
      </c>
      <c r="AE62" s="1589">
        <v>426.47715783999996</v>
      </c>
    </row>
    <row r="63" spans="1:31">
      <c r="A63" s="1588">
        <v>11</v>
      </c>
      <c r="B63" s="1589">
        <f t="shared" si="37"/>
        <v>6419.6112475600003</v>
      </c>
      <c r="C63" s="1589">
        <f t="shared" si="38"/>
        <v>3955.45602414</v>
      </c>
      <c r="D63" s="1589">
        <f t="shared" si="38"/>
        <v>2464.1552234199999</v>
      </c>
      <c r="E63" s="1589">
        <f t="shared" si="39"/>
        <v>5659.3099568600001</v>
      </c>
      <c r="F63" s="1589">
        <f t="shared" si="40"/>
        <v>3800.22161203</v>
      </c>
      <c r="G63" s="1589">
        <f t="shared" si="41"/>
        <v>1859.0883448300001</v>
      </c>
      <c r="H63" s="1589">
        <f t="shared" si="42"/>
        <v>760.30129069999998</v>
      </c>
      <c r="I63" s="1589">
        <f t="shared" si="43"/>
        <v>155.23441210999999</v>
      </c>
      <c r="J63" s="1589">
        <f t="shared" si="44"/>
        <v>605.06687858999999</v>
      </c>
      <c r="K63" s="1589">
        <f t="shared" si="45"/>
        <v>3718.6585385899998</v>
      </c>
      <c r="L63" s="1589">
        <f t="shared" si="46"/>
        <v>2550.6016936199999</v>
      </c>
      <c r="M63" s="1589">
        <v>2459.49282481</v>
      </c>
      <c r="N63" s="1589">
        <v>91.10886880999999</v>
      </c>
      <c r="O63" s="1589">
        <f t="shared" si="47"/>
        <v>1168.0568449699999</v>
      </c>
      <c r="P63" s="1589">
        <v>985.04173283</v>
      </c>
      <c r="Q63" s="1589">
        <v>183.01511214000001</v>
      </c>
      <c r="R63" s="1589">
        <f t="shared" si="48"/>
        <v>1287.4893537599999</v>
      </c>
      <c r="S63" s="1589">
        <f t="shared" si="49"/>
        <v>977.85977923999997</v>
      </c>
      <c r="T63" s="1589">
        <v>959.80819712999994</v>
      </c>
      <c r="U63" s="1589">
        <v>18.051582110000002</v>
      </c>
      <c r="V63" s="1589">
        <f t="shared" si="50"/>
        <v>309.62957451999995</v>
      </c>
      <c r="W63" s="1589">
        <v>276.91025766999996</v>
      </c>
      <c r="X63" s="1589">
        <v>32.719316849999998</v>
      </c>
      <c r="Y63" s="1589">
        <f t="shared" si="51"/>
        <v>2700.9527089700005</v>
      </c>
      <c r="Z63" s="1589">
        <f t="shared" si="52"/>
        <v>1404.8543305200001</v>
      </c>
      <c r="AA63" s="1589">
        <v>1340.72878722</v>
      </c>
      <c r="AB63" s="1589">
        <v>64.125543300000004</v>
      </c>
      <c r="AC63" s="1589">
        <f t="shared" si="53"/>
        <v>1296.0983784500002</v>
      </c>
      <c r="AD63" s="1589">
        <v>874.0466120000001</v>
      </c>
      <c r="AE63" s="1589">
        <v>422.05176645</v>
      </c>
    </row>
    <row r="64" spans="1:31">
      <c r="A64" s="1588">
        <v>12</v>
      </c>
      <c r="B64" s="1589">
        <f t="shared" si="37"/>
        <v>6395.8448741600005</v>
      </c>
      <c r="C64" s="1589">
        <f t="shared" si="38"/>
        <v>3888.3470149499999</v>
      </c>
      <c r="D64" s="1589">
        <f t="shared" si="38"/>
        <v>2507.4978592100001</v>
      </c>
      <c r="E64" s="1589">
        <f t="shared" si="39"/>
        <v>5620.2964212200004</v>
      </c>
      <c r="F64" s="1589">
        <f t="shared" si="40"/>
        <v>3730.1211726500001</v>
      </c>
      <c r="G64" s="1589">
        <f t="shared" si="41"/>
        <v>1890.1752485700001</v>
      </c>
      <c r="H64" s="1589">
        <f t="shared" si="42"/>
        <v>775.54845294000006</v>
      </c>
      <c r="I64" s="1589">
        <f t="shared" si="43"/>
        <v>158.22584230000001</v>
      </c>
      <c r="J64" s="1589">
        <f t="shared" si="44"/>
        <v>617.32261063999999</v>
      </c>
      <c r="K64" s="1589">
        <f t="shared" si="45"/>
        <v>3705.50365977</v>
      </c>
      <c r="L64" s="1589">
        <f t="shared" si="46"/>
        <v>2445.7544599099997</v>
      </c>
      <c r="M64" s="1589">
        <v>2351.3211118099998</v>
      </c>
      <c r="N64" s="1589">
        <v>94.433348100000003</v>
      </c>
      <c r="O64" s="1589">
        <f t="shared" si="47"/>
        <v>1259.7491998600001</v>
      </c>
      <c r="P64" s="1589">
        <v>1067.0870260900001</v>
      </c>
      <c r="Q64" s="1589">
        <v>192.66217377000001</v>
      </c>
      <c r="R64" s="1589">
        <f t="shared" si="48"/>
        <v>1088.26971914</v>
      </c>
      <c r="S64" s="1589">
        <f t="shared" si="49"/>
        <v>778.70325536999997</v>
      </c>
      <c r="T64" s="1589">
        <v>759.75829567999995</v>
      </c>
      <c r="U64" s="1589">
        <v>18.944959690000001</v>
      </c>
      <c r="V64" s="1589">
        <f t="shared" si="50"/>
        <v>309.56646377000004</v>
      </c>
      <c r="W64" s="1589">
        <v>272.14360713000002</v>
      </c>
      <c r="X64" s="1589">
        <v>37.422856639999999</v>
      </c>
      <c r="Y64" s="1589">
        <f t="shared" si="51"/>
        <v>2690.3412143900005</v>
      </c>
      <c r="Z64" s="1589">
        <f t="shared" si="52"/>
        <v>1442.5925550400002</v>
      </c>
      <c r="AA64" s="1589">
        <v>1378.8000608400002</v>
      </c>
      <c r="AB64" s="1589">
        <v>63.7924942</v>
      </c>
      <c r="AC64" s="1589">
        <f t="shared" si="53"/>
        <v>1247.74865935</v>
      </c>
      <c r="AD64" s="1589">
        <v>823.08822248000001</v>
      </c>
      <c r="AE64" s="1589">
        <v>424.66043687000001</v>
      </c>
    </row>
    <row r="65" spans="1:31" ht="15.75">
      <c r="A65" s="1586">
        <v>2014</v>
      </c>
      <c r="B65" s="1589"/>
      <c r="C65" s="1589"/>
      <c r="D65" s="1589"/>
      <c r="E65" s="1589"/>
      <c r="F65" s="1589"/>
      <c r="G65" s="1589"/>
      <c r="H65" s="1589"/>
      <c r="I65" s="1589"/>
      <c r="J65" s="1589"/>
      <c r="K65" s="1589"/>
      <c r="L65" s="1589"/>
      <c r="M65" s="1589"/>
      <c r="N65" s="1589"/>
      <c r="O65" s="1589"/>
      <c r="P65" s="1589"/>
      <c r="Q65" s="1589"/>
      <c r="R65" s="1589"/>
      <c r="S65" s="1589"/>
      <c r="T65" s="1589"/>
      <c r="U65" s="1589"/>
      <c r="V65" s="1589"/>
      <c r="W65" s="1589"/>
      <c r="X65" s="1589"/>
      <c r="Y65" s="1589"/>
      <c r="Z65" s="1589"/>
      <c r="AA65" s="1589"/>
      <c r="AB65" s="1589"/>
      <c r="AC65" s="1589"/>
      <c r="AD65" s="1589"/>
      <c r="AE65" s="1589"/>
    </row>
    <row r="66" spans="1:31">
      <c r="A66" s="1588">
        <v>1</v>
      </c>
      <c r="B66" s="1589">
        <f t="shared" ref="B66:B71" si="54">+C66+D66</f>
        <v>6451.4104649499996</v>
      </c>
      <c r="C66" s="1589">
        <f t="shared" ref="C66:D74" si="55">+F66+I66</f>
        <v>3929.7981975099997</v>
      </c>
      <c r="D66" s="1589">
        <f t="shared" si="55"/>
        <v>2521.6122674399999</v>
      </c>
      <c r="E66" s="1589">
        <f t="shared" ref="E66:E71" si="56">+F66+G66</f>
        <v>5675.6954215400001</v>
      </c>
      <c r="F66" s="1589">
        <f t="shared" ref="F66:F71" si="57">+M66+AA66</f>
        <v>3773.0849977399998</v>
      </c>
      <c r="G66" s="1589">
        <f t="shared" ref="G66:G71" si="58">+P66+AD66</f>
        <v>1902.6104237999998</v>
      </c>
      <c r="H66" s="1589">
        <f t="shared" ref="H66:H71" si="59">+I66+J66</f>
        <v>775.71504340999991</v>
      </c>
      <c r="I66" s="1589">
        <f t="shared" ref="I66:I71" si="60">+N66+AB66</f>
        <v>156.71319976999999</v>
      </c>
      <c r="J66" s="1589">
        <f t="shared" ref="J66:J71" si="61">+Q66+AE66</f>
        <v>619.00184363999995</v>
      </c>
      <c r="K66" s="1589">
        <f t="shared" ref="K66:K71" si="62">+L66+O66</f>
        <v>3725.1427390499998</v>
      </c>
      <c r="L66" s="1589">
        <f t="shared" ref="L66:L71" si="63">+M66+N66</f>
        <v>2465.79586621</v>
      </c>
      <c r="M66" s="1589">
        <v>2368.00962037</v>
      </c>
      <c r="N66" s="1589">
        <v>97.786245839999992</v>
      </c>
      <c r="O66" s="1589">
        <f t="shared" ref="O66:O72" si="64">P66+Q66</f>
        <v>1259.3468728399998</v>
      </c>
      <c r="P66" s="1589">
        <v>1065.9615482699999</v>
      </c>
      <c r="Q66" s="1589">
        <v>193.38532456999999</v>
      </c>
      <c r="R66" s="1589">
        <f t="shared" ref="R66:R71" si="65">S66+V66</f>
        <v>1105.8477324099999</v>
      </c>
      <c r="S66" s="1589">
        <f t="shared" ref="S66:S71" si="66">T66+U66</f>
        <v>806.02335108999989</v>
      </c>
      <c r="T66" s="1589">
        <v>787.91023093999991</v>
      </c>
      <c r="U66" s="1589">
        <v>18.113120150000004</v>
      </c>
      <c r="V66" s="1589">
        <f t="shared" ref="V66:V72" si="67">W66+X66</f>
        <v>299.82438132000004</v>
      </c>
      <c r="W66" s="1589">
        <v>264.04105980000003</v>
      </c>
      <c r="X66" s="1589">
        <v>35.783321520000001</v>
      </c>
      <c r="Y66" s="1589">
        <f t="shared" ref="Y66:Y72" si="68">Z66+AC66</f>
        <v>2726.2677259000002</v>
      </c>
      <c r="Z66" s="1589">
        <f t="shared" ref="Z66:Z72" si="69">AA66+AB66</f>
        <v>1464.0023312999999</v>
      </c>
      <c r="AA66" s="1589">
        <v>1405.0753773699998</v>
      </c>
      <c r="AB66" s="1589">
        <v>58.926953929999996</v>
      </c>
      <c r="AC66" s="1589">
        <f t="shared" ref="AC66:AC72" si="70">AD66+AE66</f>
        <v>1262.2653946</v>
      </c>
      <c r="AD66" s="1589">
        <v>836.64887552999994</v>
      </c>
      <c r="AE66" s="1589">
        <v>425.61651906999998</v>
      </c>
    </row>
    <row r="67" spans="1:31">
      <c r="A67" s="1588">
        <v>2</v>
      </c>
      <c r="B67" s="1589">
        <f t="shared" si="54"/>
        <v>6591.6606563599998</v>
      </c>
      <c r="C67" s="1589">
        <f t="shared" si="55"/>
        <v>4028.5103759500003</v>
      </c>
      <c r="D67" s="1589">
        <f t="shared" si="55"/>
        <v>2563.1502804100001</v>
      </c>
      <c r="E67" s="1589">
        <f t="shared" si="56"/>
        <v>5840.2864390699997</v>
      </c>
      <c r="F67" s="1589">
        <f t="shared" si="57"/>
        <v>3894.0410626900002</v>
      </c>
      <c r="G67" s="1589">
        <f t="shared" si="58"/>
        <v>1946.2453763799999</v>
      </c>
      <c r="H67" s="1589">
        <f t="shared" si="59"/>
        <v>751.37421729000005</v>
      </c>
      <c r="I67" s="1589">
        <f t="shared" si="60"/>
        <v>134.46931326000001</v>
      </c>
      <c r="J67" s="1589">
        <f t="shared" si="61"/>
        <v>616.90490403000001</v>
      </c>
      <c r="K67" s="1589">
        <f t="shared" si="62"/>
        <v>3857.9997306400001</v>
      </c>
      <c r="L67" s="1589">
        <f t="shared" si="63"/>
        <v>2558.2764536700001</v>
      </c>
      <c r="M67" s="1589">
        <v>2483.72669653</v>
      </c>
      <c r="N67" s="1589">
        <v>74.549757139999997</v>
      </c>
      <c r="O67" s="1589">
        <f t="shared" si="64"/>
        <v>1299.7232769700001</v>
      </c>
      <c r="P67" s="1589">
        <v>1096.9439224800001</v>
      </c>
      <c r="Q67" s="1589">
        <v>202.77935449</v>
      </c>
      <c r="R67" s="1589">
        <f t="shared" si="65"/>
        <v>1214.3545982599999</v>
      </c>
      <c r="S67" s="1589">
        <f t="shared" si="66"/>
        <v>909.39596168000003</v>
      </c>
      <c r="T67" s="1589">
        <v>891.70560348000004</v>
      </c>
      <c r="U67" s="1589">
        <v>17.690358199999999</v>
      </c>
      <c r="V67" s="1589">
        <f t="shared" si="67"/>
        <v>304.95863657999996</v>
      </c>
      <c r="W67" s="1589">
        <v>271.80815847999997</v>
      </c>
      <c r="X67" s="1589">
        <v>33.150478100000001</v>
      </c>
      <c r="Y67" s="1589">
        <f t="shared" si="68"/>
        <v>2733.6609257199998</v>
      </c>
      <c r="Z67" s="1589">
        <f t="shared" si="69"/>
        <v>1470.2339222799999</v>
      </c>
      <c r="AA67" s="1589">
        <v>1410.31436616</v>
      </c>
      <c r="AB67" s="1589">
        <v>59.919556120000003</v>
      </c>
      <c r="AC67" s="1589">
        <f t="shared" si="70"/>
        <v>1263.4270034399999</v>
      </c>
      <c r="AD67" s="1589">
        <v>849.30145389999996</v>
      </c>
      <c r="AE67" s="1589">
        <v>414.12554954000001</v>
      </c>
    </row>
    <row r="68" spans="1:31">
      <c r="A68" s="1588">
        <v>3</v>
      </c>
      <c r="B68" s="1589">
        <f t="shared" si="54"/>
        <v>6656.3254772600003</v>
      </c>
      <c r="C68" s="1589">
        <f t="shared" si="55"/>
        <v>4077.05009122</v>
      </c>
      <c r="D68" s="1589">
        <f t="shared" si="55"/>
        <v>2579.2753860400003</v>
      </c>
      <c r="E68" s="1589">
        <f t="shared" si="56"/>
        <v>5959.3639897499997</v>
      </c>
      <c r="F68" s="1589">
        <f t="shared" si="57"/>
        <v>3948.3811343299999</v>
      </c>
      <c r="G68" s="1589">
        <f t="shared" si="58"/>
        <v>2010.9828554200003</v>
      </c>
      <c r="H68" s="1589">
        <f t="shared" si="59"/>
        <v>696.96148750999998</v>
      </c>
      <c r="I68" s="1589">
        <f t="shared" si="60"/>
        <v>128.66895689</v>
      </c>
      <c r="J68" s="1589">
        <f t="shared" si="61"/>
        <v>568.29253061999998</v>
      </c>
      <c r="K68" s="1589">
        <f t="shared" si="62"/>
        <v>3990.14908328</v>
      </c>
      <c r="L68" s="1589">
        <f t="shared" si="63"/>
        <v>2592.1079596700001</v>
      </c>
      <c r="M68" s="1589">
        <v>2523.3057687099999</v>
      </c>
      <c r="N68" s="1589">
        <v>68.802190960000004</v>
      </c>
      <c r="O68" s="1589">
        <f t="shared" si="64"/>
        <v>1398.0411236100001</v>
      </c>
      <c r="P68" s="1589">
        <v>1141.2416964200002</v>
      </c>
      <c r="Q68" s="1589">
        <v>256.79942719000002</v>
      </c>
      <c r="R68" s="1589">
        <f t="shared" si="65"/>
        <v>1256.2924715500001</v>
      </c>
      <c r="S68" s="1589">
        <f t="shared" si="66"/>
        <v>926.75950374000001</v>
      </c>
      <c r="T68" s="1589">
        <v>907.01271545999998</v>
      </c>
      <c r="U68" s="1589">
        <v>19.746788280000001</v>
      </c>
      <c r="V68" s="1589">
        <f t="shared" si="67"/>
        <v>329.53296781</v>
      </c>
      <c r="W68" s="1589">
        <v>283.94721874999999</v>
      </c>
      <c r="X68" s="1589">
        <v>45.585749059999998</v>
      </c>
      <c r="Y68" s="1589">
        <f t="shared" si="68"/>
        <v>2666.1763939800003</v>
      </c>
      <c r="Z68" s="1589">
        <f t="shared" si="69"/>
        <v>1484.9421315499999</v>
      </c>
      <c r="AA68" s="1589">
        <v>1425.07536562</v>
      </c>
      <c r="AB68" s="1589">
        <v>59.866765930000007</v>
      </c>
      <c r="AC68" s="1589">
        <f t="shared" si="70"/>
        <v>1181.2342624300002</v>
      </c>
      <c r="AD68" s="1589">
        <v>869.74115900000015</v>
      </c>
      <c r="AE68" s="1589">
        <v>311.49310343000002</v>
      </c>
    </row>
    <row r="69" spans="1:31">
      <c r="A69" s="1588">
        <v>4</v>
      </c>
      <c r="B69" s="1589">
        <f t="shared" si="54"/>
        <v>6569.8810599799999</v>
      </c>
      <c r="C69" s="1589">
        <f t="shared" si="55"/>
        <v>4066.9585735699998</v>
      </c>
      <c r="D69" s="1589">
        <f t="shared" si="55"/>
        <v>2502.9224864100001</v>
      </c>
      <c r="E69" s="1589">
        <f t="shared" si="56"/>
        <v>5961.1683254700001</v>
      </c>
      <c r="F69" s="1589">
        <f t="shared" si="57"/>
        <v>3942.2243731799999</v>
      </c>
      <c r="G69" s="1589">
        <f t="shared" si="58"/>
        <v>2018.94395229</v>
      </c>
      <c r="H69" s="1589">
        <f t="shared" si="59"/>
        <v>608.71273451000002</v>
      </c>
      <c r="I69" s="1589">
        <f t="shared" si="60"/>
        <v>124.73420039</v>
      </c>
      <c r="J69" s="1589">
        <f t="shared" si="61"/>
        <v>483.97853412000006</v>
      </c>
      <c r="K69" s="1589">
        <f t="shared" si="62"/>
        <v>3961.3788653300003</v>
      </c>
      <c r="L69" s="1589">
        <f t="shared" si="63"/>
        <v>2559.6036840800002</v>
      </c>
      <c r="M69" s="1589">
        <v>2494.8064018300001</v>
      </c>
      <c r="N69" s="1589">
        <v>64.797282249999995</v>
      </c>
      <c r="O69" s="1589">
        <f t="shared" si="64"/>
        <v>1401.7751812500001</v>
      </c>
      <c r="P69" s="1589">
        <v>1152.6522775200001</v>
      </c>
      <c r="Q69" s="1589">
        <v>249.12290373000002</v>
      </c>
      <c r="R69" s="1589">
        <f t="shared" si="65"/>
        <v>1134.0603969200001</v>
      </c>
      <c r="S69" s="1589">
        <f t="shared" si="66"/>
        <v>800.65418823000005</v>
      </c>
      <c r="T69" s="1589">
        <v>781.66087979000008</v>
      </c>
      <c r="U69" s="1589">
        <v>18.993308440000003</v>
      </c>
      <c r="V69" s="1589">
        <f t="shared" si="67"/>
        <v>333.40620869000003</v>
      </c>
      <c r="W69" s="1589">
        <v>294.80842256000005</v>
      </c>
      <c r="X69" s="1589">
        <v>38.597786129999996</v>
      </c>
      <c r="Y69" s="1589">
        <f t="shared" si="68"/>
        <v>2608.5021946499996</v>
      </c>
      <c r="Z69" s="1589">
        <f t="shared" si="69"/>
        <v>1507.3548894899998</v>
      </c>
      <c r="AA69" s="1589">
        <v>1447.4179713499998</v>
      </c>
      <c r="AB69" s="1589">
        <v>59.936918140000003</v>
      </c>
      <c r="AC69" s="1589">
        <f t="shared" si="70"/>
        <v>1101.1473051599999</v>
      </c>
      <c r="AD69" s="1589">
        <v>866.29167476999987</v>
      </c>
      <c r="AE69" s="1589">
        <v>234.85563039000002</v>
      </c>
    </row>
    <row r="70" spans="1:31">
      <c r="A70" s="1588">
        <v>5</v>
      </c>
      <c r="B70" s="1589">
        <f t="shared" si="54"/>
        <v>6643.0451918799999</v>
      </c>
      <c r="C70" s="1589">
        <f t="shared" si="55"/>
        <v>4158.8485667799996</v>
      </c>
      <c r="D70" s="1589">
        <f t="shared" si="55"/>
        <v>2484.1966251000003</v>
      </c>
      <c r="E70" s="1589">
        <f t="shared" si="56"/>
        <v>6030.3407771700004</v>
      </c>
      <c r="F70" s="1589">
        <f t="shared" si="57"/>
        <v>4032.5437257999997</v>
      </c>
      <c r="G70" s="1589">
        <f t="shared" si="58"/>
        <v>1997.7970513700002</v>
      </c>
      <c r="H70" s="1589">
        <f t="shared" si="59"/>
        <v>612.70441471000004</v>
      </c>
      <c r="I70" s="1589">
        <f t="shared" si="60"/>
        <v>126.30484097999999</v>
      </c>
      <c r="J70" s="1589">
        <f t="shared" si="61"/>
        <v>486.39957372999999</v>
      </c>
      <c r="K70" s="1589">
        <f t="shared" si="62"/>
        <v>3993.8217594899997</v>
      </c>
      <c r="L70" s="1589">
        <f t="shared" si="63"/>
        <v>2629.1217976899998</v>
      </c>
      <c r="M70" s="1589">
        <v>2563.13422597</v>
      </c>
      <c r="N70" s="1589">
        <v>65.987571719999991</v>
      </c>
      <c r="O70" s="1589">
        <f t="shared" si="64"/>
        <v>1364.6999618000002</v>
      </c>
      <c r="P70" s="1589">
        <v>1116.8125606700003</v>
      </c>
      <c r="Q70" s="1589">
        <v>247.88740112999997</v>
      </c>
      <c r="R70" s="1589">
        <f t="shared" si="65"/>
        <v>1132.31191143</v>
      </c>
      <c r="S70" s="1589">
        <f t="shared" si="66"/>
        <v>815.45175207</v>
      </c>
      <c r="T70" s="1589">
        <v>796.44956019999995</v>
      </c>
      <c r="U70" s="1589">
        <v>19.002191870000004</v>
      </c>
      <c r="V70" s="1589">
        <f t="shared" si="67"/>
        <v>316.86015936000001</v>
      </c>
      <c r="W70" s="1589">
        <v>279.47943951000002</v>
      </c>
      <c r="X70" s="1589">
        <v>37.380719849999991</v>
      </c>
      <c r="Y70" s="1589">
        <f t="shared" si="68"/>
        <v>2649.2234323900002</v>
      </c>
      <c r="Z70" s="1589">
        <f t="shared" si="69"/>
        <v>1529.7267690899998</v>
      </c>
      <c r="AA70" s="1589">
        <v>1469.4094998299997</v>
      </c>
      <c r="AB70" s="1589">
        <v>60.317269259999996</v>
      </c>
      <c r="AC70" s="1589">
        <f t="shared" si="70"/>
        <v>1119.4966633000001</v>
      </c>
      <c r="AD70" s="1589">
        <v>880.98449070000004</v>
      </c>
      <c r="AE70" s="1589">
        <v>238.51217260000001</v>
      </c>
    </row>
    <row r="71" spans="1:31">
      <c r="A71" s="1588">
        <v>6</v>
      </c>
      <c r="B71" s="1589">
        <f t="shared" si="54"/>
        <v>6720.5955842000003</v>
      </c>
      <c r="C71" s="1589">
        <f t="shared" si="55"/>
        <v>4198.2507232799999</v>
      </c>
      <c r="D71" s="1589">
        <f t="shared" si="55"/>
        <v>2522.3448609200004</v>
      </c>
      <c r="E71" s="1589">
        <f t="shared" si="56"/>
        <v>6093.2068779600004</v>
      </c>
      <c r="F71" s="1589">
        <f t="shared" si="57"/>
        <v>4070.3656986599999</v>
      </c>
      <c r="G71" s="1589">
        <f t="shared" si="58"/>
        <v>2022.8411793000002</v>
      </c>
      <c r="H71" s="1589">
        <f t="shared" si="59"/>
        <v>627.38870624000003</v>
      </c>
      <c r="I71" s="1589">
        <f t="shared" si="60"/>
        <v>127.88502462</v>
      </c>
      <c r="J71" s="1589">
        <f t="shared" si="61"/>
        <v>499.50368162000001</v>
      </c>
      <c r="K71" s="1589">
        <f t="shared" si="62"/>
        <v>4023.3686879800002</v>
      </c>
      <c r="L71" s="1589">
        <f t="shared" si="63"/>
        <v>2640.8026103699999</v>
      </c>
      <c r="M71" s="1589">
        <v>2572.74336589</v>
      </c>
      <c r="N71" s="1589">
        <v>68.059244480000004</v>
      </c>
      <c r="O71" s="1589">
        <f t="shared" si="64"/>
        <v>1382.5660776100003</v>
      </c>
      <c r="P71" s="1589">
        <v>1123.4978669800003</v>
      </c>
      <c r="Q71" s="1589">
        <v>259.06821063000001</v>
      </c>
      <c r="R71" s="1589">
        <f t="shared" si="65"/>
        <v>1129.7733274100001</v>
      </c>
      <c r="S71" s="1589">
        <f t="shared" si="66"/>
        <v>798.48918222999998</v>
      </c>
      <c r="T71" s="1589">
        <v>777.89316209000003</v>
      </c>
      <c r="U71" s="1589">
        <v>20.59602014</v>
      </c>
      <c r="V71" s="1589">
        <f t="shared" si="67"/>
        <v>331.28414518</v>
      </c>
      <c r="W71" s="1589">
        <v>289.52290390000002</v>
      </c>
      <c r="X71" s="1589">
        <v>41.761241279999993</v>
      </c>
      <c r="Y71" s="1589">
        <f t="shared" si="68"/>
        <v>2697.2268962200005</v>
      </c>
      <c r="Z71" s="1589">
        <f t="shared" si="69"/>
        <v>1557.4481129100002</v>
      </c>
      <c r="AA71" s="1589">
        <v>1497.6223327700002</v>
      </c>
      <c r="AB71" s="1589">
        <v>59.825780139999999</v>
      </c>
      <c r="AC71" s="1589">
        <f t="shared" si="70"/>
        <v>1139.7787833100001</v>
      </c>
      <c r="AD71" s="1589">
        <v>899.34331232</v>
      </c>
      <c r="AE71" s="1589">
        <v>240.43547099</v>
      </c>
    </row>
    <row r="72" spans="1:31">
      <c r="A72" s="1588">
        <v>7</v>
      </c>
      <c r="B72" s="1589">
        <f>+C72+D72</f>
        <v>6940.0354101999992</v>
      </c>
      <c r="C72" s="1589">
        <f t="shared" si="55"/>
        <v>4403.5624606999991</v>
      </c>
      <c r="D72" s="1589">
        <f t="shared" si="55"/>
        <v>2536.4729495000001</v>
      </c>
      <c r="E72" s="1589">
        <f>+F72+G72</f>
        <v>6310.9431645199993</v>
      </c>
      <c r="F72" s="1589">
        <f>+M72+AA72</f>
        <v>4271.6614618799995</v>
      </c>
      <c r="G72" s="1589">
        <f>+P72+AD72</f>
        <v>2039.28170264</v>
      </c>
      <c r="H72" s="1589">
        <f>+I72+J72</f>
        <v>629.09224567999991</v>
      </c>
      <c r="I72" s="1589">
        <f>+N72+AB72</f>
        <v>131.90099881999998</v>
      </c>
      <c r="J72" s="1589">
        <f>+Q72+AE72</f>
        <v>497.19124685999998</v>
      </c>
      <c r="K72" s="1589">
        <f>+L72+O72</f>
        <v>4224.9281000600004</v>
      </c>
      <c r="L72" s="1589">
        <f>+M72+N72</f>
        <v>2832.3002050199998</v>
      </c>
      <c r="M72" s="1589">
        <f>2760872.73555/1000</f>
        <v>2760.87273555</v>
      </c>
      <c r="N72" s="1589">
        <f>71427.46947/1000</f>
        <v>71.427469469999991</v>
      </c>
      <c r="O72" s="1589">
        <f t="shared" si="64"/>
        <v>1392.6278950400001</v>
      </c>
      <c r="P72" s="1589">
        <f>1135526.8194/1000</f>
        <v>1135.5268194</v>
      </c>
      <c r="Q72" s="1589">
        <f>257101.07564/1000</f>
        <v>257.10107563999998</v>
      </c>
      <c r="R72" s="1589">
        <f>S72+V72</f>
        <v>1236.9838280899999</v>
      </c>
      <c r="S72" s="1589">
        <f>T72+U72</f>
        <v>922.79444828999988</v>
      </c>
      <c r="T72" s="1589">
        <f>900312.27692/1000</f>
        <v>900.31227691999993</v>
      </c>
      <c r="U72" s="1589">
        <f>22482.17137/1000</f>
        <v>22.48217137</v>
      </c>
      <c r="V72" s="1589">
        <f t="shared" si="67"/>
        <v>314.18937979999998</v>
      </c>
      <c r="W72" s="1589">
        <f>272807.15785/1000</f>
        <v>272.80715785000001</v>
      </c>
      <c r="X72" s="1589">
        <f>41382.22195/1000</f>
        <v>41.382221950000002</v>
      </c>
      <c r="Y72" s="1589">
        <f t="shared" si="68"/>
        <v>2715.1073101399998</v>
      </c>
      <c r="Z72" s="1589">
        <f t="shared" si="69"/>
        <v>1571.26225568</v>
      </c>
      <c r="AA72" s="1589">
        <f>1510788.72633/1000</f>
        <v>1510.7887263299999</v>
      </c>
      <c r="AB72" s="1589">
        <f>60473.52935/1000</f>
        <v>60.47352935</v>
      </c>
      <c r="AC72" s="1589">
        <f t="shared" si="70"/>
        <v>1143.84505446</v>
      </c>
      <c r="AD72" s="1589">
        <f>903754.88324/1000</f>
        <v>903.75488324000003</v>
      </c>
      <c r="AE72" s="1589">
        <f>240090.17122/1000</f>
        <v>240.09017122</v>
      </c>
    </row>
    <row r="73" spans="1:31">
      <c r="A73" s="1588">
        <v>8</v>
      </c>
      <c r="B73" s="1589">
        <f>+C73+D73</f>
        <v>6992.7978599899998</v>
      </c>
      <c r="C73" s="1589">
        <f t="shared" si="55"/>
        <v>4447.0213318799997</v>
      </c>
      <c r="D73" s="1589">
        <f t="shared" si="55"/>
        <v>2545.7765281100001</v>
      </c>
      <c r="E73" s="1589">
        <f>+F73+G73</f>
        <v>6354.8139937699998</v>
      </c>
      <c r="F73" s="1589">
        <f>+M73+AA73</f>
        <v>4314.7920651499999</v>
      </c>
      <c r="G73" s="1589">
        <f>+P73+AD73</f>
        <v>2040.0219286199999</v>
      </c>
      <c r="H73" s="1589">
        <f>+I73+J73</f>
        <v>637.98386621999998</v>
      </c>
      <c r="I73" s="1589">
        <f>+N73+AB73</f>
        <v>132.22926673000001</v>
      </c>
      <c r="J73" s="1589">
        <f>+Q73+AE73</f>
        <v>505.75459948999998</v>
      </c>
      <c r="K73" s="1589">
        <f>+L73+O73</f>
        <v>4255.667445179999</v>
      </c>
      <c r="L73" s="1589">
        <f>+M73+N73</f>
        <v>2860.1562631099996</v>
      </c>
      <c r="M73" s="1589">
        <v>2789.2572967299998</v>
      </c>
      <c r="N73" s="1589">
        <v>70.89896637999999</v>
      </c>
      <c r="O73" s="1589">
        <f>P73+Q73</f>
        <v>1395.5111820699999</v>
      </c>
      <c r="P73" s="1589">
        <v>1136.08362197</v>
      </c>
      <c r="Q73" s="1589">
        <v>259.42756009999999</v>
      </c>
      <c r="R73" s="1589">
        <f>S73+V73</f>
        <v>1264.8937560400002</v>
      </c>
      <c r="S73" s="1589">
        <f>T73+U73</f>
        <v>953.78570688000013</v>
      </c>
      <c r="T73" s="1589">
        <v>931.61211873000013</v>
      </c>
      <c r="U73" s="1589">
        <v>22.173588149999997</v>
      </c>
      <c r="V73" s="1589">
        <f>W73+X73</f>
        <v>311.10804916000001</v>
      </c>
      <c r="W73" s="1589">
        <v>270.17126560999998</v>
      </c>
      <c r="X73" s="1589">
        <v>40.936783550000008</v>
      </c>
      <c r="Y73" s="1589">
        <f>Z73+AC73</f>
        <v>2737.1304148099998</v>
      </c>
      <c r="Z73" s="1589">
        <f>AA73+AB73</f>
        <v>1586.8650687700001</v>
      </c>
      <c r="AA73" s="1589">
        <v>1525.5347684200001</v>
      </c>
      <c r="AB73" s="1589">
        <v>61.330300350000002</v>
      </c>
      <c r="AC73" s="1589">
        <f>AD73+AE73</f>
        <v>1150.2653460399999</v>
      </c>
      <c r="AD73" s="1589">
        <v>903.93830664999996</v>
      </c>
      <c r="AE73" s="1589">
        <v>246.32703938999998</v>
      </c>
    </row>
    <row r="74" spans="1:31">
      <c r="A74" s="1588">
        <v>9</v>
      </c>
      <c r="B74" s="1589">
        <f>+C74+D74</f>
        <v>6959.6658804500003</v>
      </c>
      <c r="C74" s="1589">
        <f t="shared" si="55"/>
        <v>4421.0761625100004</v>
      </c>
      <c r="D74" s="1589">
        <f t="shared" si="55"/>
        <v>2538.5897179400004</v>
      </c>
      <c r="E74" s="1589">
        <f>+F74+G74</f>
        <v>6329.4943607900004</v>
      </c>
      <c r="F74" s="1589">
        <f>+M74+AA74</f>
        <v>4288.6481575500002</v>
      </c>
      <c r="G74" s="1589">
        <f>+P74+AD74</f>
        <v>2040.8462032400002</v>
      </c>
      <c r="H74" s="1589">
        <f>+I74+J74</f>
        <v>630.17151966000006</v>
      </c>
      <c r="I74" s="1589">
        <f>+N74+AB74</f>
        <v>132.42800495999998</v>
      </c>
      <c r="J74" s="1589">
        <f>+Q74+AE74</f>
        <v>497.74351470000005</v>
      </c>
      <c r="K74" s="1589">
        <f>+L74+O74</f>
        <v>4217.8168702399998</v>
      </c>
      <c r="L74" s="1589">
        <f>+M74+N74</f>
        <v>2818.5724524299999</v>
      </c>
      <c r="M74" s="1589">
        <v>2747.8982599199999</v>
      </c>
      <c r="N74" s="1589">
        <v>70.674192509999983</v>
      </c>
      <c r="O74" s="1589">
        <f>P74+Q74</f>
        <v>1399.2444178100002</v>
      </c>
      <c r="P74" s="1589">
        <v>1146.8674623300001</v>
      </c>
      <c r="Q74" s="1589">
        <v>252.37695548000002</v>
      </c>
      <c r="R74" s="1589">
        <f>S74+V74</f>
        <v>1232.96207643</v>
      </c>
      <c r="S74" s="1589">
        <f>T74+U74</f>
        <v>903.57757219999996</v>
      </c>
      <c r="T74" s="1589">
        <v>882.58605996999995</v>
      </c>
      <c r="U74" s="1589">
        <v>20.991512229999994</v>
      </c>
      <c r="V74" s="1589">
        <f>W74+X74</f>
        <v>329.38450423000006</v>
      </c>
      <c r="W74" s="1589">
        <v>287.15275673000008</v>
      </c>
      <c r="X74" s="1589">
        <v>42.231747500000004</v>
      </c>
      <c r="Y74" s="1589">
        <f>Z74+AC74</f>
        <v>2741.8490102100004</v>
      </c>
      <c r="Z74" s="1589">
        <f>AA74+AB74</f>
        <v>1602.50371008</v>
      </c>
      <c r="AA74" s="1589">
        <v>1540.7498976300001</v>
      </c>
      <c r="AB74" s="1589">
        <v>61.753812449999998</v>
      </c>
      <c r="AC74" s="1589">
        <f>AD74+AE74</f>
        <v>1139.3453001300002</v>
      </c>
      <c r="AD74" s="1589">
        <v>893.97874091000017</v>
      </c>
      <c r="AE74" s="1589">
        <v>245.36655922000003</v>
      </c>
    </row>
    <row r="75" spans="1:31">
      <c r="A75" s="1588">
        <v>10</v>
      </c>
      <c r="B75" s="1589">
        <f>+C75+D75</f>
        <v>7005.4142666900016</v>
      </c>
      <c r="C75" s="1589">
        <f>+F75+I75</f>
        <v>4439.2196933200012</v>
      </c>
      <c r="D75" s="1589">
        <f>+G75+J75</f>
        <v>2566.1945733700004</v>
      </c>
      <c r="E75" s="1589">
        <f>+F75+G75</f>
        <v>6369.1821249700015</v>
      </c>
      <c r="F75" s="1589">
        <f>+M75+AA75</f>
        <v>4305.5616620600013</v>
      </c>
      <c r="G75" s="1589">
        <f>+P75+AD75</f>
        <v>2063.6204629100002</v>
      </c>
      <c r="H75" s="1589">
        <f>+I75+J75</f>
        <v>636.23214171999996</v>
      </c>
      <c r="I75" s="1589">
        <f>+N75+AB75</f>
        <v>133.65803125999997</v>
      </c>
      <c r="J75" s="1589">
        <f>+Q75+AE75</f>
        <v>502.57411045999999</v>
      </c>
      <c r="K75" s="1589">
        <f>+L75+O75</f>
        <v>4237.6600490999999</v>
      </c>
      <c r="L75" s="1589">
        <f>+M75+N75</f>
        <v>2813.0767394600002</v>
      </c>
      <c r="M75" s="1589">
        <v>2741.5919655300004</v>
      </c>
      <c r="N75" s="1589">
        <v>71.484773929999989</v>
      </c>
      <c r="O75" s="1589">
        <f>P75+Q75</f>
        <v>1424.5833096399999</v>
      </c>
      <c r="P75" s="1589">
        <v>1169.3976625</v>
      </c>
      <c r="Q75" s="1589">
        <v>255.18564713999999</v>
      </c>
      <c r="R75" s="1589">
        <f>S75+V75</f>
        <v>1214.6478933000001</v>
      </c>
      <c r="S75" s="1589">
        <f>T75+U75</f>
        <v>872.47568078000006</v>
      </c>
      <c r="T75" s="1589">
        <v>849.49350105000008</v>
      </c>
      <c r="U75" s="1589">
        <v>22.982179730000002</v>
      </c>
      <c r="V75" s="1589">
        <f>W75+X75</f>
        <v>342.17221251999996</v>
      </c>
      <c r="W75" s="1589">
        <v>298.87088891999997</v>
      </c>
      <c r="X75" s="1589">
        <v>43.301323600000003</v>
      </c>
      <c r="Y75" s="1589">
        <f>Z75+AC75</f>
        <v>2767.7542175900007</v>
      </c>
      <c r="Z75" s="1589">
        <f>AA75+AB75</f>
        <v>1626.1429538600005</v>
      </c>
      <c r="AA75" s="1589">
        <v>1563.9696965300004</v>
      </c>
      <c r="AB75" s="1589">
        <v>62.173257329999998</v>
      </c>
      <c r="AC75" s="1589">
        <f>AD75+AE75</f>
        <v>1141.61126373</v>
      </c>
      <c r="AD75" s="1589">
        <v>894.22280040999999</v>
      </c>
      <c r="AE75" s="1589">
        <v>247.38846332</v>
      </c>
    </row>
    <row r="76" spans="1:31">
      <c r="A76" s="1588">
        <v>11</v>
      </c>
      <c r="B76" s="1589">
        <v>7086.3795704900003</v>
      </c>
      <c r="C76" s="1589">
        <v>4482.1152667100005</v>
      </c>
      <c r="D76" s="1589">
        <v>2604.2643037799999</v>
      </c>
      <c r="E76" s="1589">
        <v>6435.6216005100005</v>
      </c>
      <c r="F76" s="1589">
        <v>4347.9515414100006</v>
      </c>
      <c r="G76" s="1589">
        <v>2087.6700590999999</v>
      </c>
      <c r="H76" s="1589">
        <v>650.75796997999998</v>
      </c>
      <c r="I76" s="1589">
        <v>134.16372530000001</v>
      </c>
      <c r="J76" s="1589">
        <v>516.59424467999997</v>
      </c>
      <c r="K76" s="1589">
        <v>4265.5762716099998</v>
      </c>
      <c r="L76" s="1589">
        <v>2808.0154413800001</v>
      </c>
      <c r="M76" s="1589">
        <v>2736.3341646200001</v>
      </c>
      <c r="N76" s="1589">
        <v>71.681276760000003</v>
      </c>
      <c r="O76" s="1589">
        <v>1457.5608302300002</v>
      </c>
      <c r="P76" s="1589">
        <v>1186.1001939300002</v>
      </c>
      <c r="Q76" s="1589">
        <v>271.46063630000003</v>
      </c>
      <c r="R76" s="1589">
        <v>1227.89291026</v>
      </c>
      <c r="S76" s="1589">
        <v>876.08846697000001</v>
      </c>
      <c r="T76" s="1589">
        <v>852.54887004</v>
      </c>
      <c r="U76" s="1589">
        <v>23.539596930000002</v>
      </c>
      <c r="V76" s="1589">
        <v>351.80444328999999</v>
      </c>
      <c r="W76" s="1589">
        <v>300.38580257000001</v>
      </c>
      <c r="X76" s="1589">
        <v>51.418640719999999</v>
      </c>
      <c r="Y76" s="1589">
        <v>2820.8032988800001</v>
      </c>
      <c r="Z76" s="1589">
        <v>1674.0998253300002</v>
      </c>
      <c r="AA76" s="1589">
        <v>1611.6173767900002</v>
      </c>
      <c r="AB76" s="1589">
        <v>62.48244854</v>
      </c>
      <c r="AC76" s="1589">
        <v>1146.7034735499999</v>
      </c>
      <c r="AD76" s="1589">
        <v>901.56986516999996</v>
      </c>
      <c r="AE76" s="1589">
        <v>245.13360838</v>
      </c>
    </row>
    <row r="77" spans="1:31">
      <c r="A77" s="1588">
        <v>12</v>
      </c>
      <c r="B77" s="1589">
        <v>7188.3697248199987</v>
      </c>
      <c r="C77" s="1589">
        <v>4422.3999999999996</v>
      </c>
      <c r="D77" s="1589">
        <v>2765.9658132099999</v>
      </c>
      <c r="E77" s="1589">
        <v>6472.4956181699999</v>
      </c>
      <c r="F77" s="1589">
        <v>4293.76998499</v>
      </c>
      <c r="G77" s="1589">
        <v>2178.7256331799999</v>
      </c>
      <c r="H77" s="1589">
        <v>715.87410665000004</v>
      </c>
      <c r="I77" s="1589">
        <v>128.63392662000001</v>
      </c>
      <c r="J77" s="1589">
        <v>587.24018003000003</v>
      </c>
      <c r="K77" s="1589">
        <v>4344.3437627699996</v>
      </c>
      <c r="L77" s="1589">
        <v>2757.4619760299997</v>
      </c>
      <c r="M77" s="1589">
        <v>2692.0064045399999</v>
      </c>
      <c r="N77" s="1589">
        <v>65.455571489999997</v>
      </c>
      <c r="O77" s="1589">
        <v>1586.8817867400001</v>
      </c>
      <c r="P77" s="1589">
        <v>1248.68294973</v>
      </c>
      <c r="Q77" s="1589">
        <v>338.19883700999998</v>
      </c>
      <c r="R77" s="1589">
        <v>1222.4256750700001</v>
      </c>
      <c r="S77" s="1589">
        <v>884.03469315000007</v>
      </c>
      <c r="T77" s="1589">
        <v>858.70443988000011</v>
      </c>
      <c r="U77" s="1589">
        <v>25.330253270000004</v>
      </c>
      <c r="V77" s="1589">
        <v>338.39098192000006</v>
      </c>
      <c r="W77" s="1589">
        <v>296.51505732000004</v>
      </c>
      <c r="X77" s="1589">
        <v>41.875924599999998</v>
      </c>
      <c r="Y77" s="1589">
        <v>2844.0259620500001</v>
      </c>
      <c r="Z77" s="1589">
        <v>1664.9419355800001</v>
      </c>
      <c r="AA77" s="1589">
        <v>1601.7635804500001</v>
      </c>
      <c r="AB77" s="1589">
        <v>63.178355129999993</v>
      </c>
      <c r="AC77" s="1589">
        <v>1179.08402647</v>
      </c>
      <c r="AD77" s="1589">
        <v>930.04268345000003</v>
      </c>
      <c r="AE77" s="1589">
        <v>249.04134302000003</v>
      </c>
    </row>
    <row r="78" spans="1:31">
      <c r="A78" s="1588">
        <v>2015</v>
      </c>
      <c r="B78" s="1589"/>
      <c r="C78" s="1589"/>
      <c r="D78" s="1589"/>
      <c r="E78" s="1589"/>
      <c r="F78" s="1589"/>
      <c r="G78" s="1589"/>
      <c r="H78" s="1589"/>
      <c r="I78" s="1589"/>
      <c r="J78" s="1589"/>
      <c r="K78" s="1589"/>
      <c r="L78" s="1589"/>
      <c r="M78" s="1589"/>
      <c r="N78" s="1589"/>
      <c r="O78" s="1589"/>
      <c r="P78" s="1589"/>
      <c r="Q78" s="1589"/>
      <c r="R78" s="1589"/>
      <c r="S78" s="1589"/>
      <c r="T78" s="1589"/>
      <c r="U78" s="1589"/>
      <c r="V78" s="1589"/>
      <c r="W78" s="1589"/>
      <c r="X78" s="1589"/>
      <c r="Y78" s="1589"/>
      <c r="Z78" s="1589"/>
      <c r="AA78" s="1589"/>
      <c r="AB78" s="1589"/>
      <c r="AC78" s="1589"/>
      <c r="AD78" s="1589"/>
      <c r="AE78" s="1589"/>
    </row>
    <row r="79" spans="1:31">
      <c r="A79" s="1588">
        <v>1</v>
      </c>
      <c r="B79" s="1589">
        <v>7121.3389999999999</v>
      </c>
      <c r="C79" s="1589">
        <v>4276.3230000000003</v>
      </c>
      <c r="D79" s="1589">
        <v>2845</v>
      </c>
      <c r="E79" s="1589">
        <v>6463.59</v>
      </c>
      <c r="F79" s="1589">
        <v>4155.9520000000002</v>
      </c>
      <c r="G79" s="1589">
        <v>2307.6379999999999</v>
      </c>
      <c r="H79" s="1589">
        <v>657.74900000000002</v>
      </c>
      <c r="I79" s="1589">
        <v>120.371</v>
      </c>
      <c r="J79" s="1589">
        <v>537.37800000000004</v>
      </c>
      <c r="K79" s="1589">
        <v>4280.9480000000003</v>
      </c>
      <c r="L79" s="1589">
        <v>2656.7429999999999</v>
      </c>
      <c r="M79" s="1589">
        <v>2599.2179999999998</v>
      </c>
      <c r="N79" s="1589">
        <v>57.5456</v>
      </c>
      <c r="O79" s="1589">
        <v>1624.183</v>
      </c>
      <c r="P79" s="1589">
        <v>1337.9179999999999</v>
      </c>
      <c r="Q79" s="1589">
        <v>286.26499999999999</v>
      </c>
      <c r="R79" s="1589">
        <v>1230.095</v>
      </c>
      <c r="S79" s="1589">
        <v>892.476</v>
      </c>
      <c r="T79" s="1589">
        <v>866.58799999999997</v>
      </c>
      <c r="U79" s="1589">
        <v>25.888000000000002</v>
      </c>
      <c r="V79" s="1589">
        <v>337.61799999999999</v>
      </c>
      <c r="W79" s="1589">
        <v>294.42500000000001</v>
      </c>
      <c r="X79" s="1589">
        <v>43.192999999999998</v>
      </c>
      <c r="Y79" s="1589">
        <v>2840.3910000000001</v>
      </c>
      <c r="Z79" s="1589">
        <v>1619.559</v>
      </c>
      <c r="AA79" s="1589">
        <v>1556.7329999999999</v>
      </c>
      <c r="AB79" s="1589">
        <v>62.825699999999998</v>
      </c>
      <c r="AC79" s="1589">
        <v>1220.8320000000001</v>
      </c>
      <c r="AD79" s="1589">
        <v>969.72</v>
      </c>
      <c r="AE79" s="1589">
        <v>251.11199999999999</v>
      </c>
    </row>
    <row r="80" spans="1:31">
      <c r="A80" s="1588">
        <v>2</v>
      </c>
      <c r="B80" s="1589">
        <v>7932.68</v>
      </c>
      <c r="C80" s="1589">
        <v>2987.78</v>
      </c>
      <c r="D80" s="1589">
        <v>4944.8999999999996</v>
      </c>
      <c r="E80" s="1589">
        <v>7068.8</v>
      </c>
      <c r="F80" s="1589">
        <v>2919.982</v>
      </c>
      <c r="G80" s="1589">
        <v>4148.8209999999999</v>
      </c>
      <c r="H80" s="1589">
        <v>863.87099999999998</v>
      </c>
      <c r="I80" s="1589">
        <v>67.8</v>
      </c>
      <c r="J80" s="1589">
        <v>796.072</v>
      </c>
      <c r="K80" s="1589">
        <v>4998.5659999999998</v>
      </c>
      <c r="L80" s="1589">
        <v>1930.8209999999999</v>
      </c>
      <c r="M80" s="1589">
        <v>1884.3119999999999</v>
      </c>
      <c r="N80" s="1589">
        <v>46.509120000000003</v>
      </c>
      <c r="O80" s="1589">
        <v>3067.7440000000001</v>
      </c>
      <c r="P80" s="1589">
        <v>2612.7510000000002</v>
      </c>
      <c r="Q80" s="1589">
        <v>454.99310000000003</v>
      </c>
      <c r="R80" s="1589">
        <v>1361.193</v>
      </c>
      <c r="S80" s="1589">
        <v>739.56600000000003</v>
      </c>
      <c r="T80" s="1589">
        <v>716.74099999999999</v>
      </c>
      <c r="U80" s="1589">
        <v>22.8</v>
      </c>
      <c r="V80" s="1589">
        <v>621.62599999999998</v>
      </c>
      <c r="W80" s="1589">
        <v>559.50199999999995</v>
      </c>
      <c r="X80" s="1589">
        <v>62.124000000000002</v>
      </c>
      <c r="Y80" s="1589">
        <v>2934.1</v>
      </c>
      <c r="Z80" s="1589">
        <v>1056.9590000000001</v>
      </c>
      <c r="AA80" s="1589">
        <v>1035.67</v>
      </c>
      <c r="AB80" s="1589">
        <v>21.3</v>
      </c>
      <c r="AC80" s="1589">
        <v>1877.1479999999999</v>
      </c>
      <c r="AD80" s="1589">
        <v>1536.1</v>
      </c>
      <c r="AE80" s="1589">
        <v>341.05099999999999</v>
      </c>
    </row>
    <row r="81" spans="1:31">
      <c r="A81" s="1588">
        <v>3</v>
      </c>
      <c r="B81" s="1589">
        <v>7781.6453000000001</v>
      </c>
      <c r="C81" s="1589">
        <v>2697.0338000000002</v>
      </c>
      <c r="D81" s="1589">
        <v>5084.6116000000002</v>
      </c>
      <c r="E81" s="1589">
        <v>6924.1737999999996</v>
      </c>
      <c r="F81" s="1589">
        <v>2641.5976999999998</v>
      </c>
      <c r="G81" s="1589">
        <v>4282.5761000000002</v>
      </c>
      <c r="H81" s="1589">
        <v>857.47109999999998</v>
      </c>
      <c r="I81" s="1589">
        <v>55.436100000000003</v>
      </c>
      <c r="J81" s="1589">
        <v>802.03539999999998</v>
      </c>
      <c r="K81" s="1589">
        <v>4901.8209999999999</v>
      </c>
      <c r="L81" s="1589">
        <v>1702.0782999999999</v>
      </c>
      <c r="M81" s="1589">
        <v>1664.5219</v>
      </c>
      <c r="N81" s="1589">
        <v>37.556399999999996</v>
      </c>
      <c r="O81" s="1589">
        <v>3199.7426999999998</v>
      </c>
      <c r="P81" s="1589">
        <v>2743.7489999999998</v>
      </c>
      <c r="Q81" s="1589">
        <v>455.99369999999999</v>
      </c>
      <c r="R81" s="1589">
        <v>1280.5725</v>
      </c>
      <c r="S81" s="1589">
        <v>660.48979999999995</v>
      </c>
      <c r="T81" s="1589">
        <v>641.31790000000001</v>
      </c>
      <c r="U81" s="1589">
        <v>19.171900000000001</v>
      </c>
      <c r="V81" s="1589">
        <v>620.82809999999995</v>
      </c>
      <c r="W81" s="1589">
        <v>555.77</v>
      </c>
      <c r="X81" s="1589">
        <v>64.31</v>
      </c>
      <c r="Y81" s="1589">
        <v>2879.8243000000002</v>
      </c>
      <c r="Z81" s="1589">
        <v>994.95540000000005</v>
      </c>
      <c r="AA81" s="1589">
        <v>977.07579999999996</v>
      </c>
      <c r="AB81" s="1589">
        <v>17.8796</v>
      </c>
      <c r="AC81" s="1589">
        <v>1884.8688999999999</v>
      </c>
      <c r="AD81" s="1589">
        <v>1538.8271999999999</v>
      </c>
      <c r="AE81" s="1589">
        <v>346.04169999999999</v>
      </c>
    </row>
    <row r="82" spans="1:31">
      <c r="A82" s="1588">
        <v>4</v>
      </c>
      <c r="B82" s="1589">
        <v>7717.2430000000004</v>
      </c>
      <c r="C82" s="1589">
        <v>2245.0778</v>
      </c>
      <c r="D82" s="1589">
        <v>5472.1660000000002</v>
      </c>
      <c r="E82" s="1589">
        <v>6856.1909999999998</v>
      </c>
      <c r="F82" s="1589">
        <v>2201.7399999999998</v>
      </c>
      <c r="G82" s="1589">
        <v>4654.451</v>
      </c>
      <c r="H82" s="1589">
        <v>861.05219999999997</v>
      </c>
      <c r="I82" s="1589">
        <v>43.337699999999998</v>
      </c>
      <c r="J82" s="1589">
        <v>817.71439999999996</v>
      </c>
      <c r="K82" s="1589">
        <v>4816.5281999999997</v>
      </c>
      <c r="L82" s="1589">
        <v>1392.241</v>
      </c>
      <c r="M82" s="1589">
        <v>1363.127</v>
      </c>
      <c r="N82" s="1589">
        <v>29.113900000000001</v>
      </c>
      <c r="O82" s="1589">
        <v>3424.2869999999998</v>
      </c>
      <c r="P82" s="1589">
        <v>3029.172</v>
      </c>
      <c r="Q82" s="1589">
        <v>395.1146</v>
      </c>
      <c r="R82" s="1589">
        <v>1218.54196</v>
      </c>
      <c r="S82" s="1589">
        <v>574.76</v>
      </c>
      <c r="T82" s="1589">
        <v>559.66899999999998</v>
      </c>
      <c r="U82" s="1589">
        <v>15.09</v>
      </c>
      <c r="V82" s="1589">
        <v>643.78099999999995</v>
      </c>
      <c r="W82" s="1589">
        <v>563.01400000000001</v>
      </c>
      <c r="X82" s="1589">
        <v>80.766999999999996</v>
      </c>
      <c r="Y82" s="1589">
        <v>2900.7150000000001</v>
      </c>
      <c r="Z82" s="1589">
        <v>852.83600000000001</v>
      </c>
      <c r="AA82" s="1589">
        <v>838.61300000000006</v>
      </c>
      <c r="AB82" s="1589">
        <v>14.223000000000001</v>
      </c>
      <c r="AC82" s="1589">
        <v>2047.8779999999999</v>
      </c>
      <c r="AD82" s="1589">
        <v>1625.278</v>
      </c>
      <c r="AE82" s="1589">
        <v>422.59899999999999</v>
      </c>
    </row>
    <row r="83" spans="1:31">
      <c r="A83" s="1588">
        <v>5</v>
      </c>
      <c r="B83" s="1589">
        <v>7601.0539698400007</v>
      </c>
      <c r="C83" s="1589">
        <v>2172.5975648599997</v>
      </c>
      <c r="D83" s="1589">
        <v>5428.4564049800001</v>
      </c>
      <c r="E83" s="1589">
        <v>6747.8451515300003</v>
      </c>
      <c r="F83" s="1589">
        <v>2130.62341861</v>
      </c>
      <c r="G83" s="1589">
        <v>4617.2217329200002</v>
      </c>
      <c r="H83" s="1589">
        <v>853.20881830999986</v>
      </c>
      <c r="I83" s="1589">
        <v>41.974146250000004</v>
      </c>
      <c r="J83" s="1589">
        <v>811.23467205999987</v>
      </c>
      <c r="K83" s="1589">
        <v>4756.9318383999998</v>
      </c>
      <c r="L83" s="1589">
        <v>1356.38720352</v>
      </c>
      <c r="M83" s="1589">
        <v>1328.9284809200001</v>
      </c>
      <c r="N83" s="1589">
        <v>27.458722600000002</v>
      </c>
      <c r="O83" s="1589">
        <v>3400.5446348799996</v>
      </c>
      <c r="P83" s="1589">
        <v>3012.1943586800003</v>
      </c>
      <c r="Q83" s="1589">
        <v>388.35027619999988</v>
      </c>
      <c r="R83" s="1589">
        <v>1177.7797544</v>
      </c>
      <c r="S83" s="1589">
        <v>571.79054651000001</v>
      </c>
      <c r="T83" s="1589">
        <v>556.11874438000007</v>
      </c>
      <c r="U83" s="1589">
        <v>15.671802130000001</v>
      </c>
      <c r="V83" s="1589">
        <v>605.98920788999999</v>
      </c>
      <c r="W83" s="1589">
        <v>531.66616778000002</v>
      </c>
      <c r="X83" s="1589">
        <v>74.323040110000008</v>
      </c>
      <c r="Y83" s="1589">
        <v>2844.12213144</v>
      </c>
      <c r="Z83" s="1589">
        <v>816.21036133999996</v>
      </c>
      <c r="AA83" s="1589">
        <v>801.69493768999996</v>
      </c>
      <c r="AB83" s="1589">
        <v>14.515423649999999</v>
      </c>
      <c r="AC83" s="1589">
        <v>2027.9117701</v>
      </c>
      <c r="AD83" s="1589">
        <v>1605.02737424</v>
      </c>
      <c r="AE83" s="1589">
        <v>422.88439585999998</v>
      </c>
    </row>
    <row r="84" spans="1:31">
      <c r="A84" s="1588">
        <v>6</v>
      </c>
      <c r="B84" s="1589">
        <v>7653.5739775599995</v>
      </c>
      <c r="C84" s="1589">
        <v>2179.9266777099997</v>
      </c>
      <c r="D84" s="1589">
        <v>5473.6472998500012</v>
      </c>
      <c r="E84" s="1589">
        <v>6794.13709758</v>
      </c>
      <c r="F84" s="1589">
        <v>2137.7462591699996</v>
      </c>
      <c r="G84" s="1589">
        <v>4656.3908384100005</v>
      </c>
      <c r="H84" s="1589">
        <v>859.43687998000007</v>
      </c>
      <c r="I84" s="1589">
        <v>42.180418539999998</v>
      </c>
      <c r="J84" s="1589">
        <v>817.25646144000007</v>
      </c>
      <c r="K84" s="1589">
        <v>4858.4385419700002</v>
      </c>
      <c r="L84" s="1589">
        <v>1389.0385505799998</v>
      </c>
      <c r="M84" s="1589">
        <v>1360.9570695099999</v>
      </c>
      <c r="N84" s="1589">
        <v>28.081481069999999</v>
      </c>
      <c r="O84" s="1589">
        <v>3469.3999913900011</v>
      </c>
      <c r="P84" s="1589">
        <v>3035.2714719700007</v>
      </c>
      <c r="Q84" s="1589">
        <v>434.12851942000003</v>
      </c>
      <c r="R84" s="1589">
        <v>1274.0097037399998</v>
      </c>
      <c r="S84" s="1589">
        <v>623.7291557399999</v>
      </c>
      <c r="T84" s="1589">
        <v>608.91931143999989</v>
      </c>
      <c r="U84" s="1589">
        <v>14.809844299999998</v>
      </c>
      <c r="V84" s="1589">
        <v>650.28054799999995</v>
      </c>
      <c r="W84" s="1589">
        <v>569.52309290999995</v>
      </c>
      <c r="X84" s="1589">
        <v>80.757455090000008</v>
      </c>
      <c r="Y84" s="1589">
        <v>2795.1354355899998</v>
      </c>
      <c r="Z84" s="1589">
        <v>790.88812712999993</v>
      </c>
      <c r="AA84" s="1589">
        <v>776.78918965999992</v>
      </c>
      <c r="AB84" s="1589">
        <v>14.098937470000001</v>
      </c>
      <c r="AC84" s="1589">
        <v>2004.2473084599999</v>
      </c>
      <c r="AD84" s="1589">
        <v>1621.11936644</v>
      </c>
      <c r="AE84" s="1589">
        <v>383.12794201999998</v>
      </c>
    </row>
    <row r="85" spans="1:31">
      <c r="A85" s="1588">
        <v>7</v>
      </c>
      <c r="B85" s="1589">
        <v>7605.1210989900001</v>
      </c>
      <c r="C85" s="1589">
        <v>2138.6714725799998</v>
      </c>
      <c r="D85" s="1589">
        <v>5466.4496264099998</v>
      </c>
      <c r="E85" s="1589">
        <v>6734.3213579399999</v>
      </c>
      <c r="F85" s="1589">
        <v>2094.71836188</v>
      </c>
      <c r="G85" s="1589">
        <v>4639.6029960599999</v>
      </c>
      <c r="H85" s="1589">
        <v>870.79974104999997</v>
      </c>
      <c r="I85" s="1589">
        <v>43.953110700000003</v>
      </c>
      <c r="J85" s="1589">
        <v>826.84663034999994</v>
      </c>
      <c r="K85" s="1589">
        <v>4775.0516846800001</v>
      </c>
      <c r="L85" s="1589">
        <v>1362.9411642</v>
      </c>
      <c r="M85" s="1589">
        <v>1330.883808</v>
      </c>
      <c r="N85" s="1589">
        <v>32.057356200000001</v>
      </c>
      <c r="O85" s="1589">
        <v>3412.1105204800001</v>
      </c>
      <c r="P85" s="1589">
        <v>2996.4223993199998</v>
      </c>
      <c r="Q85" s="1589">
        <v>415.68812115999992</v>
      </c>
      <c r="R85" s="1589">
        <v>1271.4895956999999</v>
      </c>
      <c r="S85" s="1589">
        <v>615.08488919000001</v>
      </c>
      <c r="T85" s="1589">
        <v>599.84124184999996</v>
      </c>
      <c r="U85" s="1589">
        <v>15.243647339999997</v>
      </c>
      <c r="V85" s="1589">
        <v>656.40470650999998</v>
      </c>
      <c r="W85" s="1589">
        <v>566.61199297999985</v>
      </c>
      <c r="X85" s="1589">
        <v>89.792713530000015</v>
      </c>
      <c r="Y85" s="1589">
        <v>2830.06941431</v>
      </c>
      <c r="Z85" s="1589">
        <v>775.73030838</v>
      </c>
      <c r="AA85" s="1589">
        <v>763.83455387999993</v>
      </c>
      <c r="AB85" s="1589">
        <v>11.895754500000001</v>
      </c>
      <c r="AC85" s="1589">
        <v>2054.3391059300002</v>
      </c>
      <c r="AD85" s="1589">
        <v>1643.1805967400001</v>
      </c>
      <c r="AE85" s="1589">
        <v>411.15850919000002</v>
      </c>
    </row>
    <row r="86" spans="1:31">
      <c r="A86" s="1588">
        <v>8</v>
      </c>
      <c r="B86" s="1589">
        <v>7320.3477984499996</v>
      </c>
      <c r="C86" s="1589">
        <v>1847.94571505</v>
      </c>
      <c r="D86" s="1589">
        <v>5472.4020834000003</v>
      </c>
      <c r="E86" s="1589">
        <v>6462.4606675099994</v>
      </c>
      <c r="F86" s="1589">
        <v>1810.9422525</v>
      </c>
      <c r="G86" s="1589">
        <v>4651.5184150099994</v>
      </c>
      <c r="H86" s="1589">
        <v>857.88713094000002</v>
      </c>
      <c r="I86" s="1589">
        <v>37.003462550000002</v>
      </c>
      <c r="J86" s="1589">
        <v>820.88366839000003</v>
      </c>
      <c r="K86" s="1589">
        <v>4551.3533391800001</v>
      </c>
      <c r="L86" s="1589">
        <v>1128.0614200300001</v>
      </c>
      <c r="M86" s="1589">
        <v>1101.71684682</v>
      </c>
      <c r="N86" s="1589">
        <v>26.34457321</v>
      </c>
      <c r="O86" s="1589">
        <v>3423.29191915</v>
      </c>
      <c r="P86" s="1589">
        <v>3007.1346984299998</v>
      </c>
      <c r="Q86" s="1589">
        <v>416.15722072</v>
      </c>
      <c r="R86" s="1589">
        <v>1147.1793026700002</v>
      </c>
      <c r="S86" s="1589">
        <v>471.51166130000001</v>
      </c>
      <c r="T86" s="1589">
        <v>459.99972249000001</v>
      </c>
      <c r="U86" s="1589">
        <v>11.511938809999998</v>
      </c>
      <c r="V86" s="1589">
        <v>675.66764137000007</v>
      </c>
      <c r="W86" s="1589">
        <v>578.17614074000005</v>
      </c>
      <c r="X86" s="1589">
        <v>97.49150062999999</v>
      </c>
      <c r="Y86" s="1589">
        <v>2768.9944592699999</v>
      </c>
      <c r="Z86" s="1589">
        <v>719.88429501999997</v>
      </c>
      <c r="AA86" s="1589">
        <v>709.22540567999999</v>
      </c>
      <c r="AB86" s="1589">
        <v>10.65888934</v>
      </c>
      <c r="AC86" s="1589">
        <v>2049.1101642499998</v>
      </c>
      <c r="AD86" s="1589">
        <v>1644.3837165799998</v>
      </c>
      <c r="AE86" s="1589">
        <v>404.72644767000003</v>
      </c>
    </row>
    <row r="87" spans="1:31">
      <c r="A87" s="1588">
        <v>9</v>
      </c>
      <c r="B87" s="1589">
        <v>7311.8063250799996</v>
      </c>
      <c r="C87" s="1589">
        <v>1777.8414779</v>
      </c>
      <c r="D87" s="1589">
        <v>5533.9648471799992</v>
      </c>
      <c r="E87" s="1589">
        <v>6406.3446526799989</v>
      </c>
      <c r="F87" s="1589">
        <v>1742.7941885299999</v>
      </c>
      <c r="G87" s="1589">
        <v>4663.5504641499992</v>
      </c>
      <c r="H87" s="1589">
        <v>905.4616724</v>
      </c>
      <c r="I87" s="1589">
        <v>35.047289370000001</v>
      </c>
      <c r="J87" s="1589">
        <v>870.41438303000007</v>
      </c>
      <c r="K87" s="1589">
        <v>4587.5231250500001</v>
      </c>
      <c r="L87" s="1589">
        <v>1087.2257848700001</v>
      </c>
      <c r="M87" s="1589">
        <v>1062.39524016</v>
      </c>
      <c r="N87" s="1589">
        <v>24.830544709999998</v>
      </c>
      <c r="O87" s="1589">
        <v>3500.29734018</v>
      </c>
      <c r="P87" s="1589">
        <v>3030.9021169299999</v>
      </c>
      <c r="Q87" s="1589">
        <v>469.39522324999996</v>
      </c>
      <c r="R87" s="1589">
        <v>1253.1387061499997</v>
      </c>
      <c r="S87" s="1589">
        <v>462.99236394999997</v>
      </c>
      <c r="T87" s="1589">
        <v>451.37213398</v>
      </c>
      <c r="U87" s="1589">
        <v>11.62022997</v>
      </c>
      <c r="V87" s="1589">
        <v>790.14634219999971</v>
      </c>
      <c r="W87" s="1589">
        <v>628.07725794999976</v>
      </c>
      <c r="X87" s="1589">
        <v>162.06908424999997</v>
      </c>
      <c r="Y87" s="1589">
        <v>2724.28320003</v>
      </c>
      <c r="Z87" s="1589">
        <v>690.61569302999999</v>
      </c>
      <c r="AA87" s="1589">
        <v>680.39894836999997</v>
      </c>
      <c r="AB87" s="1589">
        <v>10.21674466</v>
      </c>
      <c r="AC87" s="1589">
        <v>2033.6675070000001</v>
      </c>
      <c r="AD87" s="1589">
        <v>1632.64834722</v>
      </c>
      <c r="AE87" s="1589">
        <v>401.01915978</v>
      </c>
    </row>
    <row r="88" spans="1:31">
      <c r="A88" s="1588">
        <v>10</v>
      </c>
      <c r="B88" s="1589">
        <v>7172.9407930899997</v>
      </c>
      <c r="C88" s="1589">
        <v>1723.8188301999996</v>
      </c>
      <c r="D88" s="1589">
        <v>5449.1219628899998</v>
      </c>
      <c r="E88" s="1589">
        <v>6280.4862207699998</v>
      </c>
      <c r="F88" s="1589">
        <v>1689.9756044599999</v>
      </c>
      <c r="G88" s="1589">
        <v>4590.5106163099999</v>
      </c>
      <c r="H88" s="1589">
        <v>892.45457232000012</v>
      </c>
      <c r="I88" s="1589">
        <v>33.843225739999994</v>
      </c>
      <c r="J88" s="1589">
        <v>858.61134658000014</v>
      </c>
      <c r="K88" s="1589">
        <v>4494.6221479700007</v>
      </c>
      <c r="L88" s="1589">
        <v>1061.1789904499999</v>
      </c>
      <c r="M88" s="1589">
        <v>1037.19972448</v>
      </c>
      <c r="N88" s="1589">
        <v>23.979265969999997</v>
      </c>
      <c r="O88" s="1589">
        <v>3433.4431575200001</v>
      </c>
      <c r="P88" s="1589">
        <v>2973.9924213199997</v>
      </c>
      <c r="Q88" s="1589">
        <v>459.45073620000011</v>
      </c>
      <c r="R88" s="1589">
        <v>1234.9712329899999</v>
      </c>
      <c r="S88" s="1589">
        <v>497.94087688000002</v>
      </c>
      <c r="T88" s="1589">
        <v>486.54688093999999</v>
      </c>
      <c r="U88" s="1589">
        <v>11.39399594</v>
      </c>
      <c r="V88" s="1589">
        <v>737.03035611000007</v>
      </c>
      <c r="W88" s="1589">
        <v>580.34538343000008</v>
      </c>
      <c r="X88" s="1589">
        <v>156.68497268000004</v>
      </c>
      <c r="Y88" s="1589">
        <v>2678.3186451199999</v>
      </c>
      <c r="Z88" s="1589">
        <v>662.63983974999996</v>
      </c>
      <c r="AA88" s="1589">
        <v>652.77587998000001</v>
      </c>
      <c r="AB88" s="1589">
        <v>9.8639597699999992</v>
      </c>
      <c r="AC88" s="1589">
        <v>2015.6788053700002</v>
      </c>
      <c r="AD88" s="1589">
        <v>1616.5181949900002</v>
      </c>
      <c r="AE88" s="1589">
        <v>399.16061037999998</v>
      </c>
    </row>
    <row r="89" spans="1:31">
      <c r="A89" s="1588">
        <v>11</v>
      </c>
      <c r="B89" s="1589">
        <v>7089.5180692200001</v>
      </c>
      <c r="C89" s="1589">
        <v>1669.0542028900004</v>
      </c>
      <c r="D89" s="1589">
        <v>5420.4638663299993</v>
      </c>
      <c r="E89" s="1589">
        <v>6209.8949123699995</v>
      </c>
      <c r="F89" s="1589">
        <v>1635.9719457200001</v>
      </c>
      <c r="G89" s="1589">
        <v>4573.9229666499996</v>
      </c>
      <c r="H89" s="1589">
        <v>879.62315684999999</v>
      </c>
      <c r="I89" s="1589">
        <v>33.082257169999998</v>
      </c>
      <c r="J89" s="1589">
        <v>846.54089967999994</v>
      </c>
      <c r="K89" s="1589">
        <v>4423.0350113300001</v>
      </c>
      <c r="L89" s="1589">
        <v>1039.3429286000001</v>
      </c>
      <c r="M89" s="1589">
        <v>1015.9798669700001</v>
      </c>
      <c r="N89" s="1589">
        <v>23.363061630000001</v>
      </c>
      <c r="O89" s="1589">
        <v>3383.69208273</v>
      </c>
      <c r="P89" s="1589">
        <v>2934.3404315500002</v>
      </c>
      <c r="Q89" s="1589">
        <v>449.35165117999998</v>
      </c>
      <c r="R89" s="1589">
        <v>1202.98114702</v>
      </c>
      <c r="S89" s="1589">
        <v>504.37593103000006</v>
      </c>
      <c r="T89" s="1589">
        <v>493.30292734000005</v>
      </c>
      <c r="U89" s="1589">
        <v>11.073003690000002</v>
      </c>
      <c r="V89" s="1589">
        <v>698.60521598999992</v>
      </c>
      <c r="W89" s="1589">
        <v>534.46641052999996</v>
      </c>
      <c r="X89" s="1589">
        <v>164.13880545999999</v>
      </c>
      <c r="Y89" s="1589">
        <v>2666.4830578899996</v>
      </c>
      <c r="Z89" s="1589">
        <v>629.71127429000001</v>
      </c>
      <c r="AA89" s="1589">
        <v>619.99207875000002</v>
      </c>
      <c r="AB89" s="1589">
        <v>9.7191955399999994</v>
      </c>
      <c r="AC89" s="1589">
        <v>2036.7717836000002</v>
      </c>
      <c r="AD89" s="1589">
        <v>1639.5825351000001</v>
      </c>
      <c r="AE89" s="1589">
        <v>397.18924849999996</v>
      </c>
    </row>
    <row r="90" spans="1:31">
      <c r="A90" s="1588">
        <v>12</v>
      </c>
      <c r="B90" s="1589">
        <v>9473.9352678300002</v>
      </c>
      <c r="C90" s="1589">
        <v>1420.2140270599998</v>
      </c>
      <c r="D90" s="1589">
        <v>8053.721240769999</v>
      </c>
      <c r="E90" s="1589">
        <v>8240.86622919</v>
      </c>
      <c r="F90" s="1589">
        <v>1386.2787789199999</v>
      </c>
      <c r="G90" s="1589">
        <v>6854.5874502699999</v>
      </c>
      <c r="H90" s="1589">
        <v>1233.0690386399999</v>
      </c>
      <c r="I90" s="1589">
        <v>33.935248139999999</v>
      </c>
      <c r="J90" s="1589">
        <v>1199.1337904999998</v>
      </c>
      <c r="K90" s="1589">
        <v>5929.0004859199989</v>
      </c>
      <c r="L90" s="1589">
        <v>849.97402743999987</v>
      </c>
      <c r="M90" s="1589">
        <v>825.18226513999991</v>
      </c>
      <c r="N90" s="1589">
        <v>24.791762300000002</v>
      </c>
      <c r="O90" s="1589">
        <v>5079.0264584799997</v>
      </c>
      <c r="P90" s="1589">
        <v>4462.3810947100001</v>
      </c>
      <c r="Q90" s="1589">
        <v>616.6453637699999</v>
      </c>
      <c r="R90" s="1589">
        <v>1641.2099316199997</v>
      </c>
      <c r="S90" s="1589">
        <v>440.88992102999993</v>
      </c>
      <c r="T90" s="1589">
        <v>427.09017397999992</v>
      </c>
      <c r="U90" s="1589">
        <v>13.799747050000002</v>
      </c>
      <c r="V90" s="1589">
        <v>1200.3200105899998</v>
      </c>
      <c r="W90" s="1589">
        <v>983.51033654999992</v>
      </c>
      <c r="X90" s="1589">
        <v>216.80967404</v>
      </c>
      <c r="Y90" s="1589">
        <v>3544.9347819099999</v>
      </c>
      <c r="Z90" s="1589">
        <v>570.23999962000005</v>
      </c>
      <c r="AA90" s="1589">
        <v>561.09651378000001</v>
      </c>
      <c r="AB90" s="1589">
        <v>9.1434858399999985</v>
      </c>
      <c r="AC90" s="1589">
        <v>2974.6947822900001</v>
      </c>
      <c r="AD90" s="1589">
        <v>2392.2063555600002</v>
      </c>
      <c r="AE90" s="1589">
        <v>582.4884267299999</v>
      </c>
    </row>
    <row r="91" spans="1:31">
      <c r="A91" s="1588">
        <v>2016</v>
      </c>
      <c r="B91" s="1589"/>
      <c r="C91" s="1589"/>
      <c r="D91" s="1589"/>
      <c r="E91" s="1589"/>
      <c r="F91" s="1589"/>
      <c r="G91" s="1589"/>
      <c r="H91" s="1589"/>
      <c r="I91" s="1589"/>
      <c r="J91" s="1589"/>
      <c r="K91" s="1589"/>
      <c r="L91" s="1589"/>
      <c r="M91" s="1589"/>
      <c r="N91" s="1589"/>
      <c r="O91" s="1589"/>
      <c r="P91" s="1589"/>
      <c r="Q91" s="1589"/>
      <c r="R91" s="1589"/>
      <c r="S91" s="1589"/>
      <c r="T91" s="1589"/>
      <c r="U91" s="1589"/>
      <c r="V91" s="1589"/>
      <c r="W91" s="1589"/>
      <c r="X91" s="1589"/>
      <c r="Y91" s="1589"/>
      <c r="Z91" s="1589"/>
      <c r="AA91" s="1589"/>
      <c r="AB91" s="1589"/>
      <c r="AC91" s="1589"/>
      <c r="AD91" s="1589"/>
      <c r="AE91" s="1589"/>
    </row>
    <row r="92" spans="1:31">
      <c r="A92" s="1588">
        <v>1</v>
      </c>
      <c r="B92" s="1589">
        <v>8643.3388407999992</v>
      </c>
      <c r="C92" s="1589">
        <v>1422.0817397100002</v>
      </c>
      <c r="D92" s="1589">
        <v>7221.2571010899992</v>
      </c>
      <c r="E92" s="1589">
        <v>7447.2643537699978</v>
      </c>
      <c r="F92" s="1589">
        <v>1394.01133218</v>
      </c>
      <c r="G92" s="1589">
        <v>6053.2530215899978</v>
      </c>
      <c r="H92" s="1589">
        <v>1196.07448703</v>
      </c>
      <c r="I92" s="1589">
        <v>28.070407530000004</v>
      </c>
      <c r="J92" s="1589">
        <v>1168.0040795</v>
      </c>
      <c r="K92" s="1589">
        <v>5322.65772311</v>
      </c>
      <c r="L92" s="1589">
        <v>898.01851525000006</v>
      </c>
      <c r="M92" s="1589">
        <v>878.37388914000007</v>
      </c>
      <c r="N92" s="1589">
        <v>19.644626110000001</v>
      </c>
      <c r="O92" s="1589">
        <v>4424.6392078599993</v>
      </c>
      <c r="P92" s="1589">
        <v>3842.0370275799996</v>
      </c>
      <c r="Q92" s="1589">
        <v>582.60218027999997</v>
      </c>
      <c r="R92" s="1589">
        <v>1488.3020478999999</v>
      </c>
      <c r="S92" s="1589">
        <v>395.46395204000004</v>
      </c>
      <c r="T92" s="1589">
        <v>385.37683241000008</v>
      </c>
      <c r="U92" s="1589">
        <v>10.08711963</v>
      </c>
      <c r="V92" s="1589">
        <v>1092.8380958599998</v>
      </c>
      <c r="W92" s="1589">
        <v>877.74916729999984</v>
      </c>
      <c r="X92" s="1589">
        <v>215.08892856</v>
      </c>
      <c r="Y92" s="1589">
        <v>3320.6811176899996</v>
      </c>
      <c r="Z92" s="1589">
        <v>524.06322446000001</v>
      </c>
      <c r="AA92" s="1589">
        <v>515.63744303999999</v>
      </c>
      <c r="AB92" s="1589">
        <v>8.4257814200000016</v>
      </c>
      <c r="AC92" s="1589">
        <v>2796.6178932299995</v>
      </c>
      <c r="AD92" s="1589">
        <v>2211.2159940099996</v>
      </c>
      <c r="AE92" s="1589">
        <v>585.40189922000002</v>
      </c>
    </row>
    <row r="93" spans="1:31">
      <c r="A93" s="1588">
        <v>2</v>
      </c>
      <c r="B93" s="1589">
        <v>8077.2805155200003</v>
      </c>
      <c r="C93" s="1589">
        <v>1408.90127102</v>
      </c>
      <c r="D93" s="1589">
        <v>6668.3792444999999</v>
      </c>
      <c r="E93" s="1589">
        <v>6996.2612405600003</v>
      </c>
      <c r="F93" s="1589">
        <v>1380.7842218699998</v>
      </c>
      <c r="G93" s="1589">
        <v>5615.4770186900005</v>
      </c>
      <c r="H93" s="1589">
        <v>1081.0192749600001</v>
      </c>
      <c r="I93" s="1589">
        <v>28.11704915</v>
      </c>
      <c r="J93" s="1589">
        <v>1052.9022258099999</v>
      </c>
      <c r="K93" s="1589">
        <v>4738.8875859899999</v>
      </c>
      <c r="L93" s="1589">
        <v>883.40900723000004</v>
      </c>
      <c r="M93" s="1589">
        <v>863.75118524999993</v>
      </c>
      <c r="N93" s="1589">
        <v>19.657821980000001</v>
      </c>
      <c r="O93" s="1589">
        <v>3855.4785787599999</v>
      </c>
      <c r="P93" s="1589">
        <v>3361.4866052000002</v>
      </c>
      <c r="Q93" s="1589">
        <v>493.99197356000002</v>
      </c>
      <c r="R93" s="1589">
        <v>1467.7936747600002</v>
      </c>
      <c r="S93" s="1589">
        <v>414.88588117</v>
      </c>
      <c r="T93" s="1589">
        <v>404.70384724999997</v>
      </c>
      <c r="U93" s="1589">
        <v>10.18203392</v>
      </c>
      <c r="V93" s="1589">
        <v>1052.9077935900002</v>
      </c>
      <c r="W93" s="1589">
        <v>814.24330665000002</v>
      </c>
      <c r="X93" s="1589">
        <v>238.66448693999999</v>
      </c>
      <c r="Y93" s="1589">
        <v>3338.3929295299995</v>
      </c>
      <c r="Z93" s="1589">
        <v>525.49226379000004</v>
      </c>
      <c r="AA93" s="1589">
        <v>517.03303661999996</v>
      </c>
      <c r="AB93" s="1589">
        <v>8.4592271700000001</v>
      </c>
      <c r="AC93" s="1589">
        <v>2812.9006657399996</v>
      </c>
      <c r="AD93" s="1589">
        <v>2253.9904134899998</v>
      </c>
      <c r="AE93" s="1589">
        <v>558.91025224999987</v>
      </c>
    </row>
    <row r="94" spans="1:31">
      <c r="A94" s="1588">
        <v>3</v>
      </c>
      <c r="B94" s="1589">
        <v>7888.866837309999</v>
      </c>
      <c r="C94" s="1589">
        <v>1511.5765146700001</v>
      </c>
      <c r="D94" s="1589">
        <v>6377.2903226400003</v>
      </c>
      <c r="E94" s="1589">
        <v>6860.4379567499982</v>
      </c>
      <c r="F94" s="1589">
        <v>1482.3184479899999</v>
      </c>
      <c r="G94" s="1589">
        <v>5378.119508759999</v>
      </c>
      <c r="H94" s="1589">
        <v>1028.4288805599999</v>
      </c>
      <c r="I94" s="1589">
        <v>29.258066679999999</v>
      </c>
      <c r="J94" s="1589">
        <v>999.17081387999997</v>
      </c>
      <c r="K94" s="1589">
        <v>4623.1699660300001</v>
      </c>
      <c r="L94" s="1589">
        <v>944.75561758999993</v>
      </c>
      <c r="M94" s="1589">
        <v>923.80277017999992</v>
      </c>
      <c r="N94" s="1589">
        <v>20.95284741</v>
      </c>
      <c r="O94" s="1589">
        <v>3678.4143484399997</v>
      </c>
      <c r="P94" s="1589">
        <v>3225.6338430000001</v>
      </c>
      <c r="Q94" s="1589">
        <v>452.78050543999996</v>
      </c>
      <c r="R94" s="1589">
        <v>1503.82988219</v>
      </c>
      <c r="S94" s="1589">
        <v>493.72119703999999</v>
      </c>
      <c r="T94" s="1589">
        <v>482.78437300999997</v>
      </c>
      <c r="U94" s="1589">
        <v>10.93682403</v>
      </c>
      <c r="V94" s="1589">
        <v>1010.10868515</v>
      </c>
      <c r="W94" s="1589">
        <v>802.72960946000012</v>
      </c>
      <c r="X94" s="1589">
        <v>207.37907568999998</v>
      </c>
      <c r="Y94" s="1589">
        <v>3265.6968712799999</v>
      </c>
      <c r="Z94" s="1589">
        <v>566.8208970799999</v>
      </c>
      <c r="AA94" s="1589">
        <v>558.51567780999994</v>
      </c>
      <c r="AB94" s="1589">
        <v>8.3052192700000003</v>
      </c>
      <c r="AC94" s="1589">
        <v>2698.8759742000002</v>
      </c>
      <c r="AD94" s="1589">
        <v>2152.4856657599998</v>
      </c>
      <c r="AE94" s="1589">
        <v>546.39030844000001</v>
      </c>
    </row>
    <row r="95" spans="1:31">
      <c r="A95" s="1588">
        <v>4</v>
      </c>
      <c r="B95" s="1589">
        <v>7684.9581025599991</v>
      </c>
      <c r="C95" s="1589">
        <v>1407.6139595500001</v>
      </c>
      <c r="D95" s="1589">
        <v>6277.3441430100002</v>
      </c>
      <c r="E95" s="1589">
        <v>6683.6563772800009</v>
      </c>
      <c r="F95" s="1589">
        <v>1377.4845387800001</v>
      </c>
      <c r="G95" s="1589">
        <v>5306.1718385000004</v>
      </c>
      <c r="H95" s="1589">
        <v>1001.30172528</v>
      </c>
      <c r="I95" s="1589">
        <v>30.129420770000003</v>
      </c>
      <c r="J95" s="1589">
        <v>971.17230451</v>
      </c>
      <c r="K95" s="1589">
        <v>4592.0517547900008</v>
      </c>
      <c r="L95" s="1589">
        <v>893.22790241000007</v>
      </c>
      <c r="M95" s="1589">
        <v>872.63862687000005</v>
      </c>
      <c r="N95" s="1589">
        <v>20.589275540000003</v>
      </c>
      <c r="O95" s="1589">
        <v>3698.8238523800001</v>
      </c>
      <c r="P95" s="1589">
        <v>3215.4354863399999</v>
      </c>
      <c r="Q95" s="1589">
        <v>483.38836603999999</v>
      </c>
      <c r="R95" s="1589">
        <v>1552.03914115</v>
      </c>
      <c r="S95" s="1589">
        <v>493.11902867000003</v>
      </c>
      <c r="T95" s="1589">
        <v>483.03023889000002</v>
      </c>
      <c r="U95" s="1589">
        <v>10.088789780000001</v>
      </c>
      <c r="V95" s="1589">
        <v>1058.9201124800002</v>
      </c>
      <c r="W95" s="1589">
        <v>859.71428450999997</v>
      </c>
      <c r="X95" s="1589">
        <v>199.20582797</v>
      </c>
      <c r="Y95" s="1589">
        <v>3092.9063477700001</v>
      </c>
      <c r="Z95" s="1589">
        <v>514.38605713999993</v>
      </c>
      <c r="AA95" s="1589">
        <v>504.84591190999998</v>
      </c>
      <c r="AB95" s="1589">
        <v>9.5401452300000003</v>
      </c>
      <c r="AC95" s="1589">
        <v>2578.5202906300001</v>
      </c>
      <c r="AD95" s="1589">
        <v>2090.73635216</v>
      </c>
      <c r="AE95" s="1589">
        <v>487.78393847000001</v>
      </c>
    </row>
    <row r="96" spans="1:31">
      <c r="A96" s="1588">
        <v>5</v>
      </c>
      <c r="B96" s="1589">
        <v>7565.9511798600006</v>
      </c>
      <c r="C96" s="1589">
        <v>1447.54840711</v>
      </c>
      <c r="D96" s="1589">
        <v>6118.4027727500006</v>
      </c>
      <c r="E96" s="1589">
        <v>6583.9164775400004</v>
      </c>
      <c r="F96" s="1589">
        <v>1417.2406280299999</v>
      </c>
      <c r="G96" s="1589">
        <v>5166.6758495100003</v>
      </c>
      <c r="H96" s="1589">
        <v>982.03470232000018</v>
      </c>
      <c r="I96" s="1589">
        <v>30.307779080000003</v>
      </c>
      <c r="J96" s="1589">
        <v>951.72692324000013</v>
      </c>
      <c r="K96" s="1589">
        <v>4548.8650003100001</v>
      </c>
      <c r="L96" s="1589">
        <v>936.23981334999996</v>
      </c>
      <c r="M96" s="1589">
        <v>915.08716974999993</v>
      </c>
      <c r="N96" s="1589">
        <v>21.152643600000005</v>
      </c>
      <c r="O96" s="1589">
        <v>3612.6251869600001</v>
      </c>
      <c r="P96" s="1589">
        <v>3134.3709992899999</v>
      </c>
      <c r="Q96" s="1589">
        <v>478.25418767000002</v>
      </c>
      <c r="R96" s="1589">
        <v>1538.99498956</v>
      </c>
      <c r="S96" s="1589">
        <v>486.20993685999997</v>
      </c>
      <c r="T96" s="1589">
        <v>476.46891482999996</v>
      </c>
      <c r="U96" s="1589">
        <v>9.7410220299999999</v>
      </c>
      <c r="V96" s="1589">
        <v>1052.7850527000001</v>
      </c>
      <c r="W96" s="1589">
        <v>858.01942688999986</v>
      </c>
      <c r="X96" s="1589">
        <v>194.76562581000002</v>
      </c>
      <c r="Y96" s="1589">
        <v>3017.08617955</v>
      </c>
      <c r="Z96" s="1589">
        <v>511.30859375999995</v>
      </c>
      <c r="AA96" s="1589">
        <v>502.15345827999994</v>
      </c>
      <c r="AB96" s="1589">
        <v>9.1551354800000002</v>
      </c>
      <c r="AC96" s="1589">
        <v>2505.7775857900001</v>
      </c>
      <c r="AD96" s="1589">
        <v>2032.3048502199999</v>
      </c>
      <c r="AE96" s="1589">
        <v>473.47273557000005</v>
      </c>
    </row>
    <row r="97" spans="1:31">
      <c r="A97" s="1588">
        <v>6</v>
      </c>
      <c r="B97" s="1589">
        <v>7815.6264911699991</v>
      </c>
      <c r="C97" s="1589">
        <v>1517.1021516099997</v>
      </c>
      <c r="D97" s="1589">
        <v>6298.5243395599991</v>
      </c>
      <c r="E97" s="1589">
        <v>6792.5395942199993</v>
      </c>
      <c r="F97" s="1589">
        <v>1484.6593616699997</v>
      </c>
      <c r="G97" s="1589">
        <v>5307.8802325500001</v>
      </c>
      <c r="H97" s="1589">
        <v>1023.08689695</v>
      </c>
      <c r="I97" s="1589">
        <v>32.442789939999997</v>
      </c>
      <c r="J97" s="1589">
        <v>990.64410700999997</v>
      </c>
      <c r="K97" s="1589">
        <v>4737.3135872899993</v>
      </c>
      <c r="L97" s="1589">
        <v>1002.7139079299999</v>
      </c>
      <c r="M97" s="1589">
        <v>979.37765181999987</v>
      </c>
      <c r="N97" s="1589">
        <v>23.336256110000001</v>
      </c>
      <c r="O97" s="1589">
        <v>3734.5996793599993</v>
      </c>
      <c r="P97" s="1589">
        <v>3231.9696183499996</v>
      </c>
      <c r="Q97" s="1589">
        <v>502.63006100999996</v>
      </c>
      <c r="R97" s="1589">
        <v>1638.4983436499999</v>
      </c>
      <c r="S97" s="1589">
        <v>546.73839292000002</v>
      </c>
      <c r="T97" s="1589">
        <v>534.79585080999993</v>
      </c>
      <c r="U97" s="1589">
        <v>11.942542109999998</v>
      </c>
      <c r="V97" s="1589">
        <v>1091.7599507299999</v>
      </c>
      <c r="W97" s="1589">
        <v>876.30853079999997</v>
      </c>
      <c r="X97" s="1589">
        <v>215.45141993000001</v>
      </c>
      <c r="Y97" s="1589">
        <v>3078.3129038799998</v>
      </c>
      <c r="Z97" s="1589">
        <v>514.38824367999996</v>
      </c>
      <c r="AA97" s="1589">
        <v>505.28170984999997</v>
      </c>
      <c r="AB97" s="1589">
        <v>9.1065338300000001</v>
      </c>
      <c r="AC97" s="1589">
        <v>2563.9246601999998</v>
      </c>
      <c r="AD97" s="1589">
        <v>2075.9106142000001</v>
      </c>
      <c r="AE97" s="1589">
        <v>488.01404600000001</v>
      </c>
    </row>
    <row r="98" spans="1:31">
      <c r="A98" s="1588">
        <v>7</v>
      </c>
      <c r="B98" s="1589">
        <v>7843.8322067699992</v>
      </c>
      <c r="C98" s="1589">
        <v>1506.0159207900001</v>
      </c>
      <c r="D98" s="1589">
        <v>6337.8162859799995</v>
      </c>
      <c r="E98" s="1589">
        <v>6851.7018981600004</v>
      </c>
      <c r="F98" s="1589">
        <v>1474.7795012400002</v>
      </c>
      <c r="G98" s="1589">
        <v>5376.9223969200002</v>
      </c>
      <c r="H98" s="1589">
        <v>992.13030860999993</v>
      </c>
      <c r="I98" s="1589">
        <v>31.236419549999997</v>
      </c>
      <c r="J98" s="1589">
        <v>960.89388905999999</v>
      </c>
      <c r="K98" s="1589">
        <v>4829.455896299999</v>
      </c>
      <c r="L98" s="1589">
        <v>1023.8503967300001</v>
      </c>
      <c r="M98" s="1589">
        <v>1001.57899021</v>
      </c>
      <c r="N98" s="1589">
        <v>22.271406519999999</v>
      </c>
      <c r="O98" s="1589">
        <v>3805.6054995699997</v>
      </c>
      <c r="P98" s="1589">
        <v>3311.3435036599994</v>
      </c>
      <c r="Q98" s="1589">
        <v>494.26199591</v>
      </c>
      <c r="R98" s="1589">
        <v>1731.3684805100002</v>
      </c>
      <c r="S98" s="1589">
        <v>589.40381854000009</v>
      </c>
      <c r="T98" s="1589">
        <v>578.43384142000002</v>
      </c>
      <c r="U98" s="1589">
        <v>10.969977119999999</v>
      </c>
      <c r="V98" s="1589">
        <v>1141.96466197</v>
      </c>
      <c r="W98" s="1589">
        <v>917.19110690000002</v>
      </c>
      <c r="X98" s="1589">
        <v>224.77355506999999</v>
      </c>
      <c r="Y98" s="1589">
        <v>3014.3763104700001</v>
      </c>
      <c r="Z98" s="1589">
        <v>482.16552406000005</v>
      </c>
      <c r="AA98" s="1589">
        <v>473.20051103000003</v>
      </c>
      <c r="AB98" s="1589">
        <v>8.9650130299999979</v>
      </c>
      <c r="AC98" s="1589">
        <v>2532.2107864099999</v>
      </c>
      <c r="AD98" s="1589">
        <v>2065.5788932599999</v>
      </c>
      <c r="AE98" s="1589">
        <v>466.63189315</v>
      </c>
    </row>
    <row r="99" spans="1:31">
      <c r="A99" s="1588">
        <v>8</v>
      </c>
      <c r="B99" s="1589">
        <v>7931.8856794200001</v>
      </c>
      <c r="C99" s="1589">
        <v>1456.50919583</v>
      </c>
      <c r="D99" s="1589">
        <v>6475.3764835900001</v>
      </c>
      <c r="E99" s="1589">
        <v>6913.4587721799999</v>
      </c>
      <c r="F99" s="1589">
        <v>1423.8463465199998</v>
      </c>
      <c r="G99" s="1589">
        <v>5489.6124256600006</v>
      </c>
      <c r="H99" s="1589">
        <v>1018.42690724</v>
      </c>
      <c r="I99" s="1589">
        <v>32.662849309999999</v>
      </c>
      <c r="J99" s="1589">
        <v>985.76405793000004</v>
      </c>
      <c r="K99" s="1589">
        <v>4874.7005078600005</v>
      </c>
      <c r="L99" s="1589">
        <v>974.24768753999979</v>
      </c>
      <c r="M99" s="1589">
        <v>950.5357732199999</v>
      </c>
      <c r="N99" s="1589">
        <v>23.711914320000002</v>
      </c>
      <c r="O99" s="1589">
        <v>3900.4528203200002</v>
      </c>
      <c r="P99" s="1589">
        <v>3384.2494364300001</v>
      </c>
      <c r="Q99" s="1589">
        <v>516.20338389000005</v>
      </c>
      <c r="R99" s="1589">
        <v>1665.4230384699995</v>
      </c>
      <c r="S99" s="1589">
        <v>530.98455763999993</v>
      </c>
      <c r="T99" s="1589">
        <v>518.44544952999991</v>
      </c>
      <c r="U99" s="1589">
        <v>12.539108110000003</v>
      </c>
      <c r="V99" s="1589">
        <v>1134.4384808299999</v>
      </c>
      <c r="W99" s="1589">
        <v>906.56418373999986</v>
      </c>
      <c r="X99" s="1589">
        <v>227.87429709</v>
      </c>
      <c r="Y99" s="1589">
        <v>3057.1851715599996</v>
      </c>
      <c r="Z99" s="1589">
        <v>482.26150828999999</v>
      </c>
      <c r="AA99" s="1589">
        <v>473.31057329999999</v>
      </c>
      <c r="AB99" s="1589">
        <v>8.9509349900000004</v>
      </c>
      <c r="AC99" s="1589">
        <v>2574.9236632699999</v>
      </c>
      <c r="AD99" s="1589">
        <v>2105.36298923</v>
      </c>
      <c r="AE99" s="1589">
        <v>469.56067403999998</v>
      </c>
    </row>
    <row r="100" spans="1:31">
      <c r="A100" s="1588">
        <v>9</v>
      </c>
      <c r="B100" s="1589">
        <v>7813.8673014099995</v>
      </c>
      <c r="C100" s="1589">
        <v>1426.0374654</v>
      </c>
      <c r="D100" s="1589">
        <v>6387.8298360099998</v>
      </c>
      <c r="E100" s="1589">
        <v>6828.53688754</v>
      </c>
      <c r="F100" s="1589">
        <v>1395.7307868299999</v>
      </c>
      <c r="G100" s="1589">
        <v>5432.8061007099996</v>
      </c>
      <c r="H100" s="1589">
        <v>985.33041386999992</v>
      </c>
      <c r="I100" s="1589">
        <v>30.306678569999995</v>
      </c>
      <c r="J100" s="1589">
        <v>955.0237353</v>
      </c>
      <c r="K100" s="1589">
        <v>4833.2744599099997</v>
      </c>
      <c r="L100" s="1589">
        <v>947.50138616999993</v>
      </c>
      <c r="M100" s="1589">
        <v>926.10750189999987</v>
      </c>
      <c r="N100" s="1589">
        <v>21.393884269999997</v>
      </c>
      <c r="O100" s="1589">
        <v>3885.7730737399997</v>
      </c>
      <c r="P100" s="1589">
        <v>3393.4231242800001</v>
      </c>
      <c r="Q100" s="1589">
        <v>492.34994945999995</v>
      </c>
      <c r="R100" s="1589">
        <v>1683.7554041899998</v>
      </c>
      <c r="S100" s="1589">
        <v>518.38537985999994</v>
      </c>
      <c r="T100" s="1589">
        <v>507.90023003999994</v>
      </c>
      <c r="U100" s="1589">
        <v>10.48514982</v>
      </c>
      <c r="V100" s="1589">
        <v>1165.37002433</v>
      </c>
      <c r="W100" s="1589">
        <v>970.89561084000002</v>
      </c>
      <c r="X100" s="1589">
        <v>194.47441348999996</v>
      </c>
      <c r="Y100" s="1589">
        <v>2980.5928414999998</v>
      </c>
      <c r="Z100" s="1589">
        <v>478.53607922999998</v>
      </c>
      <c r="AA100" s="1589">
        <v>469.62328492999995</v>
      </c>
      <c r="AB100" s="1589">
        <v>8.9127942999999998</v>
      </c>
      <c r="AC100" s="1589">
        <v>2502.05676227</v>
      </c>
      <c r="AD100" s="1589">
        <v>2039.3829764299999</v>
      </c>
      <c r="AE100" s="1589">
        <v>462.67378584000005</v>
      </c>
    </row>
    <row r="101" spans="1:31">
      <c r="A101" s="1588">
        <v>10</v>
      </c>
      <c r="B101" s="1589">
        <v>7413.1110749800009</v>
      </c>
      <c r="C101" s="1589">
        <v>1397.6114081800001</v>
      </c>
      <c r="D101" s="1589">
        <v>6015.4996668000003</v>
      </c>
      <c r="E101" s="1589">
        <v>6471.7484338200011</v>
      </c>
      <c r="F101" s="1589">
        <v>1365.1214721900001</v>
      </c>
      <c r="G101" s="1589">
        <v>5106.6269616300006</v>
      </c>
      <c r="H101" s="1589">
        <v>941.36264115999995</v>
      </c>
      <c r="I101" s="1589">
        <v>32.489935989999999</v>
      </c>
      <c r="J101" s="1589">
        <v>908.87270517000002</v>
      </c>
      <c r="K101" s="1589">
        <v>4901.9131810000008</v>
      </c>
      <c r="L101" s="1589">
        <v>928.55661909000003</v>
      </c>
      <c r="M101" s="1589">
        <v>904.83404340000004</v>
      </c>
      <c r="N101" s="1589">
        <v>23.722575689999999</v>
      </c>
      <c r="O101" s="1589">
        <v>3973.3565619100004</v>
      </c>
      <c r="P101" s="1589">
        <v>3483.5255997300005</v>
      </c>
      <c r="Q101" s="1589">
        <v>489.83096218000003</v>
      </c>
      <c r="R101" s="1589">
        <v>1728.0391389600002</v>
      </c>
      <c r="S101" s="1589">
        <v>480.19855047000004</v>
      </c>
      <c r="T101" s="1589">
        <v>467.23045539000003</v>
      </c>
      <c r="U101" s="1589">
        <v>12.968095080000001</v>
      </c>
      <c r="V101" s="1589">
        <v>1247.8405884900001</v>
      </c>
      <c r="W101" s="1589">
        <v>1039.49043674</v>
      </c>
      <c r="X101" s="1589">
        <v>208.35015175000001</v>
      </c>
      <c r="Y101" s="1589">
        <v>2511.1978939800001</v>
      </c>
      <c r="Z101" s="1589">
        <v>469.05478909000004</v>
      </c>
      <c r="AA101" s="1589">
        <v>460.28742879000004</v>
      </c>
      <c r="AB101" s="1589">
        <v>8.7673603</v>
      </c>
      <c r="AC101" s="1589">
        <v>2042.1431048900001</v>
      </c>
      <c r="AD101" s="1589">
        <v>1623.1013619</v>
      </c>
      <c r="AE101" s="1589">
        <v>419.04174298999993</v>
      </c>
    </row>
    <row r="102" spans="1:31">
      <c r="A102" s="1588">
        <v>11</v>
      </c>
      <c r="B102" s="1589">
        <v>7605.7838093800001</v>
      </c>
      <c r="C102" s="1589">
        <v>1430.4973788100001</v>
      </c>
      <c r="D102" s="1589">
        <v>6175.2864305700004</v>
      </c>
      <c r="E102" s="1589">
        <v>6648.5885385800002</v>
      </c>
      <c r="F102" s="1589">
        <v>1400.1552132500001</v>
      </c>
      <c r="G102" s="1589">
        <v>5248.4333253300001</v>
      </c>
      <c r="H102" s="1589">
        <v>957.1952708</v>
      </c>
      <c r="I102" s="1589">
        <v>30.342165560000002</v>
      </c>
      <c r="J102" s="1589">
        <v>926.8531052400001</v>
      </c>
      <c r="K102" s="1589">
        <v>5113.0464668800005</v>
      </c>
      <c r="L102" s="1589">
        <v>976.09259972000007</v>
      </c>
      <c r="M102" s="1589">
        <v>954.49573178000003</v>
      </c>
      <c r="N102" s="1589">
        <v>21.596867940000003</v>
      </c>
      <c r="O102" s="1589">
        <v>4136.9538671600003</v>
      </c>
      <c r="P102" s="1589">
        <v>3629.95108858</v>
      </c>
      <c r="Q102" s="1589">
        <v>507.00277858000004</v>
      </c>
      <c r="R102" s="1589">
        <v>1842.2914264600001</v>
      </c>
      <c r="S102" s="1589">
        <v>513.95585828000003</v>
      </c>
      <c r="T102" s="1589">
        <v>503.48044164999999</v>
      </c>
      <c r="U102" s="1589">
        <v>10.475416630000003</v>
      </c>
      <c r="V102" s="1589">
        <v>1328.3355681800001</v>
      </c>
      <c r="W102" s="1589">
        <v>1116.8657780700003</v>
      </c>
      <c r="X102" s="1589">
        <v>211.46979011000002</v>
      </c>
      <c r="Y102" s="1589">
        <v>2492.7373425000001</v>
      </c>
      <c r="Z102" s="1589">
        <v>454.40477909000009</v>
      </c>
      <c r="AA102" s="1589">
        <v>445.65948147000006</v>
      </c>
      <c r="AB102" s="1589">
        <v>8.7452976199999988</v>
      </c>
      <c r="AC102" s="1589">
        <v>2038.3325634100001</v>
      </c>
      <c r="AD102" s="1589">
        <v>1618.4822367500001</v>
      </c>
      <c r="AE102" s="1589">
        <v>419.85032666000001</v>
      </c>
    </row>
    <row r="103" spans="1:31">
      <c r="A103" s="1588">
        <v>12</v>
      </c>
      <c r="B103" s="1589">
        <v>7448.6703850999993</v>
      </c>
      <c r="C103" s="1589">
        <v>1517.2369543500004</v>
      </c>
      <c r="D103" s="1589">
        <v>5931.4334307499994</v>
      </c>
      <c r="E103" s="1589">
        <v>6481.7945768099999</v>
      </c>
      <c r="F103" s="1589">
        <v>1483.7997685900002</v>
      </c>
      <c r="G103" s="1589">
        <v>4997.994808219999</v>
      </c>
      <c r="H103" s="1589">
        <v>966.87580829000001</v>
      </c>
      <c r="I103" s="1589">
        <v>33.437185759999998</v>
      </c>
      <c r="J103" s="1589">
        <v>933.43862252999998</v>
      </c>
      <c r="K103" s="1589">
        <v>4967.6144122800006</v>
      </c>
      <c r="L103" s="1589">
        <v>1061.4773695300003</v>
      </c>
      <c r="M103" s="1589">
        <v>1036.6847789300002</v>
      </c>
      <c r="N103" s="1589">
        <v>24.7925906</v>
      </c>
      <c r="O103" s="1589">
        <v>3906.1370427500001</v>
      </c>
      <c r="P103" s="1589">
        <v>3396.8780316100001</v>
      </c>
      <c r="Q103" s="1589">
        <v>509.25901113999993</v>
      </c>
      <c r="R103" s="1589">
        <v>1737.1789279700001</v>
      </c>
      <c r="S103" s="1589">
        <v>593.12725676000014</v>
      </c>
      <c r="T103" s="1589">
        <v>579.65820566000014</v>
      </c>
      <c r="U103" s="1589">
        <v>13.4690511</v>
      </c>
      <c r="V103" s="1589">
        <v>1144.0516712099998</v>
      </c>
      <c r="W103" s="1589">
        <v>925.97169045999999</v>
      </c>
      <c r="X103" s="1589">
        <v>218.07998074999998</v>
      </c>
      <c r="Y103" s="1589">
        <v>2481.0559728199996</v>
      </c>
      <c r="Z103" s="1589">
        <v>455.75958481999999</v>
      </c>
      <c r="AA103" s="1589">
        <v>447.11498965999994</v>
      </c>
      <c r="AB103" s="1589">
        <v>8.6445951599999997</v>
      </c>
      <c r="AC103" s="1589">
        <v>2025.2963879999998</v>
      </c>
      <c r="AD103" s="1589">
        <v>1601.1167766099998</v>
      </c>
      <c r="AE103" s="1589">
        <v>424.17961138999999</v>
      </c>
    </row>
    <row r="104" spans="1:31">
      <c r="A104" s="1588">
        <v>2017</v>
      </c>
      <c r="B104" s="1589"/>
      <c r="C104" s="1589"/>
      <c r="D104" s="1589"/>
      <c r="E104" s="1589"/>
      <c r="F104" s="1589"/>
      <c r="G104" s="1589"/>
      <c r="H104" s="1589"/>
      <c r="I104" s="1589"/>
      <c r="J104" s="1589"/>
      <c r="K104" s="1589"/>
      <c r="L104" s="1589"/>
      <c r="M104" s="1589"/>
      <c r="N104" s="1589"/>
      <c r="O104" s="1589"/>
      <c r="P104" s="1589"/>
      <c r="Q104" s="1589"/>
      <c r="R104" s="1589"/>
      <c r="S104" s="1589"/>
      <c r="T104" s="1589"/>
      <c r="U104" s="1589"/>
      <c r="V104" s="1589"/>
      <c r="W104" s="1589"/>
      <c r="X104" s="1589"/>
      <c r="Y104" s="1589"/>
      <c r="Z104" s="1589"/>
      <c r="AA104" s="1589"/>
      <c r="AB104" s="1589"/>
      <c r="AC104" s="1589"/>
      <c r="AD104" s="1589"/>
      <c r="AE104" s="1589"/>
    </row>
    <row r="105" spans="1:31">
      <c r="A105" s="1588">
        <v>1</v>
      </c>
      <c r="B105" s="1589">
        <v>7747.2138473399991</v>
      </c>
      <c r="C105" s="1589">
        <v>1452.69394992</v>
      </c>
      <c r="D105" s="1589">
        <v>6294.5198974199993</v>
      </c>
      <c r="E105" s="1589">
        <v>6753.8906869799994</v>
      </c>
      <c r="F105" s="1589">
        <v>1420.1879446400001</v>
      </c>
      <c r="G105" s="1589">
        <v>5333.7027423399995</v>
      </c>
      <c r="H105" s="1589">
        <v>993.32316035999997</v>
      </c>
      <c r="I105" s="1589">
        <v>32.506005280000004</v>
      </c>
      <c r="J105" s="1589">
        <v>960.81715508000002</v>
      </c>
      <c r="K105" s="1589">
        <v>5157.3086473799995</v>
      </c>
      <c r="L105" s="1589">
        <v>1000.66411306</v>
      </c>
      <c r="M105" s="1589">
        <v>976.17507050999995</v>
      </c>
      <c r="N105" s="1589">
        <v>24.489042550000004</v>
      </c>
      <c r="O105" s="1589">
        <v>4156.6445343199994</v>
      </c>
      <c r="P105" s="1589">
        <v>3620.9460052899999</v>
      </c>
      <c r="Q105" s="1589">
        <v>535.69852903000003</v>
      </c>
      <c r="R105" s="1589">
        <v>1674.8844165500002</v>
      </c>
      <c r="S105" s="1589">
        <v>511.30370879999998</v>
      </c>
      <c r="T105" s="1589">
        <v>499.06653041999999</v>
      </c>
      <c r="U105" s="1589">
        <v>12.237178380000003</v>
      </c>
      <c r="V105" s="1589">
        <v>1163.5807077500001</v>
      </c>
      <c r="W105" s="1589">
        <v>926.81243798000003</v>
      </c>
      <c r="X105" s="1589">
        <v>236.76826976999999</v>
      </c>
      <c r="Y105" s="1589">
        <v>2589.9051999600006</v>
      </c>
      <c r="Z105" s="1589">
        <v>452.02983686000005</v>
      </c>
      <c r="AA105" s="1589">
        <v>444.01287413000006</v>
      </c>
      <c r="AB105" s="1589">
        <v>8.0169627299999995</v>
      </c>
      <c r="AC105" s="1589">
        <v>2137.8753630999995</v>
      </c>
      <c r="AD105" s="1589">
        <v>1712.7567370499999</v>
      </c>
      <c r="AE105" s="1589">
        <v>425.11862604999999</v>
      </c>
    </row>
    <row r="106" spans="1:31">
      <c r="A106" s="1588">
        <v>2</v>
      </c>
      <c r="B106" s="1589">
        <v>7101.7795807599996</v>
      </c>
      <c r="C106" s="1589">
        <v>1463.72423779</v>
      </c>
      <c r="D106" s="1589">
        <v>5638.0553429699994</v>
      </c>
      <c r="E106" s="1589">
        <v>6205.0481601699994</v>
      </c>
      <c r="F106" s="1589">
        <v>1431.2831334499999</v>
      </c>
      <c r="G106" s="1589">
        <v>4773.7650267199997</v>
      </c>
      <c r="H106" s="1589">
        <v>896.73142058999997</v>
      </c>
      <c r="I106" s="1589">
        <v>32.441104340000003</v>
      </c>
      <c r="J106" s="1589">
        <v>864.29031624999993</v>
      </c>
      <c r="K106" s="1589">
        <v>4709.0541522799995</v>
      </c>
      <c r="L106" s="1589">
        <v>1008.8547734</v>
      </c>
      <c r="M106" s="1589">
        <v>986.05256842999995</v>
      </c>
      <c r="N106" s="1589">
        <v>22.802204970000002</v>
      </c>
      <c r="O106" s="1589">
        <v>3700.19937888</v>
      </c>
      <c r="P106" s="1589">
        <v>3204.6507970900002</v>
      </c>
      <c r="Q106" s="1589">
        <v>495.54858178999996</v>
      </c>
      <c r="R106" s="1589">
        <v>1555.77900746</v>
      </c>
      <c r="S106" s="1589">
        <v>510.01916795</v>
      </c>
      <c r="T106" s="1589">
        <v>499.84428459999998</v>
      </c>
      <c r="U106" s="1589">
        <v>10.17488335</v>
      </c>
      <c r="V106" s="1589">
        <v>1045.7598395099999</v>
      </c>
      <c r="W106" s="1589">
        <v>826.15726330999996</v>
      </c>
      <c r="X106" s="1589">
        <v>219.60257619999999</v>
      </c>
      <c r="Y106" s="1589">
        <v>2392.7254284799997</v>
      </c>
      <c r="Z106" s="1589">
        <v>454.86946439000002</v>
      </c>
      <c r="AA106" s="1589">
        <v>445.23056502000003</v>
      </c>
      <c r="AB106" s="1589">
        <v>9.638899369999999</v>
      </c>
      <c r="AC106" s="1589">
        <v>1937.8559640899998</v>
      </c>
      <c r="AD106" s="1589">
        <v>1569.11422963</v>
      </c>
      <c r="AE106" s="1589">
        <v>368.74173445999998</v>
      </c>
    </row>
    <row r="107" spans="1:31">
      <c r="A107" s="1588">
        <v>3</v>
      </c>
      <c r="B107" s="1589">
        <v>6911.4482994199998</v>
      </c>
      <c r="C107" s="1589">
        <v>1480.4727689199999</v>
      </c>
      <c r="D107" s="1589">
        <v>5430.9755305000008</v>
      </c>
      <c r="E107" s="1589">
        <v>6033.8340495500006</v>
      </c>
      <c r="F107" s="1589">
        <v>1446.9942711000001</v>
      </c>
      <c r="G107" s="1589">
        <v>4586.8397784500003</v>
      </c>
      <c r="H107" s="1589">
        <v>877.61424987000009</v>
      </c>
      <c r="I107" s="1589">
        <v>33.478497820000001</v>
      </c>
      <c r="J107" s="1589">
        <v>844.13575205000006</v>
      </c>
      <c r="K107" s="1589">
        <v>4598.95956716</v>
      </c>
      <c r="L107" s="1589">
        <v>1019.97453338</v>
      </c>
      <c r="M107" s="1589">
        <v>996.40465117000008</v>
      </c>
      <c r="N107" s="1589">
        <v>23.569882209999999</v>
      </c>
      <c r="O107" s="1589">
        <v>3578.9850337799999</v>
      </c>
      <c r="P107" s="1589">
        <v>3090.4950881199993</v>
      </c>
      <c r="Q107" s="1589">
        <v>488.48994566000005</v>
      </c>
      <c r="R107" s="1589">
        <v>1486.5612453200001</v>
      </c>
      <c r="S107" s="1589">
        <v>507.79294545999994</v>
      </c>
      <c r="T107" s="1589">
        <v>496.46003026</v>
      </c>
      <c r="U107" s="1589">
        <v>11.332915199999999</v>
      </c>
      <c r="V107" s="1589">
        <v>978.76829986000018</v>
      </c>
      <c r="W107" s="1589">
        <v>761.94903144000011</v>
      </c>
      <c r="X107" s="1589">
        <v>216.81926842000001</v>
      </c>
      <c r="Y107" s="1589">
        <v>2312.4887322599998</v>
      </c>
      <c r="Z107" s="1589">
        <v>460.49823553999994</v>
      </c>
      <c r="AA107" s="1589">
        <v>450.58961992999997</v>
      </c>
      <c r="AB107" s="1589">
        <v>9.90861561</v>
      </c>
      <c r="AC107" s="1589">
        <v>1851.9904967200002</v>
      </c>
      <c r="AD107" s="1589">
        <v>1496.34469033</v>
      </c>
      <c r="AE107" s="1589">
        <v>355.64580639000002</v>
      </c>
    </row>
    <row r="108" spans="1:31">
      <c r="A108" s="1588">
        <v>4</v>
      </c>
      <c r="B108" s="1589">
        <v>6873.1633715100006</v>
      </c>
      <c r="C108" s="1589">
        <v>1608.1923604899998</v>
      </c>
      <c r="D108" s="1589">
        <v>5264.9710110200012</v>
      </c>
      <c r="E108" s="1589">
        <v>6006.2714098500001</v>
      </c>
      <c r="F108" s="1589">
        <v>1572.73132852</v>
      </c>
      <c r="G108" s="1589">
        <v>4433.5400813300002</v>
      </c>
      <c r="H108" s="1589">
        <v>866.89196166000011</v>
      </c>
      <c r="I108" s="1589">
        <v>35.461031970000001</v>
      </c>
      <c r="J108" s="1589">
        <v>831.43092969000008</v>
      </c>
      <c r="K108" s="1589">
        <v>4637.14995421</v>
      </c>
      <c r="L108" s="1589">
        <v>1128.9168918800001</v>
      </c>
      <c r="M108" s="1589">
        <v>1103.4617057600001</v>
      </c>
      <c r="N108" s="1589">
        <v>25.45518612</v>
      </c>
      <c r="O108" s="1589">
        <v>3508.2330623300004</v>
      </c>
      <c r="P108" s="1589">
        <v>3016.9175732100002</v>
      </c>
      <c r="Q108" s="1589">
        <v>491.31548912000005</v>
      </c>
      <c r="R108" s="1589">
        <v>1572.25408954</v>
      </c>
      <c r="S108" s="1589">
        <v>594.38608856999986</v>
      </c>
      <c r="T108" s="1589">
        <v>581.8769082099999</v>
      </c>
      <c r="U108" s="1589">
        <v>12.50918036</v>
      </c>
      <c r="V108" s="1589">
        <v>977.86800097000014</v>
      </c>
      <c r="W108" s="1589">
        <v>760.65189371000008</v>
      </c>
      <c r="X108" s="1589">
        <v>217.21610726000003</v>
      </c>
      <c r="Y108" s="1589">
        <v>2236.0134172999997</v>
      </c>
      <c r="Z108" s="1589">
        <v>479.27546860999996</v>
      </c>
      <c r="AA108" s="1589">
        <v>469.26962275999995</v>
      </c>
      <c r="AB108" s="1589">
        <v>10.005845849999998</v>
      </c>
      <c r="AC108" s="1589">
        <v>1756.7379486899997</v>
      </c>
      <c r="AD108" s="1589">
        <v>1416.6225081199998</v>
      </c>
      <c r="AE108" s="1589">
        <v>340.11544056999998</v>
      </c>
    </row>
    <row r="109" spans="1:31">
      <c r="A109" s="1588">
        <v>5</v>
      </c>
      <c r="B109" s="1589">
        <v>6846.7235042599996</v>
      </c>
      <c r="C109" s="1589">
        <v>1744.77150839</v>
      </c>
      <c r="D109" s="1589">
        <v>5101.9519958699993</v>
      </c>
      <c r="E109" s="1589">
        <v>6017.8606406300005</v>
      </c>
      <c r="F109" s="1589">
        <v>1698.5322011299997</v>
      </c>
      <c r="G109" s="1589">
        <v>4319.3284395000001</v>
      </c>
      <c r="H109" s="1589">
        <v>828.86286362999999</v>
      </c>
      <c r="I109" s="1589">
        <v>46.239307260000004</v>
      </c>
      <c r="J109" s="1589">
        <v>782.62355636999996</v>
      </c>
      <c r="K109" s="1589">
        <v>4650.3283388400005</v>
      </c>
      <c r="L109" s="1589">
        <v>1253.8706366500001</v>
      </c>
      <c r="M109" s="1589">
        <v>1225.0172643899998</v>
      </c>
      <c r="N109" s="1589">
        <v>28.85337226</v>
      </c>
      <c r="O109" s="1589">
        <v>3396.45770219</v>
      </c>
      <c r="P109" s="1589">
        <v>2941.4880281000001</v>
      </c>
      <c r="Q109" s="1589">
        <v>454.96967409000001</v>
      </c>
      <c r="R109" s="1589">
        <v>1643.35169776</v>
      </c>
      <c r="S109" s="1589">
        <v>691.21623787999988</v>
      </c>
      <c r="T109" s="1589">
        <v>679.92399665999994</v>
      </c>
      <c r="U109" s="1589">
        <v>11.292241220000001</v>
      </c>
      <c r="V109" s="1589">
        <v>952.1354598800001</v>
      </c>
      <c r="W109" s="1589">
        <v>759.01058208000006</v>
      </c>
      <c r="X109" s="1589">
        <v>193.12487780000001</v>
      </c>
      <c r="Y109" s="1589">
        <v>2196.39516542</v>
      </c>
      <c r="Z109" s="1589">
        <v>490.90087173999996</v>
      </c>
      <c r="AA109" s="1589">
        <v>473.51493674</v>
      </c>
      <c r="AB109" s="1589">
        <v>17.385935</v>
      </c>
      <c r="AC109" s="1589">
        <v>1705.4942936800001</v>
      </c>
      <c r="AD109" s="1589">
        <v>1377.8404114</v>
      </c>
      <c r="AE109" s="1589">
        <v>327.65388227999995</v>
      </c>
    </row>
    <row r="110" spans="1:31">
      <c r="A110" s="1588">
        <v>6</v>
      </c>
      <c r="B110" s="1589">
        <v>6907.1098250700015</v>
      </c>
      <c r="C110" s="1589">
        <v>1838.4266236000001</v>
      </c>
      <c r="D110" s="1589">
        <v>5068.6832014700003</v>
      </c>
      <c r="E110" s="1589">
        <v>6093.1433046100001</v>
      </c>
      <c r="F110" s="1589">
        <v>1789.3588692499998</v>
      </c>
      <c r="G110" s="1589">
        <v>4303.7844353600003</v>
      </c>
      <c r="H110" s="1589">
        <v>813.96652046000008</v>
      </c>
      <c r="I110" s="1589">
        <v>49.067754350000001</v>
      </c>
      <c r="J110" s="1589">
        <v>764.89876611</v>
      </c>
      <c r="K110" s="1589">
        <v>4705.23386897</v>
      </c>
      <c r="L110" s="1589">
        <v>1341.4902313499999</v>
      </c>
      <c r="M110" s="1589">
        <v>1312.2559013299999</v>
      </c>
      <c r="N110" s="1589">
        <v>29.234330020000002</v>
      </c>
      <c r="O110" s="1589">
        <v>3363.7436376200003</v>
      </c>
      <c r="P110" s="1589">
        <v>2924.54219534</v>
      </c>
      <c r="Q110" s="1589">
        <v>439.20144227999998</v>
      </c>
      <c r="R110" s="1589">
        <v>1733.13516983</v>
      </c>
      <c r="S110" s="1589">
        <v>734.24331022999991</v>
      </c>
      <c r="T110" s="1589">
        <v>721.79423368999994</v>
      </c>
      <c r="U110" s="1589">
        <v>12.44907654</v>
      </c>
      <c r="V110" s="1589">
        <v>998.89185960000009</v>
      </c>
      <c r="W110" s="1589">
        <v>815.96829234000006</v>
      </c>
      <c r="X110" s="1589">
        <v>182.92356725999997</v>
      </c>
      <c r="Y110" s="1589">
        <v>2201.8759561000002</v>
      </c>
      <c r="Z110" s="1589">
        <v>496.93639224999998</v>
      </c>
      <c r="AA110" s="1589">
        <v>477.10296791999997</v>
      </c>
      <c r="AB110" s="1589">
        <v>19.83342433</v>
      </c>
      <c r="AC110" s="1589">
        <v>1704.93956385</v>
      </c>
      <c r="AD110" s="1589">
        <v>1379.2422400200001</v>
      </c>
      <c r="AE110" s="1589">
        <v>325.69732382999996</v>
      </c>
    </row>
    <row r="111" spans="1:31">
      <c r="A111" s="1588">
        <v>7</v>
      </c>
      <c r="B111" s="1589">
        <v>6860.7177209399988</v>
      </c>
      <c r="C111" s="1589">
        <v>1822.0402112700001</v>
      </c>
      <c r="D111" s="1589">
        <v>5038.6775096699985</v>
      </c>
      <c r="E111" s="1589">
        <v>6054.1088052200002</v>
      </c>
      <c r="F111" s="1589">
        <v>1770.3942132900002</v>
      </c>
      <c r="G111" s="1589">
        <v>4283.7145919299992</v>
      </c>
      <c r="H111" s="1589">
        <v>806.60891571999991</v>
      </c>
      <c r="I111" s="1589">
        <v>51.645997980000004</v>
      </c>
      <c r="J111" s="1589">
        <v>754.96291773999997</v>
      </c>
      <c r="K111" s="1589">
        <v>4669.2146708500004</v>
      </c>
      <c r="L111" s="1589">
        <v>1301.41174499</v>
      </c>
      <c r="M111" s="1589">
        <v>1270.18626692</v>
      </c>
      <c r="N111" s="1589">
        <v>31.225478070000001</v>
      </c>
      <c r="O111" s="1589">
        <v>3367.80292586</v>
      </c>
      <c r="P111" s="1589">
        <v>2930.9304453700001</v>
      </c>
      <c r="Q111" s="1589">
        <v>436.87248048999999</v>
      </c>
      <c r="R111" s="1589">
        <v>1648.6893226899999</v>
      </c>
      <c r="S111" s="1589">
        <v>638.9342709199999</v>
      </c>
      <c r="T111" s="1589">
        <v>626.14714468999989</v>
      </c>
      <c r="U111" s="1589">
        <v>12.78712623</v>
      </c>
      <c r="V111" s="1589">
        <v>1009.7550517699999</v>
      </c>
      <c r="W111" s="1589">
        <v>831.21941169999991</v>
      </c>
      <c r="X111" s="1589">
        <v>178.53564007</v>
      </c>
      <c r="Y111" s="1589">
        <v>2191.5030500899998</v>
      </c>
      <c r="Z111" s="1589">
        <v>520.62846628000011</v>
      </c>
      <c r="AA111" s="1589">
        <v>500.20794637000006</v>
      </c>
      <c r="AB111" s="1589">
        <v>20.420519909999999</v>
      </c>
      <c r="AC111" s="1589">
        <v>1670.8745838099996</v>
      </c>
      <c r="AD111" s="1589">
        <v>1352.7841465599997</v>
      </c>
      <c r="AE111" s="1589">
        <v>318.09043724999998</v>
      </c>
    </row>
    <row r="112" spans="1:31">
      <c r="A112" s="1588">
        <v>8</v>
      </c>
      <c r="B112" s="1589">
        <v>6895.4724854100004</v>
      </c>
      <c r="C112" s="1589">
        <v>1918.3876794400001</v>
      </c>
      <c r="D112" s="1589">
        <v>4977.0848059700002</v>
      </c>
      <c r="E112" s="1589">
        <v>6096.6528371899994</v>
      </c>
      <c r="F112" s="1589">
        <v>1863.5428979500002</v>
      </c>
      <c r="G112" s="1589">
        <v>4233.1099392399992</v>
      </c>
      <c r="H112" s="1589">
        <v>798.81964821999998</v>
      </c>
      <c r="I112" s="1589">
        <v>54.844781490000003</v>
      </c>
      <c r="J112" s="1589">
        <v>743.97486673000003</v>
      </c>
      <c r="K112" s="1589">
        <v>4733.3702515000004</v>
      </c>
      <c r="L112" s="1589">
        <v>1383.4952701800003</v>
      </c>
      <c r="M112" s="1589">
        <v>1349.2550590300002</v>
      </c>
      <c r="N112" s="1589">
        <v>34.24021115</v>
      </c>
      <c r="O112" s="1589">
        <v>3349.8749813199997</v>
      </c>
      <c r="P112" s="1589">
        <v>2900.1196946299997</v>
      </c>
      <c r="Q112" s="1589">
        <v>449.75528669000005</v>
      </c>
      <c r="R112" s="1589">
        <v>1715.8992923200001</v>
      </c>
      <c r="S112" s="1589">
        <v>684.21014093999997</v>
      </c>
      <c r="T112" s="1589">
        <v>669.92811483000003</v>
      </c>
      <c r="U112" s="1589">
        <v>14.28202611</v>
      </c>
      <c r="V112" s="1589">
        <v>1031.6891513800001</v>
      </c>
      <c r="W112" s="1589">
        <v>862.80258056000014</v>
      </c>
      <c r="X112" s="1589">
        <v>168.88657082</v>
      </c>
      <c r="Y112" s="1589">
        <v>2162.10223391</v>
      </c>
      <c r="Z112" s="1589">
        <v>534.89240926000002</v>
      </c>
      <c r="AA112" s="1589">
        <v>514.28783892000001</v>
      </c>
      <c r="AB112" s="1589">
        <v>20.604570339999999</v>
      </c>
      <c r="AC112" s="1589">
        <v>1627.2098246499997</v>
      </c>
      <c r="AD112" s="1589">
        <v>1332.99024461</v>
      </c>
      <c r="AE112" s="1589">
        <v>294.21958004000004</v>
      </c>
    </row>
    <row r="113" spans="1:31">
      <c r="A113" s="1588">
        <v>9</v>
      </c>
      <c r="B113" s="1589">
        <v>7022.1769642000008</v>
      </c>
      <c r="C113" s="1589">
        <v>1981.7773606900003</v>
      </c>
      <c r="D113" s="1589">
        <v>5040.3996035100008</v>
      </c>
      <c r="E113" s="1589">
        <v>6239.0849786300005</v>
      </c>
      <c r="F113" s="1589">
        <v>1926.5075668500003</v>
      </c>
      <c r="G113" s="1589">
        <v>4312.5774117800011</v>
      </c>
      <c r="H113" s="1589">
        <v>783.09198557000002</v>
      </c>
      <c r="I113" s="1589">
        <v>55.269793839999998</v>
      </c>
      <c r="J113" s="1589">
        <v>727.82219172999999</v>
      </c>
      <c r="K113" s="1589">
        <v>4883.3877578200008</v>
      </c>
      <c r="L113" s="1589">
        <v>1431.9714366400001</v>
      </c>
      <c r="M113" s="1589">
        <v>1397.8468438000002</v>
      </c>
      <c r="N113" s="1589">
        <v>34.124592839999998</v>
      </c>
      <c r="O113" s="1589">
        <v>3451.4163211800005</v>
      </c>
      <c r="P113" s="1589">
        <v>3010.7522470600006</v>
      </c>
      <c r="Q113" s="1589">
        <v>440.66407412000001</v>
      </c>
      <c r="R113" s="1589">
        <v>1858.0048523999997</v>
      </c>
      <c r="S113" s="1589">
        <v>685.5311386699999</v>
      </c>
      <c r="T113" s="1589">
        <v>672.59218239999996</v>
      </c>
      <c r="U113" s="1589">
        <v>12.93895627</v>
      </c>
      <c r="V113" s="1589">
        <v>1172.4737137299999</v>
      </c>
      <c r="W113" s="1589">
        <v>1011.82683718</v>
      </c>
      <c r="X113" s="1589">
        <v>160.64687655</v>
      </c>
      <c r="Y113" s="1589">
        <v>2138.7892063800005</v>
      </c>
      <c r="Z113" s="1589">
        <v>549.80592405000004</v>
      </c>
      <c r="AA113" s="1589">
        <v>528.66072305</v>
      </c>
      <c r="AB113" s="1589">
        <v>21.145201</v>
      </c>
      <c r="AC113" s="1589">
        <v>1588.9832823300003</v>
      </c>
      <c r="AD113" s="1589">
        <v>1301.8251647200002</v>
      </c>
      <c r="AE113" s="1589">
        <v>287.15811761000003</v>
      </c>
    </row>
    <row r="114" spans="1:31">
      <c r="A114" s="1588">
        <v>10</v>
      </c>
      <c r="B114" s="1589">
        <v>7280.1157314900011</v>
      </c>
      <c r="C114" s="1589">
        <v>2189.5560085300003</v>
      </c>
      <c r="D114" s="1589">
        <v>5090.5597229600007</v>
      </c>
      <c r="E114" s="1589">
        <v>6513.5456944600019</v>
      </c>
      <c r="F114" s="1589">
        <v>2134.6301832300005</v>
      </c>
      <c r="G114" s="1589">
        <v>4378.9155112300014</v>
      </c>
      <c r="H114" s="1589">
        <v>766.57003703000009</v>
      </c>
      <c r="I114" s="1589">
        <v>54.9258253</v>
      </c>
      <c r="J114" s="1589">
        <v>711.64421173000005</v>
      </c>
      <c r="K114" s="1589">
        <v>5131.3671718300011</v>
      </c>
      <c r="L114" s="1589">
        <v>1620.8822610200002</v>
      </c>
      <c r="M114" s="1589">
        <v>1587.3242971800003</v>
      </c>
      <c r="N114" s="1589">
        <v>33.557963839999999</v>
      </c>
      <c r="O114" s="1589">
        <v>3510.4849108100007</v>
      </c>
      <c r="P114" s="1589">
        <v>3072.4716386100008</v>
      </c>
      <c r="Q114" s="1589">
        <v>438.01327220000002</v>
      </c>
      <c r="R114" s="1589">
        <v>2019.8910460700001</v>
      </c>
      <c r="S114" s="1589">
        <v>730.23960569000008</v>
      </c>
      <c r="T114" s="1589">
        <v>717.13511556000003</v>
      </c>
      <c r="U114" s="1589">
        <v>13.104490130000002</v>
      </c>
      <c r="V114" s="1589">
        <v>1289.6514403799999</v>
      </c>
      <c r="W114" s="1589">
        <v>1134.3309391800001</v>
      </c>
      <c r="X114" s="1589">
        <v>155.32050120000002</v>
      </c>
      <c r="Y114" s="1589">
        <v>2148.7485596600004</v>
      </c>
      <c r="Z114" s="1589">
        <v>568.67374751</v>
      </c>
      <c r="AA114" s="1589">
        <v>547.30588605000003</v>
      </c>
      <c r="AB114" s="1589">
        <v>21.36786146</v>
      </c>
      <c r="AC114" s="1589">
        <v>1580.0748121500001</v>
      </c>
      <c r="AD114" s="1589">
        <v>1306.4438726200001</v>
      </c>
      <c r="AE114" s="1589">
        <v>273.63093953000003</v>
      </c>
    </row>
    <row r="115" spans="1:31">
      <c r="A115" s="1588">
        <v>11</v>
      </c>
      <c r="B115" s="1589">
        <v>7370.6137107699997</v>
      </c>
      <c r="C115" s="1589">
        <v>2285.4785869899997</v>
      </c>
      <c r="D115" s="1589">
        <v>5085.13512378</v>
      </c>
      <c r="E115" s="1589">
        <v>6608.0878869699991</v>
      </c>
      <c r="F115" s="1589">
        <v>2226.5753235699999</v>
      </c>
      <c r="G115" s="1589">
        <v>4381.5125633999996</v>
      </c>
      <c r="H115" s="1589">
        <v>762.52582380000001</v>
      </c>
      <c r="I115" s="1589">
        <v>58.903263420000002</v>
      </c>
      <c r="J115" s="1589">
        <v>703.6225603800001</v>
      </c>
      <c r="K115" s="1589">
        <v>5271.1649083900002</v>
      </c>
      <c r="L115" s="1589">
        <v>1696.05278918</v>
      </c>
      <c r="M115" s="1589">
        <v>1661.08392353</v>
      </c>
      <c r="N115" s="1589">
        <v>34.968865649999998</v>
      </c>
      <c r="O115" s="1589">
        <v>3575.1121192099999</v>
      </c>
      <c r="P115" s="1589">
        <v>3127.4061164899999</v>
      </c>
      <c r="Q115" s="1589">
        <v>447.70600272000001</v>
      </c>
      <c r="R115" s="1589">
        <v>2208.9247353199999</v>
      </c>
      <c r="S115" s="1589">
        <v>719.73873243000014</v>
      </c>
      <c r="T115" s="1589">
        <v>705.85328219000007</v>
      </c>
      <c r="U115" s="1589">
        <v>13.885450239999999</v>
      </c>
      <c r="V115" s="1589">
        <v>1489.1860028899998</v>
      </c>
      <c r="W115" s="1589">
        <v>1319.9254439699998</v>
      </c>
      <c r="X115" s="1589">
        <v>169.26055891999999</v>
      </c>
      <c r="Y115" s="1589">
        <v>2099.4488023800004</v>
      </c>
      <c r="Z115" s="1589">
        <v>589.42579780999995</v>
      </c>
      <c r="AA115" s="1589">
        <v>565.49140003999992</v>
      </c>
      <c r="AB115" s="1589">
        <v>23.93439777</v>
      </c>
      <c r="AC115" s="1589">
        <v>1510.02300457</v>
      </c>
      <c r="AD115" s="1589">
        <v>1254.1064469100002</v>
      </c>
      <c r="AE115" s="1589">
        <v>255.91655766000002</v>
      </c>
    </row>
    <row r="116" spans="1:31">
      <c r="A116" s="1588">
        <v>12</v>
      </c>
      <c r="B116" s="1589">
        <v>7561.1649168700005</v>
      </c>
      <c r="C116" s="1589">
        <v>2532.8996759900006</v>
      </c>
      <c r="D116" s="1589">
        <v>5028.2652408800004</v>
      </c>
      <c r="E116" s="1589">
        <v>6816.1689644099997</v>
      </c>
      <c r="F116" s="1589">
        <v>2470.9792299200003</v>
      </c>
      <c r="G116" s="1589">
        <v>4345.1897344899999</v>
      </c>
      <c r="H116" s="1589">
        <v>744.9959524599999</v>
      </c>
      <c r="I116" s="1589">
        <v>61.920446069999997</v>
      </c>
      <c r="J116" s="1589">
        <v>683.07550638999999</v>
      </c>
      <c r="K116" s="1589">
        <v>5531.6934448000011</v>
      </c>
      <c r="L116" s="1589">
        <v>1927.9416608600002</v>
      </c>
      <c r="M116" s="1589">
        <v>1891.0497697700002</v>
      </c>
      <c r="N116" s="1589">
        <v>36.891891090000001</v>
      </c>
      <c r="O116" s="1589">
        <v>3603.7517839400007</v>
      </c>
      <c r="P116" s="1589">
        <v>3168.4605873</v>
      </c>
      <c r="Q116" s="1589">
        <v>435.29119663999995</v>
      </c>
      <c r="R116" s="1589">
        <v>2360.0227070700003</v>
      </c>
      <c r="S116" s="1589">
        <v>833.84853344999999</v>
      </c>
      <c r="T116" s="1589">
        <v>819.24011239000004</v>
      </c>
      <c r="U116" s="1589">
        <v>14.60842106</v>
      </c>
      <c r="V116" s="1589">
        <v>1526.1741736200001</v>
      </c>
      <c r="W116" s="1589">
        <v>1365.0884557700003</v>
      </c>
      <c r="X116" s="1589">
        <v>161.08571784999998</v>
      </c>
      <c r="Y116" s="1589">
        <v>2029.4714720700001</v>
      </c>
      <c r="Z116" s="1589">
        <v>604.95801513000004</v>
      </c>
      <c r="AA116" s="1589">
        <v>579.92946015000007</v>
      </c>
      <c r="AB116" s="1589">
        <v>25.028554979999999</v>
      </c>
      <c r="AC116" s="1589">
        <v>1424.5134569400002</v>
      </c>
      <c r="AD116" s="1589">
        <v>1176.7291471900003</v>
      </c>
      <c r="AE116" s="1589">
        <v>247.78430975000001</v>
      </c>
    </row>
    <row r="117" spans="1:31">
      <c r="A117" s="1588">
        <v>2018</v>
      </c>
      <c r="B117" s="1589"/>
      <c r="C117" s="1589"/>
      <c r="D117" s="1589"/>
      <c r="E117" s="1589"/>
      <c r="F117" s="1589"/>
      <c r="G117" s="1589"/>
      <c r="H117" s="1589"/>
      <c r="I117" s="1589"/>
      <c r="J117" s="1589"/>
      <c r="K117" s="1589"/>
      <c r="L117" s="1589"/>
      <c r="M117" s="1589"/>
      <c r="N117" s="1589"/>
      <c r="O117" s="1589"/>
      <c r="P117" s="1589"/>
      <c r="Q117" s="1589"/>
      <c r="R117" s="1589"/>
      <c r="S117" s="1589"/>
      <c r="T117" s="1589"/>
      <c r="U117" s="1589"/>
      <c r="V117" s="1589"/>
      <c r="W117" s="1589"/>
      <c r="X117" s="1589"/>
      <c r="Y117" s="1589"/>
      <c r="Z117" s="1589"/>
      <c r="AA117" s="1589"/>
      <c r="AB117" s="1589"/>
      <c r="AC117" s="1589"/>
      <c r="AD117" s="1589"/>
      <c r="AE117" s="1589"/>
    </row>
    <row r="118" spans="1:31">
      <c r="A118" s="1588">
        <v>1</v>
      </c>
      <c r="B118" s="1589">
        <v>7497.0399853000008</v>
      </c>
      <c r="C118" s="1589">
        <v>2529.6472036099999</v>
      </c>
      <c r="D118" s="1589">
        <v>4967.3927816900004</v>
      </c>
      <c r="E118" s="1589">
        <v>6747.3187275700002</v>
      </c>
      <c r="F118" s="1589">
        <v>2462.2246009299997</v>
      </c>
      <c r="G118" s="1589">
        <v>4285.0941266400005</v>
      </c>
      <c r="H118" s="1589">
        <v>749.72125772999993</v>
      </c>
      <c r="I118" s="1589">
        <v>67.422602680000011</v>
      </c>
      <c r="J118" s="1589">
        <v>682.29865504999998</v>
      </c>
      <c r="K118" s="1589">
        <v>5486.4540007800006</v>
      </c>
      <c r="L118" s="1589">
        <v>1904.2743460899999</v>
      </c>
      <c r="M118" s="1589">
        <v>1863.4737974299999</v>
      </c>
      <c r="N118" s="1589">
        <v>40.800548659999997</v>
      </c>
      <c r="O118" s="1589">
        <v>3582.17965469</v>
      </c>
      <c r="P118" s="1589">
        <v>3145.26460507</v>
      </c>
      <c r="Q118" s="1589">
        <v>436.91504961999999</v>
      </c>
      <c r="R118" s="1589">
        <v>2255.6485757400001</v>
      </c>
      <c r="S118" s="1589">
        <v>741.69174687999998</v>
      </c>
      <c r="T118" s="1589">
        <v>726.48402321999993</v>
      </c>
      <c r="U118" s="1589">
        <v>15.207723659999999</v>
      </c>
      <c r="V118" s="1589">
        <v>1513.9568288600001</v>
      </c>
      <c r="W118" s="1589">
        <v>1351.4334216499999</v>
      </c>
      <c r="X118" s="1589">
        <v>162.52340721000002</v>
      </c>
      <c r="Y118" s="1589">
        <v>2010.58598452</v>
      </c>
      <c r="Z118" s="1589">
        <v>625.37285751999991</v>
      </c>
      <c r="AA118" s="1589">
        <v>598.75080349999996</v>
      </c>
      <c r="AB118" s="1589">
        <v>26.62205402</v>
      </c>
      <c r="AC118" s="1589">
        <v>1385.213127</v>
      </c>
      <c r="AD118" s="1589">
        <v>1139.82952157</v>
      </c>
      <c r="AE118" s="1589">
        <v>245.38360543000002</v>
      </c>
    </row>
    <row r="119" spans="1:31">
      <c r="A119" s="1588">
        <v>2</v>
      </c>
      <c r="B119" s="1589">
        <v>7750.3027705799996</v>
      </c>
      <c r="C119" s="1589">
        <v>2935.1854748699998</v>
      </c>
      <c r="D119" s="1589">
        <v>4815.1172957099989</v>
      </c>
      <c r="E119" s="1589">
        <v>7014.2037231299992</v>
      </c>
      <c r="F119" s="1589">
        <v>2863.91213814</v>
      </c>
      <c r="G119" s="1589">
        <v>4150.2915849899991</v>
      </c>
      <c r="H119" s="1589">
        <v>736.09904744999994</v>
      </c>
      <c r="I119" s="1589">
        <v>71.273336729999997</v>
      </c>
      <c r="J119" s="1589">
        <v>664.82571071999996</v>
      </c>
      <c r="K119" s="1589">
        <v>5817.1273901699988</v>
      </c>
      <c r="L119" s="1589">
        <v>2288.0093067699995</v>
      </c>
      <c r="M119" s="1589">
        <v>2242.6476549199997</v>
      </c>
      <c r="N119" s="1589">
        <v>45.361651850000001</v>
      </c>
      <c r="O119" s="1589">
        <v>3529.1180833999993</v>
      </c>
      <c r="P119" s="1589">
        <v>3103.3396229699993</v>
      </c>
      <c r="Q119" s="1589">
        <v>425.77846043</v>
      </c>
      <c r="R119" s="1589">
        <v>2472.1859276200003</v>
      </c>
      <c r="S119" s="1589">
        <v>993.99246617000006</v>
      </c>
      <c r="T119" s="1589">
        <v>976.46430667000004</v>
      </c>
      <c r="U119" s="1589">
        <v>17.528159500000001</v>
      </c>
      <c r="V119" s="1589">
        <v>1478.1934614500001</v>
      </c>
      <c r="W119" s="1589">
        <v>1329.5898635999999</v>
      </c>
      <c r="X119" s="1589">
        <v>148.60359785</v>
      </c>
      <c r="Y119" s="1589">
        <v>1933.1753804099997</v>
      </c>
      <c r="Z119" s="1589">
        <v>647.17616810000004</v>
      </c>
      <c r="AA119" s="1589">
        <v>621.2644832200001</v>
      </c>
      <c r="AB119" s="1589">
        <v>25.911684879999999</v>
      </c>
      <c r="AC119" s="1589">
        <v>1285.9992123099998</v>
      </c>
      <c r="AD119" s="1589">
        <v>1046.9519620199999</v>
      </c>
      <c r="AE119" s="1589">
        <v>239.04725028999999</v>
      </c>
    </row>
    <row r="120" spans="1:31">
      <c r="A120" s="1588">
        <v>3</v>
      </c>
      <c r="B120" s="1589">
        <v>7657.1926146200003</v>
      </c>
      <c r="C120" s="1589">
        <v>2751.0534185800002</v>
      </c>
      <c r="D120" s="1589">
        <v>4906.1391960399997</v>
      </c>
      <c r="E120" s="1589">
        <v>6906.2533413499996</v>
      </c>
      <c r="F120" s="1589">
        <v>2652.8160331600002</v>
      </c>
      <c r="G120" s="1589">
        <v>4253.4373081899994</v>
      </c>
      <c r="H120" s="1589">
        <v>750.93927327000006</v>
      </c>
      <c r="I120" s="1589">
        <v>98.237385419999981</v>
      </c>
      <c r="J120" s="1589">
        <v>652.70188785000005</v>
      </c>
      <c r="K120" s="1589">
        <v>5651.9093129399998</v>
      </c>
      <c r="L120" s="1589">
        <v>2084.19498303</v>
      </c>
      <c r="M120" s="1589">
        <v>2013.53215045</v>
      </c>
      <c r="N120" s="1589">
        <v>70.662832579999986</v>
      </c>
      <c r="O120" s="1589">
        <v>3567.7143299099998</v>
      </c>
      <c r="P120" s="1589">
        <v>3151.9051646200001</v>
      </c>
      <c r="Q120" s="1589">
        <v>415.80916529000001</v>
      </c>
      <c r="R120" s="1589">
        <v>2306.7785542799998</v>
      </c>
      <c r="S120" s="1589">
        <v>777.43081287000007</v>
      </c>
      <c r="T120" s="1589">
        <v>736.09329121999997</v>
      </c>
      <c r="U120" s="1589">
        <v>41.337521649999992</v>
      </c>
      <c r="V120" s="1589">
        <v>1529.3477414099998</v>
      </c>
      <c r="W120" s="1589">
        <v>1391.2109921699998</v>
      </c>
      <c r="X120" s="1589">
        <v>138.13674924000003</v>
      </c>
      <c r="Y120" s="1589">
        <v>2005.28330168</v>
      </c>
      <c r="Z120" s="1589">
        <v>666.85843555000008</v>
      </c>
      <c r="AA120" s="1589">
        <v>639.28388271000006</v>
      </c>
      <c r="AB120" s="1589">
        <v>27.574552839999999</v>
      </c>
      <c r="AC120" s="1589">
        <v>1338.4248661300001</v>
      </c>
      <c r="AD120" s="1589">
        <v>1101.5321435699998</v>
      </c>
      <c r="AE120" s="1589">
        <v>236.89272256000001</v>
      </c>
    </row>
    <row r="121" spans="1:31">
      <c r="A121" s="1588">
        <v>4</v>
      </c>
      <c r="B121" s="1589">
        <v>7881.3586957200005</v>
      </c>
      <c r="C121" s="1589">
        <v>2887.83330518</v>
      </c>
      <c r="D121" s="1589">
        <v>4993.5253905400004</v>
      </c>
      <c r="E121" s="1589">
        <v>7155.1260668399991</v>
      </c>
      <c r="F121" s="1589">
        <v>2813.9098562099998</v>
      </c>
      <c r="G121" s="1589">
        <v>4341.2162106299993</v>
      </c>
      <c r="H121" s="1589">
        <v>726.23262888000011</v>
      </c>
      <c r="I121" s="1589">
        <v>73.923448969999995</v>
      </c>
      <c r="J121" s="1589">
        <v>652.30917991000001</v>
      </c>
      <c r="K121" s="1589">
        <v>5801.143322240001</v>
      </c>
      <c r="L121" s="1589">
        <v>2205.6636959899997</v>
      </c>
      <c r="M121" s="1589">
        <v>2161.3763665399997</v>
      </c>
      <c r="N121" s="1589">
        <v>44.287329450000001</v>
      </c>
      <c r="O121" s="1589">
        <v>3595.4796262500004</v>
      </c>
      <c r="P121" s="1589">
        <v>3174.7776455000003</v>
      </c>
      <c r="Q121" s="1589">
        <v>420.70198075000002</v>
      </c>
      <c r="R121" s="1589">
        <v>2452.2098031</v>
      </c>
      <c r="S121" s="1589">
        <v>885.43564898999989</v>
      </c>
      <c r="T121" s="1589">
        <v>871.48363013999995</v>
      </c>
      <c r="U121" s="1589">
        <v>13.95201885</v>
      </c>
      <c r="V121" s="1589">
        <v>1566.7741541099999</v>
      </c>
      <c r="W121" s="1589">
        <v>1413.54359791</v>
      </c>
      <c r="X121" s="1589">
        <v>153.2305562</v>
      </c>
      <c r="Y121" s="1589">
        <v>2080.2153734799999</v>
      </c>
      <c r="Z121" s="1589">
        <v>682.16960919000007</v>
      </c>
      <c r="AA121" s="1589">
        <v>652.53348967000011</v>
      </c>
      <c r="AB121" s="1589">
        <v>29.636119519999998</v>
      </c>
      <c r="AC121" s="1589">
        <v>1398.0457642900001</v>
      </c>
      <c r="AD121" s="1589">
        <v>1166.4385651299999</v>
      </c>
      <c r="AE121" s="1589">
        <v>231.60719916000002</v>
      </c>
    </row>
    <row r="122" spans="1:31">
      <c r="A122" s="1588">
        <v>5</v>
      </c>
      <c r="B122" s="1589">
        <v>7867.4841927100006</v>
      </c>
      <c r="C122" s="1589">
        <v>2919.1610511200001</v>
      </c>
      <c r="D122" s="1589">
        <v>4948.3231415900009</v>
      </c>
      <c r="E122" s="1589">
        <v>7131.9914783800004</v>
      </c>
      <c r="F122" s="1589">
        <v>2841.2712078599998</v>
      </c>
      <c r="G122" s="1589">
        <v>4290.7202705199998</v>
      </c>
      <c r="H122" s="1589">
        <v>735.49271433000001</v>
      </c>
      <c r="I122" s="1589">
        <v>77.889843259999992</v>
      </c>
      <c r="J122" s="1589">
        <v>657.60287106999999</v>
      </c>
      <c r="K122" s="1589">
        <v>5746.0538149900012</v>
      </c>
      <c r="L122" s="1589">
        <v>2210.13287231</v>
      </c>
      <c r="M122" s="1589">
        <v>2158.7737180700001</v>
      </c>
      <c r="N122" s="1589">
        <v>51.359154239999995</v>
      </c>
      <c r="O122" s="1589">
        <v>3535.9209426800007</v>
      </c>
      <c r="P122" s="1589">
        <v>3109.3209601500007</v>
      </c>
      <c r="Q122" s="1589">
        <v>426.59998253000003</v>
      </c>
      <c r="R122" s="1589">
        <v>2301.4850805999999</v>
      </c>
      <c r="S122" s="1589">
        <v>822.95172704000015</v>
      </c>
      <c r="T122" s="1589">
        <v>803.1785452900001</v>
      </c>
      <c r="U122" s="1589">
        <v>19.773181749999999</v>
      </c>
      <c r="V122" s="1589">
        <v>1478.53335356</v>
      </c>
      <c r="W122" s="1589">
        <v>1314.8033323699999</v>
      </c>
      <c r="X122" s="1589">
        <v>163.73002119</v>
      </c>
      <c r="Y122" s="1589">
        <v>2121.4303777200003</v>
      </c>
      <c r="Z122" s="1589">
        <v>709.02817880999999</v>
      </c>
      <c r="AA122" s="1589">
        <v>682.49748978999992</v>
      </c>
      <c r="AB122" s="1589">
        <v>26.530689020000001</v>
      </c>
      <c r="AC122" s="1589">
        <v>1412.4021989099999</v>
      </c>
      <c r="AD122" s="1589">
        <v>1181.39931037</v>
      </c>
      <c r="AE122" s="1589">
        <v>231.00288854000001</v>
      </c>
    </row>
    <row r="123" spans="1:31">
      <c r="A123" s="1588">
        <v>6</v>
      </c>
      <c r="B123" s="1589">
        <v>8109.3167944799998</v>
      </c>
      <c r="C123" s="1589">
        <v>3048.74734674</v>
      </c>
      <c r="D123" s="1589">
        <v>5060.5694477399993</v>
      </c>
      <c r="E123" s="1589">
        <v>7378.9881100100019</v>
      </c>
      <c r="F123" s="1589">
        <v>2969.0324319400002</v>
      </c>
      <c r="G123" s="1589">
        <v>4409.9556780700013</v>
      </c>
      <c r="H123" s="1589">
        <v>730.3286844700001</v>
      </c>
      <c r="I123" s="1589">
        <v>79.714914800000003</v>
      </c>
      <c r="J123" s="1589">
        <v>650.61376967000001</v>
      </c>
      <c r="K123" s="1589">
        <v>5533.6278241199998</v>
      </c>
      <c r="L123" s="1589">
        <v>1978.5591570100003</v>
      </c>
      <c r="M123" s="1589">
        <v>1936.6991054900002</v>
      </c>
      <c r="N123" s="1589">
        <v>41.860051519999999</v>
      </c>
      <c r="O123" s="1589">
        <v>3555.0686671099998</v>
      </c>
      <c r="P123" s="1589">
        <v>3136.59241952</v>
      </c>
      <c r="Q123" s="1589">
        <v>418.47624759000007</v>
      </c>
      <c r="R123" s="1589">
        <v>2398.1602705</v>
      </c>
      <c r="S123" s="1589">
        <v>917.95489522000003</v>
      </c>
      <c r="T123" s="1589">
        <v>902.81722892000005</v>
      </c>
      <c r="U123" s="1589">
        <v>15.137666299999998</v>
      </c>
      <c r="V123" s="1589">
        <v>1480.20537528</v>
      </c>
      <c r="W123" s="1589">
        <v>1318.4304832900002</v>
      </c>
      <c r="X123" s="1589">
        <v>161.77489198999999</v>
      </c>
      <c r="Y123" s="1589">
        <v>2575.6889703599995</v>
      </c>
      <c r="Z123" s="1589">
        <v>1070.18818973</v>
      </c>
      <c r="AA123" s="1589">
        <v>1032.33332645</v>
      </c>
      <c r="AB123" s="1589">
        <v>37.854863280000004</v>
      </c>
      <c r="AC123" s="1589">
        <v>1505.50078063</v>
      </c>
      <c r="AD123" s="1589">
        <v>1273.36325855</v>
      </c>
      <c r="AE123" s="1589">
        <v>232.13752208</v>
      </c>
    </row>
    <row r="124" spans="1:31">
      <c r="A124" s="1588">
        <v>7</v>
      </c>
      <c r="B124" s="1589">
        <v>8049.5306197800001</v>
      </c>
      <c r="C124" s="1589">
        <v>3033.9279491900002</v>
      </c>
      <c r="D124" s="1589">
        <v>5015.6026705900003</v>
      </c>
      <c r="E124" s="1589">
        <v>7334.703613489999</v>
      </c>
      <c r="F124" s="1589">
        <v>2952.1859868500001</v>
      </c>
      <c r="G124" s="1589">
        <v>4382.5176266399994</v>
      </c>
      <c r="H124" s="1589">
        <v>714.82700628999999</v>
      </c>
      <c r="I124" s="1589">
        <v>81.741962340000001</v>
      </c>
      <c r="J124" s="1589">
        <v>633.08504395</v>
      </c>
      <c r="K124" s="1589">
        <v>5507.4194654400007</v>
      </c>
      <c r="L124" s="1589">
        <v>1969.8867920600003</v>
      </c>
      <c r="M124" s="1589">
        <v>1925.7940569700002</v>
      </c>
      <c r="N124" s="1589">
        <v>44.092735089999998</v>
      </c>
      <c r="O124" s="1589">
        <v>3537.5326733800002</v>
      </c>
      <c r="P124" s="1589">
        <v>3131.1249291300001</v>
      </c>
      <c r="Q124" s="1589">
        <v>406.40774425000006</v>
      </c>
      <c r="R124" s="1589">
        <v>2353.5648591600007</v>
      </c>
      <c r="S124" s="1589">
        <v>876.91558681000004</v>
      </c>
      <c r="T124" s="1589">
        <v>860.87594050999996</v>
      </c>
      <c r="U124" s="1589">
        <v>16.039646300000001</v>
      </c>
      <c r="V124" s="1589">
        <v>1476.6492723500003</v>
      </c>
      <c r="W124" s="1589">
        <v>1328.4897727300004</v>
      </c>
      <c r="X124" s="1589">
        <v>148.15949962000002</v>
      </c>
      <c r="Y124" s="1589">
        <v>2542.1111543399998</v>
      </c>
      <c r="Z124" s="1589">
        <v>1064.0411571299999</v>
      </c>
      <c r="AA124" s="1589">
        <v>1026.3919298799999</v>
      </c>
      <c r="AB124" s="1589">
        <v>37.649227250000003</v>
      </c>
      <c r="AC124" s="1589">
        <v>1478.0699972100001</v>
      </c>
      <c r="AD124" s="1589">
        <v>1251.3926975100001</v>
      </c>
      <c r="AE124" s="1589">
        <v>226.67729969999999</v>
      </c>
    </row>
    <row r="125" spans="1:31">
      <c r="A125" s="1588">
        <v>8</v>
      </c>
      <c r="B125" s="1589">
        <v>8020.7721544300002</v>
      </c>
      <c r="C125" s="1589">
        <v>2966.8284411099999</v>
      </c>
      <c r="D125" s="1589">
        <v>5053.9437133199999</v>
      </c>
      <c r="E125" s="1589">
        <v>7308.7455212200002</v>
      </c>
      <c r="F125" s="1589">
        <v>2886.1159376300002</v>
      </c>
      <c r="G125" s="1589">
        <v>4422.6295835900009</v>
      </c>
      <c r="H125" s="1589">
        <v>712.02663321000011</v>
      </c>
      <c r="I125" s="1589">
        <v>80.712503480000009</v>
      </c>
      <c r="J125" s="1589">
        <v>631.31412972999999</v>
      </c>
      <c r="K125" s="1589">
        <v>5520.0750391000001</v>
      </c>
      <c r="L125" s="1589">
        <v>1906.27775144</v>
      </c>
      <c r="M125" s="1589">
        <v>1863.2352920200001</v>
      </c>
      <c r="N125" s="1589">
        <v>43.042459420000007</v>
      </c>
      <c r="O125" s="1589">
        <v>3613.7972876599997</v>
      </c>
      <c r="P125" s="1589">
        <v>3173.73009129</v>
      </c>
      <c r="Q125" s="1589">
        <v>440.06719637000003</v>
      </c>
      <c r="R125" s="1589">
        <v>2312.16482335</v>
      </c>
      <c r="S125" s="1589">
        <v>827.40744354000014</v>
      </c>
      <c r="T125" s="1589">
        <v>811.63838787000009</v>
      </c>
      <c r="U125" s="1589">
        <v>15.76905567</v>
      </c>
      <c r="V125" s="1589">
        <v>1484.7573798099997</v>
      </c>
      <c r="W125" s="1589">
        <v>1336.0791182799999</v>
      </c>
      <c r="X125" s="1589">
        <v>148.67826153000004</v>
      </c>
      <c r="Y125" s="1589">
        <v>2500.6971153300005</v>
      </c>
      <c r="Z125" s="1589">
        <v>1060.5506896700003</v>
      </c>
      <c r="AA125" s="1589">
        <v>1022.8806456100001</v>
      </c>
      <c r="AB125" s="1589">
        <v>37.670044060000002</v>
      </c>
      <c r="AC125" s="1589">
        <v>1440.14642566</v>
      </c>
      <c r="AD125" s="1589">
        <v>1248.8994923</v>
      </c>
      <c r="AE125" s="1589">
        <v>191.24693335999999</v>
      </c>
    </row>
    <row r="126" spans="1:31">
      <c r="A126" s="1588">
        <v>9</v>
      </c>
      <c r="B126" s="1589">
        <v>8199.1276429999998</v>
      </c>
      <c r="C126" s="1589">
        <v>3070.2410098999999</v>
      </c>
      <c r="D126" s="1589">
        <v>5128.886633099999</v>
      </c>
      <c r="E126" s="1589">
        <v>7363.4770324400006</v>
      </c>
      <c r="F126" s="1589">
        <v>2934.0627576400007</v>
      </c>
      <c r="G126" s="1589">
        <v>4429.4142747999995</v>
      </c>
      <c r="H126" s="1589">
        <v>835.6506105599999</v>
      </c>
      <c r="I126" s="1589">
        <v>136.17825226000002</v>
      </c>
      <c r="J126" s="1589">
        <v>699.4723583</v>
      </c>
      <c r="K126" s="1589">
        <v>5752.3377746799997</v>
      </c>
      <c r="L126" s="1589">
        <v>2052.2929290500001</v>
      </c>
      <c r="M126" s="1589">
        <v>1953.9680083400001</v>
      </c>
      <c r="N126" s="1589">
        <v>98.324920710000015</v>
      </c>
      <c r="O126" s="1589">
        <v>3700.0448456300001</v>
      </c>
      <c r="P126" s="1589">
        <v>3190.16330324</v>
      </c>
      <c r="Q126" s="1589">
        <v>509.88154238999999</v>
      </c>
      <c r="R126" s="1589">
        <v>2631.8904663099997</v>
      </c>
      <c r="S126" s="1589">
        <v>976.05798141000002</v>
      </c>
      <c r="T126" s="1589">
        <v>904.95493590000001</v>
      </c>
      <c r="U126" s="1589">
        <v>71.103045510000015</v>
      </c>
      <c r="V126" s="1589">
        <v>1655.8324848999996</v>
      </c>
      <c r="W126" s="1589">
        <v>1437.0148793899996</v>
      </c>
      <c r="X126" s="1589">
        <v>218.81760550999999</v>
      </c>
      <c r="Y126" s="1589">
        <v>2446.7898683200001</v>
      </c>
      <c r="Z126" s="1589">
        <v>1017.94808085</v>
      </c>
      <c r="AA126" s="1589">
        <v>980.09474929999999</v>
      </c>
      <c r="AB126" s="1589">
        <v>37.853331549999993</v>
      </c>
      <c r="AC126" s="1589">
        <v>1428.8417874699999</v>
      </c>
      <c r="AD126" s="1589">
        <v>1239.2509715599997</v>
      </c>
      <c r="AE126" s="1589">
        <v>189.59081591</v>
      </c>
    </row>
    <row r="127" spans="1:31">
      <c r="A127" s="1588">
        <v>10</v>
      </c>
      <c r="B127" s="1589">
        <v>8140.0415015399994</v>
      </c>
      <c r="C127" s="1589">
        <v>2968.14229703</v>
      </c>
      <c r="D127" s="1589">
        <v>5171.8992045099994</v>
      </c>
      <c r="E127" s="1589">
        <v>7295.4615516300009</v>
      </c>
      <c r="F127" s="1589">
        <v>2881.2760688399999</v>
      </c>
      <c r="G127" s="1589">
        <v>4414.1854827900006</v>
      </c>
      <c r="H127" s="1589">
        <v>844.57994990999998</v>
      </c>
      <c r="I127" s="1589">
        <v>86.866228190000001</v>
      </c>
      <c r="J127" s="1589">
        <v>757.71372171999997</v>
      </c>
      <c r="K127" s="1589">
        <v>5721.9515949200004</v>
      </c>
      <c r="L127" s="1589">
        <v>1951.7647698899998</v>
      </c>
      <c r="M127" s="1589">
        <v>1900.9030647399998</v>
      </c>
      <c r="N127" s="1589">
        <v>50.861705150000006</v>
      </c>
      <c r="O127" s="1589">
        <v>3770.1868250299999</v>
      </c>
      <c r="P127" s="1589">
        <v>3198.3940290800001</v>
      </c>
      <c r="Q127" s="1589">
        <v>571.79279594999991</v>
      </c>
      <c r="R127" s="1589">
        <v>2581.96560731</v>
      </c>
      <c r="S127" s="1589">
        <v>893.81149075000008</v>
      </c>
      <c r="T127" s="1589">
        <v>875.5844056200001</v>
      </c>
      <c r="U127" s="1589">
        <v>18.227085130000003</v>
      </c>
      <c r="V127" s="1589">
        <v>1688.1541165599999</v>
      </c>
      <c r="W127" s="1589">
        <v>1407.12624925</v>
      </c>
      <c r="X127" s="1589">
        <v>281.02786730999998</v>
      </c>
      <c r="Y127" s="1589">
        <v>2418.08990662</v>
      </c>
      <c r="Z127" s="1589">
        <v>1016.37752714</v>
      </c>
      <c r="AA127" s="1589">
        <v>980.3730041</v>
      </c>
      <c r="AB127" s="1589">
        <v>36.004523039999995</v>
      </c>
      <c r="AC127" s="1589">
        <v>1401.71237948</v>
      </c>
      <c r="AD127" s="1589">
        <v>1215.7914537099998</v>
      </c>
      <c r="AE127" s="1589">
        <v>185.92092577</v>
      </c>
    </row>
    <row r="128" spans="1:31">
      <c r="A128" s="1588">
        <v>11</v>
      </c>
      <c r="B128" s="1589">
        <v>8073.4974073799985</v>
      </c>
      <c r="C128" s="1589">
        <v>3022.3978956699993</v>
      </c>
      <c r="D128" s="1589">
        <v>5051.0995117099992</v>
      </c>
      <c r="E128" s="1589">
        <v>7313.4535235699996</v>
      </c>
      <c r="F128" s="1589">
        <v>2924.0024755599998</v>
      </c>
      <c r="G128" s="1589">
        <v>4389.4510480099989</v>
      </c>
      <c r="H128" s="1589">
        <v>760.04388381000001</v>
      </c>
      <c r="I128" s="1589">
        <v>98.395420110000003</v>
      </c>
      <c r="J128" s="1589">
        <v>661.64846370000009</v>
      </c>
      <c r="K128" s="1589">
        <v>5704.0945709799989</v>
      </c>
      <c r="L128" s="1589">
        <v>2001.3455705899996</v>
      </c>
      <c r="M128" s="1589">
        <v>1947.0342872199997</v>
      </c>
      <c r="N128" s="1589">
        <v>54.311283369999998</v>
      </c>
      <c r="O128" s="1589">
        <v>3702.7490003899993</v>
      </c>
      <c r="P128" s="1589">
        <v>3219.9523325799992</v>
      </c>
      <c r="Q128" s="1589">
        <v>482.79666781000003</v>
      </c>
      <c r="R128" s="1589">
        <v>2600.3699331199996</v>
      </c>
      <c r="S128" s="1589">
        <v>923.0870461799999</v>
      </c>
      <c r="T128" s="1589">
        <v>905.4018741299999</v>
      </c>
      <c r="U128" s="1589">
        <v>17.685172050000002</v>
      </c>
      <c r="V128" s="1589">
        <v>1677.2828869399998</v>
      </c>
      <c r="W128" s="1589">
        <v>1484.9987250199997</v>
      </c>
      <c r="X128" s="1589">
        <v>192.28416192</v>
      </c>
      <c r="Y128" s="1589">
        <v>2369.4028364000001</v>
      </c>
      <c r="Z128" s="1589">
        <v>1021.0523250799999</v>
      </c>
      <c r="AA128" s="1589">
        <v>976.96818833999998</v>
      </c>
      <c r="AB128" s="1589">
        <v>44.084136740000005</v>
      </c>
      <c r="AC128" s="1589">
        <v>1348.3505113200001</v>
      </c>
      <c r="AD128" s="1589">
        <v>1169.4987154300002</v>
      </c>
      <c r="AE128" s="1589">
        <v>178.85179589000001</v>
      </c>
    </row>
    <row r="129" spans="1:31">
      <c r="A129" s="1588">
        <v>12</v>
      </c>
      <c r="B129" s="1589">
        <v>8375.3809737499996</v>
      </c>
      <c r="C129" s="1589">
        <v>3142.2231517000005</v>
      </c>
      <c r="D129" s="1589">
        <v>5233.1578220499996</v>
      </c>
      <c r="E129" s="1589">
        <v>7611.5719711900001</v>
      </c>
      <c r="F129" s="1589">
        <v>3038.9146249300002</v>
      </c>
      <c r="G129" s="1589">
        <v>4572.6573462599999</v>
      </c>
      <c r="H129" s="1589">
        <v>763.80900256000007</v>
      </c>
      <c r="I129" s="1589">
        <v>103.30852676999999</v>
      </c>
      <c r="J129" s="1589">
        <v>660.50047579000011</v>
      </c>
      <c r="K129" s="1589">
        <v>6007.6955438299992</v>
      </c>
      <c r="L129" s="1589">
        <v>2109.37244186</v>
      </c>
      <c r="M129" s="1589">
        <v>2051.67298979</v>
      </c>
      <c r="N129" s="1589">
        <v>57.699452069999985</v>
      </c>
      <c r="O129" s="1589">
        <v>3898.3231019700002</v>
      </c>
      <c r="P129" s="1589">
        <v>3418.2589523399997</v>
      </c>
      <c r="Q129" s="1589">
        <v>480.06414963000003</v>
      </c>
      <c r="R129" s="1589">
        <v>2793.49047956</v>
      </c>
      <c r="S129" s="1589">
        <v>1042.0562517200001</v>
      </c>
      <c r="T129" s="1589">
        <v>1021.1814805600001</v>
      </c>
      <c r="U129" s="1589">
        <v>20.874771159999995</v>
      </c>
      <c r="V129" s="1589">
        <v>1751.4342278399997</v>
      </c>
      <c r="W129" s="1589">
        <v>1560.1352513399997</v>
      </c>
      <c r="X129" s="1589">
        <v>191.29897650000001</v>
      </c>
      <c r="Y129" s="1589">
        <v>2367.6854299199999</v>
      </c>
      <c r="Z129" s="1589">
        <v>1032.85070984</v>
      </c>
      <c r="AA129" s="1589">
        <v>987.24163513999997</v>
      </c>
      <c r="AB129" s="1589">
        <v>45.609074700000008</v>
      </c>
      <c r="AC129" s="1589">
        <v>1334.8347200799999</v>
      </c>
      <c r="AD129" s="1589">
        <v>1154.39839392</v>
      </c>
      <c r="AE129" s="1589">
        <v>180.43632616000002</v>
      </c>
    </row>
    <row r="130" spans="1:31">
      <c r="A130" s="1588">
        <v>2019</v>
      </c>
      <c r="B130" s="1589"/>
      <c r="C130" s="1589"/>
      <c r="D130" s="1589"/>
      <c r="E130" s="1589"/>
      <c r="F130" s="1589"/>
      <c r="G130" s="1589"/>
      <c r="H130" s="1589"/>
      <c r="I130" s="1589"/>
      <c r="J130" s="1589"/>
      <c r="K130" s="1589"/>
      <c r="L130" s="1589"/>
      <c r="M130" s="1589"/>
      <c r="N130" s="1589"/>
      <c r="O130" s="1589"/>
      <c r="P130" s="1589"/>
      <c r="Q130" s="1589"/>
      <c r="R130" s="1589"/>
      <c r="S130" s="1589"/>
      <c r="T130" s="1589"/>
      <c r="U130" s="1589"/>
      <c r="V130" s="1589"/>
      <c r="W130" s="1589"/>
      <c r="X130" s="1589"/>
      <c r="Y130" s="1589"/>
      <c r="Z130" s="1589"/>
      <c r="AA130" s="1589"/>
      <c r="AB130" s="1589"/>
      <c r="AC130" s="1589"/>
      <c r="AD130" s="1589"/>
      <c r="AE130" s="1589"/>
    </row>
    <row r="131" spans="1:31">
      <c r="A131" s="1588">
        <v>1</v>
      </c>
      <c r="B131" s="1589">
        <v>8075.9421830599995</v>
      </c>
      <c r="C131" s="1589">
        <v>3028.0286833999999</v>
      </c>
      <c r="D131" s="1589">
        <v>5047.9134996600005</v>
      </c>
      <c r="E131" s="1589">
        <v>7290.7329817099999</v>
      </c>
      <c r="F131" s="1589">
        <v>2927.1319528699996</v>
      </c>
      <c r="G131" s="1589">
        <v>4363.6010288400003</v>
      </c>
      <c r="H131" s="1589">
        <v>785.20920135000006</v>
      </c>
      <c r="I131" s="1589">
        <v>100.89673053000001</v>
      </c>
      <c r="J131" s="1589">
        <v>684.31247082000004</v>
      </c>
      <c r="K131" s="1589">
        <v>5736.0068931800006</v>
      </c>
      <c r="L131" s="1589">
        <v>1991.9083041600002</v>
      </c>
      <c r="M131" s="1589">
        <v>1936.1132291399999</v>
      </c>
      <c r="N131" s="1589">
        <v>55.795075020000006</v>
      </c>
      <c r="O131" s="1589">
        <v>3744.0985890200004</v>
      </c>
      <c r="P131" s="1589">
        <v>3236.8308564900003</v>
      </c>
      <c r="Q131" s="1589">
        <v>507.26773253000005</v>
      </c>
      <c r="R131" s="1589">
        <v>2553.6951124500001</v>
      </c>
      <c r="S131" s="1589">
        <v>902.81743503999996</v>
      </c>
      <c r="T131" s="1589">
        <v>884.96083039999996</v>
      </c>
      <c r="U131" s="1589">
        <v>17.85660464</v>
      </c>
      <c r="V131" s="1589">
        <v>1650.8776774099999</v>
      </c>
      <c r="W131" s="1589">
        <v>1445.64834774</v>
      </c>
      <c r="X131" s="1589">
        <v>205.22932967000006</v>
      </c>
      <c r="Y131" s="1589">
        <v>2339.9352898800003</v>
      </c>
      <c r="Z131" s="1589">
        <v>1036.1203792399999</v>
      </c>
      <c r="AA131" s="1589">
        <v>991.01872372999992</v>
      </c>
      <c r="AB131" s="1589">
        <v>45.101655509999993</v>
      </c>
      <c r="AC131" s="1589">
        <v>1303.8149106399999</v>
      </c>
      <c r="AD131" s="1589">
        <v>1126.7701723499999</v>
      </c>
      <c r="AE131" s="1589">
        <v>177.04473829</v>
      </c>
    </row>
    <row r="132" spans="1:31">
      <c r="A132" s="1588">
        <v>2</v>
      </c>
      <c r="B132" s="1589">
        <v>8214.0440353800004</v>
      </c>
      <c r="C132" s="1589">
        <v>3331.5149843699996</v>
      </c>
      <c r="D132" s="1589">
        <v>4882.5290510100003</v>
      </c>
      <c r="E132" s="1589">
        <v>7586.9529529600004</v>
      </c>
      <c r="F132" s="1589">
        <v>3228.8009155</v>
      </c>
      <c r="G132" s="1589">
        <v>4358.1520374600004</v>
      </c>
      <c r="H132" s="1589">
        <v>627.09108242000002</v>
      </c>
      <c r="I132" s="1589">
        <v>102.71406887000001</v>
      </c>
      <c r="J132" s="1589">
        <v>524.37701355000002</v>
      </c>
      <c r="K132" s="1589">
        <v>6056.0489390700004</v>
      </c>
      <c r="L132" s="1589">
        <v>2280.8901818599998</v>
      </c>
      <c r="M132" s="1589">
        <v>2223.8271000199998</v>
      </c>
      <c r="N132" s="1589">
        <v>57.063081840000002</v>
      </c>
      <c r="O132" s="1589">
        <v>3775.1587572100002</v>
      </c>
      <c r="P132" s="1589">
        <v>3307.7187213800003</v>
      </c>
      <c r="Q132" s="1589">
        <v>467.44003583000006</v>
      </c>
      <c r="R132" s="1589">
        <v>2861.58556082</v>
      </c>
      <c r="S132" s="1589">
        <v>1164.92700747</v>
      </c>
      <c r="T132" s="1589">
        <v>1144.4764041600001</v>
      </c>
      <c r="U132" s="1589">
        <v>20.450603309999998</v>
      </c>
      <c r="V132" s="1589">
        <v>1696.6585533500001</v>
      </c>
      <c r="W132" s="1589">
        <v>1495.1039470800001</v>
      </c>
      <c r="X132" s="1589">
        <v>201.55460626999999</v>
      </c>
      <c r="Y132" s="1589">
        <v>2157.99509631</v>
      </c>
      <c r="Z132" s="1589">
        <v>1050.6248025099999</v>
      </c>
      <c r="AA132" s="1589">
        <v>1004.97381548</v>
      </c>
      <c r="AB132" s="1589">
        <v>45.650987030000003</v>
      </c>
      <c r="AC132" s="1589">
        <v>1107.3702937999999</v>
      </c>
      <c r="AD132" s="1589">
        <v>1050.4333160799999</v>
      </c>
      <c r="AE132" s="1589">
        <v>56.936977720000002</v>
      </c>
    </row>
    <row r="133" spans="1:31">
      <c r="A133" s="1588">
        <v>3</v>
      </c>
      <c r="B133" s="1589">
        <v>8339.0993364299993</v>
      </c>
      <c r="C133" s="1589">
        <v>3297.3908343199992</v>
      </c>
      <c r="D133" s="1589">
        <v>5041.7085021100002</v>
      </c>
      <c r="E133" s="1589">
        <v>7732.3840459799994</v>
      </c>
      <c r="F133" s="1589">
        <v>3192.7614520899997</v>
      </c>
      <c r="G133" s="1589">
        <v>4539.6225938899997</v>
      </c>
      <c r="H133" s="1589">
        <v>606.71529045</v>
      </c>
      <c r="I133" s="1589">
        <v>104.62938223</v>
      </c>
      <c r="J133" s="1589">
        <v>502.08590822000002</v>
      </c>
      <c r="K133" s="1589">
        <v>6180.1522621099994</v>
      </c>
      <c r="L133" s="1589">
        <v>2235.5182789499995</v>
      </c>
      <c r="M133" s="1589">
        <v>2177.3162629999997</v>
      </c>
      <c r="N133" s="1589">
        <v>58.202015950000003</v>
      </c>
      <c r="O133" s="1589">
        <v>3944.6339831600003</v>
      </c>
      <c r="P133" s="1589">
        <v>3499.0537123200002</v>
      </c>
      <c r="Q133" s="1589">
        <v>445.58027084000003</v>
      </c>
      <c r="R133" s="1589">
        <v>2850.7544303600002</v>
      </c>
      <c r="S133" s="1589">
        <v>991.50181296000005</v>
      </c>
      <c r="T133" s="1589">
        <v>970.10469719000002</v>
      </c>
      <c r="U133" s="1589">
        <v>21.397115770000003</v>
      </c>
      <c r="V133" s="1589">
        <v>1859.2526174000002</v>
      </c>
      <c r="W133" s="1589">
        <v>1675.4227709400002</v>
      </c>
      <c r="X133" s="1589">
        <v>183.82984646000003</v>
      </c>
      <c r="Y133" s="1589">
        <v>2158.94707432</v>
      </c>
      <c r="Z133" s="1589">
        <v>1061.8725553699999</v>
      </c>
      <c r="AA133" s="1589">
        <v>1015.4451890899999</v>
      </c>
      <c r="AB133" s="1589">
        <v>46.427366280000001</v>
      </c>
      <c r="AC133" s="1589">
        <v>1097.0745189500001</v>
      </c>
      <c r="AD133" s="1589">
        <v>1040.56888157</v>
      </c>
      <c r="AE133" s="1589">
        <v>56.505637379999996</v>
      </c>
    </row>
    <row r="134" spans="1:31">
      <c r="A134" s="1588">
        <v>4</v>
      </c>
      <c r="B134" s="1589">
        <v>8714.9740302499995</v>
      </c>
      <c r="C134" s="1589">
        <v>3621.0354270499993</v>
      </c>
      <c r="D134" s="1589">
        <v>5093.9386032000002</v>
      </c>
      <c r="E134" s="1589">
        <v>8120.04966694</v>
      </c>
      <c r="F134" s="1589">
        <v>3513.5976597399995</v>
      </c>
      <c r="G134" s="1589">
        <v>4606.4520072000005</v>
      </c>
      <c r="H134" s="1589">
        <v>594.92436330999999</v>
      </c>
      <c r="I134" s="1589">
        <v>107.43776731</v>
      </c>
      <c r="J134" s="1589">
        <v>487.48659600000002</v>
      </c>
      <c r="K134" s="1589">
        <v>6501.6427129599997</v>
      </c>
      <c r="L134" s="1589">
        <v>2527.8687839199993</v>
      </c>
      <c r="M134" s="1589">
        <v>2467.2525106399994</v>
      </c>
      <c r="N134" s="1589">
        <v>60.616273279999994</v>
      </c>
      <c r="O134" s="1589">
        <v>3973.77392904</v>
      </c>
      <c r="P134" s="1589">
        <v>3541.3659354900001</v>
      </c>
      <c r="Q134" s="1589">
        <v>432.40799355000001</v>
      </c>
      <c r="R134" s="1589">
        <v>3215.9430687599997</v>
      </c>
      <c r="S134" s="1589">
        <v>1292.2645679399998</v>
      </c>
      <c r="T134" s="1589">
        <v>1270.4268685399998</v>
      </c>
      <c r="U134" s="1589">
        <v>21.837699399999998</v>
      </c>
      <c r="V134" s="1589">
        <v>1923.6785008199997</v>
      </c>
      <c r="W134" s="1589">
        <v>1756.2949558699997</v>
      </c>
      <c r="X134" s="1589">
        <v>167.38354495000002</v>
      </c>
      <c r="Y134" s="1589">
        <v>2213.3313172900002</v>
      </c>
      <c r="Z134" s="1589">
        <v>1093.16664313</v>
      </c>
      <c r="AA134" s="1589">
        <v>1046.3451491000001</v>
      </c>
      <c r="AB134" s="1589">
        <v>46.821494029999997</v>
      </c>
      <c r="AC134" s="1589">
        <v>1120.1646741600002</v>
      </c>
      <c r="AD134" s="1589">
        <v>1065.0860717100002</v>
      </c>
      <c r="AE134" s="1589">
        <v>55.078602449999998</v>
      </c>
    </row>
    <row r="135" spans="1:31">
      <c r="A135" s="1588">
        <v>5</v>
      </c>
      <c r="B135" s="1589">
        <v>8622.9238094699995</v>
      </c>
      <c r="C135" s="1589">
        <v>3672.4891450299997</v>
      </c>
      <c r="D135" s="1589">
        <v>4950.4346644400002</v>
      </c>
      <c r="E135" s="1589">
        <v>8084.5988720299993</v>
      </c>
      <c r="F135" s="1589">
        <v>3559.36022839</v>
      </c>
      <c r="G135" s="1589">
        <v>4525.2386436399993</v>
      </c>
      <c r="H135" s="1589">
        <v>538.32493743999999</v>
      </c>
      <c r="I135" s="1589">
        <v>113.12891664</v>
      </c>
      <c r="J135" s="1589">
        <v>425.19602080000004</v>
      </c>
      <c r="K135" s="1589">
        <v>6520.3301956599998</v>
      </c>
      <c r="L135" s="1589">
        <v>2631.7831141299998</v>
      </c>
      <c r="M135" s="1589">
        <v>2564.5515476</v>
      </c>
      <c r="N135" s="1589">
        <v>67.231566529999995</v>
      </c>
      <c r="O135" s="1589">
        <v>3888.54708153</v>
      </c>
      <c r="P135" s="1589">
        <v>3516.0388695500001</v>
      </c>
      <c r="Q135" s="1589">
        <v>372.50821198000006</v>
      </c>
      <c r="R135" s="1589">
        <v>3213.6735585400002</v>
      </c>
      <c r="S135" s="1589">
        <v>1364.93147576</v>
      </c>
      <c r="T135" s="1589">
        <v>1338.1680182</v>
      </c>
      <c r="U135" s="1589">
        <v>26.763457560000003</v>
      </c>
      <c r="V135" s="1589">
        <v>1848.7420827800001</v>
      </c>
      <c r="W135" s="1589">
        <v>1703.6491898100001</v>
      </c>
      <c r="X135" s="1589">
        <v>145.09289297000007</v>
      </c>
      <c r="Y135" s="1589">
        <v>2102.5936138099996</v>
      </c>
      <c r="Z135" s="1589">
        <v>1040.7060308999999</v>
      </c>
      <c r="AA135" s="1589">
        <v>994.80868078999993</v>
      </c>
      <c r="AB135" s="1589">
        <v>45.897350109999998</v>
      </c>
      <c r="AC135" s="1589">
        <v>1061.88758291</v>
      </c>
      <c r="AD135" s="1589">
        <v>1009.1997740899999</v>
      </c>
      <c r="AE135" s="1589">
        <v>52.687808820000008</v>
      </c>
    </row>
    <row r="136" spans="1:31">
      <c r="A136" s="1588">
        <v>6</v>
      </c>
      <c r="B136" s="1589">
        <v>8736.2501463299996</v>
      </c>
      <c r="C136" s="1589">
        <v>3800.9984868399997</v>
      </c>
      <c r="D136" s="1589">
        <v>4935.2516594899998</v>
      </c>
      <c r="E136" s="1589">
        <v>8233.8561040999994</v>
      </c>
      <c r="F136" s="1589">
        <v>3697.0532530699993</v>
      </c>
      <c r="G136" s="1589">
        <v>4536.8028510300001</v>
      </c>
      <c r="H136" s="1589">
        <v>502.39404223000003</v>
      </c>
      <c r="I136" s="1589">
        <v>103.94523377</v>
      </c>
      <c r="J136" s="1589">
        <v>398.44880846000001</v>
      </c>
      <c r="K136" s="1589">
        <v>6632.5246721200001</v>
      </c>
      <c r="L136" s="1589">
        <v>2750.8426220499996</v>
      </c>
      <c r="M136" s="1589">
        <v>2686.5418416199996</v>
      </c>
      <c r="N136" s="1589">
        <v>64.300780430000003</v>
      </c>
      <c r="O136" s="1589">
        <v>3881.6820500700001</v>
      </c>
      <c r="P136" s="1589">
        <v>3535.1525668600002</v>
      </c>
      <c r="Q136" s="1589">
        <v>346.52948321000002</v>
      </c>
      <c r="R136" s="1589">
        <v>3370.7044842800001</v>
      </c>
      <c r="S136" s="1589">
        <v>1490.1192988600001</v>
      </c>
      <c r="T136" s="1589">
        <v>1466.67377117</v>
      </c>
      <c r="U136" s="1589">
        <v>23.445527689999999</v>
      </c>
      <c r="V136" s="1589">
        <v>1880.58518542</v>
      </c>
      <c r="W136" s="1589">
        <v>1654.8677026400001</v>
      </c>
      <c r="X136" s="1589">
        <v>225.71748278000001</v>
      </c>
      <c r="Y136" s="1589">
        <v>2103.7254742099999</v>
      </c>
      <c r="Z136" s="1589">
        <v>1050.1558647899999</v>
      </c>
      <c r="AA136" s="1589">
        <v>1010.51141145</v>
      </c>
      <c r="AB136" s="1589">
        <v>39.644453339999998</v>
      </c>
      <c r="AC136" s="1589">
        <v>1053.56960942</v>
      </c>
      <c r="AD136" s="1589">
        <v>1001.6502841700001</v>
      </c>
      <c r="AE136" s="1589">
        <v>51.91932525</v>
      </c>
    </row>
    <row r="137" spans="1:31">
      <c r="A137" s="1588">
        <v>7</v>
      </c>
      <c r="B137" s="1589">
        <v>8580.0406136500005</v>
      </c>
      <c r="C137" s="1589">
        <v>3744.6693373600001</v>
      </c>
      <c r="D137" s="1589">
        <v>4835.3712762900004</v>
      </c>
      <c r="E137" s="1589">
        <v>8097.9065478600005</v>
      </c>
      <c r="F137" s="1589">
        <v>3640.6951740999998</v>
      </c>
      <c r="G137" s="1589">
        <v>4457.2113737600002</v>
      </c>
      <c r="H137" s="1589">
        <v>482.13406579000002</v>
      </c>
      <c r="I137" s="1589">
        <v>103.97416325999998</v>
      </c>
      <c r="J137" s="1589">
        <v>378.15990253000007</v>
      </c>
      <c r="K137" s="1589">
        <v>6509.6840994200002</v>
      </c>
      <c r="L137" s="1589">
        <v>2679.3347162099999</v>
      </c>
      <c r="M137" s="1589">
        <v>2615.2334557199997</v>
      </c>
      <c r="N137" s="1589">
        <v>64.101260489999987</v>
      </c>
      <c r="O137" s="1589">
        <v>3830.3493832100003</v>
      </c>
      <c r="P137" s="1589">
        <v>3504.9024964500004</v>
      </c>
      <c r="Q137" s="1589">
        <v>325.44688676000004</v>
      </c>
      <c r="R137" s="1589">
        <v>3195.0452238400003</v>
      </c>
      <c r="S137" s="1589">
        <v>1373.5680113300002</v>
      </c>
      <c r="T137" s="1589">
        <v>1350.2078703500001</v>
      </c>
      <c r="U137" s="1589">
        <v>23.360140979999994</v>
      </c>
      <c r="V137" s="1589">
        <v>1821.4772125099998</v>
      </c>
      <c r="W137" s="1589">
        <v>1612.5534250399999</v>
      </c>
      <c r="X137" s="1589">
        <v>208.92378747000004</v>
      </c>
      <c r="Y137" s="1589">
        <v>2070.3565142300004</v>
      </c>
      <c r="Z137" s="1589">
        <v>1065.3346211500002</v>
      </c>
      <c r="AA137" s="1589">
        <v>1025.4617183800001</v>
      </c>
      <c r="AB137" s="1589">
        <v>39.872902770000003</v>
      </c>
      <c r="AC137" s="1589">
        <v>1005.0218930799999</v>
      </c>
      <c r="AD137" s="1589">
        <v>952.30887730999996</v>
      </c>
      <c r="AE137" s="1589">
        <v>52.713015769999998</v>
      </c>
    </row>
    <row r="138" spans="1:31">
      <c r="A138" s="1588">
        <v>8</v>
      </c>
      <c r="B138" s="1589">
        <v>8561.8422749700003</v>
      </c>
      <c r="C138" s="1589">
        <v>3765.5694871499995</v>
      </c>
      <c r="D138" s="1589">
        <v>4796.2727878200003</v>
      </c>
      <c r="E138" s="1589">
        <v>8078.43782018</v>
      </c>
      <c r="F138" s="1589">
        <v>3659.0012241799996</v>
      </c>
      <c r="G138" s="1589">
        <v>4419.4365960000005</v>
      </c>
      <c r="H138" s="1589">
        <v>483.40445479000005</v>
      </c>
      <c r="I138" s="1589">
        <v>106.56826296999998</v>
      </c>
      <c r="J138" s="1589">
        <v>376.83619182000007</v>
      </c>
      <c r="K138" s="1589">
        <v>6441.8986334800002</v>
      </c>
      <c r="L138" s="1589">
        <v>2689.9068329199995</v>
      </c>
      <c r="M138" s="1589">
        <v>2623.7887863899996</v>
      </c>
      <c r="N138" s="1589">
        <v>66.118046529999987</v>
      </c>
      <c r="O138" s="1589">
        <v>3751.9918005600007</v>
      </c>
      <c r="P138" s="1589">
        <v>3426.7590505200005</v>
      </c>
      <c r="Q138" s="1589">
        <v>325.23275004000004</v>
      </c>
      <c r="R138" s="1589">
        <v>3098.1073455999999</v>
      </c>
      <c r="S138" s="1589">
        <v>1340.0595577399999</v>
      </c>
      <c r="T138" s="1589">
        <v>1315.0244947199999</v>
      </c>
      <c r="U138" s="1589">
        <v>25.035063019999996</v>
      </c>
      <c r="V138" s="1589">
        <v>1758.04778786</v>
      </c>
      <c r="W138" s="1589">
        <v>1549.0958424200001</v>
      </c>
      <c r="X138" s="1589">
        <v>208.95194544000003</v>
      </c>
      <c r="Y138" s="1589">
        <v>2119.9436414900001</v>
      </c>
      <c r="Z138" s="1589">
        <v>1075.66265423</v>
      </c>
      <c r="AA138" s="1589">
        <v>1035.21243779</v>
      </c>
      <c r="AB138" s="1589">
        <v>40.450216439999998</v>
      </c>
      <c r="AC138" s="1589">
        <v>1044.2809872599998</v>
      </c>
      <c r="AD138" s="1589">
        <v>992.67754547999994</v>
      </c>
      <c r="AE138" s="1589">
        <v>51.603441779999997</v>
      </c>
    </row>
    <row r="139" spans="1:31">
      <c r="A139" s="1588">
        <v>9</v>
      </c>
      <c r="B139" s="1589">
        <v>8605.3062544799996</v>
      </c>
      <c r="C139" s="1589">
        <v>3810.2057651500004</v>
      </c>
      <c r="D139" s="1589">
        <v>4795.1004893299996</v>
      </c>
      <c r="E139" s="1589">
        <v>8129.4050174600006</v>
      </c>
      <c r="F139" s="1589">
        <v>3700.6165205100006</v>
      </c>
      <c r="G139" s="1589">
        <v>4428.7884969500001</v>
      </c>
      <c r="H139" s="1589">
        <v>475.90123702</v>
      </c>
      <c r="I139" s="1589">
        <v>109.58924463999999</v>
      </c>
      <c r="J139" s="1589">
        <v>366.31199237999999</v>
      </c>
      <c r="K139" s="1589">
        <v>6458.8127638100004</v>
      </c>
      <c r="L139" s="1589">
        <v>2722.1014536800003</v>
      </c>
      <c r="M139" s="1589">
        <v>2654.6246591900003</v>
      </c>
      <c r="N139" s="1589">
        <v>67.476794489999989</v>
      </c>
      <c r="O139" s="1589">
        <v>3736.7113101300001</v>
      </c>
      <c r="P139" s="1589">
        <v>3420.1666149300004</v>
      </c>
      <c r="Q139" s="1589">
        <v>316.54469519999998</v>
      </c>
      <c r="R139" s="1589">
        <v>3112.5746047499997</v>
      </c>
      <c r="S139" s="1589">
        <v>1362.02321368</v>
      </c>
      <c r="T139" s="1589">
        <v>1335.9792223300001</v>
      </c>
      <c r="U139" s="1589">
        <v>26.043991349999999</v>
      </c>
      <c r="V139" s="1589">
        <v>1750.5513910699997</v>
      </c>
      <c r="W139" s="1589">
        <v>1549.4154976199998</v>
      </c>
      <c r="X139" s="1589">
        <v>201.13589345000003</v>
      </c>
      <c r="Y139" s="1589">
        <v>2146.49349067</v>
      </c>
      <c r="Z139" s="1589">
        <v>1088.1043114700001</v>
      </c>
      <c r="AA139" s="1589">
        <v>1045.99186132</v>
      </c>
      <c r="AB139" s="1589">
        <v>42.112450150000001</v>
      </c>
      <c r="AC139" s="1589">
        <v>1058.3891791999999</v>
      </c>
      <c r="AD139" s="1589">
        <v>1008.62188202</v>
      </c>
      <c r="AE139" s="1589">
        <v>49.767297180000007</v>
      </c>
    </row>
    <row r="140" spans="1:31">
      <c r="A140" s="1588">
        <v>10</v>
      </c>
      <c r="B140" s="1589">
        <v>8811.10468674</v>
      </c>
      <c r="C140" s="1589">
        <v>3926.7345848600003</v>
      </c>
      <c r="D140" s="1589">
        <v>4884.3701018799993</v>
      </c>
      <c r="E140" s="1589">
        <v>8169.1888384099993</v>
      </c>
      <c r="F140" s="1589">
        <v>3814.8323292300001</v>
      </c>
      <c r="G140" s="1589">
        <v>4354.3565091799992</v>
      </c>
      <c r="H140" s="1589">
        <v>641.91584833000002</v>
      </c>
      <c r="I140" s="1589">
        <v>111.90225563</v>
      </c>
      <c r="J140" s="1589">
        <v>530.0135927</v>
      </c>
      <c r="K140" s="1589">
        <v>6623.8035157799995</v>
      </c>
      <c r="L140" s="1589">
        <v>2830.9366581899999</v>
      </c>
      <c r="M140" s="1589">
        <v>2761.68139114</v>
      </c>
      <c r="N140" s="1589">
        <v>69.25526705</v>
      </c>
      <c r="O140" s="1589">
        <v>3792.8668575899997</v>
      </c>
      <c r="P140" s="1589">
        <v>3311.0618508199996</v>
      </c>
      <c r="Q140" s="1589">
        <v>481.80500676999998</v>
      </c>
      <c r="R140" s="1589">
        <v>3277.0431760699994</v>
      </c>
      <c r="S140" s="1589">
        <v>1451.0521270500001</v>
      </c>
      <c r="T140" s="1589">
        <v>1422.05701546</v>
      </c>
      <c r="U140" s="1589">
        <v>28.995111589999997</v>
      </c>
      <c r="V140" s="1589">
        <v>1825.9910490199998</v>
      </c>
      <c r="W140" s="1589">
        <v>1456.7363489999998</v>
      </c>
      <c r="X140" s="1589">
        <v>369.25470001999997</v>
      </c>
      <c r="Y140" s="1589">
        <v>2187.3011709599996</v>
      </c>
      <c r="Z140" s="1589">
        <v>1095.7979266699999</v>
      </c>
      <c r="AA140" s="1589">
        <v>1053.15093809</v>
      </c>
      <c r="AB140" s="1589">
        <v>42.646988579999999</v>
      </c>
      <c r="AC140" s="1589">
        <v>1091.5032442899999</v>
      </c>
      <c r="AD140" s="1589">
        <v>1043.2946583599999</v>
      </c>
      <c r="AE140" s="1589">
        <v>48.208585930000005</v>
      </c>
    </row>
    <row r="141" spans="1:31">
      <c r="A141" s="1588">
        <v>11</v>
      </c>
      <c r="B141" s="1589">
        <v>8681.5184964199998</v>
      </c>
      <c r="C141" s="1589">
        <v>3988.3930927000001</v>
      </c>
      <c r="D141" s="1589">
        <v>4693.1254037199997</v>
      </c>
      <c r="E141" s="1589">
        <v>8169.9872435899997</v>
      </c>
      <c r="F141" s="1589">
        <v>3872.9535122900002</v>
      </c>
      <c r="G141" s="1589">
        <v>4297.0337312999991</v>
      </c>
      <c r="H141" s="1589">
        <v>511.53125283000003</v>
      </c>
      <c r="I141" s="1589">
        <v>115.43958041</v>
      </c>
      <c r="J141" s="1589">
        <v>396.09167242000001</v>
      </c>
      <c r="K141" s="1589">
        <v>6563.1823620000005</v>
      </c>
      <c r="L141" s="1589">
        <v>2974.1982984200004</v>
      </c>
      <c r="M141" s="1589">
        <v>2904.3470528300004</v>
      </c>
      <c r="N141" s="1589">
        <v>69.851245590000005</v>
      </c>
      <c r="O141" s="1589">
        <v>3588.9840635800001</v>
      </c>
      <c r="P141" s="1589">
        <v>3239.4033373299999</v>
      </c>
      <c r="Q141" s="1589">
        <v>349.58072625</v>
      </c>
      <c r="R141" s="1589">
        <v>3109.2243080200001</v>
      </c>
      <c r="S141" s="1589">
        <v>1511.5276151200001</v>
      </c>
      <c r="T141" s="1589">
        <v>1483.6935592500001</v>
      </c>
      <c r="U141" s="1589">
        <v>27.834055870000004</v>
      </c>
      <c r="V141" s="1589">
        <v>1597.6966929</v>
      </c>
      <c r="W141" s="1589">
        <v>1358.57184736</v>
      </c>
      <c r="X141" s="1589">
        <v>239.12484554</v>
      </c>
      <c r="Y141" s="1589">
        <v>2118.3361344199998</v>
      </c>
      <c r="Z141" s="1589">
        <v>1014.1947942799999</v>
      </c>
      <c r="AA141" s="1589">
        <v>968.60645945999988</v>
      </c>
      <c r="AB141" s="1589">
        <v>45.58833482</v>
      </c>
      <c r="AC141" s="1589">
        <v>1104.1413401399998</v>
      </c>
      <c r="AD141" s="1589">
        <v>1057.6303939699999</v>
      </c>
      <c r="AE141" s="1589">
        <v>46.510946169999997</v>
      </c>
    </row>
    <row r="142" spans="1:31">
      <c r="A142" s="1588">
        <v>12</v>
      </c>
      <c r="B142" s="1589">
        <v>8637.9155303500011</v>
      </c>
      <c r="C142" s="1589">
        <v>4132.7329080199997</v>
      </c>
      <c r="D142" s="1589">
        <v>4505.1826223300004</v>
      </c>
      <c r="E142" s="1589">
        <v>8203.6864089799983</v>
      </c>
      <c r="F142" s="1589">
        <v>4010.6293237299997</v>
      </c>
      <c r="G142" s="1589">
        <v>4193.0570852500005</v>
      </c>
      <c r="H142" s="1589">
        <v>434.22912137000003</v>
      </c>
      <c r="I142" s="1589">
        <v>122.10358429</v>
      </c>
      <c r="J142" s="1589">
        <v>312.12553708000002</v>
      </c>
      <c r="K142" s="1589">
        <v>6550.2151859300002</v>
      </c>
      <c r="L142" s="1589">
        <v>3102.4427130099998</v>
      </c>
      <c r="M142" s="1589">
        <v>3026.6754768799997</v>
      </c>
      <c r="N142" s="1589">
        <v>75.767236130000001</v>
      </c>
      <c r="O142" s="1589">
        <v>3447.7724729199999</v>
      </c>
      <c r="P142" s="1589">
        <v>3180.53726087</v>
      </c>
      <c r="Q142" s="1589">
        <v>267.23521205000003</v>
      </c>
      <c r="R142" s="1589">
        <v>2955.0643476600003</v>
      </c>
      <c r="S142" s="1589">
        <v>1565.5802501900002</v>
      </c>
      <c r="T142" s="1589">
        <v>1532.3001263400001</v>
      </c>
      <c r="U142" s="1589">
        <v>33.280123849999995</v>
      </c>
      <c r="V142" s="1589">
        <v>1389.4840974700001</v>
      </c>
      <c r="W142" s="1589">
        <v>1284.3979682500001</v>
      </c>
      <c r="X142" s="1589">
        <v>105.08612922000002</v>
      </c>
      <c r="Y142" s="1589">
        <v>2087.70034442</v>
      </c>
      <c r="Z142" s="1589">
        <v>1030.2901950099999</v>
      </c>
      <c r="AA142" s="1589">
        <v>983.95384684999988</v>
      </c>
      <c r="AB142" s="1589">
        <v>46.33634816</v>
      </c>
      <c r="AC142" s="1589">
        <v>1057.41014941</v>
      </c>
      <c r="AD142" s="1589">
        <v>1012.51982438</v>
      </c>
      <c r="AE142" s="1589">
        <v>44.89032503</v>
      </c>
    </row>
    <row r="143" spans="1:31">
      <c r="A143" s="1588">
        <v>2020</v>
      </c>
      <c r="B143" s="1589"/>
      <c r="C143" s="1589"/>
      <c r="D143" s="1589"/>
      <c r="E143" s="1589"/>
      <c r="F143" s="1589"/>
      <c r="G143" s="1589"/>
      <c r="H143" s="1589"/>
      <c r="I143" s="1589"/>
      <c r="J143" s="1589"/>
      <c r="K143" s="1589"/>
      <c r="L143" s="1589"/>
      <c r="M143" s="1589"/>
      <c r="N143" s="1589"/>
      <c r="O143" s="1589"/>
      <c r="P143" s="1589"/>
      <c r="Q143" s="1589"/>
      <c r="R143" s="1589"/>
      <c r="S143" s="1589"/>
      <c r="T143" s="1589"/>
      <c r="U143" s="1589"/>
      <c r="V143" s="1589"/>
      <c r="W143" s="1589"/>
      <c r="X143" s="1589"/>
      <c r="Y143" s="1589"/>
      <c r="Z143" s="1589"/>
      <c r="AA143" s="1589"/>
      <c r="AB143" s="1589"/>
      <c r="AC143" s="1589"/>
      <c r="AD143" s="1589"/>
      <c r="AE143" s="1589"/>
    </row>
    <row r="144" spans="1:31">
      <c r="A144" s="1588" t="s">
        <v>18</v>
      </c>
      <c r="B144" s="1589">
        <v>8588.4792337399995</v>
      </c>
      <c r="C144" s="1589">
        <v>4199.855578820001</v>
      </c>
      <c r="D144" s="1589">
        <v>4388.6236549199994</v>
      </c>
      <c r="E144" s="1589">
        <v>8165.4175810900006</v>
      </c>
      <c r="F144" s="1589">
        <v>4079.1517216000007</v>
      </c>
      <c r="G144" s="1589">
        <v>4086.265859489999</v>
      </c>
      <c r="H144" s="1589">
        <v>423.06165265000004</v>
      </c>
      <c r="I144" s="1589">
        <v>120.70385722</v>
      </c>
      <c r="J144" s="1589">
        <v>302.35779543000007</v>
      </c>
      <c r="K144" s="1589">
        <v>6495.3926959499995</v>
      </c>
      <c r="L144" s="1589">
        <v>3136.2450272500005</v>
      </c>
      <c r="M144" s="1589">
        <v>3063.6249981400006</v>
      </c>
      <c r="N144" s="1589">
        <v>72.620029110000004</v>
      </c>
      <c r="O144" s="1589">
        <v>3359.147668699999</v>
      </c>
      <c r="P144" s="1589">
        <v>3098.9805696599992</v>
      </c>
      <c r="Q144" s="1589">
        <v>260.16709904000004</v>
      </c>
      <c r="R144" s="1589">
        <v>2928.8061998600001</v>
      </c>
      <c r="S144" s="1589">
        <v>1566.0216184400006</v>
      </c>
      <c r="T144" s="1589">
        <v>1536.3126568600005</v>
      </c>
      <c r="U144" s="1589">
        <v>29.708961580000004</v>
      </c>
      <c r="V144" s="1589">
        <v>1362.7845814199998</v>
      </c>
      <c r="W144" s="1589">
        <v>1262.9153817299998</v>
      </c>
      <c r="X144" s="1589">
        <v>99.869199690000002</v>
      </c>
      <c r="Y144" s="1589">
        <v>2093.08653779</v>
      </c>
      <c r="Z144" s="1589">
        <v>1063.6105515699999</v>
      </c>
      <c r="AA144" s="1589">
        <v>1015.52672346</v>
      </c>
      <c r="AB144" s="1589">
        <v>48.083828109999992</v>
      </c>
      <c r="AC144" s="1589">
        <v>1029.4759862200001</v>
      </c>
      <c r="AD144" s="1589">
        <v>987.28528983000001</v>
      </c>
      <c r="AE144" s="1589">
        <v>42.190696390000006</v>
      </c>
    </row>
    <row r="145" spans="1:31">
      <c r="A145" s="1588" t="s">
        <v>19</v>
      </c>
      <c r="B145" s="1589">
        <v>8694.4112436699997</v>
      </c>
      <c r="C145" s="1589">
        <v>4122.7364282199997</v>
      </c>
      <c r="D145" s="1589">
        <v>4571.6748154500001</v>
      </c>
      <c r="E145" s="1589">
        <v>8073.1237799899991</v>
      </c>
      <c r="F145" s="1589">
        <v>3997.3625117299998</v>
      </c>
      <c r="G145" s="1589">
        <v>4075.7612682599997</v>
      </c>
      <c r="H145" s="1589">
        <v>621.28746367999997</v>
      </c>
      <c r="I145" s="1589">
        <v>125.37391649</v>
      </c>
      <c r="J145" s="1589">
        <v>495.91354719000003</v>
      </c>
      <c r="K145" s="1589">
        <v>6634.89325207</v>
      </c>
      <c r="L145" s="1589">
        <v>3040.2849309899998</v>
      </c>
      <c r="M145" s="1589">
        <v>2963.5213249899998</v>
      </c>
      <c r="N145" s="1589">
        <v>76.76360600000001</v>
      </c>
      <c r="O145" s="1589">
        <v>3594.6083210799998</v>
      </c>
      <c r="P145" s="1589">
        <v>3138.3232784299998</v>
      </c>
      <c r="Q145" s="1589">
        <v>456.28504265000004</v>
      </c>
      <c r="R145" s="1589">
        <v>3091.7952556299997</v>
      </c>
      <c r="S145" s="1589">
        <v>1491.25870338</v>
      </c>
      <c r="T145" s="1589">
        <v>1457.41656754</v>
      </c>
      <c r="U145" s="1589">
        <v>33.842135839999997</v>
      </c>
      <c r="V145" s="1589">
        <v>1600.5365522499999</v>
      </c>
      <c r="W145" s="1589">
        <v>1274.8607790499998</v>
      </c>
      <c r="X145" s="1589">
        <v>325.67577320000004</v>
      </c>
      <c r="Y145" s="1589">
        <v>2059.5179915999997</v>
      </c>
      <c r="Z145" s="1589">
        <v>1082.4514972300001</v>
      </c>
      <c r="AA145" s="1589">
        <v>1033.84118674</v>
      </c>
      <c r="AB145" s="1589">
        <v>48.610310489999996</v>
      </c>
      <c r="AC145" s="1589">
        <v>977.06649436999987</v>
      </c>
      <c r="AD145" s="1589">
        <v>937.43798982999988</v>
      </c>
      <c r="AE145" s="1589">
        <v>39.628504539999994</v>
      </c>
    </row>
    <row r="146" spans="1:31">
      <c r="A146" s="1588" t="s">
        <v>20</v>
      </c>
      <c r="B146" s="1589">
        <v>8251.70134512</v>
      </c>
      <c r="C146" s="1589">
        <v>3701.7202587899997</v>
      </c>
      <c r="D146" s="1589">
        <v>4549.9810863299999</v>
      </c>
      <c r="E146" s="1589">
        <v>7794.7194418899999</v>
      </c>
      <c r="F146" s="1589">
        <v>3589.8849291299998</v>
      </c>
      <c r="G146" s="1589">
        <v>4204.8345127599996</v>
      </c>
      <c r="H146" s="1589">
        <v>456.98190323</v>
      </c>
      <c r="I146" s="1589">
        <v>111.83532966</v>
      </c>
      <c r="J146" s="1589">
        <v>345.14657356999999</v>
      </c>
      <c r="K146" s="1589">
        <v>6256.21372514</v>
      </c>
      <c r="L146" s="1589">
        <v>2681.9281821599998</v>
      </c>
      <c r="M146" s="1589">
        <v>2617.6641960899997</v>
      </c>
      <c r="N146" s="1589">
        <v>64.263986070000001</v>
      </c>
      <c r="O146" s="1589">
        <v>3574.2855429799997</v>
      </c>
      <c r="P146" s="1589">
        <v>3268.4012945899999</v>
      </c>
      <c r="Q146" s="1589">
        <v>305.88424838999998</v>
      </c>
      <c r="R146" s="1589">
        <v>2816.2959852199992</v>
      </c>
      <c r="S146" s="1589">
        <v>1334.2123969199997</v>
      </c>
      <c r="T146" s="1589">
        <v>1305.5922065599998</v>
      </c>
      <c r="U146" s="1589">
        <v>28.620190359999995</v>
      </c>
      <c r="V146" s="1589">
        <v>1482.0835882999997</v>
      </c>
      <c r="W146" s="1589">
        <v>1313.6111079399998</v>
      </c>
      <c r="X146" s="1589">
        <v>168.47248035999999</v>
      </c>
      <c r="Y146" s="1589">
        <v>1995.4876199800001</v>
      </c>
      <c r="Z146" s="1589">
        <v>1019.79207663</v>
      </c>
      <c r="AA146" s="1589">
        <v>972.22073304000003</v>
      </c>
      <c r="AB146" s="1589">
        <v>47.571343589999998</v>
      </c>
      <c r="AC146" s="1589">
        <v>975.69554334999998</v>
      </c>
      <c r="AD146" s="1589">
        <v>936.43321817000003</v>
      </c>
      <c r="AE146" s="1589">
        <v>39.262325180000005</v>
      </c>
    </row>
    <row r="147" spans="1:31">
      <c r="A147" s="1588" t="s">
        <v>21</v>
      </c>
      <c r="B147" s="1589">
        <v>7758</v>
      </c>
      <c r="C147" s="1589">
        <v>3481.0346676200002</v>
      </c>
      <c r="D147" s="1589">
        <v>4276.9809766500002</v>
      </c>
      <c r="E147" s="1589">
        <v>7386.3852780699999</v>
      </c>
      <c r="F147" s="1589">
        <v>3379.8332385499998</v>
      </c>
      <c r="G147" s="1589">
        <v>4006.5520395200006</v>
      </c>
      <c r="H147" s="1589">
        <v>371.63036620000003</v>
      </c>
      <c r="I147" s="1589">
        <v>101.20142907</v>
      </c>
      <c r="J147" s="1589">
        <v>270.42893713000001</v>
      </c>
      <c r="K147" s="1589">
        <v>5879.497872240001</v>
      </c>
      <c r="L147" s="1589">
        <v>2549.29791828</v>
      </c>
      <c r="M147" s="1589">
        <v>2486.8298943499999</v>
      </c>
      <c r="N147" s="1589">
        <v>62.468023930000001</v>
      </c>
      <c r="O147" s="1589">
        <v>3330.1999539600006</v>
      </c>
      <c r="P147" s="1589">
        <v>3090.3220915400007</v>
      </c>
      <c r="Q147" s="1589">
        <v>239.87786242000001</v>
      </c>
      <c r="R147" s="1589">
        <v>2841.7604314700002</v>
      </c>
      <c r="S147" s="1589">
        <v>1413.1998564199998</v>
      </c>
      <c r="T147" s="1589">
        <v>1381.4982432299998</v>
      </c>
      <c r="U147" s="1589">
        <v>31.701613189999996</v>
      </c>
      <c r="V147" s="1589">
        <v>1428.5605750500006</v>
      </c>
      <c r="W147" s="1589">
        <v>1316.9165594700005</v>
      </c>
      <c r="X147" s="1589">
        <v>111.64401558</v>
      </c>
      <c r="Y147" s="1589">
        <v>1878.5177720300003</v>
      </c>
      <c r="Z147" s="1589">
        <v>931.73674934000019</v>
      </c>
      <c r="AA147" s="1589">
        <v>893.00334420000013</v>
      </c>
      <c r="AB147" s="1589">
        <v>38.733405140000002</v>
      </c>
      <c r="AC147" s="1589">
        <v>946.78102268999999</v>
      </c>
      <c r="AD147" s="1589">
        <v>916.22994798000002</v>
      </c>
      <c r="AE147" s="1589">
        <v>30.551074710000002</v>
      </c>
    </row>
    <row r="148" spans="1:31">
      <c r="A148" s="1588" t="s">
        <v>22</v>
      </c>
      <c r="B148" s="1589">
        <v>7661.3</v>
      </c>
      <c r="C148" s="1589">
        <v>3528.3745984400002</v>
      </c>
      <c r="D148" s="1589">
        <v>4132.9581432599998</v>
      </c>
      <c r="E148" s="1589">
        <v>7302.8858875500009</v>
      </c>
      <c r="F148" s="1589">
        <v>3429.4933878500005</v>
      </c>
      <c r="G148" s="1589">
        <v>3873.3924997000004</v>
      </c>
      <c r="H148" s="1589">
        <v>358.44685414999992</v>
      </c>
      <c r="I148" s="1589">
        <v>98.881210589999995</v>
      </c>
      <c r="J148" s="1589">
        <v>259.56564355999996</v>
      </c>
      <c r="K148" s="1589">
        <v>5775.7523916099999</v>
      </c>
      <c r="L148" s="1589">
        <v>2637.2974618000003</v>
      </c>
      <c r="M148" s="1589">
        <v>2575.0350939600003</v>
      </c>
      <c r="N148" s="1589">
        <v>62.262367839999996</v>
      </c>
      <c r="O148" s="1589">
        <v>3138.4549298100001</v>
      </c>
      <c r="P148" s="1589">
        <v>2905.9981808400003</v>
      </c>
      <c r="Q148" s="1589">
        <v>232.45674896999998</v>
      </c>
      <c r="R148" s="1589">
        <v>2967.0823207000003</v>
      </c>
      <c r="S148" s="1589">
        <v>1618.6165247600002</v>
      </c>
      <c r="T148" s="1589">
        <v>1587.3616263900001</v>
      </c>
      <c r="U148" s="1589">
        <v>31.254898369999999</v>
      </c>
      <c r="V148" s="1589">
        <v>1348.4657959399999</v>
      </c>
      <c r="W148" s="1589">
        <v>1240.9052316899999</v>
      </c>
      <c r="X148" s="1589">
        <v>107.56056425</v>
      </c>
      <c r="Y148" s="1589">
        <v>1885.5803500900001</v>
      </c>
      <c r="Z148" s="1589">
        <v>891.07713664000005</v>
      </c>
      <c r="AA148" s="1589">
        <v>854.45829389000005</v>
      </c>
      <c r="AB148" s="1589">
        <v>36.618842749999999</v>
      </c>
      <c r="AC148" s="1589">
        <v>994.50321344999998</v>
      </c>
      <c r="AD148" s="1589">
        <v>967.39431886</v>
      </c>
      <c r="AE148" s="1589">
        <v>27.108894590000002</v>
      </c>
    </row>
    <row r="149" spans="1:31">
      <c r="A149" s="1588" t="s">
        <v>23</v>
      </c>
      <c r="B149" s="1589">
        <v>7706.4012706499998</v>
      </c>
      <c r="C149" s="1589">
        <v>3544.9701049700002</v>
      </c>
      <c r="D149" s="1589">
        <v>4161.43116568</v>
      </c>
      <c r="E149" s="1589">
        <v>7351.4405171899998</v>
      </c>
      <c r="F149" s="1589">
        <v>3442.5546489100002</v>
      </c>
      <c r="G149" s="1589">
        <v>3908.8858682800001</v>
      </c>
      <c r="H149" s="1589">
        <v>354.96075345999998</v>
      </c>
      <c r="I149" s="1589">
        <v>102.41545606</v>
      </c>
      <c r="J149" s="1589">
        <v>252.54529739999998</v>
      </c>
      <c r="K149" s="1589">
        <v>5906.5677469399998</v>
      </c>
      <c r="L149" s="1589">
        <v>2673.0195739100004</v>
      </c>
      <c r="M149" s="1589">
        <v>2610.5422492400003</v>
      </c>
      <c r="N149" s="1589">
        <v>62.477324670000002</v>
      </c>
      <c r="O149" s="1589">
        <v>3233.5481730299998</v>
      </c>
      <c r="P149" s="1589">
        <v>3008.02274889</v>
      </c>
      <c r="Q149" s="1589">
        <v>225.52542413999998</v>
      </c>
      <c r="R149" s="1589">
        <v>3018.19945057</v>
      </c>
      <c r="S149" s="1589">
        <v>1623.9208389700002</v>
      </c>
      <c r="T149" s="1589">
        <v>1594.2524610100002</v>
      </c>
      <c r="U149" s="1589">
        <v>29.668377959999997</v>
      </c>
      <c r="V149" s="1589">
        <v>1394.2786115999997</v>
      </c>
      <c r="W149" s="1589">
        <v>1294.0891212899999</v>
      </c>
      <c r="X149" s="1589">
        <v>100.18949031</v>
      </c>
      <c r="Y149" s="1589">
        <v>1799.83352371</v>
      </c>
      <c r="Z149" s="1589">
        <v>871.95053105999989</v>
      </c>
      <c r="AA149" s="1589">
        <v>832.01239966999992</v>
      </c>
      <c r="AB149" s="1589">
        <v>39.938131390000002</v>
      </c>
      <c r="AC149" s="1589">
        <v>927.88299265000001</v>
      </c>
      <c r="AD149" s="1589">
        <v>900.86311938999995</v>
      </c>
      <c r="AE149" s="1589">
        <v>27.019873260000001</v>
      </c>
    </row>
    <row r="150" spans="1:31">
      <c r="A150" s="1588" t="s">
        <v>24</v>
      </c>
      <c r="B150" s="1589">
        <v>7774.2386770500016</v>
      </c>
      <c r="C150" s="1589">
        <v>3684.9466921599997</v>
      </c>
      <c r="D150" s="1589">
        <v>4089.2919848900005</v>
      </c>
      <c r="E150" s="1589">
        <v>7459.6928587299999</v>
      </c>
      <c r="F150" s="1589">
        <v>3580.5043689799995</v>
      </c>
      <c r="G150" s="1589">
        <v>3879.1884897500004</v>
      </c>
      <c r="H150" s="1589">
        <v>314.54581832000002</v>
      </c>
      <c r="I150" s="1589">
        <v>104.44232318</v>
      </c>
      <c r="J150" s="1589">
        <v>210.10349514000001</v>
      </c>
      <c r="K150" s="1589">
        <v>5867.864881290001</v>
      </c>
      <c r="L150" s="1589">
        <v>2792.94644582</v>
      </c>
      <c r="M150" s="1589">
        <v>2728.5266656099998</v>
      </c>
      <c r="N150" s="1589">
        <v>64.419780209999999</v>
      </c>
      <c r="O150" s="1589">
        <v>3074.9184354700005</v>
      </c>
      <c r="P150" s="1589">
        <v>2891.5221403100004</v>
      </c>
      <c r="Q150" s="1589">
        <v>183.39629515999999</v>
      </c>
      <c r="R150" s="1589">
        <v>3058.4394158299997</v>
      </c>
      <c r="S150" s="1589">
        <v>1650.7743836099996</v>
      </c>
      <c r="T150" s="1589">
        <v>1620.2130031799995</v>
      </c>
      <c r="U150" s="1589">
        <v>30.561380430000003</v>
      </c>
      <c r="V150" s="1589">
        <v>1407.6650322200001</v>
      </c>
      <c r="W150" s="1589">
        <v>1279.7817993400001</v>
      </c>
      <c r="X150" s="1589">
        <v>127.88323287999999</v>
      </c>
      <c r="Y150" s="1589">
        <v>1906.3737957599999</v>
      </c>
      <c r="Z150" s="1589">
        <v>892.00024633999988</v>
      </c>
      <c r="AA150" s="1589">
        <v>851.97770336999986</v>
      </c>
      <c r="AB150" s="1589">
        <v>40.022542970000003</v>
      </c>
      <c r="AC150" s="1589">
        <v>1014.37354942</v>
      </c>
      <c r="AD150" s="1589">
        <v>987.66634943999998</v>
      </c>
      <c r="AE150" s="1589">
        <v>26.707199980000002</v>
      </c>
    </row>
    <row r="151" spans="1:31">
      <c r="A151" s="1588" t="s">
        <v>25</v>
      </c>
      <c r="B151" s="1589">
        <v>7874.4012779299992</v>
      </c>
      <c r="C151" s="1589">
        <v>3579.0921261900003</v>
      </c>
      <c r="D151" s="1589">
        <v>4295.3091517399989</v>
      </c>
      <c r="E151" s="1589">
        <v>7586.7931606000002</v>
      </c>
      <c r="F151" s="1589">
        <v>3474.9544580000002</v>
      </c>
      <c r="G151" s="1589">
        <v>4111.8387026</v>
      </c>
      <c r="H151" s="1589">
        <v>287.60811733000003</v>
      </c>
      <c r="I151" s="1589">
        <v>104.13766819</v>
      </c>
      <c r="J151" s="1589">
        <v>183.47044914</v>
      </c>
      <c r="K151" s="1589">
        <v>5896.1908831000001</v>
      </c>
      <c r="L151" s="1589">
        <v>2673.4608149900005</v>
      </c>
      <c r="M151" s="1589">
        <v>2608.7319497700005</v>
      </c>
      <c r="N151" s="1589">
        <v>64.728865220000003</v>
      </c>
      <c r="O151" s="1589">
        <v>3222.7300681099996</v>
      </c>
      <c r="P151" s="1589">
        <v>3067.5140804899997</v>
      </c>
      <c r="Q151" s="1589">
        <v>155.21598761999999</v>
      </c>
      <c r="R151" s="1589">
        <v>2902.2796027800005</v>
      </c>
      <c r="S151" s="1589">
        <v>1484.1951500500002</v>
      </c>
      <c r="T151" s="1589">
        <v>1454.2250220000001</v>
      </c>
      <c r="U151" s="1589">
        <v>29.97012805</v>
      </c>
      <c r="V151" s="1589">
        <v>1418.0844527300001</v>
      </c>
      <c r="W151" s="1589">
        <v>1318.2980545600001</v>
      </c>
      <c r="X151" s="1589">
        <v>99.786398169999998</v>
      </c>
      <c r="Y151" s="1589">
        <v>1978.2103948299996</v>
      </c>
      <c r="Z151" s="1589">
        <v>905.63131119999991</v>
      </c>
      <c r="AA151" s="1589">
        <v>866.2225082299999</v>
      </c>
      <c r="AB151" s="1589">
        <v>39.408802970000004</v>
      </c>
      <c r="AC151" s="1589">
        <v>1072.5790836299998</v>
      </c>
      <c r="AD151" s="1589">
        <v>1044.3246221099998</v>
      </c>
      <c r="AE151" s="1589">
        <v>28.25446152</v>
      </c>
    </row>
    <row r="152" spans="1:31">
      <c r="A152" s="1588" t="s">
        <v>26</v>
      </c>
      <c r="B152" s="1589">
        <v>7834.2450797000001</v>
      </c>
      <c r="C152" s="1589">
        <v>3613.5960100500001</v>
      </c>
      <c r="D152" s="1589">
        <v>4220.6490696499995</v>
      </c>
      <c r="E152" s="1589">
        <v>7552.9293717700002</v>
      </c>
      <c r="F152" s="1589">
        <v>3510.56493168</v>
      </c>
      <c r="G152" s="1589">
        <v>4042.3644400899998</v>
      </c>
      <c r="H152" s="1589">
        <v>281.31570792999997</v>
      </c>
      <c r="I152" s="1589">
        <v>103.03107837</v>
      </c>
      <c r="J152" s="1589">
        <v>178.28462955999998</v>
      </c>
      <c r="K152" s="1589">
        <v>5825.2891036500005</v>
      </c>
      <c r="L152" s="1589">
        <v>2716.1366229599998</v>
      </c>
      <c r="M152" s="1589">
        <v>2652.5119075600001</v>
      </c>
      <c r="N152" s="1589">
        <v>63.624715399999999</v>
      </c>
      <c r="O152" s="1589">
        <v>3109.1524806900002</v>
      </c>
      <c r="P152" s="1589">
        <v>2958.27883058</v>
      </c>
      <c r="Q152" s="1589">
        <v>150.87365010999997</v>
      </c>
      <c r="R152" s="1589">
        <v>2922.3527418099998</v>
      </c>
      <c r="S152" s="1589">
        <v>1513.21176397</v>
      </c>
      <c r="T152" s="1589">
        <v>1484.3222505700001</v>
      </c>
      <c r="U152" s="1589">
        <v>28.889513400000002</v>
      </c>
      <c r="V152" s="1589">
        <v>1409.1409778399996</v>
      </c>
      <c r="W152" s="1589">
        <v>1313.5260092099995</v>
      </c>
      <c r="X152" s="1589">
        <v>95.614968629999993</v>
      </c>
      <c r="Y152" s="1589">
        <v>2008.9559760500001</v>
      </c>
      <c r="Z152" s="1589">
        <v>897.45938708999995</v>
      </c>
      <c r="AA152" s="1589">
        <v>858.05302411999992</v>
      </c>
      <c r="AB152" s="1589">
        <v>39.406362970000004</v>
      </c>
      <c r="AC152" s="1589">
        <v>1111.4965889600001</v>
      </c>
      <c r="AD152" s="1589">
        <v>1084.08560951</v>
      </c>
      <c r="AE152" s="1589">
        <v>27.410979449999999</v>
      </c>
    </row>
    <row r="153" spans="1:31">
      <c r="A153" s="1588" t="s">
        <v>27</v>
      </c>
      <c r="B153" s="1589">
        <v>7870.3010247400016</v>
      </c>
      <c r="C153" s="1589">
        <v>3696.9854414500001</v>
      </c>
      <c r="D153" s="1589">
        <v>4173.3155832900011</v>
      </c>
      <c r="E153" s="1589">
        <v>7588.5342399200008</v>
      </c>
      <c r="F153" s="1589">
        <v>3594.8031224400002</v>
      </c>
      <c r="G153" s="1589">
        <v>3993.7311174800006</v>
      </c>
      <c r="H153" s="1589">
        <v>281.76678482000005</v>
      </c>
      <c r="I153" s="1589">
        <v>102.18231901</v>
      </c>
      <c r="J153" s="1589">
        <v>179.58446581000004</v>
      </c>
      <c r="K153" s="1589">
        <v>5868.8527532200005</v>
      </c>
      <c r="L153" s="1589">
        <v>2799.7462315799999</v>
      </c>
      <c r="M153" s="1589">
        <v>2736.6749445400001</v>
      </c>
      <c r="N153" s="1589">
        <v>63.071287040000001</v>
      </c>
      <c r="O153" s="1589">
        <v>3069.1065216400007</v>
      </c>
      <c r="P153" s="1589">
        <v>2917.0242469400005</v>
      </c>
      <c r="Q153" s="1589">
        <v>152.08227470000003</v>
      </c>
      <c r="R153" s="1589">
        <v>2977.6567668899997</v>
      </c>
      <c r="S153" s="1589">
        <v>1591.7539182199998</v>
      </c>
      <c r="T153" s="1589">
        <v>1563.0381559999998</v>
      </c>
      <c r="U153" s="1589">
        <v>28.715762219999998</v>
      </c>
      <c r="V153" s="1589">
        <v>1385.9028486699999</v>
      </c>
      <c r="W153" s="1589">
        <v>1287.62491241</v>
      </c>
      <c r="X153" s="1589">
        <v>98.277936260000004</v>
      </c>
      <c r="Y153" s="1589">
        <v>2001.4482715200002</v>
      </c>
      <c r="Z153" s="1589">
        <v>897.23920987000008</v>
      </c>
      <c r="AA153" s="1589">
        <v>858.12817790000008</v>
      </c>
      <c r="AB153" s="1589">
        <v>39.111031969999999</v>
      </c>
      <c r="AC153" s="1589">
        <v>1104.2090616500002</v>
      </c>
      <c r="AD153" s="1589">
        <v>1076.7068705400002</v>
      </c>
      <c r="AE153" s="1589">
        <v>27.502191109999998</v>
      </c>
    </row>
    <row r="154" spans="1:31">
      <c r="A154" s="1588" t="s">
        <v>28</v>
      </c>
      <c r="B154" s="1589">
        <v>7908.2428459499997</v>
      </c>
      <c r="C154" s="1589">
        <v>3742.1603622399998</v>
      </c>
      <c r="D154" s="1589">
        <v>4166.0824837099999</v>
      </c>
      <c r="E154" s="1589">
        <v>7633.4484345599994</v>
      </c>
      <c r="F154" s="1589">
        <v>3638.5323025799999</v>
      </c>
      <c r="G154" s="1589">
        <v>3994.9161319799996</v>
      </c>
      <c r="H154" s="1589">
        <v>274.79441138999999</v>
      </c>
      <c r="I154" s="1589">
        <v>103.62805966000001</v>
      </c>
      <c r="J154" s="1589">
        <v>171.16635173</v>
      </c>
      <c r="K154" s="1589">
        <v>5842.9364901399995</v>
      </c>
      <c r="L154" s="1589">
        <v>2842.6272447199999</v>
      </c>
      <c r="M154" s="1589">
        <v>2779.2671670300001</v>
      </c>
      <c r="N154" s="1589">
        <v>63.360077689999997</v>
      </c>
      <c r="O154" s="1589">
        <v>3000.3092454199996</v>
      </c>
      <c r="P154" s="1589">
        <v>2855.8955976399998</v>
      </c>
      <c r="Q154" s="1589">
        <v>144.41364777999999</v>
      </c>
      <c r="R154" s="1589">
        <v>3131.1310324100004</v>
      </c>
      <c r="S154" s="1589">
        <v>1659.51513707</v>
      </c>
      <c r="T154" s="1589">
        <v>1629.2460382900001</v>
      </c>
      <c r="U154" s="1589">
        <v>30.269098779999997</v>
      </c>
      <c r="V154" s="1589">
        <v>1471.6158953400002</v>
      </c>
      <c r="W154" s="1589">
        <v>1380.8711405700001</v>
      </c>
      <c r="X154" s="1589">
        <v>90.74475477</v>
      </c>
      <c r="Y154" s="1589">
        <v>2065.3063558100002</v>
      </c>
      <c r="Z154" s="1589">
        <v>899.53311752000002</v>
      </c>
      <c r="AA154" s="1589">
        <v>859.26513554999997</v>
      </c>
      <c r="AB154" s="1589">
        <v>40.267981970000008</v>
      </c>
      <c r="AC154" s="1589">
        <v>1165.7732382900001</v>
      </c>
      <c r="AD154" s="1589">
        <v>1139.02053434</v>
      </c>
      <c r="AE154" s="1589">
        <v>26.752703950000001</v>
      </c>
    </row>
    <row r="155" spans="1:31">
      <c r="A155" s="1588" t="s">
        <v>29</v>
      </c>
      <c r="B155" s="1589">
        <v>8177.8867921900019</v>
      </c>
      <c r="C155" s="1589">
        <v>4027.1134842900005</v>
      </c>
      <c r="D155" s="1589">
        <v>4150.7733079000009</v>
      </c>
      <c r="E155" s="1589">
        <v>7897.1303853200006</v>
      </c>
      <c r="F155" s="1589">
        <v>3911.9272055500005</v>
      </c>
      <c r="G155" s="1589">
        <v>3985.2031797700006</v>
      </c>
      <c r="H155" s="1589">
        <v>280.75640686999998</v>
      </c>
      <c r="I155" s="1589">
        <v>115.18627874000001</v>
      </c>
      <c r="J155" s="1589">
        <v>165.57012812999997</v>
      </c>
      <c r="K155" s="1589">
        <v>6105.7480807800002</v>
      </c>
      <c r="L155" s="1589">
        <v>3109.9550031500003</v>
      </c>
      <c r="M155" s="1589">
        <v>3034.9107738500002</v>
      </c>
      <c r="N155" s="1589">
        <v>75.044229300000012</v>
      </c>
      <c r="O155" s="1589">
        <v>2995.7930776300004</v>
      </c>
      <c r="P155" s="1589">
        <v>2856.7763734100004</v>
      </c>
      <c r="Q155" s="1589">
        <v>139.01670421999998</v>
      </c>
      <c r="R155" s="1589">
        <v>3374.4036623300003</v>
      </c>
      <c r="S155" s="1589">
        <v>1886.8482784300004</v>
      </c>
      <c r="T155" s="1589">
        <v>1846.4228726900003</v>
      </c>
      <c r="U155" s="1589">
        <v>40.425405740000002</v>
      </c>
      <c r="V155" s="1589">
        <v>1487.5553838999999</v>
      </c>
      <c r="W155" s="1589">
        <v>1401.6952288799998</v>
      </c>
      <c r="X155" s="1589">
        <v>85.860155019999993</v>
      </c>
      <c r="Y155" s="1589">
        <v>2072.1387114100003</v>
      </c>
      <c r="Z155" s="1589">
        <v>917.15848114000016</v>
      </c>
      <c r="AA155" s="1589">
        <v>877.01643170000011</v>
      </c>
      <c r="AB155" s="1589">
        <v>40.142049440000001</v>
      </c>
      <c r="AC155" s="1589">
        <v>1154.98023027</v>
      </c>
      <c r="AD155" s="1589">
        <v>1128.42680636</v>
      </c>
      <c r="AE155" s="1589">
        <v>26.553423909999999</v>
      </c>
    </row>
    <row r="156" spans="1:31">
      <c r="A156" s="1590">
        <v>2021</v>
      </c>
      <c r="B156" s="1591"/>
      <c r="C156" s="1591"/>
      <c r="D156" s="1591"/>
      <c r="E156" s="1591"/>
      <c r="F156" s="1591"/>
      <c r="G156" s="1591"/>
      <c r="H156" s="1591"/>
      <c r="I156" s="1591"/>
      <c r="J156" s="1591"/>
      <c r="K156" s="1591"/>
      <c r="L156" s="1591"/>
      <c r="M156" s="1591"/>
      <c r="N156" s="1591"/>
      <c r="O156" s="1591"/>
      <c r="P156" s="1591"/>
      <c r="Q156" s="1591"/>
      <c r="R156" s="1591"/>
      <c r="S156" s="1591"/>
      <c r="T156" s="1591"/>
      <c r="U156" s="1591"/>
      <c r="V156" s="1591"/>
      <c r="W156" s="1591"/>
      <c r="X156" s="1591"/>
      <c r="Y156" s="1591"/>
      <c r="Z156" s="1591"/>
      <c r="AA156" s="1591"/>
      <c r="AB156" s="1591"/>
      <c r="AC156" s="1591"/>
      <c r="AD156" s="1591"/>
      <c r="AE156" s="1591"/>
    </row>
    <row r="157" spans="1:31">
      <c r="A157" s="1590" t="s">
        <v>18</v>
      </c>
      <c r="B157" s="1589">
        <v>8202.9098893299997</v>
      </c>
      <c r="C157" s="1589">
        <v>4047.5098022799998</v>
      </c>
      <c r="D157" s="1589">
        <v>4155.4000870500004</v>
      </c>
      <c r="E157" s="1589">
        <v>7916.9531221899997</v>
      </c>
      <c r="F157" s="1589">
        <v>3931.2972171199999</v>
      </c>
      <c r="G157" s="1589">
        <v>3985.6559050699998</v>
      </c>
      <c r="H157" s="1589">
        <v>285.95676714000001</v>
      </c>
      <c r="I157" s="1589">
        <v>116.21258516</v>
      </c>
      <c r="J157" s="1589">
        <v>169.74418198000001</v>
      </c>
      <c r="K157" s="1589">
        <v>6141.8845454599996</v>
      </c>
      <c r="L157" s="1589">
        <v>3122.2300581</v>
      </c>
      <c r="M157" s="1589">
        <v>3046.2074872100002</v>
      </c>
      <c r="N157" s="1589">
        <v>76.022570889999997</v>
      </c>
      <c r="O157" s="1589">
        <v>3019.6544873600001</v>
      </c>
      <c r="P157" s="1589">
        <v>2876.3006158500002</v>
      </c>
      <c r="Q157" s="1589">
        <v>143.35387151</v>
      </c>
      <c r="R157" s="1589">
        <v>3435.0669021200001</v>
      </c>
      <c r="S157" s="1589">
        <v>1868.6757232</v>
      </c>
      <c r="T157" s="1589">
        <v>1832.4695991000001</v>
      </c>
      <c r="U157" s="1589">
        <v>36.206124099999997</v>
      </c>
      <c r="V157" s="1589">
        <v>1566.3911789199999</v>
      </c>
      <c r="W157" s="1589">
        <v>1477.0549723500001</v>
      </c>
      <c r="X157" s="1589">
        <v>89.336206570000002</v>
      </c>
      <c r="Y157" s="1589">
        <v>2061.0253438700001</v>
      </c>
      <c r="Z157" s="1589">
        <v>925.27974417999997</v>
      </c>
      <c r="AA157" s="1589">
        <v>885.08972990999996</v>
      </c>
      <c r="AB157" s="1589">
        <v>40.190014269999999</v>
      </c>
      <c r="AC157" s="1589">
        <v>1135.7455996900001</v>
      </c>
      <c r="AD157" s="1589">
        <v>1109.35528922</v>
      </c>
      <c r="AE157" s="1589">
        <v>26.390310469999999</v>
      </c>
    </row>
    <row r="158" spans="1:31">
      <c r="A158" s="1590" t="s">
        <v>19</v>
      </c>
      <c r="B158" s="1589">
        <v>8379.9494325300002</v>
      </c>
      <c r="C158" s="1589">
        <v>4179.61345661</v>
      </c>
      <c r="D158" s="1589">
        <v>4200.3359759200002</v>
      </c>
      <c r="E158" s="1589">
        <v>8098.0065849700004</v>
      </c>
      <c r="F158" s="1589">
        <v>4065.72686651</v>
      </c>
      <c r="G158" s="1589">
        <v>4032.2797184599999</v>
      </c>
      <c r="H158" s="1589">
        <v>281.94284756000002</v>
      </c>
      <c r="I158" s="1589">
        <v>113.88659010000001</v>
      </c>
      <c r="J158" s="1589">
        <v>168.05625746000001</v>
      </c>
      <c r="K158" s="1589">
        <v>6310.7346587000002</v>
      </c>
      <c r="L158" s="1589">
        <v>3243.9089990000002</v>
      </c>
      <c r="M158" s="1589">
        <v>3171.84538617</v>
      </c>
      <c r="N158" s="1589">
        <v>72.063612829999997</v>
      </c>
      <c r="O158" s="1589">
        <v>3066.8256597</v>
      </c>
      <c r="P158" s="1589">
        <v>2925.0313744599998</v>
      </c>
      <c r="Q158" s="1589">
        <v>141.79428523999999</v>
      </c>
      <c r="R158" s="1589">
        <v>3578.7500446899999</v>
      </c>
      <c r="S158" s="1589">
        <v>1952.0224437500001</v>
      </c>
      <c r="T158" s="1589">
        <v>1919.8020653399999</v>
      </c>
      <c r="U158" s="1589">
        <v>32.220378410000002</v>
      </c>
      <c r="V158" s="1589">
        <v>1626.72760094</v>
      </c>
      <c r="W158" s="1589">
        <v>1537.3435411299999</v>
      </c>
      <c r="X158" s="1589">
        <v>89.384059809999997</v>
      </c>
      <c r="Y158" s="1589">
        <v>2069.21477383</v>
      </c>
      <c r="Z158" s="1589">
        <v>935.70445760999996</v>
      </c>
      <c r="AA158" s="1589">
        <v>893.88148034000005</v>
      </c>
      <c r="AB158" s="1589">
        <v>41.822977270000003</v>
      </c>
      <c r="AC158" s="1589">
        <v>1133.51031622</v>
      </c>
      <c r="AD158" s="1589">
        <v>1107.2483440000001</v>
      </c>
      <c r="AE158" s="1589">
        <v>26.261972220000001</v>
      </c>
    </row>
    <row r="159" spans="1:31">
      <c r="A159" s="1590" t="s">
        <v>20</v>
      </c>
      <c r="B159" s="1589">
        <v>8147.4812487700001</v>
      </c>
      <c r="C159" s="1589">
        <v>4045.8177111199998</v>
      </c>
      <c r="D159" s="1589">
        <v>4101.6635376499999</v>
      </c>
      <c r="E159" s="1589">
        <v>7868.0425565699998</v>
      </c>
      <c r="F159" s="1589">
        <v>3930.8534901799999</v>
      </c>
      <c r="G159" s="1589">
        <v>3937.1890663899999</v>
      </c>
      <c r="H159" s="1589">
        <v>279.43869219999999</v>
      </c>
      <c r="I159" s="1589">
        <v>114.96422094</v>
      </c>
      <c r="J159" s="1589">
        <v>164.47447126</v>
      </c>
      <c r="K159" s="1589">
        <v>6074.4546684500001</v>
      </c>
      <c r="L159" s="1589">
        <v>3100.1470525300001</v>
      </c>
      <c r="M159" s="1589">
        <v>3027.17852498</v>
      </c>
      <c r="N159" s="1589">
        <v>72.968527550000005</v>
      </c>
      <c r="O159" s="1589">
        <v>2974.30761592</v>
      </c>
      <c r="P159" s="1589">
        <v>2836.94836412</v>
      </c>
      <c r="Q159" s="1589">
        <v>137.35925180000001</v>
      </c>
      <c r="R159" s="1589">
        <v>3326.6817631399999</v>
      </c>
      <c r="S159" s="1589">
        <v>1737.5526218699999</v>
      </c>
      <c r="T159" s="1589">
        <v>1705.25479344</v>
      </c>
      <c r="U159" s="1589">
        <v>32.297828430000003</v>
      </c>
      <c r="V159" s="1589">
        <v>1589.12914127</v>
      </c>
      <c r="W159" s="1589">
        <v>1502.4335048</v>
      </c>
      <c r="X159" s="1589">
        <v>86.695636469999997</v>
      </c>
      <c r="Y159" s="1589">
        <v>2073.02658032</v>
      </c>
      <c r="Z159" s="1589">
        <v>945.67065859000002</v>
      </c>
      <c r="AA159" s="1589">
        <v>903.67496519999997</v>
      </c>
      <c r="AB159" s="1589">
        <v>41.99569339</v>
      </c>
      <c r="AC159" s="1589">
        <v>1127.3559217300001</v>
      </c>
      <c r="AD159" s="1589">
        <v>1100.2407022699999</v>
      </c>
      <c r="AE159" s="1589">
        <v>27.115219459999999</v>
      </c>
    </row>
    <row r="160" spans="1:31">
      <c r="A160" s="1590" t="s">
        <v>21</v>
      </c>
      <c r="B160" s="1589">
        <v>8352.9226073400005</v>
      </c>
      <c r="C160" s="1589">
        <v>4285.2235069199996</v>
      </c>
      <c r="D160" s="1589">
        <v>4067.6991004199999</v>
      </c>
      <c r="E160" s="1589">
        <v>8074.5427841800001</v>
      </c>
      <c r="F160" s="1589">
        <v>4166.9760101600004</v>
      </c>
      <c r="G160" s="1589">
        <v>3907.5667740200001</v>
      </c>
      <c r="H160" s="1589">
        <v>278.37982316</v>
      </c>
      <c r="I160" s="1589">
        <v>118.24749676</v>
      </c>
      <c r="J160" s="1589">
        <v>160.13232640000001</v>
      </c>
      <c r="K160" s="1589">
        <v>6259.2910267999996</v>
      </c>
      <c r="L160" s="1589">
        <v>3317.3896296299999</v>
      </c>
      <c r="M160" s="1589">
        <v>3241.7320842600002</v>
      </c>
      <c r="N160" s="1589">
        <v>75.657545369999994</v>
      </c>
      <c r="O160" s="1589">
        <v>2941.9013971700001</v>
      </c>
      <c r="P160" s="1589">
        <v>2808.40436869</v>
      </c>
      <c r="Q160" s="1589">
        <v>133.49702848000001</v>
      </c>
      <c r="R160" s="1589">
        <v>3438.04072623</v>
      </c>
      <c r="S160" s="1589">
        <v>1862.40869152</v>
      </c>
      <c r="T160" s="1589">
        <v>1828.3675774799999</v>
      </c>
      <c r="U160" s="1589">
        <v>34.041114039999997</v>
      </c>
      <c r="V160" s="1589">
        <v>1575.63203471</v>
      </c>
      <c r="W160" s="1589">
        <v>1492.01292595</v>
      </c>
      <c r="X160" s="1589">
        <v>83.619108760000003</v>
      </c>
      <c r="Y160" s="1589">
        <v>2093.63158054</v>
      </c>
      <c r="Z160" s="1589">
        <v>967.83387729000003</v>
      </c>
      <c r="AA160" s="1589">
        <v>925.24392590000002</v>
      </c>
      <c r="AB160" s="1589">
        <v>42.589951390000003</v>
      </c>
      <c r="AC160" s="1589">
        <v>1125.79770325</v>
      </c>
      <c r="AD160" s="1589">
        <v>1099.16240533</v>
      </c>
      <c r="AE160" s="1589">
        <v>26.635297919999999</v>
      </c>
    </row>
    <row r="161" spans="1:31">
      <c r="A161" s="1590" t="s">
        <v>22</v>
      </c>
      <c r="B161" s="1589">
        <v>8635.1500713999994</v>
      </c>
      <c r="C161" s="1589">
        <v>4741.6438670300004</v>
      </c>
      <c r="D161" s="1589">
        <v>3893.50620437</v>
      </c>
      <c r="E161" s="1589">
        <v>8355.7176927</v>
      </c>
      <c r="F161" s="1589">
        <v>4621.5517271999997</v>
      </c>
      <c r="G161" s="1589">
        <v>3734.1659654999999</v>
      </c>
      <c r="H161" s="1589">
        <v>279.43237870000002</v>
      </c>
      <c r="I161" s="1589">
        <v>120.09213982999999</v>
      </c>
      <c r="J161" s="1589">
        <v>159.34023887000001</v>
      </c>
      <c r="K161" s="1589">
        <v>6500.4225577300003</v>
      </c>
      <c r="L161" s="1589">
        <v>3758.08346248</v>
      </c>
      <c r="M161" s="1589">
        <v>3681.3617859800001</v>
      </c>
      <c r="N161" s="1589">
        <v>76.721676500000001</v>
      </c>
      <c r="O161" s="1589">
        <v>2742.3390952499999</v>
      </c>
      <c r="P161" s="1589">
        <v>2609.64231642</v>
      </c>
      <c r="Q161" s="1589">
        <v>132.69677883</v>
      </c>
      <c r="R161" s="1589">
        <v>3639.25691886</v>
      </c>
      <c r="S161" s="1589">
        <v>2257.2199849100002</v>
      </c>
      <c r="T161" s="1589">
        <v>2223.2501714599998</v>
      </c>
      <c r="U161" s="1589">
        <v>33.969813449999997</v>
      </c>
      <c r="V161" s="1589">
        <v>1382.03693395</v>
      </c>
      <c r="W161" s="1589">
        <v>1298.17477162</v>
      </c>
      <c r="X161" s="1589">
        <v>83.862162330000004</v>
      </c>
      <c r="Y161" s="1589">
        <v>2134.72751367</v>
      </c>
      <c r="Z161" s="1589">
        <v>983.56040455000004</v>
      </c>
      <c r="AA161" s="1589">
        <v>940.18994122000004</v>
      </c>
      <c r="AB161" s="1589">
        <v>43.37046333</v>
      </c>
      <c r="AC161" s="1589">
        <v>1151.1671091200001</v>
      </c>
      <c r="AD161" s="1589">
        <v>1124.52364908</v>
      </c>
      <c r="AE161" s="1589">
        <v>26.643460040000001</v>
      </c>
    </row>
    <row r="162" spans="1:31">
      <c r="A162" s="1590" t="s">
        <v>23</v>
      </c>
      <c r="B162" s="1589">
        <v>8435.4425984400004</v>
      </c>
      <c r="C162" s="1589">
        <v>4581.7992435400001</v>
      </c>
      <c r="D162" s="1589">
        <v>3853.6433548999998</v>
      </c>
      <c r="E162" s="1589">
        <v>8139.9971844399997</v>
      </c>
      <c r="F162" s="1589">
        <v>4449.0094980200001</v>
      </c>
      <c r="G162" s="1589">
        <v>3690.98768642</v>
      </c>
      <c r="H162" s="1589">
        <v>295.44541400000003</v>
      </c>
      <c r="I162" s="1589">
        <v>132.78974552</v>
      </c>
      <c r="J162" s="1589">
        <v>162.65566848</v>
      </c>
      <c r="K162" s="1589">
        <v>6291.30578582</v>
      </c>
      <c r="L162" s="1589">
        <v>3566.5089448600002</v>
      </c>
      <c r="M162" s="1589">
        <v>3482.4114636700001</v>
      </c>
      <c r="N162" s="1589">
        <v>84.097481189999996</v>
      </c>
      <c r="O162" s="1589">
        <v>2724.7968409599998</v>
      </c>
      <c r="P162" s="1589">
        <v>2588.7485390500001</v>
      </c>
      <c r="Q162" s="1589">
        <v>136.04830190999999</v>
      </c>
      <c r="R162" s="1589">
        <v>3413.2464435000002</v>
      </c>
      <c r="S162" s="1589">
        <v>2038.4566502800001</v>
      </c>
      <c r="T162" s="1589">
        <v>1996.9320044999999</v>
      </c>
      <c r="U162" s="1589">
        <v>41.52464578</v>
      </c>
      <c r="V162" s="1589">
        <v>1374.7897932200001</v>
      </c>
      <c r="W162" s="1589">
        <v>1287.4633945</v>
      </c>
      <c r="X162" s="1589">
        <v>87.32639872</v>
      </c>
      <c r="Y162" s="1589">
        <v>2144.13681262</v>
      </c>
      <c r="Z162" s="1589">
        <v>1015.29029868</v>
      </c>
      <c r="AA162" s="1589">
        <v>966.59803435000003</v>
      </c>
      <c r="AB162" s="1589">
        <v>48.69226433</v>
      </c>
      <c r="AC162" s="1589">
        <v>1128.84651394</v>
      </c>
      <c r="AD162" s="1589">
        <v>1102.23914737</v>
      </c>
      <c r="AE162" s="1589">
        <v>26.60736657</v>
      </c>
    </row>
    <row r="163" spans="1:31">
      <c r="A163" s="1590" t="s">
        <v>24</v>
      </c>
      <c r="B163" s="1589">
        <v>8605.9042542200004</v>
      </c>
      <c r="C163" s="1589">
        <v>4761.0766930299997</v>
      </c>
      <c r="D163" s="1589">
        <v>3844.8275611899999</v>
      </c>
      <c r="E163" s="1589">
        <v>8321.22249663</v>
      </c>
      <c r="F163" s="1589">
        <v>4629.4249076799997</v>
      </c>
      <c r="G163" s="1589">
        <v>3691.7975889499999</v>
      </c>
      <c r="H163" s="1589">
        <v>284.68175759000002</v>
      </c>
      <c r="I163" s="1589">
        <v>131.65178535000001</v>
      </c>
      <c r="J163" s="1589">
        <v>153.02997224000001</v>
      </c>
      <c r="K163" s="1589">
        <v>6422.1753865199998</v>
      </c>
      <c r="L163" s="1589">
        <v>3705.1841592300002</v>
      </c>
      <c r="M163" s="1589">
        <v>3628.8730972100002</v>
      </c>
      <c r="N163" s="1589">
        <v>76.311062019999994</v>
      </c>
      <c r="O163" s="1589">
        <v>2716.9912272900001</v>
      </c>
      <c r="P163" s="1589">
        <v>2584.9870099200002</v>
      </c>
      <c r="Q163" s="1589">
        <v>132.00421736999999</v>
      </c>
      <c r="R163" s="1589">
        <v>3501.4101960600001</v>
      </c>
      <c r="S163" s="1589">
        <v>2127.4191736799999</v>
      </c>
      <c r="T163" s="1589">
        <v>2093.52965993</v>
      </c>
      <c r="U163" s="1589">
        <v>33.889513749999999</v>
      </c>
      <c r="V163" s="1589">
        <v>1373.99102238</v>
      </c>
      <c r="W163" s="1589">
        <v>1287.17599028</v>
      </c>
      <c r="X163" s="1589">
        <v>86.815032099999996</v>
      </c>
      <c r="Y163" s="1589">
        <v>2183.7288677000001</v>
      </c>
      <c r="Z163" s="1589">
        <v>1055.8925337999999</v>
      </c>
      <c r="AA163" s="1589">
        <v>1000.55181047</v>
      </c>
      <c r="AB163" s="1589">
        <v>55.340723330000003</v>
      </c>
      <c r="AC163" s="1589">
        <v>1127.8363339</v>
      </c>
      <c r="AD163" s="1589">
        <v>1106.8105790300001</v>
      </c>
      <c r="AE163" s="1589">
        <v>21.02575487</v>
      </c>
    </row>
    <row r="164" spans="1:31">
      <c r="A164" s="1590" t="s">
        <v>25</v>
      </c>
      <c r="B164" s="1589">
        <v>8559.0822393500002</v>
      </c>
      <c r="C164" s="1589">
        <v>4730.9916831399996</v>
      </c>
      <c r="D164" s="1589">
        <v>3828.0905562100002</v>
      </c>
      <c r="E164" s="1589">
        <v>8261.4924521299999</v>
      </c>
      <c r="F164" s="1589">
        <v>4597.4322888400002</v>
      </c>
      <c r="G164" s="1589">
        <v>3664.0601632900002</v>
      </c>
      <c r="H164" s="1589">
        <v>297.58978722000001</v>
      </c>
      <c r="I164" s="1589">
        <v>133.55939430000001</v>
      </c>
      <c r="J164" s="1589">
        <v>164.03039292</v>
      </c>
      <c r="K164" s="1589">
        <v>6323.5981685300003</v>
      </c>
      <c r="L164" s="1589">
        <v>3631.5454062200001</v>
      </c>
      <c r="M164" s="1589">
        <v>3554.6811667799998</v>
      </c>
      <c r="N164" s="1589">
        <v>76.864239440000006</v>
      </c>
      <c r="O164" s="1589">
        <v>2692.0527623100002</v>
      </c>
      <c r="P164" s="1589">
        <v>2546.1328347100002</v>
      </c>
      <c r="Q164" s="1589">
        <v>145.91992759999999</v>
      </c>
      <c r="R164" s="1589">
        <v>3376.6097092800001</v>
      </c>
      <c r="S164" s="1589">
        <v>2027.70204623</v>
      </c>
      <c r="T164" s="1589">
        <v>1993.92368672</v>
      </c>
      <c r="U164" s="1589">
        <v>33.778359510000001</v>
      </c>
      <c r="V164" s="1589">
        <v>1348.9076630500001</v>
      </c>
      <c r="W164" s="1589">
        <v>1249.4033742399999</v>
      </c>
      <c r="X164" s="1589">
        <v>99.504288810000006</v>
      </c>
      <c r="Y164" s="1589">
        <v>2235.4840708199999</v>
      </c>
      <c r="Z164" s="1589">
        <v>1099.4462769199999</v>
      </c>
      <c r="AA164" s="1589">
        <v>1042.7511220599999</v>
      </c>
      <c r="AB164" s="1589">
        <v>56.695154860000002</v>
      </c>
      <c r="AC164" s="1589">
        <v>1136.0377939</v>
      </c>
      <c r="AD164" s="1589">
        <v>1117.92732858</v>
      </c>
      <c r="AE164" s="1589">
        <v>18.110465319999999</v>
      </c>
    </row>
    <row r="165" spans="1:31">
      <c r="A165" s="1590" t="s">
        <v>26</v>
      </c>
      <c r="B165" s="1589">
        <v>8838.1387690800002</v>
      </c>
      <c r="C165" s="1589">
        <v>4985.1133417399997</v>
      </c>
      <c r="D165" s="1589">
        <v>3853.0254273400001</v>
      </c>
      <c r="E165" s="1589">
        <v>8517.3071868499992</v>
      </c>
      <c r="F165" s="1589">
        <v>4848.2476680199998</v>
      </c>
      <c r="G165" s="1589">
        <v>3669.0595188299999</v>
      </c>
      <c r="H165" s="1589">
        <v>320.83158222999998</v>
      </c>
      <c r="I165" s="1589">
        <v>136.86567371999999</v>
      </c>
      <c r="J165" s="1589">
        <v>183.96590850999999</v>
      </c>
      <c r="K165" s="1589">
        <v>6577.4633797200004</v>
      </c>
      <c r="L165" s="1589">
        <v>3841.5036752199999</v>
      </c>
      <c r="M165" s="1589">
        <v>3762.0730803599999</v>
      </c>
      <c r="N165" s="1589">
        <v>79.430594859999999</v>
      </c>
      <c r="O165" s="1589">
        <v>2735.9597045</v>
      </c>
      <c r="P165" s="1589">
        <v>2569.6455630599999</v>
      </c>
      <c r="Q165" s="1589">
        <v>166.31414143999999</v>
      </c>
      <c r="R165" s="1589">
        <v>3586.6666125400002</v>
      </c>
      <c r="S165" s="1589">
        <v>2190.4178669900002</v>
      </c>
      <c r="T165" s="1589">
        <v>2155.3955713199998</v>
      </c>
      <c r="U165" s="1589">
        <v>35.022295669999998</v>
      </c>
      <c r="V165" s="1589">
        <v>1396.24874555</v>
      </c>
      <c r="W165" s="1589">
        <v>1274.75617027</v>
      </c>
      <c r="X165" s="1589">
        <v>121.49257528</v>
      </c>
      <c r="Y165" s="1589">
        <v>2260.6753893599998</v>
      </c>
      <c r="Z165" s="1589">
        <v>1143.60966652</v>
      </c>
      <c r="AA165" s="1589">
        <v>1086.17458766</v>
      </c>
      <c r="AB165" s="1589">
        <v>57.435078859999997</v>
      </c>
      <c r="AC165" s="1589">
        <v>1117.06572284</v>
      </c>
      <c r="AD165" s="1589">
        <v>1099.41395577</v>
      </c>
      <c r="AE165" s="1589">
        <v>17.651767069999998</v>
      </c>
    </row>
    <row r="166" spans="1:31">
      <c r="A166" s="1590" t="s">
        <v>27</v>
      </c>
      <c r="B166" s="1589">
        <v>8887.43293945</v>
      </c>
      <c r="C166" s="1589">
        <v>5043.4021403300003</v>
      </c>
      <c r="D166" s="1589">
        <v>3844.0307991200002</v>
      </c>
      <c r="E166" s="1589">
        <v>8587.7660369700006</v>
      </c>
      <c r="F166" s="1589">
        <v>4907.0254985700003</v>
      </c>
      <c r="G166" s="1589">
        <v>3680.7405383999999</v>
      </c>
      <c r="H166" s="1589">
        <v>299.66690247999998</v>
      </c>
      <c r="I166" s="1589">
        <v>136.37664176000001</v>
      </c>
      <c r="J166" s="1589">
        <v>163.29026071999999</v>
      </c>
      <c r="K166" s="1589">
        <v>6603.07606364</v>
      </c>
      <c r="L166" s="1589">
        <v>3862.6714207099999</v>
      </c>
      <c r="M166" s="1589">
        <v>3782.9607208100001</v>
      </c>
      <c r="N166" s="1589">
        <v>79.710699899999994</v>
      </c>
      <c r="O166" s="1589">
        <v>2740.4046429300001</v>
      </c>
      <c r="P166" s="1589">
        <v>2595.12620526</v>
      </c>
      <c r="Q166" s="1589">
        <v>145.27843766999999</v>
      </c>
      <c r="R166" s="1589">
        <v>3612.9317821599998</v>
      </c>
      <c r="S166" s="1589">
        <v>2184.0029753099998</v>
      </c>
      <c r="T166" s="1589">
        <v>2149.5991926199999</v>
      </c>
      <c r="U166" s="1589">
        <v>34.40378269</v>
      </c>
      <c r="V166" s="1589">
        <v>1428.92880685</v>
      </c>
      <c r="W166" s="1589">
        <v>1327.81208012</v>
      </c>
      <c r="X166" s="1589">
        <v>101.11672673</v>
      </c>
      <c r="Y166" s="1589">
        <v>2284.35687581</v>
      </c>
      <c r="Z166" s="1589">
        <v>1180.7307196199999</v>
      </c>
      <c r="AA166" s="1589">
        <v>1124.06477776</v>
      </c>
      <c r="AB166" s="1589">
        <v>56.665941859999997</v>
      </c>
      <c r="AC166" s="1589">
        <v>1103.6261561900001</v>
      </c>
      <c r="AD166" s="1589">
        <v>1085.6143331400001</v>
      </c>
      <c r="AE166" s="1589">
        <v>18.01182305</v>
      </c>
    </row>
    <row r="167" spans="1:31">
      <c r="A167" s="1590">
        <v>11</v>
      </c>
      <c r="B167" s="1589">
        <v>9051.7110219499991</v>
      </c>
      <c r="C167" s="1589">
        <v>5254.7803552300002</v>
      </c>
      <c r="D167" s="1589">
        <v>3796.9306667199999</v>
      </c>
      <c r="E167" s="1589">
        <v>8757.4162792700008</v>
      </c>
      <c r="F167" s="1589">
        <v>5120.6421594100002</v>
      </c>
      <c r="G167" s="1589">
        <v>3636.7741198600002</v>
      </c>
      <c r="H167" s="1589">
        <v>294.29474268000001</v>
      </c>
      <c r="I167" s="1589">
        <v>134.13819581999999</v>
      </c>
      <c r="J167" s="1589">
        <v>160.15654685999999</v>
      </c>
      <c r="K167" s="1589">
        <v>6753.59731981</v>
      </c>
      <c r="L167" s="1589">
        <v>4038.55277948</v>
      </c>
      <c r="M167" s="1589">
        <v>3959.3488665199998</v>
      </c>
      <c r="N167" s="1589">
        <v>79.203912959999997</v>
      </c>
      <c r="O167" s="1589">
        <v>2715.04454033</v>
      </c>
      <c r="P167" s="1589">
        <v>2571.8813212099999</v>
      </c>
      <c r="Q167" s="1589">
        <v>143.16321912000001</v>
      </c>
      <c r="R167" s="1589">
        <v>3768.8603391800002</v>
      </c>
      <c r="S167" s="1589">
        <v>2358.6125810600001</v>
      </c>
      <c r="T167" s="1589">
        <v>2322.9282862199998</v>
      </c>
      <c r="U167" s="1589">
        <v>35.68429484</v>
      </c>
      <c r="V167" s="1589">
        <v>1410.2477581200001</v>
      </c>
      <c r="W167" s="1589">
        <v>1310.8146338700001</v>
      </c>
      <c r="X167" s="1589">
        <v>99.433124250000006</v>
      </c>
      <c r="Y167" s="1589">
        <v>2298.11370214</v>
      </c>
      <c r="Z167" s="1589">
        <v>1216.2275757499999</v>
      </c>
      <c r="AA167" s="1589">
        <v>1161.29329289</v>
      </c>
      <c r="AB167" s="1589">
        <v>54.934282860000003</v>
      </c>
      <c r="AC167" s="1589">
        <v>1081.8861263900001</v>
      </c>
      <c r="AD167" s="1589">
        <v>1064.89279865</v>
      </c>
      <c r="AE167" s="1589">
        <v>16.993327740000002</v>
      </c>
    </row>
    <row r="168" spans="1:31">
      <c r="A168" s="1590">
        <v>12</v>
      </c>
      <c r="B168" s="1589">
        <v>9241.4627988800003</v>
      </c>
      <c r="C168" s="1589">
        <v>5452.1802261399998</v>
      </c>
      <c r="D168" s="1589">
        <v>3789.28257274</v>
      </c>
      <c r="E168" s="1589">
        <v>8940.1440179199999</v>
      </c>
      <c r="F168" s="1589">
        <v>5312.9808875799999</v>
      </c>
      <c r="G168" s="1589">
        <v>3627.16313034</v>
      </c>
      <c r="H168" s="1589">
        <v>301.31878096000003</v>
      </c>
      <c r="I168" s="1589">
        <v>139.19933856</v>
      </c>
      <c r="J168" s="1589">
        <v>162.1194424</v>
      </c>
      <c r="K168" s="1589">
        <v>6910.3335272200002</v>
      </c>
      <c r="L168" s="1589">
        <v>4176.6579646999999</v>
      </c>
      <c r="M168" s="1589">
        <v>4092.6520239900001</v>
      </c>
      <c r="N168" s="1589">
        <v>84.005940710000004</v>
      </c>
      <c r="O168" s="1589">
        <v>2733.6755625199999</v>
      </c>
      <c r="P168" s="1589">
        <v>2588.3519029300001</v>
      </c>
      <c r="Q168" s="1589">
        <v>145.32365959000001</v>
      </c>
      <c r="R168" s="1589">
        <v>3880.1064687799999</v>
      </c>
      <c r="S168" s="1589">
        <v>2489.5264264500001</v>
      </c>
      <c r="T168" s="1589">
        <v>2449.2419848200002</v>
      </c>
      <c r="U168" s="1589">
        <v>40.284441630000003</v>
      </c>
      <c r="V168" s="1589">
        <v>1390.58004233</v>
      </c>
      <c r="W168" s="1589">
        <v>1303.5227148700001</v>
      </c>
      <c r="X168" s="1589">
        <v>87.057327459999996</v>
      </c>
      <c r="Y168" s="1589">
        <v>2331.1292716600001</v>
      </c>
      <c r="Z168" s="1589">
        <v>1275.52226144</v>
      </c>
      <c r="AA168" s="1589">
        <v>1220.3288635900001</v>
      </c>
      <c r="AB168" s="1589">
        <v>55.193397849999997</v>
      </c>
      <c r="AC168" s="1589">
        <v>1055.6070102199999</v>
      </c>
      <c r="AD168" s="1589">
        <v>1038.8112274099999</v>
      </c>
      <c r="AE168" s="1589">
        <v>16.795782809999999</v>
      </c>
    </row>
    <row r="169" spans="1:31">
      <c r="A169" s="1590">
        <v>2022</v>
      </c>
      <c r="B169" s="1589"/>
      <c r="C169" s="1589"/>
      <c r="D169" s="1589"/>
      <c r="E169" s="1589"/>
      <c r="F169" s="1589"/>
      <c r="G169" s="1589"/>
      <c r="H169" s="1589"/>
      <c r="I169" s="1589"/>
      <c r="J169" s="1589"/>
      <c r="K169" s="1589"/>
      <c r="L169" s="1589"/>
      <c r="M169" s="1589"/>
      <c r="N169" s="1589"/>
      <c r="O169" s="1589"/>
      <c r="P169" s="1589"/>
      <c r="Q169" s="1589"/>
      <c r="R169" s="1589"/>
      <c r="S169" s="1589"/>
      <c r="T169" s="1589"/>
      <c r="U169" s="1589"/>
      <c r="V169" s="1589"/>
      <c r="W169" s="1589"/>
      <c r="X169" s="1589"/>
      <c r="Y169" s="1589"/>
      <c r="Z169" s="1589"/>
      <c r="AA169" s="1589"/>
      <c r="AB169" s="1589"/>
      <c r="AC169" s="1589"/>
      <c r="AD169" s="1589"/>
      <c r="AE169" s="1589"/>
    </row>
    <row r="170" spans="1:31">
      <c r="A170" s="1590" t="s">
        <v>18</v>
      </c>
      <c r="B170" s="1589">
        <v>9635.77302366</v>
      </c>
      <c r="C170" s="1589">
        <v>5848.6432424000004</v>
      </c>
      <c r="D170" s="1589">
        <v>3787.1297812600001</v>
      </c>
      <c r="E170" s="1589">
        <v>9341.6568032100004</v>
      </c>
      <c r="F170" s="1589">
        <v>5715.3797942600004</v>
      </c>
      <c r="G170" s="1589">
        <v>3626.27700895</v>
      </c>
      <c r="H170" s="1589">
        <v>294.11622045000001</v>
      </c>
      <c r="I170" s="1589">
        <v>133.26344814000001</v>
      </c>
      <c r="J170" s="1589">
        <v>160.85277231000001</v>
      </c>
      <c r="K170" s="1589">
        <v>7276.9785544899996</v>
      </c>
      <c r="L170" s="1589">
        <v>4555.9724037400001</v>
      </c>
      <c r="M170" s="1589">
        <v>4478.0677056499999</v>
      </c>
      <c r="N170" s="1589">
        <v>77.904698089999997</v>
      </c>
      <c r="O170" s="1589">
        <v>2721.00615075</v>
      </c>
      <c r="P170" s="1589">
        <v>2577.2879420200002</v>
      </c>
      <c r="Q170" s="1589">
        <v>143.71820872999999</v>
      </c>
      <c r="R170" s="1589">
        <v>4225.2438634500004</v>
      </c>
      <c r="S170" s="1589">
        <v>2845.2499069099999</v>
      </c>
      <c r="T170" s="1589">
        <v>2811.2737275600002</v>
      </c>
      <c r="U170" s="1589">
        <v>33.976179350000002</v>
      </c>
      <c r="V170" s="1589">
        <v>1379.99395654</v>
      </c>
      <c r="W170" s="1589">
        <v>1292.72996625</v>
      </c>
      <c r="X170" s="1589">
        <v>87.263990289999995</v>
      </c>
      <c r="Y170" s="1589">
        <v>2358.79446917</v>
      </c>
      <c r="Z170" s="1589">
        <v>1292.6708386600001</v>
      </c>
      <c r="AA170" s="1589">
        <v>1237.31208861</v>
      </c>
      <c r="AB170" s="1589">
        <v>55.358750049999998</v>
      </c>
      <c r="AC170" s="1589">
        <v>1066.1236305100001</v>
      </c>
      <c r="AD170" s="1589">
        <v>1048.98906693</v>
      </c>
      <c r="AE170" s="1589">
        <v>17.134563579999998</v>
      </c>
    </row>
    <row r="171" spans="1:31">
      <c r="A171" s="1590" t="s">
        <v>19</v>
      </c>
      <c r="B171" s="1589">
        <v>10036.66102424</v>
      </c>
      <c r="C171" s="1589">
        <v>5982.7936873899998</v>
      </c>
      <c r="D171" s="1589">
        <v>4053.8673368499999</v>
      </c>
      <c r="E171" s="1589">
        <v>9484.9655012599997</v>
      </c>
      <c r="F171" s="1589">
        <v>5848.3744376900004</v>
      </c>
      <c r="G171" s="1589">
        <v>3636.5910635700002</v>
      </c>
      <c r="H171" s="1589">
        <v>551.69552297999996</v>
      </c>
      <c r="I171" s="1589">
        <v>134.41924969999999</v>
      </c>
      <c r="J171" s="1589">
        <v>417.27627328</v>
      </c>
      <c r="K171" s="1589">
        <v>7684.9544048199996</v>
      </c>
      <c r="L171" s="1589">
        <v>4675.9455449400002</v>
      </c>
      <c r="M171" s="1589">
        <v>4597.7253658199998</v>
      </c>
      <c r="N171" s="1589">
        <v>78.220179119999997</v>
      </c>
      <c r="O171" s="1589">
        <v>3009.0088598799998</v>
      </c>
      <c r="P171" s="1589">
        <v>2608.1366980299999</v>
      </c>
      <c r="Q171" s="1589">
        <v>400.87216185</v>
      </c>
      <c r="R171" s="1589">
        <v>4585.2542142900002</v>
      </c>
      <c r="S171" s="1589">
        <v>2923.8951665700001</v>
      </c>
      <c r="T171" s="1589">
        <v>2888.8425836199999</v>
      </c>
      <c r="U171" s="1589">
        <v>35.052582950000001</v>
      </c>
      <c r="V171" s="1589">
        <v>1661.35904772</v>
      </c>
      <c r="W171" s="1589">
        <v>1317.0594983799999</v>
      </c>
      <c r="X171" s="1589">
        <v>344.29954934</v>
      </c>
      <c r="Y171" s="1589">
        <v>2351.7066194200002</v>
      </c>
      <c r="Z171" s="1589">
        <v>1306.8481424500001</v>
      </c>
      <c r="AA171" s="1589">
        <v>1250.6490718699999</v>
      </c>
      <c r="AB171" s="1589">
        <v>56.199070579999997</v>
      </c>
      <c r="AC171" s="1589">
        <v>1044.8584769700001</v>
      </c>
      <c r="AD171" s="1589">
        <v>1028.45436554</v>
      </c>
      <c r="AE171" s="1589">
        <v>16.40411143</v>
      </c>
    </row>
    <row r="172" spans="1:31">
      <c r="A172" s="1590" t="s">
        <v>20</v>
      </c>
      <c r="B172" s="1589">
        <v>10372.044511300001</v>
      </c>
      <c r="C172" s="1589">
        <v>5984.902846</v>
      </c>
      <c r="D172" s="1589">
        <v>4387.1416652999997</v>
      </c>
      <c r="E172" s="1589">
        <v>9649.5362059199997</v>
      </c>
      <c r="F172" s="1589">
        <v>5799.1541748099999</v>
      </c>
      <c r="G172" s="1589">
        <v>3850.3820311099998</v>
      </c>
      <c r="H172" s="1589">
        <v>722.50830538000002</v>
      </c>
      <c r="I172" s="1589">
        <v>185.74867119000001</v>
      </c>
      <c r="J172" s="1589">
        <v>536.75963419000004</v>
      </c>
      <c r="K172" s="1589">
        <v>7960.1588202800003</v>
      </c>
      <c r="L172" s="1589">
        <v>4676.9493255199995</v>
      </c>
      <c r="M172" s="1589">
        <v>4546.70126291</v>
      </c>
      <c r="N172" s="1589">
        <v>130.24806261000001</v>
      </c>
      <c r="O172" s="1589">
        <v>3283.2094947599999</v>
      </c>
      <c r="P172" s="1589">
        <v>2762.2598720199999</v>
      </c>
      <c r="Q172" s="1589">
        <v>520.94962274</v>
      </c>
      <c r="R172" s="1589">
        <v>4850.6633906500001</v>
      </c>
      <c r="S172" s="1589">
        <v>2903.2585276899999</v>
      </c>
      <c r="T172" s="1589">
        <v>2822.9967970900002</v>
      </c>
      <c r="U172" s="1589">
        <v>80.261730600000007</v>
      </c>
      <c r="V172" s="1589">
        <v>1947.4048629599999</v>
      </c>
      <c r="W172" s="1589">
        <v>1482.1457714799999</v>
      </c>
      <c r="X172" s="1589">
        <v>465.25909148</v>
      </c>
      <c r="Y172" s="1589">
        <v>2411.8856910200002</v>
      </c>
      <c r="Z172" s="1589">
        <v>1307.95352048</v>
      </c>
      <c r="AA172" s="1589">
        <v>1252.4529118999999</v>
      </c>
      <c r="AB172" s="1589">
        <v>55.500608579999998</v>
      </c>
      <c r="AC172" s="1589">
        <v>1103.93217054</v>
      </c>
      <c r="AD172" s="1589">
        <v>1088.12215909</v>
      </c>
      <c r="AE172" s="1589">
        <v>15.810011449999999</v>
      </c>
    </row>
    <row r="173" spans="1:31">
      <c r="A173" s="1590" t="s">
        <v>21</v>
      </c>
      <c r="B173" s="1589">
        <v>10515.39277742</v>
      </c>
      <c r="C173" s="1589">
        <v>6347.5218666800001</v>
      </c>
      <c r="D173" s="1589">
        <v>4167.87091074</v>
      </c>
      <c r="E173" s="1589">
        <v>9765.1999709800002</v>
      </c>
      <c r="F173" s="1589">
        <v>6139.9205868199997</v>
      </c>
      <c r="G173" s="1589">
        <v>3625.2793841600001</v>
      </c>
      <c r="H173" s="1589">
        <v>750.19280644000003</v>
      </c>
      <c r="I173" s="1589">
        <v>207.60127986000001</v>
      </c>
      <c r="J173" s="1589">
        <v>542.59152658000005</v>
      </c>
      <c r="K173" s="1589">
        <v>8164.2847321500003</v>
      </c>
      <c r="L173" s="1589">
        <v>5031.2561213999998</v>
      </c>
      <c r="M173" s="1589">
        <v>4880.6130578599996</v>
      </c>
      <c r="N173" s="1589">
        <v>150.64306354000001</v>
      </c>
      <c r="O173" s="1589">
        <v>3133.0286107500001</v>
      </c>
      <c r="P173" s="1589">
        <v>2606.2425867900001</v>
      </c>
      <c r="Q173" s="1589">
        <v>526.78602395999997</v>
      </c>
      <c r="R173" s="1589">
        <v>4921.62313739</v>
      </c>
      <c r="S173" s="1589">
        <v>3180.4450775300002</v>
      </c>
      <c r="T173" s="1589">
        <v>3101.9346117499999</v>
      </c>
      <c r="U173" s="1589">
        <v>78.510465780000004</v>
      </c>
      <c r="V173" s="1589">
        <v>1741.1780598600001</v>
      </c>
      <c r="W173" s="1589">
        <v>1272.3418328299999</v>
      </c>
      <c r="X173" s="1589">
        <v>468.83622702999998</v>
      </c>
      <c r="Y173" s="1589">
        <v>2351.1080452699998</v>
      </c>
      <c r="Z173" s="1589">
        <v>1316.2657452799999</v>
      </c>
      <c r="AA173" s="1589">
        <v>1259.3075289599999</v>
      </c>
      <c r="AB173" s="1589">
        <v>56.958216319999998</v>
      </c>
      <c r="AC173" s="1589">
        <v>1034.8422999899999</v>
      </c>
      <c r="AD173" s="1589">
        <v>1019.03679737</v>
      </c>
      <c r="AE173" s="1589">
        <v>15.80550262</v>
      </c>
    </row>
    <row r="174" spans="1:31">
      <c r="A174" s="1590" t="s">
        <v>22</v>
      </c>
      <c r="B174" s="1589">
        <v>10593.24553143</v>
      </c>
      <c r="C174" s="1589">
        <v>6228.5775272800001</v>
      </c>
      <c r="D174" s="1589">
        <v>4364.6680041500003</v>
      </c>
      <c r="E174" s="1589">
        <v>9759.8542854499992</v>
      </c>
      <c r="F174" s="1589">
        <v>6021.7685259099999</v>
      </c>
      <c r="G174" s="1589">
        <v>3738.0857595399998</v>
      </c>
      <c r="H174" s="1589">
        <v>833.39124598000001</v>
      </c>
      <c r="I174" s="1589">
        <v>206.80900137</v>
      </c>
      <c r="J174" s="1589">
        <v>626.58224460999998</v>
      </c>
      <c r="K174" s="1589">
        <v>8218.7746648499997</v>
      </c>
      <c r="L174" s="1589">
        <v>4892.7916956400004</v>
      </c>
      <c r="M174" s="1589">
        <v>4743.7776315900001</v>
      </c>
      <c r="N174" s="1589">
        <v>149.01406405</v>
      </c>
      <c r="O174" s="1589">
        <v>3325.9829692100002</v>
      </c>
      <c r="P174" s="1589">
        <v>2718.4472800600001</v>
      </c>
      <c r="Q174" s="1589">
        <v>607.53568915000005</v>
      </c>
      <c r="R174" s="1589">
        <v>4918.9092595299999</v>
      </c>
      <c r="S174" s="1589">
        <v>2987.3838202400002</v>
      </c>
      <c r="T174" s="1589">
        <v>2911.59805525</v>
      </c>
      <c r="U174" s="1589">
        <v>75.785764990000004</v>
      </c>
      <c r="V174" s="1589">
        <v>1931.5254392899999</v>
      </c>
      <c r="W174" s="1589">
        <v>1382.1583049400001</v>
      </c>
      <c r="X174" s="1589">
        <v>549.36713435000001</v>
      </c>
      <c r="Y174" s="1589">
        <v>2374.4708665799999</v>
      </c>
      <c r="Z174" s="1589">
        <v>1335.78583164</v>
      </c>
      <c r="AA174" s="1589">
        <v>1277.9908943200001</v>
      </c>
      <c r="AB174" s="1589">
        <v>57.794937320000003</v>
      </c>
      <c r="AC174" s="1589">
        <v>1038.6850349399999</v>
      </c>
      <c r="AD174" s="1589">
        <v>1019.63847948</v>
      </c>
      <c r="AE174" s="1589">
        <v>19.04655546</v>
      </c>
    </row>
    <row r="175" spans="1:31">
      <c r="A175" s="1590" t="s">
        <v>23</v>
      </c>
      <c r="B175" s="1589">
        <v>10596.171226</v>
      </c>
      <c r="C175" s="1589">
        <v>6333.8626197699996</v>
      </c>
      <c r="D175" s="1589">
        <v>4262.3086062299999</v>
      </c>
      <c r="E175" s="1589">
        <v>9793.4862938200004</v>
      </c>
      <c r="F175" s="1589">
        <v>6117.8981031499998</v>
      </c>
      <c r="G175" s="1589">
        <v>3675.5881906700001</v>
      </c>
      <c r="H175" s="1589">
        <v>802.68493218000003</v>
      </c>
      <c r="I175" s="1589">
        <v>215.96451662000001</v>
      </c>
      <c r="J175" s="1589">
        <v>586.72041555999999</v>
      </c>
      <c r="K175" s="1589">
        <v>8198.0455238899995</v>
      </c>
      <c r="L175" s="1589">
        <v>4969.7617552199999</v>
      </c>
      <c r="M175" s="1589">
        <v>4812.8019904399998</v>
      </c>
      <c r="N175" s="1589">
        <v>156.95976478</v>
      </c>
      <c r="O175" s="1589">
        <v>3228.28376867</v>
      </c>
      <c r="P175" s="1589">
        <v>2660.5503372200001</v>
      </c>
      <c r="Q175" s="1589">
        <v>567.73343145000001</v>
      </c>
      <c r="R175" s="1589">
        <v>4843.84137895</v>
      </c>
      <c r="S175" s="1589">
        <v>2995.2085680300002</v>
      </c>
      <c r="T175" s="1589">
        <v>2920.5256109400002</v>
      </c>
      <c r="U175" s="1589">
        <v>74.682957090000002</v>
      </c>
      <c r="V175" s="1589">
        <v>1848.6328109200001</v>
      </c>
      <c r="W175" s="1589">
        <v>1339.4392472100001</v>
      </c>
      <c r="X175" s="1589">
        <v>509.19356370999998</v>
      </c>
      <c r="Y175" s="1589">
        <v>2398.12570211</v>
      </c>
      <c r="Z175" s="1589">
        <v>1364.1008645500001</v>
      </c>
      <c r="AA175" s="1589">
        <v>1305.0961127099999</v>
      </c>
      <c r="AB175" s="1589">
        <v>59.004751839999997</v>
      </c>
      <c r="AC175" s="1589">
        <v>1034.0248375599999</v>
      </c>
      <c r="AD175" s="1589">
        <v>1015.0378534499999</v>
      </c>
      <c r="AE175" s="1589">
        <v>18.986984110000002</v>
      </c>
    </row>
    <row r="176" spans="1:31">
      <c r="A176" s="1590" t="s">
        <v>24</v>
      </c>
      <c r="B176" s="1589">
        <v>10817.12822398</v>
      </c>
      <c r="C176" s="1589">
        <v>6502.81593066</v>
      </c>
      <c r="D176" s="1589">
        <v>4314.3122933200002</v>
      </c>
      <c r="E176" s="1589">
        <v>9978.5272559000005</v>
      </c>
      <c r="F176" s="1589">
        <v>6284.0606119800004</v>
      </c>
      <c r="G176" s="1589">
        <v>3694.46664392</v>
      </c>
      <c r="H176" s="1589">
        <v>838.60096808000003</v>
      </c>
      <c r="I176" s="1589">
        <v>218.75531867999999</v>
      </c>
      <c r="J176" s="1589">
        <v>619.84564939999996</v>
      </c>
      <c r="K176" s="1589">
        <v>8377.5930230899994</v>
      </c>
      <c r="L176" s="1589">
        <v>5102.4138333199999</v>
      </c>
      <c r="M176" s="1589">
        <v>4943.4320554799997</v>
      </c>
      <c r="N176" s="1589">
        <v>158.98177784000001</v>
      </c>
      <c r="O176" s="1589">
        <v>3275.17918977</v>
      </c>
      <c r="P176" s="1589">
        <v>2674.2530192200002</v>
      </c>
      <c r="Q176" s="1589">
        <v>600.92617055000005</v>
      </c>
      <c r="R176" s="1589">
        <v>4985.9218147700003</v>
      </c>
      <c r="S176" s="1589">
        <v>3090.6108148200001</v>
      </c>
      <c r="T176" s="1589">
        <v>3016.0694796500002</v>
      </c>
      <c r="U176" s="1589">
        <v>74.541335169999996</v>
      </c>
      <c r="V176" s="1589">
        <v>1895.31099995</v>
      </c>
      <c r="W176" s="1589">
        <v>1353.10420217</v>
      </c>
      <c r="X176" s="1589">
        <v>542.20679777999999</v>
      </c>
      <c r="Y176" s="1589">
        <v>2439.5352008899999</v>
      </c>
      <c r="Z176" s="1589">
        <v>1400.40209734</v>
      </c>
      <c r="AA176" s="1589">
        <v>1340.6285565000001</v>
      </c>
      <c r="AB176" s="1589">
        <v>59.773540840000003</v>
      </c>
      <c r="AC176" s="1589">
        <v>1039.13310355</v>
      </c>
      <c r="AD176" s="1589">
        <v>1020.2136247</v>
      </c>
      <c r="AE176" s="1589">
        <v>18.919478850000001</v>
      </c>
    </row>
    <row r="177" spans="1:31">
      <c r="A177" s="1590" t="s">
        <v>25</v>
      </c>
      <c r="B177" s="1589">
        <v>10858.376694009999</v>
      </c>
      <c r="C177" s="1589">
        <v>6548.1446269099997</v>
      </c>
      <c r="D177" s="1589">
        <v>4310.2320670999998</v>
      </c>
      <c r="E177" s="1589">
        <v>9982.0132904300008</v>
      </c>
      <c r="F177" s="1589">
        <v>6326.0402305099997</v>
      </c>
      <c r="G177" s="1589">
        <v>3655.9730599200002</v>
      </c>
      <c r="H177" s="1589">
        <v>876.36340357999995</v>
      </c>
      <c r="I177" s="1589">
        <v>222.10439640000001</v>
      </c>
      <c r="J177" s="1589">
        <v>654.25900718000003</v>
      </c>
      <c r="K177" s="1589">
        <v>8380.8924488100001</v>
      </c>
      <c r="L177" s="1589">
        <v>5103.7452320399998</v>
      </c>
      <c r="M177" s="1589">
        <v>4941.9929974799998</v>
      </c>
      <c r="N177" s="1589">
        <v>161.75223456000001</v>
      </c>
      <c r="O177" s="1589">
        <v>3277.1472167699999</v>
      </c>
      <c r="P177" s="1589">
        <v>2640.2162405099998</v>
      </c>
      <c r="Q177" s="1589">
        <v>636.93097625999997</v>
      </c>
      <c r="R177" s="1589">
        <v>4962.3723936599999</v>
      </c>
      <c r="S177" s="1589">
        <v>3047.0856493699998</v>
      </c>
      <c r="T177" s="1589">
        <v>2972.4960092000001</v>
      </c>
      <c r="U177" s="1589">
        <v>74.589640169999996</v>
      </c>
      <c r="V177" s="1589">
        <v>1915.2867442899999</v>
      </c>
      <c r="W177" s="1589">
        <v>1340.3506134899999</v>
      </c>
      <c r="X177" s="1589">
        <v>574.9361308</v>
      </c>
      <c r="Y177" s="1589">
        <v>2477.4842451999998</v>
      </c>
      <c r="Z177" s="1589">
        <v>1444.3993948699999</v>
      </c>
      <c r="AA177" s="1589">
        <v>1384.0472330299999</v>
      </c>
      <c r="AB177" s="1589">
        <v>60.352161840000001</v>
      </c>
      <c r="AC177" s="1589">
        <v>1033.0848503300001</v>
      </c>
      <c r="AD177" s="1589">
        <v>1015.75681941</v>
      </c>
      <c r="AE177" s="1589">
        <v>17.32803092</v>
      </c>
    </row>
    <row r="178" spans="1:31">
      <c r="A178" s="1590" t="s">
        <v>26</v>
      </c>
      <c r="B178" s="1589">
        <v>11225.705309770001</v>
      </c>
      <c r="C178" s="1589">
        <v>6823.7452551899996</v>
      </c>
      <c r="D178" s="1589">
        <v>4401.9600545800004</v>
      </c>
      <c r="E178" s="1589">
        <v>10271.42356275</v>
      </c>
      <c r="F178" s="1589">
        <v>6582.1696960199997</v>
      </c>
      <c r="G178" s="1589">
        <v>3689.25386673</v>
      </c>
      <c r="H178" s="1589">
        <v>954.28174702000001</v>
      </c>
      <c r="I178" s="1589">
        <v>241.57555916999999</v>
      </c>
      <c r="J178" s="1589">
        <v>712.70618784999999</v>
      </c>
      <c r="K178" s="1589">
        <v>8729.1537134299997</v>
      </c>
      <c r="L178" s="1589">
        <v>5355.7590316799997</v>
      </c>
      <c r="M178" s="1589">
        <v>5175.2763677900002</v>
      </c>
      <c r="N178" s="1589">
        <v>180.48266389</v>
      </c>
      <c r="O178" s="1589">
        <v>3373.39468175</v>
      </c>
      <c r="P178" s="1589">
        <v>2680.1615864199998</v>
      </c>
      <c r="Q178" s="1589">
        <v>693.23309532999997</v>
      </c>
      <c r="R178" s="1589">
        <v>5247.6083901900001</v>
      </c>
      <c r="S178" s="1589">
        <v>3246.9941658399998</v>
      </c>
      <c r="T178" s="1589">
        <v>3155.9361690699998</v>
      </c>
      <c r="U178" s="1589">
        <v>91.057996770000003</v>
      </c>
      <c r="V178" s="1589">
        <v>2000.6142243500001</v>
      </c>
      <c r="W178" s="1589">
        <v>1377.19612441</v>
      </c>
      <c r="X178" s="1589">
        <v>623.41809994000005</v>
      </c>
      <c r="Y178" s="1589">
        <v>2496.5515963399998</v>
      </c>
      <c r="Z178" s="1589">
        <v>1467.9862235099999</v>
      </c>
      <c r="AA178" s="1589">
        <v>1406.89332823</v>
      </c>
      <c r="AB178" s="1589">
        <v>61.09289528</v>
      </c>
      <c r="AC178" s="1589">
        <v>1028.5653728299999</v>
      </c>
      <c r="AD178" s="1589">
        <v>1009.09228031</v>
      </c>
      <c r="AE178" s="1589">
        <v>19.473092520000002</v>
      </c>
    </row>
    <row r="179" spans="1:31">
      <c r="A179" s="1590">
        <v>10</v>
      </c>
      <c r="B179" s="1589">
        <v>11500.0053315</v>
      </c>
      <c r="C179" s="1589">
        <v>7058.7334582900003</v>
      </c>
      <c r="D179" s="1589">
        <v>4441.2718732100002</v>
      </c>
      <c r="E179" s="1589">
        <v>10468.45933876</v>
      </c>
      <c r="F179" s="1589">
        <v>6769.4571330099998</v>
      </c>
      <c r="G179" s="1589">
        <v>3699.00220575</v>
      </c>
      <c r="H179" s="1589">
        <v>1031.54599274</v>
      </c>
      <c r="I179" s="1589">
        <v>289.27632527999998</v>
      </c>
      <c r="J179" s="1589">
        <v>742.26966746000005</v>
      </c>
      <c r="K179" s="1589">
        <v>8983.8416168700005</v>
      </c>
      <c r="L179" s="1589">
        <v>5576.9079509599997</v>
      </c>
      <c r="M179" s="1589">
        <v>5349.6612679600003</v>
      </c>
      <c r="N179" s="1589">
        <v>227.24668299999999</v>
      </c>
      <c r="O179" s="1589">
        <v>3406.9336659099999</v>
      </c>
      <c r="P179" s="1589">
        <v>2683.9807221000001</v>
      </c>
      <c r="Q179" s="1589">
        <v>722.95294380999997</v>
      </c>
      <c r="R179" s="1589">
        <v>5512.1619237300001</v>
      </c>
      <c r="S179" s="1589">
        <v>3423.0472678699998</v>
      </c>
      <c r="T179" s="1589">
        <v>3288.1556901399999</v>
      </c>
      <c r="U179" s="1589">
        <v>134.89157772999999</v>
      </c>
      <c r="V179" s="1589">
        <v>2089.1146558599999</v>
      </c>
      <c r="W179" s="1589">
        <v>1443.5897386700001</v>
      </c>
      <c r="X179" s="1589">
        <v>645.52491719</v>
      </c>
      <c r="Y179" s="1589">
        <v>2516.16371463</v>
      </c>
      <c r="Z179" s="1589">
        <v>1481.8255073299999</v>
      </c>
      <c r="AA179" s="1589">
        <v>1419.79586505</v>
      </c>
      <c r="AB179" s="1589">
        <v>62.029642279999997</v>
      </c>
      <c r="AC179" s="1589">
        <v>1034.3382073</v>
      </c>
      <c r="AD179" s="1589">
        <v>1015.0214836500001</v>
      </c>
      <c r="AE179" s="1589">
        <v>19.31672365</v>
      </c>
    </row>
    <row r="180" spans="1:31">
      <c r="A180" s="1590">
        <v>11</v>
      </c>
      <c r="B180" s="1589">
        <v>11588.58637651</v>
      </c>
      <c r="C180" s="1589">
        <v>7082.5847234399998</v>
      </c>
      <c r="D180" s="1589">
        <v>4506.0016530700004</v>
      </c>
      <c r="E180" s="1589">
        <v>10523.271259470001</v>
      </c>
      <c r="F180" s="1589">
        <v>6779.2917396100001</v>
      </c>
      <c r="G180" s="1589">
        <v>3743.97951986</v>
      </c>
      <c r="H180" s="1589">
        <v>1065.3151170399999</v>
      </c>
      <c r="I180" s="1589">
        <v>303.29298383000003</v>
      </c>
      <c r="J180" s="1589">
        <v>762.02213320999999</v>
      </c>
      <c r="K180" s="1589">
        <v>9044.6188487799991</v>
      </c>
      <c r="L180" s="1589">
        <v>5585.0776351100003</v>
      </c>
      <c r="M180" s="1589">
        <v>5344.8097267900002</v>
      </c>
      <c r="N180" s="1589">
        <v>240.26790832</v>
      </c>
      <c r="O180" s="1589">
        <v>3459.5412136700002</v>
      </c>
      <c r="P180" s="1589">
        <v>2718.0209945500001</v>
      </c>
      <c r="Q180" s="1589">
        <v>741.52021911999998</v>
      </c>
      <c r="R180" s="1589">
        <v>5516.3958060799996</v>
      </c>
      <c r="S180" s="1589">
        <v>3394.6715733800002</v>
      </c>
      <c r="T180" s="1589">
        <v>3250.73624991</v>
      </c>
      <c r="U180" s="1589">
        <v>143.93532346999999</v>
      </c>
      <c r="V180" s="1589">
        <v>2121.7242326999999</v>
      </c>
      <c r="W180" s="1589">
        <v>1470.5103259299999</v>
      </c>
      <c r="X180" s="1589">
        <v>651.21390676999999</v>
      </c>
      <c r="Y180" s="1589">
        <v>2543.9675277299998</v>
      </c>
      <c r="Z180" s="1589">
        <v>1497.50708833</v>
      </c>
      <c r="AA180" s="1589">
        <v>1434.4820128199999</v>
      </c>
      <c r="AB180" s="1589">
        <v>63.025075510000001</v>
      </c>
      <c r="AC180" s="1589">
        <v>1046.4604394</v>
      </c>
      <c r="AD180" s="1589">
        <v>1025.9585253099999</v>
      </c>
      <c r="AE180" s="1589">
        <v>20.50191409</v>
      </c>
    </row>
    <row r="181" spans="1:31">
      <c r="A181" s="1590">
        <v>12</v>
      </c>
      <c r="B181" s="1589">
        <v>11742.95861156</v>
      </c>
      <c r="C181" s="1589">
        <v>7139.3903813200004</v>
      </c>
      <c r="D181" s="1589">
        <v>4603.56823024</v>
      </c>
      <c r="E181" s="1589">
        <v>10568.709043999999</v>
      </c>
      <c r="F181" s="1589">
        <v>6805.2483170799997</v>
      </c>
      <c r="G181" s="1589">
        <v>3763.4607269200001</v>
      </c>
      <c r="H181" s="1589">
        <v>1174.2495675600001</v>
      </c>
      <c r="I181" s="1589">
        <v>334.14206424000002</v>
      </c>
      <c r="J181" s="1589">
        <v>840.10750331999998</v>
      </c>
      <c r="K181" s="1589">
        <v>9155.2199193899996</v>
      </c>
      <c r="L181" s="1589">
        <v>5608.6388590200004</v>
      </c>
      <c r="M181" s="1589">
        <v>5338.8023142900001</v>
      </c>
      <c r="N181" s="1589">
        <v>269.83654473000001</v>
      </c>
      <c r="O181" s="1589">
        <v>3546.5810603700002</v>
      </c>
      <c r="P181" s="1589">
        <v>2726.9816426299999</v>
      </c>
      <c r="Q181" s="1589">
        <v>819.59941774000004</v>
      </c>
      <c r="R181" s="1589">
        <v>5522.6940547800004</v>
      </c>
      <c r="S181" s="1589">
        <v>3349.2315357100001</v>
      </c>
      <c r="T181" s="1589">
        <v>3214.4074792900001</v>
      </c>
      <c r="U181" s="1589">
        <v>134.82405642000001</v>
      </c>
      <c r="V181" s="1589">
        <v>2173.4625190699999</v>
      </c>
      <c r="W181" s="1589">
        <v>1498.7787496200001</v>
      </c>
      <c r="X181" s="1589">
        <v>674.68376945</v>
      </c>
      <c r="Y181" s="1589">
        <v>2587.7386921699999</v>
      </c>
      <c r="Z181" s="1589">
        <v>1530.7515223</v>
      </c>
      <c r="AA181" s="1589">
        <v>1466.44600279</v>
      </c>
      <c r="AB181" s="1589">
        <v>64.305519509999996</v>
      </c>
      <c r="AC181" s="1589">
        <v>1056.9871698699999</v>
      </c>
      <c r="AD181" s="1589">
        <v>1036.4790842899999</v>
      </c>
      <c r="AE181" s="1589">
        <v>20.508085579999999</v>
      </c>
    </row>
    <row r="182" spans="1:31">
      <c r="A182" s="1590">
        <v>2023</v>
      </c>
      <c r="B182" s="1589"/>
      <c r="C182" s="1589"/>
      <c r="D182" s="1589"/>
      <c r="E182" s="1589"/>
      <c r="F182" s="1589"/>
      <c r="G182" s="1589"/>
      <c r="H182" s="1589"/>
      <c r="I182" s="1589"/>
      <c r="J182" s="1589"/>
      <c r="K182" s="1589"/>
      <c r="L182" s="1589"/>
      <c r="M182" s="1589"/>
      <c r="N182" s="1589"/>
      <c r="O182" s="1589"/>
      <c r="P182" s="1589"/>
      <c r="Q182" s="1589"/>
      <c r="R182" s="1589"/>
      <c r="S182" s="1589"/>
      <c r="T182" s="1589"/>
      <c r="U182" s="1589"/>
      <c r="V182" s="1589"/>
      <c r="W182" s="1589"/>
      <c r="X182" s="1589"/>
      <c r="Y182" s="1589"/>
      <c r="Z182" s="1589"/>
      <c r="AA182" s="1589"/>
      <c r="AB182" s="1589"/>
      <c r="AC182" s="1589"/>
      <c r="AD182" s="1589"/>
      <c r="AE182" s="1589"/>
    </row>
    <row r="183" spans="1:31">
      <c r="A183" s="1590" t="s">
        <v>18</v>
      </c>
      <c r="B183" s="1589">
        <v>11928.49516787</v>
      </c>
      <c r="C183" s="1589">
        <v>7299.5381969500004</v>
      </c>
      <c r="D183" s="1589">
        <v>4628.9569709199995</v>
      </c>
      <c r="E183" s="1589">
        <v>10762.03417033</v>
      </c>
      <c r="F183" s="1589">
        <v>6975.4389354200002</v>
      </c>
      <c r="G183" s="1589">
        <v>3786.5952349099998</v>
      </c>
      <c r="H183" s="1589">
        <v>1166.4609975400001</v>
      </c>
      <c r="I183" s="1589">
        <v>324.09926152999998</v>
      </c>
      <c r="J183" s="1589">
        <v>842.36173600999996</v>
      </c>
      <c r="K183" s="1589">
        <v>9409.8669428499998</v>
      </c>
      <c r="L183" s="1589">
        <v>5733.1894696500003</v>
      </c>
      <c r="M183" s="1589">
        <v>5475.3810606300003</v>
      </c>
      <c r="N183" s="1589">
        <v>257.80840902</v>
      </c>
      <c r="O183" s="1589">
        <v>3676.6774731999999</v>
      </c>
      <c r="P183" s="1589">
        <v>2853.0990793599999</v>
      </c>
      <c r="Q183" s="1589">
        <v>823.57839383999999</v>
      </c>
      <c r="R183" s="1589">
        <v>5717.9894990399998</v>
      </c>
      <c r="S183" s="1589">
        <v>3428.4033533900001</v>
      </c>
      <c r="T183" s="1589">
        <v>3302.0559422900001</v>
      </c>
      <c r="U183" s="1589">
        <v>126.3474111</v>
      </c>
      <c r="V183" s="1589">
        <v>2289.5861456500002</v>
      </c>
      <c r="W183" s="1589">
        <v>1628.12865012</v>
      </c>
      <c r="X183" s="1589">
        <v>661.45749552999996</v>
      </c>
      <c r="Y183" s="1589">
        <v>2518.6282250200002</v>
      </c>
      <c r="Z183" s="1589">
        <v>1566.3487273000001</v>
      </c>
      <c r="AA183" s="1589">
        <v>1500.0578747899999</v>
      </c>
      <c r="AB183" s="1589">
        <v>66.290852509999993</v>
      </c>
      <c r="AC183" s="1589">
        <v>952.27949771999999</v>
      </c>
      <c r="AD183" s="1589">
        <v>933.49615555000003</v>
      </c>
      <c r="AE183" s="1589">
        <v>18.783342170000001</v>
      </c>
    </row>
    <row r="184" spans="1:31">
      <c r="A184" s="1590" t="s">
        <v>19</v>
      </c>
      <c r="B184" s="1589">
        <v>11901.83757354</v>
      </c>
      <c r="C184" s="1589">
        <v>7298.5237890899998</v>
      </c>
      <c r="D184" s="1589">
        <v>4603.3137844499997</v>
      </c>
      <c r="E184" s="1589">
        <v>10741.809598170001</v>
      </c>
      <c r="F184" s="1589">
        <v>6970.07715259</v>
      </c>
      <c r="G184" s="1589">
        <v>3771.7324455799999</v>
      </c>
      <c r="H184" s="1589">
        <v>1160.0279753699999</v>
      </c>
      <c r="I184" s="1589">
        <v>328.44663650000001</v>
      </c>
      <c r="J184" s="1589">
        <v>831.58133886999997</v>
      </c>
      <c r="K184" s="1589">
        <v>9312.9617893699997</v>
      </c>
      <c r="L184" s="1589">
        <v>5707.7524783700001</v>
      </c>
      <c r="M184" s="1589">
        <v>5447.2109943799996</v>
      </c>
      <c r="N184" s="1589">
        <v>260.54148399000002</v>
      </c>
      <c r="O184" s="1589">
        <v>3605.2093110000001</v>
      </c>
      <c r="P184" s="1589">
        <v>2792.9372416299998</v>
      </c>
      <c r="Q184" s="1589">
        <v>812.27206937000005</v>
      </c>
      <c r="R184" s="1589">
        <v>5536.2434969400001</v>
      </c>
      <c r="S184" s="1589">
        <v>3414.4064955099998</v>
      </c>
      <c r="T184" s="1589">
        <v>3265.90246131</v>
      </c>
      <c r="U184" s="1589">
        <v>148.50403420000001</v>
      </c>
      <c r="V184" s="1589">
        <v>2121.8370014299999</v>
      </c>
      <c r="W184" s="1589">
        <v>1557.0415760799999</v>
      </c>
      <c r="X184" s="1589">
        <v>564.79542534999996</v>
      </c>
      <c r="Y184" s="1589">
        <v>2588.8757841699999</v>
      </c>
      <c r="Z184" s="1589">
        <v>1590.77131072</v>
      </c>
      <c r="AA184" s="1589">
        <v>1522.8661582100001</v>
      </c>
      <c r="AB184" s="1589">
        <v>67.905152509999994</v>
      </c>
      <c r="AC184" s="1589">
        <v>998.10447345</v>
      </c>
      <c r="AD184" s="1589">
        <v>978.79520394999997</v>
      </c>
      <c r="AE184" s="1589">
        <v>19.309269499999999</v>
      </c>
    </row>
    <row r="185" spans="1:31">
      <c r="A185" s="1590" t="s">
        <v>20</v>
      </c>
      <c r="B185" s="1589">
        <v>11964.3955489</v>
      </c>
      <c r="C185" s="1589">
        <v>7397.7179352399999</v>
      </c>
      <c r="D185" s="1589">
        <v>4566.6776136600001</v>
      </c>
      <c r="E185" s="1589">
        <v>10797.093831779999</v>
      </c>
      <c r="F185" s="1589">
        <v>7073.0781482599996</v>
      </c>
      <c r="G185" s="1589">
        <v>3724.01568352</v>
      </c>
      <c r="H185" s="1589">
        <v>1167.3017171199999</v>
      </c>
      <c r="I185" s="1589">
        <v>324.63978698</v>
      </c>
      <c r="J185" s="1589">
        <v>842.66193013999998</v>
      </c>
      <c r="K185" s="1589">
        <v>9412.8593387300007</v>
      </c>
      <c r="L185" s="1589">
        <v>5776.2775042900003</v>
      </c>
      <c r="M185" s="1589">
        <v>5520.7554078200001</v>
      </c>
      <c r="N185" s="1589">
        <v>255.52209647000001</v>
      </c>
      <c r="O185" s="1589">
        <v>3636.58183444</v>
      </c>
      <c r="P185" s="1589">
        <v>2812.8119496899999</v>
      </c>
      <c r="Q185" s="1589">
        <v>823.76988474999996</v>
      </c>
      <c r="R185" s="1589">
        <v>5622.1541340699996</v>
      </c>
      <c r="S185" s="1589">
        <v>3479.5931833499999</v>
      </c>
      <c r="T185" s="1589">
        <v>3332.0571330399998</v>
      </c>
      <c r="U185" s="1589">
        <v>147.53605031000001</v>
      </c>
      <c r="V185" s="1589">
        <v>2142.5609507200002</v>
      </c>
      <c r="W185" s="1589">
        <v>1572.71370441</v>
      </c>
      <c r="X185" s="1589">
        <v>569.84724630999995</v>
      </c>
      <c r="Y185" s="1589">
        <v>2551.5362101699998</v>
      </c>
      <c r="Z185" s="1589">
        <v>1621.4404309500001</v>
      </c>
      <c r="AA185" s="1589">
        <v>1552.32274044</v>
      </c>
      <c r="AB185" s="1589">
        <v>69.117690510000003</v>
      </c>
      <c r="AC185" s="1589">
        <v>930.09577922000005</v>
      </c>
      <c r="AD185" s="1589">
        <v>911.20373383000003</v>
      </c>
      <c r="AE185" s="1589">
        <v>18.89204539</v>
      </c>
    </row>
    <row r="186" spans="1:31">
      <c r="A186" s="1590" t="s">
        <v>21</v>
      </c>
      <c r="B186" s="1589">
        <v>12211.631103010001</v>
      </c>
      <c r="C186" s="1589">
        <v>7665.3725144700002</v>
      </c>
      <c r="D186" s="1589">
        <v>4546.2585885400003</v>
      </c>
      <c r="E186" s="1589">
        <v>11017.26131459</v>
      </c>
      <c r="F186" s="1589">
        <v>7338.16996475</v>
      </c>
      <c r="G186" s="1589">
        <v>3679.09134984</v>
      </c>
      <c r="H186" s="1589">
        <v>1194.3697884200001</v>
      </c>
      <c r="I186" s="1589">
        <v>327.20254971999998</v>
      </c>
      <c r="J186" s="1589">
        <v>867.16723869999998</v>
      </c>
      <c r="K186" s="1589">
        <v>9635.6336659299996</v>
      </c>
      <c r="L186" s="1589">
        <v>6018.7516766799999</v>
      </c>
      <c r="M186" s="1589">
        <v>5762.1769974700001</v>
      </c>
      <c r="N186" s="1589">
        <v>256.57467921</v>
      </c>
      <c r="O186" s="1589">
        <v>3616.8819892500001</v>
      </c>
      <c r="P186" s="1589">
        <v>2768.4502593100001</v>
      </c>
      <c r="Q186" s="1589">
        <v>848.43172993999997</v>
      </c>
      <c r="R186" s="1589">
        <v>5819.9236764500001</v>
      </c>
      <c r="S186" s="1589">
        <v>3707.7561475699999</v>
      </c>
      <c r="T186" s="1589">
        <v>3560.4584270300002</v>
      </c>
      <c r="U186" s="1589">
        <v>147.29772054</v>
      </c>
      <c r="V186" s="1589">
        <v>2112.1675288800002</v>
      </c>
      <c r="W186" s="1589">
        <v>1537.3832863800001</v>
      </c>
      <c r="X186" s="1589">
        <v>574.7842425</v>
      </c>
      <c r="Y186" s="1589">
        <v>2575.9974370800001</v>
      </c>
      <c r="Z186" s="1589">
        <v>1646.62083779</v>
      </c>
      <c r="AA186" s="1589">
        <v>1575.9929672799999</v>
      </c>
      <c r="AB186" s="1589">
        <v>70.627870509999994</v>
      </c>
      <c r="AC186" s="1589">
        <v>929.37659928999994</v>
      </c>
      <c r="AD186" s="1589">
        <v>910.64109053000004</v>
      </c>
      <c r="AE186" s="1589">
        <v>18.735508759999998</v>
      </c>
    </row>
    <row r="187" spans="1:31">
      <c r="A187" s="1590" t="s">
        <v>22</v>
      </c>
      <c r="B187" s="1589">
        <v>12400.72389207</v>
      </c>
      <c r="C187" s="1589">
        <v>7686.8349524400001</v>
      </c>
      <c r="D187" s="1589">
        <v>4713.8889396300001</v>
      </c>
      <c r="E187" s="1589">
        <v>11060.41619976</v>
      </c>
      <c r="F187" s="1589">
        <v>7353.7999551299999</v>
      </c>
      <c r="G187" s="1589">
        <v>3706.61624463</v>
      </c>
      <c r="H187" s="1589">
        <v>1340.30769231</v>
      </c>
      <c r="I187" s="1589">
        <v>333.03499730999999</v>
      </c>
      <c r="J187" s="1589">
        <v>1007.272695</v>
      </c>
      <c r="K187" s="1589">
        <v>9812.1660823300008</v>
      </c>
      <c r="L187" s="1589">
        <v>6013.0382952800001</v>
      </c>
      <c r="M187" s="1589">
        <v>5755.6722414799997</v>
      </c>
      <c r="N187" s="1589">
        <v>257.36605379999997</v>
      </c>
      <c r="O187" s="1589">
        <v>3799.1277870499998</v>
      </c>
      <c r="P187" s="1589">
        <v>2810.42015124</v>
      </c>
      <c r="Q187" s="1589">
        <v>988.70763581000006</v>
      </c>
      <c r="R187" s="1589">
        <v>5932.0066010399996</v>
      </c>
      <c r="S187" s="1589">
        <v>3638.1915757400002</v>
      </c>
      <c r="T187" s="1589">
        <v>3495.6773730599998</v>
      </c>
      <c r="U187" s="1589">
        <v>142.51420268000001</v>
      </c>
      <c r="V187" s="1589">
        <v>2293.8150252999999</v>
      </c>
      <c r="W187" s="1589">
        <v>1584.4919637600001</v>
      </c>
      <c r="X187" s="1589">
        <v>709.32306154000003</v>
      </c>
      <c r="Y187" s="1589">
        <v>2588.5578097399998</v>
      </c>
      <c r="Z187" s="1589">
        <v>1673.79665716</v>
      </c>
      <c r="AA187" s="1589">
        <v>1598.12771365</v>
      </c>
      <c r="AB187" s="1589">
        <v>75.668943510000005</v>
      </c>
      <c r="AC187" s="1589">
        <v>914.76115258000004</v>
      </c>
      <c r="AD187" s="1589">
        <v>896.19609338999999</v>
      </c>
      <c r="AE187" s="1589">
        <v>18.565059189999999</v>
      </c>
    </row>
    <row r="188" spans="1:31">
      <c r="A188" s="1590" t="s">
        <v>23</v>
      </c>
      <c r="B188" s="1589">
        <v>12748.80840428</v>
      </c>
      <c r="C188" s="1589">
        <v>8087.4388497199998</v>
      </c>
      <c r="D188" s="1589">
        <v>4661.3695545600003</v>
      </c>
      <c r="E188" s="1589">
        <v>11423.226392</v>
      </c>
      <c r="F188" s="1589">
        <v>7735.4396641699996</v>
      </c>
      <c r="G188" s="1589">
        <v>3687.78672783</v>
      </c>
      <c r="H188" s="1589">
        <v>1325.5820122800001</v>
      </c>
      <c r="I188" s="1589">
        <v>351.99918554999999</v>
      </c>
      <c r="J188" s="1589">
        <v>973.58282672999997</v>
      </c>
      <c r="K188" s="1589">
        <v>10143.298602180001</v>
      </c>
      <c r="L188" s="1589">
        <v>6397.3093472399996</v>
      </c>
      <c r="M188" s="1589">
        <v>6121.9346575899999</v>
      </c>
      <c r="N188" s="1589">
        <v>275.37468964999999</v>
      </c>
      <c r="O188" s="1589">
        <v>3745.9892549400001</v>
      </c>
      <c r="P188" s="1589">
        <v>2790.2217963100002</v>
      </c>
      <c r="Q188" s="1589">
        <v>955.76745862999996</v>
      </c>
      <c r="R188" s="1589">
        <v>6138.2266801300002</v>
      </c>
      <c r="S188" s="1589">
        <v>3919.2530596900001</v>
      </c>
      <c r="T188" s="1589">
        <v>3772.8848483100001</v>
      </c>
      <c r="U188" s="1589">
        <v>146.36821137999999</v>
      </c>
      <c r="V188" s="1589">
        <v>2218.9736204400001</v>
      </c>
      <c r="W188" s="1589">
        <v>1535.14376034</v>
      </c>
      <c r="X188" s="1589">
        <v>683.82986010000002</v>
      </c>
      <c r="Y188" s="1589">
        <v>2605.5098020999999</v>
      </c>
      <c r="Z188" s="1589">
        <v>1690.1295024799999</v>
      </c>
      <c r="AA188" s="1589">
        <v>1613.5050065800001</v>
      </c>
      <c r="AB188" s="1589">
        <v>76.624495899999999</v>
      </c>
      <c r="AC188" s="1589">
        <v>915.38029961999996</v>
      </c>
      <c r="AD188" s="1589">
        <v>897.56493151999996</v>
      </c>
      <c r="AE188" s="1589">
        <v>17.815368100000001</v>
      </c>
    </row>
    <row r="189" spans="1:31">
      <c r="A189" s="1590" t="s">
        <v>24</v>
      </c>
      <c r="B189" s="1589">
        <v>12705.49701117</v>
      </c>
      <c r="C189" s="1589">
        <v>8075.0030183400004</v>
      </c>
      <c r="D189" s="1589">
        <v>4630.49399283</v>
      </c>
      <c r="E189" s="1589">
        <v>11361.73312094</v>
      </c>
      <c r="F189" s="1589">
        <v>7718.0658963699998</v>
      </c>
      <c r="G189" s="1589">
        <v>3643.6672245700001</v>
      </c>
      <c r="H189" s="1589">
        <v>1343.76389023</v>
      </c>
      <c r="I189" s="1589">
        <v>356.93712197000002</v>
      </c>
      <c r="J189" s="1589">
        <v>986.82676825999999</v>
      </c>
      <c r="K189" s="1589">
        <v>10078.5282912</v>
      </c>
      <c r="L189" s="1589">
        <v>6355.0158672600001</v>
      </c>
      <c r="M189" s="1589">
        <v>6078.0139613000001</v>
      </c>
      <c r="N189" s="1589">
        <v>277.00190595999999</v>
      </c>
      <c r="O189" s="1589">
        <v>3723.5124239400002</v>
      </c>
      <c r="P189" s="1589">
        <v>2755.5856157100002</v>
      </c>
      <c r="Q189" s="1589">
        <v>967.92680823000001</v>
      </c>
      <c r="R189" s="1589">
        <v>6045.8216216500005</v>
      </c>
      <c r="S189" s="1589">
        <v>3841.6218606299999</v>
      </c>
      <c r="T189" s="1589">
        <v>3694.6689628700001</v>
      </c>
      <c r="U189" s="1589">
        <v>146.95289776000001</v>
      </c>
      <c r="V189" s="1589">
        <v>2204.1997610200001</v>
      </c>
      <c r="W189" s="1589">
        <v>1507.44404644</v>
      </c>
      <c r="X189" s="1589">
        <v>696.75571458000002</v>
      </c>
      <c r="Y189" s="1589">
        <v>2626.9687199700002</v>
      </c>
      <c r="Z189" s="1589">
        <v>1719.9871510800001</v>
      </c>
      <c r="AA189" s="1589">
        <v>1640.0519350699999</v>
      </c>
      <c r="AB189" s="1589">
        <v>79.935216010000005</v>
      </c>
      <c r="AC189" s="1589">
        <v>906.98156888999995</v>
      </c>
      <c r="AD189" s="1589">
        <v>888.08160885999996</v>
      </c>
      <c r="AE189" s="1589">
        <v>18.899960029999999</v>
      </c>
    </row>
    <row r="190" spans="1:31">
      <c r="A190" s="1590" t="s">
        <v>25</v>
      </c>
      <c r="B190" s="1589">
        <v>12580.12560284</v>
      </c>
      <c r="C190" s="1589">
        <v>8017.8207072300002</v>
      </c>
      <c r="D190" s="1589">
        <v>4562.3048956100001</v>
      </c>
      <c r="E190" s="1589">
        <v>11239.26713287</v>
      </c>
      <c r="F190" s="1589">
        <v>7656.9527244499996</v>
      </c>
      <c r="G190" s="1589">
        <v>3582.3144084199998</v>
      </c>
      <c r="H190" s="1589">
        <v>1340.85846997</v>
      </c>
      <c r="I190" s="1589">
        <v>360.86798277999998</v>
      </c>
      <c r="J190" s="1589">
        <v>979.99048718999995</v>
      </c>
      <c r="K190" s="1589">
        <v>9928.7726578900001</v>
      </c>
      <c r="L190" s="1589">
        <v>6263.1617035600002</v>
      </c>
      <c r="M190" s="1589">
        <v>5983.26840963</v>
      </c>
      <c r="N190" s="1589">
        <v>279.89329393000003</v>
      </c>
      <c r="O190" s="1589">
        <v>3665.6109543299999</v>
      </c>
      <c r="P190" s="1589">
        <v>2704.11073936</v>
      </c>
      <c r="Q190" s="1589">
        <v>961.50021497</v>
      </c>
      <c r="R190" s="1589">
        <v>5874.3278602199998</v>
      </c>
      <c r="S190" s="1589">
        <v>3717.7469765400001</v>
      </c>
      <c r="T190" s="1589">
        <v>3569.67922967</v>
      </c>
      <c r="U190" s="1589">
        <v>148.06774687000001</v>
      </c>
      <c r="V190" s="1589">
        <v>2156.5808836800002</v>
      </c>
      <c r="W190" s="1589">
        <v>1465.39252179</v>
      </c>
      <c r="X190" s="1589">
        <v>691.18836189000001</v>
      </c>
      <c r="Y190" s="1589">
        <v>2651.3529449500002</v>
      </c>
      <c r="Z190" s="1589">
        <v>1754.6590036699999</v>
      </c>
      <c r="AA190" s="1589">
        <v>1673.6843148200001</v>
      </c>
      <c r="AB190" s="1589">
        <v>80.974688850000007</v>
      </c>
      <c r="AC190" s="1589">
        <v>896.69394127999999</v>
      </c>
      <c r="AD190" s="1589">
        <v>878.20366906000004</v>
      </c>
      <c r="AE190" s="1589">
        <v>18.490272220000001</v>
      </c>
    </row>
    <row r="191" spans="1:31">
      <c r="A191" s="1590" t="s">
        <v>26</v>
      </c>
      <c r="B191" s="1589">
        <v>12705.47209046</v>
      </c>
      <c r="C191" s="1589">
        <v>8251.5401611800007</v>
      </c>
      <c r="D191" s="1589">
        <v>4453.9319292800001</v>
      </c>
      <c r="E191" s="1589">
        <v>11404.888261870001</v>
      </c>
      <c r="F191" s="1589">
        <v>7891.4799594699998</v>
      </c>
      <c r="G191" s="1589">
        <v>3513.4083024000001</v>
      </c>
      <c r="H191" s="1589">
        <v>1300.5838285899999</v>
      </c>
      <c r="I191" s="1589">
        <v>360.06020171</v>
      </c>
      <c r="J191" s="1589">
        <v>940.52362688000005</v>
      </c>
      <c r="K191" s="1589">
        <v>10052.585250390001</v>
      </c>
      <c r="L191" s="1589">
        <v>6470.99532628</v>
      </c>
      <c r="M191" s="1589">
        <v>6193.1050994200004</v>
      </c>
      <c r="N191" s="1589">
        <v>277.89022685999998</v>
      </c>
      <c r="O191" s="1589">
        <v>3581.5899241100001</v>
      </c>
      <c r="P191" s="1589">
        <v>2659.44709814</v>
      </c>
      <c r="Q191" s="1589">
        <v>922.14282596999999</v>
      </c>
      <c r="R191" s="1589">
        <v>5946.4646652499996</v>
      </c>
      <c r="S191" s="1589">
        <v>3880.6098629600001</v>
      </c>
      <c r="T191" s="1589">
        <v>3732.0095651900001</v>
      </c>
      <c r="U191" s="1589">
        <v>148.60029777</v>
      </c>
      <c r="V191" s="1589">
        <v>2065.85480229</v>
      </c>
      <c r="W191" s="1589">
        <v>1446.7207384799999</v>
      </c>
      <c r="X191" s="1589">
        <v>619.13406381000004</v>
      </c>
      <c r="Y191" s="1589">
        <v>2652.8868400699998</v>
      </c>
      <c r="Z191" s="1589">
        <v>1780.5448349000001</v>
      </c>
      <c r="AA191" s="1589">
        <v>1698.3748600500001</v>
      </c>
      <c r="AB191" s="1589">
        <v>82.169974850000003</v>
      </c>
      <c r="AC191" s="1589">
        <v>872.34200516999999</v>
      </c>
      <c r="AD191" s="1589">
        <v>853.96120426000004</v>
      </c>
      <c r="AE191" s="1589">
        <v>18.380800910000001</v>
      </c>
    </row>
    <row r="192" spans="1:31">
      <c r="A192" s="1590">
        <v>10</v>
      </c>
      <c r="B192" s="1589">
        <v>12564.1</v>
      </c>
      <c r="C192" s="1589">
        <v>8141.6861897899998</v>
      </c>
      <c r="D192" s="1589">
        <v>4422.3934747399999</v>
      </c>
      <c r="E192" s="1589">
        <v>11247.08615239</v>
      </c>
      <c r="F192" s="1589">
        <v>7766.8818144200004</v>
      </c>
      <c r="G192" s="1589">
        <v>3480.2043379699999</v>
      </c>
      <c r="H192" s="1589">
        <v>1316.9935121399999</v>
      </c>
      <c r="I192" s="1589">
        <v>374.80437537</v>
      </c>
      <c r="J192" s="1589">
        <v>942.18913677</v>
      </c>
      <c r="K192" s="1589">
        <v>10101.148677839999</v>
      </c>
      <c r="L192" s="1589">
        <v>6548.6797558899998</v>
      </c>
      <c r="M192" s="1589">
        <v>6256.5528523700004</v>
      </c>
      <c r="N192" s="1589">
        <v>292.12690351999998</v>
      </c>
      <c r="O192" s="1589">
        <v>3552.4689219500001</v>
      </c>
      <c r="P192" s="1589">
        <v>2628.7499069700002</v>
      </c>
      <c r="Q192" s="1589">
        <v>923.71901498</v>
      </c>
      <c r="R192" s="1589">
        <v>5967.5093773600001</v>
      </c>
      <c r="S192" s="1589">
        <v>3891.07964898</v>
      </c>
      <c r="T192" s="1589">
        <v>3743.2878593700002</v>
      </c>
      <c r="U192" s="1589">
        <v>147.79178961</v>
      </c>
      <c r="V192" s="1589">
        <v>2076.4297283800001</v>
      </c>
      <c r="W192" s="1589">
        <v>1473.4157615399999</v>
      </c>
      <c r="X192" s="1589">
        <v>603.01396683999997</v>
      </c>
      <c r="Y192" s="1589">
        <v>2462.9309866899998</v>
      </c>
      <c r="Z192" s="1589">
        <v>1593.0064339</v>
      </c>
      <c r="AA192" s="1589">
        <v>1510.32896205</v>
      </c>
      <c r="AB192" s="1589">
        <v>82.677471850000003</v>
      </c>
      <c r="AC192" s="1589">
        <v>869.92455279000001</v>
      </c>
      <c r="AD192" s="1589">
        <v>851.454431</v>
      </c>
      <c r="AE192" s="1589">
        <v>18.47012179</v>
      </c>
    </row>
    <row r="193" spans="1:31">
      <c r="A193" s="1590">
        <v>11</v>
      </c>
      <c r="B193" s="1589">
        <v>12524.91391736</v>
      </c>
      <c r="C193" s="1589">
        <v>8235.1652755199993</v>
      </c>
      <c r="D193" s="1589">
        <v>4289.7486418400003</v>
      </c>
      <c r="E193" s="1589">
        <v>11293.78532791</v>
      </c>
      <c r="F193" s="1589">
        <v>7854.3874797899998</v>
      </c>
      <c r="G193" s="1589">
        <v>3439.3978481200002</v>
      </c>
      <c r="H193" s="1589">
        <v>1231.1285894499999</v>
      </c>
      <c r="I193" s="1589">
        <v>380.77779572999998</v>
      </c>
      <c r="J193" s="1589">
        <v>850.35079371999996</v>
      </c>
      <c r="K193" s="1589">
        <v>9987.0562074000009</v>
      </c>
      <c r="L193" s="1589">
        <v>6585.7117858700003</v>
      </c>
      <c r="M193" s="1589">
        <v>6293.3344762099996</v>
      </c>
      <c r="N193" s="1589">
        <v>292.37730965999998</v>
      </c>
      <c r="O193" s="1589">
        <v>3401.3444215300001</v>
      </c>
      <c r="P193" s="1589">
        <v>2569.34574922</v>
      </c>
      <c r="Q193" s="1589">
        <v>831.99867230999996</v>
      </c>
      <c r="R193" s="1589">
        <v>5787.0419018299999</v>
      </c>
      <c r="S193" s="1589">
        <v>3855.3848486000002</v>
      </c>
      <c r="T193" s="1589">
        <v>3708.3492796999999</v>
      </c>
      <c r="U193" s="1589">
        <v>147.03556889999999</v>
      </c>
      <c r="V193" s="1589">
        <v>1931.65705323</v>
      </c>
      <c r="W193" s="1589">
        <v>1422.6145963399999</v>
      </c>
      <c r="X193" s="1589">
        <v>509.04245688999998</v>
      </c>
      <c r="Y193" s="1589">
        <v>2537.8577099600002</v>
      </c>
      <c r="Z193" s="1589">
        <v>1649.4534896499999</v>
      </c>
      <c r="AA193" s="1589">
        <v>1561.05300358</v>
      </c>
      <c r="AB193" s="1589">
        <v>88.400486069999999</v>
      </c>
      <c r="AC193" s="1589">
        <v>888.40422031000003</v>
      </c>
      <c r="AD193" s="1589">
        <v>870.05209890000003</v>
      </c>
      <c r="AE193" s="1589">
        <v>18.352121409999999</v>
      </c>
    </row>
    <row r="194" spans="1:31">
      <c r="A194" s="1590">
        <v>12</v>
      </c>
      <c r="B194" s="1589">
        <v>12947.75562296</v>
      </c>
      <c r="C194" s="1589">
        <v>8646.0871932900009</v>
      </c>
      <c r="D194" s="1589">
        <v>4301.6684296699996</v>
      </c>
      <c r="E194" s="1589">
        <v>11705.42095847</v>
      </c>
      <c r="F194" s="1589">
        <v>8252.1207080900003</v>
      </c>
      <c r="G194" s="1589">
        <v>3453.3002503799999</v>
      </c>
      <c r="H194" s="1589">
        <v>1242.33466449</v>
      </c>
      <c r="I194" s="1589">
        <v>393.96648520000002</v>
      </c>
      <c r="J194" s="1589">
        <v>848.36817928999994</v>
      </c>
      <c r="K194" s="1589">
        <v>10361.38380388</v>
      </c>
      <c r="L194" s="1589">
        <v>6945.0721071500002</v>
      </c>
      <c r="M194" s="1589">
        <v>6640.3577820199998</v>
      </c>
      <c r="N194" s="1589">
        <v>304.71432513000002</v>
      </c>
      <c r="O194" s="1589">
        <v>3416.3116967300002</v>
      </c>
      <c r="P194" s="1589">
        <v>2585.3953617000002</v>
      </c>
      <c r="Q194" s="1589">
        <v>830.91633503000003</v>
      </c>
      <c r="R194" s="1589">
        <v>6064.4357277099998</v>
      </c>
      <c r="S194" s="1589">
        <v>4124.6015843100004</v>
      </c>
      <c r="T194" s="1589">
        <v>3971.2963077499999</v>
      </c>
      <c r="U194" s="1589">
        <v>153.30527656000001</v>
      </c>
      <c r="V194" s="1589">
        <v>1939.8341433999999</v>
      </c>
      <c r="W194" s="1589">
        <v>1430.6006972499999</v>
      </c>
      <c r="X194" s="1589">
        <v>509.23344615000002</v>
      </c>
      <c r="Y194" s="1589">
        <v>2586.37181908</v>
      </c>
      <c r="Z194" s="1589">
        <v>1701.01508614</v>
      </c>
      <c r="AA194" s="1589">
        <v>1611.76292607</v>
      </c>
      <c r="AB194" s="1589">
        <v>89.252160070000002</v>
      </c>
      <c r="AC194" s="1589">
        <v>885.35673294000003</v>
      </c>
      <c r="AD194" s="1589">
        <v>867.90488868</v>
      </c>
      <c r="AE194" s="1589">
        <v>17.451844260000001</v>
      </c>
    </row>
    <row r="195" spans="1:31">
      <c r="A195" s="1590">
        <v>2024</v>
      </c>
      <c r="B195" s="1589"/>
      <c r="C195" s="1589"/>
      <c r="D195" s="1589"/>
      <c r="E195" s="1589"/>
      <c r="F195" s="1589"/>
      <c r="G195" s="1589"/>
      <c r="H195" s="1589"/>
      <c r="I195" s="1589"/>
      <c r="J195" s="1589"/>
      <c r="K195" s="1589"/>
      <c r="L195" s="1589"/>
      <c r="M195" s="1589"/>
      <c r="N195" s="1589"/>
      <c r="O195" s="1589"/>
      <c r="P195" s="1589"/>
      <c r="Q195" s="1589"/>
      <c r="R195" s="1589"/>
      <c r="S195" s="1589"/>
      <c r="T195" s="1589"/>
      <c r="U195" s="1589"/>
      <c r="V195" s="1589"/>
      <c r="W195" s="1589"/>
      <c r="X195" s="1589"/>
      <c r="Y195" s="1589"/>
      <c r="Z195" s="1589"/>
      <c r="AA195" s="1589"/>
      <c r="AB195" s="1589"/>
      <c r="AC195" s="1589"/>
      <c r="AD195" s="1589"/>
      <c r="AE195" s="1589"/>
    </row>
    <row r="196" spans="1:31">
      <c r="A196" s="1590" t="s">
        <v>18</v>
      </c>
      <c r="B196" s="1589">
        <v>13116.172725189999</v>
      </c>
      <c r="C196" s="1589">
        <v>8530.9007943899996</v>
      </c>
      <c r="D196" s="1589">
        <v>4585.2719307999996</v>
      </c>
      <c r="E196" s="1589">
        <v>11842.542372039999</v>
      </c>
      <c r="F196" s="1589">
        <v>8135.6342664800004</v>
      </c>
      <c r="G196" s="1589">
        <v>3706.90810556</v>
      </c>
      <c r="H196" s="1589">
        <v>1273.63035315</v>
      </c>
      <c r="I196" s="1589">
        <v>395.26652790999998</v>
      </c>
      <c r="J196" s="1589">
        <v>878.36382523999998</v>
      </c>
      <c r="K196" s="1589">
        <v>10332.0933731</v>
      </c>
      <c r="L196" s="1589">
        <v>6729.9864288799999</v>
      </c>
      <c r="M196" s="1589">
        <v>6430.6439181699998</v>
      </c>
      <c r="N196" s="1589">
        <v>299.34251071</v>
      </c>
      <c r="O196" s="1589">
        <v>3602.1069442200001</v>
      </c>
      <c r="P196" s="1589">
        <v>2741.0417076099998</v>
      </c>
      <c r="Q196" s="1589">
        <v>861.06523661000006</v>
      </c>
      <c r="R196" s="1589">
        <v>6001.7032856200003</v>
      </c>
      <c r="S196" s="1589">
        <v>3900.15271975</v>
      </c>
      <c r="T196" s="1589">
        <v>3751.9322188599999</v>
      </c>
      <c r="U196" s="1589">
        <v>148.22050089000001</v>
      </c>
      <c r="V196" s="1589">
        <v>2101.5505658699999</v>
      </c>
      <c r="W196" s="1589">
        <v>1551.25150461</v>
      </c>
      <c r="X196" s="1589">
        <v>550.29906126000003</v>
      </c>
      <c r="Y196" s="1589">
        <v>2784.0793520900002</v>
      </c>
      <c r="Z196" s="1589">
        <v>1800.9143655099999</v>
      </c>
      <c r="AA196" s="1589">
        <v>1704.9903483099999</v>
      </c>
      <c r="AB196" s="1589">
        <v>95.924017199999994</v>
      </c>
      <c r="AC196" s="1589">
        <v>983.16498658</v>
      </c>
      <c r="AD196" s="1589">
        <v>965.86639794999996</v>
      </c>
      <c r="AE196" s="1589">
        <v>17.298588630000001</v>
      </c>
    </row>
    <row r="197" spans="1:31">
      <c r="A197" s="1590" t="s">
        <v>19</v>
      </c>
      <c r="B197" s="1589">
        <v>13267.209236139999</v>
      </c>
      <c r="C197" s="1589">
        <v>8579.4712754499997</v>
      </c>
      <c r="D197" s="1589">
        <v>4687.7379606900004</v>
      </c>
      <c r="E197" s="1589">
        <v>12002.37940299</v>
      </c>
      <c r="F197" s="1589">
        <v>8183.7733318199998</v>
      </c>
      <c r="G197" s="1589">
        <v>3818.6060711700002</v>
      </c>
      <c r="H197" s="1589">
        <v>1264.82983315</v>
      </c>
      <c r="I197" s="1589">
        <v>395.69794363</v>
      </c>
      <c r="J197" s="1589">
        <v>869.13188951999996</v>
      </c>
      <c r="K197" s="1589">
        <v>10393.97454868</v>
      </c>
      <c r="L197" s="1589">
        <v>6683.9130338100003</v>
      </c>
      <c r="M197" s="1589">
        <v>6387.0250511900003</v>
      </c>
      <c r="N197" s="1589">
        <v>296.88798262</v>
      </c>
      <c r="O197" s="1589">
        <v>3710.0615148699999</v>
      </c>
      <c r="P197" s="1589">
        <v>2858.3344321099999</v>
      </c>
      <c r="Q197" s="1589">
        <v>851.72708276000003</v>
      </c>
      <c r="R197" s="1589">
        <v>6091.4328312500002</v>
      </c>
      <c r="S197" s="1589">
        <v>3899.9471199</v>
      </c>
      <c r="T197" s="1589">
        <v>3754.78918479</v>
      </c>
      <c r="U197" s="1589">
        <v>145.15793511000001</v>
      </c>
      <c r="V197" s="1589">
        <v>2191.4857113500002</v>
      </c>
      <c r="W197" s="1589">
        <v>1664.73661569</v>
      </c>
      <c r="X197" s="1589">
        <v>526.74909565999997</v>
      </c>
      <c r="Y197" s="1589">
        <v>2873.2346874599998</v>
      </c>
      <c r="Z197" s="1589">
        <v>1895.55824164</v>
      </c>
      <c r="AA197" s="1589">
        <v>1796.74828063</v>
      </c>
      <c r="AB197" s="1589">
        <v>98.809961009999995</v>
      </c>
      <c r="AC197" s="1589">
        <v>977.67644582000003</v>
      </c>
      <c r="AD197" s="1589">
        <v>960.27163905999998</v>
      </c>
      <c r="AE197" s="1589">
        <v>17.40480676</v>
      </c>
    </row>
    <row r="198" spans="1:31">
      <c r="A198" s="1590" t="s">
        <v>20</v>
      </c>
      <c r="B198" s="1589">
        <v>13150.527694509999</v>
      </c>
      <c r="C198" s="1589">
        <v>8529.4097118099999</v>
      </c>
      <c r="D198" s="1589">
        <v>4621.1179826999996</v>
      </c>
      <c r="E198" s="1589">
        <v>11892.62391341</v>
      </c>
      <c r="F198" s="1589">
        <v>8141.5448729600002</v>
      </c>
      <c r="G198" s="1589">
        <v>3751.0790404499999</v>
      </c>
      <c r="H198" s="1589">
        <v>1257.9037811000001</v>
      </c>
      <c r="I198" s="1589">
        <v>387.86483885000001</v>
      </c>
      <c r="J198" s="1589">
        <v>870.03894224999999</v>
      </c>
      <c r="K198" s="1589">
        <v>10043.64831572</v>
      </c>
      <c r="L198" s="1589">
        <v>6399.0612387000001</v>
      </c>
      <c r="M198" s="1589">
        <v>6115.42512231</v>
      </c>
      <c r="N198" s="1589">
        <v>283.63611638999998</v>
      </c>
      <c r="O198" s="1589">
        <v>3644.5870770199999</v>
      </c>
      <c r="P198" s="1589">
        <v>2791.9010377599998</v>
      </c>
      <c r="Q198" s="1589">
        <v>852.68603926000003</v>
      </c>
      <c r="R198" s="1589">
        <v>5922.5335661500003</v>
      </c>
      <c r="S198" s="1589">
        <v>3814.3556189800001</v>
      </c>
      <c r="T198" s="1589">
        <v>3673.7240719599999</v>
      </c>
      <c r="U198" s="1589">
        <v>140.63154702</v>
      </c>
      <c r="V198" s="1589">
        <v>2108.1779471700002</v>
      </c>
      <c r="W198" s="1589">
        <v>1577.96835007</v>
      </c>
      <c r="X198" s="1589">
        <v>530.2095971</v>
      </c>
      <c r="Y198" s="1589">
        <v>3106.8793787899999</v>
      </c>
      <c r="Z198" s="1589">
        <v>2130.3484731100002</v>
      </c>
      <c r="AA198" s="1589">
        <v>2026.11975065</v>
      </c>
      <c r="AB198" s="1589">
        <v>104.22872246</v>
      </c>
      <c r="AC198" s="1589">
        <v>976.53090568000005</v>
      </c>
      <c r="AD198" s="1589">
        <v>959.17800268999997</v>
      </c>
      <c r="AE198" s="1589">
        <v>17.35290299</v>
      </c>
    </row>
    <row r="199" spans="1:31">
      <c r="A199" s="1590" t="s">
        <v>21</v>
      </c>
      <c r="B199" s="1589">
        <v>13497.03617682</v>
      </c>
      <c r="C199" s="1589">
        <v>8873.1691139499999</v>
      </c>
      <c r="D199" s="1589">
        <v>4623.8670628700002</v>
      </c>
      <c r="E199" s="1589">
        <v>12237.70298419</v>
      </c>
      <c r="F199" s="1589">
        <v>8485.6593390199996</v>
      </c>
      <c r="G199" s="1589">
        <v>3752.0436451700002</v>
      </c>
      <c r="H199" s="1589">
        <v>1259.33319263</v>
      </c>
      <c r="I199" s="1589">
        <v>387.50977492999999</v>
      </c>
      <c r="J199" s="1589">
        <v>871.82341770000005</v>
      </c>
      <c r="K199" s="1589">
        <v>10257.647072870001</v>
      </c>
      <c r="L199" s="1589">
        <v>6592.4067234900003</v>
      </c>
      <c r="M199" s="1589">
        <v>6310.2688182800002</v>
      </c>
      <c r="N199" s="1589">
        <v>282.13790520999999</v>
      </c>
      <c r="O199" s="1589">
        <v>3665.2403493800002</v>
      </c>
      <c r="P199" s="1589">
        <v>2811.1365756</v>
      </c>
      <c r="Q199" s="1589">
        <v>854.10377377999998</v>
      </c>
      <c r="R199" s="1589">
        <v>6080.1554299500003</v>
      </c>
      <c r="S199" s="1589">
        <v>4003.6560761000001</v>
      </c>
      <c r="T199" s="1589">
        <v>3865.7335062799998</v>
      </c>
      <c r="U199" s="1589">
        <v>137.92256982000001</v>
      </c>
      <c r="V199" s="1589">
        <v>2076.4993538499998</v>
      </c>
      <c r="W199" s="1589">
        <v>1558.6598786899999</v>
      </c>
      <c r="X199" s="1589">
        <v>517.83947516000001</v>
      </c>
      <c r="Y199" s="1589">
        <v>3239.3891039499999</v>
      </c>
      <c r="Z199" s="1589">
        <v>2280.76239046</v>
      </c>
      <c r="AA199" s="1589">
        <v>2175.3905207399998</v>
      </c>
      <c r="AB199" s="1589">
        <v>105.37186972000001</v>
      </c>
      <c r="AC199" s="1589">
        <v>958.62671349000004</v>
      </c>
      <c r="AD199" s="1589">
        <v>940.90706956999998</v>
      </c>
      <c r="AE199" s="1589">
        <v>17.719643919999999</v>
      </c>
    </row>
    <row r="200" spans="1:31">
      <c r="A200" s="1590" t="s">
        <v>22</v>
      </c>
      <c r="B200" s="1589">
        <v>13678.656195719999</v>
      </c>
      <c r="C200" s="1589">
        <v>8932.56804835</v>
      </c>
      <c r="D200" s="1589">
        <v>4746.0881473700001</v>
      </c>
      <c r="E200" s="1589">
        <v>12366.383327830001</v>
      </c>
      <c r="F200" s="1589">
        <v>8547.5429277300009</v>
      </c>
      <c r="G200" s="1589">
        <v>3818.8404000999999</v>
      </c>
      <c r="H200" s="1589">
        <v>1312.27286789</v>
      </c>
      <c r="I200" s="1589">
        <v>385.02512062</v>
      </c>
      <c r="J200" s="1589">
        <v>927.24774726999999</v>
      </c>
      <c r="K200" s="1589">
        <v>10340.167308849999</v>
      </c>
      <c r="L200" s="1589">
        <v>6551.5990389799999</v>
      </c>
      <c r="M200" s="1589">
        <v>6278.6924500300001</v>
      </c>
      <c r="N200" s="1589">
        <v>272.90658895000001</v>
      </c>
      <c r="O200" s="1589">
        <v>3788.5682698700002</v>
      </c>
      <c r="P200" s="1589">
        <v>2875.8851020900001</v>
      </c>
      <c r="Q200" s="1589">
        <v>912.68316777999996</v>
      </c>
      <c r="R200" s="1589">
        <v>6051.0560320900004</v>
      </c>
      <c r="S200" s="1589">
        <v>3957.19154841</v>
      </c>
      <c r="T200" s="1589">
        <v>3827.1592678400002</v>
      </c>
      <c r="U200" s="1589">
        <v>130.03228057000001</v>
      </c>
      <c r="V200" s="1589">
        <v>2093.8644836799999</v>
      </c>
      <c r="W200" s="1589">
        <v>1527.3754349999999</v>
      </c>
      <c r="X200" s="1589">
        <v>566.48904868</v>
      </c>
      <c r="Y200" s="1589">
        <v>3338.48888687</v>
      </c>
      <c r="Z200" s="1589">
        <v>2380.9690093700001</v>
      </c>
      <c r="AA200" s="1589">
        <v>2268.8504776999998</v>
      </c>
      <c r="AB200" s="1589">
        <v>112.11853167</v>
      </c>
      <c r="AC200" s="1589">
        <v>957.51987750000001</v>
      </c>
      <c r="AD200" s="1589">
        <v>942.95529800999998</v>
      </c>
      <c r="AE200" s="1589">
        <v>14.56457949</v>
      </c>
    </row>
    <row r="201" spans="1:31">
      <c r="A201" s="1590" t="s">
        <v>23</v>
      </c>
      <c r="B201" s="1589">
        <v>14180.70736117</v>
      </c>
      <c r="C201" s="1589">
        <v>9369.6841562000009</v>
      </c>
      <c r="D201" s="1589">
        <v>4811.0232049699998</v>
      </c>
      <c r="E201" s="1589">
        <v>12884.08888039</v>
      </c>
      <c r="F201" s="1589">
        <v>8984.0502236699995</v>
      </c>
      <c r="G201" s="1589">
        <v>3900.0386567199998</v>
      </c>
      <c r="H201" s="1589">
        <v>1296.61848078</v>
      </c>
      <c r="I201" s="1589">
        <v>385.63393252999998</v>
      </c>
      <c r="J201" s="1589">
        <v>910.98454824999999</v>
      </c>
      <c r="K201" s="1589">
        <v>10699.117506619999</v>
      </c>
      <c r="L201" s="1589">
        <v>6888.6412306800003</v>
      </c>
      <c r="M201" s="1589">
        <v>6632.2865333899999</v>
      </c>
      <c r="N201" s="1589">
        <v>256.35469728999999</v>
      </c>
      <c r="O201" s="1589">
        <v>3810.4762759400001</v>
      </c>
      <c r="P201" s="1589">
        <v>2914.1855945000002</v>
      </c>
      <c r="Q201" s="1589">
        <v>896.29068143999996</v>
      </c>
      <c r="R201" s="1589">
        <v>6427.8717803</v>
      </c>
      <c r="S201" s="1589">
        <v>4371.6476527200002</v>
      </c>
      <c r="T201" s="1589">
        <v>4244.1487266699996</v>
      </c>
      <c r="U201" s="1589">
        <v>127.49892604999999</v>
      </c>
      <c r="V201" s="1589">
        <v>2056.2241275800002</v>
      </c>
      <c r="W201" s="1589">
        <v>1566.6030870500001</v>
      </c>
      <c r="X201" s="1589">
        <v>489.62104053000002</v>
      </c>
      <c r="Y201" s="1589">
        <v>3481.5898545499999</v>
      </c>
      <c r="Z201" s="1589">
        <v>2481.0429255200002</v>
      </c>
      <c r="AA201" s="1589">
        <v>2351.76369028</v>
      </c>
      <c r="AB201" s="1589">
        <v>129.27923523999999</v>
      </c>
      <c r="AC201" s="1589">
        <v>1000.54692903</v>
      </c>
      <c r="AD201" s="1589">
        <v>985.85306221999997</v>
      </c>
      <c r="AE201" s="1589">
        <v>14.693866809999999</v>
      </c>
    </row>
    <row r="202" spans="1:31">
      <c r="A202" s="1590" t="s">
        <v>24</v>
      </c>
      <c r="B202" s="1589">
        <v>13963.33135</v>
      </c>
      <c r="C202" s="1589">
        <v>9252.8804737299997</v>
      </c>
      <c r="D202" s="1589">
        <v>4710.4508762699998</v>
      </c>
      <c r="E202" s="1589">
        <v>12741.95371145</v>
      </c>
      <c r="F202" s="1589">
        <v>8859.3352453900006</v>
      </c>
      <c r="G202" s="1589">
        <v>3882.6184660600002</v>
      </c>
      <c r="H202" s="1589">
        <v>1221.37763855</v>
      </c>
      <c r="I202" s="1589">
        <v>393.54522833999999</v>
      </c>
      <c r="J202" s="1589">
        <v>827.83241021000003</v>
      </c>
      <c r="K202" s="1589">
        <v>10301.81347085</v>
      </c>
      <c r="L202" s="1589">
        <v>6639.7169159900004</v>
      </c>
      <c r="M202" s="1589">
        <v>6379.8364376</v>
      </c>
      <c r="N202" s="1589">
        <v>259.88047839000001</v>
      </c>
      <c r="O202" s="1589">
        <v>3662.0965548600002</v>
      </c>
      <c r="P202" s="1589">
        <v>2854.0587292</v>
      </c>
      <c r="Q202" s="1589">
        <v>808.03782565999995</v>
      </c>
      <c r="R202" s="1589">
        <v>5894.0296217799996</v>
      </c>
      <c r="S202" s="1589">
        <v>3971.2981900300001</v>
      </c>
      <c r="T202" s="1589">
        <v>3839.9901620300002</v>
      </c>
      <c r="U202" s="1589">
        <v>131.30802800000001</v>
      </c>
      <c r="V202" s="1589">
        <v>1922.73143175</v>
      </c>
      <c r="W202" s="1589">
        <v>1436.7981583999999</v>
      </c>
      <c r="X202" s="1589">
        <v>485.93327334999998</v>
      </c>
      <c r="Y202" s="1589">
        <v>3661.5178791500002</v>
      </c>
      <c r="Z202" s="1589">
        <v>2613.1635577400002</v>
      </c>
      <c r="AA202" s="1589">
        <v>2479.4988077899998</v>
      </c>
      <c r="AB202" s="1589">
        <v>133.66474994999999</v>
      </c>
      <c r="AC202" s="1589">
        <v>1048.35432141</v>
      </c>
      <c r="AD202" s="1589">
        <v>1028.5597368599999</v>
      </c>
      <c r="AE202" s="1589">
        <v>19.79458455</v>
      </c>
    </row>
    <row r="203" spans="1:31">
      <c r="A203" s="1590" t="s">
        <v>25</v>
      </c>
      <c r="B203" s="1589">
        <v>14185.538765679999</v>
      </c>
      <c r="C203" s="1589">
        <v>9371.6429139100001</v>
      </c>
      <c r="D203" s="1589">
        <v>4813.8958517700003</v>
      </c>
      <c r="E203" s="1589">
        <v>12973.994349430001</v>
      </c>
      <c r="F203" s="1589">
        <v>8973.3302263200003</v>
      </c>
      <c r="G203" s="1589">
        <v>4000.6641231100002</v>
      </c>
      <c r="H203" s="1589">
        <v>1211.54441625</v>
      </c>
      <c r="I203" s="1589">
        <v>398.31268759</v>
      </c>
      <c r="J203" s="1589">
        <v>813.23172866000004</v>
      </c>
      <c r="K203" s="1589">
        <v>10455.635607349999</v>
      </c>
      <c r="L203" s="1589">
        <v>6676.3959518600004</v>
      </c>
      <c r="M203" s="1589">
        <v>6419.6465238600003</v>
      </c>
      <c r="N203" s="1589">
        <v>256.74942800000002</v>
      </c>
      <c r="O203" s="1589">
        <v>3779.2396554900001</v>
      </c>
      <c r="P203" s="1589">
        <v>2986.0178044499999</v>
      </c>
      <c r="Q203" s="1589">
        <v>793.22185104000005</v>
      </c>
      <c r="R203" s="1589">
        <v>5968.5104264700003</v>
      </c>
      <c r="S203" s="1589">
        <v>4002.7037036699999</v>
      </c>
      <c r="T203" s="1589">
        <v>3877.2415366199998</v>
      </c>
      <c r="U203" s="1589">
        <v>125.46216705000001</v>
      </c>
      <c r="V203" s="1589">
        <v>1965.8067228</v>
      </c>
      <c r="W203" s="1589">
        <v>1546.5093169199999</v>
      </c>
      <c r="X203" s="1589">
        <v>419.29740587999999</v>
      </c>
      <c r="Y203" s="1589">
        <v>3729.9031583300002</v>
      </c>
      <c r="Z203" s="1589">
        <v>2695.2469620500001</v>
      </c>
      <c r="AA203" s="1589">
        <v>2553.6837024599999</v>
      </c>
      <c r="AB203" s="1589">
        <v>141.56325959</v>
      </c>
      <c r="AC203" s="1589">
        <v>1034.6561962799999</v>
      </c>
      <c r="AD203" s="1589">
        <v>1014.64631866</v>
      </c>
      <c r="AE203" s="1589">
        <v>20.009877620000001</v>
      </c>
    </row>
    <row r="204" spans="1:31">
      <c r="A204" s="1590" t="s">
        <v>26</v>
      </c>
      <c r="B204" s="1589">
        <v>14163.95359743</v>
      </c>
      <c r="C204" s="1589">
        <v>9346.7035968199998</v>
      </c>
      <c r="D204" s="1589">
        <v>4817.2500006099999</v>
      </c>
      <c r="E204" s="1589">
        <v>12938.507671560001</v>
      </c>
      <c r="F204" s="1589">
        <v>8946.3853670999997</v>
      </c>
      <c r="G204" s="1589">
        <v>3992.1223044600001</v>
      </c>
      <c r="H204" s="1589">
        <v>1225.4459258700001</v>
      </c>
      <c r="I204" s="1589">
        <v>400.31822971999998</v>
      </c>
      <c r="J204" s="1589">
        <v>825.12769615000002</v>
      </c>
      <c r="K204" s="1589">
        <v>10364.626004420001</v>
      </c>
      <c r="L204" s="1589">
        <v>6571.8846091200003</v>
      </c>
      <c r="M204" s="1589">
        <v>6315.7976048500004</v>
      </c>
      <c r="N204" s="1589">
        <v>256.08700427000002</v>
      </c>
      <c r="O204" s="1589">
        <v>3792.7413953</v>
      </c>
      <c r="P204" s="1589">
        <v>2989.0158701300002</v>
      </c>
      <c r="Q204" s="1589">
        <v>803.72552516999997</v>
      </c>
      <c r="R204" s="1589">
        <v>5919.5647172500003</v>
      </c>
      <c r="S204" s="1589">
        <v>3974.8512134299999</v>
      </c>
      <c r="T204" s="1589">
        <v>3848.5438418399999</v>
      </c>
      <c r="U204" s="1589">
        <v>126.30737159</v>
      </c>
      <c r="V204" s="1589">
        <v>1944.7135038199999</v>
      </c>
      <c r="W204" s="1589">
        <v>1518.45676647</v>
      </c>
      <c r="X204" s="1589">
        <v>426.25673734999998</v>
      </c>
      <c r="Y204" s="1589">
        <v>3799.3275930099999</v>
      </c>
      <c r="Z204" s="1589">
        <v>2774.8189877</v>
      </c>
      <c r="AA204" s="1589">
        <v>2630.5877622500002</v>
      </c>
      <c r="AB204" s="1589">
        <v>144.23122545000001</v>
      </c>
      <c r="AC204" s="1589">
        <v>1024.5086053099999</v>
      </c>
      <c r="AD204" s="1589">
        <v>1003.10643433</v>
      </c>
      <c r="AE204" s="1589">
        <v>21.402170980000001</v>
      </c>
    </row>
    <row r="205" spans="1:31">
      <c r="A205" s="1590">
        <v>10</v>
      </c>
      <c r="B205" s="1589">
        <v>14265.991405889999</v>
      </c>
      <c r="C205" s="1589">
        <v>9481.7043782700002</v>
      </c>
      <c r="D205" s="1589">
        <v>4784.2870276200001</v>
      </c>
      <c r="E205" s="1589">
        <v>13037.20933193</v>
      </c>
      <c r="F205" s="1589">
        <v>9068.3451529800004</v>
      </c>
      <c r="G205" s="1589">
        <v>3968.8641789500002</v>
      </c>
      <c r="H205" s="1589">
        <v>1228.7820739599999</v>
      </c>
      <c r="I205" s="1589">
        <v>413.35922528999998</v>
      </c>
      <c r="J205" s="1589">
        <v>815.42284867000001</v>
      </c>
      <c r="K205" s="1589">
        <v>10367.45078252</v>
      </c>
      <c r="L205" s="1589">
        <v>6600.4553703000001</v>
      </c>
      <c r="M205" s="1589">
        <v>6339.9326012800002</v>
      </c>
      <c r="N205" s="1589">
        <v>260.52276902</v>
      </c>
      <c r="O205" s="1589">
        <v>3766.9954122200002</v>
      </c>
      <c r="P205" s="1589">
        <v>2973.05608648</v>
      </c>
      <c r="Q205" s="1589">
        <v>793.93932573999996</v>
      </c>
      <c r="R205" s="1589">
        <v>5948.7440118599998</v>
      </c>
      <c r="S205" s="1589">
        <v>4034.65036736</v>
      </c>
      <c r="T205" s="1589">
        <v>3902.7583979599999</v>
      </c>
      <c r="U205" s="1589">
        <v>131.89196939999999</v>
      </c>
      <c r="V205" s="1589">
        <v>1914.0936445</v>
      </c>
      <c r="W205" s="1589">
        <v>1480.6661718099999</v>
      </c>
      <c r="X205" s="1589">
        <v>433.42747269</v>
      </c>
      <c r="Y205" s="1589">
        <v>3898.54062337</v>
      </c>
      <c r="Z205" s="1589">
        <v>2881.2490079700001</v>
      </c>
      <c r="AA205" s="1589">
        <v>2728.4125517000002</v>
      </c>
      <c r="AB205" s="1589">
        <v>152.83645627000001</v>
      </c>
      <c r="AC205" s="1589">
        <v>1017.2916154</v>
      </c>
      <c r="AD205" s="1589">
        <v>995.80809247000002</v>
      </c>
      <c r="AE205" s="1589">
        <v>21.483522929999999</v>
      </c>
    </row>
    <row r="206" spans="1:31">
      <c r="A206" s="1590">
        <v>11</v>
      </c>
      <c r="B206" s="1589">
        <v>14235.57581221</v>
      </c>
      <c r="C206" s="1589">
        <v>9380.4980992000001</v>
      </c>
      <c r="D206" s="1589">
        <v>4855.0777130099996</v>
      </c>
      <c r="E206" s="1589">
        <v>13012.884440129999</v>
      </c>
      <c r="F206" s="1589">
        <v>8969.4185061499993</v>
      </c>
      <c r="G206" s="1589">
        <v>4043.46593398</v>
      </c>
      <c r="H206" s="1589">
        <v>1222.6913720800001</v>
      </c>
      <c r="I206" s="1589">
        <v>411.07959305000003</v>
      </c>
      <c r="J206" s="1589">
        <v>811.61177902999998</v>
      </c>
      <c r="K206" s="1589">
        <v>10239.171395060001</v>
      </c>
      <c r="L206" s="1589">
        <v>6403.5933974899999</v>
      </c>
      <c r="M206" s="1589">
        <v>6151.2131034200002</v>
      </c>
      <c r="N206" s="1589">
        <v>252.38029406999999</v>
      </c>
      <c r="O206" s="1589">
        <v>3835.5779975700002</v>
      </c>
      <c r="P206" s="1589">
        <v>3051.22782474</v>
      </c>
      <c r="Q206" s="1589">
        <v>784.35017283000002</v>
      </c>
      <c r="R206" s="1589">
        <v>5860.4704417200001</v>
      </c>
      <c r="S206" s="1589">
        <v>3912.3338641</v>
      </c>
      <c r="T206" s="1589">
        <v>3784.6258293699998</v>
      </c>
      <c r="U206" s="1589">
        <v>127.70803472999999</v>
      </c>
      <c r="V206" s="1589">
        <v>1948.13657762</v>
      </c>
      <c r="W206" s="1589">
        <v>1518.19759658</v>
      </c>
      <c r="X206" s="1589">
        <v>429.93898103999999</v>
      </c>
      <c r="Y206" s="1589">
        <v>3996.40441715</v>
      </c>
      <c r="Z206" s="1589">
        <v>2976.9047017100002</v>
      </c>
      <c r="AA206" s="1589">
        <v>2818.2054027300001</v>
      </c>
      <c r="AB206" s="1589">
        <v>158.69929898000001</v>
      </c>
      <c r="AC206" s="1589">
        <v>1019.49971544</v>
      </c>
      <c r="AD206" s="1589">
        <v>992.23810923999997</v>
      </c>
      <c r="AE206" s="1589">
        <v>27.261606199999999</v>
      </c>
    </row>
    <row r="207" spans="1:31">
      <c r="A207" s="1590">
        <v>12</v>
      </c>
      <c r="B207" s="1589">
        <v>14661.94938401</v>
      </c>
      <c r="C207" s="1589">
        <v>9730.0478426400005</v>
      </c>
      <c r="D207" s="1589">
        <v>4931.9015413699999</v>
      </c>
      <c r="E207" s="1589">
        <v>13333.9245108</v>
      </c>
      <c r="F207" s="1589">
        <v>9258.0682788100003</v>
      </c>
      <c r="G207" s="1589">
        <v>4075.8562319900002</v>
      </c>
      <c r="H207" s="1589">
        <v>1328.0248732099999</v>
      </c>
      <c r="I207" s="1589">
        <v>471.97956383000002</v>
      </c>
      <c r="J207" s="1589">
        <v>856.04530938000005</v>
      </c>
      <c r="K207" s="1589">
        <v>10572.95228851</v>
      </c>
      <c r="L207" s="1589">
        <v>6657.5295488199999</v>
      </c>
      <c r="M207" s="1589">
        <v>6352.3820338899995</v>
      </c>
      <c r="N207" s="1589">
        <v>305.14751493</v>
      </c>
      <c r="O207" s="1589">
        <v>3915.4227396900001</v>
      </c>
      <c r="P207" s="1589">
        <v>3087.3715228199999</v>
      </c>
      <c r="Q207" s="1589">
        <v>828.05121686999996</v>
      </c>
      <c r="R207" s="1589">
        <v>6058.9693072600003</v>
      </c>
      <c r="S207" s="1589">
        <v>4149.86652753</v>
      </c>
      <c r="T207" s="1589">
        <v>3990.4939234799999</v>
      </c>
      <c r="U207" s="1589">
        <v>159.37260405000001</v>
      </c>
      <c r="V207" s="1589">
        <v>1909.1027797300001</v>
      </c>
      <c r="W207" s="1589">
        <v>1488.3318022999999</v>
      </c>
      <c r="X207" s="1589">
        <v>420.77097743000002</v>
      </c>
      <c r="Y207" s="1589">
        <v>4088.9970954999999</v>
      </c>
      <c r="Z207" s="1589">
        <v>3072.5182938200001</v>
      </c>
      <c r="AA207" s="1589">
        <v>2905.6862449199998</v>
      </c>
      <c r="AB207" s="1589">
        <v>166.83204889999999</v>
      </c>
      <c r="AC207" s="1589">
        <v>1016.4788016799999</v>
      </c>
      <c r="AD207" s="1589">
        <v>988.48470916999997</v>
      </c>
      <c r="AE207" s="1589">
        <v>27.994092510000002</v>
      </c>
    </row>
    <row r="208" spans="1:31">
      <c r="A208" s="1590">
        <v>2025</v>
      </c>
      <c r="B208" s="1589"/>
      <c r="C208" s="1589"/>
      <c r="D208" s="1589"/>
      <c r="E208" s="1589"/>
      <c r="F208" s="1589"/>
      <c r="G208" s="1589"/>
      <c r="H208" s="1589"/>
      <c r="I208" s="1589"/>
      <c r="J208" s="1589"/>
      <c r="K208" s="1589"/>
      <c r="L208" s="1589"/>
      <c r="M208" s="1589"/>
      <c r="N208" s="1589"/>
      <c r="O208" s="1589"/>
      <c r="P208" s="1589"/>
      <c r="Q208" s="1589"/>
      <c r="R208" s="1589"/>
      <c r="S208" s="1589"/>
      <c r="T208" s="1589"/>
      <c r="U208" s="1589"/>
      <c r="V208" s="1589"/>
      <c r="W208" s="1589"/>
      <c r="X208" s="1589"/>
      <c r="Y208" s="1589"/>
      <c r="Z208" s="1589"/>
      <c r="AA208" s="1589"/>
      <c r="AB208" s="1589"/>
      <c r="AC208" s="1589"/>
      <c r="AD208" s="1589"/>
      <c r="AE208" s="1589"/>
    </row>
    <row r="209" spans="1:31">
      <c r="A209" s="1590" t="s">
        <v>18</v>
      </c>
      <c r="B209" s="1589">
        <v>14698.65421431</v>
      </c>
      <c r="C209" s="1589">
        <v>9781.0876976300005</v>
      </c>
      <c r="D209" s="1589">
        <v>4917.5665166799999</v>
      </c>
      <c r="E209" s="1589">
        <v>13367.133686130001</v>
      </c>
      <c r="F209" s="1589">
        <v>9295.6171774100003</v>
      </c>
      <c r="G209" s="1589">
        <v>4071.5165087199998</v>
      </c>
      <c r="H209" s="1589">
        <v>1331.5205281799999</v>
      </c>
      <c r="I209" s="1589">
        <v>485.47052022000003</v>
      </c>
      <c r="J209" s="1589">
        <v>846.05000796000002</v>
      </c>
      <c r="K209" s="1589">
        <v>10487.90339867</v>
      </c>
      <c r="L209" s="1589">
        <v>6580.8893628899996</v>
      </c>
      <c r="M209" s="1589">
        <v>6260.0986357299998</v>
      </c>
      <c r="N209" s="1589">
        <v>320.79072716000002</v>
      </c>
      <c r="O209" s="1589">
        <v>3907.0140357800001</v>
      </c>
      <c r="P209" s="1589">
        <v>3089.1507205799999</v>
      </c>
      <c r="Q209" s="1589">
        <v>817.86331519999999</v>
      </c>
      <c r="R209" s="1589">
        <v>5949.7142307000004</v>
      </c>
      <c r="S209" s="1589">
        <v>4074.1833236100001</v>
      </c>
      <c r="T209" s="1589">
        <v>3941.8649368699998</v>
      </c>
      <c r="U209" s="1589">
        <v>132.31838673999999</v>
      </c>
      <c r="V209" s="1589">
        <v>1875.53090709</v>
      </c>
      <c r="W209" s="1589">
        <v>1456.3214013500001</v>
      </c>
      <c r="X209" s="1589">
        <v>419.20950574</v>
      </c>
      <c r="Y209" s="1589">
        <v>4210.7508156399999</v>
      </c>
      <c r="Z209" s="1589">
        <v>3200.1983347400001</v>
      </c>
      <c r="AA209" s="1589">
        <v>3035.51854168</v>
      </c>
      <c r="AB209" s="1589">
        <v>164.67979306000001</v>
      </c>
      <c r="AC209" s="1589">
        <v>1010.5524809</v>
      </c>
      <c r="AD209" s="1589">
        <v>982.36578813999995</v>
      </c>
      <c r="AE209" s="1589">
        <v>28.18669276</v>
      </c>
    </row>
    <row r="210" spans="1:31">
      <c r="A210" s="1590" t="s">
        <v>19</v>
      </c>
      <c r="B210" s="1589">
        <v>14835.865925030001</v>
      </c>
      <c r="C210" s="1589">
        <v>9932.7997755199995</v>
      </c>
      <c r="D210" s="1589">
        <v>4903.0661495100003</v>
      </c>
      <c r="E210" s="1589">
        <v>13590.34553907</v>
      </c>
      <c r="F210" s="1589">
        <v>9444.5670324700004</v>
      </c>
      <c r="G210" s="1589">
        <v>4145.7785065999997</v>
      </c>
      <c r="H210" s="1589">
        <v>1245.5203859600001</v>
      </c>
      <c r="I210" s="1589">
        <v>488.23274305000001</v>
      </c>
      <c r="J210" s="1589">
        <v>757.28764291000005</v>
      </c>
      <c r="K210" s="1589">
        <v>10570.713726100001</v>
      </c>
      <c r="L210" s="1589">
        <v>6696.74920862</v>
      </c>
      <c r="M210" s="1589">
        <v>6374.4235581399998</v>
      </c>
      <c r="N210" s="1589">
        <v>322.32565047999998</v>
      </c>
      <c r="O210" s="1589">
        <v>3873.9645174799998</v>
      </c>
      <c r="P210" s="1589">
        <v>3164.5071280299999</v>
      </c>
      <c r="Q210" s="1589">
        <v>709.45738945000005</v>
      </c>
      <c r="R210" s="1589">
        <v>6029.0852152099997</v>
      </c>
      <c r="S210" s="1589">
        <v>4191.5900717200002</v>
      </c>
      <c r="T210" s="1589">
        <v>4058.9765914099999</v>
      </c>
      <c r="U210" s="1589">
        <v>132.61348031</v>
      </c>
      <c r="V210" s="1589">
        <v>1837.4951434899999</v>
      </c>
      <c r="W210" s="1589">
        <v>1434.6885496800001</v>
      </c>
      <c r="X210" s="1589">
        <v>402.80659380999998</v>
      </c>
      <c r="Y210" s="1589">
        <v>4265.1521989299999</v>
      </c>
      <c r="Z210" s="1589">
        <v>3236.0505668999999</v>
      </c>
      <c r="AA210" s="1589">
        <v>3070.1434743300001</v>
      </c>
      <c r="AB210" s="1589">
        <v>165.90709257</v>
      </c>
      <c r="AC210" s="1589">
        <v>1029.10163203</v>
      </c>
      <c r="AD210" s="1589">
        <v>981.27137857000002</v>
      </c>
      <c r="AE210" s="1589">
        <v>47.830253460000002</v>
      </c>
    </row>
    <row r="211" spans="1:31">
      <c r="A211" s="1590" t="s">
        <v>20</v>
      </c>
      <c r="B211" s="1589">
        <v>15074.000669290001</v>
      </c>
      <c r="C211" s="1589">
        <v>10090.14707049</v>
      </c>
      <c r="D211" s="1589">
        <v>4983.8535988000003</v>
      </c>
      <c r="E211" s="1589">
        <v>13742.68362342</v>
      </c>
      <c r="F211" s="1589">
        <v>9605.6818099100001</v>
      </c>
      <c r="G211" s="1589">
        <v>4137.0018135099999</v>
      </c>
      <c r="H211" s="1589">
        <v>1331.3170458699999</v>
      </c>
      <c r="I211" s="1589">
        <v>484.46526058000001</v>
      </c>
      <c r="J211" s="1589">
        <v>846.85178528999995</v>
      </c>
      <c r="K211" s="1589">
        <v>10689.710773000001</v>
      </c>
      <c r="L211" s="1589">
        <v>6750.7738895700004</v>
      </c>
      <c r="M211" s="1589">
        <v>6436.3042954399998</v>
      </c>
      <c r="N211" s="1589">
        <v>314.46959413000002</v>
      </c>
      <c r="O211" s="1589">
        <v>3938.9368834299999</v>
      </c>
      <c r="P211" s="1589">
        <v>3140.1874912799999</v>
      </c>
      <c r="Q211" s="1589">
        <v>798.74939214999995</v>
      </c>
      <c r="R211" s="1589">
        <v>6062.3633540500005</v>
      </c>
      <c r="S211" s="1589">
        <v>4211.0510741400003</v>
      </c>
      <c r="T211" s="1589">
        <v>4087.8701999800001</v>
      </c>
      <c r="U211" s="1589">
        <v>123.18087416</v>
      </c>
      <c r="V211" s="1589">
        <v>1851.3122799099999</v>
      </c>
      <c r="W211" s="1589">
        <v>1455.0677395</v>
      </c>
      <c r="X211" s="1589">
        <v>396.24454041000001</v>
      </c>
      <c r="Y211" s="1589">
        <v>4384.2898962899999</v>
      </c>
      <c r="Z211" s="1589">
        <v>3339.3731809199999</v>
      </c>
      <c r="AA211" s="1589">
        <v>3169.3775144699998</v>
      </c>
      <c r="AB211" s="1589">
        <v>169.99566644999999</v>
      </c>
      <c r="AC211" s="1589">
        <v>1044.91671537</v>
      </c>
      <c r="AD211" s="1589">
        <v>996.81432223000002</v>
      </c>
      <c r="AE211" s="1589">
        <v>48.102393139999997</v>
      </c>
    </row>
    <row r="212" spans="1:31">
      <c r="A212" s="1590" t="s">
        <v>21</v>
      </c>
      <c r="B212" s="1589">
        <v>14852.993585669999</v>
      </c>
      <c r="C212" s="1589">
        <v>9923.2553766199999</v>
      </c>
      <c r="D212" s="1589">
        <v>4929.7382090499996</v>
      </c>
      <c r="E212" s="1589">
        <v>13508.07799602</v>
      </c>
      <c r="F212" s="1589">
        <v>9423.3952316699997</v>
      </c>
      <c r="G212" s="1589">
        <v>4084.6827643500001</v>
      </c>
      <c r="H212" s="1589">
        <v>1344.9155896499999</v>
      </c>
      <c r="I212" s="1589">
        <v>499.86014495000001</v>
      </c>
      <c r="J212" s="1589">
        <v>845.05544469999995</v>
      </c>
      <c r="K212" s="1589">
        <v>10324.361184310001</v>
      </c>
      <c r="L212" s="1589">
        <v>6430.9081164099998</v>
      </c>
      <c r="M212" s="1589">
        <v>6113.2445439499998</v>
      </c>
      <c r="N212" s="1589">
        <v>317.66357246000001</v>
      </c>
      <c r="O212" s="1589">
        <v>3893.4530679</v>
      </c>
      <c r="P212" s="1589">
        <v>3097.5022285300001</v>
      </c>
      <c r="Q212" s="1589">
        <v>795.95083937000004</v>
      </c>
      <c r="R212" s="1589">
        <v>5714.7369915700001</v>
      </c>
      <c r="S212" s="1589">
        <v>3920.9937029500002</v>
      </c>
      <c r="T212" s="1589">
        <v>3776.0741987900001</v>
      </c>
      <c r="U212" s="1589">
        <v>144.91950416</v>
      </c>
      <c r="V212" s="1589">
        <v>1793.7432886199999</v>
      </c>
      <c r="W212" s="1589">
        <v>1383.34982188</v>
      </c>
      <c r="X212" s="1589">
        <v>410.39346674000001</v>
      </c>
      <c r="Y212" s="1589">
        <v>4528.6324013599997</v>
      </c>
      <c r="Z212" s="1589">
        <v>3492.3472602100001</v>
      </c>
      <c r="AA212" s="1589">
        <v>3310.15068772</v>
      </c>
      <c r="AB212" s="1589">
        <v>182.19657248999999</v>
      </c>
      <c r="AC212" s="1589">
        <v>1036.2851411500001</v>
      </c>
      <c r="AD212" s="1589">
        <v>987.18053582000005</v>
      </c>
      <c r="AE212" s="1589">
        <v>49.104605329999998</v>
      </c>
    </row>
    <row r="213" spans="1:31">
      <c r="A213" s="1590" t="s">
        <v>22</v>
      </c>
      <c r="B213" s="1589">
        <v>15063.011597229999</v>
      </c>
      <c r="C213" s="1589">
        <v>10135.961725949999</v>
      </c>
      <c r="D213" s="1589">
        <v>4927.0498712799999</v>
      </c>
      <c r="E213" s="1589">
        <v>13698.826089280001</v>
      </c>
      <c r="F213" s="1589">
        <v>9612.6976458499994</v>
      </c>
      <c r="G213" s="1589">
        <v>4086.1284434300001</v>
      </c>
      <c r="H213" s="1589">
        <v>1364.1855079500001</v>
      </c>
      <c r="I213" s="1589">
        <v>523.2640801</v>
      </c>
      <c r="J213" s="1589">
        <v>840.92142784999999</v>
      </c>
      <c r="K213" s="1589">
        <v>10354.72427572</v>
      </c>
      <c r="L213" s="1589">
        <v>6515.0765648899996</v>
      </c>
      <c r="M213" s="1589">
        <v>6219.9963545600003</v>
      </c>
      <c r="N213" s="1589">
        <v>295.08021033</v>
      </c>
      <c r="O213" s="1589">
        <v>3839.6477108300001</v>
      </c>
      <c r="P213" s="1589">
        <v>3093.7576917599999</v>
      </c>
      <c r="Q213" s="1589">
        <v>745.89001906999999</v>
      </c>
      <c r="R213" s="1589">
        <v>5862.1701354099996</v>
      </c>
      <c r="S213" s="1589">
        <v>4024.19741845</v>
      </c>
      <c r="T213" s="1589">
        <v>3891.3015130200001</v>
      </c>
      <c r="U213" s="1589">
        <v>132.89590543</v>
      </c>
      <c r="V213" s="1589">
        <v>1837.9727169600001</v>
      </c>
      <c r="W213" s="1589">
        <v>1433.2588400100001</v>
      </c>
      <c r="X213" s="1589">
        <v>404.71387694999999</v>
      </c>
      <c r="Y213" s="1589">
        <v>4708.2873215099999</v>
      </c>
      <c r="Z213" s="1589">
        <v>3620.88516106</v>
      </c>
      <c r="AA213" s="1589">
        <v>3392.70129129</v>
      </c>
      <c r="AB213" s="1589">
        <v>228.18386977</v>
      </c>
      <c r="AC213" s="1589">
        <v>1087.4021604500001</v>
      </c>
      <c r="AD213" s="1589">
        <v>992.37075167</v>
      </c>
      <c r="AE213" s="1589">
        <v>95.031408780000007</v>
      </c>
    </row>
    <row r="214" spans="1:31">
      <c r="A214" s="1590" t="s">
        <v>23</v>
      </c>
      <c r="B214" s="1589">
        <v>15436.972895950001</v>
      </c>
      <c r="C214" s="1589">
        <v>10443.99106955</v>
      </c>
      <c r="D214" s="1589">
        <v>4992.9818263999996</v>
      </c>
      <c r="E214" s="1589">
        <v>14063.051888890001</v>
      </c>
      <c r="F214" s="1589">
        <v>9918.7843308299998</v>
      </c>
      <c r="G214" s="1589">
        <v>4144.2675580599998</v>
      </c>
      <c r="H214" s="1589">
        <v>1373.92100706</v>
      </c>
      <c r="I214" s="1589">
        <v>525.20673871999998</v>
      </c>
      <c r="J214" s="1589">
        <v>848.71426833999999</v>
      </c>
      <c r="K214" s="1589">
        <v>10606.71975729</v>
      </c>
      <c r="L214" s="1589">
        <v>6708.1036361400002</v>
      </c>
      <c r="M214" s="1589">
        <v>6428.1149606199997</v>
      </c>
      <c r="N214" s="1589">
        <v>279.98867552000002</v>
      </c>
      <c r="O214" s="1589">
        <v>3898.6161211499998</v>
      </c>
      <c r="P214" s="1589">
        <v>3144.3999215499998</v>
      </c>
      <c r="Q214" s="1589">
        <v>754.21619959999998</v>
      </c>
      <c r="R214" s="1589">
        <v>6026.7251164700001</v>
      </c>
      <c r="S214" s="1589">
        <v>4199.7729453299999</v>
      </c>
      <c r="T214" s="1589">
        <v>4070.4163898199999</v>
      </c>
      <c r="U214" s="1589">
        <v>129.35655550999999</v>
      </c>
      <c r="V214" s="1589">
        <v>1826.95217114</v>
      </c>
      <c r="W214" s="1589">
        <v>1503.8497160100001</v>
      </c>
      <c r="X214" s="1589">
        <v>323.10245513000001</v>
      </c>
      <c r="Y214" s="1589">
        <v>4830.2531386600003</v>
      </c>
      <c r="Z214" s="1589">
        <v>3735.8874334100001</v>
      </c>
      <c r="AA214" s="1589">
        <v>3490.6693702100001</v>
      </c>
      <c r="AB214" s="1589">
        <v>245.21806319999999</v>
      </c>
      <c r="AC214" s="1589">
        <v>1094.36570525</v>
      </c>
      <c r="AD214" s="1589">
        <v>999.86763651000001</v>
      </c>
      <c r="AE214" s="1589">
        <v>94.498068739999994</v>
      </c>
    </row>
    <row r="215" spans="1:31">
      <c r="A215" s="1590" t="s">
        <v>24</v>
      </c>
      <c r="B215" s="1589">
        <v>15456.05950954</v>
      </c>
      <c r="C215" s="1589">
        <v>10472.149115149999</v>
      </c>
      <c r="D215" s="1589">
        <v>4983.91039439</v>
      </c>
      <c r="E215" s="1589">
        <v>14093.76146184</v>
      </c>
      <c r="F215" s="1589">
        <v>9938.6130299300003</v>
      </c>
      <c r="G215" s="1589">
        <v>4155.14843191</v>
      </c>
      <c r="H215" s="1589">
        <v>1362.2980477000001</v>
      </c>
      <c r="I215" s="1589">
        <v>533.53608522000002</v>
      </c>
      <c r="J215" s="1589">
        <v>828.76196247999997</v>
      </c>
      <c r="K215" s="1589">
        <v>10551.257766659999</v>
      </c>
      <c r="L215" s="1589">
        <v>6651.4340926300001</v>
      </c>
      <c r="M215" s="1589">
        <v>6367.3041895099996</v>
      </c>
      <c r="N215" s="1589">
        <v>284.12990311999999</v>
      </c>
      <c r="O215" s="1589">
        <v>3899.8236740299999</v>
      </c>
      <c r="P215" s="1589">
        <v>3164.9806328200002</v>
      </c>
      <c r="Q215" s="1589">
        <v>734.84304121000002</v>
      </c>
      <c r="R215" s="1589">
        <v>5934.0317182700001</v>
      </c>
      <c r="S215" s="1589">
        <v>4124.91253942</v>
      </c>
      <c r="T215" s="1589">
        <v>3990.3736180599999</v>
      </c>
      <c r="U215" s="1589">
        <v>134.53892135999999</v>
      </c>
      <c r="V215" s="1589">
        <v>1809.11917885</v>
      </c>
      <c r="W215" s="1589">
        <v>1498.27312678</v>
      </c>
      <c r="X215" s="1589">
        <v>310.84605206999998</v>
      </c>
      <c r="Y215" s="1589">
        <v>4904.8017428800003</v>
      </c>
      <c r="Z215" s="1589">
        <v>3820.7150225199998</v>
      </c>
      <c r="AA215" s="1589">
        <v>3571.3088404199998</v>
      </c>
      <c r="AB215" s="1589">
        <v>249.4061821</v>
      </c>
      <c r="AC215" s="1589">
        <v>1084.0867203600001</v>
      </c>
      <c r="AD215" s="1589">
        <v>990.16779909000002</v>
      </c>
      <c r="AE215" s="1589">
        <v>93.918921269999998</v>
      </c>
    </row>
    <row r="216" spans="1:31">
      <c r="A216" s="1590" t="s">
        <v>25</v>
      </c>
      <c r="B216" s="1589">
        <v>15460.55037293</v>
      </c>
      <c r="C216" s="1589">
        <v>10495.4819754</v>
      </c>
      <c r="D216" s="1589">
        <v>4965.0683975299999</v>
      </c>
      <c r="E216" s="1589">
        <v>14095.883789449999</v>
      </c>
      <c r="F216" s="1589">
        <v>9959.3692852099994</v>
      </c>
      <c r="G216" s="1589">
        <v>4136.51450424</v>
      </c>
      <c r="H216" s="1589">
        <v>1364.6665834800001</v>
      </c>
      <c r="I216" s="1589">
        <v>536.11269018999997</v>
      </c>
      <c r="J216" s="1589">
        <v>828.55389329000002</v>
      </c>
      <c r="K216" s="1589">
        <v>10680.488599</v>
      </c>
      <c r="L216" s="1589">
        <v>6637.8408051099996</v>
      </c>
      <c r="M216" s="1589">
        <v>6351.8217065600002</v>
      </c>
      <c r="N216" s="1589">
        <v>286.01909855000002</v>
      </c>
      <c r="O216" s="1589">
        <v>4042.6477938899998</v>
      </c>
      <c r="P216" s="1589">
        <v>3307.31081855</v>
      </c>
      <c r="Q216" s="1589">
        <v>735.33697533999998</v>
      </c>
      <c r="R216" s="1589">
        <v>5897.6147852800004</v>
      </c>
      <c r="S216" s="1589">
        <v>4058.5134638999998</v>
      </c>
      <c r="T216" s="1589">
        <v>3923.4638701700001</v>
      </c>
      <c r="U216" s="1589">
        <v>135.04959373</v>
      </c>
      <c r="V216" s="1589">
        <v>1839.1013213799999</v>
      </c>
      <c r="W216" s="1589">
        <v>1538.1123065100001</v>
      </c>
      <c r="X216" s="1589">
        <v>300.98901487000001</v>
      </c>
      <c r="Y216" s="1589">
        <v>4780.0617739299996</v>
      </c>
      <c r="Z216" s="1589">
        <v>3857.64117029</v>
      </c>
      <c r="AA216" s="1589">
        <v>3607.5475786500001</v>
      </c>
      <c r="AB216" s="1589">
        <v>250.09359164</v>
      </c>
      <c r="AC216" s="1589">
        <v>922.42060363999997</v>
      </c>
      <c r="AD216" s="1589">
        <v>829.20368569000004</v>
      </c>
      <c r="AE216" s="1589">
        <v>93.216917949999996</v>
      </c>
    </row>
    <row r="217" spans="1:31">
      <c r="A217" s="1590" t="s">
        <v>26</v>
      </c>
      <c r="B217" s="1589">
        <v>15794.808994479999</v>
      </c>
      <c r="C217" s="1589">
        <v>10787.971521900001</v>
      </c>
      <c r="D217" s="1589">
        <v>5006.8374725800004</v>
      </c>
      <c r="E217" s="1589">
        <v>14437.603642800001</v>
      </c>
      <c r="F217" s="1589">
        <v>10249.685928610001</v>
      </c>
      <c r="G217" s="1589">
        <v>4187.91771419</v>
      </c>
      <c r="H217" s="1589">
        <v>1357.2053516799999</v>
      </c>
      <c r="I217" s="1589">
        <v>538.28559328999995</v>
      </c>
      <c r="J217" s="1589">
        <v>818.91975838999997</v>
      </c>
      <c r="K217" s="1589">
        <v>10926.393957169999</v>
      </c>
      <c r="L217" s="1589">
        <v>6824.3350813899997</v>
      </c>
      <c r="M217" s="1589">
        <v>6540.4132173799999</v>
      </c>
      <c r="N217" s="1589">
        <v>283.92186400999998</v>
      </c>
      <c r="O217" s="1589">
        <v>4102.0588757799997</v>
      </c>
      <c r="P217" s="1589">
        <v>3373.65154897</v>
      </c>
      <c r="Q217" s="1589">
        <v>728.40732680999997</v>
      </c>
      <c r="R217" s="1589">
        <v>6072.5176424299998</v>
      </c>
      <c r="S217" s="1589">
        <v>4189.38130009</v>
      </c>
      <c r="T217" s="1589">
        <v>4056.6267806599999</v>
      </c>
      <c r="U217" s="1589">
        <v>132.75451942999999</v>
      </c>
      <c r="V217" s="1589">
        <v>1883.1363423400001</v>
      </c>
      <c r="W217" s="1589">
        <v>1592.4878259300001</v>
      </c>
      <c r="X217" s="1589">
        <v>290.64851641000001</v>
      </c>
      <c r="Y217" s="1589">
        <v>4868.4150373100001</v>
      </c>
      <c r="Z217" s="1589">
        <v>3963.6364405099998</v>
      </c>
      <c r="AA217" s="1589">
        <v>3709.2727112299999</v>
      </c>
      <c r="AB217" s="1589">
        <v>254.36372928</v>
      </c>
      <c r="AC217" s="1589">
        <v>904.77859679999995</v>
      </c>
      <c r="AD217" s="1589">
        <v>814.26616521999995</v>
      </c>
      <c r="AE217" s="1589">
        <v>90.512431579999998</v>
      </c>
    </row>
    <row r="218" spans="1:31">
      <c r="A218" s="1590">
        <v>10</v>
      </c>
      <c r="B218" s="1589">
        <v>15907.113545210001</v>
      </c>
      <c r="C218" s="1589">
        <v>10943.40603925</v>
      </c>
      <c r="D218" s="1589">
        <v>4963.7075059600002</v>
      </c>
      <c r="E218" s="1589">
        <v>14530.7687871</v>
      </c>
      <c r="F218" s="1589">
        <v>10395.90791484</v>
      </c>
      <c r="G218" s="1589">
        <v>4134.8608722600002</v>
      </c>
      <c r="H218" s="1589">
        <v>1376.3447581099999</v>
      </c>
      <c r="I218" s="1589">
        <v>547.49812440999995</v>
      </c>
      <c r="J218" s="1589">
        <v>828.84663369999998</v>
      </c>
      <c r="K218" s="1589">
        <v>10961.402092570001</v>
      </c>
      <c r="L218" s="1589">
        <v>6896.2837680399998</v>
      </c>
      <c r="M218" s="1589">
        <v>6606.6683408999997</v>
      </c>
      <c r="N218" s="1589">
        <v>289.61542714000001</v>
      </c>
      <c r="O218" s="1589">
        <v>4065.1183245299999</v>
      </c>
      <c r="P218" s="1589">
        <v>3327.1237345700001</v>
      </c>
      <c r="Q218" s="1589">
        <v>737.99458995999998</v>
      </c>
      <c r="R218" s="1589">
        <v>6021.4788930300001</v>
      </c>
      <c r="S218" s="1589">
        <v>4194.64014563</v>
      </c>
      <c r="T218" s="1589">
        <v>4056.0383912699999</v>
      </c>
      <c r="U218" s="1589">
        <v>138.60175436</v>
      </c>
      <c r="V218" s="1589">
        <v>1826.8387474000001</v>
      </c>
      <c r="W218" s="1589">
        <v>1531.03739477</v>
      </c>
      <c r="X218" s="1589">
        <v>295.80135263</v>
      </c>
      <c r="Y218" s="1589">
        <v>4945.7114526400001</v>
      </c>
      <c r="Z218" s="1589">
        <v>4047.1222712099998</v>
      </c>
      <c r="AA218" s="1589">
        <v>3789.2395739399999</v>
      </c>
      <c r="AB218" s="1589">
        <v>257.88269726999999</v>
      </c>
      <c r="AC218" s="1589">
        <v>898.58918143000005</v>
      </c>
      <c r="AD218" s="1589">
        <v>807.73713769000005</v>
      </c>
      <c r="AE218" s="1589">
        <v>90.852043739999999</v>
      </c>
    </row>
    <row r="219" spans="1:31">
      <c r="A219" s="1590">
        <v>11</v>
      </c>
      <c r="B219" s="1589">
        <v>16181.78537284</v>
      </c>
      <c r="C219" s="1589">
        <v>11011.03778466</v>
      </c>
      <c r="D219" s="1589">
        <v>5170.7475881800001</v>
      </c>
      <c r="E219" s="1589">
        <v>14739.899559130001</v>
      </c>
      <c r="F219" s="1589">
        <v>10463.16899093</v>
      </c>
      <c r="G219" s="1589">
        <v>4276.7305681999997</v>
      </c>
      <c r="H219" s="1589">
        <v>1441.8858137100001</v>
      </c>
      <c r="I219" s="1589">
        <v>547.86879372999999</v>
      </c>
      <c r="J219" s="1589">
        <v>894.01701997999999</v>
      </c>
      <c r="K219" s="1589">
        <v>11126.233196589999</v>
      </c>
      <c r="L219" s="1589">
        <v>6868.5705378700004</v>
      </c>
      <c r="M219" s="1589">
        <v>6592.5743773000004</v>
      </c>
      <c r="N219" s="1589">
        <v>275.99616056999997</v>
      </c>
      <c r="O219" s="1589">
        <v>4257.6626587199999</v>
      </c>
      <c r="P219" s="1589">
        <v>3454.0751558699999</v>
      </c>
      <c r="Q219" s="1589">
        <v>803.58750284999996</v>
      </c>
      <c r="R219" s="1589">
        <v>6215.8378497000003</v>
      </c>
      <c r="S219" s="1589">
        <v>4145.1139896799996</v>
      </c>
      <c r="T219" s="1589">
        <v>4009.5177984699999</v>
      </c>
      <c r="U219" s="1589">
        <v>135.59619121</v>
      </c>
      <c r="V219" s="1589">
        <v>2070.7238600199998</v>
      </c>
      <c r="W219" s="1589">
        <v>1710.21835078</v>
      </c>
      <c r="X219" s="1589">
        <v>360.50550923999998</v>
      </c>
      <c r="Y219" s="1589">
        <v>5055.5521762500002</v>
      </c>
      <c r="Z219" s="1589">
        <v>4142.46724679</v>
      </c>
      <c r="AA219" s="1589">
        <v>3870.5946136299999</v>
      </c>
      <c r="AB219" s="1589">
        <v>271.87263316000002</v>
      </c>
      <c r="AC219" s="1589">
        <v>913.08492946000001</v>
      </c>
      <c r="AD219" s="1589">
        <v>822.65541232999999</v>
      </c>
      <c r="AE219" s="1589">
        <v>90.429517129999994</v>
      </c>
    </row>
    <row r="220" spans="1:31">
      <c r="A220" s="1590">
        <v>12</v>
      </c>
      <c r="B220" s="1589">
        <v>16772.410345200002</v>
      </c>
      <c r="C220" s="1589">
        <v>11602.836191459999</v>
      </c>
      <c r="D220" s="1589">
        <v>5169.5741537399999</v>
      </c>
      <c r="E220" s="1589">
        <v>15279.317456639999</v>
      </c>
      <c r="F220" s="1589">
        <v>11006.267795940001</v>
      </c>
      <c r="G220" s="1589">
        <v>4273.0496606999995</v>
      </c>
      <c r="H220" s="1589">
        <v>1493.0928885599999</v>
      </c>
      <c r="I220" s="1589">
        <v>596.56839551999997</v>
      </c>
      <c r="J220" s="1589">
        <v>896.52449304000004</v>
      </c>
      <c r="K220" s="1589">
        <v>11519.18292257</v>
      </c>
      <c r="L220" s="1589">
        <v>7346.0217530800001</v>
      </c>
      <c r="M220" s="1589">
        <v>7023.8522590900002</v>
      </c>
      <c r="N220" s="1589">
        <v>322.16949398999998</v>
      </c>
      <c r="O220" s="1589">
        <v>4173.1611694900002</v>
      </c>
      <c r="P220" s="1589">
        <v>3366.4915438799999</v>
      </c>
      <c r="Q220" s="1589">
        <v>806.66962561000003</v>
      </c>
      <c r="R220" s="1589">
        <v>6454.4035221100003</v>
      </c>
      <c r="S220" s="1589">
        <v>4528.3542605299999</v>
      </c>
      <c r="T220" s="1589">
        <v>4348.2879518199998</v>
      </c>
      <c r="U220" s="1589">
        <v>180.06630870999999</v>
      </c>
      <c r="V220" s="1589">
        <v>1926.0492615799999</v>
      </c>
      <c r="W220" s="1589">
        <v>1551.4281240099999</v>
      </c>
      <c r="X220" s="1589">
        <v>374.62113756999997</v>
      </c>
      <c r="Y220" s="1589">
        <v>5253.2274226299996</v>
      </c>
      <c r="Z220" s="1589">
        <v>4256.81443838</v>
      </c>
      <c r="AA220" s="1589">
        <v>3982.4155368500001</v>
      </c>
      <c r="AB220" s="1589">
        <v>274.39890152999999</v>
      </c>
      <c r="AC220" s="1589">
        <v>996.41298425000002</v>
      </c>
      <c r="AD220" s="1589">
        <v>906.55811682000001</v>
      </c>
      <c r="AE220" s="1589">
        <v>89.854867429999999</v>
      </c>
    </row>
    <row r="221" spans="1:31">
      <c r="A221" s="1590">
        <v>2026</v>
      </c>
      <c r="B221" s="1589"/>
      <c r="C221" s="1589"/>
      <c r="D221" s="1589"/>
      <c r="E221" s="1589"/>
      <c r="F221" s="1589"/>
      <c r="G221" s="1589"/>
      <c r="H221" s="1589"/>
      <c r="I221" s="1589"/>
      <c r="J221" s="1589"/>
      <c r="K221" s="1589"/>
      <c r="L221" s="1589"/>
      <c r="M221" s="1589"/>
      <c r="N221" s="1589"/>
      <c r="O221" s="1589"/>
      <c r="P221" s="1589"/>
      <c r="Q221" s="1589"/>
      <c r="R221" s="1589"/>
      <c r="S221" s="1589"/>
      <c r="T221" s="1589"/>
      <c r="U221" s="1589"/>
      <c r="V221" s="1589"/>
      <c r="W221" s="1589"/>
      <c r="X221" s="1589"/>
      <c r="Y221" s="1589"/>
      <c r="Z221" s="1589"/>
      <c r="AA221" s="1589"/>
      <c r="AB221" s="1589"/>
      <c r="AC221" s="1589"/>
      <c r="AD221" s="1589"/>
      <c r="AE221" s="1589"/>
    </row>
    <row r="222" spans="1:31">
      <c r="A222" s="1590" t="s">
        <v>18</v>
      </c>
      <c r="B222" s="1589">
        <v>16666.572649959999</v>
      </c>
      <c r="C222" s="1589">
        <v>11475.830956080001</v>
      </c>
      <c r="D222" s="1589">
        <v>5190.7416938799997</v>
      </c>
      <c r="E222" s="1589">
        <v>15158.089922470001</v>
      </c>
      <c r="F222" s="1589">
        <v>10884.23349201</v>
      </c>
      <c r="G222" s="1589">
        <v>4273.8564304600004</v>
      </c>
      <c r="H222" s="1589">
        <v>1508.4827274899999</v>
      </c>
      <c r="I222" s="1589">
        <v>591.59746407</v>
      </c>
      <c r="J222" s="1589">
        <v>916.88526342</v>
      </c>
      <c r="K222" s="1589">
        <v>11331.96090512</v>
      </c>
      <c r="L222" s="1589">
        <v>7127.92592289</v>
      </c>
      <c r="M222" s="1589">
        <v>6821.0085316300001</v>
      </c>
      <c r="N222" s="1589">
        <v>306.91739125999999</v>
      </c>
      <c r="O222" s="1589">
        <v>4204.0349822300004</v>
      </c>
      <c r="P222" s="1589">
        <v>3376.1457724299999</v>
      </c>
      <c r="Q222" s="1589">
        <v>827.8892098</v>
      </c>
      <c r="R222" s="1589">
        <v>6188.5733354000004</v>
      </c>
      <c r="S222" s="1589">
        <v>4233.0989849400003</v>
      </c>
      <c r="T222" s="1589">
        <v>4059.21626874</v>
      </c>
      <c r="U222" s="1589">
        <v>173.8827162</v>
      </c>
      <c r="V222" s="1589">
        <v>1955.4743504600001</v>
      </c>
      <c r="W222" s="1589">
        <v>1554.41311404</v>
      </c>
      <c r="X222" s="1589">
        <v>401.06123642</v>
      </c>
      <c r="Y222" s="1589">
        <v>5334.61174484</v>
      </c>
      <c r="Z222" s="1589">
        <v>4347.9050331899998</v>
      </c>
      <c r="AA222" s="1589">
        <v>4063.2249603800001</v>
      </c>
      <c r="AB222" s="1589">
        <v>284.68007281000001</v>
      </c>
      <c r="AC222" s="1589">
        <v>986.70671164999999</v>
      </c>
      <c r="AD222" s="1589">
        <v>897.71065802999999</v>
      </c>
      <c r="AE222" s="1589">
        <v>88.996053619999998</v>
      </c>
    </row>
    <row r="223" spans="1:31">
      <c r="A223" s="1590" t="s">
        <v>19</v>
      </c>
      <c r="B223" s="1589">
        <v>17209.312537459999</v>
      </c>
      <c r="C223" s="1589">
        <v>11942.72947224</v>
      </c>
      <c r="D223" s="1589">
        <v>5266.5830652200002</v>
      </c>
      <c r="E223" s="1589">
        <v>15690.910073790001</v>
      </c>
      <c r="F223" s="1589">
        <v>11338.43863255</v>
      </c>
      <c r="G223" s="1589">
        <v>4352.4714412399999</v>
      </c>
      <c r="H223" s="1589">
        <v>1518.4024636700001</v>
      </c>
      <c r="I223" s="1589">
        <v>604.29083968999998</v>
      </c>
      <c r="J223" s="1589">
        <v>914.11162397999999</v>
      </c>
      <c r="K223" s="1589">
        <v>11711.57686291</v>
      </c>
      <c r="L223" s="1589">
        <v>7483.4225521500002</v>
      </c>
      <c r="M223" s="1589">
        <v>7166.6766909799999</v>
      </c>
      <c r="N223" s="1589">
        <v>316.74586117000001</v>
      </c>
      <c r="O223" s="1589">
        <v>4228.15431076</v>
      </c>
      <c r="P223" s="1589">
        <v>3404.7688853499999</v>
      </c>
      <c r="Q223" s="1589">
        <v>823.38542541000004</v>
      </c>
      <c r="R223" s="1589">
        <v>6521.0859406299996</v>
      </c>
      <c r="S223" s="1589">
        <v>4490.6603271200001</v>
      </c>
      <c r="T223" s="1589">
        <v>4313.0818894100003</v>
      </c>
      <c r="U223" s="1589">
        <v>177.57843771</v>
      </c>
      <c r="V223" s="1589">
        <v>2030.4256135099999</v>
      </c>
      <c r="W223" s="1589">
        <v>1635.23092036</v>
      </c>
      <c r="X223" s="1589">
        <v>395.19469314999998</v>
      </c>
      <c r="Y223" s="1589">
        <v>5497.7356745500001</v>
      </c>
      <c r="Z223" s="1589">
        <v>4459.3069200899999</v>
      </c>
      <c r="AA223" s="1589">
        <v>4171.7619415700001</v>
      </c>
      <c r="AB223" s="1589">
        <v>287.54497851999997</v>
      </c>
      <c r="AC223" s="1589">
        <v>1038.4287544599999</v>
      </c>
      <c r="AD223" s="1589">
        <v>947.70255588999999</v>
      </c>
      <c r="AE223" s="1589">
        <v>90.726198569999994</v>
      </c>
    </row>
    <row r="224" spans="1:31">
      <c r="A224" s="1590" t="s">
        <v>20</v>
      </c>
      <c r="B224" s="1589">
        <v>16960.414065370001</v>
      </c>
      <c r="C224" s="1589">
        <v>11800.87791273</v>
      </c>
      <c r="D224" s="1589">
        <v>5159.5361526400002</v>
      </c>
      <c r="E224" s="1589">
        <v>15474.081996450001</v>
      </c>
      <c r="F224" s="1589">
        <v>11142.06153696</v>
      </c>
      <c r="G224" s="1589">
        <v>4332.0204594899997</v>
      </c>
      <c r="H224" s="1589">
        <v>1486.33206892</v>
      </c>
      <c r="I224" s="1589">
        <v>658.81637577000004</v>
      </c>
      <c r="J224" s="1589">
        <v>827.51569314999995</v>
      </c>
      <c r="K224" s="1589">
        <v>11511.550051669999</v>
      </c>
      <c r="L224" s="1589">
        <v>7389.3099974500001</v>
      </c>
      <c r="M224" s="1589">
        <v>7016.75487161</v>
      </c>
      <c r="N224" s="1589">
        <v>372.55512584000002</v>
      </c>
      <c r="O224" s="1589">
        <v>4122.2400542200003</v>
      </c>
      <c r="P224" s="1589">
        <v>3386.1862892600002</v>
      </c>
      <c r="Q224" s="1589">
        <v>736.05376495999997</v>
      </c>
      <c r="R224" s="1589">
        <v>6200.2695332499998</v>
      </c>
      <c r="S224" s="1589">
        <v>4264.8452908400004</v>
      </c>
      <c r="T224" s="1589">
        <v>4033.41320627</v>
      </c>
      <c r="U224" s="1589">
        <v>231.43208457</v>
      </c>
      <c r="V224" s="1589">
        <v>1935.42424241</v>
      </c>
      <c r="W224" s="1589">
        <v>1628.66672281</v>
      </c>
      <c r="X224" s="1589">
        <v>306.75751960000002</v>
      </c>
      <c r="Y224" s="1589">
        <v>5448.8640137000002</v>
      </c>
      <c r="Z224" s="1589">
        <v>4411.5679152800003</v>
      </c>
      <c r="AA224" s="1589">
        <v>4125.30666535</v>
      </c>
      <c r="AB224" s="1589">
        <v>286.26124993000002</v>
      </c>
      <c r="AC224" s="1589">
        <v>1037.2960984199999</v>
      </c>
      <c r="AD224" s="1589">
        <v>945.83417023000004</v>
      </c>
      <c r="AE224" s="1589">
        <v>91.461928189999995</v>
      </c>
    </row>
    <row r="225" spans="1:31">
      <c r="A225" s="1590" t="s">
        <v>21</v>
      </c>
      <c r="B225" s="1589">
        <v>17641.924430939998</v>
      </c>
      <c r="C225" s="1589">
        <v>12401.28758695</v>
      </c>
      <c r="D225" s="1589">
        <v>5240.6368439899998</v>
      </c>
      <c r="E225" s="1589">
        <v>16144.834358730001</v>
      </c>
      <c r="F225" s="1589">
        <v>11728.34233996</v>
      </c>
      <c r="G225" s="1589">
        <v>4416.49201877</v>
      </c>
      <c r="H225" s="1589">
        <v>1497.09007221</v>
      </c>
      <c r="I225" s="1589">
        <v>672.94524698999999</v>
      </c>
      <c r="J225" s="1589">
        <v>824.14482522000003</v>
      </c>
      <c r="K225" s="1589">
        <v>12080.86316542</v>
      </c>
      <c r="L225" s="1589">
        <v>7872.46462075</v>
      </c>
      <c r="M225" s="1589">
        <v>7488.0965035299996</v>
      </c>
      <c r="N225" s="1589">
        <v>384.36811721999999</v>
      </c>
      <c r="O225" s="1589">
        <v>4208.3985446699999</v>
      </c>
      <c r="P225" s="1589">
        <v>3473.59388064</v>
      </c>
      <c r="Q225" s="1589">
        <v>734.80466403000003</v>
      </c>
      <c r="R225" s="1589">
        <v>6660.1114755600001</v>
      </c>
      <c r="S225" s="1589">
        <v>4639.6921597099999</v>
      </c>
      <c r="T225" s="1589">
        <v>4402.8963890499999</v>
      </c>
      <c r="U225" s="1589">
        <v>236.79577065999999</v>
      </c>
      <c r="V225" s="1589">
        <v>2020.41931585</v>
      </c>
      <c r="W225" s="1589">
        <v>1716.9528780799999</v>
      </c>
      <c r="X225" s="1589">
        <v>303.46643777000003</v>
      </c>
      <c r="Y225" s="1589">
        <v>5561.0612655200002</v>
      </c>
      <c r="Z225" s="1589">
        <v>4528.8229662000003</v>
      </c>
      <c r="AA225" s="1589">
        <v>4240.2458364300001</v>
      </c>
      <c r="AB225" s="1589">
        <v>288.57712977</v>
      </c>
      <c r="AC225" s="1589">
        <v>1032.2382993199999</v>
      </c>
      <c r="AD225" s="1589">
        <v>942.89813813000001</v>
      </c>
      <c r="AE225" s="1589">
        <v>89.340161190000003</v>
      </c>
    </row>
    <row r="226" spans="1:31">
      <c r="A226" s="1590" t="s">
        <v>22</v>
      </c>
      <c r="B226" s="1589">
        <v>17799.803354709999</v>
      </c>
      <c r="C226" s="1589">
        <v>12610.319460520001</v>
      </c>
      <c r="D226" s="1589">
        <v>5189.4838941899998</v>
      </c>
      <c r="E226" s="1589">
        <v>16349.27542758</v>
      </c>
      <c r="F226" s="1589">
        <v>11932.806244490001</v>
      </c>
      <c r="G226" s="1589">
        <v>4416.4691830900001</v>
      </c>
      <c r="H226" s="1589">
        <v>1450.5279271300001</v>
      </c>
      <c r="I226" s="1589">
        <v>677.51321602999997</v>
      </c>
      <c r="J226" s="1589">
        <v>773.0147111</v>
      </c>
      <c r="K226" s="1589">
        <v>12078.99518681</v>
      </c>
      <c r="L226" s="1589">
        <v>7988.7782554100004</v>
      </c>
      <c r="M226" s="1589">
        <v>7605.4830532300002</v>
      </c>
      <c r="N226" s="1589">
        <v>383.29520217999999</v>
      </c>
      <c r="O226" s="1589">
        <v>4090.2169313999998</v>
      </c>
      <c r="P226" s="1589">
        <v>3405.94915343</v>
      </c>
      <c r="Q226" s="1589">
        <v>684.26777797</v>
      </c>
      <c r="R226" s="1589">
        <v>6582.6898017200001</v>
      </c>
      <c r="S226" s="1589">
        <v>4678.8919476600004</v>
      </c>
      <c r="T226" s="1589">
        <v>4445.8501772600002</v>
      </c>
      <c r="U226" s="1589">
        <v>233.04177039999999</v>
      </c>
      <c r="V226" s="1589">
        <v>1903.79785406</v>
      </c>
      <c r="W226" s="1589">
        <v>1610.4438757200001</v>
      </c>
      <c r="X226" s="1589">
        <v>293.35397834000003</v>
      </c>
      <c r="Y226" s="1589">
        <v>5720.8081678999997</v>
      </c>
      <c r="Z226" s="1589">
        <v>4621.5412051100002</v>
      </c>
      <c r="AA226" s="1589">
        <v>4327.3231912600004</v>
      </c>
      <c r="AB226" s="1589">
        <v>294.21801384999998</v>
      </c>
      <c r="AC226" s="1589">
        <v>1099.26696279</v>
      </c>
      <c r="AD226" s="1589">
        <v>1010.52002966</v>
      </c>
      <c r="AE226" s="1589">
        <v>88.746933130000002</v>
      </c>
    </row>
    <row r="227" spans="1:31" ht="15.6" customHeight="1">
      <c r="A227" s="1953" t="s">
        <v>23</v>
      </c>
      <c r="B227" s="1954">
        <v>17823.608717800002</v>
      </c>
      <c r="C227" s="1954">
        <v>12845.02112385</v>
      </c>
      <c r="D227" s="1954">
        <v>4978.5875939500002</v>
      </c>
      <c r="E227" s="1954">
        <v>16347.421492089999</v>
      </c>
      <c r="F227" s="1954">
        <v>12157.98840369</v>
      </c>
      <c r="G227" s="1954">
        <v>4189.4330884000001</v>
      </c>
      <c r="H227" s="1954">
        <v>1476.1872257099999</v>
      </c>
      <c r="I227" s="1954">
        <v>687.03272016000005</v>
      </c>
      <c r="J227" s="1954">
        <v>789.15450554999995</v>
      </c>
      <c r="K227" s="1954">
        <v>12015.72882479</v>
      </c>
      <c r="L227" s="1954">
        <v>8123.9606904000002</v>
      </c>
      <c r="M227" s="1954">
        <v>7726.1460728900001</v>
      </c>
      <c r="N227" s="1954">
        <v>397.81461751000001</v>
      </c>
      <c r="O227" s="1954">
        <v>3891.7681343899999</v>
      </c>
      <c r="P227" s="1954">
        <v>3190.9444544200001</v>
      </c>
      <c r="Q227" s="1954">
        <v>700.82367996999994</v>
      </c>
      <c r="R227" s="1954">
        <v>6477.1225327000002</v>
      </c>
      <c r="S227" s="1954">
        <v>4730.6268539599996</v>
      </c>
      <c r="T227" s="1954">
        <v>4492.7489475499997</v>
      </c>
      <c r="U227" s="1954">
        <v>237.87790641000001</v>
      </c>
      <c r="V227" s="1954">
        <v>1746.4956787399999</v>
      </c>
      <c r="W227" s="1954">
        <v>1439.2012114500001</v>
      </c>
      <c r="X227" s="1954">
        <v>307.29446729</v>
      </c>
      <c r="Y227" s="1954">
        <v>5807.8798930100002</v>
      </c>
      <c r="Z227" s="1954">
        <v>4721.0604334500003</v>
      </c>
      <c r="AA227" s="1954">
        <v>4431.8423308000001</v>
      </c>
      <c r="AB227" s="1954">
        <v>289.21810264999999</v>
      </c>
      <c r="AC227" s="1954">
        <v>1086.81945956</v>
      </c>
      <c r="AD227" s="1954">
        <v>998.48863398000003</v>
      </c>
      <c r="AE227" s="1954">
        <v>88.330825579999996</v>
      </c>
    </row>
    <row r="228" spans="1:31" s="734" customFormat="1" ht="27" customHeight="1">
      <c r="A228" s="2396" t="s">
        <v>2699</v>
      </c>
      <c r="B228" s="2396"/>
      <c r="C228" s="2396"/>
      <c r="D228" s="2396"/>
      <c r="E228" s="2396"/>
      <c r="F228" s="2396"/>
      <c r="G228" s="2396"/>
      <c r="H228" s="2396"/>
      <c r="I228" s="2396"/>
      <c r="J228" s="2396"/>
      <c r="K228" s="2396"/>
      <c r="L228" s="2396"/>
      <c r="M228" s="2396"/>
      <c r="N228" s="2396"/>
      <c r="O228" s="2396"/>
      <c r="P228" s="2396"/>
      <c r="Q228" s="2396"/>
      <c r="R228" s="2396"/>
      <c r="S228" s="2396"/>
      <c r="T228" s="2396"/>
      <c r="U228" s="2396"/>
      <c r="V228" s="2396"/>
      <c r="W228" s="2396"/>
      <c r="X228" s="2396"/>
      <c r="Y228" s="2396"/>
      <c r="Z228" s="2396"/>
      <c r="AA228" s="2396"/>
      <c r="AB228" s="2396"/>
      <c r="AC228" s="2396"/>
      <c r="AD228" s="2396"/>
      <c r="AE228" s="2397"/>
    </row>
    <row r="229" spans="1:31" s="734" customFormat="1">
      <c r="A229" s="2398" t="s">
        <v>2687</v>
      </c>
      <c r="B229" s="2398"/>
      <c r="C229" s="2398"/>
      <c r="D229" s="2398"/>
      <c r="E229" s="2398"/>
      <c r="F229" s="2398"/>
      <c r="G229" s="2398"/>
      <c r="H229" s="2398"/>
      <c r="I229" s="2398"/>
      <c r="J229" s="2398"/>
      <c r="K229" s="2398"/>
      <c r="L229" s="2398"/>
      <c r="M229" s="2398"/>
      <c r="N229" s="2398"/>
      <c r="O229" s="2398"/>
      <c r="P229" s="2398"/>
      <c r="Q229" s="2398"/>
      <c r="R229" s="2398"/>
      <c r="S229" s="2398"/>
      <c r="T229" s="2398"/>
      <c r="U229" s="2398"/>
      <c r="V229" s="2398"/>
      <c r="W229" s="2398"/>
      <c r="X229" s="2398"/>
      <c r="Y229" s="2398"/>
      <c r="Z229" s="2398"/>
      <c r="AA229" s="2398"/>
      <c r="AB229" s="2398"/>
      <c r="AC229" s="2398"/>
      <c r="AD229" s="2398"/>
      <c r="AE229" s="2398"/>
    </row>
    <row r="230" spans="1:31">
      <c r="B230" s="1646"/>
      <c r="C230" s="1646"/>
      <c r="D230" s="1646"/>
      <c r="E230" s="1646"/>
      <c r="F230" s="1646"/>
      <c r="G230" s="1646"/>
      <c r="H230" s="1646"/>
      <c r="I230" s="1646"/>
      <c r="J230" s="1646"/>
      <c r="K230" s="1646"/>
      <c r="L230" s="1646"/>
      <c r="M230" s="1646"/>
      <c r="N230" s="1646"/>
      <c r="O230" s="1646"/>
      <c r="P230" s="1646"/>
      <c r="Q230" s="1646"/>
      <c r="R230" s="1646"/>
      <c r="S230" s="1646"/>
      <c r="T230" s="1646"/>
      <c r="U230" s="1646"/>
      <c r="V230" s="1646"/>
      <c r="W230" s="1646"/>
      <c r="X230" s="1646"/>
      <c r="Y230" s="1646"/>
      <c r="Z230" s="1646"/>
      <c r="AA230" s="1646"/>
      <c r="AB230" s="1646"/>
      <c r="AC230" s="1646"/>
      <c r="AD230" s="1646"/>
      <c r="AE230" s="1646"/>
    </row>
    <row r="231" spans="1:31" ht="15.75">
      <c r="A231" s="1592"/>
      <c r="B231" s="1593"/>
      <c r="C231" s="1646"/>
      <c r="D231" s="1646"/>
      <c r="E231" s="1593"/>
      <c r="F231" s="1593"/>
      <c r="G231" s="1593"/>
    </row>
    <row r="232" spans="1:31">
      <c r="B232" s="1594"/>
      <c r="C232" s="1594"/>
      <c r="D232" s="1594"/>
      <c r="E232" s="1594"/>
      <c r="F232" s="1594"/>
      <c r="G232" s="1594"/>
      <c r="H232" s="1594"/>
      <c r="I232" s="1594"/>
      <c r="J232" s="1594"/>
      <c r="K232" s="1594"/>
      <c r="L232" s="1594"/>
      <c r="M232" s="1594"/>
      <c r="N232" s="1594"/>
      <c r="O232" s="1594"/>
      <c r="P232" s="1594"/>
      <c r="Q232" s="1594"/>
      <c r="R232" s="1594"/>
      <c r="S232" s="1594"/>
      <c r="T232" s="1594"/>
      <c r="U232" s="1594"/>
      <c r="V232" s="1594"/>
      <c r="W232" s="1594"/>
      <c r="X232" s="1594"/>
      <c r="Y232" s="1594"/>
      <c r="Z232" s="1594"/>
      <c r="AA232" s="1594"/>
      <c r="AB232" s="1594"/>
      <c r="AC232" s="1594"/>
      <c r="AD232" s="1594"/>
      <c r="AE232" s="1594"/>
    </row>
    <row r="233" spans="1:31">
      <c r="C233" s="1646"/>
    </row>
    <row r="306" spans="7:8">
      <c r="G306" s="1986"/>
      <c r="H306" s="1986"/>
    </row>
  </sheetData>
  <mergeCells count="67">
    <mergeCell ref="A2:AE2"/>
    <mergeCell ref="A3:AE3"/>
    <mergeCell ref="AB5:AE5"/>
    <mergeCell ref="A6:A9"/>
    <mergeCell ref="B6:B9"/>
    <mergeCell ref="C6:D7"/>
    <mergeCell ref="E6:E9"/>
    <mergeCell ref="F6:G7"/>
    <mergeCell ref="H6:H9"/>
    <mergeCell ref="I6:J7"/>
    <mergeCell ref="M6:N7"/>
    <mergeCell ref="O6:O9"/>
    <mergeCell ref="P6:Q7"/>
    <mergeCell ref="R6:R9"/>
    <mergeCell ref="N8:N9"/>
    <mergeCell ref="P8:P9"/>
    <mergeCell ref="C8:C9"/>
    <mergeCell ref="D8:D9"/>
    <mergeCell ref="F8:F9"/>
    <mergeCell ref="G8:G9"/>
    <mergeCell ref="I8:I9"/>
    <mergeCell ref="AD8:AD9"/>
    <mergeCell ref="AE8:AE9"/>
    <mergeCell ref="Q8:Q9"/>
    <mergeCell ref="AA6:AB7"/>
    <mergeCell ref="AC6:AC9"/>
    <mergeCell ref="AD6:AE7"/>
    <mergeCell ref="S6:S9"/>
    <mergeCell ref="T6:U7"/>
    <mergeCell ref="V6:V9"/>
    <mergeCell ref="W6:X7"/>
    <mergeCell ref="Y6:Y9"/>
    <mergeCell ref="A10:A11"/>
    <mergeCell ref="B10:B11"/>
    <mergeCell ref="C10:D10"/>
    <mergeCell ref="E10:E11"/>
    <mergeCell ref="F10:G10"/>
    <mergeCell ref="AA10:AB10"/>
    <mergeCell ref="AC10:AC11"/>
    <mergeCell ref="H10:H11"/>
    <mergeCell ref="T8:T9"/>
    <mergeCell ref="U8:U9"/>
    <mergeCell ref="W8:W9"/>
    <mergeCell ref="X8:X9"/>
    <mergeCell ref="K6:K9"/>
    <mergeCell ref="L6:L9"/>
    <mergeCell ref="Z6:Z9"/>
    <mergeCell ref="AA8:AA9"/>
    <mergeCell ref="AB8:AB9"/>
    <mergeCell ref="J8:J9"/>
    <mergeCell ref="M8:M9"/>
    <mergeCell ref="AD10:AE10"/>
    <mergeCell ref="A228:AE228"/>
    <mergeCell ref="A229:AE229"/>
    <mergeCell ref="R10:R11"/>
    <mergeCell ref="S10:S11"/>
    <mergeCell ref="T10:U10"/>
    <mergeCell ref="V10:V11"/>
    <mergeCell ref="W10:X10"/>
    <mergeCell ref="Y10:Y11"/>
    <mergeCell ref="I10:J10"/>
    <mergeCell ref="K10:K11"/>
    <mergeCell ref="L10:L11"/>
    <mergeCell ref="M10:N10"/>
    <mergeCell ref="O10:O11"/>
    <mergeCell ref="P10:Q10"/>
    <mergeCell ref="Z10:Z11"/>
  </mergeCells>
  <phoneticPr fontId="348" type="noConversion"/>
  <pageMargins left="0.18" right="0.17" top="0.75" bottom="0.75" header="0.3" footer="0.3"/>
  <pageSetup scale="1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22">
    <tabColor rgb="FF92D050"/>
    <pageSetUpPr fitToPage="1"/>
  </sheetPr>
  <dimension ref="A2:CB42"/>
  <sheetViews>
    <sheetView showGridLines="0" view="pageBreakPreview" zoomScale="70" zoomScaleSheetLayoutView="70" workbookViewId="0">
      <pane ySplit="11" topLeftCell="A12" activePane="bottomLeft" state="frozen"/>
      <selection activeCell="F40" sqref="F40"/>
      <selection pane="bottomLeft" activeCell="F40" sqref="F40"/>
    </sheetView>
  </sheetViews>
  <sheetFormatPr defaultColWidth="8.85546875" defaultRowHeight="15"/>
  <cols>
    <col min="1" max="1" width="39.5703125" style="104" customWidth="1"/>
    <col min="2" max="2" width="15.42578125" style="43" customWidth="1"/>
    <col min="3" max="3" width="18.5703125" style="103" bestFit="1" customWidth="1"/>
    <col min="4" max="4" width="14" style="42" customWidth="1"/>
    <col min="5" max="5" width="10.5703125" style="103" customWidth="1"/>
    <col min="6" max="6" width="14" style="42" customWidth="1"/>
    <col min="7" max="7" width="10.5703125" style="103" customWidth="1"/>
    <col min="8" max="8" width="14" style="42" customWidth="1"/>
    <col min="9" max="9" width="10.5703125" style="103" customWidth="1"/>
    <col min="10" max="10" width="14" style="42" customWidth="1"/>
    <col min="11" max="11" width="10.5703125" style="103" customWidth="1"/>
    <col min="12" max="12" width="14" style="42" customWidth="1"/>
    <col min="13" max="13" width="10.5703125" style="103" customWidth="1"/>
    <col min="14" max="14" width="14" style="42" customWidth="1"/>
    <col min="15" max="15" width="10.5703125" style="103" customWidth="1"/>
    <col min="16" max="16" width="8.42578125" style="42" customWidth="1"/>
    <col min="17" max="17" width="8.85546875" style="42" customWidth="1"/>
    <col min="18" max="18" width="9.28515625" style="42" bestFit="1" customWidth="1"/>
    <col min="19" max="77" width="8.85546875" style="42"/>
    <col min="78" max="78" width="0" style="42" hidden="1" customWidth="1"/>
    <col min="79" max="16384" width="8.85546875" style="42"/>
  </cols>
  <sheetData>
    <row r="2" spans="1:80" ht="36.6" customHeight="1">
      <c r="A2" s="2244" t="s">
        <v>2731</v>
      </c>
      <c r="B2" s="2244"/>
      <c r="C2" s="2244"/>
      <c r="D2" s="2244"/>
      <c r="E2" s="2244"/>
      <c r="F2" s="2244"/>
      <c r="G2" s="2244"/>
      <c r="H2" s="2244"/>
      <c r="I2" s="2244"/>
      <c r="J2" s="2244"/>
      <c r="K2" s="2244"/>
      <c r="L2" s="2244"/>
      <c r="M2" s="2244"/>
      <c r="N2" s="2244"/>
      <c r="O2" s="2244"/>
    </row>
    <row r="3" spans="1:80" ht="39" customHeight="1">
      <c r="A3" s="2245" t="s">
        <v>2732</v>
      </c>
      <c r="B3" s="2245"/>
      <c r="C3" s="2245"/>
      <c r="D3" s="2245"/>
      <c r="E3" s="2245"/>
      <c r="F3" s="2245"/>
      <c r="G3" s="2245"/>
      <c r="H3" s="2245"/>
      <c r="I3" s="2245"/>
      <c r="J3" s="2245"/>
      <c r="K3" s="2245"/>
      <c r="L3" s="2245"/>
      <c r="M3" s="2245"/>
      <c r="N3" s="2245"/>
      <c r="O3" s="2245"/>
    </row>
    <row r="4" spans="1:80" s="652" customFormat="1" ht="21.75" customHeight="1">
      <c r="A4" s="651"/>
      <c r="B4" s="651"/>
      <c r="C4" s="651"/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651"/>
    </row>
    <row r="5" spans="1:80" s="652" customFormat="1" ht="21.75" customHeight="1">
      <c r="A5" s="2373" t="s">
        <v>4549</v>
      </c>
      <c r="B5" s="2373"/>
      <c r="C5" s="2373"/>
      <c r="D5" s="2373"/>
      <c r="E5" s="2373"/>
      <c r="F5" s="2373"/>
      <c r="G5" s="2373"/>
      <c r="H5" s="2373"/>
      <c r="I5" s="2373"/>
      <c r="J5" s="2373"/>
      <c r="K5" s="2373"/>
      <c r="L5" s="2246" t="s">
        <v>1161</v>
      </c>
      <c r="M5" s="2246"/>
      <c r="N5" s="2246"/>
      <c r="O5" s="2246"/>
    </row>
    <row r="6" spans="1:80" ht="24" customHeight="1">
      <c r="A6" s="2369" t="s">
        <v>1162</v>
      </c>
      <c r="B6" s="2365" t="s">
        <v>145</v>
      </c>
      <c r="C6" s="2370" t="s">
        <v>186</v>
      </c>
      <c r="D6" s="2369" t="s">
        <v>183</v>
      </c>
      <c r="E6" s="2371"/>
      <c r="F6" s="2371"/>
      <c r="G6" s="2371"/>
      <c r="H6" s="2369" t="s">
        <v>196</v>
      </c>
      <c r="I6" s="2371"/>
      <c r="J6" s="2371"/>
      <c r="K6" s="2371"/>
      <c r="L6" s="2369" t="s">
        <v>197</v>
      </c>
      <c r="M6" s="2371"/>
      <c r="N6" s="2371"/>
      <c r="O6" s="2371"/>
    </row>
    <row r="7" spans="1:80" ht="34.9" customHeight="1">
      <c r="A7" s="2369"/>
      <c r="B7" s="2365"/>
      <c r="C7" s="2370"/>
      <c r="D7" s="2369" t="s">
        <v>189</v>
      </c>
      <c r="E7" s="2371"/>
      <c r="F7" s="2365" t="s">
        <v>1138</v>
      </c>
      <c r="G7" s="2363"/>
      <c r="H7" s="2369" t="s">
        <v>189</v>
      </c>
      <c r="I7" s="2371"/>
      <c r="J7" s="2365" t="s">
        <v>1138</v>
      </c>
      <c r="K7" s="2363"/>
      <c r="L7" s="2369" t="s">
        <v>189</v>
      </c>
      <c r="M7" s="2371"/>
      <c r="N7" s="2365" t="s">
        <v>1138</v>
      </c>
      <c r="O7" s="2363"/>
      <c r="CA7" s="283" t="s">
        <v>2049</v>
      </c>
      <c r="CB7" s="289" t="s">
        <v>2050</v>
      </c>
    </row>
    <row r="8" spans="1:80" ht="28.5">
      <c r="A8" s="2369"/>
      <c r="B8" s="2365"/>
      <c r="C8" s="2370"/>
      <c r="D8" s="521" t="s">
        <v>190</v>
      </c>
      <c r="E8" s="522" t="s">
        <v>2151</v>
      </c>
      <c r="F8" s="521" t="s">
        <v>190</v>
      </c>
      <c r="G8" s="522" t="s">
        <v>186</v>
      </c>
      <c r="H8" s="523" t="s">
        <v>190</v>
      </c>
      <c r="I8" s="522" t="s">
        <v>186</v>
      </c>
      <c r="J8" s="523" t="s">
        <v>190</v>
      </c>
      <c r="K8" s="522" t="s">
        <v>186</v>
      </c>
      <c r="L8" s="523" t="s">
        <v>190</v>
      </c>
      <c r="M8" s="524" t="s">
        <v>186</v>
      </c>
      <c r="N8" s="521" t="s">
        <v>190</v>
      </c>
      <c r="O8" s="524" t="s">
        <v>186</v>
      </c>
      <c r="BW8" s="42" t="e">
        <f>BW10+BW19+#REF!+#REF!</f>
        <v>#REF!</v>
      </c>
      <c r="CA8" s="42" t="e">
        <f>CA10+CA19+#REF!+#REF!</f>
        <v>#REF!</v>
      </c>
      <c r="CB8" s="290" t="e">
        <f>BW8+BX8+BY8+CA8</f>
        <v>#REF!</v>
      </c>
    </row>
    <row r="9" spans="1:80" ht="15" customHeight="1">
      <c r="A9" s="2363" t="s">
        <v>1190</v>
      </c>
      <c r="B9" s="2366" t="s">
        <v>105</v>
      </c>
      <c r="C9" s="2366" t="s">
        <v>1164</v>
      </c>
      <c r="D9" s="2363" t="s">
        <v>106</v>
      </c>
      <c r="E9" s="2364"/>
      <c r="F9" s="2364"/>
      <c r="G9" s="2364"/>
      <c r="H9" s="2363" t="s">
        <v>1169</v>
      </c>
      <c r="I9" s="2364"/>
      <c r="J9" s="2364"/>
      <c r="K9" s="2364"/>
      <c r="L9" s="2363" t="s">
        <v>1170</v>
      </c>
      <c r="M9" s="2364"/>
      <c r="N9" s="2364"/>
      <c r="O9" s="2364"/>
      <c r="CB9" s="290"/>
    </row>
    <row r="10" spans="1:80" ht="15" customHeight="1">
      <c r="A10" s="2363"/>
      <c r="B10" s="2367"/>
      <c r="C10" s="2367"/>
      <c r="D10" s="2363" t="s">
        <v>1165</v>
      </c>
      <c r="E10" s="2364"/>
      <c r="F10" s="2363" t="s">
        <v>207</v>
      </c>
      <c r="G10" s="2364"/>
      <c r="H10" s="2363" t="s">
        <v>1165</v>
      </c>
      <c r="I10" s="2364"/>
      <c r="J10" s="2363" t="s">
        <v>207</v>
      </c>
      <c r="K10" s="2364"/>
      <c r="L10" s="2363" t="s">
        <v>1165</v>
      </c>
      <c r="M10" s="2364"/>
      <c r="N10" s="2363" t="s">
        <v>207</v>
      </c>
      <c r="O10" s="2364"/>
      <c r="CA10" s="42" t="e">
        <f>CA12+CA17</f>
        <v>#REF!</v>
      </c>
      <c r="CB10" s="290" t="e">
        <f>BW10+BX10+BY10+CA10</f>
        <v>#REF!</v>
      </c>
    </row>
    <row r="11" spans="1:80" ht="45">
      <c r="A11" s="2363"/>
      <c r="B11" s="2367"/>
      <c r="C11" s="2367"/>
      <c r="D11" s="525" t="s">
        <v>1166</v>
      </c>
      <c r="E11" s="526" t="s">
        <v>1164</v>
      </c>
      <c r="F11" s="525" t="s">
        <v>1166</v>
      </c>
      <c r="G11" s="526" t="s">
        <v>1164</v>
      </c>
      <c r="H11" s="525" t="s">
        <v>1166</v>
      </c>
      <c r="I11" s="526" t="s">
        <v>1164</v>
      </c>
      <c r="J11" s="525" t="s">
        <v>1166</v>
      </c>
      <c r="K11" s="526" t="s">
        <v>1164</v>
      </c>
      <c r="L11" s="525" t="s">
        <v>1166</v>
      </c>
      <c r="M11" s="526" t="s">
        <v>1164</v>
      </c>
      <c r="N11" s="525" t="s">
        <v>1166</v>
      </c>
      <c r="O11" s="526" t="s">
        <v>1164</v>
      </c>
      <c r="CB11" s="290"/>
    </row>
    <row r="12" spans="1:80" s="100" customFormat="1" ht="18.75">
      <c r="A12" s="671"/>
      <c r="B12" s="672"/>
      <c r="C12" s="672"/>
      <c r="D12" s="673"/>
      <c r="E12" s="672"/>
      <c r="F12" s="673"/>
      <c r="G12" s="674"/>
      <c r="H12" s="673"/>
      <c r="I12" s="674"/>
      <c r="J12" s="673"/>
      <c r="K12" s="674"/>
      <c r="L12" s="673"/>
      <c r="M12" s="674"/>
      <c r="N12" s="673"/>
      <c r="O12" s="672"/>
      <c r="CA12" s="100">
        <f>CA14+CA15</f>
        <v>4361</v>
      </c>
      <c r="CB12" s="294">
        <f>BW12+BX12+BY12+CA12</f>
        <v>4361</v>
      </c>
    </row>
    <row r="13" spans="1:80" ht="15.75">
      <c r="A13" s="676" t="s">
        <v>191</v>
      </c>
      <c r="B13" s="1936">
        <v>17823608.71692</v>
      </c>
      <c r="C13" s="681">
        <v>5.3364027289700397E-2</v>
      </c>
      <c r="D13" s="1920">
        <v>12845021.123229999</v>
      </c>
      <c r="E13" s="681">
        <v>6.6234152546299802E-2</v>
      </c>
      <c r="F13" s="1920">
        <v>4978587.5936899995</v>
      </c>
      <c r="G13" s="681">
        <v>2.01566014601114E-2</v>
      </c>
      <c r="H13" s="1920">
        <v>4730626.8552799998</v>
      </c>
      <c r="I13" s="682">
        <v>7.8649014835604301E-3</v>
      </c>
      <c r="J13" s="1920">
        <v>1746495.6780600001</v>
      </c>
      <c r="K13" s="682">
        <v>9.9117880819820595E-4</v>
      </c>
      <c r="L13" s="1920">
        <v>8114394.2679500002</v>
      </c>
      <c r="M13" s="682">
        <v>0.10026279705569199</v>
      </c>
      <c r="N13" s="1920">
        <v>3232091.9156300002</v>
      </c>
      <c r="O13" s="681">
        <v>3.0498625203289401E-2</v>
      </c>
      <c r="CB13" s="290"/>
    </row>
    <row r="14" spans="1:80" ht="15.75">
      <c r="A14" s="624" t="s">
        <v>144</v>
      </c>
      <c r="B14" s="1937"/>
      <c r="C14" s="675"/>
      <c r="D14" s="1938"/>
      <c r="E14" s="675"/>
      <c r="F14" s="1938"/>
      <c r="G14" s="675"/>
      <c r="H14" s="1938"/>
      <c r="I14" s="677"/>
      <c r="J14" s="1938"/>
      <c r="K14" s="677"/>
      <c r="L14" s="1938"/>
      <c r="M14" s="677"/>
      <c r="N14" s="1938"/>
      <c r="O14" s="675"/>
      <c r="U14" s="414"/>
      <c r="CA14" s="42">
        <v>3917</v>
      </c>
      <c r="CB14" s="290">
        <f>BW14+BX14+BY14+CA14</f>
        <v>3917</v>
      </c>
    </row>
    <row r="15" spans="1:80" ht="15.75" customHeight="1">
      <c r="A15" s="676" t="s">
        <v>2655</v>
      </c>
      <c r="B15" s="1930">
        <v>15564354.957180001</v>
      </c>
      <c r="C15" s="675">
        <v>5.20016587906151E-2</v>
      </c>
      <c r="D15" s="1930">
        <v>10769268.12946</v>
      </c>
      <c r="E15" s="675">
        <v>6.6138808750573902E-2</v>
      </c>
      <c r="F15" s="1930">
        <v>4795086.8277200004</v>
      </c>
      <c r="G15" s="675">
        <v>2.0235261603491501E-2</v>
      </c>
      <c r="H15" s="1930">
        <v>3967388.87751</v>
      </c>
      <c r="I15" s="677">
        <v>8.1952328009480407E-3</v>
      </c>
      <c r="J15" s="1930">
        <v>1673257.3507600001</v>
      </c>
      <c r="K15" s="677">
        <v>1.0346248835844899E-3</v>
      </c>
      <c r="L15" s="1930">
        <v>6801879.2519500004</v>
      </c>
      <c r="M15" s="677">
        <v>9.9935850880573093E-2</v>
      </c>
      <c r="N15" s="1930">
        <v>3121829.4769600001</v>
      </c>
      <c r="O15" s="675">
        <v>3.0511788813006101E-2</v>
      </c>
      <c r="R15" s="43"/>
      <c r="CA15" s="42">
        <v>444</v>
      </c>
      <c r="CB15" s="290">
        <f t="shared" ref="CB15:CB23" si="0">BW15+BX15+BY15+CA15</f>
        <v>444</v>
      </c>
    </row>
    <row r="16" spans="1:80" s="102" customFormat="1" ht="14.25" customHeight="1">
      <c r="A16" s="683"/>
      <c r="B16" s="1938"/>
      <c r="C16" s="675"/>
      <c r="D16" s="1938"/>
      <c r="E16" s="675"/>
      <c r="F16" s="1938"/>
      <c r="G16" s="675"/>
      <c r="H16" s="1938"/>
      <c r="I16" s="677"/>
      <c r="J16" s="1938"/>
      <c r="K16" s="677"/>
      <c r="L16" s="1938"/>
      <c r="M16" s="677"/>
      <c r="N16" s="1938"/>
      <c r="O16" s="675"/>
      <c r="P16" s="42"/>
      <c r="CB16" s="295"/>
    </row>
    <row r="17" spans="1:80" ht="15.75">
      <c r="A17" s="676" t="s">
        <v>195</v>
      </c>
      <c r="B17" s="1930">
        <v>100523.08895</v>
      </c>
      <c r="C17" s="675">
        <v>5.0120184265388099E-2</v>
      </c>
      <c r="D17" s="1930">
        <v>96562.421629999997</v>
      </c>
      <c r="E17" s="675">
        <v>5.1493684303534397E-2</v>
      </c>
      <c r="F17" s="1930">
        <v>3960.66732</v>
      </c>
      <c r="G17" s="675">
        <v>1.66337843542992E-2</v>
      </c>
      <c r="H17" s="1930">
        <v>52660.301630000002</v>
      </c>
      <c r="I17" s="677">
        <v>1.15686917116506E-2</v>
      </c>
      <c r="J17" s="1930">
        <v>1745.26152</v>
      </c>
      <c r="K17" s="677">
        <v>0</v>
      </c>
      <c r="L17" s="1930">
        <v>43902.12</v>
      </c>
      <c r="M17" s="677">
        <v>9.9383447997499902E-2</v>
      </c>
      <c r="N17" s="1930">
        <v>2215.4058</v>
      </c>
      <c r="O17" s="675">
        <v>2.9737615609745201E-2</v>
      </c>
      <c r="CA17" s="42" t="e">
        <f>#REF!+#REF!</f>
        <v>#REF!</v>
      </c>
      <c r="CB17" s="290" t="e">
        <f t="shared" si="0"/>
        <v>#REF!</v>
      </c>
    </row>
    <row r="18" spans="1:80" ht="15.75">
      <c r="A18" s="678"/>
      <c r="B18" s="1930"/>
      <c r="C18" s="675"/>
      <c r="D18" s="1930"/>
      <c r="E18" s="675"/>
      <c r="F18" s="1930"/>
      <c r="G18" s="675"/>
      <c r="H18" s="1930"/>
      <c r="I18" s="677"/>
      <c r="J18" s="1930"/>
      <c r="K18" s="677"/>
      <c r="L18" s="1930"/>
      <c r="M18" s="677"/>
      <c r="N18" s="1930"/>
      <c r="O18" s="675"/>
      <c r="CB18" s="290"/>
    </row>
    <row r="19" spans="1:80" ht="15.75">
      <c r="A19" s="676" t="s">
        <v>2656</v>
      </c>
      <c r="B19" s="1930">
        <v>693287.33825000003</v>
      </c>
      <c r="C19" s="675">
        <v>7.0203594693271504E-2</v>
      </c>
      <c r="D19" s="1930">
        <v>600420.23036000005</v>
      </c>
      <c r="E19" s="675">
        <v>7.8176157656874107E-2</v>
      </c>
      <c r="F19" s="1930">
        <v>92867.107889999999</v>
      </c>
      <c r="G19" s="675">
        <v>1.8658023824025899E-2</v>
      </c>
      <c r="H19" s="1930">
        <v>153671.63036000001</v>
      </c>
      <c r="I19" s="677">
        <v>6.5609829324908301E-3</v>
      </c>
      <c r="J19" s="1930">
        <v>36144.007810000003</v>
      </c>
      <c r="K19" s="677">
        <v>0</v>
      </c>
      <c r="L19" s="1930">
        <v>446748.6</v>
      </c>
      <c r="M19" s="677">
        <v>0.102810192678835</v>
      </c>
      <c r="N19" s="1930">
        <v>56723.100079999997</v>
      </c>
      <c r="O19" s="675">
        <v>3.0546932537823999E-2</v>
      </c>
      <c r="CA19" s="42" t="e">
        <f>#REF!+#REF!</f>
        <v>#REF!</v>
      </c>
      <c r="CB19" s="290" t="e">
        <f t="shared" si="0"/>
        <v>#REF!</v>
      </c>
    </row>
    <row r="20" spans="1:80" ht="15.75">
      <c r="A20" s="678"/>
      <c r="B20" s="1930"/>
      <c r="C20" s="675"/>
      <c r="D20" s="1930"/>
      <c r="E20" s="675"/>
      <c r="F20" s="1930"/>
      <c r="G20" s="675"/>
      <c r="H20" s="1930"/>
      <c r="I20" s="677"/>
      <c r="J20" s="1930"/>
      <c r="K20" s="677"/>
      <c r="L20" s="1930"/>
      <c r="M20" s="677"/>
      <c r="N20" s="1930"/>
      <c r="O20" s="675"/>
      <c r="CB20" s="290"/>
    </row>
    <row r="21" spans="1:80" ht="15.75">
      <c r="A21" s="676" t="s">
        <v>192</v>
      </c>
      <c r="B21" s="1930">
        <v>61182.51</v>
      </c>
      <c r="C21" s="675">
        <v>5.6330506871980199E-2</v>
      </c>
      <c r="D21" s="1930">
        <v>58057.21</v>
      </c>
      <c r="E21" s="675">
        <v>5.8566287649716497E-2</v>
      </c>
      <c r="F21" s="1930">
        <v>3125.3</v>
      </c>
      <c r="G21" s="675">
        <v>1.4797471922695401E-2</v>
      </c>
      <c r="H21" s="1930">
        <v>25095.4</v>
      </c>
      <c r="I21" s="677">
        <v>4.5901985224383697E-3</v>
      </c>
      <c r="J21" s="1930">
        <v>1416.54</v>
      </c>
      <c r="K21" s="677">
        <v>0</v>
      </c>
      <c r="L21" s="1930">
        <v>32961.81</v>
      </c>
      <c r="M21" s="677">
        <v>9.9660861858010805E-2</v>
      </c>
      <c r="N21" s="1930">
        <v>1708.76</v>
      </c>
      <c r="O21" s="675">
        <v>2.7064385285236098E-2</v>
      </c>
      <c r="CB21" s="290"/>
    </row>
    <row r="22" spans="1:80" ht="15.75">
      <c r="A22" s="678"/>
      <c r="B22" s="1930"/>
      <c r="C22" s="675"/>
      <c r="D22" s="1930"/>
      <c r="E22" s="675"/>
      <c r="F22" s="1930"/>
      <c r="G22" s="675"/>
      <c r="H22" s="1930"/>
      <c r="I22" s="677"/>
      <c r="J22" s="1930"/>
      <c r="K22" s="677"/>
      <c r="L22" s="1930"/>
      <c r="M22" s="677"/>
      <c r="N22" s="1930"/>
      <c r="O22" s="675"/>
      <c r="CB22" s="290"/>
    </row>
    <row r="23" spans="1:80" ht="15.75">
      <c r="A23" s="676" t="s">
        <v>2657</v>
      </c>
      <c r="B23" s="1930">
        <v>291944.46733999997</v>
      </c>
      <c r="C23" s="675">
        <v>6.9512801253416606E-2</v>
      </c>
      <c r="D23" s="1930">
        <v>270567.40954000002</v>
      </c>
      <c r="E23" s="675">
        <v>7.33788603873404E-2</v>
      </c>
      <c r="F23" s="1930">
        <v>21377.057799999999</v>
      </c>
      <c r="G23" s="675">
        <v>2.0580454492666399E-2</v>
      </c>
      <c r="H23" s="1930">
        <v>83551.593540000002</v>
      </c>
      <c r="I23" s="677">
        <v>7.4489273589024097E-3</v>
      </c>
      <c r="J23" s="1930">
        <v>6513.6650099999997</v>
      </c>
      <c r="K23" s="677">
        <v>0</v>
      </c>
      <c r="L23" s="1930">
        <v>187015.81599999999</v>
      </c>
      <c r="M23" s="677">
        <v>0.102833860955375</v>
      </c>
      <c r="N23" s="1930">
        <v>14863.39279</v>
      </c>
      <c r="O23" s="675">
        <v>2.9599538372961198E-2</v>
      </c>
      <c r="CA23" s="42" t="e">
        <f>#REF!-#REF!</f>
        <v>#REF!</v>
      </c>
      <c r="CB23" s="290" t="e">
        <f t="shared" si="0"/>
        <v>#REF!</v>
      </c>
    </row>
    <row r="24" spans="1:80" ht="15.75">
      <c r="A24" s="678"/>
      <c r="B24" s="1930"/>
      <c r="C24" s="675"/>
      <c r="D24" s="1930"/>
      <c r="E24" s="675"/>
      <c r="F24" s="1930"/>
      <c r="G24" s="675"/>
      <c r="H24" s="1930"/>
      <c r="I24" s="677"/>
      <c r="J24" s="1930"/>
      <c r="K24" s="677"/>
      <c r="L24" s="1930"/>
      <c r="M24" s="677"/>
      <c r="N24" s="1930"/>
      <c r="O24" s="675"/>
      <c r="CB24" s="290"/>
    </row>
    <row r="25" spans="1:80" ht="15.75">
      <c r="A25" s="676" t="s">
        <v>2658</v>
      </c>
      <c r="B25" s="1930">
        <v>117058.54</v>
      </c>
      <c r="C25" s="675">
        <v>5.4280857543584603E-2</v>
      </c>
      <c r="D25" s="1930">
        <v>113147.22</v>
      </c>
      <c r="E25" s="675">
        <v>5.5520227381636103E-2</v>
      </c>
      <c r="F25" s="1930">
        <v>3911.32</v>
      </c>
      <c r="G25" s="675">
        <v>1.84281909943446E-2</v>
      </c>
      <c r="H25" s="1930">
        <v>52418.48</v>
      </c>
      <c r="I25" s="677">
        <v>3.1324190247408899E-3</v>
      </c>
      <c r="J25" s="1930">
        <v>1487</v>
      </c>
      <c r="K25" s="677">
        <v>0</v>
      </c>
      <c r="L25" s="1930">
        <v>60728.74</v>
      </c>
      <c r="M25" s="677">
        <v>0.100739167945852</v>
      </c>
      <c r="N25" s="1930">
        <v>2424.3200000000002</v>
      </c>
      <c r="O25" s="675">
        <v>2.97314512935586E-2</v>
      </c>
      <c r="CB25" s="290"/>
    </row>
    <row r="26" spans="1:80" ht="15.75">
      <c r="A26" s="678"/>
      <c r="B26" s="1930"/>
      <c r="C26" s="675"/>
      <c r="D26" s="1930"/>
      <c r="E26" s="675"/>
      <c r="F26" s="1930"/>
      <c r="G26" s="675"/>
      <c r="H26" s="1930"/>
      <c r="I26" s="677"/>
      <c r="J26" s="1930"/>
      <c r="K26" s="677"/>
      <c r="L26" s="1930"/>
      <c r="M26" s="677"/>
      <c r="N26" s="1930"/>
      <c r="O26" s="675"/>
    </row>
    <row r="27" spans="1:80" ht="15.75">
      <c r="A27" s="676" t="s">
        <v>2659</v>
      </c>
      <c r="B27" s="1930">
        <v>159706.07999999999</v>
      </c>
      <c r="C27" s="675">
        <v>6.29838339279256E-2</v>
      </c>
      <c r="D27" s="1930">
        <v>151852</v>
      </c>
      <c r="E27" s="675">
        <v>6.5119450827121103E-2</v>
      </c>
      <c r="F27" s="1930">
        <v>7854.08</v>
      </c>
      <c r="G27" s="675">
        <v>2.1693485806103301E-2</v>
      </c>
      <c r="H27" s="1930">
        <v>60181.07</v>
      </c>
      <c r="I27" s="677">
        <v>7.04894836532484E-3</v>
      </c>
      <c r="J27" s="1930">
        <v>2714.16</v>
      </c>
      <c r="K27" s="677">
        <v>0</v>
      </c>
      <c r="L27" s="1930">
        <v>91670.93</v>
      </c>
      <c r="M27" s="677">
        <v>0.10324216839515001</v>
      </c>
      <c r="N27" s="1930">
        <v>5139.92</v>
      </c>
      <c r="O27" s="675">
        <v>3.3148837530545198E-2</v>
      </c>
      <c r="R27" s="387"/>
    </row>
    <row r="28" spans="1:80" ht="15.75">
      <c r="A28" s="678"/>
      <c r="B28" s="1930"/>
      <c r="C28" s="675"/>
      <c r="D28" s="1930"/>
      <c r="E28" s="675"/>
      <c r="F28" s="1930"/>
      <c r="G28" s="675"/>
      <c r="H28" s="1930"/>
      <c r="I28" s="677"/>
      <c r="J28" s="1930"/>
      <c r="K28" s="677"/>
      <c r="L28" s="1930"/>
      <c r="M28" s="677"/>
      <c r="N28" s="1930"/>
      <c r="O28" s="675"/>
    </row>
    <row r="29" spans="1:80" ht="15.75">
      <c r="A29" s="676" t="s">
        <v>193</v>
      </c>
      <c r="B29" s="1930">
        <v>181001.5252</v>
      </c>
      <c r="C29" s="675">
        <v>6.1862885473630301E-2</v>
      </c>
      <c r="D29" s="1930">
        <v>169971.07224000001</v>
      </c>
      <c r="E29" s="675">
        <v>6.4914897462201193E-2</v>
      </c>
      <c r="F29" s="1930">
        <v>11030.452960000001</v>
      </c>
      <c r="G29" s="675">
        <v>1.48336517632908E-2</v>
      </c>
      <c r="H29" s="1930">
        <v>64753.092239999998</v>
      </c>
      <c r="I29" s="677">
        <v>4.26160040322423E-3</v>
      </c>
      <c r="J29" s="1930">
        <v>5483.6929600000003</v>
      </c>
      <c r="K29" s="677">
        <v>0</v>
      </c>
      <c r="L29" s="1930">
        <v>105217.98</v>
      </c>
      <c r="M29" s="677">
        <v>0.102242059028314</v>
      </c>
      <c r="N29" s="1930">
        <v>5546.76</v>
      </c>
      <c r="O29" s="675">
        <v>2.9498643893011399E-2</v>
      </c>
    </row>
    <row r="30" spans="1:80" ht="15.75">
      <c r="A30" s="678"/>
      <c r="B30" s="1930"/>
      <c r="C30" s="675"/>
      <c r="D30" s="1930"/>
      <c r="E30" s="675"/>
      <c r="F30" s="1930"/>
      <c r="G30" s="675"/>
      <c r="H30" s="1930"/>
      <c r="I30" s="677"/>
      <c r="J30" s="1930"/>
      <c r="K30" s="677"/>
      <c r="L30" s="1930"/>
      <c r="M30" s="677"/>
      <c r="N30" s="1930"/>
      <c r="O30" s="675"/>
    </row>
    <row r="31" spans="1:80" ht="15.75">
      <c r="A31" s="676" t="s">
        <v>2660</v>
      </c>
      <c r="B31" s="1930">
        <v>171902.19</v>
      </c>
      <c r="C31" s="675">
        <v>5.8802176923982201E-2</v>
      </c>
      <c r="D31" s="1930">
        <v>164042.15</v>
      </c>
      <c r="E31" s="675">
        <v>6.09408200209519E-2</v>
      </c>
      <c r="F31" s="1930">
        <v>7860.04</v>
      </c>
      <c r="G31" s="675">
        <v>1.41678478735477E-2</v>
      </c>
      <c r="H31" s="1930">
        <v>69429.399999999994</v>
      </c>
      <c r="I31" s="677">
        <v>3.6315799646835499E-3</v>
      </c>
      <c r="J31" s="1930">
        <v>4061.74</v>
      </c>
      <c r="K31" s="677">
        <v>0</v>
      </c>
      <c r="L31" s="1930">
        <v>94612.75</v>
      </c>
      <c r="M31" s="677">
        <v>0.102995893481587</v>
      </c>
      <c r="N31" s="1930">
        <v>3798.3</v>
      </c>
      <c r="O31" s="675">
        <v>2.9318340046863098E-2</v>
      </c>
    </row>
    <row r="32" spans="1:80" ht="15.75">
      <c r="A32" s="678"/>
      <c r="B32" s="1930"/>
      <c r="C32" s="675"/>
      <c r="D32" s="1930"/>
      <c r="E32" s="675"/>
      <c r="F32" s="1930"/>
      <c r="G32" s="675"/>
      <c r="H32" s="1930"/>
      <c r="I32" s="677"/>
      <c r="J32" s="1930"/>
      <c r="K32" s="677"/>
      <c r="L32" s="1930"/>
      <c r="M32" s="677"/>
      <c r="N32" s="1930"/>
      <c r="O32" s="675"/>
      <c r="Q32" s="387"/>
    </row>
    <row r="33" spans="1:17" ht="15.75">
      <c r="A33" s="676" t="s">
        <v>2661</v>
      </c>
      <c r="B33" s="1930">
        <v>162819.35</v>
      </c>
      <c r="C33" s="675">
        <v>6.1076342639864403E-2</v>
      </c>
      <c r="D33" s="1930">
        <v>154502.6</v>
      </c>
      <c r="E33" s="675">
        <v>6.3387604875257797E-2</v>
      </c>
      <c r="F33" s="1930">
        <v>8316.75</v>
      </c>
      <c r="G33" s="675">
        <v>1.8139375116481799E-2</v>
      </c>
      <c r="H33" s="1930">
        <v>60677.52</v>
      </c>
      <c r="I33" s="677">
        <v>7.2164092237125103E-3</v>
      </c>
      <c r="J33" s="1930">
        <v>3185.08</v>
      </c>
      <c r="K33" s="677">
        <v>0</v>
      </c>
      <c r="L33" s="1930">
        <v>93825.08</v>
      </c>
      <c r="M33" s="677">
        <v>9.9714020451674504E-2</v>
      </c>
      <c r="N33" s="1930">
        <v>5131.67</v>
      </c>
      <c r="O33" s="675">
        <v>2.9397963625876201E-2</v>
      </c>
    </row>
    <row r="34" spans="1:17" ht="15.75">
      <c r="A34" s="678"/>
      <c r="B34" s="1930"/>
      <c r="C34" s="675"/>
      <c r="D34" s="1930"/>
      <c r="E34" s="675"/>
      <c r="F34" s="1930"/>
      <c r="G34" s="675"/>
      <c r="H34" s="1930"/>
      <c r="I34" s="677"/>
      <c r="J34" s="1930"/>
      <c r="K34" s="677"/>
      <c r="L34" s="1930"/>
      <c r="M34" s="677"/>
      <c r="N34" s="1930"/>
      <c r="O34" s="675"/>
    </row>
    <row r="35" spans="1:17" ht="15.75">
      <c r="A35" s="676" t="s">
        <v>2662</v>
      </c>
      <c r="B35" s="1930">
        <v>59207.15</v>
      </c>
      <c r="C35" s="675">
        <v>4.4777510537156402E-2</v>
      </c>
      <c r="D35" s="1930">
        <v>57298.44</v>
      </c>
      <c r="E35" s="675">
        <v>4.5596734169376998E-2</v>
      </c>
      <c r="F35" s="1930">
        <v>1908.71</v>
      </c>
      <c r="G35" s="675">
        <v>2.01848609794049E-2</v>
      </c>
      <c r="H35" s="1930">
        <v>31493.39</v>
      </c>
      <c r="I35" s="677">
        <v>3.5247330947859199E-3</v>
      </c>
      <c r="J35" s="1930">
        <v>648.14</v>
      </c>
      <c r="K35" s="677">
        <v>0</v>
      </c>
      <c r="L35" s="1930">
        <v>25805.05</v>
      </c>
      <c r="M35" s="677">
        <v>9.6942883001583005E-2</v>
      </c>
      <c r="N35" s="1930">
        <v>1260.57</v>
      </c>
      <c r="O35" s="675">
        <v>3.0563194427917498E-2</v>
      </c>
      <c r="Q35" s="387"/>
    </row>
    <row r="36" spans="1:17" ht="15.75">
      <c r="A36" s="676"/>
      <c r="B36" s="1930"/>
      <c r="C36" s="675"/>
      <c r="D36" s="1930"/>
      <c r="E36" s="675"/>
      <c r="F36" s="1930"/>
      <c r="G36" s="675"/>
      <c r="H36" s="1930"/>
      <c r="I36" s="677"/>
      <c r="J36" s="1930"/>
      <c r="K36" s="677"/>
      <c r="L36" s="1930"/>
      <c r="M36" s="677"/>
      <c r="N36" s="1930"/>
      <c r="O36" s="675"/>
      <c r="Q36" s="387"/>
    </row>
    <row r="37" spans="1:17" ht="15.75">
      <c r="A37" s="676" t="s">
        <v>194</v>
      </c>
      <c r="B37" s="1930">
        <v>166841.28</v>
      </c>
      <c r="C37" s="675">
        <v>5.6822425655089701E-2</v>
      </c>
      <c r="D37" s="1930">
        <v>152068.91</v>
      </c>
      <c r="E37" s="675">
        <v>6.0764741820007802E-2</v>
      </c>
      <c r="F37" s="1930">
        <v>14772.37</v>
      </c>
      <c r="G37" s="675">
        <v>1.6239653759010899E-2</v>
      </c>
      <c r="H37" s="1930">
        <v>64551.89</v>
      </c>
      <c r="I37" s="677">
        <v>6.8308794831568797E-3</v>
      </c>
      <c r="J37" s="1930">
        <v>6457.86</v>
      </c>
      <c r="K37" s="677">
        <v>0</v>
      </c>
      <c r="L37" s="1930">
        <v>87517.02</v>
      </c>
      <c r="M37" s="677">
        <v>0.100545949507878</v>
      </c>
      <c r="N37" s="1930">
        <v>8314.51</v>
      </c>
      <c r="O37" s="675">
        <v>2.8852953932342398E-2</v>
      </c>
      <c r="Q37" s="387"/>
    </row>
    <row r="38" spans="1:17" ht="15.75">
      <c r="A38" s="676"/>
      <c r="B38" s="1930"/>
      <c r="C38" s="675"/>
      <c r="D38" s="1930"/>
      <c r="E38" s="675"/>
      <c r="F38" s="1930"/>
      <c r="G38" s="675"/>
      <c r="H38" s="1930"/>
      <c r="I38" s="677"/>
      <c r="J38" s="1930"/>
      <c r="K38" s="677"/>
      <c r="L38" s="1930"/>
      <c r="M38" s="677"/>
      <c r="N38" s="1930"/>
      <c r="O38" s="675"/>
      <c r="Q38" s="387"/>
    </row>
    <row r="39" spans="1:17" ht="15.75">
      <c r="A39" s="676" t="s">
        <v>2663</v>
      </c>
      <c r="B39" s="1930">
        <v>1254</v>
      </c>
      <c r="C39" s="675">
        <v>5.1311223285486401E-2</v>
      </c>
      <c r="D39" s="1930">
        <v>1200.0999999999999</v>
      </c>
      <c r="E39" s="675">
        <v>5.2859573368885901E-2</v>
      </c>
      <c r="F39" s="1930">
        <v>53.9</v>
      </c>
      <c r="G39" s="675">
        <v>1.68367346938776E-2</v>
      </c>
      <c r="H39" s="1930">
        <v>525.45000000000005</v>
      </c>
      <c r="I39" s="677">
        <v>0</v>
      </c>
      <c r="J39" s="1930">
        <v>17.600000000000001</v>
      </c>
      <c r="K39" s="677">
        <v>0</v>
      </c>
      <c r="L39" s="1930">
        <v>674.65</v>
      </c>
      <c r="M39" s="677">
        <v>9.4029161787593601E-2</v>
      </c>
      <c r="N39" s="1930">
        <v>36.299999999999997</v>
      </c>
      <c r="O39" s="675">
        <v>2.5000000000000001E-2</v>
      </c>
      <c r="Q39" s="387"/>
    </row>
    <row r="40" spans="1:17" ht="15.75">
      <c r="A40" s="676"/>
      <c r="B40" s="1930"/>
      <c r="C40" s="675"/>
      <c r="E40" s="675"/>
      <c r="F40" s="1930"/>
      <c r="G40" s="675"/>
      <c r="H40" s="1930"/>
      <c r="I40" s="677"/>
      <c r="J40" s="1930"/>
      <c r="K40" s="677"/>
      <c r="L40" s="1930"/>
      <c r="M40" s="677"/>
      <c r="N40" s="1930"/>
      <c r="O40" s="675"/>
      <c r="Q40" s="387"/>
    </row>
    <row r="41" spans="1:17" ht="15.75">
      <c r="A41" s="771" t="s">
        <v>2664</v>
      </c>
      <c r="B41" s="1934">
        <v>92526.24</v>
      </c>
      <c r="C41" s="680">
        <v>4.8913610052672599E-2</v>
      </c>
      <c r="D41" s="1934">
        <v>86063.23</v>
      </c>
      <c r="E41" s="680">
        <v>5.15488892991815E-2</v>
      </c>
      <c r="F41" s="1934">
        <v>6463.01</v>
      </c>
      <c r="G41" s="680">
        <v>1.3821502210270399E-2</v>
      </c>
      <c r="H41" s="1934">
        <v>44228.76</v>
      </c>
      <c r="I41" s="684">
        <v>5.2208072756278904E-3</v>
      </c>
      <c r="J41" s="1934">
        <v>3363.58</v>
      </c>
      <c r="K41" s="684">
        <v>0</v>
      </c>
      <c r="L41" s="1934">
        <v>41834.47</v>
      </c>
      <c r="M41" s="684">
        <v>0.100528441832776</v>
      </c>
      <c r="N41" s="1934">
        <v>3099.43</v>
      </c>
      <c r="O41" s="680">
        <v>2.88209467547259E-2</v>
      </c>
    </row>
    <row r="42" spans="1:17" s="738" customFormat="1" ht="40.5" customHeight="1">
      <c r="A42" s="2361" t="s">
        <v>2689</v>
      </c>
      <c r="B42" s="2362"/>
      <c r="C42" s="2362"/>
      <c r="D42" s="2362"/>
      <c r="E42" s="2362"/>
      <c r="F42" s="2362"/>
      <c r="G42" s="2362"/>
      <c r="H42" s="2362"/>
      <c r="I42" s="2362"/>
      <c r="J42" s="2362"/>
      <c r="K42" s="2362"/>
      <c r="L42" s="2362"/>
      <c r="M42" s="2362"/>
      <c r="N42" s="2362"/>
      <c r="O42" s="2362"/>
    </row>
  </sheetData>
  <mergeCells count="29">
    <mergeCell ref="B9:B11"/>
    <mergeCell ref="C9:C11"/>
    <mergeCell ref="D9:G9"/>
    <mergeCell ref="H9:K9"/>
    <mergeCell ref="A2:O2"/>
    <mergeCell ref="A3:O3"/>
    <mergeCell ref="A6:A8"/>
    <mergeCell ref="B6:B8"/>
    <mergeCell ref="C6:C8"/>
    <mergeCell ref="D6:G6"/>
    <mergeCell ref="A5:K5"/>
    <mergeCell ref="L7:M7"/>
    <mergeCell ref="N7:O7"/>
    <mergeCell ref="A42:O42"/>
    <mergeCell ref="L5:O5"/>
    <mergeCell ref="H6:K6"/>
    <mergeCell ref="L6:O6"/>
    <mergeCell ref="D7:E7"/>
    <mergeCell ref="F7:G7"/>
    <mergeCell ref="H7:I7"/>
    <mergeCell ref="J7:K7"/>
    <mergeCell ref="L9:O9"/>
    <mergeCell ref="D10:E10"/>
    <mergeCell ref="F10:G10"/>
    <mergeCell ref="H10:I10"/>
    <mergeCell ref="J10:K10"/>
    <mergeCell ref="L10:M10"/>
    <mergeCell ref="N10:O10"/>
    <mergeCell ref="A9:A11"/>
  </mergeCells>
  <pageMargins left="0.17" right="0.17" top="0.21" bottom="0.75" header="0.3" footer="0.3"/>
  <pageSetup paperSize="9" scale="6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0C43-4DA3-49A5-9721-4FEF2AEF0921}">
  <sheetPr codeName="Sheet41">
    <tabColor rgb="FF92D050"/>
  </sheetPr>
  <dimension ref="A1:J90"/>
  <sheetViews>
    <sheetView showGridLines="0" view="pageBreakPreview" zoomScale="80" zoomScaleSheetLayoutView="80" workbookViewId="0">
      <pane ySplit="13" topLeftCell="A84" activePane="bottomLeft" state="frozen"/>
      <selection activeCell="F40" sqref="F40"/>
      <selection pane="bottomLeft" activeCell="F40" sqref="F40"/>
    </sheetView>
  </sheetViews>
  <sheetFormatPr defaultColWidth="9.140625" defaultRowHeight="15.75"/>
  <cols>
    <col min="1" max="1" width="69.28515625" style="934" customWidth="1"/>
    <col min="2" max="2" width="28.28515625" style="934" customWidth="1"/>
    <col min="3" max="3" width="28.42578125" style="934" customWidth="1"/>
    <col min="4" max="5" width="19.7109375" style="934" customWidth="1"/>
    <col min="6" max="6" width="29" style="934" customWidth="1"/>
    <col min="7" max="7" width="27" style="934" customWidth="1"/>
    <col min="8" max="8" width="70.140625" style="934" customWidth="1"/>
    <col min="9" max="16384" width="9.140625" style="934"/>
  </cols>
  <sheetData>
    <row r="1" spans="1:8" ht="11.25" customHeight="1"/>
    <row r="2" spans="1:8" ht="25.5" customHeight="1">
      <c r="A2" s="2430" t="s">
        <v>2733</v>
      </c>
      <c r="B2" s="2430"/>
      <c r="C2" s="2430"/>
      <c r="D2" s="2430"/>
      <c r="E2" s="2430"/>
      <c r="F2" s="2430"/>
      <c r="G2" s="2430"/>
      <c r="H2" s="2430"/>
    </row>
    <row r="3" spans="1:8" ht="25.5" customHeight="1">
      <c r="A3" s="2431" t="s">
        <v>2734</v>
      </c>
      <c r="B3" s="2431"/>
      <c r="C3" s="2431"/>
      <c r="D3" s="2431"/>
      <c r="E3" s="2431"/>
      <c r="F3" s="2431"/>
      <c r="G3" s="2431"/>
      <c r="H3" s="2431"/>
    </row>
    <row r="4" spans="1:8" ht="13.5" customHeight="1">
      <c r="A4" s="1619"/>
      <c r="B4" s="1619"/>
      <c r="C4" s="1619"/>
      <c r="D4" s="1619"/>
      <c r="E4" s="1619"/>
      <c r="F4" s="1619"/>
      <c r="G4" s="1619"/>
      <c r="H4" s="1619"/>
    </row>
    <row r="5" spans="1:8" ht="13.5" customHeight="1">
      <c r="A5" s="1620"/>
      <c r="B5" s="1620"/>
      <c r="C5" s="1620"/>
      <c r="D5" s="1620"/>
      <c r="E5" s="1620"/>
      <c r="F5" s="1620"/>
      <c r="G5" s="1620"/>
      <c r="H5" s="1620"/>
    </row>
    <row r="6" spans="1:8" s="933" customFormat="1" ht="29.25" customHeight="1">
      <c r="A6" s="2432" t="s">
        <v>3922</v>
      </c>
      <c r="B6" s="2433" t="s">
        <v>1132</v>
      </c>
      <c r="C6" s="2434"/>
      <c r="D6" s="2433" t="s">
        <v>2758</v>
      </c>
      <c r="E6" s="2433"/>
      <c r="F6" s="2433" t="s">
        <v>210</v>
      </c>
      <c r="G6" s="2434"/>
      <c r="H6" s="2435" t="s">
        <v>3923</v>
      </c>
    </row>
    <row r="7" spans="1:8" s="933" customFormat="1" ht="37.5" customHeight="1">
      <c r="A7" s="2432"/>
      <c r="B7" s="2434"/>
      <c r="C7" s="2434"/>
      <c r="D7" s="2433"/>
      <c r="E7" s="2433"/>
      <c r="F7" s="2434"/>
      <c r="G7" s="2434"/>
      <c r="H7" s="2435"/>
    </row>
    <row r="8" spans="1:8" s="933" customFormat="1" ht="3.75" customHeight="1">
      <c r="A8" s="2432"/>
      <c r="B8" s="2436" t="s">
        <v>189</v>
      </c>
      <c r="C8" s="2436" t="s">
        <v>1138</v>
      </c>
      <c r="D8" s="2436" t="s">
        <v>189</v>
      </c>
      <c r="E8" s="2436" t="s">
        <v>1138</v>
      </c>
      <c r="F8" s="2436" t="s">
        <v>189</v>
      </c>
      <c r="G8" s="2436" t="s">
        <v>1138</v>
      </c>
      <c r="H8" s="2435"/>
    </row>
    <row r="9" spans="1:8" s="933" customFormat="1" ht="28.5" customHeight="1">
      <c r="A9" s="2432"/>
      <c r="B9" s="2437"/>
      <c r="C9" s="2437"/>
      <c r="D9" s="2437"/>
      <c r="E9" s="2437"/>
      <c r="F9" s="2437"/>
      <c r="G9" s="2437"/>
      <c r="H9" s="2435"/>
    </row>
    <row r="10" spans="1:8" ht="27" customHeight="1">
      <c r="A10" s="2432"/>
      <c r="B10" s="2438" t="s">
        <v>1187</v>
      </c>
      <c r="C10" s="2439"/>
      <c r="D10" s="2438" t="s">
        <v>2759</v>
      </c>
      <c r="E10" s="2438"/>
      <c r="F10" s="2438" t="s">
        <v>1171</v>
      </c>
      <c r="G10" s="2438"/>
      <c r="H10" s="2435"/>
    </row>
    <row r="11" spans="1:8" ht="27" customHeight="1">
      <c r="A11" s="2432"/>
      <c r="B11" s="2439"/>
      <c r="C11" s="2439"/>
      <c r="D11" s="2438"/>
      <c r="E11" s="2438"/>
      <c r="F11" s="2438"/>
      <c r="G11" s="2438"/>
      <c r="H11" s="2435"/>
    </row>
    <row r="12" spans="1:8" ht="3" customHeight="1">
      <c r="A12" s="2432"/>
      <c r="B12" s="2429" t="s">
        <v>350</v>
      </c>
      <c r="C12" s="2429" t="s">
        <v>207</v>
      </c>
      <c r="D12" s="2429" t="s">
        <v>350</v>
      </c>
      <c r="E12" s="2429" t="s">
        <v>207</v>
      </c>
      <c r="F12" s="2429" t="s">
        <v>350</v>
      </c>
      <c r="G12" s="2429" t="s">
        <v>207</v>
      </c>
      <c r="H12" s="2435"/>
    </row>
    <row r="13" spans="1:8" ht="28.5" customHeight="1">
      <c r="A13" s="2432"/>
      <c r="B13" s="2429"/>
      <c r="C13" s="2429"/>
      <c r="D13" s="2429"/>
      <c r="E13" s="2429"/>
      <c r="F13" s="2429"/>
      <c r="G13" s="2429"/>
      <c r="H13" s="2435"/>
    </row>
    <row r="14" spans="1:8" ht="15" customHeight="1">
      <c r="A14" s="1621" t="s">
        <v>211</v>
      </c>
      <c r="B14" s="1622"/>
      <c r="C14" s="1622"/>
      <c r="D14" s="1622" t="s">
        <v>93</v>
      </c>
      <c r="E14" s="1622" t="s">
        <v>93</v>
      </c>
      <c r="F14" s="1622"/>
      <c r="G14" s="1622"/>
      <c r="H14" s="1623" t="s">
        <v>211</v>
      </c>
    </row>
    <row r="15" spans="1:8" ht="15" customHeight="1">
      <c r="A15" s="1624" t="s">
        <v>1133</v>
      </c>
      <c r="B15" s="1625">
        <v>15</v>
      </c>
      <c r="C15" s="1625">
        <v>15</v>
      </c>
      <c r="D15" s="1625"/>
      <c r="E15" s="1625"/>
      <c r="F15" s="1625">
        <v>15</v>
      </c>
      <c r="G15" s="1625">
        <v>15</v>
      </c>
      <c r="H15" s="1626" t="s">
        <v>212</v>
      </c>
    </row>
    <row r="16" spans="1:8" ht="15" customHeight="1">
      <c r="A16" s="1627" t="s">
        <v>1134</v>
      </c>
      <c r="B16" s="1625">
        <v>12</v>
      </c>
      <c r="C16" s="1625">
        <v>12</v>
      </c>
      <c r="D16" s="1625" t="s">
        <v>93</v>
      </c>
      <c r="E16" s="1625" t="s">
        <v>93</v>
      </c>
      <c r="F16" s="1625">
        <v>12</v>
      </c>
      <c r="G16" s="1625">
        <v>12</v>
      </c>
      <c r="H16" s="1626" t="s">
        <v>213</v>
      </c>
    </row>
    <row r="17" spans="1:8" ht="15" customHeight="1">
      <c r="A17" s="1624" t="s">
        <v>1135</v>
      </c>
      <c r="B17" s="1625">
        <v>10</v>
      </c>
      <c r="C17" s="1625">
        <v>10</v>
      </c>
      <c r="D17" s="1625"/>
      <c r="E17" s="1625"/>
      <c r="F17" s="1625">
        <v>10</v>
      </c>
      <c r="G17" s="1625">
        <v>10</v>
      </c>
      <c r="H17" s="1626" t="s">
        <v>214</v>
      </c>
    </row>
    <row r="18" spans="1:8" ht="15" customHeight="1">
      <c r="A18" s="1624"/>
      <c r="B18" s="1625"/>
      <c r="C18" s="1625"/>
      <c r="D18" s="1625" t="s">
        <v>93</v>
      </c>
      <c r="E18" s="1625" t="s">
        <v>93</v>
      </c>
      <c r="F18" s="1625"/>
      <c r="G18" s="1625"/>
      <c r="H18" s="1626"/>
    </row>
    <row r="19" spans="1:8" ht="15" customHeight="1">
      <c r="A19" s="1621" t="s">
        <v>215</v>
      </c>
      <c r="B19" s="1625"/>
      <c r="C19" s="1625"/>
      <c r="D19" s="1625"/>
      <c r="E19" s="1625"/>
      <c r="F19" s="1625"/>
      <c r="G19" s="1625"/>
      <c r="H19" s="1623" t="s">
        <v>215</v>
      </c>
    </row>
    <row r="20" spans="1:8" ht="15" customHeight="1">
      <c r="A20" s="1624" t="s">
        <v>1133</v>
      </c>
      <c r="B20" s="1625">
        <v>15</v>
      </c>
      <c r="C20" s="1625">
        <v>15</v>
      </c>
      <c r="D20" s="1625" t="s">
        <v>93</v>
      </c>
      <c r="E20" s="1625" t="s">
        <v>93</v>
      </c>
      <c r="F20" s="1625">
        <v>15</v>
      </c>
      <c r="G20" s="1625">
        <v>15</v>
      </c>
      <c r="H20" s="1626" t="s">
        <v>212</v>
      </c>
    </row>
    <row r="21" spans="1:8" ht="15" customHeight="1">
      <c r="A21" s="1627" t="s">
        <v>1134</v>
      </c>
      <c r="B21" s="1625">
        <v>12</v>
      </c>
      <c r="C21" s="1625">
        <v>12</v>
      </c>
      <c r="D21" s="1625"/>
      <c r="E21" s="1625"/>
      <c r="F21" s="1625">
        <v>12</v>
      </c>
      <c r="G21" s="1625">
        <v>12</v>
      </c>
      <c r="H21" s="1626" t="s">
        <v>213</v>
      </c>
    </row>
    <row r="22" spans="1:8" ht="15" customHeight="1">
      <c r="A22" s="1624" t="s">
        <v>1136</v>
      </c>
      <c r="B22" s="1625">
        <v>10</v>
      </c>
      <c r="C22" s="1625">
        <v>10</v>
      </c>
      <c r="D22" s="1625" t="s">
        <v>93</v>
      </c>
      <c r="E22" s="1625" t="s">
        <v>93</v>
      </c>
      <c r="F22" s="1625">
        <v>10</v>
      </c>
      <c r="G22" s="1625">
        <v>10</v>
      </c>
      <c r="H22" s="1626" t="s">
        <v>216</v>
      </c>
    </row>
    <row r="23" spans="1:8" ht="15" customHeight="1">
      <c r="A23" s="1627" t="s">
        <v>1137</v>
      </c>
      <c r="B23" s="1625">
        <v>8</v>
      </c>
      <c r="C23" s="1625">
        <v>8</v>
      </c>
      <c r="D23" s="1625"/>
      <c r="E23" s="1625"/>
      <c r="F23" s="1625">
        <v>8</v>
      </c>
      <c r="G23" s="1625">
        <v>8</v>
      </c>
      <c r="H23" s="1626" t="s">
        <v>217</v>
      </c>
    </row>
    <row r="24" spans="1:8" ht="15" customHeight="1">
      <c r="A24" s="1628"/>
      <c r="B24" s="1625"/>
      <c r="C24" s="1625"/>
      <c r="D24" s="1625" t="s">
        <v>93</v>
      </c>
      <c r="E24" s="1625" t="s">
        <v>93</v>
      </c>
      <c r="F24" s="1625"/>
      <c r="G24" s="1625"/>
      <c r="H24" s="1629"/>
    </row>
    <row r="25" spans="1:8" ht="15" customHeight="1">
      <c r="A25" s="1628" t="s">
        <v>218</v>
      </c>
      <c r="B25" s="1625">
        <v>12</v>
      </c>
      <c r="C25" s="1625">
        <v>5</v>
      </c>
      <c r="D25" s="1625"/>
      <c r="E25" s="1625"/>
      <c r="F25" s="1625">
        <v>12</v>
      </c>
      <c r="G25" s="1625">
        <v>5</v>
      </c>
      <c r="H25" s="1629" t="s">
        <v>218</v>
      </c>
    </row>
    <row r="26" spans="1:8" ht="15" customHeight="1">
      <c r="A26" s="1628"/>
      <c r="B26" s="1625"/>
      <c r="C26" s="1625"/>
      <c r="D26" s="1625" t="s">
        <v>93</v>
      </c>
      <c r="E26" s="1625" t="s">
        <v>93</v>
      </c>
      <c r="F26" s="1625"/>
      <c r="G26" s="1625"/>
      <c r="H26" s="1629"/>
    </row>
    <row r="27" spans="1:8" ht="15" customHeight="1">
      <c r="A27" s="1627" t="s">
        <v>219</v>
      </c>
      <c r="B27" s="1625">
        <v>12</v>
      </c>
      <c r="C27" s="1625">
        <v>25</v>
      </c>
      <c r="D27" s="1625"/>
      <c r="E27" s="1625"/>
      <c r="F27" s="1625">
        <v>12</v>
      </c>
      <c r="G27" s="1625">
        <v>25</v>
      </c>
      <c r="H27" s="1630" t="s">
        <v>219</v>
      </c>
    </row>
    <row r="28" spans="1:8" ht="15" customHeight="1">
      <c r="A28" s="1627"/>
      <c r="B28" s="1625"/>
      <c r="C28" s="1625"/>
      <c r="D28" s="1625" t="s">
        <v>93</v>
      </c>
      <c r="E28" s="1625" t="s">
        <v>93</v>
      </c>
      <c r="F28" s="1625"/>
      <c r="G28" s="1625"/>
      <c r="H28" s="1630"/>
    </row>
    <row r="29" spans="1:8" ht="15" customHeight="1">
      <c r="A29" s="1624" t="s">
        <v>220</v>
      </c>
      <c r="B29" s="1625">
        <v>12</v>
      </c>
      <c r="C29" s="1625">
        <v>5</v>
      </c>
      <c r="D29" s="1625"/>
      <c r="E29" s="1625"/>
      <c r="F29" s="1625">
        <v>12</v>
      </c>
      <c r="G29" s="1625">
        <v>5</v>
      </c>
      <c r="H29" s="1626" t="s">
        <v>220</v>
      </c>
    </row>
    <row r="30" spans="1:8" ht="15" customHeight="1">
      <c r="A30" s="1624"/>
      <c r="B30" s="1625"/>
      <c r="C30" s="1625"/>
      <c r="D30" s="1625" t="s">
        <v>93</v>
      </c>
      <c r="E30" s="1625" t="s">
        <v>93</v>
      </c>
      <c r="F30" s="1625"/>
      <c r="G30" s="1625"/>
      <c r="H30" s="1626"/>
    </row>
    <row r="31" spans="1:8" ht="15" customHeight="1">
      <c r="A31" s="1624" t="s">
        <v>221</v>
      </c>
      <c r="B31" s="1625">
        <v>18</v>
      </c>
      <c r="C31" s="1625">
        <v>5</v>
      </c>
      <c r="D31" s="1625"/>
      <c r="E31" s="1625"/>
      <c r="F31" s="1625">
        <v>18</v>
      </c>
      <c r="G31" s="1625">
        <v>5</v>
      </c>
      <c r="H31" s="1626" t="s">
        <v>221</v>
      </c>
    </row>
    <row r="32" spans="1:8" ht="15" customHeight="1">
      <c r="A32" s="1624"/>
      <c r="B32" s="1625"/>
      <c r="C32" s="1625"/>
      <c r="D32" s="1625" t="s">
        <v>93</v>
      </c>
      <c r="E32" s="1625" t="s">
        <v>93</v>
      </c>
      <c r="F32" s="1625"/>
      <c r="G32" s="1625"/>
      <c r="H32" s="1626"/>
    </row>
    <row r="33" spans="1:8" ht="15" customHeight="1">
      <c r="A33" s="1624" t="s">
        <v>222</v>
      </c>
      <c r="B33" s="1625">
        <v>12</v>
      </c>
      <c r="C33" s="1625">
        <v>12</v>
      </c>
      <c r="D33" s="1625"/>
      <c r="E33" s="1625"/>
      <c r="F33" s="1625">
        <v>12</v>
      </c>
      <c r="G33" s="1625">
        <v>12</v>
      </c>
      <c r="H33" s="1626" t="s">
        <v>222</v>
      </c>
    </row>
    <row r="34" spans="1:8" ht="15" customHeight="1">
      <c r="A34" s="1628"/>
      <c r="B34" s="1625"/>
      <c r="C34" s="1625"/>
      <c r="D34" s="1625" t="s">
        <v>93</v>
      </c>
      <c r="E34" s="1625" t="s">
        <v>93</v>
      </c>
      <c r="F34" s="1625"/>
      <c r="G34" s="1625"/>
      <c r="H34" s="1629"/>
    </row>
    <row r="35" spans="1:8" ht="15" customHeight="1">
      <c r="A35" s="1624" t="s">
        <v>223</v>
      </c>
      <c r="B35" s="1625">
        <v>15</v>
      </c>
      <c r="C35" s="1625">
        <v>15</v>
      </c>
      <c r="D35" s="1625"/>
      <c r="E35" s="1625"/>
      <c r="F35" s="1625">
        <v>15</v>
      </c>
      <c r="G35" s="1625">
        <v>15</v>
      </c>
      <c r="H35" s="1626" t="s">
        <v>223</v>
      </c>
    </row>
    <row r="36" spans="1:8" ht="15" customHeight="1">
      <c r="A36" s="1628"/>
      <c r="B36" s="1625"/>
      <c r="C36" s="1625"/>
      <c r="D36" s="1625" t="s">
        <v>93</v>
      </c>
      <c r="E36" s="1625" t="s">
        <v>93</v>
      </c>
      <c r="F36" s="1625"/>
      <c r="G36" s="1625"/>
      <c r="H36" s="1629"/>
    </row>
    <row r="37" spans="1:8" ht="15" customHeight="1">
      <c r="A37" s="1627" t="s">
        <v>224</v>
      </c>
      <c r="B37" s="1625">
        <v>12</v>
      </c>
      <c r="C37" s="1625">
        <v>12</v>
      </c>
      <c r="D37" s="1625"/>
      <c r="E37" s="1625"/>
      <c r="F37" s="1625">
        <v>12</v>
      </c>
      <c r="G37" s="1625">
        <v>12</v>
      </c>
      <c r="H37" s="1630" t="s">
        <v>224</v>
      </c>
    </row>
    <row r="38" spans="1:8" ht="15" customHeight="1">
      <c r="A38" s="1628"/>
      <c r="B38" s="1625"/>
      <c r="C38" s="1625"/>
      <c r="D38" s="1625" t="s">
        <v>93</v>
      </c>
      <c r="E38" s="1625" t="s">
        <v>93</v>
      </c>
      <c r="F38" s="1625"/>
      <c r="G38" s="1625"/>
      <c r="H38" s="1629"/>
    </row>
    <row r="39" spans="1:8" ht="15" customHeight="1">
      <c r="A39" s="1628" t="s">
        <v>225</v>
      </c>
      <c r="B39" s="1625">
        <v>10</v>
      </c>
      <c r="C39" s="1625">
        <v>10</v>
      </c>
      <c r="D39" s="1625"/>
      <c r="E39" s="1625"/>
      <c r="F39" s="1625">
        <v>10</v>
      </c>
      <c r="G39" s="1625">
        <v>10</v>
      </c>
      <c r="H39" s="1629" t="s">
        <v>225</v>
      </c>
    </row>
    <row r="40" spans="1:8" ht="15" customHeight="1">
      <c r="A40" s="1628"/>
      <c r="B40" s="1625"/>
      <c r="C40" s="1625"/>
      <c r="D40" s="1625" t="s">
        <v>93</v>
      </c>
      <c r="E40" s="1625" t="s">
        <v>93</v>
      </c>
      <c r="F40" s="1625"/>
      <c r="G40" s="1625"/>
      <c r="H40" s="1629"/>
    </row>
    <row r="41" spans="1:8" ht="15" customHeight="1">
      <c r="A41" s="1628" t="s">
        <v>226</v>
      </c>
      <c r="B41" s="953"/>
      <c r="C41" s="953"/>
      <c r="D41" s="953"/>
      <c r="E41" s="953"/>
      <c r="F41" s="953"/>
      <c r="G41" s="953"/>
      <c r="H41" s="1629" t="s">
        <v>226</v>
      </c>
    </row>
    <row r="42" spans="1:8" ht="15" customHeight="1">
      <c r="A42" s="1628" t="s">
        <v>227</v>
      </c>
      <c r="B42" s="1625">
        <v>10</v>
      </c>
      <c r="C42" s="1625">
        <v>10</v>
      </c>
      <c r="D42" s="1625" t="s">
        <v>93</v>
      </c>
      <c r="E42" s="1625" t="s">
        <v>93</v>
      </c>
      <c r="F42" s="1625">
        <v>10</v>
      </c>
      <c r="G42" s="1625">
        <v>10</v>
      </c>
      <c r="H42" s="1626" t="s">
        <v>228</v>
      </c>
    </row>
    <row r="43" spans="1:8" ht="15" customHeight="1">
      <c r="A43" s="1628"/>
      <c r="B43" s="1625"/>
      <c r="C43" s="1625"/>
      <c r="D43" s="1625"/>
      <c r="E43" s="1625"/>
      <c r="F43" s="1625"/>
      <c r="G43" s="1625"/>
      <c r="H43" s="1626"/>
    </row>
    <row r="44" spans="1:8" ht="15" customHeight="1">
      <c r="A44" s="1628" t="s">
        <v>229</v>
      </c>
      <c r="B44" s="1625">
        <v>10</v>
      </c>
      <c r="C44" s="1625">
        <v>10</v>
      </c>
      <c r="D44" s="1625" t="s">
        <v>93</v>
      </c>
      <c r="E44" s="1625" t="s">
        <v>93</v>
      </c>
      <c r="F44" s="1625">
        <v>10</v>
      </c>
      <c r="G44" s="1625">
        <v>10</v>
      </c>
      <c r="H44" s="1629" t="s">
        <v>229</v>
      </c>
    </row>
    <row r="45" spans="1:8">
      <c r="A45" s="1628"/>
      <c r="B45" s="953"/>
      <c r="C45" s="953"/>
      <c r="D45" s="953"/>
      <c r="E45" s="953"/>
      <c r="F45" s="953"/>
      <c r="G45" s="953"/>
      <c r="H45" s="1629"/>
    </row>
    <row r="46" spans="1:8" ht="15" customHeight="1">
      <c r="A46" s="1628" t="s">
        <v>230</v>
      </c>
      <c r="B46" s="1625">
        <v>12</v>
      </c>
      <c r="C46" s="1625">
        <v>12</v>
      </c>
      <c r="D46" s="1625">
        <v>5</v>
      </c>
      <c r="E46" s="1625">
        <v>5</v>
      </c>
      <c r="F46" s="1625">
        <v>12</v>
      </c>
      <c r="G46" s="1625">
        <v>12</v>
      </c>
      <c r="H46" s="1626" t="s">
        <v>231</v>
      </c>
    </row>
    <row r="47" spans="1:8">
      <c r="A47" s="1628"/>
      <c r="B47" s="953"/>
      <c r="C47" s="953"/>
      <c r="D47" s="953"/>
      <c r="E47" s="953"/>
      <c r="F47" s="953"/>
      <c r="G47" s="953"/>
      <c r="H47" s="1629"/>
    </row>
    <row r="48" spans="1:8" ht="18" customHeight="1">
      <c r="A48" s="1631" t="s">
        <v>232</v>
      </c>
      <c r="B48" s="1625">
        <v>9</v>
      </c>
      <c r="C48" s="1625">
        <v>9</v>
      </c>
      <c r="D48" s="1625">
        <v>0</v>
      </c>
      <c r="E48" s="1625">
        <v>0</v>
      </c>
      <c r="F48" s="1625">
        <v>9</v>
      </c>
      <c r="G48" s="1625">
        <v>9</v>
      </c>
      <c r="H48" s="1632" t="s">
        <v>233</v>
      </c>
    </row>
    <row r="49" spans="1:8">
      <c r="A49" s="1628"/>
      <c r="B49" s="953"/>
      <c r="C49" s="953"/>
      <c r="D49" s="953"/>
      <c r="E49" s="953"/>
      <c r="F49" s="953"/>
      <c r="G49" s="953"/>
      <c r="H49" s="1629"/>
    </row>
    <row r="50" spans="1:8" ht="19.149999999999999" customHeight="1">
      <c r="A50" s="1628" t="s">
        <v>234</v>
      </c>
      <c r="B50" s="1625">
        <v>6</v>
      </c>
      <c r="C50" s="1625">
        <v>6</v>
      </c>
      <c r="D50" s="1625">
        <v>0</v>
      </c>
      <c r="E50" s="1625">
        <v>0</v>
      </c>
      <c r="F50" s="1625">
        <v>6</v>
      </c>
      <c r="G50" s="1625">
        <v>6</v>
      </c>
      <c r="H50" s="1629" t="s">
        <v>234</v>
      </c>
    </row>
    <row r="51" spans="1:8">
      <c r="A51" s="1628"/>
      <c r="B51" s="953"/>
      <c r="C51" s="953"/>
      <c r="D51" s="953"/>
      <c r="E51" s="953"/>
      <c r="F51" s="953"/>
      <c r="G51" s="953"/>
      <c r="H51" s="1629"/>
    </row>
    <row r="52" spans="1:8">
      <c r="A52" s="1628" t="s">
        <v>235</v>
      </c>
      <c r="B52" s="1625">
        <v>3</v>
      </c>
      <c r="C52" s="1625">
        <v>3</v>
      </c>
      <c r="D52" s="1625">
        <v>0</v>
      </c>
      <c r="E52" s="1625">
        <v>0</v>
      </c>
      <c r="F52" s="1625">
        <v>3</v>
      </c>
      <c r="G52" s="1625">
        <v>3</v>
      </c>
      <c r="H52" s="1629" t="s">
        <v>235</v>
      </c>
    </row>
    <row r="53" spans="1:8" ht="12" customHeight="1">
      <c r="A53" s="1628"/>
      <c r="B53" s="1625"/>
      <c r="C53" s="1625"/>
      <c r="D53" s="1625"/>
      <c r="E53" s="1625"/>
      <c r="F53" s="1625"/>
      <c r="G53" s="1625"/>
      <c r="H53" s="1626"/>
    </row>
    <row r="54" spans="1:8">
      <c r="A54" s="1628" t="s">
        <v>1051</v>
      </c>
      <c r="B54" s="1625">
        <v>0.5</v>
      </c>
      <c r="C54" s="1625">
        <v>0.5</v>
      </c>
      <c r="D54" s="1625">
        <v>0</v>
      </c>
      <c r="E54" s="1625">
        <v>0</v>
      </c>
      <c r="F54" s="1625">
        <v>0.5</v>
      </c>
      <c r="G54" s="1625">
        <v>0.5</v>
      </c>
      <c r="H54" s="1629" t="s">
        <v>1051</v>
      </c>
    </row>
    <row r="55" spans="1:8" ht="12" customHeight="1">
      <c r="A55" s="1628"/>
      <c r="B55" s="1625"/>
      <c r="C55" s="1625"/>
      <c r="D55" s="1625"/>
      <c r="E55" s="1625"/>
      <c r="F55" s="1625"/>
      <c r="G55" s="1625"/>
      <c r="H55" s="1629"/>
    </row>
    <row r="56" spans="1:8">
      <c r="A56" s="1628" t="s">
        <v>1214</v>
      </c>
      <c r="B56" s="1625">
        <v>0.5</v>
      </c>
      <c r="C56" s="1625">
        <v>0.5</v>
      </c>
      <c r="D56" s="1625">
        <v>0.5</v>
      </c>
      <c r="E56" s="1625">
        <v>0.5</v>
      </c>
      <c r="F56" s="1625">
        <v>0.5</v>
      </c>
      <c r="G56" s="1625">
        <v>0.5</v>
      </c>
      <c r="H56" s="1629" t="s">
        <v>1214</v>
      </c>
    </row>
    <row r="57" spans="1:8">
      <c r="A57" s="1628"/>
      <c r="B57" s="1625"/>
      <c r="C57" s="1625"/>
      <c r="D57" s="1625"/>
      <c r="E57" s="1625"/>
      <c r="F57" s="1625"/>
      <c r="G57" s="1625"/>
      <c r="H57" s="1629"/>
    </row>
    <row r="58" spans="1:8">
      <c r="A58" s="1628" t="s">
        <v>1237</v>
      </c>
      <c r="B58" s="1625">
        <v>2</v>
      </c>
      <c r="C58" s="1625">
        <v>2</v>
      </c>
      <c r="D58" s="1625">
        <v>2</v>
      </c>
      <c r="E58" s="1625">
        <v>2</v>
      </c>
      <c r="F58" s="1625">
        <v>2</v>
      </c>
      <c r="G58" s="1625">
        <v>2</v>
      </c>
      <c r="H58" s="1629" t="s">
        <v>1237</v>
      </c>
    </row>
    <row r="59" spans="1:8">
      <c r="B59" s="1625"/>
      <c r="C59" s="1625"/>
      <c r="D59" s="1625"/>
      <c r="E59" s="1625"/>
      <c r="F59" s="1625"/>
      <c r="G59" s="1625"/>
    </row>
    <row r="60" spans="1:8">
      <c r="A60" s="1633" t="s">
        <v>1407</v>
      </c>
      <c r="B60" s="1625">
        <v>2</v>
      </c>
      <c r="C60" s="1625">
        <v>3</v>
      </c>
      <c r="D60" s="1625">
        <v>2</v>
      </c>
      <c r="E60" s="1625">
        <v>3</v>
      </c>
      <c r="F60" s="1625">
        <v>2</v>
      </c>
      <c r="G60" s="1625">
        <v>3</v>
      </c>
      <c r="H60" s="1629" t="s">
        <v>1407</v>
      </c>
    </row>
    <row r="61" spans="1:8">
      <c r="B61" s="1625"/>
      <c r="C61" s="1625"/>
      <c r="D61" s="1625"/>
      <c r="E61" s="1625"/>
      <c r="F61" s="1625"/>
      <c r="G61" s="1625"/>
      <c r="H61" s="1629"/>
    </row>
    <row r="62" spans="1:8">
      <c r="A62" s="1633" t="s">
        <v>1701</v>
      </c>
      <c r="B62" s="1625">
        <v>3</v>
      </c>
      <c r="C62" s="1625">
        <v>3</v>
      </c>
      <c r="D62" s="1625">
        <v>3</v>
      </c>
      <c r="E62" s="1625">
        <v>3</v>
      </c>
      <c r="F62" s="1625">
        <v>3</v>
      </c>
      <c r="G62" s="1625">
        <v>3</v>
      </c>
      <c r="H62" s="1634" t="s">
        <v>1701</v>
      </c>
    </row>
    <row r="63" spans="1:8">
      <c r="B63" s="1625"/>
      <c r="C63" s="1625"/>
      <c r="D63" s="1625"/>
      <c r="E63" s="1625"/>
      <c r="F63" s="1625"/>
      <c r="G63" s="1625"/>
      <c r="H63" s="1634"/>
    </row>
    <row r="64" spans="1:8">
      <c r="A64" s="1633" t="s">
        <v>2881</v>
      </c>
      <c r="B64" s="1625">
        <v>2</v>
      </c>
      <c r="C64" s="1625">
        <v>2</v>
      </c>
      <c r="D64" s="1625">
        <v>2</v>
      </c>
      <c r="E64" s="1625">
        <v>2</v>
      </c>
      <c r="F64" s="1625">
        <v>2</v>
      </c>
      <c r="G64" s="1625">
        <v>2</v>
      </c>
      <c r="H64" s="1634" t="s">
        <v>2881</v>
      </c>
    </row>
    <row r="65" spans="1:8">
      <c r="B65" s="1625"/>
      <c r="C65" s="1625"/>
      <c r="D65" s="1625"/>
      <c r="E65" s="1625"/>
      <c r="F65" s="1625"/>
      <c r="G65" s="1625"/>
      <c r="H65" s="1634"/>
    </row>
    <row r="66" spans="1:8">
      <c r="A66" s="1628" t="s">
        <v>1852</v>
      </c>
      <c r="B66" s="1625">
        <v>0.5</v>
      </c>
      <c r="C66" s="1625">
        <v>0.5</v>
      </c>
      <c r="D66" s="1625">
        <v>0.5</v>
      </c>
      <c r="E66" s="1625">
        <v>0.5</v>
      </c>
      <c r="F66" s="1625">
        <v>0.5</v>
      </c>
      <c r="G66" s="1625">
        <v>0.5</v>
      </c>
      <c r="H66" s="1629" t="s">
        <v>1852</v>
      </c>
    </row>
    <row r="67" spans="1:8">
      <c r="B67" s="1625"/>
      <c r="C67" s="1625"/>
      <c r="D67" s="1625"/>
      <c r="E67" s="1625"/>
      <c r="F67" s="1625"/>
      <c r="G67" s="1625"/>
      <c r="H67" s="1635"/>
    </row>
    <row r="68" spans="1:8">
      <c r="A68" s="1633" t="s">
        <v>2879</v>
      </c>
      <c r="B68" s="1625">
        <v>0.5</v>
      </c>
      <c r="C68" s="1625">
        <v>1</v>
      </c>
      <c r="D68" s="1625">
        <v>0</v>
      </c>
      <c r="E68" s="1625">
        <v>0</v>
      </c>
      <c r="F68" s="1625">
        <v>0.5</v>
      </c>
      <c r="G68" s="1625">
        <v>1</v>
      </c>
      <c r="H68" s="1634" t="s">
        <v>2880</v>
      </c>
    </row>
    <row r="69" spans="1:8">
      <c r="A69" s="1633"/>
      <c r="B69" s="1625"/>
      <c r="C69" s="1625"/>
      <c r="D69" s="1625"/>
      <c r="E69" s="1625"/>
      <c r="F69" s="1625"/>
      <c r="G69" s="1625"/>
      <c r="H69" s="1634"/>
    </row>
    <row r="70" spans="1:8">
      <c r="A70" s="1633" t="s">
        <v>3516</v>
      </c>
      <c r="B70" s="1636">
        <v>4</v>
      </c>
      <c r="C70" s="1636">
        <v>5</v>
      </c>
      <c r="D70" s="1636">
        <v>0</v>
      </c>
      <c r="E70" s="1636">
        <v>0</v>
      </c>
      <c r="F70" s="1636">
        <v>4</v>
      </c>
      <c r="G70" s="1636">
        <v>5</v>
      </c>
      <c r="H70" s="1634" t="s">
        <v>3516</v>
      </c>
    </row>
    <row r="71" spans="1:8">
      <c r="A71" s="1637"/>
      <c r="B71" s="1625"/>
      <c r="C71" s="1625"/>
      <c r="D71" s="1625"/>
      <c r="E71" s="1625"/>
      <c r="F71" s="1625"/>
      <c r="G71" s="1625"/>
      <c r="H71" s="1638"/>
    </row>
    <row r="72" spans="1:8">
      <c r="A72" s="1637" t="s">
        <v>3924</v>
      </c>
      <c r="B72" s="1625"/>
      <c r="C72" s="1625"/>
      <c r="D72" s="1625"/>
      <c r="E72" s="1625"/>
      <c r="F72" s="1625"/>
      <c r="G72" s="1625"/>
      <c r="H72" s="1638" t="s">
        <v>3924</v>
      </c>
    </row>
    <row r="73" spans="1:8" ht="36.75" customHeight="1">
      <c r="A73" s="1639" t="s">
        <v>3925</v>
      </c>
      <c r="B73" s="1625">
        <v>5</v>
      </c>
      <c r="C73" s="1625">
        <v>6</v>
      </c>
      <c r="D73" s="1625">
        <v>0</v>
      </c>
      <c r="E73" s="1625">
        <v>0</v>
      </c>
      <c r="F73" s="1625">
        <v>5</v>
      </c>
      <c r="G73" s="1625">
        <v>6</v>
      </c>
      <c r="H73" s="1640" t="s">
        <v>3926</v>
      </c>
    </row>
    <row r="74" spans="1:8" ht="33" customHeight="1">
      <c r="A74" s="1639" t="s">
        <v>3927</v>
      </c>
      <c r="B74" s="1625">
        <v>10</v>
      </c>
      <c r="C74" s="1625">
        <v>12</v>
      </c>
      <c r="D74" s="1625">
        <v>0</v>
      </c>
      <c r="E74" s="1625">
        <v>0</v>
      </c>
      <c r="F74" s="1625">
        <v>5</v>
      </c>
      <c r="G74" s="1625">
        <v>6</v>
      </c>
      <c r="H74" s="1641" t="s">
        <v>3928</v>
      </c>
    </row>
    <row r="75" spans="1:8" ht="20.25" customHeight="1">
      <c r="A75" s="1639"/>
      <c r="B75" s="1625"/>
      <c r="C75" s="1625"/>
      <c r="D75" s="1625"/>
      <c r="E75" s="1625"/>
      <c r="F75" s="1625"/>
      <c r="G75" s="1625"/>
      <c r="H75" s="1640"/>
    </row>
    <row r="76" spans="1:8" ht="20.25" customHeight="1">
      <c r="A76" s="1639" t="s">
        <v>3929</v>
      </c>
      <c r="B76" s="1625"/>
      <c r="C76" s="1625"/>
      <c r="D76" s="1625"/>
      <c r="E76" s="1625"/>
      <c r="F76" s="1625"/>
      <c r="G76" s="1625"/>
      <c r="H76" s="1640" t="s">
        <v>3929</v>
      </c>
    </row>
    <row r="77" spans="1:8" ht="37.5" customHeight="1">
      <c r="A77" s="1639" t="s">
        <v>3930</v>
      </c>
      <c r="B77" s="1625">
        <v>5</v>
      </c>
      <c r="C77" s="1625">
        <v>6</v>
      </c>
      <c r="D77" s="1625">
        <v>0</v>
      </c>
      <c r="E77" s="1625">
        <v>0</v>
      </c>
      <c r="F77" s="1625">
        <v>5</v>
      </c>
      <c r="G77" s="1625">
        <v>6</v>
      </c>
      <c r="H77" s="1640" t="s">
        <v>3931</v>
      </c>
    </row>
    <row r="78" spans="1:8" ht="49.5" customHeight="1">
      <c r="A78" s="1639" t="s">
        <v>3932</v>
      </c>
      <c r="B78" s="1625">
        <v>10</v>
      </c>
      <c r="C78" s="1625">
        <v>12</v>
      </c>
      <c r="D78" s="1625">
        <v>0</v>
      </c>
      <c r="E78" s="1625">
        <v>0</v>
      </c>
      <c r="F78" s="1625">
        <v>10</v>
      </c>
      <c r="G78" s="1625">
        <v>12</v>
      </c>
      <c r="H78" s="1641" t="s">
        <v>3933</v>
      </c>
    </row>
    <row r="79" spans="1:8" ht="54" customHeight="1">
      <c r="A79" s="1639"/>
      <c r="B79" s="1625"/>
      <c r="C79" s="1625"/>
      <c r="D79" s="1625"/>
      <c r="E79" s="1625"/>
      <c r="F79" s="1625"/>
      <c r="G79" s="1625"/>
    </row>
    <row r="80" spans="1:8" ht="28.5" customHeight="1">
      <c r="A80" s="1639" t="s">
        <v>3934</v>
      </c>
      <c r="B80" s="1625"/>
      <c r="C80" s="1625"/>
      <c r="D80" s="1625"/>
      <c r="E80" s="1625"/>
      <c r="F80" s="1625"/>
      <c r="G80" s="1625"/>
      <c r="H80" s="1644" t="s">
        <v>3935</v>
      </c>
    </row>
    <row r="81" spans="1:10" ht="78.75">
      <c r="A81" s="1639" t="s">
        <v>3936</v>
      </c>
      <c r="B81" s="1625">
        <v>5</v>
      </c>
      <c r="C81" s="1625">
        <v>6</v>
      </c>
      <c r="D81" s="1625">
        <v>0</v>
      </c>
      <c r="E81" s="1625">
        <v>0</v>
      </c>
      <c r="F81" s="1625">
        <v>5</v>
      </c>
      <c r="G81" s="1625">
        <v>6</v>
      </c>
      <c r="H81" s="1645" t="s">
        <v>3937</v>
      </c>
    </row>
    <row r="82" spans="1:10" ht="78.75">
      <c r="A82" s="1639" t="s">
        <v>3938</v>
      </c>
      <c r="B82" s="1625">
        <v>10</v>
      </c>
      <c r="C82" s="1625">
        <v>12</v>
      </c>
      <c r="D82" s="1625">
        <v>0</v>
      </c>
      <c r="E82" s="1625">
        <v>0</v>
      </c>
      <c r="F82" s="1625">
        <v>10</v>
      </c>
      <c r="G82" s="1625">
        <v>12</v>
      </c>
      <c r="H82" s="1645" t="s">
        <v>3939</v>
      </c>
    </row>
    <row r="83" spans="1:10" ht="78.75">
      <c r="A83" s="1639" t="s">
        <v>3940</v>
      </c>
      <c r="B83" s="1625">
        <v>10</v>
      </c>
      <c r="C83" s="1625">
        <v>12</v>
      </c>
      <c r="D83" s="1625">
        <v>0</v>
      </c>
      <c r="E83" s="1625">
        <v>0</v>
      </c>
      <c r="F83" s="1625">
        <v>10</v>
      </c>
      <c r="G83" s="1625">
        <v>12</v>
      </c>
      <c r="H83" s="1645" t="s">
        <v>3941</v>
      </c>
    </row>
    <row r="84" spans="1:10" ht="78.75">
      <c r="A84" s="1639" t="s">
        <v>3942</v>
      </c>
      <c r="B84" s="1625">
        <v>12.5</v>
      </c>
      <c r="C84" s="1625">
        <v>15</v>
      </c>
      <c r="D84" s="1625">
        <v>0</v>
      </c>
      <c r="E84" s="1625">
        <v>0</v>
      </c>
      <c r="F84" s="1625">
        <v>12.5</v>
      </c>
      <c r="G84" s="1625">
        <v>15</v>
      </c>
      <c r="H84" s="1645" t="s">
        <v>3943</v>
      </c>
    </row>
    <row r="85" spans="1:10" ht="78.75">
      <c r="A85" s="1639" t="s">
        <v>3944</v>
      </c>
      <c r="B85" s="1625">
        <v>10</v>
      </c>
      <c r="C85" s="1625">
        <v>12</v>
      </c>
      <c r="D85" s="1625">
        <v>0</v>
      </c>
      <c r="E85" s="1625">
        <v>0</v>
      </c>
      <c r="F85" s="1625">
        <v>10</v>
      </c>
      <c r="G85" s="1625">
        <v>12</v>
      </c>
      <c r="H85" s="1645" t="s">
        <v>3945</v>
      </c>
    </row>
    <row r="86" spans="1:10" ht="78.75">
      <c r="A86" s="1639" t="s">
        <v>3946</v>
      </c>
      <c r="B86" s="1625">
        <v>20</v>
      </c>
      <c r="C86" s="1625">
        <v>20</v>
      </c>
      <c r="D86" s="1625">
        <v>0</v>
      </c>
      <c r="E86" s="1625">
        <v>0</v>
      </c>
      <c r="F86" s="1625">
        <v>20</v>
      </c>
      <c r="G86" s="1625">
        <v>20</v>
      </c>
      <c r="H86" s="1645" t="s">
        <v>3947</v>
      </c>
    </row>
    <row r="87" spans="1:10" ht="78.75">
      <c r="A87" s="1639" t="s">
        <v>3948</v>
      </c>
      <c r="B87" s="1625">
        <v>20</v>
      </c>
      <c r="C87" s="1625">
        <v>20</v>
      </c>
      <c r="D87" s="1625">
        <v>0</v>
      </c>
      <c r="E87" s="1625">
        <v>0</v>
      </c>
      <c r="F87" s="1625">
        <v>20</v>
      </c>
      <c r="G87" s="1625">
        <v>20</v>
      </c>
      <c r="H87" s="1645" t="s">
        <v>3949</v>
      </c>
    </row>
    <row r="88" spans="1:10" ht="78.75">
      <c r="A88" s="1642" t="s">
        <v>3950</v>
      </c>
      <c r="B88" s="1636">
        <v>25</v>
      </c>
      <c r="C88" s="1636">
        <v>25</v>
      </c>
      <c r="D88" s="1636">
        <v>0</v>
      </c>
      <c r="E88" s="1636">
        <v>0</v>
      </c>
      <c r="F88" s="1636">
        <v>25</v>
      </c>
      <c r="G88" s="1636">
        <v>25</v>
      </c>
      <c r="H88" s="1645" t="s">
        <v>3951</v>
      </c>
    </row>
    <row r="89" spans="1:10" s="1643" customFormat="1" ht="38.450000000000003" customHeight="1">
      <c r="A89" s="2427" t="s">
        <v>2690</v>
      </c>
      <c r="B89" s="2428"/>
      <c r="C89" s="2428"/>
      <c r="D89" s="2428"/>
      <c r="E89" s="2428"/>
      <c r="F89" s="2428"/>
      <c r="G89" s="2428"/>
      <c r="H89" s="2428"/>
    </row>
    <row r="90" spans="1:10">
      <c r="J90" s="934" t="s">
        <v>3952</v>
      </c>
    </row>
  </sheetData>
  <mergeCells count="23">
    <mergeCell ref="A2:H2"/>
    <mergeCell ref="A3:H3"/>
    <mergeCell ref="A6:A13"/>
    <mergeCell ref="B6:C7"/>
    <mergeCell ref="D6:E7"/>
    <mergeCell ref="F6:G7"/>
    <mergeCell ref="H6:H13"/>
    <mergeCell ref="B8:B9"/>
    <mergeCell ref="C8:C9"/>
    <mergeCell ref="D8:D9"/>
    <mergeCell ref="E8:E9"/>
    <mergeCell ref="F8:F9"/>
    <mergeCell ref="G8:G9"/>
    <mergeCell ref="B10:C11"/>
    <mergeCell ref="D10:E11"/>
    <mergeCell ref="F10:G11"/>
    <mergeCell ref="A89:H89"/>
    <mergeCell ref="B12:B13"/>
    <mergeCell ref="C12:C13"/>
    <mergeCell ref="D12:D13"/>
    <mergeCell ref="E12:E13"/>
    <mergeCell ref="F12:F13"/>
    <mergeCell ref="G12:G13"/>
  </mergeCells>
  <pageMargins left="0.76" right="0.17" top="0.17" bottom="0.17" header="0.17" footer="0.17"/>
  <pageSetup scale="32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4">
    <tabColor rgb="FF92D050"/>
  </sheetPr>
  <dimension ref="A2:AR315"/>
  <sheetViews>
    <sheetView showGridLines="0" view="pageBreakPreview" zoomScale="80" zoomScaleSheetLayoutView="80" workbookViewId="0">
      <pane ySplit="88" topLeftCell="A282" activePane="bottomLeft" state="frozen"/>
      <selection activeCell="F40" sqref="F40"/>
      <selection pane="bottomLeft" activeCell="M312" sqref="M312"/>
    </sheetView>
  </sheetViews>
  <sheetFormatPr defaultColWidth="9.140625" defaultRowHeight="14.1" customHeight="1"/>
  <cols>
    <col min="1" max="1" width="8.42578125" style="63" customWidth="1"/>
    <col min="2" max="3" width="8.7109375" style="143" customWidth="1"/>
    <col min="4" max="4" width="10.28515625" style="143" customWidth="1"/>
    <col min="5" max="6" width="8.7109375" style="143" customWidth="1"/>
    <col min="7" max="7" width="11.28515625" style="143" customWidth="1"/>
    <col min="8" max="8" width="9.85546875" style="143" customWidth="1"/>
    <col min="9" max="9" width="11.28515625" style="143" customWidth="1"/>
    <col min="10" max="10" width="11.28515625" style="143" bestFit="1" customWidth="1"/>
    <col min="11" max="17" width="8.7109375" style="143" customWidth="1"/>
    <col min="18" max="18" width="9.5703125" style="143" customWidth="1"/>
    <col min="19" max="22" width="8.7109375" style="143" customWidth="1"/>
    <col min="23" max="23" width="11.5703125" style="143" customWidth="1"/>
    <col min="24" max="26" width="8.7109375" style="143" customWidth="1"/>
    <col min="27" max="27" width="9.7109375" style="143" customWidth="1"/>
    <col min="28" max="28" width="10.28515625" style="143" customWidth="1"/>
    <col min="29" max="29" width="10.140625" style="143" customWidth="1"/>
    <col min="30" max="30" width="10.42578125" style="143" customWidth="1"/>
    <col min="31" max="31" width="15.42578125" style="143" customWidth="1"/>
    <col min="32" max="32" width="10.85546875" style="143" customWidth="1"/>
    <col min="33" max="33" width="14.85546875" style="143" customWidth="1"/>
    <col min="34" max="34" width="10.85546875" style="143" customWidth="1"/>
    <col min="35" max="35" width="13.140625" style="143" customWidth="1"/>
    <col min="36" max="36" width="15" style="143" customWidth="1"/>
    <col min="37" max="37" width="11.28515625" style="143" customWidth="1"/>
    <col min="38" max="38" width="11.5703125" style="143" customWidth="1"/>
    <col min="39" max="39" width="8.7109375" style="143" customWidth="1"/>
    <col min="40" max="40" width="12" style="143" customWidth="1"/>
    <col min="41" max="41" width="10.7109375" style="145" customWidth="1"/>
    <col min="42" max="16384" width="9.140625" style="143"/>
  </cols>
  <sheetData>
    <row r="2" spans="1:41" ht="25.5" customHeight="1">
      <c r="A2" s="2445" t="s">
        <v>3649</v>
      </c>
      <c r="B2" s="2445"/>
      <c r="C2" s="2445"/>
      <c r="D2" s="2445"/>
      <c r="E2" s="2445"/>
      <c r="F2" s="2445"/>
      <c r="G2" s="2445"/>
      <c r="H2" s="2445"/>
      <c r="I2" s="2445"/>
      <c r="J2" s="2445"/>
      <c r="K2" s="2445"/>
      <c r="L2" s="2445"/>
      <c r="M2" s="2445"/>
      <c r="N2" s="2445"/>
      <c r="O2" s="2445"/>
      <c r="P2" s="2445"/>
      <c r="Q2" s="2445"/>
      <c r="R2" s="2445"/>
      <c r="S2" s="2445"/>
      <c r="T2" s="2445"/>
      <c r="U2" s="2445"/>
      <c r="V2" s="2445"/>
      <c r="W2" s="2445"/>
      <c r="X2" s="2445"/>
      <c r="Y2" s="2445"/>
      <c r="Z2" s="2445"/>
      <c r="AA2" s="2445"/>
      <c r="AB2" s="2445"/>
      <c r="AC2" s="2445"/>
      <c r="AD2" s="2445"/>
      <c r="AE2" s="2445"/>
      <c r="AF2" s="2445"/>
      <c r="AG2" s="2445"/>
      <c r="AH2" s="2445"/>
      <c r="AI2" s="2445"/>
      <c r="AJ2" s="2445"/>
      <c r="AK2" s="2445"/>
      <c r="AL2" s="2445"/>
      <c r="AM2" s="2445"/>
      <c r="AN2" s="2445"/>
      <c r="AO2" s="2445"/>
    </row>
    <row r="3" spans="1:41" ht="33" customHeight="1">
      <c r="A3" s="2446" t="s">
        <v>2735</v>
      </c>
      <c r="B3" s="2446"/>
      <c r="C3" s="2446"/>
      <c r="D3" s="2446"/>
      <c r="E3" s="2446"/>
      <c r="F3" s="2446"/>
      <c r="G3" s="2446"/>
      <c r="H3" s="2446"/>
      <c r="I3" s="2446"/>
      <c r="J3" s="2446"/>
      <c r="K3" s="2446"/>
      <c r="L3" s="2446"/>
      <c r="M3" s="2446"/>
      <c r="N3" s="2446"/>
      <c r="O3" s="2446"/>
      <c r="P3" s="2446"/>
      <c r="Q3" s="2446"/>
      <c r="R3" s="2446"/>
      <c r="S3" s="2446"/>
      <c r="T3" s="2446"/>
      <c r="U3" s="2446"/>
      <c r="V3" s="2446"/>
      <c r="W3" s="2446"/>
      <c r="X3" s="2446"/>
      <c r="Y3" s="2446"/>
      <c r="Z3" s="2446"/>
      <c r="AA3" s="2446"/>
      <c r="AB3" s="2446"/>
      <c r="AC3" s="2446"/>
      <c r="AD3" s="2446"/>
      <c r="AE3" s="2446"/>
      <c r="AF3" s="2446"/>
      <c r="AG3" s="2446"/>
      <c r="AH3" s="2446"/>
      <c r="AI3" s="2446"/>
      <c r="AJ3" s="2446"/>
      <c r="AK3" s="2446"/>
      <c r="AL3" s="2446"/>
      <c r="AM3" s="2446"/>
      <c r="AN3" s="2446"/>
      <c r="AO3" s="2446"/>
    </row>
    <row r="4" spans="1:41" ht="15" customHeight="1">
      <c r="A4" s="496"/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6"/>
      <c r="S4" s="496"/>
      <c r="T4" s="496"/>
      <c r="U4" s="496"/>
      <c r="V4" s="496"/>
      <c r="W4" s="496"/>
      <c r="X4" s="496"/>
      <c r="Y4" s="496"/>
      <c r="Z4" s="496"/>
      <c r="AA4" s="496"/>
      <c r="AB4" s="496"/>
      <c r="AC4" s="496"/>
      <c r="AD4" s="496"/>
      <c r="AE4" s="496"/>
      <c r="AF4" s="496"/>
      <c r="AG4" s="496"/>
      <c r="AH4" s="496"/>
      <c r="AI4" s="496"/>
      <c r="AJ4" s="496"/>
      <c r="AK4" s="496"/>
      <c r="AL4" s="496"/>
      <c r="AM4" s="496"/>
      <c r="AN4" s="496"/>
      <c r="AO4" s="496"/>
    </row>
    <row r="5" spans="1:41" ht="15" customHeight="1">
      <c r="A5" s="472"/>
      <c r="B5" s="472"/>
      <c r="C5" s="472"/>
      <c r="D5" s="472"/>
      <c r="E5" s="472"/>
      <c r="F5" s="472"/>
      <c r="G5" s="472"/>
      <c r="H5" s="472"/>
      <c r="I5" s="472"/>
      <c r="J5" s="472"/>
      <c r="K5" s="472"/>
      <c r="L5" s="472"/>
      <c r="M5" s="472"/>
      <c r="N5" s="472"/>
      <c r="O5" s="472"/>
      <c r="P5" s="472"/>
      <c r="Q5" s="472"/>
      <c r="R5" s="472"/>
      <c r="S5" s="472"/>
      <c r="T5" s="472"/>
      <c r="U5" s="472"/>
      <c r="V5" s="472"/>
      <c r="W5" s="472"/>
      <c r="X5" s="472"/>
      <c r="Y5" s="472"/>
      <c r="Z5" s="472"/>
      <c r="AA5" s="472"/>
      <c r="AB5" s="472"/>
      <c r="AC5" s="472"/>
      <c r="AD5" s="472"/>
      <c r="AE5" s="472"/>
      <c r="AF5" s="472"/>
      <c r="AG5" s="472"/>
      <c r="AH5" s="472"/>
      <c r="AI5" s="472"/>
      <c r="AJ5" s="472"/>
      <c r="AK5" s="472"/>
      <c r="AL5" s="472"/>
      <c r="AM5" s="472"/>
      <c r="AN5" s="472"/>
      <c r="AO5" s="472"/>
    </row>
    <row r="6" spans="1:41" s="145" customFormat="1" ht="42" customHeight="1">
      <c r="A6" s="527" t="s">
        <v>182</v>
      </c>
      <c r="B6" s="527" t="s">
        <v>236</v>
      </c>
      <c r="C6" s="527" t="s">
        <v>237</v>
      </c>
      <c r="D6" s="527" t="s">
        <v>238</v>
      </c>
      <c r="E6" s="527" t="s">
        <v>239</v>
      </c>
      <c r="F6" s="527" t="s">
        <v>240</v>
      </c>
      <c r="G6" s="527" t="s">
        <v>241</v>
      </c>
      <c r="H6" s="527" t="s">
        <v>242</v>
      </c>
      <c r="I6" s="527" t="s">
        <v>243</v>
      </c>
      <c r="J6" s="527" t="s">
        <v>4142</v>
      </c>
      <c r="K6" s="527" t="s">
        <v>244</v>
      </c>
      <c r="L6" s="527" t="s">
        <v>245</v>
      </c>
      <c r="M6" s="527" t="s">
        <v>246</v>
      </c>
      <c r="N6" s="527" t="s">
        <v>247</v>
      </c>
      <c r="O6" s="527" t="s">
        <v>248</v>
      </c>
      <c r="P6" s="527" t="s">
        <v>249</v>
      </c>
      <c r="Q6" s="527" t="s">
        <v>250</v>
      </c>
      <c r="R6" s="527" t="s">
        <v>251</v>
      </c>
      <c r="S6" s="527" t="s">
        <v>252</v>
      </c>
      <c r="T6" s="527" t="s">
        <v>253</v>
      </c>
      <c r="U6" s="527" t="s">
        <v>3487</v>
      </c>
      <c r="V6" s="527" t="s">
        <v>254</v>
      </c>
      <c r="W6" s="527" t="s">
        <v>4138</v>
      </c>
      <c r="X6" s="527" t="s">
        <v>255</v>
      </c>
      <c r="Y6" s="527" t="s">
        <v>256</v>
      </c>
      <c r="Z6" s="527" t="s">
        <v>257</v>
      </c>
      <c r="AA6" s="527" t="s">
        <v>4140</v>
      </c>
      <c r="AB6" s="527" t="s">
        <v>4135</v>
      </c>
      <c r="AC6" s="527" t="s">
        <v>259</v>
      </c>
      <c r="AD6" s="527" t="s">
        <v>1052</v>
      </c>
      <c r="AE6" s="527" t="s">
        <v>1053</v>
      </c>
      <c r="AF6" s="527" t="s">
        <v>1054</v>
      </c>
      <c r="AG6" s="528" t="s">
        <v>1055</v>
      </c>
      <c r="AH6" s="527" t="s">
        <v>2639</v>
      </c>
      <c r="AI6" s="528" t="s">
        <v>4148</v>
      </c>
      <c r="AJ6" s="528" t="s">
        <v>4149</v>
      </c>
      <c r="AK6" s="527" t="s">
        <v>4161</v>
      </c>
      <c r="AL6" s="527" t="s">
        <v>4163</v>
      </c>
      <c r="AM6" s="527" t="s">
        <v>4150</v>
      </c>
      <c r="AN6" s="528" t="s">
        <v>4151</v>
      </c>
      <c r="AO6" s="527" t="s">
        <v>182</v>
      </c>
    </row>
    <row r="7" spans="1:41" ht="34.9" customHeight="1">
      <c r="A7" s="529" t="s">
        <v>283</v>
      </c>
      <c r="B7" s="529" t="s">
        <v>260</v>
      </c>
      <c r="C7" s="529" t="s">
        <v>261</v>
      </c>
      <c r="D7" s="530" t="s">
        <v>262</v>
      </c>
      <c r="E7" s="530" t="s">
        <v>263</v>
      </c>
      <c r="F7" s="530" t="s">
        <v>264</v>
      </c>
      <c r="G7" s="530" t="s">
        <v>265</v>
      </c>
      <c r="H7" s="530" t="s">
        <v>266</v>
      </c>
      <c r="I7" s="530" t="s">
        <v>267</v>
      </c>
      <c r="J7" s="530" t="s">
        <v>4143</v>
      </c>
      <c r="K7" s="530" t="s">
        <v>268</v>
      </c>
      <c r="L7" s="530" t="s">
        <v>269</v>
      </c>
      <c r="M7" s="530" t="s">
        <v>270</v>
      </c>
      <c r="N7" s="530" t="s">
        <v>271</v>
      </c>
      <c r="O7" s="530" t="s">
        <v>272</v>
      </c>
      <c r="P7" s="530" t="s">
        <v>273</v>
      </c>
      <c r="Q7" s="530" t="s">
        <v>274</v>
      </c>
      <c r="R7" s="530" t="s">
        <v>275</v>
      </c>
      <c r="S7" s="530" t="s">
        <v>276</v>
      </c>
      <c r="T7" s="530" t="s">
        <v>277</v>
      </c>
      <c r="U7" s="530" t="s">
        <v>4134</v>
      </c>
      <c r="V7" s="530" t="s">
        <v>278</v>
      </c>
      <c r="W7" s="530" t="s">
        <v>4139</v>
      </c>
      <c r="X7" s="530" t="s">
        <v>279</v>
      </c>
      <c r="Y7" s="530" t="s">
        <v>280</v>
      </c>
      <c r="Z7" s="530" t="s">
        <v>281</v>
      </c>
      <c r="AA7" s="530" t="s">
        <v>4141</v>
      </c>
      <c r="AB7" s="530" t="s">
        <v>4136</v>
      </c>
      <c r="AC7" s="530" t="s">
        <v>282</v>
      </c>
      <c r="AD7" s="530" t="s">
        <v>1056</v>
      </c>
      <c r="AE7" s="530" t="s">
        <v>1057</v>
      </c>
      <c r="AF7" s="530" t="s">
        <v>1058</v>
      </c>
      <c r="AG7" s="531" t="s">
        <v>1059</v>
      </c>
      <c r="AH7" s="530" t="s">
        <v>2640</v>
      </c>
      <c r="AI7" s="531" t="s">
        <v>4152</v>
      </c>
      <c r="AJ7" s="531" t="s">
        <v>4153</v>
      </c>
      <c r="AK7" s="530" t="s">
        <v>4162</v>
      </c>
      <c r="AL7" s="530" t="s">
        <v>4187</v>
      </c>
      <c r="AM7" s="530" t="s">
        <v>4154</v>
      </c>
      <c r="AN7" s="531" t="s">
        <v>4155</v>
      </c>
      <c r="AO7" s="532" t="s">
        <v>283</v>
      </c>
    </row>
    <row r="8" spans="1:41" ht="14.1" hidden="1" customHeight="1">
      <c r="B8" s="144"/>
      <c r="C8" s="144"/>
      <c r="D8" s="144"/>
      <c r="E8" s="144"/>
      <c r="F8" s="146"/>
      <c r="G8" s="144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66"/>
    </row>
    <row r="9" spans="1:41" ht="14.1" hidden="1" customHeight="1">
      <c r="A9" s="63">
        <v>1995</v>
      </c>
      <c r="B9" s="147">
        <v>0.88281589221710188</v>
      </c>
      <c r="C9" s="147" t="s">
        <v>93</v>
      </c>
      <c r="D9" s="147">
        <v>0.65485038479262669</v>
      </c>
      <c r="E9" s="147" t="s">
        <v>93</v>
      </c>
      <c r="F9" s="147" t="s">
        <v>93</v>
      </c>
      <c r="G9" s="147">
        <v>0.15733485459549409</v>
      </c>
      <c r="H9" s="147" t="s">
        <v>93</v>
      </c>
      <c r="I9" s="147">
        <v>1.3926609426139271</v>
      </c>
      <c r="J9" s="147">
        <v>3.7644079621095748E-4</v>
      </c>
      <c r="K9" s="147">
        <v>0.1237000687019969</v>
      </c>
      <c r="L9" s="147">
        <v>0.74629808970814115</v>
      </c>
      <c r="M9" s="147" t="s">
        <v>93</v>
      </c>
      <c r="N9" s="147">
        <v>0.64367552814900142</v>
      </c>
      <c r="O9" s="147">
        <v>3.0524454509728622</v>
      </c>
      <c r="P9" s="147">
        <v>0.13910381382488479</v>
      </c>
      <c r="Q9" s="147"/>
      <c r="R9" s="147">
        <v>0.6231930623911931</v>
      </c>
      <c r="S9" s="147">
        <v>3.2445313517665129E-2</v>
      </c>
      <c r="T9" s="147">
        <v>9.4382058115719397E-3</v>
      </c>
      <c r="U9" s="147">
        <v>7.6945746646185379E-5</v>
      </c>
      <c r="V9" s="147">
        <v>0.70388205663082437</v>
      </c>
      <c r="W9" s="147">
        <v>1.4546023028673836E-2</v>
      </c>
      <c r="X9" s="147">
        <v>8.1784012519201227E-2</v>
      </c>
      <c r="Y9" s="147">
        <v>0.1968118294162827</v>
      </c>
      <c r="Z9" s="147" t="s">
        <v>93</v>
      </c>
      <c r="AA9" s="147">
        <v>1.9603763809523806E-4</v>
      </c>
      <c r="AB9" s="147" t="s">
        <v>93</v>
      </c>
      <c r="AC9" s="147" t="s">
        <v>93</v>
      </c>
      <c r="AD9" s="147" t="s">
        <v>93</v>
      </c>
      <c r="AE9" s="147" t="s">
        <v>93</v>
      </c>
      <c r="AF9" s="147" t="s">
        <v>93</v>
      </c>
      <c r="AG9" s="147" t="s">
        <v>93</v>
      </c>
      <c r="AH9" s="147" t="s">
        <v>93</v>
      </c>
      <c r="AI9" s="147"/>
      <c r="AJ9" s="147"/>
      <c r="AK9" s="147"/>
      <c r="AL9" s="147"/>
      <c r="AM9" s="147"/>
      <c r="AN9" s="147"/>
      <c r="AO9" s="66">
        <v>1995</v>
      </c>
    </row>
    <row r="10" spans="1:41" ht="14.1" hidden="1" customHeight="1">
      <c r="A10" s="63">
        <v>1996</v>
      </c>
      <c r="B10" s="147">
        <v>0.86051520825608696</v>
      </c>
      <c r="C10" s="147" t="s">
        <v>93</v>
      </c>
      <c r="D10" s="147">
        <v>0.67300848752317388</v>
      </c>
      <c r="E10" s="147" t="s">
        <v>93</v>
      </c>
      <c r="F10" s="147" t="s">
        <v>93</v>
      </c>
      <c r="G10" s="147">
        <v>0.14879866501668521</v>
      </c>
      <c r="H10" s="147" t="s">
        <v>93</v>
      </c>
      <c r="I10" s="147">
        <v>1.3425138746941045</v>
      </c>
      <c r="J10" s="147">
        <v>5.3726787603510075E-3</v>
      </c>
      <c r="K10" s="147">
        <v>0.12875299760227416</v>
      </c>
      <c r="L10" s="147">
        <v>0.70049032015202095</v>
      </c>
      <c r="M10" s="147" t="s">
        <v>93</v>
      </c>
      <c r="N10" s="147">
        <v>0.63129247222222218</v>
      </c>
      <c r="O10" s="147">
        <v>2.9717226963725132</v>
      </c>
      <c r="P10" s="147">
        <v>0.13351925627240141</v>
      </c>
      <c r="Q10" s="147"/>
      <c r="R10" s="147">
        <v>0.60666688909281907</v>
      </c>
      <c r="S10" s="147">
        <v>1.2390048819676184E-2</v>
      </c>
      <c r="T10" s="147">
        <v>7.9409230873810407E-3</v>
      </c>
      <c r="U10" s="147">
        <v>6.3013780744036575E-5</v>
      </c>
      <c r="V10" s="147">
        <v>0.68296069087875388</v>
      </c>
      <c r="W10" s="147">
        <v>1.26631311827957E-2</v>
      </c>
      <c r="X10" s="147">
        <v>6.7982349443826473E-2</v>
      </c>
      <c r="Y10" s="147">
        <v>0.1828815312878507</v>
      </c>
      <c r="Z10" s="147" t="s">
        <v>93</v>
      </c>
      <c r="AA10" s="147">
        <v>1.6606360153256702E-4</v>
      </c>
      <c r="AB10" s="147" t="s">
        <v>93</v>
      </c>
      <c r="AC10" s="147">
        <v>0.45956661559139783</v>
      </c>
      <c r="AD10" s="147" t="s">
        <v>93</v>
      </c>
      <c r="AE10" s="147" t="s">
        <v>93</v>
      </c>
      <c r="AF10" s="147" t="s">
        <v>93</v>
      </c>
      <c r="AG10" s="147" t="s">
        <v>93</v>
      </c>
      <c r="AH10" s="147" t="s">
        <v>93</v>
      </c>
      <c r="AI10" s="147"/>
      <c r="AJ10" s="147"/>
      <c r="AK10" s="147"/>
      <c r="AL10" s="147"/>
      <c r="AM10" s="147"/>
      <c r="AN10" s="147"/>
      <c r="AO10" s="66">
        <v>1996</v>
      </c>
    </row>
    <row r="11" spans="1:41" ht="14.1" hidden="1" customHeight="1">
      <c r="A11" s="63">
        <v>1997</v>
      </c>
      <c r="B11" s="147">
        <v>0.79733100614439323</v>
      </c>
      <c r="C11" s="147" t="s">
        <v>93</v>
      </c>
      <c r="D11" s="147">
        <v>0.59529099655657958</v>
      </c>
      <c r="E11" s="147">
        <v>0.21726175916538659</v>
      </c>
      <c r="F11" s="147" t="s">
        <v>93</v>
      </c>
      <c r="G11" s="147">
        <v>0.12112246426011265</v>
      </c>
      <c r="H11" s="147" t="s">
        <v>93</v>
      </c>
      <c r="I11" s="147">
        <v>1.3064758693292371</v>
      </c>
      <c r="J11" s="147">
        <v>5.995757091653865E-3</v>
      </c>
      <c r="K11" s="147">
        <v>0.10481237528161801</v>
      </c>
      <c r="L11" s="147">
        <v>0.5511634853174604</v>
      </c>
      <c r="M11" s="147" t="s">
        <v>93</v>
      </c>
      <c r="N11" s="147">
        <v>0.57646182901945719</v>
      </c>
      <c r="O11" s="147">
        <v>2.7546952777777771</v>
      </c>
      <c r="P11" s="147">
        <v>0.11320841592421914</v>
      </c>
      <c r="Q11" s="147"/>
      <c r="R11" s="147">
        <v>0.55621799769585256</v>
      </c>
      <c r="S11" s="147">
        <v>7.5211507936507925E-3</v>
      </c>
      <c r="T11" s="147">
        <v>6.6203459293394775E-3</v>
      </c>
      <c r="U11" s="147">
        <v>3.1326728110599087E-5</v>
      </c>
      <c r="V11" s="147">
        <v>0.68405892688171999</v>
      </c>
      <c r="W11" s="147">
        <v>1.0577898783922171E-2</v>
      </c>
      <c r="X11" s="147">
        <v>4.5685688312852031E-2</v>
      </c>
      <c r="Y11" s="147">
        <v>0.17326171171274965</v>
      </c>
      <c r="Z11" s="147" t="s">
        <v>93</v>
      </c>
      <c r="AA11" s="147">
        <v>1.379831285202253E-4</v>
      </c>
      <c r="AB11" s="147" t="s">
        <v>93</v>
      </c>
      <c r="AC11" s="147">
        <v>0.42821706652585761</v>
      </c>
      <c r="AD11" s="147" t="s">
        <v>93</v>
      </c>
      <c r="AE11" s="147" t="s">
        <v>93</v>
      </c>
      <c r="AF11" s="147" t="s">
        <v>93</v>
      </c>
      <c r="AG11" s="147" t="s">
        <v>93</v>
      </c>
      <c r="AH11" s="147" t="s">
        <v>93</v>
      </c>
      <c r="AI11" s="147"/>
      <c r="AJ11" s="147"/>
      <c r="AK11" s="147"/>
      <c r="AL11" s="147"/>
      <c r="AM11" s="147"/>
      <c r="AN11" s="147"/>
      <c r="AO11" s="66">
        <v>1997</v>
      </c>
    </row>
    <row r="12" spans="1:41" ht="14.1" hidden="1" customHeight="1">
      <c r="A12" s="63">
        <v>1998</v>
      </c>
      <c r="B12" s="147">
        <v>0.77375761648745534</v>
      </c>
      <c r="C12" s="147" t="s">
        <v>93</v>
      </c>
      <c r="D12" s="147">
        <v>0.48743745204813105</v>
      </c>
      <c r="E12" s="147">
        <v>0.21071051557859705</v>
      </c>
      <c r="F12" s="147" t="s">
        <v>93</v>
      </c>
      <c r="G12" s="147">
        <v>0.11562934651817716</v>
      </c>
      <c r="H12" s="147">
        <v>9.9736159617682202E-2</v>
      </c>
      <c r="I12" s="147">
        <v>1.282675151513057</v>
      </c>
      <c r="J12" s="147">
        <v>4.4116665386584764E-4</v>
      </c>
      <c r="K12" s="147">
        <v>9.7398792946748594E-2</v>
      </c>
      <c r="L12" s="147">
        <v>0.53492174768305178</v>
      </c>
      <c r="M12" s="147" t="s">
        <v>93</v>
      </c>
      <c r="N12" s="147">
        <v>0.52270602555043522</v>
      </c>
      <c r="O12" s="147">
        <v>2.5801606493727598</v>
      </c>
      <c r="P12" s="147">
        <v>0.1025052366359447</v>
      </c>
      <c r="Q12" s="147"/>
      <c r="R12" s="147">
        <v>0.48139156715309789</v>
      </c>
      <c r="S12" s="147">
        <v>3.0535547875064008E-3</v>
      </c>
      <c r="T12" s="147">
        <v>5.9475003712237589E-3</v>
      </c>
      <c r="U12" s="147">
        <v>1.8846953405017927E-5</v>
      </c>
      <c r="V12" s="147">
        <v>0.55967509569892493</v>
      </c>
      <c r="W12" s="147">
        <v>9.8668944956477218E-3</v>
      </c>
      <c r="X12" s="147">
        <v>3.8523076907322068E-2</v>
      </c>
      <c r="Y12" s="147">
        <v>0.15063520599078339</v>
      </c>
      <c r="Z12" s="147" t="s">
        <v>93</v>
      </c>
      <c r="AA12" s="147">
        <v>9.9638010896057352E-2</v>
      </c>
      <c r="AB12" s="147">
        <v>1.4833709677419352E-4</v>
      </c>
      <c r="AC12" s="147">
        <v>0.34337342805939575</v>
      </c>
      <c r="AD12" s="147" t="s">
        <v>93</v>
      </c>
      <c r="AE12" s="147" t="s">
        <v>93</v>
      </c>
      <c r="AF12" s="147" t="s">
        <v>93</v>
      </c>
      <c r="AG12" s="147" t="s">
        <v>93</v>
      </c>
      <c r="AH12" s="147" t="s">
        <v>93</v>
      </c>
      <c r="AI12" s="147"/>
      <c r="AJ12" s="147"/>
      <c r="AK12" s="147"/>
      <c r="AL12" s="147"/>
      <c r="AM12" s="147"/>
      <c r="AN12" s="147"/>
      <c r="AO12" s="66">
        <v>1998</v>
      </c>
    </row>
    <row r="13" spans="1:41" ht="14.1" hidden="1" customHeight="1">
      <c r="A13" s="63">
        <v>1999</v>
      </c>
      <c r="B13" s="147">
        <v>0.82363630696364576</v>
      </c>
      <c r="C13" s="147">
        <v>0.87812466804346601</v>
      </c>
      <c r="D13" s="147">
        <v>0.53107733205325147</v>
      </c>
      <c r="E13" s="147">
        <v>0.22426232393753198</v>
      </c>
      <c r="F13" s="147" t="s">
        <v>93</v>
      </c>
      <c r="G13" s="147">
        <v>0.11809926865079362</v>
      </c>
      <c r="H13" s="147">
        <v>0.10615695455709165</v>
      </c>
      <c r="I13" s="147">
        <v>1.3327799866359449</v>
      </c>
      <c r="J13" s="147">
        <v>4.68352329749104E-4</v>
      </c>
      <c r="K13" s="147">
        <v>9.9650875806451614E-2</v>
      </c>
      <c r="L13" s="147">
        <v>0.54876247653609822</v>
      </c>
      <c r="M13" s="147" t="s">
        <v>93</v>
      </c>
      <c r="N13" s="147">
        <v>0.55430076772913461</v>
      </c>
      <c r="O13" s="147">
        <v>2.7051243225038406</v>
      </c>
      <c r="P13" s="147">
        <v>0.10556549607014849</v>
      </c>
      <c r="Q13" s="147"/>
      <c r="R13" s="147">
        <v>0.48623971327444954</v>
      </c>
      <c r="S13" s="147">
        <v>1.9879608294930875E-3</v>
      </c>
      <c r="T13" s="147">
        <v>7.2773239503328181E-3</v>
      </c>
      <c r="U13" s="147">
        <v>3.0691756272401444E-6</v>
      </c>
      <c r="V13" s="147">
        <v>0.40825465938300043</v>
      </c>
      <c r="W13" s="147">
        <v>7.8344946620583743E-3</v>
      </c>
      <c r="X13" s="147">
        <v>2.2774341039426521E-2</v>
      </c>
      <c r="Y13" s="147">
        <v>7.9331603725038405E-2</v>
      </c>
      <c r="Z13" s="147">
        <v>7.3145440709827822E-3</v>
      </c>
      <c r="AA13" s="147">
        <v>3.3571349615975424E-2</v>
      </c>
      <c r="AB13" s="147">
        <v>1.5826308243727601E-4</v>
      </c>
      <c r="AC13" s="147">
        <v>0.20160610446748589</v>
      </c>
      <c r="AD13" s="147" t="s">
        <v>93</v>
      </c>
      <c r="AE13" s="147" t="s">
        <v>93</v>
      </c>
      <c r="AF13" s="147" t="s">
        <v>93</v>
      </c>
      <c r="AG13" s="147" t="s">
        <v>93</v>
      </c>
      <c r="AH13" s="147" t="s">
        <v>93</v>
      </c>
      <c r="AI13" s="147"/>
      <c r="AJ13" s="147"/>
      <c r="AK13" s="147"/>
      <c r="AL13" s="147"/>
      <c r="AM13" s="147"/>
      <c r="AN13" s="147"/>
      <c r="AO13" s="66">
        <v>1999</v>
      </c>
    </row>
    <row r="14" spans="1:41" ht="14.1" hidden="1" customHeight="1">
      <c r="B14" s="147"/>
      <c r="C14" s="147"/>
      <c r="D14" s="147"/>
      <c r="E14" s="147"/>
      <c r="F14" s="147" t="s">
        <v>93</v>
      </c>
      <c r="G14" s="147"/>
      <c r="H14" s="147"/>
      <c r="I14" s="147"/>
      <c r="J14" s="147"/>
      <c r="K14" s="147"/>
      <c r="L14" s="147"/>
      <c r="M14" s="147" t="s">
        <v>93</v>
      </c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8"/>
    </row>
    <row r="15" spans="1:41" ht="14.1" hidden="1" customHeight="1">
      <c r="A15" s="63">
        <v>2000</v>
      </c>
      <c r="B15" s="147">
        <v>0.89484554196020272</v>
      </c>
      <c r="C15" s="147">
        <v>0.82961918243727595</v>
      </c>
      <c r="D15" s="147">
        <v>0.52081676716104308</v>
      </c>
      <c r="E15" s="147">
        <v>0.24363206179087879</v>
      </c>
      <c r="F15" s="147"/>
      <c r="G15" s="147">
        <v>0.11091726099987638</v>
      </c>
      <c r="H15" s="147">
        <v>0.11483847570139662</v>
      </c>
      <c r="I15" s="147">
        <v>1.3556911563712768</v>
      </c>
      <c r="J15" s="147">
        <v>5.1150265109380793E-4</v>
      </c>
      <c r="K15" s="147">
        <v>9.7926530638981588E-2</v>
      </c>
      <c r="L15" s="147">
        <v>0.5358606091583239</v>
      </c>
      <c r="M15" s="147" t="s">
        <v>93</v>
      </c>
      <c r="N15" s="147">
        <v>0.60265821263749852</v>
      </c>
      <c r="O15" s="147">
        <v>2.9164291453590412</v>
      </c>
      <c r="P15" s="147">
        <v>0.10188555929427759</v>
      </c>
      <c r="Q15" s="147"/>
      <c r="R15" s="147">
        <v>0.519090465356569</v>
      </c>
      <c r="S15" s="147">
        <v>1.4550000000000001E-3</v>
      </c>
      <c r="T15" s="147">
        <v>8.3070336793968618E-3</v>
      </c>
      <c r="U15" s="147">
        <v>1.4729906933629957E-3</v>
      </c>
      <c r="V15" s="147">
        <v>0.45514735090841679</v>
      </c>
      <c r="W15" s="147">
        <v>6.3455588431590663E-3</v>
      </c>
      <c r="X15" s="147">
        <v>1.8770007866765543E-2</v>
      </c>
      <c r="Y15" s="147">
        <v>7.2018590532690649E-2</v>
      </c>
      <c r="Z15" s="147">
        <v>4.3689440860215046E-3</v>
      </c>
      <c r="AA15" s="147">
        <v>3.1830267643060191E-2</v>
      </c>
      <c r="AB15" s="147">
        <v>1.7217948337659123E-4</v>
      </c>
      <c r="AC15" s="147">
        <v>0.16452280437523178</v>
      </c>
      <c r="AD15" s="147" t="s">
        <v>93</v>
      </c>
      <c r="AE15" s="147" t="s">
        <v>93</v>
      </c>
      <c r="AF15" s="147" t="s">
        <v>93</v>
      </c>
      <c r="AG15" s="147" t="s">
        <v>93</v>
      </c>
      <c r="AH15" s="147" t="s">
        <v>93</v>
      </c>
      <c r="AI15" s="147"/>
      <c r="AJ15" s="147"/>
      <c r="AK15" s="147"/>
      <c r="AL15" s="147"/>
      <c r="AM15" s="147"/>
      <c r="AN15" s="147"/>
      <c r="AO15" s="66">
        <v>2000</v>
      </c>
    </row>
    <row r="16" spans="1:41" ht="14.1" hidden="1" customHeight="1">
      <c r="A16" s="63">
        <v>2001</v>
      </c>
      <c r="B16" s="147">
        <v>0.93129139656938043</v>
      </c>
      <c r="C16" s="147">
        <v>0.83397946731950812</v>
      </c>
      <c r="D16" s="147">
        <v>0.48203072724014345</v>
      </c>
      <c r="E16" s="147">
        <v>0.25355197633128512</v>
      </c>
      <c r="F16" s="147" t="s">
        <v>93</v>
      </c>
      <c r="G16" s="147">
        <v>0.11190809975678442</v>
      </c>
      <c r="H16" s="147">
        <v>0.11940288673835123</v>
      </c>
      <c r="I16" s="147">
        <v>1.3410753786098313</v>
      </c>
      <c r="J16" s="147">
        <v>5.3202968509984637E-4</v>
      </c>
      <c r="K16" s="147">
        <v>9.02090309139785E-2</v>
      </c>
      <c r="L16" s="147">
        <v>0.55228771845878144</v>
      </c>
      <c r="M16" s="147" t="s">
        <v>93</v>
      </c>
      <c r="N16" s="147">
        <v>0.60171432493599575</v>
      </c>
      <c r="O16" s="147">
        <v>3.0373671376216076</v>
      </c>
      <c r="P16" s="147">
        <v>0.10364131953405017</v>
      </c>
      <c r="Q16" s="147">
        <v>0.22847234569892474</v>
      </c>
      <c r="R16" s="147">
        <v>0.5199717070020482</v>
      </c>
      <c r="S16" s="147">
        <v>8.2094334357398857E-4</v>
      </c>
      <c r="T16" s="147">
        <v>7.674372529441884E-3</v>
      </c>
      <c r="U16" s="147">
        <v>6.7780733486943166E-4</v>
      </c>
      <c r="V16" s="147">
        <v>0.44942385582437283</v>
      </c>
      <c r="W16" s="147">
        <v>6.3498915514592913E-3</v>
      </c>
      <c r="X16" s="147">
        <v>1.9225849910394267E-2</v>
      </c>
      <c r="Y16" s="147">
        <v>7.2529016973886321E-2</v>
      </c>
      <c r="Z16" s="147">
        <v>2.3401538146441379E-3</v>
      </c>
      <c r="AA16" s="147">
        <v>3.1912230811571941E-2</v>
      </c>
      <c r="AB16" s="147">
        <v>1.7903763440860218E-4</v>
      </c>
      <c r="AC16" s="147">
        <v>0.17320132516641062</v>
      </c>
      <c r="AD16" s="147" t="s">
        <v>93</v>
      </c>
      <c r="AE16" s="147" t="s">
        <v>93</v>
      </c>
      <c r="AF16" s="147" t="s">
        <v>93</v>
      </c>
      <c r="AG16" s="147" t="s">
        <v>93</v>
      </c>
      <c r="AH16" s="147" t="s">
        <v>93</v>
      </c>
      <c r="AI16" s="147"/>
      <c r="AJ16" s="147"/>
      <c r="AK16" s="147"/>
      <c r="AL16" s="147"/>
      <c r="AM16" s="147"/>
      <c r="AN16" s="147"/>
      <c r="AO16" s="66">
        <v>2001</v>
      </c>
    </row>
    <row r="17" spans="1:41" ht="14.1" hidden="1" customHeight="1">
      <c r="A17" s="63">
        <v>2002</v>
      </c>
      <c r="B17" s="147">
        <v>0.97215336021505372</v>
      </c>
      <c r="C17" s="147">
        <v>0.91828466815156151</v>
      </c>
      <c r="D17" s="147">
        <v>0.52842016369687639</v>
      </c>
      <c r="E17" s="147">
        <v>0.26467685381464418</v>
      </c>
      <c r="F17" s="147" t="s">
        <v>93</v>
      </c>
      <c r="G17" s="147">
        <v>0.12358040474910395</v>
      </c>
      <c r="H17" s="147">
        <v>0.12464389445724526</v>
      </c>
      <c r="I17" s="147">
        <v>1.4552023287762421</v>
      </c>
      <c r="J17" s="147">
        <v>3.6615725806451619E-4</v>
      </c>
      <c r="K17" s="147">
        <v>0.10024500602918587</v>
      </c>
      <c r="L17" s="147">
        <v>0.62596775331541221</v>
      </c>
      <c r="M17" s="147" t="s">
        <v>93</v>
      </c>
      <c r="N17" s="147">
        <v>0.61934160456989262</v>
      </c>
      <c r="O17" s="147">
        <v>3.1979294615847418</v>
      </c>
      <c r="P17" s="147">
        <v>0.12252910517153098</v>
      </c>
      <c r="Q17" s="147">
        <v>0.23840000501792111</v>
      </c>
      <c r="R17" s="147">
        <v>0.54247768275729646</v>
      </c>
      <c r="S17" s="147">
        <v>6.4776269841269841E-4</v>
      </c>
      <c r="T17" s="147">
        <v>7.7756526241679483E-3</v>
      </c>
      <c r="U17" s="147">
        <v>5.441965693804403E-4</v>
      </c>
      <c r="V17" s="147">
        <v>0.44308462425755252</v>
      </c>
      <c r="W17" s="147">
        <v>6.3374796594982078E-3</v>
      </c>
      <c r="X17" s="147">
        <v>2.0714002534562213E-2</v>
      </c>
      <c r="Y17" s="147">
        <v>7.2167281848438292E-2</v>
      </c>
      <c r="Z17" s="147">
        <v>1.2775620071684586E-3</v>
      </c>
      <c r="AA17" s="147">
        <v>3.102373046594982E-2</v>
      </c>
      <c r="AB17" s="147">
        <v>1.9076143113159246E-4</v>
      </c>
      <c r="AC17" s="147">
        <v>0.18200727526881721</v>
      </c>
      <c r="AD17" s="147" t="s">
        <v>93</v>
      </c>
      <c r="AE17" s="147" t="s">
        <v>93</v>
      </c>
      <c r="AF17" s="147" t="s">
        <v>93</v>
      </c>
      <c r="AG17" s="147" t="s">
        <v>93</v>
      </c>
      <c r="AH17" s="147" t="s">
        <v>93</v>
      </c>
      <c r="AI17" s="147"/>
      <c r="AJ17" s="147"/>
      <c r="AK17" s="147"/>
      <c r="AL17" s="147"/>
      <c r="AM17" s="147"/>
      <c r="AN17" s="147"/>
      <c r="AO17" s="66">
        <v>2002</v>
      </c>
    </row>
    <row r="18" spans="1:41" ht="14.1" hidden="1" customHeight="1">
      <c r="A18" s="63">
        <v>2003</v>
      </c>
      <c r="B18" s="147">
        <v>0.98214777521761409</v>
      </c>
      <c r="C18" s="147">
        <v>1.1104457008448541</v>
      </c>
      <c r="D18" s="147">
        <v>0.64014454042498714</v>
      </c>
      <c r="E18" s="147">
        <v>0.26699421500256015</v>
      </c>
      <c r="F18" s="147">
        <v>0.11868998553274682</v>
      </c>
      <c r="G18" s="147">
        <v>0.1494442750128008</v>
      </c>
      <c r="H18" s="147">
        <v>0.1261165044418843</v>
      </c>
      <c r="I18" s="147">
        <v>1.6058458408858169</v>
      </c>
      <c r="J18" s="147">
        <v>1.1962903225806449E-4</v>
      </c>
      <c r="K18" s="147">
        <v>0.12175598705837176</v>
      </c>
      <c r="L18" s="147">
        <v>0.72840181794674863</v>
      </c>
      <c r="M18" s="147" t="s">
        <v>93</v>
      </c>
      <c r="N18" s="147">
        <v>0.70221998663594465</v>
      </c>
      <c r="O18" s="147">
        <v>3.2957525888248851</v>
      </c>
      <c r="P18" s="147">
        <v>0.13891215264976955</v>
      </c>
      <c r="Q18" s="147">
        <v>0.25278260738607267</v>
      </c>
      <c r="R18" s="147">
        <v>0.56379221379928324</v>
      </c>
      <c r="S18" s="147">
        <v>6.562872631848439E-4</v>
      </c>
      <c r="T18" s="147">
        <v>8.4843585765489015E-3</v>
      </c>
      <c r="U18" s="147">
        <v>4.7838348694316426E-4</v>
      </c>
      <c r="V18" s="147">
        <v>0.45875398943932422</v>
      </c>
      <c r="W18" s="147">
        <v>6.5728046210957502E-3</v>
      </c>
      <c r="X18" s="147">
        <v>2.2439402278545826E-2</v>
      </c>
      <c r="Y18" s="147">
        <v>7.050894162826421E-2</v>
      </c>
      <c r="Z18" s="147">
        <v>1.011152009728623E-3</v>
      </c>
      <c r="AA18" s="147">
        <v>3.2014427700972868E-2</v>
      </c>
      <c r="AB18" s="147">
        <v>1.8881989247311826E-4</v>
      </c>
      <c r="AC18" s="147">
        <v>0.18317551947004607</v>
      </c>
      <c r="AD18" s="147" t="s">
        <v>93</v>
      </c>
      <c r="AE18" s="147" t="s">
        <v>93</v>
      </c>
      <c r="AF18" s="147" t="s">
        <v>93</v>
      </c>
      <c r="AG18" s="147" t="s">
        <v>93</v>
      </c>
      <c r="AH18" s="147" t="s">
        <v>93</v>
      </c>
      <c r="AI18" s="147"/>
      <c r="AJ18" s="147"/>
      <c r="AK18" s="147"/>
      <c r="AL18" s="147"/>
      <c r="AM18" s="147"/>
      <c r="AN18" s="147"/>
      <c r="AO18" s="66">
        <v>2003</v>
      </c>
    </row>
    <row r="19" spans="1:41" ht="14.1" hidden="1" customHeight="1">
      <c r="A19" s="63">
        <v>2004</v>
      </c>
      <c r="B19" s="147">
        <v>0.98268630952380975</v>
      </c>
      <c r="C19" s="147">
        <v>1.2218809199185867</v>
      </c>
      <c r="D19" s="147">
        <v>0.72345349314823348</v>
      </c>
      <c r="E19" s="147">
        <v>0.26754441893675679</v>
      </c>
      <c r="F19" s="147">
        <v>0.11872832421867145</v>
      </c>
      <c r="G19" s="147">
        <v>0.16411710608969532</v>
      </c>
      <c r="H19" s="147">
        <v>0.12626309496899496</v>
      </c>
      <c r="I19" s="147">
        <v>1.7956251864270354</v>
      </c>
      <c r="J19" s="147">
        <v>1.1411683616247769E-4</v>
      </c>
      <c r="K19" s="147">
        <v>0.13388080880990444</v>
      </c>
      <c r="L19" s="147">
        <v>0.7916547255401768</v>
      </c>
      <c r="M19" s="147" t="s">
        <v>93</v>
      </c>
      <c r="N19" s="147">
        <v>0.75610470225752147</v>
      </c>
      <c r="O19" s="147">
        <v>3.3256529605936724</v>
      </c>
      <c r="P19" s="147">
        <v>0.14597746626016112</v>
      </c>
      <c r="Q19" s="147">
        <v>0.27064041943434786</v>
      </c>
      <c r="R19" s="147">
        <v>0.58141526678503164</v>
      </c>
      <c r="S19" s="147">
        <v>6.8946948008310051E-4</v>
      </c>
      <c r="T19" s="147">
        <v>9.0912257761309508E-3</v>
      </c>
      <c r="U19" s="147">
        <v>4.5500969766001253E-4</v>
      </c>
      <c r="V19" s="147">
        <v>0.51387534600374196</v>
      </c>
      <c r="W19" s="147">
        <v>7.22941226497021E-3</v>
      </c>
      <c r="X19" s="147">
        <v>2.3018727736859056E-2</v>
      </c>
      <c r="Y19" s="147">
        <v>7.978292040604229E-2</v>
      </c>
      <c r="Z19" s="147">
        <v>9.6538158809316604E-4</v>
      </c>
      <c r="AA19" s="147">
        <v>3.4105865543009199E-2</v>
      </c>
      <c r="AB19" s="147">
        <v>1.889423421560518E-4</v>
      </c>
      <c r="AC19" s="147">
        <v>0.18444596818029821</v>
      </c>
      <c r="AD19" s="147" t="s">
        <v>93</v>
      </c>
      <c r="AE19" s="147" t="s">
        <v>93</v>
      </c>
      <c r="AF19" s="147" t="s">
        <v>93</v>
      </c>
      <c r="AG19" s="147" t="s">
        <v>93</v>
      </c>
      <c r="AH19" s="147" t="s">
        <v>93</v>
      </c>
      <c r="AI19" s="147"/>
      <c r="AJ19" s="147"/>
      <c r="AK19" s="147"/>
      <c r="AL19" s="147"/>
      <c r="AM19" s="147"/>
      <c r="AN19" s="147"/>
      <c r="AO19" s="66">
        <v>2004</v>
      </c>
    </row>
    <row r="20" spans="1:41" ht="14.1" hidden="1" customHeight="1">
      <c r="AO20" s="66"/>
    </row>
    <row r="21" spans="1:41" ht="14.1" hidden="1" customHeight="1">
      <c r="A21" s="64" t="s">
        <v>284</v>
      </c>
      <c r="B21" s="241">
        <v>0.94593367548684404</v>
      </c>
      <c r="C21" s="241">
        <v>1.1799189641095131</v>
      </c>
      <c r="D21" s="241">
        <v>0.7214375089697963</v>
      </c>
      <c r="E21" s="241">
        <v>0.25754380584657166</v>
      </c>
      <c r="F21" s="241">
        <v>0.11543263870997472</v>
      </c>
      <c r="G21" s="241">
        <v>0.15834942654388592</v>
      </c>
      <c r="H21" s="241">
        <v>0.12161343880031124</v>
      </c>
      <c r="I21" s="241">
        <v>1.7241537845646071</v>
      </c>
      <c r="J21" s="241">
        <v>1.0559463735593489E-2</v>
      </c>
      <c r="K21" s="241">
        <v>0.12730662920232499</v>
      </c>
      <c r="L21" s="241">
        <v>0.76212722371322605</v>
      </c>
      <c r="M21" s="241" t="s">
        <v>93</v>
      </c>
      <c r="N21" s="241">
        <v>0.78064717093030378</v>
      </c>
      <c r="O21" s="241">
        <v>3.2391187205705632</v>
      </c>
      <c r="P21" s="241">
        <v>0.14710298054503232</v>
      </c>
      <c r="Q21" s="241">
        <v>0.29316292300349051</v>
      </c>
      <c r="R21" s="241">
        <v>0.56863158787381396</v>
      </c>
      <c r="S21" s="241">
        <v>0.69914020691080114</v>
      </c>
      <c r="T21" s="241">
        <v>0.86196312369486783</v>
      </c>
      <c r="U21" s="241">
        <v>4.3891176623420534E-2</v>
      </c>
      <c r="V21" s="241">
        <v>0.5219372125199554</v>
      </c>
      <c r="W21" s="241">
        <v>7.1181277902860737E-3</v>
      </c>
      <c r="X21" s="241">
        <v>2.3060969851624428E-2</v>
      </c>
      <c r="Y21" s="241">
        <v>7.5059549513980972E-2</v>
      </c>
      <c r="Z21" s="241">
        <v>8.5265343844294558E-2</v>
      </c>
      <c r="AA21" s="241">
        <v>3.3463213661675539E-2</v>
      </c>
      <c r="AB21" s="241">
        <v>1.8190597977724668E-2</v>
      </c>
      <c r="AC21" s="241">
        <v>0.18473449703997971</v>
      </c>
      <c r="AD21" s="241" t="s">
        <v>93</v>
      </c>
      <c r="AE21" s="241" t="s">
        <v>93</v>
      </c>
      <c r="AF21" s="241" t="s">
        <v>93</v>
      </c>
      <c r="AG21" s="242" t="s">
        <v>93</v>
      </c>
      <c r="AH21" s="241" t="s">
        <v>93</v>
      </c>
      <c r="AI21" s="242"/>
      <c r="AJ21" s="242"/>
      <c r="AK21" s="241"/>
      <c r="AL21" s="241"/>
      <c r="AM21" s="241"/>
      <c r="AN21" s="242"/>
      <c r="AO21" s="64" t="s">
        <v>284</v>
      </c>
    </row>
    <row r="22" spans="1:41" ht="14.1" hidden="1" customHeight="1">
      <c r="A22" s="65" t="s">
        <v>18</v>
      </c>
      <c r="B22" s="243">
        <v>0.98043225806451606</v>
      </c>
      <c r="C22" s="243">
        <v>1.2896110493548389</v>
      </c>
      <c r="D22" s="243">
        <v>0.75045144354838733</v>
      </c>
      <c r="E22" s="243">
        <v>0.26695327290744064</v>
      </c>
      <c r="F22" s="243">
        <v>0.11845975798559077</v>
      </c>
      <c r="G22" s="243">
        <v>0.17333244380028695</v>
      </c>
      <c r="H22" s="243">
        <v>0.12580107686839384</v>
      </c>
      <c r="I22" s="243">
        <v>1.8445905622580649</v>
      </c>
      <c r="J22" s="243">
        <v>1.1106463065983436E-2</v>
      </c>
      <c r="K22" s="243">
        <v>0.14249150216733694</v>
      </c>
      <c r="L22" s="243">
        <v>0.83380896113919845</v>
      </c>
      <c r="M22" s="243" t="s">
        <v>93</v>
      </c>
      <c r="N22" s="243">
        <v>0.80163356632466642</v>
      </c>
      <c r="O22" s="243">
        <v>3.3554947243171656</v>
      </c>
      <c r="P22" s="243">
        <v>0.1568872527957651</v>
      </c>
      <c r="Q22" s="243">
        <v>0.3163147614936096</v>
      </c>
      <c r="R22" s="243">
        <v>0.59880411736823413</v>
      </c>
      <c r="S22" s="243">
        <v>0.68157305821839209</v>
      </c>
      <c r="T22" s="243">
        <v>0.94954427606423419</v>
      </c>
      <c r="U22" s="243">
        <v>4.5125644641717255E-2</v>
      </c>
      <c r="V22" s="243">
        <v>0.53998898557722319</v>
      </c>
      <c r="W22" s="243">
        <v>7.5374511892632766E-3</v>
      </c>
      <c r="X22" s="243">
        <v>2.3885563762757873E-2</v>
      </c>
      <c r="Y22" s="243">
        <v>7.8651857727098998E-2</v>
      </c>
      <c r="Z22" s="243">
        <v>9.2449109397410842E-2</v>
      </c>
      <c r="AA22" s="243">
        <v>3.5100629784033957E-2</v>
      </c>
      <c r="AB22" s="243">
        <v>1.8848759305210919E-2</v>
      </c>
      <c r="AC22" s="243">
        <v>0.18464542861136723</v>
      </c>
      <c r="AD22" s="243" t="s">
        <v>93</v>
      </c>
      <c r="AE22" s="243" t="s">
        <v>93</v>
      </c>
      <c r="AF22" s="243" t="s">
        <v>93</v>
      </c>
      <c r="AG22" s="244" t="s">
        <v>93</v>
      </c>
      <c r="AH22" s="243" t="s">
        <v>93</v>
      </c>
      <c r="AI22" s="244"/>
      <c r="AJ22" s="244"/>
      <c r="AK22" s="243"/>
      <c r="AL22" s="243"/>
      <c r="AM22" s="243"/>
      <c r="AN22" s="244"/>
      <c r="AO22" s="65" t="s">
        <v>18</v>
      </c>
    </row>
    <row r="23" spans="1:41" ht="14.1" hidden="1" customHeight="1">
      <c r="A23" s="65" t="s">
        <v>19</v>
      </c>
      <c r="B23" s="243">
        <v>0.97954285714285705</v>
      </c>
      <c r="C23" s="243">
        <v>1.2754051692857142</v>
      </c>
      <c r="D23" s="243">
        <v>0.76464213892857136</v>
      </c>
      <c r="E23" s="243">
        <v>0.26670243837525881</v>
      </c>
      <c r="F23" s="243">
        <v>0.1183523055812067</v>
      </c>
      <c r="G23" s="243">
        <v>0.17136085756052927</v>
      </c>
      <c r="H23" s="243">
        <v>0.1255876507503482</v>
      </c>
      <c r="I23" s="243">
        <v>1.8483206078571424</v>
      </c>
      <c r="J23" s="243">
        <v>1.1067121348629234E-2</v>
      </c>
      <c r="K23" s="243">
        <v>0.14037881867270538</v>
      </c>
      <c r="L23" s="243">
        <v>0.82225400283743055</v>
      </c>
      <c r="M23" s="243" t="s">
        <v>93</v>
      </c>
      <c r="N23" s="243">
        <v>0.7908496415723798</v>
      </c>
      <c r="O23" s="243">
        <v>3.3545928468116006</v>
      </c>
      <c r="P23" s="243">
        <v>0.1533129636276912</v>
      </c>
      <c r="Q23" s="243">
        <v>0.32005924189121893</v>
      </c>
      <c r="R23" s="243">
        <v>0.59734457047816703</v>
      </c>
      <c r="S23" s="243">
        <v>0.74464424198628898</v>
      </c>
      <c r="T23" s="243">
        <v>0.93280169804677915</v>
      </c>
      <c r="U23" s="243">
        <v>4.5140231346615614E-2</v>
      </c>
      <c r="V23" s="243">
        <v>0.53565751157375119</v>
      </c>
      <c r="W23" s="243">
        <v>7.527551350718609E-3</v>
      </c>
      <c r="X23" s="243">
        <v>2.384995755917986E-2</v>
      </c>
      <c r="Y23" s="243">
        <v>7.8353452767287404E-2</v>
      </c>
      <c r="Z23" s="243">
        <v>9.1792867218586788E-2</v>
      </c>
      <c r="AA23" s="243">
        <v>3.501322456776565E-2</v>
      </c>
      <c r="AB23" s="243">
        <v>1.8837362637362638E-2</v>
      </c>
      <c r="AC23" s="243">
        <v>0.18475430040107318</v>
      </c>
      <c r="AD23" s="243" t="s">
        <v>93</v>
      </c>
      <c r="AE23" s="243" t="s">
        <v>93</v>
      </c>
      <c r="AF23" s="243" t="s">
        <v>93</v>
      </c>
      <c r="AG23" s="244" t="s">
        <v>93</v>
      </c>
      <c r="AH23" s="243" t="s">
        <v>93</v>
      </c>
      <c r="AI23" s="244"/>
      <c r="AJ23" s="244"/>
      <c r="AK23" s="243"/>
      <c r="AL23" s="243"/>
      <c r="AM23" s="243"/>
      <c r="AN23" s="244"/>
      <c r="AO23" s="65" t="s">
        <v>19</v>
      </c>
    </row>
    <row r="24" spans="1:41" ht="14.1" hidden="1" customHeight="1">
      <c r="A24" s="65" t="s">
        <v>20</v>
      </c>
      <c r="B24" s="243">
        <v>0.97458709677419353</v>
      </c>
      <c r="C24" s="243">
        <v>1.2861807987096781</v>
      </c>
      <c r="D24" s="243">
        <v>0.76454589193548395</v>
      </c>
      <c r="E24" s="243">
        <v>0.26533933417267797</v>
      </c>
      <c r="F24" s="243">
        <v>0.11775353069222419</v>
      </c>
      <c r="G24" s="243">
        <v>0.17271935737899136</v>
      </c>
      <c r="H24" s="243">
        <v>0.12495305703279512</v>
      </c>
      <c r="I24" s="243">
        <v>1.8567349299999993</v>
      </c>
      <c r="J24" s="243">
        <v>1.0995587759339651E-2</v>
      </c>
      <c r="K24" s="243">
        <v>0.14154711171778009</v>
      </c>
      <c r="L24" s="243">
        <v>0.83028485617309433</v>
      </c>
      <c r="M24" s="243" t="s">
        <v>93</v>
      </c>
      <c r="N24" s="243">
        <v>0.8008686405419988</v>
      </c>
      <c r="O24" s="243">
        <v>3.3373618158181331</v>
      </c>
      <c r="P24" s="243">
        <v>0.15706715074344205</v>
      </c>
      <c r="Q24" s="243">
        <v>0.3200241596730341</v>
      </c>
      <c r="R24" s="243">
        <v>0.59753042847374749</v>
      </c>
      <c r="S24" s="243">
        <v>0.74452482278720045</v>
      </c>
      <c r="T24" s="243">
        <v>0.92612016190901991</v>
      </c>
      <c r="U24" s="243">
        <v>4.5116054176341659E-2</v>
      </c>
      <c r="V24" s="243">
        <v>0.53056366955020728</v>
      </c>
      <c r="W24" s="243">
        <v>7.4723740884549642E-3</v>
      </c>
      <c r="X24" s="243">
        <v>2.3806762584457884E-2</v>
      </c>
      <c r="Y24" s="243">
        <v>7.7358741979600784E-2</v>
      </c>
      <c r="Z24" s="243">
        <v>9.0776954209192393E-2</v>
      </c>
      <c r="AA24" s="243">
        <v>3.5293750196912443E-2</v>
      </c>
      <c r="AB24" s="243">
        <v>1.8742059553349871E-2</v>
      </c>
      <c r="AC24" s="243">
        <v>0.18413772405199264</v>
      </c>
      <c r="AD24" s="243" t="s">
        <v>93</v>
      </c>
      <c r="AE24" s="243" t="s">
        <v>93</v>
      </c>
      <c r="AF24" s="243" t="s">
        <v>93</v>
      </c>
      <c r="AG24" s="244" t="s">
        <v>93</v>
      </c>
      <c r="AH24" s="243" t="s">
        <v>93</v>
      </c>
      <c r="AI24" s="244"/>
      <c r="AJ24" s="244"/>
      <c r="AK24" s="243"/>
      <c r="AL24" s="243"/>
      <c r="AM24" s="243"/>
      <c r="AN24" s="244"/>
      <c r="AO24" s="65" t="s">
        <v>20</v>
      </c>
    </row>
    <row r="25" spans="1:41" ht="14.1" hidden="1" customHeight="1">
      <c r="A25" s="65" t="s">
        <v>21</v>
      </c>
      <c r="B25" s="243">
        <v>0.96612000000000009</v>
      </c>
      <c r="C25" s="243">
        <v>1.2485469473333337</v>
      </c>
      <c r="D25" s="243">
        <v>0.74604114200000016</v>
      </c>
      <c r="E25" s="243">
        <v>0.26303461206758599</v>
      </c>
      <c r="F25" s="243">
        <v>0.11673050202380232</v>
      </c>
      <c r="G25" s="243">
        <v>0.16758899659629914</v>
      </c>
      <c r="H25" s="243">
        <v>0.12387959798273876</v>
      </c>
      <c r="I25" s="243">
        <v>1.8281745210000004</v>
      </c>
      <c r="J25" s="243">
        <v>1.0864142864089878E-2</v>
      </c>
      <c r="K25" s="243">
        <v>0.13624329062588184</v>
      </c>
      <c r="L25" s="243">
        <v>0.80653656085554937</v>
      </c>
      <c r="M25" s="243" t="s">
        <v>93</v>
      </c>
      <c r="N25" s="243">
        <v>0.7831733340889051</v>
      </c>
      <c r="O25" s="243">
        <v>3.3083814813931736</v>
      </c>
      <c r="P25" s="243">
        <v>0.15258966551571473</v>
      </c>
      <c r="Q25" s="243">
        <v>0.30119600317591239</v>
      </c>
      <c r="R25" s="243">
        <v>0.58410794706175118</v>
      </c>
      <c r="S25" s="243">
        <v>0.70982288378209435</v>
      </c>
      <c r="T25" s="243">
        <v>0.89932751157956758</v>
      </c>
      <c r="U25" s="243">
        <v>4.4877393316834255E-2</v>
      </c>
      <c r="V25" s="243">
        <v>0.52769387709159576</v>
      </c>
      <c r="W25" s="243">
        <v>7.3530392889327289E-3</v>
      </c>
      <c r="X25" s="243">
        <v>2.3395725610547757E-2</v>
      </c>
      <c r="Y25" s="243">
        <v>7.6596974187404229E-2</v>
      </c>
      <c r="Z25" s="243">
        <v>8.9171638961982699E-2</v>
      </c>
      <c r="AA25" s="243">
        <v>3.4742180702690272E-2</v>
      </c>
      <c r="AB25" s="243">
        <v>1.8579230769230768E-2</v>
      </c>
      <c r="AC25" s="243">
        <v>0.18585212495205203</v>
      </c>
      <c r="AD25" s="243" t="s">
        <v>93</v>
      </c>
      <c r="AE25" s="243" t="s">
        <v>93</v>
      </c>
      <c r="AF25" s="243" t="s">
        <v>93</v>
      </c>
      <c r="AG25" s="244" t="s">
        <v>93</v>
      </c>
      <c r="AH25" s="243" t="s">
        <v>93</v>
      </c>
      <c r="AI25" s="244"/>
      <c r="AJ25" s="244"/>
      <c r="AK25" s="243"/>
      <c r="AL25" s="243"/>
      <c r="AM25" s="243"/>
      <c r="AN25" s="244"/>
      <c r="AO25" s="65" t="s">
        <v>21</v>
      </c>
    </row>
    <row r="26" spans="1:41" ht="14.1" hidden="1" customHeight="1">
      <c r="A26" s="65" t="s">
        <v>22</v>
      </c>
      <c r="B26" s="243">
        <v>0.95703870967741933</v>
      </c>
      <c r="C26" s="243">
        <v>1.2167725435483872</v>
      </c>
      <c r="D26" s="243">
        <v>0.7339277106451616</v>
      </c>
      <c r="E26" s="243">
        <v>0.26056358668113905</v>
      </c>
      <c r="F26" s="243">
        <v>0.11563326402191978</v>
      </c>
      <c r="G26" s="243">
        <v>0.16344375720869453</v>
      </c>
      <c r="H26" s="243">
        <v>0.12283739421676787</v>
      </c>
      <c r="I26" s="243">
        <v>1.7798433361290324</v>
      </c>
      <c r="J26" s="243">
        <v>1.0723494908712322E-2</v>
      </c>
      <c r="K26" s="243">
        <v>0.13236981496876532</v>
      </c>
      <c r="L26" s="243">
        <v>0.78778407792686933</v>
      </c>
      <c r="M26" s="243" t="s">
        <v>93</v>
      </c>
      <c r="N26" s="243">
        <v>0.7621920608638949</v>
      </c>
      <c r="O26" s="243">
        <v>3.2771474019932363</v>
      </c>
      <c r="P26" s="243">
        <v>0.15047956597720405</v>
      </c>
      <c r="Q26" s="243">
        <v>0.29113134936738411</v>
      </c>
      <c r="R26" s="243">
        <v>0.57971116431973213</v>
      </c>
      <c r="S26" s="243">
        <v>0.69825943436750726</v>
      </c>
      <c r="T26" s="243">
        <v>0.89800516478924453</v>
      </c>
      <c r="U26" s="243">
        <v>4.4504695455100302E-2</v>
      </c>
      <c r="V26" s="243">
        <v>0.52433685339908009</v>
      </c>
      <c r="W26" s="243">
        <v>7.2838132271203053E-3</v>
      </c>
      <c r="X26" s="243">
        <v>2.3315445690385628E-2</v>
      </c>
      <c r="Y26" s="243">
        <v>7.5965443084402937E-2</v>
      </c>
      <c r="Z26" s="243">
        <v>8.7489913541508729E-2</v>
      </c>
      <c r="AA26" s="243">
        <v>3.4284185747788985E-2</v>
      </c>
      <c r="AB26" s="243">
        <v>1.8404590570719595E-2</v>
      </c>
      <c r="AC26" s="243">
        <v>0.18951261577770681</v>
      </c>
      <c r="AD26" s="243" t="s">
        <v>93</v>
      </c>
      <c r="AE26" s="243" t="s">
        <v>93</v>
      </c>
      <c r="AF26" s="243" t="s">
        <v>93</v>
      </c>
      <c r="AG26" s="244" t="s">
        <v>93</v>
      </c>
      <c r="AH26" s="243" t="s">
        <v>93</v>
      </c>
      <c r="AI26" s="244"/>
      <c r="AJ26" s="244"/>
      <c r="AK26" s="243"/>
      <c r="AL26" s="243"/>
      <c r="AM26" s="243"/>
      <c r="AN26" s="244"/>
      <c r="AO26" s="65" t="s">
        <v>22</v>
      </c>
    </row>
    <row r="27" spans="1:41" ht="14.1" hidden="1" customHeight="1">
      <c r="A27" s="65" t="s">
        <v>23</v>
      </c>
      <c r="B27" s="243">
        <v>0.94714963579604572</v>
      </c>
      <c r="C27" s="243">
        <v>1.1544485072112378</v>
      </c>
      <c r="D27" s="243">
        <v>0.72579389389177951</v>
      </c>
      <c r="E27" s="243">
        <v>0.25787049173071697</v>
      </c>
      <c r="F27" s="243">
        <v>0.11443842636332335</v>
      </c>
      <c r="G27" s="243">
        <v>0.15507762286009572</v>
      </c>
      <c r="H27" s="243">
        <v>0.12179044576788352</v>
      </c>
      <c r="I27" s="243">
        <v>1.7247706924557751</v>
      </c>
      <c r="J27" s="243">
        <v>1.054740172859938E-2</v>
      </c>
      <c r="K27" s="243">
        <v>0.12478304982313845</v>
      </c>
      <c r="L27" s="243">
        <v>0.75028499942726889</v>
      </c>
      <c r="M27" s="243" t="s">
        <v>93</v>
      </c>
      <c r="N27" s="243">
        <v>0.76199772671380483</v>
      </c>
      <c r="O27" s="243">
        <v>3.24349166959357</v>
      </c>
      <c r="P27" s="243">
        <v>0.14602630553385126</v>
      </c>
      <c r="Q27" s="243">
        <v>0.2840207648666972</v>
      </c>
      <c r="R27" s="243">
        <v>0.56690945469567322</v>
      </c>
      <c r="S27" s="243">
        <v>0.69646771190786372</v>
      </c>
      <c r="T27" s="243">
        <v>0.87316761481181726</v>
      </c>
      <c r="U27" s="243">
        <v>4.4063759655451125E-2</v>
      </c>
      <c r="V27" s="243">
        <v>0.52074670621419505</v>
      </c>
      <c r="W27" s="243">
        <v>7.0894662350667334E-3</v>
      </c>
      <c r="X27" s="243">
        <v>2.3094316324846566E-2</v>
      </c>
      <c r="Y27" s="243">
        <v>7.5218021722373241E-2</v>
      </c>
      <c r="Z27" s="243">
        <v>8.5982379788741362E-2</v>
      </c>
      <c r="AA27" s="243">
        <v>3.3260363603525078E-2</v>
      </c>
      <c r="AB27" s="243">
        <v>1.8214416073000884E-2</v>
      </c>
      <c r="AC27" s="243">
        <v>0.18738693619930916</v>
      </c>
      <c r="AD27" s="243" t="s">
        <v>93</v>
      </c>
      <c r="AE27" s="243" t="s">
        <v>93</v>
      </c>
      <c r="AF27" s="243" t="s">
        <v>93</v>
      </c>
      <c r="AG27" s="244" t="s">
        <v>93</v>
      </c>
      <c r="AH27" s="243" t="s">
        <v>93</v>
      </c>
      <c r="AI27" s="244"/>
      <c r="AJ27" s="244"/>
      <c r="AK27" s="243"/>
      <c r="AL27" s="243"/>
      <c r="AM27" s="243"/>
      <c r="AN27" s="244"/>
      <c r="AO27" s="65" t="s">
        <v>23</v>
      </c>
    </row>
    <row r="28" spans="1:41" ht="14.1" hidden="1" customHeight="1">
      <c r="A28" s="65" t="s">
        <v>24</v>
      </c>
      <c r="B28" s="243">
        <v>0.94003870967741932</v>
      </c>
      <c r="C28" s="243">
        <v>1.1336250370967738</v>
      </c>
      <c r="D28" s="243">
        <v>0.70818375290322588</v>
      </c>
      <c r="E28" s="243">
        <v>0.25593740773392371</v>
      </c>
      <c r="F28" s="243">
        <v>0.11433181334724968</v>
      </c>
      <c r="G28" s="243">
        <v>0.15199332862625742</v>
      </c>
      <c r="H28" s="243">
        <v>0.12090639750691658</v>
      </c>
      <c r="I28" s="243">
        <v>1.6499780616129036</v>
      </c>
      <c r="J28" s="243">
        <v>1.0450570815693642E-2</v>
      </c>
      <c r="K28" s="243">
        <v>0.12023996612369189</v>
      </c>
      <c r="L28" s="243">
        <v>0.72788498567864546</v>
      </c>
      <c r="M28" s="243" t="s">
        <v>93</v>
      </c>
      <c r="N28" s="243">
        <v>0.76809941950176897</v>
      </c>
      <c r="O28" s="243">
        <v>3.2191969056137855</v>
      </c>
      <c r="P28" s="243">
        <v>0.1429971107011217</v>
      </c>
      <c r="Q28" s="243">
        <v>0.27680345453271399</v>
      </c>
      <c r="R28" s="243">
        <v>0.55874924206574428</v>
      </c>
      <c r="S28" s="243">
        <v>0.70367458258646132</v>
      </c>
      <c r="T28" s="243">
        <v>0.84036697115434977</v>
      </c>
      <c r="U28" s="243">
        <v>4.3729290163397057E-2</v>
      </c>
      <c r="V28" s="243">
        <v>0.51779119292547493</v>
      </c>
      <c r="W28" s="243">
        <v>6.927288637864952E-3</v>
      </c>
      <c r="X28" s="243">
        <v>2.2951266916456659E-2</v>
      </c>
      <c r="Y28" s="243">
        <v>7.472770944663254E-2</v>
      </c>
      <c r="Z28" s="243">
        <v>8.4049487566987616E-2</v>
      </c>
      <c r="AA28" s="243">
        <v>3.2762924330021446E-2</v>
      </c>
      <c r="AB28" s="243">
        <v>1.8077667493796527E-2</v>
      </c>
      <c r="AC28" s="243">
        <v>0.18602147252152224</v>
      </c>
      <c r="AD28" s="243" t="s">
        <v>93</v>
      </c>
      <c r="AE28" s="243" t="s">
        <v>93</v>
      </c>
      <c r="AF28" s="243" t="s">
        <v>93</v>
      </c>
      <c r="AG28" s="244" t="s">
        <v>93</v>
      </c>
      <c r="AH28" s="243" t="s">
        <v>93</v>
      </c>
      <c r="AI28" s="244"/>
      <c r="AJ28" s="244"/>
      <c r="AK28" s="243"/>
      <c r="AL28" s="243"/>
      <c r="AM28" s="243"/>
      <c r="AN28" s="244"/>
      <c r="AO28" s="65" t="s">
        <v>24</v>
      </c>
    </row>
    <row r="29" spans="1:41" ht="14.1" hidden="1" customHeight="1">
      <c r="A29" s="65" t="s">
        <v>25</v>
      </c>
      <c r="B29" s="243">
        <v>0.9317612903225807</v>
      </c>
      <c r="C29" s="243">
        <v>1.1460545425806452</v>
      </c>
      <c r="D29" s="243">
        <v>0.70972309354838703</v>
      </c>
      <c r="E29" s="243">
        <v>0.25368276188453448</v>
      </c>
      <c r="F29" s="243">
        <v>0.11500840685215669</v>
      </c>
      <c r="G29" s="243">
        <v>0.15363937103864864</v>
      </c>
      <c r="H29" s="243">
        <v>0.11989232590323289</v>
      </c>
      <c r="I29" s="243">
        <v>1.670947147741936</v>
      </c>
      <c r="J29" s="243">
        <v>1.0351821085887091E-2</v>
      </c>
      <c r="K29" s="243">
        <v>0.12272609466056038</v>
      </c>
      <c r="L29" s="243">
        <v>0.73812219655267741</v>
      </c>
      <c r="M29" s="243" t="s">
        <v>93</v>
      </c>
      <c r="N29" s="243">
        <v>0.77221183275795247</v>
      </c>
      <c r="O29" s="243">
        <v>3.1906623378203536</v>
      </c>
      <c r="P29" s="243">
        <v>0.14482128157351856</v>
      </c>
      <c r="Q29" s="243">
        <v>0.28344555301409696</v>
      </c>
      <c r="R29" s="243">
        <v>0.56071193449262546</v>
      </c>
      <c r="S29" s="243">
        <v>0.6932974453883558</v>
      </c>
      <c r="T29" s="243">
        <v>0.84190453042379354</v>
      </c>
      <c r="U29" s="243">
        <v>4.335068286180082E-2</v>
      </c>
      <c r="V29" s="243">
        <v>0.51678183531304711</v>
      </c>
      <c r="W29" s="243">
        <v>6.8747048522470652E-3</v>
      </c>
      <c r="X29" s="243">
        <v>2.2755606641300333E-2</v>
      </c>
      <c r="Y29" s="243">
        <v>7.4079581119456284E-2</v>
      </c>
      <c r="Z29" s="243">
        <v>8.2654515753396635E-2</v>
      </c>
      <c r="AA29" s="243">
        <v>3.2718787412825981E-2</v>
      </c>
      <c r="AB29" s="243">
        <v>1.7918982630272959E-2</v>
      </c>
      <c r="AC29" s="243">
        <v>0.18450718492494406</v>
      </c>
      <c r="AD29" s="243" t="s">
        <v>93</v>
      </c>
      <c r="AE29" s="243" t="s">
        <v>93</v>
      </c>
      <c r="AF29" s="243" t="s">
        <v>93</v>
      </c>
      <c r="AG29" s="244" t="s">
        <v>93</v>
      </c>
      <c r="AH29" s="243" t="s">
        <v>93</v>
      </c>
      <c r="AI29" s="244"/>
      <c r="AJ29" s="244"/>
      <c r="AK29" s="243"/>
      <c r="AL29" s="243"/>
      <c r="AM29" s="243"/>
      <c r="AN29" s="244"/>
      <c r="AO29" s="65" t="s">
        <v>25</v>
      </c>
    </row>
    <row r="30" spans="1:41" ht="14.1" hidden="1" customHeight="1">
      <c r="A30" s="65" t="s">
        <v>26</v>
      </c>
      <c r="B30" s="243">
        <v>0.91821333333333333</v>
      </c>
      <c r="C30" s="243">
        <v>1.1272746293333331</v>
      </c>
      <c r="D30" s="243">
        <v>0.7027109853333332</v>
      </c>
      <c r="E30" s="243">
        <v>0.2499979592435905</v>
      </c>
      <c r="F30" s="243">
        <v>0.11347107536667306</v>
      </c>
      <c r="G30" s="243">
        <v>0.15114602963087584</v>
      </c>
      <c r="H30" s="243">
        <v>0.11828619804819741</v>
      </c>
      <c r="I30" s="243">
        <v>1.6631714913333329</v>
      </c>
      <c r="J30" s="243">
        <v>1.0188192175940334E-2</v>
      </c>
      <c r="K30" s="243">
        <v>0.12077427632712867</v>
      </c>
      <c r="L30" s="243">
        <v>0.72788603910869554</v>
      </c>
      <c r="M30" s="243" t="s">
        <v>93</v>
      </c>
      <c r="N30" s="243">
        <v>0.77825588664938128</v>
      </c>
      <c r="O30" s="243">
        <v>3.1442849540148257</v>
      </c>
      <c r="P30" s="243">
        <v>0.14442649588765502</v>
      </c>
      <c r="Q30" s="243">
        <v>0.28712439427618613</v>
      </c>
      <c r="R30" s="243">
        <v>0.54649385834538866</v>
      </c>
      <c r="S30" s="243">
        <v>0.68443487599813713</v>
      </c>
      <c r="T30" s="243">
        <v>0.82756364418676853</v>
      </c>
      <c r="U30" s="243">
        <v>4.2687742135440895E-2</v>
      </c>
      <c r="V30" s="243">
        <v>0.51125344762115832</v>
      </c>
      <c r="W30" s="243">
        <v>6.776482164821648E-3</v>
      </c>
      <c r="X30" s="243">
        <v>2.2445443082204895E-2</v>
      </c>
      <c r="Y30" s="243">
        <v>7.3054426368488121E-2</v>
      </c>
      <c r="Z30" s="243">
        <v>8.1064839747268261E-2</v>
      </c>
      <c r="AA30" s="243">
        <v>3.2359915629243674E-2</v>
      </c>
      <c r="AB30" s="243">
        <v>1.7657948717948721E-2</v>
      </c>
      <c r="AC30" s="243">
        <v>0.18182442244224423</v>
      </c>
      <c r="AD30" s="243" t="s">
        <v>93</v>
      </c>
      <c r="AE30" s="243" t="s">
        <v>93</v>
      </c>
      <c r="AF30" s="243" t="s">
        <v>93</v>
      </c>
      <c r="AG30" s="244" t="s">
        <v>93</v>
      </c>
      <c r="AH30" s="243" t="s">
        <v>93</v>
      </c>
      <c r="AI30" s="244"/>
      <c r="AJ30" s="244"/>
      <c r="AK30" s="243"/>
      <c r="AL30" s="243"/>
      <c r="AM30" s="243"/>
      <c r="AN30" s="244"/>
      <c r="AO30" s="65" t="s">
        <v>26</v>
      </c>
    </row>
    <row r="31" spans="1:41" ht="14.1" hidden="1" customHeight="1">
      <c r="A31" s="65" t="s">
        <v>27</v>
      </c>
      <c r="B31" s="243">
        <v>0.91884516129032257</v>
      </c>
      <c r="C31" s="243">
        <v>1.1071290303225805</v>
      </c>
      <c r="D31" s="243">
        <v>0.69390404645161297</v>
      </c>
      <c r="E31" s="243">
        <v>0.25018170116147365</v>
      </c>
      <c r="F31" s="243">
        <v>0.11358366513383196</v>
      </c>
      <c r="G31" s="243">
        <v>0.1483666417964476</v>
      </c>
      <c r="H31" s="243">
        <v>0.11846284854395997</v>
      </c>
      <c r="I31" s="243">
        <v>1.6232526309677415</v>
      </c>
      <c r="J31" s="243">
        <v>1.0163590353503168E-2</v>
      </c>
      <c r="K31" s="243">
        <v>0.11754840069127226</v>
      </c>
      <c r="L31" s="243">
        <v>0.71470374159508632</v>
      </c>
      <c r="M31" s="243" t="s">
        <v>93</v>
      </c>
      <c r="N31" s="243">
        <v>0.78097546362886072</v>
      </c>
      <c r="O31" s="243">
        <v>3.1464936406574902</v>
      </c>
      <c r="P31" s="243">
        <v>0.14129897303877267</v>
      </c>
      <c r="Q31" s="243">
        <v>0.2822908172662838</v>
      </c>
      <c r="R31" s="243">
        <v>0.54378761113223251</v>
      </c>
      <c r="S31" s="243">
        <v>0.6764689334881907</v>
      </c>
      <c r="T31" s="243">
        <v>0.80214971445406213</v>
      </c>
      <c r="U31" s="243">
        <v>4.2706711752049889E-2</v>
      </c>
      <c r="V31" s="243">
        <v>0.51117106232422893</v>
      </c>
      <c r="W31" s="243">
        <v>6.8563100876095663E-3</v>
      </c>
      <c r="X31" s="243">
        <v>2.2491597396931948E-2</v>
      </c>
      <c r="Y31" s="243">
        <v>7.2942770494991427E-2</v>
      </c>
      <c r="Z31" s="243">
        <v>8.0229949526523667E-2</v>
      </c>
      <c r="AA31" s="243">
        <v>3.2184635065085954E-2</v>
      </c>
      <c r="AB31" s="243">
        <v>1.7670099255583119E-2</v>
      </c>
      <c r="AC31" s="243">
        <v>0.18244805085423255</v>
      </c>
      <c r="AD31" s="243" t="s">
        <v>93</v>
      </c>
      <c r="AE31" s="243" t="s">
        <v>93</v>
      </c>
      <c r="AF31" s="243" t="s">
        <v>93</v>
      </c>
      <c r="AG31" s="244" t="s">
        <v>93</v>
      </c>
      <c r="AH31" s="243" t="s">
        <v>93</v>
      </c>
      <c r="AI31" s="244"/>
      <c r="AJ31" s="244"/>
      <c r="AK31" s="243"/>
      <c r="AL31" s="243"/>
      <c r="AM31" s="243"/>
      <c r="AN31" s="244"/>
      <c r="AO31" s="65" t="s">
        <v>27</v>
      </c>
    </row>
    <row r="32" spans="1:41" ht="14.1" hidden="1" customHeight="1">
      <c r="A32" s="65" t="s">
        <v>28</v>
      </c>
      <c r="B32" s="243">
        <v>0.91912666666666665</v>
      </c>
      <c r="C32" s="243">
        <v>1.0853499406666667</v>
      </c>
      <c r="D32" s="243">
        <v>0.67607942199999993</v>
      </c>
      <c r="E32" s="243">
        <v>0.25023663493947507</v>
      </c>
      <c r="F32" s="243">
        <v>0.1137060226401338</v>
      </c>
      <c r="G32" s="243">
        <v>0.14548709181588892</v>
      </c>
      <c r="H32" s="243">
        <v>0.11852582694266087</v>
      </c>
      <c r="I32" s="243">
        <v>1.5973073760000001</v>
      </c>
      <c r="J32" s="243">
        <v>1.0142262349784527E-2</v>
      </c>
      <c r="K32" s="243">
        <v>0.1133234359929538</v>
      </c>
      <c r="L32" s="243">
        <v>0.70251161827154929</v>
      </c>
      <c r="M32" s="243" t="s">
        <v>93</v>
      </c>
      <c r="N32" s="243">
        <v>0.77719956812035917</v>
      </c>
      <c r="O32" s="243">
        <v>3.1475486519478184</v>
      </c>
      <c r="P32" s="243">
        <v>0.13880786028251682</v>
      </c>
      <c r="Q32" s="243">
        <v>0.27330086273286036</v>
      </c>
      <c r="R32" s="243">
        <v>0.54123866309599067</v>
      </c>
      <c r="S32" s="243">
        <v>0.67747042556243198</v>
      </c>
      <c r="T32" s="243">
        <v>0.77697010744460138</v>
      </c>
      <c r="U32" s="243">
        <v>4.2722925598743966E-2</v>
      </c>
      <c r="V32" s="243">
        <v>0.51186870666965301</v>
      </c>
      <c r="W32" s="243">
        <v>6.8552789712268336E-3</v>
      </c>
      <c r="X32" s="243">
        <v>2.2483722827245704E-2</v>
      </c>
      <c r="Y32" s="243">
        <v>7.2098086319141469E-2</v>
      </c>
      <c r="Z32" s="243">
        <v>7.9273090199349805E-2</v>
      </c>
      <c r="AA32" s="243">
        <v>3.1960881812892528E-2</v>
      </c>
      <c r="AB32" s="243">
        <v>1.7675512820512815E-2</v>
      </c>
      <c r="AC32" s="243">
        <v>0.18308454413377181</v>
      </c>
      <c r="AD32" s="243" t="s">
        <v>93</v>
      </c>
      <c r="AE32" s="243" t="s">
        <v>93</v>
      </c>
      <c r="AF32" s="243" t="s">
        <v>93</v>
      </c>
      <c r="AG32" s="244" t="s">
        <v>93</v>
      </c>
      <c r="AH32" s="243" t="s">
        <v>93</v>
      </c>
      <c r="AI32" s="244"/>
      <c r="AJ32" s="244"/>
      <c r="AK32" s="243"/>
      <c r="AL32" s="243"/>
      <c r="AM32" s="243"/>
      <c r="AN32" s="244"/>
      <c r="AO32" s="65" t="s">
        <v>28</v>
      </c>
    </row>
    <row r="33" spans="1:41" ht="14.1" hidden="1" customHeight="1">
      <c r="A33" s="65" t="s">
        <v>29</v>
      </c>
      <c r="B33" s="243">
        <v>0.91834838709677424</v>
      </c>
      <c r="C33" s="243">
        <v>1.0886293738709671</v>
      </c>
      <c r="D33" s="243">
        <v>0.68124658645161318</v>
      </c>
      <c r="E33" s="243">
        <v>0.25002546926104335</v>
      </c>
      <c r="F33" s="243">
        <v>0.11372289451158445</v>
      </c>
      <c r="G33" s="243">
        <v>0.14603762021361588</v>
      </c>
      <c r="H33" s="243">
        <v>0.1184384460398398</v>
      </c>
      <c r="I33" s="243">
        <v>1.6027540574193546</v>
      </c>
      <c r="J33" s="243">
        <v>1.0112916370959209E-2</v>
      </c>
      <c r="K33" s="243">
        <v>0.11525378865668488</v>
      </c>
      <c r="L33" s="243">
        <v>0.70346464499264705</v>
      </c>
      <c r="M33" s="243" t="s">
        <v>93</v>
      </c>
      <c r="N33" s="243">
        <v>0.79030891039967266</v>
      </c>
      <c r="O33" s="243">
        <v>3.1447682168656104</v>
      </c>
      <c r="P33" s="243">
        <v>0.13652114086313477</v>
      </c>
      <c r="Q33" s="243">
        <v>0.2822437137518875</v>
      </c>
      <c r="R33" s="243">
        <v>0.54819006295648209</v>
      </c>
      <c r="S33" s="243">
        <v>0.67904406685669028</v>
      </c>
      <c r="T33" s="243">
        <v>0.77563608947417739</v>
      </c>
      <c r="U33" s="243">
        <v>4.2668988377553486E-2</v>
      </c>
      <c r="V33" s="243">
        <v>0.51539270197984854</v>
      </c>
      <c r="W33" s="243">
        <v>6.8637733901062087E-3</v>
      </c>
      <c r="X33" s="243">
        <v>2.2256229823178025E-2</v>
      </c>
      <c r="Y33" s="243">
        <v>7.166752895089408E-2</v>
      </c>
      <c r="Z33" s="243">
        <v>7.8249380220585918E-2</v>
      </c>
      <c r="AA33" s="243">
        <v>3.1877085087320498E-2</v>
      </c>
      <c r="AB33" s="243">
        <v>1.7660545905707193E-2</v>
      </c>
      <c r="AC33" s="243">
        <v>0.18263915960954086</v>
      </c>
      <c r="AD33" s="243" t="s">
        <v>93</v>
      </c>
      <c r="AE33" s="243" t="s">
        <v>93</v>
      </c>
      <c r="AF33" s="243" t="s">
        <v>93</v>
      </c>
      <c r="AG33" s="244" t="s">
        <v>93</v>
      </c>
      <c r="AH33" s="243" t="s">
        <v>93</v>
      </c>
      <c r="AI33" s="244"/>
      <c r="AJ33" s="244"/>
      <c r="AK33" s="243"/>
      <c r="AL33" s="243"/>
      <c r="AM33" s="243"/>
      <c r="AN33" s="244"/>
      <c r="AO33" s="65" t="s">
        <v>29</v>
      </c>
    </row>
    <row r="34" spans="1:41" ht="14.1" hidden="1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245"/>
      <c r="AH34" s="66"/>
      <c r="AI34" s="245"/>
      <c r="AJ34" s="245"/>
      <c r="AK34" s="66"/>
      <c r="AL34" s="66"/>
      <c r="AM34" s="66"/>
      <c r="AN34" s="245"/>
      <c r="AO34" s="66"/>
    </row>
    <row r="35" spans="1:41" ht="14.1" hidden="1" customHeight="1">
      <c r="A35" s="65" t="s">
        <v>181</v>
      </c>
      <c r="B35" s="243">
        <v>0.89273775985663084</v>
      </c>
      <c r="C35" s="243">
        <v>1.1231102056151432</v>
      </c>
      <c r="D35" s="243">
        <v>0.67414568193951607</v>
      </c>
      <c r="E35" s="243">
        <v>0.24307402682488041</v>
      </c>
      <c r="F35" s="243">
        <v>0.11207214721150816</v>
      </c>
      <c r="G35" s="243">
        <v>0.15057661109637274</v>
      </c>
      <c r="H35" s="243">
        <v>0.11493064097721377</v>
      </c>
      <c r="I35" s="243">
        <v>1.6485125727214858</v>
      </c>
      <c r="J35" s="243">
        <v>9.735790304360413E-3</v>
      </c>
      <c r="K35" s="243">
        <v>0.12145617601962737</v>
      </c>
      <c r="L35" s="243">
        <v>0.71371443771119603</v>
      </c>
      <c r="M35" s="243">
        <v>0.20152287708417099</v>
      </c>
      <c r="N35" s="243">
        <v>0.78755315548331051</v>
      </c>
      <c r="O35" s="243">
        <v>3.0758616731392432</v>
      </c>
      <c r="P35" s="243">
        <v>0.13949636016196279</v>
      </c>
      <c r="Q35" s="243">
        <v>0.2882005760235507</v>
      </c>
      <c r="R35" s="243">
        <v>0.56275011307625322</v>
      </c>
      <c r="S35" s="243">
        <v>0.62510332185771578</v>
      </c>
      <c r="T35" s="243">
        <v>0.76670713727910389</v>
      </c>
      <c r="U35" s="243">
        <v>4.1603834443135222E-2</v>
      </c>
      <c r="V35" s="243">
        <v>0.50386269222107438</v>
      </c>
      <c r="W35" s="243">
        <v>7.0780934721574396E-3</v>
      </c>
      <c r="X35" s="243">
        <v>2.2305067090561195E-2</v>
      </c>
      <c r="Y35" s="243">
        <v>6.8012962227981158E-2</v>
      </c>
      <c r="Z35" s="243">
        <v>7.3250563474894337E-2</v>
      </c>
      <c r="AA35" s="243">
        <v>3.2870442444326214E-2</v>
      </c>
      <c r="AB35" s="243">
        <v>1.7168033843396751E-2</v>
      </c>
      <c r="AC35" s="243">
        <v>0.1772219178351396</v>
      </c>
      <c r="AD35" s="243" t="s">
        <v>93</v>
      </c>
      <c r="AE35" s="243" t="s">
        <v>93</v>
      </c>
      <c r="AF35" s="243" t="s">
        <v>93</v>
      </c>
      <c r="AG35" s="244" t="s">
        <v>93</v>
      </c>
      <c r="AH35" s="243" t="s">
        <v>93</v>
      </c>
      <c r="AI35" s="244"/>
      <c r="AJ35" s="244"/>
      <c r="AK35" s="243"/>
      <c r="AL35" s="243"/>
      <c r="AM35" s="243"/>
      <c r="AN35" s="244"/>
      <c r="AO35" s="65" t="s">
        <v>181</v>
      </c>
    </row>
    <row r="36" spans="1:41" ht="14.1" hidden="1" customHeight="1">
      <c r="A36" s="65" t="s">
        <v>18</v>
      </c>
      <c r="B36" s="243">
        <v>0.91723225806451636</v>
      </c>
      <c r="C36" s="243">
        <v>1.1100060038709676</v>
      </c>
      <c r="D36" s="243">
        <v>0.68643241258064536</v>
      </c>
      <c r="E36" s="243">
        <v>0.24971863477094891</v>
      </c>
      <c r="F36" s="243">
        <v>0.11371612703504276</v>
      </c>
      <c r="G36" s="243">
        <v>0.14876920233734062</v>
      </c>
      <c r="H36" s="243">
        <v>0.11829071204802508</v>
      </c>
      <c r="I36" s="243">
        <v>1.6166277306451615</v>
      </c>
      <c r="J36" s="243">
        <v>1.0075639849682252E-2</v>
      </c>
      <c r="K36" s="243">
        <v>0.1191042949619477</v>
      </c>
      <c r="L36" s="243">
        <v>0.71627149057853945</v>
      </c>
      <c r="M36" s="243" t="s">
        <v>93</v>
      </c>
      <c r="N36" s="243">
        <v>0.79103827915112135</v>
      </c>
      <c r="O36" s="243">
        <v>3.140660016872451</v>
      </c>
      <c r="P36" s="243">
        <v>0.13797538738232076</v>
      </c>
      <c r="Q36" s="243">
        <v>0.29000950981659779</v>
      </c>
      <c r="R36" s="243">
        <v>0.56096308080564028</v>
      </c>
      <c r="S36" s="243">
        <v>0.68717610687285735</v>
      </c>
      <c r="T36" s="243">
        <v>0.79357968864449213</v>
      </c>
      <c r="U36" s="243">
        <v>4.2602348013034468E-2</v>
      </c>
      <c r="V36" s="243">
        <v>0.51059884401035316</v>
      </c>
      <c r="W36" s="243">
        <v>6.8883224631034424E-3</v>
      </c>
      <c r="X36" s="243">
        <v>2.2206729552459718E-2</v>
      </c>
      <c r="Y36" s="243">
        <v>7.1201571119186596E-2</v>
      </c>
      <c r="Z36" s="243">
        <v>7.7526156789894551E-2</v>
      </c>
      <c r="AA36" s="243">
        <v>3.2305221335223483E-2</v>
      </c>
      <c r="AB36" s="243">
        <v>1.7639081885856073E-2</v>
      </c>
      <c r="AC36" s="243">
        <v>0.18107901112530939</v>
      </c>
      <c r="AD36" s="243" t="s">
        <v>93</v>
      </c>
      <c r="AE36" s="243" t="s">
        <v>93</v>
      </c>
      <c r="AF36" s="243" t="s">
        <v>93</v>
      </c>
      <c r="AG36" s="244" t="s">
        <v>93</v>
      </c>
      <c r="AH36" s="243" t="s">
        <v>93</v>
      </c>
      <c r="AI36" s="244"/>
      <c r="AJ36" s="244"/>
      <c r="AK36" s="243"/>
      <c r="AL36" s="243"/>
      <c r="AM36" s="243"/>
      <c r="AN36" s="244"/>
      <c r="AO36" s="65" t="s">
        <v>18</v>
      </c>
    </row>
    <row r="37" spans="1:41" ht="14.1" hidden="1" customHeight="1">
      <c r="A37" s="65" t="s">
        <v>19</v>
      </c>
      <c r="B37" s="243">
        <v>0.9140499999999997</v>
      </c>
      <c r="C37" s="243">
        <v>1.093191185</v>
      </c>
      <c r="D37" s="243">
        <v>0.67821786000000006</v>
      </c>
      <c r="E37" s="243">
        <v>0.2488522864813548</v>
      </c>
      <c r="F37" s="243">
        <v>0.11351068647919034</v>
      </c>
      <c r="G37" s="243">
        <v>0.14644785443013353</v>
      </c>
      <c r="H37" s="243">
        <v>0.11779069075404393</v>
      </c>
      <c r="I37" s="243">
        <v>1.6000777544642857</v>
      </c>
      <c r="J37" s="243">
        <v>1.0017855229455809E-2</v>
      </c>
      <c r="K37" s="243">
        <v>0.11713392738546222</v>
      </c>
      <c r="L37" s="243">
        <v>0.70145341991841392</v>
      </c>
      <c r="M37" s="243" t="s">
        <v>93</v>
      </c>
      <c r="N37" s="243">
        <v>0.79503282120446117</v>
      </c>
      <c r="O37" s="243">
        <v>3.1290317478432428</v>
      </c>
      <c r="P37" s="243">
        <v>0.13567375790816708</v>
      </c>
      <c r="Q37" s="243">
        <v>0.28796387074811364</v>
      </c>
      <c r="R37" s="243">
        <v>0.5608753986983932</v>
      </c>
      <c r="S37" s="243">
        <v>0.69069361686945174</v>
      </c>
      <c r="T37" s="243">
        <v>0.77532385048439545</v>
      </c>
      <c r="U37" s="243">
        <v>4.2483800511304994E-2</v>
      </c>
      <c r="V37" s="243">
        <v>0.50449915100660514</v>
      </c>
      <c r="W37" s="243">
        <v>6.9645664791730616E-3</v>
      </c>
      <c r="X37" s="243">
        <v>2.208996437397636E-2</v>
      </c>
      <c r="Y37" s="243">
        <v>7.0435080609704659E-2</v>
      </c>
      <c r="Z37" s="243">
        <v>7.6535828235591977E-2</v>
      </c>
      <c r="AA37" s="243">
        <v>3.2421269778423939E-2</v>
      </c>
      <c r="AB37" s="243">
        <v>1.7577884615384624E-2</v>
      </c>
      <c r="AC37" s="243">
        <v>0.18071339475211254</v>
      </c>
      <c r="AD37" s="243" t="s">
        <v>93</v>
      </c>
      <c r="AE37" s="243" t="s">
        <v>93</v>
      </c>
      <c r="AF37" s="243" t="s">
        <v>93</v>
      </c>
      <c r="AG37" s="244" t="s">
        <v>93</v>
      </c>
      <c r="AH37" s="243" t="s">
        <v>93</v>
      </c>
      <c r="AI37" s="244"/>
      <c r="AJ37" s="244"/>
      <c r="AK37" s="243"/>
      <c r="AL37" s="243"/>
      <c r="AM37" s="243"/>
      <c r="AN37" s="244"/>
      <c r="AO37" s="65" t="s">
        <v>19</v>
      </c>
    </row>
    <row r="38" spans="1:41" ht="14.1" hidden="1" customHeight="1">
      <c r="A38" s="65" t="s">
        <v>20</v>
      </c>
      <c r="B38" s="243">
        <v>0.91094193548387081</v>
      </c>
      <c r="C38" s="243">
        <v>1.0954476314516128</v>
      </c>
      <c r="D38" s="243">
        <v>0.6646647006451617</v>
      </c>
      <c r="E38" s="243">
        <v>0.24802719726259448</v>
      </c>
      <c r="F38" s="243">
        <v>0.11336969426387589</v>
      </c>
      <c r="G38" s="243">
        <v>0.14682757987154077</v>
      </c>
      <c r="H38" s="243">
        <v>0.11739489603100575</v>
      </c>
      <c r="I38" s="243">
        <v>1.5899480748387096</v>
      </c>
      <c r="J38" s="243">
        <v>9.9857659788956631E-3</v>
      </c>
      <c r="K38" s="243">
        <v>0.11661524904511672</v>
      </c>
      <c r="L38" s="243">
        <v>0.6982662916811172</v>
      </c>
      <c r="M38" s="243">
        <v>0.1946508013270975</v>
      </c>
      <c r="N38" s="243">
        <v>0.78904939771565785</v>
      </c>
      <c r="O38" s="243">
        <v>3.1189403136161427</v>
      </c>
      <c r="P38" s="243">
        <v>0.13709728099268065</v>
      </c>
      <c r="Q38" s="243">
        <v>0.28323434246136869</v>
      </c>
      <c r="R38" s="243">
        <v>0.56161796870102421</v>
      </c>
      <c r="S38" s="243">
        <v>0.68383814595803261</v>
      </c>
      <c r="T38" s="243">
        <v>0.77637453169416948</v>
      </c>
      <c r="U38" s="243">
        <v>4.2340880130694397E-2</v>
      </c>
      <c r="V38" s="243">
        <v>0.4991647536714196</v>
      </c>
      <c r="W38" s="243">
        <v>7.0822811286387977E-3</v>
      </c>
      <c r="X38" s="243">
        <v>2.2055210081539128E-2</v>
      </c>
      <c r="Y38" s="243">
        <v>6.9829470908880545E-2</v>
      </c>
      <c r="Z38" s="243">
        <v>7.5632966357459086E-2</v>
      </c>
      <c r="AA38" s="243">
        <v>3.2673419508928124E-2</v>
      </c>
      <c r="AB38" s="243">
        <v>1.7518114143920602E-2</v>
      </c>
      <c r="AC38" s="243">
        <v>0.18000974970494973</v>
      </c>
      <c r="AD38" s="243" t="s">
        <v>93</v>
      </c>
      <c r="AE38" s="243" t="s">
        <v>93</v>
      </c>
      <c r="AF38" s="243" t="s">
        <v>93</v>
      </c>
      <c r="AG38" s="244" t="s">
        <v>93</v>
      </c>
      <c r="AH38" s="243" t="s">
        <v>93</v>
      </c>
      <c r="AI38" s="244"/>
      <c r="AJ38" s="244"/>
      <c r="AK38" s="243"/>
      <c r="AL38" s="243"/>
      <c r="AM38" s="243"/>
      <c r="AN38" s="244"/>
      <c r="AO38" s="65" t="s">
        <v>20</v>
      </c>
    </row>
    <row r="39" spans="1:41" ht="14.1" hidden="1" customHeight="1">
      <c r="A39" s="65" t="s">
        <v>21</v>
      </c>
      <c r="B39" s="243">
        <v>0.90615666666666661</v>
      </c>
      <c r="C39" s="243">
        <v>1.1099529144999998</v>
      </c>
      <c r="D39" s="243">
        <v>0.66516409483333327</v>
      </c>
      <c r="E39" s="243">
        <v>0.24671020308203268</v>
      </c>
      <c r="F39" s="243">
        <v>0.11305151711050013</v>
      </c>
      <c r="G39" s="243">
        <v>0.14874922229034154</v>
      </c>
      <c r="H39" s="243">
        <v>0.11681898245029944</v>
      </c>
      <c r="I39" s="243">
        <v>1.5984857714999992</v>
      </c>
      <c r="J39" s="243">
        <v>9.9174225398818306E-3</v>
      </c>
      <c r="K39" s="243">
        <v>0.11893005154619743</v>
      </c>
      <c r="L39" s="243">
        <v>0.70439703866825665</v>
      </c>
      <c r="M39" s="243">
        <v>0.19754794604698109</v>
      </c>
      <c r="N39" s="243">
        <v>0.79027153127683158</v>
      </c>
      <c r="O39" s="243">
        <v>3.1027340801027208</v>
      </c>
      <c r="P39" s="243">
        <v>0.14129378181947333</v>
      </c>
      <c r="Q39" s="243">
        <v>0.28308807179712786</v>
      </c>
      <c r="R39" s="243">
        <v>0.56555439238302485</v>
      </c>
      <c r="S39" s="243">
        <v>0.677240201015195</v>
      </c>
      <c r="T39" s="243">
        <v>0.7734360243342534</v>
      </c>
      <c r="U39" s="243">
        <v>4.2138829879401429E-2</v>
      </c>
      <c r="V39" s="243">
        <v>0.49804717835181489</v>
      </c>
      <c r="W39" s="243">
        <v>7.1566221626837437E-3</v>
      </c>
      <c r="X39" s="243">
        <v>2.2078756517498833E-2</v>
      </c>
      <c r="Y39" s="243">
        <v>6.9534090898501169E-2</v>
      </c>
      <c r="Z39" s="243">
        <v>7.4574336987274226E-2</v>
      </c>
      <c r="AA39" s="243">
        <v>3.2870650033704422E-2</v>
      </c>
      <c r="AB39" s="243">
        <v>1.7426089743589744E-2</v>
      </c>
      <c r="AC39" s="243">
        <v>0.17926965018259902</v>
      </c>
      <c r="AD39" s="243" t="s">
        <v>93</v>
      </c>
      <c r="AE39" s="243" t="s">
        <v>93</v>
      </c>
      <c r="AF39" s="243" t="s">
        <v>93</v>
      </c>
      <c r="AG39" s="244" t="s">
        <v>93</v>
      </c>
      <c r="AH39" s="243" t="s">
        <v>93</v>
      </c>
      <c r="AI39" s="244"/>
      <c r="AJ39" s="244"/>
      <c r="AK39" s="243"/>
      <c r="AL39" s="243"/>
      <c r="AM39" s="243"/>
      <c r="AN39" s="244"/>
      <c r="AO39" s="65" t="s">
        <v>21</v>
      </c>
    </row>
    <row r="40" spans="1:41" ht="14.1" hidden="1" customHeight="1">
      <c r="A40" s="65" t="s">
        <v>22</v>
      </c>
      <c r="B40" s="243">
        <v>0.90144838709677411</v>
      </c>
      <c r="C40" s="243">
        <v>1.1510523075806447</v>
      </c>
      <c r="D40" s="243">
        <v>0.68890106822580643</v>
      </c>
      <c r="E40" s="243">
        <v>0.24544718357357881</v>
      </c>
      <c r="F40" s="243">
        <v>0.11248158989550659</v>
      </c>
      <c r="G40" s="243">
        <v>0.15437154606072057</v>
      </c>
      <c r="H40" s="243">
        <v>0.11625510175780035</v>
      </c>
      <c r="I40" s="243">
        <v>1.6847485988709672</v>
      </c>
      <c r="J40" s="243">
        <v>9.8527512848930951E-3</v>
      </c>
      <c r="K40" s="243">
        <v>0.12334372310030162</v>
      </c>
      <c r="L40" s="243">
        <v>0.73960010899292072</v>
      </c>
      <c r="M40" s="243">
        <v>0.20145864495153304</v>
      </c>
      <c r="N40" s="243">
        <v>0.81184186993046947</v>
      </c>
      <c r="O40" s="243">
        <v>3.1063718595549239</v>
      </c>
      <c r="P40" s="243">
        <v>0.14774757791657206</v>
      </c>
      <c r="Q40" s="243">
        <v>0.29560649026213204</v>
      </c>
      <c r="R40" s="243">
        <v>0.57180149787538526</v>
      </c>
      <c r="S40" s="243">
        <v>0.63341827079002555</v>
      </c>
      <c r="T40" s="243">
        <v>0.80644009776763703</v>
      </c>
      <c r="U40" s="243">
        <v>4.1977758120945237E-2</v>
      </c>
      <c r="V40" s="243">
        <v>0.49965287839872347</v>
      </c>
      <c r="W40" s="243">
        <v>7.360175461575651E-3</v>
      </c>
      <c r="X40" s="243">
        <v>2.215870018677674E-2</v>
      </c>
      <c r="Y40" s="243">
        <v>6.8856750416920243E-2</v>
      </c>
      <c r="Z40" s="243">
        <v>7.3866796004519286E-2</v>
      </c>
      <c r="AA40" s="243">
        <v>3.3321917130559126E-2</v>
      </c>
      <c r="AB40" s="243">
        <v>1.7335545905707194E-2</v>
      </c>
      <c r="AC40" s="243">
        <v>0.1795163267691271</v>
      </c>
      <c r="AD40" s="243" t="s">
        <v>93</v>
      </c>
      <c r="AE40" s="243" t="s">
        <v>93</v>
      </c>
      <c r="AF40" s="243" t="s">
        <v>93</v>
      </c>
      <c r="AG40" s="244" t="s">
        <v>93</v>
      </c>
      <c r="AH40" s="243" t="s">
        <v>93</v>
      </c>
      <c r="AI40" s="244"/>
      <c r="AJ40" s="244"/>
      <c r="AK40" s="243"/>
      <c r="AL40" s="243"/>
      <c r="AM40" s="243"/>
      <c r="AN40" s="244"/>
      <c r="AO40" s="65" t="s">
        <v>22</v>
      </c>
    </row>
    <row r="41" spans="1:41" ht="14.1" hidden="1" customHeight="1">
      <c r="A41" s="65" t="s">
        <v>23</v>
      </c>
      <c r="B41" s="243">
        <v>0.89694000000000029</v>
      </c>
      <c r="C41" s="243">
        <v>1.1361212593333334</v>
      </c>
      <c r="D41" s="243">
        <v>0.66462530666666675</v>
      </c>
      <c r="E41" s="243">
        <v>0.24427977304713219</v>
      </c>
      <c r="F41" s="243">
        <v>0.1118991556315224</v>
      </c>
      <c r="G41" s="243">
        <v>0.15236413738001817</v>
      </c>
      <c r="H41" s="243">
        <v>0.11553792950093959</v>
      </c>
      <c r="I41" s="243">
        <v>1.6551988024999995</v>
      </c>
      <c r="J41" s="243">
        <v>9.7895207447819196E-3</v>
      </c>
      <c r="K41" s="243">
        <v>0.12295131079303016</v>
      </c>
      <c r="L41" s="243">
        <v>0.72825527263698164</v>
      </c>
      <c r="M41" s="243">
        <v>0.20032904609237806</v>
      </c>
      <c r="N41" s="243">
        <v>0.80572118968690576</v>
      </c>
      <c r="O41" s="243">
        <v>3.1018277846646019</v>
      </c>
      <c r="P41" s="243">
        <v>0.14465900826813041</v>
      </c>
      <c r="Q41" s="243">
        <v>0.28278905767462575</v>
      </c>
      <c r="R41" s="243">
        <v>0.56413692350619493</v>
      </c>
      <c r="S41" s="243">
        <v>0.56136788515535396</v>
      </c>
      <c r="T41" s="243">
        <v>0.78352466096743889</v>
      </c>
      <c r="U41" s="243">
        <v>4.1834717720401732E-2</v>
      </c>
      <c r="V41" s="243">
        <v>0.50349190328559368</v>
      </c>
      <c r="W41" s="243">
        <v>7.4898895338378615E-3</v>
      </c>
      <c r="X41" s="243">
        <v>2.2235088077074208E-2</v>
      </c>
      <c r="Y41" s="243">
        <v>6.7163456102709754E-2</v>
      </c>
      <c r="Z41" s="243">
        <v>7.3346389510408533E-2</v>
      </c>
      <c r="AA41" s="243">
        <v>3.3209311618763067E-2</v>
      </c>
      <c r="AB41" s="243">
        <v>1.7248846153846149E-2</v>
      </c>
      <c r="AC41" s="243">
        <v>0.17906370264824528</v>
      </c>
      <c r="AD41" s="243" t="s">
        <v>93</v>
      </c>
      <c r="AE41" s="243" t="s">
        <v>93</v>
      </c>
      <c r="AF41" s="243" t="s">
        <v>93</v>
      </c>
      <c r="AG41" s="244" t="s">
        <v>93</v>
      </c>
      <c r="AH41" s="243" t="s">
        <v>93</v>
      </c>
      <c r="AI41" s="244"/>
      <c r="AJ41" s="244"/>
      <c r="AK41" s="243"/>
      <c r="AL41" s="243"/>
      <c r="AM41" s="243"/>
      <c r="AN41" s="244"/>
      <c r="AO41" s="65" t="s">
        <v>23</v>
      </c>
    </row>
    <row r="42" spans="1:41" ht="14.1" hidden="1" customHeight="1">
      <c r="A42" s="65" t="s">
        <v>24</v>
      </c>
      <c r="B42" s="243">
        <v>0.89148387096774206</v>
      </c>
      <c r="C42" s="243">
        <v>1.1316033356451611</v>
      </c>
      <c r="D42" s="243">
        <v>0.66933055532258035</v>
      </c>
      <c r="E42" s="243">
        <v>0.24272429490065778</v>
      </c>
      <c r="F42" s="243">
        <v>0.11157125667799804</v>
      </c>
      <c r="G42" s="243">
        <v>0.15168577592520235</v>
      </c>
      <c r="H42" s="243">
        <v>0.1146868608718358</v>
      </c>
      <c r="I42" s="243">
        <v>1.6436815098387092</v>
      </c>
      <c r="J42" s="243">
        <v>9.726758141230963E-3</v>
      </c>
      <c r="K42" s="243">
        <v>0.12285542215913371</v>
      </c>
      <c r="L42" s="243">
        <v>0.7215391559062434</v>
      </c>
      <c r="M42" s="243">
        <v>0.20058391653760435</v>
      </c>
      <c r="N42" s="243">
        <v>0.79119419944164682</v>
      </c>
      <c r="O42" s="243">
        <v>3.0825983897677278</v>
      </c>
      <c r="P42" s="243">
        <v>0.14256451983454993</v>
      </c>
      <c r="Q42" s="243">
        <v>0.28285549104007585</v>
      </c>
      <c r="R42" s="243">
        <v>0.5629599332550449</v>
      </c>
      <c r="S42" s="243">
        <v>0.57353318229886785</v>
      </c>
      <c r="T42" s="243">
        <v>0.77077076949931278</v>
      </c>
      <c r="U42" s="243">
        <v>4.1595093654627366E-2</v>
      </c>
      <c r="V42" s="243">
        <v>0.50455144205806068</v>
      </c>
      <c r="W42" s="243">
        <v>7.5497239051689168E-3</v>
      </c>
      <c r="X42" s="243">
        <v>2.2321918709322177E-2</v>
      </c>
      <c r="Y42" s="243">
        <v>6.6833109720257716E-2</v>
      </c>
      <c r="Z42" s="243">
        <v>7.2730814769671873E-2</v>
      </c>
      <c r="AA42" s="243">
        <v>3.3126231490972137E-2</v>
      </c>
      <c r="AB42" s="243">
        <v>1.7143920595533498E-2</v>
      </c>
      <c r="AC42" s="243">
        <v>0.17739844458846044</v>
      </c>
      <c r="AD42" s="243" t="s">
        <v>93</v>
      </c>
      <c r="AE42" s="243" t="s">
        <v>93</v>
      </c>
      <c r="AF42" s="243" t="s">
        <v>93</v>
      </c>
      <c r="AG42" s="244" t="s">
        <v>93</v>
      </c>
      <c r="AH42" s="243" t="s">
        <v>93</v>
      </c>
      <c r="AI42" s="244"/>
      <c r="AJ42" s="244"/>
      <c r="AK42" s="243"/>
      <c r="AL42" s="243"/>
      <c r="AM42" s="243"/>
      <c r="AN42" s="244"/>
      <c r="AO42" s="65" t="s">
        <v>24</v>
      </c>
    </row>
    <row r="43" spans="1:41" ht="13.5" hidden="1" customHeight="1">
      <c r="A43" s="65" t="s">
        <v>25</v>
      </c>
      <c r="B43" s="243">
        <v>0.88149999999999995</v>
      </c>
      <c r="C43" s="243">
        <v>1.1308322749999997</v>
      </c>
      <c r="D43" s="243">
        <v>0.67192337499999999</v>
      </c>
      <c r="E43" s="243">
        <v>0.23999782191426508</v>
      </c>
      <c r="F43" s="243">
        <v>0.11078992019103878</v>
      </c>
      <c r="G43" s="243">
        <v>0.15160374924757072</v>
      </c>
      <c r="H43" s="243">
        <v>0.11334413413567863</v>
      </c>
      <c r="I43" s="243">
        <v>1.6791693499999998</v>
      </c>
      <c r="J43" s="243">
        <v>9.592991620415714E-3</v>
      </c>
      <c r="K43" s="243">
        <v>0.12232437120555073</v>
      </c>
      <c r="L43" s="243">
        <v>0.71757092270747691</v>
      </c>
      <c r="M43" s="243">
        <v>0.20150874385644077</v>
      </c>
      <c r="N43" s="243">
        <v>0.79493191450987466</v>
      </c>
      <c r="O43" s="243">
        <v>3.0483798457654663</v>
      </c>
      <c r="P43" s="243">
        <v>0.13950102469555861</v>
      </c>
      <c r="Q43" s="243">
        <v>0.28745190112828534</v>
      </c>
      <c r="R43" s="243">
        <v>0.56048323001112699</v>
      </c>
      <c r="S43" s="243">
        <v>0.60248786822500178</v>
      </c>
      <c r="T43" s="243">
        <v>0.75097972397341961</v>
      </c>
      <c r="U43" s="243">
        <v>4.1157931597992296E-2</v>
      </c>
      <c r="V43" s="243">
        <v>0.50685679786102411</v>
      </c>
      <c r="W43" s="243">
        <v>7.0424223056642955E-3</v>
      </c>
      <c r="X43" s="243">
        <v>2.2392988695541727E-2</v>
      </c>
      <c r="Y43" s="243">
        <v>6.625328823750469E-2</v>
      </c>
      <c r="Z43" s="243">
        <v>7.1754755838468368E-2</v>
      </c>
      <c r="AA43" s="243">
        <v>3.2963129160122652E-2</v>
      </c>
      <c r="AB43" s="243">
        <v>1.6951923076923076E-2</v>
      </c>
      <c r="AC43" s="243">
        <v>0.17556263692491536</v>
      </c>
      <c r="AD43" s="243" t="s">
        <v>93</v>
      </c>
      <c r="AE43" s="243" t="s">
        <v>93</v>
      </c>
      <c r="AF43" s="243" t="s">
        <v>93</v>
      </c>
      <c r="AG43" s="244" t="s">
        <v>93</v>
      </c>
      <c r="AH43" s="243" t="s">
        <v>93</v>
      </c>
      <c r="AI43" s="244"/>
      <c r="AJ43" s="244"/>
      <c r="AK43" s="243"/>
      <c r="AL43" s="243"/>
      <c r="AM43" s="243"/>
      <c r="AN43" s="244"/>
      <c r="AO43" s="65" t="s">
        <v>25</v>
      </c>
    </row>
    <row r="44" spans="1:41" ht="14.1" hidden="1" customHeight="1">
      <c r="A44" s="65" t="s">
        <v>26</v>
      </c>
      <c r="B44" s="243">
        <v>0.876</v>
      </c>
      <c r="C44" s="243">
        <v>1.1130017999999999</v>
      </c>
      <c r="D44" s="243">
        <v>0.65476619999999996</v>
      </c>
      <c r="E44" s="243">
        <v>0.23850038797152151</v>
      </c>
      <c r="F44" s="243">
        <v>0.11079491557579206</v>
      </c>
      <c r="G44" s="243">
        <v>0.14922067966953412</v>
      </c>
      <c r="H44" s="243">
        <v>0.11244031421676851</v>
      </c>
      <c r="I44" s="243">
        <v>1.6445585999999999</v>
      </c>
      <c r="J44" s="243">
        <v>9.5062398263700484E-3</v>
      </c>
      <c r="K44" s="243">
        <v>0.12033793529775398</v>
      </c>
      <c r="L44" s="243">
        <v>0.70285232880009629</v>
      </c>
      <c r="M44" s="243">
        <v>0.20364988957340463</v>
      </c>
      <c r="N44" s="243">
        <v>0.78776978417266186</v>
      </c>
      <c r="O44" s="243">
        <v>3.0290980134511312</v>
      </c>
      <c r="P44" s="243">
        <v>0.13560371517027864</v>
      </c>
      <c r="Q44" s="243">
        <v>0.27923433689814003</v>
      </c>
      <c r="R44" s="243">
        <v>0.55215884021430817</v>
      </c>
      <c r="S44" s="243">
        <v>0.58178920103606302</v>
      </c>
      <c r="T44" s="243">
        <v>0.74360171469801783</v>
      </c>
      <c r="U44" s="243">
        <v>4.0905907074480503E-2</v>
      </c>
      <c r="V44" s="243">
        <v>0.50460829493087567</v>
      </c>
      <c r="W44" s="243">
        <v>6.8889587920729798E-3</v>
      </c>
      <c r="X44" s="243">
        <v>2.2318471337579616E-2</v>
      </c>
      <c r="Y44" s="243">
        <v>6.6138165345413363E-2</v>
      </c>
      <c r="Z44" s="243">
        <v>7.1265284206929652E-2</v>
      </c>
      <c r="AA44" s="243">
        <v>3.2726620640186499E-2</v>
      </c>
      <c r="AB44" s="243">
        <v>1.6846153846153844E-2</v>
      </c>
      <c r="AC44" s="243">
        <v>0.17412045319022063</v>
      </c>
      <c r="AD44" s="243" t="s">
        <v>93</v>
      </c>
      <c r="AE44" s="243" t="s">
        <v>93</v>
      </c>
      <c r="AF44" s="243" t="s">
        <v>93</v>
      </c>
      <c r="AG44" s="244" t="s">
        <v>93</v>
      </c>
      <c r="AH44" s="243" t="s">
        <v>93</v>
      </c>
      <c r="AI44" s="244"/>
      <c r="AJ44" s="244"/>
      <c r="AK44" s="243"/>
      <c r="AL44" s="243"/>
      <c r="AM44" s="243"/>
      <c r="AN44" s="244"/>
      <c r="AO44" s="65" t="s">
        <v>26</v>
      </c>
    </row>
    <row r="45" spans="1:41" ht="14.1" hidden="1" customHeight="1">
      <c r="A45" s="65" t="s">
        <v>27</v>
      </c>
      <c r="B45" s="243">
        <v>0.87329999999999997</v>
      </c>
      <c r="C45" s="243">
        <v>1.1103572849999999</v>
      </c>
      <c r="D45" s="243">
        <v>0.67165503000000004</v>
      </c>
      <c r="E45" s="243">
        <v>0.23776528403599287</v>
      </c>
      <c r="F45" s="243">
        <v>0.11084597321825219</v>
      </c>
      <c r="G45" s="243">
        <v>0.14897391719690894</v>
      </c>
      <c r="H45" s="243">
        <v>0.11230421028265733</v>
      </c>
      <c r="I45" s="243">
        <v>1.6588333500000001</v>
      </c>
      <c r="J45" s="243">
        <v>9.4707732350070503E-3</v>
      </c>
      <c r="K45" s="243">
        <v>0.1204252737251441</v>
      </c>
      <c r="L45" s="243">
        <v>0.69886363636363646</v>
      </c>
      <c r="M45" s="243">
        <v>0.20362813906311936</v>
      </c>
      <c r="N45" s="243">
        <v>0.77623216745922408</v>
      </c>
      <c r="O45" s="243">
        <v>3.0197617524507683</v>
      </c>
      <c r="P45" s="243">
        <v>0.13292642089561327</v>
      </c>
      <c r="Q45" s="243">
        <v>0.28554612781401739</v>
      </c>
      <c r="R45" s="243">
        <v>0.55912670465458736</v>
      </c>
      <c r="S45" s="243">
        <v>0.59835560123329912</v>
      </c>
      <c r="T45" s="243">
        <v>0.74323404255319148</v>
      </c>
      <c r="U45" s="243">
        <v>4.0770308123249298E-2</v>
      </c>
      <c r="V45" s="243">
        <v>0.50247410817031068</v>
      </c>
      <c r="W45" s="243">
        <v>6.8309280769682035E-3</v>
      </c>
      <c r="X45" s="243">
        <v>2.2344410443254973E-2</v>
      </c>
      <c r="Y45" s="243">
        <v>6.620924943138741E-2</v>
      </c>
      <c r="Z45" s="243">
        <v>7.0881863560732103E-2</v>
      </c>
      <c r="AA45" s="243">
        <v>3.2632943840545867E-2</v>
      </c>
      <c r="AB45" s="243">
        <v>1.679423076923077E-2</v>
      </c>
      <c r="AC45" s="243">
        <v>0.1744855144855145</v>
      </c>
      <c r="AD45" s="243" t="s">
        <v>93</v>
      </c>
      <c r="AE45" s="243" t="s">
        <v>93</v>
      </c>
      <c r="AF45" s="243" t="s">
        <v>93</v>
      </c>
      <c r="AG45" s="244" t="s">
        <v>93</v>
      </c>
      <c r="AH45" s="243" t="s">
        <v>93</v>
      </c>
      <c r="AI45" s="244"/>
      <c r="AJ45" s="244"/>
      <c r="AK45" s="243"/>
      <c r="AL45" s="243"/>
      <c r="AM45" s="243"/>
      <c r="AN45" s="244"/>
      <c r="AO45" s="65" t="s">
        <v>27</v>
      </c>
    </row>
    <row r="46" spans="1:41" ht="14.1" hidden="1" customHeight="1">
      <c r="A46" s="65" t="s">
        <v>28</v>
      </c>
      <c r="B46" s="243">
        <v>0.87239999999999995</v>
      </c>
      <c r="C46" s="243">
        <v>1.14868908</v>
      </c>
      <c r="D46" s="243">
        <v>0.68461589999999994</v>
      </c>
      <c r="E46" s="243">
        <v>0.23760434681954981</v>
      </c>
      <c r="F46" s="243">
        <v>0.11124216593240546</v>
      </c>
      <c r="G46" s="243">
        <v>0.15410160390023317</v>
      </c>
      <c r="H46" s="243">
        <v>0.11219929393154093</v>
      </c>
      <c r="I46" s="243">
        <v>1.69952244</v>
      </c>
      <c r="J46" s="243">
        <v>9.452811788926211E-3</v>
      </c>
      <c r="K46" s="243">
        <v>0.12656134395264831</v>
      </c>
      <c r="L46" s="243">
        <v>0.7217970462913168</v>
      </c>
      <c r="M46" s="243">
        <v>0.20474067120394276</v>
      </c>
      <c r="N46" s="243">
        <v>0.76657440358507978</v>
      </c>
      <c r="O46" s="243">
        <v>3.017171315429974</v>
      </c>
      <c r="P46" s="243">
        <v>0.13994898695798641</v>
      </c>
      <c r="Q46" s="243">
        <v>0.30076535889126388</v>
      </c>
      <c r="R46" s="243">
        <v>0.5650808044823008</v>
      </c>
      <c r="S46" s="243">
        <v>0.59529170931422726</v>
      </c>
      <c r="T46" s="243">
        <v>0.75061303506130361</v>
      </c>
      <c r="U46" s="243">
        <v>4.0756832515767345E-2</v>
      </c>
      <c r="V46" s="243">
        <v>0.50461289296353073</v>
      </c>
      <c r="W46" s="243">
        <v>6.8174891571914191E-3</v>
      </c>
      <c r="X46" s="243">
        <v>2.2481638964051025E-2</v>
      </c>
      <c r="Y46" s="243">
        <v>6.6216318785578751E-2</v>
      </c>
      <c r="Z46" s="243">
        <v>7.0617375889395248E-2</v>
      </c>
      <c r="AA46" s="243">
        <v>3.3128652639013885E-2</v>
      </c>
      <c r="AB46" s="243">
        <v>1.6776923076923078E-2</v>
      </c>
      <c r="AC46" s="243">
        <v>0.17258160237388726</v>
      </c>
      <c r="AD46" s="243" t="s">
        <v>93</v>
      </c>
      <c r="AE46" s="243" t="s">
        <v>93</v>
      </c>
      <c r="AF46" s="243" t="s">
        <v>93</v>
      </c>
      <c r="AG46" s="244" t="s">
        <v>93</v>
      </c>
      <c r="AH46" s="243" t="s">
        <v>93</v>
      </c>
      <c r="AI46" s="244"/>
      <c r="AJ46" s="244"/>
      <c r="AK46" s="243"/>
      <c r="AL46" s="243"/>
      <c r="AM46" s="243"/>
      <c r="AN46" s="244"/>
      <c r="AO46" s="65" t="s">
        <v>28</v>
      </c>
    </row>
    <row r="47" spans="1:41" ht="14.1" hidden="1" customHeight="1">
      <c r="A47" s="65" t="s">
        <v>29</v>
      </c>
      <c r="B47" s="243">
        <v>0.87139999999999995</v>
      </c>
      <c r="C47" s="243">
        <v>1.1470673899999999</v>
      </c>
      <c r="D47" s="243">
        <v>0.6894516799999999</v>
      </c>
      <c r="E47" s="243">
        <v>0.23726090803893543</v>
      </c>
      <c r="F47" s="243">
        <v>0.11159276452697295</v>
      </c>
      <c r="G47" s="243">
        <v>0.15380406484692843</v>
      </c>
      <c r="H47" s="243">
        <v>0.11210456574597005</v>
      </c>
      <c r="I47" s="243">
        <v>1.7112988900000001</v>
      </c>
      <c r="J47" s="243">
        <v>9.4409534127843989E-3</v>
      </c>
      <c r="K47" s="243">
        <v>0.12689120906324175</v>
      </c>
      <c r="L47" s="243">
        <v>0.71370653998935263</v>
      </c>
      <c r="M47" s="243">
        <v>0.20713097218920848</v>
      </c>
      <c r="N47" s="243">
        <v>0.75098030766579027</v>
      </c>
      <c r="O47" s="243">
        <v>3.0137649581517603</v>
      </c>
      <c r="P47" s="243">
        <v>0.13896486010222228</v>
      </c>
      <c r="Q47" s="243">
        <v>0.29986235375086023</v>
      </c>
      <c r="R47" s="243">
        <v>0.56824258232800773</v>
      </c>
      <c r="S47" s="243">
        <v>0.61604807352421354</v>
      </c>
      <c r="T47" s="243">
        <v>0.73260750767161298</v>
      </c>
      <c r="U47" s="243">
        <v>4.0681605975723616E-2</v>
      </c>
      <c r="V47" s="243">
        <v>0.5077940619445821</v>
      </c>
      <c r="W47" s="243">
        <v>6.8657421998109041E-3</v>
      </c>
      <c r="X47" s="243">
        <v>2.2976928147659857E-2</v>
      </c>
      <c r="Y47" s="243">
        <v>6.7484995159728944E-2</v>
      </c>
      <c r="Z47" s="243">
        <v>7.0274193548387098E-2</v>
      </c>
      <c r="AA47" s="243">
        <v>3.3065942155471401E-2</v>
      </c>
      <c r="AB47" s="243">
        <v>1.6757692307692307E-2</v>
      </c>
      <c r="AC47" s="243">
        <v>0.17286252727633405</v>
      </c>
      <c r="AD47" s="243" t="s">
        <v>93</v>
      </c>
      <c r="AE47" s="243" t="s">
        <v>93</v>
      </c>
      <c r="AF47" s="243" t="s">
        <v>93</v>
      </c>
      <c r="AG47" s="244" t="s">
        <v>93</v>
      </c>
      <c r="AH47" s="243" t="s">
        <v>93</v>
      </c>
      <c r="AI47" s="244"/>
      <c r="AJ47" s="244"/>
      <c r="AK47" s="243"/>
      <c r="AL47" s="243"/>
      <c r="AM47" s="243"/>
      <c r="AN47" s="244"/>
      <c r="AO47" s="65" t="s">
        <v>29</v>
      </c>
    </row>
    <row r="48" spans="1:41" ht="14.1" hidden="1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245"/>
      <c r="AH48" s="66"/>
      <c r="AI48" s="245"/>
      <c r="AJ48" s="245"/>
      <c r="AK48" s="66"/>
      <c r="AL48" s="66"/>
      <c r="AM48" s="66"/>
      <c r="AN48" s="245"/>
      <c r="AO48" s="66"/>
    </row>
    <row r="49" spans="1:41" s="225" customFormat="1" ht="14.1" hidden="1" customHeight="1">
      <c r="A49" s="65" t="s">
        <v>121</v>
      </c>
      <c r="B49" s="243">
        <v>0.85793871863799287</v>
      </c>
      <c r="C49" s="243">
        <v>1.1768602836948927</v>
      </c>
      <c r="D49" s="243">
        <v>0.71978744611290335</v>
      </c>
      <c r="E49" s="243">
        <v>0.23362453544030604</v>
      </c>
      <c r="F49" s="243">
        <v>0.11284113428252307</v>
      </c>
      <c r="G49" s="243">
        <v>0.15794873822615443</v>
      </c>
      <c r="H49" s="243">
        <v>0.10995394865558678</v>
      </c>
      <c r="I49" s="243">
        <v>1.7190623876017026</v>
      </c>
      <c r="J49" s="243">
        <v>9.2492303141000192E-3</v>
      </c>
      <c r="K49" s="243">
        <v>0.1271735886623177</v>
      </c>
      <c r="L49" s="243">
        <v>0.71610452761730981</v>
      </c>
      <c r="M49" s="243">
        <v>0.20892145378240365</v>
      </c>
      <c r="N49" s="243">
        <v>0.80190183108638802</v>
      </c>
      <c r="O49" s="243">
        <v>3.0178615016327437</v>
      </c>
      <c r="P49" s="243">
        <v>0.1471309703533098</v>
      </c>
      <c r="Q49" s="243">
        <v>0.31088377891665925</v>
      </c>
      <c r="R49" s="243">
        <v>0.56980529872067942</v>
      </c>
      <c r="S49" s="243">
        <v>0.6586098197037461</v>
      </c>
      <c r="T49" s="243">
        <v>0.72941070909585382</v>
      </c>
      <c r="U49" s="243">
        <v>3.9951063382684303E-2</v>
      </c>
      <c r="V49" s="243">
        <v>0.51415282189180067</v>
      </c>
      <c r="W49" s="243">
        <v>7.0038344375970953E-3</v>
      </c>
      <c r="X49" s="243">
        <v>2.3072629884065134E-2</v>
      </c>
      <c r="Y49" s="243">
        <v>7.1050566369667126E-2</v>
      </c>
      <c r="Z49" s="243">
        <v>6.789934389787157E-2</v>
      </c>
      <c r="AA49" s="243">
        <v>3.3583862924023593E-2</v>
      </c>
      <c r="AB49" s="243">
        <v>1.649856906534326E-2</v>
      </c>
      <c r="AC49" s="243">
        <v>0.17054577734444468</v>
      </c>
      <c r="AD49" s="243" t="s">
        <v>93</v>
      </c>
      <c r="AE49" s="243" t="s">
        <v>93</v>
      </c>
      <c r="AF49" s="243" t="s">
        <v>93</v>
      </c>
      <c r="AG49" s="243" t="s">
        <v>93</v>
      </c>
      <c r="AH49" s="243" t="s">
        <v>93</v>
      </c>
      <c r="AI49" s="243"/>
      <c r="AJ49" s="243"/>
      <c r="AK49" s="243"/>
      <c r="AL49" s="243"/>
      <c r="AM49" s="243"/>
      <c r="AN49" s="243"/>
      <c r="AO49" s="65" t="s">
        <v>121</v>
      </c>
    </row>
    <row r="50" spans="1:41" ht="14.1" hidden="1" customHeight="1">
      <c r="A50" s="65" t="s">
        <v>18</v>
      </c>
      <c r="B50" s="243">
        <v>0.87070000000000003</v>
      </c>
      <c r="C50" s="243">
        <v>1.1284707350000001</v>
      </c>
      <c r="D50" s="243">
        <v>0.67204979500000006</v>
      </c>
      <c r="E50" s="243">
        <v>0.23707031515894086</v>
      </c>
      <c r="F50" s="243">
        <v>0.11198713826366559</v>
      </c>
      <c r="G50" s="243">
        <v>0.15137343532684286</v>
      </c>
      <c r="H50" s="243">
        <v>0.11153097299789928</v>
      </c>
      <c r="I50" s="243">
        <v>1.7091840999999999</v>
      </c>
      <c r="J50" s="243">
        <v>9.4333694474539563E-3</v>
      </c>
      <c r="K50" s="243">
        <v>0.12476893315182346</v>
      </c>
      <c r="L50" s="243">
        <v>0.69519741307038208</v>
      </c>
      <c r="M50" s="243">
        <v>0.2040065604498594</v>
      </c>
      <c r="N50" s="243">
        <v>0.73766255771593159</v>
      </c>
      <c r="O50" s="243">
        <v>3.0107192254495159</v>
      </c>
      <c r="P50" s="243">
        <v>0.13865312037199229</v>
      </c>
      <c r="Q50" s="243">
        <v>0.28732180570221749</v>
      </c>
      <c r="R50" s="243">
        <v>0.56649316851008458</v>
      </c>
      <c r="S50" s="243">
        <v>0.61226355389916332</v>
      </c>
      <c r="T50" s="243">
        <v>0.71630126280284645</v>
      </c>
      <c r="U50" s="243">
        <v>4.0620480522509911E-2</v>
      </c>
      <c r="V50" s="243">
        <v>0.50698730639338541</v>
      </c>
      <c r="W50" s="243">
        <v>6.8947222552163765E-3</v>
      </c>
      <c r="X50" s="243">
        <v>2.2542394822006474E-2</v>
      </c>
      <c r="Y50" s="243">
        <v>6.7287480680061823E-2</v>
      </c>
      <c r="Z50" s="243">
        <v>7.0075894761410379E-2</v>
      </c>
      <c r="AA50" s="243">
        <v>3.2804920549700002E-2</v>
      </c>
      <c r="AB50" s="243">
        <v>1.6744230769230772E-2</v>
      </c>
      <c r="AC50" s="243">
        <v>0.17258671952428148</v>
      </c>
      <c r="AD50" s="243" t="s">
        <v>93</v>
      </c>
      <c r="AE50" s="243" t="s">
        <v>93</v>
      </c>
      <c r="AF50" s="243" t="s">
        <v>93</v>
      </c>
      <c r="AG50" s="243" t="s">
        <v>93</v>
      </c>
      <c r="AH50" s="243" t="s">
        <v>93</v>
      </c>
      <c r="AI50" s="243"/>
      <c r="AJ50" s="243"/>
      <c r="AK50" s="243"/>
      <c r="AL50" s="243"/>
      <c r="AM50" s="243"/>
      <c r="AN50" s="243"/>
      <c r="AO50" s="65" t="s">
        <v>18</v>
      </c>
    </row>
    <row r="51" spans="1:41" ht="14.1" hidden="1" customHeight="1">
      <c r="A51" s="65" t="s">
        <v>19</v>
      </c>
      <c r="B51" s="243">
        <v>0.86880000000000002</v>
      </c>
      <c r="C51" s="243">
        <v>1.1485970400000001</v>
      </c>
      <c r="D51" s="243">
        <v>0.68444063999999993</v>
      </c>
      <c r="E51" s="243">
        <v>0.23657553643393969</v>
      </c>
      <c r="F51" s="243">
        <v>0.11225531365075263</v>
      </c>
      <c r="G51" s="243">
        <v>0.15410539759121628</v>
      </c>
      <c r="H51" s="243">
        <v>0.11121778870156304</v>
      </c>
      <c r="I51" s="243">
        <v>1.7056716000000001</v>
      </c>
      <c r="J51" s="243">
        <v>9.4005626487773213E-3</v>
      </c>
      <c r="K51" s="243">
        <v>0.12419678786622541</v>
      </c>
      <c r="L51" s="243">
        <v>0.71277381245385196</v>
      </c>
      <c r="M51" s="243">
        <v>0.2062188464277237</v>
      </c>
      <c r="N51" s="243">
        <v>0.74447300771208225</v>
      </c>
      <c r="O51" s="243">
        <v>3.00435714779722</v>
      </c>
      <c r="P51" s="243">
        <v>0.14176851655434625</v>
      </c>
      <c r="Q51" s="243">
        <v>0.29186683239829347</v>
      </c>
      <c r="R51" s="243">
        <v>0.56747224036577404</v>
      </c>
      <c r="S51" s="243">
        <v>0.61075571177504395</v>
      </c>
      <c r="T51" s="243">
        <v>0.73316455696202532</v>
      </c>
      <c r="U51" s="243">
        <v>4.0503496503496508E-2</v>
      </c>
      <c r="V51" s="243">
        <v>0.5074173577853055</v>
      </c>
      <c r="W51" s="243">
        <v>6.9915100792660844E-3</v>
      </c>
      <c r="X51" s="243">
        <v>2.2660406885758998E-2</v>
      </c>
      <c r="Y51" s="243">
        <v>6.7716289945440378E-2</v>
      </c>
      <c r="Z51" s="243">
        <v>6.9847088900680157E-2</v>
      </c>
      <c r="AA51" s="243">
        <v>3.324659421399051E-2</v>
      </c>
      <c r="AB51" s="243">
        <v>1.6707692307692309E-2</v>
      </c>
      <c r="AC51" s="243">
        <v>0.17203960396039605</v>
      </c>
      <c r="AD51" s="243" t="s">
        <v>93</v>
      </c>
      <c r="AE51" s="243" t="s">
        <v>93</v>
      </c>
      <c r="AF51" s="243" t="s">
        <v>93</v>
      </c>
      <c r="AG51" s="243" t="s">
        <v>93</v>
      </c>
      <c r="AH51" s="243" t="s">
        <v>93</v>
      </c>
      <c r="AI51" s="243"/>
      <c r="AJ51" s="243"/>
      <c r="AK51" s="243"/>
      <c r="AL51" s="243"/>
      <c r="AM51" s="243"/>
      <c r="AN51" s="243"/>
      <c r="AO51" s="65" t="s">
        <v>19</v>
      </c>
    </row>
    <row r="52" spans="1:41" ht="14.1" hidden="1" customHeight="1">
      <c r="A52" s="65" t="s">
        <v>20</v>
      </c>
      <c r="B52" s="243">
        <v>0.86719999999999997</v>
      </c>
      <c r="C52" s="243">
        <v>1.1569748800000001</v>
      </c>
      <c r="D52" s="243">
        <v>0.70026400000000011</v>
      </c>
      <c r="E52" s="243">
        <v>0.23616879314805486</v>
      </c>
      <c r="F52" s="243">
        <v>0.11217903111053618</v>
      </c>
      <c r="G52" s="243">
        <v>0.15529807847280669</v>
      </c>
      <c r="H52" s="243">
        <v>0.11098597317497697</v>
      </c>
      <c r="I52" s="243">
        <v>1.7034843200000001</v>
      </c>
      <c r="J52" s="243">
        <v>9.3802055164954011E-3</v>
      </c>
      <c r="K52" s="243">
        <v>0.12421221496505098</v>
      </c>
      <c r="L52" s="243">
        <v>0.71318721986923805</v>
      </c>
      <c r="M52" s="243">
        <v>0.20821128451380552</v>
      </c>
      <c r="N52" s="243">
        <v>0.74910378784606757</v>
      </c>
      <c r="O52" s="243">
        <v>2.9960269476593533</v>
      </c>
      <c r="P52" s="243">
        <v>0.14255303410127643</v>
      </c>
      <c r="Q52" s="243">
        <v>0.29897778007619247</v>
      </c>
      <c r="R52" s="243">
        <v>0.57157922488795154</v>
      </c>
      <c r="S52" s="243">
        <v>0.62458136771219708</v>
      </c>
      <c r="T52" s="243">
        <v>0.73625673897355348</v>
      </c>
      <c r="U52" s="243">
        <v>4.0438330613196551E-2</v>
      </c>
      <c r="V52" s="243">
        <v>0.51101944608131999</v>
      </c>
      <c r="W52" s="243">
        <v>7.0099426077115832E-3</v>
      </c>
      <c r="X52" s="243">
        <v>2.2785076195480817E-2</v>
      </c>
      <c r="Y52" s="243">
        <v>6.9375999999999993E-2</v>
      </c>
      <c r="Z52" s="243">
        <v>6.9372115161550951E-2</v>
      </c>
      <c r="AA52" s="243">
        <v>3.3352563362947583E-2</v>
      </c>
      <c r="AB52" s="243">
        <v>1.6676923076923075E-2</v>
      </c>
      <c r="AC52" s="243">
        <v>0.17257711442786067</v>
      </c>
      <c r="AD52" s="243" t="s">
        <v>93</v>
      </c>
      <c r="AE52" s="243" t="s">
        <v>93</v>
      </c>
      <c r="AF52" s="243" t="s">
        <v>93</v>
      </c>
      <c r="AG52" s="243" t="s">
        <v>93</v>
      </c>
      <c r="AH52" s="243" t="s">
        <v>93</v>
      </c>
      <c r="AI52" s="243"/>
      <c r="AJ52" s="243"/>
      <c r="AK52" s="243"/>
      <c r="AL52" s="243"/>
      <c r="AM52" s="243"/>
      <c r="AN52" s="243"/>
      <c r="AO52" s="65" t="s">
        <v>20</v>
      </c>
    </row>
    <row r="53" spans="1:41" ht="14.1" hidden="1" customHeight="1">
      <c r="A53" s="65" t="s">
        <v>21</v>
      </c>
      <c r="B53" s="243">
        <v>0.86564333333333354</v>
      </c>
      <c r="C53" s="243">
        <v>1.1693496946666668</v>
      </c>
      <c r="D53" s="243">
        <v>0.7148700885</v>
      </c>
      <c r="E53" s="243">
        <v>0.23573047399013597</v>
      </c>
      <c r="F53" s="243">
        <v>0.11207398712130277</v>
      </c>
      <c r="G53" s="243">
        <v>0.15689050694325965</v>
      </c>
      <c r="H53" s="243">
        <v>0.11075110862075056</v>
      </c>
      <c r="I53" s="243">
        <v>1.7192849539999997</v>
      </c>
      <c r="J53" s="243">
        <v>9.3621266095034027E-3</v>
      </c>
      <c r="K53" s="243">
        <v>0.1265158275868252</v>
      </c>
      <c r="L53" s="243">
        <v>0.7141168404338748</v>
      </c>
      <c r="M53" s="243">
        <v>0.21177389725345228</v>
      </c>
      <c r="N53" s="243">
        <v>0.76150905961449633</v>
      </c>
      <c r="O53" s="243">
        <v>2.9933807371780508</v>
      </c>
      <c r="P53" s="243">
        <v>0.14398942990207264</v>
      </c>
      <c r="Q53" s="243">
        <v>0.30621989072881983</v>
      </c>
      <c r="R53" s="243">
        <v>0.57153097111660978</v>
      </c>
      <c r="S53" s="243">
        <v>0.63613612951856735</v>
      </c>
      <c r="T53" s="243">
        <v>0.72849949013698567</v>
      </c>
      <c r="U53" s="243">
        <v>4.0356930701926787E-2</v>
      </c>
      <c r="V53" s="243">
        <v>0.5114727481308966</v>
      </c>
      <c r="W53" s="243">
        <v>7.0945361234436713E-3</v>
      </c>
      <c r="X53" s="243">
        <v>2.2751166585990856E-2</v>
      </c>
      <c r="Y53" s="243">
        <v>6.955505623960119E-2</v>
      </c>
      <c r="Z53" s="243">
        <v>6.9107950663919615E-2</v>
      </c>
      <c r="AA53" s="243">
        <v>3.3511621955542067E-2</v>
      </c>
      <c r="AB53" s="243">
        <v>1.6645384615384621E-2</v>
      </c>
      <c r="AC53" s="243">
        <v>0.1720145280190615</v>
      </c>
      <c r="AD53" s="243" t="s">
        <v>93</v>
      </c>
      <c r="AE53" s="243" t="s">
        <v>93</v>
      </c>
      <c r="AF53" s="243" t="s">
        <v>93</v>
      </c>
      <c r="AG53" s="243" t="s">
        <v>93</v>
      </c>
      <c r="AH53" s="243" t="s">
        <v>93</v>
      </c>
      <c r="AI53" s="243"/>
      <c r="AJ53" s="243"/>
      <c r="AK53" s="243"/>
      <c r="AL53" s="243"/>
      <c r="AM53" s="243"/>
      <c r="AN53" s="243"/>
      <c r="AO53" s="65" t="s">
        <v>21</v>
      </c>
    </row>
    <row r="54" spans="1:41" ht="14.1" hidden="1" customHeight="1">
      <c r="A54" s="65" t="s">
        <v>22</v>
      </c>
      <c r="B54" s="243">
        <v>0.86196774193548387</v>
      </c>
      <c r="C54" s="243">
        <v>1.1644660717741937</v>
      </c>
      <c r="D54" s="243">
        <v>0.71046176806451589</v>
      </c>
      <c r="E54" s="243">
        <v>0.23470659593374082</v>
      </c>
      <c r="F54" s="243">
        <v>0.11226717065513543</v>
      </c>
      <c r="G54" s="243">
        <v>0.15626171656416965</v>
      </c>
      <c r="H54" s="243">
        <v>0.11022325064493298</v>
      </c>
      <c r="I54" s="243">
        <v>1.7103277580645166</v>
      </c>
      <c r="J54" s="243">
        <v>9.3139297661829368E-3</v>
      </c>
      <c r="K54" s="243">
        <v>0.12656429954878243</v>
      </c>
      <c r="L54" s="243">
        <v>0.70579046175975768</v>
      </c>
      <c r="M54" s="243">
        <v>0.21534032290542551</v>
      </c>
      <c r="N54" s="243">
        <v>0.78532516799652741</v>
      </c>
      <c r="O54" s="243">
        <v>2.9848112519092433</v>
      </c>
      <c r="P54" s="243">
        <v>0.14303066192209321</v>
      </c>
      <c r="Q54" s="243">
        <v>0.30791707809970198</v>
      </c>
      <c r="R54" s="243">
        <v>0.56608897845920902</v>
      </c>
      <c r="S54" s="243">
        <v>0.64421068473736409</v>
      </c>
      <c r="T54" s="243">
        <v>0.71445406993265781</v>
      </c>
      <c r="U54" s="243">
        <v>4.0183009313552655E-2</v>
      </c>
      <c r="V54" s="243">
        <v>0.51200437889667161</v>
      </c>
      <c r="W54" s="243">
        <v>7.1791470299646691E-3</v>
      </c>
      <c r="X54" s="243">
        <v>2.2696054689053276E-2</v>
      </c>
      <c r="Y54" s="243">
        <v>7.0017852382878457E-2</v>
      </c>
      <c r="Z54" s="243">
        <v>6.8554217157662301E-2</v>
      </c>
      <c r="AA54" s="243">
        <v>3.3370582766602208E-2</v>
      </c>
      <c r="AB54" s="243">
        <v>1.6576302729528539E-2</v>
      </c>
      <c r="AC54" s="243">
        <v>0.17165771128189214</v>
      </c>
      <c r="AD54" s="243" t="s">
        <v>93</v>
      </c>
      <c r="AE54" s="243" t="s">
        <v>93</v>
      </c>
      <c r="AF54" s="243" t="s">
        <v>93</v>
      </c>
      <c r="AG54" s="243" t="s">
        <v>93</v>
      </c>
      <c r="AH54" s="243" t="s">
        <v>93</v>
      </c>
      <c r="AI54" s="243"/>
      <c r="AJ54" s="243"/>
      <c r="AK54" s="243"/>
      <c r="AL54" s="243"/>
      <c r="AM54" s="243"/>
      <c r="AN54" s="243"/>
      <c r="AO54" s="65" t="s">
        <v>22</v>
      </c>
    </row>
    <row r="55" spans="1:41" ht="14.1" hidden="1" customHeight="1">
      <c r="A55" s="65" t="s">
        <v>23</v>
      </c>
      <c r="B55" s="243">
        <v>0.85651333333333357</v>
      </c>
      <c r="C55" s="243">
        <v>1.1489149721666663</v>
      </c>
      <c r="D55" s="243">
        <v>0.72075426716666657</v>
      </c>
      <c r="E55" s="243">
        <v>0.23320975842585218</v>
      </c>
      <c r="F55" s="243">
        <v>0.11220639452666893</v>
      </c>
      <c r="G55" s="243">
        <v>0.15431219012913441</v>
      </c>
      <c r="H55" s="243">
        <v>0.10961401409027872</v>
      </c>
      <c r="I55" s="243">
        <v>1.7005247086666664</v>
      </c>
      <c r="J55" s="243">
        <v>9.2454258708269971E-3</v>
      </c>
      <c r="K55" s="243">
        <v>0.12329239939630093</v>
      </c>
      <c r="L55" s="243">
        <v>0.69450362405060928</v>
      </c>
      <c r="M55" s="243">
        <v>0.20522691670262164</v>
      </c>
      <c r="N55" s="243">
        <v>0.80361212876398824</v>
      </c>
      <c r="O55" s="243">
        <v>2.9726126680580554</v>
      </c>
      <c r="P55" s="243">
        <v>0.14262496290026644</v>
      </c>
      <c r="Q55" s="243">
        <v>0.30166228654150107</v>
      </c>
      <c r="R55" s="243">
        <v>0.55751574704748852</v>
      </c>
      <c r="S55" s="243">
        <v>0.64831738964586449</v>
      </c>
      <c r="T55" s="243">
        <v>0.69865371492576511</v>
      </c>
      <c r="U55" s="243">
        <v>3.9927073116123903E-2</v>
      </c>
      <c r="V55" s="243">
        <v>0.51174067231875897</v>
      </c>
      <c r="W55" s="243">
        <v>7.0240992411217265E-3</v>
      </c>
      <c r="X55" s="243">
        <v>2.2555666243651164E-2</v>
      </c>
      <c r="Y55" s="243">
        <v>6.9950403292394672E-2</v>
      </c>
      <c r="Z55" s="243">
        <v>6.7861233340806723E-2</v>
      </c>
      <c r="AA55" s="243">
        <v>3.3042272895153726E-2</v>
      </c>
      <c r="AB55" s="243">
        <v>1.647141025641026E-2</v>
      </c>
      <c r="AC55" s="243">
        <v>0.1705152950991945</v>
      </c>
      <c r="AD55" s="243" t="s">
        <v>93</v>
      </c>
      <c r="AE55" s="243" t="s">
        <v>93</v>
      </c>
      <c r="AF55" s="243" t="s">
        <v>93</v>
      </c>
      <c r="AG55" s="243" t="s">
        <v>93</v>
      </c>
      <c r="AH55" s="243" t="s">
        <v>93</v>
      </c>
      <c r="AI55" s="243"/>
      <c r="AJ55" s="243"/>
      <c r="AK55" s="243"/>
      <c r="AL55" s="243"/>
      <c r="AM55" s="243"/>
      <c r="AN55" s="243"/>
      <c r="AO55" s="65" t="s">
        <v>23</v>
      </c>
    </row>
    <row r="56" spans="1:41" ht="14.1" hidden="1" customHeight="1">
      <c r="A56" s="65" t="s">
        <v>24</v>
      </c>
      <c r="B56" s="243">
        <v>0.85477096774193551</v>
      </c>
      <c r="C56" s="243">
        <v>1.1719715382258067</v>
      </c>
      <c r="D56" s="243">
        <v>0.74179498629032248</v>
      </c>
      <c r="E56" s="243">
        <v>0.23273618538863208</v>
      </c>
      <c r="F56" s="243">
        <v>0.11281955849961071</v>
      </c>
      <c r="G56" s="243">
        <v>0.15749685401655894</v>
      </c>
      <c r="H56" s="243">
        <v>0.10932263399743132</v>
      </c>
      <c r="I56" s="243">
        <v>1.7378369714516124</v>
      </c>
      <c r="J56" s="243">
        <v>9.2157633210915336E-3</v>
      </c>
      <c r="K56" s="243">
        <v>0.12756554959940641</v>
      </c>
      <c r="L56" s="243">
        <v>0.70726389926165389</v>
      </c>
      <c r="M56" s="243">
        <v>0.20110424811157504</v>
      </c>
      <c r="N56" s="243">
        <v>0.81349651100870324</v>
      </c>
      <c r="O56" s="243">
        <v>2.9836052140559834</v>
      </c>
      <c r="P56" s="243">
        <v>0.14765827082648933</v>
      </c>
      <c r="Q56" s="243">
        <v>0.31094664334288619</v>
      </c>
      <c r="R56" s="243">
        <v>0.56367337854078048</v>
      </c>
      <c r="S56" s="243">
        <v>0.666937321840813</v>
      </c>
      <c r="T56" s="243">
        <v>0.7024629777482998</v>
      </c>
      <c r="U56" s="243">
        <v>3.9830893184619541E-2</v>
      </c>
      <c r="V56" s="243">
        <v>0.51309293242402654</v>
      </c>
      <c r="W56" s="243">
        <v>7.0015830663936159E-3</v>
      </c>
      <c r="X56" s="243">
        <v>2.2554715560358471E-2</v>
      </c>
      <c r="Y56" s="243">
        <v>7.0286631430975383E-2</v>
      </c>
      <c r="Z56" s="243">
        <v>6.7508308886801496E-2</v>
      </c>
      <c r="AA56" s="243">
        <v>3.346373823458252E-2</v>
      </c>
      <c r="AB56" s="243">
        <v>1.643790322580645E-2</v>
      </c>
      <c r="AC56" s="243">
        <v>0.17065718514673811</v>
      </c>
      <c r="AD56" s="243" t="s">
        <v>93</v>
      </c>
      <c r="AE56" s="243" t="s">
        <v>93</v>
      </c>
      <c r="AF56" s="243" t="s">
        <v>93</v>
      </c>
      <c r="AG56" s="243" t="s">
        <v>93</v>
      </c>
      <c r="AH56" s="243" t="s">
        <v>93</v>
      </c>
      <c r="AI56" s="243"/>
      <c r="AJ56" s="243"/>
      <c r="AK56" s="243"/>
      <c r="AL56" s="243"/>
      <c r="AM56" s="243"/>
      <c r="AN56" s="243"/>
      <c r="AO56" s="65" t="s">
        <v>24</v>
      </c>
    </row>
    <row r="57" spans="1:41" ht="14.1" hidden="1" customHeight="1">
      <c r="A57" s="65" t="s">
        <v>25</v>
      </c>
      <c r="B57" s="243">
        <v>0.85342903225806466</v>
      </c>
      <c r="C57" s="243">
        <v>1.1618833625806451</v>
      </c>
      <c r="D57" s="243">
        <v>0.70700602854838712</v>
      </c>
      <c r="E57" s="243">
        <v>0.2323595899092484</v>
      </c>
      <c r="F57" s="243">
        <v>0.11265445705478772</v>
      </c>
      <c r="G57" s="243">
        <v>0.15611344275315076</v>
      </c>
      <c r="H57" s="243">
        <v>0.10917663057291224</v>
      </c>
      <c r="I57" s="243">
        <v>1.7157099853225806</v>
      </c>
      <c r="J57" s="243">
        <v>9.2100409189899285E-3</v>
      </c>
      <c r="K57" s="243">
        <v>0.12475066827651161</v>
      </c>
      <c r="L57" s="243">
        <v>0.70924868307929112</v>
      </c>
      <c r="M57" s="243">
        <v>0.2016879989742156</v>
      </c>
      <c r="N57" s="243">
        <v>0.80491338724053019</v>
      </c>
      <c r="O57" s="243">
        <v>3.0274295156007724</v>
      </c>
      <c r="P57" s="243">
        <v>0.14574669586711675</v>
      </c>
      <c r="Q57" s="243">
        <v>0.30480801442686178</v>
      </c>
      <c r="R57" s="243">
        <v>0.56010661914755355</v>
      </c>
      <c r="S57" s="243">
        <v>0.64763703806770978</v>
      </c>
      <c r="T57" s="243">
        <v>0.73151426229736904</v>
      </c>
      <c r="U57" s="243">
        <v>3.9751060782233547E-2</v>
      </c>
      <c r="V57" s="243">
        <v>0.51327189460102629</v>
      </c>
      <c r="W57" s="243">
        <v>6.822072863086494E-3</v>
      </c>
      <c r="X57" s="243">
        <v>2.2572777547928833E-2</v>
      </c>
      <c r="Y57" s="243">
        <v>7.1021969191729178E-2</v>
      </c>
      <c r="Z57" s="243">
        <v>6.7215874141599311E-2</v>
      </c>
      <c r="AA57" s="243">
        <v>3.3300650856454325E-2</v>
      </c>
      <c r="AB57" s="243">
        <v>1.6412096774193547E-2</v>
      </c>
      <c r="AC57" s="243">
        <v>0.17044004482914532</v>
      </c>
      <c r="AD57" s="243" t="s">
        <v>93</v>
      </c>
      <c r="AE57" s="243" t="s">
        <v>93</v>
      </c>
      <c r="AF57" s="243" t="s">
        <v>93</v>
      </c>
      <c r="AG57" s="243" t="s">
        <v>93</v>
      </c>
      <c r="AH57" s="243" t="s">
        <v>93</v>
      </c>
      <c r="AI57" s="243"/>
      <c r="AJ57" s="243"/>
      <c r="AK57" s="243"/>
      <c r="AL57" s="243"/>
      <c r="AM57" s="243"/>
      <c r="AN57" s="243"/>
      <c r="AO57" s="65" t="s">
        <v>25</v>
      </c>
    </row>
    <row r="58" spans="1:41" ht="14.1" hidden="1" customHeight="1">
      <c r="A58" s="65" t="s">
        <v>26</v>
      </c>
      <c r="B58" s="243">
        <v>0.85185666666666693</v>
      </c>
      <c r="C58" s="243">
        <v>1.1831643134999998</v>
      </c>
      <c r="D58" s="243">
        <v>0.72042076550000023</v>
      </c>
      <c r="E58" s="243">
        <v>0.23198300470578165</v>
      </c>
      <c r="F58" s="243">
        <v>0.11322351262973274</v>
      </c>
      <c r="G58" s="243">
        <v>0.15880917142738507</v>
      </c>
      <c r="H58" s="243">
        <v>0.1094363208545112</v>
      </c>
      <c r="I58" s="243">
        <v>1.7184138688333335</v>
      </c>
      <c r="J58" s="243">
        <v>9.1498532731262728E-3</v>
      </c>
      <c r="K58" s="243">
        <v>0.12742052922031194</v>
      </c>
      <c r="L58" s="243">
        <v>0.71806099218681962</v>
      </c>
      <c r="M58" s="243">
        <v>0.20842931872313089</v>
      </c>
      <c r="N58" s="243">
        <v>0.82834976613063782</v>
      </c>
      <c r="O58" s="243">
        <v>3.0320427011787241</v>
      </c>
      <c r="P58" s="243">
        <v>0.15112103897636478</v>
      </c>
      <c r="Q58" s="243">
        <v>0.31223350695130969</v>
      </c>
      <c r="R58" s="243">
        <v>0.563455273008029</v>
      </c>
      <c r="S58" s="243">
        <v>0.67408577748569376</v>
      </c>
      <c r="T58" s="243">
        <v>0.73975036791720516</v>
      </c>
      <c r="U58" s="243">
        <v>3.9639677369319073E-2</v>
      </c>
      <c r="V58" s="243">
        <v>0.51316323500437433</v>
      </c>
      <c r="W58" s="243">
        <v>6.9639655626549035E-3</v>
      </c>
      <c r="X58" s="243">
        <v>2.2724483949318933E-2</v>
      </c>
      <c r="Y58" s="243">
        <v>7.3107552388513131E-2</v>
      </c>
      <c r="Z58" s="243">
        <v>6.6889729817178861E-2</v>
      </c>
      <c r="AA58" s="243">
        <v>3.3634106222003447E-2</v>
      </c>
      <c r="AB58" s="243">
        <v>1.6381858974358978E-2</v>
      </c>
      <c r="AC58" s="243">
        <v>0.16995291245318578</v>
      </c>
      <c r="AD58" s="243" t="s">
        <v>93</v>
      </c>
      <c r="AE58" s="243" t="s">
        <v>93</v>
      </c>
      <c r="AF58" s="243" t="s">
        <v>93</v>
      </c>
      <c r="AG58" s="243" t="s">
        <v>93</v>
      </c>
      <c r="AH58" s="243" t="s">
        <v>93</v>
      </c>
      <c r="AI58" s="243"/>
      <c r="AJ58" s="243"/>
      <c r="AK58" s="243"/>
      <c r="AL58" s="243"/>
      <c r="AM58" s="243"/>
      <c r="AN58" s="243"/>
      <c r="AO58" s="65" t="s">
        <v>26</v>
      </c>
    </row>
    <row r="59" spans="1:41" ht="14.1" hidden="1" customHeight="1">
      <c r="A59" s="65" t="s">
        <v>27</v>
      </c>
      <c r="B59" s="243">
        <v>0.85020322580645169</v>
      </c>
      <c r="C59" s="243">
        <v>1.2095530143548388</v>
      </c>
      <c r="D59" s="243">
        <v>0.76367170612903212</v>
      </c>
      <c r="E59" s="243">
        <v>0.23154013906301352</v>
      </c>
      <c r="F59" s="243">
        <v>0.11333489321109907</v>
      </c>
      <c r="G59" s="243">
        <v>0.16228005218941424</v>
      </c>
      <c r="H59" s="243">
        <v>0.10964008162424391</v>
      </c>
      <c r="I59" s="243">
        <v>1.7382035119354839</v>
      </c>
      <c r="J59" s="243">
        <v>9.1219643970851961E-3</v>
      </c>
      <c r="K59" s="243">
        <v>0.13179734978085064</v>
      </c>
      <c r="L59" s="243">
        <v>0.72443722943652866</v>
      </c>
      <c r="M59" s="243">
        <v>0.21168986695021905</v>
      </c>
      <c r="N59" s="243">
        <v>0.8691899499396224</v>
      </c>
      <c r="O59" s="243">
        <v>3.0474712092870173</v>
      </c>
      <c r="P59" s="243">
        <v>0.15730056255935884</v>
      </c>
      <c r="Q59" s="243">
        <v>0.32594774886319672</v>
      </c>
      <c r="R59" s="243">
        <v>0.57981869357345694</v>
      </c>
      <c r="S59" s="243">
        <v>0.70868000877978377</v>
      </c>
      <c r="T59" s="243">
        <v>0.73453807215034239</v>
      </c>
      <c r="U59" s="243">
        <v>3.952559664732775E-2</v>
      </c>
      <c r="V59" s="243">
        <v>0.5180055876766988</v>
      </c>
      <c r="W59" s="243">
        <v>7.0316385519395208E-3</v>
      </c>
      <c r="X59" s="243">
        <v>2.433010315926612E-2</v>
      </c>
      <c r="Y59" s="243">
        <v>7.4242465215001371E-2</v>
      </c>
      <c r="Z59" s="243">
        <v>6.6542098167244101E-2</v>
      </c>
      <c r="AA59" s="243">
        <v>3.4162585108697199E-2</v>
      </c>
      <c r="AB59" s="243">
        <v>1.6348635235732014E-2</v>
      </c>
      <c r="AC59" s="243">
        <v>0.16853015993327169</v>
      </c>
      <c r="AD59" s="243" t="s">
        <v>93</v>
      </c>
      <c r="AE59" s="243" t="s">
        <v>93</v>
      </c>
      <c r="AF59" s="243" t="s">
        <v>93</v>
      </c>
      <c r="AG59" s="243" t="s">
        <v>93</v>
      </c>
      <c r="AH59" s="243" t="s">
        <v>93</v>
      </c>
      <c r="AI59" s="243"/>
      <c r="AJ59" s="243"/>
      <c r="AK59" s="243"/>
      <c r="AL59" s="243"/>
      <c r="AM59" s="243"/>
      <c r="AN59" s="243"/>
      <c r="AO59" s="65" t="s">
        <v>27</v>
      </c>
    </row>
    <row r="60" spans="1:41" ht="14.1" hidden="1" customHeight="1">
      <c r="A60" s="65" t="s">
        <v>28</v>
      </c>
      <c r="B60" s="243">
        <v>0.8480899999999999</v>
      </c>
      <c r="C60" s="243">
        <v>1.2452058191666668</v>
      </c>
      <c r="D60" s="243">
        <v>0.76254172283333321</v>
      </c>
      <c r="E60" s="243">
        <v>0.2310263614317549</v>
      </c>
      <c r="F60" s="243">
        <v>0.11427204682331851</v>
      </c>
      <c r="G60" s="243">
        <v>0.16706012505758733</v>
      </c>
      <c r="H60" s="243">
        <v>0.10905473840280466</v>
      </c>
      <c r="I60" s="243">
        <v>1.758641381333333</v>
      </c>
      <c r="J60" s="243">
        <v>9.0910987341313622E-3</v>
      </c>
      <c r="K60" s="243">
        <v>0.13415037433267013</v>
      </c>
      <c r="L60" s="243">
        <v>0.7552053234886047</v>
      </c>
      <c r="M60" s="243">
        <v>0.21646853660977911</v>
      </c>
      <c r="N60" s="243">
        <v>0.88088698498958784</v>
      </c>
      <c r="O60" s="243">
        <v>3.0754716593957605</v>
      </c>
      <c r="P60" s="243">
        <v>0.1571845485712092</v>
      </c>
      <c r="Q60" s="243">
        <v>0.34029326814969507</v>
      </c>
      <c r="R60" s="243">
        <v>0.58605783105747566</v>
      </c>
      <c r="S60" s="243">
        <v>0.71291139587032004</v>
      </c>
      <c r="T60" s="243">
        <v>0.7633515976025127</v>
      </c>
      <c r="U60" s="243">
        <v>3.9384383268936132E-2</v>
      </c>
      <c r="V60" s="243">
        <v>0.52317360001241198</v>
      </c>
      <c r="W60" s="243">
        <v>7.0264231504329608E-3</v>
      </c>
      <c r="X60" s="243">
        <v>2.4379154863682615E-2</v>
      </c>
      <c r="Y60" s="243">
        <v>7.5113835649413749E-2</v>
      </c>
      <c r="Z60" s="243">
        <v>6.6117019917764724E-2</v>
      </c>
      <c r="AA60" s="243">
        <v>3.466240266954642E-2</v>
      </c>
      <c r="AB60" s="243">
        <v>1.6309423076923079E-2</v>
      </c>
      <c r="AC60" s="243">
        <v>0.16829919898302811</v>
      </c>
      <c r="AD60" s="243" t="s">
        <v>93</v>
      </c>
      <c r="AE60" s="243" t="s">
        <v>93</v>
      </c>
      <c r="AF60" s="243" t="s">
        <v>93</v>
      </c>
      <c r="AG60" s="243" t="s">
        <v>93</v>
      </c>
      <c r="AH60" s="243" t="s">
        <v>93</v>
      </c>
      <c r="AI60" s="243"/>
      <c r="AJ60" s="243"/>
      <c r="AK60" s="243"/>
      <c r="AL60" s="243"/>
      <c r="AM60" s="243"/>
      <c r="AN60" s="243"/>
      <c r="AO60" s="65" t="s">
        <v>28</v>
      </c>
    </row>
    <row r="61" spans="1:41" ht="14.1" hidden="1" customHeight="1">
      <c r="A61" s="65" t="s">
        <v>29</v>
      </c>
      <c r="B61" s="243">
        <v>0.84609032258064554</v>
      </c>
      <c r="C61" s="243">
        <v>1.2337719629032258</v>
      </c>
      <c r="D61" s="243">
        <v>0.73917358532258082</v>
      </c>
      <c r="E61" s="243">
        <v>0.23038767169457816</v>
      </c>
      <c r="F61" s="243">
        <v>0.11482010784366649</v>
      </c>
      <c r="G61" s="243">
        <v>0.16538388824232725</v>
      </c>
      <c r="H61" s="243">
        <v>0.10849387018473639</v>
      </c>
      <c r="I61" s="243">
        <v>1.7114654916129035</v>
      </c>
      <c r="J61" s="243">
        <v>9.0664232655359393E-3</v>
      </c>
      <c r="K61" s="243">
        <v>0.13084813022305328</v>
      </c>
      <c r="L61" s="243">
        <v>0.74346883231710481</v>
      </c>
      <c r="M61" s="243">
        <v>0.21689964776703582</v>
      </c>
      <c r="N61" s="243">
        <v>0.84429966407847989</v>
      </c>
      <c r="O61" s="243">
        <v>3.0864097420232253</v>
      </c>
      <c r="P61" s="243">
        <v>0.1539408016871314</v>
      </c>
      <c r="Q61" s="243">
        <v>0.34241049171923521</v>
      </c>
      <c r="R61" s="243">
        <v>0.58387145893374015</v>
      </c>
      <c r="S61" s="243">
        <v>0.71680145711243259</v>
      </c>
      <c r="T61" s="243">
        <v>0.75398139770068429</v>
      </c>
      <c r="U61" s="243">
        <v>3.9251828568969353E-2</v>
      </c>
      <c r="V61" s="243">
        <v>0.52848470337673137</v>
      </c>
      <c r="W61" s="243">
        <v>7.0063727199335454E-3</v>
      </c>
      <c r="X61" s="243">
        <v>2.4319558106285045E-2</v>
      </c>
      <c r="Y61" s="243">
        <v>7.4931260019996213E-2</v>
      </c>
      <c r="Z61" s="243">
        <v>6.5700595857840147E-2</v>
      </c>
      <c r="AA61" s="243">
        <v>3.4454316253063159E-2</v>
      </c>
      <c r="AB61" s="243">
        <v>1.6270967741935483E-2</v>
      </c>
      <c r="AC61" s="243">
        <v>0.16727885447528101</v>
      </c>
      <c r="AD61" s="243" t="s">
        <v>93</v>
      </c>
      <c r="AE61" s="243" t="s">
        <v>93</v>
      </c>
      <c r="AF61" s="243" t="s">
        <v>93</v>
      </c>
      <c r="AG61" s="243" t="s">
        <v>93</v>
      </c>
      <c r="AH61" s="243" t="s">
        <v>93</v>
      </c>
      <c r="AI61" s="243"/>
      <c r="AJ61" s="243"/>
      <c r="AK61" s="243"/>
      <c r="AL61" s="243"/>
      <c r="AM61" s="243"/>
      <c r="AN61" s="243"/>
      <c r="AO61" s="65" t="s">
        <v>29</v>
      </c>
    </row>
    <row r="62" spans="1:41" ht="14.1" hidden="1" customHeight="1">
      <c r="A62" s="66"/>
      <c r="B62" s="243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  <c r="AJ62" s="243"/>
      <c r="AK62" s="243"/>
      <c r="AL62" s="243"/>
      <c r="AM62" s="243"/>
      <c r="AN62" s="243"/>
      <c r="AO62" s="66"/>
    </row>
    <row r="63" spans="1:41" ht="14.1" hidden="1" customHeight="1">
      <c r="A63" s="65" t="s">
        <v>114</v>
      </c>
      <c r="B63" s="243">
        <v>0.82162457757642082</v>
      </c>
      <c r="C63" s="243">
        <v>1.2099503093067814</v>
      </c>
      <c r="D63" s="243">
        <v>0.70190940928992429</v>
      </c>
      <c r="E63" s="243">
        <v>0.22370172438092492</v>
      </c>
      <c r="F63" s="243">
        <v>0.11820686289919308</v>
      </c>
      <c r="G63" s="243">
        <v>0.16227344002725613</v>
      </c>
      <c r="H63" s="243">
        <v>0.10551496764741243</v>
      </c>
      <c r="I63" s="243">
        <v>1.5261202671737373</v>
      </c>
      <c r="J63" s="243">
        <v>8.693765144154899E-3</v>
      </c>
      <c r="K63" s="243">
        <v>0.1263077160931749</v>
      </c>
      <c r="L63" s="243">
        <v>0.76167473231931604</v>
      </c>
      <c r="M63" s="243">
        <v>0.22994456156195819</v>
      </c>
      <c r="N63" s="243">
        <v>0.77728083667927894</v>
      </c>
      <c r="O63" s="243">
        <v>3.0551102924012015</v>
      </c>
      <c r="P63" s="243">
        <v>0.14795070400543217</v>
      </c>
      <c r="Q63" s="243">
        <v>0.34625519036681474</v>
      </c>
      <c r="R63" s="243">
        <v>0.58146037368544745</v>
      </c>
      <c r="S63" s="243">
        <v>0.63810643899695341</v>
      </c>
      <c r="T63" s="243">
        <v>0.79656067843736789</v>
      </c>
      <c r="U63" s="243">
        <v>3.846526305370087E-2</v>
      </c>
      <c r="V63" s="243">
        <v>0.55338913493682973</v>
      </c>
      <c r="W63" s="243">
        <v>6.8287085516211847E-3</v>
      </c>
      <c r="X63" s="243">
        <v>2.2537353998815141E-2</v>
      </c>
      <c r="Y63" s="243">
        <v>7.9284191357945191E-2</v>
      </c>
      <c r="Z63" s="243">
        <v>6.2320005957130699E-2</v>
      </c>
      <c r="AA63" s="243">
        <v>3.3203817931841885E-2</v>
      </c>
      <c r="AB63" s="243">
        <v>1.1580186470078002E-2</v>
      </c>
      <c r="AC63" s="243">
        <v>0.15953550293129468</v>
      </c>
      <c r="AD63" s="243" t="s">
        <v>93</v>
      </c>
      <c r="AE63" s="243" t="s">
        <v>93</v>
      </c>
      <c r="AF63" s="243" t="s">
        <v>93</v>
      </c>
      <c r="AG63" s="243" t="s">
        <v>93</v>
      </c>
      <c r="AH63" s="243" t="s">
        <v>93</v>
      </c>
      <c r="AI63" s="243"/>
      <c r="AJ63" s="243"/>
      <c r="AK63" s="243"/>
      <c r="AL63" s="243"/>
      <c r="AM63" s="243"/>
      <c r="AN63" s="243"/>
      <c r="AO63" s="65" t="s">
        <v>114</v>
      </c>
    </row>
    <row r="64" spans="1:41" ht="14.1" hidden="1" customHeight="1">
      <c r="A64" s="65" t="s">
        <v>18</v>
      </c>
      <c r="B64" s="243">
        <v>0.84533548387096813</v>
      </c>
      <c r="C64" s="243">
        <v>1.2441959725806451</v>
      </c>
      <c r="D64" s="243">
        <v>0.7448904333870966</v>
      </c>
      <c r="E64" s="243">
        <v>0.2301516467768964</v>
      </c>
      <c r="F64" s="243">
        <v>0.11659412583520148</v>
      </c>
      <c r="G64" s="243">
        <v>0.16697880589755035</v>
      </c>
      <c r="H64" s="243">
        <v>0.10830672886097169</v>
      </c>
      <c r="I64" s="243">
        <v>1.6676952116129029</v>
      </c>
      <c r="J64" s="243">
        <v>9.0998560419067107E-3</v>
      </c>
      <c r="K64" s="243">
        <v>0.13198602319298447</v>
      </c>
      <c r="L64" s="243">
        <v>0.76581878083814348</v>
      </c>
      <c r="M64" s="243">
        <v>0.22498032475481683</v>
      </c>
      <c r="N64" s="243">
        <v>0.83906652599528408</v>
      </c>
      <c r="O64" s="243">
        <v>3.0956619480007475</v>
      </c>
      <c r="P64" s="243">
        <v>0.15642836270451452</v>
      </c>
      <c r="Q64" s="243">
        <v>0.34500041178805219</v>
      </c>
      <c r="R64" s="243">
        <v>0.58982593538262484</v>
      </c>
      <c r="S64" s="243">
        <v>0.71972860900072333</v>
      </c>
      <c r="T64" s="243">
        <v>0.77936845185016035</v>
      </c>
      <c r="U64" s="243">
        <v>3.9248165877936302E-2</v>
      </c>
      <c r="V64" s="243">
        <v>0.53066196274868782</v>
      </c>
      <c r="W64" s="243">
        <v>7.0203890917074031E-3</v>
      </c>
      <c r="X64" s="243">
        <v>2.3789722141375438E-2</v>
      </c>
      <c r="Y64" s="243">
        <v>7.4874869747243777E-2</v>
      </c>
      <c r="Z64" s="243">
        <v>6.5424206423224454E-2</v>
      </c>
      <c r="AA64" s="243">
        <v>3.4550102979736139E-2</v>
      </c>
      <c r="AB64" s="243">
        <v>1.6257816377171216E-2</v>
      </c>
      <c r="AC64" s="243">
        <v>0.16706982710371518</v>
      </c>
      <c r="AD64" s="243" t="s">
        <v>93</v>
      </c>
      <c r="AE64" s="243" t="s">
        <v>93</v>
      </c>
      <c r="AF64" s="243" t="s">
        <v>93</v>
      </c>
      <c r="AG64" s="243" t="s">
        <v>93</v>
      </c>
      <c r="AH64" s="243" t="s">
        <v>93</v>
      </c>
      <c r="AI64" s="243"/>
      <c r="AJ64" s="243"/>
      <c r="AK64" s="243"/>
      <c r="AL64" s="243"/>
      <c r="AM64" s="243"/>
      <c r="AN64" s="243"/>
      <c r="AO64" s="149" t="s">
        <v>18</v>
      </c>
    </row>
    <row r="65" spans="1:41" ht="14.1" hidden="1" customHeight="1">
      <c r="A65" s="65" t="s">
        <v>19</v>
      </c>
      <c r="B65" s="243">
        <v>0.84424137931034482</v>
      </c>
      <c r="C65" s="243">
        <v>1.2435879062068964</v>
      </c>
      <c r="D65" s="243">
        <v>0.76852724189655164</v>
      </c>
      <c r="E65" s="243">
        <v>0.22990030026024827</v>
      </c>
      <c r="F65" s="243">
        <v>0.11776362253484238</v>
      </c>
      <c r="G65" s="243">
        <v>0.16683014078802383</v>
      </c>
      <c r="H65" s="243">
        <v>0.10827484633112064</v>
      </c>
      <c r="I65" s="243">
        <v>1.6588806570689656</v>
      </c>
      <c r="J65" s="243">
        <v>9.0482380600979614E-3</v>
      </c>
      <c r="K65" s="243">
        <v>0.13270612678174584</v>
      </c>
      <c r="L65" s="243">
        <v>0.77326172519214698</v>
      </c>
      <c r="M65" s="243">
        <v>0.23399632300061873</v>
      </c>
      <c r="N65" s="243">
        <v>0.84259570778773429</v>
      </c>
      <c r="O65" s="243">
        <v>3.0891579976680825</v>
      </c>
      <c r="P65" s="243">
        <v>0.15637066411011843</v>
      </c>
      <c r="Q65" s="243">
        <v>0.34730060669862389</v>
      </c>
      <c r="R65" s="243">
        <v>0.59790409078889184</v>
      </c>
      <c r="S65" s="243">
        <v>0.70685348408400617</v>
      </c>
      <c r="T65" s="243">
        <v>0.78750260181313103</v>
      </c>
      <c r="U65" s="243">
        <v>3.92639100893728E-2</v>
      </c>
      <c r="V65" s="243">
        <v>0.53915092366851558</v>
      </c>
      <c r="W65" s="243">
        <v>7.0137583740764366E-3</v>
      </c>
      <c r="X65" s="243">
        <v>2.3399083325356663E-2</v>
      </c>
      <c r="Y65" s="243">
        <v>7.5220974440916688E-2</v>
      </c>
      <c r="Z65" s="243">
        <v>6.5187903460509178E-2</v>
      </c>
      <c r="AA65" s="243">
        <v>3.4416086871954306E-2</v>
      </c>
      <c r="AB65" s="243">
        <v>1.6235411140583557E-2</v>
      </c>
      <c r="AC65" s="243">
        <v>0.16724292580172545</v>
      </c>
      <c r="AD65" s="243" t="s">
        <v>93</v>
      </c>
      <c r="AE65" s="243" t="s">
        <v>93</v>
      </c>
      <c r="AF65" s="243" t="s">
        <v>93</v>
      </c>
      <c r="AG65" s="243" t="s">
        <v>93</v>
      </c>
      <c r="AH65" s="243" t="s">
        <v>93</v>
      </c>
      <c r="AI65" s="243"/>
      <c r="AJ65" s="243"/>
      <c r="AK65" s="243"/>
      <c r="AL65" s="243"/>
      <c r="AM65" s="243"/>
      <c r="AN65" s="243"/>
      <c r="AO65" s="149" t="s">
        <v>19</v>
      </c>
    </row>
    <row r="66" spans="1:41" ht="14.1" hidden="1" customHeight="1">
      <c r="A66" s="65" t="s">
        <v>20</v>
      </c>
      <c r="B66" s="243">
        <v>0.83982907864780454</v>
      </c>
      <c r="C66" s="243">
        <v>1.3057487185153462</v>
      </c>
      <c r="D66" s="243">
        <v>0.78205517275924619</v>
      </c>
      <c r="E66" s="243">
        <v>0.22871135988903935</v>
      </c>
      <c r="F66" s="243">
        <v>0.118597990663424</v>
      </c>
      <c r="G66" s="243">
        <v>0.17513359570940432</v>
      </c>
      <c r="H66" s="243">
        <v>0.10794872885468003</v>
      </c>
      <c r="I66" s="243">
        <v>1.6850097814580403</v>
      </c>
      <c r="J66" s="243">
        <v>9.1977581427582274E-3</v>
      </c>
      <c r="K66" s="243">
        <v>0.13882017532883548</v>
      </c>
      <c r="L66" s="243">
        <v>0.83131756005985846</v>
      </c>
      <c r="M66" s="243">
        <v>0.24025825529628961</v>
      </c>
      <c r="N66" s="243">
        <v>0.84731026318165448</v>
      </c>
      <c r="O66" s="243">
        <v>3.123125150143415</v>
      </c>
      <c r="P66" s="243">
        <v>0.16394973548702022</v>
      </c>
      <c r="Q66" s="243">
        <v>0.36904079335041418</v>
      </c>
      <c r="R66" s="243">
        <v>0.60686443656458389</v>
      </c>
      <c r="S66" s="243">
        <v>0.68051118502363506</v>
      </c>
      <c r="T66" s="243">
        <v>0.83386075695707118</v>
      </c>
      <c r="U66" s="243">
        <v>3.9103185782480898E-2</v>
      </c>
      <c r="V66" s="243">
        <v>0.555217185775432</v>
      </c>
      <c r="W66" s="243">
        <v>6.9588228441538605E-3</v>
      </c>
      <c r="X66" s="243">
        <v>2.3056556700527201E-2</v>
      </c>
      <c r="Y66" s="243">
        <v>7.7966359819953923E-2</v>
      </c>
      <c r="Z66" s="243">
        <v>6.4709418712750225E-2</v>
      </c>
      <c r="AA66" s="243">
        <v>3.544047582879134E-2</v>
      </c>
      <c r="AB66" s="243">
        <v>1.6150559204765477E-2</v>
      </c>
      <c r="AC66" s="243">
        <v>0.1672437547663288</v>
      </c>
      <c r="AD66" s="243" t="s">
        <v>93</v>
      </c>
      <c r="AE66" s="243" t="s">
        <v>93</v>
      </c>
      <c r="AF66" s="243" t="s">
        <v>93</v>
      </c>
      <c r="AG66" s="243" t="s">
        <v>93</v>
      </c>
      <c r="AH66" s="243" t="s">
        <v>93</v>
      </c>
      <c r="AI66" s="243"/>
      <c r="AJ66" s="243"/>
      <c r="AK66" s="243"/>
      <c r="AL66" s="243"/>
      <c r="AM66" s="243"/>
      <c r="AN66" s="243"/>
      <c r="AO66" s="149" t="s">
        <v>20</v>
      </c>
    </row>
    <row r="67" spans="1:41" ht="14.1" hidden="1" customHeight="1">
      <c r="A67" s="65" t="s">
        <v>21</v>
      </c>
      <c r="B67" s="243">
        <v>0.83015386644905198</v>
      </c>
      <c r="C67" s="243">
        <v>1.3082278036406052</v>
      </c>
      <c r="D67" s="243">
        <v>0.77228840775966112</v>
      </c>
      <c r="E67" s="243">
        <v>0.22603398188536136</v>
      </c>
      <c r="F67" s="243">
        <v>0.11858699301280873</v>
      </c>
      <c r="G67" s="243">
        <v>0.1753523966503415</v>
      </c>
      <c r="H67" s="243">
        <v>0.10654811950678982</v>
      </c>
      <c r="I67" s="243">
        <v>1.6451131514018846</v>
      </c>
      <c r="J67" s="243">
        <v>9.1669468533611114E-3</v>
      </c>
      <c r="K67" s="243">
        <v>0.13958961511046744</v>
      </c>
      <c r="L67" s="243">
        <v>0.81950057484928118</v>
      </c>
      <c r="M67" s="243">
        <v>0.2354408362968651</v>
      </c>
      <c r="N67" s="243">
        <v>0.81958407147155932</v>
      </c>
      <c r="O67" s="243">
        <v>3.1232078576869085</v>
      </c>
      <c r="P67" s="243">
        <v>0.16420040035808561</v>
      </c>
      <c r="Q67" s="243">
        <v>0.37986942775049326</v>
      </c>
      <c r="R67" s="243">
        <v>0.60861062543143585</v>
      </c>
      <c r="S67" s="243">
        <v>0.63730602965767635</v>
      </c>
      <c r="T67" s="243">
        <v>0.80913531364072744</v>
      </c>
      <c r="U67" s="243">
        <v>3.8695181164608163E-2</v>
      </c>
      <c r="V67" s="243">
        <v>0.57097110690992636</v>
      </c>
      <c r="W67" s="243">
        <v>6.8875578370629917E-3</v>
      </c>
      <c r="X67" s="243">
        <v>2.2775244402588119E-2</v>
      </c>
      <c r="Y67" s="243">
        <v>7.9829834847566117E-2</v>
      </c>
      <c r="Z67" s="243">
        <v>6.3736716934755605E-2</v>
      </c>
      <c r="AA67" s="243">
        <v>3.5307420268959284E-2</v>
      </c>
      <c r="AB67" s="243">
        <v>1.5964497431712538E-2</v>
      </c>
      <c r="AC67" s="243">
        <v>0.16811664977127322</v>
      </c>
      <c r="AD67" s="243" t="s">
        <v>93</v>
      </c>
      <c r="AE67" s="243" t="s">
        <v>93</v>
      </c>
      <c r="AF67" s="243" t="s">
        <v>93</v>
      </c>
      <c r="AG67" s="243" t="s">
        <v>93</v>
      </c>
      <c r="AH67" s="243" t="s">
        <v>93</v>
      </c>
      <c r="AI67" s="243"/>
      <c r="AJ67" s="243"/>
      <c r="AK67" s="243"/>
      <c r="AL67" s="243"/>
      <c r="AM67" s="243"/>
      <c r="AN67" s="243"/>
      <c r="AO67" s="149" t="s">
        <v>21</v>
      </c>
    </row>
    <row r="68" spans="1:41" ht="14.1" hidden="1" customHeight="1">
      <c r="A68" s="65" t="s">
        <v>22</v>
      </c>
      <c r="B68" s="243">
        <v>0.82642259651039296</v>
      </c>
      <c r="C68" s="243">
        <v>1.2842699431189726</v>
      </c>
      <c r="D68" s="243">
        <v>0.78308254350691553</v>
      </c>
      <c r="E68" s="243">
        <v>0.22500518380282006</v>
      </c>
      <c r="F68" s="243">
        <v>0.11849890498081531</v>
      </c>
      <c r="G68" s="243">
        <v>0.17212289022991292</v>
      </c>
      <c r="H68" s="243">
        <v>0.10596422991937512</v>
      </c>
      <c r="I68" s="243">
        <v>1.624478542891779</v>
      </c>
      <c r="J68" s="243">
        <v>8.9561415899710225E-3</v>
      </c>
      <c r="K68" s="243">
        <v>0.13775192156201446</v>
      </c>
      <c r="L68" s="243">
        <v>0.79077063531735847</v>
      </c>
      <c r="M68" s="243">
        <v>0.24414144341059971</v>
      </c>
      <c r="N68" s="243">
        <v>0.82572110917351227</v>
      </c>
      <c r="O68" s="243">
        <v>3.1037400804856028</v>
      </c>
      <c r="P68" s="243">
        <v>0.16297310124231637</v>
      </c>
      <c r="Q68" s="243">
        <v>0.37670727987309505</v>
      </c>
      <c r="R68" s="243">
        <v>0.60478291516270821</v>
      </c>
      <c r="S68" s="243">
        <v>0.66151355480102847</v>
      </c>
      <c r="T68" s="243">
        <v>0.79242265154514147</v>
      </c>
      <c r="U68" s="243">
        <v>3.8639966803429016E-2</v>
      </c>
      <c r="V68" s="243">
        <v>0.56832618597674822</v>
      </c>
      <c r="W68" s="243">
        <v>6.8562122648737588E-3</v>
      </c>
      <c r="X68" s="243">
        <v>2.2675794669713128E-2</v>
      </c>
      <c r="Y68" s="243">
        <v>7.995472817388162E-2</v>
      </c>
      <c r="Z68" s="243">
        <v>6.3277344443775696E-2</v>
      </c>
      <c r="AA68" s="243">
        <v>3.4818974472895031E-2</v>
      </c>
      <c r="AB68" s="243">
        <v>1.5892742240584488E-2</v>
      </c>
      <c r="AC68" s="243">
        <v>0.17299680058135242</v>
      </c>
      <c r="AD68" s="243" t="s">
        <v>93</v>
      </c>
      <c r="AE68" s="243" t="s">
        <v>93</v>
      </c>
      <c r="AF68" s="243" t="s">
        <v>93</v>
      </c>
      <c r="AG68" s="243" t="s">
        <v>93</v>
      </c>
      <c r="AH68" s="243" t="s">
        <v>93</v>
      </c>
      <c r="AI68" s="243"/>
      <c r="AJ68" s="243"/>
      <c r="AK68" s="243"/>
      <c r="AL68" s="243"/>
      <c r="AM68" s="243"/>
      <c r="AN68" s="243"/>
      <c r="AO68" s="149" t="s">
        <v>22</v>
      </c>
    </row>
    <row r="69" spans="1:41" ht="14.1" hidden="1" customHeight="1">
      <c r="A69" s="65" t="s">
        <v>23</v>
      </c>
      <c r="B69" s="243">
        <v>0.81750195409380955</v>
      </c>
      <c r="C69" s="243">
        <v>1.2717693980166263</v>
      </c>
      <c r="D69" s="243">
        <v>0.77785671786599719</v>
      </c>
      <c r="E69" s="243">
        <v>0.22257044660343794</v>
      </c>
      <c r="F69" s="243">
        <v>0.11850379569687791</v>
      </c>
      <c r="G69" s="243">
        <v>0.1705054566953727</v>
      </c>
      <c r="H69" s="243">
        <v>0.10471768429850045</v>
      </c>
      <c r="I69" s="243">
        <v>1.6069590455758467</v>
      </c>
      <c r="J69" s="243">
        <v>8.8121927980428123E-3</v>
      </c>
      <c r="K69" s="243">
        <v>0.13570560434519158</v>
      </c>
      <c r="L69" s="243">
        <v>0.78800974358928255</v>
      </c>
      <c r="M69" s="243">
        <v>0.24396606185194039</v>
      </c>
      <c r="N69" s="243">
        <v>0.80570157282653199</v>
      </c>
      <c r="O69" s="243">
        <v>3.0800226245038171</v>
      </c>
      <c r="P69" s="243">
        <v>0.15925685758184896</v>
      </c>
      <c r="Q69" s="243">
        <v>0.37632359991211123</v>
      </c>
      <c r="R69" s="243">
        <v>0.59752057640945777</v>
      </c>
      <c r="S69" s="243">
        <v>0.66152743771348477</v>
      </c>
      <c r="T69" s="243">
        <v>0.76467352585461379</v>
      </c>
      <c r="U69" s="243">
        <v>3.8368892994020166E-2</v>
      </c>
      <c r="V69" s="243">
        <v>0.57276291786989364</v>
      </c>
      <c r="W69" s="243">
        <v>6.7736689732718382E-3</v>
      </c>
      <c r="X69" s="243">
        <v>2.2427294741834816E-2</v>
      </c>
      <c r="Y69" s="243">
        <v>8.144757576932557E-2</v>
      </c>
      <c r="Z69" s="243">
        <v>6.2459506970777526E-2</v>
      </c>
      <c r="AA69" s="243">
        <v>3.4572291317177303E-2</v>
      </c>
      <c r="AB69" s="243">
        <v>1.5721191424880956E-2</v>
      </c>
      <c r="AC69" s="243">
        <v>0.17133248174464716</v>
      </c>
      <c r="AD69" s="243" t="s">
        <v>93</v>
      </c>
      <c r="AE69" s="243" t="s">
        <v>93</v>
      </c>
      <c r="AF69" s="243" t="s">
        <v>93</v>
      </c>
      <c r="AG69" s="243" t="s">
        <v>93</v>
      </c>
      <c r="AH69" s="243" t="s">
        <v>93</v>
      </c>
      <c r="AI69" s="243"/>
      <c r="AJ69" s="243"/>
      <c r="AK69" s="243"/>
      <c r="AL69" s="243"/>
      <c r="AM69" s="243"/>
      <c r="AN69" s="243"/>
      <c r="AO69" s="149" t="s">
        <v>23</v>
      </c>
    </row>
    <row r="70" spans="1:41" ht="14.1" hidden="1" customHeight="1">
      <c r="A70" s="65" t="s">
        <v>24</v>
      </c>
      <c r="B70" s="243">
        <v>0.807793700112033</v>
      </c>
      <c r="C70" s="243">
        <v>1.2737385319284984</v>
      </c>
      <c r="D70" s="243">
        <v>0.777619108637576</v>
      </c>
      <c r="E70" s="243">
        <v>0.21992816471566001</v>
      </c>
      <c r="F70" s="243">
        <v>0.11815851007373995</v>
      </c>
      <c r="G70" s="243">
        <v>0.17073578080802093</v>
      </c>
      <c r="H70" s="243">
        <v>0.1035654820610075</v>
      </c>
      <c r="I70" s="243">
        <v>1.606168470759181</v>
      </c>
      <c r="J70" s="243">
        <v>8.7814813624450538E-3</v>
      </c>
      <c r="K70" s="243">
        <v>0.13470675910580371</v>
      </c>
      <c r="L70" s="243">
        <v>0.78691601238704412</v>
      </c>
      <c r="M70" s="243">
        <v>0.23985640587990639</v>
      </c>
      <c r="N70" s="243">
        <v>0.79766699907173455</v>
      </c>
      <c r="O70" s="243">
        <v>3.0440440777541133</v>
      </c>
      <c r="P70" s="243">
        <v>0.15828497603589789</v>
      </c>
      <c r="Q70" s="243">
        <v>0.39042809578529286</v>
      </c>
      <c r="R70" s="243">
        <v>0.59453405096510958</v>
      </c>
      <c r="S70" s="243">
        <v>0.66458461785755418</v>
      </c>
      <c r="T70" s="243">
        <v>0.75676228184242422</v>
      </c>
      <c r="U70" s="243">
        <v>3.8061042823747296E-2</v>
      </c>
      <c r="V70" s="243">
        <v>0.57343539500074636</v>
      </c>
      <c r="W70" s="243">
        <v>6.7152656169588605E-3</v>
      </c>
      <c r="X70" s="243">
        <v>2.2295287405643939E-2</v>
      </c>
      <c r="Y70" s="243">
        <v>8.272462687955652E-2</v>
      </c>
      <c r="Z70" s="243">
        <v>6.1541586273467154E-2</v>
      </c>
      <c r="AA70" s="243">
        <v>3.4583659033797801E-2</v>
      </c>
      <c r="AB70" s="243">
        <v>8.2166061406332494E-3</v>
      </c>
      <c r="AC70" s="243">
        <v>0.17503913605803895</v>
      </c>
      <c r="AD70" s="243" t="s">
        <v>93</v>
      </c>
      <c r="AE70" s="243" t="s">
        <v>93</v>
      </c>
      <c r="AF70" s="243" t="s">
        <v>93</v>
      </c>
      <c r="AG70" s="243" t="s">
        <v>93</v>
      </c>
      <c r="AH70" s="243" t="s">
        <v>93</v>
      </c>
      <c r="AI70" s="243"/>
      <c r="AJ70" s="243"/>
      <c r="AK70" s="243"/>
      <c r="AL70" s="243"/>
      <c r="AM70" s="243"/>
      <c r="AN70" s="243"/>
      <c r="AO70" s="149" t="s">
        <v>24</v>
      </c>
    </row>
    <row r="71" spans="1:41" ht="14.1" hidden="1" customHeight="1">
      <c r="A71" s="65" t="s">
        <v>25</v>
      </c>
      <c r="B71" s="243">
        <v>0.81241665111597905</v>
      </c>
      <c r="C71" s="243">
        <v>1.2190220708479043</v>
      </c>
      <c r="D71" s="243">
        <v>0.71880437235880679</v>
      </c>
      <c r="E71" s="243">
        <v>0.22118253419668846</v>
      </c>
      <c r="F71" s="243">
        <v>0.11859102637448234</v>
      </c>
      <c r="G71" s="243">
        <v>0.16341750713366604</v>
      </c>
      <c r="H71" s="243">
        <v>0.1040465388529659</v>
      </c>
      <c r="I71" s="243">
        <v>1.5387664727574006</v>
      </c>
      <c r="J71" s="243">
        <v>8.5877955240627416E-3</v>
      </c>
      <c r="K71" s="243">
        <v>0.12974153777857403</v>
      </c>
      <c r="L71" s="243">
        <v>0.75168864971105631</v>
      </c>
      <c r="M71" s="243">
        <v>0.22875135869974458</v>
      </c>
      <c r="N71" s="243">
        <v>0.77318093370940066</v>
      </c>
      <c r="O71" s="243">
        <v>3.039563137071156</v>
      </c>
      <c r="P71" s="243">
        <v>0.15284479235923321</v>
      </c>
      <c r="Q71" s="243">
        <v>0.37107196752187771</v>
      </c>
      <c r="R71" s="243">
        <v>0.57945597401139048</v>
      </c>
      <c r="S71" s="243">
        <v>0.68981997247861826</v>
      </c>
      <c r="T71" s="243">
        <v>0.74378762418387812</v>
      </c>
      <c r="U71" s="243">
        <v>3.8449736385827188E-2</v>
      </c>
      <c r="V71" s="243">
        <v>0.57578584093741392</v>
      </c>
      <c r="W71" s="243">
        <v>6.7698825376822534E-3</v>
      </c>
      <c r="X71" s="243">
        <v>2.2774821611682219E-2</v>
      </c>
      <c r="Y71" s="243">
        <v>8.416948767943562E-2</v>
      </c>
      <c r="Z71" s="243">
        <v>6.164239167354859E-2</v>
      </c>
      <c r="AA71" s="243">
        <v>3.363049556143622E-2</v>
      </c>
      <c r="AB71" s="243">
        <v>5.6941766330189493E-3</v>
      </c>
      <c r="AC71" s="243">
        <v>0.17548252150367347</v>
      </c>
      <c r="AD71" s="243" t="s">
        <v>93</v>
      </c>
      <c r="AE71" s="243" t="s">
        <v>93</v>
      </c>
      <c r="AF71" s="243" t="s">
        <v>93</v>
      </c>
      <c r="AG71" s="243" t="s">
        <v>93</v>
      </c>
      <c r="AH71" s="243" t="s">
        <v>93</v>
      </c>
      <c r="AI71" s="243"/>
      <c r="AJ71" s="243"/>
      <c r="AK71" s="243"/>
      <c r="AL71" s="243"/>
      <c r="AM71" s="243"/>
      <c r="AN71" s="243"/>
      <c r="AO71" s="149" t="s">
        <v>25</v>
      </c>
    </row>
    <row r="72" spans="1:41" ht="14.1" hidden="1" customHeight="1">
      <c r="A72" s="65" t="s">
        <v>26</v>
      </c>
      <c r="B72" s="243">
        <v>0.81240699667652772</v>
      </c>
      <c r="C72" s="243">
        <v>1.1678208263447742</v>
      </c>
      <c r="D72" s="243">
        <v>0.66630790137250961</v>
      </c>
      <c r="E72" s="243">
        <v>0.22117557234633151</v>
      </c>
      <c r="F72" s="243">
        <v>0.11880524649023337</v>
      </c>
      <c r="G72" s="243">
        <v>0.15658605452006891</v>
      </c>
      <c r="H72" s="243">
        <v>0.104277407006029</v>
      </c>
      <c r="I72" s="243">
        <v>1.462170434852766</v>
      </c>
      <c r="J72" s="243">
        <v>8.3822643492485957E-3</v>
      </c>
      <c r="K72" s="243">
        <v>0.1221667085817626</v>
      </c>
      <c r="L72" s="243">
        <v>0.73284167990687232</v>
      </c>
      <c r="M72" s="243">
        <v>0.2300812749004188</v>
      </c>
      <c r="N72" s="243">
        <v>0.76809899484654554</v>
      </c>
      <c r="O72" s="243">
        <v>3.0360812010532543</v>
      </c>
      <c r="P72" s="243">
        <v>0.14332135647334737</v>
      </c>
      <c r="Q72" s="243">
        <v>0.34711747018312111</v>
      </c>
      <c r="R72" s="243">
        <v>0.56808248038600773</v>
      </c>
      <c r="S72" s="243">
        <v>0.65372554551943984</v>
      </c>
      <c r="T72" s="243">
        <v>0.76158411385643121</v>
      </c>
      <c r="U72" s="243">
        <v>3.8462624735866369E-2</v>
      </c>
      <c r="V72" s="243">
        <v>0.57795670883031902</v>
      </c>
      <c r="W72" s="243">
        <v>6.7871169806029323E-3</v>
      </c>
      <c r="X72" s="243">
        <v>2.3363997886881493E-2</v>
      </c>
      <c r="Y72" s="243">
        <v>8.1494441128717607E-2</v>
      </c>
      <c r="Z72" s="243">
        <v>6.1304788406597338E-2</v>
      </c>
      <c r="AA72" s="243">
        <v>3.2095063406238335E-2</v>
      </c>
      <c r="AB72" s="243">
        <v>5.6941089656669221E-3</v>
      </c>
      <c r="AC72" s="243">
        <v>0.1670723568565543</v>
      </c>
      <c r="AD72" s="243" t="s">
        <v>93</v>
      </c>
      <c r="AE72" s="243" t="s">
        <v>93</v>
      </c>
      <c r="AF72" s="243" t="s">
        <v>93</v>
      </c>
      <c r="AG72" s="243" t="s">
        <v>93</v>
      </c>
      <c r="AH72" s="243" t="s">
        <v>93</v>
      </c>
      <c r="AI72" s="243"/>
      <c r="AJ72" s="243"/>
      <c r="AK72" s="243"/>
      <c r="AL72" s="243"/>
      <c r="AM72" s="243"/>
      <c r="AN72" s="243"/>
      <c r="AO72" s="149" t="s">
        <v>26</v>
      </c>
    </row>
    <row r="73" spans="1:41" ht="14.1" hidden="1" customHeight="1">
      <c r="A73" s="65" t="s">
        <v>27</v>
      </c>
      <c r="B73" s="243">
        <v>0.80988035854965301</v>
      </c>
      <c r="C73" s="243">
        <v>1.0827745133533706</v>
      </c>
      <c r="D73" s="243">
        <v>0.56321046330115498</v>
      </c>
      <c r="E73" s="243">
        <v>0.22048641319535667</v>
      </c>
      <c r="F73" s="243">
        <v>0.11847406268112071</v>
      </c>
      <c r="G73" s="243">
        <v>0.14524323757077504</v>
      </c>
      <c r="H73" s="243">
        <v>0.10435355191116404</v>
      </c>
      <c r="I73" s="243">
        <v>1.3766037717216548</v>
      </c>
      <c r="J73" s="243">
        <v>8.2276107050314913E-3</v>
      </c>
      <c r="K73" s="243">
        <v>0.1100984533318056</v>
      </c>
      <c r="L73" s="243">
        <v>0.7106001586212114</v>
      </c>
      <c r="M73" s="243">
        <v>0.22172252647271035</v>
      </c>
      <c r="N73" s="243">
        <v>0.69406758027011317</v>
      </c>
      <c r="O73" s="243">
        <v>3.0192194795140357</v>
      </c>
      <c r="P73" s="243">
        <v>0.12610506790680648</v>
      </c>
      <c r="Q73" s="243">
        <v>0.30271241467867133</v>
      </c>
      <c r="R73" s="243">
        <v>0.54853904634670636</v>
      </c>
      <c r="S73" s="243">
        <v>0.55383010238458374</v>
      </c>
      <c r="T73" s="243">
        <v>0.80817221935998007</v>
      </c>
      <c r="U73" s="243">
        <v>3.831939240831099E-2</v>
      </c>
      <c r="V73" s="243">
        <v>0.5746025705429717</v>
      </c>
      <c r="W73" s="243">
        <v>6.7556531628094442E-3</v>
      </c>
      <c r="X73" s="243">
        <v>2.2732907026477029E-2</v>
      </c>
      <c r="Y73" s="243">
        <v>7.8502654172001959E-2</v>
      </c>
      <c r="Z73" s="243">
        <v>6.0616618262798419E-2</v>
      </c>
      <c r="AA73" s="243">
        <v>3.0689001837316803E-2</v>
      </c>
      <c r="AB73" s="243">
        <v>5.6763999197452465E-3</v>
      </c>
      <c r="AC73" s="243">
        <v>0.14740482358641224</v>
      </c>
      <c r="AD73" s="243" t="s">
        <v>93</v>
      </c>
      <c r="AE73" s="243" t="s">
        <v>93</v>
      </c>
      <c r="AF73" s="243" t="s">
        <v>93</v>
      </c>
      <c r="AG73" s="243" t="s">
        <v>93</v>
      </c>
      <c r="AH73" s="243" t="s">
        <v>93</v>
      </c>
      <c r="AI73" s="243"/>
      <c r="AJ73" s="243"/>
      <c r="AK73" s="243"/>
      <c r="AL73" s="243"/>
      <c r="AM73" s="243"/>
      <c r="AN73" s="243"/>
      <c r="AO73" s="149" t="s">
        <v>27</v>
      </c>
    </row>
    <row r="74" spans="1:41" ht="14.1" hidden="1" customHeight="1">
      <c r="A74" s="65" t="s">
        <v>28</v>
      </c>
      <c r="B74" s="243">
        <v>0.80890347898281012</v>
      </c>
      <c r="C74" s="243">
        <v>1.0294431257340853</v>
      </c>
      <c r="D74" s="243">
        <v>0.52991796936814151</v>
      </c>
      <c r="E74" s="243">
        <v>0.22021684862229091</v>
      </c>
      <c r="F74" s="243">
        <v>0.11846482661970711</v>
      </c>
      <c r="G74" s="243">
        <v>0.1382221585665645</v>
      </c>
      <c r="H74" s="243">
        <v>0.10436134391154191</v>
      </c>
      <c r="I74" s="243">
        <v>1.2419093397120897</v>
      </c>
      <c r="J74" s="243">
        <v>8.006215215846095E-3</v>
      </c>
      <c r="K74" s="243">
        <v>0.10180978075662155</v>
      </c>
      <c r="L74" s="243">
        <v>0.68042248336099631</v>
      </c>
      <c r="M74" s="243">
        <v>0.20840374012986845</v>
      </c>
      <c r="N74" s="243">
        <v>0.66212467905413497</v>
      </c>
      <c r="O74" s="243">
        <v>2.9815226784934579</v>
      </c>
      <c r="P74" s="243">
        <v>0.11681828713843938</v>
      </c>
      <c r="Q74" s="243">
        <v>0.27714455426277174</v>
      </c>
      <c r="R74" s="243">
        <v>0.53693023825692898</v>
      </c>
      <c r="S74" s="243">
        <v>0.50574218170880003</v>
      </c>
      <c r="T74" s="243">
        <v>0.83633995364547498</v>
      </c>
      <c r="U74" s="243">
        <v>3.8086498141703735E-2</v>
      </c>
      <c r="V74" s="243">
        <v>0.51546166149476891</v>
      </c>
      <c r="W74" s="243">
        <v>6.7350391952121147E-3</v>
      </c>
      <c r="X74" s="243">
        <v>2.0726313405782806E-2</v>
      </c>
      <c r="Y74" s="243">
        <v>7.7885590433405219E-2</v>
      </c>
      <c r="Z74" s="243">
        <v>5.9631634059637867E-2</v>
      </c>
      <c r="AA74" s="243">
        <v>2.9650360663076004E-2</v>
      </c>
      <c r="AB74" s="243">
        <v>8.8904059011715251E-3</v>
      </c>
      <c r="AC74" s="243">
        <v>0.13267452792131099</v>
      </c>
      <c r="AD74" s="243" t="s">
        <v>93</v>
      </c>
      <c r="AE74" s="243" t="s">
        <v>93</v>
      </c>
      <c r="AF74" s="243" t="s">
        <v>93</v>
      </c>
      <c r="AG74" s="243" t="s">
        <v>93</v>
      </c>
      <c r="AH74" s="243" t="s">
        <v>93</v>
      </c>
      <c r="AI74" s="243"/>
      <c r="AJ74" s="243"/>
      <c r="AK74" s="243"/>
      <c r="AL74" s="243"/>
      <c r="AM74" s="243"/>
      <c r="AN74" s="243"/>
      <c r="AO74" s="149" t="s">
        <v>28</v>
      </c>
    </row>
    <row r="75" spans="1:41" ht="14.1" hidden="1" customHeight="1">
      <c r="A75" s="65" t="s">
        <v>29</v>
      </c>
      <c r="B75" s="243">
        <v>0.80460938659767323</v>
      </c>
      <c r="C75" s="243">
        <v>1.0888049013936516</v>
      </c>
      <c r="D75" s="243">
        <v>0.53835257926543456</v>
      </c>
      <c r="E75" s="243">
        <v>0.21905824027696802</v>
      </c>
      <c r="F75" s="243">
        <v>0.1174432498270639</v>
      </c>
      <c r="G75" s="243">
        <v>0.14615325575737231</v>
      </c>
      <c r="H75" s="243">
        <v>0.10381495025480307</v>
      </c>
      <c r="I75" s="243">
        <v>1.1996883262723357</v>
      </c>
      <c r="J75" s="243">
        <v>8.0586810870869694E-3</v>
      </c>
      <c r="K75" s="243">
        <v>0.10060988724229206</v>
      </c>
      <c r="L75" s="243">
        <v>0.70894878399853956</v>
      </c>
      <c r="M75" s="243">
        <v>0.20773618804971894</v>
      </c>
      <c r="N75" s="243">
        <v>0.65225160276314442</v>
      </c>
      <c r="O75" s="243">
        <v>2.9259772764398391</v>
      </c>
      <c r="P75" s="243">
        <v>0.11485484666755746</v>
      </c>
      <c r="Q75" s="243">
        <v>0.27234566259725201</v>
      </c>
      <c r="R75" s="243">
        <v>0.5444741145195231</v>
      </c>
      <c r="S75" s="243">
        <v>0.5221345477338899</v>
      </c>
      <c r="T75" s="243">
        <v>0.88511864669938134</v>
      </c>
      <c r="U75" s="243">
        <v>3.6884559437107528E-2</v>
      </c>
      <c r="V75" s="243">
        <v>0.48633715948653428</v>
      </c>
      <c r="W75" s="243">
        <v>6.6711357410423272E-3</v>
      </c>
      <c r="X75" s="243">
        <v>2.043122466791885E-2</v>
      </c>
      <c r="Y75" s="243">
        <v>7.7339153203337604E-2</v>
      </c>
      <c r="Z75" s="243">
        <v>5.8307955863726238E-2</v>
      </c>
      <c r="AA75" s="243">
        <v>2.869188294072407E-2</v>
      </c>
      <c r="AB75" s="243">
        <v>8.5683222610019056E-3</v>
      </c>
      <c r="AC75" s="243">
        <v>0.10275022948050368</v>
      </c>
      <c r="AD75" s="243" t="s">
        <v>93</v>
      </c>
      <c r="AE75" s="243" t="s">
        <v>93</v>
      </c>
      <c r="AF75" s="243" t="s">
        <v>93</v>
      </c>
      <c r="AG75" s="243" t="s">
        <v>93</v>
      </c>
      <c r="AH75" s="243" t="s">
        <v>93</v>
      </c>
      <c r="AI75" s="243"/>
      <c r="AJ75" s="243"/>
      <c r="AK75" s="243"/>
      <c r="AL75" s="243"/>
      <c r="AM75" s="243"/>
      <c r="AN75" s="243"/>
      <c r="AO75" s="149" t="s">
        <v>29</v>
      </c>
    </row>
    <row r="76" spans="1:41" ht="14.1" hidden="1" customHeight="1">
      <c r="A76" s="65" t="s">
        <v>43</v>
      </c>
      <c r="B76" s="243">
        <v>0.80377492563930553</v>
      </c>
      <c r="C76" s="243">
        <v>1.1204167221535182</v>
      </c>
      <c r="D76" s="243">
        <v>0.63571862559353476</v>
      </c>
      <c r="E76" s="243">
        <v>0.21884423639156805</v>
      </c>
      <c r="F76" s="243">
        <v>0.1176685415462858</v>
      </c>
      <c r="G76" s="243">
        <v>0.15046778384534346</v>
      </c>
      <c r="H76" s="243">
        <v>0.10368875502014531</v>
      </c>
      <c r="I76" s="243">
        <v>1.2577564973303781</v>
      </c>
      <c r="J76" s="243">
        <v>8.1395184987713923E-3</v>
      </c>
      <c r="K76" s="243">
        <v>0.10571022744460662</v>
      </c>
      <c r="L76" s="243">
        <v>0.74189236315489693</v>
      </c>
      <c r="M76" s="243">
        <v>0.20497890103825553</v>
      </c>
      <c r="N76" s="243">
        <v>0.70693213208204764</v>
      </c>
      <c r="O76" s="243">
        <v>2.7892915798169948</v>
      </c>
      <c r="P76" s="243">
        <v>0.12837515004024869</v>
      </c>
      <c r="Q76" s="243">
        <v>0.25995552040233172</v>
      </c>
      <c r="R76" s="243">
        <v>0.55318242309164445</v>
      </c>
      <c r="S76" s="243">
        <v>0.51847697250557978</v>
      </c>
      <c r="T76" s="243">
        <v>0.86095175267574608</v>
      </c>
      <c r="U76" s="243">
        <v>2.8849336018701575E-2</v>
      </c>
      <c r="V76" s="243">
        <v>0.48151542747367837</v>
      </c>
      <c r="W76" s="243">
        <v>5.4683524484943355E-3</v>
      </c>
      <c r="X76" s="243">
        <v>1.8814572945711691E-2</v>
      </c>
      <c r="Y76" s="243">
        <v>7.2381269517133195E-2</v>
      </c>
      <c r="Z76" s="243">
        <v>5.4897725096457489E-2</v>
      </c>
      <c r="AA76" s="243">
        <v>2.5421748622190474E-2</v>
      </c>
      <c r="AB76" s="243">
        <v>0.27292114334980644</v>
      </c>
      <c r="AC76" s="243">
        <v>9.974936750806189E-2</v>
      </c>
      <c r="AD76" s="243" t="s">
        <v>93</v>
      </c>
      <c r="AE76" s="243" t="s">
        <v>93</v>
      </c>
      <c r="AF76" s="243" t="s">
        <v>93</v>
      </c>
      <c r="AG76" s="243" t="s">
        <v>93</v>
      </c>
      <c r="AH76" s="243" t="s">
        <v>93</v>
      </c>
      <c r="AI76" s="243"/>
      <c r="AJ76" s="243"/>
      <c r="AK76" s="243"/>
      <c r="AL76" s="243"/>
      <c r="AM76" s="243"/>
      <c r="AN76" s="243"/>
      <c r="AO76" s="65" t="s">
        <v>43</v>
      </c>
    </row>
    <row r="77" spans="1:41" ht="14.1" hidden="1" customHeight="1">
      <c r="A77" s="65" t="s">
        <v>18</v>
      </c>
      <c r="B77" s="243">
        <v>0.80349677854719892</v>
      </c>
      <c r="C77" s="243">
        <v>1.0744643301385308</v>
      </c>
      <c r="D77" s="243">
        <v>0.5447162756722429</v>
      </c>
      <c r="E77" s="243">
        <v>0.21874330556871061</v>
      </c>
      <c r="F77" s="243">
        <v>0.11753026545125062</v>
      </c>
      <c r="G77" s="243">
        <v>0.14418646114545058</v>
      </c>
      <c r="H77" s="243">
        <v>0.10359021231893729</v>
      </c>
      <c r="I77" s="243">
        <v>1.1648709182107035</v>
      </c>
      <c r="J77" s="243">
        <v>8.1129803837892214E-3</v>
      </c>
      <c r="K77" s="243">
        <v>9.9841589307149023E-2</v>
      </c>
      <c r="L77" s="243">
        <v>0.71944504690311195</v>
      </c>
      <c r="M77" s="243">
        <v>0.20597316658754905</v>
      </c>
      <c r="N77" s="243">
        <v>0.65659509040769914</v>
      </c>
      <c r="O77" s="243">
        <v>2.8269730188052891</v>
      </c>
      <c r="P77" s="243">
        <v>0.11521964289107564</v>
      </c>
      <c r="Q77" s="243">
        <v>0.25562360440573906</v>
      </c>
      <c r="R77" s="243">
        <v>0.5409434992219202</v>
      </c>
      <c r="S77" s="243">
        <v>0.5042383063412047</v>
      </c>
      <c r="T77" s="243">
        <v>0.89031297020551936</v>
      </c>
      <c r="U77" s="243">
        <v>3.11272042616473E-2</v>
      </c>
      <c r="V77" s="243">
        <v>0.48232555214720646</v>
      </c>
      <c r="W77" s="243">
        <v>6.6244461140256734E-3</v>
      </c>
      <c r="X77" s="243">
        <v>2.0206662472944864E-2</v>
      </c>
      <c r="Y77" s="243">
        <v>7.6723193711998997E-2</v>
      </c>
      <c r="Z77" s="243">
        <v>5.7567673621273865E-2</v>
      </c>
      <c r="AA77" s="243">
        <v>2.5646341334251033E-2</v>
      </c>
      <c r="AB77" s="243">
        <v>0.1764722135831796</v>
      </c>
      <c r="AC77" s="243">
        <v>0.10026311998492388</v>
      </c>
      <c r="AD77" s="243" t="s">
        <v>93</v>
      </c>
      <c r="AE77" s="243" t="s">
        <v>93</v>
      </c>
      <c r="AF77" s="243" t="s">
        <v>93</v>
      </c>
      <c r="AG77" s="243" t="s">
        <v>93</v>
      </c>
      <c r="AH77" s="243" t="s">
        <v>93</v>
      </c>
      <c r="AI77" s="243"/>
      <c r="AJ77" s="243"/>
      <c r="AK77" s="243"/>
      <c r="AL77" s="243"/>
      <c r="AM77" s="243"/>
      <c r="AN77" s="243"/>
      <c r="AO77" s="65" t="s">
        <v>18</v>
      </c>
    </row>
    <row r="78" spans="1:41" ht="14.1" hidden="1" customHeight="1">
      <c r="A78" s="65" t="s">
        <v>19</v>
      </c>
      <c r="B78" s="243">
        <v>0.80650263159440228</v>
      </c>
      <c r="C78" s="243">
        <v>1.0313177912243396</v>
      </c>
      <c r="D78" s="243">
        <v>0.52325635394986036</v>
      </c>
      <c r="E78" s="243">
        <v>0.21957343544390545</v>
      </c>
      <c r="F78" s="243">
        <v>0.11799420339285403</v>
      </c>
      <c r="G78" s="243">
        <v>0.13840634909749791</v>
      </c>
      <c r="H78" s="243">
        <v>0.10401344814042558</v>
      </c>
      <c r="I78" s="243">
        <v>1.1613221663113862</v>
      </c>
      <c r="J78" s="243">
        <v>8.3611806313476419E-3</v>
      </c>
      <c r="K78" s="243">
        <v>9.4796415571330964E-2</v>
      </c>
      <c r="L78" s="243">
        <v>0.69200990852652022</v>
      </c>
      <c r="M78" s="243">
        <v>0.19697145279040024</v>
      </c>
      <c r="N78" s="243">
        <v>0.64859374994552221</v>
      </c>
      <c r="O78" s="243">
        <v>2.7515566470064168</v>
      </c>
      <c r="P78" s="243">
        <v>0.1172649344528961</v>
      </c>
      <c r="Q78" s="243">
        <v>0.22223813752153568</v>
      </c>
      <c r="R78" s="243">
        <v>0.53112873518777504</v>
      </c>
      <c r="S78" s="243">
        <v>0.48518010958418445</v>
      </c>
      <c r="T78" s="243">
        <v>0.87367529738575722</v>
      </c>
      <c r="U78" s="243">
        <v>2.8745722573580667E-2</v>
      </c>
      <c r="V78" s="243">
        <v>0.48222471921342713</v>
      </c>
      <c r="W78" s="243">
        <v>5.5645858448580146E-3</v>
      </c>
      <c r="X78" s="243">
        <v>1.9650097303890422E-2</v>
      </c>
      <c r="Y78" s="243">
        <v>7.609129862096875E-2</v>
      </c>
      <c r="Z78" s="243">
        <v>5.740850777623565E-2</v>
      </c>
      <c r="AA78" s="243">
        <v>2.2545251209371869E-2</v>
      </c>
      <c r="AB78" s="243">
        <v>0.28263628231799626</v>
      </c>
      <c r="AC78" s="243">
        <v>9.8802863440047337E-2</v>
      </c>
      <c r="AD78" s="243" t="s">
        <v>93</v>
      </c>
      <c r="AE78" s="243" t="s">
        <v>93</v>
      </c>
      <c r="AF78" s="243" t="s">
        <v>93</v>
      </c>
      <c r="AG78" s="243" t="s">
        <v>93</v>
      </c>
      <c r="AH78" s="243" t="s">
        <v>93</v>
      </c>
      <c r="AI78" s="243"/>
      <c r="AJ78" s="243"/>
      <c r="AK78" s="243"/>
      <c r="AL78" s="243"/>
      <c r="AM78" s="243"/>
      <c r="AN78" s="243"/>
      <c r="AO78" s="65" t="s">
        <v>19</v>
      </c>
    </row>
    <row r="79" spans="1:41" ht="14.1" hidden="1" customHeight="1">
      <c r="A79" s="65" t="s">
        <v>20</v>
      </c>
      <c r="B79" s="243">
        <v>0.80388843476435279</v>
      </c>
      <c r="C79" s="243">
        <v>1.0463227035236171</v>
      </c>
      <c r="D79" s="243">
        <v>0.53035344234936854</v>
      </c>
      <c r="E79" s="243">
        <v>0.21885878312723606</v>
      </c>
      <c r="F79" s="243">
        <v>0.11763843413783732</v>
      </c>
      <c r="G79" s="243">
        <v>0.14041802544356752</v>
      </c>
      <c r="H79" s="243">
        <v>0.10367781953355946</v>
      </c>
      <c r="I79" s="243">
        <v>1.1355683178300195</v>
      </c>
      <c r="J79" s="243">
        <v>8.2036724406482874E-3</v>
      </c>
      <c r="K79" s="243">
        <v>9.3847793691543002E-2</v>
      </c>
      <c r="L79" s="243">
        <v>0.69244265799554905</v>
      </c>
      <c r="M79" s="243">
        <v>0.19332278103070877</v>
      </c>
      <c r="N79" s="243">
        <v>0.63489980406191704</v>
      </c>
      <c r="O79" s="243">
        <v>2.7376912809196545</v>
      </c>
      <c r="P79" s="243">
        <v>0.11814040533805235</v>
      </c>
      <c r="Q79" s="243">
        <v>0.22804265957856173</v>
      </c>
      <c r="R79" s="243">
        <v>0.52461652228448941</v>
      </c>
      <c r="S79" s="243">
        <v>0.47078625328341356</v>
      </c>
      <c r="T79" s="243">
        <v>0.82550155518686941</v>
      </c>
      <c r="U79" s="243">
        <v>2.8080188038293829E-2</v>
      </c>
      <c r="V79" s="243">
        <v>0.47971718557336906</v>
      </c>
      <c r="W79" s="243">
        <v>5.3308164705470045E-3</v>
      </c>
      <c r="X79" s="243">
        <v>1.9088231927784104E-2</v>
      </c>
      <c r="Y79" s="243">
        <v>7.4214341002157333E-2</v>
      </c>
      <c r="Z79" s="243">
        <v>5.6661792717886128E-2</v>
      </c>
      <c r="AA79" s="243">
        <v>2.3094167170223397E-2</v>
      </c>
      <c r="AB79" s="243">
        <v>0.28172014535284823</v>
      </c>
      <c r="AC79" s="243">
        <v>0.10009719320277212</v>
      </c>
      <c r="AD79" s="243" t="s">
        <v>93</v>
      </c>
      <c r="AE79" s="243" t="s">
        <v>93</v>
      </c>
      <c r="AF79" s="243" t="s">
        <v>93</v>
      </c>
      <c r="AG79" s="243" t="s">
        <v>93</v>
      </c>
      <c r="AH79" s="243" t="s">
        <v>93</v>
      </c>
      <c r="AI79" s="243"/>
      <c r="AJ79" s="243"/>
      <c r="AK79" s="243"/>
      <c r="AL79" s="243"/>
      <c r="AM79" s="243"/>
      <c r="AN79" s="243"/>
      <c r="AO79" s="65" t="s">
        <v>20</v>
      </c>
    </row>
    <row r="80" spans="1:41" ht="14.1" hidden="1" customHeight="1">
      <c r="A80" s="65" t="s">
        <v>21</v>
      </c>
      <c r="B80" s="243">
        <v>0.80319404945564621</v>
      </c>
      <c r="C80" s="243">
        <v>1.0599721037600156</v>
      </c>
      <c r="D80" s="243">
        <v>0.5733653049060492</v>
      </c>
      <c r="E80" s="243">
        <v>0.21866856308606905</v>
      </c>
      <c r="F80" s="243">
        <v>0.11758486434629378</v>
      </c>
      <c r="G80" s="243">
        <v>0.142291440813789</v>
      </c>
      <c r="H80" s="243">
        <v>0.10363232616691802</v>
      </c>
      <c r="I80" s="243">
        <v>1.1807561914828071</v>
      </c>
      <c r="J80" s="243">
        <v>8.0331699932758901E-3</v>
      </c>
      <c r="K80" s="243">
        <v>9.7510277018801647E-2</v>
      </c>
      <c r="L80" s="243">
        <v>0.6994467202773097</v>
      </c>
      <c r="M80" s="243">
        <v>0.19182586661143966</v>
      </c>
      <c r="N80" s="243">
        <v>0.65440992834079248</v>
      </c>
      <c r="O80" s="243">
        <v>2.754638178610664</v>
      </c>
      <c r="P80" s="243">
        <v>0.12062925933892546</v>
      </c>
      <c r="Q80" s="243">
        <v>0.24035066050378867</v>
      </c>
      <c r="R80" s="243">
        <v>0.53373016020835284</v>
      </c>
      <c r="S80" s="243">
        <v>0.50016612196962529</v>
      </c>
      <c r="T80" s="243">
        <v>0.81255681810303571</v>
      </c>
      <c r="U80" s="243">
        <v>2.8378630587148568E-2</v>
      </c>
      <c r="V80" s="243">
        <v>0.48322256889525927</v>
      </c>
      <c r="W80" s="243">
        <v>5.3292729492870859E-3</v>
      </c>
      <c r="X80" s="243">
        <v>1.8865391648987578E-2</v>
      </c>
      <c r="Y80" s="243">
        <v>7.1773105375077834E-2</v>
      </c>
      <c r="Z80" s="243">
        <v>5.5802762003960879E-2</v>
      </c>
      <c r="AA80" s="243">
        <v>2.3938468123633892E-2</v>
      </c>
      <c r="AB80" s="243">
        <v>0.28147680022976912</v>
      </c>
      <c r="AC80" s="243">
        <v>9.9658429354873984E-2</v>
      </c>
      <c r="AD80" s="243" t="s">
        <v>93</v>
      </c>
      <c r="AE80" s="243" t="s">
        <v>93</v>
      </c>
      <c r="AF80" s="243" t="s">
        <v>93</v>
      </c>
      <c r="AG80" s="243" t="s">
        <v>93</v>
      </c>
      <c r="AH80" s="243" t="s">
        <v>93</v>
      </c>
      <c r="AI80" s="243"/>
      <c r="AJ80" s="243"/>
      <c r="AK80" s="243"/>
      <c r="AL80" s="243"/>
      <c r="AM80" s="243"/>
      <c r="AN80" s="243"/>
      <c r="AO80" s="65" t="s">
        <v>21</v>
      </c>
    </row>
    <row r="81" spans="1:41" ht="14.1" hidden="1" customHeight="1">
      <c r="A81" s="65" t="s">
        <v>22</v>
      </c>
      <c r="B81" s="243">
        <v>0.80356167761731123</v>
      </c>
      <c r="C81" s="243">
        <v>1.0946490716033543</v>
      </c>
      <c r="D81" s="243">
        <v>0.61189480906129168</v>
      </c>
      <c r="E81" s="243">
        <v>0.21879750462368489</v>
      </c>
      <c r="F81" s="243">
        <v>0.11775336584079017</v>
      </c>
      <c r="G81" s="243">
        <v>0.1469871138133122</v>
      </c>
      <c r="H81" s="243">
        <v>0.10366956384924496</v>
      </c>
      <c r="I81" s="243">
        <v>1.2352899796165531</v>
      </c>
      <c r="J81" s="243">
        <v>8.187307885342639E-3</v>
      </c>
      <c r="K81" s="243">
        <v>0.10341060098341877</v>
      </c>
      <c r="L81" s="243">
        <v>0.72389222199659364</v>
      </c>
      <c r="M81" s="243">
        <v>0.19724835804714907</v>
      </c>
      <c r="N81" s="243">
        <v>0.69568735735098808</v>
      </c>
      <c r="O81" s="243">
        <v>2.7736777781608204</v>
      </c>
      <c r="P81" s="243">
        <v>0.12451397093257582</v>
      </c>
      <c r="Q81" s="243">
        <v>0.2479213733784725</v>
      </c>
      <c r="R81" s="243">
        <v>0.54952727226151621</v>
      </c>
      <c r="S81" s="243">
        <v>0.51491020134953025</v>
      </c>
      <c r="T81" s="243">
        <v>0.83130810565836244</v>
      </c>
      <c r="U81" s="243">
        <v>2.8878159576115562E-2</v>
      </c>
      <c r="V81" s="243">
        <v>0.48776245770248444</v>
      </c>
      <c r="W81" s="243">
        <v>5.3419934930815241E-3</v>
      </c>
      <c r="X81" s="243">
        <v>1.8874026485433029E-2</v>
      </c>
      <c r="Y81" s="243">
        <v>7.1471280861550787E-2</v>
      </c>
      <c r="Z81" s="243">
        <v>5.5111267237302933E-2</v>
      </c>
      <c r="AA81" s="243">
        <v>2.5081752882047854E-2</v>
      </c>
      <c r="AB81" s="243">
        <v>0.28160563434985514</v>
      </c>
      <c r="AC81" s="243">
        <v>0.1030587145158286</v>
      </c>
      <c r="AD81" s="243" t="s">
        <v>93</v>
      </c>
      <c r="AE81" s="243" t="s">
        <v>93</v>
      </c>
      <c r="AF81" s="243" t="s">
        <v>93</v>
      </c>
      <c r="AG81" s="243" t="s">
        <v>93</v>
      </c>
      <c r="AH81" s="243" t="s">
        <v>93</v>
      </c>
      <c r="AI81" s="243"/>
      <c r="AJ81" s="243"/>
      <c r="AK81" s="243"/>
      <c r="AL81" s="243"/>
      <c r="AM81" s="243"/>
      <c r="AN81" s="243"/>
      <c r="AO81" s="65" t="s">
        <v>22</v>
      </c>
    </row>
    <row r="82" spans="1:41" ht="14.1" hidden="1" customHeight="1">
      <c r="A82" s="65" t="s">
        <v>23</v>
      </c>
      <c r="B82" s="243">
        <v>0.80386224461596345</v>
      </c>
      <c r="C82" s="243">
        <v>1.1280768196375102</v>
      </c>
      <c r="D82" s="243">
        <v>0.64533976951705507</v>
      </c>
      <c r="E82" s="243">
        <v>0.21897299082407226</v>
      </c>
      <c r="F82" s="243">
        <v>0.11762902899883544</v>
      </c>
      <c r="G82" s="243">
        <v>0.1515112170053711</v>
      </c>
      <c r="H82" s="243">
        <v>0.10370951094484651</v>
      </c>
      <c r="I82" s="243">
        <v>1.3158376787904584</v>
      </c>
      <c r="J82" s="243">
        <v>8.177740142293102E-3</v>
      </c>
      <c r="K82" s="243">
        <v>0.10370167631319487</v>
      </c>
      <c r="L82" s="243">
        <v>0.74461912266074792</v>
      </c>
      <c r="M82" s="243">
        <v>0.20390547584580815</v>
      </c>
      <c r="N82" s="243">
        <v>0.71582291424651168</v>
      </c>
      <c r="O82" s="243">
        <v>2.7925913449681659</v>
      </c>
      <c r="P82" s="243">
        <v>0.12610610578351258</v>
      </c>
      <c r="Q82" s="243">
        <v>0.2500473858639094</v>
      </c>
      <c r="R82" s="243">
        <v>0.55369171906978776</v>
      </c>
      <c r="S82" s="243">
        <v>0.51993750441693587</v>
      </c>
      <c r="T82" s="243">
        <v>0.83224091421706814</v>
      </c>
      <c r="U82" s="243">
        <v>2.8496495604658702E-2</v>
      </c>
      <c r="V82" s="243">
        <v>0.48720357015903087</v>
      </c>
      <c r="W82" s="243">
        <v>5.3457606427014335E-3</v>
      </c>
      <c r="X82" s="243">
        <v>1.8881086191801844E-2</v>
      </c>
      <c r="Y82" s="243">
        <v>7.1744012509784391E-2</v>
      </c>
      <c r="Z82" s="243">
        <v>5.4498184127376378E-2</v>
      </c>
      <c r="AA82" s="243">
        <v>2.5892770985001735E-2</v>
      </c>
      <c r="AB82" s="243">
        <v>0.28171096709863802</v>
      </c>
      <c r="AC82" s="243">
        <v>0.10474291274852841</v>
      </c>
      <c r="AD82" s="243" t="s">
        <v>93</v>
      </c>
      <c r="AE82" s="243" t="s">
        <v>93</v>
      </c>
      <c r="AF82" s="243" t="s">
        <v>93</v>
      </c>
      <c r="AG82" s="243" t="s">
        <v>93</v>
      </c>
      <c r="AH82" s="243" t="s">
        <v>93</v>
      </c>
      <c r="AI82" s="243"/>
      <c r="AJ82" s="243"/>
      <c r="AK82" s="243"/>
      <c r="AL82" s="243"/>
      <c r="AM82" s="243"/>
      <c r="AN82" s="243"/>
      <c r="AO82" s="65" t="s">
        <v>23</v>
      </c>
    </row>
    <row r="83" spans="1:41" ht="14.1" hidden="1" customHeight="1">
      <c r="A83" s="65" t="s">
        <v>24</v>
      </c>
      <c r="B83" s="243">
        <v>0.80420480655474647</v>
      </c>
      <c r="C83" s="243">
        <v>1.131619226135208</v>
      </c>
      <c r="D83" s="243">
        <v>0.64521009474138991</v>
      </c>
      <c r="E83" s="243">
        <v>0.21895366601186139</v>
      </c>
      <c r="F83" s="243">
        <v>0.11770097371720753</v>
      </c>
      <c r="G83" s="243">
        <v>0.15198107689202503</v>
      </c>
      <c r="H83" s="243">
        <v>0.10376484205057869</v>
      </c>
      <c r="I83" s="243">
        <v>1.316575968649432</v>
      </c>
      <c r="J83" s="243">
        <v>8.0685528908636256E-3</v>
      </c>
      <c r="K83" s="243">
        <v>0.10431187646784283</v>
      </c>
      <c r="L83" s="243">
        <v>0.74495067126665904</v>
      </c>
      <c r="M83" s="243">
        <v>0.20672895632936591</v>
      </c>
      <c r="N83" s="243">
        <v>0.713635272530739</v>
      </c>
      <c r="O83" s="243">
        <v>2.7984690181180691</v>
      </c>
      <c r="P83" s="243">
        <v>0.12616919964673001</v>
      </c>
      <c r="Q83" s="243">
        <v>0.2627514956338336</v>
      </c>
      <c r="R83" s="243">
        <v>0.55445443467462963</v>
      </c>
      <c r="S83" s="243">
        <v>0.52862601910376916</v>
      </c>
      <c r="T83" s="243">
        <v>0.85187275114738215</v>
      </c>
      <c r="U83" s="243">
        <v>2.8315568187384742E-2</v>
      </c>
      <c r="V83" s="243">
        <v>0.48255022079030485</v>
      </c>
      <c r="W83" s="243">
        <v>5.338579032857985E-3</v>
      </c>
      <c r="X83" s="243">
        <v>1.8590450109214788E-2</v>
      </c>
      <c r="Y83" s="243">
        <v>7.1654529349364005E-2</v>
      </c>
      <c r="Z83" s="243">
        <v>5.4119510274560197E-2</v>
      </c>
      <c r="AA83" s="243">
        <v>2.5531192556688447E-2</v>
      </c>
      <c r="AB83" s="243">
        <v>0.281831016840633</v>
      </c>
      <c r="AC83" s="243">
        <v>0.10382519182331701</v>
      </c>
      <c r="AD83" s="243" t="s">
        <v>93</v>
      </c>
      <c r="AE83" s="243" t="s">
        <v>93</v>
      </c>
      <c r="AF83" s="243" t="s">
        <v>93</v>
      </c>
      <c r="AG83" s="243" t="s">
        <v>93</v>
      </c>
      <c r="AH83" s="243" t="s">
        <v>93</v>
      </c>
      <c r="AI83" s="243"/>
      <c r="AJ83" s="243"/>
      <c r="AK83" s="243"/>
      <c r="AL83" s="243"/>
      <c r="AM83" s="243"/>
      <c r="AN83" s="243"/>
      <c r="AO83" s="65" t="s">
        <v>24</v>
      </c>
    </row>
    <row r="84" spans="1:41" ht="14.1" hidden="1" customHeight="1">
      <c r="A84" s="65" t="s">
        <v>25</v>
      </c>
      <c r="B84" s="243">
        <v>0.80407256428598639</v>
      </c>
      <c r="C84" s="243">
        <v>1.1467653016156194</v>
      </c>
      <c r="D84" s="243">
        <v>0.67102953606008053</v>
      </c>
      <c r="E84" s="243">
        <v>0.21891689233198017</v>
      </c>
      <c r="F84" s="243">
        <v>0.11768223315923516</v>
      </c>
      <c r="G84" s="243">
        <v>0.15405224917018082</v>
      </c>
      <c r="H84" s="243">
        <v>0.10374132509105291</v>
      </c>
      <c r="I84" s="243">
        <v>1.3294603396793097</v>
      </c>
      <c r="J84" s="243">
        <v>8.0848435874347896E-3</v>
      </c>
      <c r="K84" s="243">
        <v>0.11204176397293125</v>
      </c>
      <c r="L84" s="243">
        <v>0.75240691574018459</v>
      </c>
      <c r="M84" s="243">
        <v>0.21006636645255677</v>
      </c>
      <c r="N84" s="243">
        <v>0.73975101877245997</v>
      </c>
      <c r="O84" s="243">
        <v>2.8008288480081616</v>
      </c>
      <c r="P84" s="243">
        <v>0.13233172252629133</v>
      </c>
      <c r="Q84" s="243">
        <v>0.27755785943699812</v>
      </c>
      <c r="R84" s="243">
        <v>0.55772411546813916</v>
      </c>
      <c r="S84" s="243">
        <v>0.54117312009043894</v>
      </c>
      <c r="T84" s="243">
        <v>0.84863787117422185</v>
      </c>
      <c r="U84" s="243">
        <v>2.8368413196506327E-2</v>
      </c>
      <c r="V84" s="243">
        <v>0.47972063665692216</v>
      </c>
      <c r="W84" s="243">
        <v>5.3321719372423169E-3</v>
      </c>
      <c r="X84" s="243">
        <v>1.8398796909822417E-2</v>
      </c>
      <c r="Y84" s="243">
        <v>7.1618046828641618E-2</v>
      </c>
      <c r="Z84" s="243">
        <v>5.3897284295790333E-2</v>
      </c>
      <c r="AA84" s="243">
        <v>2.5421467358283923E-2</v>
      </c>
      <c r="AB84" s="243">
        <v>0.28178467295811699</v>
      </c>
      <c r="AC84" s="243">
        <v>9.7480449958315243E-2</v>
      </c>
      <c r="AD84" s="243" t="s">
        <v>93</v>
      </c>
      <c r="AE84" s="243" t="s">
        <v>93</v>
      </c>
      <c r="AF84" s="243" t="s">
        <v>93</v>
      </c>
      <c r="AG84" s="243" t="s">
        <v>93</v>
      </c>
      <c r="AH84" s="243" t="s">
        <v>93</v>
      </c>
      <c r="AI84" s="243"/>
      <c r="AJ84" s="243"/>
      <c r="AK84" s="243"/>
      <c r="AL84" s="243"/>
      <c r="AM84" s="243"/>
      <c r="AN84" s="243"/>
      <c r="AO84" s="65" t="s">
        <v>25</v>
      </c>
    </row>
    <row r="85" spans="1:41" ht="14.1" hidden="1" customHeight="1">
      <c r="A85" s="65" t="s">
        <v>26</v>
      </c>
      <c r="B85" s="243">
        <v>0.80350059497643689</v>
      </c>
      <c r="C85" s="243">
        <v>1.1694799885454641</v>
      </c>
      <c r="D85" s="243">
        <v>0.69144134173662197</v>
      </c>
      <c r="E85" s="243">
        <v>0.21876801291014242</v>
      </c>
      <c r="F85" s="243">
        <v>0.11766356854848219</v>
      </c>
      <c r="G85" s="243">
        <v>0.15713008165995065</v>
      </c>
      <c r="H85" s="243">
        <v>0.10367123074557909</v>
      </c>
      <c r="I85" s="243">
        <v>1.3126105781849331</v>
      </c>
      <c r="J85" s="243">
        <v>8.116743753162358E-3</v>
      </c>
      <c r="K85" s="243">
        <v>0.11471823848079048</v>
      </c>
      <c r="L85" s="243">
        <v>0.77220473945492885</v>
      </c>
      <c r="M85" s="243">
        <v>0.21339957947703597</v>
      </c>
      <c r="N85" s="243">
        <v>0.74237264064980857</v>
      </c>
      <c r="O85" s="243">
        <v>2.8026966695384847</v>
      </c>
      <c r="P85" s="243">
        <v>0.13586577883333231</v>
      </c>
      <c r="Q85" s="243">
        <v>0.28171289825184348</v>
      </c>
      <c r="R85" s="243">
        <v>0.56423627836038637</v>
      </c>
      <c r="S85" s="243">
        <v>0.53915877516135635</v>
      </c>
      <c r="T85" s="243">
        <v>0.8789502704239921</v>
      </c>
      <c r="U85" s="243">
        <v>2.8791323627002128E-2</v>
      </c>
      <c r="V85" s="243">
        <v>0.47769783282260203</v>
      </c>
      <c r="W85" s="243">
        <v>5.3253654222982219E-3</v>
      </c>
      <c r="X85" s="243">
        <v>1.8274393428684383E-2</v>
      </c>
      <c r="Y85" s="243">
        <v>7.1112102723678905E-2</v>
      </c>
      <c r="Z85" s="243">
        <v>5.3689688773520643E-2</v>
      </c>
      <c r="AA85" s="243">
        <v>2.6090917465507926E-2</v>
      </c>
      <c r="AB85" s="243">
        <v>0.28158422813262191</v>
      </c>
      <c r="AC85" s="243">
        <v>9.3692077593513626E-2</v>
      </c>
      <c r="AD85" s="243" t="s">
        <v>93</v>
      </c>
      <c r="AE85" s="243" t="s">
        <v>93</v>
      </c>
      <c r="AF85" s="243" t="s">
        <v>93</v>
      </c>
      <c r="AG85" s="243" t="s">
        <v>93</v>
      </c>
      <c r="AH85" s="243" t="s">
        <v>93</v>
      </c>
      <c r="AI85" s="243"/>
      <c r="AJ85" s="243"/>
      <c r="AK85" s="243"/>
      <c r="AL85" s="243"/>
      <c r="AM85" s="243"/>
      <c r="AN85" s="243"/>
      <c r="AO85" s="65" t="s">
        <v>26</v>
      </c>
    </row>
    <row r="86" spans="1:41" ht="14.1" hidden="1" customHeight="1">
      <c r="A86" s="65" t="s">
        <v>27</v>
      </c>
      <c r="B86" s="243">
        <v>0.8031940107178015</v>
      </c>
      <c r="C86" s="243">
        <v>1.1902211661009774</v>
      </c>
      <c r="D86" s="243">
        <v>0.72875319366183455</v>
      </c>
      <c r="E86" s="243">
        <v>0.21868876019006112</v>
      </c>
      <c r="F86" s="243">
        <v>0.11765146506842232</v>
      </c>
      <c r="G86" s="243">
        <v>0.1598944168887384</v>
      </c>
      <c r="H86" s="243">
        <v>0.10363569357366467</v>
      </c>
      <c r="I86" s="243">
        <v>1.301990543608448</v>
      </c>
      <c r="J86" s="243">
        <v>8.1180168220890882E-3</v>
      </c>
      <c r="K86" s="243">
        <v>0.1156239493881254</v>
      </c>
      <c r="L86" s="243">
        <v>0.7859905798669593</v>
      </c>
      <c r="M86" s="243">
        <v>0.21555739342140215</v>
      </c>
      <c r="N86" s="243">
        <v>0.76234367413194015</v>
      </c>
      <c r="O86" s="243">
        <v>2.8074756467421396</v>
      </c>
      <c r="P86" s="243">
        <v>0.14236046711713224</v>
      </c>
      <c r="Q86" s="243">
        <v>0.28249630662234548</v>
      </c>
      <c r="R86" s="243">
        <v>0.5747080039530571</v>
      </c>
      <c r="S86" s="243">
        <v>0.54569207696398703</v>
      </c>
      <c r="T86" s="243">
        <v>0.89016950152097662</v>
      </c>
      <c r="U86" s="243">
        <v>2.9337506361386725E-2</v>
      </c>
      <c r="V86" s="243">
        <v>0.47935830071579666</v>
      </c>
      <c r="W86" s="243">
        <v>5.3266324808012256E-3</v>
      </c>
      <c r="X86" s="243">
        <v>1.8399508128667013E-2</v>
      </c>
      <c r="Y86" s="243">
        <v>7.2188575693177104E-2</v>
      </c>
      <c r="Z86" s="243">
        <v>5.3504675977796352E-2</v>
      </c>
      <c r="AA86" s="243">
        <v>2.7252838546756752E-2</v>
      </c>
      <c r="AB86" s="243">
        <v>0.28147678665421455</v>
      </c>
      <c r="AC86" s="243">
        <v>9.7037109942639796E-2</v>
      </c>
      <c r="AD86" s="243" t="s">
        <v>93</v>
      </c>
      <c r="AE86" s="243" t="s">
        <v>93</v>
      </c>
      <c r="AF86" s="243" t="s">
        <v>93</v>
      </c>
      <c r="AG86" s="243" t="s">
        <v>93</v>
      </c>
      <c r="AH86" s="243" t="s">
        <v>93</v>
      </c>
      <c r="AI86" s="243"/>
      <c r="AJ86" s="243"/>
      <c r="AK86" s="243"/>
      <c r="AL86" s="243"/>
      <c r="AM86" s="243"/>
      <c r="AN86" s="243"/>
      <c r="AO86" s="65" t="s">
        <v>27</v>
      </c>
    </row>
    <row r="87" spans="1:41" ht="14.1" hidden="1" customHeight="1">
      <c r="A87" s="65" t="s">
        <v>28</v>
      </c>
      <c r="B87" s="243">
        <v>0.80285555974838752</v>
      </c>
      <c r="C87" s="243">
        <v>1.1990126407115853</v>
      </c>
      <c r="D87" s="243">
        <v>0.73928271497375164</v>
      </c>
      <c r="E87" s="243">
        <v>0.21858037753316978</v>
      </c>
      <c r="F87" s="243">
        <v>0.11759554564626812</v>
      </c>
      <c r="G87" s="243">
        <v>0.16113035239247084</v>
      </c>
      <c r="H87" s="243">
        <v>0.10359308490151209</v>
      </c>
      <c r="I87" s="243">
        <v>1.3350521859744835</v>
      </c>
      <c r="J87" s="243">
        <v>8.1012807195080441E-3</v>
      </c>
      <c r="K87" s="243">
        <v>0.11615410031634496</v>
      </c>
      <c r="L87" s="243">
        <v>0.79428054472875531</v>
      </c>
      <c r="M87" s="243">
        <v>0.21281183768026085</v>
      </c>
      <c r="N87" s="243">
        <v>0.75848355461672301</v>
      </c>
      <c r="O87" s="243">
        <v>2.8124226185062735</v>
      </c>
      <c r="P87" s="243">
        <v>0.14254343988043519</v>
      </c>
      <c r="Q87" s="243">
        <v>0.28799210820159094</v>
      </c>
      <c r="R87" s="243">
        <v>0.57827660066129483</v>
      </c>
      <c r="S87" s="243">
        <v>0.53950483373829983</v>
      </c>
      <c r="T87" s="243">
        <v>0.90050005280381329</v>
      </c>
      <c r="U87" s="243">
        <v>2.9408706161031854E-2</v>
      </c>
      <c r="V87" s="243">
        <v>0.47810285734537344</v>
      </c>
      <c r="W87" s="243">
        <v>5.3614546728082604E-3</v>
      </c>
      <c r="X87" s="243">
        <v>1.8316126022663016E-2</v>
      </c>
      <c r="Y87" s="243">
        <v>7.2426653319905374E-2</v>
      </c>
      <c r="Z87" s="243">
        <v>5.3317656164741899E-2</v>
      </c>
      <c r="AA87" s="243">
        <v>2.7799297003856679E-2</v>
      </c>
      <c r="AB87" s="243">
        <v>0.28135817758836074</v>
      </c>
      <c r="AC87" s="243">
        <v>9.8332263782071772E-2</v>
      </c>
      <c r="AD87" s="243" t="s">
        <v>93</v>
      </c>
      <c r="AE87" s="243" t="s">
        <v>93</v>
      </c>
      <c r="AF87" s="243" t="s">
        <v>93</v>
      </c>
      <c r="AG87" s="243" t="s">
        <v>93</v>
      </c>
      <c r="AH87" s="243" t="s">
        <v>93</v>
      </c>
      <c r="AI87" s="243"/>
      <c r="AJ87" s="243"/>
      <c r="AK87" s="243"/>
      <c r="AL87" s="243"/>
      <c r="AM87" s="243"/>
      <c r="AN87" s="243"/>
      <c r="AO87" s="65" t="s">
        <v>28</v>
      </c>
    </row>
    <row r="88" spans="1:41" ht="14.1" hidden="1" customHeight="1">
      <c r="A88" s="65" t="s">
        <v>29</v>
      </c>
      <c r="B88" s="243">
        <v>0.80296575479343335</v>
      </c>
      <c r="C88" s="243">
        <v>1.1730995228459959</v>
      </c>
      <c r="D88" s="243">
        <v>0.72398067049287085</v>
      </c>
      <c r="E88" s="243">
        <v>0.21860854504792321</v>
      </c>
      <c r="F88" s="243">
        <v>0.1175985502479527</v>
      </c>
      <c r="G88" s="243">
        <v>0.15762462182176787</v>
      </c>
      <c r="H88" s="243">
        <v>0.10356600292542457</v>
      </c>
      <c r="I88" s="243">
        <v>1.3037430996260035</v>
      </c>
      <c r="J88" s="243">
        <v>8.1087327355020243E-3</v>
      </c>
      <c r="K88" s="243">
        <v>0.11256444782380641</v>
      </c>
      <c r="L88" s="243">
        <v>0.78101922844144434</v>
      </c>
      <c r="M88" s="243">
        <v>0.21193557818538919</v>
      </c>
      <c r="N88" s="243">
        <v>0.76059057992946988</v>
      </c>
      <c r="O88" s="243">
        <v>2.8124779084198019</v>
      </c>
      <c r="P88" s="243">
        <v>0.13935687374202488</v>
      </c>
      <c r="Q88" s="243">
        <v>0.28273175542936219</v>
      </c>
      <c r="R88" s="243">
        <v>0.57515173574838474</v>
      </c>
      <c r="S88" s="243">
        <v>0.53235034806421178</v>
      </c>
      <c r="T88" s="243">
        <v>0.89569492428195419</v>
      </c>
      <c r="U88" s="243">
        <v>2.8264114049662521E-2</v>
      </c>
      <c r="V88" s="243">
        <v>0.47829922766236466</v>
      </c>
      <c r="W88" s="243">
        <v>5.3991503214232866E-3</v>
      </c>
      <c r="X88" s="243">
        <v>1.8230104718646827E-2</v>
      </c>
      <c r="Y88" s="243">
        <v>6.7558094209293318E-2</v>
      </c>
      <c r="Z88" s="243">
        <v>5.3193698187044537E-2</v>
      </c>
      <c r="AA88" s="243">
        <v>2.6766518830662167E-2</v>
      </c>
      <c r="AB88" s="243">
        <v>0.28139679509144322</v>
      </c>
      <c r="AC88" s="243">
        <v>0.1000020837499106</v>
      </c>
      <c r="AD88" s="243"/>
      <c r="AE88" s="243"/>
      <c r="AF88" s="243"/>
      <c r="AG88" s="243"/>
      <c r="AH88" s="243"/>
      <c r="AI88" s="243"/>
      <c r="AJ88" s="243"/>
      <c r="AK88" s="243"/>
      <c r="AL88" s="243"/>
      <c r="AM88" s="243"/>
      <c r="AN88" s="243"/>
      <c r="AO88" s="65" t="s">
        <v>29</v>
      </c>
    </row>
    <row r="89" spans="1:41" s="225" customFormat="1" ht="14.1" customHeight="1">
      <c r="A89" s="65" t="s">
        <v>48</v>
      </c>
      <c r="B89" s="243">
        <v>0.80264683120960545</v>
      </c>
      <c r="C89" s="243">
        <v>1.0656879440683713</v>
      </c>
      <c r="D89" s="243">
        <v>0.73772852578849279</v>
      </c>
      <c r="E89" s="243">
        <v>0.21852698630866638</v>
      </c>
      <c r="F89" s="243">
        <v>0.11857392591769646</v>
      </c>
      <c r="G89" s="243">
        <v>0.14309564615279888</v>
      </c>
      <c r="H89" s="243">
        <v>0.10331184788715318</v>
      </c>
      <c r="I89" s="243">
        <v>1.2411972571459053</v>
      </c>
      <c r="J89" s="243">
        <v>7.9740803481703117E-3</v>
      </c>
      <c r="K89" s="243">
        <v>0.11161239773242804</v>
      </c>
      <c r="L89" s="243">
        <v>0.77135260154574325</v>
      </c>
      <c r="M89" s="243">
        <v>0.21497091105212138</v>
      </c>
      <c r="N89" s="243">
        <v>0.77906747872498394</v>
      </c>
      <c r="O89" s="243">
        <v>2.7989378378516494</v>
      </c>
      <c r="P89" s="243">
        <v>0.13298635361282171</v>
      </c>
      <c r="Q89" s="243">
        <v>0.26690251315535368</v>
      </c>
      <c r="R89" s="243">
        <v>0.58908226169982048</v>
      </c>
      <c r="S89" s="243">
        <v>0.53282594502915626</v>
      </c>
      <c r="T89" s="243">
        <v>0.916362555372638</v>
      </c>
      <c r="U89" s="243">
        <v>2.6950184482944266E-2</v>
      </c>
      <c r="V89" s="243">
        <v>0.45121893620202713</v>
      </c>
      <c r="W89" s="243">
        <v>5.4469311104774357E-3</v>
      </c>
      <c r="X89" s="243">
        <v>2.0648050089634402E-2</v>
      </c>
      <c r="Y89" s="243">
        <v>6.48784027677866E-2</v>
      </c>
      <c r="Z89" s="243">
        <v>5.0650905935042477E-2</v>
      </c>
      <c r="AA89" s="243">
        <v>2.6435911765299882E-2</v>
      </c>
      <c r="AB89" s="243">
        <v>0.28146280266548707</v>
      </c>
      <c r="AC89" s="243">
        <v>0.10067133808881053</v>
      </c>
      <c r="AD89" s="243">
        <v>1.7474725612554285E-2</v>
      </c>
      <c r="AE89" s="243">
        <v>0.21393956245905038</v>
      </c>
      <c r="AF89" s="243">
        <v>6.8509337837104264E-2</v>
      </c>
      <c r="AG89" s="243">
        <v>0.58060054359473678</v>
      </c>
      <c r="AH89" s="243"/>
      <c r="AI89" s="243"/>
      <c r="AJ89" s="243"/>
      <c r="AK89" s="243"/>
      <c r="AL89" s="243"/>
      <c r="AM89" s="243"/>
      <c r="AN89" s="243"/>
      <c r="AO89" s="65" t="s">
        <v>48</v>
      </c>
    </row>
    <row r="90" spans="1:41" ht="14.1" hidden="1" customHeight="1">
      <c r="A90" s="65" t="s">
        <v>18</v>
      </c>
      <c r="B90" s="243">
        <v>0.80314047267877298</v>
      </c>
      <c r="C90" s="243">
        <v>1.1462217627108744</v>
      </c>
      <c r="D90" s="243">
        <v>0.73116029283974837</v>
      </c>
      <c r="E90" s="243">
        <v>0.21865543945039098</v>
      </c>
      <c r="F90" s="243">
        <v>0.11763339296172586</v>
      </c>
      <c r="G90" s="243">
        <v>0.15401802948440732</v>
      </c>
      <c r="H90" s="243">
        <v>0.10347191559010736</v>
      </c>
      <c r="I90" s="243">
        <v>1.2957635455297756</v>
      </c>
      <c r="J90" s="243">
        <v>8.1130344464565417E-3</v>
      </c>
      <c r="K90" s="243">
        <v>0.1122061609591866</v>
      </c>
      <c r="L90" s="243">
        <v>0.77619373668985714</v>
      </c>
      <c r="M90" s="243">
        <v>0.21559378393816694</v>
      </c>
      <c r="N90" s="243">
        <v>0.76988186245452073</v>
      </c>
      <c r="O90" s="243">
        <v>2.8007322384600721</v>
      </c>
      <c r="P90" s="243">
        <v>0.13975528167778045</v>
      </c>
      <c r="Q90" s="243">
        <v>0.28091559010423744</v>
      </c>
      <c r="R90" s="243">
        <v>0.57450175566195294</v>
      </c>
      <c r="S90" s="243">
        <v>0.54334543799453061</v>
      </c>
      <c r="T90" s="243">
        <v>0.88067749314499633</v>
      </c>
      <c r="U90" s="243">
        <v>2.8108468671367817E-2</v>
      </c>
      <c r="V90" s="243">
        <v>0.47005597933659415</v>
      </c>
      <c r="W90" s="243">
        <v>5.4217385870394316E-3</v>
      </c>
      <c r="X90" s="243">
        <v>1.8169608564294434E-2</v>
      </c>
      <c r="Y90" s="243">
        <v>6.4750551998300002E-2</v>
      </c>
      <c r="Z90" s="243">
        <v>5.2947324561423523E-2</v>
      </c>
      <c r="AA90" s="243">
        <v>2.6854937508524933E-2</v>
      </c>
      <c r="AB90" s="243">
        <v>0.28145802441870449</v>
      </c>
      <c r="AC90" s="243">
        <v>9.9299183304908029E-2</v>
      </c>
      <c r="AD90" s="243" t="s">
        <v>93</v>
      </c>
      <c r="AE90" s="243" t="s">
        <v>93</v>
      </c>
      <c r="AF90" s="243" t="s">
        <v>93</v>
      </c>
      <c r="AG90" s="243" t="s">
        <v>93</v>
      </c>
      <c r="AH90" s="243"/>
      <c r="AI90" s="243"/>
      <c r="AJ90" s="243"/>
      <c r="AK90" s="243"/>
      <c r="AL90" s="243"/>
      <c r="AM90" s="243"/>
      <c r="AN90" s="243"/>
      <c r="AO90" s="65" t="s">
        <v>18</v>
      </c>
    </row>
    <row r="91" spans="1:41" ht="14.1" hidden="1" customHeight="1">
      <c r="A91" s="65" t="s">
        <v>19</v>
      </c>
      <c r="B91" s="243">
        <v>0.80337899070116658</v>
      </c>
      <c r="C91" s="243">
        <v>1.098302153098228</v>
      </c>
      <c r="D91" s="243">
        <v>0.71156097513137551</v>
      </c>
      <c r="E91" s="243">
        <v>0.21873652652879619</v>
      </c>
      <c r="F91" s="243">
        <v>0.11764067740422821</v>
      </c>
      <c r="G91" s="243">
        <v>0.14753589196154332</v>
      </c>
      <c r="H91" s="243">
        <v>0.10342765457469717</v>
      </c>
      <c r="I91" s="243">
        <v>1.2547729560283436</v>
      </c>
      <c r="J91" s="243">
        <v>8.1216655052528588E-3</v>
      </c>
      <c r="K91" s="243">
        <v>0.11041078986254617</v>
      </c>
      <c r="L91" s="243">
        <v>0.74850392500488494</v>
      </c>
      <c r="M91" s="243">
        <v>0.21440082664324384</v>
      </c>
      <c r="N91" s="243">
        <v>0.76011101211711751</v>
      </c>
      <c r="O91" s="243">
        <v>2.7858120699285647</v>
      </c>
      <c r="P91" s="243">
        <v>0.13559676693343176</v>
      </c>
      <c r="Q91" s="243">
        <v>0.27350119726484573</v>
      </c>
      <c r="R91" s="243">
        <v>0.56876845531258235</v>
      </c>
      <c r="S91" s="243">
        <v>0.52899323022241385</v>
      </c>
      <c r="T91" s="243">
        <v>0.89080399827363121</v>
      </c>
      <c r="U91" s="243">
        <v>2.7660826961135376E-2</v>
      </c>
      <c r="V91" s="243">
        <v>0.46602712604381097</v>
      </c>
      <c r="W91" s="243">
        <v>5.435710997372104E-3</v>
      </c>
      <c r="X91" s="243">
        <v>1.8003971396323881E-2</v>
      </c>
      <c r="Y91" s="243">
        <v>6.2697425335673407E-2</v>
      </c>
      <c r="Z91" s="243">
        <v>5.2475713312153151E-2</v>
      </c>
      <c r="AA91" s="243">
        <v>2.6627166757080732E-2</v>
      </c>
      <c r="AB91" s="243">
        <v>0.281298250495088</v>
      </c>
      <c r="AC91" s="243">
        <v>9.9656782109195735E-2</v>
      </c>
      <c r="AD91" s="243" t="s">
        <v>93</v>
      </c>
      <c r="AE91" s="243" t="s">
        <v>93</v>
      </c>
      <c r="AF91" s="243" t="s">
        <v>93</v>
      </c>
      <c r="AG91" s="243" t="s">
        <v>93</v>
      </c>
      <c r="AH91" s="243"/>
      <c r="AI91" s="243"/>
      <c r="AJ91" s="243"/>
      <c r="AK91" s="243"/>
      <c r="AL91" s="243"/>
      <c r="AM91" s="243"/>
      <c r="AN91" s="243"/>
      <c r="AO91" s="65" t="s">
        <v>19</v>
      </c>
    </row>
    <row r="92" spans="1:41" ht="14.1" hidden="1" customHeight="1">
      <c r="A92" s="65" t="s">
        <v>20</v>
      </c>
      <c r="B92" s="243">
        <v>0.80331589492024891</v>
      </c>
      <c r="C92" s="243">
        <v>1.094129183186249</v>
      </c>
      <c r="D92" s="243">
        <v>0.73382735375170316</v>
      </c>
      <c r="E92" s="243">
        <v>0.21872115842161965</v>
      </c>
      <c r="F92" s="243">
        <v>0.11767593379236167</v>
      </c>
      <c r="G92" s="243">
        <v>0.14702051351957923</v>
      </c>
      <c r="H92" s="243">
        <v>0.10350722996304974</v>
      </c>
      <c r="I92" s="243">
        <v>1.2144188175786796</v>
      </c>
      <c r="J92" s="243">
        <v>8.12191169543648E-3</v>
      </c>
      <c r="K92" s="243">
        <v>0.11252843940703512</v>
      </c>
      <c r="L92" s="243">
        <v>0.75392852445442404</v>
      </c>
      <c r="M92" s="243">
        <v>0.21458950445464889</v>
      </c>
      <c r="N92" s="243">
        <v>0.78473066180849405</v>
      </c>
      <c r="O92" s="243">
        <v>2.7849865365763571</v>
      </c>
      <c r="P92" s="243">
        <v>0.13632155195728898</v>
      </c>
      <c r="Q92" s="243">
        <v>0.28132819419908428</v>
      </c>
      <c r="R92" s="243">
        <v>0.5746405549551965</v>
      </c>
      <c r="S92" s="243">
        <v>0.52391365671067425</v>
      </c>
      <c r="T92" s="243">
        <v>0.88985524000865812</v>
      </c>
      <c r="U92" s="243">
        <v>2.7176480027395009E-2</v>
      </c>
      <c r="V92" s="243">
        <v>0.46534652617662142</v>
      </c>
      <c r="W92" s="243">
        <v>5.461275050029908E-3</v>
      </c>
      <c r="X92" s="243">
        <v>1.7929557183725919E-2</v>
      </c>
      <c r="Y92" s="243">
        <v>6.3832864237478526E-2</v>
      </c>
      <c r="Z92" s="243">
        <v>5.201410827820601E-2</v>
      </c>
      <c r="AA92" s="243">
        <v>2.7213962626640002E-2</v>
      </c>
      <c r="AB92" s="243">
        <v>0.28182510580570919</v>
      </c>
      <c r="AC92" s="243">
        <v>0.1002060443736624</v>
      </c>
      <c r="AD92" s="243" t="s">
        <v>93</v>
      </c>
      <c r="AE92" s="243" t="s">
        <v>93</v>
      </c>
      <c r="AF92" s="243" t="s">
        <v>93</v>
      </c>
      <c r="AG92" s="243" t="s">
        <v>93</v>
      </c>
      <c r="AH92" s="243"/>
      <c r="AI92" s="243"/>
      <c r="AJ92" s="243"/>
      <c r="AK92" s="243"/>
      <c r="AL92" s="243"/>
      <c r="AM92" s="243"/>
      <c r="AN92" s="243"/>
      <c r="AO92" s="65" t="s">
        <v>20</v>
      </c>
    </row>
    <row r="93" spans="1:41" ht="14.1" hidden="1" customHeight="1">
      <c r="A93" s="65" t="s">
        <v>21</v>
      </c>
      <c r="B93" s="243">
        <v>0.80347009697529326</v>
      </c>
      <c r="C93" s="243">
        <v>1.0792700430968887</v>
      </c>
      <c r="D93" s="243">
        <v>0.74359819539129857</v>
      </c>
      <c r="E93" s="243">
        <v>0.21875542913195289</v>
      </c>
      <c r="F93" s="243">
        <v>0.117709035767493</v>
      </c>
      <c r="G93" s="243">
        <v>0.14499640636597125</v>
      </c>
      <c r="H93" s="243">
        <v>0.10349989598596583</v>
      </c>
      <c r="I93" s="243">
        <v>1.2316861658550922</v>
      </c>
      <c r="J93" s="243">
        <v>8.1159008564416543E-3</v>
      </c>
      <c r="K93" s="243">
        <v>0.11160984319680491</v>
      </c>
      <c r="L93" s="243">
        <v>0.75281564401166456</v>
      </c>
      <c r="M93" s="243">
        <v>0.21668251271099315</v>
      </c>
      <c r="N93" s="243">
        <v>0.79960374792709199</v>
      </c>
      <c r="O93" s="243">
        <v>2.7843647233347957</v>
      </c>
      <c r="P93" s="243">
        <v>0.13575434900959446</v>
      </c>
      <c r="Q93" s="243">
        <v>0.27891588353568042</v>
      </c>
      <c r="R93" s="243">
        <v>0.58086349103505019</v>
      </c>
      <c r="S93" s="243">
        <v>0.53788447159628183</v>
      </c>
      <c r="T93" s="243">
        <v>0.86041437526617282</v>
      </c>
      <c r="U93" s="243">
        <v>2.7036093083908631E-2</v>
      </c>
      <c r="V93" s="243">
        <v>0.45818112292646423</v>
      </c>
      <c r="W93" s="243">
        <v>5.4753536561242344E-3</v>
      </c>
      <c r="X93" s="243">
        <v>1.7758207469892658E-2</v>
      </c>
      <c r="Y93" s="243">
        <v>6.430256061244663E-2</v>
      </c>
      <c r="Z93" s="243">
        <v>5.1518525769857965E-2</v>
      </c>
      <c r="AA93" s="243">
        <v>2.7505317963603396E-2</v>
      </c>
      <c r="AB93" s="243">
        <v>0.2816319445630559</v>
      </c>
      <c r="AC93" s="243">
        <v>0.10084730698603867</v>
      </c>
      <c r="AD93" s="243" t="s">
        <v>93</v>
      </c>
      <c r="AE93" s="243" t="s">
        <v>93</v>
      </c>
      <c r="AF93" s="243" t="s">
        <v>93</v>
      </c>
      <c r="AG93" s="243" t="s">
        <v>93</v>
      </c>
      <c r="AH93" s="243"/>
      <c r="AI93" s="243"/>
      <c r="AJ93" s="243"/>
      <c r="AK93" s="243"/>
      <c r="AL93" s="243"/>
      <c r="AM93" s="243"/>
      <c r="AN93" s="243"/>
      <c r="AO93" s="65" t="s">
        <v>21</v>
      </c>
    </row>
    <row r="94" spans="1:41" ht="14.1" hidden="1" customHeight="1">
      <c r="A94" s="65" t="s">
        <v>22</v>
      </c>
      <c r="B94" s="243">
        <v>0.80353241920353724</v>
      </c>
      <c r="C94" s="243">
        <v>1.0120321689891731</v>
      </c>
      <c r="D94" s="243">
        <v>0.70078198862550889</v>
      </c>
      <c r="E94" s="243">
        <v>0.21876973610988454</v>
      </c>
      <c r="F94" s="243">
        <v>0.11768657781480733</v>
      </c>
      <c r="G94" s="243">
        <v>0.13599803259734988</v>
      </c>
      <c r="H94" s="243">
        <v>0.10321538327377112</v>
      </c>
      <c r="I94" s="243">
        <v>1.1803568436401601</v>
      </c>
      <c r="J94" s="243">
        <v>8.0758274118420299E-3</v>
      </c>
      <c r="K94" s="243">
        <v>0.10437080091816803</v>
      </c>
      <c r="L94" s="243">
        <v>0.71227928795242135</v>
      </c>
      <c r="M94" s="243">
        <v>0.21210035671084171</v>
      </c>
      <c r="N94" s="243">
        <v>0.77217169581639511</v>
      </c>
      <c r="O94" s="243">
        <v>2.7695694591707367</v>
      </c>
      <c r="P94" s="243">
        <v>0.12796331478373552</v>
      </c>
      <c r="Q94" s="243">
        <v>0.24921405200762398</v>
      </c>
      <c r="R94" s="243">
        <v>0.57623231560478683</v>
      </c>
      <c r="S94" s="243">
        <v>0.51774770827852701</v>
      </c>
      <c r="T94" s="243">
        <v>0.87298696167216083</v>
      </c>
      <c r="U94" s="243">
        <v>2.6897953525470072E-2</v>
      </c>
      <c r="V94" s="243">
        <v>0.45140805233016634</v>
      </c>
      <c r="W94" s="243">
        <v>5.4774305363435236E-3</v>
      </c>
      <c r="X94" s="243">
        <v>1.7703162655355945E-2</v>
      </c>
      <c r="Y94" s="243">
        <v>6.3282707181519807E-2</v>
      </c>
      <c r="Z94" s="243">
        <v>5.110502271095238E-2</v>
      </c>
      <c r="AA94" s="243">
        <v>2.6363064758078009E-2</v>
      </c>
      <c r="AB94" s="243">
        <v>0.28171670589331527</v>
      </c>
      <c r="AC94" s="243">
        <v>0.10081756007049873</v>
      </c>
      <c r="AD94" s="243">
        <v>1.7134228664226134E-2</v>
      </c>
      <c r="AE94" s="243">
        <v>0.21427926823317517</v>
      </c>
      <c r="AF94" s="243">
        <v>6.6171838166594429E-2</v>
      </c>
      <c r="AG94" s="243">
        <v>0.5404097715731031</v>
      </c>
      <c r="AH94" s="243"/>
      <c r="AI94" s="243"/>
      <c r="AJ94" s="243"/>
      <c r="AK94" s="243"/>
      <c r="AL94" s="243"/>
      <c r="AM94" s="243"/>
      <c r="AN94" s="243"/>
      <c r="AO94" s="65" t="s">
        <v>22</v>
      </c>
    </row>
    <row r="95" spans="1:41" ht="14.1" hidden="1" customHeight="1">
      <c r="A95" s="65" t="s">
        <v>23</v>
      </c>
      <c r="B95" s="243">
        <v>0.80373953114255192</v>
      </c>
      <c r="C95" s="243">
        <v>0.9821968308185709</v>
      </c>
      <c r="D95" s="243">
        <v>0.68574202911726134</v>
      </c>
      <c r="E95" s="243">
        <v>0.21882858782962061</v>
      </c>
      <c r="F95" s="243">
        <v>0.11784255881431144</v>
      </c>
      <c r="G95" s="243">
        <v>0.13200220329226955</v>
      </c>
      <c r="H95" s="243">
        <v>0.10320844863302163</v>
      </c>
      <c r="I95" s="243">
        <v>1.1840913237634085</v>
      </c>
      <c r="J95" s="243">
        <v>8.0289714631483593E-3</v>
      </c>
      <c r="K95" s="243">
        <v>0.10260533991504704</v>
      </c>
      <c r="L95" s="243">
        <v>0.71183480503893615</v>
      </c>
      <c r="M95" s="243">
        <v>0.20860610450746289</v>
      </c>
      <c r="N95" s="243">
        <v>0.77432568198057483</v>
      </c>
      <c r="O95" s="243">
        <v>2.7630307329960853</v>
      </c>
      <c r="P95" s="243">
        <v>0.12417721497685172</v>
      </c>
      <c r="Q95" s="243">
        <v>0.23929258387993688</v>
      </c>
      <c r="R95" s="243">
        <v>0.57479306311505918</v>
      </c>
      <c r="S95" s="243">
        <v>0.50921857334695864</v>
      </c>
      <c r="T95" s="243">
        <v>0.88356539038169213</v>
      </c>
      <c r="U95" s="243">
        <v>2.6654881829539859E-2</v>
      </c>
      <c r="V95" s="243">
        <v>0.43402013840333947</v>
      </c>
      <c r="W95" s="243">
        <v>5.4651103112325844E-3</v>
      </c>
      <c r="X95" s="243">
        <v>1.7472598503098954E-2</v>
      </c>
      <c r="Y95" s="243">
        <v>6.2335217811515645E-2</v>
      </c>
      <c r="Z95" s="243">
        <v>5.0635051268126167E-2</v>
      </c>
      <c r="AA95" s="243">
        <v>2.5731450373852532E-2</v>
      </c>
      <c r="AB95" s="243">
        <v>0.28196871582961852</v>
      </c>
      <c r="AC95" s="243">
        <v>0.100908593739089</v>
      </c>
      <c r="AD95" s="243">
        <v>1.7264350506369677E-2</v>
      </c>
      <c r="AE95" s="243">
        <v>0.21432254054092914</v>
      </c>
      <c r="AF95" s="243">
        <v>6.6155767238507052E-2</v>
      </c>
      <c r="AG95" s="243">
        <v>0.55610407528347061</v>
      </c>
      <c r="AH95" s="243"/>
      <c r="AI95" s="243"/>
      <c r="AJ95" s="243"/>
      <c r="AK95" s="243"/>
      <c r="AL95" s="243"/>
      <c r="AM95" s="243"/>
      <c r="AN95" s="243"/>
      <c r="AO95" s="65" t="s">
        <v>23</v>
      </c>
    </row>
    <row r="96" spans="1:41" ht="14.1" hidden="1" customHeight="1">
      <c r="A96" s="65" t="s">
        <v>24</v>
      </c>
      <c r="B96" s="243">
        <v>0.80367763263122827</v>
      </c>
      <c r="C96" s="243">
        <v>1.0260676325532239</v>
      </c>
      <c r="D96" s="243">
        <v>0.70294406240770213</v>
      </c>
      <c r="E96" s="243">
        <v>0.21881503713587663</v>
      </c>
      <c r="F96" s="243">
        <v>0.11861004535133514</v>
      </c>
      <c r="G96" s="243">
        <v>0.13767974901455282</v>
      </c>
      <c r="H96" s="243">
        <v>0.10332518075630506</v>
      </c>
      <c r="I96" s="243">
        <v>1.2278470414020157</v>
      </c>
      <c r="J96" s="243">
        <v>8.0353512069075653E-3</v>
      </c>
      <c r="K96" s="243">
        <v>0.10807325155828958</v>
      </c>
      <c r="L96" s="243">
        <v>0.76330962741194852</v>
      </c>
      <c r="M96" s="243">
        <v>0.20821051366650481</v>
      </c>
      <c r="N96" s="243">
        <v>0.76946279242453408</v>
      </c>
      <c r="O96" s="243">
        <v>2.7807091728456239</v>
      </c>
      <c r="P96" s="243">
        <v>0.1279109055674417</v>
      </c>
      <c r="Q96" s="243">
        <v>0.25115767970356695</v>
      </c>
      <c r="R96" s="243">
        <v>0.58323264236778827</v>
      </c>
      <c r="S96" s="243">
        <v>0.52133760433284804</v>
      </c>
      <c r="T96" s="243">
        <v>0.91740015428520105</v>
      </c>
      <c r="U96" s="243">
        <v>2.6789124179400475E-2</v>
      </c>
      <c r="V96" s="243">
        <v>0.43699405449511791</v>
      </c>
      <c r="W96" s="243">
        <v>5.4478248032645629E-3</v>
      </c>
      <c r="X96" s="243">
        <v>1.7447697415623388E-2</v>
      </c>
      <c r="Y96" s="243">
        <v>6.4090962949353097E-2</v>
      </c>
      <c r="Z96" s="243">
        <v>5.0231692839715306E-2</v>
      </c>
      <c r="AA96" s="243">
        <v>2.6232369942426316E-2</v>
      </c>
      <c r="AB96" s="243">
        <v>0.28201691913499621</v>
      </c>
      <c r="AC96" s="243">
        <v>0.10140309808195909</v>
      </c>
      <c r="AD96" s="243">
        <v>1.7167234463118922E-2</v>
      </c>
      <c r="AE96" s="243">
        <v>0.21429919657347196</v>
      </c>
      <c r="AF96" s="243">
        <v>6.6752704606742153E-2</v>
      </c>
      <c r="AG96" s="243">
        <v>0.5720851134957553</v>
      </c>
      <c r="AH96" s="243"/>
      <c r="AI96" s="243"/>
      <c r="AJ96" s="243"/>
      <c r="AK96" s="243"/>
      <c r="AL96" s="243"/>
      <c r="AM96" s="243"/>
      <c r="AN96" s="243"/>
      <c r="AO96" s="65" t="s">
        <v>24</v>
      </c>
    </row>
    <row r="97" spans="1:41" ht="14.1" hidden="1" customHeight="1">
      <c r="A97" s="65" t="s">
        <v>25</v>
      </c>
      <c r="B97" s="243">
        <v>0.80362651844495248</v>
      </c>
      <c r="C97" s="243">
        <v>1.0375449908484551</v>
      </c>
      <c r="D97" s="243">
        <v>0.72311984656440731</v>
      </c>
      <c r="E97" s="243">
        <v>0.2187401486580961</v>
      </c>
      <c r="F97" s="243">
        <v>0.11841789705273889</v>
      </c>
      <c r="G97" s="243">
        <v>0.13926729180126379</v>
      </c>
      <c r="H97" s="243">
        <v>0.10341945037057949</v>
      </c>
      <c r="I97" s="243">
        <v>1.2585611595958237</v>
      </c>
      <c r="J97" s="243">
        <v>8.0356175611834314E-3</v>
      </c>
      <c r="K97" s="243">
        <v>0.11001181652858551</v>
      </c>
      <c r="L97" s="243">
        <v>0.77271300639222629</v>
      </c>
      <c r="M97" s="243">
        <v>0.21191305607513447</v>
      </c>
      <c r="N97" s="243">
        <v>0.77387822092337188</v>
      </c>
      <c r="O97" s="243">
        <v>2.7990990771177535</v>
      </c>
      <c r="P97" s="243">
        <v>0.13075228364041105</v>
      </c>
      <c r="Q97" s="243">
        <v>0.26004870521041545</v>
      </c>
      <c r="R97" s="243">
        <v>0.59276419252556034</v>
      </c>
      <c r="S97" s="243">
        <v>0.53158818090988458</v>
      </c>
      <c r="T97" s="243">
        <v>0.94004130451083023</v>
      </c>
      <c r="U97" s="243">
        <v>2.6864234883470912E-2</v>
      </c>
      <c r="V97" s="243">
        <v>0.43781897976377443</v>
      </c>
      <c r="W97" s="243">
        <v>5.4538577344276657E-3</v>
      </c>
      <c r="X97" s="243">
        <v>1.7226720652624931E-2</v>
      </c>
      <c r="Y97" s="243">
        <v>6.6332723029074378E-2</v>
      </c>
      <c r="Z97" s="243">
        <v>4.9921768136909475E-2</v>
      </c>
      <c r="AA97" s="243">
        <v>2.6462432332850346E-2</v>
      </c>
      <c r="AB97" s="243">
        <v>0.28172162528058925</v>
      </c>
      <c r="AC97" s="243">
        <v>0.10184400327941694</v>
      </c>
      <c r="AD97" s="243">
        <v>1.7266812515379173E-2</v>
      </c>
      <c r="AE97" s="243">
        <v>0.21428759375671677</v>
      </c>
      <c r="AF97" s="243">
        <v>6.8069078142294015E-2</v>
      </c>
      <c r="AG97" s="243">
        <v>0.57449287997966447</v>
      </c>
      <c r="AH97" s="243"/>
      <c r="AI97" s="243"/>
      <c r="AJ97" s="243"/>
      <c r="AK97" s="243"/>
      <c r="AL97" s="243"/>
      <c r="AM97" s="243"/>
      <c r="AN97" s="243"/>
      <c r="AO97" s="65" t="s">
        <v>25</v>
      </c>
    </row>
    <row r="98" spans="1:41" ht="14.1" hidden="1" customHeight="1">
      <c r="A98" s="65" t="s">
        <v>26</v>
      </c>
      <c r="B98" s="243">
        <v>0.80335409159324034</v>
      </c>
      <c r="C98" s="243">
        <v>1.0471742016843053</v>
      </c>
      <c r="D98" s="243">
        <v>0.74948716026072637</v>
      </c>
      <c r="E98" s="243">
        <v>0.21872186665447987</v>
      </c>
      <c r="F98" s="243">
        <v>0.11903871460985334</v>
      </c>
      <c r="G98" s="243">
        <v>0.14060880169150328</v>
      </c>
      <c r="H98" s="243">
        <v>0.10343527226484577</v>
      </c>
      <c r="I98" s="243">
        <v>1.2494063858556221</v>
      </c>
      <c r="J98" s="243">
        <v>7.9741386993486141E-3</v>
      </c>
      <c r="K98" s="243">
        <v>0.11338231690961803</v>
      </c>
      <c r="L98" s="243">
        <v>0.8008074219854181</v>
      </c>
      <c r="M98" s="243">
        <v>0.21467999570422139</v>
      </c>
      <c r="N98" s="243">
        <v>0.77444128235615151</v>
      </c>
      <c r="O98" s="243">
        <v>2.800143250079119</v>
      </c>
      <c r="P98" s="243">
        <v>0.13231847825745111</v>
      </c>
      <c r="Q98" s="243">
        <v>0.2647861317088514</v>
      </c>
      <c r="R98" s="243">
        <v>0.60082567026012368</v>
      </c>
      <c r="S98" s="243">
        <v>0.53660471881277827</v>
      </c>
      <c r="T98" s="243">
        <v>0.95183617250309449</v>
      </c>
      <c r="U98" s="243">
        <v>2.6570747122300054E-2</v>
      </c>
      <c r="V98" s="243">
        <v>0.43917745827996246</v>
      </c>
      <c r="W98" s="243">
        <v>5.450699749396261E-3</v>
      </c>
      <c r="X98" s="243">
        <v>1.7220889072094497E-2</v>
      </c>
      <c r="Y98" s="243">
        <v>6.5562086017730156E-2</v>
      </c>
      <c r="Z98" s="243">
        <v>4.9682908704261029E-2</v>
      </c>
      <c r="AA98" s="243">
        <v>2.6038683516075131E-2</v>
      </c>
      <c r="AB98" s="243">
        <v>0.28171832572332722</v>
      </c>
      <c r="AC98" s="243">
        <v>0.10138335050431975</v>
      </c>
      <c r="AD98" s="243">
        <v>1.7424081154974465E-2</v>
      </c>
      <c r="AE98" s="243">
        <v>0.2142230064215753</v>
      </c>
      <c r="AF98" s="243">
        <v>6.8953432548608334E-2</v>
      </c>
      <c r="AG98" s="243">
        <v>0.58233064045259142</v>
      </c>
      <c r="AH98" s="243"/>
      <c r="AI98" s="243"/>
      <c r="AJ98" s="243"/>
      <c r="AK98" s="243"/>
      <c r="AL98" s="243"/>
      <c r="AM98" s="243"/>
      <c r="AN98" s="243"/>
      <c r="AO98" s="65" t="s">
        <v>26</v>
      </c>
    </row>
    <row r="99" spans="1:41" ht="14.1" hidden="1" customHeight="1">
      <c r="A99" s="65" t="s">
        <v>27</v>
      </c>
      <c r="B99" s="243">
        <v>0.80158671067448883</v>
      </c>
      <c r="C99" s="243">
        <v>1.1134859512178743</v>
      </c>
      <c r="D99" s="243">
        <v>0.786031466036896</v>
      </c>
      <c r="E99" s="243">
        <v>0.21824153140083566</v>
      </c>
      <c r="F99" s="243">
        <v>0.12019440399477564</v>
      </c>
      <c r="G99" s="243">
        <v>0.14933375381535996</v>
      </c>
      <c r="H99" s="243">
        <v>0.10330454941539619</v>
      </c>
      <c r="I99" s="243">
        <v>1.2705168658627988</v>
      </c>
      <c r="J99" s="243">
        <v>7.6851281619199187E-3</v>
      </c>
      <c r="K99" s="243">
        <v>0.12004494282362153</v>
      </c>
      <c r="L99" s="243">
        <v>0.82690581381316475</v>
      </c>
      <c r="M99" s="243">
        <v>0.22174313229253551</v>
      </c>
      <c r="N99" s="243">
        <v>0.78689215569828341</v>
      </c>
      <c r="O99" s="243">
        <v>2.8394090489602859</v>
      </c>
      <c r="P99" s="243">
        <v>0.13735329237539398</v>
      </c>
      <c r="Q99" s="243">
        <v>0.28161946001955507</v>
      </c>
      <c r="R99" s="243">
        <v>0.61456916976359699</v>
      </c>
      <c r="S99" s="243">
        <v>0.562101075475676</v>
      </c>
      <c r="T99" s="243">
        <v>0.97959595990297743</v>
      </c>
      <c r="U99" s="243">
        <v>2.6701355897339685E-2</v>
      </c>
      <c r="V99" s="243">
        <v>0.44742554047271271</v>
      </c>
      <c r="W99" s="243">
        <v>5.431226811124434E-3</v>
      </c>
      <c r="X99" s="243">
        <v>2.6631890249263712E-2</v>
      </c>
      <c r="Y99" s="243">
        <v>6.8126193291814102E-2</v>
      </c>
      <c r="Z99" s="243">
        <v>4.9379689447424997E-2</v>
      </c>
      <c r="AA99" s="243">
        <v>2.6445434452972909E-2</v>
      </c>
      <c r="AB99" s="243">
        <v>0.28113289341874403</v>
      </c>
      <c r="AC99" s="243">
        <v>0.10088581239537876</v>
      </c>
      <c r="AD99" s="243">
        <v>1.8042878245540062E-2</v>
      </c>
      <c r="AE99" s="243">
        <v>0.21374597426919714</v>
      </c>
      <c r="AF99" s="243">
        <v>7.1349597494579017E-2</v>
      </c>
      <c r="AG99" s="243">
        <v>0.60150367653338788</v>
      </c>
      <c r="AH99" s="243"/>
      <c r="AI99" s="243"/>
      <c r="AJ99" s="243"/>
      <c r="AK99" s="243"/>
      <c r="AL99" s="243"/>
      <c r="AM99" s="243"/>
      <c r="AN99" s="243"/>
      <c r="AO99" s="65" t="s">
        <v>27</v>
      </c>
    </row>
    <row r="100" spans="1:41" ht="14.1" hidden="1" customHeight="1">
      <c r="A100" s="65" t="s">
        <v>28</v>
      </c>
      <c r="B100" s="243">
        <v>0.80001179364803976</v>
      </c>
      <c r="C100" s="243">
        <v>1.0960891262355026</v>
      </c>
      <c r="D100" s="243">
        <v>0.79246244682111555</v>
      </c>
      <c r="E100" s="243">
        <v>0.21782295425518036</v>
      </c>
      <c r="F100" s="243">
        <v>0.12027815499165835</v>
      </c>
      <c r="G100" s="243">
        <v>0.14702741806969835</v>
      </c>
      <c r="H100" s="243">
        <v>0.10316401681302313</v>
      </c>
      <c r="I100" s="243">
        <v>1.2801439588210688</v>
      </c>
      <c r="J100" s="243">
        <v>7.6918596208213159E-3</v>
      </c>
      <c r="K100" s="243">
        <v>0.1175530251891399</v>
      </c>
      <c r="L100" s="243">
        <v>0.81373925717363982</v>
      </c>
      <c r="M100" s="243">
        <v>0.21965467744677411</v>
      </c>
      <c r="N100" s="243">
        <v>0.7909458959304223</v>
      </c>
      <c r="O100" s="243">
        <v>2.8479119573453624</v>
      </c>
      <c r="P100" s="243">
        <v>0.1345658581848875</v>
      </c>
      <c r="Q100" s="243">
        <v>0.27778276205657859</v>
      </c>
      <c r="R100" s="243">
        <v>0.61678280816039943</v>
      </c>
      <c r="S100" s="243">
        <v>0.55574470118832586</v>
      </c>
      <c r="T100" s="243">
        <v>0.97068701406585933</v>
      </c>
      <c r="U100" s="243">
        <v>2.6422073214787858E-2</v>
      </c>
      <c r="V100" s="243">
        <v>0.45437152305536582</v>
      </c>
      <c r="W100" s="243">
        <v>5.4234011925163531E-3</v>
      </c>
      <c r="X100" s="243">
        <v>3.4212178743212598E-2</v>
      </c>
      <c r="Y100" s="243">
        <v>6.7585645231252017E-2</v>
      </c>
      <c r="Z100" s="243">
        <v>4.9084325352737199E-2</v>
      </c>
      <c r="AA100" s="243">
        <v>2.5838532055909951E-2</v>
      </c>
      <c r="AB100" s="243">
        <v>0.28066897139751096</v>
      </c>
      <c r="AC100" s="243">
        <v>0.10055121521340177</v>
      </c>
      <c r="AD100" s="243">
        <v>1.7817133327741042E-2</v>
      </c>
      <c r="AE100" s="243">
        <v>0.21332955735514281</v>
      </c>
      <c r="AF100" s="243">
        <v>7.0954669172115986E-2</v>
      </c>
      <c r="AG100" s="243">
        <v>0.61857166546726094</v>
      </c>
      <c r="AH100" s="243"/>
      <c r="AI100" s="243"/>
      <c r="AJ100" s="243"/>
      <c r="AK100" s="243"/>
      <c r="AL100" s="243"/>
      <c r="AM100" s="243"/>
      <c r="AN100" s="243"/>
      <c r="AO100" s="65" t="s">
        <v>28</v>
      </c>
    </row>
    <row r="101" spans="1:41" ht="14.1" hidden="1" customHeight="1">
      <c r="A101" s="65" t="s">
        <v>29</v>
      </c>
      <c r="B101" s="243">
        <v>0.79892782190174738</v>
      </c>
      <c r="C101" s="243">
        <v>1.0557412843811114</v>
      </c>
      <c r="D101" s="243">
        <v>0.79202649251417057</v>
      </c>
      <c r="E101" s="243">
        <v>0.2175154201272631</v>
      </c>
      <c r="F101" s="243">
        <v>0.12015971845706908</v>
      </c>
      <c r="G101" s="243">
        <v>0.14165966222008811</v>
      </c>
      <c r="H101" s="243">
        <v>0.10276317700507562</v>
      </c>
      <c r="I101" s="243">
        <v>1.2468020218180744</v>
      </c>
      <c r="J101" s="243">
        <v>7.6895575492849496E-3</v>
      </c>
      <c r="K101" s="243">
        <v>0.11655204552109433</v>
      </c>
      <c r="L101" s="243">
        <v>0.82320016862033241</v>
      </c>
      <c r="M101" s="243">
        <v>0.22147646847492844</v>
      </c>
      <c r="N101" s="243">
        <v>0.79236473526285078</v>
      </c>
      <c r="O101" s="243">
        <v>2.831485787405037</v>
      </c>
      <c r="P101" s="243">
        <v>0.13336694598959248</v>
      </c>
      <c r="Q101" s="243">
        <v>0.2642679181738678</v>
      </c>
      <c r="R101" s="243">
        <v>0.61101302163574822</v>
      </c>
      <c r="S101" s="243">
        <v>0.5254319814809757</v>
      </c>
      <c r="T101" s="243">
        <v>0.95848660045638057</v>
      </c>
      <c r="U101" s="243">
        <v>2.6519974399215412E-2</v>
      </c>
      <c r="V101" s="243">
        <v>0.45380073314039493</v>
      </c>
      <c r="W101" s="243">
        <v>5.4195438968581752E-3</v>
      </c>
      <c r="X101" s="243">
        <v>2.8000119170101902E-2</v>
      </c>
      <c r="Y101" s="243">
        <v>6.5641895517281473E-2</v>
      </c>
      <c r="Z101" s="243">
        <v>4.8814740838742522E-2</v>
      </c>
      <c r="AA101" s="243">
        <v>2.5917588895584313E-2</v>
      </c>
      <c r="AB101" s="243">
        <v>0.28039615002518592</v>
      </c>
      <c r="AC101" s="243">
        <v>0.10025310700785731</v>
      </c>
      <c r="AD101" s="243">
        <v>1.768108602308481E-2</v>
      </c>
      <c r="AE101" s="243">
        <v>0.21302936252219468</v>
      </c>
      <c r="AF101" s="243">
        <v>6.9667615327393087E-2</v>
      </c>
      <c r="AG101" s="243">
        <v>0.59930652597266032</v>
      </c>
      <c r="AH101" s="243"/>
      <c r="AI101" s="243"/>
      <c r="AJ101" s="243"/>
      <c r="AK101" s="243"/>
      <c r="AL101" s="243"/>
      <c r="AM101" s="243"/>
      <c r="AN101" s="243"/>
      <c r="AO101" s="65" t="s">
        <v>29</v>
      </c>
    </row>
    <row r="102" spans="1:41" s="225" customFormat="1" ht="14.1" customHeight="1">
      <c r="A102" s="65" t="s">
        <v>1024</v>
      </c>
      <c r="B102" s="243">
        <v>0.78968574372698763</v>
      </c>
      <c r="C102" s="243">
        <v>1.0994913536948157</v>
      </c>
      <c r="D102" s="243">
        <v>0.81484416083518563</v>
      </c>
      <c r="E102" s="243">
        <v>0.21499944027333007</v>
      </c>
      <c r="F102" s="243">
        <v>0.1221716760199343</v>
      </c>
      <c r="G102" s="243">
        <v>0.14756233683623229</v>
      </c>
      <c r="H102" s="243">
        <v>0.10143755331384963</v>
      </c>
      <c r="I102" s="243">
        <v>1.2662395710655485</v>
      </c>
      <c r="J102" s="243">
        <v>7.4457850457328272E-3</v>
      </c>
      <c r="K102" s="243">
        <v>0.12175131002555256</v>
      </c>
      <c r="L102" s="243">
        <v>0.89338590542330876</v>
      </c>
      <c r="M102" s="243">
        <v>0.22097923072021453</v>
      </c>
      <c r="N102" s="243">
        <v>0.79881346274543252</v>
      </c>
      <c r="O102" s="243">
        <v>2.8598857738023593</v>
      </c>
      <c r="P102" s="243">
        <v>0.14095328969622839</v>
      </c>
      <c r="Q102" s="243">
        <v>0.26791052640293045</v>
      </c>
      <c r="R102" s="243">
        <v>0.62828222544344559</v>
      </c>
      <c r="S102" s="243">
        <v>0.4729552528751329</v>
      </c>
      <c r="T102" s="243">
        <v>0.99060672135022509</v>
      </c>
      <c r="U102" s="243">
        <v>1.9513657301397008E-2</v>
      </c>
      <c r="V102" s="243">
        <v>0.46922955341522959</v>
      </c>
      <c r="W102" s="243">
        <v>5.3854785452765687E-3</v>
      </c>
      <c r="X102" s="243">
        <v>1.7122973264398326E-2</v>
      </c>
      <c r="Y102" s="243">
        <v>6.7342624454091657E-2</v>
      </c>
      <c r="Z102" s="243">
        <v>4.6116756009145769E-2</v>
      </c>
      <c r="AA102" s="243">
        <v>2.6922404523018726E-2</v>
      </c>
      <c r="AB102" s="243">
        <v>0.2771315579370367</v>
      </c>
      <c r="AC102" s="243">
        <v>9.8903171378733876E-2</v>
      </c>
      <c r="AD102" s="243">
        <v>1.6982394795970444E-2</v>
      </c>
      <c r="AE102" s="243">
        <v>0.21056870076263234</v>
      </c>
      <c r="AF102" s="243">
        <v>7.132393279490222E-2</v>
      </c>
      <c r="AG102" s="243">
        <v>0.62447311714823539</v>
      </c>
      <c r="AH102" s="243"/>
      <c r="AI102" s="243"/>
      <c r="AJ102" s="243"/>
      <c r="AK102" s="243"/>
      <c r="AL102" s="243"/>
      <c r="AM102" s="243"/>
      <c r="AN102" s="243"/>
      <c r="AO102" s="65" t="s">
        <v>1024</v>
      </c>
    </row>
    <row r="103" spans="1:41" ht="14.1" hidden="1" customHeight="1">
      <c r="A103" s="65" t="s">
        <v>18</v>
      </c>
      <c r="B103" s="243">
        <v>0.79746421658253075</v>
      </c>
      <c r="C103" s="243">
        <v>1.0642171058980801</v>
      </c>
      <c r="D103" s="243">
        <v>0.79443421413935644</v>
      </c>
      <c r="E103" s="243">
        <v>0.21711741681248575</v>
      </c>
      <c r="F103" s="243">
        <v>0.12081392442422524</v>
      </c>
      <c r="G103" s="243">
        <v>0.14280684943663829</v>
      </c>
      <c r="H103" s="243">
        <v>0.10248140891871355</v>
      </c>
      <c r="I103" s="243">
        <v>1.2559697308975655</v>
      </c>
      <c r="J103" s="243">
        <v>7.6844015252124148E-3</v>
      </c>
      <c r="K103" s="243">
        <v>0.11923076602741976</v>
      </c>
      <c r="L103" s="243">
        <v>0.83329910896588932</v>
      </c>
      <c r="M103" s="243">
        <v>0.22253113853500289</v>
      </c>
      <c r="N103" s="243">
        <v>0.80184762676491839</v>
      </c>
      <c r="O103" s="243">
        <v>2.8385905357980166</v>
      </c>
      <c r="P103" s="243">
        <v>0.13581676482055843</v>
      </c>
      <c r="Q103" s="243">
        <v>0.2733418667548369</v>
      </c>
      <c r="R103" s="243">
        <v>0.61896286477191931</v>
      </c>
      <c r="S103" s="243">
        <v>0.51015297886753208</v>
      </c>
      <c r="T103" s="243">
        <v>0.96588894934157155</v>
      </c>
      <c r="U103" s="243">
        <v>2.6484561044820869E-2</v>
      </c>
      <c r="V103" s="243">
        <v>0.44469352442229027</v>
      </c>
      <c r="W103" s="243">
        <v>5.422322299695634E-3</v>
      </c>
      <c r="X103" s="243">
        <v>1.6882122566409617E-2</v>
      </c>
      <c r="Y103" s="243">
        <v>6.5318653259203122E-2</v>
      </c>
      <c r="Z103" s="243">
        <v>4.8478852715776941E-2</v>
      </c>
      <c r="AA103" s="243">
        <v>2.6466577016276725E-2</v>
      </c>
      <c r="AB103" s="243">
        <v>0.27988486923941236</v>
      </c>
      <c r="AC103" s="243">
        <v>0.10025504335513596</v>
      </c>
      <c r="AD103" s="243">
        <v>1.7566019309853846E-2</v>
      </c>
      <c r="AE103" s="243">
        <v>0.21264916840527667</v>
      </c>
      <c r="AF103" s="243">
        <v>7.1167662178379831E-2</v>
      </c>
      <c r="AG103" s="243">
        <v>0.61041041465031987</v>
      </c>
      <c r="AH103" s="243">
        <v>0</v>
      </c>
      <c r="AI103" s="243"/>
      <c r="AJ103" s="243"/>
      <c r="AK103" s="243"/>
      <c r="AL103" s="243"/>
      <c r="AM103" s="243"/>
      <c r="AN103" s="243"/>
      <c r="AO103" s="65" t="s">
        <v>18</v>
      </c>
    </row>
    <row r="104" spans="1:41" ht="14.1" hidden="1" customHeight="1">
      <c r="A104" s="65" t="s">
        <v>19</v>
      </c>
      <c r="B104" s="243">
        <v>0.79524642857142869</v>
      </c>
      <c r="C104" s="243">
        <v>1.0865046273214285</v>
      </c>
      <c r="D104" s="243">
        <v>0.80263973767857144</v>
      </c>
      <c r="E104" s="243">
        <v>0.21651573181625744</v>
      </c>
      <c r="F104" s="243">
        <v>0.12093247790507801</v>
      </c>
      <c r="G104" s="243">
        <v>0.14573438840817129</v>
      </c>
      <c r="H104" s="243">
        <v>0.10209649929371394</v>
      </c>
      <c r="I104" s="243">
        <v>1.2830122594642861</v>
      </c>
      <c r="J104" s="243">
        <v>7.6777611680131494E-3</v>
      </c>
      <c r="K104" s="243">
        <v>0.12357882594533484</v>
      </c>
      <c r="L104" s="243">
        <v>0.83815597196818581</v>
      </c>
      <c r="M104" s="243">
        <v>0.21718411715561808</v>
      </c>
      <c r="N104" s="243">
        <v>0.80483005396434848</v>
      </c>
      <c r="O104" s="243">
        <v>2.8661822742450331</v>
      </c>
      <c r="P104" s="243">
        <v>0.13878014025208393</v>
      </c>
      <c r="Q104" s="243">
        <v>0.27670676553971285</v>
      </c>
      <c r="R104" s="243">
        <v>0.62296135061642166</v>
      </c>
      <c r="S104" s="243">
        <v>0.50007822080957098</v>
      </c>
      <c r="T104" s="243">
        <v>0.96312533233189457</v>
      </c>
      <c r="U104" s="243">
        <v>2.6367115307190579E-2</v>
      </c>
      <c r="V104" s="243">
        <v>0.44932139933238402</v>
      </c>
      <c r="W104" s="243">
        <v>5.4323947772529132E-3</v>
      </c>
      <c r="X104" s="243">
        <v>1.6767183018894929E-2</v>
      </c>
      <c r="Y104" s="243">
        <v>6.628568510572222E-2</v>
      </c>
      <c r="Z104" s="243">
        <v>4.7941469782448808E-2</v>
      </c>
      <c r="AA104" s="243">
        <v>2.7167964381519173E-2</v>
      </c>
      <c r="AB104" s="243">
        <v>0.27907841695933666</v>
      </c>
      <c r="AC104" s="243">
        <v>0.10000318977291782</v>
      </c>
      <c r="AD104" s="243">
        <v>1.7496742844228492E-2</v>
      </c>
      <c r="AE104" s="243">
        <v>0.21204794780049235</v>
      </c>
      <c r="AF104" s="243">
        <v>7.1125448589246479E-2</v>
      </c>
      <c r="AG104" s="243">
        <v>0.60670676305323612</v>
      </c>
      <c r="AH104" s="243">
        <v>4.466880385999094E-2</v>
      </c>
      <c r="AI104" s="243"/>
      <c r="AJ104" s="243"/>
      <c r="AK104" s="243"/>
      <c r="AL104" s="243"/>
      <c r="AM104" s="243"/>
      <c r="AN104" s="243"/>
      <c r="AO104" s="65" t="s">
        <v>19</v>
      </c>
    </row>
    <row r="105" spans="1:41" ht="14.1" hidden="1" customHeight="1">
      <c r="A105" s="65" t="s">
        <v>20</v>
      </c>
      <c r="B105" s="243">
        <v>0.79339032258064501</v>
      </c>
      <c r="C105" s="243">
        <v>1.1089423304838713</v>
      </c>
      <c r="D105" s="243">
        <v>0.79734752177419355</v>
      </c>
      <c r="E105" s="243">
        <v>0.21600873317440505</v>
      </c>
      <c r="F105" s="243">
        <v>0.12077240833328567</v>
      </c>
      <c r="G105" s="243">
        <v>0.14869845995317715</v>
      </c>
      <c r="H105" s="243">
        <v>0.10178710453085711</v>
      </c>
      <c r="I105" s="243">
        <v>1.281225629193548</v>
      </c>
      <c r="J105" s="243">
        <v>7.688116358646158E-3</v>
      </c>
      <c r="K105" s="243">
        <v>0.12459208502512539</v>
      </c>
      <c r="L105" s="243">
        <v>0.86319861632058481</v>
      </c>
      <c r="M105" s="243">
        <v>0.22215563148487483</v>
      </c>
      <c r="N105" s="243">
        <v>0.8113032467465412</v>
      </c>
      <c r="O105" s="243">
        <v>2.8569948021824616</v>
      </c>
      <c r="P105" s="243">
        <v>0.14139504214059664</v>
      </c>
      <c r="Q105" s="243">
        <v>0.27559078193230996</v>
      </c>
      <c r="R105" s="243">
        <v>0.6243623048716519</v>
      </c>
      <c r="S105" s="243">
        <v>0.50043274801326099</v>
      </c>
      <c r="T105" s="243">
        <v>0.96771165102017886</v>
      </c>
      <c r="U105" s="243">
        <v>2.6241917928122679E-2</v>
      </c>
      <c r="V105" s="243">
        <v>0.46432655436854414</v>
      </c>
      <c r="W105" s="243">
        <v>5.443739701964421E-3</v>
      </c>
      <c r="X105" s="243">
        <v>1.6726066203140492E-2</v>
      </c>
      <c r="Y105" s="243">
        <v>6.621798143702573E-2</v>
      </c>
      <c r="Z105" s="243">
        <v>4.7462786100866933E-2</v>
      </c>
      <c r="AA105" s="243">
        <v>2.7842900634661515E-2</v>
      </c>
      <c r="AB105" s="243">
        <v>0.27838743176512787</v>
      </c>
      <c r="AC105" s="243">
        <v>9.9754031419424932E-2</v>
      </c>
      <c r="AD105" s="243">
        <v>1.7609583598491647E-2</v>
      </c>
      <c r="AE105" s="243">
        <v>0.21155082422981158</v>
      </c>
      <c r="AF105" s="243">
        <v>7.065466698658765E-2</v>
      </c>
      <c r="AG105" s="243">
        <v>0.58459936209677399</v>
      </c>
      <c r="AH105" s="243">
        <v>4.545460630299105E-2</v>
      </c>
      <c r="AI105" s="243"/>
      <c r="AJ105" s="243"/>
      <c r="AK105" s="243"/>
      <c r="AL105" s="243"/>
      <c r="AM105" s="243"/>
      <c r="AN105" s="243"/>
      <c r="AO105" s="65" t="s">
        <v>20</v>
      </c>
    </row>
    <row r="106" spans="1:41" ht="14.1" hidden="1" customHeight="1">
      <c r="A106" s="65" t="s">
        <v>21</v>
      </c>
      <c r="B106" s="243">
        <v>0.79195666666666642</v>
      </c>
      <c r="C106" s="243">
        <v>1.1440901056666668</v>
      </c>
      <c r="D106" s="243">
        <v>0.83731415566666656</v>
      </c>
      <c r="E106" s="243">
        <v>0.21561839911763864</v>
      </c>
      <c r="F106" s="243">
        <v>0.12131151291240418</v>
      </c>
      <c r="G106" s="243">
        <v>0.1534104709941029</v>
      </c>
      <c r="H106" s="243">
        <v>0.10187444432470739</v>
      </c>
      <c r="I106" s="243">
        <v>1.2955274538333335</v>
      </c>
      <c r="J106" s="243">
        <v>7.5870943086253943E-3</v>
      </c>
      <c r="K106" s="243">
        <v>0.12762518795336927</v>
      </c>
      <c r="L106" s="243">
        <v>0.88129113045122986</v>
      </c>
      <c r="M106" s="243">
        <v>0.23071836769102047</v>
      </c>
      <c r="N106" s="243">
        <v>0.82631792848645647</v>
      </c>
      <c r="O106" s="243">
        <v>2.8662026972321235</v>
      </c>
      <c r="P106" s="243">
        <v>0.14642198553254296</v>
      </c>
      <c r="Q106" s="243">
        <v>0.28830945247414824</v>
      </c>
      <c r="R106" s="243">
        <v>0.63516383506376917</v>
      </c>
      <c r="S106" s="243">
        <v>0.52003648774769373</v>
      </c>
      <c r="T106" s="243">
        <v>0.95110999282791153</v>
      </c>
      <c r="U106" s="243">
        <v>2.5982271290338275E-2</v>
      </c>
      <c r="V106" s="243">
        <v>0.47748182714701987</v>
      </c>
      <c r="W106" s="243">
        <v>5.4448875914010044E-3</v>
      </c>
      <c r="X106" s="243">
        <v>1.6814711626111607E-2</v>
      </c>
      <c r="Y106" s="243">
        <v>6.791248911202219E-2</v>
      </c>
      <c r="Z106" s="243">
        <v>4.6977183106501778E-2</v>
      </c>
      <c r="AA106" s="243">
        <v>2.819382062345786E-2</v>
      </c>
      <c r="AB106" s="243">
        <v>0.27749978986247359</v>
      </c>
      <c r="AC106" s="243">
        <v>9.9373115380746321E-2</v>
      </c>
      <c r="AD106" s="243">
        <v>1.7862271807744974E-2</v>
      </c>
      <c r="AE106" s="243">
        <v>0.21118450238874836</v>
      </c>
      <c r="AF106" s="243">
        <v>7.2976614959075009E-2</v>
      </c>
      <c r="AG106" s="243">
        <v>0.6237397166666665</v>
      </c>
      <c r="AH106" s="243">
        <v>4.7142531005134797E-2</v>
      </c>
      <c r="AI106" s="243"/>
      <c r="AJ106" s="243"/>
      <c r="AK106" s="243"/>
      <c r="AL106" s="243"/>
      <c r="AM106" s="243"/>
      <c r="AN106" s="243"/>
      <c r="AO106" s="65" t="s">
        <v>21</v>
      </c>
    </row>
    <row r="107" spans="1:41" ht="14.1" hidden="1" customHeight="1">
      <c r="A107" s="65" t="s">
        <v>22</v>
      </c>
      <c r="B107" s="243">
        <v>0.79051935483870972</v>
      </c>
      <c r="C107" s="243">
        <v>1.135600321129032</v>
      </c>
      <c r="D107" s="243">
        <v>0.8450525262903229</v>
      </c>
      <c r="E107" s="243">
        <v>0.21522641962017708</v>
      </c>
      <c r="F107" s="243">
        <v>0.12170153090785037</v>
      </c>
      <c r="G107" s="243">
        <v>0.15228710614510121</v>
      </c>
      <c r="H107" s="243">
        <v>0.10167298202290881</v>
      </c>
      <c r="I107" s="243">
        <v>1.2928710232258065</v>
      </c>
      <c r="J107" s="243">
        <v>7.4978635413821262E-3</v>
      </c>
      <c r="K107" s="243">
        <v>0.12673297225151925</v>
      </c>
      <c r="L107" s="243">
        <v>0.90514495540758022</v>
      </c>
      <c r="M107" s="243">
        <v>0.22822261426199741</v>
      </c>
      <c r="N107" s="243">
        <v>0.81771738753668088</v>
      </c>
      <c r="O107" s="243">
        <v>2.8731015116601384</v>
      </c>
      <c r="P107" s="243">
        <v>0.14475181624809072</v>
      </c>
      <c r="Q107" s="243">
        <v>0.28805784369887605</v>
      </c>
      <c r="R107" s="243">
        <v>0.6388590272858109</v>
      </c>
      <c r="S107" s="243">
        <v>0.50299792189162706</v>
      </c>
      <c r="T107" s="243">
        <v>0.97440975553091858</v>
      </c>
      <c r="U107" s="243">
        <v>2.3582794729609845E-2</v>
      </c>
      <c r="V107" s="243">
        <v>0.47055932274233042</v>
      </c>
      <c r="W107" s="243">
        <v>5.4307432747624949E-3</v>
      </c>
      <c r="X107" s="243">
        <v>1.7053655678183736E-2</v>
      </c>
      <c r="Y107" s="243">
        <v>6.821106203964597E-2</v>
      </c>
      <c r="Z107" s="243">
        <v>4.657351403807506E-2</v>
      </c>
      <c r="AA107" s="243">
        <v>2.8335824333536885E-2</v>
      </c>
      <c r="AB107" s="243">
        <v>0.27701385611419443</v>
      </c>
      <c r="AC107" s="243">
        <v>9.9046769750920388E-2</v>
      </c>
      <c r="AD107" s="243">
        <v>1.7599585269215692E-2</v>
      </c>
      <c r="AE107" s="243">
        <v>0.21079645399685631</v>
      </c>
      <c r="AF107" s="243">
        <v>7.2945274335019558E-2</v>
      </c>
      <c r="AG107" s="243">
        <v>0.63013069854838732</v>
      </c>
      <c r="AH107" s="243">
        <v>4.6596980286110638E-2</v>
      </c>
      <c r="AI107" s="243"/>
      <c r="AJ107" s="243"/>
      <c r="AK107" s="243"/>
      <c r="AL107" s="243"/>
      <c r="AM107" s="243"/>
      <c r="AN107" s="243"/>
      <c r="AO107" s="65" t="s">
        <v>22</v>
      </c>
    </row>
    <row r="108" spans="1:41" ht="14.1" hidden="1" customHeight="1">
      <c r="A108" s="65" t="s">
        <v>23</v>
      </c>
      <c r="B108" s="243">
        <v>0.78803666666666639</v>
      </c>
      <c r="C108" s="243">
        <v>1.1338737273333328</v>
      </c>
      <c r="D108" s="243">
        <v>0.83547165583333338</v>
      </c>
      <c r="E108" s="243">
        <v>0.21455035670948522</v>
      </c>
      <c r="F108" s="243">
        <v>0.12171084620193849</v>
      </c>
      <c r="G108" s="243">
        <v>0.15203546721918243</v>
      </c>
      <c r="H108" s="243">
        <v>0.10121621949068575</v>
      </c>
      <c r="I108" s="243">
        <v>1.2789608378333335</v>
      </c>
      <c r="J108" s="243">
        <v>7.2065220292794989E-3</v>
      </c>
      <c r="K108" s="243">
        <v>0.12458938580352591</v>
      </c>
      <c r="L108" s="243">
        <v>0.93656987044649609</v>
      </c>
      <c r="M108" s="243">
        <v>0.2307206212088421</v>
      </c>
      <c r="N108" s="243">
        <v>0.8062487513935338</v>
      </c>
      <c r="O108" s="243">
        <v>2.869438263960038</v>
      </c>
      <c r="P108" s="243">
        <v>0.14483820469006339</v>
      </c>
      <c r="Q108" s="243">
        <v>0.28591614714424196</v>
      </c>
      <c r="R108" s="243">
        <v>0.63847717080724509</v>
      </c>
      <c r="S108" s="243">
        <v>0.49262975047170243</v>
      </c>
      <c r="T108" s="243">
        <v>0.97920595608449978</v>
      </c>
      <c r="U108" s="243">
        <v>1.5828191164796078E-2</v>
      </c>
      <c r="V108" s="243">
        <v>0.47732065911808985</v>
      </c>
      <c r="W108" s="243">
        <v>5.4049389155709391E-3</v>
      </c>
      <c r="X108" s="243">
        <v>1.7411990497424982E-2</v>
      </c>
      <c r="Y108" s="243">
        <v>6.8149372613848208E-2</v>
      </c>
      <c r="Z108" s="243">
        <v>4.6151902729721132E-2</v>
      </c>
      <c r="AA108" s="243">
        <v>2.8165602501943762E-2</v>
      </c>
      <c r="AB108" s="243">
        <v>0.27676758484804398</v>
      </c>
      <c r="AC108" s="243">
        <v>9.8656917561196711E-2</v>
      </c>
      <c r="AD108" s="243">
        <v>1.7569462344203871E-2</v>
      </c>
      <c r="AE108" s="243">
        <v>0.21013377191046559</v>
      </c>
      <c r="AF108" s="243">
        <v>7.2922215500072621E-2</v>
      </c>
      <c r="AG108" s="243">
        <v>0.64210437800000009</v>
      </c>
      <c r="AH108" s="243">
        <v>4.6689755719475284E-2</v>
      </c>
      <c r="AI108" s="243"/>
      <c r="AJ108" s="243"/>
      <c r="AK108" s="243"/>
      <c r="AL108" s="243"/>
      <c r="AM108" s="243"/>
      <c r="AN108" s="243"/>
      <c r="AO108" s="65" t="s">
        <v>23</v>
      </c>
    </row>
    <row r="109" spans="1:41" ht="14.1" hidden="1" customHeight="1">
      <c r="A109" s="65" t="s">
        <v>24</v>
      </c>
      <c r="B109" s="243">
        <v>0.78658064516129056</v>
      </c>
      <c r="C109" s="243">
        <v>1.1258713337096773</v>
      </c>
      <c r="D109" s="243">
        <v>0.84780457822580668</v>
      </c>
      <c r="E109" s="243">
        <v>0.21415472776327338</v>
      </c>
      <c r="F109" s="243">
        <v>0.12181061973643333</v>
      </c>
      <c r="G109" s="243">
        <v>0.15099658653689571</v>
      </c>
      <c r="H109" s="243">
        <v>0.10098530200266666</v>
      </c>
      <c r="I109" s="243">
        <v>1.2697631616129028</v>
      </c>
      <c r="J109" s="243">
        <v>7.4198099625389057E-3</v>
      </c>
      <c r="K109" s="243">
        <v>0.12332904369495483</v>
      </c>
      <c r="L109" s="243">
        <v>0.95485664794777925</v>
      </c>
      <c r="M109" s="243">
        <v>0.2304654023655183</v>
      </c>
      <c r="N109" s="243">
        <v>0.82271347656157134</v>
      </c>
      <c r="O109" s="243">
        <v>2.8694720746566071</v>
      </c>
      <c r="P109" s="243">
        <v>0.14470376997281661</v>
      </c>
      <c r="Q109" s="243">
        <v>0.28214436415304028</v>
      </c>
      <c r="R109" s="243">
        <v>0.64642992947258027</v>
      </c>
      <c r="S109" s="243">
        <v>0.47627069628332175</v>
      </c>
      <c r="T109" s="243">
        <v>0.9904484803813226</v>
      </c>
      <c r="U109" s="243">
        <v>1.5826269810757701E-2</v>
      </c>
      <c r="V109" s="243">
        <v>0.47249329874790641</v>
      </c>
      <c r="W109" s="243">
        <v>5.3883023851887483E-3</v>
      </c>
      <c r="X109" s="243">
        <v>1.7440742874563878E-2</v>
      </c>
      <c r="Y109" s="243">
        <v>6.8247048204119268E-2</v>
      </c>
      <c r="Z109" s="243">
        <v>4.5792974000917329E-2</v>
      </c>
      <c r="AA109" s="243">
        <v>2.8190676405381494E-2</v>
      </c>
      <c r="AB109" s="243">
        <v>0.27596119265099417</v>
      </c>
      <c r="AC109" s="243">
        <v>9.8420356972567513E-2</v>
      </c>
      <c r="AD109" s="243">
        <v>1.7712699923420141E-2</v>
      </c>
      <c r="AE109" s="243">
        <v>0.2097452768565079</v>
      </c>
      <c r="AF109" s="243">
        <v>7.4352000908286614E-2</v>
      </c>
      <c r="AG109" s="243">
        <v>0.66477817919354842</v>
      </c>
      <c r="AH109" s="243">
        <v>4.6281658000347656E-2</v>
      </c>
      <c r="AI109" s="243"/>
      <c r="AJ109" s="243"/>
      <c r="AK109" s="243"/>
      <c r="AL109" s="243"/>
      <c r="AM109" s="243"/>
      <c r="AN109" s="243"/>
      <c r="AO109" s="65" t="s">
        <v>24</v>
      </c>
    </row>
    <row r="110" spans="1:41" ht="14.1" hidden="1" customHeight="1">
      <c r="A110" s="65" t="s">
        <v>25</v>
      </c>
      <c r="B110" s="243">
        <v>0.78646774193548408</v>
      </c>
      <c r="C110" s="243">
        <v>1.1263777819354841</v>
      </c>
      <c r="D110" s="243">
        <v>0.82390580145161296</v>
      </c>
      <c r="E110" s="243">
        <v>0.21412474178107793</v>
      </c>
      <c r="F110" s="243">
        <v>0.12276979941204752</v>
      </c>
      <c r="G110" s="243">
        <v>0.15119679165890307</v>
      </c>
      <c r="H110" s="243">
        <v>0.10085853237762843</v>
      </c>
      <c r="I110" s="243">
        <v>1.2863371382258066</v>
      </c>
      <c r="J110" s="243">
        <v>7.4320965460124054E-3</v>
      </c>
      <c r="K110" s="243">
        <v>0.12268899949672146</v>
      </c>
      <c r="L110" s="243">
        <v>1.0088491268441986</v>
      </c>
      <c r="M110" s="243">
        <v>0.22168642471233199</v>
      </c>
      <c r="N110" s="243">
        <v>0.80116085613682564</v>
      </c>
      <c r="O110" s="243">
        <v>2.8843278988426486</v>
      </c>
      <c r="P110" s="243">
        <v>0.14427462254629053</v>
      </c>
      <c r="Q110" s="243">
        <v>0.27337597428201876</v>
      </c>
      <c r="R110" s="243">
        <v>0.65017713962361134</v>
      </c>
      <c r="S110" s="243">
        <v>0.44737144402123052</v>
      </c>
      <c r="T110" s="243">
        <v>1.0199030677943492</v>
      </c>
      <c r="U110" s="243">
        <v>1.5680058255308025E-2</v>
      </c>
      <c r="V110" s="243">
        <v>0.47722625197889007</v>
      </c>
      <c r="W110" s="243">
        <v>5.3637659825164618E-3</v>
      </c>
      <c r="X110" s="243">
        <v>1.7578982154499191E-2</v>
      </c>
      <c r="Y110" s="243">
        <v>6.9159963151392598E-2</v>
      </c>
      <c r="Z110" s="243">
        <v>4.546201036803138E-2</v>
      </c>
      <c r="AA110" s="243">
        <v>2.7276665463624512E-2</v>
      </c>
      <c r="AB110" s="243">
        <v>0.27596922840931587</v>
      </c>
      <c r="AC110" s="243">
        <v>9.8367668665585828E-2</v>
      </c>
      <c r="AD110" s="243">
        <v>1.7335431035262028E-2</v>
      </c>
      <c r="AE110" s="243">
        <v>0.20971399742843921</v>
      </c>
      <c r="AF110" s="243">
        <v>7.3078371942885953E-2</v>
      </c>
      <c r="AG110" s="243">
        <v>0.65697328467741944</v>
      </c>
      <c r="AH110" s="243">
        <v>0</v>
      </c>
      <c r="AI110" s="243"/>
      <c r="AJ110" s="243"/>
      <c r="AK110" s="243"/>
      <c r="AL110" s="243"/>
      <c r="AM110" s="243"/>
      <c r="AN110" s="243"/>
      <c r="AO110" s="65" t="s">
        <v>25</v>
      </c>
    </row>
    <row r="111" spans="1:41" ht="14.1" hidden="1" customHeight="1">
      <c r="A111" s="65" t="s">
        <v>26</v>
      </c>
      <c r="B111" s="243">
        <v>0.78666666666666651</v>
      </c>
      <c r="C111" s="243">
        <v>1.0863002638333334</v>
      </c>
      <c r="D111" s="243">
        <v>0.80854767800000005</v>
      </c>
      <c r="E111" s="243">
        <v>0.21417580647059589</v>
      </c>
      <c r="F111" s="243">
        <v>0.12314672962189571</v>
      </c>
      <c r="G111" s="243">
        <v>0.14587368874615256</v>
      </c>
      <c r="H111" s="243">
        <v>0.10093343403047196</v>
      </c>
      <c r="I111" s="243">
        <v>1.2435573924999999</v>
      </c>
      <c r="J111" s="243">
        <v>7.3668047469991008E-3</v>
      </c>
      <c r="K111" s="243">
        <v>0.11895810586153817</v>
      </c>
      <c r="L111" s="243">
        <v>0.90912088639213873</v>
      </c>
      <c r="M111" s="243">
        <v>0.21390508915419337</v>
      </c>
      <c r="N111" s="243">
        <v>0.78788245925925993</v>
      </c>
      <c r="O111" s="243">
        <v>2.8606388344002247</v>
      </c>
      <c r="P111" s="243">
        <v>0.14076039993069947</v>
      </c>
      <c r="Q111" s="243">
        <v>0.25159719367268629</v>
      </c>
      <c r="R111" s="243">
        <v>0.63106375180143504</v>
      </c>
      <c r="S111" s="243">
        <v>0.43975925710733216</v>
      </c>
      <c r="T111" s="243">
        <v>1.0241511611414185</v>
      </c>
      <c r="U111" s="243">
        <v>1.4932757594822328E-2</v>
      </c>
      <c r="V111" s="243">
        <v>0.47343170114680333</v>
      </c>
      <c r="W111" s="243">
        <v>5.3428071996170839E-3</v>
      </c>
      <c r="X111" s="243">
        <v>1.7490472612395412E-2</v>
      </c>
      <c r="Y111" s="243">
        <v>6.777882748473564E-2</v>
      </c>
      <c r="Z111" s="243">
        <v>4.5206081650667002E-2</v>
      </c>
      <c r="AA111" s="243">
        <v>2.5790733052306985E-2</v>
      </c>
      <c r="AB111" s="243">
        <v>0.27623523466986549</v>
      </c>
      <c r="AC111" s="243">
        <v>9.8351039559873232E-2</v>
      </c>
      <c r="AD111" s="243">
        <v>1.6554842994500465E-2</v>
      </c>
      <c r="AE111" s="243">
        <v>0.20975158202802183</v>
      </c>
      <c r="AF111" s="243">
        <v>7.0498201170850108E-2</v>
      </c>
      <c r="AG111" s="243">
        <v>0.64200882016666683</v>
      </c>
      <c r="AH111" s="243">
        <v>4.4337615808861607E-2</v>
      </c>
      <c r="AI111" s="243"/>
      <c r="AJ111" s="243"/>
      <c r="AK111" s="243"/>
      <c r="AL111" s="243"/>
      <c r="AM111" s="243"/>
      <c r="AN111" s="243"/>
      <c r="AO111" s="65" t="s">
        <v>26</v>
      </c>
    </row>
    <row r="112" spans="1:41" ht="14.1" hidden="1" customHeight="1">
      <c r="A112" s="65" t="s">
        <v>27</v>
      </c>
      <c r="B112" s="243">
        <v>0.78690322580645133</v>
      </c>
      <c r="C112" s="243">
        <v>1.0786462432258064</v>
      </c>
      <c r="D112" s="243">
        <v>0.7955451685483873</v>
      </c>
      <c r="E112" s="243">
        <v>0.21424104887019732</v>
      </c>
      <c r="F112" s="243">
        <v>0.12348551133147666</v>
      </c>
      <c r="G112" s="243">
        <v>0.14489492374061624</v>
      </c>
      <c r="H112" s="243">
        <v>0.10115104871539557</v>
      </c>
      <c r="I112" s="243">
        <v>1.2384168287096771</v>
      </c>
      <c r="J112" s="243">
        <v>7.3952339210880515E-3</v>
      </c>
      <c r="K112" s="243">
        <v>0.11821998844921124</v>
      </c>
      <c r="L112" s="243">
        <v>0.87766254706415492</v>
      </c>
      <c r="M112" s="243">
        <v>0.21452940632131884</v>
      </c>
      <c r="N112" s="243">
        <v>0.7699424862508043</v>
      </c>
      <c r="O112" s="243">
        <v>2.8550222462280859</v>
      </c>
      <c r="P112" s="243">
        <v>0.13905743238246412</v>
      </c>
      <c r="Q112" s="243">
        <v>0.24756498210062861</v>
      </c>
      <c r="R112" s="243">
        <v>0.61563013820953605</v>
      </c>
      <c r="S112" s="243">
        <v>0.42985368231393889</v>
      </c>
      <c r="T112" s="243">
        <v>1.0262449052634215</v>
      </c>
      <c r="U112" s="243">
        <v>1.8898461845093049E-2</v>
      </c>
      <c r="V112" s="243">
        <v>0.47472024805491986</v>
      </c>
      <c r="W112" s="243">
        <v>5.3170466007503876E-3</v>
      </c>
      <c r="X112" s="243">
        <v>1.7395467866684017E-2</v>
      </c>
      <c r="Y112" s="243">
        <v>6.6962855973796767E-2</v>
      </c>
      <c r="Z112" s="243">
        <v>4.4877660293851214E-2</v>
      </c>
      <c r="AA112" s="243">
        <v>2.5126838231254167E-2</v>
      </c>
      <c r="AB112" s="243">
        <v>0.27638254520666777</v>
      </c>
      <c r="AC112" s="243">
        <v>9.8324766496418789E-2</v>
      </c>
      <c r="AD112" s="243">
        <v>1.5973179295915831E-2</v>
      </c>
      <c r="AE112" s="243">
        <v>0.20982208923290049</v>
      </c>
      <c r="AF112" s="243">
        <v>6.8215663084126896E-2</v>
      </c>
      <c r="AG112" s="243">
        <v>0.62018758596774204</v>
      </c>
      <c r="AH112" s="243">
        <v>4.3490856413869405E-2</v>
      </c>
      <c r="AI112" s="243"/>
      <c r="AJ112" s="243"/>
      <c r="AK112" s="243"/>
      <c r="AL112" s="243"/>
      <c r="AM112" s="243"/>
      <c r="AN112" s="243"/>
      <c r="AO112" s="65" t="s">
        <v>27</v>
      </c>
    </row>
    <row r="113" spans="1:41" ht="14.1" hidden="1" customHeight="1">
      <c r="A113" s="65" t="s">
        <v>28</v>
      </c>
      <c r="B113" s="243">
        <v>0.7866066666666669</v>
      </c>
      <c r="C113" s="243">
        <v>1.0672401478333333</v>
      </c>
      <c r="D113" s="243">
        <v>0.79400757483333317</v>
      </c>
      <c r="E113" s="243">
        <v>0.21416122072289767</v>
      </c>
      <c r="F113" s="243">
        <v>0.12375978706272846</v>
      </c>
      <c r="G113" s="243">
        <v>0.14342304586956475</v>
      </c>
      <c r="H113" s="243">
        <v>0.10108631875130424</v>
      </c>
      <c r="I113" s="243">
        <v>1.2428539910000003</v>
      </c>
      <c r="J113" s="243">
        <v>7.2321096464512862E-3</v>
      </c>
      <c r="K113" s="243">
        <v>0.11666161901178598</v>
      </c>
      <c r="L113" s="243">
        <v>0.86876316999598258</v>
      </c>
      <c r="M113" s="243">
        <v>0.21135753507380217</v>
      </c>
      <c r="N113" s="243">
        <v>0.76722099807993638</v>
      </c>
      <c r="O113" s="243">
        <v>2.848199681265279</v>
      </c>
      <c r="P113" s="243">
        <v>0.13707038089372042</v>
      </c>
      <c r="Q113" s="243">
        <v>0.24099066411707379</v>
      </c>
      <c r="R113" s="243">
        <v>0.61020392920933586</v>
      </c>
      <c r="S113" s="243">
        <v>0.43494321594036933</v>
      </c>
      <c r="T113" s="243">
        <v>1.0147337599333566</v>
      </c>
      <c r="U113" s="243">
        <v>1.50574019664667E-2</v>
      </c>
      <c r="V113" s="243">
        <v>0.47514517151966967</v>
      </c>
      <c r="W113" s="243">
        <v>5.320570594825832E-3</v>
      </c>
      <c r="X113" s="243">
        <v>1.7056503479703874E-2</v>
      </c>
      <c r="Y113" s="243">
        <v>6.7057903927998222E-2</v>
      </c>
      <c r="Z113" s="243">
        <v>4.4470221787458221E-2</v>
      </c>
      <c r="AA113" s="243">
        <v>2.5512878283756021E-2</v>
      </c>
      <c r="AB113" s="243">
        <v>0.27631260825844434</v>
      </c>
      <c r="AC113" s="243">
        <v>9.8209938797635385E-2</v>
      </c>
      <c r="AD113" s="243">
        <v>1.5534818061829988E-2</v>
      </c>
      <c r="AE113" s="243">
        <v>0.20974229534056771</v>
      </c>
      <c r="AF113" s="243">
        <v>6.943062860951052E-2</v>
      </c>
      <c r="AG113" s="243">
        <v>0.60618516050000004</v>
      </c>
      <c r="AH113" s="243">
        <v>4.1910965187058648E-2</v>
      </c>
      <c r="AI113" s="243"/>
      <c r="AJ113" s="243"/>
      <c r="AK113" s="243"/>
      <c r="AL113" s="243"/>
      <c r="AM113" s="243"/>
      <c r="AN113" s="243"/>
      <c r="AO113" s="65" t="s">
        <v>28</v>
      </c>
    </row>
    <row r="114" spans="1:41" ht="14.1" hidden="1" customHeight="1">
      <c r="A114" s="65" t="s">
        <v>29</v>
      </c>
      <c r="B114" s="243">
        <v>0.78639032258064545</v>
      </c>
      <c r="C114" s="243">
        <v>1.0362322559677415</v>
      </c>
      <c r="D114" s="243">
        <v>0.79605931758064485</v>
      </c>
      <c r="E114" s="243">
        <v>0.21409868042146984</v>
      </c>
      <c r="F114" s="243">
        <v>0.12384496438984791</v>
      </c>
      <c r="G114" s="243">
        <v>0.13939026332628202</v>
      </c>
      <c r="H114" s="243">
        <v>0.10110734530714227</v>
      </c>
      <c r="I114" s="243">
        <v>1.2263794062903224</v>
      </c>
      <c r="J114" s="243">
        <v>7.1616067945454295E-3</v>
      </c>
      <c r="K114" s="243">
        <v>0.11480874078612466</v>
      </c>
      <c r="L114" s="243">
        <v>0.84371883327548491</v>
      </c>
      <c r="M114" s="243">
        <v>0.20827442067805335</v>
      </c>
      <c r="N114" s="243">
        <v>0.76857628176431303</v>
      </c>
      <c r="O114" s="243">
        <v>2.8304584651576552</v>
      </c>
      <c r="P114" s="243">
        <v>0.1335689169448136</v>
      </c>
      <c r="Q114" s="243">
        <v>0.23133028096559172</v>
      </c>
      <c r="R114" s="243">
        <v>0.60709526358803101</v>
      </c>
      <c r="S114" s="243">
        <v>0.42093663103401546</v>
      </c>
      <c r="T114" s="243">
        <v>1.0103476445518558</v>
      </c>
      <c r="U114" s="243">
        <v>9.28208667943798E-3</v>
      </c>
      <c r="V114" s="243">
        <v>0.47403468240390673</v>
      </c>
      <c r="W114" s="243">
        <v>5.3142232197729029E-3</v>
      </c>
      <c r="X114" s="243">
        <v>1.685778059476814E-2</v>
      </c>
      <c r="Y114" s="243">
        <v>6.6809651139589935E-2</v>
      </c>
      <c r="Z114" s="243">
        <v>4.4006415535433531E-2</v>
      </c>
      <c r="AA114" s="243">
        <v>2.4998373348505611E-2</v>
      </c>
      <c r="AB114" s="243">
        <v>0.2760859372605638</v>
      </c>
      <c r="AC114" s="243">
        <v>9.8075218812383666E-2</v>
      </c>
      <c r="AD114" s="243">
        <v>1.4974101066978386E-2</v>
      </c>
      <c r="AE114" s="243">
        <v>0.20968649953349983</v>
      </c>
      <c r="AF114" s="243">
        <v>6.8520445274785541E-2</v>
      </c>
      <c r="AG114" s="243">
        <v>0.60585304225806436</v>
      </c>
      <c r="AH114" s="243">
        <v>4.064524176597737E-2</v>
      </c>
      <c r="AI114" s="243"/>
      <c r="AJ114" s="243"/>
      <c r="AK114" s="243"/>
      <c r="AL114" s="243"/>
      <c r="AM114" s="243"/>
      <c r="AN114" s="243"/>
      <c r="AO114" s="65" t="s">
        <v>29</v>
      </c>
    </row>
    <row r="115" spans="1:41" s="225" customFormat="1" ht="14.1" customHeight="1">
      <c r="A115" s="65" t="s">
        <v>1288</v>
      </c>
      <c r="B115" s="243">
        <v>0.78564379433938958</v>
      </c>
      <c r="C115" s="243">
        <v>1.0102096785332624</v>
      </c>
      <c r="D115" s="243">
        <v>0.81377537803406563</v>
      </c>
      <c r="E115" s="243">
        <v>0.21389847506349149</v>
      </c>
      <c r="F115" s="243">
        <v>0.12452422484961272</v>
      </c>
      <c r="G115" s="243">
        <v>0.13571200778561868</v>
      </c>
      <c r="H115" s="243">
        <v>0.10128147545087883</v>
      </c>
      <c r="I115" s="243">
        <v>1.2448389161333118</v>
      </c>
      <c r="J115" s="243">
        <v>6.4547632013985242E-3</v>
      </c>
      <c r="K115" s="243">
        <v>0.11604626470159647</v>
      </c>
      <c r="L115" s="243">
        <v>0.8380503263629997</v>
      </c>
      <c r="M115" s="243">
        <v>0.20393412907736261</v>
      </c>
      <c r="N115" s="243">
        <v>0.78620153755019528</v>
      </c>
      <c r="O115" s="243">
        <v>2.8052130170782075</v>
      </c>
      <c r="P115" s="243">
        <v>0.13508583469008154</v>
      </c>
      <c r="Q115" s="243">
        <v>0.24169564182539161</v>
      </c>
      <c r="R115" s="243">
        <v>0.62880324555057976</v>
      </c>
      <c r="S115" s="243">
        <v>0.43655777299608983</v>
      </c>
      <c r="T115" s="243">
        <v>0.984810442947052</v>
      </c>
      <c r="U115" s="243">
        <v>9.4262221480790678E-3</v>
      </c>
      <c r="V115" s="243">
        <v>0.47587236866573646</v>
      </c>
      <c r="W115" s="243">
        <v>5.2687279209235501E-3</v>
      </c>
      <c r="X115" s="243">
        <v>1.671808002185261E-2</v>
      </c>
      <c r="Y115" s="243">
        <v>6.493940069355543E-2</v>
      </c>
      <c r="Z115" s="243">
        <v>4.1635225463087039E-2</v>
      </c>
      <c r="AA115" s="243">
        <v>2.5325221981539487E-2</v>
      </c>
      <c r="AB115" s="243">
        <v>0.2755802262076017</v>
      </c>
      <c r="AC115" s="243">
        <v>9.7202982578912592E-2</v>
      </c>
      <c r="AD115" s="243">
        <v>1.4740576821343852E-2</v>
      </c>
      <c r="AE115" s="243">
        <v>0.20949169244039312</v>
      </c>
      <c r="AF115" s="243">
        <v>6.9781036815369568E-2</v>
      </c>
      <c r="AG115" s="243">
        <v>0.63646850217278461</v>
      </c>
      <c r="AH115" s="243">
        <v>4.0158718495735442E-2</v>
      </c>
      <c r="AI115" s="243"/>
      <c r="AJ115" s="243"/>
      <c r="AK115" s="243"/>
      <c r="AL115" s="243"/>
      <c r="AM115" s="243"/>
      <c r="AN115" s="243"/>
      <c r="AO115" s="65" t="s">
        <v>1288</v>
      </c>
    </row>
    <row r="116" spans="1:41" ht="14.1" hidden="1" customHeight="1">
      <c r="A116" s="65" t="s">
        <v>18</v>
      </c>
      <c r="B116" s="246">
        <v>0.78634516129032306</v>
      </c>
      <c r="C116" s="246">
        <v>1.0139640319354837</v>
      </c>
      <c r="D116" s="246">
        <v>0.81533754209677423</v>
      </c>
      <c r="E116" s="246">
        <v>0.21408826473358306</v>
      </c>
      <c r="F116" s="246">
        <v>0.12446468240681387</v>
      </c>
      <c r="G116" s="246">
        <v>0.13637001004455698</v>
      </c>
      <c r="H116" s="246">
        <v>0.10127325882531325</v>
      </c>
      <c r="I116" s="246">
        <v>1.2176704548387098</v>
      </c>
      <c r="J116" s="246">
        <v>6.9823614214841231E-3</v>
      </c>
      <c r="K116" s="246">
        <v>0.11454948174157534</v>
      </c>
      <c r="L116" s="246">
        <v>0.83707310415319847</v>
      </c>
      <c r="M116" s="246">
        <v>0.20639210456756166</v>
      </c>
      <c r="N116" s="246">
        <v>0.7752539842715791</v>
      </c>
      <c r="O116" s="246">
        <v>2.8211296848734304</v>
      </c>
      <c r="P116" s="246">
        <v>0.13186161674551583</v>
      </c>
      <c r="Q116" s="246">
        <v>0.23174119745515928</v>
      </c>
      <c r="R116" s="246">
        <v>0.61361871207440166</v>
      </c>
      <c r="S116" s="246">
        <v>0.42538627537306622</v>
      </c>
      <c r="T116" s="246">
        <v>1.0212132054413492</v>
      </c>
      <c r="U116" s="246">
        <v>9.3694586779316368E-3</v>
      </c>
      <c r="V116" s="246">
        <v>0.47066114830928396</v>
      </c>
      <c r="W116" s="246">
        <v>5.2999439829408065E-3</v>
      </c>
      <c r="X116" s="246">
        <v>1.6860373408321555E-2</v>
      </c>
      <c r="Y116" s="246">
        <v>6.6541939723690921E-2</v>
      </c>
      <c r="Z116" s="246">
        <v>4.3660659118573489E-2</v>
      </c>
      <c r="AA116" s="246">
        <v>2.5036486169299793E-2</v>
      </c>
      <c r="AB116" s="246">
        <v>0.27603628766012728</v>
      </c>
      <c r="AC116" s="246">
        <v>9.7902537017452496E-2</v>
      </c>
      <c r="AD116" s="246">
        <v>1.5337493057141065E-2</v>
      </c>
      <c r="AE116" s="246">
        <v>0.20967833528034896</v>
      </c>
      <c r="AF116" s="246">
        <v>6.8748124065651742E-2</v>
      </c>
      <c r="AG116" s="247">
        <v>0.62669445677419344</v>
      </c>
      <c r="AH116" s="246">
        <v>3.9671126711268954E-2</v>
      </c>
      <c r="AI116" s="247"/>
      <c r="AJ116" s="247"/>
      <c r="AK116" s="246"/>
      <c r="AL116" s="246"/>
      <c r="AM116" s="246"/>
      <c r="AN116" s="247"/>
      <c r="AO116" s="65" t="s">
        <v>18</v>
      </c>
    </row>
    <row r="117" spans="1:41" ht="14.1" hidden="1" customHeight="1">
      <c r="A117" s="65" t="s">
        <v>19</v>
      </c>
      <c r="B117" s="246">
        <v>0.78627241379310364</v>
      </c>
      <c r="C117" s="246">
        <v>1.0399387831034481</v>
      </c>
      <c r="D117" s="246">
        <v>0.84341943758620674</v>
      </c>
      <c r="E117" s="246">
        <v>0.21407149315136956</v>
      </c>
      <c r="F117" s="246">
        <v>0.12480799494181979</v>
      </c>
      <c r="G117" s="246">
        <v>0.13989355637082462</v>
      </c>
      <c r="H117" s="246">
        <v>0.10138774099819822</v>
      </c>
      <c r="I117" s="246">
        <v>1.2419783063793099</v>
      </c>
      <c r="J117" s="246">
        <v>6.5522492649495775E-3</v>
      </c>
      <c r="K117" s="246">
        <v>0.11784384338516679</v>
      </c>
      <c r="L117" s="246">
        <v>0.86141503976513856</v>
      </c>
      <c r="M117" s="246">
        <v>0.21042836270172333</v>
      </c>
      <c r="N117" s="246">
        <v>0.78819226539479037</v>
      </c>
      <c r="O117" s="246">
        <v>2.833132170269629</v>
      </c>
      <c r="P117" s="246">
        <v>0.13739726279085634</v>
      </c>
      <c r="Q117" s="246">
        <v>0.24858743380744366</v>
      </c>
      <c r="R117" s="246">
        <v>0.62708258690627228</v>
      </c>
      <c r="S117" s="246">
        <v>0.44751671302633994</v>
      </c>
      <c r="T117" s="246">
        <v>1.0033948321712216</v>
      </c>
      <c r="U117" s="246">
        <v>9.4765587999630155E-3</v>
      </c>
      <c r="V117" s="246">
        <v>0.47376506517855982</v>
      </c>
      <c r="W117" s="246">
        <v>5.3046466200971495E-3</v>
      </c>
      <c r="X117" s="246">
        <v>1.6805792004447755E-2</v>
      </c>
      <c r="Y117" s="246">
        <v>6.6351161014693669E-2</v>
      </c>
      <c r="Z117" s="246">
        <v>4.3235674383513653E-2</v>
      </c>
      <c r="AA117" s="246">
        <v>2.6343470015967464E-2</v>
      </c>
      <c r="AB117" s="246">
        <v>0.27676425516940351</v>
      </c>
      <c r="AC117" s="246">
        <v>9.8002720913347635E-2</v>
      </c>
      <c r="AD117" s="246">
        <v>1.5979447909183344E-2</v>
      </c>
      <c r="AE117" s="246">
        <v>0.20965847383510139</v>
      </c>
      <c r="AF117" s="246">
        <v>7.002487870050951E-2</v>
      </c>
      <c r="AG117" s="247">
        <v>0.65594905913793122</v>
      </c>
      <c r="AH117" s="246">
        <v>4.151991276079172E-2</v>
      </c>
      <c r="AI117" s="247"/>
      <c r="AJ117" s="247"/>
      <c r="AK117" s="246"/>
      <c r="AL117" s="246"/>
      <c r="AM117" s="246"/>
      <c r="AN117" s="247"/>
      <c r="AO117" s="65" t="s">
        <v>19</v>
      </c>
    </row>
    <row r="118" spans="1:41" ht="14.1" hidden="1" customHeight="1">
      <c r="A118" s="65" t="s">
        <v>20</v>
      </c>
      <c r="B118" s="246">
        <v>0.7862516129032262</v>
      </c>
      <c r="C118" s="246">
        <v>1.038385445967742</v>
      </c>
      <c r="D118" s="246">
        <v>0.83232294725806444</v>
      </c>
      <c r="E118" s="246">
        <v>0.21406533393119609</v>
      </c>
      <c r="F118" s="246">
        <v>0.12453621396397117</v>
      </c>
      <c r="G118" s="246">
        <v>0.13965639817343953</v>
      </c>
      <c r="H118" s="246">
        <v>0.10130711577203835</v>
      </c>
      <c r="I118" s="246">
        <v>1.2445317133870966</v>
      </c>
      <c r="J118" s="246">
        <v>6.3978098722799132E-3</v>
      </c>
      <c r="K118" s="246">
        <v>0.11700075845796377</v>
      </c>
      <c r="L118" s="246">
        <v>0.8604968837746817</v>
      </c>
      <c r="M118" s="246">
        <v>0.20887149490241849</v>
      </c>
      <c r="N118" s="246">
        <v>0.7925880820500707</v>
      </c>
      <c r="O118" s="246">
        <v>2.8248919777509456</v>
      </c>
      <c r="P118" s="246">
        <v>0.13822830467580205</v>
      </c>
      <c r="Q118" s="246">
        <v>0.25174023560035147</v>
      </c>
      <c r="R118" s="246">
        <v>0.62544659799176427</v>
      </c>
      <c r="S118" s="246">
        <v>0.44087402078212667</v>
      </c>
      <c r="T118" s="246">
        <v>0.95322901425361284</v>
      </c>
      <c r="U118" s="246">
        <v>9.6884083227364755E-3</v>
      </c>
      <c r="V118" s="246">
        <v>0.47559111115548552</v>
      </c>
      <c r="W118" s="246">
        <v>5.3191816474741404E-3</v>
      </c>
      <c r="X118" s="246">
        <v>1.6853892692497523E-2</v>
      </c>
      <c r="Y118" s="246">
        <v>6.634454297627998E-2</v>
      </c>
      <c r="Z118" s="246">
        <v>4.2890065859323701E-2</v>
      </c>
      <c r="AA118" s="246">
        <v>2.6816159716696243E-2</v>
      </c>
      <c r="AB118" s="246">
        <v>0.27596696660714992</v>
      </c>
      <c r="AC118" s="246">
        <v>9.7953390050566275E-2</v>
      </c>
      <c r="AD118" s="246">
        <v>1.5673554309392563E-2</v>
      </c>
      <c r="AE118" s="246">
        <v>0.20964527560495855</v>
      </c>
      <c r="AF118" s="246">
        <v>6.9954207480662042E-2</v>
      </c>
      <c r="AG118" s="247">
        <v>0.6477885782258066</v>
      </c>
      <c r="AH118" s="246">
        <v>4.210811092263176E-2</v>
      </c>
      <c r="AI118" s="247"/>
      <c r="AJ118" s="247"/>
      <c r="AK118" s="246"/>
      <c r="AL118" s="246"/>
      <c r="AM118" s="246"/>
      <c r="AN118" s="247"/>
      <c r="AO118" s="65" t="s">
        <v>20</v>
      </c>
    </row>
    <row r="119" spans="1:41" ht="14.1" hidden="1" customHeight="1">
      <c r="A119" s="65" t="s">
        <v>21</v>
      </c>
      <c r="B119" s="246">
        <v>0.78610666666666684</v>
      </c>
      <c r="C119" s="246">
        <v>1.0348822586666666</v>
      </c>
      <c r="D119" s="246">
        <v>0.81344755349999998</v>
      </c>
      <c r="E119" s="246">
        <v>0.21402373102434763</v>
      </c>
      <c r="F119" s="246">
        <v>0.12466474524821589</v>
      </c>
      <c r="G119" s="246">
        <v>0.13910948561867728</v>
      </c>
      <c r="H119" s="246">
        <v>0.10127116008078257</v>
      </c>
      <c r="I119" s="246">
        <v>1.2577053665</v>
      </c>
      <c r="J119" s="246">
        <v>6.3973540587481687E-3</v>
      </c>
      <c r="K119" s="246">
        <v>0.11673768616047796</v>
      </c>
      <c r="L119" s="246">
        <v>0.86077281561727681</v>
      </c>
      <c r="M119" s="246">
        <v>0.20976990066412085</v>
      </c>
      <c r="N119" s="246">
        <v>0.7916418277009184</v>
      </c>
      <c r="O119" s="246">
        <v>2.8263836410221228</v>
      </c>
      <c r="P119" s="246">
        <v>0.13657507521355697</v>
      </c>
      <c r="Q119" s="246">
        <v>0.24787863089867301</v>
      </c>
      <c r="R119" s="246">
        <v>0.62803617013765467</v>
      </c>
      <c r="S119" s="246">
        <v>0.43971510229796895</v>
      </c>
      <c r="T119" s="246">
        <v>0.96537366006566361</v>
      </c>
      <c r="U119" s="246">
        <v>9.760032593762508E-3</v>
      </c>
      <c r="V119" s="246">
        <v>0.48057503440188848</v>
      </c>
      <c r="W119" s="246">
        <v>5.3175895667814579E-3</v>
      </c>
      <c r="X119" s="246">
        <v>1.6795237503174867E-2</v>
      </c>
      <c r="Y119" s="246">
        <v>6.6801242953114612E-2</v>
      </c>
      <c r="Z119" s="246">
        <v>4.2482155754840246E-2</v>
      </c>
      <c r="AA119" s="246">
        <v>2.6677607453502068E-2</v>
      </c>
      <c r="AB119" s="246">
        <v>0.27577774198339416</v>
      </c>
      <c r="AC119" s="246">
        <v>9.7904567837305431E-2</v>
      </c>
      <c r="AD119" s="246">
        <v>1.5210287763138011E-2</v>
      </c>
      <c r="AE119" s="246">
        <v>0.2096161470498866</v>
      </c>
      <c r="AF119" s="246">
        <v>6.9207109949519355E-2</v>
      </c>
      <c r="AG119" s="248">
        <v>0.64316752666666643</v>
      </c>
      <c r="AH119" s="246">
        <v>4.1775965703699652E-2</v>
      </c>
      <c r="AI119" s="249"/>
      <c r="AJ119" s="248"/>
      <c r="AK119" s="246"/>
      <c r="AL119" s="247"/>
      <c r="AM119" s="246"/>
      <c r="AN119" s="248"/>
      <c r="AO119" s="65" t="s">
        <v>21</v>
      </c>
    </row>
    <row r="120" spans="1:41" ht="14.1" hidden="1" customHeight="1">
      <c r="A120" s="65" t="s">
        <v>22</v>
      </c>
      <c r="B120" s="246">
        <v>0.78591935483871</v>
      </c>
      <c r="C120" s="246">
        <v>1.007432748870968</v>
      </c>
      <c r="D120" s="246">
        <v>0.78459767387096779</v>
      </c>
      <c r="E120" s="246">
        <v>0.21397158436005512</v>
      </c>
      <c r="F120" s="246">
        <v>0.12425413149449401</v>
      </c>
      <c r="G120" s="246">
        <v>0.13551786373126018</v>
      </c>
      <c r="H120" s="246">
        <v>0.10123210205293058</v>
      </c>
      <c r="I120" s="246">
        <v>1.2524251064516128</v>
      </c>
      <c r="J120" s="246">
        <v>6.393889742877374E-3</v>
      </c>
      <c r="K120" s="246">
        <v>0.11196938640165054</v>
      </c>
      <c r="L120" s="246">
        <v>0.83857742739023788</v>
      </c>
      <c r="M120" s="246">
        <v>0.20561433100218421</v>
      </c>
      <c r="N120" s="246">
        <v>0.77899974900236368</v>
      </c>
      <c r="O120" s="246">
        <v>2.8178175361613897</v>
      </c>
      <c r="P120" s="246">
        <v>0.13304085158295009</v>
      </c>
      <c r="Q120" s="246">
        <v>0.23522916134101929</v>
      </c>
      <c r="R120" s="246">
        <v>0.6230058410824123</v>
      </c>
      <c r="S120" s="246">
        <v>0.43513175214746513</v>
      </c>
      <c r="T120" s="246">
        <v>0.98512161068124016</v>
      </c>
      <c r="U120" s="246">
        <v>9.6283916119703165E-3</v>
      </c>
      <c r="V120" s="246">
        <v>0.48353585136528981</v>
      </c>
      <c r="W120" s="246">
        <v>5.3146186224136598E-3</v>
      </c>
      <c r="X120" s="246">
        <v>1.670185357785994E-2</v>
      </c>
      <c r="Y120" s="246">
        <v>6.6252075063870486E-2</v>
      </c>
      <c r="Z120" s="246">
        <v>4.2218309559477134E-2</v>
      </c>
      <c r="AA120" s="246">
        <v>2.5594518087405364E-2</v>
      </c>
      <c r="AB120" s="246">
        <v>0.27514056053713853</v>
      </c>
      <c r="AC120" s="246">
        <v>9.7666242180402846E-2</v>
      </c>
      <c r="AD120" s="246">
        <v>1.4460310403932662E-2</v>
      </c>
      <c r="AE120" s="246">
        <v>0.20956245070408927</v>
      </c>
      <c r="AF120" s="246">
        <v>6.7933231297278074E-2</v>
      </c>
      <c r="AG120" s="249">
        <v>0.60907651612903235</v>
      </c>
      <c r="AH120" s="246">
        <v>3.9857962289529453E-2</v>
      </c>
      <c r="AI120" s="249"/>
      <c r="AJ120" s="249"/>
      <c r="AK120" s="246"/>
      <c r="AL120" s="247"/>
      <c r="AM120" s="246"/>
      <c r="AN120" s="249"/>
      <c r="AO120" s="65" t="s">
        <v>22</v>
      </c>
    </row>
    <row r="121" spans="1:41" ht="14.1" hidden="1" customHeight="1">
      <c r="A121" s="65" t="s">
        <v>23</v>
      </c>
      <c r="B121" s="246">
        <v>0.78573666666666631</v>
      </c>
      <c r="C121" s="246">
        <v>0.98508731716666675</v>
      </c>
      <c r="D121" s="246">
        <v>0.7825830185</v>
      </c>
      <c r="E121" s="246">
        <v>0.21392590768129899</v>
      </c>
      <c r="F121" s="246">
        <v>0.12344278149883695</v>
      </c>
      <c r="G121" s="246">
        <v>0.13253634815458371</v>
      </c>
      <c r="H121" s="246">
        <v>0.10126823466124948</v>
      </c>
      <c r="I121" s="246">
        <v>1.2211263501666669</v>
      </c>
      <c r="J121" s="246">
        <v>6.3981853738784471E-3</v>
      </c>
      <c r="K121" s="246">
        <v>0.11100481761472886</v>
      </c>
      <c r="L121" s="246">
        <v>0.82010625220954803</v>
      </c>
      <c r="M121" s="246">
        <v>0.2020440510260437</v>
      </c>
      <c r="N121" s="246">
        <v>0.76413588014785916</v>
      </c>
      <c r="O121" s="246">
        <v>2.8039073952793272</v>
      </c>
      <c r="P121" s="246">
        <v>0.13063851569599796</v>
      </c>
      <c r="Q121" s="246">
        <v>0.22881206879299534</v>
      </c>
      <c r="R121" s="246">
        <v>0.61425129017545399</v>
      </c>
      <c r="S121" s="246">
        <v>0.43085740262914285</v>
      </c>
      <c r="T121" s="246">
        <v>0.99030224550654167</v>
      </c>
      <c r="U121" s="246">
        <v>9.461957519735241E-3</v>
      </c>
      <c r="V121" s="246">
        <v>0.48098824581552735</v>
      </c>
      <c r="W121" s="246">
        <v>5.2781626791884471E-3</v>
      </c>
      <c r="X121" s="246">
        <v>1.6647720479979707E-2</v>
      </c>
      <c r="Y121" s="246">
        <v>6.4996763594690185E-2</v>
      </c>
      <c r="Z121" s="246">
        <v>4.1867557840359872E-2</v>
      </c>
      <c r="AA121" s="246">
        <v>2.3905344160899754E-2</v>
      </c>
      <c r="AB121" s="246">
        <v>0.27519681180576278</v>
      </c>
      <c r="AC121" s="246">
        <v>9.7209988098241273E-2</v>
      </c>
      <c r="AD121" s="246">
        <v>1.4038413957902E-2</v>
      </c>
      <c r="AE121" s="246">
        <v>0.20951040967742604</v>
      </c>
      <c r="AF121" s="246">
        <v>6.7428759627632839E-2</v>
      </c>
      <c r="AG121" s="249">
        <v>0.61063495133333323</v>
      </c>
      <c r="AH121" s="246">
        <v>3.8471583324120838E-2</v>
      </c>
      <c r="AI121" s="249"/>
      <c r="AJ121" s="249"/>
      <c r="AK121" s="246"/>
      <c r="AL121" s="247"/>
      <c r="AM121" s="246"/>
      <c r="AN121" s="249"/>
      <c r="AO121" s="65" t="s">
        <v>23</v>
      </c>
    </row>
    <row r="122" spans="1:41" ht="14.1" hidden="1" customHeight="1">
      <c r="A122" s="65" t="s">
        <v>24</v>
      </c>
      <c r="B122" s="246">
        <v>0.78560516129032232</v>
      </c>
      <c r="C122" s="246">
        <v>0.96699508714516136</v>
      </c>
      <c r="D122" s="246">
        <v>0.80851727640322579</v>
      </c>
      <c r="E122" s="246">
        <v>0.21388810963289431</v>
      </c>
      <c r="F122" s="246">
        <v>0.12330352144095535</v>
      </c>
      <c r="G122" s="246">
        <v>0.13000242111162755</v>
      </c>
      <c r="H122" s="246">
        <v>0.10129336244422757</v>
      </c>
      <c r="I122" s="246">
        <v>1.2250211029516129</v>
      </c>
      <c r="J122" s="246">
        <v>6.3928711527985157E-3</v>
      </c>
      <c r="K122" s="246">
        <v>0.11301023979940844</v>
      </c>
      <c r="L122" s="246">
        <v>0.80508963754806984</v>
      </c>
      <c r="M122" s="246">
        <v>0.19707057859000257</v>
      </c>
      <c r="N122" s="246">
        <v>0.77449029385195478</v>
      </c>
      <c r="O122" s="246">
        <v>2.7911785659427624</v>
      </c>
      <c r="P122" s="246">
        <v>0.12968936590266789</v>
      </c>
      <c r="Q122" s="246">
        <v>0.23096220937238246</v>
      </c>
      <c r="R122" s="246">
        <v>0.62253076123117124</v>
      </c>
      <c r="S122" s="246">
        <v>0.43366940569813239</v>
      </c>
      <c r="T122" s="246">
        <v>0.99417194221419558</v>
      </c>
      <c r="U122" s="246">
        <v>9.4327930250289373E-3</v>
      </c>
      <c r="V122" s="246">
        <v>0.47536879671127541</v>
      </c>
      <c r="W122" s="246">
        <v>5.2452509946304916E-3</v>
      </c>
      <c r="X122" s="246">
        <v>1.6647979010473501E-2</v>
      </c>
      <c r="Y122" s="246">
        <v>6.3503882409466292E-2</v>
      </c>
      <c r="Z122" s="246">
        <v>4.1483761805890029E-2</v>
      </c>
      <c r="AA122" s="246">
        <v>2.4195439550918005E-2</v>
      </c>
      <c r="AB122" s="246">
        <v>0.2750243106556477</v>
      </c>
      <c r="AC122" s="246">
        <v>9.7183076109854022E-2</v>
      </c>
      <c r="AD122" s="246">
        <v>1.4160209493285152E-2</v>
      </c>
      <c r="AE122" s="246">
        <v>0.20948335723503414</v>
      </c>
      <c r="AF122" s="246">
        <v>6.8761175345029901E-2</v>
      </c>
      <c r="AG122" s="249">
        <v>0.62732102606451601</v>
      </c>
      <c r="AH122" s="246">
        <v>3.79807459033146E-2</v>
      </c>
      <c r="AI122" s="249"/>
      <c r="AJ122" s="249"/>
      <c r="AK122" s="246"/>
      <c r="AL122" s="247"/>
      <c r="AM122" s="246"/>
      <c r="AN122" s="249"/>
      <c r="AO122" s="65" t="s">
        <v>24</v>
      </c>
    </row>
    <row r="123" spans="1:41" ht="14.1" hidden="1" customHeight="1">
      <c r="A123" s="65" t="s">
        <v>25</v>
      </c>
      <c r="B123" s="246">
        <v>0.78543870967741902</v>
      </c>
      <c r="C123" s="246">
        <v>0.97242083548387104</v>
      </c>
      <c r="D123" s="246">
        <v>0.82268528129032259</v>
      </c>
      <c r="E123" s="246">
        <v>0.21384269754908738</v>
      </c>
      <c r="F123" s="246">
        <v>0.12346192362832423</v>
      </c>
      <c r="G123" s="246">
        <v>0.13060969859406765</v>
      </c>
      <c r="H123" s="246">
        <v>0.10126876227273847</v>
      </c>
      <c r="I123" s="246">
        <v>1.2329888049999997</v>
      </c>
      <c r="J123" s="246">
        <v>6.4045714294174967E-3</v>
      </c>
      <c r="K123" s="246">
        <v>0.11732823943479949</v>
      </c>
      <c r="L123" s="246">
        <v>0.80958348493108878</v>
      </c>
      <c r="M123" s="246">
        <v>0.19569656482754122</v>
      </c>
      <c r="N123" s="246">
        <v>0.79021777456141939</v>
      </c>
      <c r="O123" s="246">
        <v>2.7837894824687868</v>
      </c>
      <c r="P123" s="246">
        <v>0.13263206358995547</v>
      </c>
      <c r="Q123" s="246">
        <v>0.23791348644960872</v>
      </c>
      <c r="R123" s="246">
        <v>0.62908128104031402</v>
      </c>
      <c r="S123" s="246">
        <v>0.43746058285215222</v>
      </c>
      <c r="T123" s="246">
        <v>0.99850572974162854</v>
      </c>
      <c r="U123" s="246">
        <v>9.4259394900897547E-3</v>
      </c>
      <c r="V123" s="246">
        <v>0.47690270084849512</v>
      </c>
      <c r="W123" s="246">
        <v>5.2523054838797259E-3</v>
      </c>
      <c r="X123" s="246">
        <v>1.673240849755606E-2</v>
      </c>
      <c r="Y123" s="246">
        <v>6.291408629130589E-2</v>
      </c>
      <c r="Z123" s="246">
        <v>4.1076554223168603E-2</v>
      </c>
      <c r="AA123" s="246">
        <v>2.4597665364902516E-2</v>
      </c>
      <c r="AB123" s="246">
        <v>0.27556757856769348</v>
      </c>
      <c r="AC123" s="246">
        <v>9.6928653675393356E-2</v>
      </c>
      <c r="AD123" s="246">
        <v>1.4127069401720479E-2</v>
      </c>
      <c r="AE123" s="246">
        <v>0.20943789146703851</v>
      </c>
      <c r="AF123" s="246">
        <v>6.9391337455610339E-2</v>
      </c>
      <c r="AG123" s="249">
        <v>0.63649816677419357</v>
      </c>
      <c r="AH123" s="246">
        <v>3.8869923928571228E-2</v>
      </c>
      <c r="AI123" s="249"/>
      <c r="AJ123" s="249"/>
      <c r="AK123" s="246"/>
      <c r="AL123" s="247"/>
      <c r="AM123" s="246"/>
      <c r="AN123" s="249"/>
      <c r="AO123" s="65" t="s">
        <v>25</v>
      </c>
    </row>
    <row r="124" spans="1:41" ht="14.1" hidden="1" customHeight="1">
      <c r="A124" s="65" t="s">
        <v>26</v>
      </c>
      <c r="B124" s="246">
        <v>0.78526666666666634</v>
      </c>
      <c r="C124" s="246">
        <v>1.0086856391666668</v>
      </c>
      <c r="D124" s="246">
        <v>0.81696921550000035</v>
      </c>
      <c r="E124" s="246">
        <v>0.21379493748376177</v>
      </c>
      <c r="F124" s="246">
        <v>0.12420580001982476</v>
      </c>
      <c r="G124" s="246">
        <v>0.1353248586916575</v>
      </c>
      <c r="H124" s="246">
        <v>0.10126948386823527</v>
      </c>
      <c r="I124" s="246">
        <v>1.2640948663333336</v>
      </c>
      <c r="J124" s="246">
        <v>6.4013741764797913E-3</v>
      </c>
      <c r="K124" s="246">
        <v>0.11891165796788843</v>
      </c>
      <c r="L124" s="246">
        <v>0.83456284039925344</v>
      </c>
      <c r="M124" s="246">
        <v>0.19888827697684328</v>
      </c>
      <c r="N124" s="246">
        <v>0.80249729587975527</v>
      </c>
      <c r="O124" s="246">
        <v>2.793131079697325</v>
      </c>
      <c r="P124" s="246">
        <v>0.13649965823983776</v>
      </c>
      <c r="Q124" s="246">
        <v>0.24415536270180871</v>
      </c>
      <c r="R124" s="246">
        <v>0.63722493756675036</v>
      </c>
      <c r="S124" s="246">
        <v>0.43571674145606926</v>
      </c>
      <c r="T124" s="246">
        <v>1.0046122121569927</v>
      </c>
      <c r="U124" s="246">
        <v>9.3152247733647546E-3</v>
      </c>
      <c r="V124" s="246">
        <v>0.47472026394678585</v>
      </c>
      <c r="W124" s="246">
        <v>5.24200265981206E-3</v>
      </c>
      <c r="X124" s="246">
        <v>1.6723298631663757E-2</v>
      </c>
      <c r="Y124" s="246">
        <v>6.33161717500242E-2</v>
      </c>
      <c r="Z124" s="246">
        <v>4.0674516431071714E-2</v>
      </c>
      <c r="AA124" s="246">
        <v>2.4960374348124415E-2</v>
      </c>
      <c r="AB124" s="246">
        <v>0.27566662728897851</v>
      </c>
      <c r="AC124" s="246">
        <v>9.661837616570533E-2</v>
      </c>
      <c r="AD124" s="246">
        <v>1.4397715171153477E-2</v>
      </c>
      <c r="AE124" s="246">
        <v>0.20939504495717223</v>
      </c>
      <c r="AF124" s="246">
        <v>6.9906134965897662E-2</v>
      </c>
      <c r="AG124" s="249">
        <v>0.64297507683333299</v>
      </c>
      <c r="AH124" s="246">
        <v>4.0749168337503541E-2</v>
      </c>
      <c r="AI124" s="249"/>
      <c r="AJ124" s="249"/>
      <c r="AK124" s="246"/>
      <c r="AL124" s="247"/>
      <c r="AM124" s="246"/>
      <c r="AN124" s="249"/>
      <c r="AO124" s="65" t="s">
        <v>26</v>
      </c>
    </row>
    <row r="125" spans="1:41" ht="14.1" hidden="1" customHeight="1">
      <c r="A125" s="65" t="s">
        <v>27</v>
      </c>
      <c r="B125" s="246">
        <v>0.78507419354838714</v>
      </c>
      <c r="C125" s="246">
        <v>1.0184780141935486</v>
      </c>
      <c r="D125" s="246">
        <v>0.80837436096774229</v>
      </c>
      <c r="E125" s="246">
        <v>0.21374345493691177</v>
      </c>
      <c r="F125" s="246">
        <v>0.12530781582657452</v>
      </c>
      <c r="G125" s="246">
        <v>0.13655450611823733</v>
      </c>
      <c r="H125" s="246">
        <v>0.10127664985027504</v>
      </c>
      <c r="I125" s="246">
        <v>1.2606623774193548</v>
      </c>
      <c r="J125" s="246">
        <v>6.383107696541877E-3</v>
      </c>
      <c r="K125" s="246">
        <v>0.11826439411716889</v>
      </c>
      <c r="L125" s="246">
        <v>0.84176385171074319</v>
      </c>
      <c r="M125" s="246">
        <v>0.20361506710042288</v>
      </c>
      <c r="N125" s="246">
        <v>0.79661915715551201</v>
      </c>
      <c r="O125" s="246">
        <v>2.7938321835636653</v>
      </c>
      <c r="P125" s="246">
        <v>0.13760069340829864</v>
      </c>
      <c r="Q125" s="246">
        <v>0.24817646054190537</v>
      </c>
      <c r="R125" s="246">
        <v>0.64130199780284891</v>
      </c>
      <c r="S125" s="246">
        <v>0.4356667362187735</v>
      </c>
      <c r="T125" s="246">
        <v>0.99458481564960532</v>
      </c>
      <c r="U125" s="246">
        <v>9.2045676785469134E-3</v>
      </c>
      <c r="V125" s="246">
        <v>0.47284763235081689</v>
      </c>
      <c r="W125" s="246">
        <v>5.2193966418581719E-3</v>
      </c>
      <c r="X125" s="246">
        <v>1.6677607556387818E-2</v>
      </c>
      <c r="Y125" s="246">
        <v>6.4162239322638301E-2</v>
      </c>
      <c r="Z125" s="246">
        <v>4.0336076657176499E-2</v>
      </c>
      <c r="AA125" s="246">
        <v>2.523336170775297E-2</v>
      </c>
      <c r="AB125" s="246">
        <v>0.27543112377625145</v>
      </c>
      <c r="AC125" s="246">
        <v>9.6335974952474396E-2</v>
      </c>
      <c r="AD125" s="246">
        <v>1.481513715141281E-2</v>
      </c>
      <c r="AE125" s="246">
        <v>0.20934699562680381</v>
      </c>
      <c r="AF125" s="246">
        <v>7.092113570128418E-2</v>
      </c>
      <c r="AG125" s="249">
        <v>0.64311015225806445</v>
      </c>
      <c r="AH125" s="246">
        <v>4.0876057948949496E-2</v>
      </c>
      <c r="AI125" s="249"/>
      <c r="AJ125" s="249"/>
      <c r="AK125" s="246"/>
      <c r="AL125" s="247"/>
      <c r="AM125" s="246"/>
      <c r="AN125" s="249"/>
      <c r="AO125" s="65" t="s">
        <v>27</v>
      </c>
    </row>
    <row r="126" spans="1:41" ht="14.1" hidden="1" customHeight="1">
      <c r="A126" s="65" t="s">
        <v>28</v>
      </c>
      <c r="B126" s="246">
        <v>0.784876666666667</v>
      </c>
      <c r="C126" s="246">
        <v>1.0073706666666669</v>
      </c>
      <c r="D126" s="246">
        <v>0.81637902250000016</v>
      </c>
      <c r="E126" s="246">
        <v>0.21368972649882911</v>
      </c>
      <c r="F126" s="246">
        <v>0.12590220136156394</v>
      </c>
      <c r="G126" s="246">
        <v>0.1350579116310896</v>
      </c>
      <c r="H126" s="246">
        <v>0.10126600344830615</v>
      </c>
      <c r="I126" s="246">
        <v>1.2536391193333332</v>
      </c>
      <c r="J126" s="246">
        <v>6.3771030126280066E-3</v>
      </c>
      <c r="K126" s="246">
        <v>0.11704658295567819</v>
      </c>
      <c r="L126" s="246">
        <v>0.83561042083647563</v>
      </c>
      <c r="M126" s="246">
        <v>0.20124865973502573</v>
      </c>
      <c r="N126" s="246">
        <v>0.78718272517714849</v>
      </c>
      <c r="O126" s="246">
        <v>2.783801571778326</v>
      </c>
      <c r="P126" s="246">
        <v>0.13719945748982551</v>
      </c>
      <c r="Q126" s="246">
        <v>0.24385878607535935</v>
      </c>
      <c r="R126" s="246">
        <v>0.64137906020239677</v>
      </c>
      <c r="S126" s="246">
        <v>0.43759208807813654</v>
      </c>
      <c r="T126" s="246">
        <v>0.97013777757805941</v>
      </c>
      <c r="U126" s="246">
        <v>9.1881563860827329E-3</v>
      </c>
      <c r="V126" s="246">
        <v>0.47254813866141243</v>
      </c>
      <c r="W126" s="246">
        <v>5.2146170917972169E-3</v>
      </c>
      <c r="X126" s="246">
        <v>1.6608787454632911E-2</v>
      </c>
      <c r="Y126" s="246">
        <v>6.3631976122118974E-2</v>
      </c>
      <c r="Z126" s="246">
        <v>3.9995861302035099E-2</v>
      </c>
      <c r="AA126" s="246">
        <v>2.5000934841574389E-2</v>
      </c>
      <c r="AB126" s="246">
        <v>0.27511253059528673</v>
      </c>
      <c r="AC126" s="246">
        <v>9.5981938255138427E-2</v>
      </c>
      <c r="AD126" s="246">
        <v>1.4327395093374653E-2</v>
      </c>
      <c r="AE126" s="246">
        <v>0.20928974758292099</v>
      </c>
      <c r="AF126" s="246">
        <v>7.2158604215174588E-2</v>
      </c>
      <c r="AG126" s="249">
        <v>0.64279179216666693</v>
      </c>
      <c r="AH126" s="246">
        <v>3.9729387800357882E-2</v>
      </c>
      <c r="AI126" s="249"/>
      <c r="AJ126" s="249"/>
      <c r="AK126" s="246"/>
      <c r="AL126" s="247"/>
      <c r="AM126" s="246"/>
      <c r="AN126" s="249"/>
      <c r="AO126" s="65" t="s">
        <v>28</v>
      </c>
    </row>
    <row r="127" spans="1:41" ht="14.1" hidden="1" customHeight="1">
      <c r="A127" s="65" t="s">
        <v>29</v>
      </c>
      <c r="B127" s="246">
        <v>0.78483225806451629</v>
      </c>
      <c r="C127" s="246">
        <v>1.028875314032258</v>
      </c>
      <c r="D127" s="246">
        <v>0.82067120693548379</v>
      </c>
      <c r="E127" s="246">
        <v>0.2136764597785632</v>
      </c>
      <c r="F127" s="246">
        <v>0.12593888636395786</v>
      </c>
      <c r="G127" s="246">
        <v>0.137911035187402</v>
      </c>
      <c r="H127" s="246">
        <v>0.10126383113625073</v>
      </c>
      <c r="I127" s="246">
        <v>1.2662234248387094</v>
      </c>
      <c r="J127" s="246">
        <v>6.3762812146989948E-3</v>
      </c>
      <c r="K127" s="246">
        <v>0.11888808838265111</v>
      </c>
      <c r="L127" s="246">
        <v>0.85155215802028361</v>
      </c>
      <c r="M127" s="246">
        <v>0.20757015683446325</v>
      </c>
      <c r="N127" s="246">
        <v>0.7925994154089725</v>
      </c>
      <c r="O127" s="246">
        <v>2.7895609161307759</v>
      </c>
      <c r="P127" s="246">
        <v>0.13966715094571397</v>
      </c>
      <c r="Q127" s="246">
        <v>0.25129266886799273</v>
      </c>
      <c r="R127" s="246">
        <v>0.64267971039551652</v>
      </c>
      <c r="S127" s="246">
        <v>0.43910645539370347</v>
      </c>
      <c r="T127" s="246">
        <v>0.93707826990451204</v>
      </c>
      <c r="U127" s="246">
        <v>9.1631768977365174E-3</v>
      </c>
      <c r="V127" s="246">
        <v>0.47296443524401643</v>
      </c>
      <c r="W127" s="246">
        <v>5.2170190602092653E-3</v>
      </c>
      <c r="X127" s="246">
        <v>1.6562009445235934E-2</v>
      </c>
      <c r="Y127" s="246">
        <v>6.4456727100771438E-2</v>
      </c>
      <c r="Z127" s="246">
        <v>3.9701512621614504E-2</v>
      </c>
      <c r="AA127" s="246">
        <v>2.554130236143087E-2</v>
      </c>
      <c r="AB127" s="246">
        <v>0.27527791984438627</v>
      </c>
      <c r="AC127" s="246">
        <v>9.6748325691069739E-2</v>
      </c>
      <c r="AD127" s="246">
        <v>1.4359888144489984E-2</v>
      </c>
      <c r="AE127" s="246">
        <v>0.20927618026393729</v>
      </c>
      <c r="AF127" s="246">
        <v>7.2937742980184461E-2</v>
      </c>
      <c r="AG127" s="249">
        <v>0.65161472370967755</v>
      </c>
      <c r="AH127" s="246">
        <v>4.0294676318086149E-2</v>
      </c>
      <c r="AI127" s="249"/>
      <c r="AJ127" s="249"/>
      <c r="AK127" s="246"/>
      <c r="AL127" s="247"/>
      <c r="AM127" s="246"/>
      <c r="AN127" s="249"/>
      <c r="AO127" s="65" t="s">
        <v>29</v>
      </c>
    </row>
    <row r="128" spans="1:41" ht="14.1" customHeight="1">
      <c r="A128" s="65" t="s">
        <v>1410</v>
      </c>
      <c r="B128" s="247">
        <f>AVERAGE(B129:B140)</f>
        <v>0.7845465143369178</v>
      </c>
      <c r="C128" s="247">
        <f t="shared" ref="C128:AD128" si="0">AVERAGE(C129:C140)</f>
        <v>1.0422336173697515</v>
      </c>
      <c r="D128" s="247">
        <f t="shared" si="0"/>
        <v>0.75942420806057997</v>
      </c>
      <c r="E128" s="247">
        <f t="shared" si="0"/>
        <v>0.21359874411916524</v>
      </c>
      <c r="F128" s="247">
        <f t="shared" si="0"/>
        <v>0.12760433608145547</v>
      </c>
      <c r="G128" s="247">
        <f t="shared" si="0"/>
        <v>0.13974621191473921</v>
      </c>
      <c r="H128" s="247">
        <f t="shared" si="0"/>
        <v>0.10114531042059173</v>
      </c>
      <c r="I128" s="247">
        <f t="shared" si="0"/>
        <v>1.22773748587644</v>
      </c>
      <c r="J128" s="247">
        <f t="shared" si="0"/>
        <v>5.2805917564734449E-3</v>
      </c>
      <c r="K128" s="247">
        <f t="shared" si="0"/>
        <v>0.12047955259314906</v>
      </c>
      <c r="L128" s="247">
        <f t="shared" si="0"/>
        <v>0.84680041281999596</v>
      </c>
      <c r="M128" s="247">
        <f t="shared" si="0"/>
        <v>0.21737991708407953</v>
      </c>
      <c r="N128" s="247">
        <f t="shared" si="0"/>
        <v>0.76199413355812229</v>
      </c>
      <c r="O128" s="247">
        <f t="shared" si="0"/>
        <v>2.7643749377535047</v>
      </c>
      <c r="P128" s="247">
        <f t="shared" si="0"/>
        <v>0.13367851256154958</v>
      </c>
      <c r="Q128" s="247">
        <f t="shared" si="0"/>
        <v>0.24844913647831898</v>
      </c>
      <c r="R128" s="247">
        <f t="shared" si="0"/>
        <v>0.62713820361881756</v>
      </c>
      <c r="S128" s="247">
        <f t="shared" si="0"/>
        <v>0.41317508302971967</v>
      </c>
      <c r="T128" s="247">
        <f t="shared" si="0"/>
        <v>0.80558834507580224</v>
      </c>
      <c r="U128" s="247">
        <f t="shared" si="0"/>
        <v>8.8474329500962245E-3</v>
      </c>
      <c r="V128" s="247">
        <f t="shared" si="0"/>
        <v>0.47179419116042376</v>
      </c>
      <c r="W128" s="247">
        <f t="shared" si="0"/>
        <v>5.1562908216118445E-3</v>
      </c>
      <c r="X128" s="247">
        <f t="shared" si="0"/>
        <v>1.6322975221843582E-2</v>
      </c>
      <c r="Y128" s="247">
        <f t="shared" si="0"/>
        <v>6.3022448992718652E-2</v>
      </c>
      <c r="Z128" s="247">
        <f t="shared" si="0"/>
        <v>3.7744854363119411E-2</v>
      </c>
      <c r="AA128" s="247">
        <f t="shared" si="0"/>
        <v>2.4659677731157941E-2</v>
      </c>
      <c r="AB128" s="247">
        <f t="shared" si="0"/>
        <v>0.27506468595122346</v>
      </c>
      <c r="AC128" s="247">
        <f t="shared" si="0"/>
        <v>9.6211697302232682E-2</v>
      </c>
      <c r="AD128" s="247">
        <f t="shared" si="0"/>
        <v>1.3462958386332246E-2</v>
      </c>
      <c r="AE128" s="247">
        <f t="shared" ref="AE128:AF128" si="1">AVERAGE(AE129:AE140)</f>
        <v>0.20919464660068163</v>
      </c>
      <c r="AF128" s="247">
        <f t="shared" si="1"/>
        <v>7.1713762269946274E-2</v>
      </c>
      <c r="AG128" s="247">
        <f t="shared" ref="AG128" si="2">AVERAGE(AG129:AG140)</f>
        <v>0.64336590499059143</v>
      </c>
      <c r="AH128" s="247">
        <v>4.0155716181889692E-2</v>
      </c>
      <c r="AI128" s="247"/>
      <c r="AJ128" s="247"/>
      <c r="AK128" s="247"/>
      <c r="AL128" s="247"/>
      <c r="AM128" s="247"/>
      <c r="AN128" s="247"/>
      <c r="AO128" s="65" t="s">
        <v>1410</v>
      </c>
    </row>
    <row r="129" spans="1:41" ht="14.1" hidden="1" customHeight="1">
      <c r="A129" s="65" t="s">
        <v>18</v>
      </c>
      <c r="B129" s="231">
        <v>0.78479354838709714</v>
      </c>
      <c r="C129" s="231">
        <v>1.0435831493548384</v>
      </c>
      <c r="D129" s="231">
        <v>0.82258757370967728</v>
      </c>
      <c r="E129" s="231">
        <v>0.21366601486775147</v>
      </c>
      <c r="F129" s="231">
        <v>0.1261409756250424</v>
      </c>
      <c r="G129" s="231">
        <v>0.13985831644636632</v>
      </c>
      <c r="H129" s="231">
        <v>0.10122309932866626</v>
      </c>
      <c r="I129" s="231">
        <v>1.2547349045161289</v>
      </c>
      <c r="J129" s="231">
        <v>6.3920192828283073E-3</v>
      </c>
      <c r="K129" s="231">
        <v>0.12086926394013441</v>
      </c>
      <c r="L129" s="231">
        <v>0.84954714678721799</v>
      </c>
      <c r="M129" s="231">
        <v>0.21013186446184992</v>
      </c>
      <c r="N129" s="231">
        <v>0.79038717796045277</v>
      </c>
      <c r="O129" s="231">
        <v>2.7863074795002083</v>
      </c>
      <c r="P129" s="231">
        <v>0.14112273777379811</v>
      </c>
      <c r="Q129" s="231">
        <v>0.25287645490188243</v>
      </c>
      <c r="R129" s="231">
        <v>0.63934964061118837</v>
      </c>
      <c r="S129" s="231">
        <v>0.44264991625274275</v>
      </c>
      <c r="T129" s="231">
        <v>0.88481797147429309</v>
      </c>
      <c r="U129" s="231">
        <v>9.1106242778640385E-3</v>
      </c>
      <c r="V129" s="231">
        <v>0.47374610310123377</v>
      </c>
      <c r="W129" s="231">
        <v>5.2071055669413169E-3</v>
      </c>
      <c r="X129" s="231">
        <v>1.6526487555949248E-2</v>
      </c>
      <c r="Y129" s="231">
        <v>6.4722962645600235E-2</v>
      </c>
      <c r="Z129" s="231">
        <v>3.9463258320047115E-2</v>
      </c>
      <c r="AA129" s="231">
        <v>2.5947612508132753E-2</v>
      </c>
      <c r="AB129" s="231">
        <v>0.27537789803230617</v>
      </c>
      <c r="AC129" s="231">
        <v>9.6820318480980549E-2</v>
      </c>
      <c r="AD129" s="231">
        <v>1.4453541245375784E-2</v>
      </c>
      <c r="AE129" s="231">
        <v>0.20926567865152185</v>
      </c>
      <c r="AF129" s="231">
        <v>7.3640599546331301E-2</v>
      </c>
      <c r="AG129" s="230">
        <v>0.65495771870967767</v>
      </c>
      <c r="AH129" s="231">
        <v>4.0929631266396829E-2</v>
      </c>
      <c r="AI129" s="230"/>
      <c r="AJ129" s="230"/>
      <c r="AK129" s="231"/>
      <c r="AL129" s="231"/>
      <c r="AM129" s="231"/>
      <c r="AN129" s="230"/>
      <c r="AO129" s="65" t="s">
        <v>18</v>
      </c>
    </row>
    <row r="130" spans="1:41" ht="14.1" hidden="1" customHeight="1">
      <c r="A130" s="65" t="s">
        <v>19</v>
      </c>
      <c r="B130" s="231">
        <v>0.78470000000000029</v>
      </c>
      <c r="C130" s="231">
        <v>1.0494240385714284</v>
      </c>
      <c r="D130" s="231">
        <v>0.81015455267857139</v>
      </c>
      <c r="E130" s="231">
        <v>0.21363882978778495</v>
      </c>
      <c r="F130" s="231">
        <v>0.125888492348109</v>
      </c>
      <c r="G130" s="231">
        <v>0.14067383547339468</v>
      </c>
      <c r="H130" s="231">
        <v>0.10117706057400955</v>
      </c>
      <c r="I130" s="231">
        <v>1.2187495826785713</v>
      </c>
      <c r="J130" s="231">
        <v>6.383832117636018E-3</v>
      </c>
      <c r="K130" s="231">
        <v>0.12313778806639065</v>
      </c>
      <c r="L130" s="231">
        <v>0.85270587395604946</v>
      </c>
      <c r="M130" s="231">
        <v>0.21243418285493004</v>
      </c>
      <c r="N130" s="231">
        <v>0.77954163277452004</v>
      </c>
      <c r="O130" s="231">
        <v>2.7814412524137042</v>
      </c>
      <c r="P130" s="231">
        <v>0.14129843649519686</v>
      </c>
      <c r="Q130" s="231">
        <v>0.25147608144203121</v>
      </c>
      <c r="R130" s="231">
        <v>0.63354263155060508</v>
      </c>
      <c r="S130" s="231">
        <v>0.44191436806048168</v>
      </c>
      <c r="T130" s="231">
        <v>0.84369785348942317</v>
      </c>
      <c r="U130" s="231">
        <v>9.1017080473356996E-3</v>
      </c>
      <c r="V130" s="231">
        <v>0.47421366574486112</v>
      </c>
      <c r="W130" s="231">
        <v>5.2144271088261614E-3</v>
      </c>
      <c r="X130" s="231">
        <v>1.6410387328353399E-2</v>
      </c>
      <c r="Y130" s="231">
        <v>6.4857929271549528E-2</v>
      </c>
      <c r="Z130" s="231">
        <v>3.9054800718806557E-2</v>
      </c>
      <c r="AA130" s="231">
        <v>2.5989621052510663E-2</v>
      </c>
      <c r="AB130" s="231">
        <v>0.27524625621915166</v>
      </c>
      <c r="AC130" s="231">
        <v>9.6546663439868619E-2</v>
      </c>
      <c r="AD130" s="231">
        <v>1.4588814649041101E-2</v>
      </c>
      <c r="AE130" s="231">
        <v>0.20923858703604906</v>
      </c>
      <c r="AF130" s="231">
        <v>7.2193991571862903E-2</v>
      </c>
      <c r="AG130" s="230">
        <v>0.65900327250000024</v>
      </c>
      <c r="AH130" s="231">
        <v>4.1242054954393599E-2</v>
      </c>
      <c r="AI130" s="230"/>
      <c r="AJ130" s="230"/>
      <c r="AK130" s="231"/>
      <c r="AL130" s="231"/>
      <c r="AM130" s="231"/>
      <c r="AN130" s="230"/>
      <c r="AO130" s="65" t="s">
        <v>19</v>
      </c>
    </row>
    <row r="131" spans="1:41" ht="14.1" hidden="1" customHeight="1">
      <c r="A131" s="65" t="s">
        <v>20</v>
      </c>
      <c r="B131" s="231">
        <v>0.78483548387096813</v>
      </c>
      <c r="C131" s="231">
        <v>1.0178988890322584</v>
      </c>
      <c r="D131" s="231">
        <v>0.81081328435483879</v>
      </c>
      <c r="E131" s="231">
        <v>0.21367696260496316</v>
      </c>
      <c r="F131" s="231">
        <v>0.1262432847593575</v>
      </c>
      <c r="G131" s="231">
        <v>0.13652043430910238</v>
      </c>
      <c r="H131" s="231">
        <v>0.10115601588296633</v>
      </c>
      <c r="I131" s="231">
        <v>1.1838038649999998</v>
      </c>
      <c r="J131" s="231">
        <v>6.391949210986422E-3</v>
      </c>
      <c r="K131" s="231">
        <v>0.12192188972628597</v>
      </c>
      <c r="L131" s="231">
        <v>0.82950852031283839</v>
      </c>
      <c r="M131" s="231">
        <v>0.2124928296610139</v>
      </c>
      <c r="N131" s="231">
        <v>0.76622274579560712</v>
      </c>
      <c r="O131" s="231">
        <v>2.7601216523348939</v>
      </c>
      <c r="P131" s="231">
        <v>0.1361068549448797</v>
      </c>
      <c r="Q131" s="231">
        <v>0.24511566458968101</v>
      </c>
      <c r="R131" s="231">
        <v>0.62983270264673974</v>
      </c>
      <c r="S131" s="231">
        <v>0.43444861839626603</v>
      </c>
      <c r="T131" s="231">
        <v>0.82867416474393851</v>
      </c>
      <c r="U131" s="231">
        <v>9.1362653307296166E-3</v>
      </c>
      <c r="V131" s="231">
        <v>0.4731280943895762</v>
      </c>
      <c r="W131" s="231">
        <v>5.2061682391733432E-3</v>
      </c>
      <c r="X131" s="231">
        <v>1.6491141296217735E-2</v>
      </c>
      <c r="Y131" s="231">
        <v>6.3719888291118118E-2</v>
      </c>
      <c r="Z131" s="231">
        <v>3.8697481647812809E-2</v>
      </c>
      <c r="AA131" s="231">
        <v>2.5493449736130186E-2</v>
      </c>
      <c r="AB131" s="231">
        <v>0.27499038521814889</v>
      </c>
      <c r="AC131" s="231">
        <v>9.6530199377891771E-2</v>
      </c>
      <c r="AD131" s="231">
        <v>1.4444704563763469E-2</v>
      </c>
      <c r="AE131" s="231">
        <v>0.20927776081291805</v>
      </c>
      <c r="AF131" s="231">
        <v>7.1234569423536689E-2</v>
      </c>
      <c r="AG131" s="230">
        <v>0.64903491629032284</v>
      </c>
      <c r="AH131" s="231">
        <v>3.9729956381622931E-2</v>
      </c>
      <c r="AI131" s="230"/>
      <c r="AJ131" s="230"/>
      <c r="AK131" s="231"/>
      <c r="AL131" s="231"/>
      <c r="AM131" s="231"/>
      <c r="AN131" s="230"/>
      <c r="AO131" s="65" t="s">
        <v>20</v>
      </c>
    </row>
    <row r="132" spans="1:41" ht="14.1" hidden="1" customHeight="1">
      <c r="A132" s="65" t="s">
        <v>21</v>
      </c>
      <c r="B132" s="231">
        <v>0.78461000000000047</v>
      </c>
      <c r="C132" s="231">
        <v>1.021542662666667</v>
      </c>
      <c r="D132" s="231">
        <v>0.81485247033333341</v>
      </c>
      <c r="E132" s="231">
        <v>0.21362042004190707</v>
      </c>
      <c r="F132" s="231">
        <v>0.12683760965242943</v>
      </c>
      <c r="G132" s="231">
        <v>0.13701596352576403</v>
      </c>
      <c r="H132" s="231">
        <v>0.10107180903130969</v>
      </c>
      <c r="I132" s="231">
        <v>1.2013476178333335</v>
      </c>
      <c r="J132" s="231">
        <v>6.3901127987946397E-3</v>
      </c>
      <c r="K132" s="231">
        <v>0.12088298343399882</v>
      </c>
      <c r="L132" s="231">
        <v>0.83735960421611844</v>
      </c>
      <c r="M132" s="231">
        <v>0.21650478375342941</v>
      </c>
      <c r="N132" s="231">
        <v>0.7705871195703683</v>
      </c>
      <c r="O132" s="231">
        <v>2.752073523628864</v>
      </c>
      <c r="P132" s="231">
        <v>0.13540655211583577</v>
      </c>
      <c r="Q132" s="231">
        <v>0.24683963311900972</v>
      </c>
      <c r="R132" s="231">
        <v>0.63390993815052554</v>
      </c>
      <c r="S132" s="231">
        <v>0.43655937420839808</v>
      </c>
      <c r="T132" s="231">
        <v>0.8021282605207648</v>
      </c>
      <c r="U132" s="231">
        <v>9.0863674207864661E-3</v>
      </c>
      <c r="V132" s="231">
        <v>0.47439079990891025</v>
      </c>
      <c r="W132" s="231">
        <v>5.1941742714995296E-3</v>
      </c>
      <c r="X132" s="231">
        <v>1.6395564330154024E-2</v>
      </c>
      <c r="Y132" s="231">
        <v>6.3597484215349234E-2</v>
      </c>
      <c r="Z132" s="231">
        <v>3.8257553541384194E-2</v>
      </c>
      <c r="AA132" s="231">
        <v>2.5050256080843283E-2</v>
      </c>
      <c r="AB132" s="231">
        <v>0.27517316134901232</v>
      </c>
      <c r="AC132" s="231">
        <v>9.6387186384324058E-2</v>
      </c>
      <c r="AD132" s="231">
        <v>1.4439707491486415E-2</v>
      </c>
      <c r="AE132" s="231">
        <v>0.20921808204143558</v>
      </c>
      <c r="AF132" s="231">
        <v>6.9977457349917421E-2</v>
      </c>
      <c r="AG132" s="230">
        <v>0.66513452499999981</v>
      </c>
      <c r="AH132" s="231">
        <v>3.956665797079522E-2</v>
      </c>
      <c r="AI132" s="230"/>
      <c r="AJ132" s="230"/>
      <c r="AK132" s="231"/>
      <c r="AL132" s="231"/>
      <c r="AM132" s="231"/>
      <c r="AN132" s="230"/>
      <c r="AO132" s="65" t="s">
        <v>21</v>
      </c>
    </row>
    <row r="133" spans="1:41" ht="14.1" hidden="1" customHeight="1">
      <c r="A133" s="65" t="s">
        <v>22</v>
      </c>
      <c r="B133" s="231">
        <v>0.78458387096774229</v>
      </c>
      <c r="C133" s="231">
        <v>1.0183994143548385</v>
      </c>
      <c r="D133" s="231">
        <v>0.77868555919354854</v>
      </c>
      <c r="E133" s="231">
        <v>0.21360864687165726</v>
      </c>
      <c r="F133" s="231">
        <v>0.12774956545683647</v>
      </c>
      <c r="G133" s="231">
        <v>0.13663064653738158</v>
      </c>
      <c r="H133" s="231">
        <v>0.10108444691590542</v>
      </c>
      <c r="I133" s="231">
        <v>1.2007465366129035</v>
      </c>
      <c r="J133" s="231">
        <v>6.389899995665119E-3</v>
      </c>
      <c r="K133" s="231">
        <v>0.11885500991701721</v>
      </c>
      <c r="L133" s="231">
        <v>0.82153651199228706</v>
      </c>
      <c r="M133" s="231">
        <v>0.21630372884403379</v>
      </c>
      <c r="N133" s="231">
        <v>0.76951112058796634</v>
      </c>
      <c r="O133" s="231">
        <v>2.748650053437252</v>
      </c>
      <c r="P133" s="231">
        <v>0.13474723845484765</v>
      </c>
      <c r="Q133" s="231">
        <v>0.24403463189907307</v>
      </c>
      <c r="R133" s="231">
        <v>0.62868759025613485</v>
      </c>
      <c r="S133" s="231">
        <v>0.43069901461424359</v>
      </c>
      <c r="T133" s="231">
        <v>0.77872554577297204</v>
      </c>
      <c r="U133" s="231">
        <v>9.0609604654288984E-3</v>
      </c>
      <c r="V133" s="231">
        <v>0.47711628749361518</v>
      </c>
      <c r="W133" s="231">
        <v>5.1944272577280686E-3</v>
      </c>
      <c r="X133" s="231">
        <v>1.6386747280331664E-2</v>
      </c>
      <c r="Y133" s="231">
        <v>6.3556666097172976E-2</v>
      </c>
      <c r="Z133" s="231">
        <v>3.7885692465711045E-2</v>
      </c>
      <c r="AA133" s="231">
        <v>2.5052888713195855E-2</v>
      </c>
      <c r="AB133" s="231">
        <v>0.27520000117640403</v>
      </c>
      <c r="AC133" s="231">
        <v>9.6494921334254441E-2</v>
      </c>
      <c r="AD133" s="231">
        <v>1.4295940214423361E-2</v>
      </c>
      <c r="AE133" s="231">
        <v>0.20920760868962779</v>
      </c>
      <c r="AF133" s="231">
        <v>7.0584267386931923E-2</v>
      </c>
      <c r="AG133" s="230">
        <v>0.64821590193548395</v>
      </c>
      <c r="AH133" s="231">
        <v>3.9337682956943447E-2</v>
      </c>
      <c r="AI133" s="230"/>
      <c r="AJ133" s="230"/>
      <c r="AK133" s="231"/>
      <c r="AL133" s="231"/>
      <c r="AM133" s="231"/>
      <c r="AN133" s="230"/>
      <c r="AO133" s="65" t="s">
        <v>22</v>
      </c>
    </row>
    <row r="134" spans="1:41" ht="14.1" hidden="1" customHeight="1">
      <c r="A134" s="65" t="s">
        <v>23</v>
      </c>
      <c r="B134" s="231">
        <v>0.78459666666666683</v>
      </c>
      <c r="C134" s="231">
        <v>1.0354927621666667</v>
      </c>
      <c r="D134" s="231">
        <v>0.73998661999999982</v>
      </c>
      <c r="E134" s="231">
        <v>0.21361514176552449</v>
      </c>
      <c r="F134" s="231">
        <v>0.12786943155000696</v>
      </c>
      <c r="G134" s="231">
        <v>0.13884910339664511</v>
      </c>
      <c r="H134" s="231">
        <v>0.10110229312514679</v>
      </c>
      <c r="I134" s="231">
        <v>1.2147275871666663</v>
      </c>
      <c r="J134" s="231">
        <v>6.3900042078972744E-3</v>
      </c>
      <c r="K134" s="231">
        <v>0.11927585090415779</v>
      </c>
      <c r="L134" s="231">
        <v>0.84033324766766659</v>
      </c>
      <c r="M134" s="231">
        <v>0.2160843887561251</v>
      </c>
      <c r="N134" s="231">
        <v>0.76052727330498215</v>
      </c>
      <c r="O134" s="231">
        <v>2.7576872199953582</v>
      </c>
      <c r="P134" s="231">
        <v>0.13380983378357095</v>
      </c>
      <c r="Q134" s="231">
        <v>0.24149837187175915</v>
      </c>
      <c r="R134" s="231">
        <v>0.62277772128828879</v>
      </c>
      <c r="S134" s="231">
        <v>0.41320619426908123</v>
      </c>
      <c r="T134" s="231">
        <v>0.80521743195430018</v>
      </c>
      <c r="U134" s="231">
        <v>8.9995455915347078E-3</v>
      </c>
      <c r="V134" s="231">
        <v>0.47390888625177857</v>
      </c>
      <c r="W134" s="231">
        <v>5.1796140990260199E-3</v>
      </c>
      <c r="X134" s="231">
        <v>1.6296815797481976E-2</v>
      </c>
      <c r="Y134" s="231">
        <v>6.3111317616804649E-2</v>
      </c>
      <c r="Z134" s="231">
        <v>3.7592406331414467E-2</v>
      </c>
      <c r="AA134" s="231">
        <v>2.4273923946596044E-2</v>
      </c>
      <c r="AB134" s="231">
        <v>0.27541921570999711</v>
      </c>
      <c r="AC134" s="231">
        <v>9.6250026214407675E-2</v>
      </c>
      <c r="AD134" s="231">
        <v>1.3476508205217766E-2</v>
      </c>
      <c r="AE134" s="231">
        <v>0.20920866934061244</v>
      </c>
      <c r="AF134" s="231">
        <v>6.9134152321141062E-2</v>
      </c>
      <c r="AG134" s="230">
        <v>0.62094339916666685</v>
      </c>
      <c r="AH134" s="231">
        <v>4.0190574255351802E-2</v>
      </c>
      <c r="AI134" s="230"/>
      <c r="AJ134" s="230"/>
      <c r="AK134" s="231"/>
      <c r="AL134" s="231"/>
      <c r="AM134" s="231"/>
      <c r="AN134" s="230"/>
      <c r="AO134" s="65" t="s">
        <v>23</v>
      </c>
    </row>
    <row r="135" spans="1:41" ht="14.1" hidden="1" customHeight="1">
      <c r="A135" s="65" t="s">
        <v>24</v>
      </c>
      <c r="B135" s="231">
        <v>0.78440645161290345</v>
      </c>
      <c r="C135" s="231">
        <v>1.0266625317741935</v>
      </c>
      <c r="D135" s="231">
        <v>0.719720516935484</v>
      </c>
      <c r="E135" s="231">
        <v>0.21355903019183059</v>
      </c>
      <c r="F135" s="231">
        <v>0.12786586595402258</v>
      </c>
      <c r="G135" s="231">
        <v>0.13766073314728214</v>
      </c>
      <c r="H135" s="231">
        <v>0.10112860630416945</v>
      </c>
      <c r="I135" s="231">
        <v>1.1917585114516129</v>
      </c>
      <c r="J135" s="231">
        <v>6.3613640325616049E-3</v>
      </c>
      <c r="K135" s="231">
        <v>0.11864232110218899</v>
      </c>
      <c r="L135" s="231">
        <v>0.83050983867275252</v>
      </c>
      <c r="M135" s="231">
        <v>0.21770492409726319</v>
      </c>
      <c r="N135" s="231">
        <v>0.75394963482454425</v>
      </c>
      <c r="O135" s="231">
        <v>2.7479286895211996</v>
      </c>
      <c r="P135" s="231">
        <v>0.13018509323434066</v>
      </c>
      <c r="Q135" s="231">
        <v>0.24045005917175638</v>
      </c>
      <c r="R135" s="231">
        <v>0.61878229545397301</v>
      </c>
      <c r="S135" s="231">
        <v>0.4059837835552374</v>
      </c>
      <c r="T135" s="231">
        <v>0.7873739307348594</v>
      </c>
      <c r="U135" s="231">
        <v>8.8750625094912265E-3</v>
      </c>
      <c r="V135" s="231">
        <v>0.47377321912005094</v>
      </c>
      <c r="W135" s="231">
        <v>5.1393269830258062E-3</v>
      </c>
      <c r="X135" s="231">
        <v>1.6194388297040316E-2</v>
      </c>
      <c r="Y135" s="231">
        <v>6.5406180544173645E-2</v>
      </c>
      <c r="Z135" s="231">
        <v>3.7370386492531153E-2</v>
      </c>
      <c r="AA135" s="231">
        <v>2.3945369276404362E-2</v>
      </c>
      <c r="AB135" s="231">
        <v>0.2752856582674999</v>
      </c>
      <c r="AC135" s="231">
        <v>9.6281193320891051E-2</v>
      </c>
      <c r="AD135" s="231">
        <v>1.3136427810877411E-2</v>
      </c>
      <c r="AE135" s="231">
        <v>0.20915364378043691</v>
      </c>
      <c r="AF135" s="231">
        <v>6.969070695381821E-2</v>
      </c>
      <c r="AG135" s="230">
        <v>0.61924803516129046</v>
      </c>
      <c r="AH135" s="231">
        <v>3.9594152472187456E-2</v>
      </c>
      <c r="AI135" s="230"/>
      <c r="AJ135" s="230"/>
      <c r="AK135" s="231"/>
      <c r="AL135" s="231"/>
      <c r="AM135" s="231"/>
      <c r="AN135" s="230"/>
      <c r="AO135" s="65" t="s">
        <v>24</v>
      </c>
    </row>
    <row r="136" spans="1:41" ht="14.1" hidden="1" customHeight="1">
      <c r="A136" s="65" t="s">
        <v>25</v>
      </c>
      <c r="B136" s="231">
        <v>0.78443225806451644</v>
      </c>
      <c r="C136" s="231">
        <v>1.0440979424193548</v>
      </c>
      <c r="D136" s="231">
        <v>0.70750191338709689</v>
      </c>
      <c r="E136" s="231">
        <v>0.21356605632102477</v>
      </c>
      <c r="F136" s="231">
        <v>0.12814086898445701</v>
      </c>
      <c r="G136" s="231">
        <v>0.13999897869983322</v>
      </c>
      <c r="H136" s="231">
        <v>0.10114454989034495</v>
      </c>
      <c r="I136" s="231">
        <v>1.2124459438709676</v>
      </c>
      <c r="J136" s="231">
        <v>6.0241960877121447E-3</v>
      </c>
      <c r="K136" s="231">
        <v>0.11998596282048619</v>
      </c>
      <c r="L136" s="231">
        <v>0.84641864017170854</v>
      </c>
      <c r="M136" s="231">
        <v>0.2195741612364715</v>
      </c>
      <c r="N136" s="231">
        <v>0.7541520203413572</v>
      </c>
      <c r="O136" s="231">
        <v>2.7562032318379592</v>
      </c>
      <c r="P136" s="231">
        <v>0.131530152378522</v>
      </c>
      <c r="Q136" s="231">
        <v>0.24656977825756374</v>
      </c>
      <c r="R136" s="231">
        <v>0.61604040945485461</v>
      </c>
      <c r="S136" s="231">
        <v>0.40067661660104359</v>
      </c>
      <c r="T136" s="231">
        <v>0.80070539384960504</v>
      </c>
      <c r="U136" s="231">
        <v>8.8037741629155997E-3</v>
      </c>
      <c r="V136" s="231">
        <v>0.4724134129322165</v>
      </c>
      <c r="W136" s="231">
        <v>5.1262309457543046E-3</v>
      </c>
      <c r="X136" s="231">
        <v>1.6134371547554604E-2</v>
      </c>
      <c r="Y136" s="231">
        <v>6.2064070213524447E-2</v>
      </c>
      <c r="Z136" s="231">
        <v>3.7084299609887336E-2</v>
      </c>
      <c r="AA136" s="231">
        <v>2.3750980103537718E-2</v>
      </c>
      <c r="AB136" s="231">
        <v>0.27480939938178894</v>
      </c>
      <c r="AC136" s="231">
        <v>9.6533994065871098E-2</v>
      </c>
      <c r="AD136" s="231">
        <v>1.2503151596345659E-2</v>
      </c>
      <c r="AE136" s="231">
        <v>0.20916250363604424</v>
      </c>
      <c r="AF136" s="231">
        <v>7.0225706922794645E-2</v>
      </c>
      <c r="AG136" s="230">
        <v>0.62055265032258067</v>
      </c>
      <c r="AH136" s="231">
        <v>4.0417926387065532E-2</v>
      </c>
      <c r="AI136" s="230"/>
      <c r="AJ136" s="230"/>
      <c r="AK136" s="231"/>
      <c r="AL136" s="231"/>
      <c r="AM136" s="231"/>
      <c r="AN136" s="230"/>
      <c r="AO136" s="65" t="s">
        <v>25</v>
      </c>
    </row>
    <row r="137" spans="1:41" ht="14.1" hidden="1" customHeight="1">
      <c r="A137" s="65" t="s">
        <v>26</v>
      </c>
      <c r="B137" s="231">
        <v>0.7844500000000002</v>
      </c>
      <c r="C137" s="231">
        <v>1.0470226753333334</v>
      </c>
      <c r="D137" s="231">
        <v>0.7270546451666664</v>
      </c>
      <c r="E137" s="231">
        <v>0.21357143054799441</v>
      </c>
      <c r="F137" s="231">
        <v>0.12818303333731304</v>
      </c>
      <c r="G137" s="231">
        <v>0.14038264440041848</v>
      </c>
      <c r="H137" s="231">
        <v>0.10116011770927234</v>
      </c>
      <c r="I137" s="231">
        <v>1.2429474545000001</v>
      </c>
      <c r="J137" s="231">
        <v>3.1636114512103275E-3</v>
      </c>
      <c r="K137" s="231">
        <v>0.12072174916887139</v>
      </c>
      <c r="L137" s="231">
        <v>0.84859604887405748</v>
      </c>
      <c r="M137" s="231">
        <v>0.21984816340424534</v>
      </c>
      <c r="N137" s="231">
        <v>0.75690334689332983</v>
      </c>
      <c r="O137" s="231">
        <v>2.7582830394547231</v>
      </c>
      <c r="P137" s="231">
        <v>0.1314036340137372</v>
      </c>
      <c r="Q137" s="231">
        <v>0.24718147735583454</v>
      </c>
      <c r="R137" s="231">
        <v>0.62080075424977588</v>
      </c>
      <c r="S137" s="231">
        <v>0.38899167727156297</v>
      </c>
      <c r="T137" s="231">
        <v>0.79058661084308901</v>
      </c>
      <c r="U137" s="231">
        <v>8.6793570617850375E-3</v>
      </c>
      <c r="V137" s="231">
        <v>0.47235239343551227</v>
      </c>
      <c r="W137" s="231">
        <v>5.1172621082313414E-3</v>
      </c>
      <c r="X137" s="231">
        <v>1.612912312142592E-2</v>
      </c>
      <c r="Y137" s="231">
        <v>6.175280454254118E-2</v>
      </c>
      <c r="Z137" s="231">
        <v>3.9069506095889259E-2</v>
      </c>
      <c r="AA137" s="231">
        <v>2.4071986676440452E-2</v>
      </c>
      <c r="AB137" s="231">
        <v>0.27450455250970435</v>
      </c>
      <c r="AC137" s="231">
        <v>9.6043670571782452E-2</v>
      </c>
      <c r="AD137" s="231">
        <v>1.2284180667157014E-2</v>
      </c>
      <c r="AE137" s="231">
        <v>0.20916212525566957</v>
      </c>
      <c r="AF137" s="231">
        <v>7.2343573585445228E-2</v>
      </c>
      <c r="AG137" s="230">
        <v>0.63755112866666663</v>
      </c>
      <c r="AH137" s="231">
        <v>4.0640005844046791E-2</v>
      </c>
      <c r="AI137" s="230"/>
      <c r="AJ137" s="230"/>
      <c r="AK137" s="231"/>
      <c r="AL137" s="231"/>
      <c r="AM137" s="231"/>
      <c r="AN137" s="230"/>
      <c r="AO137" s="65" t="s">
        <v>26</v>
      </c>
    </row>
    <row r="138" spans="1:41" ht="14.1" hidden="1" customHeight="1">
      <c r="A138" s="65" t="s">
        <v>27</v>
      </c>
      <c r="B138" s="231">
        <v>0.78439354838709718</v>
      </c>
      <c r="C138" s="231">
        <v>1.070210637419355</v>
      </c>
      <c r="D138" s="231">
        <v>0.74623324580645145</v>
      </c>
      <c r="E138" s="231">
        <v>0.21355645510617813</v>
      </c>
      <c r="F138" s="231">
        <v>0.12849046361084779</v>
      </c>
      <c r="G138" s="231">
        <v>0.1434730433789356</v>
      </c>
      <c r="H138" s="231">
        <v>0.10116047037805406</v>
      </c>
      <c r="I138" s="231">
        <v>1.2635221999999997</v>
      </c>
      <c r="J138" s="231">
        <v>3.1624588352576863E-3</v>
      </c>
      <c r="K138" s="231">
        <v>0.12244819264794463</v>
      </c>
      <c r="L138" s="231">
        <v>0.86935794578367642</v>
      </c>
      <c r="M138" s="231">
        <v>0.22187316288023495</v>
      </c>
      <c r="N138" s="231">
        <v>0.75719082195318388</v>
      </c>
      <c r="O138" s="231">
        <v>2.7776527680380978</v>
      </c>
      <c r="P138" s="231">
        <v>0.13174874045193535</v>
      </c>
      <c r="Q138" s="231">
        <v>0.25549316783811865</v>
      </c>
      <c r="R138" s="231">
        <v>0.63047955960824265</v>
      </c>
      <c r="S138" s="231">
        <v>0.39511568630823068</v>
      </c>
      <c r="T138" s="231">
        <v>0.80204197013468215</v>
      </c>
      <c r="U138" s="231">
        <v>8.5658938347348296E-3</v>
      </c>
      <c r="V138" s="231">
        <v>0.47115251442906542</v>
      </c>
      <c r="W138" s="231">
        <v>5.0940643219471917E-3</v>
      </c>
      <c r="X138" s="231">
        <v>1.6418408367418598E-2</v>
      </c>
      <c r="Y138" s="231">
        <v>6.1359545572869358E-2</v>
      </c>
      <c r="Z138" s="231">
        <v>3.6515029573667861E-2</v>
      </c>
      <c r="AA138" s="231">
        <v>2.4467227329287293E-2</v>
      </c>
      <c r="AB138" s="231">
        <v>0.27518459915960153</v>
      </c>
      <c r="AC138" s="231">
        <v>9.5844167184518159E-2</v>
      </c>
      <c r="AD138" s="231">
        <v>1.2738035508890595E-2</v>
      </c>
      <c r="AE138" s="231">
        <v>0.20915308167129207</v>
      </c>
      <c r="AF138" s="231">
        <v>7.3512013834584625E-2</v>
      </c>
      <c r="AG138" s="230">
        <v>0.65396368500000035</v>
      </c>
      <c r="AH138" s="231">
        <v>4.1734373674998701E-2</v>
      </c>
      <c r="AI138" s="230"/>
      <c r="AJ138" s="230"/>
      <c r="AK138" s="231"/>
      <c r="AL138" s="231"/>
      <c r="AM138" s="231"/>
      <c r="AN138" s="230"/>
      <c r="AO138" s="65" t="s">
        <v>27</v>
      </c>
    </row>
    <row r="139" spans="1:41" ht="14.1" hidden="1" customHeight="1">
      <c r="A139" s="65" t="s">
        <v>28</v>
      </c>
      <c r="B139" s="231">
        <v>0.78434666666666708</v>
      </c>
      <c r="C139" s="231">
        <v>1.0584119456666667</v>
      </c>
      <c r="D139" s="231">
        <v>0.73211299000000019</v>
      </c>
      <c r="E139" s="231">
        <v>0.213543781863932</v>
      </c>
      <c r="F139" s="231">
        <v>0.12873813475033205</v>
      </c>
      <c r="G139" s="231">
        <v>0.14190281919402764</v>
      </c>
      <c r="H139" s="231">
        <v>0.10117253738902371</v>
      </c>
      <c r="I139" s="231">
        <v>1.2634858635000001</v>
      </c>
      <c r="J139" s="231">
        <v>3.1525657986502323E-3</v>
      </c>
      <c r="K139" s="231">
        <v>0.11925072108825165</v>
      </c>
      <c r="L139" s="231">
        <v>0.8591805569474531</v>
      </c>
      <c r="M139" s="231">
        <v>0.22182666109803489</v>
      </c>
      <c r="N139" s="231">
        <v>0.74824117347463348</v>
      </c>
      <c r="O139" s="231">
        <v>2.7705342949629643</v>
      </c>
      <c r="P139" s="231">
        <v>0.12914066756797363</v>
      </c>
      <c r="Q139" s="231">
        <v>0.25249922981658446</v>
      </c>
      <c r="R139" s="231">
        <v>0.62879924835976098</v>
      </c>
      <c r="S139" s="231">
        <v>0.38782936949992919</v>
      </c>
      <c r="T139" s="231">
        <v>0.78577230227206429</v>
      </c>
      <c r="U139" s="231">
        <v>8.4447510313629109E-3</v>
      </c>
      <c r="V139" s="231">
        <v>0.46729043655122504</v>
      </c>
      <c r="W139" s="231">
        <v>5.111002906442735E-3</v>
      </c>
      <c r="X139" s="231">
        <v>1.6388856056180852E-2</v>
      </c>
      <c r="Y139" s="231">
        <v>6.1400209423880567E-2</v>
      </c>
      <c r="Z139" s="231">
        <v>3.6151461632084318E-2</v>
      </c>
      <c r="AA139" s="231">
        <v>2.4006753764512407E-2</v>
      </c>
      <c r="AB139" s="231">
        <v>0.27445839587768295</v>
      </c>
      <c r="AC139" s="231">
        <v>9.5620865252384807E-2</v>
      </c>
      <c r="AD139" s="231">
        <v>1.2533320304811777E-2</v>
      </c>
      <c r="AE139" s="231">
        <v>0.20913801142335089</v>
      </c>
      <c r="AF139" s="231">
        <v>7.3806279906437663E-2</v>
      </c>
      <c r="AG139" s="230">
        <v>0.64818530116666673</v>
      </c>
      <c r="AH139" s="231">
        <v>3.9429654320039711E-2</v>
      </c>
      <c r="AI139" s="230"/>
      <c r="AJ139" s="230"/>
      <c r="AK139" s="231"/>
      <c r="AL139" s="231"/>
      <c r="AM139" s="231"/>
      <c r="AN139" s="230"/>
      <c r="AO139" s="65" t="s">
        <v>28</v>
      </c>
    </row>
    <row r="140" spans="1:41" ht="14.1" hidden="1" customHeight="1">
      <c r="A140" s="65" t="s">
        <v>29</v>
      </c>
      <c r="B140" s="231">
        <v>0.78440967741935519</v>
      </c>
      <c r="C140" s="231">
        <v>1.0740567596774193</v>
      </c>
      <c r="D140" s="231">
        <v>0.70338712516129009</v>
      </c>
      <c r="E140" s="231">
        <v>0.21356215945943521</v>
      </c>
      <c r="F140" s="231">
        <v>0.12910430694871142</v>
      </c>
      <c r="G140" s="231">
        <v>0.1439880244677193</v>
      </c>
      <c r="H140" s="231">
        <v>0.10116271851823216</v>
      </c>
      <c r="I140" s="231">
        <v>1.2845797633870968</v>
      </c>
      <c r="J140" s="231">
        <v>3.1650872584815582E-3</v>
      </c>
      <c r="K140" s="231">
        <v>0.11976289830206088</v>
      </c>
      <c r="L140" s="231">
        <v>0.87655101845812577</v>
      </c>
      <c r="M140" s="231">
        <v>0.22378015396132214</v>
      </c>
      <c r="N140" s="231">
        <v>0.73671553521652189</v>
      </c>
      <c r="O140" s="231">
        <v>2.7756160479168295</v>
      </c>
      <c r="P140" s="231">
        <v>0.12764220952395716</v>
      </c>
      <c r="Q140" s="231">
        <v>0.25735508747653368</v>
      </c>
      <c r="R140" s="231">
        <v>0.62265595179572164</v>
      </c>
      <c r="S140" s="231">
        <v>0.38002637731941852</v>
      </c>
      <c r="T140" s="231">
        <v>0.75731870511963395</v>
      </c>
      <c r="U140" s="231">
        <v>8.3048856671856675E-3</v>
      </c>
      <c r="V140" s="231">
        <v>0.45804448056704039</v>
      </c>
      <c r="W140" s="231">
        <v>5.0916860507463167E-3</v>
      </c>
      <c r="X140" s="231">
        <v>1.6103411684014662E-2</v>
      </c>
      <c r="Y140" s="231">
        <v>6.0720329478039833E-2</v>
      </c>
      <c r="Z140" s="231">
        <v>3.5796375928196761E-2</v>
      </c>
      <c r="AA140" s="231">
        <v>2.386606358630429E-2</v>
      </c>
      <c r="AB140" s="231">
        <v>0.27512670851338389</v>
      </c>
      <c r="AC140" s="231">
        <v>9.5187161999617728E-2</v>
      </c>
      <c r="AD140" s="231">
        <v>1.2661168378596604E-2</v>
      </c>
      <c r="AE140" s="231">
        <v>0.20915000686922094</v>
      </c>
      <c r="AF140" s="231">
        <v>7.4221828436553797E-2</v>
      </c>
      <c r="AG140" s="230">
        <v>0.64360032596774208</v>
      </c>
      <c r="AH140" s="231">
        <v>3.9055923698834219E-2</v>
      </c>
      <c r="AI140" s="230"/>
      <c r="AJ140" s="230"/>
      <c r="AK140" s="231"/>
      <c r="AL140" s="231"/>
      <c r="AM140" s="231"/>
      <c r="AN140" s="230"/>
      <c r="AO140" s="65" t="s">
        <v>29</v>
      </c>
    </row>
    <row r="141" spans="1:41" ht="14.1" customHeight="1">
      <c r="A141" s="65" t="s">
        <v>1621</v>
      </c>
      <c r="B141" s="247">
        <f>AVERAGE(B142:B153)</f>
        <v>0.78435758704557135</v>
      </c>
      <c r="C141" s="247">
        <f t="shared" ref="C141:AD141" si="3">AVERAGE(C142:C153)</f>
        <v>1.0430173007026049</v>
      </c>
      <c r="D141" s="247">
        <f t="shared" si="3"/>
        <v>0.7077542476602342</v>
      </c>
      <c r="E141" s="247">
        <f t="shared" si="3"/>
        <v>0.21354705707963942</v>
      </c>
      <c r="F141" s="247">
        <f t="shared" si="3"/>
        <v>0.12732024968764996</v>
      </c>
      <c r="G141" s="247">
        <f t="shared" si="3"/>
        <v>0.13990376099742655</v>
      </c>
      <c r="H141" s="247">
        <f t="shared" si="3"/>
        <v>0.10114425751140438</v>
      </c>
      <c r="I141" s="247">
        <f t="shared" si="3"/>
        <v>1.2929372532783221</v>
      </c>
      <c r="J141" s="247">
        <f t="shared" si="3"/>
        <v>3.0514418441001481E-3</v>
      </c>
      <c r="K141" s="247">
        <f t="shared" si="3"/>
        <v>0.11472934905703243</v>
      </c>
      <c r="L141" s="247">
        <f t="shared" si="3"/>
        <v>0.85855549785290197</v>
      </c>
      <c r="M141" s="247">
        <f t="shared" si="3"/>
        <v>0.21980000235952954</v>
      </c>
      <c r="N141" s="247">
        <f t="shared" si="3"/>
        <v>0.7106528225131018</v>
      </c>
      <c r="O141" s="247">
        <f t="shared" si="3"/>
        <v>2.7560063521623945</v>
      </c>
      <c r="P141" s="247">
        <f t="shared" si="3"/>
        <v>0.12493649555859326</v>
      </c>
      <c r="Q141" s="247">
        <f t="shared" si="3"/>
        <v>0.24924640138086793</v>
      </c>
      <c r="R141" s="247">
        <f t="shared" si="3"/>
        <v>0.61923798216383408</v>
      </c>
      <c r="S141" s="247">
        <f t="shared" si="3"/>
        <v>0.35896630509228361</v>
      </c>
      <c r="T141" s="247">
        <f t="shared" si="3"/>
        <v>0.74321423416217325</v>
      </c>
      <c r="U141" s="247">
        <f t="shared" si="3"/>
        <v>7.6797542176731742E-3</v>
      </c>
      <c r="V141" s="247">
        <f t="shared" si="3"/>
        <v>0.44526839163163406</v>
      </c>
      <c r="W141" s="247">
        <f t="shared" si="3"/>
        <v>4.3888009353352268E-3</v>
      </c>
      <c r="X141" s="247">
        <f t="shared" si="3"/>
        <v>1.4673011129217109E-2</v>
      </c>
      <c r="Y141" s="247">
        <f t="shared" si="3"/>
        <v>5.6330634364533248E-2</v>
      </c>
      <c r="Z141" s="247">
        <f t="shared" si="3"/>
        <v>3.4052207435186894E-2</v>
      </c>
      <c r="AA141" s="247">
        <f t="shared" si="3"/>
        <v>2.0833883414518112E-2</v>
      </c>
      <c r="AB141" s="247">
        <f t="shared" si="3"/>
        <v>0.27517184673083522</v>
      </c>
      <c r="AC141" s="247">
        <f t="shared" si="3"/>
        <v>6.7830785391055706E-2</v>
      </c>
      <c r="AD141" s="247">
        <f t="shared" si="3"/>
        <v>1.2855477032212945E-2</v>
      </c>
      <c r="AE141" s="247">
        <f t="shared" ref="AE141:AF141" si="4">AVERAGE(AE142:AE153)</f>
        <v>0.20911213672009965</v>
      </c>
      <c r="AF141" s="247">
        <f t="shared" si="4"/>
        <v>7.4538930821939672E-2</v>
      </c>
      <c r="AG141" s="247">
        <f t="shared" ref="AG141" si="5">AVERAGE(AG142:AG153)</f>
        <v>0.65134146946604587</v>
      </c>
      <c r="AH141" s="247">
        <v>3.7889473542700884E-2</v>
      </c>
      <c r="AI141" s="247"/>
      <c r="AJ141" s="247"/>
      <c r="AK141" s="247"/>
      <c r="AL141" s="247"/>
      <c r="AM141" s="247"/>
      <c r="AN141" s="247"/>
      <c r="AO141" s="65" t="s">
        <v>1621</v>
      </c>
    </row>
    <row r="142" spans="1:41" ht="14.1" hidden="1" customHeight="1">
      <c r="A142" s="65" t="s">
        <v>18</v>
      </c>
      <c r="B142" s="231">
        <v>0.78440000000000032</v>
      </c>
      <c r="C142" s="231">
        <v>1.0705518477419358</v>
      </c>
      <c r="D142" s="231">
        <v>0.69345691419354849</v>
      </c>
      <c r="E142" s="231">
        <v>0.21356121305593306</v>
      </c>
      <c r="F142" s="231">
        <v>0.12957350292363168</v>
      </c>
      <c r="G142" s="231">
        <v>0.14348228367197458</v>
      </c>
      <c r="H142" s="231">
        <v>0.10111956228378553</v>
      </c>
      <c r="I142" s="231">
        <v>1.2921290277419357</v>
      </c>
      <c r="J142" s="231">
        <v>3.1604910228742594E-3</v>
      </c>
      <c r="K142" s="231">
        <v>0.12092352778489292</v>
      </c>
      <c r="L142" s="231">
        <v>0.86981650331200444</v>
      </c>
      <c r="M142" s="231">
        <v>0.22463870225042112</v>
      </c>
      <c r="N142" s="231">
        <v>0.71822355784095315</v>
      </c>
      <c r="O142" s="231">
        <v>2.7758636895154285</v>
      </c>
      <c r="P142" s="231">
        <v>0.12745384739723933</v>
      </c>
      <c r="Q142" s="231">
        <v>0.25662701007154354</v>
      </c>
      <c r="R142" s="231">
        <v>0.61640632991756816</v>
      </c>
      <c r="S142" s="231">
        <v>0.35536848483566957</v>
      </c>
      <c r="T142" s="231">
        <v>0.75281094814759453</v>
      </c>
      <c r="U142" s="231">
        <v>8.1958534008016604E-3</v>
      </c>
      <c r="V142" s="231">
        <v>0.4456429338269286</v>
      </c>
      <c r="W142" s="231">
        <v>5.0669493125724344E-3</v>
      </c>
      <c r="X142" s="231">
        <v>1.5826902677330709E-2</v>
      </c>
      <c r="Y142" s="231">
        <v>5.9954354968338362E-2</v>
      </c>
      <c r="Z142" s="231">
        <v>3.5272173639461391E-2</v>
      </c>
      <c r="AA142" s="231">
        <v>2.3393077209934464E-2</v>
      </c>
      <c r="AB142" s="231">
        <v>0.27527563112953918</v>
      </c>
      <c r="AC142" s="231">
        <v>9.4115201431317894E-2</v>
      </c>
      <c r="AD142" s="231">
        <v>1.2654520995779791E-2</v>
      </c>
      <c r="AE142" s="231">
        <v>0.20914922486632886</v>
      </c>
      <c r="AF142" s="231">
        <v>7.3641995522427547E-2</v>
      </c>
      <c r="AG142" s="230">
        <v>0.64716543096774182</v>
      </c>
      <c r="AH142" s="231">
        <v>3.8967928836824539E-2</v>
      </c>
      <c r="AI142" s="230"/>
      <c r="AJ142" s="230"/>
      <c r="AK142" s="231"/>
      <c r="AL142" s="231"/>
      <c r="AM142" s="231"/>
      <c r="AN142" s="230"/>
      <c r="AO142" s="65" t="s">
        <v>18</v>
      </c>
    </row>
    <row r="143" spans="1:41" ht="14.1" hidden="1" customHeight="1">
      <c r="A143" s="65" t="s">
        <v>19</v>
      </c>
      <c r="B143" s="231">
        <v>0.7843785714285717</v>
      </c>
      <c r="C143" s="231">
        <v>1.0706143101785714</v>
      </c>
      <c r="D143" s="231">
        <v>0.70225741553571441</v>
      </c>
      <c r="E143" s="231">
        <v>0.21355266899586528</v>
      </c>
      <c r="F143" s="231">
        <v>0.12907077364313474</v>
      </c>
      <c r="G143" s="231">
        <v>0.14347189040700045</v>
      </c>
      <c r="H143" s="231">
        <v>0.10109657933722893</v>
      </c>
      <c r="I143" s="231">
        <v>1.2979794576785717</v>
      </c>
      <c r="J143" s="231">
        <v>3.1527696814074684E-3</v>
      </c>
      <c r="K143" s="231">
        <v>0.12069033806743133</v>
      </c>
      <c r="L143" s="231">
        <v>0.87643327275059124</v>
      </c>
      <c r="M143" s="231">
        <v>0.22312259235710627</v>
      </c>
      <c r="N143" s="231">
        <v>0.7091676068913334</v>
      </c>
      <c r="O143" s="231">
        <v>2.7794101558920659</v>
      </c>
      <c r="P143" s="231">
        <v>0.12780266704951618</v>
      </c>
      <c r="Q143" s="231">
        <v>0.25609338847159996</v>
      </c>
      <c r="R143" s="231">
        <v>0.61893004285146003</v>
      </c>
      <c r="S143" s="231">
        <v>0.35452316347381607</v>
      </c>
      <c r="T143" s="231">
        <v>0.76821958513004163</v>
      </c>
      <c r="U143" s="231">
        <v>8.0789484634412496E-3</v>
      </c>
      <c r="V143" s="231">
        <v>0.4490710629185804</v>
      </c>
      <c r="W143" s="231">
        <v>4.5606327266495524E-3</v>
      </c>
      <c r="X143" s="231">
        <v>1.5310085481843672E-2</v>
      </c>
      <c r="Y143" s="231">
        <v>5.8497523984298271E-2</v>
      </c>
      <c r="Z143" s="231">
        <v>3.5111022807930305E-2</v>
      </c>
      <c r="AA143" s="231">
        <v>2.2263795739375498E-2</v>
      </c>
      <c r="AB143" s="231">
        <v>0.27520503303336857</v>
      </c>
      <c r="AC143" s="231">
        <v>8.8121868384130622E-2</v>
      </c>
      <c r="AD143" s="231">
        <v>1.2597539407304485E-2</v>
      </c>
      <c r="AE143" s="231">
        <v>0.20914650537716378</v>
      </c>
      <c r="AF143" s="231">
        <v>7.3190255977142224E-2</v>
      </c>
      <c r="AG143" s="231">
        <v>0.64924743767857152</v>
      </c>
      <c r="AH143" s="231">
        <v>3.8983592621416097E-2</v>
      </c>
      <c r="AI143" s="231"/>
      <c r="AJ143" s="231"/>
      <c r="AK143" s="231"/>
      <c r="AL143" s="231"/>
      <c r="AM143" s="231"/>
      <c r="AN143" s="231"/>
      <c r="AO143" s="65" t="s">
        <v>19</v>
      </c>
    </row>
    <row r="144" spans="1:41" ht="14.1" hidden="1" customHeight="1">
      <c r="A144" s="65" t="s">
        <v>20</v>
      </c>
      <c r="B144" s="230">
        <v>0.78434193548387143</v>
      </c>
      <c r="C144" s="231">
        <v>1.0855303540322576</v>
      </c>
      <c r="D144" s="250">
        <v>0.71227704967741923</v>
      </c>
      <c r="E144" s="231">
        <v>0.21354277820767087</v>
      </c>
      <c r="F144" s="231">
        <v>0.12715623841978022</v>
      </c>
      <c r="G144" s="231">
        <v>0.14544131071611552</v>
      </c>
      <c r="H144" s="231">
        <v>0.10104318972616928</v>
      </c>
      <c r="I144" s="231">
        <v>1.3055171141935484</v>
      </c>
      <c r="J144" s="231">
        <v>3.1319449151546645E-3</v>
      </c>
      <c r="K144" s="231">
        <v>0.12246872511934222</v>
      </c>
      <c r="L144" s="231">
        <v>0.89197943476858232</v>
      </c>
      <c r="M144" s="231">
        <v>0.22576341905659983</v>
      </c>
      <c r="N144" s="231">
        <v>0.7078930744280395</v>
      </c>
      <c r="O144" s="231">
        <v>2.7860532202404058</v>
      </c>
      <c r="P144" s="231">
        <v>0.13110397876429472</v>
      </c>
      <c r="Q144" s="231">
        <v>0.25847793643739403</v>
      </c>
      <c r="R144" s="231">
        <v>0.61980833440734284</v>
      </c>
      <c r="S144" s="231">
        <v>0.35455021499707751</v>
      </c>
      <c r="T144" s="231">
        <v>0.76851619805647597</v>
      </c>
      <c r="U144" s="231">
        <v>7.987138046130899E-3</v>
      </c>
      <c r="V144" s="231">
        <v>0.45197268589177814</v>
      </c>
      <c r="W144" s="231">
        <v>4.3031530252914873E-3</v>
      </c>
      <c r="X144" s="231">
        <v>1.4527007953726108E-2</v>
      </c>
      <c r="Y144" s="231">
        <v>5.931332454073595E-2</v>
      </c>
      <c r="Z144" s="231">
        <v>3.475362101053716E-2</v>
      </c>
      <c r="AA144" s="231">
        <v>2.1674501971694595E-2</v>
      </c>
      <c r="AB144" s="231">
        <v>0.27487110105740026</v>
      </c>
      <c r="AC144" s="231">
        <v>7.9181057793387313E-2</v>
      </c>
      <c r="AD144" s="231">
        <v>1.2836994829768489E-2</v>
      </c>
      <c r="AE144" s="231">
        <v>0.20913797009117036</v>
      </c>
      <c r="AF144" s="231">
        <v>7.3372189500235635E-2</v>
      </c>
      <c r="AG144" s="231">
        <v>0.66974917725806449</v>
      </c>
      <c r="AH144" s="231">
        <v>3.9651475960650162E-2</v>
      </c>
      <c r="AI144" s="231"/>
      <c r="AJ144" s="231"/>
      <c r="AK144" s="231"/>
      <c r="AL144" s="231"/>
      <c r="AM144" s="231"/>
      <c r="AN144" s="231"/>
      <c r="AO144" s="65" t="s">
        <v>20</v>
      </c>
    </row>
    <row r="145" spans="1:41" ht="14.1" hidden="1" customHeight="1">
      <c r="A145" s="65" t="s">
        <v>21</v>
      </c>
      <c r="B145" s="230">
        <v>0.78433666666666702</v>
      </c>
      <c r="C145" s="231">
        <v>1.0830447046666669</v>
      </c>
      <c r="D145" s="250">
        <v>0.73030638583333329</v>
      </c>
      <c r="E145" s="231">
        <v>0.21354057478607688</v>
      </c>
      <c r="F145" s="231">
        <v>0.12601842568651053</v>
      </c>
      <c r="G145" s="231">
        <v>0.14507608424818097</v>
      </c>
      <c r="H145" s="231">
        <v>0.10114370068254781</v>
      </c>
      <c r="I145" s="231">
        <v>1.3129676180000003</v>
      </c>
      <c r="J145" s="231">
        <v>3.0943164985028017E-3</v>
      </c>
      <c r="K145" s="231">
        <v>0.11973159788400986</v>
      </c>
      <c r="L145" s="231">
        <v>0.88806336888550608</v>
      </c>
      <c r="M145" s="231">
        <v>0.22566587472831121</v>
      </c>
      <c r="N145" s="231">
        <v>0.7131961046703218</v>
      </c>
      <c r="O145" s="231">
        <v>2.7874499804696216</v>
      </c>
      <c r="P145" s="231">
        <v>0.13117515631868917</v>
      </c>
      <c r="Q145" s="231">
        <v>0.25901897742753194</v>
      </c>
      <c r="R145" s="231">
        <v>0.62471588174250425</v>
      </c>
      <c r="S145" s="231">
        <v>0.36859609913832492</v>
      </c>
      <c r="T145" s="231">
        <v>0.76479186704594038</v>
      </c>
      <c r="U145" s="231">
        <v>7.8852361625763867E-3</v>
      </c>
      <c r="V145" s="231">
        <v>0.44764779595055931</v>
      </c>
      <c r="W145" s="231">
        <v>4.3078390058642595E-3</v>
      </c>
      <c r="X145" s="231">
        <v>1.443045650966027E-2</v>
      </c>
      <c r="Y145" s="231">
        <v>5.852144462030081E-2</v>
      </c>
      <c r="Z145" s="231">
        <v>3.5727568364930865E-2</v>
      </c>
      <c r="AA145" s="231">
        <v>2.2002187374801262E-2</v>
      </c>
      <c r="AB145" s="231">
        <v>0.27519216943128733</v>
      </c>
      <c r="AC145" s="231">
        <v>6.7383441006971356E-2</v>
      </c>
      <c r="AD145" s="231">
        <v>1.2988629324145266E-2</v>
      </c>
      <c r="AE145" s="231">
        <v>0.20913543801073725</v>
      </c>
      <c r="AF145" s="231">
        <v>7.521319474652878E-2</v>
      </c>
      <c r="AG145" s="231">
        <v>0.67483551283333343</v>
      </c>
      <c r="AH145" s="231">
        <v>3.9460582644928438E-2</v>
      </c>
      <c r="AI145" s="231"/>
      <c r="AJ145" s="231"/>
      <c r="AK145" s="231"/>
      <c r="AL145" s="231"/>
      <c r="AM145" s="231"/>
      <c r="AN145" s="231"/>
      <c r="AO145" s="65" t="s">
        <v>21</v>
      </c>
    </row>
    <row r="146" spans="1:41" ht="14.1" hidden="1" customHeight="1">
      <c r="A146" s="65" t="s">
        <v>22</v>
      </c>
      <c r="B146" s="230">
        <v>0.78437096774193593</v>
      </c>
      <c r="C146" s="231">
        <v>1.078926094516129</v>
      </c>
      <c r="D146" s="250">
        <v>0.73019750129032246</v>
      </c>
      <c r="E146" s="231">
        <v>0.21355124509315271</v>
      </c>
      <c r="F146" s="231">
        <v>0.12572539441964062</v>
      </c>
      <c r="G146" s="231">
        <v>0.14454606610394524</v>
      </c>
      <c r="H146" s="231">
        <v>0.10117586770738295</v>
      </c>
      <c r="I146" s="231">
        <v>1.3221849890322577</v>
      </c>
      <c r="J146" s="231">
        <v>3.0729185652029222E-3</v>
      </c>
      <c r="K146" s="231">
        <v>0.11951067795805488</v>
      </c>
      <c r="L146" s="231">
        <v>0.8840468860634656</v>
      </c>
      <c r="M146" s="231">
        <v>0.22643372011708532</v>
      </c>
      <c r="N146" s="231">
        <v>0.71987226201932542</v>
      </c>
      <c r="O146" s="231">
        <v>2.7870214539528955</v>
      </c>
      <c r="P146" s="231">
        <v>0.13203223689727059</v>
      </c>
      <c r="Q146" s="231">
        <v>0.2580316958632432</v>
      </c>
      <c r="R146" s="231">
        <v>0.62654005080975217</v>
      </c>
      <c r="S146" s="231">
        <v>0.37509237141163249</v>
      </c>
      <c r="T146" s="231">
        <v>0.77029502304768871</v>
      </c>
      <c r="U146" s="231">
        <v>7.8178122430260042E-3</v>
      </c>
      <c r="V146" s="231">
        <v>0.44562580498157972</v>
      </c>
      <c r="W146" s="231">
        <v>4.3005713178476679E-3</v>
      </c>
      <c r="X146" s="231">
        <v>1.4927054027039168E-2</v>
      </c>
      <c r="Y146" s="231">
        <v>5.7846305543273087E-2</v>
      </c>
      <c r="Z146" s="231">
        <v>3.4358689824315503E-2</v>
      </c>
      <c r="AA146" s="231">
        <v>2.2496334700336108E-2</v>
      </c>
      <c r="AB146" s="231">
        <v>0.27521087587208348</v>
      </c>
      <c r="AC146" s="231">
        <v>6.6507670090860574E-2</v>
      </c>
      <c r="AD146" s="231">
        <v>1.3222468707723548E-2</v>
      </c>
      <c r="AE146" s="231">
        <v>0.20913824603598408</v>
      </c>
      <c r="AF146" s="231">
        <v>7.6500317460331882E-2</v>
      </c>
      <c r="AG146" s="231">
        <v>0.6754129012903225</v>
      </c>
      <c r="AH146" s="231">
        <v>3.9309995005765826E-2</v>
      </c>
      <c r="AI146" s="231"/>
      <c r="AJ146" s="231"/>
      <c r="AK146" s="231"/>
      <c r="AL146" s="231"/>
      <c r="AM146" s="231"/>
      <c r="AN146" s="231"/>
      <c r="AO146" s="65" t="s">
        <v>22</v>
      </c>
    </row>
    <row r="147" spans="1:41" ht="14.1" hidden="1" customHeight="1">
      <c r="A147" s="65" t="s">
        <v>23</v>
      </c>
      <c r="B147" s="230">
        <v>0.7843033333333338</v>
      </c>
      <c r="C147" s="231">
        <v>1.0668996495</v>
      </c>
      <c r="D147" s="250">
        <v>0.73503457549999984</v>
      </c>
      <c r="E147" s="231">
        <v>0.21353450340244814</v>
      </c>
      <c r="F147" s="231">
        <v>0.12588015202868513</v>
      </c>
      <c r="G147" s="231">
        <v>0.1430244513309237</v>
      </c>
      <c r="H147" s="231">
        <v>0.10117569177630051</v>
      </c>
      <c r="I147" s="231">
        <v>1.3265195693333334</v>
      </c>
      <c r="J147" s="231">
        <v>3.0647567179677474E-3</v>
      </c>
      <c r="K147" s="231">
        <v>0.1173073964615709</v>
      </c>
      <c r="L147" s="231">
        <v>0.87589163362041755</v>
      </c>
      <c r="M147" s="231">
        <v>0.22707025923437063</v>
      </c>
      <c r="N147" s="231">
        <v>0.72419568346753826</v>
      </c>
      <c r="O147" s="231">
        <v>2.7812938476192772</v>
      </c>
      <c r="P147" s="231">
        <v>0.12996314383566315</v>
      </c>
      <c r="Q147" s="231">
        <v>0.25789998972428796</v>
      </c>
      <c r="R147" s="231">
        <v>0.62688934107955907</v>
      </c>
      <c r="S147" s="231">
        <v>0.37019043079814906</v>
      </c>
      <c r="T147" s="231">
        <v>0.76895951648084904</v>
      </c>
      <c r="U147" s="231">
        <v>7.7151976837528764E-3</v>
      </c>
      <c r="V147" s="231">
        <v>0.44374761188876427</v>
      </c>
      <c r="W147" s="231">
        <v>4.2737174855083243E-3</v>
      </c>
      <c r="X147" s="231">
        <v>1.5033450270941665E-2</v>
      </c>
      <c r="Y147" s="231">
        <v>5.6390580665506236E-2</v>
      </c>
      <c r="Z147" s="231">
        <v>3.4153156566206384E-2</v>
      </c>
      <c r="AA147" s="231">
        <v>2.2798229687416096E-2</v>
      </c>
      <c r="AB147" s="231">
        <v>0.27516037532110627</v>
      </c>
      <c r="AC147" s="231">
        <v>6.626151356800293E-2</v>
      </c>
      <c r="AD147" s="231">
        <v>1.3140557740849696E-2</v>
      </c>
      <c r="AE147" s="231">
        <v>0.20911419038800017</v>
      </c>
      <c r="AF147" s="231">
        <v>7.6978763133064274E-2</v>
      </c>
      <c r="AG147" s="231">
        <v>0.67646277783333331</v>
      </c>
      <c r="AH147" s="231">
        <v>3.8863046614976353E-2</v>
      </c>
      <c r="AI147" s="231"/>
      <c r="AJ147" s="231"/>
      <c r="AK147" s="231"/>
      <c r="AL147" s="231"/>
      <c r="AM147" s="231"/>
      <c r="AN147" s="231"/>
      <c r="AO147" s="65" t="s">
        <v>23</v>
      </c>
    </row>
    <row r="148" spans="1:41" ht="14.1" hidden="1" customHeight="1">
      <c r="A148" s="221" t="s">
        <v>24</v>
      </c>
      <c r="B148" s="230">
        <v>0.78432903225806427</v>
      </c>
      <c r="C148" s="230">
        <v>1.0629333945161292</v>
      </c>
      <c r="D148" s="230">
        <v>0.73636602306451604</v>
      </c>
      <c r="E148" s="230">
        <v>0.21353832773203035</v>
      </c>
      <c r="F148" s="230">
        <v>0.12647221328163749</v>
      </c>
      <c r="G148" s="230">
        <v>0.14254833196669078</v>
      </c>
      <c r="H148" s="230">
        <v>0.10119654382965233</v>
      </c>
      <c r="I148" s="230">
        <v>1.3402176820967744</v>
      </c>
      <c r="J148" s="230">
        <v>3.078277530671207E-3</v>
      </c>
      <c r="K148" s="230">
        <v>0.11513655437042893</v>
      </c>
      <c r="L148" s="230">
        <v>0.87479873089387139</v>
      </c>
      <c r="M148" s="230">
        <v>0.22913914385678402</v>
      </c>
      <c r="N148" s="230">
        <v>0.73209384378599041</v>
      </c>
      <c r="O148" s="230">
        <v>2.7782109506861055</v>
      </c>
      <c r="P148" s="230">
        <v>0.12666459956613385</v>
      </c>
      <c r="Q148" s="230">
        <v>0.25645711084800343</v>
      </c>
      <c r="R148" s="230">
        <v>0.63106086126942984</v>
      </c>
      <c r="S148" s="230">
        <v>0.37009477052529532</v>
      </c>
      <c r="T148" s="230">
        <v>0.77142513769964238</v>
      </c>
      <c r="U148" s="230">
        <v>7.6548582690537832E-3</v>
      </c>
      <c r="V148" s="230">
        <v>0.44634309084181667</v>
      </c>
      <c r="W148" s="230">
        <v>4.2733865517791281E-3</v>
      </c>
      <c r="X148" s="230">
        <v>1.5131772089536555E-2</v>
      </c>
      <c r="Y148" s="230">
        <v>5.6187939275837803E-2</v>
      </c>
      <c r="Z148" s="230">
        <v>3.4010694769712524E-2</v>
      </c>
      <c r="AA148" s="230">
        <v>2.2634964934422939E-2</v>
      </c>
      <c r="AB148" s="230">
        <v>0.27518214551911041</v>
      </c>
      <c r="AC148" s="230">
        <v>6.6706778352018631E-2</v>
      </c>
      <c r="AD148" s="230">
        <v>1.305677334412781E-2</v>
      </c>
      <c r="AE148" s="230">
        <v>0.2091320113492042</v>
      </c>
      <c r="AF148" s="230">
        <v>7.6806660372143579E-2</v>
      </c>
      <c r="AG148" s="231">
        <v>0.68233281483870944</v>
      </c>
      <c r="AH148" s="230">
        <v>3.8719775807638732E-2</v>
      </c>
      <c r="AI148" s="230"/>
      <c r="AJ148" s="231"/>
      <c r="AK148" s="230"/>
      <c r="AL148" s="230"/>
      <c r="AM148" s="230"/>
      <c r="AN148" s="231"/>
      <c r="AO148" s="65" t="s">
        <v>24</v>
      </c>
    </row>
    <row r="149" spans="1:41" ht="14.1" hidden="1" customHeight="1">
      <c r="A149" s="221" t="s">
        <v>25</v>
      </c>
      <c r="B149" s="230">
        <v>0.78430967741935531</v>
      </c>
      <c r="C149" s="230">
        <v>1.0446760729032261</v>
      </c>
      <c r="D149" s="230">
        <v>0.72976985741935485</v>
      </c>
      <c r="E149" s="230">
        <v>0.21353183904169304</v>
      </c>
      <c r="F149" s="230">
        <v>0.12741142742130823</v>
      </c>
      <c r="G149" s="230">
        <v>0.14013069262372893</v>
      </c>
      <c r="H149" s="230">
        <v>0.10119370982367035</v>
      </c>
      <c r="I149" s="230">
        <v>1.3105672277419356</v>
      </c>
      <c r="J149" s="230">
        <v>3.0510846735935376E-3</v>
      </c>
      <c r="K149" s="230">
        <v>0.11365781953333985</v>
      </c>
      <c r="L149" s="230">
        <v>0.86198705930884645</v>
      </c>
      <c r="M149" s="230">
        <v>0.22448484344102318</v>
      </c>
      <c r="N149" s="230">
        <v>0.71821075771985776</v>
      </c>
      <c r="O149" s="230">
        <v>2.7643134534567837</v>
      </c>
      <c r="P149" s="230">
        <v>0.1264517519863721</v>
      </c>
      <c r="Q149" s="230">
        <v>0.24917117967663466</v>
      </c>
      <c r="R149" s="230">
        <v>0.62809959316300135</v>
      </c>
      <c r="S149" s="230">
        <v>0.36299204667331808</v>
      </c>
      <c r="T149" s="230">
        <v>0.76187801170745495</v>
      </c>
      <c r="U149" s="230">
        <v>7.5881072088567663E-3</v>
      </c>
      <c r="V149" s="230">
        <v>0.45451528422791071</v>
      </c>
      <c r="W149" s="230">
        <v>4.30606796320943E-3</v>
      </c>
      <c r="X149" s="230">
        <v>1.5049640676432099E-2</v>
      </c>
      <c r="Y149" s="230">
        <v>5.6791855215094493E-2</v>
      </c>
      <c r="Z149" s="230">
        <v>3.3613711313884798E-2</v>
      </c>
      <c r="AA149" s="230">
        <v>2.1719254912189578E-2</v>
      </c>
      <c r="AB149" s="230">
        <v>0.27517613309171196</v>
      </c>
      <c r="AC149" s="230">
        <v>6.0621999172106117E-2</v>
      </c>
      <c r="AD149" s="230">
        <v>1.2889277603126002E-2</v>
      </c>
      <c r="AE149" s="230">
        <v>0.20912487207325778</v>
      </c>
      <c r="AF149" s="230">
        <v>7.6532700112612428E-2</v>
      </c>
      <c r="AG149" s="231">
        <v>0.66148782661290317</v>
      </c>
      <c r="AH149" s="230">
        <v>3.7575210416306286E-2</v>
      </c>
      <c r="AI149" s="230"/>
      <c r="AJ149" s="231"/>
      <c r="AK149" s="230"/>
      <c r="AL149" s="230"/>
      <c r="AM149" s="230"/>
      <c r="AN149" s="231"/>
      <c r="AO149" s="65" t="s">
        <v>25</v>
      </c>
    </row>
    <row r="150" spans="1:41" ht="14.1" hidden="1" customHeight="1">
      <c r="A150" s="221" t="s">
        <v>26</v>
      </c>
      <c r="B150" s="230">
        <v>0.78435666666666715</v>
      </c>
      <c r="C150" s="230">
        <v>1.0122225686666662</v>
      </c>
      <c r="D150" s="230">
        <v>0.71045134883333327</v>
      </c>
      <c r="E150" s="231">
        <v>0.21354970229976072</v>
      </c>
      <c r="F150" s="230">
        <v>0.12778010947520965</v>
      </c>
      <c r="G150" s="230">
        <v>0.13596508401902005</v>
      </c>
      <c r="H150" s="230">
        <v>0.10118164976219432</v>
      </c>
      <c r="I150" s="230">
        <v>1.2805724231666666</v>
      </c>
      <c r="J150" s="230">
        <v>2.9656432748537986E-3</v>
      </c>
      <c r="K150" s="230">
        <v>0.11014071707208858</v>
      </c>
      <c r="L150" s="230">
        <v>0.83816236962288237</v>
      </c>
      <c r="M150" s="230">
        <v>0.21592135475524707</v>
      </c>
      <c r="N150" s="230">
        <v>0.7130402117500918</v>
      </c>
      <c r="O150" s="230">
        <v>2.7361379740735505</v>
      </c>
      <c r="P150" s="230">
        <v>0.12373910040852634</v>
      </c>
      <c r="Q150" s="230">
        <v>0.24148874233815432</v>
      </c>
      <c r="R150" s="230">
        <v>0.62085931215039214</v>
      </c>
      <c r="S150" s="230">
        <v>0.35484225796035201</v>
      </c>
      <c r="T150" s="230">
        <v>0.73088692110926423</v>
      </c>
      <c r="U150" s="230">
        <v>7.4634169663391862E-3</v>
      </c>
      <c r="V150" s="230">
        <v>0.45009190663780935</v>
      </c>
      <c r="W150" s="230">
        <v>4.3104969883713869E-3</v>
      </c>
      <c r="X150" s="230">
        <v>1.4546615870337204E-2</v>
      </c>
      <c r="Y150" s="230">
        <v>5.5030344817443441E-2</v>
      </c>
      <c r="Z150" s="230">
        <v>3.3275940627182782E-2</v>
      </c>
      <c r="AA150" s="230">
        <v>2.0702191958576411E-2</v>
      </c>
      <c r="AB150" s="230">
        <v>0.27517667065791745</v>
      </c>
      <c r="AC150" s="230">
        <v>6.0732629544552434E-2</v>
      </c>
      <c r="AD150" s="230">
        <v>1.2884047238579567E-2</v>
      </c>
      <c r="AE150" s="230">
        <v>0.20912961870822194</v>
      </c>
      <c r="AF150" s="230">
        <v>7.5733456493650333E-2</v>
      </c>
      <c r="AG150" s="231">
        <v>0.63900324083333371</v>
      </c>
      <c r="AH150" s="230">
        <v>3.6695828113537408E-2</v>
      </c>
      <c r="AI150" s="230"/>
      <c r="AJ150" s="231"/>
      <c r="AK150" s="230"/>
      <c r="AL150" s="230"/>
      <c r="AM150" s="230"/>
      <c r="AN150" s="231"/>
      <c r="AO150" s="65" t="s">
        <v>26</v>
      </c>
    </row>
    <row r="151" spans="1:41" ht="14.1" hidden="1" customHeight="1">
      <c r="A151" s="221" t="s">
        <v>27</v>
      </c>
      <c r="B151" s="230">
        <v>0.78432903225806494</v>
      </c>
      <c r="C151" s="230">
        <v>0.99561824983870972</v>
      </c>
      <c r="D151" s="230">
        <v>0.68850046854838709</v>
      </c>
      <c r="E151" s="231">
        <v>0.21353926549706928</v>
      </c>
      <c r="F151" s="230">
        <v>0.1280253632339505</v>
      </c>
      <c r="G151" s="230">
        <v>0.13373595769410168</v>
      </c>
      <c r="H151" s="230">
        <v>0.10109454090107002</v>
      </c>
      <c r="I151" s="230">
        <v>1.2622410146774194</v>
      </c>
      <c r="J151" s="230">
        <v>2.9574406074946674E-3</v>
      </c>
      <c r="K151" s="230">
        <v>0.10862139950953037</v>
      </c>
      <c r="L151" s="230">
        <v>0.82424121895724956</v>
      </c>
      <c r="M151" s="230">
        <v>0.21093256266757138</v>
      </c>
      <c r="N151" s="230">
        <v>0.69964281695049679</v>
      </c>
      <c r="O151" s="230">
        <v>2.7161062466747561</v>
      </c>
      <c r="P151" s="230">
        <v>0.12014168571958682</v>
      </c>
      <c r="Q151" s="230">
        <v>0.23682125256105874</v>
      </c>
      <c r="R151" s="230">
        <v>0.61592439767701535</v>
      </c>
      <c r="S151" s="230">
        <v>0.34775470701113459</v>
      </c>
      <c r="T151" s="230">
        <v>0.72718118877140758</v>
      </c>
      <c r="U151" s="230">
        <v>7.3564161535115925E-3</v>
      </c>
      <c r="V151" s="230">
        <v>0.44786523024352104</v>
      </c>
      <c r="W151" s="230">
        <v>4.3201884553744343E-3</v>
      </c>
      <c r="X151" s="230">
        <v>1.4169802707079829E-2</v>
      </c>
      <c r="Y151" s="230">
        <v>5.3670703626445423E-2</v>
      </c>
      <c r="Z151" s="230">
        <v>3.3045800693287802E-2</v>
      </c>
      <c r="AA151" s="230">
        <v>1.9265447626942132E-2</v>
      </c>
      <c r="AB151" s="230">
        <v>0.27518370304524747</v>
      </c>
      <c r="AC151" s="230">
        <v>6.05354745038666E-2</v>
      </c>
      <c r="AD151" s="230">
        <v>1.2778773975252188E-2</v>
      </c>
      <c r="AE151" s="230">
        <v>0.2090718604497665</v>
      </c>
      <c r="AF151" s="230">
        <v>7.3910889329496979E-2</v>
      </c>
      <c r="AG151" s="231">
        <v>0.61811569403225786</v>
      </c>
      <c r="AH151" s="230">
        <v>3.6118453826040314E-2</v>
      </c>
      <c r="AI151" s="230"/>
      <c r="AJ151" s="231"/>
      <c r="AK151" s="230"/>
      <c r="AL151" s="230"/>
      <c r="AM151" s="230"/>
      <c r="AN151" s="231"/>
      <c r="AO151" s="65" t="s">
        <v>27</v>
      </c>
    </row>
    <row r="152" spans="1:41" ht="14.1" hidden="1" customHeight="1">
      <c r="A152" s="221" t="s">
        <v>28</v>
      </c>
      <c r="B152" s="230">
        <v>0.78439000000000036</v>
      </c>
      <c r="C152" s="230">
        <v>0.97870173299999996</v>
      </c>
      <c r="D152" s="230">
        <v>0.67782137783333318</v>
      </c>
      <c r="E152" s="231">
        <v>0.21355402925810482</v>
      </c>
      <c r="F152" s="230">
        <v>0.1280629935230112</v>
      </c>
      <c r="G152" s="230">
        <v>0.13152009989040664</v>
      </c>
      <c r="H152" s="230">
        <v>0.10115431662066539</v>
      </c>
      <c r="I152" s="230">
        <v>1.2379883859999998</v>
      </c>
      <c r="J152" s="230">
        <v>2.9505222128412842E-3</v>
      </c>
      <c r="K152" s="230">
        <v>0.10578537362965441</v>
      </c>
      <c r="L152" s="230">
        <v>0.81353325434436508</v>
      </c>
      <c r="M152" s="230">
        <v>0.20496128514763981</v>
      </c>
      <c r="N152" s="230">
        <v>0.69206549362608227</v>
      </c>
      <c r="O152" s="230">
        <v>2.6952317885171468</v>
      </c>
      <c r="P152" s="230">
        <v>0.1151004374742108</v>
      </c>
      <c r="Q152" s="230">
        <v>0.23224472533609319</v>
      </c>
      <c r="R152" s="230">
        <v>0.60537042113096406</v>
      </c>
      <c r="S152" s="230">
        <v>0.35124788384435762</v>
      </c>
      <c r="T152" s="230">
        <v>0.67664851523019398</v>
      </c>
      <c r="U152" s="251">
        <v>7.2552172618874037E-3</v>
      </c>
      <c r="V152" s="230">
        <v>0.4421234829471134</v>
      </c>
      <c r="W152" s="230">
        <v>4.3347011876513188E-3</v>
      </c>
      <c r="X152" s="230">
        <v>1.3611373972033101E-2</v>
      </c>
      <c r="Y152" s="230">
        <v>5.2633600115778521E-2</v>
      </c>
      <c r="Z152" s="230">
        <v>3.2777726789224401E-2</v>
      </c>
      <c r="AA152" s="230">
        <v>1.7066156580370549E-2</v>
      </c>
      <c r="AB152" s="230">
        <v>0.27521088226607787</v>
      </c>
      <c r="AC152" s="230">
        <v>5.3631002925680002E-2</v>
      </c>
      <c r="AD152" s="230">
        <v>1.2717926311431442E-2</v>
      </c>
      <c r="AE152" s="230">
        <v>0.20906325753659211</v>
      </c>
      <c r="AF152" s="230">
        <v>7.150259540183096E-2</v>
      </c>
      <c r="AG152" s="231">
        <v>0.61348837683333335</v>
      </c>
      <c r="AH152" s="230">
        <v>3.5358636047360559E-2</v>
      </c>
      <c r="AI152" s="230"/>
      <c r="AJ152" s="231"/>
      <c r="AK152" s="230"/>
      <c r="AL152" s="230"/>
      <c r="AM152" s="230"/>
      <c r="AN152" s="231"/>
      <c r="AO152" s="65" t="s">
        <v>28</v>
      </c>
    </row>
    <row r="153" spans="1:41" ht="14.1" hidden="1" customHeight="1">
      <c r="A153" s="221" t="s">
        <v>29</v>
      </c>
      <c r="B153" s="230">
        <v>0.78444516129032282</v>
      </c>
      <c r="C153" s="230">
        <v>0.96648862887096743</v>
      </c>
      <c r="D153" s="230">
        <v>0.64661205419354839</v>
      </c>
      <c r="E153" s="231">
        <v>0.21356853758586797</v>
      </c>
      <c r="F153" s="230">
        <v>0.12666640219529943</v>
      </c>
      <c r="G153" s="230">
        <v>0.12990287929702996</v>
      </c>
      <c r="H153" s="230">
        <v>0.10115573768618505</v>
      </c>
      <c r="I153" s="230">
        <v>1.2263625296774192</v>
      </c>
      <c r="J153" s="230">
        <v>2.9371364286374202E-3</v>
      </c>
      <c r="K153" s="230">
        <v>0.10277806129404496</v>
      </c>
      <c r="L153" s="230">
        <v>0.80371224170704147</v>
      </c>
      <c r="M153" s="230">
        <v>0.19946627070219472</v>
      </c>
      <c r="N153" s="230">
        <v>0.68023245700719148</v>
      </c>
      <c r="O153" s="230">
        <v>2.6849834648506983</v>
      </c>
      <c r="P153" s="230">
        <v>0.10760934128561597</v>
      </c>
      <c r="Q153" s="230">
        <v>0.22862480781487038</v>
      </c>
      <c r="R153" s="230">
        <v>0.59625121976702</v>
      </c>
      <c r="S153" s="230">
        <v>0.34234323043827625</v>
      </c>
      <c r="T153" s="230">
        <v>0.65695789751952649</v>
      </c>
      <c r="U153" s="251">
        <v>7.1588487527002777E-3</v>
      </c>
      <c r="V153" s="230">
        <v>0.41857380922324816</v>
      </c>
      <c r="W153" s="230">
        <v>4.3079072039032872E-3</v>
      </c>
      <c r="X153" s="230">
        <v>1.3511971314644947E-2</v>
      </c>
      <c r="Y153" s="230">
        <v>5.1129635001346492E-2</v>
      </c>
      <c r="Z153" s="230">
        <v>3.2526382815568855E-2</v>
      </c>
      <c r="AA153" s="230">
        <v>1.399045827815772E-2</v>
      </c>
      <c r="AB153" s="230">
        <v>0.27521744034517276</v>
      </c>
      <c r="AC153" s="230">
        <v>5.0170787919774112E-2</v>
      </c>
      <c r="AD153" s="230">
        <v>1.2498214908467031E-2</v>
      </c>
      <c r="AE153" s="230">
        <v>0.20900244575476892</v>
      </c>
      <c r="AF153" s="230">
        <v>7.1084151813811572E-2</v>
      </c>
      <c r="AG153" s="231">
        <v>0.60879644258064536</v>
      </c>
      <c r="AH153" s="230">
        <v>3.4969156616965882E-2</v>
      </c>
      <c r="AI153" s="230"/>
      <c r="AJ153" s="231"/>
      <c r="AK153" s="230"/>
      <c r="AL153" s="230"/>
      <c r="AM153" s="230"/>
      <c r="AN153" s="231"/>
      <c r="AO153" s="65" t="s">
        <v>29</v>
      </c>
    </row>
    <row r="154" spans="1:41" s="264" customFormat="1" ht="14.1" customHeight="1">
      <c r="A154" s="89" t="s">
        <v>1816</v>
      </c>
      <c r="B154" s="247">
        <f>AVERAGE(B155:B166)</f>
        <v>1.0261412090373785</v>
      </c>
      <c r="C154" s="247">
        <f t="shared" ref="C154:AD154" si="6">AVERAGE(C155:C166)</f>
        <v>1.1380661614643177</v>
      </c>
      <c r="D154" s="247">
        <f t="shared" si="6"/>
        <v>0.77047473763962504</v>
      </c>
      <c r="E154" s="247">
        <f t="shared" si="6"/>
        <v>0.27937685207091939</v>
      </c>
      <c r="F154" s="247">
        <f t="shared" si="6"/>
        <v>0.16320473209247199</v>
      </c>
      <c r="G154" s="247">
        <f t="shared" si="6"/>
        <v>0.15257177118851109</v>
      </c>
      <c r="H154" s="247">
        <f t="shared" si="6"/>
        <v>0.13236576933735009</v>
      </c>
      <c r="I154" s="247">
        <f t="shared" si="6"/>
        <v>1.569405805778546</v>
      </c>
      <c r="J154" s="247">
        <f t="shared" si="6"/>
        <v>3.5584098700840207E-3</v>
      </c>
      <c r="K154" s="247">
        <f t="shared" si="6"/>
        <v>0.12166709460852369</v>
      </c>
      <c r="L154" s="247">
        <f t="shared" si="6"/>
        <v>1.0657420128174018</v>
      </c>
      <c r="M154" s="247">
        <f t="shared" si="6"/>
        <v>0.2643942423911998</v>
      </c>
      <c r="N154" s="247">
        <f t="shared" si="6"/>
        <v>0.80252272141285941</v>
      </c>
      <c r="O154" s="247">
        <f t="shared" si="6"/>
        <v>3.407267372541559</v>
      </c>
      <c r="P154" s="247">
        <f t="shared" si="6"/>
        <v>0.12715908951503652</v>
      </c>
      <c r="Q154" s="247">
        <f t="shared" si="6"/>
        <v>0.2720776334638389</v>
      </c>
      <c r="R154" s="247">
        <f t="shared" si="6"/>
        <v>0.74624099141586664</v>
      </c>
      <c r="S154" s="247">
        <f t="shared" si="6"/>
        <v>0.37683908693990426</v>
      </c>
      <c r="T154" s="247">
        <f t="shared" si="6"/>
        <v>0.84751871537622636</v>
      </c>
      <c r="U154" s="247">
        <f t="shared" si="6"/>
        <v>6.4682592485912531E-3</v>
      </c>
      <c r="V154" s="247">
        <f t="shared" si="6"/>
        <v>0.45146551616713104</v>
      </c>
      <c r="W154" s="247">
        <f t="shared" si="6"/>
        <v>4.778343764856214E-3</v>
      </c>
      <c r="X154" s="247">
        <f t="shared" si="6"/>
        <v>1.5979918211013897E-2</v>
      </c>
      <c r="Y154" s="247">
        <f t="shared" si="6"/>
        <v>5.4878214191267795E-2</v>
      </c>
      <c r="Z154" s="247">
        <f t="shared" si="6"/>
        <v>3.9905795899181327E-2</v>
      </c>
      <c r="AA154" s="247">
        <f t="shared" si="6"/>
        <v>1.6967626910605955E-2</v>
      </c>
      <c r="AB154" s="247">
        <f t="shared" si="6"/>
        <v>0.29449698026486104</v>
      </c>
      <c r="AC154" s="247">
        <f t="shared" si="6"/>
        <v>4.7095740730988787E-2</v>
      </c>
      <c r="AD154" s="247">
        <f t="shared" si="6"/>
        <v>1.5985067769523947E-2</v>
      </c>
      <c r="AE154" s="247">
        <f t="shared" ref="AE154:AF154" si="7">AVERAGE(AE155:AE166)</f>
        <v>0.27356933420201984</v>
      </c>
      <c r="AF154" s="247">
        <f t="shared" si="7"/>
        <v>9.0672508177162339E-2</v>
      </c>
      <c r="AG154" s="247">
        <f t="shared" ref="AG154" si="8">AVERAGE(AG155:AG166)</f>
        <v>0.71665555690818605</v>
      </c>
      <c r="AH154" s="247">
        <v>4.1746610163370883E-2</v>
      </c>
      <c r="AI154" s="247"/>
      <c r="AJ154" s="247"/>
      <c r="AK154" s="247"/>
      <c r="AL154" s="247"/>
      <c r="AM154" s="247"/>
      <c r="AN154" s="247"/>
      <c r="AO154" s="266" t="s">
        <v>1816</v>
      </c>
    </row>
    <row r="155" spans="1:41" ht="14.1" customHeight="1">
      <c r="A155" s="893" t="s">
        <v>18</v>
      </c>
      <c r="B155" s="230">
        <v>0.78440000000000043</v>
      </c>
      <c r="C155" s="230">
        <v>0.91522273806451648</v>
      </c>
      <c r="D155" s="230">
        <v>0.63432909806451621</v>
      </c>
      <c r="E155" s="231">
        <v>0.21355549202978444</v>
      </c>
      <c r="F155" s="230">
        <v>0.12609404080454825</v>
      </c>
      <c r="G155" s="230">
        <v>0.12301077675715842</v>
      </c>
      <c r="H155" s="230">
        <v>0.1011631390711354</v>
      </c>
      <c r="I155" s="230">
        <v>1.1904902058064519</v>
      </c>
      <c r="J155" s="230">
        <v>2.8944691520298173E-3</v>
      </c>
      <c r="K155" s="230">
        <v>9.6970338096486045E-2</v>
      </c>
      <c r="L155" s="230">
        <v>0.83490868179597411</v>
      </c>
      <c r="M155" s="230">
        <v>0.19900603895872337</v>
      </c>
      <c r="N155" s="230">
        <v>0.65125441628224501</v>
      </c>
      <c r="O155" s="230">
        <v>2.6661149019916839</v>
      </c>
      <c r="P155" s="230">
        <v>0.10249421174527008</v>
      </c>
      <c r="Q155" s="230">
        <v>0.21377604832311642</v>
      </c>
      <c r="R155" s="230">
        <v>0.58738458731740772</v>
      </c>
      <c r="S155" s="230">
        <v>0.33663203326638447</v>
      </c>
      <c r="T155" s="230">
        <v>0.66213072282798657</v>
      </c>
      <c r="U155" s="251">
        <v>5.6691148143732852E-3</v>
      </c>
      <c r="V155" s="230">
        <v>0.40488379440541084</v>
      </c>
      <c r="W155" s="230">
        <v>4.2692842027772272E-3</v>
      </c>
      <c r="X155" s="230">
        <v>1.3151457769559425E-2</v>
      </c>
      <c r="Y155" s="230">
        <v>4.7835593860859872E-2</v>
      </c>
      <c r="Z155" s="230">
        <v>3.2319468559896813E-2</v>
      </c>
      <c r="AA155" s="230">
        <v>1.2378095405850035E-2</v>
      </c>
      <c r="AB155" s="230">
        <v>0.23160891486173193</v>
      </c>
      <c r="AC155" s="230">
        <v>4.9545110846971094E-2</v>
      </c>
      <c r="AD155" s="230">
        <v>1.2601595113309848E-2</v>
      </c>
      <c r="AE155" s="230">
        <v>0.20888617148101546</v>
      </c>
      <c r="AF155" s="230">
        <v>7.2076491723395725E-2</v>
      </c>
      <c r="AG155" s="231">
        <v>0.60114138709677423</v>
      </c>
      <c r="AH155" s="230">
        <v>3.286615092493609E-2</v>
      </c>
      <c r="AI155" s="230"/>
      <c r="AJ155" s="231"/>
      <c r="AK155" s="230"/>
      <c r="AL155" s="230"/>
      <c r="AM155" s="230"/>
      <c r="AN155" s="231"/>
      <c r="AO155" s="894" t="s">
        <v>18</v>
      </c>
    </row>
    <row r="156" spans="1:41" ht="14.1" customHeight="1">
      <c r="A156" s="893" t="s">
        <v>19</v>
      </c>
      <c r="B156" s="230">
        <v>0.86048214285714308</v>
      </c>
      <c r="C156" s="230">
        <v>0.97805648946428558</v>
      </c>
      <c r="D156" s="230">
        <v>0.67109006053571452</v>
      </c>
      <c r="E156" s="231">
        <v>0.23427104978366667</v>
      </c>
      <c r="F156" s="230">
        <v>0.1376366251855167</v>
      </c>
      <c r="G156" s="230">
        <v>0.13126884293448229</v>
      </c>
      <c r="H156" s="230">
        <v>0.11095192217263303</v>
      </c>
      <c r="I156" s="230">
        <v>1.3201705664285714</v>
      </c>
      <c r="J156" s="230">
        <v>3.1276851196516682E-3</v>
      </c>
      <c r="K156" s="230">
        <v>0.10309214505114704</v>
      </c>
      <c r="L156" s="230">
        <v>0.92048014437611292</v>
      </c>
      <c r="M156" s="230">
        <v>0.22110793031115775</v>
      </c>
      <c r="N156" s="230">
        <v>0.68804650413552904</v>
      </c>
      <c r="O156" s="230">
        <v>2.9122120169108476</v>
      </c>
      <c r="P156" s="230">
        <v>0.11336839070249963</v>
      </c>
      <c r="Q156" s="230">
        <v>0.23433478912995143</v>
      </c>
      <c r="R156" s="230">
        <v>0.63513079974151843</v>
      </c>
      <c r="S156" s="230">
        <v>0.34963141107705009</v>
      </c>
      <c r="T156" s="230">
        <v>0.72575967502647665</v>
      </c>
      <c r="U156" s="251">
        <v>5.6521066959469924E-3</v>
      </c>
      <c r="V156" s="230">
        <v>0.41011097111153327</v>
      </c>
      <c r="W156" s="230">
        <v>4.6486228118394705E-3</v>
      </c>
      <c r="X156" s="230">
        <v>1.4131328707392306E-2</v>
      </c>
      <c r="Y156" s="230">
        <v>4.6408283262788938E-2</v>
      </c>
      <c r="Z156" s="230">
        <v>3.5113325094625614E-2</v>
      </c>
      <c r="AA156" s="230">
        <v>1.340776130766963E-2</v>
      </c>
      <c r="AB156" s="230">
        <v>0.24545654297887937</v>
      </c>
      <c r="AC156" s="230">
        <v>3.4961803171396869E-2</v>
      </c>
      <c r="AD156" s="230">
        <v>1.3874449252558615E-2</v>
      </c>
      <c r="AE156" s="230">
        <v>0.22932549479360462</v>
      </c>
      <c r="AF156" s="230">
        <v>7.821206542207311E-2</v>
      </c>
      <c r="AG156" s="231">
        <v>0.64185681089285695</v>
      </c>
      <c r="AH156" s="230">
        <v>3.5435998573196299E-2</v>
      </c>
      <c r="AI156" s="230"/>
      <c r="AJ156" s="231"/>
      <c r="AK156" s="230"/>
      <c r="AL156" s="230"/>
      <c r="AM156" s="230"/>
      <c r="AN156" s="231"/>
      <c r="AO156" s="894" t="s">
        <v>19</v>
      </c>
    </row>
    <row r="157" spans="1:41" ht="12.75" customHeight="1">
      <c r="A157" s="894" t="s">
        <v>20</v>
      </c>
      <c r="B157" s="231">
        <v>1.0488774193548387</v>
      </c>
      <c r="C157" s="231">
        <v>1.1355377904838706</v>
      </c>
      <c r="D157" s="231">
        <v>0.81005901725806506</v>
      </c>
      <c r="E157" s="231">
        <v>0.2855677409556136</v>
      </c>
      <c r="F157" s="231">
        <v>0.16819279065611573</v>
      </c>
      <c r="G157" s="231">
        <v>0.15228668899333347</v>
      </c>
      <c r="H157" s="231">
        <v>0.13519740739580574</v>
      </c>
      <c r="I157" s="231">
        <v>1.5741870251612913</v>
      </c>
      <c r="J157" s="231">
        <v>3.7890855287241996E-3</v>
      </c>
      <c r="K157" s="231">
        <v>0.12258423705643261</v>
      </c>
      <c r="L157" s="231">
        <v>1.0651036269080343</v>
      </c>
      <c r="M157" s="231">
        <v>0.26273248052595011</v>
      </c>
      <c r="N157" s="231">
        <v>0.83153212723755032</v>
      </c>
      <c r="O157" s="231">
        <v>3.5092353325282279</v>
      </c>
      <c r="P157" s="231">
        <v>0.1303524791701848</v>
      </c>
      <c r="Q157" s="231">
        <v>0.27440821141173022</v>
      </c>
      <c r="R157" s="231">
        <v>0.76128064012570762</v>
      </c>
      <c r="S157" s="231">
        <v>0.40519608964373732</v>
      </c>
      <c r="T157" s="231">
        <v>0.87049609164264197</v>
      </c>
      <c r="U157" s="231">
        <v>6.9939645701623228E-3</v>
      </c>
      <c r="V157" s="231">
        <v>0.48011384850025701</v>
      </c>
      <c r="W157" s="252">
        <v>5.6549974180872915E-3</v>
      </c>
      <c r="X157" s="231">
        <v>1.6882923811961614E-2</v>
      </c>
      <c r="Y157" s="231">
        <v>5.7467843264085064E-2</v>
      </c>
      <c r="Z157" s="231">
        <v>4.2393660843409099E-2</v>
      </c>
      <c r="AA157" s="231">
        <v>1.7347133641308608E-2</v>
      </c>
      <c r="AB157" s="231">
        <v>0.29972403573388645</v>
      </c>
      <c r="AC157" s="253">
        <v>4.527824755545122E-2</v>
      </c>
      <c r="AD157" s="231">
        <v>1.6801508187459721E-2</v>
      </c>
      <c r="AE157" s="231">
        <v>0.27965518823663299</v>
      </c>
      <c r="AF157" s="231">
        <v>9.4182459019606618E-2</v>
      </c>
      <c r="AG157" s="231">
        <v>0.78127023016129027</v>
      </c>
      <c r="AH157" s="231">
        <v>4.1536264792766842E-2</v>
      </c>
      <c r="AI157" s="231"/>
      <c r="AJ157" s="231"/>
      <c r="AK157" s="231"/>
      <c r="AL157" s="231"/>
      <c r="AM157" s="231"/>
      <c r="AN157" s="231"/>
      <c r="AO157" s="894" t="s">
        <v>20</v>
      </c>
    </row>
    <row r="158" spans="1:41" ht="12.75" customHeight="1">
      <c r="A158" s="893" t="s">
        <v>21</v>
      </c>
      <c r="B158" s="230">
        <v>1.0502933333333333</v>
      </c>
      <c r="C158" s="230">
        <v>1.1330773169999999</v>
      </c>
      <c r="D158" s="230">
        <v>0.8105642801666666</v>
      </c>
      <c r="E158" s="230">
        <v>0.28595011305141199</v>
      </c>
      <c r="F158" s="230">
        <v>0.16938179523792601</v>
      </c>
      <c r="G158" s="230">
        <v>0.15173703169635822</v>
      </c>
      <c r="H158" s="230">
        <v>0.1355016918364684</v>
      </c>
      <c r="I158" s="230">
        <v>1.5669177525</v>
      </c>
      <c r="J158" s="230">
        <v>3.7506518616557964E-3</v>
      </c>
      <c r="K158" s="230">
        <v>0.12139894431911484</v>
      </c>
      <c r="L158" s="230">
        <v>1.0916240232788668</v>
      </c>
      <c r="M158" s="230">
        <v>0.26687791239016978</v>
      </c>
      <c r="N158" s="230">
        <v>0.84944664248346557</v>
      </c>
      <c r="O158" s="230">
        <v>3.4823771216670614</v>
      </c>
      <c r="P158" s="230">
        <v>0.13282511404950631</v>
      </c>
      <c r="Q158" s="230">
        <v>0.28144082156303829</v>
      </c>
      <c r="R158" s="230">
        <v>0.77764087358989153</v>
      </c>
      <c r="S158" s="231">
        <v>0.39645107886048092</v>
      </c>
      <c r="T158" s="231">
        <v>0.87834952750097806</v>
      </c>
      <c r="U158" s="251">
        <v>7.2687783110908632E-3</v>
      </c>
      <c r="V158" s="230">
        <v>0.46462232469115605</v>
      </c>
      <c r="W158" s="252">
        <v>5.6526005299576392E-3</v>
      </c>
      <c r="X158" s="230">
        <v>1.6682486160236879E-2</v>
      </c>
      <c r="Y158" s="230">
        <v>5.8648297845124216E-2</v>
      </c>
      <c r="Z158" s="230">
        <v>4.1990570562899836E-2</v>
      </c>
      <c r="AA158" s="230">
        <v>1.9925549251556266E-2</v>
      </c>
      <c r="AB158" s="231">
        <v>0.30014013246557791</v>
      </c>
      <c r="AC158" s="253">
        <v>4.6529298507110038E-2</v>
      </c>
      <c r="AD158" s="230">
        <v>1.6767761817266923E-2</v>
      </c>
      <c r="AE158" s="230">
        <v>0.28004799297789568</v>
      </c>
      <c r="AF158" s="230">
        <v>9.6600299075535384E-2</v>
      </c>
      <c r="AG158" s="231">
        <v>0.79562496449999986</v>
      </c>
      <c r="AH158" s="230">
        <v>4.1284334085382408E-2</v>
      </c>
      <c r="AI158" s="230"/>
      <c r="AJ158" s="231"/>
      <c r="AK158" s="230"/>
      <c r="AL158" s="230"/>
      <c r="AM158" s="230"/>
      <c r="AN158" s="231"/>
      <c r="AO158" s="894" t="s">
        <v>21</v>
      </c>
    </row>
    <row r="159" spans="1:41" ht="12.75" customHeight="1">
      <c r="A159" s="893" t="s">
        <v>22</v>
      </c>
      <c r="B159" s="230">
        <v>1.0483612903225805</v>
      </c>
      <c r="C159" s="230">
        <v>1.1711938641935484</v>
      </c>
      <c r="D159" s="230">
        <v>0.82790843306451622</v>
      </c>
      <c r="E159" s="230">
        <v>0.28542245667720445</v>
      </c>
      <c r="F159" s="230">
        <v>0.16898803459166137</v>
      </c>
      <c r="G159" s="230">
        <v>0.15696541869443539</v>
      </c>
      <c r="H159" s="230">
        <v>0.13523437071329289</v>
      </c>
      <c r="I159" s="230">
        <v>1.6236445116129039</v>
      </c>
      <c r="J159" s="230">
        <v>3.7362811200199035E-3</v>
      </c>
      <c r="K159" s="230">
        <v>0.12578498787994846</v>
      </c>
      <c r="L159" s="230">
        <v>1.1260519924274857</v>
      </c>
      <c r="M159" s="230">
        <v>0.27160383211835987</v>
      </c>
      <c r="N159" s="230">
        <v>0.86226904603201904</v>
      </c>
      <c r="O159" s="230">
        <v>3.4727916466196325</v>
      </c>
      <c r="P159" s="230">
        <v>0.13892966434281531</v>
      </c>
      <c r="Q159" s="230">
        <v>0.28715111273349619</v>
      </c>
      <c r="R159" s="230">
        <v>0.78636712293937694</v>
      </c>
      <c r="S159" s="231">
        <v>0.39670889974114015</v>
      </c>
      <c r="T159" s="231">
        <v>0.86895383734015785</v>
      </c>
      <c r="U159" s="251">
        <v>7.3079173055522707E-3</v>
      </c>
      <c r="V159" s="230">
        <v>0.45133125919168099</v>
      </c>
      <c r="W159" s="252">
        <v>5.640235641125084E-3</v>
      </c>
      <c r="X159" s="230">
        <v>1.7776364200108842E-2</v>
      </c>
      <c r="Y159" s="230">
        <v>5.8773690361874562E-2</v>
      </c>
      <c r="Z159" s="230">
        <v>4.1550405032674063E-2</v>
      </c>
      <c r="AA159" s="230">
        <v>2.0708555165938211E-2</v>
      </c>
      <c r="AB159" s="231">
        <v>0.29956630327746198</v>
      </c>
      <c r="AC159" s="253">
        <v>5.0134226336303496E-2</v>
      </c>
      <c r="AD159" s="230">
        <v>1.6443272212126256E-2</v>
      </c>
      <c r="AE159" s="230">
        <v>0.27954677776196796</v>
      </c>
      <c r="AF159" s="230">
        <v>9.6015266467410584E-2</v>
      </c>
      <c r="AG159" s="231">
        <v>0.7763147708064515</v>
      </c>
      <c r="AH159" s="230">
        <v>4.2720457976653456E-2</v>
      </c>
      <c r="AI159" s="230"/>
      <c r="AJ159" s="231"/>
      <c r="AK159" s="230"/>
      <c r="AL159" s="230"/>
      <c r="AM159" s="230"/>
      <c r="AN159" s="231"/>
      <c r="AO159" s="894" t="s">
        <v>22</v>
      </c>
    </row>
    <row r="160" spans="1:41" ht="12.75" customHeight="1">
      <c r="A160" s="893" t="s">
        <v>23</v>
      </c>
      <c r="B160" s="230">
        <v>1.0480766666666668</v>
      </c>
      <c r="C160" s="230">
        <v>1.1770014231666672</v>
      </c>
      <c r="D160" s="230">
        <v>0.80948725333333327</v>
      </c>
      <c r="E160" s="230">
        <v>0.28534932743276253</v>
      </c>
      <c r="F160" s="230">
        <v>0.16885850216014481</v>
      </c>
      <c r="G160" s="230">
        <v>0.15777814874204346</v>
      </c>
      <c r="H160" s="230">
        <v>0.13519246506494148</v>
      </c>
      <c r="I160" s="230">
        <v>1.6323264044999997</v>
      </c>
      <c r="J160" s="230">
        <v>3.6491918083195376E-3</v>
      </c>
      <c r="K160" s="230">
        <v>0.12692944015438062</v>
      </c>
      <c r="L160" s="230">
        <v>1.1250963759559078</v>
      </c>
      <c r="M160" s="230">
        <v>0.27471419225440891</v>
      </c>
      <c r="N160" s="230">
        <v>0.84854066695724828</v>
      </c>
      <c r="O160" s="230">
        <v>3.4687519097489168</v>
      </c>
      <c r="P160" s="230">
        <v>0.13420634882892921</v>
      </c>
      <c r="Q160" s="230">
        <v>0.2830356069843421</v>
      </c>
      <c r="R160" s="230">
        <v>0.77938311817558281</v>
      </c>
      <c r="S160" s="231">
        <v>0.38814358207521471</v>
      </c>
      <c r="T160" s="231">
        <v>0.84719761185156073</v>
      </c>
      <c r="U160" s="251">
        <v>6.8379627259781773E-3</v>
      </c>
      <c r="V160" s="230">
        <v>0.46308644103052832</v>
      </c>
      <c r="W160" s="252">
        <v>5.6318956123995395E-3</v>
      </c>
      <c r="X160" s="230">
        <v>1.7536657884315212E-2</v>
      </c>
      <c r="Y160" s="230">
        <v>5.6918028394966208E-2</v>
      </c>
      <c r="Z160" s="230">
        <v>4.1200211843754317E-2</v>
      </c>
      <c r="AA160" s="230">
        <v>1.9227761410148789E-2</v>
      </c>
      <c r="AB160" s="231">
        <v>0.29958894828087906</v>
      </c>
      <c r="AC160" s="253">
        <v>4.9131703015405731E-2</v>
      </c>
      <c r="AD160" s="230">
        <v>1.6420424465332508E-2</v>
      </c>
      <c r="AE160" s="230">
        <v>0.27946636602567426</v>
      </c>
      <c r="AF160" s="230">
        <v>9.4326968002663131E-2</v>
      </c>
      <c r="AG160" s="231">
        <v>0.73345740999999998</v>
      </c>
      <c r="AH160" s="230">
        <v>4.3091628261128209E-2</v>
      </c>
      <c r="AI160" s="230"/>
      <c r="AJ160" s="231"/>
      <c r="AK160" s="230"/>
      <c r="AL160" s="230"/>
      <c r="AM160" s="230"/>
      <c r="AN160" s="231"/>
      <c r="AO160" s="894" t="s">
        <v>23</v>
      </c>
    </row>
    <row r="161" spans="1:41" ht="12.75" customHeight="1">
      <c r="A161" s="893" t="s">
        <v>24</v>
      </c>
      <c r="B161" s="230">
        <v>1.0491322580645162</v>
      </c>
      <c r="C161" s="230">
        <v>1.1556283545161292</v>
      </c>
      <c r="D161" s="230">
        <v>0.7789747325806452</v>
      </c>
      <c r="E161" s="230">
        <v>0.28563323568708321</v>
      </c>
      <c r="F161" s="230">
        <v>0.16898189753045992</v>
      </c>
      <c r="G161" s="230">
        <v>0.1548637079660368</v>
      </c>
      <c r="H161" s="230">
        <v>0.1353443893484573</v>
      </c>
      <c r="I161" s="230">
        <v>1.6321544346774193</v>
      </c>
      <c r="J161" s="230">
        <v>3.5963082743788459E-3</v>
      </c>
      <c r="K161" s="230">
        <v>0.12334435261549072</v>
      </c>
      <c r="L161" s="230">
        <v>1.1019026253670365</v>
      </c>
      <c r="M161" s="230">
        <v>0.27690059047032778</v>
      </c>
      <c r="N161" s="230">
        <v>0.81863957311229085</v>
      </c>
      <c r="O161" s="230">
        <v>3.4659829244488298</v>
      </c>
      <c r="P161" s="230">
        <v>0.12935170451435452</v>
      </c>
      <c r="Q161" s="230">
        <v>0.27780506280207889</v>
      </c>
      <c r="R161" s="230">
        <v>0.77131726372561282</v>
      </c>
      <c r="S161" s="231">
        <v>0.38933804664434846</v>
      </c>
      <c r="T161" s="231">
        <v>0.85146572770081608</v>
      </c>
      <c r="U161" s="251">
        <v>6.851506460141028E-3</v>
      </c>
      <c r="V161" s="230">
        <v>0.46286925618696084</v>
      </c>
      <c r="W161" s="252">
        <v>5.6177313919611319E-3</v>
      </c>
      <c r="X161" s="230">
        <v>1.6782379375608707E-2</v>
      </c>
      <c r="Y161" s="230">
        <v>5.5449618743894168E-2</v>
      </c>
      <c r="Z161" s="230">
        <v>4.0915004644573871E-2</v>
      </c>
      <c r="AA161" s="230">
        <v>1.8356101401485511E-2</v>
      </c>
      <c r="AB161" s="231">
        <v>0.3000312819706441</v>
      </c>
      <c r="AC161" s="253">
        <v>4.7884983387212102E-2</v>
      </c>
      <c r="AD161" s="230">
        <v>1.6489319648334336E-2</v>
      </c>
      <c r="AE161" s="230">
        <v>0.27973828203960216</v>
      </c>
      <c r="AF161" s="230">
        <v>9.170639917079168E-2</v>
      </c>
      <c r="AG161" s="231">
        <v>0.69771612629032265</v>
      </c>
      <c r="AH161" s="230">
        <v>4.2630742157126617E-2</v>
      </c>
      <c r="AI161" s="230"/>
      <c r="AJ161" s="231"/>
      <c r="AK161" s="230"/>
      <c r="AL161" s="230"/>
      <c r="AM161" s="230"/>
      <c r="AN161" s="231"/>
      <c r="AO161" s="894" t="s">
        <v>24</v>
      </c>
    </row>
    <row r="162" spans="1:41" ht="12.75" customHeight="1">
      <c r="A162" s="893" t="s">
        <v>25</v>
      </c>
      <c r="B162" s="230">
        <v>1.0485967741935482</v>
      </c>
      <c r="C162" s="230">
        <v>1.1669952846774194</v>
      </c>
      <c r="D162" s="230">
        <v>0.76517629435483869</v>
      </c>
      <c r="E162" s="230">
        <v>0.28548644181905264</v>
      </c>
      <c r="F162" s="230">
        <v>0.16551059535682602</v>
      </c>
      <c r="G162" s="230">
        <v>0.15635464297476692</v>
      </c>
      <c r="H162" s="230">
        <v>0.13525903601002701</v>
      </c>
      <c r="I162" s="230">
        <v>1.6346483977419353</v>
      </c>
      <c r="J162" s="230">
        <v>3.5454870999107515E-3</v>
      </c>
      <c r="K162" s="230">
        <v>0.12263468798040168</v>
      </c>
      <c r="L162" s="230">
        <v>1.0827421922043499</v>
      </c>
      <c r="M162" s="230">
        <v>0.27347630271071088</v>
      </c>
      <c r="N162" s="230">
        <v>0.79859741183089983</v>
      </c>
      <c r="O162" s="230">
        <v>3.4668374853221615</v>
      </c>
      <c r="P162" s="230">
        <v>0.12726344696853081</v>
      </c>
      <c r="Q162" s="230">
        <v>0.27820460905223499</v>
      </c>
      <c r="R162" s="230">
        <v>0.75048308925034701</v>
      </c>
      <c r="S162" s="231">
        <v>0.36763224081350449</v>
      </c>
      <c r="T162" s="231">
        <v>0.85062336530322535</v>
      </c>
      <c r="U162" s="251">
        <v>6.4530168036034874E-3</v>
      </c>
      <c r="V162" s="230">
        <v>0.45058620518034453</v>
      </c>
      <c r="W162" s="252">
        <v>5.1292642095519128E-3</v>
      </c>
      <c r="X162" s="230">
        <v>1.6723592564691712E-2</v>
      </c>
      <c r="Y162" s="230">
        <v>5.5394134569460622E-2</v>
      </c>
      <c r="Z162" s="230">
        <v>4.0539311800948323E-2</v>
      </c>
      <c r="AA162" s="230">
        <v>1.6120299188476541E-2</v>
      </c>
      <c r="AB162" s="231">
        <v>0.29976398909660729</v>
      </c>
      <c r="AC162" s="253">
        <v>4.8352879521374147E-2</v>
      </c>
      <c r="AD162" s="230">
        <v>1.6125958113809697E-2</v>
      </c>
      <c r="AE162" s="230">
        <v>0.27957676367473167</v>
      </c>
      <c r="AF162" s="230">
        <v>8.896944518542195E-2</v>
      </c>
      <c r="AG162" s="231">
        <v>0.68690504596774227</v>
      </c>
      <c r="AH162" s="230">
        <v>4.3161304316652646E-2</v>
      </c>
      <c r="AI162" s="230"/>
      <c r="AJ162" s="231"/>
      <c r="AK162" s="230"/>
      <c r="AL162" s="230"/>
      <c r="AM162" s="230"/>
      <c r="AN162" s="231"/>
      <c r="AO162" s="894" t="s">
        <v>25</v>
      </c>
    </row>
    <row r="163" spans="1:41" ht="14.1" customHeight="1">
      <c r="A163" s="893" t="s">
        <v>26</v>
      </c>
      <c r="B163" s="230">
        <v>1.048046666666667</v>
      </c>
      <c r="C163" s="230">
        <v>1.1775746858333334</v>
      </c>
      <c r="D163" s="230">
        <v>0.7400965865000001</v>
      </c>
      <c r="E163" s="230">
        <v>0.28535384939070868</v>
      </c>
      <c r="F163" s="230">
        <v>0.16453966611764884</v>
      </c>
      <c r="G163" s="230">
        <v>0.15783216579493339</v>
      </c>
      <c r="H163" s="230">
        <v>0.13522822143242214</v>
      </c>
      <c r="I163" s="230">
        <v>1.6107656025000003</v>
      </c>
      <c r="J163" s="230">
        <v>3.5100260802476417E-3</v>
      </c>
      <c r="K163" s="230">
        <v>0.12539658052182995</v>
      </c>
      <c r="L163" s="230">
        <v>1.0794271406840403</v>
      </c>
      <c r="M163" s="230">
        <v>0.26795262546229481</v>
      </c>
      <c r="N163" s="230">
        <v>0.79111541614183334</v>
      </c>
      <c r="O163" s="230">
        <v>3.4688970760663818</v>
      </c>
      <c r="P163" s="230">
        <v>0.12699790883637604</v>
      </c>
      <c r="Q163" s="230">
        <v>0.2794095826573294</v>
      </c>
      <c r="R163" s="230">
        <v>0.74096037469135112</v>
      </c>
      <c r="S163" s="231">
        <v>0.34788416326981508</v>
      </c>
      <c r="T163" s="231">
        <v>0.87298362814370234</v>
      </c>
      <c r="U163" s="251">
        <v>5.9352728641758447E-3</v>
      </c>
      <c r="V163" s="230">
        <v>0.43882980753191847</v>
      </c>
      <c r="W163" s="252">
        <v>4.0435279824071997E-3</v>
      </c>
      <c r="X163" s="230">
        <v>1.5709070354137673E-2</v>
      </c>
      <c r="Y163" s="230">
        <v>5.3499667187145168E-2</v>
      </c>
      <c r="Z163" s="230">
        <v>4.0173271034123263E-2</v>
      </c>
      <c r="AA163" s="230">
        <v>1.5744019927106737E-2</v>
      </c>
      <c r="AB163" s="231">
        <v>0.29946158681899937</v>
      </c>
      <c r="AC163" s="253">
        <v>4.7858092217570446E-2</v>
      </c>
      <c r="AD163" s="230">
        <v>1.5818361323412175E-2</v>
      </c>
      <c r="AE163" s="230">
        <v>0.27947153947663977</v>
      </c>
      <c r="AF163" s="230">
        <v>8.8477068783908056E-2</v>
      </c>
      <c r="AG163" s="231">
        <v>0.66335698083333328</v>
      </c>
      <c r="AH163" s="230">
        <v>4.3480932404772667E-2</v>
      </c>
      <c r="AI163" s="230"/>
      <c r="AJ163" s="231"/>
      <c r="AK163" s="230"/>
      <c r="AL163" s="230"/>
      <c r="AM163" s="230"/>
      <c r="AN163" s="231"/>
      <c r="AO163" s="894" t="s">
        <v>26</v>
      </c>
    </row>
    <row r="164" spans="1:41" ht="14.1" customHeight="1">
      <c r="A164" s="893" t="s">
        <v>27</v>
      </c>
      <c r="B164" s="230">
        <v>1.0480999999999998</v>
      </c>
      <c r="C164" s="230">
        <v>1.1764853893548386</v>
      </c>
      <c r="D164" s="230">
        <v>0.75488144145161284</v>
      </c>
      <c r="E164" s="230">
        <v>0.28536209377776622</v>
      </c>
      <c r="F164" s="230">
        <v>0.16501620107039874</v>
      </c>
      <c r="G164" s="230">
        <v>0.15770146434869248</v>
      </c>
      <c r="H164" s="230">
        <v>0.13523735893864122</v>
      </c>
      <c r="I164" s="230">
        <v>1.6071126941935481</v>
      </c>
      <c r="J164" s="230">
        <v>3.4988122012437378E-3</v>
      </c>
      <c r="K164" s="230">
        <v>0.12579041976885613</v>
      </c>
      <c r="L164" s="230">
        <v>1.0817000025414005</v>
      </c>
      <c r="M164" s="230">
        <v>0.27092718248283659</v>
      </c>
      <c r="N164" s="230">
        <v>0.80196327145786594</v>
      </c>
      <c r="O164" s="230">
        <v>3.4693922273355917</v>
      </c>
      <c r="P164" s="230">
        <v>0.12673396330530026</v>
      </c>
      <c r="Q164" s="230">
        <v>0.27694972122235378</v>
      </c>
      <c r="R164" s="230">
        <v>0.7477569763216626</v>
      </c>
      <c r="S164" s="231">
        <v>0.35787546689170291</v>
      </c>
      <c r="T164" s="231">
        <v>0.87282227622382735</v>
      </c>
      <c r="U164" s="251">
        <v>6.031829620229575E-3</v>
      </c>
      <c r="V164" s="230">
        <v>0.43969291514687125</v>
      </c>
      <c r="W164" s="252">
        <v>3.803264273144479E-3</v>
      </c>
      <c r="X164" s="230">
        <v>1.5162321116843515E-2</v>
      </c>
      <c r="Y164" s="230">
        <v>5.292811893181433E-2</v>
      </c>
      <c r="Z164" s="230">
        <v>3.9570467426428758E-2</v>
      </c>
      <c r="AA164" s="230">
        <v>1.6616627433716745E-2</v>
      </c>
      <c r="AB164" s="231">
        <v>0.29946404127515247</v>
      </c>
      <c r="AC164" s="253">
        <v>4.7764199990906427E-2</v>
      </c>
      <c r="AD164" s="230">
        <v>1.6103855931582121E-2</v>
      </c>
      <c r="AE164" s="230">
        <v>0.27951209792840714</v>
      </c>
      <c r="AF164" s="230">
        <v>9.1465883047933808E-2</v>
      </c>
      <c r="AG164" s="231">
        <v>0.70053331451612921</v>
      </c>
      <c r="AH164" s="230">
        <v>4.3396311561569832E-2</v>
      </c>
      <c r="AI164" s="230"/>
      <c r="AJ164" s="231"/>
      <c r="AK164" s="230"/>
      <c r="AL164" s="230"/>
      <c r="AM164" s="230"/>
      <c r="AN164" s="231"/>
      <c r="AO164" s="894" t="s">
        <v>27</v>
      </c>
    </row>
    <row r="165" spans="1:41" ht="14.1" customHeight="1">
      <c r="A165" s="893" t="s">
        <v>28</v>
      </c>
      <c r="B165" s="230">
        <v>1.0503666666666662</v>
      </c>
      <c r="C165" s="230">
        <v>1.1302617953333334</v>
      </c>
      <c r="D165" s="230">
        <v>0.75214945033333314</v>
      </c>
      <c r="E165" s="230">
        <v>0.28597202602765381</v>
      </c>
      <c r="F165" s="230">
        <v>0.16489623650403751</v>
      </c>
      <c r="G165" s="230">
        <v>0.15150784792858835</v>
      </c>
      <c r="H165" s="230">
        <v>0.13552293558912534</v>
      </c>
      <c r="I165" s="230">
        <v>1.598199805833334</v>
      </c>
      <c r="J165" s="230">
        <v>3.5051654755467307E-3</v>
      </c>
      <c r="K165" s="230">
        <v>0.12119924105097318</v>
      </c>
      <c r="L165" s="230">
        <v>1.0427353059252125</v>
      </c>
      <c r="M165" s="230">
        <v>0.27037002503450397</v>
      </c>
      <c r="N165" s="230">
        <v>0.79257255224274314</v>
      </c>
      <c r="O165" s="230">
        <v>3.4576191967942593</v>
      </c>
      <c r="P165" s="230">
        <v>0.12179897478179846</v>
      </c>
      <c r="Q165" s="230">
        <v>0.2658305148752757</v>
      </c>
      <c r="R165" s="230">
        <v>0.74405526038727021</v>
      </c>
      <c r="S165" s="231">
        <v>0.36546593421573204</v>
      </c>
      <c r="T165" s="231">
        <v>0.85830242306169224</v>
      </c>
      <c r="U165" s="251">
        <v>5.9037563286048885E-3</v>
      </c>
      <c r="V165" s="230">
        <v>0.43833526722826532</v>
      </c>
      <c r="W165" s="252">
        <v>3.4661540216467395E-3</v>
      </c>
      <c r="X165" s="230">
        <v>1.4930153085549142E-2</v>
      </c>
      <c r="Y165" s="230">
        <v>5.2700421205821558E-2</v>
      </c>
      <c r="Z165" s="230">
        <v>3.8746487347093669E-2</v>
      </c>
      <c r="AA165" s="230">
        <v>1.6193652207904582E-2</v>
      </c>
      <c r="AB165" s="231">
        <v>0.30011190346920308</v>
      </c>
      <c r="AC165" s="253">
        <v>4.50162997375975E-2</v>
      </c>
      <c r="AD165" s="230">
        <v>1.5891268324324036E-2</v>
      </c>
      <c r="AE165" s="230">
        <v>0.28002373712012568</v>
      </c>
      <c r="AF165" s="230">
        <v>9.1240412466469759E-2</v>
      </c>
      <c r="AG165" s="231">
        <v>0.69126921683333331</v>
      </c>
      <c r="AH165" s="230">
        <v>4.1791791880136049E-2</v>
      </c>
      <c r="AI165" s="230"/>
      <c r="AJ165" s="231"/>
      <c r="AK165" s="230"/>
      <c r="AL165" s="230"/>
      <c r="AM165" s="230"/>
      <c r="AN165" s="231"/>
      <c r="AO165" s="894" t="s">
        <v>28</v>
      </c>
    </row>
    <row r="166" spans="1:41" ht="14.1" customHeight="1">
      <c r="A166" s="893" t="s">
        <v>29</v>
      </c>
      <c r="B166" s="230">
        <v>1.2289612903225804</v>
      </c>
      <c r="C166" s="230">
        <v>1.3397588054838707</v>
      </c>
      <c r="D166" s="230">
        <v>0.89098020403225819</v>
      </c>
      <c r="E166" s="230">
        <v>0.33459839821832427</v>
      </c>
      <c r="F166" s="230">
        <v>0.19036039989437981</v>
      </c>
      <c r="G166" s="230">
        <v>0.17955451743130393</v>
      </c>
      <c r="H166" s="230">
        <v>0.15855629447525096</v>
      </c>
      <c r="I166" s="230">
        <v>1.8422522683870974</v>
      </c>
      <c r="J166" s="230">
        <v>4.0977547192796102E-3</v>
      </c>
      <c r="K166" s="230">
        <v>0.14487976080722287</v>
      </c>
      <c r="L166" s="230">
        <v>1.2371320423444001</v>
      </c>
      <c r="M166" s="230">
        <v>0.31706179597495399</v>
      </c>
      <c r="N166" s="230">
        <v>0.89629502904062242</v>
      </c>
      <c r="O166" s="230">
        <v>4.0469966310651078</v>
      </c>
      <c r="P166" s="230">
        <v>0.14158686693487266</v>
      </c>
      <c r="Q166" s="230">
        <v>0.31258552081111957</v>
      </c>
      <c r="R166" s="230">
        <v>0.87313179072467284</v>
      </c>
      <c r="S166" s="231">
        <v>0.42111009677974026</v>
      </c>
      <c r="T166" s="231">
        <v>1.0111396978916511</v>
      </c>
      <c r="U166" s="251">
        <v>6.7138844832363024E-3</v>
      </c>
      <c r="V166" s="230">
        <v>0.51312410380064466</v>
      </c>
      <c r="W166" s="252">
        <v>3.7825470833768504E-3</v>
      </c>
      <c r="X166" s="230">
        <v>1.6290283501761711E-2</v>
      </c>
      <c r="Y166" s="230">
        <v>6.2514872667378915E-2</v>
      </c>
      <c r="Z166" s="230">
        <v>4.4357366599748191E-2</v>
      </c>
      <c r="AA166" s="230">
        <v>1.7585966586109784E-2</v>
      </c>
      <c r="AB166" s="231">
        <v>0.35904608294930884</v>
      </c>
      <c r="AC166" s="253">
        <v>5.2692044484566429E-2</v>
      </c>
      <c r="AD166" s="230">
        <v>1.8483038844771125E-2</v>
      </c>
      <c r="AE166" s="230">
        <v>0.32758159890794092</v>
      </c>
      <c r="AF166" s="230">
        <v>0.1047973397607383</v>
      </c>
      <c r="AG166" s="231">
        <v>0.83042042499999991</v>
      </c>
      <c r="AH166" s="230">
        <v>4.9563405026129333E-2</v>
      </c>
      <c r="AI166" s="230"/>
      <c r="AJ166" s="231"/>
      <c r="AK166" s="230"/>
      <c r="AL166" s="230"/>
      <c r="AM166" s="230"/>
      <c r="AN166" s="231"/>
      <c r="AO166" s="894" t="s">
        <v>29</v>
      </c>
    </row>
    <row r="167" spans="1:41" ht="14.1" customHeight="1">
      <c r="A167" s="221" t="s">
        <v>1839</v>
      </c>
      <c r="B167" s="247">
        <f>AVERAGE(B168:B179)</f>
        <v>1.5958779230008651</v>
      </c>
      <c r="C167" s="247">
        <f t="shared" ref="C167:AD167" si="9">AVERAGE(C168:C179)</f>
        <v>1.7658935033890282</v>
      </c>
      <c r="D167" s="247">
        <f t="shared" si="9"/>
        <v>1.1878767671196855</v>
      </c>
      <c r="E167" s="247">
        <f t="shared" si="9"/>
        <v>0.43449173952501913</v>
      </c>
      <c r="F167" s="247">
        <f t="shared" si="9"/>
        <v>0.24021482106460998</v>
      </c>
      <c r="G167" s="247">
        <f t="shared" si="9"/>
        <v>0.23718021236658357</v>
      </c>
      <c r="H167" s="247">
        <f t="shared" si="9"/>
        <v>0.20560351931737722</v>
      </c>
      <c r="I167" s="247">
        <f t="shared" si="9"/>
        <v>2.1612791376026603</v>
      </c>
      <c r="J167" s="247">
        <f t="shared" si="9"/>
        <v>4.9811097389763827E-3</v>
      </c>
      <c r="K167" s="247">
        <f t="shared" si="9"/>
        <v>0.18654497058064745</v>
      </c>
      <c r="L167" s="247">
        <f t="shared" si="9"/>
        <v>1.6203441327256825</v>
      </c>
      <c r="M167" s="247">
        <f t="shared" si="9"/>
        <v>0.41583900770537968</v>
      </c>
      <c r="N167" s="247">
        <f t="shared" si="9"/>
        <v>1.2054019561886948</v>
      </c>
      <c r="O167" s="247">
        <f t="shared" si="9"/>
        <v>5.2803595268683328</v>
      </c>
      <c r="P167" s="247">
        <f t="shared" si="9"/>
        <v>0.19016444676751612</v>
      </c>
      <c r="Q167" s="247">
        <f t="shared" si="9"/>
        <v>0.40487109798209459</v>
      </c>
      <c r="R167" s="247">
        <f t="shared" si="9"/>
        <v>1.1557079126917718</v>
      </c>
      <c r="S167" s="247">
        <f t="shared" si="9"/>
        <v>0.52881185334340008</v>
      </c>
      <c r="T167" s="247">
        <f t="shared" si="9"/>
        <v>1.4713257961377302</v>
      </c>
      <c r="U167" s="247">
        <f t="shared" si="9"/>
        <v>0.42492409634875994</v>
      </c>
      <c r="V167" s="247">
        <f t="shared" si="9"/>
        <v>0.67583563433859373</v>
      </c>
      <c r="W167" s="247">
        <f t="shared" si="9"/>
        <v>4.6743752140705605E-3</v>
      </c>
      <c r="X167" s="247">
        <f t="shared" si="9"/>
        <v>2.2782672876630855E-2</v>
      </c>
      <c r="Y167" s="247">
        <f t="shared" si="9"/>
        <v>8.0303517069475208E-2</v>
      </c>
      <c r="Z167" s="247">
        <f t="shared" si="9"/>
        <v>5.3929806682516478E-2</v>
      </c>
      <c r="AA167" s="247">
        <f t="shared" si="9"/>
        <v>2.3941955507349472E-2</v>
      </c>
      <c r="AB167" s="247">
        <f t="shared" si="9"/>
        <v>0.4654061065624675</v>
      </c>
      <c r="AC167" s="247">
        <f t="shared" si="9"/>
        <v>6.2489735430924807E-2</v>
      </c>
      <c r="AD167" s="247">
        <f t="shared" si="9"/>
        <v>2.3748320978396163E-2</v>
      </c>
      <c r="AE167" s="247">
        <f t="shared" ref="AE167:AF167" si="10">AVERAGE(AE168:AE179)</f>
        <v>0.42549215976103155</v>
      </c>
      <c r="AF167" s="247">
        <f t="shared" si="10"/>
        <v>0.13763289415177757</v>
      </c>
      <c r="AG167" s="247">
        <f t="shared" ref="AG167" si="11">AVERAGE(AG168:AG179)</f>
        <v>1.1138061070640066</v>
      </c>
      <c r="AH167" s="247">
        <v>4.1746610163370883E-2</v>
      </c>
      <c r="AI167" s="247"/>
      <c r="AJ167" s="247"/>
      <c r="AK167" s="247"/>
      <c r="AL167" s="247"/>
      <c r="AM167" s="247"/>
      <c r="AN167" s="247"/>
      <c r="AO167" s="65" t="s">
        <v>1839</v>
      </c>
    </row>
    <row r="168" spans="1:41" ht="14.1" customHeight="1">
      <c r="A168" s="893" t="s">
        <v>18</v>
      </c>
      <c r="B168" s="230">
        <v>1.5814290322580644</v>
      </c>
      <c r="C168" s="230">
        <v>1.720046606612903</v>
      </c>
      <c r="D168" s="230">
        <v>1.1139397756451612</v>
      </c>
      <c r="E168" s="230">
        <v>0.43055393078492882</v>
      </c>
      <c r="F168" s="230">
        <v>0.24081737431137409</v>
      </c>
      <c r="G168" s="230">
        <v>0.23050704289415722</v>
      </c>
      <c r="H168" s="230">
        <v>0.20332682410435787</v>
      </c>
      <c r="I168" s="230">
        <v>2.2860379343548387</v>
      </c>
      <c r="J168" s="230">
        <v>5.2497585652376147E-3</v>
      </c>
      <c r="K168" s="230">
        <v>0.18561814596558904</v>
      </c>
      <c r="L168" s="230">
        <v>1.5735008635568826</v>
      </c>
      <c r="M168" s="230">
        <v>0.40100788589042319</v>
      </c>
      <c r="N168" s="230">
        <v>1.1157342399168517</v>
      </c>
      <c r="O168" s="230">
        <v>5.2024515301748364</v>
      </c>
      <c r="P168" s="230">
        <v>0.1797722552331697</v>
      </c>
      <c r="Q168" s="230">
        <v>0.39166053896512953</v>
      </c>
      <c r="R168" s="230">
        <v>1.1051779445398697</v>
      </c>
      <c r="S168" s="231">
        <v>0.52744897196828466</v>
      </c>
      <c r="T168" s="231">
        <v>1.3345671735096039</v>
      </c>
      <c r="U168" s="251">
        <v>7.9550798717274145E-3</v>
      </c>
      <c r="V168" s="230">
        <v>0.65015780519107103</v>
      </c>
      <c r="W168" s="252">
        <v>4.3742544436166366E-3</v>
      </c>
      <c r="X168" s="230">
        <v>2.0768331418720358E-2</v>
      </c>
      <c r="Y168" s="230">
        <v>7.8109510667086823E-2</v>
      </c>
      <c r="Z168" s="230">
        <v>5.6242691876078131E-2</v>
      </c>
      <c r="AA168" s="230">
        <v>2.0629297769055071E-2</v>
      </c>
      <c r="AB168" s="231">
        <v>0.46517162157138731</v>
      </c>
      <c r="AC168" s="253">
        <v>6.5127864822154671E-2</v>
      </c>
      <c r="AD168" s="230">
        <v>2.3506913894377569E-2</v>
      </c>
      <c r="AE168" s="230">
        <v>0.42152122193094937</v>
      </c>
      <c r="AF168" s="230">
        <v>0.13171152973950406</v>
      </c>
      <c r="AG168" s="231">
        <v>1.0386881014516132</v>
      </c>
      <c r="AH168" s="230">
        <v>6.363818472244058E-2</v>
      </c>
      <c r="AI168" s="230"/>
      <c r="AJ168" s="231"/>
      <c r="AK168" s="230"/>
      <c r="AL168" s="230"/>
      <c r="AM168" s="230"/>
      <c r="AN168" s="231"/>
      <c r="AO168" s="894" t="s">
        <v>18</v>
      </c>
    </row>
    <row r="169" spans="1:41" ht="14.1" customHeight="1">
      <c r="A169" s="893" t="s">
        <v>19</v>
      </c>
      <c r="B169" s="230">
        <v>1.5724103448275859</v>
      </c>
      <c r="C169" s="230">
        <v>1.7489034482758619</v>
      </c>
      <c r="D169" s="230">
        <v>1.1221178053448275</v>
      </c>
      <c r="E169" s="230">
        <v>0.42809613765498727</v>
      </c>
      <c r="F169" s="230">
        <v>0.24010380907170994</v>
      </c>
      <c r="G169" s="230">
        <v>0.23433523123035685</v>
      </c>
      <c r="H169" s="230">
        <v>0.20206045062886852</v>
      </c>
      <c r="I169" s="230">
        <v>2.2525793103448271</v>
      </c>
      <c r="J169" s="230">
        <v>5.2088753193821578E-3</v>
      </c>
      <c r="K169" s="230">
        <v>0.1858975998221396</v>
      </c>
      <c r="L169" s="230">
        <v>1.5864645659974554</v>
      </c>
      <c r="M169" s="230">
        <v>0.40242110868701186</v>
      </c>
      <c r="N169" s="230">
        <v>1.1402949488492375</v>
      </c>
      <c r="O169" s="230">
        <v>5.2411373985462788</v>
      </c>
      <c r="P169" s="230">
        <v>0.18297924430134088</v>
      </c>
      <c r="Q169" s="230">
        <v>0.3972945129716684</v>
      </c>
      <c r="R169" s="230">
        <v>1.1194047672515388</v>
      </c>
      <c r="S169" s="231">
        <v>0.53437348777356308</v>
      </c>
      <c r="T169" s="231">
        <v>1.37291522401999</v>
      </c>
      <c r="U169" s="251">
        <v>7.2510029833866259E-3</v>
      </c>
      <c r="V169" s="230">
        <v>0.63344615067667709</v>
      </c>
      <c r="W169" s="252">
        <v>4.3760826232261511E-3</v>
      </c>
      <c r="X169" s="230">
        <v>2.084428412460685E-2</v>
      </c>
      <c r="Y169" s="230">
        <v>7.8262795385125039E-2</v>
      </c>
      <c r="Z169" s="230">
        <v>5.5353192374893702E-2</v>
      </c>
      <c r="AA169" s="230">
        <v>2.0413909134925145E-2</v>
      </c>
      <c r="AB169" s="231">
        <v>0.46286129888065669</v>
      </c>
      <c r="AC169" s="253">
        <v>5.9608689012592496E-2</v>
      </c>
      <c r="AD169" s="230">
        <v>2.3030538219119871E-2</v>
      </c>
      <c r="AE169" s="230">
        <v>0.41927159033086892</v>
      </c>
      <c r="AF169" s="230">
        <v>0.12905037202732672</v>
      </c>
      <c r="AG169" s="231">
        <v>1.0447093646551722</v>
      </c>
      <c r="AH169" s="230">
        <v>6.4683862716993612E-2</v>
      </c>
      <c r="AI169" s="230"/>
      <c r="AJ169" s="231"/>
      <c r="AK169" s="230"/>
      <c r="AL169" s="230"/>
      <c r="AM169" s="230"/>
      <c r="AN169" s="231"/>
      <c r="AO169" s="894" t="s">
        <v>19</v>
      </c>
    </row>
    <row r="170" spans="1:41" ht="14.1" customHeight="1">
      <c r="A170" s="893" t="s">
        <v>20</v>
      </c>
      <c r="B170" s="230">
        <v>1.6026548387096771</v>
      </c>
      <c r="C170" s="230">
        <v>1.7863741935483883</v>
      </c>
      <c r="D170" s="230">
        <v>1.2038669458064515</v>
      </c>
      <c r="E170" s="230">
        <v>0.43633821444827448</v>
      </c>
      <c r="F170" s="230">
        <v>0.24672866099508728</v>
      </c>
      <c r="G170" s="230">
        <v>0.23956276704509782</v>
      </c>
      <c r="H170" s="230">
        <v>0.20649584669810231</v>
      </c>
      <c r="I170" s="230">
        <v>2.2892451612903222</v>
      </c>
      <c r="J170" s="230">
        <v>5.308053833211296E-3</v>
      </c>
      <c r="K170" s="230">
        <v>0.19225164355422961</v>
      </c>
      <c r="L170" s="230">
        <v>1.6342731614499391</v>
      </c>
      <c r="M170" s="230">
        <v>0.41446822221455176</v>
      </c>
      <c r="N170" s="230">
        <v>1.2140128106083539</v>
      </c>
      <c r="O170" s="230">
        <v>5.3263399932937183</v>
      </c>
      <c r="P170" s="230">
        <v>0.18957317506823157</v>
      </c>
      <c r="Q170" s="230">
        <v>0.41562225824167048</v>
      </c>
      <c r="R170" s="230">
        <v>1.1688854553074839</v>
      </c>
      <c r="S170" s="231">
        <v>0.55655350670194748</v>
      </c>
      <c r="T170" s="231">
        <v>1.4219277484909769</v>
      </c>
      <c r="U170" s="251">
        <v>7.7472707666131815E-3</v>
      </c>
      <c r="V170" s="230">
        <v>0.67507150911186697</v>
      </c>
      <c r="W170" s="252">
        <v>4.6459923030461479E-3</v>
      </c>
      <c r="X170" s="230">
        <v>2.1885364006006203E-2</v>
      </c>
      <c r="Y170" s="230">
        <v>8.0987483870386484E-2</v>
      </c>
      <c r="Z170" s="230">
        <v>5.6121573286820589E-2</v>
      </c>
      <c r="AA170" s="230">
        <v>2.2860854904179894E-2</v>
      </c>
      <c r="AB170" s="231">
        <v>0.47215411591615836</v>
      </c>
      <c r="AC170" s="253">
        <v>6.0944094308261108E-2</v>
      </c>
      <c r="AD170" s="230">
        <v>2.3934810400214283E-2</v>
      </c>
      <c r="AE170" s="230">
        <v>0.42734977214562958</v>
      </c>
      <c r="AF170" s="230">
        <v>0.13541652403393079</v>
      </c>
      <c r="AG170" s="231">
        <v>1.0828440111290321</v>
      </c>
      <c r="AH170" s="230">
        <v>6.6049827004142858E-2</v>
      </c>
      <c r="AI170" s="230"/>
      <c r="AJ170" s="231"/>
      <c r="AK170" s="230"/>
      <c r="AL170" s="230"/>
      <c r="AM170" s="230"/>
      <c r="AN170" s="231"/>
      <c r="AO170" s="894" t="s">
        <v>20</v>
      </c>
    </row>
    <row r="171" spans="1:41" ht="14.1" customHeight="1">
      <c r="A171" s="893" t="s">
        <v>21</v>
      </c>
      <c r="B171" s="230">
        <v>1.5159333333333327</v>
      </c>
      <c r="C171" s="230">
        <v>1.7184755341666667</v>
      </c>
      <c r="D171" s="230">
        <v>1.1618337196666666</v>
      </c>
      <c r="E171" s="230">
        <v>0.41271013953919711</v>
      </c>
      <c r="F171" s="230">
        <v>0.23400022476744639</v>
      </c>
      <c r="G171" s="230">
        <v>0.23087890572114178</v>
      </c>
      <c r="H171" s="230">
        <v>0.19544163347417412</v>
      </c>
      <c r="I171" s="230">
        <v>2.1667129441666666</v>
      </c>
      <c r="J171" s="230">
        <v>5.0114843042972897E-3</v>
      </c>
      <c r="K171" s="230">
        <v>0.18648067296446252</v>
      </c>
      <c r="L171" s="230">
        <v>1.5721749754244791</v>
      </c>
      <c r="M171" s="230">
        <v>0.40175792039326069</v>
      </c>
      <c r="N171" s="230">
        <v>1.1799471169722566</v>
      </c>
      <c r="O171" s="230">
        <v>5.026025993155983</v>
      </c>
      <c r="P171" s="230">
        <v>0.18408900452909613</v>
      </c>
      <c r="Q171" s="230">
        <v>0.39897933220304937</v>
      </c>
      <c r="R171" s="230">
        <v>1.1220529420096219</v>
      </c>
      <c r="S171" s="231">
        <v>0.53450788976257801</v>
      </c>
      <c r="T171" s="231">
        <v>1.3821290446726617</v>
      </c>
      <c r="U171" s="251">
        <v>7.6272746065795382E-3</v>
      </c>
      <c r="V171" s="230">
        <v>0.67137364682608047</v>
      </c>
      <c r="W171" s="252">
        <v>4.5026358215603515E-3</v>
      </c>
      <c r="X171" s="230">
        <v>2.1796136630929549E-2</v>
      </c>
      <c r="Y171" s="230">
        <v>7.7212017416130971E-2</v>
      </c>
      <c r="Z171" s="230">
        <v>5.258043019110227E-2</v>
      </c>
      <c r="AA171" s="230">
        <v>2.2733178814308745E-2</v>
      </c>
      <c r="AB171" s="231">
        <v>0.44712467094084934</v>
      </c>
      <c r="AC171" s="253">
        <v>5.9197784011543568E-2</v>
      </c>
      <c r="AD171" s="230">
        <v>2.2794072818853647E-2</v>
      </c>
      <c r="AE171" s="230">
        <v>0.40422591534091123</v>
      </c>
      <c r="AF171" s="230">
        <v>0.13212218295276792</v>
      </c>
      <c r="AG171" s="231">
        <v>1.0441747793333331</v>
      </c>
      <c r="AH171" s="230">
        <v>6.3576454784819186E-2</v>
      </c>
      <c r="AI171" s="230"/>
      <c r="AJ171" s="231"/>
      <c r="AK171" s="230"/>
      <c r="AL171" s="230"/>
      <c r="AM171" s="230"/>
      <c r="AN171" s="231"/>
      <c r="AO171" s="894" t="s">
        <v>21</v>
      </c>
    </row>
    <row r="172" spans="1:41" ht="14.1" customHeight="1">
      <c r="A172" s="893" t="s">
        <v>22</v>
      </c>
      <c r="B172" s="230">
        <v>1.5020709677419355</v>
      </c>
      <c r="C172" s="230">
        <v>1.6992096774193541</v>
      </c>
      <c r="D172" s="230">
        <v>1.1004602646774191</v>
      </c>
      <c r="E172" s="230">
        <v>0.40894897478637177</v>
      </c>
      <c r="F172" s="230">
        <v>0.23013983796855686</v>
      </c>
      <c r="G172" s="230">
        <v>0.2284366215148019</v>
      </c>
      <c r="H172" s="230">
        <v>0.19348312274922336</v>
      </c>
      <c r="I172" s="230">
        <v>2.1844516129032261</v>
      </c>
      <c r="J172" s="230">
        <v>4.9559718551341917E-3</v>
      </c>
      <c r="K172" s="230">
        <v>0.18296886175849983</v>
      </c>
      <c r="L172" s="230">
        <v>1.5366240110942686</v>
      </c>
      <c r="M172" s="230">
        <v>0.3943063881468763</v>
      </c>
      <c r="N172" s="230">
        <v>1.1634015831536275</v>
      </c>
      <c r="O172" s="230">
        <v>4.9821693675487957</v>
      </c>
      <c r="P172" s="230">
        <v>0.18271775127480616</v>
      </c>
      <c r="Q172" s="230">
        <v>0.38577808734758712</v>
      </c>
      <c r="R172" s="230">
        <v>1.0971901371247572</v>
      </c>
      <c r="S172" s="231">
        <v>0.51119912411295665</v>
      </c>
      <c r="T172" s="231">
        <v>1.3810078921238815</v>
      </c>
      <c r="U172" s="251">
        <v>7.7153245393527048E-3</v>
      </c>
      <c r="V172" s="230">
        <v>0.68839184215461102</v>
      </c>
      <c r="W172" s="252">
        <v>4.5113472880022026E-3</v>
      </c>
      <c r="X172" s="230">
        <v>2.1977558075747305E-2</v>
      </c>
      <c r="Y172" s="230">
        <v>7.5920115140273012E-2</v>
      </c>
      <c r="Z172" s="230">
        <v>5.1661637112896272E-2</v>
      </c>
      <c r="AA172" s="230">
        <v>2.2824191636779741E-2</v>
      </c>
      <c r="AB172" s="231">
        <v>0.44421905846751458</v>
      </c>
      <c r="AC172" s="253">
        <v>5.9620906686502766E-2</v>
      </c>
      <c r="AD172" s="230">
        <v>2.2450605747151586E-2</v>
      </c>
      <c r="AE172" s="230">
        <v>0.40050410323762625</v>
      </c>
      <c r="AF172" s="230">
        <v>0.12800690029043657</v>
      </c>
      <c r="AG172" s="231">
        <v>1.0226058919354839</v>
      </c>
      <c r="AH172" s="230">
        <v>6.2871501451351688E-2</v>
      </c>
      <c r="AI172" s="230"/>
      <c r="AJ172" s="231"/>
      <c r="AK172" s="230"/>
      <c r="AL172" s="230"/>
      <c r="AM172" s="230"/>
      <c r="AN172" s="231"/>
      <c r="AO172" s="894" t="s">
        <v>22</v>
      </c>
    </row>
    <row r="173" spans="1:41" ht="14.1" customHeight="1">
      <c r="A173" s="893" t="s">
        <v>23</v>
      </c>
      <c r="B173" s="230">
        <v>1.515746666666667</v>
      </c>
      <c r="C173" s="230">
        <v>1.6993266666666669</v>
      </c>
      <c r="D173" s="230">
        <v>1.1181989531666665</v>
      </c>
      <c r="E173" s="230">
        <v>0.41267772587913776</v>
      </c>
      <c r="F173" s="230">
        <v>0.23000270056652361</v>
      </c>
      <c r="G173" s="230">
        <v>0.2285035245792352</v>
      </c>
      <c r="H173" s="230">
        <v>0.19526476718035829</v>
      </c>
      <c r="I173" s="230">
        <v>2.1481199999999991</v>
      </c>
      <c r="J173" s="230">
        <v>4.9790585082962191E-3</v>
      </c>
      <c r="K173" s="230">
        <v>0.18209169729161073</v>
      </c>
      <c r="L173" s="230">
        <v>1.56148562066401</v>
      </c>
      <c r="M173" s="230">
        <v>0.392456261223327</v>
      </c>
      <c r="N173" s="230">
        <v>1.1737989023451993</v>
      </c>
      <c r="O173" s="230">
        <v>5.0295266041659454</v>
      </c>
      <c r="P173" s="230">
        <v>0.18180273580716205</v>
      </c>
      <c r="Q173" s="230">
        <v>0.3862723271945368</v>
      </c>
      <c r="R173" s="230">
        <v>1.1173645698228256</v>
      </c>
      <c r="S173" s="231">
        <v>0.51832371374001451</v>
      </c>
      <c r="T173" s="231">
        <v>1.4403822126001478</v>
      </c>
      <c r="U173" s="251">
        <v>7.6200116138623614E-3</v>
      </c>
      <c r="V173" s="230">
        <v>0.6957252244294877</v>
      </c>
      <c r="W173" s="252">
        <v>4.5006575682308737E-3</v>
      </c>
      <c r="X173" s="230">
        <v>2.228790228793525E-2</v>
      </c>
      <c r="Y173" s="230">
        <v>7.6748120691662716E-2</v>
      </c>
      <c r="Z173" s="230">
        <v>5.1591951778697825E-2</v>
      </c>
      <c r="AA173" s="230">
        <v>2.3163655863421402E-2</v>
      </c>
      <c r="AB173" s="231">
        <v>0.44842197412912677</v>
      </c>
      <c r="AC173" s="253">
        <v>6.0742999217332394E-2</v>
      </c>
      <c r="AD173" s="230">
        <v>2.2519334660728467E-2</v>
      </c>
      <c r="AE173" s="230">
        <v>0.40416678961293395</v>
      </c>
      <c r="AF173" s="230">
        <v>0.12954387113447757</v>
      </c>
      <c r="AG173" s="231">
        <v>1.0629290631666668</v>
      </c>
      <c r="AH173" s="230">
        <v>6.2806479463604487E-2</v>
      </c>
      <c r="AI173" s="230"/>
      <c r="AJ173" s="231"/>
      <c r="AK173" s="230"/>
      <c r="AL173" s="230"/>
      <c r="AM173" s="230"/>
      <c r="AN173" s="231"/>
      <c r="AO173" s="894" t="s">
        <v>23</v>
      </c>
    </row>
    <row r="174" spans="1:41" ht="14.1" customHeight="1">
      <c r="A174" s="893" t="s">
        <v>24</v>
      </c>
      <c r="B174" s="230">
        <v>1.5600387096774191</v>
      </c>
      <c r="C174" s="230">
        <v>1.7276225806451608</v>
      </c>
      <c r="D174" s="230">
        <v>1.1742856775806454</v>
      </c>
      <c r="E174" s="230">
        <v>0.42473538741950939</v>
      </c>
      <c r="F174" s="230">
        <v>0.23374355562113813</v>
      </c>
      <c r="G174" s="230">
        <v>0.23224536525069675</v>
      </c>
      <c r="H174" s="230">
        <v>0.20112899441787893</v>
      </c>
      <c r="I174" s="230">
        <v>2.0595580645161293</v>
      </c>
      <c r="J174" s="230">
        <v>5.0940695659179771E-3</v>
      </c>
      <c r="K174" s="230">
        <v>0.18248884291927908</v>
      </c>
      <c r="L174" s="230">
        <v>1.5904827838257547</v>
      </c>
      <c r="M174" s="230">
        <v>0.4047514464267023</v>
      </c>
      <c r="N174" s="230">
        <v>1.1979424945906054</v>
      </c>
      <c r="O174" s="230">
        <v>5.1621996272750126</v>
      </c>
      <c r="P174" s="230">
        <v>0.18456213142601458</v>
      </c>
      <c r="Q174" s="230">
        <v>0.39325818882300506</v>
      </c>
      <c r="R174" s="230">
        <v>1.1556492665873785</v>
      </c>
      <c r="S174" s="231">
        <v>0.52720311824006039</v>
      </c>
      <c r="T174" s="231">
        <v>1.5014722327059302</v>
      </c>
      <c r="U174" s="251">
        <v>0.78204518171385373</v>
      </c>
      <c r="V174" s="230">
        <v>0.66550953800591695</v>
      </c>
      <c r="W174" s="252">
        <v>4.5738107487591885E-3</v>
      </c>
      <c r="X174" s="230">
        <v>2.3166778070056102E-2</v>
      </c>
      <c r="Y174" s="230">
        <v>7.8845875304476745E-2</v>
      </c>
      <c r="Z174" s="230">
        <v>5.2903527896162886E-2</v>
      </c>
      <c r="AA174" s="230">
        <v>2.4261383414193746E-2</v>
      </c>
      <c r="AB174" s="231">
        <v>0.46420066583039521</v>
      </c>
      <c r="AC174" s="253">
        <v>6.2880587053056367E-2</v>
      </c>
      <c r="AD174" s="230">
        <v>2.3207949490565344E-2</v>
      </c>
      <c r="AE174" s="230">
        <v>0.41594361490783111</v>
      </c>
      <c r="AF174" s="230">
        <v>0.13682021880415832</v>
      </c>
      <c r="AG174" s="231">
        <v>1.112780725967742</v>
      </c>
      <c r="AH174" s="230">
        <v>6.3892375732359924E-2</v>
      </c>
      <c r="AI174" s="230"/>
      <c r="AJ174" s="231"/>
      <c r="AK174" s="230"/>
      <c r="AL174" s="230"/>
      <c r="AM174" s="230"/>
      <c r="AN174" s="231"/>
      <c r="AO174" s="894" t="s">
        <v>24</v>
      </c>
    </row>
    <row r="175" spans="1:41" ht="14.1" customHeight="1">
      <c r="A175" s="893" t="s">
        <v>25</v>
      </c>
      <c r="B175" s="230">
        <v>1.6120612903225808</v>
      </c>
      <c r="C175" s="230">
        <v>1.807441935483872</v>
      </c>
      <c r="D175" s="230">
        <v>1.2307006717741933</v>
      </c>
      <c r="E175" s="230">
        <v>0.43889499412356897</v>
      </c>
      <c r="F175" s="230">
        <v>0.24242534891902737</v>
      </c>
      <c r="G175" s="230">
        <v>0.24290870262032274</v>
      </c>
      <c r="H175" s="230">
        <v>0.20785721043237654</v>
      </c>
      <c r="I175" s="230">
        <v>2.1135483870967744</v>
      </c>
      <c r="J175" s="230">
        <v>5.1861756775843969E-3</v>
      </c>
      <c r="K175" s="230">
        <v>0.19047280821324897</v>
      </c>
      <c r="L175" s="230">
        <v>1.6617297671431803</v>
      </c>
      <c r="M175" s="230">
        <v>0.42477326430463291</v>
      </c>
      <c r="N175" s="230">
        <v>1.2423218966546283</v>
      </c>
      <c r="O175" s="230">
        <v>5.3466158281082237</v>
      </c>
      <c r="P175" s="230">
        <v>0.19431927978049437</v>
      </c>
      <c r="Q175" s="230">
        <v>0.42033827713577782</v>
      </c>
      <c r="R175" s="230">
        <v>1.1968897873405921</v>
      </c>
      <c r="S175" s="231">
        <v>0.54434731566752736</v>
      </c>
      <c r="T175" s="231">
        <v>1.5924424969250293</v>
      </c>
      <c r="U175" s="251">
        <v>0.82309757256243898</v>
      </c>
      <c r="V175" s="230">
        <v>0.69495531579664871</v>
      </c>
      <c r="W175" s="252">
        <v>4.6893991350046571E-3</v>
      </c>
      <c r="X175" s="230">
        <v>2.3538645873073229E-2</v>
      </c>
      <c r="Y175" s="230">
        <v>8.1787395007955385E-2</v>
      </c>
      <c r="Z175" s="230">
        <v>5.4186227453361026E-2</v>
      </c>
      <c r="AA175" s="230">
        <v>2.4841693841917378E-2</v>
      </c>
      <c r="AB175" s="231">
        <v>0.46569677840714524</v>
      </c>
      <c r="AC175" s="253">
        <v>6.4263327660410693E-2</v>
      </c>
      <c r="AD175" s="230">
        <v>2.4089174426784973E-2</v>
      </c>
      <c r="AE175" s="230">
        <v>0.42985885541558061</v>
      </c>
      <c r="AF175" s="230">
        <v>0.14512582467306362</v>
      </c>
      <c r="AG175" s="231">
        <v>1.1661866770967746</v>
      </c>
      <c r="AH175" s="230">
        <v>6.6881504112183798E-2</v>
      </c>
      <c r="AI175" s="230"/>
      <c r="AJ175" s="231"/>
      <c r="AK175" s="230"/>
      <c r="AL175" s="230"/>
      <c r="AM175" s="230"/>
      <c r="AN175" s="231"/>
      <c r="AO175" s="894" t="s">
        <v>25</v>
      </c>
    </row>
    <row r="176" spans="1:41" ht="14.1" customHeight="1">
      <c r="A176" s="893" t="s">
        <v>26</v>
      </c>
      <c r="B176" s="230">
        <v>1.6347299999999991</v>
      </c>
      <c r="C176" s="230">
        <v>1.8337166666666669</v>
      </c>
      <c r="D176" s="230">
        <v>1.2421000223333334</v>
      </c>
      <c r="E176" s="230">
        <v>0.44507033409081553</v>
      </c>
      <c r="F176" s="230">
        <v>0.24497291650145567</v>
      </c>
      <c r="G176" s="230">
        <v>0.24623409956477058</v>
      </c>
      <c r="H176" s="230">
        <v>0.21075411777632247</v>
      </c>
      <c r="I176" s="230">
        <v>2.1546499999999997</v>
      </c>
      <c r="J176" s="230">
        <v>4.624151304602509E-3</v>
      </c>
      <c r="K176" s="230">
        <v>0.19182145391706945</v>
      </c>
      <c r="L176" s="230">
        <v>1.6785444537074985</v>
      </c>
      <c r="M176" s="230">
        <v>0.43423029505313515</v>
      </c>
      <c r="N176" s="230">
        <v>1.2514470012198344</v>
      </c>
      <c r="O176" s="230">
        <v>5.4219370772857935</v>
      </c>
      <c r="P176" s="230">
        <v>0.19905789971495289</v>
      </c>
      <c r="Q176" s="230">
        <v>0.42445425640071771</v>
      </c>
      <c r="R176" s="230">
        <v>1.2033681181290496</v>
      </c>
      <c r="S176" s="231">
        <v>0.55175291784238567</v>
      </c>
      <c r="T176" s="231">
        <v>1.6024589747158891</v>
      </c>
      <c r="U176" s="251">
        <v>0.83983746676091087</v>
      </c>
      <c r="V176" s="230">
        <v>0.70758090919409622</v>
      </c>
      <c r="W176" s="252">
        <v>4.8302302119583168E-3</v>
      </c>
      <c r="X176" s="230">
        <v>2.3734576551923178E-2</v>
      </c>
      <c r="Y176" s="230">
        <v>8.2835269869187655E-2</v>
      </c>
      <c r="Z176" s="230">
        <v>5.4767224368054548E-2</v>
      </c>
      <c r="AA176" s="230">
        <v>2.5357285379214511E-2</v>
      </c>
      <c r="AB176" s="231">
        <v>0.46795185542548801</v>
      </c>
      <c r="AC176" s="253">
        <v>6.2242249441238053E-2</v>
      </c>
      <c r="AD176" s="230">
        <v>2.4503596662658413E-2</v>
      </c>
      <c r="AE176" s="230">
        <v>0.43579511516150699</v>
      </c>
      <c r="AF176" s="230">
        <v>0.14749159627204414</v>
      </c>
      <c r="AG176" s="231">
        <v>1.1964046968333335</v>
      </c>
      <c r="AH176" s="230">
        <v>6.7861961724177897E-2</v>
      </c>
      <c r="AI176" s="230"/>
      <c r="AJ176" s="231"/>
      <c r="AK176" s="230"/>
      <c r="AL176" s="230"/>
      <c r="AM176" s="230"/>
      <c r="AN176" s="231"/>
      <c r="AO176" s="894" t="s">
        <v>26</v>
      </c>
    </row>
    <row r="177" spans="1:41" ht="14.1" customHeight="1">
      <c r="A177" s="893" t="s">
        <v>27</v>
      </c>
      <c r="B177" s="230">
        <v>1.6115870967741939</v>
      </c>
      <c r="C177" s="230">
        <v>1.777766451612903</v>
      </c>
      <c r="D177" s="230">
        <v>1.2268045259677423</v>
      </c>
      <c r="E177" s="230">
        <v>0.43877323336430446</v>
      </c>
      <c r="F177" s="230">
        <v>0.23961044673708876</v>
      </c>
      <c r="G177" s="230">
        <v>0.23892161616082661</v>
      </c>
      <c r="H177" s="230">
        <v>0.20775999542398657</v>
      </c>
      <c r="I177" s="230">
        <v>1.9935664516129037</v>
      </c>
      <c r="J177" s="230">
        <v>4.5493954938651947E-3</v>
      </c>
      <c r="K177" s="230">
        <v>0.1832173169600744</v>
      </c>
      <c r="L177" s="230">
        <v>1.6342427187338024</v>
      </c>
      <c r="M177" s="230">
        <v>0.42251186468381441</v>
      </c>
      <c r="N177" s="230">
        <v>1.2172281537396912</v>
      </c>
      <c r="O177" s="230">
        <v>5.3281694706388141</v>
      </c>
      <c r="P177" s="230">
        <v>0.19762263131592719</v>
      </c>
      <c r="Q177" s="230">
        <v>0.41263187629747472</v>
      </c>
      <c r="R177" s="230">
        <v>1.1648695123917709</v>
      </c>
      <c r="S177" s="231">
        <v>0.52496940809266657</v>
      </c>
      <c r="T177" s="231">
        <v>1.5538359537126343</v>
      </c>
      <c r="U177" s="251">
        <v>0.84249256633955205</v>
      </c>
      <c r="V177" s="230">
        <v>0.68256540126270904</v>
      </c>
      <c r="W177" s="252">
        <v>4.8522386748800677E-3</v>
      </c>
      <c r="X177" s="230">
        <v>2.3603876002811223E-2</v>
      </c>
      <c r="Y177" s="230">
        <v>8.1238035531127115E-2</v>
      </c>
      <c r="Z177" s="230">
        <v>5.2736720876965522E-2</v>
      </c>
      <c r="AA177" s="230">
        <v>2.5729561739294755E-2</v>
      </c>
      <c r="AB177" s="231">
        <v>0.46164525801503886</v>
      </c>
      <c r="AC177" s="253">
        <v>6.2609652342151031E-2</v>
      </c>
      <c r="AD177" s="230">
        <v>2.4136807249704861E-2</v>
      </c>
      <c r="AE177" s="230">
        <v>0.42962451135972063</v>
      </c>
      <c r="AF177" s="230">
        <v>0.14304102257198115</v>
      </c>
      <c r="AG177" s="231">
        <v>1.153935908064516</v>
      </c>
      <c r="AH177" s="230">
        <v>6.5790962060428795E-2</v>
      </c>
      <c r="AI177" s="230"/>
      <c r="AJ177" s="231"/>
      <c r="AK177" s="230"/>
      <c r="AL177" s="230"/>
      <c r="AM177" s="230"/>
      <c r="AN177" s="231"/>
      <c r="AO177" s="894" t="s">
        <v>27</v>
      </c>
    </row>
    <row r="178" spans="1:41" ht="14.1" customHeight="1">
      <c r="A178" s="893" t="s">
        <v>28</v>
      </c>
      <c r="B178" s="230">
        <v>1.6919566666666666</v>
      </c>
      <c r="C178" s="230">
        <v>1.8269866666666672</v>
      </c>
      <c r="D178" s="230">
        <v>1.2750254526666671</v>
      </c>
      <c r="E178" s="230">
        <v>0.4606634926158899</v>
      </c>
      <c r="F178" s="230">
        <v>0.24727265681929772</v>
      </c>
      <c r="G178" s="230">
        <v>0.24553565959533985</v>
      </c>
      <c r="H178" s="230">
        <v>0.21813970767001667</v>
      </c>
      <c r="I178" s="230">
        <v>2.1043733333333332</v>
      </c>
      <c r="J178" s="230">
        <v>4.7882524201266303E-3</v>
      </c>
      <c r="K178" s="230">
        <v>0.18540326888322667</v>
      </c>
      <c r="L178" s="230">
        <v>1.6988455095994088</v>
      </c>
      <c r="M178" s="230">
        <v>0.44031815916287159</v>
      </c>
      <c r="N178" s="230">
        <v>1.2576760387507322</v>
      </c>
      <c r="O178" s="230">
        <v>5.5710871107506863</v>
      </c>
      <c r="P178" s="230">
        <v>0.20104553214597637</v>
      </c>
      <c r="Q178" s="230">
        <v>0.4165156939922226</v>
      </c>
      <c r="R178" s="230">
        <v>1.1991682318327794</v>
      </c>
      <c r="S178" s="231">
        <v>0.51497272316144715</v>
      </c>
      <c r="T178" s="231">
        <v>1.5643801517417517</v>
      </c>
      <c r="U178" s="251">
        <v>0.87422907170306685</v>
      </c>
      <c r="V178" s="230">
        <v>0.68462272650641276</v>
      </c>
      <c r="W178" s="252">
        <v>4.9872995276221722E-3</v>
      </c>
      <c r="X178" s="230">
        <v>2.4536315093521281E-2</v>
      </c>
      <c r="Y178" s="230">
        <v>8.4662760100225401E-2</v>
      </c>
      <c r="Z178" s="230">
        <v>5.4106487986559725E-2</v>
      </c>
      <c r="AA178" s="230">
        <v>2.6290938493907342E-2</v>
      </c>
      <c r="AB178" s="231">
        <v>0.48396105232387576</v>
      </c>
      <c r="AC178" s="253">
        <v>6.5828690184897176E-2</v>
      </c>
      <c r="AD178" s="230">
        <v>2.5029151485013154E-2</v>
      </c>
      <c r="AE178" s="230">
        <v>0.4511151514488127</v>
      </c>
      <c r="AF178" s="230">
        <v>0.14548854745774598</v>
      </c>
      <c r="AG178" s="231">
        <v>1.2089084091666671</v>
      </c>
      <c r="AH178" s="230">
        <v>6.7590617417509366E-2</v>
      </c>
      <c r="AI178" s="230"/>
      <c r="AJ178" s="231"/>
      <c r="AK178" s="230"/>
      <c r="AL178" s="230"/>
      <c r="AM178" s="230"/>
      <c r="AN178" s="231"/>
      <c r="AO178" s="894" t="s">
        <v>28</v>
      </c>
    </row>
    <row r="179" spans="1:41" ht="14.1" customHeight="1">
      <c r="A179" s="893" t="s">
        <v>29</v>
      </c>
      <c r="B179" s="230">
        <v>1.7499161290322576</v>
      </c>
      <c r="C179" s="230">
        <v>1.8448516129032262</v>
      </c>
      <c r="D179" s="230">
        <v>1.2851873908064515</v>
      </c>
      <c r="E179" s="230">
        <v>0.47643830959324396</v>
      </c>
      <c r="F179" s="230">
        <v>0.25276032049661346</v>
      </c>
      <c r="G179" s="230">
        <v>0.24809301222225519</v>
      </c>
      <c r="H179" s="230">
        <v>0.22552956125286089</v>
      </c>
      <c r="I179" s="230">
        <v>2.1825064516129031</v>
      </c>
      <c r="J179" s="230">
        <v>4.8180700200611123E-3</v>
      </c>
      <c r="K179" s="230">
        <v>0.1898273347183396</v>
      </c>
      <c r="L179" s="230">
        <v>1.7157611615115127</v>
      </c>
      <c r="M179" s="230">
        <v>0.45706527627794941</v>
      </c>
      <c r="N179" s="230">
        <v>1.3110182874633189</v>
      </c>
      <c r="O179" s="230">
        <v>5.7266543214759027</v>
      </c>
      <c r="P179" s="230">
        <v>0.20443172061302145</v>
      </c>
      <c r="Q179" s="230">
        <v>0.41564782621229535</v>
      </c>
      <c r="R179" s="230">
        <v>1.2184742199635947</v>
      </c>
      <c r="S179" s="231">
        <v>0.50009006305736869</v>
      </c>
      <c r="T179" s="231">
        <v>1.5083904484342643</v>
      </c>
      <c r="U179" s="251">
        <v>0.89147133272377488</v>
      </c>
      <c r="V179" s="230">
        <v>0.66062754290754677</v>
      </c>
      <c r="W179" s="252">
        <v>5.2485542229399528E-3</v>
      </c>
      <c r="X179" s="230">
        <v>2.5252306384239767E-2</v>
      </c>
      <c r="Y179" s="230">
        <v>8.7032825850065124E-2</v>
      </c>
      <c r="Z179" s="230">
        <v>5.490601498860527E-2</v>
      </c>
      <c r="AA179" s="230">
        <v>2.8197515096995984E-2</v>
      </c>
      <c r="AB179" s="231">
        <v>0.50146492884197358</v>
      </c>
      <c r="AC179" s="253">
        <v>6.6809980430957414E-2</v>
      </c>
      <c r="AD179" s="230">
        <v>2.5776896685581786E-2</v>
      </c>
      <c r="AE179" s="230">
        <v>0.4665292762400079</v>
      </c>
      <c r="AF179" s="230">
        <v>0.14777613986389401</v>
      </c>
      <c r="AG179" s="231">
        <v>1.2315056559677418</v>
      </c>
      <c r="AH179" s="230">
        <v>6.8247456290771183E-2</v>
      </c>
      <c r="AI179" s="230"/>
      <c r="AJ179" s="231"/>
      <c r="AK179" s="230"/>
      <c r="AL179" s="230"/>
      <c r="AM179" s="230"/>
      <c r="AN179" s="231"/>
      <c r="AO179" s="894" t="s">
        <v>29</v>
      </c>
    </row>
    <row r="180" spans="1:41" ht="13.5" customHeight="1">
      <c r="A180" s="221" t="s">
        <v>1902</v>
      </c>
      <c r="B180" s="247">
        <f t="shared" ref="B180:AD180" si="12">AVERAGE(B181:B192)</f>
        <v>1.7211510029441881</v>
      </c>
      <c r="C180" s="247">
        <f t="shared" si="12"/>
        <v>1.9422979012846262</v>
      </c>
      <c r="D180" s="247">
        <f t="shared" si="12"/>
        <v>1.3189227749850547</v>
      </c>
      <c r="E180" s="247">
        <f t="shared" si="12"/>
        <v>0.46860152914810316</v>
      </c>
      <c r="F180" s="247">
        <f t="shared" si="12"/>
        <v>0.25466027811378239</v>
      </c>
      <c r="G180" s="247">
        <f t="shared" si="12"/>
        <v>0.26110831238092591</v>
      </c>
      <c r="H180" s="247">
        <f t="shared" si="12"/>
        <v>0.22089045609397603</v>
      </c>
      <c r="I180" s="247">
        <f t="shared" si="12"/>
        <v>2.2160943763568866</v>
      </c>
      <c r="J180" s="247">
        <f t="shared" si="12"/>
        <v>4.5344892305445505E-3</v>
      </c>
      <c r="K180" s="247">
        <f t="shared" si="12"/>
        <v>0.20156989221853475</v>
      </c>
      <c r="L180" s="247">
        <f t="shared" si="12"/>
        <v>1.7478313353100836</v>
      </c>
      <c r="M180" s="247">
        <f t="shared" si="12"/>
        <v>0.47829589741350015</v>
      </c>
      <c r="N180" s="247">
        <f t="shared" si="12"/>
        <v>1.3263700969759233</v>
      </c>
      <c r="O180" s="247">
        <f t="shared" si="12"/>
        <v>5.6728871813575124</v>
      </c>
      <c r="P180" s="247">
        <f t="shared" si="12"/>
        <v>0.20819853468335936</v>
      </c>
      <c r="Q180" s="247">
        <f t="shared" si="12"/>
        <v>0.4561365939136291</v>
      </c>
      <c r="R180" s="247">
        <f t="shared" si="12"/>
        <v>1.2461237410510018</v>
      </c>
      <c r="S180" s="247">
        <f t="shared" si="12"/>
        <v>0.4724673434732502</v>
      </c>
      <c r="T180" s="247">
        <f t="shared" si="12"/>
        <v>1.5339856288720108</v>
      </c>
      <c r="U180" s="247">
        <f t="shared" si="12"/>
        <v>0.89126970347225998</v>
      </c>
      <c r="V180" s="247">
        <f t="shared" si="12"/>
        <v>0.68588963829829075</v>
      </c>
      <c r="W180" s="247">
        <f t="shared" si="12"/>
        <v>5.2837749950899468E-3</v>
      </c>
      <c r="X180" s="247">
        <f t="shared" si="12"/>
        <v>2.4964036515669696E-2</v>
      </c>
      <c r="Y180" s="247">
        <f t="shared" si="12"/>
        <v>9.3455511772065306E-2</v>
      </c>
      <c r="Z180" s="247">
        <f t="shared" si="12"/>
        <v>3.8878278826169711E-2</v>
      </c>
      <c r="AA180" s="247">
        <f t="shared" si="12"/>
        <v>2.9512174678602055E-2</v>
      </c>
      <c r="AB180" s="247">
        <f t="shared" si="12"/>
        <v>0.49225415744973144</v>
      </c>
      <c r="AC180" s="247">
        <f t="shared" si="12"/>
        <v>6.4722984865363778E-2</v>
      </c>
      <c r="AD180" s="247">
        <f t="shared" si="12"/>
        <v>2.6423034278258983E-2</v>
      </c>
      <c r="AE180" s="247">
        <f t="shared" ref="AE180:AF180" si="13">AVERAGE(AE181:AE192)</f>
        <v>0.45893662973597077</v>
      </c>
      <c r="AF180" s="247">
        <f t="shared" si="13"/>
        <v>0.15217779670287521</v>
      </c>
      <c r="AG180" s="247">
        <f t="shared" ref="AG180" si="14">AVERAGE(AG181:AG192)</f>
        <v>1.2229085071054469</v>
      </c>
      <c r="AH180" s="247">
        <v>7.3843593654358261E-2</v>
      </c>
      <c r="AI180" s="247"/>
      <c r="AJ180" s="247"/>
      <c r="AK180" s="247"/>
      <c r="AL180" s="247"/>
      <c r="AM180" s="247"/>
      <c r="AN180" s="247"/>
      <c r="AO180" s="65" t="s">
        <v>1902</v>
      </c>
    </row>
    <row r="181" spans="1:41" ht="14.1" customHeight="1">
      <c r="A181" s="893" t="s">
        <v>18</v>
      </c>
      <c r="B181" s="230">
        <v>1.8179419354838704</v>
      </c>
      <c r="C181" s="230">
        <v>1.9323387096774194</v>
      </c>
      <c r="D181" s="230">
        <v>1.3535429230645157</v>
      </c>
      <c r="E181" s="230">
        <v>0.49495488868913706</v>
      </c>
      <c r="F181" s="230">
        <v>0.26360760468112482</v>
      </c>
      <c r="G181" s="230">
        <v>0.25988411646421389</v>
      </c>
      <c r="H181" s="230">
        <v>0.23438424583345088</v>
      </c>
      <c r="I181" s="230">
        <v>2.2424419354838703</v>
      </c>
      <c r="J181" s="230">
        <v>4.6168781376571301E-3</v>
      </c>
      <c r="K181" s="230">
        <v>0.20303214192414537</v>
      </c>
      <c r="L181" s="230">
        <v>1.8027720734194714</v>
      </c>
      <c r="M181" s="230">
        <v>0.47607891227567584</v>
      </c>
      <c r="N181" s="230">
        <v>1.3747779480278774</v>
      </c>
      <c r="O181" s="230">
        <v>5.9503610266149813</v>
      </c>
      <c r="P181" s="230">
        <v>0.21448113539973385</v>
      </c>
      <c r="Q181" s="230">
        <v>0.44213035402897033</v>
      </c>
      <c r="R181" s="230">
        <v>1.2715643377714931</v>
      </c>
      <c r="S181" s="230">
        <v>0.48691377673136998</v>
      </c>
      <c r="T181" s="230">
        <v>1.5811904273145005</v>
      </c>
      <c r="U181" s="230">
        <v>0.93275646799422351</v>
      </c>
      <c r="V181" s="230">
        <v>0.67358173677565336</v>
      </c>
      <c r="W181" s="230">
        <v>5.4992226887513873E-3</v>
      </c>
      <c r="X181" s="230">
        <v>2.6200784752399644E-2</v>
      </c>
      <c r="Y181" s="230">
        <v>9.0720415256852996E-2</v>
      </c>
      <c r="Z181" s="230">
        <v>5.6156698265372409E-2</v>
      </c>
      <c r="AA181" s="230">
        <v>3.0434257371069261E-2</v>
      </c>
      <c r="AB181" s="230">
        <v>0.52011027146281186</v>
      </c>
      <c r="AC181" s="230">
        <v>6.691076541146021E-2</v>
      </c>
      <c r="AD181" s="230">
        <v>2.6699670656929332E-2</v>
      </c>
      <c r="AE181" s="230">
        <v>0.48471156014854072</v>
      </c>
      <c r="AF181" s="230">
        <v>0.15389973416357225</v>
      </c>
      <c r="AG181" s="230">
        <v>1.2938398517741936</v>
      </c>
      <c r="AH181" s="230">
        <v>7.1510687648433255E-2</v>
      </c>
      <c r="AI181" s="230"/>
      <c r="AJ181" s="230"/>
      <c r="AK181" s="230"/>
      <c r="AL181" s="230"/>
      <c r="AM181" s="230"/>
      <c r="AN181" s="230"/>
      <c r="AO181" s="894" t="s">
        <v>18</v>
      </c>
    </row>
    <row r="182" spans="1:41" ht="14.1" customHeight="1">
      <c r="A182" s="893" t="s">
        <v>19</v>
      </c>
      <c r="B182" s="230">
        <v>1.7865821428571436</v>
      </c>
      <c r="C182" s="230">
        <v>1.9040714285714286</v>
      </c>
      <c r="D182" s="230">
        <v>1.370370288035714</v>
      </c>
      <c r="E182" s="230">
        <v>0.48642179701209332</v>
      </c>
      <c r="F182" s="230">
        <v>0.25994084977423965</v>
      </c>
      <c r="G182" s="230">
        <v>0.25609980856306552</v>
      </c>
      <c r="H182" s="230">
        <v>0.23023887172444882</v>
      </c>
      <c r="I182" s="230">
        <v>2.2338928571428571</v>
      </c>
      <c r="J182" s="230">
        <v>4.6415278817934546E-3</v>
      </c>
      <c r="K182" s="230">
        <v>0.20101805030869718</v>
      </c>
      <c r="L182" s="230">
        <v>1.7857257166279239</v>
      </c>
      <c r="M182" s="230">
        <v>0.47877766694751323</v>
      </c>
      <c r="N182" s="230">
        <v>1.3647770065714016</v>
      </c>
      <c r="O182" s="230">
        <v>5.8545383638088779</v>
      </c>
      <c r="P182" s="230">
        <v>0.21485509444916295</v>
      </c>
      <c r="Q182" s="230">
        <v>0.44170818055393973</v>
      </c>
      <c r="R182" s="230">
        <v>1.2630009878758293</v>
      </c>
      <c r="S182" s="230">
        <v>0.48668430789585126</v>
      </c>
      <c r="T182" s="230">
        <v>1.5797146759732941</v>
      </c>
      <c r="U182" s="230">
        <v>0.9422108778329249</v>
      </c>
      <c r="V182" s="230">
        <v>0.67656862842990095</v>
      </c>
      <c r="W182" s="230">
        <v>5.5882707921724945E-3</v>
      </c>
      <c r="X182" s="230">
        <v>2.5760131788002398E-2</v>
      </c>
      <c r="Y182" s="230">
        <v>8.9667434722657133E-2</v>
      </c>
      <c r="Z182" s="230">
        <v>5.431179217552308E-2</v>
      </c>
      <c r="AA182" s="230">
        <v>3.056729154022364E-2</v>
      </c>
      <c r="AB182" s="230">
        <v>0.51119243724310581</v>
      </c>
      <c r="AC182" s="230">
        <v>6.6068236857208931E-2</v>
      </c>
      <c r="AD182" s="230">
        <v>2.6645940801698961E-2</v>
      </c>
      <c r="AE182" s="230">
        <v>0.47637971929677059</v>
      </c>
      <c r="AF182" s="230">
        <v>0.15631456329993673</v>
      </c>
      <c r="AG182" s="230">
        <v>1.2911387244642858</v>
      </c>
      <c r="AH182" s="230">
        <v>7.046668158020894E-2</v>
      </c>
      <c r="AI182" s="230"/>
      <c r="AJ182" s="230"/>
      <c r="AK182" s="230"/>
      <c r="AL182" s="230"/>
      <c r="AM182" s="230"/>
      <c r="AN182" s="230"/>
      <c r="AO182" s="894" t="s">
        <v>19</v>
      </c>
    </row>
    <row r="183" spans="1:41" ht="14.1" customHeight="1">
      <c r="A183" s="893" t="s">
        <v>20</v>
      </c>
      <c r="B183" s="230">
        <v>1.7346903225806449</v>
      </c>
      <c r="C183" s="230">
        <v>1.8525709677419351</v>
      </c>
      <c r="D183" s="230">
        <v>1.3224394743548389</v>
      </c>
      <c r="E183" s="230">
        <v>0.47230565738113123</v>
      </c>
      <c r="F183" s="230">
        <v>0.25140114688866044</v>
      </c>
      <c r="G183" s="230">
        <v>0.24917380563016886</v>
      </c>
      <c r="H183" s="230">
        <v>0.2233932785276467</v>
      </c>
      <c r="I183" s="230">
        <v>2.1355548387096781</v>
      </c>
      <c r="J183" s="230">
        <v>4.5995925189071573E-3</v>
      </c>
      <c r="K183" s="230">
        <v>0.19438626105829057</v>
      </c>
      <c r="L183" s="230">
        <v>1.729285187538242</v>
      </c>
      <c r="M183" s="230">
        <v>0.47484312664197748</v>
      </c>
      <c r="N183" s="230">
        <v>1.2968390923679789</v>
      </c>
      <c r="O183" s="230">
        <v>5.6806583705432292</v>
      </c>
      <c r="P183" s="230">
        <v>0.20383673216526021</v>
      </c>
      <c r="Q183" s="230">
        <v>0.43096647813622851</v>
      </c>
      <c r="R183" s="230">
        <v>1.2326520280905549</v>
      </c>
      <c r="S183" s="230">
        <v>0.47178398059211207</v>
      </c>
      <c r="T183" s="230">
        <v>1.5280017467438638</v>
      </c>
      <c r="U183" s="230">
        <v>0.91352792712632835</v>
      </c>
      <c r="V183" s="230">
        <v>0.70027108268674387</v>
      </c>
      <c r="W183" s="230">
        <v>5.4877519288833478E-3</v>
      </c>
      <c r="X183" s="230">
        <v>2.5049913092846408E-2</v>
      </c>
      <c r="Y183" s="230">
        <v>8.7986576986107082E-2</v>
      </c>
      <c r="Z183" s="230">
        <v>5.0443297621791054E-2</v>
      </c>
      <c r="AA183" s="230">
        <v>2.9863558291488065E-2</v>
      </c>
      <c r="AB183" s="230">
        <v>0.49636905514537166</v>
      </c>
      <c r="AC183" s="230">
        <v>6.4274618249592644E-2</v>
      </c>
      <c r="AD183" s="230">
        <v>2.6290017034052302E-2</v>
      </c>
      <c r="AE183" s="230">
        <v>0.46248722965450262</v>
      </c>
      <c r="AF183" s="230">
        <v>0.15230879014188767</v>
      </c>
      <c r="AG183" s="230">
        <v>1.213567469677419</v>
      </c>
      <c r="AH183" s="230">
        <v>6.8550109367215992E-2</v>
      </c>
      <c r="AI183" s="230"/>
      <c r="AJ183" s="230"/>
      <c r="AK183" s="230"/>
      <c r="AL183" s="230"/>
      <c r="AM183" s="230"/>
      <c r="AN183" s="230"/>
      <c r="AO183" s="894" t="s">
        <v>20</v>
      </c>
    </row>
    <row r="184" spans="1:41" ht="14.1" customHeight="1">
      <c r="A184" s="893" t="s">
        <v>21</v>
      </c>
      <c r="B184" s="230">
        <v>1.7062599999999997</v>
      </c>
      <c r="C184" s="230">
        <v>1.8274599999999994</v>
      </c>
      <c r="D184" s="230">
        <v>1.2867652541666668</v>
      </c>
      <c r="E184" s="230">
        <v>0.46454864800563911</v>
      </c>
      <c r="F184" s="230">
        <v>0.24763188241818479</v>
      </c>
      <c r="G184" s="230">
        <v>0.24569856254416347</v>
      </c>
      <c r="H184" s="230">
        <v>0.21947504755799965</v>
      </c>
      <c r="I184" s="230">
        <v>2.1546400000000001</v>
      </c>
      <c r="J184" s="230">
        <v>4.6873675134672449E-3</v>
      </c>
      <c r="K184" s="230">
        <v>0.19042099443073074</v>
      </c>
      <c r="L184" s="230">
        <v>1.704604784046313</v>
      </c>
      <c r="M184" s="230">
        <v>0.46736251714149574</v>
      </c>
      <c r="N184" s="230">
        <v>1.2711826288872585</v>
      </c>
      <c r="O184" s="230">
        <v>5.5985449917770973</v>
      </c>
      <c r="P184" s="230">
        <v>0.19869861912435433</v>
      </c>
      <c r="Q184" s="230">
        <v>0.43121573845967148</v>
      </c>
      <c r="R184" s="230">
        <v>1.220557557987523</v>
      </c>
      <c r="S184" s="230">
        <v>0.46716392503479204</v>
      </c>
      <c r="T184" s="230">
        <v>1.5489062385221586</v>
      </c>
      <c r="U184" s="230">
        <v>0.90710449914423519</v>
      </c>
      <c r="V184" s="230">
        <v>0.70561061350475207</v>
      </c>
      <c r="W184" s="230">
        <v>5.4602995809633677E-3</v>
      </c>
      <c r="X184" s="230">
        <v>2.5032606425944303E-2</v>
      </c>
      <c r="Y184" s="230">
        <v>8.8430344653885717E-2</v>
      </c>
      <c r="Z184" s="230">
        <v>4.6688980405595513E-2</v>
      </c>
      <c r="AA184" s="230">
        <v>3.023007156653618E-2</v>
      </c>
      <c r="AB184" s="230">
        <v>0.48822119599916025</v>
      </c>
      <c r="AC184" s="230">
        <v>6.3580602617732046E-2</v>
      </c>
      <c r="AD184" s="230">
        <v>2.6443135946511723E-2</v>
      </c>
      <c r="AE184" s="230">
        <v>0.45497356437913522</v>
      </c>
      <c r="AF184" s="230">
        <v>0.15056737970421266</v>
      </c>
      <c r="AG184" s="230">
        <v>1.1901484245</v>
      </c>
      <c r="AH184" s="230">
        <v>6.808863901542872E-2</v>
      </c>
      <c r="AI184" s="230"/>
      <c r="AJ184" s="230"/>
      <c r="AK184" s="230"/>
      <c r="AL184" s="230"/>
      <c r="AM184" s="230"/>
      <c r="AN184" s="230"/>
      <c r="AO184" s="894" t="s">
        <v>21</v>
      </c>
    </row>
    <row r="185" spans="1:41" ht="14.1" customHeight="1">
      <c r="A185" s="893" t="s">
        <v>22</v>
      </c>
      <c r="B185" s="230">
        <v>1.7023419354838711</v>
      </c>
      <c r="C185" s="230">
        <v>1.8801548387096769</v>
      </c>
      <c r="D185" s="230">
        <v>1.2641834237096772</v>
      </c>
      <c r="E185" s="230">
        <v>0.46348185403797793</v>
      </c>
      <c r="F185" s="230">
        <v>0.24718039189623375</v>
      </c>
      <c r="G185" s="230">
        <v>0.25271572887741633</v>
      </c>
      <c r="H185" s="230">
        <v>0.21861431975356563</v>
      </c>
      <c r="I185" s="230">
        <v>2.1994032258064511</v>
      </c>
      <c r="J185" s="230">
        <v>4.5787000124066154E-3</v>
      </c>
      <c r="K185" s="230">
        <v>0.19364599003814359</v>
      </c>
      <c r="L185" s="230">
        <v>1.7247250183108622</v>
      </c>
      <c r="M185" s="230">
        <v>0.47355566297445556</v>
      </c>
      <c r="N185" s="230">
        <v>1.2502325091812381</v>
      </c>
      <c r="O185" s="230">
        <v>5.5997139691617877</v>
      </c>
      <c r="P185" s="230">
        <v>0.19975449116225416</v>
      </c>
      <c r="Q185" s="230">
        <v>0.44722402693672308</v>
      </c>
      <c r="R185" s="230">
        <v>1.2196716284614599</v>
      </c>
      <c r="S185" s="230">
        <v>0.47701819204421292</v>
      </c>
      <c r="T185" s="230">
        <v>1.5172710463790573</v>
      </c>
      <c r="U185" s="230">
        <v>0.91034476716658286</v>
      </c>
      <c r="V185" s="230">
        <v>0.70020046059122387</v>
      </c>
      <c r="W185" s="230">
        <v>5.4191208026202814E-3</v>
      </c>
      <c r="X185" s="230">
        <v>2.5106077589651169E-2</v>
      </c>
      <c r="Y185" s="230">
        <v>9.1680710699895931E-2</v>
      </c>
      <c r="Z185" s="230">
        <v>4.5075416500958983E-2</v>
      </c>
      <c r="AA185" s="230">
        <v>2.977248344078795E-2</v>
      </c>
      <c r="AB185" s="230">
        <v>0.48706670330291213</v>
      </c>
      <c r="AC185" s="230">
        <v>6.4456689628823657E-2</v>
      </c>
      <c r="AD185" s="230">
        <v>2.6415678404543959E-2</v>
      </c>
      <c r="AE185" s="230">
        <v>0.45392602623970746</v>
      </c>
      <c r="AF185" s="230">
        <v>0.1510973143210885</v>
      </c>
      <c r="AG185" s="230">
        <v>1.1793042827419353</v>
      </c>
      <c r="AH185" s="230">
        <v>7.0689438117078118E-2</v>
      </c>
      <c r="AI185" s="230"/>
      <c r="AJ185" s="230"/>
      <c r="AK185" s="230"/>
      <c r="AL185" s="230"/>
      <c r="AM185" s="230"/>
      <c r="AN185" s="230"/>
      <c r="AO185" s="894" t="s">
        <v>22</v>
      </c>
    </row>
    <row r="186" spans="1:41" ht="14.1" customHeight="1">
      <c r="A186" s="893" t="s">
        <v>23</v>
      </c>
      <c r="B186" s="230">
        <v>1.7021966666666661</v>
      </c>
      <c r="C186" s="230">
        <v>1.9082233333333336</v>
      </c>
      <c r="D186" s="230">
        <v>1.2830338973333328</v>
      </c>
      <c r="E186" s="230">
        <v>0.4634364484568772</v>
      </c>
      <c r="F186" s="230">
        <v>0.24987564514516178</v>
      </c>
      <c r="G186" s="230">
        <v>0.25657301808768801</v>
      </c>
      <c r="H186" s="230">
        <v>0.2183025471364724</v>
      </c>
      <c r="I186" s="230">
        <v>2.1768466666666666</v>
      </c>
      <c r="J186" s="230">
        <v>4.581280742295967E-3</v>
      </c>
      <c r="K186" s="230">
        <v>0.19563210430949587</v>
      </c>
      <c r="L186" s="230">
        <v>1.7562199332074215</v>
      </c>
      <c r="M186" s="230">
        <v>0.48139340285704474</v>
      </c>
      <c r="N186" s="230">
        <v>1.2773578818745299</v>
      </c>
      <c r="O186" s="230">
        <v>5.6089558961435753</v>
      </c>
      <c r="P186" s="230">
        <v>0.20094823009227364</v>
      </c>
      <c r="Q186" s="230">
        <v>0.4529060860760778</v>
      </c>
      <c r="R186" s="230">
        <v>1.2292844886873842</v>
      </c>
      <c r="S186" s="230">
        <v>0.48351145758602071</v>
      </c>
      <c r="T186" s="230">
        <v>1.5347515783621188</v>
      </c>
      <c r="U186" s="230">
        <v>0.89968594374829902</v>
      </c>
      <c r="V186" s="230">
        <v>0.70312814825831538</v>
      </c>
      <c r="W186" s="230">
        <v>5.3377973393965474E-3</v>
      </c>
      <c r="X186" s="230">
        <v>2.4852724611076023E-2</v>
      </c>
      <c r="Y186" s="230">
        <v>9.3476014074495239E-2</v>
      </c>
      <c r="Z186" s="230">
        <v>4.3674168275689471E-2</v>
      </c>
      <c r="AA186" s="230">
        <v>2.9410974865534796E-2</v>
      </c>
      <c r="AB186" s="230">
        <v>0.4870121945626063</v>
      </c>
      <c r="AC186" s="230">
        <v>6.5140723289114827E-2</v>
      </c>
      <c r="AD186" s="230">
        <v>2.6405800159000199E-2</v>
      </c>
      <c r="AE186" s="230">
        <v>0.45387957542520901</v>
      </c>
      <c r="AF186" s="230">
        <v>0.15058167630025221</v>
      </c>
      <c r="AG186" s="230">
        <v>1.2273578308333337</v>
      </c>
      <c r="AH186" s="230">
        <v>7.2629499289119756E-2</v>
      </c>
      <c r="AI186" s="230"/>
      <c r="AJ186" s="230"/>
      <c r="AK186" s="230"/>
      <c r="AL186" s="230"/>
      <c r="AM186" s="230"/>
      <c r="AN186" s="230"/>
      <c r="AO186" s="894" t="s">
        <v>23</v>
      </c>
    </row>
    <row r="187" spans="1:41" ht="14.1" customHeight="1">
      <c r="A187" s="893" t="s">
        <v>24</v>
      </c>
      <c r="B187" s="230">
        <v>1.7017354838709677</v>
      </c>
      <c r="C187" s="230">
        <v>1.9595709677419344</v>
      </c>
      <c r="D187" s="230">
        <v>1.3252637732258064</v>
      </c>
      <c r="E187" s="230">
        <v>0.46331104485381802</v>
      </c>
      <c r="F187" s="230">
        <v>0.25126755091520908</v>
      </c>
      <c r="G187" s="230">
        <v>0.26350836219469331</v>
      </c>
      <c r="H187" s="230">
        <v>0.21792978486482259</v>
      </c>
      <c r="I187" s="230">
        <v>2.2114903225806448</v>
      </c>
      <c r="J187" s="230">
        <v>4.6706065153587703E-3</v>
      </c>
      <c r="K187" s="230">
        <v>0.20423216280903495</v>
      </c>
      <c r="L187" s="230">
        <v>1.7719380435764618</v>
      </c>
      <c r="M187" s="230">
        <v>0.4804070596291804</v>
      </c>
      <c r="N187" s="230">
        <v>1.3360021171876424</v>
      </c>
      <c r="O187" s="230">
        <v>5.6200996559746308</v>
      </c>
      <c r="P187" s="230">
        <v>0.20811713332747545</v>
      </c>
      <c r="Q187" s="230">
        <v>0.46271760900606668</v>
      </c>
      <c r="R187" s="230">
        <v>1.2406156968625208</v>
      </c>
      <c r="S187" s="230">
        <v>0.47836116141298174</v>
      </c>
      <c r="T187" s="230">
        <v>1.5138253604346199</v>
      </c>
      <c r="U187" s="230">
        <v>0.87130371776409621</v>
      </c>
      <c r="V187" s="230">
        <v>0.70732700246249403</v>
      </c>
      <c r="W187" s="230">
        <v>5.2305348603714965E-3</v>
      </c>
      <c r="X187" s="230">
        <v>2.4578138069272039E-2</v>
      </c>
      <c r="Y187" s="230">
        <v>9.4039835907954658E-2</v>
      </c>
      <c r="Z187" s="230">
        <v>4.2357993634664214E-2</v>
      </c>
      <c r="AA187" s="230">
        <v>2.8550857595874772E-2</v>
      </c>
      <c r="AB187" s="230">
        <v>0.48688147806217602</v>
      </c>
      <c r="AC187" s="230">
        <v>6.5463679394504676E-2</v>
      </c>
      <c r="AD187" s="230">
        <v>2.6399653173508768E-2</v>
      </c>
      <c r="AE187" s="230">
        <v>0.45377797777285944</v>
      </c>
      <c r="AF187" s="230">
        <v>0.15011084467682256</v>
      </c>
      <c r="AG187" s="230">
        <v>1.2520230680645168</v>
      </c>
      <c r="AH187" s="230">
        <v>7.5090318247811802E-2</v>
      </c>
      <c r="AI187" s="230"/>
      <c r="AJ187" s="230"/>
      <c r="AK187" s="230"/>
      <c r="AL187" s="230"/>
      <c r="AM187" s="230"/>
      <c r="AN187" s="230"/>
      <c r="AO187" s="894" t="s">
        <v>24</v>
      </c>
    </row>
    <row r="188" spans="1:41" ht="14.1" customHeight="1">
      <c r="A188" s="893" t="s">
        <v>25</v>
      </c>
      <c r="B188" s="230">
        <v>1.7008161290322579</v>
      </c>
      <c r="C188" s="230">
        <v>2.0088290322580651</v>
      </c>
      <c r="D188" s="230">
        <v>1.3457435029032261</v>
      </c>
      <c r="E188" s="230">
        <v>0.46305626818053008</v>
      </c>
      <c r="F188" s="230">
        <v>0.25479948171751438</v>
      </c>
      <c r="G188" s="230">
        <v>0.27007955558843688</v>
      </c>
      <c r="H188" s="230">
        <v>0.21745621151030517</v>
      </c>
      <c r="I188" s="230">
        <v>2.2058032258064513</v>
      </c>
      <c r="J188" s="230">
        <v>4.5435634543955486E-3</v>
      </c>
      <c r="K188" s="230">
        <v>0.21022577649026675</v>
      </c>
      <c r="L188" s="230">
        <v>1.762547734015576</v>
      </c>
      <c r="M188" s="230">
        <v>0.47269378728867611</v>
      </c>
      <c r="N188" s="230">
        <v>1.3485069177832623</v>
      </c>
      <c r="O188" s="230">
        <v>5.6359192717650499</v>
      </c>
      <c r="P188" s="230">
        <v>0.21525252033192918</v>
      </c>
      <c r="Q188" s="230">
        <v>0.47098098684782458</v>
      </c>
      <c r="R188" s="230">
        <v>1.2497281406406777</v>
      </c>
      <c r="S188" s="230">
        <v>0.48412996107480494</v>
      </c>
      <c r="T188" s="230">
        <v>1.549683569515709</v>
      </c>
      <c r="U188" s="230">
        <v>0.87623056962146662</v>
      </c>
      <c r="V188" s="230">
        <v>0.70720810891064334</v>
      </c>
      <c r="W188" s="230">
        <v>5.1051226704707112E-3</v>
      </c>
      <c r="X188" s="230">
        <v>2.4616423722641816E-2</v>
      </c>
      <c r="Y188" s="230">
        <v>9.5187695644265269E-2</v>
      </c>
      <c r="Z188" s="230">
        <v>4.1051818645489388E-2</v>
      </c>
      <c r="AA188" s="230">
        <v>2.8550730300611872E-2</v>
      </c>
      <c r="AB188" s="230">
        <v>0.48637686960214394</v>
      </c>
      <c r="AC188" s="230">
        <v>6.6307304299214234E-2</v>
      </c>
      <c r="AD188" s="230">
        <v>2.6576676133882409E-2</v>
      </c>
      <c r="AE188" s="230">
        <v>0.45353282684098156</v>
      </c>
      <c r="AF188" s="230">
        <v>0.15022304496396197</v>
      </c>
      <c r="AG188" s="230">
        <v>1.2427916141935484</v>
      </c>
      <c r="AH188" s="230">
        <v>7.6952575823204847E-2</v>
      </c>
      <c r="AI188" s="230"/>
      <c r="AJ188" s="230"/>
      <c r="AK188" s="230"/>
      <c r="AL188" s="230"/>
      <c r="AM188" s="230"/>
      <c r="AN188" s="230"/>
      <c r="AO188" s="894" t="s">
        <v>25</v>
      </c>
    </row>
    <row r="189" spans="1:41" ht="14.1" customHeight="1">
      <c r="A189" s="893" t="s">
        <v>26</v>
      </c>
      <c r="B189" s="230">
        <v>1.700753333333334</v>
      </c>
      <c r="C189" s="230">
        <v>2.0271066666666662</v>
      </c>
      <c r="D189" s="230">
        <v>1.3547870331666665</v>
      </c>
      <c r="E189" s="230">
        <v>0.46303907699600089</v>
      </c>
      <c r="F189" s="230">
        <v>0.25895047307939023</v>
      </c>
      <c r="G189" s="230">
        <v>0.27244496991781636</v>
      </c>
      <c r="H189" s="230">
        <v>0.21767408526733154</v>
      </c>
      <c r="I189" s="230">
        <v>2.2603300000000002</v>
      </c>
      <c r="J189" s="230">
        <v>4.5635755429143865E-3</v>
      </c>
      <c r="K189" s="230">
        <v>0.21274550446541118</v>
      </c>
      <c r="L189" s="230">
        <v>1.7678389487147992</v>
      </c>
      <c r="M189" s="230">
        <v>0.48109904395738379</v>
      </c>
      <c r="N189" s="230">
        <v>1.3813650886380699</v>
      </c>
      <c r="O189" s="230">
        <v>5.64307771343897</v>
      </c>
      <c r="P189" s="230">
        <v>0.21731199679591379</v>
      </c>
      <c r="Q189" s="230">
        <v>0.47474431368183428</v>
      </c>
      <c r="R189" s="230">
        <v>1.2600755531731347</v>
      </c>
      <c r="S189" s="230">
        <v>0.49054412277782516</v>
      </c>
      <c r="T189" s="230">
        <v>1.5373190624393693</v>
      </c>
      <c r="U189" s="230">
        <v>0.8779857993063106</v>
      </c>
      <c r="V189" s="230">
        <v>0.68924785098377717</v>
      </c>
      <c r="W189" s="230">
        <v>5.0201396457205481E-3</v>
      </c>
      <c r="X189" s="230">
        <v>2.4705622873475643E-2</v>
      </c>
      <c r="Y189" s="230">
        <v>9.6289086904902899E-2</v>
      </c>
      <c r="Z189" s="230">
        <v>2.3652170308908187E-2</v>
      </c>
      <c r="AA189" s="230">
        <v>2.9445983384807289E-2</v>
      </c>
      <c r="AB189" s="230">
        <v>0.48648752280210511</v>
      </c>
      <c r="AC189" s="230">
        <v>6.5227731180210594E-2</v>
      </c>
      <c r="AD189" s="230">
        <v>2.6397872080411774E-2</v>
      </c>
      <c r="AE189" s="230">
        <v>0.4535124541742761</v>
      </c>
      <c r="AF189" s="230">
        <v>0.15017156072134405</v>
      </c>
      <c r="AG189" s="230">
        <v>1.2322100178333331</v>
      </c>
      <c r="AH189" s="230">
        <v>7.7731359082269164E-2</v>
      </c>
      <c r="AI189" s="230"/>
      <c r="AJ189" s="230"/>
      <c r="AK189" s="230"/>
      <c r="AL189" s="230"/>
      <c r="AM189" s="230"/>
      <c r="AN189" s="230"/>
      <c r="AO189" s="894" t="s">
        <v>26</v>
      </c>
    </row>
    <row r="190" spans="1:41" ht="14.1" customHeight="1">
      <c r="A190" s="893" t="s">
        <v>27</v>
      </c>
      <c r="B190" s="230">
        <v>1.7002000000000002</v>
      </c>
      <c r="C190" s="230">
        <v>1.9990151519354835</v>
      </c>
      <c r="D190" s="230">
        <v>1.3237345664516129</v>
      </c>
      <c r="E190" s="230">
        <v>0.46288832062675089</v>
      </c>
      <c r="F190" s="230">
        <v>0.25656053349326863</v>
      </c>
      <c r="G190" s="230">
        <v>0.26857465871921105</v>
      </c>
      <c r="H190" s="230">
        <v>0.21782314221260848</v>
      </c>
      <c r="I190" s="230">
        <v>2.2440731267741931</v>
      </c>
      <c r="J190" s="230">
        <v>4.4894735720619802E-3</v>
      </c>
      <c r="K190" s="230">
        <v>0.2080131270930799</v>
      </c>
      <c r="L190" s="230">
        <v>1.7322173012448632</v>
      </c>
      <c r="M190" s="230">
        <v>0.48430161583576942</v>
      </c>
      <c r="N190" s="230">
        <v>1.3512758333787145</v>
      </c>
      <c r="O190" s="230">
        <v>5.6275950170815454</v>
      </c>
      <c r="P190" s="230">
        <v>0.21266720388989518</v>
      </c>
      <c r="Q190" s="230">
        <v>0.46829550514866763</v>
      </c>
      <c r="R190" s="230">
        <v>1.2494886702224175</v>
      </c>
      <c r="S190" s="230">
        <v>0.46316828578824726</v>
      </c>
      <c r="T190" s="230">
        <v>1.5049938889102841</v>
      </c>
      <c r="U190" s="230">
        <v>0.86581620647958435</v>
      </c>
      <c r="V190" s="230">
        <v>0.68056517683423445</v>
      </c>
      <c r="W190" s="230">
        <v>5.0460134680012265E-3</v>
      </c>
      <c r="X190" s="230">
        <v>2.478426842130765E-2</v>
      </c>
      <c r="Y190" s="230">
        <v>9.7643709091705486E-2</v>
      </c>
      <c r="Z190" s="230">
        <v>2.1090116821259206E-2</v>
      </c>
      <c r="AA190" s="230">
        <v>2.9461918641927293E-2</v>
      </c>
      <c r="AB190" s="230">
        <v>0.48578623231297885</v>
      </c>
      <c r="AC190" s="230">
        <v>6.3813079618755306E-2</v>
      </c>
      <c r="AD190" s="230">
        <v>2.6122135093410742E-2</v>
      </c>
      <c r="AE190" s="230">
        <v>0.45336950743785065</v>
      </c>
      <c r="AF190" s="230">
        <v>0.14990065469751493</v>
      </c>
      <c r="AG190" s="230">
        <v>1.1977856743548387</v>
      </c>
      <c r="AH190" s="230">
        <v>7.7524227158552686E-2</v>
      </c>
      <c r="AI190" s="230"/>
      <c r="AJ190" s="230"/>
      <c r="AK190" s="230"/>
      <c r="AL190" s="230"/>
      <c r="AM190" s="230"/>
      <c r="AN190" s="230"/>
      <c r="AO190" s="894" t="s">
        <v>27</v>
      </c>
    </row>
    <row r="191" spans="1:41" ht="14.1" customHeight="1">
      <c r="A191" s="893">
        <v>11</v>
      </c>
      <c r="B191" s="230">
        <v>1.7002166666666665</v>
      </c>
      <c r="C191" s="230">
        <v>1.9953336971666671</v>
      </c>
      <c r="D191" s="230">
        <v>1.2970445306666667</v>
      </c>
      <c r="E191" s="230">
        <v>0.46289317662872614</v>
      </c>
      <c r="F191" s="230">
        <v>0.25677672713494898</v>
      </c>
      <c r="G191" s="230">
        <v>0.26811997372317808</v>
      </c>
      <c r="H191" s="230">
        <v>0.21783141843679624</v>
      </c>
      <c r="I191" s="230">
        <v>2.2465437016666669</v>
      </c>
      <c r="J191" s="230">
        <v>4.290507309050836E-3</v>
      </c>
      <c r="K191" s="230">
        <v>0.20298315954189267</v>
      </c>
      <c r="L191" s="230">
        <v>1.7142749719585213</v>
      </c>
      <c r="M191" s="230">
        <v>0.48350498181306761</v>
      </c>
      <c r="N191" s="230">
        <v>1.3328105079349291</v>
      </c>
      <c r="O191" s="230">
        <v>5.625508538127951</v>
      </c>
      <c r="P191" s="230">
        <v>0.20808318641720736</v>
      </c>
      <c r="Q191" s="230">
        <v>0.47180864561014668</v>
      </c>
      <c r="R191" s="230">
        <v>1.2539183211469962</v>
      </c>
      <c r="S191" s="230">
        <v>0.4382199846621353</v>
      </c>
      <c r="T191" s="230">
        <v>1.5066407476006101</v>
      </c>
      <c r="U191" s="230">
        <v>0.85330803864116378</v>
      </c>
      <c r="V191" s="230">
        <v>0.63627050743253999</v>
      </c>
      <c r="W191" s="230">
        <v>5.1140639867652046E-3</v>
      </c>
      <c r="X191" s="230">
        <v>2.4473460501940526E-2</v>
      </c>
      <c r="Y191" s="230">
        <v>9.7325959857663388E-2</v>
      </c>
      <c r="Z191" s="230">
        <v>2.1050107753287837E-2</v>
      </c>
      <c r="AA191" s="230">
        <v>2.884130628879987E-2</v>
      </c>
      <c r="AB191" s="230">
        <v>0.4858095233714505</v>
      </c>
      <c r="AC191" s="230">
        <v>6.365593049885003E-2</v>
      </c>
      <c r="AD191" s="230">
        <v>2.6214909978014515E-2</v>
      </c>
      <c r="AE191" s="230">
        <v>0.45336048423818087</v>
      </c>
      <c r="AF191" s="230">
        <v>0.15411084905759986</v>
      </c>
      <c r="AG191" s="230">
        <v>1.1710697216666663</v>
      </c>
      <c r="AH191" s="230">
        <v>7.8098837476729757E-2</v>
      </c>
      <c r="AI191" s="230"/>
      <c r="AJ191" s="230"/>
      <c r="AK191" s="230"/>
      <c r="AL191" s="230"/>
      <c r="AM191" s="230"/>
      <c r="AN191" s="230"/>
      <c r="AO191" s="894" t="s">
        <v>28</v>
      </c>
    </row>
    <row r="192" spans="1:41" ht="14.1" customHeight="1">
      <c r="A192" s="893" t="s">
        <v>29</v>
      </c>
      <c r="B192" s="230">
        <v>1.700077419354838</v>
      </c>
      <c r="C192" s="230">
        <v>2.0129000216129027</v>
      </c>
      <c r="D192" s="230">
        <v>1.3001646327419349</v>
      </c>
      <c r="E192" s="230">
        <v>0.46288116890855646</v>
      </c>
      <c r="F192" s="230">
        <v>0.25793105022145213</v>
      </c>
      <c r="G192" s="230">
        <v>0.27042718826105888</v>
      </c>
      <c r="H192" s="230">
        <v>0.2175625203022642</v>
      </c>
      <c r="I192" s="230">
        <v>2.2821126156451612</v>
      </c>
      <c r="J192" s="230">
        <v>4.1507975662255061E-3</v>
      </c>
      <c r="K192" s="230">
        <v>0.20250343415322827</v>
      </c>
      <c r="L192" s="230">
        <v>1.7218263110605503</v>
      </c>
      <c r="M192" s="230">
        <v>0.48553299159976204</v>
      </c>
      <c r="N192" s="230">
        <v>1.331313631878176</v>
      </c>
      <c r="O192" s="230">
        <v>5.629673361852447</v>
      </c>
      <c r="P192" s="230">
        <v>0.20437607304485245</v>
      </c>
      <c r="Q192" s="230">
        <v>0.47894120247739796</v>
      </c>
      <c r="R192" s="230">
        <v>1.2629274816920315</v>
      </c>
      <c r="S192" s="230">
        <v>0.44210896607864913</v>
      </c>
      <c r="T192" s="230">
        <v>1.5055292042685429</v>
      </c>
      <c r="U192" s="230">
        <v>0.84496162684190679</v>
      </c>
      <c r="V192" s="230">
        <v>0.65069634270921006</v>
      </c>
      <c r="W192" s="230">
        <v>5.0969621769627518E-3</v>
      </c>
      <c r="X192" s="230">
        <v>2.4408286339478752E-2</v>
      </c>
      <c r="Y192" s="230">
        <v>9.9018357464397896E-2</v>
      </c>
      <c r="Z192" s="230">
        <v>2.0986785505497176E-2</v>
      </c>
      <c r="AA192" s="230">
        <v>2.901666285556373E-2</v>
      </c>
      <c r="AB192" s="230">
        <v>0.48573640552995356</v>
      </c>
      <c r="AC192" s="230">
        <v>6.1776457338898132E-2</v>
      </c>
      <c r="AD192" s="230">
        <v>2.6464921877143149E-2</v>
      </c>
      <c r="AE192" s="230">
        <v>0.45332863122363554</v>
      </c>
      <c r="AF192" s="230">
        <v>0.15684714838630895</v>
      </c>
      <c r="AG192" s="230">
        <v>1.1836654051612909</v>
      </c>
      <c r="AH192" s="230">
        <v>7.8501822788945727E-2</v>
      </c>
      <c r="AI192" s="230"/>
      <c r="AJ192" s="230"/>
      <c r="AK192" s="230"/>
      <c r="AL192" s="230"/>
      <c r="AM192" s="230"/>
      <c r="AN192" s="230"/>
      <c r="AO192" s="894" t="s">
        <v>29</v>
      </c>
    </row>
    <row r="193" spans="1:41" ht="14.1" customHeight="1">
      <c r="A193" s="221" t="s">
        <v>2038</v>
      </c>
      <c r="B193" s="247">
        <f>AVERAGE(B194:B205)</f>
        <v>1.7000182795698928</v>
      </c>
      <c r="C193" s="247">
        <f t="shared" ref="C193:AD193" si="15">AVERAGE(C194:C205)</f>
        <v>2.009349931898202</v>
      </c>
      <c r="D193" s="247">
        <f t="shared" si="15"/>
        <v>1.2719028085336663</v>
      </c>
      <c r="E193" s="247">
        <f t="shared" si="15"/>
        <v>0.46284313704014973</v>
      </c>
      <c r="F193" s="247">
        <f t="shared" si="15"/>
        <v>0.2574301486161063</v>
      </c>
      <c r="G193" s="247">
        <f t="shared" si="15"/>
        <v>0.26960071357497317</v>
      </c>
      <c r="H193" s="247">
        <f t="shared" si="15"/>
        <v>0.21690594624092349</v>
      </c>
      <c r="I193" s="247">
        <f t="shared" si="15"/>
        <v>2.2708028223711918</v>
      </c>
      <c r="J193" s="247">
        <f t="shared" si="15"/>
        <v>3.9584262772437359E-3</v>
      </c>
      <c r="K193" s="247">
        <f t="shared" si="15"/>
        <v>0.19603404016884007</v>
      </c>
      <c r="L193" s="247">
        <f t="shared" si="15"/>
        <v>1.7390099949566105</v>
      </c>
      <c r="M193" s="247">
        <f t="shared" si="15"/>
        <v>0.473559561151359</v>
      </c>
      <c r="N193" s="247">
        <f t="shared" si="15"/>
        <v>1.3127109064837192</v>
      </c>
      <c r="O193" s="247">
        <f t="shared" si="15"/>
        <v>5.6278143861887058</v>
      </c>
      <c r="P193" s="247">
        <f t="shared" si="15"/>
        <v>0.20920215332612566</v>
      </c>
      <c r="Q193" s="247">
        <f t="shared" si="15"/>
        <v>0.47194345156671552</v>
      </c>
      <c r="R193" s="247">
        <f t="shared" si="15"/>
        <v>1.2608853119977661</v>
      </c>
      <c r="S193" s="247">
        <f t="shared" si="15"/>
        <v>0.36324775412156923</v>
      </c>
      <c r="T193" s="247">
        <f t="shared" si="15"/>
        <v>1.5401637241387018</v>
      </c>
      <c r="U193" s="247">
        <f t="shared" si="15"/>
        <v>0.83514205117453122</v>
      </c>
      <c r="V193" s="247">
        <f t="shared" si="15"/>
        <v>0.67194517339978199</v>
      </c>
      <c r="W193" s="247">
        <f t="shared" si="15"/>
        <v>4.9483596740986227E-3</v>
      </c>
      <c r="X193" s="247">
        <f t="shared" si="15"/>
        <v>2.4700459412636253E-2</v>
      </c>
      <c r="Y193" s="247">
        <f t="shared" si="15"/>
        <v>0.10123128874706938</v>
      </c>
      <c r="Z193" s="247">
        <f t="shared" si="15"/>
        <v>2.0916823305146961E-2</v>
      </c>
      <c r="AA193" s="247">
        <f t="shared" si="15"/>
        <v>2.7230669099730837E-2</v>
      </c>
      <c r="AB193" s="247">
        <f t="shared" si="15"/>
        <v>0.48574436497367257</v>
      </c>
      <c r="AC193" s="247">
        <f t="shared" si="15"/>
        <v>6.2583208035858928E-2</v>
      </c>
      <c r="AD193" s="247">
        <f t="shared" si="15"/>
        <v>2.4921767374481249E-2</v>
      </c>
      <c r="AE193" s="247">
        <f t="shared" ref="AE193:AF193" si="16">AVERAGE(AE194:AE205)</f>
        <v>0.45326255732167114</v>
      </c>
      <c r="AF193" s="247">
        <f t="shared" si="16"/>
        <v>0.15468403622023488</v>
      </c>
      <c r="AG193" s="247">
        <f t="shared" ref="AG193" si="17">AVERAGE(AG194:AG205)</f>
        <v>1.1777854195074886</v>
      </c>
      <c r="AH193" s="247">
        <v>7.834217810232709E-2</v>
      </c>
      <c r="AI193" s="247"/>
      <c r="AJ193" s="247"/>
      <c r="AK193" s="247"/>
      <c r="AL193" s="247"/>
      <c r="AM193" s="247"/>
      <c r="AN193" s="247"/>
      <c r="AO193" s="65" t="s">
        <v>2038</v>
      </c>
    </row>
    <row r="194" spans="1:41" ht="14.1" customHeight="1">
      <c r="A194" s="893" t="s">
        <v>18</v>
      </c>
      <c r="B194" s="230">
        <v>1.7000999999999993</v>
      </c>
      <c r="C194" s="230">
        <v>2.0704924295161287</v>
      </c>
      <c r="D194" s="230">
        <v>1.3504389524193545</v>
      </c>
      <c r="E194" s="230">
        <v>0.46286387546052438</v>
      </c>
      <c r="F194" s="230">
        <v>0.26433600862762546</v>
      </c>
      <c r="G194" s="230">
        <v>0.27807799834005503</v>
      </c>
      <c r="H194" s="230">
        <v>0.21739064749068457</v>
      </c>
      <c r="I194" s="230">
        <v>2.3436743987096778</v>
      </c>
      <c r="J194" s="230">
        <v>4.0831142635449026E-3</v>
      </c>
      <c r="K194" s="230">
        <v>0.21089825995691938</v>
      </c>
      <c r="L194" s="230">
        <v>1.7655992536013458</v>
      </c>
      <c r="M194" s="230">
        <v>0.49647442746336407</v>
      </c>
      <c r="N194" s="230">
        <v>1.366011872069181</v>
      </c>
      <c r="O194" s="230">
        <v>5.6510060656940073</v>
      </c>
      <c r="P194" s="230">
        <v>0.21436813308165489</v>
      </c>
      <c r="Q194" s="230">
        <v>0.49757162470212768</v>
      </c>
      <c r="R194" s="230">
        <v>1.2857338250711217</v>
      </c>
      <c r="S194" s="230">
        <v>0.45082060405697327</v>
      </c>
      <c r="T194" s="230">
        <v>1.5303113399749715</v>
      </c>
      <c r="U194" s="230">
        <v>0.85446072590623934</v>
      </c>
      <c r="V194" s="230">
        <v>0.66709463840855998</v>
      </c>
      <c r="W194" s="230">
        <v>5.203347224253153E-3</v>
      </c>
      <c r="X194" s="230">
        <v>2.4655582549363106E-2</v>
      </c>
      <c r="Y194" s="230">
        <v>0.10027683148596472</v>
      </c>
      <c r="Z194" s="230">
        <v>2.0870598842012325E-2</v>
      </c>
      <c r="AA194" s="230">
        <v>3.0007608577132396E-2</v>
      </c>
      <c r="AB194" s="230">
        <v>0.48589884957444124</v>
      </c>
      <c r="AC194" s="230">
        <v>5.9782517307097813E-2</v>
      </c>
      <c r="AD194" s="230">
        <v>2.6719110341884851E-2</v>
      </c>
      <c r="AE194" s="230">
        <v>0.45332326441306459</v>
      </c>
      <c r="AF194" s="230">
        <v>0.15946211326534387</v>
      </c>
      <c r="AG194" s="230">
        <v>1.2325674108064515</v>
      </c>
      <c r="AH194" s="230">
        <v>8.1353829697808633E-2</v>
      </c>
      <c r="AI194" s="230"/>
      <c r="AJ194" s="230"/>
      <c r="AK194" s="230"/>
      <c r="AL194" s="230"/>
      <c r="AM194" s="230"/>
      <c r="AN194" s="230"/>
      <c r="AO194" s="894" t="s">
        <v>18</v>
      </c>
    </row>
    <row r="195" spans="1:41" ht="14.1" customHeight="1">
      <c r="A195" s="893" t="s">
        <v>19</v>
      </c>
      <c r="B195" s="230">
        <v>1.7000999999999993</v>
      </c>
      <c r="C195" s="230">
        <v>2.1030240398214288</v>
      </c>
      <c r="D195" s="230">
        <v>1.3401523992857141</v>
      </c>
      <c r="E195" s="230">
        <v>0.46286279358939092</v>
      </c>
      <c r="F195" s="230">
        <v>0.26896984827660603</v>
      </c>
      <c r="G195" s="230">
        <v>0.28243191255411337</v>
      </c>
      <c r="H195" s="230">
        <v>0.21736008829381076</v>
      </c>
      <c r="I195" s="230">
        <v>2.3819899812500003</v>
      </c>
      <c r="J195" s="230">
        <v>3.7517374507606981E-3</v>
      </c>
      <c r="K195" s="230">
        <v>0.21190564154714989</v>
      </c>
      <c r="L195" s="230">
        <v>1.8225696092904151</v>
      </c>
      <c r="M195" s="230">
        <v>0.48670294085862492</v>
      </c>
      <c r="N195" s="230">
        <v>1.3552334390450427</v>
      </c>
      <c r="O195" s="230">
        <v>5.6708811718454673</v>
      </c>
      <c r="P195" s="230">
        <v>0.21741765078191691</v>
      </c>
      <c r="Q195" s="230">
        <v>0.50466034242791835</v>
      </c>
      <c r="R195" s="230">
        <v>1.2888649691630081</v>
      </c>
      <c r="S195" s="230">
        <v>0.44947769071031474</v>
      </c>
      <c r="T195" s="230">
        <v>1.576240815330161</v>
      </c>
      <c r="U195" s="230">
        <v>0.85994656295938843</v>
      </c>
      <c r="V195" s="230">
        <v>0.69034963904733437</v>
      </c>
      <c r="W195" s="230">
        <v>5.2835573743780983E-3</v>
      </c>
      <c r="X195" s="230">
        <v>2.487077925180502E-2</v>
      </c>
      <c r="Y195" s="230">
        <v>0.10200233941043524</v>
      </c>
      <c r="Z195" s="230">
        <v>2.0775632819944066E-2</v>
      </c>
      <c r="AA195" s="230">
        <v>2.9930642390997221E-2</v>
      </c>
      <c r="AB195" s="230">
        <v>0.48579249364982019</v>
      </c>
      <c r="AC195" s="230">
        <v>6.2610936441366949E-2</v>
      </c>
      <c r="AD195" s="230">
        <v>2.6416188418558285E-2</v>
      </c>
      <c r="AE195" s="230">
        <v>0.45332567708130461</v>
      </c>
      <c r="AF195" s="230">
        <v>0.15756151469474691</v>
      </c>
      <c r="AG195" s="230">
        <v>1.2435685039285713</v>
      </c>
      <c r="AH195" s="230">
        <v>8.3060908009085957E-2</v>
      </c>
      <c r="AI195" s="230"/>
      <c r="AJ195" s="230"/>
      <c r="AK195" s="230"/>
      <c r="AL195" s="230"/>
      <c r="AM195" s="230"/>
      <c r="AN195" s="230"/>
      <c r="AO195" s="894" t="s">
        <v>19</v>
      </c>
    </row>
    <row r="196" spans="1:41" ht="14.1" customHeight="1">
      <c r="A196" s="893" t="s">
        <v>20</v>
      </c>
      <c r="B196" s="230">
        <v>1.7000193548387104</v>
      </c>
      <c r="C196" s="230">
        <v>2.093688933870967</v>
      </c>
      <c r="D196" s="230">
        <v>1.3180058130645165</v>
      </c>
      <c r="E196" s="230">
        <v>0.46284320377966209</v>
      </c>
      <c r="F196" s="230">
        <v>0.26879163432332165</v>
      </c>
      <c r="G196" s="230">
        <v>0.28106919511494144</v>
      </c>
      <c r="H196" s="230">
        <v>0.21682649308610177</v>
      </c>
      <c r="I196" s="230">
        <v>2.3652833003225817</v>
      </c>
      <c r="J196" s="230">
        <v>3.7745019197560053E-3</v>
      </c>
      <c r="K196" s="230">
        <v>0.20638450791122506</v>
      </c>
      <c r="L196" s="230">
        <v>1.7928054565439879</v>
      </c>
      <c r="M196" s="230">
        <v>0.49091326084632336</v>
      </c>
      <c r="N196" s="230">
        <v>1.3115624555503989</v>
      </c>
      <c r="O196" s="230">
        <v>5.6672437803129654</v>
      </c>
      <c r="P196" s="230">
        <v>0.2186438843312693</v>
      </c>
      <c r="Q196" s="230">
        <v>0.49781163580283133</v>
      </c>
      <c r="R196" s="230">
        <v>1.291509169874987</v>
      </c>
      <c r="S196" s="230">
        <v>0.43807477526674476</v>
      </c>
      <c r="T196" s="230">
        <v>1.6031623462505105</v>
      </c>
      <c r="U196" s="230">
        <v>0.86782131433113796</v>
      </c>
      <c r="V196" s="230">
        <v>0.69508003134364393</v>
      </c>
      <c r="W196" s="230">
        <v>5.2978134207125639E-3</v>
      </c>
      <c r="X196" s="230">
        <v>2.4933935333088002E-2</v>
      </c>
      <c r="Y196" s="230">
        <v>0.10257783757295127</v>
      </c>
      <c r="Z196" s="230">
        <v>2.0864344853785709E-2</v>
      </c>
      <c r="AA196" s="230">
        <v>2.9749668300187968E-2</v>
      </c>
      <c r="AB196" s="230">
        <v>0.48571981566820277</v>
      </c>
      <c r="AC196" s="230">
        <v>6.4520684836577177E-2</v>
      </c>
      <c r="AD196" s="230">
        <v>2.6141374010524035E-2</v>
      </c>
      <c r="AE196" s="230">
        <v>0.45330768977883734</v>
      </c>
      <c r="AF196" s="230">
        <v>0.15872941559640907</v>
      </c>
      <c r="AG196" s="230">
        <v>1.23210547419355</v>
      </c>
      <c r="AH196" s="230">
        <v>8.2353404940332262E-2</v>
      </c>
      <c r="AI196" s="230"/>
      <c r="AJ196" s="230"/>
      <c r="AK196" s="230"/>
      <c r="AL196" s="230"/>
      <c r="AM196" s="230"/>
      <c r="AN196" s="230"/>
      <c r="AO196" s="894" t="s">
        <v>20</v>
      </c>
    </row>
    <row r="197" spans="1:41" ht="14.1" customHeight="1">
      <c r="A197" s="893" t="s">
        <v>21</v>
      </c>
      <c r="B197" s="230">
        <v>1.7000000000000006</v>
      </c>
      <c r="C197" s="230">
        <v>2.0870748333333338</v>
      </c>
      <c r="D197" s="230">
        <v>1.3068665000000002</v>
      </c>
      <c r="E197" s="230">
        <v>0.46283544800993076</v>
      </c>
      <c r="F197" s="230">
        <v>0.2699143433889557</v>
      </c>
      <c r="G197" s="230">
        <v>0.28019985504106348</v>
      </c>
      <c r="H197" s="230">
        <v>0.21660494371116812</v>
      </c>
      <c r="I197" s="230">
        <v>2.3930021666666663</v>
      </c>
      <c r="J197" s="230">
        <v>3.6917533821081965E-3</v>
      </c>
      <c r="K197" s="230">
        <v>0.20126073229015842</v>
      </c>
      <c r="L197" s="230">
        <v>1.7563938008870963</v>
      </c>
      <c r="M197" s="230">
        <v>0.48104155778260566</v>
      </c>
      <c r="N197" s="230">
        <v>1.3347876047738907</v>
      </c>
      <c r="O197" s="230">
        <v>5.6647226198447944</v>
      </c>
      <c r="P197" s="230">
        <v>0.21685239959728511</v>
      </c>
      <c r="Q197" s="230">
        <v>0.49782483366214275</v>
      </c>
      <c r="R197" s="230">
        <v>1.2923576584201293</v>
      </c>
      <c r="S197" s="230">
        <v>0.41897119056430759</v>
      </c>
      <c r="T197" s="230">
        <v>1.5800523028659099</v>
      </c>
      <c r="U197" s="230">
        <v>0.85014505237788618</v>
      </c>
      <c r="V197" s="230">
        <v>0.70058181513555517</v>
      </c>
      <c r="W197" s="230">
        <v>5.2330156010868805E-3</v>
      </c>
      <c r="X197" s="230">
        <v>2.4787600607635189E-2</v>
      </c>
      <c r="Y197" s="230">
        <v>0.10344734359299497</v>
      </c>
      <c r="Z197" s="230">
        <v>2.0952390782856229E-2</v>
      </c>
      <c r="AA197" s="230">
        <v>2.8144049194741332E-2</v>
      </c>
      <c r="AB197" s="230">
        <v>0.48580693507732137</v>
      </c>
      <c r="AC197" s="230">
        <v>6.5037306397247641E-2</v>
      </c>
      <c r="AD197" s="230">
        <v>2.5898148709182452E-2</v>
      </c>
      <c r="AE197" s="230">
        <v>0.45330593371071853</v>
      </c>
      <c r="AF197" s="230">
        <v>0.15912825169447944</v>
      </c>
      <c r="AG197" s="230">
        <v>1.2315536666666667</v>
      </c>
      <c r="AH197" s="230">
        <v>8.230028697552251E-2</v>
      </c>
      <c r="AI197" s="230"/>
      <c r="AJ197" s="230"/>
      <c r="AK197" s="230"/>
      <c r="AL197" s="230"/>
      <c r="AM197" s="230"/>
      <c r="AN197" s="230"/>
      <c r="AO197" s="894" t="s">
        <v>21</v>
      </c>
    </row>
    <row r="198" spans="1:41" ht="14.1" customHeight="1">
      <c r="A198" s="893" t="s">
        <v>22</v>
      </c>
      <c r="B198" s="230">
        <v>1.7000000000000008</v>
      </c>
      <c r="C198" s="230">
        <v>2.0127643548387097</v>
      </c>
      <c r="D198" s="230">
        <v>1.2803879032258063</v>
      </c>
      <c r="E198" s="230">
        <v>0.46282939839823134</v>
      </c>
      <c r="F198" s="230">
        <v>0.26693869477726656</v>
      </c>
      <c r="G198" s="230">
        <v>0.27021716002922219</v>
      </c>
      <c r="H198" s="230">
        <v>0.21660084207080887</v>
      </c>
      <c r="I198" s="230">
        <v>2.2931875806451618</v>
      </c>
      <c r="J198" s="230">
        <v>4.0543360690521524E-3</v>
      </c>
      <c r="K198" s="230">
        <v>0.1941775882327432</v>
      </c>
      <c r="L198" s="230">
        <v>1.7040570104024841</v>
      </c>
      <c r="M198" s="230">
        <v>0.47369279239706374</v>
      </c>
      <c r="N198" s="230">
        <v>1.3229389272883847</v>
      </c>
      <c r="O198" s="230">
        <v>5.6327978641209775</v>
      </c>
      <c r="P198" s="230">
        <v>0.21027581720065081</v>
      </c>
      <c r="Q198" s="230">
        <v>0.47006779283285227</v>
      </c>
      <c r="R198" s="230">
        <v>1.2702058131930607</v>
      </c>
      <c r="S198" s="230">
        <v>0.38592219967974584</v>
      </c>
      <c r="T198" s="230">
        <v>1.5497203923511127</v>
      </c>
      <c r="U198" s="230">
        <v>0.84686401072673367</v>
      </c>
      <c r="V198" s="230">
        <v>0.69233013798126086</v>
      </c>
      <c r="W198" s="230">
        <v>5.1807641570734897E-3</v>
      </c>
      <c r="X198" s="230">
        <v>2.4790403931737395E-2</v>
      </c>
      <c r="Y198" s="230">
        <v>0.10200937483071555</v>
      </c>
      <c r="Z198" s="230">
        <v>2.0853733770599119E-2</v>
      </c>
      <c r="AA198" s="230">
        <v>2.7306063529547762E-2</v>
      </c>
      <c r="AB198" s="230">
        <v>0.48571428571428571</v>
      </c>
      <c r="AC198" s="230">
        <v>6.4953818001475108E-2</v>
      </c>
      <c r="AD198" s="230">
        <v>2.5175088735204954E-2</v>
      </c>
      <c r="AE198" s="230">
        <v>0.45329395044197118</v>
      </c>
      <c r="AF198" s="230">
        <v>0.15796402345003568</v>
      </c>
      <c r="AG198" s="230">
        <v>1.1817495161290319</v>
      </c>
      <c r="AH198" s="230">
        <v>7.8559283030070454E-2</v>
      </c>
      <c r="AI198" s="230"/>
      <c r="AJ198" s="230"/>
      <c r="AK198" s="230"/>
      <c r="AL198" s="230"/>
      <c r="AM198" s="230"/>
      <c r="AN198" s="230"/>
      <c r="AO198" s="894" t="s">
        <v>22</v>
      </c>
    </row>
    <row r="199" spans="1:41" ht="14.1" customHeight="1">
      <c r="A199" s="893" t="s">
        <v>23</v>
      </c>
      <c r="B199" s="230">
        <v>1.7000000000000006</v>
      </c>
      <c r="C199" s="230">
        <v>1.9906603333333335</v>
      </c>
      <c r="D199" s="230">
        <v>1.2779835000000002</v>
      </c>
      <c r="E199" s="230">
        <v>0.46283334785620689</v>
      </c>
      <c r="F199" s="230">
        <v>0.26339523979061352</v>
      </c>
      <c r="G199" s="230">
        <v>0.26723406855393889</v>
      </c>
      <c r="H199" s="230">
        <v>0.21665320150787074</v>
      </c>
      <c r="I199" s="230">
        <v>2.2625215000000001</v>
      </c>
      <c r="J199" s="230">
        <v>4.024885065600785E-3</v>
      </c>
      <c r="K199" s="230">
        <v>0.19383006887388435</v>
      </c>
      <c r="L199" s="230">
        <v>1.7208513943050363</v>
      </c>
      <c r="M199" s="230">
        <v>0.47280236923057434</v>
      </c>
      <c r="N199" s="230">
        <v>1.2992950509359418</v>
      </c>
      <c r="O199" s="230">
        <v>5.6221415197443338</v>
      </c>
      <c r="P199" s="230">
        <v>0.20997867268002077</v>
      </c>
      <c r="Q199" s="230">
        <v>0.4627462102647712</v>
      </c>
      <c r="R199" s="230">
        <v>1.2639946296144078</v>
      </c>
      <c r="S199" s="230">
        <v>0.36854064756997867</v>
      </c>
      <c r="T199" s="230">
        <v>1.545818065174339</v>
      </c>
      <c r="U199" s="230">
        <v>0.84857488168340089</v>
      </c>
      <c r="V199" s="230">
        <v>0.69127398476684243</v>
      </c>
      <c r="W199" s="230">
        <v>5.0576047708510282E-3</v>
      </c>
      <c r="X199" s="230">
        <v>2.4882920200870511E-2</v>
      </c>
      <c r="Y199" s="230">
        <v>0.10089964106284879</v>
      </c>
      <c r="Z199" s="230">
        <v>2.0832105742579769E-2</v>
      </c>
      <c r="AA199" s="230">
        <v>2.710619789958375E-2</v>
      </c>
      <c r="AB199" s="230">
        <v>0.48571428571428571</v>
      </c>
      <c r="AC199" s="230">
        <v>6.4883319183139984E-2</v>
      </c>
      <c r="AD199" s="230">
        <v>2.5109999214592432E-2</v>
      </c>
      <c r="AE199" s="230">
        <v>0.45330553091428849</v>
      </c>
      <c r="AF199" s="230">
        <v>0.15603764874232506</v>
      </c>
      <c r="AG199" s="230">
        <v>1.1833558333333338</v>
      </c>
      <c r="AH199" s="230">
        <v>7.7197410769155039E-2</v>
      </c>
      <c r="AI199" s="230"/>
      <c r="AJ199" s="230"/>
      <c r="AK199" s="230"/>
      <c r="AL199" s="230"/>
      <c r="AM199" s="230"/>
      <c r="AN199" s="230"/>
      <c r="AO199" s="894" t="s">
        <v>23</v>
      </c>
    </row>
    <row r="200" spans="1:41" ht="14.1" customHeight="1">
      <c r="A200" s="893" t="s">
        <v>24</v>
      </c>
      <c r="B200" s="230">
        <v>1.7000000000000008</v>
      </c>
      <c r="C200" s="230">
        <v>1.9853395161290321</v>
      </c>
      <c r="D200" s="230">
        <v>1.2580000000000002</v>
      </c>
      <c r="E200" s="230">
        <v>0.4628354953918653</v>
      </c>
      <c r="F200" s="230">
        <v>0.25316000906131492</v>
      </c>
      <c r="G200" s="230">
        <v>0.26640851859900289</v>
      </c>
      <c r="H200" s="230">
        <v>0.21661868613383953</v>
      </c>
      <c r="I200" s="230">
        <v>2.2368983870967734</v>
      </c>
      <c r="J200" s="230">
        <v>3.9232103090953039E-3</v>
      </c>
      <c r="K200" s="230">
        <v>0.19242944127713124</v>
      </c>
      <c r="L200" s="230">
        <v>1.7082061686245649</v>
      </c>
      <c r="M200" s="230">
        <v>0.46665675420155306</v>
      </c>
      <c r="N200" s="230">
        <v>1.2929618258919533</v>
      </c>
      <c r="O200" s="230">
        <v>5.6158809080344785</v>
      </c>
      <c r="P200" s="230">
        <v>0.20896321895079217</v>
      </c>
      <c r="Q200" s="230">
        <v>0.45857372664622525</v>
      </c>
      <c r="R200" s="230">
        <v>1.2464949168593566</v>
      </c>
      <c r="S200" s="230">
        <v>0.35688070793425514</v>
      </c>
      <c r="T200" s="230">
        <v>1.5254899707085328</v>
      </c>
      <c r="U200" s="230">
        <v>0.85628607528326517</v>
      </c>
      <c r="V200" s="230">
        <v>0.69421792341744748</v>
      </c>
      <c r="W200" s="230">
        <v>4.9363109918855001E-3</v>
      </c>
      <c r="X200" s="230">
        <v>2.4924660125593526E-2</v>
      </c>
      <c r="Y200" s="230">
        <v>0.10190972532715196</v>
      </c>
      <c r="Z200" s="230">
        <v>2.1416822677279554E-2</v>
      </c>
      <c r="AA200" s="230">
        <v>2.7021883083911478E-2</v>
      </c>
      <c r="AB200" s="230">
        <v>0.48571428571428571</v>
      </c>
      <c r="AC200" s="230">
        <v>6.4393822502970863E-2</v>
      </c>
      <c r="AD200" s="230">
        <v>2.4745685404226218E-2</v>
      </c>
      <c r="AE200" s="230">
        <v>0.45329453529722202</v>
      </c>
      <c r="AF200" s="230">
        <v>0.15140057762625847</v>
      </c>
      <c r="AG200" s="230">
        <v>1.153759838709677</v>
      </c>
      <c r="AH200" s="230">
        <v>7.6769146468937496E-2</v>
      </c>
      <c r="AI200" s="230"/>
      <c r="AJ200" s="230"/>
      <c r="AK200" s="230"/>
      <c r="AL200" s="230"/>
      <c r="AM200" s="230"/>
      <c r="AN200" s="230"/>
      <c r="AO200" s="894" t="s">
        <v>24</v>
      </c>
    </row>
    <row r="201" spans="1:41" ht="14.1" customHeight="1">
      <c r="A201" s="893" t="s">
        <v>25</v>
      </c>
      <c r="B201" s="230">
        <v>1.7000000000000008</v>
      </c>
      <c r="C201" s="230">
        <v>1.9614901612903235</v>
      </c>
      <c r="D201" s="230">
        <v>1.2459464516129033</v>
      </c>
      <c r="E201" s="230">
        <v>0.46284626782153404</v>
      </c>
      <c r="F201" s="230">
        <v>0.24802735894941191</v>
      </c>
      <c r="G201" s="230">
        <v>0.26308583535164559</v>
      </c>
      <c r="H201" s="230">
        <v>0.21657426016623677</v>
      </c>
      <c r="I201" s="230">
        <v>2.187831451612904</v>
      </c>
      <c r="J201" s="230">
        <v>4.0101728731511662E-3</v>
      </c>
      <c r="K201" s="230">
        <v>0.18771457090581647</v>
      </c>
      <c r="L201" s="230">
        <v>1.7167977669157861</v>
      </c>
      <c r="M201" s="230">
        <v>0.46345387252482589</v>
      </c>
      <c r="N201" s="230">
        <v>1.3029768486374498</v>
      </c>
      <c r="O201" s="230">
        <v>5.6089325808710564</v>
      </c>
      <c r="P201" s="230">
        <v>0.20386482847071635</v>
      </c>
      <c r="Q201" s="230">
        <v>0.45764174598663243</v>
      </c>
      <c r="R201" s="230">
        <v>1.2415630745937274</v>
      </c>
      <c r="S201" s="230">
        <v>0.29333977387385313</v>
      </c>
      <c r="T201" s="230">
        <v>1.5307244675778691</v>
      </c>
      <c r="U201" s="230">
        <v>0.83364245108434498</v>
      </c>
      <c r="V201" s="230">
        <v>0.67343863389948766</v>
      </c>
      <c r="W201" s="230">
        <v>4.7644253389759906E-3</v>
      </c>
      <c r="X201" s="230">
        <v>2.4750394552775057E-2</v>
      </c>
      <c r="Y201" s="230">
        <v>0.10239107573239369</v>
      </c>
      <c r="Z201" s="230">
        <v>2.1581353000028829E-2</v>
      </c>
      <c r="AA201" s="230">
        <v>2.5669457980729591E-2</v>
      </c>
      <c r="AB201" s="230">
        <v>0.48571428571428571</v>
      </c>
      <c r="AC201" s="230">
        <v>6.1861325254389095E-2</v>
      </c>
      <c r="AD201" s="230">
        <v>2.4455512863331006E-2</v>
      </c>
      <c r="AE201" s="230">
        <v>0.45326685486515822</v>
      </c>
      <c r="AF201" s="230">
        <v>0.15150972348044014</v>
      </c>
      <c r="AG201" s="230">
        <v>1.1325729032258065</v>
      </c>
      <c r="AH201" s="230">
        <v>7.6376890705450423E-2</v>
      </c>
      <c r="AI201" s="230"/>
      <c r="AJ201" s="230"/>
      <c r="AK201" s="230"/>
      <c r="AL201" s="230"/>
      <c r="AM201" s="230"/>
      <c r="AN201" s="230"/>
      <c r="AO201" s="894" t="s">
        <v>25</v>
      </c>
    </row>
    <row r="202" spans="1:41" ht="14.1" customHeight="1">
      <c r="A202" s="893" t="s">
        <v>26</v>
      </c>
      <c r="B202" s="230">
        <v>1.7000000000000006</v>
      </c>
      <c r="C202" s="230">
        <v>1.9838744999999998</v>
      </c>
      <c r="D202" s="230">
        <v>1.2256518333333331</v>
      </c>
      <c r="E202" s="230">
        <v>0.46284069842569064</v>
      </c>
      <c r="F202" s="230">
        <v>0.24803907159912264</v>
      </c>
      <c r="G202" s="230">
        <v>0.26601432727385993</v>
      </c>
      <c r="H202" s="230">
        <v>0.21687135925506487</v>
      </c>
      <c r="I202" s="230">
        <v>2.2205966666666659</v>
      </c>
      <c r="J202" s="230">
        <v>4.047619047619049E-3</v>
      </c>
      <c r="K202" s="230">
        <v>0.18981550404556133</v>
      </c>
      <c r="L202" s="230">
        <v>1.7573059607167196</v>
      </c>
      <c r="M202" s="230">
        <v>0.4738412028320228</v>
      </c>
      <c r="N202" s="230">
        <v>1.3044763260591914</v>
      </c>
      <c r="O202" s="230">
        <v>5.6137123589220472</v>
      </c>
      <c r="P202" s="230">
        <v>0.20595982392963572</v>
      </c>
      <c r="Q202" s="230">
        <v>0.46141754416530939</v>
      </c>
      <c r="R202" s="230">
        <v>1.2404133051808086</v>
      </c>
      <c r="S202" s="230">
        <v>0.26853712521062373</v>
      </c>
      <c r="T202" s="230">
        <v>1.5188154237619333</v>
      </c>
      <c r="U202" s="230">
        <v>0.8040721678602567</v>
      </c>
      <c r="V202" s="230">
        <v>0.65219093154543606</v>
      </c>
      <c r="W202" s="230">
        <v>4.6300064773124603E-3</v>
      </c>
      <c r="X202" s="230">
        <v>2.4569511675598121E-2</v>
      </c>
      <c r="Y202" s="230">
        <v>0.10131440295568359</v>
      </c>
      <c r="Z202" s="230">
        <v>2.1228427896773996E-2</v>
      </c>
      <c r="AA202" s="230">
        <v>2.5130135734556469E-2</v>
      </c>
      <c r="AB202" s="230">
        <v>0.48571428571428571</v>
      </c>
      <c r="AC202" s="230">
        <v>6.0319476268163627E-2</v>
      </c>
      <c r="AD202" s="230">
        <v>2.3592172343725844E-2</v>
      </c>
      <c r="AE202" s="230">
        <v>0.45325295811975697</v>
      </c>
      <c r="AF202" s="230">
        <v>0.15195359958659435</v>
      </c>
      <c r="AG202" s="230">
        <v>1.1229604999999998</v>
      </c>
      <c r="AH202" s="230">
        <v>7.7415876049239413E-2</v>
      </c>
      <c r="AI202" s="230"/>
      <c r="AJ202" s="230"/>
      <c r="AK202" s="230"/>
      <c r="AL202" s="230"/>
      <c r="AM202" s="230"/>
      <c r="AN202" s="230"/>
      <c r="AO202" s="894" t="s">
        <v>26</v>
      </c>
    </row>
    <row r="203" spans="1:41" ht="14.1" customHeight="1">
      <c r="A203" s="893" t="s">
        <v>27</v>
      </c>
      <c r="B203" s="230">
        <v>1.7000000000000008</v>
      </c>
      <c r="C203" s="230">
        <v>1.9536454838709669</v>
      </c>
      <c r="D203" s="230">
        <v>1.2073043548387101</v>
      </c>
      <c r="E203" s="230">
        <v>0.46284037322691168</v>
      </c>
      <c r="F203" s="230">
        <v>0.24571117875860971</v>
      </c>
      <c r="G203" s="230">
        <v>0.26188769450481947</v>
      </c>
      <c r="H203" s="230">
        <v>0.21689809457647222</v>
      </c>
      <c r="I203" s="230">
        <v>2.2134329032258062</v>
      </c>
      <c r="J203" s="230">
        <v>4.047619047619049E-3</v>
      </c>
      <c r="K203" s="230">
        <v>0.1880436182621868</v>
      </c>
      <c r="L203" s="230">
        <v>1.7111704658400482</v>
      </c>
      <c r="M203" s="230">
        <v>0.46504648573711949</v>
      </c>
      <c r="N203" s="230">
        <v>1.3067995431434025</v>
      </c>
      <c r="O203" s="230">
        <v>5.6029652485038142</v>
      </c>
      <c r="P203" s="230">
        <v>0.20591274152864369</v>
      </c>
      <c r="Q203" s="230">
        <v>0.45384849801674682</v>
      </c>
      <c r="R203" s="230">
        <v>1.2323747417481767</v>
      </c>
      <c r="S203" s="230">
        <v>0.29166002815388814</v>
      </c>
      <c r="T203" s="230">
        <v>1.5069397684236157</v>
      </c>
      <c r="U203" s="230">
        <v>0.80031392646280286</v>
      </c>
      <c r="V203" s="230">
        <v>0.63939028561357947</v>
      </c>
      <c r="W203" s="230">
        <v>4.6323186700245383E-3</v>
      </c>
      <c r="X203" s="230">
        <v>2.4549336833977684E-2</v>
      </c>
      <c r="Y203" s="230">
        <v>9.9967418248837828E-2</v>
      </c>
      <c r="Z203" s="230">
        <v>2.0747742824985975E-2</v>
      </c>
      <c r="AA203" s="230">
        <v>2.5794281611344443E-2</v>
      </c>
      <c r="AB203" s="230">
        <v>0.48571428571428571</v>
      </c>
      <c r="AC203" s="230">
        <v>6.0469109690879562E-2</v>
      </c>
      <c r="AD203" s="230">
        <v>2.3101941544332757E-2</v>
      </c>
      <c r="AE203" s="230">
        <v>0.45320352521921498</v>
      </c>
      <c r="AF203" s="230">
        <v>0.1501322724911785</v>
      </c>
      <c r="AG203" s="230">
        <v>1.1092472580645163</v>
      </c>
      <c r="AH203" s="230">
        <v>7.5646583262654513E-2</v>
      </c>
      <c r="AI203" s="230"/>
      <c r="AJ203" s="230"/>
      <c r="AK203" s="230"/>
      <c r="AL203" s="230"/>
      <c r="AM203" s="230"/>
      <c r="AN203" s="230"/>
      <c r="AO203" s="894" t="s">
        <v>27</v>
      </c>
    </row>
    <row r="204" spans="1:41" ht="14.1" customHeight="1">
      <c r="A204" s="893" t="s">
        <v>28</v>
      </c>
      <c r="B204" s="230">
        <v>1.7000000000000006</v>
      </c>
      <c r="C204" s="230">
        <v>1.9341325000000003</v>
      </c>
      <c r="D204" s="230">
        <v>1.2324858333333333</v>
      </c>
      <c r="E204" s="230">
        <v>0.46284006835841712</v>
      </c>
      <c r="F204" s="230">
        <v>0.24501924444597781</v>
      </c>
      <c r="G204" s="230">
        <v>0.2592334357660851</v>
      </c>
      <c r="H204" s="230">
        <v>0.21708948131970862</v>
      </c>
      <c r="I204" s="230">
        <v>2.1961365000000002</v>
      </c>
      <c r="J204" s="230">
        <v>4.047619047619049E-3</v>
      </c>
      <c r="K204" s="230">
        <v>0.18777551905827369</v>
      </c>
      <c r="L204" s="230">
        <v>1.6982780947417981</v>
      </c>
      <c r="M204" s="230">
        <v>0.45896263715478119</v>
      </c>
      <c r="N204" s="230">
        <v>1.2899958970921934</v>
      </c>
      <c r="O204" s="230">
        <v>5.5920746255157221</v>
      </c>
      <c r="P204" s="230">
        <v>0.20103420119342436</v>
      </c>
      <c r="Q204" s="230">
        <v>0.44973803742502888</v>
      </c>
      <c r="R204" s="230">
        <v>1.236581534549092</v>
      </c>
      <c r="S204" s="230">
        <v>0.31638530227328854</v>
      </c>
      <c r="T204" s="230">
        <v>1.5003229432872029</v>
      </c>
      <c r="U204" s="230">
        <v>0.80188579645642888</v>
      </c>
      <c r="V204" s="230">
        <v>0.63003434474940545</v>
      </c>
      <c r="W204" s="230">
        <v>4.594428969658065E-3</v>
      </c>
      <c r="X204" s="230">
        <v>2.4350061232799206E-2</v>
      </c>
      <c r="Y204" s="230">
        <v>9.9234927109531287E-2</v>
      </c>
      <c r="Z204" s="230">
        <v>2.0559186466766129E-2</v>
      </c>
      <c r="AA204" s="230">
        <v>2.566577332530854E-2</v>
      </c>
      <c r="AB204" s="230">
        <v>0.48571428571428571</v>
      </c>
      <c r="AC204" s="230">
        <v>6.0895681946077161E-2</v>
      </c>
      <c r="AD204" s="230">
        <v>2.3630448665545398E-2</v>
      </c>
      <c r="AE204" s="230">
        <v>0.45314966339424934</v>
      </c>
      <c r="AF204" s="230">
        <v>0.15089238136135441</v>
      </c>
      <c r="AG204" s="230">
        <v>1.1513929999999999</v>
      </c>
      <c r="AH204" s="230">
        <v>7.4574346602186134E-2</v>
      </c>
      <c r="AI204" s="230"/>
      <c r="AJ204" s="230"/>
      <c r="AK204" s="230"/>
      <c r="AL204" s="230"/>
      <c r="AM204" s="230"/>
      <c r="AN204" s="230"/>
      <c r="AO204" s="894" t="s">
        <v>28</v>
      </c>
    </row>
    <row r="205" spans="1:41" ht="14.1" customHeight="1">
      <c r="A205" s="893" t="s">
        <v>29</v>
      </c>
      <c r="B205" s="230">
        <v>1.7000000000000008</v>
      </c>
      <c r="C205" s="230">
        <v>1.9360120967741943</v>
      </c>
      <c r="D205" s="230">
        <v>1.2196101612903223</v>
      </c>
      <c r="E205" s="230">
        <v>0.46284667416343062</v>
      </c>
      <c r="F205" s="230">
        <v>0.24685915139445019</v>
      </c>
      <c r="G205" s="230">
        <v>0.25934856177093085</v>
      </c>
      <c r="H205" s="230">
        <v>0.21738325727931526</v>
      </c>
      <c r="I205" s="230">
        <v>2.155079032258064</v>
      </c>
      <c r="J205" s="230">
        <v>4.0445468509984657E-3</v>
      </c>
      <c r="K205" s="230">
        <v>0.18817302966503113</v>
      </c>
      <c r="L205" s="230">
        <v>1.7140849576100423</v>
      </c>
      <c r="M205" s="230">
        <v>0.4531264327874488</v>
      </c>
      <c r="N205" s="230">
        <v>1.2654910873176006</v>
      </c>
      <c r="O205" s="230">
        <v>5.5914138908548026</v>
      </c>
      <c r="P205" s="230">
        <v>0.19715446816749757</v>
      </c>
      <c r="Q205" s="230">
        <v>0.45141942686799968</v>
      </c>
      <c r="R205" s="230">
        <v>1.2405301057053166</v>
      </c>
      <c r="S205" s="230">
        <v>0.32036300416485741</v>
      </c>
      <c r="T205" s="230">
        <v>1.5143668539582651</v>
      </c>
      <c r="U205" s="230">
        <v>0.7976916489624889</v>
      </c>
      <c r="V205" s="230">
        <v>0.63735971488883025</v>
      </c>
      <c r="W205" s="230">
        <v>4.5667230929716937E-3</v>
      </c>
      <c r="X205" s="230">
        <v>2.4340326656392262E-2</v>
      </c>
      <c r="Y205" s="230">
        <v>9.8744547635323643E-2</v>
      </c>
      <c r="Z205" s="230">
        <v>2.0319539984151827E-2</v>
      </c>
      <c r="AA205" s="230">
        <v>2.5242267568729122E-2</v>
      </c>
      <c r="AB205" s="230">
        <v>0.48571428571428571</v>
      </c>
      <c r="AC205" s="230">
        <v>6.1270498600922089E-2</v>
      </c>
      <c r="AD205" s="230">
        <v>2.4075538242666717E-2</v>
      </c>
      <c r="AE205" s="230">
        <v>0.45312110462426719</v>
      </c>
      <c r="AF205" s="230">
        <v>0.15143691265365269</v>
      </c>
      <c r="AG205" s="230">
        <v>1.1585911290322584</v>
      </c>
      <c r="AH205" s="230">
        <v>7.4894151288677921E-2</v>
      </c>
      <c r="AI205" s="230"/>
      <c r="AJ205" s="230"/>
      <c r="AK205" s="230"/>
      <c r="AL205" s="230"/>
      <c r="AM205" s="230"/>
      <c r="AN205" s="230"/>
      <c r="AO205" s="894" t="s">
        <v>29</v>
      </c>
    </row>
    <row r="206" spans="1:41" ht="14.1" customHeight="1">
      <c r="A206" s="221" t="s">
        <v>2131</v>
      </c>
      <c r="B206" s="247">
        <f>AVERAGE(B207:B218)</f>
        <v>1.7000000000000004</v>
      </c>
      <c r="C206" s="247">
        <f t="shared" ref="C206:AD206" si="18">AVERAGE(C207:C218)</f>
        <v>1.9037410078084995</v>
      </c>
      <c r="D206" s="247">
        <f t="shared" si="18"/>
        <v>1.1821446487135174</v>
      </c>
      <c r="E206" s="247">
        <f t="shared" si="18"/>
        <v>0.46283168901180899</v>
      </c>
      <c r="F206" s="247">
        <f t="shared" si="18"/>
        <v>0.24622386079054551</v>
      </c>
      <c r="G206" s="247">
        <f t="shared" si="18"/>
        <v>0.25498708679367482</v>
      </c>
      <c r="H206" s="247">
        <f t="shared" si="18"/>
        <v>0.21697545536294624</v>
      </c>
      <c r="I206" s="247">
        <f t="shared" si="18"/>
        <v>2.1714416954045057</v>
      </c>
      <c r="J206" s="247">
        <f t="shared" si="18"/>
        <v>4.0312339989759362E-3</v>
      </c>
      <c r="K206" s="247">
        <f t="shared" si="18"/>
        <v>0.17992665389127263</v>
      </c>
      <c r="L206" s="247">
        <f t="shared" si="18"/>
        <v>1.7104707703536814</v>
      </c>
      <c r="M206" s="247">
        <f t="shared" si="18"/>
        <v>0.47704209092279326</v>
      </c>
      <c r="N206" s="247">
        <f t="shared" si="18"/>
        <v>1.2811959361425742</v>
      </c>
      <c r="O206" s="247">
        <f t="shared" si="18"/>
        <v>5.5947235936636952</v>
      </c>
      <c r="P206" s="247">
        <f t="shared" si="18"/>
        <v>0.19335131885593529</v>
      </c>
      <c r="Q206" s="247">
        <f t="shared" si="18"/>
        <v>0.44304885100477759</v>
      </c>
      <c r="R206" s="247">
        <f t="shared" si="18"/>
        <v>1.246328822052502</v>
      </c>
      <c r="S206" s="247">
        <f t="shared" si="18"/>
        <v>0.29989089675002811</v>
      </c>
      <c r="T206" s="247">
        <f t="shared" si="18"/>
        <v>1.5593933190951486</v>
      </c>
      <c r="U206" s="247">
        <f t="shared" si="18"/>
        <v>0.81295354465666358</v>
      </c>
      <c r="V206" s="247">
        <f t="shared" si="18"/>
        <v>0.60499334204071709</v>
      </c>
      <c r="W206" s="247">
        <f t="shared" si="18"/>
        <v>4.4457879452068699E-3</v>
      </c>
      <c r="X206" s="247">
        <f t="shared" si="18"/>
        <v>2.399522745824945E-2</v>
      </c>
      <c r="Y206" s="247">
        <f t="shared" si="18"/>
        <v>9.6807507045663044E-2</v>
      </c>
      <c r="Z206" s="247">
        <f t="shared" si="18"/>
        <v>1.9249522464982478E-2</v>
      </c>
      <c r="AA206" s="247">
        <f t="shared" si="18"/>
        <v>2.6277793717939365E-2</v>
      </c>
      <c r="AB206" s="247">
        <f t="shared" si="18"/>
        <v>0.48570937019969262</v>
      </c>
      <c r="AC206" s="247">
        <f t="shared" si="18"/>
        <v>6.5984987659571073E-2</v>
      </c>
      <c r="AD206" s="247">
        <f t="shared" si="18"/>
        <v>2.4155183793416014E-2</v>
      </c>
      <c r="AE206" s="247">
        <f t="shared" ref="AE206:AF206" si="19">AVERAGE(AE207:AE218)</f>
        <v>0.45325905054330601</v>
      </c>
      <c r="AF206" s="247">
        <f t="shared" si="19"/>
        <v>0.14598484406746146</v>
      </c>
      <c r="AG206" s="247">
        <f t="shared" ref="AG206" si="20">AVERAGE(AG207:AG218)</f>
        <v>1.1204821102790579</v>
      </c>
      <c r="AH206" s="247">
        <v>7.4160231118462455E-2</v>
      </c>
      <c r="AI206" s="247"/>
      <c r="AJ206" s="247"/>
      <c r="AK206" s="247"/>
      <c r="AL206" s="247"/>
      <c r="AM206" s="247"/>
      <c r="AN206" s="247"/>
      <c r="AO206" s="65" t="s">
        <v>2131</v>
      </c>
    </row>
    <row r="207" spans="1:41" ht="14.1" customHeight="1">
      <c r="A207" s="893" t="s">
        <v>18</v>
      </c>
      <c r="B207" s="230">
        <v>1.7000000000000008</v>
      </c>
      <c r="C207" s="230">
        <v>1.9417729032258058</v>
      </c>
      <c r="D207" s="230">
        <v>1.2138274193548384</v>
      </c>
      <c r="E207" s="230">
        <v>0.46283935715907537</v>
      </c>
      <c r="F207" s="230">
        <v>0.2503365220112197</v>
      </c>
      <c r="G207" s="230">
        <v>0.26008825784914713</v>
      </c>
      <c r="H207" s="230">
        <v>0.21680632448771175</v>
      </c>
      <c r="I207" s="230">
        <v>2.1892983870967746</v>
      </c>
      <c r="J207" s="230">
        <v>4.047619047619049E-3</v>
      </c>
      <c r="K207" s="230">
        <v>0.18915697341027848</v>
      </c>
      <c r="L207" s="230">
        <v>1.7190878054716754</v>
      </c>
      <c r="M207" s="230">
        <v>0.4602554877389195</v>
      </c>
      <c r="N207" s="230">
        <v>1.2760723719747575</v>
      </c>
      <c r="O207" s="230">
        <v>5.6069059050895484</v>
      </c>
      <c r="P207" s="230">
        <v>0.19851800540680736</v>
      </c>
      <c r="Q207" s="230">
        <v>0.45251360408722269</v>
      </c>
      <c r="R207" s="230">
        <v>1.2527103883813173</v>
      </c>
      <c r="S207" s="230">
        <v>0.31695351365077684</v>
      </c>
      <c r="T207" s="230">
        <v>1.5595764851063356</v>
      </c>
      <c r="U207" s="230">
        <v>0.78857446776157236</v>
      </c>
      <c r="V207" s="230">
        <v>0.63789803930986477</v>
      </c>
      <c r="W207" s="230">
        <v>4.5009099630899047E-3</v>
      </c>
      <c r="X207" s="230">
        <v>2.430574656952314E-2</v>
      </c>
      <c r="Y207" s="230">
        <v>9.9196719183031079E-2</v>
      </c>
      <c r="Z207" s="230">
        <v>2.0146119198989728E-2</v>
      </c>
      <c r="AA207" s="230">
        <v>2.5395110977770759E-2</v>
      </c>
      <c r="AB207" s="230">
        <v>0.48571428571428571</v>
      </c>
      <c r="AC207" s="230">
        <v>6.100677418483258E-2</v>
      </c>
      <c r="AD207" s="230">
        <v>2.404360445852239E-2</v>
      </c>
      <c r="AE207" s="230">
        <v>0.45320975284697734</v>
      </c>
      <c r="AF207" s="230">
        <v>0.1516171639962299</v>
      </c>
      <c r="AG207" s="230">
        <v>1.1508862903225805</v>
      </c>
      <c r="AH207" s="230">
        <v>7.5718820058469388E-2</v>
      </c>
      <c r="AI207" s="230"/>
      <c r="AJ207" s="230"/>
      <c r="AK207" s="230"/>
      <c r="AL207" s="230"/>
      <c r="AM207" s="230"/>
      <c r="AN207" s="230"/>
      <c r="AO207" s="894" t="s">
        <v>18</v>
      </c>
    </row>
    <row r="208" spans="1:41" ht="14.1" customHeight="1">
      <c r="A208" s="893" t="s">
        <v>19</v>
      </c>
      <c r="B208" s="230">
        <v>1.7000000000000006</v>
      </c>
      <c r="C208" s="230">
        <v>1.9296153571428574</v>
      </c>
      <c r="D208" s="230">
        <v>1.2134691071428569</v>
      </c>
      <c r="E208" s="230">
        <v>0.46283624307045468</v>
      </c>
      <c r="F208" s="230">
        <v>0.25225629149516682</v>
      </c>
      <c r="G208" s="230">
        <v>0.25857023346543206</v>
      </c>
      <c r="H208" s="230">
        <v>0.21663266027364284</v>
      </c>
      <c r="I208" s="230">
        <v>2.2090042857142858</v>
      </c>
      <c r="J208" s="230">
        <v>4.047619047619049E-3</v>
      </c>
      <c r="K208" s="230">
        <v>0.18390911083505493</v>
      </c>
      <c r="L208" s="230">
        <v>1.6978308887387423</v>
      </c>
      <c r="M208" s="230">
        <v>0.46873634237499889</v>
      </c>
      <c r="N208" s="230">
        <v>1.2858690122007481</v>
      </c>
      <c r="O208" s="230">
        <v>5.5996454602627441</v>
      </c>
      <c r="P208" s="230">
        <v>0.19812140306538975</v>
      </c>
      <c r="Q208" s="230">
        <v>0.44724636642725579</v>
      </c>
      <c r="R208" s="230">
        <v>1.2555659815700924</v>
      </c>
      <c r="S208" s="230">
        <v>0.32254260275984725</v>
      </c>
      <c r="T208" s="230">
        <v>1.5423374940411168</v>
      </c>
      <c r="U208" s="230">
        <v>0.78894045365182641</v>
      </c>
      <c r="V208" s="230">
        <v>0.6412937087810251</v>
      </c>
      <c r="W208" s="230">
        <v>4.4998527646776827E-3</v>
      </c>
      <c r="X208" s="230">
        <v>2.4232812096887085E-2</v>
      </c>
      <c r="Y208" s="230">
        <v>9.9280795601982108E-2</v>
      </c>
      <c r="Z208" s="230">
        <v>1.996999471837094E-2</v>
      </c>
      <c r="AA208" s="230">
        <v>2.5819159474498334E-2</v>
      </c>
      <c r="AB208" s="230">
        <v>0.48571428571428571</v>
      </c>
      <c r="AC208" s="230">
        <v>6.255078611835288E-2</v>
      </c>
      <c r="AD208" s="230">
        <v>2.3870633311079463E-2</v>
      </c>
      <c r="AE208" s="230">
        <v>0.4532875731350246</v>
      </c>
      <c r="AF208" s="230">
        <v>0.15139104681814428</v>
      </c>
      <c r="AG208" s="230">
        <v>1.1612092857142857</v>
      </c>
      <c r="AH208" s="230">
        <v>7.4993444975348558E-2</v>
      </c>
      <c r="AI208" s="230"/>
      <c r="AJ208" s="230"/>
      <c r="AK208" s="230"/>
      <c r="AL208" s="230"/>
      <c r="AM208" s="230"/>
      <c r="AN208" s="230"/>
      <c r="AO208" s="894" t="s">
        <v>19</v>
      </c>
    </row>
    <row r="209" spans="1:41" ht="14.1" customHeight="1">
      <c r="A209" s="893" t="s">
        <v>20</v>
      </c>
      <c r="B209" s="230">
        <v>1.7000000000000008</v>
      </c>
      <c r="C209" s="230">
        <v>1.9231003225806453</v>
      </c>
      <c r="D209" s="230">
        <v>1.2039400000000007</v>
      </c>
      <c r="E209" s="230">
        <v>0.46284118643091943</v>
      </c>
      <c r="F209" s="230">
        <v>0.25321910708219103</v>
      </c>
      <c r="G209" s="230">
        <v>0.2577140697929628</v>
      </c>
      <c r="H209" s="230">
        <v>0.21657021036733434</v>
      </c>
      <c r="I209" s="230">
        <v>2.2448390322580645</v>
      </c>
      <c r="J209" s="230">
        <v>4.047619047619049E-3</v>
      </c>
      <c r="K209" s="230">
        <v>0.18321617652410102</v>
      </c>
      <c r="L209" s="230">
        <v>1.6976692659255783</v>
      </c>
      <c r="M209" s="230">
        <v>0.47028570392737673</v>
      </c>
      <c r="N209" s="230">
        <v>1.273670272438338</v>
      </c>
      <c r="O209" s="230">
        <v>5.5972500874639968</v>
      </c>
      <c r="P209" s="230">
        <v>0.1977676619281207</v>
      </c>
      <c r="Q209" s="230">
        <v>0.447431240657511</v>
      </c>
      <c r="R209" s="230">
        <v>1.255570709506832</v>
      </c>
      <c r="S209" s="230">
        <v>0.31233186127607004</v>
      </c>
      <c r="T209" s="230">
        <v>1.5264285496769359</v>
      </c>
      <c r="U209" s="230">
        <v>0.79910751962554216</v>
      </c>
      <c r="V209" s="230">
        <v>0.6335359736354873</v>
      </c>
      <c r="W209" s="230">
        <v>4.5006370058385849E-3</v>
      </c>
      <c r="X209" s="230">
        <v>2.4100285177608937E-2</v>
      </c>
      <c r="Y209" s="230">
        <v>9.8976172609173754E-2</v>
      </c>
      <c r="Z209" s="230">
        <v>1.9940237730362673E-2</v>
      </c>
      <c r="AA209" s="230">
        <v>2.6074129617365823E-2</v>
      </c>
      <c r="AB209" s="230">
        <v>0.48571428571428571</v>
      </c>
      <c r="AC209" s="230">
        <v>6.3260584770304093E-2</v>
      </c>
      <c r="AD209" s="230">
        <v>2.4479742633628215E-2</v>
      </c>
      <c r="AE209" s="230">
        <v>0.45329473025590883</v>
      </c>
      <c r="AF209" s="230">
        <v>0.15025310400944361</v>
      </c>
      <c r="AG209" s="230">
        <v>1.1600662903225807</v>
      </c>
      <c r="AH209" s="230">
        <v>7.496501031490993E-2</v>
      </c>
      <c r="AI209" s="230"/>
      <c r="AJ209" s="230"/>
      <c r="AK209" s="230"/>
      <c r="AL209" s="230"/>
      <c r="AM209" s="230"/>
      <c r="AN209" s="230"/>
      <c r="AO209" s="894" t="s">
        <v>20</v>
      </c>
    </row>
    <row r="210" spans="1:41" ht="14.1" customHeight="1">
      <c r="A210" s="893" t="s">
        <v>21</v>
      </c>
      <c r="B210" s="230">
        <v>1.7000000000000006</v>
      </c>
      <c r="C210" s="230">
        <v>1.9098565000000003</v>
      </c>
      <c r="D210" s="230">
        <v>1.2090003333333332</v>
      </c>
      <c r="E210" s="230">
        <v>0.46283691820502748</v>
      </c>
      <c r="F210" s="230">
        <v>0.25311508823134854</v>
      </c>
      <c r="G210" s="230">
        <v>0.25582521034600247</v>
      </c>
      <c r="H210" s="230">
        <v>0.21669783929401804</v>
      </c>
      <c r="I210" s="230">
        <v>2.2152926666666661</v>
      </c>
      <c r="J210" s="230">
        <v>4.047619047619049E-3</v>
      </c>
      <c r="K210" s="230">
        <v>0.18230275487939654</v>
      </c>
      <c r="L210" s="230">
        <v>1.6868652844795746</v>
      </c>
      <c r="M210" s="230">
        <v>0.47271913847607439</v>
      </c>
      <c r="N210" s="230">
        <v>1.2706271056580156</v>
      </c>
      <c r="O210" s="230">
        <v>5.5870588076858958</v>
      </c>
      <c r="P210" s="230">
        <v>0.19850386464327244</v>
      </c>
      <c r="Q210" s="230">
        <v>0.44557637331244299</v>
      </c>
      <c r="R210" s="230">
        <v>1.2535244924761484</v>
      </c>
      <c r="S210" s="230">
        <v>0.29508059899699213</v>
      </c>
      <c r="T210" s="230">
        <v>1.522563120293114</v>
      </c>
      <c r="U210" s="230">
        <v>0.80337648140246776</v>
      </c>
      <c r="V210" s="230">
        <v>0.63097884978710117</v>
      </c>
      <c r="W210" s="230">
        <v>4.4791724897107347E-3</v>
      </c>
      <c r="X210" s="230">
        <v>2.3818445760596683E-2</v>
      </c>
      <c r="Y210" s="230">
        <v>9.6258705421294569E-2</v>
      </c>
      <c r="Z210" s="230">
        <v>2.0235019944949216E-2</v>
      </c>
      <c r="AA210" s="230">
        <v>2.6321217345018275E-2</v>
      </c>
      <c r="AB210" s="230">
        <v>0.48571428571428571</v>
      </c>
      <c r="AC210" s="230">
        <v>6.3415077332455883E-2</v>
      </c>
      <c r="AD210" s="230">
        <v>2.4477911595397923E-2</v>
      </c>
      <c r="AE210" s="230">
        <v>0.45329908487135967</v>
      </c>
      <c r="AF210" s="230">
        <v>0.14874779552773984</v>
      </c>
      <c r="AG210" s="230">
        <v>1.1419466666666662</v>
      </c>
      <c r="AH210" s="230">
        <v>7.436163039949524E-2</v>
      </c>
      <c r="AI210" s="230"/>
      <c r="AJ210" s="230"/>
      <c r="AK210" s="230"/>
      <c r="AL210" s="230"/>
      <c r="AM210" s="230"/>
      <c r="AN210" s="230"/>
      <c r="AO210" s="894" t="s">
        <v>21</v>
      </c>
    </row>
    <row r="211" spans="1:41" ht="14.1" customHeight="1">
      <c r="A211" s="893" t="s">
        <v>22</v>
      </c>
      <c r="B211" s="230">
        <v>1.7000000000000008</v>
      </c>
      <c r="C211" s="230">
        <v>1.9021135483870968</v>
      </c>
      <c r="D211" s="230">
        <v>1.1811874193548391</v>
      </c>
      <c r="E211" s="230">
        <v>0.46284159305505468</v>
      </c>
      <c r="F211" s="230">
        <v>0.24825553548178023</v>
      </c>
      <c r="G211" s="230">
        <v>0.2547302299851153</v>
      </c>
      <c r="H211" s="230">
        <v>0.21661472768583154</v>
      </c>
      <c r="I211" s="230">
        <v>2.1873187096774185</v>
      </c>
      <c r="J211" s="230">
        <v>4.047619047619049E-3</v>
      </c>
      <c r="K211" s="230">
        <v>0.17707818815550039</v>
      </c>
      <c r="L211" s="230">
        <v>1.6810044124229535</v>
      </c>
      <c r="M211" s="230">
        <v>0.47345967298514141</v>
      </c>
      <c r="N211" s="230">
        <v>1.2631012941694797</v>
      </c>
      <c r="O211" s="230">
        <v>5.5874639185744321</v>
      </c>
      <c r="P211" s="230">
        <v>0.19440884314690604</v>
      </c>
      <c r="Q211" s="230">
        <v>0.44272632087389735</v>
      </c>
      <c r="R211" s="230">
        <v>1.2406569013425839</v>
      </c>
      <c r="S211" s="230">
        <v>0.28057876075523908</v>
      </c>
      <c r="T211" s="230">
        <v>1.544353017319436</v>
      </c>
      <c r="U211" s="230">
        <v>0.81124175897980499</v>
      </c>
      <c r="V211" s="230">
        <v>0.61932171679548254</v>
      </c>
      <c r="W211" s="230">
        <v>4.4708895435759755E-3</v>
      </c>
      <c r="X211" s="230">
        <v>2.3630287304384035E-2</v>
      </c>
      <c r="Y211" s="230">
        <v>9.4676570596163759E-2</v>
      </c>
      <c r="Z211" s="230">
        <v>2.0107276508950049E-2</v>
      </c>
      <c r="AA211" s="230">
        <v>2.6177010108470129E-2</v>
      </c>
      <c r="AB211" s="230">
        <v>0.48571428571428571</v>
      </c>
      <c r="AC211" s="230">
        <v>6.4437793698725834E-2</v>
      </c>
      <c r="AD211" s="230">
        <v>2.4370636865510355E-2</v>
      </c>
      <c r="AE211" s="230">
        <v>0.45330311351568547</v>
      </c>
      <c r="AF211" s="230">
        <v>0.14374040430878393</v>
      </c>
      <c r="AG211" s="230">
        <v>1.1160664516129033</v>
      </c>
      <c r="AH211" s="230">
        <v>7.3840364588972543E-2</v>
      </c>
      <c r="AI211" s="230"/>
      <c r="AJ211" s="230"/>
      <c r="AK211" s="230"/>
      <c r="AL211" s="230"/>
      <c r="AM211" s="230"/>
      <c r="AN211" s="230"/>
      <c r="AO211" s="894" t="s">
        <v>22</v>
      </c>
    </row>
    <row r="212" spans="1:41" ht="14.1" customHeight="1">
      <c r="A212" s="893" t="s">
        <v>23</v>
      </c>
      <c r="B212" s="230">
        <v>1.7000000000000006</v>
      </c>
      <c r="C212" s="230">
        <v>1.9183423333333338</v>
      </c>
      <c r="D212" s="230">
        <v>1.1801966666666663</v>
      </c>
      <c r="E212" s="230">
        <v>0.46284321872909412</v>
      </c>
      <c r="F212" s="230">
        <v>0.24642139496302884</v>
      </c>
      <c r="G212" s="230">
        <v>0.2569108293527369</v>
      </c>
      <c r="H212" s="230">
        <v>0.21722243638522387</v>
      </c>
      <c r="I212" s="230">
        <v>2.1548151666666673</v>
      </c>
      <c r="J212" s="230">
        <v>4.047619047619049E-3</v>
      </c>
      <c r="K212" s="230">
        <v>0.18046082600476521</v>
      </c>
      <c r="L212" s="230">
        <v>1.7192347590317136</v>
      </c>
      <c r="M212" s="230">
        <v>0.47254428995594205</v>
      </c>
      <c r="N212" s="230">
        <v>1.2781621555586709</v>
      </c>
      <c r="O212" s="230">
        <v>5.5950658584623563</v>
      </c>
      <c r="P212" s="230">
        <v>0.19681226233212318</v>
      </c>
      <c r="Q212" s="230">
        <v>0.44994859293230643</v>
      </c>
      <c r="R212" s="230">
        <v>1.2467055825927629</v>
      </c>
      <c r="S212" s="230">
        <v>0.29194741255764861</v>
      </c>
      <c r="T212" s="230">
        <v>1.5737991189859248</v>
      </c>
      <c r="U212" s="230">
        <v>0.82148250698022385</v>
      </c>
      <c r="V212" s="230">
        <v>0.61295249317527378</v>
      </c>
      <c r="W212" s="230">
        <v>4.450409165339439E-3</v>
      </c>
      <c r="X212" s="230">
        <v>2.3699030242458598E-2</v>
      </c>
      <c r="Y212" s="230">
        <v>9.3575956646178682E-2</v>
      </c>
      <c r="Z212" s="230">
        <v>1.9950963099612275E-2</v>
      </c>
      <c r="AA212" s="230">
        <v>2.6487207697368089E-2</v>
      </c>
      <c r="AB212" s="230">
        <v>0.48571428571428571</v>
      </c>
      <c r="AC212" s="230">
        <v>6.4158679806422869E-2</v>
      </c>
      <c r="AD212" s="230">
        <v>2.4489254209760346E-2</v>
      </c>
      <c r="AE212" s="230">
        <v>0.45329102694431828</v>
      </c>
      <c r="AF212" s="230">
        <v>0.14482155522570556</v>
      </c>
      <c r="AG212" s="230">
        <v>1.1203821666666665</v>
      </c>
      <c r="AH212" s="230">
        <v>7.4882137429118589E-2</v>
      </c>
      <c r="AI212" s="230"/>
      <c r="AJ212" s="230"/>
      <c r="AK212" s="230"/>
      <c r="AL212" s="230"/>
      <c r="AM212" s="230"/>
      <c r="AN212" s="230"/>
      <c r="AO212" s="894" t="s">
        <v>23</v>
      </c>
    </row>
    <row r="213" spans="1:41" ht="14.1" customHeight="1">
      <c r="A213" s="893" t="s">
        <v>24</v>
      </c>
      <c r="B213" s="230">
        <v>1.7000000000000008</v>
      </c>
      <c r="C213" s="230">
        <v>1.9090396774193545</v>
      </c>
      <c r="D213" s="230">
        <v>1.1888483870967743</v>
      </c>
      <c r="E213" s="230">
        <v>0.46283813762975801</v>
      </c>
      <c r="F213" s="230">
        <v>0.24721081649840271</v>
      </c>
      <c r="G213" s="230">
        <v>0.25570705127479415</v>
      </c>
      <c r="H213" s="230">
        <v>0.21766050421980238</v>
      </c>
      <c r="I213" s="230">
        <v>2.1241472580645158</v>
      </c>
      <c r="J213" s="230">
        <v>4.047619047619049E-3</v>
      </c>
      <c r="K213" s="230">
        <v>0.18098527216656032</v>
      </c>
      <c r="L213" s="230">
        <v>1.7218117422525103</v>
      </c>
      <c r="M213" s="230">
        <v>0.4793584388159538</v>
      </c>
      <c r="N213" s="230">
        <v>1.298732163129851</v>
      </c>
      <c r="O213" s="230">
        <v>5.5890939144994789</v>
      </c>
      <c r="P213" s="230">
        <v>0.19778403139524756</v>
      </c>
      <c r="Q213" s="230">
        <v>0.44834738243869099</v>
      </c>
      <c r="R213" s="230">
        <v>1.2496412630718179</v>
      </c>
      <c r="S213" s="230">
        <v>0.29958721225573914</v>
      </c>
      <c r="T213" s="230">
        <v>1.5716577329512773</v>
      </c>
      <c r="U213" s="230">
        <v>0.8347454402457003</v>
      </c>
      <c r="V213" s="230">
        <v>0.59434240006052663</v>
      </c>
      <c r="W213" s="230">
        <v>4.428634265770403E-3</v>
      </c>
      <c r="X213" s="230">
        <v>2.4314960583590603E-2</v>
      </c>
      <c r="Y213" s="230">
        <v>9.5781107674834678E-2</v>
      </c>
      <c r="Z213" s="230">
        <v>1.9796406069129666E-2</v>
      </c>
      <c r="AA213" s="230">
        <v>2.6904181555764857E-2</v>
      </c>
      <c r="AB213" s="230">
        <v>0.48571428571428571</v>
      </c>
      <c r="AC213" s="230">
        <v>6.6099004184081003E-2</v>
      </c>
      <c r="AD213" s="230">
        <v>2.4713196743390918E-2</v>
      </c>
      <c r="AE213" s="230">
        <v>0.45327016861700642</v>
      </c>
      <c r="AF213" s="230">
        <v>0.14450809203879653</v>
      </c>
      <c r="AG213" s="230">
        <v>1.1371245161290322</v>
      </c>
      <c r="AH213" s="230">
        <v>7.4741444732902895E-2</v>
      </c>
      <c r="AI213" s="230"/>
      <c r="AJ213" s="230"/>
      <c r="AK213" s="230"/>
      <c r="AL213" s="230"/>
      <c r="AM213" s="230"/>
      <c r="AN213" s="230"/>
      <c r="AO213" s="894" t="s">
        <v>24</v>
      </c>
    </row>
    <row r="214" spans="1:41" ht="14.1" customHeight="1">
      <c r="A214" s="893" t="s">
        <v>25</v>
      </c>
      <c r="B214" s="230">
        <v>1.7000000000000008</v>
      </c>
      <c r="C214" s="230">
        <v>1.890377580645161</v>
      </c>
      <c r="D214" s="230">
        <v>1.1518941935483875</v>
      </c>
      <c r="E214" s="230">
        <v>0.46283479665802407</v>
      </c>
      <c r="F214" s="230">
        <v>0.24094415436856967</v>
      </c>
      <c r="G214" s="230">
        <v>0.25338872935037993</v>
      </c>
      <c r="H214" s="230">
        <v>0.21684280465254252</v>
      </c>
      <c r="I214" s="230">
        <v>2.0660119354838713</v>
      </c>
      <c r="J214" s="230">
        <v>4.0414746543778815E-3</v>
      </c>
      <c r="K214" s="230">
        <v>0.17616968450456105</v>
      </c>
      <c r="L214" s="230">
        <v>1.7339414300074452</v>
      </c>
      <c r="M214" s="230">
        <v>0.48423741464857378</v>
      </c>
      <c r="N214" s="230">
        <v>1.2810241704089882</v>
      </c>
      <c r="O214" s="230">
        <v>5.5886357310656827</v>
      </c>
      <c r="P214" s="230">
        <v>0.18960910919206622</v>
      </c>
      <c r="Q214" s="230">
        <v>0.43510654638176705</v>
      </c>
      <c r="R214" s="230">
        <v>1.2281805456884669</v>
      </c>
      <c r="S214" s="230">
        <v>0.30172170197383125</v>
      </c>
      <c r="T214" s="230">
        <v>1.5983024828106536</v>
      </c>
      <c r="U214" s="230">
        <v>0.82798681045863187</v>
      </c>
      <c r="V214" s="230">
        <v>0.58132391219115276</v>
      </c>
      <c r="W214" s="230">
        <v>4.3963694993184163E-3</v>
      </c>
      <c r="X214" s="230">
        <v>2.4255677892976592E-2</v>
      </c>
      <c r="Y214" s="230">
        <v>9.5910938535728074E-2</v>
      </c>
      <c r="Z214" s="230">
        <v>1.8944811449210109E-2</v>
      </c>
      <c r="AA214" s="230">
        <v>2.5917443322887094E-2</v>
      </c>
      <c r="AB214" s="230">
        <v>0.48571244239631328</v>
      </c>
      <c r="AC214" s="230">
        <v>6.741534536806483E-2</v>
      </c>
      <c r="AD214" s="230">
        <v>2.3944967639186448E-2</v>
      </c>
      <c r="AE214" s="230">
        <v>0.4532276724624234</v>
      </c>
      <c r="AF214" s="230">
        <v>0.14055111742232815</v>
      </c>
      <c r="AG214" s="230">
        <v>1.0942567741935485</v>
      </c>
      <c r="AH214" s="230">
        <v>7.3252259145732829E-2</v>
      </c>
      <c r="AI214" s="230"/>
      <c r="AJ214" s="230"/>
      <c r="AK214" s="230"/>
      <c r="AL214" s="230"/>
      <c r="AM214" s="230"/>
      <c r="AN214" s="230"/>
      <c r="AO214" s="894" t="s">
        <v>25</v>
      </c>
    </row>
    <row r="215" spans="1:41" ht="14.1" customHeight="1">
      <c r="A215" s="893" t="s">
        <v>26</v>
      </c>
      <c r="B215" s="230">
        <v>1.7000000000000006</v>
      </c>
      <c r="C215" s="230">
        <v>1.8726766666666668</v>
      </c>
      <c r="D215" s="230">
        <v>1.15683</v>
      </c>
      <c r="E215" s="230">
        <v>0.46279999999999977</v>
      </c>
      <c r="F215" s="230">
        <v>0.23885666666666677</v>
      </c>
      <c r="G215" s="230">
        <v>0.25091000000000008</v>
      </c>
      <c r="H215" s="230">
        <v>0.21694999999999995</v>
      </c>
      <c r="I215" s="230">
        <v>2.1001299999999996</v>
      </c>
      <c r="J215" s="230">
        <v>4.0000000000000027E-3</v>
      </c>
      <c r="K215" s="230">
        <v>0.17514333333333332</v>
      </c>
      <c r="L215" s="230">
        <v>1.7162166666666672</v>
      </c>
      <c r="M215" s="230">
        <v>0.48272999999999999</v>
      </c>
      <c r="N215" s="230">
        <v>1.2833566666666671</v>
      </c>
      <c r="O215" s="230">
        <v>5.5925233333333333</v>
      </c>
      <c r="P215" s="230">
        <v>0.18862999999999994</v>
      </c>
      <c r="Q215" s="230">
        <v>0.43009333333333338</v>
      </c>
      <c r="R215" s="230">
        <v>1.2318233333333333</v>
      </c>
      <c r="S215" s="230">
        <v>0.29746666666666677</v>
      </c>
      <c r="T215" s="230">
        <v>1.5820266666666669</v>
      </c>
      <c r="U215" s="230">
        <v>0.81875333333333333</v>
      </c>
      <c r="V215" s="230">
        <v>0.57393333333333341</v>
      </c>
      <c r="W215" s="230">
        <v>4.4000000000000003E-3</v>
      </c>
      <c r="X215" s="230">
        <v>2.4063333333333336E-2</v>
      </c>
      <c r="Y215" s="230">
        <v>9.582000000000003E-2</v>
      </c>
      <c r="Z215" s="230">
        <v>1.8083333333333337E-2</v>
      </c>
      <c r="AA215" s="230">
        <v>2.6156666666666658E-2</v>
      </c>
      <c r="AB215" s="230">
        <v>0.48569999999999969</v>
      </c>
      <c r="AC215" s="230">
        <v>6.8873333333333342E-2</v>
      </c>
      <c r="AD215" s="230">
        <v>2.3840000000000007E-2</v>
      </c>
      <c r="AE215" s="230">
        <v>0.45317999999999997</v>
      </c>
      <c r="AF215" s="230">
        <v>0.14221999999999999</v>
      </c>
      <c r="AG215" s="230">
        <v>1.0783233333333335</v>
      </c>
      <c r="AH215" s="230">
        <v>7.2406666666666661E-2</v>
      </c>
      <c r="AI215" s="230"/>
      <c r="AJ215" s="230"/>
      <c r="AK215" s="230"/>
      <c r="AL215" s="230"/>
      <c r="AM215" s="230"/>
      <c r="AN215" s="230"/>
      <c r="AO215" s="894" t="s">
        <v>26</v>
      </c>
    </row>
    <row r="216" spans="1:41" ht="14.1" customHeight="1">
      <c r="A216" s="893" t="s">
        <v>27</v>
      </c>
      <c r="B216" s="230">
        <v>1.7000000000000008</v>
      </c>
      <c r="C216" s="230">
        <v>1.8782354838709674</v>
      </c>
      <c r="D216" s="230">
        <v>1.1550290322580645</v>
      </c>
      <c r="E216" s="230">
        <v>0.46281612903225777</v>
      </c>
      <c r="F216" s="230">
        <v>0.23951290322580646</v>
      </c>
      <c r="G216" s="230">
        <v>0.25147096774193545</v>
      </c>
      <c r="H216" s="230">
        <v>0.21679999999999999</v>
      </c>
      <c r="I216" s="230">
        <v>2.145754838709677</v>
      </c>
      <c r="J216" s="230">
        <v>4.0000000000000027E-3</v>
      </c>
      <c r="K216" s="230">
        <v>0.17396774193548389</v>
      </c>
      <c r="L216" s="230">
        <v>1.7104483870967739</v>
      </c>
      <c r="M216" s="230">
        <v>0.48339354838709669</v>
      </c>
      <c r="N216" s="230">
        <v>1.2880774193548388</v>
      </c>
      <c r="O216" s="230">
        <v>5.5952838709677435</v>
      </c>
      <c r="P216" s="230">
        <v>0.18590322580645163</v>
      </c>
      <c r="Q216" s="230">
        <v>0.43655483870967748</v>
      </c>
      <c r="R216" s="230">
        <v>1.2400838709677422</v>
      </c>
      <c r="S216" s="230">
        <v>0.29364193548387096</v>
      </c>
      <c r="T216" s="230">
        <v>1.5723870967741935</v>
      </c>
      <c r="U216" s="230">
        <v>0.82690967741935473</v>
      </c>
      <c r="V216" s="230">
        <v>0.57377419354838721</v>
      </c>
      <c r="W216" s="230">
        <v>4.3999999999999994E-3</v>
      </c>
      <c r="X216" s="230">
        <v>2.4103225806451623E-2</v>
      </c>
      <c r="Y216" s="230">
        <v>9.689354838709674E-2</v>
      </c>
      <c r="Z216" s="230">
        <v>1.8006451612903235E-2</v>
      </c>
      <c r="AA216" s="230">
        <v>2.6425806451612886E-2</v>
      </c>
      <c r="AB216" s="230">
        <v>0.48569999999999969</v>
      </c>
      <c r="AC216" s="230">
        <v>6.868709677419356E-2</v>
      </c>
      <c r="AD216" s="230">
        <v>2.3941935483870976E-2</v>
      </c>
      <c r="AE216" s="230">
        <v>0.45322580645161309</v>
      </c>
      <c r="AF216" s="230">
        <v>0.14358387096774194</v>
      </c>
      <c r="AG216" s="230">
        <v>1.0771387096774192</v>
      </c>
      <c r="AH216" s="230">
        <v>7.3067741935483876E-2</v>
      </c>
      <c r="AI216" s="230"/>
      <c r="AJ216" s="230"/>
      <c r="AK216" s="230"/>
      <c r="AL216" s="230"/>
      <c r="AM216" s="230"/>
      <c r="AN216" s="230"/>
      <c r="AO216" s="894" t="s">
        <v>27</v>
      </c>
    </row>
    <row r="217" spans="1:41" ht="14.1" customHeight="1">
      <c r="A217" s="893" t="s">
        <v>28</v>
      </c>
      <c r="B217" s="230">
        <v>1.7000000000000006</v>
      </c>
      <c r="C217" s="230">
        <v>1.8801133333333337</v>
      </c>
      <c r="D217" s="230">
        <v>1.1613100000000001</v>
      </c>
      <c r="E217" s="230">
        <v>0.46283333333333321</v>
      </c>
      <c r="F217" s="230">
        <v>0.24219333333333326</v>
      </c>
      <c r="G217" s="230">
        <v>0.2516133333333333</v>
      </c>
      <c r="H217" s="230">
        <v>0.21714666666666665</v>
      </c>
      <c r="I217" s="230">
        <v>2.1911299999999998</v>
      </c>
      <c r="J217" s="230">
        <v>4.0000000000000027E-3</v>
      </c>
      <c r="K217" s="230">
        <v>0.17642333333333332</v>
      </c>
      <c r="L217" s="230">
        <v>1.7131966666666669</v>
      </c>
      <c r="M217" s="230">
        <v>0.4875366666666669</v>
      </c>
      <c r="N217" s="230">
        <v>1.2850166666666667</v>
      </c>
      <c r="O217" s="230">
        <v>5.5977433333333346</v>
      </c>
      <c r="P217" s="230">
        <v>0.18578000000000003</v>
      </c>
      <c r="Q217" s="230">
        <v>0.43898999999999988</v>
      </c>
      <c r="R217" s="230">
        <v>1.248766666666667</v>
      </c>
      <c r="S217" s="230">
        <v>0.29619333333333331</v>
      </c>
      <c r="T217" s="230">
        <v>1.5625300000000002</v>
      </c>
      <c r="U217" s="230">
        <v>0.82754666666666665</v>
      </c>
      <c r="V217" s="230">
        <v>0.57333000000000001</v>
      </c>
      <c r="W217" s="230">
        <v>4.4000000000000003E-3</v>
      </c>
      <c r="X217" s="230">
        <v>2.3586666666666662E-2</v>
      </c>
      <c r="Y217" s="230">
        <v>9.7306666666666666E-2</v>
      </c>
      <c r="Z217" s="230">
        <v>1.7923333333333347E-2</v>
      </c>
      <c r="AA217" s="230">
        <v>2.6623333333333318E-2</v>
      </c>
      <c r="AB217" s="230">
        <v>0.48569999999999969</v>
      </c>
      <c r="AC217" s="230">
        <v>6.9876666666666684E-2</v>
      </c>
      <c r="AD217" s="230">
        <v>2.3800000000000012E-2</v>
      </c>
      <c r="AE217" s="230">
        <v>0.45331000000000005</v>
      </c>
      <c r="AF217" s="230">
        <v>0.1455033333333334</v>
      </c>
      <c r="AG217" s="230">
        <v>1.0879299999999998</v>
      </c>
      <c r="AH217" s="230">
        <v>7.3606666666666654E-2</v>
      </c>
      <c r="AI217" s="230"/>
      <c r="AJ217" s="230"/>
      <c r="AK217" s="230"/>
      <c r="AL217" s="230"/>
      <c r="AM217" s="230"/>
      <c r="AN217" s="230"/>
      <c r="AO217" s="894" t="s">
        <v>28</v>
      </c>
    </row>
    <row r="218" spans="1:41" ht="14.1" customHeight="1">
      <c r="A218" s="893" t="s">
        <v>29</v>
      </c>
      <c r="B218" s="230">
        <v>1.7000000000000008</v>
      </c>
      <c r="C218" s="230">
        <v>1.8896483870967746</v>
      </c>
      <c r="D218" s="230">
        <v>1.1702032258064516</v>
      </c>
      <c r="E218" s="230">
        <v>0.4628193548387094</v>
      </c>
      <c r="F218" s="230">
        <v>0.24236451612903226</v>
      </c>
      <c r="G218" s="230">
        <v>0.25291612903225813</v>
      </c>
      <c r="H218" s="230">
        <v>0.21776129032258074</v>
      </c>
      <c r="I218" s="230">
        <v>2.2295580645161284</v>
      </c>
      <c r="J218" s="230">
        <v>4.0000000000000027E-3</v>
      </c>
      <c r="K218" s="230">
        <v>0.18030645161290326</v>
      </c>
      <c r="L218" s="230">
        <v>1.7283419354838714</v>
      </c>
      <c r="M218" s="230">
        <v>0.48924838709677426</v>
      </c>
      <c r="N218" s="230">
        <v>1.290641935483871</v>
      </c>
      <c r="O218" s="230">
        <v>5.6000129032258075</v>
      </c>
      <c r="P218" s="230">
        <v>0.18837741935483868</v>
      </c>
      <c r="Q218" s="230">
        <v>0.44205161290322587</v>
      </c>
      <c r="R218" s="230">
        <v>1.2527161290322579</v>
      </c>
      <c r="S218" s="230">
        <v>0.29064516129032264</v>
      </c>
      <c r="T218" s="230">
        <v>1.556758064516129</v>
      </c>
      <c r="U218" s="230">
        <v>0.80677741935483871</v>
      </c>
      <c r="V218" s="230">
        <v>0.58723548387096758</v>
      </c>
      <c r="W218" s="230">
        <v>4.4225806451612913E-3</v>
      </c>
      <c r="X218" s="230">
        <v>2.3832258064516131E-2</v>
      </c>
      <c r="Y218" s="230">
        <v>9.8012903225806428E-2</v>
      </c>
      <c r="Z218" s="230">
        <v>1.7890322580645171E-2</v>
      </c>
      <c r="AA218" s="230">
        <v>2.7032258064516125E-2</v>
      </c>
      <c r="AB218" s="230">
        <v>0.48569999999999969</v>
      </c>
      <c r="AC218" s="230">
        <v>7.2038709677419363E-2</v>
      </c>
      <c r="AD218" s="230">
        <v>2.3890322580645176E-2</v>
      </c>
      <c r="AE218" s="230">
        <v>0.45320967741935475</v>
      </c>
      <c r="AF218" s="230">
        <v>0.14488064516129034</v>
      </c>
      <c r="AG218" s="230">
        <v>1.1204548387096773</v>
      </c>
      <c r="AH218" s="230">
        <v>7.4122580645161321E-2</v>
      </c>
      <c r="AI218" s="230"/>
      <c r="AJ218" s="230"/>
      <c r="AK218" s="230"/>
      <c r="AL218" s="230"/>
      <c r="AM218" s="230"/>
      <c r="AN218" s="230"/>
      <c r="AO218" s="894" t="s">
        <v>29</v>
      </c>
    </row>
    <row r="219" spans="1:41" s="264" customFormat="1" ht="14.1" customHeight="1">
      <c r="A219" s="89" t="s">
        <v>2362</v>
      </c>
      <c r="B219" s="247">
        <f>AVERAGE(B220:B231)</f>
        <v>1.7000000000000004</v>
      </c>
      <c r="C219" s="247">
        <f t="shared" ref="C219:AD219" si="21">AVERAGE(C220:C231)</f>
        <v>1.9402105688419231</v>
      </c>
      <c r="D219" s="247">
        <f t="shared" si="21"/>
        <v>1.173453283277716</v>
      </c>
      <c r="E219" s="247">
        <f t="shared" si="21"/>
        <v>0.46280483870967709</v>
      </c>
      <c r="F219" s="247">
        <f t="shared" si="21"/>
        <v>0.24646005685329378</v>
      </c>
      <c r="G219" s="247">
        <f t="shared" si="21"/>
        <v>0.26022967000370784</v>
      </c>
      <c r="H219" s="247">
        <f t="shared" si="21"/>
        <v>0.21917549437646763</v>
      </c>
      <c r="I219" s="247">
        <f t="shared" si="21"/>
        <v>2.1815987102953898</v>
      </c>
      <c r="J219" s="247">
        <f t="shared" si="21"/>
        <v>4.0000000000000027E-3</v>
      </c>
      <c r="K219" s="247">
        <f t="shared" si="21"/>
        <v>0.18512538406871834</v>
      </c>
      <c r="L219" s="247">
        <f t="shared" si="21"/>
        <v>1.8118485103819058</v>
      </c>
      <c r="M219" s="247">
        <f t="shared" si="21"/>
        <v>0.4944787594240514</v>
      </c>
      <c r="N219" s="247">
        <f t="shared" si="21"/>
        <v>1.2682950071066617</v>
      </c>
      <c r="O219" s="247">
        <f t="shared" si="21"/>
        <v>5.5418502366827349</v>
      </c>
      <c r="P219" s="247">
        <f t="shared" si="21"/>
        <v>0.18107905079718209</v>
      </c>
      <c r="Q219" s="247">
        <f t="shared" si="21"/>
        <v>0.43666448553948833</v>
      </c>
      <c r="R219" s="247">
        <f t="shared" si="21"/>
        <v>1.2327443270300338</v>
      </c>
      <c r="S219" s="247">
        <f t="shared" si="21"/>
        <v>0.24464378877765414</v>
      </c>
      <c r="T219" s="247">
        <f t="shared" si="21"/>
        <v>1.5924261738351255</v>
      </c>
      <c r="U219" s="247">
        <f t="shared" si="21"/>
        <v>0.70005997404523546</v>
      </c>
      <c r="V219" s="247">
        <f t="shared" si="21"/>
        <v>0.54788076350265724</v>
      </c>
      <c r="W219" s="247">
        <f t="shared" si="21"/>
        <v>4.1241845878136211E-3</v>
      </c>
      <c r="X219" s="247">
        <f t="shared" si="21"/>
        <v>2.2084242986033859E-2</v>
      </c>
      <c r="Y219" s="247">
        <f t="shared" si="21"/>
        <v>9.8238161228525522E-2</v>
      </c>
      <c r="Z219" s="247">
        <f t="shared" si="21"/>
        <v>1.6939444444444441E-2</v>
      </c>
      <c r="AA219" s="247">
        <f t="shared" si="21"/>
        <v>2.3644264615004323E-2</v>
      </c>
      <c r="AB219" s="247">
        <f t="shared" si="21"/>
        <v>0.48569999999999963</v>
      </c>
      <c r="AC219" s="247">
        <f t="shared" si="21"/>
        <v>6.3276391051785952E-2</v>
      </c>
      <c r="AD219" s="247">
        <f t="shared" si="21"/>
        <v>2.295526572735138E-2</v>
      </c>
      <c r="AE219" s="247">
        <f t="shared" ref="AE219:AF219" si="22">AVERAGE(AE220:AE231)</f>
        <v>0.45298290538870356</v>
      </c>
      <c r="AF219" s="247">
        <f t="shared" si="22"/>
        <v>0.1442632712272896</v>
      </c>
      <c r="AG219" s="247">
        <f t="shared" ref="AG219" si="23">AVERAGE(AG220:AG231)</f>
        <v>1.1053529134223214</v>
      </c>
      <c r="AH219" s="247">
        <v>7.3378805099924796E-2</v>
      </c>
      <c r="AI219" s="247"/>
      <c r="AJ219" s="247"/>
      <c r="AK219" s="247"/>
      <c r="AL219" s="247"/>
      <c r="AM219" s="247"/>
      <c r="AN219" s="247"/>
      <c r="AO219" s="415">
        <v>2020</v>
      </c>
    </row>
    <row r="220" spans="1:41" ht="14.1" customHeight="1">
      <c r="A220" s="893" t="s">
        <v>18</v>
      </c>
      <c r="B220" s="230">
        <v>1.7000000000000008</v>
      </c>
      <c r="C220" s="230">
        <v>1.8894806451612909</v>
      </c>
      <c r="D220" s="230">
        <v>1.1698612903225807</v>
      </c>
      <c r="E220" s="230">
        <v>0.46281935483870945</v>
      </c>
      <c r="F220" s="230">
        <v>0.24554838709677421</v>
      </c>
      <c r="G220" s="230">
        <v>0.25285161290322572</v>
      </c>
      <c r="H220" s="230">
        <v>0.21865161290322579</v>
      </c>
      <c r="I220" s="230">
        <v>2.2235387096774186</v>
      </c>
      <c r="J220" s="230">
        <v>4.0000000000000027E-3</v>
      </c>
      <c r="K220" s="230">
        <v>0.17940322580645163</v>
      </c>
      <c r="L220" s="230">
        <v>1.752038709677419</v>
      </c>
      <c r="M220" s="230">
        <v>0.4914677419354837</v>
      </c>
      <c r="N220" s="230">
        <v>1.2992838709677414</v>
      </c>
      <c r="O220" s="230">
        <v>5.601003225806453</v>
      </c>
      <c r="P220" s="230">
        <v>0.19055806451612903</v>
      </c>
      <c r="Q220" s="230">
        <v>0.44461935483870962</v>
      </c>
      <c r="R220" s="230">
        <v>1.2588483870967742</v>
      </c>
      <c r="S220" s="230">
        <v>0.28723225806451613</v>
      </c>
      <c r="T220" s="230">
        <v>1.5531322580645166</v>
      </c>
      <c r="U220" s="230">
        <v>0.8033580645161289</v>
      </c>
      <c r="V220" s="230">
        <v>0.59081935483870984</v>
      </c>
      <c r="W220" s="230">
        <v>4.5000000000000014E-3</v>
      </c>
      <c r="X220" s="230">
        <v>2.4322580645161282E-2</v>
      </c>
      <c r="Y220" s="230">
        <v>9.7500000000000003E-2</v>
      </c>
      <c r="Z220" s="230">
        <v>1.7835483870967738E-2</v>
      </c>
      <c r="AA220" s="230">
        <v>2.7487096774193545E-2</v>
      </c>
      <c r="AB220" s="230">
        <v>0.48569999999999969</v>
      </c>
      <c r="AC220" s="230">
        <v>7.0412903225806456E-2</v>
      </c>
      <c r="AD220" s="230">
        <v>2.3874193548387115E-2</v>
      </c>
      <c r="AE220" s="230">
        <v>0.45309354838709665</v>
      </c>
      <c r="AF220" s="230">
        <v>0.14606129032258067</v>
      </c>
      <c r="AG220" s="230">
        <v>1.126680645161291</v>
      </c>
      <c r="AH220" s="230">
        <v>7.4854838709677365E-2</v>
      </c>
      <c r="AI220" s="230"/>
      <c r="AJ220" s="230"/>
      <c r="AK220" s="230"/>
      <c r="AL220" s="230"/>
      <c r="AM220" s="230"/>
      <c r="AN220" s="230"/>
      <c r="AO220" s="894" t="s">
        <v>18</v>
      </c>
    </row>
    <row r="221" spans="1:41" ht="14.1" customHeight="1">
      <c r="A221" s="893" t="s">
        <v>19</v>
      </c>
      <c r="B221" s="230">
        <v>1.7000000000000006</v>
      </c>
      <c r="C221" s="230">
        <v>1.8548241379310346</v>
      </c>
      <c r="D221" s="230">
        <v>1.1343206896551723</v>
      </c>
      <c r="E221" s="230">
        <v>0.46279999999999977</v>
      </c>
      <c r="F221" s="230">
        <v>0.24311724137931029</v>
      </c>
      <c r="G221" s="230">
        <v>0.24825862068965521</v>
      </c>
      <c r="H221" s="230">
        <v>0.21865862068965522</v>
      </c>
      <c r="I221" s="230">
        <v>2.2055034482758615</v>
      </c>
      <c r="J221" s="230">
        <v>4.0000000000000027E-3</v>
      </c>
      <c r="K221" s="230">
        <v>0.1753931034482758</v>
      </c>
      <c r="L221" s="230">
        <v>1.741237931034483</v>
      </c>
      <c r="M221" s="230">
        <v>0.49532758620689665</v>
      </c>
      <c r="N221" s="230">
        <v>1.2802896551724141</v>
      </c>
      <c r="O221" s="230">
        <v>5.5758206896551723</v>
      </c>
      <c r="P221" s="230">
        <v>0.18310344827586209</v>
      </c>
      <c r="Q221" s="230">
        <v>0.4336793103448276</v>
      </c>
      <c r="R221" s="230">
        <v>1.224444827586207</v>
      </c>
      <c r="S221" s="230">
        <v>0.28074137931034476</v>
      </c>
      <c r="T221" s="230">
        <v>1.5450999999999995</v>
      </c>
      <c r="U221" s="230">
        <v>0.77655517241379324</v>
      </c>
      <c r="V221" s="230">
        <v>0.59721034482758606</v>
      </c>
      <c r="W221" s="230">
        <v>4.5000000000000014E-3</v>
      </c>
      <c r="X221" s="230">
        <v>2.4275862068965509E-2</v>
      </c>
      <c r="Y221" s="230">
        <v>9.6389655172413838E-2</v>
      </c>
      <c r="Z221" s="230">
        <v>1.7799999999999996E-2</v>
      </c>
      <c r="AA221" s="230">
        <v>2.6596551724137926E-2</v>
      </c>
      <c r="AB221" s="230">
        <v>0.48569999999999969</v>
      </c>
      <c r="AC221" s="230">
        <v>6.9262068965517218E-2</v>
      </c>
      <c r="AD221" s="230">
        <v>2.3782758620689654E-2</v>
      </c>
      <c r="AE221" s="230">
        <v>0.4531620689655172</v>
      </c>
      <c r="AF221" s="230">
        <v>0.14230344827586208</v>
      </c>
      <c r="AG221" s="230">
        <v>1.0875068965517243</v>
      </c>
      <c r="AH221" s="230">
        <v>7.3972413793103445E-2</v>
      </c>
      <c r="AI221" s="230"/>
      <c r="AJ221" s="230"/>
      <c r="AK221" s="230"/>
      <c r="AL221" s="230"/>
      <c r="AM221" s="230"/>
      <c r="AN221" s="230"/>
      <c r="AO221" s="894" t="s">
        <v>19</v>
      </c>
    </row>
    <row r="222" spans="1:41" ht="14.1" customHeight="1">
      <c r="A222" s="893" t="s">
        <v>20</v>
      </c>
      <c r="B222" s="230">
        <v>1.7000000000000008</v>
      </c>
      <c r="C222" s="230">
        <v>1.884580645161291</v>
      </c>
      <c r="D222" s="230">
        <v>1.0579258064516128</v>
      </c>
      <c r="E222" s="230">
        <v>0.4628129032258062</v>
      </c>
      <c r="F222" s="230">
        <v>0.24209354838709682</v>
      </c>
      <c r="G222" s="230">
        <v>0.2516225806451613</v>
      </c>
      <c r="H222" s="230">
        <v>0.21890322580645155</v>
      </c>
      <c r="I222" s="230">
        <v>2.1027870967741937</v>
      </c>
      <c r="J222" s="230">
        <v>4.0000000000000027E-3</v>
      </c>
      <c r="K222" s="230">
        <v>0.1729548387096774</v>
      </c>
      <c r="L222" s="230">
        <v>1.7735516129032252</v>
      </c>
      <c r="M222" s="230">
        <v>0.47449999999999998</v>
      </c>
      <c r="N222" s="230">
        <v>1.2231451612903226</v>
      </c>
      <c r="O222" s="230">
        <v>5.4971999999999994</v>
      </c>
      <c r="P222" s="230">
        <v>0.16657419354838707</v>
      </c>
      <c r="Q222" s="230">
        <v>0.4242483870967742</v>
      </c>
      <c r="R222" s="230">
        <v>1.1995870967741935</v>
      </c>
      <c r="S222" s="230">
        <v>0.26857419354838696</v>
      </c>
      <c r="T222" s="230">
        <v>1.5776741935483876</v>
      </c>
      <c r="U222" s="230">
        <v>0.70726451612903218</v>
      </c>
      <c r="V222" s="230">
        <v>0.55812258064516129</v>
      </c>
      <c r="W222" s="230">
        <v>4.0999999999999995E-3</v>
      </c>
      <c r="X222" s="230">
        <v>2.3438709677419348E-2</v>
      </c>
      <c r="Y222" s="230">
        <v>9.5819354838709694E-2</v>
      </c>
      <c r="Z222" s="230">
        <v>1.7825806451612899E-2</v>
      </c>
      <c r="AA222" s="230">
        <v>2.2858064516129036E-2</v>
      </c>
      <c r="AB222" s="230">
        <v>0.48569999999999969</v>
      </c>
      <c r="AC222" s="230">
        <v>6.4616129032258079E-2</v>
      </c>
      <c r="AD222" s="230">
        <v>2.2861290322580642E-2</v>
      </c>
      <c r="AE222" s="230">
        <v>0.45260967741935493</v>
      </c>
      <c r="AF222" s="230">
        <v>0.13937419354838709</v>
      </c>
      <c r="AG222" s="230">
        <v>1.0283290322580647</v>
      </c>
      <c r="AH222" s="230">
        <v>7.0990322580645179E-2</v>
      </c>
      <c r="AI222" s="230"/>
      <c r="AJ222" s="230"/>
      <c r="AK222" s="230"/>
      <c r="AL222" s="230"/>
      <c r="AM222" s="230"/>
      <c r="AN222" s="230"/>
      <c r="AO222" s="894" t="s">
        <v>20</v>
      </c>
    </row>
    <row r="223" spans="1:41" ht="14.1" customHeight="1">
      <c r="A223" s="893" t="s">
        <v>21</v>
      </c>
      <c r="B223" s="230">
        <v>1.7000000000000006</v>
      </c>
      <c r="C223" s="230">
        <v>1.8476299999999999</v>
      </c>
      <c r="D223" s="230">
        <v>1.0701566666666666</v>
      </c>
      <c r="E223" s="230">
        <v>0.46279999999999977</v>
      </c>
      <c r="F223" s="230">
        <v>0.24030333333333337</v>
      </c>
      <c r="G223" s="230">
        <v>0.24760999999999991</v>
      </c>
      <c r="H223" s="230">
        <v>0.21930666666666662</v>
      </c>
      <c r="I223" s="230">
        <v>2.1105000000000005</v>
      </c>
      <c r="J223" s="230">
        <v>4.0000000000000027E-3</v>
      </c>
      <c r="K223" s="230">
        <v>0.16963999999999999</v>
      </c>
      <c r="L223" s="230">
        <v>1.7517099999999997</v>
      </c>
      <c r="M223" s="230">
        <v>0.47602666666666643</v>
      </c>
      <c r="N223" s="230">
        <v>1.2095600000000002</v>
      </c>
      <c r="O223" s="230">
        <v>5.463143333333333</v>
      </c>
      <c r="P223" s="230">
        <v>0.16320333333333331</v>
      </c>
      <c r="Q223" s="230">
        <v>0.40638000000000013</v>
      </c>
      <c r="R223" s="230">
        <v>1.1940866666666667</v>
      </c>
      <c r="S223" s="230">
        <v>0.24882999999999997</v>
      </c>
      <c r="T223" s="230">
        <v>1.5766399999999998</v>
      </c>
      <c r="U223" s="230">
        <v>0.67975000000000008</v>
      </c>
      <c r="V223" s="230">
        <v>0.5354133333333333</v>
      </c>
      <c r="W223" s="230">
        <v>3.9166666666666681E-3</v>
      </c>
      <c r="X223" s="230">
        <v>2.0766666666666659E-2</v>
      </c>
      <c r="Y223" s="230">
        <v>9.3736666666666676E-2</v>
      </c>
      <c r="Z223" s="230">
        <v>1.725666666666666E-2</v>
      </c>
      <c r="AA223" s="230">
        <v>2.2650000000000007E-2</v>
      </c>
      <c r="AB223" s="230">
        <v>0.48569999999999969</v>
      </c>
      <c r="AC223" s="230">
        <v>6.2486666666666656E-2</v>
      </c>
      <c r="AD223" s="230">
        <v>2.2306666666666662E-2</v>
      </c>
      <c r="AE223" s="230">
        <v>0.45198333333333335</v>
      </c>
      <c r="AF223" s="230">
        <v>0.13891666666666672</v>
      </c>
      <c r="AG223" s="230">
        <v>1.0211499999999998</v>
      </c>
      <c r="AH223" s="230">
        <v>6.7750000000000005E-2</v>
      </c>
      <c r="AI223" s="230"/>
      <c r="AJ223" s="230"/>
      <c r="AK223" s="230"/>
      <c r="AL223" s="230"/>
      <c r="AM223" s="230"/>
      <c r="AN223" s="230"/>
      <c r="AO223" s="894" t="s">
        <v>21</v>
      </c>
    </row>
    <row r="224" spans="1:41" ht="14.1" customHeight="1">
      <c r="A224" s="893" t="s">
        <v>22</v>
      </c>
      <c r="B224" s="230">
        <v>1.7000000000000008</v>
      </c>
      <c r="C224" s="230">
        <v>1.8517032258064507</v>
      </c>
      <c r="D224" s="230">
        <v>1.1053806451612909</v>
      </c>
      <c r="E224" s="230">
        <v>0.46279999999999977</v>
      </c>
      <c r="F224" s="230">
        <v>0.23949677419354826</v>
      </c>
      <c r="G224" s="230">
        <v>0.2482741935483872</v>
      </c>
      <c r="H224" s="230">
        <v>0.21926774193548382</v>
      </c>
      <c r="I224" s="230">
        <v>2.091267741935483</v>
      </c>
      <c r="J224" s="230">
        <v>4.0000000000000027E-3</v>
      </c>
      <c r="K224" s="230">
        <v>0.1745677419354838</v>
      </c>
      <c r="L224" s="230">
        <v>1.7519387096774202</v>
      </c>
      <c r="M224" s="230">
        <v>0.48317419354838703</v>
      </c>
      <c r="N224" s="230">
        <v>1.2138483870967742</v>
      </c>
      <c r="O224" s="230">
        <v>5.5000354838709677</v>
      </c>
      <c r="P224" s="230">
        <v>0.16776129032258061</v>
      </c>
      <c r="Q224" s="230">
        <v>0.40790322580645172</v>
      </c>
      <c r="R224" s="230">
        <v>1.1985516129032259</v>
      </c>
      <c r="S224" s="230">
        <v>0.24541935483870958</v>
      </c>
      <c r="T224" s="230">
        <v>1.5869935483870967</v>
      </c>
      <c r="U224" s="230">
        <v>0.70191290322580624</v>
      </c>
      <c r="V224" s="230">
        <v>0.53124516129032262</v>
      </c>
      <c r="W224" s="230">
        <v>4.0451612903225848E-3</v>
      </c>
      <c r="X224" s="230">
        <v>2.205806451612902E-2</v>
      </c>
      <c r="Y224" s="230">
        <v>9.5577419354838641E-2</v>
      </c>
      <c r="Z224" s="230">
        <v>1.6799999999999995E-2</v>
      </c>
      <c r="AA224" s="230">
        <v>2.330967741935485E-2</v>
      </c>
      <c r="AB224" s="230">
        <v>0.48569999999999969</v>
      </c>
      <c r="AC224" s="230">
        <v>6.3532258064516164E-2</v>
      </c>
      <c r="AD224" s="230">
        <v>2.2467741935483863E-2</v>
      </c>
      <c r="AE224" s="230">
        <v>0.45253225806451625</v>
      </c>
      <c r="AF224" s="230">
        <v>0.13834838709677424</v>
      </c>
      <c r="AG224" s="230">
        <v>1.0327258064516134</v>
      </c>
      <c r="AH224" s="230">
        <v>6.7880645161290318E-2</v>
      </c>
      <c r="AI224" s="230"/>
      <c r="AJ224" s="230"/>
      <c r="AK224" s="230"/>
      <c r="AL224" s="230"/>
      <c r="AM224" s="230"/>
      <c r="AN224" s="230"/>
      <c r="AO224" s="894" t="s">
        <v>22</v>
      </c>
    </row>
    <row r="225" spans="1:41" ht="14.1" customHeight="1">
      <c r="A225" s="893" t="s">
        <v>23</v>
      </c>
      <c r="B225" s="230">
        <v>1.7000000000000006</v>
      </c>
      <c r="C225" s="230">
        <v>1.9149900000000004</v>
      </c>
      <c r="D225" s="230">
        <v>1.1714566666666668</v>
      </c>
      <c r="E225" s="230">
        <v>0.46279999999999977</v>
      </c>
      <c r="F225" s="230">
        <v>0.23988999999999999</v>
      </c>
      <c r="G225" s="230">
        <v>0.2568833333333333</v>
      </c>
      <c r="H225" s="230">
        <v>0.21932999999999989</v>
      </c>
      <c r="I225" s="230">
        <v>2.1291066666666674</v>
      </c>
      <c r="J225" s="230">
        <v>4.0000000000000027E-3</v>
      </c>
      <c r="K225" s="230">
        <v>0.18251333333333336</v>
      </c>
      <c r="L225" s="230">
        <v>1.7867900000000003</v>
      </c>
      <c r="M225" s="230">
        <v>0.49187666666666663</v>
      </c>
      <c r="N225" s="230">
        <v>1.2533233333333333</v>
      </c>
      <c r="O225" s="230">
        <v>5.5235466666666673</v>
      </c>
      <c r="P225" s="230">
        <v>0.17834666666666665</v>
      </c>
      <c r="Q225" s="230">
        <v>0.43074333333333337</v>
      </c>
      <c r="R225" s="230">
        <v>1.2197800000000001</v>
      </c>
      <c r="S225" s="230">
        <v>0.24935666666666664</v>
      </c>
      <c r="T225" s="230">
        <v>1.5804766666666668</v>
      </c>
      <c r="U225" s="230">
        <v>0.71357000000000015</v>
      </c>
      <c r="V225" s="230">
        <v>0.55903000000000003</v>
      </c>
      <c r="W225" s="230">
        <v>4.2199999999999981E-3</v>
      </c>
      <c r="X225" s="230">
        <v>2.2763333333333323E-2</v>
      </c>
      <c r="Y225" s="230">
        <v>9.8426666666666662E-2</v>
      </c>
      <c r="Z225" s="230">
        <v>1.6729999999999998E-2</v>
      </c>
      <c r="AA225" s="230">
        <v>2.4493333333333322E-2</v>
      </c>
      <c r="AB225" s="230">
        <v>0.48569999999999969</v>
      </c>
      <c r="AC225" s="230">
        <v>6.3730000000000037E-2</v>
      </c>
      <c r="AD225" s="230">
        <v>2.2429999999999988E-2</v>
      </c>
      <c r="AE225" s="230">
        <v>0.45301333333333316</v>
      </c>
      <c r="AF225" s="230">
        <v>0.1407133333333333</v>
      </c>
      <c r="AG225" s="230">
        <v>1.0942866666666669</v>
      </c>
      <c r="AH225" s="230">
        <v>7.1783333333333324E-2</v>
      </c>
      <c r="AI225" s="230"/>
      <c r="AJ225" s="230"/>
      <c r="AK225" s="230"/>
      <c r="AL225" s="230"/>
      <c r="AM225" s="230"/>
      <c r="AN225" s="230"/>
      <c r="AO225" s="894" t="s">
        <v>23</v>
      </c>
    </row>
    <row r="226" spans="1:41" ht="14.1" customHeight="1">
      <c r="A226" s="893" t="s">
        <v>24</v>
      </c>
      <c r="B226" s="230">
        <v>1.7000000000000008</v>
      </c>
      <c r="C226" s="230">
        <v>1.943125806451613</v>
      </c>
      <c r="D226" s="230">
        <v>1.1924354838709679</v>
      </c>
      <c r="E226" s="230">
        <v>0.46279999999999977</v>
      </c>
      <c r="F226" s="230">
        <v>0.24235806451612907</v>
      </c>
      <c r="G226" s="230">
        <v>0.26095806451612902</v>
      </c>
      <c r="H226" s="230">
        <v>0.2193193548387096</v>
      </c>
      <c r="I226" s="230">
        <v>2.1475709677419359</v>
      </c>
      <c r="J226" s="230">
        <v>4.0000000000000027E-3</v>
      </c>
      <c r="K226" s="230">
        <v>0.18748064516129026</v>
      </c>
      <c r="L226" s="230">
        <v>1.8162838709677422</v>
      </c>
      <c r="M226" s="230">
        <v>0.49491290322580633</v>
      </c>
      <c r="N226" s="230">
        <v>1.2579096774193543</v>
      </c>
      <c r="O226" s="230">
        <v>5.5331225806451609</v>
      </c>
      <c r="P226" s="230">
        <v>0.18224516129032259</v>
      </c>
      <c r="Q226" s="230">
        <v>0.43657419354838706</v>
      </c>
      <c r="R226" s="230">
        <v>1.2238645161290329</v>
      </c>
      <c r="S226" s="230">
        <v>0.24759677419354834</v>
      </c>
      <c r="T226" s="230">
        <v>1.591022580645161</v>
      </c>
      <c r="U226" s="230">
        <v>0.70526129032258056</v>
      </c>
      <c r="V226" s="230">
        <v>0.55452580645161265</v>
      </c>
      <c r="W226" s="230">
        <v>4.1225806451612931E-3</v>
      </c>
      <c r="X226" s="230">
        <v>2.1954838709677418E-2</v>
      </c>
      <c r="Y226" s="230">
        <v>9.9803225806451595E-2</v>
      </c>
      <c r="Z226" s="230">
        <v>1.6696774193548387E-2</v>
      </c>
      <c r="AA226" s="230">
        <v>2.3845161290322586E-2</v>
      </c>
      <c r="AB226" s="230">
        <v>0.48569999999999969</v>
      </c>
      <c r="AC226" s="230">
        <v>6.2264516129032256E-2</v>
      </c>
      <c r="AD226" s="230">
        <v>2.2680645161290338E-2</v>
      </c>
      <c r="AE226" s="230">
        <v>0.4532354838709679</v>
      </c>
      <c r="AF226" s="230">
        <v>0.14163870967741937</v>
      </c>
      <c r="AG226" s="230">
        <v>1.1176709677419354</v>
      </c>
      <c r="AH226" s="230">
        <v>7.3248387096774184E-2</v>
      </c>
      <c r="AI226" s="230"/>
      <c r="AJ226" s="230"/>
      <c r="AK226" s="230"/>
      <c r="AL226" s="230"/>
      <c r="AM226" s="230"/>
      <c r="AN226" s="230"/>
      <c r="AO226" s="894" t="s">
        <v>24</v>
      </c>
    </row>
    <row r="227" spans="1:41" ht="14.1" customHeight="1">
      <c r="A227" s="893" t="s">
        <v>25</v>
      </c>
      <c r="B227" s="230">
        <v>1.7000000000000008</v>
      </c>
      <c r="C227" s="230">
        <v>2.0109967741935488</v>
      </c>
      <c r="D227" s="230">
        <v>1.2236064516129035</v>
      </c>
      <c r="E227" s="230">
        <v>0.46279999999999977</v>
      </c>
      <c r="F227" s="230">
        <v>0.24516129032258069</v>
      </c>
      <c r="G227" s="230">
        <v>0.27007741935483875</v>
      </c>
      <c r="H227" s="230">
        <v>0.21936129032258064</v>
      </c>
      <c r="I227" s="230">
        <v>2.2315774193548386</v>
      </c>
      <c r="J227" s="230">
        <v>4.0000000000000027E-3</v>
      </c>
      <c r="K227" s="230">
        <v>0.19513548387096774</v>
      </c>
      <c r="L227" s="230">
        <v>1.8674741935483878</v>
      </c>
      <c r="M227" s="230">
        <v>0.50000322580645151</v>
      </c>
      <c r="N227" s="230">
        <v>1.2841129032258058</v>
      </c>
      <c r="O227" s="230">
        <v>5.560574193548387</v>
      </c>
      <c r="P227" s="230">
        <v>0.18999032258064516</v>
      </c>
      <c r="Q227" s="230">
        <v>0.4567709677419356</v>
      </c>
      <c r="R227" s="230">
        <v>1.2410870967741934</v>
      </c>
      <c r="S227" s="230">
        <v>0.23433225806451616</v>
      </c>
      <c r="T227" s="230">
        <v>1.6039032258064521</v>
      </c>
      <c r="U227" s="230">
        <v>0.68093870967741932</v>
      </c>
      <c r="V227" s="230">
        <v>0.5528064516129032</v>
      </c>
      <c r="W227" s="230">
        <v>4.0806451612903256E-3</v>
      </c>
      <c r="X227" s="230">
        <v>2.1858064516129039E-2</v>
      </c>
      <c r="Y227" s="230">
        <v>0.10216774193548389</v>
      </c>
      <c r="Z227" s="230">
        <v>1.6625806451612903E-2</v>
      </c>
      <c r="AA227" s="230">
        <v>2.3080645161290332E-2</v>
      </c>
      <c r="AB227" s="230">
        <v>0.48569999999999969</v>
      </c>
      <c r="AC227" s="230">
        <v>6.1806451612903254E-2</v>
      </c>
      <c r="AD227" s="230">
        <v>2.2774193548387101E-2</v>
      </c>
      <c r="AE227" s="230">
        <v>0.45328387096774203</v>
      </c>
      <c r="AF227" s="230">
        <v>0.1432322580645162</v>
      </c>
      <c r="AG227" s="231">
        <v>1.1220419354838711</v>
      </c>
      <c r="AH227" s="230">
        <v>7.6832258064516115E-2</v>
      </c>
      <c r="AI227" s="230"/>
      <c r="AJ227" s="231"/>
      <c r="AK227" s="230"/>
      <c r="AL227" s="230"/>
      <c r="AM227" s="230"/>
      <c r="AN227" s="231"/>
      <c r="AO227" s="894" t="s">
        <v>25</v>
      </c>
    </row>
    <row r="228" spans="1:41" ht="14.1" customHeight="1">
      <c r="A228" s="894" t="s">
        <v>26</v>
      </c>
      <c r="B228" s="231">
        <v>1.7000000000000006</v>
      </c>
      <c r="C228" s="231">
        <v>2.0055233333333335</v>
      </c>
      <c r="D228" s="231">
        <v>1.2301266666666666</v>
      </c>
      <c r="E228" s="231">
        <v>0.46279999999999977</v>
      </c>
      <c r="F228" s="231">
        <v>0.24951666666666664</v>
      </c>
      <c r="G228" s="231">
        <v>0.26950333333333326</v>
      </c>
      <c r="H228" s="231">
        <v>0.21935000000000002</v>
      </c>
      <c r="I228" s="231">
        <v>2.2046099999999997</v>
      </c>
      <c r="J228" s="231">
        <v>4.0000000000000027E-3</v>
      </c>
      <c r="K228" s="231">
        <v>0.19246666666666667</v>
      </c>
      <c r="L228" s="231">
        <v>1.8595299999999999</v>
      </c>
      <c r="M228" s="231">
        <v>0.4970533333333334</v>
      </c>
      <c r="N228" s="231">
        <v>1.2871266666666663</v>
      </c>
      <c r="O228" s="231">
        <v>5.5568766666666676</v>
      </c>
      <c r="P228" s="231">
        <v>0.18645333333333333</v>
      </c>
      <c r="Q228" s="231">
        <v>0.44873666666666667</v>
      </c>
      <c r="R228" s="231">
        <v>1.2449066666666664</v>
      </c>
      <c r="S228" s="231">
        <v>0.22585666666666668</v>
      </c>
      <c r="T228" s="231">
        <v>1.6099033333333332</v>
      </c>
      <c r="U228" s="231">
        <v>0.65091333333333345</v>
      </c>
      <c r="V228" s="231">
        <v>0.53621666666666667</v>
      </c>
      <c r="W228" s="231">
        <v>4.0000000000000027E-3</v>
      </c>
      <c r="X228" s="231">
        <v>2.1673333333333336E-2</v>
      </c>
      <c r="Y228" s="231">
        <v>0.10167333333333334</v>
      </c>
      <c r="Z228" s="231">
        <v>1.6590000000000004E-2</v>
      </c>
      <c r="AA228" s="231">
        <v>2.2433333333333336E-2</v>
      </c>
      <c r="AB228" s="231">
        <v>0.48569999999999969</v>
      </c>
      <c r="AC228" s="231">
        <v>6.0743333333333344E-2</v>
      </c>
      <c r="AD228" s="231">
        <v>2.314666666666667E-2</v>
      </c>
      <c r="AE228" s="231">
        <v>0.45323000000000024</v>
      </c>
      <c r="AF228" s="231">
        <v>0.14437000000000003</v>
      </c>
      <c r="AG228" s="231">
        <v>1.1349333333333331</v>
      </c>
      <c r="AH228" s="231">
        <v>7.5096666666666673E-2</v>
      </c>
      <c r="AI228" s="231"/>
      <c r="AJ228" s="231"/>
      <c r="AK228" s="231"/>
      <c r="AL228" s="231"/>
      <c r="AM228" s="231"/>
      <c r="AN228" s="231"/>
      <c r="AO228" s="894" t="s">
        <v>26</v>
      </c>
    </row>
    <row r="229" spans="1:41" ht="14.1" customHeight="1">
      <c r="A229" s="894" t="s">
        <v>27</v>
      </c>
      <c r="B229" s="231">
        <v>1.7000000000000008</v>
      </c>
      <c r="C229" s="231">
        <v>1.9994290322580646</v>
      </c>
      <c r="D229" s="231">
        <v>1.2112677419354838</v>
      </c>
      <c r="E229" s="231">
        <v>0.46279999999999977</v>
      </c>
      <c r="F229" s="231">
        <v>0.25278064516129045</v>
      </c>
      <c r="G229" s="231">
        <v>0.26861290322580639</v>
      </c>
      <c r="H229" s="231">
        <v>0.2193774193548387</v>
      </c>
      <c r="I229" s="231">
        <v>2.2041580645161281</v>
      </c>
      <c r="J229" s="231">
        <v>4.0000000000000027E-3</v>
      </c>
      <c r="K229" s="231">
        <v>0.19211290322580646</v>
      </c>
      <c r="L229" s="231">
        <v>1.8615774193548387</v>
      </c>
      <c r="M229" s="231">
        <v>0.50039354838709682</v>
      </c>
      <c r="N229" s="231">
        <v>1.2864129032258067</v>
      </c>
      <c r="O229" s="231">
        <v>5.5554774193548404</v>
      </c>
      <c r="P229" s="231">
        <v>0.18276451612903227</v>
      </c>
      <c r="Q229" s="231">
        <v>0.44073548387096773</v>
      </c>
      <c r="R229" s="231">
        <v>1.2500451612903227</v>
      </c>
      <c r="S229" s="231">
        <v>0.21434838709677417</v>
      </c>
      <c r="T229" s="231">
        <v>1.6157741935483876</v>
      </c>
      <c r="U229" s="231">
        <v>0.65781612903225817</v>
      </c>
      <c r="V229" s="231">
        <v>0.52804516129032264</v>
      </c>
      <c r="W229" s="231">
        <v>3.990322580645164E-3</v>
      </c>
      <c r="X229" s="231">
        <v>2.11741935483871E-2</v>
      </c>
      <c r="Y229" s="231">
        <v>0.10015483870967741</v>
      </c>
      <c r="Z229" s="231">
        <v>1.6419354838709689E-2</v>
      </c>
      <c r="AA229" s="231">
        <v>2.191935483870967E-2</v>
      </c>
      <c r="AB229" s="231">
        <v>0.48569999999999969</v>
      </c>
      <c r="AC229" s="231">
        <v>6.00161290322581E-2</v>
      </c>
      <c r="AD229" s="231">
        <v>2.3154838709677421E-2</v>
      </c>
      <c r="AE229" s="231">
        <v>0.45323870967741953</v>
      </c>
      <c r="AF229" s="231">
        <v>0.1485129032258064</v>
      </c>
      <c r="AG229" s="231">
        <v>1.1276096774193549</v>
      </c>
      <c r="AH229" s="231">
        <v>7.3496774193548386E-2</v>
      </c>
      <c r="AI229" s="231"/>
      <c r="AJ229" s="231"/>
      <c r="AK229" s="231"/>
      <c r="AL229" s="231"/>
      <c r="AM229" s="231"/>
      <c r="AN229" s="231"/>
      <c r="AO229" s="894" t="s">
        <v>27</v>
      </c>
    </row>
    <row r="230" spans="1:41" ht="14.1" customHeight="1">
      <c r="A230" s="893">
        <v>11</v>
      </c>
      <c r="B230" s="231">
        <v>1.7000000000000006</v>
      </c>
      <c r="C230" s="231">
        <v>2.01084</v>
      </c>
      <c r="D230" s="231">
        <v>1.23464</v>
      </c>
      <c r="E230" s="231">
        <v>0.46279999999999977</v>
      </c>
      <c r="F230" s="231">
        <v>0.25729666666666667</v>
      </c>
      <c r="G230" s="231">
        <v>0.27002333333333339</v>
      </c>
      <c r="H230" s="231">
        <v>0.21927999999999984</v>
      </c>
      <c r="I230" s="231">
        <v>2.2430966666666667</v>
      </c>
      <c r="J230" s="231">
        <v>4.0000000000000027E-3</v>
      </c>
      <c r="K230" s="231">
        <v>0.19643666666666668</v>
      </c>
      <c r="L230" s="231">
        <v>1.86704</v>
      </c>
      <c r="M230" s="231">
        <v>0.50558666666666674</v>
      </c>
      <c r="N230" s="231">
        <v>1.2979533333333335</v>
      </c>
      <c r="O230" s="231">
        <v>5.5596799999999993</v>
      </c>
      <c r="P230" s="231">
        <v>0.18659666666666663</v>
      </c>
      <c r="Q230" s="231">
        <v>0.44657000000000002</v>
      </c>
      <c r="R230" s="231">
        <v>1.2613266666666665</v>
      </c>
      <c r="S230" s="231">
        <v>0.21336333333333338</v>
      </c>
      <c r="T230" s="231">
        <v>1.6305166666666666</v>
      </c>
      <c r="U230" s="231">
        <v>0.65896666666666692</v>
      </c>
      <c r="V230" s="231">
        <v>0.51336333333333328</v>
      </c>
      <c r="W230" s="231">
        <v>3.9600000000000017E-3</v>
      </c>
      <c r="X230" s="231">
        <v>2.0683333333333338E-2</v>
      </c>
      <c r="Y230" s="231">
        <v>9.9079999999999932E-2</v>
      </c>
      <c r="Z230" s="231">
        <v>1.6396666666666677E-2</v>
      </c>
      <c r="AA230" s="231">
        <v>2.209666666666666E-2</v>
      </c>
      <c r="AB230" s="231">
        <v>0.48569999999999969</v>
      </c>
      <c r="AC230" s="231">
        <v>6.0033333333333362E-2</v>
      </c>
      <c r="AD230" s="231">
        <v>2.291E-2</v>
      </c>
      <c r="AE230" s="231">
        <v>0.45329000000000008</v>
      </c>
      <c r="AF230" s="231">
        <v>0.15233000000000005</v>
      </c>
      <c r="AG230" s="231">
        <v>1.1657000000000002</v>
      </c>
      <c r="AH230" s="231">
        <v>7.5863333333333352E-2</v>
      </c>
      <c r="AI230" s="231"/>
      <c r="AJ230" s="231"/>
      <c r="AK230" s="231"/>
      <c r="AL230" s="231"/>
      <c r="AM230" s="231"/>
      <c r="AN230" s="231"/>
      <c r="AO230" s="894" t="s">
        <v>28</v>
      </c>
    </row>
    <row r="231" spans="1:41" ht="14.1" customHeight="1">
      <c r="A231" s="893" t="s">
        <v>29</v>
      </c>
      <c r="B231" s="231">
        <v>1.7000000000000008</v>
      </c>
      <c r="C231" s="231">
        <v>2.0694032258064516</v>
      </c>
      <c r="D231" s="231">
        <v>1.2802612903225805</v>
      </c>
      <c r="E231" s="231">
        <v>0.46282580645161259</v>
      </c>
      <c r="F231" s="231">
        <v>0.25995806451612896</v>
      </c>
      <c r="G231" s="231">
        <v>0.27808064516129033</v>
      </c>
      <c r="H231" s="231">
        <v>0.21929999999999986</v>
      </c>
      <c r="I231" s="231">
        <v>2.2854677419354834</v>
      </c>
      <c r="J231" s="231">
        <v>4.0000000000000027E-3</v>
      </c>
      <c r="K231" s="231">
        <v>0.20340000000000008</v>
      </c>
      <c r="L231" s="231">
        <v>1.9130096774193543</v>
      </c>
      <c r="M231" s="231">
        <v>0.52342258064516123</v>
      </c>
      <c r="N231" s="231">
        <v>1.3265741935483872</v>
      </c>
      <c r="O231" s="231">
        <v>5.5757225806451611</v>
      </c>
      <c r="P231" s="231">
        <v>0.19535161290322586</v>
      </c>
      <c r="Q231" s="231">
        <v>0.4630129032258064</v>
      </c>
      <c r="R231" s="231">
        <v>1.2764032258064522</v>
      </c>
      <c r="S231" s="231">
        <v>0.22007419354838714</v>
      </c>
      <c r="T231" s="231">
        <v>1.6379774193548389</v>
      </c>
      <c r="U231" s="231">
        <v>0.66441290322580626</v>
      </c>
      <c r="V231" s="231">
        <v>0.51777096774193543</v>
      </c>
      <c r="W231" s="231">
        <v>4.0548387096774217E-3</v>
      </c>
      <c r="X231" s="231">
        <v>2.0041935483870971E-2</v>
      </c>
      <c r="Y231" s="231">
        <v>9.8529032258064503E-2</v>
      </c>
      <c r="Z231" s="231">
        <v>1.6296774193548382E-2</v>
      </c>
      <c r="AA231" s="231">
        <v>2.2961290322580645E-2</v>
      </c>
      <c r="AB231" s="231">
        <v>0.48569999999999969</v>
      </c>
      <c r="AC231" s="231">
        <v>6.0412903225806454E-2</v>
      </c>
      <c r="AD231" s="231">
        <v>2.3074193548387103E-2</v>
      </c>
      <c r="AE231" s="231">
        <v>0.45312258064516092</v>
      </c>
      <c r="AF231" s="231">
        <v>0.15535806451612905</v>
      </c>
      <c r="AG231" s="231">
        <v>1.2056</v>
      </c>
      <c r="AH231" s="231">
        <v>7.871935483870969E-2</v>
      </c>
      <c r="AI231" s="231"/>
      <c r="AJ231" s="231"/>
      <c r="AK231" s="231"/>
      <c r="AL231" s="231"/>
      <c r="AM231" s="231"/>
      <c r="AN231" s="231"/>
      <c r="AO231" s="894">
        <v>12</v>
      </c>
    </row>
    <row r="232" spans="1:41" ht="14.1" customHeight="1">
      <c r="A232" s="65">
        <v>2021</v>
      </c>
      <c r="B232" s="246">
        <f>AVERAGE(B233:B244)</f>
        <v>1.7000000000000004</v>
      </c>
      <c r="C232" s="246">
        <f t="shared" ref="C232:AF232" si="24">AVERAGE(C233:C244)</f>
        <v>2.0124739669738871</v>
      </c>
      <c r="D232" s="246">
        <f t="shared" si="24"/>
        <v>1.2781624449564777</v>
      </c>
      <c r="E232" s="246">
        <f t="shared" si="24"/>
        <v>0.46280162186379908</v>
      </c>
      <c r="F232" s="246">
        <f t="shared" si="24"/>
        <v>0.26353630184331794</v>
      </c>
      <c r="G232" s="246">
        <f t="shared" si="24"/>
        <v>0.27060897721454175</v>
      </c>
      <c r="H232" s="246">
        <f t="shared" si="24"/>
        <v>0.2187276696108551</v>
      </c>
      <c r="I232" s="246">
        <f t="shared" si="24"/>
        <v>2.3391259594214033</v>
      </c>
      <c r="J232" s="246">
        <f t="shared" si="24"/>
        <v>4.0000000000000027E-3</v>
      </c>
      <c r="K232" s="246">
        <f t="shared" si="24"/>
        <v>0.19844697836661543</v>
      </c>
      <c r="L232" s="246">
        <f t="shared" si="24"/>
        <v>1.8606220398105482</v>
      </c>
      <c r="M232" s="246">
        <f t="shared" si="24"/>
        <v>0.52648894585253447</v>
      </c>
      <c r="N232" s="246">
        <f t="shared" si="24"/>
        <v>1.3562598732718893</v>
      </c>
      <c r="O232" s="246">
        <f t="shared" si="24"/>
        <v>5.6334439234511002</v>
      </c>
      <c r="P232" s="246">
        <f t="shared" si="24"/>
        <v>0.19795010432667692</v>
      </c>
      <c r="Q232" s="246">
        <f t="shared" si="24"/>
        <v>0.44105432795698923</v>
      </c>
      <c r="R232" s="246">
        <f t="shared" si="24"/>
        <v>1.2655139400921664</v>
      </c>
      <c r="S232" s="246">
        <f t="shared" si="24"/>
        <v>0.19791647529441883</v>
      </c>
      <c r="T232" s="246">
        <f t="shared" si="24"/>
        <v>1.5498433595750132</v>
      </c>
      <c r="U232" s="246">
        <f t="shared" si="24"/>
        <v>0.67028654761904749</v>
      </c>
      <c r="V232" s="246">
        <f t="shared" si="24"/>
        <v>0.52882436059907822</v>
      </c>
      <c r="W232" s="246">
        <f t="shared" si="24"/>
        <v>3.9976478494623676E-3</v>
      </c>
      <c r="X232" s="246">
        <f t="shared" si="24"/>
        <v>2.0124176267281111E-2</v>
      </c>
      <c r="Y232" s="246">
        <f t="shared" si="24"/>
        <v>9.6170396185355875E-2</v>
      </c>
      <c r="Z232" s="246">
        <f t="shared" si="24"/>
        <v>1.6033369815668209E-2</v>
      </c>
      <c r="AA232" s="246">
        <f t="shared" si="24"/>
        <v>2.308636072708654E-2</v>
      </c>
      <c r="AB232" s="246">
        <f t="shared" si="24"/>
        <v>0.48569999999999963</v>
      </c>
      <c r="AC232" s="246">
        <f t="shared" si="24"/>
        <v>6.2358463901689705E-2</v>
      </c>
      <c r="AD232" s="246">
        <f t="shared" si="24"/>
        <v>2.2996043266769076E-2</v>
      </c>
      <c r="AE232" s="246">
        <f t="shared" si="24"/>
        <v>0.45322787762416805</v>
      </c>
      <c r="AF232" s="246">
        <f t="shared" si="24"/>
        <v>0.14865055811571937</v>
      </c>
      <c r="AG232" s="246">
        <f t="shared" ref="AG232:AH232" si="25">AVERAGE(AG233:AG244)</f>
        <v>1.2035854147465439</v>
      </c>
      <c r="AH232" s="246">
        <f t="shared" si="25"/>
        <v>7.8445110087045564E-2</v>
      </c>
      <c r="AI232" s="246"/>
      <c r="AJ232" s="246"/>
      <c r="AK232" s="246"/>
      <c r="AL232" s="246"/>
      <c r="AM232" s="246"/>
      <c r="AN232" s="246"/>
      <c r="AO232" s="65">
        <v>2021</v>
      </c>
    </row>
    <row r="233" spans="1:41" ht="14.1" customHeight="1">
      <c r="A233" s="893" t="s">
        <v>18</v>
      </c>
      <c r="B233" s="231">
        <v>1.7</v>
      </c>
      <c r="C233" s="231">
        <v>2.07129032258065</v>
      </c>
      <c r="D233" s="231">
        <v>1.3118129032258099</v>
      </c>
      <c r="E233" s="231">
        <v>0.46279999999999999</v>
      </c>
      <c r="F233" s="231">
        <v>0.26249032258064497</v>
      </c>
      <c r="G233" s="231">
        <v>0.27845161290322601</v>
      </c>
      <c r="H233" s="231">
        <v>0.21929032258064499</v>
      </c>
      <c r="I233" s="231">
        <v>2.31706451612903</v>
      </c>
      <c r="J233" s="231">
        <v>4.0000000000000001E-3</v>
      </c>
      <c r="K233" s="231">
        <v>0.20533870967741899</v>
      </c>
      <c r="L233" s="231">
        <v>1.9179516129032299</v>
      </c>
      <c r="M233" s="231">
        <v>0.52743225806451599</v>
      </c>
      <c r="N233" s="231">
        <v>1.33536129032258</v>
      </c>
      <c r="O233" s="231">
        <v>5.60255483870968</v>
      </c>
      <c r="P233" s="231">
        <v>0.19961935483870999</v>
      </c>
      <c r="Q233" s="231">
        <v>0.45683870967741902</v>
      </c>
      <c r="R233" s="231">
        <v>1.2817774193548399</v>
      </c>
      <c r="S233" s="231">
        <v>0.23000322580645199</v>
      </c>
      <c r="T233" s="231">
        <v>1.6386967741935501</v>
      </c>
      <c r="U233" s="231">
        <v>0.66250967741935496</v>
      </c>
      <c r="V233" s="231">
        <v>0.516025806451613</v>
      </c>
      <c r="W233" s="231">
        <v>4.0483870967741899E-3</v>
      </c>
      <c r="X233" s="231">
        <v>2.03064516129032E-2</v>
      </c>
      <c r="Y233" s="231">
        <v>9.82709677419355E-2</v>
      </c>
      <c r="Z233" s="231">
        <v>1.6264516129032298E-2</v>
      </c>
      <c r="AA233" s="231">
        <v>2.2893548387096799E-2</v>
      </c>
      <c r="AB233" s="231">
        <v>0.48570000000000002</v>
      </c>
      <c r="AC233" s="231">
        <v>6.03096774193548E-2</v>
      </c>
      <c r="AD233" s="231">
        <v>2.3241935483871001E-2</v>
      </c>
      <c r="AE233" s="231">
        <v>0.45315161290322598</v>
      </c>
      <c r="AF233" s="231">
        <v>0.15464516129032199</v>
      </c>
      <c r="AG233" s="231">
        <v>1.2232129032258101</v>
      </c>
      <c r="AH233" s="231">
        <v>7.9212903225806472E-2</v>
      </c>
      <c r="AI233" s="231"/>
      <c r="AJ233" s="231"/>
      <c r="AK233" s="231"/>
      <c r="AL233" s="231"/>
      <c r="AM233" s="231"/>
      <c r="AN233" s="231"/>
      <c r="AO233" s="894" t="s">
        <v>18</v>
      </c>
    </row>
    <row r="234" spans="1:41" ht="14.1" customHeight="1">
      <c r="A234" s="891" t="s">
        <v>19</v>
      </c>
      <c r="B234" s="231">
        <v>1.7000000000000006</v>
      </c>
      <c r="C234" s="231">
        <v>2.0559285714285713</v>
      </c>
      <c r="D234" s="231">
        <v>1.3173142857142854</v>
      </c>
      <c r="E234" s="231">
        <v>0.46279999999999977</v>
      </c>
      <c r="F234" s="231">
        <v>0.26307142857142846</v>
      </c>
      <c r="G234" s="231">
        <v>0.27646428571428561</v>
      </c>
      <c r="H234" s="231">
        <v>0.21928214285714279</v>
      </c>
      <c r="I234" s="231">
        <v>2.3562178571428576</v>
      </c>
      <c r="J234" s="231">
        <v>4.0000000000000027E-3</v>
      </c>
      <c r="K234" s="231">
        <v>0.2038464285714286</v>
      </c>
      <c r="L234" s="231">
        <v>1.8939607142857138</v>
      </c>
      <c r="M234" s="231">
        <v>0.51958928571428575</v>
      </c>
      <c r="N234" s="231">
        <v>1.3385142857142862</v>
      </c>
      <c r="O234" s="231">
        <v>5.6172642857142847</v>
      </c>
      <c r="P234" s="231">
        <v>0.19981071428571426</v>
      </c>
      <c r="Q234" s="231">
        <v>0.45705000000000001</v>
      </c>
      <c r="R234" s="231">
        <v>1.2799785714285716</v>
      </c>
      <c r="S234" s="231">
        <v>0.23931071428571429</v>
      </c>
      <c r="T234" s="231">
        <v>1.613432142857143</v>
      </c>
      <c r="U234" s="231">
        <v>0.65312857142857161</v>
      </c>
      <c r="V234" s="231">
        <v>0.51406071428571432</v>
      </c>
      <c r="W234" s="231">
        <v>4.0750000000000031E-3</v>
      </c>
      <c r="X234" s="231">
        <v>2.0217857142857138E-2</v>
      </c>
      <c r="Y234" s="231">
        <v>9.7503571428571453E-2</v>
      </c>
      <c r="Z234" s="231">
        <v>1.616785714285714E-2</v>
      </c>
      <c r="AA234" s="231">
        <v>2.2864285714285722E-2</v>
      </c>
      <c r="AB234" s="231">
        <v>0.48569999999999969</v>
      </c>
      <c r="AC234" s="231">
        <v>6.1042857142857121E-2</v>
      </c>
      <c r="AD234" s="231">
        <v>2.3357142857142844E-2</v>
      </c>
      <c r="AE234" s="231">
        <v>0.45323571428571441</v>
      </c>
      <c r="AF234" s="231">
        <v>0.15282142857142861</v>
      </c>
      <c r="AG234" s="231">
        <v>1.2312714285714288</v>
      </c>
      <c r="AH234" s="231">
        <v>7.9421428571428559E-2</v>
      </c>
      <c r="AI234" s="231"/>
      <c r="AJ234" s="231"/>
      <c r="AK234" s="231"/>
      <c r="AL234" s="231"/>
      <c r="AM234" s="231"/>
      <c r="AN234" s="231"/>
      <c r="AO234" s="894" t="s">
        <v>19</v>
      </c>
    </row>
    <row r="235" spans="1:41" ht="14.1" customHeight="1">
      <c r="A235" s="891" t="s">
        <v>20</v>
      </c>
      <c r="B235" s="231">
        <v>1.7000000000000008</v>
      </c>
      <c r="C235" s="231">
        <v>2.0279903225806453</v>
      </c>
      <c r="D235" s="231">
        <v>1.3150838709677415</v>
      </c>
      <c r="E235" s="231">
        <v>0.46280322580645145</v>
      </c>
      <c r="F235" s="231">
        <v>0.26147096774193546</v>
      </c>
      <c r="G235" s="231">
        <v>0.27274193548387099</v>
      </c>
      <c r="H235" s="231">
        <v>0.21895806451612898</v>
      </c>
      <c r="I235" s="231">
        <v>2.3638580645161293</v>
      </c>
      <c r="J235" s="231">
        <v>4.0000000000000027E-3</v>
      </c>
      <c r="K235" s="231">
        <v>0.19973548387096773</v>
      </c>
      <c r="L235" s="231">
        <v>1.833167741935483</v>
      </c>
      <c r="M235" s="231">
        <v>0.51412580645161277</v>
      </c>
      <c r="N235" s="231">
        <v>1.353312903225806</v>
      </c>
      <c r="O235" s="231">
        <v>5.6237903225806445</v>
      </c>
      <c r="P235" s="231">
        <v>0.19965161290322581</v>
      </c>
      <c r="Q235" s="231">
        <v>0.44135161290322583</v>
      </c>
      <c r="R235" s="231">
        <v>1.2671032258064523</v>
      </c>
      <c r="S235" s="231">
        <v>0.22637096774193535</v>
      </c>
      <c r="T235" s="231">
        <v>1.5648548387096777</v>
      </c>
      <c r="U235" s="231">
        <v>0.65295483870967741</v>
      </c>
      <c r="V235" s="231">
        <v>0.51048064516129033</v>
      </c>
      <c r="W235" s="231">
        <v>4.0483870967741951E-3</v>
      </c>
      <c r="X235" s="231">
        <v>2.0032258064516136E-2</v>
      </c>
      <c r="Y235" s="231">
        <v>9.6119354838709661E-2</v>
      </c>
      <c r="Z235" s="231">
        <v>1.6187096774193541E-2</v>
      </c>
      <c r="AA235" s="231">
        <v>2.292258064516129E-2</v>
      </c>
      <c r="AB235" s="231">
        <v>0.48569999999999969</v>
      </c>
      <c r="AC235" s="231">
        <v>6.1267741935483837E-2</v>
      </c>
      <c r="AD235" s="231">
        <v>2.3338709677419342E-2</v>
      </c>
      <c r="AE235" s="231">
        <v>0.45326129032258078</v>
      </c>
      <c r="AF235" s="231">
        <v>0.15033225806451614</v>
      </c>
      <c r="AG235" s="231">
        <v>1.2195000000000003</v>
      </c>
      <c r="AH235" s="231">
        <v>7.7470967741935473E-2</v>
      </c>
      <c r="AI235" s="231"/>
      <c r="AJ235" s="231"/>
      <c r="AK235" s="231"/>
      <c r="AL235" s="231"/>
      <c r="AM235" s="231"/>
      <c r="AN235" s="231"/>
      <c r="AO235" s="894" t="s">
        <v>20</v>
      </c>
    </row>
    <row r="236" spans="1:41" ht="14.1" customHeight="1">
      <c r="A236" s="891" t="s">
        <v>21</v>
      </c>
      <c r="B236" s="231">
        <v>1.7000000000000006</v>
      </c>
      <c r="C236" s="231">
        <v>2.0305533333333328</v>
      </c>
      <c r="D236" s="231">
        <v>1.3075866666666667</v>
      </c>
      <c r="E236" s="231">
        <v>0.46279999999999977</v>
      </c>
      <c r="F236" s="231">
        <v>0.26048000000000004</v>
      </c>
      <c r="G236" s="231">
        <v>0.2730466666666666</v>
      </c>
      <c r="H236" s="231">
        <v>0.21877666666666673</v>
      </c>
      <c r="I236" s="231">
        <v>2.3513099999999993</v>
      </c>
      <c r="J236" s="231">
        <v>4.0000000000000027E-3</v>
      </c>
      <c r="K236" s="231">
        <v>0.19960666666666674</v>
      </c>
      <c r="L236" s="231">
        <v>1.8394866666666665</v>
      </c>
      <c r="M236" s="231">
        <v>0.51798333333333346</v>
      </c>
      <c r="N236" s="231">
        <v>1.3585533333333335</v>
      </c>
      <c r="O236" s="231">
        <v>5.6359933333333325</v>
      </c>
      <c r="P236" s="231">
        <v>0.20225333333333334</v>
      </c>
      <c r="Q236" s="231">
        <v>0.44476666666666659</v>
      </c>
      <c r="R236" s="231">
        <v>1.2730333333333332</v>
      </c>
      <c r="S236" s="231">
        <v>0.20803333333333332</v>
      </c>
      <c r="T236" s="231">
        <v>1.5582366666666665</v>
      </c>
      <c r="U236" s="231">
        <v>0.65126000000000028</v>
      </c>
      <c r="V236" s="231">
        <v>0.49537333333333328</v>
      </c>
      <c r="W236" s="231">
        <v>3.9433333333333343E-3</v>
      </c>
      <c r="X236" s="231">
        <v>2.0050000000000005E-2</v>
      </c>
      <c r="Y236" s="231">
        <v>9.4669999999999976E-2</v>
      </c>
      <c r="Z236" s="231">
        <v>1.6173333333333331E-2</v>
      </c>
      <c r="AA236" s="231">
        <v>2.2323333333333341E-2</v>
      </c>
      <c r="AB236" s="231">
        <v>0.48569999999999969</v>
      </c>
      <c r="AC236" s="231">
        <v>6.0896666666666634E-2</v>
      </c>
      <c r="AD236" s="231">
        <v>2.2813333333333345E-2</v>
      </c>
      <c r="AE236" s="231">
        <v>0.45330000000000009</v>
      </c>
      <c r="AF236" s="231">
        <v>0.15192333333333333</v>
      </c>
      <c r="AG236" s="231">
        <v>1.2099533333333334</v>
      </c>
      <c r="AH236" s="231">
        <v>7.8286666666666685E-2</v>
      </c>
      <c r="AI236" s="231"/>
      <c r="AJ236" s="231"/>
      <c r="AK236" s="231"/>
      <c r="AL236" s="231"/>
      <c r="AM236" s="231"/>
      <c r="AN236" s="231"/>
      <c r="AO236" s="894" t="s">
        <v>21</v>
      </c>
    </row>
    <row r="237" spans="1:41" ht="14.1" customHeight="1">
      <c r="A237" s="891" t="s">
        <v>22</v>
      </c>
      <c r="B237" s="231">
        <v>1.7000000000000008</v>
      </c>
      <c r="C237" s="231">
        <v>2.0669129032258069</v>
      </c>
      <c r="D237" s="231">
        <v>1.3222322580645161</v>
      </c>
      <c r="E237" s="231">
        <v>0.46279999999999977</v>
      </c>
      <c r="F237" s="231">
        <v>0.2643322580645161</v>
      </c>
      <c r="G237" s="231">
        <v>0.27796451612903234</v>
      </c>
      <c r="H237" s="231">
        <v>0.21893870967741949</v>
      </c>
      <c r="I237" s="231">
        <v>2.3885838709677438</v>
      </c>
      <c r="J237" s="231">
        <v>4.0000000000000027E-3</v>
      </c>
      <c r="K237" s="231">
        <v>0.20389354838709681</v>
      </c>
      <c r="L237" s="231">
        <v>1.8849064516129033</v>
      </c>
      <c r="M237" s="231">
        <v>0.52252903225806469</v>
      </c>
      <c r="N237" s="231">
        <v>1.4005129032258066</v>
      </c>
      <c r="O237" s="231">
        <v>5.6478290322580644</v>
      </c>
      <c r="P237" s="231">
        <v>0.20528709677419346</v>
      </c>
      <c r="Q237" s="231">
        <v>0.45626451612903224</v>
      </c>
      <c r="R237" s="231">
        <v>1.2798935483870977</v>
      </c>
      <c r="S237" s="231">
        <v>0.20373225806451611</v>
      </c>
      <c r="T237" s="231">
        <v>1.560267741935484</v>
      </c>
      <c r="U237" s="231">
        <v>0.67218064516129028</v>
      </c>
      <c r="V237" s="231">
        <v>0.50353225806451618</v>
      </c>
      <c r="W237" s="231">
        <v>4.0000000000000027E-3</v>
      </c>
      <c r="X237" s="231">
        <v>2.0177419354838709E-2</v>
      </c>
      <c r="Y237" s="231">
        <v>9.5812903225806448E-2</v>
      </c>
      <c r="Z237" s="231">
        <v>1.6132258064516129E-2</v>
      </c>
      <c r="AA237" s="231">
        <v>2.2983870967741942E-2</v>
      </c>
      <c r="AB237" s="231">
        <v>0.48569999999999969</v>
      </c>
      <c r="AC237" s="231">
        <v>6.1570967741935524E-2</v>
      </c>
      <c r="AD237" s="231">
        <v>2.3190322580645156E-2</v>
      </c>
      <c r="AE237" s="231">
        <v>0.45330000000000009</v>
      </c>
      <c r="AF237" s="231">
        <v>0.15150967741935481</v>
      </c>
      <c r="AG237" s="231">
        <v>1.2310967741935479</v>
      </c>
      <c r="AH237" s="231">
        <v>8.0777419354838703E-2</v>
      </c>
      <c r="AI237" s="231"/>
      <c r="AJ237" s="231"/>
      <c r="AK237" s="231"/>
      <c r="AL237" s="231"/>
      <c r="AM237" s="231"/>
      <c r="AN237" s="231"/>
      <c r="AO237" s="894" t="s">
        <v>22</v>
      </c>
    </row>
    <row r="238" spans="1:41" ht="14.1" customHeight="1">
      <c r="A238" s="891" t="s">
        <v>23</v>
      </c>
      <c r="B238" s="231">
        <v>1.7000000000000008</v>
      </c>
      <c r="C238" s="231">
        <v>2.0485566666666668</v>
      </c>
      <c r="D238" s="231">
        <v>1.2999533333333333</v>
      </c>
      <c r="E238" s="231">
        <v>0.46279999999999977</v>
      </c>
      <c r="F238" s="231">
        <v>0.26463999999999999</v>
      </c>
      <c r="G238" s="231">
        <v>0.27547333333333329</v>
      </c>
      <c r="H238" s="231">
        <v>0.21901999999999999</v>
      </c>
      <c r="I238" s="231">
        <v>2.3859033333333333</v>
      </c>
      <c r="J238" s="231">
        <v>4.0000000000000027E-3</v>
      </c>
      <c r="K238" s="231">
        <v>0.2025766666666666</v>
      </c>
      <c r="L238" s="231">
        <v>1.8733300000000006</v>
      </c>
      <c r="M238" s="231">
        <v>0.52273666666666652</v>
      </c>
      <c r="N238" s="231">
        <v>1.3918299999999999</v>
      </c>
      <c r="O238" s="231">
        <v>5.64872</v>
      </c>
      <c r="P238" s="231">
        <v>0.20203666666666659</v>
      </c>
      <c r="Q238" s="231">
        <v>0.45529333333333333</v>
      </c>
      <c r="R238" s="231">
        <v>1.2754266666666667</v>
      </c>
      <c r="S238" s="231">
        <v>0.19706333333333326</v>
      </c>
      <c r="T238" s="231">
        <v>1.5440933333333338</v>
      </c>
      <c r="U238" s="231">
        <v>0.67491666666666661</v>
      </c>
      <c r="V238" s="231">
        <v>0.53786333333333336</v>
      </c>
      <c r="W238" s="231">
        <v>4.0000000000000027E-3</v>
      </c>
      <c r="X238" s="231">
        <v>2.0106666666666672E-2</v>
      </c>
      <c r="Y238" s="231">
        <v>9.5546666666666627E-2</v>
      </c>
      <c r="Z238" s="231">
        <v>1.6080000000000004E-2</v>
      </c>
      <c r="AA238" s="231">
        <v>2.3429999999999996E-2</v>
      </c>
      <c r="AB238" s="231">
        <v>0.48569999999999969</v>
      </c>
      <c r="AC238" s="231">
        <v>6.236333333333334E-2</v>
      </c>
      <c r="AD238" s="231">
        <v>2.3113333333333336E-2</v>
      </c>
      <c r="AE238" s="231">
        <v>0.45330000000000009</v>
      </c>
      <c r="AF238" s="231">
        <v>0.15153999999999998</v>
      </c>
      <c r="AG238" s="231">
        <v>1.2094066666666665</v>
      </c>
      <c r="AH238" s="231">
        <v>8.050333333333333E-2</v>
      </c>
      <c r="AI238" s="231"/>
      <c r="AJ238" s="231"/>
      <c r="AK238" s="231"/>
      <c r="AL238" s="231"/>
      <c r="AM238" s="231"/>
      <c r="AN238" s="231"/>
      <c r="AO238" s="894" t="s">
        <v>23</v>
      </c>
    </row>
    <row r="239" spans="1:41" ht="14.1" customHeight="1">
      <c r="A239" s="891" t="s">
        <v>24</v>
      </c>
      <c r="B239" s="231">
        <v>1.7000000000000008</v>
      </c>
      <c r="C239" s="231">
        <v>2.0101354838709686</v>
      </c>
      <c r="D239" s="231">
        <v>1.2625999999999999</v>
      </c>
      <c r="E239" s="231">
        <v>0.46279999999999977</v>
      </c>
      <c r="F239" s="231">
        <v>0.26258064516129037</v>
      </c>
      <c r="G239" s="231">
        <v>0.27029999999999998</v>
      </c>
      <c r="H239" s="231">
        <v>0.21880967741935484</v>
      </c>
      <c r="I239" s="231">
        <v>2.3478387096774198</v>
      </c>
      <c r="J239" s="231">
        <v>4.0000000000000027E-3</v>
      </c>
      <c r="K239" s="231">
        <v>0.19710967741935487</v>
      </c>
      <c r="L239" s="231">
        <v>1.851141935483871</v>
      </c>
      <c r="M239" s="231">
        <v>0.51964193548387094</v>
      </c>
      <c r="N239" s="231">
        <v>1.3583870967741936</v>
      </c>
      <c r="O239" s="231">
        <v>5.64916451612903</v>
      </c>
      <c r="P239" s="231">
        <v>0.19387741935483871</v>
      </c>
      <c r="Q239" s="231">
        <v>0.44109032258064518</v>
      </c>
      <c r="R239" s="231">
        <v>1.2553258064516133</v>
      </c>
      <c r="S239" s="231">
        <v>0.1976290322580645</v>
      </c>
      <c r="T239" s="231">
        <v>1.5409774193548382</v>
      </c>
      <c r="U239" s="231">
        <v>0.6701677419354839</v>
      </c>
      <c r="V239" s="231">
        <v>0.54368387096774173</v>
      </c>
      <c r="W239" s="231">
        <v>4.0000000000000027E-3</v>
      </c>
      <c r="X239" s="231">
        <v>2.0116129032258071E-2</v>
      </c>
      <c r="Y239" s="231">
        <v>9.4287096774193585E-2</v>
      </c>
      <c r="Z239" s="231">
        <v>1.6012903225806462E-2</v>
      </c>
      <c r="AA239" s="231">
        <v>2.3006451612903222E-2</v>
      </c>
      <c r="AB239" s="231">
        <v>0.48569999999999969</v>
      </c>
      <c r="AC239" s="231">
        <v>6.2503225806451609E-2</v>
      </c>
      <c r="AD239" s="231">
        <v>2.2816129032258069E-2</v>
      </c>
      <c r="AE239" s="231">
        <v>0.45323548387096796</v>
      </c>
      <c r="AF239" s="231">
        <v>0.14866774193548388</v>
      </c>
      <c r="AG239" s="231">
        <v>1.1877806451612902</v>
      </c>
      <c r="AH239" s="231">
        <v>7.8451612903225817E-2</v>
      </c>
      <c r="AI239" s="231"/>
      <c r="AJ239" s="231"/>
      <c r="AK239" s="231"/>
      <c r="AL239" s="231"/>
      <c r="AM239" s="231"/>
      <c r="AN239" s="231"/>
      <c r="AO239" s="894" t="s">
        <v>24</v>
      </c>
    </row>
    <row r="240" spans="1:41" ht="14.1" customHeight="1">
      <c r="A240" s="891" t="s">
        <v>25</v>
      </c>
      <c r="B240" s="231">
        <v>1.7000000000000008</v>
      </c>
      <c r="C240" s="231">
        <v>2.0008548387096767</v>
      </c>
      <c r="D240" s="231">
        <v>1.2406419354838711</v>
      </c>
      <c r="E240" s="231">
        <v>0.46279999999999977</v>
      </c>
      <c r="F240" s="231">
        <v>0.26243225806451609</v>
      </c>
      <c r="G240" s="231">
        <v>0.2690548387096775</v>
      </c>
      <c r="H240" s="231">
        <v>0.2184129032258065</v>
      </c>
      <c r="I240" s="231">
        <v>2.3455032258064525</v>
      </c>
      <c r="J240" s="231">
        <v>4.0000000000000027E-3</v>
      </c>
      <c r="K240" s="231">
        <v>0.19583225806451612</v>
      </c>
      <c r="L240" s="231">
        <v>1.8589548387096773</v>
      </c>
      <c r="M240" s="231">
        <v>0.52700967741935478</v>
      </c>
      <c r="N240" s="231">
        <v>1.3489903225806454</v>
      </c>
      <c r="O240" s="231">
        <v>5.6514741935483874</v>
      </c>
      <c r="P240" s="231">
        <v>0.19177096774193547</v>
      </c>
      <c r="Q240" s="231">
        <v>0.43792580645161283</v>
      </c>
      <c r="R240" s="231">
        <v>1.2541258064516128</v>
      </c>
      <c r="S240" s="231">
        <v>0.20028387096774194</v>
      </c>
      <c r="T240" s="231">
        <v>1.5472322580645164</v>
      </c>
      <c r="U240" s="231">
        <v>0.67762903225806459</v>
      </c>
      <c r="V240" s="231">
        <v>0.54603548387096756</v>
      </c>
      <c r="W240" s="231">
        <v>4.0000000000000027E-3</v>
      </c>
      <c r="X240" s="231">
        <v>2.0100000000000003E-2</v>
      </c>
      <c r="Y240" s="231">
        <v>9.5890322580645171E-2</v>
      </c>
      <c r="Z240" s="231">
        <v>1.5987096774193556E-2</v>
      </c>
      <c r="AA240" s="231">
        <v>2.3087096774193554E-2</v>
      </c>
      <c r="AB240" s="231">
        <v>0.48569999999999969</v>
      </c>
      <c r="AC240" s="231">
        <v>6.3516129032258076E-2</v>
      </c>
      <c r="AD240" s="231">
        <v>2.2909677419354835E-2</v>
      </c>
      <c r="AE240" s="231">
        <v>0.45329354838709685</v>
      </c>
      <c r="AF240" s="231">
        <v>0.14633870967741938</v>
      </c>
      <c r="AG240" s="231">
        <v>1.1848225806451611</v>
      </c>
      <c r="AH240" s="231">
        <v>7.8558064516129053E-2</v>
      </c>
      <c r="AI240" s="231"/>
      <c r="AJ240" s="231"/>
      <c r="AK240" s="231"/>
      <c r="AL240" s="231"/>
      <c r="AM240" s="231"/>
      <c r="AN240" s="231"/>
      <c r="AO240" s="894" t="s">
        <v>25</v>
      </c>
    </row>
    <row r="241" spans="1:41" ht="14.1" customHeight="1">
      <c r="A241" s="891" t="s">
        <v>26</v>
      </c>
      <c r="B241" s="231">
        <v>1.7000000000000006</v>
      </c>
      <c r="C241" s="231">
        <v>2.0032966666666665</v>
      </c>
      <c r="D241" s="231">
        <v>1.2458100000000001</v>
      </c>
      <c r="E241" s="231">
        <v>0.46279999999999977</v>
      </c>
      <c r="F241" s="231">
        <v>0.26328333333333331</v>
      </c>
      <c r="G241" s="231">
        <v>0.26938333333333325</v>
      </c>
      <c r="H241" s="231">
        <v>0.21851666666666664</v>
      </c>
      <c r="I241" s="231">
        <v>2.3389399999999996</v>
      </c>
      <c r="J241" s="231">
        <v>4.0000000000000027E-3</v>
      </c>
      <c r="K241" s="231">
        <v>0.19699666666666665</v>
      </c>
      <c r="L241" s="231">
        <v>1.8440966666666663</v>
      </c>
      <c r="M241" s="231">
        <v>0.53016666666666656</v>
      </c>
      <c r="N241" s="231">
        <v>1.3432166666666663</v>
      </c>
      <c r="O241" s="231">
        <v>5.6503233333333345</v>
      </c>
      <c r="P241" s="231">
        <v>0.19643999999999998</v>
      </c>
      <c r="Q241" s="231">
        <v>0.43889666666666666</v>
      </c>
      <c r="R241" s="231">
        <v>1.2622899999999999</v>
      </c>
      <c r="S241" s="231">
        <v>0.19929666666666668</v>
      </c>
      <c r="T241" s="231">
        <v>1.543806666666667</v>
      </c>
      <c r="U241" s="231">
        <v>0.67961666666666665</v>
      </c>
      <c r="V241" s="231">
        <v>0.54602333333333353</v>
      </c>
      <c r="W241" s="231">
        <v>4.0000000000000027E-3</v>
      </c>
      <c r="X241" s="231">
        <v>2.0100000000000003E-2</v>
      </c>
      <c r="Y241" s="231">
        <v>9.6296666666666683E-2</v>
      </c>
      <c r="Z241" s="231">
        <v>1.5910000000000011E-2</v>
      </c>
      <c r="AA241" s="231">
        <v>2.3329999999999986E-2</v>
      </c>
      <c r="AB241" s="231">
        <v>0.48569999999999969</v>
      </c>
      <c r="AC241" s="231">
        <v>6.3626666666666692E-2</v>
      </c>
      <c r="AD241" s="231">
        <v>2.3106666666666675E-2</v>
      </c>
      <c r="AE241" s="231">
        <v>0.45325666666666681</v>
      </c>
      <c r="AF241" s="231">
        <v>0.14510666666666666</v>
      </c>
      <c r="AG241" s="231">
        <v>1.2019233333333332</v>
      </c>
      <c r="AH241" s="231">
        <v>7.8883333333333319E-2</v>
      </c>
      <c r="AI241" s="231"/>
      <c r="AJ241" s="231"/>
      <c r="AK241" s="231"/>
      <c r="AL241" s="231"/>
      <c r="AM241" s="231"/>
      <c r="AN241" s="231"/>
      <c r="AO241" s="894" t="s">
        <v>26</v>
      </c>
    </row>
    <row r="242" spans="1:41" ht="14.1" customHeight="1">
      <c r="A242" s="891" t="s">
        <v>27</v>
      </c>
      <c r="B242" s="231">
        <v>1.7000000000000008</v>
      </c>
      <c r="C242" s="231">
        <v>1.9727999999999992</v>
      </c>
      <c r="D242" s="231">
        <v>1.2570741935483867</v>
      </c>
      <c r="E242" s="231">
        <v>0.46280967741935458</v>
      </c>
      <c r="F242" s="231">
        <v>0.26470645161290324</v>
      </c>
      <c r="G242" s="231">
        <v>0.26517741935483874</v>
      </c>
      <c r="H242" s="231">
        <v>0.21850000000000011</v>
      </c>
      <c r="I242" s="231">
        <v>2.325490322580646</v>
      </c>
      <c r="J242" s="231">
        <v>4.0000000000000027E-3</v>
      </c>
      <c r="K242" s="231">
        <v>0.19611935483870974</v>
      </c>
      <c r="L242" s="231">
        <v>1.8409709677419357</v>
      </c>
      <c r="M242" s="231">
        <v>0.52902258064516128</v>
      </c>
      <c r="N242" s="231">
        <v>1.3649032258064515</v>
      </c>
      <c r="O242" s="231">
        <v>5.6354225806451606</v>
      </c>
      <c r="P242" s="231">
        <v>0.2004774193548387</v>
      </c>
      <c r="Q242" s="231">
        <v>0.42929677419354839</v>
      </c>
      <c r="R242" s="231">
        <v>1.2581612903225807</v>
      </c>
      <c r="S242" s="231">
        <v>0.18492580645161283</v>
      </c>
      <c r="T242" s="231">
        <v>1.5039387096774195</v>
      </c>
      <c r="U242" s="231">
        <v>0.69087741935483848</v>
      </c>
      <c r="V242" s="231">
        <v>0.54189999999999994</v>
      </c>
      <c r="W242" s="231">
        <v>4.0000000000000027E-3</v>
      </c>
      <c r="X242" s="231">
        <v>2.0100000000000003E-2</v>
      </c>
      <c r="Y242" s="231">
        <v>9.7387096774193577E-2</v>
      </c>
      <c r="Z242" s="231">
        <v>1.5900000000000011E-2</v>
      </c>
      <c r="AA242" s="231">
        <v>2.3806451612903224E-2</v>
      </c>
      <c r="AB242" s="231">
        <v>0.48569999999999969</v>
      </c>
      <c r="AC242" s="231">
        <v>6.4458064516129024E-2</v>
      </c>
      <c r="AD242" s="231">
        <v>2.2696774193548406E-2</v>
      </c>
      <c r="AE242" s="231">
        <v>0.45322258064516158</v>
      </c>
      <c r="AF242" s="231">
        <v>0.14377419354838719</v>
      </c>
      <c r="AG242" s="231">
        <v>1.1979032258064519</v>
      </c>
      <c r="AH242" s="231">
        <v>7.7374193548387135E-2</v>
      </c>
      <c r="AI242" s="231"/>
      <c r="AJ242" s="231"/>
      <c r="AK242" s="231"/>
      <c r="AL242" s="231"/>
      <c r="AM242" s="231"/>
      <c r="AN242" s="231"/>
      <c r="AO242" s="894" t="s">
        <v>27</v>
      </c>
    </row>
    <row r="243" spans="1:41" ht="14.1" customHeight="1">
      <c r="A243" s="891" t="s">
        <v>28</v>
      </c>
      <c r="B243" s="231">
        <v>1.7000000000000006</v>
      </c>
      <c r="C243" s="231">
        <v>1.9391233333333335</v>
      </c>
      <c r="D243" s="231">
        <v>1.2412366666666665</v>
      </c>
      <c r="E243" s="231">
        <v>0.46280333333333312</v>
      </c>
      <c r="F243" s="231">
        <v>0.2659866666666667</v>
      </c>
      <c r="G243" s="231">
        <v>0.26074333333333327</v>
      </c>
      <c r="H243" s="231">
        <v>0.21823333333333339</v>
      </c>
      <c r="I243" s="231">
        <v>2.2864499999999994</v>
      </c>
      <c r="J243" s="231">
        <v>4.0000000000000027E-3</v>
      </c>
      <c r="K243" s="231">
        <v>0.19305666666666671</v>
      </c>
      <c r="L243" s="231">
        <v>1.843003333333334</v>
      </c>
      <c r="M243" s="231">
        <v>0.54503333333333326</v>
      </c>
      <c r="N243" s="231">
        <v>1.3530300000000006</v>
      </c>
      <c r="O243" s="231">
        <v>5.6244099999999992</v>
      </c>
      <c r="P243" s="231">
        <v>0.19467666666666669</v>
      </c>
      <c r="Q243" s="231">
        <v>0.41750333333333323</v>
      </c>
      <c r="R243" s="231">
        <v>1.2521999999999998</v>
      </c>
      <c r="S243" s="231">
        <v>0.16090333333333331</v>
      </c>
      <c r="T243" s="231">
        <v>1.4890966666666672</v>
      </c>
      <c r="U243" s="231">
        <v>0.6863166666666668</v>
      </c>
      <c r="V243" s="231">
        <v>0.54212000000000005</v>
      </c>
      <c r="W243" s="231">
        <v>3.9566666666666682E-3</v>
      </c>
      <c r="X243" s="231">
        <v>2.0083333333333335E-2</v>
      </c>
      <c r="Y243" s="231">
        <v>9.6463333333333345E-2</v>
      </c>
      <c r="Z243" s="231">
        <v>1.5846666666666658E-2</v>
      </c>
      <c r="AA243" s="231">
        <v>2.3349999999999999E-2</v>
      </c>
      <c r="AB243" s="231">
        <v>0.48569999999999969</v>
      </c>
      <c r="AC243" s="231">
        <v>6.4233333333333337E-2</v>
      </c>
      <c r="AD243" s="231">
        <v>2.2823333333333338E-2</v>
      </c>
      <c r="AE243" s="231">
        <v>0.45320666666666665</v>
      </c>
      <c r="AF243" s="231">
        <v>0.14347333333333331</v>
      </c>
      <c r="AG243" s="231">
        <v>1.1917766666666665</v>
      </c>
      <c r="AH243" s="231">
        <v>7.6343333333333332E-2</v>
      </c>
      <c r="AI243" s="231"/>
      <c r="AJ243" s="231"/>
      <c r="AK243" s="231"/>
      <c r="AL243" s="231"/>
      <c r="AM243" s="231"/>
      <c r="AN243" s="231"/>
      <c r="AO243" s="894" t="s">
        <v>28</v>
      </c>
    </row>
    <row r="244" spans="1:41" ht="14.1" customHeight="1">
      <c r="A244" s="891" t="s">
        <v>29</v>
      </c>
      <c r="B244" s="231">
        <v>1.7000000000000008</v>
      </c>
      <c r="C244" s="231">
        <v>1.9222451612903229</v>
      </c>
      <c r="D244" s="231">
        <v>1.2166032258064512</v>
      </c>
      <c r="E244" s="231">
        <v>0.46280322580645145</v>
      </c>
      <c r="F244" s="231">
        <v>0.26696129032258059</v>
      </c>
      <c r="G244" s="231">
        <v>0.25850645161290325</v>
      </c>
      <c r="H244" s="231">
        <v>0.21799354838709678</v>
      </c>
      <c r="I244" s="231">
        <v>2.2623516129032266</v>
      </c>
      <c r="J244" s="231">
        <v>4.0000000000000027E-3</v>
      </c>
      <c r="K244" s="231">
        <v>0.18725161290322581</v>
      </c>
      <c r="L244" s="231">
        <v>1.8464935483870963</v>
      </c>
      <c r="M244" s="231">
        <v>0.54259677419354824</v>
      </c>
      <c r="N244" s="231">
        <v>1.328506451612903</v>
      </c>
      <c r="O244" s="231">
        <v>5.6143806451612912</v>
      </c>
      <c r="P244" s="231">
        <v>0.1895</v>
      </c>
      <c r="Q244" s="231">
        <v>0.41637419354838723</v>
      </c>
      <c r="R244" s="231">
        <v>1.2468516129032259</v>
      </c>
      <c r="S244" s="231">
        <v>0.12744516129032257</v>
      </c>
      <c r="T244" s="231">
        <v>1.4934870967741938</v>
      </c>
      <c r="U244" s="231">
        <v>0.67188064516129042</v>
      </c>
      <c r="V244" s="231">
        <v>0.54879354838709671</v>
      </c>
      <c r="W244" s="231">
        <v>3.9000000000000003E-3</v>
      </c>
      <c r="X244" s="231">
        <v>2.0100000000000003E-2</v>
      </c>
      <c r="Y244" s="231">
        <v>9.5796774193548415E-2</v>
      </c>
      <c r="Z244" s="231">
        <v>1.5738709677419353E-2</v>
      </c>
      <c r="AA244" s="231">
        <v>2.3038709677419361E-2</v>
      </c>
      <c r="AB244" s="231">
        <v>0.48569999999999969</v>
      </c>
      <c r="AC244" s="231">
        <v>6.2512903225806452E-2</v>
      </c>
      <c r="AD244" s="231">
        <v>2.254516129032258E-2</v>
      </c>
      <c r="AE244" s="231">
        <v>0.45297096774193546</v>
      </c>
      <c r="AF244" s="231">
        <v>0.14367419354838709</v>
      </c>
      <c r="AG244" s="231">
        <v>1.1543774193548386</v>
      </c>
      <c r="AH244" s="231">
        <v>7.6058064516129065E-2</v>
      </c>
      <c r="AI244" s="231"/>
      <c r="AJ244" s="231"/>
      <c r="AK244" s="231"/>
      <c r="AL244" s="231"/>
      <c r="AM244" s="231"/>
      <c r="AN244" s="231"/>
      <c r="AO244" s="894" t="s">
        <v>29</v>
      </c>
    </row>
    <row r="245" spans="1:41" ht="14.1" customHeight="1">
      <c r="A245" s="892" t="s">
        <v>2812</v>
      </c>
      <c r="B245" s="246">
        <f>AVERAGE(B246:B257)</f>
        <v>1.7000000000000004</v>
      </c>
      <c r="C245" s="246">
        <f t="shared" ref="C245:AF245" si="26">AVERAGE(C246:C257)</f>
        <v>1.7928871908602153</v>
      </c>
      <c r="D245" s="246">
        <f t="shared" si="26"/>
        <v>1.1820551286482337</v>
      </c>
      <c r="E245" s="246">
        <f t="shared" si="26"/>
        <v>0.46280456989247282</v>
      </c>
      <c r="F245" s="246">
        <f t="shared" si="26"/>
        <v>0.253138561187916</v>
      </c>
      <c r="G245" s="246">
        <f t="shared" si="26"/>
        <v>0.24100021121351758</v>
      </c>
      <c r="H245" s="246">
        <f t="shared" si="26"/>
        <v>0.21711826356886835</v>
      </c>
      <c r="I245" s="246">
        <f t="shared" si="26"/>
        <v>2.1052157584485407</v>
      </c>
      <c r="J245" s="246">
        <f t="shared" si="26"/>
        <v>4.0000000000000027E-3</v>
      </c>
      <c r="K245" s="246">
        <f t="shared" si="26"/>
        <v>0.16883501600102405</v>
      </c>
      <c r="L245" s="246">
        <f t="shared" si="26"/>
        <v>1.7824750172811059</v>
      </c>
      <c r="M245" s="246">
        <f t="shared" si="26"/>
        <v>0.50728376984126977</v>
      </c>
      <c r="N245" s="246">
        <f t="shared" si="26"/>
        <v>1.3078170193292369</v>
      </c>
      <c r="O245" s="246">
        <f t="shared" si="26"/>
        <v>5.5499770218893998</v>
      </c>
      <c r="P245" s="246">
        <f t="shared" si="26"/>
        <v>0.17766517985151045</v>
      </c>
      <c r="Q245" s="246">
        <f t="shared" si="26"/>
        <v>0.38316735855094725</v>
      </c>
      <c r="R245" s="246">
        <f t="shared" si="26"/>
        <v>1.2338432136456736</v>
      </c>
      <c r="S245" s="246">
        <f t="shared" si="26"/>
        <v>0.10429247695852534</v>
      </c>
      <c r="T245" s="246">
        <f t="shared" si="26"/>
        <v>1.3038809254992318</v>
      </c>
      <c r="U245" s="246">
        <f t="shared" si="26"/>
        <v>0.6492856054787508</v>
      </c>
      <c r="V245" s="246">
        <f t="shared" si="26"/>
        <v>0.58544369175627242</v>
      </c>
      <c r="W245" s="246">
        <f t="shared" si="26"/>
        <v>3.6946108550947273E-3</v>
      </c>
      <c r="X245" s="246">
        <f t="shared" si="26"/>
        <v>2.0166467613927291E-2</v>
      </c>
      <c r="Y245" s="246">
        <f t="shared" si="26"/>
        <v>9.0151565540194559E-2</v>
      </c>
      <c r="Z245" s="246">
        <f t="shared" si="26"/>
        <v>1.5410913978494622E-2</v>
      </c>
      <c r="AA245" s="246">
        <f t="shared" si="26"/>
        <v>2.5214363159242192E-2</v>
      </c>
      <c r="AB245" s="246">
        <f t="shared" si="26"/>
        <v>0.48569999999999963</v>
      </c>
      <c r="AC245" s="246">
        <f t="shared" si="26"/>
        <v>5.2824126344086036E-2</v>
      </c>
      <c r="AD245" s="246">
        <f t="shared" si="26"/>
        <v>2.1663943292370712E-2</v>
      </c>
      <c r="AE245" s="246">
        <f t="shared" si="26"/>
        <v>0.45276445724526365</v>
      </c>
      <c r="AF245" s="246">
        <f t="shared" si="26"/>
        <v>0.13212694188428059</v>
      </c>
      <c r="AG245" s="246">
        <f t="shared" ref="AG245:AH245" si="27">AVERAGE(AG246:AG257)</f>
        <v>1.0819806528417819</v>
      </c>
      <c r="AH245" s="246">
        <f t="shared" si="27"/>
        <v>7.2992382232462891E-2</v>
      </c>
      <c r="AI245" s="246"/>
      <c r="AJ245" s="246"/>
      <c r="AK245" s="246"/>
      <c r="AL245" s="246"/>
      <c r="AM245" s="246"/>
      <c r="AN245" s="246"/>
      <c r="AO245" s="65" t="s">
        <v>2812</v>
      </c>
    </row>
    <row r="246" spans="1:41" ht="14.1" customHeight="1">
      <c r="A246" s="891" t="s">
        <v>18</v>
      </c>
      <c r="B246" s="231">
        <v>1.7000000000000008</v>
      </c>
      <c r="C246" s="231">
        <v>1.9247193548387094</v>
      </c>
      <c r="D246" s="231">
        <v>1.2208967741935484</v>
      </c>
      <c r="E246" s="231">
        <v>0.46279999999999977</v>
      </c>
      <c r="F246" s="231">
        <v>0.2673967741935484</v>
      </c>
      <c r="G246" s="231">
        <v>0.25866774193548386</v>
      </c>
      <c r="H246" s="231">
        <v>0.21815806451612912</v>
      </c>
      <c r="I246" s="231">
        <v>2.3046419354838714</v>
      </c>
      <c r="J246" s="231">
        <v>4.0000000000000027E-3</v>
      </c>
      <c r="K246" s="231">
        <v>0.18604193548387102</v>
      </c>
      <c r="L246" s="231">
        <v>1.8505612903225808</v>
      </c>
      <c r="M246" s="231">
        <v>0.54231612903225823</v>
      </c>
      <c r="N246" s="231">
        <v>1.3453032258064512</v>
      </c>
      <c r="O246" s="231">
        <v>5.6199741935483862</v>
      </c>
      <c r="P246" s="231">
        <v>0.19239354838709677</v>
      </c>
      <c r="Q246" s="231">
        <v>0.4224516129032258</v>
      </c>
      <c r="R246" s="231">
        <v>1.2585225806451614</v>
      </c>
      <c r="S246" s="231">
        <v>0.12610967741935486</v>
      </c>
      <c r="T246" s="231">
        <v>1.4806064516129038</v>
      </c>
      <c r="U246" s="231">
        <v>0.65888064516129019</v>
      </c>
      <c r="V246" s="231">
        <v>0.55202580645161292</v>
      </c>
      <c r="W246" s="231">
        <v>3.9000000000000003E-3</v>
      </c>
      <c r="X246" s="231">
        <v>2.009677419354839E-2</v>
      </c>
      <c r="Y246" s="231">
        <v>9.4706451612903239E-2</v>
      </c>
      <c r="Z246" s="231">
        <v>1.5699999999999995E-2</v>
      </c>
      <c r="AA246" s="231">
        <v>2.2274193548387097E-2</v>
      </c>
      <c r="AB246" s="231">
        <v>0.48569999999999969</v>
      </c>
      <c r="AC246" s="231">
        <v>6.07258064516129E-2</v>
      </c>
      <c r="AD246" s="231">
        <v>2.2838709677419369E-2</v>
      </c>
      <c r="AE246" s="231">
        <v>0.45300967741935483</v>
      </c>
      <c r="AF246" s="231">
        <v>0.14224516129032255</v>
      </c>
      <c r="AG246" s="231">
        <v>1.1475387096774192</v>
      </c>
      <c r="AH246" s="231">
        <v>7.8496774193548377E-2</v>
      </c>
      <c r="AI246" s="231"/>
      <c r="AJ246" s="231"/>
      <c r="AK246" s="231"/>
      <c r="AL246" s="231"/>
      <c r="AM246" s="231"/>
      <c r="AN246" s="231"/>
      <c r="AO246" s="894" t="s">
        <v>18</v>
      </c>
    </row>
    <row r="247" spans="1:41" ht="13.5" customHeight="1">
      <c r="A247" s="891" t="s">
        <v>19</v>
      </c>
      <c r="B247" s="231">
        <v>1.7000000000000006</v>
      </c>
      <c r="C247" s="231">
        <v>1.9281250000000001</v>
      </c>
      <c r="D247" s="231">
        <v>1.217239285714286</v>
      </c>
      <c r="E247" s="231">
        <v>0.46279999999999977</v>
      </c>
      <c r="F247" s="231">
        <v>0.26790714285714279</v>
      </c>
      <c r="G247" s="231">
        <v>0.25914285714285706</v>
      </c>
      <c r="H247" s="231">
        <v>0.21795357142857147</v>
      </c>
      <c r="I247" s="231">
        <v>2.3013107142857145</v>
      </c>
      <c r="J247" s="231">
        <v>4.0000000000000027E-3</v>
      </c>
      <c r="K247" s="231">
        <v>0.18274642857142856</v>
      </c>
      <c r="L247" s="231">
        <v>1.8421821428571425</v>
      </c>
      <c r="M247" s="231">
        <v>0.52897857142857152</v>
      </c>
      <c r="N247" s="231">
        <v>1.3360892857142854</v>
      </c>
      <c r="O247" s="231">
        <v>5.6190607142857116</v>
      </c>
      <c r="P247" s="231">
        <v>0.1916678571428572</v>
      </c>
      <c r="Q247" s="231">
        <v>0.42350357142857142</v>
      </c>
      <c r="R247" s="231">
        <v>1.2623107142857142</v>
      </c>
      <c r="S247" s="231">
        <v>0.12480714285714281</v>
      </c>
      <c r="T247" s="231">
        <v>1.4751214285714285</v>
      </c>
      <c r="U247" s="231">
        <v>0.65224285714285712</v>
      </c>
      <c r="V247" s="231">
        <v>0.56514999999999993</v>
      </c>
      <c r="W247" s="231">
        <v>3.892857142857145E-3</v>
      </c>
      <c r="X247" s="231">
        <v>2.0096428571428574E-2</v>
      </c>
      <c r="Y247" s="231">
        <v>9.4578571428571415E-2</v>
      </c>
      <c r="Z247" s="231">
        <v>1.5699999999999995E-2</v>
      </c>
      <c r="AA247" s="231">
        <v>2.173214285714286E-2</v>
      </c>
      <c r="AB247" s="231">
        <v>0.48569999999999969</v>
      </c>
      <c r="AC247" s="231">
        <v>5.9475E-2</v>
      </c>
      <c r="AD247" s="231">
        <v>2.2667857142857139E-2</v>
      </c>
      <c r="AE247" s="231">
        <v>0.45310714285714276</v>
      </c>
      <c r="AF247" s="231">
        <v>0.14177857142857142</v>
      </c>
      <c r="AG247" s="231">
        <v>1.1344142857142858</v>
      </c>
      <c r="AH247" s="231">
        <v>7.8914285714285701E-2</v>
      </c>
      <c r="AI247" s="231"/>
      <c r="AJ247" s="231"/>
      <c r="AK247" s="231"/>
      <c r="AL247" s="231"/>
      <c r="AM247" s="231"/>
      <c r="AN247" s="231"/>
      <c r="AO247" s="894" t="s">
        <v>19</v>
      </c>
    </row>
    <row r="248" spans="1:41" ht="13.5" customHeight="1">
      <c r="A248" s="891" t="s">
        <v>20</v>
      </c>
      <c r="B248" s="231">
        <v>1.7000000000000008</v>
      </c>
      <c r="C248" s="231">
        <v>1.8756838709677426</v>
      </c>
      <c r="D248" s="231">
        <v>1.2506419354838709</v>
      </c>
      <c r="E248" s="231">
        <v>0.46279999999999977</v>
      </c>
      <c r="F248" s="231">
        <v>0.26803548387096782</v>
      </c>
      <c r="G248" s="231">
        <v>0.25207419354838717</v>
      </c>
      <c r="H248" s="231">
        <v>0.217374193548387</v>
      </c>
      <c r="I248" s="231">
        <v>2.2385999999999999</v>
      </c>
      <c r="J248" s="231">
        <v>4.0000000000000027E-3</v>
      </c>
      <c r="K248" s="231">
        <v>0.17756451612903221</v>
      </c>
      <c r="L248" s="231">
        <v>1.8280677419354836</v>
      </c>
      <c r="M248" s="231">
        <v>0.52432580645161264</v>
      </c>
      <c r="N248" s="231">
        <v>1.3414354838709672</v>
      </c>
      <c r="O248" s="231">
        <v>5.5961903225806449</v>
      </c>
      <c r="P248" s="231">
        <v>0.19196451612903223</v>
      </c>
      <c r="Q248" s="231">
        <v>0.39540000000000003</v>
      </c>
      <c r="R248" s="231">
        <v>1.2514741935483875</v>
      </c>
      <c r="S248" s="231">
        <v>0.11672580645161287</v>
      </c>
      <c r="T248" s="231">
        <v>1.443025806451613</v>
      </c>
      <c r="U248" s="231">
        <v>0.61860000000000037</v>
      </c>
      <c r="V248" s="231">
        <v>0.52510322580645163</v>
      </c>
      <c r="W248" s="231">
        <v>3.3967741935483869E-3</v>
      </c>
      <c r="X248" s="231">
        <v>1.7067741935483865E-2</v>
      </c>
      <c r="Y248" s="231">
        <v>9.2309677419354849E-2</v>
      </c>
      <c r="Z248" s="231">
        <v>1.5309677419354841E-2</v>
      </c>
      <c r="AA248" s="231">
        <v>1.5545161290322584E-2</v>
      </c>
      <c r="AB248" s="231">
        <v>0.48569999999999969</v>
      </c>
      <c r="AC248" s="231">
        <v>5.6477419354838729E-2</v>
      </c>
      <c r="AD248" s="231">
        <v>2.2364516129032244E-2</v>
      </c>
      <c r="AE248" s="231">
        <v>0.45311290322580627</v>
      </c>
      <c r="AF248" s="231">
        <v>0.13950645161290318</v>
      </c>
      <c r="AG248" s="231">
        <v>1.1652806451612907</v>
      </c>
      <c r="AH248" s="231">
        <v>7.496129032258067E-2</v>
      </c>
      <c r="AI248" s="231"/>
      <c r="AJ248" s="231"/>
      <c r="AK248" s="231"/>
      <c r="AL248" s="231"/>
      <c r="AM248" s="231"/>
      <c r="AN248" s="231"/>
      <c r="AO248" s="894" t="s">
        <v>20</v>
      </c>
    </row>
    <row r="249" spans="1:41" ht="13.5" customHeight="1">
      <c r="A249" s="891" t="s">
        <v>21</v>
      </c>
      <c r="B249" s="231">
        <v>1.7000000000000006</v>
      </c>
      <c r="C249" s="231">
        <v>1.84154</v>
      </c>
      <c r="D249" s="231">
        <v>1.2558966666666664</v>
      </c>
      <c r="E249" s="231">
        <v>0.46279999999999977</v>
      </c>
      <c r="F249" s="231">
        <v>0.26474000000000003</v>
      </c>
      <c r="G249" s="231">
        <v>0.24757333333333331</v>
      </c>
      <c r="H249" s="231">
        <v>0.2168033333333334</v>
      </c>
      <c r="I249" s="231">
        <v>2.2055266666666662</v>
      </c>
      <c r="J249" s="231">
        <v>4.0000000000000027E-3</v>
      </c>
      <c r="K249" s="231">
        <v>0.17827333333333334</v>
      </c>
      <c r="L249" s="231">
        <v>1.8023133333333334</v>
      </c>
      <c r="M249" s="231">
        <v>0.52548666666666666</v>
      </c>
      <c r="N249" s="231">
        <v>1.3487066666666669</v>
      </c>
      <c r="O249" s="231">
        <v>5.5715966666666681</v>
      </c>
      <c r="P249" s="231">
        <v>0.19135333333333338</v>
      </c>
      <c r="Q249" s="231">
        <v>0.3961566666666666</v>
      </c>
      <c r="R249" s="231">
        <v>1.2459066666666667</v>
      </c>
      <c r="S249" s="231">
        <v>0.11564333333333335</v>
      </c>
      <c r="T249" s="231">
        <v>1.348233333333333</v>
      </c>
      <c r="U249" s="231">
        <v>0.61860000000000037</v>
      </c>
      <c r="V249" s="231">
        <v>0.55529666666666677</v>
      </c>
      <c r="W249" s="231">
        <v>3.7366666666666655E-3</v>
      </c>
      <c r="X249" s="231">
        <v>1.9676666666666662E-2</v>
      </c>
      <c r="Y249" s="231">
        <v>9.2320000000000013E-2</v>
      </c>
      <c r="Z249" s="231">
        <v>1.5130000000000005E-2</v>
      </c>
      <c r="AA249" s="231">
        <v>2.1143333333333333E-2</v>
      </c>
      <c r="AB249" s="231">
        <v>0.48569999999999969</v>
      </c>
      <c r="AC249" s="231">
        <v>5.7409999999999989E-2</v>
      </c>
      <c r="AD249" s="231">
        <v>2.2326666666666661E-2</v>
      </c>
      <c r="AE249" s="231">
        <v>0.45326000000000016</v>
      </c>
      <c r="AF249" s="231">
        <v>0.13780000000000001</v>
      </c>
      <c r="AG249" s="231">
        <v>1.1517433333333331</v>
      </c>
      <c r="AH249" s="231">
        <v>7.5363333333333324E-2</v>
      </c>
      <c r="AI249" s="231"/>
      <c r="AJ249" s="231"/>
      <c r="AK249" s="231"/>
      <c r="AL249" s="231"/>
      <c r="AM249" s="231"/>
      <c r="AN249" s="231"/>
      <c r="AO249" s="894" t="s">
        <v>21</v>
      </c>
    </row>
    <row r="250" spans="1:41" ht="13.5" customHeight="1">
      <c r="A250" s="891" t="s">
        <v>22</v>
      </c>
      <c r="B250" s="231">
        <v>1.7000000000000008</v>
      </c>
      <c r="C250" s="231">
        <v>1.7968129032258069</v>
      </c>
      <c r="D250" s="231">
        <v>1.1999516129032262</v>
      </c>
      <c r="E250" s="231">
        <v>0.46279999999999977</v>
      </c>
      <c r="F250" s="231">
        <v>0.25344516129032268</v>
      </c>
      <c r="G250" s="231">
        <v>0.2414967741935484</v>
      </c>
      <c r="H250" s="231">
        <v>0.21659999999999988</v>
      </c>
      <c r="I250" s="231">
        <v>2.1157806451612902</v>
      </c>
      <c r="J250" s="231">
        <v>4.0000000000000027E-3</v>
      </c>
      <c r="K250" s="231">
        <v>0.17123548387096774</v>
      </c>
      <c r="L250" s="231">
        <v>1.7366451612903231</v>
      </c>
      <c r="M250" s="231">
        <v>0.50386774193548378</v>
      </c>
      <c r="N250" s="231">
        <v>1.3241774193548383</v>
      </c>
      <c r="O250" s="231">
        <v>5.5472645161290313</v>
      </c>
      <c r="P250" s="231">
        <v>0.17719677419354835</v>
      </c>
      <c r="Q250" s="231">
        <v>0.38620645161290312</v>
      </c>
      <c r="R250" s="231">
        <v>1.2297387096774188</v>
      </c>
      <c r="S250" s="231">
        <v>0.10935161290322579</v>
      </c>
      <c r="T250" s="231">
        <v>1.3193677419354837</v>
      </c>
      <c r="U250" s="231">
        <v>0.61860000000000037</v>
      </c>
      <c r="V250" s="231">
        <v>0.57443225806451603</v>
      </c>
      <c r="W250" s="231">
        <v>3.938709677419357E-3</v>
      </c>
      <c r="X250" s="231">
        <v>2.0538709677419359E-2</v>
      </c>
      <c r="Y250" s="231">
        <v>9.0138709677419354E-2</v>
      </c>
      <c r="Z250" s="231">
        <v>1.5261290322580645E-2</v>
      </c>
      <c r="AA250" s="231">
        <v>2.6267741935483872E-2</v>
      </c>
      <c r="AB250" s="231">
        <v>0.48569999999999969</v>
      </c>
      <c r="AC250" s="231">
        <v>5.7367741935483905E-2</v>
      </c>
      <c r="AD250" s="231">
        <v>2.2009677419354844E-2</v>
      </c>
      <c r="AE250" s="231">
        <v>0.45320645161290346</v>
      </c>
      <c r="AF250" s="231">
        <v>0.13407096774193553</v>
      </c>
      <c r="AG250" s="231">
        <v>1.0900741935483871</v>
      </c>
      <c r="AH250" s="231">
        <v>7.2674193548387084E-2</v>
      </c>
      <c r="AI250" s="231"/>
      <c r="AJ250" s="231"/>
      <c r="AK250" s="231"/>
      <c r="AL250" s="231"/>
      <c r="AM250" s="231"/>
      <c r="AN250" s="231"/>
      <c r="AO250" s="894" t="s">
        <v>22</v>
      </c>
    </row>
    <row r="251" spans="1:41" ht="13.5" customHeight="1">
      <c r="A251" s="891" t="s">
        <v>23</v>
      </c>
      <c r="B251" s="231">
        <v>1.7000000000000006</v>
      </c>
      <c r="C251" s="231">
        <v>1.7991066666666666</v>
      </c>
      <c r="D251" s="231">
        <v>1.1973833333333335</v>
      </c>
      <c r="E251" s="231">
        <v>0.46279999999999977</v>
      </c>
      <c r="F251" s="231">
        <v>0.25397333333333333</v>
      </c>
      <c r="G251" s="231">
        <v>0.24185666666666661</v>
      </c>
      <c r="H251" s="231">
        <v>0.21663333333333326</v>
      </c>
      <c r="I251" s="231">
        <v>2.1009933333333333</v>
      </c>
      <c r="J251" s="231">
        <v>4.0000000000000027E-3</v>
      </c>
      <c r="K251" s="231">
        <v>0.16987999999999995</v>
      </c>
      <c r="L251" s="231">
        <v>1.7540899999999999</v>
      </c>
      <c r="M251" s="231">
        <v>0.49944333333333329</v>
      </c>
      <c r="N251" s="231">
        <v>1.3277833333333335</v>
      </c>
      <c r="O251" s="231">
        <v>5.5445600000000015</v>
      </c>
      <c r="P251" s="231">
        <v>0.17479333333333338</v>
      </c>
      <c r="Q251" s="231">
        <v>0.38749333333333336</v>
      </c>
      <c r="R251" s="231">
        <v>1.2289199999999998</v>
      </c>
      <c r="S251" s="231">
        <v>9.990333333333333E-2</v>
      </c>
      <c r="T251" s="231">
        <v>1.2716566666666667</v>
      </c>
      <c r="U251" s="231">
        <v>0.61860000000000037</v>
      </c>
      <c r="V251" s="231">
        <v>0.57700333333333342</v>
      </c>
      <c r="W251" s="231">
        <v>3.816666666666667E-3</v>
      </c>
      <c r="X251" s="231">
        <v>2.102E-2</v>
      </c>
      <c r="Y251" s="231">
        <v>8.9066666666666655E-2</v>
      </c>
      <c r="Z251" s="231">
        <v>1.5516666666666666E-2</v>
      </c>
      <c r="AA251" s="231">
        <v>2.9436666666666667E-2</v>
      </c>
      <c r="AB251" s="231">
        <v>0.48569999999999969</v>
      </c>
      <c r="AC251" s="231">
        <v>5.7656666666666682E-2</v>
      </c>
      <c r="AD251" s="231">
        <v>2.1783333333333332E-2</v>
      </c>
      <c r="AE251" s="231">
        <v>0.45308666666666642</v>
      </c>
      <c r="AF251" s="231">
        <v>0.13317999999999999</v>
      </c>
      <c r="AG251" s="231">
        <v>1.0829166666666667</v>
      </c>
      <c r="AH251" s="231">
        <v>7.2786666666666708E-2</v>
      </c>
      <c r="AI251" s="231"/>
      <c r="AJ251" s="231"/>
      <c r="AK251" s="231"/>
      <c r="AL251" s="231"/>
      <c r="AM251" s="231"/>
      <c r="AN251" s="231"/>
      <c r="AO251" s="894" t="s">
        <v>23</v>
      </c>
    </row>
    <row r="252" spans="1:41" ht="13.5" customHeight="1">
      <c r="A252" s="891" t="s">
        <v>24</v>
      </c>
      <c r="B252" s="231">
        <v>1.7000000000000008</v>
      </c>
      <c r="C252" s="231">
        <v>1.7343354838709675</v>
      </c>
      <c r="D252" s="231">
        <v>1.1658580645161294</v>
      </c>
      <c r="E252" s="231">
        <v>0.46279999999999977</v>
      </c>
      <c r="F252" s="231">
        <v>0.25247419354838707</v>
      </c>
      <c r="G252" s="231">
        <v>0.23304193548387089</v>
      </c>
      <c r="H252" s="231">
        <v>0.21660645161290312</v>
      </c>
      <c r="I252" s="231">
        <v>2.0417258064516131</v>
      </c>
      <c r="J252" s="231">
        <v>4.0000000000000027E-3</v>
      </c>
      <c r="K252" s="231">
        <v>0.16389032258064512</v>
      </c>
      <c r="L252" s="231">
        <v>1.7561580645161288</v>
      </c>
      <c r="M252" s="231">
        <v>0.49084516129032246</v>
      </c>
      <c r="N252" s="231">
        <v>1.3136838709677423</v>
      </c>
      <c r="O252" s="231">
        <v>5.5298225806451606</v>
      </c>
      <c r="P252" s="231">
        <v>0.17006129032258063</v>
      </c>
      <c r="Q252" s="231">
        <v>0.36393548387096769</v>
      </c>
      <c r="R252" s="231">
        <v>1.2189935483870973</v>
      </c>
      <c r="S252" s="231">
        <v>9.7670967741935469E-2</v>
      </c>
      <c r="T252" s="231">
        <v>1.2464999999999995</v>
      </c>
      <c r="U252" s="231">
        <v>0.64160322580645202</v>
      </c>
      <c r="V252" s="231">
        <v>0.598064516129032</v>
      </c>
      <c r="W252" s="231">
        <v>3.5645161290322599E-3</v>
      </c>
      <c r="X252" s="231">
        <v>2.1061290322580639E-2</v>
      </c>
      <c r="Y252" s="231">
        <v>8.8419354838709691E-2</v>
      </c>
      <c r="Z252" s="231">
        <v>1.5600000000000003E-2</v>
      </c>
      <c r="AA252" s="231">
        <v>2.8680645161290323E-2</v>
      </c>
      <c r="AB252" s="231">
        <v>0.48569999999999969</v>
      </c>
      <c r="AC252" s="231">
        <v>5.3987096774193555E-2</v>
      </c>
      <c r="AD252" s="231">
        <v>2.1380645161290315E-2</v>
      </c>
      <c r="AE252" s="231">
        <v>0.45269677419354842</v>
      </c>
      <c r="AF252" s="231">
        <v>0.1300967741935484</v>
      </c>
      <c r="AG252" s="231">
        <v>1.0539709677419355</v>
      </c>
      <c r="AH252" s="231">
        <v>7.0458064516129029E-2</v>
      </c>
      <c r="AI252" s="231"/>
      <c r="AJ252" s="231"/>
      <c r="AK252" s="231"/>
      <c r="AL252" s="231"/>
      <c r="AM252" s="231"/>
      <c r="AN252" s="231"/>
      <c r="AO252" s="894" t="s">
        <v>24</v>
      </c>
    </row>
    <row r="253" spans="1:41" ht="13.5" customHeight="1">
      <c r="A253" s="891" t="s">
        <v>25</v>
      </c>
      <c r="B253" s="231">
        <v>1.7000000000000008</v>
      </c>
      <c r="C253" s="231">
        <v>1.7226870967741938</v>
      </c>
      <c r="D253" s="231">
        <v>1.1843548387096776</v>
      </c>
      <c r="E253" s="231">
        <v>0.46279999999999977</v>
      </c>
      <c r="F253" s="231">
        <v>0.25010645161290324</v>
      </c>
      <c r="G253" s="231">
        <v>0.23157419354838715</v>
      </c>
      <c r="H253" s="231">
        <v>0.21670322580645165</v>
      </c>
      <c r="I253" s="231">
        <v>2.0398225806451609</v>
      </c>
      <c r="J253" s="231">
        <v>4.0000000000000027E-3</v>
      </c>
      <c r="K253" s="231">
        <v>0.16414516129032258</v>
      </c>
      <c r="L253" s="231">
        <v>1.7776709677419351</v>
      </c>
      <c r="M253" s="231">
        <v>0.51639677419354835</v>
      </c>
      <c r="N253" s="231">
        <v>1.3176225806451616</v>
      </c>
      <c r="O253" s="231">
        <v>5.5349548387096759</v>
      </c>
      <c r="P253" s="231">
        <v>0.17526129032258067</v>
      </c>
      <c r="Q253" s="231">
        <v>0.36516129032258082</v>
      </c>
      <c r="R253" s="231">
        <v>1.2290903225806453</v>
      </c>
      <c r="S253" s="231">
        <v>9.4335483870967768E-2</v>
      </c>
      <c r="T253" s="231">
        <v>1.2591258064516127</v>
      </c>
      <c r="U253" s="231">
        <v>0.67351612903225833</v>
      </c>
      <c r="V253" s="231">
        <v>0.61262258064516117</v>
      </c>
      <c r="W253" s="231">
        <v>3.6032258064516145E-3</v>
      </c>
      <c r="X253" s="231">
        <v>2.0690322580645168E-2</v>
      </c>
      <c r="Y253" s="231">
        <v>8.8322580645161311E-2</v>
      </c>
      <c r="Z253" s="231">
        <v>1.5567741935483874E-2</v>
      </c>
      <c r="AA253" s="231">
        <v>2.7990322580645155E-2</v>
      </c>
      <c r="AB253" s="231">
        <v>0.48569999999999969</v>
      </c>
      <c r="AC253" s="231">
        <v>4.6416129032258058E-2</v>
      </c>
      <c r="AD253" s="231">
        <v>2.1364516129032247E-2</v>
      </c>
      <c r="AE253" s="231">
        <v>0.45253548387096781</v>
      </c>
      <c r="AF253" s="231">
        <v>0.1289774193548387</v>
      </c>
      <c r="AG253" s="231">
        <v>1.066764516129032</v>
      </c>
      <c r="AH253" s="231">
        <v>7.0164516129032239E-2</v>
      </c>
      <c r="AI253" s="231"/>
      <c r="AJ253" s="231"/>
      <c r="AK253" s="231"/>
      <c r="AL253" s="231"/>
      <c r="AM253" s="231"/>
      <c r="AN253" s="231"/>
      <c r="AO253" s="894" t="s">
        <v>25</v>
      </c>
    </row>
    <row r="254" spans="1:41" ht="13.5" customHeight="1">
      <c r="A254" s="891" t="s">
        <v>26</v>
      </c>
      <c r="B254" s="231">
        <v>1.7000000000000006</v>
      </c>
      <c r="C254" s="231">
        <v>1.6864999999999997</v>
      </c>
      <c r="D254" s="231">
        <v>1.1386833333333333</v>
      </c>
      <c r="E254" s="231">
        <v>0.46279999999999977</v>
      </c>
      <c r="F254" s="231">
        <v>0.24250333333333327</v>
      </c>
      <c r="G254" s="231">
        <v>0.22678333333333328</v>
      </c>
      <c r="H254" s="231">
        <v>0.21659999999999988</v>
      </c>
      <c r="I254" s="231">
        <v>1.9309800000000004</v>
      </c>
      <c r="J254" s="231">
        <v>4.0000000000000027E-3</v>
      </c>
      <c r="K254" s="231">
        <v>0.15644</v>
      </c>
      <c r="L254" s="231">
        <v>1.7475699999999998</v>
      </c>
      <c r="M254" s="231">
        <v>0.49396666666666661</v>
      </c>
      <c r="N254" s="231">
        <v>1.2794366666666661</v>
      </c>
      <c r="O254" s="231">
        <v>5.4998233333333335</v>
      </c>
      <c r="P254" s="231">
        <v>0.16637000000000002</v>
      </c>
      <c r="Q254" s="231">
        <v>0.35620999999999997</v>
      </c>
      <c r="R254" s="231">
        <v>1.2042366666666671</v>
      </c>
      <c r="S254" s="231">
        <v>9.2913333333333306E-2</v>
      </c>
      <c r="T254" s="231">
        <v>1.1901266666666666</v>
      </c>
      <c r="U254" s="231">
        <v>0.67347000000000035</v>
      </c>
      <c r="V254" s="231">
        <v>0.59711333333333327</v>
      </c>
      <c r="W254" s="231">
        <v>3.5833333333333351E-3</v>
      </c>
      <c r="X254" s="231">
        <v>2.0813333333333336E-2</v>
      </c>
      <c r="Y254" s="231">
        <v>8.7800000000000003E-2</v>
      </c>
      <c r="Z254" s="231">
        <v>1.5493333333333343E-2</v>
      </c>
      <c r="AA254" s="231">
        <v>2.827E-2</v>
      </c>
      <c r="AB254" s="231">
        <v>0.48569999999999969</v>
      </c>
      <c r="AC254" s="231">
        <v>4.6170000000000017E-2</v>
      </c>
      <c r="AD254" s="231">
        <v>2.1206666666666665E-2</v>
      </c>
      <c r="AE254" s="231">
        <v>0.45227333333333331</v>
      </c>
      <c r="AF254" s="231">
        <v>0.12209666666666665</v>
      </c>
      <c r="AG254" s="231">
        <v>1.0115466666666668</v>
      </c>
      <c r="AH254" s="231">
        <v>6.865333333333333E-2</v>
      </c>
      <c r="AI254" s="231"/>
      <c r="AJ254" s="231"/>
      <c r="AK254" s="231"/>
      <c r="AL254" s="231"/>
      <c r="AM254" s="231"/>
      <c r="AN254" s="231"/>
      <c r="AO254" s="894" t="s">
        <v>26</v>
      </c>
    </row>
    <row r="255" spans="1:41" ht="13.5" customHeight="1">
      <c r="A255" s="891" t="s">
        <v>27</v>
      </c>
      <c r="B255" s="231">
        <v>1.7000000000000008</v>
      </c>
      <c r="C255" s="231">
        <v>1.6719483870967742</v>
      </c>
      <c r="D255" s="231">
        <v>1.0832161290322582</v>
      </c>
      <c r="E255" s="231">
        <v>0.46279999999999977</v>
      </c>
      <c r="F255" s="231">
        <v>0.23653548387096779</v>
      </c>
      <c r="G255" s="231">
        <v>0.22478387096774194</v>
      </c>
      <c r="H255" s="231">
        <v>0.21659999999999988</v>
      </c>
      <c r="I255" s="231">
        <v>1.9186709677419356</v>
      </c>
      <c r="J255" s="231">
        <v>4.0000000000000027E-3</v>
      </c>
      <c r="K255" s="231">
        <v>0.15265806451612907</v>
      </c>
      <c r="L255" s="231">
        <v>1.7106935483870973</v>
      </c>
      <c r="M255" s="231">
        <v>0.48041935483870968</v>
      </c>
      <c r="N255" s="231">
        <v>1.2409483870967735</v>
      </c>
      <c r="O255" s="231">
        <v>5.4820903225806425</v>
      </c>
      <c r="P255" s="231">
        <v>0.1607741935483871</v>
      </c>
      <c r="Q255" s="231">
        <v>0.34790322580645167</v>
      </c>
      <c r="R255" s="231">
        <v>1.1937258064516127</v>
      </c>
      <c r="S255" s="231">
        <v>9.1500000000000012E-2</v>
      </c>
      <c r="T255" s="231">
        <v>1.157074193548387</v>
      </c>
      <c r="U255" s="231">
        <v>0.6707645161290321</v>
      </c>
      <c r="V255" s="231">
        <v>0.61124516129032258</v>
      </c>
      <c r="W255" s="231">
        <v>3.5935483870967767E-3</v>
      </c>
      <c r="X255" s="231">
        <v>2.0703225806451602E-2</v>
      </c>
      <c r="Y255" s="231">
        <v>8.7745161290322574E-2</v>
      </c>
      <c r="Z255" s="231">
        <v>1.532903225806451E-2</v>
      </c>
      <c r="AA255" s="231">
        <v>2.757419354838709E-2</v>
      </c>
      <c r="AB255" s="231">
        <v>0.48569999999999969</v>
      </c>
      <c r="AC255" s="231">
        <v>4.6080645161290339E-2</v>
      </c>
      <c r="AD255" s="231">
        <v>2.0635483870967739E-2</v>
      </c>
      <c r="AE255" s="231">
        <v>0.45240322580645176</v>
      </c>
      <c r="AF255" s="231">
        <v>0.11919354838709677</v>
      </c>
      <c r="AG255" s="231">
        <v>0.96860967741935533</v>
      </c>
      <c r="AH255" s="231">
        <v>6.8158064516129033E-2</v>
      </c>
      <c r="AI255" s="231"/>
      <c r="AJ255" s="231"/>
      <c r="AK255" s="231"/>
      <c r="AL255" s="231"/>
      <c r="AM255" s="231"/>
      <c r="AN255" s="231"/>
      <c r="AO255" s="894" t="s">
        <v>27</v>
      </c>
    </row>
    <row r="256" spans="1:41" ht="13.5" customHeight="1">
      <c r="A256" s="891" t="s">
        <v>28</v>
      </c>
      <c r="B256" s="231">
        <v>1.7000000000000006</v>
      </c>
      <c r="C256" s="231">
        <v>1.7335133333333341</v>
      </c>
      <c r="D256" s="231">
        <v>1.1231266666666666</v>
      </c>
      <c r="E256" s="231">
        <v>0.46279999999999977</v>
      </c>
      <c r="F256" s="231">
        <v>0.23710666666666663</v>
      </c>
      <c r="G256" s="231">
        <v>0.23303666666666664</v>
      </c>
      <c r="H256" s="231">
        <v>0.2170966666666666</v>
      </c>
      <c r="I256" s="231">
        <v>1.9948299999999999</v>
      </c>
      <c r="J256" s="231">
        <v>4.0000000000000027E-3</v>
      </c>
      <c r="K256" s="231">
        <v>0.15929333333333331</v>
      </c>
      <c r="L256" s="231">
        <v>1.7603866666666663</v>
      </c>
      <c r="M256" s="231">
        <v>0.48862999999999995</v>
      </c>
      <c r="N256" s="231">
        <v>1.2667366666666668</v>
      </c>
      <c r="O256" s="231">
        <v>5.5096899999999982</v>
      </c>
      <c r="P256" s="231">
        <v>0.16782666666666665</v>
      </c>
      <c r="Q256" s="231">
        <v>0.36898666666666669</v>
      </c>
      <c r="R256" s="231">
        <v>1.2257799999999999</v>
      </c>
      <c r="S256" s="231">
        <v>9.1420000000000001E-2</v>
      </c>
      <c r="T256" s="231">
        <v>1.195723333333333</v>
      </c>
      <c r="U256" s="231">
        <v>0.67314666666666689</v>
      </c>
      <c r="V256" s="231">
        <v>0.62389000000000006</v>
      </c>
      <c r="W256" s="231">
        <v>3.6800000000000001E-3</v>
      </c>
      <c r="X256" s="231">
        <v>2.0226666666666667E-2</v>
      </c>
      <c r="Y256" s="231">
        <v>8.8459999999999983E-2</v>
      </c>
      <c r="Z256" s="231">
        <v>1.5219999999999994E-2</v>
      </c>
      <c r="AA256" s="231">
        <v>2.7796666666666681E-2</v>
      </c>
      <c r="AB256" s="231">
        <v>0.48569999999999969</v>
      </c>
      <c r="AC256" s="231">
        <v>4.6113333333333353E-2</v>
      </c>
      <c r="AD256" s="231">
        <v>2.0766666666666669E-2</v>
      </c>
      <c r="AE256" s="231">
        <v>0.45233666666666678</v>
      </c>
      <c r="AF256" s="231">
        <v>0.12511</v>
      </c>
      <c r="AG256" s="231">
        <v>1.0314533333333336</v>
      </c>
      <c r="AH256" s="231">
        <v>7.1120000000000017E-2</v>
      </c>
      <c r="AI256" s="231"/>
      <c r="AJ256" s="231"/>
      <c r="AK256" s="231"/>
      <c r="AL256" s="231"/>
      <c r="AM256" s="231"/>
      <c r="AN256" s="231"/>
      <c r="AO256" s="894" t="s">
        <v>28</v>
      </c>
    </row>
    <row r="257" spans="1:41" ht="13.5" customHeight="1">
      <c r="A257" s="891" t="s">
        <v>29</v>
      </c>
      <c r="B257" s="231">
        <v>1.7000000000000008</v>
      </c>
      <c r="C257" s="231">
        <v>1.7996741935483866</v>
      </c>
      <c r="D257" s="231">
        <v>1.1474129032258067</v>
      </c>
      <c r="E257" s="231">
        <v>0.4628548387096772</v>
      </c>
      <c r="F257" s="231">
        <v>0.24343870967741935</v>
      </c>
      <c r="G257" s="231">
        <v>0.24197096774193541</v>
      </c>
      <c r="H257" s="231">
        <v>0.21829032258064518</v>
      </c>
      <c r="I257" s="231">
        <v>2.0697064516129031</v>
      </c>
      <c r="J257" s="231">
        <v>4.0000000000000027E-3</v>
      </c>
      <c r="K257" s="231">
        <v>0.16385161290322578</v>
      </c>
      <c r="L257" s="231">
        <v>1.8233612903225804</v>
      </c>
      <c r="M257" s="231">
        <v>0.49272903225806436</v>
      </c>
      <c r="N257" s="231">
        <v>1.2518806451612909</v>
      </c>
      <c r="O257" s="231">
        <v>5.5446967741935476</v>
      </c>
      <c r="P257" s="231">
        <v>0.17231935483870964</v>
      </c>
      <c r="Q257" s="231">
        <v>0.3846</v>
      </c>
      <c r="R257" s="231">
        <v>1.2574193548387091</v>
      </c>
      <c r="S257" s="231">
        <v>9.1129032258064541E-2</v>
      </c>
      <c r="T257" s="231">
        <v>1.2600096774193552</v>
      </c>
      <c r="U257" s="231">
        <v>0.67340322580645207</v>
      </c>
      <c r="V257" s="231">
        <v>0.63337741935483871</v>
      </c>
      <c r="W257" s="231">
        <v>3.6290322580645154E-3</v>
      </c>
      <c r="X257" s="231">
        <v>2.0006451612903237E-2</v>
      </c>
      <c r="Y257" s="231">
        <v>8.7951612903225826E-2</v>
      </c>
      <c r="Z257" s="231">
        <v>1.5103225806451615E-2</v>
      </c>
      <c r="AA257" s="231">
        <v>2.5861290322580638E-2</v>
      </c>
      <c r="AB257" s="231">
        <v>0.48569999999999969</v>
      </c>
      <c r="AC257" s="231">
        <v>4.6009677419354862E-2</v>
      </c>
      <c r="AD257" s="231">
        <v>2.0622580645161287E-2</v>
      </c>
      <c r="AE257" s="231">
        <v>0.45214516129032245</v>
      </c>
      <c r="AF257" s="231">
        <v>0.13146774193548388</v>
      </c>
      <c r="AG257" s="231">
        <v>1.0794548387096776</v>
      </c>
      <c r="AH257" s="231">
        <v>7.4158064516129024E-2</v>
      </c>
      <c r="AI257" s="231"/>
      <c r="AJ257" s="231"/>
      <c r="AK257" s="231"/>
      <c r="AL257" s="231"/>
      <c r="AM257" s="231"/>
      <c r="AN257" s="231"/>
      <c r="AO257" s="894" t="s">
        <v>29</v>
      </c>
    </row>
    <row r="258" spans="1:41" ht="14.1" customHeight="1">
      <c r="A258" s="892" t="s">
        <v>3500</v>
      </c>
      <c r="B258" s="246">
        <v>1.7000000000000004</v>
      </c>
      <c r="C258" s="246">
        <v>1.8383501881720401</v>
      </c>
      <c r="D258" s="246">
        <v>1.1304122241423451</v>
      </c>
      <c r="E258" s="246">
        <v>0.46283909498207865</v>
      </c>
      <c r="F258" s="246">
        <v>0.24029235279057862</v>
      </c>
      <c r="G258" s="246">
        <v>0.24673077892985149</v>
      </c>
      <c r="H258" s="246">
        <v>0.21716084613415254</v>
      </c>
      <c r="I258" s="246">
        <v>2.1138646447772658</v>
      </c>
      <c r="J258" s="246">
        <v>4.0000000000000027E-3</v>
      </c>
      <c r="K258" s="246">
        <v>0.1603632680491551</v>
      </c>
      <c r="L258" s="246">
        <v>1.8926535106246802</v>
      </c>
      <c r="M258" s="246">
        <v>0.46201107718894008</v>
      </c>
      <c r="N258" s="246">
        <v>1.2601812115975422</v>
      </c>
      <c r="O258" s="246">
        <v>5.530141706349208</v>
      </c>
      <c r="P258" s="246">
        <v>0.16109531233998978</v>
      </c>
      <c r="Q258" s="246">
        <v>0.40489512992831539</v>
      </c>
      <c r="R258" s="246">
        <v>1.2660800332821298</v>
      </c>
      <c r="S258" s="246">
        <v>7.3878261648745516E-2</v>
      </c>
      <c r="T258" s="246">
        <v>1.2133108352534563</v>
      </c>
      <c r="U258" s="246">
        <v>0.63497507808499765</v>
      </c>
      <c r="V258" s="246">
        <v>0.64791298259088581</v>
      </c>
      <c r="W258" s="246">
        <v>3.7295078084997428E-3</v>
      </c>
      <c r="X258" s="246">
        <v>1.93891077828981E-2</v>
      </c>
      <c r="Y258" s="246">
        <v>9.3892320148489514E-2</v>
      </c>
      <c r="Z258" s="246">
        <v>1.4511118791602667E-2</v>
      </c>
      <c r="AA258" s="246">
        <v>2.0160521633384536E-2</v>
      </c>
      <c r="AB258" s="246">
        <v>0.48569999999999963</v>
      </c>
      <c r="AC258" s="246">
        <v>4.6132258704557109E-2</v>
      </c>
      <c r="AD258" s="246">
        <v>2.0579298515104961E-2</v>
      </c>
      <c r="AE258" s="246">
        <v>0.45311113607270875</v>
      </c>
      <c r="AF258" s="246">
        <v>0.13028197900665642</v>
      </c>
      <c r="AG258" s="246">
        <v>1.0447799731182794</v>
      </c>
      <c r="AH258" s="246">
        <v>7.662119431643627E-2</v>
      </c>
      <c r="AI258" s="246"/>
      <c r="AJ258" s="246"/>
      <c r="AK258" s="246"/>
      <c r="AL258" s="246"/>
      <c r="AM258" s="246"/>
      <c r="AN258" s="246"/>
      <c r="AO258" s="65" t="s">
        <v>3500</v>
      </c>
    </row>
    <row r="259" spans="1:41" ht="13.5" customHeight="1">
      <c r="A259" s="892" t="s">
        <v>18</v>
      </c>
      <c r="B259" s="231">
        <v>1.7000000000000008</v>
      </c>
      <c r="C259" s="231">
        <v>1.8303354838709678</v>
      </c>
      <c r="D259" s="231">
        <v>1.1789258064516128</v>
      </c>
      <c r="E259" s="231">
        <v>0.46281290322580626</v>
      </c>
      <c r="F259" s="231">
        <v>0.24987096774193557</v>
      </c>
      <c r="G259" s="231">
        <v>0.24608064516129022</v>
      </c>
      <c r="H259" s="231">
        <v>0.21746451612903228</v>
      </c>
      <c r="I259" s="231">
        <v>2.0764419354838703</v>
      </c>
      <c r="J259" s="231">
        <v>4.0000000000000027E-3</v>
      </c>
      <c r="K259" s="231">
        <v>0.16340645161290321</v>
      </c>
      <c r="L259" s="231">
        <v>1.8394935483870964</v>
      </c>
      <c r="M259" s="231">
        <v>0.49372903225806469</v>
      </c>
      <c r="N259" s="231">
        <v>1.2650032258064516</v>
      </c>
      <c r="O259" s="231">
        <v>5.5605903225806443</v>
      </c>
      <c r="P259" s="231">
        <v>0.17097741935483876</v>
      </c>
      <c r="Q259" s="231">
        <v>0.38939354838709694</v>
      </c>
      <c r="R259" s="231">
        <v>1.2812290322580648</v>
      </c>
      <c r="S259" s="231">
        <v>9.0535483870967701E-2</v>
      </c>
      <c r="T259" s="231">
        <v>1.3017354838709674</v>
      </c>
      <c r="U259" s="231">
        <v>0.67347096774193582</v>
      </c>
      <c r="V259" s="231">
        <v>0.63623870967741925</v>
      </c>
      <c r="W259" s="231">
        <v>3.6967741935483855E-3</v>
      </c>
      <c r="X259" s="231">
        <v>1.9870967741935502E-2</v>
      </c>
      <c r="Y259" s="231">
        <v>8.9332258064516112E-2</v>
      </c>
      <c r="Z259" s="231">
        <v>1.5045161290322587E-2</v>
      </c>
      <c r="AA259" s="231">
        <v>2.4235483870967734E-2</v>
      </c>
      <c r="AB259" s="231">
        <v>0.48569999999999969</v>
      </c>
      <c r="AC259" s="231">
        <v>4.6103225806451625E-2</v>
      </c>
      <c r="AD259" s="231">
        <v>2.0754838709677422E-2</v>
      </c>
      <c r="AE259" s="231">
        <v>0.45258064516129037</v>
      </c>
      <c r="AF259" s="231">
        <v>0.13669999999999999</v>
      </c>
      <c r="AG259" s="231">
        <v>1.0871193548387097</v>
      </c>
      <c r="AH259" s="231">
        <v>7.6338709677419347E-2</v>
      </c>
      <c r="AI259" s="231"/>
      <c r="AJ259" s="231"/>
      <c r="AK259" s="231"/>
      <c r="AL259" s="231"/>
      <c r="AM259" s="231"/>
      <c r="AN259" s="231"/>
      <c r="AO259" s="894" t="s">
        <v>18</v>
      </c>
    </row>
    <row r="260" spans="1:41" ht="13.5" customHeight="1">
      <c r="A260" s="892" t="s">
        <v>19</v>
      </c>
      <c r="B260" s="231">
        <v>1.7000000000000006</v>
      </c>
      <c r="C260" s="231">
        <v>1.8216500000000002</v>
      </c>
      <c r="D260" s="231">
        <v>1.1751535714285715</v>
      </c>
      <c r="E260" s="231">
        <v>0.46279999999999977</v>
      </c>
      <c r="F260" s="231">
        <v>0.24869285714285719</v>
      </c>
      <c r="G260" s="231">
        <v>0.24468214285714279</v>
      </c>
      <c r="H260" s="231">
        <v>0.21665714285714285</v>
      </c>
      <c r="I260" s="231">
        <v>2.0545892857142851</v>
      </c>
      <c r="J260" s="231">
        <v>4.0000000000000027E-3</v>
      </c>
      <c r="K260" s="231">
        <v>0.16292857142857139</v>
      </c>
      <c r="L260" s="231">
        <v>1.838696428571428</v>
      </c>
      <c r="M260" s="231">
        <v>0.48210357142857146</v>
      </c>
      <c r="N260" s="231">
        <v>1.2647535714285716</v>
      </c>
      <c r="O260" s="231">
        <v>5.5534571428571429</v>
      </c>
      <c r="P260" s="231">
        <v>0.16636428571428571</v>
      </c>
      <c r="Q260" s="231">
        <v>0.38427499999999998</v>
      </c>
      <c r="R260" s="231">
        <v>1.2773785714285713</v>
      </c>
      <c r="S260" s="231">
        <v>9.0200000000000044E-2</v>
      </c>
      <c r="T260" s="231">
        <v>1.2814035714285714</v>
      </c>
      <c r="U260" s="231">
        <v>0.6734785714285717</v>
      </c>
      <c r="V260" s="231">
        <v>0.64286428571428567</v>
      </c>
      <c r="W260" s="231">
        <v>3.7678571428571418E-3</v>
      </c>
      <c r="X260" s="231">
        <v>1.9607142857142858E-2</v>
      </c>
      <c r="Y260" s="231">
        <v>9.0682142857142822E-2</v>
      </c>
      <c r="Z260" s="231">
        <v>1.5014285714285725E-2</v>
      </c>
      <c r="AA260" s="231">
        <v>2.3203571428571428E-2</v>
      </c>
      <c r="AB260" s="231">
        <v>0.48569999999999969</v>
      </c>
      <c r="AC260" s="231">
        <v>4.6117857142857155E-2</v>
      </c>
      <c r="AD260" s="231">
        <v>2.0578571428571429E-2</v>
      </c>
      <c r="AE260" s="231">
        <v>0.45309642857142857</v>
      </c>
      <c r="AF260" s="231">
        <v>0.13336428571428569</v>
      </c>
      <c r="AG260" s="231">
        <v>1.0717500000000002</v>
      </c>
      <c r="AH260" s="231">
        <v>7.6821428571428568E-2</v>
      </c>
      <c r="AI260" s="231"/>
      <c r="AJ260" s="231"/>
      <c r="AK260" s="231"/>
      <c r="AL260" s="231"/>
      <c r="AM260" s="231"/>
      <c r="AN260" s="231"/>
      <c r="AO260" s="894" t="s">
        <v>19</v>
      </c>
    </row>
    <row r="261" spans="1:41" ht="13.5" customHeight="1">
      <c r="A261" s="892" t="s">
        <v>20</v>
      </c>
      <c r="B261" s="231">
        <v>1.7000000000000008</v>
      </c>
      <c r="C261" s="231">
        <v>1.8143225806451613</v>
      </c>
      <c r="D261" s="231">
        <v>1.1381322580645161</v>
      </c>
      <c r="E261" s="231">
        <v>0.46286774193548369</v>
      </c>
      <c r="F261" s="231">
        <v>0.24657096774193549</v>
      </c>
      <c r="G261" s="231">
        <v>0.24372258064516125</v>
      </c>
      <c r="H261" s="231">
        <v>0.21660645161290309</v>
      </c>
      <c r="I261" s="231">
        <v>2.0581161290322569</v>
      </c>
      <c r="J261" s="231">
        <v>4.0000000000000027E-3</v>
      </c>
      <c r="K261" s="231">
        <v>0.1620129032258065</v>
      </c>
      <c r="L261" s="231">
        <v>1.8329225806451603</v>
      </c>
      <c r="M261" s="231">
        <v>0.46810000000000007</v>
      </c>
      <c r="N261" s="231">
        <v>1.2431999999999999</v>
      </c>
      <c r="O261" s="231">
        <v>5.5378354838709676</v>
      </c>
      <c r="P261" s="231">
        <v>0.16106451612903228</v>
      </c>
      <c r="Q261" s="231">
        <v>0.38679999999999998</v>
      </c>
      <c r="R261" s="231">
        <v>1.2657903225806446</v>
      </c>
      <c r="S261" s="231">
        <v>8.9554838709677398E-2</v>
      </c>
      <c r="T261" s="231">
        <v>1.2666354838709677</v>
      </c>
      <c r="U261" s="231">
        <v>0.67348709677419394</v>
      </c>
      <c r="V261" s="231">
        <v>0.65752580645161263</v>
      </c>
      <c r="W261" s="231">
        <v>3.7838709677419334E-3</v>
      </c>
      <c r="X261" s="231">
        <v>1.9483870967741936E-2</v>
      </c>
      <c r="Y261" s="231">
        <v>9.098387096774195E-2</v>
      </c>
      <c r="Z261" s="231">
        <v>1.4929032258064526E-2</v>
      </c>
      <c r="AA261" s="231">
        <v>2.2341935483870964E-2</v>
      </c>
      <c r="AB261" s="231">
        <v>0.48569999999999969</v>
      </c>
      <c r="AC261" s="231">
        <v>4.6012903225806472E-2</v>
      </c>
      <c r="AD261" s="231">
        <v>2.0654838709677423E-2</v>
      </c>
      <c r="AE261" s="231">
        <v>0.4527580645161291</v>
      </c>
      <c r="AF261" s="231">
        <v>0.13027741935483864</v>
      </c>
      <c r="AG261" s="231">
        <v>1.0561258064516128</v>
      </c>
      <c r="AH261" s="231">
        <v>7.6467741935483849E-2</v>
      </c>
      <c r="AI261" s="231"/>
      <c r="AJ261" s="231"/>
      <c r="AK261" s="231"/>
      <c r="AL261" s="231"/>
      <c r="AM261" s="231"/>
      <c r="AN261" s="231"/>
      <c r="AO261" s="894" t="s">
        <v>20</v>
      </c>
    </row>
    <row r="262" spans="1:41" ht="13.5" customHeight="1">
      <c r="A262" s="892" t="s">
        <v>21</v>
      </c>
      <c r="B262" s="231">
        <v>1.7000000000000006</v>
      </c>
      <c r="C262" s="231">
        <v>1.8632599999999995</v>
      </c>
      <c r="D262" s="231">
        <v>1.1380466666666669</v>
      </c>
      <c r="E262" s="231">
        <v>0.46290333333333317</v>
      </c>
      <c r="F262" s="231">
        <v>0.24697333333333329</v>
      </c>
      <c r="G262" s="231">
        <v>0.25003666666666663</v>
      </c>
      <c r="H262" s="231">
        <v>0.21659999999999988</v>
      </c>
      <c r="I262" s="231">
        <v>2.1154200000000007</v>
      </c>
      <c r="J262" s="231">
        <v>4.0000000000000027E-3</v>
      </c>
      <c r="K262" s="231">
        <v>0.16421333333333335</v>
      </c>
      <c r="L262" s="231">
        <v>1.8898300000000001</v>
      </c>
      <c r="M262" s="231">
        <v>0.46817000000000003</v>
      </c>
      <c r="N262" s="231">
        <v>1.2611399999999999</v>
      </c>
      <c r="O262" s="231">
        <v>5.5468233333333341</v>
      </c>
      <c r="P262" s="231">
        <v>0.16211000000000006</v>
      </c>
      <c r="Q262" s="231">
        <v>0.4014700000000001</v>
      </c>
      <c r="R262" s="231">
        <v>1.2767400000000004</v>
      </c>
      <c r="S262" s="231">
        <v>8.7923333333333353E-2</v>
      </c>
      <c r="T262" s="231">
        <v>1.2742300000000004</v>
      </c>
      <c r="U262" s="231">
        <v>0.67346333333333375</v>
      </c>
      <c r="V262" s="231">
        <v>0.67374000000000001</v>
      </c>
      <c r="W262" s="231">
        <v>3.7599999999999977E-3</v>
      </c>
      <c r="X262" s="231">
        <v>1.9399999999999983E-2</v>
      </c>
      <c r="Y262" s="231">
        <v>9.389666666666667E-2</v>
      </c>
      <c r="Z262" s="231">
        <v>1.4900000000000009E-2</v>
      </c>
      <c r="AA262" s="231">
        <v>2.0993333333333333E-2</v>
      </c>
      <c r="AB262" s="231">
        <v>0.48569999999999969</v>
      </c>
      <c r="AC262" s="231">
        <v>4.6040000000000032E-2</v>
      </c>
      <c r="AD262" s="231">
        <v>2.0726666666666671E-2</v>
      </c>
      <c r="AE262" s="231">
        <v>0.45316000000000028</v>
      </c>
      <c r="AF262" s="231">
        <v>0.12877</v>
      </c>
      <c r="AG262" s="231">
        <v>1.0571333333333335</v>
      </c>
      <c r="AH262" s="231">
        <v>7.9553333333333323E-2</v>
      </c>
      <c r="AI262" s="231"/>
      <c r="AJ262" s="231"/>
      <c r="AK262" s="231"/>
      <c r="AL262" s="231"/>
      <c r="AM262" s="231"/>
      <c r="AN262" s="231"/>
      <c r="AO262" s="894" t="s">
        <v>21</v>
      </c>
    </row>
    <row r="263" spans="1:41" ht="13.5" customHeight="1">
      <c r="A263" s="892" t="s">
        <v>22</v>
      </c>
      <c r="B263" s="231">
        <v>1.7000000000000008</v>
      </c>
      <c r="C263" s="231">
        <v>1.8495032258064517</v>
      </c>
      <c r="D263" s="231">
        <v>1.1305225806451618</v>
      </c>
      <c r="E263" s="231">
        <v>0.46294516129032232</v>
      </c>
      <c r="F263" s="231">
        <v>0.24332580645161292</v>
      </c>
      <c r="G263" s="231">
        <v>0.24829032258064523</v>
      </c>
      <c r="H263" s="231">
        <v>0.2169548387096773</v>
      </c>
      <c r="I263" s="231">
        <v>2.1220419354838707</v>
      </c>
      <c r="J263" s="231">
        <v>4.0000000000000027E-3</v>
      </c>
      <c r="K263" s="231">
        <v>0.16266774193548386</v>
      </c>
      <c r="L263" s="231">
        <v>1.8964741935483871</v>
      </c>
      <c r="M263" s="231">
        <v>0.46410645161290309</v>
      </c>
      <c r="N263" s="231">
        <v>1.2574967741935483</v>
      </c>
      <c r="O263" s="231">
        <v>5.5392870967741947</v>
      </c>
      <c r="P263" s="231">
        <v>0.15742258064516132</v>
      </c>
      <c r="Q263" s="231">
        <v>0.40729354838709686</v>
      </c>
      <c r="R263" s="231">
        <v>1.2695677419354836</v>
      </c>
      <c r="S263" s="231">
        <v>8.6158064516129035E-2</v>
      </c>
      <c r="T263" s="231">
        <v>1.2419032258064515</v>
      </c>
      <c r="U263" s="231">
        <v>0.67350000000000032</v>
      </c>
      <c r="V263" s="231">
        <v>0.67137419354838701</v>
      </c>
      <c r="W263" s="231">
        <v>3.8032258064516116E-3</v>
      </c>
      <c r="X263" s="231">
        <v>1.9403225806451596E-2</v>
      </c>
      <c r="Y263" s="231">
        <v>9.5516129032258063E-2</v>
      </c>
      <c r="Z263" s="231">
        <v>1.4883870967741939E-2</v>
      </c>
      <c r="AA263" s="231">
        <v>2.1438709677419353E-2</v>
      </c>
      <c r="AB263" s="231">
        <v>0.48569999999999969</v>
      </c>
      <c r="AC263" s="231">
        <v>4.6009677419354862E-2</v>
      </c>
      <c r="AD263" s="231">
        <v>2.0661290322580638E-2</v>
      </c>
      <c r="AE263" s="231">
        <v>0.45329677419354847</v>
      </c>
      <c r="AF263" s="231">
        <v>0.12810967741935483</v>
      </c>
      <c r="AG263" s="231">
        <v>1.0570322580645164</v>
      </c>
      <c r="AH263" s="231">
        <v>7.8409677419354853E-2</v>
      </c>
      <c r="AI263" s="231"/>
      <c r="AJ263" s="231"/>
      <c r="AK263" s="231"/>
      <c r="AL263" s="231"/>
      <c r="AM263" s="231"/>
      <c r="AN263" s="231"/>
      <c r="AO263" s="894" t="s">
        <v>22</v>
      </c>
    </row>
    <row r="264" spans="1:41" ht="13.5" customHeight="1">
      <c r="A264" s="892" t="s">
        <v>23</v>
      </c>
      <c r="B264" s="231">
        <v>1.7000000000000006</v>
      </c>
      <c r="C264" s="231">
        <v>1.8416733333333335</v>
      </c>
      <c r="D264" s="231">
        <v>1.1411999999999998</v>
      </c>
      <c r="E264" s="231">
        <v>0.46280999999999983</v>
      </c>
      <c r="F264" s="231">
        <v>0.23795333333333327</v>
      </c>
      <c r="G264" s="231">
        <v>0.24723333333333344</v>
      </c>
      <c r="H264" s="231">
        <v>0.21709333333333339</v>
      </c>
      <c r="I264" s="231">
        <v>2.1471633333333324</v>
      </c>
      <c r="J264" s="231">
        <v>4.0000000000000027E-3</v>
      </c>
      <c r="K264" s="231">
        <v>0.15813333333333335</v>
      </c>
      <c r="L264" s="231">
        <v>1.8881333333333339</v>
      </c>
      <c r="M264" s="231">
        <v>0.46721666666666656</v>
      </c>
      <c r="N264" s="231">
        <v>1.2784800000000003</v>
      </c>
      <c r="O264" s="231">
        <v>5.5306733333333344</v>
      </c>
      <c r="P264" s="231">
        <v>0.15710999999999997</v>
      </c>
      <c r="Q264" s="231">
        <v>0.41251666666666653</v>
      </c>
      <c r="R264" s="231">
        <v>1.2631599999999996</v>
      </c>
      <c r="S264" s="231">
        <v>7.2733333333333344E-2</v>
      </c>
      <c r="T264" s="231">
        <v>1.2058933333333335</v>
      </c>
      <c r="U264" s="231">
        <v>0.67348666666666701</v>
      </c>
      <c r="V264" s="231">
        <v>0.64991666666666681</v>
      </c>
      <c r="W264" s="231">
        <v>3.7999999999999987E-3</v>
      </c>
      <c r="X264" s="231">
        <v>1.9436666666666658E-2</v>
      </c>
      <c r="Y264" s="231">
        <v>9.5369999999999983E-2</v>
      </c>
      <c r="Z264" s="231">
        <v>1.4849999999999992E-2</v>
      </c>
      <c r="AA264" s="231">
        <v>2.0466666666666668E-2</v>
      </c>
      <c r="AB264" s="231">
        <v>0.48569999999999969</v>
      </c>
      <c r="AC264" s="231">
        <v>4.6003333333333354E-2</v>
      </c>
      <c r="AD264" s="231">
        <v>2.0656666666666674E-2</v>
      </c>
      <c r="AE264" s="231">
        <v>0.4532466666666668</v>
      </c>
      <c r="AF264" s="231">
        <v>0.13121333333333338</v>
      </c>
      <c r="AG264" s="231">
        <v>1.0425433333333334</v>
      </c>
      <c r="AH264" s="231">
        <v>7.7689999999999995E-2</v>
      </c>
      <c r="AI264" s="231"/>
      <c r="AJ264" s="231"/>
      <c r="AK264" s="231"/>
      <c r="AL264" s="231"/>
      <c r="AM264" s="231"/>
      <c r="AN264" s="231"/>
      <c r="AO264" s="894" t="s">
        <v>23</v>
      </c>
    </row>
    <row r="265" spans="1:41" ht="13.5" customHeight="1">
      <c r="A265" s="892" t="s">
        <v>24</v>
      </c>
      <c r="B265" s="231">
        <v>1.7000000000000008</v>
      </c>
      <c r="C265" s="231">
        <v>1.8779741935483871</v>
      </c>
      <c r="D265" s="231">
        <v>1.1448516129032262</v>
      </c>
      <c r="E265" s="231">
        <v>0.46279999999999977</v>
      </c>
      <c r="F265" s="231">
        <v>0.23662903225806448</v>
      </c>
      <c r="G265" s="231">
        <v>0.25205483870967738</v>
      </c>
      <c r="H265" s="231">
        <v>0.21747741935483869</v>
      </c>
      <c r="I265" s="231">
        <v>2.1881709677419354</v>
      </c>
      <c r="J265" s="231">
        <v>4.0000000000000027E-3</v>
      </c>
      <c r="K265" s="231">
        <v>0.16154193548387091</v>
      </c>
      <c r="L265" s="231">
        <v>1.9428709677419349</v>
      </c>
      <c r="M265" s="231">
        <v>0.46419032258064497</v>
      </c>
      <c r="N265" s="231">
        <v>1.2864096774193552</v>
      </c>
      <c r="O265" s="231">
        <v>5.5378258064516128</v>
      </c>
      <c r="P265" s="231">
        <v>0.16508387096774194</v>
      </c>
      <c r="Q265" s="231">
        <v>0.42239999999999989</v>
      </c>
      <c r="R265" s="231">
        <v>1.2732806451612908</v>
      </c>
      <c r="S265" s="231">
        <v>6.4435483870967716E-2</v>
      </c>
      <c r="T265" s="231">
        <v>1.2064870967741936</v>
      </c>
      <c r="U265" s="231">
        <v>0.67370967741935528</v>
      </c>
      <c r="V265" s="231">
        <v>0.6550387096774194</v>
      </c>
      <c r="W265" s="231">
        <v>3.8064516129032249E-3</v>
      </c>
      <c r="X265" s="231">
        <v>1.9419354838709664E-2</v>
      </c>
      <c r="Y265" s="231">
        <v>9.4780645161290297E-2</v>
      </c>
      <c r="Z265" s="231">
        <v>1.4709677419354835E-2</v>
      </c>
      <c r="AA265" s="231">
        <v>1.8848387096774194E-2</v>
      </c>
      <c r="AB265" s="231">
        <v>0.48569999999999969</v>
      </c>
      <c r="AC265" s="231">
        <v>4.6016129032258088E-2</v>
      </c>
      <c r="AD265" s="231">
        <v>2.0687096774193559E-2</v>
      </c>
      <c r="AE265" s="231">
        <v>0.45317741935483891</v>
      </c>
      <c r="AF265" s="231">
        <v>0.13237096774193546</v>
      </c>
      <c r="AG265" s="231">
        <v>1.0587548387096772</v>
      </c>
      <c r="AH265" s="231">
        <v>7.862580645161292E-2</v>
      </c>
      <c r="AI265" s="231"/>
      <c r="AJ265" s="231"/>
      <c r="AK265" s="231"/>
      <c r="AL265" s="231"/>
      <c r="AM265" s="231"/>
      <c r="AN265" s="231"/>
      <c r="AO265" s="894" t="s">
        <v>24</v>
      </c>
    </row>
    <row r="266" spans="1:41" ht="13.5" customHeight="1">
      <c r="A266" s="892" t="s">
        <v>25</v>
      </c>
      <c r="B266" s="231">
        <v>1.7000000000000008</v>
      </c>
      <c r="C266" s="231">
        <v>1.8547645161290323</v>
      </c>
      <c r="D266" s="231">
        <v>1.1026774193548381</v>
      </c>
      <c r="E266" s="231">
        <v>0.46279999999999977</v>
      </c>
      <c r="F266" s="231">
        <v>0.23449032258064509</v>
      </c>
      <c r="G266" s="231">
        <v>0.24889677419354841</v>
      </c>
      <c r="H266" s="231">
        <v>0.21726129032258065</v>
      </c>
      <c r="I266" s="231">
        <v>2.1595290322580638</v>
      </c>
      <c r="J266" s="231">
        <v>4.0000000000000027E-3</v>
      </c>
      <c r="K266" s="231">
        <v>0.15717419354838708</v>
      </c>
      <c r="L266" s="231">
        <v>1.9354903225806459</v>
      </c>
      <c r="M266" s="231">
        <v>0.45430645161290317</v>
      </c>
      <c r="N266" s="231">
        <v>1.2617645161290321</v>
      </c>
      <c r="O266" s="231">
        <v>5.5217806451612921</v>
      </c>
      <c r="P266" s="231">
        <v>0.16265483870967742</v>
      </c>
      <c r="Q266" s="231">
        <v>0.41591935483870962</v>
      </c>
      <c r="R266" s="231">
        <v>1.2586741935483872</v>
      </c>
      <c r="S266" s="231">
        <v>6.3212903225806458E-2</v>
      </c>
      <c r="T266" s="231">
        <v>1.1745645161290326</v>
      </c>
      <c r="U266" s="231">
        <v>0.67345806451612944</v>
      </c>
      <c r="V266" s="231">
        <v>0.64929354838709696</v>
      </c>
      <c r="W266" s="231">
        <v>3.7516129032258037E-3</v>
      </c>
      <c r="X266" s="231">
        <v>1.9341935483870958E-2</v>
      </c>
      <c r="Y266" s="231">
        <v>9.6151612903225825E-2</v>
      </c>
      <c r="Z266" s="231">
        <v>1.4280645161290325E-2</v>
      </c>
      <c r="AA266" s="231">
        <v>1.787096774193549E-2</v>
      </c>
      <c r="AB266" s="231">
        <v>0.48569999999999969</v>
      </c>
      <c r="AC266" s="231">
        <v>4.6032258064516149E-2</v>
      </c>
      <c r="AD266" s="231">
        <v>2.0538709677419349E-2</v>
      </c>
      <c r="AE266" s="231">
        <v>0.45316774193548409</v>
      </c>
      <c r="AF266" s="231">
        <v>0.12855806451612897</v>
      </c>
      <c r="AG266" s="231">
        <v>1.0188903225806449</v>
      </c>
      <c r="AH266" s="231">
        <v>7.6877419354838675E-2</v>
      </c>
      <c r="AI266" s="231"/>
      <c r="AJ266" s="231"/>
      <c r="AK266" s="231"/>
      <c r="AL266" s="231"/>
      <c r="AM266" s="231"/>
      <c r="AN266" s="231"/>
      <c r="AO266" s="894" t="s">
        <v>25</v>
      </c>
    </row>
    <row r="267" spans="1:41" ht="13.5" customHeight="1">
      <c r="A267" s="892" t="s">
        <v>26</v>
      </c>
      <c r="B267" s="231">
        <v>1.7000000000000006</v>
      </c>
      <c r="C267" s="231">
        <v>1.8174966666666663</v>
      </c>
      <c r="D267" s="231">
        <v>1.0929766666666667</v>
      </c>
      <c r="E267" s="231">
        <v>0.46279999999999977</v>
      </c>
      <c r="F267" s="231">
        <v>0.23305999999999999</v>
      </c>
      <c r="G267" s="231">
        <v>0.24375666666666662</v>
      </c>
      <c r="H267" s="231">
        <v>0.21712333333333328</v>
      </c>
      <c r="I267" s="231">
        <v>2.1114266666666661</v>
      </c>
      <c r="J267" s="231">
        <v>4.0000000000000027E-3</v>
      </c>
      <c r="K267" s="231">
        <v>0.15335666666666664</v>
      </c>
      <c r="L267" s="231">
        <v>1.8950666666666669</v>
      </c>
      <c r="M267" s="231">
        <v>0.44525666666666669</v>
      </c>
      <c r="N267" s="231">
        <v>1.2560366666666662</v>
      </c>
      <c r="O267" s="231">
        <v>5.5063366666666642</v>
      </c>
      <c r="P267" s="231">
        <v>0.15862999999999999</v>
      </c>
      <c r="Q267" s="231">
        <v>0.39557666666666658</v>
      </c>
      <c r="R267" s="231">
        <v>1.2478733333333334</v>
      </c>
      <c r="S267" s="231">
        <v>6.3E-2</v>
      </c>
      <c r="T267" s="231">
        <v>1.1523633333333336</v>
      </c>
      <c r="U267" s="231">
        <v>0.67349000000000037</v>
      </c>
      <c r="V267" s="231">
        <v>0.64345666666666668</v>
      </c>
      <c r="W267" s="231">
        <v>3.6266666666666691E-3</v>
      </c>
      <c r="X267" s="231">
        <v>1.9313333333333328E-2</v>
      </c>
      <c r="Y267" s="231">
        <v>9.4803333333333337E-2</v>
      </c>
      <c r="Z267" s="231">
        <v>1.4000000000000011E-2</v>
      </c>
      <c r="AA267" s="231">
        <v>1.7583333333333333E-2</v>
      </c>
      <c r="AB267" s="231">
        <v>0.48569999999999969</v>
      </c>
      <c r="AC267" s="231">
        <v>4.6023333333333354E-2</v>
      </c>
      <c r="AD267" s="231">
        <v>2.0476666666666664E-2</v>
      </c>
      <c r="AE267" s="231">
        <v>0.45320666666666687</v>
      </c>
      <c r="AF267" s="231">
        <v>0.12762333333333334</v>
      </c>
      <c r="AG267" s="231">
        <v>1.0084166666666665</v>
      </c>
      <c r="AH267" s="231">
        <v>7.4606666666666696E-2</v>
      </c>
      <c r="AI267" s="231"/>
      <c r="AJ267" s="231"/>
      <c r="AK267" s="231"/>
      <c r="AL267" s="231"/>
      <c r="AM267" s="231"/>
      <c r="AN267" s="231"/>
      <c r="AO267" s="894" t="s">
        <v>26</v>
      </c>
    </row>
    <row r="268" spans="1:41" ht="13.5" customHeight="1">
      <c r="A268" s="892" t="s">
        <v>27</v>
      </c>
      <c r="B268" s="231">
        <v>1.7000000000000008</v>
      </c>
      <c r="C268" s="231">
        <v>1.7954032258064523</v>
      </c>
      <c r="D268" s="231">
        <v>1.0796870967741934</v>
      </c>
      <c r="E268" s="231">
        <v>0.46279999999999977</v>
      </c>
      <c r="F268" s="231">
        <v>0.2326483870967743</v>
      </c>
      <c r="G268" s="231">
        <v>0.24067096774193547</v>
      </c>
      <c r="H268" s="231">
        <v>0.21727096774193536</v>
      </c>
      <c r="I268" s="231">
        <v>2.0690096774193552</v>
      </c>
      <c r="J268" s="231">
        <v>4.0000000000000027E-3</v>
      </c>
      <c r="K268" s="231">
        <v>0.15432903225806449</v>
      </c>
      <c r="L268" s="231">
        <v>1.8806677419354838</v>
      </c>
      <c r="M268" s="231">
        <v>0.42819032258064527</v>
      </c>
      <c r="N268" s="231">
        <v>1.2409774193548389</v>
      </c>
      <c r="O268" s="231">
        <v>5.4969064516129045</v>
      </c>
      <c r="P268" s="231">
        <v>0.15468709677419362</v>
      </c>
      <c r="Q268" s="231">
        <v>0.3975322580645162</v>
      </c>
      <c r="R268" s="231">
        <v>1.2416741935483868</v>
      </c>
      <c r="S268" s="231">
        <v>6.1003225806451622E-2</v>
      </c>
      <c r="T268" s="231">
        <v>1.1367903225806448</v>
      </c>
      <c r="U268" s="231">
        <v>0.52626451612903213</v>
      </c>
      <c r="V268" s="231">
        <v>0.6326354838709678</v>
      </c>
      <c r="W268" s="231">
        <v>3.5709677419354857E-3</v>
      </c>
      <c r="X268" s="231">
        <v>1.9225806451612898E-2</v>
      </c>
      <c r="Y268" s="231">
        <v>9.3770967741935482E-2</v>
      </c>
      <c r="Z268" s="231">
        <v>1.3906451612903234E-2</v>
      </c>
      <c r="AA268" s="231">
        <v>1.7483870967741934E-2</v>
      </c>
      <c r="AB268" s="231">
        <v>0.48569999999999969</v>
      </c>
      <c r="AC268" s="231">
        <v>4.6435483870967735E-2</v>
      </c>
      <c r="AD268" s="231">
        <v>2.0409677419354826E-2</v>
      </c>
      <c r="AE268" s="231">
        <v>0.45319354838709675</v>
      </c>
      <c r="AF268" s="231">
        <v>0.1257967741935484</v>
      </c>
      <c r="AG268" s="231">
        <v>1.0029032258064514</v>
      </c>
      <c r="AH268" s="231">
        <v>7.3077419354838719E-2</v>
      </c>
      <c r="AI268" s="231"/>
      <c r="AJ268" s="231"/>
      <c r="AK268" s="231"/>
      <c r="AL268" s="231"/>
      <c r="AM268" s="231"/>
      <c r="AN268" s="231"/>
      <c r="AO268" s="891" t="s">
        <v>27</v>
      </c>
    </row>
    <row r="269" spans="1:41" ht="13.5" customHeight="1">
      <c r="A269" s="892" t="s">
        <v>28</v>
      </c>
      <c r="B269" s="231">
        <v>1.7000000000000006</v>
      </c>
      <c r="C269" s="231">
        <v>1.8368899999999997</v>
      </c>
      <c r="D269" s="231">
        <v>1.1041633333333334</v>
      </c>
      <c r="E269" s="231">
        <v>0.46282999999999969</v>
      </c>
      <c r="F269" s="231">
        <v>0.23518999999999998</v>
      </c>
      <c r="G269" s="231">
        <v>0.2462766666666667</v>
      </c>
      <c r="H269" s="231">
        <v>0.21774666666666667</v>
      </c>
      <c r="I269" s="231">
        <v>2.1110700000000002</v>
      </c>
      <c r="J269" s="231">
        <v>4.0000000000000027E-3</v>
      </c>
      <c r="K269" s="231">
        <v>0.15884666666666666</v>
      </c>
      <c r="L269" s="231">
        <v>1.905886666666667</v>
      </c>
      <c r="M269" s="231">
        <v>0.4456666666666666</v>
      </c>
      <c r="N269" s="231">
        <v>1.2398933333333331</v>
      </c>
      <c r="O269" s="231">
        <v>5.5086100000000009</v>
      </c>
      <c r="P269" s="231">
        <v>0.15571333333333334</v>
      </c>
      <c r="Q269" s="231">
        <v>0.41689999999999994</v>
      </c>
      <c r="R269" s="231">
        <v>1.2605633333333335</v>
      </c>
      <c r="S269" s="231">
        <v>5.9356666666666641E-2</v>
      </c>
      <c r="T269" s="231">
        <v>1.1353333333333329</v>
      </c>
      <c r="U269" s="231">
        <v>0.51605333333333325</v>
      </c>
      <c r="V269" s="231">
        <v>0.62942333333333333</v>
      </c>
      <c r="W269" s="231">
        <v>3.6866666666666649E-3</v>
      </c>
      <c r="X269" s="231">
        <v>1.9076666666666669E-2</v>
      </c>
      <c r="Y269" s="231">
        <v>9.4926666666666673E-2</v>
      </c>
      <c r="Z269" s="231">
        <v>1.3843333333333327E-2</v>
      </c>
      <c r="AA269" s="231">
        <v>1.8759999999999999E-2</v>
      </c>
      <c r="AB269" s="231">
        <v>0.48569999999999969</v>
      </c>
      <c r="AC269" s="231">
        <v>4.697999999999998E-2</v>
      </c>
      <c r="AD269" s="231">
        <v>2.0403333333333322E-2</v>
      </c>
      <c r="AE269" s="231">
        <v>0.45324000000000014</v>
      </c>
      <c r="AF269" s="231">
        <v>0.13009666666666667</v>
      </c>
      <c r="AG269" s="231">
        <v>1.0183066666666665</v>
      </c>
      <c r="AH269" s="231">
        <v>7.5070000000000026E-2</v>
      </c>
      <c r="AI269" s="231"/>
      <c r="AJ269" s="231"/>
      <c r="AK269" s="231"/>
      <c r="AL269" s="231"/>
      <c r="AM269" s="231"/>
      <c r="AN269" s="231"/>
      <c r="AO269" s="891" t="s">
        <v>28</v>
      </c>
    </row>
    <row r="270" spans="1:41" ht="13.5" customHeight="1">
      <c r="A270" s="892" t="s">
        <v>29</v>
      </c>
      <c r="B270" s="231">
        <v>1.7000000000000008</v>
      </c>
      <c r="C270" s="231">
        <v>1.8569290322580652</v>
      </c>
      <c r="D270" s="231">
        <v>1.1386096774193546</v>
      </c>
      <c r="E270" s="231">
        <v>0.46289999999999981</v>
      </c>
      <c r="F270" s="231">
        <v>0.23810322580645157</v>
      </c>
      <c r="G270" s="231">
        <v>0.24906774193548384</v>
      </c>
      <c r="H270" s="231">
        <v>0.21767419354838702</v>
      </c>
      <c r="I270" s="231">
        <v>2.1533967741935487</v>
      </c>
      <c r="J270" s="231">
        <v>4.0000000000000027E-3</v>
      </c>
      <c r="K270" s="231">
        <v>0.1657483870967742</v>
      </c>
      <c r="L270" s="231">
        <v>1.9663096774193547</v>
      </c>
      <c r="M270" s="231">
        <v>0.46309677419354833</v>
      </c>
      <c r="N270" s="231">
        <v>1.2670193548387101</v>
      </c>
      <c r="O270" s="231">
        <v>5.5215741935483882</v>
      </c>
      <c r="P270" s="231">
        <v>0.16132580645161287</v>
      </c>
      <c r="Q270" s="231">
        <v>0.42866451612903234</v>
      </c>
      <c r="R270" s="231">
        <v>1.2770290322580644</v>
      </c>
      <c r="S270" s="231">
        <v>5.8425806451612924E-2</v>
      </c>
      <c r="T270" s="231">
        <v>1.1823903225806447</v>
      </c>
      <c r="U270" s="231">
        <v>0.5158387096774194</v>
      </c>
      <c r="V270" s="231">
        <v>0.63344838709677409</v>
      </c>
      <c r="W270" s="231">
        <v>3.6999999999999984E-3</v>
      </c>
      <c r="X270" s="231">
        <v>1.9090322580645164E-2</v>
      </c>
      <c r="Y270" s="231">
        <v>9.6493548387096756E-2</v>
      </c>
      <c r="Z270" s="231">
        <v>1.377096774193548E-2</v>
      </c>
      <c r="AA270" s="231">
        <v>1.8700000000000008E-2</v>
      </c>
      <c r="AB270" s="231">
        <v>0.48569999999999969</v>
      </c>
      <c r="AC270" s="231">
        <v>4.5812903225806438E-2</v>
      </c>
      <c r="AD270" s="231">
        <v>2.04032258064516E-2</v>
      </c>
      <c r="AE270" s="231">
        <v>0.45320967741935503</v>
      </c>
      <c r="AF270" s="231">
        <v>0.13050322580645163</v>
      </c>
      <c r="AG270" s="231">
        <v>1.0583838709677422</v>
      </c>
      <c r="AH270" s="231">
        <v>7.591612903225807E-2</v>
      </c>
      <c r="AI270" s="231"/>
      <c r="AJ270" s="231"/>
      <c r="AK270" s="231"/>
      <c r="AL270" s="231"/>
      <c r="AM270" s="231"/>
      <c r="AN270" s="231"/>
      <c r="AO270" s="891" t="s">
        <v>29</v>
      </c>
    </row>
    <row r="271" spans="1:41" ht="13.5" customHeight="1">
      <c r="A271" s="892" t="s">
        <v>3971</v>
      </c>
      <c r="B271" s="246">
        <f>AVERAGE(B272:B283)</f>
        <v>1.7000000000000004</v>
      </c>
      <c r="C271" s="246">
        <f>AVERAGE(C272:C283)</f>
        <v>1.8399965470893587</v>
      </c>
      <c r="D271" s="246">
        <f>AVERAGE(D272:D283)</f>
        <v>1.1221604715115563</v>
      </c>
      <c r="E271" s="246">
        <f t="shared" ref="E271:I271" si="28">AVERAGE(E272:E283)</f>
        <v>0.46282016252626351</v>
      </c>
      <c r="F271" s="246">
        <f t="shared" si="28"/>
        <v>0.23628006056111728</v>
      </c>
      <c r="G271" s="246">
        <f t="shared" si="28"/>
        <v>0.24669367908787546</v>
      </c>
      <c r="H271" s="246">
        <f t="shared" si="28"/>
        <v>0.21788072611543688</v>
      </c>
      <c r="I271" s="246">
        <f t="shared" si="28"/>
        <v>2.1730429393770856</v>
      </c>
      <c r="J271" s="246">
        <v>0.3098208333333336</v>
      </c>
      <c r="K271" s="246">
        <f t="shared" ref="K271:V271" si="29">AVERAGE(K272:K283)</f>
        <v>0.16097331417624519</v>
      </c>
      <c r="L271" s="246">
        <f t="shared" si="29"/>
        <v>1.9322944228154739</v>
      </c>
      <c r="M271" s="246">
        <f t="shared" si="29"/>
        <v>0.45949849060684711</v>
      </c>
      <c r="N271" s="246">
        <f t="shared" si="29"/>
        <v>1.2417423952539857</v>
      </c>
      <c r="O271" s="246">
        <f t="shared" si="29"/>
        <v>5.5392897951427509</v>
      </c>
      <c r="P271" s="246">
        <f t="shared" si="29"/>
        <v>0.15824125015449264</v>
      </c>
      <c r="Q271" s="246">
        <f t="shared" si="29"/>
        <v>0.42728986126560375</v>
      </c>
      <c r="R271" s="246">
        <f t="shared" si="29"/>
        <v>1.272619306637004</v>
      </c>
      <c r="S271" s="246">
        <f t="shared" si="29"/>
        <v>5.1832986342850079E-2</v>
      </c>
      <c r="T271" s="246">
        <f t="shared" si="29"/>
        <v>1.1241922487949574</v>
      </c>
      <c r="U271" s="246">
        <f t="shared" si="29"/>
        <v>0.51657847670250934</v>
      </c>
      <c r="V271" s="246">
        <f t="shared" si="29"/>
        <v>0.6252694793597825</v>
      </c>
      <c r="W271" s="246">
        <v>0.36308365776789026</v>
      </c>
      <c r="X271" s="246">
        <f t="shared" ref="X271:Z271" si="30">AVERAGE(X272:X283)</f>
        <v>1.9527351378074407E-2</v>
      </c>
      <c r="Y271" s="246">
        <f t="shared" si="30"/>
        <v>9.5912459831911989E-2</v>
      </c>
      <c r="Z271" s="246">
        <f t="shared" si="30"/>
        <v>1.3442748115189718E-2</v>
      </c>
      <c r="AA271" s="246">
        <v>1.839138337350142</v>
      </c>
      <c r="AB271" s="246">
        <f t="shared" ref="AB271:AH271" si="31">AVERAGE(AB272:AB283)</f>
        <v>0.48569999999999963</v>
      </c>
      <c r="AC271" s="246">
        <f t="shared" si="31"/>
        <v>4.237767117785194E-2</v>
      </c>
      <c r="AD271" s="246">
        <f t="shared" si="31"/>
        <v>2.0323646953405012E-2</v>
      </c>
      <c r="AE271" s="246">
        <f t="shared" si="31"/>
        <v>0.45305418458781355</v>
      </c>
      <c r="AF271" s="246">
        <f t="shared" si="31"/>
        <v>0.12477699697194415</v>
      </c>
      <c r="AG271" s="246">
        <f t="shared" si="31"/>
        <v>1.0291815214435796</v>
      </c>
      <c r="AH271" s="246">
        <f t="shared" si="31"/>
        <v>7.3263929365962169E-2</v>
      </c>
      <c r="AI271" s="246"/>
      <c r="AJ271" s="246"/>
      <c r="AK271" s="246"/>
      <c r="AL271" s="246"/>
      <c r="AM271" s="246"/>
      <c r="AN271" s="246"/>
      <c r="AO271" s="892" t="s">
        <v>3971</v>
      </c>
    </row>
    <row r="272" spans="1:41" ht="13.15" customHeight="1">
      <c r="A272" s="892" t="s">
        <v>18</v>
      </c>
      <c r="B272" s="231">
        <v>1.7000000000000008</v>
      </c>
      <c r="C272" s="231">
        <v>1.8577516129032261</v>
      </c>
      <c r="D272" s="231">
        <v>1.1328387096774195</v>
      </c>
      <c r="E272" s="231">
        <v>0.46285483870967731</v>
      </c>
      <c r="F272" s="231">
        <v>0.23737741935483869</v>
      </c>
      <c r="G272" s="231">
        <v>0.24914193548387098</v>
      </c>
      <c r="H272" s="231">
        <v>0.21748064516129031</v>
      </c>
      <c r="I272" s="231">
        <v>2.1621161290322584</v>
      </c>
      <c r="J272" s="231">
        <v>4.0000000000000027E-3</v>
      </c>
      <c r="K272" s="231">
        <v>0.16478709677419356</v>
      </c>
      <c r="L272" s="231">
        <v>1.9847451612903229</v>
      </c>
      <c r="M272" s="231">
        <v>0.45886451612903223</v>
      </c>
      <c r="N272" s="231">
        <v>1.2689193548387097</v>
      </c>
      <c r="O272" s="231">
        <v>5.527996774193551</v>
      </c>
      <c r="P272" s="231">
        <v>0.16399999999999995</v>
      </c>
      <c r="Q272" s="231">
        <v>0.42592580645161293</v>
      </c>
      <c r="R272" s="231">
        <v>1.2745870967741937</v>
      </c>
      <c r="S272" s="231">
        <v>5.6629032258064524E-2</v>
      </c>
      <c r="T272" s="231">
        <v>1.1679225806451612</v>
      </c>
      <c r="U272" s="231">
        <v>0.51830645161290356</v>
      </c>
      <c r="V272" s="231">
        <v>0.63597419354838702</v>
      </c>
      <c r="W272" s="231">
        <v>3.7677419354838703E-3</v>
      </c>
      <c r="X272" s="231">
        <v>1.9048387096774203E-2</v>
      </c>
      <c r="Y272" s="231">
        <v>9.6719354838709665E-2</v>
      </c>
      <c r="Z272" s="231">
        <v>1.3725806451612898E-2</v>
      </c>
      <c r="AA272" s="231">
        <v>1.902258064516129E-2</v>
      </c>
      <c r="AB272" s="231">
        <v>0.48569999999999969</v>
      </c>
      <c r="AC272" s="231">
        <v>4.4877419354838688E-2</v>
      </c>
      <c r="AD272" s="231">
        <v>2.0451612903225801E-2</v>
      </c>
      <c r="AE272" s="231">
        <v>0.45330000000000009</v>
      </c>
      <c r="AF272" s="231">
        <v>0.12863548387096779</v>
      </c>
      <c r="AG272" s="231">
        <v>1.0524096774193548</v>
      </c>
      <c r="AH272" s="231">
        <v>7.5164516129032258E-2</v>
      </c>
      <c r="AI272" s="231"/>
      <c r="AJ272" s="231"/>
      <c r="AK272" s="231"/>
      <c r="AL272" s="231"/>
      <c r="AM272" s="231"/>
      <c r="AN272" s="231"/>
      <c r="AO272" s="891" t="s">
        <v>18</v>
      </c>
    </row>
    <row r="273" spans="1:41" ht="13.15" customHeight="1">
      <c r="A273" s="892" t="s">
        <v>19</v>
      </c>
      <c r="B273" s="231">
        <v>1.7000000000000006</v>
      </c>
      <c r="C273" s="231">
        <v>1.8352827586206895</v>
      </c>
      <c r="D273" s="231">
        <v>1.1105310344827588</v>
      </c>
      <c r="E273" s="231">
        <v>0.46280689655172397</v>
      </c>
      <c r="F273" s="231">
        <v>0.23633793103448281</v>
      </c>
      <c r="G273" s="231">
        <v>0.2461793103448276</v>
      </c>
      <c r="H273" s="231">
        <v>0.21735172413793097</v>
      </c>
      <c r="I273" s="231">
        <v>2.1479517241379313</v>
      </c>
      <c r="J273" s="231">
        <v>4.0000000000000027E-3</v>
      </c>
      <c r="K273" s="231">
        <v>0.16309310344827585</v>
      </c>
      <c r="L273" s="231">
        <v>1.9418793103448271</v>
      </c>
      <c r="M273" s="231">
        <v>0.46612758620689654</v>
      </c>
      <c r="N273" s="231">
        <v>1.2610655172413792</v>
      </c>
      <c r="O273" s="231">
        <v>5.5227068965517221</v>
      </c>
      <c r="P273" s="231">
        <v>0.1611758620689655</v>
      </c>
      <c r="Q273" s="231">
        <v>0.4241758620689654</v>
      </c>
      <c r="R273" s="231">
        <v>1.2646310344827587</v>
      </c>
      <c r="S273" s="231">
        <v>5.5213793103448268E-2</v>
      </c>
      <c r="T273" s="231">
        <v>1.1381482758620691</v>
      </c>
      <c r="U273" s="231">
        <v>0.51950000000000029</v>
      </c>
      <c r="V273" s="231">
        <v>0.6407448275862071</v>
      </c>
      <c r="W273" s="231">
        <v>3.7931034482758608E-3</v>
      </c>
      <c r="X273" s="231">
        <v>1.902068965517242E-2</v>
      </c>
      <c r="Y273" s="231">
        <v>9.5575862068965498E-2</v>
      </c>
      <c r="Z273" s="231">
        <v>1.363448275862069E-2</v>
      </c>
      <c r="AA273" s="231">
        <v>1.8551724137931019E-2</v>
      </c>
      <c r="AB273" s="231">
        <v>0.48569999999999969</v>
      </c>
      <c r="AC273" s="231">
        <v>4.4755172413793107E-2</v>
      </c>
      <c r="AD273" s="231">
        <v>2.0500000000000001E-2</v>
      </c>
      <c r="AE273" s="231">
        <v>0.45330000000000004</v>
      </c>
      <c r="AF273" s="231">
        <v>0.12769310344827584</v>
      </c>
      <c r="AG273" s="231">
        <v>1.0419896551724142</v>
      </c>
      <c r="AH273" s="231">
        <v>7.2775862068965538E-2</v>
      </c>
      <c r="AI273" s="231"/>
      <c r="AJ273" s="231"/>
      <c r="AK273" s="231"/>
      <c r="AL273" s="231"/>
      <c r="AM273" s="231"/>
      <c r="AN273" s="231"/>
      <c r="AO273" s="891" t="s">
        <v>19</v>
      </c>
    </row>
    <row r="274" spans="1:41" ht="13.15" customHeight="1">
      <c r="A274" s="892" t="s">
        <v>20</v>
      </c>
      <c r="B274" s="231">
        <v>1.7000000000000008</v>
      </c>
      <c r="C274" s="231">
        <v>1.8468806451612914</v>
      </c>
      <c r="D274" s="231">
        <v>1.1127193548387098</v>
      </c>
      <c r="E274" s="231">
        <v>0.4628548387096772</v>
      </c>
      <c r="F274" s="231">
        <v>0.236083870967742</v>
      </c>
      <c r="G274" s="231">
        <v>0.24770322580645152</v>
      </c>
      <c r="H274" s="231">
        <v>0.21732580645161279</v>
      </c>
      <c r="I274" s="231">
        <v>2.1603483870967737</v>
      </c>
      <c r="J274" s="231">
        <v>4.0000000000000027E-3</v>
      </c>
      <c r="K274" s="231">
        <v>0.16342258064516121</v>
      </c>
      <c r="L274" s="231">
        <v>1.9161774193548387</v>
      </c>
      <c r="M274" s="231">
        <v>0.4684838709677418</v>
      </c>
      <c r="N274" s="231">
        <v>1.2554161290322576</v>
      </c>
      <c r="O274" s="231">
        <v>5.528332258064518</v>
      </c>
      <c r="P274" s="231">
        <v>0.16010322580645156</v>
      </c>
      <c r="Q274" s="231">
        <v>0.42862258064516129</v>
      </c>
      <c r="R274" s="231">
        <v>1.2678677419354836</v>
      </c>
      <c r="S274" s="231">
        <v>5.3038709677419353E-2</v>
      </c>
      <c r="T274" s="231">
        <v>1.1363258064516133</v>
      </c>
      <c r="U274" s="231">
        <v>0.51950000000000029</v>
      </c>
      <c r="V274" s="231">
        <v>0.6336709677419351</v>
      </c>
      <c r="W274" s="231">
        <v>3.7999999999999987E-3</v>
      </c>
      <c r="X274" s="231">
        <v>1.9012903225806461E-2</v>
      </c>
      <c r="Y274" s="231">
        <v>9.6358064516129036E-2</v>
      </c>
      <c r="Z274" s="231">
        <v>1.3554838709677424E-2</v>
      </c>
      <c r="AA274" s="231">
        <v>1.8535483870967741E-2</v>
      </c>
      <c r="AB274" s="231">
        <v>0.48569999999999969</v>
      </c>
      <c r="AC274" s="231">
        <v>4.395483870967741E-2</v>
      </c>
      <c r="AD274" s="231">
        <v>2.0487096774193549E-2</v>
      </c>
      <c r="AE274" s="231">
        <v>0.45330000000000009</v>
      </c>
      <c r="AF274" s="231">
        <v>0.12741935483870961</v>
      </c>
      <c r="AG274" s="231">
        <v>1.034251612903226</v>
      </c>
      <c r="AH274" s="231">
        <v>7.303225806451609E-2</v>
      </c>
      <c r="AI274" s="231"/>
      <c r="AJ274" s="231"/>
      <c r="AK274" s="231"/>
      <c r="AL274" s="231"/>
      <c r="AM274" s="231"/>
      <c r="AN274" s="231"/>
      <c r="AO274" s="891" t="s">
        <v>20</v>
      </c>
    </row>
    <row r="275" spans="1:41" ht="13.15" customHeight="1">
      <c r="A275" s="892" t="s">
        <v>21</v>
      </c>
      <c r="B275" s="231">
        <v>1.7000000000000006</v>
      </c>
      <c r="C275" s="231">
        <v>1.8270299999999997</v>
      </c>
      <c r="D275" s="231">
        <v>1.1087</v>
      </c>
      <c r="E275" s="231">
        <v>0.4628833333333332</v>
      </c>
      <c r="F275" s="231">
        <v>0.23486000000000001</v>
      </c>
      <c r="G275" s="231">
        <v>0.24493333333333336</v>
      </c>
      <c r="H275" s="231">
        <v>0.21711333333333335</v>
      </c>
      <c r="I275" s="231">
        <v>2.1316366666666666</v>
      </c>
      <c r="J275" s="231">
        <v>4.0000000000000027E-3</v>
      </c>
      <c r="K275" s="231">
        <v>0.15772666666666668</v>
      </c>
      <c r="L275" s="231">
        <v>1.87198</v>
      </c>
      <c r="M275" s="231">
        <v>0.45319333333333339</v>
      </c>
      <c r="N275" s="231">
        <v>1.2453633333333334</v>
      </c>
      <c r="O275" s="231">
        <v>5.5224566666666659</v>
      </c>
      <c r="P275" s="231">
        <v>0.15640000000000004</v>
      </c>
      <c r="Q275" s="231">
        <v>0.42463666666666644</v>
      </c>
      <c r="R275" s="231">
        <v>1.2541600000000004</v>
      </c>
      <c r="S275" s="231">
        <v>5.2543333333333338E-2</v>
      </c>
      <c r="T275" s="231">
        <v>1.1075533333333332</v>
      </c>
      <c r="U275" s="231">
        <v>0.51950000000000029</v>
      </c>
      <c r="V275" s="231">
        <v>0.63521333333333319</v>
      </c>
      <c r="W275" s="231">
        <v>3.7999999999999987E-3</v>
      </c>
      <c r="X275" s="231">
        <v>1.9090000000000003E-2</v>
      </c>
      <c r="Y275" s="231">
        <v>9.5810000000000006E-2</v>
      </c>
      <c r="Z275" s="231">
        <v>1.341333333333334E-2</v>
      </c>
      <c r="AA275" s="231">
        <v>1.828666666666667E-2</v>
      </c>
      <c r="AB275" s="231">
        <v>0.48569999999999969</v>
      </c>
      <c r="AC275" s="231">
        <v>4.3229999999999991E-2</v>
      </c>
      <c r="AD275" s="231">
        <v>2.0396666666666653E-2</v>
      </c>
      <c r="AE275" s="231">
        <v>0.45322000000000018</v>
      </c>
      <c r="AF275" s="231">
        <v>0.12436333333333337</v>
      </c>
      <c r="AG275" s="231">
        <v>1.0145533333333332</v>
      </c>
      <c r="AH275" s="231">
        <v>7.2293333333333321E-2</v>
      </c>
      <c r="AI275" s="231"/>
      <c r="AJ275" s="231"/>
      <c r="AK275" s="231"/>
      <c r="AL275" s="231"/>
      <c r="AM275" s="231"/>
      <c r="AN275" s="231"/>
      <c r="AO275" s="891" t="s">
        <v>21</v>
      </c>
    </row>
    <row r="276" spans="1:41" ht="13.15" customHeight="1">
      <c r="A276" s="892" t="s">
        <v>22</v>
      </c>
      <c r="B276" s="231">
        <v>1.7000000000000008</v>
      </c>
      <c r="C276" s="231">
        <v>1.8356677419354839</v>
      </c>
      <c r="D276" s="231">
        <v>1.1244645161290321</v>
      </c>
      <c r="E276" s="231">
        <v>0.46281612903225783</v>
      </c>
      <c r="F276" s="231">
        <v>0.23498387096774195</v>
      </c>
      <c r="G276" s="231">
        <v>0.24608387096774192</v>
      </c>
      <c r="H276" s="231">
        <v>0.21764516129032258</v>
      </c>
      <c r="I276" s="231">
        <v>2.1451645161290323</v>
      </c>
      <c r="J276" s="231">
        <v>4.0000000000000027E-3</v>
      </c>
      <c r="K276" s="231">
        <v>0.15775483870967738</v>
      </c>
      <c r="L276" s="231">
        <v>1.8680064516129036</v>
      </c>
      <c r="M276" s="231">
        <v>0.45932258064516124</v>
      </c>
      <c r="N276" s="231">
        <v>1.2426935483870967</v>
      </c>
      <c r="O276" s="231">
        <v>5.5318129032258074</v>
      </c>
      <c r="P276" s="231">
        <v>0.15770967741935485</v>
      </c>
      <c r="Q276" s="231">
        <v>0.42835483870967728</v>
      </c>
      <c r="R276" s="231">
        <v>1.2575870967741942</v>
      </c>
      <c r="S276" s="231">
        <v>5.2680645161290292E-2</v>
      </c>
      <c r="T276" s="231">
        <v>1.0912967741935484</v>
      </c>
      <c r="U276" s="231">
        <v>0.51950000000000029</v>
      </c>
      <c r="V276" s="231">
        <v>0.62539354838709682</v>
      </c>
      <c r="W276" s="231">
        <v>3.8258064516129022E-3</v>
      </c>
      <c r="X276" s="231">
        <v>1.9238709677419349E-2</v>
      </c>
      <c r="Y276" s="231">
        <v>9.6232258064516116E-2</v>
      </c>
      <c r="Z276" s="231">
        <v>1.3406451612903233E-2</v>
      </c>
      <c r="AA276" s="231">
        <v>1.8680645161290324E-2</v>
      </c>
      <c r="AB276" s="231">
        <v>0.48569999999999969</v>
      </c>
      <c r="AC276" s="231">
        <v>4.2819354838709689E-2</v>
      </c>
      <c r="AD276" s="231">
        <v>2.040645161290321E-2</v>
      </c>
      <c r="AE276" s="231">
        <v>0.45329354838709685</v>
      </c>
      <c r="AF276" s="231">
        <v>0.12449032258064516</v>
      </c>
      <c r="AG276" s="231">
        <v>1.0292806451612906</v>
      </c>
      <c r="AH276" s="231">
        <v>7.3935483870967753E-2</v>
      </c>
      <c r="AI276" s="231"/>
      <c r="AJ276" s="231"/>
      <c r="AK276" s="231"/>
      <c r="AL276" s="231"/>
      <c r="AM276" s="231"/>
      <c r="AN276" s="231"/>
      <c r="AO276" s="891" t="s">
        <v>22</v>
      </c>
    </row>
    <row r="277" spans="1:41" ht="13.15" customHeight="1">
      <c r="A277" s="892" t="s">
        <v>23</v>
      </c>
      <c r="B277" s="231">
        <v>1.7000000000000006</v>
      </c>
      <c r="C277" s="231">
        <v>1.8312666666666664</v>
      </c>
      <c r="D277" s="231">
        <v>1.1294933333333335</v>
      </c>
      <c r="E277" s="231">
        <v>0.46279999999999977</v>
      </c>
      <c r="F277" s="231">
        <v>0.23434000000000005</v>
      </c>
      <c r="G277" s="231">
        <v>0.24550666666666657</v>
      </c>
      <c r="H277" s="231">
        <v>0.21770666666666666</v>
      </c>
      <c r="I277" s="231">
        <v>2.1626499999999993</v>
      </c>
      <c r="J277" s="231">
        <v>4.0000000000000027E-3</v>
      </c>
      <c r="K277" s="231">
        <v>0.16199666666666668</v>
      </c>
      <c r="L277" s="231">
        <v>1.9001933333333336</v>
      </c>
      <c r="M277" s="231">
        <v>0.45644999999999997</v>
      </c>
      <c r="N277" s="231">
        <v>1.2406900000000005</v>
      </c>
      <c r="O277" s="231">
        <v>5.5436866666666678</v>
      </c>
      <c r="P277" s="231">
        <v>0.16044666666666665</v>
      </c>
      <c r="Q277" s="231">
        <v>0.42442666666666651</v>
      </c>
      <c r="R277" s="231">
        <v>1.2576166666666666</v>
      </c>
      <c r="S277" s="231">
        <v>5.2193333333333355E-2</v>
      </c>
      <c r="T277" s="231">
        <v>1.0764333333333331</v>
      </c>
      <c r="U277" s="231">
        <v>0.51950000000000029</v>
      </c>
      <c r="V277" s="231">
        <v>0.60179999999999978</v>
      </c>
      <c r="W277" s="231">
        <v>3.7433333333333333E-3</v>
      </c>
      <c r="X277" s="231">
        <v>1.9493333333333328E-2</v>
      </c>
      <c r="Y277" s="231">
        <v>9.5956666666666635E-2</v>
      </c>
      <c r="Z277" s="231">
        <v>1.3470000000000008E-2</v>
      </c>
      <c r="AA277" s="231">
        <v>1.929666666666667E-2</v>
      </c>
      <c r="AB277" s="231">
        <v>0.48569999999999969</v>
      </c>
      <c r="AC277" s="231">
        <v>4.1973333333333335E-2</v>
      </c>
      <c r="AD277" s="231">
        <v>2.0363333333333324E-2</v>
      </c>
      <c r="AE277" s="231">
        <v>0.45318333333333316</v>
      </c>
      <c r="AF277" s="231">
        <v>0.12328666666666667</v>
      </c>
      <c r="AG277" s="231">
        <v>1.0434866666666669</v>
      </c>
      <c r="AH277" s="231">
        <v>7.3903333333333307E-2</v>
      </c>
      <c r="AI277" s="231"/>
      <c r="AJ277" s="231"/>
      <c r="AK277" s="231"/>
      <c r="AL277" s="231"/>
      <c r="AM277" s="231"/>
      <c r="AN277" s="231"/>
      <c r="AO277" s="891" t="s">
        <v>23</v>
      </c>
    </row>
    <row r="278" spans="1:41" ht="13.15" customHeight="1">
      <c r="A278" s="892" t="s">
        <v>24</v>
      </c>
      <c r="B278" s="231">
        <v>1.7000000000000008</v>
      </c>
      <c r="C278" s="231">
        <v>1.8438838709677416</v>
      </c>
      <c r="D278" s="231">
        <v>1.135045161290323</v>
      </c>
      <c r="E278" s="231">
        <v>0.46279999999999977</v>
      </c>
      <c r="F278" s="231">
        <v>0.23402258064516135</v>
      </c>
      <c r="G278" s="231">
        <v>0.24713870967741941</v>
      </c>
      <c r="H278" s="231">
        <v>0.2177</v>
      </c>
      <c r="I278" s="231">
        <v>2.185612903225806</v>
      </c>
      <c r="J278" s="231">
        <v>4.0000000000000027E-3</v>
      </c>
      <c r="K278" s="231">
        <v>0.15998709677419351</v>
      </c>
      <c r="L278" s="231">
        <v>1.9049838709677409</v>
      </c>
      <c r="M278" s="231">
        <v>0.4618741935483871</v>
      </c>
      <c r="N278" s="231">
        <v>1.2405354838709681</v>
      </c>
      <c r="O278" s="231">
        <v>5.5575903225806442</v>
      </c>
      <c r="P278" s="231">
        <v>0.15761290322580643</v>
      </c>
      <c r="Q278" s="231">
        <v>0.43046774193548376</v>
      </c>
      <c r="R278" s="231">
        <v>1.2626096774193551</v>
      </c>
      <c r="S278" s="231">
        <v>5.1648387096774183E-2</v>
      </c>
      <c r="T278" s="231">
        <v>1.0766451612903227</v>
      </c>
      <c r="U278" s="231">
        <v>0.51950000000000029</v>
      </c>
      <c r="V278" s="231">
        <v>0.62235806451612907</v>
      </c>
      <c r="W278" s="231">
        <v>3.5806451612903248E-3</v>
      </c>
      <c r="X278" s="231">
        <v>1.9893548387096786E-2</v>
      </c>
      <c r="Y278" s="231">
        <v>9.5890322580645143E-2</v>
      </c>
      <c r="Z278" s="231">
        <v>1.3500000000000009E-2</v>
      </c>
      <c r="AA278" s="231">
        <v>1.9425806451612907E-2</v>
      </c>
      <c r="AB278" s="231">
        <v>0.48569999999999969</v>
      </c>
      <c r="AC278" s="231">
        <v>4.144838709677421E-2</v>
      </c>
      <c r="AD278" s="231">
        <v>2.0341935483870959E-2</v>
      </c>
      <c r="AE278" s="231">
        <v>0.45318064516129025</v>
      </c>
      <c r="AF278" s="231">
        <v>0.12289677419354834</v>
      </c>
      <c r="AG278" s="231">
        <v>1.0252967741935484</v>
      </c>
      <c r="AH278" s="231">
        <v>7.2932258064516114E-2</v>
      </c>
      <c r="AI278" s="231"/>
      <c r="AJ278" s="231"/>
      <c r="AK278" s="231"/>
      <c r="AL278" s="231"/>
      <c r="AM278" s="231"/>
      <c r="AN278" s="231"/>
      <c r="AO278" s="891" t="s">
        <v>24</v>
      </c>
    </row>
    <row r="279" spans="1:41" ht="13.15" customHeight="1">
      <c r="A279" s="892" t="s">
        <v>25</v>
      </c>
      <c r="B279" s="231">
        <v>1.7000000000000008</v>
      </c>
      <c r="C279" s="231">
        <v>1.8703903225806457</v>
      </c>
      <c r="D279" s="231">
        <v>1.1300129032258068</v>
      </c>
      <c r="E279" s="231">
        <v>0.46282258064516102</v>
      </c>
      <c r="F279" s="231">
        <v>0.23756451612903226</v>
      </c>
      <c r="G279" s="231">
        <v>0.25066774193548386</v>
      </c>
      <c r="H279" s="231">
        <v>0.21805806451612905</v>
      </c>
      <c r="I279" s="231">
        <v>2.1971451612903228</v>
      </c>
      <c r="J279" s="231">
        <v>4.0000000000000027E-3</v>
      </c>
      <c r="K279" s="231">
        <v>0.16317419354838705</v>
      </c>
      <c r="L279" s="231">
        <v>1.977712903225807</v>
      </c>
      <c r="M279" s="231">
        <v>0.45559354838709687</v>
      </c>
      <c r="N279" s="231">
        <v>1.242870967741935</v>
      </c>
      <c r="O279" s="231">
        <v>5.5612580645161289</v>
      </c>
      <c r="P279" s="231">
        <v>0.15871935483870969</v>
      </c>
      <c r="Q279" s="231">
        <v>0.43564193548387081</v>
      </c>
      <c r="R279" s="231">
        <v>1.2908451612903225</v>
      </c>
      <c r="S279" s="231">
        <v>5.0503225806451627E-2</v>
      </c>
      <c r="T279" s="231">
        <v>1.1596741935483867</v>
      </c>
      <c r="U279" s="231">
        <v>0.51950000000000029</v>
      </c>
      <c r="V279" s="231">
        <v>0.62966774193548414</v>
      </c>
      <c r="W279" s="231">
        <v>3.5451612903225822E-3</v>
      </c>
      <c r="X279" s="231">
        <v>2.002580645161291E-2</v>
      </c>
      <c r="Y279" s="231">
        <v>9.7025806451612892E-2</v>
      </c>
      <c r="Z279" s="231">
        <v>1.3451612903225819E-2</v>
      </c>
      <c r="AA279" s="231">
        <v>1.9125806451612899E-2</v>
      </c>
      <c r="AB279" s="231">
        <v>0.48569999999999969</v>
      </c>
      <c r="AC279" s="231">
        <v>4.12741935483871E-2</v>
      </c>
      <c r="AD279" s="231">
        <v>2.0277419354838701E-2</v>
      </c>
      <c r="AE279" s="231">
        <v>0.4530032258064513</v>
      </c>
      <c r="AF279" s="231">
        <v>0.12568709677419354</v>
      </c>
      <c r="AG279" s="231">
        <v>1.0327483870967742</v>
      </c>
      <c r="AH279" s="231">
        <v>7.4261290322580636E-2</v>
      </c>
      <c r="AI279" s="231"/>
      <c r="AJ279" s="231"/>
      <c r="AK279" s="231"/>
      <c r="AL279" s="231"/>
      <c r="AM279" s="231"/>
      <c r="AN279" s="231"/>
      <c r="AO279" s="891" t="s">
        <v>25</v>
      </c>
    </row>
    <row r="280" spans="1:41" ht="13.15" customHeight="1">
      <c r="A280" s="892" t="s">
        <v>26</v>
      </c>
      <c r="B280" s="231">
        <v>1.7000000000000006</v>
      </c>
      <c r="C280" s="231">
        <v>1.8888199999999999</v>
      </c>
      <c r="D280" s="231">
        <v>1.1517500000000003</v>
      </c>
      <c r="E280" s="231">
        <v>0.46280333333333312</v>
      </c>
      <c r="F280" s="231">
        <v>0.24029999999999996</v>
      </c>
      <c r="G280" s="231">
        <v>0.25319333333333344</v>
      </c>
      <c r="H280" s="231">
        <v>0.21818333333333334</v>
      </c>
      <c r="I280" s="231">
        <v>2.2473699999999996</v>
      </c>
      <c r="J280" s="231">
        <v>4.0000000000000027E-3</v>
      </c>
      <c r="K280" s="231">
        <v>0.16631666666666661</v>
      </c>
      <c r="L280" s="231">
        <v>2.0068066666666664</v>
      </c>
      <c r="M280" s="231">
        <v>0.45639333333333332</v>
      </c>
      <c r="N280" s="231">
        <v>1.2559899999999995</v>
      </c>
      <c r="O280" s="231">
        <v>5.569893333333332</v>
      </c>
      <c r="P280" s="231">
        <v>0.1602733333333333</v>
      </c>
      <c r="Q280" s="231">
        <v>0.44154999999999983</v>
      </c>
      <c r="R280" s="231">
        <v>1.3119866666666666</v>
      </c>
      <c r="S280" s="231">
        <v>4.9906666666666696E-2</v>
      </c>
      <c r="T280" s="231">
        <v>1.1874033333333334</v>
      </c>
      <c r="U280" s="231">
        <v>0.51950000000000029</v>
      </c>
      <c r="V280" s="231">
        <v>0.62805333333333357</v>
      </c>
      <c r="W280" s="231">
        <v>3.5133333333333353E-3</v>
      </c>
      <c r="X280" s="231">
        <v>2.0079999999999997E-2</v>
      </c>
      <c r="Y280" s="231">
        <v>9.7863333333333344E-2</v>
      </c>
      <c r="Z280" s="231">
        <v>1.3369999999999998E-2</v>
      </c>
      <c r="AA280" s="231">
        <v>1.8730000000000004E-2</v>
      </c>
      <c r="AB280" s="231">
        <v>0.48569999999999969</v>
      </c>
      <c r="AC280" s="231">
        <v>4.1206666666666676E-2</v>
      </c>
      <c r="AD280" s="231">
        <v>2.0286666666666658E-2</v>
      </c>
      <c r="AE280" s="231">
        <v>0.45302000000000003</v>
      </c>
      <c r="AF280" s="231">
        <v>0.12779000000000001</v>
      </c>
      <c r="AG280" s="231">
        <v>1.0585133333333332</v>
      </c>
      <c r="AH280" s="231">
        <v>7.5273333333333317E-2</v>
      </c>
      <c r="AI280" s="231"/>
      <c r="AJ280" s="231"/>
      <c r="AK280" s="231"/>
      <c r="AL280" s="231"/>
      <c r="AM280" s="231"/>
      <c r="AN280" s="231"/>
      <c r="AO280" s="891" t="s">
        <v>26</v>
      </c>
    </row>
    <row r="281" spans="1:41" ht="13.15" customHeight="1">
      <c r="A281" s="892" t="s">
        <v>27</v>
      </c>
      <c r="B281" s="231">
        <v>1.7000000000000008</v>
      </c>
      <c r="C281" s="231">
        <v>1.8539322580645161</v>
      </c>
      <c r="D281" s="231">
        <v>1.1419451612903226</v>
      </c>
      <c r="E281" s="231">
        <v>0.46279999999999977</v>
      </c>
      <c r="F281" s="231">
        <v>0.23988709677419359</v>
      </c>
      <c r="G281" s="231">
        <v>0.24855161290322583</v>
      </c>
      <c r="H281" s="231">
        <v>0.21879032258064515</v>
      </c>
      <c r="I281" s="231">
        <v>2.2195354838709678</v>
      </c>
      <c r="J281" s="231">
        <v>3.999999999999998E-4</v>
      </c>
      <c r="K281" s="231">
        <v>0.16259354838709678</v>
      </c>
      <c r="L281" s="231">
        <v>1.9759032258064517</v>
      </c>
      <c r="M281" s="231">
        <v>0.45167096774193538</v>
      </c>
      <c r="N281" s="231">
        <v>1.2371612903225806</v>
      </c>
      <c r="O281" s="231">
        <v>5.5488967741935475</v>
      </c>
      <c r="P281" s="231">
        <v>0.15729999999999997</v>
      </c>
      <c r="Q281" s="231">
        <v>0.42966129032258077</v>
      </c>
      <c r="R281" s="231">
        <v>1.2982903225806453</v>
      </c>
      <c r="S281" s="231">
        <v>4.9635483870967764E-2</v>
      </c>
      <c r="T281" s="231">
        <v>1.1375483870967744</v>
      </c>
      <c r="U281" s="231">
        <v>0.51950000000000029</v>
      </c>
      <c r="V281" s="231">
        <v>0.62262258064516141</v>
      </c>
      <c r="W281" s="231">
        <v>3.4903225806451632E-3</v>
      </c>
      <c r="X281" s="231">
        <v>2.0048387096774204E-2</v>
      </c>
      <c r="Y281" s="231">
        <v>9.6296774193548415E-2</v>
      </c>
      <c r="Z281" s="231">
        <v>1.3303225806451607E-2</v>
      </c>
      <c r="AA281" s="231">
        <v>1.7677419354838707E-2</v>
      </c>
      <c r="AB281" s="231">
        <v>0.48569999999999969</v>
      </c>
      <c r="AC281" s="231">
        <v>4.1216129032258055E-2</v>
      </c>
      <c r="AD281" s="231">
        <v>2.0212903225806451E-2</v>
      </c>
      <c r="AE281" s="231">
        <v>0.45271612903225816</v>
      </c>
      <c r="AF281" s="231">
        <v>0.12495806451612899</v>
      </c>
      <c r="AG281" s="231">
        <v>1.0352806451612904</v>
      </c>
      <c r="AH281" s="231">
        <v>7.3299999999999976E-2</v>
      </c>
      <c r="AI281" s="231"/>
      <c r="AJ281" s="231"/>
      <c r="AK281" s="231"/>
      <c r="AL281" s="231"/>
      <c r="AM281" s="231"/>
      <c r="AN281" s="231"/>
      <c r="AO281" s="891" t="s">
        <v>27</v>
      </c>
    </row>
    <row r="282" spans="1:41" ht="13.15" customHeight="1">
      <c r="A282" s="892" t="s">
        <v>28</v>
      </c>
      <c r="B282" s="231">
        <v>1.7000000000000006</v>
      </c>
      <c r="C282" s="231">
        <v>1.8090333333333326</v>
      </c>
      <c r="D282" s="231">
        <v>1.11199</v>
      </c>
      <c r="E282" s="231">
        <v>0.46279999999999977</v>
      </c>
      <c r="F282" s="231">
        <v>0.23610666666666674</v>
      </c>
      <c r="G282" s="231">
        <v>0.24255666666666667</v>
      </c>
      <c r="H282" s="231">
        <v>0.21852333333333329</v>
      </c>
      <c r="I282" s="231">
        <v>2.1687133333333337</v>
      </c>
      <c r="J282" s="231">
        <v>3.9349999999999996E-2</v>
      </c>
      <c r="K282" s="231">
        <v>0.15614666666666668</v>
      </c>
      <c r="L282" s="231">
        <v>1.9322866666666667</v>
      </c>
      <c r="M282" s="231">
        <v>0.4571466666666667</v>
      </c>
      <c r="N282" s="231">
        <v>1.2169966666666667</v>
      </c>
      <c r="O282" s="231">
        <v>5.5335533333333338</v>
      </c>
      <c r="P282" s="231">
        <v>0.15377333333333335</v>
      </c>
      <c r="Q282" s="231">
        <v>0.41716333333333339</v>
      </c>
      <c r="R282" s="231">
        <v>1.272456666666667</v>
      </c>
      <c r="S282" s="231">
        <v>4.9399999999999979E-2</v>
      </c>
      <c r="T282" s="231">
        <v>1.10623</v>
      </c>
      <c r="U282" s="231">
        <v>0.51369333333333356</v>
      </c>
      <c r="V282" s="231">
        <v>0.62188999999999994</v>
      </c>
      <c r="W282" s="231">
        <v>0.3445333333333333</v>
      </c>
      <c r="X282" s="231">
        <v>1.9769999999999999E-2</v>
      </c>
      <c r="Y282" s="231">
        <v>9.4353333333333331E-2</v>
      </c>
      <c r="Z282" s="231">
        <v>1.3279999999999997E-2</v>
      </c>
      <c r="AA282" s="231">
        <v>1.691383333333333</v>
      </c>
      <c r="AB282" s="231">
        <v>0.48569999999999969</v>
      </c>
      <c r="AC282" s="231">
        <v>4.1073333333333337E-2</v>
      </c>
      <c r="AD282" s="231">
        <v>2.0150000000000005E-2</v>
      </c>
      <c r="AE282" s="231">
        <v>0.45263333333333333</v>
      </c>
      <c r="AF282" s="231">
        <v>0.12191666666666665</v>
      </c>
      <c r="AG282" s="231">
        <v>1.0058933333333333</v>
      </c>
      <c r="AH282" s="231">
        <v>7.1459999999999996E-2</v>
      </c>
      <c r="AI282" s="231">
        <v>0.91381538461538436</v>
      </c>
      <c r="AJ282" s="231">
        <v>0.35924615384615383</v>
      </c>
      <c r="AK282" s="231">
        <v>0.43539999999999995</v>
      </c>
      <c r="AL282" s="231">
        <v>0.61175384615384609</v>
      </c>
      <c r="AM282" s="231">
        <v>1.5269230769230769E-2</v>
      </c>
      <c r="AN282" s="231">
        <v>0.46624615384615403</v>
      </c>
      <c r="AO282" s="891" t="s">
        <v>28</v>
      </c>
    </row>
    <row r="283" spans="1:41" ht="13.15" customHeight="1">
      <c r="A283" s="892" t="s">
        <v>29</v>
      </c>
      <c r="B283" s="231">
        <v>1.7000000000000008</v>
      </c>
      <c r="C283" s="231">
        <v>1.7800193548387091</v>
      </c>
      <c r="D283" s="231">
        <v>1.0764354838709678</v>
      </c>
      <c r="E283" s="231">
        <v>0.46279999999999977</v>
      </c>
      <c r="F283" s="231">
        <v>0.23349677419354831</v>
      </c>
      <c r="G283" s="231">
        <v>0.23866774193548398</v>
      </c>
      <c r="H283" s="231">
        <v>0.21869032258064514</v>
      </c>
      <c r="I283" s="231">
        <v>2.1482709677419352</v>
      </c>
      <c r="J283" s="231">
        <v>3.8499999999999986E-2</v>
      </c>
      <c r="K283" s="231">
        <v>0.15468064516129026</v>
      </c>
      <c r="L283" s="231">
        <v>1.9068580645161288</v>
      </c>
      <c r="M283" s="231">
        <v>0.46886129032258078</v>
      </c>
      <c r="N283" s="231">
        <v>1.1932064516129031</v>
      </c>
      <c r="O283" s="231">
        <v>5.5232935483870964</v>
      </c>
      <c r="P283" s="231">
        <v>0.15138064516129035</v>
      </c>
      <c r="Q283" s="231">
        <v>0.41685161290322592</v>
      </c>
      <c r="R283" s="231">
        <v>1.2587935483870965</v>
      </c>
      <c r="S283" s="231">
        <v>4.8603225806451607E-2</v>
      </c>
      <c r="T283" s="231">
        <v>1.1051258064516127</v>
      </c>
      <c r="U283" s="231">
        <v>0.49144193548387111</v>
      </c>
      <c r="V283" s="231">
        <v>0.60584516129032284</v>
      </c>
      <c r="W283" s="231">
        <v>0.326525806451613</v>
      </c>
      <c r="X283" s="231">
        <v>1.9606451612903222E-2</v>
      </c>
      <c r="Y283" s="231">
        <v>9.2867741935483805E-2</v>
      </c>
      <c r="Z283" s="231">
        <v>1.3203225806451606E-2</v>
      </c>
      <c r="AA283" s="231">
        <v>1.6449967741935485</v>
      </c>
      <c r="AB283" s="231">
        <v>0.48569999999999969</v>
      </c>
      <c r="AC283" s="231">
        <v>4.0703225806451596E-2</v>
      </c>
      <c r="AD283" s="231">
        <v>2.0009677419354853E-2</v>
      </c>
      <c r="AE283" s="231">
        <v>0.45250000000000007</v>
      </c>
      <c r="AF283" s="231">
        <v>0.11818709677419358</v>
      </c>
      <c r="AG283" s="231">
        <v>0.97647419354838683</v>
      </c>
      <c r="AH283" s="231">
        <v>7.0835483870967747E-2</v>
      </c>
      <c r="AI283" s="231">
        <v>0.91031290322580627</v>
      </c>
      <c r="AJ283" s="231">
        <v>0.35781935483870975</v>
      </c>
      <c r="AK283" s="231">
        <v>0.43207419354838694</v>
      </c>
      <c r="AL283" s="231">
        <v>0.61121612903225819</v>
      </c>
      <c r="AM283" s="231">
        <v>1.5238709677419353E-2</v>
      </c>
      <c r="AN283" s="231">
        <v>0.46629354838709702</v>
      </c>
      <c r="AO283" s="891" t="s">
        <v>29</v>
      </c>
    </row>
    <row r="284" spans="1:41" ht="13.15" customHeight="1">
      <c r="A284" s="892" t="s">
        <v>4202</v>
      </c>
      <c r="B284" s="246">
        <f>AVERAGE(B285:B296)</f>
        <v>1.7000000000000004</v>
      </c>
      <c r="C284" s="246">
        <f t="shared" ref="C284:AN284" si="32">AVERAGE(C285:C296)</f>
        <v>1.9210033813364058</v>
      </c>
      <c r="D284" s="246">
        <f t="shared" si="32"/>
        <v>1.0962625588837687</v>
      </c>
      <c r="E284" s="246">
        <f t="shared" si="32"/>
        <v>0.46282841077828957</v>
      </c>
      <c r="F284" s="246">
        <f t="shared" si="32"/>
        <v>0.23652744751664104</v>
      </c>
      <c r="G284" s="246">
        <f t="shared" si="32"/>
        <v>0.25738972670250898</v>
      </c>
      <c r="H284" s="246">
        <f t="shared" si="32"/>
        <v>0.21809523361495139</v>
      </c>
      <c r="I284" s="246">
        <f t="shared" si="32"/>
        <v>2.2413076139272912</v>
      </c>
      <c r="J284" s="246">
        <f t="shared" si="32"/>
        <v>2.9059542584058708E-2</v>
      </c>
      <c r="K284" s="246">
        <f t="shared" si="32"/>
        <v>0.17362161354326675</v>
      </c>
      <c r="L284" s="246">
        <f t="shared" si="32"/>
        <v>2.0508449788786485</v>
      </c>
      <c r="M284" s="246">
        <f t="shared" si="32"/>
        <v>0.4934129941116232</v>
      </c>
      <c r="N284" s="246">
        <f t="shared" si="32"/>
        <v>1.2164283211725551</v>
      </c>
      <c r="O284" s="246">
        <f t="shared" si="32"/>
        <v>5.5404538850486418</v>
      </c>
      <c r="P284" s="246">
        <f t="shared" si="32"/>
        <v>0.16381957117255508</v>
      </c>
      <c r="Q284" s="246">
        <f t="shared" si="32"/>
        <v>0.45300613351254482</v>
      </c>
      <c r="R284" s="246">
        <f t="shared" si="32"/>
        <v>1.3010996319764465</v>
      </c>
      <c r="S284" s="246">
        <f t="shared" si="32"/>
        <v>4.3201799155145937E-2</v>
      </c>
      <c r="T284" s="246">
        <f t="shared" si="32"/>
        <v>1.1375331784434202</v>
      </c>
      <c r="U284" s="246">
        <f t="shared" si="32"/>
        <v>0.55091023681515627</v>
      </c>
      <c r="V284" s="246">
        <f t="shared" si="32"/>
        <v>0.62054923515104965</v>
      </c>
      <c r="W284" s="246">
        <f t="shared" si="32"/>
        <v>0.32648024449564772</v>
      </c>
      <c r="X284" s="246">
        <f t="shared" si="32"/>
        <v>1.9485872375832047E-2</v>
      </c>
      <c r="Y284" s="246">
        <f t="shared" si="32"/>
        <v>9.8230843573988744E-2</v>
      </c>
      <c r="Z284" s="246">
        <f t="shared" si="32"/>
        <v>1.3523826804915514E-2</v>
      </c>
      <c r="AA284" s="246">
        <f t="shared" si="32"/>
        <v>2.0433807488479263</v>
      </c>
      <c r="AB284" s="246">
        <f t="shared" si="32"/>
        <v>0.48569999999999963</v>
      </c>
      <c r="AC284" s="246">
        <f t="shared" si="32"/>
        <v>4.0778272529441877E-2</v>
      </c>
      <c r="AD284" s="246">
        <f t="shared" si="32"/>
        <v>1.9513157322068611E-2</v>
      </c>
      <c r="AE284" s="246">
        <f t="shared" si="32"/>
        <v>0.45318032578084999</v>
      </c>
      <c r="AF284" s="246">
        <f t="shared" si="32"/>
        <v>0.11965973630312336</v>
      </c>
      <c r="AG284" s="246">
        <f t="shared" si="32"/>
        <v>0.98954460445468528</v>
      </c>
      <c r="AH284" s="246">
        <f t="shared" si="32"/>
        <v>7.7832455837173561E-2</v>
      </c>
      <c r="AI284" s="246">
        <f t="shared" si="32"/>
        <v>0.98213563556067596</v>
      </c>
      <c r="AJ284" s="246">
        <f t="shared" si="32"/>
        <v>0.38102495007680487</v>
      </c>
      <c r="AK284" s="246">
        <f t="shared" si="32"/>
        <v>0.48338527969790057</v>
      </c>
      <c r="AL284" s="246">
        <f t="shared" si="32"/>
        <v>0.60366331029185871</v>
      </c>
      <c r="AM284" s="246">
        <f t="shared" si="32"/>
        <v>1.6390069124423964E-2</v>
      </c>
      <c r="AN284" s="246">
        <f t="shared" si="32"/>
        <v>0.46636787506400418</v>
      </c>
      <c r="AO284" s="892" t="s">
        <v>4202</v>
      </c>
    </row>
    <row r="285" spans="1:41" ht="13.15" customHeight="1">
      <c r="A285" s="892" t="s">
        <v>18</v>
      </c>
      <c r="B285" s="231">
        <v>1.7000000000000008</v>
      </c>
      <c r="C285" s="231">
        <v>1.7620709677419355</v>
      </c>
      <c r="D285" s="231">
        <v>1.0588096774193545</v>
      </c>
      <c r="E285" s="231">
        <v>0.46279999999999977</v>
      </c>
      <c r="F285" s="231">
        <v>0.23294838709677423</v>
      </c>
      <c r="G285" s="231">
        <v>0.23620000000000008</v>
      </c>
      <c r="H285" s="231">
        <v>0.21846774193548396</v>
      </c>
      <c r="I285" s="231">
        <v>2.1034451612903222</v>
      </c>
      <c r="J285" s="231">
        <v>3.1145161290322573E-2</v>
      </c>
      <c r="K285" s="231">
        <v>0.15350645161290324</v>
      </c>
      <c r="L285" s="231">
        <v>1.8716774193548387</v>
      </c>
      <c r="M285" s="231">
        <v>0.46871935483870969</v>
      </c>
      <c r="N285" s="231">
        <v>1.181316129032258</v>
      </c>
      <c r="O285" s="231">
        <v>5.5127741935483874</v>
      </c>
      <c r="P285" s="231">
        <v>0.14990322580645168</v>
      </c>
      <c r="Q285" s="231">
        <v>0.41466451612903227</v>
      </c>
      <c r="R285" s="231">
        <v>1.2491903225806453</v>
      </c>
      <c r="S285" s="231">
        <v>4.7922580645161313E-2</v>
      </c>
      <c r="T285" s="231">
        <v>1.0852193548387097</v>
      </c>
      <c r="U285" s="231">
        <v>0.48893225806451629</v>
      </c>
      <c r="V285" s="231">
        <v>0.59910967741935506</v>
      </c>
      <c r="W285" s="231">
        <v>0.32410645161290325</v>
      </c>
      <c r="X285" s="231">
        <v>1.9512903225806448E-2</v>
      </c>
      <c r="Y285" s="231">
        <v>9.164838709677417E-2</v>
      </c>
      <c r="Z285" s="231">
        <v>1.3122580645161292E-2</v>
      </c>
      <c r="AA285" s="231">
        <v>1.6639322580645166</v>
      </c>
      <c r="AB285" s="231">
        <v>0.48569999999999969</v>
      </c>
      <c r="AC285" s="231">
        <v>4.036451612903226E-2</v>
      </c>
      <c r="AD285" s="231">
        <v>1.9719354838709676E-2</v>
      </c>
      <c r="AE285" s="231">
        <v>0.45298387096774195</v>
      </c>
      <c r="AF285" s="231">
        <v>0.11690645161290321</v>
      </c>
      <c r="AG285" s="231">
        <v>0.95753225806451592</v>
      </c>
      <c r="AH285" s="231">
        <v>7.0025806451612882E-2</v>
      </c>
      <c r="AI285" s="231">
        <v>0.90107741935483865</v>
      </c>
      <c r="AJ285" s="231">
        <v>0.35414193548387091</v>
      </c>
      <c r="AK285" s="231">
        <v>0.42808709677419349</v>
      </c>
      <c r="AL285" s="231">
        <v>0.61006774193548385</v>
      </c>
      <c r="AM285" s="231">
        <v>1.5058064516129035E-2</v>
      </c>
      <c r="AN285" s="231">
        <v>0.46632580645161309</v>
      </c>
      <c r="AO285" s="892" t="s">
        <v>18</v>
      </c>
    </row>
    <row r="286" spans="1:41" ht="13.15" customHeight="1">
      <c r="A286" s="892" t="s">
        <v>19</v>
      </c>
      <c r="B286" s="231">
        <v>1.7000000000000006</v>
      </c>
      <c r="C286" s="231">
        <v>1.7707892857142853</v>
      </c>
      <c r="D286" s="231">
        <v>1.0710428571428572</v>
      </c>
      <c r="E286" s="231">
        <v>0.46281071428571402</v>
      </c>
      <c r="F286" s="231">
        <v>0.23383571428571431</v>
      </c>
      <c r="G286" s="231">
        <v>0.23737500000000003</v>
      </c>
      <c r="H286" s="231">
        <v>0.21841785714285716</v>
      </c>
      <c r="I286" s="231">
        <v>2.1292285714285715</v>
      </c>
      <c r="J286" s="231">
        <v>2.667857142857143E-2</v>
      </c>
      <c r="K286" s="231">
        <v>0.15716785714285716</v>
      </c>
      <c r="L286" s="231">
        <v>1.8799107142857141</v>
      </c>
      <c r="M286" s="231">
        <v>0.47678571428571442</v>
      </c>
      <c r="N286" s="231">
        <v>1.1885607142857142</v>
      </c>
      <c r="O286" s="231">
        <v>5.5080928571428567</v>
      </c>
      <c r="P286" s="231">
        <v>0.15178571428571433</v>
      </c>
      <c r="Q286" s="231">
        <v>0.42382500000000001</v>
      </c>
      <c r="R286" s="231">
        <v>1.262332142857143</v>
      </c>
      <c r="S286" s="231">
        <v>4.6996428571428564E-2</v>
      </c>
      <c r="T286" s="231">
        <v>1.1190285714285715</v>
      </c>
      <c r="U286" s="231">
        <v>0.49950714285714293</v>
      </c>
      <c r="V286" s="231">
        <v>0.60336071428571436</v>
      </c>
      <c r="W286" s="231">
        <v>0.33562142857142857</v>
      </c>
      <c r="X286" s="231">
        <v>1.9439285714285711E-2</v>
      </c>
      <c r="Y286" s="231">
        <v>9.1185714285714287E-2</v>
      </c>
      <c r="Z286" s="231">
        <v>1.3117857142857141E-2</v>
      </c>
      <c r="AA286" s="231">
        <v>1.8320928571428574</v>
      </c>
      <c r="AB286" s="231">
        <v>0.48569999999999969</v>
      </c>
      <c r="AC286" s="231">
        <v>4.0803571428571404E-2</v>
      </c>
      <c r="AD286" s="231">
        <v>1.9539285714285714E-2</v>
      </c>
      <c r="AE286" s="231">
        <v>0.45328928571428578</v>
      </c>
      <c r="AF286" s="231">
        <v>0.11764285714285712</v>
      </c>
      <c r="AG286" s="231">
        <v>0.96601428571428571</v>
      </c>
      <c r="AH286" s="231">
        <v>7.0617857142857107E-2</v>
      </c>
      <c r="AI286" s="231">
        <v>0.90588214285714297</v>
      </c>
      <c r="AJ286" s="231">
        <v>0.35580714285714282</v>
      </c>
      <c r="AK286" s="231">
        <v>0.43870357142857147</v>
      </c>
      <c r="AL286" s="231">
        <v>0.60885714285714276</v>
      </c>
      <c r="AM286" s="231">
        <v>1.5128571428571425E-2</v>
      </c>
      <c r="AN286" s="231">
        <v>0.46636428571428584</v>
      </c>
      <c r="AO286" s="892" t="s">
        <v>19</v>
      </c>
    </row>
    <row r="287" spans="1:41" ht="13.15" customHeight="1">
      <c r="A287" s="892" t="s">
        <v>20</v>
      </c>
      <c r="B287" s="231">
        <v>1.7000000000000008</v>
      </c>
      <c r="C287" s="231">
        <v>1.8394322580645148</v>
      </c>
      <c r="D287" s="231">
        <v>1.0734935483870969</v>
      </c>
      <c r="E287" s="231">
        <v>0.46289999999999981</v>
      </c>
      <c r="F287" s="231">
        <v>0.23460645161290306</v>
      </c>
      <c r="G287" s="231">
        <v>0.24658064516129044</v>
      </c>
      <c r="H287" s="231">
        <v>0.21874838709677413</v>
      </c>
      <c r="I287" s="231">
        <v>2.1939741935483865</v>
      </c>
      <c r="J287" s="231">
        <v>2.8819354838709677E-2</v>
      </c>
      <c r="K287" s="231">
        <v>0.16687096774193544</v>
      </c>
      <c r="L287" s="231">
        <v>1.9256741935483868</v>
      </c>
      <c r="M287" s="231">
        <v>0.46634838709677418</v>
      </c>
      <c r="N287" s="231">
        <v>1.1838741935483867</v>
      </c>
      <c r="O287" s="231">
        <v>5.5168225806451625</v>
      </c>
      <c r="P287" s="231">
        <v>0.15821612903225807</v>
      </c>
      <c r="Q287" s="231">
        <v>0.43977741935483866</v>
      </c>
      <c r="R287" s="231">
        <v>1.2734935483870966</v>
      </c>
      <c r="S287" s="231">
        <v>4.6419354838709681E-2</v>
      </c>
      <c r="T287" s="231">
        <v>1.1408096774193552</v>
      </c>
      <c r="U287" s="231">
        <v>0.52854516129032247</v>
      </c>
      <c r="V287" s="231">
        <v>0.61087419354838723</v>
      </c>
      <c r="W287" s="231">
        <v>0.34164516129032246</v>
      </c>
      <c r="X287" s="231">
        <v>1.9445161290322577E-2</v>
      </c>
      <c r="Y287" s="231">
        <v>9.4361290322580671E-2</v>
      </c>
      <c r="Z287" s="231">
        <v>1.3148387096774192E-2</v>
      </c>
      <c r="AA287" s="231">
        <v>1.9977903225806439</v>
      </c>
      <c r="AB287" s="231">
        <v>0.48569999999999969</v>
      </c>
      <c r="AC287" s="231">
        <v>4.0961290322580647E-2</v>
      </c>
      <c r="AD287" s="231">
        <v>1.9548387096774186E-2</v>
      </c>
      <c r="AE287" s="231">
        <v>0.45327741935483878</v>
      </c>
      <c r="AF287" s="231">
        <v>0.11700322580645162</v>
      </c>
      <c r="AG287" s="231">
        <v>0.97619032258064531</v>
      </c>
      <c r="AH287" s="231">
        <v>7.3477419354838702E-2</v>
      </c>
      <c r="AI287" s="231">
        <v>0.94025161290322534</v>
      </c>
      <c r="AJ287" s="231">
        <v>0.36958709677419371</v>
      </c>
      <c r="AK287" s="231">
        <v>0.46126451612903219</v>
      </c>
      <c r="AL287" s="231">
        <v>0.60717419354838698</v>
      </c>
      <c r="AM287" s="231">
        <v>1.5712903225806461E-2</v>
      </c>
      <c r="AN287" s="231">
        <v>0.46635161290322602</v>
      </c>
      <c r="AO287" s="892" t="s">
        <v>20</v>
      </c>
    </row>
    <row r="288" spans="1:41" ht="13.15" customHeight="1">
      <c r="A288" s="892" t="s">
        <v>21</v>
      </c>
      <c r="B288" s="231">
        <v>1.7000000000000006</v>
      </c>
      <c r="C288" s="231">
        <v>1.9108033333333336</v>
      </c>
      <c r="D288" s="231">
        <v>1.0704933333333337</v>
      </c>
      <c r="E288" s="231">
        <v>0.46279999999999977</v>
      </c>
      <c r="F288" s="231">
        <v>0.23287333333333324</v>
      </c>
      <c r="G288" s="231">
        <v>0.25597666666666663</v>
      </c>
      <c r="H288" s="231">
        <v>0.21895333333333336</v>
      </c>
      <c r="I288" s="231">
        <v>2.2360733333333322</v>
      </c>
      <c r="J288" s="231">
        <v>2.9876666666666652E-2</v>
      </c>
      <c r="K288" s="231">
        <v>0.17432333333333327</v>
      </c>
      <c r="L288" s="231">
        <v>2.0396666666666667</v>
      </c>
      <c r="M288" s="231">
        <v>0.46058666666666676</v>
      </c>
      <c r="N288" s="231">
        <v>1.21604</v>
      </c>
      <c r="O288" s="231">
        <v>5.5374133333333315</v>
      </c>
      <c r="P288" s="231">
        <v>0.16150000000000009</v>
      </c>
      <c r="Q288" s="231">
        <v>0.44819000000000003</v>
      </c>
      <c r="R288" s="231">
        <v>1.2849666666666668</v>
      </c>
      <c r="S288" s="231">
        <v>4.4576666666666667E-2</v>
      </c>
      <c r="T288" s="231">
        <v>1.1806533333333333</v>
      </c>
      <c r="U288" s="231">
        <v>0.54166666666666663</v>
      </c>
      <c r="V288" s="231">
        <v>0.61799333333333317</v>
      </c>
      <c r="W288" s="231">
        <v>0.33014333333333334</v>
      </c>
      <c r="X288" s="231">
        <v>1.9519999999999992E-2</v>
      </c>
      <c r="Y288" s="231">
        <v>9.7256666666666672E-2</v>
      </c>
      <c r="Z288" s="231">
        <v>1.3123333333333332E-2</v>
      </c>
      <c r="AA288" s="231">
        <v>2.0405466666666667</v>
      </c>
      <c r="AB288" s="231">
        <v>0.48569999999999969</v>
      </c>
      <c r="AC288" s="231">
        <v>4.1046666666666669E-2</v>
      </c>
      <c r="AD288" s="231">
        <v>1.9876666666666678E-2</v>
      </c>
      <c r="AE288" s="231">
        <v>0.45306333333333337</v>
      </c>
      <c r="AF288" s="231">
        <v>0.11806333333333333</v>
      </c>
      <c r="AG288" s="231">
        <v>0.99264000000000008</v>
      </c>
      <c r="AH288" s="231">
        <v>7.6293333333333324E-2</v>
      </c>
      <c r="AI288" s="231">
        <v>0.97615333333333332</v>
      </c>
      <c r="AJ288" s="231">
        <v>0.38386666666666669</v>
      </c>
      <c r="AK288" s="231">
        <v>0.47030333333333324</v>
      </c>
      <c r="AL288" s="231">
        <v>0.60552666666666677</v>
      </c>
      <c r="AM288" s="231">
        <v>1.6290000000000009E-2</v>
      </c>
      <c r="AN288" s="231">
        <v>0.46634000000000014</v>
      </c>
      <c r="AO288" s="892" t="s">
        <v>21</v>
      </c>
    </row>
    <row r="289" spans="1:41" ht="13.15" customHeight="1">
      <c r="A289" s="892" t="s">
        <v>22</v>
      </c>
      <c r="B289" s="231">
        <v>1.7000000000000008</v>
      </c>
      <c r="C289" s="231">
        <v>1.9192322580645167</v>
      </c>
      <c r="D289" s="231">
        <v>1.0950129032258067</v>
      </c>
      <c r="E289" s="231">
        <v>0.46279999999999977</v>
      </c>
      <c r="F289" s="231">
        <v>0.23551612903225813</v>
      </c>
      <c r="G289" s="231">
        <v>0.25725483870967752</v>
      </c>
      <c r="H289" s="231">
        <v>0.21793225806451613</v>
      </c>
      <c r="I289" s="231">
        <v>2.2728741935483883</v>
      </c>
      <c r="J289" s="231">
        <v>3.0167741935483879E-2</v>
      </c>
      <c r="K289" s="231">
        <v>0.1761354838709677</v>
      </c>
      <c r="L289" s="231">
        <v>2.052070967741936</v>
      </c>
      <c r="M289" s="231">
        <v>0.47628064516129037</v>
      </c>
      <c r="N289" s="231">
        <v>1.2271935483870966</v>
      </c>
      <c r="O289" s="231">
        <v>5.539538709677422</v>
      </c>
      <c r="P289" s="231">
        <v>0.16518387096774192</v>
      </c>
      <c r="Q289" s="231">
        <v>0.45087741935483866</v>
      </c>
      <c r="R289" s="231">
        <v>1.3130258064516129</v>
      </c>
      <c r="S289" s="231">
        <v>4.3809677419354834E-2</v>
      </c>
      <c r="T289" s="231">
        <v>1.1769258064516126</v>
      </c>
      <c r="U289" s="231">
        <v>0.560441935483871</v>
      </c>
      <c r="V289" s="231">
        <v>0.62040967741935493</v>
      </c>
      <c r="W289" s="231">
        <v>0.3321354838709677</v>
      </c>
      <c r="X289" s="231">
        <v>1.9525806451612903E-2</v>
      </c>
      <c r="Y289" s="231">
        <v>9.8619354838709677E-2</v>
      </c>
      <c r="Z289" s="231">
        <v>1.3190322580645156E-2</v>
      </c>
      <c r="AA289" s="231">
        <v>2.1134193548387095</v>
      </c>
      <c r="AB289" s="231">
        <v>0.48569999999999969</v>
      </c>
      <c r="AC289" s="231">
        <v>4.0938709677419353E-2</v>
      </c>
      <c r="AD289" s="231">
        <v>1.9974193548387104E-2</v>
      </c>
      <c r="AE289" s="231">
        <v>0.45322258064516158</v>
      </c>
      <c r="AF289" s="231">
        <v>0.12209999999999999</v>
      </c>
      <c r="AG289" s="231">
        <v>1.0102709677419355</v>
      </c>
      <c r="AH289" s="231">
        <v>7.7041935483870977E-2</v>
      </c>
      <c r="AI289" s="231">
        <v>0.98098064516129013</v>
      </c>
      <c r="AJ289" s="231">
        <v>0.37914193548387104</v>
      </c>
      <c r="AK289" s="231">
        <v>0.47543225806451622</v>
      </c>
      <c r="AL289" s="231">
        <v>0.6033032258064519</v>
      </c>
      <c r="AM289" s="231">
        <v>1.6361290322580647E-2</v>
      </c>
      <c r="AN289" s="231">
        <v>0.46636451612903235</v>
      </c>
      <c r="AO289" s="892" t="s">
        <v>22</v>
      </c>
    </row>
    <row r="290" spans="1:41" ht="13.15" customHeight="1">
      <c r="A290" s="892" t="s">
        <v>23</v>
      </c>
      <c r="B290" s="231">
        <v>1.7000000000000006</v>
      </c>
      <c r="C290" s="231">
        <v>1.9549366666666663</v>
      </c>
      <c r="D290" s="231">
        <v>1.102376666666667</v>
      </c>
      <c r="E290" s="231">
        <v>0.46287333333333319</v>
      </c>
      <c r="F290" s="231">
        <v>0.23669666666666667</v>
      </c>
      <c r="G290" s="231">
        <v>0.26208666666666658</v>
      </c>
      <c r="H290" s="231">
        <v>0.21663666666666656</v>
      </c>
      <c r="I290" s="231">
        <v>2.3011166666666667</v>
      </c>
      <c r="J290" s="231">
        <v>2.6939999999999988E-2</v>
      </c>
      <c r="K290" s="231">
        <v>0.17765999999999993</v>
      </c>
      <c r="L290" s="231">
        <v>2.086796666666666</v>
      </c>
      <c r="M290" s="231">
        <v>0.4865199999999999</v>
      </c>
      <c r="N290" s="231">
        <v>1.2410166666666667</v>
      </c>
      <c r="O290" s="231">
        <v>5.55267</v>
      </c>
      <c r="P290" s="231">
        <v>0.16873333333333335</v>
      </c>
      <c r="Q290" s="231">
        <v>0.45820666666666643</v>
      </c>
      <c r="R290" s="231">
        <v>1.3233466666666667</v>
      </c>
      <c r="S290" s="231">
        <v>4.3086666666666669E-2</v>
      </c>
      <c r="T290" s="231">
        <v>1.1773699999999998</v>
      </c>
      <c r="U290" s="231">
        <v>0.56693333333333351</v>
      </c>
      <c r="V290" s="231">
        <v>0.62368000000000023</v>
      </c>
      <c r="W290" s="231">
        <v>0.33039333333333326</v>
      </c>
      <c r="X290" s="231">
        <v>1.9489999999999997E-2</v>
      </c>
      <c r="Y290" s="231">
        <v>9.9050000000000041E-2</v>
      </c>
      <c r="Z290" s="231">
        <v>1.3410000000000002E-2</v>
      </c>
      <c r="AA290" s="231">
        <v>2.1579933333333332</v>
      </c>
      <c r="AB290" s="231">
        <v>0.48569999999999969</v>
      </c>
      <c r="AC290" s="231">
        <v>4.0816666666666654E-2</v>
      </c>
      <c r="AD290" s="231">
        <v>1.9770000000000006E-2</v>
      </c>
      <c r="AE290" s="231">
        <v>0.45319333333333323</v>
      </c>
      <c r="AF290" s="231">
        <v>0.1243633333333333</v>
      </c>
      <c r="AG290" s="231">
        <v>1.0226900000000001</v>
      </c>
      <c r="AH290" s="231">
        <v>7.8799999999999981E-2</v>
      </c>
      <c r="AI290" s="231">
        <v>0.99976333333333334</v>
      </c>
      <c r="AJ290" s="231">
        <v>0.38780333333333339</v>
      </c>
      <c r="AK290" s="231">
        <v>0.48570333333333349</v>
      </c>
      <c r="AL290" s="231">
        <v>0.60063999999999995</v>
      </c>
      <c r="AM290" s="231">
        <v>1.6663333333333329E-2</v>
      </c>
      <c r="AN290" s="231">
        <v>0.46636333333333352</v>
      </c>
      <c r="AO290" s="892" t="s">
        <v>23</v>
      </c>
    </row>
    <row r="291" spans="1:41" ht="13.15" customHeight="1">
      <c r="A291" s="892" t="s">
        <v>24</v>
      </c>
      <c r="B291" s="231">
        <v>1.7000000000000008</v>
      </c>
      <c r="C291" s="231">
        <v>1.988022580645161</v>
      </c>
      <c r="D291" s="231">
        <v>1.112735483870968</v>
      </c>
      <c r="E291" s="231">
        <v>0.46280322580645139</v>
      </c>
      <c r="F291" s="231">
        <v>0.2370451612903226</v>
      </c>
      <c r="G291" s="231">
        <v>0.26640000000000014</v>
      </c>
      <c r="H291" s="231">
        <v>0.21659999999999988</v>
      </c>
      <c r="I291" s="231">
        <v>2.2983193548387093</v>
      </c>
      <c r="J291" s="231">
        <v>2.8690322580645154E-2</v>
      </c>
      <c r="K291" s="231">
        <v>0.17739999999999997</v>
      </c>
      <c r="L291" s="231">
        <v>2.1312903225806452</v>
      </c>
      <c r="M291" s="231">
        <v>0.50781612903225826</v>
      </c>
      <c r="N291" s="231">
        <v>1.2430129032258068</v>
      </c>
      <c r="O291" s="231">
        <v>5.5665032258064517</v>
      </c>
      <c r="P291" s="231">
        <v>0.16758709677419353</v>
      </c>
      <c r="Q291" s="231">
        <v>0.46743225806451616</v>
      </c>
      <c r="R291" s="231">
        <v>1.3276419354838709</v>
      </c>
      <c r="S291" s="231">
        <v>4.2258064516129047E-2</v>
      </c>
      <c r="T291" s="231">
        <v>1.157970967741935</v>
      </c>
      <c r="U291" s="231">
        <v>0.57301935483870969</v>
      </c>
      <c r="V291" s="231">
        <v>0.62693870967741927</v>
      </c>
      <c r="W291" s="231">
        <v>0.32152903225806451</v>
      </c>
      <c r="X291" s="231">
        <v>1.9516129032258064E-2</v>
      </c>
      <c r="Y291" s="231">
        <v>0.1008193548387097</v>
      </c>
      <c r="Z291" s="231">
        <v>1.3432258064516133E-2</v>
      </c>
      <c r="AA291" s="231">
        <v>2.1580096774193551</v>
      </c>
      <c r="AB291" s="231">
        <v>0.48569999999999969</v>
      </c>
      <c r="AC291" s="231">
        <v>4.0680645161290295E-2</v>
      </c>
      <c r="AD291" s="231">
        <v>1.9754838709677418E-2</v>
      </c>
      <c r="AE291" s="231">
        <v>0.45322903225806443</v>
      </c>
      <c r="AF291" s="231">
        <v>0.12344193548387096</v>
      </c>
      <c r="AG291" s="231">
        <v>1.0209387096774196</v>
      </c>
      <c r="AH291" s="231">
        <v>8.0729032258064534E-2</v>
      </c>
      <c r="AI291" s="231">
        <v>1.0163000000000002</v>
      </c>
      <c r="AJ291" s="231">
        <v>0.39204516129032252</v>
      </c>
      <c r="AK291" s="231">
        <v>0.49830322580645153</v>
      </c>
      <c r="AL291" s="231">
        <v>0.59752258064516128</v>
      </c>
      <c r="AM291" s="231">
        <v>1.6967741935483876E-2</v>
      </c>
      <c r="AN291" s="231">
        <v>0.46638709677419365</v>
      </c>
      <c r="AO291" s="892" t="s">
        <v>24</v>
      </c>
    </row>
    <row r="292" spans="1:41" ht="13.15" customHeight="1">
      <c r="A292" s="892" t="s">
        <v>25</v>
      </c>
      <c r="B292" s="231">
        <v>1.7000000000000008</v>
      </c>
      <c r="C292" s="231">
        <v>1.9756838709677422</v>
      </c>
      <c r="D292" s="231">
        <v>1.1031548387096777</v>
      </c>
      <c r="E292" s="231">
        <v>0.46279999999999977</v>
      </c>
      <c r="F292" s="231">
        <v>0.23690967741935484</v>
      </c>
      <c r="G292" s="231">
        <v>0.2646935483870968</v>
      </c>
      <c r="H292" s="231">
        <v>0.21724838709677421</v>
      </c>
      <c r="I292" s="231">
        <v>2.2832709677419354</v>
      </c>
      <c r="J292" s="231">
        <v>2.9558064516129034E-2</v>
      </c>
      <c r="K292" s="231">
        <v>0.17708064516129032</v>
      </c>
      <c r="L292" s="231">
        <v>2.106403225806452</v>
      </c>
      <c r="M292" s="231">
        <v>0.50105161290322586</v>
      </c>
      <c r="N292" s="231">
        <v>1.2312999999999996</v>
      </c>
      <c r="O292" s="231">
        <v>5.5632999999999999</v>
      </c>
      <c r="P292" s="231">
        <v>0.16661290322580649</v>
      </c>
      <c r="Q292" s="231">
        <v>0.46363870967741938</v>
      </c>
      <c r="R292" s="231">
        <v>1.3217838709677419</v>
      </c>
      <c r="S292" s="231">
        <v>4.1616129032258073E-2</v>
      </c>
      <c r="T292" s="231">
        <v>1.1502935483870969</v>
      </c>
      <c r="U292" s="231">
        <v>0.57342580645161301</v>
      </c>
      <c r="V292" s="231">
        <v>0.63021612903225843</v>
      </c>
      <c r="W292" s="231">
        <v>0.31544516129032263</v>
      </c>
      <c r="X292" s="231">
        <v>1.9499999999999997E-2</v>
      </c>
      <c r="Y292" s="231">
        <v>0.10141290322580644</v>
      </c>
      <c r="Z292" s="231">
        <v>1.3551612903225808E-2</v>
      </c>
      <c r="AA292" s="231">
        <v>2.1216967741935484</v>
      </c>
      <c r="AB292" s="231">
        <v>0.48569999999999969</v>
      </c>
      <c r="AC292" s="231">
        <v>4.1022580645161275E-2</v>
      </c>
      <c r="AD292" s="231">
        <v>1.9422580645161284E-2</v>
      </c>
      <c r="AE292" s="231">
        <v>0.45305806451612873</v>
      </c>
      <c r="AF292" s="231">
        <v>0.12225806451612899</v>
      </c>
      <c r="AG292" s="231">
        <v>1.0024548387096774</v>
      </c>
      <c r="AH292" s="231">
        <v>8.0564516129032246E-2</v>
      </c>
      <c r="AI292" s="231">
        <v>1.0104290322580645</v>
      </c>
      <c r="AJ292" s="231">
        <v>0.39006774193548377</v>
      </c>
      <c r="AK292" s="231">
        <v>0.49818709677419359</v>
      </c>
      <c r="AL292" s="231">
        <v>0.60000322580645149</v>
      </c>
      <c r="AM292" s="231">
        <v>1.6861290322580647E-2</v>
      </c>
      <c r="AN292" s="231">
        <v>0.46643225806451627</v>
      </c>
      <c r="AO292" s="892" t="s">
        <v>25</v>
      </c>
    </row>
    <row r="293" spans="1:41" ht="13.15" customHeight="1">
      <c r="A293" s="892" t="s">
        <v>26</v>
      </c>
      <c r="B293" s="231">
        <v>1.7000000000000006</v>
      </c>
      <c r="C293" s="231">
        <v>1.9936966666666671</v>
      </c>
      <c r="D293" s="231">
        <v>1.1204000000000001</v>
      </c>
      <c r="E293" s="231">
        <v>0.46279999999999977</v>
      </c>
      <c r="F293" s="231">
        <v>0.23861333333333329</v>
      </c>
      <c r="G293" s="231">
        <v>0.26708999999999999</v>
      </c>
      <c r="H293" s="231">
        <v>0.21837666666666664</v>
      </c>
      <c r="I293" s="231">
        <v>2.2946733333333338</v>
      </c>
      <c r="J293" s="231">
        <v>2.9659999999999985E-2</v>
      </c>
      <c r="K293" s="231">
        <v>0.18120999999999998</v>
      </c>
      <c r="L293" s="231">
        <v>2.1326800000000006</v>
      </c>
      <c r="M293" s="231">
        <v>0.50884666666666656</v>
      </c>
      <c r="N293" s="231">
        <v>1.2290866666666667</v>
      </c>
      <c r="O293" s="231">
        <v>5.5648866666666654</v>
      </c>
      <c r="P293" s="231">
        <v>0.17084000000000002</v>
      </c>
      <c r="Q293" s="231">
        <v>0.46809333333333331</v>
      </c>
      <c r="R293" s="231">
        <v>1.3228433333333334</v>
      </c>
      <c r="S293" s="231">
        <v>4.1113333333333335E-2</v>
      </c>
      <c r="T293" s="231">
        <v>1.1491333333333336</v>
      </c>
      <c r="U293" s="231">
        <v>0.56765999999999994</v>
      </c>
      <c r="V293" s="231">
        <v>0.62838333333333318</v>
      </c>
      <c r="W293" s="231">
        <v>0.31441999999999998</v>
      </c>
      <c r="X293" s="231">
        <v>1.9473333333333329E-2</v>
      </c>
      <c r="Y293" s="231">
        <v>0.10244333333333334</v>
      </c>
      <c r="Z293" s="231">
        <v>1.3780000000000002E-2</v>
      </c>
      <c r="AA293" s="231">
        <v>2.0487133333333336</v>
      </c>
      <c r="AB293" s="231">
        <v>0.48569999999999969</v>
      </c>
      <c r="AC293" s="231">
        <v>4.1146666666666658E-2</v>
      </c>
      <c r="AD293" s="231">
        <v>1.9266666666666665E-2</v>
      </c>
      <c r="AE293" s="231">
        <v>0.45317333333333359</v>
      </c>
      <c r="AF293" s="231">
        <v>0.12197333333333332</v>
      </c>
      <c r="AG293" s="231">
        <v>0.99985999999999997</v>
      </c>
      <c r="AH293" s="231">
        <v>8.1876666666666653E-2</v>
      </c>
      <c r="AI293" s="231">
        <v>1.0191366666666668</v>
      </c>
      <c r="AJ293" s="231">
        <v>0.39296999999999993</v>
      </c>
      <c r="AK293" s="231">
        <v>0.50881666666666669</v>
      </c>
      <c r="AL293" s="231">
        <v>0.60054333333333332</v>
      </c>
      <c r="AM293" s="231">
        <v>1.7003333333333339E-2</v>
      </c>
      <c r="AN293" s="231">
        <v>0.46638666666666678</v>
      </c>
      <c r="AO293" s="892" t="s">
        <v>26</v>
      </c>
    </row>
    <row r="294" spans="1:41" ht="13.15" customHeight="1">
      <c r="A294" s="892" t="s">
        <v>27</v>
      </c>
      <c r="B294" s="231">
        <v>1.7000000000000008</v>
      </c>
      <c r="C294" s="231">
        <v>1.9804741935483874</v>
      </c>
      <c r="D294" s="231">
        <v>1.1123806451612903</v>
      </c>
      <c r="E294" s="231">
        <v>0.46280967741935458</v>
      </c>
      <c r="F294" s="231">
        <v>0.23873225806451603</v>
      </c>
      <c r="G294" s="231">
        <v>0.26520322580645161</v>
      </c>
      <c r="H294" s="231">
        <v>0.21865483870967739</v>
      </c>
      <c r="I294" s="231">
        <v>2.2733161290322581</v>
      </c>
      <c r="J294" s="231" t="s">
        <v>93</v>
      </c>
      <c r="K294" s="231">
        <v>0.1802935483870968</v>
      </c>
      <c r="L294" s="231">
        <v>2.1323064516129029</v>
      </c>
      <c r="M294" s="231">
        <v>0.51724193548387098</v>
      </c>
      <c r="N294" s="231">
        <v>1.2149354838709678</v>
      </c>
      <c r="O294" s="231">
        <v>5.5497096774193544</v>
      </c>
      <c r="P294" s="231">
        <v>0.16962580645161293</v>
      </c>
      <c r="Q294" s="231">
        <v>0.46607741935483882</v>
      </c>
      <c r="R294" s="231">
        <v>1.3127516129032257</v>
      </c>
      <c r="S294" s="231">
        <v>4.0609677419354825E-2</v>
      </c>
      <c r="T294" s="231">
        <v>1.1247870967741933</v>
      </c>
      <c r="U294" s="231">
        <v>0.55930967741935478</v>
      </c>
      <c r="V294" s="231">
        <v>0.62660967741935469</v>
      </c>
      <c r="W294" s="231">
        <v>0.31509354838709686</v>
      </c>
      <c r="X294" s="231">
        <v>1.9470967741935474E-2</v>
      </c>
      <c r="Y294" s="231">
        <v>0.10102258064516127</v>
      </c>
      <c r="Z294" s="231">
        <v>1.4058064516129036E-2</v>
      </c>
      <c r="AA294" s="231">
        <v>2.0973806451612909</v>
      </c>
      <c r="AB294" s="231">
        <v>0.48569999999999969</v>
      </c>
      <c r="AC294" s="231">
        <v>4.0848387096774172E-2</v>
      </c>
      <c r="AD294" s="231">
        <v>1.9254838709677407E-2</v>
      </c>
      <c r="AE294" s="231">
        <v>0.45328064516129046</v>
      </c>
      <c r="AF294" s="231">
        <v>0.11953548387096771</v>
      </c>
      <c r="AG294" s="231">
        <v>0.97992258064516147</v>
      </c>
      <c r="AH294" s="231">
        <v>8.142903225806454E-2</v>
      </c>
      <c r="AI294" s="231">
        <v>1.0125290322580645</v>
      </c>
      <c r="AJ294" s="231">
        <v>0.3892677419354838</v>
      </c>
      <c r="AK294" s="231">
        <v>0.50789354838709688</v>
      </c>
      <c r="AL294" s="231">
        <v>0.60166774193548389</v>
      </c>
      <c r="AM294" s="231">
        <v>1.6903225806451618E-2</v>
      </c>
      <c r="AN294" s="231">
        <v>0.4663935483870969</v>
      </c>
      <c r="AO294" s="892" t="s">
        <v>27</v>
      </c>
    </row>
    <row r="295" spans="1:41" ht="13.15" customHeight="1">
      <c r="A295" s="892" t="s">
        <v>28</v>
      </c>
      <c r="B295" s="231">
        <v>1.7000000000000006</v>
      </c>
      <c r="C295" s="231">
        <v>1.965553333333333</v>
      </c>
      <c r="D295" s="231">
        <v>1.1055733333333333</v>
      </c>
      <c r="E295" s="231">
        <v>0.46286333333333313</v>
      </c>
      <c r="F295" s="231">
        <v>0.23922000000000004</v>
      </c>
      <c r="G295" s="231">
        <v>0.26319999999999999</v>
      </c>
      <c r="H295" s="231">
        <v>0.2186066666666667</v>
      </c>
      <c r="I295" s="231">
        <v>2.2331833333333337</v>
      </c>
      <c r="J295" s="231" t="s">
        <v>93</v>
      </c>
      <c r="K295" s="231">
        <v>0.1788433333333333</v>
      </c>
      <c r="L295" s="231">
        <v>2.1162566666666667</v>
      </c>
      <c r="M295" s="231">
        <v>0.52182333333333319</v>
      </c>
      <c r="N295" s="231">
        <v>1.2090099999999995</v>
      </c>
      <c r="O295" s="231">
        <v>5.5366966666666668</v>
      </c>
      <c r="P295" s="231">
        <v>0.16745000000000002</v>
      </c>
      <c r="Q295" s="231">
        <v>0.46361666666666673</v>
      </c>
      <c r="R295" s="231">
        <v>1.30501</v>
      </c>
      <c r="S295" s="231">
        <v>4.0203333333333348E-2</v>
      </c>
      <c r="T295" s="231">
        <v>1.0967999999999998</v>
      </c>
      <c r="U295" s="231">
        <v>0.57012666666666667</v>
      </c>
      <c r="V295" s="231">
        <v>0.62847666666666657</v>
      </c>
      <c r="W295" s="231">
        <v>0.32512999999999992</v>
      </c>
      <c r="X295" s="231">
        <v>1.9443333333333323E-2</v>
      </c>
      <c r="Y295" s="231">
        <v>0.10016666666666664</v>
      </c>
      <c r="Z295" s="231">
        <v>1.419666666666666E-2</v>
      </c>
      <c r="AA295" s="231">
        <v>2.1196066666666673</v>
      </c>
      <c r="AB295" s="231">
        <v>0.48569999999999969</v>
      </c>
      <c r="AC295" s="231">
        <v>4.0396666666666657E-2</v>
      </c>
      <c r="AD295" s="231">
        <v>1.9163333333333331E-2</v>
      </c>
      <c r="AE295" s="231">
        <v>0.45328333333333343</v>
      </c>
      <c r="AF295" s="231">
        <v>0.11659333333333333</v>
      </c>
      <c r="AG295" s="231">
        <v>0.96195999999999993</v>
      </c>
      <c r="AH295" s="231">
        <v>8.1050000000000011E-2</v>
      </c>
      <c r="AI295" s="231">
        <v>1.0049566666666669</v>
      </c>
      <c r="AJ295" s="231">
        <v>0.38642000000000004</v>
      </c>
      <c r="AK295" s="231">
        <v>0.51108999999999982</v>
      </c>
      <c r="AL295" s="231">
        <v>0.60327000000000019</v>
      </c>
      <c r="AM295" s="231">
        <v>1.6763333333333331E-2</v>
      </c>
      <c r="AN295" s="231">
        <v>0.46636666666666682</v>
      </c>
      <c r="AO295" s="892" t="s">
        <v>28</v>
      </c>
    </row>
    <row r="296" spans="1:41" ht="13.15" customHeight="1">
      <c r="A296" s="892" t="s">
        <v>29</v>
      </c>
      <c r="B296" s="231">
        <v>1.7000000000000008</v>
      </c>
      <c r="C296" s="231">
        <v>1.9913451612903226</v>
      </c>
      <c r="D296" s="231">
        <v>1.1296774193548389</v>
      </c>
      <c r="E296" s="231">
        <v>0.46288064516129013</v>
      </c>
      <c r="F296" s="231">
        <v>0.24133225806451611</v>
      </c>
      <c r="G296" s="231">
        <v>0.26661612903225806</v>
      </c>
      <c r="H296" s="231">
        <v>0.2185</v>
      </c>
      <c r="I296" s="231">
        <v>2.2762161290322576</v>
      </c>
      <c r="J296" s="231" t="s">
        <v>93</v>
      </c>
      <c r="K296" s="231">
        <v>0.18296774193548376</v>
      </c>
      <c r="L296" s="231">
        <v>2.1354064516129032</v>
      </c>
      <c r="M296" s="231">
        <v>0.52893548387096767</v>
      </c>
      <c r="N296" s="231">
        <v>1.2317935483870965</v>
      </c>
      <c r="O296" s="231">
        <v>5.5370387096774172</v>
      </c>
      <c r="P296" s="231">
        <v>0.16839677419354843</v>
      </c>
      <c r="Q296" s="231">
        <v>0.47167419354838702</v>
      </c>
      <c r="R296" s="231">
        <v>1.316809677419355</v>
      </c>
      <c r="S296" s="231">
        <v>3.9809677419354844E-2</v>
      </c>
      <c r="T296" s="231">
        <v>1.0914064516129032</v>
      </c>
      <c r="U296" s="231">
        <v>0.58135483870967741</v>
      </c>
      <c r="V296" s="231">
        <v>0.63053870967741932</v>
      </c>
      <c r="W296" s="231">
        <v>0.33209999999999995</v>
      </c>
      <c r="X296" s="231">
        <v>1.9493548387096774E-2</v>
      </c>
      <c r="Y296" s="231">
        <v>0.10078387096774194</v>
      </c>
      <c r="Z296" s="231">
        <v>1.415483870967742E-2</v>
      </c>
      <c r="AA296" s="231">
        <v>2.1693870967741935</v>
      </c>
      <c r="AB296" s="231">
        <v>0.48569999999999969</v>
      </c>
      <c r="AC296" s="231">
        <v>4.0312903225806454E-2</v>
      </c>
      <c r="AD296" s="231">
        <v>1.8867741935483882E-2</v>
      </c>
      <c r="AE296" s="231">
        <v>0.45310967741935521</v>
      </c>
      <c r="AF296" s="231">
        <v>0.11603548387096772</v>
      </c>
      <c r="AG296" s="231">
        <v>0.98406129032258038</v>
      </c>
      <c r="AH296" s="231">
        <v>8.2083870967741959E-2</v>
      </c>
      <c r="AI296" s="231">
        <v>1.0181677419354838</v>
      </c>
      <c r="AJ296" s="231">
        <v>0.39118064516129031</v>
      </c>
      <c r="AK296" s="231">
        <v>0.51683870967741941</v>
      </c>
      <c r="AL296" s="231">
        <v>0.60538387096774204</v>
      </c>
      <c r="AM296" s="231">
        <v>1.6967741935483879E-2</v>
      </c>
      <c r="AN296" s="231">
        <v>0.46633870967741958</v>
      </c>
      <c r="AO296" s="892" t="s">
        <v>29</v>
      </c>
    </row>
    <row r="297" spans="1:41" ht="13.15" customHeight="1">
      <c r="A297" s="892" t="s">
        <v>4465</v>
      </c>
      <c r="B297" s="231"/>
      <c r="C297" s="231"/>
      <c r="D297" s="231"/>
      <c r="E297" s="231"/>
      <c r="F297" s="231"/>
      <c r="G297" s="231"/>
      <c r="H297" s="231"/>
      <c r="I297" s="231"/>
      <c r="J297" s="231"/>
      <c r="K297" s="231"/>
      <c r="L297" s="231"/>
      <c r="M297" s="231"/>
      <c r="N297" s="231"/>
      <c r="O297" s="231"/>
      <c r="P297" s="231"/>
      <c r="Q297" s="231"/>
      <c r="R297" s="231"/>
      <c r="S297" s="231"/>
      <c r="T297" s="231"/>
      <c r="U297" s="231"/>
      <c r="V297" s="231"/>
      <c r="W297" s="231"/>
      <c r="X297" s="231"/>
      <c r="Y297" s="231"/>
      <c r="Z297" s="231"/>
      <c r="AA297" s="231"/>
      <c r="AB297" s="231"/>
      <c r="AC297" s="231"/>
      <c r="AD297" s="231"/>
      <c r="AE297" s="231"/>
      <c r="AF297" s="231"/>
      <c r="AG297" s="231"/>
      <c r="AH297" s="231"/>
      <c r="AI297" s="231"/>
      <c r="AJ297" s="231"/>
      <c r="AK297" s="231"/>
      <c r="AL297" s="231"/>
      <c r="AM297" s="231"/>
      <c r="AN297" s="231"/>
      <c r="AO297" s="892" t="s">
        <v>4465</v>
      </c>
    </row>
    <row r="298" spans="1:41" ht="13.15" customHeight="1">
      <c r="A298" s="892" t="s">
        <v>18</v>
      </c>
      <c r="B298" s="231">
        <v>1.7000000000000008</v>
      </c>
      <c r="C298" s="231">
        <v>1.9950032258064521</v>
      </c>
      <c r="D298" s="231">
        <v>1.1520032258064519</v>
      </c>
      <c r="E298" s="231">
        <v>0.46280967741935458</v>
      </c>
      <c r="F298" s="231">
        <v>0.24381935483870973</v>
      </c>
      <c r="G298" s="231">
        <v>0.26707096774193545</v>
      </c>
      <c r="H298" s="231">
        <v>0.21811290322580643</v>
      </c>
      <c r="I298" s="231">
        <v>2.2969645161290324</v>
      </c>
      <c r="J298" s="231" t="s">
        <v>93</v>
      </c>
      <c r="K298" s="231">
        <v>0.18665161290322577</v>
      </c>
      <c r="L298" s="231">
        <v>2.1504580645161289</v>
      </c>
      <c r="M298" s="231">
        <v>0.53990967741935481</v>
      </c>
      <c r="N298" s="231">
        <v>1.2338096774193548</v>
      </c>
      <c r="O298" s="231">
        <v>5.5308774193548382</v>
      </c>
      <c r="P298" s="231">
        <v>0.17074193548387098</v>
      </c>
      <c r="Q298" s="231">
        <v>0.47352580645161291</v>
      </c>
      <c r="R298" s="231">
        <v>1.3271677419354839</v>
      </c>
      <c r="S298" s="231">
        <v>3.9351612903225794E-2</v>
      </c>
      <c r="T298" s="231">
        <v>1.0840096774193548</v>
      </c>
      <c r="U298" s="231">
        <v>0.57761612903225801</v>
      </c>
      <c r="V298" s="231">
        <v>0.63132580645161274</v>
      </c>
      <c r="W298" s="231">
        <v>0.33501612903225803</v>
      </c>
      <c r="X298" s="231">
        <v>1.944838709677418E-2</v>
      </c>
      <c r="Y298" s="231">
        <v>0.10070967741935485</v>
      </c>
      <c r="Z298" s="231">
        <v>1.4106451612903229E-2</v>
      </c>
      <c r="AA298" s="231">
        <v>2.1799258064516129</v>
      </c>
      <c r="AB298" s="231">
        <v>0.48569999999999969</v>
      </c>
      <c r="AC298" s="231">
        <v>3.957741935483873E-2</v>
      </c>
      <c r="AD298" s="231">
        <v>1.8745161290322571E-2</v>
      </c>
      <c r="AE298" s="231">
        <v>0.45330000000000009</v>
      </c>
      <c r="AF298" s="231">
        <v>0.11682903225806454</v>
      </c>
      <c r="AG298" s="231">
        <v>0.99242580645161249</v>
      </c>
      <c r="AH298" s="231">
        <v>8.2219354838709666E-2</v>
      </c>
      <c r="AI298" s="231" t="s">
        <v>93</v>
      </c>
      <c r="AJ298" s="231">
        <v>0.39178064516129041</v>
      </c>
      <c r="AK298" s="231">
        <v>0.51924193548387099</v>
      </c>
      <c r="AL298" s="231">
        <v>0.60660645161290316</v>
      </c>
      <c r="AM298" s="231">
        <v>1.6983870967741933E-2</v>
      </c>
      <c r="AN298" s="231">
        <v>0.46630967741935503</v>
      </c>
      <c r="AO298" s="892" t="s">
        <v>18</v>
      </c>
    </row>
    <row r="299" spans="1:41" ht="13.15" customHeight="1">
      <c r="A299" s="892" t="s">
        <v>19</v>
      </c>
      <c r="B299" s="231">
        <v>1.7000000000000006</v>
      </c>
      <c r="C299" s="231">
        <v>2.0104035714285713</v>
      </c>
      <c r="D299" s="231">
        <v>1.1980999999999997</v>
      </c>
      <c r="E299" s="231">
        <v>0.46281071428571419</v>
      </c>
      <c r="F299" s="231">
        <v>0.24602857142857151</v>
      </c>
      <c r="G299" s="231">
        <v>0.26912142857142862</v>
      </c>
      <c r="H299" s="231">
        <v>0.21750357142857138</v>
      </c>
      <c r="I299" s="231">
        <v>2.308528571428571</v>
      </c>
      <c r="J299" s="231" t="s">
        <v>93</v>
      </c>
      <c r="K299" s="231">
        <v>0.18919642857142852</v>
      </c>
      <c r="L299" s="231">
        <v>2.1995499999999995</v>
      </c>
      <c r="M299" s="231">
        <v>0.54778928571428576</v>
      </c>
      <c r="N299" s="231">
        <v>1.2455535714285715</v>
      </c>
      <c r="O299" s="231">
        <v>5.5398249999999987</v>
      </c>
      <c r="P299" s="231">
        <v>0.17726071428571433</v>
      </c>
      <c r="Q299" s="231">
        <v>0.4765107142857144</v>
      </c>
      <c r="R299" s="231">
        <v>1.3417107142857143</v>
      </c>
      <c r="S299" s="231">
        <v>3.8910714285714278E-2</v>
      </c>
      <c r="T299" s="231">
        <v>1.0973035714285715</v>
      </c>
      <c r="U299" s="231">
        <v>0.59457857142857162</v>
      </c>
      <c r="V299" s="231">
        <v>0.6338785714285714</v>
      </c>
      <c r="W299" s="231">
        <v>0.34244285714285716</v>
      </c>
      <c r="X299" s="231">
        <v>1.9399999999999983E-2</v>
      </c>
      <c r="Y299" s="231">
        <v>0.10055</v>
      </c>
      <c r="Z299" s="231">
        <v>1.3907142857142863E-2</v>
      </c>
      <c r="AA299" s="231">
        <v>2.212596428571429</v>
      </c>
      <c r="AB299" s="231">
        <v>0.48569999999999969</v>
      </c>
      <c r="AC299" s="231">
        <v>3.941785714285715E-2</v>
      </c>
      <c r="AD299" s="231">
        <v>1.8721428571428576E-2</v>
      </c>
      <c r="AE299" s="231">
        <v>0.45326428571428579</v>
      </c>
      <c r="AF299" s="231">
        <v>0.11736428571428571</v>
      </c>
      <c r="AG299" s="231">
        <v>1.0203857142857142</v>
      </c>
      <c r="AH299" s="231">
        <v>8.2853571428571429E-2</v>
      </c>
      <c r="AI299" s="231" t="s">
        <v>93</v>
      </c>
      <c r="AJ299" s="231">
        <v>0.39468214285714281</v>
      </c>
      <c r="AK299" s="231">
        <v>0.5304928571428571</v>
      </c>
      <c r="AL299" s="231">
        <v>0.60738571428571408</v>
      </c>
      <c r="AM299" s="231">
        <v>1.7135714285714289E-2</v>
      </c>
      <c r="AN299" s="231">
        <v>0.46633571428571446</v>
      </c>
      <c r="AO299" s="892" t="s">
        <v>19</v>
      </c>
    </row>
    <row r="300" spans="1:41" ht="13.15" customHeight="1">
      <c r="A300" s="892" t="s">
        <v>20</v>
      </c>
      <c r="B300" s="231">
        <v>1.7000000000000008</v>
      </c>
      <c r="C300" s="231">
        <v>1.9621322580645175</v>
      </c>
      <c r="D300" s="231">
        <v>1.1984483870967744</v>
      </c>
      <c r="E300" s="231">
        <v>0.46279999999999977</v>
      </c>
      <c r="F300" s="231">
        <v>0.24661935483870981</v>
      </c>
      <c r="G300" s="231">
        <v>0.26258387096774199</v>
      </c>
      <c r="H300" s="231">
        <v>0.21710645161290318</v>
      </c>
      <c r="I300" s="231">
        <v>2.2651451612903228</v>
      </c>
      <c r="J300" s="231" t="s">
        <v>93</v>
      </c>
      <c r="K300" s="231">
        <v>0.18249032258064513</v>
      </c>
      <c r="L300" s="231">
        <v>2.1619161290322584</v>
      </c>
      <c r="M300" s="231">
        <v>0.54562903225806447</v>
      </c>
      <c r="N300" s="231">
        <v>1.2417548387096768</v>
      </c>
      <c r="O300" s="231">
        <v>5.5356032258064545</v>
      </c>
      <c r="P300" s="231">
        <v>0.17652903225806449</v>
      </c>
      <c r="Q300" s="231">
        <v>0.45977096774193571</v>
      </c>
      <c r="R300" s="231">
        <v>1.3289677419354835</v>
      </c>
      <c r="S300" s="231">
        <v>3.849677419354839E-2</v>
      </c>
      <c r="T300" s="231">
        <v>1.070877419354838</v>
      </c>
      <c r="U300" s="231">
        <v>0.5881967741935481</v>
      </c>
      <c r="V300" s="231">
        <v>0.62590322580645141</v>
      </c>
      <c r="W300" s="231">
        <v>0.34817741935483865</v>
      </c>
      <c r="X300" s="231">
        <v>1.94032258064516E-2</v>
      </c>
      <c r="Y300" s="231">
        <v>9.799032258064512E-2</v>
      </c>
      <c r="Z300" s="231">
        <v>1.4003225806451622E-2</v>
      </c>
      <c r="AA300" s="231">
        <v>2.1032709677419366</v>
      </c>
      <c r="AB300" s="231">
        <v>0.48569999999999969</v>
      </c>
      <c r="AC300" s="231">
        <v>3.8764516129032235E-2</v>
      </c>
      <c r="AD300" s="231">
        <v>1.8429032258064502E-2</v>
      </c>
      <c r="AE300" s="231">
        <v>0.45290967741935484</v>
      </c>
      <c r="AF300" s="231">
        <v>0.11439032258064516</v>
      </c>
      <c r="AG300" s="231">
        <v>0.99600967741935509</v>
      </c>
      <c r="AH300" s="231">
        <v>8.0361290322580603E-2</v>
      </c>
      <c r="AI300" s="231" t="s">
        <v>93</v>
      </c>
      <c r="AJ300" s="231">
        <v>0.38524516129032244</v>
      </c>
      <c r="AK300" s="231">
        <v>0.50407419354838745</v>
      </c>
      <c r="AL300" s="231">
        <v>0.60715483870967768</v>
      </c>
      <c r="AM300" s="231">
        <v>1.6706451612903225E-2</v>
      </c>
      <c r="AN300" s="231">
        <v>0.46627096774193572</v>
      </c>
      <c r="AO300" s="892" t="s">
        <v>20</v>
      </c>
    </row>
    <row r="301" spans="1:41" ht="13.15" customHeight="1">
      <c r="A301" s="892" t="s">
        <v>21</v>
      </c>
      <c r="B301" s="231">
        <v>1.7000000000000006</v>
      </c>
      <c r="C301" s="231">
        <v>1.9856200000000002</v>
      </c>
      <c r="D301" s="231">
        <v>1.2026066666666666</v>
      </c>
      <c r="E301" s="231">
        <v>0.46279999999999977</v>
      </c>
      <c r="F301" s="231">
        <v>0.24851333333333336</v>
      </c>
      <c r="G301" s="231">
        <v>0.2657133333333333</v>
      </c>
      <c r="H301" s="231">
        <v>0.21699666666666664</v>
      </c>
      <c r="I301" s="231">
        <v>2.28241</v>
      </c>
      <c r="J301" s="231" t="s">
        <v>93</v>
      </c>
      <c r="K301" s="231">
        <v>0.18301666666666669</v>
      </c>
      <c r="L301" s="231">
        <v>2.1545600000000005</v>
      </c>
      <c r="M301" s="231">
        <v>0.55867333333333313</v>
      </c>
      <c r="N301" s="231">
        <v>1.2340933333333333</v>
      </c>
      <c r="O301" s="231">
        <v>5.5063066666666662</v>
      </c>
      <c r="P301" s="231">
        <v>0.17946000000000004</v>
      </c>
      <c r="Q301" s="231">
        <v>0.46693666666666667</v>
      </c>
      <c r="R301" s="231">
        <v>1.3309199999999999</v>
      </c>
      <c r="S301" s="231">
        <v>3.7960000000000028E-2</v>
      </c>
      <c r="T301" s="231">
        <v>1.0668499999999999</v>
      </c>
      <c r="U301" s="231">
        <v>0.57936666666666659</v>
      </c>
      <c r="V301" s="231">
        <v>0.63216666666666665</v>
      </c>
      <c r="W301" s="231">
        <v>0.36175666666666662</v>
      </c>
      <c r="X301" s="231">
        <v>1.9399999999999983E-2</v>
      </c>
      <c r="Y301" s="231">
        <v>9.8159999999999997E-2</v>
      </c>
      <c r="Z301" s="231">
        <v>1.401666666666667E-2</v>
      </c>
      <c r="AA301" s="231">
        <v>2.2053399999999996</v>
      </c>
      <c r="AB301" s="231">
        <v>0.48569999999999969</v>
      </c>
      <c r="AC301" s="231">
        <v>3.8833333333333317E-2</v>
      </c>
      <c r="AD301" s="231">
        <v>1.8193333333333336E-2</v>
      </c>
      <c r="AE301" s="231">
        <v>0.45306666666666701</v>
      </c>
      <c r="AF301" s="231">
        <v>0.11442000000000001</v>
      </c>
      <c r="AG301" s="231">
        <v>0.9915466666666668</v>
      </c>
      <c r="AH301" s="231">
        <v>8.1406666666666683E-2</v>
      </c>
      <c r="AI301" s="231" t="s">
        <v>93</v>
      </c>
      <c r="AJ301" s="231">
        <v>0.38979999999999998</v>
      </c>
      <c r="AK301" s="231">
        <v>0.53521666666666678</v>
      </c>
      <c r="AL301" s="231">
        <v>0.60796666666666666</v>
      </c>
      <c r="AM301" s="231">
        <v>1.6910000000000005E-2</v>
      </c>
      <c r="AN301" s="231">
        <v>0.46628000000000025</v>
      </c>
      <c r="AO301" s="892" t="s">
        <v>21</v>
      </c>
    </row>
    <row r="302" spans="1:41" ht="13.15" customHeight="1">
      <c r="A302" s="892" t="s">
        <v>22</v>
      </c>
      <c r="B302" s="231">
        <v>1.7000000000000008</v>
      </c>
      <c r="C302" s="231">
        <v>1.9846258064516127</v>
      </c>
      <c r="D302" s="231">
        <v>1.2208451612903224</v>
      </c>
      <c r="E302" s="231">
        <v>0.46279999999999977</v>
      </c>
      <c r="F302" s="231">
        <v>0.24989677419354833</v>
      </c>
      <c r="G302" s="231">
        <v>0.26560967741935487</v>
      </c>
      <c r="H302" s="231">
        <v>0.21705806451612888</v>
      </c>
      <c r="I302" s="231">
        <v>2.2938225806451618</v>
      </c>
      <c r="J302" s="231" t="s">
        <v>93</v>
      </c>
      <c r="K302" s="231">
        <v>0.18254516129032253</v>
      </c>
      <c r="L302" s="231">
        <v>2.1704225806451616</v>
      </c>
      <c r="M302" s="231">
        <v>0.58423225806451617</v>
      </c>
      <c r="N302" s="231">
        <v>1.2393838709677418</v>
      </c>
      <c r="O302" s="231">
        <v>5.508103225806452</v>
      </c>
      <c r="P302" s="231">
        <v>0.18347419354838712</v>
      </c>
      <c r="Q302" s="231">
        <v>0.46782580645161292</v>
      </c>
      <c r="R302" s="231">
        <v>1.3329258064516132</v>
      </c>
      <c r="S302" s="231">
        <v>3.7335483870967724E-2</v>
      </c>
      <c r="T302" s="231">
        <v>1.0754999999999997</v>
      </c>
      <c r="U302" s="231">
        <v>0.60447096774193554</v>
      </c>
      <c r="V302" s="231">
        <v>0.63533870967741923</v>
      </c>
      <c r="W302" s="231">
        <v>0.3630870967741936</v>
      </c>
      <c r="X302" s="231">
        <v>1.9399999999999983E-2</v>
      </c>
      <c r="Y302" s="231">
        <v>9.8554838709677378E-2</v>
      </c>
      <c r="Z302" s="231">
        <v>1.4096774193548389E-2</v>
      </c>
      <c r="AA302" s="231">
        <v>2.3261387096774193</v>
      </c>
      <c r="AB302" s="231">
        <v>0.48569999999999969</v>
      </c>
      <c r="AC302" s="231">
        <v>3.8587096774193537E-2</v>
      </c>
      <c r="AD302" s="231">
        <v>1.78E-2</v>
      </c>
      <c r="AE302" s="231">
        <v>0.45308709677419334</v>
      </c>
      <c r="AF302" s="231">
        <v>0.1139741935483871</v>
      </c>
      <c r="AG302" s="231">
        <v>1.0012064516129029</v>
      </c>
      <c r="AH302" s="231">
        <v>8.1612903225806457E-2</v>
      </c>
      <c r="AI302" s="231" t="s">
        <v>93</v>
      </c>
      <c r="AJ302" s="231">
        <v>0.37970645161290312</v>
      </c>
      <c r="AK302" s="231">
        <v>0.55245483870967749</v>
      </c>
      <c r="AL302" s="231">
        <v>0.60872903225806452</v>
      </c>
      <c r="AM302" s="231">
        <v>1.6896774193548389E-2</v>
      </c>
      <c r="AN302" s="231">
        <v>0.4663193548387099</v>
      </c>
      <c r="AO302" s="892" t="s">
        <v>22</v>
      </c>
    </row>
    <row r="303" spans="1:41" ht="13.15" customHeight="1">
      <c r="A303" s="892" t="s">
        <v>23</v>
      </c>
      <c r="B303" s="231">
        <v>1.7000000000000006</v>
      </c>
      <c r="C303" s="231">
        <v>1.9567466666666669</v>
      </c>
      <c r="D303" s="231">
        <v>1.1939266666666668</v>
      </c>
      <c r="E303" s="231">
        <v>0.46279999999999977</v>
      </c>
      <c r="F303" s="231">
        <v>0.25084000000000006</v>
      </c>
      <c r="G303" s="231">
        <v>0.26178666666666667</v>
      </c>
      <c r="H303" s="231">
        <v>0.21689666666666665</v>
      </c>
      <c r="I303" s="231">
        <v>2.2647799999999996</v>
      </c>
      <c r="J303" s="231" t="s">
        <v>93</v>
      </c>
      <c r="K303" s="231">
        <v>0.17863999999999999</v>
      </c>
      <c r="L303" s="231">
        <v>2.1258366666666668</v>
      </c>
      <c r="M303" s="231">
        <v>0.57865333333333346</v>
      </c>
      <c r="N303" s="231">
        <v>1.2106800000000002</v>
      </c>
      <c r="O303" s="231">
        <v>5.5034666666666663</v>
      </c>
      <c r="P303" s="231">
        <v>0.17749666666666666</v>
      </c>
      <c r="Q303" s="231">
        <v>0.45972999999999986</v>
      </c>
      <c r="R303" s="231">
        <v>1.3194400000000004</v>
      </c>
      <c r="S303" s="231">
        <v>3.6729999999999978E-2</v>
      </c>
      <c r="T303" s="231">
        <v>1.0575666666666665</v>
      </c>
      <c r="U303" s="231">
        <v>0.61310000000000009</v>
      </c>
      <c r="V303" s="231">
        <v>0.64075999999999977</v>
      </c>
      <c r="W303" s="231">
        <v>0.34904333333333332</v>
      </c>
      <c r="X303" s="231">
        <v>1.9399999999999983E-2</v>
      </c>
      <c r="Y303" s="231">
        <v>9.754999999999997E-2</v>
      </c>
      <c r="Z303" s="231">
        <v>1.4143333333333334E-2</v>
      </c>
      <c r="AA303" s="231">
        <v>2.3153100000000006</v>
      </c>
      <c r="AB303" s="231">
        <v>0.48569999999999969</v>
      </c>
      <c r="AC303" s="231">
        <v>3.8010000000000023E-2</v>
      </c>
      <c r="AD303" s="231">
        <v>1.7903333333333341E-2</v>
      </c>
      <c r="AE303" s="231">
        <v>0.45284333333333321</v>
      </c>
      <c r="AF303" s="231">
        <v>0.11096999999999997</v>
      </c>
      <c r="AG303" s="231">
        <v>0.98267000000000004</v>
      </c>
      <c r="AH303" s="231">
        <v>8.0836666666666654E-2</v>
      </c>
      <c r="AI303" s="231"/>
      <c r="AJ303" s="231">
        <v>0.37334666666666666</v>
      </c>
      <c r="AK303" s="231">
        <v>0.55273666666666654</v>
      </c>
      <c r="AL303" s="231">
        <v>0.61039333333333323</v>
      </c>
      <c r="AM303" s="231">
        <v>1.6680000000000004E-2</v>
      </c>
      <c r="AN303" s="231">
        <v>0.46632333333333353</v>
      </c>
      <c r="AO303" s="892" t="s">
        <v>23</v>
      </c>
    </row>
    <row r="304" spans="1:41" s="743" customFormat="1" ht="18.75" customHeight="1">
      <c r="A304" s="2440" t="s">
        <v>4147</v>
      </c>
      <c r="B304" s="2440"/>
      <c r="C304" s="2440"/>
      <c r="D304" s="2440"/>
      <c r="E304" s="2440"/>
      <c r="F304" s="2440"/>
      <c r="G304" s="2440"/>
      <c r="H304" s="2440"/>
      <c r="I304" s="2440"/>
      <c r="J304" s="2440"/>
      <c r="K304" s="2440"/>
      <c r="L304" s="2440"/>
      <c r="M304" s="2440"/>
      <c r="N304" s="2440"/>
      <c r="O304" s="2440"/>
      <c r="P304" s="2440"/>
      <c r="Q304" s="2440"/>
      <c r="R304" s="2440"/>
      <c r="S304" s="2440"/>
      <c r="T304" s="2440"/>
      <c r="U304" s="2440"/>
      <c r="V304" s="2440"/>
      <c r="W304" s="2440"/>
      <c r="X304" s="2440"/>
      <c r="Y304" s="2440"/>
      <c r="Z304" s="2440"/>
      <c r="AA304" s="2440"/>
      <c r="AB304" s="2440"/>
      <c r="AC304" s="2440"/>
      <c r="AD304" s="2440"/>
      <c r="AE304" s="2440"/>
      <c r="AF304" s="2440"/>
      <c r="AG304" s="2441"/>
      <c r="AH304" s="2441"/>
      <c r="AI304" s="2441"/>
      <c r="AJ304" s="2440"/>
      <c r="AK304" s="2440"/>
      <c r="AL304" s="2440"/>
      <c r="AM304" s="2440"/>
      <c r="AN304" s="2440"/>
      <c r="AO304" s="2442"/>
    </row>
    <row r="305" spans="1:44" s="743" customFormat="1" ht="18.75" customHeight="1">
      <c r="A305" s="2443" t="s">
        <v>4146</v>
      </c>
      <c r="B305" s="2443"/>
      <c r="C305" s="2443"/>
      <c r="D305" s="2443"/>
      <c r="E305" s="2443"/>
      <c r="F305" s="2443"/>
      <c r="G305" s="2443"/>
      <c r="H305" s="2443"/>
      <c r="I305" s="2443"/>
      <c r="J305" s="2443"/>
      <c r="K305" s="2443"/>
      <c r="L305" s="2443"/>
      <c r="M305" s="2443"/>
      <c r="N305" s="2443"/>
      <c r="O305" s="2443"/>
      <c r="P305" s="2443"/>
      <c r="Q305" s="2443"/>
      <c r="R305" s="2443"/>
      <c r="S305" s="2443"/>
      <c r="T305" s="2443"/>
      <c r="U305" s="2443"/>
      <c r="V305" s="2443"/>
      <c r="W305" s="2443"/>
      <c r="X305" s="2443"/>
      <c r="Y305" s="2443"/>
      <c r="Z305" s="2443"/>
      <c r="AA305" s="2443"/>
      <c r="AB305" s="2443"/>
      <c r="AC305" s="2443"/>
      <c r="AD305" s="2443"/>
      <c r="AE305" s="2443"/>
      <c r="AF305" s="2443"/>
      <c r="AG305" s="2443"/>
      <c r="AH305" s="2443"/>
      <c r="AI305" s="2443"/>
      <c r="AJ305" s="2443"/>
      <c r="AK305" s="2443"/>
      <c r="AL305" s="2443"/>
      <c r="AM305" s="2443"/>
      <c r="AN305" s="2443"/>
      <c r="AO305" s="2443"/>
    </row>
    <row r="306" spans="1:44" s="743" customFormat="1" ht="18.75" customHeight="1">
      <c r="A306" s="2443" t="s">
        <v>4145</v>
      </c>
      <c r="B306" s="2443"/>
      <c r="C306" s="2443"/>
      <c r="D306" s="2443"/>
      <c r="E306" s="2443"/>
      <c r="F306" s="2443"/>
      <c r="G306" s="2443"/>
      <c r="H306" s="2443"/>
      <c r="I306" s="2443"/>
      <c r="J306" s="2443"/>
      <c r="K306" s="2443"/>
      <c r="L306" s="2443"/>
      <c r="M306" s="2443"/>
      <c r="N306" s="2443"/>
      <c r="O306" s="2443"/>
      <c r="P306" s="2443"/>
      <c r="Q306" s="2443"/>
      <c r="R306" s="2443"/>
      <c r="S306" s="2443"/>
      <c r="T306" s="2443"/>
      <c r="U306" s="2443"/>
      <c r="V306" s="2443"/>
      <c r="W306" s="2443"/>
      <c r="X306" s="2443"/>
      <c r="Y306" s="2443"/>
      <c r="Z306" s="2443"/>
      <c r="AA306" s="2443"/>
      <c r="AB306" s="2443"/>
      <c r="AC306" s="2443"/>
      <c r="AD306" s="2443"/>
      <c r="AE306" s="2443"/>
      <c r="AF306" s="2443"/>
      <c r="AG306" s="2443"/>
      <c r="AH306" s="2443"/>
      <c r="AI306" s="2443"/>
      <c r="AJ306" s="2443"/>
      <c r="AK306" s="2443"/>
      <c r="AL306" s="2443"/>
      <c r="AM306" s="2443"/>
      <c r="AN306" s="2443"/>
      <c r="AO306" s="2443"/>
    </row>
    <row r="307" spans="1:44" s="743" customFormat="1" ht="16.5" customHeight="1">
      <c r="A307" s="2443" t="s">
        <v>4144</v>
      </c>
      <c r="B307" s="2443"/>
      <c r="C307" s="2443"/>
      <c r="D307" s="2443"/>
      <c r="E307" s="2443"/>
      <c r="F307" s="2443"/>
      <c r="G307" s="2443"/>
      <c r="H307" s="2443"/>
      <c r="I307" s="2443"/>
      <c r="J307" s="2443"/>
      <c r="K307" s="2443"/>
      <c r="L307" s="2443"/>
      <c r="M307" s="2443"/>
      <c r="N307" s="2443"/>
      <c r="O307" s="2443"/>
      <c r="P307" s="2443"/>
      <c r="Q307" s="2443"/>
      <c r="R307" s="2443"/>
      <c r="S307" s="2443"/>
      <c r="T307" s="2443"/>
      <c r="U307" s="2443"/>
      <c r="V307" s="2443"/>
      <c r="W307" s="2443"/>
      <c r="X307" s="2443"/>
      <c r="Y307" s="2443"/>
      <c r="Z307" s="2443"/>
      <c r="AA307" s="2443"/>
      <c r="AB307" s="2443"/>
      <c r="AC307" s="2443"/>
      <c r="AD307" s="2443"/>
      <c r="AE307" s="2443"/>
      <c r="AF307" s="2443"/>
      <c r="AG307" s="2443"/>
      <c r="AH307" s="2443"/>
      <c r="AI307" s="2443"/>
      <c r="AJ307" s="2443"/>
      <c r="AK307" s="2443"/>
      <c r="AL307" s="2443"/>
      <c r="AM307" s="2443"/>
      <c r="AN307" s="2443"/>
      <c r="AO307" s="2443"/>
    </row>
    <row r="308" spans="1:44" s="743" customFormat="1" ht="18.75" customHeight="1">
      <c r="A308" s="2444" t="s">
        <v>2681</v>
      </c>
      <c r="B308" s="2444"/>
      <c r="C308" s="2444"/>
      <c r="D308" s="2444"/>
      <c r="E308" s="2444"/>
      <c r="F308" s="2444"/>
      <c r="G308" s="2444"/>
      <c r="H308" s="2444"/>
      <c r="I308" s="2444"/>
      <c r="J308" s="2444"/>
      <c r="K308" s="2444"/>
      <c r="L308" s="2444"/>
      <c r="M308" s="2444"/>
      <c r="N308" s="2444"/>
      <c r="O308" s="2444"/>
      <c r="P308" s="2444"/>
      <c r="Q308" s="2444"/>
      <c r="R308" s="2444"/>
      <c r="S308" s="2444"/>
      <c r="T308" s="2444"/>
      <c r="U308" s="2444"/>
      <c r="V308" s="2444"/>
      <c r="W308" s="2444"/>
      <c r="X308" s="2444"/>
      <c r="Y308" s="2444"/>
      <c r="Z308" s="2444"/>
      <c r="AA308" s="2444"/>
      <c r="AB308" s="2444"/>
      <c r="AC308" s="2444"/>
      <c r="AD308" s="2444"/>
      <c r="AE308" s="2444"/>
      <c r="AF308" s="2444"/>
      <c r="AG308" s="2444"/>
      <c r="AH308" s="2444"/>
      <c r="AI308" s="2444"/>
      <c r="AJ308" s="2444"/>
      <c r="AK308" s="2444"/>
      <c r="AL308" s="2444"/>
      <c r="AM308" s="2444"/>
      <c r="AN308" s="2444"/>
      <c r="AO308" s="2444"/>
    </row>
    <row r="309" spans="1:44" ht="14.1" customHeight="1">
      <c r="B309" s="147"/>
      <c r="C309" s="1667"/>
      <c r="D309" s="147"/>
      <c r="E309" s="147"/>
      <c r="F309" s="147"/>
      <c r="G309" s="147"/>
      <c r="H309" s="147"/>
      <c r="I309" s="147"/>
      <c r="J309" s="147"/>
      <c r="K309" s="147"/>
      <c r="L309" s="147"/>
      <c r="M309" s="147"/>
      <c r="N309" s="147"/>
      <c r="O309" s="147"/>
      <c r="P309" s="147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  <c r="AA309" s="147"/>
      <c r="AB309" s="147"/>
      <c r="AC309" s="147"/>
      <c r="AD309" s="147"/>
      <c r="AE309" s="147"/>
      <c r="AF309" s="147"/>
      <c r="AG309" s="147"/>
      <c r="AH309" s="147"/>
      <c r="AI309" s="147"/>
      <c r="AJ309" s="147"/>
      <c r="AK309" s="147"/>
      <c r="AL309" s="147"/>
      <c r="AM309" s="147"/>
      <c r="AN309" s="147"/>
      <c r="AO309" s="147"/>
      <c r="AP309" s="147"/>
      <c r="AQ309" s="147"/>
      <c r="AR309" s="147"/>
    </row>
    <row r="310" spans="1:44" ht="14.1" customHeight="1">
      <c r="C310" s="1667"/>
      <c r="AN310" s="145"/>
    </row>
    <row r="311" spans="1:44" ht="14.1" customHeight="1">
      <c r="AO311" s="143"/>
    </row>
    <row r="315" spans="1:44" ht="14.1" customHeight="1">
      <c r="D315" s="2008"/>
    </row>
  </sheetData>
  <mergeCells count="7">
    <mergeCell ref="A304:AO304"/>
    <mergeCell ref="A306:AO306"/>
    <mergeCell ref="A308:AO308"/>
    <mergeCell ref="A2:AO2"/>
    <mergeCell ref="A3:AO3"/>
    <mergeCell ref="A305:AO305"/>
    <mergeCell ref="A307:AO307"/>
  </mergeCells>
  <pageMargins left="0.17" right="0.17" top="0.33" bottom="0.75" header="0.17" footer="0.3"/>
  <pageSetup scale="22" orientation="landscape" r:id="rId1"/>
  <ignoredErrors>
    <ignoredError sqref="A21:A229 AO21:AO192 AO220:AO229 AO194:AO218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2">
    <tabColor rgb="FF92D050"/>
  </sheetPr>
  <dimension ref="A1:XFA111"/>
  <sheetViews>
    <sheetView showGridLines="0" view="pageBreakPreview" zoomScaleSheetLayoutView="100" workbookViewId="0">
      <pane ySplit="7" topLeftCell="A79" activePane="bottomLeft" state="frozen"/>
      <selection activeCell="F40" sqref="F40"/>
      <selection pane="bottomLeft" activeCell="F40" sqref="F40"/>
    </sheetView>
  </sheetViews>
  <sheetFormatPr defaultColWidth="8.85546875" defaultRowHeight="12.75"/>
  <cols>
    <col min="1" max="1" width="8.5703125" style="83" customWidth="1"/>
    <col min="2" max="20" width="10.7109375" style="14" customWidth="1"/>
    <col min="21" max="16384" width="8.85546875" style="14"/>
  </cols>
  <sheetData>
    <row r="1" spans="1:20" ht="8.25" customHeight="1"/>
    <row r="2" spans="1:20" s="467" customFormat="1" ht="18.75" customHeight="1">
      <c r="A2" s="2447" t="s">
        <v>4196</v>
      </c>
      <c r="B2" s="2447"/>
      <c r="C2" s="2447"/>
      <c r="D2" s="2447"/>
      <c r="E2" s="2447"/>
      <c r="F2" s="2447"/>
      <c r="G2" s="2447"/>
      <c r="H2" s="2447"/>
      <c r="I2" s="2447"/>
      <c r="J2" s="2447"/>
      <c r="K2" s="2447"/>
      <c r="L2" s="2447"/>
      <c r="M2" s="2447"/>
      <c r="N2" s="2447"/>
      <c r="O2" s="2447"/>
      <c r="P2" s="2447"/>
      <c r="Q2" s="2447"/>
      <c r="R2" s="2447"/>
      <c r="S2" s="2447"/>
      <c r="T2" s="2447"/>
    </row>
    <row r="3" spans="1:20" s="467" customFormat="1" ht="24" customHeight="1">
      <c r="A3" s="2448" t="s">
        <v>4197</v>
      </c>
      <c r="B3" s="2448"/>
      <c r="C3" s="2448"/>
      <c r="D3" s="2448"/>
      <c r="E3" s="2448"/>
      <c r="F3" s="2448"/>
      <c r="G3" s="2448"/>
      <c r="H3" s="2448"/>
      <c r="I3" s="2448"/>
      <c r="J3" s="2448"/>
      <c r="K3" s="2448"/>
      <c r="L3" s="2448"/>
      <c r="M3" s="2448"/>
      <c r="N3" s="2448"/>
      <c r="O3" s="2448"/>
      <c r="P3" s="2448"/>
      <c r="Q3" s="2448"/>
      <c r="R3" s="2448"/>
      <c r="S3" s="2448"/>
      <c r="T3" s="2448"/>
    </row>
    <row r="4" spans="1:20" s="467" customFormat="1" ht="11.25" customHeight="1">
      <c r="A4" s="486"/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  <c r="P4" s="486"/>
      <c r="Q4" s="486"/>
      <c r="R4" s="486"/>
      <c r="S4" s="486"/>
      <c r="T4" s="486"/>
    </row>
    <row r="5" spans="1:20" ht="11.25" customHeight="1">
      <c r="A5" s="468"/>
      <c r="B5" s="469"/>
      <c r="C5" s="469"/>
      <c r="D5" s="469"/>
      <c r="E5" s="469"/>
      <c r="F5" s="469"/>
      <c r="G5" s="469"/>
      <c r="H5" s="469"/>
      <c r="I5" s="469"/>
      <c r="J5" s="469"/>
      <c r="K5" s="469"/>
      <c r="L5" s="469"/>
      <c r="M5" s="469"/>
      <c r="N5" s="469"/>
      <c r="O5" s="469"/>
      <c r="P5" s="469"/>
      <c r="Q5" s="469"/>
      <c r="R5" s="469"/>
      <c r="S5" s="469"/>
      <c r="T5" s="469"/>
    </row>
    <row r="6" spans="1:20" s="83" customFormat="1" ht="43.5" customHeight="1">
      <c r="A6" s="1245" t="s">
        <v>182</v>
      </c>
      <c r="B6" s="1230" t="s">
        <v>236</v>
      </c>
      <c r="C6" s="1230" t="s">
        <v>3462</v>
      </c>
      <c r="D6" s="1230" t="s">
        <v>3463</v>
      </c>
      <c r="E6" s="1230" t="s">
        <v>3464</v>
      </c>
      <c r="F6" s="1230" t="s">
        <v>258</v>
      </c>
      <c r="G6" s="1230" t="s">
        <v>259</v>
      </c>
      <c r="H6" s="1230" t="s">
        <v>3465</v>
      </c>
      <c r="I6" s="1230" t="s">
        <v>3466</v>
      </c>
      <c r="J6" s="1230" t="s">
        <v>3467</v>
      </c>
      <c r="K6" s="1230" t="s">
        <v>3468</v>
      </c>
      <c r="L6" s="1230" t="s">
        <v>240</v>
      </c>
      <c r="M6" s="1230" t="s">
        <v>3487</v>
      </c>
      <c r="N6" s="1230" t="s">
        <v>3488</v>
      </c>
      <c r="O6" s="1230" t="s">
        <v>245</v>
      </c>
      <c r="P6" s="1230" t="s">
        <v>1052</v>
      </c>
      <c r="Q6" s="1230" t="s">
        <v>4352</v>
      </c>
      <c r="R6" s="1230" t="s">
        <v>250</v>
      </c>
      <c r="S6" s="1230" t="s">
        <v>4149</v>
      </c>
      <c r="T6" s="1230" t="s">
        <v>2639</v>
      </c>
    </row>
    <row r="7" spans="1:20" ht="39" customHeight="1">
      <c r="A7" s="1246" t="s">
        <v>283</v>
      </c>
      <c r="B7" s="1229" t="s">
        <v>3472</v>
      </c>
      <c r="C7" s="1229" t="s">
        <v>3473</v>
      </c>
      <c r="D7" s="1229" t="s">
        <v>3489</v>
      </c>
      <c r="E7" s="1229" t="s">
        <v>3475</v>
      </c>
      <c r="F7" s="1229" t="s">
        <v>3476</v>
      </c>
      <c r="G7" s="1229" t="s">
        <v>3477</v>
      </c>
      <c r="H7" s="1229" t="s">
        <v>3478</v>
      </c>
      <c r="I7" s="1229" t="s">
        <v>3479</v>
      </c>
      <c r="J7" s="1229" t="s">
        <v>3480</v>
      </c>
      <c r="K7" s="1229" t="s">
        <v>3481</v>
      </c>
      <c r="L7" s="1229" t="s">
        <v>3482</v>
      </c>
      <c r="M7" s="1229" t="s">
        <v>3483</v>
      </c>
      <c r="N7" s="1229" t="s">
        <v>3484</v>
      </c>
      <c r="O7" s="1229" t="s">
        <v>3485</v>
      </c>
      <c r="P7" s="1229" t="s">
        <v>4322</v>
      </c>
      <c r="Q7" s="1229" t="s">
        <v>4323</v>
      </c>
      <c r="R7" s="1229" t="s">
        <v>4324</v>
      </c>
      <c r="S7" s="1229" t="s">
        <v>4325</v>
      </c>
      <c r="T7" s="1229" t="s">
        <v>4326</v>
      </c>
    </row>
    <row r="8" spans="1:20" s="90" customFormat="1">
      <c r="A8" s="311" t="s">
        <v>2362</v>
      </c>
      <c r="B8" s="581"/>
      <c r="C8" s="1247"/>
      <c r="D8" s="1247"/>
      <c r="E8" s="1247"/>
      <c r="F8" s="1247"/>
      <c r="G8" s="1247"/>
      <c r="H8" s="1247"/>
      <c r="I8" s="1247"/>
      <c r="J8" s="1247"/>
      <c r="K8" s="1247"/>
      <c r="L8" s="1247"/>
      <c r="M8" s="1247"/>
      <c r="N8" s="1247"/>
      <c r="O8" s="581"/>
      <c r="P8" s="581"/>
      <c r="Q8" s="581"/>
      <c r="R8" s="581"/>
      <c r="S8" s="581"/>
      <c r="T8" s="581"/>
    </row>
    <row r="9" spans="1:20">
      <c r="A9" s="37" t="s">
        <v>18</v>
      </c>
      <c r="B9" s="457">
        <v>0</v>
      </c>
      <c r="C9" s="457">
        <v>-8.8768861249093334E-3</v>
      </c>
      <c r="D9" s="457">
        <v>-0.26997972981772023</v>
      </c>
      <c r="E9" s="457">
        <v>-1.1742508324084469</v>
      </c>
      <c r="F9" s="457">
        <v>1.6825775656324566</v>
      </c>
      <c r="G9" s="457">
        <v>-2.2568511552928641</v>
      </c>
      <c r="H9" s="457">
        <v>0.61029536977532928</v>
      </c>
      <c r="I9" s="457">
        <v>1.7505470459518762</v>
      </c>
      <c r="J9" s="457">
        <v>-0.23290751043832358</v>
      </c>
      <c r="K9" s="457">
        <v>0.45362537664748004</v>
      </c>
      <c r="L9" s="457">
        <v>1.3136704244473236</v>
      </c>
      <c r="M9" s="457">
        <v>-0.42382877317564294</v>
      </c>
      <c r="N9" s="457">
        <v>0.81490882372588658</v>
      </c>
      <c r="O9" s="457">
        <v>1.3710697927903652</v>
      </c>
      <c r="P9" s="457"/>
      <c r="Q9" s="457"/>
      <c r="R9" s="457"/>
      <c r="S9" s="457"/>
      <c r="T9" s="457"/>
    </row>
    <row r="10" spans="1:20">
      <c r="A10" s="37" t="s">
        <v>19</v>
      </c>
      <c r="B10" s="457">
        <v>0</v>
      </c>
      <c r="C10" s="457">
        <v>-1.8428957156015287</v>
      </c>
      <c r="D10" s="457">
        <v>-1.0788961553906518</v>
      </c>
      <c r="E10" s="457">
        <v>-3.4075165524896107</v>
      </c>
      <c r="F10" s="457">
        <v>-1.6118014978191155</v>
      </c>
      <c r="G10" s="457">
        <v>-3.8543731895471325</v>
      </c>
      <c r="H10" s="457">
        <v>1.6986134575631695</v>
      </c>
      <c r="I10" s="457">
        <v>1.7505470459518762</v>
      </c>
      <c r="J10" s="457">
        <v>-0.74886809850913494</v>
      </c>
      <c r="K10" s="457">
        <v>1.2425588454561165</v>
      </c>
      <c r="L10" s="457">
        <v>0.3105756825711552</v>
      </c>
      <c r="M10" s="457">
        <v>-3.7460452184214006</v>
      </c>
      <c r="N10" s="457">
        <v>-1.7788413922088466</v>
      </c>
      <c r="O10" s="457">
        <v>0.74614839146404677</v>
      </c>
      <c r="P10" s="457"/>
      <c r="Q10" s="457"/>
      <c r="R10" s="457"/>
      <c r="S10" s="457"/>
      <c r="T10" s="457"/>
    </row>
    <row r="11" spans="1:20">
      <c r="A11" s="37" t="s">
        <v>20</v>
      </c>
      <c r="B11" s="457">
        <v>0</v>
      </c>
      <c r="C11" s="457">
        <v>-0.2681843865815523</v>
      </c>
      <c r="D11" s="457">
        <v>-5.6859235809786952</v>
      </c>
      <c r="E11" s="457">
        <v>-7.5937846836848593</v>
      </c>
      <c r="F11" s="457">
        <v>-15.441527446300682</v>
      </c>
      <c r="G11" s="457">
        <v>-10.303600214938186</v>
      </c>
      <c r="H11" s="457">
        <v>-4.9576199029899328</v>
      </c>
      <c r="I11" s="457">
        <v>-7.2939460247994532</v>
      </c>
      <c r="J11" s="457">
        <v>1.3435696598597531</v>
      </c>
      <c r="K11" s="457">
        <v>-3.0144988692332788</v>
      </c>
      <c r="L11" s="457">
        <v>-0.11180173825081852</v>
      </c>
      <c r="M11" s="457">
        <v>-12.334616814806836</v>
      </c>
      <c r="N11" s="457">
        <v>-3.8006813172132894</v>
      </c>
      <c r="O11" s="457">
        <v>2.615783167159961</v>
      </c>
      <c r="P11" s="457"/>
      <c r="Q11" s="457"/>
      <c r="R11" s="457"/>
      <c r="S11" s="457"/>
      <c r="T11" s="457"/>
    </row>
    <row r="12" spans="1:20">
      <c r="A12" s="37" t="s">
        <v>21</v>
      </c>
      <c r="B12" s="457">
        <v>0</v>
      </c>
      <c r="C12" s="457">
        <v>-2.2236087614866307</v>
      </c>
      <c r="D12" s="457">
        <v>-5.3399849239614525</v>
      </c>
      <c r="E12" s="457">
        <v>-14.387014428412897</v>
      </c>
      <c r="F12" s="457">
        <v>-16.211217183770842</v>
      </c>
      <c r="G12" s="457">
        <v>-13.259597587915721</v>
      </c>
      <c r="H12" s="457">
        <v>-8.8247648449358849</v>
      </c>
      <c r="I12" s="457">
        <v>-11.439338682227074</v>
      </c>
      <c r="J12" s="457">
        <v>1.277137143982003</v>
      </c>
      <c r="K12" s="457">
        <v>-2.7024555989987391</v>
      </c>
      <c r="L12" s="457">
        <v>-0.85044742878183399</v>
      </c>
      <c r="M12" s="457">
        <v>-15.745039004242273</v>
      </c>
      <c r="N12" s="457">
        <v>-4.1164770407973776</v>
      </c>
      <c r="O12" s="457">
        <v>1.3520510054386961</v>
      </c>
      <c r="P12" s="457"/>
      <c r="Q12" s="457"/>
      <c r="R12" s="457"/>
      <c r="S12" s="457"/>
      <c r="T12" s="457"/>
    </row>
    <row r="13" spans="1:20">
      <c r="A13" s="37" t="s">
        <v>22</v>
      </c>
      <c r="B13" s="457">
        <v>0</v>
      </c>
      <c r="C13" s="457">
        <v>-2.0080540670649469</v>
      </c>
      <c r="D13" s="457">
        <v>-6.2025889696063103</v>
      </c>
      <c r="E13" s="457">
        <v>-15.560488346281971</v>
      </c>
      <c r="F13" s="457">
        <v>-13.77088305489255</v>
      </c>
      <c r="G13" s="457">
        <v>-11.808167651800076</v>
      </c>
      <c r="H13" s="457">
        <v>-9.5345605159220241</v>
      </c>
      <c r="I13" s="457">
        <v>-8.5339168490152417</v>
      </c>
      <c r="J13" s="457">
        <v>1.9422082698743282</v>
      </c>
      <c r="K13" s="457">
        <v>-1.2415357328885221</v>
      </c>
      <c r="L13" s="457">
        <v>-1.1832350631547257</v>
      </c>
      <c r="M13" s="457">
        <v>-12.997948828673245</v>
      </c>
      <c r="N13" s="457">
        <v>-4.5087168525816423</v>
      </c>
      <c r="O13" s="457">
        <v>1.3652839006618649</v>
      </c>
      <c r="P13" s="457"/>
      <c r="Q13" s="457"/>
      <c r="R13" s="457"/>
      <c r="S13" s="457"/>
      <c r="T13" s="457"/>
    </row>
    <row r="14" spans="1:20">
      <c r="A14" s="37" t="s">
        <v>23</v>
      </c>
      <c r="B14" s="457">
        <v>0</v>
      </c>
      <c r="C14" s="457">
        <v>1.341075571321511</v>
      </c>
      <c r="D14" s="457">
        <v>-4.5054398648846927</v>
      </c>
      <c r="E14" s="457">
        <v>-14.205808361080301</v>
      </c>
      <c r="F14" s="457">
        <v>-9.3922036595067908</v>
      </c>
      <c r="G14" s="457">
        <v>-11.533673652158299</v>
      </c>
      <c r="H14" s="457">
        <v>-4.8030959718307997</v>
      </c>
      <c r="I14" s="457">
        <v>-4.5805981035740899</v>
      </c>
      <c r="J14" s="457">
        <v>1.523589483245118</v>
      </c>
      <c r="K14" s="457">
        <v>0.53720761053270394</v>
      </c>
      <c r="L14" s="457">
        <v>-1.0209894453835204</v>
      </c>
      <c r="M14" s="457">
        <v>-11.553052566763014</v>
      </c>
      <c r="N14" s="457">
        <v>-2.8763758080437469</v>
      </c>
      <c r="O14" s="457">
        <v>3.3817419641424067</v>
      </c>
      <c r="P14" s="457"/>
      <c r="Q14" s="457"/>
      <c r="R14" s="457"/>
      <c r="S14" s="457"/>
      <c r="T14" s="457"/>
    </row>
    <row r="15" spans="1:20">
      <c r="A15" s="37" t="s">
        <v>24</v>
      </c>
      <c r="B15" s="457">
        <v>0</v>
      </c>
      <c r="C15" s="457">
        <v>2.8300195803622614</v>
      </c>
      <c r="D15" s="457">
        <v>-3.6772801784817375</v>
      </c>
      <c r="E15" s="457">
        <v>-14.811320754717016</v>
      </c>
      <c r="F15" s="457">
        <v>-11.789976133651521</v>
      </c>
      <c r="G15" s="457">
        <v>-13.567974207415375</v>
      </c>
      <c r="H15" s="457">
        <v>-5.5701125558247355</v>
      </c>
      <c r="I15" s="457">
        <v>-6.7833698030634082</v>
      </c>
      <c r="J15" s="457">
        <v>2.2010174162600009</v>
      </c>
      <c r="K15" s="457">
        <v>1.1577996531875385</v>
      </c>
      <c r="L15" s="457">
        <v>-2.6619461488195384E-3</v>
      </c>
      <c r="M15" s="457">
        <v>-12.582916501733308</v>
      </c>
      <c r="N15" s="457">
        <v>-2.2376594749849801</v>
      </c>
      <c r="O15" s="457">
        <v>5.0882255228766695</v>
      </c>
      <c r="P15" s="457"/>
      <c r="Q15" s="457"/>
      <c r="R15" s="457"/>
      <c r="S15" s="457"/>
      <c r="T15" s="457"/>
    </row>
    <row r="16" spans="1:20">
      <c r="A16" s="37" t="s">
        <v>25</v>
      </c>
      <c r="B16" s="457">
        <v>0</v>
      </c>
      <c r="C16" s="457">
        <v>6.4217442739816732</v>
      </c>
      <c r="D16" s="457">
        <v>9.0571977956017236E-2</v>
      </c>
      <c r="E16" s="457">
        <v>-19.375138734739181</v>
      </c>
      <c r="F16" s="457">
        <v>-14.618138424820955</v>
      </c>
      <c r="G16" s="457">
        <v>-14.203833064660543</v>
      </c>
      <c r="H16" s="457">
        <v>-5.8629005235026739</v>
      </c>
      <c r="I16" s="457">
        <v>-7.7315827862873334</v>
      </c>
      <c r="J16" s="457">
        <v>3.0284192749614505</v>
      </c>
      <c r="K16" s="457">
        <v>2.198236926951779</v>
      </c>
      <c r="L16" s="457">
        <v>1.1539536555175545</v>
      </c>
      <c r="M16" s="457">
        <v>-15.597698529793973</v>
      </c>
      <c r="N16" s="457">
        <v>-1.1377552156390891</v>
      </c>
      <c r="O16" s="457">
        <v>8.0500423676617316</v>
      </c>
      <c r="P16" s="457"/>
      <c r="Q16" s="457"/>
      <c r="R16" s="457"/>
      <c r="S16" s="457"/>
      <c r="T16" s="457"/>
    </row>
    <row r="17" spans="1:20">
      <c r="A17" s="37" t="s">
        <v>26</v>
      </c>
      <c r="B17" s="457">
        <v>0</v>
      </c>
      <c r="C17" s="457">
        <v>6.1320903416633712</v>
      </c>
      <c r="D17" s="457">
        <v>-1.1189690420349336</v>
      </c>
      <c r="E17" s="457">
        <v>-22.291268960414371</v>
      </c>
      <c r="F17" s="457">
        <v>-17.012728719172614</v>
      </c>
      <c r="G17" s="457">
        <v>-15.679592811511128</v>
      </c>
      <c r="H17" s="457">
        <v>-8.6879656637900382</v>
      </c>
      <c r="I17" s="457">
        <v>-9.5550692924871896</v>
      </c>
      <c r="J17" s="457">
        <v>3.4138425249605291</v>
      </c>
      <c r="K17" s="457">
        <v>1.5952931971578153</v>
      </c>
      <c r="L17" s="457">
        <v>2.9509891348231179</v>
      </c>
      <c r="M17" s="457">
        <v>-19.319341652638983</v>
      </c>
      <c r="N17" s="457">
        <v>-0.35245919889564448</v>
      </c>
      <c r="O17" s="457">
        <v>7.5903998984668988</v>
      </c>
      <c r="P17" s="457"/>
      <c r="Q17" s="457"/>
      <c r="R17" s="457"/>
      <c r="S17" s="457"/>
      <c r="T17" s="457"/>
    </row>
    <row r="18" spans="1:20">
      <c r="A18" s="37" t="s">
        <v>27</v>
      </c>
      <c r="B18" s="457">
        <v>0</v>
      </c>
      <c r="C18" s="457">
        <v>5.8095805500596498</v>
      </c>
      <c r="D18" s="457">
        <v>-1.1392392243219263</v>
      </c>
      <c r="E18" s="457">
        <v>-26.250832408435102</v>
      </c>
      <c r="F18" s="457">
        <v>-18.914081145584731</v>
      </c>
      <c r="G18" s="457">
        <v>-16.689056063048497</v>
      </c>
      <c r="H18" s="457">
        <v>-10.079486714677273</v>
      </c>
      <c r="I18" s="457">
        <v>-9.7738876732311724</v>
      </c>
      <c r="J18" s="457">
        <v>3.7909634372507384</v>
      </c>
      <c r="K18" s="457">
        <v>2.278016971391267</v>
      </c>
      <c r="L18" s="457">
        <v>4.2977120572851248</v>
      </c>
      <c r="M18" s="457">
        <v>-18.463740648777886</v>
      </c>
      <c r="N18" s="457">
        <v>2.5070692227194371</v>
      </c>
      <c r="O18" s="457">
        <v>7.708861373757415</v>
      </c>
      <c r="P18" s="457"/>
      <c r="Q18" s="457"/>
      <c r="R18" s="457"/>
      <c r="S18" s="457"/>
      <c r="T18" s="457"/>
    </row>
    <row r="19" spans="1:20">
      <c r="A19" s="37" t="s">
        <v>28</v>
      </c>
      <c r="B19" s="457">
        <v>0</v>
      </c>
      <c r="C19" s="457">
        <v>6.4134477996418298</v>
      </c>
      <c r="D19" s="457">
        <v>0.60723254379458069</v>
      </c>
      <c r="E19" s="457">
        <v>-26.589752127265996</v>
      </c>
      <c r="F19" s="457">
        <v>-18.258154335719979</v>
      </c>
      <c r="G19" s="457">
        <v>-16.665174040241183</v>
      </c>
      <c r="H19" s="457">
        <v>-12.579646933233718</v>
      </c>
      <c r="I19" s="457">
        <v>-10.459518599562344</v>
      </c>
      <c r="J19" s="457">
        <v>4.7379617829995482</v>
      </c>
      <c r="K19" s="457">
        <v>3.3394651879885942</v>
      </c>
      <c r="L19" s="457">
        <v>6.1610299956965235</v>
      </c>
      <c r="M19" s="457">
        <v>-18.321131596168456</v>
      </c>
      <c r="N19" s="457">
        <v>5.1417184334157326</v>
      </c>
      <c r="O19" s="457">
        <v>8.0249203973227878</v>
      </c>
      <c r="P19" s="457"/>
      <c r="Q19" s="457"/>
      <c r="R19" s="457"/>
      <c r="S19" s="457"/>
      <c r="T19" s="457"/>
    </row>
    <row r="20" spans="1:20">
      <c r="A20" s="37" t="s">
        <v>29</v>
      </c>
      <c r="B20" s="457">
        <v>0</v>
      </c>
      <c r="C20" s="457">
        <v>9.5126077389375894</v>
      </c>
      <c r="D20" s="457">
        <v>2.5076573832800761</v>
      </c>
      <c r="E20" s="457">
        <v>-24.280799112097668</v>
      </c>
      <c r="F20" s="457">
        <v>-15.059665871121709</v>
      </c>
      <c r="G20" s="457">
        <v>-16.138276912054465</v>
      </c>
      <c r="H20" s="457">
        <v>-11.829073350801721</v>
      </c>
      <c r="I20" s="457">
        <v>-8.3150984682713016</v>
      </c>
      <c r="J20" s="457">
        <v>5.2172111190542836</v>
      </c>
      <c r="K20" s="457">
        <v>6.9850395933195557</v>
      </c>
      <c r="L20" s="457">
        <v>7.2591271478577681</v>
      </c>
      <c r="M20" s="457">
        <v>-17.646070987321153</v>
      </c>
      <c r="N20" s="457">
        <v>7.2317591788569047</v>
      </c>
      <c r="O20" s="457">
        <v>10.684676344659948</v>
      </c>
      <c r="P20" s="457"/>
      <c r="Q20" s="457"/>
      <c r="R20" s="457"/>
      <c r="S20" s="457"/>
      <c r="T20" s="457"/>
    </row>
    <row r="21" spans="1:20" s="90" customFormat="1">
      <c r="A21" s="580" t="s">
        <v>2523</v>
      </c>
      <c r="B21" s="424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</row>
    <row r="22" spans="1:20">
      <c r="A22" s="37" t="s">
        <v>18</v>
      </c>
      <c r="B22" s="457">
        <v>0</v>
      </c>
      <c r="C22" s="457">
        <v>9.1190385260134121E-2</v>
      </c>
      <c r="D22" s="457">
        <v>1.3825079922934407</v>
      </c>
      <c r="E22" s="457">
        <v>4.5116749483313612</v>
      </c>
      <c r="F22" s="457">
        <v>-0.29502669289115602</v>
      </c>
      <c r="G22" s="457">
        <v>-0.17086715079032899</v>
      </c>
      <c r="H22" s="457">
        <v>-0.3370527509360528</v>
      </c>
      <c r="I22" s="457">
        <v>-0.15910898965806552</v>
      </c>
      <c r="J22" s="457">
        <v>4.3917262241293997E-2</v>
      </c>
      <c r="K22" s="457">
        <v>0.76604975933834396</v>
      </c>
      <c r="L22" s="457">
        <v>0.97410252273934361</v>
      </c>
      <c r="M22" s="457">
        <v>-0.28645226442938565</v>
      </c>
      <c r="N22" s="457">
        <v>-0.45887751500215757</v>
      </c>
      <c r="O22" s="457">
        <v>0.25833301013626908</v>
      </c>
      <c r="P22" s="457"/>
      <c r="Q22" s="457"/>
      <c r="R22" s="457"/>
      <c r="S22" s="457"/>
      <c r="T22" s="457"/>
    </row>
    <row r="23" spans="1:20">
      <c r="A23" s="37" t="s">
        <v>19</v>
      </c>
      <c r="B23" s="457">
        <v>0</v>
      </c>
      <c r="C23" s="457">
        <v>-0.6511372075700308</v>
      </c>
      <c r="D23" s="457">
        <v>3.0956514462749993</v>
      </c>
      <c r="E23" s="457">
        <v>8.7409252430579443</v>
      </c>
      <c r="F23" s="457">
        <v>-0.42247019628302951</v>
      </c>
      <c r="G23" s="457">
        <v>1.0427472996887417</v>
      </c>
      <c r="H23" s="457">
        <v>-0.71658198071669688</v>
      </c>
      <c r="I23" s="457">
        <v>0.49721559268101601</v>
      </c>
      <c r="J23" s="457">
        <v>-1.4985112863987808</v>
      </c>
      <c r="K23" s="457">
        <v>-0.73235184583565172</v>
      </c>
      <c r="L23" s="457">
        <v>1.1976408814608419</v>
      </c>
      <c r="M23" s="457">
        <v>-1.6983914283494244</v>
      </c>
      <c r="N23" s="457">
        <v>-1.6327674733853854</v>
      </c>
      <c r="O23" s="457">
        <v>-0.99575884839943285</v>
      </c>
      <c r="P23" s="457"/>
      <c r="Q23" s="457"/>
      <c r="R23" s="457"/>
      <c r="S23" s="457"/>
      <c r="T23" s="457"/>
    </row>
    <row r="24" spans="1:20">
      <c r="A24" s="37" t="s">
        <v>20</v>
      </c>
      <c r="B24" s="457">
        <v>0</v>
      </c>
      <c r="C24" s="457">
        <v>-2.001200283703426</v>
      </c>
      <c r="D24" s="457">
        <v>3.4299465768989421</v>
      </c>
      <c r="E24" s="457">
        <v>2.8612051654133523</v>
      </c>
      <c r="F24" s="457">
        <v>-0.16858668165214397</v>
      </c>
      <c r="G24" s="457">
        <v>1.4149935924817783</v>
      </c>
      <c r="H24" s="457">
        <v>-1.4080207340398232</v>
      </c>
      <c r="I24" s="457">
        <v>-0.15910898965793763</v>
      </c>
      <c r="J24" s="457">
        <v>-4.4641995537375863</v>
      </c>
      <c r="K24" s="457">
        <v>-1.7761507694393828</v>
      </c>
      <c r="L24" s="457">
        <v>0.5819797237768114</v>
      </c>
      <c r="M24" s="457">
        <v>-1.7245397343276352</v>
      </c>
      <c r="N24" s="457">
        <v>-3.2349826623201352</v>
      </c>
      <c r="O24" s="457">
        <v>-4.1736294607551514</v>
      </c>
      <c r="P24" s="457"/>
      <c r="Q24" s="457"/>
      <c r="R24" s="457"/>
      <c r="S24" s="457"/>
      <c r="T24" s="457"/>
    </row>
    <row r="25" spans="1:20">
      <c r="A25" s="37" t="s">
        <v>21</v>
      </c>
      <c r="B25" s="457">
        <v>0</v>
      </c>
      <c r="C25" s="457">
        <v>-1.8773476328171341</v>
      </c>
      <c r="D25" s="457">
        <v>2.8809095335887918</v>
      </c>
      <c r="E25" s="457">
        <v>-5.4712731288080079</v>
      </c>
      <c r="F25" s="457">
        <v>-2.778402172894971</v>
      </c>
      <c r="G25" s="457">
        <v>0.80076178271389153</v>
      </c>
      <c r="H25" s="457">
        <v>-4.3257802781567705</v>
      </c>
      <c r="I25" s="457">
        <v>-2.7499337045876757</v>
      </c>
      <c r="J25" s="457">
        <v>-4.868244930969837</v>
      </c>
      <c r="K25" s="457">
        <v>-1.0391694040259836</v>
      </c>
      <c r="L25" s="457">
        <v>0.2007768002283683</v>
      </c>
      <c r="M25" s="457">
        <v>-1.97962790336355</v>
      </c>
      <c r="N25" s="457">
        <v>-2.2108483350982624</v>
      </c>
      <c r="O25" s="457">
        <v>-3.8433161954449844</v>
      </c>
      <c r="P25" s="457"/>
      <c r="Q25" s="457"/>
      <c r="R25" s="457"/>
      <c r="S25" s="457"/>
      <c r="T25" s="457"/>
    </row>
    <row r="26" spans="1:20">
      <c r="A26" s="37" t="s">
        <v>22</v>
      </c>
      <c r="B26" s="457">
        <v>0</v>
      </c>
      <c r="C26" s="457">
        <v>-0.12034013234294605</v>
      </c>
      <c r="D26" s="457">
        <v>4.5118173028745048</v>
      </c>
      <c r="E26" s="457">
        <v>-7.4256482417953151</v>
      </c>
      <c r="F26" s="457">
        <v>9.8342230963794464E-2</v>
      </c>
      <c r="G26" s="457">
        <v>1.9169158479283084</v>
      </c>
      <c r="H26" s="457">
        <v>-2.7500015575450334</v>
      </c>
      <c r="I26" s="457">
        <v>-1.3524264120922851</v>
      </c>
      <c r="J26" s="457">
        <v>-4.7442459524236256</v>
      </c>
      <c r="K26" s="457">
        <v>-0.1707126173263589</v>
      </c>
      <c r="L26" s="457">
        <v>1.6826535297256555</v>
      </c>
      <c r="M26" s="457">
        <v>1.1691136487221598</v>
      </c>
      <c r="N26" s="457">
        <v>-2.4771080334710973</v>
      </c>
      <c r="O26" s="457">
        <v>-1.4690582142983288</v>
      </c>
      <c r="P26" s="457"/>
      <c r="Q26" s="457"/>
      <c r="R26" s="457"/>
      <c r="S26" s="457"/>
      <c r="T26" s="457"/>
    </row>
    <row r="27" spans="1:20">
      <c r="A27" s="37" t="s">
        <v>23</v>
      </c>
      <c r="B27" s="457">
        <v>0</v>
      </c>
      <c r="C27" s="457">
        <v>-1.0073705733043283</v>
      </c>
      <c r="D27" s="457">
        <v>4.3945311305419779</v>
      </c>
      <c r="E27" s="457">
        <v>-10.455955713859993</v>
      </c>
      <c r="F27" s="457">
        <v>2.0413037370047533</v>
      </c>
      <c r="G27" s="457">
        <v>3.2284992168589071</v>
      </c>
      <c r="H27" s="457">
        <v>3.8805508310022248</v>
      </c>
      <c r="I27" s="457">
        <v>-1.3524264120922851</v>
      </c>
      <c r="J27" s="457">
        <v>-5.7317081976920008</v>
      </c>
      <c r="K27" s="457">
        <v>-0.13104401756019968</v>
      </c>
      <c r="L27" s="457">
        <v>1.801034906374511</v>
      </c>
      <c r="M27" s="457">
        <v>1.5809090085191428</v>
      </c>
      <c r="N27" s="457">
        <v>-2.4575901663171749</v>
      </c>
      <c r="O27" s="457">
        <v>-2.0742016042951548</v>
      </c>
      <c r="P27" s="457"/>
      <c r="Q27" s="457"/>
      <c r="R27" s="457"/>
      <c r="S27" s="457"/>
      <c r="T27" s="457"/>
    </row>
    <row r="28" spans="1:20">
      <c r="A28" s="37" t="s">
        <v>24</v>
      </c>
      <c r="B28" s="457">
        <v>0</v>
      </c>
      <c r="C28" s="457">
        <v>-2.8640016211623589</v>
      </c>
      <c r="D28" s="457">
        <v>2.7290241991828168</v>
      </c>
      <c r="E28" s="457">
        <v>-10.198906527124308</v>
      </c>
      <c r="F28" s="457">
        <v>0.19668446192748945</v>
      </c>
      <c r="G28" s="457">
        <v>3.460059803502773</v>
      </c>
      <c r="H28" s="457">
        <v>5.0047037860805119</v>
      </c>
      <c r="I28" s="457">
        <v>-1.3524264120922851</v>
      </c>
      <c r="J28" s="457">
        <v>-5.9219375587123011</v>
      </c>
      <c r="K28" s="457">
        <v>-0.72229309569151212</v>
      </c>
      <c r="L28" s="457">
        <v>1.0088475808753827</v>
      </c>
      <c r="M28" s="457">
        <v>0.86615396566460845</v>
      </c>
      <c r="N28" s="457">
        <v>-4.3063889869396519</v>
      </c>
      <c r="O28" s="457">
        <v>-3.2340527424274654</v>
      </c>
      <c r="P28" s="457"/>
      <c r="Q28" s="457"/>
      <c r="R28" s="457"/>
      <c r="S28" s="457"/>
      <c r="T28" s="457"/>
    </row>
    <row r="29" spans="1:20">
      <c r="A29" s="37" t="s">
        <v>25</v>
      </c>
      <c r="B29" s="457">
        <v>0</v>
      </c>
      <c r="C29" s="457">
        <v>-3.3124712594405707</v>
      </c>
      <c r="D29" s="457">
        <v>2.626835757485992</v>
      </c>
      <c r="E29" s="457">
        <v>-8.9925684886328838</v>
      </c>
      <c r="F29" s="457">
        <v>0.54790671536950697</v>
      </c>
      <c r="G29" s="457">
        <v>5.1366937206322092</v>
      </c>
      <c r="H29" s="457">
        <v>5.458883925511941</v>
      </c>
      <c r="I29" s="457">
        <v>-1.3524264120922851</v>
      </c>
      <c r="J29" s="457">
        <v>-5.5400740094490999</v>
      </c>
      <c r="K29" s="457">
        <v>0.68531563345474922</v>
      </c>
      <c r="L29" s="457">
        <v>0.9517664139377473</v>
      </c>
      <c r="M29" s="457">
        <v>1.9891439446904684</v>
      </c>
      <c r="N29" s="457">
        <v>-5.8055272938684794</v>
      </c>
      <c r="O29" s="457">
        <v>-2.8256437668729859</v>
      </c>
      <c r="P29" s="457"/>
      <c r="Q29" s="457"/>
      <c r="R29" s="457"/>
      <c r="S29" s="457"/>
      <c r="T29" s="457"/>
    </row>
    <row r="30" spans="1:20">
      <c r="A30" s="37" t="s">
        <v>26</v>
      </c>
      <c r="B30" s="457">
        <v>0</v>
      </c>
      <c r="C30" s="457">
        <v>-3.1944745381375981</v>
      </c>
      <c r="D30" s="457">
        <v>2.3396636532367836</v>
      </c>
      <c r="E30" s="457">
        <v>-9.4411464364413007</v>
      </c>
      <c r="F30" s="457">
        <v>1.6057881427366567</v>
      </c>
      <c r="G30" s="457">
        <v>5.3196639612701517</v>
      </c>
      <c r="H30" s="457">
        <v>5.4565372242886099</v>
      </c>
      <c r="I30" s="457">
        <v>-1.3524264120922851</v>
      </c>
      <c r="J30" s="457">
        <v>-5.7492094564565832</v>
      </c>
      <c r="K30" s="457">
        <v>1.2884591286055525</v>
      </c>
      <c r="L30" s="457">
        <v>1.2791558605399729</v>
      </c>
      <c r="M30" s="457">
        <v>2.2883004479660656</v>
      </c>
      <c r="N30" s="457">
        <v>-6.5985617685125675</v>
      </c>
      <c r="O30" s="457">
        <v>-3.6023346649062233</v>
      </c>
      <c r="P30" s="457"/>
      <c r="Q30" s="457"/>
      <c r="R30" s="457"/>
      <c r="S30" s="457"/>
      <c r="T30" s="457"/>
    </row>
    <row r="31" spans="1:20">
      <c r="A31" s="37" t="s">
        <v>27</v>
      </c>
      <c r="B31" s="457">
        <v>0</v>
      </c>
      <c r="C31" s="457">
        <v>-4.6681683203043178</v>
      </c>
      <c r="D31" s="457">
        <v>1.7511767902385316</v>
      </c>
      <c r="E31" s="457">
        <v>-15.971153423332368</v>
      </c>
      <c r="F31" s="457">
        <v>3.6808092160719212</v>
      </c>
      <c r="G31" s="457">
        <v>6.6958564715933164</v>
      </c>
      <c r="H31" s="457">
        <v>4.6601748188574987</v>
      </c>
      <c r="I31" s="457">
        <v>-1.3524264120922851</v>
      </c>
      <c r="J31" s="457">
        <v>-8.1831842181447172</v>
      </c>
      <c r="K31" s="457">
        <v>1.0698812407171232</v>
      </c>
      <c r="L31" s="457">
        <v>1.8265973420030832</v>
      </c>
      <c r="M31" s="457">
        <v>3.983143012506801</v>
      </c>
      <c r="N31" s="457">
        <v>-7.4562405265670861</v>
      </c>
      <c r="O31" s="457">
        <v>-3.7657263592413557</v>
      </c>
      <c r="P31" s="457"/>
      <c r="Q31" s="457"/>
      <c r="R31" s="457"/>
      <c r="S31" s="457"/>
      <c r="T31" s="457"/>
    </row>
    <row r="32" spans="1:20">
      <c r="A32" s="37" t="s">
        <v>28</v>
      </c>
      <c r="B32" s="457">
        <v>0</v>
      </c>
      <c r="C32" s="457">
        <v>-6.2955295927089168</v>
      </c>
      <c r="D32" s="457">
        <v>4.2978426100390266E-2</v>
      </c>
      <c r="E32" s="457">
        <v>-26.886778163766891</v>
      </c>
      <c r="F32" s="457">
        <v>1.6928912615903329</v>
      </c>
      <c r="G32" s="457">
        <v>6.3238644453936956</v>
      </c>
      <c r="H32" s="457">
        <v>4.7026646480882874</v>
      </c>
      <c r="I32" s="457">
        <v>-2.4211084592946293</v>
      </c>
      <c r="J32" s="457">
        <v>-9.0893043413756089</v>
      </c>
      <c r="K32" s="457">
        <v>4.1287390890807529</v>
      </c>
      <c r="L32" s="457">
        <v>2.3190671779154144</v>
      </c>
      <c r="M32" s="457">
        <v>3.2967095212201656</v>
      </c>
      <c r="N32" s="457">
        <v>-7.6498965276191768</v>
      </c>
      <c r="O32" s="457">
        <v>-3.6594871898640235</v>
      </c>
      <c r="P32" s="457"/>
      <c r="Q32" s="457"/>
      <c r="R32" s="457"/>
      <c r="S32" s="457"/>
      <c r="T32" s="457"/>
    </row>
    <row r="33" spans="1:20">
      <c r="A33" s="37" t="s">
        <v>29</v>
      </c>
      <c r="B33" s="457">
        <v>0</v>
      </c>
      <c r="C33" s="457">
        <v>-7.1111353592667115</v>
      </c>
      <c r="D33" s="457">
        <v>-1.0114397419882408</v>
      </c>
      <c r="E33" s="457">
        <v>-42.089911027073001</v>
      </c>
      <c r="F33" s="457">
        <v>0.33717336330431635</v>
      </c>
      <c r="G33" s="457">
        <v>3.4760785988893588</v>
      </c>
      <c r="H33" s="457">
        <v>5.9915643359562409</v>
      </c>
      <c r="I33" s="457">
        <v>-3.8186157517900199</v>
      </c>
      <c r="J33" s="457">
        <v>-8.8212646202141372</v>
      </c>
      <c r="K33" s="457">
        <v>3.6632339255889974</v>
      </c>
      <c r="L33" s="457">
        <v>2.6939829004678302</v>
      </c>
      <c r="M33" s="457">
        <v>1.1239610036510896</v>
      </c>
      <c r="N33" s="457">
        <v>-7.5206079607981593</v>
      </c>
      <c r="O33" s="457">
        <v>-3.4770409066611734</v>
      </c>
      <c r="P33" s="457"/>
      <c r="Q33" s="457"/>
      <c r="R33" s="457"/>
      <c r="S33" s="457"/>
      <c r="T33" s="457"/>
    </row>
    <row r="34" spans="1:20">
      <c r="A34" s="37" t="s">
        <v>2812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  <c r="M34" s="457"/>
      <c r="N34" s="457"/>
      <c r="O34" s="457"/>
      <c r="P34" s="457"/>
      <c r="Q34" s="457"/>
      <c r="R34" s="457"/>
      <c r="S34" s="457"/>
      <c r="T34" s="457"/>
    </row>
    <row r="35" spans="1:20">
      <c r="A35" s="37" t="s">
        <v>18</v>
      </c>
      <c r="B35" s="457">
        <v>0</v>
      </c>
      <c r="C35" s="457">
        <v>0.12871373528263064</v>
      </c>
      <c r="D35" s="457">
        <v>1.8693081278543957</v>
      </c>
      <c r="E35" s="457">
        <v>-1.0478890351321013</v>
      </c>
      <c r="F35" s="457">
        <v>-3.3183982077849521</v>
      </c>
      <c r="G35" s="457">
        <v>-2.8587646421383965</v>
      </c>
      <c r="H35" s="457">
        <v>0.58897523012358022</v>
      </c>
      <c r="I35" s="457">
        <v>0</v>
      </c>
      <c r="J35" s="457">
        <v>-0.86245439877660601</v>
      </c>
      <c r="K35" s="457">
        <v>-5.1722600398264262E-2</v>
      </c>
      <c r="L35" s="457">
        <v>0.16312622344669592</v>
      </c>
      <c r="M35" s="457">
        <v>-1.9348674639793302</v>
      </c>
      <c r="N35" s="457">
        <v>-0.99463391634299114</v>
      </c>
      <c r="O35" s="457">
        <v>0.22029548595160975</v>
      </c>
      <c r="P35" s="457"/>
      <c r="Q35" s="457"/>
      <c r="R35" s="457"/>
      <c r="S35" s="457"/>
      <c r="T35" s="457"/>
    </row>
    <row r="36" spans="1:20">
      <c r="A36" s="37" t="s">
        <v>19</v>
      </c>
      <c r="B36" s="457">
        <v>0</v>
      </c>
      <c r="C36" s="457">
        <v>0.30588391262904224</v>
      </c>
      <c r="D36" s="457">
        <v>1.7220621746101017</v>
      </c>
      <c r="E36" s="457">
        <v>-2.0699243552843143</v>
      </c>
      <c r="F36" s="457">
        <v>-5.6711805416650094</v>
      </c>
      <c r="G36" s="457">
        <v>-4.8596418803859933</v>
      </c>
      <c r="H36" s="457">
        <v>2.9804380282849081</v>
      </c>
      <c r="I36" s="457">
        <v>-0.18315018315013276</v>
      </c>
      <c r="J36" s="457">
        <v>-1.2297172330737709</v>
      </c>
      <c r="K36" s="457">
        <v>-2.5098200749934847</v>
      </c>
      <c r="L36" s="457">
        <v>0.35430325251249428</v>
      </c>
      <c r="M36" s="457">
        <v>-2.9228090077991595</v>
      </c>
      <c r="N36" s="457">
        <v>-1.319389427564289</v>
      </c>
      <c r="O36" s="457">
        <v>-0.23349150251404183</v>
      </c>
      <c r="P36" s="457"/>
      <c r="Q36" s="457"/>
      <c r="R36" s="457"/>
      <c r="S36" s="457"/>
      <c r="T36" s="457"/>
    </row>
    <row r="37" spans="1:20">
      <c r="A37" s="37" t="s">
        <v>20</v>
      </c>
      <c r="B37" s="457">
        <v>0</v>
      </c>
      <c r="C37" s="457">
        <v>-2.4222347523728729</v>
      </c>
      <c r="D37" s="457">
        <v>-1.0498639012503759</v>
      </c>
      <c r="E37" s="457">
        <v>-8.4109547433431402</v>
      </c>
      <c r="F37" s="457">
        <v>-32.525903108373015</v>
      </c>
      <c r="G37" s="457">
        <v>-9.6547809484493285</v>
      </c>
      <c r="H37" s="457">
        <v>-4.3168004890492711</v>
      </c>
      <c r="I37" s="457">
        <v>-12.90322580645163</v>
      </c>
      <c r="J37" s="457">
        <v>-3.3787563636520872</v>
      </c>
      <c r="K37" s="457">
        <v>-3.367319639725352</v>
      </c>
      <c r="L37" s="457">
        <v>0.40237801783517568</v>
      </c>
      <c r="M37" s="457">
        <v>-7.9300759063389279</v>
      </c>
      <c r="N37" s="457">
        <v>-2.900828487393099</v>
      </c>
      <c r="O37" s="457">
        <v>-0.99788090067835356</v>
      </c>
      <c r="P37" s="457"/>
      <c r="Q37" s="457"/>
      <c r="R37" s="457"/>
      <c r="S37" s="457"/>
      <c r="T37" s="457"/>
    </row>
    <row r="38" spans="1:20">
      <c r="A38" s="37" t="s">
        <v>21</v>
      </c>
      <c r="B38" s="457">
        <v>0</v>
      </c>
      <c r="C38" s="457">
        <v>-4.1984842992737157</v>
      </c>
      <c r="D38" s="457">
        <v>-2.5117645688875996</v>
      </c>
      <c r="E38" s="457">
        <v>-9.2603185852654093</v>
      </c>
      <c r="F38" s="457">
        <v>-8.2269205638010163</v>
      </c>
      <c r="G38" s="457">
        <v>-8.1629599050518777</v>
      </c>
      <c r="H38" s="457">
        <v>1.1849844624964589</v>
      </c>
      <c r="I38" s="457">
        <v>-4.1880341880342229</v>
      </c>
      <c r="J38" s="457">
        <v>-9.725813082322361</v>
      </c>
      <c r="K38" s="457">
        <v>-3.1533743547060453</v>
      </c>
      <c r="L38" s="457">
        <v>-0.83206457381760401</v>
      </c>
      <c r="M38" s="457">
        <v>-7.9300759063389279</v>
      </c>
      <c r="N38" s="457">
        <v>-4.0885516064572585</v>
      </c>
      <c r="O38" s="457">
        <v>-2.3926547207464637</v>
      </c>
      <c r="P38" s="457"/>
      <c r="Q38" s="457"/>
      <c r="R38" s="457"/>
      <c r="S38" s="457"/>
      <c r="T38" s="457"/>
    </row>
    <row r="39" spans="1:20">
      <c r="A39" s="37" t="s">
        <v>22</v>
      </c>
      <c r="B39" s="457">
        <v>0</v>
      </c>
      <c r="C39" s="457">
        <v>-6.52529971672908</v>
      </c>
      <c r="D39" s="457">
        <v>-6.4786997258063366</v>
      </c>
      <c r="E39" s="457">
        <v>-14.197124632985734</v>
      </c>
      <c r="F39" s="457">
        <v>14.015681881825785</v>
      </c>
      <c r="G39" s="457">
        <v>-8.2305588523659168</v>
      </c>
      <c r="H39" s="457">
        <v>4.6718314660898272</v>
      </c>
      <c r="I39" s="457">
        <v>0.99255583126556246</v>
      </c>
      <c r="J39" s="457">
        <v>-11.65857778180964</v>
      </c>
      <c r="K39" s="457">
        <v>-7.1377188549686394</v>
      </c>
      <c r="L39" s="457">
        <v>-5.0629546388263975</v>
      </c>
      <c r="M39" s="457">
        <v>-7.9300759063389279</v>
      </c>
      <c r="N39" s="457">
        <v>-6.6840297267562931</v>
      </c>
      <c r="O39" s="457">
        <v>-5.9490263149159262</v>
      </c>
      <c r="P39" s="457"/>
      <c r="Q39" s="457"/>
      <c r="R39" s="457"/>
      <c r="S39" s="457"/>
      <c r="T39" s="457"/>
    </row>
    <row r="40" spans="1:20">
      <c r="A40" s="37" t="s">
        <v>23</v>
      </c>
      <c r="B40" s="457">
        <v>0</v>
      </c>
      <c r="C40" s="457">
        <v>-6.4059724068182078</v>
      </c>
      <c r="D40" s="457">
        <v>-7.1323254373720317</v>
      </c>
      <c r="E40" s="457">
        <v>-21.610728628800913</v>
      </c>
      <c r="F40" s="457">
        <v>27.770465789228012</v>
      </c>
      <c r="G40" s="457">
        <v>-7.7683747011369491</v>
      </c>
      <c r="H40" s="457">
        <v>5.1403273652077814</v>
      </c>
      <c r="I40" s="457">
        <v>-2.1367521367521363</v>
      </c>
      <c r="J40" s="457">
        <v>-14.853186919837611</v>
      </c>
      <c r="K40" s="457">
        <v>-7.9531325862290885</v>
      </c>
      <c r="L40" s="457">
        <v>-4.865108710537541</v>
      </c>
      <c r="M40" s="457">
        <v>-7.9300759063389279</v>
      </c>
      <c r="N40" s="457">
        <v>-7.3041603987516623</v>
      </c>
      <c r="O40" s="457">
        <v>-5.0042713914603496</v>
      </c>
      <c r="P40" s="457"/>
      <c r="Q40" s="457"/>
      <c r="R40" s="457"/>
      <c r="S40" s="457"/>
      <c r="T40" s="457"/>
    </row>
    <row r="41" spans="1:20">
      <c r="A41" s="37" t="s">
        <v>24</v>
      </c>
      <c r="B41" s="457">
        <v>0</v>
      </c>
      <c r="C41" s="457">
        <v>-9.775531300763916</v>
      </c>
      <c r="D41" s="457">
        <v>-9.7520564528203124</v>
      </c>
      <c r="E41" s="457">
        <v>-23.36235699098917</v>
      </c>
      <c r="F41" s="457">
        <v>24.488938672640685</v>
      </c>
      <c r="G41" s="457">
        <v>-13.638474637494184</v>
      </c>
      <c r="H41" s="457">
        <v>8.9780515617836016</v>
      </c>
      <c r="I41" s="457">
        <v>-8.6021505376343725</v>
      </c>
      <c r="J41" s="457">
        <v>-16.537611694648419</v>
      </c>
      <c r="K41" s="457">
        <v>-9.5377664159804993</v>
      </c>
      <c r="L41" s="457">
        <v>-5.4266656999927392</v>
      </c>
      <c r="M41" s="457">
        <v>-4.5063687386872147</v>
      </c>
      <c r="N41" s="457">
        <v>-9.450144816902025</v>
      </c>
      <c r="O41" s="457">
        <v>-4.8922718386898936</v>
      </c>
      <c r="P41" s="457"/>
      <c r="Q41" s="457"/>
      <c r="R41" s="457"/>
      <c r="S41" s="457"/>
      <c r="T41" s="457"/>
    </row>
    <row r="42" spans="1:20">
      <c r="A42" s="37" t="s">
        <v>25</v>
      </c>
      <c r="B42" s="457">
        <v>0</v>
      </c>
      <c r="C42" s="457">
        <v>-10.381509525152026</v>
      </c>
      <c r="D42" s="457">
        <v>-9.8361824478953963</v>
      </c>
      <c r="E42" s="457">
        <v>-25.979548445884348</v>
      </c>
      <c r="F42" s="457">
        <v>21.492579109493064</v>
      </c>
      <c r="G42" s="457">
        <v>-25.749522679188814</v>
      </c>
      <c r="H42" s="457">
        <v>11.630791295863062</v>
      </c>
      <c r="I42" s="457">
        <v>-7.6095947063688669</v>
      </c>
      <c r="J42" s="457">
        <v>-15.69222063108424</v>
      </c>
      <c r="K42" s="457">
        <v>-4.8286317291400138</v>
      </c>
      <c r="L42" s="457">
        <v>-6.3135890185842811</v>
      </c>
      <c r="M42" s="457">
        <v>0.24341880998450449</v>
      </c>
      <c r="N42" s="457">
        <v>-10.229237297649249</v>
      </c>
      <c r="O42" s="457">
        <v>-3.7272039593789827</v>
      </c>
      <c r="P42" s="457"/>
      <c r="Q42" s="457"/>
      <c r="R42" s="457"/>
      <c r="S42" s="457"/>
      <c r="T42" s="457"/>
    </row>
    <row r="43" spans="1:20">
      <c r="A43" s="37" t="s">
        <v>26</v>
      </c>
      <c r="B43" s="457">
        <v>0</v>
      </c>
      <c r="C43" s="457">
        <v>-12.264052787734798</v>
      </c>
      <c r="D43" s="457">
        <v>-14.647219778449212</v>
      </c>
      <c r="E43" s="457">
        <v>-27.095440585872922</v>
      </c>
      <c r="F43" s="457">
        <v>22.706524782973929</v>
      </c>
      <c r="G43" s="457">
        <v>-26.143247845606041</v>
      </c>
      <c r="H43" s="457">
        <v>8.8047290439635049</v>
      </c>
      <c r="I43" s="457">
        <v>-8.1196581196580837</v>
      </c>
      <c r="J43" s="457">
        <v>-20.312223035790538</v>
      </c>
      <c r="K43" s="457">
        <v>-8.9624763433508576</v>
      </c>
      <c r="L43" s="457">
        <v>-9.1616117676438193</v>
      </c>
      <c r="M43" s="457">
        <v>0.23655315124138099</v>
      </c>
      <c r="N43" s="457">
        <v>-15.018373410569026</v>
      </c>
      <c r="O43" s="457">
        <v>-5.3573730855169117</v>
      </c>
      <c r="P43" s="457"/>
      <c r="Q43" s="457"/>
      <c r="R43" s="457"/>
      <c r="S43" s="457"/>
      <c r="T43" s="457"/>
    </row>
    <row r="44" spans="1:20">
      <c r="A44" s="37" t="s">
        <v>27</v>
      </c>
      <c r="B44" s="457">
        <v>0</v>
      </c>
      <c r="C44" s="457">
        <v>-13.021064078295552</v>
      </c>
      <c r="D44" s="457">
        <v>-15.191301086936406</v>
      </c>
      <c r="E44" s="457">
        <v>-28.204414295838802</v>
      </c>
      <c r="F44" s="457">
        <v>19.686362363483553</v>
      </c>
      <c r="G44" s="457">
        <v>-26.286186077712955</v>
      </c>
      <c r="H44" s="457">
        <v>11.379800853485065</v>
      </c>
      <c r="I44" s="457">
        <v>-7.8577336641852185</v>
      </c>
      <c r="J44" s="457">
        <v>-22.525330413127122</v>
      </c>
      <c r="K44" s="457">
        <v>-11.459231295145784</v>
      </c>
      <c r="L44" s="457">
        <v>-11.397085478141051</v>
      </c>
      <c r="M44" s="457">
        <v>-0.16612013462456332</v>
      </c>
      <c r="N44" s="457">
        <v>-17.038999528503112</v>
      </c>
      <c r="O44" s="457">
        <v>-7.3544800694602941</v>
      </c>
      <c r="P44" s="457"/>
      <c r="Q44" s="457"/>
      <c r="R44" s="457"/>
      <c r="S44" s="457"/>
      <c r="T44" s="457"/>
    </row>
    <row r="45" spans="1:20">
      <c r="A45" s="37" t="s">
        <v>28</v>
      </c>
      <c r="B45" s="457">
        <v>0</v>
      </c>
      <c r="C45" s="457">
        <v>-9.8183016275770427</v>
      </c>
      <c r="D45" s="457">
        <v>-11.824935230113155</v>
      </c>
      <c r="E45" s="457">
        <v>-28.267186392629341</v>
      </c>
      <c r="F45" s="457">
        <v>20.652011574722337</v>
      </c>
      <c r="G45" s="457">
        <v>-26.233895797856761</v>
      </c>
      <c r="H45" s="457">
        <v>13.683916626500391</v>
      </c>
      <c r="I45" s="457">
        <v>-5.6410256410256494</v>
      </c>
      <c r="J45" s="457">
        <v>-19.937484835590837</v>
      </c>
      <c r="K45" s="457">
        <v>-9.9460182515382769</v>
      </c>
      <c r="L45" s="457">
        <v>-11.183128317906821</v>
      </c>
      <c r="M45" s="457">
        <v>0.18842952457316642</v>
      </c>
      <c r="N45" s="457">
        <v>-12.921035496980167</v>
      </c>
      <c r="O45" s="457">
        <v>-4.6632646940816045</v>
      </c>
      <c r="P45" s="457"/>
      <c r="Q45" s="457"/>
      <c r="R45" s="457"/>
      <c r="S45" s="457"/>
      <c r="T45" s="457"/>
    </row>
    <row r="46" spans="1:20">
      <c r="A46" s="37" t="s">
        <v>29</v>
      </c>
      <c r="B46" s="457">
        <v>0</v>
      </c>
      <c r="C46" s="457">
        <v>-6.376448239290113</v>
      </c>
      <c r="D46" s="457">
        <v>-8.5152617387845453</v>
      </c>
      <c r="E46" s="457">
        <v>-28.495494583375489</v>
      </c>
      <c r="F46" s="457">
        <v>12.251470176421094</v>
      </c>
      <c r="G46" s="457">
        <v>-26.399711027400755</v>
      </c>
      <c r="H46" s="457">
        <v>15.412694120828107</v>
      </c>
      <c r="I46" s="457">
        <v>-6.947890818858582</v>
      </c>
      <c r="J46" s="457">
        <v>-15.633038936803018</v>
      </c>
      <c r="K46" s="457">
        <v>-9.1905710293986544</v>
      </c>
      <c r="L46" s="457">
        <v>-8.8112327509122821</v>
      </c>
      <c r="M46" s="457">
        <v>0.22661475012368726</v>
      </c>
      <c r="N46" s="457">
        <v>-8.4959249197332554</v>
      </c>
      <c r="O46" s="457">
        <v>-1.2527667960021773</v>
      </c>
      <c r="P46" s="457"/>
      <c r="Q46" s="457"/>
      <c r="R46" s="457"/>
      <c r="S46" s="457"/>
      <c r="T46" s="457"/>
    </row>
    <row r="47" spans="1:20">
      <c r="A47" s="37" t="s">
        <v>3500</v>
      </c>
      <c r="B47" s="457"/>
      <c r="C47" s="457"/>
      <c r="D47" s="457"/>
      <c r="E47" s="457"/>
      <c r="F47" s="457"/>
      <c r="G47" s="457"/>
      <c r="H47" s="457"/>
      <c r="I47" s="457"/>
      <c r="J47" s="457"/>
      <c r="K47" s="457"/>
      <c r="L47" s="457"/>
      <c r="M47" s="457"/>
      <c r="N47" s="457"/>
      <c r="O47" s="457"/>
      <c r="P47" s="457"/>
      <c r="Q47" s="457"/>
      <c r="R47" s="457"/>
      <c r="S47" s="457"/>
      <c r="T47" s="457"/>
    </row>
    <row r="48" spans="1:20">
      <c r="A48" s="37" t="s">
        <v>18</v>
      </c>
      <c r="B48" s="457">
        <v>0</v>
      </c>
      <c r="C48" s="457">
        <v>1.7037133961523807</v>
      </c>
      <c r="D48" s="457">
        <v>0.32543184400466885</v>
      </c>
      <c r="E48" s="457">
        <v>-0.65132743362839562</v>
      </c>
      <c r="F48" s="457">
        <v>-6.2866408881127569</v>
      </c>
      <c r="G48" s="457">
        <v>0.20332328402157884</v>
      </c>
      <c r="H48" s="457">
        <v>0.45175123633158876</v>
      </c>
      <c r="I48" s="457">
        <v>1.8666666666666458</v>
      </c>
      <c r="J48" s="457">
        <v>3.311546506299166</v>
      </c>
      <c r="K48" s="457">
        <v>0.20295130478056933</v>
      </c>
      <c r="L48" s="457">
        <v>2.6422494898365159</v>
      </c>
      <c r="M48" s="457">
        <v>1.0059639290062705E-2</v>
      </c>
      <c r="N48" s="457">
        <v>3.9798797693534311</v>
      </c>
      <c r="O48" s="457">
        <v>0.88475378687358841</v>
      </c>
      <c r="P48" s="457"/>
      <c r="Q48" s="457"/>
      <c r="R48" s="457"/>
      <c r="S48" s="457"/>
      <c r="T48" s="457"/>
    </row>
    <row r="49" spans="1:20">
      <c r="A49" s="37" t="s">
        <v>19</v>
      </c>
      <c r="B49" s="457">
        <v>0</v>
      </c>
      <c r="C49" s="457">
        <v>1.2210991595253233</v>
      </c>
      <c r="D49" s="457">
        <v>-0.73040144832313558</v>
      </c>
      <c r="E49" s="457">
        <v>-1.0194690265486486</v>
      </c>
      <c r="F49" s="457">
        <v>-10.276822466544289</v>
      </c>
      <c r="G49" s="457">
        <v>0.23512384691657928</v>
      </c>
      <c r="H49" s="457">
        <v>1.49782200462883</v>
      </c>
      <c r="I49" s="457">
        <v>3.8253968253968225</v>
      </c>
      <c r="J49" s="457">
        <v>1.6979150551473197</v>
      </c>
      <c r="K49" s="457">
        <v>-2.1564511392395218</v>
      </c>
      <c r="L49" s="457">
        <v>2.1583040233823567</v>
      </c>
      <c r="M49" s="457">
        <v>1.1188782475684889E-2</v>
      </c>
      <c r="N49" s="457">
        <v>1.4425924952240479</v>
      </c>
      <c r="O49" s="457">
        <v>0.84103673420284508</v>
      </c>
      <c r="P49" s="457"/>
      <c r="Q49" s="457"/>
      <c r="R49" s="457"/>
      <c r="S49" s="457"/>
      <c r="T49" s="457"/>
    </row>
    <row r="50" spans="1:20">
      <c r="A50" s="37" t="s">
        <v>20</v>
      </c>
      <c r="B50" s="457">
        <v>0</v>
      </c>
      <c r="C50" s="457">
        <v>0.81394661040800997</v>
      </c>
      <c r="D50" s="457">
        <v>-0.55999837907515371</v>
      </c>
      <c r="E50" s="457">
        <v>-1.7274336283186358</v>
      </c>
      <c r="F50" s="457">
        <v>-13.608581763752014</v>
      </c>
      <c r="G50" s="457">
        <v>7.011147724881539E-3</v>
      </c>
      <c r="H50" s="457">
        <v>3.8126378299642596</v>
      </c>
      <c r="I50" s="457">
        <v>4.2666666666666231</v>
      </c>
      <c r="J50" s="457">
        <v>0.5258536160756222</v>
      </c>
      <c r="K50" s="457">
        <v>-4.9984942322548136</v>
      </c>
      <c r="L50" s="457">
        <v>1.2866721437468414</v>
      </c>
      <c r="M50" s="457">
        <v>1.2454791501980367E-2</v>
      </c>
      <c r="N50" s="457">
        <v>-0.90541037909464706</v>
      </c>
      <c r="O50" s="457">
        <v>0.52437716942472434</v>
      </c>
      <c r="P50" s="457"/>
      <c r="Q50" s="457"/>
      <c r="R50" s="457"/>
      <c r="S50" s="457"/>
      <c r="T50" s="457"/>
    </row>
    <row r="51" spans="1:20">
      <c r="A51" s="37" t="s">
        <v>21</v>
      </c>
      <c r="B51" s="457">
        <v>0</v>
      </c>
      <c r="C51" s="457">
        <v>3.5331843218933727</v>
      </c>
      <c r="D51" s="457">
        <v>2.2086971972026959</v>
      </c>
      <c r="E51" s="457">
        <v>-3.5177581120943984</v>
      </c>
      <c r="F51" s="457">
        <v>-18.823333749116443</v>
      </c>
      <c r="G51" s="457">
        <v>6.5904788613920573E-2</v>
      </c>
      <c r="H51" s="457">
        <v>6.3725954560039071</v>
      </c>
      <c r="I51" s="457">
        <v>3.608888888888842</v>
      </c>
      <c r="J51" s="457">
        <v>1.1285883620965507</v>
      </c>
      <c r="K51" s="457">
        <v>-4.9842876409201864</v>
      </c>
      <c r="L51" s="457">
        <v>1.4519562893664926</v>
      </c>
      <c r="M51" s="457">
        <v>8.9259339097509383E-3</v>
      </c>
      <c r="N51" s="457">
        <v>-2.0520181572813385</v>
      </c>
      <c r="O51" s="457">
        <v>3.6453943620608555</v>
      </c>
      <c r="P51" s="457"/>
      <c r="Q51" s="457"/>
      <c r="R51" s="457"/>
      <c r="S51" s="457"/>
      <c r="T51" s="457"/>
    </row>
    <row r="52" spans="1:20">
      <c r="A52" s="37" t="s">
        <v>22</v>
      </c>
      <c r="B52" s="457">
        <v>0</v>
      </c>
      <c r="C52" s="457">
        <v>2.768780729128423</v>
      </c>
      <c r="D52" s="457">
        <v>2.5286428338754661</v>
      </c>
      <c r="E52" s="457">
        <v>-5.4548672566371863</v>
      </c>
      <c r="F52" s="457">
        <v>-17.101160034925769</v>
      </c>
      <c r="G52" s="457">
        <v>0</v>
      </c>
      <c r="H52" s="457">
        <v>5.9990730696165286</v>
      </c>
      <c r="I52" s="457">
        <v>4.7999999999999829</v>
      </c>
      <c r="J52" s="457">
        <v>-1.4370089323431046</v>
      </c>
      <c r="K52" s="457">
        <v>-5.8089900881201402</v>
      </c>
      <c r="L52" s="457">
        <v>-4.6378501576853637E-2</v>
      </c>
      <c r="M52" s="457">
        <v>1.437091327152018E-2</v>
      </c>
      <c r="N52" s="457">
        <v>-2.5542878174457258</v>
      </c>
      <c r="O52" s="457">
        <v>4.0097869585062824</v>
      </c>
      <c r="P52" s="457"/>
      <c r="Q52" s="457"/>
      <c r="R52" s="457"/>
      <c r="S52" s="457"/>
      <c r="T52" s="457"/>
    </row>
    <row r="53" spans="1:20">
      <c r="A53" s="37" t="s">
        <v>23</v>
      </c>
      <c r="B53" s="457">
        <v>0</v>
      </c>
      <c r="C53" s="457">
        <v>2.33370795311221</v>
      </c>
      <c r="D53" s="457">
        <v>3.7424090580607583</v>
      </c>
      <c r="E53" s="457">
        <v>-20.186430678466081</v>
      </c>
      <c r="F53" s="457">
        <v>-20.859839507712749</v>
      </c>
      <c r="G53" s="457">
        <v>-1.3788590525606992E-2</v>
      </c>
      <c r="H53" s="457">
        <v>2.6112783320685793</v>
      </c>
      <c r="I53" s="457">
        <v>4.7111111111110944</v>
      </c>
      <c r="J53" s="457">
        <v>-4.2949149562770117</v>
      </c>
      <c r="K53" s="457">
        <v>-5.1777678848109474</v>
      </c>
      <c r="L53" s="457">
        <v>-2.2532884566118412</v>
      </c>
      <c r="M53" s="457">
        <v>1.2390920776340408E-2</v>
      </c>
      <c r="N53" s="457">
        <v>-0.19351408825090743</v>
      </c>
      <c r="O53" s="457">
        <v>3.5523427723583154</v>
      </c>
      <c r="P53" s="457"/>
      <c r="Q53" s="457"/>
      <c r="R53" s="457"/>
      <c r="S53" s="457"/>
      <c r="T53" s="457"/>
    </row>
    <row r="54" spans="1:20">
      <c r="A54" s="37" t="s">
        <v>24</v>
      </c>
      <c r="B54" s="457">
        <v>0</v>
      </c>
      <c r="C54" s="457">
        <v>4.350787508133223</v>
      </c>
      <c r="D54" s="457">
        <v>5.7237351720440302</v>
      </c>
      <c r="E54" s="457">
        <v>-29.292035398230126</v>
      </c>
      <c r="F54" s="457">
        <v>-27.117375576899079</v>
      </c>
      <c r="G54" s="457">
        <v>1.4022295449763078E-2</v>
      </c>
      <c r="H54" s="457">
        <v>3.4199656730176713</v>
      </c>
      <c r="I54" s="457">
        <v>4.8888888888888715</v>
      </c>
      <c r="J54" s="457">
        <v>-4.2477912356024206</v>
      </c>
      <c r="K54" s="457">
        <v>-5.7919683657837311</v>
      </c>
      <c r="L54" s="457">
        <v>-2.7972861951077448</v>
      </c>
      <c r="M54" s="457">
        <v>4.5507892026535046E-2</v>
      </c>
      <c r="N54" s="457">
        <v>0.6870322659796102</v>
      </c>
      <c r="O54" s="457">
        <v>6.554360787061114</v>
      </c>
      <c r="P54" s="457"/>
      <c r="Q54" s="457"/>
      <c r="R54" s="457"/>
      <c r="S54" s="457"/>
      <c r="T54" s="457"/>
    </row>
    <row r="55" spans="1:20">
      <c r="A55" s="37" t="s">
        <v>25</v>
      </c>
      <c r="B55" s="457">
        <v>0</v>
      </c>
      <c r="C55" s="457">
        <v>3.0611275517611745</v>
      </c>
      <c r="D55" s="457">
        <v>4.3398705442099299</v>
      </c>
      <c r="E55" s="457">
        <v>-30.633628318584087</v>
      </c>
      <c r="F55" s="457">
        <v>-30.89684420606207</v>
      </c>
      <c r="G55" s="457">
        <v>4.9078034074170773E-2</v>
      </c>
      <c r="H55" s="457">
        <v>2.5128980834950596</v>
      </c>
      <c r="I55" s="457">
        <v>3.3777777777777231</v>
      </c>
      <c r="J55" s="457">
        <v>-6.7813099233748915</v>
      </c>
      <c r="K55" s="457">
        <v>-7.7979128749688869</v>
      </c>
      <c r="L55" s="457">
        <v>-3.6758275249781605</v>
      </c>
      <c r="M55" s="457">
        <v>8.1435175205371024E-3</v>
      </c>
      <c r="N55" s="457">
        <v>-2.2132253711201599</v>
      </c>
      <c r="O55" s="457">
        <v>6.1495784106631106</v>
      </c>
      <c r="P55" s="457"/>
      <c r="Q55" s="457"/>
      <c r="R55" s="457"/>
      <c r="S55" s="457"/>
      <c r="T55" s="457"/>
    </row>
    <row r="56" spans="1:20">
      <c r="A56" s="37" t="s">
        <v>26</v>
      </c>
      <c r="B56" s="457">
        <v>0</v>
      </c>
      <c r="C56" s="457">
        <v>0.99031664632249772</v>
      </c>
      <c r="D56" s="457">
        <v>2.0157551821540238</v>
      </c>
      <c r="E56" s="457">
        <v>-30.867256637168168</v>
      </c>
      <c r="F56" s="457">
        <v>-32.009064072179939</v>
      </c>
      <c r="G56" s="457">
        <v>2.9680525368675603E-2</v>
      </c>
      <c r="H56" s="457">
        <v>1.5913493288243217</v>
      </c>
      <c r="I56" s="457">
        <v>-6.5185185185100636E-2</v>
      </c>
      <c r="J56" s="457">
        <v>-8.5432950250424824</v>
      </c>
      <c r="K56" s="457">
        <v>-9.6345785377903752</v>
      </c>
      <c r="L56" s="457">
        <v>-4.2633768849548233</v>
      </c>
      <c r="M56" s="457">
        <v>1.2885918900138904E-2</v>
      </c>
      <c r="N56" s="457">
        <v>-2.9242219768535591</v>
      </c>
      <c r="O56" s="457">
        <v>3.9325928835201296</v>
      </c>
      <c r="P56" s="457"/>
      <c r="Q56" s="457"/>
      <c r="R56" s="457"/>
      <c r="S56" s="457"/>
      <c r="T56" s="457"/>
    </row>
    <row r="57" spans="1:20">
      <c r="A57" s="37" t="s">
        <v>27</v>
      </c>
      <c r="B57" s="457">
        <v>0</v>
      </c>
      <c r="C57" s="457">
        <v>-0.23731894124199471</v>
      </c>
      <c r="D57" s="457">
        <v>-3.3665363172872276E-2</v>
      </c>
      <c r="E57" s="457">
        <v>-33.058407079646031</v>
      </c>
      <c r="F57" s="457">
        <v>-32.393663465136569</v>
      </c>
      <c r="G57" s="457">
        <v>0.92547149968442</v>
      </c>
      <c r="H57" s="457">
        <v>-0.11713955395293851</v>
      </c>
      <c r="I57" s="457">
        <v>-1.5999999999999375</v>
      </c>
      <c r="J57" s="457">
        <v>-9.7792387667273886</v>
      </c>
      <c r="K57" s="457">
        <v>-13.098215337881129</v>
      </c>
      <c r="L57" s="457">
        <v>-4.4324596507035778</v>
      </c>
      <c r="M57" s="457">
        <v>-21.850015568489439</v>
      </c>
      <c r="N57" s="457">
        <v>-4.3135811556864212</v>
      </c>
      <c r="O57" s="457">
        <v>3.1429016244369734</v>
      </c>
      <c r="P57" s="457"/>
      <c r="Q57" s="457"/>
      <c r="R57" s="457"/>
      <c r="S57" s="457"/>
      <c r="T57" s="457"/>
    </row>
    <row r="58" spans="1:20">
      <c r="A58" s="37" t="s">
        <v>28</v>
      </c>
      <c r="B58" s="457">
        <v>0</v>
      </c>
      <c r="C58" s="457">
        <v>2.0679191036370383</v>
      </c>
      <c r="D58" s="457">
        <v>1.9985224646163147</v>
      </c>
      <c r="E58" s="457">
        <v>-34.865250737463171</v>
      </c>
      <c r="F58" s="457">
        <v>-27.459149307721077</v>
      </c>
      <c r="G58" s="457">
        <v>2.1089532356445773</v>
      </c>
      <c r="H58" s="457">
        <v>-0.62428591558142443</v>
      </c>
      <c r="I58" s="457">
        <v>1.5881481481481217</v>
      </c>
      <c r="J58" s="457">
        <v>-9.8948719458547174</v>
      </c>
      <c r="K58" s="457">
        <v>-9.5513685028303996</v>
      </c>
      <c r="L58" s="457">
        <v>-3.3884133252060451</v>
      </c>
      <c r="M58" s="457">
        <v>-23.366370466176519</v>
      </c>
      <c r="N58" s="457">
        <v>-1.0428986218460068</v>
      </c>
      <c r="O58" s="457">
        <v>4.5260024319967016</v>
      </c>
      <c r="P58" s="457"/>
      <c r="Q58" s="457"/>
      <c r="R58" s="457"/>
      <c r="S58" s="457"/>
      <c r="T58" s="457"/>
    </row>
    <row r="59" spans="1:20">
      <c r="A59" s="37" t="s">
        <v>29</v>
      </c>
      <c r="B59" s="457">
        <v>0</v>
      </c>
      <c r="C59" s="457">
        <v>3.1814002176021745</v>
      </c>
      <c r="D59" s="457">
        <v>4.0435841766558838</v>
      </c>
      <c r="E59" s="457">
        <v>-35.886725663716817</v>
      </c>
      <c r="F59" s="457">
        <v>-27.691156292877579</v>
      </c>
      <c r="G59" s="457">
        <v>-0.42768001121791599</v>
      </c>
      <c r="H59" s="457">
        <v>1.1204652986791075E-2</v>
      </c>
      <c r="I59" s="457">
        <v>1.9555555555555344</v>
      </c>
      <c r="J59" s="457">
        <v>-6.160218943530964</v>
      </c>
      <c r="K59" s="457">
        <v>-6.0139054377855814</v>
      </c>
      <c r="L59" s="457">
        <v>-2.1917154745183467</v>
      </c>
      <c r="M59" s="457">
        <v>-23.398241958276486</v>
      </c>
      <c r="N59" s="457">
        <v>-0.73365231259967345</v>
      </c>
      <c r="O59" s="457">
        <v>7.8398278967238895</v>
      </c>
      <c r="P59" s="457"/>
      <c r="Q59" s="457"/>
      <c r="R59" s="457"/>
      <c r="S59" s="457"/>
      <c r="T59" s="457"/>
    </row>
    <row r="60" spans="1:20">
      <c r="A60" s="37" t="s">
        <v>3971</v>
      </c>
      <c r="B60" s="457"/>
      <c r="C60" s="457"/>
      <c r="D60" s="457"/>
      <c r="E60" s="457"/>
      <c r="F60" s="457"/>
      <c r="G60" s="457"/>
      <c r="H60" s="457"/>
      <c r="I60" s="457"/>
      <c r="J60" s="457"/>
      <c r="K60" s="457"/>
      <c r="L60" s="457"/>
      <c r="M60" s="457"/>
      <c r="N60" s="457"/>
      <c r="O60" s="457"/>
      <c r="P60" s="457"/>
      <c r="Q60" s="457"/>
      <c r="R60" s="457"/>
      <c r="S60" s="457"/>
      <c r="T60" s="457"/>
    </row>
    <row r="61" spans="1:20">
      <c r="A61" s="37" t="s">
        <v>18</v>
      </c>
      <c r="B61" s="457">
        <v>0</v>
      </c>
      <c r="C61" s="457">
        <v>4.4297904274827715E-2</v>
      </c>
      <c r="D61" s="457">
        <v>0.40491166993481897</v>
      </c>
      <c r="E61" s="457">
        <v>-3.0753091872791742</v>
      </c>
      <c r="F61" s="457">
        <v>1.7250301880282279</v>
      </c>
      <c r="G61" s="457">
        <v>-2.0419659202929381</v>
      </c>
      <c r="H61" s="457">
        <v>0.39873910851508754</v>
      </c>
      <c r="I61" s="457">
        <v>1.8308631211857289</v>
      </c>
      <c r="J61" s="457">
        <v>-1.2236011796770043</v>
      </c>
      <c r="K61" s="457">
        <v>-0.91390359431595414</v>
      </c>
      <c r="L61" s="457">
        <v>-0.30482848317345201</v>
      </c>
      <c r="M61" s="457">
        <v>0.47839409667945176</v>
      </c>
      <c r="N61" s="457">
        <v>-1.4311844967371741</v>
      </c>
      <c r="O61" s="457">
        <v>0.9375676722073365</v>
      </c>
      <c r="P61" s="457"/>
      <c r="Q61" s="457"/>
      <c r="R61" s="457"/>
      <c r="S61" s="457"/>
      <c r="T61" s="457"/>
    </row>
    <row r="62" spans="1:20">
      <c r="A62" s="37" t="s">
        <v>19</v>
      </c>
      <c r="B62" s="457">
        <v>0</v>
      </c>
      <c r="C62" s="457">
        <v>-1.1657027953865082</v>
      </c>
      <c r="D62" s="457">
        <v>-0.25285865200835644</v>
      </c>
      <c r="E62" s="457">
        <v>-5.4975935177288164</v>
      </c>
      <c r="F62" s="457">
        <v>-0.79291904849726791</v>
      </c>
      <c r="G62" s="457">
        <v>-2.3088054620767053</v>
      </c>
      <c r="H62" s="457">
        <v>1.1518602996013669</v>
      </c>
      <c r="I62" s="457">
        <v>2.5163094128611334</v>
      </c>
      <c r="J62" s="457">
        <v>-3.7417463483644156</v>
      </c>
      <c r="K62" s="457">
        <v>0.65446623303004969</v>
      </c>
      <c r="L62" s="457">
        <v>-0.74139893148853275</v>
      </c>
      <c r="M62" s="457">
        <v>0.70977424801455413</v>
      </c>
      <c r="N62" s="457">
        <v>-2.1532972390609473</v>
      </c>
      <c r="O62" s="457">
        <v>-1.2424475836680386</v>
      </c>
      <c r="P62" s="457"/>
      <c r="Q62" s="457"/>
      <c r="R62" s="457"/>
      <c r="S62" s="457"/>
      <c r="T62" s="457"/>
    </row>
    <row r="63" spans="1:20">
      <c r="A63" s="37" t="s">
        <v>20</v>
      </c>
      <c r="B63" s="457">
        <v>0</v>
      </c>
      <c r="C63" s="457">
        <v>-0.54112930123963565</v>
      </c>
      <c r="D63" s="457">
        <v>0.32282080973342886</v>
      </c>
      <c r="E63" s="457">
        <v>-9.2204063604240645</v>
      </c>
      <c r="F63" s="457">
        <v>-0.87976539589448066</v>
      </c>
      <c r="G63" s="457">
        <v>-4.0557667934093615</v>
      </c>
      <c r="H63" s="457">
        <v>3.5137929102816656E-2</v>
      </c>
      <c r="I63" s="457">
        <v>2.7027027027027231</v>
      </c>
      <c r="J63" s="457">
        <v>-3.895880679105403</v>
      </c>
      <c r="K63" s="457">
        <v>1.163276678740587</v>
      </c>
      <c r="L63" s="457">
        <v>-0.8481005798514758</v>
      </c>
      <c r="M63" s="457">
        <v>0.70977424801455413</v>
      </c>
      <c r="N63" s="457">
        <v>-2.3630611034210602</v>
      </c>
      <c r="O63" s="457">
        <v>-2.5495606638274353</v>
      </c>
      <c r="P63" s="457"/>
      <c r="Q63" s="457"/>
      <c r="R63" s="457"/>
      <c r="S63" s="457"/>
      <c r="T63" s="457"/>
    </row>
    <row r="64" spans="1:20">
      <c r="A64" s="37" t="s">
        <v>21</v>
      </c>
      <c r="B64" s="457">
        <v>0</v>
      </c>
      <c r="C64" s="457">
        <v>-1.610133275890874</v>
      </c>
      <c r="D64" s="457">
        <v>-1.0105015382049771</v>
      </c>
      <c r="E64" s="457">
        <v>-10.068278857479413</v>
      </c>
      <c r="F64" s="457">
        <v>-2.2103386809269381</v>
      </c>
      <c r="G64" s="457">
        <v>-5.6379383185466736</v>
      </c>
      <c r="H64" s="457">
        <v>0.27862510545621433</v>
      </c>
      <c r="I64" s="457">
        <v>2.7027027027027231</v>
      </c>
      <c r="J64" s="457">
        <v>-6.3292964952533453</v>
      </c>
      <c r="K64" s="457">
        <v>-2.1385251230611857</v>
      </c>
      <c r="L64" s="457">
        <v>-1.3621091421448881</v>
      </c>
      <c r="M64" s="457">
        <v>0.70977424801455413</v>
      </c>
      <c r="N64" s="457">
        <v>-4.7047821501548839</v>
      </c>
      <c r="O64" s="457">
        <v>-4.7972950803535639</v>
      </c>
      <c r="P64" s="457"/>
      <c r="Q64" s="457"/>
      <c r="R64" s="457"/>
      <c r="S64" s="457"/>
      <c r="T64" s="457"/>
    </row>
    <row r="65" spans="1:20">
      <c r="A65" s="37" t="s">
        <v>22</v>
      </c>
      <c r="B65" s="457">
        <v>0</v>
      </c>
      <c r="C65" s="457">
        <v>-1.1449705375507619</v>
      </c>
      <c r="D65" s="457">
        <v>-0.38229174312752434</v>
      </c>
      <c r="E65" s="457">
        <v>-9.8332597173145757</v>
      </c>
      <c r="F65" s="457">
        <v>-0.10350181128173119</v>
      </c>
      <c r="G65" s="457">
        <v>-6.5342909449372826</v>
      </c>
      <c r="H65" s="457">
        <v>-1.2715856372441436</v>
      </c>
      <c r="I65" s="457">
        <v>3.400174367916307</v>
      </c>
      <c r="J65" s="457">
        <v>-7.7041858891637958</v>
      </c>
      <c r="K65" s="457">
        <v>-0.81499024797993513</v>
      </c>
      <c r="L65" s="457">
        <v>-1.3100850810166094</v>
      </c>
      <c r="M65" s="457">
        <v>0.70977424801455413</v>
      </c>
      <c r="N65" s="457">
        <v>-4.607474787423385</v>
      </c>
      <c r="O65" s="457">
        <v>-4.9993765954235272</v>
      </c>
      <c r="P65" s="457"/>
      <c r="Q65" s="457"/>
      <c r="R65" s="457"/>
      <c r="S65" s="457"/>
      <c r="T65" s="457"/>
    </row>
    <row r="66" spans="1:20">
      <c r="A66" s="37" t="s">
        <v>23</v>
      </c>
      <c r="B66" s="457">
        <v>0</v>
      </c>
      <c r="C66" s="457">
        <v>-1.3819788018604555</v>
      </c>
      <c r="D66" s="457">
        <v>0.42970370891895016</v>
      </c>
      <c r="E66" s="457">
        <v>-10.667329210836272</v>
      </c>
      <c r="F66" s="457">
        <v>3.1907308377896442</v>
      </c>
      <c r="G66" s="457">
        <v>-8.3809792048068061</v>
      </c>
      <c r="H66" s="457">
        <v>-4.9962061221476119</v>
      </c>
      <c r="I66" s="457">
        <v>1.1711711711712098</v>
      </c>
      <c r="J66" s="457">
        <v>-8.9612530840115028</v>
      </c>
      <c r="K66" s="457">
        <v>-1.4352883811646677</v>
      </c>
      <c r="L66" s="457">
        <v>-1.5805018154229344</v>
      </c>
      <c r="M66" s="457">
        <v>0.70977424801455413</v>
      </c>
      <c r="N66" s="457">
        <v>-5.5297936853206835</v>
      </c>
      <c r="O66" s="457">
        <v>-3.3624583576679612</v>
      </c>
      <c r="P66" s="457"/>
      <c r="Q66" s="457"/>
      <c r="R66" s="457"/>
      <c r="S66" s="457"/>
      <c r="T66" s="457"/>
    </row>
    <row r="67" spans="1:20">
      <c r="A67" s="37" t="s">
        <v>24</v>
      </c>
      <c r="B67" s="457">
        <v>0</v>
      </c>
      <c r="C67" s="457">
        <v>-0.70251264661742141</v>
      </c>
      <c r="D67" s="457">
        <v>1.4960609869178541</v>
      </c>
      <c r="E67" s="457">
        <v>-11.600044169611351</v>
      </c>
      <c r="F67" s="457">
        <v>3.8813179230636337</v>
      </c>
      <c r="G67" s="457">
        <v>-9.5268272074355025</v>
      </c>
      <c r="H67" s="457">
        <v>-1.7507855109513031</v>
      </c>
      <c r="I67" s="457">
        <v>-3.2258064516127973</v>
      </c>
      <c r="J67" s="457">
        <v>-8.9433378530641363</v>
      </c>
      <c r="K67" s="457">
        <v>-0.26400111451656016</v>
      </c>
      <c r="L67" s="457">
        <v>-1.7138134720641176</v>
      </c>
      <c r="M67" s="457">
        <v>0.70977424801455413</v>
      </c>
      <c r="N67" s="457">
        <v>-5.8285544789401342</v>
      </c>
      <c r="O67" s="457">
        <v>-3.1188274744240516</v>
      </c>
      <c r="P67" s="457"/>
      <c r="Q67" s="457"/>
      <c r="R67" s="457"/>
      <c r="S67" s="457"/>
      <c r="T67" s="457"/>
    </row>
    <row r="68" spans="1:20">
      <c r="A68" s="37" t="s">
        <v>25</v>
      </c>
      <c r="B68" s="457">
        <v>0</v>
      </c>
      <c r="C68" s="457">
        <v>0.72492217466229647</v>
      </c>
      <c r="D68" s="457">
        <v>2.0315989891439301</v>
      </c>
      <c r="E68" s="457">
        <v>-13.560070671378099</v>
      </c>
      <c r="F68" s="457">
        <v>2.2770398481972762</v>
      </c>
      <c r="G68" s="457">
        <v>-9.9070553443176692</v>
      </c>
      <c r="H68" s="457">
        <v>-0.5968355493992874</v>
      </c>
      <c r="I68" s="457">
        <v>-4.1848299912815179</v>
      </c>
      <c r="J68" s="457">
        <v>-1.921203903519654</v>
      </c>
      <c r="K68" s="457">
        <v>-1.6202284758985428</v>
      </c>
      <c r="L68" s="457">
        <v>-0.22625047417761834</v>
      </c>
      <c r="M68" s="457">
        <v>0.70977424801455413</v>
      </c>
      <c r="N68" s="457">
        <v>-3.6904291081669101</v>
      </c>
      <c r="O68" s="457">
        <v>0.57993030993053196</v>
      </c>
      <c r="P68" s="457"/>
      <c r="Q68" s="457"/>
      <c r="R68" s="457"/>
      <c r="S68" s="457"/>
      <c r="T68" s="457"/>
    </row>
    <row r="69" spans="1:20">
      <c r="A69" s="37" t="s">
        <v>26</v>
      </c>
      <c r="B69" s="457">
        <v>0</v>
      </c>
      <c r="C69" s="457">
        <v>1.717403691144554</v>
      </c>
      <c r="D69" s="457">
        <v>4.3639531243211849</v>
      </c>
      <c r="E69" s="457">
        <v>-14.581124852767942</v>
      </c>
      <c r="F69" s="457">
        <v>0.16042780748659879</v>
      </c>
      <c r="G69" s="457">
        <v>-10.054452424541097</v>
      </c>
      <c r="H69" s="457">
        <v>-0.8516958718873866</v>
      </c>
      <c r="I69" s="457">
        <v>-5.0450450450449438</v>
      </c>
      <c r="J69" s="457">
        <v>0.42397257969327029</v>
      </c>
      <c r="K69" s="457">
        <v>-1.4475248444320528</v>
      </c>
      <c r="L69" s="457">
        <v>0.92261420907169622</v>
      </c>
      <c r="M69" s="457">
        <v>0.70977424801455413</v>
      </c>
      <c r="N69" s="457">
        <v>-2.0790488431876639</v>
      </c>
      <c r="O69" s="457">
        <v>2.059542792896238</v>
      </c>
      <c r="P69" s="457"/>
      <c r="Q69" s="457"/>
      <c r="R69" s="457"/>
      <c r="S69" s="457"/>
      <c r="T69" s="457"/>
    </row>
    <row r="70" spans="1:20">
      <c r="A70" s="37" t="s">
        <v>27</v>
      </c>
      <c r="B70" s="457">
        <v>0</v>
      </c>
      <c r="C70" s="457">
        <v>-0.16138334537775734</v>
      </c>
      <c r="D70" s="457">
        <v>3.0713666180812567</v>
      </c>
      <c r="E70" s="457">
        <v>-15.045273851590096</v>
      </c>
      <c r="F70" s="457">
        <v>-5.4683456960497381</v>
      </c>
      <c r="G70" s="457">
        <v>-10.033798056611744</v>
      </c>
      <c r="H70" s="457">
        <v>-1.7090273923073056</v>
      </c>
      <c r="I70" s="457">
        <v>-5.6669572798604122</v>
      </c>
      <c r="J70" s="457">
        <v>-3.7924816050591232</v>
      </c>
      <c r="K70" s="457">
        <v>-2.4672610755085032</v>
      </c>
      <c r="L70" s="457">
        <v>0.74920067197750484</v>
      </c>
      <c r="M70" s="457">
        <v>0.70977424801455413</v>
      </c>
      <c r="N70" s="457">
        <v>-4.2490607079296439</v>
      </c>
      <c r="O70" s="457">
        <v>0.48789610798681338</v>
      </c>
      <c r="P70" s="457"/>
      <c r="Q70" s="457"/>
      <c r="R70" s="457"/>
      <c r="S70" s="457"/>
      <c r="T70" s="457"/>
    </row>
    <row r="71" spans="1:20">
      <c r="A71" s="37" t="s">
        <v>28</v>
      </c>
      <c r="B71" s="457">
        <v>0</v>
      </c>
      <c r="C71" s="457">
        <v>-2.5792961439398852</v>
      </c>
      <c r="D71" s="457">
        <v>0.71127436073740569</v>
      </c>
      <c r="E71" s="457">
        <v>-15.448321554770388</v>
      </c>
      <c r="F71" s="457">
        <v>-9.5516934046346478</v>
      </c>
      <c r="G71" s="457">
        <v>-10.345491245364471</v>
      </c>
      <c r="H71" s="457">
        <v>-1.8246770111371831</v>
      </c>
      <c r="I71" s="457">
        <v>-6.8828828828828392</v>
      </c>
      <c r="J71" s="457">
        <v>-6.4412166715319188</v>
      </c>
      <c r="K71" s="457">
        <v>-1.2848518621714362</v>
      </c>
      <c r="L71" s="457">
        <v>-0.83852670749105584</v>
      </c>
      <c r="M71" s="457">
        <v>-0.41590061076018969</v>
      </c>
      <c r="N71" s="457">
        <v>-6.5795761650517761</v>
      </c>
      <c r="O71" s="457">
        <v>-1.7302976811537008</v>
      </c>
      <c r="P71" s="457"/>
      <c r="Q71" s="457"/>
      <c r="R71" s="457"/>
      <c r="S71" s="457"/>
      <c r="T71" s="457"/>
    </row>
    <row r="72" spans="1:20">
      <c r="A72" s="37" t="s">
        <v>29</v>
      </c>
      <c r="B72" s="457">
        <v>0</v>
      </c>
      <c r="C72" s="457">
        <v>-4.1417671910612626</v>
      </c>
      <c r="D72" s="457">
        <v>-0.23803353441603292</v>
      </c>
      <c r="E72" s="457">
        <v>-16.812058303886971</v>
      </c>
      <c r="F72" s="457">
        <v>-12.032258064516171</v>
      </c>
      <c r="G72" s="457">
        <v>-11.153358681875801</v>
      </c>
      <c r="H72" s="457">
        <v>-4.3576124541042134</v>
      </c>
      <c r="I72" s="457">
        <v>-11.749782040104563</v>
      </c>
      <c r="J72" s="457">
        <v>-6.5346032231046252</v>
      </c>
      <c r="K72" s="457">
        <v>1.2447757035386218</v>
      </c>
      <c r="L72" s="457">
        <v>-1.9346447732076228</v>
      </c>
      <c r="M72" s="457">
        <v>-4.7295353636420288</v>
      </c>
      <c r="N72" s="457">
        <v>-9.4374134862566592</v>
      </c>
      <c r="O72" s="457">
        <v>-3.0235121957621658</v>
      </c>
      <c r="P72" s="457"/>
      <c r="Q72" s="457"/>
      <c r="R72" s="457"/>
      <c r="S72" s="457"/>
      <c r="T72" s="457"/>
    </row>
    <row r="73" spans="1:20">
      <c r="A73" s="37" t="s">
        <v>4202</v>
      </c>
      <c r="B73" s="457"/>
      <c r="C73" s="457"/>
      <c r="D73" s="457"/>
      <c r="E73" s="457"/>
      <c r="F73" s="457"/>
      <c r="G73" s="457"/>
      <c r="H73" s="457"/>
      <c r="I73" s="457"/>
      <c r="J73" s="457"/>
      <c r="K73" s="457"/>
      <c r="L73" s="457"/>
      <c r="M73" s="457"/>
      <c r="N73" s="457"/>
      <c r="O73" s="457"/>
      <c r="P73" s="457"/>
      <c r="Q73" s="457"/>
      <c r="R73" s="457"/>
      <c r="S73" s="457"/>
      <c r="T73" s="457"/>
    </row>
    <row r="74" spans="1:20">
      <c r="A74" s="37" t="s">
        <v>18</v>
      </c>
      <c r="B74" s="457">
        <v>0</v>
      </c>
      <c r="C74" s="457">
        <v>-1.0083253897202695</v>
      </c>
      <c r="D74" s="457">
        <v>-2.0865992756365301</v>
      </c>
      <c r="E74" s="457">
        <v>-1.4004114953208386</v>
      </c>
      <c r="F74" s="457">
        <v>1.1510955017070472</v>
      </c>
      <c r="G74" s="457">
        <v>-0.83214455539700793</v>
      </c>
      <c r="H74" s="457">
        <v>-1.1117500479202675</v>
      </c>
      <c r="I74" s="457">
        <v>-0.74093832429390716</v>
      </c>
      <c r="J74" s="457">
        <v>-1.801283754002597</v>
      </c>
      <c r="K74" s="457">
        <v>-3.0272382642948514E-2</v>
      </c>
      <c r="L74" s="457">
        <v>-0.23485853227226983</v>
      </c>
      <c r="M74" s="457">
        <v>-0.51067628505975904</v>
      </c>
      <c r="N74" s="457">
        <v>-1.0835744309187589</v>
      </c>
      <c r="O74" s="457">
        <v>-1.8449535293659807</v>
      </c>
      <c r="P74" s="457">
        <v>-1.4509108495889791</v>
      </c>
      <c r="Q74" s="457">
        <v>-0.61079892499382993</v>
      </c>
      <c r="R74" s="457">
        <v>-0.52467033987497302</v>
      </c>
      <c r="S74" s="457">
        <v>-1.0277306984962991</v>
      </c>
      <c r="T74" s="457">
        <v>-1.14303930051463</v>
      </c>
    </row>
    <row r="75" spans="1:20">
      <c r="A75" s="37" t="s">
        <v>19</v>
      </c>
      <c r="B75" s="457">
        <v>0</v>
      </c>
      <c r="C75" s="457">
        <v>-0.51853757091647878</v>
      </c>
      <c r="D75" s="457">
        <v>-0.88640570017940945</v>
      </c>
      <c r="E75" s="457">
        <v>-3.3059477192350357</v>
      </c>
      <c r="F75" s="457">
        <v>11.373644367237844</v>
      </c>
      <c r="G75" s="457">
        <v>0.24652990059550461</v>
      </c>
      <c r="H75" s="457">
        <v>-0.41007953241999928</v>
      </c>
      <c r="I75" s="457">
        <v>2.7855752715715028</v>
      </c>
      <c r="J75" s="457">
        <v>1.2580255474802726</v>
      </c>
      <c r="K75" s="457">
        <v>1.6901425062584252</v>
      </c>
      <c r="L75" s="457">
        <v>0.14515836175323216</v>
      </c>
      <c r="M75" s="457">
        <v>1.6411312895654504</v>
      </c>
      <c r="N75" s="457">
        <v>-0.46048988949806358</v>
      </c>
      <c r="O75" s="457">
        <v>-1.4131807045246916</v>
      </c>
      <c r="P75" s="457">
        <v>-2.3508210312982953</v>
      </c>
      <c r="Q75" s="457">
        <v>-0.64657429060062555</v>
      </c>
      <c r="R75" s="457">
        <v>1.6728703646381291</v>
      </c>
      <c r="S75" s="457">
        <v>-0.56235414724112331</v>
      </c>
      <c r="T75" s="457">
        <v>-0.3072284061856152</v>
      </c>
    </row>
    <row r="76" spans="1:20">
      <c r="A76" s="37" t="s">
        <v>20</v>
      </c>
      <c r="B76" s="457">
        <v>0</v>
      </c>
      <c r="C76" s="457">
        <v>3.3377672587829466</v>
      </c>
      <c r="D76" s="457">
        <v>2.12744232420971</v>
      </c>
      <c r="E76" s="457">
        <v>-4.4932634233755664</v>
      </c>
      <c r="F76" s="457">
        <v>21.446458371327239</v>
      </c>
      <c r="G76" s="457">
        <v>0.63401489935017707</v>
      </c>
      <c r="H76" s="457">
        <v>0.83008540455347202</v>
      </c>
      <c r="I76" s="457">
        <v>4.6303705679538609</v>
      </c>
      <c r="J76" s="457">
        <v>3.2289419683644667</v>
      </c>
      <c r="K76" s="457">
        <v>-0.5359587745189458</v>
      </c>
      <c r="L76" s="457">
        <v>0.47524314765689724</v>
      </c>
      <c r="M76" s="457">
        <v>7.549869705343653</v>
      </c>
      <c r="N76" s="457">
        <v>-1.0016922321087662</v>
      </c>
      <c r="O76" s="457">
        <v>0.98676085978284789</v>
      </c>
      <c r="P76" s="457">
        <v>-2.3053361276802633</v>
      </c>
      <c r="Q76" s="457">
        <v>-0.4153432689957981</v>
      </c>
      <c r="R76" s="457">
        <v>5.4997523679811451</v>
      </c>
      <c r="S76" s="457">
        <v>3.2887382351880916</v>
      </c>
      <c r="T76" s="457">
        <v>3.7296780363404309</v>
      </c>
    </row>
    <row r="77" spans="1:20">
      <c r="A77" s="37" t="s">
        <v>21</v>
      </c>
      <c r="B77" s="457">
        <v>0</v>
      </c>
      <c r="C77" s="457">
        <v>7.347334630890856</v>
      </c>
      <c r="D77" s="457">
        <v>4.0871178221845383</v>
      </c>
      <c r="E77" s="457">
        <v>-8.2845512267427495</v>
      </c>
      <c r="F77" s="457">
        <v>24.045633321502066</v>
      </c>
      <c r="G77" s="457">
        <v>0.84376816188517978</v>
      </c>
      <c r="H77" s="457">
        <v>2.0051611895582937</v>
      </c>
      <c r="I77" s="457">
        <v>1.1078839130763924</v>
      </c>
      <c r="J77" s="457">
        <v>6.8342922082534443</v>
      </c>
      <c r="K77" s="457">
        <v>-1.7648340408356233</v>
      </c>
      <c r="L77" s="457">
        <v>-0.26700191570881771</v>
      </c>
      <c r="M77" s="457">
        <v>10.219870864977068</v>
      </c>
      <c r="N77" s="457">
        <v>-0.10471823425591253</v>
      </c>
      <c r="O77" s="457">
        <v>6.9647869771701352</v>
      </c>
      <c r="P77" s="457">
        <v>-0.66473211886723504</v>
      </c>
      <c r="Q77" s="457">
        <v>-0.60509813502723375</v>
      </c>
      <c r="R77" s="457">
        <v>7.5178759363585499</v>
      </c>
      <c r="S77" s="457">
        <v>7.2794586082963519</v>
      </c>
      <c r="T77" s="457">
        <v>7.7049653141460368</v>
      </c>
    </row>
    <row r="78" spans="1:20">
      <c r="A78" s="37" t="s">
        <v>22</v>
      </c>
      <c r="B78" s="457">
        <v>0</v>
      </c>
      <c r="C78" s="457">
        <v>7.8208645792181386</v>
      </c>
      <c r="D78" s="457">
        <v>5.800163372194362</v>
      </c>
      <c r="E78" s="457">
        <v>-9.8626136589898437</v>
      </c>
      <c r="F78" s="457">
        <v>28.475592657304929</v>
      </c>
      <c r="G78" s="457">
        <v>0.57853859565703658</v>
      </c>
      <c r="H78" s="457">
        <v>2.4039997444252492</v>
      </c>
      <c r="I78" s="457">
        <v>1.7179889945960554</v>
      </c>
      <c r="J78" s="457">
        <v>6.4969978604099765</v>
      </c>
      <c r="K78" s="457">
        <v>1.5824200017888046</v>
      </c>
      <c r="L78" s="457">
        <v>0.86483200707345986</v>
      </c>
      <c r="M78" s="457">
        <v>14.040315857877061</v>
      </c>
      <c r="N78" s="457">
        <v>3.3107702385501057</v>
      </c>
      <c r="O78" s="457">
        <v>7.6152969079350612</v>
      </c>
      <c r="P78" s="457">
        <v>-0.17733354828311576</v>
      </c>
      <c r="Q78" s="457">
        <v>-9.7727827999008809E-2</v>
      </c>
      <c r="R78" s="457">
        <v>8.1625704203553084</v>
      </c>
      <c r="S78" s="457">
        <v>5.9590350149651954</v>
      </c>
      <c r="T78" s="457">
        <v>8.7617833234664602</v>
      </c>
    </row>
    <row r="79" spans="1:20">
      <c r="A79" s="37" t="s">
        <v>23</v>
      </c>
      <c r="B79" s="457">
        <v>0</v>
      </c>
      <c r="C79" s="457">
        <v>9.8267084204714621</v>
      </c>
      <c r="D79" s="457">
        <v>7.1148240245218659</v>
      </c>
      <c r="E79" s="457">
        <v>-11.350191367447607</v>
      </c>
      <c r="F79" s="457">
        <v>31.185262317081367</v>
      </c>
      <c r="G79" s="457">
        <v>0.27870238283934157</v>
      </c>
      <c r="H79" s="457">
        <v>2.9437948586884772</v>
      </c>
      <c r="I79" s="457">
        <v>1.1844475399200576</v>
      </c>
      <c r="J79" s="457">
        <v>6.5371917954166747</v>
      </c>
      <c r="K79" s="457">
        <v>3.7662972059966364</v>
      </c>
      <c r="L79" s="457">
        <v>1.3704225611553653</v>
      </c>
      <c r="M79" s="457">
        <v>15.361203918248052</v>
      </c>
      <c r="N79" s="457">
        <v>5.2258129082736815</v>
      </c>
      <c r="O79" s="457">
        <v>9.4363920156898047</v>
      </c>
      <c r="P79" s="457">
        <v>-1.1978075124939949</v>
      </c>
      <c r="Q79" s="457">
        <v>1.5660884436843929</v>
      </c>
      <c r="R79" s="457">
        <v>9.920809343981432</v>
      </c>
      <c r="S79" s="457">
        <v>8.3796413159761016</v>
      </c>
      <c r="T79" s="457">
        <v>11.243681406257082</v>
      </c>
    </row>
    <row r="80" spans="1:20">
      <c r="A80" s="37" t="s">
        <v>24</v>
      </c>
      <c r="B80" s="457">
        <v>0</v>
      </c>
      <c r="C80" s="457">
        <v>11.685447421738829</v>
      </c>
      <c r="D80" s="457">
        <v>6.9846117808169765</v>
      </c>
      <c r="E80" s="457">
        <v>-13.055020906617059</v>
      </c>
      <c r="F80" s="457">
        <v>31.186255880490023</v>
      </c>
      <c r="G80" s="457">
        <v>-5.5476303693154705E-2</v>
      </c>
      <c r="H80" s="457">
        <v>3.4816731625241744</v>
      </c>
      <c r="I80" s="457">
        <v>-1.530284619108329</v>
      </c>
      <c r="J80" s="457">
        <v>4.7818231174964438</v>
      </c>
      <c r="K80" s="457">
        <v>8.3083930180877701</v>
      </c>
      <c r="L80" s="457">
        <v>1.5196728558797901</v>
      </c>
      <c r="M80" s="457">
        <v>16.599604849455488</v>
      </c>
      <c r="N80" s="457">
        <v>4.446203395381815</v>
      </c>
      <c r="O80" s="457">
        <v>11.769741138099164</v>
      </c>
      <c r="P80" s="457">
        <v>-1.2735773013058918</v>
      </c>
      <c r="Q80" s="457">
        <v>1.7346689469827368</v>
      </c>
      <c r="R80" s="457">
        <v>12.133968922181609</v>
      </c>
      <c r="S80" s="457">
        <v>9.5651076412678577</v>
      </c>
      <c r="T80" s="457">
        <v>13.966938385172384</v>
      </c>
    </row>
    <row r="81" spans="1:16381">
      <c r="A81" s="37" t="s">
        <v>25</v>
      </c>
      <c r="B81" s="457">
        <v>0</v>
      </c>
      <c r="C81" s="457">
        <v>10.992269022083903</v>
      </c>
      <c r="D81" s="457">
        <v>6.2841234661333232</v>
      </c>
      <c r="E81" s="457">
        <v>-14.375788146279916</v>
      </c>
      <c r="F81" s="457">
        <v>28.978780230964276</v>
      </c>
      <c r="G81" s="457">
        <v>0.78459343794578729</v>
      </c>
      <c r="H81" s="457">
        <v>4.0226396609375428</v>
      </c>
      <c r="I81" s="457">
        <v>-3.3934975252660138</v>
      </c>
      <c r="J81" s="457">
        <v>4.0871131297268875</v>
      </c>
      <c r="K81" s="457">
        <v>6.8656387816741926</v>
      </c>
      <c r="L81" s="457">
        <v>1.4616489832007318</v>
      </c>
      <c r="M81" s="457">
        <v>16.682310777370077</v>
      </c>
      <c r="N81" s="457">
        <v>3.4445111632730487</v>
      </c>
      <c r="O81" s="457">
        <v>10.464604838900698</v>
      </c>
      <c r="P81" s="457">
        <v>-2.9340641625021107</v>
      </c>
      <c r="Q81" s="457">
        <v>2.6386513559736784</v>
      </c>
      <c r="R81" s="457">
        <v>11.223921253017991</v>
      </c>
      <c r="S81" s="457">
        <v>9.0124770112869612</v>
      </c>
      <c r="T81" s="457">
        <v>13.734687371920359</v>
      </c>
    </row>
    <row r="82" spans="1:16381">
      <c r="A82" s="37" t="s">
        <v>26</v>
      </c>
      <c r="B82" s="457">
        <v>0</v>
      </c>
      <c r="C82" s="457">
        <v>12.004212833254257</v>
      </c>
      <c r="D82" s="457">
        <v>6.8148928971135945</v>
      </c>
      <c r="E82" s="457">
        <v>-15.410278533660744</v>
      </c>
      <c r="F82" s="457">
        <v>24.542088195747681</v>
      </c>
      <c r="G82" s="457">
        <v>1.089448935383345</v>
      </c>
      <c r="H82" s="457">
        <v>3.7201208300498507</v>
      </c>
      <c r="I82" s="457">
        <v>-3.7074577912134998</v>
      </c>
      <c r="J82" s="457">
        <v>3.9821282450205615</v>
      </c>
      <c r="K82" s="457">
        <v>8.5281888629738347</v>
      </c>
      <c r="L82" s="457">
        <v>2.1912761567934211</v>
      </c>
      <c r="M82" s="457">
        <v>15.509068114239156</v>
      </c>
      <c r="N82" s="457">
        <v>3.2035955383299353</v>
      </c>
      <c r="O82" s="457">
        <v>11.842619001701877</v>
      </c>
      <c r="P82" s="457">
        <v>-3.7132570261702114</v>
      </c>
      <c r="Q82" s="457">
        <v>4.3684339115563944</v>
      </c>
      <c r="R82" s="457">
        <v>12.29255659423427</v>
      </c>
      <c r="S82" s="457">
        <v>9.8235728967581082</v>
      </c>
      <c r="T82" s="457">
        <v>15.587078950164667</v>
      </c>
    </row>
    <row r="83" spans="1:16381">
      <c r="A83" s="37" t="s">
        <v>27</v>
      </c>
      <c r="B83" s="457">
        <v>0</v>
      </c>
      <c r="C83" s="457">
        <v>11.261385341949932</v>
      </c>
      <c r="D83" s="457">
        <v>5.8207350547477148</v>
      </c>
      <c r="E83" s="457">
        <v>-16.446538793389536</v>
      </c>
      <c r="F83" s="457">
        <v>27.500593196574584</v>
      </c>
      <c r="G83" s="457">
        <v>0.35663338088443197</v>
      </c>
      <c r="H83" s="457">
        <v>3.4273635337464441</v>
      </c>
      <c r="I83" s="457">
        <v>-3.5011805617300382</v>
      </c>
      <c r="J83" s="457">
        <v>1.779099737586435</v>
      </c>
      <c r="K83" s="457">
        <v>10.318754429055971</v>
      </c>
      <c r="L83" s="457">
        <v>2.2422082228116693</v>
      </c>
      <c r="M83" s="457">
        <v>13.809920772972191</v>
      </c>
      <c r="N83" s="457">
        <v>1.1408919700856472</v>
      </c>
      <c r="O83" s="457">
        <v>11.823029269563506</v>
      </c>
      <c r="P83" s="457">
        <v>-3.7723682089312973</v>
      </c>
      <c r="Q83" s="457">
        <v>6.474468604935339</v>
      </c>
      <c r="R83" s="457">
        <v>11.808951897480341</v>
      </c>
      <c r="S83" s="457">
        <v>8.7889005084561944</v>
      </c>
      <c r="T83" s="457">
        <v>14.95514367685233</v>
      </c>
    </row>
    <row r="84" spans="1:16381">
      <c r="A84" s="37" t="s">
        <v>28</v>
      </c>
      <c r="B84" s="457">
        <v>0</v>
      </c>
      <c r="C84" s="457">
        <v>10.423143882693097</v>
      </c>
      <c r="D84" s="457">
        <v>3.9525910309466497</v>
      </c>
      <c r="E84" s="457">
        <v>-17.282582243755627</v>
      </c>
      <c r="F84" s="457">
        <v>28.85172177348457</v>
      </c>
      <c r="G84" s="457">
        <v>-0.75315686585300057</v>
      </c>
      <c r="H84" s="457">
        <v>3.7355263064482216</v>
      </c>
      <c r="I84" s="457">
        <v>-0.42747201722933426</v>
      </c>
      <c r="J84" s="457">
        <v>-0.75338087329132009</v>
      </c>
      <c r="K84" s="457">
        <v>11.295887313348913</v>
      </c>
      <c r="L84" s="457">
        <v>2.4510941644562791</v>
      </c>
      <c r="M84" s="457">
        <v>16.010992449255056</v>
      </c>
      <c r="N84" s="457">
        <v>-1.3485088341794693</v>
      </c>
      <c r="O84" s="457">
        <v>10.981341823345076</v>
      </c>
      <c r="P84" s="457">
        <v>-4.2296738137461176</v>
      </c>
      <c r="Q84" s="457">
        <v>7.5242283573580835</v>
      </c>
      <c r="R84" s="457">
        <v>11.218633277616121</v>
      </c>
      <c r="S84" s="457">
        <v>7.9930402798312343</v>
      </c>
      <c r="T84" s="457">
        <v>14.420055558085522</v>
      </c>
    </row>
    <row r="85" spans="1:16381">
      <c r="A85" s="37" t="s">
        <v>29</v>
      </c>
      <c r="B85" s="457">
        <v>0</v>
      </c>
      <c r="C85" s="457">
        <v>11.87210722609035</v>
      </c>
      <c r="D85" s="457">
        <v>5.9557273366127816</v>
      </c>
      <c r="E85" s="457">
        <v>-18.09252007698943</v>
      </c>
      <c r="F85" s="457">
        <v>31.877893671720102</v>
      </c>
      <c r="G85" s="457">
        <v>-0.95894753526702914</v>
      </c>
      <c r="H85" s="457">
        <v>4.0758843950332846</v>
      </c>
      <c r="I85" s="457">
        <v>1.7071218991730603</v>
      </c>
      <c r="J85" s="457">
        <v>-1.2414292344470965</v>
      </c>
      <c r="K85" s="457">
        <v>12.812785953614409</v>
      </c>
      <c r="L85" s="457">
        <v>3.3557139699381509</v>
      </c>
      <c r="M85" s="457">
        <v>18.295732767957332</v>
      </c>
      <c r="N85" s="457">
        <v>-1.8205142202085653</v>
      </c>
      <c r="O85" s="457">
        <v>11.985600362697653</v>
      </c>
      <c r="P85" s="457">
        <v>-5.706916008383061</v>
      </c>
      <c r="Q85" s="457">
        <v>7.2074273149279833</v>
      </c>
      <c r="R85" s="457">
        <v>13.151581749520162</v>
      </c>
      <c r="S85" s="457">
        <v>9.3235007753055896</v>
      </c>
      <c r="T85" s="457">
        <v>15.87959378842389</v>
      </c>
    </row>
    <row r="86" spans="1:16381">
      <c r="A86" s="37" t="s">
        <v>4465</v>
      </c>
      <c r="B86" s="457"/>
      <c r="C86" s="457"/>
      <c r="D86" s="457"/>
      <c r="E86" s="457"/>
      <c r="F86" s="457"/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57"/>
      <c r="R86" s="457"/>
      <c r="S86" s="457"/>
      <c r="T86" s="457"/>
    </row>
    <row r="87" spans="1:16381">
      <c r="A87" s="37" t="s">
        <v>18</v>
      </c>
      <c r="B87" s="457">
        <v>0</v>
      </c>
      <c r="C87" s="457">
        <v>0.18369816480029044</v>
      </c>
      <c r="D87" s="457">
        <v>0.91152974588560198</v>
      </c>
      <c r="E87" s="457">
        <v>-1.1506360910785673</v>
      </c>
      <c r="F87" s="457">
        <v>0.48579203283223649</v>
      </c>
      <c r="G87" s="457">
        <v>-1.8244378650875746</v>
      </c>
      <c r="H87" s="457">
        <v>0.12482925506604658</v>
      </c>
      <c r="I87" s="457">
        <v>0.87808763392294509</v>
      </c>
      <c r="J87" s="457">
        <v>-0.67772864844414471</v>
      </c>
      <c r="K87" s="457">
        <v>2.0747697749588383</v>
      </c>
      <c r="L87" s="457">
        <v>1.0305695534198946</v>
      </c>
      <c r="M87" s="457">
        <v>-0.64310287426479817</v>
      </c>
      <c r="N87" s="457">
        <v>0.68388424008232107</v>
      </c>
      <c r="O87" s="457">
        <v>0.70485939067278025</v>
      </c>
      <c r="P87" s="457">
        <v>-0.64968370661662789</v>
      </c>
      <c r="Q87" s="457">
        <v>-0.34184138559706412</v>
      </c>
      <c r="R87" s="457">
        <v>0.39256184216827705</v>
      </c>
      <c r="S87" s="457">
        <v>0.1533818217802434</v>
      </c>
      <c r="T87" s="457">
        <v>0.16505541145951952</v>
      </c>
    </row>
    <row r="88" spans="1:16381">
      <c r="A88" s="37" t="s">
        <v>19</v>
      </c>
      <c r="B88" s="457">
        <v>0</v>
      </c>
      <c r="C88" s="457">
        <v>0.9570621160371644</v>
      </c>
      <c r="D88" s="457">
        <v>1.4195682907339346</v>
      </c>
      <c r="E88" s="457">
        <v>-2.258152268281151</v>
      </c>
      <c r="F88" s="457">
        <v>1.9917760118277812</v>
      </c>
      <c r="G88" s="457">
        <v>-2.2202471450290773</v>
      </c>
      <c r="H88" s="457">
        <v>0.52968385602538604</v>
      </c>
      <c r="I88" s="457">
        <v>3.1143803501527287</v>
      </c>
      <c r="J88" s="457">
        <v>0.54032297563877307</v>
      </c>
      <c r="K88" s="457">
        <v>3.5644804363167566</v>
      </c>
      <c r="L88" s="457">
        <v>1.9459948710213126</v>
      </c>
      <c r="M88" s="457">
        <v>2.2746405187311183</v>
      </c>
      <c r="N88" s="457">
        <v>1.145168528616324</v>
      </c>
      <c r="O88" s="457">
        <v>3.0038098057935372</v>
      </c>
      <c r="P88" s="457">
        <v>-0.7754683340253905</v>
      </c>
      <c r="Q88" s="457">
        <v>-1.7499023310326578</v>
      </c>
      <c r="R88" s="457">
        <v>1.0253943937323413</v>
      </c>
      <c r="S88" s="457">
        <v>0.89511015924850312</v>
      </c>
      <c r="T88" s="457">
        <v>0.93770000336846238</v>
      </c>
    </row>
    <row r="89" spans="1:16381">
      <c r="A89" s="37" t="s">
        <v>20</v>
      </c>
      <c r="B89" s="457">
        <v>0</v>
      </c>
      <c r="C89" s="457">
        <v>-1.4669934571702328</v>
      </c>
      <c r="D89" s="457">
        <v>-0.48637594649861171</v>
      </c>
      <c r="E89" s="457">
        <v>-3.2979499230208233</v>
      </c>
      <c r="F89" s="457">
        <v>-3.0476870232412381</v>
      </c>
      <c r="G89" s="457">
        <v>-3.8409218212371599</v>
      </c>
      <c r="H89" s="457">
        <v>-0.73516245708997019</v>
      </c>
      <c r="I89" s="457">
        <v>4.8411380171149432</v>
      </c>
      <c r="J89" s="457">
        <v>-1.8809703962924971</v>
      </c>
      <c r="K89" s="457">
        <v>3.1560651338659511</v>
      </c>
      <c r="L89" s="457">
        <v>2.1907957173219188</v>
      </c>
      <c r="M89" s="457">
        <v>1.1768949062256837</v>
      </c>
      <c r="N89" s="457">
        <v>-1.4178087904144832</v>
      </c>
      <c r="O89" s="457">
        <v>1.2414347347940407</v>
      </c>
      <c r="P89" s="457">
        <v>-2.3251837921013419</v>
      </c>
      <c r="Q89" s="457">
        <v>-1.0711030082041333</v>
      </c>
      <c r="R89" s="457">
        <v>-2.5236118425101495</v>
      </c>
      <c r="S89" s="457">
        <v>-1.5173255487935933</v>
      </c>
      <c r="T89" s="457">
        <v>-2.0985616599859327</v>
      </c>
    </row>
    <row r="90" spans="1:16381">
      <c r="A90" s="37" t="s">
        <v>21</v>
      </c>
      <c r="B90" s="457">
        <v>0</v>
      </c>
      <c r="C90" s="457">
        <v>-0.28750220713182273</v>
      </c>
      <c r="D90" s="457">
        <v>0.27211260340096999</v>
      </c>
      <c r="E90" s="457">
        <v>-4.6463009480592632</v>
      </c>
      <c r="F90" s="457">
        <v>1.6572839065589875</v>
      </c>
      <c r="G90" s="457">
        <v>-3.6702141847377163</v>
      </c>
      <c r="H90" s="457">
        <v>0.25818509859294636</v>
      </c>
      <c r="I90" s="457">
        <v>8.9300411522633709</v>
      </c>
      <c r="J90" s="457">
        <v>-2.2499822661496296</v>
      </c>
      <c r="K90" s="457">
        <v>5.6222073143460989</v>
      </c>
      <c r="L90" s="457">
        <v>2.9755969327969041</v>
      </c>
      <c r="M90" s="457">
        <v>-0.3419894203381233</v>
      </c>
      <c r="N90" s="457">
        <v>-1.3922326318422904</v>
      </c>
      <c r="O90" s="457">
        <v>0.89695094686214816</v>
      </c>
      <c r="P90" s="457">
        <v>-3.5744001823673983</v>
      </c>
      <c r="Q90" s="457">
        <v>-0.97614706776053595</v>
      </c>
      <c r="R90" s="457">
        <v>-1.0044066320610341</v>
      </c>
      <c r="S90" s="457">
        <v>-0.35294311678458712</v>
      </c>
      <c r="T90" s="457">
        <v>-0.82501506458120843</v>
      </c>
    </row>
    <row r="91" spans="1:16381">
      <c r="A91" s="37" t="s">
        <v>22</v>
      </c>
      <c r="B91" s="457">
        <v>0</v>
      </c>
      <c r="C91" s="457">
        <v>-0.33742793410841898</v>
      </c>
      <c r="D91" s="457">
        <v>0.77349647901799301</v>
      </c>
      <c r="E91" s="457">
        <v>-6.2150555060368475</v>
      </c>
      <c r="F91" s="457">
        <v>7.2256174629373504</v>
      </c>
      <c r="G91" s="457">
        <v>-4.2810274465872169</v>
      </c>
      <c r="H91" s="457">
        <v>0.76125381777995926</v>
      </c>
      <c r="I91" s="457">
        <v>9.3306524463094433</v>
      </c>
      <c r="J91" s="457">
        <v>-1.4574269365364927</v>
      </c>
      <c r="K91" s="457">
        <v>10.454351405744973</v>
      </c>
      <c r="L91" s="457">
        <v>3.5488484621656511</v>
      </c>
      <c r="M91" s="457">
        <v>3.9762512484740995</v>
      </c>
      <c r="N91" s="457">
        <v>-1.7764310138722692</v>
      </c>
      <c r="O91" s="457">
        <v>1.6397875451678203</v>
      </c>
      <c r="P91" s="457">
        <v>-5.6590870234228561</v>
      </c>
      <c r="Q91" s="457">
        <v>-0.41020966271649684</v>
      </c>
      <c r="R91" s="457">
        <v>-0.8158994385134406</v>
      </c>
      <c r="S91" s="457">
        <v>-2.9332211831841022</v>
      </c>
      <c r="T91" s="457">
        <v>-0.57376404935945402</v>
      </c>
    </row>
    <row r="92" spans="1:16381" ht="12.6" customHeight="1">
      <c r="A92" s="574" t="s">
        <v>23</v>
      </c>
      <c r="B92" s="1170">
        <v>0</v>
      </c>
      <c r="C92" s="1170">
        <v>-1.7374433772815649</v>
      </c>
      <c r="D92" s="1170">
        <v>-0.50241841652884034</v>
      </c>
      <c r="E92" s="1170">
        <v>-7.7360019447371258</v>
      </c>
      <c r="F92" s="1170">
        <v>6.7264575991435436</v>
      </c>
      <c r="G92" s="1170">
        <v>-5.7125710170440414</v>
      </c>
      <c r="H92" s="1170">
        <v>1.6210408918129247</v>
      </c>
      <c r="I92" s="1170">
        <v>5.1018769446953911</v>
      </c>
      <c r="J92" s="1170">
        <v>-3.1005666950408255</v>
      </c>
      <c r="K92" s="1170">
        <v>9.399605618914066</v>
      </c>
      <c r="L92" s="1170">
        <v>3.9396896261345375</v>
      </c>
      <c r="M92" s="1170">
        <v>5.4605482188436554</v>
      </c>
      <c r="N92" s="1170">
        <v>-4.365461065858625</v>
      </c>
      <c r="O92" s="1170">
        <v>-0.44814817052782985</v>
      </c>
      <c r="P92" s="1170">
        <v>-5.1114150567048711</v>
      </c>
      <c r="Q92" s="1170">
        <v>-8.1282285019753431E-2</v>
      </c>
      <c r="R92" s="1170">
        <v>-2.5322974442446053</v>
      </c>
      <c r="S92" s="1170">
        <v>-4.5590135184910281</v>
      </c>
      <c r="T92" s="1170">
        <v>-1.5194267599361098</v>
      </c>
    </row>
    <row r="93" spans="1:16381" s="1248" customFormat="1" ht="16.5" customHeight="1">
      <c r="A93" s="2154" t="s">
        <v>3490</v>
      </c>
      <c r="B93" s="2155"/>
      <c r="C93" s="2155"/>
      <c r="D93" s="2155"/>
      <c r="E93" s="2155"/>
      <c r="F93" s="2155"/>
      <c r="G93" s="2155"/>
      <c r="H93" s="2155"/>
      <c r="I93" s="2155"/>
      <c r="J93" s="2155"/>
      <c r="K93" s="2155"/>
      <c r="L93" s="2155"/>
      <c r="M93" s="2155"/>
      <c r="N93" s="2155"/>
      <c r="O93" s="2155"/>
    </row>
    <row r="94" spans="1:16381" ht="16.5" customHeight="1">
      <c r="A94" s="2150" t="s">
        <v>3486</v>
      </c>
      <c r="B94" s="2151"/>
      <c r="C94" s="2151"/>
      <c r="D94" s="2151"/>
      <c r="E94" s="2151"/>
      <c r="F94" s="2151"/>
      <c r="G94" s="2151"/>
      <c r="H94" s="2151"/>
      <c r="I94" s="2151"/>
      <c r="J94" s="2151"/>
      <c r="K94" s="2151"/>
      <c r="L94" s="2151"/>
      <c r="M94" s="2151"/>
      <c r="N94" s="2151"/>
      <c r="O94" s="2151"/>
      <c r="P94" s="2151"/>
      <c r="Q94" s="2151"/>
      <c r="R94" s="2151"/>
      <c r="S94" s="2151"/>
      <c r="T94" s="2151"/>
      <c r="U94" s="2151"/>
      <c r="V94" s="2151"/>
      <c r="W94" s="2151"/>
      <c r="X94" s="2151"/>
      <c r="Y94" s="2151"/>
      <c r="Z94" s="2151"/>
      <c r="AA94" s="2151"/>
      <c r="AB94" s="2151"/>
      <c r="AC94" s="2151"/>
      <c r="AD94" s="2150"/>
      <c r="AE94" s="2151"/>
      <c r="AF94" s="2151"/>
      <c r="AG94" s="2151"/>
      <c r="AH94" s="2151"/>
      <c r="AI94" s="2151"/>
      <c r="AJ94" s="2151"/>
      <c r="AK94" s="2151"/>
      <c r="AL94" s="2151"/>
      <c r="AM94" s="2151"/>
      <c r="AN94" s="2151"/>
      <c r="AO94" s="2151"/>
      <c r="AP94" s="2151"/>
      <c r="AQ94" s="2151"/>
      <c r="AR94" s="2151"/>
      <c r="AS94" s="2151"/>
      <c r="AT94" s="2150"/>
      <c r="AU94" s="2151"/>
      <c r="AV94" s="2151"/>
      <c r="AW94" s="2151"/>
      <c r="AX94" s="2151"/>
      <c r="AY94" s="2151"/>
      <c r="AZ94" s="2151"/>
      <c r="BA94" s="2151"/>
      <c r="BB94" s="2151"/>
      <c r="BC94" s="2151"/>
      <c r="BD94" s="2151"/>
      <c r="BE94" s="2151"/>
      <c r="BF94" s="2151"/>
      <c r="BG94" s="2151"/>
      <c r="BH94" s="2151"/>
      <c r="BI94" s="2151"/>
      <c r="BJ94" s="2150"/>
      <c r="BK94" s="2151"/>
      <c r="BL94" s="2151"/>
      <c r="BM94" s="2151"/>
      <c r="BN94" s="2151"/>
      <c r="BO94" s="2151"/>
      <c r="BP94" s="2151"/>
      <c r="BQ94" s="2151"/>
      <c r="BR94" s="2151"/>
      <c r="BS94" s="2151"/>
      <c r="BT94" s="2151"/>
      <c r="BU94" s="2151"/>
      <c r="BV94" s="2151"/>
      <c r="BW94" s="2151"/>
      <c r="BX94" s="2151"/>
      <c r="BY94" s="2151"/>
      <c r="BZ94" s="2150"/>
      <c r="CA94" s="2151"/>
      <c r="CB94" s="2151"/>
      <c r="CC94" s="2151"/>
      <c r="CD94" s="2151"/>
      <c r="CE94" s="2151"/>
      <c r="CF94" s="2151"/>
      <c r="CG94" s="2151"/>
      <c r="CH94" s="2151"/>
      <c r="CI94" s="2151"/>
      <c r="CJ94" s="2151"/>
      <c r="CK94" s="2151"/>
      <c r="CL94" s="2151"/>
      <c r="CM94" s="2151"/>
      <c r="CN94" s="2151"/>
      <c r="CO94" s="2151"/>
      <c r="CP94" s="2150"/>
      <c r="CQ94" s="2151"/>
      <c r="CR94" s="2151"/>
      <c r="CS94" s="2151"/>
      <c r="CT94" s="2151"/>
      <c r="CU94" s="2151"/>
      <c r="CV94" s="2151"/>
      <c r="CW94" s="2151"/>
      <c r="CX94" s="2151"/>
      <c r="CY94" s="2151"/>
      <c r="CZ94" s="2151"/>
      <c r="DA94" s="2151"/>
      <c r="DB94" s="2151"/>
      <c r="DC94" s="2151"/>
      <c r="DD94" s="2151"/>
      <c r="DE94" s="2151"/>
      <c r="DF94" s="2150"/>
      <c r="DG94" s="2151"/>
      <c r="DH94" s="2151"/>
      <c r="DI94" s="2151"/>
      <c r="DJ94" s="2151"/>
      <c r="DK94" s="2151"/>
      <c r="DL94" s="2151"/>
      <c r="DM94" s="2151"/>
      <c r="DN94" s="2151"/>
      <c r="DO94" s="2151"/>
      <c r="DP94" s="2151"/>
      <c r="DQ94" s="2151"/>
      <c r="DR94" s="2151"/>
      <c r="DS94" s="2151"/>
      <c r="DT94" s="2151"/>
      <c r="DU94" s="2151"/>
      <c r="DV94" s="2150"/>
      <c r="DW94" s="2151"/>
      <c r="DX94" s="2151"/>
      <c r="DY94" s="2151"/>
      <c r="DZ94" s="2151"/>
      <c r="EA94" s="2151"/>
      <c r="EB94" s="2151"/>
      <c r="EC94" s="2151"/>
      <c r="ED94" s="2151"/>
      <c r="EE94" s="2151"/>
      <c r="EF94" s="2151"/>
      <c r="EG94" s="2151"/>
      <c r="EH94" s="2151"/>
      <c r="EI94" s="2151"/>
      <c r="EJ94" s="2151"/>
      <c r="EK94" s="2151"/>
      <c r="EL94" s="2150"/>
      <c r="EM94" s="2151"/>
      <c r="EN94" s="2151"/>
      <c r="EO94" s="2151"/>
      <c r="EP94" s="2151"/>
      <c r="EQ94" s="2151"/>
      <c r="ER94" s="2151"/>
      <c r="ES94" s="2151"/>
      <c r="ET94" s="2151"/>
      <c r="EU94" s="2151"/>
      <c r="EV94" s="2151"/>
      <c r="EW94" s="2151"/>
      <c r="EX94" s="2151"/>
      <c r="EY94" s="2151"/>
      <c r="EZ94" s="2151"/>
      <c r="FA94" s="2151"/>
      <c r="FB94" s="2150"/>
      <c r="FC94" s="2151"/>
      <c r="FD94" s="2151"/>
      <c r="FE94" s="2151"/>
      <c r="FF94" s="2151"/>
      <c r="FG94" s="2151"/>
      <c r="FH94" s="2151"/>
      <c r="FI94" s="2151"/>
      <c r="FJ94" s="2151"/>
      <c r="FK94" s="2151"/>
      <c r="FL94" s="2151"/>
      <c r="FM94" s="2151"/>
      <c r="FN94" s="2151"/>
      <c r="FO94" s="2151"/>
      <c r="FP94" s="2151"/>
      <c r="FQ94" s="2151"/>
      <c r="FR94" s="2150"/>
      <c r="FS94" s="2151"/>
      <c r="FT94" s="2151"/>
      <c r="FU94" s="2151"/>
      <c r="FV94" s="2151"/>
      <c r="FW94" s="2151"/>
      <c r="FX94" s="2151"/>
      <c r="FY94" s="2151"/>
      <c r="FZ94" s="2151"/>
      <c r="GA94" s="2151"/>
      <c r="GB94" s="2151"/>
      <c r="GC94" s="2151"/>
      <c r="GD94" s="2151"/>
      <c r="GE94" s="2151"/>
      <c r="GF94" s="2151"/>
      <c r="GG94" s="2151"/>
      <c r="GH94" s="2150"/>
      <c r="GI94" s="2151"/>
      <c r="GJ94" s="2151"/>
      <c r="GK94" s="2151"/>
      <c r="GL94" s="2151"/>
      <c r="GM94" s="2151"/>
      <c r="GN94" s="2151"/>
      <c r="GO94" s="2151"/>
      <c r="GP94" s="2151"/>
      <c r="GQ94" s="2151"/>
      <c r="GR94" s="2151"/>
      <c r="GS94" s="2151"/>
      <c r="GT94" s="2151"/>
      <c r="GU94" s="2151"/>
      <c r="GV94" s="2151"/>
      <c r="GW94" s="2151"/>
      <c r="GX94" s="2150"/>
      <c r="GY94" s="2151"/>
      <c r="GZ94" s="2151"/>
      <c r="HA94" s="2151"/>
      <c r="HB94" s="2151"/>
      <c r="HC94" s="2151"/>
      <c r="HD94" s="2151"/>
      <c r="HE94" s="2151"/>
      <c r="HF94" s="2151"/>
      <c r="HG94" s="2151"/>
      <c r="HH94" s="2151"/>
      <c r="HI94" s="2151"/>
      <c r="HJ94" s="2151"/>
      <c r="HK94" s="2151"/>
      <c r="HL94" s="2151"/>
      <c r="HM94" s="2151"/>
      <c r="HN94" s="2150"/>
      <c r="HO94" s="2151"/>
      <c r="HP94" s="2151"/>
      <c r="HQ94" s="2151"/>
      <c r="HR94" s="2151"/>
      <c r="HS94" s="2151"/>
      <c r="HT94" s="2151"/>
      <c r="HU94" s="2151"/>
      <c r="HV94" s="2151"/>
      <c r="HW94" s="2151"/>
      <c r="HX94" s="2151"/>
      <c r="HY94" s="2151"/>
      <c r="HZ94" s="2151"/>
      <c r="IA94" s="2151"/>
      <c r="IB94" s="2151"/>
      <c r="IC94" s="2151"/>
      <c r="ID94" s="2150"/>
      <c r="IE94" s="2151"/>
      <c r="IF94" s="2151"/>
      <c r="IG94" s="2151"/>
      <c r="IH94" s="2151"/>
      <c r="II94" s="2151"/>
      <c r="IJ94" s="2151"/>
      <c r="IK94" s="2151"/>
      <c r="IL94" s="2151"/>
      <c r="IM94" s="2151"/>
      <c r="IN94" s="2151"/>
      <c r="IO94" s="2151"/>
      <c r="IP94" s="2151"/>
      <c r="IQ94" s="2151"/>
      <c r="IR94" s="2151"/>
      <c r="IS94" s="2151"/>
      <c r="IT94" s="2150"/>
      <c r="IU94" s="2151"/>
      <c r="IV94" s="2151"/>
      <c r="IW94" s="2151"/>
      <c r="IX94" s="2151"/>
      <c r="IY94" s="2151"/>
      <c r="IZ94" s="2151"/>
      <c r="JA94" s="2151"/>
      <c r="JB94" s="2151"/>
      <c r="JC94" s="2151"/>
      <c r="JD94" s="2151"/>
      <c r="JE94" s="2151"/>
      <c r="JF94" s="2151"/>
      <c r="JG94" s="2151"/>
      <c r="JH94" s="2151"/>
      <c r="JI94" s="2151"/>
      <c r="JJ94" s="2150"/>
      <c r="JK94" s="2151"/>
      <c r="JL94" s="2151"/>
      <c r="JM94" s="2151"/>
      <c r="JN94" s="2151"/>
      <c r="JO94" s="2151"/>
      <c r="JP94" s="2151"/>
      <c r="JQ94" s="2151"/>
      <c r="JR94" s="2151"/>
      <c r="JS94" s="2151"/>
      <c r="JT94" s="2151"/>
      <c r="JU94" s="2151"/>
      <c r="JV94" s="2151"/>
      <c r="JW94" s="2151"/>
      <c r="JX94" s="2151"/>
      <c r="JY94" s="2151"/>
      <c r="JZ94" s="2150"/>
      <c r="KA94" s="2151"/>
      <c r="KB94" s="2151"/>
      <c r="KC94" s="2151"/>
      <c r="KD94" s="2151"/>
      <c r="KE94" s="2151"/>
      <c r="KF94" s="2151"/>
      <c r="KG94" s="2151"/>
      <c r="KH94" s="2151"/>
      <c r="KI94" s="2151"/>
      <c r="KJ94" s="2151"/>
      <c r="KK94" s="2151"/>
      <c r="KL94" s="2151"/>
      <c r="KM94" s="2151"/>
      <c r="KN94" s="2151"/>
      <c r="KO94" s="2151"/>
      <c r="KP94" s="2150"/>
      <c r="KQ94" s="2151"/>
      <c r="KR94" s="2151"/>
      <c r="KS94" s="2151"/>
      <c r="KT94" s="2151"/>
      <c r="KU94" s="2151"/>
      <c r="KV94" s="2151"/>
      <c r="KW94" s="2151"/>
      <c r="KX94" s="2151"/>
      <c r="KY94" s="2151"/>
      <c r="KZ94" s="2151"/>
      <c r="LA94" s="2151"/>
      <c r="LB94" s="2151"/>
      <c r="LC94" s="2151"/>
      <c r="LD94" s="2151"/>
      <c r="LE94" s="2151"/>
      <c r="LF94" s="2150"/>
      <c r="LG94" s="2151"/>
      <c r="LH94" s="2151"/>
      <c r="LI94" s="2151"/>
      <c r="LJ94" s="2151"/>
      <c r="LK94" s="2151"/>
      <c r="LL94" s="2151"/>
      <c r="LM94" s="2151"/>
      <c r="LN94" s="2151"/>
      <c r="LO94" s="2151"/>
      <c r="LP94" s="2151"/>
      <c r="LQ94" s="2151"/>
      <c r="LR94" s="2151"/>
      <c r="LS94" s="2151"/>
      <c r="LT94" s="2151"/>
      <c r="LU94" s="2151"/>
      <c r="LV94" s="2150"/>
      <c r="LW94" s="2151"/>
      <c r="LX94" s="2151"/>
      <c r="LY94" s="2151"/>
      <c r="LZ94" s="2151"/>
      <c r="MA94" s="2151"/>
      <c r="MB94" s="2151"/>
      <c r="MC94" s="2151"/>
      <c r="MD94" s="2151"/>
      <c r="ME94" s="2151"/>
      <c r="MF94" s="2151"/>
      <c r="MG94" s="2151"/>
      <c r="MH94" s="2151"/>
      <c r="MI94" s="2151"/>
      <c r="MJ94" s="2151"/>
      <c r="MK94" s="2151"/>
      <c r="ML94" s="2150"/>
      <c r="MM94" s="2151"/>
      <c r="MN94" s="2151"/>
      <c r="MO94" s="2151"/>
      <c r="MP94" s="2151"/>
      <c r="MQ94" s="2151"/>
      <c r="MR94" s="2151"/>
      <c r="MS94" s="2151"/>
      <c r="MT94" s="2151"/>
      <c r="MU94" s="2151"/>
      <c r="MV94" s="2151"/>
      <c r="MW94" s="2151"/>
      <c r="MX94" s="2151"/>
      <c r="MY94" s="2151"/>
      <c r="MZ94" s="2151"/>
      <c r="NA94" s="2151"/>
      <c r="NB94" s="2150"/>
      <c r="NC94" s="2151"/>
      <c r="ND94" s="2151"/>
      <c r="NE94" s="2151"/>
      <c r="NF94" s="2151"/>
      <c r="NG94" s="2151"/>
      <c r="NH94" s="2151"/>
      <c r="NI94" s="2151"/>
      <c r="NJ94" s="2151"/>
      <c r="NK94" s="2151"/>
      <c r="NL94" s="2151"/>
      <c r="NM94" s="2151"/>
      <c r="NN94" s="2151"/>
      <c r="NO94" s="2151"/>
      <c r="NP94" s="2151"/>
      <c r="NQ94" s="2151"/>
      <c r="NR94" s="2150"/>
      <c r="NS94" s="2151"/>
      <c r="NT94" s="2151"/>
      <c r="NU94" s="2151"/>
      <c r="NV94" s="2151"/>
      <c r="NW94" s="2151"/>
      <c r="NX94" s="2151"/>
      <c r="NY94" s="2151"/>
      <c r="NZ94" s="2151"/>
      <c r="OA94" s="2151"/>
      <c r="OB94" s="2151"/>
      <c r="OC94" s="2151"/>
      <c r="OD94" s="2151"/>
      <c r="OE94" s="2151"/>
      <c r="OF94" s="2151"/>
      <c r="OG94" s="2151"/>
      <c r="OH94" s="2150"/>
      <c r="OI94" s="2151"/>
      <c r="OJ94" s="2151"/>
      <c r="OK94" s="2151"/>
      <c r="OL94" s="2151"/>
      <c r="OM94" s="2151"/>
      <c r="ON94" s="2151"/>
      <c r="OO94" s="2151"/>
      <c r="OP94" s="2151"/>
      <c r="OQ94" s="2151"/>
      <c r="OR94" s="2151"/>
      <c r="OS94" s="2151"/>
      <c r="OT94" s="2151"/>
      <c r="OU94" s="2151"/>
      <c r="OV94" s="2151"/>
      <c r="OW94" s="2151"/>
      <c r="OX94" s="2150"/>
      <c r="OY94" s="2151"/>
      <c r="OZ94" s="2151"/>
      <c r="PA94" s="2151"/>
      <c r="PB94" s="2151"/>
      <c r="PC94" s="2151"/>
      <c r="PD94" s="2151"/>
      <c r="PE94" s="2151"/>
      <c r="PF94" s="2151"/>
      <c r="PG94" s="2151"/>
      <c r="PH94" s="2151"/>
      <c r="PI94" s="2151"/>
      <c r="PJ94" s="2151"/>
      <c r="PK94" s="2151"/>
      <c r="PL94" s="2151"/>
      <c r="PM94" s="2151"/>
      <c r="PN94" s="2150"/>
      <c r="PO94" s="2151"/>
      <c r="PP94" s="2151"/>
      <c r="PQ94" s="2151"/>
      <c r="PR94" s="2151"/>
      <c r="PS94" s="2151"/>
      <c r="PT94" s="2151"/>
      <c r="PU94" s="2151"/>
      <c r="PV94" s="2151"/>
      <c r="PW94" s="2151"/>
      <c r="PX94" s="2151"/>
      <c r="PY94" s="2151"/>
      <c r="PZ94" s="2151"/>
      <c r="QA94" s="2151"/>
      <c r="QB94" s="2151"/>
      <c r="QC94" s="2151"/>
      <c r="QD94" s="2150"/>
      <c r="QE94" s="2151"/>
      <c r="QF94" s="2151"/>
      <c r="QG94" s="2151"/>
      <c r="QH94" s="2151"/>
      <c r="QI94" s="2151"/>
      <c r="QJ94" s="2151"/>
      <c r="QK94" s="2151"/>
      <c r="QL94" s="2151"/>
      <c r="QM94" s="2151"/>
      <c r="QN94" s="2151"/>
      <c r="QO94" s="2151"/>
      <c r="QP94" s="2151"/>
      <c r="QQ94" s="2151"/>
      <c r="QR94" s="2151"/>
      <c r="QS94" s="2151"/>
      <c r="QT94" s="2150"/>
      <c r="QU94" s="2151"/>
      <c r="QV94" s="2151"/>
      <c r="QW94" s="2151"/>
      <c r="QX94" s="2151"/>
      <c r="QY94" s="2151"/>
      <c r="QZ94" s="2151"/>
      <c r="RA94" s="2151"/>
      <c r="RB94" s="2151"/>
      <c r="RC94" s="2151"/>
      <c r="RD94" s="2151"/>
      <c r="RE94" s="2151"/>
      <c r="RF94" s="2151"/>
      <c r="RG94" s="2151"/>
      <c r="RH94" s="2151"/>
      <c r="RI94" s="2151"/>
      <c r="RJ94" s="2150"/>
      <c r="RK94" s="2151"/>
      <c r="RL94" s="2151"/>
      <c r="RM94" s="2151"/>
      <c r="RN94" s="2151"/>
      <c r="RO94" s="2151"/>
      <c r="RP94" s="2151"/>
      <c r="RQ94" s="2151"/>
      <c r="RR94" s="2151"/>
      <c r="RS94" s="2151"/>
      <c r="RT94" s="2151"/>
      <c r="RU94" s="2151"/>
      <c r="RV94" s="2151"/>
      <c r="RW94" s="2151"/>
      <c r="RX94" s="2151"/>
      <c r="RY94" s="2151"/>
      <c r="RZ94" s="2150"/>
      <c r="SA94" s="2151"/>
      <c r="SB94" s="2151"/>
      <c r="SC94" s="2151"/>
      <c r="SD94" s="2151"/>
      <c r="SE94" s="2151"/>
      <c r="SF94" s="2151"/>
      <c r="SG94" s="2151"/>
      <c r="SH94" s="2151"/>
      <c r="SI94" s="2151"/>
      <c r="SJ94" s="2151"/>
      <c r="SK94" s="2151"/>
      <c r="SL94" s="2151"/>
      <c r="SM94" s="2151"/>
      <c r="SN94" s="2151"/>
      <c r="SO94" s="2151"/>
      <c r="SP94" s="2150"/>
      <c r="SQ94" s="2151"/>
      <c r="SR94" s="2151"/>
      <c r="SS94" s="2151"/>
      <c r="ST94" s="2151"/>
      <c r="SU94" s="2151"/>
      <c r="SV94" s="2151"/>
      <c r="SW94" s="2151"/>
      <c r="SX94" s="2151"/>
      <c r="SY94" s="2151"/>
      <c r="SZ94" s="2151"/>
      <c r="TA94" s="2151"/>
      <c r="TB94" s="2151"/>
      <c r="TC94" s="2151"/>
      <c r="TD94" s="2151"/>
      <c r="TE94" s="2151"/>
      <c r="TF94" s="2150"/>
      <c r="TG94" s="2151"/>
      <c r="TH94" s="2151"/>
      <c r="TI94" s="2151"/>
      <c r="TJ94" s="2151"/>
      <c r="TK94" s="2151"/>
      <c r="TL94" s="2151"/>
      <c r="TM94" s="2151"/>
      <c r="TN94" s="2151"/>
      <c r="TO94" s="2151"/>
      <c r="TP94" s="2151"/>
      <c r="TQ94" s="2151"/>
      <c r="TR94" s="2151"/>
      <c r="TS94" s="2151"/>
      <c r="TT94" s="2151"/>
      <c r="TU94" s="2151"/>
      <c r="TV94" s="2150"/>
      <c r="TW94" s="2151"/>
      <c r="TX94" s="2151"/>
      <c r="TY94" s="2151"/>
      <c r="TZ94" s="2151"/>
      <c r="UA94" s="2151"/>
      <c r="UB94" s="2151"/>
      <c r="UC94" s="2151"/>
      <c r="UD94" s="2151"/>
      <c r="UE94" s="2151"/>
      <c r="UF94" s="2151"/>
      <c r="UG94" s="2151"/>
      <c r="UH94" s="2151"/>
      <c r="UI94" s="2151"/>
      <c r="UJ94" s="2151"/>
      <c r="UK94" s="2151"/>
      <c r="UL94" s="2150"/>
      <c r="UM94" s="2151"/>
      <c r="UN94" s="2151"/>
      <c r="UO94" s="2151"/>
      <c r="UP94" s="2151"/>
      <c r="UQ94" s="2151"/>
      <c r="UR94" s="2151"/>
      <c r="US94" s="2151"/>
      <c r="UT94" s="2151"/>
      <c r="UU94" s="2151"/>
      <c r="UV94" s="2151"/>
      <c r="UW94" s="2151"/>
      <c r="UX94" s="2151"/>
      <c r="UY94" s="2151"/>
      <c r="UZ94" s="2151"/>
      <c r="VA94" s="2151"/>
      <c r="VB94" s="2150"/>
      <c r="VC94" s="2151"/>
      <c r="VD94" s="2151"/>
      <c r="VE94" s="2151"/>
      <c r="VF94" s="2151"/>
      <c r="VG94" s="2151"/>
      <c r="VH94" s="2151"/>
      <c r="VI94" s="2151"/>
      <c r="VJ94" s="2151"/>
      <c r="VK94" s="2151"/>
      <c r="VL94" s="2151"/>
      <c r="VM94" s="2151"/>
      <c r="VN94" s="2151"/>
      <c r="VO94" s="2151"/>
      <c r="VP94" s="2151"/>
      <c r="VQ94" s="2151"/>
      <c r="VR94" s="2150"/>
      <c r="VS94" s="2151"/>
      <c r="VT94" s="2151"/>
      <c r="VU94" s="2151"/>
      <c r="VV94" s="2151"/>
      <c r="VW94" s="2151"/>
      <c r="VX94" s="2151"/>
      <c r="VY94" s="2151"/>
      <c r="VZ94" s="2151"/>
      <c r="WA94" s="2151"/>
      <c r="WB94" s="2151"/>
      <c r="WC94" s="2151"/>
      <c r="WD94" s="2151"/>
      <c r="WE94" s="2151"/>
      <c r="WF94" s="2151"/>
      <c r="WG94" s="2151"/>
      <c r="WH94" s="2150"/>
      <c r="WI94" s="2151"/>
      <c r="WJ94" s="2151"/>
      <c r="WK94" s="2151"/>
      <c r="WL94" s="2151"/>
      <c r="WM94" s="2151"/>
      <c r="WN94" s="2151"/>
      <c r="WO94" s="2151"/>
      <c r="WP94" s="2151"/>
      <c r="WQ94" s="2151"/>
      <c r="WR94" s="2151"/>
      <c r="WS94" s="2151"/>
      <c r="WT94" s="2151"/>
      <c r="WU94" s="2151"/>
      <c r="WV94" s="2151"/>
      <c r="WW94" s="2151"/>
      <c r="WX94" s="2150"/>
      <c r="WY94" s="2151"/>
      <c r="WZ94" s="2151"/>
      <c r="XA94" s="2151"/>
      <c r="XB94" s="2151"/>
      <c r="XC94" s="2151"/>
      <c r="XD94" s="2151"/>
      <c r="XE94" s="2151"/>
      <c r="XF94" s="2151"/>
      <c r="XG94" s="2151"/>
      <c r="XH94" s="2151"/>
      <c r="XI94" s="2151"/>
      <c r="XJ94" s="2151"/>
      <c r="XK94" s="2151"/>
      <c r="XL94" s="2151"/>
      <c r="XM94" s="2151"/>
      <c r="XN94" s="2150"/>
      <c r="XO94" s="2151"/>
      <c r="XP94" s="2151"/>
      <c r="XQ94" s="2151"/>
      <c r="XR94" s="2151"/>
      <c r="XS94" s="2151"/>
      <c r="XT94" s="2151"/>
      <c r="XU94" s="2151"/>
      <c r="XV94" s="2151"/>
      <c r="XW94" s="2151"/>
      <c r="XX94" s="2151"/>
      <c r="XY94" s="2151"/>
      <c r="XZ94" s="2151"/>
      <c r="YA94" s="2151"/>
      <c r="YB94" s="2151"/>
      <c r="YC94" s="2151"/>
      <c r="YD94" s="2150"/>
      <c r="YE94" s="2151"/>
      <c r="YF94" s="2151"/>
      <c r="YG94" s="2151"/>
      <c r="YH94" s="2151"/>
      <c r="YI94" s="2151"/>
      <c r="YJ94" s="2151"/>
      <c r="YK94" s="2151"/>
      <c r="YL94" s="2151"/>
      <c r="YM94" s="2151"/>
      <c r="YN94" s="2151"/>
      <c r="YO94" s="2151"/>
      <c r="YP94" s="2151"/>
      <c r="YQ94" s="2151"/>
      <c r="YR94" s="2151"/>
      <c r="YS94" s="2151"/>
      <c r="YT94" s="2150"/>
      <c r="YU94" s="2151"/>
      <c r="YV94" s="2151"/>
      <c r="YW94" s="2151"/>
      <c r="YX94" s="2151"/>
      <c r="YY94" s="2151"/>
      <c r="YZ94" s="2151"/>
      <c r="ZA94" s="2151"/>
      <c r="ZB94" s="2151"/>
      <c r="ZC94" s="2151"/>
      <c r="ZD94" s="2151"/>
      <c r="ZE94" s="2151"/>
      <c r="ZF94" s="2151"/>
      <c r="ZG94" s="2151"/>
      <c r="ZH94" s="2151"/>
      <c r="ZI94" s="2151"/>
      <c r="ZJ94" s="2150"/>
      <c r="ZK94" s="2151"/>
      <c r="ZL94" s="2151"/>
      <c r="ZM94" s="2151"/>
      <c r="ZN94" s="2151"/>
      <c r="ZO94" s="2151"/>
      <c r="ZP94" s="2151"/>
      <c r="ZQ94" s="2151"/>
      <c r="ZR94" s="2151"/>
      <c r="ZS94" s="2151"/>
      <c r="ZT94" s="2151"/>
      <c r="ZU94" s="2151"/>
      <c r="ZV94" s="2151"/>
      <c r="ZW94" s="2151"/>
      <c r="ZX94" s="2151"/>
      <c r="ZY94" s="2151"/>
      <c r="ZZ94" s="2150"/>
      <c r="AAA94" s="2151"/>
      <c r="AAB94" s="2151"/>
      <c r="AAC94" s="2151"/>
      <c r="AAD94" s="2151"/>
      <c r="AAE94" s="2151"/>
      <c r="AAF94" s="2151"/>
      <c r="AAG94" s="2151"/>
      <c r="AAH94" s="2151"/>
      <c r="AAI94" s="2151"/>
      <c r="AAJ94" s="2151"/>
      <c r="AAK94" s="2151"/>
      <c r="AAL94" s="2151"/>
      <c r="AAM94" s="2151"/>
      <c r="AAN94" s="2151"/>
      <c r="AAO94" s="2151"/>
      <c r="AAP94" s="2150"/>
      <c r="AAQ94" s="2151"/>
      <c r="AAR94" s="2151"/>
      <c r="AAS94" s="2151"/>
      <c r="AAT94" s="2151"/>
      <c r="AAU94" s="2151"/>
      <c r="AAV94" s="2151"/>
      <c r="AAW94" s="2151"/>
      <c r="AAX94" s="2151"/>
      <c r="AAY94" s="2151"/>
      <c r="AAZ94" s="2151"/>
      <c r="ABA94" s="2151"/>
      <c r="ABB94" s="2151"/>
      <c r="ABC94" s="2151"/>
      <c r="ABD94" s="2151"/>
      <c r="ABE94" s="2151"/>
      <c r="ABF94" s="2150"/>
      <c r="ABG94" s="2151"/>
      <c r="ABH94" s="2151"/>
      <c r="ABI94" s="2151"/>
      <c r="ABJ94" s="2151"/>
      <c r="ABK94" s="2151"/>
      <c r="ABL94" s="2151"/>
      <c r="ABM94" s="2151"/>
      <c r="ABN94" s="2151"/>
      <c r="ABO94" s="2151"/>
      <c r="ABP94" s="2151"/>
      <c r="ABQ94" s="2151"/>
      <c r="ABR94" s="2151"/>
      <c r="ABS94" s="2151"/>
      <c r="ABT94" s="2151"/>
      <c r="ABU94" s="2151"/>
      <c r="ABV94" s="2150"/>
      <c r="ABW94" s="2151"/>
      <c r="ABX94" s="2151"/>
      <c r="ABY94" s="2151"/>
      <c r="ABZ94" s="2151"/>
      <c r="ACA94" s="2151"/>
      <c r="ACB94" s="2151"/>
      <c r="ACC94" s="2151"/>
      <c r="ACD94" s="2151"/>
      <c r="ACE94" s="2151"/>
      <c r="ACF94" s="2151"/>
      <c r="ACG94" s="2151"/>
      <c r="ACH94" s="2151"/>
      <c r="ACI94" s="2151"/>
      <c r="ACJ94" s="2151"/>
      <c r="ACK94" s="2151"/>
      <c r="ACL94" s="2150"/>
      <c r="ACM94" s="2151"/>
      <c r="ACN94" s="2151"/>
      <c r="ACO94" s="2151"/>
      <c r="ACP94" s="2151"/>
      <c r="ACQ94" s="2151"/>
      <c r="ACR94" s="2151"/>
      <c r="ACS94" s="2151"/>
      <c r="ACT94" s="2151"/>
      <c r="ACU94" s="2151"/>
      <c r="ACV94" s="2151"/>
      <c r="ACW94" s="2151"/>
      <c r="ACX94" s="2151"/>
      <c r="ACY94" s="2151"/>
      <c r="ACZ94" s="2151"/>
      <c r="ADA94" s="2151"/>
      <c r="ADB94" s="2150"/>
      <c r="ADC94" s="2151"/>
      <c r="ADD94" s="2151"/>
      <c r="ADE94" s="2151"/>
      <c r="ADF94" s="2151"/>
      <c r="ADG94" s="2151"/>
      <c r="ADH94" s="2151"/>
      <c r="ADI94" s="2151"/>
      <c r="ADJ94" s="2151"/>
      <c r="ADK94" s="2151"/>
      <c r="ADL94" s="2151"/>
      <c r="ADM94" s="2151"/>
      <c r="ADN94" s="2151"/>
      <c r="ADO94" s="2151"/>
      <c r="ADP94" s="2151"/>
      <c r="ADQ94" s="2151"/>
      <c r="ADR94" s="2150"/>
      <c r="ADS94" s="2151"/>
      <c r="ADT94" s="2151"/>
      <c r="ADU94" s="2151"/>
      <c r="ADV94" s="2151"/>
      <c r="ADW94" s="2151"/>
      <c r="ADX94" s="2151"/>
      <c r="ADY94" s="2151"/>
      <c r="ADZ94" s="2151"/>
      <c r="AEA94" s="2151"/>
      <c r="AEB94" s="2151"/>
      <c r="AEC94" s="2151"/>
      <c r="AED94" s="2151"/>
      <c r="AEE94" s="2151"/>
      <c r="AEF94" s="2151"/>
      <c r="AEG94" s="2151"/>
      <c r="AEH94" s="2150"/>
      <c r="AEI94" s="2151"/>
      <c r="AEJ94" s="2151"/>
      <c r="AEK94" s="2151"/>
      <c r="AEL94" s="2151"/>
      <c r="AEM94" s="2151"/>
      <c r="AEN94" s="2151"/>
      <c r="AEO94" s="2151"/>
      <c r="AEP94" s="2151"/>
      <c r="AEQ94" s="2151"/>
      <c r="AER94" s="2151"/>
      <c r="AES94" s="2151"/>
      <c r="AET94" s="2151"/>
      <c r="AEU94" s="2151"/>
      <c r="AEV94" s="2151"/>
      <c r="AEW94" s="2151"/>
      <c r="AEX94" s="2150"/>
      <c r="AEY94" s="2151"/>
      <c r="AEZ94" s="2151"/>
      <c r="AFA94" s="2151"/>
      <c r="AFB94" s="2151"/>
      <c r="AFC94" s="2151"/>
      <c r="AFD94" s="2151"/>
      <c r="AFE94" s="2151"/>
      <c r="AFF94" s="2151"/>
      <c r="AFG94" s="2151"/>
      <c r="AFH94" s="2151"/>
      <c r="AFI94" s="2151"/>
      <c r="AFJ94" s="2151"/>
      <c r="AFK94" s="2151"/>
      <c r="AFL94" s="2151"/>
      <c r="AFM94" s="2151"/>
      <c r="AFN94" s="2150"/>
      <c r="AFO94" s="2151"/>
      <c r="AFP94" s="2151"/>
      <c r="AFQ94" s="2151"/>
      <c r="AFR94" s="2151"/>
      <c r="AFS94" s="2151"/>
      <c r="AFT94" s="2151"/>
      <c r="AFU94" s="2151"/>
      <c r="AFV94" s="2151"/>
      <c r="AFW94" s="2151"/>
      <c r="AFX94" s="2151"/>
      <c r="AFY94" s="2151"/>
      <c r="AFZ94" s="2151"/>
      <c r="AGA94" s="2151"/>
      <c r="AGB94" s="2151"/>
      <c r="AGC94" s="2151"/>
      <c r="AGD94" s="2150"/>
      <c r="AGE94" s="2151"/>
      <c r="AGF94" s="2151"/>
      <c r="AGG94" s="2151"/>
      <c r="AGH94" s="2151"/>
      <c r="AGI94" s="2151"/>
      <c r="AGJ94" s="2151"/>
      <c r="AGK94" s="2151"/>
      <c r="AGL94" s="2151"/>
      <c r="AGM94" s="2151"/>
      <c r="AGN94" s="2151"/>
      <c r="AGO94" s="2151"/>
      <c r="AGP94" s="2151"/>
      <c r="AGQ94" s="2151"/>
      <c r="AGR94" s="2151"/>
      <c r="AGS94" s="2151"/>
      <c r="AGT94" s="2150"/>
      <c r="AGU94" s="2151"/>
      <c r="AGV94" s="2151"/>
      <c r="AGW94" s="2151"/>
      <c r="AGX94" s="2151"/>
      <c r="AGY94" s="2151"/>
      <c r="AGZ94" s="2151"/>
      <c r="AHA94" s="2151"/>
      <c r="AHB94" s="2151"/>
      <c r="AHC94" s="2151"/>
      <c r="AHD94" s="2151"/>
      <c r="AHE94" s="2151"/>
      <c r="AHF94" s="2151"/>
      <c r="AHG94" s="2151"/>
      <c r="AHH94" s="2151"/>
      <c r="AHI94" s="2151"/>
      <c r="AHJ94" s="2150"/>
      <c r="AHK94" s="2151"/>
      <c r="AHL94" s="2151"/>
      <c r="AHM94" s="2151"/>
      <c r="AHN94" s="2151"/>
      <c r="AHO94" s="2151"/>
      <c r="AHP94" s="2151"/>
      <c r="AHQ94" s="2151"/>
      <c r="AHR94" s="2151"/>
      <c r="AHS94" s="2151"/>
      <c r="AHT94" s="2151"/>
      <c r="AHU94" s="2151"/>
      <c r="AHV94" s="2151"/>
      <c r="AHW94" s="2151"/>
      <c r="AHX94" s="2151"/>
      <c r="AHY94" s="2151"/>
      <c r="AHZ94" s="2150"/>
      <c r="AIA94" s="2151"/>
      <c r="AIB94" s="2151"/>
      <c r="AIC94" s="2151"/>
      <c r="AID94" s="2151"/>
      <c r="AIE94" s="2151"/>
      <c r="AIF94" s="2151"/>
      <c r="AIG94" s="2151"/>
      <c r="AIH94" s="2151"/>
      <c r="AII94" s="2151"/>
      <c r="AIJ94" s="2151"/>
      <c r="AIK94" s="2151"/>
      <c r="AIL94" s="2151"/>
      <c r="AIM94" s="2151"/>
      <c r="AIN94" s="2151"/>
      <c r="AIO94" s="2151"/>
      <c r="AIP94" s="2150"/>
      <c r="AIQ94" s="2151"/>
      <c r="AIR94" s="2151"/>
      <c r="AIS94" s="2151"/>
      <c r="AIT94" s="2151"/>
      <c r="AIU94" s="2151"/>
      <c r="AIV94" s="2151"/>
      <c r="AIW94" s="2151"/>
      <c r="AIX94" s="2151"/>
      <c r="AIY94" s="2151"/>
      <c r="AIZ94" s="2151"/>
      <c r="AJA94" s="2151"/>
      <c r="AJB94" s="2151"/>
      <c r="AJC94" s="2151"/>
      <c r="AJD94" s="2151"/>
      <c r="AJE94" s="2151"/>
      <c r="AJF94" s="2150"/>
      <c r="AJG94" s="2151"/>
      <c r="AJH94" s="2151"/>
      <c r="AJI94" s="2151"/>
      <c r="AJJ94" s="2151"/>
      <c r="AJK94" s="2151"/>
      <c r="AJL94" s="2151"/>
      <c r="AJM94" s="2151"/>
      <c r="AJN94" s="2151"/>
      <c r="AJO94" s="2151"/>
      <c r="AJP94" s="2151"/>
      <c r="AJQ94" s="2151"/>
      <c r="AJR94" s="2151"/>
      <c r="AJS94" s="2151"/>
      <c r="AJT94" s="2151"/>
      <c r="AJU94" s="2151"/>
      <c r="AJV94" s="2150"/>
      <c r="AJW94" s="2151"/>
      <c r="AJX94" s="2151"/>
      <c r="AJY94" s="2151"/>
      <c r="AJZ94" s="2151"/>
      <c r="AKA94" s="2151"/>
      <c r="AKB94" s="2151"/>
      <c r="AKC94" s="2151"/>
      <c r="AKD94" s="2151"/>
      <c r="AKE94" s="2151"/>
      <c r="AKF94" s="2151"/>
      <c r="AKG94" s="2151"/>
      <c r="AKH94" s="2151"/>
      <c r="AKI94" s="2151"/>
      <c r="AKJ94" s="2151"/>
      <c r="AKK94" s="2151"/>
      <c r="AKL94" s="2150"/>
      <c r="AKM94" s="2151"/>
      <c r="AKN94" s="2151"/>
      <c r="AKO94" s="2151"/>
      <c r="AKP94" s="2151"/>
      <c r="AKQ94" s="2151"/>
      <c r="AKR94" s="2151"/>
      <c r="AKS94" s="2151"/>
      <c r="AKT94" s="2151"/>
      <c r="AKU94" s="2151"/>
      <c r="AKV94" s="2151"/>
      <c r="AKW94" s="2151"/>
      <c r="AKX94" s="2151"/>
      <c r="AKY94" s="2151"/>
      <c r="AKZ94" s="2151"/>
      <c r="ALA94" s="2151"/>
      <c r="ALB94" s="2150"/>
      <c r="ALC94" s="2151"/>
      <c r="ALD94" s="2151"/>
      <c r="ALE94" s="2151"/>
      <c r="ALF94" s="2151"/>
      <c r="ALG94" s="2151"/>
      <c r="ALH94" s="2151"/>
      <c r="ALI94" s="2151"/>
      <c r="ALJ94" s="2151"/>
      <c r="ALK94" s="2151"/>
      <c r="ALL94" s="2151"/>
      <c r="ALM94" s="2151"/>
      <c r="ALN94" s="2151"/>
      <c r="ALO94" s="2151"/>
      <c r="ALP94" s="2151"/>
      <c r="ALQ94" s="2151"/>
      <c r="ALR94" s="2150"/>
      <c r="ALS94" s="2151"/>
      <c r="ALT94" s="2151"/>
      <c r="ALU94" s="2151"/>
      <c r="ALV94" s="2151"/>
      <c r="ALW94" s="2151"/>
      <c r="ALX94" s="2151"/>
      <c r="ALY94" s="2151"/>
      <c r="ALZ94" s="2151"/>
      <c r="AMA94" s="2151"/>
      <c r="AMB94" s="2151"/>
      <c r="AMC94" s="2151"/>
      <c r="AMD94" s="2151"/>
      <c r="AME94" s="2151"/>
      <c r="AMF94" s="2151"/>
      <c r="AMG94" s="2151"/>
      <c r="AMH94" s="2150"/>
      <c r="AMI94" s="2151"/>
      <c r="AMJ94" s="2151"/>
      <c r="AMK94" s="2151"/>
      <c r="AML94" s="2151"/>
      <c r="AMM94" s="2151"/>
      <c r="AMN94" s="2151"/>
      <c r="AMO94" s="2151"/>
      <c r="AMP94" s="2151"/>
      <c r="AMQ94" s="2151"/>
      <c r="AMR94" s="2151"/>
      <c r="AMS94" s="2151"/>
      <c r="AMT94" s="2151"/>
      <c r="AMU94" s="2151"/>
      <c r="AMV94" s="2151"/>
      <c r="AMW94" s="2151"/>
      <c r="AMX94" s="2150"/>
      <c r="AMY94" s="2151"/>
      <c r="AMZ94" s="2151"/>
      <c r="ANA94" s="2151"/>
      <c r="ANB94" s="2151"/>
      <c r="ANC94" s="2151"/>
      <c r="AND94" s="2151"/>
      <c r="ANE94" s="2151"/>
      <c r="ANF94" s="2151"/>
      <c r="ANG94" s="2151"/>
      <c r="ANH94" s="2151"/>
      <c r="ANI94" s="2151"/>
      <c r="ANJ94" s="2151"/>
      <c r="ANK94" s="2151"/>
      <c r="ANL94" s="2151"/>
      <c r="ANM94" s="2151"/>
      <c r="ANN94" s="2150"/>
      <c r="ANO94" s="2151"/>
      <c r="ANP94" s="2151"/>
      <c r="ANQ94" s="2151"/>
      <c r="ANR94" s="2151"/>
      <c r="ANS94" s="2151"/>
      <c r="ANT94" s="2151"/>
      <c r="ANU94" s="2151"/>
      <c r="ANV94" s="2151"/>
      <c r="ANW94" s="2151"/>
      <c r="ANX94" s="2151"/>
      <c r="ANY94" s="2151"/>
      <c r="ANZ94" s="2151"/>
      <c r="AOA94" s="2151"/>
      <c r="AOB94" s="2151"/>
      <c r="AOC94" s="2151"/>
      <c r="AOD94" s="2150"/>
      <c r="AOE94" s="2151"/>
      <c r="AOF94" s="2151"/>
      <c r="AOG94" s="2151"/>
      <c r="AOH94" s="2151"/>
      <c r="AOI94" s="2151"/>
      <c r="AOJ94" s="2151"/>
      <c r="AOK94" s="2151"/>
      <c r="AOL94" s="2151"/>
      <c r="AOM94" s="2151"/>
      <c r="AON94" s="2151"/>
      <c r="AOO94" s="2151"/>
      <c r="AOP94" s="2151"/>
      <c r="AOQ94" s="2151"/>
      <c r="AOR94" s="2151"/>
      <c r="AOS94" s="2151"/>
      <c r="AOT94" s="2150"/>
      <c r="AOU94" s="2151"/>
      <c r="AOV94" s="2151"/>
      <c r="AOW94" s="2151"/>
      <c r="AOX94" s="2151"/>
      <c r="AOY94" s="2151"/>
      <c r="AOZ94" s="2151"/>
      <c r="APA94" s="2151"/>
      <c r="APB94" s="2151"/>
      <c r="APC94" s="2151"/>
      <c r="APD94" s="2151"/>
      <c r="APE94" s="2151"/>
      <c r="APF94" s="2151"/>
      <c r="APG94" s="2151"/>
      <c r="APH94" s="2151"/>
      <c r="API94" s="2151"/>
      <c r="APJ94" s="2150"/>
      <c r="APK94" s="2151"/>
      <c r="APL94" s="2151"/>
      <c r="APM94" s="2151"/>
      <c r="APN94" s="2151"/>
      <c r="APO94" s="2151"/>
      <c r="APP94" s="2151"/>
      <c r="APQ94" s="2151"/>
      <c r="APR94" s="2151"/>
      <c r="APS94" s="2151"/>
      <c r="APT94" s="2151"/>
      <c r="APU94" s="2151"/>
      <c r="APV94" s="2151"/>
      <c r="APW94" s="2151"/>
      <c r="APX94" s="2151"/>
      <c r="APY94" s="2151"/>
      <c r="APZ94" s="2150"/>
      <c r="AQA94" s="2151"/>
      <c r="AQB94" s="2151"/>
      <c r="AQC94" s="2151"/>
      <c r="AQD94" s="2151"/>
      <c r="AQE94" s="2151"/>
      <c r="AQF94" s="2151"/>
      <c r="AQG94" s="2151"/>
      <c r="AQH94" s="2151"/>
      <c r="AQI94" s="2151"/>
      <c r="AQJ94" s="2151"/>
      <c r="AQK94" s="2151"/>
      <c r="AQL94" s="2151"/>
      <c r="AQM94" s="2151"/>
      <c r="AQN94" s="2151"/>
      <c r="AQO94" s="2151"/>
      <c r="AQP94" s="2150"/>
      <c r="AQQ94" s="2151"/>
      <c r="AQR94" s="2151"/>
      <c r="AQS94" s="2151"/>
      <c r="AQT94" s="2151"/>
      <c r="AQU94" s="2151"/>
      <c r="AQV94" s="2151"/>
      <c r="AQW94" s="2151"/>
      <c r="AQX94" s="2151"/>
      <c r="AQY94" s="2151"/>
      <c r="AQZ94" s="2151"/>
      <c r="ARA94" s="2151"/>
      <c r="ARB94" s="2151"/>
      <c r="ARC94" s="2151"/>
      <c r="ARD94" s="2151"/>
      <c r="ARE94" s="2151"/>
      <c r="ARF94" s="2150"/>
      <c r="ARG94" s="2151"/>
      <c r="ARH94" s="2151"/>
      <c r="ARI94" s="2151"/>
      <c r="ARJ94" s="2151"/>
      <c r="ARK94" s="2151"/>
      <c r="ARL94" s="2151"/>
      <c r="ARM94" s="2151"/>
      <c r="ARN94" s="2151"/>
      <c r="ARO94" s="2151"/>
      <c r="ARP94" s="2151"/>
      <c r="ARQ94" s="2151"/>
      <c r="ARR94" s="2151"/>
      <c r="ARS94" s="2151"/>
      <c r="ART94" s="2151"/>
      <c r="ARU94" s="2151"/>
      <c r="ARV94" s="2150"/>
      <c r="ARW94" s="2151"/>
      <c r="ARX94" s="2151"/>
      <c r="ARY94" s="2151"/>
      <c r="ARZ94" s="2151"/>
      <c r="ASA94" s="2151"/>
      <c r="ASB94" s="2151"/>
      <c r="ASC94" s="2151"/>
      <c r="ASD94" s="2151"/>
      <c r="ASE94" s="2151"/>
      <c r="ASF94" s="2151"/>
      <c r="ASG94" s="2151"/>
      <c r="ASH94" s="2151"/>
      <c r="ASI94" s="2151"/>
      <c r="ASJ94" s="2151"/>
      <c r="ASK94" s="2151"/>
      <c r="ASL94" s="2150"/>
      <c r="ASM94" s="2151"/>
      <c r="ASN94" s="2151"/>
      <c r="ASO94" s="2151"/>
      <c r="ASP94" s="2151"/>
      <c r="ASQ94" s="2151"/>
      <c r="ASR94" s="2151"/>
      <c r="ASS94" s="2151"/>
      <c r="AST94" s="2151"/>
      <c r="ASU94" s="2151"/>
      <c r="ASV94" s="2151"/>
      <c r="ASW94" s="2151"/>
      <c r="ASX94" s="2151"/>
      <c r="ASY94" s="2151"/>
      <c r="ASZ94" s="2151"/>
      <c r="ATA94" s="2151"/>
      <c r="ATB94" s="2150"/>
      <c r="ATC94" s="2151"/>
      <c r="ATD94" s="2151"/>
      <c r="ATE94" s="2151"/>
      <c r="ATF94" s="2151"/>
      <c r="ATG94" s="2151"/>
      <c r="ATH94" s="2151"/>
      <c r="ATI94" s="2151"/>
      <c r="ATJ94" s="2151"/>
      <c r="ATK94" s="2151"/>
      <c r="ATL94" s="2151"/>
      <c r="ATM94" s="2151"/>
      <c r="ATN94" s="2151"/>
      <c r="ATO94" s="2151"/>
      <c r="ATP94" s="2151"/>
      <c r="ATQ94" s="2151"/>
      <c r="ATR94" s="2150"/>
      <c r="ATS94" s="2151"/>
      <c r="ATT94" s="2151"/>
      <c r="ATU94" s="2151"/>
      <c r="ATV94" s="2151"/>
      <c r="ATW94" s="2151"/>
      <c r="ATX94" s="2151"/>
      <c r="ATY94" s="2151"/>
      <c r="ATZ94" s="2151"/>
      <c r="AUA94" s="2151"/>
      <c r="AUB94" s="2151"/>
      <c r="AUC94" s="2151"/>
      <c r="AUD94" s="2151"/>
      <c r="AUE94" s="2151"/>
      <c r="AUF94" s="2151"/>
      <c r="AUG94" s="2151"/>
      <c r="AUH94" s="2150"/>
      <c r="AUI94" s="2151"/>
      <c r="AUJ94" s="2151"/>
      <c r="AUK94" s="2151"/>
      <c r="AUL94" s="2151"/>
      <c r="AUM94" s="2151"/>
      <c r="AUN94" s="2151"/>
      <c r="AUO94" s="2151"/>
      <c r="AUP94" s="2151"/>
      <c r="AUQ94" s="2151"/>
      <c r="AUR94" s="2151"/>
      <c r="AUS94" s="2151"/>
      <c r="AUT94" s="2151"/>
      <c r="AUU94" s="2151"/>
      <c r="AUV94" s="2151"/>
      <c r="AUW94" s="2151"/>
      <c r="AUX94" s="2150"/>
      <c r="AUY94" s="2151"/>
      <c r="AUZ94" s="2151"/>
      <c r="AVA94" s="2151"/>
      <c r="AVB94" s="2151"/>
      <c r="AVC94" s="2151"/>
      <c r="AVD94" s="2151"/>
      <c r="AVE94" s="2151"/>
      <c r="AVF94" s="2151"/>
      <c r="AVG94" s="2151"/>
      <c r="AVH94" s="2151"/>
      <c r="AVI94" s="2151"/>
      <c r="AVJ94" s="2151"/>
      <c r="AVK94" s="2151"/>
      <c r="AVL94" s="2151"/>
      <c r="AVM94" s="2151"/>
      <c r="AVN94" s="2150"/>
      <c r="AVO94" s="2151"/>
      <c r="AVP94" s="2151"/>
      <c r="AVQ94" s="2151"/>
      <c r="AVR94" s="2151"/>
      <c r="AVS94" s="2151"/>
      <c r="AVT94" s="2151"/>
      <c r="AVU94" s="2151"/>
      <c r="AVV94" s="2151"/>
      <c r="AVW94" s="2151"/>
      <c r="AVX94" s="2151"/>
      <c r="AVY94" s="2151"/>
      <c r="AVZ94" s="2151"/>
      <c r="AWA94" s="2151"/>
      <c r="AWB94" s="2151"/>
      <c r="AWC94" s="2151"/>
      <c r="AWD94" s="2150"/>
      <c r="AWE94" s="2151"/>
      <c r="AWF94" s="2151"/>
      <c r="AWG94" s="2151"/>
      <c r="AWH94" s="2151"/>
      <c r="AWI94" s="2151"/>
      <c r="AWJ94" s="2151"/>
      <c r="AWK94" s="2151"/>
      <c r="AWL94" s="2151"/>
      <c r="AWM94" s="2151"/>
      <c r="AWN94" s="2151"/>
      <c r="AWO94" s="2151"/>
      <c r="AWP94" s="2151"/>
      <c r="AWQ94" s="2151"/>
      <c r="AWR94" s="2151"/>
      <c r="AWS94" s="2151"/>
      <c r="AWT94" s="2150"/>
      <c r="AWU94" s="2151"/>
      <c r="AWV94" s="2151"/>
      <c r="AWW94" s="2151"/>
      <c r="AWX94" s="2151"/>
      <c r="AWY94" s="2151"/>
      <c r="AWZ94" s="2151"/>
      <c r="AXA94" s="2151"/>
      <c r="AXB94" s="2151"/>
      <c r="AXC94" s="2151"/>
      <c r="AXD94" s="2151"/>
      <c r="AXE94" s="2151"/>
      <c r="AXF94" s="2151"/>
      <c r="AXG94" s="2151"/>
      <c r="AXH94" s="2151"/>
      <c r="AXI94" s="2151"/>
      <c r="AXJ94" s="2150"/>
      <c r="AXK94" s="2151"/>
      <c r="AXL94" s="2151"/>
      <c r="AXM94" s="2151"/>
      <c r="AXN94" s="2151"/>
      <c r="AXO94" s="2151"/>
      <c r="AXP94" s="2151"/>
      <c r="AXQ94" s="2151"/>
      <c r="AXR94" s="2151"/>
      <c r="AXS94" s="2151"/>
      <c r="AXT94" s="2151"/>
      <c r="AXU94" s="2151"/>
      <c r="AXV94" s="2151"/>
      <c r="AXW94" s="2151"/>
      <c r="AXX94" s="2151"/>
      <c r="AXY94" s="2151"/>
      <c r="AXZ94" s="2150"/>
      <c r="AYA94" s="2151"/>
      <c r="AYB94" s="2151"/>
      <c r="AYC94" s="2151"/>
      <c r="AYD94" s="2151"/>
      <c r="AYE94" s="2151"/>
      <c r="AYF94" s="2151"/>
      <c r="AYG94" s="2151"/>
      <c r="AYH94" s="2151"/>
      <c r="AYI94" s="2151"/>
      <c r="AYJ94" s="2151"/>
      <c r="AYK94" s="2151"/>
      <c r="AYL94" s="2151"/>
      <c r="AYM94" s="2151"/>
      <c r="AYN94" s="2151"/>
      <c r="AYO94" s="2151"/>
      <c r="AYP94" s="2150"/>
      <c r="AYQ94" s="2151"/>
      <c r="AYR94" s="2151"/>
      <c r="AYS94" s="2151"/>
      <c r="AYT94" s="2151"/>
      <c r="AYU94" s="2151"/>
      <c r="AYV94" s="2151"/>
      <c r="AYW94" s="2151"/>
      <c r="AYX94" s="2151"/>
      <c r="AYY94" s="2151"/>
      <c r="AYZ94" s="2151"/>
      <c r="AZA94" s="2151"/>
      <c r="AZB94" s="2151"/>
      <c r="AZC94" s="2151"/>
      <c r="AZD94" s="2151"/>
      <c r="AZE94" s="2151"/>
      <c r="AZF94" s="2150"/>
      <c r="AZG94" s="2151"/>
      <c r="AZH94" s="2151"/>
      <c r="AZI94" s="2151"/>
      <c r="AZJ94" s="2151"/>
      <c r="AZK94" s="2151"/>
      <c r="AZL94" s="2151"/>
      <c r="AZM94" s="2151"/>
      <c r="AZN94" s="2151"/>
      <c r="AZO94" s="2151"/>
      <c r="AZP94" s="2151"/>
      <c r="AZQ94" s="2151"/>
      <c r="AZR94" s="2151"/>
      <c r="AZS94" s="2151"/>
      <c r="AZT94" s="2151"/>
      <c r="AZU94" s="2151"/>
      <c r="AZV94" s="2150"/>
      <c r="AZW94" s="2151"/>
      <c r="AZX94" s="2151"/>
      <c r="AZY94" s="2151"/>
      <c r="AZZ94" s="2151"/>
      <c r="BAA94" s="2151"/>
      <c r="BAB94" s="2151"/>
      <c r="BAC94" s="2151"/>
      <c r="BAD94" s="2151"/>
      <c r="BAE94" s="2151"/>
      <c r="BAF94" s="2151"/>
      <c r="BAG94" s="2151"/>
      <c r="BAH94" s="2151"/>
      <c r="BAI94" s="2151"/>
      <c r="BAJ94" s="2151"/>
      <c r="BAK94" s="2151"/>
      <c r="BAL94" s="2150"/>
      <c r="BAM94" s="2151"/>
      <c r="BAN94" s="2151"/>
      <c r="BAO94" s="2151"/>
      <c r="BAP94" s="2151"/>
      <c r="BAQ94" s="2151"/>
      <c r="BAR94" s="2151"/>
      <c r="BAS94" s="2151"/>
      <c r="BAT94" s="2151"/>
      <c r="BAU94" s="2151"/>
      <c r="BAV94" s="2151"/>
      <c r="BAW94" s="2151"/>
      <c r="BAX94" s="2151"/>
      <c r="BAY94" s="2151"/>
      <c r="BAZ94" s="2151"/>
      <c r="BBA94" s="2151"/>
      <c r="BBB94" s="2150"/>
      <c r="BBC94" s="2151"/>
      <c r="BBD94" s="2151"/>
      <c r="BBE94" s="2151"/>
      <c r="BBF94" s="2151"/>
      <c r="BBG94" s="2151"/>
      <c r="BBH94" s="2151"/>
      <c r="BBI94" s="2151"/>
      <c r="BBJ94" s="2151"/>
      <c r="BBK94" s="2151"/>
      <c r="BBL94" s="2151"/>
      <c r="BBM94" s="2151"/>
      <c r="BBN94" s="2151"/>
      <c r="BBO94" s="2151"/>
      <c r="BBP94" s="2151"/>
      <c r="BBQ94" s="2151"/>
      <c r="BBR94" s="2150"/>
      <c r="BBS94" s="2151"/>
      <c r="BBT94" s="2151"/>
      <c r="BBU94" s="2151"/>
      <c r="BBV94" s="2151"/>
      <c r="BBW94" s="2151"/>
      <c r="BBX94" s="2151"/>
      <c r="BBY94" s="2151"/>
      <c r="BBZ94" s="2151"/>
      <c r="BCA94" s="2151"/>
      <c r="BCB94" s="2151"/>
      <c r="BCC94" s="2151"/>
      <c r="BCD94" s="2151"/>
      <c r="BCE94" s="2151"/>
      <c r="BCF94" s="2151"/>
      <c r="BCG94" s="2151"/>
      <c r="BCH94" s="2150"/>
      <c r="BCI94" s="2151"/>
      <c r="BCJ94" s="2151"/>
      <c r="BCK94" s="2151"/>
      <c r="BCL94" s="2151"/>
      <c r="BCM94" s="2151"/>
      <c r="BCN94" s="2151"/>
      <c r="BCO94" s="2151"/>
      <c r="BCP94" s="2151"/>
      <c r="BCQ94" s="2151"/>
      <c r="BCR94" s="2151"/>
      <c r="BCS94" s="2151"/>
      <c r="BCT94" s="2151"/>
      <c r="BCU94" s="2151"/>
      <c r="BCV94" s="2151"/>
      <c r="BCW94" s="2151"/>
      <c r="BCX94" s="2150"/>
      <c r="BCY94" s="2151"/>
      <c r="BCZ94" s="2151"/>
      <c r="BDA94" s="2151"/>
      <c r="BDB94" s="2151"/>
      <c r="BDC94" s="2151"/>
      <c r="BDD94" s="2151"/>
      <c r="BDE94" s="2151"/>
      <c r="BDF94" s="2151"/>
      <c r="BDG94" s="2151"/>
      <c r="BDH94" s="2151"/>
      <c r="BDI94" s="2151"/>
      <c r="BDJ94" s="2151"/>
      <c r="BDK94" s="2151"/>
      <c r="BDL94" s="2151"/>
      <c r="BDM94" s="2151"/>
      <c r="BDN94" s="2150"/>
      <c r="BDO94" s="2151"/>
      <c r="BDP94" s="2151"/>
      <c r="BDQ94" s="2151"/>
      <c r="BDR94" s="2151"/>
      <c r="BDS94" s="2151"/>
      <c r="BDT94" s="2151"/>
      <c r="BDU94" s="2151"/>
      <c r="BDV94" s="2151"/>
      <c r="BDW94" s="2151"/>
      <c r="BDX94" s="2151"/>
      <c r="BDY94" s="2151"/>
      <c r="BDZ94" s="2151"/>
      <c r="BEA94" s="2151"/>
      <c r="BEB94" s="2151"/>
      <c r="BEC94" s="2151"/>
      <c r="BED94" s="2150"/>
      <c r="BEE94" s="2151"/>
      <c r="BEF94" s="2151"/>
      <c r="BEG94" s="2151"/>
      <c r="BEH94" s="2151"/>
      <c r="BEI94" s="2151"/>
      <c r="BEJ94" s="2151"/>
      <c r="BEK94" s="2151"/>
      <c r="BEL94" s="2151"/>
      <c r="BEM94" s="2151"/>
      <c r="BEN94" s="2151"/>
      <c r="BEO94" s="2151"/>
      <c r="BEP94" s="2151"/>
      <c r="BEQ94" s="2151"/>
      <c r="BER94" s="2151"/>
      <c r="BES94" s="2151"/>
      <c r="BET94" s="2150"/>
      <c r="BEU94" s="2151"/>
      <c r="BEV94" s="2151"/>
      <c r="BEW94" s="2151"/>
      <c r="BEX94" s="2151"/>
      <c r="BEY94" s="2151"/>
      <c r="BEZ94" s="2151"/>
      <c r="BFA94" s="2151"/>
      <c r="BFB94" s="2151"/>
      <c r="BFC94" s="2151"/>
      <c r="BFD94" s="2151"/>
      <c r="BFE94" s="2151"/>
      <c r="BFF94" s="2151"/>
      <c r="BFG94" s="2151"/>
      <c r="BFH94" s="2151"/>
      <c r="BFI94" s="2151"/>
      <c r="BFJ94" s="2150"/>
      <c r="BFK94" s="2151"/>
      <c r="BFL94" s="2151"/>
      <c r="BFM94" s="2151"/>
      <c r="BFN94" s="2151"/>
      <c r="BFO94" s="2151"/>
      <c r="BFP94" s="2151"/>
      <c r="BFQ94" s="2151"/>
      <c r="BFR94" s="2151"/>
      <c r="BFS94" s="2151"/>
      <c r="BFT94" s="2151"/>
      <c r="BFU94" s="2151"/>
      <c r="BFV94" s="2151"/>
      <c r="BFW94" s="2151"/>
      <c r="BFX94" s="2151"/>
      <c r="BFY94" s="2151"/>
      <c r="BFZ94" s="2150"/>
      <c r="BGA94" s="2151"/>
      <c r="BGB94" s="2151"/>
      <c r="BGC94" s="2151"/>
      <c r="BGD94" s="2151"/>
      <c r="BGE94" s="2151"/>
      <c r="BGF94" s="2151"/>
      <c r="BGG94" s="2151"/>
      <c r="BGH94" s="2151"/>
      <c r="BGI94" s="2151"/>
      <c r="BGJ94" s="2151"/>
      <c r="BGK94" s="2151"/>
      <c r="BGL94" s="2151"/>
      <c r="BGM94" s="2151"/>
      <c r="BGN94" s="2151"/>
      <c r="BGO94" s="2151"/>
      <c r="BGP94" s="2150"/>
      <c r="BGQ94" s="2151"/>
      <c r="BGR94" s="2151"/>
      <c r="BGS94" s="2151"/>
      <c r="BGT94" s="2151"/>
      <c r="BGU94" s="2151"/>
      <c r="BGV94" s="2151"/>
      <c r="BGW94" s="2151"/>
      <c r="BGX94" s="2151"/>
      <c r="BGY94" s="2151"/>
      <c r="BGZ94" s="2151"/>
      <c r="BHA94" s="2151"/>
      <c r="BHB94" s="2151"/>
      <c r="BHC94" s="2151"/>
      <c r="BHD94" s="2151"/>
      <c r="BHE94" s="2151"/>
      <c r="BHF94" s="2150"/>
      <c r="BHG94" s="2151"/>
      <c r="BHH94" s="2151"/>
      <c r="BHI94" s="2151"/>
      <c r="BHJ94" s="2151"/>
      <c r="BHK94" s="2151"/>
      <c r="BHL94" s="2151"/>
      <c r="BHM94" s="2151"/>
      <c r="BHN94" s="2151"/>
      <c r="BHO94" s="2151"/>
      <c r="BHP94" s="2151"/>
      <c r="BHQ94" s="2151"/>
      <c r="BHR94" s="2151"/>
      <c r="BHS94" s="2151"/>
      <c r="BHT94" s="2151"/>
      <c r="BHU94" s="2151"/>
      <c r="BHV94" s="2150"/>
      <c r="BHW94" s="2151"/>
      <c r="BHX94" s="2151"/>
      <c r="BHY94" s="2151"/>
      <c r="BHZ94" s="2151"/>
      <c r="BIA94" s="2151"/>
      <c r="BIB94" s="2151"/>
      <c r="BIC94" s="2151"/>
      <c r="BID94" s="2151"/>
      <c r="BIE94" s="2151"/>
      <c r="BIF94" s="2151"/>
      <c r="BIG94" s="2151"/>
      <c r="BIH94" s="2151"/>
      <c r="BII94" s="2151"/>
      <c r="BIJ94" s="2151"/>
      <c r="BIK94" s="2151"/>
      <c r="BIL94" s="2150"/>
      <c r="BIM94" s="2151"/>
      <c r="BIN94" s="2151"/>
      <c r="BIO94" s="2151"/>
      <c r="BIP94" s="2151"/>
      <c r="BIQ94" s="2151"/>
      <c r="BIR94" s="2151"/>
      <c r="BIS94" s="2151"/>
      <c r="BIT94" s="2151"/>
      <c r="BIU94" s="2151"/>
      <c r="BIV94" s="2151"/>
      <c r="BIW94" s="2151"/>
      <c r="BIX94" s="2151"/>
      <c r="BIY94" s="2151"/>
      <c r="BIZ94" s="2151"/>
      <c r="BJA94" s="2151"/>
      <c r="BJB94" s="2150"/>
      <c r="BJC94" s="2151"/>
      <c r="BJD94" s="2151"/>
      <c r="BJE94" s="2151"/>
      <c r="BJF94" s="2151"/>
      <c r="BJG94" s="2151"/>
      <c r="BJH94" s="2151"/>
      <c r="BJI94" s="2151"/>
      <c r="BJJ94" s="2151"/>
      <c r="BJK94" s="2151"/>
      <c r="BJL94" s="2151"/>
      <c r="BJM94" s="2151"/>
      <c r="BJN94" s="2151"/>
      <c r="BJO94" s="2151"/>
      <c r="BJP94" s="2151"/>
      <c r="BJQ94" s="2151"/>
      <c r="BJR94" s="2150"/>
      <c r="BJS94" s="2151"/>
      <c r="BJT94" s="2151"/>
      <c r="BJU94" s="2151"/>
      <c r="BJV94" s="2151"/>
      <c r="BJW94" s="2151"/>
      <c r="BJX94" s="2151"/>
      <c r="BJY94" s="2151"/>
      <c r="BJZ94" s="2151"/>
      <c r="BKA94" s="2151"/>
      <c r="BKB94" s="2151"/>
      <c r="BKC94" s="2151"/>
      <c r="BKD94" s="2151"/>
      <c r="BKE94" s="2151"/>
      <c r="BKF94" s="2151"/>
      <c r="BKG94" s="2151"/>
      <c r="BKH94" s="2150"/>
      <c r="BKI94" s="2151"/>
      <c r="BKJ94" s="2151"/>
      <c r="BKK94" s="2151"/>
      <c r="BKL94" s="2151"/>
      <c r="BKM94" s="2151"/>
      <c r="BKN94" s="2151"/>
      <c r="BKO94" s="2151"/>
      <c r="BKP94" s="2151"/>
      <c r="BKQ94" s="2151"/>
      <c r="BKR94" s="2151"/>
      <c r="BKS94" s="2151"/>
      <c r="BKT94" s="2151"/>
      <c r="BKU94" s="2151"/>
      <c r="BKV94" s="2151"/>
      <c r="BKW94" s="2151"/>
      <c r="BKX94" s="2150"/>
      <c r="BKY94" s="2151"/>
      <c r="BKZ94" s="2151"/>
      <c r="BLA94" s="2151"/>
      <c r="BLB94" s="2151"/>
      <c r="BLC94" s="2151"/>
      <c r="BLD94" s="2151"/>
      <c r="BLE94" s="2151"/>
      <c r="BLF94" s="2151"/>
      <c r="BLG94" s="2151"/>
      <c r="BLH94" s="2151"/>
      <c r="BLI94" s="2151"/>
      <c r="BLJ94" s="2151"/>
      <c r="BLK94" s="2151"/>
      <c r="BLL94" s="2151"/>
      <c r="BLM94" s="2151"/>
      <c r="BLN94" s="2150"/>
      <c r="BLO94" s="2151"/>
      <c r="BLP94" s="2151"/>
      <c r="BLQ94" s="2151"/>
      <c r="BLR94" s="2151"/>
      <c r="BLS94" s="2151"/>
      <c r="BLT94" s="2151"/>
      <c r="BLU94" s="2151"/>
      <c r="BLV94" s="2151"/>
      <c r="BLW94" s="2151"/>
      <c r="BLX94" s="2151"/>
      <c r="BLY94" s="2151"/>
      <c r="BLZ94" s="2151"/>
      <c r="BMA94" s="2151"/>
      <c r="BMB94" s="2151"/>
      <c r="BMC94" s="2151"/>
      <c r="BMD94" s="2150"/>
      <c r="BME94" s="2151"/>
      <c r="BMF94" s="2151"/>
      <c r="BMG94" s="2151"/>
      <c r="BMH94" s="2151"/>
      <c r="BMI94" s="2151"/>
      <c r="BMJ94" s="2151"/>
      <c r="BMK94" s="2151"/>
      <c r="BML94" s="2151"/>
      <c r="BMM94" s="2151"/>
      <c r="BMN94" s="2151"/>
      <c r="BMO94" s="2151"/>
      <c r="BMP94" s="2151"/>
      <c r="BMQ94" s="2151"/>
      <c r="BMR94" s="2151"/>
      <c r="BMS94" s="2151"/>
      <c r="BMT94" s="2150"/>
      <c r="BMU94" s="2151"/>
      <c r="BMV94" s="2151"/>
      <c r="BMW94" s="2151"/>
      <c r="BMX94" s="2151"/>
      <c r="BMY94" s="2151"/>
      <c r="BMZ94" s="2151"/>
      <c r="BNA94" s="2151"/>
      <c r="BNB94" s="2151"/>
      <c r="BNC94" s="2151"/>
      <c r="BND94" s="2151"/>
      <c r="BNE94" s="2151"/>
      <c r="BNF94" s="2151"/>
      <c r="BNG94" s="2151"/>
      <c r="BNH94" s="2151"/>
      <c r="BNI94" s="2151"/>
      <c r="BNJ94" s="2150"/>
      <c r="BNK94" s="2151"/>
      <c r="BNL94" s="2151"/>
      <c r="BNM94" s="2151"/>
      <c r="BNN94" s="2151"/>
      <c r="BNO94" s="2151"/>
      <c r="BNP94" s="2151"/>
      <c r="BNQ94" s="2151"/>
      <c r="BNR94" s="2151"/>
      <c r="BNS94" s="2151"/>
      <c r="BNT94" s="2151"/>
      <c r="BNU94" s="2151"/>
      <c r="BNV94" s="2151"/>
      <c r="BNW94" s="2151"/>
      <c r="BNX94" s="2151"/>
      <c r="BNY94" s="2151"/>
      <c r="BNZ94" s="2150"/>
      <c r="BOA94" s="2151"/>
      <c r="BOB94" s="2151"/>
      <c r="BOC94" s="2151"/>
      <c r="BOD94" s="2151"/>
      <c r="BOE94" s="2151"/>
      <c r="BOF94" s="2151"/>
      <c r="BOG94" s="2151"/>
      <c r="BOH94" s="2151"/>
      <c r="BOI94" s="2151"/>
      <c r="BOJ94" s="2151"/>
      <c r="BOK94" s="2151"/>
      <c r="BOL94" s="2151"/>
      <c r="BOM94" s="2151"/>
      <c r="BON94" s="2151"/>
      <c r="BOO94" s="2151"/>
      <c r="BOP94" s="2150"/>
      <c r="BOQ94" s="2151"/>
      <c r="BOR94" s="2151"/>
      <c r="BOS94" s="2151"/>
      <c r="BOT94" s="2151"/>
      <c r="BOU94" s="2151"/>
      <c r="BOV94" s="2151"/>
      <c r="BOW94" s="2151"/>
      <c r="BOX94" s="2151"/>
      <c r="BOY94" s="2151"/>
      <c r="BOZ94" s="2151"/>
      <c r="BPA94" s="2151"/>
      <c r="BPB94" s="2151"/>
      <c r="BPC94" s="2151"/>
      <c r="BPD94" s="2151"/>
      <c r="BPE94" s="2151"/>
      <c r="BPF94" s="2150"/>
      <c r="BPG94" s="2151"/>
      <c r="BPH94" s="2151"/>
      <c r="BPI94" s="2151"/>
      <c r="BPJ94" s="2151"/>
      <c r="BPK94" s="2151"/>
      <c r="BPL94" s="2151"/>
      <c r="BPM94" s="2151"/>
      <c r="BPN94" s="2151"/>
      <c r="BPO94" s="2151"/>
      <c r="BPP94" s="2151"/>
      <c r="BPQ94" s="2151"/>
      <c r="BPR94" s="2151"/>
      <c r="BPS94" s="2151"/>
      <c r="BPT94" s="2151"/>
      <c r="BPU94" s="2151"/>
      <c r="BPV94" s="2150"/>
      <c r="BPW94" s="2151"/>
      <c r="BPX94" s="2151"/>
      <c r="BPY94" s="2151"/>
      <c r="BPZ94" s="2151"/>
      <c r="BQA94" s="2151"/>
      <c r="BQB94" s="2151"/>
      <c r="BQC94" s="2151"/>
      <c r="BQD94" s="2151"/>
      <c r="BQE94" s="2151"/>
      <c r="BQF94" s="2151"/>
      <c r="BQG94" s="2151"/>
      <c r="BQH94" s="2151"/>
      <c r="BQI94" s="2151"/>
      <c r="BQJ94" s="2151"/>
      <c r="BQK94" s="2151"/>
      <c r="BQL94" s="2150"/>
      <c r="BQM94" s="2151"/>
      <c r="BQN94" s="2151"/>
      <c r="BQO94" s="2151"/>
      <c r="BQP94" s="2151"/>
      <c r="BQQ94" s="2151"/>
      <c r="BQR94" s="2151"/>
      <c r="BQS94" s="2151"/>
      <c r="BQT94" s="2151"/>
      <c r="BQU94" s="2151"/>
      <c r="BQV94" s="2151"/>
      <c r="BQW94" s="2151"/>
      <c r="BQX94" s="2151"/>
      <c r="BQY94" s="2151"/>
      <c r="BQZ94" s="2151"/>
      <c r="BRA94" s="2151"/>
      <c r="BRB94" s="2150"/>
      <c r="BRC94" s="2151"/>
      <c r="BRD94" s="2151"/>
      <c r="BRE94" s="2151"/>
      <c r="BRF94" s="2151"/>
      <c r="BRG94" s="2151"/>
      <c r="BRH94" s="2151"/>
      <c r="BRI94" s="2151"/>
      <c r="BRJ94" s="2151"/>
      <c r="BRK94" s="2151"/>
      <c r="BRL94" s="2151"/>
      <c r="BRM94" s="2151"/>
      <c r="BRN94" s="2151"/>
      <c r="BRO94" s="2151"/>
      <c r="BRP94" s="2151"/>
      <c r="BRQ94" s="2151"/>
      <c r="BRR94" s="2150"/>
      <c r="BRS94" s="2151"/>
      <c r="BRT94" s="2151"/>
      <c r="BRU94" s="2151"/>
      <c r="BRV94" s="2151"/>
      <c r="BRW94" s="2151"/>
      <c r="BRX94" s="2151"/>
      <c r="BRY94" s="2151"/>
      <c r="BRZ94" s="2151"/>
      <c r="BSA94" s="2151"/>
      <c r="BSB94" s="2151"/>
      <c r="BSC94" s="2151"/>
      <c r="BSD94" s="2151"/>
      <c r="BSE94" s="2151"/>
      <c r="BSF94" s="2151"/>
      <c r="BSG94" s="2151"/>
      <c r="BSH94" s="2150"/>
      <c r="BSI94" s="2151"/>
      <c r="BSJ94" s="2151"/>
      <c r="BSK94" s="2151"/>
      <c r="BSL94" s="2151"/>
      <c r="BSM94" s="2151"/>
      <c r="BSN94" s="2151"/>
      <c r="BSO94" s="2151"/>
      <c r="BSP94" s="2151"/>
      <c r="BSQ94" s="2151"/>
      <c r="BSR94" s="2151"/>
      <c r="BSS94" s="2151"/>
      <c r="BST94" s="2151"/>
      <c r="BSU94" s="2151"/>
      <c r="BSV94" s="2151"/>
      <c r="BSW94" s="2151"/>
      <c r="BSX94" s="2150"/>
      <c r="BSY94" s="2151"/>
      <c r="BSZ94" s="2151"/>
      <c r="BTA94" s="2151"/>
      <c r="BTB94" s="2151"/>
      <c r="BTC94" s="2151"/>
      <c r="BTD94" s="2151"/>
      <c r="BTE94" s="2151"/>
      <c r="BTF94" s="2151"/>
      <c r="BTG94" s="2151"/>
      <c r="BTH94" s="2151"/>
      <c r="BTI94" s="2151"/>
      <c r="BTJ94" s="2151"/>
      <c r="BTK94" s="2151"/>
      <c r="BTL94" s="2151"/>
      <c r="BTM94" s="2151"/>
      <c r="BTN94" s="2150"/>
      <c r="BTO94" s="2151"/>
      <c r="BTP94" s="2151"/>
      <c r="BTQ94" s="2151"/>
      <c r="BTR94" s="2151"/>
      <c r="BTS94" s="2151"/>
      <c r="BTT94" s="2151"/>
      <c r="BTU94" s="2151"/>
      <c r="BTV94" s="2151"/>
      <c r="BTW94" s="2151"/>
      <c r="BTX94" s="2151"/>
      <c r="BTY94" s="2151"/>
      <c r="BTZ94" s="2151"/>
      <c r="BUA94" s="2151"/>
      <c r="BUB94" s="2151"/>
      <c r="BUC94" s="2151"/>
      <c r="BUD94" s="2150"/>
      <c r="BUE94" s="2151"/>
      <c r="BUF94" s="2151"/>
      <c r="BUG94" s="2151"/>
      <c r="BUH94" s="2151"/>
      <c r="BUI94" s="2151"/>
      <c r="BUJ94" s="2151"/>
      <c r="BUK94" s="2151"/>
      <c r="BUL94" s="2151"/>
      <c r="BUM94" s="2151"/>
      <c r="BUN94" s="2151"/>
      <c r="BUO94" s="2151"/>
      <c r="BUP94" s="2151"/>
      <c r="BUQ94" s="2151"/>
      <c r="BUR94" s="2151"/>
      <c r="BUS94" s="2151"/>
      <c r="BUT94" s="2150"/>
      <c r="BUU94" s="2151"/>
      <c r="BUV94" s="2151"/>
      <c r="BUW94" s="2151"/>
      <c r="BUX94" s="2151"/>
      <c r="BUY94" s="2151"/>
      <c r="BUZ94" s="2151"/>
      <c r="BVA94" s="2151"/>
      <c r="BVB94" s="2151"/>
      <c r="BVC94" s="2151"/>
      <c r="BVD94" s="2151"/>
      <c r="BVE94" s="2151"/>
      <c r="BVF94" s="2151"/>
      <c r="BVG94" s="2151"/>
      <c r="BVH94" s="2151"/>
      <c r="BVI94" s="2151"/>
      <c r="BVJ94" s="2150"/>
      <c r="BVK94" s="2151"/>
      <c r="BVL94" s="2151"/>
      <c r="BVM94" s="2151"/>
      <c r="BVN94" s="2151"/>
      <c r="BVO94" s="2151"/>
      <c r="BVP94" s="2151"/>
      <c r="BVQ94" s="2151"/>
      <c r="BVR94" s="2151"/>
      <c r="BVS94" s="2151"/>
      <c r="BVT94" s="2151"/>
      <c r="BVU94" s="2151"/>
      <c r="BVV94" s="2151"/>
      <c r="BVW94" s="2151"/>
      <c r="BVX94" s="2151"/>
      <c r="BVY94" s="2151"/>
      <c r="BVZ94" s="2150"/>
      <c r="BWA94" s="2151"/>
      <c r="BWB94" s="2151"/>
      <c r="BWC94" s="2151"/>
      <c r="BWD94" s="2151"/>
      <c r="BWE94" s="2151"/>
      <c r="BWF94" s="2151"/>
      <c r="BWG94" s="2151"/>
      <c r="BWH94" s="2151"/>
      <c r="BWI94" s="2151"/>
      <c r="BWJ94" s="2151"/>
      <c r="BWK94" s="2151"/>
      <c r="BWL94" s="2151"/>
      <c r="BWM94" s="2151"/>
      <c r="BWN94" s="2151"/>
      <c r="BWO94" s="2151"/>
      <c r="BWP94" s="2150"/>
      <c r="BWQ94" s="2151"/>
      <c r="BWR94" s="2151"/>
      <c r="BWS94" s="2151"/>
      <c r="BWT94" s="2151"/>
      <c r="BWU94" s="2151"/>
      <c r="BWV94" s="2151"/>
      <c r="BWW94" s="2151"/>
      <c r="BWX94" s="2151"/>
      <c r="BWY94" s="2151"/>
      <c r="BWZ94" s="2151"/>
      <c r="BXA94" s="2151"/>
      <c r="BXB94" s="2151"/>
      <c r="BXC94" s="2151"/>
      <c r="BXD94" s="2151"/>
      <c r="BXE94" s="2151"/>
      <c r="BXF94" s="2150"/>
      <c r="BXG94" s="2151"/>
      <c r="BXH94" s="2151"/>
      <c r="BXI94" s="2151"/>
      <c r="BXJ94" s="2151"/>
      <c r="BXK94" s="2151"/>
      <c r="BXL94" s="2151"/>
      <c r="BXM94" s="2151"/>
      <c r="BXN94" s="2151"/>
      <c r="BXO94" s="2151"/>
      <c r="BXP94" s="2151"/>
      <c r="BXQ94" s="2151"/>
      <c r="BXR94" s="2151"/>
      <c r="BXS94" s="2151"/>
      <c r="BXT94" s="2151"/>
      <c r="BXU94" s="2151"/>
      <c r="BXV94" s="2150"/>
      <c r="BXW94" s="2151"/>
      <c r="BXX94" s="2151"/>
      <c r="BXY94" s="2151"/>
      <c r="BXZ94" s="2151"/>
      <c r="BYA94" s="2151"/>
      <c r="BYB94" s="2151"/>
      <c r="BYC94" s="2151"/>
      <c r="BYD94" s="2151"/>
      <c r="BYE94" s="2151"/>
      <c r="BYF94" s="2151"/>
      <c r="BYG94" s="2151"/>
      <c r="BYH94" s="2151"/>
      <c r="BYI94" s="2151"/>
      <c r="BYJ94" s="2151"/>
      <c r="BYK94" s="2151"/>
      <c r="BYL94" s="2150"/>
      <c r="BYM94" s="2151"/>
      <c r="BYN94" s="2151"/>
      <c r="BYO94" s="2151"/>
      <c r="BYP94" s="2151"/>
      <c r="BYQ94" s="2151"/>
      <c r="BYR94" s="2151"/>
      <c r="BYS94" s="2151"/>
      <c r="BYT94" s="2151"/>
      <c r="BYU94" s="2151"/>
      <c r="BYV94" s="2151"/>
      <c r="BYW94" s="2151"/>
      <c r="BYX94" s="2151"/>
      <c r="BYY94" s="2151"/>
      <c r="BYZ94" s="2151"/>
      <c r="BZA94" s="2151"/>
      <c r="BZB94" s="2150"/>
      <c r="BZC94" s="2151"/>
      <c r="BZD94" s="2151"/>
      <c r="BZE94" s="2151"/>
      <c r="BZF94" s="2151"/>
      <c r="BZG94" s="2151"/>
      <c r="BZH94" s="2151"/>
      <c r="BZI94" s="2151"/>
      <c r="BZJ94" s="2151"/>
      <c r="BZK94" s="2151"/>
      <c r="BZL94" s="2151"/>
      <c r="BZM94" s="2151"/>
      <c r="BZN94" s="2151"/>
      <c r="BZO94" s="2151"/>
      <c r="BZP94" s="2151"/>
      <c r="BZQ94" s="2151"/>
      <c r="BZR94" s="2150"/>
      <c r="BZS94" s="2151"/>
      <c r="BZT94" s="2151"/>
      <c r="BZU94" s="2151"/>
      <c r="BZV94" s="2151"/>
      <c r="BZW94" s="2151"/>
      <c r="BZX94" s="2151"/>
      <c r="BZY94" s="2151"/>
      <c r="BZZ94" s="2151"/>
      <c r="CAA94" s="2151"/>
      <c r="CAB94" s="2151"/>
      <c r="CAC94" s="2151"/>
      <c r="CAD94" s="2151"/>
      <c r="CAE94" s="2151"/>
      <c r="CAF94" s="2151"/>
      <c r="CAG94" s="2151"/>
      <c r="CAH94" s="2150"/>
      <c r="CAI94" s="2151"/>
      <c r="CAJ94" s="2151"/>
      <c r="CAK94" s="2151"/>
      <c r="CAL94" s="2151"/>
      <c r="CAM94" s="2151"/>
      <c r="CAN94" s="2151"/>
      <c r="CAO94" s="2151"/>
      <c r="CAP94" s="2151"/>
      <c r="CAQ94" s="2151"/>
      <c r="CAR94" s="2151"/>
      <c r="CAS94" s="2151"/>
      <c r="CAT94" s="2151"/>
      <c r="CAU94" s="2151"/>
      <c r="CAV94" s="2151"/>
      <c r="CAW94" s="2151"/>
      <c r="CAX94" s="2150"/>
      <c r="CAY94" s="2151"/>
      <c r="CAZ94" s="2151"/>
      <c r="CBA94" s="2151"/>
      <c r="CBB94" s="2151"/>
      <c r="CBC94" s="2151"/>
      <c r="CBD94" s="2151"/>
      <c r="CBE94" s="2151"/>
      <c r="CBF94" s="2151"/>
      <c r="CBG94" s="2151"/>
      <c r="CBH94" s="2151"/>
      <c r="CBI94" s="2151"/>
      <c r="CBJ94" s="2151"/>
      <c r="CBK94" s="2151"/>
      <c r="CBL94" s="2151"/>
      <c r="CBM94" s="2151"/>
      <c r="CBN94" s="2150"/>
      <c r="CBO94" s="2151"/>
      <c r="CBP94" s="2151"/>
      <c r="CBQ94" s="2151"/>
      <c r="CBR94" s="2151"/>
      <c r="CBS94" s="2151"/>
      <c r="CBT94" s="2151"/>
      <c r="CBU94" s="2151"/>
      <c r="CBV94" s="2151"/>
      <c r="CBW94" s="2151"/>
      <c r="CBX94" s="2151"/>
      <c r="CBY94" s="2151"/>
      <c r="CBZ94" s="2151"/>
      <c r="CCA94" s="2151"/>
      <c r="CCB94" s="2151"/>
      <c r="CCC94" s="2151"/>
      <c r="CCD94" s="2150"/>
      <c r="CCE94" s="2151"/>
      <c r="CCF94" s="2151"/>
      <c r="CCG94" s="2151"/>
      <c r="CCH94" s="2151"/>
      <c r="CCI94" s="2151"/>
      <c r="CCJ94" s="2151"/>
      <c r="CCK94" s="2151"/>
      <c r="CCL94" s="2151"/>
      <c r="CCM94" s="2151"/>
      <c r="CCN94" s="2151"/>
      <c r="CCO94" s="2151"/>
      <c r="CCP94" s="2151"/>
      <c r="CCQ94" s="2151"/>
      <c r="CCR94" s="2151"/>
      <c r="CCS94" s="2151"/>
      <c r="CCT94" s="2150"/>
      <c r="CCU94" s="2151"/>
      <c r="CCV94" s="2151"/>
      <c r="CCW94" s="2151"/>
      <c r="CCX94" s="2151"/>
      <c r="CCY94" s="2151"/>
      <c r="CCZ94" s="2151"/>
      <c r="CDA94" s="2151"/>
      <c r="CDB94" s="2151"/>
      <c r="CDC94" s="2151"/>
      <c r="CDD94" s="2151"/>
      <c r="CDE94" s="2151"/>
      <c r="CDF94" s="2151"/>
      <c r="CDG94" s="2151"/>
      <c r="CDH94" s="2151"/>
      <c r="CDI94" s="2151"/>
      <c r="CDJ94" s="2150"/>
      <c r="CDK94" s="2151"/>
      <c r="CDL94" s="2151"/>
      <c r="CDM94" s="2151"/>
      <c r="CDN94" s="2151"/>
      <c r="CDO94" s="2151"/>
      <c r="CDP94" s="2151"/>
      <c r="CDQ94" s="2151"/>
      <c r="CDR94" s="2151"/>
      <c r="CDS94" s="2151"/>
      <c r="CDT94" s="2151"/>
      <c r="CDU94" s="2151"/>
      <c r="CDV94" s="2151"/>
      <c r="CDW94" s="2151"/>
      <c r="CDX94" s="2151"/>
      <c r="CDY94" s="2151"/>
      <c r="CDZ94" s="2150"/>
      <c r="CEA94" s="2151"/>
      <c r="CEB94" s="2151"/>
      <c r="CEC94" s="2151"/>
      <c r="CED94" s="2151"/>
      <c r="CEE94" s="2151"/>
      <c r="CEF94" s="2151"/>
      <c r="CEG94" s="2151"/>
      <c r="CEH94" s="2151"/>
      <c r="CEI94" s="2151"/>
      <c r="CEJ94" s="2151"/>
      <c r="CEK94" s="2151"/>
      <c r="CEL94" s="2151"/>
      <c r="CEM94" s="2151"/>
      <c r="CEN94" s="2151"/>
      <c r="CEO94" s="2151"/>
      <c r="CEP94" s="2150"/>
      <c r="CEQ94" s="2151"/>
      <c r="CER94" s="2151"/>
      <c r="CES94" s="2151"/>
      <c r="CET94" s="2151"/>
      <c r="CEU94" s="2151"/>
      <c r="CEV94" s="2151"/>
      <c r="CEW94" s="2151"/>
      <c r="CEX94" s="2151"/>
      <c r="CEY94" s="2151"/>
      <c r="CEZ94" s="2151"/>
      <c r="CFA94" s="2151"/>
      <c r="CFB94" s="2151"/>
      <c r="CFC94" s="2151"/>
      <c r="CFD94" s="2151"/>
      <c r="CFE94" s="2151"/>
      <c r="CFF94" s="2150"/>
      <c r="CFG94" s="2151"/>
      <c r="CFH94" s="2151"/>
      <c r="CFI94" s="2151"/>
      <c r="CFJ94" s="2151"/>
      <c r="CFK94" s="2151"/>
      <c r="CFL94" s="2151"/>
      <c r="CFM94" s="2151"/>
      <c r="CFN94" s="2151"/>
      <c r="CFO94" s="2151"/>
      <c r="CFP94" s="2151"/>
      <c r="CFQ94" s="2151"/>
      <c r="CFR94" s="2151"/>
      <c r="CFS94" s="2151"/>
      <c r="CFT94" s="2151"/>
      <c r="CFU94" s="2151"/>
      <c r="CFV94" s="2150"/>
      <c r="CFW94" s="2151"/>
      <c r="CFX94" s="2151"/>
      <c r="CFY94" s="2151"/>
      <c r="CFZ94" s="2151"/>
      <c r="CGA94" s="2151"/>
      <c r="CGB94" s="2151"/>
      <c r="CGC94" s="2151"/>
      <c r="CGD94" s="2151"/>
      <c r="CGE94" s="2151"/>
      <c r="CGF94" s="2151"/>
      <c r="CGG94" s="2151"/>
      <c r="CGH94" s="2151"/>
      <c r="CGI94" s="2151"/>
      <c r="CGJ94" s="2151"/>
      <c r="CGK94" s="2151"/>
      <c r="CGL94" s="2150"/>
      <c r="CGM94" s="2151"/>
      <c r="CGN94" s="2151"/>
      <c r="CGO94" s="2151"/>
      <c r="CGP94" s="2151"/>
      <c r="CGQ94" s="2151"/>
      <c r="CGR94" s="2151"/>
      <c r="CGS94" s="2151"/>
      <c r="CGT94" s="2151"/>
      <c r="CGU94" s="2151"/>
      <c r="CGV94" s="2151"/>
      <c r="CGW94" s="2151"/>
      <c r="CGX94" s="2151"/>
      <c r="CGY94" s="2151"/>
      <c r="CGZ94" s="2151"/>
      <c r="CHA94" s="2151"/>
      <c r="CHB94" s="2150"/>
      <c r="CHC94" s="2151"/>
      <c r="CHD94" s="2151"/>
      <c r="CHE94" s="2151"/>
      <c r="CHF94" s="2151"/>
      <c r="CHG94" s="2151"/>
      <c r="CHH94" s="2151"/>
      <c r="CHI94" s="2151"/>
      <c r="CHJ94" s="2151"/>
      <c r="CHK94" s="2151"/>
      <c r="CHL94" s="2151"/>
      <c r="CHM94" s="2151"/>
      <c r="CHN94" s="2151"/>
      <c r="CHO94" s="2151"/>
      <c r="CHP94" s="2151"/>
      <c r="CHQ94" s="2151"/>
      <c r="CHR94" s="2150"/>
      <c r="CHS94" s="2151"/>
      <c r="CHT94" s="2151"/>
      <c r="CHU94" s="2151"/>
      <c r="CHV94" s="2151"/>
      <c r="CHW94" s="2151"/>
      <c r="CHX94" s="2151"/>
      <c r="CHY94" s="2151"/>
      <c r="CHZ94" s="2151"/>
      <c r="CIA94" s="2151"/>
      <c r="CIB94" s="2151"/>
      <c r="CIC94" s="2151"/>
      <c r="CID94" s="2151"/>
      <c r="CIE94" s="2151"/>
      <c r="CIF94" s="2151"/>
      <c r="CIG94" s="2151"/>
      <c r="CIH94" s="2150"/>
      <c r="CII94" s="2151"/>
      <c r="CIJ94" s="2151"/>
      <c r="CIK94" s="2151"/>
      <c r="CIL94" s="2151"/>
      <c r="CIM94" s="2151"/>
      <c r="CIN94" s="2151"/>
      <c r="CIO94" s="2151"/>
      <c r="CIP94" s="2151"/>
      <c r="CIQ94" s="2151"/>
      <c r="CIR94" s="2151"/>
      <c r="CIS94" s="2151"/>
      <c r="CIT94" s="2151"/>
      <c r="CIU94" s="2151"/>
      <c r="CIV94" s="2151"/>
      <c r="CIW94" s="2151"/>
      <c r="CIX94" s="2150"/>
      <c r="CIY94" s="2151"/>
      <c r="CIZ94" s="2151"/>
      <c r="CJA94" s="2151"/>
      <c r="CJB94" s="2151"/>
      <c r="CJC94" s="2151"/>
      <c r="CJD94" s="2151"/>
      <c r="CJE94" s="2151"/>
      <c r="CJF94" s="2151"/>
      <c r="CJG94" s="2151"/>
      <c r="CJH94" s="2151"/>
      <c r="CJI94" s="2151"/>
      <c r="CJJ94" s="2151"/>
      <c r="CJK94" s="2151"/>
      <c r="CJL94" s="2151"/>
      <c r="CJM94" s="2151"/>
      <c r="CJN94" s="2150"/>
      <c r="CJO94" s="2151"/>
      <c r="CJP94" s="2151"/>
      <c r="CJQ94" s="2151"/>
      <c r="CJR94" s="2151"/>
      <c r="CJS94" s="2151"/>
      <c r="CJT94" s="2151"/>
      <c r="CJU94" s="2151"/>
      <c r="CJV94" s="2151"/>
      <c r="CJW94" s="2151"/>
      <c r="CJX94" s="2151"/>
      <c r="CJY94" s="2151"/>
      <c r="CJZ94" s="2151"/>
      <c r="CKA94" s="2151"/>
      <c r="CKB94" s="2151"/>
      <c r="CKC94" s="2151"/>
      <c r="CKD94" s="2150"/>
      <c r="CKE94" s="2151"/>
      <c r="CKF94" s="2151"/>
      <c r="CKG94" s="2151"/>
      <c r="CKH94" s="2151"/>
      <c r="CKI94" s="2151"/>
      <c r="CKJ94" s="2151"/>
      <c r="CKK94" s="2151"/>
      <c r="CKL94" s="2151"/>
      <c r="CKM94" s="2151"/>
      <c r="CKN94" s="2151"/>
      <c r="CKO94" s="2151"/>
      <c r="CKP94" s="2151"/>
      <c r="CKQ94" s="2151"/>
      <c r="CKR94" s="2151"/>
      <c r="CKS94" s="2151"/>
      <c r="CKT94" s="2150"/>
      <c r="CKU94" s="2151"/>
      <c r="CKV94" s="2151"/>
      <c r="CKW94" s="2151"/>
      <c r="CKX94" s="2151"/>
      <c r="CKY94" s="2151"/>
      <c r="CKZ94" s="2151"/>
      <c r="CLA94" s="2151"/>
      <c r="CLB94" s="2151"/>
      <c r="CLC94" s="2151"/>
      <c r="CLD94" s="2151"/>
      <c r="CLE94" s="2151"/>
      <c r="CLF94" s="2151"/>
      <c r="CLG94" s="2151"/>
      <c r="CLH94" s="2151"/>
      <c r="CLI94" s="2151"/>
      <c r="CLJ94" s="2150"/>
      <c r="CLK94" s="2151"/>
      <c r="CLL94" s="2151"/>
      <c r="CLM94" s="2151"/>
      <c r="CLN94" s="2151"/>
      <c r="CLO94" s="2151"/>
      <c r="CLP94" s="2151"/>
      <c r="CLQ94" s="2151"/>
      <c r="CLR94" s="2151"/>
      <c r="CLS94" s="2151"/>
      <c r="CLT94" s="2151"/>
      <c r="CLU94" s="2151"/>
      <c r="CLV94" s="2151"/>
      <c r="CLW94" s="2151"/>
      <c r="CLX94" s="2151"/>
      <c r="CLY94" s="2151"/>
      <c r="CLZ94" s="2150"/>
      <c r="CMA94" s="2151"/>
      <c r="CMB94" s="2151"/>
      <c r="CMC94" s="2151"/>
      <c r="CMD94" s="2151"/>
      <c r="CME94" s="2151"/>
      <c r="CMF94" s="2151"/>
      <c r="CMG94" s="2151"/>
      <c r="CMH94" s="2151"/>
      <c r="CMI94" s="2151"/>
      <c r="CMJ94" s="2151"/>
      <c r="CMK94" s="2151"/>
      <c r="CML94" s="2151"/>
      <c r="CMM94" s="2151"/>
      <c r="CMN94" s="2151"/>
      <c r="CMO94" s="2151"/>
      <c r="CMP94" s="2150"/>
      <c r="CMQ94" s="2151"/>
      <c r="CMR94" s="2151"/>
      <c r="CMS94" s="2151"/>
      <c r="CMT94" s="2151"/>
      <c r="CMU94" s="2151"/>
      <c r="CMV94" s="2151"/>
      <c r="CMW94" s="2151"/>
      <c r="CMX94" s="2151"/>
      <c r="CMY94" s="2151"/>
      <c r="CMZ94" s="2151"/>
      <c r="CNA94" s="2151"/>
      <c r="CNB94" s="2151"/>
      <c r="CNC94" s="2151"/>
      <c r="CND94" s="2151"/>
      <c r="CNE94" s="2151"/>
      <c r="CNF94" s="2150"/>
      <c r="CNG94" s="2151"/>
      <c r="CNH94" s="2151"/>
      <c r="CNI94" s="2151"/>
      <c r="CNJ94" s="2151"/>
      <c r="CNK94" s="2151"/>
      <c r="CNL94" s="2151"/>
      <c r="CNM94" s="2151"/>
      <c r="CNN94" s="2151"/>
      <c r="CNO94" s="2151"/>
      <c r="CNP94" s="2151"/>
      <c r="CNQ94" s="2151"/>
      <c r="CNR94" s="2151"/>
      <c r="CNS94" s="2151"/>
      <c r="CNT94" s="2151"/>
      <c r="CNU94" s="2151"/>
      <c r="CNV94" s="2150"/>
      <c r="CNW94" s="2151"/>
      <c r="CNX94" s="2151"/>
      <c r="CNY94" s="2151"/>
      <c r="CNZ94" s="2151"/>
      <c r="COA94" s="2151"/>
      <c r="COB94" s="2151"/>
      <c r="COC94" s="2151"/>
      <c r="COD94" s="2151"/>
      <c r="COE94" s="2151"/>
      <c r="COF94" s="2151"/>
      <c r="COG94" s="2151"/>
      <c r="COH94" s="2151"/>
      <c r="COI94" s="2151"/>
      <c r="COJ94" s="2151"/>
      <c r="COK94" s="2151"/>
      <c r="COL94" s="2150"/>
      <c r="COM94" s="2151"/>
      <c r="CON94" s="2151"/>
      <c r="COO94" s="2151"/>
      <c r="COP94" s="2151"/>
      <c r="COQ94" s="2151"/>
      <c r="COR94" s="2151"/>
      <c r="COS94" s="2151"/>
      <c r="COT94" s="2151"/>
      <c r="COU94" s="2151"/>
      <c r="COV94" s="2151"/>
      <c r="COW94" s="2151"/>
      <c r="COX94" s="2151"/>
      <c r="COY94" s="2151"/>
      <c r="COZ94" s="2151"/>
      <c r="CPA94" s="2151"/>
      <c r="CPB94" s="2150"/>
      <c r="CPC94" s="2151"/>
      <c r="CPD94" s="2151"/>
      <c r="CPE94" s="2151"/>
      <c r="CPF94" s="2151"/>
      <c r="CPG94" s="2151"/>
      <c r="CPH94" s="2151"/>
      <c r="CPI94" s="2151"/>
      <c r="CPJ94" s="2151"/>
      <c r="CPK94" s="2151"/>
      <c r="CPL94" s="2151"/>
      <c r="CPM94" s="2151"/>
      <c r="CPN94" s="2151"/>
      <c r="CPO94" s="2151"/>
      <c r="CPP94" s="2151"/>
      <c r="CPQ94" s="2151"/>
      <c r="CPR94" s="2150"/>
      <c r="CPS94" s="2151"/>
      <c r="CPT94" s="2151"/>
      <c r="CPU94" s="2151"/>
      <c r="CPV94" s="2151"/>
      <c r="CPW94" s="2151"/>
      <c r="CPX94" s="2151"/>
      <c r="CPY94" s="2151"/>
      <c r="CPZ94" s="2151"/>
      <c r="CQA94" s="2151"/>
      <c r="CQB94" s="2151"/>
      <c r="CQC94" s="2151"/>
      <c r="CQD94" s="2151"/>
      <c r="CQE94" s="2151"/>
      <c r="CQF94" s="2151"/>
      <c r="CQG94" s="2151"/>
      <c r="CQH94" s="2150"/>
      <c r="CQI94" s="2151"/>
      <c r="CQJ94" s="2151"/>
      <c r="CQK94" s="2151"/>
      <c r="CQL94" s="2151"/>
      <c r="CQM94" s="2151"/>
      <c r="CQN94" s="2151"/>
      <c r="CQO94" s="2151"/>
      <c r="CQP94" s="2151"/>
      <c r="CQQ94" s="2151"/>
      <c r="CQR94" s="2151"/>
      <c r="CQS94" s="2151"/>
      <c r="CQT94" s="2151"/>
      <c r="CQU94" s="2151"/>
      <c r="CQV94" s="2151"/>
      <c r="CQW94" s="2151"/>
      <c r="CQX94" s="2150"/>
      <c r="CQY94" s="2151"/>
      <c r="CQZ94" s="2151"/>
      <c r="CRA94" s="2151"/>
      <c r="CRB94" s="2151"/>
      <c r="CRC94" s="2151"/>
      <c r="CRD94" s="2151"/>
      <c r="CRE94" s="2151"/>
      <c r="CRF94" s="2151"/>
      <c r="CRG94" s="2151"/>
      <c r="CRH94" s="2151"/>
      <c r="CRI94" s="2151"/>
      <c r="CRJ94" s="2151"/>
      <c r="CRK94" s="2151"/>
      <c r="CRL94" s="2151"/>
      <c r="CRM94" s="2151"/>
      <c r="CRN94" s="2150"/>
      <c r="CRO94" s="2151"/>
      <c r="CRP94" s="2151"/>
      <c r="CRQ94" s="2151"/>
      <c r="CRR94" s="2151"/>
      <c r="CRS94" s="2151"/>
      <c r="CRT94" s="2151"/>
      <c r="CRU94" s="2151"/>
      <c r="CRV94" s="2151"/>
      <c r="CRW94" s="2151"/>
      <c r="CRX94" s="2151"/>
      <c r="CRY94" s="2151"/>
      <c r="CRZ94" s="2151"/>
      <c r="CSA94" s="2151"/>
      <c r="CSB94" s="2151"/>
      <c r="CSC94" s="2151"/>
      <c r="CSD94" s="2150"/>
      <c r="CSE94" s="2151"/>
      <c r="CSF94" s="2151"/>
      <c r="CSG94" s="2151"/>
      <c r="CSH94" s="2151"/>
      <c r="CSI94" s="2151"/>
      <c r="CSJ94" s="2151"/>
      <c r="CSK94" s="2151"/>
      <c r="CSL94" s="2151"/>
      <c r="CSM94" s="2151"/>
      <c r="CSN94" s="2151"/>
      <c r="CSO94" s="2151"/>
      <c r="CSP94" s="2151"/>
      <c r="CSQ94" s="2151"/>
      <c r="CSR94" s="2151"/>
      <c r="CSS94" s="2151"/>
      <c r="CST94" s="2150"/>
      <c r="CSU94" s="2151"/>
      <c r="CSV94" s="2151"/>
      <c r="CSW94" s="2151"/>
      <c r="CSX94" s="2151"/>
      <c r="CSY94" s="2151"/>
      <c r="CSZ94" s="2151"/>
      <c r="CTA94" s="2151"/>
      <c r="CTB94" s="2151"/>
      <c r="CTC94" s="2151"/>
      <c r="CTD94" s="2151"/>
      <c r="CTE94" s="2151"/>
      <c r="CTF94" s="2151"/>
      <c r="CTG94" s="2151"/>
      <c r="CTH94" s="2151"/>
      <c r="CTI94" s="2151"/>
      <c r="CTJ94" s="2150"/>
      <c r="CTK94" s="2151"/>
      <c r="CTL94" s="2151"/>
      <c r="CTM94" s="2151"/>
      <c r="CTN94" s="2151"/>
      <c r="CTO94" s="2151"/>
      <c r="CTP94" s="2151"/>
      <c r="CTQ94" s="2151"/>
      <c r="CTR94" s="2151"/>
      <c r="CTS94" s="2151"/>
      <c r="CTT94" s="2151"/>
      <c r="CTU94" s="2151"/>
      <c r="CTV94" s="2151"/>
      <c r="CTW94" s="2151"/>
      <c r="CTX94" s="2151"/>
      <c r="CTY94" s="2151"/>
      <c r="CTZ94" s="2150"/>
      <c r="CUA94" s="2151"/>
      <c r="CUB94" s="2151"/>
      <c r="CUC94" s="2151"/>
      <c r="CUD94" s="2151"/>
      <c r="CUE94" s="2151"/>
      <c r="CUF94" s="2151"/>
      <c r="CUG94" s="2151"/>
      <c r="CUH94" s="2151"/>
      <c r="CUI94" s="2151"/>
      <c r="CUJ94" s="2151"/>
      <c r="CUK94" s="2151"/>
      <c r="CUL94" s="2151"/>
      <c r="CUM94" s="2151"/>
      <c r="CUN94" s="2151"/>
      <c r="CUO94" s="2151"/>
      <c r="CUP94" s="2150"/>
      <c r="CUQ94" s="2151"/>
      <c r="CUR94" s="2151"/>
      <c r="CUS94" s="2151"/>
      <c r="CUT94" s="2151"/>
      <c r="CUU94" s="2151"/>
      <c r="CUV94" s="2151"/>
      <c r="CUW94" s="2151"/>
      <c r="CUX94" s="2151"/>
      <c r="CUY94" s="2151"/>
      <c r="CUZ94" s="2151"/>
      <c r="CVA94" s="2151"/>
      <c r="CVB94" s="2151"/>
      <c r="CVC94" s="2151"/>
      <c r="CVD94" s="2151"/>
      <c r="CVE94" s="2151"/>
      <c r="CVF94" s="2150"/>
      <c r="CVG94" s="2151"/>
      <c r="CVH94" s="2151"/>
      <c r="CVI94" s="2151"/>
      <c r="CVJ94" s="2151"/>
      <c r="CVK94" s="2151"/>
      <c r="CVL94" s="2151"/>
      <c r="CVM94" s="2151"/>
      <c r="CVN94" s="2151"/>
      <c r="CVO94" s="2151"/>
      <c r="CVP94" s="2151"/>
      <c r="CVQ94" s="2151"/>
      <c r="CVR94" s="2151"/>
      <c r="CVS94" s="2151"/>
      <c r="CVT94" s="2151"/>
      <c r="CVU94" s="2151"/>
      <c r="CVV94" s="2150"/>
      <c r="CVW94" s="2151"/>
      <c r="CVX94" s="2151"/>
      <c r="CVY94" s="2151"/>
      <c r="CVZ94" s="2151"/>
      <c r="CWA94" s="2151"/>
      <c r="CWB94" s="2151"/>
      <c r="CWC94" s="2151"/>
      <c r="CWD94" s="2151"/>
      <c r="CWE94" s="2151"/>
      <c r="CWF94" s="2151"/>
      <c r="CWG94" s="2151"/>
      <c r="CWH94" s="2151"/>
      <c r="CWI94" s="2151"/>
      <c r="CWJ94" s="2151"/>
      <c r="CWK94" s="2151"/>
      <c r="CWL94" s="2150"/>
      <c r="CWM94" s="2151"/>
      <c r="CWN94" s="2151"/>
      <c r="CWO94" s="2151"/>
      <c r="CWP94" s="2151"/>
      <c r="CWQ94" s="2151"/>
      <c r="CWR94" s="2151"/>
      <c r="CWS94" s="2151"/>
      <c r="CWT94" s="2151"/>
      <c r="CWU94" s="2151"/>
      <c r="CWV94" s="2151"/>
      <c r="CWW94" s="2151"/>
      <c r="CWX94" s="2151"/>
      <c r="CWY94" s="2151"/>
      <c r="CWZ94" s="2151"/>
      <c r="CXA94" s="2151"/>
      <c r="CXB94" s="2150"/>
      <c r="CXC94" s="2151"/>
      <c r="CXD94" s="2151"/>
      <c r="CXE94" s="2151"/>
      <c r="CXF94" s="2151"/>
      <c r="CXG94" s="2151"/>
      <c r="CXH94" s="2151"/>
      <c r="CXI94" s="2151"/>
      <c r="CXJ94" s="2151"/>
      <c r="CXK94" s="2151"/>
      <c r="CXL94" s="2151"/>
      <c r="CXM94" s="2151"/>
      <c r="CXN94" s="2151"/>
      <c r="CXO94" s="2151"/>
      <c r="CXP94" s="2151"/>
      <c r="CXQ94" s="2151"/>
      <c r="CXR94" s="2150"/>
      <c r="CXS94" s="2151"/>
      <c r="CXT94" s="2151"/>
      <c r="CXU94" s="2151"/>
      <c r="CXV94" s="2151"/>
      <c r="CXW94" s="2151"/>
      <c r="CXX94" s="2151"/>
      <c r="CXY94" s="2151"/>
      <c r="CXZ94" s="2151"/>
      <c r="CYA94" s="2151"/>
      <c r="CYB94" s="2151"/>
      <c r="CYC94" s="2151"/>
      <c r="CYD94" s="2151"/>
      <c r="CYE94" s="2151"/>
      <c r="CYF94" s="2151"/>
      <c r="CYG94" s="2151"/>
      <c r="CYH94" s="2150"/>
      <c r="CYI94" s="2151"/>
      <c r="CYJ94" s="2151"/>
      <c r="CYK94" s="2151"/>
      <c r="CYL94" s="2151"/>
      <c r="CYM94" s="2151"/>
      <c r="CYN94" s="2151"/>
      <c r="CYO94" s="2151"/>
      <c r="CYP94" s="2151"/>
      <c r="CYQ94" s="2151"/>
      <c r="CYR94" s="2151"/>
      <c r="CYS94" s="2151"/>
      <c r="CYT94" s="2151"/>
      <c r="CYU94" s="2151"/>
      <c r="CYV94" s="2151"/>
      <c r="CYW94" s="2151"/>
      <c r="CYX94" s="2150"/>
      <c r="CYY94" s="2151"/>
      <c r="CYZ94" s="2151"/>
      <c r="CZA94" s="2151"/>
      <c r="CZB94" s="2151"/>
      <c r="CZC94" s="2151"/>
      <c r="CZD94" s="2151"/>
      <c r="CZE94" s="2151"/>
      <c r="CZF94" s="2151"/>
      <c r="CZG94" s="2151"/>
      <c r="CZH94" s="2151"/>
      <c r="CZI94" s="2151"/>
      <c r="CZJ94" s="2151"/>
      <c r="CZK94" s="2151"/>
      <c r="CZL94" s="2151"/>
      <c r="CZM94" s="2151"/>
      <c r="CZN94" s="2150"/>
      <c r="CZO94" s="2151"/>
      <c r="CZP94" s="2151"/>
      <c r="CZQ94" s="2151"/>
      <c r="CZR94" s="2151"/>
      <c r="CZS94" s="2151"/>
      <c r="CZT94" s="2151"/>
      <c r="CZU94" s="2151"/>
      <c r="CZV94" s="2151"/>
      <c r="CZW94" s="2151"/>
      <c r="CZX94" s="2151"/>
      <c r="CZY94" s="2151"/>
      <c r="CZZ94" s="2151"/>
      <c r="DAA94" s="2151"/>
      <c r="DAB94" s="2151"/>
      <c r="DAC94" s="2151"/>
      <c r="DAD94" s="2150"/>
      <c r="DAE94" s="2151"/>
      <c r="DAF94" s="2151"/>
      <c r="DAG94" s="2151"/>
      <c r="DAH94" s="2151"/>
      <c r="DAI94" s="2151"/>
      <c r="DAJ94" s="2151"/>
      <c r="DAK94" s="2151"/>
      <c r="DAL94" s="2151"/>
      <c r="DAM94" s="2151"/>
      <c r="DAN94" s="2151"/>
      <c r="DAO94" s="2151"/>
      <c r="DAP94" s="2151"/>
      <c r="DAQ94" s="2151"/>
      <c r="DAR94" s="2151"/>
      <c r="DAS94" s="2151"/>
      <c r="DAT94" s="2150"/>
      <c r="DAU94" s="2151"/>
      <c r="DAV94" s="2151"/>
      <c r="DAW94" s="2151"/>
      <c r="DAX94" s="2151"/>
      <c r="DAY94" s="2151"/>
      <c r="DAZ94" s="2151"/>
      <c r="DBA94" s="2151"/>
      <c r="DBB94" s="2151"/>
      <c r="DBC94" s="2151"/>
      <c r="DBD94" s="2151"/>
      <c r="DBE94" s="2151"/>
      <c r="DBF94" s="2151"/>
      <c r="DBG94" s="2151"/>
      <c r="DBH94" s="2151"/>
      <c r="DBI94" s="2151"/>
      <c r="DBJ94" s="2150"/>
      <c r="DBK94" s="2151"/>
      <c r="DBL94" s="2151"/>
      <c r="DBM94" s="2151"/>
      <c r="DBN94" s="2151"/>
      <c r="DBO94" s="2151"/>
      <c r="DBP94" s="2151"/>
      <c r="DBQ94" s="2151"/>
      <c r="DBR94" s="2151"/>
      <c r="DBS94" s="2151"/>
      <c r="DBT94" s="2151"/>
      <c r="DBU94" s="2151"/>
      <c r="DBV94" s="2151"/>
      <c r="DBW94" s="2151"/>
      <c r="DBX94" s="2151"/>
      <c r="DBY94" s="2151"/>
      <c r="DBZ94" s="2150"/>
      <c r="DCA94" s="2151"/>
      <c r="DCB94" s="2151"/>
      <c r="DCC94" s="2151"/>
      <c r="DCD94" s="2151"/>
      <c r="DCE94" s="2151"/>
      <c r="DCF94" s="2151"/>
      <c r="DCG94" s="2151"/>
      <c r="DCH94" s="2151"/>
      <c r="DCI94" s="2151"/>
      <c r="DCJ94" s="2151"/>
      <c r="DCK94" s="2151"/>
      <c r="DCL94" s="2151"/>
      <c r="DCM94" s="2151"/>
      <c r="DCN94" s="2151"/>
      <c r="DCO94" s="2151"/>
      <c r="DCP94" s="2150"/>
      <c r="DCQ94" s="2151"/>
      <c r="DCR94" s="2151"/>
      <c r="DCS94" s="2151"/>
      <c r="DCT94" s="2151"/>
      <c r="DCU94" s="2151"/>
      <c r="DCV94" s="2151"/>
      <c r="DCW94" s="2151"/>
      <c r="DCX94" s="2151"/>
      <c r="DCY94" s="2151"/>
      <c r="DCZ94" s="2151"/>
      <c r="DDA94" s="2151"/>
      <c r="DDB94" s="2151"/>
      <c r="DDC94" s="2151"/>
      <c r="DDD94" s="2151"/>
      <c r="DDE94" s="2151"/>
      <c r="DDF94" s="2150"/>
      <c r="DDG94" s="2151"/>
      <c r="DDH94" s="2151"/>
      <c r="DDI94" s="2151"/>
      <c r="DDJ94" s="2151"/>
      <c r="DDK94" s="2151"/>
      <c r="DDL94" s="2151"/>
      <c r="DDM94" s="2151"/>
      <c r="DDN94" s="2151"/>
      <c r="DDO94" s="2151"/>
      <c r="DDP94" s="2151"/>
      <c r="DDQ94" s="2151"/>
      <c r="DDR94" s="2151"/>
      <c r="DDS94" s="2151"/>
      <c r="DDT94" s="2151"/>
      <c r="DDU94" s="2151"/>
      <c r="DDV94" s="2150"/>
      <c r="DDW94" s="2151"/>
      <c r="DDX94" s="2151"/>
      <c r="DDY94" s="2151"/>
      <c r="DDZ94" s="2151"/>
      <c r="DEA94" s="2151"/>
      <c r="DEB94" s="2151"/>
      <c r="DEC94" s="2151"/>
      <c r="DED94" s="2151"/>
      <c r="DEE94" s="2151"/>
      <c r="DEF94" s="2151"/>
      <c r="DEG94" s="2151"/>
      <c r="DEH94" s="2151"/>
      <c r="DEI94" s="2151"/>
      <c r="DEJ94" s="2151"/>
      <c r="DEK94" s="2151"/>
      <c r="DEL94" s="2150"/>
      <c r="DEM94" s="2151"/>
      <c r="DEN94" s="2151"/>
      <c r="DEO94" s="2151"/>
      <c r="DEP94" s="2151"/>
      <c r="DEQ94" s="2151"/>
      <c r="DER94" s="2151"/>
      <c r="DES94" s="2151"/>
      <c r="DET94" s="2151"/>
      <c r="DEU94" s="2151"/>
      <c r="DEV94" s="2151"/>
      <c r="DEW94" s="2151"/>
      <c r="DEX94" s="2151"/>
      <c r="DEY94" s="2151"/>
      <c r="DEZ94" s="2151"/>
      <c r="DFA94" s="2151"/>
      <c r="DFB94" s="2150"/>
      <c r="DFC94" s="2151"/>
      <c r="DFD94" s="2151"/>
      <c r="DFE94" s="2151"/>
      <c r="DFF94" s="2151"/>
      <c r="DFG94" s="2151"/>
      <c r="DFH94" s="2151"/>
      <c r="DFI94" s="2151"/>
      <c r="DFJ94" s="2151"/>
      <c r="DFK94" s="2151"/>
      <c r="DFL94" s="2151"/>
      <c r="DFM94" s="2151"/>
      <c r="DFN94" s="2151"/>
      <c r="DFO94" s="2151"/>
      <c r="DFP94" s="2151"/>
      <c r="DFQ94" s="2151"/>
      <c r="DFR94" s="2150"/>
      <c r="DFS94" s="2151"/>
      <c r="DFT94" s="2151"/>
      <c r="DFU94" s="2151"/>
      <c r="DFV94" s="2151"/>
      <c r="DFW94" s="2151"/>
      <c r="DFX94" s="2151"/>
      <c r="DFY94" s="2151"/>
      <c r="DFZ94" s="2151"/>
      <c r="DGA94" s="2151"/>
      <c r="DGB94" s="2151"/>
      <c r="DGC94" s="2151"/>
      <c r="DGD94" s="2151"/>
      <c r="DGE94" s="2151"/>
      <c r="DGF94" s="2151"/>
      <c r="DGG94" s="2151"/>
      <c r="DGH94" s="2150"/>
      <c r="DGI94" s="2151"/>
      <c r="DGJ94" s="2151"/>
      <c r="DGK94" s="2151"/>
      <c r="DGL94" s="2151"/>
      <c r="DGM94" s="2151"/>
      <c r="DGN94" s="2151"/>
      <c r="DGO94" s="2151"/>
      <c r="DGP94" s="2151"/>
      <c r="DGQ94" s="2151"/>
      <c r="DGR94" s="2151"/>
      <c r="DGS94" s="2151"/>
      <c r="DGT94" s="2151"/>
      <c r="DGU94" s="2151"/>
      <c r="DGV94" s="2151"/>
      <c r="DGW94" s="2151"/>
      <c r="DGX94" s="2150"/>
      <c r="DGY94" s="2151"/>
      <c r="DGZ94" s="2151"/>
      <c r="DHA94" s="2151"/>
      <c r="DHB94" s="2151"/>
      <c r="DHC94" s="2151"/>
      <c r="DHD94" s="2151"/>
      <c r="DHE94" s="2151"/>
      <c r="DHF94" s="2151"/>
      <c r="DHG94" s="2151"/>
      <c r="DHH94" s="2151"/>
      <c r="DHI94" s="2151"/>
      <c r="DHJ94" s="2151"/>
      <c r="DHK94" s="2151"/>
      <c r="DHL94" s="2151"/>
      <c r="DHM94" s="2151"/>
      <c r="DHN94" s="2150"/>
      <c r="DHO94" s="2151"/>
      <c r="DHP94" s="2151"/>
      <c r="DHQ94" s="2151"/>
      <c r="DHR94" s="2151"/>
      <c r="DHS94" s="2151"/>
      <c r="DHT94" s="2151"/>
      <c r="DHU94" s="2151"/>
      <c r="DHV94" s="2151"/>
      <c r="DHW94" s="2151"/>
      <c r="DHX94" s="2151"/>
      <c r="DHY94" s="2151"/>
      <c r="DHZ94" s="2151"/>
      <c r="DIA94" s="2151"/>
      <c r="DIB94" s="2151"/>
      <c r="DIC94" s="2151"/>
      <c r="DID94" s="2150"/>
      <c r="DIE94" s="2151"/>
      <c r="DIF94" s="2151"/>
      <c r="DIG94" s="2151"/>
      <c r="DIH94" s="2151"/>
      <c r="DII94" s="2151"/>
      <c r="DIJ94" s="2151"/>
      <c r="DIK94" s="2151"/>
      <c r="DIL94" s="2151"/>
      <c r="DIM94" s="2151"/>
      <c r="DIN94" s="2151"/>
      <c r="DIO94" s="2151"/>
      <c r="DIP94" s="2151"/>
      <c r="DIQ94" s="2151"/>
      <c r="DIR94" s="2151"/>
      <c r="DIS94" s="2151"/>
      <c r="DIT94" s="2150"/>
      <c r="DIU94" s="2151"/>
      <c r="DIV94" s="2151"/>
      <c r="DIW94" s="2151"/>
      <c r="DIX94" s="2151"/>
      <c r="DIY94" s="2151"/>
      <c r="DIZ94" s="2151"/>
      <c r="DJA94" s="2151"/>
      <c r="DJB94" s="2151"/>
      <c r="DJC94" s="2151"/>
      <c r="DJD94" s="2151"/>
      <c r="DJE94" s="2151"/>
      <c r="DJF94" s="2151"/>
      <c r="DJG94" s="2151"/>
      <c r="DJH94" s="2151"/>
      <c r="DJI94" s="2151"/>
      <c r="DJJ94" s="2150"/>
      <c r="DJK94" s="2151"/>
      <c r="DJL94" s="2151"/>
      <c r="DJM94" s="2151"/>
      <c r="DJN94" s="2151"/>
      <c r="DJO94" s="2151"/>
      <c r="DJP94" s="2151"/>
      <c r="DJQ94" s="2151"/>
      <c r="DJR94" s="2151"/>
      <c r="DJS94" s="2151"/>
      <c r="DJT94" s="2151"/>
      <c r="DJU94" s="2151"/>
      <c r="DJV94" s="2151"/>
      <c r="DJW94" s="2151"/>
      <c r="DJX94" s="2151"/>
      <c r="DJY94" s="2151"/>
      <c r="DJZ94" s="2150"/>
      <c r="DKA94" s="2151"/>
      <c r="DKB94" s="2151"/>
      <c r="DKC94" s="2151"/>
      <c r="DKD94" s="2151"/>
      <c r="DKE94" s="2151"/>
      <c r="DKF94" s="2151"/>
      <c r="DKG94" s="2151"/>
      <c r="DKH94" s="2151"/>
      <c r="DKI94" s="2151"/>
      <c r="DKJ94" s="2151"/>
      <c r="DKK94" s="2151"/>
      <c r="DKL94" s="2151"/>
      <c r="DKM94" s="2151"/>
      <c r="DKN94" s="2151"/>
      <c r="DKO94" s="2151"/>
      <c r="DKP94" s="2150"/>
      <c r="DKQ94" s="2151"/>
      <c r="DKR94" s="2151"/>
      <c r="DKS94" s="2151"/>
      <c r="DKT94" s="2151"/>
      <c r="DKU94" s="2151"/>
      <c r="DKV94" s="2151"/>
      <c r="DKW94" s="2151"/>
      <c r="DKX94" s="2151"/>
      <c r="DKY94" s="2151"/>
      <c r="DKZ94" s="2151"/>
      <c r="DLA94" s="2151"/>
      <c r="DLB94" s="2151"/>
      <c r="DLC94" s="2151"/>
      <c r="DLD94" s="2151"/>
      <c r="DLE94" s="2151"/>
      <c r="DLF94" s="2150"/>
      <c r="DLG94" s="2151"/>
      <c r="DLH94" s="2151"/>
      <c r="DLI94" s="2151"/>
      <c r="DLJ94" s="2151"/>
      <c r="DLK94" s="2151"/>
      <c r="DLL94" s="2151"/>
      <c r="DLM94" s="2151"/>
      <c r="DLN94" s="2151"/>
      <c r="DLO94" s="2151"/>
      <c r="DLP94" s="2151"/>
      <c r="DLQ94" s="2151"/>
      <c r="DLR94" s="2151"/>
      <c r="DLS94" s="2151"/>
      <c r="DLT94" s="2151"/>
      <c r="DLU94" s="2151"/>
      <c r="DLV94" s="2150"/>
      <c r="DLW94" s="2151"/>
      <c r="DLX94" s="2151"/>
      <c r="DLY94" s="2151"/>
      <c r="DLZ94" s="2151"/>
      <c r="DMA94" s="2151"/>
      <c r="DMB94" s="2151"/>
      <c r="DMC94" s="2151"/>
      <c r="DMD94" s="2151"/>
      <c r="DME94" s="2151"/>
      <c r="DMF94" s="2151"/>
      <c r="DMG94" s="2151"/>
      <c r="DMH94" s="2151"/>
      <c r="DMI94" s="2151"/>
      <c r="DMJ94" s="2151"/>
      <c r="DMK94" s="2151"/>
      <c r="DML94" s="2150"/>
      <c r="DMM94" s="2151"/>
      <c r="DMN94" s="2151"/>
      <c r="DMO94" s="2151"/>
      <c r="DMP94" s="2151"/>
      <c r="DMQ94" s="2151"/>
      <c r="DMR94" s="2151"/>
      <c r="DMS94" s="2151"/>
      <c r="DMT94" s="2151"/>
      <c r="DMU94" s="2151"/>
      <c r="DMV94" s="2151"/>
      <c r="DMW94" s="2151"/>
      <c r="DMX94" s="2151"/>
      <c r="DMY94" s="2151"/>
      <c r="DMZ94" s="2151"/>
      <c r="DNA94" s="2151"/>
      <c r="DNB94" s="2150"/>
      <c r="DNC94" s="2151"/>
      <c r="DND94" s="2151"/>
      <c r="DNE94" s="2151"/>
      <c r="DNF94" s="2151"/>
      <c r="DNG94" s="2151"/>
      <c r="DNH94" s="2151"/>
      <c r="DNI94" s="2151"/>
      <c r="DNJ94" s="2151"/>
      <c r="DNK94" s="2151"/>
      <c r="DNL94" s="2151"/>
      <c r="DNM94" s="2151"/>
      <c r="DNN94" s="2151"/>
      <c r="DNO94" s="2151"/>
      <c r="DNP94" s="2151"/>
      <c r="DNQ94" s="2151"/>
      <c r="DNR94" s="2150"/>
      <c r="DNS94" s="2151"/>
      <c r="DNT94" s="2151"/>
      <c r="DNU94" s="2151"/>
      <c r="DNV94" s="2151"/>
      <c r="DNW94" s="2151"/>
      <c r="DNX94" s="2151"/>
      <c r="DNY94" s="2151"/>
      <c r="DNZ94" s="2151"/>
      <c r="DOA94" s="2151"/>
      <c r="DOB94" s="2151"/>
      <c r="DOC94" s="2151"/>
      <c r="DOD94" s="2151"/>
      <c r="DOE94" s="2151"/>
      <c r="DOF94" s="2151"/>
      <c r="DOG94" s="2151"/>
      <c r="DOH94" s="2150"/>
      <c r="DOI94" s="2151"/>
      <c r="DOJ94" s="2151"/>
      <c r="DOK94" s="2151"/>
      <c r="DOL94" s="2151"/>
      <c r="DOM94" s="2151"/>
      <c r="DON94" s="2151"/>
      <c r="DOO94" s="2151"/>
      <c r="DOP94" s="2151"/>
      <c r="DOQ94" s="2151"/>
      <c r="DOR94" s="2151"/>
      <c r="DOS94" s="2151"/>
      <c r="DOT94" s="2151"/>
      <c r="DOU94" s="2151"/>
      <c r="DOV94" s="2151"/>
      <c r="DOW94" s="2151"/>
      <c r="DOX94" s="2150"/>
      <c r="DOY94" s="2151"/>
      <c r="DOZ94" s="2151"/>
      <c r="DPA94" s="2151"/>
      <c r="DPB94" s="2151"/>
      <c r="DPC94" s="2151"/>
      <c r="DPD94" s="2151"/>
      <c r="DPE94" s="2151"/>
      <c r="DPF94" s="2151"/>
      <c r="DPG94" s="2151"/>
      <c r="DPH94" s="2151"/>
      <c r="DPI94" s="2151"/>
      <c r="DPJ94" s="2151"/>
      <c r="DPK94" s="2151"/>
      <c r="DPL94" s="2151"/>
      <c r="DPM94" s="2151"/>
      <c r="DPN94" s="2150"/>
      <c r="DPO94" s="2151"/>
      <c r="DPP94" s="2151"/>
      <c r="DPQ94" s="2151"/>
      <c r="DPR94" s="2151"/>
      <c r="DPS94" s="2151"/>
      <c r="DPT94" s="2151"/>
      <c r="DPU94" s="2151"/>
      <c r="DPV94" s="2151"/>
      <c r="DPW94" s="2151"/>
      <c r="DPX94" s="2151"/>
      <c r="DPY94" s="2151"/>
      <c r="DPZ94" s="2151"/>
      <c r="DQA94" s="2151"/>
      <c r="DQB94" s="2151"/>
      <c r="DQC94" s="2151"/>
      <c r="DQD94" s="2150"/>
      <c r="DQE94" s="2151"/>
      <c r="DQF94" s="2151"/>
      <c r="DQG94" s="2151"/>
      <c r="DQH94" s="2151"/>
      <c r="DQI94" s="2151"/>
      <c r="DQJ94" s="2151"/>
      <c r="DQK94" s="2151"/>
      <c r="DQL94" s="2151"/>
      <c r="DQM94" s="2151"/>
      <c r="DQN94" s="2151"/>
      <c r="DQO94" s="2151"/>
      <c r="DQP94" s="2151"/>
      <c r="DQQ94" s="2151"/>
      <c r="DQR94" s="2151"/>
      <c r="DQS94" s="2151"/>
      <c r="DQT94" s="2150"/>
      <c r="DQU94" s="2151"/>
      <c r="DQV94" s="2151"/>
      <c r="DQW94" s="2151"/>
      <c r="DQX94" s="2151"/>
      <c r="DQY94" s="2151"/>
      <c r="DQZ94" s="2151"/>
      <c r="DRA94" s="2151"/>
      <c r="DRB94" s="2151"/>
      <c r="DRC94" s="2151"/>
      <c r="DRD94" s="2151"/>
      <c r="DRE94" s="2151"/>
      <c r="DRF94" s="2151"/>
      <c r="DRG94" s="2151"/>
      <c r="DRH94" s="2151"/>
      <c r="DRI94" s="2151"/>
      <c r="DRJ94" s="2150"/>
      <c r="DRK94" s="2151"/>
      <c r="DRL94" s="2151"/>
      <c r="DRM94" s="2151"/>
      <c r="DRN94" s="2151"/>
      <c r="DRO94" s="2151"/>
      <c r="DRP94" s="2151"/>
      <c r="DRQ94" s="2151"/>
      <c r="DRR94" s="2151"/>
      <c r="DRS94" s="2151"/>
      <c r="DRT94" s="2151"/>
      <c r="DRU94" s="2151"/>
      <c r="DRV94" s="2151"/>
      <c r="DRW94" s="2151"/>
      <c r="DRX94" s="2151"/>
      <c r="DRY94" s="2151"/>
      <c r="DRZ94" s="2150"/>
      <c r="DSA94" s="2151"/>
      <c r="DSB94" s="2151"/>
      <c r="DSC94" s="2151"/>
      <c r="DSD94" s="2151"/>
      <c r="DSE94" s="2151"/>
      <c r="DSF94" s="2151"/>
      <c r="DSG94" s="2151"/>
      <c r="DSH94" s="2151"/>
      <c r="DSI94" s="2151"/>
      <c r="DSJ94" s="2151"/>
      <c r="DSK94" s="2151"/>
      <c r="DSL94" s="2151"/>
      <c r="DSM94" s="2151"/>
      <c r="DSN94" s="2151"/>
      <c r="DSO94" s="2151"/>
      <c r="DSP94" s="2150"/>
      <c r="DSQ94" s="2151"/>
      <c r="DSR94" s="2151"/>
      <c r="DSS94" s="2151"/>
      <c r="DST94" s="2151"/>
      <c r="DSU94" s="2151"/>
      <c r="DSV94" s="2151"/>
      <c r="DSW94" s="2151"/>
      <c r="DSX94" s="2151"/>
      <c r="DSY94" s="2151"/>
      <c r="DSZ94" s="2151"/>
      <c r="DTA94" s="2151"/>
      <c r="DTB94" s="2151"/>
      <c r="DTC94" s="2151"/>
      <c r="DTD94" s="2151"/>
      <c r="DTE94" s="2151"/>
      <c r="DTF94" s="2150"/>
      <c r="DTG94" s="2151"/>
      <c r="DTH94" s="2151"/>
      <c r="DTI94" s="2151"/>
      <c r="DTJ94" s="2151"/>
      <c r="DTK94" s="2151"/>
      <c r="DTL94" s="2151"/>
      <c r="DTM94" s="2151"/>
      <c r="DTN94" s="2151"/>
      <c r="DTO94" s="2151"/>
      <c r="DTP94" s="2151"/>
      <c r="DTQ94" s="2151"/>
      <c r="DTR94" s="2151"/>
      <c r="DTS94" s="2151"/>
      <c r="DTT94" s="2151"/>
      <c r="DTU94" s="2151"/>
      <c r="DTV94" s="2150"/>
      <c r="DTW94" s="2151"/>
      <c r="DTX94" s="2151"/>
      <c r="DTY94" s="2151"/>
      <c r="DTZ94" s="2151"/>
      <c r="DUA94" s="2151"/>
      <c r="DUB94" s="2151"/>
      <c r="DUC94" s="2151"/>
      <c r="DUD94" s="2151"/>
      <c r="DUE94" s="2151"/>
      <c r="DUF94" s="2151"/>
      <c r="DUG94" s="2151"/>
      <c r="DUH94" s="2151"/>
      <c r="DUI94" s="2151"/>
      <c r="DUJ94" s="2151"/>
      <c r="DUK94" s="2151"/>
      <c r="DUL94" s="2150"/>
      <c r="DUM94" s="2151"/>
      <c r="DUN94" s="2151"/>
      <c r="DUO94" s="2151"/>
      <c r="DUP94" s="2151"/>
      <c r="DUQ94" s="2151"/>
      <c r="DUR94" s="2151"/>
      <c r="DUS94" s="2151"/>
      <c r="DUT94" s="2151"/>
      <c r="DUU94" s="2151"/>
      <c r="DUV94" s="2151"/>
      <c r="DUW94" s="2151"/>
      <c r="DUX94" s="2151"/>
      <c r="DUY94" s="2151"/>
      <c r="DUZ94" s="2151"/>
      <c r="DVA94" s="2151"/>
      <c r="DVB94" s="2150"/>
      <c r="DVC94" s="2151"/>
      <c r="DVD94" s="2151"/>
      <c r="DVE94" s="2151"/>
      <c r="DVF94" s="2151"/>
      <c r="DVG94" s="2151"/>
      <c r="DVH94" s="2151"/>
      <c r="DVI94" s="2151"/>
      <c r="DVJ94" s="2151"/>
      <c r="DVK94" s="2151"/>
      <c r="DVL94" s="2151"/>
      <c r="DVM94" s="2151"/>
      <c r="DVN94" s="2151"/>
      <c r="DVO94" s="2151"/>
      <c r="DVP94" s="2151"/>
      <c r="DVQ94" s="2151"/>
      <c r="DVR94" s="2150"/>
      <c r="DVS94" s="2151"/>
      <c r="DVT94" s="2151"/>
      <c r="DVU94" s="2151"/>
      <c r="DVV94" s="2151"/>
      <c r="DVW94" s="2151"/>
      <c r="DVX94" s="2151"/>
      <c r="DVY94" s="2151"/>
      <c r="DVZ94" s="2151"/>
      <c r="DWA94" s="2151"/>
      <c r="DWB94" s="2151"/>
      <c r="DWC94" s="2151"/>
      <c r="DWD94" s="2151"/>
      <c r="DWE94" s="2151"/>
      <c r="DWF94" s="2151"/>
      <c r="DWG94" s="2151"/>
      <c r="DWH94" s="2150"/>
      <c r="DWI94" s="2151"/>
      <c r="DWJ94" s="2151"/>
      <c r="DWK94" s="2151"/>
      <c r="DWL94" s="2151"/>
      <c r="DWM94" s="2151"/>
      <c r="DWN94" s="2151"/>
      <c r="DWO94" s="2151"/>
      <c r="DWP94" s="2151"/>
      <c r="DWQ94" s="2151"/>
      <c r="DWR94" s="2151"/>
      <c r="DWS94" s="2151"/>
      <c r="DWT94" s="2151"/>
      <c r="DWU94" s="2151"/>
      <c r="DWV94" s="2151"/>
      <c r="DWW94" s="2151"/>
      <c r="DWX94" s="2150"/>
      <c r="DWY94" s="2151"/>
      <c r="DWZ94" s="2151"/>
      <c r="DXA94" s="2151"/>
      <c r="DXB94" s="2151"/>
      <c r="DXC94" s="2151"/>
      <c r="DXD94" s="2151"/>
      <c r="DXE94" s="2151"/>
      <c r="DXF94" s="2151"/>
      <c r="DXG94" s="2151"/>
      <c r="DXH94" s="2151"/>
      <c r="DXI94" s="2151"/>
      <c r="DXJ94" s="2151"/>
      <c r="DXK94" s="2151"/>
      <c r="DXL94" s="2151"/>
      <c r="DXM94" s="2151"/>
      <c r="DXN94" s="2150"/>
      <c r="DXO94" s="2151"/>
      <c r="DXP94" s="2151"/>
      <c r="DXQ94" s="2151"/>
      <c r="DXR94" s="2151"/>
      <c r="DXS94" s="2151"/>
      <c r="DXT94" s="2151"/>
      <c r="DXU94" s="2151"/>
      <c r="DXV94" s="2151"/>
      <c r="DXW94" s="2151"/>
      <c r="DXX94" s="2151"/>
      <c r="DXY94" s="2151"/>
      <c r="DXZ94" s="2151"/>
      <c r="DYA94" s="2151"/>
      <c r="DYB94" s="2151"/>
      <c r="DYC94" s="2151"/>
      <c r="DYD94" s="2150"/>
      <c r="DYE94" s="2151"/>
      <c r="DYF94" s="2151"/>
      <c r="DYG94" s="2151"/>
      <c r="DYH94" s="2151"/>
      <c r="DYI94" s="2151"/>
      <c r="DYJ94" s="2151"/>
      <c r="DYK94" s="2151"/>
      <c r="DYL94" s="2151"/>
      <c r="DYM94" s="2151"/>
      <c r="DYN94" s="2151"/>
      <c r="DYO94" s="2151"/>
      <c r="DYP94" s="2151"/>
      <c r="DYQ94" s="2151"/>
      <c r="DYR94" s="2151"/>
      <c r="DYS94" s="2151"/>
      <c r="DYT94" s="2150"/>
      <c r="DYU94" s="2151"/>
      <c r="DYV94" s="2151"/>
      <c r="DYW94" s="2151"/>
      <c r="DYX94" s="2151"/>
      <c r="DYY94" s="2151"/>
      <c r="DYZ94" s="2151"/>
      <c r="DZA94" s="2151"/>
      <c r="DZB94" s="2151"/>
      <c r="DZC94" s="2151"/>
      <c r="DZD94" s="2151"/>
      <c r="DZE94" s="2151"/>
      <c r="DZF94" s="2151"/>
      <c r="DZG94" s="2151"/>
      <c r="DZH94" s="2151"/>
      <c r="DZI94" s="2151"/>
      <c r="DZJ94" s="2150"/>
      <c r="DZK94" s="2151"/>
      <c r="DZL94" s="2151"/>
      <c r="DZM94" s="2151"/>
      <c r="DZN94" s="2151"/>
      <c r="DZO94" s="2151"/>
      <c r="DZP94" s="2151"/>
      <c r="DZQ94" s="2151"/>
      <c r="DZR94" s="2151"/>
      <c r="DZS94" s="2151"/>
      <c r="DZT94" s="2151"/>
      <c r="DZU94" s="2151"/>
      <c r="DZV94" s="2151"/>
      <c r="DZW94" s="2151"/>
      <c r="DZX94" s="2151"/>
      <c r="DZY94" s="2151"/>
      <c r="DZZ94" s="2150"/>
      <c r="EAA94" s="2151"/>
      <c r="EAB94" s="2151"/>
      <c r="EAC94" s="2151"/>
      <c r="EAD94" s="2151"/>
      <c r="EAE94" s="2151"/>
      <c r="EAF94" s="2151"/>
      <c r="EAG94" s="2151"/>
      <c r="EAH94" s="2151"/>
      <c r="EAI94" s="2151"/>
      <c r="EAJ94" s="2151"/>
      <c r="EAK94" s="2151"/>
      <c r="EAL94" s="2151"/>
      <c r="EAM94" s="2151"/>
      <c r="EAN94" s="2151"/>
      <c r="EAO94" s="2151"/>
      <c r="EAP94" s="2150"/>
      <c r="EAQ94" s="2151"/>
      <c r="EAR94" s="2151"/>
      <c r="EAS94" s="2151"/>
      <c r="EAT94" s="2151"/>
      <c r="EAU94" s="2151"/>
      <c r="EAV94" s="2151"/>
      <c r="EAW94" s="2151"/>
      <c r="EAX94" s="2151"/>
      <c r="EAY94" s="2151"/>
      <c r="EAZ94" s="2151"/>
      <c r="EBA94" s="2151"/>
      <c r="EBB94" s="2151"/>
      <c r="EBC94" s="2151"/>
      <c r="EBD94" s="2151"/>
      <c r="EBE94" s="2151"/>
      <c r="EBF94" s="2150"/>
      <c r="EBG94" s="2151"/>
      <c r="EBH94" s="2151"/>
      <c r="EBI94" s="2151"/>
      <c r="EBJ94" s="2151"/>
      <c r="EBK94" s="2151"/>
      <c r="EBL94" s="2151"/>
      <c r="EBM94" s="2151"/>
      <c r="EBN94" s="2151"/>
      <c r="EBO94" s="2151"/>
      <c r="EBP94" s="2151"/>
      <c r="EBQ94" s="2151"/>
      <c r="EBR94" s="2151"/>
      <c r="EBS94" s="2151"/>
      <c r="EBT94" s="2151"/>
      <c r="EBU94" s="2151"/>
      <c r="EBV94" s="2150"/>
      <c r="EBW94" s="2151"/>
      <c r="EBX94" s="2151"/>
      <c r="EBY94" s="2151"/>
      <c r="EBZ94" s="2151"/>
      <c r="ECA94" s="2151"/>
      <c r="ECB94" s="2151"/>
      <c r="ECC94" s="2151"/>
      <c r="ECD94" s="2151"/>
      <c r="ECE94" s="2151"/>
      <c r="ECF94" s="2151"/>
      <c r="ECG94" s="2151"/>
      <c r="ECH94" s="2151"/>
      <c r="ECI94" s="2151"/>
      <c r="ECJ94" s="2151"/>
      <c r="ECK94" s="2151"/>
      <c r="ECL94" s="2150"/>
      <c r="ECM94" s="2151"/>
      <c r="ECN94" s="2151"/>
      <c r="ECO94" s="2151"/>
      <c r="ECP94" s="2151"/>
      <c r="ECQ94" s="2151"/>
      <c r="ECR94" s="2151"/>
      <c r="ECS94" s="2151"/>
      <c r="ECT94" s="2151"/>
      <c r="ECU94" s="2151"/>
      <c r="ECV94" s="2151"/>
      <c r="ECW94" s="2151"/>
      <c r="ECX94" s="2151"/>
      <c r="ECY94" s="2151"/>
      <c r="ECZ94" s="2151"/>
      <c r="EDA94" s="2151"/>
      <c r="EDB94" s="2150"/>
      <c r="EDC94" s="2151"/>
      <c r="EDD94" s="2151"/>
      <c r="EDE94" s="2151"/>
      <c r="EDF94" s="2151"/>
      <c r="EDG94" s="2151"/>
      <c r="EDH94" s="2151"/>
      <c r="EDI94" s="2151"/>
      <c r="EDJ94" s="2151"/>
      <c r="EDK94" s="2151"/>
      <c r="EDL94" s="2151"/>
      <c r="EDM94" s="2151"/>
      <c r="EDN94" s="2151"/>
      <c r="EDO94" s="2151"/>
      <c r="EDP94" s="2151"/>
      <c r="EDQ94" s="2151"/>
      <c r="EDR94" s="2150"/>
      <c r="EDS94" s="2151"/>
      <c r="EDT94" s="2151"/>
      <c r="EDU94" s="2151"/>
      <c r="EDV94" s="2151"/>
      <c r="EDW94" s="2151"/>
      <c r="EDX94" s="2151"/>
      <c r="EDY94" s="2151"/>
      <c r="EDZ94" s="2151"/>
      <c r="EEA94" s="2151"/>
      <c r="EEB94" s="2151"/>
      <c r="EEC94" s="2151"/>
      <c r="EED94" s="2151"/>
      <c r="EEE94" s="2151"/>
      <c r="EEF94" s="2151"/>
      <c r="EEG94" s="2151"/>
      <c r="EEH94" s="2150"/>
      <c r="EEI94" s="2151"/>
      <c r="EEJ94" s="2151"/>
      <c r="EEK94" s="2151"/>
      <c r="EEL94" s="2151"/>
      <c r="EEM94" s="2151"/>
      <c r="EEN94" s="2151"/>
      <c r="EEO94" s="2151"/>
      <c r="EEP94" s="2151"/>
      <c r="EEQ94" s="2151"/>
      <c r="EER94" s="2151"/>
      <c r="EES94" s="2151"/>
      <c r="EET94" s="2151"/>
      <c r="EEU94" s="2151"/>
      <c r="EEV94" s="2151"/>
      <c r="EEW94" s="2151"/>
      <c r="EEX94" s="2150"/>
      <c r="EEY94" s="2151"/>
      <c r="EEZ94" s="2151"/>
      <c r="EFA94" s="2151"/>
      <c r="EFB94" s="2151"/>
      <c r="EFC94" s="2151"/>
      <c r="EFD94" s="2151"/>
      <c r="EFE94" s="2151"/>
      <c r="EFF94" s="2151"/>
      <c r="EFG94" s="2151"/>
      <c r="EFH94" s="2151"/>
      <c r="EFI94" s="2151"/>
      <c r="EFJ94" s="2151"/>
      <c r="EFK94" s="2151"/>
      <c r="EFL94" s="2151"/>
      <c r="EFM94" s="2151"/>
      <c r="EFN94" s="2150"/>
      <c r="EFO94" s="2151"/>
      <c r="EFP94" s="2151"/>
      <c r="EFQ94" s="2151"/>
      <c r="EFR94" s="2151"/>
      <c r="EFS94" s="2151"/>
      <c r="EFT94" s="2151"/>
      <c r="EFU94" s="2151"/>
      <c r="EFV94" s="2151"/>
      <c r="EFW94" s="2151"/>
      <c r="EFX94" s="2151"/>
      <c r="EFY94" s="2151"/>
      <c r="EFZ94" s="2151"/>
      <c r="EGA94" s="2151"/>
      <c r="EGB94" s="2151"/>
      <c r="EGC94" s="2151"/>
      <c r="EGD94" s="2150"/>
      <c r="EGE94" s="2151"/>
      <c r="EGF94" s="2151"/>
      <c r="EGG94" s="2151"/>
      <c r="EGH94" s="2151"/>
      <c r="EGI94" s="2151"/>
      <c r="EGJ94" s="2151"/>
      <c r="EGK94" s="2151"/>
      <c r="EGL94" s="2151"/>
      <c r="EGM94" s="2151"/>
      <c r="EGN94" s="2151"/>
      <c r="EGO94" s="2151"/>
      <c r="EGP94" s="2151"/>
      <c r="EGQ94" s="2151"/>
      <c r="EGR94" s="2151"/>
      <c r="EGS94" s="2151"/>
      <c r="EGT94" s="2150"/>
      <c r="EGU94" s="2151"/>
      <c r="EGV94" s="2151"/>
      <c r="EGW94" s="2151"/>
      <c r="EGX94" s="2151"/>
      <c r="EGY94" s="2151"/>
      <c r="EGZ94" s="2151"/>
      <c r="EHA94" s="2151"/>
      <c r="EHB94" s="2151"/>
      <c r="EHC94" s="2151"/>
      <c r="EHD94" s="2151"/>
      <c r="EHE94" s="2151"/>
      <c r="EHF94" s="2151"/>
      <c r="EHG94" s="2151"/>
      <c r="EHH94" s="2151"/>
      <c r="EHI94" s="2151"/>
      <c r="EHJ94" s="2150"/>
      <c r="EHK94" s="2151"/>
      <c r="EHL94" s="2151"/>
      <c r="EHM94" s="2151"/>
      <c r="EHN94" s="2151"/>
      <c r="EHO94" s="2151"/>
      <c r="EHP94" s="2151"/>
      <c r="EHQ94" s="2151"/>
      <c r="EHR94" s="2151"/>
      <c r="EHS94" s="2151"/>
      <c r="EHT94" s="2151"/>
      <c r="EHU94" s="2151"/>
      <c r="EHV94" s="2151"/>
      <c r="EHW94" s="2151"/>
      <c r="EHX94" s="2151"/>
      <c r="EHY94" s="2151"/>
      <c r="EHZ94" s="2150"/>
      <c r="EIA94" s="2151"/>
      <c r="EIB94" s="2151"/>
      <c r="EIC94" s="2151"/>
      <c r="EID94" s="2151"/>
      <c r="EIE94" s="2151"/>
      <c r="EIF94" s="2151"/>
      <c r="EIG94" s="2151"/>
      <c r="EIH94" s="2151"/>
      <c r="EII94" s="2151"/>
      <c r="EIJ94" s="2151"/>
      <c r="EIK94" s="2151"/>
      <c r="EIL94" s="2151"/>
      <c r="EIM94" s="2151"/>
      <c r="EIN94" s="2151"/>
      <c r="EIO94" s="2151"/>
      <c r="EIP94" s="2150"/>
      <c r="EIQ94" s="2151"/>
      <c r="EIR94" s="2151"/>
      <c r="EIS94" s="2151"/>
      <c r="EIT94" s="2151"/>
      <c r="EIU94" s="2151"/>
      <c r="EIV94" s="2151"/>
      <c r="EIW94" s="2151"/>
      <c r="EIX94" s="2151"/>
      <c r="EIY94" s="2151"/>
      <c r="EIZ94" s="2151"/>
      <c r="EJA94" s="2151"/>
      <c r="EJB94" s="2151"/>
      <c r="EJC94" s="2151"/>
      <c r="EJD94" s="2151"/>
      <c r="EJE94" s="2151"/>
      <c r="EJF94" s="2150"/>
      <c r="EJG94" s="2151"/>
      <c r="EJH94" s="2151"/>
      <c r="EJI94" s="2151"/>
      <c r="EJJ94" s="2151"/>
      <c r="EJK94" s="2151"/>
      <c r="EJL94" s="2151"/>
      <c r="EJM94" s="2151"/>
      <c r="EJN94" s="2151"/>
      <c r="EJO94" s="2151"/>
      <c r="EJP94" s="2151"/>
      <c r="EJQ94" s="2151"/>
      <c r="EJR94" s="2151"/>
      <c r="EJS94" s="2151"/>
      <c r="EJT94" s="2151"/>
      <c r="EJU94" s="2151"/>
      <c r="EJV94" s="2150"/>
      <c r="EJW94" s="2151"/>
      <c r="EJX94" s="2151"/>
      <c r="EJY94" s="2151"/>
      <c r="EJZ94" s="2151"/>
      <c r="EKA94" s="2151"/>
      <c r="EKB94" s="2151"/>
      <c r="EKC94" s="2151"/>
      <c r="EKD94" s="2151"/>
      <c r="EKE94" s="2151"/>
      <c r="EKF94" s="2151"/>
      <c r="EKG94" s="2151"/>
      <c r="EKH94" s="2151"/>
      <c r="EKI94" s="2151"/>
      <c r="EKJ94" s="2151"/>
      <c r="EKK94" s="2151"/>
      <c r="EKL94" s="2150"/>
      <c r="EKM94" s="2151"/>
      <c r="EKN94" s="2151"/>
      <c r="EKO94" s="2151"/>
      <c r="EKP94" s="2151"/>
      <c r="EKQ94" s="2151"/>
      <c r="EKR94" s="2151"/>
      <c r="EKS94" s="2151"/>
      <c r="EKT94" s="2151"/>
      <c r="EKU94" s="2151"/>
      <c r="EKV94" s="2151"/>
      <c r="EKW94" s="2151"/>
      <c r="EKX94" s="2151"/>
      <c r="EKY94" s="2151"/>
      <c r="EKZ94" s="2151"/>
      <c r="ELA94" s="2151"/>
      <c r="ELB94" s="2150"/>
      <c r="ELC94" s="2151"/>
      <c r="ELD94" s="2151"/>
      <c r="ELE94" s="2151"/>
      <c r="ELF94" s="2151"/>
      <c r="ELG94" s="2151"/>
      <c r="ELH94" s="2151"/>
      <c r="ELI94" s="2151"/>
      <c r="ELJ94" s="2151"/>
      <c r="ELK94" s="2151"/>
      <c r="ELL94" s="2151"/>
      <c r="ELM94" s="2151"/>
      <c r="ELN94" s="2151"/>
      <c r="ELO94" s="2151"/>
      <c r="ELP94" s="2151"/>
      <c r="ELQ94" s="2151"/>
      <c r="ELR94" s="2150"/>
      <c r="ELS94" s="2151"/>
      <c r="ELT94" s="2151"/>
      <c r="ELU94" s="2151"/>
      <c r="ELV94" s="2151"/>
      <c r="ELW94" s="2151"/>
      <c r="ELX94" s="2151"/>
      <c r="ELY94" s="2151"/>
      <c r="ELZ94" s="2151"/>
      <c r="EMA94" s="2151"/>
      <c r="EMB94" s="2151"/>
      <c r="EMC94" s="2151"/>
      <c r="EMD94" s="2151"/>
      <c r="EME94" s="2151"/>
      <c r="EMF94" s="2151"/>
      <c r="EMG94" s="2151"/>
      <c r="EMH94" s="2150"/>
      <c r="EMI94" s="2151"/>
      <c r="EMJ94" s="2151"/>
      <c r="EMK94" s="2151"/>
      <c r="EML94" s="2151"/>
      <c r="EMM94" s="2151"/>
      <c r="EMN94" s="2151"/>
      <c r="EMO94" s="2151"/>
      <c r="EMP94" s="2151"/>
      <c r="EMQ94" s="2151"/>
      <c r="EMR94" s="2151"/>
      <c r="EMS94" s="2151"/>
      <c r="EMT94" s="2151"/>
      <c r="EMU94" s="2151"/>
      <c r="EMV94" s="2151"/>
      <c r="EMW94" s="2151"/>
      <c r="EMX94" s="2150"/>
      <c r="EMY94" s="2151"/>
      <c r="EMZ94" s="2151"/>
      <c r="ENA94" s="2151"/>
      <c r="ENB94" s="2151"/>
      <c r="ENC94" s="2151"/>
      <c r="END94" s="2151"/>
      <c r="ENE94" s="2151"/>
      <c r="ENF94" s="2151"/>
      <c r="ENG94" s="2151"/>
      <c r="ENH94" s="2151"/>
      <c r="ENI94" s="2151"/>
      <c r="ENJ94" s="2151"/>
      <c r="ENK94" s="2151"/>
      <c r="ENL94" s="2151"/>
      <c r="ENM94" s="2151"/>
      <c r="ENN94" s="2150"/>
      <c r="ENO94" s="2151"/>
      <c r="ENP94" s="2151"/>
      <c r="ENQ94" s="2151"/>
      <c r="ENR94" s="2151"/>
      <c r="ENS94" s="2151"/>
      <c r="ENT94" s="2151"/>
      <c r="ENU94" s="2151"/>
      <c r="ENV94" s="2151"/>
      <c r="ENW94" s="2151"/>
      <c r="ENX94" s="2151"/>
      <c r="ENY94" s="2151"/>
      <c r="ENZ94" s="2151"/>
      <c r="EOA94" s="2151"/>
      <c r="EOB94" s="2151"/>
      <c r="EOC94" s="2151"/>
      <c r="EOD94" s="2150"/>
      <c r="EOE94" s="2151"/>
      <c r="EOF94" s="2151"/>
      <c r="EOG94" s="2151"/>
      <c r="EOH94" s="2151"/>
      <c r="EOI94" s="2151"/>
      <c r="EOJ94" s="2151"/>
      <c r="EOK94" s="2151"/>
      <c r="EOL94" s="2151"/>
      <c r="EOM94" s="2151"/>
      <c r="EON94" s="2151"/>
      <c r="EOO94" s="2151"/>
      <c r="EOP94" s="2151"/>
      <c r="EOQ94" s="2151"/>
      <c r="EOR94" s="2151"/>
      <c r="EOS94" s="2151"/>
      <c r="EOT94" s="2150"/>
      <c r="EOU94" s="2151"/>
      <c r="EOV94" s="2151"/>
      <c r="EOW94" s="2151"/>
      <c r="EOX94" s="2151"/>
      <c r="EOY94" s="2151"/>
      <c r="EOZ94" s="2151"/>
      <c r="EPA94" s="2151"/>
      <c r="EPB94" s="2151"/>
      <c r="EPC94" s="2151"/>
      <c r="EPD94" s="2151"/>
      <c r="EPE94" s="2151"/>
      <c r="EPF94" s="2151"/>
      <c r="EPG94" s="2151"/>
      <c r="EPH94" s="2151"/>
      <c r="EPI94" s="2151"/>
      <c r="EPJ94" s="2150"/>
      <c r="EPK94" s="2151"/>
      <c r="EPL94" s="2151"/>
      <c r="EPM94" s="2151"/>
      <c r="EPN94" s="2151"/>
      <c r="EPO94" s="2151"/>
      <c r="EPP94" s="2151"/>
      <c r="EPQ94" s="2151"/>
      <c r="EPR94" s="2151"/>
      <c r="EPS94" s="2151"/>
      <c r="EPT94" s="2151"/>
      <c r="EPU94" s="2151"/>
      <c r="EPV94" s="2151"/>
      <c r="EPW94" s="2151"/>
      <c r="EPX94" s="2151"/>
      <c r="EPY94" s="2151"/>
      <c r="EPZ94" s="2150"/>
      <c r="EQA94" s="2151"/>
      <c r="EQB94" s="2151"/>
      <c r="EQC94" s="2151"/>
      <c r="EQD94" s="2151"/>
      <c r="EQE94" s="2151"/>
      <c r="EQF94" s="2151"/>
      <c r="EQG94" s="2151"/>
      <c r="EQH94" s="2151"/>
      <c r="EQI94" s="2151"/>
      <c r="EQJ94" s="2151"/>
      <c r="EQK94" s="2151"/>
      <c r="EQL94" s="2151"/>
      <c r="EQM94" s="2151"/>
      <c r="EQN94" s="2151"/>
      <c r="EQO94" s="2151"/>
      <c r="EQP94" s="2150"/>
      <c r="EQQ94" s="2151"/>
      <c r="EQR94" s="2151"/>
      <c r="EQS94" s="2151"/>
      <c r="EQT94" s="2151"/>
      <c r="EQU94" s="2151"/>
      <c r="EQV94" s="2151"/>
      <c r="EQW94" s="2151"/>
      <c r="EQX94" s="2151"/>
      <c r="EQY94" s="2151"/>
      <c r="EQZ94" s="2151"/>
      <c r="ERA94" s="2151"/>
      <c r="ERB94" s="2151"/>
      <c r="ERC94" s="2151"/>
      <c r="ERD94" s="2151"/>
      <c r="ERE94" s="2151"/>
      <c r="ERF94" s="2150"/>
      <c r="ERG94" s="2151"/>
      <c r="ERH94" s="2151"/>
      <c r="ERI94" s="2151"/>
      <c r="ERJ94" s="2151"/>
      <c r="ERK94" s="2151"/>
      <c r="ERL94" s="2151"/>
      <c r="ERM94" s="2151"/>
      <c r="ERN94" s="2151"/>
      <c r="ERO94" s="2151"/>
      <c r="ERP94" s="2151"/>
      <c r="ERQ94" s="2151"/>
      <c r="ERR94" s="2151"/>
      <c r="ERS94" s="2151"/>
      <c r="ERT94" s="2151"/>
      <c r="ERU94" s="2151"/>
      <c r="ERV94" s="2150"/>
      <c r="ERW94" s="2151"/>
      <c r="ERX94" s="2151"/>
      <c r="ERY94" s="2151"/>
      <c r="ERZ94" s="2151"/>
      <c r="ESA94" s="2151"/>
      <c r="ESB94" s="2151"/>
      <c r="ESC94" s="2151"/>
      <c r="ESD94" s="2151"/>
      <c r="ESE94" s="2151"/>
      <c r="ESF94" s="2151"/>
      <c r="ESG94" s="2151"/>
      <c r="ESH94" s="2151"/>
      <c r="ESI94" s="2151"/>
      <c r="ESJ94" s="2151"/>
      <c r="ESK94" s="2151"/>
      <c r="ESL94" s="2150"/>
      <c r="ESM94" s="2151"/>
      <c r="ESN94" s="2151"/>
      <c r="ESO94" s="2151"/>
      <c r="ESP94" s="2151"/>
      <c r="ESQ94" s="2151"/>
      <c r="ESR94" s="2151"/>
      <c r="ESS94" s="2151"/>
      <c r="EST94" s="2151"/>
      <c r="ESU94" s="2151"/>
      <c r="ESV94" s="2151"/>
      <c r="ESW94" s="2151"/>
      <c r="ESX94" s="2151"/>
      <c r="ESY94" s="2151"/>
      <c r="ESZ94" s="2151"/>
      <c r="ETA94" s="2151"/>
      <c r="ETB94" s="2150"/>
      <c r="ETC94" s="2151"/>
      <c r="ETD94" s="2151"/>
      <c r="ETE94" s="2151"/>
      <c r="ETF94" s="2151"/>
      <c r="ETG94" s="2151"/>
      <c r="ETH94" s="2151"/>
      <c r="ETI94" s="2151"/>
      <c r="ETJ94" s="2151"/>
      <c r="ETK94" s="2151"/>
      <c r="ETL94" s="2151"/>
      <c r="ETM94" s="2151"/>
      <c r="ETN94" s="2151"/>
      <c r="ETO94" s="2151"/>
      <c r="ETP94" s="2151"/>
      <c r="ETQ94" s="2151"/>
      <c r="ETR94" s="2150"/>
      <c r="ETS94" s="2151"/>
      <c r="ETT94" s="2151"/>
      <c r="ETU94" s="2151"/>
      <c r="ETV94" s="2151"/>
      <c r="ETW94" s="2151"/>
      <c r="ETX94" s="2151"/>
      <c r="ETY94" s="2151"/>
      <c r="ETZ94" s="2151"/>
      <c r="EUA94" s="2151"/>
      <c r="EUB94" s="2151"/>
      <c r="EUC94" s="2151"/>
      <c r="EUD94" s="2151"/>
      <c r="EUE94" s="2151"/>
      <c r="EUF94" s="2151"/>
      <c r="EUG94" s="2151"/>
      <c r="EUH94" s="2150"/>
      <c r="EUI94" s="2151"/>
      <c r="EUJ94" s="2151"/>
      <c r="EUK94" s="2151"/>
      <c r="EUL94" s="2151"/>
      <c r="EUM94" s="2151"/>
      <c r="EUN94" s="2151"/>
      <c r="EUO94" s="2151"/>
      <c r="EUP94" s="2151"/>
      <c r="EUQ94" s="2151"/>
      <c r="EUR94" s="2151"/>
      <c r="EUS94" s="2151"/>
      <c r="EUT94" s="2151"/>
      <c r="EUU94" s="2151"/>
      <c r="EUV94" s="2151"/>
      <c r="EUW94" s="2151"/>
      <c r="EUX94" s="2150"/>
      <c r="EUY94" s="2151"/>
      <c r="EUZ94" s="2151"/>
      <c r="EVA94" s="2151"/>
      <c r="EVB94" s="2151"/>
      <c r="EVC94" s="2151"/>
      <c r="EVD94" s="2151"/>
      <c r="EVE94" s="2151"/>
      <c r="EVF94" s="2151"/>
      <c r="EVG94" s="2151"/>
      <c r="EVH94" s="2151"/>
      <c r="EVI94" s="2151"/>
      <c r="EVJ94" s="2151"/>
      <c r="EVK94" s="2151"/>
      <c r="EVL94" s="2151"/>
      <c r="EVM94" s="2151"/>
      <c r="EVN94" s="2150"/>
      <c r="EVO94" s="2151"/>
      <c r="EVP94" s="2151"/>
      <c r="EVQ94" s="2151"/>
      <c r="EVR94" s="2151"/>
      <c r="EVS94" s="2151"/>
      <c r="EVT94" s="2151"/>
      <c r="EVU94" s="2151"/>
      <c r="EVV94" s="2151"/>
      <c r="EVW94" s="2151"/>
      <c r="EVX94" s="2151"/>
      <c r="EVY94" s="2151"/>
      <c r="EVZ94" s="2151"/>
      <c r="EWA94" s="2151"/>
      <c r="EWB94" s="2151"/>
      <c r="EWC94" s="2151"/>
      <c r="EWD94" s="2150"/>
      <c r="EWE94" s="2151"/>
      <c r="EWF94" s="2151"/>
      <c r="EWG94" s="2151"/>
      <c r="EWH94" s="2151"/>
      <c r="EWI94" s="2151"/>
      <c r="EWJ94" s="2151"/>
      <c r="EWK94" s="2151"/>
      <c r="EWL94" s="2151"/>
      <c r="EWM94" s="2151"/>
      <c r="EWN94" s="2151"/>
      <c r="EWO94" s="2151"/>
      <c r="EWP94" s="2151"/>
      <c r="EWQ94" s="2151"/>
      <c r="EWR94" s="2151"/>
      <c r="EWS94" s="2151"/>
      <c r="EWT94" s="2150"/>
      <c r="EWU94" s="2151"/>
      <c r="EWV94" s="2151"/>
      <c r="EWW94" s="2151"/>
      <c r="EWX94" s="2151"/>
      <c r="EWY94" s="2151"/>
      <c r="EWZ94" s="2151"/>
      <c r="EXA94" s="2151"/>
      <c r="EXB94" s="2151"/>
      <c r="EXC94" s="2151"/>
      <c r="EXD94" s="2151"/>
      <c r="EXE94" s="2151"/>
      <c r="EXF94" s="2151"/>
      <c r="EXG94" s="2151"/>
      <c r="EXH94" s="2151"/>
      <c r="EXI94" s="2151"/>
      <c r="EXJ94" s="2150"/>
      <c r="EXK94" s="2151"/>
      <c r="EXL94" s="2151"/>
      <c r="EXM94" s="2151"/>
      <c r="EXN94" s="2151"/>
      <c r="EXO94" s="2151"/>
      <c r="EXP94" s="2151"/>
      <c r="EXQ94" s="2151"/>
      <c r="EXR94" s="2151"/>
      <c r="EXS94" s="2151"/>
      <c r="EXT94" s="2151"/>
      <c r="EXU94" s="2151"/>
      <c r="EXV94" s="2151"/>
      <c r="EXW94" s="2151"/>
      <c r="EXX94" s="2151"/>
      <c r="EXY94" s="2151"/>
      <c r="EXZ94" s="2150"/>
      <c r="EYA94" s="2151"/>
      <c r="EYB94" s="2151"/>
      <c r="EYC94" s="2151"/>
      <c r="EYD94" s="2151"/>
      <c r="EYE94" s="2151"/>
      <c r="EYF94" s="2151"/>
      <c r="EYG94" s="2151"/>
      <c r="EYH94" s="2151"/>
      <c r="EYI94" s="2151"/>
      <c r="EYJ94" s="2151"/>
      <c r="EYK94" s="2151"/>
      <c r="EYL94" s="2151"/>
      <c r="EYM94" s="2151"/>
      <c r="EYN94" s="2151"/>
      <c r="EYO94" s="2151"/>
      <c r="EYP94" s="2150"/>
      <c r="EYQ94" s="2151"/>
      <c r="EYR94" s="2151"/>
      <c r="EYS94" s="2151"/>
      <c r="EYT94" s="2151"/>
      <c r="EYU94" s="2151"/>
      <c r="EYV94" s="2151"/>
      <c r="EYW94" s="2151"/>
      <c r="EYX94" s="2151"/>
      <c r="EYY94" s="2151"/>
      <c r="EYZ94" s="2151"/>
      <c r="EZA94" s="2151"/>
      <c r="EZB94" s="2151"/>
      <c r="EZC94" s="2151"/>
      <c r="EZD94" s="2151"/>
      <c r="EZE94" s="2151"/>
      <c r="EZF94" s="2150"/>
      <c r="EZG94" s="2151"/>
      <c r="EZH94" s="2151"/>
      <c r="EZI94" s="2151"/>
      <c r="EZJ94" s="2151"/>
      <c r="EZK94" s="2151"/>
      <c r="EZL94" s="2151"/>
      <c r="EZM94" s="2151"/>
      <c r="EZN94" s="2151"/>
      <c r="EZO94" s="2151"/>
      <c r="EZP94" s="2151"/>
      <c r="EZQ94" s="2151"/>
      <c r="EZR94" s="2151"/>
      <c r="EZS94" s="2151"/>
      <c r="EZT94" s="2151"/>
      <c r="EZU94" s="2151"/>
      <c r="EZV94" s="2150"/>
      <c r="EZW94" s="2151"/>
      <c r="EZX94" s="2151"/>
      <c r="EZY94" s="2151"/>
      <c r="EZZ94" s="2151"/>
      <c r="FAA94" s="2151"/>
      <c r="FAB94" s="2151"/>
      <c r="FAC94" s="2151"/>
      <c r="FAD94" s="2151"/>
      <c r="FAE94" s="2151"/>
      <c r="FAF94" s="2151"/>
      <c r="FAG94" s="2151"/>
      <c r="FAH94" s="2151"/>
      <c r="FAI94" s="2151"/>
      <c r="FAJ94" s="2151"/>
      <c r="FAK94" s="2151"/>
      <c r="FAL94" s="2150"/>
      <c r="FAM94" s="2151"/>
      <c r="FAN94" s="2151"/>
      <c r="FAO94" s="2151"/>
      <c r="FAP94" s="2151"/>
      <c r="FAQ94" s="2151"/>
      <c r="FAR94" s="2151"/>
      <c r="FAS94" s="2151"/>
      <c r="FAT94" s="2151"/>
      <c r="FAU94" s="2151"/>
      <c r="FAV94" s="2151"/>
      <c r="FAW94" s="2151"/>
      <c r="FAX94" s="2151"/>
      <c r="FAY94" s="2151"/>
      <c r="FAZ94" s="2151"/>
      <c r="FBA94" s="2151"/>
      <c r="FBB94" s="2150"/>
      <c r="FBC94" s="2151"/>
      <c r="FBD94" s="2151"/>
      <c r="FBE94" s="2151"/>
      <c r="FBF94" s="2151"/>
      <c r="FBG94" s="2151"/>
      <c r="FBH94" s="2151"/>
      <c r="FBI94" s="2151"/>
      <c r="FBJ94" s="2151"/>
      <c r="FBK94" s="2151"/>
      <c r="FBL94" s="2151"/>
      <c r="FBM94" s="2151"/>
      <c r="FBN94" s="2151"/>
      <c r="FBO94" s="2151"/>
      <c r="FBP94" s="2151"/>
      <c r="FBQ94" s="2151"/>
      <c r="FBR94" s="2150"/>
      <c r="FBS94" s="2151"/>
      <c r="FBT94" s="2151"/>
      <c r="FBU94" s="2151"/>
      <c r="FBV94" s="2151"/>
      <c r="FBW94" s="2151"/>
      <c r="FBX94" s="2151"/>
      <c r="FBY94" s="2151"/>
      <c r="FBZ94" s="2151"/>
      <c r="FCA94" s="2151"/>
      <c r="FCB94" s="2151"/>
      <c r="FCC94" s="2151"/>
      <c r="FCD94" s="2151"/>
      <c r="FCE94" s="2151"/>
      <c r="FCF94" s="2151"/>
      <c r="FCG94" s="2151"/>
      <c r="FCH94" s="2150"/>
      <c r="FCI94" s="2151"/>
      <c r="FCJ94" s="2151"/>
      <c r="FCK94" s="2151"/>
      <c r="FCL94" s="2151"/>
      <c r="FCM94" s="2151"/>
      <c r="FCN94" s="2151"/>
      <c r="FCO94" s="2151"/>
      <c r="FCP94" s="2151"/>
      <c r="FCQ94" s="2151"/>
      <c r="FCR94" s="2151"/>
      <c r="FCS94" s="2151"/>
      <c r="FCT94" s="2151"/>
      <c r="FCU94" s="2151"/>
      <c r="FCV94" s="2151"/>
      <c r="FCW94" s="2151"/>
      <c r="FCX94" s="2150"/>
      <c r="FCY94" s="2151"/>
      <c r="FCZ94" s="2151"/>
      <c r="FDA94" s="2151"/>
      <c r="FDB94" s="2151"/>
      <c r="FDC94" s="2151"/>
      <c r="FDD94" s="2151"/>
      <c r="FDE94" s="2151"/>
      <c r="FDF94" s="2151"/>
      <c r="FDG94" s="2151"/>
      <c r="FDH94" s="2151"/>
      <c r="FDI94" s="2151"/>
      <c r="FDJ94" s="2151"/>
      <c r="FDK94" s="2151"/>
      <c r="FDL94" s="2151"/>
      <c r="FDM94" s="2151"/>
      <c r="FDN94" s="2150"/>
      <c r="FDO94" s="2151"/>
      <c r="FDP94" s="2151"/>
      <c r="FDQ94" s="2151"/>
      <c r="FDR94" s="2151"/>
      <c r="FDS94" s="2151"/>
      <c r="FDT94" s="2151"/>
      <c r="FDU94" s="2151"/>
      <c r="FDV94" s="2151"/>
      <c r="FDW94" s="2151"/>
      <c r="FDX94" s="2151"/>
      <c r="FDY94" s="2151"/>
      <c r="FDZ94" s="2151"/>
      <c r="FEA94" s="2151"/>
      <c r="FEB94" s="2151"/>
      <c r="FEC94" s="2151"/>
      <c r="FED94" s="2150"/>
      <c r="FEE94" s="2151"/>
      <c r="FEF94" s="2151"/>
      <c r="FEG94" s="2151"/>
      <c r="FEH94" s="2151"/>
      <c r="FEI94" s="2151"/>
      <c r="FEJ94" s="2151"/>
      <c r="FEK94" s="2151"/>
      <c r="FEL94" s="2151"/>
      <c r="FEM94" s="2151"/>
      <c r="FEN94" s="2151"/>
      <c r="FEO94" s="2151"/>
      <c r="FEP94" s="2151"/>
      <c r="FEQ94" s="2151"/>
      <c r="FER94" s="2151"/>
      <c r="FES94" s="2151"/>
      <c r="FET94" s="2150"/>
      <c r="FEU94" s="2151"/>
      <c r="FEV94" s="2151"/>
      <c r="FEW94" s="2151"/>
      <c r="FEX94" s="2151"/>
      <c r="FEY94" s="2151"/>
      <c r="FEZ94" s="2151"/>
      <c r="FFA94" s="2151"/>
      <c r="FFB94" s="2151"/>
      <c r="FFC94" s="2151"/>
      <c r="FFD94" s="2151"/>
      <c r="FFE94" s="2151"/>
      <c r="FFF94" s="2151"/>
      <c r="FFG94" s="2151"/>
      <c r="FFH94" s="2151"/>
      <c r="FFI94" s="2151"/>
      <c r="FFJ94" s="2150"/>
      <c r="FFK94" s="2151"/>
      <c r="FFL94" s="2151"/>
      <c r="FFM94" s="2151"/>
      <c r="FFN94" s="2151"/>
      <c r="FFO94" s="2151"/>
      <c r="FFP94" s="2151"/>
      <c r="FFQ94" s="2151"/>
      <c r="FFR94" s="2151"/>
      <c r="FFS94" s="2151"/>
      <c r="FFT94" s="2151"/>
      <c r="FFU94" s="2151"/>
      <c r="FFV94" s="2151"/>
      <c r="FFW94" s="2151"/>
      <c r="FFX94" s="2151"/>
      <c r="FFY94" s="2151"/>
      <c r="FFZ94" s="2150"/>
      <c r="FGA94" s="2151"/>
      <c r="FGB94" s="2151"/>
      <c r="FGC94" s="2151"/>
      <c r="FGD94" s="2151"/>
      <c r="FGE94" s="2151"/>
      <c r="FGF94" s="2151"/>
      <c r="FGG94" s="2151"/>
      <c r="FGH94" s="2151"/>
      <c r="FGI94" s="2151"/>
      <c r="FGJ94" s="2151"/>
      <c r="FGK94" s="2151"/>
      <c r="FGL94" s="2151"/>
      <c r="FGM94" s="2151"/>
      <c r="FGN94" s="2151"/>
      <c r="FGO94" s="2151"/>
      <c r="FGP94" s="2150"/>
      <c r="FGQ94" s="2151"/>
      <c r="FGR94" s="2151"/>
      <c r="FGS94" s="2151"/>
      <c r="FGT94" s="2151"/>
      <c r="FGU94" s="2151"/>
      <c r="FGV94" s="2151"/>
      <c r="FGW94" s="2151"/>
      <c r="FGX94" s="2151"/>
      <c r="FGY94" s="2151"/>
      <c r="FGZ94" s="2151"/>
      <c r="FHA94" s="2151"/>
      <c r="FHB94" s="2151"/>
      <c r="FHC94" s="2151"/>
      <c r="FHD94" s="2151"/>
      <c r="FHE94" s="2151"/>
      <c r="FHF94" s="2150"/>
      <c r="FHG94" s="2151"/>
      <c r="FHH94" s="2151"/>
      <c r="FHI94" s="2151"/>
      <c r="FHJ94" s="2151"/>
      <c r="FHK94" s="2151"/>
      <c r="FHL94" s="2151"/>
      <c r="FHM94" s="2151"/>
      <c r="FHN94" s="2151"/>
      <c r="FHO94" s="2151"/>
      <c r="FHP94" s="2151"/>
      <c r="FHQ94" s="2151"/>
      <c r="FHR94" s="2151"/>
      <c r="FHS94" s="2151"/>
      <c r="FHT94" s="2151"/>
      <c r="FHU94" s="2151"/>
      <c r="FHV94" s="2150"/>
      <c r="FHW94" s="2151"/>
      <c r="FHX94" s="2151"/>
      <c r="FHY94" s="2151"/>
      <c r="FHZ94" s="2151"/>
      <c r="FIA94" s="2151"/>
      <c r="FIB94" s="2151"/>
      <c r="FIC94" s="2151"/>
      <c r="FID94" s="2151"/>
      <c r="FIE94" s="2151"/>
      <c r="FIF94" s="2151"/>
      <c r="FIG94" s="2151"/>
      <c r="FIH94" s="2151"/>
      <c r="FII94" s="2151"/>
      <c r="FIJ94" s="2151"/>
      <c r="FIK94" s="2151"/>
      <c r="FIL94" s="2150"/>
      <c r="FIM94" s="2151"/>
      <c r="FIN94" s="2151"/>
      <c r="FIO94" s="2151"/>
      <c r="FIP94" s="2151"/>
      <c r="FIQ94" s="2151"/>
      <c r="FIR94" s="2151"/>
      <c r="FIS94" s="2151"/>
      <c r="FIT94" s="2151"/>
      <c r="FIU94" s="2151"/>
      <c r="FIV94" s="2151"/>
      <c r="FIW94" s="2151"/>
      <c r="FIX94" s="2151"/>
      <c r="FIY94" s="2151"/>
      <c r="FIZ94" s="2151"/>
      <c r="FJA94" s="2151"/>
      <c r="FJB94" s="2150"/>
      <c r="FJC94" s="2151"/>
      <c r="FJD94" s="2151"/>
      <c r="FJE94" s="2151"/>
      <c r="FJF94" s="2151"/>
      <c r="FJG94" s="2151"/>
      <c r="FJH94" s="2151"/>
      <c r="FJI94" s="2151"/>
      <c r="FJJ94" s="2151"/>
      <c r="FJK94" s="2151"/>
      <c r="FJL94" s="2151"/>
      <c r="FJM94" s="2151"/>
      <c r="FJN94" s="2151"/>
      <c r="FJO94" s="2151"/>
      <c r="FJP94" s="2151"/>
      <c r="FJQ94" s="2151"/>
      <c r="FJR94" s="2150"/>
      <c r="FJS94" s="2151"/>
      <c r="FJT94" s="2151"/>
      <c r="FJU94" s="2151"/>
      <c r="FJV94" s="2151"/>
      <c r="FJW94" s="2151"/>
      <c r="FJX94" s="2151"/>
      <c r="FJY94" s="2151"/>
      <c r="FJZ94" s="2151"/>
      <c r="FKA94" s="2151"/>
      <c r="FKB94" s="2151"/>
      <c r="FKC94" s="2151"/>
      <c r="FKD94" s="2151"/>
      <c r="FKE94" s="2151"/>
      <c r="FKF94" s="2151"/>
      <c r="FKG94" s="2151"/>
      <c r="FKH94" s="2150"/>
      <c r="FKI94" s="2151"/>
      <c r="FKJ94" s="2151"/>
      <c r="FKK94" s="2151"/>
      <c r="FKL94" s="2151"/>
      <c r="FKM94" s="2151"/>
      <c r="FKN94" s="2151"/>
      <c r="FKO94" s="2151"/>
      <c r="FKP94" s="2151"/>
      <c r="FKQ94" s="2151"/>
      <c r="FKR94" s="2151"/>
      <c r="FKS94" s="2151"/>
      <c r="FKT94" s="2151"/>
      <c r="FKU94" s="2151"/>
      <c r="FKV94" s="2151"/>
      <c r="FKW94" s="2151"/>
      <c r="FKX94" s="2150"/>
      <c r="FKY94" s="2151"/>
      <c r="FKZ94" s="2151"/>
      <c r="FLA94" s="2151"/>
      <c r="FLB94" s="2151"/>
      <c r="FLC94" s="2151"/>
      <c r="FLD94" s="2151"/>
      <c r="FLE94" s="2151"/>
      <c r="FLF94" s="2151"/>
      <c r="FLG94" s="2151"/>
      <c r="FLH94" s="2151"/>
      <c r="FLI94" s="2151"/>
      <c r="FLJ94" s="2151"/>
      <c r="FLK94" s="2151"/>
      <c r="FLL94" s="2151"/>
      <c r="FLM94" s="2151"/>
      <c r="FLN94" s="2150"/>
      <c r="FLO94" s="2151"/>
      <c r="FLP94" s="2151"/>
      <c r="FLQ94" s="2151"/>
      <c r="FLR94" s="2151"/>
      <c r="FLS94" s="2151"/>
      <c r="FLT94" s="2151"/>
      <c r="FLU94" s="2151"/>
      <c r="FLV94" s="2151"/>
      <c r="FLW94" s="2151"/>
      <c r="FLX94" s="2151"/>
      <c r="FLY94" s="2151"/>
      <c r="FLZ94" s="2151"/>
      <c r="FMA94" s="2151"/>
      <c r="FMB94" s="2151"/>
      <c r="FMC94" s="2151"/>
      <c r="FMD94" s="2150"/>
      <c r="FME94" s="2151"/>
      <c r="FMF94" s="2151"/>
      <c r="FMG94" s="2151"/>
      <c r="FMH94" s="2151"/>
      <c r="FMI94" s="2151"/>
      <c r="FMJ94" s="2151"/>
      <c r="FMK94" s="2151"/>
      <c r="FML94" s="2151"/>
      <c r="FMM94" s="2151"/>
      <c r="FMN94" s="2151"/>
      <c r="FMO94" s="2151"/>
      <c r="FMP94" s="2151"/>
      <c r="FMQ94" s="2151"/>
      <c r="FMR94" s="2151"/>
      <c r="FMS94" s="2151"/>
      <c r="FMT94" s="2150"/>
      <c r="FMU94" s="2151"/>
      <c r="FMV94" s="2151"/>
      <c r="FMW94" s="2151"/>
      <c r="FMX94" s="2151"/>
      <c r="FMY94" s="2151"/>
      <c r="FMZ94" s="2151"/>
      <c r="FNA94" s="2151"/>
      <c r="FNB94" s="2151"/>
      <c r="FNC94" s="2151"/>
      <c r="FND94" s="2151"/>
      <c r="FNE94" s="2151"/>
      <c r="FNF94" s="2151"/>
      <c r="FNG94" s="2151"/>
      <c r="FNH94" s="2151"/>
      <c r="FNI94" s="2151"/>
      <c r="FNJ94" s="2150"/>
      <c r="FNK94" s="2151"/>
      <c r="FNL94" s="2151"/>
      <c r="FNM94" s="2151"/>
      <c r="FNN94" s="2151"/>
      <c r="FNO94" s="2151"/>
      <c r="FNP94" s="2151"/>
      <c r="FNQ94" s="2151"/>
      <c r="FNR94" s="2151"/>
      <c r="FNS94" s="2151"/>
      <c r="FNT94" s="2151"/>
      <c r="FNU94" s="2151"/>
      <c r="FNV94" s="2151"/>
      <c r="FNW94" s="2151"/>
      <c r="FNX94" s="2151"/>
      <c r="FNY94" s="2151"/>
      <c r="FNZ94" s="2150"/>
      <c r="FOA94" s="2151"/>
      <c r="FOB94" s="2151"/>
      <c r="FOC94" s="2151"/>
      <c r="FOD94" s="2151"/>
      <c r="FOE94" s="2151"/>
      <c r="FOF94" s="2151"/>
      <c r="FOG94" s="2151"/>
      <c r="FOH94" s="2151"/>
      <c r="FOI94" s="2151"/>
      <c r="FOJ94" s="2151"/>
      <c r="FOK94" s="2151"/>
      <c r="FOL94" s="2151"/>
      <c r="FOM94" s="2151"/>
      <c r="FON94" s="2151"/>
      <c r="FOO94" s="2151"/>
      <c r="FOP94" s="2150"/>
      <c r="FOQ94" s="2151"/>
      <c r="FOR94" s="2151"/>
      <c r="FOS94" s="2151"/>
      <c r="FOT94" s="2151"/>
      <c r="FOU94" s="2151"/>
      <c r="FOV94" s="2151"/>
      <c r="FOW94" s="2151"/>
      <c r="FOX94" s="2151"/>
      <c r="FOY94" s="2151"/>
      <c r="FOZ94" s="2151"/>
      <c r="FPA94" s="2151"/>
      <c r="FPB94" s="2151"/>
      <c r="FPC94" s="2151"/>
      <c r="FPD94" s="2151"/>
      <c r="FPE94" s="2151"/>
      <c r="FPF94" s="2150"/>
      <c r="FPG94" s="2151"/>
      <c r="FPH94" s="2151"/>
      <c r="FPI94" s="2151"/>
      <c r="FPJ94" s="2151"/>
      <c r="FPK94" s="2151"/>
      <c r="FPL94" s="2151"/>
      <c r="FPM94" s="2151"/>
      <c r="FPN94" s="2151"/>
      <c r="FPO94" s="2151"/>
      <c r="FPP94" s="2151"/>
      <c r="FPQ94" s="2151"/>
      <c r="FPR94" s="2151"/>
      <c r="FPS94" s="2151"/>
      <c r="FPT94" s="2151"/>
      <c r="FPU94" s="2151"/>
      <c r="FPV94" s="2150"/>
      <c r="FPW94" s="2151"/>
      <c r="FPX94" s="2151"/>
      <c r="FPY94" s="2151"/>
      <c r="FPZ94" s="2151"/>
      <c r="FQA94" s="2151"/>
      <c r="FQB94" s="2151"/>
      <c r="FQC94" s="2151"/>
      <c r="FQD94" s="2151"/>
      <c r="FQE94" s="2151"/>
      <c r="FQF94" s="2151"/>
      <c r="FQG94" s="2151"/>
      <c r="FQH94" s="2151"/>
      <c r="FQI94" s="2151"/>
      <c r="FQJ94" s="2151"/>
      <c r="FQK94" s="2151"/>
      <c r="FQL94" s="2150"/>
      <c r="FQM94" s="2151"/>
      <c r="FQN94" s="2151"/>
      <c r="FQO94" s="2151"/>
      <c r="FQP94" s="2151"/>
      <c r="FQQ94" s="2151"/>
      <c r="FQR94" s="2151"/>
      <c r="FQS94" s="2151"/>
      <c r="FQT94" s="2151"/>
      <c r="FQU94" s="2151"/>
      <c r="FQV94" s="2151"/>
      <c r="FQW94" s="2151"/>
      <c r="FQX94" s="2151"/>
      <c r="FQY94" s="2151"/>
      <c r="FQZ94" s="2151"/>
      <c r="FRA94" s="2151"/>
      <c r="FRB94" s="2150"/>
      <c r="FRC94" s="2151"/>
      <c r="FRD94" s="2151"/>
      <c r="FRE94" s="2151"/>
      <c r="FRF94" s="2151"/>
      <c r="FRG94" s="2151"/>
      <c r="FRH94" s="2151"/>
      <c r="FRI94" s="2151"/>
      <c r="FRJ94" s="2151"/>
      <c r="FRK94" s="2151"/>
      <c r="FRL94" s="2151"/>
      <c r="FRM94" s="2151"/>
      <c r="FRN94" s="2151"/>
      <c r="FRO94" s="2151"/>
      <c r="FRP94" s="2151"/>
      <c r="FRQ94" s="2151"/>
      <c r="FRR94" s="2150"/>
      <c r="FRS94" s="2151"/>
      <c r="FRT94" s="2151"/>
      <c r="FRU94" s="2151"/>
      <c r="FRV94" s="2151"/>
      <c r="FRW94" s="2151"/>
      <c r="FRX94" s="2151"/>
      <c r="FRY94" s="2151"/>
      <c r="FRZ94" s="2151"/>
      <c r="FSA94" s="2151"/>
      <c r="FSB94" s="2151"/>
      <c r="FSC94" s="2151"/>
      <c r="FSD94" s="2151"/>
      <c r="FSE94" s="2151"/>
      <c r="FSF94" s="2151"/>
      <c r="FSG94" s="2151"/>
      <c r="FSH94" s="2150"/>
      <c r="FSI94" s="2151"/>
      <c r="FSJ94" s="2151"/>
      <c r="FSK94" s="2151"/>
      <c r="FSL94" s="2151"/>
      <c r="FSM94" s="2151"/>
      <c r="FSN94" s="2151"/>
      <c r="FSO94" s="2151"/>
      <c r="FSP94" s="2151"/>
      <c r="FSQ94" s="2151"/>
      <c r="FSR94" s="2151"/>
      <c r="FSS94" s="2151"/>
      <c r="FST94" s="2151"/>
      <c r="FSU94" s="2151"/>
      <c r="FSV94" s="2151"/>
      <c r="FSW94" s="2151"/>
      <c r="FSX94" s="2150"/>
      <c r="FSY94" s="2151"/>
      <c r="FSZ94" s="2151"/>
      <c r="FTA94" s="2151"/>
      <c r="FTB94" s="2151"/>
      <c r="FTC94" s="2151"/>
      <c r="FTD94" s="2151"/>
      <c r="FTE94" s="2151"/>
      <c r="FTF94" s="2151"/>
      <c r="FTG94" s="2151"/>
      <c r="FTH94" s="2151"/>
      <c r="FTI94" s="2151"/>
      <c r="FTJ94" s="2151"/>
      <c r="FTK94" s="2151"/>
      <c r="FTL94" s="2151"/>
      <c r="FTM94" s="2151"/>
      <c r="FTN94" s="2150"/>
      <c r="FTO94" s="2151"/>
      <c r="FTP94" s="2151"/>
      <c r="FTQ94" s="2151"/>
      <c r="FTR94" s="2151"/>
      <c r="FTS94" s="2151"/>
      <c r="FTT94" s="2151"/>
      <c r="FTU94" s="2151"/>
      <c r="FTV94" s="2151"/>
      <c r="FTW94" s="2151"/>
      <c r="FTX94" s="2151"/>
      <c r="FTY94" s="2151"/>
      <c r="FTZ94" s="2151"/>
      <c r="FUA94" s="2151"/>
      <c r="FUB94" s="2151"/>
      <c r="FUC94" s="2151"/>
      <c r="FUD94" s="2150"/>
      <c r="FUE94" s="2151"/>
      <c r="FUF94" s="2151"/>
      <c r="FUG94" s="2151"/>
      <c r="FUH94" s="2151"/>
      <c r="FUI94" s="2151"/>
      <c r="FUJ94" s="2151"/>
      <c r="FUK94" s="2151"/>
      <c r="FUL94" s="2151"/>
      <c r="FUM94" s="2151"/>
      <c r="FUN94" s="2151"/>
      <c r="FUO94" s="2151"/>
      <c r="FUP94" s="2151"/>
      <c r="FUQ94" s="2151"/>
      <c r="FUR94" s="2151"/>
      <c r="FUS94" s="2151"/>
      <c r="FUT94" s="2150"/>
      <c r="FUU94" s="2151"/>
      <c r="FUV94" s="2151"/>
      <c r="FUW94" s="2151"/>
      <c r="FUX94" s="2151"/>
      <c r="FUY94" s="2151"/>
      <c r="FUZ94" s="2151"/>
      <c r="FVA94" s="2151"/>
      <c r="FVB94" s="2151"/>
      <c r="FVC94" s="2151"/>
      <c r="FVD94" s="2151"/>
      <c r="FVE94" s="2151"/>
      <c r="FVF94" s="2151"/>
      <c r="FVG94" s="2151"/>
      <c r="FVH94" s="2151"/>
      <c r="FVI94" s="2151"/>
      <c r="FVJ94" s="2150"/>
      <c r="FVK94" s="2151"/>
      <c r="FVL94" s="2151"/>
      <c r="FVM94" s="2151"/>
      <c r="FVN94" s="2151"/>
      <c r="FVO94" s="2151"/>
      <c r="FVP94" s="2151"/>
      <c r="FVQ94" s="2151"/>
      <c r="FVR94" s="2151"/>
      <c r="FVS94" s="2151"/>
      <c r="FVT94" s="2151"/>
      <c r="FVU94" s="2151"/>
      <c r="FVV94" s="2151"/>
      <c r="FVW94" s="2151"/>
      <c r="FVX94" s="2151"/>
      <c r="FVY94" s="2151"/>
      <c r="FVZ94" s="2150"/>
      <c r="FWA94" s="2151"/>
      <c r="FWB94" s="2151"/>
      <c r="FWC94" s="2151"/>
      <c r="FWD94" s="2151"/>
      <c r="FWE94" s="2151"/>
      <c r="FWF94" s="2151"/>
      <c r="FWG94" s="2151"/>
      <c r="FWH94" s="2151"/>
      <c r="FWI94" s="2151"/>
      <c r="FWJ94" s="2151"/>
      <c r="FWK94" s="2151"/>
      <c r="FWL94" s="2151"/>
      <c r="FWM94" s="2151"/>
      <c r="FWN94" s="2151"/>
      <c r="FWO94" s="2151"/>
      <c r="FWP94" s="2150"/>
      <c r="FWQ94" s="2151"/>
      <c r="FWR94" s="2151"/>
      <c r="FWS94" s="2151"/>
      <c r="FWT94" s="2151"/>
      <c r="FWU94" s="2151"/>
      <c r="FWV94" s="2151"/>
      <c r="FWW94" s="2151"/>
      <c r="FWX94" s="2151"/>
      <c r="FWY94" s="2151"/>
      <c r="FWZ94" s="2151"/>
      <c r="FXA94" s="2151"/>
      <c r="FXB94" s="2151"/>
      <c r="FXC94" s="2151"/>
      <c r="FXD94" s="2151"/>
      <c r="FXE94" s="2151"/>
      <c r="FXF94" s="2150"/>
      <c r="FXG94" s="2151"/>
      <c r="FXH94" s="2151"/>
      <c r="FXI94" s="2151"/>
      <c r="FXJ94" s="2151"/>
      <c r="FXK94" s="2151"/>
      <c r="FXL94" s="2151"/>
      <c r="FXM94" s="2151"/>
      <c r="FXN94" s="2151"/>
      <c r="FXO94" s="2151"/>
      <c r="FXP94" s="2151"/>
      <c r="FXQ94" s="2151"/>
      <c r="FXR94" s="2151"/>
      <c r="FXS94" s="2151"/>
      <c r="FXT94" s="2151"/>
      <c r="FXU94" s="2151"/>
      <c r="FXV94" s="2150"/>
      <c r="FXW94" s="2151"/>
      <c r="FXX94" s="2151"/>
      <c r="FXY94" s="2151"/>
      <c r="FXZ94" s="2151"/>
      <c r="FYA94" s="2151"/>
      <c r="FYB94" s="2151"/>
      <c r="FYC94" s="2151"/>
      <c r="FYD94" s="2151"/>
      <c r="FYE94" s="2151"/>
      <c r="FYF94" s="2151"/>
      <c r="FYG94" s="2151"/>
      <c r="FYH94" s="2151"/>
      <c r="FYI94" s="2151"/>
      <c r="FYJ94" s="2151"/>
      <c r="FYK94" s="2151"/>
      <c r="FYL94" s="2150"/>
      <c r="FYM94" s="2151"/>
      <c r="FYN94" s="2151"/>
      <c r="FYO94" s="2151"/>
      <c r="FYP94" s="2151"/>
      <c r="FYQ94" s="2151"/>
      <c r="FYR94" s="2151"/>
      <c r="FYS94" s="2151"/>
      <c r="FYT94" s="2151"/>
      <c r="FYU94" s="2151"/>
      <c r="FYV94" s="2151"/>
      <c r="FYW94" s="2151"/>
      <c r="FYX94" s="2151"/>
      <c r="FYY94" s="2151"/>
      <c r="FYZ94" s="2151"/>
      <c r="FZA94" s="2151"/>
      <c r="FZB94" s="2150"/>
      <c r="FZC94" s="2151"/>
      <c r="FZD94" s="2151"/>
      <c r="FZE94" s="2151"/>
      <c r="FZF94" s="2151"/>
      <c r="FZG94" s="2151"/>
      <c r="FZH94" s="2151"/>
      <c r="FZI94" s="2151"/>
      <c r="FZJ94" s="2151"/>
      <c r="FZK94" s="2151"/>
      <c r="FZL94" s="2151"/>
      <c r="FZM94" s="2151"/>
      <c r="FZN94" s="2151"/>
      <c r="FZO94" s="2151"/>
      <c r="FZP94" s="2151"/>
      <c r="FZQ94" s="2151"/>
      <c r="FZR94" s="2150"/>
      <c r="FZS94" s="2151"/>
      <c r="FZT94" s="2151"/>
      <c r="FZU94" s="2151"/>
      <c r="FZV94" s="2151"/>
      <c r="FZW94" s="2151"/>
      <c r="FZX94" s="2151"/>
      <c r="FZY94" s="2151"/>
      <c r="FZZ94" s="2151"/>
      <c r="GAA94" s="2151"/>
      <c r="GAB94" s="2151"/>
      <c r="GAC94" s="2151"/>
      <c r="GAD94" s="2151"/>
      <c r="GAE94" s="2151"/>
      <c r="GAF94" s="2151"/>
      <c r="GAG94" s="2151"/>
      <c r="GAH94" s="2150"/>
      <c r="GAI94" s="2151"/>
      <c r="GAJ94" s="2151"/>
      <c r="GAK94" s="2151"/>
      <c r="GAL94" s="2151"/>
      <c r="GAM94" s="2151"/>
      <c r="GAN94" s="2151"/>
      <c r="GAO94" s="2151"/>
      <c r="GAP94" s="2151"/>
      <c r="GAQ94" s="2151"/>
      <c r="GAR94" s="2151"/>
      <c r="GAS94" s="2151"/>
      <c r="GAT94" s="2151"/>
      <c r="GAU94" s="2151"/>
      <c r="GAV94" s="2151"/>
      <c r="GAW94" s="2151"/>
      <c r="GAX94" s="2150"/>
      <c r="GAY94" s="2151"/>
      <c r="GAZ94" s="2151"/>
      <c r="GBA94" s="2151"/>
      <c r="GBB94" s="2151"/>
      <c r="GBC94" s="2151"/>
      <c r="GBD94" s="2151"/>
      <c r="GBE94" s="2151"/>
      <c r="GBF94" s="2151"/>
      <c r="GBG94" s="2151"/>
      <c r="GBH94" s="2151"/>
      <c r="GBI94" s="2151"/>
      <c r="GBJ94" s="2151"/>
      <c r="GBK94" s="2151"/>
      <c r="GBL94" s="2151"/>
      <c r="GBM94" s="2151"/>
      <c r="GBN94" s="2150"/>
      <c r="GBO94" s="2151"/>
      <c r="GBP94" s="2151"/>
      <c r="GBQ94" s="2151"/>
      <c r="GBR94" s="2151"/>
      <c r="GBS94" s="2151"/>
      <c r="GBT94" s="2151"/>
      <c r="GBU94" s="2151"/>
      <c r="GBV94" s="2151"/>
      <c r="GBW94" s="2151"/>
      <c r="GBX94" s="2151"/>
      <c r="GBY94" s="2151"/>
      <c r="GBZ94" s="2151"/>
      <c r="GCA94" s="2151"/>
      <c r="GCB94" s="2151"/>
      <c r="GCC94" s="2151"/>
      <c r="GCD94" s="2150"/>
      <c r="GCE94" s="2151"/>
      <c r="GCF94" s="2151"/>
      <c r="GCG94" s="2151"/>
      <c r="GCH94" s="2151"/>
      <c r="GCI94" s="2151"/>
      <c r="GCJ94" s="2151"/>
      <c r="GCK94" s="2151"/>
      <c r="GCL94" s="2151"/>
      <c r="GCM94" s="2151"/>
      <c r="GCN94" s="2151"/>
      <c r="GCO94" s="2151"/>
      <c r="GCP94" s="2151"/>
      <c r="GCQ94" s="2151"/>
      <c r="GCR94" s="2151"/>
      <c r="GCS94" s="2151"/>
      <c r="GCT94" s="2150"/>
      <c r="GCU94" s="2151"/>
      <c r="GCV94" s="2151"/>
      <c r="GCW94" s="2151"/>
      <c r="GCX94" s="2151"/>
      <c r="GCY94" s="2151"/>
      <c r="GCZ94" s="2151"/>
      <c r="GDA94" s="2151"/>
      <c r="GDB94" s="2151"/>
      <c r="GDC94" s="2151"/>
      <c r="GDD94" s="2151"/>
      <c r="GDE94" s="2151"/>
      <c r="GDF94" s="2151"/>
      <c r="GDG94" s="2151"/>
      <c r="GDH94" s="2151"/>
      <c r="GDI94" s="2151"/>
      <c r="GDJ94" s="2150"/>
      <c r="GDK94" s="2151"/>
      <c r="GDL94" s="2151"/>
      <c r="GDM94" s="2151"/>
      <c r="GDN94" s="2151"/>
      <c r="GDO94" s="2151"/>
      <c r="GDP94" s="2151"/>
      <c r="GDQ94" s="2151"/>
      <c r="GDR94" s="2151"/>
      <c r="GDS94" s="2151"/>
      <c r="GDT94" s="2151"/>
      <c r="GDU94" s="2151"/>
      <c r="GDV94" s="2151"/>
      <c r="GDW94" s="2151"/>
      <c r="GDX94" s="2151"/>
      <c r="GDY94" s="2151"/>
      <c r="GDZ94" s="2150"/>
      <c r="GEA94" s="2151"/>
      <c r="GEB94" s="2151"/>
      <c r="GEC94" s="2151"/>
      <c r="GED94" s="2151"/>
      <c r="GEE94" s="2151"/>
      <c r="GEF94" s="2151"/>
      <c r="GEG94" s="2151"/>
      <c r="GEH94" s="2151"/>
      <c r="GEI94" s="2151"/>
      <c r="GEJ94" s="2151"/>
      <c r="GEK94" s="2151"/>
      <c r="GEL94" s="2151"/>
      <c r="GEM94" s="2151"/>
      <c r="GEN94" s="2151"/>
      <c r="GEO94" s="2151"/>
      <c r="GEP94" s="2150"/>
      <c r="GEQ94" s="2151"/>
      <c r="GER94" s="2151"/>
      <c r="GES94" s="2151"/>
      <c r="GET94" s="2151"/>
      <c r="GEU94" s="2151"/>
      <c r="GEV94" s="2151"/>
      <c r="GEW94" s="2151"/>
      <c r="GEX94" s="2151"/>
      <c r="GEY94" s="2151"/>
      <c r="GEZ94" s="2151"/>
      <c r="GFA94" s="2151"/>
      <c r="GFB94" s="2151"/>
      <c r="GFC94" s="2151"/>
      <c r="GFD94" s="2151"/>
      <c r="GFE94" s="2151"/>
      <c r="GFF94" s="2150"/>
      <c r="GFG94" s="2151"/>
      <c r="GFH94" s="2151"/>
      <c r="GFI94" s="2151"/>
      <c r="GFJ94" s="2151"/>
      <c r="GFK94" s="2151"/>
      <c r="GFL94" s="2151"/>
      <c r="GFM94" s="2151"/>
      <c r="GFN94" s="2151"/>
      <c r="GFO94" s="2151"/>
      <c r="GFP94" s="2151"/>
      <c r="GFQ94" s="2151"/>
      <c r="GFR94" s="2151"/>
      <c r="GFS94" s="2151"/>
      <c r="GFT94" s="2151"/>
      <c r="GFU94" s="2151"/>
      <c r="GFV94" s="2150"/>
      <c r="GFW94" s="2151"/>
      <c r="GFX94" s="2151"/>
      <c r="GFY94" s="2151"/>
      <c r="GFZ94" s="2151"/>
      <c r="GGA94" s="2151"/>
      <c r="GGB94" s="2151"/>
      <c r="GGC94" s="2151"/>
      <c r="GGD94" s="2151"/>
      <c r="GGE94" s="2151"/>
      <c r="GGF94" s="2151"/>
      <c r="GGG94" s="2151"/>
      <c r="GGH94" s="2151"/>
      <c r="GGI94" s="2151"/>
      <c r="GGJ94" s="2151"/>
      <c r="GGK94" s="2151"/>
      <c r="GGL94" s="2150"/>
      <c r="GGM94" s="2151"/>
      <c r="GGN94" s="2151"/>
      <c r="GGO94" s="2151"/>
      <c r="GGP94" s="2151"/>
      <c r="GGQ94" s="2151"/>
      <c r="GGR94" s="2151"/>
      <c r="GGS94" s="2151"/>
      <c r="GGT94" s="2151"/>
      <c r="GGU94" s="2151"/>
      <c r="GGV94" s="2151"/>
      <c r="GGW94" s="2151"/>
      <c r="GGX94" s="2151"/>
      <c r="GGY94" s="2151"/>
      <c r="GGZ94" s="2151"/>
      <c r="GHA94" s="2151"/>
      <c r="GHB94" s="2150"/>
      <c r="GHC94" s="2151"/>
      <c r="GHD94" s="2151"/>
      <c r="GHE94" s="2151"/>
      <c r="GHF94" s="2151"/>
      <c r="GHG94" s="2151"/>
      <c r="GHH94" s="2151"/>
      <c r="GHI94" s="2151"/>
      <c r="GHJ94" s="2151"/>
      <c r="GHK94" s="2151"/>
      <c r="GHL94" s="2151"/>
      <c r="GHM94" s="2151"/>
      <c r="GHN94" s="2151"/>
      <c r="GHO94" s="2151"/>
      <c r="GHP94" s="2151"/>
      <c r="GHQ94" s="2151"/>
      <c r="GHR94" s="2150"/>
      <c r="GHS94" s="2151"/>
      <c r="GHT94" s="2151"/>
      <c r="GHU94" s="2151"/>
      <c r="GHV94" s="2151"/>
      <c r="GHW94" s="2151"/>
      <c r="GHX94" s="2151"/>
      <c r="GHY94" s="2151"/>
      <c r="GHZ94" s="2151"/>
      <c r="GIA94" s="2151"/>
      <c r="GIB94" s="2151"/>
      <c r="GIC94" s="2151"/>
      <c r="GID94" s="2151"/>
      <c r="GIE94" s="2151"/>
      <c r="GIF94" s="2151"/>
      <c r="GIG94" s="2151"/>
      <c r="GIH94" s="2150"/>
      <c r="GII94" s="2151"/>
      <c r="GIJ94" s="2151"/>
      <c r="GIK94" s="2151"/>
      <c r="GIL94" s="2151"/>
      <c r="GIM94" s="2151"/>
      <c r="GIN94" s="2151"/>
      <c r="GIO94" s="2151"/>
      <c r="GIP94" s="2151"/>
      <c r="GIQ94" s="2151"/>
      <c r="GIR94" s="2151"/>
      <c r="GIS94" s="2151"/>
      <c r="GIT94" s="2151"/>
      <c r="GIU94" s="2151"/>
      <c r="GIV94" s="2151"/>
      <c r="GIW94" s="2151"/>
      <c r="GIX94" s="2150"/>
      <c r="GIY94" s="2151"/>
      <c r="GIZ94" s="2151"/>
      <c r="GJA94" s="2151"/>
      <c r="GJB94" s="2151"/>
      <c r="GJC94" s="2151"/>
      <c r="GJD94" s="2151"/>
      <c r="GJE94" s="2151"/>
      <c r="GJF94" s="2151"/>
      <c r="GJG94" s="2151"/>
      <c r="GJH94" s="2151"/>
      <c r="GJI94" s="2151"/>
      <c r="GJJ94" s="2151"/>
      <c r="GJK94" s="2151"/>
      <c r="GJL94" s="2151"/>
      <c r="GJM94" s="2151"/>
      <c r="GJN94" s="2150"/>
      <c r="GJO94" s="2151"/>
      <c r="GJP94" s="2151"/>
      <c r="GJQ94" s="2151"/>
      <c r="GJR94" s="2151"/>
      <c r="GJS94" s="2151"/>
      <c r="GJT94" s="2151"/>
      <c r="GJU94" s="2151"/>
      <c r="GJV94" s="2151"/>
      <c r="GJW94" s="2151"/>
      <c r="GJX94" s="2151"/>
      <c r="GJY94" s="2151"/>
      <c r="GJZ94" s="2151"/>
      <c r="GKA94" s="2151"/>
      <c r="GKB94" s="2151"/>
      <c r="GKC94" s="2151"/>
      <c r="GKD94" s="2150"/>
      <c r="GKE94" s="2151"/>
      <c r="GKF94" s="2151"/>
      <c r="GKG94" s="2151"/>
      <c r="GKH94" s="2151"/>
      <c r="GKI94" s="2151"/>
      <c r="GKJ94" s="2151"/>
      <c r="GKK94" s="2151"/>
      <c r="GKL94" s="2151"/>
      <c r="GKM94" s="2151"/>
      <c r="GKN94" s="2151"/>
      <c r="GKO94" s="2151"/>
      <c r="GKP94" s="2151"/>
      <c r="GKQ94" s="2151"/>
      <c r="GKR94" s="2151"/>
      <c r="GKS94" s="2151"/>
      <c r="GKT94" s="2150"/>
      <c r="GKU94" s="2151"/>
      <c r="GKV94" s="2151"/>
      <c r="GKW94" s="2151"/>
      <c r="GKX94" s="2151"/>
      <c r="GKY94" s="2151"/>
      <c r="GKZ94" s="2151"/>
      <c r="GLA94" s="2151"/>
      <c r="GLB94" s="2151"/>
      <c r="GLC94" s="2151"/>
      <c r="GLD94" s="2151"/>
      <c r="GLE94" s="2151"/>
      <c r="GLF94" s="2151"/>
      <c r="GLG94" s="2151"/>
      <c r="GLH94" s="2151"/>
      <c r="GLI94" s="2151"/>
      <c r="GLJ94" s="2150"/>
      <c r="GLK94" s="2151"/>
      <c r="GLL94" s="2151"/>
      <c r="GLM94" s="2151"/>
      <c r="GLN94" s="2151"/>
      <c r="GLO94" s="2151"/>
      <c r="GLP94" s="2151"/>
      <c r="GLQ94" s="2151"/>
      <c r="GLR94" s="2151"/>
      <c r="GLS94" s="2151"/>
      <c r="GLT94" s="2151"/>
      <c r="GLU94" s="2151"/>
      <c r="GLV94" s="2151"/>
      <c r="GLW94" s="2151"/>
      <c r="GLX94" s="2151"/>
      <c r="GLY94" s="2151"/>
      <c r="GLZ94" s="2150"/>
      <c r="GMA94" s="2151"/>
      <c r="GMB94" s="2151"/>
      <c r="GMC94" s="2151"/>
      <c r="GMD94" s="2151"/>
      <c r="GME94" s="2151"/>
      <c r="GMF94" s="2151"/>
      <c r="GMG94" s="2151"/>
      <c r="GMH94" s="2151"/>
      <c r="GMI94" s="2151"/>
      <c r="GMJ94" s="2151"/>
      <c r="GMK94" s="2151"/>
      <c r="GML94" s="2151"/>
      <c r="GMM94" s="2151"/>
      <c r="GMN94" s="2151"/>
      <c r="GMO94" s="2151"/>
      <c r="GMP94" s="2150"/>
      <c r="GMQ94" s="2151"/>
      <c r="GMR94" s="2151"/>
      <c r="GMS94" s="2151"/>
      <c r="GMT94" s="2151"/>
      <c r="GMU94" s="2151"/>
      <c r="GMV94" s="2151"/>
      <c r="GMW94" s="2151"/>
      <c r="GMX94" s="2151"/>
      <c r="GMY94" s="2151"/>
      <c r="GMZ94" s="2151"/>
      <c r="GNA94" s="2151"/>
      <c r="GNB94" s="2151"/>
      <c r="GNC94" s="2151"/>
      <c r="GND94" s="2151"/>
      <c r="GNE94" s="2151"/>
      <c r="GNF94" s="2150"/>
      <c r="GNG94" s="2151"/>
      <c r="GNH94" s="2151"/>
      <c r="GNI94" s="2151"/>
      <c r="GNJ94" s="2151"/>
      <c r="GNK94" s="2151"/>
      <c r="GNL94" s="2151"/>
      <c r="GNM94" s="2151"/>
      <c r="GNN94" s="2151"/>
      <c r="GNO94" s="2151"/>
      <c r="GNP94" s="2151"/>
      <c r="GNQ94" s="2151"/>
      <c r="GNR94" s="2151"/>
      <c r="GNS94" s="2151"/>
      <c r="GNT94" s="2151"/>
      <c r="GNU94" s="2151"/>
      <c r="GNV94" s="2150"/>
      <c r="GNW94" s="2151"/>
      <c r="GNX94" s="2151"/>
      <c r="GNY94" s="2151"/>
      <c r="GNZ94" s="2151"/>
      <c r="GOA94" s="2151"/>
      <c r="GOB94" s="2151"/>
      <c r="GOC94" s="2151"/>
      <c r="GOD94" s="2151"/>
      <c r="GOE94" s="2151"/>
      <c r="GOF94" s="2151"/>
      <c r="GOG94" s="2151"/>
      <c r="GOH94" s="2151"/>
      <c r="GOI94" s="2151"/>
      <c r="GOJ94" s="2151"/>
      <c r="GOK94" s="2151"/>
      <c r="GOL94" s="2150"/>
      <c r="GOM94" s="2151"/>
      <c r="GON94" s="2151"/>
      <c r="GOO94" s="2151"/>
      <c r="GOP94" s="2151"/>
      <c r="GOQ94" s="2151"/>
      <c r="GOR94" s="2151"/>
      <c r="GOS94" s="2151"/>
      <c r="GOT94" s="2151"/>
      <c r="GOU94" s="2151"/>
      <c r="GOV94" s="2151"/>
      <c r="GOW94" s="2151"/>
      <c r="GOX94" s="2151"/>
      <c r="GOY94" s="2151"/>
      <c r="GOZ94" s="2151"/>
      <c r="GPA94" s="2151"/>
      <c r="GPB94" s="2150"/>
      <c r="GPC94" s="2151"/>
      <c r="GPD94" s="2151"/>
      <c r="GPE94" s="2151"/>
      <c r="GPF94" s="2151"/>
      <c r="GPG94" s="2151"/>
      <c r="GPH94" s="2151"/>
      <c r="GPI94" s="2151"/>
      <c r="GPJ94" s="2151"/>
      <c r="GPK94" s="2151"/>
      <c r="GPL94" s="2151"/>
      <c r="GPM94" s="2151"/>
      <c r="GPN94" s="2151"/>
      <c r="GPO94" s="2151"/>
      <c r="GPP94" s="2151"/>
      <c r="GPQ94" s="2151"/>
      <c r="GPR94" s="2150"/>
      <c r="GPS94" s="2151"/>
      <c r="GPT94" s="2151"/>
      <c r="GPU94" s="2151"/>
      <c r="GPV94" s="2151"/>
      <c r="GPW94" s="2151"/>
      <c r="GPX94" s="2151"/>
      <c r="GPY94" s="2151"/>
      <c r="GPZ94" s="2151"/>
      <c r="GQA94" s="2151"/>
      <c r="GQB94" s="2151"/>
      <c r="GQC94" s="2151"/>
      <c r="GQD94" s="2151"/>
      <c r="GQE94" s="2151"/>
      <c r="GQF94" s="2151"/>
      <c r="GQG94" s="2151"/>
      <c r="GQH94" s="2150"/>
      <c r="GQI94" s="2151"/>
      <c r="GQJ94" s="2151"/>
      <c r="GQK94" s="2151"/>
      <c r="GQL94" s="2151"/>
      <c r="GQM94" s="2151"/>
      <c r="GQN94" s="2151"/>
      <c r="GQO94" s="2151"/>
      <c r="GQP94" s="2151"/>
      <c r="GQQ94" s="2151"/>
      <c r="GQR94" s="2151"/>
      <c r="GQS94" s="2151"/>
      <c r="GQT94" s="2151"/>
      <c r="GQU94" s="2151"/>
      <c r="GQV94" s="2151"/>
      <c r="GQW94" s="2151"/>
      <c r="GQX94" s="2150"/>
      <c r="GQY94" s="2151"/>
      <c r="GQZ94" s="2151"/>
      <c r="GRA94" s="2151"/>
      <c r="GRB94" s="2151"/>
      <c r="GRC94" s="2151"/>
      <c r="GRD94" s="2151"/>
      <c r="GRE94" s="2151"/>
      <c r="GRF94" s="2151"/>
      <c r="GRG94" s="2151"/>
      <c r="GRH94" s="2151"/>
      <c r="GRI94" s="2151"/>
      <c r="GRJ94" s="2151"/>
      <c r="GRK94" s="2151"/>
      <c r="GRL94" s="2151"/>
      <c r="GRM94" s="2151"/>
      <c r="GRN94" s="2150"/>
      <c r="GRO94" s="2151"/>
      <c r="GRP94" s="2151"/>
      <c r="GRQ94" s="2151"/>
      <c r="GRR94" s="2151"/>
      <c r="GRS94" s="2151"/>
      <c r="GRT94" s="2151"/>
      <c r="GRU94" s="2151"/>
      <c r="GRV94" s="2151"/>
      <c r="GRW94" s="2151"/>
      <c r="GRX94" s="2151"/>
      <c r="GRY94" s="2151"/>
      <c r="GRZ94" s="2151"/>
      <c r="GSA94" s="2151"/>
      <c r="GSB94" s="2151"/>
      <c r="GSC94" s="2151"/>
      <c r="GSD94" s="2150"/>
      <c r="GSE94" s="2151"/>
      <c r="GSF94" s="2151"/>
      <c r="GSG94" s="2151"/>
      <c r="GSH94" s="2151"/>
      <c r="GSI94" s="2151"/>
      <c r="GSJ94" s="2151"/>
      <c r="GSK94" s="2151"/>
      <c r="GSL94" s="2151"/>
      <c r="GSM94" s="2151"/>
      <c r="GSN94" s="2151"/>
      <c r="GSO94" s="2151"/>
      <c r="GSP94" s="2151"/>
      <c r="GSQ94" s="2151"/>
      <c r="GSR94" s="2151"/>
      <c r="GSS94" s="2151"/>
      <c r="GST94" s="2150"/>
      <c r="GSU94" s="2151"/>
      <c r="GSV94" s="2151"/>
      <c r="GSW94" s="2151"/>
      <c r="GSX94" s="2151"/>
      <c r="GSY94" s="2151"/>
      <c r="GSZ94" s="2151"/>
      <c r="GTA94" s="2151"/>
      <c r="GTB94" s="2151"/>
      <c r="GTC94" s="2151"/>
      <c r="GTD94" s="2151"/>
      <c r="GTE94" s="2151"/>
      <c r="GTF94" s="2151"/>
      <c r="GTG94" s="2151"/>
      <c r="GTH94" s="2151"/>
      <c r="GTI94" s="2151"/>
      <c r="GTJ94" s="2150"/>
      <c r="GTK94" s="2151"/>
      <c r="GTL94" s="2151"/>
      <c r="GTM94" s="2151"/>
      <c r="GTN94" s="2151"/>
      <c r="GTO94" s="2151"/>
      <c r="GTP94" s="2151"/>
      <c r="GTQ94" s="2151"/>
      <c r="GTR94" s="2151"/>
      <c r="GTS94" s="2151"/>
      <c r="GTT94" s="2151"/>
      <c r="GTU94" s="2151"/>
      <c r="GTV94" s="2151"/>
      <c r="GTW94" s="2151"/>
      <c r="GTX94" s="2151"/>
      <c r="GTY94" s="2151"/>
      <c r="GTZ94" s="2150"/>
      <c r="GUA94" s="2151"/>
      <c r="GUB94" s="2151"/>
      <c r="GUC94" s="2151"/>
      <c r="GUD94" s="2151"/>
      <c r="GUE94" s="2151"/>
      <c r="GUF94" s="2151"/>
      <c r="GUG94" s="2151"/>
      <c r="GUH94" s="2151"/>
      <c r="GUI94" s="2151"/>
      <c r="GUJ94" s="2151"/>
      <c r="GUK94" s="2151"/>
      <c r="GUL94" s="2151"/>
      <c r="GUM94" s="2151"/>
      <c r="GUN94" s="2151"/>
      <c r="GUO94" s="2151"/>
      <c r="GUP94" s="2150"/>
      <c r="GUQ94" s="2151"/>
      <c r="GUR94" s="2151"/>
      <c r="GUS94" s="2151"/>
      <c r="GUT94" s="2151"/>
      <c r="GUU94" s="2151"/>
      <c r="GUV94" s="2151"/>
      <c r="GUW94" s="2151"/>
      <c r="GUX94" s="2151"/>
      <c r="GUY94" s="2151"/>
      <c r="GUZ94" s="2151"/>
      <c r="GVA94" s="2151"/>
      <c r="GVB94" s="2151"/>
      <c r="GVC94" s="2151"/>
      <c r="GVD94" s="2151"/>
      <c r="GVE94" s="2151"/>
      <c r="GVF94" s="2150"/>
      <c r="GVG94" s="2151"/>
      <c r="GVH94" s="2151"/>
      <c r="GVI94" s="2151"/>
      <c r="GVJ94" s="2151"/>
      <c r="GVK94" s="2151"/>
      <c r="GVL94" s="2151"/>
      <c r="GVM94" s="2151"/>
      <c r="GVN94" s="2151"/>
      <c r="GVO94" s="2151"/>
      <c r="GVP94" s="2151"/>
      <c r="GVQ94" s="2151"/>
      <c r="GVR94" s="2151"/>
      <c r="GVS94" s="2151"/>
      <c r="GVT94" s="2151"/>
      <c r="GVU94" s="2151"/>
      <c r="GVV94" s="2150"/>
      <c r="GVW94" s="2151"/>
      <c r="GVX94" s="2151"/>
      <c r="GVY94" s="2151"/>
      <c r="GVZ94" s="2151"/>
      <c r="GWA94" s="2151"/>
      <c r="GWB94" s="2151"/>
      <c r="GWC94" s="2151"/>
      <c r="GWD94" s="2151"/>
      <c r="GWE94" s="2151"/>
      <c r="GWF94" s="2151"/>
      <c r="GWG94" s="2151"/>
      <c r="GWH94" s="2151"/>
      <c r="GWI94" s="2151"/>
      <c r="GWJ94" s="2151"/>
      <c r="GWK94" s="2151"/>
      <c r="GWL94" s="2150"/>
      <c r="GWM94" s="2151"/>
      <c r="GWN94" s="2151"/>
      <c r="GWO94" s="2151"/>
      <c r="GWP94" s="2151"/>
      <c r="GWQ94" s="2151"/>
      <c r="GWR94" s="2151"/>
      <c r="GWS94" s="2151"/>
      <c r="GWT94" s="2151"/>
      <c r="GWU94" s="2151"/>
      <c r="GWV94" s="2151"/>
      <c r="GWW94" s="2151"/>
      <c r="GWX94" s="2151"/>
      <c r="GWY94" s="2151"/>
      <c r="GWZ94" s="2151"/>
      <c r="GXA94" s="2151"/>
      <c r="GXB94" s="2150"/>
      <c r="GXC94" s="2151"/>
      <c r="GXD94" s="2151"/>
      <c r="GXE94" s="2151"/>
      <c r="GXF94" s="2151"/>
      <c r="GXG94" s="2151"/>
      <c r="GXH94" s="2151"/>
      <c r="GXI94" s="2151"/>
      <c r="GXJ94" s="2151"/>
      <c r="GXK94" s="2151"/>
      <c r="GXL94" s="2151"/>
      <c r="GXM94" s="2151"/>
      <c r="GXN94" s="2151"/>
      <c r="GXO94" s="2151"/>
      <c r="GXP94" s="2151"/>
      <c r="GXQ94" s="2151"/>
      <c r="GXR94" s="2150"/>
      <c r="GXS94" s="2151"/>
      <c r="GXT94" s="2151"/>
      <c r="GXU94" s="2151"/>
      <c r="GXV94" s="2151"/>
      <c r="GXW94" s="2151"/>
      <c r="GXX94" s="2151"/>
      <c r="GXY94" s="2151"/>
      <c r="GXZ94" s="2151"/>
      <c r="GYA94" s="2151"/>
      <c r="GYB94" s="2151"/>
      <c r="GYC94" s="2151"/>
      <c r="GYD94" s="2151"/>
      <c r="GYE94" s="2151"/>
      <c r="GYF94" s="2151"/>
      <c r="GYG94" s="2151"/>
      <c r="GYH94" s="2150"/>
      <c r="GYI94" s="2151"/>
      <c r="GYJ94" s="2151"/>
      <c r="GYK94" s="2151"/>
      <c r="GYL94" s="2151"/>
      <c r="GYM94" s="2151"/>
      <c r="GYN94" s="2151"/>
      <c r="GYO94" s="2151"/>
      <c r="GYP94" s="2151"/>
      <c r="GYQ94" s="2151"/>
      <c r="GYR94" s="2151"/>
      <c r="GYS94" s="2151"/>
      <c r="GYT94" s="2151"/>
      <c r="GYU94" s="2151"/>
      <c r="GYV94" s="2151"/>
      <c r="GYW94" s="2151"/>
      <c r="GYX94" s="2150"/>
      <c r="GYY94" s="2151"/>
      <c r="GYZ94" s="2151"/>
      <c r="GZA94" s="2151"/>
      <c r="GZB94" s="2151"/>
      <c r="GZC94" s="2151"/>
      <c r="GZD94" s="2151"/>
      <c r="GZE94" s="2151"/>
      <c r="GZF94" s="2151"/>
      <c r="GZG94" s="2151"/>
      <c r="GZH94" s="2151"/>
      <c r="GZI94" s="2151"/>
      <c r="GZJ94" s="2151"/>
      <c r="GZK94" s="2151"/>
      <c r="GZL94" s="2151"/>
      <c r="GZM94" s="2151"/>
      <c r="GZN94" s="2150"/>
      <c r="GZO94" s="2151"/>
      <c r="GZP94" s="2151"/>
      <c r="GZQ94" s="2151"/>
      <c r="GZR94" s="2151"/>
      <c r="GZS94" s="2151"/>
      <c r="GZT94" s="2151"/>
      <c r="GZU94" s="2151"/>
      <c r="GZV94" s="2151"/>
      <c r="GZW94" s="2151"/>
      <c r="GZX94" s="2151"/>
      <c r="GZY94" s="2151"/>
      <c r="GZZ94" s="2151"/>
      <c r="HAA94" s="2151"/>
      <c r="HAB94" s="2151"/>
      <c r="HAC94" s="2151"/>
      <c r="HAD94" s="2150"/>
      <c r="HAE94" s="2151"/>
      <c r="HAF94" s="2151"/>
      <c r="HAG94" s="2151"/>
      <c r="HAH94" s="2151"/>
      <c r="HAI94" s="2151"/>
      <c r="HAJ94" s="2151"/>
      <c r="HAK94" s="2151"/>
      <c r="HAL94" s="2151"/>
      <c r="HAM94" s="2151"/>
      <c r="HAN94" s="2151"/>
      <c r="HAO94" s="2151"/>
      <c r="HAP94" s="2151"/>
      <c r="HAQ94" s="2151"/>
      <c r="HAR94" s="2151"/>
      <c r="HAS94" s="2151"/>
      <c r="HAT94" s="2150"/>
      <c r="HAU94" s="2151"/>
      <c r="HAV94" s="2151"/>
      <c r="HAW94" s="2151"/>
      <c r="HAX94" s="2151"/>
      <c r="HAY94" s="2151"/>
      <c r="HAZ94" s="2151"/>
      <c r="HBA94" s="2151"/>
      <c r="HBB94" s="2151"/>
      <c r="HBC94" s="2151"/>
      <c r="HBD94" s="2151"/>
      <c r="HBE94" s="2151"/>
      <c r="HBF94" s="2151"/>
      <c r="HBG94" s="2151"/>
      <c r="HBH94" s="2151"/>
      <c r="HBI94" s="2151"/>
      <c r="HBJ94" s="2150"/>
      <c r="HBK94" s="2151"/>
      <c r="HBL94" s="2151"/>
      <c r="HBM94" s="2151"/>
      <c r="HBN94" s="2151"/>
      <c r="HBO94" s="2151"/>
      <c r="HBP94" s="2151"/>
      <c r="HBQ94" s="2151"/>
      <c r="HBR94" s="2151"/>
      <c r="HBS94" s="2151"/>
      <c r="HBT94" s="2151"/>
      <c r="HBU94" s="2151"/>
      <c r="HBV94" s="2151"/>
      <c r="HBW94" s="2151"/>
      <c r="HBX94" s="2151"/>
      <c r="HBY94" s="2151"/>
      <c r="HBZ94" s="2150"/>
      <c r="HCA94" s="2151"/>
      <c r="HCB94" s="2151"/>
      <c r="HCC94" s="2151"/>
      <c r="HCD94" s="2151"/>
      <c r="HCE94" s="2151"/>
      <c r="HCF94" s="2151"/>
      <c r="HCG94" s="2151"/>
      <c r="HCH94" s="2151"/>
      <c r="HCI94" s="2151"/>
      <c r="HCJ94" s="2151"/>
      <c r="HCK94" s="2151"/>
      <c r="HCL94" s="2151"/>
      <c r="HCM94" s="2151"/>
      <c r="HCN94" s="2151"/>
      <c r="HCO94" s="2151"/>
      <c r="HCP94" s="2150"/>
      <c r="HCQ94" s="2151"/>
      <c r="HCR94" s="2151"/>
      <c r="HCS94" s="2151"/>
      <c r="HCT94" s="2151"/>
      <c r="HCU94" s="2151"/>
      <c r="HCV94" s="2151"/>
      <c r="HCW94" s="2151"/>
      <c r="HCX94" s="2151"/>
      <c r="HCY94" s="2151"/>
      <c r="HCZ94" s="2151"/>
      <c r="HDA94" s="2151"/>
      <c r="HDB94" s="2151"/>
      <c r="HDC94" s="2151"/>
      <c r="HDD94" s="2151"/>
      <c r="HDE94" s="2151"/>
      <c r="HDF94" s="2150"/>
      <c r="HDG94" s="2151"/>
      <c r="HDH94" s="2151"/>
      <c r="HDI94" s="2151"/>
      <c r="HDJ94" s="2151"/>
      <c r="HDK94" s="2151"/>
      <c r="HDL94" s="2151"/>
      <c r="HDM94" s="2151"/>
      <c r="HDN94" s="2151"/>
      <c r="HDO94" s="2151"/>
      <c r="HDP94" s="2151"/>
      <c r="HDQ94" s="2151"/>
      <c r="HDR94" s="2151"/>
      <c r="HDS94" s="2151"/>
      <c r="HDT94" s="2151"/>
      <c r="HDU94" s="2151"/>
      <c r="HDV94" s="2150"/>
      <c r="HDW94" s="2151"/>
      <c r="HDX94" s="2151"/>
      <c r="HDY94" s="2151"/>
      <c r="HDZ94" s="2151"/>
      <c r="HEA94" s="2151"/>
      <c r="HEB94" s="2151"/>
      <c r="HEC94" s="2151"/>
      <c r="HED94" s="2151"/>
      <c r="HEE94" s="2151"/>
      <c r="HEF94" s="2151"/>
      <c r="HEG94" s="2151"/>
      <c r="HEH94" s="2151"/>
      <c r="HEI94" s="2151"/>
      <c r="HEJ94" s="2151"/>
      <c r="HEK94" s="2151"/>
      <c r="HEL94" s="2150"/>
      <c r="HEM94" s="2151"/>
      <c r="HEN94" s="2151"/>
      <c r="HEO94" s="2151"/>
      <c r="HEP94" s="2151"/>
      <c r="HEQ94" s="2151"/>
      <c r="HER94" s="2151"/>
      <c r="HES94" s="2151"/>
      <c r="HET94" s="2151"/>
      <c r="HEU94" s="2151"/>
      <c r="HEV94" s="2151"/>
      <c r="HEW94" s="2151"/>
      <c r="HEX94" s="2151"/>
      <c r="HEY94" s="2151"/>
      <c r="HEZ94" s="2151"/>
      <c r="HFA94" s="2151"/>
      <c r="HFB94" s="2150"/>
      <c r="HFC94" s="2151"/>
      <c r="HFD94" s="2151"/>
      <c r="HFE94" s="2151"/>
      <c r="HFF94" s="2151"/>
      <c r="HFG94" s="2151"/>
      <c r="HFH94" s="2151"/>
      <c r="HFI94" s="2151"/>
      <c r="HFJ94" s="2151"/>
      <c r="HFK94" s="2151"/>
      <c r="HFL94" s="2151"/>
      <c r="HFM94" s="2151"/>
      <c r="HFN94" s="2151"/>
      <c r="HFO94" s="2151"/>
      <c r="HFP94" s="2151"/>
      <c r="HFQ94" s="2151"/>
      <c r="HFR94" s="2150"/>
      <c r="HFS94" s="2151"/>
      <c r="HFT94" s="2151"/>
      <c r="HFU94" s="2151"/>
      <c r="HFV94" s="2151"/>
      <c r="HFW94" s="2151"/>
      <c r="HFX94" s="2151"/>
      <c r="HFY94" s="2151"/>
      <c r="HFZ94" s="2151"/>
      <c r="HGA94" s="2151"/>
      <c r="HGB94" s="2151"/>
      <c r="HGC94" s="2151"/>
      <c r="HGD94" s="2151"/>
      <c r="HGE94" s="2151"/>
      <c r="HGF94" s="2151"/>
      <c r="HGG94" s="2151"/>
      <c r="HGH94" s="2150"/>
      <c r="HGI94" s="2151"/>
      <c r="HGJ94" s="2151"/>
      <c r="HGK94" s="2151"/>
      <c r="HGL94" s="2151"/>
      <c r="HGM94" s="2151"/>
      <c r="HGN94" s="2151"/>
      <c r="HGO94" s="2151"/>
      <c r="HGP94" s="2151"/>
      <c r="HGQ94" s="2151"/>
      <c r="HGR94" s="2151"/>
      <c r="HGS94" s="2151"/>
      <c r="HGT94" s="2151"/>
      <c r="HGU94" s="2151"/>
      <c r="HGV94" s="2151"/>
      <c r="HGW94" s="2151"/>
      <c r="HGX94" s="2150"/>
      <c r="HGY94" s="2151"/>
      <c r="HGZ94" s="2151"/>
      <c r="HHA94" s="2151"/>
      <c r="HHB94" s="2151"/>
      <c r="HHC94" s="2151"/>
      <c r="HHD94" s="2151"/>
      <c r="HHE94" s="2151"/>
      <c r="HHF94" s="2151"/>
      <c r="HHG94" s="2151"/>
      <c r="HHH94" s="2151"/>
      <c r="HHI94" s="2151"/>
      <c r="HHJ94" s="2151"/>
      <c r="HHK94" s="2151"/>
      <c r="HHL94" s="2151"/>
      <c r="HHM94" s="2151"/>
      <c r="HHN94" s="2150"/>
      <c r="HHO94" s="2151"/>
      <c r="HHP94" s="2151"/>
      <c r="HHQ94" s="2151"/>
      <c r="HHR94" s="2151"/>
      <c r="HHS94" s="2151"/>
      <c r="HHT94" s="2151"/>
      <c r="HHU94" s="2151"/>
      <c r="HHV94" s="2151"/>
      <c r="HHW94" s="2151"/>
      <c r="HHX94" s="2151"/>
      <c r="HHY94" s="2151"/>
      <c r="HHZ94" s="2151"/>
      <c r="HIA94" s="2151"/>
      <c r="HIB94" s="2151"/>
      <c r="HIC94" s="2151"/>
      <c r="HID94" s="2150"/>
      <c r="HIE94" s="2151"/>
      <c r="HIF94" s="2151"/>
      <c r="HIG94" s="2151"/>
      <c r="HIH94" s="2151"/>
      <c r="HII94" s="2151"/>
      <c r="HIJ94" s="2151"/>
      <c r="HIK94" s="2151"/>
      <c r="HIL94" s="2151"/>
      <c r="HIM94" s="2151"/>
      <c r="HIN94" s="2151"/>
      <c r="HIO94" s="2151"/>
      <c r="HIP94" s="2151"/>
      <c r="HIQ94" s="2151"/>
      <c r="HIR94" s="2151"/>
      <c r="HIS94" s="2151"/>
      <c r="HIT94" s="2150"/>
      <c r="HIU94" s="2151"/>
      <c r="HIV94" s="2151"/>
      <c r="HIW94" s="2151"/>
      <c r="HIX94" s="2151"/>
      <c r="HIY94" s="2151"/>
      <c r="HIZ94" s="2151"/>
      <c r="HJA94" s="2151"/>
      <c r="HJB94" s="2151"/>
      <c r="HJC94" s="2151"/>
      <c r="HJD94" s="2151"/>
      <c r="HJE94" s="2151"/>
      <c r="HJF94" s="2151"/>
      <c r="HJG94" s="2151"/>
      <c r="HJH94" s="2151"/>
      <c r="HJI94" s="2151"/>
      <c r="HJJ94" s="2150"/>
      <c r="HJK94" s="2151"/>
      <c r="HJL94" s="2151"/>
      <c r="HJM94" s="2151"/>
      <c r="HJN94" s="2151"/>
      <c r="HJO94" s="2151"/>
      <c r="HJP94" s="2151"/>
      <c r="HJQ94" s="2151"/>
      <c r="HJR94" s="2151"/>
      <c r="HJS94" s="2151"/>
      <c r="HJT94" s="2151"/>
      <c r="HJU94" s="2151"/>
      <c r="HJV94" s="2151"/>
      <c r="HJW94" s="2151"/>
      <c r="HJX94" s="2151"/>
      <c r="HJY94" s="2151"/>
      <c r="HJZ94" s="2150"/>
      <c r="HKA94" s="2151"/>
      <c r="HKB94" s="2151"/>
      <c r="HKC94" s="2151"/>
      <c r="HKD94" s="2151"/>
      <c r="HKE94" s="2151"/>
      <c r="HKF94" s="2151"/>
      <c r="HKG94" s="2151"/>
      <c r="HKH94" s="2151"/>
      <c r="HKI94" s="2151"/>
      <c r="HKJ94" s="2151"/>
      <c r="HKK94" s="2151"/>
      <c r="HKL94" s="2151"/>
      <c r="HKM94" s="2151"/>
      <c r="HKN94" s="2151"/>
      <c r="HKO94" s="2151"/>
      <c r="HKP94" s="2150"/>
      <c r="HKQ94" s="2151"/>
      <c r="HKR94" s="2151"/>
      <c r="HKS94" s="2151"/>
      <c r="HKT94" s="2151"/>
      <c r="HKU94" s="2151"/>
      <c r="HKV94" s="2151"/>
      <c r="HKW94" s="2151"/>
      <c r="HKX94" s="2151"/>
      <c r="HKY94" s="2151"/>
      <c r="HKZ94" s="2151"/>
      <c r="HLA94" s="2151"/>
      <c r="HLB94" s="2151"/>
      <c r="HLC94" s="2151"/>
      <c r="HLD94" s="2151"/>
      <c r="HLE94" s="2151"/>
      <c r="HLF94" s="2150"/>
      <c r="HLG94" s="2151"/>
      <c r="HLH94" s="2151"/>
      <c r="HLI94" s="2151"/>
      <c r="HLJ94" s="2151"/>
      <c r="HLK94" s="2151"/>
      <c r="HLL94" s="2151"/>
      <c r="HLM94" s="2151"/>
      <c r="HLN94" s="2151"/>
      <c r="HLO94" s="2151"/>
      <c r="HLP94" s="2151"/>
      <c r="HLQ94" s="2151"/>
      <c r="HLR94" s="2151"/>
      <c r="HLS94" s="2151"/>
      <c r="HLT94" s="2151"/>
      <c r="HLU94" s="2151"/>
      <c r="HLV94" s="2150"/>
      <c r="HLW94" s="2151"/>
      <c r="HLX94" s="2151"/>
      <c r="HLY94" s="2151"/>
      <c r="HLZ94" s="2151"/>
      <c r="HMA94" s="2151"/>
      <c r="HMB94" s="2151"/>
      <c r="HMC94" s="2151"/>
      <c r="HMD94" s="2151"/>
      <c r="HME94" s="2151"/>
      <c r="HMF94" s="2151"/>
      <c r="HMG94" s="2151"/>
      <c r="HMH94" s="2151"/>
      <c r="HMI94" s="2151"/>
      <c r="HMJ94" s="2151"/>
      <c r="HMK94" s="2151"/>
      <c r="HML94" s="2150"/>
      <c r="HMM94" s="2151"/>
      <c r="HMN94" s="2151"/>
      <c r="HMO94" s="2151"/>
      <c r="HMP94" s="2151"/>
      <c r="HMQ94" s="2151"/>
      <c r="HMR94" s="2151"/>
      <c r="HMS94" s="2151"/>
      <c r="HMT94" s="2151"/>
      <c r="HMU94" s="2151"/>
      <c r="HMV94" s="2151"/>
      <c r="HMW94" s="2151"/>
      <c r="HMX94" s="2151"/>
      <c r="HMY94" s="2151"/>
      <c r="HMZ94" s="2151"/>
      <c r="HNA94" s="2151"/>
      <c r="HNB94" s="2150"/>
      <c r="HNC94" s="2151"/>
      <c r="HND94" s="2151"/>
      <c r="HNE94" s="2151"/>
      <c r="HNF94" s="2151"/>
      <c r="HNG94" s="2151"/>
      <c r="HNH94" s="2151"/>
      <c r="HNI94" s="2151"/>
      <c r="HNJ94" s="2151"/>
      <c r="HNK94" s="2151"/>
      <c r="HNL94" s="2151"/>
      <c r="HNM94" s="2151"/>
      <c r="HNN94" s="2151"/>
      <c r="HNO94" s="2151"/>
      <c r="HNP94" s="2151"/>
      <c r="HNQ94" s="2151"/>
      <c r="HNR94" s="2150"/>
      <c r="HNS94" s="2151"/>
      <c r="HNT94" s="2151"/>
      <c r="HNU94" s="2151"/>
      <c r="HNV94" s="2151"/>
      <c r="HNW94" s="2151"/>
      <c r="HNX94" s="2151"/>
      <c r="HNY94" s="2151"/>
      <c r="HNZ94" s="2151"/>
      <c r="HOA94" s="2151"/>
      <c r="HOB94" s="2151"/>
      <c r="HOC94" s="2151"/>
      <c r="HOD94" s="2151"/>
      <c r="HOE94" s="2151"/>
      <c r="HOF94" s="2151"/>
      <c r="HOG94" s="2151"/>
      <c r="HOH94" s="2150"/>
      <c r="HOI94" s="2151"/>
      <c r="HOJ94" s="2151"/>
      <c r="HOK94" s="2151"/>
      <c r="HOL94" s="2151"/>
      <c r="HOM94" s="2151"/>
      <c r="HON94" s="2151"/>
      <c r="HOO94" s="2151"/>
      <c r="HOP94" s="2151"/>
      <c r="HOQ94" s="2151"/>
      <c r="HOR94" s="2151"/>
      <c r="HOS94" s="2151"/>
      <c r="HOT94" s="2151"/>
      <c r="HOU94" s="2151"/>
      <c r="HOV94" s="2151"/>
      <c r="HOW94" s="2151"/>
      <c r="HOX94" s="2150"/>
      <c r="HOY94" s="2151"/>
      <c r="HOZ94" s="2151"/>
      <c r="HPA94" s="2151"/>
      <c r="HPB94" s="2151"/>
      <c r="HPC94" s="2151"/>
      <c r="HPD94" s="2151"/>
      <c r="HPE94" s="2151"/>
      <c r="HPF94" s="2151"/>
      <c r="HPG94" s="2151"/>
      <c r="HPH94" s="2151"/>
      <c r="HPI94" s="2151"/>
      <c r="HPJ94" s="2151"/>
      <c r="HPK94" s="2151"/>
      <c r="HPL94" s="2151"/>
      <c r="HPM94" s="2151"/>
      <c r="HPN94" s="2150"/>
      <c r="HPO94" s="2151"/>
      <c r="HPP94" s="2151"/>
      <c r="HPQ94" s="2151"/>
      <c r="HPR94" s="2151"/>
      <c r="HPS94" s="2151"/>
      <c r="HPT94" s="2151"/>
      <c r="HPU94" s="2151"/>
      <c r="HPV94" s="2151"/>
      <c r="HPW94" s="2151"/>
      <c r="HPX94" s="2151"/>
      <c r="HPY94" s="2151"/>
      <c r="HPZ94" s="2151"/>
      <c r="HQA94" s="2151"/>
      <c r="HQB94" s="2151"/>
      <c r="HQC94" s="2151"/>
      <c r="HQD94" s="2150"/>
      <c r="HQE94" s="2151"/>
      <c r="HQF94" s="2151"/>
      <c r="HQG94" s="2151"/>
      <c r="HQH94" s="2151"/>
      <c r="HQI94" s="2151"/>
      <c r="HQJ94" s="2151"/>
      <c r="HQK94" s="2151"/>
      <c r="HQL94" s="2151"/>
      <c r="HQM94" s="2151"/>
      <c r="HQN94" s="2151"/>
      <c r="HQO94" s="2151"/>
      <c r="HQP94" s="2151"/>
      <c r="HQQ94" s="2151"/>
      <c r="HQR94" s="2151"/>
      <c r="HQS94" s="2151"/>
      <c r="HQT94" s="2150"/>
      <c r="HQU94" s="2151"/>
      <c r="HQV94" s="2151"/>
      <c r="HQW94" s="2151"/>
      <c r="HQX94" s="2151"/>
      <c r="HQY94" s="2151"/>
      <c r="HQZ94" s="2151"/>
      <c r="HRA94" s="2151"/>
      <c r="HRB94" s="2151"/>
      <c r="HRC94" s="2151"/>
      <c r="HRD94" s="2151"/>
      <c r="HRE94" s="2151"/>
      <c r="HRF94" s="2151"/>
      <c r="HRG94" s="2151"/>
      <c r="HRH94" s="2151"/>
      <c r="HRI94" s="2151"/>
      <c r="HRJ94" s="2150"/>
      <c r="HRK94" s="2151"/>
      <c r="HRL94" s="2151"/>
      <c r="HRM94" s="2151"/>
      <c r="HRN94" s="2151"/>
      <c r="HRO94" s="2151"/>
      <c r="HRP94" s="2151"/>
      <c r="HRQ94" s="2151"/>
      <c r="HRR94" s="2151"/>
      <c r="HRS94" s="2151"/>
      <c r="HRT94" s="2151"/>
      <c r="HRU94" s="2151"/>
      <c r="HRV94" s="2151"/>
      <c r="HRW94" s="2151"/>
      <c r="HRX94" s="2151"/>
      <c r="HRY94" s="2151"/>
      <c r="HRZ94" s="2150"/>
      <c r="HSA94" s="2151"/>
      <c r="HSB94" s="2151"/>
      <c r="HSC94" s="2151"/>
      <c r="HSD94" s="2151"/>
      <c r="HSE94" s="2151"/>
      <c r="HSF94" s="2151"/>
      <c r="HSG94" s="2151"/>
      <c r="HSH94" s="2151"/>
      <c r="HSI94" s="2151"/>
      <c r="HSJ94" s="2151"/>
      <c r="HSK94" s="2151"/>
      <c r="HSL94" s="2151"/>
      <c r="HSM94" s="2151"/>
      <c r="HSN94" s="2151"/>
      <c r="HSO94" s="2151"/>
      <c r="HSP94" s="2150"/>
      <c r="HSQ94" s="2151"/>
      <c r="HSR94" s="2151"/>
      <c r="HSS94" s="2151"/>
      <c r="HST94" s="2151"/>
      <c r="HSU94" s="2151"/>
      <c r="HSV94" s="2151"/>
      <c r="HSW94" s="2151"/>
      <c r="HSX94" s="2151"/>
      <c r="HSY94" s="2151"/>
      <c r="HSZ94" s="2151"/>
      <c r="HTA94" s="2151"/>
      <c r="HTB94" s="2151"/>
      <c r="HTC94" s="2151"/>
      <c r="HTD94" s="2151"/>
      <c r="HTE94" s="2151"/>
      <c r="HTF94" s="2150"/>
      <c r="HTG94" s="2151"/>
      <c r="HTH94" s="2151"/>
      <c r="HTI94" s="2151"/>
      <c r="HTJ94" s="2151"/>
      <c r="HTK94" s="2151"/>
      <c r="HTL94" s="2151"/>
      <c r="HTM94" s="2151"/>
      <c r="HTN94" s="2151"/>
      <c r="HTO94" s="2151"/>
      <c r="HTP94" s="2151"/>
      <c r="HTQ94" s="2151"/>
      <c r="HTR94" s="2151"/>
      <c r="HTS94" s="2151"/>
      <c r="HTT94" s="2151"/>
      <c r="HTU94" s="2151"/>
      <c r="HTV94" s="2150"/>
      <c r="HTW94" s="2151"/>
      <c r="HTX94" s="2151"/>
      <c r="HTY94" s="2151"/>
      <c r="HTZ94" s="2151"/>
      <c r="HUA94" s="2151"/>
      <c r="HUB94" s="2151"/>
      <c r="HUC94" s="2151"/>
      <c r="HUD94" s="2151"/>
      <c r="HUE94" s="2151"/>
      <c r="HUF94" s="2151"/>
      <c r="HUG94" s="2151"/>
      <c r="HUH94" s="2151"/>
      <c r="HUI94" s="2151"/>
      <c r="HUJ94" s="2151"/>
      <c r="HUK94" s="2151"/>
      <c r="HUL94" s="2150"/>
      <c r="HUM94" s="2151"/>
      <c r="HUN94" s="2151"/>
      <c r="HUO94" s="2151"/>
      <c r="HUP94" s="2151"/>
      <c r="HUQ94" s="2151"/>
      <c r="HUR94" s="2151"/>
      <c r="HUS94" s="2151"/>
      <c r="HUT94" s="2151"/>
      <c r="HUU94" s="2151"/>
      <c r="HUV94" s="2151"/>
      <c r="HUW94" s="2151"/>
      <c r="HUX94" s="2151"/>
      <c r="HUY94" s="2151"/>
      <c r="HUZ94" s="2151"/>
      <c r="HVA94" s="2151"/>
      <c r="HVB94" s="2150"/>
      <c r="HVC94" s="2151"/>
      <c r="HVD94" s="2151"/>
      <c r="HVE94" s="2151"/>
      <c r="HVF94" s="2151"/>
      <c r="HVG94" s="2151"/>
      <c r="HVH94" s="2151"/>
      <c r="HVI94" s="2151"/>
      <c r="HVJ94" s="2151"/>
      <c r="HVK94" s="2151"/>
      <c r="HVL94" s="2151"/>
      <c r="HVM94" s="2151"/>
      <c r="HVN94" s="2151"/>
      <c r="HVO94" s="2151"/>
      <c r="HVP94" s="2151"/>
      <c r="HVQ94" s="2151"/>
      <c r="HVR94" s="2150"/>
      <c r="HVS94" s="2151"/>
      <c r="HVT94" s="2151"/>
      <c r="HVU94" s="2151"/>
      <c r="HVV94" s="2151"/>
      <c r="HVW94" s="2151"/>
      <c r="HVX94" s="2151"/>
      <c r="HVY94" s="2151"/>
      <c r="HVZ94" s="2151"/>
      <c r="HWA94" s="2151"/>
      <c r="HWB94" s="2151"/>
      <c r="HWC94" s="2151"/>
      <c r="HWD94" s="2151"/>
      <c r="HWE94" s="2151"/>
      <c r="HWF94" s="2151"/>
      <c r="HWG94" s="2151"/>
      <c r="HWH94" s="2150"/>
      <c r="HWI94" s="2151"/>
      <c r="HWJ94" s="2151"/>
      <c r="HWK94" s="2151"/>
      <c r="HWL94" s="2151"/>
      <c r="HWM94" s="2151"/>
      <c r="HWN94" s="2151"/>
      <c r="HWO94" s="2151"/>
      <c r="HWP94" s="2151"/>
      <c r="HWQ94" s="2151"/>
      <c r="HWR94" s="2151"/>
      <c r="HWS94" s="2151"/>
      <c r="HWT94" s="2151"/>
      <c r="HWU94" s="2151"/>
      <c r="HWV94" s="2151"/>
      <c r="HWW94" s="2151"/>
      <c r="HWX94" s="2150"/>
      <c r="HWY94" s="2151"/>
      <c r="HWZ94" s="2151"/>
      <c r="HXA94" s="2151"/>
      <c r="HXB94" s="2151"/>
      <c r="HXC94" s="2151"/>
      <c r="HXD94" s="2151"/>
      <c r="HXE94" s="2151"/>
      <c r="HXF94" s="2151"/>
      <c r="HXG94" s="2151"/>
      <c r="HXH94" s="2151"/>
      <c r="HXI94" s="2151"/>
      <c r="HXJ94" s="2151"/>
      <c r="HXK94" s="2151"/>
      <c r="HXL94" s="2151"/>
      <c r="HXM94" s="2151"/>
      <c r="HXN94" s="2150"/>
      <c r="HXO94" s="2151"/>
      <c r="HXP94" s="2151"/>
      <c r="HXQ94" s="2151"/>
      <c r="HXR94" s="2151"/>
      <c r="HXS94" s="2151"/>
      <c r="HXT94" s="2151"/>
      <c r="HXU94" s="2151"/>
      <c r="HXV94" s="2151"/>
      <c r="HXW94" s="2151"/>
      <c r="HXX94" s="2151"/>
      <c r="HXY94" s="2151"/>
      <c r="HXZ94" s="2151"/>
      <c r="HYA94" s="2151"/>
      <c r="HYB94" s="2151"/>
      <c r="HYC94" s="2151"/>
      <c r="HYD94" s="2150"/>
      <c r="HYE94" s="2151"/>
      <c r="HYF94" s="2151"/>
      <c r="HYG94" s="2151"/>
      <c r="HYH94" s="2151"/>
      <c r="HYI94" s="2151"/>
      <c r="HYJ94" s="2151"/>
      <c r="HYK94" s="2151"/>
      <c r="HYL94" s="2151"/>
      <c r="HYM94" s="2151"/>
      <c r="HYN94" s="2151"/>
      <c r="HYO94" s="2151"/>
      <c r="HYP94" s="2151"/>
      <c r="HYQ94" s="2151"/>
      <c r="HYR94" s="2151"/>
      <c r="HYS94" s="2151"/>
      <c r="HYT94" s="2150"/>
      <c r="HYU94" s="2151"/>
      <c r="HYV94" s="2151"/>
      <c r="HYW94" s="2151"/>
      <c r="HYX94" s="2151"/>
      <c r="HYY94" s="2151"/>
      <c r="HYZ94" s="2151"/>
      <c r="HZA94" s="2151"/>
      <c r="HZB94" s="2151"/>
      <c r="HZC94" s="2151"/>
      <c r="HZD94" s="2151"/>
      <c r="HZE94" s="2151"/>
      <c r="HZF94" s="2151"/>
      <c r="HZG94" s="2151"/>
      <c r="HZH94" s="2151"/>
      <c r="HZI94" s="2151"/>
      <c r="HZJ94" s="2150"/>
      <c r="HZK94" s="2151"/>
      <c r="HZL94" s="2151"/>
      <c r="HZM94" s="2151"/>
      <c r="HZN94" s="2151"/>
      <c r="HZO94" s="2151"/>
      <c r="HZP94" s="2151"/>
      <c r="HZQ94" s="2151"/>
      <c r="HZR94" s="2151"/>
      <c r="HZS94" s="2151"/>
      <c r="HZT94" s="2151"/>
      <c r="HZU94" s="2151"/>
      <c r="HZV94" s="2151"/>
      <c r="HZW94" s="2151"/>
      <c r="HZX94" s="2151"/>
      <c r="HZY94" s="2151"/>
      <c r="HZZ94" s="2150"/>
      <c r="IAA94" s="2151"/>
      <c r="IAB94" s="2151"/>
      <c r="IAC94" s="2151"/>
      <c r="IAD94" s="2151"/>
      <c r="IAE94" s="2151"/>
      <c r="IAF94" s="2151"/>
      <c r="IAG94" s="2151"/>
      <c r="IAH94" s="2151"/>
      <c r="IAI94" s="2151"/>
      <c r="IAJ94" s="2151"/>
      <c r="IAK94" s="2151"/>
      <c r="IAL94" s="2151"/>
      <c r="IAM94" s="2151"/>
      <c r="IAN94" s="2151"/>
      <c r="IAO94" s="2151"/>
      <c r="IAP94" s="2150"/>
      <c r="IAQ94" s="2151"/>
      <c r="IAR94" s="2151"/>
      <c r="IAS94" s="2151"/>
      <c r="IAT94" s="2151"/>
      <c r="IAU94" s="2151"/>
      <c r="IAV94" s="2151"/>
      <c r="IAW94" s="2151"/>
      <c r="IAX94" s="2151"/>
      <c r="IAY94" s="2151"/>
      <c r="IAZ94" s="2151"/>
      <c r="IBA94" s="2151"/>
      <c r="IBB94" s="2151"/>
      <c r="IBC94" s="2151"/>
      <c r="IBD94" s="2151"/>
      <c r="IBE94" s="2151"/>
      <c r="IBF94" s="2150"/>
      <c r="IBG94" s="2151"/>
      <c r="IBH94" s="2151"/>
      <c r="IBI94" s="2151"/>
      <c r="IBJ94" s="2151"/>
      <c r="IBK94" s="2151"/>
      <c r="IBL94" s="2151"/>
      <c r="IBM94" s="2151"/>
      <c r="IBN94" s="2151"/>
      <c r="IBO94" s="2151"/>
      <c r="IBP94" s="2151"/>
      <c r="IBQ94" s="2151"/>
      <c r="IBR94" s="2151"/>
      <c r="IBS94" s="2151"/>
      <c r="IBT94" s="2151"/>
      <c r="IBU94" s="2151"/>
      <c r="IBV94" s="2150"/>
      <c r="IBW94" s="2151"/>
      <c r="IBX94" s="2151"/>
      <c r="IBY94" s="2151"/>
      <c r="IBZ94" s="2151"/>
      <c r="ICA94" s="2151"/>
      <c r="ICB94" s="2151"/>
      <c r="ICC94" s="2151"/>
      <c r="ICD94" s="2151"/>
      <c r="ICE94" s="2151"/>
      <c r="ICF94" s="2151"/>
      <c r="ICG94" s="2151"/>
      <c r="ICH94" s="2151"/>
      <c r="ICI94" s="2151"/>
      <c r="ICJ94" s="2151"/>
      <c r="ICK94" s="2151"/>
      <c r="ICL94" s="2150"/>
      <c r="ICM94" s="2151"/>
      <c r="ICN94" s="2151"/>
      <c r="ICO94" s="2151"/>
      <c r="ICP94" s="2151"/>
      <c r="ICQ94" s="2151"/>
      <c r="ICR94" s="2151"/>
      <c r="ICS94" s="2151"/>
      <c r="ICT94" s="2151"/>
      <c r="ICU94" s="2151"/>
      <c r="ICV94" s="2151"/>
      <c r="ICW94" s="2151"/>
      <c r="ICX94" s="2151"/>
      <c r="ICY94" s="2151"/>
      <c r="ICZ94" s="2151"/>
      <c r="IDA94" s="2151"/>
      <c r="IDB94" s="2150"/>
      <c r="IDC94" s="2151"/>
      <c r="IDD94" s="2151"/>
      <c r="IDE94" s="2151"/>
      <c r="IDF94" s="2151"/>
      <c r="IDG94" s="2151"/>
      <c r="IDH94" s="2151"/>
      <c r="IDI94" s="2151"/>
      <c r="IDJ94" s="2151"/>
      <c r="IDK94" s="2151"/>
      <c r="IDL94" s="2151"/>
      <c r="IDM94" s="2151"/>
      <c r="IDN94" s="2151"/>
      <c r="IDO94" s="2151"/>
      <c r="IDP94" s="2151"/>
      <c r="IDQ94" s="2151"/>
      <c r="IDR94" s="2150"/>
      <c r="IDS94" s="2151"/>
      <c r="IDT94" s="2151"/>
      <c r="IDU94" s="2151"/>
      <c r="IDV94" s="2151"/>
      <c r="IDW94" s="2151"/>
      <c r="IDX94" s="2151"/>
      <c r="IDY94" s="2151"/>
      <c r="IDZ94" s="2151"/>
      <c r="IEA94" s="2151"/>
      <c r="IEB94" s="2151"/>
      <c r="IEC94" s="2151"/>
      <c r="IED94" s="2151"/>
      <c r="IEE94" s="2151"/>
      <c r="IEF94" s="2151"/>
      <c r="IEG94" s="2151"/>
      <c r="IEH94" s="2150"/>
      <c r="IEI94" s="2151"/>
      <c r="IEJ94" s="2151"/>
      <c r="IEK94" s="2151"/>
      <c r="IEL94" s="2151"/>
      <c r="IEM94" s="2151"/>
      <c r="IEN94" s="2151"/>
      <c r="IEO94" s="2151"/>
      <c r="IEP94" s="2151"/>
      <c r="IEQ94" s="2151"/>
      <c r="IER94" s="2151"/>
      <c r="IES94" s="2151"/>
      <c r="IET94" s="2151"/>
      <c r="IEU94" s="2151"/>
      <c r="IEV94" s="2151"/>
      <c r="IEW94" s="2151"/>
      <c r="IEX94" s="2150"/>
      <c r="IEY94" s="2151"/>
      <c r="IEZ94" s="2151"/>
      <c r="IFA94" s="2151"/>
      <c r="IFB94" s="2151"/>
      <c r="IFC94" s="2151"/>
      <c r="IFD94" s="2151"/>
      <c r="IFE94" s="2151"/>
      <c r="IFF94" s="2151"/>
      <c r="IFG94" s="2151"/>
      <c r="IFH94" s="2151"/>
      <c r="IFI94" s="2151"/>
      <c r="IFJ94" s="2151"/>
      <c r="IFK94" s="2151"/>
      <c r="IFL94" s="2151"/>
      <c r="IFM94" s="2151"/>
      <c r="IFN94" s="2150"/>
      <c r="IFO94" s="2151"/>
      <c r="IFP94" s="2151"/>
      <c r="IFQ94" s="2151"/>
      <c r="IFR94" s="2151"/>
      <c r="IFS94" s="2151"/>
      <c r="IFT94" s="2151"/>
      <c r="IFU94" s="2151"/>
      <c r="IFV94" s="2151"/>
      <c r="IFW94" s="2151"/>
      <c r="IFX94" s="2151"/>
      <c r="IFY94" s="2151"/>
      <c r="IFZ94" s="2151"/>
      <c r="IGA94" s="2151"/>
      <c r="IGB94" s="2151"/>
      <c r="IGC94" s="2151"/>
      <c r="IGD94" s="2150"/>
      <c r="IGE94" s="2151"/>
      <c r="IGF94" s="2151"/>
      <c r="IGG94" s="2151"/>
      <c r="IGH94" s="2151"/>
      <c r="IGI94" s="2151"/>
      <c r="IGJ94" s="2151"/>
      <c r="IGK94" s="2151"/>
      <c r="IGL94" s="2151"/>
      <c r="IGM94" s="2151"/>
      <c r="IGN94" s="2151"/>
      <c r="IGO94" s="2151"/>
      <c r="IGP94" s="2151"/>
      <c r="IGQ94" s="2151"/>
      <c r="IGR94" s="2151"/>
      <c r="IGS94" s="2151"/>
      <c r="IGT94" s="2150"/>
      <c r="IGU94" s="2151"/>
      <c r="IGV94" s="2151"/>
      <c r="IGW94" s="2151"/>
      <c r="IGX94" s="2151"/>
      <c r="IGY94" s="2151"/>
      <c r="IGZ94" s="2151"/>
      <c r="IHA94" s="2151"/>
      <c r="IHB94" s="2151"/>
      <c r="IHC94" s="2151"/>
      <c r="IHD94" s="2151"/>
      <c r="IHE94" s="2151"/>
      <c r="IHF94" s="2151"/>
      <c r="IHG94" s="2151"/>
      <c r="IHH94" s="2151"/>
      <c r="IHI94" s="2151"/>
      <c r="IHJ94" s="2150"/>
      <c r="IHK94" s="2151"/>
      <c r="IHL94" s="2151"/>
      <c r="IHM94" s="2151"/>
      <c r="IHN94" s="2151"/>
      <c r="IHO94" s="2151"/>
      <c r="IHP94" s="2151"/>
      <c r="IHQ94" s="2151"/>
      <c r="IHR94" s="2151"/>
      <c r="IHS94" s="2151"/>
      <c r="IHT94" s="2151"/>
      <c r="IHU94" s="2151"/>
      <c r="IHV94" s="2151"/>
      <c r="IHW94" s="2151"/>
      <c r="IHX94" s="2151"/>
      <c r="IHY94" s="2151"/>
      <c r="IHZ94" s="2150"/>
      <c r="IIA94" s="2151"/>
      <c r="IIB94" s="2151"/>
      <c r="IIC94" s="2151"/>
      <c r="IID94" s="2151"/>
      <c r="IIE94" s="2151"/>
      <c r="IIF94" s="2151"/>
      <c r="IIG94" s="2151"/>
      <c r="IIH94" s="2151"/>
      <c r="III94" s="2151"/>
      <c r="IIJ94" s="2151"/>
      <c r="IIK94" s="2151"/>
      <c r="IIL94" s="2151"/>
      <c r="IIM94" s="2151"/>
      <c r="IIN94" s="2151"/>
      <c r="IIO94" s="2151"/>
      <c r="IIP94" s="2150"/>
      <c r="IIQ94" s="2151"/>
      <c r="IIR94" s="2151"/>
      <c r="IIS94" s="2151"/>
      <c r="IIT94" s="2151"/>
      <c r="IIU94" s="2151"/>
      <c r="IIV94" s="2151"/>
      <c r="IIW94" s="2151"/>
      <c r="IIX94" s="2151"/>
      <c r="IIY94" s="2151"/>
      <c r="IIZ94" s="2151"/>
      <c r="IJA94" s="2151"/>
      <c r="IJB94" s="2151"/>
      <c r="IJC94" s="2151"/>
      <c r="IJD94" s="2151"/>
      <c r="IJE94" s="2151"/>
      <c r="IJF94" s="2150"/>
      <c r="IJG94" s="2151"/>
      <c r="IJH94" s="2151"/>
      <c r="IJI94" s="2151"/>
      <c r="IJJ94" s="2151"/>
      <c r="IJK94" s="2151"/>
      <c r="IJL94" s="2151"/>
      <c r="IJM94" s="2151"/>
      <c r="IJN94" s="2151"/>
      <c r="IJO94" s="2151"/>
      <c r="IJP94" s="2151"/>
      <c r="IJQ94" s="2151"/>
      <c r="IJR94" s="2151"/>
      <c r="IJS94" s="2151"/>
      <c r="IJT94" s="2151"/>
      <c r="IJU94" s="2151"/>
      <c r="IJV94" s="2150"/>
      <c r="IJW94" s="2151"/>
      <c r="IJX94" s="2151"/>
      <c r="IJY94" s="2151"/>
      <c r="IJZ94" s="2151"/>
      <c r="IKA94" s="2151"/>
      <c r="IKB94" s="2151"/>
      <c r="IKC94" s="2151"/>
      <c r="IKD94" s="2151"/>
      <c r="IKE94" s="2151"/>
      <c r="IKF94" s="2151"/>
      <c r="IKG94" s="2151"/>
      <c r="IKH94" s="2151"/>
      <c r="IKI94" s="2151"/>
      <c r="IKJ94" s="2151"/>
      <c r="IKK94" s="2151"/>
      <c r="IKL94" s="2150"/>
      <c r="IKM94" s="2151"/>
      <c r="IKN94" s="2151"/>
      <c r="IKO94" s="2151"/>
      <c r="IKP94" s="2151"/>
      <c r="IKQ94" s="2151"/>
      <c r="IKR94" s="2151"/>
      <c r="IKS94" s="2151"/>
      <c r="IKT94" s="2151"/>
      <c r="IKU94" s="2151"/>
      <c r="IKV94" s="2151"/>
      <c r="IKW94" s="2151"/>
      <c r="IKX94" s="2151"/>
      <c r="IKY94" s="2151"/>
      <c r="IKZ94" s="2151"/>
      <c r="ILA94" s="2151"/>
      <c r="ILB94" s="2150"/>
      <c r="ILC94" s="2151"/>
      <c r="ILD94" s="2151"/>
      <c r="ILE94" s="2151"/>
      <c r="ILF94" s="2151"/>
      <c r="ILG94" s="2151"/>
      <c r="ILH94" s="2151"/>
      <c r="ILI94" s="2151"/>
      <c r="ILJ94" s="2151"/>
      <c r="ILK94" s="2151"/>
      <c r="ILL94" s="2151"/>
      <c r="ILM94" s="2151"/>
      <c r="ILN94" s="2151"/>
      <c r="ILO94" s="2151"/>
      <c r="ILP94" s="2151"/>
      <c r="ILQ94" s="2151"/>
      <c r="ILR94" s="2150"/>
      <c r="ILS94" s="2151"/>
      <c r="ILT94" s="2151"/>
      <c r="ILU94" s="2151"/>
      <c r="ILV94" s="2151"/>
      <c r="ILW94" s="2151"/>
      <c r="ILX94" s="2151"/>
      <c r="ILY94" s="2151"/>
      <c r="ILZ94" s="2151"/>
      <c r="IMA94" s="2151"/>
      <c r="IMB94" s="2151"/>
      <c r="IMC94" s="2151"/>
      <c r="IMD94" s="2151"/>
      <c r="IME94" s="2151"/>
      <c r="IMF94" s="2151"/>
      <c r="IMG94" s="2151"/>
      <c r="IMH94" s="2150"/>
      <c r="IMI94" s="2151"/>
      <c r="IMJ94" s="2151"/>
      <c r="IMK94" s="2151"/>
      <c r="IML94" s="2151"/>
      <c r="IMM94" s="2151"/>
      <c r="IMN94" s="2151"/>
      <c r="IMO94" s="2151"/>
      <c r="IMP94" s="2151"/>
      <c r="IMQ94" s="2151"/>
      <c r="IMR94" s="2151"/>
      <c r="IMS94" s="2151"/>
      <c r="IMT94" s="2151"/>
      <c r="IMU94" s="2151"/>
      <c r="IMV94" s="2151"/>
      <c r="IMW94" s="2151"/>
      <c r="IMX94" s="2150"/>
      <c r="IMY94" s="2151"/>
      <c r="IMZ94" s="2151"/>
      <c r="INA94" s="2151"/>
      <c r="INB94" s="2151"/>
      <c r="INC94" s="2151"/>
      <c r="IND94" s="2151"/>
      <c r="INE94" s="2151"/>
      <c r="INF94" s="2151"/>
      <c r="ING94" s="2151"/>
      <c r="INH94" s="2151"/>
      <c r="INI94" s="2151"/>
      <c r="INJ94" s="2151"/>
      <c r="INK94" s="2151"/>
      <c r="INL94" s="2151"/>
      <c r="INM94" s="2151"/>
      <c r="INN94" s="2150"/>
      <c r="INO94" s="2151"/>
      <c r="INP94" s="2151"/>
      <c r="INQ94" s="2151"/>
      <c r="INR94" s="2151"/>
      <c r="INS94" s="2151"/>
      <c r="INT94" s="2151"/>
      <c r="INU94" s="2151"/>
      <c r="INV94" s="2151"/>
      <c r="INW94" s="2151"/>
      <c r="INX94" s="2151"/>
      <c r="INY94" s="2151"/>
      <c r="INZ94" s="2151"/>
      <c r="IOA94" s="2151"/>
      <c r="IOB94" s="2151"/>
      <c r="IOC94" s="2151"/>
      <c r="IOD94" s="2150"/>
      <c r="IOE94" s="2151"/>
      <c r="IOF94" s="2151"/>
      <c r="IOG94" s="2151"/>
      <c r="IOH94" s="2151"/>
      <c r="IOI94" s="2151"/>
      <c r="IOJ94" s="2151"/>
      <c r="IOK94" s="2151"/>
      <c r="IOL94" s="2151"/>
      <c r="IOM94" s="2151"/>
      <c r="ION94" s="2151"/>
      <c r="IOO94" s="2151"/>
      <c r="IOP94" s="2151"/>
      <c r="IOQ94" s="2151"/>
      <c r="IOR94" s="2151"/>
      <c r="IOS94" s="2151"/>
      <c r="IOT94" s="2150"/>
      <c r="IOU94" s="2151"/>
      <c r="IOV94" s="2151"/>
      <c r="IOW94" s="2151"/>
      <c r="IOX94" s="2151"/>
      <c r="IOY94" s="2151"/>
      <c r="IOZ94" s="2151"/>
      <c r="IPA94" s="2151"/>
      <c r="IPB94" s="2151"/>
      <c r="IPC94" s="2151"/>
      <c r="IPD94" s="2151"/>
      <c r="IPE94" s="2151"/>
      <c r="IPF94" s="2151"/>
      <c r="IPG94" s="2151"/>
      <c r="IPH94" s="2151"/>
      <c r="IPI94" s="2151"/>
      <c r="IPJ94" s="2150"/>
      <c r="IPK94" s="2151"/>
      <c r="IPL94" s="2151"/>
      <c r="IPM94" s="2151"/>
      <c r="IPN94" s="2151"/>
      <c r="IPO94" s="2151"/>
      <c r="IPP94" s="2151"/>
      <c r="IPQ94" s="2151"/>
      <c r="IPR94" s="2151"/>
      <c r="IPS94" s="2151"/>
      <c r="IPT94" s="2151"/>
      <c r="IPU94" s="2151"/>
      <c r="IPV94" s="2151"/>
      <c r="IPW94" s="2151"/>
      <c r="IPX94" s="2151"/>
      <c r="IPY94" s="2151"/>
      <c r="IPZ94" s="2150"/>
      <c r="IQA94" s="2151"/>
      <c r="IQB94" s="2151"/>
      <c r="IQC94" s="2151"/>
      <c r="IQD94" s="2151"/>
      <c r="IQE94" s="2151"/>
      <c r="IQF94" s="2151"/>
      <c r="IQG94" s="2151"/>
      <c r="IQH94" s="2151"/>
      <c r="IQI94" s="2151"/>
      <c r="IQJ94" s="2151"/>
      <c r="IQK94" s="2151"/>
      <c r="IQL94" s="2151"/>
      <c r="IQM94" s="2151"/>
      <c r="IQN94" s="2151"/>
      <c r="IQO94" s="2151"/>
      <c r="IQP94" s="2150"/>
      <c r="IQQ94" s="2151"/>
      <c r="IQR94" s="2151"/>
      <c r="IQS94" s="2151"/>
      <c r="IQT94" s="2151"/>
      <c r="IQU94" s="2151"/>
      <c r="IQV94" s="2151"/>
      <c r="IQW94" s="2151"/>
      <c r="IQX94" s="2151"/>
      <c r="IQY94" s="2151"/>
      <c r="IQZ94" s="2151"/>
      <c r="IRA94" s="2151"/>
      <c r="IRB94" s="2151"/>
      <c r="IRC94" s="2151"/>
      <c r="IRD94" s="2151"/>
      <c r="IRE94" s="2151"/>
      <c r="IRF94" s="2150"/>
      <c r="IRG94" s="2151"/>
      <c r="IRH94" s="2151"/>
      <c r="IRI94" s="2151"/>
      <c r="IRJ94" s="2151"/>
      <c r="IRK94" s="2151"/>
      <c r="IRL94" s="2151"/>
      <c r="IRM94" s="2151"/>
      <c r="IRN94" s="2151"/>
      <c r="IRO94" s="2151"/>
      <c r="IRP94" s="2151"/>
      <c r="IRQ94" s="2151"/>
      <c r="IRR94" s="2151"/>
      <c r="IRS94" s="2151"/>
      <c r="IRT94" s="2151"/>
      <c r="IRU94" s="2151"/>
      <c r="IRV94" s="2150"/>
      <c r="IRW94" s="2151"/>
      <c r="IRX94" s="2151"/>
      <c r="IRY94" s="2151"/>
      <c r="IRZ94" s="2151"/>
      <c r="ISA94" s="2151"/>
      <c r="ISB94" s="2151"/>
      <c r="ISC94" s="2151"/>
      <c r="ISD94" s="2151"/>
      <c r="ISE94" s="2151"/>
      <c r="ISF94" s="2151"/>
      <c r="ISG94" s="2151"/>
      <c r="ISH94" s="2151"/>
      <c r="ISI94" s="2151"/>
      <c r="ISJ94" s="2151"/>
      <c r="ISK94" s="2151"/>
      <c r="ISL94" s="2150"/>
      <c r="ISM94" s="2151"/>
      <c r="ISN94" s="2151"/>
      <c r="ISO94" s="2151"/>
      <c r="ISP94" s="2151"/>
      <c r="ISQ94" s="2151"/>
      <c r="ISR94" s="2151"/>
      <c r="ISS94" s="2151"/>
      <c r="IST94" s="2151"/>
      <c r="ISU94" s="2151"/>
      <c r="ISV94" s="2151"/>
      <c r="ISW94" s="2151"/>
      <c r="ISX94" s="2151"/>
      <c r="ISY94" s="2151"/>
      <c r="ISZ94" s="2151"/>
      <c r="ITA94" s="2151"/>
      <c r="ITB94" s="2150"/>
      <c r="ITC94" s="2151"/>
      <c r="ITD94" s="2151"/>
      <c r="ITE94" s="2151"/>
      <c r="ITF94" s="2151"/>
      <c r="ITG94" s="2151"/>
      <c r="ITH94" s="2151"/>
      <c r="ITI94" s="2151"/>
      <c r="ITJ94" s="2151"/>
      <c r="ITK94" s="2151"/>
      <c r="ITL94" s="2151"/>
      <c r="ITM94" s="2151"/>
      <c r="ITN94" s="2151"/>
      <c r="ITO94" s="2151"/>
      <c r="ITP94" s="2151"/>
      <c r="ITQ94" s="2151"/>
      <c r="ITR94" s="2150"/>
      <c r="ITS94" s="2151"/>
      <c r="ITT94" s="2151"/>
      <c r="ITU94" s="2151"/>
      <c r="ITV94" s="2151"/>
      <c r="ITW94" s="2151"/>
      <c r="ITX94" s="2151"/>
      <c r="ITY94" s="2151"/>
      <c r="ITZ94" s="2151"/>
      <c r="IUA94" s="2151"/>
      <c r="IUB94" s="2151"/>
      <c r="IUC94" s="2151"/>
      <c r="IUD94" s="2151"/>
      <c r="IUE94" s="2151"/>
      <c r="IUF94" s="2151"/>
      <c r="IUG94" s="2151"/>
      <c r="IUH94" s="2150"/>
      <c r="IUI94" s="2151"/>
      <c r="IUJ94" s="2151"/>
      <c r="IUK94" s="2151"/>
      <c r="IUL94" s="2151"/>
      <c r="IUM94" s="2151"/>
      <c r="IUN94" s="2151"/>
      <c r="IUO94" s="2151"/>
      <c r="IUP94" s="2151"/>
      <c r="IUQ94" s="2151"/>
      <c r="IUR94" s="2151"/>
      <c r="IUS94" s="2151"/>
      <c r="IUT94" s="2151"/>
      <c r="IUU94" s="2151"/>
      <c r="IUV94" s="2151"/>
      <c r="IUW94" s="2151"/>
      <c r="IUX94" s="2150"/>
      <c r="IUY94" s="2151"/>
      <c r="IUZ94" s="2151"/>
      <c r="IVA94" s="2151"/>
      <c r="IVB94" s="2151"/>
      <c r="IVC94" s="2151"/>
      <c r="IVD94" s="2151"/>
      <c r="IVE94" s="2151"/>
      <c r="IVF94" s="2151"/>
      <c r="IVG94" s="2151"/>
      <c r="IVH94" s="2151"/>
      <c r="IVI94" s="2151"/>
      <c r="IVJ94" s="2151"/>
      <c r="IVK94" s="2151"/>
      <c r="IVL94" s="2151"/>
      <c r="IVM94" s="2151"/>
      <c r="IVN94" s="2150"/>
      <c r="IVO94" s="2151"/>
      <c r="IVP94" s="2151"/>
      <c r="IVQ94" s="2151"/>
      <c r="IVR94" s="2151"/>
      <c r="IVS94" s="2151"/>
      <c r="IVT94" s="2151"/>
      <c r="IVU94" s="2151"/>
      <c r="IVV94" s="2151"/>
      <c r="IVW94" s="2151"/>
      <c r="IVX94" s="2151"/>
      <c r="IVY94" s="2151"/>
      <c r="IVZ94" s="2151"/>
      <c r="IWA94" s="2151"/>
      <c r="IWB94" s="2151"/>
      <c r="IWC94" s="2151"/>
      <c r="IWD94" s="2150"/>
      <c r="IWE94" s="2151"/>
      <c r="IWF94" s="2151"/>
      <c r="IWG94" s="2151"/>
      <c r="IWH94" s="2151"/>
      <c r="IWI94" s="2151"/>
      <c r="IWJ94" s="2151"/>
      <c r="IWK94" s="2151"/>
      <c r="IWL94" s="2151"/>
      <c r="IWM94" s="2151"/>
      <c r="IWN94" s="2151"/>
      <c r="IWO94" s="2151"/>
      <c r="IWP94" s="2151"/>
      <c r="IWQ94" s="2151"/>
      <c r="IWR94" s="2151"/>
      <c r="IWS94" s="2151"/>
      <c r="IWT94" s="2150"/>
      <c r="IWU94" s="2151"/>
      <c r="IWV94" s="2151"/>
      <c r="IWW94" s="2151"/>
      <c r="IWX94" s="2151"/>
      <c r="IWY94" s="2151"/>
      <c r="IWZ94" s="2151"/>
      <c r="IXA94" s="2151"/>
      <c r="IXB94" s="2151"/>
      <c r="IXC94" s="2151"/>
      <c r="IXD94" s="2151"/>
      <c r="IXE94" s="2151"/>
      <c r="IXF94" s="2151"/>
      <c r="IXG94" s="2151"/>
      <c r="IXH94" s="2151"/>
      <c r="IXI94" s="2151"/>
      <c r="IXJ94" s="2150"/>
      <c r="IXK94" s="2151"/>
      <c r="IXL94" s="2151"/>
      <c r="IXM94" s="2151"/>
      <c r="IXN94" s="2151"/>
      <c r="IXO94" s="2151"/>
      <c r="IXP94" s="2151"/>
      <c r="IXQ94" s="2151"/>
      <c r="IXR94" s="2151"/>
      <c r="IXS94" s="2151"/>
      <c r="IXT94" s="2151"/>
      <c r="IXU94" s="2151"/>
      <c r="IXV94" s="2151"/>
      <c r="IXW94" s="2151"/>
      <c r="IXX94" s="2151"/>
      <c r="IXY94" s="2151"/>
      <c r="IXZ94" s="2150"/>
      <c r="IYA94" s="2151"/>
      <c r="IYB94" s="2151"/>
      <c r="IYC94" s="2151"/>
      <c r="IYD94" s="2151"/>
      <c r="IYE94" s="2151"/>
      <c r="IYF94" s="2151"/>
      <c r="IYG94" s="2151"/>
      <c r="IYH94" s="2151"/>
      <c r="IYI94" s="2151"/>
      <c r="IYJ94" s="2151"/>
      <c r="IYK94" s="2151"/>
      <c r="IYL94" s="2151"/>
      <c r="IYM94" s="2151"/>
      <c r="IYN94" s="2151"/>
      <c r="IYO94" s="2151"/>
      <c r="IYP94" s="2150"/>
      <c r="IYQ94" s="2151"/>
      <c r="IYR94" s="2151"/>
      <c r="IYS94" s="2151"/>
      <c r="IYT94" s="2151"/>
      <c r="IYU94" s="2151"/>
      <c r="IYV94" s="2151"/>
      <c r="IYW94" s="2151"/>
      <c r="IYX94" s="2151"/>
      <c r="IYY94" s="2151"/>
      <c r="IYZ94" s="2151"/>
      <c r="IZA94" s="2151"/>
      <c r="IZB94" s="2151"/>
      <c r="IZC94" s="2151"/>
      <c r="IZD94" s="2151"/>
      <c r="IZE94" s="2151"/>
      <c r="IZF94" s="2150"/>
      <c r="IZG94" s="2151"/>
      <c r="IZH94" s="2151"/>
      <c r="IZI94" s="2151"/>
      <c r="IZJ94" s="2151"/>
      <c r="IZK94" s="2151"/>
      <c r="IZL94" s="2151"/>
      <c r="IZM94" s="2151"/>
      <c r="IZN94" s="2151"/>
      <c r="IZO94" s="2151"/>
      <c r="IZP94" s="2151"/>
      <c r="IZQ94" s="2151"/>
      <c r="IZR94" s="2151"/>
      <c r="IZS94" s="2151"/>
      <c r="IZT94" s="2151"/>
      <c r="IZU94" s="2151"/>
      <c r="IZV94" s="2150"/>
      <c r="IZW94" s="2151"/>
      <c r="IZX94" s="2151"/>
      <c r="IZY94" s="2151"/>
      <c r="IZZ94" s="2151"/>
      <c r="JAA94" s="2151"/>
      <c r="JAB94" s="2151"/>
      <c r="JAC94" s="2151"/>
      <c r="JAD94" s="2151"/>
      <c r="JAE94" s="2151"/>
      <c r="JAF94" s="2151"/>
      <c r="JAG94" s="2151"/>
      <c r="JAH94" s="2151"/>
      <c r="JAI94" s="2151"/>
      <c r="JAJ94" s="2151"/>
      <c r="JAK94" s="2151"/>
      <c r="JAL94" s="2150"/>
      <c r="JAM94" s="2151"/>
      <c r="JAN94" s="2151"/>
      <c r="JAO94" s="2151"/>
      <c r="JAP94" s="2151"/>
      <c r="JAQ94" s="2151"/>
      <c r="JAR94" s="2151"/>
      <c r="JAS94" s="2151"/>
      <c r="JAT94" s="2151"/>
      <c r="JAU94" s="2151"/>
      <c r="JAV94" s="2151"/>
      <c r="JAW94" s="2151"/>
      <c r="JAX94" s="2151"/>
      <c r="JAY94" s="2151"/>
      <c r="JAZ94" s="2151"/>
      <c r="JBA94" s="2151"/>
      <c r="JBB94" s="2150"/>
      <c r="JBC94" s="2151"/>
      <c r="JBD94" s="2151"/>
      <c r="JBE94" s="2151"/>
      <c r="JBF94" s="2151"/>
      <c r="JBG94" s="2151"/>
      <c r="JBH94" s="2151"/>
      <c r="JBI94" s="2151"/>
      <c r="JBJ94" s="2151"/>
      <c r="JBK94" s="2151"/>
      <c r="JBL94" s="2151"/>
      <c r="JBM94" s="2151"/>
      <c r="JBN94" s="2151"/>
      <c r="JBO94" s="2151"/>
      <c r="JBP94" s="2151"/>
      <c r="JBQ94" s="2151"/>
      <c r="JBR94" s="2150"/>
      <c r="JBS94" s="2151"/>
      <c r="JBT94" s="2151"/>
      <c r="JBU94" s="2151"/>
      <c r="JBV94" s="2151"/>
      <c r="JBW94" s="2151"/>
      <c r="JBX94" s="2151"/>
      <c r="JBY94" s="2151"/>
      <c r="JBZ94" s="2151"/>
      <c r="JCA94" s="2151"/>
      <c r="JCB94" s="2151"/>
      <c r="JCC94" s="2151"/>
      <c r="JCD94" s="2151"/>
      <c r="JCE94" s="2151"/>
      <c r="JCF94" s="2151"/>
      <c r="JCG94" s="2151"/>
      <c r="JCH94" s="2150"/>
      <c r="JCI94" s="2151"/>
      <c r="JCJ94" s="2151"/>
      <c r="JCK94" s="2151"/>
      <c r="JCL94" s="2151"/>
      <c r="JCM94" s="2151"/>
      <c r="JCN94" s="2151"/>
      <c r="JCO94" s="2151"/>
      <c r="JCP94" s="2151"/>
      <c r="JCQ94" s="2151"/>
      <c r="JCR94" s="2151"/>
      <c r="JCS94" s="2151"/>
      <c r="JCT94" s="2151"/>
      <c r="JCU94" s="2151"/>
      <c r="JCV94" s="2151"/>
      <c r="JCW94" s="2151"/>
      <c r="JCX94" s="2150"/>
      <c r="JCY94" s="2151"/>
      <c r="JCZ94" s="2151"/>
      <c r="JDA94" s="2151"/>
      <c r="JDB94" s="2151"/>
      <c r="JDC94" s="2151"/>
      <c r="JDD94" s="2151"/>
      <c r="JDE94" s="2151"/>
      <c r="JDF94" s="2151"/>
      <c r="JDG94" s="2151"/>
      <c r="JDH94" s="2151"/>
      <c r="JDI94" s="2151"/>
      <c r="JDJ94" s="2151"/>
      <c r="JDK94" s="2151"/>
      <c r="JDL94" s="2151"/>
      <c r="JDM94" s="2151"/>
      <c r="JDN94" s="2150"/>
      <c r="JDO94" s="2151"/>
      <c r="JDP94" s="2151"/>
      <c r="JDQ94" s="2151"/>
      <c r="JDR94" s="2151"/>
      <c r="JDS94" s="2151"/>
      <c r="JDT94" s="2151"/>
      <c r="JDU94" s="2151"/>
      <c r="JDV94" s="2151"/>
      <c r="JDW94" s="2151"/>
      <c r="JDX94" s="2151"/>
      <c r="JDY94" s="2151"/>
      <c r="JDZ94" s="2151"/>
      <c r="JEA94" s="2151"/>
      <c r="JEB94" s="2151"/>
      <c r="JEC94" s="2151"/>
      <c r="JED94" s="2150"/>
      <c r="JEE94" s="2151"/>
      <c r="JEF94" s="2151"/>
      <c r="JEG94" s="2151"/>
      <c r="JEH94" s="2151"/>
      <c r="JEI94" s="2151"/>
      <c r="JEJ94" s="2151"/>
      <c r="JEK94" s="2151"/>
      <c r="JEL94" s="2151"/>
      <c r="JEM94" s="2151"/>
      <c r="JEN94" s="2151"/>
      <c r="JEO94" s="2151"/>
      <c r="JEP94" s="2151"/>
      <c r="JEQ94" s="2151"/>
      <c r="JER94" s="2151"/>
      <c r="JES94" s="2151"/>
      <c r="JET94" s="2150"/>
      <c r="JEU94" s="2151"/>
      <c r="JEV94" s="2151"/>
      <c r="JEW94" s="2151"/>
      <c r="JEX94" s="2151"/>
      <c r="JEY94" s="2151"/>
      <c r="JEZ94" s="2151"/>
      <c r="JFA94" s="2151"/>
      <c r="JFB94" s="2151"/>
      <c r="JFC94" s="2151"/>
      <c r="JFD94" s="2151"/>
      <c r="JFE94" s="2151"/>
      <c r="JFF94" s="2151"/>
      <c r="JFG94" s="2151"/>
      <c r="JFH94" s="2151"/>
      <c r="JFI94" s="2151"/>
      <c r="JFJ94" s="2150"/>
      <c r="JFK94" s="2151"/>
      <c r="JFL94" s="2151"/>
      <c r="JFM94" s="2151"/>
      <c r="JFN94" s="2151"/>
      <c r="JFO94" s="2151"/>
      <c r="JFP94" s="2151"/>
      <c r="JFQ94" s="2151"/>
      <c r="JFR94" s="2151"/>
      <c r="JFS94" s="2151"/>
      <c r="JFT94" s="2151"/>
      <c r="JFU94" s="2151"/>
      <c r="JFV94" s="2151"/>
      <c r="JFW94" s="2151"/>
      <c r="JFX94" s="2151"/>
      <c r="JFY94" s="2151"/>
      <c r="JFZ94" s="2150"/>
      <c r="JGA94" s="2151"/>
      <c r="JGB94" s="2151"/>
      <c r="JGC94" s="2151"/>
      <c r="JGD94" s="2151"/>
      <c r="JGE94" s="2151"/>
      <c r="JGF94" s="2151"/>
      <c r="JGG94" s="2151"/>
      <c r="JGH94" s="2151"/>
      <c r="JGI94" s="2151"/>
      <c r="JGJ94" s="2151"/>
      <c r="JGK94" s="2151"/>
      <c r="JGL94" s="2151"/>
      <c r="JGM94" s="2151"/>
      <c r="JGN94" s="2151"/>
      <c r="JGO94" s="2151"/>
      <c r="JGP94" s="2150"/>
      <c r="JGQ94" s="2151"/>
      <c r="JGR94" s="2151"/>
      <c r="JGS94" s="2151"/>
      <c r="JGT94" s="2151"/>
      <c r="JGU94" s="2151"/>
      <c r="JGV94" s="2151"/>
      <c r="JGW94" s="2151"/>
      <c r="JGX94" s="2151"/>
      <c r="JGY94" s="2151"/>
      <c r="JGZ94" s="2151"/>
      <c r="JHA94" s="2151"/>
      <c r="JHB94" s="2151"/>
      <c r="JHC94" s="2151"/>
      <c r="JHD94" s="2151"/>
      <c r="JHE94" s="2151"/>
      <c r="JHF94" s="2150"/>
      <c r="JHG94" s="2151"/>
      <c r="JHH94" s="2151"/>
      <c r="JHI94" s="2151"/>
      <c r="JHJ94" s="2151"/>
      <c r="JHK94" s="2151"/>
      <c r="JHL94" s="2151"/>
      <c r="JHM94" s="2151"/>
      <c r="JHN94" s="2151"/>
      <c r="JHO94" s="2151"/>
      <c r="JHP94" s="2151"/>
      <c r="JHQ94" s="2151"/>
      <c r="JHR94" s="2151"/>
      <c r="JHS94" s="2151"/>
      <c r="JHT94" s="2151"/>
      <c r="JHU94" s="2151"/>
      <c r="JHV94" s="2150"/>
      <c r="JHW94" s="2151"/>
      <c r="JHX94" s="2151"/>
      <c r="JHY94" s="2151"/>
      <c r="JHZ94" s="2151"/>
      <c r="JIA94" s="2151"/>
      <c r="JIB94" s="2151"/>
      <c r="JIC94" s="2151"/>
      <c r="JID94" s="2151"/>
      <c r="JIE94" s="2151"/>
      <c r="JIF94" s="2151"/>
      <c r="JIG94" s="2151"/>
      <c r="JIH94" s="2151"/>
      <c r="JII94" s="2151"/>
      <c r="JIJ94" s="2151"/>
      <c r="JIK94" s="2151"/>
      <c r="JIL94" s="2150"/>
      <c r="JIM94" s="2151"/>
      <c r="JIN94" s="2151"/>
      <c r="JIO94" s="2151"/>
      <c r="JIP94" s="2151"/>
      <c r="JIQ94" s="2151"/>
      <c r="JIR94" s="2151"/>
      <c r="JIS94" s="2151"/>
      <c r="JIT94" s="2151"/>
      <c r="JIU94" s="2151"/>
      <c r="JIV94" s="2151"/>
      <c r="JIW94" s="2151"/>
      <c r="JIX94" s="2151"/>
      <c r="JIY94" s="2151"/>
      <c r="JIZ94" s="2151"/>
      <c r="JJA94" s="2151"/>
      <c r="JJB94" s="2150"/>
      <c r="JJC94" s="2151"/>
      <c r="JJD94" s="2151"/>
      <c r="JJE94" s="2151"/>
      <c r="JJF94" s="2151"/>
      <c r="JJG94" s="2151"/>
      <c r="JJH94" s="2151"/>
      <c r="JJI94" s="2151"/>
      <c r="JJJ94" s="2151"/>
      <c r="JJK94" s="2151"/>
      <c r="JJL94" s="2151"/>
      <c r="JJM94" s="2151"/>
      <c r="JJN94" s="2151"/>
      <c r="JJO94" s="2151"/>
      <c r="JJP94" s="2151"/>
      <c r="JJQ94" s="2151"/>
      <c r="JJR94" s="2150"/>
      <c r="JJS94" s="2151"/>
      <c r="JJT94" s="2151"/>
      <c r="JJU94" s="2151"/>
      <c r="JJV94" s="2151"/>
      <c r="JJW94" s="2151"/>
      <c r="JJX94" s="2151"/>
      <c r="JJY94" s="2151"/>
      <c r="JJZ94" s="2151"/>
      <c r="JKA94" s="2151"/>
      <c r="JKB94" s="2151"/>
      <c r="JKC94" s="2151"/>
      <c r="JKD94" s="2151"/>
      <c r="JKE94" s="2151"/>
      <c r="JKF94" s="2151"/>
      <c r="JKG94" s="2151"/>
      <c r="JKH94" s="2150"/>
      <c r="JKI94" s="2151"/>
      <c r="JKJ94" s="2151"/>
      <c r="JKK94" s="2151"/>
      <c r="JKL94" s="2151"/>
      <c r="JKM94" s="2151"/>
      <c r="JKN94" s="2151"/>
      <c r="JKO94" s="2151"/>
      <c r="JKP94" s="2151"/>
      <c r="JKQ94" s="2151"/>
      <c r="JKR94" s="2151"/>
      <c r="JKS94" s="2151"/>
      <c r="JKT94" s="2151"/>
      <c r="JKU94" s="2151"/>
      <c r="JKV94" s="2151"/>
      <c r="JKW94" s="2151"/>
      <c r="JKX94" s="2150"/>
      <c r="JKY94" s="2151"/>
      <c r="JKZ94" s="2151"/>
      <c r="JLA94" s="2151"/>
      <c r="JLB94" s="2151"/>
      <c r="JLC94" s="2151"/>
      <c r="JLD94" s="2151"/>
      <c r="JLE94" s="2151"/>
      <c r="JLF94" s="2151"/>
      <c r="JLG94" s="2151"/>
      <c r="JLH94" s="2151"/>
      <c r="JLI94" s="2151"/>
      <c r="JLJ94" s="2151"/>
      <c r="JLK94" s="2151"/>
      <c r="JLL94" s="2151"/>
      <c r="JLM94" s="2151"/>
      <c r="JLN94" s="2150"/>
      <c r="JLO94" s="2151"/>
      <c r="JLP94" s="2151"/>
      <c r="JLQ94" s="2151"/>
      <c r="JLR94" s="2151"/>
      <c r="JLS94" s="2151"/>
      <c r="JLT94" s="2151"/>
      <c r="JLU94" s="2151"/>
      <c r="JLV94" s="2151"/>
      <c r="JLW94" s="2151"/>
      <c r="JLX94" s="2151"/>
      <c r="JLY94" s="2151"/>
      <c r="JLZ94" s="2151"/>
      <c r="JMA94" s="2151"/>
      <c r="JMB94" s="2151"/>
      <c r="JMC94" s="2151"/>
      <c r="JMD94" s="2150"/>
      <c r="JME94" s="2151"/>
      <c r="JMF94" s="2151"/>
      <c r="JMG94" s="2151"/>
      <c r="JMH94" s="2151"/>
      <c r="JMI94" s="2151"/>
      <c r="JMJ94" s="2151"/>
      <c r="JMK94" s="2151"/>
      <c r="JML94" s="2151"/>
      <c r="JMM94" s="2151"/>
      <c r="JMN94" s="2151"/>
      <c r="JMO94" s="2151"/>
      <c r="JMP94" s="2151"/>
      <c r="JMQ94" s="2151"/>
      <c r="JMR94" s="2151"/>
      <c r="JMS94" s="2151"/>
      <c r="JMT94" s="2150"/>
      <c r="JMU94" s="2151"/>
      <c r="JMV94" s="2151"/>
      <c r="JMW94" s="2151"/>
      <c r="JMX94" s="2151"/>
      <c r="JMY94" s="2151"/>
      <c r="JMZ94" s="2151"/>
      <c r="JNA94" s="2151"/>
      <c r="JNB94" s="2151"/>
      <c r="JNC94" s="2151"/>
      <c r="JND94" s="2151"/>
      <c r="JNE94" s="2151"/>
      <c r="JNF94" s="2151"/>
      <c r="JNG94" s="2151"/>
      <c r="JNH94" s="2151"/>
      <c r="JNI94" s="2151"/>
      <c r="JNJ94" s="2150"/>
      <c r="JNK94" s="2151"/>
      <c r="JNL94" s="2151"/>
      <c r="JNM94" s="2151"/>
      <c r="JNN94" s="2151"/>
      <c r="JNO94" s="2151"/>
      <c r="JNP94" s="2151"/>
      <c r="JNQ94" s="2151"/>
      <c r="JNR94" s="2151"/>
      <c r="JNS94" s="2151"/>
      <c r="JNT94" s="2151"/>
      <c r="JNU94" s="2151"/>
      <c r="JNV94" s="2151"/>
      <c r="JNW94" s="2151"/>
      <c r="JNX94" s="2151"/>
      <c r="JNY94" s="2151"/>
      <c r="JNZ94" s="2150"/>
      <c r="JOA94" s="2151"/>
      <c r="JOB94" s="2151"/>
      <c r="JOC94" s="2151"/>
      <c r="JOD94" s="2151"/>
      <c r="JOE94" s="2151"/>
      <c r="JOF94" s="2151"/>
      <c r="JOG94" s="2151"/>
      <c r="JOH94" s="2151"/>
      <c r="JOI94" s="2151"/>
      <c r="JOJ94" s="2151"/>
      <c r="JOK94" s="2151"/>
      <c r="JOL94" s="2151"/>
      <c r="JOM94" s="2151"/>
      <c r="JON94" s="2151"/>
      <c r="JOO94" s="2151"/>
      <c r="JOP94" s="2150"/>
      <c r="JOQ94" s="2151"/>
      <c r="JOR94" s="2151"/>
      <c r="JOS94" s="2151"/>
      <c r="JOT94" s="2151"/>
      <c r="JOU94" s="2151"/>
      <c r="JOV94" s="2151"/>
      <c r="JOW94" s="2151"/>
      <c r="JOX94" s="2151"/>
      <c r="JOY94" s="2151"/>
      <c r="JOZ94" s="2151"/>
      <c r="JPA94" s="2151"/>
      <c r="JPB94" s="2151"/>
      <c r="JPC94" s="2151"/>
      <c r="JPD94" s="2151"/>
      <c r="JPE94" s="2151"/>
      <c r="JPF94" s="2150"/>
      <c r="JPG94" s="2151"/>
      <c r="JPH94" s="2151"/>
      <c r="JPI94" s="2151"/>
      <c r="JPJ94" s="2151"/>
      <c r="JPK94" s="2151"/>
      <c r="JPL94" s="2151"/>
      <c r="JPM94" s="2151"/>
      <c r="JPN94" s="2151"/>
      <c r="JPO94" s="2151"/>
      <c r="JPP94" s="2151"/>
      <c r="JPQ94" s="2151"/>
      <c r="JPR94" s="2151"/>
      <c r="JPS94" s="2151"/>
      <c r="JPT94" s="2151"/>
      <c r="JPU94" s="2151"/>
      <c r="JPV94" s="2150"/>
      <c r="JPW94" s="2151"/>
      <c r="JPX94" s="2151"/>
      <c r="JPY94" s="2151"/>
      <c r="JPZ94" s="2151"/>
      <c r="JQA94" s="2151"/>
      <c r="JQB94" s="2151"/>
      <c r="JQC94" s="2151"/>
      <c r="JQD94" s="2151"/>
      <c r="JQE94" s="2151"/>
      <c r="JQF94" s="2151"/>
      <c r="JQG94" s="2151"/>
      <c r="JQH94" s="2151"/>
      <c r="JQI94" s="2151"/>
      <c r="JQJ94" s="2151"/>
      <c r="JQK94" s="2151"/>
      <c r="JQL94" s="2150"/>
      <c r="JQM94" s="2151"/>
      <c r="JQN94" s="2151"/>
      <c r="JQO94" s="2151"/>
      <c r="JQP94" s="2151"/>
      <c r="JQQ94" s="2151"/>
      <c r="JQR94" s="2151"/>
      <c r="JQS94" s="2151"/>
      <c r="JQT94" s="2151"/>
      <c r="JQU94" s="2151"/>
      <c r="JQV94" s="2151"/>
      <c r="JQW94" s="2151"/>
      <c r="JQX94" s="2151"/>
      <c r="JQY94" s="2151"/>
      <c r="JQZ94" s="2151"/>
      <c r="JRA94" s="2151"/>
      <c r="JRB94" s="2150"/>
      <c r="JRC94" s="2151"/>
      <c r="JRD94" s="2151"/>
      <c r="JRE94" s="2151"/>
      <c r="JRF94" s="2151"/>
      <c r="JRG94" s="2151"/>
      <c r="JRH94" s="2151"/>
      <c r="JRI94" s="2151"/>
      <c r="JRJ94" s="2151"/>
      <c r="JRK94" s="2151"/>
      <c r="JRL94" s="2151"/>
      <c r="JRM94" s="2151"/>
      <c r="JRN94" s="2151"/>
      <c r="JRO94" s="2151"/>
      <c r="JRP94" s="2151"/>
      <c r="JRQ94" s="2151"/>
      <c r="JRR94" s="2150"/>
      <c r="JRS94" s="2151"/>
      <c r="JRT94" s="2151"/>
      <c r="JRU94" s="2151"/>
      <c r="JRV94" s="2151"/>
      <c r="JRW94" s="2151"/>
      <c r="JRX94" s="2151"/>
      <c r="JRY94" s="2151"/>
      <c r="JRZ94" s="2151"/>
      <c r="JSA94" s="2151"/>
      <c r="JSB94" s="2151"/>
      <c r="JSC94" s="2151"/>
      <c r="JSD94" s="2151"/>
      <c r="JSE94" s="2151"/>
      <c r="JSF94" s="2151"/>
      <c r="JSG94" s="2151"/>
      <c r="JSH94" s="2150"/>
      <c r="JSI94" s="2151"/>
      <c r="JSJ94" s="2151"/>
      <c r="JSK94" s="2151"/>
      <c r="JSL94" s="2151"/>
      <c r="JSM94" s="2151"/>
      <c r="JSN94" s="2151"/>
      <c r="JSO94" s="2151"/>
      <c r="JSP94" s="2151"/>
      <c r="JSQ94" s="2151"/>
      <c r="JSR94" s="2151"/>
      <c r="JSS94" s="2151"/>
      <c r="JST94" s="2151"/>
      <c r="JSU94" s="2151"/>
      <c r="JSV94" s="2151"/>
      <c r="JSW94" s="2151"/>
      <c r="JSX94" s="2150"/>
      <c r="JSY94" s="2151"/>
      <c r="JSZ94" s="2151"/>
      <c r="JTA94" s="2151"/>
      <c r="JTB94" s="2151"/>
      <c r="JTC94" s="2151"/>
      <c r="JTD94" s="2151"/>
      <c r="JTE94" s="2151"/>
      <c r="JTF94" s="2151"/>
      <c r="JTG94" s="2151"/>
      <c r="JTH94" s="2151"/>
      <c r="JTI94" s="2151"/>
      <c r="JTJ94" s="2151"/>
      <c r="JTK94" s="2151"/>
      <c r="JTL94" s="2151"/>
      <c r="JTM94" s="2151"/>
      <c r="JTN94" s="2150"/>
      <c r="JTO94" s="2151"/>
      <c r="JTP94" s="2151"/>
      <c r="JTQ94" s="2151"/>
      <c r="JTR94" s="2151"/>
      <c r="JTS94" s="2151"/>
      <c r="JTT94" s="2151"/>
      <c r="JTU94" s="2151"/>
      <c r="JTV94" s="2151"/>
      <c r="JTW94" s="2151"/>
      <c r="JTX94" s="2151"/>
      <c r="JTY94" s="2151"/>
      <c r="JTZ94" s="2151"/>
      <c r="JUA94" s="2151"/>
      <c r="JUB94" s="2151"/>
      <c r="JUC94" s="2151"/>
      <c r="JUD94" s="2150"/>
      <c r="JUE94" s="2151"/>
      <c r="JUF94" s="2151"/>
      <c r="JUG94" s="2151"/>
      <c r="JUH94" s="2151"/>
      <c r="JUI94" s="2151"/>
      <c r="JUJ94" s="2151"/>
      <c r="JUK94" s="2151"/>
      <c r="JUL94" s="2151"/>
      <c r="JUM94" s="2151"/>
      <c r="JUN94" s="2151"/>
      <c r="JUO94" s="2151"/>
      <c r="JUP94" s="2151"/>
      <c r="JUQ94" s="2151"/>
      <c r="JUR94" s="2151"/>
      <c r="JUS94" s="2151"/>
      <c r="JUT94" s="2150"/>
      <c r="JUU94" s="2151"/>
      <c r="JUV94" s="2151"/>
      <c r="JUW94" s="2151"/>
      <c r="JUX94" s="2151"/>
      <c r="JUY94" s="2151"/>
      <c r="JUZ94" s="2151"/>
      <c r="JVA94" s="2151"/>
      <c r="JVB94" s="2151"/>
      <c r="JVC94" s="2151"/>
      <c r="JVD94" s="2151"/>
      <c r="JVE94" s="2151"/>
      <c r="JVF94" s="2151"/>
      <c r="JVG94" s="2151"/>
      <c r="JVH94" s="2151"/>
      <c r="JVI94" s="2151"/>
      <c r="JVJ94" s="2150"/>
      <c r="JVK94" s="2151"/>
      <c r="JVL94" s="2151"/>
      <c r="JVM94" s="2151"/>
      <c r="JVN94" s="2151"/>
      <c r="JVO94" s="2151"/>
      <c r="JVP94" s="2151"/>
      <c r="JVQ94" s="2151"/>
      <c r="JVR94" s="2151"/>
      <c r="JVS94" s="2151"/>
      <c r="JVT94" s="2151"/>
      <c r="JVU94" s="2151"/>
      <c r="JVV94" s="2151"/>
      <c r="JVW94" s="2151"/>
      <c r="JVX94" s="2151"/>
      <c r="JVY94" s="2151"/>
      <c r="JVZ94" s="2150"/>
      <c r="JWA94" s="2151"/>
      <c r="JWB94" s="2151"/>
      <c r="JWC94" s="2151"/>
      <c r="JWD94" s="2151"/>
      <c r="JWE94" s="2151"/>
      <c r="JWF94" s="2151"/>
      <c r="JWG94" s="2151"/>
      <c r="JWH94" s="2151"/>
      <c r="JWI94" s="2151"/>
      <c r="JWJ94" s="2151"/>
      <c r="JWK94" s="2151"/>
      <c r="JWL94" s="2151"/>
      <c r="JWM94" s="2151"/>
      <c r="JWN94" s="2151"/>
      <c r="JWO94" s="2151"/>
      <c r="JWP94" s="2150"/>
      <c r="JWQ94" s="2151"/>
      <c r="JWR94" s="2151"/>
      <c r="JWS94" s="2151"/>
      <c r="JWT94" s="2151"/>
      <c r="JWU94" s="2151"/>
      <c r="JWV94" s="2151"/>
      <c r="JWW94" s="2151"/>
      <c r="JWX94" s="2151"/>
      <c r="JWY94" s="2151"/>
      <c r="JWZ94" s="2151"/>
      <c r="JXA94" s="2151"/>
      <c r="JXB94" s="2151"/>
      <c r="JXC94" s="2151"/>
      <c r="JXD94" s="2151"/>
      <c r="JXE94" s="2151"/>
      <c r="JXF94" s="2150"/>
      <c r="JXG94" s="2151"/>
      <c r="JXH94" s="2151"/>
      <c r="JXI94" s="2151"/>
      <c r="JXJ94" s="2151"/>
      <c r="JXK94" s="2151"/>
      <c r="JXL94" s="2151"/>
      <c r="JXM94" s="2151"/>
      <c r="JXN94" s="2151"/>
      <c r="JXO94" s="2151"/>
      <c r="JXP94" s="2151"/>
      <c r="JXQ94" s="2151"/>
      <c r="JXR94" s="2151"/>
      <c r="JXS94" s="2151"/>
      <c r="JXT94" s="2151"/>
      <c r="JXU94" s="2151"/>
      <c r="JXV94" s="2150"/>
      <c r="JXW94" s="2151"/>
      <c r="JXX94" s="2151"/>
      <c r="JXY94" s="2151"/>
      <c r="JXZ94" s="2151"/>
      <c r="JYA94" s="2151"/>
      <c r="JYB94" s="2151"/>
      <c r="JYC94" s="2151"/>
      <c r="JYD94" s="2151"/>
      <c r="JYE94" s="2151"/>
      <c r="JYF94" s="2151"/>
      <c r="JYG94" s="2151"/>
      <c r="JYH94" s="2151"/>
      <c r="JYI94" s="2151"/>
      <c r="JYJ94" s="2151"/>
      <c r="JYK94" s="2151"/>
      <c r="JYL94" s="2150"/>
      <c r="JYM94" s="2151"/>
      <c r="JYN94" s="2151"/>
      <c r="JYO94" s="2151"/>
      <c r="JYP94" s="2151"/>
      <c r="JYQ94" s="2151"/>
      <c r="JYR94" s="2151"/>
      <c r="JYS94" s="2151"/>
      <c r="JYT94" s="2151"/>
      <c r="JYU94" s="2151"/>
      <c r="JYV94" s="2151"/>
      <c r="JYW94" s="2151"/>
      <c r="JYX94" s="2151"/>
      <c r="JYY94" s="2151"/>
      <c r="JYZ94" s="2151"/>
      <c r="JZA94" s="2151"/>
      <c r="JZB94" s="2150"/>
      <c r="JZC94" s="2151"/>
      <c r="JZD94" s="2151"/>
      <c r="JZE94" s="2151"/>
      <c r="JZF94" s="2151"/>
      <c r="JZG94" s="2151"/>
      <c r="JZH94" s="2151"/>
      <c r="JZI94" s="2151"/>
      <c r="JZJ94" s="2151"/>
      <c r="JZK94" s="2151"/>
      <c r="JZL94" s="2151"/>
      <c r="JZM94" s="2151"/>
      <c r="JZN94" s="2151"/>
      <c r="JZO94" s="2151"/>
      <c r="JZP94" s="2151"/>
      <c r="JZQ94" s="2151"/>
      <c r="JZR94" s="2150"/>
      <c r="JZS94" s="2151"/>
      <c r="JZT94" s="2151"/>
      <c r="JZU94" s="2151"/>
      <c r="JZV94" s="2151"/>
      <c r="JZW94" s="2151"/>
      <c r="JZX94" s="2151"/>
      <c r="JZY94" s="2151"/>
      <c r="JZZ94" s="2151"/>
      <c r="KAA94" s="2151"/>
      <c r="KAB94" s="2151"/>
      <c r="KAC94" s="2151"/>
      <c r="KAD94" s="2151"/>
      <c r="KAE94" s="2151"/>
      <c r="KAF94" s="2151"/>
      <c r="KAG94" s="2151"/>
      <c r="KAH94" s="2150"/>
      <c r="KAI94" s="2151"/>
      <c r="KAJ94" s="2151"/>
      <c r="KAK94" s="2151"/>
      <c r="KAL94" s="2151"/>
      <c r="KAM94" s="2151"/>
      <c r="KAN94" s="2151"/>
      <c r="KAO94" s="2151"/>
      <c r="KAP94" s="2151"/>
      <c r="KAQ94" s="2151"/>
      <c r="KAR94" s="2151"/>
      <c r="KAS94" s="2151"/>
      <c r="KAT94" s="2151"/>
      <c r="KAU94" s="2151"/>
      <c r="KAV94" s="2151"/>
      <c r="KAW94" s="2151"/>
      <c r="KAX94" s="2150"/>
      <c r="KAY94" s="2151"/>
      <c r="KAZ94" s="2151"/>
      <c r="KBA94" s="2151"/>
      <c r="KBB94" s="2151"/>
      <c r="KBC94" s="2151"/>
      <c r="KBD94" s="2151"/>
      <c r="KBE94" s="2151"/>
      <c r="KBF94" s="2151"/>
      <c r="KBG94" s="2151"/>
      <c r="KBH94" s="2151"/>
      <c r="KBI94" s="2151"/>
      <c r="KBJ94" s="2151"/>
      <c r="KBK94" s="2151"/>
      <c r="KBL94" s="2151"/>
      <c r="KBM94" s="2151"/>
      <c r="KBN94" s="2150"/>
      <c r="KBO94" s="2151"/>
      <c r="KBP94" s="2151"/>
      <c r="KBQ94" s="2151"/>
      <c r="KBR94" s="2151"/>
      <c r="KBS94" s="2151"/>
      <c r="KBT94" s="2151"/>
      <c r="KBU94" s="2151"/>
      <c r="KBV94" s="2151"/>
      <c r="KBW94" s="2151"/>
      <c r="KBX94" s="2151"/>
      <c r="KBY94" s="2151"/>
      <c r="KBZ94" s="2151"/>
      <c r="KCA94" s="2151"/>
      <c r="KCB94" s="2151"/>
      <c r="KCC94" s="2151"/>
      <c r="KCD94" s="2150"/>
      <c r="KCE94" s="2151"/>
      <c r="KCF94" s="2151"/>
      <c r="KCG94" s="2151"/>
      <c r="KCH94" s="2151"/>
      <c r="KCI94" s="2151"/>
      <c r="KCJ94" s="2151"/>
      <c r="KCK94" s="2151"/>
      <c r="KCL94" s="2151"/>
      <c r="KCM94" s="2151"/>
      <c r="KCN94" s="2151"/>
      <c r="KCO94" s="2151"/>
      <c r="KCP94" s="2151"/>
      <c r="KCQ94" s="2151"/>
      <c r="KCR94" s="2151"/>
      <c r="KCS94" s="2151"/>
      <c r="KCT94" s="2150"/>
      <c r="KCU94" s="2151"/>
      <c r="KCV94" s="2151"/>
      <c r="KCW94" s="2151"/>
      <c r="KCX94" s="2151"/>
      <c r="KCY94" s="2151"/>
      <c r="KCZ94" s="2151"/>
      <c r="KDA94" s="2151"/>
      <c r="KDB94" s="2151"/>
      <c r="KDC94" s="2151"/>
      <c r="KDD94" s="2151"/>
      <c r="KDE94" s="2151"/>
      <c r="KDF94" s="2151"/>
      <c r="KDG94" s="2151"/>
      <c r="KDH94" s="2151"/>
      <c r="KDI94" s="2151"/>
      <c r="KDJ94" s="2150"/>
      <c r="KDK94" s="2151"/>
      <c r="KDL94" s="2151"/>
      <c r="KDM94" s="2151"/>
      <c r="KDN94" s="2151"/>
      <c r="KDO94" s="2151"/>
      <c r="KDP94" s="2151"/>
      <c r="KDQ94" s="2151"/>
      <c r="KDR94" s="2151"/>
      <c r="KDS94" s="2151"/>
      <c r="KDT94" s="2151"/>
      <c r="KDU94" s="2151"/>
      <c r="KDV94" s="2151"/>
      <c r="KDW94" s="2151"/>
      <c r="KDX94" s="2151"/>
      <c r="KDY94" s="2151"/>
      <c r="KDZ94" s="2150"/>
      <c r="KEA94" s="2151"/>
      <c r="KEB94" s="2151"/>
      <c r="KEC94" s="2151"/>
      <c r="KED94" s="2151"/>
      <c r="KEE94" s="2151"/>
      <c r="KEF94" s="2151"/>
      <c r="KEG94" s="2151"/>
      <c r="KEH94" s="2151"/>
      <c r="KEI94" s="2151"/>
      <c r="KEJ94" s="2151"/>
      <c r="KEK94" s="2151"/>
      <c r="KEL94" s="2151"/>
      <c r="KEM94" s="2151"/>
      <c r="KEN94" s="2151"/>
      <c r="KEO94" s="2151"/>
      <c r="KEP94" s="2150"/>
      <c r="KEQ94" s="2151"/>
      <c r="KER94" s="2151"/>
      <c r="KES94" s="2151"/>
      <c r="KET94" s="2151"/>
      <c r="KEU94" s="2151"/>
      <c r="KEV94" s="2151"/>
      <c r="KEW94" s="2151"/>
      <c r="KEX94" s="2151"/>
      <c r="KEY94" s="2151"/>
      <c r="KEZ94" s="2151"/>
      <c r="KFA94" s="2151"/>
      <c r="KFB94" s="2151"/>
      <c r="KFC94" s="2151"/>
      <c r="KFD94" s="2151"/>
      <c r="KFE94" s="2151"/>
      <c r="KFF94" s="2150"/>
      <c r="KFG94" s="2151"/>
      <c r="KFH94" s="2151"/>
      <c r="KFI94" s="2151"/>
      <c r="KFJ94" s="2151"/>
      <c r="KFK94" s="2151"/>
      <c r="KFL94" s="2151"/>
      <c r="KFM94" s="2151"/>
      <c r="KFN94" s="2151"/>
      <c r="KFO94" s="2151"/>
      <c r="KFP94" s="2151"/>
      <c r="KFQ94" s="2151"/>
      <c r="KFR94" s="2151"/>
      <c r="KFS94" s="2151"/>
      <c r="KFT94" s="2151"/>
      <c r="KFU94" s="2151"/>
      <c r="KFV94" s="2150"/>
      <c r="KFW94" s="2151"/>
      <c r="KFX94" s="2151"/>
      <c r="KFY94" s="2151"/>
      <c r="KFZ94" s="2151"/>
      <c r="KGA94" s="2151"/>
      <c r="KGB94" s="2151"/>
      <c r="KGC94" s="2151"/>
      <c r="KGD94" s="2151"/>
      <c r="KGE94" s="2151"/>
      <c r="KGF94" s="2151"/>
      <c r="KGG94" s="2151"/>
      <c r="KGH94" s="2151"/>
      <c r="KGI94" s="2151"/>
      <c r="KGJ94" s="2151"/>
      <c r="KGK94" s="2151"/>
      <c r="KGL94" s="2150"/>
      <c r="KGM94" s="2151"/>
      <c r="KGN94" s="2151"/>
      <c r="KGO94" s="2151"/>
      <c r="KGP94" s="2151"/>
      <c r="KGQ94" s="2151"/>
      <c r="KGR94" s="2151"/>
      <c r="KGS94" s="2151"/>
      <c r="KGT94" s="2151"/>
      <c r="KGU94" s="2151"/>
      <c r="KGV94" s="2151"/>
      <c r="KGW94" s="2151"/>
      <c r="KGX94" s="2151"/>
      <c r="KGY94" s="2151"/>
      <c r="KGZ94" s="2151"/>
      <c r="KHA94" s="2151"/>
      <c r="KHB94" s="2150"/>
      <c r="KHC94" s="2151"/>
      <c r="KHD94" s="2151"/>
      <c r="KHE94" s="2151"/>
      <c r="KHF94" s="2151"/>
      <c r="KHG94" s="2151"/>
      <c r="KHH94" s="2151"/>
      <c r="KHI94" s="2151"/>
      <c r="KHJ94" s="2151"/>
      <c r="KHK94" s="2151"/>
      <c r="KHL94" s="2151"/>
      <c r="KHM94" s="2151"/>
      <c r="KHN94" s="2151"/>
      <c r="KHO94" s="2151"/>
      <c r="KHP94" s="2151"/>
      <c r="KHQ94" s="2151"/>
      <c r="KHR94" s="2150"/>
      <c r="KHS94" s="2151"/>
      <c r="KHT94" s="2151"/>
      <c r="KHU94" s="2151"/>
      <c r="KHV94" s="2151"/>
      <c r="KHW94" s="2151"/>
      <c r="KHX94" s="2151"/>
      <c r="KHY94" s="2151"/>
      <c r="KHZ94" s="2151"/>
      <c r="KIA94" s="2151"/>
      <c r="KIB94" s="2151"/>
      <c r="KIC94" s="2151"/>
      <c r="KID94" s="2151"/>
      <c r="KIE94" s="2151"/>
      <c r="KIF94" s="2151"/>
      <c r="KIG94" s="2151"/>
      <c r="KIH94" s="2150"/>
      <c r="KII94" s="2151"/>
      <c r="KIJ94" s="2151"/>
      <c r="KIK94" s="2151"/>
      <c r="KIL94" s="2151"/>
      <c r="KIM94" s="2151"/>
      <c r="KIN94" s="2151"/>
      <c r="KIO94" s="2151"/>
      <c r="KIP94" s="2151"/>
      <c r="KIQ94" s="2151"/>
      <c r="KIR94" s="2151"/>
      <c r="KIS94" s="2151"/>
      <c r="KIT94" s="2151"/>
      <c r="KIU94" s="2151"/>
      <c r="KIV94" s="2151"/>
      <c r="KIW94" s="2151"/>
      <c r="KIX94" s="2150"/>
      <c r="KIY94" s="2151"/>
      <c r="KIZ94" s="2151"/>
      <c r="KJA94" s="2151"/>
      <c r="KJB94" s="2151"/>
      <c r="KJC94" s="2151"/>
      <c r="KJD94" s="2151"/>
      <c r="KJE94" s="2151"/>
      <c r="KJF94" s="2151"/>
      <c r="KJG94" s="2151"/>
      <c r="KJH94" s="2151"/>
      <c r="KJI94" s="2151"/>
      <c r="KJJ94" s="2151"/>
      <c r="KJK94" s="2151"/>
      <c r="KJL94" s="2151"/>
      <c r="KJM94" s="2151"/>
      <c r="KJN94" s="2150"/>
      <c r="KJO94" s="2151"/>
      <c r="KJP94" s="2151"/>
      <c r="KJQ94" s="2151"/>
      <c r="KJR94" s="2151"/>
      <c r="KJS94" s="2151"/>
      <c r="KJT94" s="2151"/>
      <c r="KJU94" s="2151"/>
      <c r="KJV94" s="2151"/>
      <c r="KJW94" s="2151"/>
      <c r="KJX94" s="2151"/>
      <c r="KJY94" s="2151"/>
      <c r="KJZ94" s="2151"/>
      <c r="KKA94" s="2151"/>
      <c r="KKB94" s="2151"/>
      <c r="KKC94" s="2151"/>
      <c r="KKD94" s="2150"/>
      <c r="KKE94" s="2151"/>
      <c r="KKF94" s="2151"/>
      <c r="KKG94" s="2151"/>
      <c r="KKH94" s="2151"/>
      <c r="KKI94" s="2151"/>
      <c r="KKJ94" s="2151"/>
      <c r="KKK94" s="2151"/>
      <c r="KKL94" s="2151"/>
      <c r="KKM94" s="2151"/>
      <c r="KKN94" s="2151"/>
      <c r="KKO94" s="2151"/>
      <c r="KKP94" s="2151"/>
      <c r="KKQ94" s="2151"/>
      <c r="KKR94" s="2151"/>
      <c r="KKS94" s="2151"/>
      <c r="KKT94" s="2150"/>
      <c r="KKU94" s="2151"/>
      <c r="KKV94" s="2151"/>
      <c r="KKW94" s="2151"/>
      <c r="KKX94" s="2151"/>
      <c r="KKY94" s="2151"/>
      <c r="KKZ94" s="2151"/>
      <c r="KLA94" s="2151"/>
      <c r="KLB94" s="2151"/>
      <c r="KLC94" s="2151"/>
      <c r="KLD94" s="2151"/>
      <c r="KLE94" s="2151"/>
      <c r="KLF94" s="2151"/>
      <c r="KLG94" s="2151"/>
      <c r="KLH94" s="2151"/>
      <c r="KLI94" s="2151"/>
      <c r="KLJ94" s="2150"/>
      <c r="KLK94" s="2151"/>
      <c r="KLL94" s="2151"/>
      <c r="KLM94" s="2151"/>
      <c r="KLN94" s="2151"/>
      <c r="KLO94" s="2151"/>
      <c r="KLP94" s="2151"/>
      <c r="KLQ94" s="2151"/>
      <c r="KLR94" s="2151"/>
      <c r="KLS94" s="2151"/>
      <c r="KLT94" s="2151"/>
      <c r="KLU94" s="2151"/>
      <c r="KLV94" s="2151"/>
      <c r="KLW94" s="2151"/>
      <c r="KLX94" s="2151"/>
      <c r="KLY94" s="2151"/>
      <c r="KLZ94" s="2150"/>
      <c r="KMA94" s="2151"/>
      <c r="KMB94" s="2151"/>
      <c r="KMC94" s="2151"/>
      <c r="KMD94" s="2151"/>
      <c r="KME94" s="2151"/>
      <c r="KMF94" s="2151"/>
      <c r="KMG94" s="2151"/>
      <c r="KMH94" s="2151"/>
      <c r="KMI94" s="2151"/>
      <c r="KMJ94" s="2151"/>
      <c r="KMK94" s="2151"/>
      <c r="KML94" s="2151"/>
      <c r="KMM94" s="2151"/>
      <c r="KMN94" s="2151"/>
      <c r="KMO94" s="2151"/>
      <c r="KMP94" s="2150"/>
      <c r="KMQ94" s="2151"/>
      <c r="KMR94" s="2151"/>
      <c r="KMS94" s="2151"/>
      <c r="KMT94" s="2151"/>
      <c r="KMU94" s="2151"/>
      <c r="KMV94" s="2151"/>
      <c r="KMW94" s="2151"/>
      <c r="KMX94" s="2151"/>
      <c r="KMY94" s="2151"/>
      <c r="KMZ94" s="2151"/>
      <c r="KNA94" s="2151"/>
      <c r="KNB94" s="2151"/>
      <c r="KNC94" s="2151"/>
      <c r="KND94" s="2151"/>
      <c r="KNE94" s="2151"/>
      <c r="KNF94" s="2150"/>
      <c r="KNG94" s="2151"/>
      <c r="KNH94" s="2151"/>
      <c r="KNI94" s="2151"/>
      <c r="KNJ94" s="2151"/>
      <c r="KNK94" s="2151"/>
      <c r="KNL94" s="2151"/>
      <c r="KNM94" s="2151"/>
      <c r="KNN94" s="2151"/>
      <c r="KNO94" s="2151"/>
      <c r="KNP94" s="2151"/>
      <c r="KNQ94" s="2151"/>
      <c r="KNR94" s="2151"/>
      <c r="KNS94" s="2151"/>
      <c r="KNT94" s="2151"/>
      <c r="KNU94" s="2151"/>
      <c r="KNV94" s="2150"/>
      <c r="KNW94" s="2151"/>
      <c r="KNX94" s="2151"/>
      <c r="KNY94" s="2151"/>
      <c r="KNZ94" s="2151"/>
      <c r="KOA94" s="2151"/>
      <c r="KOB94" s="2151"/>
      <c r="KOC94" s="2151"/>
      <c r="KOD94" s="2151"/>
      <c r="KOE94" s="2151"/>
      <c r="KOF94" s="2151"/>
      <c r="KOG94" s="2151"/>
      <c r="KOH94" s="2151"/>
      <c r="KOI94" s="2151"/>
      <c r="KOJ94" s="2151"/>
      <c r="KOK94" s="2151"/>
      <c r="KOL94" s="2150"/>
      <c r="KOM94" s="2151"/>
      <c r="KON94" s="2151"/>
      <c r="KOO94" s="2151"/>
      <c r="KOP94" s="2151"/>
      <c r="KOQ94" s="2151"/>
      <c r="KOR94" s="2151"/>
      <c r="KOS94" s="2151"/>
      <c r="KOT94" s="2151"/>
      <c r="KOU94" s="2151"/>
      <c r="KOV94" s="2151"/>
      <c r="KOW94" s="2151"/>
      <c r="KOX94" s="2151"/>
      <c r="KOY94" s="2151"/>
      <c r="KOZ94" s="2151"/>
      <c r="KPA94" s="2151"/>
      <c r="KPB94" s="2150"/>
      <c r="KPC94" s="2151"/>
      <c r="KPD94" s="2151"/>
      <c r="KPE94" s="2151"/>
      <c r="KPF94" s="2151"/>
      <c r="KPG94" s="2151"/>
      <c r="KPH94" s="2151"/>
      <c r="KPI94" s="2151"/>
      <c r="KPJ94" s="2151"/>
      <c r="KPK94" s="2151"/>
      <c r="KPL94" s="2151"/>
      <c r="KPM94" s="2151"/>
      <c r="KPN94" s="2151"/>
      <c r="KPO94" s="2151"/>
      <c r="KPP94" s="2151"/>
      <c r="KPQ94" s="2151"/>
      <c r="KPR94" s="2150"/>
      <c r="KPS94" s="2151"/>
      <c r="KPT94" s="2151"/>
      <c r="KPU94" s="2151"/>
      <c r="KPV94" s="2151"/>
      <c r="KPW94" s="2151"/>
      <c r="KPX94" s="2151"/>
      <c r="KPY94" s="2151"/>
      <c r="KPZ94" s="2151"/>
      <c r="KQA94" s="2151"/>
      <c r="KQB94" s="2151"/>
      <c r="KQC94" s="2151"/>
      <c r="KQD94" s="2151"/>
      <c r="KQE94" s="2151"/>
      <c r="KQF94" s="2151"/>
      <c r="KQG94" s="2151"/>
      <c r="KQH94" s="2150"/>
      <c r="KQI94" s="2151"/>
      <c r="KQJ94" s="2151"/>
      <c r="KQK94" s="2151"/>
      <c r="KQL94" s="2151"/>
      <c r="KQM94" s="2151"/>
      <c r="KQN94" s="2151"/>
      <c r="KQO94" s="2151"/>
      <c r="KQP94" s="2151"/>
      <c r="KQQ94" s="2151"/>
      <c r="KQR94" s="2151"/>
      <c r="KQS94" s="2151"/>
      <c r="KQT94" s="2151"/>
      <c r="KQU94" s="2151"/>
      <c r="KQV94" s="2151"/>
      <c r="KQW94" s="2151"/>
      <c r="KQX94" s="2150"/>
      <c r="KQY94" s="2151"/>
      <c r="KQZ94" s="2151"/>
      <c r="KRA94" s="2151"/>
      <c r="KRB94" s="2151"/>
      <c r="KRC94" s="2151"/>
      <c r="KRD94" s="2151"/>
      <c r="KRE94" s="2151"/>
      <c r="KRF94" s="2151"/>
      <c r="KRG94" s="2151"/>
      <c r="KRH94" s="2151"/>
      <c r="KRI94" s="2151"/>
      <c r="KRJ94" s="2151"/>
      <c r="KRK94" s="2151"/>
      <c r="KRL94" s="2151"/>
      <c r="KRM94" s="2151"/>
      <c r="KRN94" s="2150"/>
      <c r="KRO94" s="2151"/>
      <c r="KRP94" s="2151"/>
      <c r="KRQ94" s="2151"/>
      <c r="KRR94" s="2151"/>
      <c r="KRS94" s="2151"/>
      <c r="KRT94" s="2151"/>
      <c r="KRU94" s="2151"/>
      <c r="KRV94" s="2151"/>
      <c r="KRW94" s="2151"/>
      <c r="KRX94" s="2151"/>
      <c r="KRY94" s="2151"/>
      <c r="KRZ94" s="2151"/>
      <c r="KSA94" s="2151"/>
      <c r="KSB94" s="2151"/>
      <c r="KSC94" s="2151"/>
      <c r="KSD94" s="2150"/>
      <c r="KSE94" s="2151"/>
      <c r="KSF94" s="2151"/>
      <c r="KSG94" s="2151"/>
      <c r="KSH94" s="2151"/>
      <c r="KSI94" s="2151"/>
      <c r="KSJ94" s="2151"/>
      <c r="KSK94" s="2151"/>
      <c r="KSL94" s="2151"/>
      <c r="KSM94" s="2151"/>
      <c r="KSN94" s="2151"/>
      <c r="KSO94" s="2151"/>
      <c r="KSP94" s="2151"/>
      <c r="KSQ94" s="2151"/>
      <c r="KSR94" s="2151"/>
      <c r="KSS94" s="2151"/>
      <c r="KST94" s="2150"/>
      <c r="KSU94" s="2151"/>
      <c r="KSV94" s="2151"/>
      <c r="KSW94" s="2151"/>
      <c r="KSX94" s="2151"/>
      <c r="KSY94" s="2151"/>
      <c r="KSZ94" s="2151"/>
      <c r="KTA94" s="2151"/>
      <c r="KTB94" s="2151"/>
      <c r="KTC94" s="2151"/>
      <c r="KTD94" s="2151"/>
      <c r="KTE94" s="2151"/>
      <c r="KTF94" s="2151"/>
      <c r="KTG94" s="2151"/>
      <c r="KTH94" s="2151"/>
      <c r="KTI94" s="2151"/>
      <c r="KTJ94" s="2150"/>
      <c r="KTK94" s="2151"/>
      <c r="KTL94" s="2151"/>
      <c r="KTM94" s="2151"/>
      <c r="KTN94" s="2151"/>
      <c r="KTO94" s="2151"/>
      <c r="KTP94" s="2151"/>
      <c r="KTQ94" s="2151"/>
      <c r="KTR94" s="2151"/>
      <c r="KTS94" s="2151"/>
      <c r="KTT94" s="2151"/>
      <c r="KTU94" s="2151"/>
      <c r="KTV94" s="2151"/>
      <c r="KTW94" s="2151"/>
      <c r="KTX94" s="2151"/>
      <c r="KTY94" s="2151"/>
      <c r="KTZ94" s="2150"/>
      <c r="KUA94" s="2151"/>
      <c r="KUB94" s="2151"/>
      <c r="KUC94" s="2151"/>
      <c r="KUD94" s="2151"/>
      <c r="KUE94" s="2151"/>
      <c r="KUF94" s="2151"/>
      <c r="KUG94" s="2151"/>
      <c r="KUH94" s="2151"/>
      <c r="KUI94" s="2151"/>
      <c r="KUJ94" s="2151"/>
      <c r="KUK94" s="2151"/>
      <c r="KUL94" s="2151"/>
      <c r="KUM94" s="2151"/>
      <c r="KUN94" s="2151"/>
      <c r="KUO94" s="2151"/>
      <c r="KUP94" s="2150"/>
      <c r="KUQ94" s="2151"/>
      <c r="KUR94" s="2151"/>
      <c r="KUS94" s="2151"/>
      <c r="KUT94" s="2151"/>
      <c r="KUU94" s="2151"/>
      <c r="KUV94" s="2151"/>
      <c r="KUW94" s="2151"/>
      <c r="KUX94" s="2151"/>
      <c r="KUY94" s="2151"/>
      <c r="KUZ94" s="2151"/>
      <c r="KVA94" s="2151"/>
      <c r="KVB94" s="2151"/>
      <c r="KVC94" s="2151"/>
      <c r="KVD94" s="2151"/>
      <c r="KVE94" s="2151"/>
      <c r="KVF94" s="2150"/>
      <c r="KVG94" s="2151"/>
      <c r="KVH94" s="2151"/>
      <c r="KVI94" s="2151"/>
      <c r="KVJ94" s="2151"/>
      <c r="KVK94" s="2151"/>
      <c r="KVL94" s="2151"/>
      <c r="KVM94" s="2151"/>
      <c r="KVN94" s="2151"/>
      <c r="KVO94" s="2151"/>
      <c r="KVP94" s="2151"/>
      <c r="KVQ94" s="2151"/>
      <c r="KVR94" s="2151"/>
      <c r="KVS94" s="2151"/>
      <c r="KVT94" s="2151"/>
      <c r="KVU94" s="2151"/>
      <c r="KVV94" s="2150"/>
      <c r="KVW94" s="2151"/>
      <c r="KVX94" s="2151"/>
      <c r="KVY94" s="2151"/>
      <c r="KVZ94" s="2151"/>
      <c r="KWA94" s="2151"/>
      <c r="KWB94" s="2151"/>
      <c r="KWC94" s="2151"/>
      <c r="KWD94" s="2151"/>
      <c r="KWE94" s="2151"/>
      <c r="KWF94" s="2151"/>
      <c r="KWG94" s="2151"/>
      <c r="KWH94" s="2151"/>
      <c r="KWI94" s="2151"/>
      <c r="KWJ94" s="2151"/>
      <c r="KWK94" s="2151"/>
      <c r="KWL94" s="2150"/>
      <c r="KWM94" s="2151"/>
      <c r="KWN94" s="2151"/>
      <c r="KWO94" s="2151"/>
      <c r="KWP94" s="2151"/>
      <c r="KWQ94" s="2151"/>
      <c r="KWR94" s="2151"/>
      <c r="KWS94" s="2151"/>
      <c r="KWT94" s="2151"/>
      <c r="KWU94" s="2151"/>
      <c r="KWV94" s="2151"/>
      <c r="KWW94" s="2151"/>
      <c r="KWX94" s="2151"/>
      <c r="KWY94" s="2151"/>
      <c r="KWZ94" s="2151"/>
      <c r="KXA94" s="2151"/>
      <c r="KXB94" s="2150"/>
      <c r="KXC94" s="2151"/>
      <c r="KXD94" s="2151"/>
      <c r="KXE94" s="2151"/>
      <c r="KXF94" s="2151"/>
      <c r="KXG94" s="2151"/>
      <c r="KXH94" s="2151"/>
      <c r="KXI94" s="2151"/>
      <c r="KXJ94" s="2151"/>
      <c r="KXK94" s="2151"/>
      <c r="KXL94" s="2151"/>
      <c r="KXM94" s="2151"/>
      <c r="KXN94" s="2151"/>
      <c r="KXO94" s="2151"/>
      <c r="KXP94" s="2151"/>
      <c r="KXQ94" s="2151"/>
      <c r="KXR94" s="2150"/>
      <c r="KXS94" s="2151"/>
      <c r="KXT94" s="2151"/>
      <c r="KXU94" s="2151"/>
      <c r="KXV94" s="2151"/>
      <c r="KXW94" s="2151"/>
      <c r="KXX94" s="2151"/>
      <c r="KXY94" s="2151"/>
      <c r="KXZ94" s="2151"/>
      <c r="KYA94" s="2151"/>
      <c r="KYB94" s="2151"/>
      <c r="KYC94" s="2151"/>
      <c r="KYD94" s="2151"/>
      <c r="KYE94" s="2151"/>
      <c r="KYF94" s="2151"/>
      <c r="KYG94" s="2151"/>
      <c r="KYH94" s="2150"/>
      <c r="KYI94" s="2151"/>
      <c r="KYJ94" s="2151"/>
      <c r="KYK94" s="2151"/>
      <c r="KYL94" s="2151"/>
      <c r="KYM94" s="2151"/>
      <c r="KYN94" s="2151"/>
      <c r="KYO94" s="2151"/>
      <c r="KYP94" s="2151"/>
      <c r="KYQ94" s="2151"/>
      <c r="KYR94" s="2151"/>
      <c r="KYS94" s="2151"/>
      <c r="KYT94" s="2151"/>
      <c r="KYU94" s="2151"/>
      <c r="KYV94" s="2151"/>
      <c r="KYW94" s="2151"/>
      <c r="KYX94" s="2150"/>
      <c r="KYY94" s="2151"/>
      <c r="KYZ94" s="2151"/>
      <c r="KZA94" s="2151"/>
      <c r="KZB94" s="2151"/>
      <c r="KZC94" s="2151"/>
      <c r="KZD94" s="2151"/>
      <c r="KZE94" s="2151"/>
      <c r="KZF94" s="2151"/>
      <c r="KZG94" s="2151"/>
      <c r="KZH94" s="2151"/>
      <c r="KZI94" s="2151"/>
      <c r="KZJ94" s="2151"/>
      <c r="KZK94" s="2151"/>
      <c r="KZL94" s="2151"/>
      <c r="KZM94" s="2151"/>
      <c r="KZN94" s="2150"/>
      <c r="KZO94" s="2151"/>
      <c r="KZP94" s="2151"/>
      <c r="KZQ94" s="2151"/>
      <c r="KZR94" s="2151"/>
      <c r="KZS94" s="2151"/>
      <c r="KZT94" s="2151"/>
      <c r="KZU94" s="2151"/>
      <c r="KZV94" s="2151"/>
      <c r="KZW94" s="2151"/>
      <c r="KZX94" s="2151"/>
      <c r="KZY94" s="2151"/>
      <c r="KZZ94" s="2151"/>
      <c r="LAA94" s="2151"/>
      <c r="LAB94" s="2151"/>
      <c r="LAC94" s="2151"/>
      <c r="LAD94" s="2150"/>
      <c r="LAE94" s="2151"/>
      <c r="LAF94" s="2151"/>
      <c r="LAG94" s="2151"/>
      <c r="LAH94" s="2151"/>
      <c r="LAI94" s="2151"/>
      <c r="LAJ94" s="2151"/>
      <c r="LAK94" s="2151"/>
      <c r="LAL94" s="2151"/>
      <c r="LAM94" s="2151"/>
      <c r="LAN94" s="2151"/>
      <c r="LAO94" s="2151"/>
      <c r="LAP94" s="2151"/>
      <c r="LAQ94" s="2151"/>
      <c r="LAR94" s="2151"/>
      <c r="LAS94" s="2151"/>
      <c r="LAT94" s="2150"/>
      <c r="LAU94" s="2151"/>
      <c r="LAV94" s="2151"/>
      <c r="LAW94" s="2151"/>
      <c r="LAX94" s="2151"/>
      <c r="LAY94" s="2151"/>
      <c r="LAZ94" s="2151"/>
      <c r="LBA94" s="2151"/>
      <c r="LBB94" s="2151"/>
      <c r="LBC94" s="2151"/>
      <c r="LBD94" s="2151"/>
      <c r="LBE94" s="2151"/>
      <c r="LBF94" s="2151"/>
      <c r="LBG94" s="2151"/>
      <c r="LBH94" s="2151"/>
      <c r="LBI94" s="2151"/>
      <c r="LBJ94" s="2150"/>
      <c r="LBK94" s="2151"/>
      <c r="LBL94" s="2151"/>
      <c r="LBM94" s="2151"/>
      <c r="LBN94" s="2151"/>
      <c r="LBO94" s="2151"/>
      <c r="LBP94" s="2151"/>
      <c r="LBQ94" s="2151"/>
      <c r="LBR94" s="2151"/>
      <c r="LBS94" s="2151"/>
      <c r="LBT94" s="2151"/>
      <c r="LBU94" s="2151"/>
      <c r="LBV94" s="2151"/>
      <c r="LBW94" s="2151"/>
      <c r="LBX94" s="2151"/>
      <c r="LBY94" s="2151"/>
      <c r="LBZ94" s="2150"/>
      <c r="LCA94" s="2151"/>
      <c r="LCB94" s="2151"/>
      <c r="LCC94" s="2151"/>
      <c r="LCD94" s="2151"/>
      <c r="LCE94" s="2151"/>
      <c r="LCF94" s="2151"/>
      <c r="LCG94" s="2151"/>
      <c r="LCH94" s="2151"/>
      <c r="LCI94" s="2151"/>
      <c r="LCJ94" s="2151"/>
      <c r="LCK94" s="2151"/>
      <c r="LCL94" s="2151"/>
      <c r="LCM94" s="2151"/>
      <c r="LCN94" s="2151"/>
      <c r="LCO94" s="2151"/>
      <c r="LCP94" s="2150"/>
      <c r="LCQ94" s="2151"/>
      <c r="LCR94" s="2151"/>
      <c r="LCS94" s="2151"/>
      <c r="LCT94" s="2151"/>
      <c r="LCU94" s="2151"/>
      <c r="LCV94" s="2151"/>
      <c r="LCW94" s="2151"/>
      <c r="LCX94" s="2151"/>
      <c r="LCY94" s="2151"/>
      <c r="LCZ94" s="2151"/>
      <c r="LDA94" s="2151"/>
      <c r="LDB94" s="2151"/>
      <c r="LDC94" s="2151"/>
      <c r="LDD94" s="2151"/>
      <c r="LDE94" s="2151"/>
      <c r="LDF94" s="2150"/>
      <c r="LDG94" s="2151"/>
      <c r="LDH94" s="2151"/>
      <c r="LDI94" s="2151"/>
      <c r="LDJ94" s="2151"/>
      <c r="LDK94" s="2151"/>
      <c r="LDL94" s="2151"/>
      <c r="LDM94" s="2151"/>
      <c r="LDN94" s="2151"/>
      <c r="LDO94" s="2151"/>
      <c r="LDP94" s="2151"/>
      <c r="LDQ94" s="2151"/>
      <c r="LDR94" s="2151"/>
      <c r="LDS94" s="2151"/>
      <c r="LDT94" s="2151"/>
      <c r="LDU94" s="2151"/>
      <c r="LDV94" s="2150"/>
      <c r="LDW94" s="2151"/>
      <c r="LDX94" s="2151"/>
      <c r="LDY94" s="2151"/>
      <c r="LDZ94" s="2151"/>
      <c r="LEA94" s="2151"/>
      <c r="LEB94" s="2151"/>
      <c r="LEC94" s="2151"/>
      <c r="LED94" s="2151"/>
      <c r="LEE94" s="2151"/>
      <c r="LEF94" s="2151"/>
      <c r="LEG94" s="2151"/>
      <c r="LEH94" s="2151"/>
      <c r="LEI94" s="2151"/>
      <c r="LEJ94" s="2151"/>
      <c r="LEK94" s="2151"/>
      <c r="LEL94" s="2150"/>
      <c r="LEM94" s="2151"/>
      <c r="LEN94" s="2151"/>
      <c r="LEO94" s="2151"/>
      <c r="LEP94" s="2151"/>
      <c r="LEQ94" s="2151"/>
      <c r="LER94" s="2151"/>
      <c r="LES94" s="2151"/>
      <c r="LET94" s="2151"/>
      <c r="LEU94" s="2151"/>
      <c r="LEV94" s="2151"/>
      <c r="LEW94" s="2151"/>
      <c r="LEX94" s="2151"/>
      <c r="LEY94" s="2151"/>
      <c r="LEZ94" s="2151"/>
      <c r="LFA94" s="2151"/>
      <c r="LFB94" s="2150"/>
      <c r="LFC94" s="2151"/>
      <c r="LFD94" s="2151"/>
      <c r="LFE94" s="2151"/>
      <c r="LFF94" s="2151"/>
      <c r="LFG94" s="2151"/>
      <c r="LFH94" s="2151"/>
      <c r="LFI94" s="2151"/>
      <c r="LFJ94" s="2151"/>
      <c r="LFK94" s="2151"/>
      <c r="LFL94" s="2151"/>
      <c r="LFM94" s="2151"/>
      <c r="LFN94" s="2151"/>
      <c r="LFO94" s="2151"/>
      <c r="LFP94" s="2151"/>
      <c r="LFQ94" s="2151"/>
      <c r="LFR94" s="2150"/>
      <c r="LFS94" s="2151"/>
      <c r="LFT94" s="2151"/>
      <c r="LFU94" s="2151"/>
      <c r="LFV94" s="2151"/>
      <c r="LFW94" s="2151"/>
      <c r="LFX94" s="2151"/>
      <c r="LFY94" s="2151"/>
      <c r="LFZ94" s="2151"/>
      <c r="LGA94" s="2151"/>
      <c r="LGB94" s="2151"/>
      <c r="LGC94" s="2151"/>
      <c r="LGD94" s="2151"/>
      <c r="LGE94" s="2151"/>
      <c r="LGF94" s="2151"/>
      <c r="LGG94" s="2151"/>
      <c r="LGH94" s="2150"/>
      <c r="LGI94" s="2151"/>
      <c r="LGJ94" s="2151"/>
      <c r="LGK94" s="2151"/>
      <c r="LGL94" s="2151"/>
      <c r="LGM94" s="2151"/>
      <c r="LGN94" s="2151"/>
      <c r="LGO94" s="2151"/>
      <c r="LGP94" s="2151"/>
      <c r="LGQ94" s="2151"/>
      <c r="LGR94" s="2151"/>
      <c r="LGS94" s="2151"/>
      <c r="LGT94" s="2151"/>
      <c r="LGU94" s="2151"/>
      <c r="LGV94" s="2151"/>
      <c r="LGW94" s="2151"/>
      <c r="LGX94" s="2150"/>
      <c r="LGY94" s="2151"/>
      <c r="LGZ94" s="2151"/>
      <c r="LHA94" s="2151"/>
      <c r="LHB94" s="2151"/>
      <c r="LHC94" s="2151"/>
      <c r="LHD94" s="2151"/>
      <c r="LHE94" s="2151"/>
      <c r="LHF94" s="2151"/>
      <c r="LHG94" s="2151"/>
      <c r="LHH94" s="2151"/>
      <c r="LHI94" s="2151"/>
      <c r="LHJ94" s="2151"/>
      <c r="LHK94" s="2151"/>
      <c r="LHL94" s="2151"/>
      <c r="LHM94" s="2151"/>
      <c r="LHN94" s="2150"/>
      <c r="LHO94" s="2151"/>
      <c r="LHP94" s="2151"/>
      <c r="LHQ94" s="2151"/>
      <c r="LHR94" s="2151"/>
      <c r="LHS94" s="2151"/>
      <c r="LHT94" s="2151"/>
      <c r="LHU94" s="2151"/>
      <c r="LHV94" s="2151"/>
      <c r="LHW94" s="2151"/>
      <c r="LHX94" s="2151"/>
      <c r="LHY94" s="2151"/>
      <c r="LHZ94" s="2151"/>
      <c r="LIA94" s="2151"/>
      <c r="LIB94" s="2151"/>
      <c r="LIC94" s="2151"/>
      <c r="LID94" s="2150"/>
      <c r="LIE94" s="2151"/>
      <c r="LIF94" s="2151"/>
      <c r="LIG94" s="2151"/>
      <c r="LIH94" s="2151"/>
      <c r="LII94" s="2151"/>
      <c r="LIJ94" s="2151"/>
      <c r="LIK94" s="2151"/>
      <c r="LIL94" s="2151"/>
      <c r="LIM94" s="2151"/>
      <c r="LIN94" s="2151"/>
      <c r="LIO94" s="2151"/>
      <c r="LIP94" s="2151"/>
      <c r="LIQ94" s="2151"/>
      <c r="LIR94" s="2151"/>
      <c r="LIS94" s="2151"/>
      <c r="LIT94" s="2150"/>
      <c r="LIU94" s="2151"/>
      <c r="LIV94" s="2151"/>
      <c r="LIW94" s="2151"/>
      <c r="LIX94" s="2151"/>
      <c r="LIY94" s="2151"/>
      <c r="LIZ94" s="2151"/>
      <c r="LJA94" s="2151"/>
      <c r="LJB94" s="2151"/>
      <c r="LJC94" s="2151"/>
      <c r="LJD94" s="2151"/>
      <c r="LJE94" s="2151"/>
      <c r="LJF94" s="2151"/>
      <c r="LJG94" s="2151"/>
      <c r="LJH94" s="2151"/>
      <c r="LJI94" s="2151"/>
      <c r="LJJ94" s="2150"/>
      <c r="LJK94" s="2151"/>
      <c r="LJL94" s="2151"/>
      <c r="LJM94" s="2151"/>
      <c r="LJN94" s="2151"/>
      <c r="LJO94" s="2151"/>
      <c r="LJP94" s="2151"/>
      <c r="LJQ94" s="2151"/>
      <c r="LJR94" s="2151"/>
      <c r="LJS94" s="2151"/>
      <c r="LJT94" s="2151"/>
      <c r="LJU94" s="2151"/>
      <c r="LJV94" s="2151"/>
      <c r="LJW94" s="2151"/>
      <c r="LJX94" s="2151"/>
      <c r="LJY94" s="2151"/>
      <c r="LJZ94" s="2150"/>
      <c r="LKA94" s="2151"/>
      <c r="LKB94" s="2151"/>
      <c r="LKC94" s="2151"/>
      <c r="LKD94" s="2151"/>
      <c r="LKE94" s="2151"/>
      <c r="LKF94" s="2151"/>
      <c r="LKG94" s="2151"/>
      <c r="LKH94" s="2151"/>
      <c r="LKI94" s="2151"/>
      <c r="LKJ94" s="2151"/>
      <c r="LKK94" s="2151"/>
      <c r="LKL94" s="2151"/>
      <c r="LKM94" s="2151"/>
      <c r="LKN94" s="2151"/>
      <c r="LKO94" s="2151"/>
      <c r="LKP94" s="2150"/>
      <c r="LKQ94" s="2151"/>
      <c r="LKR94" s="2151"/>
      <c r="LKS94" s="2151"/>
      <c r="LKT94" s="2151"/>
      <c r="LKU94" s="2151"/>
      <c r="LKV94" s="2151"/>
      <c r="LKW94" s="2151"/>
      <c r="LKX94" s="2151"/>
      <c r="LKY94" s="2151"/>
      <c r="LKZ94" s="2151"/>
      <c r="LLA94" s="2151"/>
      <c r="LLB94" s="2151"/>
      <c r="LLC94" s="2151"/>
      <c r="LLD94" s="2151"/>
      <c r="LLE94" s="2151"/>
      <c r="LLF94" s="2150"/>
      <c r="LLG94" s="2151"/>
      <c r="LLH94" s="2151"/>
      <c r="LLI94" s="2151"/>
      <c r="LLJ94" s="2151"/>
      <c r="LLK94" s="2151"/>
      <c r="LLL94" s="2151"/>
      <c r="LLM94" s="2151"/>
      <c r="LLN94" s="2151"/>
      <c r="LLO94" s="2151"/>
      <c r="LLP94" s="2151"/>
      <c r="LLQ94" s="2151"/>
      <c r="LLR94" s="2151"/>
      <c r="LLS94" s="2151"/>
      <c r="LLT94" s="2151"/>
      <c r="LLU94" s="2151"/>
      <c r="LLV94" s="2150"/>
      <c r="LLW94" s="2151"/>
      <c r="LLX94" s="2151"/>
      <c r="LLY94" s="2151"/>
      <c r="LLZ94" s="2151"/>
      <c r="LMA94" s="2151"/>
      <c r="LMB94" s="2151"/>
      <c r="LMC94" s="2151"/>
      <c r="LMD94" s="2151"/>
      <c r="LME94" s="2151"/>
      <c r="LMF94" s="2151"/>
      <c r="LMG94" s="2151"/>
      <c r="LMH94" s="2151"/>
      <c r="LMI94" s="2151"/>
      <c r="LMJ94" s="2151"/>
      <c r="LMK94" s="2151"/>
      <c r="LML94" s="2150"/>
      <c r="LMM94" s="2151"/>
      <c r="LMN94" s="2151"/>
      <c r="LMO94" s="2151"/>
      <c r="LMP94" s="2151"/>
      <c r="LMQ94" s="2151"/>
      <c r="LMR94" s="2151"/>
      <c r="LMS94" s="2151"/>
      <c r="LMT94" s="2151"/>
      <c r="LMU94" s="2151"/>
      <c r="LMV94" s="2151"/>
      <c r="LMW94" s="2151"/>
      <c r="LMX94" s="2151"/>
      <c r="LMY94" s="2151"/>
      <c r="LMZ94" s="2151"/>
      <c r="LNA94" s="2151"/>
      <c r="LNB94" s="2150"/>
      <c r="LNC94" s="2151"/>
      <c r="LND94" s="2151"/>
      <c r="LNE94" s="2151"/>
      <c r="LNF94" s="2151"/>
      <c r="LNG94" s="2151"/>
      <c r="LNH94" s="2151"/>
      <c r="LNI94" s="2151"/>
      <c r="LNJ94" s="2151"/>
      <c r="LNK94" s="2151"/>
      <c r="LNL94" s="2151"/>
      <c r="LNM94" s="2151"/>
      <c r="LNN94" s="2151"/>
      <c r="LNO94" s="2151"/>
      <c r="LNP94" s="2151"/>
      <c r="LNQ94" s="2151"/>
      <c r="LNR94" s="2150"/>
      <c r="LNS94" s="2151"/>
      <c r="LNT94" s="2151"/>
      <c r="LNU94" s="2151"/>
      <c r="LNV94" s="2151"/>
      <c r="LNW94" s="2151"/>
      <c r="LNX94" s="2151"/>
      <c r="LNY94" s="2151"/>
      <c r="LNZ94" s="2151"/>
      <c r="LOA94" s="2151"/>
      <c r="LOB94" s="2151"/>
      <c r="LOC94" s="2151"/>
      <c r="LOD94" s="2151"/>
      <c r="LOE94" s="2151"/>
      <c r="LOF94" s="2151"/>
      <c r="LOG94" s="2151"/>
      <c r="LOH94" s="2150"/>
      <c r="LOI94" s="2151"/>
      <c r="LOJ94" s="2151"/>
      <c r="LOK94" s="2151"/>
      <c r="LOL94" s="2151"/>
      <c r="LOM94" s="2151"/>
      <c r="LON94" s="2151"/>
      <c r="LOO94" s="2151"/>
      <c r="LOP94" s="2151"/>
      <c r="LOQ94" s="2151"/>
      <c r="LOR94" s="2151"/>
      <c r="LOS94" s="2151"/>
      <c r="LOT94" s="2151"/>
      <c r="LOU94" s="2151"/>
      <c r="LOV94" s="2151"/>
      <c r="LOW94" s="2151"/>
      <c r="LOX94" s="2150"/>
      <c r="LOY94" s="2151"/>
      <c r="LOZ94" s="2151"/>
      <c r="LPA94" s="2151"/>
      <c r="LPB94" s="2151"/>
      <c r="LPC94" s="2151"/>
      <c r="LPD94" s="2151"/>
      <c r="LPE94" s="2151"/>
      <c r="LPF94" s="2151"/>
      <c r="LPG94" s="2151"/>
      <c r="LPH94" s="2151"/>
      <c r="LPI94" s="2151"/>
      <c r="LPJ94" s="2151"/>
      <c r="LPK94" s="2151"/>
      <c r="LPL94" s="2151"/>
      <c r="LPM94" s="2151"/>
      <c r="LPN94" s="2150"/>
      <c r="LPO94" s="2151"/>
      <c r="LPP94" s="2151"/>
      <c r="LPQ94" s="2151"/>
      <c r="LPR94" s="2151"/>
      <c r="LPS94" s="2151"/>
      <c r="LPT94" s="2151"/>
      <c r="LPU94" s="2151"/>
      <c r="LPV94" s="2151"/>
      <c r="LPW94" s="2151"/>
      <c r="LPX94" s="2151"/>
      <c r="LPY94" s="2151"/>
      <c r="LPZ94" s="2151"/>
      <c r="LQA94" s="2151"/>
      <c r="LQB94" s="2151"/>
      <c r="LQC94" s="2151"/>
      <c r="LQD94" s="2150"/>
      <c r="LQE94" s="2151"/>
      <c r="LQF94" s="2151"/>
      <c r="LQG94" s="2151"/>
      <c r="LQH94" s="2151"/>
      <c r="LQI94" s="2151"/>
      <c r="LQJ94" s="2151"/>
      <c r="LQK94" s="2151"/>
      <c r="LQL94" s="2151"/>
      <c r="LQM94" s="2151"/>
      <c r="LQN94" s="2151"/>
      <c r="LQO94" s="2151"/>
      <c r="LQP94" s="2151"/>
      <c r="LQQ94" s="2151"/>
      <c r="LQR94" s="2151"/>
      <c r="LQS94" s="2151"/>
      <c r="LQT94" s="2150"/>
      <c r="LQU94" s="2151"/>
      <c r="LQV94" s="2151"/>
      <c r="LQW94" s="2151"/>
      <c r="LQX94" s="2151"/>
      <c r="LQY94" s="2151"/>
      <c r="LQZ94" s="2151"/>
      <c r="LRA94" s="2151"/>
      <c r="LRB94" s="2151"/>
      <c r="LRC94" s="2151"/>
      <c r="LRD94" s="2151"/>
      <c r="LRE94" s="2151"/>
      <c r="LRF94" s="2151"/>
      <c r="LRG94" s="2151"/>
      <c r="LRH94" s="2151"/>
      <c r="LRI94" s="2151"/>
      <c r="LRJ94" s="2150"/>
      <c r="LRK94" s="2151"/>
      <c r="LRL94" s="2151"/>
      <c r="LRM94" s="2151"/>
      <c r="LRN94" s="2151"/>
      <c r="LRO94" s="2151"/>
      <c r="LRP94" s="2151"/>
      <c r="LRQ94" s="2151"/>
      <c r="LRR94" s="2151"/>
      <c r="LRS94" s="2151"/>
      <c r="LRT94" s="2151"/>
      <c r="LRU94" s="2151"/>
      <c r="LRV94" s="2151"/>
      <c r="LRW94" s="2151"/>
      <c r="LRX94" s="2151"/>
      <c r="LRY94" s="2151"/>
      <c r="LRZ94" s="2150"/>
      <c r="LSA94" s="2151"/>
      <c r="LSB94" s="2151"/>
      <c r="LSC94" s="2151"/>
      <c r="LSD94" s="2151"/>
      <c r="LSE94" s="2151"/>
      <c r="LSF94" s="2151"/>
      <c r="LSG94" s="2151"/>
      <c r="LSH94" s="2151"/>
      <c r="LSI94" s="2151"/>
      <c r="LSJ94" s="2151"/>
      <c r="LSK94" s="2151"/>
      <c r="LSL94" s="2151"/>
      <c r="LSM94" s="2151"/>
      <c r="LSN94" s="2151"/>
      <c r="LSO94" s="2151"/>
      <c r="LSP94" s="2150"/>
      <c r="LSQ94" s="2151"/>
      <c r="LSR94" s="2151"/>
      <c r="LSS94" s="2151"/>
      <c r="LST94" s="2151"/>
      <c r="LSU94" s="2151"/>
      <c r="LSV94" s="2151"/>
      <c r="LSW94" s="2151"/>
      <c r="LSX94" s="2151"/>
      <c r="LSY94" s="2151"/>
      <c r="LSZ94" s="2151"/>
      <c r="LTA94" s="2151"/>
      <c r="LTB94" s="2151"/>
      <c r="LTC94" s="2151"/>
      <c r="LTD94" s="2151"/>
      <c r="LTE94" s="2151"/>
      <c r="LTF94" s="2150"/>
      <c r="LTG94" s="2151"/>
      <c r="LTH94" s="2151"/>
      <c r="LTI94" s="2151"/>
      <c r="LTJ94" s="2151"/>
      <c r="LTK94" s="2151"/>
      <c r="LTL94" s="2151"/>
      <c r="LTM94" s="2151"/>
      <c r="LTN94" s="2151"/>
      <c r="LTO94" s="2151"/>
      <c r="LTP94" s="2151"/>
      <c r="LTQ94" s="2151"/>
      <c r="LTR94" s="2151"/>
      <c r="LTS94" s="2151"/>
      <c r="LTT94" s="2151"/>
      <c r="LTU94" s="2151"/>
      <c r="LTV94" s="2150"/>
      <c r="LTW94" s="2151"/>
      <c r="LTX94" s="2151"/>
      <c r="LTY94" s="2151"/>
      <c r="LTZ94" s="2151"/>
      <c r="LUA94" s="2151"/>
      <c r="LUB94" s="2151"/>
      <c r="LUC94" s="2151"/>
      <c r="LUD94" s="2151"/>
      <c r="LUE94" s="2151"/>
      <c r="LUF94" s="2151"/>
      <c r="LUG94" s="2151"/>
      <c r="LUH94" s="2151"/>
      <c r="LUI94" s="2151"/>
      <c r="LUJ94" s="2151"/>
      <c r="LUK94" s="2151"/>
      <c r="LUL94" s="2150"/>
      <c r="LUM94" s="2151"/>
      <c r="LUN94" s="2151"/>
      <c r="LUO94" s="2151"/>
      <c r="LUP94" s="2151"/>
      <c r="LUQ94" s="2151"/>
      <c r="LUR94" s="2151"/>
      <c r="LUS94" s="2151"/>
      <c r="LUT94" s="2151"/>
      <c r="LUU94" s="2151"/>
      <c r="LUV94" s="2151"/>
      <c r="LUW94" s="2151"/>
      <c r="LUX94" s="2151"/>
      <c r="LUY94" s="2151"/>
      <c r="LUZ94" s="2151"/>
      <c r="LVA94" s="2151"/>
      <c r="LVB94" s="2150"/>
      <c r="LVC94" s="2151"/>
      <c r="LVD94" s="2151"/>
      <c r="LVE94" s="2151"/>
      <c r="LVF94" s="2151"/>
      <c r="LVG94" s="2151"/>
      <c r="LVH94" s="2151"/>
      <c r="LVI94" s="2151"/>
      <c r="LVJ94" s="2151"/>
      <c r="LVK94" s="2151"/>
      <c r="LVL94" s="2151"/>
      <c r="LVM94" s="2151"/>
      <c r="LVN94" s="2151"/>
      <c r="LVO94" s="2151"/>
      <c r="LVP94" s="2151"/>
      <c r="LVQ94" s="2151"/>
      <c r="LVR94" s="2150"/>
      <c r="LVS94" s="2151"/>
      <c r="LVT94" s="2151"/>
      <c r="LVU94" s="2151"/>
      <c r="LVV94" s="2151"/>
      <c r="LVW94" s="2151"/>
      <c r="LVX94" s="2151"/>
      <c r="LVY94" s="2151"/>
      <c r="LVZ94" s="2151"/>
      <c r="LWA94" s="2151"/>
      <c r="LWB94" s="2151"/>
      <c r="LWC94" s="2151"/>
      <c r="LWD94" s="2151"/>
      <c r="LWE94" s="2151"/>
      <c r="LWF94" s="2151"/>
      <c r="LWG94" s="2151"/>
      <c r="LWH94" s="2150"/>
      <c r="LWI94" s="2151"/>
      <c r="LWJ94" s="2151"/>
      <c r="LWK94" s="2151"/>
      <c r="LWL94" s="2151"/>
      <c r="LWM94" s="2151"/>
      <c r="LWN94" s="2151"/>
      <c r="LWO94" s="2151"/>
      <c r="LWP94" s="2151"/>
      <c r="LWQ94" s="2151"/>
      <c r="LWR94" s="2151"/>
      <c r="LWS94" s="2151"/>
      <c r="LWT94" s="2151"/>
      <c r="LWU94" s="2151"/>
      <c r="LWV94" s="2151"/>
      <c r="LWW94" s="2151"/>
      <c r="LWX94" s="2150"/>
      <c r="LWY94" s="2151"/>
      <c r="LWZ94" s="2151"/>
      <c r="LXA94" s="2151"/>
      <c r="LXB94" s="2151"/>
      <c r="LXC94" s="2151"/>
      <c r="LXD94" s="2151"/>
      <c r="LXE94" s="2151"/>
      <c r="LXF94" s="2151"/>
      <c r="LXG94" s="2151"/>
      <c r="LXH94" s="2151"/>
      <c r="LXI94" s="2151"/>
      <c r="LXJ94" s="2151"/>
      <c r="LXK94" s="2151"/>
      <c r="LXL94" s="2151"/>
      <c r="LXM94" s="2151"/>
      <c r="LXN94" s="2150"/>
      <c r="LXO94" s="2151"/>
      <c r="LXP94" s="2151"/>
      <c r="LXQ94" s="2151"/>
      <c r="LXR94" s="2151"/>
      <c r="LXS94" s="2151"/>
      <c r="LXT94" s="2151"/>
      <c r="LXU94" s="2151"/>
      <c r="LXV94" s="2151"/>
      <c r="LXW94" s="2151"/>
      <c r="LXX94" s="2151"/>
      <c r="LXY94" s="2151"/>
      <c r="LXZ94" s="2151"/>
      <c r="LYA94" s="2151"/>
      <c r="LYB94" s="2151"/>
      <c r="LYC94" s="2151"/>
      <c r="LYD94" s="2150"/>
      <c r="LYE94" s="2151"/>
      <c r="LYF94" s="2151"/>
      <c r="LYG94" s="2151"/>
      <c r="LYH94" s="2151"/>
      <c r="LYI94" s="2151"/>
      <c r="LYJ94" s="2151"/>
      <c r="LYK94" s="2151"/>
      <c r="LYL94" s="2151"/>
      <c r="LYM94" s="2151"/>
      <c r="LYN94" s="2151"/>
      <c r="LYO94" s="2151"/>
      <c r="LYP94" s="2151"/>
      <c r="LYQ94" s="2151"/>
      <c r="LYR94" s="2151"/>
      <c r="LYS94" s="2151"/>
      <c r="LYT94" s="2150"/>
      <c r="LYU94" s="2151"/>
      <c r="LYV94" s="2151"/>
      <c r="LYW94" s="2151"/>
      <c r="LYX94" s="2151"/>
      <c r="LYY94" s="2151"/>
      <c r="LYZ94" s="2151"/>
      <c r="LZA94" s="2151"/>
      <c r="LZB94" s="2151"/>
      <c r="LZC94" s="2151"/>
      <c r="LZD94" s="2151"/>
      <c r="LZE94" s="2151"/>
      <c r="LZF94" s="2151"/>
      <c r="LZG94" s="2151"/>
      <c r="LZH94" s="2151"/>
      <c r="LZI94" s="2151"/>
      <c r="LZJ94" s="2150"/>
      <c r="LZK94" s="2151"/>
      <c r="LZL94" s="2151"/>
      <c r="LZM94" s="2151"/>
      <c r="LZN94" s="2151"/>
      <c r="LZO94" s="2151"/>
      <c r="LZP94" s="2151"/>
      <c r="LZQ94" s="2151"/>
      <c r="LZR94" s="2151"/>
      <c r="LZS94" s="2151"/>
      <c r="LZT94" s="2151"/>
      <c r="LZU94" s="2151"/>
      <c r="LZV94" s="2151"/>
      <c r="LZW94" s="2151"/>
      <c r="LZX94" s="2151"/>
      <c r="LZY94" s="2151"/>
      <c r="LZZ94" s="2150"/>
      <c r="MAA94" s="2151"/>
      <c r="MAB94" s="2151"/>
      <c r="MAC94" s="2151"/>
      <c r="MAD94" s="2151"/>
      <c r="MAE94" s="2151"/>
      <c r="MAF94" s="2151"/>
      <c r="MAG94" s="2151"/>
      <c r="MAH94" s="2151"/>
      <c r="MAI94" s="2151"/>
      <c r="MAJ94" s="2151"/>
      <c r="MAK94" s="2151"/>
      <c r="MAL94" s="2151"/>
      <c r="MAM94" s="2151"/>
      <c r="MAN94" s="2151"/>
      <c r="MAO94" s="2151"/>
      <c r="MAP94" s="2150"/>
      <c r="MAQ94" s="2151"/>
      <c r="MAR94" s="2151"/>
      <c r="MAS94" s="2151"/>
      <c r="MAT94" s="2151"/>
      <c r="MAU94" s="2151"/>
      <c r="MAV94" s="2151"/>
      <c r="MAW94" s="2151"/>
      <c r="MAX94" s="2151"/>
      <c r="MAY94" s="2151"/>
      <c r="MAZ94" s="2151"/>
      <c r="MBA94" s="2151"/>
      <c r="MBB94" s="2151"/>
      <c r="MBC94" s="2151"/>
      <c r="MBD94" s="2151"/>
      <c r="MBE94" s="2151"/>
      <c r="MBF94" s="2150"/>
      <c r="MBG94" s="2151"/>
      <c r="MBH94" s="2151"/>
      <c r="MBI94" s="2151"/>
      <c r="MBJ94" s="2151"/>
      <c r="MBK94" s="2151"/>
      <c r="MBL94" s="2151"/>
      <c r="MBM94" s="2151"/>
      <c r="MBN94" s="2151"/>
      <c r="MBO94" s="2151"/>
      <c r="MBP94" s="2151"/>
      <c r="MBQ94" s="2151"/>
      <c r="MBR94" s="2151"/>
      <c r="MBS94" s="2151"/>
      <c r="MBT94" s="2151"/>
      <c r="MBU94" s="2151"/>
      <c r="MBV94" s="2150"/>
      <c r="MBW94" s="2151"/>
      <c r="MBX94" s="2151"/>
      <c r="MBY94" s="2151"/>
      <c r="MBZ94" s="2151"/>
      <c r="MCA94" s="2151"/>
      <c r="MCB94" s="2151"/>
      <c r="MCC94" s="2151"/>
      <c r="MCD94" s="2151"/>
      <c r="MCE94" s="2151"/>
      <c r="MCF94" s="2151"/>
      <c r="MCG94" s="2151"/>
      <c r="MCH94" s="2151"/>
      <c r="MCI94" s="2151"/>
      <c r="MCJ94" s="2151"/>
      <c r="MCK94" s="2151"/>
      <c r="MCL94" s="2150"/>
      <c r="MCM94" s="2151"/>
      <c r="MCN94" s="2151"/>
      <c r="MCO94" s="2151"/>
      <c r="MCP94" s="2151"/>
      <c r="MCQ94" s="2151"/>
      <c r="MCR94" s="2151"/>
      <c r="MCS94" s="2151"/>
      <c r="MCT94" s="2151"/>
      <c r="MCU94" s="2151"/>
      <c r="MCV94" s="2151"/>
      <c r="MCW94" s="2151"/>
      <c r="MCX94" s="2151"/>
      <c r="MCY94" s="2151"/>
      <c r="MCZ94" s="2151"/>
      <c r="MDA94" s="2151"/>
      <c r="MDB94" s="2150"/>
      <c r="MDC94" s="2151"/>
      <c r="MDD94" s="2151"/>
      <c r="MDE94" s="2151"/>
      <c r="MDF94" s="2151"/>
      <c r="MDG94" s="2151"/>
      <c r="MDH94" s="2151"/>
      <c r="MDI94" s="2151"/>
      <c r="MDJ94" s="2151"/>
      <c r="MDK94" s="2151"/>
      <c r="MDL94" s="2151"/>
      <c r="MDM94" s="2151"/>
      <c r="MDN94" s="2151"/>
      <c r="MDO94" s="2151"/>
      <c r="MDP94" s="2151"/>
      <c r="MDQ94" s="2151"/>
      <c r="MDR94" s="2150"/>
      <c r="MDS94" s="2151"/>
      <c r="MDT94" s="2151"/>
      <c r="MDU94" s="2151"/>
      <c r="MDV94" s="2151"/>
      <c r="MDW94" s="2151"/>
      <c r="MDX94" s="2151"/>
      <c r="MDY94" s="2151"/>
      <c r="MDZ94" s="2151"/>
      <c r="MEA94" s="2151"/>
      <c r="MEB94" s="2151"/>
      <c r="MEC94" s="2151"/>
      <c r="MED94" s="2151"/>
      <c r="MEE94" s="2151"/>
      <c r="MEF94" s="2151"/>
      <c r="MEG94" s="2151"/>
      <c r="MEH94" s="2150"/>
      <c r="MEI94" s="2151"/>
      <c r="MEJ94" s="2151"/>
      <c r="MEK94" s="2151"/>
      <c r="MEL94" s="2151"/>
      <c r="MEM94" s="2151"/>
      <c r="MEN94" s="2151"/>
      <c r="MEO94" s="2151"/>
      <c r="MEP94" s="2151"/>
      <c r="MEQ94" s="2151"/>
      <c r="MER94" s="2151"/>
      <c r="MES94" s="2151"/>
      <c r="MET94" s="2151"/>
      <c r="MEU94" s="2151"/>
      <c r="MEV94" s="2151"/>
      <c r="MEW94" s="2151"/>
      <c r="MEX94" s="2150"/>
      <c r="MEY94" s="2151"/>
      <c r="MEZ94" s="2151"/>
      <c r="MFA94" s="2151"/>
      <c r="MFB94" s="2151"/>
      <c r="MFC94" s="2151"/>
      <c r="MFD94" s="2151"/>
      <c r="MFE94" s="2151"/>
      <c r="MFF94" s="2151"/>
      <c r="MFG94" s="2151"/>
      <c r="MFH94" s="2151"/>
      <c r="MFI94" s="2151"/>
      <c r="MFJ94" s="2151"/>
      <c r="MFK94" s="2151"/>
      <c r="MFL94" s="2151"/>
      <c r="MFM94" s="2151"/>
      <c r="MFN94" s="2150"/>
      <c r="MFO94" s="2151"/>
      <c r="MFP94" s="2151"/>
      <c r="MFQ94" s="2151"/>
      <c r="MFR94" s="2151"/>
      <c r="MFS94" s="2151"/>
      <c r="MFT94" s="2151"/>
      <c r="MFU94" s="2151"/>
      <c r="MFV94" s="2151"/>
      <c r="MFW94" s="2151"/>
      <c r="MFX94" s="2151"/>
      <c r="MFY94" s="2151"/>
      <c r="MFZ94" s="2151"/>
      <c r="MGA94" s="2151"/>
      <c r="MGB94" s="2151"/>
      <c r="MGC94" s="2151"/>
      <c r="MGD94" s="2150"/>
      <c r="MGE94" s="2151"/>
      <c r="MGF94" s="2151"/>
      <c r="MGG94" s="2151"/>
      <c r="MGH94" s="2151"/>
      <c r="MGI94" s="2151"/>
      <c r="MGJ94" s="2151"/>
      <c r="MGK94" s="2151"/>
      <c r="MGL94" s="2151"/>
      <c r="MGM94" s="2151"/>
      <c r="MGN94" s="2151"/>
      <c r="MGO94" s="2151"/>
      <c r="MGP94" s="2151"/>
      <c r="MGQ94" s="2151"/>
      <c r="MGR94" s="2151"/>
      <c r="MGS94" s="2151"/>
      <c r="MGT94" s="2150"/>
      <c r="MGU94" s="2151"/>
      <c r="MGV94" s="2151"/>
      <c r="MGW94" s="2151"/>
      <c r="MGX94" s="2151"/>
      <c r="MGY94" s="2151"/>
      <c r="MGZ94" s="2151"/>
      <c r="MHA94" s="2151"/>
      <c r="MHB94" s="2151"/>
      <c r="MHC94" s="2151"/>
      <c r="MHD94" s="2151"/>
      <c r="MHE94" s="2151"/>
      <c r="MHF94" s="2151"/>
      <c r="MHG94" s="2151"/>
      <c r="MHH94" s="2151"/>
      <c r="MHI94" s="2151"/>
      <c r="MHJ94" s="2150"/>
      <c r="MHK94" s="2151"/>
      <c r="MHL94" s="2151"/>
      <c r="MHM94" s="2151"/>
      <c r="MHN94" s="2151"/>
      <c r="MHO94" s="2151"/>
      <c r="MHP94" s="2151"/>
      <c r="MHQ94" s="2151"/>
      <c r="MHR94" s="2151"/>
      <c r="MHS94" s="2151"/>
      <c r="MHT94" s="2151"/>
      <c r="MHU94" s="2151"/>
      <c r="MHV94" s="2151"/>
      <c r="MHW94" s="2151"/>
      <c r="MHX94" s="2151"/>
      <c r="MHY94" s="2151"/>
      <c r="MHZ94" s="2150"/>
      <c r="MIA94" s="2151"/>
      <c r="MIB94" s="2151"/>
      <c r="MIC94" s="2151"/>
      <c r="MID94" s="2151"/>
      <c r="MIE94" s="2151"/>
      <c r="MIF94" s="2151"/>
      <c r="MIG94" s="2151"/>
      <c r="MIH94" s="2151"/>
      <c r="MII94" s="2151"/>
      <c r="MIJ94" s="2151"/>
      <c r="MIK94" s="2151"/>
      <c r="MIL94" s="2151"/>
      <c r="MIM94" s="2151"/>
      <c r="MIN94" s="2151"/>
      <c r="MIO94" s="2151"/>
      <c r="MIP94" s="2150"/>
      <c r="MIQ94" s="2151"/>
      <c r="MIR94" s="2151"/>
      <c r="MIS94" s="2151"/>
      <c r="MIT94" s="2151"/>
      <c r="MIU94" s="2151"/>
      <c r="MIV94" s="2151"/>
      <c r="MIW94" s="2151"/>
      <c r="MIX94" s="2151"/>
      <c r="MIY94" s="2151"/>
      <c r="MIZ94" s="2151"/>
      <c r="MJA94" s="2151"/>
      <c r="MJB94" s="2151"/>
      <c r="MJC94" s="2151"/>
      <c r="MJD94" s="2151"/>
      <c r="MJE94" s="2151"/>
      <c r="MJF94" s="2150"/>
      <c r="MJG94" s="2151"/>
      <c r="MJH94" s="2151"/>
      <c r="MJI94" s="2151"/>
      <c r="MJJ94" s="2151"/>
      <c r="MJK94" s="2151"/>
      <c r="MJL94" s="2151"/>
      <c r="MJM94" s="2151"/>
      <c r="MJN94" s="2151"/>
      <c r="MJO94" s="2151"/>
      <c r="MJP94" s="2151"/>
      <c r="MJQ94" s="2151"/>
      <c r="MJR94" s="2151"/>
      <c r="MJS94" s="2151"/>
      <c r="MJT94" s="2151"/>
      <c r="MJU94" s="2151"/>
      <c r="MJV94" s="2150"/>
      <c r="MJW94" s="2151"/>
      <c r="MJX94" s="2151"/>
      <c r="MJY94" s="2151"/>
      <c r="MJZ94" s="2151"/>
      <c r="MKA94" s="2151"/>
      <c r="MKB94" s="2151"/>
      <c r="MKC94" s="2151"/>
      <c r="MKD94" s="2151"/>
      <c r="MKE94" s="2151"/>
      <c r="MKF94" s="2151"/>
      <c r="MKG94" s="2151"/>
      <c r="MKH94" s="2151"/>
      <c r="MKI94" s="2151"/>
      <c r="MKJ94" s="2151"/>
      <c r="MKK94" s="2151"/>
      <c r="MKL94" s="2150"/>
      <c r="MKM94" s="2151"/>
      <c r="MKN94" s="2151"/>
      <c r="MKO94" s="2151"/>
      <c r="MKP94" s="2151"/>
      <c r="MKQ94" s="2151"/>
      <c r="MKR94" s="2151"/>
      <c r="MKS94" s="2151"/>
      <c r="MKT94" s="2151"/>
      <c r="MKU94" s="2151"/>
      <c r="MKV94" s="2151"/>
      <c r="MKW94" s="2151"/>
      <c r="MKX94" s="2151"/>
      <c r="MKY94" s="2151"/>
      <c r="MKZ94" s="2151"/>
      <c r="MLA94" s="2151"/>
      <c r="MLB94" s="2150"/>
      <c r="MLC94" s="2151"/>
      <c r="MLD94" s="2151"/>
      <c r="MLE94" s="2151"/>
      <c r="MLF94" s="2151"/>
      <c r="MLG94" s="2151"/>
      <c r="MLH94" s="2151"/>
      <c r="MLI94" s="2151"/>
      <c r="MLJ94" s="2151"/>
      <c r="MLK94" s="2151"/>
      <c r="MLL94" s="2151"/>
      <c r="MLM94" s="2151"/>
      <c r="MLN94" s="2151"/>
      <c r="MLO94" s="2151"/>
      <c r="MLP94" s="2151"/>
      <c r="MLQ94" s="2151"/>
      <c r="MLR94" s="2150"/>
      <c r="MLS94" s="2151"/>
      <c r="MLT94" s="2151"/>
      <c r="MLU94" s="2151"/>
      <c r="MLV94" s="2151"/>
      <c r="MLW94" s="2151"/>
      <c r="MLX94" s="2151"/>
      <c r="MLY94" s="2151"/>
      <c r="MLZ94" s="2151"/>
      <c r="MMA94" s="2151"/>
      <c r="MMB94" s="2151"/>
      <c r="MMC94" s="2151"/>
      <c r="MMD94" s="2151"/>
      <c r="MME94" s="2151"/>
      <c r="MMF94" s="2151"/>
      <c r="MMG94" s="2151"/>
      <c r="MMH94" s="2150"/>
      <c r="MMI94" s="2151"/>
      <c r="MMJ94" s="2151"/>
      <c r="MMK94" s="2151"/>
      <c r="MML94" s="2151"/>
      <c r="MMM94" s="2151"/>
      <c r="MMN94" s="2151"/>
      <c r="MMO94" s="2151"/>
      <c r="MMP94" s="2151"/>
      <c r="MMQ94" s="2151"/>
      <c r="MMR94" s="2151"/>
      <c r="MMS94" s="2151"/>
      <c r="MMT94" s="2151"/>
      <c r="MMU94" s="2151"/>
      <c r="MMV94" s="2151"/>
      <c r="MMW94" s="2151"/>
      <c r="MMX94" s="2150"/>
      <c r="MMY94" s="2151"/>
      <c r="MMZ94" s="2151"/>
      <c r="MNA94" s="2151"/>
      <c r="MNB94" s="2151"/>
      <c r="MNC94" s="2151"/>
      <c r="MND94" s="2151"/>
      <c r="MNE94" s="2151"/>
      <c r="MNF94" s="2151"/>
      <c r="MNG94" s="2151"/>
      <c r="MNH94" s="2151"/>
      <c r="MNI94" s="2151"/>
      <c r="MNJ94" s="2151"/>
      <c r="MNK94" s="2151"/>
      <c r="MNL94" s="2151"/>
      <c r="MNM94" s="2151"/>
      <c r="MNN94" s="2150"/>
      <c r="MNO94" s="2151"/>
      <c r="MNP94" s="2151"/>
      <c r="MNQ94" s="2151"/>
      <c r="MNR94" s="2151"/>
      <c r="MNS94" s="2151"/>
      <c r="MNT94" s="2151"/>
      <c r="MNU94" s="2151"/>
      <c r="MNV94" s="2151"/>
      <c r="MNW94" s="2151"/>
      <c r="MNX94" s="2151"/>
      <c r="MNY94" s="2151"/>
      <c r="MNZ94" s="2151"/>
      <c r="MOA94" s="2151"/>
      <c r="MOB94" s="2151"/>
      <c r="MOC94" s="2151"/>
      <c r="MOD94" s="2150"/>
      <c r="MOE94" s="2151"/>
      <c r="MOF94" s="2151"/>
      <c r="MOG94" s="2151"/>
      <c r="MOH94" s="2151"/>
      <c r="MOI94" s="2151"/>
      <c r="MOJ94" s="2151"/>
      <c r="MOK94" s="2151"/>
      <c r="MOL94" s="2151"/>
      <c r="MOM94" s="2151"/>
      <c r="MON94" s="2151"/>
      <c r="MOO94" s="2151"/>
      <c r="MOP94" s="2151"/>
      <c r="MOQ94" s="2151"/>
      <c r="MOR94" s="2151"/>
      <c r="MOS94" s="2151"/>
      <c r="MOT94" s="2150"/>
      <c r="MOU94" s="2151"/>
      <c r="MOV94" s="2151"/>
      <c r="MOW94" s="2151"/>
      <c r="MOX94" s="2151"/>
      <c r="MOY94" s="2151"/>
      <c r="MOZ94" s="2151"/>
      <c r="MPA94" s="2151"/>
      <c r="MPB94" s="2151"/>
      <c r="MPC94" s="2151"/>
      <c r="MPD94" s="2151"/>
      <c r="MPE94" s="2151"/>
      <c r="MPF94" s="2151"/>
      <c r="MPG94" s="2151"/>
      <c r="MPH94" s="2151"/>
      <c r="MPI94" s="2151"/>
      <c r="MPJ94" s="2150"/>
      <c r="MPK94" s="2151"/>
      <c r="MPL94" s="2151"/>
      <c r="MPM94" s="2151"/>
      <c r="MPN94" s="2151"/>
      <c r="MPO94" s="2151"/>
      <c r="MPP94" s="2151"/>
      <c r="MPQ94" s="2151"/>
      <c r="MPR94" s="2151"/>
      <c r="MPS94" s="2151"/>
      <c r="MPT94" s="2151"/>
      <c r="MPU94" s="2151"/>
      <c r="MPV94" s="2151"/>
      <c r="MPW94" s="2151"/>
      <c r="MPX94" s="2151"/>
      <c r="MPY94" s="2151"/>
      <c r="MPZ94" s="2150"/>
      <c r="MQA94" s="2151"/>
      <c r="MQB94" s="2151"/>
      <c r="MQC94" s="2151"/>
      <c r="MQD94" s="2151"/>
      <c r="MQE94" s="2151"/>
      <c r="MQF94" s="2151"/>
      <c r="MQG94" s="2151"/>
      <c r="MQH94" s="2151"/>
      <c r="MQI94" s="2151"/>
      <c r="MQJ94" s="2151"/>
      <c r="MQK94" s="2151"/>
      <c r="MQL94" s="2151"/>
      <c r="MQM94" s="2151"/>
      <c r="MQN94" s="2151"/>
      <c r="MQO94" s="2151"/>
      <c r="MQP94" s="2150"/>
      <c r="MQQ94" s="2151"/>
      <c r="MQR94" s="2151"/>
      <c r="MQS94" s="2151"/>
      <c r="MQT94" s="2151"/>
      <c r="MQU94" s="2151"/>
      <c r="MQV94" s="2151"/>
      <c r="MQW94" s="2151"/>
      <c r="MQX94" s="2151"/>
      <c r="MQY94" s="2151"/>
      <c r="MQZ94" s="2151"/>
      <c r="MRA94" s="2151"/>
      <c r="MRB94" s="2151"/>
      <c r="MRC94" s="2151"/>
      <c r="MRD94" s="2151"/>
      <c r="MRE94" s="2151"/>
      <c r="MRF94" s="2150"/>
      <c r="MRG94" s="2151"/>
      <c r="MRH94" s="2151"/>
      <c r="MRI94" s="2151"/>
      <c r="MRJ94" s="2151"/>
      <c r="MRK94" s="2151"/>
      <c r="MRL94" s="2151"/>
      <c r="MRM94" s="2151"/>
      <c r="MRN94" s="2151"/>
      <c r="MRO94" s="2151"/>
      <c r="MRP94" s="2151"/>
      <c r="MRQ94" s="2151"/>
      <c r="MRR94" s="2151"/>
      <c r="MRS94" s="2151"/>
      <c r="MRT94" s="2151"/>
      <c r="MRU94" s="2151"/>
      <c r="MRV94" s="2150"/>
      <c r="MRW94" s="2151"/>
      <c r="MRX94" s="2151"/>
      <c r="MRY94" s="2151"/>
      <c r="MRZ94" s="2151"/>
      <c r="MSA94" s="2151"/>
      <c r="MSB94" s="2151"/>
      <c r="MSC94" s="2151"/>
      <c r="MSD94" s="2151"/>
      <c r="MSE94" s="2151"/>
      <c r="MSF94" s="2151"/>
      <c r="MSG94" s="2151"/>
      <c r="MSH94" s="2151"/>
      <c r="MSI94" s="2151"/>
      <c r="MSJ94" s="2151"/>
      <c r="MSK94" s="2151"/>
      <c r="MSL94" s="2150"/>
      <c r="MSM94" s="2151"/>
      <c r="MSN94" s="2151"/>
      <c r="MSO94" s="2151"/>
      <c r="MSP94" s="2151"/>
      <c r="MSQ94" s="2151"/>
      <c r="MSR94" s="2151"/>
      <c r="MSS94" s="2151"/>
      <c r="MST94" s="2151"/>
      <c r="MSU94" s="2151"/>
      <c r="MSV94" s="2151"/>
      <c r="MSW94" s="2151"/>
      <c r="MSX94" s="2151"/>
      <c r="MSY94" s="2151"/>
      <c r="MSZ94" s="2151"/>
      <c r="MTA94" s="2151"/>
      <c r="MTB94" s="2150"/>
      <c r="MTC94" s="2151"/>
      <c r="MTD94" s="2151"/>
      <c r="MTE94" s="2151"/>
      <c r="MTF94" s="2151"/>
      <c r="MTG94" s="2151"/>
      <c r="MTH94" s="2151"/>
      <c r="MTI94" s="2151"/>
      <c r="MTJ94" s="2151"/>
      <c r="MTK94" s="2151"/>
      <c r="MTL94" s="2151"/>
      <c r="MTM94" s="2151"/>
      <c r="MTN94" s="2151"/>
      <c r="MTO94" s="2151"/>
      <c r="MTP94" s="2151"/>
      <c r="MTQ94" s="2151"/>
      <c r="MTR94" s="2150"/>
      <c r="MTS94" s="2151"/>
      <c r="MTT94" s="2151"/>
      <c r="MTU94" s="2151"/>
      <c r="MTV94" s="2151"/>
      <c r="MTW94" s="2151"/>
      <c r="MTX94" s="2151"/>
      <c r="MTY94" s="2151"/>
      <c r="MTZ94" s="2151"/>
      <c r="MUA94" s="2151"/>
      <c r="MUB94" s="2151"/>
      <c r="MUC94" s="2151"/>
      <c r="MUD94" s="2151"/>
      <c r="MUE94" s="2151"/>
      <c r="MUF94" s="2151"/>
      <c r="MUG94" s="2151"/>
      <c r="MUH94" s="2150"/>
      <c r="MUI94" s="2151"/>
      <c r="MUJ94" s="2151"/>
      <c r="MUK94" s="2151"/>
      <c r="MUL94" s="2151"/>
      <c r="MUM94" s="2151"/>
      <c r="MUN94" s="2151"/>
      <c r="MUO94" s="2151"/>
      <c r="MUP94" s="2151"/>
      <c r="MUQ94" s="2151"/>
      <c r="MUR94" s="2151"/>
      <c r="MUS94" s="2151"/>
      <c r="MUT94" s="2151"/>
      <c r="MUU94" s="2151"/>
      <c r="MUV94" s="2151"/>
      <c r="MUW94" s="2151"/>
      <c r="MUX94" s="2150"/>
      <c r="MUY94" s="2151"/>
      <c r="MUZ94" s="2151"/>
      <c r="MVA94" s="2151"/>
      <c r="MVB94" s="2151"/>
      <c r="MVC94" s="2151"/>
      <c r="MVD94" s="2151"/>
      <c r="MVE94" s="2151"/>
      <c r="MVF94" s="2151"/>
      <c r="MVG94" s="2151"/>
      <c r="MVH94" s="2151"/>
      <c r="MVI94" s="2151"/>
      <c r="MVJ94" s="2151"/>
      <c r="MVK94" s="2151"/>
      <c r="MVL94" s="2151"/>
      <c r="MVM94" s="2151"/>
      <c r="MVN94" s="2150"/>
      <c r="MVO94" s="2151"/>
      <c r="MVP94" s="2151"/>
      <c r="MVQ94" s="2151"/>
      <c r="MVR94" s="2151"/>
      <c r="MVS94" s="2151"/>
      <c r="MVT94" s="2151"/>
      <c r="MVU94" s="2151"/>
      <c r="MVV94" s="2151"/>
      <c r="MVW94" s="2151"/>
      <c r="MVX94" s="2151"/>
      <c r="MVY94" s="2151"/>
      <c r="MVZ94" s="2151"/>
      <c r="MWA94" s="2151"/>
      <c r="MWB94" s="2151"/>
      <c r="MWC94" s="2151"/>
      <c r="MWD94" s="2150"/>
      <c r="MWE94" s="2151"/>
      <c r="MWF94" s="2151"/>
      <c r="MWG94" s="2151"/>
      <c r="MWH94" s="2151"/>
      <c r="MWI94" s="2151"/>
      <c r="MWJ94" s="2151"/>
      <c r="MWK94" s="2151"/>
      <c r="MWL94" s="2151"/>
      <c r="MWM94" s="2151"/>
      <c r="MWN94" s="2151"/>
      <c r="MWO94" s="2151"/>
      <c r="MWP94" s="2151"/>
      <c r="MWQ94" s="2151"/>
      <c r="MWR94" s="2151"/>
      <c r="MWS94" s="2151"/>
      <c r="MWT94" s="2150"/>
      <c r="MWU94" s="2151"/>
      <c r="MWV94" s="2151"/>
      <c r="MWW94" s="2151"/>
      <c r="MWX94" s="2151"/>
      <c r="MWY94" s="2151"/>
      <c r="MWZ94" s="2151"/>
      <c r="MXA94" s="2151"/>
      <c r="MXB94" s="2151"/>
      <c r="MXC94" s="2151"/>
      <c r="MXD94" s="2151"/>
      <c r="MXE94" s="2151"/>
      <c r="MXF94" s="2151"/>
      <c r="MXG94" s="2151"/>
      <c r="MXH94" s="2151"/>
      <c r="MXI94" s="2151"/>
      <c r="MXJ94" s="2150"/>
      <c r="MXK94" s="2151"/>
      <c r="MXL94" s="2151"/>
      <c r="MXM94" s="2151"/>
      <c r="MXN94" s="2151"/>
      <c r="MXO94" s="2151"/>
      <c r="MXP94" s="2151"/>
      <c r="MXQ94" s="2151"/>
      <c r="MXR94" s="2151"/>
      <c r="MXS94" s="2151"/>
      <c r="MXT94" s="2151"/>
      <c r="MXU94" s="2151"/>
      <c r="MXV94" s="2151"/>
      <c r="MXW94" s="2151"/>
      <c r="MXX94" s="2151"/>
      <c r="MXY94" s="2151"/>
      <c r="MXZ94" s="2150"/>
      <c r="MYA94" s="2151"/>
      <c r="MYB94" s="2151"/>
      <c r="MYC94" s="2151"/>
      <c r="MYD94" s="2151"/>
      <c r="MYE94" s="2151"/>
      <c r="MYF94" s="2151"/>
      <c r="MYG94" s="2151"/>
      <c r="MYH94" s="2151"/>
      <c r="MYI94" s="2151"/>
      <c r="MYJ94" s="2151"/>
      <c r="MYK94" s="2151"/>
      <c r="MYL94" s="2151"/>
      <c r="MYM94" s="2151"/>
      <c r="MYN94" s="2151"/>
      <c r="MYO94" s="2151"/>
      <c r="MYP94" s="2150"/>
      <c r="MYQ94" s="2151"/>
      <c r="MYR94" s="2151"/>
      <c r="MYS94" s="2151"/>
      <c r="MYT94" s="2151"/>
      <c r="MYU94" s="2151"/>
      <c r="MYV94" s="2151"/>
      <c r="MYW94" s="2151"/>
      <c r="MYX94" s="2151"/>
      <c r="MYY94" s="2151"/>
      <c r="MYZ94" s="2151"/>
      <c r="MZA94" s="2151"/>
      <c r="MZB94" s="2151"/>
      <c r="MZC94" s="2151"/>
      <c r="MZD94" s="2151"/>
      <c r="MZE94" s="2151"/>
      <c r="MZF94" s="2150"/>
      <c r="MZG94" s="2151"/>
      <c r="MZH94" s="2151"/>
      <c r="MZI94" s="2151"/>
      <c r="MZJ94" s="2151"/>
      <c r="MZK94" s="2151"/>
      <c r="MZL94" s="2151"/>
      <c r="MZM94" s="2151"/>
      <c r="MZN94" s="2151"/>
      <c r="MZO94" s="2151"/>
      <c r="MZP94" s="2151"/>
      <c r="MZQ94" s="2151"/>
      <c r="MZR94" s="2151"/>
      <c r="MZS94" s="2151"/>
      <c r="MZT94" s="2151"/>
      <c r="MZU94" s="2151"/>
      <c r="MZV94" s="2150"/>
      <c r="MZW94" s="2151"/>
      <c r="MZX94" s="2151"/>
      <c r="MZY94" s="2151"/>
      <c r="MZZ94" s="2151"/>
      <c r="NAA94" s="2151"/>
      <c r="NAB94" s="2151"/>
      <c r="NAC94" s="2151"/>
      <c r="NAD94" s="2151"/>
      <c r="NAE94" s="2151"/>
      <c r="NAF94" s="2151"/>
      <c r="NAG94" s="2151"/>
      <c r="NAH94" s="2151"/>
      <c r="NAI94" s="2151"/>
      <c r="NAJ94" s="2151"/>
      <c r="NAK94" s="2151"/>
      <c r="NAL94" s="2150"/>
      <c r="NAM94" s="2151"/>
      <c r="NAN94" s="2151"/>
      <c r="NAO94" s="2151"/>
      <c r="NAP94" s="2151"/>
      <c r="NAQ94" s="2151"/>
      <c r="NAR94" s="2151"/>
      <c r="NAS94" s="2151"/>
      <c r="NAT94" s="2151"/>
      <c r="NAU94" s="2151"/>
      <c r="NAV94" s="2151"/>
      <c r="NAW94" s="2151"/>
      <c r="NAX94" s="2151"/>
      <c r="NAY94" s="2151"/>
      <c r="NAZ94" s="2151"/>
      <c r="NBA94" s="2151"/>
      <c r="NBB94" s="2150"/>
      <c r="NBC94" s="2151"/>
      <c r="NBD94" s="2151"/>
      <c r="NBE94" s="2151"/>
      <c r="NBF94" s="2151"/>
      <c r="NBG94" s="2151"/>
      <c r="NBH94" s="2151"/>
      <c r="NBI94" s="2151"/>
      <c r="NBJ94" s="2151"/>
      <c r="NBK94" s="2151"/>
      <c r="NBL94" s="2151"/>
      <c r="NBM94" s="2151"/>
      <c r="NBN94" s="2151"/>
      <c r="NBO94" s="2151"/>
      <c r="NBP94" s="2151"/>
      <c r="NBQ94" s="2151"/>
      <c r="NBR94" s="2150"/>
      <c r="NBS94" s="2151"/>
      <c r="NBT94" s="2151"/>
      <c r="NBU94" s="2151"/>
      <c r="NBV94" s="2151"/>
      <c r="NBW94" s="2151"/>
      <c r="NBX94" s="2151"/>
      <c r="NBY94" s="2151"/>
      <c r="NBZ94" s="2151"/>
      <c r="NCA94" s="2151"/>
      <c r="NCB94" s="2151"/>
      <c r="NCC94" s="2151"/>
      <c r="NCD94" s="2151"/>
      <c r="NCE94" s="2151"/>
      <c r="NCF94" s="2151"/>
      <c r="NCG94" s="2151"/>
      <c r="NCH94" s="2150"/>
      <c r="NCI94" s="2151"/>
      <c r="NCJ94" s="2151"/>
      <c r="NCK94" s="2151"/>
      <c r="NCL94" s="2151"/>
      <c r="NCM94" s="2151"/>
      <c r="NCN94" s="2151"/>
      <c r="NCO94" s="2151"/>
      <c r="NCP94" s="2151"/>
      <c r="NCQ94" s="2151"/>
      <c r="NCR94" s="2151"/>
      <c r="NCS94" s="2151"/>
      <c r="NCT94" s="2151"/>
      <c r="NCU94" s="2151"/>
      <c r="NCV94" s="2151"/>
      <c r="NCW94" s="2151"/>
      <c r="NCX94" s="2150"/>
      <c r="NCY94" s="2151"/>
      <c r="NCZ94" s="2151"/>
      <c r="NDA94" s="2151"/>
      <c r="NDB94" s="2151"/>
      <c r="NDC94" s="2151"/>
      <c r="NDD94" s="2151"/>
      <c r="NDE94" s="2151"/>
      <c r="NDF94" s="2151"/>
      <c r="NDG94" s="2151"/>
      <c r="NDH94" s="2151"/>
      <c r="NDI94" s="2151"/>
      <c r="NDJ94" s="2151"/>
      <c r="NDK94" s="2151"/>
      <c r="NDL94" s="2151"/>
      <c r="NDM94" s="2151"/>
      <c r="NDN94" s="2150"/>
      <c r="NDO94" s="2151"/>
      <c r="NDP94" s="2151"/>
      <c r="NDQ94" s="2151"/>
      <c r="NDR94" s="2151"/>
      <c r="NDS94" s="2151"/>
      <c r="NDT94" s="2151"/>
      <c r="NDU94" s="2151"/>
      <c r="NDV94" s="2151"/>
      <c r="NDW94" s="2151"/>
      <c r="NDX94" s="2151"/>
      <c r="NDY94" s="2151"/>
      <c r="NDZ94" s="2151"/>
      <c r="NEA94" s="2151"/>
      <c r="NEB94" s="2151"/>
      <c r="NEC94" s="2151"/>
      <c r="NED94" s="2150"/>
      <c r="NEE94" s="2151"/>
      <c r="NEF94" s="2151"/>
      <c r="NEG94" s="2151"/>
      <c r="NEH94" s="2151"/>
      <c r="NEI94" s="2151"/>
      <c r="NEJ94" s="2151"/>
      <c r="NEK94" s="2151"/>
      <c r="NEL94" s="2151"/>
      <c r="NEM94" s="2151"/>
      <c r="NEN94" s="2151"/>
      <c r="NEO94" s="2151"/>
      <c r="NEP94" s="2151"/>
      <c r="NEQ94" s="2151"/>
      <c r="NER94" s="2151"/>
      <c r="NES94" s="2151"/>
      <c r="NET94" s="2150"/>
      <c r="NEU94" s="2151"/>
      <c r="NEV94" s="2151"/>
      <c r="NEW94" s="2151"/>
      <c r="NEX94" s="2151"/>
      <c r="NEY94" s="2151"/>
      <c r="NEZ94" s="2151"/>
      <c r="NFA94" s="2151"/>
      <c r="NFB94" s="2151"/>
      <c r="NFC94" s="2151"/>
      <c r="NFD94" s="2151"/>
      <c r="NFE94" s="2151"/>
      <c r="NFF94" s="2151"/>
      <c r="NFG94" s="2151"/>
      <c r="NFH94" s="2151"/>
      <c r="NFI94" s="2151"/>
      <c r="NFJ94" s="2150"/>
      <c r="NFK94" s="2151"/>
      <c r="NFL94" s="2151"/>
      <c r="NFM94" s="2151"/>
      <c r="NFN94" s="2151"/>
      <c r="NFO94" s="2151"/>
      <c r="NFP94" s="2151"/>
      <c r="NFQ94" s="2151"/>
      <c r="NFR94" s="2151"/>
      <c r="NFS94" s="2151"/>
      <c r="NFT94" s="2151"/>
      <c r="NFU94" s="2151"/>
      <c r="NFV94" s="2151"/>
      <c r="NFW94" s="2151"/>
      <c r="NFX94" s="2151"/>
      <c r="NFY94" s="2151"/>
      <c r="NFZ94" s="2150"/>
      <c r="NGA94" s="2151"/>
      <c r="NGB94" s="2151"/>
      <c r="NGC94" s="2151"/>
      <c r="NGD94" s="2151"/>
      <c r="NGE94" s="2151"/>
      <c r="NGF94" s="2151"/>
      <c r="NGG94" s="2151"/>
      <c r="NGH94" s="2151"/>
      <c r="NGI94" s="2151"/>
      <c r="NGJ94" s="2151"/>
      <c r="NGK94" s="2151"/>
      <c r="NGL94" s="2151"/>
      <c r="NGM94" s="2151"/>
      <c r="NGN94" s="2151"/>
      <c r="NGO94" s="2151"/>
      <c r="NGP94" s="2150"/>
      <c r="NGQ94" s="2151"/>
      <c r="NGR94" s="2151"/>
      <c r="NGS94" s="2151"/>
      <c r="NGT94" s="2151"/>
      <c r="NGU94" s="2151"/>
      <c r="NGV94" s="2151"/>
      <c r="NGW94" s="2151"/>
      <c r="NGX94" s="2151"/>
      <c r="NGY94" s="2151"/>
      <c r="NGZ94" s="2151"/>
      <c r="NHA94" s="2151"/>
      <c r="NHB94" s="2151"/>
      <c r="NHC94" s="2151"/>
      <c r="NHD94" s="2151"/>
      <c r="NHE94" s="2151"/>
      <c r="NHF94" s="2150"/>
      <c r="NHG94" s="2151"/>
      <c r="NHH94" s="2151"/>
      <c r="NHI94" s="2151"/>
      <c r="NHJ94" s="2151"/>
      <c r="NHK94" s="2151"/>
      <c r="NHL94" s="2151"/>
      <c r="NHM94" s="2151"/>
      <c r="NHN94" s="2151"/>
      <c r="NHO94" s="2151"/>
      <c r="NHP94" s="2151"/>
      <c r="NHQ94" s="2151"/>
      <c r="NHR94" s="2151"/>
      <c r="NHS94" s="2151"/>
      <c r="NHT94" s="2151"/>
      <c r="NHU94" s="2151"/>
      <c r="NHV94" s="2150"/>
      <c r="NHW94" s="2151"/>
      <c r="NHX94" s="2151"/>
      <c r="NHY94" s="2151"/>
      <c r="NHZ94" s="2151"/>
      <c r="NIA94" s="2151"/>
      <c r="NIB94" s="2151"/>
      <c r="NIC94" s="2151"/>
      <c r="NID94" s="2151"/>
      <c r="NIE94" s="2151"/>
      <c r="NIF94" s="2151"/>
      <c r="NIG94" s="2151"/>
      <c r="NIH94" s="2151"/>
      <c r="NII94" s="2151"/>
      <c r="NIJ94" s="2151"/>
      <c r="NIK94" s="2151"/>
      <c r="NIL94" s="2150"/>
      <c r="NIM94" s="2151"/>
      <c r="NIN94" s="2151"/>
      <c r="NIO94" s="2151"/>
      <c r="NIP94" s="2151"/>
      <c r="NIQ94" s="2151"/>
      <c r="NIR94" s="2151"/>
      <c r="NIS94" s="2151"/>
      <c r="NIT94" s="2151"/>
      <c r="NIU94" s="2151"/>
      <c r="NIV94" s="2151"/>
      <c r="NIW94" s="2151"/>
      <c r="NIX94" s="2151"/>
      <c r="NIY94" s="2151"/>
      <c r="NIZ94" s="2151"/>
      <c r="NJA94" s="2151"/>
      <c r="NJB94" s="2150"/>
      <c r="NJC94" s="2151"/>
      <c r="NJD94" s="2151"/>
      <c r="NJE94" s="2151"/>
      <c r="NJF94" s="2151"/>
      <c r="NJG94" s="2151"/>
      <c r="NJH94" s="2151"/>
      <c r="NJI94" s="2151"/>
      <c r="NJJ94" s="2151"/>
      <c r="NJK94" s="2151"/>
      <c r="NJL94" s="2151"/>
      <c r="NJM94" s="2151"/>
      <c r="NJN94" s="2151"/>
      <c r="NJO94" s="2151"/>
      <c r="NJP94" s="2151"/>
      <c r="NJQ94" s="2151"/>
      <c r="NJR94" s="2150"/>
      <c r="NJS94" s="2151"/>
      <c r="NJT94" s="2151"/>
      <c r="NJU94" s="2151"/>
      <c r="NJV94" s="2151"/>
      <c r="NJW94" s="2151"/>
      <c r="NJX94" s="2151"/>
      <c r="NJY94" s="2151"/>
      <c r="NJZ94" s="2151"/>
      <c r="NKA94" s="2151"/>
      <c r="NKB94" s="2151"/>
      <c r="NKC94" s="2151"/>
      <c r="NKD94" s="2151"/>
      <c r="NKE94" s="2151"/>
      <c r="NKF94" s="2151"/>
      <c r="NKG94" s="2151"/>
      <c r="NKH94" s="2150"/>
      <c r="NKI94" s="2151"/>
      <c r="NKJ94" s="2151"/>
      <c r="NKK94" s="2151"/>
      <c r="NKL94" s="2151"/>
      <c r="NKM94" s="2151"/>
      <c r="NKN94" s="2151"/>
      <c r="NKO94" s="2151"/>
      <c r="NKP94" s="2151"/>
      <c r="NKQ94" s="2151"/>
      <c r="NKR94" s="2151"/>
      <c r="NKS94" s="2151"/>
      <c r="NKT94" s="2151"/>
      <c r="NKU94" s="2151"/>
      <c r="NKV94" s="2151"/>
      <c r="NKW94" s="2151"/>
      <c r="NKX94" s="2150"/>
      <c r="NKY94" s="2151"/>
      <c r="NKZ94" s="2151"/>
      <c r="NLA94" s="2151"/>
      <c r="NLB94" s="2151"/>
      <c r="NLC94" s="2151"/>
      <c r="NLD94" s="2151"/>
      <c r="NLE94" s="2151"/>
      <c r="NLF94" s="2151"/>
      <c r="NLG94" s="2151"/>
      <c r="NLH94" s="2151"/>
      <c r="NLI94" s="2151"/>
      <c r="NLJ94" s="2151"/>
      <c r="NLK94" s="2151"/>
      <c r="NLL94" s="2151"/>
      <c r="NLM94" s="2151"/>
      <c r="NLN94" s="2150"/>
      <c r="NLO94" s="2151"/>
      <c r="NLP94" s="2151"/>
      <c r="NLQ94" s="2151"/>
      <c r="NLR94" s="2151"/>
      <c r="NLS94" s="2151"/>
      <c r="NLT94" s="2151"/>
      <c r="NLU94" s="2151"/>
      <c r="NLV94" s="2151"/>
      <c r="NLW94" s="2151"/>
      <c r="NLX94" s="2151"/>
      <c r="NLY94" s="2151"/>
      <c r="NLZ94" s="2151"/>
      <c r="NMA94" s="2151"/>
      <c r="NMB94" s="2151"/>
      <c r="NMC94" s="2151"/>
      <c r="NMD94" s="2150"/>
      <c r="NME94" s="2151"/>
      <c r="NMF94" s="2151"/>
      <c r="NMG94" s="2151"/>
      <c r="NMH94" s="2151"/>
      <c r="NMI94" s="2151"/>
      <c r="NMJ94" s="2151"/>
      <c r="NMK94" s="2151"/>
      <c r="NML94" s="2151"/>
      <c r="NMM94" s="2151"/>
      <c r="NMN94" s="2151"/>
      <c r="NMO94" s="2151"/>
      <c r="NMP94" s="2151"/>
      <c r="NMQ94" s="2151"/>
      <c r="NMR94" s="2151"/>
      <c r="NMS94" s="2151"/>
      <c r="NMT94" s="2150"/>
      <c r="NMU94" s="2151"/>
      <c r="NMV94" s="2151"/>
      <c r="NMW94" s="2151"/>
      <c r="NMX94" s="2151"/>
      <c r="NMY94" s="2151"/>
      <c r="NMZ94" s="2151"/>
      <c r="NNA94" s="2151"/>
      <c r="NNB94" s="2151"/>
      <c r="NNC94" s="2151"/>
      <c r="NND94" s="2151"/>
      <c r="NNE94" s="2151"/>
      <c r="NNF94" s="2151"/>
      <c r="NNG94" s="2151"/>
      <c r="NNH94" s="2151"/>
      <c r="NNI94" s="2151"/>
      <c r="NNJ94" s="2150"/>
      <c r="NNK94" s="2151"/>
      <c r="NNL94" s="2151"/>
      <c r="NNM94" s="2151"/>
      <c r="NNN94" s="2151"/>
      <c r="NNO94" s="2151"/>
      <c r="NNP94" s="2151"/>
      <c r="NNQ94" s="2151"/>
      <c r="NNR94" s="2151"/>
      <c r="NNS94" s="2151"/>
      <c r="NNT94" s="2151"/>
      <c r="NNU94" s="2151"/>
      <c r="NNV94" s="2151"/>
      <c r="NNW94" s="2151"/>
      <c r="NNX94" s="2151"/>
      <c r="NNY94" s="2151"/>
      <c r="NNZ94" s="2150"/>
      <c r="NOA94" s="2151"/>
      <c r="NOB94" s="2151"/>
      <c r="NOC94" s="2151"/>
      <c r="NOD94" s="2151"/>
      <c r="NOE94" s="2151"/>
      <c r="NOF94" s="2151"/>
      <c r="NOG94" s="2151"/>
      <c r="NOH94" s="2151"/>
      <c r="NOI94" s="2151"/>
      <c r="NOJ94" s="2151"/>
      <c r="NOK94" s="2151"/>
      <c r="NOL94" s="2151"/>
      <c r="NOM94" s="2151"/>
      <c r="NON94" s="2151"/>
      <c r="NOO94" s="2151"/>
      <c r="NOP94" s="2150"/>
      <c r="NOQ94" s="2151"/>
      <c r="NOR94" s="2151"/>
      <c r="NOS94" s="2151"/>
      <c r="NOT94" s="2151"/>
      <c r="NOU94" s="2151"/>
      <c r="NOV94" s="2151"/>
      <c r="NOW94" s="2151"/>
      <c r="NOX94" s="2151"/>
      <c r="NOY94" s="2151"/>
      <c r="NOZ94" s="2151"/>
      <c r="NPA94" s="2151"/>
      <c r="NPB94" s="2151"/>
      <c r="NPC94" s="2151"/>
      <c r="NPD94" s="2151"/>
      <c r="NPE94" s="2151"/>
      <c r="NPF94" s="2150"/>
      <c r="NPG94" s="2151"/>
      <c r="NPH94" s="2151"/>
      <c r="NPI94" s="2151"/>
      <c r="NPJ94" s="2151"/>
      <c r="NPK94" s="2151"/>
      <c r="NPL94" s="2151"/>
      <c r="NPM94" s="2151"/>
      <c r="NPN94" s="2151"/>
      <c r="NPO94" s="2151"/>
      <c r="NPP94" s="2151"/>
      <c r="NPQ94" s="2151"/>
      <c r="NPR94" s="2151"/>
      <c r="NPS94" s="2151"/>
      <c r="NPT94" s="2151"/>
      <c r="NPU94" s="2151"/>
      <c r="NPV94" s="2150"/>
      <c r="NPW94" s="2151"/>
      <c r="NPX94" s="2151"/>
      <c r="NPY94" s="2151"/>
      <c r="NPZ94" s="2151"/>
      <c r="NQA94" s="2151"/>
      <c r="NQB94" s="2151"/>
      <c r="NQC94" s="2151"/>
      <c r="NQD94" s="2151"/>
      <c r="NQE94" s="2151"/>
      <c r="NQF94" s="2151"/>
      <c r="NQG94" s="2151"/>
      <c r="NQH94" s="2151"/>
      <c r="NQI94" s="2151"/>
      <c r="NQJ94" s="2151"/>
      <c r="NQK94" s="2151"/>
      <c r="NQL94" s="2150"/>
      <c r="NQM94" s="2151"/>
      <c r="NQN94" s="2151"/>
      <c r="NQO94" s="2151"/>
      <c r="NQP94" s="2151"/>
      <c r="NQQ94" s="2151"/>
      <c r="NQR94" s="2151"/>
      <c r="NQS94" s="2151"/>
      <c r="NQT94" s="2151"/>
      <c r="NQU94" s="2151"/>
      <c r="NQV94" s="2151"/>
      <c r="NQW94" s="2151"/>
      <c r="NQX94" s="2151"/>
      <c r="NQY94" s="2151"/>
      <c r="NQZ94" s="2151"/>
      <c r="NRA94" s="2151"/>
      <c r="NRB94" s="2150"/>
      <c r="NRC94" s="2151"/>
      <c r="NRD94" s="2151"/>
      <c r="NRE94" s="2151"/>
      <c r="NRF94" s="2151"/>
      <c r="NRG94" s="2151"/>
      <c r="NRH94" s="2151"/>
      <c r="NRI94" s="2151"/>
      <c r="NRJ94" s="2151"/>
      <c r="NRK94" s="2151"/>
      <c r="NRL94" s="2151"/>
      <c r="NRM94" s="2151"/>
      <c r="NRN94" s="2151"/>
      <c r="NRO94" s="2151"/>
      <c r="NRP94" s="2151"/>
      <c r="NRQ94" s="2151"/>
      <c r="NRR94" s="2150"/>
      <c r="NRS94" s="2151"/>
      <c r="NRT94" s="2151"/>
      <c r="NRU94" s="2151"/>
      <c r="NRV94" s="2151"/>
      <c r="NRW94" s="2151"/>
      <c r="NRX94" s="2151"/>
      <c r="NRY94" s="2151"/>
      <c r="NRZ94" s="2151"/>
      <c r="NSA94" s="2151"/>
      <c r="NSB94" s="2151"/>
      <c r="NSC94" s="2151"/>
      <c r="NSD94" s="2151"/>
      <c r="NSE94" s="2151"/>
      <c r="NSF94" s="2151"/>
      <c r="NSG94" s="2151"/>
      <c r="NSH94" s="2150"/>
      <c r="NSI94" s="2151"/>
      <c r="NSJ94" s="2151"/>
      <c r="NSK94" s="2151"/>
      <c r="NSL94" s="2151"/>
      <c r="NSM94" s="2151"/>
      <c r="NSN94" s="2151"/>
      <c r="NSO94" s="2151"/>
      <c r="NSP94" s="2151"/>
      <c r="NSQ94" s="2151"/>
      <c r="NSR94" s="2151"/>
      <c r="NSS94" s="2151"/>
      <c r="NST94" s="2151"/>
      <c r="NSU94" s="2151"/>
      <c r="NSV94" s="2151"/>
      <c r="NSW94" s="2151"/>
      <c r="NSX94" s="2150"/>
      <c r="NSY94" s="2151"/>
      <c r="NSZ94" s="2151"/>
      <c r="NTA94" s="2151"/>
      <c r="NTB94" s="2151"/>
      <c r="NTC94" s="2151"/>
      <c r="NTD94" s="2151"/>
      <c r="NTE94" s="2151"/>
      <c r="NTF94" s="2151"/>
      <c r="NTG94" s="2151"/>
      <c r="NTH94" s="2151"/>
      <c r="NTI94" s="2151"/>
      <c r="NTJ94" s="2151"/>
      <c r="NTK94" s="2151"/>
      <c r="NTL94" s="2151"/>
      <c r="NTM94" s="2151"/>
      <c r="NTN94" s="2150"/>
      <c r="NTO94" s="2151"/>
      <c r="NTP94" s="2151"/>
      <c r="NTQ94" s="2151"/>
      <c r="NTR94" s="2151"/>
      <c r="NTS94" s="2151"/>
      <c r="NTT94" s="2151"/>
      <c r="NTU94" s="2151"/>
      <c r="NTV94" s="2151"/>
      <c r="NTW94" s="2151"/>
      <c r="NTX94" s="2151"/>
      <c r="NTY94" s="2151"/>
      <c r="NTZ94" s="2151"/>
      <c r="NUA94" s="2151"/>
      <c r="NUB94" s="2151"/>
      <c r="NUC94" s="2151"/>
      <c r="NUD94" s="2150"/>
      <c r="NUE94" s="2151"/>
      <c r="NUF94" s="2151"/>
      <c r="NUG94" s="2151"/>
      <c r="NUH94" s="2151"/>
      <c r="NUI94" s="2151"/>
      <c r="NUJ94" s="2151"/>
      <c r="NUK94" s="2151"/>
      <c r="NUL94" s="2151"/>
      <c r="NUM94" s="2151"/>
      <c r="NUN94" s="2151"/>
      <c r="NUO94" s="2151"/>
      <c r="NUP94" s="2151"/>
      <c r="NUQ94" s="2151"/>
      <c r="NUR94" s="2151"/>
      <c r="NUS94" s="2151"/>
      <c r="NUT94" s="2150"/>
      <c r="NUU94" s="2151"/>
      <c r="NUV94" s="2151"/>
      <c r="NUW94" s="2151"/>
      <c r="NUX94" s="2151"/>
      <c r="NUY94" s="2151"/>
      <c r="NUZ94" s="2151"/>
      <c r="NVA94" s="2151"/>
      <c r="NVB94" s="2151"/>
      <c r="NVC94" s="2151"/>
      <c r="NVD94" s="2151"/>
      <c r="NVE94" s="2151"/>
      <c r="NVF94" s="2151"/>
      <c r="NVG94" s="2151"/>
      <c r="NVH94" s="2151"/>
      <c r="NVI94" s="2151"/>
      <c r="NVJ94" s="2150"/>
      <c r="NVK94" s="2151"/>
      <c r="NVL94" s="2151"/>
      <c r="NVM94" s="2151"/>
      <c r="NVN94" s="2151"/>
      <c r="NVO94" s="2151"/>
      <c r="NVP94" s="2151"/>
      <c r="NVQ94" s="2151"/>
      <c r="NVR94" s="2151"/>
      <c r="NVS94" s="2151"/>
      <c r="NVT94" s="2151"/>
      <c r="NVU94" s="2151"/>
      <c r="NVV94" s="2151"/>
      <c r="NVW94" s="2151"/>
      <c r="NVX94" s="2151"/>
      <c r="NVY94" s="2151"/>
      <c r="NVZ94" s="2150"/>
      <c r="NWA94" s="2151"/>
      <c r="NWB94" s="2151"/>
      <c r="NWC94" s="2151"/>
      <c r="NWD94" s="2151"/>
      <c r="NWE94" s="2151"/>
      <c r="NWF94" s="2151"/>
      <c r="NWG94" s="2151"/>
      <c r="NWH94" s="2151"/>
      <c r="NWI94" s="2151"/>
      <c r="NWJ94" s="2151"/>
      <c r="NWK94" s="2151"/>
      <c r="NWL94" s="2151"/>
      <c r="NWM94" s="2151"/>
      <c r="NWN94" s="2151"/>
      <c r="NWO94" s="2151"/>
      <c r="NWP94" s="2150"/>
      <c r="NWQ94" s="2151"/>
      <c r="NWR94" s="2151"/>
      <c r="NWS94" s="2151"/>
      <c r="NWT94" s="2151"/>
      <c r="NWU94" s="2151"/>
      <c r="NWV94" s="2151"/>
      <c r="NWW94" s="2151"/>
      <c r="NWX94" s="2151"/>
      <c r="NWY94" s="2151"/>
      <c r="NWZ94" s="2151"/>
      <c r="NXA94" s="2151"/>
      <c r="NXB94" s="2151"/>
      <c r="NXC94" s="2151"/>
      <c r="NXD94" s="2151"/>
      <c r="NXE94" s="2151"/>
      <c r="NXF94" s="2150"/>
      <c r="NXG94" s="2151"/>
      <c r="NXH94" s="2151"/>
      <c r="NXI94" s="2151"/>
      <c r="NXJ94" s="2151"/>
      <c r="NXK94" s="2151"/>
      <c r="NXL94" s="2151"/>
      <c r="NXM94" s="2151"/>
      <c r="NXN94" s="2151"/>
      <c r="NXO94" s="2151"/>
      <c r="NXP94" s="2151"/>
      <c r="NXQ94" s="2151"/>
      <c r="NXR94" s="2151"/>
      <c r="NXS94" s="2151"/>
      <c r="NXT94" s="2151"/>
      <c r="NXU94" s="2151"/>
      <c r="NXV94" s="2150"/>
      <c r="NXW94" s="2151"/>
      <c r="NXX94" s="2151"/>
      <c r="NXY94" s="2151"/>
      <c r="NXZ94" s="2151"/>
      <c r="NYA94" s="2151"/>
      <c r="NYB94" s="2151"/>
      <c r="NYC94" s="2151"/>
      <c r="NYD94" s="2151"/>
      <c r="NYE94" s="2151"/>
      <c r="NYF94" s="2151"/>
      <c r="NYG94" s="2151"/>
      <c r="NYH94" s="2151"/>
      <c r="NYI94" s="2151"/>
      <c r="NYJ94" s="2151"/>
      <c r="NYK94" s="2151"/>
      <c r="NYL94" s="2150"/>
      <c r="NYM94" s="2151"/>
      <c r="NYN94" s="2151"/>
      <c r="NYO94" s="2151"/>
      <c r="NYP94" s="2151"/>
      <c r="NYQ94" s="2151"/>
      <c r="NYR94" s="2151"/>
      <c r="NYS94" s="2151"/>
      <c r="NYT94" s="2151"/>
      <c r="NYU94" s="2151"/>
      <c r="NYV94" s="2151"/>
      <c r="NYW94" s="2151"/>
      <c r="NYX94" s="2151"/>
      <c r="NYY94" s="2151"/>
      <c r="NYZ94" s="2151"/>
      <c r="NZA94" s="2151"/>
      <c r="NZB94" s="2150"/>
      <c r="NZC94" s="2151"/>
      <c r="NZD94" s="2151"/>
      <c r="NZE94" s="2151"/>
      <c r="NZF94" s="2151"/>
      <c r="NZG94" s="2151"/>
      <c r="NZH94" s="2151"/>
      <c r="NZI94" s="2151"/>
      <c r="NZJ94" s="2151"/>
      <c r="NZK94" s="2151"/>
      <c r="NZL94" s="2151"/>
      <c r="NZM94" s="2151"/>
      <c r="NZN94" s="2151"/>
      <c r="NZO94" s="2151"/>
      <c r="NZP94" s="2151"/>
      <c r="NZQ94" s="2151"/>
      <c r="NZR94" s="2150"/>
      <c r="NZS94" s="2151"/>
      <c r="NZT94" s="2151"/>
      <c r="NZU94" s="2151"/>
      <c r="NZV94" s="2151"/>
      <c r="NZW94" s="2151"/>
      <c r="NZX94" s="2151"/>
      <c r="NZY94" s="2151"/>
      <c r="NZZ94" s="2151"/>
      <c r="OAA94" s="2151"/>
      <c r="OAB94" s="2151"/>
      <c r="OAC94" s="2151"/>
      <c r="OAD94" s="2151"/>
      <c r="OAE94" s="2151"/>
      <c r="OAF94" s="2151"/>
      <c r="OAG94" s="2151"/>
      <c r="OAH94" s="2150"/>
      <c r="OAI94" s="2151"/>
      <c r="OAJ94" s="2151"/>
      <c r="OAK94" s="2151"/>
      <c r="OAL94" s="2151"/>
      <c r="OAM94" s="2151"/>
      <c r="OAN94" s="2151"/>
      <c r="OAO94" s="2151"/>
      <c r="OAP94" s="2151"/>
      <c r="OAQ94" s="2151"/>
      <c r="OAR94" s="2151"/>
      <c r="OAS94" s="2151"/>
      <c r="OAT94" s="2151"/>
      <c r="OAU94" s="2151"/>
      <c r="OAV94" s="2151"/>
      <c r="OAW94" s="2151"/>
      <c r="OAX94" s="2150"/>
      <c r="OAY94" s="2151"/>
      <c r="OAZ94" s="2151"/>
      <c r="OBA94" s="2151"/>
      <c r="OBB94" s="2151"/>
      <c r="OBC94" s="2151"/>
      <c r="OBD94" s="2151"/>
      <c r="OBE94" s="2151"/>
      <c r="OBF94" s="2151"/>
      <c r="OBG94" s="2151"/>
      <c r="OBH94" s="2151"/>
      <c r="OBI94" s="2151"/>
      <c r="OBJ94" s="2151"/>
      <c r="OBK94" s="2151"/>
      <c r="OBL94" s="2151"/>
      <c r="OBM94" s="2151"/>
      <c r="OBN94" s="2150"/>
      <c r="OBO94" s="2151"/>
      <c r="OBP94" s="2151"/>
      <c r="OBQ94" s="2151"/>
      <c r="OBR94" s="2151"/>
      <c r="OBS94" s="2151"/>
      <c r="OBT94" s="2151"/>
      <c r="OBU94" s="2151"/>
      <c r="OBV94" s="2151"/>
      <c r="OBW94" s="2151"/>
      <c r="OBX94" s="2151"/>
      <c r="OBY94" s="2151"/>
      <c r="OBZ94" s="2151"/>
      <c r="OCA94" s="2151"/>
      <c r="OCB94" s="2151"/>
      <c r="OCC94" s="2151"/>
      <c r="OCD94" s="2150"/>
      <c r="OCE94" s="2151"/>
      <c r="OCF94" s="2151"/>
      <c r="OCG94" s="2151"/>
      <c r="OCH94" s="2151"/>
      <c r="OCI94" s="2151"/>
      <c r="OCJ94" s="2151"/>
      <c r="OCK94" s="2151"/>
      <c r="OCL94" s="2151"/>
      <c r="OCM94" s="2151"/>
      <c r="OCN94" s="2151"/>
      <c r="OCO94" s="2151"/>
      <c r="OCP94" s="2151"/>
      <c r="OCQ94" s="2151"/>
      <c r="OCR94" s="2151"/>
      <c r="OCS94" s="2151"/>
      <c r="OCT94" s="2150"/>
      <c r="OCU94" s="2151"/>
      <c r="OCV94" s="2151"/>
      <c r="OCW94" s="2151"/>
      <c r="OCX94" s="2151"/>
      <c r="OCY94" s="2151"/>
      <c r="OCZ94" s="2151"/>
      <c r="ODA94" s="2151"/>
      <c r="ODB94" s="2151"/>
      <c r="ODC94" s="2151"/>
      <c r="ODD94" s="2151"/>
      <c r="ODE94" s="2151"/>
      <c r="ODF94" s="2151"/>
      <c r="ODG94" s="2151"/>
      <c r="ODH94" s="2151"/>
      <c r="ODI94" s="2151"/>
      <c r="ODJ94" s="2150"/>
      <c r="ODK94" s="2151"/>
      <c r="ODL94" s="2151"/>
      <c r="ODM94" s="2151"/>
      <c r="ODN94" s="2151"/>
      <c r="ODO94" s="2151"/>
      <c r="ODP94" s="2151"/>
      <c r="ODQ94" s="2151"/>
      <c r="ODR94" s="2151"/>
      <c r="ODS94" s="2151"/>
      <c r="ODT94" s="2151"/>
      <c r="ODU94" s="2151"/>
      <c r="ODV94" s="2151"/>
      <c r="ODW94" s="2151"/>
      <c r="ODX94" s="2151"/>
      <c r="ODY94" s="2151"/>
      <c r="ODZ94" s="2150"/>
      <c r="OEA94" s="2151"/>
      <c r="OEB94" s="2151"/>
      <c r="OEC94" s="2151"/>
      <c r="OED94" s="2151"/>
      <c r="OEE94" s="2151"/>
      <c r="OEF94" s="2151"/>
      <c r="OEG94" s="2151"/>
      <c r="OEH94" s="2151"/>
      <c r="OEI94" s="2151"/>
      <c r="OEJ94" s="2151"/>
      <c r="OEK94" s="2151"/>
      <c r="OEL94" s="2151"/>
      <c r="OEM94" s="2151"/>
      <c r="OEN94" s="2151"/>
      <c r="OEO94" s="2151"/>
      <c r="OEP94" s="2150"/>
      <c r="OEQ94" s="2151"/>
      <c r="OER94" s="2151"/>
      <c r="OES94" s="2151"/>
      <c r="OET94" s="2151"/>
      <c r="OEU94" s="2151"/>
      <c r="OEV94" s="2151"/>
      <c r="OEW94" s="2151"/>
      <c r="OEX94" s="2151"/>
      <c r="OEY94" s="2151"/>
      <c r="OEZ94" s="2151"/>
      <c r="OFA94" s="2151"/>
      <c r="OFB94" s="2151"/>
      <c r="OFC94" s="2151"/>
      <c r="OFD94" s="2151"/>
      <c r="OFE94" s="2151"/>
      <c r="OFF94" s="2150"/>
      <c r="OFG94" s="2151"/>
      <c r="OFH94" s="2151"/>
      <c r="OFI94" s="2151"/>
      <c r="OFJ94" s="2151"/>
      <c r="OFK94" s="2151"/>
      <c r="OFL94" s="2151"/>
      <c r="OFM94" s="2151"/>
      <c r="OFN94" s="2151"/>
      <c r="OFO94" s="2151"/>
      <c r="OFP94" s="2151"/>
      <c r="OFQ94" s="2151"/>
      <c r="OFR94" s="2151"/>
      <c r="OFS94" s="2151"/>
      <c r="OFT94" s="2151"/>
      <c r="OFU94" s="2151"/>
      <c r="OFV94" s="2150"/>
      <c r="OFW94" s="2151"/>
      <c r="OFX94" s="2151"/>
      <c r="OFY94" s="2151"/>
      <c r="OFZ94" s="2151"/>
      <c r="OGA94" s="2151"/>
      <c r="OGB94" s="2151"/>
      <c r="OGC94" s="2151"/>
      <c r="OGD94" s="2151"/>
      <c r="OGE94" s="2151"/>
      <c r="OGF94" s="2151"/>
      <c r="OGG94" s="2151"/>
      <c r="OGH94" s="2151"/>
      <c r="OGI94" s="2151"/>
      <c r="OGJ94" s="2151"/>
      <c r="OGK94" s="2151"/>
      <c r="OGL94" s="2150"/>
      <c r="OGM94" s="2151"/>
      <c r="OGN94" s="2151"/>
      <c r="OGO94" s="2151"/>
      <c r="OGP94" s="2151"/>
      <c r="OGQ94" s="2151"/>
      <c r="OGR94" s="2151"/>
      <c r="OGS94" s="2151"/>
      <c r="OGT94" s="2151"/>
      <c r="OGU94" s="2151"/>
      <c r="OGV94" s="2151"/>
      <c r="OGW94" s="2151"/>
      <c r="OGX94" s="2151"/>
      <c r="OGY94" s="2151"/>
      <c r="OGZ94" s="2151"/>
      <c r="OHA94" s="2151"/>
      <c r="OHB94" s="2150"/>
      <c r="OHC94" s="2151"/>
      <c r="OHD94" s="2151"/>
      <c r="OHE94" s="2151"/>
      <c r="OHF94" s="2151"/>
      <c r="OHG94" s="2151"/>
      <c r="OHH94" s="2151"/>
      <c r="OHI94" s="2151"/>
      <c r="OHJ94" s="2151"/>
      <c r="OHK94" s="2151"/>
      <c r="OHL94" s="2151"/>
      <c r="OHM94" s="2151"/>
      <c r="OHN94" s="2151"/>
      <c r="OHO94" s="2151"/>
      <c r="OHP94" s="2151"/>
      <c r="OHQ94" s="2151"/>
      <c r="OHR94" s="2150"/>
      <c r="OHS94" s="2151"/>
      <c r="OHT94" s="2151"/>
      <c r="OHU94" s="2151"/>
      <c r="OHV94" s="2151"/>
      <c r="OHW94" s="2151"/>
      <c r="OHX94" s="2151"/>
      <c r="OHY94" s="2151"/>
      <c r="OHZ94" s="2151"/>
      <c r="OIA94" s="2151"/>
      <c r="OIB94" s="2151"/>
      <c r="OIC94" s="2151"/>
      <c r="OID94" s="2151"/>
      <c r="OIE94" s="2151"/>
      <c r="OIF94" s="2151"/>
      <c r="OIG94" s="2151"/>
      <c r="OIH94" s="2150"/>
      <c r="OII94" s="2151"/>
      <c r="OIJ94" s="2151"/>
      <c r="OIK94" s="2151"/>
      <c r="OIL94" s="2151"/>
      <c r="OIM94" s="2151"/>
      <c r="OIN94" s="2151"/>
      <c r="OIO94" s="2151"/>
      <c r="OIP94" s="2151"/>
      <c r="OIQ94" s="2151"/>
      <c r="OIR94" s="2151"/>
      <c r="OIS94" s="2151"/>
      <c r="OIT94" s="2151"/>
      <c r="OIU94" s="2151"/>
      <c r="OIV94" s="2151"/>
      <c r="OIW94" s="2151"/>
      <c r="OIX94" s="2150"/>
      <c r="OIY94" s="2151"/>
      <c r="OIZ94" s="2151"/>
      <c r="OJA94" s="2151"/>
      <c r="OJB94" s="2151"/>
      <c r="OJC94" s="2151"/>
      <c r="OJD94" s="2151"/>
      <c r="OJE94" s="2151"/>
      <c r="OJF94" s="2151"/>
      <c r="OJG94" s="2151"/>
      <c r="OJH94" s="2151"/>
      <c r="OJI94" s="2151"/>
      <c r="OJJ94" s="2151"/>
      <c r="OJK94" s="2151"/>
      <c r="OJL94" s="2151"/>
      <c r="OJM94" s="2151"/>
      <c r="OJN94" s="2150"/>
      <c r="OJO94" s="2151"/>
      <c r="OJP94" s="2151"/>
      <c r="OJQ94" s="2151"/>
      <c r="OJR94" s="2151"/>
      <c r="OJS94" s="2151"/>
      <c r="OJT94" s="2151"/>
      <c r="OJU94" s="2151"/>
      <c r="OJV94" s="2151"/>
      <c r="OJW94" s="2151"/>
      <c r="OJX94" s="2151"/>
      <c r="OJY94" s="2151"/>
      <c r="OJZ94" s="2151"/>
      <c r="OKA94" s="2151"/>
      <c r="OKB94" s="2151"/>
      <c r="OKC94" s="2151"/>
      <c r="OKD94" s="2150"/>
      <c r="OKE94" s="2151"/>
      <c r="OKF94" s="2151"/>
      <c r="OKG94" s="2151"/>
      <c r="OKH94" s="2151"/>
      <c r="OKI94" s="2151"/>
      <c r="OKJ94" s="2151"/>
      <c r="OKK94" s="2151"/>
      <c r="OKL94" s="2151"/>
      <c r="OKM94" s="2151"/>
      <c r="OKN94" s="2151"/>
      <c r="OKO94" s="2151"/>
      <c r="OKP94" s="2151"/>
      <c r="OKQ94" s="2151"/>
      <c r="OKR94" s="2151"/>
      <c r="OKS94" s="2151"/>
      <c r="OKT94" s="2150"/>
      <c r="OKU94" s="2151"/>
      <c r="OKV94" s="2151"/>
      <c r="OKW94" s="2151"/>
      <c r="OKX94" s="2151"/>
      <c r="OKY94" s="2151"/>
      <c r="OKZ94" s="2151"/>
      <c r="OLA94" s="2151"/>
      <c r="OLB94" s="2151"/>
      <c r="OLC94" s="2151"/>
      <c r="OLD94" s="2151"/>
      <c r="OLE94" s="2151"/>
      <c r="OLF94" s="2151"/>
      <c r="OLG94" s="2151"/>
      <c r="OLH94" s="2151"/>
      <c r="OLI94" s="2151"/>
      <c r="OLJ94" s="2150"/>
      <c r="OLK94" s="2151"/>
      <c r="OLL94" s="2151"/>
      <c r="OLM94" s="2151"/>
      <c r="OLN94" s="2151"/>
      <c r="OLO94" s="2151"/>
      <c r="OLP94" s="2151"/>
      <c r="OLQ94" s="2151"/>
      <c r="OLR94" s="2151"/>
      <c r="OLS94" s="2151"/>
      <c r="OLT94" s="2151"/>
      <c r="OLU94" s="2151"/>
      <c r="OLV94" s="2151"/>
      <c r="OLW94" s="2151"/>
      <c r="OLX94" s="2151"/>
      <c r="OLY94" s="2151"/>
      <c r="OLZ94" s="2150"/>
      <c r="OMA94" s="2151"/>
      <c r="OMB94" s="2151"/>
      <c r="OMC94" s="2151"/>
      <c r="OMD94" s="2151"/>
      <c r="OME94" s="2151"/>
      <c r="OMF94" s="2151"/>
      <c r="OMG94" s="2151"/>
      <c r="OMH94" s="2151"/>
      <c r="OMI94" s="2151"/>
      <c r="OMJ94" s="2151"/>
      <c r="OMK94" s="2151"/>
      <c r="OML94" s="2151"/>
      <c r="OMM94" s="2151"/>
      <c r="OMN94" s="2151"/>
      <c r="OMO94" s="2151"/>
      <c r="OMP94" s="2150"/>
      <c r="OMQ94" s="2151"/>
      <c r="OMR94" s="2151"/>
      <c r="OMS94" s="2151"/>
      <c r="OMT94" s="2151"/>
      <c r="OMU94" s="2151"/>
      <c r="OMV94" s="2151"/>
      <c r="OMW94" s="2151"/>
      <c r="OMX94" s="2151"/>
      <c r="OMY94" s="2151"/>
      <c r="OMZ94" s="2151"/>
      <c r="ONA94" s="2151"/>
      <c r="ONB94" s="2151"/>
      <c r="ONC94" s="2151"/>
      <c r="OND94" s="2151"/>
      <c r="ONE94" s="2151"/>
      <c r="ONF94" s="2150"/>
      <c r="ONG94" s="2151"/>
      <c r="ONH94" s="2151"/>
      <c r="ONI94" s="2151"/>
      <c r="ONJ94" s="2151"/>
      <c r="ONK94" s="2151"/>
      <c r="ONL94" s="2151"/>
      <c r="ONM94" s="2151"/>
      <c r="ONN94" s="2151"/>
      <c r="ONO94" s="2151"/>
      <c r="ONP94" s="2151"/>
      <c r="ONQ94" s="2151"/>
      <c r="ONR94" s="2151"/>
      <c r="ONS94" s="2151"/>
      <c r="ONT94" s="2151"/>
      <c r="ONU94" s="2151"/>
      <c r="ONV94" s="2150"/>
      <c r="ONW94" s="2151"/>
      <c r="ONX94" s="2151"/>
      <c r="ONY94" s="2151"/>
      <c r="ONZ94" s="2151"/>
      <c r="OOA94" s="2151"/>
      <c r="OOB94" s="2151"/>
      <c r="OOC94" s="2151"/>
      <c r="OOD94" s="2151"/>
      <c r="OOE94" s="2151"/>
      <c r="OOF94" s="2151"/>
      <c r="OOG94" s="2151"/>
      <c r="OOH94" s="2151"/>
      <c r="OOI94" s="2151"/>
      <c r="OOJ94" s="2151"/>
      <c r="OOK94" s="2151"/>
      <c r="OOL94" s="2150"/>
      <c r="OOM94" s="2151"/>
      <c r="OON94" s="2151"/>
      <c r="OOO94" s="2151"/>
      <c r="OOP94" s="2151"/>
      <c r="OOQ94" s="2151"/>
      <c r="OOR94" s="2151"/>
      <c r="OOS94" s="2151"/>
      <c r="OOT94" s="2151"/>
      <c r="OOU94" s="2151"/>
      <c r="OOV94" s="2151"/>
      <c r="OOW94" s="2151"/>
      <c r="OOX94" s="2151"/>
      <c r="OOY94" s="2151"/>
      <c r="OOZ94" s="2151"/>
      <c r="OPA94" s="2151"/>
      <c r="OPB94" s="2150"/>
      <c r="OPC94" s="2151"/>
      <c r="OPD94" s="2151"/>
      <c r="OPE94" s="2151"/>
      <c r="OPF94" s="2151"/>
      <c r="OPG94" s="2151"/>
      <c r="OPH94" s="2151"/>
      <c r="OPI94" s="2151"/>
      <c r="OPJ94" s="2151"/>
      <c r="OPK94" s="2151"/>
      <c r="OPL94" s="2151"/>
      <c r="OPM94" s="2151"/>
      <c r="OPN94" s="2151"/>
      <c r="OPO94" s="2151"/>
      <c r="OPP94" s="2151"/>
      <c r="OPQ94" s="2151"/>
      <c r="OPR94" s="2150"/>
      <c r="OPS94" s="2151"/>
      <c r="OPT94" s="2151"/>
      <c r="OPU94" s="2151"/>
      <c r="OPV94" s="2151"/>
      <c r="OPW94" s="2151"/>
      <c r="OPX94" s="2151"/>
      <c r="OPY94" s="2151"/>
      <c r="OPZ94" s="2151"/>
      <c r="OQA94" s="2151"/>
      <c r="OQB94" s="2151"/>
      <c r="OQC94" s="2151"/>
      <c r="OQD94" s="2151"/>
      <c r="OQE94" s="2151"/>
      <c r="OQF94" s="2151"/>
      <c r="OQG94" s="2151"/>
      <c r="OQH94" s="2150"/>
      <c r="OQI94" s="2151"/>
      <c r="OQJ94" s="2151"/>
      <c r="OQK94" s="2151"/>
      <c r="OQL94" s="2151"/>
      <c r="OQM94" s="2151"/>
      <c r="OQN94" s="2151"/>
      <c r="OQO94" s="2151"/>
      <c r="OQP94" s="2151"/>
      <c r="OQQ94" s="2151"/>
      <c r="OQR94" s="2151"/>
      <c r="OQS94" s="2151"/>
      <c r="OQT94" s="2151"/>
      <c r="OQU94" s="2151"/>
      <c r="OQV94" s="2151"/>
      <c r="OQW94" s="2151"/>
      <c r="OQX94" s="2150"/>
      <c r="OQY94" s="2151"/>
      <c r="OQZ94" s="2151"/>
      <c r="ORA94" s="2151"/>
      <c r="ORB94" s="2151"/>
      <c r="ORC94" s="2151"/>
      <c r="ORD94" s="2151"/>
      <c r="ORE94" s="2151"/>
      <c r="ORF94" s="2151"/>
      <c r="ORG94" s="2151"/>
      <c r="ORH94" s="2151"/>
      <c r="ORI94" s="2151"/>
      <c r="ORJ94" s="2151"/>
      <c r="ORK94" s="2151"/>
      <c r="ORL94" s="2151"/>
      <c r="ORM94" s="2151"/>
      <c r="ORN94" s="2150"/>
      <c r="ORO94" s="2151"/>
      <c r="ORP94" s="2151"/>
      <c r="ORQ94" s="2151"/>
      <c r="ORR94" s="2151"/>
      <c r="ORS94" s="2151"/>
      <c r="ORT94" s="2151"/>
      <c r="ORU94" s="2151"/>
      <c r="ORV94" s="2151"/>
      <c r="ORW94" s="2151"/>
      <c r="ORX94" s="2151"/>
      <c r="ORY94" s="2151"/>
      <c r="ORZ94" s="2151"/>
      <c r="OSA94" s="2151"/>
      <c r="OSB94" s="2151"/>
      <c r="OSC94" s="2151"/>
      <c r="OSD94" s="2150"/>
      <c r="OSE94" s="2151"/>
      <c r="OSF94" s="2151"/>
      <c r="OSG94" s="2151"/>
      <c r="OSH94" s="2151"/>
      <c r="OSI94" s="2151"/>
      <c r="OSJ94" s="2151"/>
      <c r="OSK94" s="2151"/>
      <c r="OSL94" s="2151"/>
      <c r="OSM94" s="2151"/>
      <c r="OSN94" s="2151"/>
      <c r="OSO94" s="2151"/>
      <c r="OSP94" s="2151"/>
      <c r="OSQ94" s="2151"/>
      <c r="OSR94" s="2151"/>
      <c r="OSS94" s="2151"/>
      <c r="OST94" s="2150"/>
      <c r="OSU94" s="2151"/>
      <c r="OSV94" s="2151"/>
      <c r="OSW94" s="2151"/>
      <c r="OSX94" s="2151"/>
      <c r="OSY94" s="2151"/>
      <c r="OSZ94" s="2151"/>
      <c r="OTA94" s="2151"/>
      <c r="OTB94" s="2151"/>
      <c r="OTC94" s="2151"/>
      <c r="OTD94" s="2151"/>
      <c r="OTE94" s="2151"/>
      <c r="OTF94" s="2151"/>
      <c r="OTG94" s="2151"/>
      <c r="OTH94" s="2151"/>
      <c r="OTI94" s="2151"/>
      <c r="OTJ94" s="2150"/>
      <c r="OTK94" s="2151"/>
      <c r="OTL94" s="2151"/>
      <c r="OTM94" s="2151"/>
      <c r="OTN94" s="2151"/>
      <c r="OTO94" s="2151"/>
      <c r="OTP94" s="2151"/>
      <c r="OTQ94" s="2151"/>
      <c r="OTR94" s="2151"/>
      <c r="OTS94" s="2151"/>
      <c r="OTT94" s="2151"/>
      <c r="OTU94" s="2151"/>
      <c r="OTV94" s="2151"/>
      <c r="OTW94" s="2151"/>
      <c r="OTX94" s="2151"/>
      <c r="OTY94" s="2151"/>
      <c r="OTZ94" s="2150"/>
      <c r="OUA94" s="2151"/>
      <c r="OUB94" s="2151"/>
      <c r="OUC94" s="2151"/>
      <c r="OUD94" s="2151"/>
      <c r="OUE94" s="2151"/>
      <c r="OUF94" s="2151"/>
      <c r="OUG94" s="2151"/>
      <c r="OUH94" s="2151"/>
      <c r="OUI94" s="2151"/>
      <c r="OUJ94" s="2151"/>
      <c r="OUK94" s="2151"/>
      <c r="OUL94" s="2151"/>
      <c r="OUM94" s="2151"/>
      <c r="OUN94" s="2151"/>
      <c r="OUO94" s="2151"/>
      <c r="OUP94" s="2150"/>
      <c r="OUQ94" s="2151"/>
      <c r="OUR94" s="2151"/>
      <c r="OUS94" s="2151"/>
      <c r="OUT94" s="2151"/>
      <c r="OUU94" s="2151"/>
      <c r="OUV94" s="2151"/>
      <c r="OUW94" s="2151"/>
      <c r="OUX94" s="2151"/>
      <c r="OUY94" s="2151"/>
      <c r="OUZ94" s="2151"/>
      <c r="OVA94" s="2151"/>
      <c r="OVB94" s="2151"/>
      <c r="OVC94" s="2151"/>
      <c r="OVD94" s="2151"/>
      <c r="OVE94" s="2151"/>
      <c r="OVF94" s="2150"/>
      <c r="OVG94" s="2151"/>
      <c r="OVH94" s="2151"/>
      <c r="OVI94" s="2151"/>
      <c r="OVJ94" s="2151"/>
      <c r="OVK94" s="2151"/>
      <c r="OVL94" s="2151"/>
      <c r="OVM94" s="2151"/>
      <c r="OVN94" s="2151"/>
      <c r="OVO94" s="2151"/>
      <c r="OVP94" s="2151"/>
      <c r="OVQ94" s="2151"/>
      <c r="OVR94" s="2151"/>
      <c r="OVS94" s="2151"/>
      <c r="OVT94" s="2151"/>
      <c r="OVU94" s="2151"/>
      <c r="OVV94" s="2150"/>
      <c r="OVW94" s="2151"/>
      <c r="OVX94" s="2151"/>
      <c r="OVY94" s="2151"/>
      <c r="OVZ94" s="2151"/>
      <c r="OWA94" s="2151"/>
      <c r="OWB94" s="2151"/>
      <c r="OWC94" s="2151"/>
      <c r="OWD94" s="2151"/>
      <c r="OWE94" s="2151"/>
      <c r="OWF94" s="2151"/>
      <c r="OWG94" s="2151"/>
      <c r="OWH94" s="2151"/>
      <c r="OWI94" s="2151"/>
      <c r="OWJ94" s="2151"/>
      <c r="OWK94" s="2151"/>
      <c r="OWL94" s="2150"/>
      <c r="OWM94" s="2151"/>
      <c r="OWN94" s="2151"/>
      <c r="OWO94" s="2151"/>
      <c r="OWP94" s="2151"/>
      <c r="OWQ94" s="2151"/>
      <c r="OWR94" s="2151"/>
      <c r="OWS94" s="2151"/>
      <c r="OWT94" s="2151"/>
      <c r="OWU94" s="2151"/>
      <c r="OWV94" s="2151"/>
      <c r="OWW94" s="2151"/>
      <c r="OWX94" s="2151"/>
      <c r="OWY94" s="2151"/>
      <c r="OWZ94" s="2151"/>
      <c r="OXA94" s="2151"/>
      <c r="OXB94" s="2150"/>
      <c r="OXC94" s="2151"/>
      <c r="OXD94" s="2151"/>
      <c r="OXE94" s="2151"/>
      <c r="OXF94" s="2151"/>
      <c r="OXG94" s="2151"/>
      <c r="OXH94" s="2151"/>
      <c r="OXI94" s="2151"/>
      <c r="OXJ94" s="2151"/>
      <c r="OXK94" s="2151"/>
      <c r="OXL94" s="2151"/>
      <c r="OXM94" s="2151"/>
      <c r="OXN94" s="2151"/>
      <c r="OXO94" s="2151"/>
      <c r="OXP94" s="2151"/>
      <c r="OXQ94" s="2151"/>
      <c r="OXR94" s="2150"/>
      <c r="OXS94" s="2151"/>
      <c r="OXT94" s="2151"/>
      <c r="OXU94" s="2151"/>
      <c r="OXV94" s="2151"/>
      <c r="OXW94" s="2151"/>
      <c r="OXX94" s="2151"/>
      <c r="OXY94" s="2151"/>
      <c r="OXZ94" s="2151"/>
      <c r="OYA94" s="2151"/>
      <c r="OYB94" s="2151"/>
      <c r="OYC94" s="2151"/>
      <c r="OYD94" s="2151"/>
      <c r="OYE94" s="2151"/>
      <c r="OYF94" s="2151"/>
      <c r="OYG94" s="2151"/>
      <c r="OYH94" s="2150"/>
      <c r="OYI94" s="2151"/>
      <c r="OYJ94" s="2151"/>
      <c r="OYK94" s="2151"/>
      <c r="OYL94" s="2151"/>
      <c r="OYM94" s="2151"/>
      <c r="OYN94" s="2151"/>
      <c r="OYO94" s="2151"/>
      <c r="OYP94" s="2151"/>
      <c r="OYQ94" s="2151"/>
      <c r="OYR94" s="2151"/>
      <c r="OYS94" s="2151"/>
      <c r="OYT94" s="2151"/>
      <c r="OYU94" s="2151"/>
      <c r="OYV94" s="2151"/>
      <c r="OYW94" s="2151"/>
      <c r="OYX94" s="2150"/>
      <c r="OYY94" s="2151"/>
      <c r="OYZ94" s="2151"/>
      <c r="OZA94" s="2151"/>
      <c r="OZB94" s="2151"/>
      <c r="OZC94" s="2151"/>
      <c r="OZD94" s="2151"/>
      <c r="OZE94" s="2151"/>
      <c r="OZF94" s="2151"/>
      <c r="OZG94" s="2151"/>
      <c r="OZH94" s="2151"/>
      <c r="OZI94" s="2151"/>
      <c r="OZJ94" s="2151"/>
      <c r="OZK94" s="2151"/>
      <c r="OZL94" s="2151"/>
      <c r="OZM94" s="2151"/>
      <c r="OZN94" s="2150"/>
      <c r="OZO94" s="2151"/>
      <c r="OZP94" s="2151"/>
      <c r="OZQ94" s="2151"/>
      <c r="OZR94" s="2151"/>
      <c r="OZS94" s="2151"/>
      <c r="OZT94" s="2151"/>
      <c r="OZU94" s="2151"/>
      <c r="OZV94" s="2151"/>
      <c r="OZW94" s="2151"/>
      <c r="OZX94" s="2151"/>
      <c r="OZY94" s="2151"/>
      <c r="OZZ94" s="2151"/>
      <c r="PAA94" s="2151"/>
      <c r="PAB94" s="2151"/>
      <c r="PAC94" s="2151"/>
      <c r="PAD94" s="2150"/>
      <c r="PAE94" s="2151"/>
      <c r="PAF94" s="2151"/>
      <c r="PAG94" s="2151"/>
      <c r="PAH94" s="2151"/>
      <c r="PAI94" s="2151"/>
      <c r="PAJ94" s="2151"/>
      <c r="PAK94" s="2151"/>
      <c r="PAL94" s="2151"/>
      <c r="PAM94" s="2151"/>
      <c r="PAN94" s="2151"/>
      <c r="PAO94" s="2151"/>
      <c r="PAP94" s="2151"/>
      <c r="PAQ94" s="2151"/>
      <c r="PAR94" s="2151"/>
      <c r="PAS94" s="2151"/>
      <c r="PAT94" s="2150"/>
      <c r="PAU94" s="2151"/>
      <c r="PAV94" s="2151"/>
      <c r="PAW94" s="2151"/>
      <c r="PAX94" s="2151"/>
      <c r="PAY94" s="2151"/>
      <c r="PAZ94" s="2151"/>
      <c r="PBA94" s="2151"/>
      <c r="PBB94" s="2151"/>
      <c r="PBC94" s="2151"/>
      <c r="PBD94" s="2151"/>
      <c r="PBE94" s="2151"/>
      <c r="PBF94" s="2151"/>
      <c r="PBG94" s="2151"/>
      <c r="PBH94" s="2151"/>
      <c r="PBI94" s="2151"/>
      <c r="PBJ94" s="2150"/>
      <c r="PBK94" s="2151"/>
      <c r="PBL94" s="2151"/>
      <c r="PBM94" s="2151"/>
      <c r="PBN94" s="2151"/>
      <c r="PBO94" s="2151"/>
      <c r="PBP94" s="2151"/>
      <c r="PBQ94" s="2151"/>
      <c r="PBR94" s="2151"/>
      <c r="PBS94" s="2151"/>
      <c r="PBT94" s="2151"/>
      <c r="PBU94" s="2151"/>
      <c r="PBV94" s="2151"/>
      <c r="PBW94" s="2151"/>
      <c r="PBX94" s="2151"/>
      <c r="PBY94" s="2151"/>
      <c r="PBZ94" s="2150"/>
      <c r="PCA94" s="2151"/>
      <c r="PCB94" s="2151"/>
      <c r="PCC94" s="2151"/>
      <c r="PCD94" s="2151"/>
      <c r="PCE94" s="2151"/>
      <c r="PCF94" s="2151"/>
      <c r="PCG94" s="2151"/>
      <c r="PCH94" s="2151"/>
      <c r="PCI94" s="2151"/>
      <c r="PCJ94" s="2151"/>
      <c r="PCK94" s="2151"/>
      <c r="PCL94" s="2151"/>
      <c r="PCM94" s="2151"/>
      <c r="PCN94" s="2151"/>
      <c r="PCO94" s="2151"/>
      <c r="PCP94" s="2150"/>
      <c r="PCQ94" s="2151"/>
      <c r="PCR94" s="2151"/>
      <c r="PCS94" s="2151"/>
      <c r="PCT94" s="2151"/>
      <c r="PCU94" s="2151"/>
      <c r="PCV94" s="2151"/>
      <c r="PCW94" s="2151"/>
      <c r="PCX94" s="2151"/>
      <c r="PCY94" s="2151"/>
      <c r="PCZ94" s="2151"/>
      <c r="PDA94" s="2151"/>
      <c r="PDB94" s="2151"/>
      <c r="PDC94" s="2151"/>
      <c r="PDD94" s="2151"/>
      <c r="PDE94" s="2151"/>
      <c r="PDF94" s="2150"/>
      <c r="PDG94" s="2151"/>
      <c r="PDH94" s="2151"/>
      <c r="PDI94" s="2151"/>
      <c r="PDJ94" s="2151"/>
      <c r="PDK94" s="2151"/>
      <c r="PDL94" s="2151"/>
      <c r="PDM94" s="2151"/>
      <c r="PDN94" s="2151"/>
      <c r="PDO94" s="2151"/>
      <c r="PDP94" s="2151"/>
      <c r="PDQ94" s="2151"/>
      <c r="PDR94" s="2151"/>
      <c r="PDS94" s="2151"/>
      <c r="PDT94" s="2151"/>
      <c r="PDU94" s="2151"/>
      <c r="PDV94" s="2150"/>
      <c r="PDW94" s="2151"/>
      <c r="PDX94" s="2151"/>
      <c r="PDY94" s="2151"/>
      <c r="PDZ94" s="2151"/>
      <c r="PEA94" s="2151"/>
      <c r="PEB94" s="2151"/>
      <c r="PEC94" s="2151"/>
      <c r="PED94" s="2151"/>
      <c r="PEE94" s="2151"/>
      <c r="PEF94" s="2151"/>
      <c r="PEG94" s="2151"/>
      <c r="PEH94" s="2151"/>
      <c r="PEI94" s="2151"/>
      <c r="PEJ94" s="2151"/>
      <c r="PEK94" s="2151"/>
      <c r="PEL94" s="2150"/>
      <c r="PEM94" s="2151"/>
      <c r="PEN94" s="2151"/>
      <c r="PEO94" s="2151"/>
      <c r="PEP94" s="2151"/>
      <c r="PEQ94" s="2151"/>
      <c r="PER94" s="2151"/>
      <c r="PES94" s="2151"/>
      <c r="PET94" s="2151"/>
      <c r="PEU94" s="2151"/>
      <c r="PEV94" s="2151"/>
      <c r="PEW94" s="2151"/>
      <c r="PEX94" s="2151"/>
      <c r="PEY94" s="2151"/>
      <c r="PEZ94" s="2151"/>
      <c r="PFA94" s="2151"/>
      <c r="PFB94" s="2150"/>
      <c r="PFC94" s="2151"/>
      <c r="PFD94" s="2151"/>
      <c r="PFE94" s="2151"/>
      <c r="PFF94" s="2151"/>
      <c r="PFG94" s="2151"/>
      <c r="PFH94" s="2151"/>
      <c r="PFI94" s="2151"/>
      <c r="PFJ94" s="2151"/>
      <c r="PFK94" s="2151"/>
      <c r="PFL94" s="2151"/>
      <c r="PFM94" s="2151"/>
      <c r="PFN94" s="2151"/>
      <c r="PFO94" s="2151"/>
      <c r="PFP94" s="2151"/>
      <c r="PFQ94" s="2151"/>
      <c r="PFR94" s="2150"/>
      <c r="PFS94" s="2151"/>
      <c r="PFT94" s="2151"/>
      <c r="PFU94" s="2151"/>
      <c r="PFV94" s="2151"/>
      <c r="PFW94" s="2151"/>
      <c r="PFX94" s="2151"/>
      <c r="PFY94" s="2151"/>
      <c r="PFZ94" s="2151"/>
      <c r="PGA94" s="2151"/>
      <c r="PGB94" s="2151"/>
      <c r="PGC94" s="2151"/>
      <c r="PGD94" s="2151"/>
      <c r="PGE94" s="2151"/>
      <c r="PGF94" s="2151"/>
      <c r="PGG94" s="2151"/>
      <c r="PGH94" s="2150"/>
      <c r="PGI94" s="2151"/>
      <c r="PGJ94" s="2151"/>
      <c r="PGK94" s="2151"/>
      <c r="PGL94" s="2151"/>
      <c r="PGM94" s="2151"/>
      <c r="PGN94" s="2151"/>
      <c r="PGO94" s="2151"/>
      <c r="PGP94" s="2151"/>
      <c r="PGQ94" s="2151"/>
      <c r="PGR94" s="2151"/>
      <c r="PGS94" s="2151"/>
      <c r="PGT94" s="2151"/>
      <c r="PGU94" s="2151"/>
      <c r="PGV94" s="2151"/>
      <c r="PGW94" s="2151"/>
      <c r="PGX94" s="2150"/>
      <c r="PGY94" s="2151"/>
      <c r="PGZ94" s="2151"/>
      <c r="PHA94" s="2151"/>
      <c r="PHB94" s="2151"/>
      <c r="PHC94" s="2151"/>
      <c r="PHD94" s="2151"/>
      <c r="PHE94" s="2151"/>
      <c r="PHF94" s="2151"/>
      <c r="PHG94" s="2151"/>
      <c r="PHH94" s="2151"/>
      <c r="PHI94" s="2151"/>
      <c r="PHJ94" s="2151"/>
      <c r="PHK94" s="2151"/>
      <c r="PHL94" s="2151"/>
      <c r="PHM94" s="2151"/>
      <c r="PHN94" s="2150"/>
      <c r="PHO94" s="2151"/>
      <c r="PHP94" s="2151"/>
      <c r="PHQ94" s="2151"/>
      <c r="PHR94" s="2151"/>
      <c r="PHS94" s="2151"/>
      <c r="PHT94" s="2151"/>
      <c r="PHU94" s="2151"/>
      <c r="PHV94" s="2151"/>
      <c r="PHW94" s="2151"/>
      <c r="PHX94" s="2151"/>
      <c r="PHY94" s="2151"/>
      <c r="PHZ94" s="2151"/>
      <c r="PIA94" s="2151"/>
      <c r="PIB94" s="2151"/>
      <c r="PIC94" s="2151"/>
      <c r="PID94" s="2150"/>
      <c r="PIE94" s="2151"/>
      <c r="PIF94" s="2151"/>
      <c r="PIG94" s="2151"/>
      <c r="PIH94" s="2151"/>
      <c r="PII94" s="2151"/>
      <c r="PIJ94" s="2151"/>
      <c r="PIK94" s="2151"/>
      <c r="PIL94" s="2151"/>
      <c r="PIM94" s="2151"/>
      <c r="PIN94" s="2151"/>
      <c r="PIO94" s="2151"/>
      <c r="PIP94" s="2151"/>
      <c r="PIQ94" s="2151"/>
      <c r="PIR94" s="2151"/>
      <c r="PIS94" s="2151"/>
      <c r="PIT94" s="2150"/>
      <c r="PIU94" s="2151"/>
      <c r="PIV94" s="2151"/>
      <c r="PIW94" s="2151"/>
      <c r="PIX94" s="2151"/>
      <c r="PIY94" s="2151"/>
      <c r="PIZ94" s="2151"/>
      <c r="PJA94" s="2151"/>
      <c r="PJB94" s="2151"/>
      <c r="PJC94" s="2151"/>
      <c r="PJD94" s="2151"/>
      <c r="PJE94" s="2151"/>
      <c r="PJF94" s="2151"/>
      <c r="PJG94" s="2151"/>
      <c r="PJH94" s="2151"/>
      <c r="PJI94" s="2151"/>
      <c r="PJJ94" s="2150"/>
      <c r="PJK94" s="2151"/>
      <c r="PJL94" s="2151"/>
      <c r="PJM94" s="2151"/>
      <c r="PJN94" s="2151"/>
      <c r="PJO94" s="2151"/>
      <c r="PJP94" s="2151"/>
      <c r="PJQ94" s="2151"/>
      <c r="PJR94" s="2151"/>
      <c r="PJS94" s="2151"/>
      <c r="PJT94" s="2151"/>
      <c r="PJU94" s="2151"/>
      <c r="PJV94" s="2151"/>
      <c r="PJW94" s="2151"/>
      <c r="PJX94" s="2151"/>
      <c r="PJY94" s="2151"/>
      <c r="PJZ94" s="2150"/>
      <c r="PKA94" s="2151"/>
      <c r="PKB94" s="2151"/>
      <c r="PKC94" s="2151"/>
      <c r="PKD94" s="2151"/>
      <c r="PKE94" s="2151"/>
      <c r="PKF94" s="2151"/>
      <c r="PKG94" s="2151"/>
      <c r="PKH94" s="2151"/>
      <c r="PKI94" s="2151"/>
      <c r="PKJ94" s="2151"/>
      <c r="PKK94" s="2151"/>
      <c r="PKL94" s="2151"/>
      <c r="PKM94" s="2151"/>
      <c r="PKN94" s="2151"/>
      <c r="PKO94" s="2151"/>
      <c r="PKP94" s="2150"/>
      <c r="PKQ94" s="2151"/>
      <c r="PKR94" s="2151"/>
      <c r="PKS94" s="2151"/>
      <c r="PKT94" s="2151"/>
      <c r="PKU94" s="2151"/>
      <c r="PKV94" s="2151"/>
      <c r="PKW94" s="2151"/>
      <c r="PKX94" s="2151"/>
      <c r="PKY94" s="2151"/>
      <c r="PKZ94" s="2151"/>
      <c r="PLA94" s="2151"/>
      <c r="PLB94" s="2151"/>
      <c r="PLC94" s="2151"/>
      <c r="PLD94" s="2151"/>
      <c r="PLE94" s="2151"/>
      <c r="PLF94" s="2150"/>
      <c r="PLG94" s="2151"/>
      <c r="PLH94" s="2151"/>
      <c r="PLI94" s="2151"/>
      <c r="PLJ94" s="2151"/>
      <c r="PLK94" s="2151"/>
      <c r="PLL94" s="2151"/>
      <c r="PLM94" s="2151"/>
      <c r="PLN94" s="2151"/>
      <c r="PLO94" s="2151"/>
      <c r="PLP94" s="2151"/>
      <c r="PLQ94" s="2151"/>
      <c r="PLR94" s="2151"/>
      <c r="PLS94" s="2151"/>
      <c r="PLT94" s="2151"/>
      <c r="PLU94" s="2151"/>
      <c r="PLV94" s="2150"/>
      <c r="PLW94" s="2151"/>
      <c r="PLX94" s="2151"/>
      <c r="PLY94" s="2151"/>
      <c r="PLZ94" s="2151"/>
      <c r="PMA94" s="2151"/>
      <c r="PMB94" s="2151"/>
      <c r="PMC94" s="2151"/>
      <c r="PMD94" s="2151"/>
      <c r="PME94" s="2151"/>
      <c r="PMF94" s="2151"/>
      <c r="PMG94" s="2151"/>
      <c r="PMH94" s="2151"/>
      <c r="PMI94" s="2151"/>
      <c r="PMJ94" s="2151"/>
      <c r="PMK94" s="2151"/>
      <c r="PML94" s="2150"/>
      <c r="PMM94" s="2151"/>
      <c r="PMN94" s="2151"/>
      <c r="PMO94" s="2151"/>
      <c r="PMP94" s="2151"/>
      <c r="PMQ94" s="2151"/>
      <c r="PMR94" s="2151"/>
      <c r="PMS94" s="2151"/>
      <c r="PMT94" s="2151"/>
      <c r="PMU94" s="2151"/>
      <c r="PMV94" s="2151"/>
      <c r="PMW94" s="2151"/>
      <c r="PMX94" s="2151"/>
      <c r="PMY94" s="2151"/>
      <c r="PMZ94" s="2151"/>
      <c r="PNA94" s="2151"/>
      <c r="PNB94" s="2150"/>
      <c r="PNC94" s="2151"/>
      <c r="PND94" s="2151"/>
      <c r="PNE94" s="2151"/>
      <c r="PNF94" s="2151"/>
      <c r="PNG94" s="2151"/>
      <c r="PNH94" s="2151"/>
      <c r="PNI94" s="2151"/>
      <c r="PNJ94" s="2151"/>
      <c r="PNK94" s="2151"/>
      <c r="PNL94" s="2151"/>
      <c r="PNM94" s="2151"/>
      <c r="PNN94" s="2151"/>
      <c r="PNO94" s="2151"/>
      <c r="PNP94" s="2151"/>
      <c r="PNQ94" s="2151"/>
      <c r="PNR94" s="2150"/>
      <c r="PNS94" s="2151"/>
      <c r="PNT94" s="2151"/>
      <c r="PNU94" s="2151"/>
      <c r="PNV94" s="2151"/>
      <c r="PNW94" s="2151"/>
      <c r="PNX94" s="2151"/>
      <c r="PNY94" s="2151"/>
      <c r="PNZ94" s="2151"/>
      <c r="POA94" s="2151"/>
      <c r="POB94" s="2151"/>
      <c r="POC94" s="2151"/>
      <c r="POD94" s="2151"/>
      <c r="POE94" s="2151"/>
      <c r="POF94" s="2151"/>
      <c r="POG94" s="2151"/>
      <c r="POH94" s="2150"/>
      <c r="POI94" s="2151"/>
      <c r="POJ94" s="2151"/>
      <c r="POK94" s="2151"/>
      <c r="POL94" s="2151"/>
      <c r="POM94" s="2151"/>
      <c r="PON94" s="2151"/>
      <c r="POO94" s="2151"/>
      <c r="POP94" s="2151"/>
      <c r="POQ94" s="2151"/>
      <c r="POR94" s="2151"/>
      <c r="POS94" s="2151"/>
      <c r="POT94" s="2151"/>
      <c r="POU94" s="2151"/>
      <c r="POV94" s="2151"/>
      <c r="POW94" s="2151"/>
      <c r="POX94" s="2150"/>
      <c r="POY94" s="2151"/>
      <c r="POZ94" s="2151"/>
      <c r="PPA94" s="2151"/>
      <c r="PPB94" s="2151"/>
      <c r="PPC94" s="2151"/>
      <c r="PPD94" s="2151"/>
      <c r="PPE94" s="2151"/>
      <c r="PPF94" s="2151"/>
      <c r="PPG94" s="2151"/>
      <c r="PPH94" s="2151"/>
      <c r="PPI94" s="2151"/>
      <c r="PPJ94" s="2151"/>
      <c r="PPK94" s="2151"/>
      <c r="PPL94" s="2151"/>
      <c r="PPM94" s="2151"/>
      <c r="PPN94" s="2150"/>
      <c r="PPO94" s="2151"/>
      <c r="PPP94" s="2151"/>
      <c r="PPQ94" s="2151"/>
      <c r="PPR94" s="2151"/>
      <c r="PPS94" s="2151"/>
      <c r="PPT94" s="2151"/>
      <c r="PPU94" s="2151"/>
      <c r="PPV94" s="2151"/>
      <c r="PPW94" s="2151"/>
      <c r="PPX94" s="2151"/>
      <c r="PPY94" s="2151"/>
      <c r="PPZ94" s="2151"/>
      <c r="PQA94" s="2151"/>
      <c r="PQB94" s="2151"/>
      <c r="PQC94" s="2151"/>
      <c r="PQD94" s="2150"/>
      <c r="PQE94" s="2151"/>
      <c r="PQF94" s="2151"/>
      <c r="PQG94" s="2151"/>
      <c r="PQH94" s="2151"/>
      <c r="PQI94" s="2151"/>
      <c r="PQJ94" s="2151"/>
      <c r="PQK94" s="2151"/>
      <c r="PQL94" s="2151"/>
      <c r="PQM94" s="2151"/>
      <c r="PQN94" s="2151"/>
      <c r="PQO94" s="2151"/>
      <c r="PQP94" s="2151"/>
      <c r="PQQ94" s="2151"/>
      <c r="PQR94" s="2151"/>
      <c r="PQS94" s="2151"/>
      <c r="PQT94" s="2150"/>
      <c r="PQU94" s="2151"/>
      <c r="PQV94" s="2151"/>
      <c r="PQW94" s="2151"/>
      <c r="PQX94" s="2151"/>
      <c r="PQY94" s="2151"/>
      <c r="PQZ94" s="2151"/>
      <c r="PRA94" s="2151"/>
      <c r="PRB94" s="2151"/>
      <c r="PRC94" s="2151"/>
      <c r="PRD94" s="2151"/>
      <c r="PRE94" s="2151"/>
      <c r="PRF94" s="2151"/>
      <c r="PRG94" s="2151"/>
      <c r="PRH94" s="2151"/>
      <c r="PRI94" s="2151"/>
      <c r="PRJ94" s="2150"/>
      <c r="PRK94" s="2151"/>
      <c r="PRL94" s="2151"/>
      <c r="PRM94" s="2151"/>
      <c r="PRN94" s="2151"/>
      <c r="PRO94" s="2151"/>
      <c r="PRP94" s="2151"/>
      <c r="PRQ94" s="2151"/>
      <c r="PRR94" s="2151"/>
      <c r="PRS94" s="2151"/>
      <c r="PRT94" s="2151"/>
      <c r="PRU94" s="2151"/>
      <c r="PRV94" s="2151"/>
      <c r="PRW94" s="2151"/>
      <c r="PRX94" s="2151"/>
      <c r="PRY94" s="2151"/>
      <c r="PRZ94" s="2150"/>
      <c r="PSA94" s="2151"/>
      <c r="PSB94" s="2151"/>
      <c r="PSC94" s="2151"/>
      <c r="PSD94" s="2151"/>
      <c r="PSE94" s="2151"/>
      <c r="PSF94" s="2151"/>
      <c r="PSG94" s="2151"/>
      <c r="PSH94" s="2151"/>
      <c r="PSI94" s="2151"/>
      <c r="PSJ94" s="2151"/>
      <c r="PSK94" s="2151"/>
      <c r="PSL94" s="2151"/>
      <c r="PSM94" s="2151"/>
      <c r="PSN94" s="2151"/>
      <c r="PSO94" s="2151"/>
      <c r="PSP94" s="2150"/>
      <c r="PSQ94" s="2151"/>
      <c r="PSR94" s="2151"/>
      <c r="PSS94" s="2151"/>
      <c r="PST94" s="2151"/>
      <c r="PSU94" s="2151"/>
      <c r="PSV94" s="2151"/>
      <c r="PSW94" s="2151"/>
      <c r="PSX94" s="2151"/>
      <c r="PSY94" s="2151"/>
      <c r="PSZ94" s="2151"/>
      <c r="PTA94" s="2151"/>
      <c r="PTB94" s="2151"/>
      <c r="PTC94" s="2151"/>
      <c r="PTD94" s="2151"/>
      <c r="PTE94" s="2151"/>
      <c r="PTF94" s="2150"/>
      <c r="PTG94" s="2151"/>
      <c r="PTH94" s="2151"/>
      <c r="PTI94" s="2151"/>
      <c r="PTJ94" s="2151"/>
      <c r="PTK94" s="2151"/>
      <c r="PTL94" s="2151"/>
      <c r="PTM94" s="2151"/>
      <c r="PTN94" s="2151"/>
      <c r="PTO94" s="2151"/>
      <c r="PTP94" s="2151"/>
      <c r="PTQ94" s="2151"/>
      <c r="PTR94" s="2151"/>
      <c r="PTS94" s="2151"/>
      <c r="PTT94" s="2151"/>
      <c r="PTU94" s="2151"/>
      <c r="PTV94" s="2150"/>
      <c r="PTW94" s="2151"/>
      <c r="PTX94" s="2151"/>
      <c r="PTY94" s="2151"/>
      <c r="PTZ94" s="2151"/>
      <c r="PUA94" s="2151"/>
      <c r="PUB94" s="2151"/>
      <c r="PUC94" s="2151"/>
      <c r="PUD94" s="2151"/>
      <c r="PUE94" s="2151"/>
      <c r="PUF94" s="2151"/>
      <c r="PUG94" s="2151"/>
      <c r="PUH94" s="2151"/>
      <c r="PUI94" s="2151"/>
      <c r="PUJ94" s="2151"/>
      <c r="PUK94" s="2151"/>
      <c r="PUL94" s="2150"/>
      <c r="PUM94" s="2151"/>
      <c r="PUN94" s="2151"/>
      <c r="PUO94" s="2151"/>
      <c r="PUP94" s="2151"/>
      <c r="PUQ94" s="2151"/>
      <c r="PUR94" s="2151"/>
      <c r="PUS94" s="2151"/>
      <c r="PUT94" s="2151"/>
      <c r="PUU94" s="2151"/>
      <c r="PUV94" s="2151"/>
      <c r="PUW94" s="2151"/>
      <c r="PUX94" s="2151"/>
      <c r="PUY94" s="2151"/>
      <c r="PUZ94" s="2151"/>
      <c r="PVA94" s="2151"/>
      <c r="PVB94" s="2150"/>
      <c r="PVC94" s="2151"/>
      <c r="PVD94" s="2151"/>
      <c r="PVE94" s="2151"/>
      <c r="PVF94" s="2151"/>
      <c r="PVG94" s="2151"/>
      <c r="PVH94" s="2151"/>
      <c r="PVI94" s="2151"/>
      <c r="PVJ94" s="2151"/>
      <c r="PVK94" s="2151"/>
      <c r="PVL94" s="2151"/>
      <c r="PVM94" s="2151"/>
      <c r="PVN94" s="2151"/>
      <c r="PVO94" s="2151"/>
      <c r="PVP94" s="2151"/>
      <c r="PVQ94" s="2151"/>
      <c r="PVR94" s="2150"/>
      <c r="PVS94" s="2151"/>
      <c r="PVT94" s="2151"/>
      <c r="PVU94" s="2151"/>
      <c r="PVV94" s="2151"/>
      <c r="PVW94" s="2151"/>
      <c r="PVX94" s="2151"/>
      <c r="PVY94" s="2151"/>
      <c r="PVZ94" s="2151"/>
      <c r="PWA94" s="2151"/>
      <c r="PWB94" s="2151"/>
      <c r="PWC94" s="2151"/>
      <c r="PWD94" s="2151"/>
      <c r="PWE94" s="2151"/>
      <c r="PWF94" s="2151"/>
      <c r="PWG94" s="2151"/>
      <c r="PWH94" s="2150"/>
      <c r="PWI94" s="2151"/>
      <c r="PWJ94" s="2151"/>
      <c r="PWK94" s="2151"/>
      <c r="PWL94" s="2151"/>
      <c r="PWM94" s="2151"/>
      <c r="PWN94" s="2151"/>
      <c r="PWO94" s="2151"/>
      <c r="PWP94" s="2151"/>
      <c r="PWQ94" s="2151"/>
      <c r="PWR94" s="2151"/>
      <c r="PWS94" s="2151"/>
      <c r="PWT94" s="2151"/>
      <c r="PWU94" s="2151"/>
      <c r="PWV94" s="2151"/>
      <c r="PWW94" s="2151"/>
      <c r="PWX94" s="2150"/>
      <c r="PWY94" s="2151"/>
      <c r="PWZ94" s="2151"/>
      <c r="PXA94" s="2151"/>
      <c r="PXB94" s="2151"/>
      <c r="PXC94" s="2151"/>
      <c r="PXD94" s="2151"/>
      <c r="PXE94" s="2151"/>
      <c r="PXF94" s="2151"/>
      <c r="PXG94" s="2151"/>
      <c r="PXH94" s="2151"/>
      <c r="PXI94" s="2151"/>
      <c r="PXJ94" s="2151"/>
      <c r="PXK94" s="2151"/>
      <c r="PXL94" s="2151"/>
      <c r="PXM94" s="2151"/>
      <c r="PXN94" s="2150"/>
      <c r="PXO94" s="2151"/>
      <c r="PXP94" s="2151"/>
      <c r="PXQ94" s="2151"/>
      <c r="PXR94" s="2151"/>
      <c r="PXS94" s="2151"/>
      <c r="PXT94" s="2151"/>
      <c r="PXU94" s="2151"/>
      <c r="PXV94" s="2151"/>
      <c r="PXW94" s="2151"/>
      <c r="PXX94" s="2151"/>
      <c r="PXY94" s="2151"/>
      <c r="PXZ94" s="2151"/>
      <c r="PYA94" s="2151"/>
      <c r="PYB94" s="2151"/>
      <c r="PYC94" s="2151"/>
      <c r="PYD94" s="2150"/>
      <c r="PYE94" s="2151"/>
      <c r="PYF94" s="2151"/>
      <c r="PYG94" s="2151"/>
      <c r="PYH94" s="2151"/>
      <c r="PYI94" s="2151"/>
      <c r="PYJ94" s="2151"/>
      <c r="PYK94" s="2151"/>
      <c r="PYL94" s="2151"/>
      <c r="PYM94" s="2151"/>
      <c r="PYN94" s="2151"/>
      <c r="PYO94" s="2151"/>
      <c r="PYP94" s="2151"/>
      <c r="PYQ94" s="2151"/>
      <c r="PYR94" s="2151"/>
      <c r="PYS94" s="2151"/>
      <c r="PYT94" s="2150"/>
      <c r="PYU94" s="2151"/>
      <c r="PYV94" s="2151"/>
      <c r="PYW94" s="2151"/>
      <c r="PYX94" s="2151"/>
      <c r="PYY94" s="2151"/>
      <c r="PYZ94" s="2151"/>
      <c r="PZA94" s="2151"/>
      <c r="PZB94" s="2151"/>
      <c r="PZC94" s="2151"/>
      <c r="PZD94" s="2151"/>
      <c r="PZE94" s="2151"/>
      <c r="PZF94" s="2151"/>
      <c r="PZG94" s="2151"/>
      <c r="PZH94" s="2151"/>
      <c r="PZI94" s="2151"/>
      <c r="PZJ94" s="2150"/>
      <c r="PZK94" s="2151"/>
      <c r="PZL94" s="2151"/>
      <c r="PZM94" s="2151"/>
      <c r="PZN94" s="2151"/>
      <c r="PZO94" s="2151"/>
      <c r="PZP94" s="2151"/>
      <c r="PZQ94" s="2151"/>
      <c r="PZR94" s="2151"/>
      <c r="PZS94" s="2151"/>
      <c r="PZT94" s="2151"/>
      <c r="PZU94" s="2151"/>
      <c r="PZV94" s="2151"/>
      <c r="PZW94" s="2151"/>
      <c r="PZX94" s="2151"/>
      <c r="PZY94" s="2151"/>
      <c r="PZZ94" s="2150"/>
      <c r="QAA94" s="2151"/>
      <c r="QAB94" s="2151"/>
      <c r="QAC94" s="2151"/>
      <c r="QAD94" s="2151"/>
      <c r="QAE94" s="2151"/>
      <c r="QAF94" s="2151"/>
      <c r="QAG94" s="2151"/>
      <c r="QAH94" s="2151"/>
      <c r="QAI94" s="2151"/>
      <c r="QAJ94" s="2151"/>
      <c r="QAK94" s="2151"/>
      <c r="QAL94" s="2151"/>
      <c r="QAM94" s="2151"/>
      <c r="QAN94" s="2151"/>
      <c r="QAO94" s="2151"/>
      <c r="QAP94" s="2150"/>
      <c r="QAQ94" s="2151"/>
      <c r="QAR94" s="2151"/>
      <c r="QAS94" s="2151"/>
      <c r="QAT94" s="2151"/>
      <c r="QAU94" s="2151"/>
      <c r="QAV94" s="2151"/>
      <c r="QAW94" s="2151"/>
      <c r="QAX94" s="2151"/>
      <c r="QAY94" s="2151"/>
      <c r="QAZ94" s="2151"/>
      <c r="QBA94" s="2151"/>
      <c r="QBB94" s="2151"/>
      <c r="QBC94" s="2151"/>
      <c r="QBD94" s="2151"/>
      <c r="QBE94" s="2151"/>
      <c r="QBF94" s="2150"/>
      <c r="QBG94" s="2151"/>
      <c r="QBH94" s="2151"/>
      <c r="QBI94" s="2151"/>
      <c r="QBJ94" s="2151"/>
      <c r="QBK94" s="2151"/>
      <c r="QBL94" s="2151"/>
      <c r="QBM94" s="2151"/>
      <c r="QBN94" s="2151"/>
      <c r="QBO94" s="2151"/>
      <c r="QBP94" s="2151"/>
      <c r="QBQ94" s="2151"/>
      <c r="QBR94" s="2151"/>
      <c r="QBS94" s="2151"/>
      <c r="QBT94" s="2151"/>
      <c r="QBU94" s="2151"/>
      <c r="QBV94" s="2150"/>
      <c r="QBW94" s="2151"/>
      <c r="QBX94" s="2151"/>
      <c r="QBY94" s="2151"/>
      <c r="QBZ94" s="2151"/>
      <c r="QCA94" s="2151"/>
      <c r="QCB94" s="2151"/>
      <c r="QCC94" s="2151"/>
      <c r="QCD94" s="2151"/>
      <c r="QCE94" s="2151"/>
      <c r="QCF94" s="2151"/>
      <c r="QCG94" s="2151"/>
      <c r="QCH94" s="2151"/>
      <c r="QCI94" s="2151"/>
      <c r="QCJ94" s="2151"/>
      <c r="QCK94" s="2151"/>
      <c r="QCL94" s="2150"/>
      <c r="QCM94" s="2151"/>
      <c r="QCN94" s="2151"/>
      <c r="QCO94" s="2151"/>
      <c r="QCP94" s="2151"/>
      <c r="QCQ94" s="2151"/>
      <c r="QCR94" s="2151"/>
      <c r="QCS94" s="2151"/>
      <c r="QCT94" s="2151"/>
      <c r="QCU94" s="2151"/>
      <c r="QCV94" s="2151"/>
      <c r="QCW94" s="2151"/>
      <c r="QCX94" s="2151"/>
      <c r="QCY94" s="2151"/>
      <c r="QCZ94" s="2151"/>
      <c r="QDA94" s="2151"/>
      <c r="QDB94" s="2150"/>
      <c r="QDC94" s="2151"/>
      <c r="QDD94" s="2151"/>
      <c r="QDE94" s="2151"/>
      <c r="QDF94" s="2151"/>
      <c r="QDG94" s="2151"/>
      <c r="QDH94" s="2151"/>
      <c r="QDI94" s="2151"/>
      <c r="QDJ94" s="2151"/>
      <c r="QDK94" s="2151"/>
      <c r="QDL94" s="2151"/>
      <c r="QDM94" s="2151"/>
      <c r="QDN94" s="2151"/>
      <c r="QDO94" s="2151"/>
      <c r="QDP94" s="2151"/>
      <c r="QDQ94" s="2151"/>
      <c r="QDR94" s="2150"/>
      <c r="QDS94" s="2151"/>
      <c r="QDT94" s="2151"/>
      <c r="QDU94" s="2151"/>
      <c r="QDV94" s="2151"/>
      <c r="QDW94" s="2151"/>
      <c r="QDX94" s="2151"/>
      <c r="QDY94" s="2151"/>
      <c r="QDZ94" s="2151"/>
      <c r="QEA94" s="2151"/>
      <c r="QEB94" s="2151"/>
      <c r="QEC94" s="2151"/>
      <c r="QED94" s="2151"/>
      <c r="QEE94" s="2151"/>
      <c r="QEF94" s="2151"/>
      <c r="QEG94" s="2151"/>
      <c r="QEH94" s="2150"/>
      <c r="QEI94" s="2151"/>
      <c r="QEJ94" s="2151"/>
      <c r="QEK94" s="2151"/>
      <c r="QEL94" s="2151"/>
      <c r="QEM94" s="2151"/>
      <c r="QEN94" s="2151"/>
      <c r="QEO94" s="2151"/>
      <c r="QEP94" s="2151"/>
      <c r="QEQ94" s="2151"/>
      <c r="QER94" s="2151"/>
      <c r="QES94" s="2151"/>
      <c r="QET94" s="2151"/>
      <c r="QEU94" s="2151"/>
      <c r="QEV94" s="2151"/>
      <c r="QEW94" s="2151"/>
      <c r="QEX94" s="2150"/>
      <c r="QEY94" s="2151"/>
      <c r="QEZ94" s="2151"/>
      <c r="QFA94" s="2151"/>
      <c r="QFB94" s="2151"/>
      <c r="QFC94" s="2151"/>
      <c r="QFD94" s="2151"/>
      <c r="QFE94" s="2151"/>
      <c r="QFF94" s="2151"/>
      <c r="QFG94" s="2151"/>
      <c r="QFH94" s="2151"/>
      <c r="QFI94" s="2151"/>
      <c r="QFJ94" s="2151"/>
      <c r="QFK94" s="2151"/>
      <c r="QFL94" s="2151"/>
      <c r="QFM94" s="2151"/>
      <c r="QFN94" s="2150"/>
      <c r="QFO94" s="2151"/>
      <c r="QFP94" s="2151"/>
      <c r="QFQ94" s="2151"/>
      <c r="QFR94" s="2151"/>
      <c r="QFS94" s="2151"/>
      <c r="QFT94" s="2151"/>
      <c r="QFU94" s="2151"/>
      <c r="QFV94" s="2151"/>
      <c r="QFW94" s="2151"/>
      <c r="QFX94" s="2151"/>
      <c r="QFY94" s="2151"/>
      <c r="QFZ94" s="2151"/>
      <c r="QGA94" s="2151"/>
      <c r="QGB94" s="2151"/>
      <c r="QGC94" s="2151"/>
      <c r="QGD94" s="2150"/>
      <c r="QGE94" s="2151"/>
      <c r="QGF94" s="2151"/>
      <c r="QGG94" s="2151"/>
      <c r="QGH94" s="2151"/>
      <c r="QGI94" s="2151"/>
      <c r="QGJ94" s="2151"/>
      <c r="QGK94" s="2151"/>
      <c r="QGL94" s="2151"/>
      <c r="QGM94" s="2151"/>
      <c r="QGN94" s="2151"/>
      <c r="QGO94" s="2151"/>
      <c r="QGP94" s="2151"/>
      <c r="QGQ94" s="2151"/>
      <c r="QGR94" s="2151"/>
      <c r="QGS94" s="2151"/>
      <c r="QGT94" s="2150"/>
      <c r="QGU94" s="2151"/>
      <c r="QGV94" s="2151"/>
      <c r="QGW94" s="2151"/>
      <c r="QGX94" s="2151"/>
      <c r="QGY94" s="2151"/>
      <c r="QGZ94" s="2151"/>
      <c r="QHA94" s="2151"/>
      <c r="QHB94" s="2151"/>
      <c r="QHC94" s="2151"/>
      <c r="QHD94" s="2151"/>
      <c r="QHE94" s="2151"/>
      <c r="QHF94" s="2151"/>
      <c r="QHG94" s="2151"/>
      <c r="QHH94" s="2151"/>
      <c r="QHI94" s="2151"/>
      <c r="QHJ94" s="2150"/>
      <c r="QHK94" s="2151"/>
      <c r="QHL94" s="2151"/>
      <c r="QHM94" s="2151"/>
      <c r="QHN94" s="2151"/>
      <c r="QHO94" s="2151"/>
      <c r="QHP94" s="2151"/>
      <c r="QHQ94" s="2151"/>
      <c r="QHR94" s="2151"/>
      <c r="QHS94" s="2151"/>
      <c r="QHT94" s="2151"/>
      <c r="QHU94" s="2151"/>
      <c r="QHV94" s="2151"/>
      <c r="QHW94" s="2151"/>
      <c r="QHX94" s="2151"/>
      <c r="QHY94" s="2151"/>
      <c r="QHZ94" s="2150"/>
      <c r="QIA94" s="2151"/>
      <c r="QIB94" s="2151"/>
      <c r="QIC94" s="2151"/>
      <c r="QID94" s="2151"/>
      <c r="QIE94" s="2151"/>
      <c r="QIF94" s="2151"/>
      <c r="QIG94" s="2151"/>
      <c r="QIH94" s="2151"/>
      <c r="QII94" s="2151"/>
      <c r="QIJ94" s="2151"/>
      <c r="QIK94" s="2151"/>
      <c r="QIL94" s="2151"/>
      <c r="QIM94" s="2151"/>
      <c r="QIN94" s="2151"/>
      <c r="QIO94" s="2151"/>
      <c r="QIP94" s="2150"/>
      <c r="QIQ94" s="2151"/>
      <c r="QIR94" s="2151"/>
      <c r="QIS94" s="2151"/>
      <c r="QIT94" s="2151"/>
      <c r="QIU94" s="2151"/>
      <c r="QIV94" s="2151"/>
      <c r="QIW94" s="2151"/>
      <c r="QIX94" s="2151"/>
      <c r="QIY94" s="2151"/>
      <c r="QIZ94" s="2151"/>
      <c r="QJA94" s="2151"/>
      <c r="QJB94" s="2151"/>
      <c r="QJC94" s="2151"/>
      <c r="QJD94" s="2151"/>
      <c r="QJE94" s="2151"/>
      <c r="QJF94" s="2150"/>
      <c r="QJG94" s="2151"/>
      <c r="QJH94" s="2151"/>
      <c r="QJI94" s="2151"/>
      <c r="QJJ94" s="2151"/>
      <c r="QJK94" s="2151"/>
      <c r="QJL94" s="2151"/>
      <c r="QJM94" s="2151"/>
      <c r="QJN94" s="2151"/>
      <c r="QJO94" s="2151"/>
      <c r="QJP94" s="2151"/>
      <c r="QJQ94" s="2151"/>
      <c r="QJR94" s="2151"/>
      <c r="QJS94" s="2151"/>
      <c r="QJT94" s="2151"/>
      <c r="QJU94" s="2151"/>
      <c r="QJV94" s="2150"/>
      <c r="QJW94" s="2151"/>
      <c r="QJX94" s="2151"/>
      <c r="QJY94" s="2151"/>
      <c r="QJZ94" s="2151"/>
      <c r="QKA94" s="2151"/>
      <c r="QKB94" s="2151"/>
      <c r="QKC94" s="2151"/>
      <c r="QKD94" s="2151"/>
      <c r="QKE94" s="2151"/>
      <c r="QKF94" s="2151"/>
      <c r="QKG94" s="2151"/>
      <c r="QKH94" s="2151"/>
      <c r="QKI94" s="2151"/>
      <c r="QKJ94" s="2151"/>
      <c r="QKK94" s="2151"/>
      <c r="QKL94" s="2150"/>
      <c r="QKM94" s="2151"/>
      <c r="QKN94" s="2151"/>
      <c r="QKO94" s="2151"/>
      <c r="QKP94" s="2151"/>
      <c r="QKQ94" s="2151"/>
      <c r="QKR94" s="2151"/>
      <c r="QKS94" s="2151"/>
      <c r="QKT94" s="2151"/>
      <c r="QKU94" s="2151"/>
      <c r="QKV94" s="2151"/>
      <c r="QKW94" s="2151"/>
      <c r="QKX94" s="2151"/>
      <c r="QKY94" s="2151"/>
      <c r="QKZ94" s="2151"/>
      <c r="QLA94" s="2151"/>
      <c r="QLB94" s="2150"/>
      <c r="QLC94" s="2151"/>
      <c r="QLD94" s="2151"/>
      <c r="QLE94" s="2151"/>
      <c r="QLF94" s="2151"/>
      <c r="QLG94" s="2151"/>
      <c r="QLH94" s="2151"/>
      <c r="QLI94" s="2151"/>
      <c r="QLJ94" s="2151"/>
      <c r="QLK94" s="2151"/>
      <c r="QLL94" s="2151"/>
      <c r="QLM94" s="2151"/>
      <c r="QLN94" s="2151"/>
      <c r="QLO94" s="2151"/>
      <c r="QLP94" s="2151"/>
      <c r="QLQ94" s="2151"/>
      <c r="QLR94" s="2150"/>
      <c r="QLS94" s="2151"/>
      <c r="QLT94" s="2151"/>
      <c r="QLU94" s="2151"/>
      <c r="QLV94" s="2151"/>
      <c r="QLW94" s="2151"/>
      <c r="QLX94" s="2151"/>
      <c r="QLY94" s="2151"/>
      <c r="QLZ94" s="2151"/>
      <c r="QMA94" s="2151"/>
      <c r="QMB94" s="2151"/>
      <c r="QMC94" s="2151"/>
      <c r="QMD94" s="2151"/>
      <c r="QME94" s="2151"/>
      <c r="QMF94" s="2151"/>
      <c r="QMG94" s="2151"/>
      <c r="QMH94" s="2150"/>
      <c r="QMI94" s="2151"/>
      <c r="QMJ94" s="2151"/>
      <c r="QMK94" s="2151"/>
      <c r="QML94" s="2151"/>
      <c r="QMM94" s="2151"/>
      <c r="QMN94" s="2151"/>
      <c r="QMO94" s="2151"/>
      <c r="QMP94" s="2151"/>
      <c r="QMQ94" s="2151"/>
      <c r="QMR94" s="2151"/>
      <c r="QMS94" s="2151"/>
      <c r="QMT94" s="2151"/>
      <c r="QMU94" s="2151"/>
      <c r="QMV94" s="2151"/>
      <c r="QMW94" s="2151"/>
      <c r="QMX94" s="2150"/>
      <c r="QMY94" s="2151"/>
      <c r="QMZ94" s="2151"/>
      <c r="QNA94" s="2151"/>
      <c r="QNB94" s="2151"/>
      <c r="QNC94" s="2151"/>
      <c r="QND94" s="2151"/>
      <c r="QNE94" s="2151"/>
      <c r="QNF94" s="2151"/>
      <c r="QNG94" s="2151"/>
      <c r="QNH94" s="2151"/>
      <c r="QNI94" s="2151"/>
      <c r="QNJ94" s="2151"/>
      <c r="QNK94" s="2151"/>
      <c r="QNL94" s="2151"/>
      <c r="QNM94" s="2151"/>
      <c r="QNN94" s="2150"/>
      <c r="QNO94" s="2151"/>
      <c r="QNP94" s="2151"/>
      <c r="QNQ94" s="2151"/>
      <c r="QNR94" s="2151"/>
      <c r="QNS94" s="2151"/>
      <c r="QNT94" s="2151"/>
      <c r="QNU94" s="2151"/>
      <c r="QNV94" s="2151"/>
      <c r="QNW94" s="2151"/>
      <c r="QNX94" s="2151"/>
      <c r="QNY94" s="2151"/>
      <c r="QNZ94" s="2151"/>
      <c r="QOA94" s="2151"/>
      <c r="QOB94" s="2151"/>
      <c r="QOC94" s="2151"/>
      <c r="QOD94" s="2150"/>
      <c r="QOE94" s="2151"/>
      <c r="QOF94" s="2151"/>
      <c r="QOG94" s="2151"/>
      <c r="QOH94" s="2151"/>
      <c r="QOI94" s="2151"/>
      <c r="QOJ94" s="2151"/>
      <c r="QOK94" s="2151"/>
      <c r="QOL94" s="2151"/>
      <c r="QOM94" s="2151"/>
      <c r="QON94" s="2151"/>
      <c r="QOO94" s="2151"/>
      <c r="QOP94" s="2151"/>
      <c r="QOQ94" s="2151"/>
      <c r="QOR94" s="2151"/>
      <c r="QOS94" s="2151"/>
      <c r="QOT94" s="2150"/>
      <c r="QOU94" s="2151"/>
      <c r="QOV94" s="2151"/>
      <c r="QOW94" s="2151"/>
      <c r="QOX94" s="2151"/>
      <c r="QOY94" s="2151"/>
      <c r="QOZ94" s="2151"/>
      <c r="QPA94" s="2151"/>
      <c r="QPB94" s="2151"/>
      <c r="QPC94" s="2151"/>
      <c r="QPD94" s="2151"/>
      <c r="QPE94" s="2151"/>
      <c r="QPF94" s="2151"/>
      <c r="QPG94" s="2151"/>
      <c r="QPH94" s="2151"/>
      <c r="QPI94" s="2151"/>
      <c r="QPJ94" s="2150"/>
      <c r="QPK94" s="2151"/>
      <c r="QPL94" s="2151"/>
      <c r="QPM94" s="2151"/>
      <c r="QPN94" s="2151"/>
      <c r="QPO94" s="2151"/>
      <c r="QPP94" s="2151"/>
      <c r="QPQ94" s="2151"/>
      <c r="QPR94" s="2151"/>
      <c r="QPS94" s="2151"/>
      <c r="QPT94" s="2151"/>
      <c r="QPU94" s="2151"/>
      <c r="QPV94" s="2151"/>
      <c r="QPW94" s="2151"/>
      <c r="QPX94" s="2151"/>
      <c r="QPY94" s="2151"/>
      <c r="QPZ94" s="2150"/>
      <c r="QQA94" s="2151"/>
      <c r="QQB94" s="2151"/>
      <c r="QQC94" s="2151"/>
      <c r="QQD94" s="2151"/>
      <c r="QQE94" s="2151"/>
      <c r="QQF94" s="2151"/>
      <c r="QQG94" s="2151"/>
      <c r="QQH94" s="2151"/>
      <c r="QQI94" s="2151"/>
      <c r="QQJ94" s="2151"/>
      <c r="QQK94" s="2151"/>
      <c r="QQL94" s="2151"/>
      <c r="QQM94" s="2151"/>
      <c r="QQN94" s="2151"/>
      <c r="QQO94" s="2151"/>
      <c r="QQP94" s="2150"/>
      <c r="QQQ94" s="2151"/>
      <c r="QQR94" s="2151"/>
      <c r="QQS94" s="2151"/>
      <c r="QQT94" s="2151"/>
      <c r="QQU94" s="2151"/>
      <c r="QQV94" s="2151"/>
      <c r="QQW94" s="2151"/>
      <c r="QQX94" s="2151"/>
      <c r="QQY94" s="2151"/>
      <c r="QQZ94" s="2151"/>
      <c r="QRA94" s="2151"/>
      <c r="QRB94" s="2151"/>
      <c r="QRC94" s="2151"/>
      <c r="QRD94" s="2151"/>
      <c r="QRE94" s="2151"/>
      <c r="QRF94" s="2150"/>
      <c r="QRG94" s="2151"/>
      <c r="QRH94" s="2151"/>
      <c r="QRI94" s="2151"/>
      <c r="QRJ94" s="2151"/>
      <c r="QRK94" s="2151"/>
      <c r="QRL94" s="2151"/>
      <c r="QRM94" s="2151"/>
      <c r="QRN94" s="2151"/>
      <c r="QRO94" s="2151"/>
      <c r="QRP94" s="2151"/>
      <c r="QRQ94" s="2151"/>
      <c r="QRR94" s="2151"/>
      <c r="QRS94" s="2151"/>
      <c r="QRT94" s="2151"/>
      <c r="QRU94" s="2151"/>
      <c r="QRV94" s="2150"/>
      <c r="QRW94" s="2151"/>
      <c r="QRX94" s="2151"/>
      <c r="QRY94" s="2151"/>
      <c r="QRZ94" s="2151"/>
      <c r="QSA94" s="2151"/>
      <c r="QSB94" s="2151"/>
      <c r="QSC94" s="2151"/>
      <c r="QSD94" s="2151"/>
      <c r="QSE94" s="2151"/>
      <c r="QSF94" s="2151"/>
      <c r="QSG94" s="2151"/>
      <c r="QSH94" s="2151"/>
      <c r="QSI94" s="2151"/>
      <c r="QSJ94" s="2151"/>
      <c r="QSK94" s="2151"/>
      <c r="QSL94" s="2150"/>
      <c r="QSM94" s="2151"/>
      <c r="QSN94" s="2151"/>
      <c r="QSO94" s="2151"/>
      <c r="QSP94" s="2151"/>
      <c r="QSQ94" s="2151"/>
      <c r="QSR94" s="2151"/>
      <c r="QSS94" s="2151"/>
      <c r="QST94" s="2151"/>
      <c r="QSU94" s="2151"/>
      <c r="QSV94" s="2151"/>
      <c r="QSW94" s="2151"/>
      <c r="QSX94" s="2151"/>
      <c r="QSY94" s="2151"/>
      <c r="QSZ94" s="2151"/>
      <c r="QTA94" s="2151"/>
      <c r="QTB94" s="2150"/>
      <c r="QTC94" s="2151"/>
      <c r="QTD94" s="2151"/>
      <c r="QTE94" s="2151"/>
      <c r="QTF94" s="2151"/>
      <c r="QTG94" s="2151"/>
      <c r="QTH94" s="2151"/>
      <c r="QTI94" s="2151"/>
      <c r="QTJ94" s="2151"/>
      <c r="QTK94" s="2151"/>
      <c r="QTL94" s="2151"/>
      <c r="QTM94" s="2151"/>
      <c r="QTN94" s="2151"/>
      <c r="QTO94" s="2151"/>
      <c r="QTP94" s="2151"/>
      <c r="QTQ94" s="2151"/>
      <c r="QTR94" s="2150"/>
      <c r="QTS94" s="2151"/>
      <c r="QTT94" s="2151"/>
      <c r="QTU94" s="2151"/>
      <c r="QTV94" s="2151"/>
      <c r="QTW94" s="2151"/>
      <c r="QTX94" s="2151"/>
      <c r="QTY94" s="2151"/>
      <c r="QTZ94" s="2151"/>
      <c r="QUA94" s="2151"/>
      <c r="QUB94" s="2151"/>
      <c r="QUC94" s="2151"/>
      <c r="QUD94" s="2151"/>
      <c r="QUE94" s="2151"/>
      <c r="QUF94" s="2151"/>
      <c r="QUG94" s="2151"/>
      <c r="QUH94" s="2150"/>
      <c r="QUI94" s="2151"/>
      <c r="QUJ94" s="2151"/>
      <c r="QUK94" s="2151"/>
      <c r="QUL94" s="2151"/>
      <c r="QUM94" s="2151"/>
      <c r="QUN94" s="2151"/>
      <c r="QUO94" s="2151"/>
      <c r="QUP94" s="2151"/>
      <c r="QUQ94" s="2151"/>
      <c r="QUR94" s="2151"/>
      <c r="QUS94" s="2151"/>
      <c r="QUT94" s="2151"/>
      <c r="QUU94" s="2151"/>
      <c r="QUV94" s="2151"/>
      <c r="QUW94" s="2151"/>
      <c r="QUX94" s="2150"/>
      <c r="QUY94" s="2151"/>
      <c r="QUZ94" s="2151"/>
      <c r="QVA94" s="2151"/>
      <c r="QVB94" s="2151"/>
      <c r="QVC94" s="2151"/>
      <c r="QVD94" s="2151"/>
      <c r="QVE94" s="2151"/>
      <c r="QVF94" s="2151"/>
      <c r="QVG94" s="2151"/>
      <c r="QVH94" s="2151"/>
      <c r="QVI94" s="2151"/>
      <c r="QVJ94" s="2151"/>
      <c r="QVK94" s="2151"/>
      <c r="QVL94" s="2151"/>
      <c r="QVM94" s="2151"/>
      <c r="QVN94" s="2150"/>
      <c r="QVO94" s="2151"/>
      <c r="QVP94" s="2151"/>
      <c r="QVQ94" s="2151"/>
      <c r="QVR94" s="2151"/>
      <c r="QVS94" s="2151"/>
      <c r="QVT94" s="2151"/>
      <c r="QVU94" s="2151"/>
      <c r="QVV94" s="2151"/>
      <c r="QVW94" s="2151"/>
      <c r="QVX94" s="2151"/>
      <c r="QVY94" s="2151"/>
      <c r="QVZ94" s="2151"/>
      <c r="QWA94" s="2151"/>
      <c r="QWB94" s="2151"/>
      <c r="QWC94" s="2151"/>
      <c r="QWD94" s="2150"/>
      <c r="QWE94" s="2151"/>
      <c r="QWF94" s="2151"/>
      <c r="QWG94" s="2151"/>
      <c r="QWH94" s="2151"/>
      <c r="QWI94" s="2151"/>
      <c r="QWJ94" s="2151"/>
      <c r="QWK94" s="2151"/>
      <c r="QWL94" s="2151"/>
      <c r="QWM94" s="2151"/>
      <c r="QWN94" s="2151"/>
      <c r="QWO94" s="2151"/>
      <c r="QWP94" s="2151"/>
      <c r="QWQ94" s="2151"/>
      <c r="QWR94" s="2151"/>
      <c r="QWS94" s="2151"/>
      <c r="QWT94" s="2150"/>
      <c r="QWU94" s="2151"/>
      <c r="QWV94" s="2151"/>
      <c r="QWW94" s="2151"/>
      <c r="QWX94" s="2151"/>
      <c r="QWY94" s="2151"/>
      <c r="QWZ94" s="2151"/>
      <c r="QXA94" s="2151"/>
      <c r="QXB94" s="2151"/>
      <c r="QXC94" s="2151"/>
      <c r="QXD94" s="2151"/>
      <c r="QXE94" s="2151"/>
      <c r="QXF94" s="2151"/>
      <c r="QXG94" s="2151"/>
      <c r="QXH94" s="2151"/>
      <c r="QXI94" s="2151"/>
      <c r="QXJ94" s="2150"/>
      <c r="QXK94" s="2151"/>
      <c r="QXL94" s="2151"/>
      <c r="QXM94" s="2151"/>
      <c r="QXN94" s="2151"/>
      <c r="QXO94" s="2151"/>
      <c r="QXP94" s="2151"/>
      <c r="QXQ94" s="2151"/>
      <c r="QXR94" s="2151"/>
      <c r="QXS94" s="2151"/>
      <c r="QXT94" s="2151"/>
      <c r="QXU94" s="2151"/>
      <c r="QXV94" s="2151"/>
      <c r="QXW94" s="2151"/>
      <c r="QXX94" s="2151"/>
      <c r="QXY94" s="2151"/>
      <c r="QXZ94" s="2150"/>
      <c r="QYA94" s="2151"/>
      <c r="QYB94" s="2151"/>
      <c r="QYC94" s="2151"/>
      <c r="QYD94" s="2151"/>
      <c r="QYE94" s="2151"/>
      <c r="QYF94" s="2151"/>
      <c r="QYG94" s="2151"/>
      <c r="QYH94" s="2151"/>
      <c r="QYI94" s="2151"/>
      <c r="QYJ94" s="2151"/>
      <c r="QYK94" s="2151"/>
      <c r="QYL94" s="2151"/>
      <c r="QYM94" s="2151"/>
      <c r="QYN94" s="2151"/>
      <c r="QYO94" s="2151"/>
      <c r="QYP94" s="2150"/>
      <c r="QYQ94" s="2151"/>
      <c r="QYR94" s="2151"/>
      <c r="QYS94" s="2151"/>
      <c r="QYT94" s="2151"/>
      <c r="QYU94" s="2151"/>
      <c r="QYV94" s="2151"/>
      <c r="QYW94" s="2151"/>
      <c r="QYX94" s="2151"/>
      <c r="QYY94" s="2151"/>
      <c r="QYZ94" s="2151"/>
      <c r="QZA94" s="2151"/>
      <c r="QZB94" s="2151"/>
      <c r="QZC94" s="2151"/>
      <c r="QZD94" s="2151"/>
      <c r="QZE94" s="2151"/>
      <c r="QZF94" s="2150"/>
      <c r="QZG94" s="2151"/>
      <c r="QZH94" s="2151"/>
      <c r="QZI94" s="2151"/>
      <c r="QZJ94" s="2151"/>
      <c r="QZK94" s="2151"/>
      <c r="QZL94" s="2151"/>
      <c r="QZM94" s="2151"/>
      <c r="QZN94" s="2151"/>
      <c r="QZO94" s="2151"/>
      <c r="QZP94" s="2151"/>
      <c r="QZQ94" s="2151"/>
      <c r="QZR94" s="2151"/>
      <c r="QZS94" s="2151"/>
      <c r="QZT94" s="2151"/>
      <c r="QZU94" s="2151"/>
      <c r="QZV94" s="2150"/>
      <c r="QZW94" s="2151"/>
      <c r="QZX94" s="2151"/>
      <c r="QZY94" s="2151"/>
      <c r="QZZ94" s="2151"/>
      <c r="RAA94" s="2151"/>
      <c r="RAB94" s="2151"/>
      <c r="RAC94" s="2151"/>
      <c r="RAD94" s="2151"/>
      <c r="RAE94" s="2151"/>
      <c r="RAF94" s="2151"/>
      <c r="RAG94" s="2151"/>
      <c r="RAH94" s="2151"/>
      <c r="RAI94" s="2151"/>
      <c r="RAJ94" s="2151"/>
      <c r="RAK94" s="2151"/>
      <c r="RAL94" s="2150"/>
      <c r="RAM94" s="2151"/>
      <c r="RAN94" s="2151"/>
      <c r="RAO94" s="2151"/>
      <c r="RAP94" s="2151"/>
      <c r="RAQ94" s="2151"/>
      <c r="RAR94" s="2151"/>
      <c r="RAS94" s="2151"/>
      <c r="RAT94" s="2151"/>
      <c r="RAU94" s="2151"/>
      <c r="RAV94" s="2151"/>
      <c r="RAW94" s="2151"/>
      <c r="RAX94" s="2151"/>
      <c r="RAY94" s="2151"/>
      <c r="RAZ94" s="2151"/>
      <c r="RBA94" s="2151"/>
      <c r="RBB94" s="2150"/>
      <c r="RBC94" s="2151"/>
      <c r="RBD94" s="2151"/>
      <c r="RBE94" s="2151"/>
      <c r="RBF94" s="2151"/>
      <c r="RBG94" s="2151"/>
      <c r="RBH94" s="2151"/>
      <c r="RBI94" s="2151"/>
      <c r="RBJ94" s="2151"/>
      <c r="RBK94" s="2151"/>
      <c r="RBL94" s="2151"/>
      <c r="RBM94" s="2151"/>
      <c r="RBN94" s="2151"/>
      <c r="RBO94" s="2151"/>
      <c r="RBP94" s="2151"/>
      <c r="RBQ94" s="2151"/>
      <c r="RBR94" s="2150"/>
      <c r="RBS94" s="2151"/>
      <c r="RBT94" s="2151"/>
      <c r="RBU94" s="2151"/>
      <c r="RBV94" s="2151"/>
      <c r="RBW94" s="2151"/>
      <c r="RBX94" s="2151"/>
      <c r="RBY94" s="2151"/>
      <c r="RBZ94" s="2151"/>
      <c r="RCA94" s="2151"/>
      <c r="RCB94" s="2151"/>
      <c r="RCC94" s="2151"/>
      <c r="RCD94" s="2151"/>
      <c r="RCE94" s="2151"/>
      <c r="RCF94" s="2151"/>
      <c r="RCG94" s="2151"/>
      <c r="RCH94" s="2150"/>
      <c r="RCI94" s="2151"/>
      <c r="RCJ94" s="2151"/>
      <c r="RCK94" s="2151"/>
      <c r="RCL94" s="2151"/>
      <c r="RCM94" s="2151"/>
      <c r="RCN94" s="2151"/>
      <c r="RCO94" s="2151"/>
      <c r="RCP94" s="2151"/>
      <c r="RCQ94" s="2151"/>
      <c r="RCR94" s="2151"/>
      <c r="RCS94" s="2151"/>
      <c r="RCT94" s="2151"/>
      <c r="RCU94" s="2151"/>
      <c r="RCV94" s="2151"/>
      <c r="RCW94" s="2151"/>
      <c r="RCX94" s="2150"/>
      <c r="RCY94" s="2151"/>
      <c r="RCZ94" s="2151"/>
      <c r="RDA94" s="2151"/>
      <c r="RDB94" s="2151"/>
      <c r="RDC94" s="2151"/>
      <c r="RDD94" s="2151"/>
      <c r="RDE94" s="2151"/>
      <c r="RDF94" s="2151"/>
      <c r="RDG94" s="2151"/>
      <c r="RDH94" s="2151"/>
      <c r="RDI94" s="2151"/>
      <c r="RDJ94" s="2151"/>
      <c r="RDK94" s="2151"/>
      <c r="RDL94" s="2151"/>
      <c r="RDM94" s="2151"/>
      <c r="RDN94" s="2150"/>
      <c r="RDO94" s="2151"/>
      <c r="RDP94" s="2151"/>
      <c r="RDQ94" s="2151"/>
      <c r="RDR94" s="2151"/>
      <c r="RDS94" s="2151"/>
      <c r="RDT94" s="2151"/>
      <c r="RDU94" s="2151"/>
      <c r="RDV94" s="2151"/>
      <c r="RDW94" s="2151"/>
      <c r="RDX94" s="2151"/>
      <c r="RDY94" s="2151"/>
      <c r="RDZ94" s="2151"/>
      <c r="REA94" s="2151"/>
      <c r="REB94" s="2151"/>
      <c r="REC94" s="2151"/>
      <c r="RED94" s="2150"/>
      <c r="REE94" s="2151"/>
      <c r="REF94" s="2151"/>
      <c r="REG94" s="2151"/>
      <c r="REH94" s="2151"/>
      <c r="REI94" s="2151"/>
      <c r="REJ94" s="2151"/>
      <c r="REK94" s="2151"/>
      <c r="REL94" s="2151"/>
      <c r="REM94" s="2151"/>
      <c r="REN94" s="2151"/>
      <c r="REO94" s="2151"/>
      <c r="REP94" s="2151"/>
      <c r="REQ94" s="2151"/>
      <c r="RER94" s="2151"/>
      <c r="RES94" s="2151"/>
      <c r="RET94" s="2150"/>
      <c r="REU94" s="2151"/>
      <c r="REV94" s="2151"/>
      <c r="REW94" s="2151"/>
      <c r="REX94" s="2151"/>
      <c r="REY94" s="2151"/>
      <c r="REZ94" s="2151"/>
      <c r="RFA94" s="2151"/>
      <c r="RFB94" s="2151"/>
      <c r="RFC94" s="2151"/>
      <c r="RFD94" s="2151"/>
      <c r="RFE94" s="2151"/>
      <c r="RFF94" s="2151"/>
      <c r="RFG94" s="2151"/>
      <c r="RFH94" s="2151"/>
      <c r="RFI94" s="2151"/>
      <c r="RFJ94" s="2150"/>
      <c r="RFK94" s="2151"/>
      <c r="RFL94" s="2151"/>
      <c r="RFM94" s="2151"/>
      <c r="RFN94" s="2151"/>
      <c r="RFO94" s="2151"/>
      <c r="RFP94" s="2151"/>
      <c r="RFQ94" s="2151"/>
      <c r="RFR94" s="2151"/>
      <c r="RFS94" s="2151"/>
      <c r="RFT94" s="2151"/>
      <c r="RFU94" s="2151"/>
      <c r="RFV94" s="2151"/>
      <c r="RFW94" s="2151"/>
      <c r="RFX94" s="2151"/>
      <c r="RFY94" s="2151"/>
      <c r="RFZ94" s="2150"/>
      <c r="RGA94" s="2151"/>
      <c r="RGB94" s="2151"/>
      <c r="RGC94" s="2151"/>
      <c r="RGD94" s="2151"/>
      <c r="RGE94" s="2151"/>
      <c r="RGF94" s="2151"/>
      <c r="RGG94" s="2151"/>
      <c r="RGH94" s="2151"/>
      <c r="RGI94" s="2151"/>
      <c r="RGJ94" s="2151"/>
      <c r="RGK94" s="2151"/>
      <c r="RGL94" s="2151"/>
      <c r="RGM94" s="2151"/>
      <c r="RGN94" s="2151"/>
      <c r="RGO94" s="2151"/>
      <c r="RGP94" s="2150"/>
      <c r="RGQ94" s="2151"/>
      <c r="RGR94" s="2151"/>
      <c r="RGS94" s="2151"/>
      <c r="RGT94" s="2151"/>
      <c r="RGU94" s="2151"/>
      <c r="RGV94" s="2151"/>
      <c r="RGW94" s="2151"/>
      <c r="RGX94" s="2151"/>
      <c r="RGY94" s="2151"/>
      <c r="RGZ94" s="2151"/>
      <c r="RHA94" s="2151"/>
      <c r="RHB94" s="2151"/>
      <c r="RHC94" s="2151"/>
      <c r="RHD94" s="2151"/>
      <c r="RHE94" s="2151"/>
      <c r="RHF94" s="2150"/>
      <c r="RHG94" s="2151"/>
      <c r="RHH94" s="2151"/>
      <c r="RHI94" s="2151"/>
      <c r="RHJ94" s="2151"/>
      <c r="RHK94" s="2151"/>
      <c r="RHL94" s="2151"/>
      <c r="RHM94" s="2151"/>
      <c r="RHN94" s="2151"/>
      <c r="RHO94" s="2151"/>
      <c r="RHP94" s="2151"/>
      <c r="RHQ94" s="2151"/>
      <c r="RHR94" s="2151"/>
      <c r="RHS94" s="2151"/>
      <c r="RHT94" s="2151"/>
      <c r="RHU94" s="2151"/>
      <c r="RHV94" s="2150"/>
      <c r="RHW94" s="2151"/>
      <c r="RHX94" s="2151"/>
      <c r="RHY94" s="2151"/>
      <c r="RHZ94" s="2151"/>
      <c r="RIA94" s="2151"/>
      <c r="RIB94" s="2151"/>
      <c r="RIC94" s="2151"/>
      <c r="RID94" s="2151"/>
      <c r="RIE94" s="2151"/>
      <c r="RIF94" s="2151"/>
      <c r="RIG94" s="2151"/>
      <c r="RIH94" s="2151"/>
      <c r="RII94" s="2151"/>
      <c r="RIJ94" s="2151"/>
      <c r="RIK94" s="2151"/>
      <c r="RIL94" s="2150"/>
      <c r="RIM94" s="2151"/>
      <c r="RIN94" s="2151"/>
      <c r="RIO94" s="2151"/>
      <c r="RIP94" s="2151"/>
      <c r="RIQ94" s="2151"/>
      <c r="RIR94" s="2151"/>
      <c r="RIS94" s="2151"/>
      <c r="RIT94" s="2151"/>
      <c r="RIU94" s="2151"/>
      <c r="RIV94" s="2151"/>
      <c r="RIW94" s="2151"/>
      <c r="RIX94" s="2151"/>
      <c r="RIY94" s="2151"/>
      <c r="RIZ94" s="2151"/>
      <c r="RJA94" s="2151"/>
      <c r="RJB94" s="2150"/>
      <c r="RJC94" s="2151"/>
      <c r="RJD94" s="2151"/>
      <c r="RJE94" s="2151"/>
      <c r="RJF94" s="2151"/>
      <c r="RJG94" s="2151"/>
      <c r="RJH94" s="2151"/>
      <c r="RJI94" s="2151"/>
      <c r="RJJ94" s="2151"/>
      <c r="RJK94" s="2151"/>
      <c r="RJL94" s="2151"/>
      <c r="RJM94" s="2151"/>
      <c r="RJN94" s="2151"/>
      <c r="RJO94" s="2151"/>
      <c r="RJP94" s="2151"/>
      <c r="RJQ94" s="2151"/>
      <c r="RJR94" s="2150"/>
      <c r="RJS94" s="2151"/>
      <c r="RJT94" s="2151"/>
      <c r="RJU94" s="2151"/>
      <c r="RJV94" s="2151"/>
      <c r="RJW94" s="2151"/>
      <c r="RJX94" s="2151"/>
      <c r="RJY94" s="2151"/>
      <c r="RJZ94" s="2151"/>
      <c r="RKA94" s="2151"/>
      <c r="RKB94" s="2151"/>
      <c r="RKC94" s="2151"/>
      <c r="RKD94" s="2151"/>
      <c r="RKE94" s="2151"/>
      <c r="RKF94" s="2151"/>
      <c r="RKG94" s="2151"/>
      <c r="RKH94" s="2150"/>
      <c r="RKI94" s="2151"/>
      <c r="RKJ94" s="2151"/>
      <c r="RKK94" s="2151"/>
      <c r="RKL94" s="2151"/>
      <c r="RKM94" s="2151"/>
      <c r="RKN94" s="2151"/>
      <c r="RKO94" s="2151"/>
      <c r="RKP94" s="2151"/>
      <c r="RKQ94" s="2151"/>
      <c r="RKR94" s="2151"/>
      <c r="RKS94" s="2151"/>
      <c r="RKT94" s="2151"/>
      <c r="RKU94" s="2151"/>
      <c r="RKV94" s="2151"/>
      <c r="RKW94" s="2151"/>
      <c r="RKX94" s="2150"/>
      <c r="RKY94" s="2151"/>
      <c r="RKZ94" s="2151"/>
      <c r="RLA94" s="2151"/>
      <c r="RLB94" s="2151"/>
      <c r="RLC94" s="2151"/>
      <c r="RLD94" s="2151"/>
      <c r="RLE94" s="2151"/>
      <c r="RLF94" s="2151"/>
      <c r="RLG94" s="2151"/>
      <c r="RLH94" s="2151"/>
      <c r="RLI94" s="2151"/>
      <c r="RLJ94" s="2151"/>
      <c r="RLK94" s="2151"/>
      <c r="RLL94" s="2151"/>
      <c r="RLM94" s="2151"/>
      <c r="RLN94" s="2150"/>
      <c r="RLO94" s="2151"/>
      <c r="RLP94" s="2151"/>
      <c r="RLQ94" s="2151"/>
      <c r="RLR94" s="2151"/>
      <c r="RLS94" s="2151"/>
      <c r="RLT94" s="2151"/>
      <c r="RLU94" s="2151"/>
      <c r="RLV94" s="2151"/>
      <c r="RLW94" s="2151"/>
      <c r="RLX94" s="2151"/>
      <c r="RLY94" s="2151"/>
      <c r="RLZ94" s="2151"/>
      <c r="RMA94" s="2151"/>
      <c r="RMB94" s="2151"/>
      <c r="RMC94" s="2151"/>
      <c r="RMD94" s="2150"/>
      <c r="RME94" s="2151"/>
      <c r="RMF94" s="2151"/>
      <c r="RMG94" s="2151"/>
      <c r="RMH94" s="2151"/>
      <c r="RMI94" s="2151"/>
      <c r="RMJ94" s="2151"/>
      <c r="RMK94" s="2151"/>
      <c r="RML94" s="2151"/>
      <c r="RMM94" s="2151"/>
      <c r="RMN94" s="2151"/>
      <c r="RMO94" s="2151"/>
      <c r="RMP94" s="2151"/>
      <c r="RMQ94" s="2151"/>
      <c r="RMR94" s="2151"/>
      <c r="RMS94" s="2151"/>
      <c r="RMT94" s="2150"/>
      <c r="RMU94" s="2151"/>
      <c r="RMV94" s="2151"/>
      <c r="RMW94" s="2151"/>
      <c r="RMX94" s="2151"/>
      <c r="RMY94" s="2151"/>
      <c r="RMZ94" s="2151"/>
      <c r="RNA94" s="2151"/>
      <c r="RNB94" s="2151"/>
      <c r="RNC94" s="2151"/>
      <c r="RND94" s="2151"/>
      <c r="RNE94" s="2151"/>
      <c r="RNF94" s="2151"/>
      <c r="RNG94" s="2151"/>
      <c r="RNH94" s="2151"/>
      <c r="RNI94" s="2151"/>
      <c r="RNJ94" s="2150"/>
      <c r="RNK94" s="2151"/>
      <c r="RNL94" s="2151"/>
      <c r="RNM94" s="2151"/>
      <c r="RNN94" s="2151"/>
      <c r="RNO94" s="2151"/>
      <c r="RNP94" s="2151"/>
      <c r="RNQ94" s="2151"/>
      <c r="RNR94" s="2151"/>
      <c r="RNS94" s="2151"/>
      <c r="RNT94" s="2151"/>
      <c r="RNU94" s="2151"/>
      <c r="RNV94" s="2151"/>
      <c r="RNW94" s="2151"/>
      <c r="RNX94" s="2151"/>
      <c r="RNY94" s="2151"/>
      <c r="RNZ94" s="2150"/>
      <c r="ROA94" s="2151"/>
      <c r="ROB94" s="2151"/>
      <c r="ROC94" s="2151"/>
      <c r="ROD94" s="2151"/>
      <c r="ROE94" s="2151"/>
      <c r="ROF94" s="2151"/>
      <c r="ROG94" s="2151"/>
      <c r="ROH94" s="2151"/>
      <c r="ROI94" s="2151"/>
      <c r="ROJ94" s="2151"/>
      <c r="ROK94" s="2151"/>
      <c r="ROL94" s="2151"/>
      <c r="ROM94" s="2151"/>
      <c r="RON94" s="2151"/>
      <c r="ROO94" s="2151"/>
      <c r="ROP94" s="2150"/>
      <c r="ROQ94" s="2151"/>
      <c r="ROR94" s="2151"/>
      <c r="ROS94" s="2151"/>
      <c r="ROT94" s="2151"/>
      <c r="ROU94" s="2151"/>
      <c r="ROV94" s="2151"/>
      <c r="ROW94" s="2151"/>
      <c r="ROX94" s="2151"/>
      <c r="ROY94" s="2151"/>
      <c r="ROZ94" s="2151"/>
      <c r="RPA94" s="2151"/>
      <c r="RPB94" s="2151"/>
      <c r="RPC94" s="2151"/>
      <c r="RPD94" s="2151"/>
      <c r="RPE94" s="2151"/>
      <c r="RPF94" s="2150"/>
      <c r="RPG94" s="2151"/>
      <c r="RPH94" s="2151"/>
      <c r="RPI94" s="2151"/>
      <c r="RPJ94" s="2151"/>
      <c r="RPK94" s="2151"/>
      <c r="RPL94" s="2151"/>
      <c r="RPM94" s="2151"/>
      <c r="RPN94" s="2151"/>
      <c r="RPO94" s="2151"/>
      <c r="RPP94" s="2151"/>
      <c r="RPQ94" s="2151"/>
      <c r="RPR94" s="2151"/>
      <c r="RPS94" s="2151"/>
      <c r="RPT94" s="2151"/>
      <c r="RPU94" s="2151"/>
      <c r="RPV94" s="2150"/>
      <c r="RPW94" s="2151"/>
      <c r="RPX94" s="2151"/>
      <c r="RPY94" s="2151"/>
      <c r="RPZ94" s="2151"/>
      <c r="RQA94" s="2151"/>
      <c r="RQB94" s="2151"/>
      <c r="RQC94" s="2151"/>
      <c r="RQD94" s="2151"/>
      <c r="RQE94" s="2151"/>
      <c r="RQF94" s="2151"/>
      <c r="RQG94" s="2151"/>
      <c r="RQH94" s="2151"/>
      <c r="RQI94" s="2151"/>
      <c r="RQJ94" s="2151"/>
      <c r="RQK94" s="2151"/>
      <c r="RQL94" s="2150"/>
      <c r="RQM94" s="2151"/>
      <c r="RQN94" s="2151"/>
      <c r="RQO94" s="2151"/>
      <c r="RQP94" s="2151"/>
      <c r="RQQ94" s="2151"/>
      <c r="RQR94" s="2151"/>
      <c r="RQS94" s="2151"/>
      <c r="RQT94" s="2151"/>
      <c r="RQU94" s="2151"/>
      <c r="RQV94" s="2151"/>
      <c r="RQW94" s="2151"/>
      <c r="RQX94" s="2151"/>
      <c r="RQY94" s="2151"/>
      <c r="RQZ94" s="2151"/>
      <c r="RRA94" s="2151"/>
      <c r="RRB94" s="2150"/>
      <c r="RRC94" s="2151"/>
      <c r="RRD94" s="2151"/>
      <c r="RRE94" s="2151"/>
      <c r="RRF94" s="2151"/>
      <c r="RRG94" s="2151"/>
      <c r="RRH94" s="2151"/>
      <c r="RRI94" s="2151"/>
      <c r="RRJ94" s="2151"/>
      <c r="RRK94" s="2151"/>
      <c r="RRL94" s="2151"/>
      <c r="RRM94" s="2151"/>
      <c r="RRN94" s="2151"/>
      <c r="RRO94" s="2151"/>
      <c r="RRP94" s="2151"/>
      <c r="RRQ94" s="2151"/>
      <c r="RRR94" s="2150"/>
      <c r="RRS94" s="2151"/>
      <c r="RRT94" s="2151"/>
      <c r="RRU94" s="2151"/>
      <c r="RRV94" s="2151"/>
      <c r="RRW94" s="2151"/>
      <c r="RRX94" s="2151"/>
      <c r="RRY94" s="2151"/>
      <c r="RRZ94" s="2151"/>
      <c r="RSA94" s="2151"/>
      <c r="RSB94" s="2151"/>
      <c r="RSC94" s="2151"/>
      <c r="RSD94" s="2151"/>
      <c r="RSE94" s="2151"/>
      <c r="RSF94" s="2151"/>
      <c r="RSG94" s="2151"/>
      <c r="RSH94" s="2150"/>
      <c r="RSI94" s="2151"/>
      <c r="RSJ94" s="2151"/>
      <c r="RSK94" s="2151"/>
      <c r="RSL94" s="2151"/>
      <c r="RSM94" s="2151"/>
      <c r="RSN94" s="2151"/>
      <c r="RSO94" s="2151"/>
      <c r="RSP94" s="2151"/>
      <c r="RSQ94" s="2151"/>
      <c r="RSR94" s="2151"/>
      <c r="RSS94" s="2151"/>
      <c r="RST94" s="2151"/>
      <c r="RSU94" s="2151"/>
      <c r="RSV94" s="2151"/>
      <c r="RSW94" s="2151"/>
      <c r="RSX94" s="2150"/>
      <c r="RSY94" s="2151"/>
      <c r="RSZ94" s="2151"/>
      <c r="RTA94" s="2151"/>
      <c r="RTB94" s="2151"/>
      <c r="RTC94" s="2151"/>
      <c r="RTD94" s="2151"/>
      <c r="RTE94" s="2151"/>
      <c r="RTF94" s="2151"/>
      <c r="RTG94" s="2151"/>
      <c r="RTH94" s="2151"/>
      <c r="RTI94" s="2151"/>
      <c r="RTJ94" s="2151"/>
      <c r="RTK94" s="2151"/>
      <c r="RTL94" s="2151"/>
      <c r="RTM94" s="2151"/>
      <c r="RTN94" s="2150"/>
      <c r="RTO94" s="2151"/>
      <c r="RTP94" s="2151"/>
      <c r="RTQ94" s="2151"/>
      <c r="RTR94" s="2151"/>
      <c r="RTS94" s="2151"/>
      <c r="RTT94" s="2151"/>
      <c r="RTU94" s="2151"/>
      <c r="RTV94" s="2151"/>
      <c r="RTW94" s="2151"/>
      <c r="RTX94" s="2151"/>
      <c r="RTY94" s="2151"/>
      <c r="RTZ94" s="2151"/>
      <c r="RUA94" s="2151"/>
      <c r="RUB94" s="2151"/>
      <c r="RUC94" s="2151"/>
      <c r="RUD94" s="2150"/>
      <c r="RUE94" s="2151"/>
      <c r="RUF94" s="2151"/>
      <c r="RUG94" s="2151"/>
      <c r="RUH94" s="2151"/>
      <c r="RUI94" s="2151"/>
      <c r="RUJ94" s="2151"/>
      <c r="RUK94" s="2151"/>
      <c r="RUL94" s="2151"/>
      <c r="RUM94" s="2151"/>
      <c r="RUN94" s="2151"/>
      <c r="RUO94" s="2151"/>
      <c r="RUP94" s="2151"/>
      <c r="RUQ94" s="2151"/>
      <c r="RUR94" s="2151"/>
      <c r="RUS94" s="2151"/>
      <c r="RUT94" s="2150"/>
      <c r="RUU94" s="2151"/>
      <c r="RUV94" s="2151"/>
      <c r="RUW94" s="2151"/>
      <c r="RUX94" s="2151"/>
      <c r="RUY94" s="2151"/>
      <c r="RUZ94" s="2151"/>
      <c r="RVA94" s="2151"/>
      <c r="RVB94" s="2151"/>
      <c r="RVC94" s="2151"/>
      <c r="RVD94" s="2151"/>
      <c r="RVE94" s="2151"/>
      <c r="RVF94" s="2151"/>
      <c r="RVG94" s="2151"/>
      <c r="RVH94" s="2151"/>
      <c r="RVI94" s="2151"/>
      <c r="RVJ94" s="2150"/>
      <c r="RVK94" s="2151"/>
      <c r="RVL94" s="2151"/>
      <c r="RVM94" s="2151"/>
      <c r="RVN94" s="2151"/>
      <c r="RVO94" s="2151"/>
      <c r="RVP94" s="2151"/>
      <c r="RVQ94" s="2151"/>
      <c r="RVR94" s="2151"/>
      <c r="RVS94" s="2151"/>
      <c r="RVT94" s="2151"/>
      <c r="RVU94" s="2151"/>
      <c r="RVV94" s="2151"/>
      <c r="RVW94" s="2151"/>
      <c r="RVX94" s="2151"/>
      <c r="RVY94" s="2151"/>
      <c r="RVZ94" s="2150"/>
      <c r="RWA94" s="2151"/>
      <c r="RWB94" s="2151"/>
      <c r="RWC94" s="2151"/>
      <c r="RWD94" s="2151"/>
      <c r="RWE94" s="2151"/>
      <c r="RWF94" s="2151"/>
      <c r="RWG94" s="2151"/>
      <c r="RWH94" s="2151"/>
      <c r="RWI94" s="2151"/>
      <c r="RWJ94" s="2151"/>
      <c r="RWK94" s="2151"/>
      <c r="RWL94" s="2151"/>
      <c r="RWM94" s="2151"/>
      <c r="RWN94" s="2151"/>
      <c r="RWO94" s="2151"/>
      <c r="RWP94" s="2150"/>
      <c r="RWQ94" s="2151"/>
      <c r="RWR94" s="2151"/>
      <c r="RWS94" s="2151"/>
      <c r="RWT94" s="2151"/>
      <c r="RWU94" s="2151"/>
      <c r="RWV94" s="2151"/>
      <c r="RWW94" s="2151"/>
      <c r="RWX94" s="2151"/>
      <c r="RWY94" s="2151"/>
      <c r="RWZ94" s="2151"/>
      <c r="RXA94" s="2151"/>
      <c r="RXB94" s="2151"/>
      <c r="RXC94" s="2151"/>
      <c r="RXD94" s="2151"/>
      <c r="RXE94" s="2151"/>
      <c r="RXF94" s="2150"/>
      <c r="RXG94" s="2151"/>
      <c r="RXH94" s="2151"/>
      <c r="RXI94" s="2151"/>
      <c r="RXJ94" s="2151"/>
      <c r="RXK94" s="2151"/>
      <c r="RXL94" s="2151"/>
      <c r="RXM94" s="2151"/>
      <c r="RXN94" s="2151"/>
      <c r="RXO94" s="2151"/>
      <c r="RXP94" s="2151"/>
      <c r="RXQ94" s="2151"/>
      <c r="RXR94" s="2151"/>
      <c r="RXS94" s="2151"/>
      <c r="RXT94" s="2151"/>
      <c r="RXU94" s="2151"/>
      <c r="RXV94" s="2150"/>
      <c r="RXW94" s="2151"/>
      <c r="RXX94" s="2151"/>
      <c r="RXY94" s="2151"/>
      <c r="RXZ94" s="2151"/>
      <c r="RYA94" s="2151"/>
      <c r="RYB94" s="2151"/>
      <c r="RYC94" s="2151"/>
      <c r="RYD94" s="2151"/>
      <c r="RYE94" s="2151"/>
      <c r="RYF94" s="2151"/>
      <c r="RYG94" s="2151"/>
      <c r="RYH94" s="2151"/>
      <c r="RYI94" s="2151"/>
      <c r="RYJ94" s="2151"/>
      <c r="RYK94" s="2151"/>
      <c r="RYL94" s="2150"/>
      <c r="RYM94" s="2151"/>
      <c r="RYN94" s="2151"/>
      <c r="RYO94" s="2151"/>
      <c r="RYP94" s="2151"/>
      <c r="RYQ94" s="2151"/>
      <c r="RYR94" s="2151"/>
      <c r="RYS94" s="2151"/>
      <c r="RYT94" s="2151"/>
      <c r="RYU94" s="2151"/>
      <c r="RYV94" s="2151"/>
      <c r="RYW94" s="2151"/>
      <c r="RYX94" s="2151"/>
      <c r="RYY94" s="2151"/>
      <c r="RYZ94" s="2151"/>
      <c r="RZA94" s="2151"/>
      <c r="RZB94" s="2150"/>
      <c r="RZC94" s="2151"/>
      <c r="RZD94" s="2151"/>
      <c r="RZE94" s="2151"/>
      <c r="RZF94" s="2151"/>
      <c r="RZG94" s="2151"/>
      <c r="RZH94" s="2151"/>
      <c r="RZI94" s="2151"/>
      <c r="RZJ94" s="2151"/>
      <c r="RZK94" s="2151"/>
      <c r="RZL94" s="2151"/>
      <c r="RZM94" s="2151"/>
      <c r="RZN94" s="2151"/>
      <c r="RZO94" s="2151"/>
      <c r="RZP94" s="2151"/>
      <c r="RZQ94" s="2151"/>
      <c r="RZR94" s="2150"/>
      <c r="RZS94" s="2151"/>
      <c r="RZT94" s="2151"/>
      <c r="RZU94" s="2151"/>
      <c r="RZV94" s="2151"/>
      <c r="RZW94" s="2151"/>
      <c r="RZX94" s="2151"/>
      <c r="RZY94" s="2151"/>
      <c r="RZZ94" s="2151"/>
      <c r="SAA94" s="2151"/>
      <c r="SAB94" s="2151"/>
      <c r="SAC94" s="2151"/>
      <c r="SAD94" s="2151"/>
      <c r="SAE94" s="2151"/>
      <c r="SAF94" s="2151"/>
      <c r="SAG94" s="2151"/>
      <c r="SAH94" s="2150"/>
      <c r="SAI94" s="2151"/>
      <c r="SAJ94" s="2151"/>
      <c r="SAK94" s="2151"/>
      <c r="SAL94" s="2151"/>
      <c r="SAM94" s="2151"/>
      <c r="SAN94" s="2151"/>
      <c r="SAO94" s="2151"/>
      <c r="SAP94" s="2151"/>
      <c r="SAQ94" s="2151"/>
      <c r="SAR94" s="2151"/>
      <c r="SAS94" s="2151"/>
      <c r="SAT94" s="2151"/>
      <c r="SAU94" s="2151"/>
      <c r="SAV94" s="2151"/>
      <c r="SAW94" s="2151"/>
      <c r="SAX94" s="2150"/>
      <c r="SAY94" s="2151"/>
      <c r="SAZ94" s="2151"/>
      <c r="SBA94" s="2151"/>
      <c r="SBB94" s="2151"/>
      <c r="SBC94" s="2151"/>
      <c r="SBD94" s="2151"/>
      <c r="SBE94" s="2151"/>
      <c r="SBF94" s="2151"/>
      <c r="SBG94" s="2151"/>
      <c r="SBH94" s="2151"/>
      <c r="SBI94" s="2151"/>
      <c r="SBJ94" s="2151"/>
      <c r="SBK94" s="2151"/>
      <c r="SBL94" s="2151"/>
      <c r="SBM94" s="2151"/>
      <c r="SBN94" s="2150"/>
      <c r="SBO94" s="2151"/>
      <c r="SBP94" s="2151"/>
      <c r="SBQ94" s="2151"/>
      <c r="SBR94" s="2151"/>
      <c r="SBS94" s="2151"/>
      <c r="SBT94" s="2151"/>
      <c r="SBU94" s="2151"/>
      <c r="SBV94" s="2151"/>
      <c r="SBW94" s="2151"/>
      <c r="SBX94" s="2151"/>
      <c r="SBY94" s="2151"/>
      <c r="SBZ94" s="2151"/>
      <c r="SCA94" s="2151"/>
      <c r="SCB94" s="2151"/>
      <c r="SCC94" s="2151"/>
      <c r="SCD94" s="2150"/>
      <c r="SCE94" s="2151"/>
      <c r="SCF94" s="2151"/>
      <c r="SCG94" s="2151"/>
      <c r="SCH94" s="2151"/>
      <c r="SCI94" s="2151"/>
      <c r="SCJ94" s="2151"/>
      <c r="SCK94" s="2151"/>
      <c r="SCL94" s="2151"/>
      <c r="SCM94" s="2151"/>
      <c r="SCN94" s="2151"/>
      <c r="SCO94" s="2151"/>
      <c r="SCP94" s="2151"/>
      <c r="SCQ94" s="2151"/>
      <c r="SCR94" s="2151"/>
      <c r="SCS94" s="2151"/>
      <c r="SCT94" s="2150"/>
      <c r="SCU94" s="2151"/>
      <c r="SCV94" s="2151"/>
      <c r="SCW94" s="2151"/>
      <c r="SCX94" s="2151"/>
      <c r="SCY94" s="2151"/>
      <c r="SCZ94" s="2151"/>
      <c r="SDA94" s="2151"/>
      <c r="SDB94" s="2151"/>
      <c r="SDC94" s="2151"/>
      <c r="SDD94" s="2151"/>
      <c r="SDE94" s="2151"/>
      <c r="SDF94" s="2151"/>
      <c r="SDG94" s="2151"/>
      <c r="SDH94" s="2151"/>
      <c r="SDI94" s="2151"/>
      <c r="SDJ94" s="2150"/>
      <c r="SDK94" s="2151"/>
      <c r="SDL94" s="2151"/>
      <c r="SDM94" s="2151"/>
      <c r="SDN94" s="2151"/>
      <c r="SDO94" s="2151"/>
      <c r="SDP94" s="2151"/>
      <c r="SDQ94" s="2151"/>
      <c r="SDR94" s="2151"/>
      <c r="SDS94" s="2151"/>
      <c r="SDT94" s="2151"/>
      <c r="SDU94" s="2151"/>
      <c r="SDV94" s="2151"/>
      <c r="SDW94" s="2151"/>
      <c r="SDX94" s="2151"/>
      <c r="SDY94" s="2151"/>
      <c r="SDZ94" s="2150"/>
      <c r="SEA94" s="2151"/>
      <c r="SEB94" s="2151"/>
      <c r="SEC94" s="2151"/>
      <c r="SED94" s="2151"/>
      <c r="SEE94" s="2151"/>
      <c r="SEF94" s="2151"/>
      <c r="SEG94" s="2151"/>
      <c r="SEH94" s="2151"/>
      <c r="SEI94" s="2151"/>
      <c r="SEJ94" s="2151"/>
      <c r="SEK94" s="2151"/>
      <c r="SEL94" s="2151"/>
      <c r="SEM94" s="2151"/>
      <c r="SEN94" s="2151"/>
      <c r="SEO94" s="2151"/>
      <c r="SEP94" s="2150"/>
      <c r="SEQ94" s="2151"/>
      <c r="SER94" s="2151"/>
      <c r="SES94" s="2151"/>
      <c r="SET94" s="2151"/>
      <c r="SEU94" s="2151"/>
      <c r="SEV94" s="2151"/>
      <c r="SEW94" s="2151"/>
      <c r="SEX94" s="2151"/>
      <c r="SEY94" s="2151"/>
      <c r="SEZ94" s="2151"/>
      <c r="SFA94" s="2151"/>
      <c r="SFB94" s="2151"/>
      <c r="SFC94" s="2151"/>
      <c r="SFD94" s="2151"/>
      <c r="SFE94" s="2151"/>
      <c r="SFF94" s="2150"/>
      <c r="SFG94" s="2151"/>
      <c r="SFH94" s="2151"/>
      <c r="SFI94" s="2151"/>
      <c r="SFJ94" s="2151"/>
      <c r="SFK94" s="2151"/>
      <c r="SFL94" s="2151"/>
      <c r="SFM94" s="2151"/>
      <c r="SFN94" s="2151"/>
      <c r="SFO94" s="2151"/>
      <c r="SFP94" s="2151"/>
      <c r="SFQ94" s="2151"/>
      <c r="SFR94" s="2151"/>
      <c r="SFS94" s="2151"/>
      <c r="SFT94" s="2151"/>
      <c r="SFU94" s="2151"/>
      <c r="SFV94" s="2150"/>
      <c r="SFW94" s="2151"/>
      <c r="SFX94" s="2151"/>
      <c r="SFY94" s="2151"/>
      <c r="SFZ94" s="2151"/>
      <c r="SGA94" s="2151"/>
      <c r="SGB94" s="2151"/>
      <c r="SGC94" s="2151"/>
      <c r="SGD94" s="2151"/>
      <c r="SGE94" s="2151"/>
      <c r="SGF94" s="2151"/>
      <c r="SGG94" s="2151"/>
      <c r="SGH94" s="2151"/>
      <c r="SGI94" s="2151"/>
      <c r="SGJ94" s="2151"/>
      <c r="SGK94" s="2151"/>
      <c r="SGL94" s="2150"/>
      <c r="SGM94" s="2151"/>
      <c r="SGN94" s="2151"/>
      <c r="SGO94" s="2151"/>
      <c r="SGP94" s="2151"/>
      <c r="SGQ94" s="2151"/>
      <c r="SGR94" s="2151"/>
      <c r="SGS94" s="2151"/>
      <c r="SGT94" s="2151"/>
      <c r="SGU94" s="2151"/>
      <c r="SGV94" s="2151"/>
      <c r="SGW94" s="2151"/>
      <c r="SGX94" s="2151"/>
      <c r="SGY94" s="2151"/>
      <c r="SGZ94" s="2151"/>
      <c r="SHA94" s="2151"/>
      <c r="SHB94" s="2150"/>
      <c r="SHC94" s="2151"/>
      <c r="SHD94" s="2151"/>
      <c r="SHE94" s="2151"/>
      <c r="SHF94" s="2151"/>
      <c r="SHG94" s="2151"/>
      <c r="SHH94" s="2151"/>
      <c r="SHI94" s="2151"/>
      <c r="SHJ94" s="2151"/>
      <c r="SHK94" s="2151"/>
      <c r="SHL94" s="2151"/>
      <c r="SHM94" s="2151"/>
      <c r="SHN94" s="2151"/>
      <c r="SHO94" s="2151"/>
      <c r="SHP94" s="2151"/>
      <c r="SHQ94" s="2151"/>
      <c r="SHR94" s="2150"/>
      <c r="SHS94" s="2151"/>
      <c r="SHT94" s="2151"/>
      <c r="SHU94" s="2151"/>
      <c r="SHV94" s="2151"/>
      <c r="SHW94" s="2151"/>
      <c r="SHX94" s="2151"/>
      <c r="SHY94" s="2151"/>
      <c r="SHZ94" s="2151"/>
      <c r="SIA94" s="2151"/>
      <c r="SIB94" s="2151"/>
      <c r="SIC94" s="2151"/>
      <c r="SID94" s="2151"/>
      <c r="SIE94" s="2151"/>
      <c r="SIF94" s="2151"/>
      <c r="SIG94" s="2151"/>
      <c r="SIH94" s="2150"/>
      <c r="SII94" s="2151"/>
      <c r="SIJ94" s="2151"/>
      <c r="SIK94" s="2151"/>
      <c r="SIL94" s="2151"/>
      <c r="SIM94" s="2151"/>
      <c r="SIN94" s="2151"/>
      <c r="SIO94" s="2151"/>
      <c r="SIP94" s="2151"/>
      <c r="SIQ94" s="2151"/>
      <c r="SIR94" s="2151"/>
      <c r="SIS94" s="2151"/>
      <c r="SIT94" s="2151"/>
      <c r="SIU94" s="2151"/>
      <c r="SIV94" s="2151"/>
      <c r="SIW94" s="2151"/>
      <c r="SIX94" s="2150"/>
      <c r="SIY94" s="2151"/>
      <c r="SIZ94" s="2151"/>
      <c r="SJA94" s="2151"/>
      <c r="SJB94" s="2151"/>
      <c r="SJC94" s="2151"/>
      <c r="SJD94" s="2151"/>
      <c r="SJE94" s="2151"/>
      <c r="SJF94" s="2151"/>
      <c r="SJG94" s="2151"/>
      <c r="SJH94" s="2151"/>
      <c r="SJI94" s="2151"/>
      <c r="SJJ94" s="2151"/>
      <c r="SJK94" s="2151"/>
      <c r="SJL94" s="2151"/>
      <c r="SJM94" s="2151"/>
      <c r="SJN94" s="2150"/>
      <c r="SJO94" s="2151"/>
      <c r="SJP94" s="2151"/>
      <c r="SJQ94" s="2151"/>
      <c r="SJR94" s="2151"/>
      <c r="SJS94" s="2151"/>
      <c r="SJT94" s="2151"/>
      <c r="SJU94" s="2151"/>
      <c r="SJV94" s="2151"/>
      <c r="SJW94" s="2151"/>
      <c r="SJX94" s="2151"/>
      <c r="SJY94" s="2151"/>
      <c r="SJZ94" s="2151"/>
      <c r="SKA94" s="2151"/>
      <c r="SKB94" s="2151"/>
      <c r="SKC94" s="2151"/>
      <c r="SKD94" s="2150"/>
      <c r="SKE94" s="2151"/>
      <c r="SKF94" s="2151"/>
      <c r="SKG94" s="2151"/>
      <c r="SKH94" s="2151"/>
      <c r="SKI94" s="2151"/>
      <c r="SKJ94" s="2151"/>
      <c r="SKK94" s="2151"/>
      <c r="SKL94" s="2151"/>
      <c r="SKM94" s="2151"/>
      <c r="SKN94" s="2151"/>
      <c r="SKO94" s="2151"/>
      <c r="SKP94" s="2151"/>
      <c r="SKQ94" s="2151"/>
      <c r="SKR94" s="2151"/>
      <c r="SKS94" s="2151"/>
      <c r="SKT94" s="2150"/>
      <c r="SKU94" s="2151"/>
      <c r="SKV94" s="2151"/>
      <c r="SKW94" s="2151"/>
      <c r="SKX94" s="2151"/>
      <c r="SKY94" s="2151"/>
      <c r="SKZ94" s="2151"/>
      <c r="SLA94" s="2151"/>
      <c r="SLB94" s="2151"/>
      <c r="SLC94" s="2151"/>
      <c r="SLD94" s="2151"/>
      <c r="SLE94" s="2151"/>
      <c r="SLF94" s="2151"/>
      <c r="SLG94" s="2151"/>
      <c r="SLH94" s="2151"/>
      <c r="SLI94" s="2151"/>
      <c r="SLJ94" s="2150"/>
      <c r="SLK94" s="2151"/>
      <c r="SLL94" s="2151"/>
      <c r="SLM94" s="2151"/>
      <c r="SLN94" s="2151"/>
      <c r="SLO94" s="2151"/>
      <c r="SLP94" s="2151"/>
      <c r="SLQ94" s="2151"/>
      <c r="SLR94" s="2151"/>
      <c r="SLS94" s="2151"/>
      <c r="SLT94" s="2151"/>
      <c r="SLU94" s="2151"/>
      <c r="SLV94" s="2151"/>
      <c r="SLW94" s="2151"/>
      <c r="SLX94" s="2151"/>
      <c r="SLY94" s="2151"/>
      <c r="SLZ94" s="2150"/>
      <c r="SMA94" s="2151"/>
      <c r="SMB94" s="2151"/>
      <c r="SMC94" s="2151"/>
      <c r="SMD94" s="2151"/>
      <c r="SME94" s="2151"/>
      <c r="SMF94" s="2151"/>
      <c r="SMG94" s="2151"/>
      <c r="SMH94" s="2151"/>
      <c r="SMI94" s="2151"/>
      <c r="SMJ94" s="2151"/>
      <c r="SMK94" s="2151"/>
      <c r="SML94" s="2151"/>
      <c r="SMM94" s="2151"/>
      <c r="SMN94" s="2151"/>
      <c r="SMO94" s="2151"/>
      <c r="SMP94" s="2150"/>
      <c r="SMQ94" s="2151"/>
      <c r="SMR94" s="2151"/>
      <c r="SMS94" s="2151"/>
      <c r="SMT94" s="2151"/>
      <c r="SMU94" s="2151"/>
      <c r="SMV94" s="2151"/>
      <c r="SMW94" s="2151"/>
      <c r="SMX94" s="2151"/>
      <c r="SMY94" s="2151"/>
      <c r="SMZ94" s="2151"/>
      <c r="SNA94" s="2151"/>
      <c r="SNB94" s="2151"/>
      <c r="SNC94" s="2151"/>
      <c r="SND94" s="2151"/>
      <c r="SNE94" s="2151"/>
      <c r="SNF94" s="2150"/>
      <c r="SNG94" s="2151"/>
      <c r="SNH94" s="2151"/>
      <c r="SNI94" s="2151"/>
      <c r="SNJ94" s="2151"/>
      <c r="SNK94" s="2151"/>
      <c r="SNL94" s="2151"/>
      <c r="SNM94" s="2151"/>
      <c r="SNN94" s="2151"/>
      <c r="SNO94" s="2151"/>
      <c r="SNP94" s="2151"/>
      <c r="SNQ94" s="2151"/>
      <c r="SNR94" s="2151"/>
      <c r="SNS94" s="2151"/>
      <c r="SNT94" s="2151"/>
      <c r="SNU94" s="2151"/>
      <c r="SNV94" s="2150"/>
      <c r="SNW94" s="2151"/>
      <c r="SNX94" s="2151"/>
      <c r="SNY94" s="2151"/>
      <c r="SNZ94" s="2151"/>
      <c r="SOA94" s="2151"/>
      <c r="SOB94" s="2151"/>
      <c r="SOC94" s="2151"/>
      <c r="SOD94" s="2151"/>
      <c r="SOE94" s="2151"/>
      <c r="SOF94" s="2151"/>
      <c r="SOG94" s="2151"/>
      <c r="SOH94" s="2151"/>
      <c r="SOI94" s="2151"/>
      <c r="SOJ94" s="2151"/>
      <c r="SOK94" s="2151"/>
      <c r="SOL94" s="2150"/>
      <c r="SOM94" s="2151"/>
      <c r="SON94" s="2151"/>
      <c r="SOO94" s="2151"/>
      <c r="SOP94" s="2151"/>
      <c r="SOQ94" s="2151"/>
      <c r="SOR94" s="2151"/>
      <c r="SOS94" s="2151"/>
      <c r="SOT94" s="2151"/>
      <c r="SOU94" s="2151"/>
      <c r="SOV94" s="2151"/>
      <c r="SOW94" s="2151"/>
      <c r="SOX94" s="2151"/>
      <c r="SOY94" s="2151"/>
      <c r="SOZ94" s="2151"/>
      <c r="SPA94" s="2151"/>
      <c r="SPB94" s="2150"/>
      <c r="SPC94" s="2151"/>
      <c r="SPD94" s="2151"/>
      <c r="SPE94" s="2151"/>
      <c r="SPF94" s="2151"/>
      <c r="SPG94" s="2151"/>
      <c r="SPH94" s="2151"/>
      <c r="SPI94" s="2151"/>
      <c r="SPJ94" s="2151"/>
      <c r="SPK94" s="2151"/>
      <c r="SPL94" s="2151"/>
      <c r="SPM94" s="2151"/>
      <c r="SPN94" s="2151"/>
      <c r="SPO94" s="2151"/>
      <c r="SPP94" s="2151"/>
      <c r="SPQ94" s="2151"/>
      <c r="SPR94" s="2150"/>
      <c r="SPS94" s="2151"/>
      <c r="SPT94" s="2151"/>
      <c r="SPU94" s="2151"/>
      <c r="SPV94" s="2151"/>
      <c r="SPW94" s="2151"/>
      <c r="SPX94" s="2151"/>
      <c r="SPY94" s="2151"/>
      <c r="SPZ94" s="2151"/>
      <c r="SQA94" s="2151"/>
      <c r="SQB94" s="2151"/>
      <c r="SQC94" s="2151"/>
      <c r="SQD94" s="2151"/>
      <c r="SQE94" s="2151"/>
      <c r="SQF94" s="2151"/>
      <c r="SQG94" s="2151"/>
      <c r="SQH94" s="2150"/>
      <c r="SQI94" s="2151"/>
      <c r="SQJ94" s="2151"/>
      <c r="SQK94" s="2151"/>
      <c r="SQL94" s="2151"/>
      <c r="SQM94" s="2151"/>
      <c r="SQN94" s="2151"/>
      <c r="SQO94" s="2151"/>
      <c r="SQP94" s="2151"/>
      <c r="SQQ94" s="2151"/>
      <c r="SQR94" s="2151"/>
      <c r="SQS94" s="2151"/>
      <c r="SQT94" s="2151"/>
      <c r="SQU94" s="2151"/>
      <c r="SQV94" s="2151"/>
      <c r="SQW94" s="2151"/>
      <c r="SQX94" s="2150"/>
      <c r="SQY94" s="2151"/>
      <c r="SQZ94" s="2151"/>
      <c r="SRA94" s="2151"/>
      <c r="SRB94" s="2151"/>
      <c r="SRC94" s="2151"/>
      <c r="SRD94" s="2151"/>
      <c r="SRE94" s="2151"/>
      <c r="SRF94" s="2151"/>
      <c r="SRG94" s="2151"/>
      <c r="SRH94" s="2151"/>
      <c r="SRI94" s="2151"/>
      <c r="SRJ94" s="2151"/>
      <c r="SRK94" s="2151"/>
      <c r="SRL94" s="2151"/>
      <c r="SRM94" s="2151"/>
      <c r="SRN94" s="2150"/>
      <c r="SRO94" s="2151"/>
      <c r="SRP94" s="2151"/>
      <c r="SRQ94" s="2151"/>
      <c r="SRR94" s="2151"/>
      <c r="SRS94" s="2151"/>
      <c r="SRT94" s="2151"/>
      <c r="SRU94" s="2151"/>
      <c r="SRV94" s="2151"/>
      <c r="SRW94" s="2151"/>
      <c r="SRX94" s="2151"/>
      <c r="SRY94" s="2151"/>
      <c r="SRZ94" s="2151"/>
      <c r="SSA94" s="2151"/>
      <c r="SSB94" s="2151"/>
      <c r="SSC94" s="2151"/>
      <c r="SSD94" s="2150"/>
      <c r="SSE94" s="2151"/>
      <c r="SSF94" s="2151"/>
      <c r="SSG94" s="2151"/>
      <c r="SSH94" s="2151"/>
      <c r="SSI94" s="2151"/>
      <c r="SSJ94" s="2151"/>
      <c r="SSK94" s="2151"/>
      <c r="SSL94" s="2151"/>
      <c r="SSM94" s="2151"/>
      <c r="SSN94" s="2151"/>
      <c r="SSO94" s="2151"/>
      <c r="SSP94" s="2151"/>
      <c r="SSQ94" s="2151"/>
      <c r="SSR94" s="2151"/>
      <c r="SSS94" s="2151"/>
      <c r="SST94" s="2150"/>
      <c r="SSU94" s="2151"/>
      <c r="SSV94" s="2151"/>
      <c r="SSW94" s="2151"/>
      <c r="SSX94" s="2151"/>
      <c r="SSY94" s="2151"/>
      <c r="SSZ94" s="2151"/>
      <c r="STA94" s="2151"/>
      <c r="STB94" s="2151"/>
      <c r="STC94" s="2151"/>
      <c r="STD94" s="2151"/>
      <c r="STE94" s="2151"/>
      <c r="STF94" s="2151"/>
      <c r="STG94" s="2151"/>
      <c r="STH94" s="2151"/>
      <c r="STI94" s="2151"/>
      <c r="STJ94" s="2150"/>
      <c r="STK94" s="2151"/>
      <c r="STL94" s="2151"/>
      <c r="STM94" s="2151"/>
      <c r="STN94" s="2151"/>
      <c r="STO94" s="2151"/>
      <c r="STP94" s="2151"/>
      <c r="STQ94" s="2151"/>
      <c r="STR94" s="2151"/>
      <c r="STS94" s="2151"/>
      <c r="STT94" s="2151"/>
      <c r="STU94" s="2151"/>
      <c r="STV94" s="2151"/>
      <c r="STW94" s="2151"/>
      <c r="STX94" s="2151"/>
      <c r="STY94" s="2151"/>
      <c r="STZ94" s="2150"/>
      <c r="SUA94" s="2151"/>
      <c r="SUB94" s="2151"/>
      <c r="SUC94" s="2151"/>
      <c r="SUD94" s="2151"/>
      <c r="SUE94" s="2151"/>
      <c r="SUF94" s="2151"/>
      <c r="SUG94" s="2151"/>
      <c r="SUH94" s="2151"/>
      <c r="SUI94" s="2151"/>
      <c r="SUJ94" s="2151"/>
      <c r="SUK94" s="2151"/>
      <c r="SUL94" s="2151"/>
      <c r="SUM94" s="2151"/>
      <c r="SUN94" s="2151"/>
      <c r="SUO94" s="2151"/>
      <c r="SUP94" s="2150"/>
      <c r="SUQ94" s="2151"/>
      <c r="SUR94" s="2151"/>
      <c r="SUS94" s="2151"/>
      <c r="SUT94" s="2151"/>
      <c r="SUU94" s="2151"/>
      <c r="SUV94" s="2151"/>
      <c r="SUW94" s="2151"/>
      <c r="SUX94" s="2151"/>
      <c r="SUY94" s="2151"/>
      <c r="SUZ94" s="2151"/>
      <c r="SVA94" s="2151"/>
      <c r="SVB94" s="2151"/>
      <c r="SVC94" s="2151"/>
      <c r="SVD94" s="2151"/>
      <c r="SVE94" s="2151"/>
      <c r="SVF94" s="2150"/>
      <c r="SVG94" s="2151"/>
      <c r="SVH94" s="2151"/>
      <c r="SVI94" s="2151"/>
      <c r="SVJ94" s="2151"/>
      <c r="SVK94" s="2151"/>
      <c r="SVL94" s="2151"/>
      <c r="SVM94" s="2151"/>
      <c r="SVN94" s="2151"/>
      <c r="SVO94" s="2151"/>
      <c r="SVP94" s="2151"/>
      <c r="SVQ94" s="2151"/>
      <c r="SVR94" s="2151"/>
      <c r="SVS94" s="2151"/>
      <c r="SVT94" s="2151"/>
      <c r="SVU94" s="2151"/>
      <c r="SVV94" s="2150"/>
      <c r="SVW94" s="2151"/>
      <c r="SVX94" s="2151"/>
      <c r="SVY94" s="2151"/>
      <c r="SVZ94" s="2151"/>
      <c r="SWA94" s="2151"/>
      <c r="SWB94" s="2151"/>
      <c r="SWC94" s="2151"/>
      <c r="SWD94" s="2151"/>
      <c r="SWE94" s="2151"/>
      <c r="SWF94" s="2151"/>
      <c r="SWG94" s="2151"/>
      <c r="SWH94" s="2151"/>
      <c r="SWI94" s="2151"/>
      <c r="SWJ94" s="2151"/>
      <c r="SWK94" s="2151"/>
      <c r="SWL94" s="2150"/>
      <c r="SWM94" s="2151"/>
      <c r="SWN94" s="2151"/>
      <c r="SWO94" s="2151"/>
      <c r="SWP94" s="2151"/>
      <c r="SWQ94" s="2151"/>
      <c r="SWR94" s="2151"/>
      <c r="SWS94" s="2151"/>
      <c r="SWT94" s="2151"/>
      <c r="SWU94" s="2151"/>
      <c r="SWV94" s="2151"/>
      <c r="SWW94" s="2151"/>
      <c r="SWX94" s="2151"/>
      <c r="SWY94" s="2151"/>
      <c r="SWZ94" s="2151"/>
      <c r="SXA94" s="2151"/>
      <c r="SXB94" s="2150"/>
      <c r="SXC94" s="2151"/>
      <c r="SXD94" s="2151"/>
      <c r="SXE94" s="2151"/>
      <c r="SXF94" s="2151"/>
      <c r="SXG94" s="2151"/>
      <c r="SXH94" s="2151"/>
      <c r="SXI94" s="2151"/>
      <c r="SXJ94" s="2151"/>
      <c r="SXK94" s="2151"/>
      <c r="SXL94" s="2151"/>
      <c r="SXM94" s="2151"/>
      <c r="SXN94" s="2151"/>
      <c r="SXO94" s="2151"/>
      <c r="SXP94" s="2151"/>
      <c r="SXQ94" s="2151"/>
      <c r="SXR94" s="2150"/>
      <c r="SXS94" s="2151"/>
      <c r="SXT94" s="2151"/>
      <c r="SXU94" s="2151"/>
      <c r="SXV94" s="2151"/>
      <c r="SXW94" s="2151"/>
      <c r="SXX94" s="2151"/>
      <c r="SXY94" s="2151"/>
      <c r="SXZ94" s="2151"/>
      <c r="SYA94" s="2151"/>
      <c r="SYB94" s="2151"/>
      <c r="SYC94" s="2151"/>
      <c r="SYD94" s="2151"/>
      <c r="SYE94" s="2151"/>
      <c r="SYF94" s="2151"/>
      <c r="SYG94" s="2151"/>
      <c r="SYH94" s="2150"/>
      <c r="SYI94" s="2151"/>
      <c r="SYJ94" s="2151"/>
      <c r="SYK94" s="2151"/>
      <c r="SYL94" s="2151"/>
      <c r="SYM94" s="2151"/>
      <c r="SYN94" s="2151"/>
      <c r="SYO94" s="2151"/>
      <c r="SYP94" s="2151"/>
      <c r="SYQ94" s="2151"/>
      <c r="SYR94" s="2151"/>
      <c r="SYS94" s="2151"/>
      <c r="SYT94" s="2151"/>
      <c r="SYU94" s="2151"/>
      <c r="SYV94" s="2151"/>
      <c r="SYW94" s="2151"/>
      <c r="SYX94" s="2150"/>
      <c r="SYY94" s="2151"/>
      <c r="SYZ94" s="2151"/>
      <c r="SZA94" s="2151"/>
      <c r="SZB94" s="2151"/>
      <c r="SZC94" s="2151"/>
      <c r="SZD94" s="2151"/>
      <c r="SZE94" s="2151"/>
      <c r="SZF94" s="2151"/>
      <c r="SZG94" s="2151"/>
      <c r="SZH94" s="2151"/>
      <c r="SZI94" s="2151"/>
      <c r="SZJ94" s="2151"/>
      <c r="SZK94" s="2151"/>
      <c r="SZL94" s="2151"/>
      <c r="SZM94" s="2151"/>
      <c r="SZN94" s="2150"/>
      <c r="SZO94" s="2151"/>
      <c r="SZP94" s="2151"/>
      <c r="SZQ94" s="2151"/>
      <c r="SZR94" s="2151"/>
      <c r="SZS94" s="2151"/>
      <c r="SZT94" s="2151"/>
      <c r="SZU94" s="2151"/>
      <c r="SZV94" s="2151"/>
      <c r="SZW94" s="2151"/>
      <c r="SZX94" s="2151"/>
      <c r="SZY94" s="2151"/>
      <c r="SZZ94" s="2151"/>
      <c r="TAA94" s="2151"/>
      <c r="TAB94" s="2151"/>
      <c r="TAC94" s="2151"/>
      <c r="TAD94" s="2150"/>
      <c r="TAE94" s="2151"/>
      <c r="TAF94" s="2151"/>
      <c r="TAG94" s="2151"/>
      <c r="TAH94" s="2151"/>
      <c r="TAI94" s="2151"/>
      <c r="TAJ94" s="2151"/>
      <c r="TAK94" s="2151"/>
      <c r="TAL94" s="2151"/>
      <c r="TAM94" s="2151"/>
      <c r="TAN94" s="2151"/>
      <c r="TAO94" s="2151"/>
      <c r="TAP94" s="2151"/>
      <c r="TAQ94" s="2151"/>
      <c r="TAR94" s="2151"/>
      <c r="TAS94" s="2151"/>
      <c r="TAT94" s="2150"/>
      <c r="TAU94" s="2151"/>
      <c r="TAV94" s="2151"/>
      <c r="TAW94" s="2151"/>
      <c r="TAX94" s="2151"/>
      <c r="TAY94" s="2151"/>
      <c r="TAZ94" s="2151"/>
      <c r="TBA94" s="2151"/>
      <c r="TBB94" s="2151"/>
      <c r="TBC94" s="2151"/>
      <c r="TBD94" s="2151"/>
      <c r="TBE94" s="2151"/>
      <c r="TBF94" s="2151"/>
      <c r="TBG94" s="2151"/>
      <c r="TBH94" s="2151"/>
      <c r="TBI94" s="2151"/>
      <c r="TBJ94" s="2150"/>
      <c r="TBK94" s="2151"/>
      <c r="TBL94" s="2151"/>
      <c r="TBM94" s="2151"/>
      <c r="TBN94" s="2151"/>
      <c r="TBO94" s="2151"/>
      <c r="TBP94" s="2151"/>
      <c r="TBQ94" s="2151"/>
      <c r="TBR94" s="2151"/>
      <c r="TBS94" s="2151"/>
      <c r="TBT94" s="2151"/>
      <c r="TBU94" s="2151"/>
      <c r="TBV94" s="2151"/>
      <c r="TBW94" s="2151"/>
      <c r="TBX94" s="2151"/>
      <c r="TBY94" s="2151"/>
      <c r="TBZ94" s="2150"/>
      <c r="TCA94" s="2151"/>
      <c r="TCB94" s="2151"/>
      <c r="TCC94" s="2151"/>
      <c r="TCD94" s="2151"/>
      <c r="TCE94" s="2151"/>
      <c r="TCF94" s="2151"/>
      <c r="TCG94" s="2151"/>
      <c r="TCH94" s="2151"/>
      <c r="TCI94" s="2151"/>
      <c r="TCJ94" s="2151"/>
      <c r="TCK94" s="2151"/>
      <c r="TCL94" s="2151"/>
      <c r="TCM94" s="2151"/>
      <c r="TCN94" s="2151"/>
      <c r="TCO94" s="2151"/>
      <c r="TCP94" s="2150"/>
      <c r="TCQ94" s="2151"/>
      <c r="TCR94" s="2151"/>
      <c r="TCS94" s="2151"/>
      <c r="TCT94" s="2151"/>
      <c r="TCU94" s="2151"/>
      <c r="TCV94" s="2151"/>
      <c r="TCW94" s="2151"/>
      <c r="TCX94" s="2151"/>
      <c r="TCY94" s="2151"/>
      <c r="TCZ94" s="2151"/>
      <c r="TDA94" s="2151"/>
      <c r="TDB94" s="2151"/>
      <c r="TDC94" s="2151"/>
      <c r="TDD94" s="2151"/>
      <c r="TDE94" s="2151"/>
      <c r="TDF94" s="2150"/>
      <c r="TDG94" s="2151"/>
      <c r="TDH94" s="2151"/>
      <c r="TDI94" s="2151"/>
      <c r="TDJ94" s="2151"/>
      <c r="TDK94" s="2151"/>
      <c r="TDL94" s="2151"/>
      <c r="TDM94" s="2151"/>
      <c r="TDN94" s="2151"/>
      <c r="TDO94" s="2151"/>
      <c r="TDP94" s="2151"/>
      <c r="TDQ94" s="2151"/>
      <c r="TDR94" s="2151"/>
      <c r="TDS94" s="2151"/>
      <c r="TDT94" s="2151"/>
      <c r="TDU94" s="2151"/>
      <c r="TDV94" s="2150"/>
      <c r="TDW94" s="2151"/>
      <c r="TDX94" s="2151"/>
      <c r="TDY94" s="2151"/>
      <c r="TDZ94" s="2151"/>
      <c r="TEA94" s="2151"/>
      <c r="TEB94" s="2151"/>
      <c r="TEC94" s="2151"/>
      <c r="TED94" s="2151"/>
      <c r="TEE94" s="2151"/>
      <c r="TEF94" s="2151"/>
      <c r="TEG94" s="2151"/>
      <c r="TEH94" s="2151"/>
      <c r="TEI94" s="2151"/>
      <c r="TEJ94" s="2151"/>
      <c r="TEK94" s="2151"/>
      <c r="TEL94" s="2150"/>
      <c r="TEM94" s="2151"/>
      <c r="TEN94" s="2151"/>
      <c r="TEO94" s="2151"/>
      <c r="TEP94" s="2151"/>
      <c r="TEQ94" s="2151"/>
      <c r="TER94" s="2151"/>
      <c r="TES94" s="2151"/>
      <c r="TET94" s="2151"/>
      <c r="TEU94" s="2151"/>
      <c r="TEV94" s="2151"/>
      <c r="TEW94" s="2151"/>
      <c r="TEX94" s="2151"/>
      <c r="TEY94" s="2151"/>
      <c r="TEZ94" s="2151"/>
      <c r="TFA94" s="2151"/>
      <c r="TFB94" s="2150"/>
      <c r="TFC94" s="2151"/>
      <c r="TFD94" s="2151"/>
      <c r="TFE94" s="2151"/>
      <c r="TFF94" s="2151"/>
      <c r="TFG94" s="2151"/>
      <c r="TFH94" s="2151"/>
      <c r="TFI94" s="2151"/>
      <c r="TFJ94" s="2151"/>
      <c r="TFK94" s="2151"/>
      <c r="TFL94" s="2151"/>
      <c r="TFM94" s="2151"/>
      <c r="TFN94" s="2151"/>
      <c r="TFO94" s="2151"/>
      <c r="TFP94" s="2151"/>
      <c r="TFQ94" s="2151"/>
      <c r="TFR94" s="2150"/>
      <c r="TFS94" s="2151"/>
      <c r="TFT94" s="2151"/>
      <c r="TFU94" s="2151"/>
      <c r="TFV94" s="2151"/>
      <c r="TFW94" s="2151"/>
      <c r="TFX94" s="2151"/>
      <c r="TFY94" s="2151"/>
      <c r="TFZ94" s="2151"/>
      <c r="TGA94" s="2151"/>
      <c r="TGB94" s="2151"/>
      <c r="TGC94" s="2151"/>
      <c r="TGD94" s="2151"/>
      <c r="TGE94" s="2151"/>
      <c r="TGF94" s="2151"/>
      <c r="TGG94" s="2151"/>
      <c r="TGH94" s="2150"/>
      <c r="TGI94" s="2151"/>
      <c r="TGJ94" s="2151"/>
      <c r="TGK94" s="2151"/>
      <c r="TGL94" s="2151"/>
      <c r="TGM94" s="2151"/>
      <c r="TGN94" s="2151"/>
      <c r="TGO94" s="2151"/>
      <c r="TGP94" s="2151"/>
      <c r="TGQ94" s="2151"/>
      <c r="TGR94" s="2151"/>
      <c r="TGS94" s="2151"/>
      <c r="TGT94" s="2151"/>
      <c r="TGU94" s="2151"/>
      <c r="TGV94" s="2151"/>
      <c r="TGW94" s="2151"/>
      <c r="TGX94" s="2150"/>
      <c r="TGY94" s="2151"/>
      <c r="TGZ94" s="2151"/>
      <c r="THA94" s="2151"/>
      <c r="THB94" s="2151"/>
      <c r="THC94" s="2151"/>
      <c r="THD94" s="2151"/>
      <c r="THE94" s="2151"/>
      <c r="THF94" s="2151"/>
      <c r="THG94" s="2151"/>
      <c r="THH94" s="2151"/>
      <c r="THI94" s="2151"/>
      <c r="THJ94" s="2151"/>
      <c r="THK94" s="2151"/>
      <c r="THL94" s="2151"/>
      <c r="THM94" s="2151"/>
      <c r="THN94" s="2150"/>
      <c r="THO94" s="2151"/>
      <c r="THP94" s="2151"/>
      <c r="THQ94" s="2151"/>
      <c r="THR94" s="2151"/>
      <c r="THS94" s="2151"/>
      <c r="THT94" s="2151"/>
      <c r="THU94" s="2151"/>
      <c r="THV94" s="2151"/>
      <c r="THW94" s="2151"/>
      <c r="THX94" s="2151"/>
      <c r="THY94" s="2151"/>
      <c r="THZ94" s="2151"/>
      <c r="TIA94" s="2151"/>
      <c r="TIB94" s="2151"/>
      <c r="TIC94" s="2151"/>
      <c r="TID94" s="2150"/>
      <c r="TIE94" s="2151"/>
      <c r="TIF94" s="2151"/>
      <c r="TIG94" s="2151"/>
      <c r="TIH94" s="2151"/>
      <c r="TII94" s="2151"/>
      <c r="TIJ94" s="2151"/>
      <c r="TIK94" s="2151"/>
      <c r="TIL94" s="2151"/>
      <c r="TIM94" s="2151"/>
      <c r="TIN94" s="2151"/>
      <c r="TIO94" s="2151"/>
      <c r="TIP94" s="2151"/>
      <c r="TIQ94" s="2151"/>
      <c r="TIR94" s="2151"/>
      <c r="TIS94" s="2151"/>
      <c r="TIT94" s="2150"/>
      <c r="TIU94" s="2151"/>
      <c r="TIV94" s="2151"/>
      <c r="TIW94" s="2151"/>
      <c r="TIX94" s="2151"/>
      <c r="TIY94" s="2151"/>
      <c r="TIZ94" s="2151"/>
      <c r="TJA94" s="2151"/>
      <c r="TJB94" s="2151"/>
      <c r="TJC94" s="2151"/>
      <c r="TJD94" s="2151"/>
      <c r="TJE94" s="2151"/>
      <c r="TJF94" s="2151"/>
      <c r="TJG94" s="2151"/>
      <c r="TJH94" s="2151"/>
      <c r="TJI94" s="2151"/>
      <c r="TJJ94" s="2150"/>
      <c r="TJK94" s="2151"/>
      <c r="TJL94" s="2151"/>
      <c r="TJM94" s="2151"/>
      <c r="TJN94" s="2151"/>
      <c r="TJO94" s="2151"/>
      <c r="TJP94" s="2151"/>
      <c r="TJQ94" s="2151"/>
      <c r="TJR94" s="2151"/>
      <c r="TJS94" s="2151"/>
      <c r="TJT94" s="2151"/>
      <c r="TJU94" s="2151"/>
      <c r="TJV94" s="2151"/>
      <c r="TJW94" s="2151"/>
      <c r="TJX94" s="2151"/>
      <c r="TJY94" s="2151"/>
      <c r="TJZ94" s="2150"/>
      <c r="TKA94" s="2151"/>
      <c r="TKB94" s="2151"/>
      <c r="TKC94" s="2151"/>
      <c r="TKD94" s="2151"/>
      <c r="TKE94" s="2151"/>
      <c r="TKF94" s="2151"/>
      <c r="TKG94" s="2151"/>
      <c r="TKH94" s="2151"/>
      <c r="TKI94" s="2151"/>
      <c r="TKJ94" s="2151"/>
      <c r="TKK94" s="2151"/>
      <c r="TKL94" s="2151"/>
      <c r="TKM94" s="2151"/>
      <c r="TKN94" s="2151"/>
      <c r="TKO94" s="2151"/>
      <c r="TKP94" s="2150"/>
      <c r="TKQ94" s="2151"/>
      <c r="TKR94" s="2151"/>
      <c r="TKS94" s="2151"/>
      <c r="TKT94" s="2151"/>
      <c r="TKU94" s="2151"/>
      <c r="TKV94" s="2151"/>
      <c r="TKW94" s="2151"/>
      <c r="TKX94" s="2151"/>
      <c r="TKY94" s="2151"/>
      <c r="TKZ94" s="2151"/>
      <c r="TLA94" s="2151"/>
      <c r="TLB94" s="2151"/>
      <c r="TLC94" s="2151"/>
      <c r="TLD94" s="2151"/>
      <c r="TLE94" s="2151"/>
      <c r="TLF94" s="2150"/>
      <c r="TLG94" s="2151"/>
      <c r="TLH94" s="2151"/>
      <c r="TLI94" s="2151"/>
      <c r="TLJ94" s="2151"/>
      <c r="TLK94" s="2151"/>
      <c r="TLL94" s="2151"/>
      <c r="TLM94" s="2151"/>
      <c r="TLN94" s="2151"/>
      <c r="TLO94" s="2151"/>
      <c r="TLP94" s="2151"/>
      <c r="TLQ94" s="2151"/>
      <c r="TLR94" s="2151"/>
      <c r="TLS94" s="2151"/>
      <c r="TLT94" s="2151"/>
      <c r="TLU94" s="2151"/>
      <c r="TLV94" s="2150"/>
      <c r="TLW94" s="2151"/>
      <c r="TLX94" s="2151"/>
      <c r="TLY94" s="2151"/>
      <c r="TLZ94" s="2151"/>
      <c r="TMA94" s="2151"/>
      <c r="TMB94" s="2151"/>
      <c r="TMC94" s="2151"/>
      <c r="TMD94" s="2151"/>
      <c r="TME94" s="2151"/>
      <c r="TMF94" s="2151"/>
      <c r="TMG94" s="2151"/>
      <c r="TMH94" s="2151"/>
      <c r="TMI94" s="2151"/>
      <c r="TMJ94" s="2151"/>
      <c r="TMK94" s="2151"/>
      <c r="TML94" s="2150"/>
      <c r="TMM94" s="2151"/>
      <c r="TMN94" s="2151"/>
      <c r="TMO94" s="2151"/>
      <c r="TMP94" s="2151"/>
      <c r="TMQ94" s="2151"/>
      <c r="TMR94" s="2151"/>
      <c r="TMS94" s="2151"/>
      <c r="TMT94" s="2151"/>
      <c r="TMU94" s="2151"/>
      <c r="TMV94" s="2151"/>
      <c r="TMW94" s="2151"/>
      <c r="TMX94" s="2151"/>
      <c r="TMY94" s="2151"/>
      <c r="TMZ94" s="2151"/>
      <c r="TNA94" s="2151"/>
      <c r="TNB94" s="2150"/>
      <c r="TNC94" s="2151"/>
      <c r="TND94" s="2151"/>
      <c r="TNE94" s="2151"/>
      <c r="TNF94" s="2151"/>
      <c r="TNG94" s="2151"/>
      <c r="TNH94" s="2151"/>
      <c r="TNI94" s="2151"/>
      <c r="TNJ94" s="2151"/>
      <c r="TNK94" s="2151"/>
      <c r="TNL94" s="2151"/>
      <c r="TNM94" s="2151"/>
      <c r="TNN94" s="2151"/>
      <c r="TNO94" s="2151"/>
      <c r="TNP94" s="2151"/>
      <c r="TNQ94" s="2151"/>
      <c r="TNR94" s="2150"/>
      <c r="TNS94" s="2151"/>
      <c r="TNT94" s="2151"/>
      <c r="TNU94" s="2151"/>
      <c r="TNV94" s="2151"/>
      <c r="TNW94" s="2151"/>
      <c r="TNX94" s="2151"/>
      <c r="TNY94" s="2151"/>
      <c r="TNZ94" s="2151"/>
      <c r="TOA94" s="2151"/>
      <c r="TOB94" s="2151"/>
      <c r="TOC94" s="2151"/>
      <c r="TOD94" s="2151"/>
      <c r="TOE94" s="2151"/>
      <c r="TOF94" s="2151"/>
      <c r="TOG94" s="2151"/>
      <c r="TOH94" s="2150"/>
      <c r="TOI94" s="2151"/>
      <c r="TOJ94" s="2151"/>
      <c r="TOK94" s="2151"/>
      <c r="TOL94" s="2151"/>
      <c r="TOM94" s="2151"/>
      <c r="TON94" s="2151"/>
      <c r="TOO94" s="2151"/>
      <c r="TOP94" s="2151"/>
      <c r="TOQ94" s="2151"/>
      <c r="TOR94" s="2151"/>
      <c r="TOS94" s="2151"/>
      <c r="TOT94" s="2151"/>
      <c r="TOU94" s="2151"/>
      <c r="TOV94" s="2151"/>
      <c r="TOW94" s="2151"/>
      <c r="TOX94" s="2150"/>
      <c r="TOY94" s="2151"/>
      <c r="TOZ94" s="2151"/>
      <c r="TPA94" s="2151"/>
      <c r="TPB94" s="2151"/>
      <c r="TPC94" s="2151"/>
      <c r="TPD94" s="2151"/>
      <c r="TPE94" s="2151"/>
      <c r="TPF94" s="2151"/>
      <c r="TPG94" s="2151"/>
      <c r="TPH94" s="2151"/>
      <c r="TPI94" s="2151"/>
      <c r="TPJ94" s="2151"/>
      <c r="TPK94" s="2151"/>
      <c r="TPL94" s="2151"/>
      <c r="TPM94" s="2151"/>
      <c r="TPN94" s="2150"/>
      <c r="TPO94" s="2151"/>
      <c r="TPP94" s="2151"/>
      <c r="TPQ94" s="2151"/>
      <c r="TPR94" s="2151"/>
      <c r="TPS94" s="2151"/>
      <c r="TPT94" s="2151"/>
      <c r="TPU94" s="2151"/>
      <c r="TPV94" s="2151"/>
      <c r="TPW94" s="2151"/>
      <c r="TPX94" s="2151"/>
      <c r="TPY94" s="2151"/>
      <c r="TPZ94" s="2151"/>
      <c r="TQA94" s="2151"/>
      <c r="TQB94" s="2151"/>
      <c r="TQC94" s="2151"/>
      <c r="TQD94" s="2150"/>
      <c r="TQE94" s="2151"/>
      <c r="TQF94" s="2151"/>
      <c r="TQG94" s="2151"/>
      <c r="TQH94" s="2151"/>
      <c r="TQI94" s="2151"/>
      <c r="TQJ94" s="2151"/>
      <c r="TQK94" s="2151"/>
      <c r="TQL94" s="2151"/>
      <c r="TQM94" s="2151"/>
      <c r="TQN94" s="2151"/>
      <c r="TQO94" s="2151"/>
      <c r="TQP94" s="2151"/>
      <c r="TQQ94" s="2151"/>
      <c r="TQR94" s="2151"/>
      <c r="TQS94" s="2151"/>
      <c r="TQT94" s="2150"/>
      <c r="TQU94" s="2151"/>
      <c r="TQV94" s="2151"/>
      <c r="TQW94" s="2151"/>
      <c r="TQX94" s="2151"/>
      <c r="TQY94" s="2151"/>
      <c r="TQZ94" s="2151"/>
      <c r="TRA94" s="2151"/>
      <c r="TRB94" s="2151"/>
      <c r="TRC94" s="2151"/>
      <c r="TRD94" s="2151"/>
      <c r="TRE94" s="2151"/>
      <c r="TRF94" s="2151"/>
      <c r="TRG94" s="2151"/>
      <c r="TRH94" s="2151"/>
      <c r="TRI94" s="2151"/>
      <c r="TRJ94" s="2150"/>
      <c r="TRK94" s="2151"/>
      <c r="TRL94" s="2151"/>
      <c r="TRM94" s="2151"/>
      <c r="TRN94" s="2151"/>
      <c r="TRO94" s="2151"/>
      <c r="TRP94" s="2151"/>
      <c r="TRQ94" s="2151"/>
      <c r="TRR94" s="2151"/>
      <c r="TRS94" s="2151"/>
      <c r="TRT94" s="2151"/>
      <c r="TRU94" s="2151"/>
      <c r="TRV94" s="2151"/>
      <c r="TRW94" s="2151"/>
      <c r="TRX94" s="2151"/>
      <c r="TRY94" s="2151"/>
      <c r="TRZ94" s="2150"/>
      <c r="TSA94" s="2151"/>
      <c r="TSB94" s="2151"/>
      <c r="TSC94" s="2151"/>
      <c r="TSD94" s="2151"/>
      <c r="TSE94" s="2151"/>
      <c r="TSF94" s="2151"/>
      <c r="TSG94" s="2151"/>
      <c r="TSH94" s="2151"/>
      <c r="TSI94" s="2151"/>
      <c r="TSJ94" s="2151"/>
      <c r="TSK94" s="2151"/>
      <c r="TSL94" s="2151"/>
      <c r="TSM94" s="2151"/>
      <c r="TSN94" s="2151"/>
      <c r="TSO94" s="2151"/>
      <c r="TSP94" s="2150"/>
      <c r="TSQ94" s="2151"/>
      <c r="TSR94" s="2151"/>
      <c r="TSS94" s="2151"/>
      <c r="TST94" s="2151"/>
      <c r="TSU94" s="2151"/>
      <c r="TSV94" s="2151"/>
      <c r="TSW94" s="2151"/>
      <c r="TSX94" s="2151"/>
      <c r="TSY94" s="2151"/>
      <c r="TSZ94" s="2151"/>
      <c r="TTA94" s="2151"/>
      <c r="TTB94" s="2151"/>
      <c r="TTC94" s="2151"/>
      <c r="TTD94" s="2151"/>
      <c r="TTE94" s="2151"/>
      <c r="TTF94" s="2150"/>
      <c r="TTG94" s="2151"/>
      <c r="TTH94" s="2151"/>
      <c r="TTI94" s="2151"/>
      <c r="TTJ94" s="2151"/>
      <c r="TTK94" s="2151"/>
      <c r="TTL94" s="2151"/>
      <c r="TTM94" s="2151"/>
      <c r="TTN94" s="2151"/>
      <c r="TTO94" s="2151"/>
      <c r="TTP94" s="2151"/>
      <c r="TTQ94" s="2151"/>
      <c r="TTR94" s="2151"/>
      <c r="TTS94" s="2151"/>
      <c r="TTT94" s="2151"/>
      <c r="TTU94" s="2151"/>
      <c r="TTV94" s="2150"/>
      <c r="TTW94" s="2151"/>
      <c r="TTX94" s="2151"/>
      <c r="TTY94" s="2151"/>
      <c r="TTZ94" s="2151"/>
      <c r="TUA94" s="2151"/>
      <c r="TUB94" s="2151"/>
      <c r="TUC94" s="2151"/>
      <c r="TUD94" s="2151"/>
      <c r="TUE94" s="2151"/>
      <c r="TUF94" s="2151"/>
      <c r="TUG94" s="2151"/>
      <c r="TUH94" s="2151"/>
      <c r="TUI94" s="2151"/>
      <c r="TUJ94" s="2151"/>
      <c r="TUK94" s="2151"/>
      <c r="TUL94" s="2150"/>
      <c r="TUM94" s="2151"/>
      <c r="TUN94" s="2151"/>
      <c r="TUO94" s="2151"/>
      <c r="TUP94" s="2151"/>
      <c r="TUQ94" s="2151"/>
      <c r="TUR94" s="2151"/>
      <c r="TUS94" s="2151"/>
      <c r="TUT94" s="2151"/>
      <c r="TUU94" s="2151"/>
      <c r="TUV94" s="2151"/>
      <c r="TUW94" s="2151"/>
      <c r="TUX94" s="2151"/>
      <c r="TUY94" s="2151"/>
      <c r="TUZ94" s="2151"/>
      <c r="TVA94" s="2151"/>
      <c r="TVB94" s="2150"/>
      <c r="TVC94" s="2151"/>
      <c r="TVD94" s="2151"/>
      <c r="TVE94" s="2151"/>
      <c r="TVF94" s="2151"/>
      <c r="TVG94" s="2151"/>
      <c r="TVH94" s="2151"/>
      <c r="TVI94" s="2151"/>
      <c r="TVJ94" s="2151"/>
      <c r="TVK94" s="2151"/>
      <c r="TVL94" s="2151"/>
      <c r="TVM94" s="2151"/>
      <c r="TVN94" s="2151"/>
      <c r="TVO94" s="2151"/>
      <c r="TVP94" s="2151"/>
      <c r="TVQ94" s="2151"/>
      <c r="TVR94" s="2150"/>
      <c r="TVS94" s="2151"/>
      <c r="TVT94" s="2151"/>
      <c r="TVU94" s="2151"/>
      <c r="TVV94" s="2151"/>
      <c r="TVW94" s="2151"/>
      <c r="TVX94" s="2151"/>
      <c r="TVY94" s="2151"/>
      <c r="TVZ94" s="2151"/>
      <c r="TWA94" s="2151"/>
      <c r="TWB94" s="2151"/>
      <c r="TWC94" s="2151"/>
      <c r="TWD94" s="2151"/>
      <c r="TWE94" s="2151"/>
      <c r="TWF94" s="2151"/>
      <c r="TWG94" s="2151"/>
      <c r="TWH94" s="2150"/>
      <c r="TWI94" s="2151"/>
      <c r="TWJ94" s="2151"/>
      <c r="TWK94" s="2151"/>
      <c r="TWL94" s="2151"/>
      <c r="TWM94" s="2151"/>
      <c r="TWN94" s="2151"/>
      <c r="TWO94" s="2151"/>
      <c r="TWP94" s="2151"/>
      <c r="TWQ94" s="2151"/>
      <c r="TWR94" s="2151"/>
      <c r="TWS94" s="2151"/>
      <c r="TWT94" s="2151"/>
      <c r="TWU94" s="2151"/>
      <c r="TWV94" s="2151"/>
      <c r="TWW94" s="2151"/>
      <c r="TWX94" s="2150"/>
      <c r="TWY94" s="2151"/>
      <c r="TWZ94" s="2151"/>
      <c r="TXA94" s="2151"/>
      <c r="TXB94" s="2151"/>
      <c r="TXC94" s="2151"/>
      <c r="TXD94" s="2151"/>
      <c r="TXE94" s="2151"/>
      <c r="TXF94" s="2151"/>
      <c r="TXG94" s="2151"/>
      <c r="TXH94" s="2151"/>
      <c r="TXI94" s="2151"/>
      <c r="TXJ94" s="2151"/>
      <c r="TXK94" s="2151"/>
      <c r="TXL94" s="2151"/>
      <c r="TXM94" s="2151"/>
      <c r="TXN94" s="2150"/>
      <c r="TXO94" s="2151"/>
      <c r="TXP94" s="2151"/>
      <c r="TXQ94" s="2151"/>
      <c r="TXR94" s="2151"/>
      <c r="TXS94" s="2151"/>
      <c r="TXT94" s="2151"/>
      <c r="TXU94" s="2151"/>
      <c r="TXV94" s="2151"/>
      <c r="TXW94" s="2151"/>
      <c r="TXX94" s="2151"/>
      <c r="TXY94" s="2151"/>
      <c r="TXZ94" s="2151"/>
      <c r="TYA94" s="2151"/>
      <c r="TYB94" s="2151"/>
      <c r="TYC94" s="2151"/>
      <c r="TYD94" s="2150"/>
      <c r="TYE94" s="2151"/>
      <c r="TYF94" s="2151"/>
      <c r="TYG94" s="2151"/>
      <c r="TYH94" s="2151"/>
      <c r="TYI94" s="2151"/>
      <c r="TYJ94" s="2151"/>
      <c r="TYK94" s="2151"/>
      <c r="TYL94" s="2151"/>
      <c r="TYM94" s="2151"/>
      <c r="TYN94" s="2151"/>
      <c r="TYO94" s="2151"/>
      <c r="TYP94" s="2151"/>
      <c r="TYQ94" s="2151"/>
      <c r="TYR94" s="2151"/>
      <c r="TYS94" s="2151"/>
      <c r="TYT94" s="2150"/>
      <c r="TYU94" s="2151"/>
      <c r="TYV94" s="2151"/>
      <c r="TYW94" s="2151"/>
      <c r="TYX94" s="2151"/>
      <c r="TYY94" s="2151"/>
      <c r="TYZ94" s="2151"/>
      <c r="TZA94" s="2151"/>
      <c r="TZB94" s="2151"/>
      <c r="TZC94" s="2151"/>
      <c r="TZD94" s="2151"/>
      <c r="TZE94" s="2151"/>
      <c r="TZF94" s="2151"/>
      <c r="TZG94" s="2151"/>
      <c r="TZH94" s="2151"/>
      <c r="TZI94" s="2151"/>
      <c r="TZJ94" s="2150"/>
      <c r="TZK94" s="2151"/>
      <c r="TZL94" s="2151"/>
      <c r="TZM94" s="2151"/>
      <c r="TZN94" s="2151"/>
      <c r="TZO94" s="2151"/>
      <c r="TZP94" s="2151"/>
      <c r="TZQ94" s="2151"/>
      <c r="TZR94" s="2151"/>
      <c r="TZS94" s="2151"/>
      <c r="TZT94" s="2151"/>
      <c r="TZU94" s="2151"/>
      <c r="TZV94" s="2151"/>
      <c r="TZW94" s="2151"/>
      <c r="TZX94" s="2151"/>
      <c r="TZY94" s="2151"/>
      <c r="TZZ94" s="2150"/>
      <c r="UAA94" s="2151"/>
      <c r="UAB94" s="2151"/>
      <c r="UAC94" s="2151"/>
      <c r="UAD94" s="2151"/>
      <c r="UAE94" s="2151"/>
      <c r="UAF94" s="2151"/>
      <c r="UAG94" s="2151"/>
      <c r="UAH94" s="2151"/>
      <c r="UAI94" s="2151"/>
      <c r="UAJ94" s="2151"/>
      <c r="UAK94" s="2151"/>
      <c r="UAL94" s="2151"/>
      <c r="UAM94" s="2151"/>
      <c r="UAN94" s="2151"/>
      <c r="UAO94" s="2151"/>
      <c r="UAP94" s="2150"/>
      <c r="UAQ94" s="2151"/>
      <c r="UAR94" s="2151"/>
      <c r="UAS94" s="2151"/>
      <c r="UAT94" s="2151"/>
      <c r="UAU94" s="2151"/>
      <c r="UAV94" s="2151"/>
      <c r="UAW94" s="2151"/>
      <c r="UAX94" s="2151"/>
      <c r="UAY94" s="2151"/>
      <c r="UAZ94" s="2151"/>
      <c r="UBA94" s="2151"/>
      <c r="UBB94" s="2151"/>
      <c r="UBC94" s="2151"/>
      <c r="UBD94" s="2151"/>
      <c r="UBE94" s="2151"/>
      <c r="UBF94" s="2150"/>
      <c r="UBG94" s="2151"/>
      <c r="UBH94" s="2151"/>
      <c r="UBI94" s="2151"/>
      <c r="UBJ94" s="2151"/>
      <c r="UBK94" s="2151"/>
      <c r="UBL94" s="2151"/>
      <c r="UBM94" s="2151"/>
      <c r="UBN94" s="2151"/>
      <c r="UBO94" s="2151"/>
      <c r="UBP94" s="2151"/>
      <c r="UBQ94" s="2151"/>
      <c r="UBR94" s="2151"/>
      <c r="UBS94" s="2151"/>
      <c r="UBT94" s="2151"/>
      <c r="UBU94" s="2151"/>
      <c r="UBV94" s="2150"/>
      <c r="UBW94" s="2151"/>
      <c r="UBX94" s="2151"/>
      <c r="UBY94" s="2151"/>
      <c r="UBZ94" s="2151"/>
      <c r="UCA94" s="2151"/>
      <c r="UCB94" s="2151"/>
      <c r="UCC94" s="2151"/>
      <c r="UCD94" s="2151"/>
      <c r="UCE94" s="2151"/>
      <c r="UCF94" s="2151"/>
      <c r="UCG94" s="2151"/>
      <c r="UCH94" s="2151"/>
      <c r="UCI94" s="2151"/>
      <c r="UCJ94" s="2151"/>
      <c r="UCK94" s="2151"/>
      <c r="UCL94" s="2150"/>
      <c r="UCM94" s="2151"/>
      <c r="UCN94" s="2151"/>
      <c r="UCO94" s="2151"/>
      <c r="UCP94" s="2151"/>
      <c r="UCQ94" s="2151"/>
      <c r="UCR94" s="2151"/>
      <c r="UCS94" s="2151"/>
      <c r="UCT94" s="2151"/>
      <c r="UCU94" s="2151"/>
      <c r="UCV94" s="2151"/>
      <c r="UCW94" s="2151"/>
      <c r="UCX94" s="2151"/>
      <c r="UCY94" s="2151"/>
      <c r="UCZ94" s="2151"/>
      <c r="UDA94" s="2151"/>
      <c r="UDB94" s="2150"/>
      <c r="UDC94" s="2151"/>
      <c r="UDD94" s="2151"/>
      <c r="UDE94" s="2151"/>
      <c r="UDF94" s="2151"/>
      <c r="UDG94" s="2151"/>
      <c r="UDH94" s="2151"/>
      <c r="UDI94" s="2151"/>
      <c r="UDJ94" s="2151"/>
      <c r="UDK94" s="2151"/>
      <c r="UDL94" s="2151"/>
      <c r="UDM94" s="2151"/>
      <c r="UDN94" s="2151"/>
      <c r="UDO94" s="2151"/>
      <c r="UDP94" s="2151"/>
      <c r="UDQ94" s="2151"/>
      <c r="UDR94" s="2150"/>
      <c r="UDS94" s="2151"/>
      <c r="UDT94" s="2151"/>
      <c r="UDU94" s="2151"/>
      <c r="UDV94" s="2151"/>
      <c r="UDW94" s="2151"/>
      <c r="UDX94" s="2151"/>
      <c r="UDY94" s="2151"/>
      <c r="UDZ94" s="2151"/>
      <c r="UEA94" s="2151"/>
      <c r="UEB94" s="2151"/>
      <c r="UEC94" s="2151"/>
      <c r="UED94" s="2151"/>
      <c r="UEE94" s="2151"/>
      <c r="UEF94" s="2151"/>
      <c r="UEG94" s="2151"/>
      <c r="UEH94" s="2150"/>
      <c r="UEI94" s="2151"/>
      <c r="UEJ94" s="2151"/>
      <c r="UEK94" s="2151"/>
      <c r="UEL94" s="2151"/>
      <c r="UEM94" s="2151"/>
      <c r="UEN94" s="2151"/>
      <c r="UEO94" s="2151"/>
      <c r="UEP94" s="2151"/>
      <c r="UEQ94" s="2151"/>
      <c r="UER94" s="2151"/>
      <c r="UES94" s="2151"/>
      <c r="UET94" s="2151"/>
      <c r="UEU94" s="2151"/>
      <c r="UEV94" s="2151"/>
      <c r="UEW94" s="2151"/>
      <c r="UEX94" s="2150"/>
      <c r="UEY94" s="2151"/>
      <c r="UEZ94" s="2151"/>
      <c r="UFA94" s="2151"/>
      <c r="UFB94" s="2151"/>
      <c r="UFC94" s="2151"/>
      <c r="UFD94" s="2151"/>
      <c r="UFE94" s="2151"/>
      <c r="UFF94" s="2151"/>
      <c r="UFG94" s="2151"/>
      <c r="UFH94" s="2151"/>
      <c r="UFI94" s="2151"/>
      <c r="UFJ94" s="2151"/>
      <c r="UFK94" s="2151"/>
      <c r="UFL94" s="2151"/>
      <c r="UFM94" s="2151"/>
      <c r="UFN94" s="2150"/>
      <c r="UFO94" s="2151"/>
      <c r="UFP94" s="2151"/>
      <c r="UFQ94" s="2151"/>
      <c r="UFR94" s="2151"/>
      <c r="UFS94" s="2151"/>
      <c r="UFT94" s="2151"/>
      <c r="UFU94" s="2151"/>
      <c r="UFV94" s="2151"/>
      <c r="UFW94" s="2151"/>
      <c r="UFX94" s="2151"/>
      <c r="UFY94" s="2151"/>
      <c r="UFZ94" s="2151"/>
      <c r="UGA94" s="2151"/>
      <c r="UGB94" s="2151"/>
      <c r="UGC94" s="2151"/>
      <c r="UGD94" s="2150"/>
      <c r="UGE94" s="2151"/>
      <c r="UGF94" s="2151"/>
      <c r="UGG94" s="2151"/>
      <c r="UGH94" s="2151"/>
      <c r="UGI94" s="2151"/>
      <c r="UGJ94" s="2151"/>
      <c r="UGK94" s="2151"/>
      <c r="UGL94" s="2151"/>
      <c r="UGM94" s="2151"/>
      <c r="UGN94" s="2151"/>
      <c r="UGO94" s="2151"/>
      <c r="UGP94" s="2151"/>
      <c r="UGQ94" s="2151"/>
      <c r="UGR94" s="2151"/>
      <c r="UGS94" s="2151"/>
      <c r="UGT94" s="2150"/>
      <c r="UGU94" s="2151"/>
      <c r="UGV94" s="2151"/>
      <c r="UGW94" s="2151"/>
      <c r="UGX94" s="2151"/>
      <c r="UGY94" s="2151"/>
      <c r="UGZ94" s="2151"/>
      <c r="UHA94" s="2151"/>
      <c r="UHB94" s="2151"/>
      <c r="UHC94" s="2151"/>
      <c r="UHD94" s="2151"/>
      <c r="UHE94" s="2151"/>
      <c r="UHF94" s="2151"/>
      <c r="UHG94" s="2151"/>
      <c r="UHH94" s="2151"/>
      <c r="UHI94" s="2151"/>
      <c r="UHJ94" s="2150"/>
      <c r="UHK94" s="2151"/>
      <c r="UHL94" s="2151"/>
      <c r="UHM94" s="2151"/>
      <c r="UHN94" s="2151"/>
      <c r="UHO94" s="2151"/>
      <c r="UHP94" s="2151"/>
      <c r="UHQ94" s="2151"/>
      <c r="UHR94" s="2151"/>
      <c r="UHS94" s="2151"/>
      <c r="UHT94" s="2151"/>
      <c r="UHU94" s="2151"/>
      <c r="UHV94" s="2151"/>
      <c r="UHW94" s="2151"/>
      <c r="UHX94" s="2151"/>
      <c r="UHY94" s="2151"/>
      <c r="UHZ94" s="2150"/>
      <c r="UIA94" s="2151"/>
      <c r="UIB94" s="2151"/>
      <c r="UIC94" s="2151"/>
      <c r="UID94" s="2151"/>
      <c r="UIE94" s="2151"/>
      <c r="UIF94" s="2151"/>
      <c r="UIG94" s="2151"/>
      <c r="UIH94" s="2151"/>
      <c r="UII94" s="2151"/>
      <c r="UIJ94" s="2151"/>
      <c r="UIK94" s="2151"/>
      <c r="UIL94" s="2151"/>
      <c r="UIM94" s="2151"/>
      <c r="UIN94" s="2151"/>
      <c r="UIO94" s="2151"/>
      <c r="UIP94" s="2150"/>
      <c r="UIQ94" s="2151"/>
      <c r="UIR94" s="2151"/>
      <c r="UIS94" s="2151"/>
      <c r="UIT94" s="2151"/>
      <c r="UIU94" s="2151"/>
      <c r="UIV94" s="2151"/>
      <c r="UIW94" s="2151"/>
      <c r="UIX94" s="2151"/>
      <c r="UIY94" s="2151"/>
      <c r="UIZ94" s="2151"/>
      <c r="UJA94" s="2151"/>
      <c r="UJB94" s="2151"/>
      <c r="UJC94" s="2151"/>
      <c r="UJD94" s="2151"/>
      <c r="UJE94" s="2151"/>
      <c r="UJF94" s="2150"/>
      <c r="UJG94" s="2151"/>
      <c r="UJH94" s="2151"/>
      <c r="UJI94" s="2151"/>
      <c r="UJJ94" s="2151"/>
      <c r="UJK94" s="2151"/>
      <c r="UJL94" s="2151"/>
      <c r="UJM94" s="2151"/>
      <c r="UJN94" s="2151"/>
      <c r="UJO94" s="2151"/>
      <c r="UJP94" s="2151"/>
      <c r="UJQ94" s="2151"/>
      <c r="UJR94" s="2151"/>
      <c r="UJS94" s="2151"/>
      <c r="UJT94" s="2151"/>
      <c r="UJU94" s="2151"/>
      <c r="UJV94" s="2150"/>
      <c r="UJW94" s="2151"/>
      <c r="UJX94" s="2151"/>
      <c r="UJY94" s="2151"/>
      <c r="UJZ94" s="2151"/>
      <c r="UKA94" s="2151"/>
      <c r="UKB94" s="2151"/>
      <c r="UKC94" s="2151"/>
      <c r="UKD94" s="2151"/>
      <c r="UKE94" s="2151"/>
      <c r="UKF94" s="2151"/>
      <c r="UKG94" s="2151"/>
      <c r="UKH94" s="2151"/>
      <c r="UKI94" s="2151"/>
      <c r="UKJ94" s="2151"/>
      <c r="UKK94" s="2151"/>
      <c r="UKL94" s="2150"/>
      <c r="UKM94" s="2151"/>
      <c r="UKN94" s="2151"/>
      <c r="UKO94" s="2151"/>
      <c r="UKP94" s="2151"/>
      <c r="UKQ94" s="2151"/>
      <c r="UKR94" s="2151"/>
      <c r="UKS94" s="2151"/>
      <c r="UKT94" s="2151"/>
      <c r="UKU94" s="2151"/>
      <c r="UKV94" s="2151"/>
      <c r="UKW94" s="2151"/>
      <c r="UKX94" s="2151"/>
      <c r="UKY94" s="2151"/>
      <c r="UKZ94" s="2151"/>
      <c r="ULA94" s="2151"/>
      <c r="ULB94" s="2150"/>
      <c r="ULC94" s="2151"/>
      <c r="ULD94" s="2151"/>
      <c r="ULE94" s="2151"/>
      <c r="ULF94" s="2151"/>
      <c r="ULG94" s="2151"/>
      <c r="ULH94" s="2151"/>
      <c r="ULI94" s="2151"/>
      <c r="ULJ94" s="2151"/>
      <c r="ULK94" s="2151"/>
      <c r="ULL94" s="2151"/>
      <c r="ULM94" s="2151"/>
      <c r="ULN94" s="2151"/>
      <c r="ULO94" s="2151"/>
      <c r="ULP94" s="2151"/>
      <c r="ULQ94" s="2151"/>
      <c r="ULR94" s="2150"/>
      <c r="ULS94" s="2151"/>
      <c r="ULT94" s="2151"/>
      <c r="ULU94" s="2151"/>
      <c r="ULV94" s="2151"/>
      <c r="ULW94" s="2151"/>
      <c r="ULX94" s="2151"/>
      <c r="ULY94" s="2151"/>
      <c r="ULZ94" s="2151"/>
      <c r="UMA94" s="2151"/>
      <c r="UMB94" s="2151"/>
      <c r="UMC94" s="2151"/>
      <c r="UMD94" s="2151"/>
      <c r="UME94" s="2151"/>
      <c r="UMF94" s="2151"/>
      <c r="UMG94" s="2151"/>
      <c r="UMH94" s="2150"/>
      <c r="UMI94" s="2151"/>
      <c r="UMJ94" s="2151"/>
      <c r="UMK94" s="2151"/>
      <c r="UML94" s="2151"/>
      <c r="UMM94" s="2151"/>
      <c r="UMN94" s="2151"/>
      <c r="UMO94" s="2151"/>
      <c r="UMP94" s="2151"/>
      <c r="UMQ94" s="2151"/>
      <c r="UMR94" s="2151"/>
      <c r="UMS94" s="2151"/>
      <c r="UMT94" s="2151"/>
      <c r="UMU94" s="2151"/>
      <c r="UMV94" s="2151"/>
      <c r="UMW94" s="2151"/>
      <c r="UMX94" s="2150"/>
      <c r="UMY94" s="2151"/>
      <c r="UMZ94" s="2151"/>
      <c r="UNA94" s="2151"/>
      <c r="UNB94" s="2151"/>
      <c r="UNC94" s="2151"/>
      <c r="UND94" s="2151"/>
      <c r="UNE94" s="2151"/>
      <c r="UNF94" s="2151"/>
      <c r="UNG94" s="2151"/>
      <c r="UNH94" s="2151"/>
      <c r="UNI94" s="2151"/>
      <c r="UNJ94" s="2151"/>
      <c r="UNK94" s="2151"/>
      <c r="UNL94" s="2151"/>
      <c r="UNM94" s="2151"/>
      <c r="UNN94" s="2150"/>
      <c r="UNO94" s="2151"/>
      <c r="UNP94" s="2151"/>
      <c r="UNQ94" s="2151"/>
      <c r="UNR94" s="2151"/>
      <c r="UNS94" s="2151"/>
      <c r="UNT94" s="2151"/>
      <c r="UNU94" s="2151"/>
      <c r="UNV94" s="2151"/>
      <c r="UNW94" s="2151"/>
      <c r="UNX94" s="2151"/>
      <c r="UNY94" s="2151"/>
      <c r="UNZ94" s="2151"/>
      <c r="UOA94" s="2151"/>
      <c r="UOB94" s="2151"/>
      <c r="UOC94" s="2151"/>
      <c r="UOD94" s="2150"/>
      <c r="UOE94" s="2151"/>
      <c r="UOF94" s="2151"/>
      <c r="UOG94" s="2151"/>
      <c r="UOH94" s="2151"/>
      <c r="UOI94" s="2151"/>
      <c r="UOJ94" s="2151"/>
      <c r="UOK94" s="2151"/>
      <c r="UOL94" s="2151"/>
      <c r="UOM94" s="2151"/>
      <c r="UON94" s="2151"/>
      <c r="UOO94" s="2151"/>
      <c r="UOP94" s="2151"/>
      <c r="UOQ94" s="2151"/>
      <c r="UOR94" s="2151"/>
      <c r="UOS94" s="2151"/>
      <c r="UOT94" s="2150"/>
      <c r="UOU94" s="2151"/>
      <c r="UOV94" s="2151"/>
      <c r="UOW94" s="2151"/>
      <c r="UOX94" s="2151"/>
      <c r="UOY94" s="2151"/>
      <c r="UOZ94" s="2151"/>
      <c r="UPA94" s="2151"/>
      <c r="UPB94" s="2151"/>
      <c r="UPC94" s="2151"/>
      <c r="UPD94" s="2151"/>
      <c r="UPE94" s="2151"/>
      <c r="UPF94" s="2151"/>
      <c r="UPG94" s="2151"/>
      <c r="UPH94" s="2151"/>
      <c r="UPI94" s="2151"/>
      <c r="UPJ94" s="2150"/>
      <c r="UPK94" s="2151"/>
      <c r="UPL94" s="2151"/>
      <c r="UPM94" s="2151"/>
      <c r="UPN94" s="2151"/>
      <c r="UPO94" s="2151"/>
      <c r="UPP94" s="2151"/>
      <c r="UPQ94" s="2151"/>
      <c r="UPR94" s="2151"/>
      <c r="UPS94" s="2151"/>
      <c r="UPT94" s="2151"/>
      <c r="UPU94" s="2151"/>
      <c r="UPV94" s="2151"/>
      <c r="UPW94" s="2151"/>
      <c r="UPX94" s="2151"/>
      <c r="UPY94" s="2151"/>
      <c r="UPZ94" s="2150"/>
      <c r="UQA94" s="2151"/>
      <c r="UQB94" s="2151"/>
      <c r="UQC94" s="2151"/>
      <c r="UQD94" s="2151"/>
      <c r="UQE94" s="2151"/>
      <c r="UQF94" s="2151"/>
      <c r="UQG94" s="2151"/>
      <c r="UQH94" s="2151"/>
      <c r="UQI94" s="2151"/>
      <c r="UQJ94" s="2151"/>
      <c r="UQK94" s="2151"/>
      <c r="UQL94" s="2151"/>
      <c r="UQM94" s="2151"/>
      <c r="UQN94" s="2151"/>
      <c r="UQO94" s="2151"/>
      <c r="UQP94" s="2150"/>
      <c r="UQQ94" s="2151"/>
      <c r="UQR94" s="2151"/>
      <c r="UQS94" s="2151"/>
      <c r="UQT94" s="2151"/>
      <c r="UQU94" s="2151"/>
      <c r="UQV94" s="2151"/>
      <c r="UQW94" s="2151"/>
      <c r="UQX94" s="2151"/>
      <c r="UQY94" s="2151"/>
      <c r="UQZ94" s="2151"/>
      <c r="URA94" s="2151"/>
      <c r="URB94" s="2151"/>
      <c r="URC94" s="2151"/>
      <c r="URD94" s="2151"/>
      <c r="URE94" s="2151"/>
      <c r="URF94" s="2150"/>
      <c r="URG94" s="2151"/>
      <c r="URH94" s="2151"/>
      <c r="URI94" s="2151"/>
      <c r="URJ94" s="2151"/>
      <c r="URK94" s="2151"/>
      <c r="URL94" s="2151"/>
      <c r="URM94" s="2151"/>
      <c r="URN94" s="2151"/>
      <c r="URO94" s="2151"/>
      <c r="URP94" s="2151"/>
      <c r="URQ94" s="2151"/>
      <c r="URR94" s="2151"/>
      <c r="URS94" s="2151"/>
      <c r="URT94" s="2151"/>
      <c r="URU94" s="2151"/>
      <c r="URV94" s="2150"/>
      <c r="URW94" s="2151"/>
      <c r="URX94" s="2151"/>
      <c r="URY94" s="2151"/>
      <c r="URZ94" s="2151"/>
      <c r="USA94" s="2151"/>
      <c r="USB94" s="2151"/>
      <c r="USC94" s="2151"/>
      <c r="USD94" s="2151"/>
      <c r="USE94" s="2151"/>
      <c r="USF94" s="2151"/>
      <c r="USG94" s="2151"/>
      <c r="USH94" s="2151"/>
      <c r="USI94" s="2151"/>
      <c r="USJ94" s="2151"/>
      <c r="USK94" s="2151"/>
      <c r="USL94" s="2150"/>
      <c r="USM94" s="2151"/>
      <c r="USN94" s="2151"/>
      <c r="USO94" s="2151"/>
      <c r="USP94" s="2151"/>
      <c r="USQ94" s="2151"/>
      <c r="USR94" s="2151"/>
      <c r="USS94" s="2151"/>
      <c r="UST94" s="2151"/>
      <c r="USU94" s="2151"/>
      <c r="USV94" s="2151"/>
      <c r="USW94" s="2151"/>
      <c r="USX94" s="2151"/>
      <c r="USY94" s="2151"/>
      <c r="USZ94" s="2151"/>
      <c r="UTA94" s="2151"/>
      <c r="UTB94" s="2150"/>
      <c r="UTC94" s="2151"/>
      <c r="UTD94" s="2151"/>
      <c r="UTE94" s="2151"/>
      <c r="UTF94" s="2151"/>
      <c r="UTG94" s="2151"/>
      <c r="UTH94" s="2151"/>
      <c r="UTI94" s="2151"/>
      <c r="UTJ94" s="2151"/>
      <c r="UTK94" s="2151"/>
      <c r="UTL94" s="2151"/>
      <c r="UTM94" s="2151"/>
      <c r="UTN94" s="2151"/>
      <c r="UTO94" s="2151"/>
      <c r="UTP94" s="2151"/>
      <c r="UTQ94" s="2151"/>
      <c r="UTR94" s="2150"/>
      <c r="UTS94" s="2151"/>
      <c r="UTT94" s="2151"/>
      <c r="UTU94" s="2151"/>
      <c r="UTV94" s="2151"/>
      <c r="UTW94" s="2151"/>
      <c r="UTX94" s="2151"/>
      <c r="UTY94" s="2151"/>
      <c r="UTZ94" s="2151"/>
      <c r="UUA94" s="2151"/>
      <c r="UUB94" s="2151"/>
      <c r="UUC94" s="2151"/>
      <c r="UUD94" s="2151"/>
      <c r="UUE94" s="2151"/>
      <c r="UUF94" s="2151"/>
      <c r="UUG94" s="2151"/>
      <c r="UUH94" s="2150"/>
      <c r="UUI94" s="2151"/>
      <c r="UUJ94" s="2151"/>
      <c r="UUK94" s="2151"/>
      <c r="UUL94" s="2151"/>
      <c r="UUM94" s="2151"/>
      <c r="UUN94" s="2151"/>
      <c r="UUO94" s="2151"/>
      <c r="UUP94" s="2151"/>
      <c r="UUQ94" s="2151"/>
      <c r="UUR94" s="2151"/>
      <c r="UUS94" s="2151"/>
      <c r="UUT94" s="2151"/>
      <c r="UUU94" s="2151"/>
      <c r="UUV94" s="2151"/>
      <c r="UUW94" s="2151"/>
      <c r="UUX94" s="2150"/>
      <c r="UUY94" s="2151"/>
      <c r="UUZ94" s="2151"/>
      <c r="UVA94" s="2151"/>
      <c r="UVB94" s="2151"/>
      <c r="UVC94" s="2151"/>
      <c r="UVD94" s="2151"/>
      <c r="UVE94" s="2151"/>
      <c r="UVF94" s="2151"/>
      <c r="UVG94" s="2151"/>
      <c r="UVH94" s="2151"/>
      <c r="UVI94" s="2151"/>
      <c r="UVJ94" s="2151"/>
      <c r="UVK94" s="2151"/>
      <c r="UVL94" s="2151"/>
      <c r="UVM94" s="2151"/>
      <c r="UVN94" s="2150"/>
      <c r="UVO94" s="2151"/>
      <c r="UVP94" s="2151"/>
      <c r="UVQ94" s="2151"/>
      <c r="UVR94" s="2151"/>
      <c r="UVS94" s="2151"/>
      <c r="UVT94" s="2151"/>
      <c r="UVU94" s="2151"/>
      <c r="UVV94" s="2151"/>
      <c r="UVW94" s="2151"/>
      <c r="UVX94" s="2151"/>
      <c r="UVY94" s="2151"/>
      <c r="UVZ94" s="2151"/>
      <c r="UWA94" s="2151"/>
      <c r="UWB94" s="2151"/>
      <c r="UWC94" s="2151"/>
      <c r="UWD94" s="2150"/>
      <c r="UWE94" s="2151"/>
      <c r="UWF94" s="2151"/>
      <c r="UWG94" s="2151"/>
      <c r="UWH94" s="2151"/>
      <c r="UWI94" s="2151"/>
      <c r="UWJ94" s="2151"/>
      <c r="UWK94" s="2151"/>
      <c r="UWL94" s="2151"/>
      <c r="UWM94" s="2151"/>
      <c r="UWN94" s="2151"/>
      <c r="UWO94" s="2151"/>
      <c r="UWP94" s="2151"/>
      <c r="UWQ94" s="2151"/>
      <c r="UWR94" s="2151"/>
      <c r="UWS94" s="2151"/>
      <c r="UWT94" s="2150"/>
      <c r="UWU94" s="2151"/>
      <c r="UWV94" s="2151"/>
      <c r="UWW94" s="2151"/>
      <c r="UWX94" s="2151"/>
      <c r="UWY94" s="2151"/>
      <c r="UWZ94" s="2151"/>
      <c r="UXA94" s="2151"/>
      <c r="UXB94" s="2151"/>
      <c r="UXC94" s="2151"/>
      <c r="UXD94" s="2151"/>
      <c r="UXE94" s="2151"/>
      <c r="UXF94" s="2151"/>
      <c r="UXG94" s="2151"/>
      <c r="UXH94" s="2151"/>
      <c r="UXI94" s="2151"/>
      <c r="UXJ94" s="2150"/>
      <c r="UXK94" s="2151"/>
      <c r="UXL94" s="2151"/>
      <c r="UXM94" s="2151"/>
      <c r="UXN94" s="2151"/>
      <c r="UXO94" s="2151"/>
      <c r="UXP94" s="2151"/>
      <c r="UXQ94" s="2151"/>
      <c r="UXR94" s="2151"/>
      <c r="UXS94" s="2151"/>
      <c r="UXT94" s="2151"/>
      <c r="UXU94" s="2151"/>
      <c r="UXV94" s="2151"/>
      <c r="UXW94" s="2151"/>
      <c r="UXX94" s="2151"/>
      <c r="UXY94" s="2151"/>
      <c r="UXZ94" s="2150"/>
      <c r="UYA94" s="2151"/>
      <c r="UYB94" s="2151"/>
      <c r="UYC94" s="2151"/>
      <c r="UYD94" s="2151"/>
      <c r="UYE94" s="2151"/>
      <c r="UYF94" s="2151"/>
      <c r="UYG94" s="2151"/>
      <c r="UYH94" s="2151"/>
      <c r="UYI94" s="2151"/>
      <c r="UYJ94" s="2151"/>
      <c r="UYK94" s="2151"/>
      <c r="UYL94" s="2151"/>
      <c r="UYM94" s="2151"/>
      <c r="UYN94" s="2151"/>
      <c r="UYO94" s="2151"/>
      <c r="UYP94" s="2150"/>
      <c r="UYQ94" s="2151"/>
      <c r="UYR94" s="2151"/>
      <c r="UYS94" s="2151"/>
      <c r="UYT94" s="2151"/>
      <c r="UYU94" s="2151"/>
      <c r="UYV94" s="2151"/>
      <c r="UYW94" s="2151"/>
      <c r="UYX94" s="2151"/>
      <c r="UYY94" s="2151"/>
      <c r="UYZ94" s="2151"/>
      <c r="UZA94" s="2151"/>
      <c r="UZB94" s="2151"/>
      <c r="UZC94" s="2151"/>
      <c r="UZD94" s="2151"/>
      <c r="UZE94" s="2151"/>
      <c r="UZF94" s="2150"/>
      <c r="UZG94" s="2151"/>
      <c r="UZH94" s="2151"/>
      <c r="UZI94" s="2151"/>
      <c r="UZJ94" s="2151"/>
      <c r="UZK94" s="2151"/>
      <c r="UZL94" s="2151"/>
      <c r="UZM94" s="2151"/>
      <c r="UZN94" s="2151"/>
      <c r="UZO94" s="2151"/>
      <c r="UZP94" s="2151"/>
      <c r="UZQ94" s="2151"/>
      <c r="UZR94" s="2151"/>
      <c r="UZS94" s="2151"/>
      <c r="UZT94" s="2151"/>
      <c r="UZU94" s="2151"/>
      <c r="UZV94" s="2150"/>
      <c r="UZW94" s="2151"/>
      <c r="UZX94" s="2151"/>
      <c r="UZY94" s="2151"/>
      <c r="UZZ94" s="2151"/>
      <c r="VAA94" s="2151"/>
      <c r="VAB94" s="2151"/>
      <c r="VAC94" s="2151"/>
      <c r="VAD94" s="2151"/>
      <c r="VAE94" s="2151"/>
      <c r="VAF94" s="2151"/>
      <c r="VAG94" s="2151"/>
      <c r="VAH94" s="2151"/>
      <c r="VAI94" s="2151"/>
      <c r="VAJ94" s="2151"/>
      <c r="VAK94" s="2151"/>
      <c r="VAL94" s="2150"/>
      <c r="VAM94" s="2151"/>
      <c r="VAN94" s="2151"/>
      <c r="VAO94" s="2151"/>
      <c r="VAP94" s="2151"/>
      <c r="VAQ94" s="2151"/>
      <c r="VAR94" s="2151"/>
      <c r="VAS94" s="2151"/>
      <c r="VAT94" s="2151"/>
      <c r="VAU94" s="2151"/>
      <c r="VAV94" s="2151"/>
      <c r="VAW94" s="2151"/>
      <c r="VAX94" s="2151"/>
      <c r="VAY94" s="2151"/>
      <c r="VAZ94" s="2151"/>
      <c r="VBA94" s="2151"/>
      <c r="VBB94" s="2150"/>
      <c r="VBC94" s="2151"/>
      <c r="VBD94" s="2151"/>
      <c r="VBE94" s="2151"/>
      <c r="VBF94" s="2151"/>
      <c r="VBG94" s="2151"/>
      <c r="VBH94" s="2151"/>
      <c r="VBI94" s="2151"/>
      <c r="VBJ94" s="2151"/>
      <c r="VBK94" s="2151"/>
      <c r="VBL94" s="2151"/>
      <c r="VBM94" s="2151"/>
      <c r="VBN94" s="2151"/>
      <c r="VBO94" s="2151"/>
      <c r="VBP94" s="2151"/>
      <c r="VBQ94" s="2151"/>
      <c r="VBR94" s="2150"/>
      <c r="VBS94" s="2151"/>
      <c r="VBT94" s="2151"/>
      <c r="VBU94" s="2151"/>
      <c r="VBV94" s="2151"/>
      <c r="VBW94" s="2151"/>
      <c r="VBX94" s="2151"/>
      <c r="VBY94" s="2151"/>
      <c r="VBZ94" s="2151"/>
      <c r="VCA94" s="2151"/>
      <c r="VCB94" s="2151"/>
      <c r="VCC94" s="2151"/>
      <c r="VCD94" s="2151"/>
      <c r="VCE94" s="2151"/>
      <c r="VCF94" s="2151"/>
      <c r="VCG94" s="2151"/>
      <c r="VCH94" s="2150"/>
      <c r="VCI94" s="2151"/>
      <c r="VCJ94" s="2151"/>
      <c r="VCK94" s="2151"/>
      <c r="VCL94" s="2151"/>
      <c r="VCM94" s="2151"/>
      <c r="VCN94" s="2151"/>
      <c r="VCO94" s="2151"/>
      <c r="VCP94" s="2151"/>
      <c r="VCQ94" s="2151"/>
      <c r="VCR94" s="2151"/>
      <c r="VCS94" s="2151"/>
      <c r="VCT94" s="2151"/>
      <c r="VCU94" s="2151"/>
      <c r="VCV94" s="2151"/>
      <c r="VCW94" s="2151"/>
      <c r="VCX94" s="2150"/>
      <c r="VCY94" s="2151"/>
      <c r="VCZ94" s="2151"/>
      <c r="VDA94" s="2151"/>
      <c r="VDB94" s="2151"/>
      <c r="VDC94" s="2151"/>
      <c r="VDD94" s="2151"/>
      <c r="VDE94" s="2151"/>
      <c r="VDF94" s="2151"/>
      <c r="VDG94" s="2151"/>
      <c r="VDH94" s="2151"/>
      <c r="VDI94" s="2151"/>
      <c r="VDJ94" s="2151"/>
      <c r="VDK94" s="2151"/>
      <c r="VDL94" s="2151"/>
      <c r="VDM94" s="2151"/>
      <c r="VDN94" s="2150"/>
      <c r="VDO94" s="2151"/>
      <c r="VDP94" s="2151"/>
      <c r="VDQ94" s="2151"/>
      <c r="VDR94" s="2151"/>
      <c r="VDS94" s="2151"/>
      <c r="VDT94" s="2151"/>
      <c r="VDU94" s="2151"/>
      <c r="VDV94" s="2151"/>
      <c r="VDW94" s="2151"/>
      <c r="VDX94" s="2151"/>
      <c r="VDY94" s="2151"/>
      <c r="VDZ94" s="2151"/>
      <c r="VEA94" s="2151"/>
      <c r="VEB94" s="2151"/>
      <c r="VEC94" s="2151"/>
      <c r="VED94" s="2150"/>
      <c r="VEE94" s="2151"/>
      <c r="VEF94" s="2151"/>
      <c r="VEG94" s="2151"/>
      <c r="VEH94" s="2151"/>
      <c r="VEI94" s="2151"/>
      <c r="VEJ94" s="2151"/>
      <c r="VEK94" s="2151"/>
      <c r="VEL94" s="2151"/>
      <c r="VEM94" s="2151"/>
      <c r="VEN94" s="2151"/>
      <c r="VEO94" s="2151"/>
      <c r="VEP94" s="2151"/>
      <c r="VEQ94" s="2151"/>
      <c r="VER94" s="2151"/>
      <c r="VES94" s="2151"/>
      <c r="VET94" s="2150"/>
      <c r="VEU94" s="2151"/>
      <c r="VEV94" s="2151"/>
      <c r="VEW94" s="2151"/>
      <c r="VEX94" s="2151"/>
      <c r="VEY94" s="2151"/>
      <c r="VEZ94" s="2151"/>
      <c r="VFA94" s="2151"/>
      <c r="VFB94" s="2151"/>
      <c r="VFC94" s="2151"/>
      <c r="VFD94" s="2151"/>
      <c r="VFE94" s="2151"/>
      <c r="VFF94" s="2151"/>
      <c r="VFG94" s="2151"/>
      <c r="VFH94" s="2151"/>
      <c r="VFI94" s="2151"/>
      <c r="VFJ94" s="2150"/>
      <c r="VFK94" s="2151"/>
      <c r="VFL94" s="2151"/>
      <c r="VFM94" s="2151"/>
      <c r="VFN94" s="2151"/>
      <c r="VFO94" s="2151"/>
      <c r="VFP94" s="2151"/>
      <c r="VFQ94" s="2151"/>
      <c r="VFR94" s="2151"/>
      <c r="VFS94" s="2151"/>
      <c r="VFT94" s="2151"/>
      <c r="VFU94" s="2151"/>
      <c r="VFV94" s="2151"/>
      <c r="VFW94" s="2151"/>
      <c r="VFX94" s="2151"/>
      <c r="VFY94" s="2151"/>
      <c r="VFZ94" s="2150"/>
      <c r="VGA94" s="2151"/>
      <c r="VGB94" s="2151"/>
      <c r="VGC94" s="2151"/>
      <c r="VGD94" s="2151"/>
      <c r="VGE94" s="2151"/>
      <c r="VGF94" s="2151"/>
      <c r="VGG94" s="2151"/>
      <c r="VGH94" s="2151"/>
      <c r="VGI94" s="2151"/>
      <c r="VGJ94" s="2151"/>
      <c r="VGK94" s="2151"/>
      <c r="VGL94" s="2151"/>
      <c r="VGM94" s="2151"/>
      <c r="VGN94" s="2151"/>
      <c r="VGO94" s="2151"/>
      <c r="VGP94" s="2150"/>
      <c r="VGQ94" s="2151"/>
      <c r="VGR94" s="2151"/>
      <c r="VGS94" s="2151"/>
      <c r="VGT94" s="2151"/>
      <c r="VGU94" s="2151"/>
      <c r="VGV94" s="2151"/>
      <c r="VGW94" s="2151"/>
      <c r="VGX94" s="2151"/>
      <c r="VGY94" s="2151"/>
      <c r="VGZ94" s="2151"/>
      <c r="VHA94" s="2151"/>
      <c r="VHB94" s="2151"/>
      <c r="VHC94" s="2151"/>
      <c r="VHD94" s="2151"/>
      <c r="VHE94" s="2151"/>
      <c r="VHF94" s="2150"/>
      <c r="VHG94" s="2151"/>
      <c r="VHH94" s="2151"/>
      <c r="VHI94" s="2151"/>
      <c r="VHJ94" s="2151"/>
      <c r="VHK94" s="2151"/>
      <c r="VHL94" s="2151"/>
      <c r="VHM94" s="2151"/>
      <c r="VHN94" s="2151"/>
      <c r="VHO94" s="2151"/>
      <c r="VHP94" s="2151"/>
      <c r="VHQ94" s="2151"/>
      <c r="VHR94" s="2151"/>
      <c r="VHS94" s="2151"/>
      <c r="VHT94" s="2151"/>
      <c r="VHU94" s="2151"/>
      <c r="VHV94" s="2150"/>
      <c r="VHW94" s="2151"/>
      <c r="VHX94" s="2151"/>
      <c r="VHY94" s="2151"/>
      <c r="VHZ94" s="2151"/>
      <c r="VIA94" s="2151"/>
      <c r="VIB94" s="2151"/>
      <c r="VIC94" s="2151"/>
      <c r="VID94" s="2151"/>
      <c r="VIE94" s="2151"/>
      <c r="VIF94" s="2151"/>
      <c r="VIG94" s="2151"/>
      <c r="VIH94" s="2151"/>
      <c r="VII94" s="2151"/>
      <c r="VIJ94" s="2151"/>
      <c r="VIK94" s="2151"/>
      <c r="VIL94" s="2150"/>
      <c r="VIM94" s="2151"/>
      <c r="VIN94" s="2151"/>
      <c r="VIO94" s="2151"/>
      <c r="VIP94" s="2151"/>
      <c r="VIQ94" s="2151"/>
      <c r="VIR94" s="2151"/>
      <c r="VIS94" s="2151"/>
      <c r="VIT94" s="2151"/>
      <c r="VIU94" s="2151"/>
      <c r="VIV94" s="2151"/>
      <c r="VIW94" s="2151"/>
      <c r="VIX94" s="2151"/>
      <c r="VIY94" s="2151"/>
      <c r="VIZ94" s="2151"/>
      <c r="VJA94" s="2151"/>
      <c r="VJB94" s="2150"/>
      <c r="VJC94" s="2151"/>
      <c r="VJD94" s="2151"/>
      <c r="VJE94" s="2151"/>
      <c r="VJF94" s="2151"/>
      <c r="VJG94" s="2151"/>
      <c r="VJH94" s="2151"/>
      <c r="VJI94" s="2151"/>
      <c r="VJJ94" s="2151"/>
      <c r="VJK94" s="2151"/>
      <c r="VJL94" s="2151"/>
      <c r="VJM94" s="2151"/>
      <c r="VJN94" s="2151"/>
      <c r="VJO94" s="2151"/>
      <c r="VJP94" s="2151"/>
      <c r="VJQ94" s="2151"/>
      <c r="VJR94" s="2150"/>
      <c r="VJS94" s="2151"/>
      <c r="VJT94" s="2151"/>
      <c r="VJU94" s="2151"/>
      <c r="VJV94" s="2151"/>
      <c r="VJW94" s="2151"/>
      <c r="VJX94" s="2151"/>
      <c r="VJY94" s="2151"/>
      <c r="VJZ94" s="2151"/>
      <c r="VKA94" s="2151"/>
      <c r="VKB94" s="2151"/>
      <c r="VKC94" s="2151"/>
      <c r="VKD94" s="2151"/>
      <c r="VKE94" s="2151"/>
      <c r="VKF94" s="2151"/>
      <c r="VKG94" s="2151"/>
      <c r="VKH94" s="2150"/>
      <c r="VKI94" s="2151"/>
      <c r="VKJ94" s="2151"/>
      <c r="VKK94" s="2151"/>
      <c r="VKL94" s="2151"/>
      <c r="VKM94" s="2151"/>
      <c r="VKN94" s="2151"/>
      <c r="VKO94" s="2151"/>
      <c r="VKP94" s="2151"/>
      <c r="VKQ94" s="2151"/>
      <c r="VKR94" s="2151"/>
      <c r="VKS94" s="2151"/>
      <c r="VKT94" s="2151"/>
      <c r="VKU94" s="2151"/>
      <c r="VKV94" s="2151"/>
      <c r="VKW94" s="2151"/>
      <c r="VKX94" s="2150"/>
      <c r="VKY94" s="2151"/>
      <c r="VKZ94" s="2151"/>
      <c r="VLA94" s="2151"/>
      <c r="VLB94" s="2151"/>
      <c r="VLC94" s="2151"/>
      <c r="VLD94" s="2151"/>
      <c r="VLE94" s="2151"/>
      <c r="VLF94" s="2151"/>
      <c r="VLG94" s="2151"/>
      <c r="VLH94" s="2151"/>
      <c r="VLI94" s="2151"/>
      <c r="VLJ94" s="2151"/>
      <c r="VLK94" s="2151"/>
      <c r="VLL94" s="2151"/>
      <c r="VLM94" s="2151"/>
      <c r="VLN94" s="2150"/>
      <c r="VLO94" s="2151"/>
      <c r="VLP94" s="2151"/>
      <c r="VLQ94" s="2151"/>
      <c r="VLR94" s="2151"/>
      <c r="VLS94" s="2151"/>
      <c r="VLT94" s="2151"/>
      <c r="VLU94" s="2151"/>
      <c r="VLV94" s="2151"/>
      <c r="VLW94" s="2151"/>
      <c r="VLX94" s="2151"/>
      <c r="VLY94" s="2151"/>
      <c r="VLZ94" s="2151"/>
      <c r="VMA94" s="2151"/>
      <c r="VMB94" s="2151"/>
      <c r="VMC94" s="2151"/>
      <c r="VMD94" s="2150"/>
      <c r="VME94" s="2151"/>
      <c r="VMF94" s="2151"/>
      <c r="VMG94" s="2151"/>
      <c r="VMH94" s="2151"/>
      <c r="VMI94" s="2151"/>
      <c r="VMJ94" s="2151"/>
      <c r="VMK94" s="2151"/>
      <c r="VML94" s="2151"/>
      <c r="VMM94" s="2151"/>
      <c r="VMN94" s="2151"/>
      <c r="VMO94" s="2151"/>
      <c r="VMP94" s="2151"/>
      <c r="VMQ94" s="2151"/>
      <c r="VMR94" s="2151"/>
      <c r="VMS94" s="2151"/>
      <c r="VMT94" s="2150"/>
      <c r="VMU94" s="2151"/>
      <c r="VMV94" s="2151"/>
      <c r="VMW94" s="2151"/>
      <c r="VMX94" s="2151"/>
      <c r="VMY94" s="2151"/>
      <c r="VMZ94" s="2151"/>
      <c r="VNA94" s="2151"/>
      <c r="VNB94" s="2151"/>
      <c r="VNC94" s="2151"/>
      <c r="VND94" s="2151"/>
      <c r="VNE94" s="2151"/>
      <c r="VNF94" s="2151"/>
      <c r="VNG94" s="2151"/>
      <c r="VNH94" s="2151"/>
      <c r="VNI94" s="2151"/>
      <c r="VNJ94" s="2150"/>
      <c r="VNK94" s="2151"/>
      <c r="VNL94" s="2151"/>
      <c r="VNM94" s="2151"/>
      <c r="VNN94" s="2151"/>
      <c r="VNO94" s="2151"/>
      <c r="VNP94" s="2151"/>
      <c r="VNQ94" s="2151"/>
      <c r="VNR94" s="2151"/>
      <c r="VNS94" s="2151"/>
      <c r="VNT94" s="2151"/>
      <c r="VNU94" s="2151"/>
      <c r="VNV94" s="2151"/>
      <c r="VNW94" s="2151"/>
      <c r="VNX94" s="2151"/>
      <c r="VNY94" s="2151"/>
      <c r="VNZ94" s="2150"/>
      <c r="VOA94" s="2151"/>
      <c r="VOB94" s="2151"/>
      <c r="VOC94" s="2151"/>
      <c r="VOD94" s="2151"/>
      <c r="VOE94" s="2151"/>
      <c r="VOF94" s="2151"/>
      <c r="VOG94" s="2151"/>
      <c r="VOH94" s="2151"/>
      <c r="VOI94" s="2151"/>
      <c r="VOJ94" s="2151"/>
      <c r="VOK94" s="2151"/>
      <c r="VOL94" s="2151"/>
      <c r="VOM94" s="2151"/>
      <c r="VON94" s="2151"/>
      <c r="VOO94" s="2151"/>
      <c r="VOP94" s="2150"/>
      <c r="VOQ94" s="2151"/>
      <c r="VOR94" s="2151"/>
      <c r="VOS94" s="2151"/>
      <c r="VOT94" s="2151"/>
      <c r="VOU94" s="2151"/>
      <c r="VOV94" s="2151"/>
      <c r="VOW94" s="2151"/>
      <c r="VOX94" s="2151"/>
      <c r="VOY94" s="2151"/>
      <c r="VOZ94" s="2151"/>
      <c r="VPA94" s="2151"/>
      <c r="VPB94" s="2151"/>
      <c r="VPC94" s="2151"/>
      <c r="VPD94" s="2151"/>
      <c r="VPE94" s="2151"/>
      <c r="VPF94" s="2150"/>
      <c r="VPG94" s="2151"/>
      <c r="VPH94" s="2151"/>
      <c r="VPI94" s="2151"/>
      <c r="VPJ94" s="2151"/>
      <c r="VPK94" s="2151"/>
      <c r="VPL94" s="2151"/>
      <c r="VPM94" s="2151"/>
      <c r="VPN94" s="2151"/>
      <c r="VPO94" s="2151"/>
      <c r="VPP94" s="2151"/>
      <c r="VPQ94" s="2151"/>
      <c r="VPR94" s="2151"/>
      <c r="VPS94" s="2151"/>
      <c r="VPT94" s="2151"/>
      <c r="VPU94" s="2151"/>
      <c r="VPV94" s="2150"/>
      <c r="VPW94" s="2151"/>
      <c r="VPX94" s="2151"/>
      <c r="VPY94" s="2151"/>
      <c r="VPZ94" s="2151"/>
      <c r="VQA94" s="2151"/>
      <c r="VQB94" s="2151"/>
      <c r="VQC94" s="2151"/>
      <c r="VQD94" s="2151"/>
      <c r="VQE94" s="2151"/>
      <c r="VQF94" s="2151"/>
      <c r="VQG94" s="2151"/>
      <c r="VQH94" s="2151"/>
      <c r="VQI94" s="2151"/>
      <c r="VQJ94" s="2151"/>
      <c r="VQK94" s="2151"/>
      <c r="VQL94" s="2150"/>
      <c r="VQM94" s="2151"/>
      <c r="VQN94" s="2151"/>
      <c r="VQO94" s="2151"/>
      <c r="VQP94" s="2151"/>
      <c r="VQQ94" s="2151"/>
      <c r="VQR94" s="2151"/>
      <c r="VQS94" s="2151"/>
      <c r="VQT94" s="2151"/>
      <c r="VQU94" s="2151"/>
      <c r="VQV94" s="2151"/>
      <c r="VQW94" s="2151"/>
      <c r="VQX94" s="2151"/>
      <c r="VQY94" s="2151"/>
      <c r="VQZ94" s="2151"/>
      <c r="VRA94" s="2151"/>
      <c r="VRB94" s="2150"/>
      <c r="VRC94" s="2151"/>
      <c r="VRD94" s="2151"/>
      <c r="VRE94" s="2151"/>
      <c r="VRF94" s="2151"/>
      <c r="VRG94" s="2151"/>
      <c r="VRH94" s="2151"/>
      <c r="VRI94" s="2151"/>
      <c r="VRJ94" s="2151"/>
      <c r="VRK94" s="2151"/>
      <c r="VRL94" s="2151"/>
      <c r="VRM94" s="2151"/>
      <c r="VRN94" s="2151"/>
      <c r="VRO94" s="2151"/>
      <c r="VRP94" s="2151"/>
      <c r="VRQ94" s="2151"/>
      <c r="VRR94" s="2150"/>
      <c r="VRS94" s="2151"/>
      <c r="VRT94" s="2151"/>
      <c r="VRU94" s="2151"/>
      <c r="VRV94" s="2151"/>
      <c r="VRW94" s="2151"/>
      <c r="VRX94" s="2151"/>
      <c r="VRY94" s="2151"/>
      <c r="VRZ94" s="2151"/>
      <c r="VSA94" s="2151"/>
      <c r="VSB94" s="2151"/>
      <c r="VSC94" s="2151"/>
      <c r="VSD94" s="2151"/>
      <c r="VSE94" s="2151"/>
      <c r="VSF94" s="2151"/>
      <c r="VSG94" s="2151"/>
      <c r="VSH94" s="2150"/>
      <c r="VSI94" s="2151"/>
      <c r="VSJ94" s="2151"/>
      <c r="VSK94" s="2151"/>
      <c r="VSL94" s="2151"/>
      <c r="VSM94" s="2151"/>
      <c r="VSN94" s="2151"/>
      <c r="VSO94" s="2151"/>
      <c r="VSP94" s="2151"/>
      <c r="VSQ94" s="2151"/>
      <c r="VSR94" s="2151"/>
      <c r="VSS94" s="2151"/>
      <c r="VST94" s="2151"/>
      <c r="VSU94" s="2151"/>
      <c r="VSV94" s="2151"/>
      <c r="VSW94" s="2151"/>
      <c r="VSX94" s="2150"/>
      <c r="VSY94" s="2151"/>
      <c r="VSZ94" s="2151"/>
      <c r="VTA94" s="2151"/>
      <c r="VTB94" s="2151"/>
      <c r="VTC94" s="2151"/>
      <c r="VTD94" s="2151"/>
      <c r="VTE94" s="2151"/>
      <c r="VTF94" s="2151"/>
      <c r="VTG94" s="2151"/>
      <c r="VTH94" s="2151"/>
      <c r="VTI94" s="2151"/>
      <c r="VTJ94" s="2151"/>
      <c r="VTK94" s="2151"/>
      <c r="VTL94" s="2151"/>
      <c r="VTM94" s="2151"/>
      <c r="VTN94" s="2150"/>
      <c r="VTO94" s="2151"/>
      <c r="VTP94" s="2151"/>
      <c r="VTQ94" s="2151"/>
      <c r="VTR94" s="2151"/>
      <c r="VTS94" s="2151"/>
      <c r="VTT94" s="2151"/>
      <c r="VTU94" s="2151"/>
      <c r="VTV94" s="2151"/>
      <c r="VTW94" s="2151"/>
      <c r="VTX94" s="2151"/>
      <c r="VTY94" s="2151"/>
      <c r="VTZ94" s="2151"/>
      <c r="VUA94" s="2151"/>
      <c r="VUB94" s="2151"/>
      <c r="VUC94" s="2151"/>
      <c r="VUD94" s="2150"/>
      <c r="VUE94" s="2151"/>
      <c r="VUF94" s="2151"/>
      <c r="VUG94" s="2151"/>
      <c r="VUH94" s="2151"/>
      <c r="VUI94" s="2151"/>
      <c r="VUJ94" s="2151"/>
      <c r="VUK94" s="2151"/>
      <c r="VUL94" s="2151"/>
      <c r="VUM94" s="2151"/>
      <c r="VUN94" s="2151"/>
      <c r="VUO94" s="2151"/>
      <c r="VUP94" s="2151"/>
      <c r="VUQ94" s="2151"/>
      <c r="VUR94" s="2151"/>
      <c r="VUS94" s="2151"/>
      <c r="VUT94" s="2150"/>
      <c r="VUU94" s="2151"/>
      <c r="VUV94" s="2151"/>
      <c r="VUW94" s="2151"/>
      <c r="VUX94" s="2151"/>
      <c r="VUY94" s="2151"/>
      <c r="VUZ94" s="2151"/>
      <c r="VVA94" s="2151"/>
      <c r="VVB94" s="2151"/>
      <c r="VVC94" s="2151"/>
      <c r="VVD94" s="2151"/>
      <c r="VVE94" s="2151"/>
      <c r="VVF94" s="2151"/>
      <c r="VVG94" s="2151"/>
      <c r="VVH94" s="2151"/>
      <c r="VVI94" s="2151"/>
      <c r="VVJ94" s="2150"/>
      <c r="VVK94" s="2151"/>
      <c r="VVL94" s="2151"/>
      <c r="VVM94" s="2151"/>
      <c r="VVN94" s="2151"/>
      <c r="VVO94" s="2151"/>
      <c r="VVP94" s="2151"/>
      <c r="VVQ94" s="2151"/>
      <c r="VVR94" s="2151"/>
      <c r="VVS94" s="2151"/>
      <c r="VVT94" s="2151"/>
      <c r="VVU94" s="2151"/>
      <c r="VVV94" s="2151"/>
      <c r="VVW94" s="2151"/>
      <c r="VVX94" s="2151"/>
      <c r="VVY94" s="2151"/>
      <c r="VVZ94" s="2150"/>
      <c r="VWA94" s="2151"/>
      <c r="VWB94" s="2151"/>
      <c r="VWC94" s="2151"/>
      <c r="VWD94" s="2151"/>
      <c r="VWE94" s="2151"/>
      <c r="VWF94" s="2151"/>
      <c r="VWG94" s="2151"/>
      <c r="VWH94" s="2151"/>
      <c r="VWI94" s="2151"/>
      <c r="VWJ94" s="2151"/>
      <c r="VWK94" s="2151"/>
      <c r="VWL94" s="2151"/>
      <c r="VWM94" s="2151"/>
      <c r="VWN94" s="2151"/>
      <c r="VWO94" s="2151"/>
      <c r="VWP94" s="2150"/>
      <c r="VWQ94" s="2151"/>
      <c r="VWR94" s="2151"/>
      <c r="VWS94" s="2151"/>
      <c r="VWT94" s="2151"/>
      <c r="VWU94" s="2151"/>
      <c r="VWV94" s="2151"/>
      <c r="VWW94" s="2151"/>
      <c r="VWX94" s="2151"/>
      <c r="VWY94" s="2151"/>
      <c r="VWZ94" s="2151"/>
      <c r="VXA94" s="2151"/>
      <c r="VXB94" s="2151"/>
      <c r="VXC94" s="2151"/>
      <c r="VXD94" s="2151"/>
      <c r="VXE94" s="2151"/>
      <c r="VXF94" s="2150"/>
      <c r="VXG94" s="2151"/>
      <c r="VXH94" s="2151"/>
      <c r="VXI94" s="2151"/>
      <c r="VXJ94" s="2151"/>
      <c r="VXK94" s="2151"/>
      <c r="VXL94" s="2151"/>
      <c r="VXM94" s="2151"/>
      <c r="VXN94" s="2151"/>
      <c r="VXO94" s="2151"/>
      <c r="VXP94" s="2151"/>
      <c r="VXQ94" s="2151"/>
      <c r="VXR94" s="2151"/>
      <c r="VXS94" s="2151"/>
      <c r="VXT94" s="2151"/>
      <c r="VXU94" s="2151"/>
      <c r="VXV94" s="2150"/>
      <c r="VXW94" s="2151"/>
      <c r="VXX94" s="2151"/>
      <c r="VXY94" s="2151"/>
      <c r="VXZ94" s="2151"/>
      <c r="VYA94" s="2151"/>
      <c r="VYB94" s="2151"/>
      <c r="VYC94" s="2151"/>
      <c r="VYD94" s="2151"/>
      <c r="VYE94" s="2151"/>
      <c r="VYF94" s="2151"/>
      <c r="VYG94" s="2151"/>
      <c r="VYH94" s="2151"/>
      <c r="VYI94" s="2151"/>
      <c r="VYJ94" s="2151"/>
      <c r="VYK94" s="2151"/>
      <c r="VYL94" s="2150"/>
      <c r="VYM94" s="2151"/>
      <c r="VYN94" s="2151"/>
      <c r="VYO94" s="2151"/>
      <c r="VYP94" s="2151"/>
      <c r="VYQ94" s="2151"/>
      <c r="VYR94" s="2151"/>
      <c r="VYS94" s="2151"/>
      <c r="VYT94" s="2151"/>
      <c r="VYU94" s="2151"/>
      <c r="VYV94" s="2151"/>
      <c r="VYW94" s="2151"/>
      <c r="VYX94" s="2151"/>
      <c r="VYY94" s="2151"/>
      <c r="VYZ94" s="2151"/>
      <c r="VZA94" s="2151"/>
      <c r="VZB94" s="2150"/>
      <c r="VZC94" s="2151"/>
      <c r="VZD94" s="2151"/>
      <c r="VZE94" s="2151"/>
      <c r="VZF94" s="2151"/>
      <c r="VZG94" s="2151"/>
      <c r="VZH94" s="2151"/>
      <c r="VZI94" s="2151"/>
      <c r="VZJ94" s="2151"/>
      <c r="VZK94" s="2151"/>
      <c r="VZL94" s="2151"/>
      <c r="VZM94" s="2151"/>
      <c r="VZN94" s="2151"/>
      <c r="VZO94" s="2151"/>
      <c r="VZP94" s="2151"/>
      <c r="VZQ94" s="2151"/>
      <c r="VZR94" s="2150"/>
      <c r="VZS94" s="2151"/>
      <c r="VZT94" s="2151"/>
      <c r="VZU94" s="2151"/>
      <c r="VZV94" s="2151"/>
      <c r="VZW94" s="2151"/>
      <c r="VZX94" s="2151"/>
      <c r="VZY94" s="2151"/>
      <c r="VZZ94" s="2151"/>
      <c r="WAA94" s="2151"/>
      <c r="WAB94" s="2151"/>
      <c r="WAC94" s="2151"/>
      <c r="WAD94" s="2151"/>
      <c r="WAE94" s="2151"/>
      <c r="WAF94" s="2151"/>
      <c r="WAG94" s="2151"/>
      <c r="WAH94" s="2150"/>
      <c r="WAI94" s="2151"/>
      <c r="WAJ94" s="2151"/>
      <c r="WAK94" s="2151"/>
      <c r="WAL94" s="2151"/>
      <c r="WAM94" s="2151"/>
      <c r="WAN94" s="2151"/>
      <c r="WAO94" s="2151"/>
      <c r="WAP94" s="2151"/>
      <c r="WAQ94" s="2151"/>
      <c r="WAR94" s="2151"/>
      <c r="WAS94" s="2151"/>
      <c r="WAT94" s="2151"/>
      <c r="WAU94" s="2151"/>
      <c r="WAV94" s="2151"/>
      <c r="WAW94" s="2151"/>
      <c r="WAX94" s="2150"/>
      <c r="WAY94" s="2151"/>
      <c r="WAZ94" s="2151"/>
      <c r="WBA94" s="2151"/>
      <c r="WBB94" s="2151"/>
      <c r="WBC94" s="2151"/>
      <c r="WBD94" s="2151"/>
      <c r="WBE94" s="2151"/>
      <c r="WBF94" s="2151"/>
      <c r="WBG94" s="2151"/>
      <c r="WBH94" s="2151"/>
      <c r="WBI94" s="2151"/>
      <c r="WBJ94" s="2151"/>
      <c r="WBK94" s="2151"/>
      <c r="WBL94" s="2151"/>
      <c r="WBM94" s="2151"/>
      <c r="WBN94" s="2150"/>
      <c r="WBO94" s="2151"/>
      <c r="WBP94" s="2151"/>
      <c r="WBQ94" s="2151"/>
      <c r="WBR94" s="2151"/>
      <c r="WBS94" s="2151"/>
      <c r="WBT94" s="2151"/>
      <c r="WBU94" s="2151"/>
      <c r="WBV94" s="2151"/>
      <c r="WBW94" s="2151"/>
      <c r="WBX94" s="2151"/>
      <c r="WBY94" s="2151"/>
      <c r="WBZ94" s="2151"/>
      <c r="WCA94" s="2151"/>
      <c r="WCB94" s="2151"/>
      <c r="WCC94" s="2151"/>
      <c r="WCD94" s="2150"/>
      <c r="WCE94" s="2151"/>
      <c r="WCF94" s="2151"/>
      <c r="WCG94" s="2151"/>
      <c r="WCH94" s="2151"/>
      <c r="WCI94" s="2151"/>
      <c r="WCJ94" s="2151"/>
      <c r="WCK94" s="2151"/>
      <c r="WCL94" s="2151"/>
      <c r="WCM94" s="2151"/>
      <c r="WCN94" s="2151"/>
      <c r="WCO94" s="2151"/>
      <c r="WCP94" s="2151"/>
      <c r="WCQ94" s="2151"/>
      <c r="WCR94" s="2151"/>
      <c r="WCS94" s="2151"/>
      <c r="WCT94" s="2150"/>
      <c r="WCU94" s="2151"/>
      <c r="WCV94" s="2151"/>
      <c r="WCW94" s="2151"/>
      <c r="WCX94" s="2151"/>
      <c r="WCY94" s="2151"/>
      <c r="WCZ94" s="2151"/>
      <c r="WDA94" s="2151"/>
      <c r="WDB94" s="2151"/>
      <c r="WDC94" s="2151"/>
      <c r="WDD94" s="2151"/>
      <c r="WDE94" s="2151"/>
      <c r="WDF94" s="2151"/>
      <c r="WDG94" s="2151"/>
      <c r="WDH94" s="2151"/>
      <c r="WDI94" s="2151"/>
      <c r="WDJ94" s="2150"/>
      <c r="WDK94" s="2151"/>
      <c r="WDL94" s="2151"/>
      <c r="WDM94" s="2151"/>
      <c r="WDN94" s="2151"/>
      <c r="WDO94" s="2151"/>
      <c r="WDP94" s="2151"/>
      <c r="WDQ94" s="2151"/>
      <c r="WDR94" s="2151"/>
      <c r="WDS94" s="2151"/>
      <c r="WDT94" s="2151"/>
      <c r="WDU94" s="2151"/>
      <c r="WDV94" s="2151"/>
      <c r="WDW94" s="2151"/>
      <c r="WDX94" s="2151"/>
      <c r="WDY94" s="2151"/>
      <c r="WDZ94" s="2150"/>
      <c r="WEA94" s="2151"/>
      <c r="WEB94" s="2151"/>
      <c r="WEC94" s="2151"/>
      <c r="WED94" s="2151"/>
      <c r="WEE94" s="2151"/>
      <c r="WEF94" s="2151"/>
      <c r="WEG94" s="2151"/>
      <c r="WEH94" s="2151"/>
      <c r="WEI94" s="2151"/>
      <c r="WEJ94" s="2151"/>
      <c r="WEK94" s="2151"/>
      <c r="WEL94" s="2151"/>
      <c r="WEM94" s="2151"/>
      <c r="WEN94" s="2151"/>
      <c r="WEO94" s="2151"/>
      <c r="WEP94" s="2150"/>
      <c r="WEQ94" s="2151"/>
      <c r="WER94" s="2151"/>
      <c r="WES94" s="2151"/>
      <c r="WET94" s="2151"/>
      <c r="WEU94" s="2151"/>
      <c r="WEV94" s="2151"/>
      <c r="WEW94" s="2151"/>
      <c r="WEX94" s="2151"/>
      <c r="WEY94" s="2151"/>
      <c r="WEZ94" s="2151"/>
      <c r="WFA94" s="2151"/>
      <c r="WFB94" s="2151"/>
      <c r="WFC94" s="2151"/>
      <c r="WFD94" s="2151"/>
      <c r="WFE94" s="2151"/>
      <c r="WFF94" s="2150"/>
      <c r="WFG94" s="2151"/>
      <c r="WFH94" s="2151"/>
      <c r="WFI94" s="2151"/>
      <c r="WFJ94" s="2151"/>
      <c r="WFK94" s="2151"/>
      <c r="WFL94" s="2151"/>
      <c r="WFM94" s="2151"/>
      <c r="WFN94" s="2151"/>
      <c r="WFO94" s="2151"/>
      <c r="WFP94" s="2151"/>
      <c r="WFQ94" s="2151"/>
      <c r="WFR94" s="2151"/>
      <c r="WFS94" s="2151"/>
      <c r="WFT94" s="2151"/>
      <c r="WFU94" s="2151"/>
      <c r="WFV94" s="2150"/>
      <c r="WFW94" s="2151"/>
      <c r="WFX94" s="2151"/>
      <c r="WFY94" s="2151"/>
      <c r="WFZ94" s="2151"/>
      <c r="WGA94" s="2151"/>
      <c r="WGB94" s="2151"/>
      <c r="WGC94" s="2151"/>
      <c r="WGD94" s="2151"/>
      <c r="WGE94" s="2151"/>
      <c r="WGF94" s="2151"/>
      <c r="WGG94" s="2151"/>
      <c r="WGH94" s="2151"/>
      <c r="WGI94" s="2151"/>
      <c r="WGJ94" s="2151"/>
      <c r="WGK94" s="2151"/>
      <c r="WGL94" s="2150"/>
      <c r="WGM94" s="2151"/>
      <c r="WGN94" s="2151"/>
      <c r="WGO94" s="2151"/>
      <c r="WGP94" s="2151"/>
      <c r="WGQ94" s="2151"/>
      <c r="WGR94" s="2151"/>
      <c r="WGS94" s="2151"/>
      <c r="WGT94" s="2151"/>
      <c r="WGU94" s="2151"/>
      <c r="WGV94" s="2151"/>
      <c r="WGW94" s="2151"/>
      <c r="WGX94" s="2151"/>
      <c r="WGY94" s="2151"/>
      <c r="WGZ94" s="2151"/>
      <c r="WHA94" s="2151"/>
      <c r="WHB94" s="2150"/>
      <c r="WHC94" s="2151"/>
      <c r="WHD94" s="2151"/>
      <c r="WHE94" s="2151"/>
      <c r="WHF94" s="2151"/>
      <c r="WHG94" s="2151"/>
      <c r="WHH94" s="2151"/>
      <c r="WHI94" s="2151"/>
      <c r="WHJ94" s="2151"/>
      <c r="WHK94" s="2151"/>
      <c r="WHL94" s="2151"/>
      <c r="WHM94" s="2151"/>
      <c r="WHN94" s="2151"/>
      <c r="WHO94" s="2151"/>
      <c r="WHP94" s="2151"/>
      <c r="WHQ94" s="2151"/>
      <c r="WHR94" s="2150"/>
      <c r="WHS94" s="2151"/>
      <c r="WHT94" s="2151"/>
      <c r="WHU94" s="2151"/>
      <c r="WHV94" s="2151"/>
      <c r="WHW94" s="2151"/>
      <c r="WHX94" s="2151"/>
      <c r="WHY94" s="2151"/>
      <c r="WHZ94" s="2151"/>
      <c r="WIA94" s="2151"/>
      <c r="WIB94" s="2151"/>
      <c r="WIC94" s="2151"/>
      <c r="WID94" s="2151"/>
      <c r="WIE94" s="2151"/>
      <c r="WIF94" s="2151"/>
      <c r="WIG94" s="2151"/>
      <c r="WIH94" s="2150"/>
      <c r="WII94" s="2151"/>
      <c r="WIJ94" s="2151"/>
      <c r="WIK94" s="2151"/>
      <c r="WIL94" s="2151"/>
      <c r="WIM94" s="2151"/>
      <c r="WIN94" s="2151"/>
      <c r="WIO94" s="2151"/>
      <c r="WIP94" s="2151"/>
      <c r="WIQ94" s="2151"/>
      <c r="WIR94" s="2151"/>
      <c r="WIS94" s="2151"/>
      <c r="WIT94" s="2151"/>
      <c r="WIU94" s="2151"/>
      <c r="WIV94" s="2151"/>
      <c r="WIW94" s="2151"/>
      <c r="WIX94" s="2150"/>
      <c r="WIY94" s="2151"/>
      <c r="WIZ94" s="2151"/>
      <c r="WJA94" s="2151"/>
      <c r="WJB94" s="2151"/>
      <c r="WJC94" s="2151"/>
      <c r="WJD94" s="2151"/>
      <c r="WJE94" s="2151"/>
      <c r="WJF94" s="2151"/>
      <c r="WJG94" s="2151"/>
      <c r="WJH94" s="2151"/>
      <c r="WJI94" s="2151"/>
      <c r="WJJ94" s="2151"/>
      <c r="WJK94" s="2151"/>
      <c r="WJL94" s="2151"/>
      <c r="WJM94" s="2151"/>
      <c r="WJN94" s="2150"/>
      <c r="WJO94" s="2151"/>
      <c r="WJP94" s="2151"/>
      <c r="WJQ94" s="2151"/>
      <c r="WJR94" s="2151"/>
      <c r="WJS94" s="2151"/>
      <c r="WJT94" s="2151"/>
      <c r="WJU94" s="2151"/>
      <c r="WJV94" s="2151"/>
      <c r="WJW94" s="2151"/>
      <c r="WJX94" s="2151"/>
      <c r="WJY94" s="2151"/>
      <c r="WJZ94" s="2151"/>
      <c r="WKA94" s="2151"/>
      <c r="WKB94" s="2151"/>
      <c r="WKC94" s="2151"/>
      <c r="WKD94" s="2150"/>
      <c r="WKE94" s="2151"/>
      <c r="WKF94" s="2151"/>
      <c r="WKG94" s="2151"/>
      <c r="WKH94" s="2151"/>
      <c r="WKI94" s="2151"/>
      <c r="WKJ94" s="2151"/>
      <c r="WKK94" s="2151"/>
      <c r="WKL94" s="2151"/>
      <c r="WKM94" s="2151"/>
      <c r="WKN94" s="2151"/>
      <c r="WKO94" s="2151"/>
      <c r="WKP94" s="2151"/>
      <c r="WKQ94" s="2151"/>
      <c r="WKR94" s="2151"/>
      <c r="WKS94" s="2151"/>
      <c r="WKT94" s="2150"/>
      <c r="WKU94" s="2151"/>
      <c r="WKV94" s="2151"/>
      <c r="WKW94" s="2151"/>
      <c r="WKX94" s="2151"/>
      <c r="WKY94" s="2151"/>
      <c r="WKZ94" s="2151"/>
      <c r="WLA94" s="2151"/>
      <c r="WLB94" s="2151"/>
      <c r="WLC94" s="2151"/>
      <c r="WLD94" s="2151"/>
      <c r="WLE94" s="2151"/>
      <c r="WLF94" s="2151"/>
      <c r="WLG94" s="2151"/>
      <c r="WLH94" s="2151"/>
      <c r="WLI94" s="2151"/>
      <c r="WLJ94" s="2150"/>
      <c r="WLK94" s="2151"/>
      <c r="WLL94" s="2151"/>
      <c r="WLM94" s="2151"/>
      <c r="WLN94" s="2151"/>
      <c r="WLO94" s="2151"/>
      <c r="WLP94" s="2151"/>
      <c r="WLQ94" s="2151"/>
      <c r="WLR94" s="2151"/>
      <c r="WLS94" s="2151"/>
      <c r="WLT94" s="2151"/>
      <c r="WLU94" s="2151"/>
      <c r="WLV94" s="2151"/>
      <c r="WLW94" s="2151"/>
      <c r="WLX94" s="2151"/>
      <c r="WLY94" s="2151"/>
      <c r="WLZ94" s="2150"/>
      <c r="WMA94" s="2151"/>
      <c r="WMB94" s="2151"/>
      <c r="WMC94" s="2151"/>
      <c r="WMD94" s="2151"/>
      <c r="WME94" s="2151"/>
      <c r="WMF94" s="2151"/>
      <c r="WMG94" s="2151"/>
      <c r="WMH94" s="2151"/>
      <c r="WMI94" s="2151"/>
      <c r="WMJ94" s="2151"/>
      <c r="WMK94" s="2151"/>
      <c r="WML94" s="2151"/>
      <c r="WMM94" s="2151"/>
      <c r="WMN94" s="2151"/>
      <c r="WMO94" s="2151"/>
      <c r="WMP94" s="2150"/>
      <c r="WMQ94" s="2151"/>
      <c r="WMR94" s="2151"/>
      <c r="WMS94" s="2151"/>
      <c r="WMT94" s="2151"/>
      <c r="WMU94" s="2151"/>
      <c r="WMV94" s="2151"/>
      <c r="WMW94" s="2151"/>
      <c r="WMX94" s="2151"/>
      <c r="WMY94" s="2151"/>
      <c r="WMZ94" s="2151"/>
      <c r="WNA94" s="2151"/>
      <c r="WNB94" s="2151"/>
      <c r="WNC94" s="2151"/>
      <c r="WND94" s="2151"/>
      <c r="WNE94" s="2151"/>
      <c r="WNF94" s="2150"/>
      <c r="WNG94" s="2151"/>
      <c r="WNH94" s="2151"/>
      <c r="WNI94" s="2151"/>
      <c r="WNJ94" s="2151"/>
      <c r="WNK94" s="2151"/>
      <c r="WNL94" s="2151"/>
      <c r="WNM94" s="2151"/>
      <c r="WNN94" s="2151"/>
      <c r="WNO94" s="2151"/>
      <c r="WNP94" s="2151"/>
      <c r="WNQ94" s="2151"/>
      <c r="WNR94" s="2151"/>
      <c r="WNS94" s="2151"/>
      <c r="WNT94" s="2151"/>
      <c r="WNU94" s="2151"/>
      <c r="WNV94" s="2150"/>
      <c r="WNW94" s="2151"/>
      <c r="WNX94" s="2151"/>
      <c r="WNY94" s="2151"/>
      <c r="WNZ94" s="2151"/>
      <c r="WOA94" s="2151"/>
      <c r="WOB94" s="2151"/>
      <c r="WOC94" s="2151"/>
      <c r="WOD94" s="2151"/>
      <c r="WOE94" s="2151"/>
      <c r="WOF94" s="2151"/>
      <c r="WOG94" s="2151"/>
      <c r="WOH94" s="2151"/>
      <c r="WOI94" s="2151"/>
      <c r="WOJ94" s="2151"/>
      <c r="WOK94" s="2151"/>
      <c r="WOL94" s="2150"/>
      <c r="WOM94" s="2151"/>
      <c r="WON94" s="2151"/>
      <c r="WOO94" s="2151"/>
      <c r="WOP94" s="2151"/>
      <c r="WOQ94" s="2151"/>
      <c r="WOR94" s="2151"/>
      <c r="WOS94" s="2151"/>
      <c r="WOT94" s="2151"/>
      <c r="WOU94" s="2151"/>
      <c r="WOV94" s="2151"/>
      <c r="WOW94" s="2151"/>
      <c r="WOX94" s="2151"/>
      <c r="WOY94" s="2151"/>
      <c r="WOZ94" s="2151"/>
      <c r="WPA94" s="2151"/>
      <c r="WPB94" s="2150"/>
      <c r="WPC94" s="2151"/>
      <c r="WPD94" s="2151"/>
      <c r="WPE94" s="2151"/>
      <c r="WPF94" s="2151"/>
      <c r="WPG94" s="2151"/>
      <c r="WPH94" s="2151"/>
      <c r="WPI94" s="2151"/>
      <c r="WPJ94" s="2151"/>
      <c r="WPK94" s="2151"/>
      <c r="WPL94" s="2151"/>
      <c r="WPM94" s="2151"/>
      <c r="WPN94" s="2151"/>
      <c r="WPO94" s="2151"/>
      <c r="WPP94" s="2151"/>
      <c r="WPQ94" s="2151"/>
      <c r="WPR94" s="2150"/>
      <c r="WPS94" s="2151"/>
      <c r="WPT94" s="2151"/>
      <c r="WPU94" s="2151"/>
      <c r="WPV94" s="2151"/>
      <c r="WPW94" s="2151"/>
      <c r="WPX94" s="2151"/>
      <c r="WPY94" s="2151"/>
      <c r="WPZ94" s="2151"/>
      <c r="WQA94" s="2151"/>
      <c r="WQB94" s="2151"/>
      <c r="WQC94" s="2151"/>
      <c r="WQD94" s="2151"/>
      <c r="WQE94" s="2151"/>
      <c r="WQF94" s="2151"/>
      <c r="WQG94" s="2151"/>
      <c r="WQH94" s="2150"/>
      <c r="WQI94" s="2151"/>
      <c r="WQJ94" s="2151"/>
      <c r="WQK94" s="2151"/>
      <c r="WQL94" s="2151"/>
      <c r="WQM94" s="2151"/>
      <c r="WQN94" s="2151"/>
      <c r="WQO94" s="2151"/>
      <c r="WQP94" s="2151"/>
      <c r="WQQ94" s="2151"/>
      <c r="WQR94" s="2151"/>
      <c r="WQS94" s="2151"/>
      <c r="WQT94" s="2151"/>
      <c r="WQU94" s="2151"/>
      <c r="WQV94" s="2151"/>
      <c r="WQW94" s="2151"/>
      <c r="WQX94" s="2150"/>
      <c r="WQY94" s="2151"/>
      <c r="WQZ94" s="2151"/>
      <c r="WRA94" s="2151"/>
      <c r="WRB94" s="2151"/>
      <c r="WRC94" s="2151"/>
      <c r="WRD94" s="2151"/>
      <c r="WRE94" s="2151"/>
      <c r="WRF94" s="2151"/>
      <c r="WRG94" s="2151"/>
      <c r="WRH94" s="2151"/>
      <c r="WRI94" s="2151"/>
      <c r="WRJ94" s="2151"/>
      <c r="WRK94" s="2151"/>
      <c r="WRL94" s="2151"/>
      <c r="WRM94" s="2151"/>
      <c r="WRN94" s="2150"/>
      <c r="WRO94" s="2151"/>
      <c r="WRP94" s="2151"/>
      <c r="WRQ94" s="2151"/>
      <c r="WRR94" s="2151"/>
      <c r="WRS94" s="2151"/>
      <c r="WRT94" s="2151"/>
      <c r="WRU94" s="2151"/>
      <c r="WRV94" s="2151"/>
      <c r="WRW94" s="2151"/>
      <c r="WRX94" s="2151"/>
      <c r="WRY94" s="2151"/>
      <c r="WRZ94" s="2151"/>
      <c r="WSA94" s="2151"/>
      <c r="WSB94" s="2151"/>
      <c r="WSC94" s="2151"/>
      <c r="WSD94" s="2150"/>
      <c r="WSE94" s="2151"/>
      <c r="WSF94" s="2151"/>
      <c r="WSG94" s="2151"/>
      <c r="WSH94" s="2151"/>
      <c r="WSI94" s="2151"/>
      <c r="WSJ94" s="2151"/>
      <c r="WSK94" s="2151"/>
      <c r="WSL94" s="2151"/>
      <c r="WSM94" s="2151"/>
      <c r="WSN94" s="2151"/>
      <c r="WSO94" s="2151"/>
      <c r="WSP94" s="2151"/>
      <c r="WSQ94" s="2151"/>
      <c r="WSR94" s="2151"/>
      <c r="WSS94" s="2151"/>
      <c r="WST94" s="2150"/>
      <c r="WSU94" s="2151"/>
      <c r="WSV94" s="2151"/>
      <c r="WSW94" s="2151"/>
      <c r="WSX94" s="2151"/>
      <c r="WSY94" s="2151"/>
      <c r="WSZ94" s="2151"/>
      <c r="WTA94" s="2151"/>
      <c r="WTB94" s="2151"/>
      <c r="WTC94" s="2151"/>
      <c r="WTD94" s="2151"/>
      <c r="WTE94" s="2151"/>
      <c r="WTF94" s="2151"/>
      <c r="WTG94" s="2151"/>
      <c r="WTH94" s="2151"/>
      <c r="WTI94" s="2151"/>
      <c r="WTJ94" s="2150"/>
      <c r="WTK94" s="2151"/>
      <c r="WTL94" s="2151"/>
      <c r="WTM94" s="2151"/>
      <c r="WTN94" s="2151"/>
      <c r="WTO94" s="2151"/>
      <c r="WTP94" s="2151"/>
      <c r="WTQ94" s="2151"/>
      <c r="WTR94" s="2151"/>
      <c r="WTS94" s="2151"/>
      <c r="WTT94" s="2151"/>
      <c r="WTU94" s="2151"/>
      <c r="WTV94" s="2151"/>
      <c r="WTW94" s="2151"/>
      <c r="WTX94" s="2151"/>
      <c r="WTY94" s="2151"/>
      <c r="WTZ94" s="2150"/>
      <c r="WUA94" s="2151"/>
      <c r="WUB94" s="2151"/>
      <c r="WUC94" s="2151"/>
      <c r="WUD94" s="2151"/>
      <c r="WUE94" s="2151"/>
      <c r="WUF94" s="2151"/>
      <c r="WUG94" s="2151"/>
      <c r="WUH94" s="2151"/>
      <c r="WUI94" s="2151"/>
      <c r="WUJ94" s="2151"/>
      <c r="WUK94" s="2151"/>
      <c r="WUL94" s="2151"/>
      <c r="WUM94" s="2151"/>
      <c r="WUN94" s="2151"/>
      <c r="WUO94" s="2151"/>
      <c r="WUP94" s="2150"/>
      <c r="WUQ94" s="2151"/>
      <c r="WUR94" s="2151"/>
      <c r="WUS94" s="2151"/>
      <c r="WUT94" s="2151"/>
      <c r="WUU94" s="2151"/>
      <c r="WUV94" s="2151"/>
      <c r="WUW94" s="2151"/>
      <c r="WUX94" s="2151"/>
      <c r="WUY94" s="2151"/>
      <c r="WUZ94" s="2151"/>
      <c r="WVA94" s="2151"/>
      <c r="WVB94" s="2151"/>
      <c r="WVC94" s="2151"/>
      <c r="WVD94" s="2151"/>
      <c r="WVE94" s="2151"/>
      <c r="WVF94" s="2150"/>
      <c r="WVG94" s="2151"/>
      <c r="WVH94" s="2151"/>
      <c r="WVI94" s="2151"/>
      <c r="WVJ94" s="2151"/>
      <c r="WVK94" s="2151"/>
      <c r="WVL94" s="2151"/>
      <c r="WVM94" s="2151"/>
      <c r="WVN94" s="2151"/>
      <c r="WVO94" s="2151"/>
      <c r="WVP94" s="2151"/>
      <c r="WVQ94" s="2151"/>
      <c r="WVR94" s="2151"/>
      <c r="WVS94" s="2151"/>
      <c r="WVT94" s="2151"/>
      <c r="WVU94" s="2151"/>
      <c r="WVV94" s="2150"/>
      <c r="WVW94" s="2151"/>
      <c r="WVX94" s="2151"/>
      <c r="WVY94" s="2151"/>
      <c r="WVZ94" s="2151"/>
      <c r="WWA94" s="2151"/>
      <c r="WWB94" s="2151"/>
      <c r="WWC94" s="2151"/>
      <c r="WWD94" s="2151"/>
      <c r="WWE94" s="2151"/>
      <c r="WWF94" s="2151"/>
      <c r="WWG94" s="2151"/>
      <c r="WWH94" s="2151"/>
      <c r="WWI94" s="2151"/>
      <c r="WWJ94" s="2151"/>
      <c r="WWK94" s="2151"/>
      <c r="WWL94" s="2150"/>
      <c r="WWM94" s="2151"/>
      <c r="WWN94" s="2151"/>
      <c r="WWO94" s="2151"/>
      <c r="WWP94" s="2151"/>
      <c r="WWQ94" s="2151"/>
      <c r="WWR94" s="2151"/>
      <c r="WWS94" s="2151"/>
      <c r="WWT94" s="2151"/>
      <c r="WWU94" s="2151"/>
      <c r="WWV94" s="2151"/>
      <c r="WWW94" s="2151"/>
      <c r="WWX94" s="2151"/>
      <c r="WWY94" s="2151"/>
      <c r="WWZ94" s="2151"/>
      <c r="WXA94" s="2151"/>
      <c r="WXB94" s="2150"/>
      <c r="WXC94" s="2151"/>
      <c r="WXD94" s="2151"/>
      <c r="WXE94" s="2151"/>
      <c r="WXF94" s="2151"/>
      <c r="WXG94" s="2151"/>
      <c r="WXH94" s="2151"/>
      <c r="WXI94" s="2151"/>
      <c r="WXJ94" s="2151"/>
      <c r="WXK94" s="2151"/>
      <c r="WXL94" s="2151"/>
      <c r="WXM94" s="2151"/>
      <c r="WXN94" s="2151"/>
      <c r="WXO94" s="2151"/>
      <c r="WXP94" s="2151"/>
      <c r="WXQ94" s="2151"/>
      <c r="WXR94" s="2150"/>
      <c r="WXS94" s="2151"/>
      <c r="WXT94" s="2151"/>
      <c r="WXU94" s="2151"/>
      <c r="WXV94" s="2151"/>
      <c r="WXW94" s="2151"/>
      <c r="WXX94" s="2151"/>
      <c r="WXY94" s="2151"/>
      <c r="WXZ94" s="2151"/>
      <c r="WYA94" s="2151"/>
      <c r="WYB94" s="2151"/>
      <c r="WYC94" s="2151"/>
      <c r="WYD94" s="2151"/>
      <c r="WYE94" s="2151"/>
      <c r="WYF94" s="2151"/>
      <c r="WYG94" s="2151"/>
      <c r="WYH94" s="2150"/>
      <c r="WYI94" s="2151"/>
      <c r="WYJ94" s="2151"/>
      <c r="WYK94" s="2151"/>
      <c r="WYL94" s="2151"/>
      <c r="WYM94" s="2151"/>
      <c r="WYN94" s="2151"/>
      <c r="WYO94" s="2151"/>
      <c r="WYP94" s="2151"/>
      <c r="WYQ94" s="2151"/>
      <c r="WYR94" s="2151"/>
      <c r="WYS94" s="2151"/>
      <c r="WYT94" s="2151"/>
      <c r="WYU94" s="2151"/>
      <c r="WYV94" s="2151"/>
      <c r="WYW94" s="2151"/>
      <c r="WYX94" s="2150"/>
      <c r="WYY94" s="2151"/>
      <c r="WYZ94" s="2151"/>
      <c r="WZA94" s="2151"/>
      <c r="WZB94" s="2151"/>
      <c r="WZC94" s="2151"/>
      <c r="WZD94" s="2151"/>
      <c r="WZE94" s="2151"/>
      <c r="WZF94" s="2151"/>
      <c r="WZG94" s="2151"/>
      <c r="WZH94" s="2151"/>
      <c r="WZI94" s="2151"/>
      <c r="WZJ94" s="2151"/>
      <c r="WZK94" s="2151"/>
      <c r="WZL94" s="2151"/>
      <c r="WZM94" s="2151"/>
      <c r="WZN94" s="2150"/>
      <c r="WZO94" s="2151"/>
      <c r="WZP94" s="2151"/>
      <c r="WZQ94" s="2151"/>
      <c r="WZR94" s="2151"/>
      <c r="WZS94" s="2151"/>
      <c r="WZT94" s="2151"/>
      <c r="WZU94" s="2151"/>
      <c r="WZV94" s="2151"/>
      <c r="WZW94" s="2151"/>
      <c r="WZX94" s="2151"/>
      <c r="WZY94" s="2151"/>
      <c r="WZZ94" s="2151"/>
      <c r="XAA94" s="2151"/>
      <c r="XAB94" s="2151"/>
      <c r="XAC94" s="2151"/>
      <c r="XAD94" s="2150"/>
      <c r="XAE94" s="2151"/>
      <c r="XAF94" s="2151"/>
      <c r="XAG94" s="2151"/>
      <c r="XAH94" s="2151"/>
      <c r="XAI94" s="2151"/>
      <c r="XAJ94" s="2151"/>
      <c r="XAK94" s="2151"/>
      <c r="XAL94" s="2151"/>
      <c r="XAM94" s="2151"/>
      <c r="XAN94" s="2151"/>
      <c r="XAO94" s="2151"/>
      <c r="XAP94" s="2151"/>
      <c r="XAQ94" s="2151"/>
      <c r="XAR94" s="2151"/>
      <c r="XAS94" s="2151"/>
      <c r="XAT94" s="2150"/>
      <c r="XAU94" s="2151"/>
      <c r="XAV94" s="2151"/>
      <c r="XAW94" s="2151"/>
      <c r="XAX94" s="2151"/>
      <c r="XAY94" s="2151"/>
      <c r="XAZ94" s="2151"/>
      <c r="XBA94" s="2151"/>
      <c r="XBB94" s="2151"/>
      <c r="XBC94" s="2151"/>
      <c r="XBD94" s="2151"/>
      <c r="XBE94" s="2151"/>
      <c r="XBF94" s="2151"/>
      <c r="XBG94" s="2151"/>
      <c r="XBH94" s="2151"/>
      <c r="XBI94" s="2151"/>
      <c r="XBJ94" s="2150"/>
      <c r="XBK94" s="2151"/>
      <c r="XBL94" s="2151"/>
      <c r="XBM94" s="2151"/>
      <c r="XBN94" s="2151"/>
      <c r="XBO94" s="2151"/>
      <c r="XBP94" s="2151"/>
      <c r="XBQ94" s="2151"/>
      <c r="XBR94" s="2151"/>
      <c r="XBS94" s="2151"/>
      <c r="XBT94" s="2151"/>
      <c r="XBU94" s="2151"/>
      <c r="XBV94" s="2151"/>
      <c r="XBW94" s="2151"/>
      <c r="XBX94" s="2151"/>
      <c r="XBY94" s="2151"/>
      <c r="XBZ94" s="2150"/>
      <c r="XCA94" s="2151"/>
      <c r="XCB94" s="2151"/>
      <c r="XCC94" s="2151"/>
      <c r="XCD94" s="2151"/>
      <c r="XCE94" s="2151"/>
      <c r="XCF94" s="2151"/>
      <c r="XCG94" s="2151"/>
      <c r="XCH94" s="2151"/>
      <c r="XCI94" s="2151"/>
      <c r="XCJ94" s="2151"/>
      <c r="XCK94" s="2151"/>
      <c r="XCL94" s="2151"/>
      <c r="XCM94" s="2151"/>
      <c r="XCN94" s="2151"/>
      <c r="XCO94" s="2151"/>
      <c r="XCP94" s="2150"/>
      <c r="XCQ94" s="2151"/>
      <c r="XCR94" s="2151"/>
      <c r="XCS94" s="2151"/>
      <c r="XCT94" s="2151"/>
      <c r="XCU94" s="2151"/>
      <c r="XCV94" s="2151"/>
      <c r="XCW94" s="2151"/>
      <c r="XCX94" s="2151"/>
      <c r="XCY94" s="2151"/>
      <c r="XCZ94" s="2151"/>
      <c r="XDA94" s="2151"/>
      <c r="XDB94" s="2151"/>
      <c r="XDC94" s="2151"/>
      <c r="XDD94" s="2151"/>
      <c r="XDE94" s="2151"/>
      <c r="XDF94" s="2150"/>
      <c r="XDG94" s="2151"/>
      <c r="XDH94" s="2151"/>
      <c r="XDI94" s="2151"/>
      <c r="XDJ94" s="2151"/>
      <c r="XDK94" s="2151"/>
      <c r="XDL94" s="2151"/>
      <c r="XDM94" s="2151"/>
      <c r="XDN94" s="2151"/>
      <c r="XDO94" s="2151"/>
      <c r="XDP94" s="2151"/>
      <c r="XDQ94" s="2151"/>
      <c r="XDR94" s="2151"/>
      <c r="XDS94" s="2151"/>
      <c r="XDT94" s="2151"/>
      <c r="XDU94" s="2151"/>
      <c r="XDV94" s="2150"/>
      <c r="XDW94" s="2151"/>
      <c r="XDX94" s="2151"/>
      <c r="XDY94" s="2151"/>
      <c r="XDZ94" s="2151"/>
      <c r="XEA94" s="2151"/>
      <c r="XEB94" s="2151"/>
      <c r="XEC94" s="2151"/>
      <c r="XED94" s="2151"/>
      <c r="XEE94" s="2151"/>
      <c r="XEF94" s="2151"/>
      <c r="XEG94" s="2151"/>
      <c r="XEH94" s="2151"/>
      <c r="XEI94" s="2151"/>
      <c r="XEJ94" s="2151"/>
      <c r="XEK94" s="2151"/>
      <c r="XEL94" s="2150"/>
      <c r="XEM94" s="2151"/>
      <c r="XEN94" s="2151"/>
      <c r="XEO94" s="2151"/>
      <c r="XEP94" s="2151"/>
      <c r="XEQ94" s="2151"/>
      <c r="XER94" s="2151"/>
      <c r="XES94" s="2151"/>
      <c r="XET94" s="2151"/>
      <c r="XEU94" s="2151"/>
      <c r="XEV94" s="2151"/>
      <c r="XEW94" s="2151"/>
      <c r="XEX94" s="2151"/>
      <c r="XEY94" s="2151"/>
      <c r="XEZ94" s="2151"/>
      <c r="XFA94" s="2151"/>
    </row>
    <row r="95" spans="1:16381">
      <c r="A95" s="14"/>
    </row>
    <row r="96" spans="1:16381">
      <c r="A96" s="14"/>
    </row>
    <row r="97" spans="1:20">
      <c r="A97" s="14"/>
    </row>
    <row r="98" spans="1:20">
      <c r="A98" s="14"/>
      <c r="B98" s="1240"/>
      <c r="C98" s="1240"/>
      <c r="D98" s="1240"/>
      <c r="E98" s="1240"/>
      <c r="F98" s="1240"/>
      <c r="G98" s="1240"/>
      <c r="H98" s="1240"/>
      <c r="I98" s="1240"/>
      <c r="J98" s="1240"/>
      <c r="K98" s="1240"/>
      <c r="L98" s="1240"/>
      <c r="M98" s="1240"/>
      <c r="N98" s="1240"/>
      <c r="O98" s="1240"/>
      <c r="P98" s="1240"/>
      <c r="Q98" s="1240"/>
      <c r="R98" s="1240"/>
      <c r="S98" s="1240"/>
      <c r="T98" s="1240"/>
    </row>
    <row r="99" spans="1:20">
      <c r="A99" s="14"/>
    </row>
    <row r="100" spans="1:20">
      <c r="A100" s="14"/>
    </row>
    <row r="101" spans="1:20">
      <c r="A101" s="14"/>
    </row>
    <row r="102" spans="1:20">
      <c r="A102" s="14"/>
    </row>
    <row r="103" spans="1:20">
      <c r="A103" s="14"/>
    </row>
    <row r="104" spans="1:20">
      <c r="A104" s="14"/>
    </row>
    <row r="105" spans="1:20">
      <c r="A105" s="14"/>
    </row>
    <row r="106" spans="1:20">
      <c r="A106" s="14"/>
    </row>
    <row r="107" spans="1:20">
      <c r="A107" s="14"/>
    </row>
    <row r="108" spans="1:20">
      <c r="A108" s="14"/>
    </row>
    <row r="109" spans="1:20">
      <c r="A109" s="14"/>
    </row>
    <row r="110" spans="1:20">
      <c r="A110" s="14"/>
    </row>
    <row r="111" spans="1:20">
      <c r="A111" s="14"/>
    </row>
  </sheetData>
  <mergeCells count="1027">
    <mergeCell ref="XEL94:XFA94"/>
    <mergeCell ref="XAT94:XBI94"/>
    <mergeCell ref="XBJ94:XBY94"/>
    <mergeCell ref="XBZ94:XCO94"/>
    <mergeCell ref="XCP94:XDE94"/>
    <mergeCell ref="XDF94:XDU94"/>
    <mergeCell ref="XDV94:XEK94"/>
    <mergeCell ref="WXB94:WXQ94"/>
    <mergeCell ref="WXR94:WYG94"/>
    <mergeCell ref="WYH94:WYW94"/>
    <mergeCell ref="WYX94:WZM94"/>
    <mergeCell ref="WZN94:XAC94"/>
    <mergeCell ref="XAD94:XAS94"/>
    <mergeCell ref="WTJ94:WTY94"/>
    <mergeCell ref="WTZ94:WUO94"/>
    <mergeCell ref="WUP94:WVE94"/>
    <mergeCell ref="WVF94:WVU94"/>
    <mergeCell ref="WVV94:WWK94"/>
    <mergeCell ref="WWL94:WXA94"/>
    <mergeCell ref="WPR94:WQG94"/>
    <mergeCell ref="WQH94:WQW94"/>
    <mergeCell ref="WQX94:WRM94"/>
    <mergeCell ref="WRN94:WSC94"/>
    <mergeCell ref="WSD94:WSS94"/>
    <mergeCell ref="WST94:WTI94"/>
    <mergeCell ref="WLZ94:WMO94"/>
    <mergeCell ref="WMP94:WNE94"/>
    <mergeCell ref="WNF94:WNU94"/>
    <mergeCell ref="WNV94:WOK94"/>
    <mergeCell ref="WOL94:WPA94"/>
    <mergeCell ref="WPB94:WPQ94"/>
    <mergeCell ref="WIH94:WIW94"/>
    <mergeCell ref="WIX94:WJM94"/>
    <mergeCell ref="WJN94:WKC94"/>
    <mergeCell ref="WKD94:WKS94"/>
    <mergeCell ref="WKT94:WLI94"/>
    <mergeCell ref="WLJ94:WLY94"/>
    <mergeCell ref="WEP94:WFE94"/>
    <mergeCell ref="WFF94:WFU94"/>
    <mergeCell ref="WFV94:WGK94"/>
    <mergeCell ref="WGL94:WHA94"/>
    <mergeCell ref="WHB94:WHQ94"/>
    <mergeCell ref="WHR94:WIG94"/>
    <mergeCell ref="WAX94:WBM94"/>
    <mergeCell ref="WBN94:WCC94"/>
    <mergeCell ref="WCD94:WCS94"/>
    <mergeCell ref="WCT94:WDI94"/>
    <mergeCell ref="WDJ94:WDY94"/>
    <mergeCell ref="WDZ94:WEO94"/>
    <mergeCell ref="VXF94:VXU94"/>
    <mergeCell ref="VXV94:VYK94"/>
    <mergeCell ref="VYL94:VZA94"/>
    <mergeCell ref="VZB94:VZQ94"/>
    <mergeCell ref="VZR94:WAG94"/>
    <mergeCell ref="WAH94:WAW94"/>
    <mergeCell ref="VTN94:VUC94"/>
    <mergeCell ref="VUD94:VUS94"/>
    <mergeCell ref="VUT94:VVI94"/>
    <mergeCell ref="VVJ94:VVY94"/>
    <mergeCell ref="VVZ94:VWO94"/>
    <mergeCell ref="VWP94:VXE94"/>
    <mergeCell ref="VPV94:VQK94"/>
    <mergeCell ref="VQL94:VRA94"/>
    <mergeCell ref="VRB94:VRQ94"/>
    <mergeCell ref="VRR94:VSG94"/>
    <mergeCell ref="VSH94:VSW94"/>
    <mergeCell ref="VSX94:VTM94"/>
    <mergeCell ref="VMD94:VMS94"/>
    <mergeCell ref="VMT94:VNI94"/>
    <mergeCell ref="VNJ94:VNY94"/>
    <mergeCell ref="VNZ94:VOO94"/>
    <mergeCell ref="VOP94:VPE94"/>
    <mergeCell ref="VPF94:VPU94"/>
    <mergeCell ref="VIL94:VJA94"/>
    <mergeCell ref="VJB94:VJQ94"/>
    <mergeCell ref="VJR94:VKG94"/>
    <mergeCell ref="VKH94:VKW94"/>
    <mergeCell ref="VKX94:VLM94"/>
    <mergeCell ref="VLN94:VMC94"/>
    <mergeCell ref="VET94:VFI94"/>
    <mergeCell ref="VFJ94:VFY94"/>
    <mergeCell ref="VFZ94:VGO94"/>
    <mergeCell ref="VGP94:VHE94"/>
    <mergeCell ref="VHF94:VHU94"/>
    <mergeCell ref="VHV94:VIK94"/>
    <mergeCell ref="VBB94:VBQ94"/>
    <mergeCell ref="VBR94:VCG94"/>
    <mergeCell ref="VCH94:VCW94"/>
    <mergeCell ref="VCX94:VDM94"/>
    <mergeCell ref="VDN94:VEC94"/>
    <mergeCell ref="VED94:VES94"/>
    <mergeCell ref="UXJ94:UXY94"/>
    <mergeCell ref="UXZ94:UYO94"/>
    <mergeCell ref="UYP94:UZE94"/>
    <mergeCell ref="UZF94:UZU94"/>
    <mergeCell ref="UZV94:VAK94"/>
    <mergeCell ref="VAL94:VBA94"/>
    <mergeCell ref="UTR94:UUG94"/>
    <mergeCell ref="UUH94:UUW94"/>
    <mergeCell ref="UUX94:UVM94"/>
    <mergeCell ref="UVN94:UWC94"/>
    <mergeCell ref="UWD94:UWS94"/>
    <mergeCell ref="UWT94:UXI94"/>
    <mergeCell ref="UPZ94:UQO94"/>
    <mergeCell ref="UQP94:URE94"/>
    <mergeCell ref="URF94:URU94"/>
    <mergeCell ref="URV94:USK94"/>
    <mergeCell ref="USL94:UTA94"/>
    <mergeCell ref="UTB94:UTQ94"/>
    <mergeCell ref="UMH94:UMW94"/>
    <mergeCell ref="UMX94:UNM94"/>
    <mergeCell ref="UNN94:UOC94"/>
    <mergeCell ref="UOD94:UOS94"/>
    <mergeCell ref="UOT94:UPI94"/>
    <mergeCell ref="UPJ94:UPY94"/>
    <mergeCell ref="UIP94:UJE94"/>
    <mergeCell ref="UJF94:UJU94"/>
    <mergeCell ref="UJV94:UKK94"/>
    <mergeCell ref="UKL94:ULA94"/>
    <mergeCell ref="ULB94:ULQ94"/>
    <mergeCell ref="ULR94:UMG94"/>
    <mergeCell ref="UEX94:UFM94"/>
    <mergeCell ref="UFN94:UGC94"/>
    <mergeCell ref="UGD94:UGS94"/>
    <mergeCell ref="UGT94:UHI94"/>
    <mergeCell ref="UHJ94:UHY94"/>
    <mergeCell ref="UHZ94:UIO94"/>
    <mergeCell ref="UBF94:UBU94"/>
    <mergeCell ref="UBV94:UCK94"/>
    <mergeCell ref="UCL94:UDA94"/>
    <mergeCell ref="UDB94:UDQ94"/>
    <mergeCell ref="UDR94:UEG94"/>
    <mergeCell ref="UEH94:UEW94"/>
    <mergeCell ref="TXN94:TYC94"/>
    <mergeCell ref="TYD94:TYS94"/>
    <mergeCell ref="TYT94:TZI94"/>
    <mergeCell ref="TZJ94:TZY94"/>
    <mergeCell ref="TZZ94:UAO94"/>
    <mergeCell ref="UAP94:UBE94"/>
    <mergeCell ref="TTV94:TUK94"/>
    <mergeCell ref="TUL94:TVA94"/>
    <mergeCell ref="TVB94:TVQ94"/>
    <mergeCell ref="TVR94:TWG94"/>
    <mergeCell ref="TWH94:TWW94"/>
    <mergeCell ref="TWX94:TXM94"/>
    <mergeCell ref="TQD94:TQS94"/>
    <mergeCell ref="TQT94:TRI94"/>
    <mergeCell ref="TRJ94:TRY94"/>
    <mergeCell ref="TRZ94:TSO94"/>
    <mergeCell ref="TSP94:TTE94"/>
    <mergeCell ref="TTF94:TTU94"/>
    <mergeCell ref="TML94:TNA94"/>
    <mergeCell ref="TNB94:TNQ94"/>
    <mergeCell ref="TNR94:TOG94"/>
    <mergeCell ref="TOH94:TOW94"/>
    <mergeCell ref="TOX94:TPM94"/>
    <mergeCell ref="TPN94:TQC94"/>
    <mergeCell ref="TIT94:TJI94"/>
    <mergeCell ref="TJJ94:TJY94"/>
    <mergeCell ref="TJZ94:TKO94"/>
    <mergeCell ref="TKP94:TLE94"/>
    <mergeCell ref="TLF94:TLU94"/>
    <mergeCell ref="TLV94:TMK94"/>
    <mergeCell ref="TFB94:TFQ94"/>
    <mergeCell ref="TFR94:TGG94"/>
    <mergeCell ref="TGH94:TGW94"/>
    <mergeCell ref="TGX94:THM94"/>
    <mergeCell ref="THN94:TIC94"/>
    <mergeCell ref="TID94:TIS94"/>
    <mergeCell ref="TBJ94:TBY94"/>
    <mergeCell ref="TBZ94:TCO94"/>
    <mergeCell ref="TCP94:TDE94"/>
    <mergeCell ref="TDF94:TDU94"/>
    <mergeCell ref="TDV94:TEK94"/>
    <mergeCell ref="TEL94:TFA94"/>
    <mergeCell ref="SXR94:SYG94"/>
    <mergeCell ref="SYH94:SYW94"/>
    <mergeCell ref="SYX94:SZM94"/>
    <mergeCell ref="SZN94:TAC94"/>
    <mergeCell ref="TAD94:TAS94"/>
    <mergeCell ref="TAT94:TBI94"/>
    <mergeCell ref="STZ94:SUO94"/>
    <mergeCell ref="SUP94:SVE94"/>
    <mergeCell ref="SVF94:SVU94"/>
    <mergeCell ref="SVV94:SWK94"/>
    <mergeCell ref="SWL94:SXA94"/>
    <mergeCell ref="SXB94:SXQ94"/>
    <mergeCell ref="SQH94:SQW94"/>
    <mergeCell ref="SQX94:SRM94"/>
    <mergeCell ref="SRN94:SSC94"/>
    <mergeCell ref="SSD94:SSS94"/>
    <mergeCell ref="SST94:STI94"/>
    <mergeCell ref="STJ94:STY94"/>
    <mergeCell ref="SMP94:SNE94"/>
    <mergeCell ref="SNF94:SNU94"/>
    <mergeCell ref="SNV94:SOK94"/>
    <mergeCell ref="SOL94:SPA94"/>
    <mergeCell ref="SPB94:SPQ94"/>
    <mergeCell ref="SPR94:SQG94"/>
    <mergeCell ref="SIX94:SJM94"/>
    <mergeCell ref="SJN94:SKC94"/>
    <mergeCell ref="SKD94:SKS94"/>
    <mergeCell ref="SKT94:SLI94"/>
    <mergeCell ref="SLJ94:SLY94"/>
    <mergeCell ref="SLZ94:SMO94"/>
    <mergeCell ref="SFF94:SFU94"/>
    <mergeCell ref="SFV94:SGK94"/>
    <mergeCell ref="SGL94:SHA94"/>
    <mergeCell ref="SHB94:SHQ94"/>
    <mergeCell ref="SHR94:SIG94"/>
    <mergeCell ref="SIH94:SIW94"/>
    <mergeCell ref="SBN94:SCC94"/>
    <mergeCell ref="SCD94:SCS94"/>
    <mergeCell ref="SCT94:SDI94"/>
    <mergeCell ref="SDJ94:SDY94"/>
    <mergeCell ref="SDZ94:SEO94"/>
    <mergeCell ref="SEP94:SFE94"/>
    <mergeCell ref="RXV94:RYK94"/>
    <mergeCell ref="RYL94:RZA94"/>
    <mergeCell ref="RZB94:RZQ94"/>
    <mergeCell ref="RZR94:SAG94"/>
    <mergeCell ref="SAH94:SAW94"/>
    <mergeCell ref="SAX94:SBM94"/>
    <mergeCell ref="RUD94:RUS94"/>
    <mergeCell ref="RUT94:RVI94"/>
    <mergeCell ref="RVJ94:RVY94"/>
    <mergeCell ref="RVZ94:RWO94"/>
    <mergeCell ref="RWP94:RXE94"/>
    <mergeCell ref="RXF94:RXU94"/>
    <mergeCell ref="RQL94:RRA94"/>
    <mergeCell ref="RRB94:RRQ94"/>
    <mergeCell ref="RRR94:RSG94"/>
    <mergeCell ref="RSH94:RSW94"/>
    <mergeCell ref="RSX94:RTM94"/>
    <mergeCell ref="RTN94:RUC94"/>
    <mergeCell ref="RMT94:RNI94"/>
    <mergeCell ref="RNJ94:RNY94"/>
    <mergeCell ref="RNZ94:ROO94"/>
    <mergeCell ref="ROP94:RPE94"/>
    <mergeCell ref="RPF94:RPU94"/>
    <mergeCell ref="RPV94:RQK94"/>
    <mergeCell ref="RJB94:RJQ94"/>
    <mergeCell ref="RJR94:RKG94"/>
    <mergeCell ref="RKH94:RKW94"/>
    <mergeCell ref="RKX94:RLM94"/>
    <mergeCell ref="RLN94:RMC94"/>
    <mergeCell ref="RMD94:RMS94"/>
    <mergeCell ref="RFJ94:RFY94"/>
    <mergeCell ref="RFZ94:RGO94"/>
    <mergeCell ref="RGP94:RHE94"/>
    <mergeCell ref="RHF94:RHU94"/>
    <mergeCell ref="RHV94:RIK94"/>
    <mergeCell ref="RIL94:RJA94"/>
    <mergeCell ref="RBR94:RCG94"/>
    <mergeCell ref="RCH94:RCW94"/>
    <mergeCell ref="RCX94:RDM94"/>
    <mergeCell ref="RDN94:REC94"/>
    <mergeCell ref="RED94:RES94"/>
    <mergeCell ref="RET94:RFI94"/>
    <mergeCell ref="QXZ94:QYO94"/>
    <mergeCell ref="QYP94:QZE94"/>
    <mergeCell ref="QZF94:QZU94"/>
    <mergeCell ref="QZV94:RAK94"/>
    <mergeCell ref="RAL94:RBA94"/>
    <mergeCell ref="RBB94:RBQ94"/>
    <mergeCell ref="QUH94:QUW94"/>
    <mergeCell ref="QUX94:QVM94"/>
    <mergeCell ref="QVN94:QWC94"/>
    <mergeCell ref="QWD94:QWS94"/>
    <mergeCell ref="QWT94:QXI94"/>
    <mergeCell ref="QXJ94:QXY94"/>
    <mergeCell ref="QQP94:QRE94"/>
    <mergeCell ref="QRF94:QRU94"/>
    <mergeCell ref="QRV94:QSK94"/>
    <mergeCell ref="QSL94:QTA94"/>
    <mergeCell ref="QTB94:QTQ94"/>
    <mergeCell ref="QTR94:QUG94"/>
    <mergeCell ref="QMX94:QNM94"/>
    <mergeCell ref="QNN94:QOC94"/>
    <mergeCell ref="QOD94:QOS94"/>
    <mergeCell ref="QOT94:QPI94"/>
    <mergeCell ref="QPJ94:QPY94"/>
    <mergeCell ref="QPZ94:QQO94"/>
    <mergeCell ref="QJF94:QJU94"/>
    <mergeCell ref="QJV94:QKK94"/>
    <mergeCell ref="QKL94:QLA94"/>
    <mergeCell ref="QLB94:QLQ94"/>
    <mergeCell ref="QLR94:QMG94"/>
    <mergeCell ref="QMH94:QMW94"/>
    <mergeCell ref="QFN94:QGC94"/>
    <mergeCell ref="QGD94:QGS94"/>
    <mergeCell ref="QGT94:QHI94"/>
    <mergeCell ref="QHJ94:QHY94"/>
    <mergeCell ref="QHZ94:QIO94"/>
    <mergeCell ref="QIP94:QJE94"/>
    <mergeCell ref="QBV94:QCK94"/>
    <mergeCell ref="QCL94:QDA94"/>
    <mergeCell ref="QDB94:QDQ94"/>
    <mergeCell ref="QDR94:QEG94"/>
    <mergeCell ref="QEH94:QEW94"/>
    <mergeCell ref="QEX94:QFM94"/>
    <mergeCell ref="PYD94:PYS94"/>
    <mergeCell ref="PYT94:PZI94"/>
    <mergeCell ref="PZJ94:PZY94"/>
    <mergeCell ref="PZZ94:QAO94"/>
    <mergeCell ref="QAP94:QBE94"/>
    <mergeCell ref="QBF94:QBU94"/>
    <mergeCell ref="PUL94:PVA94"/>
    <mergeCell ref="PVB94:PVQ94"/>
    <mergeCell ref="PVR94:PWG94"/>
    <mergeCell ref="PWH94:PWW94"/>
    <mergeCell ref="PWX94:PXM94"/>
    <mergeCell ref="PXN94:PYC94"/>
    <mergeCell ref="PQT94:PRI94"/>
    <mergeCell ref="PRJ94:PRY94"/>
    <mergeCell ref="PRZ94:PSO94"/>
    <mergeCell ref="PSP94:PTE94"/>
    <mergeCell ref="PTF94:PTU94"/>
    <mergeCell ref="PTV94:PUK94"/>
    <mergeCell ref="PNB94:PNQ94"/>
    <mergeCell ref="PNR94:POG94"/>
    <mergeCell ref="POH94:POW94"/>
    <mergeCell ref="POX94:PPM94"/>
    <mergeCell ref="PPN94:PQC94"/>
    <mergeCell ref="PQD94:PQS94"/>
    <mergeCell ref="PJJ94:PJY94"/>
    <mergeCell ref="PJZ94:PKO94"/>
    <mergeCell ref="PKP94:PLE94"/>
    <mergeCell ref="PLF94:PLU94"/>
    <mergeCell ref="PLV94:PMK94"/>
    <mergeCell ref="PML94:PNA94"/>
    <mergeCell ref="PFR94:PGG94"/>
    <mergeCell ref="PGH94:PGW94"/>
    <mergeCell ref="PGX94:PHM94"/>
    <mergeCell ref="PHN94:PIC94"/>
    <mergeCell ref="PID94:PIS94"/>
    <mergeCell ref="PIT94:PJI94"/>
    <mergeCell ref="PBZ94:PCO94"/>
    <mergeCell ref="PCP94:PDE94"/>
    <mergeCell ref="PDF94:PDU94"/>
    <mergeCell ref="PDV94:PEK94"/>
    <mergeCell ref="PEL94:PFA94"/>
    <mergeCell ref="PFB94:PFQ94"/>
    <mergeCell ref="OYH94:OYW94"/>
    <mergeCell ref="OYX94:OZM94"/>
    <mergeCell ref="OZN94:PAC94"/>
    <mergeCell ref="PAD94:PAS94"/>
    <mergeCell ref="PAT94:PBI94"/>
    <mergeCell ref="PBJ94:PBY94"/>
    <mergeCell ref="OUP94:OVE94"/>
    <mergeCell ref="OVF94:OVU94"/>
    <mergeCell ref="OVV94:OWK94"/>
    <mergeCell ref="OWL94:OXA94"/>
    <mergeCell ref="OXB94:OXQ94"/>
    <mergeCell ref="OXR94:OYG94"/>
    <mergeCell ref="OQX94:ORM94"/>
    <mergeCell ref="ORN94:OSC94"/>
    <mergeCell ref="OSD94:OSS94"/>
    <mergeCell ref="OST94:OTI94"/>
    <mergeCell ref="OTJ94:OTY94"/>
    <mergeCell ref="OTZ94:OUO94"/>
    <mergeCell ref="ONF94:ONU94"/>
    <mergeCell ref="ONV94:OOK94"/>
    <mergeCell ref="OOL94:OPA94"/>
    <mergeCell ref="OPB94:OPQ94"/>
    <mergeCell ref="OPR94:OQG94"/>
    <mergeCell ref="OQH94:OQW94"/>
    <mergeCell ref="OJN94:OKC94"/>
    <mergeCell ref="OKD94:OKS94"/>
    <mergeCell ref="OKT94:OLI94"/>
    <mergeCell ref="OLJ94:OLY94"/>
    <mergeCell ref="OLZ94:OMO94"/>
    <mergeCell ref="OMP94:ONE94"/>
    <mergeCell ref="OFV94:OGK94"/>
    <mergeCell ref="OGL94:OHA94"/>
    <mergeCell ref="OHB94:OHQ94"/>
    <mergeCell ref="OHR94:OIG94"/>
    <mergeCell ref="OIH94:OIW94"/>
    <mergeCell ref="OIX94:OJM94"/>
    <mergeCell ref="OCD94:OCS94"/>
    <mergeCell ref="OCT94:ODI94"/>
    <mergeCell ref="ODJ94:ODY94"/>
    <mergeCell ref="ODZ94:OEO94"/>
    <mergeCell ref="OEP94:OFE94"/>
    <mergeCell ref="OFF94:OFU94"/>
    <mergeCell ref="NYL94:NZA94"/>
    <mergeCell ref="NZB94:NZQ94"/>
    <mergeCell ref="NZR94:OAG94"/>
    <mergeCell ref="OAH94:OAW94"/>
    <mergeCell ref="OAX94:OBM94"/>
    <mergeCell ref="OBN94:OCC94"/>
    <mergeCell ref="NUT94:NVI94"/>
    <mergeCell ref="NVJ94:NVY94"/>
    <mergeCell ref="NVZ94:NWO94"/>
    <mergeCell ref="NWP94:NXE94"/>
    <mergeCell ref="NXF94:NXU94"/>
    <mergeCell ref="NXV94:NYK94"/>
    <mergeCell ref="NRB94:NRQ94"/>
    <mergeCell ref="NRR94:NSG94"/>
    <mergeCell ref="NSH94:NSW94"/>
    <mergeCell ref="NSX94:NTM94"/>
    <mergeCell ref="NTN94:NUC94"/>
    <mergeCell ref="NUD94:NUS94"/>
    <mergeCell ref="NNJ94:NNY94"/>
    <mergeCell ref="NNZ94:NOO94"/>
    <mergeCell ref="NOP94:NPE94"/>
    <mergeCell ref="NPF94:NPU94"/>
    <mergeCell ref="NPV94:NQK94"/>
    <mergeCell ref="NQL94:NRA94"/>
    <mergeCell ref="NJR94:NKG94"/>
    <mergeCell ref="NKH94:NKW94"/>
    <mergeCell ref="NKX94:NLM94"/>
    <mergeCell ref="NLN94:NMC94"/>
    <mergeCell ref="NMD94:NMS94"/>
    <mergeCell ref="NMT94:NNI94"/>
    <mergeCell ref="NFZ94:NGO94"/>
    <mergeCell ref="NGP94:NHE94"/>
    <mergeCell ref="NHF94:NHU94"/>
    <mergeCell ref="NHV94:NIK94"/>
    <mergeCell ref="NIL94:NJA94"/>
    <mergeCell ref="NJB94:NJQ94"/>
    <mergeCell ref="NCH94:NCW94"/>
    <mergeCell ref="NCX94:NDM94"/>
    <mergeCell ref="NDN94:NEC94"/>
    <mergeCell ref="NED94:NES94"/>
    <mergeCell ref="NET94:NFI94"/>
    <mergeCell ref="NFJ94:NFY94"/>
    <mergeCell ref="MYP94:MZE94"/>
    <mergeCell ref="MZF94:MZU94"/>
    <mergeCell ref="MZV94:NAK94"/>
    <mergeCell ref="NAL94:NBA94"/>
    <mergeCell ref="NBB94:NBQ94"/>
    <mergeCell ref="NBR94:NCG94"/>
    <mergeCell ref="MUX94:MVM94"/>
    <mergeCell ref="MVN94:MWC94"/>
    <mergeCell ref="MWD94:MWS94"/>
    <mergeCell ref="MWT94:MXI94"/>
    <mergeCell ref="MXJ94:MXY94"/>
    <mergeCell ref="MXZ94:MYO94"/>
    <mergeCell ref="MRF94:MRU94"/>
    <mergeCell ref="MRV94:MSK94"/>
    <mergeCell ref="MSL94:MTA94"/>
    <mergeCell ref="MTB94:MTQ94"/>
    <mergeCell ref="MTR94:MUG94"/>
    <mergeCell ref="MUH94:MUW94"/>
    <mergeCell ref="MNN94:MOC94"/>
    <mergeCell ref="MOD94:MOS94"/>
    <mergeCell ref="MOT94:MPI94"/>
    <mergeCell ref="MPJ94:MPY94"/>
    <mergeCell ref="MPZ94:MQO94"/>
    <mergeCell ref="MQP94:MRE94"/>
    <mergeCell ref="MJV94:MKK94"/>
    <mergeCell ref="MKL94:MLA94"/>
    <mergeCell ref="MLB94:MLQ94"/>
    <mergeCell ref="MLR94:MMG94"/>
    <mergeCell ref="MMH94:MMW94"/>
    <mergeCell ref="MMX94:MNM94"/>
    <mergeCell ref="MGD94:MGS94"/>
    <mergeCell ref="MGT94:MHI94"/>
    <mergeCell ref="MHJ94:MHY94"/>
    <mergeCell ref="MHZ94:MIO94"/>
    <mergeCell ref="MIP94:MJE94"/>
    <mergeCell ref="MJF94:MJU94"/>
    <mergeCell ref="MCL94:MDA94"/>
    <mergeCell ref="MDB94:MDQ94"/>
    <mergeCell ref="MDR94:MEG94"/>
    <mergeCell ref="MEH94:MEW94"/>
    <mergeCell ref="MEX94:MFM94"/>
    <mergeCell ref="MFN94:MGC94"/>
    <mergeCell ref="LYT94:LZI94"/>
    <mergeCell ref="LZJ94:LZY94"/>
    <mergeCell ref="LZZ94:MAO94"/>
    <mergeCell ref="MAP94:MBE94"/>
    <mergeCell ref="MBF94:MBU94"/>
    <mergeCell ref="MBV94:MCK94"/>
    <mergeCell ref="LVB94:LVQ94"/>
    <mergeCell ref="LVR94:LWG94"/>
    <mergeCell ref="LWH94:LWW94"/>
    <mergeCell ref="LWX94:LXM94"/>
    <mergeCell ref="LXN94:LYC94"/>
    <mergeCell ref="LYD94:LYS94"/>
    <mergeCell ref="LRJ94:LRY94"/>
    <mergeCell ref="LRZ94:LSO94"/>
    <mergeCell ref="LSP94:LTE94"/>
    <mergeCell ref="LTF94:LTU94"/>
    <mergeCell ref="LTV94:LUK94"/>
    <mergeCell ref="LUL94:LVA94"/>
    <mergeCell ref="LNR94:LOG94"/>
    <mergeCell ref="LOH94:LOW94"/>
    <mergeCell ref="LOX94:LPM94"/>
    <mergeCell ref="LPN94:LQC94"/>
    <mergeCell ref="LQD94:LQS94"/>
    <mergeCell ref="LQT94:LRI94"/>
    <mergeCell ref="LJZ94:LKO94"/>
    <mergeCell ref="LKP94:LLE94"/>
    <mergeCell ref="LLF94:LLU94"/>
    <mergeCell ref="LLV94:LMK94"/>
    <mergeCell ref="LML94:LNA94"/>
    <mergeCell ref="LNB94:LNQ94"/>
    <mergeCell ref="LGH94:LGW94"/>
    <mergeCell ref="LGX94:LHM94"/>
    <mergeCell ref="LHN94:LIC94"/>
    <mergeCell ref="LID94:LIS94"/>
    <mergeCell ref="LIT94:LJI94"/>
    <mergeCell ref="LJJ94:LJY94"/>
    <mergeCell ref="LCP94:LDE94"/>
    <mergeCell ref="LDF94:LDU94"/>
    <mergeCell ref="LDV94:LEK94"/>
    <mergeCell ref="LEL94:LFA94"/>
    <mergeCell ref="LFB94:LFQ94"/>
    <mergeCell ref="LFR94:LGG94"/>
    <mergeCell ref="KYX94:KZM94"/>
    <mergeCell ref="KZN94:LAC94"/>
    <mergeCell ref="LAD94:LAS94"/>
    <mergeCell ref="LAT94:LBI94"/>
    <mergeCell ref="LBJ94:LBY94"/>
    <mergeCell ref="LBZ94:LCO94"/>
    <mergeCell ref="KVF94:KVU94"/>
    <mergeCell ref="KVV94:KWK94"/>
    <mergeCell ref="KWL94:KXA94"/>
    <mergeCell ref="KXB94:KXQ94"/>
    <mergeCell ref="KXR94:KYG94"/>
    <mergeCell ref="KYH94:KYW94"/>
    <mergeCell ref="KRN94:KSC94"/>
    <mergeCell ref="KSD94:KSS94"/>
    <mergeCell ref="KST94:KTI94"/>
    <mergeCell ref="KTJ94:KTY94"/>
    <mergeCell ref="KTZ94:KUO94"/>
    <mergeCell ref="KUP94:KVE94"/>
    <mergeCell ref="KNV94:KOK94"/>
    <mergeCell ref="KOL94:KPA94"/>
    <mergeCell ref="KPB94:KPQ94"/>
    <mergeCell ref="KPR94:KQG94"/>
    <mergeCell ref="KQH94:KQW94"/>
    <mergeCell ref="KQX94:KRM94"/>
    <mergeCell ref="KKD94:KKS94"/>
    <mergeCell ref="KKT94:KLI94"/>
    <mergeCell ref="KLJ94:KLY94"/>
    <mergeCell ref="KLZ94:KMO94"/>
    <mergeCell ref="KMP94:KNE94"/>
    <mergeCell ref="KNF94:KNU94"/>
    <mergeCell ref="KGL94:KHA94"/>
    <mergeCell ref="KHB94:KHQ94"/>
    <mergeCell ref="KHR94:KIG94"/>
    <mergeCell ref="KIH94:KIW94"/>
    <mergeCell ref="KIX94:KJM94"/>
    <mergeCell ref="KJN94:KKC94"/>
    <mergeCell ref="KCT94:KDI94"/>
    <mergeCell ref="KDJ94:KDY94"/>
    <mergeCell ref="KDZ94:KEO94"/>
    <mergeCell ref="KEP94:KFE94"/>
    <mergeCell ref="KFF94:KFU94"/>
    <mergeCell ref="KFV94:KGK94"/>
    <mergeCell ref="JZB94:JZQ94"/>
    <mergeCell ref="JZR94:KAG94"/>
    <mergeCell ref="KAH94:KAW94"/>
    <mergeCell ref="KAX94:KBM94"/>
    <mergeCell ref="KBN94:KCC94"/>
    <mergeCell ref="KCD94:KCS94"/>
    <mergeCell ref="JVJ94:JVY94"/>
    <mergeCell ref="JVZ94:JWO94"/>
    <mergeCell ref="JWP94:JXE94"/>
    <mergeCell ref="JXF94:JXU94"/>
    <mergeCell ref="JXV94:JYK94"/>
    <mergeCell ref="JYL94:JZA94"/>
    <mergeCell ref="JRR94:JSG94"/>
    <mergeCell ref="JSH94:JSW94"/>
    <mergeCell ref="JSX94:JTM94"/>
    <mergeCell ref="JTN94:JUC94"/>
    <mergeCell ref="JUD94:JUS94"/>
    <mergeCell ref="JUT94:JVI94"/>
    <mergeCell ref="JNZ94:JOO94"/>
    <mergeCell ref="JOP94:JPE94"/>
    <mergeCell ref="JPF94:JPU94"/>
    <mergeCell ref="JPV94:JQK94"/>
    <mergeCell ref="JQL94:JRA94"/>
    <mergeCell ref="JRB94:JRQ94"/>
    <mergeCell ref="JKH94:JKW94"/>
    <mergeCell ref="JKX94:JLM94"/>
    <mergeCell ref="JLN94:JMC94"/>
    <mergeCell ref="JMD94:JMS94"/>
    <mergeCell ref="JMT94:JNI94"/>
    <mergeCell ref="JNJ94:JNY94"/>
    <mergeCell ref="JGP94:JHE94"/>
    <mergeCell ref="JHF94:JHU94"/>
    <mergeCell ref="JHV94:JIK94"/>
    <mergeCell ref="JIL94:JJA94"/>
    <mergeCell ref="JJB94:JJQ94"/>
    <mergeCell ref="JJR94:JKG94"/>
    <mergeCell ref="JCX94:JDM94"/>
    <mergeCell ref="JDN94:JEC94"/>
    <mergeCell ref="JED94:JES94"/>
    <mergeCell ref="JET94:JFI94"/>
    <mergeCell ref="JFJ94:JFY94"/>
    <mergeCell ref="JFZ94:JGO94"/>
    <mergeCell ref="IZF94:IZU94"/>
    <mergeCell ref="IZV94:JAK94"/>
    <mergeCell ref="JAL94:JBA94"/>
    <mergeCell ref="JBB94:JBQ94"/>
    <mergeCell ref="JBR94:JCG94"/>
    <mergeCell ref="JCH94:JCW94"/>
    <mergeCell ref="IVN94:IWC94"/>
    <mergeCell ref="IWD94:IWS94"/>
    <mergeCell ref="IWT94:IXI94"/>
    <mergeCell ref="IXJ94:IXY94"/>
    <mergeCell ref="IXZ94:IYO94"/>
    <mergeCell ref="IYP94:IZE94"/>
    <mergeCell ref="IRV94:ISK94"/>
    <mergeCell ref="ISL94:ITA94"/>
    <mergeCell ref="ITB94:ITQ94"/>
    <mergeCell ref="ITR94:IUG94"/>
    <mergeCell ref="IUH94:IUW94"/>
    <mergeCell ref="IUX94:IVM94"/>
    <mergeCell ref="IOD94:IOS94"/>
    <mergeCell ref="IOT94:IPI94"/>
    <mergeCell ref="IPJ94:IPY94"/>
    <mergeCell ref="IPZ94:IQO94"/>
    <mergeCell ref="IQP94:IRE94"/>
    <mergeCell ref="IRF94:IRU94"/>
    <mergeCell ref="IKL94:ILA94"/>
    <mergeCell ref="ILB94:ILQ94"/>
    <mergeCell ref="ILR94:IMG94"/>
    <mergeCell ref="IMH94:IMW94"/>
    <mergeCell ref="IMX94:INM94"/>
    <mergeCell ref="INN94:IOC94"/>
    <mergeCell ref="IGT94:IHI94"/>
    <mergeCell ref="IHJ94:IHY94"/>
    <mergeCell ref="IHZ94:IIO94"/>
    <mergeCell ref="IIP94:IJE94"/>
    <mergeCell ref="IJF94:IJU94"/>
    <mergeCell ref="IJV94:IKK94"/>
    <mergeCell ref="IDB94:IDQ94"/>
    <mergeCell ref="IDR94:IEG94"/>
    <mergeCell ref="IEH94:IEW94"/>
    <mergeCell ref="IEX94:IFM94"/>
    <mergeCell ref="IFN94:IGC94"/>
    <mergeCell ref="IGD94:IGS94"/>
    <mergeCell ref="HZJ94:HZY94"/>
    <mergeCell ref="HZZ94:IAO94"/>
    <mergeCell ref="IAP94:IBE94"/>
    <mergeCell ref="IBF94:IBU94"/>
    <mergeCell ref="IBV94:ICK94"/>
    <mergeCell ref="ICL94:IDA94"/>
    <mergeCell ref="HVR94:HWG94"/>
    <mergeCell ref="HWH94:HWW94"/>
    <mergeCell ref="HWX94:HXM94"/>
    <mergeCell ref="HXN94:HYC94"/>
    <mergeCell ref="HYD94:HYS94"/>
    <mergeCell ref="HYT94:HZI94"/>
    <mergeCell ref="HRZ94:HSO94"/>
    <mergeCell ref="HSP94:HTE94"/>
    <mergeCell ref="HTF94:HTU94"/>
    <mergeCell ref="HTV94:HUK94"/>
    <mergeCell ref="HUL94:HVA94"/>
    <mergeCell ref="HVB94:HVQ94"/>
    <mergeCell ref="HOH94:HOW94"/>
    <mergeCell ref="HOX94:HPM94"/>
    <mergeCell ref="HPN94:HQC94"/>
    <mergeCell ref="HQD94:HQS94"/>
    <mergeCell ref="HQT94:HRI94"/>
    <mergeCell ref="HRJ94:HRY94"/>
    <mergeCell ref="HKP94:HLE94"/>
    <mergeCell ref="HLF94:HLU94"/>
    <mergeCell ref="HLV94:HMK94"/>
    <mergeCell ref="HML94:HNA94"/>
    <mergeCell ref="HNB94:HNQ94"/>
    <mergeCell ref="HNR94:HOG94"/>
    <mergeCell ref="HGX94:HHM94"/>
    <mergeCell ref="HHN94:HIC94"/>
    <mergeCell ref="HID94:HIS94"/>
    <mergeCell ref="HIT94:HJI94"/>
    <mergeCell ref="HJJ94:HJY94"/>
    <mergeCell ref="HJZ94:HKO94"/>
    <mergeCell ref="HDF94:HDU94"/>
    <mergeCell ref="HDV94:HEK94"/>
    <mergeCell ref="HEL94:HFA94"/>
    <mergeCell ref="HFB94:HFQ94"/>
    <mergeCell ref="HFR94:HGG94"/>
    <mergeCell ref="HGH94:HGW94"/>
    <mergeCell ref="GZN94:HAC94"/>
    <mergeCell ref="HAD94:HAS94"/>
    <mergeCell ref="HAT94:HBI94"/>
    <mergeCell ref="HBJ94:HBY94"/>
    <mergeCell ref="HBZ94:HCO94"/>
    <mergeCell ref="HCP94:HDE94"/>
    <mergeCell ref="GVV94:GWK94"/>
    <mergeCell ref="GWL94:GXA94"/>
    <mergeCell ref="GXB94:GXQ94"/>
    <mergeCell ref="GXR94:GYG94"/>
    <mergeCell ref="GYH94:GYW94"/>
    <mergeCell ref="GYX94:GZM94"/>
    <mergeCell ref="GSD94:GSS94"/>
    <mergeCell ref="GST94:GTI94"/>
    <mergeCell ref="GTJ94:GTY94"/>
    <mergeCell ref="GTZ94:GUO94"/>
    <mergeCell ref="GUP94:GVE94"/>
    <mergeCell ref="GVF94:GVU94"/>
    <mergeCell ref="GOL94:GPA94"/>
    <mergeCell ref="GPB94:GPQ94"/>
    <mergeCell ref="GPR94:GQG94"/>
    <mergeCell ref="GQH94:GQW94"/>
    <mergeCell ref="GQX94:GRM94"/>
    <mergeCell ref="GRN94:GSC94"/>
    <mergeCell ref="GKT94:GLI94"/>
    <mergeCell ref="GLJ94:GLY94"/>
    <mergeCell ref="GLZ94:GMO94"/>
    <mergeCell ref="GMP94:GNE94"/>
    <mergeCell ref="GNF94:GNU94"/>
    <mergeCell ref="GNV94:GOK94"/>
    <mergeCell ref="GHB94:GHQ94"/>
    <mergeCell ref="GHR94:GIG94"/>
    <mergeCell ref="GIH94:GIW94"/>
    <mergeCell ref="GIX94:GJM94"/>
    <mergeCell ref="GJN94:GKC94"/>
    <mergeCell ref="GKD94:GKS94"/>
    <mergeCell ref="GDJ94:GDY94"/>
    <mergeCell ref="GDZ94:GEO94"/>
    <mergeCell ref="GEP94:GFE94"/>
    <mergeCell ref="GFF94:GFU94"/>
    <mergeCell ref="GFV94:GGK94"/>
    <mergeCell ref="GGL94:GHA94"/>
    <mergeCell ref="FZR94:GAG94"/>
    <mergeCell ref="GAH94:GAW94"/>
    <mergeCell ref="GAX94:GBM94"/>
    <mergeCell ref="GBN94:GCC94"/>
    <mergeCell ref="GCD94:GCS94"/>
    <mergeCell ref="GCT94:GDI94"/>
    <mergeCell ref="FVZ94:FWO94"/>
    <mergeCell ref="FWP94:FXE94"/>
    <mergeCell ref="FXF94:FXU94"/>
    <mergeCell ref="FXV94:FYK94"/>
    <mergeCell ref="FYL94:FZA94"/>
    <mergeCell ref="FZB94:FZQ94"/>
    <mergeCell ref="FSH94:FSW94"/>
    <mergeCell ref="FSX94:FTM94"/>
    <mergeCell ref="FTN94:FUC94"/>
    <mergeCell ref="FUD94:FUS94"/>
    <mergeCell ref="FUT94:FVI94"/>
    <mergeCell ref="FVJ94:FVY94"/>
    <mergeCell ref="FOP94:FPE94"/>
    <mergeCell ref="FPF94:FPU94"/>
    <mergeCell ref="FPV94:FQK94"/>
    <mergeCell ref="FQL94:FRA94"/>
    <mergeCell ref="FRB94:FRQ94"/>
    <mergeCell ref="FRR94:FSG94"/>
    <mergeCell ref="FKX94:FLM94"/>
    <mergeCell ref="FLN94:FMC94"/>
    <mergeCell ref="FMD94:FMS94"/>
    <mergeCell ref="FMT94:FNI94"/>
    <mergeCell ref="FNJ94:FNY94"/>
    <mergeCell ref="FNZ94:FOO94"/>
    <mergeCell ref="FHF94:FHU94"/>
    <mergeCell ref="FHV94:FIK94"/>
    <mergeCell ref="FIL94:FJA94"/>
    <mergeCell ref="FJB94:FJQ94"/>
    <mergeCell ref="FJR94:FKG94"/>
    <mergeCell ref="FKH94:FKW94"/>
    <mergeCell ref="FDN94:FEC94"/>
    <mergeCell ref="FED94:FES94"/>
    <mergeCell ref="FET94:FFI94"/>
    <mergeCell ref="FFJ94:FFY94"/>
    <mergeCell ref="FFZ94:FGO94"/>
    <mergeCell ref="FGP94:FHE94"/>
    <mergeCell ref="EZV94:FAK94"/>
    <mergeCell ref="FAL94:FBA94"/>
    <mergeCell ref="FBB94:FBQ94"/>
    <mergeCell ref="FBR94:FCG94"/>
    <mergeCell ref="FCH94:FCW94"/>
    <mergeCell ref="FCX94:FDM94"/>
    <mergeCell ref="EWD94:EWS94"/>
    <mergeCell ref="EWT94:EXI94"/>
    <mergeCell ref="EXJ94:EXY94"/>
    <mergeCell ref="EXZ94:EYO94"/>
    <mergeCell ref="EYP94:EZE94"/>
    <mergeCell ref="EZF94:EZU94"/>
    <mergeCell ref="ESL94:ETA94"/>
    <mergeCell ref="ETB94:ETQ94"/>
    <mergeCell ref="ETR94:EUG94"/>
    <mergeCell ref="EUH94:EUW94"/>
    <mergeCell ref="EUX94:EVM94"/>
    <mergeCell ref="EVN94:EWC94"/>
    <mergeCell ref="EOT94:EPI94"/>
    <mergeCell ref="EPJ94:EPY94"/>
    <mergeCell ref="EPZ94:EQO94"/>
    <mergeCell ref="EQP94:ERE94"/>
    <mergeCell ref="ERF94:ERU94"/>
    <mergeCell ref="ERV94:ESK94"/>
    <mergeCell ref="ELB94:ELQ94"/>
    <mergeCell ref="ELR94:EMG94"/>
    <mergeCell ref="EMH94:EMW94"/>
    <mergeCell ref="EMX94:ENM94"/>
    <mergeCell ref="ENN94:EOC94"/>
    <mergeCell ref="EOD94:EOS94"/>
    <mergeCell ref="EHJ94:EHY94"/>
    <mergeCell ref="EHZ94:EIO94"/>
    <mergeCell ref="EIP94:EJE94"/>
    <mergeCell ref="EJF94:EJU94"/>
    <mergeCell ref="EJV94:EKK94"/>
    <mergeCell ref="EKL94:ELA94"/>
    <mergeCell ref="EDR94:EEG94"/>
    <mergeCell ref="EEH94:EEW94"/>
    <mergeCell ref="EEX94:EFM94"/>
    <mergeCell ref="EFN94:EGC94"/>
    <mergeCell ref="EGD94:EGS94"/>
    <mergeCell ref="EGT94:EHI94"/>
    <mergeCell ref="DZZ94:EAO94"/>
    <mergeCell ref="EAP94:EBE94"/>
    <mergeCell ref="EBF94:EBU94"/>
    <mergeCell ref="EBV94:ECK94"/>
    <mergeCell ref="ECL94:EDA94"/>
    <mergeCell ref="EDB94:EDQ94"/>
    <mergeCell ref="DWH94:DWW94"/>
    <mergeCell ref="DWX94:DXM94"/>
    <mergeCell ref="DXN94:DYC94"/>
    <mergeCell ref="DYD94:DYS94"/>
    <mergeCell ref="DYT94:DZI94"/>
    <mergeCell ref="DZJ94:DZY94"/>
    <mergeCell ref="DSP94:DTE94"/>
    <mergeCell ref="DTF94:DTU94"/>
    <mergeCell ref="DTV94:DUK94"/>
    <mergeCell ref="DUL94:DVA94"/>
    <mergeCell ref="DVB94:DVQ94"/>
    <mergeCell ref="DVR94:DWG94"/>
    <mergeCell ref="DOX94:DPM94"/>
    <mergeCell ref="DPN94:DQC94"/>
    <mergeCell ref="DQD94:DQS94"/>
    <mergeCell ref="DQT94:DRI94"/>
    <mergeCell ref="DRJ94:DRY94"/>
    <mergeCell ref="DRZ94:DSO94"/>
    <mergeCell ref="DLF94:DLU94"/>
    <mergeCell ref="DLV94:DMK94"/>
    <mergeCell ref="DML94:DNA94"/>
    <mergeCell ref="DNB94:DNQ94"/>
    <mergeCell ref="DNR94:DOG94"/>
    <mergeCell ref="DOH94:DOW94"/>
    <mergeCell ref="DHN94:DIC94"/>
    <mergeCell ref="DID94:DIS94"/>
    <mergeCell ref="DIT94:DJI94"/>
    <mergeCell ref="DJJ94:DJY94"/>
    <mergeCell ref="DJZ94:DKO94"/>
    <mergeCell ref="DKP94:DLE94"/>
    <mergeCell ref="DDV94:DEK94"/>
    <mergeCell ref="DEL94:DFA94"/>
    <mergeCell ref="DFB94:DFQ94"/>
    <mergeCell ref="DFR94:DGG94"/>
    <mergeCell ref="DGH94:DGW94"/>
    <mergeCell ref="DGX94:DHM94"/>
    <mergeCell ref="DAD94:DAS94"/>
    <mergeCell ref="DAT94:DBI94"/>
    <mergeCell ref="DBJ94:DBY94"/>
    <mergeCell ref="DBZ94:DCO94"/>
    <mergeCell ref="DCP94:DDE94"/>
    <mergeCell ref="DDF94:DDU94"/>
    <mergeCell ref="CWL94:CXA94"/>
    <mergeCell ref="CXB94:CXQ94"/>
    <mergeCell ref="CXR94:CYG94"/>
    <mergeCell ref="CYH94:CYW94"/>
    <mergeCell ref="CYX94:CZM94"/>
    <mergeCell ref="CZN94:DAC94"/>
    <mergeCell ref="CST94:CTI94"/>
    <mergeCell ref="CTJ94:CTY94"/>
    <mergeCell ref="CTZ94:CUO94"/>
    <mergeCell ref="CUP94:CVE94"/>
    <mergeCell ref="CVF94:CVU94"/>
    <mergeCell ref="CVV94:CWK94"/>
    <mergeCell ref="CPB94:CPQ94"/>
    <mergeCell ref="CPR94:CQG94"/>
    <mergeCell ref="CQH94:CQW94"/>
    <mergeCell ref="CQX94:CRM94"/>
    <mergeCell ref="CRN94:CSC94"/>
    <mergeCell ref="CSD94:CSS94"/>
    <mergeCell ref="CLJ94:CLY94"/>
    <mergeCell ref="CLZ94:CMO94"/>
    <mergeCell ref="CMP94:CNE94"/>
    <mergeCell ref="CNF94:CNU94"/>
    <mergeCell ref="CNV94:COK94"/>
    <mergeCell ref="COL94:CPA94"/>
    <mergeCell ref="CHR94:CIG94"/>
    <mergeCell ref="CIH94:CIW94"/>
    <mergeCell ref="CIX94:CJM94"/>
    <mergeCell ref="CJN94:CKC94"/>
    <mergeCell ref="CKD94:CKS94"/>
    <mergeCell ref="CKT94:CLI94"/>
    <mergeCell ref="CDZ94:CEO94"/>
    <mergeCell ref="CEP94:CFE94"/>
    <mergeCell ref="CFF94:CFU94"/>
    <mergeCell ref="CFV94:CGK94"/>
    <mergeCell ref="CGL94:CHA94"/>
    <mergeCell ref="CHB94:CHQ94"/>
    <mergeCell ref="CAH94:CAW94"/>
    <mergeCell ref="CAX94:CBM94"/>
    <mergeCell ref="CBN94:CCC94"/>
    <mergeCell ref="CCD94:CCS94"/>
    <mergeCell ref="CCT94:CDI94"/>
    <mergeCell ref="CDJ94:CDY94"/>
    <mergeCell ref="BWP94:BXE94"/>
    <mergeCell ref="BXF94:BXU94"/>
    <mergeCell ref="BXV94:BYK94"/>
    <mergeCell ref="BYL94:BZA94"/>
    <mergeCell ref="BZB94:BZQ94"/>
    <mergeCell ref="BZR94:CAG94"/>
    <mergeCell ref="BSX94:BTM94"/>
    <mergeCell ref="BTN94:BUC94"/>
    <mergeCell ref="BUD94:BUS94"/>
    <mergeCell ref="BUT94:BVI94"/>
    <mergeCell ref="BVJ94:BVY94"/>
    <mergeCell ref="BVZ94:BWO94"/>
    <mergeCell ref="BPF94:BPU94"/>
    <mergeCell ref="BPV94:BQK94"/>
    <mergeCell ref="BQL94:BRA94"/>
    <mergeCell ref="BRB94:BRQ94"/>
    <mergeCell ref="BRR94:BSG94"/>
    <mergeCell ref="BSH94:BSW94"/>
    <mergeCell ref="BLN94:BMC94"/>
    <mergeCell ref="BMD94:BMS94"/>
    <mergeCell ref="BMT94:BNI94"/>
    <mergeCell ref="BNJ94:BNY94"/>
    <mergeCell ref="BNZ94:BOO94"/>
    <mergeCell ref="BOP94:BPE94"/>
    <mergeCell ref="BHV94:BIK94"/>
    <mergeCell ref="BIL94:BJA94"/>
    <mergeCell ref="BJB94:BJQ94"/>
    <mergeCell ref="BJR94:BKG94"/>
    <mergeCell ref="BKH94:BKW94"/>
    <mergeCell ref="BKX94:BLM94"/>
    <mergeCell ref="BED94:BES94"/>
    <mergeCell ref="BET94:BFI94"/>
    <mergeCell ref="BFJ94:BFY94"/>
    <mergeCell ref="BFZ94:BGO94"/>
    <mergeCell ref="BGP94:BHE94"/>
    <mergeCell ref="BHF94:BHU94"/>
    <mergeCell ref="BAL94:BBA94"/>
    <mergeCell ref="BBB94:BBQ94"/>
    <mergeCell ref="BBR94:BCG94"/>
    <mergeCell ref="BCH94:BCW94"/>
    <mergeCell ref="BCX94:BDM94"/>
    <mergeCell ref="BDN94:BEC94"/>
    <mergeCell ref="AWT94:AXI94"/>
    <mergeCell ref="AXJ94:AXY94"/>
    <mergeCell ref="AXZ94:AYO94"/>
    <mergeCell ref="AYP94:AZE94"/>
    <mergeCell ref="AZF94:AZU94"/>
    <mergeCell ref="AZV94:BAK94"/>
    <mergeCell ref="ATB94:ATQ94"/>
    <mergeCell ref="ATR94:AUG94"/>
    <mergeCell ref="AUH94:AUW94"/>
    <mergeCell ref="AUX94:AVM94"/>
    <mergeCell ref="AVN94:AWC94"/>
    <mergeCell ref="AWD94:AWS94"/>
    <mergeCell ref="APJ94:APY94"/>
    <mergeCell ref="APZ94:AQO94"/>
    <mergeCell ref="AQP94:ARE94"/>
    <mergeCell ref="ARF94:ARU94"/>
    <mergeCell ref="ARV94:ASK94"/>
    <mergeCell ref="ASL94:ATA94"/>
    <mergeCell ref="ALR94:AMG94"/>
    <mergeCell ref="AMH94:AMW94"/>
    <mergeCell ref="AMX94:ANM94"/>
    <mergeCell ref="ANN94:AOC94"/>
    <mergeCell ref="AOD94:AOS94"/>
    <mergeCell ref="AOT94:API94"/>
    <mergeCell ref="AHZ94:AIO94"/>
    <mergeCell ref="AIP94:AJE94"/>
    <mergeCell ref="AJF94:AJU94"/>
    <mergeCell ref="AJV94:AKK94"/>
    <mergeCell ref="AKL94:ALA94"/>
    <mergeCell ref="ALB94:ALQ94"/>
    <mergeCell ref="AEH94:AEW94"/>
    <mergeCell ref="AEX94:AFM94"/>
    <mergeCell ref="AFN94:AGC94"/>
    <mergeCell ref="AGD94:AGS94"/>
    <mergeCell ref="AGT94:AHI94"/>
    <mergeCell ref="AHJ94:AHY94"/>
    <mergeCell ref="AAP94:ABE94"/>
    <mergeCell ref="ABF94:ABU94"/>
    <mergeCell ref="ABV94:ACK94"/>
    <mergeCell ref="ACL94:ADA94"/>
    <mergeCell ref="ADB94:ADQ94"/>
    <mergeCell ref="ADR94:AEG94"/>
    <mergeCell ref="WX94:XM94"/>
    <mergeCell ref="XN94:YC94"/>
    <mergeCell ref="YD94:YS94"/>
    <mergeCell ref="YT94:ZI94"/>
    <mergeCell ref="ZJ94:ZY94"/>
    <mergeCell ref="ZZ94:AAO94"/>
    <mergeCell ref="TF94:TU94"/>
    <mergeCell ref="TV94:UK94"/>
    <mergeCell ref="UL94:VA94"/>
    <mergeCell ref="VB94:VQ94"/>
    <mergeCell ref="VR94:WG94"/>
    <mergeCell ref="WH94:WW94"/>
    <mergeCell ref="PN94:QC94"/>
    <mergeCell ref="QD94:QS94"/>
    <mergeCell ref="QT94:RI94"/>
    <mergeCell ref="RJ94:RY94"/>
    <mergeCell ref="RZ94:SO94"/>
    <mergeCell ref="SP94:TE94"/>
    <mergeCell ref="LV94:MK94"/>
    <mergeCell ref="ML94:NA94"/>
    <mergeCell ref="NB94:NQ94"/>
    <mergeCell ref="NR94:OG94"/>
    <mergeCell ref="OH94:OW94"/>
    <mergeCell ref="OX94:PM94"/>
    <mergeCell ref="ID94:IS94"/>
    <mergeCell ref="IT94:JI94"/>
    <mergeCell ref="JJ94:JY94"/>
    <mergeCell ref="JZ94:KO94"/>
    <mergeCell ref="KP94:LE94"/>
    <mergeCell ref="LF94:LU94"/>
    <mergeCell ref="EL94:FA94"/>
    <mergeCell ref="FB94:FQ94"/>
    <mergeCell ref="FR94:GG94"/>
    <mergeCell ref="GH94:GW94"/>
    <mergeCell ref="GX94:HM94"/>
    <mergeCell ref="HN94:IC94"/>
    <mergeCell ref="AT94:BI94"/>
    <mergeCell ref="BJ94:BY94"/>
    <mergeCell ref="BZ94:CO94"/>
    <mergeCell ref="CP94:DE94"/>
    <mergeCell ref="DF94:DU94"/>
    <mergeCell ref="DV94:EK94"/>
    <mergeCell ref="A93:O93"/>
    <mergeCell ref="A94:O94"/>
    <mergeCell ref="P94:AC94"/>
    <mergeCell ref="AD94:AS94"/>
    <mergeCell ref="A2:T2"/>
    <mergeCell ref="A3:T3"/>
  </mergeCells>
  <pageMargins left="0.28000000000000003" right="0.17" top="0.75" bottom="0.75" header="0.3" footer="0.3"/>
  <pageSetup scale="23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3">
    <tabColor rgb="FF92D050"/>
    <pageSetUpPr fitToPage="1"/>
  </sheetPr>
  <dimension ref="A1:AL308"/>
  <sheetViews>
    <sheetView showGridLines="0" view="pageBreakPreview" zoomScale="115" zoomScaleNormal="145" zoomScaleSheetLayoutView="115" workbookViewId="0">
      <pane ySplit="13" topLeftCell="A292" activePane="bottomLeft" state="frozen"/>
      <selection activeCell="F40" sqref="F40"/>
      <selection pane="bottomLeft" activeCell="F40" sqref="F40"/>
    </sheetView>
  </sheetViews>
  <sheetFormatPr defaultColWidth="9.140625" defaultRowHeight="12.75"/>
  <cols>
    <col min="1" max="1" width="5.7109375" style="775" customWidth="1"/>
    <col min="2" max="2" width="11.7109375" style="900" customWidth="1"/>
    <col min="3" max="3" width="12.28515625" style="900" customWidth="1"/>
    <col min="4" max="5" width="13" style="900" customWidth="1"/>
    <col min="6" max="6" width="10.28515625" style="900" customWidth="1"/>
    <col min="7" max="7" width="12.85546875" style="463" customWidth="1"/>
    <col min="8" max="10" width="10.5703125" style="900" customWidth="1"/>
    <col min="11" max="11" width="14.140625" style="900" customWidth="1"/>
    <col min="12" max="12" width="10.28515625" style="900" customWidth="1"/>
    <col min="13" max="13" width="14.140625" style="900" customWidth="1"/>
    <col min="14" max="14" width="10.28515625" style="900" customWidth="1"/>
    <col min="15" max="15" width="14.140625" style="463" customWidth="1"/>
    <col min="16" max="16" width="10.28515625" style="900" customWidth="1"/>
    <col min="17" max="17" width="11.7109375" style="463" customWidth="1"/>
    <col min="18" max="18" width="10.28515625" style="900" customWidth="1"/>
    <col min="19" max="16384" width="9.140625" style="900"/>
  </cols>
  <sheetData>
    <row r="1" spans="1:22" ht="7.5" customHeight="1"/>
    <row r="2" spans="1:22" s="430" customFormat="1" ht="21.75" customHeight="1">
      <c r="A2" s="2454" t="s">
        <v>3250</v>
      </c>
      <c r="B2" s="2454"/>
      <c r="C2" s="2454"/>
      <c r="D2" s="2454"/>
      <c r="E2" s="2454"/>
      <c r="F2" s="2454"/>
      <c r="G2" s="2454"/>
      <c r="H2" s="2454"/>
      <c r="I2" s="2454"/>
      <c r="J2" s="2454"/>
      <c r="K2" s="2454"/>
      <c r="L2" s="2454"/>
      <c r="M2" s="2454"/>
      <c r="N2" s="2454"/>
      <c r="O2" s="2454"/>
      <c r="P2" s="2454"/>
      <c r="Q2" s="2454"/>
      <c r="R2" s="2454"/>
    </row>
    <row r="3" spans="1:22" ht="21.75" customHeight="1">
      <c r="A3" s="2455" t="s">
        <v>3253</v>
      </c>
      <c r="B3" s="2455"/>
      <c r="C3" s="2455"/>
      <c r="D3" s="2455"/>
      <c r="E3" s="2455"/>
      <c r="F3" s="2455"/>
      <c r="G3" s="2455"/>
      <c r="H3" s="2455"/>
      <c r="I3" s="2455"/>
      <c r="J3" s="2455"/>
      <c r="K3" s="2455"/>
      <c r="L3" s="2455"/>
      <c r="M3" s="2455"/>
      <c r="N3" s="2455"/>
      <c r="O3" s="2455"/>
      <c r="P3" s="2455"/>
      <c r="Q3" s="2455"/>
      <c r="R3" s="2455"/>
    </row>
    <row r="4" spans="1:22" ht="9.75" customHeight="1">
      <c r="A4" s="776"/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  <c r="M4" s="497"/>
      <c r="N4" s="497"/>
      <c r="O4" s="497"/>
      <c r="P4" s="497"/>
      <c r="Q4" s="497"/>
      <c r="R4" s="497"/>
    </row>
    <row r="5" spans="1:22" ht="9.75" customHeight="1">
      <c r="A5" s="777"/>
      <c r="B5" s="474"/>
      <c r="C5" s="474"/>
      <c r="D5" s="474"/>
      <c r="E5" s="474"/>
      <c r="F5" s="474"/>
      <c r="G5" s="473"/>
      <c r="H5" s="474"/>
      <c r="I5" s="474"/>
      <c r="J5" s="474"/>
      <c r="K5" s="475"/>
      <c r="L5" s="689"/>
      <c r="M5" s="475"/>
      <c r="N5" s="689"/>
      <c r="O5" s="473"/>
      <c r="P5" s="474"/>
      <c r="Q5" s="473"/>
      <c r="R5" s="474"/>
    </row>
    <row r="6" spans="1:22" s="431" customFormat="1" ht="12" customHeight="1">
      <c r="A6" s="2456" t="s">
        <v>182</v>
      </c>
      <c r="B6" s="2451" t="s">
        <v>2471</v>
      </c>
      <c r="C6" s="2451"/>
      <c r="D6" s="2451"/>
      <c r="E6" s="2451"/>
      <c r="F6" s="2451" t="s">
        <v>2470</v>
      </c>
      <c r="G6" s="2449" t="s">
        <v>3237</v>
      </c>
      <c r="H6" s="2450"/>
      <c r="I6" s="2449" t="s">
        <v>4295</v>
      </c>
      <c r="J6" s="2450"/>
      <c r="K6" s="2449" t="s">
        <v>3238</v>
      </c>
      <c r="L6" s="2450"/>
      <c r="M6" s="2449" t="s">
        <v>2472</v>
      </c>
      <c r="N6" s="2450"/>
      <c r="O6" s="2449" t="s">
        <v>3239</v>
      </c>
      <c r="P6" s="2450"/>
      <c r="Q6" s="2451" t="s">
        <v>2469</v>
      </c>
      <c r="R6" s="2451"/>
      <c r="S6" s="900"/>
      <c r="T6" s="900"/>
      <c r="U6" s="900"/>
      <c r="V6" s="900"/>
    </row>
    <row r="7" spans="1:22" s="431" customFormat="1" ht="12" customHeight="1">
      <c r="A7" s="2456"/>
      <c r="B7" s="2451"/>
      <c r="C7" s="2451"/>
      <c r="D7" s="2451"/>
      <c r="E7" s="2451"/>
      <c r="F7" s="2451"/>
      <c r="G7" s="2451" t="s">
        <v>3240</v>
      </c>
      <c r="H7" s="2451"/>
      <c r="I7" s="2451" t="s">
        <v>3240</v>
      </c>
      <c r="J7" s="2451"/>
      <c r="K7" s="2451" t="s">
        <v>3240</v>
      </c>
      <c r="L7" s="2451"/>
      <c r="M7" s="2451" t="s">
        <v>3241</v>
      </c>
      <c r="N7" s="2451"/>
      <c r="O7" s="2451" t="s">
        <v>3241</v>
      </c>
      <c r="P7" s="2451"/>
      <c r="Q7" s="2451"/>
      <c r="R7" s="2451"/>
      <c r="S7" s="900"/>
      <c r="T7" s="900"/>
      <c r="U7" s="900"/>
      <c r="V7" s="900"/>
    </row>
    <row r="8" spans="1:22" s="431" customFormat="1" ht="12" customHeight="1">
      <c r="A8" s="2456"/>
      <c r="B8" s="2452" t="s">
        <v>2606</v>
      </c>
      <c r="C8" s="2452" t="s">
        <v>2607</v>
      </c>
      <c r="D8" s="2452" t="s">
        <v>2608</v>
      </c>
      <c r="E8" s="2452" t="s">
        <v>2609</v>
      </c>
      <c r="F8" s="2452" t="s">
        <v>3909</v>
      </c>
      <c r="G8" s="2452" t="s">
        <v>999</v>
      </c>
      <c r="H8" s="2452" t="s">
        <v>3910</v>
      </c>
      <c r="I8" s="2452" t="s">
        <v>999</v>
      </c>
      <c r="J8" s="2452" t="s">
        <v>4296</v>
      </c>
      <c r="K8" s="2452" t="s">
        <v>999</v>
      </c>
      <c r="L8" s="2452" t="s">
        <v>3910</v>
      </c>
      <c r="M8" s="2452" t="s">
        <v>2611</v>
      </c>
      <c r="N8" s="2452" t="s">
        <v>3910</v>
      </c>
      <c r="O8" s="2452" t="s">
        <v>2610</v>
      </c>
      <c r="P8" s="2452" t="s">
        <v>3910</v>
      </c>
      <c r="Q8" s="2457" t="s">
        <v>2605</v>
      </c>
      <c r="R8" s="2452" t="s">
        <v>3910</v>
      </c>
      <c r="S8" s="900"/>
      <c r="T8" s="900"/>
      <c r="U8" s="900"/>
      <c r="V8" s="900"/>
    </row>
    <row r="9" spans="1:22" s="431" customFormat="1" ht="31.5" customHeight="1">
      <c r="A9" s="2456"/>
      <c r="B9" s="2452"/>
      <c r="C9" s="2452"/>
      <c r="D9" s="2452"/>
      <c r="E9" s="2452"/>
      <c r="F9" s="2452"/>
      <c r="G9" s="2452"/>
      <c r="H9" s="2452"/>
      <c r="I9" s="2452"/>
      <c r="J9" s="2452"/>
      <c r="K9" s="2452"/>
      <c r="L9" s="2452"/>
      <c r="M9" s="2452"/>
      <c r="N9" s="2452"/>
      <c r="O9" s="2452"/>
      <c r="P9" s="2452"/>
      <c r="Q9" s="2457"/>
      <c r="R9" s="2452"/>
      <c r="S9" s="900"/>
      <c r="T9" s="900"/>
      <c r="U9" s="900"/>
      <c r="V9" s="900"/>
    </row>
    <row r="10" spans="1:22" s="432" customFormat="1" ht="12" customHeight="1">
      <c r="A10" s="2458" t="s">
        <v>283</v>
      </c>
      <c r="B10" s="2461" t="s">
        <v>2475</v>
      </c>
      <c r="C10" s="2461"/>
      <c r="D10" s="2461"/>
      <c r="E10" s="2461"/>
      <c r="F10" s="2461"/>
      <c r="G10" s="2453" t="s">
        <v>3242</v>
      </c>
      <c r="H10" s="2453"/>
      <c r="I10" s="2453" t="s">
        <v>4297</v>
      </c>
      <c r="J10" s="2453"/>
      <c r="K10" s="2462" t="s">
        <v>3243</v>
      </c>
      <c r="L10" s="2463"/>
      <c r="M10" s="2462" t="s">
        <v>3244</v>
      </c>
      <c r="N10" s="2463"/>
      <c r="O10" s="2462" t="s">
        <v>3245</v>
      </c>
      <c r="P10" s="2463"/>
      <c r="Q10" s="2461" t="s">
        <v>2473</v>
      </c>
      <c r="R10" s="2461" t="s">
        <v>2474</v>
      </c>
      <c r="S10" s="900"/>
      <c r="T10" s="900"/>
      <c r="U10" s="900"/>
      <c r="V10" s="900"/>
    </row>
    <row r="11" spans="1:22" s="432" customFormat="1" ht="12" customHeight="1">
      <c r="A11" s="2459"/>
      <c r="B11" s="2461"/>
      <c r="C11" s="2461"/>
      <c r="D11" s="2461"/>
      <c r="E11" s="2461"/>
      <c r="F11" s="2461"/>
      <c r="G11" s="2461" t="s">
        <v>3246</v>
      </c>
      <c r="H11" s="2461" t="s">
        <v>2476</v>
      </c>
      <c r="I11" s="2461" t="s">
        <v>3246</v>
      </c>
      <c r="J11" s="2461" t="s">
        <v>2476</v>
      </c>
      <c r="K11" s="2461" t="s">
        <v>3246</v>
      </c>
      <c r="L11" s="2461" t="s">
        <v>2476</v>
      </c>
      <c r="M11" s="2461" t="s">
        <v>2785</v>
      </c>
      <c r="N11" s="2461" t="s">
        <v>2476</v>
      </c>
      <c r="O11" s="2461" t="s">
        <v>2785</v>
      </c>
      <c r="P11" s="2461" t="s">
        <v>2476</v>
      </c>
      <c r="Q11" s="2461"/>
      <c r="R11" s="2461"/>
      <c r="S11" s="900"/>
      <c r="T11" s="900"/>
      <c r="U11" s="900"/>
      <c r="V11" s="900"/>
    </row>
    <row r="12" spans="1:22" s="432" customFormat="1" ht="12" customHeight="1">
      <c r="A12" s="2459"/>
      <c r="B12" s="2464" t="s">
        <v>2811</v>
      </c>
      <c r="C12" s="2464" t="s">
        <v>3247</v>
      </c>
      <c r="D12" s="2464" t="s">
        <v>3248</v>
      </c>
      <c r="E12" s="2464" t="s">
        <v>3249</v>
      </c>
      <c r="F12" s="2464" t="s">
        <v>3911</v>
      </c>
      <c r="G12" s="2464" t="s">
        <v>2810</v>
      </c>
      <c r="H12" s="2464" t="s">
        <v>3911</v>
      </c>
      <c r="I12" s="2464" t="s">
        <v>2810</v>
      </c>
      <c r="J12" s="2464" t="s">
        <v>4298</v>
      </c>
      <c r="K12" s="2464" t="s">
        <v>2810</v>
      </c>
      <c r="L12" s="2464" t="s">
        <v>3911</v>
      </c>
      <c r="M12" s="2464" t="s">
        <v>2787</v>
      </c>
      <c r="N12" s="2464" t="s">
        <v>3911</v>
      </c>
      <c r="O12" s="2464" t="s">
        <v>2786</v>
      </c>
      <c r="P12" s="2464" t="s">
        <v>3911</v>
      </c>
      <c r="Q12" s="2464" t="s">
        <v>2810</v>
      </c>
      <c r="R12" s="2464" t="s">
        <v>3911</v>
      </c>
      <c r="S12" s="900"/>
      <c r="T12" s="900"/>
      <c r="U12" s="900"/>
      <c r="V12" s="900"/>
    </row>
    <row r="13" spans="1:22" s="432" customFormat="1" ht="12" customHeight="1">
      <c r="A13" s="2460"/>
      <c r="B13" s="2464"/>
      <c r="C13" s="2464"/>
      <c r="D13" s="2464"/>
      <c r="E13" s="2464"/>
      <c r="F13" s="2464"/>
      <c r="G13" s="2464"/>
      <c r="H13" s="2464"/>
      <c r="I13" s="2464"/>
      <c r="J13" s="2464"/>
      <c r="K13" s="2464"/>
      <c r="L13" s="2464"/>
      <c r="M13" s="2464"/>
      <c r="N13" s="2464"/>
      <c r="O13" s="2464"/>
      <c r="P13" s="2464"/>
      <c r="Q13" s="2464"/>
      <c r="R13" s="2464"/>
      <c r="S13" s="900"/>
      <c r="T13" s="900"/>
      <c r="U13" s="900"/>
      <c r="V13" s="900"/>
    </row>
    <row r="14" spans="1:22" s="1177" customFormat="1" ht="12.75" hidden="1" customHeight="1">
      <c r="A14" s="1175">
        <v>1995</v>
      </c>
      <c r="B14" s="1176"/>
      <c r="C14" s="1176"/>
      <c r="D14" s="1176"/>
      <c r="E14" s="1176"/>
      <c r="F14" s="1176"/>
      <c r="G14" s="1176"/>
      <c r="H14" s="1176"/>
      <c r="I14" s="1961"/>
      <c r="J14" s="1961"/>
      <c r="K14" s="1176"/>
      <c r="L14" s="1176"/>
      <c r="M14" s="1176"/>
      <c r="N14" s="1176"/>
      <c r="O14" s="1176"/>
      <c r="P14" s="1176"/>
      <c r="Q14" s="1176">
        <v>100</v>
      </c>
      <c r="R14" s="1176"/>
    </row>
    <row r="15" spans="1:22" s="1177" customFormat="1" ht="12.75" hidden="1" customHeight="1">
      <c r="A15" s="687">
        <v>1996</v>
      </c>
      <c r="B15" s="1178"/>
      <c r="C15" s="1178"/>
      <c r="D15" s="1178"/>
      <c r="E15" s="1178"/>
      <c r="F15" s="1178"/>
      <c r="G15" s="1178"/>
      <c r="H15" s="1178"/>
      <c r="I15" s="1962"/>
      <c r="J15" s="1962"/>
      <c r="K15" s="1178"/>
      <c r="L15" s="1178"/>
      <c r="M15" s="1178"/>
      <c r="N15" s="1178"/>
      <c r="O15" s="1178"/>
      <c r="P15" s="1178"/>
      <c r="Q15" s="1178">
        <v>20</v>
      </c>
      <c r="R15" s="1178"/>
    </row>
    <row r="16" spans="1:22" s="1177" customFormat="1" ht="12.75" hidden="1" customHeight="1">
      <c r="A16" s="687">
        <v>1997</v>
      </c>
      <c r="B16" s="1178"/>
      <c r="C16" s="1178"/>
      <c r="D16" s="1178"/>
      <c r="E16" s="1178"/>
      <c r="F16" s="1178"/>
      <c r="G16" s="1178"/>
      <c r="H16" s="1178"/>
      <c r="I16" s="1963"/>
      <c r="J16" s="1963"/>
      <c r="K16" s="1178"/>
      <c r="L16" s="1178"/>
      <c r="M16" s="1178"/>
      <c r="N16" s="1178"/>
      <c r="O16" s="1178"/>
      <c r="P16" s="1178"/>
      <c r="Q16" s="1178">
        <v>15</v>
      </c>
      <c r="R16" s="1178"/>
    </row>
    <row r="17" spans="1:18" s="1177" customFormat="1" ht="12.75" hidden="1" customHeight="1">
      <c r="A17" s="687">
        <v>1998</v>
      </c>
      <c r="B17" s="1178"/>
      <c r="C17" s="1178"/>
      <c r="D17" s="1178"/>
      <c r="E17" s="1178"/>
      <c r="F17" s="1178"/>
      <c r="G17" s="1178"/>
      <c r="H17" s="1178"/>
      <c r="I17" s="1962"/>
      <c r="J17" s="1962"/>
      <c r="K17" s="1178"/>
      <c r="L17" s="1178"/>
      <c r="M17" s="1178"/>
      <c r="N17" s="1178"/>
      <c r="O17" s="1178"/>
      <c r="P17" s="1178"/>
      <c r="Q17" s="1178">
        <v>12</v>
      </c>
      <c r="R17" s="1178"/>
    </row>
    <row r="18" spans="1:18" s="1177" customFormat="1" ht="12.75" hidden="1" customHeight="1">
      <c r="A18" s="687">
        <v>1999</v>
      </c>
      <c r="B18" s="1178"/>
      <c r="C18" s="1178"/>
      <c r="D18" s="1178"/>
      <c r="E18" s="1178"/>
      <c r="F18" s="1178"/>
      <c r="G18" s="1178"/>
      <c r="H18" s="1178"/>
      <c r="I18" s="1963"/>
      <c r="J18" s="1963"/>
      <c r="K18" s="1178"/>
      <c r="L18" s="1178"/>
      <c r="M18" s="1178"/>
      <c r="N18" s="1178"/>
      <c r="O18" s="1178"/>
      <c r="P18" s="1178"/>
      <c r="Q18" s="1178">
        <v>14</v>
      </c>
      <c r="R18" s="1178"/>
    </row>
    <row r="19" spans="1:18" s="1177" customFormat="1" ht="12.75" hidden="1" customHeight="1">
      <c r="A19" s="687">
        <v>2000</v>
      </c>
      <c r="B19" s="1178"/>
      <c r="C19" s="1178"/>
      <c r="D19" s="1178"/>
      <c r="E19" s="1178"/>
      <c r="F19" s="1178"/>
      <c r="G19" s="1178"/>
      <c r="H19" s="1178"/>
      <c r="I19" s="1962"/>
      <c r="J19" s="1962"/>
      <c r="K19" s="1178"/>
      <c r="L19" s="1178"/>
      <c r="M19" s="1178"/>
      <c r="N19" s="1178"/>
      <c r="O19" s="1178"/>
      <c r="P19" s="1178"/>
      <c r="Q19" s="1178">
        <v>10</v>
      </c>
      <c r="R19" s="1178"/>
    </row>
    <row r="20" spans="1:18" s="1177" customFormat="1" ht="12.75" hidden="1" customHeight="1">
      <c r="A20" s="687">
        <v>2001</v>
      </c>
      <c r="B20" s="1178"/>
      <c r="C20" s="1178"/>
      <c r="D20" s="1178"/>
      <c r="E20" s="1178"/>
      <c r="F20" s="1178"/>
      <c r="G20" s="1178"/>
      <c r="H20" s="1178"/>
      <c r="I20" s="1963"/>
      <c r="J20" s="1963"/>
      <c r="K20" s="1178"/>
      <c r="L20" s="1178"/>
      <c r="M20" s="1178"/>
      <c r="N20" s="1178"/>
      <c r="O20" s="1178"/>
      <c r="P20" s="1178"/>
      <c r="Q20" s="1178">
        <v>10</v>
      </c>
      <c r="R20" s="1178"/>
    </row>
    <row r="21" spans="1:18" s="1177" customFormat="1" ht="12.75" hidden="1" customHeight="1">
      <c r="A21" s="687">
        <v>2002</v>
      </c>
      <c r="B21" s="1178"/>
      <c r="C21" s="1178"/>
      <c r="D21" s="1178"/>
      <c r="E21" s="1178"/>
      <c r="F21" s="1178"/>
      <c r="G21" s="1178"/>
      <c r="H21" s="1178"/>
      <c r="I21" s="1962"/>
      <c r="J21" s="1962"/>
      <c r="K21" s="1178"/>
      <c r="L21" s="1178"/>
      <c r="M21" s="1178"/>
      <c r="N21" s="1178"/>
      <c r="O21" s="1178"/>
      <c r="P21" s="1178"/>
      <c r="Q21" s="1178">
        <v>7</v>
      </c>
      <c r="R21" s="1178">
        <v>6.4989999999999988</v>
      </c>
    </row>
    <row r="22" spans="1:18" s="1177" customFormat="1" ht="12.75" hidden="1" customHeight="1">
      <c r="A22" s="687">
        <v>2003</v>
      </c>
      <c r="B22" s="1178"/>
      <c r="C22" s="1178"/>
      <c r="D22" s="1178"/>
      <c r="E22" s="1178"/>
      <c r="F22" s="1178"/>
      <c r="G22" s="1178"/>
      <c r="H22" s="1178"/>
      <c r="I22" s="1963"/>
      <c r="J22" s="1963"/>
      <c r="K22" s="1178"/>
      <c r="L22" s="1178"/>
      <c r="M22" s="1178"/>
      <c r="N22" s="1178"/>
      <c r="O22" s="1178"/>
      <c r="P22" s="1178"/>
      <c r="Q22" s="1178">
        <v>7</v>
      </c>
      <c r="R22" s="1178">
        <v>47.3163776982</v>
      </c>
    </row>
    <row r="23" spans="1:18" s="1177" customFormat="1" ht="12.75" hidden="1" customHeight="1">
      <c r="A23" s="687">
        <v>2004</v>
      </c>
      <c r="B23" s="1178"/>
      <c r="C23" s="1178"/>
      <c r="D23" s="1178"/>
      <c r="E23" s="1178"/>
      <c r="F23" s="1178"/>
      <c r="G23" s="1178"/>
      <c r="H23" s="1178"/>
      <c r="I23" s="1962"/>
      <c r="J23" s="1962"/>
      <c r="K23" s="1178"/>
      <c r="L23" s="1178"/>
      <c r="M23" s="1178"/>
      <c r="N23" s="1178"/>
      <c r="O23" s="1178"/>
      <c r="P23" s="1178"/>
      <c r="Q23" s="1178">
        <v>7</v>
      </c>
      <c r="R23" s="1178">
        <v>62.925204903999997</v>
      </c>
    </row>
    <row r="24" spans="1:18" s="1177" customFormat="1" ht="12.75" hidden="1" customHeight="1">
      <c r="A24" s="687">
        <v>2005</v>
      </c>
      <c r="B24" s="1178">
        <v>11.41</v>
      </c>
      <c r="C24" s="1178"/>
      <c r="D24" s="1178"/>
      <c r="E24" s="1178"/>
      <c r="F24" s="1178">
        <v>31.525399999999987</v>
      </c>
      <c r="G24" s="1178"/>
      <c r="H24" s="1178"/>
      <c r="I24" s="1963"/>
      <c r="J24" s="1963"/>
      <c r="K24" s="1178"/>
      <c r="L24" s="1178"/>
      <c r="M24" s="1178"/>
      <c r="N24" s="1178"/>
      <c r="O24" s="1178"/>
      <c r="P24" s="1178"/>
      <c r="Q24" s="1178"/>
      <c r="R24" s="1178"/>
    </row>
    <row r="25" spans="1:18" s="1177" customFormat="1" ht="12.75" hidden="1" customHeight="1">
      <c r="A25" s="687" t="s">
        <v>18</v>
      </c>
      <c r="B25" s="1178"/>
      <c r="C25" s="1178"/>
      <c r="D25" s="1178"/>
      <c r="E25" s="1178"/>
      <c r="F25" s="1178"/>
      <c r="G25" s="1178">
        <v>4.18</v>
      </c>
      <c r="H25" s="1178">
        <v>1.2911999999999999</v>
      </c>
      <c r="I25" s="1962"/>
      <c r="J25" s="1962"/>
      <c r="K25" s="1178"/>
      <c r="L25" s="1178"/>
      <c r="M25" s="1178"/>
      <c r="N25" s="1178"/>
      <c r="O25" s="1178"/>
      <c r="P25" s="1178"/>
      <c r="Q25" s="1178" t="s">
        <v>286</v>
      </c>
      <c r="R25" s="1178">
        <v>59.638204903999998</v>
      </c>
    </row>
    <row r="26" spans="1:18" s="1177" customFormat="1" ht="12.75" hidden="1" customHeight="1">
      <c r="A26" s="687" t="s">
        <v>19</v>
      </c>
      <c r="G26" s="1178">
        <v>4.18</v>
      </c>
      <c r="H26" s="1178">
        <v>0.70479999999999998</v>
      </c>
      <c r="I26" s="1963"/>
      <c r="J26" s="1963"/>
      <c r="K26" s="1178"/>
      <c r="L26" s="1178"/>
      <c r="M26" s="1178"/>
      <c r="N26" s="1178"/>
      <c r="O26" s="1178"/>
      <c r="P26" s="1178"/>
      <c r="Q26" s="1178" t="s">
        <v>286</v>
      </c>
      <c r="R26" s="1178">
        <v>59.938166064000001</v>
      </c>
    </row>
    <row r="27" spans="1:18" s="1177" customFormat="1" ht="12.75" hidden="1" customHeight="1">
      <c r="A27" s="687" t="s">
        <v>20</v>
      </c>
      <c r="B27" s="1178"/>
      <c r="C27" s="1178"/>
      <c r="D27" s="1178"/>
      <c r="E27" s="1178"/>
      <c r="F27" s="1178"/>
      <c r="G27" s="1178">
        <v>4.18</v>
      </c>
      <c r="H27" s="1178">
        <v>3.0095999999999998</v>
      </c>
      <c r="I27" s="1962"/>
      <c r="J27" s="1962"/>
      <c r="K27" s="1178"/>
      <c r="L27" s="1178"/>
      <c r="M27" s="1178"/>
      <c r="N27" s="1178"/>
      <c r="O27" s="1178"/>
      <c r="P27" s="1178"/>
      <c r="Q27" s="1178" t="s">
        <v>286</v>
      </c>
      <c r="R27" s="1178">
        <v>66.468166064000002</v>
      </c>
    </row>
    <row r="28" spans="1:18" s="1177" customFormat="1" ht="12.75" hidden="1" customHeight="1">
      <c r="A28" s="687" t="s">
        <v>21</v>
      </c>
      <c r="B28" s="1178"/>
      <c r="C28" s="1178"/>
      <c r="D28" s="1178"/>
      <c r="E28" s="1178"/>
      <c r="F28" s="1178"/>
      <c r="G28" s="1178">
        <v>4.18</v>
      </c>
      <c r="H28" s="1178">
        <v>1.9176</v>
      </c>
      <c r="I28" s="1963"/>
      <c r="J28" s="1963"/>
      <c r="K28" s="1178"/>
      <c r="L28" s="1178"/>
      <c r="M28" s="1178"/>
      <c r="N28" s="1178"/>
      <c r="O28" s="1178"/>
      <c r="P28" s="1178"/>
      <c r="Q28" s="1178" t="s">
        <v>286</v>
      </c>
      <c r="R28" s="1178">
        <v>68.433166063999991</v>
      </c>
    </row>
    <row r="29" spans="1:18" s="1177" customFormat="1" ht="12.75" hidden="1" customHeight="1">
      <c r="A29" s="687" t="s">
        <v>22</v>
      </c>
      <c r="B29" s="1178"/>
      <c r="C29" s="1178"/>
      <c r="D29" s="1178"/>
      <c r="E29" s="1178"/>
      <c r="F29" s="1178"/>
      <c r="G29" s="1178">
        <v>4.18</v>
      </c>
      <c r="H29" s="1178">
        <v>0.40500000000000003</v>
      </c>
      <c r="I29" s="1962"/>
      <c r="J29" s="1962"/>
      <c r="K29" s="1178"/>
      <c r="L29" s="1178"/>
      <c r="M29" s="1178"/>
      <c r="N29" s="1178"/>
      <c r="O29" s="1178"/>
      <c r="P29" s="1178"/>
      <c r="Q29" s="1178" t="s">
        <v>2612</v>
      </c>
      <c r="R29" s="1178">
        <v>67.379592055999993</v>
      </c>
    </row>
    <row r="30" spans="1:18" s="1177" customFormat="1" ht="12.75" hidden="1" customHeight="1">
      <c r="A30" s="687" t="s">
        <v>23</v>
      </c>
      <c r="B30" s="1178"/>
      <c r="C30" s="1178"/>
      <c r="D30" s="1178"/>
      <c r="E30" s="1178"/>
      <c r="F30" s="1178"/>
      <c r="G30" s="1178">
        <v>10.5</v>
      </c>
      <c r="H30" s="1178">
        <v>10.166399999999999</v>
      </c>
      <c r="I30" s="1963"/>
      <c r="J30" s="1963"/>
      <c r="K30" s="1178"/>
      <c r="L30" s="1178"/>
      <c r="M30" s="1178"/>
      <c r="N30" s="1178"/>
      <c r="O30" s="1178"/>
      <c r="P30" s="1178"/>
      <c r="Q30" s="1178" t="s">
        <v>287</v>
      </c>
      <c r="R30" s="1178">
        <v>69.062677055999998</v>
      </c>
    </row>
    <row r="31" spans="1:18" s="1177" customFormat="1" ht="12.75" hidden="1" customHeight="1">
      <c r="A31" s="687" t="s">
        <v>24</v>
      </c>
      <c r="B31" s="1178"/>
      <c r="C31" s="1178"/>
      <c r="D31" s="1178"/>
      <c r="E31" s="1178"/>
      <c r="F31" s="1178"/>
      <c r="G31" s="1177">
        <v>9.6999999999999993</v>
      </c>
      <c r="H31" s="1178">
        <v>6.9771999999999998</v>
      </c>
      <c r="I31" s="1962"/>
      <c r="J31" s="1962"/>
      <c r="K31" s="1178"/>
      <c r="L31" s="1178"/>
      <c r="M31" s="1178"/>
      <c r="N31" s="1178"/>
      <c r="O31" s="1178"/>
      <c r="P31" s="1178"/>
      <c r="Q31" s="1178" t="s">
        <v>287</v>
      </c>
      <c r="R31" s="1178">
        <v>72.826577055999991</v>
      </c>
    </row>
    <row r="32" spans="1:18" s="1177" customFormat="1" ht="12.75" hidden="1" customHeight="1">
      <c r="A32" s="687" t="s">
        <v>25</v>
      </c>
      <c r="B32" s="1178"/>
      <c r="C32" s="1178"/>
      <c r="D32" s="1178"/>
      <c r="E32" s="1178"/>
      <c r="F32" s="1178"/>
      <c r="G32" s="1178">
        <v>9.6999999999999993</v>
      </c>
      <c r="H32" s="1178">
        <v>11.7942</v>
      </c>
      <c r="I32" s="1963"/>
      <c r="J32" s="1963"/>
      <c r="K32" s="1178"/>
      <c r="L32" s="1178"/>
      <c r="M32" s="1178"/>
      <c r="N32" s="1178"/>
      <c r="O32" s="1178"/>
      <c r="P32" s="1178"/>
      <c r="Q32" s="1178" t="s">
        <v>287</v>
      </c>
      <c r="R32" s="1178">
        <v>74.688377055999993</v>
      </c>
    </row>
    <row r="33" spans="1:18" s="1177" customFormat="1" ht="12.75" hidden="1" customHeight="1">
      <c r="A33" s="687" t="s">
        <v>26</v>
      </c>
      <c r="B33" s="1178"/>
      <c r="C33" s="1178"/>
      <c r="D33" s="1178"/>
      <c r="E33" s="1178"/>
      <c r="F33" s="1178"/>
      <c r="G33" s="1178">
        <v>9.5</v>
      </c>
      <c r="H33" s="1178">
        <v>15.056199999999997</v>
      </c>
      <c r="I33" s="1962"/>
      <c r="J33" s="1962"/>
      <c r="K33" s="1178"/>
      <c r="L33" s="1178"/>
      <c r="M33" s="1178"/>
      <c r="N33" s="1178"/>
      <c r="O33" s="1178"/>
      <c r="P33" s="1178"/>
      <c r="Q33" s="1178" t="s">
        <v>287</v>
      </c>
      <c r="R33" s="1178">
        <v>74.789350406799997</v>
      </c>
    </row>
    <row r="34" spans="1:18" s="1177" customFormat="1" ht="12.75" hidden="1" customHeight="1">
      <c r="A34" s="687" t="s">
        <v>27</v>
      </c>
      <c r="B34" s="1178"/>
      <c r="C34" s="1178"/>
      <c r="D34" s="1178"/>
      <c r="E34" s="1178"/>
      <c r="F34" s="1178"/>
      <c r="G34" s="1178">
        <v>9.3000000000000007</v>
      </c>
      <c r="H34" s="1178">
        <v>18.270399999999995</v>
      </c>
      <c r="I34" s="1963"/>
      <c r="J34" s="1963"/>
      <c r="K34" s="1178"/>
      <c r="L34" s="1178"/>
      <c r="M34" s="1178"/>
      <c r="N34" s="1178"/>
      <c r="O34" s="1178"/>
      <c r="P34" s="1178"/>
      <c r="Q34" s="1178" t="s">
        <v>285</v>
      </c>
      <c r="R34" s="1178">
        <v>74.079181251200012</v>
      </c>
    </row>
    <row r="35" spans="1:18" s="1177" customFormat="1" ht="12.75" hidden="1" customHeight="1">
      <c r="A35" s="687" t="s">
        <v>28</v>
      </c>
      <c r="B35" s="1178"/>
      <c r="C35" s="1178"/>
      <c r="D35" s="1178"/>
      <c r="E35" s="1178"/>
      <c r="F35" s="1178"/>
      <c r="G35" s="1178">
        <v>9.18</v>
      </c>
      <c r="H35" s="1178">
        <v>13.3058</v>
      </c>
      <c r="I35" s="1962"/>
      <c r="J35" s="1962"/>
      <c r="K35" s="1178"/>
      <c r="L35" s="1178"/>
      <c r="M35" s="1178"/>
      <c r="N35" s="1178"/>
      <c r="O35" s="1178"/>
      <c r="P35" s="1178"/>
      <c r="Q35" s="1178" t="s">
        <v>285</v>
      </c>
      <c r="R35" s="1178">
        <v>72.873405055999996</v>
      </c>
    </row>
    <row r="36" spans="1:18" s="1177" customFormat="1" ht="12.75" hidden="1" customHeight="1">
      <c r="A36" s="687" t="s">
        <v>29</v>
      </c>
      <c r="B36" s="1178"/>
      <c r="C36" s="1178"/>
      <c r="D36" s="1178"/>
      <c r="E36" s="1178"/>
      <c r="F36" s="1178"/>
      <c r="G36" s="1178">
        <v>9.17</v>
      </c>
      <c r="H36" s="1178">
        <v>0.97799999999999998</v>
      </c>
      <c r="I36" s="1963"/>
      <c r="J36" s="1963"/>
      <c r="K36" s="1178"/>
      <c r="L36" s="1178"/>
      <c r="M36" s="1178"/>
      <c r="N36" s="1178"/>
      <c r="O36" s="1178"/>
      <c r="P36" s="1178"/>
      <c r="Q36" s="1178" t="s">
        <v>285</v>
      </c>
      <c r="R36" s="1178">
        <v>72.195504455999995</v>
      </c>
    </row>
    <row r="37" spans="1:18" s="1177" customFormat="1" ht="12.75" hidden="1" customHeight="1">
      <c r="A37" s="687"/>
      <c r="B37" s="1178"/>
      <c r="C37" s="1178"/>
      <c r="D37" s="1178"/>
      <c r="E37" s="1178"/>
      <c r="F37" s="1178"/>
      <c r="G37" s="1178"/>
      <c r="H37" s="1178"/>
      <c r="I37" s="1962"/>
      <c r="J37" s="1962"/>
      <c r="K37" s="1178"/>
      <c r="L37" s="1178"/>
      <c r="M37" s="1178"/>
      <c r="N37" s="1178"/>
      <c r="O37" s="1178"/>
      <c r="P37" s="1178"/>
      <c r="Q37" s="1178"/>
      <c r="R37" s="1178"/>
    </row>
    <row r="38" spans="1:18" s="1177" customFormat="1" ht="12.75" hidden="1" customHeight="1">
      <c r="A38" s="687">
        <v>2006</v>
      </c>
      <c r="B38" s="1178">
        <v>14.17</v>
      </c>
      <c r="C38" s="1178"/>
      <c r="D38" s="1178"/>
      <c r="E38" s="1178"/>
      <c r="F38" s="1178">
        <v>113.63639999999999</v>
      </c>
      <c r="G38" s="1178"/>
      <c r="H38" s="1178"/>
      <c r="I38" s="1962"/>
      <c r="J38" s="1962"/>
      <c r="K38" s="1178"/>
      <c r="L38" s="1178"/>
      <c r="M38" s="1178"/>
      <c r="N38" s="1178"/>
      <c r="O38" s="1178"/>
      <c r="P38" s="1178"/>
      <c r="Q38" s="1178"/>
      <c r="R38" s="1178"/>
    </row>
    <row r="39" spans="1:18" s="1177" customFormat="1" ht="12.75" hidden="1" customHeight="1">
      <c r="A39" s="687" t="s">
        <v>18</v>
      </c>
      <c r="B39" s="1178"/>
      <c r="C39" s="1178"/>
      <c r="D39" s="1178"/>
      <c r="E39" s="1178"/>
      <c r="F39" s="1178"/>
      <c r="G39" s="1178">
        <v>7</v>
      </c>
      <c r="H39" s="1178">
        <v>0.19400000000000001</v>
      </c>
      <c r="I39" s="1963"/>
      <c r="J39" s="1963"/>
      <c r="K39" s="1178"/>
      <c r="L39" s="1178"/>
      <c r="M39" s="1178">
        <v>13</v>
      </c>
      <c r="N39" s="1178">
        <v>2.0339999999999998</v>
      </c>
      <c r="O39" s="1178"/>
      <c r="P39" s="1178"/>
      <c r="Q39" s="1178" t="s">
        <v>285</v>
      </c>
      <c r="R39" s="1178">
        <v>73.966476</v>
      </c>
    </row>
    <row r="40" spans="1:18" s="1177" customFormat="1" ht="12.75" hidden="1" customHeight="1">
      <c r="A40" s="687" t="s">
        <v>19</v>
      </c>
      <c r="B40" s="1178"/>
      <c r="C40" s="1178"/>
      <c r="D40" s="1178"/>
      <c r="E40" s="1178"/>
      <c r="F40" s="1178"/>
      <c r="G40" s="1178"/>
      <c r="H40" s="1178"/>
      <c r="I40" s="1962"/>
      <c r="J40" s="1962"/>
      <c r="K40" s="1178"/>
      <c r="L40" s="1178"/>
      <c r="M40" s="1178">
        <v>13</v>
      </c>
      <c r="N40" s="1178">
        <v>5.8540000000000001</v>
      </c>
      <c r="O40" s="1178"/>
      <c r="P40" s="1178"/>
      <c r="Q40" s="1178" t="s">
        <v>285</v>
      </c>
      <c r="R40" s="1178">
        <v>75.980560999999994</v>
      </c>
    </row>
    <row r="41" spans="1:18" s="1177" customFormat="1" ht="12.75" hidden="1" customHeight="1">
      <c r="A41" s="687" t="s">
        <v>20</v>
      </c>
      <c r="B41" s="1178"/>
      <c r="C41" s="1178"/>
      <c r="D41" s="1178"/>
      <c r="E41" s="1178"/>
      <c r="F41" s="1178"/>
      <c r="G41" s="1178">
        <v>4</v>
      </c>
      <c r="H41" s="1178">
        <v>0.30099999999999999</v>
      </c>
      <c r="I41" s="1963"/>
      <c r="J41" s="1963"/>
      <c r="K41" s="1178"/>
      <c r="L41" s="1178"/>
      <c r="M41" s="1178">
        <v>13</v>
      </c>
      <c r="N41" s="1178">
        <v>5.9005999999999998</v>
      </c>
      <c r="O41" s="1178"/>
      <c r="P41" s="1178"/>
      <c r="Q41" s="1178" t="s">
        <v>285</v>
      </c>
      <c r="R41" s="1178">
        <v>77.579561999999996</v>
      </c>
    </row>
    <row r="42" spans="1:18" s="1177" customFormat="1" ht="12.75" hidden="1" customHeight="1">
      <c r="A42" s="687" t="s">
        <v>21</v>
      </c>
      <c r="B42" s="1178"/>
      <c r="C42" s="1178"/>
      <c r="D42" s="1178"/>
      <c r="E42" s="1178"/>
      <c r="F42" s="1178"/>
      <c r="G42" s="1178">
        <v>4</v>
      </c>
      <c r="H42" s="1178">
        <v>2.306</v>
      </c>
      <c r="I42" s="1962"/>
      <c r="J42" s="1962"/>
      <c r="K42" s="1178"/>
      <c r="L42" s="1178"/>
      <c r="M42" s="1178"/>
      <c r="N42" s="1178"/>
      <c r="O42" s="1178"/>
      <c r="P42" s="1178"/>
      <c r="Q42" s="1178" t="s">
        <v>285</v>
      </c>
      <c r="R42" s="1178">
        <v>76.391778000000002</v>
      </c>
    </row>
    <row r="43" spans="1:18" s="1177" customFormat="1" ht="12.75" hidden="1" customHeight="1">
      <c r="A43" s="687" t="s">
        <v>22</v>
      </c>
      <c r="B43" s="1178"/>
      <c r="C43" s="1178"/>
      <c r="D43" s="1178"/>
      <c r="E43" s="1178"/>
      <c r="F43" s="1178"/>
      <c r="G43" s="1178">
        <v>4</v>
      </c>
      <c r="H43" s="1178">
        <v>0.3</v>
      </c>
      <c r="I43" s="1963"/>
      <c r="J43" s="1963"/>
      <c r="K43" s="1178"/>
      <c r="L43" s="1178"/>
      <c r="M43" s="1178"/>
      <c r="N43" s="1178"/>
      <c r="O43" s="1178"/>
      <c r="P43" s="1178"/>
      <c r="Q43" s="1178" t="s">
        <v>285</v>
      </c>
      <c r="R43" s="1178">
        <v>80.27</v>
      </c>
    </row>
    <row r="44" spans="1:18" s="1177" customFormat="1" ht="12.75" hidden="1" customHeight="1">
      <c r="A44" s="687" t="s">
        <v>23</v>
      </c>
      <c r="B44" s="1178"/>
      <c r="C44" s="1178"/>
      <c r="D44" s="1178"/>
      <c r="E44" s="1178"/>
      <c r="F44" s="1178"/>
      <c r="G44" s="1178">
        <v>8</v>
      </c>
      <c r="H44" s="1178">
        <v>13.61</v>
      </c>
      <c r="I44" s="1962"/>
      <c r="J44" s="1962"/>
      <c r="K44" s="1178"/>
      <c r="L44" s="1178"/>
      <c r="M44" s="1178">
        <v>13</v>
      </c>
      <c r="N44" s="1178">
        <v>0.80300000000000005</v>
      </c>
      <c r="O44" s="1178"/>
      <c r="P44" s="1178"/>
      <c r="Q44" s="1178" t="s">
        <v>285</v>
      </c>
      <c r="R44" s="1178">
        <v>81.23</v>
      </c>
    </row>
    <row r="45" spans="1:18" s="1177" customFormat="1" ht="12.75" hidden="1" customHeight="1">
      <c r="A45" s="687" t="s">
        <v>24</v>
      </c>
      <c r="B45" s="1178"/>
      <c r="C45" s="1178"/>
      <c r="D45" s="1178"/>
      <c r="E45" s="1178"/>
      <c r="F45" s="1178"/>
      <c r="G45" s="1178">
        <v>8</v>
      </c>
      <c r="H45" s="1178">
        <v>3.7303999999999999</v>
      </c>
      <c r="I45" s="1963"/>
      <c r="J45" s="1963"/>
      <c r="K45" s="1178"/>
      <c r="L45" s="1178"/>
      <c r="M45" s="1178"/>
      <c r="N45" s="1178"/>
      <c r="O45" s="1178"/>
      <c r="P45" s="1178"/>
      <c r="Q45" s="1178" t="s">
        <v>2613</v>
      </c>
      <c r="R45" s="1178">
        <v>87.028000000000006</v>
      </c>
    </row>
    <row r="46" spans="1:18" s="1177" customFormat="1" ht="12.75" hidden="1" customHeight="1">
      <c r="A46" s="687" t="s">
        <v>25</v>
      </c>
      <c r="B46" s="1178"/>
      <c r="C46" s="1178"/>
      <c r="D46" s="1178"/>
      <c r="E46" s="1178"/>
      <c r="F46" s="1178"/>
      <c r="G46" s="1178">
        <v>8</v>
      </c>
      <c r="H46" s="1178"/>
      <c r="I46" s="1962"/>
      <c r="J46" s="1962"/>
      <c r="K46" s="1178"/>
      <c r="L46" s="1178"/>
      <c r="M46" s="1178">
        <v>16</v>
      </c>
      <c r="N46" s="1178">
        <v>2.3222</v>
      </c>
      <c r="O46" s="1178"/>
      <c r="P46" s="1178"/>
      <c r="Q46" s="1178" t="s">
        <v>2613</v>
      </c>
      <c r="R46" s="1178">
        <v>84.776977000000002</v>
      </c>
    </row>
    <row r="47" spans="1:18" s="1177" customFormat="1" ht="12.75" hidden="1" customHeight="1">
      <c r="A47" s="687" t="s">
        <v>26</v>
      </c>
      <c r="B47" s="1178"/>
      <c r="C47" s="1178"/>
      <c r="D47" s="1178"/>
      <c r="E47" s="1178"/>
      <c r="F47" s="1178"/>
      <c r="G47" s="1178">
        <v>8</v>
      </c>
      <c r="H47" s="1178"/>
      <c r="I47" s="1963"/>
      <c r="J47" s="1963"/>
      <c r="K47" s="1178"/>
      <c r="L47" s="1178"/>
      <c r="M47" s="1178">
        <v>16</v>
      </c>
      <c r="N47" s="1178">
        <v>13.5314</v>
      </c>
      <c r="O47" s="1178"/>
      <c r="P47" s="1178"/>
      <c r="Q47" s="1178" t="s">
        <v>2613</v>
      </c>
      <c r="R47" s="1178">
        <v>86.276977000000002</v>
      </c>
    </row>
    <row r="48" spans="1:18" s="1177" customFormat="1" ht="12.75" hidden="1" customHeight="1">
      <c r="A48" s="687" t="s">
        <v>27</v>
      </c>
      <c r="B48" s="1178"/>
      <c r="C48" s="1178"/>
      <c r="D48" s="1178"/>
      <c r="E48" s="1178"/>
      <c r="F48" s="1178"/>
      <c r="G48" s="1178">
        <v>8</v>
      </c>
      <c r="H48" s="1178">
        <v>1.2134</v>
      </c>
      <c r="I48" s="1962"/>
      <c r="J48" s="1962"/>
      <c r="K48" s="1178"/>
      <c r="L48" s="1178"/>
      <c r="M48" s="1178">
        <v>16</v>
      </c>
      <c r="N48" s="1178"/>
      <c r="O48" s="1178"/>
      <c r="P48" s="1178"/>
      <c r="Q48" s="1178" t="s">
        <v>2613</v>
      </c>
      <c r="R48" s="1178">
        <v>87.225476999999998</v>
      </c>
    </row>
    <row r="49" spans="1:18" s="1177" customFormat="1" ht="12.75" hidden="1" customHeight="1">
      <c r="A49" s="687" t="s">
        <v>28</v>
      </c>
      <c r="B49" s="1178"/>
      <c r="C49" s="1178"/>
      <c r="D49" s="1178"/>
      <c r="E49" s="1178"/>
      <c r="F49" s="1178"/>
      <c r="G49" s="1178">
        <v>8</v>
      </c>
      <c r="H49" s="1178"/>
      <c r="I49" s="1964"/>
      <c r="J49" s="1964"/>
      <c r="K49" s="1178"/>
      <c r="L49" s="1178"/>
      <c r="M49" s="1178">
        <v>16</v>
      </c>
      <c r="N49" s="1178"/>
      <c r="O49" s="1178"/>
      <c r="P49" s="1178"/>
      <c r="Q49" s="1178" t="s">
        <v>2613</v>
      </c>
      <c r="R49" s="1178">
        <v>91.025999999999996</v>
      </c>
    </row>
    <row r="50" spans="1:18" s="1177" customFormat="1" ht="12.75" hidden="1" customHeight="1">
      <c r="A50" s="687" t="s">
        <v>29</v>
      </c>
      <c r="B50" s="1178"/>
      <c r="C50" s="1178"/>
      <c r="D50" s="1178"/>
      <c r="E50" s="1178"/>
      <c r="F50" s="1178"/>
      <c r="G50" s="1178">
        <v>8</v>
      </c>
      <c r="H50" s="1178"/>
      <c r="I50" s="1965"/>
      <c r="J50" s="1965"/>
      <c r="K50" s="1179"/>
      <c r="L50" s="1178"/>
      <c r="M50" s="1179">
        <v>16</v>
      </c>
      <c r="N50" s="1178">
        <v>9.0250000000000004</v>
      </c>
      <c r="O50" s="1179"/>
      <c r="P50" s="1178"/>
      <c r="Q50" s="1178" t="s">
        <v>2613</v>
      </c>
      <c r="R50" s="1178">
        <v>92.86</v>
      </c>
    </row>
    <row r="51" spans="1:18" s="1177" customFormat="1" ht="12.75" hidden="1" customHeight="1">
      <c r="A51" s="1180"/>
      <c r="B51" s="1178"/>
      <c r="C51" s="1178"/>
      <c r="D51" s="1178"/>
      <c r="E51" s="1178"/>
      <c r="F51" s="1178"/>
      <c r="G51" s="1178"/>
      <c r="H51" s="1178"/>
      <c r="I51" s="1965"/>
      <c r="J51" s="1965"/>
      <c r="K51" s="1179"/>
      <c r="L51" s="1178"/>
      <c r="M51" s="1179"/>
      <c r="N51" s="1178"/>
      <c r="O51" s="1179"/>
      <c r="P51" s="1178"/>
      <c r="Q51" s="1178"/>
      <c r="R51" s="1178"/>
    </row>
    <row r="52" spans="1:18" s="1177" customFormat="1" ht="12.75" hidden="1" customHeight="1">
      <c r="A52" s="1180">
        <v>2007</v>
      </c>
      <c r="B52" s="1178">
        <v>10.56</v>
      </c>
      <c r="C52" s="1178"/>
      <c r="D52" s="1178"/>
      <c r="E52" s="1178"/>
      <c r="F52" s="1178">
        <v>253.16360000000014</v>
      </c>
      <c r="G52" s="1178"/>
      <c r="H52" s="1178"/>
      <c r="I52" s="1966"/>
      <c r="J52" s="1966"/>
      <c r="K52" s="1179"/>
      <c r="L52" s="1178"/>
      <c r="M52" s="1179"/>
      <c r="N52" s="1178"/>
      <c r="O52" s="1179"/>
      <c r="P52" s="1178"/>
      <c r="Q52" s="1178"/>
      <c r="R52" s="1178"/>
    </row>
    <row r="53" spans="1:18" s="1177" customFormat="1" ht="12.75" hidden="1" customHeight="1">
      <c r="A53" s="687" t="s">
        <v>18</v>
      </c>
      <c r="B53" s="1178">
        <v>11.02</v>
      </c>
      <c r="C53" s="1178"/>
      <c r="D53" s="1178"/>
      <c r="E53" s="1178"/>
      <c r="F53" s="1178">
        <v>106.9374</v>
      </c>
      <c r="G53" s="1178">
        <v>8</v>
      </c>
      <c r="H53" s="1178">
        <v>3.0131999999999999</v>
      </c>
      <c r="I53" s="1965"/>
      <c r="J53" s="1965"/>
      <c r="K53" s="1179"/>
      <c r="L53" s="1178"/>
      <c r="M53" s="1179">
        <v>16</v>
      </c>
      <c r="N53" s="1178">
        <v>10.247400000000001</v>
      </c>
      <c r="O53" s="1179"/>
      <c r="P53" s="1178"/>
      <c r="Q53" s="1178">
        <v>9.5</v>
      </c>
      <c r="R53" s="1178">
        <v>94.697299999999998</v>
      </c>
    </row>
    <row r="54" spans="1:18" s="1177" customFormat="1" ht="12.75" hidden="1" customHeight="1">
      <c r="A54" s="687" t="s">
        <v>19</v>
      </c>
      <c r="B54" s="1178">
        <v>10.63</v>
      </c>
      <c r="C54" s="1178"/>
      <c r="D54" s="1178"/>
      <c r="E54" s="1178"/>
      <c r="F54" s="1178">
        <v>88.1858</v>
      </c>
      <c r="G54" s="1178">
        <v>8</v>
      </c>
      <c r="H54" s="1178"/>
      <c r="I54" s="1966"/>
      <c r="J54" s="1966"/>
      <c r="K54" s="1179"/>
      <c r="L54" s="1178"/>
      <c r="M54" s="1179">
        <v>16</v>
      </c>
      <c r="N54" s="1178">
        <v>16.167200000000001</v>
      </c>
      <c r="O54" s="1179"/>
      <c r="P54" s="1178"/>
      <c r="Q54" s="1178" t="s">
        <v>2613</v>
      </c>
      <c r="R54" s="1178">
        <v>89.359256999999999</v>
      </c>
    </row>
    <row r="55" spans="1:18" s="1177" customFormat="1" ht="12.75" hidden="1" customHeight="1">
      <c r="A55" s="1180" t="s">
        <v>20</v>
      </c>
      <c r="B55" s="1178">
        <v>10.5</v>
      </c>
      <c r="C55" s="1178"/>
      <c r="D55" s="1178"/>
      <c r="E55" s="1178"/>
      <c r="F55" s="1178">
        <v>85.466800000000006</v>
      </c>
      <c r="G55" s="1178">
        <v>8</v>
      </c>
      <c r="H55" s="1178"/>
      <c r="I55" s="1965"/>
      <c r="J55" s="1965"/>
      <c r="K55" s="1179"/>
      <c r="L55" s="1178"/>
      <c r="M55" s="1179">
        <v>16</v>
      </c>
      <c r="N55" s="1178">
        <v>11.039400000000001</v>
      </c>
      <c r="O55" s="1179"/>
      <c r="P55" s="1178"/>
      <c r="Q55" s="1178" t="s">
        <v>2613</v>
      </c>
      <c r="R55" s="1178">
        <v>96.775000000000006</v>
      </c>
    </row>
    <row r="56" spans="1:18" s="1177" customFormat="1" ht="12.75" hidden="1" customHeight="1">
      <c r="A56" s="1180" t="s">
        <v>21</v>
      </c>
      <c r="B56" s="1178">
        <v>11.02</v>
      </c>
      <c r="C56" s="1178"/>
      <c r="D56" s="1178"/>
      <c r="E56" s="1178"/>
      <c r="F56" s="1178">
        <v>103.29060000000001</v>
      </c>
      <c r="G56" s="1178"/>
      <c r="H56" s="1178"/>
      <c r="I56" s="1966"/>
      <c r="J56" s="1966"/>
      <c r="K56" s="1179"/>
      <c r="L56" s="1178"/>
      <c r="M56" s="1179">
        <v>19</v>
      </c>
      <c r="N56" s="1178"/>
      <c r="O56" s="1179"/>
      <c r="P56" s="1178"/>
      <c r="Q56" s="1178" t="s">
        <v>29</v>
      </c>
      <c r="R56" s="1178">
        <v>99.6</v>
      </c>
    </row>
    <row r="57" spans="1:18" s="1177" customFormat="1" ht="12.75" hidden="1" customHeight="1">
      <c r="A57" s="1180" t="s">
        <v>22</v>
      </c>
      <c r="B57" s="1178">
        <v>11.41</v>
      </c>
      <c r="C57" s="1178"/>
      <c r="D57" s="1178"/>
      <c r="E57" s="1178"/>
      <c r="F57" s="1178">
        <v>154.28440000000006</v>
      </c>
      <c r="G57" s="1178"/>
      <c r="H57" s="1178"/>
      <c r="I57" s="1965"/>
      <c r="J57" s="1965"/>
      <c r="K57" s="1179"/>
      <c r="L57" s="1178"/>
      <c r="M57" s="1179">
        <v>19</v>
      </c>
      <c r="N57" s="1178"/>
      <c r="O57" s="1179"/>
      <c r="P57" s="1178"/>
      <c r="Q57" s="1178" t="s">
        <v>29</v>
      </c>
      <c r="R57" s="1178">
        <v>103.13</v>
      </c>
    </row>
    <row r="58" spans="1:18" s="1177" customFormat="1" ht="12.75" hidden="1" customHeight="1">
      <c r="A58" s="1180" t="s">
        <v>23</v>
      </c>
      <c r="B58" s="1178">
        <v>11.68</v>
      </c>
      <c r="C58" s="1178"/>
      <c r="D58" s="1178"/>
      <c r="E58" s="1178"/>
      <c r="F58" s="1178">
        <v>125.74420000000008</v>
      </c>
      <c r="G58" s="1178"/>
      <c r="H58" s="1178"/>
      <c r="I58" s="1966"/>
      <c r="J58" s="1966"/>
      <c r="K58" s="1179"/>
      <c r="L58" s="1178"/>
      <c r="M58" s="1179">
        <v>19</v>
      </c>
      <c r="N58" s="1178"/>
      <c r="O58" s="1179"/>
      <c r="P58" s="1178"/>
      <c r="Q58" s="1178" t="s">
        <v>2614</v>
      </c>
      <c r="R58" s="1178">
        <v>100.58199999999999</v>
      </c>
    </row>
    <row r="59" spans="1:18" s="1177" customFormat="1" ht="12.75" hidden="1" customHeight="1">
      <c r="A59" s="1180" t="s">
        <v>24</v>
      </c>
      <c r="B59" s="1178">
        <v>11.15</v>
      </c>
      <c r="C59" s="1178"/>
      <c r="D59" s="1178"/>
      <c r="E59" s="1178"/>
      <c r="F59" s="1178">
        <v>180.47440000000009</v>
      </c>
      <c r="G59" s="1178"/>
      <c r="H59" s="1178"/>
      <c r="I59" s="1965"/>
      <c r="J59" s="1965"/>
      <c r="K59" s="1179"/>
      <c r="L59" s="1178"/>
      <c r="M59" s="1179">
        <v>19</v>
      </c>
      <c r="N59" s="1178"/>
      <c r="O59" s="1179"/>
      <c r="P59" s="1178"/>
      <c r="Q59" s="1178" t="s">
        <v>2614</v>
      </c>
      <c r="R59" s="1178">
        <v>90.66</v>
      </c>
    </row>
    <row r="60" spans="1:18" s="1177" customFormat="1" ht="12.75" hidden="1" customHeight="1">
      <c r="A60" s="1180" t="s">
        <v>25</v>
      </c>
      <c r="B60" s="1178">
        <v>6.33</v>
      </c>
      <c r="C60" s="1178"/>
      <c r="D60" s="1178"/>
      <c r="E60" s="1178"/>
      <c r="F60" s="1178">
        <v>162.07280000000009</v>
      </c>
      <c r="G60" s="1178"/>
      <c r="H60" s="1178"/>
      <c r="I60" s="1966"/>
      <c r="J60" s="1966"/>
      <c r="K60" s="1179"/>
      <c r="L60" s="1178"/>
      <c r="M60" s="1179">
        <v>19</v>
      </c>
      <c r="N60" s="1178"/>
      <c r="O60" s="1179"/>
      <c r="P60" s="1178"/>
      <c r="Q60" s="1178" t="s">
        <v>2614</v>
      </c>
      <c r="R60" s="1178">
        <v>91.88</v>
      </c>
    </row>
    <row r="61" spans="1:18" s="1177" customFormat="1" ht="12.75" hidden="1" customHeight="1">
      <c r="A61" s="1180" t="s">
        <v>26</v>
      </c>
      <c r="B61" s="1178">
        <v>6.2</v>
      </c>
      <c r="C61" s="1178"/>
      <c r="D61" s="1178"/>
      <c r="E61" s="1178"/>
      <c r="F61" s="1178">
        <v>176.3386000000001</v>
      </c>
      <c r="G61" s="1178"/>
      <c r="H61" s="1178"/>
      <c r="I61" s="1965"/>
      <c r="J61" s="1965"/>
      <c r="K61" s="1179"/>
      <c r="L61" s="1178"/>
      <c r="M61" s="1179">
        <v>19</v>
      </c>
      <c r="N61" s="1178"/>
      <c r="O61" s="1179"/>
      <c r="P61" s="1178"/>
      <c r="Q61" s="1178" t="s">
        <v>2614</v>
      </c>
      <c r="R61" s="1178">
        <v>92.88</v>
      </c>
    </row>
    <row r="62" spans="1:18" s="1177" customFormat="1" ht="12.75" hidden="1" customHeight="1">
      <c r="A62" s="1180" t="s">
        <v>27</v>
      </c>
      <c r="B62" s="1178">
        <v>6.59</v>
      </c>
      <c r="C62" s="1178"/>
      <c r="D62" s="1178"/>
      <c r="E62" s="1178"/>
      <c r="F62" s="1178">
        <v>187.70280000000011</v>
      </c>
      <c r="G62" s="1178"/>
      <c r="H62" s="1178"/>
      <c r="I62" s="1966"/>
      <c r="J62" s="1966"/>
      <c r="K62" s="1179"/>
      <c r="L62" s="1178"/>
      <c r="M62" s="1179">
        <v>19</v>
      </c>
      <c r="N62" s="1178"/>
      <c r="O62" s="1179"/>
      <c r="P62" s="1178"/>
      <c r="Q62" s="1178" t="s">
        <v>2614</v>
      </c>
      <c r="R62" s="1178">
        <v>92.14</v>
      </c>
    </row>
    <row r="63" spans="1:18" s="1177" customFormat="1" ht="12.75" hidden="1" customHeight="1">
      <c r="A63" s="1180" t="s">
        <v>28</v>
      </c>
      <c r="B63" s="1178">
        <v>10.5</v>
      </c>
      <c r="C63" s="1178"/>
      <c r="D63" s="1178"/>
      <c r="E63" s="1178"/>
      <c r="F63" s="1178">
        <v>165.92480000000015</v>
      </c>
      <c r="G63" s="1178"/>
      <c r="H63" s="1178"/>
      <c r="I63" s="1965"/>
      <c r="J63" s="1965"/>
      <c r="K63" s="1179"/>
      <c r="L63" s="1178"/>
      <c r="M63" s="1179">
        <v>19</v>
      </c>
      <c r="N63" s="1178"/>
      <c r="O63" s="1179"/>
      <c r="P63" s="1178"/>
      <c r="Q63" s="1178" t="s">
        <v>2614</v>
      </c>
      <c r="R63" s="1178">
        <v>90.65</v>
      </c>
    </row>
    <row r="64" spans="1:18" s="1177" customFormat="1" ht="12.75" hidden="1" customHeight="1">
      <c r="A64" s="1180" t="s">
        <v>29</v>
      </c>
      <c r="B64" s="1178">
        <v>10.56</v>
      </c>
      <c r="C64" s="1178"/>
      <c r="D64" s="1178"/>
      <c r="E64" s="1178"/>
      <c r="F64" s="1178">
        <v>253.16360000000014</v>
      </c>
      <c r="G64" s="1178"/>
      <c r="H64" s="1178"/>
      <c r="I64" s="1966"/>
      <c r="J64" s="1966"/>
      <c r="K64" s="1179"/>
      <c r="L64" s="1178"/>
      <c r="M64" s="1179">
        <v>19</v>
      </c>
      <c r="N64" s="1178"/>
      <c r="O64" s="1179"/>
      <c r="P64" s="1178"/>
      <c r="Q64" s="1178" t="s">
        <v>2614</v>
      </c>
      <c r="R64" s="1178">
        <v>95.27</v>
      </c>
    </row>
    <row r="65" spans="1:18" s="1177" customFormat="1" ht="12.75" hidden="1" customHeight="1">
      <c r="A65" s="1180"/>
      <c r="B65" s="1178"/>
      <c r="C65" s="1178"/>
      <c r="D65" s="1178"/>
      <c r="E65" s="1178"/>
      <c r="F65" s="1178"/>
      <c r="G65" s="1178"/>
      <c r="H65" s="1178"/>
      <c r="I65" s="1965"/>
      <c r="J65" s="1965"/>
      <c r="K65" s="1179"/>
      <c r="L65" s="1178"/>
      <c r="M65" s="1179"/>
      <c r="N65" s="1178"/>
      <c r="O65" s="1179"/>
      <c r="P65" s="1178"/>
      <c r="Q65" s="1178"/>
      <c r="R65" s="1178"/>
    </row>
    <row r="66" spans="1:18" s="1177" customFormat="1" ht="12.75" hidden="1" customHeight="1">
      <c r="A66" s="1180" t="s">
        <v>114</v>
      </c>
      <c r="B66" s="1178"/>
      <c r="C66" s="1178"/>
      <c r="D66" s="1178"/>
      <c r="E66" s="1178"/>
      <c r="F66" s="1178"/>
      <c r="G66" s="1178"/>
      <c r="H66" s="1178"/>
      <c r="I66" s="1965"/>
      <c r="J66" s="1965"/>
      <c r="K66" s="1179"/>
      <c r="L66" s="1178"/>
      <c r="M66" s="1179"/>
      <c r="N66" s="1178"/>
      <c r="O66" s="1179"/>
      <c r="P66" s="1178"/>
      <c r="Q66" s="1178"/>
      <c r="R66" s="1178"/>
    </row>
    <row r="67" spans="1:18" s="1177" customFormat="1" ht="12.75" hidden="1" customHeight="1">
      <c r="A67" s="1180" t="s">
        <v>18</v>
      </c>
      <c r="B67" s="1178">
        <v>10.76</v>
      </c>
      <c r="C67" s="1178"/>
      <c r="D67" s="1178"/>
      <c r="E67" s="1178"/>
      <c r="F67" s="1178">
        <v>212.74760000000018</v>
      </c>
      <c r="G67" s="1178"/>
      <c r="H67" s="1178"/>
      <c r="I67" s="1966"/>
      <c r="J67" s="1966"/>
      <c r="K67" s="1179"/>
      <c r="L67" s="1178"/>
      <c r="M67" s="1179">
        <v>19</v>
      </c>
      <c r="N67" s="1178"/>
      <c r="O67" s="1179"/>
      <c r="P67" s="1178"/>
      <c r="Q67" s="1178" t="s">
        <v>2614</v>
      </c>
      <c r="R67" s="1178">
        <v>95.27</v>
      </c>
    </row>
    <row r="68" spans="1:18" s="1177" customFormat="1" ht="12.75" hidden="1" customHeight="1">
      <c r="A68" s="1180" t="s">
        <v>19</v>
      </c>
      <c r="B68" s="1178">
        <v>9.32</v>
      </c>
      <c r="C68" s="1178"/>
      <c r="D68" s="1178"/>
      <c r="E68" s="1178"/>
      <c r="F68" s="1178">
        <v>150.67300000000023</v>
      </c>
      <c r="G68" s="1178"/>
      <c r="H68" s="1178"/>
      <c r="I68" s="1965"/>
      <c r="J68" s="1965"/>
      <c r="K68" s="1179"/>
      <c r="L68" s="1178"/>
      <c r="M68" s="1179">
        <v>19</v>
      </c>
      <c r="N68" s="1178"/>
      <c r="O68" s="1179"/>
      <c r="P68" s="1178"/>
      <c r="Q68" s="1178" t="s">
        <v>2614</v>
      </c>
      <c r="R68" s="1178">
        <v>95.47</v>
      </c>
    </row>
    <row r="69" spans="1:18" s="1177" customFormat="1" ht="12.75" hidden="1" customHeight="1">
      <c r="A69" s="1180" t="s">
        <v>20</v>
      </c>
      <c r="B69" s="1178">
        <v>9.2799999999999994</v>
      </c>
      <c r="C69" s="1178"/>
      <c r="D69" s="1178"/>
      <c r="E69" s="1178"/>
      <c r="F69" s="1178">
        <v>168.13980000000004</v>
      </c>
      <c r="G69" s="1178"/>
      <c r="H69" s="1178"/>
      <c r="I69" s="1966"/>
      <c r="J69" s="1966"/>
      <c r="K69" s="1179"/>
      <c r="L69" s="1178"/>
      <c r="M69" s="1179">
        <v>19</v>
      </c>
      <c r="N69" s="1178"/>
      <c r="O69" s="1179"/>
      <c r="P69" s="1178"/>
      <c r="Q69" s="1178" t="s">
        <v>2614</v>
      </c>
      <c r="R69" s="1178">
        <v>95.07</v>
      </c>
    </row>
    <row r="70" spans="1:18" s="1177" customFormat="1" ht="12.75" hidden="1" customHeight="1">
      <c r="A70" s="1180" t="s">
        <v>21</v>
      </c>
      <c r="B70" s="1178">
        <v>10.26</v>
      </c>
      <c r="C70" s="1178"/>
      <c r="D70" s="1178"/>
      <c r="E70" s="1178"/>
      <c r="F70" s="1178">
        <v>142.84739999999999</v>
      </c>
      <c r="G70" s="1178"/>
      <c r="H70" s="1178"/>
      <c r="I70" s="1965"/>
      <c r="J70" s="1965"/>
      <c r="K70" s="1179"/>
      <c r="L70" s="1178"/>
      <c r="M70" s="1179">
        <v>20</v>
      </c>
      <c r="N70" s="1178"/>
      <c r="O70" s="1179"/>
      <c r="P70" s="1178"/>
      <c r="Q70" s="1178" t="s">
        <v>2615</v>
      </c>
      <c r="R70" s="1178">
        <v>96.06</v>
      </c>
    </row>
    <row r="71" spans="1:18" s="1177" customFormat="1" ht="12.75" hidden="1" customHeight="1">
      <c r="A71" s="1180" t="s">
        <v>22</v>
      </c>
      <c r="B71" s="1178">
        <v>10.08</v>
      </c>
      <c r="C71" s="1178"/>
      <c r="D71" s="1178"/>
      <c r="E71" s="1178"/>
      <c r="F71" s="1178">
        <v>96.531000000000034</v>
      </c>
      <c r="G71" s="1178"/>
      <c r="H71" s="1178"/>
      <c r="I71" s="1966"/>
      <c r="J71" s="1966"/>
      <c r="K71" s="1179"/>
      <c r="L71" s="1178"/>
      <c r="M71" s="1179">
        <v>20</v>
      </c>
      <c r="N71" s="1178"/>
      <c r="O71" s="1179"/>
      <c r="P71" s="1178"/>
      <c r="Q71" s="1178" t="s">
        <v>2615</v>
      </c>
      <c r="R71" s="1178">
        <v>97.165000000000006</v>
      </c>
    </row>
    <row r="72" spans="1:18" s="1177" customFormat="1" ht="12.75" hidden="1" customHeight="1">
      <c r="A72" s="1180" t="s">
        <v>23</v>
      </c>
      <c r="B72" s="1178">
        <v>9.4499999999999993</v>
      </c>
      <c r="C72" s="1178"/>
      <c r="D72" s="1178"/>
      <c r="E72" s="1178"/>
      <c r="F72" s="1178">
        <v>100.17520000000003</v>
      </c>
      <c r="G72" s="1178"/>
      <c r="H72" s="1178"/>
      <c r="I72" s="1965"/>
      <c r="J72" s="1965"/>
      <c r="K72" s="1179"/>
      <c r="L72" s="1178"/>
      <c r="M72" s="1179">
        <v>20</v>
      </c>
      <c r="N72" s="1178"/>
      <c r="O72" s="1179"/>
      <c r="P72" s="1178"/>
      <c r="Q72" s="1178" t="s">
        <v>2616</v>
      </c>
      <c r="R72" s="1178">
        <v>100.9</v>
      </c>
    </row>
    <row r="73" spans="1:18" s="1177" customFormat="1" ht="12.75" hidden="1" customHeight="1">
      <c r="A73" s="1180" t="s">
        <v>24</v>
      </c>
      <c r="B73" s="1178">
        <v>10.89</v>
      </c>
      <c r="C73" s="1178"/>
      <c r="D73" s="1178"/>
      <c r="E73" s="1178"/>
      <c r="F73" s="1178">
        <v>95.363200000000049</v>
      </c>
      <c r="G73" s="1178"/>
      <c r="H73" s="1178"/>
      <c r="I73" s="1966"/>
      <c r="J73" s="1966"/>
      <c r="K73" s="1179"/>
      <c r="L73" s="1178"/>
      <c r="M73" s="1179">
        <v>20</v>
      </c>
      <c r="N73" s="1178"/>
      <c r="O73" s="1179"/>
      <c r="P73" s="1178"/>
      <c r="Q73" s="1178" t="s">
        <v>2616</v>
      </c>
      <c r="R73" s="1178">
        <v>106.676</v>
      </c>
    </row>
    <row r="74" spans="1:18" s="1177" customFormat="1" ht="12.75" hidden="1" customHeight="1">
      <c r="A74" s="1180" t="s">
        <v>25</v>
      </c>
      <c r="B74" s="1178">
        <v>11.41</v>
      </c>
      <c r="C74" s="1178"/>
      <c r="D74" s="1178"/>
      <c r="E74" s="1178"/>
      <c r="F74" s="1178">
        <v>35.766600000000061</v>
      </c>
      <c r="G74" s="1178"/>
      <c r="H74" s="1178"/>
      <c r="I74" s="1965"/>
      <c r="J74" s="1965"/>
      <c r="K74" s="1179"/>
      <c r="L74" s="1178"/>
      <c r="M74" s="1179">
        <v>20</v>
      </c>
      <c r="N74" s="1178"/>
      <c r="O74" s="1179"/>
      <c r="P74" s="1178"/>
      <c r="Q74" s="1178" t="s">
        <v>2616</v>
      </c>
      <c r="R74" s="1178">
        <v>114.6</v>
      </c>
    </row>
    <row r="75" spans="1:18" s="1177" customFormat="1" ht="12.75" hidden="1" customHeight="1">
      <c r="A75" s="1180" t="s">
        <v>26</v>
      </c>
      <c r="B75" s="1178">
        <v>9.4499999999999993</v>
      </c>
      <c r="C75" s="1178"/>
      <c r="D75" s="1178"/>
      <c r="E75" s="1178"/>
      <c r="F75" s="1178">
        <v>80.504000000000005</v>
      </c>
      <c r="G75" s="1178"/>
      <c r="H75" s="1178"/>
      <c r="I75" s="1966"/>
      <c r="J75" s="1966"/>
      <c r="K75" s="1179"/>
      <c r="L75" s="1178"/>
      <c r="M75" s="1179">
        <v>20</v>
      </c>
      <c r="N75" s="1178"/>
      <c r="O75" s="1179"/>
      <c r="P75" s="1178"/>
      <c r="Q75" s="1178" t="s">
        <v>2616</v>
      </c>
      <c r="R75" s="1178">
        <v>118.58</v>
      </c>
    </row>
    <row r="76" spans="1:18" s="1177" customFormat="1" ht="12.75" hidden="1" customHeight="1">
      <c r="A76" s="1180" t="s">
        <v>27</v>
      </c>
      <c r="B76" s="1178">
        <v>6.33</v>
      </c>
      <c r="C76" s="1178"/>
      <c r="D76" s="1178"/>
      <c r="E76" s="1178"/>
      <c r="F76" s="1178">
        <v>100</v>
      </c>
      <c r="G76" s="1178"/>
      <c r="H76" s="1178"/>
      <c r="I76" s="1965"/>
      <c r="J76" s="1965"/>
      <c r="K76" s="1179"/>
      <c r="L76" s="1178"/>
      <c r="M76" s="1179">
        <v>20</v>
      </c>
      <c r="N76" s="1178"/>
      <c r="O76" s="1179"/>
      <c r="P76" s="1178"/>
      <c r="Q76" s="1178" t="s">
        <v>29</v>
      </c>
      <c r="R76" s="1178">
        <v>124.2</v>
      </c>
    </row>
    <row r="77" spans="1:18" s="1177" customFormat="1" ht="12.75" hidden="1" customHeight="1">
      <c r="A77" s="1180" t="s">
        <v>28</v>
      </c>
      <c r="B77" s="1178">
        <v>5.42</v>
      </c>
      <c r="C77" s="1178"/>
      <c r="D77" s="1178"/>
      <c r="E77" s="1178"/>
      <c r="F77" s="1178">
        <v>125</v>
      </c>
      <c r="G77" s="1178"/>
      <c r="H77" s="1178"/>
      <c r="I77" s="1966"/>
      <c r="J77" s="1966"/>
      <c r="K77" s="1179"/>
      <c r="L77" s="1178"/>
      <c r="M77" s="1179">
        <v>15</v>
      </c>
      <c r="N77" s="1178"/>
      <c r="O77" s="1179"/>
      <c r="P77" s="1178"/>
      <c r="Q77" s="1178" t="s">
        <v>27</v>
      </c>
      <c r="R77" s="1178">
        <v>178.4</v>
      </c>
    </row>
    <row r="78" spans="1:18" s="1177" customFormat="1" ht="12.75" hidden="1" customHeight="1">
      <c r="A78" s="1180" t="s">
        <v>29</v>
      </c>
      <c r="B78" s="1178">
        <v>4.74</v>
      </c>
      <c r="C78" s="1178"/>
      <c r="D78" s="1178"/>
      <c r="E78" s="1178"/>
      <c r="F78" s="1178">
        <v>180.01</v>
      </c>
      <c r="G78" s="1178"/>
      <c r="H78" s="1178"/>
      <c r="I78" s="1965"/>
      <c r="J78" s="1965"/>
      <c r="K78" s="1179"/>
      <c r="L78" s="1178"/>
      <c r="M78" s="1179">
        <v>13</v>
      </c>
      <c r="N78" s="1178"/>
      <c r="O78" s="1179"/>
      <c r="P78" s="1178"/>
      <c r="Q78" s="1178" t="s">
        <v>287</v>
      </c>
      <c r="R78" s="1178">
        <v>229</v>
      </c>
    </row>
    <row r="79" spans="1:18" s="1177" customFormat="1" ht="12.75" hidden="1" customHeight="1">
      <c r="A79" s="1180" t="s">
        <v>43</v>
      </c>
      <c r="B79" s="1178"/>
      <c r="C79" s="1178"/>
      <c r="D79" s="1178"/>
      <c r="E79" s="1178"/>
      <c r="F79" s="1178"/>
      <c r="G79" s="1178"/>
      <c r="H79" s="1178"/>
      <c r="I79" s="1966"/>
      <c r="J79" s="1966"/>
      <c r="K79" s="1179"/>
      <c r="L79" s="1178"/>
      <c r="M79" s="1179"/>
      <c r="N79" s="1178"/>
      <c r="O79" s="1179"/>
      <c r="P79" s="1178"/>
      <c r="Q79" s="1178"/>
      <c r="R79" s="1178"/>
    </row>
    <row r="80" spans="1:18" s="1177" customFormat="1" ht="12.75" hidden="1" customHeight="1">
      <c r="A80" s="1180" t="s">
        <v>18</v>
      </c>
      <c r="B80" s="1178">
        <v>3.87</v>
      </c>
      <c r="C80" s="1178"/>
      <c r="D80" s="1178"/>
      <c r="E80" s="1178"/>
      <c r="F80" s="1178">
        <v>133.57</v>
      </c>
      <c r="G80" s="1178"/>
      <c r="H80" s="1178"/>
      <c r="I80" s="1965"/>
      <c r="J80" s="1965"/>
      <c r="K80" s="1179"/>
      <c r="L80" s="1178"/>
      <c r="M80" s="1179">
        <v>10</v>
      </c>
      <c r="N80" s="1178"/>
      <c r="O80" s="1179"/>
      <c r="P80" s="1178"/>
      <c r="Q80" s="1178" t="s">
        <v>287</v>
      </c>
      <c r="R80" s="1178">
        <v>228.15</v>
      </c>
    </row>
    <row r="81" spans="1:18" s="1177" customFormat="1" ht="12.75" hidden="1" customHeight="1">
      <c r="A81" s="1180" t="s">
        <v>19</v>
      </c>
      <c r="B81" s="1178">
        <v>4.5199999999999996</v>
      </c>
      <c r="C81" s="1178"/>
      <c r="D81" s="1178"/>
      <c r="E81" s="1178"/>
      <c r="F81" s="1178">
        <v>42.058</v>
      </c>
      <c r="G81" s="1178"/>
      <c r="H81" s="1178"/>
      <c r="I81" s="1966"/>
      <c r="J81" s="1966"/>
      <c r="K81" s="1179"/>
      <c r="L81" s="1178"/>
      <c r="M81" s="1179">
        <v>8</v>
      </c>
      <c r="N81" s="1178"/>
      <c r="O81" s="1179"/>
      <c r="P81" s="1178"/>
      <c r="Q81" s="1178" t="s">
        <v>288</v>
      </c>
      <c r="R81" s="1178">
        <v>238.74</v>
      </c>
    </row>
    <row r="82" spans="1:18" s="1177" customFormat="1" ht="12.75" hidden="1" customHeight="1">
      <c r="A82" s="1180" t="s">
        <v>20</v>
      </c>
      <c r="B82" s="1178">
        <v>2.61</v>
      </c>
      <c r="C82" s="1178"/>
      <c r="D82" s="1178"/>
      <c r="E82" s="1178"/>
      <c r="F82" s="1178">
        <v>31.81</v>
      </c>
      <c r="G82" s="1178"/>
      <c r="H82" s="1178"/>
      <c r="I82" s="1965"/>
      <c r="J82" s="1965"/>
      <c r="K82" s="1179"/>
      <c r="L82" s="1178"/>
      <c r="M82" s="1179">
        <v>8</v>
      </c>
      <c r="N82" s="1178"/>
      <c r="O82" s="1179"/>
      <c r="P82" s="1178"/>
      <c r="Q82" s="1178" t="s">
        <v>289</v>
      </c>
      <c r="R82" s="1178">
        <v>249.96</v>
      </c>
    </row>
    <row r="83" spans="1:18" s="1177" customFormat="1" ht="12.75" hidden="1" customHeight="1">
      <c r="A83" s="1180" t="s">
        <v>21</v>
      </c>
      <c r="B83" s="1178">
        <v>2.3199999999999998</v>
      </c>
      <c r="C83" s="1178"/>
      <c r="D83" s="1178"/>
      <c r="E83" s="1178"/>
      <c r="F83" s="1178">
        <v>19</v>
      </c>
      <c r="G83" s="1178"/>
      <c r="H83" s="1178"/>
      <c r="I83" s="1966"/>
      <c r="J83" s="1966"/>
      <c r="K83" s="1179"/>
      <c r="L83" s="1178"/>
      <c r="M83" s="1179">
        <v>8</v>
      </c>
      <c r="N83" s="1178"/>
      <c r="O83" s="1179"/>
      <c r="P83" s="1178"/>
      <c r="Q83" s="1178" t="s">
        <v>289</v>
      </c>
      <c r="R83" s="1178">
        <v>347.09</v>
      </c>
    </row>
    <row r="84" spans="1:18" s="1177" customFormat="1" ht="12.75" hidden="1" customHeight="1">
      <c r="A84" s="1180" t="s">
        <v>22</v>
      </c>
      <c r="B84" s="1178">
        <v>1.29</v>
      </c>
      <c r="C84" s="1178"/>
      <c r="D84" s="1178"/>
      <c r="E84" s="1178"/>
      <c r="F84" s="1178">
        <v>16</v>
      </c>
      <c r="G84" s="1178"/>
      <c r="H84" s="1178"/>
      <c r="I84" s="1965"/>
      <c r="J84" s="1965"/>
      <c r="K84" s="1179"/>
      <c r="L84" s="1178"/>
      <c r="M84" s="1179">
        <v>7</v>
      </c>
      <c r="N84" s="1178"/>
      <c r="O84" s="1179"/>
      <c r="P84" s="1178"/>
      <c r="Q84" s="1178" t="s">
        <v>290</v>
      </c>
      <c r="R84" s="1178">
        <v>372.97</v>
      </c>
    </row>
    <row r="85" spans="1:18" s="1177" customFormat="1" ht="12.75" hidden="1" customHeight="1">
      <c r="A85" s="1180" t="s">
        <v>23</v>
      </c>
      <c r="B85" s="1178">
        <v>1.1599999999999999</v>
      </c>
      <c r="C85" s="1178"/>
      <c r="D85" s="1178"/>
      <c r="E85" s="1178"/>
      <c r="F85" s="1178">
        <v>16</v>
      </c>
      <c r="G85" s="1178"/>
      <c r="H85" s="1178"/>
      <c r="I85" s="1966"/>
      <c r="J85" s="1966"/>
      <c r="K85" s="1179"/>
      <c r="L85" s="1178"/>
      <c r="M85" s="1179">
        <v>7</v>
      </c>
      <c r="N85" s="1178"/>
      <c r="O85" s="1179"/>
      <c r="P85" s="1178"/>
      <c r="Q85" s="1178" t="s">
        <v>290</v>
      </c>
      <c r="R85" s="1178">
        <v>399.47</v>
      </c>
    </row>
    <row r="86" spans="1:18" s="1177" customFormat="1" ht="12.75" hidden="1" customHeight="1">
      <c r="A86" s="1180" t="s">
        <v>24</v>
      </c>
      <c r="B86" s="1178">
        <v>1.03</v>
      </c>
      <c r="C86" s="1178"/>
      <c r="D86" s="1178"/>
      <c r="E86" s="1178"/>
      <c r="F86" s="1178">
        <v>14</v>
      </c>
      <c r="G86" s="1178"/>
      <c r="H86" s="1178"/>
      <c r="I86" s="1965"/>
      <c r="J86" s="1965"/>
      <c r="K86" s="1179"/>
      <c r="L86" s="1178"/>
      <c r="M86" s="1179">
        <v>7</v>
      </c>
      <c r="N86" s="1178"/>
      <c r="O86" s="1179"/>
      <c r="P86" s="1178"/>
      <c r="Q86" s="1178" t="s">
        <v>290</v>
      </c>
      <c r="R86" s="1178">
        <v>780.66</v>
      </c>
    </row>
    <row r="87" spans="1:18" s="1177" customFormat="1" ht="12.75" hidden="1" customHeight="1">
      <c r="A87" s="1180" t="s">
        <v>25</v>
      </c>
      <c r="B87" s="1178">
        <v>1</v>
      </c>
      <c r="C87" s="1178"/>
      <c r="D87" s="1178"/>
      <c r="E87" s="1178"/>
      <c r="F87" s="1178">
        <v>14</v>
      </c>
      <c r="G87" s="1178"/>
      <c r="H87" s="1178"/>
      <c r="I87" s="1966"/>
      <c r="J87" s="1966"/>
      <c r="K87" s="1179"/>
      <c r="L87" s="1178"/>
      <c r="M87" s="1179">
        <v>7</v>
      </c>
      <c r="N87" s="1178"/>
      <c r="O87" s="1179"/>
      <c r="P87" s="1178"/>
      <c r="Q87" s="1178" t="s">
        <v>290</v>
      </c>
      <c r="R87" s="1178">
        <v>1128.51</v>
      </c>
    </row>
    <row r="88" spans="1:18" s="1177" customFormat="1" ht="12.75" hidden="1" customHeight="1">
      <c r="A88" s="1180" t="s">
        <v>26</v>
      </c>
      <c r="B88" s="1178">
        <v>1</v>
      </c>
      <c r="C88" s="1178"/>
      <c r="D88" s="1178"/>
      <c r="E88" s="1178"/>
      <c r="F88" s="1178">
        <v>15</v>
      </c>
      <c r="G88" s="1178"/>
      <c r="H88" s="1178"/>
      <c r="I88" s="1965"/>
      <c r="J88" s="1965"/>
      <c r="K88" s="1179"/>
      <c r="L88" s="1178"/>
      <c r="M88" s="1179">
        <v>7</v>
      </c>
      <c r="N88" s="1178"/>
      <c r="O88" s="1179"/>
      <c r="P88" s="1178"/>
      <c r="Q88" s="1178" t="s">
        <v>290</v>
      </c>
      <c r="R88" s="1178">
        <v>1139.7</v>
      </c>
    </row>
    <row r="89" spans="1:18" s="1177" customFormat="1" ht="12.75" hidden="1" customHeight="1">
      <c r="A89" s="1180" t="s">
        <v>27</v>
      </c>
      <c r="B89" s="1178">
        <v>1</v>
      </c>
      <c r="C89" s="1178"/>
      <c r="D89" s="1178"/>
      <c r="E89" s="1178"/>
      <c r="F89" s="1178">
        <v>6</v>
      </c>
      <c r="G89" s="1178"/>
      <c r="H89" s="1178"/>
      <c r="I89" s="1966"/>
      <c r="J89" s="1966"/>
      <c r="K89" s="1179"/>
      <c r="L89" s="1178"/>
      <c r="M89" s="1179">
        <v>7</v>
      </c>
      <c r="N89" s="1178"/>
      <c r="O89" s="1179"/>
      <c r="P89" s="1178"/>
      <c r="Q89" s="1178" t="s">
        <v>290</v>
      </c>
      <c r="R89" s="1178">
        <v>1156.9000000000001</v>
      </c>
    </row>
    <row r="90" spans="1:18" s="1177" customFormat="1" ht="12.75" hidden="1" customHeight="1">
      <c r="A90" s="1180" t="s">
        <v>28</v>
      </c>
      <c r="B90" s="1178">
        <v>1</v>
      </c>
      <c r="C90" s="1178"/>
      <c r="D90" s="1178"/>
      <c r="E90" s="1178"/>
      <c r="F90" s="1178">
        <v>8.5</v>
      </c>
      <c r="G90" s="1178"/>
      <c r="H90" s="1178"/>
      <c r="I90" s="1965"/>
      <c r="J90" s="1965"/>
      <c r="K90" s="1179"/>
      <c r="L90" s="1178"/>
      <c r="M90" s="1179">
        <v>7</v>
      </c>
      <c r="N90" s="1178"/>
      <c r="O90" s="1179"/>
      <c r="P90" s="1178"/>
      <c r="Q90" s="1178" t="s">
        <v>290</v>
      </c>
      <c r="R90" s="1178">
        <v>1147.67</v>
      </c>
    </row>
    <row r="91" spans="1:18" s="1177" customFormat="1" ht="12.75" hidden="1" customHeight="1">
      <c r="A91" s="1180" t="s">
        <v>29</v>
      </c>
      <c r="B91" s="1178">
        <v>1</v>
      </c>
      <c r="C91" s="1178"/>
      <c r="D91" s="1178"/>
      <c r="E91" s="1178"/>
      <c r="F91" s="1178">
        <v>9</v>
      </c>
      <c r="G91" s="1178"/>
      <c r="H91" s="1178"/>
      <c r="I91" s="1966"/>
      <c r="J91" s="1966"/>
      <c r="K91" s="1179"/>
      <c r="L91" s="1178"/>
      <c r="M91" s="1179">
        <v>7</v>
      </c>
      <c r="N91" s="1178"/>
      <c r="O91" s="1179"/>
      <c r="P91" s="1178"/>
      <c r="Q91" s="1178" t="s">
        <v>290</v>
      </c>
      <c r="R91" s="1178">
        <v>1315.42</v>
      </c>
    </row>
    <row r="92" spans="1:18" s="1177" customFormat="1" ht="12.75" hidden="1" customHeight="1">
      <c r="A92" s="1180" t="s">
        <v>48</v>
      </c>
      <c r="B92" s="1178"/>
      <c r="C92" s="1178"/>
      <c r="D92" s="1178"/>
      <c r="E92" s="1178"/>
      <c r="F92" s="1178"/>
      <c r="G92" s="1178"/>
      <c r="H92" s="1178"/>
      <c r="I92" s="1965"/>
      <c r="J92" s="1965"/>
      <c r="K92" s="1179"/>
      <c r="L92" s="1178"/>
      <c r="M92" s="1179"/>
      <c r="N92" s="1178"/>
      <c r="O92" s="1179"/>
      <c r="P92" s="1178"/>
      <c r="Q92" s="1178"/>
      <c r="R92" s="1178"/>
    </row>
    <row r="93" spans="1:18" s="1177" customFormat="1" ht="12.75" hidden="1" customHeight="1">
      <c r="A93" s="1180" t="s">
        <v>18</v>
      </c>
      <c r="B93" s="1178">
        <v>1</v>
      </c>
      <c r="C93" s="1178" t="s">
        <v>93</v>
      </c>
      <c r="D93" s="1178" t="s">
        <v>93</v>
      </c>
      <c r="E93" s="1178" t="s">
        <v>93</v>
      </c>
      <c r="F93" s="1178">
        <v>13.6</v>
      </c>
      <c r="G93" s="1178"/>
      <c r="H93" s="1178"/>
      <c r="I93" s="1966"/>
      <c r="J93" s="1966"/>
      <c r="K93" s="1179"/>
      <c r="L93" s="1178"/>
      <c r="M93" s="1179">
        <v>7</v>
      </c>
      <c r="N93" s="1178"/>
      <c r="O93" s="1179"/>
      <c r="P93" s="1178"/>
      <c r="Q93" s="1178" t="s">
        <v>290</v>
      </c>
      <c r="R93" s="1178">
        <v>1313.02</v>
      </c>
    </row>
    <row r="94" spans="1:18" s="1177" customFormat="1" ht="12.75" hidden="1" customHeight="1">
      <c r="A94" s="1180" t="s">
        <v>19</v>
      </c>
      <c r="B94" s="1178">
        <v>1</v>
      </c>
      <c r="C94" s="1178" t="s">
        <v>93</v>
      </c>
      <c r="D94" s="1178" t="s">
        <v>93</v>
      </c>
      <c r="E94" s="1178" t="s">
        <v>93</v>
      </c>
      <c r="F94" s="1178">
        <v>16</v>
      </c>
      <c r="G94" s="1178"/>
      <c r="H94" s="1178"/>
      <c r="I94" s="1965"/>
      <c r="J94" s="1965"/>
      <c r="K94" s="1179"/>
      <c r="L94" s="1178"/>
      <c r="M94" s="1179">
        <v>7</v>
      </c>
      <c r="N94" s="1178"/>
      <c r="O94" s="1179"/>
      <c r="P94" s="1178"/>
      <c r="Q94" s="1178" t="s">
        <v>290</v>
      </c>
      <c r="R94" s="1178">
        <v>1344.79</v>
      </c>
    </row>
    <row r="95" spans="1:18" s="1177" customFormat="1" ht="12.75" hidden="1" customHeight="1">
      <c r="A95" s="1180" t="s">
        <v>20</v>
      </c>
      <c r="B95" s="1178">
        <v>1</v>
      </c>
      <c r="C95" s="1178" t="s">
        <v>93</v>
      </c>
      <c r="D95" s="1178" t="s">
        <v>93</v>
      </c>
      <c r="E95" s="1178" t="s">
        <v>93</v>
      </c>
      <c r="F95" s="1178">
        <v>15</v>
      </c>
      <c r="G95" s="1178"/>
      <c r="H95" s="1178"/>
      <c r="I95" s="1966"/>
      <c r="J95" s="1966"/>
      <c r="K95" s="1179"/>
      <c r="L95" s="1178"/>
      <c r="M95" s="1179">
        <v>7</v>
      </c>
      <c r="N95" s="1178"/>
      <c r="O95" s="1179"/>
      <c r="P95" s="1178"/>
      <c r="Q95" s="1178" t="s">
        <v>290</v>
      </c>
      <c r="R95" s="1178">
        <v>1362.02</v>
      </c>
    </row>
    <row r="96" spans="1:18" s="1177" customFormat="1" ht="12.75" hidden="1" customHeight="1">
      <c r="A96" s="1180" t="s">
        <v>21</v>
      </c>
      <c r="B96" s="1178">
        <v>1</v>
      </c>
      <c r="C96" s="1178" t="s">
        <v>93</v>
      </c>
      <c r="D96" s="1178" t="s">
        <v>93</v>
      </c>
      <c r="E96" s="1178" t="s">
        <v>93</v>
      </c>
      <c r="F96" s="1178">
        <v>19</v>
      </c>
      <c r="G96" s="1178"/>
      <c r="H96" s="1178"/>
      <c r="I96" s="1965"/>
      <c r="J96" s="1965"/>
      <c r="K96" s="1179"/>
      <c r="L96" s="1178"/>
      <c r="M96" s="1179">
        <v>7</v>
      </c>
      <c r="N96" s="1178"/>
      <c r="O96" s="1179"/>
      <c r="P96" s="1178"/>
      <c r="Q96" s="1178" t="s">
        <v>290</v>
      </c>
      <c r="R96" s="1178">
        <v>1338.4</v>
      </c>
    </row>
    <row r="97" spans="1:18" s="1177" customFormat="1" ht="12.75" hidden="1" customHeight="1">
      <c r="A97" s="1180" t="s">
        <v>22</v>
      </c>
      <c r="B97" s="1178">
        <v>1</v>
      </c>
      <c r="C97" s="1178" t="s">
        <v>93</v>
      </c>
      <c r="D97" s="1178" t="s">
        <v>93</v>
      </c>
      <c r="E97" s="1178" t="s">
        <v>93</v>
      </c>
      <c r="F97" s="1178">
        <v>19</v>
      </c>
      <c r="G97" s="1178"/>
      <c r="H97" s="1178"/>
      <c r="I97" s="1966"/>
      <c r="J97" s="1966"/>
      <c r="K97" s="1179"/>
      <c r="L97" s="1178"/>
      <c r="M97" s="1179">
        <v>7</v>
      </c>
      <c r="N97" s="1178"/>
      <c r="O97" s="1179"/>
      <c r="P97" s="1178"/>
      <c r="Q97" s="1178" t="s">
        <v>290</v>
      </c>
      <c r="R97" s="1178">
        <v>1321.3</v>
      </c>
    </row>
    <row r="98" spans="1:18" s="1177" customFormat="1" ht="12.75" hidden="1" customHeight="1">
      <c r="A98" s="1180" t="s">
        <v>23</v>
      </c>
      <c r="B98" s="1178">
        <v>1</v>
      </c>
      <c r="C98" s="1178" t="s">
        <v>93</v>
      </c>
      <c r="D98" s="1178" t="s">
        <v>93</v>
      </c>
      <c r="E98" s="1178" t="s">
        <v>93</v>
      </c>
      <c r="F98" s="1178">
        <v>26</v>
      </c>
      <c r="G98" s="1178"/>
      <c r="H98" s="1178"/>
      <c r="I98" s="1965"/>
      <c r="J98" s="1965"/>
      <c r="K98" s="1179"/>
      <c r="L98" s="1178"/>
      <c r="M98" s="1179">
        <v>7</v>
      </c>
      <c r="N98" s="1178"/>
      <c r="O98" s="1179"/>
      <c r="P98" s="1178"/>
      <c r="Q98" s="1178" t="s">
        <v>290</v>
      </c>
      <c r="R98" s="1178">
        <v>1377.3</v>
      </c>
    </row>
    <row r="99" spans="1:18" s="1177" customFormat="1" ht="12.75" hidden="1" customHeight="1">
      <c r="A99" s="1180" t="s">
        <v>24</v>
      </c>
      <c r="B99" s="1178">
        <v>1</v>
      </c>
      <c r="C99" s="1178" t="s">
        <v>93</v>
      </c>
      <c r="D99" s="1178" t="s">
        <v>93</v>
      </c>
      <c r="E99" s="1178" t="s">
        <v>93</v>
      </c>
      <c r="F99" s="1178">
        <v>11.8</v>
      </c>
      <c r="G99" s="1178"/>
      <c r="H99" s="1178"/>
      <c r="I99" s="1966"/>
      <c r="J99" s="1966"/>
      <c r="K99" s="1179"/>
      <c r="L99" s="1178"/>
      <c r="M99" s="1179">
        <v>7</v>
      </c>
      <c r="N99" s="1178"/>
      <c r="O99" s="1179"/>
      <c r="P99" s="1178"/>
      <c r="Q99" s="1178" t="s">
        <v>290</v>
      </c>
      <c r="R99" s="1178">
        <v>1378.35</v>
      </c>
    </row>
    <row r="100" spans="1:18" s="1177" customFormat="1" ht="12.75" hidden="1" customHeight="1">
      <c r="A100" s="1180" t="s">
        <v>25</v>
      </c>
      <c r="B100" s="1178">
        <v>1</v>
      </c>
      <c r="C100" s="1178" t="s">
        <v>93</v>
      </c>
      <c r="D100" s="1178" t="s">
        <v>93</v>
      </c>
      <c r="E100" s="1178" t="s">
        <v>93</v>
      </c>
      <c r="F100" s="1178">
        <v>20</v>
      </c>
      <c r="G100" s="1178"/>
      <c r="H100" s="1178"/>
      <c r="I100" s="1965"/>
      <c r="J100" s="1965"/>
      <c r="K100" s="1179"/>
      <c r="L100" s="1178"/>
      <c r="M100" s="1179">
        <v>7</v>
      </c>
      <c r="N100" s="1178"/>
      <c r="O100" s="1179"/>
      <c r="P100" s="1178"/>
      <c r="Q100" s="1178" t="s">
        <v>290</v>
      </c>
      <c r="R100" s="1178">
        <v>1502.05</v>
      </c>
    </row>
    <row r="101" spans="1:18" s="1177" customFormat="1" ht="12.75" hidden="1" customHeight="1">
      <c r="A101" s="1180" t="s">
        <v>26</v>
      </c>
      <c r="B101" s="1178">
        <v>1</v>
      </c>
      <c r="C101" s="1178" t="s">
        <v>93</v>
      </c>
      <c r="D101" s="1178" t="s">
        <v>93</v>
      </c>
      <c r="E101" s="1178" t="s">
        <v>93</v>
      </c>
      <c r="F101" s="1178">
        <v>24</v>
      </c>
      <c r="G101" s="1178"/>
      <c r="H101" s="1178"/>
      <c r="I101" s="1966"/>
      <c r="J101" s="1966"/>
      <c r="K101" s="1179"/>
      <c r="L101" s="1178"/>
      <c r="M101" s="1179">
        <v>7</v>
      </c>
      <c r="N101" s="1178"/>
      <c r="O101" s="1179"/>
      <c r="P101" s="1178"/>
      <c r="Q101" s="1178" t="s">
        <v>290</v>
      </c>
      <c r="R101" s="1178">
        <v>1568.43</v>
      </c>
    </row>
    <row r="102" spans="1:18" s="1177" customFormat="1" ht="12.75" hidden="1" customHeight="1">
      <c r="A102" s="1180" t="s">
        <v>27</v>
      </c>
      <c r="B102" s="1178">
        <v>1</v>
      </c>
      <c r="C102" s="1178" t="s">
        <v>93</v>
      </c>
      <c r="D102" s="1178" t="s">
        <v>93</v>
      </c>
      <c r="E102" s="1178" t="s">
        <v>93</v>
      </c>
      <c r="F102" s="1178">
        <v>15</v>
      </c>
      <c r="G102" s="1178"/>
      <c r="H102" s="1178"/>
      <c r="I102" s="1965"/>
      <c r="J102" s="1965"/>
      <c r="K102" s="1179"/>
      <c r="L102" s="1178"/>
      <c r="M102" s="1179">
        <v>7</v>
      </c>
      <c r="N102" s="1178"/>
      <c r="O102" s="1179"/>
      <c r="P102" s="1178"/>
      <c r="Q102" s="1178" t="s">
        <v>289</v>
      </c>
      <c r="R102" s="1178">
        <v>1657.5</v>
      </c>
    </row>
    <row r="103" spans="1:18" s="1177" customFormat="1" ht="12.75" hidden="1" customHeight="1">
      <c r="A103" s="1180" t="s">
        <v>28</v>
      </c>
      <c r="B103" s="1178">
        <v>1.29</v>
      </c>
      <c r="C103" s="1178" t="s">
        <v>93</v>
      </c>
      <c r="D103" s="1178" t="s">
        <v>93</v>
      </c>
      <c r="E103" s="1178" t="s">
        <v>93</v>
      </c>
      <c r="F103" s="1178">
        <v>27.61</v>
      </c>
      <c r="G103" s="1178"/>
      <c r="H103" s="1178"/>
      <c r="I103" s="1966"/>
      <c r="J103" s="1966"/>
      <c r="K103" s="1179"/>
      <c r="L103" s="1178"/>
      <c r="M103" s="1179">
        <v>7</v>
      </c>
      <c r="N103" s="1178"/>
      <c r="O103" s="1179"/>
      <c r="P103" s="1178"/>
      <c r="Q103" s="1178" t="s">
        <v>289</v>
      </c>
      <c r="R103" s="1178">
        <v>1665.95</v>
      </c>
    </row>
    <row r="104" spans="1:18" s="1177" customFormat="1" ht="12.75" hidden="1" customHeight="1">
      <c r="A104" s="1180" t="s">
        <v>29</v>
      </c>
      <c r="B104" s="1178">
        <v>2.08</v>
      </c>
      <c r="C104" s="1178" t="s">
        <v>93</v>
      </c>
      <c r="D104" s="1178" t="s">
        <v>93</v>
      </c>
      <c r="E104" s="1178" t="s">
        <v>93</v>
      </c>
      <c r="F104" s="1178">
        <v>40</v>
      </c>
      <c r="G104" s="1178"/>
      <c r="H104" s="1178"/>
      <c r="I104" s="1965"/>
      <c r="J104" s="1965"/>
      <c r="K104" s="1179"/>
      <c r="L104" s="1178"/>
      <c r="M104" s="1179">
        <v>7</v>
      </c>
      <c r="N104" s="1178"/>
      <c r="O104" s="1179"/>
      <c r="P104" s="1178"/>
      <c r="Q104" s="1178" t="s">
        <v>289</v>
      </c>
      <c r="R104" s="1178">
        <v>1861.79</v>
      </c>
    </row>
    <row r="105" spans="1:18" s="1177" customFormat="1" ht="12.75" hidden="1" customHeight="1">
      <c r="A105" s="1180" t="s">
        <v>1024</v>
      </c>
      <c r="B105" s="1178"/>
      <c r="C105" s="1178"/>
      <c r="D105" s="1178"/>
      <c r="E105" s="1178"/>
      <c r="F105" s="1178"/>
      <c r="G105" s="1178"/>
      <c r="H105" s="1178"/>
      <c r="I105" s="1966"/>
      <c r="J105" s="1966"/>
      <c r="K105" s="1179"/>
      <c r="L105" s="1178"/>
      <c r="M105" s="1179"/>
      <c r="N105" s="1178"/>
      <c r="O105" s="1179"/>
      <c r="P105" s="1178"/>
      <c r="Q105" s="1178"/>
      <c r="R105" s="1178"/>
    </row>
    <row r="106" spans="1:18" s="1177" customFormat="1" ht="12.75" hidden="1" customHeight="1">
      <c r="A106" s="1180" t="s">
        <v>18</v>
      </c>
      <c r="B106" s="1178">
        <v>1.65</v>
      </c>
      <c r="C106" s="1178" t="s">
        <v>93</v>
      </c>
      <c r="D106" s="1178" t="s">
        <v>93</v>
      </c>
      <c r="E106" s="1178" t="s">
        <v>93</v>
      </c>
      <c r="F106" s="1178">
        <v>57</v>
      </c>
      <c r="G106" s="1178"/>
      <c r="H106" s="1178"/>
      <c r="I106" s="1965"/>
      <c r="J106" s="1965"/>
      <c r="K106" s="1179"/>
      <c r="L106" s="1178"/>
      <c r="M106" s="1179">
        <v>7</v>
      </c>
      <c r="N106" s="1178"/>
      <c r="O106" s="1179"/>
      <c r="P106" s="1178"/>
      <c r="Q106" s="1178" t="s">
        <v>289</v>
      </c>
      <c r="R106" s="1178">
        <v>1863.69</v>
      </c>
    </row>
    <row r="107" spans="1:18" s="1177" customFormat="1" ht="12.75" hidden="1" customHeight="1">
      <c r="A107" s="1180" t="s">
        <v>19</v>
      </c>
      <c r="B107" s="1178">
        <v>1.1599999999999999</v>
      </c>
      <c r="C107" s="1178" t="s">
        <v>93</v>
      </c>
      <c r="D107" s="1178" t="s">
        <v>93</v>
      </c>
      <c r="E107" s="1178" t="s">
        <v>93</v>
      </c>
      <c r="F107" s="1178">
        <v>100</v>
      </c>
      <c r="G107" s="1178"/>
      <c r="H107" s="1178"/>
      <c r="I107" s="1966"/>
      <c r="J107" s="1966"/>
      <c r="K107" s="1179"/>
      <c r="L107" s="1178"/>
      <c r="M107" s="1179">
        <v>7</v>
      </c>
      <c r="N107" s="1178"/>
      <c r="O107" s="1179"/>
      <c r="P107" s="1178"/>
      <c r="Q107" s="1178" t="s">
        <v>288</v>
      </c>
      <c r="R107" s="1178">
        <v>1878.96</v>
      </c>
    </row>
    <row r="108" spans="1:18" s="1177" customFormat="1" ht="12.75" hidden="1" customHeight="1">
      <c r="A108" s="1180" t="s">
        <v>20</v>
      </c>
      <c r="B108" s="1178">
        <v>1.21</v>
      </c>
      <c r="C108" s="1178" t="s">
        <v>93</v>
      </c>
      <c r="D108" s="1178" t="s">
        <v>93</v>
      </c>
      <c r="E108" s="1178" t="s">
        <v>93</v>
      </c>
      <c r="F108" s="1178">
        <v>110</v>
      </c>
      <c r="G108" s="1178"/>
      <c r="H108" s="1178"/>
      <c r="I108" s="1965"/>
      <c r="J108" s="1965"/>
      <c r="K108" s="1179"/>
      <c r="L108" s="1178"/>
      <c r="M108" s="1179">
        <v>7</v>
      </c>
      <c r="N108" s="1178"/>
      <c r="O108" s="1179"/>
      <c r="P108" s="1178"/>
      <c r="Q108" s="1178" t="s">
        <v>288</v>
      </c>
      <c r="R108" s="1178">
        <v>1940.12</v>
      </c>
    </row>
    <row r="109" spans="1:18" s="1177" customFormat="1" ht="12.75" hidden="1" customHeight="1">
      <c r="A109" s="1180" t="s">
        <v>21</v>
      </c>
      <c r="B109" s="1178">
        <v>1.51</v>
      </c>
      <c r="C109" s="1178" t="s">
        <v>93</v>
      </c>
      <c r="D109" s="1178" t="s">
        <v>93</v>
      </c>
      <c r="E109" s="1178" t="s">
        <v>93</v>
      </c>
      <c r="F109" s="1178">
        <v>120.6</v>
      </c>
      <c r="G109" s="1178"/>
      <c r="H109" s="1178"/>
      <c r="I109" s="1966"/>
      <c r="J109" s="1966"/>
      <c r="K109" s="1179"/>
      <c r="L109" s="1178"/>
      <c r="M109" s="1179">
        <v>7</v>
      </c>
      <c r="N109" s="1178"/>
      <c r="O109" s="1179"/>
      <c r="P109" s="1178"/>
      <c r="Q109" s="1178" t="s">
        <v>288</v>
      </c>
      <c r="R109" s="1178">
        <v>1947.84</v>
      </c>
    </row>
    <row r="110" spans="1:18" s="1177" customFormat="1" ht="12.75" hidden="1" customHeight="1">
      <c r="A110" s="1180" t="s">
        <v>22</v>
      </c>
      <c r="B110" s="1178">
        <v>2.17</v>
      </c>
      <c r="C110" s="1178" t="s">
        <v>93</v>
      </c>
      <c r="D110" s="1178" t="s">
        <v>93</v>
      </c>
      <c r="E110" s="1178" t="s">
        <v>93</v>
      </c>
      <c r="F110" s="1178">
        <v>135</v>
      </c>
      <c r="G110" s="1178"/>
      <c r="H110" s="1178"/>
      <c r="I110" s="1965"/>
      <c r="J110" s="1965"/>
      <c r="K110" s="1179"/>
      <c r="L110" s="1178"/>
      <c r="M110" s="1179">
        <v>7</v>
      </c>
      <c r="N110" s="1178"/>
      <c r="O110" s="1179"/>
      <c r="P110" s="1178"/>
      <c r="Q110" s="1178" t="s">
        <v>288</v>
      </c>
      <c r="R110" s="1178">
        <v>1996.75</v>
      </c>
    </row>
    <row r="111" spans="1:18" s="1177" customFormat="1" ht="12.75" hidden="1" customHeight="1">
      <c r="A111" s="1180" t="s">
        <v>23</v>
      </c>
      <c r="B111" s="1178">
        <v>2.5</v>
      </c>
      <c r="C111" s="1178" t="s">
        <v>93</v>
      </c>
      <c r="D111" s="1178" t="s">
        <v>93</v>
      </c>
      <c r="E111" s="1178" t="s">
        <v>93</v>
      </c>
      <c r="F111" s="1178">
        <v>74.069999999999993</v>
      </c>
      <c r="G111" s="1178"/>
      <c r="H111" s="1178"/>
      <c r="I111" s="1966"/>
      <c r="J111" s="1966"/>
      <c r="K111" s="1179"/>
      <c r="L111" s="1178"/>
      <c r="M111" s="1179">
        <v>7</v>
      </c>
      <c r="N111" s="1178"/>
      <c r="O111" s="1179"/>
      <c r="P111" s="1178"/>
      <c r="Q111" s="1178" t="s">
        <v>2617</v>
      </c>
      <c r="R111" s="1178">
        <v>1984.7</v>
      </c>
    </row>
    <row r="112" spans="1:18" s="1177" customFormat="1" ht="12.75" hidden="1" customHeight="1">
      <c r="A112" s="1180" t="s">
        <v>24</v>
      </c>
      <c r="B112" s="1178">
        <v>2.82</v>
      </c>
      <c r="C112" s="1178" t="s">
        <v>93</v>
      </c>
      <c r="D112" s="1178" t="s">
        <v>93</v>
      </c>
      <c r="E112" s="1178" t="s">
        <v>93</v>
      </c>
      <c r="F112" s="1178">
        <v>64.099999999999994</v>
      </c>
      <c r="G112" s="1178"/>
      <c r="H112" s="1178"/>
      <c r="I112" s="1965"/>
      <c r="J112" s="1965"/>
      <c r="K112" s="1179"/>
      <c r="L112" s="1178"/>
      <c r="M112" s="1179">
        <v>7</v>
      </c>
      <c r="N112" s="1178"/>
      <c r="O112" s="1179"/>
      <c r="P112" s="1178"/>
      <c r="Q112" s="1178" t="s">
        <v>2617</v>
      </c>
      <c r="R112" s="1178">
        <v>1986.74</v>
      </c>
    </row>
    <row r="113" spans="1:18" s="1177" customFormat="1" ht="12.75" hidden="1" customHeight="1">
      <c r="A113" s="1180" t="s">
        <v>25</v>
      </c>
      <c r="B113" s="1178">
        <v>2.13</v>
      </c>
      <c r="C113" s="1178" t="s">
        <v>93</v>
      </c>
      <c r="D113" s="1178" t="s">
        <v>93</v>
      </c>
      <c r="E113" s="1178" t="s">
        <v>93</v>
      </c>
      <c r="F113" s="1178">
        <v>50</v>
      </c>
      <c r="G113" s="1178"/>
      <c r="H113" s="1178"/>
      <c r="I113" s="1966"/>
      <c r="J113" s="1966"/>
      <c r="K113" s="1179"/>
      <c r="L113" s="1178"/>
      <c r="M113" s="1179">
        <v>7</v>
      </c>
      <c r="N113" s="1178"/>
      <c r="O113" s="1179"/>
      <c r="P113" s="1178"/>
      <c r="Q113" s="1178" t="s">
        <v>2617</v>
      </c>
      <c r="R113" s="1178">
        <v>1986.239</v>
      </c>
    </row>
    <row r="114" spans="1:18" s="1177" customFormat="1" ht="12.75" hidden="1" customHeight="1">
      <c r="A114" s="1180" t="s">
        <v>26</v>
      </c>
      <c r="B114" s="1178">
        <v>2.72</v>
      </c>
      <c r="C114" s="1178" t="s">
        <v>93</v>
      </c>
      <c r="D114" s="1178" t="s">
        <v>93</v>
      </c>
      <c r="E114" s="1178" t="s">
        <v>93</v>
      </c>
      <c r="F114" s="1178">
        <v>21.82</v>
      </c>
      <c r="G114" s="1178"/>
      <c r="H114" s="1178"/>
      <c r="I114" s="1965"/>
      <c r="J114" s="1965"/>
      <c r="K114" s="1179"/>
      <c r="L114" s="1178"/>
      <c r="M114" s="1179">
        <v>7</v>
      </c>
      <c r="N114" s="1178"/>
      <c r="O114" s="1179"/>
      <c r="P114" s="1178"/>
      <c r="Q114" s="1178" t="s">
        <v>2617</v>
      </c>
      <c r="R114" s="1178">
        <v>1991.3679999999999</v>
      </c>
    </row>
    <row r="115" spans="1:18" s="1177" customFormat="1" ht="12.75" hidden="1" customHeight="1">
      <c r="A115" s="1180" t="s">
        <v>27</v>
      </c>
      <c r="B115" s="1178">
        <v>2.88</v>
      </c>
      <c r="C115" s="1178" t="s">
        <v>93</v>
      </c>
      <c r="D115" s="1178" t="s">
        <v>93</v>
      </c>
      <c r="E115" s="1178" t="s">
        <v>93</v>
      </c>
      <c r="F115" s="1178">
        <v>40.755000000000003</v>
      </c>
      <c r="G115" s="1178"/>
      <c r="H115" s="1178"/>
      <c r="I115" s="1966"/>
      <c r="J115" s="1966"/>
      <c r="K115" s="1179"/>
      <c r="L115" s="1178"/>
      <c r="M115" s="1179">
        <v>7</v>
      </c>
      <c r="N115" s="1178"/>
      <c r="O115" s="1179"/>
      <c r="P115" s="1178"/>
      <c r="Q115" s="1178" t="s">
        <v>2617</v>
      </c>
      <c r="R115" s="1178">
        <v>1996.09</v>
      </c>
    </row>
    <row r="116" spans="1:18" s="1177" customFormat="1" ht="12.75" hidden="1" customHeight="1">
      <c r="A116" s="1180" t="s">
        <v>28</v>
      </c>
      <c r="B116" s="1178">
        <v>2.84</v>
      </c>
      <c r="C116" s="1178" t="s">
        <v>93</v>
      </c>
      <c r="D116" s="1178" t="s">
        <v>93</v>
      </c>
      <c r="E116" s="1178" t="s">
        <v>93</v>
      </c>
      <c r="F116" s="1178">
        <v>34.840000000000003</v>
      </c>
      <c r="G116" s="1178"/>
      <c r="H116" s="1178"/>
      <c r="I116" s="1965"/>
      <c r="J116" s="1965"/>
      <c r="K116" s="1179"/>
      <c r="L116" s="1178"/>
      <c r="M116" s="1179">
        <v>7</v>
      </c>
      <c r="N116" s="1178"/>
      <c r="O116" s="1179"/>
      <c r="P116" s="1178"/>
      <c r="Q116" s="1178" t="s">
        <v>2617</v>
      </c>
      <c r="R116" s="1178">
        <v>1996.39</v>
      </c>
    </row>
    <row r="117" spans="1:18" s="1177" customFormat="1" ht="12.75" hidden="1" customHeight="1">
      <c r="A117" s="1180" t="s">
        <v>29</v>
      </c>
      <c r="B117" s="1178">
        <v>2.77</v>
      </c>
      <c r="C117" s="1178" t="s">
        <v>93</v>
      </c>
      <c r="D117" s="1178" t="s">
        <v>93</v>
      </c>
      <c r="E117" s="1178" t="s">
        <v>93</v>
      </c>
      <c r="F117" s="1178">
        <v>91.23</v>
      </c>
      <c r="G117" s="1178"/>
      <c r="H117" s="1178"/>
      <c r="I117" s="1966"/>
      <c r="J117" s="1966"/>
      <c r="K117" s="1179"/>
      <c r="L117" s="1178"/>
      <c r="M117" s="1179">
        <v>7</v>
      </c>
      <c r="N117" s="1178"/>
      <c r="O117" s="1179"/>
      <c r="P117" s="1178"/>
      <c r="Q117" s="1178" t="s">
        <v>2617</v>
      </c>
      <c r="R117" s="1178">
        <v>2032.6</v>
      </c>
    </row>
    <row r="118" spans="1:18" s="1177" customFormat="1" ht="12.75" hidden="1" customHeight="1">
      <c r="A118" s="1180" t="s">
        <v>1288</v>
      </c>
      <c r="B118" s="1178"/>
      <c r="C118" s="1178"/>
      <c r="D118" s="1178"/>
      <c r="E118" s="1178"/>
      <c r="F118" s="1178"/>
      <c r="G118" s="1178"/>
      <c r="H118" s="1178"/>
      <c r="I118" s="1965"/>
      <c r="J118" s="1965"/>
      <c r="K118" s="1179"/>
      <c r="L118" s="1178"/>
      <c r="M118" s="1179"/>
      <c r="N118" s="1178"/>
      <c r="O118" s="1179"/>
      <c r="P118" s="1178"/>
      <c r="Q118" s="1178"/>
      <c r="R118" s="1178"/>
    </row>
    <row r="119" spans="1:18" s="1177" customFormat="1" ht="12.75" hidden="1" customHeight="1">
      <c r="A119" s="1180" t="s">
        <v>18</v>
      </c>
      <c r="B119" s="1178">
        <v>2.02</v>
      </c>
      <c r="C119" s="1178" t="s">
        <v>93</v>
      </c>
      <c r="D119" s="1178" t="s">
        <v>93</v>
      </c>
      <c r="E119" s="1178" t="s">
        <v>93</v>
      </c>
      <c r="F119" s="1178">
        <v>125</v>
      </c>
      <c r="G119" s="1178"/>
      <c r="H119" s="1178"/>
      <c r="I119" s="1966"/>
      <c r="J119" s="1966"/>
      <c r="K119" s="1179"/>
      <c r="L119" s="1178"/>
      <c r="M119" s="1179">
        <v>7</v>
      </c>
      <c r="N119" s="1178"/>
      <c r="O119" s="1179"/>
      <c r="P119" s="1178"/>
      <c r="Q119" s="1178" t="s">
        <v>2617</v>
      </c>
      <c r="R119" s="1178">
        <v>2016.2</v>
      </c>
    </row>
    <row r="120" spans="1:18" s="1177" customFormat="1" ht="12.75" hidden="1" customHeight="1">
      <c r="A120" s="1180" t="s">
        <v>19</v>
      </c>
      <c r="B120" s="1178">
        <v>1.66</v>
      </c>
      <c r="C120" s="1178" t="s">
        <v>93</v>
      </c>
      <c r="D120" s="1178" t="s">
        <v>93</v>
      </c>
      <c r="E120" s="1178" t="s">
        <v>93</v>
      </c>
      <c r="F120" s="1178">
        <v>145</v>
      </c>
      <c r="G120" s="1178"/>
      <c r="H120" s="1178"/>
      <c r="I120" s="1965"/>
      <c r="J120" s="1965"/>
      <c r="K120" s="1179"/>
      <c r="L120" s="1178"/>
      <c r="M120" s="1179">
        <v>7</v>
      </c>
      <c r="N120" s="1178"/>
      <c r="O120" s="1179"/>
      <c r="P120" s="1178"/>
      <c r="Q120" s="1178" t="s">
        <v>2617</v>
      </c>
      <c r="R120" s="1178">
        <v>2181.4</v>
      </c>
    </row>
    <row r="121" spans="1:18" s="1177" customFormat="1" ht="12.75" hidden="1" customHeight="1">
      <c r="A121" s="1180" t="s">
        <v>20</v>
      </c>
      <c r="B121" s="1178">
        <v>1.28</v>
      </c>
      <c r="C121" s="1178" t="s">
        <v>93</v>
      </c>
      <c r="D121" s="1178" t="s">
        <v>93</v>
      </c>
      <c r="E121" s="1178" t="s">
        <v>93</v>
      </c>
      <c r="F121" s="1178">
        <v>140</v>
      </c>
      <c r="G121" s="1178"/>
      <c r="H121" s="1178"/>
      <c r="I121" s="1966"/>
      <c r="J121" s="1966"/>
      <c r="K121" s="1179"/>
      <c r="L121" s="1178"/>
      <c r="M121" s="1179">
        <v>7</v>
      </c>
      <c r="N121" s="1178"/>
      <c r="O121" s="1179"/>
      <c r="P121" s="1178"/>
      <c r="Q121" s="1178" t="s">
        <v>2617</v>
      </c>
      <c r="R121" s="1178">
        <v>2192.6</v>
      </c>
    </row>
    <row r="122" spans="1:18" s="1177" customFormat="1" ht="12.75" hidden="1" customHeight="1">
      <c r="A122" s="1180" t="s">
        <v>21</v>
      </c>
      <c r="B122" s="1178">
        <v>1.34</v>
      </c>
      <c r="C122" s="1178" t="s">
        <v>93</v>
      </c>
      <c r="D122" s="1178" t="s">
        <v>93</v>
      </c>
      <c r="E122" s="1178" t="s">
        <v>93</v>
      </c>
      <c r="F122" s="1178">
        <v>139.99600000000001</v>
      </c>
      <c r="G122" s="1178"/>
      <c r="H122" s="1178"/>
      <c r="I122" s="1965"/>
      <c r="J122" s="1965"/>
      <c r="K122" s="1179"/>
      <c r="L122" s="1178"/>
      <c r="M122" s="1179">
        <v>7</v>
      </c>
      <c r="N122" s="1178"/>
      <c r="O122" s="1179"/>
      <c r="P122" s="1178"/>
      <c r="Q122" s="1178" t="s">
        <v>2617</v>
      </c>
      <c r="R122" s="1178">
        <v>2129.6999999999998</v>
      </c>
    </row>
    <row r="123" spans="1:18" s="1177" customFormat="1" ht="12.75" hidden="1" customHeight="1">
      <c r="A123" s="1180" t="s">
        <v>22</v>
      </c>
      <c r="B123" s="1178">
        <v>1.36</v>
      </c>
      <c r="C123" s="1178" t="s">
        <v>93</v>
      </c>
      <c r="D123" s="1178" t="s">
        <v>93</v>
      </c>
      <c r="E123" s="1178" t="s">
        <v>93</v>
      </c>
      <c r="F123" s="1178">
        <v>143.51</v>
      </c>
      <c r="G123" s="1178"/>
      <c r="H123" s="1178"/>
      <c r="I123" s="1966"/>
      <c r="J123" s="1966"/>
      <c r="K123" s="1179"/>
      <c r="L123" s="1178"/>
      <c r="M123" s="1179">
        <v>7</v>
      </c>
      <c r="N123" s="1178"/>
      <c r="O123" s="1179"/>
      <c r="P123" s="1178"/>
      <c r="Q123" s="1178" t="s">
        <v>2617</v>
      </c>
      <c r="R123" s="1178">
        <v>2135.6999999999998</v>
      </c>
    </row>
    <row r="124" spans="1:18" s="1177" customFormat="1" ht="12.75" hidden="1" customHeight="1">
      <c r="A124" s="1180" t="s">
        <v>23</v>
      </c>
      <c r="B124" s="1178">
        <v>1.38</v>
      </c>
      <c r="C124" s="1178" t="s">
        <v>93</v>
      </c>
      <c r="D124" s="1178" t="s">
        <v>93</v>
      </c>
      <c r="E124" s="1178" t="s">
        <v>93</v>
      </c>
      <c r="F124" s="1178">
        <v>127.59</v>
      </c>
      <c r="G124" s="1178"/>
      <c r="H124" s="1178"/>
      <c r="I124" s="1965"/>
      <c r="J124" s="1965"/>
      <c r="K124" s="1179"/>
      <c r="L124" s="1178"/>
      <c r="M124" s="1179">
        <v>7</v>
      </c>
      <c r="N124" s="1178"/>
      <c r="O124" s="1179"/>
      <c r="P124" s="1178"/>
      <c r="Q124" s="1178" t="s">
        <v>2617</v>
      </c>
      <c r="R124" s="1178">
        <v>2263</v>
      </c>
    </row>
    <row r="125" spans="1:18" s="1177" customFormat="1" ht="12.75" hidden="1" customHeight="1">
      <c r="A125" s="1180" t="s">
        <v>24</v>
      </c>
      <c r="B125" s="1178">
        <v>1.45</v>
      </c>
      <c r="C125" s="1178" t="s">
        <v>93</v>
      </c>
      <c r="D125" s="1178" t="s">
        <v>93</v>
      </c>
      <c r="E125" s="1178" t="s">
        <v>93</v>
      </c>
      <c r="F125" s="1178">
        <v>130</v>
      </c>
      <c r="G125" s="1178"/>
      <c r="H125" s="1178"/>
      <c r="I125" s="1966"/>
      <c r="J125" s="1966"/>
      <c r="K125" s="1179"/>
      <c r="L125" s="1178"/>
      <c r="M125" s="1179">
        <v>7</v>
      </c>
      <c r="N125" s="1178"/>
      <c r="O125" s="1179"/>
      <c r="P125" s="1178"/>
      <c r="Q125" s="1178" t="s">
        <v>2617</v>
      </c>
      <c r="R125" s="1178">
        <v>2280</v>
      </c>
    </row>
    <row r="126" spans="1:18" s="1177" customFormat="1" ht="12.75" hidden="1" customHeight="1">
      <c r="A126" s="1180" t="s">
        <v>25</v>
      </c>
      <c r="B126" s="1178">
        <v>1.57</v>
      </c>
      <c r="C126" s="1178" t="s">
        <v>93</v>
      </c>
      <c r="D126" s="1178" t="s">
        <v>93</v>
      </c>
      <c r="E126" s="1178" t="s">
        <v>93</v>
      </c>
      <c r="F126" s="1178">
        <v>20</v>
      </c>
      <c r="G126" s="1178"/>
      <c r="H126" s="1178"/>
      <c r="I126" s="1965"/>
      <c r="J126" s="1965"/>
      <c r="K126" s="1179"/>
      <c r="L126" s="1178"/>
      <c r="M126" s="1179">
        <v>7</v>
      </c>
      <c r="N126" s="1178"/>
      <c r="O126" s="1179"/>
      <c r="P126" s="1178"/>
      <c r="Q126" s="1178" t="s">
        <v>2617</v>
      </c>
      <c r="R126" s="1178">
        <v>2268.1</v>
      </c>
    </row>
    <row r="127" spans="1:18" s="1177" customFormat="1" ht="12.75" hidden="1" customHeight="1">
      <c r="A127" s="1180" t="s">
        <v>26</v>
      </c>
      <c r="B127" s="1178">
        <v>2.84</v>
      </c>
      <c r="C127" s="1178" t="s">
        <v>93</v>
      </c>
      <c r="D127" s="1178" t="s">
        <v>93</v>
      </c>
      <c r="E127" s="1178" t="s">
        <v>93</v>
      </c>
      <c r="F127" s="1178">
        <v>11.8</v>
      </c>
      <c r="G127" s="1178"/>
      <c r="H127" s="1178"/>
      <c r="I127" s="1966"/>
      <c r="J127" s="1966"/>
      <c r="K127" s="1179"/>
      <c r="L127" s="1178"/>
      <c r="M127" s="1179">
        <v>7</v>
      </c>
      <c r="N127" s="1178"/>
      <c r="O127" s="1179"/>
      <c r="P127" s="1178"/>
      <c r="Q127" s="1178" t="s">
        <v>2617</v>
      </c>
      <c r="R127" s="1178">
        <v>2415.3000000000002</v>
      </c>
    </row>
    <row r="128" spans="1:18" s="1177" customFormat="1" ht="12.75" hidden="1" customHeight="1">
      <c r="A128" s="1180" t="s">
        <v>27</v>
      </c>
      <c r="B128" s="1178">
        <v>2.71</v>
      </c>
      <c r="C128" s="1178" t="s">
        <v>93</v>
      </c>
      <c r="D128" s="1178" t="s">
        <v>93</v>
      </c>
      <c r="E128" s="1178" t="s">
        <v>93</v>
      </c>
      <c r="F128" s="1178">
        <v>48.52</v>
      </c>
      <c r="G128" s="1178"/>
      <c r="H128" s="1178"/>
      <c r="I128" s="1965"/>
      <c r="J128" s="1965"/>
      <c r="K128" s="1179"/>
      <c r="L128" s="1178"/>
      <c r="M128" s="1179">
        <v>7</v>
      </c>
      <c r="N128" s="1178"/>
      <c r="O128" s="1179"/>
      <c r="P128" s="1178"/>
      <c r="Q128" s="1178" t="s">
        <v>2617</v>
      </c>
      <c r="R128" s="1178">
        <v>2451.1999999999998</v>
      </c>
    </row>
    <row r="129" spans="1:22" s="1177" customFormat="1" ht="12.75" hidden="1" customHeight="1">
      <c r="A129" s="1180" t="s">
        <v>28</v>
      </c>
      <c r="B129" s="1178">
        <v>3.17</v>
      </c>
      <c r="C129" s="1178" t="s">
        <v>93</v>
      </c>
      <c r="D129" s="1178" t="s">
        <v>93</v>
      </c>
      <c r="E129" s="1178" t="s">
        <v>93</v>
      </c>
      <c r="F129" s="1178">
        <v>136.49</v>
      </c>
      <c r="G129" s="1178"/>
      <c r="H129" s="1178"/>
      <c r="I129" s="1966"/>
      <c r="J129" s="1966"/>
      <c r="K129" s="1179"/>
      <c r="L129" s="1178"/>
      <c r="M129" s="1179">
        <v>7</v>
      </c>
      <c r="N129" s="1178"/>
      <c r="O129" s="1179"/>
      <c r="P129" s="1178"/>
      <c r="Q129" s="1178" t="s">
        <v>2617</v>
      </c>
      <c r="R129" s="1178">
        <v>2667.2</v>
      </c>
    </row>
    <row r="130" spans="1:22" s="1177" customFormat="1" ht="12.75" hidden="1" customHeight="1">
      <c r="A130" s="1180" t="s">
        <v>29</v>
      </c>
      <c r="B130" s="1178">
        <v>1.87</v>
      </c>
      <c r="C130" s="1178" t="s">
        <v>93</v>
      </c>
      <c r="D130" s="1178" t="s">
        <v>93</v>
      </c>
      <c r="E130" s="1178" t="s">
        <v>93</v>
      </c>
      <c r="F130" s="1178">
        <v>120</v>
      </c>
      <c r="G130" s="1178"/>
      <c r="H130" s="1178"/>
      <c r="I130" s="1965"/>
      <c r="J130" s="1965"/>
      <c r="K130" s="1179"/>
      <c r="L130" s="1178"/>
      <c r="M130" s="1179">
        <v>7</v>
      </c>
      <c r="N130" s="1178"/>
      <c r="O130" s="1179"/>
      <c r="P130" s="1178"/>
      <c r="Q130" s="1178" t="s">
        <v>288</v>
      </c>
      <c r="R130" s="1178">
        <v>3287.9</v>
      </c>
    </row>
    <row r="131" spans="1:22" s="1177" customFormat="1" ht="12.75" hidden="1" customHeight="1">
      <c r="A131" s="1180" t="s">
        <v>1410</v>
      </c>
      <c r="B131" s="1178"/>
      <c r="C131" s="1178"/>
      <c r="D131" s="1178"/>
      <c r="E131" s="1178"/>
      <c r="F131" s="1178"/>
      <c r="G131" s="1178"/>
      <c r="H131" s="1178"/>
      <c r="I131" s="1966"/>
      <c r="J131" s="1966"/>
      <c r="K131" s="1179"/>
      <c r="L131" s="1178"/>
      <c r="M131" s="1179"/>
      <c r="N131" s="1178"/>
      <c r="O131" s="1179"/>
      <c r="P131" s="1178"/>
      <c r="Q131" s="1178"/>
      <c r="R131" s="1178"/>
    </row>
    <row r="132" spans="1:22" s="1177" customFormat="1" ht="12.75" hidden="1" customHeight="1">
      <c r="A132" s="1180" t="s">
        <v>18</v>
      </c>
      <c r="B132" s="1178">
        <v>1.46</v>
      </c>
      <c r="C132" s="1178" t="s">
        <v>93</v>
      </c>
      <c r="D132" s="1178" t="s">
        <v>93</v>
      </c>
      <c r="E132" s="1178" t="s">
        <v>93</v>
      </c>
      <c r="F132" s="1178">
        <v>103.002</v>
      </c>
      <c r="G132" s="1178"/>
      <c r="H132" s="1178"/>
      <c r="I132" s="1965"/>
      <c r="J132" s="1965"/>
      <c r="K132" s="1179"/>
      <c r="L132" s="1178"/>
      <c r="M132" s="1179">
        <v>7</v>
      </c>
      <c r="N132" s="1178"/>
      <c r="O132" s="1179"/>
      <c r="P132" s="1178"/>
      <c r="Q132" s="1178" t="s">
        <v>288</v>
      </c>
      <c r="R132" s="1178">
        <v>3293.2</v>
      </c>
    </row>
    <row r="133" spans="1:22" s="1177" customFormat="1" ht="12.75" hidden="1" customHeight="1">
      <c r="A133" s="1180" t="s">
        <v>19</v>
      </c>
      <c r="B133" s="1178">
        <v>1.25</v>
      </c>
      <c r="C133" s="1178" t="s">
        <v>93</v>
      </c>
      <c r="D133" s="1178" t="s">
        <v>93</v>
      </c>
      <c r="E133" s="1178" t="s">
        <v>93</v>
      </c>
      <c r="F133" s="1178">
        <v>80.512</v>
      </c>
      <c r="G133" s="1178"/>
      <c r="H133" s="1178"/>
      <c r="I133" s="1967"/>
      <c r="J133" s="1967"/>
      <c r="K133" s="1179"/>
      <c r="L133" s="1178"/>
      <c r="M133" s="1179">
        <v>7</v>
      </c>
      <c r="N133" s="1178"/>
      <c r="O133" s="1179"/>
      <c r="P133" s="1178"/>
      <c r="Q133" s="1178" t="s">
        <v>2477</v>
      </c>
      <c r="R133" s="1178">
        <v>2849.2</v>
      </c>
    </row>
    <row r="134" spans="1:22" s="1177" customFormat="1" ht="12.75" hidden="1" customHeight="1">
      <c r="A134" s="1180" t="s">
        <v>20</v>
      </c>
      <c r="B134" s="1178">
        <v>1.2</v>
      </c>
      <c r="C134" s="1178" t="s">
        <v>93</v>
      </c>
      <c r="D134" s="1178" t="s">
        <v>93</v>
      </c>
      <c r="E134" s="1178" t="s">
        <v>93</v>
      </c>
      <c r="F134" s="1178">
        <v>44.01</v>
      </c>
      <c r="G134" s="1178"/>
      <c r="H134" s="1178"/>
      <c r="I134" s="1965"/>
      <c r="J134" s="1965"/>
      <c r="K134" s="1179"/>
      <c r="L134" s="1178"/>
      <c r="M134" s="1179">
        <v>7</v>
      </c>
      <c r="N134" s="1178"/>
      <c r="O134" s="1179"/>
      <c r="P134" s="1178"/>
      <c r="Q134" s="1178" t="s">
        <v>2477</v>
      </c>
      <c r="R134" s="1178">
        <v>2743.9</v>
      </c>
    </row>
    <row r="135" spans="1:22" s="1177" customFormat="1" ht="12.75" hidden="1" customHeight="1">
      <c r="A135" s="1180" t="s">
        <v>21</v>
      </c>
      <c r="B135" s="1178">
        <v>1.24</v>
      </c>
      <c r="C135" s="1178" t="s">
        <v>93</v>
      </c>
      <c r="D135" s="1178" t="s">
        <v>93</v>
      </c>
      <c r="E135" s="1178" t="s">
        <v>93</v>
      </c>
      <c r="F135" s="1178">
        <v>58.118000000000002</v>
      </c>
      <c r="G135" s="1178"/>
      <c r="H135" s="1178"/>
      <c r="I135" s="1967"/>
      <c r="J135" s="1967"/>
      <c r="K135" s="1179"/>
      <c r="L135" s="1178"/>
      <c r="M135" s="1179">
        <v>7</v>
      </c>
      <c r="N135" s="1178"/>
      <c r="O135" s="1179"/>
      <c r="P135" s="1178"/>
      <c r="Q135" s="1178" t="s">
        <v>2477</v>
      </c>
      <c r="R135" s="1178">
        <v>2900.2</v>
      </c>
    </row>
    <row r="136" spans="1:22" s="1177" customFormat="1" ht="12.75" hidden="1" customHeight="1">
      <c r="A136" s="1180" t="s">
        <v>22</v>
      </c>
      <c r="B136" s="1178">
        <v>1.2</v>
      </c>
      <c r="C136" s="1178" t="s">
        <v>93</v>
      </c>
      <c r="D136" s="1178" t="s">
        <v>93</v>
      </c>
      <c r="E136" s="1178" t="s">
        <v>93</v>
      </c>
      <c r="F136" s="1178">
        <v>21.51</v>
      </c>
      <c r="G136" s="1178"/>
      <c r="H136" s="1178"/>
      <c r="I136" s="1965"/>
      <c r="J136" s="1965"/>
      <c r="K136" s="1179"/>
      <c r="L136" s="1178"/>
      <c r="M136" s="1179">
        <v>7</v>
      </c>
      <c r="N136" s="1178"/>
      <c r="O136" s="1179"/>
      <c r="P136" s="1178"/>
      <c r="Q136" s="1178" t="s">
        <v>2477</v>
      </c>
      <c r="R136" s="1178">
        <v>2887.8</v>
      </c>
    </row>
    <row r="137" spans="1:22" s="1177" customFormat="1" ht="12.75" hidden="1" customHeight="1">
      <c r="A137" s="1180" t="s">
        <v>23</v>
      </c>
      <c r="B137" s="1178">
        <v>1.2</v>
      </c>
      <c r="C137" s="1178" t="s">
        <v>93</v>
      </c>
      <c r="D137" s="1178" t="s">
        <v>93</v>
      </c>
      <c r="E137" s="1178" t="s">
        <v>93</v>
      </c>
      <c r="F137" s="1178">
        <v>15</v>
      </c>
      <c r="G137" s="1178"/>
      <c r="H137" s="1178"/>
      <c r="I137" s="1967"/>
      <c r="J137" s="1967"/>
      <c r="K137" s="1179"/>
      <c r="L137" s="1178"/>
      <c r="M137" s="1179">
        <v>7</v>
      </c>
      <c r="N137" s="1178"/>
      <c r="O137" s="1179"/>
      <c r="P137" s="1178"/>
      <c r="Q137" s="1178" t="s">
        <v>2477</v>
      </c>
      <c r="R137" s="1178">
        <v>3001.2</v>
      </c>
    </row>
    <row r="138" spans="1:22" s="1177" customFormat="1" ht="12.75" hidden="1" customHeight="1">
      <c r="A138" s="1180" t="s">
        <v>24</v>
      </c>
      <c r="B138" s="1178">
        <v>1.2</v>
      </c>
      <c r="C138" s="1178" t="s">
        <v>93</v>
      </c>
      <c r="D138" s="1178" t="s">
        <v>93</v>
      </c>
      <c r="E138" s="1178" t="s">
        <v>93</v>
      </c>
      <c r="F138" s="1178">
        <v>15</v>
      </c>
      <c r="G138" s="1178"/>
      <c r="H138" s="1178"/>
      <c r="I138" s="1965"/>
      <c r="J138" s="1965"/>
      <c r="K138" s="1179"/>
      <c r="L138" s="1178"/>
      <c r="M138" s="1179">
        <v>7</v>
      </c>
      <c r="N138" s="1178"/>
      <c r="O138" s="1179"/>
      <c r="P138" s="1178"/>
      <c r="Q138" s="1178" t="s">
        <v>2477</v>
      </c>
      <c r="R138" s="1178">
        <v>3043.98</v>
      </c>
    </row>
    <row r="139" spans="1:22" s="1177" customFormat="1" ht="12.75" hidden="1" customHeight="1">
      <c r="A139" s="1180" t="s">
        <v>25</v>
      </c>
      <c r="B139" s="1178">
        <v>1.1499999999999999</v>
      </c>
      <c r="C139" s="1178" t="s">
        <v>93</v>
      </c>
      <c r="D139" s="1178" t="s">
        <v>93</v>
      </c>
      <c r="E139" s="1178" t="s">
        <v>93</v>
      </c>
      <c r="F139" s="1178">
        <v>20</v>
      </c>
      <c r="G139" s="1178"/>
      <c r="H139" s="1178"/>
      <c r="I139" s="1967"/>
      <c r="J139" s="1967"/>
      <c r="K139" s="1179"/>
      <c r="L139" s="1178"/>
      <c r="M139" s="1179">
        <v>7</v>
      </c>
      <c r="N139" s="1178"/>
      <c r="O139" s="1179"/>
      <c r="P139" s="1178"/>
      <c r="Q139" s="1178" t="s">
        <v>2477</v>
      </c>
      <c r="R139" s="1178">
        <v>3085.56</v>
      </c>
    </row>
    <row r="140" spans="1:22" s="1177" customFormat="1" ht="12.75" hidden="1" customHeight="1">
      <c r="A140" s="1180" t="s">
        <v>26</v>
      </c>
      <c r="B140" s="1178">
        <v>1.1299999999999999</v>
      </c>
      <c r="C140" s="1178" t="s">
        <v>93</v>
      </c>
      <c r="D140" s="1178" t="s">
        <v>93</v>
      </c>
      <c r="E140" s="1178" t="s">
        <v>93</v>
      </c>
      <c r="F140" s="1178">
        <v>57.027000000000001</v>
      </c>
      <c r="G140" s="1178"/>
      <c r="H140" s="1178"/>
      <c r="I140" s="1965"/>
      <c r="J140" s="1965"/>
      <c r="K140" s="1179"/>
      <c r="L140" s="1178"/>
      <c r="M140" s="1179">
        <v>7</v>
      </c>
      <c r="N140" s="1178"/>
      <c r="O140" s="1179"/>
      <c r="P140" s="1178"/>
      <c r="Q140" s="1178" t="s">
        <v>2477</v>
      </c>
      <c r="R140" s="1178">
        <v>3157.11</v>
      </c>
    </row>
    <row r="141" spans="1:22" s="1177" customFormat="1" ht="12.75" hidden="1" customHeight="1">
      <c r="A141" s="1180" t="s">
        <v>27</v>
      </c>
      <c r="B141" s="1178">
        <v>1.0900000000000001</v>
      </c>
      <c r="C141" s="1178" t="s">
        <v>93</v>
      </c>
      <c r="D141" s="1178" t="s">
        <v>93</v>
      </c>
      <c r="E141" s="1178" t="s">
        <v>93</v>
      </c>
      <c r="F141" s="1178">
        <v>53.024999999999999</v>
      </c>
      <c r="G141" s="1178"/>
      <c r="H141" s="1178"/>
      <c r="I141" s="1967"/>
      <c r="J141" s="1967"/>
      <c r="K141" s="1179"/>
      <c r="L141" s="1178"/>
      <c r="M141" s="1179">
        <v>7</v>
      </c>
      <c r="N141" s="1178"/>
      <c r="O141" s="1179"/>
      <c r="P141" s="1178"/>
      <c r="Q141" s="1178" t="s">
        <v>2477</v>
      </c>
      <c r="R141" s="1178">
        <v>3160.5</v>
      </c>
    </row>
    <row r="142" spans="1:22" s="1177" customFormat="1" ht="12.75" hidden="1" customHeight="1">
      <c r="A142" s="1180" t="s">
        <v>28</v>
      </c>
      <c r="B142" s="1178">
        <v>1.08</v>
      </c>
      <c r="C142" s="1178" t="s">
        <v>93</v>
      </c>
      <c r="D142" s="1178" t="s">
        <v>93</v>
      </c>
      <c r="E142" s="1178" t="s">
        <v>93</v>
      </c>
      <c r="F142" s="1178">
        <v>88.507000000000005</v>
      </c>
      <c r="G142" s="1178"/>
      <c r="H142" s="1178"/>
      <c r="I142" s="1965"/>
      <c r="J142" s="1965"/>
      <c r="K142" s="1179"/>
      <c r="L142" s="1178"/>
      <c r="M142" s="1179">
        <v>7</v>
      </c>
      <c r="N142" s="1178"/>
      <c r="O142" s="1179"/>
      <c r="P142" s="1178"/>
      <c r="Q142" s="1178" t="s">
        <v>2477</v>
      </c>
      <c r="R142" s="1178">
        <v>3165.35</v>
      </c>
    </row>
    <row r="143" spans="1:22" s="1177" customFormat="1" ht="12.75" hidden="1" customHeight="1">
      <c r="A143" s="1180" t="s">
        <v>29</v>
      </c>
      <c r="B143" s="1178">
        <v>1.06</v>
      </c>
      <c r="C143" s="1178" t="s">
        <v>93</v>
      </c>
      <c r="D143" s="1178" t="s">
        <v>93</v>
      </c>
      <c r="E143" s="1178" t="s">
        <v>93</v>
      </c>
      <c r="F143" s="1178">
        <v>69.004000000000005</v>
      </c>
      <c r="G143" s="1178"/>
      <c r="H143" s="1178"/>
      <c r="I143" s="1967"/>
      <c r="J143" s="1967"/>
      <c r="K143" s="1179"/>
      <c r="L143" s="1178"/>
      <c r="M143" s="1179">
        <v>7</v>
      </c>
      <c r="N143" s="1178"/>
      <c r="O143" s="1179"/>
      <c r="P143" s="1178"/>
      <c r="Q143" s="1178" t="s">
        <v>2477</v>
      </c>
      <c r="R143" s="1178">
        <v>3149.29</v>
      </c>
    </row>
    <row r="144" spans="1:22" s="433" customFormat="1" ht="12.75" hidden="1" customHeight="1">
      <c r="A144" s="1175" t="s">
        <v>1621</v>
      </c>
      <c r="B144" s="1181">
        <f t="shared" ref="B144:H144" si="0">B156</f>
        <v>0.91</v>
      </c>
      <c r="C144" s="1182" t="str">
        <f t="shared" si="0"/>
        <v>-</v>
      </c>
      <c r="D144" s="1182" t="str">
        <f t="shared" si="0"/>
        <v>-</v>
      </c>
      <c r="E144" s="1182" t="str">
        <f t="shared" si="0"/>
        <v>-</v>
      </c>
      <c r="F144" s="1182">
        <f t="shared" si="0"/>
        <v>27</v>
      </c>
      <c r="G144" s="1182" t="str">
        <f t="shared" si="0"/>
        <v>-</v>
      </c>
      <c r="H144" s="1182" t="str">
        <f t="shared" si="0"/>
        <v>-</v>
      </c>
      <c r="I144" s="1968"/>
      <c r="J144" s="1968"/>
      <c r="K144" s="1181"/>
      <c r="L144" s="1182"/>
      <c r="M144" s="1181">
        <v>5</v>
      </c>
      <c r="N144" s="1182" t="s">
        <v>93</v>
      </c>
      <c r="O144" s="1181"/>
      <c r="P144" s="1182"/>
      <c r="Q144" s="1181">
        <f>Q156</f>
        <v>3.5</v>
      </c>
      <c r="R144" s="1182">
        <f t="shared" ref="R144" si="1">R156</f>
        <v>3220.42</v>
      </c>
      <c r="S144" s="1177"/>
      <c r="T144" s="1177"/>
      <c r="U144" s="1177"/>
      <c r="V144" s="1177"/>
    </row>
    <row r="145" spans="1:38" s="1184" customFormat="1" ht="12.75" hidden="1" customHeight="1">
      <c r="A145" s="688" t="s">
        <v>18</v>
      </c>
      <c r="B145" s="1183">
        <v>1.07</v>
      </c>
      <c r="C145" s="437" t="s">
        <v>93</v>
      </c>
      <c r="D145" s="437" t="s">
        <v>93</v>
      </c>
      <c r="E145" s="437" t="s">
        <v>93</v>
      </c>
      <c r="F145" s="437">
        <v>94.995000000000005</v>
      </c>
      <c r="G145" s="437" t="s">
        <v>93</v>
      </c>
      <c r="H145" s="437" t="s">
        <v>93</v>
      </c>
      <c r="I145" s="1969"/>
      <c r="J145" s="1969"/>
      <c r="K145" s="1183"/>
      <c r="L145" s="437"/>
      <c r="M145" s="1183">
        <v>7</v>
      </c>
      <c r="N145" s="437" t="s">
        <v>93</v>
      </c>
      <c r="O145" s="1183"/>
      <c r="P145" s="437"/>
      <c r="Q145" s="1183">
        <v>4.75</v>
      </c>
      <c r="R145" s="437">
        <v>3166.69</v>
      </c>
      <c r="S145" s="1177"/>
      <c r="T145" s="1177"/>
      <c r="U145" s="1177"/>
      <c r="V145" s="1177"/>
      <c r="W145" s="1177"/>
      <c r="X145" s="1177"/>
      <c r="Y145" s="1177"/>
      <c r="Z145" s="1177"/>
      <c r="AA145" s="1177"/>
      <c r="AB145" s="1177"/>
      <c r="AC145" s="1177"/>
      <c r="AD145" s="1177"/>
      <c r="AE145" s="1177"/>
      <c r="AF145" s="1177"/>
      <c r="AG145" s="1177"/>
      <c r="AH145" s="1177"/>
      <c r="AI145" s="1177"/>
      <c r="AJ145" s="1177"/>
      <c r="AK145" s="1177"/>
      <c r="AL145" s="1177"/>
    </row>
    <row r="146" spans="1:38" s="1177" customFormat="1" ht="12.75" hidden="1" customHeight="1">
      <c r="A146" s="688" t="s">
        <v>19</v>
      </c>
      <c r="B146" s="1183">
        <v>1</v>
      </c>
      <c r="C146" s="437" t="s">
        <v>93</v>
      </c>
      <c r="D146" s="437" t="s">
        <v>93</v>
      </c>
      <c r="E146" s="437" t="s">
        <v>93</v>
      </c>
      <c r="F146" s="437">
        <v>94.995000000000005</v>
      </c>
      <c r="G146" s="437" t="s">
        <v>93</v>
      </c>
      <c r="H146" s="437" t="s">
        <v>93</v>
      </c>
      <c r="I146" s="1969"/>
      <c r="J146" s="1969"/>
      <c r="K146" s="1183"/>
      <c r="L146" s="437"/>
      <c r="M146" s="1183">
        <v>7</v>
      </c>
      <c r="N146" s="437" t="s">
        <v>93</v>
      </c>
      <c r="O146" s="1183"/>
      <c r="P146" s="437"/>
      <c r="Q146" s="1183">
        <v>4.75</v>
      </c>
      <c r="R146" s="437">
        <v>3155.05</v>
      </c>
    </row>
    <row r="147" spans="1:38" s="1184" customFormat="1" ht="12.75" hidden="1" customHeight="1">
      <c r="A147" s="688" t="s">
        <v>20</v>
      </c>
      <c r="B147" s="1183">
        <v>1</v>
      </c>
      <c r="C147" s="437" t="s">
        <v>93</v>
      </c>
      <c r="D147" s="437" t="s">
        <v>93</v>
      </c>
      <c r="E147" s="437" t="s">
        <v>93</v>
      </c>
      <c r="F147" s="437">
        <v>90</v>
      </c>
      <c r="G147" s="437" t="s">
        <v>93</v>
      </c>
      <c r="H147" s="437" t="s">
        <v>93</v>
      </c>
      <c r="I147" s="1969"/>
      <c r="J147" s="1969"/>
      <c r="K147" s="1183"/>
      <c r="L147" s="437"/>
      <c r="M147" s="1183">
        <v>7</v>
      </c>
      <c r="N147" s="437" t="s">
        <v>93</v>
      </c>
      <c r="O147" s="1183"/>
      <c r="P147" s="437"/>
      <c r="Q147" s="1183">
        <v>4.75</v>
      </c>
      <c r="R147" s="437">
        <v>3128.09</v>
      </c>
      <c r="S147" s="1177"/>
      <c r="T147" s="1177"/>
      <c r="U147" s="1177"/>
      <c r="V147" s="1177"/>
      <c r="W147" s="1177"/>
      <c r="X147" s="1177"/>
      <c r="Y147" s="1177"/>
      <c r="Z147" s="1177"/>
      <c r="AA147" s="1177"/>
      <c r="AB147" s="1177"/>
      <c r="AC147" s="1177"/>
      <c r="AD147" s="1177"/>
      <c r="AE147" s="1177"/>
      <c r="AF147" s="1177"/>
      <c r="AG147" s="1177"/>
      <c r="AH147" s="1177"/>
      <c r="AI147" s="1177"/>
      <c r="AJ147" s="1177"/>
      <c r="AK147" s="1177"/>
      <c r="AL147" s="1177"/>
    </row>
    <row r="148" spans="1:38" s="1177" customFormat="1" ht="12.75" hidden="1" customHeight="1">
      <c r="A148" s="688" t="s">
        <v>21</v>
      </c>
      <c r="B148" s="1183">
        <v>1</v>
      </c>
      <c r="C148" s="437" t="s">
        <v>93</v>
      </c>
      <c r="D148" s="437" t="s">
        <v>93</v>
      </c>
      <c r="E148" s="437" t="s">
        <v>93</v>
      </c>
      <c r="F148" s="437">
        <v>120</v>
      </c>
      <c r="G148" s="437" t="s">
        <v>93</v>
      </c>
      <c r="H148" s="437" t="s">
        <v>93</v>
      </c>
      <c r="I148" s="1970"/>
      <c r="J148" s="1970"/>
      <c r="K148" s="1183"/>
      <c r="L148" s="437"/>
      <c r="M148" s="1183">
        <v>7</v>
      </c>
      <c r="N148" s="437" t="s">
        <v>93</v>
      </c>
      <c r="O148" s="1183"/>
      <c r="P148" s="437"/>
      <c r="Q148" s="1183">
        <v>4.75</v>
      </c>
      <c r="R148" s="437">
        <v>3124.03</v>
      </c>
    </row>
    <row r="149" spans="1:38" s="1184" customFormat="1" ht="12.75" hidden="1" customHeight="1">
      <c r="A149" s="688" t="s">
        <v>22</v>
      </c>
      <c r="B149" s="1183">
        <v>0.99</v>
      </c>
      <c r="C149" s="437" t="s">
        <v>93</v>
      </c>
      <c r="D149" s="437" t="s">
        <v>93</v>
      </c>
      <c r="E149" s="437" t="s">
        <v>93</v>
      </c>
      <c r="F149" s="437">
        <v>90</v>
      </c>
      <c r="G149" s="437" t="s">
        <v>93</v>
      </c>
      <c r="H149" s="437" t="s">
        <v>93</v>
      </c>
      <c r="I149" s="1970"/>
      <c r="J149" s="1970"/>
      <c r="K149" s="1183"/>
      <c r="L149" s="437"/>
      <c r="M149" s="1183">
        <v>6</v>
      </c>
      <c r="N149" s="437" t="s">
        <v>93</v>
      </c>
      <c r="O149" s="1183"/>
      <c r="P149" s="437"/>
      <c r="Q149" s="1183">
        <v>4.25</v>
      </c>
      <c r="R149" s="437">
        <v>3139.1030000000001</v>
      </c>
      <c r="S149" s="1177"/>
      <c r="T149" s="1177"/>
      <c r="U149" s="1177"/>
      <c r="V149" s="1177"/>
      <c r="W149" s="1177"/>
      <c r="X149" s="1177"/>
      <c r="Y149" s="1177"/>
      <c r="Z149" s="1177"/>
      <c r="AA149" s="1177"/>
      <c r="AB149" s="1177"/>
      <c r="AC149" s="1177"/>
      <c r="AD149" s="1177"/>
      <c r="AE149" s="1177"/>
      <c r="AF149" s="1177"/>
      <c r="AG149" s="1177"/>
      <c r="AH149" s="1177"/>
      <c r="AI149" s="1177"/>
      <c r="AJ149" s="1177"/>
      <c r="AK149" s="1177"/>
      <c r="AL149" s="1177"/>
    </row>
    <row r="150" spans="1:38" s="1177" customFormat="1" ht="12.75" hidden="1" customHeight="1">
      <c r="A150" s="688" t="s">
        <v>23</v>
      </c>
      <c r="B150" s="1183">
        <v>0.99</v>
      </c>
      <c r="C150" s="437" t="s">
        <v>93</v>
      </c>
      <c r="D150" s="437" t="s">
        <v>93</v>
      </c>
      <c r="E150" s="437" t="s">
        <v>93</v>
      </c>
      <c r="F150" s="437">
        <v>10</v>
      </c>
      <c r="G150" s="437" t="s">
        <v>93</v>
      </c>
      <c r="H150" s="437" t="s">
        <v>93</v>
      </c>
      <c r="I150" s="1970"/>
      <c r="J150" s="1970"/>
      <c r="K150" s="1183"/>
      <c r="L150" s="437"/>
      <c r="M150" s="1183">
        <v>6</v>
      </c>
      <c r="N150" s="437" t="s">
        <v>93</v>
      </c>
      <c r="O150" s="1183"/>
      <c r="P150" s="437"/>
      <c r="Q150" s="1183">
        <v>4.25</v>
      </c>
      <c r="R150" s="437">
        <v>3123.22</v>
      </c>
    </row>
    <row r="151" spans="1:38" s="1184" customFormat="1" ht="12.75" hidden="1" customHeight="1">
      <c r="A151" s="688" t="s">
        <v>24</v>
      </c>
      <c r="B151" s="1183">
        <v>0.99</v>
      </c>
      <c r="C151" s="437" t="s">
        <v>93</v>
      </c>
      <c r="D151" s="437" t="s">
        <v>93</v>
      </c>
      <c r="E151" s="437" t="s">
        <v>93</v>
      </c>
      <c r="F151" s="437">
        <v>0</v>
      </c>
      <c r="G151" s="437" t="s">
        <v>93</v>
      </c>
      <c r="H151" s="437" t="s">
        <v>93</v>
      </c>
      <c r="I151" s="1970"/>
      <c r="J151" s="1970"/>
      <c r="K151" s="1183"/>
      <c r="L151" s="437"/>
      <c r="M151" s="1183">
        <v>6</v>
      </c>
      <c r="N151" s="437" t="s">
        <v>93</v>
      </c>
      <c r="O151" s="1183"/>
      <c r="P151" s="437"/>
      <c r="Q151" s="1183">
        <v>4.25</v>
      </c>
      <c r="R151" s="437">
        <v>3102.63</v>
      </c>
      <c r="S151" s="1177"/>
      <c r="T151" s="1177"/>
      <c r="U151" s="1177"/>
      <c r="V151" s="1177"/>
      <c r="W151" s="1177"/>
      <c r="X151" s="1177"/>
      <c r="Y151" s="1177"/>
      <c r="Z151" s="1177"/>
      <c r="AA151" s="1177"/>
      <c r="AB151" s="1177"/>
      <c r="AC151" s="1177"/>
      <c r="AD151" s="1177"/>
      <c r="AE151" s="1177"/>
      <c r="AF151" s="1177"/>
      <c r="AG151" s="1177"/>
      <c r="AH151" s="1177"/>
      <c r="AI151" s="1177"/>
      <c r="AJ151" s="1177"/>
      <c r="AK151" s="1177"/>
      <c r="AL151" s="1177"/>
    </row>
    <row r="152" spans="1:38" s="1177" customFormat="1" ht="12.75" hidden="1" customHeight="1">
      <c r="A152" s="688" t="s">
        <v>25</v>
      </c>
      <c r="B152" s="1183">
        <v>1.1000000000000001</v>
      </c>
      <c r="C152" s="437" t="s">
        <v>93</v>
      </c>
      <c r="D152" s="437" t="s">
        <v>93</v>
      </c>
      <c r="E152" s="437" t="s">
        <v>93</v>
      </c>
      <c r="F152" s="437">
        <v>9</v>
      </c>
      <c r="G152" s="437" t="s">
        <v>93</v>
      </c>
      <c r="H152" s="437" t="s">
        <v>93</v>
      </c>
      <c r="I152" s="1970"/>
      <c r="J152" s="1970"/>
      <c r="K152" s="1183"/>
      <c r="L152" s="437"/>
      <c r="M152" s="1183">
        <v>5</v>
      </c>
      <c r="N152" s="437" t="s">
        <v>93</v>
      </c>
      <c r="O152" s="1183"/>
      <c r="P152" s="437"/>
      <c r="Q152" s="1183">
        <v>3.5</v>
      </c>
      <c r="R152" s="437">
        <v>3098.27</v>
      </c>
    </row>
    <row r="153" spans="1:38" s="1184" customFormat="1" ht="12.75" hidden="1" customHeight="1">
      <c r="A153" s="688" t="s">
        <v>26</v>
      </c>
      <c r="B153" s="1183">
        <v>1.05</v>
      </c>
      <c r="C153" s="437" t="s">
        <v>93</v>
      </c>
      <c r="D153" s="437" t="s">
        <v>93</v>
      </c>
      <c r="E153" s="437" t="s">
        <v>93</v>
      </c>
      <c r="F153" s="437">
        <v>15</v>
      </c>
      <c r="G153" s="437" t="s">
        <v>93</v>
      </c>
      <c r="H153" s="437" t="s">
        <v>93</v>
      </c>
      <c r="I153" s="1970"/>
      <c r="J153" s="1970"/>
      <c r="K153" s="1183"/>
      <c r="L153" s="437"/>
      <c r="M153" s="1183">
        <v>5</v>
      </c>
      <c r="N153" s="437" t="s">
        <v>93</v>
      </c>
      <c r="O153" s="1183"/>
      <c r="P153" s="437"/>
      <c r="Q153" s="1183">
        <v>3.5</v>
      </c>
      <c r="R153" s="437">
        <v>3076.12</v>
      </c>
      <c r="S153" s="1177"/>
      <c r="T153" s="1177"/>
      <c r="U153" s="1177"/>
      <c r="V153" s="1177"/>
      <c r="W153" s="1177"/>
      <c r="X153" s="1177"/>
      <c r="Y153" s="1177"/>
      <c r="Z153" s="1177"/>
      <c r="AA153" s="1177"/>
      <c r="AB153" s="1177"/>
      <c r="AC153" s="1177"/>
      <c r="AD153" s="1177"/>
      <c r="AE153" s="1177"/>
      <c r="AF153" s="1177"/>
      <c r="AG153" s="1177"/>
      <c r="AH153" s="1177"/>
      <c r="AI153" s="1177"/>
      <c r="AJ153" s="1177"/>
      <c r="AK153" s="1177"/>
      <c r="AL153" s="1177"/>
    </row>
    <row r="154" spans="1:38" s="1177" customFormat="1" ht="12.75" hidden="1" customHeight="1">
      <c r="A154" s="688" t="s">
        <v>27</v>
      </c>
      <c r="B154" s="1183">
        <v>0.97</v>
      </c>
      <c r="C154" s="437" t="s">
        <v>93</v>
      </c>
      <c r="D154" s="437" t="s">
        <v>93</v>
      </c>
      <c r="E154" s="437" t="s">
        <v>93</v>
      </c>
      <c r="F154" s="437">
        <v>10</v>
      </c>
      <c r="G154" s="437" t="s">
        <v>93</v>
      </c>
      <c r="H154" s="437" t="s">
        <v>93</v>
      </c>
      <c r="I154" s="1970"/>
      <c r="J154" s="1970"/>
      <c r="K154" s="1183"/>
      <c r="L154" s="437"/>
      <c r="M154" s="1183">
        <v>5</v>
      </c>
      <c r="N154" s="437" t="s">
        <v>93</v>
      </c>
      <c r="O154" s="1183"/>
      <c r="P154" s="437"/>
      <c r="Q154" s="1183">
        <v>3.5</v>
      </c>
      <c r="R154" s="437">
        <v>3071.1</v>
      </c>
    </row>
    <row r="155" spans="1:38" s="1184" customFormat="1" ht="12.75" hidden="1" customHeight="1">
      <c r="A155" s="688" t="s">
        <v>28</v>
      </c>
      <c r="B155" s="1183">
        <v>0.96</v>
      </c>
      <c r="C155" s="437" t="s">
        <v>93</v>
      </c>
      <c r="D155" s="437" t="s">
        <v>93</v>
      </c>
      <c r="E155" s="437" t="s">
        <v>93</v>
      </c>
      <c r="F155" s="437">
        <v>30</v>
      </c>
      <c r="G155" s="437" t="s">
        <v>93</v>
      </c>
      <c r="H155" s="437" t="s">
        <v>93</v>
      </c>
      <c r="I155" s="1970"/>
      <c r="J155" s="1970"/>
      <c r="K155" s="1183"/>
      <c r="L155" s="437"/>
      <c r="M155" s="1183">
        <v>5</v>
      </c>
      <c r="N155" s="437" t="s">
        <v>93</v>
      </c>
      <c r="O155" s="1183"/>
      <c r="P155" s="437"/>
      <c r="Q155" s="1183">
        <v>3.5</v>
      </c>
      <c r="R155" s="437">
        <v>3200.31</v>
      </c>
      <c r="S155" s="1177"/>
      <c r="T155" s="1177"/>
      <c r="U155" s="1177"/>
      <c r="V155" s="1177"/>
      <c r="W155" s="1177"/>
      <c r="X155" s="1177"/>
      <c r="Y155" s="1177"/>
      <c r="Z155" s="1177"/>
      <c r="AA155" s="1177"/>
      <c r="AB155" s="1177"/>
      <c r="AC155" s="1177"/>
      <c r="AD155" s="1177"/>
      <c r="AE155" s="1177"/>
      <c r="AF155" s="1177"/>
      <c r="AG155" s="1177"/>
      <c r="AH155" s="1177"/>
      <c r="AI155" s="1177"/>
      <c r="AJ155" s="1177"/>
      <c r="AK155" s="1177"/>
      <c r="AL155" s="1177"/>
    </row>
    <row r="156" spans="1:38" s="1177" customFormat="1" ht="12.75" hidden="1" customHeight="1">
      <c r="A156" s="688" t="s">
        <v>29</v>
      </c>
      <c r="B156" s="1183">
        <v>0.91</v>
      </c>
      <c r="C156" s="437" t="s">
        <v>93</v>
      </c>
      <c r="D156" s="437" t="s">
        <v>93</v>
      </c>
      <c r="E156" s="437" t="s">
        <v>93</v>
      </c>
      <c r="F156" s="437">
        <v>27</v>
      </c>
      <c r="G156" s="437" t="s">
        <v>93</v>
      </c>
      <c r="H156" s="437" t="s">
        <v>93</v>
      </c>
      <c r="I156" s="1970"/>
      <c r="J156" s="1970"/>
      <c r="K156" s="1183"/>
      <c r="L156" s="437"/>
      <c r="M156" s="1183">
        <v>5</v>
      </c>
      <c r="N156" s="437" t="s">
        <v>93</v>
      </c>
      <c r="O156" s="1183"/>
      <c r="P156" s="437"/>
      <c r="Q156" s="1183">
        <v>3.5</v>
      </c>
      <c r="R156" s="437">
        <v>3220.42</v>
      </c>
    </row>
    <row r="157" spans="1:38" s="434" customFormat="1" ht="12.75" hidden="1" customHeight="1">
      <c r="A157" s="687" t="s">
        <v>1816</v>
      </c>
      <c r="B157" s="435">
        <f t="shared" ref="B157:H157" si="2">B169</f>
        <v>0.91</v>
      </c>
      <c r="C157" s="436" t="str">
        <f t="shared" si="2"/>
        <v>-</v>
      </c>
      <c r="D157" s="436" t="str">
        <f t="shared" si="2"/>
        <v>-</v>
      </c>
      <c r="E157" s="436" t="str">
        <f t="shared" si="2"/>
        <v>-</v>
      </c>
      <c r="F157" s="436" t="str">
        <f t="shared" si="2"/>
        <v>-</v>
      </c>
      <c r="G157" s="436" t="str">
        <f t="shared" si="2"/>
        <v>-</v>
      </c>
      <c r="H157" s="436" t="str">
        <f t="shared" si="2"/>
        <v>-</v>
      </c>
      <c r="I157" s="436"/>
      <c r="J157" s="436"/>
      <c r="K157" s="435"/>
      <c r="L157" s="436"/>
      <c r="M157" s="435">
        <v>5</v>
      </c>
      <c r="N157" s="436" t="s">
        <v>93</v>
      </c>
      <c r="O157" s="435"/>
      <c r="P157" s="436"/>
      <c r="Q157" s="435">
        <f>Q169</f>
        <v>3</v>
      </c>
      <c r="R157" s="436">
        <f t="shared" ref="R157" si="3">R169</f>
        <v>6157.71</v>
      </c>
      <c r="S157" s="1177"/>
      <c r="T157" s="1177"/>
      <c r="U157" s="1177"/>
      <c r="V157" s="1177"/>
      <c r="W157" s="433"/>
      <c r="X157" s="433"/>
      <c r="Y157" s="433"/>
      <c r="Z157" s="433"/>
      <c r="AA157" s="433"/>
      <c r="AB157" s="433"/>
      <c r="AC157" s="433"/>
      <c r="AD157" s="433"/>
      <c r="AE157" s="433"/>
      <c r="AF157" s="433"/>
      <c r="AG157" s="433"/>
      <c r="AH157" s="433"/>
      <c r="AI157" s="433"/>
      <c r="AJ157" s="433"/>
      <c r="AK157" s="433"/>
      <c r="AL157" s="433"/>
    </row>
    <row r="158" spans="1:38" s="1177" customFormat="1" ht="12.75" hidden="1" customHeight="1">
      <c r="A158" s="688" t="s">
        <v>18</v>
      </c>
      <c r="B158" s="1183">
        <v>0.91</v>
      </c>
      <c r="C158" s="437" t="s">
        <v>93</v>
      </c>
      <c r="D158" s="437" t="s">
        <v>93</v>
      </c>
      <c r="E158" s="437" t="s">
        <v>93</v>
      </c>
      <c r="F158" s="437" t="s">
        <v>93</v>
      </c>
      <c r="G158" s="437" t="s">
        <v>93</v>
      </c>
      <c r="H158" s="437" t="s">
        <v>93</v>
      </c>
      <c r="I158" s="1970"/>
      <c r="J158" s="1970"/>
      <c r="K158" s="1183"/>
      <c r="L158" s="437"/>
      <c r="M158" s="1183">
        <v>5</v>
      </c>
      <c r="N158" s="437" t="s">
        <v>93</v>
      </c>
      <c r="O158" s="1183"/>
      <c r="P158" s="437"/>
      <c r="Q158" s="1183" t="s">
        <v>2618</v>
      </c>
      <c r="R158" s="437">
        <v>3214.2</v>
      </c>
    </row>
    <row r="159" spans="1:38" s="1184" customFormat="1" ht="12.75" hidden="1" customHeight="1">
      <c r="A159" s="688" t="s">
        <v>19</v>
      </c>
      <c r="B159" s="1183">
        <v>0.91</v>
      </c>
      <c r="C159" s="437" t="s">
        <v>93</v>
      </c>
      <c r="D159" s="437" t="s">
        <v>93</v>
      </c>
      <c r="E159" s="437" t="s">
        <v>93</v>
      </c>
      <c r="F159" s="437" t="s">
        <v>93</v>
      </c>
      <c r="G159" s="437" t="s">
        <v>93</v>
      </c>
      <c r="H159" s="437" t="s">
        <v>93</v>
      </c>
      <c r="I159" s="1970"/>
      <c r="J159" s="1970"/>
      <c r="K159" s="1183"/>
      <c r="L159" s="437"/>
      <c r="M159" s="1183">
        <v>5</v>
      </c>
      <c r="N159" s="437" t="s">
        <v>93</v>
      </c>
      <c r="O159" s="1183"/>
      <c r="P159" s="437"/>
      <c r="Q159" s="1183" t="s">
        <v>2618</v>
      </c>
      <c r="R159" s="437">
        <v>3229.21</v>
      </c>
      <c r="S159" s="1177"/>
      <c r="T159" s="1177"/>
      <c r="U159" s="1177"/>
      <c r="V159" s="1177"/>
      <c r="W159" s="1177"/>
      <c r="X159" s="1177"/>
      <c r="Y159" s="1177"/>
      <c r="Z159" s="1177"/>
      <c r="AA159" s="1177"/>
      <c r="AB159" s="1177"/>
      <c r="AC159" s="1177"/>
      <c r="AD159" s="1177"/>
      <c r="AE159" s="1177"/>
      <c r="AF159" s="1177"/>
      <c r="AG159" s="1177"/>
      <c r="AH159" s="1177"/>
      <c r="AI159" s="1177"/>
      <c r="AJ159" s="1177"/>
      <c r="AK159" s="1177"/>
      <c r="AL159" s="1177"/>
    </row>
    <row r="160" spans="1:38" s="1177" customFormat="1" ht="12.75" hidden="1" customHeight="1">
      <c r="A160" s="688" t="s">
        <v>20</v>
      </c>
      <c r="B160" s="1183">
        <v>0.91</v>
      </c>
      <c r="C160" s="437" t="s">
        <v>93</v>
      </c>
      <c r="D160" s="437" t="s">
        <v>93</v>
      </c>
      <c r="E160" s="437" t="s">
        <v>93</v>
      </c>
      <c r="F160" s="437" t="s">
        <v>93</v>
      </c>
      <c r="G160" s="437" t="s">
        <v>93</v>
      </c>
      <c r="H160" s="437" t="s">
        <v>93</v>
      </c>
      <c r="I160" s="1970"/>
      <c r="J160" s="1970"/>
      <c r="K160" s="1183"/>
      <c r="L160" s="437"/>
      <c r="M160" s="1183">
        <v>5</v>
      </c>
      <c r="N160" s="437" t="s">
        <v>93</v>
      </c>
      <c r="O160" s="1183"/>
      <c r="P160" s="437"/>
      <c r="Q160" s="1183" t="s">
        <v>2618</v>
      </c>
      <c r="R160" s="437">
        <v>3883.37</v>
      </c>
    </row>
    <row r="161" spans="1:38" s="1184" customFormat="1" ht="12.75" hidden="1" customHeight="1">
      <c r="A161" s="688" t="s">
        <v>21</v>
      </c>
      <c r="B161" s="1183">
        <v>0.91</v>
      </c>
      <c r="C161" s="437" t="s">
        <v>93</v>
      </c>
      <c r="D161" s="437" t="s">
        <v>93</v>
      </c>
      <c r="E161" s="437" t="s">
        <v>93</v>
      </c>
      <c r="F161" s="437" t="s">
        <v>93</v>
      </c>
      <c r="G161" s="437" t="s">
        <v>93</v>
      </c>
      <c r="H161" s="437" t="s">
        <v>93</v>
      </c>
      <c r="I161" s="1970"/>
      <c r="J161" s="1970"/>
      <c r="K161" s="1183"/>
      <c r="L161" s="437"/>
      <c r="M161" s="1183">
        <v>5</v>
      </c>
      <c r="N161" s="437" t="s">
        <v>93</v>
      </c>
      <c r="O161" s="1183"/>
      <c r="P161" s="437"/>
      <c r="Q161" s="1183" t="s">
        <v>2618</v>
      </c>
      <c r="R161" s="437">
        <v>4063.12</v>
      </c>
      <c r="S161" s="1177"/>
      <c r="T161" s="1177"/>
      <c r="U161" s="1177"/>
      <c r="V161" s="1177"/>
      <c r="W161" s="1177"/>
      <c r="X161" s="1177"/>
      <c r="Y161" s="1177"/>
      <c r="Z161" s="1177"/>
      <c r="AA161" s="1177"/>
      <c r="AB161" s="1177"/>
      <c r="AC161" s="1177"/>
      <c r="AD161" s="1177"/>
      <c r="AE161" s="1177"/>
      <c r="AF161" s="1177"/>
      <c r="AG161" s="1177"/>
      <c r="AH161" s="1177"/>
      <c r="AI161" s="1177"/>
      <c r="AJ161" s="1177"/>
      <c r="AK161" s="1177"/>
      <c r="AL161" s="1177"/>
    </row>
    <row r="162" spans="1:38" s="1177" customFormat="1" ht="12.75" hidden="1" customHeight="1">
      <c r="A162" s="688" t="s">
        <v>22</v>
      </c>
      <c r="B162" s="1183">
        <v>0.91</v>
      </c>
      <c r="C162" s="437" t="s">
        <v>93</v>
      </c>
      <c r="D162" s="437" t="s">
        <v>93</v>
      </c>
      <c r="E162" s="437" t="s">
        <v>93</v>
      </c>
      <c r="F162" s="437" t="s">
        <v>93</v>
      </c>
      <c r="G162" s="437" t="s">
        <v>93</v>
      </c>
      <c r="H162" s="437" t="s">
        <v>93</v>
      </c>
      <c r="I162" s="1970"/>
      <c r="J162" s="1970"/>
      <c r="K162" s="1183"/>
      <c r="L162" s="437"/>
      <c r="M162" s="1183">
        <v>5</v>
      </c>
      <c r="N162" s="437" t="s">
        <v>93</v>
      </c>
      <c r="O162" s="1183"/>
      <c r="P162" s="437"/>
      <c r="Q162" s="1183" t="s">
        <v>2618</v>
      </c>
      <c r="R162" s="437">
        <v>4116.53</v>
      </c>
    </row>
    <row r="163" spans="1:38" s="1177" customFormat="1" ht="12.75" hidden="1" customHeight="1">
      <c r="A163" s="688" t="s">
        <v>23</v>
      </c>
      <c r="B163" s="1183">
        <v>0.91</v>
      </c>
      <c r="C163" s="437" t="s">
        <v>93</v>
      </c>
      <c r="D163" s="437" t="s">
        <v>93</v>
      </c>
      <c r="E163" s="437" t="s">
        <v>93</v>
      </c>
      <c r="F163" s="437" t="s">
        <v>93</v>
      </c>
      <c r="G163" s="437" t="s">
        <v>93</v>
      </c>
      <c r="H163" s="437" t="s">
        <v>93</v>
      </c>
      <c r="I163" s="1970"/>
      <c r="J163" s="1970"/>
      <c r="K163" s="1183"/>
      <c r="L163" s="437"/>
      <c r="M163" s="1183">
        <v>5</v>
      </c>
      <c r="N163" s="437" t="s">
        <v>93</v>
      </c>
      <c r="O163" s="1183"/>
      <c r="P163" s="437"/>
      <c r="Q163" s="1183" t="s">
        <v>2618</v>
      </c>
      <c r="R163" s="437">
        <v>4230.6400000000003</v>
      </c>
    </row>
    <row r="164" spans="1:38" s="1177" customFormat="1" ht="12.75" hidden="1" customHeight="1">
      <c r="A164" s="688" t="s">
        <v>24</v>
      </c>
      <c r="B164" s="1183">
        <v>0.91</v>
      </c>
      <c r="C164" s="437" t="s">
        <v>93</v>
      </c>
      <c r="D164" s="437" t="s">
        <v>93</v>
      </c>
      <c r="E164" s="437" t="s">
        <v>93</v>
      </c>
      <c r="F164" s="437" t="s">
        <v>93</v>
      </c>
      <c r="G164" s="437" t="s">
        <v>93</v>
      </c>
      <c r="H164" s="437" t="s">
        <v>93</v>
      </c>
      <c r="I164" s="1970"/>
      <c r="J164" s="1970"/>
      <c r="K164" s="1183"/>
      <c r="L164" s="437"/>
      <c r="M164" s="1183">
        <v>5</v>
      </c>
      <c r="N164" s="437" t="s">
        <v>93</v>
      </c>
      <c r="O164" s="1183"/>
      <c r="P164" s="437"/>
      <c r="Q164" s="1183">
        <v>3</v>
      </c>
      <c r="R164" s="437">
        <v>4380.8999999999996</v>
      </c>
    </row>
    <row r="165" spans="1:38" s="1177" customFormat="1" ht="12.75" hidden="1" customHeight="1">
      <c r="A165" s="688" t="s">
        <v>25</v>
      </c>
      <c r="B165" s="1183">
        <v>0.91</v>
      </c>
      <c r="C165" s="437" t="s">
        <v>93</v>
      </c>
      <c r="D165" s="437" t="s">
        <v>93</v>
      </c>
      <c r="E165" s="437" t="s">
        <v>93</v>
      </c>
      <c r="F165" s="437" t="s">
        <v>93</v>
      </c>
      <c r="G165" s="437" t="s">
        <v>93</v>
      </c>
      <c r="H165" s="437" t="s">
        <v>93</v>
      </c>
      <c r="I165" s="1970"/>
      <c r="J165" s="1970"/>
      <c r="K165" s="1183"/>
      <c r="L165" s="437"/>
      <c r="M165" s="1183">
        <v>5</v>
      </c>
      <c r="N165" s="437" t="s">
        <v>93</v>
      </c>
      <c r="O165" s="1183"/>
      <c r="P165" s="437"/>
      <c r="Q165" s="1183">
        <v>3</v>
      </c>
      <c r="R165" s="437">
        <v>4944.76</v>
      </c>
    </row>
    <row r="166" spans="1:38" s="1177" customFormat="1" ht="12.75" hidden="1" customHeight="1">
      <c r="A166" s="688" t="s">
        <v>26</v>
      </c>
      <c r="B166" s="1183">
        <v>0.91</v>
      </c>
      <c r="C166" s="437" t="s">
        <v>93</v>
      </c>
      <c r="D166" s="437" t="s">
        <v>93</v>
      </c>
      <c r="E166" s="437" t="s">
        <v>93</v>
      </c>
      <c r="F166" s="437" t="s">
        <v>93</v>
      </c>
      <c r="G166" s="437" t="s">
        <v>93</v>
      </c>
      <c r="H166" s="437" t="s">
        <v>93</v>
      </c>
      <c r="I166" s="1970"/>
      <c r="J166" s="1970"/>
      <c r="K166" s="1183"/>
      <c r="L166" s="437"/>
      <c r="M166" s="1183">
        <v>5</v>
      </c>
      <c r="N166" s="437" t="s">
        <v>93</v>
      </c>
      <c r="O166" s="1183"/>
      <c r="P166" s="437"/>
      <c r="Q166" s="1183">
        <v>3</v>
      </c>
      <c r="R166" s="437">
        <v>5082.58</v>
      </c>
    </row>
    <row r="167" spans="1:38" s="1177" customFormat="1" ht="12.75" hidden="1" customHeight="1">
      <c r="A167" s="688" t="s">
        <v>27</v>
      </c>
      <c r="B167" s="1183">
        <v>0.91</v>
      </c>
      <c r="C167" s="437" t="s">
        <v>93</v>
      </c>
      <c r="D167" s="437" t="s">
        <v>93</v>
      </c>
      <c r="E167" s="437" t="s">
        <v>93</v>
      </c>
      <c r="F167" s="437" t="s">
        <v>93</v>
      </c>
      <c r="G167" s="437" t="s">
        <v>93</v>
      </c>
      <c r="H167" s="437" t="s">
        <v>93</v>
      </c>
      <c r="I167" s="1970"/>
      <c r="J167" s="1970"/>
      <c r="K167" s="1183"/>
      <c r="L167" s="437"/>
      <c r="M167" s="1183">
        <v>5</v>
      </c>
      <c r="N167" s="437" t="s">
        <v>93</v>
      </c>
      <c r="O167" s="1183"/>
      <c r="P167" s="437"/>
      <c r="Q167" s="1183">
        <v>3</v>
      </c>
      <c r="R167" s="437">
        <v>5219.3</v>
      </c>
    </row>
    <row r="168" spans="1:38" s="1177" customFormat="1" ht="12.75" hidden="1" customHeight="1">
      <c r="A168" s="688" t="s">
        <v>28</v>
      </c>
      <c r="B168" s="1183">
        <v>0.91</v>
      </c>
      <c r="C168" s="437" t="s">
        <v>93</v>
      </c>
      <c r="D168" s="437" t="s">
        <v>93</v>
      </c>
      <c r="E168" s="437" t="s">
        <v>93</v>
      </c>
      <c r="F168" s="437" t="s">
        <v>93</v>
      </c>
      <c r="G168" s="437" t="s">
        <v>93</v>
      </c>
      <c r="H168" s="437" t="s">
        <v>93</v>
      </c>
      <c r="I168" s="1970"/>
      <c r="J168" s="1970"/>
      <c r="K168" s="1183"/>
      <c r="L168" s="437"/>
      <c r="M168" s="1183">
        <v>5</v>
      </c>
      <c r="N168" s="437" t="s">
        <v>93</v>
      </c>
      <c r="O168" s="1183"/>
      <c r="P168" s="437"/>
      <c r="Q168" s="1183">
        <v>3</v>
      </c>
      <c r="R168" s="437">
        <v>5390.16</v>
      </c>
    </row>
    <row r="169" spans="1:38" s="1177" customFormat="1" ht="12.75" hidden="1" customHeight="1">
      <c r="A169" s="688" t="s">
        <v>29</v>
      </c>
      <c r="B169" s="1183">
        <v>0.91</v>
      </c>
      <c r="C169" s="437" t="s">
        <v>93</v>
      </c>
      <c r="D169" s="437" t="s">
        <v>93</v>
      </c>
      <c r="E169" s="437" t="s">
        <v>93</v>
      </c>
      <c r="F169" s="437" t="s">
        <v>93</v>
      </c>
      <c r="G169" s="437" t="s">
        <v>93</v>
      </c>
      <c r="H169" s="437" t="s">
        <v>93</v>
      </c>
      <c r="I169" s="1970"/>
      <c r="J169" s="1970"/>
      <c r="K169" s="1183"/>
      <c r="L169" s="437"/>
      <c r="M169" s="1183">
        <v>5</v>
      </c>
      <c r="N169" s="437" t="s">
        <v>93</v>
      </c>
      <c r="O169" s="1183"/>
      <c r="P169" s="437"/>
      <c r="Q169" s="1183">
        <v>3</v>
      </c>
      <c r="R169" s="437">
        <v>6157.71</v>
      </c>
    </row>
    <row r="170" spans="1:38" s="433" customFormat="1" ht="12.75" hidden="1" customHeight="1">
      <c r="A170" s="687">
        <v>2016</v>
      </c>
      <c r="B170" s="435">
        <f t="shared" ref="B170:H170" si="4">B182</f>
        <v>14.99</v>
      </c>
      <c r="C170" s="436">
        <f t="shared" si="4"/>
        <v>0</v>
      </c>
      <c r="D170" s="436">
        <f t="shared" si="4"/>
        <v>0</v>
      </c>
      <c r="E170" s="436">
        <f t="shared" si="4"/>
        <v>0</v>
      </c>
      <c r="F170" s="436">
        <f t="shared" si="4"/>
        <v>109.62050000000001</v>
      </c>
      <c r="G170" s="436" t="str">
        <f t="shared" si="4"/>
        <v>-</v>
      </c>
      <c r="H170" s="436" t="str">
        <f t="shared" si="4"/>
        <v>-</v>
      </c>
      <c r="I170" s="436"/>
      <c r="J170" s="436"/>
      <c r="K170" s="435"/>
      <c r="L170" s="436"/>
      <c r="M170" s="435">
        <v>18</v>
      </c>
      <c r="N170" s="436" t="s">
        <v>93</v>
      </c>
      <c r="O170" s="435"/>
      <c r="P170" s="436"/>
      <c r="Q170" s="435">
        <f>Q182</f>
        <v>15</v>
      </c>
      <c r="R170" s="436">
        <f t="shared" ref="R170" si="5">R182</f>
        <v>4478.2821970499999</v>
      </c>
      <c r="S170" s="1177"/>
      <c r="T170" s="1177"/>
      <c r="U170" s="1177"/>
      <c r="V170" s="1177"/>
    </row>
    <row r="171" spans="1:38" s="1177" customFormat="1" ht="12.75" hidden="1" customHeight="1">
      <c r="A171" s="688" t="s">
        <v>18</v>
      </c>
      <c r="B171" s="1183">
        <v>0.91</v>
      </c>
      <c r="C171" s="437" t="s">
        <v>93</v>
      </c>
      <c r="D171" s="437" t="s">
        <v>93</v>
      </c>
      <c r="E171" s="437" t="s">
        <v>93</v>
      </c>
      <c r="F171" s="437" t="s">
        <v>93</v>
      </c>
      <c r="G171" s="437" t="s">
        <v>93</v>
      </c>
      <c r="H171" s="437" t="s">
        <v>93</v>
      </c>
      <c r="I171" s="1970"/>
      <c r="J171" s="1970"/>
      <c r="K171" s="1183"/>
      <c r="L171" s="437"/>
      <c r="M171" s="1183">
        <v>5</v>
      </c>
      <c r="N171" s="437" t="s">
        <v>93</v>
      </c>
      <c r="O171" s="1183"/>
      <c r="P171" s="437"/>
      <c r="Q171" s="1183">
        <v>3</v>
      </c>
      <c r="R171" s="437">
        <v>6209.18</v>
      </c>
    </row>
    <row r="172" spans="1:38" s="1177" customFormat="1" ht="12.75" hidden="1" customHeight="1">
      <c r="A172" s="688" t="s">
        <v>19</v>
      </c>
      <c r="B172" s="1183">
        <v>0.91</v>
      </c>
      <c r="C172" s="437" t="s">
        <v>93</v>
      </c>
      <c r="D172" s="437" t="s">
        <v>93</v>
      </c>
      <c r="E172" s="437" t="s">
        <v>93</v>
      </c>
      <c r="F172" s="437" t="s">
        <v>93</v>
      </c>
      <c r="G172" s="437" t="s">
        <v>93</v>
      </c>
      <c r="H172" s="437" t="s">
        <v>93</v>
      </c>
      <c r="I172" s="1970"/>
      <c r="J172" s="1970"/>
      <c r="K172" s="1183"/>
      <c r="L172" s="437"/>
      <c r="M172" s="1183">
        <v>10</v>
      </c>
      <c r="N172" s="437" t="s">
        <v>93</v>
      </c>
      <c r="O172" s="1183"/>
      <c r="P172" s="437"/>
      <c r="Q172" s="1183">
        <v>5</v>
      </c>
      <c r="R172" s="437">
        <v>6277.7</v>
      </c>
    </row>
    <row r="173" spans="1:38" s="1177" customFormat="1" ht="12.75" hidden="1" customHeight="1">
      <c r="A173" s="688" t="s">
        <v>20</v>
      </c>
      <c r="B173" s="1183">
        <v>0.91</v>
      </c>
      <c r="C173" s="437" t="s">
        <v>93</v>
      </c>
      <c r="D173" s="437" t="s">
        <v>93</v>
      </c>
      <c r="E173" s="437" t="s">
        <v>93</v>
      </c>
      <c r="F173" s="437" t="s">
        <v>93</v>
      </c>
      <c r="G173" s="437" t="s">
        <v>93</v>
      </c>
      <c r="H173" s="437" t="s">
        <v>93</v>
      </c>
      <c r="I173" s="1970"/>
      <c r="J173" s="1970"/>
      <c r="K173" s="1183"/>
      <c r="L173" s="437"/>
      <c r="M173" s="1183">
        <v>17</v>
      </c>
      <c r="N173" s="437" t="s">
        <v>93</v>
      </c>
      <c r="O173" s="1183"/>
      <c r="P173" s="437"/>
      <c r="Q173" s="1183">
        <v>7</v>
      </c>
      <c r="R173" s="437">
        <v>6293.32</v>
      </c>
    </row>
    <row r="174" spans="1:38" s="1177" customFormat="1" ht="12.75" hidden="1" customHeight="1">
      <c r="A174" s="688" t="s">
        <v>21</v>
      </c>
      <c r="B174" s="1183">
        <v>0.91</v>
      </c>
      <c r="C174" s="437" t="s">
        <v>93</v>
      </c>
      <c r="D174" s="437" t="s">
        <v>93</v>
      </c>
      <c r="E174" s="437" t="s">
        <v>93</v>
      </c>
      <c r="F174" s="437" t="s">
        <v>93</v>
      </c>
      <c r="G174" s="437" t="s">
        <v>93</v>
      </c>
      <c r="H174" s="437" t="s">
        <v>93</v>
      </c>
      <c r="I174" s="1970"/>
      <c r="J174" s="1970"/>
      <c r="K174" s="1183"/>
      <c r="L174" s="437"/>
      <c r="M174" s="1183">
        <v>17</v>
      </c>
      <c r="N174" s="437" t="s">
        <v>93</v>
      </c>
      <c r="O174" s="1183"/>
      <c r="P174" s="437"/>
      <c r="Q174" s="1183">
        <v>7</v>
      </c>
      <c r="R174" s="437">
        <v>6165.45</v>
      </c>
    </row>
    <row r="175" spans="1:38" s="1177" customFormat="1" ht="12.75" hidden="1" customHeight="1">
      <c r="A175" s="688" t="s">
        <v>22</v>
      </c>
      <c r="B175" s="1183">
        <v>0.91</v>
      </c>
      <c r="C175" s="437" t="s">
        <v>93</v>
      </c>
      <c r="D175" s="437" t="s">
        <v>93</v>
      </c>
      <c r="E175" s="437" t="s">
        <v>93</v>
      </c>
      <c r="F175" s="437" t="s">
        <v>93</v>
      </c>
      <c r="G175" s="437" t="s">
        <v>93</v>
      </c>
      <c r="H175" s="437" t="s">
        <v>93</v>
      </c>
      <c r="I175" s="1970"/>
      <c r="J175" s="1970"/>
      <c r="K175" s="1183"/>
      <c r="L175" s="437"/>
      <c r="M175" s="1183">
        <v>15</v>
      </c>
      <c r="N175" s="437" t="s">
        <v>93</v>
      </c>
      <c r="O175" s="1183"/>
      <c r="P175" s="437"/>
      <c r="Q175" s="1183">
        <v>7</v>
      </c>
      <c r="R175" s="437">
        <v>6347.9</v>
      </c>
    </row>
    <row r="176" spans="1:38" s="1177" customFormat="1" ht="12.75" hidden="1" customHeight="1">
      <c r="A176" s="688" t="s">
        <v>23</v>
      </c>
      <c r="B176" s="1183">
        <v>0.91</v>
      </c>
      <c r="C176" s="437" t="s">
        <v>93</v>
      </c>
      <c r="D176" s="437" t="s">
        <v>93</v>
      </c>
      <c r="E176" s="437" t="s">
        <v>93</v>
      </c>
      <c r="F176" s="437" t="s">
        <v>93</v>
      </c>
      <c r="G176" s="437" t="s">
        <v>93</v>
      </c>
      <c r="H176" s="437" t="s">
        <v>93</v>
      </c>
      <c r="I176" s="1970"/>
      <c r="J176" s="1970"/>
      <c r="K176" s="1183"/>
      <c r="L176" s="437"/>
      <c r="M176" s="1183">
        <v>15</v>
      </c>
      <c r="N176" s="437" t="s">
        <v>93</v>
      </c>
      <c r="O176" s="1183"/>
      <c r="P176" s="437"/>
      <c r="Q176" s="1183">
        <v>7</v>
      </c>
      <c r="R176" s="437">
        <v>6360.51</v>
      </c>
    </row>
    <row r="177" spans="1:38" s="1177" customFormat="1" ht="12.75" hidden="1" customHeight="1">
      <c r="A177" s="688" t="s">
        <v>24</v>
      </c>
      <c r="B177" s="1183">
        <v>0.91</v>
      </c>
      <c r="C177" s="437" t="s">
        <v>93</v>
      </c>
      <c r="D177" s="437" t="s">
        <v>93</v>
      </c>
      <c r="E177" s="437" t="s">
        <v>93</v>
      </c>
      <c r="F177" s="437" t="s">
        <v>93</v>
      </c>
      <c r="G177" s="437" t="s">
        <v>93</v>
      </c>
      <c r="H177" s="437" t="s">
        <v>93</v>
      </c>
      <c r="I177" s="1970"/>
      <c r="J177" s="1970"/>
      <c r="K177" s="1183"/>
      <c r="L177" s="437"/>
      <c r="M177" s="1183">
        <v>15</v>
      </c>
      <c r="N177" s="437" t="s">
        <v>93</v>
      </c>
      <c r="O177" s="1183"/>
      <c r="P177" s="437"/>
      <c r="Q177" s="1183">
        <v>7</v>
      </c>
      <c r="R177" s="437">
        <v>6413.7</v>
      </c>
    </row>
    <row r="178" spans="1:38" s="1177" customFormat="1" ht="12.75" hidden="1" customHeight="1">
      <c r="A178" s="688" t="s">
        <v>25</v>
      </c>
      <c r="B178" s="1183">
        <v>0.91</v>
      </c>
      <c r="C178" s="437" t="s">
        <v>93</v>
      </c>
      <c r="D178" s="437" t="s">
        <v>93</v>
      </c>
      <c r="E178" s="437" t="s">
        <v>93</v>
      </c>
      <c r="F178" s="437" t="s">
        <v>93</v>
      </c>
      <c r="G178" s="437" t="s">
        <v>93</v>
      </c>
      <c r="H178" s="437" t="s">
        <v>93</v>
      </c>
      <c r="I178" s="1970"/>
      <c r="J178" s="1970"/>
      <c r="K178" s="1183"/>
      <c r="L178" s="437"/>
      <c r="M178" s="1183">
        <v>15</v>
      </c>
      <c r="N178" s="437" t="s">
        <v>93</v>
      </c>
      <c r="O178" s="1183"/>
      <c r="P178" s="437"/>
      <c r="Q178" s="1183" t="s">
        <v>2613</v>
      </c>
      <c r="R178" s="437">
        <v>6500.6</v>
      </c>
    </row>
    <row r="179" spans="1:38" s="1177" customFormat="1" ht="12.75" hidden="1" customHeight="1">
      <c r="A179" s="688" t="s">
        <v>26</v>
      </c>
      <c r="B179" s="1183">
        <v>0.91</v>
      </c>
      <c r="C179" s="437" t="s">
        <v>93</v>
      </c>
      <c r="D179" s="437" t="s">
        <v>93</v>
      </c>
      <c r="E179" s="437" t="s">
        <v>93</v>
      </c>
      <c r="F179" s="437" t="s">
        <v>93</v>
      </c>
      <c r="G179" s="437" t="s">
        <v>93</v>
      </c>
      <c r="H179" s="437" t="s">
        <v>93</v>
      </c>
      <c r="I179" s="1970"/>
      <c r="J179" s="1970"/>
      <c r="K179" s="1183"/>
      <c r="L179" s="437"/>
      <c r="M179" s="1183">
        <v>18</v>
      </c>
      <c r="N179" s="437" t="s">
        <v>93</v>
      </c>
      <c r="O179" s="1183"/>
      <c r="P179" s="437"/>
      <c r="Q179" s="1183">
        <v>15</v>
      </c>
      <c r="R179" s="437">
        <v>6475.13</v>
      </c>
    </row>
    <row r="180" spans="1:38" s="1177" customFormat="1" ht="12.75" hidden="1" customHeight="1">
      <c r="A180" s="688" t="s">
        <v>27</v>
      </c>
      <c r="B180" s="1183">
        <v>0.91</v>
      </c>
      <c r="C180" s="437" t="s">
        <v>93</v>
      </c>
      <c r="D180" s="437" t="s">
        <v>93</v>
      </c>
      <c r="E180" s="437" t="s">
        <v>93</v>
      </c>
      <c r="F180" s="437" t="s">
        <v>93</v>
      </c>
      <c r="G180" s="437" t="s">
        <v>93</v>
      </c>
      <c r="H180" s="437" t="s">
        <v>93</v>
      </c>
      <c r="I180" s="1970"/>
      <c r="J180" s="1970"/>
      <c r="K180" s="1183"/>
      <c r="L180" s="437"/>
      <c r="M180" s="1183">
        <v>18</v>
      </c>
      <c r="N180" s="437" t="s">
        <v>93</v>
      </c>
      <c r="O180" s="1183"/>
      <c r="P180" s="437"/>
      <c r="Q180" s="1183">
        <v>15</v>
      </c>
      <c r="R180" s="437">
        <v>6782.18</v>
      </c>
    </row>
    <row r="181" spans="1:38" s="1177" customFormat="1" ht="12.75" hidden="1" customHeight="1">
      <c r="A181" s="688" t="s">
        <v>28</v>
      </c>
      <c r="B181" s="1183">
        <v>14.99</v>
      </c>
      <c r="C181" s="437"/>
      <c r="D181" s="437"/>
      <c r="E181" s="437"/>
      <c r="F181" s="437">
        <v>112.23</v>
      </c>
      <c r="G181" s="437" t="s">
        <v>93</v>
      </c>
      <c r="H181" s="437" t="s">
        <v>93</v>
      </c>
      <c r="I181" s="1970"/>
      <c r="J181" s="1970"/>
      <c r="K181" s="1183"/>
      <c r="L181" s="437"/>
      <c r="M181" s="1183">
        <v>18</v>
      </c>
      <c r="N181" s="437" t="s">
        <v>93</v>
      </c>
      <c r="O181" s="1183"/>
      <c r="P181" s="437"/>
      <c r="Q181" s="1183">
        <v>15</v>
      </c>
      <c r="R181" s="437">
        <v>6624.1</v>
      </c>
    </row>
    <row r="182" spans="1:38" s="1177" customFormat="1" ht="12.75" hidden="1" customHeight="1">
      <c r="A182" s="688" t="s">
        <v>29</v>
      </c>
      <c r="B182" s="1183">
        <v>14.99</v>
      </c>
      <c r="C182" s="437"/>
      <c r="D182" s="437"/>
      <c r="E182" s="437"/>
      <c r="F182" s="437">
        <v>109.62050000000001</v>
      </c>
      <c r="G182" s="437" t="s">
        <v>93</v>
      </c>
      <c r="H182" s="437" t="s">
        <v>93</v>
      </c>
      <c r="I182" s="1970"/>
      <c r="J182" s="1970"/>
      <c r="K182" s="1183"/>
      <c r="L182" s="437"/>
      <c r="M182" s="1183">
        <v>18</v>
      </c>
      <c r="N182" s="437" t="s">
        <v>93</v>
      </c>
      <c r="O182" s="1183"/>
      <c r="P182" s="437"/>
      <c r="Q182" s="1183">
        <v>15</v>
      </c>
      <c r="R182" s="437">
        <v>4478.2821970499999</v>
      </c>
    </row>
    <row r="183" spans="1:38" s="434" customFormat="1" ht="12.75" customHeight="1">
      <c r="A183" s="687" t="s">
        <v>1902</v>
      </c>
      <c r="B183" s="435">
        <f t="shared" ref="B183:H183" si="6">B195</f>
        <v>14.29</v>
      </c>
      <c r="C183" s="436">
        <f t="shared" si="6"/>
        <v>0</v>
      </c>
      <c r="D183" s="436">
        <f t="shared" si="6"/>
        <v>0</v>
      </c>
      <c r="E183" s="436">
        <f t="shared" si="6"/>
        <v>0</v>
      </c>
      <c r="F183" s="436">
        <f t="shared" si="6"/>
        <v>925.61150000000009</v>
      </c>
      <c r="G183" s="436" t="str">
        <f t="shared" si="6"/>
        <v>-</v>
      </c>
      <c r="H183" s="436" t="str">
        <f t="shared" si="6"/>
        <v>-</v>
      </c>
      <c r="I183" s="436" t="str">
        <f t="shared" ref="I183:J183" si="7">I195</f>
        <v>-</v>
      </c>
      <c r="J183" s="436" t="str">
        <f t="shared" si="7"/>
        <v>-</v>
      </c>
      <c r="K183" s="435" t="s">
        <v>93</v>
      </c>
      <c r="L183" s="436" t="s">
        <v>93</v>
      </c>
      <c r="M183" s="435">
        <v>18</v>
      </c>
      <c r="N183" s="436" t="s">
        <v>93</v>
      </c>
      <c r="O183" s="435"/>
      <c r="P183" s="436"/>
      <c r="Q183" s="435">
        <f>Q195</f>
        <v>15</v>
      </c>
      <c r="R183" s="436">
        <f t="shared" ref="R183" si="8">R195</f>
        <v>923.68404111999996</v>
      </c>
      <c r="S183" s="1177"/>
      <c r="T183" s="1177"/>
      <c r="U183" s="1177"/>
      <c r="V183" s="1177"/>
      <c r="W183" s="433"/>
      <c r="X183" s="433"/>
      <c r="Y183" s="433"/>
      <c r="Z183" s="433"/>
      <c r="AA183" s="433"/>
      <c r="AB183" s="433"/>
      <c r="AC183" s="433"/>
      <c r="AD183" s="433"/>
      <c r="AE183" s="433"/>
      <c r="AF183" s="433"/>
      <c r="AG183" s="433"/>
      <c r="AH183" s="433"/>
      <c r="AI183" s="433"/>
      <c r="AJ183" s="433"/>
      <c r="AK183" s="433"/>
      <c r="AL183" s="433"/>
    </row>
    <row r="184" spans="1:38" s="1177" customFormat="1" ht="12.75" customHeight="1">
      <c r="A184" s="688" t="s">
        <v>18</v>
      </c>
      <c r="B184" s="1183">
        <v>12.98</v>
      </c>
      <c r="C184" s="437" t="s">
        <v>93</v>
      </c>
      <c r="D184" s="437" t="s">
        <v>93</v>
      </c>
      <c r="E184" s="437" t="s">
        <v>93</v>
      </c>
      <c r="F184" s="437">
        <v>38.51</v>
      </c>
      <c r="G184" s="437" t="s">
        <v>93</v>
      </c>
      <c r="H184" s="437" t="s">
        <v>93</v>
      </c>
      <c r="I184" s="437" t="s">
        <v>93</v>
      </c>
      <c r="J184" s="437" t="s">
        <v>93</v>
      </c>
      <c r="K184" s="1183" t="s">
        <v>93</v>
      </c>
      <c r="L184" s="437" t="s">
        <v>93</v>
      </c>
      <c r="M184" s="1183">
        <v>18</v>
      </c>
      <c r="N184" s="437" t="s">
        <v>93</v>
      </c>
      <c r="O184" s="1183" t="s">
        <v>93</v>
      </c>
      <c r="P184" s="437" t="s">
        <v>93</v>
      </c>
      <c r="Q184" s="1183">
        <v>15</v>
      </c>
      <c r="R184" s="437">
        <v>2167.0718782499998</v>
      </c>
    </row>
    <row r="185" spans="1:38" s="1177" customFormat="1" ht="12.75" customHeight="1">
      <c r="A185" s="688" t="s">
        <v>19</v>
      </c>
      <c r="B185" s="1183">
        <v>14.44</v>
      </c>
      <c r="C185" s="437" t="s">
        <v>93</v>
      </c>
      <c r="D185" s="437" t="s">
        <v>93</v>
      </c>
      <c r="E185" s="437" t="s">
        <v>93</v>
      </c>
      <c r="F185" s="437">
        <v>90.04</v>
      </c>
      <c r="G185" s="437" t="s">
        <v>93</v>
      </c>
      <c r="H185" s="437" t="s">
        <v>93</v>
      </c>
      <c r="I185" s="437" t="s">
        <v>93</v>
      </c>
      <c r="J185" s="437" t="s">
        <v>93</v>
      </c>
      <c r="K185" s="1183" t="s">
        <v>93</v>
      </c>
      <c r="L185" s="437" t="s">
        <v>93</v>
      </c>
      <c r="M185" s="1183">
        <v>18</v>
      </c>
      <c r="N185" s="437" t="s">
        <v>93</v>
      </c>
      <c r="O185" s="1183" t="s">
        <v>93</v>
      </c>
      <c r="P185" s="437" t="s">
        <v>93</v>
      </c>
      <c r="Q185" s="1183">
        <v>15</v>
      </c>
      <c r="R185" s="437">
        <v>1429.0316082500001</v>
      </c>
    </row>
    <row r="186" spans="1:38" s="1177" customFormat="1" ht="12.75" customHeight="1">
      <c r="A186" s="688" t="s">
        <v>20</v>
      </c>
      <c r="B186" s="1183">
        <v>14.92</v>
      </c>
      <c r="C186" s="437" t="s">
        <v>93</v>
      </c>
      <c r="D186" s="437" t="s">
        <v>93</v>
      </c>
      <c r="E186" s="437" t="s">
        <v>93</v>
      </c>
      <c r="F186" s="437">
        <v>69.09</v>
      </c>
      <c r="G186" s="437" t="s">
        <v>93</v>
      </c>
      <c r="H186" s="437" t="s">
        <v>93</v>
      </c>
      <c r="I186" s="437" t="s">
        <v>93</v>
      </c>
      <c r="J186" s="437" t="s">
        <v>93</v>
      </c>
      <c r="K186" s="1183" t="s">
        <v>93</v>
      </c>
      <c r="L186" s="437" t="s">
        <v>93</v>
      </c>
      <c r="M186" s="1183">
        <v>18</v>
      </c>
      <c r="N186" s="437" t="s">
        <v>93</v>
      </c>
      <c r="O186" s="1183" t="s">
        <v>93</v>
      </c>
      <c r="P186" s="437" t="s">
        <v>93</v>
      </c>
      <c r="Q186" s="1183">
        <v>15</v>
      </c>
      <c r="R186" s="437">
        <v>1420.8763775400002</v>
      </c>
    </row>
    <row r="187" spans="1:38" s="1177" customFormat="1" ht="12.75" customHeight="1">
      <c r="A187" s="688" t="s">
        <v>21</v>
      </c>
      <c r="B187" s="1183">
        <v>14.48</v>
      </c>
      <c r="C187" s="437" t="s">
        <v>93</v>
      </c>
      <c r="D187" s="437" t="s">
        <v>93</v>
      </c>
      <c r="E187" s="437" t="s">
        <v>93</v>
      </c>
      <c r="F187" s="437">
        <v>74.680000000000007</v>
      </c>
      <c r="G187" s="437" t="s">
        <v>93</v>
      </c>
      <c r="H187" s="437" t="s">
        <v>93</v>
      </c>
      <c r="I187" s="437" t="s">
        <v>93</v>
      </c>
      <c r="J187" s="437" t="s">
        <v>93</v>
      </c>
      <c r="K187" s="1183" t="s">
        <v>93</v>
      </c>
      <c r="L187" s="437" t="s">
        <v>93</v>
      </c>
      <c r="M187" s="1183">
        <v>18</v>
      </c>
      <c r="N187" s="437" t="s">
        <v>93</v>
      </c>
      <c r="O187" s="1183" t="s">
        <v>93</v>
      </c>
      <c r="P187" s="437" t="s">
        <v>93</v>
      </c>
      <c r="Q187" s="1183">
        <v>15</v>
      </c>
      <c r="R187" s="437">
        <v>1359.2095834700001</v>
      </c>
    </row>
    <row r="188" spans="1:38" s="1177" customFormat="1" ht="12.75" customHeight="1">
      <c r="A188" s="688" t="s">
        <v>22</v>
      </c>
      <c r="B188" s="1183">
        <v>12.78</v>
      </c>
      <c r="C188" s="437" t="s">
        <v>93</v>
      </c>
      <c r="D188" s="437" t="s">
        <v>93</v>
      </c>
      <c r="E188" s="437" t="s">
        <v>93</v>
      </c>
      <c r="F188" s="437">
        <v>125</v>
      </c>
      <c r="G188" s="437" t="s">
        <v>93</v>
      </c>
      <c r="H188" s="437" t="s">
        <v>93</v>
      </c>
      <c r="I188" s="437" t="s">
        <v>93</v>
      </c>
      <c r="J188" s="437" t="s">
        <v>93</v>
      </c>
      <c r="K188" s="1183" t="s">
        <v>93</v>
      </c>
      <c r="L188" s="437" t="s">
        <v>93</v>
      </c>
      <c r="M188" s="1183">
        <v>18</v>
      </c>
      <c r="N188" s="437" t="s">
        <v>93</v>
      </c>
      <c r="O188" s="1183" t="s">
        <v>93</v>
      </c>
      <c r="P188" s="437" t="s">
        <v>93</v>
      </c>
      <c r="Q188" s="1183">
        <v>15</v>
      </c>
      <c r="R188" s="437">
        <v>1121.49892086</v>
      </c>
    </row>
    <row r="189" spans="1:38" s="1177" customFormat="1" ht="12.75" customHeight="1">
      <c r="A189" s="688" t="s">
        <v>23</v>
      </c>
      <c r="B189" s="1183">
        <v>11.61</v>
      </c>
      <c r="C189" s="437" t="s">
        <v>93</v>
      </c>
      <c r="D189" s="437" t="s">
        <v>93</v>
      </c>
      <c r="E189" s="437" t="s">
        <v>93</v>
      </c>
      <c r="F189" s="437">
        <v>350</v>
      </c>
      <c r="G189" s="437" t="s">
        <v>93</v>
      </c>
      <c r="H189" s="437" t="s">
        <v>93</v>
      </c>
      <c r="I189" s="437" t="s">
        <v>93</v>
      </c>
      <c r="J189" s="437" t="s">
        <v>93</v>
      </c>
      <c r="K189" s="1183" t="s">
        <v>93</v>
      </c>
      <c r="L189" s="437" t="s">
        <v>93</v>
      </c>
      <c r="M189" s="1183">
        <v>18</v>
      </c>
      <c r="N189" s="437" t="s">
        <v>93</v>
      </c>
      <c r="O189" s="1183" t="s">
        <v>93</v>
      </c>
      <c r="P189" s="437" t="s">
        <v>93</v>
      </c>
      <c r="Q189" s="1183">
        <v>15</v>
      </c>
      <c r="R189" s="437">
        <v>1085.5925731399998</v>
      </c>
    </row>
    <row r="190" spans="1:38" s="1177" customFormat="1" ht="12.75" customHeight="1">
      <c r="A190" s="688" t="s">
        <v>24</v>
      </c>
      <c r="B190" s="1183">
        <v>10.01</v>
      </c>
      <c r="C190" s="437" t="s">
        <v>93</v>
      </c>
      <c r="D190" s="437" t="s">
        <v>93</v>
      </c>
      <c r="E190" s="437" t="s">
        <v>93</v>
      </c>
      <c r="F190" s="437">
        <v>450</v>
      </c>
      <c r="G190" s="437" t="s">
        <v>93</v>
      </c>
      <c r="H190" s="437" t="s">
        <v>93</v>
      </c>
      <c r="I190" s="437" t="s">
        <v>93</v>
      </c>
      <c r="J190" s="437" t="s">
        <v>93</v>
      </c>
      <c r="K190" s="1183" t="s">
        <v>93</v>
      </c>
      <c r="L190" s="437" t="s">
        <v>93</v>
      </c>
      <c r="M190" s="1183">
        <v>18</v>
      </c>
      <c r="N190" s="437" t="s">
        <v>93</v>
      </c>
      <c r="O190" s="1183" t="s">
        <v>93</v>
      </c>
      <c r="P190" s="437" t="s">
        <v>93</v>
      </c>
      <c r="Q190" s="1183">
        <v>15</v>
      </c>
      <c r="R190" s="437">
        <v>1054.4211212</v>
      </c>
    </row>
    <row r="191" spans="1:38" s="1177" customFormat="1" ht="12.75" customHeight="1">
      <c r="A191" s="688" t="s">
        <v>25</v>
      </c>
      <c r="B191" s="1183">
        <v>10.01</v>
      </c>
      <c r="C191" s="437" t="s">
        <v>93</v>
      </c>
      <c r="D191" s="437" t="s">
        <v>93</v>
      </c>
      <c r="E191" s="437" t="s">
        <v>93</v>
      </c>
      <c r="F191" s="437">
        <v>550</v>
      </c>
      <c r="G191" s="437" t="s">
        <v>93</v>
      </c>
      <c r="H191" s="437" t="s">
        <v>93</v>
      </c>
      <c r="I191" s="437" t="s">
        <v>93</v>
      </c>
      <c r="J191" s="437" t="s">
        <v>93</v>
      </c>
      <c r="K191" s="1183" t="s">
        <v>93</v>
      </c>
      <c r="L191" s="437" t="s">
        <v>93</v>
      </c>
      <c r="M191" s="1183">
        <v>18</v>
      </c>
      <c r="N191" s="437" t="s">
        <v>93</v>
      </c>
      <c r="O191" s="1183" t="s">
        <v>93</v>
      </c>
      <c r="P191" s="437" t="s">
        <v>93</v>
      </c>
      <c r="Q191" s="1183">
        <v>15</v>
      </c>
      <c r="R191" s="437">
        <v>1021.8211211999999</v>
      </c>
    </row>
    <row r="192" spans="1:38" s="1177" customFormat="1" ht="12.75" customHeight="1">
      <c r="A192" s="688" t="s">
        <v>26</v>
      </c>
      <c r="B192" s="1183">
        <v>10.01</v>
      </c>
      <c r="C192" s="437" t="s">
        <v>93</v>
      </c>
      <c r="D192" s="437" t="s">
        <v>93</v>
      </c>
      <c r="E192" s="437" t="s">
        <v>93</v>
      </c>
      <c r="F192" s="437">
        <v>600</v>
      </c>
      <c r="G192" s="437" t="s">
        <v>93</v>
      </c>
      <c r="H192" s="437" t="s">
        <v>93</v>
      </c>
      <c r="I192" s="437" t="s">
        <v>93</v>
      </c>
      <c r="J192" s="437" t="s">
        <v>93</v>
      </c>
      <c r="K192" s="1183" t="s">
        <v>93</v>
      </c>
      <c r="L192" s="437" t="s">
        <v>93</v>
      </c>
      <c r="M192" s="1183">
        <v>18</v>
      </c>
      <c r="N192" s="437" t="s">
        <v>93</v>
      </c>
      <c r="O192" s="1183" t="s">
        <v>93</v>
      </c>
      <c r="P192" s="437" t="s">
        <v>93</v>
      </c>
      <c r="Q192" s="1183">
        <v>15</v>
      </c>
      <c r="R192" s="437">
        <v>980.96493977</v>
      </c>
    </row>
    <row r="193" spans="1:22" s="1177" customFormat="1" ht="12.75" customHeight="1">
      <c r="A193" s="688" t="s">
        <v>27</v>
      </c>
      <c r="B193" s="1183">
        <v>10.01</v>
      </c>
      <c r="C193" s="437"/>
      <c r="D193" s="437"/>
      <c r="E193" s="437"/>
      <c r="F193" s="437">
        <v>700</v>
      </c>
      <c r="G193" s="437" t="s">
        <v>93</v>
      </c>
      <c r="H193" s="437" t="s">
        <v>93</v>
      </c>
      <c r="I193" s="437" t="s">
        <v>93</v>
      </c>
      <c r="J193" s="437" t="s">
        <v>93</v>
      </c>
      <c r="K193" s="1183" t="s">
        <v>93</v>
      </c>
      <c r="L193" s="437" t="s">
        <v>93</v>
      </c>
      <c r="M193" s="1183">
        <v>18</v>
      </c>
      <c r="N193" s="437" t="s">
        <v>93</v>
      </c>
      <c r="O193" s="1183" t="s">
        <v>93</v>
      </c>
      <c r="P193" s="437" t="s">
        <v>93</v>
      </c>
      <c r="Q193" s="1183">
        <v>15</v>
      </c>
      <c r="R193" s="437">
        <f>978440585.52/1000000</f>
        <v>978.44058552000001</v>
      </c>
    </row>
    <row r="194" spans="1:22" s="1177" customFormat="1" ht="12.75" customHeight="1">
      <c r="A194" s="688" t="s">
        <v>28</v>
      </c>
      <c r="B194" s="1183">
        <v>10.01</v>
      </c>
      <c r="C194" s="437"/>
      <c r="D194" s="437"/>
      <c r="E194" s="437"/>
      <c r="F194" s="437">
        <v>800</v>
      </c>
      <c r="G194" s="437" t="s">
        <v>93</v>
      </c>
      <c r="H194" s="437" t="s">
        <v>93</v>
      </c>
      <c r="I194" s="437" t="s">
        <v>93</v>
      </c>
      <c r="J194" s="437" t="s">
        <v>93</v>
      </c>
      <c r="K194" s="1183" t="s">
        <v>93</v>
      </c>
      <c r="L194" s="437" t="s">
        <v>93</v>
      </c>
      <c r="M194" s="1183">
        <v>18</v>
      </c>
      <c r="N194" s="437" t="s">
        <v>93</v>
      </c>
      <c r="O194" s="1183" t="s">
        <v>93</v>
      </c>
      <c r="P194" s="437" t="s">
        <v>93</v>
      </c>
      <c r="Q194" s="1183" t="s">
        <v>2616</v>
      </c>
      <c r="R194" s="437">
        <f>948082966.51/1000000</f>
        <v>948.08296651000001</v>
      </c>
    </row>
    <row r="195" spans="1:22" s="1177" customFormat="1" ht="12.75" customHeight="1">
      <c r="A195" s="688" t="s">
        <v>29</v>
      </c>
      <c r="B195" s="1183">
        <v>14.29</v>
      </c>
      <c r="C195" s="437"/>
      <c r="D195" s="437"/>
      <c r="E195" s="437"/>
      <c r="F195" s="437">
        <v>925.61150000000009</v>
      </c>
      <c r="G195" s="437" t="s">
        <v>93</v>
      </c>
      <c r="H195" s="437" t="s">
        <v>93</v>
      </c>
      <c r="I195" s="437" t="s">
        <v>93</v>
      </c>
      <c r="J195" s="437" t="s">
        <v>93</v>
      </c>
      <c r="K195" s="1183" t="s">
        <v>93</v>
      </c>
      <c r="L195" s="437" t="s">
        <v>93</v>
      </c>
      <c r="M195" s="1183">
        <v>18</v>
      </c>
      <c r="N195" s="437" t="s">
        <v>93</v>
      </c>
      <c r="O195" s="1183" t="s">
        <v>93</v>
      </c>
      <c r="P195" s="437" t="s">
        <v>93</v>
      </c>
      <c r="Q195" s="1183">
        <v>15</v>
      </c>
      <c r="R195" s="437">
        <f>923684041.12/1000000</f>
        <v>923.68404111999996</v>
      </c>
    </row>
    <row r="196" spans="1:22" s="433" customFormat="1" ht="12.75" customHeight="1">
      <c r="A196" s="687" t="s">
        <v>2038</v>
      </c>
      <c r="B196" s="435">
        <f t="shared" ref="B196:F196" si="9">B208</f>
        <v>9.34</v>
      </c>
      <c r="C196" s="436" t="str">
        <f t="shared" si="9"/>
        <v>-</v>
      </c>
      <c r="D196" s="436" t="str">
        <f t="shared" si="9"/>
        <v>-</v>
      </c>
      <c r="E196" s="436" t="str">
        <f t="shared" si="9"/>
        <v>-</v>
      </c>
      <c r="F196" s="436">
        <f t="shared" si="9"/>
        <v>1008.27</v>
      </c>
      <c r="G196" s="1191" t="s">
        <v>93</v>
      </c>
      <c r="H196" s="1191" t="s">
        <v>93</v>
      </c>
      <c r="I196" s="1191" t="s">
        <v>93</v>
      </c>
      <c r="J196" s="1191" t="s">
        <v>93</v>
      </c>
      <c r="K196" s="1191" t="s">
        <v>93</v>
      </c>
      <c r="L196" s="1191" t="s">
        <v>93</v>
      </c>
      <c r="M196" s="435">
        <v>11.75</v>
      </c>
      <c r="N196" s="436" t="s">
        <v>93</v>
      </c>
      <c r="O196" s="435" t="s">
        <v>93</v>
      </c>
      <c r="P196" s="436" t="s">
        <v>93</v>
      </c>
      <c r="Q196" s="435">
        <f>Q208</f>
        <v>9.75</v>
      </c>
      <c r="R196" s="436">
        <f t="shared" ref="R196" si="10">R208</f>
        <v>726.61</v>
      </c>
      <c r="S196" s="1177"/>
      <c r="T196" s="1177"/>
      <c r="U196" s="1177"/>
      <c r="V196" s="1177"/>
    </row>
    <row r="197" spans="1:22" s="1177" customFormat="1" ht="12.75" customHeight="1">
      <c r="A197" s="688" t="s">
        <v>18</v>
      </c>
      <c r="B197" s="1183">
        <v>10.01</v>
      </c>
      <c r="C197" s="437" t="s">
        <v>93</v>
      </c>
      <c r="D197" s="437" t="s">
        <v>93</v>
      </c>
      <c r="E197" s="437" t="s">
        <v>93</v>
      </c>
      <c r="F197" s="437">
        <v>900</v>
      </c>
      <c r="G197" s="1192" t="s">
        <v>93</v>
      </c>
      <c r="H197" s="1192" t="s">
        <v>93</v>
      </c>
      <c r="I197" s="1192" t="s">
        <v>93</v>
      </c>
      <c r="J197" s="1192" t="s">
        <v>93</v>
      </c>
      <c r="K197" s="1192" t="s">
        <v>93</v>
      </c>
      <c r="L197" s="1192" t="s">
        <v>93</v>
      </c>
      <c r="M197" s="1183">
        <v>16</v>
      </c>
      <c r="N197" s="437" t="s">
        <v>93</v>
      </c>
      <c r="O197" s="1183" t="s">
        <v>93</v>
      </c>
      <c r="P197" s="437" t="s">
        <v>93</v>
      </c>
      <c r="Q197" s="1183">
        <v>15</v>
      </c>
      <c r="R197" s="437">
        <f>899684041.12/1000000</f>
        <v>899.68404111999996</v>
      </c>
    </row>
    <row r="198" spans="1:22" s="1177" customFormat="1" ht="13.5" customHeight="1">
      <c r="A198" s="688" t="s">
        <v>19</v>
      </c>
      <c r="B198" s="1183">
        <v>8.01</v>
      </c>
      <c r="C198" s="437" t="s">
        <v>93</v>
      </c>
      <c r="D198" s="437" t="s">
        <v>93</v>
      </c>
      <c r="E198" s="437" t="s">
        <v>93</v>
      </c>
      <c r="F198" s="437">
        <v>850</v>
      </c>
      <c r="G198" s="1192" t="s">
        <v>93</v>
      </c>
      <c r="H198" s="1192" t="s">
        <v>93</v>
      </c>
      <c r="I198" s="1192" t="s">
        <v>93</v>
      </c>
      <c r="J198" s="1192" t="s">
        <v>93</v>
      </c>
      <c r="K198" s="1192" t="s">
        <v>93</v>
      </c>
      <c r="L198" s="1192" t="s">
        <v>93</v>
      </c>
      <c r="M198" s="1183">
        <v>16</v>
      </c>
      <c r="N198" s="437" t="s">
        <v>93</v>
      </c>
      <c r="O198" s="1183" t="s">
        <v>93</v>
      </c>
      <c r="P198" s="437" t="s">
        <v>93</v>
      </c>
      <c r="Q198" s="1183">
        <v>13</v>
      </c>
      <c r="R198" s="437">
        <f>871674041.12/1000000</f>
        <v>871.67404111999997</v>
      </c>
    </row>
    <row r="199" spans="1:22" s="1177" customFormat="1" ht="12.75" customHeight="1">
      <c r="A199" s="688" t="s">
        <v>20</v>
      </c>
      <c r="B199" s="1183">
        <v>8.01</v>
      </c>
      <c r="C199" s="437" t="s">
        <v>93</v>
      </c>
      <c r="D199" s="437" t="s">
        <v>93</v>
      </c>
      <c r="E199" s="437" t="s">
        <v>93</v>
      </c>
      <c r="F199" s="437">
        <v>600</v>
      </c>
      <c r="G199" s="1192" t="s">
        <v>93</v>
      </c>
      <c r="H199" s="1192" t="s">
        <v>93</v>
      </c>
      <c r="I199" s="1192" t="s">
        <v>93</v>
      </c>
      <c r="J199" s="1192" t="s">
        <v>93</v>
      </c>
      <c r="K199" s="1192" t="s">
        <v>93</v>
      </c>
      <c r="L199" s="1192" t="s">
        <v>93</v>
      </c>
      <c r="M199" s="1183">
        <v>16</v>
      </c>
      <c r="N199" s="437" t="s">
        <v>93</v>
      </c>
      <c r="O199" s="1183" t="s">
        <v>93</v>
      </c>
      <c r="P199" s="437" t="s">
        <v>93</v>
      </c>
      <c r="Q199" s="1183">
        <v>13</v>
      </c>
      <c r="R199" s="437">
        <v>872.22</v>
      </c>
    </row>
    <row r="200" spans="1:22" s="1177" customFormat="1" ht="12.75" customHeight="1">
      <c r="A200" s="688" t="s">
        <v>21</v>
      </c>
      <c r="B200" s="1183">
        <v>8.01</v>
      </c>
      <c r="C200" s="437" t="s">
        <v>93</v>
      </c>
      <c r="D200" s="437" t="s">
        <v>93</v>
      </c>
      <c r="E200" s="437" t="s">
        <v>93</v>
      </c>
      <c r="F200" s="437">
        <v>900</v>
      </c>
      <c r="G200" s="1192" t="s">
        <v>93</v>
      </c>
      <c r="H200" s="1192" t="s">
        <v>93</v>
      </c>
      <c r="I200" s="1192" t="s">
        <v>93</v>
      </c>
      <c r="J200" s="1192" t="s">
        <v>93</v>
      </c>
      <c r="K200" s="1192" t="s">
        <v>93</v>
      </c>
      <c r="L200" s="1192" t="s">
        <v>93</v>
      </c>
      <c r="M200" s="1183">
        <v>14</v>
      </c>
      <c r="N200" s="437" t="s">
        <v>93</v>
      </c>
      <c r="O200" s="1183" t="s">
        <v>93</v>
      </c>
      <c r="P200" s="437" t="s">
        <v>93</v>
      </c>
      <c r="Q200" s="1183">
        <v>11</v>
      </c>
      <c r="R200" s="437">
        <v>830.52</v>
      </c>
    </row>
    <row r="201" spans="1:22" s="1177" customFormat="1" ht="12.75" customHeight="1">
      <c r="A201" s="688" t="s">
        <v>22</v>
      </c>
      <c r="B201" s="1183">
        <v>8.01</v>
      </c>
      <c r="C201" s="437" t="s">
        <v>93</v>
      </c>
      <c r="D201" s="437" t="s">
        <v>93</v>
      </c>
      <c r="E201" s="437" t="s">
        <v>93</v>
      </c>
      <c r="F201" s="437">
        <v>1000</v>
      </c>
      <c r="G201" s="1192" t="s">
        <v>93</v>
      </c>
      <c r="H201" s="1192" t="s">
        <v>93</v>
      </c>
      <c r="I201" s="1192" t="s">
        <v>93</v>
      </c>
      <c r="J201" s="1192" t="s">
        <v>93</v>
      </c>
      <c r="K201" s="1192" t="s">
        <v>93</v>
      </c>
      <c r="L201" s="1192" t="s">
        <v>93</v>
      </c>
      <c r="M201" s="1183">
        <v>14</v>
      </c>
      <c r="N201" s="437" t="s">
        <v>93</v>
      </c>
      <c r="O201" s="1183" t="s">
        <v>93</v>
      </c>
      <c r="P201" s="437" t="s">
        <v>93</v>
      </c>
      <c r="Q201" s="1183">
        <v>11</v>
      </c>
      <c r="R201" s="437">
        <v>830.05</v>
      </c>
    </row>
    <row r="202" spans="1:22" s="1177" customFormat="1" ht="12.75" customHeight="1">
      <c r="A202" s="688" t="s">
        <v>23</v>
      </c>
      <c r="B202" s="1183">
        <v>8.01</v>
      </c>
      <c r="C202" s="437" t="s">
        <v>93</v>
      </c>
      <c r="D202" s="437" t="s">
        <v>93</v>
      </c>
      <c r="E202" s="437" t="s">
        <v>93</v>
      </c>
      <c r="F202" s="437">
        <v>1000</v>
      </c>
      <c r="G202" s="1192" t="s">
        <v>93</v>
      </c>
      <c r="H202" s="1192" t="s">
        <v>93</v>
      </c>
      <c r="I202" s="1192" t="s">
        <v>93</v>
      </c>
      <c r="J202" s="1192" t="s">
        <v>93</v>
      </c>
      <c r="K202" s="1192" t="s">
        <v>93</v>
      </c>
      <c r="L202" s="1192" t="s">
        <v>93</v>
      </c>
      <c r="M202" s="1183">
        <v>12</v>
      </c>
      <c r="N202" s="437" t="s">
        <v>93</v>
      </c>
      <c r="O202" s="1183" t="s">
        <v>93</v>
      </c>
      <c r="P202" s="437" t="s">
        <v>93</v>
      </c>
      <c r="Q202" s="1183">
        <v>10</v>
      </c>
      <c r="R202" s="437">
        <v>808.82</v>
      </c>
    </row>
    <row r="203" spans="1:22" s="1177" customFormat="1" ht="12.75" customHeight="1">
      <c r="A203" s="688" t="s">
        <v>24</v>
      </c>
      <c r="B203" s="1183">
        <v>8.01</v>
      </c>
      <c r="C203" s="437" t="s">
        <v>93</v>
      </c>
      <c r="D203" s="437" t="s">
        <v>93</v>
      </c>
      <c r="E203" s="437" t="s">
        <v>93</v>
      </c>
      <c r="F203" s="437">
        <v>1000</v>
      </c>
      <c r="G203" s="1192" t="s">
        <v>93</v>
      </c>
      <c r="H203" s="1192" t="s">
        <v>93</v>
      </c>
      <c r="I203" s="1192" t="s">
        <v>93</v>
      </c>
      <c r="J203" s="1192" t="s">
        <v>93</v>
      </c>
      <c r="K203" s="1192" t="s">
        <v>93</v>
      </c>
      <c r="L203" s="1192" t="s">
        <v>93</v>
      </c>
      <c r="M203" s="1183">
        <v>12</v>
      </c>
      <c r="N203" s="437" t="s">
        <v>93</v>
      </c>
      <c r="O203" s="1183" t="s">
        <v>93</v>
      </c>
      <c r="P203" s="437" t="s">
        <v>93</v>
      </c>
      <c r="Q203" s="1183">
        <v>10</v>
      </c>
      <c r="R203" s="437">
        <v>788.84</v>
      </c>
    </row>
    <row r="204" spans="1:22" s="1177" customFormat="1" ht="12.75" customHeight="1">
      <c r="A204" s="688" t="s">
        <v>25</v>
      </c>
      <c r="B204" s="1183">
        <v>8.01</v>
      </c>
      <c r="C204" s="437" t="s">
        <v>93</v>
      </c>
      <c r="D204" s="437" t="s">
        <v>93</v>
      </c>
      <c r="E204" s="437" t="s">
        <v>93</v>
      </c>
      <c r="F204" s="437">
        <v>1050</v>
      </c>
      <c r="G204" s="1192" t="s">
        <v>93</v>
      </c>
      <c r="H204" s="1192" t="s">
        <v>93</v>
      </c>
      <c r="I204" s="1192" t="s">
        <v>93</v>
      </c>
      <c r="J204" s="1192" t="s">
        <v>93</v>
      </c>
      <c r="K204" s="1192" t="s">
        <v>93</v>
      </c>
      <c r="L204" s="1192" t="s">
        <v>93</v>
      </c>
      <c r="M204" s="1183">
        <v>12</v>
      </c>
      <c r="N204" s="437" t="s">
        <v>93</v>
      </c>
      <c r="O204" s="1183" t="s">
        <v>93</v>
      </c>
      <c r="P204" s="437" t="s">
        <v>93</v>
      </c>
      <c r="Q204" s="1183">
        <v>10</v>
      </c>
      <c r="R204" s="437">
        <v>775.88</v>
      </c>
    </row>
    <row r="205" spans="1:22" s="1177" customFormat="1" ht="12.75" customHeight="1">
      <c r="A205" s="688" t="s">
        <v>26</v>
      </c>
      <c r="B205" s="1183">
        <v>8.01</v>
      </c>
      <c r="C205" s="437" t="s">
        <v>93</v>
      </c>
      <c r="D205" s="437" t="s">
        <v>93</v>
      </c>
      <c r="E205" s="437" t="s">
        <v>93</v>
      </c>
      <c r="F205" s="437">
        <v>1050</v>
      </c>
      <c r="G205" s="1192" t="s">
        <v>93</v>
      </c>
      <c r="H205" s="1192" t="s">
        <v>93</v>
      </c>
      <c r="I205" s="1192" t="s">
        <v>93</v>
      </c>
      <c r="J205" s="1192" t="s">
        <v>93</v>
      </c>
      <c r="K205" s="1192" t="s">
        <v>93</v>
      </c>
      <c r="L205" s="1192" t="s">
        <v>93</v>
      </c>
      <c r="M205" s="1183">
        <v>12</v>
      </c>
      <c r="N205" s="437" t="s">
        <v>93</v>
      </c>
      <c r="O205" s="1183" t="s">
        <v>93</v>
      </c>
      <c r="P205" s="437" t="s">
        <v>93</v>
      </c>
      <c r="Q205" s="1183">
        <v>10</v>
      </c>
      <c r="R205" s="437">
        <v>746.26</v>
      </c>
    </row>
    <row r="206" spans="1:22" s="1177" customFormat="1" ht="12.75" customHeight="1">
      <c r="A206" s="688" t="s">
        <v>27</v>
      </c>
      <c r="B206" s="1183">
        <v>7.76</v>
      </c>
      <c r="C206" s="437" t="s">
        <v>93</v>
      </c>
      <c r="D206" s="437" t="s">
        <v>93</v>
      </c>
      <c r="E206" s="437" t="s">
        <v>93</v>
      </c>
      <c r="F206" s="437">
        <v>1050</v>
      </c>
      <c r="G206" s="1192" t="s">
        <v>93</v>
      </c>
      <c r="H206" s="1192" t="s">
        <v>93</v>
      </c>
      <c r="I206" s="1192" t="s">
        <v>93</v>
      </c>
      <c r="J206" s="1192" t="s">
        <v>93</v>
      </c>
      <c r="K206" s="1192" t="s">
        <v>93</v>
      </c>
      <c r="L206" s="1192" t="s">
        <v>93</v>
      </c>
      <c r="M206" s="1183">
        <v>11.75</v>
      </c>
      <c r="N206" s="437" t="s">
        <v>93</v>
      </c>
      <c r="O206" s="1183" t="s">
        <v>93</v>
      </c>
      <c r="P206" s="437" t="s">
        <v>93</v>
      </c>
      <c r="Q206" s="1183">
        <v>9.75</v>
      </c>
      <c r="R206" s="437">
        <v>731.57</v>
      </c>
    </row>
    <row r="207" spans="1:22" s="1177" customFormat="1" ht="12.75" customHeight="1">
      <c r="A207" s="688" t="s">
        <v>28</v>
      </c>
      <c r="B207" s="1183">
        <v>7.76</v>
      </c>
      <c r="C207" s="437" t="s">
        <v>93</v>
      </c>
      <c r="D207" s="437" t="s">
        <v>93</v>
      </c>
      <c r="E207" s="437" t="s">
        <v>93</v>
      </c>
      <c r="F207" s="437">
        <v>1050</v>
      </c>
      <c r="G207" s="1192" t="s">
        <v>93</v>
      </c>
      <c r="H207" s="1192" t="s">
        <v>93</v>
      </c>
      <c r="I207" s="1192" t="s">
        <v>93</v>
      </c>
      <c r="J207" s="1192" t="s">
        <v>93</v>
      </c>
      <c r="K207" s="1192" t="s">
        <v>93</v>
      </c>
      <c r="L207" s="1192" t="s">
        <v>93</v>
      </c>
      <c r="M207" s="1183">
        <v>11.75</v>
      </c>
      <c r="N207" s="437" t="s">
        <v>93</v>
      </c>
      <c r="O207" s="1183" t="s">
        <v>93</v>
      </c>
      <c r="P207" s="437" t="s">
        <v>93</v>
      </c>
      <c r="Q207" s="1183">
        <v>9.75</v>
      </c>
      <c r="R207" s="437">
        <v>739.46</v>
      </c>
    </row>
    <row r="208" spans="1:22" s="1177" customFormat="1" ht="12.75" customHeight="1">
      <c r="A208" s="688" t="s">
        <v>29</v>
      </c>
      <c r="B208" s="1183">
        <v>9.34</v>
      </c>
      <c r="C208" s="437" t="s">
        <v>93</v>
      </c>
      <c r="D208" s="437" t="s">
        <v>93</v>
      </c>
      <c r="E208" s="437" t="s">
        <v>93</v>
      </c>
      <c r="F208" s="437">
        <v>1008.27</v>
      </c>
      <c r="G208" s="1192" t="s">
        <v>93</v>
      </c>
      <c r="H208" s="1192" t="s">
        <v>93</v>
      </c>
      <c r="I208" s="1192" t="s">
        <v>93</v>
      </c>
      <c r="J208" s="1192" t="s">
        <v>93</v>
      </c>
      <c r="K208" s="1192" t="s">
        <v>93</v>
      </c>
      <c r="L208" s="1192" t="s">
        <v>93</v>
      </c>
      <c r="M208" s="1183">
        <v>11.75</v>
      </c>
      <c r="N208" s="437" t="s">
        <v>93</v>
      </c>
      <c r="O208" s="1183" t="s">
        <v>93</v>
      </c>
      <c r="P208" s="437" t="s">
        <v>93</v>
      </c>
      <c r="Q208" s="1183">
        <v>9.75</v>
      </c>
      <c r="R208" s="437">
        <v>726.61</v>
      </c>
    </row>
    <row r="209" spans="1:22" s="433" customFormat="1" ht="12.75" customHeight="1">
      <c r="A209" s="688" t="s">
        <v>2131</v>
      </c>
      <c r="B209" s="435">
        <f t="shared" ref="B209:F209" si="11">B221</f>
        <v>5.76</v>
      </c>
      <c r="C209" s="436" t="str">
        <f t="shared" si="11"/>
        <v>-</v>
      </c>
      <c r="D209" s="436" t="str">
        <f t="shared" si="11"/>
        <v>-</v>
      </c>
      <c r="E209" s="436" t="str">
        <f t="shared" si="11"/>
        <v>-</v>
      </c>
      <c r="F209" s="436">
        <f t="shared" si="11"/>
        <v>700</v>
      </c>
      <c r="G209" s="1191" t="s">
        <v>93</v>
      </c>
      <c r="H209" s="1191" t="s">
        <v>93</v>
      </c>
      <c r="I209" s="1191" t="s">
        <v>93</v>
      </c>
      <c r="J209" s="1191" t="s">
        <v>93</v>
      </c>
      <c r="K209" s="1191" t="s">
        <v>93</v>
      </c>
      <c r="L209" s="1191" t="s">
        <v>93</v>
      </c>
      <c r="M209" s="435">
        <v>9.25</v>
      </c>
      <c r="N209" s="436" t="s">
        <v>93</v>
      </c>
      <c r="O209" s="435" t="s">
        <v>93</v>
      </c>
      <c r="P209" s="436" t="s">
        <v>93</v>
      </c>
      <c r="Q209" s="435">
        <f>Q221</f>
        <v>7.5</v>
      </c>
      <c r="R209" s="436">
        <f t="shared" ref="R209" si="12">R221</f>
        <v>681.7</v>
      </c>
      <c r="S209" s="1177"/>
      <c r="T209" s="1177"/>
      <c r="U209" s="1177"/>
      <c r="V209" s="1177"/>
    </row>
    <row r="210" spans="1:22" s="1177" customFormat="1" ht="12.75" customHeight="1">
      <c r="A210" s="688" t="s">
        <v>18</v>
      </c>
      <c r="B210" s="1183">
        <v>7.76</v>
      </c>
      <c r="C210" s="437" t="s">
        <v>93</v>
      </c>
      <c r="D210" s="437" t="s">
        <v>93</v>
      </c>
      <c r="E210" s="437" t="s">
        <v>93</v>
      </c>
      <c r="F210" s="437">
        <v>1050</v>
      </c>
      <c r="G210" s="1192" t="s">
        <v>93</v>
      </c>
      <c r="H210" s="1192" t="s">
        <v>93</v>
      </c>
      <c r="I210" s="1192" t="s">
        <v>93</v>
      </c>
      <c r="J210" s="1192" t="s">
        <v>93</v>
      </c>
      <c r="K210" s="1192" t="s">
        <v>93</v>
      </c>
      <c r="L210" s="1192" t="s">
        <v>93</v>
      </c>
      <c r="M210" s="1183">
        <v>11.75</v>
      </c>
      <c r="N210" s="437" t="s">
        <v>93</v>
      </c>
      <c r="O210" s="1183" t="s">
        <v>93</v>
      </c>
      <c r="P210" s="437" t="s">
        <v>93</v>
      </c>
      <c r="Q210" s="1183">
        <v>9.75</v>
      </c>
      <c r="R210" s="437">
        <v>710.61</v>
      </c>
    </row>
    <row r="211" spans="1:22" s="1177" customFormat="1" ht="12.75" customHeight="1">
      <c r="A211" s="688" t="s">
        <v>19</v>
      </c>
      <c r="B211" s="1183">
        <v>7.26</v>
      </c>
      <c r="C211" s="437" t="s">
        <v>93</v>
      </c>
      <c r="D211" s="437" t="s">
        <v>93</v>
      </c>
      <c r="E211" s="437" t="s">
        <v>93</v>
      </c>
      <c r="F211" s="437">
        <v>1050</v>
      </c>
      <c r="G211" s="1192" t="s">
        <v>93</v>
      </c>
      <c r="H211" s="1192" t="s">
        <v>93</v>
      </c>
      <c r="I211" s="1192" t="s">
        <v>93</v>
      </c>
      <c r="J211" s="1192" t="s">
        <v>93</v>
      </c>
      <c r="K211" s="1192" t="s">
        <v>93</v>
      </c>
      <c r="L211" s="1192" t="s">
        <v>93</v>
      </c>
      <c r="M211" s="1183">
        <v>11.25</v>
      </c>
      <c r="N211" s="437" t="s">
        <v>93</v>
      </c>
      <c r="O211" s="1183" t="s">
        <v>93</v>
      </c>
      <c r="P211" s="437" t="s">
        <v>93</v>
      </c>
      <c r="Q211" s="1183">
        <v>9.25</v>
      </c>
      <c r="R211" s="437">
        <v>688.67</v>
      </c>
    </row>
    <row r="212" spans="1:22" s="1177" customFormat="1" ht="12.75" customHeight="1">
      <c r="A212" s="688" t="s">
        <v>20</v>
      </c>
      <c r="B212" s="1183">
        <v>8.7799999999999994</v>
      </c>
      <c r="C212" s="437" t="s">
        <v>93</v>
      </c>
      <c r="D212" s="437" t="s">
        <v>93</v>
      </c>
      <c r="E212" s="437" t="s">
        <v>93</v>
      </c>
      <c r="F212" s="437">
        <v>983.33</v>
      </c>
      <c r="G212" s="1192" t="s">
        <v>93</v>
      </c>
      <c r="H212" s="1192" t="s">
        <v>93</v>
      </c>
      <c r="I212" s="1192" t="s">
        <v>93</v>
      </c>
      <c r="J212" s="1192" t="s">
        <v>93</v>
      </c>
      <c r="K212" s="1192" t="s">
        <v>93</v>
      </c>
      <c r="L212" s="1192" t="s">
        <v>93</v>
      </c>
      <c r="M212" s="1183">
        <v>9</v>
      </c>
      <c r="N212" s="437" t="s">
        <v>93</v>
      </c>
      <c r="O212" s="1183" t="s">
        <v>93</v>
      </c>
      <c r="P212" s="437" t="s">
        <v>93</v>
      </c>
      <c r="Q212" s="1183">
        <v>9</v>
      </c>
      <c r="R212" s="437">
        <v>671.34</v>
      </c>
    </row>
    <row r="213" spans="1:22" s="1177" customFormat="1" ht="12.75" customHeight="1">
      <c r="A213" s="688" t="s">
        <v>21</v>
      </c>
      <c r="B213" s="1183">
        <v>8.91</v>
      </c>
      <c r="C213" s="437" t="s">
        <v>93</v>
      </c>
      <c r="D213" s="437" t="s">
        <v>93</v>
      </c>
      <c r="E213" s="437" t="s">
        <v>93</v>
      </c>
      <c r="F213" s="437">
        <v>874.37</v>
      </c>
      <c r="G213" s="1192" t="s">
        <v>93</v>
      </c>
      <c r="H213" s="1192" t="s">
        <v>93</v>
      </c>
      <c r="I213" s="1192" t="s">
        <v>93</v>
      </c>
      <c r="J213" s="1192" t="s">
        <v>93</v>
      </c>
      <c r="K213" s="1192" t="s">
        <v>93</v>
      </c>
      <c r="L213" s="1192" t="s">
        <v>93</v>
      </c>
      <c r="M213" s="1183">
        <v>10.75</v>
      </c>
      <c r="N213" s="437" t="s">
        <v>93</v>
      </c>
      <c r="O213" s="1183" t="s">
        <v>93</v>
      </c>
      <c r="P213" s="437" t="s">
        <v>93</v>
      </c>
      <c r="Q213" s="1183">
        <v>8.75</v>
      </c>
      <c r="R213" s="437">
        <v>587.37</v>
      </c>
    </row>
    <row r="214" spans="1:22" s="1177" customFormat="1" ht="12.75" customHeight="1">
      <c r="A214" s="688" t="s">
        <v>22</v>
      </c>
      <c r="B214" s="1183">
        <v>6.76</v>
      </c>
      <c r="C214" s="437" t="s">
        <v>93</v>
      </c>
      <c r="D214" s="437" t="s">
        <v>93</v>
      </c>
      <c r="E214" s="437" t="s">
        <v>93</v>
      </c>
      <c r="F214" s="437">
        <v>800</v>
      </c>
      <c r="G214" s="1192" t="s">
        <v>93</v>
      </c>
      <c r="H214" s="1192" t="s">
        <v>93</v>
      </c>
      <c r="I214" s="1192" t="s">
        <v>93</v>
      </c>
      <c r="J214" s="1192" t="s">
        <v>93</v>
      </c>
      <c r="K214" s="1192" t="s">
        <v>93</v>
      </c>
      <c r="L214" s="1192" t="s">
        <v>93</v>
      </c>
      <c r="M214" s="1183">
        <v>10.75</v>
      </c>
      <c r="N214" s="437" t="s">
        <v>93</v>
      </c>
      <c r="O214" s="1183" t="s">
        <v>93</v>
      </c>
      <c r="P214" s="437" t="s">
        <v>93</v>
      </c>
      <c r="Q214" s="1183">
        <v>8.75</v>
      </c>
      <c r="R214" s="437">
        <v>568.33000000000004</v>
      </c>
    </row>
    <row r="215" spans="1:22" s="1177" customFormat="1" ht="12.75" customHeight="1">
      <c r="A215" s="688" t="s">
        <v>23</v>
      </c>
      <c r="B215" s="1183">
        <v>6.51</v>
      </c>
      <c r="C215" s="437" t="s">
        <v>93</v>
      </c>
      <c r="D215" s="437" t="s">
        <v>93</v>
      </c>
      <c r="E215" s="437" t="s">
        <v>93</v>
      </c>
      <c r="F215" s="437">
        <v>700</v>
      </c>
      <c r="G215" s="1192" t="s">
        <v>93</v>
      </c>
      <c r="H215" s="1192" t="s">
        <v>93</v>
      </c>
      <c r="I215" s="1192" t="s">
        <v>93</v>
      </c>
      <c r="J215" s="1192" t="s">
        <v>93</v>
      </c>
      <c r="K215" s="1192" t="s">
        <v>93</v>
      </c>
      <c r="L215" s="1192" t="s">
        <v>93</v>
      </c>
      <c r="M215" s="1183">
        <v>10.5</v>
      </c>
      <c r="N215" s="437" t="s">
        <v>93</v>
      </c>
      <c r="O215" s="1183" t="s">
        <v>93</v>
      </c>
      <c r="P215" s="437" t="s">
        <v>93</v>
      </c>
      <c r="Q215" s="1183">
        <v>8.5</v>
      </c>
      <c r="R215" s="437">
        <v>551.04</v>
      </c>
    </row>
    <row r="216" spans="1:22" s="1177" customFormat="1" ht="12.75" customHeight="1">
      <c r="A216" s="688" t="s">
        <v>24</v>
      </c>
      <c r="B216" s="1183">
        <v>6.26</v>
      </c>
      <c r="C216" s="437" t="s">
        <v>93</v>
      </c>
      <c r="D216" s="437" t="s">
        <v>93</v>
      </c>
      <c r="E216" s="437" t="s">
        <v>93</v>
      </c>
      <c r="F216" s="437">
        <v>700</v>
      </c>
      <c r="G216" s="1192" t="s">
        <v>93</v>
      </c>
      <c r="H216" s="1192" t="s">
        <v>93</v>
      </c>
      <c r="I216" s="1192" t="s">
        <v>93</v>
      </c>
      <c r="J216" s="1192" t="s">
        <v>93</v>
      </c>
      <c r="K216" s="1192" t="s">
        <v>93</v>
      </c>
      <c r="L216" s="1192" t="s">
        <v>93</v>
      </c>
      <c r="M216" s="1183">
        <v>10.25</v>
      </c>
      <c r="N216" s="437" t="s">
        <v>93</v>
      </c>
      <c r="O216" s="1183" t="s">
        <v>93</v>
      </c>
      <c r="P216" s="437" t="s">
        <v>93</v>
      </c>
      <c r="Q216" s="1183">
        <v>8.25</v>
      </c>
      <c r="R216" s="437">
        <v>499.36</v>
      </c>
    </row>
    <row r="217" spans="1:22" s="1177" customFormat="1" ht="12.75" customHeight="1">
      <c r="A217" s="688" t="s">
        <v>25</v>
      </c>
      <c r="B217" s="1183">
        <v>6.26</v>
      </c>
      <c r="C217" s="437" t="s">
        <v>93</v>
      </c>
      <c r="D217" s="437" t="s">
        <v>93</v>
      </c>
      <c r="E217" s="437" t="s">
        <v>93</v>
      </c>
      <c r="F217" s="437">
        <v>700</v>
      </c>
      <c r="G217" s="1192" t="s">
        <v>93</v>
      </c>
      <c r="H217" s="1192" t="s">
        <v>93</v>
      </c>
      <c r="I217" s="1192" t="s">
        <v>93</v>
      </c>
      <c r="J217" s="1192" t="s">
        <v>93</v>
      </c>
      <c r="K217" s="1192" t="s">
        <v>93</v>
      </c>
      <c r="L217" s="1192" t="s">
        <v>93</v>
      </c>
      <c r="M217" s="1183">
        <v>10.25</v>
      </c>
      <c r="N217" s="437" t="s">
        <v>93</v>
      </c>
      <c r="O217" s="1183" t="s">
        <v>93</v>
      </c>
      <c r="P217" s="437" t="s">
        <v>93</v>
      </c>
      <c r="Q217" s="1183">
        <v>8.25</v>
      </c>
      <c r="R217" s="437">
        <v>497.08</v>
      </c>
    </row>
    <row r="218" spans="1:22" s="1177" customFormat="1" ht="12.75" customHeight="1">
      <c r="A218" s="688" t="s">
        <v>26</v>
      </c>
      <c r="B218" s="1183">
        <v>6.26</v>
      </c>
      <c r="C218" s="437" t="s">
        <v>93</v>
      </c>
      <c r="D218" s="437" t="s">
        <v>93</v>
      </c>
      <c r="E218" s="437" t="s">
        <v>93</v>
      </c>
      <c r="F218" s="437">
        <v>700</v>
      </c>
      <c r="G218" s="1192" t="s">
        <v>93</v>
      </c>
      <c r="H218" s="1192" t="s">
        <v>93</v>
      </c>
      <c r="I218" s="1192" t="s">
        <v>93</v>
      </c>
      <c r="J218" s="1192" t="s">
        <v>93</v>
      </c>
      <c r="K218" s="1192" t="s">
        <v>93</v>
      </c>
      <c r="L218" s="1192" t="s">
        <v>93</v>
      </c>
      <c r="M218" s="1183">
        <v>9.75</v>
      </c>
      <c r="N218" s="437" t="s">
        <v>93</v>
      </c>
      <c r="O218" s="1183" t="s">
        <v>93</v>
      </c>
      <c r="P218" s="437" t="s">
        <v>93</v>
      </c>
      <c r="Q218" s="1183">
        <v>8</v>
      </c>
      <c r="R218" s="437">
        <v>498.01</v>
      </c>
    </row>
    <row r="219" spans="1:22" s="1177" customFormat="1" ht="12.75" customHeight="1">
      <c r="A219" s="688" t="s">
        <v>27</v>
      </c>
      <c r="B219" s="1183">
        <v>6.01</v>
      </c>
      <c r="C219" s="437" t="s">
        <v>93</v>
      </c>
      <c r="D219" s="437" t="s">
        <v>93</v>
      </c>
      <c r="E219" s="437" t="s">
        <v>93</v>
      </c>
      <c r="F219" s="437">
        <v>700</v>
      </c>
      <c r="G219" s="1192" t="s">
        <v>93</v>
      </c>
      <c r="H219" s="1192" t="s">
        <v>93</v>
      </c>
      <c r="I219" s="1192" t="s">
        <v>93</v>
      </c>
      <c r="J219" s="1192" t="s">
        <v>93</v>
      </c>
      <c r="K219" s="1192" t="s">
        <v>93</v>
      </c>
      <c r="L219" s="1192" t="s">
        <v>93</v>
      </c>
      <c r="M219" s="1183">
        <v>9.5</v>
      </c>
      <c r="N219" s="437" t="s">
        <v>93</v>
      </c>
      <c r="O219" s="1183" t="s">
        <v>93</v>
      </c>
      <c r="P219" s="437" t="s">
        <v>93</v>
      </c>
      <c r="Q219" s="1183">
        <v>7.75</v>
      </c>
      <c r="R219" s="437">
        <v>496.23</v>
      </c>
    </row>
    <row r="220" spans="1:22" s="1177" customFormat="1" ht="12.75" customHeight="1">
      <c r="A220" s="688" t="s">
        <v>28</v>
      </c>
      <c r="B220" s="1183">
        <v>6.01</v>
      </c>
      <c r="C220" s="437" t="s">
        <v>93</v>
      </c>
      <c r="D220" s="437" t="s">
        <v>93</v>
      </c>
      <c r="E220" s="437" t="s">
        <v>93</v>
      </c>
      <c r="F220" s="437">
        <v>700</v>
      </c>
      <c r="G220" s="1192" t="s">
        <v>93</v>
      </c>
      <c r="H220" s="1192" t="s">
        <v>93</v>
      </c>
      <c r="I220" s="1192" t="s">
        <v>93</v>
      </c>
      <c r="J220" s="1192" t="s">
        <v>93</v>
      </c>
      <c r="K220" s="1192" t="s">
        <v>93</v>
      </c>
      <c r="L220" s="1192" t="s">
        <v>93</v>
      </c>
      <c r="M220" s="1183">
        <v>9.5</v>
      </c>
      <c r="N220" s="437" t="s">
        <v>93</v>
      </c>
      <c r="O220" s="1183" t="s">
        <v>93</v>
      </c>
      <c r="P220" s="437" t="s">
        <v>93</v>
      </c>
      <c r="Q220" s="1183">
        <v>7.75</v>
      </c>
      <c r="R220" s="437">
        <f>627124666.69/1000000</f>
        <v>627.12466669000003</v>
      </c>
    </row>
    <row r="221" spans="1:22" s="1177" customFormat="1" ht="12.75" customHeight="1">
      <c r="A221" s="688" t="s">
        <v>29</v>
      </c>
      <c r="B221" s="1183">
        <v>5.76</v>
      </c>
      <c r="C221" s="437" t="s">
        <v>93</v>
      </c>
      <c r="D221" s="437" t="s">
        <v>93</v>
      </c>
      <c r="E221" s="437" t="s">
        <v>93</v>
      </c>
      <c r="F221" s="437">
        <v>700</v>
      </c>
      <c r="G221" s="1192" t="s">
        <v>93</v>
      </c>
      <c r="H221" s="1192" t="s">
        <v>93</v>
      </c>
      <c r="I221" s="1192" t="s">
        <v>93</v>
      </c>
      <c r="J221" s="1192" t="s">
        <v>93</v>
      </c>
      <c r="K221" s="1192" t="s">
        <v>93</v>
      </c>
      <c r="L221" s="1192" t="s">
        <v>93</v>
      </c>
      <c r="M221" s="1183">
        <v>9.25</v>
      </c>
      <c r="N221" s="437" t="s">
        <v>93</v>
      </c>
      <c r="O221" s="1183" t="s">
        <v>93</v>
      </c>
      <c r="P221" s="437" t="s">
        <v>93</v>
      </c>
      <c r="Q221" s="1183">
        <v>7.5</v>
      </c>
      <c r="R221" s="437">
        <v>681.7</v>
      </c>
    </row>
    <row r="222" spans="1:22" s="433" customFormat="1" ht="12.75" customHeight="1">
      <c r="A222" s="688" t="s">
        <v>2362</v>
      </c>
      <c r="B222" s="435">
        <f t="shared" ref="B222:F222" si="13">B234</f>
        <v>5.76</v>
      </c>
      <c r="C222" s="436" t="str">
        <f t="shared" si="13"/>
        <v>-</v>
      </c>
      <c r="D222" s="436" t="str">
        <f t="shared" si="13"/>
        <v>-</v>
      </c>
      <c r="E222" s="436" t="str">
        <f t="shared" si="13"/>
        <v>-</v>
      </c>
      <c r="F222" s="436">
        <f t="shared" si="13"/>
        <v>650</v>
      </c>
      <c r="G222" s="1191" t="s">
        <v>93</v>
      </c>
      <c r="H222" s="1191" t="s">
        <v>93</v>
      </c>
      <c r="I222" s="1191" t="s">
        <v>93</v>
      </c>
      <c r="J222" s="1191" t="s">
        <v>93</v>
      </c>
      <c r="K222" s="1191" t="s">
        <v>93</v>
      </c>
      <c r="L222" s="1191" t="s">
        <v>93</v>
      </c>
      <c r="M222" s="435">
        <v>6.75</v>
      </c>
      <c r="N222" s="436" t="s">
        <v>93</v>
      </c>
      <c r="O222" s="435" t="s">
        <v>93</v>
      </c>
      <c r="P222" s="436" t="s">
        <v>93</v>
      </c>
      <c r="Q222" s="435">
        <f>Q234</f>
        <v>6.25</v>
      </c>
      <c r="R222" s="436">
        <f t="shared" ref="R222" si="14">R234</f>
        <v>1025.502</v>
      </c>
      <c r="S222" s="1177"/>
      <c r="T222" s="1177"/>
      <c r="U222" s="1177"/>
      <c r="V222" s="1177"/>
    </row>
    <row r="223" spans="1:22" s="1177" customFormat="1" ht="12.75" customHeight="1">
      <c r="A223" s="688" t="s">
        <v>18</v>
      </c>
      <c r="B223" s="1183" t="s">
        <v>93</v>
      </c>
      <c r="C223" s="437">
        <v>4.93</v>
      </c>
      <c r="D223" s="437">
        <v>4.4800000000000004</v>
      </c>
      <c r="E223" s="437">
        <v>4.0999999999999996</v>
      </c>
      <c r="F223" s="437">
        <v>220</v>
      </c>
      <c r="G223" s="1192" t="s">
        <v>93</v>
      </c>
      <c r="H223" s="1192" t="s">
        <v>93</v>
      </c>
      <c r="I223" s="1192" t="s">
        <v>93</v>
      </c>
      <c r="J223" s="1192" t="s">
        <v>93</v>
      </c>
      <c r="K223" s="1192" t="s">
        <v>93</v>
      </c>
      <c r="L223" s="1192" t="s">
        <v>93</v>
      </c>
      <c r="M223" s="1183">
        <v>9</v>
      </c>
      <c r="N223" s="437" t="s">
        <v>93</v>
      </c>
      <c r="O223" s="1183" t="s">
        <v>93</v>
      </c>
      <c r="P223" s="437" t="s">
        <v>93</v>
      </c>
      <c r="Q223" s="1183">
        <v>7.25</v>
      </c>
      <c r="R223" s="437">
        <v>696.10299999999995</v>
      </c>
    </row>
    <row r="224" spans="1:22" s="1177" customFormat="1" ht="12.75" customHeight="1">
      <c r="A224" s="688" t="s">
        <v>19</v>
      </c>
      <c r="B224" s="1183" t="s">
        <v>93</v>
      </c>
      <c r="C224" s="437">
        <v>3.69</v>
      </c>
      <c r="D224" s="437">
        <v>3.79</v>
      </c>
      <c r="E224" s="437">
        <v>3.85</v>
      </c>
      <c r="F224" s="437">
        <v>350</v>
      </c>
      <c r="G224" s="1192" t="s">
        <v>93</v>
      </c>
      <c r="H224" s="1192" t="s">
        <v>93</v>
      </c>
      <c r="I224" s="1192" t="s">
        <v>93</v>
      </c>
      <c r="J224" s="1192" t="s">
        <v>93</v>
      </c>
      <c r="K224" s="1192" t="s">
        <v>93</v>
      </c>
      <c r="L224" s="1192" t="s">
        <v>93</v>
      </c>
      <c r="M224" s="1183">
        <v>9</v>
      </c>
      <c r="N224" s="437" t="s">
        <v>93</v>
      </c>
      <c r="O224" s="1183" t="s">
        <v>93</v>
      </c>
      <c r="P224" s="437" t="s">
        <v>93</v>
      </c>
      <c r="Q224" s="1183">
        <v>7.25</v>
      </c>
      <c r="R224" s="437">
        <v>704.67</v>
      </c>
    </row>
    <row r="225" spans="1:22" s="1177" customFormat="1" ht="12.75" customHeight="1">
      <c r="A225" s="688" t="s">
        <v>20</v>
      </c>
      <c r="B225" s="1183" t="s">
        <v>93</v>
      </c>
      <c r="C225" s="437">
        <v>3.43</v>
      </c>
      <c r="D225" s="437">
        <v>3.79</v>
      </c>
      <c r="E225" s="437">
        <v>3.85</v>
      </c>
      <c r="F225" s="437">
        <v>322.60000000000002</v>
      </c>
      <c r="G225" s="1192" t="s">
        <v>93</v>
      </c>
      <c r="H225" s="1192" t="s">
        <v>93</v>
      </c>
      <c r="I225" s="1192" t="s">
        <v>93</v>
      </c>
      <c r="J225" s="1192" t="s">
        <v>93</v>
      </c>
      <c r="K225" s="1192" t="s">
        <v>93</v>
      </c>
      <c r="L225" s="1192" t="s">
        <v>93</v>
      </c>
      <c r="M225" s="1183">
        <v>9</v>
      </c>
      <c r="N225" s="437" t="s">
        <v>93</v>
      </c>
      <c r="O225" s="1183" t="s">
        <v>93</v>
      </c>
      <c r="P225" s="437" t="s">
        <v>93</v>
      </c>
      <c r="Q225" s="1183">
        <v>7.25</v>
      </c>
      <c r="R225" s="437">
        <v>707.3</v>
      </c>
    </row>
    <row r="226" spans="1:22" s="1177" customFormat="1" ht="12.75" customHeight="1">
      <c r="A226" s="688" t="s">
        <v>21</v>
      </c>
      <c r="B226" s="1183">
        <v>6.76</v>
      </c>
      <c r="C226" s="437" t="s">
        <v>93</v>
      </c>
      <c r="D226" s="437" t="s">
        <v>93</v>
      </c>
      <c r="E226" s="437" t="s">
        <v>93</v>
      </c>
      <c r="F226" s="437">
        <v>872.26</v>
      </c>
      <c r="G226" s="1192" t="s">
        <v>93</v>
      </c>
      <c r="H226" s="1192" t="s">
        <v>93</v>
      </c>
      <c r="I226" s="1192" t="s">
        <v>93</v>
      </c>
      <c r="J226" s="1192" t="s">
        <v>93</v>
      </c>
      <c r="K226" s="1192" t="s">
        <v>93</v>
      </c>
      <c r="L226" s="1192" t="s">
        <v>93</v>
      </c>
      <c r="M226" s="1183">
        <v>9</v>
      </c>
      <c r="N226" s="437" t="s">
        <v>93</v>
      </c>
      <c r="O226" s="1183" t="s">
        <v>93</v>
      </c>
      <c r="P226" s="437" t="s">
        <v>93</v>
      </c>
      <c r="Q226" s="1183">
        <v>7.25</v>
      </c>
      <c r="R226" s="437">
        <v>822.12</v>
      </c>
    </row>
    <row r="227" spans="1:22" s="1177" customFormat="1" ht="12.75" customHeight="1">
      <c r="A227" s="688" t="s">
        <v>22</v>
      </c>
      <c r="B227" s="1183">
        <v>6.76</v>
      </c>
      <c r="C227" s="437" t="s">
        <v>93</v>
      </c>
      <c r="D227" s="437" t="s">
        <v>93</v>
      </c>
      <c r="E227" s="437" t="s">
        <v>93</v>
      </c>
      <c r="F227" s="437">
        <v>715.42</v>
      </c>
      <c r="G227" s="1192" t="s">
        <v>93</v>
      </c>
      <c r="H227" s="1192" t="s">
        <v>93</v>
      </c>
      <c r="I227" s="1192" t="s">
        <v>93</v>
      </c>
      <c r="J227" s="1192" t="s">
        <v>93</v>
      </c>
      <c r="K227" s="1192" t="s">
        <v>93</v>
      </c>
      <c r="L227" s="1192" t="s">
        <v>93</v>
      </c>
      <c r="M227" s="1183">
        <v>8</v>
      </c>
      <c r="N227" s="437" t="s">
        <v>93</v>
      </c>
      <c r="O227" s="1183" t="s">
        <v>93</v>
      </c>
      <c r="P227" s="437" t="s">
        <v>93</v>
      </c>
      <c r="Q227" s="1183">
        <v>7.25</v>
      </c>
      <c r="R227" s="437">
        <v>800.76</v>
      </c>
    </row>
    <row r="228" spans="1:22" s="1177" customFormat="1" ht="12.75" customHeight="1">
      <c r="A228" s="688" t="s">
        <v>23</v>
      </c>
      <c r="B228" s="1183">
        <v>6.51</v>
      </c>
      <c r="C228" s="437" t="s">
        <v>93</v>
      </c>
      <c r="D228" s="437" t="s">
        <v>93</v>
      </c>
      <c r="E228" s="437" t="s">
        <v>93</v>
      </c>
      <c r="F228" s="437">
        <v>806.22</v>
      </c>
      <c r="G228" s="1192" t="s">
        <v>93</v>
      </c>
      <c r="H228" s="1192" t="s">
        <v>93</v>
      </c>
      <c r="I228" s="1192" t="s">
        <v>93</v>
      </c>
      <c r="J228" s="1192" t="s">
        <v>93</v>
      </c>
      <c r="K228" s="1192" t="s">
        <v>93</v>
      </c>
      <c r="L228" s="1192" t="s">
        <v>93</v>
      </c>
      <c r="M228" s="1183">
        <v>7.5</v>
      </c>
      <c r="N228" s="437" t="s">
        <v>93</v>
      </c>
      <c r="O228" s="1183" t="s">
        <v>93</v>
      </c>
      <c r="P228" s="437" t="s">
        <v>93</v>
      </c>
      <c r="Q228" s="1183">
        <v>7</v>
      </c>
      <c r="R228" s="437">
        <v>757.44</v>
      </c>
    </row>
    <row r="229" spans="1:22" s="1177" customFormat="1" ht="12.75" customHeight="1">
      <c r="A229" s="688" t="s">
        <v>24</v>
      </c>
      <c r="B229" s="1183">
        <v>6.51</v>
      </c>
      <c r="C229" s="437" t="s">
        <v>93</v>
      </c>
      <c r="D229" s="437" t="s">
        <v>93</v>
      </c>
      <c r="E229" s="437" t="s">
        <v>93</v>
      </c>
      <c r="F229" s="437">
        <v>707.95</v>
      </c>
      <c r="G229" s="1192" t="s">
        <v>93</v>
      </c>
      <c r="H229" s="1192" t="s">
        <v>93</v>
      </c>
      <c r="I229" s="1192" t="s">
        <v>93</v>
      </c>
      <c r="J229" s="1192" t="s">
        <v>93</v>
      </c>
      <c r="K229" s="1192" t="s">
        <v>93</v>
      </c>
      <c r="L229" s="1192" t="s">
        <v>93</v>
      </c>
      <c r="M229" s="1183">
        <v>7.25</v>
      </c>
      <c r="N229" s="437" t="s">
        <v>93</v>
      </c>
      <c r="O229" s="1183" t="s">
        <v>93</v>
      </c>
      <c r="P229" s="437" t="s">
        <v>93</v>
      </c>
      <c r="Q229" s="1183">
        <v>6.75</v>
      </c>
      <c r="R229" s="437">
        <v>757.21</v>
      </c>
    </row>
    <row r="230" spans="1:22" s="1177" customFormat="1" ht="12.75" customHeight="1">
      <c r="A230" s="688" t="s">
        <v>25</v>
      </c>
      <c r="B230" s="1183">
        <v>6.26</v>
      </c>
      <c r="C230" s="437" t="s">
        <v>93</v>
      </c>
      <c r="D230" s="437" t="s">
        <v>93</v>
      </c>
      <c r="E230" s="437" t="s">
        <v>93</v>
      </c>
      <c r="F230" s="437">
        <v>708.97</v>
      </c>
      <c r="G230" s="1192" t="s">
        <v>93</v>
      </c>
      <c r="H230" s="1192" t="s">
        <v>93</v>
      </c>
      <c r="I230" s="1192" t="s">
        <v>93</v>
      </c>
      <c r="J230" s="1192" t="s">
        <v>93</v>
      </c>
      <c r="K230" s="1192" t="s">
        <v>93</v>
      </c>
      <c r="L230" s="1192" t="s">
        <v>93</v>
      </c>
      <c r="M230" s="1183">
        <v>7.25</v>
      </c>
      <c r="N230" s="437" t="s">
        <v>93</v>
      </c>
      <c r="O230" s="1183" t="s">
        <v>93</v>
      </c>
      <c r="P230" s="437" t="s">
        <v>93</v>
      </c>
      <c r="Q230" s="1183">
        <v>6.75</v>
      </c>
      <c r="R230" s="437">
        <v>756.98</v>
      </c>
    </row>
    <row r="231" spans="1:22" s="1177" customFormat="1" ht="12.75" customHeight="1">
      <c r="A231" s="688" t="s">
        <v>26</v>
      </c>
      <c r="B231" s="1183">
        <v>6.01</v>
      </c>
      <c r="C231" s="437" t="s">
        <v>93</v>
      </c>
      <c r="D231" s="437" t="s">
        <v>93</v>
      </c>
      <c r="E231" s="437" t="s">
        <v>93</v>
      </c>
      <c r="F231" s="437">
        <v>708.97</v>
      </c>
      <c r="G231" s="1192" t="s">
        <v>93</v>
      </c>
      <c r="H231" s="1192" t="s">
        <v>93</v>
      </c>
      <c r="I231" s="1192" t="s">
        <v>93</v>
      </c>
      <c r="J231" s="1192" t="s">
        <v>93</v>
      </c>
      <c r="K231" s="1192" t="s">
        <v>93</v>
      </c>
      <c r="L231" s="1192" t="s">
        <v>93</v>
      </c>
      <c r="M231" s="1183">
        <v>7</v>
      </c>
      <c r="N231" s="437" t="s">
        <v>93</v>
      </c>
      <c r="O231" s="1183" t="s">
        <v>93</v>
      </c>
      <c r="P231" s="437" t="s">
        <v>93</v>
      </c>
      <c r="Q231" s="1183">
        <v>6.5</v>
      </c>
      <c r="R231" s="437">
        <v>965.8</v>
      </c>
    </row>
    <row r="232" spans="1:22" s="1177" customFormat="1" ht="12.75" customHeight="1">
      <c r="A232" s="688" t="s">
        <v>27</v>
      </c>
      <c r="B232" s="1183">
        <v>6.01</v>
      </c>
      <c r="C232" s="437" t="s">
        <v>93</v>
      </c>
      <c r="D232" s="437" t="s">
        <v>93</v>
      </c>
      <c r="E232" s="437" t="s">
        <v>93</v>
      </c>
      <c r="F232" s="437">
        <v>650</v>
      </c>
      <c r="G232" s="1192" t="s">
        <v>93</v>
      </c>
      <c r="H232" s="1192" t="s">
        <v>93</v>
      </c>
      <c r="I232" s="1192" t="s">
        <v>93</v>
      </c>
      <c r="J232" s="1192" t="s">
        <v>93</v>
      </c>
      <c r="K232" s="1192" t="s">
        <v>93</v>
      </c>
      <c r="L232" s="1192" t="s">
        <v>93</v>
      </c>
      <c r="M232" s="1183">
        <v>7</v>
      </c>
      <c r="N232" s="437" t="s">
        <v>93</v>
      </c>
      <c r="O232" s="1183" t="s">
        <v>93</v>
      </c>
      <c r="P232" s="437" t="s">
        <v>93</v>
      </c>
      <c r="Q232" s="1183">
        <v>6.5</v>
      </c>
      <c r="R232" s="437">
        <v>1026.8</v>
      </c>
    </row>
    <row r="233" spans="1:22" s="1177" customFormat="1" ht="12.75" customHeight="1">
      <c r="A233" s="688" t="s">
        <v>28</v>
      </c>
      <c r="B233" s="1183">
        <v>6.01</v>
      </c>
      <c r="C233" s="437" t="s">
        <v>93</v>
      </c>
      <c r="D233" s="437" t="s">
        <v>93</v>
      </c>
      <c r="E233" s="437" t="s">
        <v>93</v>
      </c>
      <c r="F233" s="437">
        <v>650</v>
      </c>
      <c r="G233" s="1192" t="s">
        <v>93</v>
      </c>
      <c r="H233" s="1192" t="s">
        <v>93</v>
      </c>
      <c r="I233" s="1192" t="s">
        <v>93</v>
      </c>
      <c r="J233" s="1192" t="s">
        <v>93</v>
      </c>
      <c r="K233" s="1192" t="s">
        <v>93</v>
      </c>
      <c r="L233" s="1192" t="s">
        <v>93</v>
      </c>
      <c r="M233" s="1183">
        <v>7</v>
      </c>
      <c r="N233" s="437" t="s">
        <v>93</v>
      </c>
      <c r="O233" s="1183" t="s">
        <v>93</v>
      </c>
      <c r="P233" s="437" t="s">
        <v>93</v>
      </c>
      <c r="Q233" s="1183">
        <v>6.5</v>
      </c>
      <c r="R233" s="437">
        <v>1026.7</v>
      </c>
    </row>
    <row r="234" spans="1:22" s="1177" customFormat="1" ht="12.75" customHeight="1">
      <c r="A234" s="688" t="s">
        <v>29</v>
      </c>
      <c r="B234" s="1183">
        <v>5.76</v>
      </c>
      <c r="C234" s="437" t="s">
        <v>93</v>
      </c>
      <c r="D234" s="437" t="s">
        <v>93</v>
      </c>
      <c r="E234" s="437" t="s">
        <v>93</v>
      </c>
      <c r="F234" s="437">
        <v>650</v>
      </c>
      <c r="G234" s="1192" t="s">
        <v>93</v>
      </c>
      <c r="H234" s="1192" t="s">
        <v>93</v>
      </c>
      <c r="I234" s="1192" t="s">
        <v>93</v>
      </c>
      <c r="J234" s="1192" t="s">
        <v>93</v>
      </c>
      <c r="K234" s="1192" t="s">
        <v>93</v>
      </c>
      <c r="L234" s="1192" t="s">
        <v>93</v>
      </c>
      <c r="M234" s="1183">
        <v>6.75</v>
      </c>
      <c r="N234" s="437" t="s">
        <v>93</v>
      </c>
      <c r="O234" s="1183" t="s">
        <v>93</v>
      </c>
      <c r="P234" s="437" t="s">
        <v>93</v>
      </c>
      <c r="Q234" s="1183">
        <v>6.25</v>
      </c>
      <c r="R234" s="437">
        <v>1025.502</v>
      </c>
    </row>
    <row r="235" spans="1:22" s="433" customFormat="1" ht="12.75" customHeight="1">
      <c r="A235" s="688" t="s">
        <v>2523</v>
      </c>
      <c r="B235" s="685">
        <v>6.01</v>
      </c>
      <c r="C235" s="686" t="s">
        <v>93</v>
      </c>
      <c r="D235" s="686" t="s">
        <v>93</v>
      </c>
      <c r="E235" s="686" t="s">
        <v>93</v>
      </c>
      <c r="F235" s="686">
        <v>200</v>
      </c>
      <c r="G235" s="1193" t="s">
        <v>93</v>
      </c>
      <c r="H235" s="1193" t="s">
        <v>93</v>
      </c>
      <c r="I235" s="1193" t="s">
        <v>93</v>
      </c>
      <c r="J235" s="1193" t="s">
        <v>93</v>
      </c>
      <c r="K235" s="1193" t="s">
        <v>93</v>
      </c>
      <c r="L235" s="1193" t="s">
        <v>93</v>
      </c>
      <c r="M235" s="685">
        <v>8.25</v>
      </c>
      <c r="N235" s="686" t="s">
        <v>93</v>
      </c>
      <c r="O235" s="685" t="s">
        <v>93</v>
      </c>
      <c r="P235" s="686" t="s">
        <v>93</v>
      </c>
      <c r="Q235" s="685">
        <v>7.25</v>
      </c>
      <c r="R235" s="686">
        <v>977.04771625000001</v>
      </c>
      <c r="S235" s="1177"/>
      <c r="T235" s="1177"/>
      <c r="U235" s="1177"/>
      <c r="V235" s="1177"/>
    </row>
    <row r="236" spans="1:22" s="1177" customFormat="1" ht="12.75" customHeight="1">
      <c r="A236" s="688" t="s">
        <v>18</v>
      </c>
      <c r="B236" s="1183">
        <v>5.76</v>
      </c>
      <c r="C236" s="437">
        <v>5.68</v>
      </c>
      <c r="D236" s="437">
        <v>5.75</v>
      </c>
      <c r="E236" s="437">
        <v>6.21</v>
      </c>
      <c r="F236" s="437">
        <v>1020</v>
      </c>
      <c r="G236" s="1192" t="s">
        <v>93</v>
      </c>
      <c r="H236" s="1192" t="s">
        <v>93</v>
      </c>
      <c r="I236" s="1192" t="s">
        <v>93</v>
      </c>
      <c r="J236" s="1192" t="s">
        <v>93</v>
      </c>
      <c r="K236" s="1192" t="s">
        <v>93</v>
      </c>
      <c r="L236" s="1192" t="s">
        <v>93</v>
      </c>
      <c r="M236" s="1183">
        <v>6.75</v>
      </c>
      <c r="N236" s="437" t="s">
        <v>93</v>
      </c>
      <c r="O236" s="1183" t="s">
        <v>93</v>
      </c>
      <c r="P236" s="437" t="s">
        <v>93</v>
      </c>
      <c r="Q236" s="1183">
        <v>6.25</v>
      </c>
      <c r="R236" s="437">
        <v>1075.0999999999999</v>
      </c>
    </row>
    <row r="237" spans="1:22" s="1177" customFormat="1" ht="12.75" customHeight="1">
      <c r="A237" s="688" t="s">
        <v>19</v>
      </c>
      <c r="B237" s="1183">
        <v>5.76</v>
      </c>
      <c r="C237" s="437" t="s">
        <v>93</v>
      </c>
      <c r="D237" s="437" t="s">
        <v>93</v>
      </c>
      <c r="E237" s="437" t="s">
        <v>93</v>
      </c>
      <c r="F237" s="437">
        <v>1020</v>
      </c>
      <c r="G237" s="1192" t="s">
        <v>93</v>
      </c>
      <c r="H237" s="1192" t="s">
        <v>93</v>
      </c>
      <c r="I237" s="1192" t="s">
        <v>93</v>
      </c>
      <c r="J237" s="1192" t="s">
        <v>93</v>
      </c>
      <c r="K237" s="1192" t="s">
        <v>93</v>
      </c>
      <c r="L237" s="1192" t="s">
        <v>93</v>
      </c>
      <c r="M237" s="1183">
        <v>6.75</v>
      </c>
      <c r="N237" s="437" t="s">
        <v>93</v>
      </c>
      <c r="O237" s="1183" t="s">
        <v>93</v>
      </c>
      <c r="P237" s="437" t="s">
        <v>93</v>
      </c>
      <c r="Q237" s="1183">
        <v>6.25</v>
      </c>
      <c r="R237" s="437">
        <v>1074.55</v>
      </c>
    </row>
    <row r="238" spans="1:22" s="1177" customFormat="1" ht="12.75" customHeight="1">
      <c r="A238" s="688" t="s">
        <v>20</v>
      </c>
      <c r="B238" s="1183">
        <v>5.76</v>
      </c>
      <c r="C238" s="437" t="s">
        <v>93</v>
      </c>
      <c r="D238" s="437" t="s">
        <v>93</v>
      </c>
      <c r="E238" s="437" t="s">
        <v>93</v>
      </c>
      <c r="F238" s="437">
        <v>820</v>
      </c>
      <c r="G238" s="1192" t="s">
        <v>93</v>
      </c>
      <c r="H238" s="1192" t="s">
        <v>93</v>
      </c>
      <c r="I238" s="1192" t="s">
        <v>93</v>
      </c>
      <c r="J238" s="1192" t="s">
        <v>93</v>
      </c>
      <c r="K238" s="1192" t="s">
        <v>93</v>
      </c>
      <c r="L238" s="1192" t="s">
        <v>93</v>
      </c>
      <c r="M238" s="1183">
        <v>6.75</v>
      </c>
      <c r="N238" s="437" t="s">
        <v>93</v>
      </c>
      <c r="O238" s="1183" t="s">
        <v>93</v>
      </c>
      <c r="P238" s="437" t="s">
        <v>93</v>
      </c>
      <c r="Q238" s="1183">
        <v>6.25</v>
      </c>
      <c r="R238" s="437">
        <v>1072.3699999999999</v>
      </c>
    </row>
    <row r="239" spans="1:22" s="1177" customFormat="1" ht="12.75" customHeight="1">
      <c r="A239" s="688" t="s">
        <v>21</v>
      </c>
      <c r="B239" s="1183">
        <v>5.76</v>
      </c>
      <c r="C239" s="437" t="s">
        <v>93</v>
      </c>
      <c r="D239" s="437" t="s">
        <v>93</v>
      </c>
      <c r="E239" s="437" t="s">
        <v>93</v>
      </c>
      <c r="F239" s="437">
        <v>670</v>
      </c>
      <c r="G239" s="1192" t="s">
        <v>93</v>
      </c>
      <c r="H239" s="1192" t="s">
        <v>93</v>
      </c>
      <c r="I239" s="1192" t="s">
        <v>93</v>
      </c>
      <c r="J239" s="1192" t="s">
        <v>93</v>
      </c>
      <c r="K239" s="1192" t="s">
        <v>93</v>
      </c>
      <c r="L239" s="1192" t="s">
        <v>93</v>
      </c>
      <c r="M239" s="1183">
        <v>6.75</v>
      </c>
      <c r="N239" s="437" t="s">
        <v>93</v>
      </c>
      <c r="O239" s="1183" t="s">
        <v>93</v>
      </c>
      <c r="P239" s="437" t="s">
        <v>93</v>
      </c>
      <c r="Q239" s="1183">
        <v>6.25</v>
      </c>
      <c r="R239" s="437">
        <v>1068.3399999999999</v>
      </c>
    </row>
    <row r="240" spans="1:22" s="1177" customFormat="1" ht="12.75" customHeight="1">
      <c r="A240" s="688" t="s">
        <v>22</v>
      </c>
      <c r="B240" s="1183">
        <v>5.76</v>
      </c>
      <c r="C240" s="437" t="s">
        <v>93</v>
      </c>
      <c r="D240" s="437" t="s">
        <v>93</v>
      </c>
      <c r="E240" s="437" t="s">
        <v>93</v>
      </c>
      <c r="F240" s="437">
        <v>520</v>
      </c>
      <c r="G240" s="1192" t="s">
        <v>93</v>
      </c>
      <c r="H240" s="1192" t="s">
        <v>93</v>
      </c>
      <c r="I240" s="1192" t="s">
        <v>93</v>
      </c>
      <c r="J240" s="1192" t="s">
        <v>93</v>
      </c>
      <c r="K240" s="1192" t="s">
        <v>93</v>
      </c>
      <c r="L240" s="1192" t="s">
        <v>93</v>
      </c>
      <c r="M240" s="1183">
        <v>6.75</v>
      </c>
      <c r="N240" s="437" t="s">
        <v>93</v>
      </c>
      <c r="O240" s="1183" t="s">
        <v>93</v>
      </c>
      <c r="P240" s="437" t="s">
        <v>93</v>
      </c>
      <c r="Q240" s="1183">
        <v>6.25</v>
      </c>
      <c r="R240" s="437">
        <v>1068.3399999999999</v>
      </c>
    </row>
    <row r="241" spans="1:18" s="1177" customFormat="1" ht="12.75" customHeight="1">
      <c r="A241" s="688" t="s">
        <v>23</v>
      </c>
      <c r="B241" s="1183">
        <v>5.76</v>
      </c>
      <c r="C241" s="437" t="s">
        <v>93</v>
      </c>
      <c r="D241" s="437" t="s">
        <v>93</v>
      </c>
      <c r="E241" s="437" t="s">
        <v>93</v>
      </c>
      <c r="F241" s="437">
        <v>520</v>
      </c>
      <c r="G241" s="1192" t="s">
        <v>93</v>
      </c>
      <c r="H241" s="1192" t="s">
        <v>93</v>
      </c>
      <c r="I241" s="1192" t="s">
        <v>93</v>
      </c>
      <c r="J241" s="1192" t="s">
        <v>93</v>
      </c>
      <c r="K241" s="1192" t="s">
        <v>93</v>
      </c>
      <c r="L241" s="1192" t="s">
        <v>93</v>
      </c>
      <c r="M241" s="1183">
        <v>6.75</v>
      </c>
      <c r="N241" s="437" t="s">
        <v>93</v>
      </c>
      <c r="O241" s="1183" t="s">
        <v>93</v>
      </c>
      <c r="P241" s="437" t="s">
        <v>93</v>
      </c>
      <c r="Q241" s="1183">
        <v>6.25</v>
      </c>
      <c r="R241" s="437">
        <v>1078.1403639099999</v>
      </c>
    </row>
    <row r="242" spans="1:18" s="1177" customFormat="1" ht="12.75" customHeight="1">
      <c r="A242" s="688" t="s">
        <v>24</v>
      </c>
      <c r="B242" s="1183">
        <v>5.76</v>
      </c>
      <c r="C242" s="437" t="s">
        <v>93</v>
      </c>
      <c r="D242" s="437" t="s">
        <v>93</v>
      </c>
      <c r="E242" s="437" t="s">
        <v>93</v>
      </c>
      <c r="F242" s="437">
        <v>300</v>
      </c>
      <c r="G242" s="1192" t="s">
        <v>93</v>
      </c>
      <c r="H242" s="1192" t="s">
        <v>93</v>
      </c>
      <c r="I242" s="1192" t="s">
        <v>93</v>
      </c>
      <c r="J242" s="1192" t="s">
        <v>93</v>
      </c>
      <c r="K242" s="1192" t="s">
        <v>93</v>
      </c>
      <c r="L242" s="1192" t="s">
        <v>93</v>
      </c>
      <c r="M242" s="1183">
        <v>6.75</v>
      </c>
      <c r="N242" s="437" t="s">
        <v>93</v>
      </c>
      <c r="O242" s="1183" t="s">
        <v>93</v>
      </c>
      <c r="P242" s="437" t="s">
        <v>93</v>
      </c>
      <c r="Q242" s="1183">
        <v>6.25</v>
      </c>
      <c r="R242" s="437">
        <v>1064.21362791</v>
      </c>
    </row>
    <row r="243" spans="1:18" s="1177" customFormat="1" ht="12.75" customHeight="1">
      <c r="A243" s="688" t="s">
        <v>25</v>
      </c>
      <c r="B243" s="1183">
        <v>5.76</v>
      </c>
      <c r="C243" s="437" t="s">
        <v>93</v>
      </c>
      <c r="D243" s="437" t="s">
        <v>93</v>
      </c>
      <c r="E243" s="437" t="s">
        <v>93</v>
      </c>
      <c r="F243" s="437">
        <v>300</v>
      </c>
      <c r="G243" s="1192" t="s">
        <v>93</v>
      </c>
      <c r="H243" s="1192" t="s">
        <v>93</v>
      </c>
      <c r="I243" s="1192" t="s">
        <v>93</v>
      </c>
      <c r="J243" s="1192" t="s">
        <v>93</v>
      </c>
      <c r="K243" s="1192" t="s">
        <v>93</v>
      </c>
      <c r="L243" s="1192" t="s">
        <v>93</v>
      </c>
      <c r="M243" s="1183">
        <v>6.75</v>
      </c>
      <c r="N243" s="437" t="s">
        <v>93</v>
      </c>
      <c r="O243" s="1183" t="s">
        <v>93</v>
      </c>
      <c r="P243" s="437" t="s">
        <v>93</v>
      </c>
      <c r="Q243" s="1183">
        <v>6.25</v>
      </c>
      <c r="R243" s="437">
        <v>1064.1136279100001</v>
      </c>
    </row>
    <row r="244" spans="1:18" s="1177" customFormat="1" ht="12.75" customHeight="1">
      <c r="A244" s="688" t="s">
        <v>26</v>
      </c>
      <c r="B244" s="1183">
        <v>6.01</v>
      </c>
      <c r="C244" s="437" t="s">
        <v>93</v>
      </c>
      <c r="D244" s="437" t="s">
        <v>93</v>
      </c>
      <c r="E244" s="437" t="s">
        <v>93</v>
      </c>
      <c r="F244" s="437">
        <v>300</v>
      </c>
      <c r="G244" s="1192" t="s">
        <v>93</v>
      </c>
      <c r="H244" s="1192" t="s">
        <v>93</v>
      </c>
      <c r="I244" s="1192" t="s">
        <v>93</v>
      </c>
      <c r="J244" s="1192" t="s">
        <v>93</v>
      </c>
      <c r="K244" s="1192" t="s">
        <v>93</v>
      </c>
      <c r="L244" s="1192" t="s">
        <v>93</v>
      </c>
      <c r="M244" s="1183">
        <v>7</v>
      </c>
      <c r="N244" s="437" t="s">
        <v>93</v>
      </c>
      <c r="O244" s="1183" t="s">
        <v>93</v>
      </c>
      <c r="P244" s="437" t="s">
        <v>93</v>
      </c>
      <c r="Q244" s="1183">
        <v>6.5</v>
      </c>
      <c r="R244" s="437">
        <v>1054.01362791</v>
      </c>
    </row>
    <row r="245" spans="1:18" s="1177" customFormat="1" ht="12.75" customHeight="1">
      <c r="A245" s="688">
        <v>10</v>
      </c>
      <c r="B245" s="1183">
        <v>6.01</v>
      </c>
      <c r="C245" s="437" t="s">
        <v>93</v>
      </c>
      <c r="D245" s="437" t="s">
        <v>93</v>
      </c>
      <c r="E245" s="437" t="s">
        <v>93</v>
      </c>
      <c r="F245" s="437">
        <v>200</v>
      </c>
      <c r="G245" s="1192" t="s">
        <v>93</v>
      </c>
      <c r="H245" s="1192" t="s">
        <v>93</v>
      </c>
      <c r="I245" s="1192" t="s">
        <v>93</v>
      </c>
      <c r="J245" s="1192" t="s">
        <v>93</v>
      </c>
      <c r="K245" s="1192" t="s">
        <v>93</v>
      </c>
      <c r="L245" s="1192" t="s">
        <v>93</v>
      </c>
      <c r="M245" s="1183">
        <v>8</v>
      </c>
      <c r="N245" s="437" t="s">
        <v>93</v>
      </c>
      <c r="O245" s="1183" t="s">
        <v>93</v>
      </c>
      <c r="P245" s="437" t="s">
        <v>93</v>
      </c>
      <c r="Q245" s="1183">
        <v>7</v>
      </c>
      <c r="R245" s="437">
        <v>1038.4616779099999</v>
      </c>
    </row>
    <row r="246" spans="1:18" s="1177" customFormat="1" ht="12.75" customHeight="1">
      <c r="A246" s="688">
        <v>11</v>
      </c>
      <c r="B246" s="1183">
        <v>6.01</v>
      </c>
      <c r="C246" s="437" t="s">
        <v>93</v>
      </c>
      <c r="D246" s="437" t="s">
        <v>93</v>
      </c>
      <c r="E246" s="437" t="s">
        <v>93</v>
      </c>
      <c r="F246" s="437">
        <v>200</v>
      </c>
      <c r="G246" s="1192" t="s">
        <v>93</v>
      </c>
      <c r="H246" s="1192" t="s">
        <v>93</v>
      </c>
      <c r="I246" s="1192" t="s">
        <v>93</v>
      </c>
      <c r="J246" s="1192" t="s">
        <v>93</v>
      </c>
      <c r="K246" s="1192" t="s">
        <v>93</v>
      </c>
      <c r="L246" s="1192" t="s">
        <v>93</v>
      </c>
      <c r="M246" s="1183">
        <v>8</v>
      </c>
      <c r="N246" s="437" t="s">
        <v>93</v>
      </c>
      <c r="O246" s="1183" t="s">
        <v>93</v>
      </c>
      <c r="P246" s="437" t="s">
        <v>93</v>
      </c>
      <c r="Q246" s="1183">
        <v>7</v>
      </c>
      <c r="R246" s="437">
        <v>986.91888674999996</v>
      </c>
    </row>
    <row r="247" spans="1:18" s="1177" customFormat="1" ht="12.75" customHeight="1">
      <c r="A247" s="688">
        <v>12</v>
      </c>
      <c r="B247" s="1183">
        <v>6.01</v>
      </c>
      <c r="C247" s="437" t="s">
        <v>93</v>
      </c>
      <c r="D247" s="437" t="s">
        <v>93</v>
      </c>
      <c r="E247" s="437" t="s">
        <v>93</v>
      </c>
      <c r="F247" s="437">
        <v>200</v>
      </c>
      <c r="G247" s="1192" t="s">
        <v>93</v>
      </c>
      <c r="H247" s="1192" t="s">
        <v>93</v>
      </c>
      <c r="I247" s="1192" t="s">
        <v>93</v>
      </c>
      <c r="J247" s="1192" t="s">
        <v>93</v>
      </c>
      <c r="K247" s="1192" t="s">
        <v>93</v>
      </c>
      <c r="L247" s="1192" t="s">
        <v>93</v>
      </c>
      <c r="M247" s="1183">
        <v>8.25</v>
      </c>
      <c r="N247" s="437" t="s">
        <v>93</v>
      </c>
      <c r="O247" s="1183" t="s">
        <v>93</v>
      </c>
      <c r="P247" s="437" t="s">
        <v>93</v>
      </c>
      <c r="Q247" s="1183">
        <v>7.25</v>
      </c>
      <c r="R247" s="437">
        <v>977.04771625000001</v>
      </c>
    </row>
    <row r="248" spans="1:18" s="1177" customFormat="1">
      <c r="A248" s="688">
        <v>2022</v>
      </c>
      <c r="B248" s="685">
        <v>6.17</v>
      </c>
      <c r="C248" s="686">
        <v>6.24</v>
      </c>
      <c r="D248" s="686">
        <v>8</v>
      </c>
      <c r="E248" s="686">
        <v>8.44</v>
      </c>
      <c r="F248" s="686">
        <v>1338.56</v>
      </c>
      <c r="G248" s="1193" t="s">
        <v>93</v>
      </c>
      <c r="H248" s="1193" t="s">
        <v>93</v>
      </c>
      <c r="I248" s="1193" t="s">
        <v>93</v>
      </c>
      <c r="J248" s="1193" t="s">
        <v>93</v>
      </c>
      <c r="K248" s="1193" t="s">
        <v>93</v>
      </c>
      <c r="L248" s="1193" t="s">
        <v>93</v>
      </c>
      <c r="M248" s="685">
        <v>9.25</v>
      </c>
      <c r="N248" s="686" t="s">
        <v>93</v>
      </c>
      <c r="O248" s="685">
        <v>6.25</v>
      </c>
      <c r="P248" s="686">
        <v>476.5</v>
      </c>
      <c r="Q248" s="685">
        <v>8.25</v>
      </c>
      <c r="R248" s="686">
        <v>835.42</v>
      </c>
    </row>
    <row r="249" spans="1:18" s="1177" customFormat="1">
      <c r="A249" s="688" t="s">
        <v>18</v>
      </c>
      <c r="B249" s="1183">
        <v>6.01</v>
      </c>
      <c r="C249" s="437" t="s">
        <v>93</v>
      </c>
      <c r="D249" s="437" t="s">
        <v>93</v>
      </c>
      <c r="E249" s="437" t="s">
        <v>93</v>
      </c>
      <c r="F249" s="437">
        <v>430</v>
      </c>
      <c r="G249" s="1192" t="s">
        <v>93</v>
      </c>
      <c r="H249" s="1192" t="s">
        <v>93</v>
      </c>
      <c r="I249" s="1192" t="s">
        <v>93</v>
      </c>
      <c r="J249" s="1192" t="s">
        <v>93</v>
      </c>
      <c r="K249" s="1192" t="s">
        <v>93</v>
      </c>
      <c r="L249" s="1192" t="s">
        <v>93</v>
      </c>
      <c r="M249" s="1183">
        <v>9</v>
      </c>
      <c r="N249" s="437" t="s">
        <v>93</v>
      </c>
      <c r="O249" s="1183" t="s">
        <v>93</v>
      </c>
      <c r="P249" s="437" t="s">
        <v>93</v>
      </c>
      <c r="Q249" s="1183">
        <v>7.5</v>
      </c>
      <c r="R249" s="437">
        <v>965.14257126999996</v>
      </c>
    </row>
    <row r="250" spans="1:18" s="1177" customFormat="1">
      <c r="A250" s="688" t="s">
        <v>19</v>
      </c>
      <c r="B250" s="1183">
        <v>6.01</v>
      </c>
      <c r="C250" s="437">
        <v>3.4</v>
      </c>
      <c r="D250" s="437">
        <v>4</v>
      </c>
      <c r="E250" s="437" t="s">
        <v>93</v>
      </c>
      <c r="F250" s="437">
        <v>850</v>
      </c>
      <c r="G250" s="1192" t="s">
        <v>93</v>
      </c>
      <c r="H250" s="1192" t="s">
        <v>93</v>
      </c>
      <c r="I250" s="1192" t="s">
        <v>93</v>
      </c>
      <c r="J250" s="1192" t="s">
        <v>93</v>
      </c>
      <c r="K250" s="1192" t="s">
        <v>93</v>
      </c>
      <c r="L250" s="1192" t="s">
        <v>93</v>
      </c>
      <c r="M250" s="1183">
        <v>9</v>
      </c>
      <c r="N250" s="437" t="s">
        <v>93</v>
      </c>
      <c r="O250" s="1183" t="s">
        <v>93</v>
      </c>
      <c r="P250" s="437" t="s">
        <v>93</v>
      </c>
      <c r="Q250" s="1183">
        <v>7.5</v>
      </c>
      <c r="R250" s="437">
        <v>963.03270798000028</v>
      </c>
    </row>
    <row r="251" spans="1:18" s="1177" customFormat="1">
      <c r="A251" s="688" t="s">
        <v>20</v>
      </c>
      <c r="B251" s="1183">
        <v>6.26</v>
      </c>
      <c r="C251" s="437">
        <v>3.4</v>
      </c>
      <c r="D251" s="437">
        <v>4</v>
      </c>
      <c r="E251" s="437" t="s">
        <v>93</v>
      </c>
      <c r="F251" s="437">
        <v>810</v>
      </c>
      <c r="G251" s="1192" t="s">
        <v>93</v>
      </c>
      <c r="H251" s="1192" t="s">
        <v>93</v>
      </c>
      <c r="I251" s="1192" t="s">
        <v>93</v>
      </c>
      <c r="J251" s="1192" t="s">
        <v>93</v>
      </c>
      <c r="K251" s="1192" t="s">
        <v>93</v>
      </c>
      <c r="L251" s="1192" t="s">
        <v>93</v>
      </c>
      <c r="M251" s="1183">
        <v>9.25</v>
      </c>
      <c r="N251" s="437" t="s">
        <v>93</v>
      </c>
      <c r="O251" s="1183" t="s">
        <v>93</v>
      </c>
      <c r="P251" s="437" t="s">
        <v>93</v>
      </c>
      <c r="Q251" s="1183">
        <v>7.75</v>
      </c>
      <c r="R251" s="437">
        <v>963.0287149200002</v>
      </c>
    </row>
    <row r="252" spans="1:18" s="1177" customFormat="1">
      <c r="A252" s="688" t="s">
        <v>21</v>
      </c>
      <c r="B252" s="1183">
        <v>6.26</v>
      </c>
      <c r="C252" s="437">
        <v>2.95</v>
      </c>
      <c r="D252" s="437">
        <v>2.98</v>
      </c>
      <c r="E252" s="437">
        <v>3</v>
      </c>
      <c r="F252" s="437">
        <v>710</v>
      </c>
      <c r="G252" s="1192" t="s">
        <v>93</v>
      </c>
      <c r="H252" s="1192" t="s">
        <v>93</v>
      </c>
      <c r="I252" s="1192" t="s">
        <v>93</v>
      </c>
      <c r="J252" s="1192" t="s">
        <v>93</v>
      </c>
      <c r="K252" s="1192" t="s">
        <v>93</v>
      </c>
      <c r="L252" s="1192" t="s">
        <v>93</v>
      </c>
      <c r="M252" s="1183">
        <v>9.25</v>
      </c>
      <c r="N252" s="437" t="s">
        <v>93</v>
      </c>
      <c r="O252" s="1183" t="s">
        <v>93</v>
      </c>
      <c r="P252" s="437" t="s">
        <v>93</v>
      </c>
      <c r="Q252" s="1183">
        <v>7.75</v>
      </c>
      <c r="R252" s="437">
        <v>971.45</v>
      </c>
    </row>
    <row r="253" spans="1:18" s="1177" customFormat="1">
      <c r="A253" s="688" t="s">
        <v>22</v>
      </c>
      <c r="B253" s="1183">
        <v>6.26</v>
      </c>
      <c r="C253" s="437">
        <v>2.92</v>
      </c>
      <c r="D253" s="437">
        <v>2.98</v>
      </c>
      <c r="E253" s="437">
        <v>3.03</v>
      </c>
      <c r="F253" s="437">
        <v>780</v>
      </c>
      <c r="G253" s="1192" t="s">
        <v>93</v>
      </c>
      <c r="H253" s="1192" t="s">
        <v>93</v>
      </c>
      <c r="I253" s="1192" t="s">
        <v>93</v>
      </c>
      <c r="J253" s="1192" t="s">
        <v>93</v>
      </c>
      <c r="K253" s="1192" t="s">
        <v>93</v>
      </c>
      <c r="L253" s="1192" t="s">
        <v>93</v>
      </c>
      <c r="M253" s="1183">
        <v>9.25</v>
      </c>
      <c r="N253" s="437" t="s">
        <v>93</v>
      </c>
      <c r="O253" s="1183" t="s">
        <v>93</v>
      </c>
      <c r="P253" s="437" t="s">
        <v>93</v>
      </c>
      <c r="Q253" s="1183">
        <v>7.75</v>
      </c>
      <c r="R253" s="437">
        <v>936.35</v>
      </c>
    </row>
    <row r="254" spans="1:18" s="1177" customFormat="1">
      <c r="A254" s="688" t="s">
        <v>23</v>
      </c>
      <c r="B254" s="1183" t="s">
        <v>93</v>
      </c>
      <c r="C254" s="437" t="s">
        <v>93</v>
      </c>
      <c r="D254" s="437">
        <v>3.5</v>
      </c>
      <c r="E254" s="437">
        <v>3.78</v>
      </c>
      <c r="F254" s="437">
        <v>750</v>
      </c>
      <c r="G254" s="1192" t="s">
        <v>93</v>
      </c>
      <c r="H254" s="1192" t="s">
        <v>93</v>
      </c>
      <c r="I254" s="1192" t="s">
        <v>93</v>
      </c>
      <c r="J254" s="1192" t="s">
        <v>93</v>
      </c>
      <c r="K254" s="1192" t="s">
        <v>93</v>
      </c>
      <c r="L254" s="1192" t="s">
        <v>93</v>
      </c>
      <c r="M254" s="1183">
        <v>9.25</v>
      </c>
      <c r="N254" s="437" t="s">
        <v>93</v>
      </c>
      <c r="O254" s="1183" t="s">
        <v>93</v>
      </c>
      <c r="P254" s="437" t="s">
        <v>93</v>
      </c>
      <c r="Q254" s="1183">
        <v>7.75</v>
      </c>
      <c r="R254" s="437">
        <v>926.47400000000005</v>
      </c>
    </row>
    <row r="255" spans="1:18" s="1177" customFormat="1">
      <c r="A255" s="688" t="s">
        <v>24</v>
      </c>
      <c r="B255" s="1183" t="s">
        <v>93</v>
      </c>
      <c r="C255" s="437" t="s">
        <v>93</v>
      </c>
      <c r="D255" s="437" t="s">
        <v>180</v>
      </c>
      <c r="E255" s="437" t="s">
        <v>180</v>
      </c>
      <c r="F255" s="437">
        <v>630</v>
      </c>
      <c r="G255" s="1192" t="s">
        <v>93</v>
      </c>
      <c r="H255" s="1192" t="s">
        <v>93</v>
      </c>
      <c r="I255" s="1192" t="s">
        <v>93</v>
      </c>
      <c r="J255" s="1192" t="s">
        <v>93</v>
      </c>
      <c r="K255" s="1192" t="s">
        <v>93</v>
      </c>
      <c r="L255" s="1192" t="s">
        <v>93</v>
      </c>
      <c r="M255" s="1183">
        <v>9.25</v>
      </c>
      <c r="N255" s="437" t="s">
        <v>93</v>
      </c>
      <c r="O255" s="1183" t="s">
        <v>93</v>
      </c>
      <c r="P255" s="437" t="s">
        <v>93</v>
      </c>
      <c r="Q255" s="1183">
        <v>7.75</v>
      </c>
      <c r="R255" s="437">
        <v>920.92</v>
      </c>
    </row>
    <row r="256" spans="1:18" s="1177" customFormat="1">
      <c r="A256" s="688" t="s">
        <v>25</v>
      </c>
      <c r="B256" s="1183" t="s">
        <v>93</v>
      </c>
      <c r="C256" s="437" t="s">
        <v>93</v>
      </c>
      <c r="D256" s="437" t="s">
        <v>93</v>
      </c>
      <c r="E256" s="437" t="s">
        <v>93</v>
      </c>
      <c r="F256" s="437">
        <v>570</v>
      </c>
      <c r="G256" s="1192" t="s">
        <v>93</v>
      </c>
      <c r="H256" s="1192" t="s">
        <v>93</v>
      </c>
      <c r="I256" s="1192" t="s">
        <v>93</v>
      </c>
      <c r="J256" s="1192" t="s">
        <v>93</v>
      </c>
      <c r="K256" s="1192" t="s">
        <v>93</v>
      </c>
      <c r="L256" s="1192" t="s">
        <v>93</v>
      </c>
      <c r="M256" s="1183">
        <v>9.25</v>
      </c>
      <c r="N256" s="437" t="s">
        <v>93</v>
      </c>
      <c r="O256" s="1183" t="s">
        <v>93</v>
      </c>
      <c r="P256" s="437" t="s">
        <v>93</v>
      </c>
      <c r="Q256" s="1183">
        <v>7.75</v>
      </c>
      <c r="R256" s="437">
        <v>918.17</v>
      </c>
    </row>
    <row r="257" spans="1:18" s="1177" customFormat="1">
      <c r="A257" s="688" t="s">
        <v>26</v>
      </c>
      <c r="B257" s="1183" t="s">
        <v>93</v>
      </c>
      <c r="C257" s="437" t="s">
        <v>93</v>
      </c>
      <c r="D257" s="437" t="s">
        <v>93</v>
      </c>
      <c r="E257" s="437" t="s">
        <v>93</v>
      </c>
      <c r="F257" s="437">
        <v>510</v>
      </c>
      <c r="G257" s="1192" t="s">
        <v>93</v>
      </c>
      <c r="H257" s="1192" t="s">
        <v>93</v>
      </c>
      <c r="I257" s="1192" t="s">
        <v>93</v>
      </c>
      <c r="J257" s="1192" t="s">
        <v>93</v>
      </c>
      <c r="K257" s="1192" t="s">
        <v>93</v>
      </c>
      <c r="L257" s="1192" t="s">
        <v>93</v>
      </c>
      <c r="M257" s="1183">
        <v>9.25</v>
      </c>
      <c r="N257" s="437" t="s">
        <v>93</v>
      </c>
      <c r="O257" s="1183">
        <v>4</v>
      </c>
      <c r="P257" s="437">
        <v>424.74545499999999</v>
      </c>
      <c r="Q257" s="1183">
        <v>7.75</v>
      </c>
      <c r="R257" s="437">
        <v>914.42</v>
      </c>
    </row>
    <row r="258" spans="1:18" s="1177" customFormat="1">
      <c r="A258" s="688">
        <v>10</v>
      </c>
      <c r="B258" s="1183">
        <v>3.39</v>
      </c>
      <c r="C258" s="437">
        <v>4.01</v>
      </c>
      <c r="D258" s="437">
        <v>4.32</v>
      </c>
      <c r="E258" s="437">
        <v>4.63</v>
      </c>
      <c r="F258" s="437">
        <v>900</v>
      </c>
      <c r="G258" s="1192" t="s">
        <v>93</v>
      </c>
      <c r="H258" s="1192" t="s">
        <v>93</v>
      </c>
      <c r="I258" s="1192" t="s">
        <v>93</v>
      </c>
      <c r="J258" s="1192" t="s">
        <v>93</v>
      </c>
      <c r="K258" s="1192" t="s">
        <v>93</v>
      </c>
      <c r="L258" s="1192" t="s">
        <v>93</v>
      </c>
      <c r="M258" s="1183">
        <v>9.25</v>
      </c>
      <c r="N258" s="437" t="s">
        <v>93</v>
      </c>
      <c r="O258" s="1183">
        <v>5</v>
      </c>
      <c r="P258" s="437">
        <v>483.3</v>
      </c>
      <c r="Q258" s="1183">
        <v>8</v>
      </c>
      <c r="R258" s="437">
        <v>912.12</v>
      </c>
    </row>
    <row r="259" spans="1:18" s="1177" customFormat="1">
      <c r="A259" s="688">
        <v>11</v>
      </c>
      <c r="B259" s="1183">
        <v>3.42</v>
      </c>
      <c r="C259" s="437">
        <v>4.0199999999999996</v>
      </c>
      <c r="D259" s="437">
        <v>4.12</v>
      </c>
      <c r="E259" s="437">
        <v>4.57</v>
      </c>
      <c r="F259" s="437">
        <v>1170</v>
      </c>
      <c r="G259" s="1192" t="s">
        <v>93</v>
      </c>
      <c r="H259" s="1192" t="s">
        <v>93</v>
      </c>
      <c r="I259" s="1192" t="s">
        <v>93</v>
      </c>
      <c r="J259" s="1192" t="s">
        <v>93</v>
      </c>
      <c r="K259" s="1192" t="s">
        <v>93</v>
      </c>
      <c r="L259" s="1192" t="s">
        <v>93</v>
      </c>
      <c r="M259" s="1183">
        <v>9.25</v>
      </c>
      <c r="N259" s="437" t="s">
        <v>93</v>
      </c>
      <c r="O259" s="1183">
        <v>5</v>
      </c>
      <c r="P259" s="437">
        <v>486.8</v>
      </c>
      <c r="Q259" s="1183">
        <v>8</v>
      </c>
      <c r="R259" s="437">
        <v>845.46</v>
      </c>
    </row>
    <row r="260" spans="1:18" s="1177" customFormat="1">
      <c r="A260" s="688">
        <v>12</v>
      </c>
      <c r="B260" s="1183">
        <v>6.17</v>
      </c>
      <c r="C260" s="437">
        <v>6.24</v>
      </c>
      <c r="D260" s="437">
        <v>8</v>
      </c>
      <c r="E260" s="437">
        <v>8.44</v>
      </c>
      <c r="F260" s="437">
        <v>1338.56</v>
      </c>
      <c r="G260" s="1192" t="s">
        <v>93</v>
      </c>
      <c r="H260" s="1192" t="s">
        <v>93</v>
      </c>
      <c r="I260" s="1192" t="s">
        <v>93</v>
      </c>
      <c r="J260" s="1192" t="s">
        <v>93</v>
      </c>
      <c r="K260" s="1192" t="s">
        <v>93</v>
      </c>
      <c r="L260" s="1192" t="s">
        <v>93</v>
      </c>
      <c r="M260" s="1183">
        <v>9.25</v>
      </c>
      <c r="N260" s="437" t="s">
        <v>93</v>
      </c>
      <c r="O260" s="1183">
        <v>6.25</v>
      </c>
      <c r="P260" s="437">
        <v>476.5</v>
      </c>
      <c r="Q260" s="1183">
        <v>8.25</v>
      </c>
      <c r="R260" s="437">
        <v>835.42</v>
      </c>
    </row>
    <row r="261" spans="1:18" s="1177" customFormat="1">
      <c r="A261" s="688">
        <v>2023</v>
      </c>
      <c r="B261" s="685">
        <v>7.11</v>
      </c>
      <c r="C261" s="686">
        <v>7.23</v>
      </c>
      <c r="D261" s="686">
        <v>7.54</v>
      </c>
      <c r="E261" s="686">
        <v>7.5</v>
      </c>
      <c r="F261" s="686">
        <v>1320.13</v>
      </c>
      <c r="G261" s="1193" t="s">
        <v>93</v>
      </c>
      <c r="H261" s="1193" t="s">
        <v>93</v>
      </c>
      <c r="I261" s="1193" t="s">
        <v>93</v>
      </c>
      <c r="J261" s="1193" t="s">
        <v>93</v>
      </c>
      <c r="K261" s="1193" t="s">
        <v>93</v>
      </c>
      <c r="L261" s="1193" t="s">
        <v>93</v>
      </c>
      <c r="M261" s="685">
        <v>9</v>
      </c>
      <c r="N261" s="686" t="s">
        <v>93</v>
      </c>
      <c r="O261" s="685">
        <v>6.5</v>
      </c>
      <c r="P261" s="686">
        <v>1174.8</v>
      </c>
      <c r="Q261" s="685">
        <v>8</v>
      </c>
      <c r="R261" s="686">
        <v>664.23511639000003</v>
      </c>
    </row>
    <row r="262" spans="1:18" s="1177" customFormat="1">
      <c r="A262" s="688" t="s">
        <v>18</v>
      </c>
      <c r="B262" s="1183">
        <v>6.71</v>
      </c>
      <c r="C262" s="437">
        <v>7.95</v>
      </c>
      <c r="D262" s="437">
        <v>8.57</v>
      </c>
      <c r="E262" s="437">
        <v>9.2899999999999991</v>
      </c>
      <c r="F262" s="437">
        <v>1401.1387</v>
      </c>
      <c r="G262" s="1192" t="s">
        <v>93</v>
      </c>
      <c r="H262" s="1192" t="s">
        <v>93</v>
      </c>
      <c r="I262" s="1192" t="s">
        <v>93</v>
      </c>
      <c r="J262" s="1192" t="s">
        <v>93</v>
      </c>
      <c r="K262" s="1192" t="s">
        <v>93</v>
      </c>
      <c r="L262" s="1192" t="s">
        <v>93</v>
      </c>
      <c r="M262" s="1183">
        <v>9.5</v>
      </c>
      <c r="N262" s="437" t="s">
        <v>93</v>
      </c>
      <c r="O262" s="1183">
        <v>6.75</v>
      </c>
      <c r="P262" s="437">
        <v>483</v>
      </c>
      <c r="Q262" s="1183">
        <v>8.5</v>
      </c>
      <c r="R262" s="437">
        <v>833.26</v>
      </c>
    </row>
    <row r="263" spans="1:18" s="1177" customFormat="1">
      <c r="A263" s="688" t="s">
        <v>19</v>
      </c>
      <c r="B263" s="1183" t="s">
        <v>93</v>
      </c>
      <c r="C263" s="437">
        <v>7.95</v>
      </c>
      <c r="D263" s="437">
        <v>8.57</v>
      </c>
      <c r="E263" s="437">
        <v>9.2899999999999991</v>
      </c>
      <c r="F263" s="437">
        <v>1026.1386999999997</v>
      </c>
      <c r="G263" s="1192" t="s">
        <v>93</v>
      </c>
      <c r="H263" s="1192" t="s">
        <v>93</v>
      </c>
      <c r="I263" s="1192" t="s">
        <v>93</v>
      </c>
      <c r="J263" s="1192" t="s">
        <v>93</v>
      </c>
      <c r="K263" s="1192" t="s">
        <v>93</v>
      </c>
      <c r="L263" s="1192" t="s">
        <v>93</v>
      </c>
      <c r="M263" s="1183">
        <v>9.5</v>
      </c>
      <c r="N263" s="437" t="s">
        <v>93</v>
      </c>
      <c r="O263" s="1183">
        <v>6.75</v>
      </c>
      <c r="P263" s="437">
        <v>704</v>
      </c>
      <c r="Q263" s="1183">
        <v>8.5</v>
      </c>
      <c r="R263" s="437">
        <v>832.38</v>
      </c>
    </row>
    <row r="264" spans="1:18" s="1177" customFormat="1">
      <c r="A264" s="688" t="s">
        <v>20</v>
      </c>
      <c r="B264" s="1183" t="s">
        <v>93</v>
      </c>
      <c r="C264" s="437">
        <v>7.95</v>
      </c>
      <c r="D264" s="437">
        <v>8.57</v>
      </c>
      <c r="E264" s="437">
        <v>9.2899999999999991</v>
      </c>
      <c r="F264" s="437">
        <v>884.99999999999977</v>
      </c>
      <c r="G264" s="1192" t="s">
        <v>93</v>
      </c>
      <c r="H264" s="1192" t="s">
        <v>93</v>
      </c>
      <c r="I264" s="1192" t="s">
        <v>93</v>
      </c>
      <c r="J264" s="1192" t="s">
        <v>93</v>
      </c>
      <c r="K264" s="1192" t="s">
        <v>93</v>
      </c>
      <c r="L264" s="1192" t="s">
        <v>93</v>
      </c>
      <c r="M264" s="1183">
        <v>9.75</v>
      </c>
      <c r="N264" s="437" t="s">
        <v>93</v>
      </c>
      <c r="O264" s="1183">
        <v>7</v>
      </c>
      <c r="P264" s="437">
        <v>662.3</v>
      </c>
      <c r="Q264" s="1183">
        <v>8.75</v>
      </c>
      <c r="R264" s="437">
        <v>736.48125150999999</v>
      </c>
    </row>
    <row r="265" spans="1:18" s="1177" customFormat="1">
      <c r="A265" s="688" t="s">
        <v>21</v>
      </c>
      <c r="B265" s="1183">
        <v>6.6</v>
      </c>
      <c r="C265" s="437">
        <v>7.27</v>
      </c>
      <c r="D265" s="437">
        <v>8.07</v>
      </c>
      <c r="E265" s="437">
        <v>8.77</v>
      </c>
      <c r="F265" s="437">
        <v>870</v>
      </c>
      <c r="G265" s="1192" t="s">
        <v>93</v>
      </c>
      <c r="H265" s="1192" t="s">
        <v>93</v>
      </c>
      <c r="I265" s="1192" t="s">
        <v>93</v>
      </c>
      <c r="J265" s="1192" t="s">
        <v>93</v>
      </c>
      <c r="K265" s="1192" t="s">
        <v>93</v>
      </c>
      <c r="L265" s="1192" t="s">
        <v>93</v>
      </c>
      <c r="M265" s="1183">
        <v>9.75</v>
      </c>
      <c r="N265" s="437" t="s">
        <v>93</v>
      </c>
      <c r="O265" s="1183">
        <v>7</v>
      </c>
      <c r="P265" s="437">
        <v>669.3</v>
      </c>
      <c r="Q265" s="1183">
        <v>8.75</v>
      </c>
      <c r="R265" s="437">
        <v>726.18007999999998</v>
      </c>
    </row>
    <row r="266" spans="1:18" s="1177" customFormat="1">
      <c r="A266" s="688" t="s">
        <v>22</v>
      </c>
      <c r="B266" s="1183">
        <v>7.93</v>
      </c>
      <c r="C266" s="437">
        <v>8.18</v>
      </c>
      <c r="D266" s="437">
        <v>8.91</v>
      </c>
      <c r="E266" s="437">
        <v>9.42</v>
      </c>
      <c r="F266" s="437">
        <v>1199.8699999999999</v>
      </c>
      <c r="G266" s="1192" t="s">
        <v>93</v>
      </c>
      <c r="H266" s="1192" t="s">
        <v>93</v>
      </c>
      <c r="I266" s="1192" t="s">
        <v>93</v>
      </c>
      <c r="J266" s="1192" t="s">
        <v>93</v>
      </c>
      <c r="K266" s="1192" t="s">
        <v>93</v>
      </c>
      <c r="L266" s="1192" t="s">
        <v>93</v>
      </c>
      <c r="M266" s="1183">
        <v>10</v>
      </c>
      <c r="N266" s="437" t="s">
        <v>93</v>
      </c>
      <c r="O266" s="1183">
        <v>7.5</v>
      </c>
      <c r="P266" s="437">
        <v>608.86</v>
      </c>
      <c r="Q266" s="1183">
        <v>9</v>
      </c>
      <c r="R266" s="437">
        <v>724.9</v>
      </c>
    </row>
    <row r="267" spans="1:18" s="1177" customFormat="1">
      <c r="A267" s="688" t="s">
        <v>23</v>
      </c>
      <c r="B267" s="1183">
        <v>5.89</v>
      </c>
      <c r="C267" s="437">
        <v>7.34</v>
      </c>
      <c r="D267" s="437">
        <v>8.31</v>
      </c>
      <c r="E267" s="437">
        <v>8.85</v>
      </c>
      <c r="F267" s="437">
        <v>1334.87</v>
      </c>
      <c r="G267" s="1192" t="s">
        <v>93</v>
      </c>
      <c r="H267" s="1192" t="s">
        <v>93</v>
      </c>
      <c r="I267" s="1192" t="s">
        <v>93</v>
      </c>
      <c r="J267" s="1192" t="s">
        <v>93</v>
      </c>
      <c r="K267" s="1192" t="s">
        <v>93</v>
      </c>
      <c r="L267" s="1192" t="s">
        <v>93</v>
      </c>
      <c r="M267" s="1183">
        <v>10</v>
      </c>
      <c r="N267" s="437" t="s">
        <v>93</v>
      </c>
      <c r="O267" s="1183">
        <v>7.5</v>
      </c>
      <c r="P267" s="437">
        <v>57.95</v>
      </c>
      <c r="Q267" s="1183">
        <v>9</v>
      </c>
      <c r="R267" s="437">
        <v>724.9</v>
      </c>
    </row>
    <row r="268" spans="1:18" s="1177" customFormat="1">
      <c r="A268" s="688" t="s">
        <v>24</v>
      </c>
      <c r="B268" s="1183">
        <v>6.95</v>
      </c>
      <c r="C268" s="437">
        <v>9.16</v>
      </c>
      <c r="D268" s="437">
        <v>8.69</v>
      </c>
      <c r="E268" s="437">
        <v>9.85</v>
      </c>
      <c r="F268" s="437">
        <v>1563.35</v>
      </c>
      <c r="G268" s="1192" t="s">
        <v>93</v>
      </c>
      <c r="H268" s="1192" t="s">
        <v>93</v>
      </c>
      <c r="I268" s="1192" t="s">
        <v>93</v>
      </c>
      <c r="J268" s="1192" t="s">
        <v>93</v>
      </c>
      <c r="K268" s="1192" t="s">
        <v>93</v>
      </c>
      <c r="L268" s="1192" t="s">
        <v>93</v>
      </c>
      <c r="M268" s="1183">
        <v>10</v>
      </c>
      <c r="N268" s="437" t="s">
        <v>93</v>
      </c>
      <c r="O268" s="1183">
        <v>7.5</v>
      </c>
      <c r="P268" s="437">
        <v>655</v>
      </c>
      <c r="Q268" s="1183">
        <v>9</v>
      </c>
      <c r="R268" s="437">
        <v>736.75</v>
      </c>
    </row>
    <row r="269" spans="1:18" s="1177" customFormat="1">
      <c r="A269" s="688" t="s">
        <v>25</v>
      </c>
      <c r="B269" s="1183">
        <v>8.1999999999999993</v>
      </c>
      <c r="C269" s="437">
        <v>8</v>
      </c>
      <c r="D269" s="437">
        <v>8.4600000000000009</v>
      </c>
      <c r="E269" s="437">
        <v>9</v>
      </c>
      <c r="F269" s="437">
        <v>1543.35</v>
      </c>
      <c r="G269" s="1192" t="s">
        <v>93</v>
      </c>
      <c r="H269" s="1192" t="s">
        <v>93</v>
      </c>
      <c r="I269" s="1192" t="s">
        <v>93</v>
      </c>
      <c r="J269" s="1192" t="s">
        <v>93</v>
      </c>
      <c r="K269" s="1192" t="s">
        <v>93</v>
      </c>
      <c r="L269" s="1192" t="s">
        <v>93</v>
      </c>
      <c r="M269" s="1183">
        <v>10</v>
      </c>
      <c r="N269" s="437" t="s">
        <v>93</v>
      </c>
      <c r="O269" s="1183">
        <v>7.5</v>
      </c>
      <c r="P269" s="437">
        <v>940.4</v>
      </c>
      <c r="Q269" s="1183">
        <v>9</v>
      </c>
      <c r="R269" s="437">
        <v>736.75</v>
      </c>
    </row>
    <row r="270" spans="1:18" s="1177" customFormat="1">
      <c r="A270" s="688" t="s">
        <v>26</v>
      </c>
      <c r="B270" s="1183">
        <v>8.0299999999999994</v>
      </c>
      <c r="C270" s="437">
        <v>8.1300000000000008</v>
      </c>
      <c r="D270" s="437">
        <v>8.0500000000000007</v>
      </c>
      <c r="E270" s="437">
        <v>8.4600000000000009</v>
      </c>
      <c r="F270" s="437">
        <v>1610.4199999999996</v>
      </c>
      <c r="G270" s="1192" t="s">
        <v>93</v>
      </c>
      <c r="H270" s="1192" t="s">
        <v>93</v>
      </c>
      <c r="I270" s="1192" t="s">
        <v>93</v>
      </c>
      <c r="J270" s="1192" t="s">
        <v>93</v>
      </c>
      <c r="K270" s="1192" t="s">
        <v>93</v>
      </c>
      <c r="L270" s="1192" t="s">
        <v>93</v>
      </c>
      <c r="M270" s="1183">
        <v>10</v>
      </c>
      <c r="N270" s="437" t="s">
        <v>93</v>
      </c>
      <c r="O270" s="1183">
        <v>7.5</v>
      </c>
      <c r="P270" s="437">
        <v>1528.5386117600001</v>
      </c>
      <c r="Q270" s="1183">
        <v>9</v>
      </c>
      <c r="R270" s="437">
        <v>731.12</v>
      </c>
    </row>
    <row r="271" spans="1:18" s="1177" customFormat="1">
      <c r="A271" s="688">
        <v>10</v>
      </c>
      <c r="B271" s="1183" t="s">
        <v>93</v>
      </c>
      <c r="C271" s="437">
        <v>8.15</v>
      </c>
      <c r="D271" s="437">
        <v>8.09</v>
      </c>
      <c r="E271" s="437">
        <v>8.2100000000000009</v>
      </c>
      <c r="F271" s="437">
        <v>1518.35</v>
      </c>
      <c r="G271" s="1192" t="s">
        <v>93</v>
      </c>
      <c r="H271" s="1192" t="s">
        <v>93</v>
      </c>
      <c r="I271" s="1192" t="s">
        <v>93</v>
      </c>
      <c r="J271" s="1192" t="s">
        <v>93</v>
      </c>
      <c r="K271" s="1192" t="s">
        <v>93</v>
      </c>
      <c r="L271" s="1192" t="s">
        <v>93</v>
      </c>
      <c r="M271" s="1183">
        <v>10</v>
      </c>
      <c r="N271" s="437" t="s">
        <v>93</v>
      </c>
      <c r="O271" s="1183">
        <v>7.5</v>
      </c>
      <c r="P271" s="437">
        <v>1888.6</v>
      </c>
      <c r="Q271" s="1183">
        <v>9</v>
      </c>
      <c r="R271" s="437">
        <v>725.49800000000005</v>
      </c>
    </row>
    <row r="272" spans="1:18" s="1177" customFormat="1">
      <c r="A272" s="688">
        <v>11</v>
      </c>
      <c r="B272" s="1183">
        <v>7.86</v>
      </c>
      <c r="C272" s="437">
        <v>8.15</v>
      </c>
      <c r="D272" s="437">
        <v>7.67</v>
      </c>
      <c r="E272" s="437">
        <v>7.82</v>
      </c>
      <c r="F272" s="437">
        <v>1383.48</v>
      </c>
      <c r="G272" s="1192" t="s">
        <v>93</v>
      </c>
      <c r="H272" s="1192" t="s">
        <v>93</v>
      </c>
      <c r="I272" s="1192" t="s">
        <v>93</v>
      </c>
      <c r="J272" s="1192" t="s">
        <v>93</v>
      </c>
      <c r="K272" s="1192" t="s">
        <v>93</v>
      </c>
      <c r="L272" s="1192" t="s">
        <v>93</v>
      </c>
      <c r="M272" s="1183">
        <v>9.5</v>
      </c>
      <c r="N272" s="437">
        <v>1E-4</v>
      </c>
      <c r="O272" s="1183">
        <v>7</v>
      </c>
      <c r="P272" s="437">
        <v>2314.8000000000002</v>
      </c>
      <c r="Q272" s="1183">
        <v>8.5</v>
      </c>
      <c r="R272" s="437">
        <v>678.07831796000005</v>
      </c>
    </row>
    <row r="273" spans="1:18" s="1177" customFormat="1">
      <c r="A273" s="688">
        <v>12</v>
      </c>
      <c r="B273" s="1183">
        <v>7.11</v>
      </c>
      <c r="C273" s="437">
        <v>7.23</v>
      </c>
      <c r="D273" s="437">
        <v>7.54</v>
      </c>
      <c r="E273" s="437">
        <v>7.5</v>
      </c>
      <c r="F273" s="437">
        <v>1320.13</v>
      </c>
      <c r="G273" s="1192" t="s">
        <v>93</v>
      </c>
      <c r="H273" s="1192" t="s">
        <v>93</v>
      </c>
      <c r="I273" s="1192" t="s">
        <v>93</v>
      </c>
      <c r="J273" s="1192" t="s">
        <v>93</v>
      </c>
      <c r="K273" s="1192" t="s">
        <v>93</v>
      </c>
      <c r="L273" s="1192" t="s">
        <v>93</v>
      </c>
      <c r="M273" s="1183">
        <v>9</v>
      </c>
      <c r="N273" s="437">
        <v>0</v>
      </c>
      <c r="O273" s="1183">
        <v>6.5</v>
      </c>
      <c r="P273" s="437">
        <v>1174.8</v>
      </c>
      <c r="Q273" s="1183">
        <v>8</v>
      </c>
      <c r="R273" s="437">
        <v>664.23511639000003</v>
      </c>
    </row>
    <row r="274" spans="1:18" s="1177" customFormat="1">
      <c r="A274" s="688">
        <v>2024</v>
      </c>
      <c r="B274" s="685" t="s">
        <v>93</v>
      </c>
      <c r="C274" s="686" t="s">
        <v>93</v>
      </c>
      <c r="D274" s="686">
        <v>7.25</v>
      </c>
      <c r="E274" s="686">
        <v>7.45</v>
      </c>
      <c r="F274" s="686">
        <v>208.2</v>
      </c>
      <c r="G274" s="1193" t="s">
        <v>93</v>
      </c>
      <c r="H274" s="1193" t="s">
        <v>93</v>
      </c>
      <c r="I274" s="1193" t="s">
        <v>93</v>
      </c>
      <c r="J274" s="1193" t="s">
        <v>93</v>
      </c>
      <c r="K274" s="1193" t="s">
        <v>93</v>
      </c>
      <c r="L274" s="1193" t="s">
        <v>93</v>
      </c>
      <c r="M274" s="685">
        <v>8.25</v>
      </c>
      <c r="N274" s="686">
        <v>0</v>
      </c>
      <c r="O274" s="685">
        <v>6.25</v>
      </c>
      <c r="P274" s="686">
        <v>1267.8</v>
      </c>
      <c r="Q274" s="685">
        <v>7.25</v>
      </c>
      <c r="R274" s="686">
        <v>528.9</v>
      </c>
    </row>
    <row r="275" spans="1:18" s="1177" customFormat="1">
      <c r="A275" s="688" t="s">
        <v>18</v>
      </c>
      <c r="B275" s="1183">
        <v>6.6</v>
      </c>
      <c r="C275" s="437">
        <v>6.8</v>
      </c>
      <c r="D275" s="437">
        <v>6.71</v>
      </c>
      <c r="E275" s="437">
        <v>7.08</v>
      </c>
      <c r="F275" s="437">
        <v>1182.3</v>
      </c>
      <c r="G275" s="1192" t="s">
        <v>93</v>
      </c>
      <c r="H275" s="1192" t="s">
        <v>93</v>
      </c>
      <c r="I275" s="1192" t="s">
        <v>93</v>
      </c>
      <c r="J275" s="1192" t="s">
        <v>93</v>
      </c>
      <c r="K275" s="1192" t="s">
        <v>93</v>
      </c>
      <c r="L275" s="1192" t="s">
        <v>93</v>
      </c>
      <c r="M275" s="1183">
        <v>9</v>
      </c>
      <c r="N275" s="437">
        <v>0</v>
      </c>
      <c r="O275" s="1183">
        <v>6.5</v>
      </c>
      <c r="P275" s="437">
        <v>1067.8</v>
      </c>
      <c r="Q275" s="1183">
        <v>8</v>
      </c>
      <c r="R275" s="437">
        <v>658.55502114000001</v>
      </c>
    </row>
    <row r="276" spans="1:18" s="1177" customFormat="1">
      <c r="A276" s="688" t="s">
        <v>19</v>
      </c>
      <c r="B276" s="1183">
        <v>6.39</v>
      </c>
      <c r="C276" s="437">
        <v>6.75</v>
      </c>
      <c r="D276" s="437">
        <v>6.79</v>
      </c>
      <c r="E276" s="437">
        <v>6.8</v>
      </c>
      <c r="F276" s="437">
        <v>1222.1999999999998</v>
      </c>
      <c r="G276" s="1192" t="s">
        <v>93</v>
      </c>
      <c r="H276" s="1192" t="s">
        <v>93</v>
      </c>
      <c r="I276" s="1192" t="s">
        <v>93</v>
      </c>
      <c r="J276" s="1192" t="s">
        <v>93</v>
      </c>
      <c r="K276" s="1192" t="s">
        <v>93</v>
      </c>
      <c r="L276" s="1192" t="s">
        <v>93</v>
      </c>
      <c r="M276" s="1183">
        <v>8.75</v>
      </c>
      <c r="N276" s="437">
        <v>0</v>
      </c>
      <c r="O276" s="1183">
        <v>6.25</v>
      </c>
      <c r="P276" s="437">
        <v>1077.2</v>
      </c>
      <c r="Q276" s="1183">
        <v>7.75</v>
      </c>
      <c r="R276" s="437">
        <v>652.34015789</v>
      </c>
    </row>
    <row r="277" spans="1:18" s="1177" customFormat="1">
      <c r="A277" s="688" t="s">
        <v>20</v>
      </c>
      <c r="B277" s="1183">
        <v>6.84</v>
      </c>
      <c r="C277" s="437">
        <v>6.85</v>
      </c>
      <c r="D277" s="437">
        <v>6.85</v>
      </c>
      <c r="E277" s="437">
        <v>7.39</v>
      </c>
      <c r="F277" s="437">
        <v>1183.5</v>
      </c>
      <c r="G277" s="1192" t="s">
        <v>93</v>
      </c>
      <c r="H277" s="1192" t="s">
        <v>93</v>
      </c>
      <c r="I277" s="1192" t="s">
        <v>93</v>
      </c>
      <c r="J277" s="1192" t="s">
        <v>93</v>
      </c>
      <c r="K277" s="1192" t="s">
        <v>93</v>
      </c>
      <c r="L277" s="1192" t="s">
        <v>93</v>
      </c>
      <c r="M277" s="1183">
        <v>8.5</v>
      </c>
      <c r="N277" s="437">
        <v>0</v>
      </c>
      <c r="O277" s="1183">
        <v>6.25</v>
      </c>
      <c r="P277" s="437">
        <v>831.3</v>
      </c>
      <c r="Q277" s="1183">
        <v>7.5</v>
      </c>
      <c r="R277" s="437">
        <v>646.67915789000006</v>
      </c>
    </row>
    <row r="278" spans="1:18" s="1177" customFormat="1">
      <c r="A278" s="688" t="s">
        <v>21</v>
      </c>
      <c r="B278" s="1183">
        <v>7.15</v>
      </c>
      <c r="C278" s="437">
        <v>7.37</v>
      </c>
      <c r="D278" s="437">
        <v>7.49</v>
      </c>
      <c r="E278" s="437">
        <v>7.79</v>
      </c>
      <c r="F278" s="437">
        <v>1117.0999999999999</v>
      </c>
      <c r="G278" s="1192">
        <v>7.22</v>
      </c>
      <c r="H278" s="1192">
        <v>26</v>
      </c>
      <c r="I278" s="1192" t="s">
        <v>93</v>
      </c>
      <c r="J278" s="1192" t="s">
        <v>93</v>
      </c>
      <c r="K278" s="1192" t="s">
        <v>93</v>
      </c>
      <c r="L278" s="1192" t="s">
        <v>93</v>
      </c>
      <c r="M278" s="1183">
        <v>8.5</v>
      </c>
      <c r="N278" s="437">
        <v>128.82457305</v>
      </c>
      <c r="O278" s="1183">
        <v>6.25</v>
      </c>
      <c r="P278" s="437">
        <v>507.25</v>
      </c>
      <c r="Q278" s="1183">
        <v>7.5</v>
      </c>
      <c r="R278" s="437">
        <v>627.07326585999999</v>
      </c>
    </row>
    <row r="279" spans="1:18" s="1177" customFormat="1">
      <c r="A279" s="688" t="s">
        <v>22</v>
      </c>
      <c r="B279" s="1183">
        <v>7.11</v>
      </c>
      <c r="C279" s="437">
        <v>7.31</v>
      </c>
      <c r="D279" s="437">
        <v>7.48</v>
      </c>
      <c r="E279" s="437">
        <v>7.69</v>
      </c>
      <c r="F279" s="437">
        <v>977.2</v>
      </c>
      <c r="G279" s="1192">
        <v>6.98</v>
      </c>
      <c r="H279" s="1192">
        <v>15</v>
      </c>
      <c r="I279" s="1192" t="s">
        <v>93</v>
      </c>
      <c r="J279" s="1192" t="s">
        <v>93</v>
      </c>
      <c r="K279" s="1192" t="s">
        <v>93</v>
      </c>
      <c r="L279" s="1192" t="s">
        <v>93</v>
      </c>
      <c r="M279" s="1183">
        <v>8.25</v>
      </c>
      <c r="N279" s="437">
        <v>0</v>
      </c>
      <c r="O279" s="1183">
        <v>6.25</v>
      </c>
      <c r="P279" s="437">
        <v>642.1</v>
      </c>
      <c r="Q279" s="1183">
        <v>7.25</v>
      </c>
      <c r="R279" s="437">
        <v>621.25254586000005</v>
      </c>
    </row>
    <row r="280" spans="1:18" s="1177" customFormat="1">
      <c r="A280" s="688" t="s">
        <v>23</v>
      </c>
      <c r="B280" s="1183">
        <v>6.98</v>
      </c>
      <c r="C280" s="437">
        <v>7.2</v>
      </c>
      <c r="D280" s="437">
        <v>7.4</v>
      </c>
      <c r="E280" s="437">
        <v>7.52</v>
      </c>
      <c r="F280" s="437">
        <v>948.4</v>
      </c>
      <c r="G280" s="1192">
        <v>6.93</v>
      </c>
      <c r="H280" s="1192">
        <v>15</v>
      </c>
      <c r="I280" s="1192" t="s">
        <v>93</v>
      </c>
      <c r="J280" s="1192" t="s">
        <v>93</v>
      </c>
      <c r="K280" s="1192" t="s">
        <v>93</v>
      </c>
      <c r="L280" s="1192" t="s">
        <v>93</v>
      </c>
      <c r="M280" s="1183">
        <v>8.25</v>
      </c>
      <c r="N280" s="437">
        <v>0</v>
      </c>
      <c r="O280" s="1183">
        <v>6.25</v>
      </c>
      <c r="P280" s="437">
        <v>728.6</v>
      </c>
      <c r="Q280" s="1183">
        <v>7.25</v>
      </c>
      <c r="R280" s="437">
        <v>615.62754586000005</v>
      </c>
    </row>
    <row r="281" spans="1:18" s="1177" customFormat="1">
      <c r="A281" s="688" t="s">
        <v>24</v>
      </c>
      <c r="B281" s="1183">
        <v>7</v>
      </c>
      <c r="C281" s="437">
        <v>7.75</v>
      </c>
      <c r="D281" s="437">
        <v>8.1999999999999993</v>
      </c>
      <c r="E281" s="437">
        <v>8.0500000000000007</v>
      </c>
      <c r="F281" s="437">
        <v>933.4</v>
      </c>
      <c r="G281" s="1192">
        <v>6.99</v>
      </c>
      <c r="H281" s="1192">
        <v>10</v>
      </c>
      <c r="I281" s="1192" t="s">
        <v>93</v>
      </c>
      <c r="J281" s="1192" t="s">
        <v>93</v>
      </c>
      <c r="K281" s="1192" t="s">
        <v>93</v>
      </c>
      <c r="L281" s="1192" t="s">
        <v>93</v>
      </c>
      <c r="M281" s="1183">
        <v>8.25</v>
      </c>
      <c r="N281" s="437">
        <v>600</v>
      </c>
      <c r="O281" s="1183">
        <v>6.25</v>
      </c>
      <c r="P281" s="437">
        <v>545.9</v>
      </c>
      <c r="Q281" s="1183">
        <v>7.25</v>
      </c>
      <c r="R281" s="437">
        <v>607.66565700000001</v>
      </c>
    </row>
    <row r="282" spans="1:18" s="1177" customFormat="1">
      <c r="A282" s="688" t="s">
        <v>25</v>
      </c>
      <c r="B282" s="1183">
        <v>6.6</v>
      </c>
      <c r="C282" s="437">
        <v>7.55</v>
      </c>
      <c r="D282" s="437">
        <v>8.0399999999999991</v>
      </c>
      <c r="E282" s="437">
        <v>8.44</v>
      </c>
      <c r="F282" s="437">
        <v>718.39999999999964</v>
      </c>
      <c r="G282" s="1192" t="s">
        <v>93</v>
      </c>
      <c r="H282" s="1192" t="s">
        <v>93</v>
      </c>
      <c r="I282" s="1192" t="s">
        <v>93</v>
      </c>
      <c r="J282" s="1192" t="s">
        <v>93</v>
      </c>
      <c r="K282" s="1192" t="s">
        <v>93</v>
      </c>
      <c r="L282" s="1192" t="s">
        <v>93</v>
      </c>
      <c r="M282" s="1183">
        <v>8.25</v>
      </c>
      <c r="N282" s="437">
        <v>80</v>
      </c>
      <c r="O282" s="1183">
        <v>6.25</v>
      </c>
      <c r="P282" s="437">
        <v>174.9</v>
      </c>
      <c r="Q282" s="1183">
        <v>7.25</v>
      </c>
      <c r="R282" s="437">
        <v>602.04065700000001</v>
      </c>
    </row>
    <row r="283" spans="1:18" s="1177" customFormat="1">
      <c r="A283" s="688" t="s">
        <v>26</v>
      </c>
      <c r="B283" s="1183">
        <v>6.1</v>
      </c>
      <c r="C283" s="437">
        <v>7.09</v>
      </c>
      <c r="D283" s="437">
        <v>7.49</v>
      </c>
      <c r="E283" s="437">
        <v>7.45</v>
      </c>
      <c r="F283" s="437">
        <v>636.89999999999964</v>
      </c>
      <c r="G283" s="1192" t="s">
        <v>93</v>
      </c>
      <c r="H283" s="1192" t="s">
        <v>93</v>
      </c>
      <c r="I283" s="1192" t="s">
        <v>93</v>
      </c>
      <c r="J283" s="1192" t="s">
        <v>93</v>
      </c>
      <c r="K283" s="1192" t="s">
        <v>93</v>
      </c>
      <c r="L283" s="1192" t="s">
        <v>93</v>
      </c>
      <c r="M283" s="1183">
        <v>8.25</v>
      </c>
      <c r="N283" s="437">
        <v>140</v>
      </c>
      <c r="O283" s="1183">
        <v>6.25</v>
      </c>
      <c r="P283" s="437">
        <v>208.6</v>
      </c>
      <c r="Q283" s="1183">
        <v>7.25</v>
      </c>
      <c r="R283" s="437">
        <v>596.4</v>
      </c>
    </row>
    <row r="284" spans="1:18" s="1177" customFormat="1">
      <c r="A284" s="688">
        <v>10</v>
      </c>
      <c r="B284" s="1183" t="s">
        <v>93</v>
      </c>
      <c r="C284" s="437">
        <v>7.09</v>
      </c>
      <c r="D284" s="437">
        <v>7.25</v>
      </c>
      <c r="E284" s="437">
        <v>7.45</v>
      </c>
      <c r="F284" s="437">
        <v>410.1</v>
      </c>
      <c r="G284" s="1192" t="s">
        <v>93</v>
      </c>
      <c r="H284" s="1192" t="s">
        <v>93</v>
      </c>
      <c r="I284" s="1192" t="s">
        <v>93</v>
      </c>
      <c r="J284" s="1192" t="s">
        <v>93</v>
      </c>
      <c r="K284" s="1192" t="s">
        <v>93</v>
      </c>
      <c r="L284" s="1192" t="s">
        <v>93</v>
      </c>
      <c r="M284" s="1183">
        <v>8.25</v>
      </c>
      <c r="N284" s="437">
        <v>400</v>
      </c>
      <c r="O284" s="1183">
        <v>6.25</v>
      </c>
      <c r="P284" s="437">
        <v>17.3</v>
      </c>
      <c r="Q284" s="1183">
        <v>7.25</v>
      </c>
      <c r="R284" s="437">
        <v>590.79999999999995</v>
      </c>
    </row>
    <row r="285" spans="1:18" s="1177" customFormat="1">
      <c r="A285" s="688">
        <v>11</v>
      </c>
      <c r="B285" s="1183" t="s">
        <v>93</v>
      </c>
      <c r="C285" s="437">
        <v>7.09</v>
      </c>
      <c r="D285" s="437">
        <v>7.25</v>
      </c>
      <c r="E285" s="437">
        <v>7.45</v>
      </c>
      <c r="F285" s="437">
        <v>300.10000000000002</v>
      </c>
      <c r="G285" s="1192" t="s">
        <v>93</v>
      </c>
      <c r="H285" s="1192" t="s">
        <v>93</v>
      </c>
      <c r="I285" s="1192" t="s">
        <v>93</v>
      </c>
      <c r="J285" s="1192" t="s">
        <v>93</v>
      </c>
      <c r="K285" s="1192" t="s">
        <v>93</v>
      </c>
      <c r="L285" s="1192" t="s">
        <v>93</v>
      </c>
      <c r="M285" s="1183">
        <v>8.25</v>
      </c>
      <c r="N285" s="437">
        <v>260</v>
      </c>
      <c r="O285" s="1183">
        <v>6.25</v>
      </c>
      <c r="P285" s="437">
        <v>87.6</v>
      </c>
      <c r="Q285" s="1183">
        <v>7.25</v>
      </c>
      <c r="R285" s="437">
        <v>543.29999999999995</v>
      </c>
    </row>
    <row r="286" spans="1:18" s="1177" customFormat="1">
      <c r="A286" s="688">
        <v>12</v>
      </c>
      <c r="B286" s="1183" t="s">
        <v>93</v>
      </c>
      <c r="C286" s="437" t="s">
        <v>93</v>
      </c>
      <c r="D286" s="437">
        <v>7.25</v>
      </c>
      <c r="E286" s="437">
        <v>7.45</v>
      </c>
      <c r="F286" s="437">
        <v>208.2</v>
      </c>
      <c r="G286" s="1192" t="s">
        <v>93</v>
      </c>
      <c r="H286" s="1192" t="s">
        <v>93</v>
      </c>
      <c r="I286" s="1192" t="s">
        <v>93</v>
      </c>
      <c r="J286" s="1192" t="s">
        <v>93</v>
      </c>
      <c r="K286" s="1192" t="s">
        <v>93</v>
      </c>
      <c r="L286" s="1192" t="s">
        <v>93</v>
      </c>
      <c r="M286" s="1183">
        <v>8.25</v>
      </c>
      <c r="N286" s="437">
        <v>0</v>
      </c>
      <c r="O286" s="1183">
        <v>6.25</v>
      </c>
      <c r="P286" s="437">
        <v>1267.8</v>
      </c>
      <c r="Q286" s="1183">
        <v>7.25</v>
      </c>
      <c r="R286" s="437">
        <v>528.9</v>
      </c>
    </row>
    <row r="287" spans="1:18" s="1177" customFormat="1">
      <c r="A287" s="688">
        <v>2025</v>
      </c>
      <c r="B287" s="685">
        <v>6.75</v>
      </c>
      <c r="C287" s="686">
        <v>6.68</v>
      </c>
      <c r="D287" s="686">
        <v>6.8</v>
      </c>
      <c r="E287" s="686">
        <v>6.85</v>
      </c>
      <c r="F287" s="686">
        <v>370.8</v>
      </c>
      <c r="G287" s="1193" t="s">
        <v>93</v>
      </c>
      <c r="H287" s="1193" t="s">
        <v>93</v>
      </c>
      <c r="I287" s="1193">
        <v>6.69</v>
      </c>
      <c r="J287" s="1193">
        <v>2410.4499999999998</v>
      </c>
      <c r="K287" s="1193" t="s">
        <v>93</v>
      </c>
      <c r="L287" s="1193" t="s">
        <v>93</v>
      </c>
      <c r="M287" s="685">
        <v>7.75</v>
      </c>
      <c r="N287" s="686" t="s">
        <v>93</v>
      </c>
      <c r="O287" s="685">
        <v>5.75</v>
      </c>
      <c r="P287" s="686">
        <v>353.36099999999999</v>
      </c>
      <c r="Q287" s="685">
        <v>6.75</v>
      </c>
      <c r="R287" s="686">
        <v>446.96398699999997</v>
      </c>
    </row>
    <row r="288" spans="1:18" s="1177" customFormat="1">
      <c r="A288" s="688" t="s">
        <v>18</v>
      </c>
      <c r="B288" s="1183" t="s">
        <v>93</v>
      </c>
      <c r="C288" s="437" t="s">
        <v>93</v>
      </c>
      <c r="D288" s="437">
        <v>7.25</v>
      </c>
      <c r="E288" s="437">
        <v>7.45</v>
      </c>
      <c r="F288" s="437">
        <v>153.19999999999999</v>
      </c>
      <c r="G288" s="1192" t="s">
        <v>93</v>
      </c>
      <c r="H288" s="1192" t="s">
        <v>93</v>
      </c>
      <c r="I288" s="1192" t="s">
        <v>93</v>
      </c>
      <c r="J288" s="1192" t="s">
        <v>93</v>
      </c>
      <c r="K288" s="1192" t="s">
        <v>93</v>
      </c>
      <c r="L288" s="1192" t="s">
        <v>93</v>
      </c>
      <c r="M288" s="1183">
        <v>8.25</v>
      </c>
      <c r="N288" s="437" t="s">
        <v>93</v>
      </c>
      <c r="O288" s="1183">
        <v>6.25</v>
      </c>
      <c r="P288" s="437">
        <v>51</v>
      </c>
      <c r="Q288" s="1183">
        <v>7.25</v>
      </c>
      <c r="R288" s="437">
        <v>523.25</v>
      </c>
    </row>
    <row r="289" spans="1:18" s="1177" customFormat="1">
      <c r="A289" s="688" t="s">
        <v>19</v>
      </c>
      <c r="B289" s="1183">
        <v>7.27</v>
      </c>
      <c r="C289" s="437">
        <v>7.8</v>
      </c>
      <c r="D289" s="437">
        <v>8.0399999999999991</v>
      </c>
      <c r="E289" s="437">
        <v>8.23</v>
      </c>
      <c r="F289" s="437">
        <v>101.2</v>
      </c>
      <c r="G289" s="1192">
        <v>7.05</v>
      </c>
      <c r="H289" s="1192">
        <v>105.6</v>
      </c>
      <c r="I289" s="1972" t="s">
        <v>93</v>
      </c>
      <c r="J289" s="1969" t="s">
        <v>93</v>
      </c>
      <c r="K289" s="1192" t="s">
        <v>93</v>
      </c>
      <c r="L289" s="1192" t="s">
        <v>93</v>
      </c>
      <c r="M289" s="1183">
        <v>8.25</v>
      </c>
      <c r="N289" s="437" t="s">
        <v>93</v>
      </c>
      <c r="O289" s="1183">
        <v>6.25</v>
      </c>
      <c r="P289" s="437">
        <v>1005.35</v>
      </c>
      <c r="Q289" s="1183">
        <v>7.25</v>
      </c>
      <c r="R289" s="437">
        <v>517.59</v>
      </c>
    </row>
    <row r="290" spans="1:18" s="1177" customFormat="1">
      <c r="A290" s="688" t="s">
        <v>20</v>
      </c>
      <c r="B290" s="1183">
        <v>7</v>
      </c>
      <c r="C290" s="437">
        <v>7.16</v>
      </c>
      <c r="D290" s="437">
        <v>7.5</v>
      </c>
      <c r="E290" s="437">
        <v>7.71</v>
      </c>
      <c r="F290" s="437">
        <v>48.2</v>
      </c>
      <c r="G290" s="1192">
        <v>7.19</v>
      </c>
      <c r="H290" s="1192">
        <v>350</v>
      </c>
      <c r="I290" s="1972" t="s">
        <v>93</v>
      </c>
      <c r="J290" s="1969" t="s">
        <v>93</v>
      </c>
      <c r="K290" s="1192" t="s">
        <v>93</v>
      </c>
      <c r="L290" s="1192" t="s">
        <v>93</v>
      </c>
      <c r="M290" s="1183">
        <v>8.25</v>
      </c>
      <c r="N290" s="437">
        <v>787</v>
      </c>
      <c r="O290" s="1183">
        <v>6.25</v>
      </c>
      <c r="P290" s="437">
        <v>61.15</v>
      </c>
      <c r="Q290" s="1183">
        <v>7.25</v>
      </c>
      <c r="R290" s="437">
        <v>497.97</v>
      </c>
    </row>
    <row r="291" spans="1:18" s="1177" customFormat="1">
      <c r="A291" s="688" t="s">
        <v>21</v>
      </c>
      <c r="B291" s="1183">
        <v>6.99</v>
      </c>
      <c r="C291" s="437">
        <v>7.1</v>
      </c>
      <c r="D291" s="437">
        <v>7.38</v>
      </c>
      <c r="E291" s="437">
        <v>7.7</v>
      </c>
      <c r="F291" s="437">
        <v>70.7</v>
      </c>
      <c r="G291" s="1192">
        <v>7.24</v>
      </c>
      <c r="H291" s="1192">
        <v>1049.01</v>
      </c>
      <c r="I291" s="1972" t="s">
        <v>93</v>
      </c>
      <c r="J291" s="1969" t="s">
        <v>93</v>
      </c>
      <c r="K291" s="1192" t="s">
        <v>93</v>
      </c>
      <c r="L291" s="1192" t="s">
        <v>93</v>
      </c>
      <c r="M291" s="1183">
        <v>8.25</v>
      </c>
      <c r="N291" s="437" t="s">
        <v>93</v>
      </c>
      <c r="O291" s="1183">
        <v>6.25</v>
      </c>
      <c r="P291" s="437">
        <v>605.09</v>
      </c>
      <c r="Q291" s="1183">
        <v>7.25</v>
      </c>
      <c r="R291" s="437">
        <v>492.16155500000002</v>
      </c>
    </row>
    <row r="292" spans="1:18" s="1177" customFormat="1">
      <c r="A292" s="688" t="s">
        <v>22</v>
      </c>
      <c r="B292" s="1183">
        <v>7.09</v>
      </c>
      <c r="C292" s="437">
        <v>7.18</v>
      </c>
      <c r="D292" s="437">
        <v>7.35</v>
      </c>
      <c r="E292" s="437">
        <v>7.58</v>
      </c>
      <c r="F292" s="437">
        <v>187.5</v>
      </c>
      <c r="G292" s="1192">
        <v>7.22</v>
      </c>
      <c r="H292" s="1192">
        <v>1700</v>
      </c>
      <c r="I292" s="1972" t="s">
        <v>93</v>
      </c>
      <c r="J292" s="1969" t="s">
        <v>93</v>
      </c>
      <c r="K292" s="1192" t="s">
        <v>93</v>
      </c>
      <c r="L292" s="1192" t="s">
        <v>93</v>
      </c>
      <c r="M292" s="1183">
        <v>8.25</v>
      </c>
      <c r="N292" s="437" t="s">
        <v>93</v>
      </c>
      <c r="O292" s="1183">
        <v>6.25</v>
      </c>
      <c r="P292" s="437">
        <v>381.6</v>
      </c>
      <c r="Q292" s="1183">
        <v>7.25</v>
      </c>
      <c r="R292" s="437">
        <v>486.33898699999997</v>
      </c>
    </row>
    <row r="293" spans="1:18" s="1177" customFormat="1">
      <c r="A293" s="688" t="s">
        <v>23</v>
      </c>
      <c r="B293" s="1183">
        <v>7.24</v>
      </c>
      <c r="C293" s="437">
        <v>7.54</v>
      </c>
      <c r="D293" s="437">
        <v>7.5</v>
      </c>
      <c r="E293" s="437">
        <v>7.56</v>
      </c>
      <c r="F293" s="437">
        <v>599.29999999999995</v>
      </c>
      <c r="G293" s="1192" t="s">
        <v>93</v>
      </c>
      <c r="H293" s="1192" t="s">
        <v>93</v>
      </c>
      <c r="I293" s="1972">
        <v>7.22</v>
      </c>
      <c r="J293" s="1969">
        <v>1750.5</v>
      </c>
      <c r="K293" s="1192" t="s">
        <v>93</v>
      </c>
      <c r="L293" s="1192" t="s">
        <v>93</v>
      </c>
      <c r="M293" s="1183">
        <v>8.25</v>
      </c>
      <c r="N293" s="437" t="s">
        <v>93</v>
      </c>
      <c r="O293" s="1183">
        <v>6.25</v>
      </c>
      <c r="P293" s="437">
        <v>894.2</v>
      </c>
      <c r="Q293" s="1183">
        <v>7.25</v>
      </c>
      <c r="R293" s="437">
        <v>480.71398699999997</v>
      </c>
    </row>
    <row r="294" spans="1:18" s="1177" customFormat="1">
      <c r="A294" s="688" t="s">
        <v>24</v>
      </c>
      <c r="B294" s="1183">
        <v>7.01</v>
      </c>
      <c r="C294" s="437">
        <v>7.24</v>
      </c>
      <c r="D294" s="437">
        <v>7.39</v>
      </c>
      <c r="E294" s="437">
        <v>7.48</v>
      </c>
      <c r="F294" s="437">
        <v>731.3</v>
      </c>
      <c r="G294" s="1192" t="s">
        <v>93</v>
      </c>
      <c r="H294" s="1192" t="s">
        <v>93</v>
      </c>
      <c r="I294" s="1972">
        <v>6.98</v>
      </c>
      <c r="J294" s="1969">
        <v>2371.6999999999998</v>
      </c>
      <c r="K294" s="1192" t="s">
        <v>93</v>
      </c>
      <c r="L294" s="1192" t="s">
        <v>93</v>
      </c>
      <c r="M294" s="1183">
        <v>8</v>
      </c>
      <c r="N294" s="437" t="s">
        <v>93</v>
      </c>
      <c r="O294" s="1183">
        <v>6</v>
      </c>
      <c r="P294" s="437">
        <v>275.89999999999998</v>
      </c>
      <c r="Q294" s="1183">
        <v>7</v>
      </c>
      <c r="R294" s="437">
        <v>475.08898699999997</v>
      </c>
    </row>
    <row r="295" spans="1:18" s="1177" customFormat="1">
      <c r="A295" s="688" t="s">
        <v>25</v>
      </c>
      <c r="B295" s="1183">
        <v>6.9</v>
      </c>
      <c r="C295" s="437">
        <v>7.02</v>
      </c>
      <c r="D295" s="437">
        <v>7.1</v>
      </c>
      <c r="E295" s="437">
        <v>7.16</v>
      </c>
      <c r="F295" s="437">
        <v>716.1</v>
      </c>
      <c r="G295" s="1192" t="s">
        <v>93</v>
      </c>
      <c r="H295" s="1192" t="s">
        <v>93</v>
      </c>
      <c r="I295" s="1972">
        <v>6.97</v>
      </c>
      <c r="J295" s="1969">
        <v>2206.5</v>
      </c>
      <c r="K295" s="1192" t="s">
        <v>93</v>
      </c>
      <c r="L295" s="1192" t="s">
        <v>93</v>
      </c>
      <c r="M295" s="1183">
        <v>8</v>
      </c>
      <c r="N295" s="437" t="s">
        <v>93</v>
      </c>
      <c r="O295" s="1183">
        <v>6</v>
      </c>
      <c r="P295" s="437">
        <v>273.27999999999997</v>
      </c>
      <c r="Q295" s="1183">
        <v>7</v>
      </c>
      <c r="R295" s="437">
        <v>469.46398699999997</v>
      </c>
    </row>
    <row r="296" spans="1:18" s="1177" customFormat="1">
      <c r="A296" s="688" t="s">
        <v>26</v>
      </c>
      <c r="B296" s="1183">
        <v>6.92</v>
      </c>
      <c r="C296" s="437">
        <v>6.94</v>
      </c>
      <c r="D296" s="437">
        <v>6.99</v>
      </c>
      <c r="E296" s="437">
        <v>7.06</v>
      </c>
      <c r="F296" s="437">
        <v>622.4</v>
      </c>
      <c r="G296" s="1192" t="s">
        <v>93</v>
      </c>
      <c r="H296" s="1192" t="s">
        <v>93</v>
      </c>
      <c r="I296" s="1972">
        <v>6.86</v>
      </c>
      <c r="J296" s="1969">
        <v>1250</v>
      </c>
      <c r="K296" s="1192" t="s">
        <v>93</v>
      </c>
      <c r="L296" s="1192" t="s">
        <v>93</v>
      </c>
      <c r="M296" s="1183">
        <v>8</v>
      </c>
      <c r="N296" s="437" t="s">
        <v>93</v>
      </c>
      <c r="O296" s="1183">
        <v>6</v>
      </c>
      <c r="P296" s="437">
        <v>801.45</v>
      </c>
      <c r="Q296" s="1183">
        <v>7</v>
      </c>
      <c r="R296" s="437">
        <v>463.83898699999997</v>
      </c>
    </row>
    <row r="297" spans="1:18" s="1177" customFormat="1">
      <c r="A297" s="688">
        <v>10</v>
      </c>
      <c r="B297" s="1183">
        <v>6.75</v>
      </c>
      <c r="C297" s="437">
        <v>6.8</v>
      </c>
      <c r="D297" s="437">
        <v>6.94</v>
      </c>
      <c r="E297" s="437">
        <v>7.04</v>
      </c>
      <c r="F297" s="437">
        <v>565.70000000000005</v>
      </c>
      <c r="G297" s="1192" t="s">
        <v>93</v>
      </c>
      <c r="H297" s="1192" t="s">
        <v>93</v>
      </c>
      <c r="I297" s="1972">
        <v>6.85</v>
      </c>
      <c r="J297" s="1969">
        <v>2476</v>
      </c>
      <c r="K297" s="1192" t="s">
        <v>93</v>
      </c>
      <c r="L297" s="1192" t="s">
        <v>93</v>
      </c>
      <c r="M297" s="1183">
        <v>8</v>
      </c>
      <c r="N297" s="437" t="s">
        <v>93</v>
      </c>
      <c r="O297" s="1183">
        <v>6</v>
      </c>
      <c r="P297" s="437">
        <v>429.6</v>
      </c>
      <c r="Q297" s="1183">
        <v>7</v>
      </c>
      <c r="R297" s="437">
        <v>458.21</v>
      </c>
    </row>
    <row r="298" spans="1:18" s="1177" customFormat="1">
      <c r="A298" s="688">
        <v>11</v>
      </c>
      <c r="B298" s="1183">
        <v>6.75</v>
      </c>
      <c r="C298" s="437">
        <v>6.78</v>
      </c>
      <c r="D298" s="437">
        <v>6.95</v>
      </c>
      <c r="E298" s="437">
        <v>7</v>
      </c>
      <c r="F298" s="437">
        <v>472.4</v>
      </c>
      <c r="G298" s="1192" t="s">
        <v>93</v>
      </c>
      <c r="H298" s="1192" t="s">
        <v>93</v>
      </c>
      <c r="I298" s="1972">
        <v>6.9</v>
      </c>
      <c r="J298" s="1969">
        <v>3130</v>
      </c>
      <c r="K298" s="1192" t="s">
        <v>93</v>
      </c>
      <c r="L298" s="1192" t="s">
        <v>93</v>
      </c>
      <c r="M298" s="1183">
        <v>8</v>
      </c>
      <c r="N298" s="437" t="s">
        <v>93</v>
      </c>
      <c r="O298" s="1183">
        <v>6</v>
      </c>
      <c r="P298" s="437">
        <v>416.327</v>
      </c>
      <c r="Q298" s="1183">
        <v>7</v>
      </c>
      <c r="R298" s="437">
        <v>452.59</v>
      </c>
    </row>
    <row r="299" spans="1:18" s="1177" customFormat="1">
      <c r="A299" s="688">
        <v>12</v>
      </c>
      <c r="B299" s="1183">
        <v>6.75</v>
      </c>
      <c r="C299" s="437">
        <v>6.68</v>
      </c>
      <c r="D299" s="437">
        <v>6.8</v>
      </c>
      <c r="E299" s="437">
        <v>6.85</v>
      </c>
      <c r="F299" s="437">
        <v>370.8</v>
      </c>
      <c r="G299" s="1192" t="s">
        <v>93</v>
      </c>
      <c r="H299" s="1192" t="s">
        <v>93</v>
      </c>
      <c r="I299" s="1972">
        <v>6.69</v>
      </c>
      <c r="J299" s="1969">
        <v>2410.4499999999998</v>
      </c>
      <c r="K299" s="1192" t="s">
        <v>93</v>
      </c>
      <c r="L299" s="1192" t="s">
        <v>93</v>
      </c>
      <c r="M299" s="1183">
        <v>7.75</v>
      </c>
      <c r="N299" s="437" t="s">
        <v>93</v>
      </c>
      <c r="O299" s="1183">
        <v>5.75</v>
      </c>
      <c r="P299" s="437">
        <v>353.36099999999999</v>
      </c>
      <c r="Q299" s="1183">
        <v>6.75</v>
      </c>
      <c r="R299" s="437">
        <v>446.96398699999997</v>
      </c>
    </row>
    <row r="300" spans="1:18" s="1177" customFormat="1">
      <c r="A300" s="688">
        <v>2026</v>
      </c>
      <c r="B300" s="1183"/>
      <c r="C300" s="437"/>
      <c r="D300" s="437"/>
      <c r="E300" s="437"/>
      <c r="F300" s="437"/>
      <c r="G300" s="1192"/>
      <c r="H300" s="1192"/>
      <c r="I300" s="1972"/>
      <c r="J300" s="1969"/>
      <c r="K300" s="1192"/>
      <c r="L300" s="1192"/>
      <c r="M300" s="1183"/>
      <c r="N300" s="437"/>
      <c r="O300" s="1183"/>
      <c r="P300" s="437"/>
      <c r="Q300" s="1183"/>
      <c r="R300" s="437"/>
    </row>
    <row r="301" spans="1:18" s="1177" customFormat="1">
      <c r="A301" s="688" t="s">
        <v>18</v>
      </c>
      <c r="B301" s="1183">
        <v>6.58</v>
      </c>
      <c r="C301" s="437">
        <v>6.61</v>
      </c>
      <c r="D301" s="437">
        <v>6.66</v>
      </c>
      <c r="E301" s="437">
        <v>6.68</v>
      </c>
      <c r="F301" s="437">
        <v>374.3</v>
      </c>
      <c r="G301" s="1192" t="s">
        <v>93</v>
      </c>
      <c r="H301" s="1192" t="s">
        <v>93</v>
      </c>
      <c r="I301" s="1972">
        <v>6.68</v>
      </c>
      <c r="J301" s="1969">
        <v>1850</v>
      </c>
      <c r="K301" s="1192" t="s">
        <v>93</v>
      </c>
      <c r="L301" s="1192" t="s">
        <v>93</v>
      </c>
      <c r="M301" s="1183">
        <v>7.75</v>
      </c>
      <c r="N301" s="437" t="s">
        <v>93</v>
      </c>
      <c r="O301" s="1183">
        <v>5.75</v>
      </c>
      <c r="P301" s="437">
        <v>152.05199999999999</v>
      </c>
      <c r="Q301" s="1183">
        <v>6.75</v>
      </c>
      <c r="R301" s="437">
        <v>441.33894299999997</v>
      </c>
    </row>
    <row r="302" spans="1:18" s="1177" customFormat="1">
      <c r="A302" s="688" t="s">
        <v>19</v>
      </c>
      <c r="B302" s="1183">
        <v>6.42</v>
      </c>
      <c r="C302" s="437">
        <v>6.43</v>
      </c>
      <c r="D302" s="437">
        <v>6.54</v>
      </c>
      <c r="E302" s="437">
        <v>6.53</v>
      </c>
      <c r="F302" s="437">
        <v>319.39999999999998</v>
      </c>
      <c r="G302" s="1192" t="s">
        <v>93</v>
      </c>
      <c r="H302" s="1192" t="s">
        <v>93</v>
      </c>
      <c r="I302" s="1972">
        <v>6.47</v>
      </c>
      <c r="J302" s="1969">
        <v>2282.75</v>
      </c>
      <c r="K302" s="1192" t="s">
        <v>93</v>
      </c>
      <c r="L302" s="1192" t="s">
        <v>93</v>
      </c>
      <c r="M302" s="1183">
        <v>7.5</v>
      </c>
      <c r="N302" s="437" t="s">
        <v>93</v>
      </c>
      <c r="O302" s="1183">
        <v>5.5</v>
      </c>
      <c r="P302" s="437">
        <v>277.42899999999997</v>
      </c>
      <c r="Q302" s="1183">
        <v>6.5</v>
      </c>
      <c r="R302" s="437">
        <v>435.71394299999997</v>
      </c>
    </row>
    <row r="303" spans="1:18" s="1177" customFormat="1">
      <c r="A303" s="688" t="s">
        <v>20</v>
      </c>
      <c r="B303" s="1183">
        <v>6.25</v>
      </c>
      <c r="C303" s="437">
        <v>6.22</v>
      </c>
      <c r="D303" s="437">
        <v>6.32</v>
      </c>
      <c r="E303" s="437">
        <v>6.35</v>
      </c>
      <c r="F303" s="437">
        <v>306.89999999999998</v>
      </c>
      <c r="G303" s="1192" t="s">
        <v>93</v>
      </c>
      <c r="H303" s="1192" t="s">
        <v>93</v>
      </c>
      <c r="I303" s="1972">
        <v>6.46</v>
      </c>
      <c r="J303" s="1969">
        <v>2200</v>
      </c>
      <c r="K303" s="1192" t="s">
        <v>93</v>
      </c>
      <c r="L303" s="1192" t="s">
        <v>93</v>
      </c>
      <c r="M303" s="1183">
        <v>7.5</v>
      </c>
      <c r="N303" s="437" t="s">
        <v>93</v>
      </c>
      <c r="O303" s="1183">
        <v>5.5</v>
      </c>
      <c r="P303" s="437">
        <v>452.14100000000002</v>
      </c>
      <c r="Q303" s="1183">
        <v>6.5</v>
      </c>
      <c r="R303" s="437">
        <v>430.08894299999997</v>
      </c>
    </row>
    <row r="304" spans="1:18" s="1177" customFormat="1">
      <c r="A304" s="688" t="s">
        <v>21</v>
      </c>
      <c r="B304" s="1183">
        <v>6.99</v>
      </c>
      <c r="C304" s="437">
        <v>6.47</v>
      </c>
      <c r="D304" s="437">
        <v>6.35</v>
      </c>
      <c r="E304" s="437">
        <v>6.47</v>
      </c>
      <c r="F304" s="437">
        <v>354.8</v>
      </c>
      <c r="G304" s="1192" t="s">
        <v>93</v>
      </c>
      <c r="H304" s="1192" t="s">
        <v>93</v>
      </c>
      <c r="I304" s="1972">
        <v>6.47</v>
      </c>
      <c r="J304" s="1969">
        <v>2935.5</v>
      </c>
      <c r="K304" s="1192" t="s">
        <v>93</v>
      </c>
      <c r="L304" s="1192" t="s">
        <v>93</v>
      </c>
      <c r="M304" s="1183">
        <v>7.5</v>
      </c>
      <c r="N304" s="437" t="s">
        <v>93</v>
      </c>
      <c r="O304" s="1183">
        <v>5.5</v>
      </c>
      <c r="P304" s="437">
        <v>543.08000000000004</v>
      </c>
      <c r="Q304" s="1183">
        <v>6.5</v>
      </c>
      <c r="R304" s="437">
        <v>424.46394299999997</v>
      </c>
    </row>
    <row r="305" spans="1:18" s="1177" customFormat="1">
      <c r="A305" s="688" t="s">
        <v>22</v>
      </c>
      <c r="B305" s="1183">
        <v>6.8</v>
      </c>
      <c r="C305" s="437">
        <v>6.45</v>
      </c>
      <c r="D305" s="437">
        <v>6.47</v>
      </c>
      <c r="E305" s="437">
        <v>6.65</v>
      </c>
      <c r="F305" s="437">
        <v>393.8</v>
      </c>
      <c r="G305" s="1192" t="s">
        <v>93</v>
      </c>
      <c r="H305" s="1192" t="s">
        <v>93</v>
      </c>
      <c r="I305" s="1972">
        <v>6.46</v>
      </c>
      <c r="J305" s="1969">
        <v>3250</v>
      </c>
      <c r="K305" s="1192" t="s">
        <v>93</v>
      </c>
      <c r="L305" s="1192" t="s">
        <v>93</v>
      </c>
      <c r="M305" s="1183">
        <v>7.5</v>
      </c>
      <c r="N305" s="437" t="s">
        <v>93</v>
      </c>
      <c r="O305" s="1183">
        <v>5.5</v>
      </c>
      <c r="P305" s="437">
        <v>794.1</v>
      </c>
      <c r="Q305" s="1183">
        <v>6.5</v>
      </c>
      <c r="R305" s="437">
        <v>418.83894299999997</v>
      </c>
    </row>
    <row r="306" spans="1:18" s="1177" customFormat="1">
      <c r="A306" s="1761" t="s">
        <v>23</v>
      </c>
      <c r="B306" s="1185">
        <v>6.54</v>
      </c>
      <c r="C306" s="1186">
        <v>6.49</v>
      </c>
      <c r="D306" s="1186">
        <v>6.48</v>
      </c>
      <c r="E306" s="1186">
        <v>6.5</v>
      </c>
      <c r="F306" s="1186">
        <v>483.8</v>
      </c>
      <c r="G306" s="1194" t="s">
        <v>93</v>
      </c>
      <c r="H306" s="1194" t="s">
        <v>93</v>
      </c>
      <c r="I306" s="1973">
        <v>6.42</v>
      </c>
      <c r="J306" s="1971">
        <v>2600</v>
      </c>
      <c r="K306" s="1194" t="s">
        <v>93</v>
      </c>
      <c r="L306" s="1194" t="s">
        <v>93</v>
      </c>
      <c r="M306" s="1185">
        <v>7.5</v>
      </c>
      <c r="N306" s="1186" t="s">
        <v>93</v>
      </c>
      <c r="O306" s="1185">
        <v>5.5</v>
      </c>
      <c r="P306" s="1186">
        <v>2608.4180000000001</v>
      </c>
      <c r="Q306" s="1185">
        <v>6.5</v>
      </c>
      <c r="R306" s="1186">
        <v>413.21394299999997</v>
      </c>
    </row>
    <row r="307" spans="1:18" s="745" customFormat="1" ht="22.5" customHeight="1">
      <c r="A307" s="2465" t="s">
        <v>2691</v>
      </c>
      <c r="B307" s="2465"/>
      <c r="C307" s="2465"/>
      <c r="D307" s="2465"/>
      <c r="E307" s="2465"/>
      <c r="F307" s="2465"/>
      <c r="G307" s="2465"/>
      <c r="H307" s="2465"/>
      <c r="I307" s="2465"/>
      <c r="J307" s="2465"/>
      <c r="K307" s="2465"/>
      <c r="L307" s="2465"/>
      <c r="M307" s="744"/>
      <c r="N307" s="744"/>
      <c r="O307" s="744"/>
      <c r="P307" s="744"/>
    </row>
    <row r="308" spans="1:18">
      <c r="B308" s="745"/>
      <c r="C308" s="745"/>
      <c r="D308" s="745"/>
      <c r="E308" s="745"/>
      <c r="F308" s="745"/>
      <c r="G308" s="745"/>
      <c r="H308" s="745"/>
      <c r="I308" s="745"/>
      <c r="J308" s="745"/>
      <c r="K308" s="745"/>
      <c r="L308" s="745"/>
      <c r="M308" s="745"/>
      <c r="N308" s="745"/>
      <c r="O308" s="745"/>
      <c r="P308" s="745"/>
      <c r="Q308" s="745"/>
      <c r="R308" s="745"/>
    </row>
  </sheetData>
  <mergeCells count="63">
    <mergeCell ref="Q12:Q13"/>
    <mergeCell ref="R12:R13"/>
    <mergeCell ref="A307:L307"/>
    <mergeCell ref="K12:K13"/>
    <mergeCell ref="L12:L13"/>
    <mergeCell ref="M12:M13"/>
    <mergeCell ref="N12:N13"/>
    <mergeCell ref="O12:O13"/>
    <mergeCell ref="P12:P13"/>
    <mergeCell ref="M11:N11"/>
    <mergeCell ref="O11:P11"/>
    <mergeCell ref="B12:B13"/>
    <mergeCell ref="C12:C13"/>
    <mergeCell ref="D12:D13"/>
    <mergeCell ref="E12:E13"/>
    <mergeCell ref="F12:F13"/>
    <mergeCell ref="G12:G13"/>
    <mergeCell ref="H12:H13"/>
    <mergeCell ref="I11:J11"/>
    <mergeCell ref="I12:I13"/>
    <mergeCell ref="J12:J13"/>
    <mergeCell ref="R8:R9"/>
    <mergeCell ref="A10:A13"/>
    <mergeCell ref="B10:F11"/>
    <mergeCell ref="G10:H10"/>
    <mergeCell ref="K10:L10"/>
    <mergeCell ref="M10:N10"/>
    <mergeCell ref="O10:P10"/>
    <mergeCell ref="Q10:R11"/>
    <mergeCell ref="G11:H11"/>
    <mergeCell ref="K8:K9"/>
    <mergeCell ref="L8:L9"/>
    <mergeCell ref="M8:M9"/>
    <mergeCell ref="N8:N9"/>
    <mergeCell ref="O8:O9"/>
    <mergeCell ref="P8:P9"/>
    <mergeCell ref="K11:L11"/>
    <mergeCell ref="E8:E9"/>
    <mergeCell ref="F8:F9"/>
    <mergeCell ref="G8:G9"/>
    <mergeCell ref="H8:H9"/>
    <mergeCell ref="Q8:Q9"/>
    <mergeCell ref="A2:R2"/>
    <mergeCell ref="A3:R3"/>
    <mergeCell ref="A6:A9"/>
    <mergeCell ref="B6:F7"/>
    <mergeCell ref="G6:H6"/>
    <mergeCell ref="K6:L6"/>
    <mergeCell ref="M6:N6"/>
    <mergeCell ref="O6:P6"/>
    <mergeCell ref="Q6:R7"/>
    <mergeCell ref="G7:H7"/>
    <mergeCell ref="K7:L7"/>
    <mergeCell ref="M7:N7"/>
    <mergeCell ref="O7:P7"/>
    <mergeCell ref="B8:B9"/>
    <mergeCell ref="C8:C9"/>
    <mergeCell ref="D8:D9"/>
    <mergeCell ref="I6:J6"/>
    <mergeCell ref="I7:J7"/>
    <mergeCell ref="I8:I9"/>
    <mergeCell ref="J8:J9"/>
    <mergeCell ref="I10:J10"/>
  </mergeCells>
  <phoneticPr fontId="348" type="noConversion"/>
  <printOptions horizontalCentered="1"/>
  <pageMargins left="0.23622047244094491" right="0.27559055118110237" top="0.23622047244094491" bottom="0.23622047244094491" header="0.23622047244094491" footer="0.27559055118110237"/>
  <pageSetup paperSize="9" scale="4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A1:XFD23"/>
  <sheetViews>
    <sheetView showGridLines="0" view="pageBreakPreview" zoomScaleNormal="85" zoomScaleSheetLayoutView="100" workbookViewId="0">
      <pane ySplit="8" topLeftCell="A9" activePane="bottomLeft" state="frozen"/>
      <selection activeCell="F40" sqref="F40"/>
      <selection pane="bottomLeft" activeCell="F40" sqref="F40"/>
    </sheetView>
  </sheetViews>
  <sheetFormatPr defaultColWidth="27" defaultRowHeight="15"/>
  <cols>
    <col min="1" max="1" width="68.7109375" style="15" customWidth="1"/>
    <col min="2" max="4" width="27.7109375" style="453" customWidth="1"/>
    <col min="5" max="5" width="5.140625" style="15" customWidth="1"/>
    <col min="6" max="200" width="4" style="15" customWidth="1"/>
    <col min="201" max="201" width="0" style="15" hidden="1" customWidth="1"/>
    <col min="202" max="202" width="56" style="15" bestFit="1" customWidth="1"/>
    <col min="203" max="203" width="29.140625" style="15" customWidth="1"/>
    <col min="204" max="205" width="0" style="15" hidden="1" customWidth="1"/>
    <col min="206" max="16384" width="27" style="15"/>
  </cols>
  <sheetData>
    <row r="1" spans="1:197" ht="9" customHeight="1">
      <c r="A1" s="2063"/>
      <c r="B1" s="2063"/>
      <c r="C1" s="2063"/>
      <c r="D1" s="2063"/>
    </row>
    <row r="2" spans="1:197" ht="24.75" customHeight="1">
      <c r="A2" s="2064" t="s">
        <v>2794</v>
      </c>
      <c r="B2" s="2064"/>
      <c r="C2" s="2064"/>
      <c r="D2" s="2064"/>
    </row>
    <row r="3" spans="1:197" ht="29.25" customHeight="1">
      <c r="A3" s="2065" t="s">
        <v>3654</v>
      </c>
      <c r="B3" s="2066"/>
      <c r="C3" s="2066"/>
      <c r="D3" s="2066"/>
    </row>
    <row r="4" spans="1:197" ht="14.25" customHeight="1">
      <c r="A4" s="482"/>
      <c r="B4" s="483"/>
      <c r="C4" s="483"/>
      <c r="D4" s="483"/>
    </row>
    <row r="5" spans="1:197" ht="14.25" customHeight="1">
      <c r="A5" s="878"/>
      <c r="B5" s="877"/>
      <c r="C5" s="877"/>
      <c r="D5" s="877"/>
    </row>
    <row r="6" spans="1:197" s="872" customFormat="1" ht="24.75" customHeight="1">
      <c r="A6" s="2067"/>
      <c r="B6" s="876" t="s">
        <v>2542</v>
      </c>
      <c r="C6" s="876" t="s">
        <v>3887</v>
      </c>
      <c r="D6" s="875" t="s">
        <v>2543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288"/>
      <c r="CB6" s="308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</row>
    <row r="7" spans="1:197" s="872" customFormat="1" ht="24.75" customHeight="1">
      <c r="A7" s="2068"/>
      <c r="B7" s="874" t="s">
        <v>2544</v>
      </c>
      <c r="C7" s="874" t="s">
        <v>3888</v>
      </c>
      <c r="D7" s="873" t="s">
        <v>2545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288"/>
      <c r="CB7" s="308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</row>
    <row r="8" spans="1:197" s="872" customFormat="1" ht="24.75" customHeight="1">
      <c r="A8" s="2069"/>
      <c r="B8" s="2070" t="s">
        <v>4548</v>
      </c>
      <c r="C8" s="2071"/>
      <c r="D8" s="2072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309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</row>
    <row r="9" spans="1:197" s="867" customFormat="1" ht="43.5" customHeight="1">
      <c r="A9" s="454" t="s">
        <v>4284</v>
      </c>
      <c r="B9" s="871">
        <v>-0.29999999999999716</v>
      </c>
      <c r="C9" s="1385">
        <v>5.7778115869303406</v>
      </c>
      <c r="D9" s="870">
        <v>5.6535931985028611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310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</row>
    <row r="10" spans="1:197" s="867" customFormat="1" ht="18.75" customHeight="1">
      <c r="A10" s="2058" t="s">
        <v>1191</v>
      </c>
      <c r="B10" s="2059"/>
      <c r="C10" s="2059"/>
      <c r="D10" s="2060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310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</row>
    <row r="11" spans="1:197" s="867" customFormat="1" ht="38.25" customHeight="1">
      <c r="A11" s="455" t="s">
        <v>4277</v>
      </c>
      <c r="B11" s="869">
        <v>-0.70000000000000284</v>
      </c>
      <c r="C11" s="1386">
        <v>7.1451908043316052</v>
      </c>
      <c r="D11" s="868">
        <v>6.748587040617835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310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</row>
    <row r="12" spans="1:197" s="867" customFormat="1" ht="38.25" customHeight="1">
      <c r="A12" s="455" t="s">
        <v>4462</v>
      </c>
      <c r="B12" s="869">
        <v>9.9999999999994316E-2</v>
      </c>
      <c r="C12" s="1386">
        <v>3.8109155454141757</v>
      </c>
      <c r="D12" s="868">
        <v>3.7554372212998288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310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</row>
    <row r="13" spans="1:197" s="867" customFormat="1" ht="38.25" customHeight="1">
      <c r="A13" s="455" t="s">
        <v>4278</v>
      </c>
      <c r="B13" s="869">
        <v>9.9999999999994316E-2</v>
      </c>
      <c r="C13" s="1386">
        <v>5.6329389029235983</v>
      </c>
      <c r="D13" s="868">
        <v>5.6886645605913344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310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</row>
    <row r="14" spans="1:197" s="867" customFormat="1" ht="43.5" customHeight="1">
      <c r="A14" s="899" t="s">
        <v>4285</v>
      </c>
      <c r="B14" s="871">
        <v>-12.5</v>
      </c>
      <c r="C14" s="1385">
        <v>26.8</v>
      </c>
      <c r="D14" s="870">
        <v>20.9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310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</row>
    <row r="15" spans="1:197" s="867" customFormat="1" ht="18.75" customHeight="1">
      <c r="A15" s="2058" t="s">
        <v>4282</v>
      </c>
      <c r="B15" s="2059"/>
      <c r="C15" s="2059"/>
      <c r="D15" s="2060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310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</row>
    <row r="16" spans="1:197" s="867" customFormat="1" ht="38.25" customHeight="1">
      <c r="A16" s="455" t="s">
        <v>4287</v>
      </c>
      <c r="B16" s="869">
        <v>-18.099999999999994</v>
      </c>
      <c r="C16" s="1386">
        <v>30.8</v>
      </c>
      <c r="D16" s="868">
        <v>26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310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</row>
    <row r="17" spans="1:16384" s="867" customFormat="1" ht="38.25" customHeight="1">
      <c r="A17" s="455" t="s">
        <v>4279</v>
      </c>
      <c r="B17" s="869">
        <v>-0.5</v>
      </c>
      <c r="C17" s="1386">
        <v>15</v>
      </c>
      <c r="D17" s="868">
        <v>9.6999999999999993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310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</row>
    <row r="18" spans="1:16384" s="867" customFormat="1" ht="38.25" customHeight="1">
      <c r="A18" s="455" t="s">
        <v>4280</v>
      </c>
      <c r="B18" s="869">
        <v>0</v>
      </c>
      <c r="C18" s="1386">
        <v>0</v>
      </c>
      <c r="D18" s="868">
        <v>0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310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</row>
    <row r="19" spans="1:16384" s="867" customFormat="1" ht="43.5" customHeight="1">
      <c r="A19" s="454" t="s">
        <v>4286</v>
      </c>
      <c r="B19" s="871">
        <v>-0.7</v>
      </c>
      <c r="C19" s="1385">
        <v>3.8</v>
      </c>
      <c r="D19" s="870">
        <v>4.5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310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</row>
    <row r="20" spans="1:16384" s="867" customFormat="1" ht="18.75" customHeight="1">
      <c r="A20" s="2058" t="s">
        <v>4283</v>
      </c>
      <c r="B20" s="2059"/>
      <c r="C20" s="2059"/>
      <c r="D20" s="2060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310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</row>
    <row r="21" spans="1:16384" s="867" customFormat="1" ht="38.25" customHeight="1">
      <c r="A21" s="1387" t="s">
        <v>4281</v>
      </c>
      <c r="B21" s="869">
        <v>-0.4</v>
      </c>
      <c r="C21" s="1386">
        <v>5.3</v>
      </c>
      <c r="D21" s="868">
        <v>6.1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310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</row>
    <row r="22" spans="1:16384" s="722" customFormat="1" ht="32.25" customHeight="1">
      <c r="A22" s="2061" t="s">
        <v>2793</v>
      </c>
      <c r="B22" s="2062"/>
      <c r="C22" s="2062"/>
      <c r="D22" s="2062"/>
      <c r="E22" s="2056"/>
      <c r="F22" s="2057"/>
      <c r="G22" s="2057"/>
      <c r="H22" s="2056"/>
      <c r="I22" s="2057"/>
      <c r="J22" s="2057"/>
      <c r="K22" s="2056"/>
      <c r="L22" s="2057"/>
      <c r="M22" s="2057"/>
      <c r="N22" s="2056"/>
      <c r="O22" s="2057"/>
      <c r="P22" s="2057"/>
      <c r="Q22" s="2056"/>
      <c r="R22" s="2057"/>
      <c r="S22" s="2057"/>
      <c r="T22" s="2056"/>
      <c r="U22" s="2057"/>
      <c r="V22" s="2057"/>
      <c r="W22" s="2056"/>
      <c r="X22" s="2057"/>
      <c r="Y22" s="2057"/>
      <c r="Z22" s="2056"/>
      <c r="AA22" s="2057"/>
      <c r="AB22" s="2057"/>
      <c r="AC22" s="2056"/>
      <c r="AD22" s="2057"/>
      <c r="AE22" s="2057"/>
      <c r="AF22" s="2056"/>
      <c r="AG22" s="2057"/>
      <c r="AH22" s="2057"/>
      <c r="AI22" s="2056"/>
      <c r="AJ22" s="2057"/>
      <c r="AK22" s="2057"/>
      <c r="AL22" s="2056"/>
      <c r="AM22" s="2057"/>
      <c r="AN22" s="2057"/>
      <c r="AO22" s="2056"/>
      <c r="AP22" s="2057"/>
      <c r="AQ22" s="2057"/>
      <c r="AR22" s="2056"/>
      <c r="AS22" s="2057"/>
      <c r="AT22" s="2057"/>
      <c r="AU22" s="2056"/>
      <c r="AV22" s="2057"/>
      <c r="AW22" s="2057"/>
      <c r="AX22" s="2056"/>
      <c r="AY22" s="2057"/>
      <c r="AZ22" s="2057"/>
      <c r="BA22" s="2056"/>
      <c r="BB22" s="2057"/>
      <c r="BC22" s="2057"/>
      <c r="BD22" s="2056"/>
      <c r="BE22" s="2057"/>
      <c r="BF22" s="2057"/>
      <c r="BG22" s="2056"/>
      <c r="BH22" s="2057"/>
      <c r="BI22" s="2057"/>
      <c r="BJ22" s="2056"/>
      <c r="BK22" s="2057"/>
      <c r="BL22" s="2057"/>
      <c r="BM22" s="2056"/>
      <c r="BN22" s="2057"/>
      <c r="BO22" s="2057"/>
      <c r="BP22" s="2056"/>
      <c r="BQ22" s="2057"/>
      <c r="BR22" s="2057"/>
      <c r="BS22" s="2056"/>
      <c r="BT22" s="2057"/>
      <c r="BU22" s="2057"/>
      <c r="BV22" s="2056"/>
      <c r="BW22" s="2057"/>
      <c r="BX22" s="2057"/>
      <c r="BY22" s="2056"/>
      <c r="BZ22" s="2057"/>
      <c r="CA22" s="2057"/>
      <c r="CB22" s="2056"/>
      <c r="CC22" s="2057"/>
      <c r="CD22" s="2057"/>
      <c r="CE22" s="2056"/>
      <c r="CF22" s="2057"/>
      <c r="CG22" s="2057"/>
      <c r="CH22" s="2056"/>
      <c r="CI22" s="2057"/>
      <c r="CJ22" s="2057"/>
      <c r="CK22" s="2056"/>
      <c r="CL22" s="2057"/>
      <c r="CM22" s="2057"/>
      <c r="CN22" s="2056"/>
      <c r="CO22" s="2057"/>
      <c r="CP22" s="2057"/>
      <c r="CQ22" s="2056"/>
      <c r="CR22" s="2057"/>
      <c r="CS22" s="2057"/>
      <c r="CT22" s="2056"/>
      <c r="CU22" s="2057"/>
      <c r="CV22" s="2057"/>
      <c r="CW22" s="2056"/>
      <c r="CX22" s="2057"/>
      <c r="CY22" s="2057"/>
      <c r="CZ22" s="2056"/>
      <c r="DA22" s="2057"/>
      <c r="DB22" s="2057"/>
      <c r="DC22" s="2056"/>
      <c r="DD22" s="2057"/>
      <c r="DE22" s="2057"/>
      <c r="DF22" s="2056"/>
      <c r="DG22" s="2057"/>
      <c r="DH22" s="2057"/>
      <c r="DI22" s="2056"/>
      <c r="DJ22" s="2057"/>
      <c r="DK22" s="2057"/>
      <c r="DL22" s="2056"/>
      <c r="DM22" s="2057"/>
      <c r="DN22" s="2057"/>
      <c r="DO22" s="2056"/>
      <c r="DP22" s="2057"/>
      <c r="DQ22" s="2057"/>
      <c r="DR22" s="2056"/>
      <c r="DS22" s="2057"/>
      <c r="DT22" s="2057"/>
      <c r="DU22" s="2056"/>
      <c r="DV22" s="2057"/>
      <c r="DW22" s="2057"/>
      <c r="DX22" s="2056"/>
      <c r="DY22" s="2057"/>
      <c r="DZ22" s="2057"/>
      <c r="EA22" s="2056"/>
      <c r="EB22" s="2057"/>
      <c r="EC22" s="2057"/>
      <c r="ED22" s="2056"/>
      <c r="EE22" s="2057"/>
      <c r="EF22" s="2057"/>
      <c r="EG22" s="2056"/>
      <c r="EH22" s="2057"/>
      <c r="EI22" s="2057"/>
      <c r="EJ22" s="2056"/>
      <c r="EK22" s="2057"/>
      <c r="EL22" s="2057"/>
      <c r="EM22" s="2056"/>
      <c r="EN22" s="2057"/>
      <c r="EO22" s="2057"/>
      <c r="EP22" s="2056"/>
      <c r="EQ22" s="2057"/>
      <c r="ER22" s="2057"/>
      <c r="ES22" s="2056"/>
      <c r="ET22" s="2057"/>
      <c r="EU22" s="2057"/>
      <c r="EV22" s="2056"/>
      <c r="EW22" s="2057"/>
      <c r="EX22" s="2057"/>
      <c r="EY22" s="2056"/>
      <c r="EZ22" s="2057"/>
      <c r="FA22" s="2057"/>
      <c r="FB22" s="2056"/>
      <c r="FC22" s="2057"/>
      <c r="FD22" s="2057"/>
      <c r="FE22" s="2056"/>
      <c r="FF22" s="2057"/>
      <c r="FG22" s="2057"/>
      <c r="FH22" s="2056"/>
      <c r="FI22" s="2057"/>
      <c r="FJ22" s="2057"/>
      <c r="FK22" s="2056"/>
      <c r="FL22" s="2057"/>
      <c r="FM22" s="2057"/>
      <c r="FN22" s="2056"/>
      <c r="FO22" s="2057"/>
      <c r="FP22" s="2057"/>
      <c r="FQ22" s="2056"/>
      <c r="FR22" s="2057"/>
      <c r="FS22" s="2057"/>
      <c r="FT22" s="2056"/>
      <c r="FU22" s="2057"/>
      <c r="FV22" s="2057"/>
      <c r="FW22" s="2056"/>
      <c r="FX22" s="2057"/>
      <c r="FY22" s="2057"/>
      <c r="FZ22" s="2056"/>
      <c r="GA22" s="2057"/>
      <c r="GB22" s="2057"/>
      <c r="GC22" s="2056"/>
      <c r="GD22" s="2057"/>
      <c r="GE22" s="2057"/>
      <c r="GF22" s="2056"/>
      <c r="GG22" s="2057"/>
      <c r="GH22" s="2057"/>
      <c r="GI22" s="2056"/>
      <c r="GJ22" s="2057"/>
      <c r="GK22" s="2057"/>
      <c r="GL22" s="2056"/>
      <c r="GM22" s="2057"/>
      <c r="GN22" s="2057"/>
      <c r="GO22" s="2056"/>
      <c r="GP22" s="2057"/>
      <c r="GQ22" s="2057"/>
      <c r="GR22" s="2056"/>
      <c r="GS22" s="2057"/>
      <c r="GT22" s="2057"/>
      <c r="GU22" s="2056"/>
      <c r="GV22" s="2057"/>
      <c r="GW22" s="2057"/>
      <c r="GX22" s="2056"/>
      <c r="GY22" s="2057"/>
      <c r="GZ22" s="2057"/>
      <c r="HA22" s="2056"/>
      <c r="HB22" s="2057"/>
      <c r="HC22" s="2057"/>
      <c r="HD22" s="2056"/>
      <c r="HE22" s="2057"/>
      <c r="HF22" s="2057"/>
      <c r="HG22" s="2056"/>
      <c r="HH22" s="2057"/>
      <c r="HI22" s="2057"/>
      <c r="HJ22" s="2056"/>
      <c r="HK22" s="2057"/>
      <c r="HL22" s="2057"/>
      <c r="HM22" s="2056"/>
      <c r="HN22" s="2057"/>
      <c r="HO22" s="2057"/>
      <c r="HP22" s="2056"/>
      <c r="HQ22" s="2057"/>
      <c r="HR22" s="2057"/>
      <c r="HS22" s="2056"/>
      <c r="HT22" s="2057"/>
      <c r="HU22" s="2057"/>
      <c r="HV22" s="2056"/>
      <c r="HW22" s="2057"/>
      <c r="HX22" s="2057"/>
      <c r="HY22" s="2056"/>
      <c r="HZ22" s="2057"/>
      <c r="IA22" s="2057"/>
      <c r="IB22" s="2056"/>
      <c r="IC22" s="2057"/>
      <c r="ID22" s="2057"/>
      <c r="IE22" s="2056"/>
      <c r="IF22" s="2057"/>
      <c r="IG22" s="2057"/>
      <c r="IH22" s="2056"/>
      <c r="II22" s="2057"/>
      <c r="IJ22" s="2057"/>
      <c r="IK22" s="2056"/>
      <c r="IL22" s="2057"/>
      <c r="IM22" s="2057"/>
      <c r="IN22" s="2056"/>
      <c r="IO22" s="2057"/>
      <c r="IP22" s="2057"/>
      <c r="IQ22" s="2056"/>
      <c r="IR22" s="2057"/>
      <c r="IS22" s="2057"/>
      <c r="IT22" s="2056"/>
      <c r="IU22" s="2057"/>
      <c r="IV22" s="2057"/>
      <c r="IW22" s="2056"/>
      <c r="IX22" s="2057"/>
      <c r="IY22" s="2057"/>
      <c r="IZ22" s="2056"/>
      <c r="JA22" s="2057"/>
      <c r="JB22" s="2057"/>
      <c r="JC22" s="2056"/>
      <c r="JD22" s="2057"/>
      <c r="JE22" s="2057"/>
      <c r="JF22" s="2056"/>
      <c r="JG22" s="2057"/>
      <c r="JH22" s="2057"/>
      <c r="JI22" s="2056"/>
      <c r="JJ22" s="2057"/>
      <c r="JK22" s="2057"/>
      <c r="JL22" s="2056"/>
      <c r="JM22" s="2057"/>
      <c r="JN22" s="2057"/>
      <c r="JO22" s="2056"/>
      <c r="JP22" s="2057"/>
      <c r="JQ22" s="2057"/>
      <c r="JR22" s="2056"/>
      <c r="JS22" s="2057"/>
      <c r="JT22" s="2057"/>
      <c r="JU22" s="2056"/>
      <c r="JV22" s="2057"/>
      <c r="JW22" s="2057"/>
      <c r="JX22" s="2056"/>
      <c r="JY22" s="2057"/>
      <c r="JZ22" s="2057"/>
      <c r="KA22" s="2056"/>
      <c r="KB22" s="2057"/>
      <c r="KC22" s="2057"/>
      <c r="KD22" s="2056"/>
      <c r="KE22" s="2057"/>
      <c r="KF22" s="2057"/>
      <c r="KG22" s="2056"/>
      <c r="KH22" s="2057"/>
      <c r="KI22" s="2057"/>
      <c r="KJ22" s="2056"/>
      <c r="KK22" s="2057"/>
      <c r="KL22" s="2057"/>
      <c r="KM22" s="2056"/>
      <c r="KN22" s="2057"/>
      <c r="KO22" s="2057"/>
      <c r="KP22" s="2056"/>
      <c r="KQ22" s="2057"/>
      <c r="KR22" s="2057"/>
      <c r="KS22" s="2056"/>
      <c r="KT22" s="2057"/>
      <c r="KU22" s="2057"/>
      <c r="KV22" s="2056"/>
      <c r="KW22" s="2057"/>
      <c r="KX22" s="2057"/>
      <c r="KY22" s="2056"/>
      <c r="KZ22" s="2057"/>
      <c r="LA22" s="2057"/>
      <c r="LB22" s="2056"/>
      <c r="LC22" s="2057"/>
      <c r="LD22" s="2057"/>
      <c r="LE22" s="2056"/>
      <c r="LF22" s="2057"/>
      <c r="LG22" s="2057"/>
      <c r="LH22" s="2056"/>
      <c r="LI22" s="2057"/>
      <c r="LJ22" s="2057"/>
      <c r="LK22" s="2056"/>
      <c r="LL22" s="2057"/>
      <c r="LM22" s="2057"/>
      <c r="LN22" s="2056"/>
      <c r="LO22" s="2057"/>
      <c r="LP22" s="2057"/>
      <c r="LQ22" s="2056"/>
      <c r="LR22" s="2057"/>
      <c r="LS22" s="2057"/>
      <c r="LT22" s="2056"/>
      <c r="LU22" s="2057"/>
      <c r="LV22" s="2057"/>
      <c r="LW22" s="2056"/>
      <c r="LX22" s="2057"/>
      <c r="LY22" s="2057"/>
      <c r="LZ22" s="2056"/>
      <c r="MA22" s="2057"/>
      <c r="MB22" s="2057"/>
      <c r="MC22" s="2056"/>
      <c r="MD22" s="2057"/>
      <c r="ME22" s="2057"/>
      <c r="MF22" s="2056"/>
      <c r="MG22" s="2057"/>
      <c r="MH22" s="2057"/>
      <c r="MI22" s="2056"/>
      <c r="MJ22" s="2057"/>
      <c r="MK22" s="2057"/>
      <c r="ML22" s="2056"/>
      <c r="MM22" s="2057"/>
      <c r="MN22" s="2057"/>
      <c r="MO22" s="2056"/>
      <c r="MP22" s="2057"/>
      <c r="MQ22" s="2057"/>
      <c r="MR22" s="2056"/>
      <c r="MS22" s="2057"/>
      <c r="MT22" s="2057"/>
      <c r="MU22" s="2056"/>
      <c r="MV22" s="2057"/>
      <c r="MW22" s="2057"/>
      <c r="MX22" s="2056"/>
      <c r="MY22" s="2057"/>
      <c r="MZ22" s="2057"/>
      <c r="NA22" s="2056"/>
      <c r="NB22" s="2057"/>
      <c r="NC22" s="2057"/>
      <c r="ND22" s="2056"/>
      <c r="NE22" s="2057"/>
      <c r="NF22" s="2057"/>
      <c r="NG22" s="2056"/>
      <c r="NH22" s="2057"/>
      <c r="NI22" s="2057"/>
      <c r="NJ22" s="2056"/>
      <c r="NK22" s="2057"/>
      <c r="NL22" s="2057"/>
      <c r="NM22" s="2056"/>
      <c r="NN22" s="2057"/>
      <c r="NO22" s="2057"/>
      <c r="NP22" s="2056"/>
      <c r="NQ22" s="2057"/>
      <c r="NR22" s="2057"/>
      <c r="NS22" s="2056"/>
      <c r="NT22" s="2057"/>
      <c r="NU22" s="2057"/>
      <c r="NV22" s="2056"/>
      <c r="NW22" s="2057"/>
      <c r="NX22" s="2057"/>
      <c r="NY22" s="2056"/>
      <c r="NZ22" s="2057"/>
      <c r="OA22" s="2057"/>
      <c r="OB22" s="2056"/>
      <c r="OC22" s="2057"/>
      <c r="OD22" s="2057"/>
      <c r="OE22" s="2056"/>
      <c r="OF22" s="2057"/>
      <c r="OG22" s="2057"/>
      <c r="OH22" s="2056"/>
      <c r="OI22" s="2057"/>
      <c r="OJ22" s="2057"/>
      <c r="OK22" s="2056"/>
      <c r="OL22" s="2057"/>
      <c r="OM22" s="2057"/>
      <c r="ON22" s="2056"/>
      <c r="OO22" s="2057"/>
      <c r="OP22" s="2057"/>
      <c r="OQ22" s="2056"/>
      <c r="OR22" s="2057"/>
      <c r="OS22" s="2057"/>
      <c r="OT22" s="2056"/>
      <c r="OU22" s="2057"/>
      <c r="OV22" s="2057"/>
      <c r="OW22" s="2056"/>
      <c r="OX22" s="2057"/>
      <c r="OY22" s="2057"/>
      <c r="OZ22" s="2056"/>
      <c r="PA22" s="2057"/>
      <c r="PB22" s="2057"/>
      <c r="PC22" s="2056"/>
      <c r="PD22" s="2057"/>
      <c r="PE22" s="2057"/>
      <c r="PF22" s="2056"/>
      <c r="PG22" s="2057"/>
      <c r="PH22" s="2057"/>
      <c r="PI22" s="2056"/>
      <c r="PJ22" s="2057"/>
      <c r="PK22" s="2057"/>
      <c r="PL22" s="2056"/>
      <c r="PM22" s="2057"/>
      <c r="PN22" s="2057"/>
      <c r="PO22" s="2056"/>
      <c r="PP22" s="2057"/>
      <c r="PQ22" s="2057"/>
      <c r="PR22" s="2056"/>
      <c r="PS22" s="2057"/>
      <c r="PT22" s="2057"/>
      <c r="PU22" s="2056"/>
      <c r="PV22" s="2057"/>
      <c r="PW22" s="2057"/>
      <c r="PX22" s="2056"/>
      <c r="PY22" s="2057"/>
      <c r="PZ22" s="2057"/>
      <c r="QA22" s="2056"/>
      <c r="QB22" s="2057"/>
      <c r="QC22" s="2057"/>
      <c r="QD22" s="2056"/>
      <c r="QE22" s="2057"/>
      <c r="QF22" s="2057"/>
      <c r="QG22" s="2056"/>
      <c r="QH22" s="2057"/>
      <c r="QI22" s="2057"/>
      <c r="QJ22" s="2056"/>
      <c r="QK22" s="2057"/>
      <c r="QL22" s="2057"/>
      <c r="QM22" s="2056"/>
      <c r="QN22" s="2057"/>
      <c r="QO22" s="2057"/>
      <c r="QP22" s="2056"/>
      <c r="QQ22" s="2057"/>
      <c r="QR22" s="2057"/>
      <c r="QS22" s="2056"/>
      <c r="QT22" s="2057"/>
      <c r="QU22" s="2057"/>
      <c r="QV22" s="2056"/>
      <c r="QW22" s="2057"/>
      <c r="QX22" s="2057"/>
      <c r="QY22" s="2056"/>
      <c r="QZ22" s="2057"/>
      <c r="RA22" s="2057"/>
      <c r="RB22" s="2056"/>
      <c r="RC22" s="2057"/>
      <c r="RD22" s="2057"/>
      <c r="RE22" s="2056"/>
      <c r="RF22" s="2057"/>
      <c r="RG22" s="2057"/>
      <c r="RH22" s="2056"/>
      <c r="RI22" s="2057"/>
      <c r="RJ22" s="2057"/>
      <c r="RK22" s="2056"/>
      <c r="RL22" s="2057"/>
      <c r="RM22" s="2057"/>
      <c r="RN22" s="2056"/>
      <c r="RO22" s="2057"/>
      <c r="RP22" s="2057"/>
      <c r="RQ22" s="2056"/>
      <c r="RR22" s="2057"/>
      <c r="RS22" s="2057"/>
      <c r="RT22" s="2056"/>
      <c r="RU22" s="2057"/>
      <c r="RV22" s="2057"/>
      <c r="RW22" s="2056"/>
      <c r="RX22" s="2057"/>
      <c r="RY22" s="2057"/>
      <c r="RZ22" s="2056"/>
      <c r="SA22" s="2057"/>
      <c r="SB22" s="2057"/>
      <c r="SC22" s="2056"/>
      <c r="SD22" s="2057"/>
      <c r="SE22" s="2057"/>
      <c r="SF22" s="2056"/>
      <c r="SG22" s="2057"/>
      <c r="SH22" s="2057"/>
      <c r="SI22" s="2056"/>
      <c r="SJ22" s="2057"/>
      <c r="SK22" s="2057"/>
      <c r="SL22" s="2056"/>
      <c r="SM22" s="2057"/>
      <c r="SN22" s="2057"/>
      <c r="SO22" s="2056"/>
      <c r="SP22" s="2057"/>
      <c r="SQ22" s="2057"/>
      <c r="SR22" s="2056"/>
      <c r="SS22" s="2057"/>
      <c r="ST22" s="2057"/>
      <c r="SU22" s="2056"/>
      <c r="SV22" s="2057"/>
      <c r="SW22" s="2057"/>
      <c r="SX22" s="2056"/>
      <c r="SY22" s="2057"/>
      <c r="SZ22" s="2057"/>
      <c r="TA22" s="2056"/>
      <c r="TB22" s="2057"/>
      <c r="TC22" s="2057"/>
      <c r="TD22" s="2056"/>
      <c r="TE22" s="2057"/>
      <c r="TF22" s="2057"/>
      <c r="TG22" s="2056"/>
      <c r="TH22" s="2057"/>
      <c r="TI22" s="2057"/>
      <c r="TJ22" s="2056"/>
      <c r="TK22" s="2057"/>
      <c r="TL22" s="2057"/>
      <c r="TM22" s="2056"/>
      <c r="TN22" s="2057"/>
      <c r="TO22" s="2057"/>
      <c r="TP22" s="2056"/>
      <c r="TQ22" s="2057"/>
      <c r="TR22" s="2057"/>
      <c r="TS22" s="2056"/>
      <c r="TT22" s="2057"/>
      <c r="TU22" s="2057"/>
      <c r="TV22" s="2056"/>
      <c r="TW22" s="2057"/>
      <c r="TX22" s="2057"/>
      <c r="TY22" s="2056"/>
      <c r="TZ22" s="2057"/>
      <c r="UA22" s="2057"/>
      <c r="UB22" s="2056"/>
      <c r="UC22" s="2057"/>
      <c r="UD22" s="2057"/>
      <c r="UE22" s="2056"/>
      <c r="UF22" s="2057"/>
      <c r="UG22" s="2057"/>
      <c r="UH22" s="2056"/>
      <c r="UI22" s="2057"/>
      <c r="UJ22" s="2057"/>
      <c r="UK22" s="2056"/>
      <c r="UL22" s="2057"/>
      <c r="UM22" s="2057"/>
      <c r="UN22" s="2056"/>
      <c r="UO22" s="2057"/>
      <c r="UP22" s="2057"/>
      <c r="UQ22" s="2056"/>
      <c r="UR22" s="2057"/>
      <c r="US22" s="2057"/>
      <c r="UT22" s="2056"/>
      <c r="UU22" s="2057"/>
      <c r="UV22" s="2057"/>
      <c r="UW22" s="2056"/>
      <c r="UX22" s="2057"/>
      <c r="UY22" s="2057"/>
      <c r="UZ22" s="2056"/>
      <c r="VA22" s="2057"/>
      <c r="VB22" s="2057"/>
      <c r="VC22" s="2056"/>
      <c r="VD22" s="2057"/>
      <c r="VE22" s="2057"/>
      <c r="VF22" s="2056"/>
      <c r="VG22" s="2057"/>
      <c r="VH22" s="2057"/>
      <c r="VI22" s="2056"/>
      <c r="VJ22" s="2057"/>
      <c r="VK22" s="2057"/>
      <c r="VL22" s="2056"/>
      <c r="VM22" s="2057"/>
      <c r="VN22" s="2057"/>
      <c r="VO22" s="2056"/>
      <c r="VP22" s="2057"/>
      <c r="VQ22" s="2057"/>
      <c r="VR22" s="2056"/>
      <c r="VS22" s="2057"/>
      <c r="VT22" s="2057"/>
      <c r="VU22" s="2056"/>
      <c r="VV22" s="2057"/>
      <c r="VW22" s="2057"/>
      <c r="VX22" s="2056"/>
      <c r="VY22" s="2057"/>
      <c r="VZ22" s="2057"/>
      <c r="WA22" s="2056"/>
      <c r="WB22" s="2057"/>
      <c r="WC22" s="2057"/>
      <c r="WD22" s="2056"/>
      <c r="WE22" s="2057"/>
      <c r="WF22" s="2057"/>
      <c r="WG22" s="2056"/>
      <c r="WH22" s="2057"/>
      <c r="WI22" s="2057"/>
      <c r="WJ22" s="2056"/>
      <c r="WK22" s="2057"/>
      <c r="WL22" s="2057"/>
      <c r="WM22" s="2056"/>
      <c r="WN22" s="2057"/>
      <c r="WO22" s="2057"/>
      <c r="WP22" s="2056"/>
      <c r="WQ22" s="2057"/>
      <c r="WR22" s="2057"/>
      <c r="WS22" s="2056"/>
      <c r="WT22" s="2057"/>
      <c r="WU22" s="2057"/>
      <c r="WV22" s="2056"/>
      <c r="WW22" s="2057"/>
      <c r="WX22" s="2057"/>
      <c r="WY22" s="2056"/>
      <c r="WZ22" s="2057"/>
      <c r="XA22" s="2057"/>
      <c r="XB22" s="2056"/>
      <c r="XC22" s="2057"/>
      <c r="XD22" s="2057"/>
      <c r="XE22" s="2056"/>
      <c r="XF22" s="2057"/>
      <c r="XG22" s="2057"/>
      <c r="XH22" s="2056"/>
      <c r="XI22" s="2057"/>
      <c r="XJ22" s="2057"/>
      <c r="XK22" s="2056"/>
      <c r="XL22" s="2057"/>
      <c r="XM22" s="2057"/>
      <c r="XN22" s="2056"/>
      <c r="XO22" s="2057"/>
      <c r="XP22" s="2057"/>
      <c r="XQ22" s="2056"/>
      <c r="XR22" s="2057"/>
      <c r="XS22" s="2057"/>
      <c r="XT22" s="2056"/>
      <c r="XU22" s="2057"/>
      <c r="XV22" s="2057"/>
      <c r="XW22" s="2056"/>
      <c r="XX22" s="2057"/>
      <c r="XY22" s="2057"/>
      <c r="XZ22" s="2056"/>
      <c r="YA22" s="2057"/>
      <c r="YB22" s="2057"/>
      <c r="YC22" s="2056"/>
      <c r="YD22" s="2057"/>
      <c r="YE22" s="2057"/>
      <c r="YF22" s="2056"/>
      <c r="YG22" s="2057"/>
      <c r="YH22" s="2057"/>
      <c r="YI22" s="2056"/>
      <c r="YJ22" s="2057"/>
      <c r="YK22" s="2057"/>
      <c r="YL22" s="2056"/>
      <c r="YM22" s="2057"/>
      <c r="YN22" s="2057"/>
      <c r="YO22" s="2056"/>
      <c r="YP22" s="2057"/>
      <c r="YQ22" s="2057"/>
      <c r="YR22" s="2056"/>
      <c r="YS22" s="2057"/>
      <c r="YT22" s="2057"/>
      <c r="YU22" s="2056"/>
      <c r="YV22" s="2057"/>
      <c r="YW22" s="2057"/>
      <c r="YX22" s="2056"/>
      <c r="YY22" s="2057"/>
      <c r="YZ22" s="2057"/>
      <c r="ZA22" s="2056"/>
      <c r="ZB22" s="2057"/>
      <c r="ZC22" s="2057"/>
      <c r="ZD22" s="2056"/>
      <c r="ZE22" s="2057"/>
      <c r="ZF22" s="2057"/>
      <c r="ZG22" s="2056"/>
      <c r="ZH22" s="2057"/>
      <c r="ZI22" s="2057"/>
      <c r="ZJ22" s="2056"/>
      <c r="ZK22" s="2057"/>
      <c r="ZL22" s="2057"/>
      <c r="ZM22" s="2056"/>
      <c r="ZN22" s="2057"/>
      <c r="ZO22" s="2057"/>
      <c r="ZP22" s="2056"/>
      <c r="ZQ22" s="2057"/>
      <c r="ZR22" s="2057"/>
      <c r="ZS22" s="2056"/>
      <c r="ZT22" s="2057"/>
      <c r="ZU22" s="2057"/>
      <c r="ZV22" s="2056"/>
      <c r="ZW22" s="2057"/>
      <c r="ZX22" s="2057"/>
      <c r="ZY22" s="2056"/>
      <c r="ZZ22" s="2057"/>
      <c r="AAA22" s="2057"/>
      <c r="AAB22" s="2056"/>
      <c r="AAC22" s="2057"/>
      <c r="AAD22" s="2057"/>
      <c r="AAE22" s="2056"/>
      <c r="AAF22" s="2057"/>
      <c r="AAG22" s="2057"/>
      <c r="AAH22" s="2056"/>
      <c r="AAI22" s="2057"/>
      <c r="AAJ22" s="2057"/>
      <c r="AAK22" s="2056"/>
      <c r="AAL22" s="2057"/>
      <c r="AAM22" s="2057"/>
      <c r="AAN22" s="2056"/>
      <c r="AAO22" s="2057"/>
      <c r="AAP22" s="2057"/>
      <c r="AAQ22" s="2056"/>
      <c r="AAR22" s="2057"/>
      <c r="AAS22" s="2057"/>
      <c r="AAT22" s="2056"/>
      <c r="AAU22" s="2057"/>
      <c r="AAV22" s="2057"/>
      <c r="AAW22" s="2056"/>
      <c r="AAX22" s="2057"/>
      <c r="AAY22" s="2057"/>
      <c r="AAZ22" s="2056"/>
      <c r="ABA22" s="2057"/>
      <c r="ABB22" s="2057"/>
      <c r="ABC22" s="2056"/>
      <c r="ABD22" s="2057"/>
      <c r="ABE22" s="2057"/>
      <c r="ABF22" s="2056"/>
      <c r="ABG22" s="2057"/>
      <c r="ABH22" s="2057"/>
      <c r="ABI22" s="2056"/>
      <c r="ABJ22" s="2057"/>
      <c r="ABK22" s="2057"/>
      <c r="ABL22" s="2056"/>
      <c r="ABM22" s="2057"/>
      <c r="ABN22" s="2057"/>
      <c r="ABO22" s="2056"/>
      <c r="ABP22" s="2057"/>
      <c r="ABQ22" s="2057"/>
      <c r="ABR22" s="2056"/>
      <c r="ABS22" s="2057"/>
      <c r="ABT22" s="2057"/>
      <c r="ABU22" s="2056"/>
      <c r="ABV22" s="2057"/>
      <c r="ABW22" s="2057"/>
      <c r="ABX22" s="2056"/>
      <c r="ABY22" s="2057"/>
      <c r="ABZ22" s="2057"/>
      <c r="ACA22" s="2056"/>
      <c r="ACB22" s="2057"/>
      <c r="ACC22" s="2057"/>
      <c r="ACD22" s="2056"/>
      <c r="ACE22" s="2057"/>
      <c r="ACF22" s="2057"/>
      <c r="ACG22" s="2056"/>
      <c r="ACH22" s="2057"/>
      <c r="ACI22" s="2057"/>
      <c r="ACJ22" s="2056"/>
      <c r="ACK22" s="2057"/>
      <c r="ACL22" s="2057"/>
      <c r="ACM22" s="2056"/>
      <c r="ACN22" s="2057"/>
      <c r="ACO22" s="2057"/>
      <c r="ACP22" s="2056"/>
      <c r="ACQ22" s="2057"/>
      <c r="ACR22" s="2057"/>
      <c r="ACS22" s="2056"/>
      <c r="ACT22" s="2057"/>
      <c r="ACU22" s="2057"/>
      <c r="ACV22" s="2056"/>
      <c r="ACW22" s="2057"/>
      <c r="ACX22" s="2057"/>
      <c r="ACY22" s="2056"/>
      <c r="ACZ22" s="2057"/>
      <c r="ADA22" s="2057"/>
      <c r="ADB22" s="2056"/>
      <c r="ADC22" s="2057"/>
      <c r="ADD22" s="2057"/>
      <c r="ADE22" s="2056"/>
      <c r="ADF22" s="2057"/>
      <c r="ADG22" s="2057"/>
      <c r="ADH22" s="2056"/>
      <c r="ADI22" s="2057"/>
      <c r="ADJ22" s="2057"/>
      <c r="ADK22" s="2056"/>
      <c r="ADL22" s="2057"/>
      <c r="ADM22" s="2057"/>
      <c r="ADN22" s="2056"/>
      <c r="ADO22" s="2057"/>
      <c r="ADP22" s="2057"/>
      <c r="ADQ22" s="2056"/>
      <c r="ADR22" s="2057"/>
      <c r="ADS22" s="2057"/>
      <c r="ADT22" s="2056"/>
      <c r="ADU22" s="2057"/>
      <c r="ADV22" s="2057"/>
      <c r="ADW22" s="2056"/>
      <c r="ADX22" s="2057"/>
      <c r="ADY22" s="2057"/>
      <c r="ADZ22" s="2056"/>
      <c r="AEA22" s="2057"/>
      <c r="AEB22" s="2057"/>
      <c r="AEC22" s="2056"/>
      <c r="AED22" s="2057"/>
      <c r="AEE22" s="2057"/>
      <c r="AEF22" s="2056"/>
      <c r="AEG22" s="2057"/>
      <c r="AEH22" s="2057"/>
      <c r="AEI22" s="2056"/>
      <c r="AEJ22" s="2057"/>
      <c r="AEK22" s="2057"/>
      <c r="AEL22" s="2056"/>
      <c r="AEM22" s="2057"/>
      <c r="AEN22" s="2057"/>
      <c r="AEO22" s="2056"/>
      <c r="AEP22" s="2057"/>
      <c r="AEQ22" s="2057"/>
      <c r="AER22" s="2056"/>
      <c r="AES22" s="2057"/>
      <c r="AET22" s="2057"/>
      <c r="AEU22" s="2056"/>
      <c r="AEV22" s="2057"/>
      <c r="AEW22" s="2057"/>
      <c r="AEX22" s="2056"/>
      <c r="AEY22" s="2057"/>
      <c r="AEZ22" s="2057"/>
      <c r="AFA22" s="2056"/>
      <c r="AFB22" s="2057"/>
      <c r="AFC22" s="2057"/>
      <c r="AFD22" s="2056"/>
      <c r="AFE22" s="2057"/>
      <c r="AFF22" s="2057"/>
      <c r="AFG22" s="2056"/>
      <c r="AFH22" s="2057"/>
      <c r="AFI22" s="2057"/>
      <c r="AFJ22" s="2056"/>
      <c r="AFK22" s="2057"/>
      <c r="AFL22" s="2057"/>
      <c r="AFM22" s="2056"/>
      <c r="AFN22" s="2057"/>
      <c r="AFO22" s="2057"/>
      <c r="AFP22" s="2056"/>
      <c r="AFQ22" s="2057"/>
      <c r="AFR22" s="2057"/>
      <c r="AFS22" s="2056"/>
      <c r="AFT22" s="2057"/>
      <c r="AFU22" s="2057"/>
      <c r="AFV22" s="2056"/>
      <c r="AFW22" s="2057"/>
      <c r="AFX22" s="2057"/>
      <c r="AFY22" s="2056"/>
      <c r="AFZ22" s="2057"/>
      <c r="AGA22" s="2057"/>
      <c r="AGB22" s="2056"/>
      <c r="AGC22" s="2057"/>
      <c r="AGD22" s="2057"/>
      <c r="AGE22" s="2056"/>
      <c r="AGF22" s="2057"/>
      <c r="AGG22" s="2057"/>
      <c r="AGH22" s="2056"/>
      <c r="AGI22" s="2057"/>
      <c r="AGJ22" s="2057"/>
      <c r="AGK22" s="2056"/>
      <c r="AGL22" s="2057"/>
      <c r="AGM22" s="2057"/>
      <c r="AGN22" s="2056"/>
      <c r="AGO22" s="2057"/>
      <c r="AGP22" s="2057"/>
      <c r="AGQ22" s="2056"/>
      <c r="AGR22" s="2057"/>
      <c r="AGS22" s="2057"/>
      <c r="AGT22" s="2056"/>
      <c r="AGU22" s="2057"/>
      <c r="AGV22" s="2057"/>
      <c r="AGW22" s="2056"/>
      <c r="AGX22" s="2057"/>
      <c r="AGY22" s="2057"/>
      <c r="AGZ22" s="2056"/>
      <c r="AHA22" s="2057"/>
      <c r="AHB22" s="2057"/>
      <c r="AHC22" s="2056"/>
      <c r="AHD22" s="2057"/>
      <c r="AHE22" s="2057"/>
      <c r="AHF22" s="2056"/>
      <c r="AHG22" s="2057"/>
      <c r="AHH22" s="2057"/>
      <c r="AHI22" s="2056"/>
      <c r="AHJ22" s="2057"/>
      <c r="AHK22" s="2057"/>
      <c r="AHL22" s="2056"/>
      <c r="AHM22" s="2057"/>
      <c r="AHN22" s="2057"/>
      <c r="AHO22" s="2056"/>
      <c r="AHP22" s="2057"/>
      <c r="AHQ22" s="2057"/>
      <c r="AHR22" s="2056"/>
      <c r="AHS22" s="2057"/>
      <c r="AHT22" s="2057"/>
      <c r="AHU22" s="2056"/>
      <c r="AHV22" s="2057"/>
      <c r="AHW22" s="2057"/>
      <c r="AHX22" s="2056"/>
      <c r="AHY22" s="2057"/>
      <c r="AHZ22" s="2057"/>
      <c r="AIA22" s="2056"/>
      <c r="AIB22" s="2057"/>
      <c r="AIC22" s="2057"/>
      <c r="AID22" s="2056"/>
      <c r="AIE22" s="2057"/>
      <c r="AIF22" s="2057"/>
      <c r="AIG22" s="2056"/>
      <c r="AIH22" s="2057"/>
      <c r="AII22" s="2057"/>
      <c r="AIJ22" s="2056"/>
      <c r="AIK22" s="2057"/>
      <c r="AIL22" s="2057"/>
      <c r="AIM22" s="2056"/>
      <c r="AIN22" s="2057"/>
      <c r="AIO22" s="2057"/>
      <c r="AIP22" s="2056"/>
      <c r="AIQ22" s="2057"/>
      <c r="AIR22" s="2057"/>
      <c r="AIS22" s="2056"/>
      <c r="AIT22" s="2057"/>
      <c r="AIU22" s="2057"/>
      <c r="AIV22" s="2056"/>
      <c r="AIW22" s="2057"/>
      <c r="AIX22" s="2057"/>
      <c r="AIY22" s="2056"/>
      <c r="AIZ22" s="2057"/>
      <c r="AJA22" s="2057"/>
      <c r="AJB22" s="2056"/>
      <c r="AJC22" s="2057"/>
      <c r="AJD22" s="2057"/>
      <c r="AJE22" s="2056"/>
      <c r="AJF22" s="2057"/>
      <c r="AJG22" s="2057"/>
      <c r="AJH22" s="2056"/>
      <c r="AJI22" s="2057"/>
      <c r="AJJ22" s="2057"/>
      <c r="AJK22" s="2056"/>
      <c r="AJL22" s="2057"/>
      <c r="AJM22" s="2057"/>
      <c r="AJN22" s="2056"/>
      <c r="AJO22" s="2057"/>
      <c r="AJP22" s="2057"/>
      <c r="AJQ22" s="2056"/>
      <c r="AJR22" s="2057"/>
      <c r="AJS22" s="2057"/>
      <c r="AJT22" s="2056"/>
      <c r="AJU22" s="2057"/>
      <c r="AJV22" s="2057"/>
      <c r="AJW22" s="2056"/>
      <c r="AJX22" s="2057"/>
      <c r="AJY22" s="2057"/>
      <c r="AJZ22" s="2056"/>
      <c r="AKA22" s="2057"/>
      <c r="AKB22" s="2057"/>
      <c r="AKC22" s="2056"/>
      <c r="AKD22" s="2057"/>
      <c r="AKE22" s="2057"/>
      <c r="AKF22" s="2056"/>
      <c r="AKG22" s="2057"/>
      <c r="AKH22" s="2057"/>
      <c r="AKI22" s="2056"/>
      <c r="AKJ22" s="2057"/>
      <c r="AKK22" s="2057"/>
      <c r="AKL22" s="2056"/>
      <c r="AKM22" s="2057"/>
      <c r="AKN22" s="2057"/>
      <c r="AKO22" s="2056"/>
      <c r="AKP22" s="2057"/>
      <c r="AKQ22" s="2057"/>
      <c r="AKR22" s="2056"/>
      <c r="AKS22" s="2057"/>
      <c r="AKT22" s="2057"/>
      <c r="AKU22" s="2056"/>
      <c r="AKV22" s="2057"/>
      <c r="AKW22" s="2057"/>
      <c r="AKX22" s="2056"/>
      <c r="AKY22" s="2057"/>
      <c r="AKZ22" s="2057"/>
      <c r="ALA22" s="2056"/>
      <c r="ALB22" s="2057"/>
      <c r="ALC22" s="2057"/>
      <c r="ALD22" s="2056"/>
      <c r="ALE22" s="2057"/>
      <c r="ALF22" s="2057"/>
      <c r="ALG22" s="2056"/>
      <c r="ALH22" s="2057"/>
      <c r="ALI22" s="2057"/>
      <c r="ALJ22" s="2056"/>
      <c r="ALK22" s="2057"/>
      <c r="ALL22" s="2057"/>
      <c r="ALM22" s="2056"/>
      <c r="ALN22" s="2057"/>
      <c r="ALO22" s="2057"/>
      <c r="ALP22" s="2056"/>
      <c r="ALQ22" s="2057"/>
      <c r="ALR22" s="2057"/>
      <c r="ALS22" s="2056"/>
      <c r="ALT22" s="2057"/>
      <c r="ALU22" s="2057"/>
      <c r="ALV22" s="2056"/>
      <c r="ALW22" s="2057"/>
      <c r="ALX22" s="2057"/>
      <c r="ALY22" s="2056"/>
      <c r="ALZ22" s="2057"/>
      <c r="AMA22" s="2057"/>
      <c r="AMB22" s="2056"/>
      <c r="AMC22" s="2057"/>
      <c r="AMD22" s="2057"/>
      <c r="AME22" s="2056"/>
      <c r="AMF22" s="2057"/>
      <c r="AMG22" s="2057"/>
      <c r="AMH22" s="2056"/>
      <c r="AMI22" s="2057"/>
      <c r="AMJ22" s="2057"/>
      <c r="AMK22" s="2056"/>
      <c r="AML22" s="2057"/>
      <c r="AMM22" s="2057"/>
      <c r="AMN22" s="2056"/>
      <c r="AMO22" s="2057"/>
      <c r="AMP22" s="2057"/>
      <c r="AMQ22" s="2056"/>
      <c r="AMR22" s="2057"/>
      <c r="AMS22" s="2057"/>
      <c r="AMT22" s="2056"/>
      <c r="AMU22" s="2057"/>
      <c r="AMV22" s="2057"/>
      <c r="AMW22" s="2056"/>
      <c r="AMX22" s="2057"/>
      <c r="AMY22" s="2057"/>
      <c r="AMZ22" s="2056"/>
      <c r="ANA22" s="2057"/>
      <c r="ANB22" s="2057"/>
      <c r="ANC22" s="2056"/>
      <c r="AND22" s="2057"/>
      <c r="ANE22" s="2057"/>
      <c r="ANF22" s="2056"/>
      <c r="ANG22" s="2057"/>
      <c r="ANH22" s="2057"/>
      <c r="ANI22" s="2056"/>
      <c r="ANJ22" s="2057"/>
      <c r="ANK22" s="2057"/>
      <c r="ANL22" s="2056"/>
      <c r="ANM22" s="2057"/>
      <c r="ANN22" s="2057"/>
      <c r="ANO22" s="2056"/>
      <c r="ANP22" s="2057"/>
      <c r="ANQ22" s="2057"/>
      <c r="ANR22" s="2056"/>
      <c r="ANS22" s="2057"/>
      <c r="ANT22" s="2057"/>
      <c r="ANU22" s="2056"/>
      <c r="ANV22" s="2057"/>
      <c r="ANW22" s="2057"/>
      <c r="ANX22" s="2056"/>
      <c r="ANY22" s="2057"/>
      <c r="ANZ22" s="2057"/>
      <c r="AOA22" s="2056"/>
      <c r="AOB22" s="2057"/>
      <c r="AOC22" s="2057"/>
      <c r="AOD22" s="2056"/>
      <c r="AOE22" s="2057"/>
      <c r="AOF22" s="2057"/>
      <c r="AOG22" s="2056"/>
      <c r="AOH22" s="2057"/>
      <c r="AOI22" s="2057"/>
      <c r="AOJ22" s="2056"/>
      <c r="AOK22" s="2057"/>
      <c r="AOL22" s="2057"/>
      <c r="AOM22" s="2056"/>
      <c r="AON22" s="2057"/>
      <c r="AOO22" s="2057"/>
      <c r="AOP22" s="2056"/>
      <c r="AOQ22" s="2057"/>
      <c r="AOR22" s="2057"/>
      <c r="AOS22" s="2056"/>
      <c r="AOT22" s="2057"/>
      <c r="AOU22" s="2057"/>
      <c r="AOV22" s="2056"/>
      <c r="AOW22" s="2057"/>
      <c r="AOX22" s="2057"/>
      <c r="AOY22" s="2056"/>
      <c r="AOZ22" s="2057"/>
      <c r="APA22" s="2057"/>
      <c r="APB22" s="2056"/>
      <c r="APC22" s="2057"/>
      <c r="APD22" s="2057"/>
      <c r="APE22" s="2056"/>
      <c r="APF22" s="2057"/>
      <c r="APG22" s="2057"/>
      <c r="APH22" s="2056"/>
      <c r="API22" s="2057"/>
      <c r="APJ22" s="2057"/>
      <c r="APK22" s="2056"/>
      <c r="APL22" s="2057"/>
      <c r="APM22" s="2057"/>
      <c r="APN22" s="2056"/>
      <c r="APO22" s="2057"/>
      <c r="APP22" s="2057"/>
      <c r="APQ22" s="2056"/>
      <c r="APR22" s="2057"/>
      <c r="APS22" s="2057"/>
      <c r="APT22" s="2056"/>
      <c r="APU22" s="2057"/>
      <c r="APV22" s="2057"/>
      <c r="APW22" s="2056"/>
      <c r="APX22" s="2057"/>
      <c r="APY22" s="2057"/>
      <c r="APZ22" s="2056"/>
      <c r="AQA22" s="2057"/>
      <c r="AQB22" s="2057"/>
      <c r="AQC22" s="2056"/>
      <c r="AQD22" s="2057"/>
      <c r="AQE22" s="2057"/>
      <c r="AQF22" s="2056"/>
      <c r="AQG22" s="2057"/>
      <c r="AQH22" s="2057"/>
      <c r="AQI22" s="2056"/>
      <c r="AQJ22" s="2057"/>
      <c r="AQK22" s="2057"/>
      <c r="AQL22" s="2056"/>
      <c r="AQM22" s="2057"/>
      <c r="AQN22" s="2057"/>
      <c r="AQO22" s="2056"/>
      <c r="AQP22" s="2057"/>
      <c r="AQQ22" s="2057"/>
      <c r="AQR22" s="2056"/>
      <c r="AQS22" s="2057"/>
      <c r="AQT22" s="2057"/>
      <c r="AQU22" s="2056"/>
      <c r="AQV22" s="2057"/>
      <c r="AQW22" s="2057"/>
      <c r="AQX22" s="2056"/>
      <c r="AQY22" s="2057"/>
      <c r="AQZ22" s="2057"/>
      <c r="ARA22" s="2056"/>
      <c r="ARB22" s="2057"/>
      <c r="ARC22" s="2057"/>
      <c r="ARD22" s="2056"/>
      <c r="ARE22" s="2057"/>
      <c r="ARF22" s="2057"/>
      <c r="ARG22" s="2056"/>
      <c r="ARH22" s="2057"/>
      <c r="ARI22" s="2057"/>
      <c r="ARJ22" s="2056"/>
      <c r="ARK22" s="2057"/>
      <c r="ARL22" s="2057"/>
      <c r="ARM22" s="2056"/>
      <c r="ARN22" s="2057"/>
      <c r="ARO22" s="2057"/>
      <c r="ARP22" s="2056"/>
      <c r="ARQ22" s="2057"/>
      <c r="ARR22" s="2057"/>
      <c r="ARS22" s="2056"/>
      <c r="ART22" s="2057"/>
      <c r="ARU22" s="2057"/>
      <c r="ARV22" s="2056"/>
      <c r="ARW22" s="2057"/>
      <c r="ARX22" s="2057"/>
      <c r="ARY22" s="2056"/>
      <c r="ARZ22" s="2057"/>
      <c r="ASA22" s="2057"/>
      <c r="ASB22" s="2056"/>
      <c r="ASC22" s="2057"/>
      <c r="ASD22" s="2057"/>
      <c r="ASE22" s="2056"/>
      <c r="ASF22" s="2057"/>
      <c r="ASG22" s="2057"/>
      <c r="ASH22" s="2056"/>
      <c r="ASI22" s="2057"/>
      <c r="ASJ22" s="2057"/>
      <c r="ASK22" s="2056"/>
      <c r="ASL22" s="2057"/>
      <c r="ASM22" s="2057"/>
      <c r="ASN22" s="2056"/>
      <c r="ASO22" s="2057"/>
      <c r="ASP22" s="2057"/>
      <c r="ASQ22" s="2056"/>
      <c r="ASR22" s="2057"/>
      <c r="ASS22" s="2057"/>
      <c r="AST22" s="2056"/>
      <c r="ASU22" s="2057"/>
      <c r="ASV22" s="2057"/>
      <c r="ASW22" s="2056"/>
      <c r="ASX22" s="2057"/>
      <c r="ASY22" s="2057"/>
      <c r="ASZ22" s="2056"/>
      <c r="ATA22" s="2057"/>
      <c r="ATB22" s="2057"/>
      <c r="ATC22" s="2056"/>
      <c r="ATD22" s="2057"/>
      <c r="ATE22" s="2057"/>
      <c r="ATF22" s="2056"/>
      <c r="ATG22" s="2057"/>
      <c r="ATH22" s="2057"/>
      <c r="ATI22" s="2056"/>
      <c r="ATJ22" s="2057"/>
      <c r="ATK22" s="2057"/>
      <c r="ATL22" s="2056"/>
      <c r="ATM22" s="2057"/>
      <c r="ATN22" s="2057"/>
      <c r="ATO22" s="2056"/>
      <c r="ATP22" s="2057"/>
      <c r="ATQ22" s="2057"/>
      <c r="ATR22" s="2056"/>
      <c r="ATS22" s="2057"/>
      <c r="ATT22" s="2057"/>
      <c r="ATU22" s="2056"/>
      <c r="ATV22" s="2057"/>
      <c r="ATW22" s="2057"/>
      <c r="ATX22" s="2056"/>
      <c r="ATY22" s="2057"/>
      <c r="ATZ22" s="2057"/>
      <c r="AUA22" s="2056"/>
      <c r="AUB22" s="2057"/>
      <c r="AUC22" s="2057"/>
      <c r="AUD22" s="2056"/>
      <c r="AUE22" s="2057"/>
      <c r="AUF22" s="2057"/>
      <c r="AUG22" s="2056"/>
      <c r="AUH22" s="2057"/>
      <c r="AUI22" s="2057"/>
      <c r="AUJ22" s="2056"/>
      <c r="AUK22" s="2057"/>
      <c r="AUL22" s="2057"/>
      <c r="AUM22" s="2056"/>
      <c r="AUN22" s="2057"/>
      <c r="AUO22" s="2057"/>
      <c r="AUP22" s="2056"/>
      <c r="AUQ22" s="2057"/>
      <c r="AUR22" s="2057"/>
      <c r="AUS22" s="2056"/>
      <c r="AUT22" s="2057"/>
      <c r="AUU22" s="2057"/>
      <c r="AUV22" s="2056"/>
      <c r="AUW22" s="2057"/>
      <c r="AUX22" s="2057"/>
      <c r="AUY22" s="2056"/>
      <c r="AUZ22" s="2057"/>
      <c r="AVA22" s="2057"/>
      <c r="AVB22" s="2056"/>
      <c r="AVC22" s="2057"/>
      <c r="AVD22" s="2057"/>
      <c r="AVE22" s="2056"/>
      <c r="AVF22" s="2057"/>
      <c r="AVG22" s="2057"/>
      <c r="AVH22" s="2056"/>
      <c r="AVI22" s="2057"/>
      <c r="AVJ22" s="2057"/>
      <c r="AVK22" s="2056"/>
      <c r="AVL22" s="2057"/>
      <c r="AVM22" s="2057"/>
      <c r="AVN22" s="2056"/>
      <c r="AVO22" s="2057"/>
      <c r="AVP22" s="2057"/>
      <c r="AVQ22" s="2056"/>
      <c r="AVR22" s="2057"/>
      <c r="AVS22" s="2057"/>
      <c r="AVT22" s="2056"/>
      <c r="AVU22" s="2057"/>
      <c r="AVV22" s="2057"/>
      <c r="AVW22" s="2056"/>
      <c r="AVX22" s="2057"/>
      <c r="AVY22" s="2057"/>
      <c r="AVZ22" s="2056"/>
      <c r="AWA22" s="2057"/>
      <c r="AWB22" s="2057"/>
      <c r="AWC22" s="2056"/>
      <c r="AWD22" s="2057"/>
      <c r="AWE22" s="2057"/>
      <c r="AWF22" s="2056"/>
      <c r="AWG22" s="2057"/>
      <c r="AWH22" s="2057"/>
      <c r="AWI22" s="2056"/>
      <c r="AWJ22" s="2057"/>
      <c r="AWK22" s="2057"/>
      <c r="AWL22" s="2056"/>
      <c r="AWM22" s="2057"/>
      <c r="AWN22" s="2057"/>
      <c r="AWO22" s="2056"/>
      <c r="AWP22" s="2057"/>
      <c r="AWQ22" s="2057"/>
      <c r="AWR22" s="2056"/>
      <c r="AWS22" s="2057"/>
      <c r="AWT22" s="2057"/>
      <c r="AWU22" s="2056"/>
      <c r="AWV22" s="2057"/>
      <c r="AWW22" s="2057"/>
      <c r="AWX22" s="2056"/>
      <c r="AWY22" s="2057"/>
      <c r="AWZ22" s="2057"/>
      <c r="AXA22" s="2056"/>
      <c r="AXB22" s="2057"/>
      <c r="AXC22" s="2057"/>
      <c r="AXD22" s="2056"/>
      <c r="AXE22" s="2057"/>
      <c r="AXF22" s="2057"/>
      <c r="AXG22" s="2056"/>
      <c r="AXH22" s="2057"/>
      <c r="AXI22" s="2057"/>
      <c r="AXJ22" s="2056"/>
      <c r="AXK22" s="2057"/>
      <c r="AXL22" s="2057"/>
      <c r="AXM22" s="2056"/>
      <c r="AXN22" s="2057"/>
      <c r="AXO22" s="2057"/>
      <c r="AXP22" s="2056"/>
      <c r="AXQ22" s="2057"/>
      <c r="AXR22" s="2057"/>
      <c r="AXS22" s="2056"/>
      <c r="AXT22" s="2057"/>
      <c r="AXU22" s="2057"/>
      <c r="AXV22" s="2056"/>
      <c r="AXW22" s="2057"/>
      <c r="AXX22" s="2057"/>
      <c r="AXY22" s="2056"/>
      <c r="AXZ22" s="2057"/>
      <c r="AYA22" s="2057"/>
      <c r="AYB22" s="2056"/>
      <c r="AYC22" s="2057"/>
      <c r="AYD22" s="2057"/>
      <c r="AYE22" s="2056"/>
      <c r="AYF22" s="2057"/>
      <c r="AYG22" s="2057"/>
      <c r="AYH22" s="2056"/>
      <c r="AYI22" s="2057"/>
      <c r="AYJ22" s="2057"/>
      <c r="AYK22" s="2056"/>
      <c r="AYL22" s="2057"/>
      <c r="AYM22" s="2057"/>
      <c r="AYN22" s="2056"/>
      <c r="AYO22" s="2057"/>
      <c r="AYP22" s="2057"/>
      <c r="AYQ22" s="2056"/>
      <c r="AYR22" s="2057"/>
      <c r="AYS22" s="2057"/>
      <c r="AYT22" s="2056"/>
      <c r="AYU22" s="2057"/>
      <c r="AYV22" s="2057"/>
      <c r="AYW22" s="2056"/>
      <c r="AYX22" s="2057"/>
      <c r="AYY22" s="2057"/>
      <c r="AYZ22" s="2056"/>
      <c r="AZA22" s="2057"/>
      <c r="AZB22" s="2057"/>
      <c r="AZC22" s="2056"/>
      <c r="AZD22" s="2057"/>
      <c r="AZE22" s="2057"/>
      <c r="AZF22" s="2056"/>
      <c r="AZG22" s="2057"/>
      <c r="AZH22" s="2057"/>
      <c r="AZI22" s="2056"/>
      <c r="AZJ22" s="2057"/>
      <c r="AZK22" s="2057"/>
      <c r="AZL22" s="2056"/>
      <c r="AZM22" s="2057"/>
      <c r="AZN22" s="2057"/>
      <c r="AZO22" s="2056"/>
      <c r="AZP22" s="2057"/>
      <c r="AZQ22" s="2057"/>
      <c r="AZR22" s="2056"/>
      <c r="AZS22" s="2057"/>
      <c r="AZT22" s="2057"/>
      <c r="AZU22" s="2056"/>
      <c r="AZV22" s="2057"/>
      <c r="AZW22" s="2057"/>
      <c r="AZX22" s="2056"/>
      <c r="AZY22" s="2057"/>
      <c r="AZZ22" s="2057"/>
      <c r="BAA22" s="2056"/>
      <c r="BAB22" s="2057"/>
      <c r="BAC22" s="2057"/>
      <c r="BAD22" s="2056"/>
      <c r="BAE22" s="2057"/>
      <c r="BAF22" s="2057"/>
      <c r="BAG22" s="2056"/>
      <c r="BAH22" s="2057"/>
      <c r="BAI22" s="2057"/>
      <c r="BAJ22" s="2056"/>
      <c r="BAK22" s="2057"/>
      <c r="BAL22" s="2057"/>
      <c r="BAM22" s="2056"/>
      <c r="BAN22" s="2057"/>
      <c r="BAO22" s="2057"/>
      <c r="BAP22" s="2056"/>
      <c r="BAQ22" s="2057"/>
      <c r="BAR22" s="2057"/>
      <c r="BAS22" s="2056"/>
      <c r="BAT22" s="2057"/>
      <c r="BAU22" s="2057"/>
      <c r="BAV22" s="2056"/>
      <c r="BAW22" s="2057"/>
      <c r="BAX22" s="2057"/>
      <c r="BAY22" s="2056"/>
      <c r="BAZ22" s="2057"/>
      <c r="BBA22" s="2057"/>
      <c r="BBB22" s="2056"/>
      <c r="BBC22" s="2057"/>
      <c r="BBD22" s="2057"/>
      <c r="BBE22" s="2056"/>
      <c r="BBF22" s="2057"/>
      <c r="BBG22" s="2057"/>
      <c r="BBH22" s="2056"/>
      <c r="BBI22" s="2057"/>
      <c r="BBJ22" s="2057"/>
      <c r="BBK22" s="2056"/>
      <c r="BBL22" s="2057"/>
      <c r="BBM22" s="2057"/>
      <c r="BBN22" s="2056"/>
      <c r="BBO22" s="2057"/>
      <c r="BBP22" s="2057"/>
      <c r="BBQ22" s="2056"/>
      <c r="BBR22" s="2057"/>
      <c r="BBS22" s="2057"/>
      <c r="BBT22" s="2056"/>
      <c r="BBU22" s="2057"/>
      <c r="BBV22" s="2057"/>
      <c r="BBW22" s="2056"/>
      <c r="BBX22" s="2057"/>
      <c r="BBY22" s="2057"/>
      <c r="BBZ22" s="2056"/>
      <c r="BCA22" s="2057"/>
      <c r="BCB22" s="2057"/>
      <c r="BCC22" s="2056"/>
      <c r="BCD22" s="2057"/>
      <c r="BCE22" s="2057"/>
      <c r="BCF22" s="2056"/>
      <c r="BCG22" s="2057"/>
      <c r="BCH22" s="2057"/>
      <c r="BCI22" s="2056"/>
      <c r="BCJ22" s="2057"/>
      <c r="BCK22" s="2057"/>
      <c r="BCL22" s="2056"/>
      <c r="BCM22" s="2057"/>
      <c r="BCN22" s="2057"/>
      <c r="BCO22" s="2056"/>
      <c r="BCP22" s="2057"/>
      <c r="BCQ22" s="2057"/>
      <c r="BCR22" s="2056"/>
      <c r="BCS22" s="2057"/>
      <c r="BCT22" s="2057"/>
      <c r="BCU22" s="2056"/>
      <c r="BCV22" s="2057"/>
      <c r="BCW22" s="2057"/>
      <c r="BCX22" s="2056"/>
      <c r="BCY22" s="2057"/>
      <c r="BCZ22" s="2057"/>
      <c r="BDA22" s="2056"/>
      <c r="BDB22" s="2057"/>
      <c r="BDC22" s="2057"/>
      <c r="BDD22" s="2056"/>
      <c r="BDE22" s="2057"/>
      <c r="BDF22" s="2057"/>
      <c r="BDG22" s="2056"/>
      <c r="BDH22" s="2057"/>
      <c r="BDI22" s="2057"/>
      <c r="BDJ22" s="2056"/>
      <c r="BDK22" s="2057"/>
      <c r="BDL22" s="2057"/>
      <c r="BDM22" s="2056"/>
      <c r="BDN22" s="2057"/>
      <c r="BDO22" s="2057"/>
      <c r="BDP22" s="2056"/>
      <c r="BDQ22" s="2057"/>
      <c r="BDR22" s="2057"/>
      <c r="BDS22" s="2056"/>
      <c r="BDT22" s="2057"/>
      <c r="BDU22" s="2057"/>
      <c r="BDV22" s="2056"/>
      <c r="BDW22" s="2057"/>
      <c r="BDX22" s="2057"/>
      <c r="BDY22" s="2056"/>
      <c r="BDZ22" s="2057"/>
      <c r="BEA22" s="2057"/>
      <c r="BEB22" s="2056"/>
      <c r="BEC22" s="2057"/>
      <c r="BED22" s="2057"/>
      <c r="BEE22" s="2056"/>
      <c r="BEF22" s="2057"/>
      <c r="BEG22" s="2057"/>
      <c r="BEH22" s="2056"/>
      <c r="BEI22" s="2057"/>
      <c r="BEJ22" s="2057"/>
      <c r="BEK22" s="2056"/>
      <c r="BEL22" s="2057"/>
      <c r="BEM22" s="2057"/>
      <c r="BEN22" s="2056"/>
      <c r="BEO22" s="2057"/>
      <c r="BEP22" s="2057"/>
      <c r="BEQ22" s="2056"/>
      <c r="BER22" s="2057"/>
      <c r="BES22" s="2057"/>
      <c r="BET22" s="2056"/>
      <c r="BEU22" s="2057"/>
      <c r="BEV22" s="2057"/>
      <c r="BEW22" s="2056"/>
      <c r="BEX22" s="2057"/>
      <c r="BEY22" s="2057"/>
      <c r="BEZ22" s="2056"/>
      <c r="BFA22" s="2057"/>
      <c r="BFB22" s="2057"/>
      <c r="BFC22" s="2056"/>
      <c r="BFD22" s="2057"/>
      <c r="BFE22" s="2057"/>
      <c r="BFF22" s="2056"/>
      <c r="BFG22" s="2057"/>
      <c r="BFH22" s="2057"/>
      <c r="BFI22" s="2056"/>
      <c r="BFJ22" s="2057"/>
      <c r="BFK22" s="2057"/>
      <c r="BFL22" s="2056"/>
      <c r="BFM22" s="2057"/>
      <c r="BFN22" s="2057"/>
      <c r="BFO22" s="2056"/>
      <c r="BFP22" s="2057"/>
      <c r="BFQ22" s="2057"/>
      <c r="BFR22" s="2056"/>
      <c r="BFS22" s="2057"/>
      <c r="BFT22" s="2057"/>
      <c r="BFU22" s="2056"/>
      <c r="BFV22" s="2057"/>
      <c r="BFW22" s="2057"/>
      <c r="BFX22" s="2056"/>
      <c r="BFY22" s="2057"/>
      <c r="BFZ22" s="2057"/>
      <c r="BGA22" s="2056"/>
      <c r="BGB22" s="2057"/>
      <c r="BGC22" s="2057"/>
      <c r="BGD22" s="2056"/>
      <c r="BGE22" s="2057"/>
      <c r="BGF22" s="2057"/>
      <c r="BGG22" s="2056"/>
      <c r="BGH22" s="2057"/>
      <c r="BGI22" s="2057"/>
      <c r="BGJ22" s="2056"/>
      <c r="BGK22" s="2057"/>
      <c r="BGL22" s="2057"/>
      <c r="BGM22" s="2056"/>
      <c r="BGN22" s="2057"/>
      <c r="BGO22" s="2057"/>
      <c r="BGP22" s="2056"/>
      <c r="BGQ22" s="2057"/>
      <c r="BGR22" s="2057"/>
      <c r="BGS22" s="2056"/>
      <c r="BGT22" s="2057"/>
      <c r="BGU22" s="2057"/>
      <c r="BGV22" s="2056"/>
      <c r="BGW22" s="2057"/>
      <c r="BGX22" s="2057"/>
      <c r="BGY22" s="2056"/>
      <c r="BGZ22" s="2057"/>
      <c r="BHA22" s="2057"/>
      <c r="BHB22" s="2056"/>
      <c r="BHC22" s="2057"/>
      <c r="BHD22" s="2057"/>
      <c r="BHE22" s="2056"/>
      <c r="BHF22" s="2057"/>
      <c r="BHG22" s="2057"/>
      <c r="BHH22" s="2056"/>
      <c r="BHI22" s="2057"/>
      <c r="BHJ22" s="2057"/>
      <c r="BHK22" s="2056"/>
      <c r="BHL22" s="2057"/>
      <c r="BHM22" s="2057"/>
      <c r="BHN22" s="2056"/>
      <c r="BHO22" s="2057"/>
      <c r="BHP22" s="2057"/>
      <c r="BHQ22" s="2056"/>
      <c r="BHR22" s="2057"/>
      <c r="BHS22" s="2057"/>
      <c r="BHT22" s="2056"/>
      <c r="BHU22" s="2057"/>
      <c r="BHV22" s="2057"/>
      <c r="BHW22" s="2056"/>
      <c r="BHX22" s="2057"/>
      <c r="BHY22" s="2057"/>
      <c r="BHZ22" s="2056"/>
      <c r="BIA22" s="2057"/>
      <c r="BIB22" s="2057"/>
      <c r="BIC22" s="2056"/>
      <c r="BID22" s="2057"/>
      <c r="BIE22" s="2057"/>
      <c r="BIF22" s="2056"/>
      <c r="BIG22" s="2057"/>
      <c r="BIH22" s="2057"/>
      <c r="BII22" s="2056"/>
      <c r="BIJ22" s="2057"/>
      <c r="BIK22" s="2057"/>
      <c r="BIL22" s="2056"/>
      <c r="BIM22" s="2057"/>
      <c r="BIN22" s="2057"/>
      <c r="BIO22" s="2056"/>
      <c r="BIP22" s="2057"/>
      <c r="BIQ22" s="2057"/>
      <c r="BIR22" s="2056"/>
      <c r="BIS22" s="2057"/>
      <c r="BIT22" s="2057"/>
      <c r="BIU22" s="2056"/>
      <c r="BIV22" s="2057"/>
      <c r="BIW22" s="2057"/>
      <c r="BIX22" s="2056"/>
      <c r="BIY22" s="2057"/>
      <c r="BIZ22" s="2057"/>
      <c r="BJA22" s="2056"/>
      <c r="BJB22" s="2057"/>
      <c r="BJC22" s="2057"/>
      <c r="BJD22" s="2056"/>
      <c r="BJE22" s="2057"/>
      <c r="BJF22" s="2057"/>
      <c r="BJG22" s="2056"/>
      <c r="BJH22" s="2057"/>
      <c r="BJI22" s="2057"/>
      <c r="BJJ22" s="2056"/>
      <c r="BJK22" s="2057"/>
      <c r="BJL22" s="2057"/>
      <c r="BJM22" s="2056"/>
      <c r="BJN22" s="2057"/>
      <c r="BJO22" s="2057"/>
      <c r="BJP22" s="2056"/>
      <c r="BJQ22" s="2057"/>
      <c r="BJR22" s="2057"/>
      <c r="BJS22" s="2056"/>
      <c r="BJT22" s="2057"/>
      <c r="BJU22" s="2057"/>
      <c r="BJV22" s="2056"/>
      <c r="BJW22" s="2057"/>
      <c r="BJX22" s="2057"/>
      <c r="BJY22" s="2056"/>
      <c r="BJZ22" s="2057"/>
      <c r="BKA22" s="2057"/>
      <c r="BKB22" s="2056"/>
      <c r="BKC22" s="2057"/>
      <c r="BKD22" s="2057"/>
      <c r="BKE22" s="2056"/>
      <c r="BKF22" s="2057"/>
      <c r="BKG22" s="2057"/>
      <c r="BKH22" s="2056"/>
      <c r="BKI22" s="2057"/>
      <c r="BKJ22" s="2057"/>
      <c r="BKK22" s="2056"/>
      <c r="BKL22" s="2057"/>
      <c r="BKM22" s="2057"/>
      <c r="BKN22" s="2056"/>
      <c r="BKO22" s="2057"/>
      <c r="BKP22" s="2057"/>
      <c r="BKQ22" s="2056"/>
      <c r="BKR22" s="2057"/>
      <c r="BKS22" s="2057"/>
      <c r="BKT22" s="2056"/>
      <c r="BKU22" s="2057"/>
      <c r="BKV22" s="2057"/>
      <c r="BKW22" s="2056"/>
      <c r="BKX22" s="2057"/>
      <c r="BKY22" s="2057"/>
      <c r="BKZ22" s="2056"/>
      <c r="BLA22" s="2057"/>
      <c r="BLB22" s="2057"/>
      <c r="BLC22" s="2056"/>
      <c r="BLD22" s="2057"/>
      <c r="BLE22" s="2057"/>
      <c r="BLF22" s="2056"/>
      <c r="BLG22" s="2057"/>
      <c r="BLH22" s="2057"/>
      <c r="BLI22" s="2056"/>
      <c r="BLJ22" s="2057"/>
      <c r="BLK22" s="2057"/>
      <c r="BLL22" s="2056"/>
      <c r="BLM22" s="2057"/>
      <c r="BLN22" s="2057"/>
      <c r="BLO22" s="2056"/>
      <c r="BLP22" s="2057"/>
      <c r="BLQ22" s="2057"/>
      <c r="BLR22" s="2056"/>
      <c r="BLS22" s="2057"/>
      <c r="BLT22" s="2057"/>
      <c r="BLU22" s="2056"/>
      <c r="BLV22" s="2057"/>
      <c r="BLW22" s="2057"/>
      <c r="BLX22" s="2056"/>
      <c r="BLY22" s="2057"/>
      <c r="BLZ22" s="2057"/>
      <c r="BMA22" s="2056"/>
      <c r="BMB22" s="2057"/>
      <c r="BMC22" s="2057"/>
      <c r="BMD22" s="2056"/>
      <c r="BME22" s="2057"/>
      <c r="BMF22" s="2057"/>
      <c r="BMG22" s="2056"/>
      <c r="BMH22" s="2057"/>
      <c r="BMI22" s="2057"/>
      <c r="BMJ22" s="2056"/>
      <c r="BMK22" s="2057"/>
      <c r="BML22" s="2057"/>
      <c r="BMM22" s="2056"/>
      <c r="BMN22" s="2057"/>
      <c r="BMO22" s="2057"/>
      <c r="BMP22" s="2056"/>
      <c r="BMQ22" s="2057"/>
      <c r="BMR22" s="2057"/>
      <c r="BMS22" s="2056"/>
      <c r="BMT22" s="2057"/>
      <c r="BMU22" s="2057"/>
      <c r="BMV22" s="2056"/>
      <c r="BMW22" s="2057"/>
      <c r="BMX22" s="2057"/>
      <c r="BMY22" s="2056"/>
      <c r="BMZ22" s="2057"/>
      <c r="BNA22" s="2057"/>
      <c r="BNB22" s="2056"/>
      <c r="BNC22" s="2057"/>
      <c r="BND22" s="2057"/>
      <c r="BNE22" s="2056"/>
      <c r="BNF22" s="2057"/>
      <c r="BNG22" s="2057"/>
      <c r="BNH22" s="2056"/>
      <c r="BNI22" s="2057"/>
      <c r="BNJ22" s="2057"/>
      <c r="BNK22" s="2056"/>
      <c r="BNL22" s="2057"/>
      <c r="BNM22" s="2057"/>
      <c r="BNN22" s="2056"/>
      <c r="BNO22" s="2057"/>
      <c r="BNP22" s="2057"/>
      <c r="BNQ22" s="2056"/>
      <c r="BNR22" s="2057"/>
      <c r="BNS22" s="2057"/>
      <c r="BNT22" s="2056"/>
      <c r="BNU22" s="2057"/>
      <c r="BNV22" s="2057"/>
      <c r="BNW22" s="2056"/>
      <c r="BNX22" s="2057"/>
      <c r="BNY22" s="2057"/>
      <c r="BNZ22" s="2056"/>
      <c r="BOA22" s="2057"/>
      <c r="BOB22" s="2057"/>
      <c r="BOC22" s="2056"/>
      <c r="BOD22" s="2057"/>
      <c r="BOE22" s="2057"/>
      <c r="BOF22" s="2056"/>
      <c r="BOG22" s="2057"/>
      <c r="BOH22" s="2057"/>
      <c r="BOI22" s="2056"/>
      <c r="BOJ22" s="2057"/>
      <c r="BOK22" s="2057"/>
      <c r="BOL22" s="2056"/>
      <c r="BOM22" s="2057"/>
      <c r="BON22" s="2057"/>
      <c r="BOO22" s="2056"/>
      <c r="BOP22" s="2057"/>
      <c r="BOQ22" s="2057"/>
      <c r="BOR22" s="2056"/>
      <c r="BOS22" s="2057"/>
      <c r="BOT22" s="2057"/>
      <c r="BOU22" s="2056"/>
      <c r="BOV22" s="2057"/>
      <c r="BOW22" s="2057"/>
      <c r="BOX22" s="2056"/>
      <c r="BOY22" s="2057"/>
      <c r="BOZ22" s="2057"/>
      <c r="BPA22" s="2056"/>
      <c r="BPB22" s="2057"/>
      <c r="BPC22" s="2057"/>
      <c r="BPD22" s="2056"/>
      <c r="BPE22" s="2057"/>
      <c r="BPF22" s="2057"/>
      <c r="BPG22" s="2056"/>
      <c r="BPH22" s="2057"/>
      <c r="BPI22" s="2057"/>
      <c r="BPJ22" s="2056"/>
      <c r="BPK22" s="2057"/>
      <c r="BPL22" s="2057"/>
      <c r="BPM22" s="2056"/>
      <c r="BPN22" s="2057"/>
      <c r="BPO22" s="2057"/>
      <c r="BPP22" s="2056"/>
      <c r="BPQ22" s="2057"/>
      <c r="BPR22" s="2057"/>
      <c r="BPS22" s="2056"/>
      <c r="BPT22" s="2057"/>
      <c r="BPU22" s="2057"/>
      <c r="BPV22" s="2056"/>
      <c r="BPW22" s="2057"/>
      <c r="BPX22" s="2057"/>
      <c r="BPY22" s="2056"/>
      <c r="BPZ22" s="2057"/>
      <c r="BQA22" s="2057"/>
      <c r="BQB22" s="2056"/>
      <c r="BQC22" s="2057"/>
      <c r="BQD22" s="2057"/>
      <c r="BQE22" s="2056"/>
      <c r="BQF22" s="2057"/>
      <c r="BQG22" s="2057"/>
      <c r="BQH22" s="2056"/>
      <c r="BQI22" s="2057"/>
      <c r="BQJ22" s="2057"/>
      <c r="BQK22" s="2056"/>
      <c r="BQL22" s="2057"/>
      <c r="BQM22" s="2057"/>
      <c r="BQN22" s="2056"/>
      <c r="BQO22" s="2057"/>
      <c r="BQP22" s="2057"/>
      <c r="BQQ22" s="2056"/>
      <c r="BQR22" s="2057"/>
      <c r="BQS22" s="2057"/>
      <c r="BQT22" s="2056"/>
      <c r="BQU22" s="2057"/>
      <c r="BQV22" s="2057"/>
      <c r="BQW22" s="2056"/>
      <c r="BQX22" s="2057"/>
      <c r="BQY22" s="2057"/>
      <c r="BQZ22" s="2056"/>
      <c r="BRA22" s="2057"/>
      <c r="BRB22" s="2057"/>
      <c r="BRC22" s="2056"/>
      <c r="BRD22" s="2057"/>
      <c r="BRE22" s="2057"/>
      <c r="BRF22" s="2056"/>
      <c r="BRG22" s="2057"/>
      <c r="BRH22" s="2057"/>
      <c r="BRI22" s="2056"/>
      <c r="BRJ22" s="2057"/>
      <c r="BRK22" s="2057"/>
      <c r="BRL22" s="2056"/>
      <c r="BRM22" s="2057"/>
      <c r="BRN22" s="2057"/>
      <c r="BRO22" s="2056"/>
      <c r="BRP22" s="2057"/>
      <c r="BRQ22" s="2057"/>
      <c r="BRR22" s="2056"/>
      <c r="BRS22" s="2057"/>
      <c r="BRT22" s="2057"/>
      <c r="BRU22" s="2056"/>
      <c r="BRV22" s="2057"/>
      <c r="BRW22" s="2057"/>
      <c r="BRX22" s="2056"/>
      <c r="BRY22" s="2057"/>
      <c r="BRZ22" s="2057"/>
      <c r="BSA22" s="2056"/>
      <c r="BSB22" s="2057"/>
      <c r="BSC22" s="2057"/>
      <c r="BSD22" s="2056"/>
      <c r="BSE22" s="2057"/>
      <c r="BSF22" s="2057"/>
      <c r="BSG22" s="2056"/>
      <c r="BSH22" s="2057"/>
      <c r="BSI22" s="2057"/>
      <c r="BSJ22" s="2056"/>
      <c r="BSK22" s="2057"/>
      <c r="BSL22" s="2057"/>
      <c r="BSM22" s="2056"/>
      <c r="BSN22" s="2057"/>
      <c r="BSO22" s="2057"/>
      <c r="BSP22" s="2056"/>
      <c r="BSQ22" s="2057"/>
      <c r="BSR22" s="2057"/>
      <c r="BSS22" s="2056"/>
      <c r="BST22" s="2057"/>
      <c r="BSU22" s="2057"/>
      <c r="BSV22" s="2056"/>
      <c r="BSW22" s="2057"/>
      <c r="BSX22" s="2057"/>
      <c r="BSY22" s="2056"/>
      <c r="BSZ22" s="2057"/>
      <c r="BTA22" s="2057"/>
      <c r="BTB22" s="2056"/>
      <c r="BTC22" s="2057"/>
      <c r="BTD22" s="2057"/>
      <c r="BTE22" s="2056"/>
      <c r="BTF22" s="2057"/>
      <c r="BTG22" s="2057"/>
      <c r="BTH22" s="2056"/>
      <c r="BTI22" s="2057"/>
      <c r="BTJ22" s="2057"/>
      <c r="BTK22" s="2056"/>
      <c r="BTL22" s="2057"/>
      <c r="BTM22" s="2057"/>
      <c r="BTN22" s="2056"/>
      <c r="BTO22" s="2057"/>
      <c r="BTP22" s="2057"/>
      <c r="BTQ22" s="2056"/>
      <c r="BTR22" s="2057"/>
      <c r="BTS22" s="2057"/>
      <c r="BTT22" s="2056"/>
      <c r="BTU22" s="2057"/>
      <c r="BTV22" s="2057"/>
      <c r="BTW22" s="2056"/>
      <c r="BTX22" s="2057"/>
      <c r="BTY22" s="2057"/>
      <c r="BTZ22" s="2056"/>
      <c r="BUA22" s="2057"/>
      <c r="BUB22" s="2057"/>
      <c r="BUC22" s="2056"/>
      <c r="BUD22" s="2057"/>
      <c r="BUE22" s="2057"/>
      <c r="BUF22" s="2056"/>
      <c r="BUG22" s="2057"/>
      <c r="BUH22" s="2057"/>
      <c r="BUI22" s="2056"/>
      <c r="BUJ22" s="2057"/>
      <c r="BUK22" s="2057"/>
      <c r="BUL22" s="2056"/>
      <c r="BUM22" s="2057"/>
      <c r="BUN22" s="2057"/>
      <c r="BUO22" s="2056"/>
      <c r="BUP22" s="2057"/>
      <c r="BUQ22" s="2057"/>
      <c r="BUR22" s="2056"/>
      <c r="BUS22" s="2057"/>
      <c r="BUT22" s="2057"/>
      <c r="BUU22" s="2056"/>
      <c r="BUV22" s="2057"/>
      <c r="BUW22" s="2057"/>
      <c r="BUX22" s="2056"/>
      <c r="BUY22" s="2057"/>
      <c r="BUZ22" s="2057"/>
      <c r="BVA22" s="2056"/>
      <c r="BVB22" s="2057"/>
      <c r="BVC22" s="2057"/>
      <c r="BVD22" s="2056"/>
      <c r="BVE22" s="2057"/>
      <c r="BVF22" s="2057"/>
      <c r="BVG22" s="2056"/>
      <c r="BVH22" s="2057"/>
      <c r="BVI22" s="2057"/>
      <c r="BVJ22" s="2056"/>
      <c r="BVK22" s="2057"/>
      <c r="BVL22" s="2057"/>
      <c r="BVM22" s="2056"/>
      <c r="BVN22" s="2057"/>
      <c r="BVO22" s="2057"/>
      <c r="BVP22" s="2056"/>
      <c r="BVQ22" s="2057"/>
      <c r="BVR22" s="2057"/>
      <c r="BVS22" s="2056"/>
      <c r="BVT22" s="2057"/>
      <c r="BVU22" s="2057"/>
      <c r="BVV22" s="2056"/>
      <c r="BVW22" s="2057"/>
      <c r="BVX22" s="2057"/>
      <c r="BVY22" s="2056"/>
      <c r="BVZ22" s="2057"/>
      <c r="BWA22" s="2057"/>
      <c r="BWB22" s="2056"/>
      <c r="BWC22" s="2057"/>
      <c r="BWD22" s="2057"/>
      <c r="BWE22" s="2056"/>
      <c r="BWF22" s="2057"/>
      <c r="BWG22" s="2057"/>
      <c r="BWH22" s="2056"/>
      <c r="BWI22" s="2057"/>
      <c r="BWJ22" s="2057"/>
      <c r="BWK22" s="2056"/>
      <c r="BWL22" s="2057"/>
      <c r="BWM22" s="2057"/>
      <c r="BWN22" s="2056"/>
      <c r="BWO22" s="2057"/>
      <c r="BWP22" s="2057"/>
      <c r="BWQ22" s="2056"/>
      <c r="BWR22" s="2057"/>
      <c r="BWS22" s="2057"/>
      <c r="BWT22" s="2056"/>
      <c r="BWU22" s="2057"/>
      <c r="BWV22" s="2057"/>
      <c r="BWW22" s="2056"/>
      <c r="BWX22" s="2057"/>
      <c r="BWY22" s="2057"/>
      <c r="BWZ22" s="2056"/>
      <c r="BXA22" s="2057"/>
      <c r="BXB22" s="2057"/>
      <c r="BXC22" s="2056"/>
      <c r="BXD22" s="2057"/>
      <c r="BXE22" s="2057"/>
      <c r="BXF22" s="2056"/>
      <c r="BXG22" s="2057"/>
      <c r="BXH22" s="2057"/>
      <c r="BXI22" s="2056"/>
      <c r="BXJ22" s="2057"/>
      <c r="BXK22" s="2057"/>
      <c r="BXL22" s="2056"/>
      <c r="BXM22" s="2057"/>
      <c r="BXN22" s="2057"/>
      <c r="BXO22" s="2056"/>
      <c r="BXP22" s="2057"/>
      <c r="BXQ22" s="2057"/>
      <c r="BXR22" s="2056"/>
      <c r="BXS22" s="2057"/>
      <c r="BXT22" s="2057"/>
      <c r="BXU22" s="2056"/>
      <c r="BXV22" s="2057"/>
      <c r="BXW22" s="2057"/>
      <c r="BXX22" s="2056"/>
      <c r="BXY22" s="2057"/>
      <c r="BXZ22" s="2057"/>
      <c r="BYA22" s="2056"/>
      <c r="BYB22" s="2057"/>
      <c r="BYC22" s="2057"/>
      <c r="BYD22" s="2056"/>
      <c r="BYE22" s="2057"/>
      <c r="BYF22" s="2057"/>
      <c r="BYG22" s="2056"/>
      <c r="BYH22" s="2057"/>
      <c r="BYI22" s="2057"/>
      <c r="BYJ22" s="2056"/>
      <c r="BYK22" s="2057"/>
      <c r="BYL22" s="2057"/>
      <c r="BYM22" s="2056"/>
      <c r="BYN22" s="2057"/>
      <c r="BYO22" s="2057"/>
      <c r="BYP22" s="2056"/>
      <c r="BYQ22" s="2057"/>
      <c r="BYR22" s="2057"/>
      <c r="BYS22" s="2056"/>
      <c r="BYT22" s="2057"/>
      <c r="BYU22" s="2057"/>
      <c r="BYV22" s="2056"/>
      <c r="BYW22" s="2057"/>
      <c r="BYX22" s="2057"/>
      <c r="BYY22" s="2056"/>
      <c r="BYZ22" s="2057"/>
      <c r="BZA22" s="2057"/>
      <c r="BZB22" s="2056"/>
      <c r="BZC22" s="2057"/>
      <c r="BZD22" s="2057"/>
      <c r="BZE22" s="2056"/>
      <c r="BZF22" s="2057"/>
      <c r="BZG22" s="2057"/>
      <c r="BZH22" s="2056"/>
      <c r="BZI22" s="2057"/>
      <c r="BZJ22" s="2057"/>
      <c r="BZK22" s="2056"/>
      <c r="BZL22" s="2057"/>
      <c r="BZM22" s="2057"/>
      <c r="BZN22" s="2056"/>
      <c r="BZO22" s="2057"/>
      <c r="BZP22" s="2057"/>
      <c r="BZQ22" s="2056"/>
      <c r="BZR22" s="2057"/>
      <c r="BZS22" s="2057"/>
      <c r="BZT22" s="2056"/>
      <c r="BZU22" s="2057"/>
      <c r="BZV22" s="2057"/>
      <c r="BZW22" s="2056"/>
      <c r="BZX22" s="2057"/>
      <c r="BZY22" s="2057"/>
      <c r="BZZ22" s="2056"/>
      <c r="CAA22" s="2057"/>
      <c r="CAB22" s="2057"/>
      <c r="CAC22" s="2056"/>
      <c r="CAD22" s="2057"/>
      <c r="CAE22" s="2057"/>
      <c r="CAF22" s="2056"/>
      <c r="CAG22" s="2057"/>
      <c r="CAH22" s="2057"/>
      <c r="CAI22" s="2056"/>
      <c r="CAJ22" s="2057"/>
      <c r="CAK22" s="2057"/>
      <c r="CAL22" s="2056"/>
      <c r="CAM22" s="2057"/>
      <c r="CAN22" s="2057"/>
      <c r="CAO22" s="2056"/>
      <c r="CAP22" s="2057"/>
      <c r="CAQ22" s="2057"/>
      <c r="CAR22" s="2056"/>
      <c r="CAS22" s="2057"/>
      <c r="CAT22" s="2057"/>
      <c r="CAU22" s="2056"/>
      <c r="CAV22" s="2057"/>
      <c r="CAW22" s="2057"/>
      <c r="CAX22" s="2056"/>
      <c r="CAY22" s="2057"/>
      <c r="CAZ22" s="2057"/>
      <c r="CBA22" s="2056"/>
      <c r="CBB22" s="2057"/>
      <c r="CBC22" s="2057"/>
      <c r="CBD22" s="2056"/>
      <c r="CBE22" s="2057"/>
      <c r="CBF22" s="2057"/>
      <c r="CBG22" s="2056"/>
      <c r="CBH22" s="2057"/>
      <c r="CBI22" s="2057"/>
      <c r="CBJ22" s="2056"/>
      <c r="CBK22" s="2057"/>
      <c r="CBL22" s="2057"/>
      <c r="CBM22" s="2056"/>
      <c r="CBN22" s="2057"/>
      <c r="CBO22" s="2057"/>
      <c r="CBP22" s="2056"/>
      <c r="CBQ22" s="2057"/>
      <c r="CBR22" s="2057"/>
      <c r="CBS22" s="2056"/>
      <c r="CBT22" s="2057"/>
      <c r="CBU22" s="2057"/>
      <c r="CBV22" s="2056"/>
      <c r="CBW22" s="2057"/>
      <c r="CBX22" s="2057"/>
      <c r="CBY22" s="2056"/>
      <c r="CBZ22" s="2057"/>
      <c r="CCA22" s="2057"/>
      <c r="CCB22" s="2056"/>
      <c r="CCC22" s="2057"/>
      <c r="CCD22" s="2057"/>
      <c r="CCE22" s="2056"/>
      <c r="CCF22" s="2057"/>
      <c r="CCG22" s="2057"/>
      <c r="CCH22" s="2056"/>
      <c r="CCI22" s="2057"/>
      <c r="CCJ22" s="2057"/>
      <c r="CCK22" s="2056"/>
      <c r="CCL22" s="2057"/>
      <c r="CCM22" s="2057"/>
      <c r="CCN22" s="2056"/>
      <c r="CCO22" s="2057"/>
      <c r="CCP22" s="2057"/>
      <c r="CCQ22" s="2056"/>
      <c r="CCR22" s="2057"/>
      <c r="CCS22" s="2057"/>
      <c r="CCT22" s="2056"/>
      <c r="CCU22" s="2057"/>
      <c r="CCV22" s="2057"/>
      <c r="CCW22" s="2056"/>
      <c r="CCX22" s="2057"/>
      <c r="CCY22" s="2057"/>
      <c r="CCZ22" s="2056"/>
      <c r="CDA22" s="2057"/>
      <c r="CDB22" s="2057"/>
      <c r="CDC22" s="2056"/>
      <c r="CDD22" s="2057"/>
      <c r="CDE22" s="2057"/>
      <c r="CDF22" s="2056"/>
      <c r="CDG22" s="2057"/>
      <c r="CDH22" s="2057"/>
      <c r="CDI22" s="2056"/>
      <c r="CDJ22" s="2057"/>
      <c r="CDK22" s="2057"/>
      <c r="CDL22" s="2056"/>
      <c r="CDM22" s="2057"/>
      <c r="CDN22" s="2057"/>
      <c r="CDO22" s="2056"/>
      <c r="CDP22" s="2057"/>
      <c r="CDQ22" s="2057"/>
      <c r="CDR22" s="2056"/>
      <c r="CDS22" s="2057"/>
      <c r="CDT22" s="2057"/>
      <c r="CDU22" s="2056"/>
      <c r="CDV22" s="2057"/>
      <c r="CDW22" s="2057"/>
      <c r="CDX22" s="2056"/>
      <c r="CDY22" s="2057"/>
      <c r="CDZ22" s="2057"/>
      <c r="CEA22" s="2056"/>
      <c r="CEB22" s="2057"/>
      <c r="CEC22" s="2057"/>
      <c r="CED22" s="2056"/>
      <c r="CEE22" s="2057"/>
      <c r="CEF22" s="2057"/>
      <c r="CEG22" s="2056"/>
      <c r="CEH22" s="2057"/>
      <c r="CEI22" s="2057"/>
      <c r="CEJ22" s="2056"/>
      <c r="CEK22" s="2057"/>
      <c r="CEL22" s="2057"/>
      <c r="CEM22" s="2056"/>
      <c r="CEN22" s="2057"/>
      <c r="CEO22" s="2057"/>
      <c r="CEP22" s="2056"/>
      <c r="CEQ22" s="2057"/>
      <c r="CER22" s="2057"/>
      <c r="CES22" s="2056"/>
      <c r="CET22" s="2057"/>
      <c r="CEU22" s="2057"/>
      <c r="CEV22" s="2056"/>
      <c r="CEW22" s="2057"/>
      <c r="CEX22" s="2057"/>
      <c r="CEY22" s="2056"/>
      <c r="CEZ22" s="2057"/>
      <c r="CFA22" s="2057"/>
      <c r="CFB22" s="2056"/>
      <c r="CFC22" s="2057"/>
      <c r="CFD22" s="2057"/>
      <c r="CFE22" s="2056"/>
      <c r="CFF22" s="2057"/>
      <c r="CFG22" s="2057"/>
      <c r="CFH22" s="2056"/>
      <c r="CFI22" s="2057"/>
      <c r="CFJ22" s="2057"/>
      <c r="CFK22" s="2056"/>
      <c r="CFL22" s="2057"/>
      <c r="CFM22" s="2057"/>
      <c r="CFN22" s="2056"/>
      <c r="CFO22" s="2057"/>
      <c r="CFP22" s="2057"/>
      <c r="CFQ22" s="2056"/>
      <c r="CFR22" s="2057"/>
      <c r="CFS22" s="2057"/>
      <c r="CFT22" s="2056"/>
      <c r="CFU22" s="2057"/>
      <c r="CFV22" s="2057"/>
      <c r="CFW22" s="2056"/>
      <c r="CFX22" s="2057"/>
      <c r="CFY22" s="2057"/>
      <c r="CFZ22" s="2056"/>
      <c r="CGA22" s="2057"/>
      <c r="CGB22" s="2057"/>
      <c r="CGC22" s="2056"/>
      <c r="CGD22" s="2057"/>
      <c r="CGE22" s="2057"/>
      <c r="CGF22" s="2056"/>
      <c r="CGG22" s="2057"/>
      <c r="CGH22" s="2057"/>
      <c r="CGI22" s="2056"/>
      <c r="CGJ22" s="2057"/>
      <c r="CGK22" s="2057"/>
      <c r="CGL22" s="2056"/>
      <c r="CGM22" s="2057"/>
      <c r="CGN22" s="2057"/>
      <c r="CGO22" s="2056"/>
      <c r="CGP22" s="2057"/>
      <c r="CGQ22" s="2057"/>
      <c r="CGR22" s="2056"/>
      <c r="CGS22" s="2057"/>
      <c r="CGT22" s="2057"/>
      <c r="CGU22" s="2056"/>
      <c r="CGV22" s="2057"/>
      <c r="CGW22" s="2057"/>
      <c r="CGX22" s="2056"/>
      <c r="CGY22" s="2057"/>
      <c r="CGZ22" s="2057"/>
      <c r="CHA22" s="2056"/>
      <c r="CHB22" s="2057"/>
      <c r="CHC22" s="2057"/>
      <c r="CHD22" s="2056"/>
      <c r="CHE22" s="2057"/>
      <c r="CHF22" s="2057"/>
      <c r="CHG22" s="2056"/>
      <c r="CHH22" s="2057"/>
      <c r="CHI22" s="2057"/>
      <c r="CHJ22" s="2056"/>
      <c r="CHK22" s="2057"/>
      <c r="CHL22" s="2057"/>
      <c r="CHM22" s="2056"/>
      <c r="CHN22" s="2057"/>
      <c r="CHO22" s="2057"/>
      <c r="CHP22" s="2056"/>
      <c r="CHQ22" s="2057"/>
      <c r="CHR22" s="2057"/>
      <c r="CHS22" s="2056"/>
      <c r="CHT22" s="2057"/>
      <c r="CHU22" s="2057"/>
      <c r="CHV22" s="2056"/>
      <c r="CHW22" s="2057"/>
      <c r="CHX22" s="2057"/>
      <c r="CHY22" s="2056"/>
      <c r="CHZ22" s="2057"/>
      <c r="CIA22" s="2057"/>
      <c r="CIB22" s="2056"/>
      <c r="CIC22" s="2057"/>
      <c r="CID22" s="2057"/>
      <c r="CIE22" s="2056"/>
      <c r="CIF22" s="2057"/>
      <c r="CIG22" s="2057"/>
      <c r="CIH22" s="2056"/>
      <c r="CII22" s="2057"/>
      <c r="CIJ22" s="2057"/>
      <c r="CIK22" s="2056"/>
      <c r="CIL22" s="2057"/>
      <c r="CIM22" s="2057"/>
      <c r="CIN22" s="2056"/>
      <c r="CIO22" s="2057"/>
      <c r="CIP22" s="2057"/>
      <c r="CIQ22" s="2056"/>
      <c r="CIR22" s="2057"/>
      <c r="CIS22" s="2057"/>
      <c r="CIT22" s="2056"/>
      <c r="CIU22" s="2057"/>
      <c r="CIV22" s="2057"/>
      <c r="CIW22" s="2056"/>
      <c r="CIX22" s="2057"/>
      <c r="CIY22" s="2057"/>
      <c r="CIZ22" s="2056"/>
      <c r="CJA22" s="2057"/>
      <c r="CJB22" s="2057"/>
      <c r="CJC22" s="2056"/>
      <c r="CJD22" s="2057"/>
      <c r="CJE22" s="2057"/>
      <c r="CJF22" s="2056"/>
      <c r="CJG22" s="2057"/>
      <c r="CJH22" s="2057"/>
      <c r="CJI22" s="2056"/>
      <c r="CJJ22" s="2057"/>
      <c r="CJK22" s="2057"/>
      <c r="CJL22" s="2056"/>
      <c r="CJM22" s="2057"/>
      <c r="CJN22" s="2057"/>
      <c r="CJO22" s="2056"/>
      <c r="CJP22" s="2057"/>
      <c r="CJQ22" s="2057"/>
      <c r="CJR22" s="2056"/>
      <c r="CJS22" s="2057"/>
      <c r="CJT22" s="2057"/>
      <c r="CJU22" s="2056"/>
      <c r="CJV22" s="2057"/>
      <c r="CJW22" s="2057"/>
      <c r="CJX22" s="2056"/>
      <c r="CJY22" s="2057"/>
      <c r="CJZ22" s="2057"/>
      <c r="CKA22" s="2056"/>
      <c r="CKB22" s="2057"/>
      <c r="CKC22" s="2057"/>
      <c r="CKD22" s="2056"/>
      <c r="CKE22" s="2057"/>
      <c r="CKF22" s="2057"/>
      <c r="CKG22" s="2056"/>
      <c r="CKH22" s="2057"/>
      <c r="CKI22" s="2057"/>
      <c r="CKJ22" s="2056"/>
      <c r="CKK22" s="2057"/>
      <c r="CKL22" s="2057"/>
      <c r="CKM22" s="2056"/>
      <c r="CKN22" s="2057"/>
      <c r="CKO22" s="2057"/>
      <c r="CKP22" s="2056"/>
      <c r="CKQ22" s="2057"/>
      <c r="CKR22" s="2057"/>
      <c r="CKS22" s="2056"/>
      <c r="CKT22" s="2057"/>
      <c r="CKU22" s="2057"/>
      <c r="CKV22" s="2056"/>
      <c r="CKW22" s="2057"/>
      <c r="CKX22" s="2057"/>
      <c r="CKY22" s="2056"/>
      <c r="CKZ22" s="2057"/>
      <c r="CLA22" s="2057"/>
      <c r="CLB22" s="2056"/>
      <c r="CLC22" s="2057"/>
      <c r="CLD22" s="2057"/>
      <c r="CLE22" s="2056"/>
      <c r="CLF22" s="2057"/>
      <c r="CLG22" s="2057"/>
      <c r="CLH22" s="2056"/>
      <c r="CLI22" s="2057"/>
      <c r="CLJ22" s="2057"/>
      <c r="CLK22" s="2056"/>
      <c r="CLL22" s="2057"/>
      <c r="CLM22" s="2057"/>
      <c r="CLN22" s="2056"/>
      <c r="CLO22" s="2057"/>
      <c r="CLP22" s="2057"/>
      <c r="CLQ22" s="2056"/>
      <c r="CLR22" s="2057"/>
      <c r="CLS22" s="2057"/>
      <c r="CLT22" s="2056"/>
      <c r="CLU22" s="2057"/>
      <c r="CLV22" s="2057"/>
      <c r="CLW22" s="2056"/>
      <c r="CLX22" s="2057"/>
      <c r="CLY22" s="2057"/>
      <c r="CLZ22" s="2056"/>
      <c r="CMA22" s="2057"/>
      <c r="CMB22" s="2057"/>
      <c r="CMC22" s="2056"/>
      <c r="CMD22" s="2057"/>
      <c r="CME22" s="2057"/>
      <c r="CMF22" s="2056"/>
      <c r="CMG22" s="2057"/>
      <c r="CMH22" s="2057"/>
      <c r="CMI22" s="2056"/>
      <c r="CMJ22" s="2057"/>
      <c r="CMK22" s="2057"/>
      <c r="CML22" s="2056"/>
      <c r="CMM22" s="2057"/>
      <c r="CMN22" s="2057"/>
      <c r="CMO22" s="2056"/>
      <c r="CMP22" s="2057"/>
      <c r="CMQ22" s="2057"/>
      <c r="CMR22" s="2056"/>
      <c r="CMS22" s="2057"/>
      <c r="CMT22" s="2057"/>
      <c r="CMU22" s="2056"/>
      <c r="CMV22" s="2057"/>
      <c r="CMW22" s="2057"/>
      <c r="CMX22" s="2056"/>
      <c r="CMY22" s="2057"/>
      <c r="CMZ22" s="2057"/>
      <c r="CNA22" s="2056"/>
      <c r="CNB22" s="2057"/>
      <c r="CNC22" s="2057"/>
      <c r="CND22" s="2056"/>
      <c r="CNE22" s="2057"/>
      <c r="CNF22" s="2057"/>
      <c r="CNG22" s="2056"/>
      <c r="CNH22" s="2057"/>
      <c r="CNI22" s="2057"/>
      <c r="CNJ22" s="2056"/>
      <c r="CNK22" s="2057"/>
      <c r="CNL22" s="2057"/>
      <c r="CNM22" s="2056"/>
      <c r="CNN22" s="2057"/>
      <c r="CNO22" s="2057"/>
      <c r="CNP22" s="2056"/>
      <c r="CNQ22" s="2057"/>
      <c r="CNR22" s="2057"/>
      <c r="CNS22" s="2056"/>
      <c r="CNT22" s="2057"/>
      <c r="CNU22" s="2057"/>
      <c r="CNV22" s="2056"/>
      <c r="CNW22" s="2057"/>
      <c r="CNX22" s="2057"/>
      <c r="CNY22" s="2056"/>
      <c r="CNZ22" s="2057"/>
      <c r="COA22" s="2057"/>
      <c r="COB22" s="2056"/>
      <c r="COC22" s="2057"/>
      <c r="COD22" s="2057"/>
      <c r="COE22" s="2056"/>
      <c r="COF22" s="2057"/>
      <c r="COG22" s="2057"/>
      <c r="COH22" s="2056"/>
      <c r="COI22" s="2057"/>
      <c r="COJ22" s="2057"/>
      <c r="COK22" s="2056"/>
      <c r="COL22" s="2057"/>
      <c r="COM22" s="2057"/>
      <c r="CON22" s="2056"/>
      <c r="COO22" s="2057"/>
      <c r="COP22" s="2057"/>
      <c r="COQ22" s="2056"/>
      <c r="COR22" s="2057"/>
      <c r="COS22" s="2057"/>
      <c r="COT22" s="2056"/>
      <c r="COU22" s="2057"/>
      <c r="COV22" s="2057"/>
      <c r="COW22" s="2056"/>
      <c r="COX22" s="2057"/>
      <c r="COY22" s="2057"/>
      <c r="COZ22" s="2056"/>
      <c r="CPA22" s="2057"/>
      <c r="CPB22" s="2057"/>
      <c r="CPC22" s="2056"/>
      <c r="CPD22" s="2057"/>
      <c r="CPE22" s="2057"/>
      <c r="CPF22" s="2056"/>
      <c r="CPG22" s="2057"/>
      <c r="CPH22" s="2057"/>
      <c r="CPI22" s="2056"/>
      <c r="CPJ22" s="2057"/>
      <c r="CPK22" s="2057"/>
      <c r="CPL22" s="2056"/>
      <c r="CPM22" s="2057"/>
      <c r="CPN22" s="2057"/>
      <c r="CPO22" s="2056"/>
      <c r="CPP22" s="2057"/>
      <c r="CPQ22" s="2057"/>
      <c r="CPR22" s="2056"/>
      <c r="CPS22" s="2057"/>
      <c r="CPT22" s="2057"/>
      <c r="CPU22" s="2056"/>
      <c r="CPV22" s="2057"/>
      <c r="CPW22" s="2057"/>
      <c r="CPX22" s="2056"/>
      <c r="CPY22" s="2057"/>
      <c r="CPZ22" s="2057"/>
      <c r="CQA22" s="2056"/>
      <c r="CQB22" s="2057"/>
      <c r="CQC22" s="2057"/>
      <c r="CQD22" s="2056"/>
      <c r="CQE22" s="2057"/>
      <c r="CQF22" s="2057"/>
      <c r="CQG22" s="2056"/>
      <c r="CQH22" s="2057"/>
      <c r="CQI22" s="2057"/>
      <c r="CQJ22" s="2056"/>
      <c r="CQK22" s="2057"/>
      <c r="CQL22" s="2057"/>
      <c r="CQM22" s="2056"/>
      <c r="CQN22" s="2057"/>
      <c r="CQO22" s="2057"/>
      <c r="CQP22" s="2056"/>
      <c r="CQQ22" s="2057"/>
      <c r="CQR22" s="2057"/>
      <c r="CQS22" s="2056"/>
      <c r="CQT22" s="2057"/>
      <c r="CQU22" s="2057"/>
      <c r="CQV22" s="2056"/>
      <c r="CQW22" s="2057"/>
      <c r="CQX22" s="2057"/>
      <c r="CQY22" s="2056"/>
      <c r="CQZ22" s="2057"/>
      <c r="CRA22" s="2057"/>
      <c r="CRB22" s="2056"/>
      <c r="CRC22" s="2057"/>
      <c r="CRD22" s="2057"/>
      <c r="CRE22" s="2056"/>
      <c r="CRF22" s="2057"/>
      <c r="CRG22" s="2057"/>
      <c r="CRH22" s="2056"/>
      <c r="CRI22" s="2057"/>
      <c r="CRJ22" s="2057"/>
      <c r="CRK22" s="2056"/>
      <c r="CRL22" s="2057"/>
      <c r="CRM22" s="2057"/>
      <c r="CRN22" s="2056"/>
      <c r="CRO22" s="2057"/>
      <c r="CRP22" s="2057"/>
      <c r="CRQ22" s="2056"/>
      <c r="CRR22" s="2057"/>
      <c r="CRS22" s="2057"/>
      <c r="CRT22" s="2056"/>
      <c r="CRU22" s="2057"/>
      <c r="CRV22" s="2057"/>
      <c r="CRW22" s="2056"/>
      <c r="CRX22" s="2057"/>
      <c r="CRY22" s="2057"/>
      <c r="CRZ22" s="2056"/>
      <c r="CSA22" s="2057"/>
      <c r="CSB22" s="2057"/>
      <c r="CSC22" s="2056"/>
      <c r="CSD22" s="2057"/>
      <c r="CSE22" s="2057"/>
      <c r="CSF22" s="2056"/>
      <c r="CSG22" s="2057"/>
      <c r="CSH22" s="2057"/>
      <c r="CSI22" s="2056"/>
      <c r="CSJ22" s="2057"/>
      <c r="CSK22" s="2057"/>
      <c r="CSL22" s="2056"/>
      <c r="CSM22" s="2057"/>
      <c r="CSN22" s="2057"/>
      <c r="CSO22" s="2056"/>
      <c r="CSP22" s="2057"/>
      <c r="CSQ22" s="2057"/>
      <c r="CSR22" s="2056"/>
      <c r="CSS22" s="2057"/>
      <c r="CST22" s="2057"/>
      <c r="CSU22" s="2056"/>
      <c r="CSV22" s="2057"/>
      <c r="CSW22" s="2057"/>
      <c r="CSX22" s="2056"/>
      <c r="CSY22" s="2057"/>
      <c r="CSZ22" s="2057"/>
      <c r="CTA22" s="2056"/>
      <c r="CTB22" s="2057"/>
      <c r="CTC22" s="2057"/>
      <c r="CTD22" s="2056"/>
      <c r="CTE22" s="2057"/>
      <c r="CTF22" s="2057"/>
      <c r="CTG22" s="2056"/>
      <c r="CTH22" s="2057"/>
      <c r="CTI22" s="2057"/>
      <c r="CTJ22" s="2056"/>
      <c r="CTK22" s="2057"/>
      <c r="CTL22" s="2057"/>
      <c r="CTM22" s="2056"/>
      <c r="CTN22" s="2057"/>
      <c r="CTO22" s="2057"/>
      <c r="CTP22" s="2056"/>
      <c r="CTQ22" s="2057"/>
      <c r="CTR22" s="2057"/>
      <c r="CTS22" s="2056"/>
      <c r="CTT22" s="2057"/>
      <c r="CTU22" s="2057"/>
      <c r="CTV22" s="2056"/>
      <c r="CTW22" s="2057"/>
      <c r="CTX22" s="2057"/>
      <c r="CTY22" s="2056"/>
      <c r="CTZ22" s="2057"/>
      <c r="CUA22" s="2057"/>
      <c r="CUB22" s="2056"/>
      <c r="CUC22" s="2057"/>
      <c r="CUD22" s="2057"/>
      <c r="CUE22" s="2056"/>
      <c r="CUF22" s="2057"/>
      <c r="CUG22" s="2057"/>
      <c r="CUH22" s="2056"/>
      <c r="CUI22" s="2057"/>
      <c r="CUJ22" s="2057"/>
      <c r="CUK22" s="2056"/>
      <c r="CUL22" s="2057"/>
      <c r="CUM22" s="2057"/>
      <c r="CUN22" s="2056"/>
      <c r="CUO22" s="2057"/>
      <c r="CUP22" s="2057"/>
      <c r="CUQ22" s="2056"/>
      <c r="CUR22" s="2057"/>
      <c r="CUS22" s="2057"/>
      <c r="CUT22" s="2056"/>
      <c r="CUU22" s="2057"/>
      <c r="CUV22" s="2057"/>
      <c r="CUW22" s="2056"/>
      <c r="CUX22" s="2057"/>
      <c r="CUY22" s="2057"/>
      <c r="CUZ22" s="2056"/>
      <c r="CVA22" s="2057"/>
      <c r="CVB22" s="2057"/>
      <c r="CVC22" s="2056"/>
      <c r="CVD22" s="2057"/>
      <c r="CVE22" s="2057"/>
      <c r="CVF22" s="2056"/>
      <c r="CVG22" s="2057"/>
      <c r="CVH22" s="2057"/>
      <c r="CVI22" s="2056"/>
      <c r="CVJ22" s="2057"/>
      <c r="CVK22" s="2057"/>
      <c r="CVL22" s="2056"/>
      <c r="CVM22" s="2057"/>
      <c r="CVN22" s="2057"/>
      <c r="CVO22" s="2056"/>
      <c r="CVP22" s="2057"/>
      <c r="CVQ22" s="2057"/>
      <c r="CVR22" s="2056"/>
      <c r="CVS22" s="2057"/>
      <c r="CVT22" s="2057"/>
      <c r="CVU22" s="2056"/>
      <c r="CVV22" s="2057"/>
      <c r="CVW22" s="2057"/>
      <c r="CVX22" s="2056"/>
      <c r="CVY22" s="2057"/>
      <c r="CVZ22" s="2057"/>
      <c r="CWA22" s="2056"/>
      <c r="CWB22" s="2057"/>
      <c r="CWC22" s="2057"/>
      <c r="CWD22" s="2056"/>
      <c r="CWE22" s="2057"/>
      <c r="CWF22" s="2057"/>
      <c r="CWG22" s="2056"/>
      <c r="CWH22" s="2057"/>
      <c r="CWI22" s="2057"/>
      <c r="CWJ22" s="2056"/>
      <c r="CWK22" s="2057"/>
      <c r="CWL22" s="2057"/>
      <c r="CWM22" s="2056"/>
      <c r="CWN22" s="2057"/>
      <c r="CWO22" s="2057"/>
      <c r="CWP22" s="2056"/>
      <c r="CWQ22" s="2057"/>
      <c r="CWR22" s="2057"/>
      <c r="CWS22" s="2056"/>
      <c r="CWT22" s="2057"/>
      <c r="CWU22" s="2057"/>
      <c r="CWV22" s="2056"/>
      <c r="CWW22" s="2057"/>
      <c r="CWX22" s="2057"/>
      <c r="CWY22" s="2056"/>
      <c r="CWZ22" s="2057"/>
      <c r="CXA22" s="2057"/>
      <c r="CXB22" s="2056"/>
      <c r="CXC22" s="2057"/>
      <c r="CXD22" s="2057"/>
      <c r="CXE22" s="2056"/>
      <c r="CXF22" s="2057"/>
      <c r="CXG22" s="2057"/>
      <c r="CXH22" s="2056"/>
      <c r="CXI22" s="2057"/>
      <c r="CXJ22" s="2057"/>
      <c r="CXK22" s="2056"/>
      <c r="CXL22" s="2057"/>
      <c r="CXM22" s="2057"/>
      <c r="CXN22" s="2056"/>
      <c r="CXO22" s="2057"/>
      <c r="CXP22" s="2057"/>
      <c r="CXQ22" s="2056"/>
      <c r="CXR22" s="2057"/>
      <c r="CXS22" s="2057"/>
      <c r="CXT22" s="2056"/>
      <c r="CXU22" s="2057"/>
      <c r="CXV22" s="2057"/>
      <c r="CXW22" s="2056"/>
      <c r="CXX22" s="2057"/>
      <c r="CXY22" s="2057"/>
      <c r="CXZ22" s="2056"/>
      <c r="CYA22" s="2057"/>
      <c r="CYB22" s="2057"/>
      <c r="CYC22" s="2056"/>
      <c r="CYD22" s="2057"/>
      <c r="CYE22" s="2057"/>
      <c r="CYF22" s="2056"/>
      <c r="CYG22" s="2057"/>
      <c r="CYH22" s="2057"/>
      <c r="CYI22" s="2056"/>
      <c r="CYJ22" s="2057"/>
      <c r="CYK22" s="2057"/>
      <c r="CYL22" s="2056"/>
      <c r="CYM22" s="2057"/>
      <c r="CYN22" s="2057"/>
      <c r="CYO22" s="2056"/>
      <c r="CYP22" s="2057"/>
      <c r="CYQ22" s="2057"/>
      <c r="CYR22" s="2056"/>
      <c r="CYS22" s="2057"/>
      <c r="CYT22" s="2057"/>
      <c r="CYU22" s="2056"/>
      <c r="CYV22" s="2057"/>
      <c r="CYW22" s="2057"/>
      <c r="CYX22" s="2056"/>
      <c r="CYY22" s="2057"/>
      <c r="CYZ22" s="2057"/>
      <c r="CZA22" s="2056"/>
      <c r="CZB22" s="2057"/>
      <c r="CZC22" s="2057"/>
      <c r="CZD22" s="2056"/>
      <c r="CZE22" s="2057"/>
      <c r="CZF22" s="2057"/>
      <c r="CZG22" s="2056"/>
      <c r="CZH22" s="2057"/>
      <c r="CZI22" s="2057"/>
      <c r="CZJ22" s="2056"/>
      <c r="CZK22" s="2057"/>
      <c r="CZL22" s="2057"/>
      <c r="CZM22" s="2056"/>
      <c r="CZN22" s="2057"/>
      <c r="CZO22" s="2057"/>
      <c r="CZP22" s="2056"/>
      <c r="CZQ22" s="2057"/>
      <c r="CZR22" s="2057"/>
      <c r="CZS22" s="2056"/>
      <c r="CZT22" s="2057"/>
      <c r="CZU22" s="2057"/>
      <c r="CZV22" s="2056"/>
      <c r="CZW22" s="2057"/>
      <c r="CZX22" s="2057"/>
      <c r="CZY22" s="2056"/>
      <c r="CZZ22" s="2057"/>
      <c r="DAA22" s="2057"/>
      <c r="DAB22" s="2056"/>
      <c r="DAC22" s="2057"/>
      <c r="DAD22" s="2057"/>
      <c r="DAE22" s="2056"/>
      <c r="DAF22" s="2057"/>
      <c r="DAG22" s="2057"/>
      <c r="DAH22" s="2056"/>
      <c r="DAI22" s="2057"/>
      <c r="DAJ22" s="2057"/>
      <c r="DAK22" s="2056"/>
      <c r="DAL22" s="2057"/>
      <c r="DAM22" s="2057"/>
      <c r="DAN22" s="2056"/>
      <c r="DAO22" s="2057"/>
      <c r="DAP22" s="2057"/>
      <c r="DAQ22" s="2056"/>
      <c r="DAR22" s="2057"/>
      <c r="DAS22" s="2057"/>
      <c r="DAT22" s="2056"/>
      <c r="DAU22" s="2057"/>
      <c r="DAV22" s="2057"/>
      <c r="DAW22" s="2056"/>
      <c r="DAX22" s="2057"/>
      <c r="DAY22" s="2057"/>
      <c r="DAZ22" s="2056"/>
      <c r="DBA22" s="2057"/>
      <c r="DBB22" s="2057"/>
      <c r="DBC22" s="2056"/>
      <c r="DBD22" s="2057"/>
      <c r="DBE22" s="2057"/>
      <c r="DBF22" s="2056"/>
      <c r="DBG22" s="2057"/>
      <c r="DBH22" s="2057"/>
      <c r="DBI22" s="2056"/>
      <c r="DBJ22" s="2057"/>
      <c r="DBK22" s="2057"/>
      <c r="DBL22" s="2056"/>
      <c r="DBM22" s="2057"/>
      <c r="DBN22" s="2057"/>
      <c r="DBO22" s="2056"/>
      <c r="DBP22" s="2057"/>
      <c r="DBQ22" s="2057"/>
      <c r="DBR22" s="2056"/>
      <c r="DBS22" s="2057"/>
      <c r="DBT22" s="2057"/>
      <c r="DBU22" s="2056"/>
      <c r="DBV22" s="2057"/>
      <c r="DBW22" s="2057"/>
      <c r="DBX22" s="2056"/>
      <c r="DBY22" s="2057"/>
      <c r="DBZ22" s="2057"/>
      <c r="DCA22" s="2056"/>
      <c r="DCB22" s="2057"/>
      <c r="DCC22" s="2057"/>
      <c r="DCD22" s="2056"/>
      <c r="DCE22" s="2057"/>
      <c r="DCF22" s="2057"/>
      <c r="DCG22" s="2056"/>
      <c r="DCH22" s="2057"/>
      <c r="DCI22" s="2057"/>
      <c r="DCJ22" s="2056"/>
      <c r="DCK22" s="2057"/>
      <c r="DCL22" s="2057"/>
      <c r="DCM22" s="2056"/>
      <c r="DCN22" s="2057"/>
      <c r="DCO22" s="2057"/>
      <c r="DCP22" s="2056"/>
      <c r="DCQ22" s="2057"/>
      <c r="DCR22" s="2057"/>
      <c r="DCS22" s="2056"/>
      <c r="DCT22" s="2057"/>
      <c r="DCU22" s="2057"/>
      <c r="DCV22" s="2056"/>
      <c r="DCW22" s="2057"/>
      <c r="DCX22" s="2057"/>
      <c r="DCY22" s="2056"/>
      <c r="DCZ22" s="2057"/>
      <c r="DDA22" s="2057"/>
      <c r="DDB22" s="2056"/>
      <c r="DDC22" s="2057"/>
      <c r="DDD22" s="2057"/>
      <c r="DDE22" s="2056"/>
      <c r="DDF22" s="2057"/>
      <c r="DDG22" s="2057"/>
      <c r="DDH22" s="2056"/>
      <c r="DDI22" s="2057"/>
      <c r="DDJ22" s="2057"/>
      <c r="DDK22" s="2056"/>
      <c r="DDL22" s="2057"/>
      <c r="DDM22" s="2057"/>
      <c r="DDN22" s="2056"/>
      <c r="DDO22" s="2057"/>
      <c r="DDP22" s="2057"/>
      <c r="DDQ22" s="2056"/>
      <c r="DDR22" s="2057"/>
      <c r="DDS22" s="2057"/>
      <c r="DDT22" s="2056"/>
      <c r="DDU22" s="2057"/>
      <c r="DDV22" s="2057"/>
      <c r="DDW22" s="2056"/>
      <c r="DDX22" s="2057"/>
      <c r="DDY22" s="2057"/>
      <c r="DDZ22" s="2056"/>
      <c r="DEA22" s="2057"/>
      <c r="DEB22" s="2057"/>
      <c r="DEC22" s="2056"/>
      <c r="DED22" s="2057"/>
      <c r="DEE22" s="2057"/>
      <c r="DEF22" s="2056"/>
      <c r="DEG22" s="2057"/>
      <c r="DEH22" s="2057"/>
      <c r="DEI22" s="2056"/>
      <c r="DEJ22" s="2057"/>
      <c r="DEK22" s="2057"/>
      <c r="DEL22" s="2056"/>
      <c r="DEM22" s="2057"/>
      <c r="DEN22" s="2057"/>
      <c r="DEO22" s="2056"/>
      <c r="DEP22" s="2057"/>
      <c r="DEQ22" s="2057"/>
      <c r="DER22" s="2056"/>
      <c r="DES22" s="2057"/>
      <c r="DET22" s="2057"/>
      <c r="DEU22" s="2056"/>
      <c r="DEV22" s="2057"/>
      <c r="DEW22" s="2057"/>
      <c r="DEX22" s="2056"/>
      <c r="DEY22" s="2057"/>
      <c r="DEZ22" s="2057"/>
      <c r="DFA22" s="2056"/>
      <c r="DFB22" s="2057"/>
      <c r="DFC22" s="2057"/>
      <c r="DFD22" s="2056"/>
      <c r="DFE22" s="2057"/>
      <c r="DFF22" s="2057"/>
      <c r="DFG22" s="2056"/>
      <c r="DFH22" s="2057"/>
      <c r="DFI22" s="2057"/>
      <c r="DFJ22" s="2056"/>
      <c r="DFK22" s="2057"/>
      <c r="DFL22" s="2057"/>
      <c r="DFM22" s="2056"/>
      <c r="DFN22" s="2057"/>
      <c r="DFO22" s="2057"/>
      <c r="DFP22" s="2056"/>
      <c r="DFQ22" s="2057"/>
      <c r="DFR22" s="2057"/>
      <c r="DFS22" s="2056"/>
      <c r="DFT22" s="2057"/>
      <c r="DFU22" s="2057"/>
      <c r="DFV22" s="2056"/>
      <c r="DFW22" s="2057"/>
      <c r="DFX22" s="2057"/>
      <c r="DFY22" s="2056"/>
      <c r="DFZ22" s="2057"/>
      <c r="DGA22" s="2057"/>
      <c r="DGB22" s="2056"/>
      <c r="DGC22" s="2057"/>
      <c r="DGD22" s="2057"/>
      <c r="DGE22" s="2056"/>
      <c r="DGF22" s="2057"/>
      <c r="DGG22" s="2057"/>
      <c r="DGH22" s="2056"/>
      <c r="DGI22" s="2057"/>
      <c r="DGJ22" s="2057"/>
      <c r="DGK22" s="2056"/>
      <c r="DGL22" s="2057"/>
      <c r="DGM22" s="2057"/>
      <c r="DGN22" s="2056"/>
      <c r="DGO22" s="2057"/>
      <c r="DGP22" s="2057"/>
      <c r="DGQ22" s="2056"/>
      <c r="DGR22" s="2057"/>
      <c r="DGS22" s="2057"/>
      <c r="DGT22" s="2056"/>
      <c r="DGU22" s="2057"/>
      <c r="DGV22" s="2057"/>
      <c r="DGW22" s="2056"/>
      <c r="DGX22" s="2057"/>
      <c r="DGY22" s="2057"/>
      <c r="DGZ22" s="2056"/>
      <c r="DHA22" s="2057"/>
      <c r="DHB22" s="2057"/>
      <c r="DHC22" s="2056"/>
      <c r="DHD22" s="2057"/>
      <c r="DHE22" s="2057"/>
      <c r="DHF22" s="2056"/>
      <c r="DHG22" s="2057"/>
      <c r="DHH22" s="2057"/>
      <c r="DHI22" s="2056"/>
      <c r="DHJ22" s="2057"/>
      <c r="DHK22" s="2057"/>
      <c r="DHL22" s="2056"/>
      <c r="DHM22" s="2057"/>
      <c r="DHN22" s="2057"/>
      <c r="DHO22" s="2056"/>
      <c r="DHP22" s="2057"/>
      <c r="DHQ22" s="2057"/>
      <c r="DHR22" s="2056"/>
      <c r="DHS22" s="2057"/>
      <c r="DHT22" s="2057"/>
      <c r="DHU22" s="2056"/>
      <c r="DHV22" s="2057"/>
      <c r="DHW22" s="2057"/>
      <c r="DHX22" s="2056"/>
      <c r="DHY22" s="2057"/>
      <c r="DHZ22" s="2057"/>
      <c r="DIA22" s="2056"/>
      <c r="DIB22" s="2057"/>
      <c r="DIC22" s="2057"/>
      <c r="DID22" s="2056"/>
      <c r="DIE22" s="2057"/>
      <c r="DIF22" s="2057"/>
      <c r="DIG22" s="2056"/>
      <c r="DIH22" s="2057"/>
      <c r="DII22" s="2057"/>
      <c r="DIJ22" s="2056"/>
      <c r="DIK22" s="2057"/>
      <c r="DIL22" s="2057"/>
      <c r="DIM22" s="2056"/>
      <c r="DIN22" s="2057"/>
      <c r="DIO22" s="2057"/>
      <c r="DIP22" s="2056"/>
      <c r="DIQ22" s="2057"/>
      <c r="DIR22" s="2057"/>
      <c r="DIS22" s="2056"/>
      <c r="DIT22" s="2057"/>
      <c r="DIU22" s="2057"/>
      <c r="DIV22" s="2056"/>
      <c r="DIW22" s="2057"/>
      <c r="DIX22" s="2057"/>
      <c r="DIY22" s="2056"/>
      <c r="DIZ22" s="2057"/>
      <c r="DJA22" s="2057"/>
      <c r="DJB22" s="2056"/>
      <c r="DJC22" s="2057"/>
      <c r="DJD22" s="2057"/>
      <c r="DJE22" s="2056"/>
      <c r="DJF22" s="2057"/>
      <c r="DJG22" s="2057"/>
      <c r="DJH22" s="2056"/>
      <c r="DJI22" s="2057"/>
      <c r="DJJ22" s="2057"/>
      <c r="DJK22" s="2056"/>
      <c r="DJL22" s="2057"/>
      <c r="DJM22" s="2057"/>
      <c r="DJN22" s="2056"/>
      <c r="DJO22" s="2057"/>
      <c r="DJP22" s="2057"/>
      <c r="DJQ22" s="2056"/>
      <c r="DJR22" s="2057"/>
      <c r="DJS22" s="2057"/>
      <c r="DJT22" s="2056"/>
      <c r="DJU22" s="2057"/>
      <c r="DJV22" s="2057"/>
      <c r="DJW22" s="2056"/>
      <c r="DJX22" s="2057"/>
      <c r="DJY22" s="2057"/>
      <c r="DJZ22" s="2056"/>
      <c r="DKA22" s="2057"/>
      <c r="DKB22" s="2057"/>
      <c r="DKC22" s="2056"/>
      <c r="DKD22" s="2057"/>
      <c r="DKE22" s="2057"/>
      <c r="DKF22" s="2056"/>
      <c r="DKG22" s="2057"/>
      <c r="DKH22" s="2057"/>
      <c r="DKI22" s="2056"/>
      <c r="DKJ22" s="2057"/>
      <c r="DKK22" s="2057"/>
      <c r="DKL22" s="2056"/>
      <c r="DKM22" s="2057"/>
      <c r="DKN22" s="2057"/>
      <c r="DKO22" s="2056"/>
      <c r="DKP22" s="2057"/>
      <c r="DKQ22" s="2057"/>
      <c r="DKR22" s="2056"/>
      <c r="DKS22" s="2057"/>
      <c r="DKT22" s="2057"/>
      <c r="DKU22" s="2056"/>
      <c r="DKV22" s="2057"/>
      <c r="DKW22" s="2057"/>
      <c r="DKX22" s="2056"/>
      <c r="DKY22" s="2057"/>
      <c r="DKZ22" s="2057"/>
      <c r="DLA22" s="2056"/>
      <c r="DLB22" s="2057"/>
      <c r="DLC22" s="2057"/>
      <c r="DLD22" s="2056"/>
      <c r="DLE22" s="2057"/>
      <c r="DLF22" s="2057"/>
      <c r="DLG22" s="2056"/>
      <c r="DLH22" s="2057"/>
      <c r="DLI22" s="2057"/>
      <c r="DLJ22" s="2056"/>
      <c r="DLK22" s="2057"/>
      <c r="DLL22" s="2057"/>
      <c r="DLM22" s="2056"/>
      <c r="DLN22" s="2057"/>
      <c r="DLO22" s="2057"/>
      <c r="DLP22" s="2056"/>
      <c r="DLQ22" s="2057"/>
      <c r="DLR22" s="2057"/>
      <c r="DLS22" s="2056"/>
      <c r="DLT22" s="2057"/>
      <c r="DLU22" s="2057"/>
      <c r="DLV22" s="2056"/>
      <c r="DLW22" s="2057"/>
      <c r="DLX22" s="2057"/>
      <c r="DLY22" s="2056"/>
      <c r="DLZ22" s="2057"/>
      <c r="DMA22" s="2057"/>
      <c r="DMB22" s="2056"/>
      <c r="DMC22" s="2057"/>
      <c r="DMD22" s="2057"/>
      <c r="DME22" s="2056"/>
      <c r="DMF22" s="2057"/>
      <c r="DMG22" s="2057"/>
      <c r="DMH22" s="2056"/>
      <c r="DMI22" s="2057"/>
      <c r="DMJ22" s="2057"/>
      <c r="DMK22" s="2056"/>
      <c r="DML22" s="2057"/>
      <c r="DMM22" s="2057"/>
      <c r="DMN22" s="2056"/>
      <c r="DMO22" s="2057"/>
      <c r="DMP22" s="2057"/>
      <c r="DMQ22" s="2056"/>
      <c r="DMR22" s="2057"/>
      <c r="DMS22" s="2057"/>
      <c r="DMT22" s="2056"/>
      <c r="DMU22" s="2057"/>
      <c r="DMV22" s="2057"/>
      <c r="DMW22" s="2056"/>
      <c r="DMX22" s="2057"/>
      <c r="DMY22" s="2057"/>
      <c r="DMZ22" s="2056"/>
      <c r="DNA22" s="2057"/>
      <c r="DNB22" s="2057"/>
      <c r="DNC22" s="2056"/>
      <c r="DND22" s="2057"/>
      <c r="DNE22" s="2057"/>
      <c r="DNF22" s="2056"/>
      <c r="DNG22" s="2057"/>
      <c r="DNH22" s="2057"/>
      <c r="DNI22" s="2056"/>
      <c r="DNJ22" s="2057"/>
      <c r="DNK22" s="2057"/>
      <c r="DNL22" s="2056"/>
      <c r="DNM22" s="2057"/>
      <c r="DNN22" s="2057"/>
      <c r="DNO22" s="2056"/>
      <c r="DNP22" s="2057"/>
      <c r="DNQ22" s="2057"/>
      <c r="DNR22" s="2056"/>
      <c r="DNS22" s="2057"/>
      <c r="DNT22" s="2057"/>
      <c r="DNU22" s="2056"/>
      <c r="DNV22" s="2057"/>
      <c r="DNW22" s="2057"/>
      <c r="DNX22" s="2056"/>
      <c r="DNY22" s="2057"/>
      <c r="DNZ22" s="2057"/>
      <c r="DOA22" s="2056"/>
      <c r="DOB22" s="2057"/>
      <c r="DOC22" s="2057"/>
      <c r="DOD22" s="2056"/>
      <c r="DOE22" s="2057"/>
      <c r="DOF22" s="2057"/>
      <c r="DOG22" s="2056"/>
      <c r="DOH22" s="2057"/>
      <c r="DOI22" s="2057"/>
      <c r="DOJ22" s="2056"/>
      <c r="DOK22" s="2057"/>
      <c r="DOL22" s="2057"/>
      <c r="DOM22" s="2056"/>
      <c r="DON22" s="2057"/>
      <c r="DOO22" s="2057"/>
      <c r="DOP22" s="2056"/>
      <c r="DOQ22" s="2057"/>
      <c r="DOR22" s="2057"/>
      <c r="DOS22" s="2056"/>
      <c r="DOT22" s="2057"/>
      <c r="DOU22" s="2057"/>
      <c r="DOV22" s="2056"/>
      <c r="DOW22" s="2057"/>
      <c r="DOX22" s="2057"/>
      <c r="DOY22" s="2056"/>
      <c r="DOZ22" s="2057"/>
      <c r="DPA22" s="2057"/>
      <c r="DPB22" s="2056"/>
      <c r="DPC22" s="2057"/>
      <c r="DPD22" s="2057"/>
      <c r="DPE22" s="2056"/>
      <c r="DPF22" s="2057"/>
      <c r="DPG22" s="2057"/>
      <c r="DPH22" s="2056"/>
      <c r="DPI22" s="2057"/>
      <c r="DPJ22" s="2057"/>
      <c r="DPK22" s="2056"/>
      <c r="DPL22" s="2057"/>
      <c r="DPM22" s="2057"/>
      <c r="DPN22" s="2056"/>
      <c r="DPO22" s="2057"/>
      <c r="DPP22" s="2057"/>
      <c r="DPQ22" s="2056"/>
      <c r="DPR22" s="2057"/>
      <c r="DPS22" s="2057"/>
      <c r="DPT22" s="2056"/>
      <c r="DPU22" s="2057"/>
      <c r="DPV22" s="2057"/>
      <c r="DPW22" s="2056"/>
      <c r="DPX22" s="2057"/>
      <c r="DPY22" s="2057"/>
      <c r="DPZ22" s="2056"/>
      <c r="DQA22" s="2057"/>
      <c r="DQB22" s="2057"/>
      <c r="DQC22" s="2056"/>
      <c r="DQD22" s="2057"/>
      <c r="DQE22" s="2057"/>
      <c r="DQF22" s="2056"/>
      <c r="DQG22" s="2057"/>
      <c r="DQH22" s="2057"/>
      <c r="DQI22" s="2056"/>
      <c r="DQJ22" s="2057"/>
      <c r="DQK22" s="2057"/>
      <c r="DQL22" s="2056"/>
      <c r="DQM22" s="2057"/>
      <c r="DQN22" s="2057"/>
      <c r="DQO22" s="2056"/>
      <c r="DQP22" s="2057"/>
      <c r="DQQ22" s="2057"/>
      <c r="DQR22" s="2056"/>
      <c r="DQS22" s="2057"/>
      <c r="DQT22" s="2057"/>
      <c r="DQU22" s="2056"/>
      <c r="DQV22" s="2057"/>
      <c r="DQW22" s="2057"/>
      <c r="DQX22" s="2056"/>
      <c r="DQY22" s="2057"/>
      <c r="DQZ22" s="2057"/>
      <c r="DRA22" s="2056"/>
      <c r="DRB22" s="2057"/>
      <c r="DRC22" s="2057"/>
      <c r="DRD22" s="2056"/>
      <c r="DRE22" s="2057"/>
      <c r="DRF22" s="2057"/>
      <c r="DRG22" s="2056"/>
      <c r="DRH22" s="2057"/>
      <c r="DRI22" s="2057"/>
      <c r="DRJ22" s="2056"/>
      <c r="DRK22" s="2057"/>
      <c r="DRL22" s="2057"/>
      <c r="DRM22" s="2056"/>
      <c r="DRN22" s="2057"/>
      <c r="DRO22" s="2057"/>
      <c r="DRP22" s="2056"/>
      <c r="DRQ22" s="2057"/>
      <c r="DRR22" s="2057"/>
      <c r="DRS22" s="2056"/>
      <c r="DRT22" s="2057"/>
      <c r="DRU22" s="2057"/>
      <c r="DRV22" s="2056"/>
      <c r="DRW22" s="2057"/>
      <c r="DRX22" s="2057"/>
      <c r="DRY22" s="2056"/>
      <c r="DRZ22" s="2057"/>
      <c r="DSA22" s="2057"/>
      <c r="DSB22" s="2056"/>
      <c r="DSC22" s="2057"/>
      <c r="DSD22" s="2057"/>
      <c r="DSE22" s="2056"/>
      <c r="DSF22" s="2057"/>
      <c r="DSG22" s="2057"/>
      <c r="DSH22" s="2056"/>
      <c r="DSI22" s="2057"/>
      <c r="DSJ22" s="2057"/>
      <c r="DSK22" s="2056"/>
      <c r="DSL22" s="2057"/>
      <c r="DSM22" s="2057"/>
      <c r="DSN22" s="2056"/>
      <c r="DSO22" s="2057"/>
      <c r="DSP22" s="2057"/>
      <c r="DSQ22" s="2056"/>
      <c r="DSR22" s="2057"/>
      <c r="DSS22" s="2057"/>
      <c r="DST22" s="2056"/>
      <c r="DSU22" s="2057"/>
      <c r="DSV22" s="2057"/>
      <c r="DSW22" s="2056"/>
      <c r="DSX22" s="2057"/>
      <c r="DSY22" s="2057"/>
      <c r="DSZ22" s="2056"/>
      <c r="DTA22" s="2057"/>
      <c r="DTB22" s="2057"/>
      <c r="DTC22" s="2056"/>
      <c r="DTD22" s="2057"/>
      <c r="DTE22" s="2057"/>
      <c r="DTF22" s="2056"/>
      <c r="DTG22" s="2057"/>
      <c r="DTH22" s="2057"/>
      <c r="DTI22" s="2056"/>
      <c r="DTJ22" s="2057"/>
      <c r="DTK22" s="2057"/>
      <c r="DTL22" s="2056"/>
      <c r="DTM22" s="2057"/>
      <c r="DTN22" s="2057"/>
      <c r="DTO22" s="2056"/>
      <c r="DTP22" s="2057"/>
      <c r="DTQ22" s="2057"/>
      <c r="DTR22" s="2056"/>
      <c r="DTS22" s="2057"/>
      <c r="DTT22" s="2057"/>
      <c r="DTU22" s="2056"/>
      <c r="DTV22" s="2057"/>
      <c r="DTW22" s="2057"/>
      <c r="DTX22" s="2056"/>
      <c r="DTY22" s="2057"/>
      <c r="DTZ22" s="2057"/>
      <c r="DUA22" s="2056"/>
      <c r="DUB22" s="2057"/>
      <c r="DUC22" s="2057"/>
      <c r="DUD22" s="2056"/>
      <c r="DUE22" s="2057"/>
      <c r="DUF22" s="2057"/>
      <c r="DUG22" s="2056"/>
      <c r="DUH22" s="2057"/>
      <c r="DUI22" s="2057"/>
      <c r="DUJ22" s="2056"/>
      <c r="DUK22" s="2057"/>
      <c r="DUL22" s="2057"/>
      <c r="DUM22" s="2056"/>
      <c r="DUN22" s="2057"/>
      <c r="DUO22" s="2057"/>
      <c r="DUP22" s="2056"/>
      <c r="DUQ22" s="2057"/>
      <c r="DUR22" s="2057"/>
      <c r="DUS22" s="2056"/>
      <c r="DUT22" s="2057"/>
      <c r="DUU22" s="2057"/>
      <c r="DUV22" s="2056"/>
      <c r="DUW22" s="2057"/>
      <c r="DUX22" s="2057"/>
      <c r="DUY22" s="2056"/>
      <c r="DUZ22" s="2057"/>
      <c r="DVA22" s="2057"/>
      <c r="DVB22" s="2056"/>
      <c r="DVC22" s="2057"/>
      <c r="DVD22" s="2057"/>
      <c r="DVE22" s="2056"/>
      <c r="DVF22" s="2057"/>
      <c r="DVG22" s="2057"/>
      <c r="DVH22" s="2056"/>
      <c r="DVI22" s="2057"/>
      <c r="DVJ22" s="2057"/>
      <c r="DVK22" s="2056"/>
      <c r="DVL22" s="2057"/>
      <c r="DVM22" s="2057"/>
      <c r="DVN22" s="2056"/>
      <c r="DVO22" s="2057"/>
      <c r="DVP22" s="2057"/>
      <c r="DVQ22" s="2056"/>
      <c r="DVR22" s="2057"/>
      <c r="DVS22" s="2057"/>
      <c r="DVT22" s="2056"/>
      <c r="DVU22" s="2057"/>
      <c r="DVV22" s="2057"/>
      <c r="DVW22" s="2056"/>
      <c r="DVX22" s="2057"/>
      <c r="DVY22" s="2057"/>
      <c r="DVZ22" s="2056"/>
      <c r="DWA22" s="2057"/>
      <c r="DWB22" s="2057"/>
      <c r="DWC22" s="2056"/>
      <c r="DWD22" s="2057"/>
      <c r="DWE22" s="2057"/>
      <c r="DWF22" s="2056"/>
      <c r="DWG22" s="2057"/>
      <c r="DWH22" s="2057"/>
      <c r="DWI22" s="2056"/>
      <c r="DWJ22" s="2057"/>
      <c r="DWK22" s="2057"/>
      <c r="DWL22" s="2056"/>
      <c r="DWM22" s="2057"/>
      <c r="DWN22" s="2057"/>
      <c r="DWO22" s="2056"/>
      <c r="DWP22" s="2057"/>
      <c r="DWQ22" s="2057"/>
      <c r="DWR22" s="2056"/>
      <c r="DWS22" s="2057"/>
      <c r="DWT22" s="2057"/>
      <c r="DWU22" s="2056"/>
      <c r="DWV22" s="2057"/>
      <c r="DWW22" s="2057"/>
      <c r="DWX22" s="2056"/>
      <c r="DWY22" s="2057"/>
      <c r="DWZ22" s="2057"/>
      <c r="DXA22" s="2056"/>
      <c r="DXB22" s="2057"/>
      <c r="DXC22" s="2057"/>
      <c r="DXD22" s="2056"/>
      <c r="DXE22" s="2057"/>
      <c r="DXF22" s="2057"/>
      <c r="DXG22" s="2056"/>
      <c r="DXH22" s="2057"/>
      <c r="DXI22" s="2057"/>
      <c r="DXJ22" s="2056"/>
      <c r="DXK22" s="2057"/>
      <c r="DXL22" s="2057"/>
      <c r="DXM22" s="2056"/>
      <c r="DXN22" s="2057"/>
      <c r="DXO22" s="2057"/>
      <c r="DXP22" s="2056"/>
      <c r="DXQ22" s="2057"/>
      <c r="DXR22" s="2057"/>
      <c r="DXS22" s="2056"/>
      <c r="DXT22" s="2057"/>
      <c r="DXU22" s="2057"/>
      <c r="DXV22" s="2056"/>
      <c r="DXW22" s="2057"/>
      <c r="DXX22" s="2057"/>
      <c r="DXY22" s="2056"/>
      <c r="DXZ22" s="2057"/>
      <c r="DYA22" s="2057"/>
      <c r="DYB22" s="2056"/>
      <c r="DYC22" s="2057"/>
      <c r="DYD22" s="2057"/>
      <c r="DYE22" s="2056"/>
      <c r="DYF22" s="2057"/>
      <c r="DYG22" s="2057"/>
      <c r="DYH22" s="2056"/>
      <c r="DYI22" s="2057"/>
      <c r="DYJ22" s="2057"/>
      <c r="DYK22" s="2056"/>
      <c r="DYL22" s="2057"/>
      <c r="DYM22" s="2057"/>
      <c r="DYN22" s="2056"/>
      <c r="DYO22" s="2057"/>
      <c r="DYP22" s="2057"/>
      <c r="DYQ22" s="2056"/>
      <c r="DYR22" s="2057"/>
      <c r="DYS22" s="2057"/>
      <c r="DYT22" s="2056"/>
      <c r="DYU22" s="2057"/>
      <c r="DYV22" s="2057"/>
      <c r="DYW22" s="2056"/>
      <c r="DYX22" s="2057"/>
      <c r="DYY22" s="2057"/>
      <c r="DYZ22" s="2056"/>
      <c r="DZA22" s="2057"/>
      <c r="DZB22" s="2057"/>
      <c r="DZC22" s="2056"/>
      <c r="DZD22" s="2057"/>
      <c r="DZE22" s="2057"/>
      <c r="DZF22" s="2056"/>
      <c r="DZG22" s="2057"/>
      <c r="DZH22" s="2057"/>
      <c r="DZI22" s="2056"/>
      <c r="DZJ22" s="2057"/>
      <c r="DZK22" s="2057"/>
      <c r="DZL22" s="2056"/>
      <c r="DZM22" s="2057"/>
      <c r="DZN22" s="2057"/>
      <c r="DZO22" s="2056"/>
      <c r="DZP22" s="2057"/>
      <c r="DZQ22" s="2057"/>
      <c r="DZR22" s="2056"/>
      <c r="DZS22" s="2057"/>
      <c r="DZT22" s="2057"/>
      <c r="DZU22" s="2056"/>
      <c r="DZV22" s="2057"/>
      <c r="DZW22" s="2057"/>
      <c r="DZX22" s="2056"/>
      <c r="DZY22" s="2057"/>
      <c r="DZZ22" s="2057"/>
      <c r="EAA22" s="2056"/>
      <c r="EAB22" s="2057"/>
      <c r="EAC22" s="2057"/>
      <c r="EAD22" s="2056"/>
      <c r="EAE22" s="2057"/>
      <c r="EAF22" s="2057"/>
      <c r="EAG22" s="2056"/>
      <c r="EAH22" s="2057"/>
      <c r="EAI22" s="2057"/>
      <c r="EAJ22" s="2056"/>
      <c r="EAK22" s="2057"/>
      <c r="EAL22" s="2057"/>
      <c r="EAM22" s="2056"/>
      <c r="EAN22" s="2057"/>
      <c r="EAO22" s="2057"/>
      <c r="EAP22" s="2056"/>
      <c r="EAQ22" s="2057"/>
      <c r="EAR22" s="2057"/>
      <c r="EAS22" s="2056"/>
      <c r="EAT22" s="2057"/>
      <c r="EAU22" s="2057"/>
      <c r="EAV22" s="2056"/>
      <c r="EAW22" s="2057"/>
      <c r="EAX22" s="2057"/>
      <c r="EAY22" s="2056"/>
      <c r="EAZ22" s="2057"/>
      <c r="EBA22" s="2057"/>
      <c r="EBB22" s="2056"/>
      <c r="EBC22" s="2057"/>
      <c r="EBD22" s="2057"/>
      <c r="EBE22" s="2056"/>
      <c r="EBF22" s="2057"/>
      <c r="EBG22" s="2057"/>
      <c r="EBH22" s="2056"/>
      <c r="EBI22" s="2057"/>
      <c r="EBJ22" s="2057"/>
      <c r="EBK22" s="2056"/>
      <c r="EBL22" s="2057"/>
      <c r="EBM22" s="2057"/>
      <c r="EBN22" s="2056"/>
      <c r="EBO22" s="2057"/>
      <c r="EBP22" s="2057"/>
      <c r="EBQ22" s="2056"/>
      <c r="EBR22" s="2057"/>
      <c r="EBS22" s="2057"/>
      <c r="EBT22" s="2056"/>
      <c r="EBU22" s="2057"/>
      <c r="EBV22" s="2057"/>
      <c r="EBW22" s="2056"/>
      <c r="EBX22" s="2057"/>
      <c r="EBY22" s="2057"/>
      <c r="EBZ22" s="2056"/>
      <c r="ECA22" s="2057"/>
      <c r="ECB22" s="2057"/>
      <c r="ECC22" s="2056"/>
      <c r="ECD22" s="2057"/>
      <c r="ECE22" s="2057"/>
      <c r="ECF22" s="2056"/>
      <c r="ECG22" s="2057"/>
      <c r="ECH22" s="2057"/>
      <c r="ECI22" s="2056"/>
      <c r="ECJ22" s="2057"/>
      <c r="ECK22" s="2057"/>
      <c r="ECL22" s="2056"/>
      <c r="ECM22" s="2057"/>
      <c r="ECN22" s="2057"/>
      <c r="ECO22" s="2056"/>
      <c r="ECP22" s="2057"/>
      <c r="ECQ22" s="2057"/>
      <c r="ECR22" s="2056"/>
      <c r="ECS22" s="2057"/>
      <c r="ECT22" s="2057"/>
      <c r="ECU22" s="2056"/>
      <c r="ECV22" s="2057"/>
      <c r="ECW22" s="2057"/>
      <c r="ECX22" s="2056"/>
      <c r="ECY22" s="2057"/>
      <c r="ECZ22" s="2057"/>
      <c r="EDA22" s="2056"/>
      <c r="EDB22" s="2057"/>
      <c r="EDC22" s="2057"/>
      <c r="EDD22" s="2056"/>
      <c r="EDE22" s="2057"/>
      <c r="EDF22" s="2057"/>
      <c r="EDG22" s="2056"/>
      <c r="EDH22" s="2057"/>
      <c r="EDI22" s="2057"/>
      <c r="EDJ22" s="2056"/>
      <c r="EDK22" s="2057"/>
      <c r="EDL22" s="2057"/>
      <c r="EDM22" s="2056"/>
      <c r="EDN22" s="2057"/>
      <c r="EDO22" s="2057"/>
      <c r="EDP22" s="2056"/>
      <c r="EDQ22" s="2057"/>
      <c r="EDR22" s="2057"/>
      <c r="EDS22" s="2056"/>
      <c r="EDT22" s="2057"/>
      <c r="EDU22" s="2057"/>
      <c r="EDV22" s="2056"/>
      <c r="EDW22" s="2057"/>
      <c r="EDX22" s="2057"/>
      <c r="EDY22" s="2056"/>
      <c r="EDZ22" s="2057"/>
      <c r="EEA22" s="2057"/>
      <c r="EEB22" s="2056"/>
      <c r="EEC22" s="2057"/>
      <c r="EED22" s="2057"/>
      <c r="EEE22" s="2056"/>
      <c r="EEF22" s="2057"/>
      <c r="EEG22" s="2057"/>
      <c r="EEH22" s="2056"/>
      <c r="EEI22" s="2057"/>
      <c r="EEJ22" s="2057"/>
      <c r="EEK22" s="2056"/>
      <c r="EEL22" s="2057"/>
      <c r="EEM22" s="2057"/>
      <c r="EEN22" s="2056"/>
      <c r="EEO22" s="2057"/>
      <c r="EEP22" s="2057"/>
      <c r="EEQ22" s="2056"/>
      <c r="EER22" s="2057"/>
      <c r="EES22" s="2057"/>
      <c r="EET22" s="2056"/>
      <c r="EEU22" s="2057"/>
      <c r="EEV22" s="2057"/>
      <c r="EEW22" s="2056"/>
      <c r="EEX22" s="2057"/>
      <c r="EEY22" s="2057"/>
      <c r="EEZ22" s="2056"/>
      <c r="EFA22" s="2057"/>
      <c r="EFB22" s="2057"/>
      <c r="EFC22" s="2056"/>
      <c r="EFD22" s="2057"/>
      <c r="EFE22" s="2057"/>
      <c r="EFF22" s="2056"/>
      <c r="EFG22" s="2057"/>
      <c r="EFH22" s="2057"/>
      <c r="EFI22" s="2056"/>
      <c r="EFJ22" s="2057"/>
      <c r="EFK22" s="2057"/>
      <c r="EFL22" s="2056"/>
      <c r="EFM22" s="2057"/>
      <c r="EFN22" s="2057"/>
      <c r="EFO22" s="2056"/>
      <c r="EFP22" s="2057"/>
      <c r="EFQ22" s="2057"/>
      <c r="EFR22" s="2056"/>
      <c r="EFS22" s="2057"/>
      <c r="EFT22" s="2057"/>
      <c r="EFU22" s="2056"/>
      <c r="EFV22" s="2057"/>
      <c r="EFW22" s="2057"/>
      <c r="EFX22" s="2056"/>
      <c r="EFY22" s="2057"/>
      <c r="EFZ22" s="2057"/>
      <c r="EGA22" s="2056"/>
      <c r="EGB22" s="2057"/>
      <c r="EGC22" s="2057"/>
      <c r="EGD22" s="2056"/>
      <c r="EGE22" s="2057"/>
      <c r="EGF22" s="2057"/>
      <c r="EGG22" s="2056"/>
      <c r="EGH22" s="2057"/>
      <c r="EGI22" s="2057"/>
      <c r="EGJ22" s="2056"/>
      <c r="EGK22" s="2057"/>
      <c r="EGL22" s="2057"/>
      <c r="EGM22" s="2056"/>
      <c r="EGN22" s="2057"/>
      <c r="EGO22" s="2057"/>
      <c r="EGP22" s="2056"/>
      <c r="EGQ22" s="2057"/>
      <c r="EGR22" s="2057"/>
      <c r="EGS22" s="2056"/>
      <c r="EGT22" s="2057"/>
      <c r="EGU22" s="2057"/>
      <c r="EGV22" s="2056"/>
      <c r="EGW22" s="2057"/>
      <c r="EGX22" s="2057"/>
      <c r="EGY22" s="2056"/>
      <c r="EGZ22" s="2057"/>
      <c r="EHA22" s="2057"/>
      <c r="EHB22" s="2056"/>
      <c r="EHC22" s="2057"/>
      <c r="EHD22" s="2057"/>
      <c r="EHE22" s="2056"/>
      <c r="EHF22" s="2057"/>
      <c r="EHG22" s="2057"/>
      <c r="EHH22" s="2056"/>
      <c r="EHI22" s="2057"/>
      <c r="EHJ22" s="2057"/>
      <c r="EHK22" s="2056"/>
      <c r="EHL22" s="2057"/>
      <c r="EHM22" s="2057"/>
      <c r="EHN22" s="2056"/>
      <c r="EHO22" s="2057"/>
      <c r="EHP22" s="2057"/>
      <c r="EHQ22" s="2056"/>
      <c r="EHR22" s="2057"/>
      <c r="EHS22" s="2057"/>
      <c r="EHT22" s="2056"/>
      <c r="EHU22" s="2057"/>
      <c r="EHV22" s="2057"/>
      <c r="EHW22" s="2056"/>
      <c r="EHX22" s="2057"/>
      <c r="EHY22" s="2057"/>
      <c r="EHZ22" s="2056"/>
      <c r="EIA22" s="2057"/>
      <c r="EIB22" s="2057"/>
      <c r="EIC22" s="2056"/>
      <c r="EID22" s="2057"/>
      <c r="EIE22" s="2057"/>
      <c r="EIF22" s="2056"/>
      <c r="EIG22" s="2057"/>
      <c r="EIH22" s="2057"/>
      <c r="EII22" s="2056"/>
      <c r="EIJ22" s="2057"/>
      <c r="EIK22" s="2057"/>
      <c r="EIL22" s="2056"/>
      <c r="EIM22" s="2057"/>
      <c r="EIN22" s="2057"/>
      <c r="EIO22" s="2056"/>
      <c r="EIP22" s="2057"/>
      <c r="EIQ22" s="2057"/>
      <c r="EIR22" s="2056"/>
      <c r="EIS22" s="2057"/>
      <c r="EIT22" s="2057"/>
      <c r="EIU22" s="2056"/>
      <c r="EIV22" s="2057"/>
      <c r="EIW22" s="2057"/>
      <c r="EIX22" s="2056"/>
      <c r="EIY22" s="2057"/>
      <c r="EIZ22" s="2057"/>
      <c r="EJA22" s="2056"/>
      <c r="EJB22" s="2057"/>
      <c r="EJC22" s="2057"/>
      <c r="EJD22" s="2056"/>
      <c r="EJE22" s="2057"/>
      <c r="EJF22" s="2057"/>
      <c r="EJG22" s="2056"/>
      <c r="EJH22" s="2057"/>
      <c r="EJI22" s="2057"/>
      <c r="EJJ22" s="2056"/>
      <c r="EJK22" s="2057"/>
      <c r="EJL22" s="2057"/>
      <c r="EJM22" s="2056"/>
      <c r="EJN22" s="2057"/>
      <c r="EJO22" s="2057"/>
      <c r="EJP22" s="2056"/>
      <c r="EJQ22" s="2057"/>
      <c r="EJR22" s="2057"/>
      <c r="EJS22" s="2056"/>
      <c r="EJT22" s="2057"/>
      <c r="EJU22" s="2057"/>
      <c r="EJV22" s="2056"/>
      <c r="EJW22" s="2057"/>
      <c r="EJX22" s="2057"/>
      <c r="EJY22" s="2056"/>
      <c r="EJZ22" s="2057"/>
      <c r="EKA22" s="2057"/>
      <c r="EKB22" s="2056"/>
      <c r="EKC22" s="2057"/>
      <c r="EKD22" s="2057"/>
      <c r="EKE22" s="2056"/>
      <c r="EKF22" s="2057"/>
      <c r="EKG22" s="2057"/>
      <c r="EKH22" s="2056"/>
      <c r="EKI22" s="2057"/>
      <c r="EKJ22" s="2057"/>
      <c r="EKK22" s="2056"/>
      <c r="EKL22" s="2057"/>
      <c r="EKM22" s="2057"/>
      <c r="EKN22" s="2056"/>
      <c r="EKO22" s="2057"/>
      <c r="EKP22" s="2057"/>
      <c r="EKQ22" s="2056"/>
      <c r="EKR22" s="2057"/>
      <c r="EKS22" s="2057"/>
      <c r="EKT22" s="2056"/>
      <c r="EKU22" s="2057"/>
      <c r="EKV22" s="2057"/>
      <c r="EKW22" s="2056"/>
      <c r="EKX22" s="2057"/>
      <c r="EKY22" s="2057"/>
      <c r="EKZ22" s="2056"/>
      <c r="ELA22" s="2057"/>
      <c r="ELB22" s="2057"/>
      <c r="ELC22" s="2056"/>
      <c r="ELD22" s="2057"/>
      <c r="ELE22" s="2057"/>
      <c r="ELF22" s="2056"/>
      <c r="ELG22" s="2057"/>
      <c r="ELH22" s="2057"/>
      <c r="ELI22" s="2056"/>
      <c r="ELJ22" s="2057"/>
      <c r="ELK22" s="2057"/>
      <c r="ELL22" s="2056"/>
      <c r="ELM22" s="2057"/>
      <c r="ELN22" s="2057"/>
      <c r="ELO22" s="2056"/>
      <c r="ELP22" s="2057"/>
      <c r="ELQ22" s="2057"/>
      <c r="ELR22" s="2056"/>
      <c r="ELS22" s="2057"/>
      <c r="ELT22" s="2057"/>
      <c r="ELU22" s="2056"/>
      <c r="ELV22" s="2057"/>
      <c r="ELW22" s="2057"/>
      <c r="ELX22" s="2056"/>
      <c r="ELY22" s="2057"/>
      <c r="ELZ22" s="2057"/>
      <c r="EMA22" s="2056"/>
      <c r="EMB22" s="2057"/>
      <c r="EMC22" s="2057"/>
      <c r="EMD22" s="2056"/>
      <c r="EME22" s="2057"/>
      <c r="EMF22" s="2057"/>
      <c r="EMG22" s="2056"/>
      <c r="EMH22" s="2057"/>
      <c r="EMI22" s="2057"/>
      <c r="EMJ22" s="2056"/>
      <c r="EMK22" s="2057"/>
      <c r="EML22" s="2057"/>
      <c r="EMM22" s="2056"/>
      <c r="EMN22" s="2057"/>
      <c r="EMO22" s="2057"/>
      <c r="EMP22" s="2056"/>
      <c r="EMQ22" s="2057"/>
      <c r="EMR22" s="2057"/>
      <c r="EMS22" s="2056"/>
      <c r="EMT22" s="2057"/>
      <c r="EMU22" s="2057"/>
      <c r="EMV22" s="2056"/>
      <c r="EMW22" s="2057"/>
      <c r="EMX22" s="2057"/>
      <c r="EMY22" s="2056"/>
      <c r="EMZ22" s="2057"/>
      <c r="ENA22" s="2057"/>
      <c r="ENB22" s="2056"/>
      <c r="ENC22" s="2057"/>
      <c r="END22" s="2057"/>
      <c r="ENE22" s="2056"/>
      <c r="ENF22" s="2057"/>
      <c r="ENG22" s="2057"/>
      <c r="ENH22" s="2056"/>
      <c r="ENI22" s="2057"/>
      <c r="ENJ22" s="2057"/>
      <c r="ENK22" s="2056"/>
      <c r="ENL22" s="2057"/>
      <c r="ENM22" s="2057"/>
      <c r="ENN22" s="2056"/>
      <c r="ENO22" s="2057"/>
      <c r="ENP22" s="2057"/>
      <c r="ENQ22" s="2056"/>
      <c r="ENR22" s="2057"/>
      <c r="ENS22" s="2057"/>
      <c r="ENT22" s="2056"/>
      <c r="ENU22" s="2057"/>
      <c r="ENV22" s="2057"/>
      <c r="ENW22" s="2056"/>
      <c r="ENX22" s="2057"/>
      <c r="ENY22" s="2057"/>
      <c r="ENZ22" s="2056"/>
      <c r="EOA22" s="2057"/>
      <c r="EOB22" s="2057"/>
      <c r="EOC22" s="2056"/>
      <c r="EOD22" s="2057"/>
      <c r="EOE22" s="2057"/>
      <c r="EOF22" s="2056"/>
      <c r="EOG22" s="2057"/>
      <c r="EOH22" s="2057"/>
      <c r="EOI22" s="2056"/>
      <c r="EOJ22" s="2057"/>
      <c r="EOK22" s="2057"/>
      <c r="EOL22" s="2056"/>
      <c r="EOM22" s="2057"/>
      <c r="EON22" s="2057"/>
      <c r="EOO22" s="2056"/>
      <c r="EOP22" s="2057"/>
      <c r="EOQ22" s="2057"/>
      <c r="EOR22" s="2056"/>
      <c r="EOS22" s="2057"/>
      <c r="EOT22" s="2057"/>
      <c r="EOU22" s="2056"/>
      <c r="EOV22" s="2057"/>
      <c r="EOW22" s="2057"/>
      <c r="EOX22" s="2056"/>
      <c r="EOY22" s="2057"/>
      <c r="EOZ22" s="2057"/>
      <c r="EPA22" s="2056"/>
      <c r="EPB22" s="2057"/>
      <c r="EPC22" s="2057"/>
      <c r="EPD22" s="2056"/>
      <c r="EPE22" s="2057"/>
      <c r="EPF22" s="2057"/>
      <c r="EPG22" s="2056"/>
      <c r="EPH22" s="2057"/>
      <c r="EPI22" s="2057"/>
      <c r="EPJ22" s="2056"/>
      <c r="EPK22" s="2057"/>
      <c r="EPL22" s="2057"/>
      <c r="EPM22" s="2056"/>
      <c r="EPN22" s="2057"/>
      <c r="EPO22" s="2057"/>
      <c r="EPP22" s="2056"/>
      <c r="EPQ22" s="2057"/>
      <c r="EPR22" s="2057"/>
      <c r="EPS22" s="2056"/>
      <c r="EPT22" s="2057"/>
      <c r="EPU22" s="2057"/>
      <c r="EPV22" s="2056"/>
      <c r="EPW22" s="2057"/>
      <c r="EPX22" s="2057"/>
      <c r="EPY22" s="2056"/>
      <c r="EPZ22" s="2057"/>
      <c r="EQA22" s="2057"/>
      <c r="EQB22" s="2056"/>
      <c r="EQC22" s="2057"/>
      <c r="EQD22" s="2057"/>
      <c r="EQE22" s="2056"/>
      <c r="EQF22" s="2057"/>
      <c r="EQG22" s="2057"/>
      <c r="EQH22" s="2056"/>
      <c r="EQI22" s="2057"/>
      <c r="EQJ22" s="2057"/>
      <c r="EQK22" s="2056"/>
      <c r="EQL22" s="2057"/>
      <c r="EQM22" s="2057"/>
      <c r="EQN22" s="2056"/>
      <c r="EQO22" s="2057"/>
      <c r="EQP22" s="2057"/>
      <c r="EQQ22" s="2056"/>
      <c r="EQR22" s="2057"/>
      <c r="EQS22" s="2057"/>
      <c r="EQT22" s="2056"/>
      <c r="EQU22" s="2057"/>
      <c r="EQV22" s="2057"/>
      <c r="EQW22" s="2056"/>
      <c r="EQX22" s="2057"/>
      <c r="EQY22" s="2057"/>
      <c r="EQZ22" s="2056"/>
      <c r="ERA22" s="2057"/>
      <c r="ERB22" s="2057"/>
      <c r="ERC22" s="2056"/>
      <c r="ERD22" s="2057"/>
      <c r="ERE22" s="2057"/>
      <c r="ERF22" s="2056"/>
      <c r="ERG22" s="2057"/>
      <c r="ERH22" s="2057"/>
      <c r="ERI22" s="2056"/>
      <c r="ERJ22" s="2057"/>
      <c r="ERK22" s="2057"/>
      <c r="ERL22" s="2056"/>
      <c r="ERM22" s="2057"/>
      <c r="ERN22" s="2057"/>
      <c r="ERO22" s="2056"/>
      <c r="ERP22" s="2057"/>
      <c r="ERQ22" s="2057"/>
      <c r="ERR22" s="2056"/>
      <c r="ERS22" s="2057"/>
      <c r="ERT22" s="2057"/>
      <c r="ERU22" s="2056"/>
      <c r="ERV22" s="2057"/>
      <c r="ERW22" s="2057"/>
      <c r="ERX22" s="2056"/>
      <c r="ERY22" s="2057"/>
      <c r="ERZ22" s="2057"/>
      <c r="ESA22" s="2056"/>
      <c r="ESB22" s="2057"/>
      <c r="ESC22" s="2057"/>
      <c r="ESD22" s="2056"/>
      <c r="ESE22" s="2057"/>
      <c r="ESF22" s="2057"/>
      <c r="ESG22" s="2056"/>
      <c r="ESH22" s="2057"/>
      <c r="ESI22" s="2057"/>
      <c r="ESJ22" s="2056"/>
      <c r="ESK22" s="2057"/>
      <c r="ESL22" s="2057"/>
      <c r="ESM22" s="2056"/>
      <c r="ESN22" s="2057"/>
      <c r="ESO22" s="2057"/>
      <c r="ESP22" s="2056"/>
      <c r="ESQ22" s="2057"/>
      <c r="ESR22" s="2057"/>
      <c r="ESS22" s="2056"/>
      <c r="EST22" s="2057"/>
      <c r="ESU22" s="2057"/>
      <c r="ESV22" s="2056"/>
      <c r="ESW22" s="2057"/>
      <c r="ESX22" s="2057"/>
      <c r="ESY22" s="2056"/>
      <c r="ESZ22" s="2057"/>
      <c r="ETA22" s="2057"/>
      <c r="ETB22" s="2056"/>
      <c r="ETC22" s="2057"/>
      <c r="ETD22" s="2057"/>
      <c r="ETE22" s="2056"/>
      <c r="ETF22" s="2057"/>
      <c r="ETG22" s="2057"/>
      <c r="ETH22" s="2056"/>
      <c r="ETI22" s="2057"/>
      <c r="ETJ22" s="2057"/>
      <c r="ETK22" s="2056"/>
      <c r="ETL22" s="2057"/>
      <c r="ETM22" s="2057"/>
      <c r="ETN22" s="2056"/>
      <c r="ETO22" s="2057"/>
      <c r="ETP22" s="2057"/>
      <c r="ETQ22" s="2056"/>
      <c r="ETR22" s="2057"/>
      <c r="ETS22" s="2057"/>
      <c r="ETT22" s="2056"/>
      <c r="ETU22" s="2057"/>
      <c r="ETV22" s="2057"/>
      <c r="ETW22" s="2056"/>
      <c r="ETX22" s="2057"/>
      <c r="ETY22" s="2057"/>
      <c r="ETZ22" s="2056"/>
      <c r="EUA22" s="2057"/>
      <c r="EUB22" s="2057"/>
      <c r="EUC22" s="2056"/>
      <c r="EUD22" s="2057"/>
      <c r="EUE22" s="2057"/>
      <c r="EUF22" s="2056"/>
      <c r="EUG22" s="2057"/>
      <c r="EUH22" s="2057"/>
      <c r="EUI22" s="2056"/>
      <c r="EUJ22" s="2057"/>
      <c r="EUK22" s="2057"/>
      <c r="EUL22" s="2056"/>
      <c r="EUM22" s="2057"/>
      <c r="EUN22" s="2057"/>
      <c r="EUO22" s="2056"/>
      <c r="EUP22" s="2057"/>
      <c r="EUQ22" s="2057"/>
      <c r="EUR22" s="2056"/>
      <c r="EUS22" s="2057"/>
      <c r="EUT22" s="2057"/>
      <c r="EUU22" s="2056"/>
      <c r="EUV22" s="2057"/>
      <c r="EUW22" s="2057"/>
      <c r="EUX22" s="2056"/>
      <c r="EUY22" s="2057"/>
      <c r="EUZ22" s="2057"/>
      <c r="EVA22" s="2056"/>
      <c r="EVB22" s="2057"/>
      <c r="EVC22" s="2057"/>
      <c r="EVD22" s="2056"/>
      <c r="EVE22" s="2057"/>
      <c r="EVF22" s="2057"/>
      <c r="EVG22" s="2056"/>
      <c r="EVH22" s="2057"/>
      <c r="EVI22" s="2057"/>
      <c r="EVJ22" s="2056"/>
      <c r="EVK22" s="2057"/>
      <c r="EVL22" s="2057"/>
      <c r="EVM22" s="2056"/>
      <c r="EVN22" s="2057"/>
      <c r="EVO22" s="2057"/>
      <c r="EVP22" s="2056"/>
      <c r="EVQ22" s="2057"/>
      <c r="EVR22" s="2057"/>
      <c r="EVS22" s="2056"/>
      <c r="EVT22" s="2057"/>
      <c r="EVU22" s="2057"/>
      <c r="EVV22" s="2056"/>
      <c r="EVW22" s="2057"/>
      <c r="EVX22" s="2057"/>
      <c r="EVY22" s="2056"/>
      <c r="EVZ22" s="2057"/>
      <c r="EWA22" s="2057"/>
      <c r="EWB22" s="2056"/>
      <c r="EWC22" s="2057"/>
      <c r="EWD22" s="2057"/>
      <c r="EWE22" s="2056"/>
      <c r="EWF22" s="2057"/>
      <c r="EWG22" s="2057"/>
      <c r="EWH22" s="2056"/>
      <c r="EWI22" s="2057"/>
      <c r="EWJ22" s="2057"/>
      <c r="EWK22" s="2056"/>
      <c r="EWL22" s="2057"/>
      <c r="EWM22" s="2057"/>
      <c r="EWN22" s="2056"/>
      <c r="EWO22" s="2057"/>
      <c r="EWP22" s="2057"/>
      <c r="EWQ22" s="2056"/>
      <c r="EWR22" s="2057"/>
      <c r="EWS22" s="2057"/>
      <c r="EWT22" s="2056"/>
      <c r="EWU22" s="2057"/>
      <c r="EWV22" s="2057"/>
      <c r="EWW22" s="2056"/>
      <c r="EWX22" s="2057"/>
      <c r="EWY22" s="2057"/>
      <c r="EWZ22" s="2056"/>
      <c r="EXA22" s="2057"/>
      <c r="EXB22" s="2057"/>
      <c r="EXC22" s="2056"/>
      <c r="EXD22" s="2057"/>
      <c r="EXE22" s="2057"/>
      <c r="EXF22" s="2056"/>
      <c r="EXG22" s="2057"/>
      <c r="EXH22" s="2057"/>
      <c r="EXI22" s="2056"/>
      <c r="EXJ22" s="2057"/>
      <c r="EXK22" s="2057"/>
      <c r="EXL22" s="2056"/>
      <c r="EXM22" s="2057"/>
      <c r="EXN22" s="2057"/>
      <c r="EXO22" s="2056"/>
      <c r="EXP22" s="2057"/>
      <c r="EXQ22" s="2057"/>
      <c r="EXR22" s="2056"/>
      <c r="EXS22" s="2057"/>
      <c r="EXT22" s="2057"/>
      <c r="EXU22" s="2056"/>
      <c r="EXV22" s="2057"/>
      <c r="EXW22" s="2057"/>
      <c r="EXX22" s="2056"/>
      <c r="EXY22" s="2057"/>
      <c r="EXZ22" s="2057"/>
      <c r="EYA22" s="2056"/>
      <c r="EYB22" s="2057"/>
      <c r="EYC22" s="2057"/>
      <c r="EYD22" s="2056"/>
      <c r="EYE22" s="2057"/>
      <c r="EYF22" s="2057"/>
      <c r="EYG22" s="2056"/>
      <c r="EYH22" s="2057"/>
      <c r="EYI22" s="2057"/>
      <c r="EYJ22" s="2056"/>
      <c r="EYK22" s="2057"/>
      <c r="EYL22" s="2057"/>
      <c r="EYM22" s="2056"/>
      <c r="EYN22" s="2057"/>
      <c r="EYO22" s="2057"/>
      <c r="EYP22" s="2056"/>
      <c r="EYQ22" s="2057"/>
      <c r="EYR22" s="2057"/>
      <c r="EYS22" s="2056"/>
      <c r="EYT22" s="2057"/>
      <c r="EYU22" s="2057"/>
      <c r="EYV22" s="2056"/>
      <c r="EYW22" s="2057"/>
      <c r="EYX22" s="2057"/>
      <c r="EYY22" s="2056"/>
      <c r="EYZ22" s="2057"/>
      <c r="EZA22" s="2057"/>
      <c r="EZB22" s="2056"/>
      <c r="EZC22" s="2057"/>
      <c r="EZD22" s="2057"/>
      <c r="EZE22" s="2056"/>
      <c r="EZF22" s="2057"/>
      <c r="EZG22" s="2057"/>
      <c r="EZH22" s="2056"/>
      <c r="EZI22" s="2057"/>
      <c r="EZJ22" s="2057"/>
      <c r="EZK22" s="2056"/>
      <c r="EZL22" s="2057"/>
      <c r="EZM22" s="2057"/>
      <c r="EZN22" s="2056"/>
      <c r="EZO22" s="2057"/>
      <c r="EZP22" s="2057"/>
      <c r="EZQ22" s="2056"/>
      <c r="EZR22" s="2057"/>
      <c r="EZS22" s="2057"/>
      <c r="EZT22" s="2056"/>
      <c r="EZU22" s="2057"/>
      <c r="EZV22" s="2057"/>
      <c r="EZW22" s="2056"/>
      <c r="EZX22" s="2057"/>
      <c r="EZY22" s="2057"/>
      <c r="EZZ22" s="2056"/>
      <c r="FAA22" s="2057"/>
      <c r="FAB22" s="2057"/>
      <c r="FAC22" s="2056"/>
      <c r="FAD22" s="2057"/>
      <c r="FAE22" s="2057"/>
      <c r="FAF22" s="2056"/>
      <c r="FAG22" s="2057"/>
      <c r="FAH22" s="2057"/>
      <c r="FAI22" s="2056"/>
      <c r="FAJ22" s="2057"/>
      <c r="FAK22" s="2057"/>
      <c r="FAL22" s="2056"/>
      <c r="FAM22" s="2057"/>
      <c r="FAN22" s="2057"/>
      <c r="FAO22" s="2056"/>
      <c r="FAP22" s="2057"/>
      <c r="FAQ22" s="2057"/>
      <c r="FAR22" s="2056"/>
      <c r="FAS22" s="2057"/>
      <c r="FAT22" s="2057"/>
      <c r="FAU22" s="2056"/>
      <c r="FAV22" s="2057"/>
      <c r="FAW22" s="2057"/>
      <c r="FAX22" s="2056"/>
      <c r="FAY22" s="2057"/>
      <c r="FAZ22" s="2057"/>
      <c r="FBA22" s="2056"/>
      <c r="FBB22" s="2057"/>
      <c r="FBC22" s="2057"/>
      <c r="FBD22" s="2056"/>
      <c r="FBE22" s="2057"/>
      <c r="FBF22" s="2057"/>
      <c r="FBG22" s="2056"/>
      <c r="FBH22" s="2057"/>
      <c r="FBI22" s="2057"/>
      <c r="FBJ22" s="2056"/>
      <c r="FBK22" s="2057"/>
      <c r="FBL22" s="2057"/>
      <c r="FBM22" s="2056"/>
      <c r="FBN22" s="2057"/>
      <c r="FBO22" s="2057"/>
      <c r="FBP22" s="2056"/>
      <c r="FBQ22" s="2057"/>
      <c r="FBR22" s="2057"/>
      <c r="FBS22" s="2056"/>
      <c r="FBT22" s="2057"/>
      <c r="FBU22" s="2057"/>
      <c r="FBV22" s="2056"/>
      <c r="FBW22" s="2057"/>
      <c r="FBX22" s="2057"/>
      <c r="FBY22" s="2056"/>
      <c r="FBZ22" s="2057"/>
      <c r="FCA22" s="2057"/>
      <c r="FCB22" s="2056"/>
      <c r="FCC22" s="2057"/>
      <c r="FCD22" s="2057"/>
      <c r="FCE22" s="2056"/>
      <c r="FCF22" s="2057"/>
      <c r="FCG22" s="2057"/>
      <c r="FCH22" s="2056"/>
      <c r="FCI22" s="2057"/>
      <c r="FCJ22" s="2057"/>
      <c r="FCK22" s="2056"/>
      <c r="FCL22" s="2057"/>
      <c r="FCM22" s="2057"/>
      <c r="FCN22" s="2056"/>
      <c r="FCO22" s="2057"/>
      <c r="FCP22" s="2057"/>
      <c r="FCQ22" s="2056"/>
      <c r="FCR22" s="2057"/>
      <c r="FCS22" s="2057"/>
      <c r="FCT22" s="2056"/>
      <c r="FCU22" s="2057"/>
      <c r="FCV22" s="2057"/>
      <c r="FCW22" s="2056"/>
      <c r="FCX22" s="2057"/>
      <c r="FCY22" s="2057"/>
      <c r="FCZ22" s="2056"/>
      <c r="FDA22" s="2057"/>
      <c r="FDB22" s="2057"/>
      <c r="FDC22" s="2056"/>
      <c r="FDD22" s="2057"/>
      <c r="FDE22" s="2057"/>
      <c r="FDF22" s="2056"/>
      <c r="FDG22" s="2057"/>
      <c r="FDH22" s="2057"/>
      <c r="FDI22" s="2056"/>
      <c r="FDJ22" s="2057"/>
      <c r="FDK22" s="2057"/>
      <c r="FDL22" s="2056"/>
      <c r="FDM22" s="2057"/>
      <c r="FDN22" s="2057"/>
      <c r="FDO22" s="2056"/>
      <c r="FDP22" s="2057"/>
      <c r="FDQ22" s="2057"/>
      <c r="FDR22" s="2056"/>
      <c r="FDS22" s="2057"/>
      <c r="FDT22" s="2057"/>
      <c r="FDU22" s="2056"/>
      <c r="FDV22" s="2057"/>
      <c r="FDW22" s="2057"/>
      <c r="FDX22" s="2056"/>
      <c r="FDY22" s="2057"/>
      <c r="FDZ22" s="2057"/>
      <c r="FEA22" s="2056"/>
      <c r="FEB22" s="2057"/>
      <c r="FEC22" s="2057"/>
      <c r="FED22" s="2056"/>
      <c r="FEE22" s="2057"/>
      <c r="FEF22" s="2057"/>
      <c r="FEG22" s="2056"/>
      <c r="FEH22" s="2057"/>
      <c r="FEI22" s="2057"/>
      <c r="FEJ22" s="2056"/>
      <c r="FEK22" s="2057"/>
      <c r="FEL22" s="2057"/>
      <c r="FEM22" s="2056"/>
      <c r="FEN22" s="2057"/>
      <c r="FEO22" s="2057"/>
      <c r="FEP22" s="2056"/>
      <c r="FEQ22" s="2057"/>
      <c r="FER22" s="2057"/>
      <c r="FES22" s="2056"/>
      <c r="FET22" s="2057"/>
      <c r="FEU22" s="2057"/>
      <c r="FEV22" s="2056"/>
      <c r="FEW22" s="2057"/>
      <c r="FEX22" s="2057"/>
      <c r="FEY22" s="2056"/>
      <c r="FEZ22" s="2057"/>
      <c r="FFA22" s="2057"/>
      <c r="FFB22" s="2056"/>
      <c r="FFC22" s="2057"/>
      <c r="FFD22" s="2057"/>
      <c r="FFE22" s="2056"/>
      <c r="FFF22" s="2057"/>
      <c r="FFG22" s="2057"/>
      <c r="FFH22" s="2056"/>
      <c r="FFI22" s="2057"/>
      <c r="FFJ22" s="2057"/>
      <c r="FFK22" s="2056"/>
      <c r="FFL22" s="2057"/>
      <c r="FFM22" s="2057"/>
      <c r="FFN22" s="2056"/>
      <c r="FFO22" s="2057"/>
      <c r="FFP22" s="2057"/>
      <c r="FFQ22" s="2056"/>
      <c r="FFR22" s="2057"/>
      <c r="FFS22" s="2057"/>
      <c r="FFT22" s="2056"/>
      <c r="FFU22" s="2057"/>
      <c r="FFV22" s="2057"/>
      <c r="FFW22" s="2056"/>
      <c r="FFX22" s="2057"/>
      <c r="FFY22" s="2057"/>
      <c r="FFZ22" s="2056"/>
      <c r="FGA22" s="2057"/>
      <c r="FGB22" s="2057"/>
      <c r="FGC22" s="2056"/>
      <c r="FGD22" s="2057"/>
      <c r="FGE22" s="2057"/>
      <c r="FGF22" s="2056"/>
      <c r="FGG22" s="2057"/>
      <c r="FGH22" s="2057"/>
      <c r="FGI22" s="2056"/>
      <c r="FGJ22" s="2057"/>
      <c r="FGK22" s="2057"/>
      <c r="FGL22" s="2056"/>
      <c r="FGM22" s="2057"/>
      <c r="FGN22" s="2057"/>
      <c r="FGO22" s="2056"/>
      <c r="FGP22" s="2057"/>
      <c r="FGQ22" s="2057"/>
      <c r="FGR22" s="2056"/>
      <c r="FGS22" s="2057"/>
      <c r="FGT22" s="2057"/>
      <c r="FGU22" s="2056"/>
      <c r="FGV22" s="2057"/>
      <c r="FGW22" s="2057"/>
      <c r="FGX22" s="2056"/>
      <c r="FGY22" s="2057"/>
      <c r="FGZ22" s="2057"/>
      <c r="FHA22" s="2056"/>
      <c r="FHB22" s="2057"/>
      <c r="FHC22" s="2057"/>
      <c r="FHD22" s="2056"/>
      <c r="FHE22" s="2057"/>
      <c r="FHF22" s="2057"/>
      <c r="FHG22" s="2056"/>
      <c r="FHH22" s="2057"/>
      <c r="FHI22" s="2057"/>
      <c r="FHJ22" s="2056"/>
      <c r="FHK22" s="2057"/>
      <c r="FHL22" s="2057"/>
      <c r="FHM22" s="2056"/>
      <c r="FHN22" s="2057"/>
      <c r="FHO22" s="2057"/>
      <c r="FHP22" s="2056"/>
      <c r="FHQ22" s="2057"/>
      <c r="FHR22" s="2057"/>
      <c r="FHS22" s="2056"/>
      <c r="FHT22" s="2057"/>
      <c r="FHU22" s="2057"/>
      <c r="FHV22" s="2056"/>
      <c r="FHW22" s="2057"/>
      <c r="FHX22" s="2057"/>
      <c r="FHY22" s="2056"/>
      <c r="FHZ22" s="2057"/>
      <c r="FIA22" s="2057"/>
      <c r="FIB22" s="2056"/>
      <c r="FIC22" s="2057"/>
      <c r="FID22" s="2057"/>
      <c r="FIE22" s="2056"/>
      <c r="FIF22" s="2057"/>
      <c r="FIG22" s="2057"/>
      <c r="FIH22" s="2056"/>
      <c r="FII22" s="2057"/>
      <c r="FIJ22" s="2057"/>
      <c r="FIK22" s="2056"/>
      <c r="FIL22" s="2057"/>
      <c r="FIM22" s="2057"/>
      <c r="FIN22" s="2056"/>
      <c r="FIO22" s="2057"/>
      <c r="FIP22" s="2057"/>
      <c r="FIQ22" s="2056"/>
      <c r="FIR22" s="2057"/>
      <c r="FIS22" s="2057"/>
      <c r="FIT22" s="2056"/>
      <c r="FIU22" s="2057"/>
      <c r="FIV22" s="2057"/>
      <c r="FIW22" s="2056"/>
      <c r="FIX22" s="2057"/>
      <c r="FIY22" s="2057"/>
      <c r="FIZ22" s="2056"/>
      <c r="FJA22" s="2057"/>
      <c r="FJB22" s="2057"/>
      <c r="FJC22" s="2056"/>
      <c r="FJD22" s="2057"/>
      <c r="FJE22" s="2057"/>
      <c r="FJF22" s="2056"/>
      <c r="FJG22" s="2057"/>
      <c r="FJH22" s="2057"/>
      <c r="FJI22" s="2056"/>
      <c r="FJJ22" s="2057"/>
      <c r="FJK22" s="2057"/>
      <c r="FJL22" s="2056"/>
      <c r="FJM22" s="2057"/>
      <c r="FJN22" s="2057"/>
      <c r="FJO22" s="2056"/>
      <c r="FJP22" s="2057"/>
      <c r="FJQ22" s="2057"/>
      <c r="FJR22" s="2056"/>
      <c r="FJS22" s="2057"/>
      <c r="FJT22" s="2057"/>
      <c r="FJU22" s="2056"/>
      <c r="FJV22" s="2057"/>
      <c r="FJW22" s="2057"/>
      <c r="FJX22" s="2056"/>
      <c r="FJY22" s="2057"/>
      <c r="FJZ22" s="2057"/>
      <c r="FKA22" s="2056"/>
      <c r="FKB22" s="2057"/>
      <c r="FKC22" s="2057"/>
      <c r="FKD22" s="2056"/>
      <c r="FKE22" s="2057"/>
      <c r="FKF22" s="2057"/>
      <c r="FKG22" s="2056"/>
      <c r="FKH22" s="2057"/>
      <c r="FKI22" s="2057"/>
      <c r="FKJ22" s="2056"/>
      <c r="FKK22" s="2057"/>
      <c r="FKL22" s="2057"/>
      <c r="FKM22" s="2056"/>
      <c r="FKN22" s="2057"/>
      <c r="FKO22" s="2057"/>
      <c r="FKP22" s="2056"/>
      <c r="FKQ22" s="2057"/>
      <c r="FKR22" s="2057"/>
      <c r="FKS22" s="2056"/>
      <c r="FKT22" s="2057"/>
      <c r="FKU22" s="2057"/>
      <c r="FKV22" s="2056"/>
      <c r="FKW22" s="2057"/>
      <c r="FKX22" s="2057"/>
      <c r="FKY22" s="2056"/>
      <c r="FKZ22" s="2057"/>
      <c r="FLA22" s="2057"/>
      <c r="FLB22" s="2056"/>
      <c r="FLC22" s="2057"/>
      <c r="FLD22" s="2057"/>
      <c r="FLE22" s="2056"/>
      <c r="FLF22" s="2057"/>
      <c r="FLG22" s="2057"/>
      <c r="FLH22" s="2056"/>
      <c r="FLI22" s="2057"/>
      <c r="FLJ22" s="2057"/>
      <c r="FLK22" s="2056"/>
      <c r="FLL22" s="2057"/>
      <c r="FLM22" s="2057"/>
      <c r="FLN22" s="2056"/>
      <c r="FLO22" s="2057"/>
      <c r="FLP22" s="2057"/>
      <c r="FLQ22" s="2056"/>
      <c r="FLR22" s="2057"/>
      <c r="FLS22" s="2057"/>
      <c r="FLT22" s="2056"/>
      <c r="FLU22" s="2057"/>
      <c r="FLV22" s="2057"/>
      <c r="FLW22" s="2056"/>
      <c r="FLX22" s="2057"/>
      <c r="FLY22" s="2057"/>
      <c r="FLZ22" s="2056"/>
      <c r="FMA22" s="2057"/>
      <c r="FMB22" s="2057"/>
      <c r="FMC22" s="2056"/>
      <c r="FMD22" s="2057"/>
      <c r="FME22" s="2057"/>
      <c r="FMF22" s="2056"/>
      <c r="FMG22" s="2057"/>
      <c r="FMH22" s="2057"/>
      <c r="FMI22" s="2056"/>
      <c r="FMJ22" s="2057"/>
      <c r="FMK22" s="2057"/>
      <c r="FML22" s="2056"/>
      <c r="FMM22" s="2057"/>
      <c r="FMN22" s="2057"/>
      <c r="FMO22" s="2056"/>
      <c r="FMP22" s="2057"/>
      <c r="FMQ22" s="2057"/>
      <c r="FMR22" s="2056"/>
      <c r="FMS22" s="2057"/>
      <c r="FMT22" s="2057"/>
      <c r="FMU22" s="2056"/>
      <c r="FMV22" s="2057"/>
      <c r="FMW22" s="2057"/>
      <c r="FMX22" s="2056"/>
      <c r="FMY22" s="2057"/>
      <c r="FMZ22" s="2057"/>
      <c r="FNA22" s="2056"/>
      <c r="FNB22" s="2057"/>
      <c r="FNC22" s="2057"/>
      <c r="FND22" s="2056"/>
      <c r="FNE22" s="2057"/>
      <c r="FNF22" s="2057"/>
      <c r="FNG22" s="2056"/>
      <c r="FNH22" s="2057"/>
      <c r="FNI22" s="2057"/>
      <c r="FNJ22" s="2056"/>
      <c r="FNK22" s="2057"/>
      <c r="FNL22" s="2057"/>
      <c r="FNM22" s="2056"/>
      <c r="FNN22" s="2057"/>
      <c r="FNO22" s="2057"/>
      <c r="FNP22" s="2056"/>
      <c r="FNQ22" s="2057"/>
      <c r="FNR22" s="2057"/>
      <c r="FNS22" s="2056"/>
      <c r="FNT22" s="2057"/>
      <c r="FNU22" s="2057"/>
      <c r="FNV22" s="2056"/>
      <c r="FNW22" s="2057"/>
      <c r="FNX22" s="2057"/>
      <c r="FNY22" s="2056"/>
      <c r="FNZ22" s="2057"/>
      <c r="FOA22" s="2057"/>
      <c r="FOB22" s="2056"/>
      <c r="FOC22" s="2057"/>
      <c r="FOD22" s="2057"/>
      <c r="FOE22" s="2056"/>
      <c r="FOF22" s="2057"/>
      <c r="FOG22" s="2057"/>
      <c r="FOH22" s="2056"/>
      <c r="FOI22" s="2057"/>
      <c r="FOJ22" s="2057"/>
      <c r="FOK22" s="2056"/>
      <c r="FOL22" s="2057"/>
      <c r="FOM22" s="2057"/>
      <c r="FON22" s="2056"/>
      <c r="FOO22" s="2057"/>
      <c r="FOP22" s="2057"/>
      <c r="FOQ22" s="2056"/>
      <c r="FOR22" s="2057"/>
      <c r="FOS22" s="2057"/>
      <c r="FOT22" s="2056"/>
      <c r="FOU22" s="2057"/>
      <c r="FOV22" s="2057"/>
      <c r="FOW22" s="2056"/>
      <c r="FOX22" s="2057"/>
      <c r="FOY22" s="2057"/>
      <c r="FOZ22" s="2056"/>
      <c r="FPA22" s="2057"/>
      <c r="FPB22" s="2057"/>
      <c r="FPC22" s="2056"/>
      <c r="FPD22" s="2057"/>
      <c r="FPE22" s="2057"/>
      <c r="FPF22" s="2056"/>
      <c r="FPG22" s="2057"/>
      <c r="FPH22" s="2057"/>
      <c r="FPI22" s="2056"/>
      <c r="FPJ22" s="2057"/>
      <c r="FPK22" s="2057"/>
      <c r="FPL22" s="2056"/>
      <c r="FPM22" s="2057"/>
      <c r="FPN22" s="2057"/>
      <c r="FPO22" s="2056"/>
      <c r="FPP22" s="2057"/>
      <c r="FPQ22" s="2057"/>
      <c r="FPR22" s="2056"/>
      <c r="FPS22" s="2057"/>
      <c r="FPT22" s="2057"/>
      <c r="FPU22" s="2056"/>
      <c r="FPV22" s="2057"/>
      <c r="FPW22" s="2057"/>
      <c r="FPX22" s="2056"/>
      <c r="FPY22" s="2057"/>
      <c r="FPZ22" s="2057"/>
      <c r="FQA22" s="2056"/>
      <c r="FQB22" s="2057"/>
      <c r="FQC22" s="2057"/>
      <c r="FQD22" s="2056"/>
      <c r="FQE22" s="2057"/>
      <c r="FQF22" s="2057"/>
      <c r="FQG22" s="2056"/>
      <c r="FQH22" s="2057"/>
      <c r="FQI22" s="2057"/>
      <c r="FQJ22" s="2056"/>
      <c r="FQK22" s="2057"/>
      <c r="FQL22" s="2057"/>
      <c r="FQM22" s="2056"/>
      <c r="FQN22" s="2057"/>
      <c r="FQO22" s="2057"/>
      <c r="FQP22" s="2056"/>
      <c r="FQQ22" s="2057"/>
      <c r="FQR22" s="2057"/>
      <c r="FQS22" s="2056"/>
      <c r="FQT22" s="2057"/>
      <c r="FQU22" s="2057"/>
      <c r="FQV22" s="2056"/>
      <c r="FQW22" s="2057"/>
      <c r="FQX22" s="2057"/>
      <c r="FQY22" s="2056"/>
      <c r="FQZ22" s="2057"/>
      <c r="FRA22" s="2057"/>
      <c r="FRB22" s="2056"/>
      <c r="FRC22" s="2057"/>
      <c r="FRD22" s="2057"/>
      <c r="FRE22" s="2056"/>
      <c r="FRF22" s="2057"/>
      <c r="FRG22" s="2057"/>
      <c r="FRH22" s="2056"/>
      <c r="FRI22" s="2057"/>
      <c r="FRJ22" s="2057"/>
      <c r="FRK22" s="2056"/>
      <c r="FRL22" s="2057"/>
      <c r="FRM22" s="2057"/>
      <c r="FRN22" s="2056"/>
      <c r="FRO22" s="2057"/>
      <c r="FRP22" s="2057"/>
      <c r="FRQ22" s="2056"/>
      <c r="FRR22" s="2057"/>
      <c r="FRS22" s="2057"/>
      <c r="FRT22" s="2056"/>
      <c r="FRU22" s="2057"/>
      <c r="FRV22" s="2057"/>
      <c r="FRW22" s="2056"/>
      <c r="FRX22" s="2057"/>
      <c r="FRY22" s="2057"/>
      <c r="FRZ22" s="2056"/>
      <c r="FSA22" s="2057"/>
      <c r="FSB22" s="2057"/>
      <c r="FSC22" s="2056"/>
      <c r="FSD22" s="2057"/>
      <c r="FSE22" s="2057"/>
      <c r="FSF22" s="2056"/>
      <c r="FSG22" s="2057"/>
      <c r="FSH22" s="2057"/>
      <c r="FSI22" s="2056"/>
      <c r="FSJ22" s="2057"/>
      <c r="FSK22" s="2057"/>
      <c r="FSL22" s="2056"/>
      <c r="FSM22" s="2057"/>
      <c r="FSN22" s="2057"/>
      <c r="FSO22" s="2056"/>
      <c r="FSP22" s="2057"/>
      <c r="FSQ22" s="2057"/>
      <c r="FSR22" s="2056"/>
      <c r="FSS22" s="2057"/>
      <c r="FST22" s="2057"/>
      <c r="FSU22" s="2056"/>
      <c r="FSV22" s="2057"/>
      <c r="FSW22" s="2057"/>
      <c r="FSX22" s="2056"/>
      <c r="FSY22" s="2057"/>
      <c r="FSZ22" s="2057"/>
      <c r="FTA22" s="2056"/>
      <c r="FTB22" s="2057"/>
      <c r="FTC22" s="2057"/>
      <c r="FTD22" s="2056"/>
      <c r="FTE22" s="2057"/>
      <c r="FTF22" s="2057"/>
      <c r="FTG22" s="2056"/>
      <c r="FTH22" s="2057"/>
      <c r="FTI22" s="2057"/>
      <c r="FTJ22" s="2056"/>
      <c r="FTK22" s="2057"/>
      <c r="FTL22" s="2057"/>
      <c r="FTM22" s="2056"/>
      <c r="FTN22" s="2057"/>
      <c r="FTO22" s="2057"/>
      <c r="FTP22" s="2056"/>
      <c r="FTQ22" s="2057"/>
      <c r="FTR22" s="2057"/>
      <c r="FTS22" s="2056"/>
      <c r="FTT22" s="2057"/>
      <c r="FTU22" s="2057"/>
      <c r="FTV22" s="2056"/>
      <c r="FTW22" s="2057"/>
      <c r="FTX22" s="2057"/>
      <c r="FTY22" s="2056"/>
      <c r="FTZ22" s="2057"/>
      <c r="FUA22" s="2057"/>
      <c r="FUB22" s="2056"/>
      <c r="FUC22" s="2057"/>
      <c r="FUD22" s="2057"/>
      <c r="FUE22" s="2056"/>
      <c r="FUF22" s="2057"/>
      <c r="FUG22" s="2057"/>
      <c r="FUH22" s="2056"/>
      <c r="FUI22" s="2057"/>
      <c r="FUJ22" s="2057"/>
      <c r="FUK22" s="2056"/>
      <c r="FUL22" s="2057"/>
      <c r="FUM22" s="2057"/>
      <c r="FUN22" s="2056"/>
      <c r="FUO22" s="2057"/>
      <c r="FUP22" s="2057"/>
      <c r="FUQ22" s="2056"/>
      <c r="FUR22" s="2057"/>
      <c r="FUS22" s="2057"/>
      <c r="FUT22" s="2056"/>
      <c r="FUU22" s="2057"/>
      <c r="FUV22" s="2057"/>
      <c r="FUW22" s="2056"/>
      <c r="FUX22" s="2057"/>
      <c r="FUY22" s="2057"/>
      <c r="FUZ22" s="2056"/>
      <c r="FVA22" s="2057"/>
      <c r="FVB22" s="2057"/>
      <c r="FVC22" s="2056"/>
      <c r="FVD22" s="2057"/>
      <c r="FVE22" s="2057"/>
      <c r="FVF22" s="2056"/>
      <c r="FVG22" s="2057"/>
      <c r="FVH22" s="2057"/>
      <c r="FVI22" s="2056"/>
      <c r="FVJ22" s="2057"/>
      <c r="FVK22" s="2057"/>
      <c r="FVL22" s="2056"/>
      <c r="FVM22" s="2057"/>
      <c r="FVN22" s="2057"/>
      <c r="FVO22" s="2056"/>
      <c r="FVP22" s="2057"/>
      <c r="FVQ22" s="2057"/>
      <c r="FVR22" s="2056"/>
      <c r="FVS22" s="2057"/>
      <c r="FVT22" s="2057"/>
      <c r="FVU22" s="2056"/>
      <c r="FVV22" s="2057"/>
      <c r="FVW22" s="2057"/>
      <c r="FVX22" s="2056"/>
      <c r="FVY22" s="2057"/>
      <c r="FVZ22" s="2057"/>
      <c r="FWA22" s="2056"/>
      <c r="FWB22" s="2057"/>
      <c r="FWC22" s="2057"/>
      <c r="FWD22" s="2056"/>
      <c r="FWE22" s="2057"/>
      <c r="FWF22" s="2057"/>
      <c r="FWG22" s="2056"/>
      <c r="FWH22" s="2057"/>
      <c r="FWI22" s="2057"/>
      <c r="FWJ22" s="2056"/>
      <c r="FWK22" s="2057"/>
      <c r="FWL22" s="2057"/>
      <c r="FWM22" s="2056"/>
      <c r="FWN22" s="2057"/>
      <c r="FWO22" s="2057"/>
      <c r="FWP22" s="2056"/>
      <c r="FWQ22" s="2057"/>
      <c r="FWR22" s="2057"/>
      <c r="FWS22" s="2056"/>
      <c r="FWT22" s="2057"/>
      <c r="FWU22" s="2057"/>
      <c r="FWV22" s="2056"/>
      <c r="FWW22" s="2057"/>
      <c r="FWX22" s="2057"/>
      <c r="FWY22" s="2056"/>
      <c r="FWZ22" s="2057"/>
      <c r="FXA22" s="2057"/>
      <c r="FXB22" s="2056"/>
      <c r="FXC22" s="2057"/>
      <c r="FXD22" s="2057"/>
      <c r="FXE22" s="2056"/>
      <c r="FXF22" s="2057"/>
      <c r="FXG22" s="2057"/>
      <c r="FXH22" s="2056"/>
      <c r="FXI22" s="2057"/>
      <c r="FXJ22" s="2057"/>
      <c r="FXK22" s="2056"/>
      <c r="FXL22" s="2057"/>
      <c r="FXM22" s="2057"/>
      <c r="FXN22" s="2056"/>
      <c r="FXO22" s="2057"/>
      <c r="FXP22" s="2057"/>
      <c r="FXQ22" s="2056"/>
      <c r="FXR22" s="2057"/>
      <c r="FXS22" s="2057"/>
      <c r="FXT22" s="2056"/>
      <c r="FXU22" s="2057"/>
      <c r="FXV22" s="2057"/>
      <c r="FXW22" s="2056"/>
      <c r="FXX22" s="2057"/>
      <c r="FXY22" s="2057"/>
      <c r="FXZ22" s="2056"/>
      <c r="FYA22" s="2057"/>
      <c r="FYB22" s="2057"/>
      <c r="FYC22" s="2056"/>
      <c r="FYD22" s="2057"/>
      <c r="FYE22" s="2057"/>
      <c r="FYF22" s="2056"/>
      <c r="FYG22" s="2057"/>
      <c r="FYH22" s="2057"/>
      <c r="FYI22" s="2056"/>
      <c r="FYJ22" s="2057"/>
      <c r="FYK22" s="2057"/>
      <c r="FYL22" s="2056"/>
      <c r="FYM22" s="2057"/>
      <c r="FYN22" s="2057"/>
      <c r="FYO22" s="2056"/>
      <c r="FYP22" s="2057"/>
      <c r="FYQ22" s="2057"/>
      <c r="FYR22" s="2056"/>
      <c r="FYS22" s="2057"/>
      <c r="FYT22" s="2057"/>
      <c r="FYU22" s="2056"/>
      <c r="FYV22" s="2057"/>
      <c r="FYW22" s="2057"/>
      <c r="FYX22" s="2056"/>
      <c r="FYY22" s="2057"/>
      <c r="FYZ22" s="2057"/>
      <c r="FZA22" s="2056"/>
      <c r="FZB22" s="2057"/>
      <c r="FZC22" s="2057"/>
      <c r="FZD22" s="2056"/>
      <c r="FZE22" s="2057"/>
      <c r="FZF22" s="2057"/>
      <c r="FZG22" s="2056"/>
      <c r="FZH22" s="2057"/>
      <c r="FZI22" s="2057"/>
      <c r="FZJ22" s="2056"/>
      <c r="FZK22" s="2057"/>
      <c r="FZL22" s="2057"/>
      <c r="FZM22" s="2056"/>
      <c r="FZN22" s="2057"/>
      <c r="FZO22" s="2057"/>
      <c r="FZP22" s="2056"/>
      <c r="FZQ22" s="2057"/>
      <c r="FZR22" s="2057"/>
      <c r="FZS22" s="2056"/>
      <c r="FZT22" s="2057"/>
      <c r="FZU22" s="2057"/>
      <c r="FZV22" s="2056"/>
      <c r="FZW22" s="2057"/>
      <c r="FZX22" s="2057"/>
      <c r="FZY22" s="2056"/>
      <c r="FZZ22" s="2057"/>
      <c r="GAA22" s="2057"/>
      <c r="GAB22" s="2056"/>
      <c r="GAC22" s="2057"/>
      <c r="GAD22" s="2057"/>
      <c r="GAE22" s="2056"/>
      <c r="GAF22" s="2057"/>
      <c r="GAG22" s="2057"/>
      <c r="GAH22" s="2056"/>
      <c r="GAI22" s="2057"/>
      <c r="GAJ22" s="2057"/>
      <c r="GAK22" s="2056"/>
      <c r="GAL22" s="2057"/>
      <c r="GAM22" s="2057"/>
      <c r="GAN22" s="2056"/>
      <c r="GAO22" s="2057"/>
      <c r="GAP22" s="2057"/>
      <c r="GAQ22" s="2056"/>
      <c r="GAR22" s="2057"/>
      <c r="GAS22" s="2057"/>
      <c r="GAT22" s="2056"/>
      <c r="GAU22" s="2057"/>
      <c r="GAV22" s="2057"/>
      <c r="GAW22" s="2056"/>
      <c r="GAX22" s="2057"/>
      <c r="GAY22" s="2057"/>
      <c r="GAZ22" s="2056"/>
      <c r="GBA22" s="2057"/>
      <c r="GBB22" s="2057"/>
      <c r="GBC22" s="2056"/>
      <c r="GBD22" s="2057"/>
      <c r="GBE22" s="2057"/>
      <c r="GBF22" s="2056"/>
      <c r="GBG22" s="2057"/>
      <c r="GBH22" s="2057"/>
      <c r="GBI22" s="2056"/>
      <c r="GBJ22" s="2057"/>
      <c r="GBK22" s="2057"/>
      <c r="GBL22" s="2056"/>
      <c r="GBM22" s="2057"/>
      <c r="GBN22" s="2057"/>
      <c r="GBO22" s="2056"/>
      <c r="GBP22" s="2057"/>
      <c r="GBQ22" s="2057"/>
      <c r="GBR22" s="2056"/>
      <c r="GBS22" s="2057"/>
      <c r="GBT22" s="2057"/>
      <c r="GBU22" s="2056"/>
      <c r="GBV22" s="2057"/>
      <c r="GBW22" s="2057"/>
      <c r="GBX22" s="2056"/>
      <c r="GBY22" s="2057"/>
      <c r="GBZ22" s="2057"/>
      <c r="GCA22" s="2056"/>
      <c r="GCB22" s="2057"/>
      <c r="GCC22" s="2057"/>
      <c r="GCD22" s="2056"/>
      <c r="GCE22" s="2057"/>
      <c r="GCF22" s="2057"/>
      <c r="GCG22" s="2056"/>
      <c r="GCH22" s="2057"/>
      <c r="GCI22" s="2057"/>
      <c r="GCJ22" s="2056"/>
      <c r="GCK22" s="2057"/>
      <c r="GCL22" s="2057"/>
      <c r="GCM22" s="2056"/>
      <c r="GCN22" s="2057"/>
      <c r="GCO22" s="2057"/>
      <c r="GCP22" s="2056"/>
      <c r="GCQ22" s="2057"/>
      <c r="GCR22" s="2057"/>
      <c r="GCS22" s="2056"/>
      <c r="GCT22" s="2057"/>
      <c r="GCU22" s="2057"/>
      <c r="GCV22" s="2056"/>
      <c r="GCW22" s="2057"/>
      <c r="GCX22" s="2057"/>
      <c r="GCY22" s="2056"/>
      <c r="GCZ22" s="2057"/>
      <c r="GDA22" s="2057"/>
      <c r="GDB22" s="2056"/>
      <c r="GDC22" s="2057"/>
      <c r="GDD22" s="2057"/>
      <c r="GDE22" s="2056"/>
      <c r="GDF22" s="2057"/>
      <c r="GDG22" s="2057"/>
      <c r="GDH22" s="2056"/>
      <c r="GDI22" s="2057"/>
      <c r="GDJ22" s="2057"/>
      <c r="GDK22" s="2056"/>
      <c r="GDL22" s="2057"/>
      <c r="GDM22" s="2057"/>
      <c r="GDN22" s="2056"/>
      <c r="GDO22" s="2057"/>
      <c r="GDP22" s="2057"/>
      <c r="GDQ22" s="2056"/>
      <c r="GDR22" s="2057"/>
      <c r="GDS22" s="2057"/>
      <c r="GDT22" s="2056"/>
      <c r="GDU22" s="2057"/>
      <c r="GDV22" s="2057"/>
      <c r="GDW22" s="2056"/>
      <c r="GDX22" s="2057"/>
      <c r="GDY22" s="2057"/>
      <c r="GDZ22" s="2056"/>
      <c r="GEA22" s="2057"/>
      <c r="GEB22" s="2057"/>
      <c r="GEC22" s="2056"/>
      <c r="GED22" s="2057"/>
      <c r="GEE22" s="2057"/>
      <c r="GEF22" s="2056"/>
      <c r="GEG22" s="2057"/>
      <c r="GEH22" s="2057"/>
      <c r="GEI22" s="2056"/>
      <c r="GEJ22" s="2057"/>
      <c r="GEK22" s="2057"/>
      <c r="GEL22" s="2056"/>
      <c r="GEM22" s="2057"/>
      <c r="GEN22" s="2057"/>
      <c r="GEO22" s="2056"/>
      <c r="GEP22" s="2057"/>
      <c r="GEQ22" s="2057"/>
      <c r="GER22" s="2056"/>
      <c r="GES22" s="2057"/>
      <c r="GET22" s="2057"/>
      <c r="GEU22" s="2056"/>
      <c r="GEV22" s="2057"/>
      <c r="GEW22" s="2057"/>
      <c r="GEX22" s="2056"/>
      <c r="GEY22" s="2057"/>
      <c r="GEZ22" s="2057"/>
      <c r="GFA22" s="2056"/>
      <c r="GFB22" s="2057"/>
      <c r="GFC22" s="2057"/>
      <c r="GFD22" s="2056"/>
      <c r="GFE22" s="2057"/>
      <c r="GFF22" s="2057"/>
      <c r="GFG22" s="2056"/>
      <c r="GFH22" s="2057"/>
      <c r="GFI22" s="2057"/>
      <c r="GFJ22" s="2056"/>
      <c r="GFK22" s="2057"/>
      <c r="GFL22" s="2057"/>
      <c r="GFM22" s="2056"/>
      <c r="GFN22" s="2057"/>
      <c r="GFO22" s="2057"/>
      <c r="GFP22" s="2056"/>
      <c r="GFQ22" s="2057"/>
      <c r="GFR22" s="2057"/>
      <c r="GFS22" s="2056"/>
      <c r="GFT22" s="2057"/>
      <c r="GFU22" s="2057"/>
      <c r="GFV22" s="2056"/>
      <c r="GFW22" s="2057"/>
      <c r="GFX22" s="2057"/>
      <c r="GFY22" s="2056"/>
      <c r="GFZ22" s="2057"/>
      <c r="GGA22" s="2057"/>
      <c r="GGB22" s="2056"/>
      <c r="GGC22" s="2057"/>
      <c r="GGD22" s="2057"/>
      <c r="GGE22" s="2056"/>
      <c r="GGF22" s="2057"/>
      <c r="GGG22" s="2057"/>
      <c r="GGH22" s="2056"/>
      <c r="GGI22" s="2057"/>
      <c r="GGJ22" s="2057"/>
      <c r="GGK22" s="2056"/>
      <c r="GGL22" s="2057"/>
      <c r="GGM22" s="2057"/>
      <c r="GGN22" s="2056"/>
      <c r="GGO22" s="2057"/>
      <c r="GGP22" s="2057"/>
      <c r="GGQ22" s="2056"/>
      <c r="GGR22" s="2057"/>
      <c r="GGS22" s="2057"/>
      <c r="GGT22" s="2056"/>
      <c r="GGU22" s="2057"/>
      <c r="GGV22" s="2057"/>
      <c r="GGW22" s="2056"/>
      <c r="GGX22" s="2057"/>
      <c r="GGY22" s="2057"/>
      <c r="GGZ22" s="2056"/>
      <c r="GHA22" s="2057"/>
      <c r="GHB22" s="2057"/>
      <c r="GHC22" s="2056"/>
      <c r="GHD22" s="2057"/>
      <c r="GHE22" s="2057"/>
      <c r="GHF22" s="2056"/>
      <c r="GHG22" s="2057"/>
      <c r="GHH22" s="2057"/>
      <c r="GHI22" s="2056"/>
      <c r="GHJ22" s="2057"/>
      <c r="GHK22" s="2057"/>
      <c r="GHL22" s="2056"/>
      <c r="GHM22" s="2057"/>
      <c r="GHN22" s="2057"/>
      <c r="GHO22" s="2056"/>
      <c r="GHP22" s="2057"/>
      <c r="GHQ22" s="2057"/>
      <c r="GHR22" s="2056"/>
      <c r="GHS22" s="2057"/>
      <c r="GHT22" s="2057"/>
      <c r="GHU22" s="2056"/>
      <c r="GHV22" s="2057"/>
      <c r="GHW22" s="2057"/>
      <c r="GHX22" s="2056"/>
      <c r="GHY22" s="2057"/>
      <c r="GHZ22" s="2057"/>
      <c r="GIA22" s="2056"/>
      <c r="GIB22" s="2057"/>
      <c r="GIC22" s="2057"/>
      <c r="GID22" s="2056"/>
      <c r="GIE22" s="2057"/>
      <c r="GIF22" s="2057"/>
      <c r="GIG22" s="2056"/>
      <c r="GIH22" s="2057"/>
      <c r="GII22" s="2057"/>
      <c r="GIJ22" s="2056"/>
      <c r="GIK22" s="2057"/>
      <c r="GIL22" s="2057"/>
      <c r="GIM22" s="2056"/>
      <c r="GIN22" s="2057"/>
      <c r="GIO22" s="2057"/>
      <c r="GIP22" s="2056"/>
      <c r="GIQ22" s="2057"/>
      <c r="GIR22" s="2057"/>
      <c r="GIS22" s="2056"/>
      <c r="GIT22" s="2057"/>
      <c r="GIU22" s="2057"/>
      <c r="GIV22" s="2056"/>
      <c r="GIW22" s="2057"/>
      <c r="GIX22" s="2057"/>
      <c r="GIY22" s="2056"/>
      <c r="GIZ22" s="2057"/>
      <c r="GJA22" s="2057"/>
      <c r="GJB22" s="2056"/>
      <c r="GJC22" s="2057"/>
      <c r="GJD22" s="2057"/>
      <c r="GJE22" s="2056"/>
      <c r="GJF22" s="2057"/>
      <c r="GJG22" s="2057"/>
      <c r="GJH22" s="2056"/>
      <c r="GJI22" s="2057"/>
      <c r="GJJ22" s="2057"/>
      <c r="GJK22" s="2056"/>
      <c r="GJL22" s="2057"/>
      <c r="GJM22" s="2057"/>
      <c r="GJN22" s="2056"/>
      <c r="GJO22" s="2057"/>
      <c r="GJP22" s="2057"/>
      <c r="GJQ22" s="2056"/>
      <c r="GJR22" s="2057"/>
      <c r="GJS22" s="2057"/>
      <c r="GJT22" s="2056"/>
      <c r="GJU22" s="2057"/>
      <c r="GJV22" s="2057"/>
      <c r="GJW22" s="2056"/>
      <c r="GJX22" s="2057"/>
      <c r="GJY22" s="2057"/>
      <c r="GJZ22" s="2056"/>
      <c r="GKA22" s="2057"/>
      <c r="GKB22" s="2057"/>
      <c r="GKC22" s="2056"/>
      <c r="GKD22" s="2057"/>
      <c r="GKE22" s="2057"/>
      <c r="GKF22" s="2056"/>
      <c r="GKG22" s="2057"/>
      <c r="GKH22" s="2057"/>
      <c r="GKI22" s="2056"/>
      <c r="GKJ22" s="2057"/>
      <c r="GKK22" s="2057"/>
      <c r="GKL22" s="2056"/>
      <c r="GKM22" s="2057"/>
      <c r="GKN22" s="2057"/>
      <c r="GKO22" s="2056"/>
      <c r="GKP22" s="2057"/>
      <c r="GKQ22" s="2057"/>
      <c r="GKR22" s="2056"/>
      <c r="GKS22" s="2057"/>
      <c r="GKT22" s="2057"/>
      <c r="GKU22" s="2056"/>
      <c r="GKV22" s="2057"/>
      <c r="GKW22" s="2057"/>
      <c r="GKX22" s="2056"/>
      <c r="GKY22" s="2057"/>
      <c r="GKZ22" s="2057"/>
      <c r="GLA22" s="2056"/>
      <c r="GLB22" s="2057"/>
      <c r="GLC22" s="2057"/>
      <c r="GLD22" s="2056"/>
      <c r="GLE22" s="2057"/>
      <c r="GLF22" s="2057"/>
      <c r="GLG22" s="2056"/>
      <c r="GLH22" s="2057"/>
      <c r="GLI22" s="2057"/>
      <c r="GLJ22" s="2056"/>
      <c r="GLK22" s="2057"/>
      <c r="GLL22" s="2057"/>
      <c r="GLM22" s="2056"/>
      <c r="GLN22" s="2057"/>
      <c r="GLO22" s="2057"/>
      <c r="GLP22" s="2056"/>
      <c r="GLQ22" s="2057"/>
      <c r="GLR22" s="2057"/>
      <c r="GLS22" s="2056"/>
      <c r="GLT22" s="2057"/>
      <c r="GLU22" s="2057"/>
      <c r="GLV22" s="2056"/>
      <c r="GLW22" s="2057"/>
      <c r="GLX22" s="2057"/>
      <c r="GLY22" s="2056"/>
      <c r="GLZ22" s="2057"/>
      <c r="GMA22" s="2057"/>
      <c r="GMB22" s="2056"/>
      <c r="GMC22" s="2057"/>
      <c r="GMD22" s="2057"/>
      <c r="GME22" s="2056"/>
      <c r="GMF22" s="2057"/>
      <c r="GMG22" s="2057"/>
      <c r="GMH22" s="2056"/>
      <c r="GMI22" s="2057"/>
      <c r="GMJ22" s="2057"/>
      <c r="GMK22" s="2056"/>
      <c r="GML22" s="2057"/>
      <c r="GMM22" s="2057"/>
      <c r="GMN22" s="2056"/>
      <c r="GMO22" s="2057"/>
      <c r="GMP22" s="2057"/>
      <c r="GMQ22" s="2056"/>
      <c r="GMR22" s="2057"/>
      <c r="GMS22" s="2057"/>
      <c r="GMT22" s="2056"/>
      <c r="GMU22" s="2057"/>
      <c r="GMV22" s="2057"/>
      <c r="GMW22" s="2056"/>
      <c r="GMX22" s="2057"/>
      <c r="GMY22" s="2057"/>
      <c r="GMZ22" s="2056"/>
      <c r="GNA22" s="2057"/>
      <c r="GNB22" s="2057"/>
      <c r="GNC22" s="2056"/>
      <c r="GND22" s="2057"/>
      <c r="GNE22" s="2057"/>
      <c r="GNF22" s="2056"/>
      <c r="GNG22" s="2057"/>
      <c r="GNH22" s="2057"/>
      <c r="GNI22" s="2056"/>
      <c r="GNJ22" s="2057"/>
      <c r="GNK22" s="2057"/>
      <c r="GNL22" s="2056"/>
      <c r="GNM22" s="2057"/>
      <c r="GNN22" s="2057"/>
      <c r="GNO22" s="2056"/>
      <c r="GNP22" s="2057"/>
      <c r="GNQ22" s="2057"/>
      <c r="GNR22" s="2056"/>
      <c r="GNS22" s="2057"/>
      <c r="GNT22" s="2057"/>
      <c r="GNU22" s="2056"/>
      <c r="GNV22" s="2057"/>
      <c r="GNW22" s="2057"/>
      <c r="GNX22" s="2056"/>
      <c r="GNY22" s="2057"/>
      <c r="GNZ22" s="2057"/>
      <c r="GOA22" s="2056"/>
      <c r="GOB22" s="2057"/>
      <c r="GOC22" s="2057"/>
      <c r="GOD22" s="2056"/>
      <c r="GOE22" s="2057"/>
      <c r="GOF22" s="2057"/>
      <c r="GOG22" s="2056"/>
      <c r="GOH22" s="2057"/>
      <c r="GOI22" s="2057"/>
      <c r="GOJ22" s="2056"/>
      <c r="GOK22" s="2057"/>
      <c r="GOL22" s="2057"/>
      <c r="GOM22" s="2056"/>
      <c r="GON22" s="2057"/>
      <c r="GOO22" s="2057"/>
      <c r="GOP22" s="2056"/>
      <c r="GOQ22" s="2057"/>
      <c r="GOR22" s="2057"/>
      <c r="GOS22" s="2056"/>
      <c r="GOT22" s="2057"/>
      <c r="GOU22" s="2057"/>
      <c r="GOV22" s="2056"/>
      <c r="GOW22" s="2057"/>
      <c r="GOX22" s="2057"/>
      <c r="GOY22" s="2056"/>
      <c r="GOZ22" s="2057"/>
      <c r="GPA22" s="2057"/>
      <c r="GPB22" s="2056"/>
      <c r="GPC22" s="2057"/>
      <c r="GPD22" s="2057"/>
      <c r="GPE22" s="2056"/>
      <c r="GPF22" s="2057"/>
      <c r="GPG22" s="2057"/>
      <c r="GPH22" s="2056"/>
      <c r="GPI22" s="2057"/>
      <c r="GPJ22" s="2057"/>
      <c r="GPK22" s="2056"/>
      <c r="GPL22" s="2057"/>
      <c r="GPM22" s="2057"/>
      <c r="GPN22" s="2056"/>
      <c r="GPO22" s="2057"/>
      <c r="GPP22" s="2057"/>
      <c r="GPQ22" s="2056"/>
      <c r="GPR22" s="2057"/>
      <c r="GPS22" s="2057"/>
      <c r="GPT22" s="2056"/>
      <c r="GPU22" s="2057"/>
      <c r="GPV22" s="2057"/>
      <c r="GPW22" s="2056"/>
      <c r="GPX22" s="2057"/>
      <c r="GPY22" s="2057"/>
      <c r="GPZ22" s="2056"/>
      <c r="GQA22" s="2057"/>
      <c r="GQB22" s="2057"/>
      <c r="GQC22" s="2056"/>
      <c r="GQD22" s="2057"/>
      <c r="GQE22" s="2057"/>
      <c r="GQF22" s="2056"/>
      <c r="GQG22" s="2057"/>
      <c r="GQH22" s="2057"/>
      <c r="GQI22" s="2056"/>
      <c r="GQJ22" s="2057"/>
      <c r="GQK22" s="2057"/>
      <c r="GQL22" s="2056"/>
      <c r="GQM22" s="2057"/>
      <c r="GQN22" s="2057"/>
      <c r="GQO22" s="2056"/>
      <c r="GQP22" s="2057"/>
      <c r="GQQ22" s="2057"/>
      <c r="GQR22" s="2056"/>
      <c r="GQS22" s="2057"/>
      <c r="GQT22" s="2057"/>
      <c r="GQU22" s="2056"/>
      <c r="GQV22" s="2057"/>
      <c r="GQW22" s="2057"/>
      <c r="GQX22" s="2056"/>
      <c r="GQY22" s="2057"/>
      <c r="GQZ22" s="2057"/>
      <c r="GRA22" s="2056"/>
      <c r="GRB22" s="2057"/>
      <c r="GRC22" s="2057"/>
      <c r="GRD22" s="2056"/>
      <c r="GRE22" s="2057"/>
      <c r="GRF22" s="2057"/>
      <c r="GRG22" s="2056"/>
      <c r="GRH22" s="2057"/>
      <c r="GRI22" s="2057"/>
      <c r="GRJ22" s="2056"/>
      <c r="GRK22" s="2057"/>
      <c r="GRL22" s="2057"/>
      <c r="GRM22" s="2056"/>
      <c r="GRN22" s="2057"/>
      <c r="GRO22" s="2057"/>
      <c r="GRP22" s="2056"/>
      <c r="GRQ22" s="2057"/>
      <c r="GRR22" s="2057"/>
      <c r="GRS22" s="2056"/>
      <c r="GRT22" s="2057"/>
      <c r="GRU22" s="2057"/>
      <c r="GRV22" s="2056"/>
      <c r="GRW22" s="2057"/>
      <c r="GRX22" s="2057"/>
      <c r="GRY22" s="2056"/>
      <c r="GRZ22" s="2057"/>
      <c r="GSA22" s="2057"/>
      <c r="GSB22" s="2056"/>
      <c r="GSC22" s="2057"/>
      <c r="GSD22" s="2057"/>
      <c r="GSE22" s="2056"/>
      <c r="GSF22" s="2057"/>
      <c r="GSG22" s="2057"/>
      <c r="GSH22" s="2056"/>
      <c r="GSI22" s="2057"/>
      <c r="GSJ22" s="2057"/>
      <c r="GSK22" s="2056"/>
      <c r="GSL22" s="2057"/>
      <c r="GSM22" s="2057"/>
      <c r="GSN22" s="2056"/>
      <c r="GSO22" s="2057"/>
      <c r="GSP22" s="2057"/>
      <c r="GSQ22" s="2056"/>
      <c r="GSR22" s="2057"/>
      <c r="GSS22" s="2057"/>
      <c r="GST22" s="2056"/>
      <c r="GSU22" s="2057"/>
      <c r="GSV22" s="2057"/>
      <c r="GSW22" s="2056"/>
      <c r="GSX22" s="2057"/>
      <c r="GSY22" s="2057"/>
      <c r="GSZ22" s="2056"/>
      <c r="GTA22" s="2057"/>
      <c r="GTB22" s="2057"/>
      <c r="GTC22" s="2056"/>
      <c r="GTD22" s="2057"/>
      <c r="GTE22" s="2057"/>
      <c r="GTF22" s="2056"/>
      <c r="GTG22" s="2057"/>
      <c r="GTH22" s="2057"/>
      <c r="GTI22" s="2056"/>
      <c r="GTJ22" s="2057"/>
      <c r="GTK22" s="2057"/>
      <c r="GTL22" s="2056"/>
      <c r="GTM22" s="2057"/>
      <c r="GTN22" s="2057"/>
      <c r="GTO22" s="2056"/>
      <c r="GTP22" s="2057"/>
      <c r="GTQ22" s="2057"/>
      <c r="GTR22" s="2056"/>
      <c r="GTS22" s="2057"/>
      <c r="GTT22" s="2057"/>
      <c r="GTU22" s="2056"/>
      <c r="GTV22" s="2057"/>
      <c r="GTW22" s="2057"/>
      <c r="GTX22" s="2056"/>
      <c r="GTY22" s="2057"/>
      <c r="GTZ22" s="2057"/>
      <c r="GUA22" s="2056"/>
      <c r="GUB22" s="2057"/>
      <c r="GUC22" s="2057"/>
      <c r="GUD22" s="2056"/>
      <c r="GUE22" s="2057"/>
      <c r="GUF22" s="2057"/>
      <c r="GUG22" s="2056"/>
      <c r="GUH22" s="2057"/>
      <c r="GUI22" s="2057"/>
      <c r="GUJ22" s="2056"/>
      <c r="GUK22" s="2057"/>
      <c r="GUL22" s="2057"/>
      <c r="GUM22" s="2056"/>
      <c r="GUN22" s="2057"/>
      <c r="GUO22" s="2057"/>
      <c r="GUP22" s="2056"/>
      <c r="GUQ22" s="2057"/>
      <c r="GUR22" s="2057"/>
      <c r="GUS22" s="2056"/>
      <c r="GUT22" s="2057"/>
      <c r="GUU22" s="2057"/>
      <c r="GUV22" s="2056"/>
      <c r="GUW22" s="2057"/>
      <c r="GUX22" s="2057"/>
      <c r="GUY22" s="2056"/>
      <c r="GUZ22" s="2057"/>
      <c r="GVA22" s="2057"/>
      <c r="GVB22" s="2056"/>
      <c r="GVC22" s="2057"/>
      <c r="GVD22" s="2057"/>
      <c r="GVE22" s="2056"/>
      <c r="GVF22" s="2057"/>
      <c r="GVG22" s="2057"/>
      <c r="GVH22" s="2056"/>
      <c r="GVI22" s="2057"/>
      <c r="GVJ22" s="2057"/>
      <c r="GVK22" s="2056"/>
      <c r="GVL22" s="2057"/>
      <c r="GVM22" s="2057"/>
      <c r="GVN22" s="2056"/>
      <c r="GVO22" s="2057"/>
      <c r="GVP22" s="2057"/>
      <c r="GVQ22" s="2056"/>
      <c r="GVR22" s="2057"/>
      <c r="GVS22" s="2057"/>
      <c r="GVT22" s="2056"/>
      <c r="GVU22" s="2057"/>
      <c r="GVV22" s="2057"/>
      <c r="GVW22" s="2056"/>
      <c r="GVX22" s="2057"/>
      <c r="GVY22" s="2057"/>
      <c r="GVZ22" s="2056"/>
      <c r="GWA22" s="2057"/>
      <c r="GWB22" s="2057"/>
      <c r="GWC22" s="2056"/>
      <c r="GWD22" s="2057"/>
      <c r="GWE22" s="2057"/>
      <c r="GWF22" s="2056"/>
      <c r="GWG22" s="2057"/>
      <c r="GWH22" s="2057"/>
      <c r="GWI22" s="2056"/>
      <c r="GWJ22" s="2057"/>
      <c r="GWK22" s="2057"/>
      <c r="GWL22" s="2056"/>
      <c r="GWM22" s="2057"/>
      <c r="GWN22" s="2057"/>
      <c r="GWO22" s="2056"/>
      <c r="GWP22" s="2057"/>
      <c r="GWQ22" s="2057"/>
      <c r="GWR22" s="2056"/>
      <c r="GWS22" s="2057"/>
      <c r="GWT22" s="2057"/>
      <c r="GWU22" s="2056"/>
      <c r="GWV22" s="2057"/>
      <c r="GWW22" s="2057"/>
      <c r="GWX22" s="2056"/>
      <c r="GWY22" s="2057"/>
      <c r="GWZ22" s="2057"/>
      <c r="GXA22" s="2056"/>
      <c r="GXB22" s="2057"/>
      <c r="GXC22" s="2057"/>
      <c r="GXD22" s="2056"/>
      <c r="GXE22" s="2057"/>
      <c r="GXF22" s="2057"/>
      <c r="GXG22" s="2056"/>
      <c r="GXH22" s="2057"/>
      <c r="GXI22" s="2057"/>
      <c r="GXJ22" s="2056"/>
      <c r="GXK22" s="2057"/>
      <c r="GXL22" s="2057"/>
      <c r="GXM22" s="2056"/>
      <c r="GXN22" s="2057"/>
      <c r="GXO22" s="2057"/>
      <c r="GXP22" s="2056"/>
      <c r="GXQ22" s="2057"/>
      <c r="GXR22" s="2057"/>
      <c r="GXS22" s="2056"/>
      <c r="GXT22" s="2057"/>
      <c r="GXU22" s="2057"/>
      <c r="GXV22" s="2056"/>
      <c r="GXW22" s="2057"/>
      <c r="GXX22" s="2057"/>
      <c r="GXY22" s="2056"/>
      <c r="GXZ22" s="2057"/>
      <c r="GYA22" s="2057"/>
      <c r="GYB22" s="2056"/>
      <c r="GYC22" s="2057"/>
      <c r="GYD22" s="2057"/>
      <c r="GYE22" s="2056"/>
      <c r="GYF22" s="2057"/>
      <c r="GYG22" s="2057"/>
      <c r="GYH22" s="2056"/>
      <c r="GYI22" s="2057"/>
      <c r="GYJ22" s="2057"/>
      <c r="GYK22" s="2056"/>
      <c r="GYL22" s="2057"/>
      <c r="GYM22" s="2057"/>
      <c r="GYN22" s="2056"/>
      <c r="GYO22" s="2057"/>
      <c r="GYP22" s="2057"/>
      <c r="GYQ22" s="2056"/>
      <c r="GYR22" s="2057"/>
      <c r="GYS22" s="2057"/>
      <c r="GYT22" s="2056"/>
      <c r="GYU22" s="2057"/>
      <c r="GYV22" s="2057"/>
      <c r="GYW22" s="2056"/>
      <c r="GYX22" s="2057"/>
      <c r="GYY22" s="2057"/>
      <c r="GYZ22" s="2056"/>
      <c r="GZA22" s="2057"/>
      <c r="GZB22" s="2057"/>
      <c r="GZC22" s="2056"/>
      <c r="GZD22" s="2057"/>
      <c r="GZE22" s="2057"/>
      <c r="GZF22" s="2056"/>
      <c r="GZG22" s="2057"/>
      <c r="GZH22" s="2057"/>
      <c r="GZI22" s="2056"/>
      <c r="GZJ22" s="2057"/>
      <c r="GZK22" s="2057"/>
      <c r="GZL22" s="2056"/>
      <c r="GZM22" s="2057"/>
      <c r="GZN22" s="2057"/>
      <c r="GZO22" s="2056"/>
      <c r="GZP22" s="2057"/>
      <c r="GZQ22" s="2057"/>
      <c r="GZR22" s="2056"/>
      <c r="GZS22" s="2057"/>
      <c r="GZT22" s="2057"/>
      <c r="GZU22" s="2056"/>
      <c r="GZV22" s="2057"/>
      <c r="GZW22" s="2057"/>
      <c r="GZX22" s="2056"/>
      <c r="GZY22" s="2057"/>
      <c r="GZZ22" s="2057"/>
      <c r="HAA22" s="2056"/>
      <c r="HAB22" s="2057"/>
      <c r="HAC22" s="2057"/>
      <c r="HAD22" s="2056"/>
      <c r="HAE22" s="2057"/>
      <c r="HAF22" s="2057"/>
      <c r="HAG22" s="2056"/>
      <c r="HAH22" s="2057"/>
      <c r="HAI22" s="2057"/>
      <c r="HAJ22" s="2056"/>
      <c r="HAK22" s="2057"/>
      <c r="HAL22" s="2057"/>
      <c r="HAM22" s="2056"/>
      <c r="HAN22" s="2057"/>
      <c r="HAO22" s="2057"/>
      <c r="HAP22" s="2056"/>
      <c r="HAQ22" s="2057"/>
      <c r="HAR22" s="2057"/>
      <c r="HAS22" s="2056"/>
      <c r="HAT22" s="2057"/>
      <c r="HAU22" s="2057"/>
      <c r="HAV22" s="2056"/>
      <c r="HAW22" s="2057"/>
      <c r="HAX22" s="2057"/>
      <c r="HAY22" s="2056"/>
      <c r="HAZ22" s="2057"/>
      <c r="HBA22" s="2057"/>
      <c r="HBB22" s="2056"/>
      <c r="HBC22" s="2057"/>
      <c r="HBD22" s="2057"/>
      <c r="HBE22" s="2056"/>
      <c r="HBF22" s="2057"/>
      <c r="HBG22" s="2057"/>
      <c r="HBH22" s="2056"/>
      <c r="HBI22" s="2057"/>
      <c r="HBJ22" s="2057"/>
      <c r="HBK22" s="2056"/>
      <c r="HBL22" s="2057"/>
      <c r="HBM22" s="2057"/>
      <c r="HBN22" s="2056"/>
      <c r="HBO22" s="2057"/>
      <c r="HBP22" s="2057"/>
      <c r="HBQ22" s="2056"/>
      <c r="HBR22" s="2057"/>
      <c r="HBS22" s="2057"/>
      <c r="HBT22" s="2056"/>
      <c r="HBU22" s="2057"/>
      <c r="HBV22" s="2057"/>
      <c r="HBW22" s="2056"/>
      <c r="HBX22" s="2057"/>
      <c r="HBY22" s="2057"/>
      <c r="HBZ22" s="2056"/>
      <c r="HCA22" s="2057"/>
      <c r="HCB22" s="2057"/>
      <c r="HCC22" s="2056"/>
      <c r="HCD22" s="2057"/>
      <c r="HCE22" s="2057"/>
      <c r="HCF22" s="2056"/>
      <c r="HCG22" s="2057"/>
      <c r="HCH22" s="2057"/>
      <c r="HCI22" s="2056"/>
      <c r="HCJ22" s="2057"/>
      <c r="HCK22" s="2057"/>
      <c r="HCL22" s="2056"/>
      <c r="HCM22" s="2057"/>
      <c r="HCN22" s="2057"/>
      <c r="HCO22" s="2056"/>
      <c r="HCP22" s="2057"/>
      <c r="HCQ22" s="2057"/>
      <c r="HCR22" s="2056"/>
      <c r="HCS22" s="2057"/>
      <c r="HCT22" s="2057"/>
      <c r="HCU22" s="2056"/>
      <c r="HCV22" s="2057"/>
      <c r="HCW22" s="2057"/>
      <c r="HCX22" s="2056"/>
      <c r="HCY22" s="2057"/>
      <c r="HCZ22" s="2057"/>
      <c r="HDA22" s="2056"/>
      <c r="HDB22" s="2057"/>
      <c r="HDC22" s="2057"/>
      <c r="HDD22" s="2056"/>
      <c r="HDE22" s="2057"/>
      <c r="HDF22" s="2057"/>
      <c r="HDG22" s="2056"/>
      <c r="HDH22" s="2057"/>
      <c r="HDI22" s="2057"/>
      <c r="HDJ22" s="2056"/>
      <c r="HDK22" s="2057"/>
      <c r="HDL22" s="2057"/>
      <c r="HDM22" s="2056"/>
      <c r="HDN22" s="2057"/>
      <c r="HDO22" s="2057"/>
      <c r="HDP22" s="2056"/>
      <c r="HDQ22" s="2057"/>
      <c r="HDR22" s="2057"/>
      <c r="HDS22" s="2056"/>
      <c r="HDT22" s="2057"/>
      <c r="HDU22" s="2057"/>
      <c r="HDV22" s="2056"/>
      <c r="HDW22" s="2057"/>
      <c r="HDX22" s="2057"/>
      <c r="HDY22" s="2056"/>
      <c r="HDZ22" s="2057"/>
      <c r="HEA22" s="2057"/>
      <c r="HEB22" s="2056"/>
      <c r="HEC22" s="2057"/>
      <c r="HED22" s="2057"/>
      <c r="HEE22" s="2056"/>
      <c r="HEF22" s="2057"/>
      <c r="HEG22" s="2057"/>
      <c r="HEH22" s="2056"/>
      <c r="HEI22" s="2057"/>
      <c r="HEJ22" s="2057"/>
      <c r="HEK22" s="2056"/>
      <c r="HEL22" s="2057"/>
      <c r="HEM22" s="2057"/>
      <c r="HEN22" s="2056"/>
      <c r="HEO22" s="2057"/>
      <c r="HEP22" s="2057"/>
      <c r="HEQ22" s="2056"/>
      <c r="HER22" s="2057"/>
      <c r="HES22" s="2057"/>
      <c r="HET22" s="2056"/>
      <c r="HEU22" s="2057"/>
      <c r="HEV22" s="2057"/>
      <c r="HEW22" s="2056"/>
      <c r="HEX22" s="2057"/>
      <c r="HEY22" s="2057"/>
      <c r="HEZ22" s="2056"/>
      <c r="HFA22" s="2057"/>
      <c r="HFB22" s="2057"/>
      <c r="HFC22" s="2056"/>
      <c r="HFD22" s="2057"/>
      <c r="HFE22" s="2057"/>
      <c r="HFF22" s="2056"/>
      <c r="HFG22" s="2057"/>
      <c r="HFH22" s="2057"/>
      <c r="HFI22" s="2056"/>
      <c r="HFJ22" s="2057"/>
      <c r="HFK22" s="2057"/>
      <c r="HFL22" s="2056"/>
      <c r="HFM22" s="2057"/>
      <c r="HFN22" s="2057"/>
      <c r="HFO22" s="2056"/>
      <c r="HFP22" s="2057"/>
      <c r="HFQ22" s="2057"/>
      <c r="HFR22" s="2056"/>
      <c r="HFS22" s="2057"/>
      <c r="HFT22" s="2057"/>
      <c r="HFU22" s="2056"/>
      <c r="HFV22" s="2057"/>
      <c r="HFW22" s="2057"/>
      <c r="HFX22" s="2056"/>
      <c r="HFY22" s="2057"/>
      <c r="HFZ22" s="2057"/>
      <c r="HGA22" s="2056"/>
      <c r="HGB22" s="2057"/>
      <c r="HGC22" s="2057"/>
      <c r="HGD22" s="2056"/>
      <c r="HGE22" s="2057"/>
      <c r="HGF22" s="2057"/>
      <c r="HGG22" s="2056"/>
      <c r="HGH22" s="2057"/>
      <c r="HGI22" s="2057"/>
      <c r="HGJ22" s="2056"/>
      <c r="HGK22" s="2057"/>
      <c r="HGL22" s="2057"/>
      <c r="HGM22" s="2056"/>
      <c r="HGN22" s="2057"/>
      <c r="HGO22" s="2057"/>
      <c r="HGP22" s="2056"/>
      <c r="HGQ22" s="2057"/>
      <c r="HGR22" s="2057"/>
      <c r="HGS22" s="2056"/>
      <c r="HGT22" s="2057"/>
      <c r="HGU22" s="2057"/>
      <c r="HGV22" s="2056"/>
      <c r="HGW22" s="2057"/>
      <c r="HGX22" s="2057"/>
      <c r="HGY22" s="2056"/>
      <c r="HGZ22" s="2057"/>
      <c r="HHA22" s="2057"/>
      <c r="HHB22" s="2056"/>
      <c r="HHC22" s="2057"/>
      <c r="HHD22" s="2057"/>
      <c r="HHE22" s="2056"/>
      <c r="HHF22" s="2057"/>
      <c r="HHG22" s="2057"/>
      <c r="HHH22" s="2056"/>
      <c r="HHI22" s="2057"/>
      <c r="HHJ22" s="2057"/>
      <c r="HHK22" s="2056"/>
      <c r="HHL22" s="2057"/>
      <c r="HHM22" s="2057"/>
      <c r="HHN22" s="2056"/>
      <c r="HHO22" s="2057"/>
      <c r="HHP22" s="2057"/>
      <c r="HHQ22" s="2056"/>
      <c r="HHR22" s="2057"/>
      <c r="HHS22" s="2057"/>
      <c r="HHT22" s="2056"/>
      <c r="HHU22" s="2057"/>
      <c r="HHV22" s="2057"/>
      <c r="HHW22" s="2056"/>
      <c r="HHX22" s="2057"/>
      <c r="HHY22" s="2057"/>
      <c r="HHZ22" s="2056"/>
      <c r="HIA22" s="2057"/>
      <c r="HIB22" s="2057"/>
      <c r="HIC22" s="2056"/>
      <c r="HID22" s="2057"/>
      <c r="HIE22" s="2057"/>
      <c r="HIF22" s="2056"/>
      <c r="HIG22" s="2057"/>
      <c r="HIH22" s="2057"/>
      <c r="HII22" s="2056"/>
      <c r="HIJ22" s="2057"/>
      <c r="HIK22" s="2057"/>
      <c r="HIL22" s="2056"/>
      <c r="HIM22" s="2057"/>
      <c r="HIN22" s="2057"/>
      <c r="HIO22" s="2056"/>
      <c r="HIP22" s="2057"/>
      <c r="HIQ22" s="2057"/>
      <c r="HIR22" s="2056"/>
      <c r="HIS22" s="2057"/>
      <c r="HIT22" s="2057"/>
      <c r="HIU22" s="2056"/>
      <c r="HIV22" s="2057"/>
      <c r="HIW22" s="2057"/>
      <c r="HIX22" s="2056"/>
      <c r="HIY22" s="2057"/>
      <c r="HIZ22" s="2057"/>
      <c r="HJA22" s="2056"/>
      <c r="HJB22" s="2057"/>
      <c r="HJC22" s="2057"/>
      <c r="HJD22" s="2056"/>
      <c r="HJE22" s="2057"/>
      <c r="HJF22" s="2057"/>
      <c r="HJG22" s="2056"/>
      <c r="HJH22" s="2057"/>
      <c r="HJI22" s="2057"/>
      <c r="HJJ22" s="2056"/>
      <c r="HJK22" s="2057"/>
      <c r="HJL22" s="2057"/>
      <c r="HJM22" s="2056"/>
      <c r="HJN22" s="2057"/>
      <c r="HJO22" s="2057"/>
      <c r="HJP22" s="2056"/>
      <c r="HJQ22" s="2057"/>
      <c r="HJR22" s="2057"/>
      <c r="HJS22" s="2056"/>
      <c r="HJT22" s="2057"/>
      <c r="HJU22" s="2057"/>
      <c r="HJV22" s="2056"/>
      <c r="HJW22" s="2057"/>
      <c r="HJX22" s="2057"/>
      <c r="HJY22" s="2056"/>
      <c r="HJZ22" s="2057"/>
      <c r="HKA22" s="2057"/>
      <c r="HKB22" s="2056"/>
      <c r="HKC22" s="2057"/>
      <c r="HKD22" s="2057"/>
      <c r="HKE22" s="2056"/>
      <c r="HKF22" s="2057"/>
      <c r="HKG22" s="2057"/>
      <c r="HKH22" s="2056"/>
      <c r="HKI22" s="2057"/>
      <c r="HKJ22" s="2057"/>
      <c r="HKK22" s="2056"/>
      <c r="HKL22" s="2057"/>
      <c r="HKM22" s="2057"/>
      <c r="HKN22" s="2056"/>
      <c r="HKO22" s="2057"/>
      <c r="HKP22" s="2057"/>
      <c r="HKQ22" s="2056"/>
      <c r="HKR22" s="2057"/>
      <c r="HKS22" s="2057"/>
      <c r="HKT22" s="2056"/>
      <c r="HKU22" s="2057"/>
      <c r="HKV22" s="2057"/>
      <c r="HKW22" s="2056"/>
      <c r="HKX22" s="2057"/>
      <c r="HKY22" s="2057"/>
      <c r="HKZ22" s="2056"/>
      <c r="HLA22" s="2057"/>
      <c r="HLB22" s="2057"/>
      <c r="HLC22" s="2056"/>
      <c r="HLD22" s="2057"/>
      <c r="HLE22" s="2057"/>
      <c r="HLF22" s="2056"/>
      <c r="HLG22" s="2057"/>
      <c r="HLH22" s="2057"/>
      <c r="HLI22" s="2056"/>
      <c r="HLJ22" s="2057"/>
      <c r="HLK22" s="2057"/>
      <c r="HLL22" s="2056"/>
      <c r="HLM22" s="2057"/>
      <c r="HLN22" s="2057"/>
      <c r="HLO22" s="2056"/>
      <c r="HLP22" s="2057"/>
      <c r="HLQ22" s="2057"/>
      <c r="HLR22" s="2056"/>
      <c r="HLS22" s="2057"/>
      <c r="HLT22" s="2057"/>
      <c r="HLU22" s="2056"/>
      <c r="HLV22" s="2057"/>
      <c r="HLW22" s="2057"/>
      <c r="HLX22" s="2056"/>
      <c r="HLY22" s="2057"/>
      <c r="HLZ22" s="2057"/>
      <c r="HMA22" s="2056"/>
      <c r="HMB22" s="2057"/>
      <c r="HMC22" s="2057"/>
      <c r="HMD22" s="2056"/>
      <c r="HME22" s="2057"/>
      <c r="HMF22" s="2057"/>
      <c r="HMG22" s="2056"/>
      <c r="HMH22" s="2057"/>
      <c r="HMI22" s="2057"/>
      <c r="HMJ22" s="2056"/>
      <c r="HMK22" s="2057"/>
      <c r="HML22" s="2057"/>
      <c r="HMM22" s="2056"/>
      <c r="HMN22" s="2057"/>
      <c r="HMO22" s="2057"/>
      <c r="HMP22" s="2056"/>
      <c r="HMQ22" s="2057"/>
      <c r="HMR22" s="2057"/>
      <c r="HMS22" s="2056"/>
      <c r="HMT22" s="2057"/>
      <c r="HMU22" s="2057"/>
      <c r="HMV22" s="2056"/>
      <c r="HMW22" s="2057"/>
      <c r="HMX22" s="2057"/>
      <c r="HMY22" s="2056"/>
      <c r="HMZ22" s="2057"/>
      <c r="HNA22" s="2057"/>
      <c r="HNB22" s="2056"/>
      <c r="HNC22" s="2057"/>
      <c r="HND22" s="2057"/>
      <c r="HNE22" s="2056"/>
      <c r="HNF22" s="2057"/>
      <c r="HNG22" s="2057"/>
      <c r="HNH22" s="2056"/>
      <c r="HNI22" s="2057"/>
      <c r="HNJ22" s="2057"/>
      <c r="HNK22" s="2056"/>
      <c r="HNL22" s="2057"/>
      <c r="HNM22" s="2057"/>
      <c r="HNN22" s="2056"/>
      <c r="HNO22" s="2057"/>
      <c r="HNP22" s="2057"/>
      <c r="HNQ22" s="2056"/>
      <c r="HNR22" s="2057"/>
      <c r="HNS22" s="2057"/>
      <c r="HNT22" s="2056"/>
      <c r="HNU22" s="2057"/>
      <c r="HNV22" s="2057"/>
      <c r="HNW22" s="2056"/>
      <c r="HNX22" s="2057"/>
      <c r="HNY22" s="2057"/>
      <c r="HNZ22" s="2056"/>
      <c r="HOA22" s="2057"/>
      <c r="HOB22" s="2057"/>
      <c r="HOC22" s="2056"/>
      <c r="HOD22" s="2057"/>
      <c r="HOE22" s="2057"/>
      <c r="HOF22" s="2056"/>
      <c r="HOG22" s="2057"/>
      <c r="HOH22" s="2057"/>
      <c r="HOI22" s="2056"/>
      <c r="HOJ22" s="2057"/>
      <c r="HOK22" s="2057"/>
      <c r="HOL22" s="2056"/>
      <c r="HOM22" s="2057"/>
      <c r="HON22" s="2057"/>
      <c r="HOO22" s="2056"/>
      <c r="HOP22" s="2057"/>
      <c r="HOQ22" s="2057"/>
      <c r="HOR22" s="2056"/>
      <c r="HOS22" s="2057"/>
      <c r="HOT22" s="2057"/>
      <c r="HOU22" s="2056"/>
      <c r="HOV22" s="2057"/>
      <c r="HOW22" s="2057"/>
      <c r="HOX22" s="2056"/>
      <c r="HOY22" s="2057"/>
      <c r="HOZ22" s="2057"/>
      <c r="HPA22" s="2056"/>
      <c r="HPB22" s="2057"/>
      <c r="HPC22" s="2057"/>
      <c r="HPD22" s="2056"/>
      <c r="HPE22" s="2057"/>
      <c r="HPF22" s="2057"/>
      <c r="HPG22" s="2056"/>
      <c r="HPH22" s="2057"/>
      <c r="HPI22" s="2057"/>
      <c r="HPJ22" s="2056"/>
      <c r="HPK22" s="2057"/>
      <c r="HPL22" s="2057"/>
      <c r="HPM22" s="2056"/>
      <c r="HPN22" s="2057"/>
      <c r="HPO22" s="2057"/>
      <c r="HPP22" s="2056"/>
      <c r="HPQ22" s="2057"/>
      <c r="HPR22" s="2057"/>
      <c r="HPS22" s="2056"/>
      <c r="HPT22" s="2057"/>
      <c r="HPU22" s="2057"/>
      <c r="HPV22" s="2056"/>
      <c r="HPW22" s="2057"/>
      <c r="HPX22" s="2057"/>
      <c r="HPY22" s="2056"/>
      <c r="HPZ22" s="2057"/>
      <c r="HQA22" s="2057"/>
      <c r="HQB22" s="2056"/>
      <c r="HQC22" s="2057"/>
      <c r="HQD22" s="2057"/>
      <c r="HQE22" s="2056"/>
      <c r="HQF22" s="2057"/>
      <c r="HQG22" s="2057"/>
      <c r="HQH22" s="2056"/>
      <c r="HQI22" s="2057"/>
      <c r="HQJ22" s="2057"/>
      <c r="HQK22" s="2056"/>
      <c r="HQL22" s="2057"/>
      <c r="HQM22" s="2057"/>
      <c r="HQN22" s="2056"/>
      <c r="HQO22" s="2057"/>
      <c r="HQP22" s="2057"/>
      <c r="HQQ22" s="2056"/>
      <c r="HQR22" s="2057"/>
      <c r="HQS22" s="2057"/>
      <c r="HQT22" s="2056"/>
      <c r="HQU22" s="2057"/>
      <c r="HQV22" s="2057"/>
      <c r="HQW22" s="2056"/>
      <c r="HQX22" s="2057"/>
      <c r="HQY22" s="2057"/>
      <c r="HQZ22" s="2056"/>
      <c r="HRA22" s="2057"/>
      <c r="HRB22" s="2057"/>
      <c r="HRC22" s="2056"/>
      <c r="HRD22" s="2057"/>
      <c r="HRE22" s="2057"/>
      <c r="HRF22" s="2056"/>
      <c r="HRG22" s="2057"/>
      <c r="HRH22" s="2057"/>
      <c r="HRI22" s="2056"/>
      <c r="HRJ22" s="2057"/>
      <c r="HRK22" s="2057"/>
      <c r="HRL22" s="2056"/>
      <c r="HRM22" s="2057"/>
      <c r="HRN22" s="2057"/>
      <c r="HRO22" s="2056"/>
      <c r="HRP22" s="2057"/>
      <c r="HRQ22" s="2057"/>
      <c r="HRR22" s="2056"/>
      <c r="HRS22" s="2057"/>
      <c r="HRT22" s="2057"/>
      <c r="HRU22" s="2056"/>
      <c r="HRV22" s="2057"/>
      <c r="HRW22" s="2057"/>
      <c r="HRX22" s="2056"/>
      <c r="HRY22" s="2057"/>
      <c r="HRZ22" s="2057"/>
      <c r="HSA22" s="2056"/>
      <c r="HSB22" s="2057"/>
      <c r="HSC22" s="2057"/>
      <c r="HSD22" s="2056"/>
      <c r="HSE22" s="2057"/>
      <c r="HSF22" s="2057"/>
      <c r="HSG22" s="2056"/>
      <c r="HSH22" s="2057"/>
      <c r="HSI22" s="2057"/>
      <c r="HSJ22" s="2056"/>
      <c r="HSK22" s="2057"/>
      <c r="HSL22" s="2057"/>
      <c r="HSM22" s="2056"/>
      <c r="HSN22" s="2057"/>
      <c r="HSO22" s="2057"/>
      <c r="HSP22" s="2056"/>
      <c r="HSQ22" s="2057"/>
      <c r="HSR22" s="2057"/>
      <c r="HSS22" s="2056"/>
      <c r="HST22" s="2057"/>
      <c r="HSU22" s="2057"/>
      <c r="HSV22" s="2056"/>
      <c r="HSW22" s="2057"/>
      <c r="HSX22" s="2057"/>
      <c r="HSY22" s="2056"/>
      <c r="HSZ22" s="2057"/>
      <c r="HTA22" s="2057"/>
      <c r="HTB22" s="2056"/>
      <c r="HTC22" s="2057"/>
      <c r="HTD22" s="2057"/>
      <c r="HTE22" s="2056"/>
      <c r="HTF22" s="2057"/>
      <c r="HTG22" s="2057"/>
      <c r="HTH22" s="2056"/>
      <c r="HTI22" s="2057"/>
      <c r="HTJ22" s="2057"/>
      <c r="HTK22" s="2056"/>
      <c r="HTL22" s="2057"/>
      <c r="HTM22" s="2057"/>
      <c r="HTN22" s="2056"/>
      <c r="HTO22" s="2057"/>
      <c r="HTP22" s="2057"/>
      <c r="HTQ22" s="2056"/>
      <c r="HTR22" s="2057"/>
      <c r="HTS22" s="2057"/>
      <c r="HTT22" s="2056"/>
      <c r="HTU22" s="2057"/>
      <c r="HTV22" s="2057"/>
      <c r="HTW22" s="2056"/>
      <c r="HTX22" s="2057"/>
      <c r="HTY22" s="2057"/>
      <c r="HTZ22" s="2056"/>
      <c r="HUA22" s="2057"/>
      <c r="HUB22" s="2057"/>
      <c r="HUC22" s="2056"/>
      <c r="HUD22" s="2057"/>
      <c r="HUE22" s="2057"/>
      <c r="HUF22" s="2056"/>
      <c r="HUG22" s="2057"/>
      <c r="HUH22" s="2057"/>
      <c r="HUI22" s="2056"/>
      <c r="HUJ22" s="2057"/>
      <c r="HUK22" s="2057"/>
      <c r="HUL22" s="2056"/>
      <c r="HUM22" s="2057"/>
      <c r="HUN22" s="2057"/>
      <c r="HUO22" s="2056"/>
      <c r="HUP22" s="2057"/>
      <c r="HUQ22" s="2057"/>
      <c r="HUR22" s="2056"/>
      <c r="HUS22" s="2057"/>
      <c r="HUT22" s="2057"/>
      <c r="HUU22" s="2056"/>
      <c r="HUV22" s="2057"/>
      <c r="HUW22" s="2057"/>
      <c r="HUX22" s="2056"/>
      <c r="HUY22" s="2057"/>
      <c r="HUZ22" s="2057"/>
      <c r="HVA22" s="2056"/>
      <c r="HVB22" s="2057"/>
      <c r="HVC22" s="2057"/>
      <c r="HVD22" s="2056"/>
      <c r="HVE22" s="2057"/>
      <c r="HVF22" s="2057"/>
      <c r="HVG22" s="2056"/>
      <c r="HVH22" s="2057"/>
      <c r="HVI22" s="2057"/>
      <c r="HVJ22" s="2056"/>
      <c r="HVK22" s="2057"/>
      <c r="HVL22" s="2057"/>
      <c r="HVM22" s="2056"/>
      <c r="HVN22" s="2057"/>
      <c r="HVO22" s="2057"/>
      <c r="HVP22" s="2056"/>
      <c r="HVQ22" s="2057"/>
      <c r="HVR22" s="2057"/>
      <c r="HVS22" s="2056"/>
      <c r="HVT22" s="2057"/>
      <c r="HVU22" s="2057"/>
      <c r="HVV22" s="2056"/>
      <c r="HVW22" s="2057"/>
      <c r="HVX22" s="2057"/>
      <c r="HVY22" s="2056"/>
      <c r="HVZ22" s="2057"/>
      <c r="HWA22" s="2057"/>
      <c r="HWB22" s="2056"/>
      <c r="HWC22" s="2057"/>
      <c r="HWD22" s="2057"/>
      <c r="HWE22" s="2056"/>
      <c r="HWF22" s="2057"/>
      <c r="HWG22" s="2057"/>
      <c r="HWH22" s="2056"/>
      <c r="HWI22" s="2057"/>
      <c r="HWJ22" s="2057"/>
      <c r="HWK22" s="2056"/>
      <c r="HWL22" s="2057"/>
      <c r="HWM22" s="2057"/>
      <c r="HWN22" s="2056"/>
      <c r="HWO22" s="2057"/>
      <c r="HWP22" s="2057"/>
      <c r="HWQ22" s="2056"/>
      <c r="HWR22" s="2057"/>
      <c r="HWS22" s="2057"/>
      <c r="HWT22" s="2056"/>
      <c r="HWU22" s="2057"/>
      <c r="HWV22" s="2057"/>
      <c r="HWW22" s="2056"/>
      <c r="HWX22" s="2057"/>
      <c r="HWY22" s="2057"/>
      <c r="HWZ22" s="2056"/>
      <c r="HXA22" s="2057"/>
      <c r="HXB22" s="2057"/>
      <c r="HXC22" s="2056"/>
      <c r="HXD22" s="2057"/>
      <c r="HXE22" s="2057"/>
      <c r="HXF22" s="2056"/>
      <c r="HXG22" s="2057"/>
      <c r="HXH22" s="2057"/>
      <c r="HXI22" s="2056"/>
      <c r="HXJ22" s="2057"/>
      <c r="HXK22" s="2057"/>
      <c r="HXL22" s="2056"/>
      <c r="HXM22" s="2057"/>
      <c r="HXN22" s="2057"/>
      <c r="HXO22" s="2056"/>
      <c r="HXP22" s="2057"/>
      <c r="HXQ22" s="2057"/>
      <c r="HXR22" s="2056"/>
      <c r="HXS22" s="2057"/>
      <c r="HXT22" s="2057"/>
      <c r="HXU22" s="2056"/>
      <c r="HXV22" s="2057"/>
      <c r="HXW22" s="2057"/>
      <c r="HXX22" s="2056"/>
      <c r="HXY22" s="2057"/>
      <c r="HXZ22" s="2057"/>
      <c r="HYA22" s="2056"/>
      <c r="HYB22" s="2057"/>
      <c r="HYC22" s="2057"/>
      <c r="HYD22" s="2056"/>
      <c r="HYE22" s="2057"/>
      <c r="HYF22" s="2057"/>
      <c r="HYG22" s="2056"/>
      <c r="HYH22" s="2057"/>
      <c r="HYI22" s="2057"/>
      <c r="HYJ22" s="2056"/>
      <c r="HYK22" s="2057"/>
      <c r="HYL22" s="2057"/>
      <c r="HYM22" s="2056"/>
      <c r="HYN22" s="2057"/>
      <c r="HYO22" s="2057"/>
      <c r="HYP22" s="2056"/>
      <c r="HYQ22" s="2057"/>
      <c r="HYR22" s="2057"/>
      <c r="HYS22" s="2056"/>
      <c r="HYT22" s="2057"/>
      <c r="HYU22" s="2057"/>
      <c r="HYV22" s="2056"/>
      <c r="HYW22" s="2057"/>
      <c r="HYX22" s="2057"/>
      <c r="HYY22" s="2056"/>
      <c r="HYZ22" s="2057"/>
      <c r="HZA22" s="2057"/>
      <c r="HZB22" s="2056"/>
      <c r="HZC22" s="2057"/>
      <c r="HZD22" s="2057"/>
      <c r="HZE22" s="2056"/>
      <c r="HZF22" s="2057"/>
      <c r="HZG22" s="2057"/>
      <c r="HZH22" s="2056"/>
      <c r="HZI22" s="2057"/>
      <c r="HZJ22" s="2057"/>
      <c r="HZK22" s="2056"/>
      <c r="HZL22" s="2057"/>
      <c r="HZM22" s="2057"/>
      <c r="HZN22" s="2056"/>
      <c r="HZO22" s="2057"/>
      <c r="HZP22" s="2057"/>
      <c r="HZQ22" s="2056"/>
      <c r="HZR22" s="2057"/>
      <c r="HZS22" s="2057"/>
      <c r="HZT22" s="2056"/>
      <c r="HZU22" s="2057"/>
      <c r="HZV22" s="2057"/>
      <c r="HZW22" s="2056"/>
      <c r="HZX22" s="2057"/>
      <c r="HZY22" s="2057"/>
      <c r="HZZ22" s="2056"/>
      <c r="IAA22" s="2057"/>
      <c r="IAB22" s="2057"/>
      <c r="IAC22" s="2056"/>
      <c r="IAD22" s="2057"/>
      <c r="IAE22" s="2057"/>
      <c r="IAF22" s="2056"/>
      <c r="IAG22" s="2057"/>
      <c r="IAH22" s="2057"/>
      <c r="IAI22" s="2056"/>
      <c r="IAJ22" s="2057"/>
      <c r="IAK22" s="2057"/>
      <c r="IAL22" s="2056"/>
      <c r="IAM22" s="2057"/>
      <c r="IAN22" s="2057"/>
      <c r="IAO22" s="2056"/>
      <c r="IAP22" s="2057"/>
      <c r="IAQ22" s="2057"/>
      <c r="IAR22" s="2056"/>
      <c r="IAS22" s="2057"/>
      <c r="IAT22" s="2057"/>
      <c r="IAU22" s="2056"/>
      <c r="IAV22" s="2057"/>
      <c r="IAW22" s="2057"/>
      <c r="IAX22" s="2056"/>
      <c r="IAY22" s="2057"/>
      <c r="IAZ22" s="2057"/>
      <c r="IBA22" s="2056"/>
      <c r="IBB22" s="2057"/>
      <c r="IBC22" s="2057"/>
      <c r="IBD22" s="2056"/>
      <c r="IBE22" s="2057"/>
      <c r="IBF22" s="2057"/>
      <c r="IBG22" s="2056"/>
      <c r="IBH22" s="2057"/>
      <c r="IBI22" s="2057"/>
      <c r="IBJ22" s="2056"/>
      <c r="IBK22" s="2057"/>
      <c r="IBL22" s="2057"/>
      <c r="IBM22" s="2056"/>
      <c r="IBN22" s="2057"/>
      <c r="IBO22" s="2057"/>
      <c r="IBP22" s="2056"/>
      <c r="IBQ22" s="2057"/>
      <c r="IBR22" s="2057"/>
      <c r="IBS22" s="2056"/>
      <c r="IBT22" s="2057"/>
      <c r="IBU22" s="2057"/>
      <c r="IBV22" s="2056"/>
      <c r="IBW22" s="2057"/>
      <c r="IBX22" s="2057"/>
      <c r="IBY22" s="2056"/>
      <c r="IBZ22" s="2057"/>
      <c r="ICA22" s="2057"/>
      <c r="ICB22" s="2056"/>
      <c r="ICC22" s="2057"/>
      <c r="ICD22" s="2057"/>
      <c r="ICE22" s="2056"/>
      <c r="ICF22" s="2057"/>
      <c r="ICG22" s="2057"/>
      <c r="ICH22" s="2056"/>
      <c r="ICI22" s="2057"/>
      <c r="ICJ22" s="2057"/>
      <c r="ICK22" s="2056"/>
      <c r="ICL22" s="2057"/>
      <c r="ICM22" s="2057"/>
      <c r="ICN22" s="2056"/>
      <c r="ICO22" s="2057"/>
      <c r="ICP22" s="2057"/>
      <c r="ICQ22" s="2056"/>
      <c r="ICR22" s="2057"/>
      <c r="ICS22" s="2057"/>
      <c r="ICT22" s="2056"/>
      <c r="ICU22" s="2057"/>
      <c r="ICV22" s="2057"/>
      <c r="ICW22" s="2056"/>
      <c r="ICX22" s="2057"/>
      <c r="ICY22" s="2057"/>
      <c r="ICZ22" s="2056"/>
      <c r="IDA22" s="2057"/>
      <c r="IDB22" s="2057"/>
      <c r="IDC22" s="2056"/>
      <c r="IDD22" s="2057"/>
      <c r="IDE22" s="2057"/>
      <c r="IDF22" s="2056"/>
      <c r="IDG22" s="2057"/>
      <c r="IDH22" s="2057"/>
      <c r="IDI22" s="2056"/>
      <c r="IDJ22" s="2057"/>
      <c r="IDK22" s="2057"/>
      <c r="IDL22" s="2056"/>
      <c r="IDM22" s="2057"/>
      <c r="IDN22" s="2057"/>
      <c r="IDO22" s="2056"/>
      <c r="IDP22" s="2057"/>
      <c r="IDQ22" s="2057"/>
      <c r="IDR22" s="2056"/>
      <c r="IDS22" s="2057"/>
      <c r="IDT22" s="2057"/>
      <c r="IDU22" s="2056"/>
      <c r="IDV22" s="2057"/>
      <c r="IDW22" s="2057"/>
      <c r="IDX22" s="2056"/>
      <c r="IDY22" s="2057"/>
      <c r="IDZ22" s="2057"/>
      <c r="IEA22" s="2056"/>
      <c r="IEB22" s="2057"/>
      <c r="IEC22" s="2057"/>
      <c r="IED22" s="2056"/>
      <c r="IEE22" s="2057"/>
      <c r="IEF22" s="2057"/>
      <c r="IEG22" s="2056"/>
      <c r="IEH22" s="2057"/>
      <c r="IEI22" s="2057"/>
      <c r="IEJ22" s="2056"/>
      <c r="IEK22" s="2057"/>
      <c r="IEL22" s="2057"/>
      <c r="IEM22" s="2056"/>
      <c r="IEN22" s="2057"/>
      <c r="IEO22" s="2057"/>
      <c r="IEP22" s="2056"/>
      <c r="IEQ22" s="2057"/>
      <c r="IER22" s="2057"/>
      <c r="IES22" s="2056"/>
      <c r="IET22" s="2057"/>
      <c r="IEU22" s="2057"/>
      <c r="IEV22" s="2056"/>
      <c r="IEW22" s="2057"/>
      <c r="IEX22" s="2057"/>
      <c r="IEY22" s="2056"/>
      <c r="IEZ22" s="2057"/>
      <c r="IFA22" s="2057"/>
      <c r="IFB22" s="2056"/>
      <c r="IFC22" s="2057"/>
      <c r="IFD22" s="2057"/>
      <c r="IFE22" s="2056"/>
      <c r="IFF22" s="2057"/>
      <c r="IFG22" s="2057"/>
      <c r="IFH22" s="2056"/>
      <c r="IFI22" s="2057"/>
      <c r="IFJ22" s="2057"/>
      <c r="IFK22" s="2056"/>
      <c r="IFL22" s="2057"/>
      <c r="IFM22" s="2057"/>
      <c r="IFN22" s="2056"/>
      <c r="IFO22" s="2057"/>
      <c r="IFP22" s="2057"/>
      <c r="IFQ22" s="2056"/>
      <c r="IFR22" s="2057"/>
      <c r="IFS22" s="2057"/>
      <c r="IFT22" s="2056"/>
      <c r="IFU22" s="2057"/>
      <c r="IFV22" s="2057"/>
      <c r="IFW22" s="2056"/>
      <c r="IFX22" s="2057"/>
      <c r="IFY22" s="2057"/>
      <c r="IFZ22" s="2056"/>
      <c r="IGA22" s="2057"/>
      <c r="IGB22" s="2057"/>
      <c r="IGC22" s="2056"/>
      <c r="IGD22" s="2057"/>
      <c r="IGE22" s="2057"/>
      <c r="IGF22" s="2056"/>
      <c r="IGG22" s="2057"/>
      <c r="IGH22" s="2057"/>
      <c r="IGI22" s="2056"/>
      <c r="IGJ22" s="2057"/>
      <c r="IGK22" s="2057"/>
      <c r="IGL22" s="2056"/>
      <c r="IGM22" s="2057"/>
      <c r="IGN22" s="2057"/>
      <c r="IGO22" s="2056"/>
      <c r="IGP22" s="2057"/>
      <c r="IGQ22" s="2057"/>
      <c r="IGR22" s="2056"/>
      <c r="IGS22" s="2057"/>
      <c r="IGT22" s="2057"/>
      <c r="IGU22" s="2056"/>
      <c r="IGV22" s="2057"/>
      <c r="IGW22" s="2057"/>
      <c r="IGX22" s="2056"/>
      <c r="IGY22" s="2057"/>
      <c r="IGZ22" s="2057"/>
      <c r="IHA22" s="2056"/>
      <c r="IHB22" s="2057"/>
      <c r="IHC22" s="2057"/>
      <c r="IHD22" s="2056"/>
      <c r="IHE22" s="2057"/>
      <c r="IHF22" s="2057"/>
      <c r="IHG22" s="2056"/>
      <c r="IHH22" s="2057"/>
      <c r="IHI22" s="2057"/>
      <c r="IHJ22" s="2056"/>
      <c r="IHK22" s="2057"/>
      <c r="IHL22" s="2057"/>
      <c r="IHM22" s="2056"/>
      <c r="IHN22" s="2057"/>
      <c r="IHO22" s="2057"/>
      <c r="IHP22" s="2056"/>
      <c r="IHQ22" s="2057"/>
      <c r="IHR22" s="2057"/>
      <c r="IHS22" s="2056"/>
      <c r="IHT22" s="2057"/>
      <c r="IHU22" s="2057"/>
      <c r="IHV22" s="2056"/>
      <c r="IHW22" s="2057"/>
      <c r="IHX22" s="2057"/>
      <c r="IHY22" s="2056"/>
      <c r="IHZ22" s="2057"/>
      <c r="IIA22" s="2057"/>
      <c r="IIB22" s="2056"/>
      <c r="IIC22" s="2057"/>
      <c r="IID22" s="2057"/>
      <c r="IIE22" s="2056"/>
      <c r="IIF22" s="2057"/>
      <c r="IIG22" s="2057"/>
      <c r="IIH22" s="2056"/>
      <c r="III22" s="2057"/>
      <c r="IIJ22" s="2057"/>
      <c r="IIK22" s="2056"/>
      <c r="IIL22" s="2057"/>
      <c r="IIM22" s="2057"/>
      <c r="IIN22" s="2056"/>
      <c r="IIO22" s="2057"/>
      <c r="IIP22" s="2057"/>
      <c r="IIQ22" s="2056"/>
      <c r="IIR22" s="2057"/>
      <c r="IIS22" s="2057"/>
      <c r="IIT22" s="2056"/>
      <c r="IIU22" s="2057"/>
      <c r="IIV22" s="2057"/>
      <c r="IIW22" s="2056"/>
      <c r="IIX22" s="2057"/>
      <c r="IIY22" s="2057"/>
      <c r="IIZ22" s="2056"/>
      <c r="IJA22" s="2057"/>
      <c r="IJB22" s="2057"/>
      <c r="IJC22" s="2056"/>
      <c r="IJD22" s="2057"/>
      <c r="IJE22" s="2057"/>
      <c r="IJF22" s="2056"/>
      <c r="IJG22" s="2057"/>
      <c r="IJH22" s="2057"/>
      <c r="IJI22" s="2056"/>
      <c r="IJJ22" s="2057"/>
      <c r="IJK22" s="2057"/>
      <c r="IJL22" s="2056"/>
      <c r="IJM22" s="2057"/>
      <c r="IJN22" s="2057"/>
      <c r="IJO22" s="2056"/>
      <c r="IJP22" s="2057"/>
      <c r="IJQ22" s="2057"/>
      <c r="IJR22" s="2056"/>
      <c r="IJS22" s="2057"/>
      <c r="IJT22" s="2057"/>
      <c r="IJU22" s="2056"/>
      <c r="IJV22" s="2057"/>
      <c r="IJW22" s="2057"/>
      <c r="IJX22" s="2056"/>
      <c r="IJY22" s="2057"/>
      <c r="IJZ22" s="2057"/>
      <c r="IKA22" s="2056"/>
      <c r="IKB22" s="2057"/>
      <c r="IKC22" s="2057"/>
      <c r="IKD22" s="2056"/>
      <c r="IKE22" s="2057"/>
      <c r="IKF22" s="2057"/>
      <c r="IKG22" s="2056"/>
      <c r="IKH22" s="2057"/>
      <c r="IKI22" s="2057"/>
      <c r="IKJ22" s="2056"/>
      <c r="IKK22" s="2057"/>
      <c r="IKL22" s="2057"/>
      <c r="IKM22" s="2056"/>
      <c r="IKN22" s="2057"/>
      <c r="IKO22" s="2057"/>
      <c r="IKP22" s="2056"/>
      <c r="IKQ22" s="2057"/>
      <c r="IKR22" s="2057"/>
      <c r="IKS22" s="2056"/>
      <c r="IKT22" s="2057"/>
      <c r="IKU22" s="2057"/>
      <c r="IKV22" s="2056"/>
      <c r="IKW22" s="2057"/>
      <c r="IKX22" s="2057"/>
      <c r="IKY22" s="2056"/>
      <c r="IKZ22" s="2057"/>
      <c r="ILA22" s="2057"/>
      <c r="ILB22" s="2056"/>
      <c r="ILC22" s="2057"/>
      <c r="ILD22" s="2057"/>
      <c r="ILE22" s="2056"/>
      <c r="ILF22" s="2057"/>
      <c r="ILG22" s="2057"/>
      <c r="ILH22" s="2056"/>
      <c r="ILI22" s="2057"/>
      <c r="ILJ22" s="2057"/>
      <c r="ILK22" s="2056"/>
      <c r="ILL22" s="2057"/>
      <c r="ILM22" s="2057"/>
      <c r="ILN22" s="2056"/>
      <c r="ILO22" s="2057"/>
      <c r="ILP22" s="2057"/>
      <c r="ILQ22" s="2056"/>
      <c r="ILR22" s="2057"/>
      <c r="ILS22" s="2057"/>
      <c r="ILT22" s="2056"/>
      <c r="ILU22" s="2057"/>
      <c r="ILV22" s="2057"/>
      <c r="ILW22" s="2056"/>
      <c r="ILX22" s="2057"/>
      <c r="ILY22" s="2057"/>
      <c r="ILZ22" s="2056"/>
      <c r="IMA22" s="2057"/>
      <c r="IMB22" s="2057"/>
      <c r="IMC22" s="2056"/>
      <c r="IMD22" s="2057"/>
      <c r="IME22" s="2057"/>
      <c r="IMF22" s="2056"/>
      <c r="IMG22" s="2057"/>
      <c r="IMH22" s="2057"/>
      <c r="IMI22" s="2056"/>
      <c r="IMJ22" s="2057"/>
      <c r="IMK22" s="2057"/>
      <c r="IML22" s="2056"/>
      <c r="IMM22" s="2057"/>
      <c r="IMN22" s="2057"/>
      <c r="IMO22" s="2056"/>
      <c r="IMP22" s="2057"/>
      <c r="IMQ22" s="2057"/>
      <c r="IMR22" s="2056"/>
      <c r="IMS22" s="2057"/>
      <c r="IMT22" s="2057"/>
      <c r="IMU22" s="2056"/>
      <c r="IMV22" s="2057"/>
      <c r="IMW22" s="2057"/>
      <c r="IMX22" s="2056"/>
      <c r="IMY22" s="2057"/>
      <c r="IMZ22" s="2057"/>
      <c r="INA22" s="2056"/>
      <c r="INB22" s="2057"/>
      <c r="INC22" s="2057"/>
      <c r="IND22" s="2056"/>
      <c r="INE22" s="2057"/>
      <c r="INF22" s="2057"/>
      <c r="ING22" s="2056"/>
      <c r="INH22" s="2057"/>
      <c r="INI22" s="2057"/>
      <c r="INJ22" s="2056"/>
      <c r="INK22" s="2057"/>
      <c r="INL22" s="2057"/>
      <c r="INM22" s="2056"/>
      <c r="INN22" s="2057"/>
      <c r="INO22" s="2057"/>
      <c r="INP22" s="2056"/>
      <c r="INQ22" s="2057"/>
      <c r="INR22" s="2057"/>
      <c r="INS22" s="2056"/>
      <c r="INT22" s="2057"/>
      <c r="INU22" s="2057"/>
      <c r="INV22" s="2056"/>
      <c r="INW22" s="2057"/>
      <c r="INX22" s="2057"/>
      <c r="INY22" s="2056"/>
      <c r="INZ22" s="2057"/>
      <c r="IOA22" s="2057"/>
      <c r="IOB22" s="2056"/>
      <c r="IOC22" s="2057"/>
      <c r="IOD22" s="2057"/>
      <c r="IOE22" s="2056"/>
      <c r="IOF22" s="2057"/>
      <c r="IOG22" s="2057"/>
      <c r="IOH22" s="2056"/>
      <c r="IOI22" s="2057"/>
      <c r="IOJ22" s="2057"/>
      <c r="IOK22" s="2056"/>
      <c r="IOL22" s="2057"/>
      <c r="IOM22" s="2057"/>
      <c r="ION22" s="2056"/>
      <c r="IOO22" s="2057"/>
      <c r="IOP22" s="2057"/>
      <c r="IOQ22" s="2056"/>
      <c r="IOR22" s="2057"/>
      <c r="IOS22" s="2057"/>
      <c r="IOT22" s="2056"/>
      <c r="IOU22" s="2057"/>
      <c r="IOV22" s="2057"/>
      <c r="IOW22" s="2056"/>
      <c r="IOX22" s="2057"/>
      <c r="IOY22" s="2057"/>
      <c r="IOZ22" s="2056"/>
      <c r="IPA22" s="2057"/>
      <c r="IPB22" s="2057"/>
      <c r="IPC22" s="2056"/>
      <c r="IPD22" s="2057"/>
      <c r="IPE22" s="2057"/>
      <c r="IPF22" s="2056"/>
      <c r="IPG22" s="2057"/>
      <c r="IPH22" s="2057"/>
      <c r="IPI22" s="2056"/>
      <c r="IPJ22" s="2057"/>
      <c r="IPK22" s="2057"/>
      <c r="IPL22" s="2056"/>
      <c r="IPM22" s="2057"/>
      <c r="IPN22" s="2057"/>
      <c r="IPO22" s="2056"/>
      <c r="IPP22" s="2057"/>
      <c r="IPQ22" s="2057"/>
      <c r="IPR22" s="2056"/>
      <c r="IPS22" s="2057"/>
      <c r="IPT22" s="2057"/>
      <c r="IPU22" s="2056"/>
      <c r="IPV22" s="2057"/>
      <c r="IPW22" s="2057"/>
      <c r="IPX22" s="2056"/>
      <c r="IPY22" s="2057"/>
      <c r="IPZ22" s="2057"/>
      <c r="IQA22" s="2056"/>
      <c r="IQB22" s="2057"/>
      <c r="IQC22" s="2057"/>
      <c r="IQD22" s="2056"/>
      <c r="IQE22" s="2057"/>
      <c r="IQF22" s="2057"/>
      <c r="IQG22" s="2056"/>
      <c r="IQH22" s="2057"/>
      <c r="IQI22" s="2057"/>
      <c r="IQJ22" s="2056"/>
      <c r="IQK22" s="2057"/>
      <c r="IQL22" s="2057"/>
      <c r="IQM22" s="2056"/>
      <c r="IQN22" s="2057"/>
      <c r="IQO22" s="2057"/>
      <c r="IQP22" s="2056"/>
      <c r="IQQ22" s="2057"/>
      <c r="IQR22" s="2057"/>
      <c r="IQS22" s="2056"/>
      <c r="IQT22" s="2057"/>
      <c r="IQU22" s="2057"/>
      <c r="IQV22" s="2056"/>
      <c r="IQW22" s="2057"/>
      <c r="IQX22" s="2057"/>
      <c r="IQY22" s="2056"/>
      <c r="IQZ22" s="2057"/>
      <c r="IRA22" s="2057"/>
      <c r="IRB22" s="2056"/>
      <c r="IRC22" s="2057"/>
      <c r="IRD22" s="2057"/>
      <c r="IRE22" s="2056"/>
      <c r="IRF22" s="2057"/>
      <c r="IRG22" s="2057"/>
      <c r="IRH22" s="2056"/>
      <c r="IRI22" s="2057"/>
      <c r="IRJ22" s="2057"/>
      <c r="IRK22" s="2056"/>
      <c r="IRL22" s="2057"/>
      <c r="IRM22" s="2057"/>
      <c r="IRN22" s="2056"/>
      <c r="IRO22" s="2057"/>
      <c r="IRP22" s="2057"/>
      <c r="IRQ22" s="2056"/>
      <c r="IRR22" s="2057"/>
      <c r="IRS22" s="2057"/>
      <c r="IRT22" s="2056"/>
      <c r="IRU22" s="2057"/>
      <c r="IRV22" s="2057"/>
      <c r="IRW22" s="2056"/>
      <c r="IRX22" s="2057"/>
      <c r="IRY22" s="2057"/>
      <c r="IRZ22" s="2056"/>
      <c r="ISA22" s="2057"/>
      <c r="ISB22" s="2057"/>
      <c r="ISC22" s="2056"/>
      <c r="ISD22" s="2057"/>
      <c r="ISE22" s="2057"/>
      <c r="ISF22" s="2056"/>
      <c r="ISG22" s="2057"/>
      <c r="ISH22" s="2057"/>
      <c r="ISI22" s="2056"/>
      <c r="ISJ22" s="2057"/>
      <c r="ISK22" s="2057"/>
      <c r="ISL22" s="2056"/>
      <c r="ISM22" s="2057"/>
      <c r="ISN22" s="2057"/>
      <c r="ISO22" s="2056"/>
      <c r="ISP22" s="2057"/>
      <c r="ISQ22" s="2057"/>
      <c r="ISR22" s="2056"/>
      <c r="ISS22" s="2057"/>
      <c r="IST22" s="2057"/>
      <c r="ISU22" s="2056"/>
      <c r="ISV22" s="2057"/>
      <c r="ISW22" s="2057"/>
      <c r="ISX22" s="2056"/>
      <c r="ISY22" s="2057"/>
      <c r="ISZ22" s="2057"/>
      <c r="ITA22" s="2056"/>
      <c r="ITB22" s="2057"/>
      <c r="ITC22" s="2057"/>
      <c r="ITD22" s="2056"/>
      <c r="ITE22" s="2057"/>
      <c r="ITF22" s="2057"/>
      <c r="ITG22" s="2056"/>
      <c r="ITH22" s="2057"/>
      <c r="ITI22" s="2057"/>
      <c r="ITJ22" s="2056"/>
      <c r="ITK22" s="2057"/>
      <c r="ITL22" s="2057"/>
      <c r="ITM22" s="2056"/>
      <c r="ITN22" s="2057"/>
      <c r="ITO22" s="2057"/>
      <c r="ITP22" s="2056"/>
      <c r="ITQ22" s="2057"/>
      <c r="ITR22" s="2057"/>
      <c r="ITS22" s="2056"/>
      <c r="ITT22" s="2057"/>
      <c r="ITU22" s="2057"/>
      <c r="ITV22" s="2056"/>
      <c r="ITW22" s="2057"/>
      <c r="ITX22" s="2057"/>
      <c r="ITY22" s="2056"/>
      <c r="ITZ22" s="2057"/>
      <c r="IUA22" s="2057"/>
      <c r="IUB22" s="2056"/>
      <c r="IUC22" s="2057"/>
      <c r="IUD22" s="2057"/>
      <c r="IUE22" s="2056"/>
      <c r="IUF22" s="2057"/>
      <c r="IUG22" s="2057"/>
      <c r="IUH22" s="2056"/>
      <c r="IUI22" s="2057"/>
      <c r="IUJ22" s="2057"/>
      <c r="IUK22" s="2056"/>
      <c r="IUL22" s="2057"/>
      <c r="IUM22" s="2057"/>
      <c r="IUN22" s="2056"/>
      <c r="IUO22" s="2057"/>
      <c r="IUP22" s="2057"/>
      <c r="IUQ22" s="2056"/>
      <c r="IUR22" s="2057"/>
      <c r="IUS22" s="2057"/>
      <c r="IUT22" s="2056"/>
      <c r="IUU22" s="2057"/>
      <c r="IUV22" s="2057"/>
      <c r="IUW22" s="2056"/>
      <c r="IUX22" s="2057"/>
      <c r="IUY22" s="2057"/>
      <c r="IUZ22" s="2056"/>
      <c r="IVA22" s="2057"/>
      <c r="IVB22" s="2057"/>
      <c r="IVC22" s="2056"/>
      <c r="IVD22" s="2057"/>
      <c r="IVE22" s="2057"/>
      <c r="IVF22" s="2056"/>
      <c r="IVG22" s="2057"/>
      <c r="IVH22" s="2057"/>
      <c r="IVI22" s="2056"/>
      <c r="IVJ22" s="2057"/>
      <c r="IVK22" s="2057"/>
      <c r="IVL22" s="2056"/>
      <c r="IVM22" s="2057"/>
      <c r="IVN22" s="2057"/>
      <c r="IVO22" s="2056"/>
      <c r="IVP22" s="2057"/>
      <c r="IVQ22" s="2057"/>
      <c r="IVR22" s="2056"/>
      <c r="IVS22" s="2057"/>
      <c r="IVT22" s="2057"/>
      <c r="IVU22" s="2056"/>
      <c r="IVV22" s="2057"/>
      <c r="IVW22" s="2057"/>
      <c r="IVX22" s="2056"/>
      <c r="IVY22" s="2057"/>
      <c r="IVZ22" s="2057"/>
      <c r="IWA22" s="2056"/>
      <c r="IWB22" s="2057"/>
      <c r="IWC22" s="2057"/>
      <c r="IWD22" s="2056"/>
      <c r="IWE22" s="2057"/>
      <c r="IWF22" s="2057"/>
      <c r="IWG22" s="2056"/>
      <c r="IWH22" s="2057"/>
      <c r="IWI22" s="2057"/>
      <c r="IWJ22" s="2056"/>
      <c r="IWK22" s="2057"/>
      <c r="IWL22" s="2057"/>
      <c r="IWM22" s="2056"/>
      <c r="IWN22" s="2057"/>
      <c r="IWO22" s="2057"/>
      <c r="IWP22" s="2056"/>
      <c r="IWQ22" s="2057"/>
      <c r="IWR22" s="2057"/>
      <c r="IWS22" s="2056"/>
      <c r="IWT22" s="2057"/>
      <c r="IWU22" s="2057"/>
      <c r="IWV22" s="2056"/>
      <c r="IWW22" s="2057"/>
      <c r="IWX22" s="2057"/>
      <c r="IWY22" s="2056"/>
      <c r="IWZ22" s="2057"/>
      <c r="IXA22" s="2057"/>
      <c r="IXB22" s="2056"/>
      <c r="IXC22" s="2057"/>
      <c r="IXD22" s="2057"/>
      <c r="IXE22" s="2056"/>
      <c r="IXF22" s="2057"/>
      <c r="IXG22" s="2057"/>
      <c r="IXH22" s="2056"/>
      <c r="IXI22" s="2057"/>
      <c r="IXJ22" s="2057"/>
      <c r="IXK22" s="2056"/>
      <c r="IXL22" s="2057"/>
      <c r="IXM22" s="2057"/>
      <c r="IXN22" s="2056"/>
      <c r="IXO22" s="2057"/>
      <c r="IXP22" s="2057"/>
      <c r="IXQ22" s="2056"/>
      <c r="IXR22" s="2057"/>
      <c r="IXS22" s="2057"/>
      <c r="IXT22" s="2056"/>
      <c r="IXU22" s="2057"/>
      <c r="IXV22" s="2057"/>
      <c r="IXW22" s="2056"/>
      <c r="IXX22" s="2057"/>
      <c r="IXY22" s="2057"/>
      <c r="IXZ22" s="2056"/>
      <c r="IYA22" s="2057"/>
      <c r="IYB22" s="2057"/>
      <c r="IYC22" s="2056"/>
      <c r="IYD22" s="2057"/>
      <c r="IYE22" s="2057"/>
      <c r="IYF22" s="2056"/>
      <c r="IYG22" s="2057"/>
      <c r="IYH22" s="2057"/>
      <c r="IYI22" s="2056"/>
      <c r="IYJ22" s="2057"/>
      <c r="IYK22" s="2057"/>
      <c r="IYL22" s="2056"/>
      <c r="IYM22" s="2057"/>
      <c r="IYN22" s="2057"/>
      <c r="IYO22" s="2056"/>
      <c r="IYP22" s="2057"/>
      <c r="IYQ22" s="2057"/>
      <c r="IYR22" s="2056"/>
      <c r="IYS22" s="2057"/>
      <c r="IYT22" s="2057"/>
      <c r="IYU22" s="2056"/>
      <c r="IYV22" s="2057"/>
      <c r="IYW22" s="2057"/>
      <c r="IYX22" s="2056"/>
      <c r="IYY22" s="2057"/>
      <c r="IYZ22" s="2057"/>
      <c r="IZA22" s="2056"/>
      <c r="IZB22" s="2057"/>
      <c r="IZC22" s="2057"/>
      <c r="IZD22" s="2056"/>
      <c r="IZE22" s="2057"/>
      <c r="IZF22" s="2057"/>
      <c r="IZG22" s="2056"/>
      <c r="IZH22" s="2057"/>
      <c r="IZI22" s="2057"/>
      <c r="IZJ22" s="2056"/>
      <c r="IZK22" s="2057"/>
      <c r="IZL22" s="2057"/>
      <c r="IZM22" s="2056"/>
      <c r="IZN22" s="2057"/>
      <c r="IZO22" s="2057"/>
      <c r="IZP22" s="2056"/>
      <c r="IZQ22" s="2057"/>
      <c r="IZR22" s="2057"/>
      <c r="IZS22" s="2056"/>
      <c r="IZT22" s="2057"/>
      <c r="IZU22" s="2057"/>
      <c r="IZV22" s="2056"/>
      <c r="IZW22" s="2057"/>
      <c r="IZX22" s="2057"/>
      <c r="IZY22" s="2056"/>
      <c r="IZZ22" s="2057"/>
      <c r="JAA22" s="2057"/>
      <c r="JAB22" s="2056"/>
      <c r="JAC22" s="2057"/>
      <c r="JAD22" s="2057"/>
      <c r="JAE22" s="2056"/>
      <c r="JAF22" s="2057"/>
      <c r="JAG22" s="2057"/>
      <c r="JAH22" s="2056"/>
      <c r="JAI22" s="2057"/>
      <c r="JAJ22" s="2057"/>
      <c r="JAK22" s="2056"/>
      <c r="JAL22" s="2057"/>
      <c r="JAM22" s="2057"/>
      <c r="JAN22" s="2056"/>
      <c r="JAO22" s="2057"/>
      <c r="JAP22" s="2057"/>
      <c r="JAQ22" s="2056"/>
      <c r="JAR22" s="2057"/>
      <c r="JAS22" s="2057"/>
      <c r="JAT22" s="2056"/>
      <c r="JAU22" s="2057"/>
      <c r="JAV22" s="2057"/>
      <c r="JAW22" s="2056"/>
      <c r="JAX22" s="2057"/>
      <c r="JAY22" s="2057"/>
      <c r="JAZ22" s="2056"/>
      <c r="JBA22" s="2057"/>
      <c r="JBB22" s="2057"/>
      <c r="JBC22" s="2056"/>
      <c r="JBD22" s="2057"/>
      <c r="JBE22" s="2057"/>
      <c r="JBF22" s="2056"/>
      <c r="JBG22" s="2057"/>
      <c r="JBH22" s="2057"/>
      <c r="JBI22" s="2056"/>
      <c r="JBJ22" s="2057"/>
      <c r="JBK22" s="2057"/>
      <c r="JBL22" s="2056"/>
      <c r="JBM22" s="2057"/>
      <c r="JBN22" s="2057"/>
      <c r="JBO22" s="2056"/>
      <c r="JBP22" s="2057"/>
      <c r="JBQ22" s="2057"/>
      <c r="JBR22" s="2056"/>
      <c r="JBS22" s="2057"/>
      <c r="JBT22" s="2057"/>
      <c r="JBU22" s="2056"/>
      <c r="JBV22" s="2057"/>
      <c r="JBW22" s="2057"/>
      <c r="JBX22" s="2056"/>
      <c r="JBY22" s="2057"/>
      <c r="JBZ22" s="2057"/>
      <c r="JCA22" s="2056"/>
      <c r="JCB22" s="2057"/>
      <c r="JCC22" s="2057"/>
      <c r="JCD22" s="2056"/>
      <c r="JCE22" s="2057"/>
      <c r="JCF22" s="2057"/>
      <c r="JCG22" s="2056"/>
      <c r="JCH22" s="2057"/>
      <c r="JCI22" s="2057"/>
      <c r="JCJ22" s="2056"/>
      <c r="JCK22" s="2057"/>
      <c r="JCL22" s="2057"/>
      <c r="JCM22" s="2056"/>
      <c r="JCN22" s="2057"/>
      <c r="JCO22" s="2057"/>
      <c r="JCP22" s="2056"/>
      <c r="JCQ22" s="2057"/>
      <c r="JCR22" s="2057"/>
      <c r="JCS22" s="2056"/>
      <c r="JCT22" s="2057"/>
      <c r="JCU22" s="2057"/>
      <c r="JCV22" s="2056"/>
      <c r="JCW22" s="2057"/>
      <c r="JCX22" s="2057"/>
      <c r="JCY22" s="2056"/>
      <c r="JCZ22" s="2057"/>
      <c r="JDA22" s="2057"/>
      <c r="JDB22" s="2056"/>
      <c r="JDC22" s="2057"/>
      <c r="JDD22" s="2057"/>
      <c r="JDE22" s="2056"/>
      <c r="JDF22" s="2057"/>
      <c r="JDG22" s="2057"/>
      <c r="JDH22" s="2056"/>
      <c r="JDI22" s="2057"/>
      <c r="JDJ22" s="2057"/>
      <c r="JDK22" s="2056"/>
      <c r="JDL22" s="2057"/>
      <c r="JDM22" s="2057"/>
      <c r="JDN22" s="2056"/>
      <c r="JDO22" s="2057"/>
      <c r="JDP22" s="2057"/>
      <c r="JDQ22" s="2056"/>
      <c r="JDR22" s="2057"/>
      <c r="JDS22" s="2057"/>
      <c r="JDT22" s="2056"/>
      <c r="JDU22" s="2057"/>
      <c r="JDV22" s="2057"/>
      <c r="JDW22" s="2056"/>
      <c r="JDX22" s="2057"/>
      <c r="JDY22" s="2057"/>
      <c r="JDZ22" s="2056"/>
      <c r="JEA22" s="2057"/>
      <c r="JEB22" s="2057"/>
      <c r="JEC22" s="2056"/>
      <c r="JED22" s="2057"/>
      <c r="JEE22" s="2057"/>
      <c r="JEF22" s="2056"/>
      <c r="JEG22" s="2057"/>
      <c r="JEH22" s="2057"/>
      <c r="JEI22" s="2056"/>
      <c r="JEJ22" s="2057"/>
      <c r="JEK22" s="2057"/>
      <c r="JEL22" s="2056"/>
      <c r="JEM22" s="2057"/>
      <c r="JEN22" s="2057"/>
      <c r="JEO22" s="2056"/>
      <c r="JEP22" s="2057"/>
      <c r="JEQ22" s="2057"/>
      <c r="JER22" s="2056"/>
      <c r="JES22" s="2057"/>
      <c r="JET22" s="2057"/>
      <c r="JEU22" s="2056"/>
      <c r="JEV22" s="2057"/>
      <c r="JEW22" s="2057"/>
      <c r="JEX22" s="2056"/>
      <c r="JEY22" s="2057"/>
      <c r="JEZ22" s="2057"/>
      <c r="JFA22" s="2056"/>
      <c r="JFB22" s="2057"/>
      <c r="JFC22" s="2057"/>
      <c r="JFD22" s="2056"/>
      <c r="JFE22" s="2057"/>
      <c r="JFF22" s="2057"/>
      <c r="JFG22" s="2056"/>
      <c r="JFH22" s="2057"/>
      <c r="JFI22" s="2057"/>
      <c r="JFJ22" s="2056"/>
      <c r="JFK22" s="2057"/>
      <c r="JFL22" s="2057"/>
      <c r="JFM22" s="2056"/>
      <c r="JFN22" s="2057"/>
      <c r="JFO22" s="2057"/>
      <c r="JFP22" s="2056"/>
      <c r="JFQ22" s="2057"/>
      <c r="JFR22" s="2057"/>
      <c r="JFS22" s="2056"/>
      <c r="JFT22" s="2057"/>
      <c r="JFU22" s="2057"/>
      <c r="JFV22" s="2056"/>
      <c r="JFW22" s="2057"/>
      <c r="JFX22" s="2057"/>
      <c r="JFY22" s="2056"/>
      <c r="JFZ22" s="2057"/>
      <c r="JGA22" s="2057"/>
      <c r="JGB22" s="2056"/>
      <c r="JGC22" s="2057"/>
      <c r="JGD22" s="2057"/>
      <c r="JGE22" s="2056"/>
      <c r="JGF22" s="2057"/>
      <c r="JGG22" s="2057"/>
      <c r="JGH22" s="2056"/>
      <c r="JGI22" s="2057"/>
      <c r="JGJ22" s="2057"/>
      <c r="JGK22" s="2056"/>
      <c r="JGL22" s="2057"/>
      <c r="JGM22" s="2057"/>
      <c r="JGN22" s="2056"/>
      <c r="JGO22" s="2057"/>
      <c r="JGP22" s="2057"/>
      <c r="JGQ22" s="2056"/>
      <c r="JGR22" s="2057"/>
      <c r="JGS22" s="2057"/>
      <c r="JGT22" s="2056"/>
      <c r="JGU22" s="2057"/>
      <c r="JGV22" s="2057"/>
      <c r="JGW22" s="2056"/>
      <c r="JGX22" s="2057"/>
      <c r="JGY22" s="2057"/>
      <c r="JGZ22" s="2056"/>
      <c r="JHA22" s="2057"/>
      <c r="JHB22" s="2057"/>
      <c r="JHC22" s="2056"/>
      <c r="JHD22" s="2057"/>
      <c r="JHE22" s="2057"/>
      <c r="JHF22" s="2056"/>
      <c r="JHG22" s="2057"/>
      <c r="JHH22" s="2057"/>
      <c r="JHI22" s="2056"/>
      <c r="JHJ22" s="2057"/>
      <c r="JHK22" s="2057"/>
      <c r="JHL22" s="2056"/>
      <c r="JHM22" s="2057"/>
      <c r="JHN22" s="2057"/>
      <c r="JHO22" s="2056"/>
      <c r="JHP22" s="2057"/>
      <c r="JHQ22" s="2057"/>
      <c r="JHR22" s="2056"/>
      <c r="JHS22" s="2057"/>
      <c r="JHT22" s="2057"/>
      <c r="JHU22" s="2056"/>
      <c r="JHV22" s="2057"/>
      <c r="JHW22" s="2057"/>
      <c r="JHX22" s="2056"/>
      <c r="JHY22" s="2057"/>
      <c r="JHZ22" s="2057"/>
      <c r="JIA22" s="2056"/>
      <c r="JIB22" s="2057"/>
      <c r="JIC22" s="2057"/>
      <c r="JID22" s="2056"/>
      <c r="JIE22" s="2057"/>
      <c r="JIF22" s="2057"/>
      <c r="JIG22" s="2056"/>
      <c r="JIH22" s="2057"/>
      <c r="JII22" s="2057"/>
      <c r="JIJ22" s="2056"/>
      <c r="JIK22" s="2057"/>
      <c r="JIL22" s="2057"/>
      <c r="JIM22" s="2056"/>
      <c r="JIN22" s="2057"/>
      <c r="JIO22" s="2057"/>
      <c r="JIP22" s="2056"/>
      <c r="JIQ22" s="2057"/>
      <c r="JIR22" s="2057"/>
      <c r="JIS22" s="2056"/>
      <c r="JIT22" s="2057"/>
      <c r="JIU22" s="2057"/>
      <c r="JIV22" s="2056"/>
      <c r="JIW22" s="2057"/>
      <c r="JIX22" s="2057"/>
      <c r="JIY22" s="2056"/>
      <c r="JIZ22" s="2057"/>
      <c r="JJA22" s="2057"/>
      <c r="JJB22" s="2056"/>
      <c r="JJC22" s="2057"/>
      <c r="JJD22" s="2057"/>
      <c r="JJE22" s="2056"/>
      <c r="JJF22" s="2057"/>
      <c r="JJG22" s="2057"/>
      <c r="JJH22" s="2056"/>
      <c r="JJI22" s="2057"/>
      <c r="JJJ22" s="2057"/>
      <c r="JJK22" s="2056"/>
      <c r="JJL22" s="2057"/>
      <c r="JJM22" s="2057"/>
      <c r="JJN22" s="2056"/>
      <c r="JJO22" s="2057"/>
      <c r="JJP22" s="2057"/>
      <c r="JJQ22" s="2056"/>
      <c r="JJR22" s="2057"/>
      <c r="JJS22" s="2057"/>
      <c r="JJT22" s="2056"/>
      <c r="JJU22" s="2057"/>
      <c r="JJV22" s="2057"/>
      <c r="JJW22" s="2056"/>
      <c r="JJX22" s="2057"/>
      <c r="JJY22" s="2057"/>
      <c r="JJZ22" s="2056"/>
      <c r="JKA22" s="2057"/>
      <c r="JKB22" s="2057"/>
      <c r="JKC22" s="2056"/>
      <c r="JKD22" s="2057"/>
      <c r="JKE22" s="2057"/>
      <c r="JKF22" s="2056"/>
      <c r="JKG22" s="2057"/>
      <c r="JKH22" s="2057"/>
      <c r="JKI22" s="2056"/>
      <c r="JKJ22" s="2057"/>
      <c r="JKK22" s="2057"/>
      <c r="JKL22" s="2056"/>
      <c r="JKM22" s="2057"/>
      <c r="JKN22" s="2057"/>
      <c r="JKO22" s="2056"/>
      <c r="JKP22" s="2057"/>
      <c r="JKQ22" s="2057"/>
      <c r="JKR22" s="2056"/>
      <c r="JKS22" s="2057"/>
      <c r="JKT22" s="2057"/>
      <c r="JKU22" s="2056"/>
      <c r="JKV22" s="2057"/>
      <c r="JKW22" s="2057"/>
      <c r="JKX22" s="2056"/>
      <c r="JKY22" s="2057"/>
      <c r="JKZ22" s="2057"/>
      <c r="JLA22" s="2056"/>
      <c r="JLB22" s="2057"/>
      <c r="JLC22" s="2057"/>
      <c r="JLD22" s="2056"/>
      <c r="JLE22" s="2057"/>
      <c r="JLF22" s="2057"/>
      <c r="JLG22" s="2056"/>
      <c r="JLH22" s="2057"/>
      <c r="JLI22" s="2057"/>
      <c r="JLJ22" s="2056"/>
      <c r="JLK22" s="2057"/>
      <c r="JLL22" s="2057"/>
      <c r="JLM22" s="2056"/>
      <c r="JLN22" s="2057"/>
      <c r="JLO22" s="2057"/>
      <c r="JLP22" s="2056"/>
      <c r="JLQ22" s="2057"/>
      <c r="JLR22" s="2057"/>
      <c r="JLS22" s="2056"/>
      <c r="JLT22" s="2057"/>
      <c r="JLU22" s="2057"/>
      <c r="JLV22" s="2056"/>
      <c r="JLW22" s="2057"/>
      <c r="JLX22" s="2057"/>
      <c r="JLY22" s="2056"/>
      <c r="JLZ22" s="2057"/>
      <c r="JMA22" s="2057"/>
      <c r="JMB22" s="2056"/>
      <c r="JMC22" s="2057"/>
      <c r="JMD22" s="2057"/>
      <c r="JME22" s="2056"/>
      <c r="JMF22" s="2057"/>
      <c r="JMG22" s="2057"/>
      <c r="JMH22" s="2056"/>
      <c r="JMI22" s="2057"/>
      <c r="JMJ22" s="2057"/>
      <c r="JMK22" s="2056"/>
      <c r="JML22" s="2057"/>
      <c r="JMM22" s="2057"/>
      <c r="JMN22" s="2056"/>
      <c r="JMO22" s="2057"/>
      <c r="JMP22" s="2057"/>
      <c r="JMQ22" s="2056"/>
      <c r="JMR22" s="2057"/>
      <c r="JMS22" s="2057"/>
      <c r="JMT22" s="2056"/>
      <c r="JMU22" s="2057"/>
      <c r="JMV22" s="2057"/>
      <c r="JMW22" s="2056"/>
      <c r="JMX22" s="2057"/>
      <c r="JMY22" s="2057"/>
      <c r="JMZ22" s="2056"/>
      <c r="JNA22" s="2057"/>
      <c r="JNB22" s="2057"/>
      <c r="JNC22" s="2056"/>
      <c r="JND22" s="2057"/>
      <c r="JNE22" s="2057"/>
      <c r="JNF22" s="2056"/>
      <c r="JNG22" s="2057"/>
      <c r="JNH22" s="2057"/>
      <c r="JNI22" s="2056"/>
      <c r="JNJ22" s="2057"/>
      <c r="JNK22" s="2057"/>
      <c r="JNL22" s="2056"/>
      <c r="JNM22" s="2057"/>
      <c r="JNN22" s="2057"/>
      <c r="JNO22" s="2056"/>
      <c r="JNP22" s="2057"/>
      <c r="JNQ22" s="2057"/>
      <c r="JNR22" s="2056"/>
      <c r="JNS22" s="2057"/>
      <c r="JNT22" s="2057"/>
      <c r="JNU22" s="2056"/>
      <c r="JNV22" s="2057"/>
      <c r="JNW22" s="2057"/>
      <c r="JNX22" s="2056"/>
      <c r="JNY22" s="2057"/>
      <c r="JNZ22" s="2057"/>
      <c r="JOA22" s="2056"/>
      <c r="JOB22" s="2057"/>
      <c r="JOC22" s="2057"/>
      <c r="JOD22" s="2056"/>
      <c r="JOE22" s="2057"/>
      <c r="JOF22" s="2057"/>
      <c r="JOG22" s="2056"/>
      <c r="JOH22" s="2057"/>
      <c r="JOI22" s="2057"/>
      <c r="JOJ22" s="2056"/>
      <c r="JOK22" s="2057"/>
      <c r="JOL22" s="2057"/>
      <c r="JOM22" s="2056"/>
      <c r="JON22" s="2057"/>
      <c r="JOO22" s="2057"/>
      <c r="JOP22" s="2056"/>
      <c r="JOQ22" s="2057"/>
      <c r="JOR22" s="2057"/>
      <c r="JOS22" s="2056"/>
      <c r="JOT22" s="2057"/>
      <c r="JOU22" s="2057"/>
      <c r="JOV22" s="2056"/>
      <c r="JOW22" s="2057"/>
      <c r="JOX22" s="2057"/>
      <c r="JOY22" s="2056"/>
      <c r="JOZ22" s="2057"/>
      <c r="JPA22" s="2057"/>
      <c r="JPB22" s="2056"/>
      <c r="JPC22" s="2057"/>
      <c r="JPD22" s="2057"/>
      <c r="JPE22" s="2056"/>
      <c r="JPF22" s="2057"/>
      <c r="JPG22" s="2057"/>
      <c r="JPH22" s="2056"/>
      <c r="JPI22" s="2057"/>
      <c r="JPJ22" s="2057"/>
      <c r="JPK22" s="2056"/>
      <c r="JPL22" s="2057"/>
      <c r="JPM22" s="2057"/>
      <c r="JPN22" s="2056"/>
      <c r="JPO22" s="2057"/>
      <c r="JPP22" s="2057"/>
      <c r="JPQ22" s="2056"/>
      <c r="JPR22" s="2057"/>
      <c r="JPS22" s="2057"/>
      <c r="JPT22" s="2056"/>
      <c r="JPU22" s="2057"/>
      <c r="JPV22" s="2057"/>
      <c r="JPW22" s="2056"/>
      <c r="JPX22" s="2057"/>
      <c r="JPY22" s="2057"/>
      <c r="JPZ22" s="2056"/>
      <c r="JQA22" s="2057"/>
      <c r="JQB22" s="2057"/>
      <c r="JQC22" s="2056"/>
      <c r="JQD22" s="2057"/>
      <c r="JQE22" s="2057"/>
      <c r="JQF22" s="2056"/>
      <c r="JQG22" s="2057"/>
      <c r="JQH22" s="2057"/>
      <c r="JQI22" s="2056"/>
      <c r="JQJ22" s="2057"/>
      <c r="JQK22" s="2057"/>
      <c r="JQL22" s="2056"/>
      <c r="JQM22" s="2057"/>
      <c r="JQN22" s="2057"/>
      <c r="JQO22" s="2056"/>
      <c r="JQP22" s="2057"/>
      <c r="JQQ22" s="2057"/>
      <c r="JQR22" s="2056"/>
      <c r="JQS22" s="2057"/>
      <c r="JQT22" s="2057"/>
      <c r="JQU22" s="2056"/>
      <c r="JQV22" s="2057"/>
      <c r="JQW22" s="2057"/>
      <c r="JQX22" s="2056"/>
      <c r="JQY22" s="2057"/>
      <c r="JQZ22" s="2057"/>
      <c r="JRA22" s="2056"/>
      <c r="JRB22" s="2057"/>
      <c r="JRC22" s="2057"/>
      <c r="JRD22" s="2056"/>
      <c r="JRE22" s="2057"/>
      <c r="JRF22" s="2057"/>
      <c r="JRG22" s="2056"/>
      <c r="JRH22" s="2057"/>
      <c r="JRI22" s="2057"/>
      <c r="JRJ22" s="2056"/>
      <c r="JRK22" s="2057"/>
      <c r="JRL22" s="2057"/>
      <c r="JRM22" s="2056"/>
      <c r="JRN22" s="2057"/>
      <c r="JRO22" s="2057"/>
      <c r="JRP22" s="2056"/>
      <c r="JRQ22" s="2057"/>
      <c r="JRR22" s="2057"/>
      <c r="JRS22" s="2056"/>
      <c r="JRT22" s="2057"/>
      <c r="JRU22" s="2057"/>
      <c r="JRV22" s="2056"/>
      <c r="JRW22" s="2057"/>
      <c r="JRX22" s="2057"/>
      <c r="JRY22" s="2056"/>
      <c r="JRZ22" s="2057"/>
      <c r="JSA22" s="2057"/>
      <c r="JSB22" s="2056"/>
      <c r="JSC22" s="2057"/>
      <c r="JSD22" s="2057"/>
      <c r="JSE22" s="2056"/>
      <c r="JSF22" s="2057"/>
      <c r="JSG22" s="2057"/>
      <c r="JSH22" s="2056"/>
      <c r="JSI22" s="2057"/>
      <c r="JSJ22" s="2057"/>
      <c r="JSK22" s="2056"/>
      <c r="JSL22" s="2057"/>
      <c r="JSM22" s="2057"/>
      <c r="JSN22" s="2056"/>
      <c r="JSO22" s="2057"/>
      <c r="JSP22" s="2057"/>
      <c r="JSQ22" s="2056"/>
      <c r="JSR22" s="2057"/>
      <c r="JSS22" s="2057"/>
      <c r="JST22" s="2056"/>
      <c r="JSU22" s="2057"/>
      <c r="JSV22" s="2057"/>
      <c r="JSW22" s="2056"/>
      <c r="JSX22" s="2057"/>
      <c r="JSY22" s="2057"/>
      <c r="JSZ22" s="2056"/>
      <c r="JTA22" s="2057"/>
      <c r="JTB22" s="2057"/>
      <c r="JTC22" s="2056"/>
      <c r="JTD22" s="2057"/>
      <c r="JTE22" s="2057"/>
      <c r="JTF22" s="2056"/>
      <c r="JTG22" s="2057"/>
      <c r="JTH22" s="2057"/>
      <c r="JTI22" s="2056"/>
      <c r="JTJ22" s="2057"/>
      <c r="JTK22" s="2057"/>
      <c r="JTL22" s="2056"/>
      <c r="JTM22" s="2057"/>
      <c r="JTN22" s="2057"/>
      <c r="JTO22" s="2056"/>
      <c r="JTP22" s="2057"/>
      <c r="JTQ22" s="2057"/>
      <c r="JTR22" s="2056"/>
      <c r="JTS22" s="2057"/>
      <c r="JTT22" s="2057"/>
      <c r="JTU22" s="2056"/>
      <c r="JTV22" s="2057"/>
      <c r="JTW22" s="2057"/>
      <c r="JTX22" s="2056"/>
      <c r="JTY22" s="2057"/>
      <c r="JTZ22" s="2057"/>
      <c r="JUA22" s="2056"/>
      <c r="JUB22" s="2057"/>
      <c r="JUC22" s="2057"/>
      <c r="JUD22" s="2056"/>
      <c r="JUE22" s="2057"/>
      <c r="JUF22" s="2057"/>
      <c r="JUG22" s="2056"/>
      <c r="JUH22" s="2057"/>
      <c r="JUI22" s="2057"/>
      <c r="JUJ22" s="2056"/>
      <c r="JUK22" s="2057"/>
      <c r="JUL22" s="2057"/>
      <c r="JUM22" s="2056"/>
      <c r="JUN22" s="2057"/>
      <c r="JUO22" s="2057"/>
      <c r="JUP22" s="2056"/>
      <c r="JUQ22" s="2057"/>
      <c r="JUR22" s="2057"/>
      <c r="JUS22" s="2056"/>
      <c r="JUT22" s="2057"/>
      <c r="JUU22" s="2057"/>
      <c r="JUV22" s="2056"/>
      <c r="JUW22" s="2057"/>
      <c r="JUX22" s="2057"/>
      <c r="JUY22" s="2056"/>
      <c r="JUZ22" s="2057"/>
      <c r="JVA22" s="2057"/>
      <c r="JVB22" s="2056"/>
      <c r="JVC22" s="2057"/>
      <c r="JVD22" s="2057"/>
      <c r="JVE22" s="2056"/>
      <c r="JVF22" s="2057"/>
      <c r="JVG22" s="2057"/>
      <c r="JVH22" s="2056"/>
      <c r="JVI22" s="2057"/>
      <c r="JVJ22" s="2057"/>
      <c r="JVK22" s="2056"/>
      <c r="JVL22" s="2057"/>
      <c r="JVM22" s="2057"/>
      <c r="JVN22" s="2056"/>
      <c r="JVO22" s="2057"/>
      <c r="JVP22" s="2057"/>
      <c r="JVQ22" s="2056"/>
      <c r="JVR22" s="2057"/>
      <c r="JVS22" s="2057"/>
      <c r="JVT22" s="2056"/>
      <c r="JVU22" s="2057"/>
      <c r="JVV22" s="2057"/>
      <c r="JVW22" s="2056"/>
      <c r="JVX22" s="2057"/>
      <c r="JVY22" s="2057"/>
      <c r="JVZ22" s="2056"/>
      <c r="JWA22" s="2057"/>
      <c r="JWB22" s="2057"/>
      <c r="JWC22" s="2056"/>
      <c r="JWD22" s="2057"/>
      <c r="JWE22" s="2057"/>
      <c r="JWF22" s="2056"/>
      <c r="JWG22" s="2057"/>
      <c r="JWH22" s="2057"/>
      <c r="JWI22" s="2056"/>
      <c r="JWJ22" s="2057"/>
      <c r="JWK22" s="2057"/>
      <c r="JWL22" s="2056"/>
      <c r="JWM22" s="2057"/>
      <c r="JWN22" s="2057"/>
      <c r="JWO22" s="2056"/>
      <c r="JWP22" s="2057"/>
      <c r="JWQ22" s="2057"/>
      <c r="JWR22" s="2056"/>
      <c r="JWS22" s="2057"/>
      <c r="JWT22" s="2057"/>
      <c r="JWU22" s="2056"/>
      <c r="JWV22" s="2057"/>
      <c r="JWW22" s="2057"/>
      <c r="JWX22" s="2056"/>
      <c r="JWY22" s="2057"/>
      <c r="JWZ22" s="2057"/>
      <c r="JXA22" s="2056"/>
      <c r="JXB22" s="2057"/>
      <c r="JXC22" s="2057"/>
      <c r="JXD22" s="2056"/>
      <c r="JXE22" s="2057"/>
      <c r="JXF22" s="2057"/>
      <c r="JXG22" s="2056"/>
      <c r="JXH22" s="2057"/>
      <c r="JXI22" s="2057"/>
      <c r="JXJ22" s="2056"/>
      <c r="JXK22" s="2057"/>
      <c r="JXL22" s="2057"/>
      <c r="JXM22" s="2056"/>
      <c r="JXN22" s="2057"/>
      <c r="JXO22" s="2057"/>
      <c r="JXP22" s="2056"/>
      <c r="JXQ22" s="2057"/>
      <c r="JXR22" s="2057"/>
      <c r="JXS22" s="2056"/>
      <c r="JXT22" s="2057"/>
      <c r="JXU22" s="2057"/>
      <c r="JXV22" s="2056"/>
      <c r="JXW22" s="2057"/>
      <c r="JXX22" s="2057"/>
      <c r="JXY22" s="2056"/>
      <c r="JXZ22" s="2057"/>
      <c r="JYA22" s="2057"/>
      <c r="JYB22" s="2056"/>
      <c r="JYC22" s="2057"/>
      <c r="JYD22" s="2057"/>
      <c r="JYE22" s="2056"/>
      <c r="JYF22" s="2057"/>
      <c r="JYG22" s="2057"/>
      <c r="JYH22" s="2056"/>
      <c r="JYI22" s="2057"/>
      <c r="JYJ22" s="2057"/>
      <c r="JYK22" s="2056"/>
      <c r="JYL22" s="2057"/>
      <c r="JYM22" s="2057"/>
      <c r="JYN22" s="2056"/>
      <c r="JYO22" s="2057"/>
      <c r="JYP22" s="2057"/>
      <c r="JYQ22" s="2056"/>
      <c r="JYR22" s="2057"/>
      <c r="JYS22" s="2057"/>
      <c r="JYT22" s="2056"/>
      <c r="JYU22" s="2057"/>
      <c r="JYV22" s="2057"/>
      <c r="JYW22" s="2056"/>
      <c r="JYX22" s="2057"/>
      <c r="JYY22" s="2057"/>
      <c r="JYZ22" s="2056"/>
      <c r="JZA22" s="2057"/>
      <c r="JZB22" s="2057"/>
      <c r="JZC22" s="2056"/>
      <c r="JZD22" s="2057"/>
      <c r="JZE22" s="2057"/>
      <c r="JZF22" s="2056"/>
      <c r="JZG22" s="2057"/>
      <c r="JZH22" s="2057"/>
      <c r="JZI22" s="2056"/>
      <c r="JZJ22" s="2057"/>
      <c r="JZK22" s="2057"/>
      <c r="JZL22" s="2056"/>
      <c r="JZM22" s="2057"/>
      <c r="JZN22" s="2057"/>
      <c r="JZO22" s="2056"/>
      <c r="JZP22" s="2057"/>
      <c r="JZQ22" s="2057"/>
      <c r="JZR22" s="2056"/>
      <c r="JZS22" s="2057"/>
      <c r="JZT22" s="2057"/>
      <c r="JZU22" s="2056"/>
      <c r="JZV22" s="2057"/>
      <c r="JZW22" s="2057"/>
      <c r="JZX22" s="2056"/>
      <c r="JZY22" s="2057"/>
      <c r="JZZ22" s="2057"/>
      <c r="KAA22" s="2056"/>
      <c r="KAB22" s="2057"/>
      <c r="KAC22" s="2057"/>
      <c r="KAD22" s="2056"/>
      <c r="KAE22" s="2057"/>
      <c r="KAF22" s="2057"/>
      <c r="KAG22" s="2056"/>
      <c r="KAH22" s="2057"/>
      <c r="KAI22" s="2057"/>
      <c r="KAJ22" s="2056"/>
      <c r="KAK22" s="2057"/>
      <c r="KAL22" s="2057"/>
      <c r="KAM22" s="2056"/>
      <c r="KAN22" s="2057"/>
      <c r="KAO22" s="2057"/>
      <c r="KAP22" s="2056"/>
      <c r="KAQ22" s="2057"/>
      <c r="KAR22" s="2057"/>
      <c r="KAS22" s="2056"/>
      <c r="KAT22" s="2057"/>
      <c r="KAU22" s="2057"/>
      <c r="KAV22" s="2056"/>
      <c r="KAW22" s="2057"/>
      <c r="KAX22" s="2057"/>
      <c r="KAY22" s="2056"/>
      <c r="KAZ22" s="2057"/>
      <c r="KBA22" s="2057"/>
      <c r="KBB22" s="2056"/>
      <c r="KBC22" s="2057"/>
      <c r="KBD22" s="2057"/>
      <c r="KBE22" s="2056"/>
      <c r="KBF22" s="2057"/>
      <c r="KBG22" s="2057"/>
      <c r="KBH22" s="2056"/>
      <c r="KBI22" s="2057"/>
      <c r="KBJ22" s="2057"/>
      <c r="KBK22" s="2056"/>
      <c r="KBL22" s="2057"/>
      <c r="KBM22" s="2057"/>
      <c r="KBN22" s="2056"/>
      <c r="KBO22" s="2057"/>
      <c r="KBP22" s="2057"/>
      <c r="KBQ22" s="2056"/>
      <c r="KBR22" s="2057"/>
      <c r="KBS22" s="2057"/>
      <c r="KBT22" s="2056"/>
      <c r="KBU22" s="2057"/>
      <c r="KBV22" s="2057"/>
      <c r="KBW22" s="2056"/>
      <c r="KBX22" s="2057"/>
      <c r="KBY22" s="2057"/>
      <c r="KBZ22" s="2056"/>
      <c r="KCA22" s="2057"/>
      <c r="KCB22" s="2057"/>
      <c r="KCC22" s="2056"/>
      <c r="KCD22" s="2057"/>
      <c r="KCE22" s="2057"/>
      <c r="KCF22" s="2056"/>
      <c r="KCG22" s="2057"/>
      <c r="KCH22" s="2057"/>
      <c r="KCI22" s="2056"/>
      <c r="KCJ22" s="2057"/>
      <c r="KCK22" s="2057"/>
      <c r="KCL22" s="2056"/>
      <c r="KCM22" s="2057"/>
      <c r="KCN22" s="2057"/>
      <c r="KCO22" s="2056"/>
      <c r="KCP22" s="2057"/>
      <c r="KCQ22" s="2057"/>
      <c r="KCR22" s="2056"/>
      <c r="KCS22" s="2057"/>
      <c r="KCT22" s="2057"/>
      <c r="KCU22" s="2056"/>
      <c r="KCV22" s="2057"/>
      <c r="KCW22" s="2057"/>
      <c r="KCX22" s="2056"/>
      <c r="KCY22" s="2057"/>
      <c r="KCZ22" s="2057"/>
      <c r="KDA22" s="2056"/>
      <c r="KDB22" s="2057"/>
      <c r="KDC22" s="2057"/>
      <c r="KDD22" s="2056"/>
      <c r="KDE22" s="2057"/>
      <c r="KDF22" s="2057"/>
      <c r="KDG22" s="2056"/>
      <c r="KDH22" s="2057"/>
      <c r="KDI22" s="2057"/>
      <c r="KDJ22" s="2056"/>
      <c r="KDK22" s="2057"/>
      <c r="KDL22" s="2057"/>
      <c r="KDM22" s="2056"/>
      <c r="KDN22" s="2057"/>
      <c r="KDO22" s="2057"/>
      <c r="KDP22" s="2056"/>
      <c r="KDQ22" s="2057"/>
      <c r="KDR22" s="2057"/>
      <c r="KDS22" s="2056"/>
      <c r="KDT22" s="2057"/>
      <c r="KDU22" s="2057"/>
      <c r="KDV22" s="2056"/>
      <c r="KDW22" s="2057"/>
      <c r="KDX22" s="2057"/>
      <c r="KDY22" s="2056"/>
      <c r="KDZ22" s="2057"/>
      <c r="KEA22" s="2057"/>
      <c r="KEB22" s="2056"/>
      <c r="KEC22" s="2057"/>
      <c r="KED22" s="2057"/>
      <c r="KEE22" s="2056"/>
      <c r="KEF22" s="2057"/>
      <c r="KEG22" s="2057"/>
      <c r="KEH22" s="2056"/>
      <c r="KEI22" s="2057"/>
      <c r="KEJ22" s="2057"/>
      <c r="KEK22" s="2056"/>
      <c r="KEL22" s="2057"/>
      <c r="KEM22" s="2057"/>
      <c r="KEN22" s="2056"/>
      <c r="KEO22" s="2057"/>
      <c r="KEP22" s="2057"/>
      <c r="KEQ22" s="2056"/>
      <c r="KER22" s="2057"/>
      <c r="KES22" s="2057"/>
      <c r="KET22" s="2056"/>
      <c r="KEU22" s="2057"/>
      <c r="KEV22" s="2057"/>
      <c r="KEW22" s="2056"/>
      <c r="KEX22" s="2057"/>
      <c r="KEY22" s="2057"/>
      <c r="KEZ22" s="2056"/>
      <c r="KFA22" s="2057"/>
      <c r="KFB22" s="2057"/>
      <c r="KFC22" s="2056"/>
      <c r="KFD22" s="2057"/>
      <c r="KFE22" s="2057"/>
      <c r="KFF22" s="2056"/>
      <c r="KFG22" s="2057"/>
      <c r="KFH22" s="2057"/>
      <c r="KFI22" s="2056"/>
      <c r="KFJ22" s="2057"/>
      <c r="KFK22" s="2057"/>
      <c r="KFL22" s="2056"/>
      <c r="KFM22" s="2057"/>
      <c r="KFN22" s="2057"/>
      <c r="KFO22" s="2056"/>
      <c r="KFP22" s="2057"/>
      <c r="KFQ22" s="2057"/>
      <c r="KFR22" s="2056"/>
      <c r="KFS22" s="2057"/>
      <c r="KFT22" s="2057"/>
      <c r="KFU22" s="2056"/>
      <c r="KFV22" s="2057"/>
      <c r="KFW22" s="2057"/>
      <c r="KFX22" s="2056"/>
      <c r="KFY22" s="2057"/>
      <c r="KFZ22" s="2057"/>
      <c r="KGA22" s="2056"/>
      <c r="KGB22" s="2057"/>
      <c r="KGC22" s="2057"/>
      <c r="KGD22" s="2056"/>
      <c r="KGE22" s="2057"/>
      <c r="KGF22" s="2057"/>
      <c r="KGG22" s="2056"/>
      <c r="KGH22" s="2057"/>
      <c r="KGI22" s="2057"/>
      <c r="KGJ22" s="2056"/>
      <c r="KGK22" s="2057"/>
      <c r="KGL22" s="2057"/>
      <c r="KGM22" s="2056"/>
      <c r="KGN22" s="2057"/>
      <c r="KGO22" s="2057"/>
      <c r="KGP22" s="2056"/>
      <c r="KGQ22" s="2057"/>
      <c r="KGR22" s="2057"/>
      <c r="KGS22" s="2056"/>
      <c r="KGT22" s="2057"/>
      <c r="KGU22" s="2057"/>
      <c r="KGV22" s="2056"/>
      <c r="KGW22" s="2057"/>
      <c r="KGX22" s="2057"/>
      <c r="KGY22" s="2056"/>
      <c r="KGZ22" s="2057"/>
      <c r="KHA22" s="2057"/>
      <c r="KHB22" s="2056"/>
      <c r="KHC22" s="2057"/>
      <c r="KHD22" s="2057"/>
      <c r="KHE22" s="2056"/>
      <c r="KHF22" s="2057"/>
      <c r="KHG22" s="2057"/>
      <c r="KHH22" s="2056"/>
      <c r="KHI22" s="2057"/>
      <c r="KHJ22" s="2057"/>
      <c r="KHK22" s="2056"/>
      <c r="KHL22" s="2057"/>
      <c r="KHM22" s="2057"/>
      <c r="KHN22" s="2056"/>
      <c r="KHO22" s="2057"/>
      <c r="KHP22" s="2057"/>
      <c r="KHQ22" s="2056"/>
      <c r="KHR22" s="2057"/>
      <c r="KHS22" s="2057"/>
      <c r="KHT22" s="2056"/>
      <c r="KHU22" s="2057"/>
      <c r="KHV22" s="2057"/>
      <c r="KHW22" s="2056"/>
      <c r="KHX22" s="2057"/>
      <c r="KHY22" s="2057"/>
      <c r="KHZ22" s="2056"/>
      <c r="KIA22" s="2057"/>
      <c r="KIB22" s="2057"/>
      <c r="KIC22" s="2056"/>
      <c r="KID22" s="2057"/>
      <c r="KIE22" s="2057"/>
      <c r="KIF22" s="2056"/>
      <c r="KIG22" s="2057"/>
      <c r="KIH22" s="2057"/>
      <c r="KII22" s="2056"/>
      <c r="KIJ22" s="2057"/>
      <c r="KIK22" s="2057"/>
      <c r="KIL22" s="2056"/>
      <c r="KIM22" s="2057"/>
      <c r="KIN22" s="2057"/>
      <c r="KIO22" s="2056"/>
      <c r="KIP22" s="2057"/>
      <c r="KIQ22" s="2057"/>
      <c r="KIR22" s="2056"/>
      <c r="KIS22" s="2057"/>
      <c r="KIT22" s="2057"/>
      <c r="KIU22" s="2056"/>
      <c r="KIV22" s="2057"/>
      <c r="KIW22" s="2057"/>
      <c r="KIX22" s="2056"/>
      <c r="KIY22" s="2057"/>
      <c r="KIZ22" s="2057"/>
      <c r="KJA22" s="2056"/>
      <c r="KJB22" s="2057"/>
      <c r="KJC22" s="2057"/>
      <c r="KJD22" s="2056"/>
      <c r="KJE22" s="2057"/>
      <c r="KJF22" s="2057"/>
      <c r="KJG22" s="2056"/>
      <c r="KJH22" s="2057"/>
      <c r="KJI22" s="2057"/>
      <c r="KJJ22" s="2056"/>
      <c r="KJK22" s="2057"/>
      <c r="KJL22" s="2057"/>
      <c r="KJM22" s="2056"/>
      <c r="KJN22" s="2057"/>
      <c r="KJO22" s="2057"/>
      <c r="KJP22" s="2056"/>
      <c r="KJQ22" s="2057"/>
      <c r="KJR22" s="2057"/>
      <c r="KJS22" s="2056"/>
      <c r="KJT22" s="2057"/>
      <c r="KJU22" s="2057"/>
      <c r="KJV22" s="2056"/>
      <c r="KJW22" s="2057"/>
      <c r="KJX22" s="2057"/>
      <c r="KJY22" s="2056"/>
      <c r="KJZ22" s="2057"/>
      <c r="KKA22" s="2057"/>
      <c r="KKB22" s="2056"/>
      <c r="KKC22" s="2057"/>
      <c r="KKD22" s="2057"/>
      <c r="KKE22" s="2056"/>
      <c r="KKF22" s="2057"/>
      <c r="KKG22" s="2057"/>
      <c r="KKH22" s="2056"/>
      <c r="KKI22" s="2057"/>
      <c r="KKJ22" s="2057"/>
      <c r="KKK22" s="2056"/>
      <c r="KKL22" s="2057"/>
      <c r="KKM22" s="2057"/>
      <c r="KKN22" s="2056"/>
      <c r="KKO22" s="2057"/>
      <c r="KKP22" s="2057"/>
      <c r="KKQ22" s="2056"/>
      <c r="KKR22" s="2057"/>
      <c r="KKS22" s="2057"/>
      <c r="KKT22" s="2056"/>
      <c r="KKU22" s="2057"/>
      <c r="KKV22" s="2057"/>
      <c r="KKW22" s="2056"/>
      <c r="KKX22" s="2057"/>
      <c r="KKY22" s="2057"/>
      <c r="KKZ22" s="2056"/>
      <c r="KLA22" s="2057"/>
      <c r="KLB22" s="2057"/>
      <c r="KLC22" s="2056"/>
      <c r="KLD22" s="2057"/>
      <c r="KLE22" s="2057"/>
      <c r="KLF22" s="2056"/>
      <c r="KLG22" s="2057"/>
      <c r="KLH22" s="2057"/>
      <c r="KLI22" s="2056"/>
      <c r="KLJ22" s="2057"/>
      <c r="KLK22" s="2057"/>
      <c r="KLL22" s="2056"/>
      <c r="KLM22" s="2057"/>
      <c r="KLN22" s="2057"/>
      <c r="KLO22" s="2056"/>
      <c r="KLP22" s="2057"/>
      <c r="KLQ22" s="2057"/>
      <c r="KLR22" s="2056"/>
      <c r="KLS22" s="2057"/>
      <c r="KLT22" s="2057"/>
      <c r="KLU22" s="2056"/>
      <c r="KLV22" s="2057"/>
      <c r="KLW22" s="2057"/>
      <c r="KLX22" s="2056"/>
      <c r="KLY22" s="2057"/>
      <c r="KLZ22" s="2057"/>
      <c r="KMA22" s="2056"/>
      <c r="KMB22" s="2057"/>
      <c r="KMC22" s="2057"/>
      <c r="KMD22" s="2056"/>
      <c r="KME22" s="2057"/>
      <c r="KMF22" s="2057"/>
      <c r="KMG22" s="2056"/>
      <c r="KMH22" s="2057"/>
      <c r="KMI22" s="2057"/>
      <c r="KMJ22" s="2056"/>
      <c r="KMK22" s="2057"/>
      <c r="KML22" s="2057"/>
      <c r="KMM22" s="2056"/>
      <c r="KMN22" s="2057"/>
      <c r="KMO22" s="2057"/>
      <c r="KMP22" s="2056"/>
      <c r="KMQ22" s="2057"/>
      <c r="KMR22" s="2057"/>
      <c r="KMS22" s="2056"/>
      <c r="KMT22" s="2057"/>
      <c r="KMU22" s="2057"/>
      <c r="KMV22" s="2056"/>
      <c r="KMW22" s="2057"/>
      <c r="KMX22" s="2057"/>
      <c r="KMY22" s="2056"/>
      <c r="KMZ22" s="2057"/>
      <c r="KNA22" s="2057"/>
      <c r="KNB22" s="2056"/>
      <c r="KNC22" s="2057"/>
      <c r="KND22" s="2057"/>
      <c r="KNE22" s="2056"/>
      <c r="KNF22" s="2057"/>
      <c r="KNG22" s="2057"/>
      <c r="KNH22" s="2056"/>
      <c r="KNI22" s="2057"/>
      <c r="KNJ22" s="2057"/>
      <c r="KNK22" s="2056"/>
      <c r="KNL22" s="2057"/>
      <c r="KNM22" s="2057"/>
      <c r="KNN22" s="2056"/>
      <c r="KNO22" s="2057"/>
      <c r="KNP22" s="2057"/>
      <c r="KNQ22" s="2056"/>
      <c r="KNR22" s="2057"/>
      <c r="KNS22" s="2057"/>
      <c r="KNT22" s="2056"/>
      <c r="KNU22" s="2057"/>
      <c r="KNV22" s="2057"/>
      <c r="KNW22" s="2056"/>
      <c r="KNX22" s="2057"/>
      <c r="KNY22" s="2057"/>
      <c r="KNZ22" s="2056"/>
      <c r="KOA22" s="2057"/>
      <c r="KOB22" s="2057"/>
      <c r="KOC22" s="2056"/>
      <c r="KOD22" s="2057"/>
      <c r="KOE22" s="2057"/>
      <c r="KOF22" s="2056"/>
      <c r="KOG22" s="2057"/>
      <c r="KOH22" s="2057"/>
      <c r="KOI22" s="2056"/>
      <c r="KOJ22" s="2057"/>
      <c r="KOK22" s="2057"/>
      <c r="KOL22" s="2056"/>
      <c r="KOM22" s="2057"/>
      <c r="KON22" s="2057"/>
      <c r="KOO22" s="2056"/>
      <c r="KOP22" s="2057"/>
      <c r="KOQ22" s="2057"/>
      <c r="KOR22" s="2056"/>
      <c r="KOS22" s="2057"/>
      <c r="KOT22" s="2057"/>
      <c r="KOU22" s="2056"/>
      <c r="KOV22" s="2057"/>
      <c r="KOW22" s="2057"/>
      <c r="KOX22" s="2056"/>
      <c r="KOY22" s="2057"/>
      <c r="KOZ22" s="2057"/>
      <c r="KPA22" s="2056"/>
      <c r="KPB22" s="2057"/>
      <c r="KPC22" s="2057"/>
      <c r="KPD22" s="2056"/>
      <c r="KPE22" s="2057"/>
      <c r="KPF22" s="2057"/>
      <c r="KPG22" s="2056"/>
      <c r="KPH22" s="2057"/>
      <c r="KPI22" s="2057"/>
      <c r="KPJ22" s="2056"/>
      <c r="KPK22" s="2057"/>
      <c r="KPL22" s="2057"/>
      <c r="KPM22" s="2056"/>
      <c r="KPN22" s="2057"/>
      <c r="KPO22" s="2057"/>
      <c r="KPP22" s="2056"/>
      <c r="KPQ22" s="2057"/>
      <c r="KPR22" s="2057"/>
      <c r="KPS22" s="2056"/>
      <c r="KPT22" s="2057"/>
      <c r="KPU22" s="2057"/>
      <c r="KPV22" s="2056"/>
      <c r="KPW22" s="2057"/>
      <c r="KPX22" s="2057"/>
      <c r="KPY22" s="2056"/>
      <c r="KPZ22" s="2057"/>
      <c r="KQA22" s="2057"/>
      <c r="KQB22" s="2056"/>
      <c r="KQC22" s="2057"/>
      <c r="KQD22" s="2057"/>
      <c r="KQE22" s="2056"/>
      <c r="KQF22" s="2057"/>
      <c r="KQG22" s="2057"/>
      <c r="KQH22" s="2056"/>
      <c r="KQI22" s="2057"/>
      <c r="KQJ22" s="2057"/>
      <c r="KQK22" s="2056"/>
      <c r="KQL22" s="2057"/>
      <c r="KQM22" s="2057"/>
      <c r="KQN22" s="2056"/>
      <c r="KQO22" s="2057"/>
      <c r="KQP22" s="2057"/>
      <c r="KQQ22" s="2056"/>
      <c r="KQR22" s="2057"/>
      <c r="KQS22" s="2057"/>
      <c r="KQT22" s="2056"/>
      <c r="KQU22" s="2057"/>
      <c r="KQV22" s="2057"/>
      <c r="KQW22" s="2056"/>
      <c r="KQX22" s="2057"/>
      <c r="KQY22" s="2057"/>
      <c r="KQZ22" s="2056"/>
      <c r="KRA22" s="2057"/>
      <c r="KRB22" s="2057"/>
      <c r="KRC22" s="2056"/>
      <c r="KRD22" s="2057"/>
      <c r="KRE22" s="2057"/>
      <c r="KRF22" s="2056"/>
      <c r="KRG22" s="2057"/>
      <c r="KRH22" s="2057"/>
      <c r="KRI22" s="2056"/>
      <c r="KRJ22" s="2057"/>
      <c r="KRK22" s="2057"/>
      <c r="KRL22" s="2056"/>
      <c r="KRM22" s="2057"/>
      <c r="KRN22" s="2057"/>
      <c r="KRO22" s="2056"/>
      <c r="KRP22" s="2057"/>
      <c r="KRQ22" s="2057"/>
      <c r="KRR22" s="2056"/>
      <c r="KRS22" s="2057"/>
      <c r="KRT22" s="2057"/>
      <c r="KRU22" s="2056"/>
      <c r="KRV22" s="2057"/>
      <c r="KRW22" s="2057"/>
      <c r="KRX22" s="2056"/>
      <c r="KRY22" s="2057"/>
      <c r="KRZ22" s="2057"/>
      <c r="KSA22" s="2056"/>
      <c r="KSB22" s="2057"/>
      <c r="KSC22" s="2057"/>
      <c r="KSD22" s="2056"/>
      <c r="KSE22" s="2057"/>
      <c r="KSF22" s="2057"/>
      <c r="KSG22" s="2056"/>
      <c r="KSH22" s="2057"/>
      <c r="KSI22" s="2057"/>
      <c r="KSJ22" s="2056"/>
      <c r="KSK22" s="2057"/>
      <c r="KSL22" s="2057"/>
      <c r="KSM22" s="2056"/>
      <c r="KSN22" s="2057"/>
      <c r="KSO22" s="2057"/>
      <c r="KSP22" s="2056"/>
      <c r="KSQ22" s="2057"/>
      <c r="KSR22" s="2057"/>
      <c r="KSS22" s="2056"/>
      <c r="KST22" s="2057"/>
      <c r="KSU22" s="2057"/>
      <c r="KSV22" s="2056"/>
      <c r="KSW22" s="2057"/>
      <c r="KSX22" s="2057"/>
      <c r="KSY22" s="2056"/>
      <c r="KSZ22" s="2057"/>
      <c r="KTA22" s="2057"/>
      <c r="KTB22" s="2056"/>
      <c r="KTC22" s="2057"/>
      <c r="KTD22" s="2057"/>
      <c r="KTE22" s="2056"/>
      <c r="KTF22" s="2057"/>
      <c r="KTG22" s="2057"/>
      <c r="KTH22" s="2056"/>
      <c r="KTI22" s="2057"/>
      <c r="KTJ22" s="2057"/>
      <c r="KTK22" s="2056"/>
      <c r="KTL22" s="2057"/>
      <c r="KTM22" s="2057"/>
      <c r="KTN22" s="2056"/>
      <c r="KTO22" s="2057"/>
      <c r="KTP22" s="2057"/>
      <c r="KTQ22" s="2056"/>
      <c r="KTR22" s="2057"/>
      <c r="KTS22" s="2057"/>
      <c r="KTT22" s="2056"/>
      <c r="KTU22" s="2057"/>
      <c r="KTV22" s="2057"/>
      <c r="KTW22" s="2056"/>
      <c r="KTX22" s="2057"/>
      <c r="KTY22" s="2057"/>
      <c r="KTZ22" s="2056"/>
      <c r="KUA22" s="2057"/>
      <c r="KUB22" s="2057"/>
      <c r="KUC22" s="2056"/>
      <c r="KUD22" s="2057"/>
      <c r="KUE22" s="2057"/>
      <c r="KUF22" s="2056"/>
      <c r="KUG22" s="2057"/>
      <c r="KUH22" s="2057"/>
      <c r="KUI22" s="2056"/>
      <c r="KUJ22" s="2057"/>
      <c r="KUK22" s="2057"/>
      <c r="KUL22" s="2056"/>
      <c r="KUM22" s="2057"/>
      <c r="KUN22" s="2057"/>
      <c r="KUO22" s="2056"/>
      <c r="KUP22" s="2057"/>
      <c r="KUQ22" s="2057"/>
      <c r="KUR22" s="2056"/>
      <c r="KUS22" s="2057"/>
      <c r="KUT22" s="2057"/>
      <c r="KUU22" s="2056"/>
      <c r="KUV22" s="2057"/>
      <c r="KUW22" s="2057"/>
      <c r="KUX22" s="2056"/>
      <c r="KUY22" s="2057"/>
      <c r="KUZ22" s="2057"/>
      <c r="KVA22" s="2056"/>
      <c r="KVB22" s="2057"/>
      <c r="KVC22" s="2057"/>
      <c r="KVD22" s="2056"/>
      <c r="KVE22" s="2057"/>
      <c r="KVF22" s="2057"/>
      <c r="KVG22" s="2056"/>
      <c r="KVH22" s="2057"/>
      <c r="KVI22" s="2057"/>
      <c r="KVJ22" s="2056"/>
      <c r="KVK22" s="2057"/>
      <c r="KVL22" s="2057"/>
      <c r="KVM22" s="2056"/>
      <c r="KVN22" s="2057"/>
      <c r="KVO22" s="2057"/>
      <c r="KVP22" s="2056"/>
      <c r="KVQ22" s="2057"/>
      <c r="KVR22" s="2057"/>
      <c r="KVS22" s="2056"/>
      <c r="KVT22" s="2057"/>
      <c r="KVU22" s="2057"/>
      <c r="KVV22" s="2056"/>
      <c r="KVW22" s="2057"/>
      <c r="KVX22" s="2057"/>
      <c r="KVY22" s="2056"/>
      <c r="KVZ22" s="2057"/>
      <c r="KWA22" s="2057"/>
      <c r="KWB22" s="2056"/>
      <c r="KWC22" s="2057"/>
      <c r="KWD22" s="2057"/>
      <c r="KWE22" s="2056"/>
      <c r="KWF22" s="2057"/>
      <c r="KWG22" s="2057"/>
      <c r="KWH22" s="2056"/>
      <c r="KWI22" s="2057"/>
      <c r="KWJ22" s="2057"/>
      <c r="KWK22" s="2056"/>
      <c r="KWL22" s="2057"/>
      <c r="KWM22" s="2057"/>
      <c r="KWN22" s="2056"/>
      <c r="KWO22" s="2057"/>
      <c r="KWP22" s="2057"/>
      <c r="KWQ22" s="2056"/>
      <c r="KWR22" s="2057"/>
      <c r="KWS22" s="2057"/>
      <c r="KWT22" s="2056"/>
      <c r="KWU22" s="2057"/>
      <c r="KWV22" s="2057"/>
      <c r="KWW22" s="2056"/>
      <c r="KWX22" s="2057"/>
      <c r="KWY22" s="2057"/>
      <c r="KWZ22" s="2056"/>
      <c r="KXA22" s="2057"/>
      <c r="KXB22" s="2057"/>
      <c r="KXC22" s="2056"/>
      <c r="KXD22" s="2057"/>
      <c r="KXE22" s="2057"/>
      <c r="KXF22" s="2056"/>
      <c r="KXG22" s="2057"/>
      <c r="KXH22" s="2057"/>
      <c r="KXI22" s="2056"/>
      <c r="KXJ22" s="2057"/>
      <c r="KXK22" s="2057"/>
      <c r="KXL22" s="2056"/>
      <c r="KXM22" s="2057"/>
      <c r="KXN22" s="2057"/>
      <c r="KXO22" s="2056"/>
      <c r="KXP22" s="2057"/>
      <c r="KXQ22" s="2057"/>
      <c r="KXR22" s="2056"/>
      <c r="KXS22" s="2057"/>
      <c r="KXT22" s="2057"/>
      <c r="KXU22" s="2056"/>
      <c r="KXV22" s="2057"/>
      <c r="KXW22" s="2057"/>
      <c r="KXX22" s="2056"/>
      <c r="KXY22" s="2057"/>
      <c r="KXZ22" s="2057"/>
      <c r="KYA22" s="2056"/>
      <c r="KYB22" s="2057"/>
      <c r="KYC22" s="2057"/>
      <c r="KYD22" s="2056"/>
      <c r="KYE22" s="2057"/>
      <c r="KYF22" s="2057"/>
      <c r="KYG22" s="2056"/>
      <c r="KYH22" s="2057"/>
      <c r="KYI22" s="2057"/>
      <c r="KYJ22" s="2056"/>
      <c r="KYK22" s="2057"/>
      <c r="KYL22" s="2057"/>
      <c r="KYM22" s="2056"/>
      <c r="KYN22" s="2057"/>
      <c r="KYO22" s="2057"/>
      <c r="KYP22" s="2056"/>
      <c r="KYQ22" s="2057"/>
      <c r="KYR22" s="2057"/>
      <c r="KYS22" s="2056"/>
      <c r="KYT22" s="2057"/>
      <c r="KYU22" s="2057"/>
      <c r="KYV22" s="2056"/>
      <c r="KYW22" s="2057"/>
      <c r="KYX22" s="2057"/>
      <c r="KYY22" s="2056"/>
      <c r="KYZ22" s="2057"/>
      <c r="KZA22" s="2057"/>
      <c r="KZB22" s="2056"/>
      <c r="KZC22" s="2057"/>
      <c r="KZD22" s="2057"/>
      <c r="KZE22" s="2056"/>
      <c r="KZF22" s="2057"/>
      <c r="KZG22" s="2057"/>
      <c r="KZH22" s="2056"/>
      <c r="KZI22" s="2057"/>
      <c r="KZJ22" s="2057"/>
      <c r="KZK22" s="2056"/>
      <c r="KZL22" s="2057"/>
      <c r="KZM22" s="2057"/>
      <c r="KZN22" s="2056"/>
      <c r="KZO22" s="2057"/>
      <c r="KZP22" s="2057"/>
      <c r="KZQ22" s="2056"/>
      <c r="KZR22" s="2057"/>
      <c r="KZS22" s="2057"/>
      <c r="KZT22" s="2056"/>
      <c r="KZU22" s="2057"/>
      <c r="KZV22" s="2057"/>
      <c r="KZW22" s="2056"/>
      <c r="KZX22" s="2057"/>
      <c r="KZY22" s="2057"/>
      <c r="KZZ22" s="2056"/>
      <c r="LAA22" s="2057"/>
      <c r="LAB22" s="2057"/>
      <c r="LAC22" s="2056"/>
      <c r="LAD22" s="2057"/>
      <c r="LAE22" s="2057"/>
      <c r="LAF22" s="2056"/>
      <c r="LAG22" s="2057"/>
      <c r="LAH22" s="2057"/>
      <c r="LAI22" s="2056"/>
      <c r="LAJ22" s="2057"/>
      <c r="LAK22" s="2057"/>
      <c r="LAL22" s="2056"/>
      <c r="LAM22" s="2057"/>
      <c r="LAN22" s="2057"/>
      <c r="LAO22" s="2056"/>
      <c r="LAP22" s="2057"/>
      <c r="LAQ22" s="2057"/>
      <c r="LAR22" s="2056"/>
      <c r="LAS22" s="2057"/>
      <c r="LAT22" s="2057"/>
      <c r="LAU22" s="2056"/>
      <c r="LAV22" s="2057"/>
      <c r="LAW22" s="2057"/>
      <c r="LAX22" s="2056"/>
      <c r="LAY22" s="2057"/>
      <c r="LAZ22" s="2057"/>
      <c r="LBA22" s="2056"/>
      <c r="LBB22" s="2057"/>
      <c r="LBC22" s="2057"/>
      <c r="LBD22" s="2056"/>
      <c r="LBE22" s="2057"/>
      <c r="LBF22" s="2057"/>
      <c r="LBG22" s="2056"/>
      <c r="LBH22" s="2057"/>
      <c r="LBI22" s="2057"/>
      <c r="LBJ22" s="2056"/>
      <c r="LBK22" s="2057"/>
      <c r="LBL22" s="2057"/>
      <c r="LBM22" s="2056"/>
      <c r="LBN22" s="2057"/>
      <c r="LBO22" s="2057"/>
      <c r="LBP22" s="2056"/>
      <c r="LBQ22" s="2057"/>
      <c r="LBR22" s="2057"/>
      <c r="LBS22" s="2056"/>
      <c r="LBT22" s="2057"/>
      <c r="LBU22" s="2057"/>
      <c r="LBV22" s="2056"/>
      <c r="LBW22" s="2057"/>
      <c r="LBX22" s="2057"/>
      <c r="LBY22" s="2056"/>
      <c r="LBZ22" s="2057"/>
      <c r="LCA22" s="2057"/>
      <c r="LCB22" s="2056"/>
      <c r="LCC22" s="2057"/>
      <c r="LCD22" s="2057"/>
      <c r="LCE22" s="2056"/>
      <c r="LCF22" s="2057"/>
      <c r="LCG22" s="2057"/>
      <c r="LCH22" s="2056"/>
      <c r="LCI22" s="2057"/>
      <c r="LCJ22" s="2057"/>
      <c r="LCK22" s="2056"/>
      <c r="LCL22" s="2057"/>
      <c r="LCM22" s="2057"/>
      <c r="LCN22" s="2056"/>
      <c r="LCO22" s="2057"/>
      <c r="LCP22" s="2057"/>
      <c r="LCQ22" s="2056"/>
      <c r="LCR22" s="2057"/>
      <c r="LCS22" s="2057"/>
      <c r="LCT22" s="2056"/>
      <c r="LCU22" s="2057"/>
      <c r="LCV22" s="2057"/>
      <c r="LCW22" s="2056"/>
      <c r="LCX22" s="2057"/>
      <c r="LCY22" s="2057"/>
      <c r="LCZ22" s="2056"/>
      <c r="LDA22" s="2057"/>
      <c r="LDB22" s="2057"/>
      <c r="LDC22" s="2056"/>
      <c r="LDD22" s="2057"/>
      <c r="LDE22" s="2057"/>
      <c r="LDF22" s="2056"/>
      <c r="LDG22" s="2057"/>
      <c r="LDH22" s="2057"/>
      <c r="LDI22" s="2056"/>
      <c r="LDJ22" s="2057"/>
      <c r="LDK22" s="2057"/>
      <c r="LDL22" s="2056"/>
      <c r="LDM22" s="2057"/>
      <c r="LDN22" s="2057"/>
      <c r="LDO22" s="2056"/>
      <c r="LDP22" s="2057"/>
      <c r="LDQ22" s="2057"/>
      <c r="LDR22" s="2056"/>
      <c r="LDS22" s="2057"/>
      <c r="LDT22" s="2057"/>
      <c r="LDU22" s="2056"/>
      <c r="LDV22" s="2057"/>
      <c r="LDW22" s="2057"/>
      <c r="LDX22" s="2056"/>
      <c r="LDY22" s="2057"/>
      <c r="LDZ22" s="2057"/>
      <c r="LEA22" s="2056"/>
      <c r="LEB22" s="2057"/>
      <c r="LEC22" s="2057"/>
      <c r="LED22" s="2056"/>
      <c r="LEE22" s="2057"/>
      <c r="LEF22" s="2057"/>
      <c r="LEG22" s="2056"/>
      <c r="LEH22" s="2057"/>
      <c r="LEI22" s="2057"/>
      <c r="LEJ22" s="2056"/>
      <c r="LEK22" s="2057"/>
      <c r="LEL22" s="2057"/>
      <c r="LEM22" s="2056"/>
      <c r="LEN22" s="2057"/>
      <c r="LEO22" s="2057"/>
      <c r="LEP22" s="2056"/>
      <c r="LEQ22" s="2057"/>
      <c r="LER22" s="2057"/>
      <c r="LES22" s="2056"/>
      <c r="LET22" s="2057"/>
      <c r="LEU22" s="2057"/>
      <c r="LEV22" s="2056"/>
      <c r="LEW22" s="2057"/>
      <c r="LEX22" s="2057"/>
      <c r="LEY22" s="2056"/>
      <c r="LEZ22" s="2057"/>
      <c r="LFA22" s="2057"/>
      <c r="LFB22" s="2056"/>
      <c r="LFC22" s="2057"/>
      <c r="LFD22" s="2057"/>
      <c r="LFE22" s="2056"/>
      <c r="LFF22" s="2057"/>
      <c r="LFG22" s="2057"/>
      <c r="LFH22" s="2056"/>
      <c r="LFI22" s="2057"/>
      <c r="LFJ22" s="2057"/>
      <c r="LFK22" s="2056"/>
      <c r="LFL22" s="2057"/>
      <c r="LFM22" s="2057"/>
      <c r="LFN22" s="2056"/>
      <c r="LFO22" s="2057"/>
      <c r="LFP22" s="2057"/>
      <c r="LFQ22" s="2056"/>
      <c r="LFR22" s="2057"/>
      <c r="LFS22" s="2057"/>
      <c r="LFT22" s="2056"/>
      <c r="LFU22" s="2057"/>
      <c r="LFV22" s="2057"/>
      <c r="LFW22" s="2056"/>
      <c r="LFX22" s="2057"/>
      <c r="LFY22" s="2057"/>
      <c r="LFZ22" s="2056"/>
      <c r="LGA22" s="2057"/>
      <c r="LGB22" s="2057"/>
      <c r="LGC22" s="2056"/>
      <c r="LGD22" s="2057"/>
      <c r="LGE22" s="2057"/>
      <c r="LGF22" s="2056"/>
      <c r="LGG22" s="2057"/>
      <c r="LGH22" s="2057"/>
      <c r="LGI22" s="2056"/>
      <c r="LGJ22" s="2057"/>
      <c r="LGK22" s="2057"/>
      <c r="LGL22" s="2056"/>
      <c r="LGM22" s="2057"/>
      <c r="LGN22" s="2057"/>
      <c r="LGO22" s="2056"/>
      <c r="LGP22" s="2057"/>
      <c r="LGQ22" s="2057"/>
      <c r="LGR22" s="2056"/>
      <c r="LGS22" s="2057"/>
      <c r="LGT22" s="2057"/>
      <c r="LGU22" s="2056"/>
      <c r="LGV22" s="2057"/>
      <c r="LGW22" s="2057"/>
      <c r="LGX22" s="2056"/>
      <c r="LGY22" s="2057"/>
      <c r="LGZ22" s="2057"/>
      <c r="LHA22" s="2056"/>
      <c r="LHB22" s="2057"/>
      <c r="LHC22" s="2057"/>
      <c r="LHD22" s="2056"/>
      <c r="LHE22" s="2057"/>
      <c r="LHF22" s="2057"/>
      <c r="LHG22" s="2056"/>
      <c r="LHH22" s="2057"/>
      <c r="LHI22" s="2057"/>
      <c r="LHJ22" s="2056"/>
      <c r="LHK22" s="2057"/>
      <c r="LHL22" s="2057"/>
      <c r="LHM22" s="2056"/>
      <c r="LHN22" s="2057"/>
      <c r="LHO22" s="2057"/>
      <c r="LHP22" s="2056"/>
      <c r="LHQ22" s="2057"/>
      <c r="LHR22" s="2057"/>
      <c r="LHS22" s="2056"/>
      <c r="LHT22" s="2057"/>
      <c r="LHU22" s="2057"/>
      <c r="LHV22" s="2056"/>
      <c r="LHW22" s="2057"/>
      <c r="LHX22" s="2057"/>
      <c r="LHY22" s="2056"/>
      <c r="LHZ22" s="2057"/>
      <c r="LIA22" s="2057"/>
      <c r="LIB22" s="2056"/>
      <c r="LIC22" s="2057"/>
      <c r="LID22" s="2057"/>
      <c r="LIE22" s="2056"/>
      <c r="LIF22" s="2057"/>
      <c r="LIG22" s="2057"/>
      <c r="LIH22" s="2056"/>
      <c r="LII22" s="2057"/>
      <c r="LIJ22" s="2057"/>
      <c r="LIK22" s="2056"/>
      <c r="LIL22" s="2057"/>
      <c r="LIM22" s="2057"/>
      <c r="LIN22" s="2056"/>
      <c r="LIO22" s="2057"/>
      <c r="LIP22" s="2057"/>
      <c r="LIQ22" s="2056"/>
      <c r="LIR22" s="2057"/>
      <c r="LIS22" s="2057"/>
      <c r="LIT22" s="2056"/>
      <c r="LIU22" s="2057"/>
      <c r="LIV22" s="2057"/>
      <c r="LIW22" s="2056"/>
      <c r="LIX22" s="2057"/>
      <c r="LIY22" s="2057"/>
      <c r="LIZ22" s="2056"/>
      <c r="LJA22" s="2057"/>
      <c r="LJB22" s="2057"/>
      <c r="LJC22" s="2056"/>
      <c r="LJD22" s="2057"/>
      <c r="LJE22" s="2057"/>
      <c r="LJF22" s="2056"/>
      <c r="LJG22" s="2057"/>
      <c r="LJH22" s="2057"/>
      <c r="LJI22" s="2056"/>
      <c r="LJJ22" s="2057"/>
      <c r="LJK22" s="2057"/>
      <c r="LJL22" s="2056"/>
      <c r="LJM22" s="2057"/>
      <c r="LJN22" s="2057"/>
      <c r="LJO22" s="2056"/>
      <c r="LJP22" s="2057"/>
      <c r="LJQ22" s="2057"/>
      <c r="LJR22" s="2056"/>
      <c r="LJS22" s="2057"/>
      <c r="LJT22" s="2057"/>
      <c r="LJU22" s="2056"/>
      <c r="LJV22" s="2057"/>
      <c r="LJW22" s="2057"/>
      <c r="LJX22" s="2056"/>
      <c r="LJY22" s="2057"/>
      <c r="LJZ22" s="2057"/>
      <c r="LKA22" s="2056"/>
      <c r="LKB22" s="2057"/>
      <c r="LKC22" s="2057"/>
      <c r="LKD22" s="2056"/>
      <c r="LKE22" s="2057"/>
      <c r="LKF22" s="2057"/>
      <c r="LKG22" s="2056"/>
      <c r="LKH22" s="2057"/>
      <c r="LKI22" s="2057"/>
      <c r="LKJ22" s="2056"/>
      <c r="LKK22" s="2057"/>
      <c r="LKL22" s="2057"/>
      <c r="LKM22" s="2056"/>
      <c r="LKN22" s="2057"/>
      <c r="LKO22" s="2057"/>
      <c r="LKP22" s="2056"/>
      <c r="LKQ22" s="2057"/>
      <c r="LKR22" s="2057"/>
      <c r="LKS22" s="2056"/>
      <c r="LKT22" s="2057"/>
      <c r="LKU22" s="2057"/>
      <c r="LKV22" s="2056"/>
      <c r="LKW22" s="2057"/>
      <c r="LKX22" s="2057"/>
      <c r="LKY22" s="2056"/>
      <c r="LKZ22" s="2057"/>
      <c r="LLA22" s="2057"/>
      <c r="LLB22" s="2056"/>
      <c r="LLC22" s="2057"/>
      <c r="LLD22" s="2057"/>
      <c r="LLE22" s="2056"/>
      <c r="LLF22" s="2057"/>
      <c r="LLG22" s="2057"/>
      <c r="LLH22" s="2056"/>
      <c r="LLI22" s="2057"/>
      <c r="LLJ22" s="2057"/>
      <c r="LLK22" s="2056"/>
      <c r="LLL22" s="2057"/>
      <c r="LLM22" s="2057"/>
      <c r="LLN22" s="2056"/>
      <c r="LLO22" s="2057"/>
      <c r="LLP22" s="2057"/>
      <c r="LLQ22" s="2056"/>
      <c r="LLR22" s="2057"/>
      <c r="LLS22" s="2057"/>
      <c r="LLT22" s="2056"/>
      <c r="LLU22" s="2057"/>
      <c r="LLV22" s="2057"/>
      <c r="LLW22" s="2056"/>
      <c r="LLX22" s="2057"/>
      <c r="LLY22" s="2057"/>
      <c r="LLZ22" s="2056"/>
      <c r="LMA22" s="2057"/>
      <c r="LMB22" s="2057"/>
      <c r="LMC22" s="2056"/>
      <c r="LMD22" s="2057"/>
      <c r="LME22" s="2057"/>
      <c r="LMF22" s="2056"/>
      <c r="LMG22" s="2057"/>
      <c r="LMH22" s="2057"/>
      <c r="LMI22" s="2056"/>
      <c r="LMJ22" s="2057"/>
      <c r="LMK22" s="2057"/>
      <c r="LML22" s="2056"/>
      <c r="LMM22" s="2057"/>
      <c r="LMN22" s="2057"/>
      <c r="LMO22" s="2056"/>
      <c r="LMP22" s="2057"/>
      <c r="LMQ22" s="2057"/>
      <c r="LMR22" s="2056"/>
      <c r="LMS22" s="2057"/>
      <c r="LMT22" s="2057"/>
      <c r="LMU22" s="2056"/>
      <c r="LMV22" s="2057"/>
      <c r="LMW22" s="2057"/>
      <c r="LMX22" s="2056"/>
      <c r="LMY22" s="2057"/>
      <c r="LMZ22" s="2057"/>
      <c r="LNA22" s="2056"/>
      <c r="LNB22" s="2057"/>
      <c r="LNC22" s="2057"/>
      <c r="LND22" s="2056"/>
      <c r="LNE22" s="2057"/>
      <c r="LNF22" s="2057"/>
      <c r="LNG22" s="2056"/>
      <c r="LNH22" s="2057"/>
      <c r="LNI22" s="2057"/>
      <c r="LNJ22" s="2056"/>
      <c r="LNK22" s="2057"/>
      <c r="LNL22" s="2057"/>
      <c r="LNM22" s="2056"/>
      <c r="LNN22" s="2057"/>
      <c r="LNO22" s="2057"/>
      <c r="LNP22" s="2056"/>
      <c r="LNQ22" s="2057"/>
      <c r="LNR22" s="2057"/>
      <c r="LNS22" s="2056"/>
      <c r="LNT22" s="2057"/>
      <c r="LNU22" s="2057"/>
      <c r="LNV22" s="2056"/>
      <c r="LNW22" s="2057"/>
      <c r="LNX22" s="2057"/>
      <c r="LNY22" s="2056"/>
      <c r="LNZ22" s="2057"/>
      <c r="LOA22" s="2057"/>
      <c r="LOB22" s="2056"/>
      <c r="LOC22" s="2057"/>
      <c r="LOD22" s="2057"/>
      <c r="LOE22" s="2056"/>
      <c r="LOF22" s="2057"/>
      <c r="LOG22" s="2057"/>
      <c r="LOH22" s="2056"/>
      <c r="LOI22" s="2057"/>
      <c r="LOJ22" s="2057"/>
      <c r="LOK22" s="2056"/>
      <c r="LOL22" s="2057"/>
      <c r="LOM22" s="2057"/>
      <c r="LON22" s="2056"/>
      <c r="LOO22" s="2057"/>
      <c r="LOP22" s="2057"/>
      <c r="LOQ22" s="2056"/>
      <c r="LOR22" s="2057"/>
      <c r="LOS22" s="2057"/>
      <c r="LOT22" s="2056"/>
      <c r="LOU22" s="2057"/>
      <c r="LOV22" s="2057"/>
      <c r="LOW22" s="2056"/>
      <c r="LOX22" s="2057"/>
      <c r="LOY22" s="2057"/>
      <c r="LOZ22" s="2056"/>
      <c r="LPA22" s="2057"/>
      <c r="LPB22" s="2057"/>
      <c r="LPC22" s="2056"/>
      <c r="LPD22" s="2057"/>
      <c r="LPE22" s="2057"/>
      <c r="LPF22" s="2056"/>
      <c r="LPG22" s="2057"/>
      <c r="LPH22" s="2057"/>
      <c r="LPI22" s="2056"/>
      <c r="LPJ22" s="2057"/>
      <c r="LPK22" s="2057"/>
      <c r="LPL22" s="2056"/>
      <c r="LPM22" s="2057"/>
      <c r="LPN22" s="2057"/>
      <c r="LPO22" s="2056"/>
      <c r="LPP22" s="2057"/>
      <c r="LPQ22" s="2057"/>
      <c r="LPR22" s="2056"/>
      <c r="LPS22" s="2057"/>
      <c r="LPT22" s="2057"/>
      <c r="LPU22" s="2056"/>
      <c r="LPV22" s="2057"/>
      <c r="LPW22" s="2057"/>
      <c r="LPX22" s="2056"/>
      <c r="LPY22" s="2057"/>
      <c r="LPZ22" s="2057"/>
      <c r="LQA22" s="2056"/>
      <c r="LQB22" s="2057"/>
      <c r="LQC22" s="2057"/>
      <c r="LQD22" s="2056"/>
      <c r="LQE22" s="2057"/>
      <c r="LQF22" s="2057"/>
      <c r="LQG22" s="2056"/>
      <c r="LQH22" s="2057"/>
      <c r="LQI22" s="2057"/>
      <c r="LQJ22" s="2056"/>
      <c r="LQK22" s="2057"/>
      <c r="LQL22" s="2057"/>
      <c r="LQM22" s="2056"/>
      <c r="LQN22" s="2057"/>
      <c r="LQO22" s="2057"/>
      <c r="LQP22" s="2056"/>
      <c r="LQQ22" s="2057"/>
      <c r="LQR22" s="2057"/>
      <c r="LQS22" s="2056"/>
      <c r="LQT22" s="2057"/>
      <c r="LQU22" s="2057"/>
      <c r="LQV22" s="2056"/>
      <c r="LQW22" s="2057"/>
      <c r="LQX22" s="2057"/>
      <c r="LQY22" s="2056"/>
      <c r="LQZ22" s="2057"/>
      <c r="LRA22" s="2057"/>
      <c r="LRB22" s="2056"/>
      <c r="LRC22" s="2057"/>
      <c r="LRD22" s="2057"/>
      <c r="LRE22" s="2056"/>
      <c r="LRF22" s="2057"/>
      <c r="LRG22" s="2057"/>
      <c r="LRH22" s="2056"/>
      <c r="LRI22" s="2057"/>
      <c r="LRJ22" s="2057"/>
      <c r="LRK22" s="2056"/>
      <c r="LRL22" s="2057"/>
      <c r="LRM22" s="2057"/>
      <c r="LRN22" s="2056"/>
      <c r="LRO22" s="2057"/>
      <c r="LRP22" s="2057"/>
      <c r="LRQ22" s="2056"/>
      <c r="LRR22" s="2057"/>
      <c r="LRS22" s="2057"/>
      <c r="LRT22" s="2056"/>
      <c r="LRU22" s="2057"/>
      <c r="LRV22" s="2057"/>
      <c r="LRW22" s="2056"/>
      <c r="LRX22" s="2057"/>
      <c r="LRY22" s="2057"/>
      <c r="LRZ22" s="2056"/>
      <c r="LSA22" s="2057"/>
      <c r="LSB22" s="2057"/>
      <c r="LSC22" s="2056"/>
      <c r="LSD22" s="2057"/>
      <c r="LSE22" s="2057"/>
      <c r="LSF22" s="2056"/>
      <c r="LSG22" s="2057"/>
      <c r="LSH22" s="2057"/>
      <c r="LSI22" s="2056"/>
      <c r="LSJ22" s="2057"/>
      <c r="LSK22" s="2057"/>
      <c r="LSL22" s="2056"/>
      <c r="LSM22" s="2057"/>
      <c r="LSN22" s="2057"/>
      <c r="LSO22" s="2056"/>
      <c r="LSP22" s="2057"/>
      <c r="LSQ22" s="2057"/>
      <c r="LSR22" s="2056"/>
      <c r="LSS22" s="2057"/>
      <c r="LST22" s="2057"/>
      <c r="LSU22" s="2056"/>
      <c r="LSV22" s="2057"/>
      <c r="LSW22" s="2057"/>
      <c r="LSX22" s="2056"/>
      <c r="LSY22" s="2057"/>
      <c r="LSZ22" s="2057"/>
      <c r="LTA22" s="2056"/>
      <c r="LTB22" s="2057"/>
      <c r="LTC22" s="2057"/>
      <c r="LTD22" s="2056"/>
      <c r="LTE22" s="2057"/>
      <c r="LTF22" s="2057"/>
      <c r="LTG22" s="2056"/>
      <c r="LTH22" s="2057"/>
      <c r="LTI22" s="2057"/>
      <c r="LTJ22" s="2056"/>
      <c r="LTK22" s="2057"/>
      <c r="LTL22" s="2057"/>
      <c r="LTM22" s="2056"/>
      <c r="LTN22" s="2057"/>
      <c r="LTO22" s="2057"/>
      <c r="LTP22" s="2056"/>
      <c r="LTQ22" s="2057"/>
      <c r="LTR22" s="2057"/>
      <c r="LTS22" s="2056"/>
      <c r="LTT22" s="2057"/>
      <c r="LTU22" s="2057"/>
      <c r="LTV22" s="2056"/>
      <c r="LTW22" s="2057"/>
      <c r="LTX22" s="2057"/>
      <c r="LTY22" s="2056"/>
      <c r="LTZ22" s="2057"/>
      <c r="LUA22" s="2057"/>
      <c r="LUB22" s="2056"/>
      <c r="LUC22" s="2057"/>
      <c r="LUD22" s="2057"/>
      <c r="LUE22" s="2056"/>
      <c r="LUF22" s="2057"/>
      <c r="LUG22" s="2057"/>
      <c r="LUH22" s="2056"/>
      <c r="LUI22" s="2057"/>
      <c r="LUJ22" s="2057"/>
      <c r="LUK22" s="2056"/>
      <c r="LUL22" s="2057"/>
      <c r="LUM22" s="2057"/>
      <c r="LUN22" s="2056"/>
      <c r="LUO22" s="2057"/>
      <c r="LUP22" s="2057"/>
      <c r="LUQ22" s="2056"/>
      <c r="LUR22" s="2057"/>
      <c r="LUS22" s="2057"/>
      <c r="LUT22" s="2056"/>
      <c r="LUU22" s="2057"/>
      <c r="LUV22" s="2057"/>
      <c r="LUW22" s="2056"/>
      <c r="LUX22" s="2057"/>
      <c r="LUY22" s="2057"/>
      <c r="LUZ22" s="2056"/>
      <c r="LVA22" s="2057"/>
      <c r="LVB22" s="2057"/>
      <c r="LVC22" s="2056"/>
      <c r="LVD22" s="2057"/>
      <c r="LVE22" s="2057"/>
      <c r="LVF22" s="2056"/>
      <c r="LVG22" s="2057"/>
      <c r="LVH22" s="2057"/>
      <c r="LVI22" s="2056"/>
      <c r="LVJ22" s="2057"/>
      <c r="LVK22" s="2057"/>
      <c r="LVL22" s="2056"/>
      <c r="LVM22" s="2057"/>
      <c r="LVN22" s="2057"/>
      <c r="LVO22" s="2056"/>
      <c r="LVP22" s="2057"/>
      <c r="LVQ22" s="2057"/>
      <c r="LVR22" s="2056"/>
      <c r="LVS22" s="2057"/>
      <c r="LVT22" s="2057"/>
      <c r="LVU22" s="2056"/>
      <c r="LVV22" s="2057"/>
      <c r="LVW22" s="2057"/>
      <c r="LVX22" s="2056"/>
      <c r="LVY22" s="2057"/>
      <c r="LVZ22" s="2057"/>
      <c r="LWA22" s="2056"/>
      <c r="LWB22" s="2057"/>
      <c r="LWC22" s="2057"/>
      <c r="LWD22" s="2056"/>
      <c r="LWE22" s="2057"/>
      <c r="LWF22" s="2057"/>
      <c r="LWG22" s="2056"/>
      <c r="LWH22" s="2057"/>
      <c r="LWI22" s="2057"/>
      <c r="LWJ22" s="2056"/>
      <c r="LWK22" s="2057"/>
      <c r="LWL22" s="2057"/>
      <c r="LWM22" s="2056"/>
      <c r="LWN22" s="2057"/>
      <c r="LWO22" s="2057"/>
      <c r="LWP22" s="2056"/>
      <c r="LWQ22" s="2057"/>
      <c r="LWR22" s="2057"/>
      <c r="LWS22" s="2056"/>
      <c r="LWT22" s="2057"/>
      <c r="LWU22" s="2057"/>
      <c r="LWV22" s="2056"/>
      <c r="LWW22" s="2057"/>
      <c r="LWX22" s="2057"/>
      <c r="LWY22" s="2056"/>
      <c r="LWZ22" s="2057"/>
      <c r="LXA22" s="2057"/>
      <c r="LXB22" s="2056"/>
      <c r="LXC22" s="2057"/>
      <c r="LXD22" s="2057"/>
      <c r="LXE22" s="2056"/>
      <c r="LXF22" s="2057"/>
      <c r="LXG22" s="2057"/>
      <c r="LXH22" s="2056"/>
      <c r="LXI22" s="2057"/>
      <c r="LXJ22" s="2057"/>
      <c r="LXK22" s="2056"/>
      <c r="LXL22" s="2057"/>
      <c r="LXM22" s="2057"/>
      <c r="LXN22" s="2056"/>
      <c r="LXO22" s="2057"/>
      <c r="LXP22" s="2057"/>
      <c r="LXQ22" s="2056"/>
      <c r="LXR22" s="2057"/>
      <c r="LXS22" s="2057"/>
      <c r="LXT22" s="2056"/>
      <c r="LXU22" s="2057"/>
      <c r="LXV22" s="2057"/>
      <c r="LXW22" s="2056"/>
      <c r="LXX22" s="2057"/>
      <c r="LXY22" s="2057"/>
      <c r="LXZ22" s="2056"/>
      <c r="LYA22" s="2057"/>
      <c r="LYB22" s="2057"/>
      <c r="LYC22" s="2056"/>
      <c r="LYD22" s="2057"/>
      <c r="LYE22" s="2057"/>
      <c r="LYF22" s="2056"/>
      <c r="LYG22" s="2057"/>
      <c r="LYH22" s="2057"/>
      <c r="LYI22" s="2056"/>
      <c r="LYJ22" s="2057"/>
      <c r="LYK22" s="2057"/>
      <c r="LYL22" s="2056"/>
      <c r="LYM22" s="2057"/>
      <c r="LYN22" s="2057"/>
      <c r="LYO22" s="2056"/>
      <c r="LYP22" s="2057"/>
      <c r="LYQ22" s="2057"/>
      <c r="LYR22" s="2056"/>
      <c r="LYS22" s="2057"/>
      <c r="LYT22" s="2057"/>
      <c r="LYU22" s="2056"/>
      <c r="LYV22" s="2057"/>
      <c r="LYW22" s="2057"/>
      <c r="LYX22" s="2056"/>
      <c r="LYY22" s="2057"/>
      <c r="LYZ22" s="2057"/>
      <c r="LZA22" s="2056"/>
      <c r="LZB22" s="2057"/>
      <c r="LZC22" s="2057"/>
      <c r="LZD22" s="2056"/>
      <c r="LZE22" s="2057"/>
      <c r="LZF22" s="2057"/>
      <c r="LZG22" s="2056"/>
      <c r="LZH22" s="2057"/>
      <c r="LZI22" s="2057"/>
      <c r="LZJ22" s="2056"/>
      <c r="LZK22" s="2057"/>
      <c r="LZL22" s="2057"/>
      <c r="LZM22" s="2056"/>
      <c r="LZN22" s="2057"/>
      <c r="LZO22" s="2057"/>
      <c r="LZP22" s="2056"/>
      <c r="LZQ22" s="2057"/>
      <c r="LZR22" s="2057"/>
      <c r="LZS22" s="2056"/>
      <c r="LZT22" s="2057"/>
      <c r="LZU22" s="2057"/>
      <c r="LZV22" s="2056"/>
      <c r="LZW22" s="2057"/>
      <c r="LZX22" s="2057"/>
      <c r="LZY22" s="2056"/>
      <c r="LZZ22" s="2057"/>
      <c r="MAA22" s="2057"/>
      <c r="MAB22" s="2056"/>
      <c r="MAC22" s="2057"/>
      <c r="MAD22" s="2057"/>
      <c r="MAE22" s="2056"/>
      <c r="MAF22" s="2057"/>
      <c r="MAG22" s="2057"/>
      <c r="MAH22" s="2056"/>
      <c r="MAI22" s="2057"/>
      <c r="MAJ22" s="2057"/>
      <c r="MAK22" s="2056"/>
      <c r="MAL22" s="2057"/>
      <c r="MAM22" s="2057"/>
      <c r="MAN22" s="2056"/>
      <c r="MAO22" s="2057"/>
      <c r="MAP22" s="2057"/>
      <c r="MAQ22" s="2056"/>
      <c r="MAR22" s="2057"/>
      <c r="MAS22" s="2057"/>
      <c r="MAT22" s="2056"/>
      <c r="MAU22" s="2057"/>
      <c r="MAV22" s="2057"/>
      <c r="MAW22" s="2056"/>
      <c r="MAX22" s="2057"/>
      <c r="MAY22" s="2057"/>
      <c r="MAZ22" s="2056"/>
      <c r="MBA22" s="2057"/>
      <c r="MBB22" s="2057"/>
      <c r="MBC22" s="2056"/>
      <c r="MBD22" s="2057"/>
      <c r="MBE22" s="2057"/>
      <c r="MBF22" s="2056"/>
      <c r="MBG22" s="2057"/>
      <c r="MBH22" s="2057"/>
      <c r="MBI22" s="2056"/>
      <c r="MBJ22" s="2057"/>
      <c r="MBK22" s="2057"/>
      <c r="MBL22" s="2056"/>
      <c r="MBM22" s="2057"/>
      <c r="MBN22" s="2057"/>
      <c r="MBO22" s="2056"/>
      <c r="MBP22" s="2057"/>
      <c r="MBQ22" s="2057"/>
      <c r="MBR22" s="2056"/>
      <c r="MBS22" s="2057"/>
      <c r="MBT22" s="2057"/>
      <c r="MBU22" s="2056"/>
      <c r="MBV22" s="2057"/>
      <c r="MBW22" s="2057"/>
      <c r="MBX22" s="2056"/>
      <c r="MBY22" s="2057"/>
      <c r="MBZ22" s="2057"/>
      <c r="MCA22" s="2056"/>
      <c r="MCB22" s="2057"/>
      <c r="MCC22" s="2057"/>
      <c r="MCD22" s="2056"/>
      <c r="MCE22" s="2057"/>
      <c r="MCF22" s="2057"/>
      <c r="MCG22" s="2056"/>
      <c r="MCH22" s="2057"/>
      <c r="MCI22" s="2057"/>
      <c r="MCJ22" s="2056"/>
      <c r="MCK22" s="2057"/>
      <c r="MCL22" s="2057"/>
      <c r="MCM22" s="2056"/>
      <c r="MCN22" s="2057"/>
      <c r="MCO22" s="2057"/>
      <c r="MCP22" s="2056"/>
      <c r="MCQ22" s="2057"/>
      <c r="MCR22" s="2057"/>
      <c r="MCS22" s="2056"/>
      <c r="MCT22" s="2057"/>
      <c r="MCU22" s="2057"/>
      <c r="MCV22" s="2056"/>
      <c r="MCW22" s="2057"/>
      <c r="MCX22" s="2057"/>
      <c r="MCY22" s="2056"/>
      <c r="MCZ22" s="2057"/>
      <c r="MDA22" s="2057"/>
      <c r="MDB22" s="2056"/>
      <c r="MDC22" s="2057"/>
      <c r="MDD22" s="2057"/>
      <c r="MDE22" s="2056"/>
      <c r="MDF22" s="2057"/>
      <c r="MDG22" s="2057"/>
      <c r="MDH22" s="2056"/>
      <c r="MDI22" s="2057"/>
      <c r="MDJ22" s="2057"/>
      <c r="MDK22" s="2056"/>
      <c r="MDL22" s="2057"/>
      <c r="MDM22" s="2057"/>
      <c r="MDN22" s="2056"/>
      <c r="MDO22" s="2057"/>
      <c r="MDP22" s="2057"/>
      <c r="MDQ22" s="2056"/>
      <c r="MDR22" s="2057"/>
      <c r="MDS22" s="2057"/>
      <c r="MDT22" s="2056"/>
      <c r="MDU22" s="2057"/>
      <c r="MDV22" s="2057"/>
      <c r="MDW22" s="2056"/>
      <c r="MDX22" s="2057"/>
      <c r="MDY22" s="2057"/>
      <c r="MDZ22" s="2056"/>
      <c r="MEA22" s="2057"/>
      <c r="MEB22" s="2057"/>
      <c r="MEC22" s="2056"/>
      <c r="MED22" s="2057"/>
      <c r="MEE22" s="2057"/>
      <c r="MEF22" s="2056"/>
      <c r="MEG22" s="2057"/>
      <c r="MEH22" s="2057"/>
      <c r="MEI22" s="2056"/>
      <c r="MEJ22" s="2057"/>
      <c r="MEK22" s="2057"/>
      <c r="MEL22" s="2056"/>
      <c r="MEM22" s="2057"/>
      <c r="MEN22" s="2057"/>
      <c r="MEO22" s="2056"/>
      <c r="MEP22" s="2057"/>
      <c r="MEQ22" s="2057"/>
      <c r="MER22" s="2056"/>
      <c r="MES22" s="2057"/>
      <c r="MET22" s="2057"/>
      <c r="MEU22" s="2056"/>
      <c r="MEV22" s="2057"/>
      <c r="MEW22" s="2057"/>
      <c r="MEX22" s="2056"/>
      <c r="MEY22" s="2057"/>
      <c r="MEZ22" s="2057"/>
      <c r="MFA22" s="2056"/>
      <c r="MFB22" s="2057"/>
      <c r="MFC22" s="2057"/>
      <c r="MFD22" s="2056"/>
      <c r="MFE22" s="2057"/>
      <c r="MFF22" s="2057"/>
      <c r="MFG22" s="2056"/>
      <c r="MFH22" s="2057"/>
      <c r="MFI22" s="2057"/>
      <c r="MFJ22" s="2056"/>
      <c r="MFK22" s="2057"/>
      <c r="MFL22" s="2057"/>
      <c r="MFM22" s="2056"/>
      <c r="MFN22" s="2057"/>
      <c r="MFO22" s="2057"/>
      <c r="MFP22" s="2056"/>
      <c r="MFQ22" s="2057"/>
      <c r="MFR22" s="2057"/>
      <c r="MFS22" s="2056"/>
      <c r="MFT22" s="2057"/>
      <c r="MFU22" s="2057"/>
      <c r="MFV22" s="2056"/>
      <c r="MFW22" s="2057"/>
      <c r="MFX22" s="2057"/>
      <c r="MFY22" s="2056"/>
      <c r="MFZ22" s="2057"/>
      <c r="MGA22" s="2057"/>
      <c r="MGB22" s="2056"/>
      <c r="MGC22" s="2057"/>
      <c r="MGD22" s="2057"/>
      <c r="MGE22" s="2056"/>
      <c r="MGF22" s="2057"/>
      <c r="MGG22" s="2057"/>
      <c r="MGH22" s="2056"/>
      <c r="MGI22" s="2057"/>
      <c r="MGJ22" s="2057"/>
      <c r="MGK22" s="2056"/>
      <c r="MGL22" s="2057"/>
      <c r="MGM22" s="2057"/>
      <c r="MGN22" s="2056"/>
      <c r="MGO22" s="2057"/>
      <c r="MGP22" s="2057"/>
      <c r="MGQ22" s="2056"/>
      <c r="MGR22" s="2057"/>
      <c r="MGS22" s="2057"/>
      <c r="MGT22" s="2056"/>
      <c r="MGU22" s="2057"/>
      <c r="MGV22" s="2057"/>
      <c r="MGW22" s="2056"/>
      <c r="MGX22" s="2057"/>
      <c r="MGY22" s="2057"/>
      <c r="MGZ22" s="2056"/>
      <c r="MHA22" s="2057"/>
      <c r="MHB22" s="2057"/>
      <c r="MHC22" s="2056"/>
      <c r="MHD22" s="2057"/>
      <c r="MHE22" s="2057"/>
      <c r="MHF22" s="2056"/>
      <c r="MHG22" s="2057"/>
      <c r="MHH22" s="2057"/>
      <c r="MHI22" s="2056"/>
      <c r="MHJ22" s="2057"/>
      <c r="MHK22" s="2057"/>
      <c r="MHL22" s="2056"/>
      <c r="MHM22" s="2057"/>
      <c r="MHN22" s="2057"/>
      <c r="MHO22" s="2056"/>
      <c r="MHP22" s="2057"/>
      <c r="MHQ22" s="2057"/>
      <c r="MHR22" s="2056"/>
      <c r="MHS22" s="2057"/>
      <c r="MHT22" s="2057"/>
      <c r="MHU22" s="2056"/>
      <c r="MHV22" s="2057"/>
      <c r="MHW22" s="2057"/>
      <c r="MHX22" s="2056"/>
      <c r="MHY22" s="2057"/>
      <c r="MHZ22" s="2057"/>
      <c r="MIA22" s="2056"/>
      <c r="MIB22" s="2057"/>
      <c r="MIC22" s="2057"/>
      <c r="MID22" s="2056"/>
      <c r="MIE22" s="2057"/>
      <c r="MIF22" s="2057"/>
      <c r="MIG22" s="2056"/>
      <c r="MIH22" s="2057"/>
      <c r="MII22" s="2057"/>
      <c r="MIJ22" s="2056"/>
      <c r="MIK22" s="2057"/>
      <c r="MIL22" s="2057"/>
      <c r="MIM22" s="2056"/>
      <c r="MIN22" s="2057"/>
      <c r="MIO22" s="2057"/>
      <c r="MIP22" s="2056"/>
      <c r="MIQ22" s="2057"/>
      <c r="MIR22" s="2057"/>
      <c r="MIS22" s="2056"/>
      <c r="MIT22" s="2057"/>
      <c r="MIU22" s="2057"/>
      <c r="MIV22" s="2056"/>
      <c r="MIW22" s="2057"/>
      <c r="MIX22" s="2057"/>
      <c r="MIY22" s="2056"/>
      <c r="MIZ22" s="2057"/>
      <c r="MJA22" s="2057"/>
      <c r="MJB22" s="2056"/>
      <c r="MJC22" s="2057"/>
      <c r="MJD22" s="2057"/>
      <c r="MJE22" s="2056"/>
      <c r="MJF22" s="2057"/>
      <c r="MJG22" s="2057"/>
      <c r="MJH22" s="2056"/>
      <c r="MJI22" s="2057"/>
      <c r="MJJ22" s="2057"/>
      <c r="MJK22" s="2056"/>
      <c r="MJL22" s="2057"/>
      <c r="MJM22" s="2057"/>
      <c r="MJN22" s="2056"/>
      <c r="MJO22" s="2057"/>
      <c r="MJP22" s="2057"/>
      <c r="MJQ22" s="2056"/>
      <c r="MJR22" s="2057"/>
      <c r="MJS22" s="2057"/>
      <c r="MJT22" s="2056"/>
      <c r="MJU22" s="2057"/>
      <c r="MJV22" s="2057"/>
      <c r="MJW22" s="2056"/>
      <c r="MJX22" s="2057"/>
      <c r="MJY22" s="2057"/>
      <c r="MJZ22" s="2056"/>
      <c r="MKA22" s="2057"/>
      <c r="MKB22" s="2057"/>
      <c r="MKC22" s="2056"/>
      <c r="MKD22" s="2057"/>
      <c r="MKE22" s="2057"/>
      <c r="MKF22" s="2056"/>
      <c r="MKG22" s="2057"/>
      <c r="MKH22" s="2057"/>
      <c r="MKI22" s="2056"/>
      <c r="MKJ22" s="2057"/>
      <c r="MKK22" s="2057"/>
      <c r="MKL22" s="2056"/>
      <c r="MKM22" s="2057"/>
      <c r="MKN22" s="2057"/>
      <c r="MKO22" s="2056"/>
      <c r="MKP22" s="2057"/>
      <c r="MKQ22" s="2057"/>
      <c r="MKR22" s="2056"/>
      <c r="MKS22" s="2057"/>
      <c r="MKT22" s="2057"/>
      <c r="MKU22" s="2056"/>
      <c r="MKV22" s="2057"/>
      <c r="MKW22" s="2057"/>
      <c r="MKX22" s="2056"/>
      <c r="MKY22" s="2057"/>
      <c r="MKZ22" s="2057"/>
      <c r="MLA22" s="2056"/>
      <c r="MLB22" s="2057"/>
      <c r="MLC22" s="2057"/>
      <c r="MLD22" s="2056"/>
      <c r="MLE22" s="2057"/>
      <c r="MLF22" s="2057"/>
      <c r="MLG22" s="2056"/>
      <c r="MLH22" s="2057"/>
      <c r="MLI22" s="2057"/>
      <c r="MLJ22" s="2056"/>
      <c r="MLK22" s="2057"/>
      <c r="MLL22" s="2057"/>
      <c r="MLM22" s="2056"/>
      <c r="MLN22" s="2057"/>
      <c r="MLO22" s="2057"/>
      <c r="MLP22" s="2056"/>
      <c r="MLQ22" s="2057"/>
      <c r="MLR22" s="2057"/>
      <c r="MLS22" s="2056"/>
      <c r="MLT22" s="2057"/>
      <c r="MLU22" s="2057"/>
      <c r="MLV22" s="2056"/>
      <c r="MLW22" s="2057"/>
      <c r="MLX22" s="2057"/>
      <c r="MLY22" s="2056"/>
      <c r="MLZ22" s="2057"/>
      <c r="MMA22" s="2057"/>
      <c r="MMB22" s="2056"/>
      <c r="MMC22" s="2057"/>
      <c r="MMD22" s="2057"/>
      <c r="MME22" s="2056"/>
      <c r="MMF22" s="2057"/>
      <c r="MMG22" s="2057"/>
      <c r="MMH22" s="2056"/>
      <c r="MMI22" s="2057"/>
      <c r="MMJ22" s="2057"/>
      <c r="MMK22" s="2056"/>
      <c r="MML22" s="2057"/>
      <c r="MMM22" s="2057"/>
      <c r="MMN22" s="2056"/>
      <c r="MMO22" s="2057"/>
      <c r="MMP22" s="2057"/>
      <c r="MMQ22" s="2056"/>
      <c r="MMR22" s="2057"/>
      <c r="MMS22" s="2057"/>
      <c r="MMT22" s="2056"/>
      <c r="MMU22" s="2057"/>
      <c r="MMV22" s="2057"/>
      <c r="MMW22" s="2056"/>
      <c r="MMX22" s="2057"/>
      <c r="MMY22" s="2057"/>
      <c r="MMZ22" s="2056"/>
      <c r="MNA22" s="2057"/>
      <c r="MNB22" s="2057"/>
      <c r="MNC22" s="2056"/>
      <c r="MND22" s="2057"/>
      <c r="MNE22" s="2057"/>
      <c r="MNF22" s="2056"/>
      <c r="MNG22" s="2057"/>
      <c r="MNH22" s="2057"/>
      <c r="MNI22" s="2056"/>
      <c r="MNJ22" s="2057"/>
      <c r="MNK22" s="2057"/>
      <c r="MNL22" s="2056"/>
      <c r="MNM22" s="2057"/>
      <c r="MNN22" s="2057"/>
      <c r="MNO22" s="2056"/>
      <c r="MNP22" s="2057"/>
      <c r="MNQ22" s="2057"/>
      <c r="MNR22" s="2056"/>
      <c r="MNS22" s="2057"/>
      <c r="MNT22" s="2057"/>
      <c r="MNU22" s="2056"/>
      <c r="MNV22" s="2057"/>
      <c r="MNW22" s="2057"/>
      <c r="MNX22" s="2056"/>
      <c r="MNY22" s="2057"/>
      <c r="MNZ22" s="2057"/>
      <c r="MOA22" s="2056"/>
      <c r="MOB22" s="2057"/>
      <c r="MOC22" s="2057"/>
      <c r="MOD22" s="2056"/>
      <c r="MOE22" s="2057"/>
      <c r="MOF22" s="2057"/>
      <c r="MOG22" s="2056"/>
      <c r="MOH22" s="2057"/>
      <c r="MOI22" s="2057"/>
      <c r="MOJ22" s="2056"/>
      <c r="MOK22" s="2057"/>
      <c r="MOL22" s="2057"/>
      <c r="MOM22" s="2056"/>
      <c r="MON22" s="2057"/>
      <c r="MOO22" s="2057"/>
      <c r="MOP22" s="2056"/>
      <c r="MOQ22" s="2057"/>
      <c r="MOR22" s="2057"/>
      <c r="MOS22" s="2056"/>
      <c r="MOT22" s="2057"/>
      <c r="MOU22" s="2057"/>
      <c r="MOV22" s="2056"/>
      <c r="MOW22" s="2057"/>
      <c r="MOX22" s="2057"/>
      <c r="MOY22" s="2056"/>
      <c r="MOZ22" s="2057"/>
      <c r="MPA22" s="2057"/>
      <c r="MPB22" s="2056"/>
      <c r="MPC22" s="2057"/>
      <c r="MPD22" s="2057"/>
      <c r="MPE22" s="2056"/>
      <c r="MPF22" s="2057"/>
      <c r="MPG22" s="2057"/>
      <c r="MPH22" s="2056"/>
      <c r="MPI22" s="2057"/>
      <c r="MPJ22" s="2057"/>
      <c r="MPK22" s="2056"/>
      <c r="MPL22" s="2057"/>
      <c r="MPM22" s="2057"/>
      <c r="MPN22" s="2056"/>
      <c r="MPO22" s="2057"/>
      <c r="MPP22" s="2057"/>
      <c r="MPQ22" s="2056"/>
      <c r="MPR22" s="2057"/>
      <c r="MPS22" s="2057"/>
      <c r="MPT22" s="2056"/>
      <c r="MPU22" s="2057"/>
      <c r="MPV22" s="2057"/>
      <c r="MPW22" s="2056"/>
      <c r="MPX22" s="2057"/>
      <c r="MPY22" s="2057"/>
      <c r="MPZ22" s="2056"/>
      <c r="MQA22" s="2057"/>
      <c r="MQB22" s="2057"/>
      <c r="MQC22" s="2056"/>
      <c r="MQD22" s="2057"/>
      <c r="MQE22" s="2057"/>
      <c r="MQF22" s="2056"/>
      <c r="MQG22" s="2057"/>
      <c r="MQH22" s="2057"/>
      <c r="MQI22" s="2056"/>
      <c r="MQJ22" s="2057"/>
      <c r="MQK22" s="2057"/>
      <c r="MQL22" s="2056"/>
      <c r="MQM22" s="2057"/>
      <c r="MQN22" s="2057"/>
      <c r="MQO22" s="2056"/>
      <c r="MQP22" s="2057"/>
      <c r="MQQ22" s="2057"/>
      <c r="MQR22" s="2056"/>
      <c r="MQS22" s="2057"/>
      <c r="MQT22" s="2057"/>
      <c r="MQU22" s="2056"/>
      <c r="MQV22" s="2057"/>
      <c r="MQW22" s="2057"/>
      <c r="MQX22" s="2056"/>
      <c r="MQY22" s="2057"/>
      <c r="MQZ22" s="2057"/>
      <c r="MRA22" s="2056"/>
      <c r="MRB22" s="2057"/>
      <c r="MRC22" s="2057"/>
      <c r="MRD22" s="2056"/>
      <c r="MRE22" s="2057"/>
      <c r="MRF22" s="2057"/>
      <c r="MRG22" s="2056"/>
      <c r="MRH22" s="2057"/>
      <c r="MRI22" s="2057"/>
      <c r="MRJ22" s="2056"/>
      <c r="MRK22" s="2057"/>
      <c r="MRL22" s="2057"/>
      <c r="MRM22" s="2056"/>
      <c r="MRN22" s="2057"/>
      <c r="MRO22" s="2057"/>
      <c r="MRP22" s="2056"/>
      <c r="MRQ22" s="2057"/>
      <c r="MRR22" s="2057"/>
      <c r="MRS22" s="2056"/>
      <c r="MRT22" s="2057"/>
      <c r="MRU22" s="2057"/>
      <c r="MRV22" s="2056"/>
      <c r="MRW22" s="2057"/>
      <c r="MRX22" s="2057"/>
      <c r="MRY22" s="2056"/>
      <c r="MRZ22" s="2057"/>
      <c r="MSA22" s="2057"/>
      <c r="MSB22" s="2056"/>
      <c r="MSC22" s="2057"/>
      <c r="MSD22" s="2057"/>
      <c r="MSE22" s="2056"/>
      <c r="MSF22" s="2057"/>
      <c r="MSG22" s="2057"/>
      <c r="MSH22" s="2056"/>
      <c r="MSI22" s="2057"/>
      <c r="MSJ22" s="2057"/>
      <c r="MSK22" s="2056"/>
      <c r="MSL22" s="2057"/>
      <c r="MSM22" s="2057"/>
      <c r="MSN22" s="2056"/>
      <c r="MSO22" s="2057"/>
      <c r="MSP22" s="2057"/>
      <c r="MSQ22" s="2056"/>
      <c r="MSR22" s="2057"/>
      <c r="MSS22" s="2057"/>
      <c r="MST22" s="2056"/>
      <c r="MSU22" s="2057"/>
      <c r="MSV22" s="2057"/>
      <c r="MSW22" s="2056"/>
      <c r="MSX22" s="2057"/>
      <c r="MSY22" s="2057"/>
      <c r="MSZ22" s="2056"/>
      <c r="MTA22" s="2057"/>
      <c r="MTB22" s="2057"/>
      <c r="MTC22" s="2056"/>
      <c r="MTD22" s="2057"/>
      <c r="MTE22" s="2057"/>
      <c r="MTF22" s="2056"/>
      <c r="MTG22" s="2057"/>
      <c r="MTH22" s="2057"/>
      <c r="MTI22" s="2056"/>
      <c r="MTJ22" s="2057"/>
      <c r="MTK22" s="2057"/>
      <c r="MTL22" s="2056"/>
      <c r="MTM22" s="2057"/>
      <c r="MTN22" s="2057"/>
      <c r="MTO22" s="2056"/>
      <c r="MTP22" s="2057"/>
      <c r="MTQ22" s="2057"/>
      <c r="MTR22" s="2056"/>
      <c r="MTS22" s="2057"/>
      <c r="MTT22" s="2057"/>
      <c r="MTU22" s="2056"/>
      <c r="MTV22" s="2057"/>
      <c r="MTW22" s="2057"/>
      <c r="MTX22" s="2056"/>
      <c r="MTY22" s="2057"/>
      <c r="MTZ22" s="2057"/>
      <c r="MUA22" s="2056"/>
      <c r="MUB22" s="2057"/>
      <c r="MUC22" s="2057"/>
      <c r="MUD22" s="2056"/>
      <c r="MUE22" s="2057"/>
      <c r="MUF22" s="2057"/>
      <c r="MUG22" s="2056"/>
      <c r="MUH22" s="2057"/>
      <c r="MUI22" s="2057"/>
      <c r="MUJ22" s="2056"/>
      <c r="MUK22" s="2057"/>
      <c r="MUL22" s="2057"/>
      <c r="MUM22" s="2056"/>
      <c r="MUN22" s="2057"/>
      <c r="MUO22" s="2057"/>
      <c r="MUP22" s="2056"/>
      <c r="MUQ22" s="2057"/>
      <c r="MUR22" s="2057"/>
      <c r="MUS22" s="2056"/>
      <c r="MUT22" s="2057"/>
      <c r="MUU22" s="2057"/>
      <c r="MUV22" s="2056"/>
      <c r="MUW22" s="2057"/>
      <c r="MUX22" s="2057"/>
      <c r="MUY22" s="2056"/>
      <c r="MUZ22" s="2057"/>
      <c r="MVA22" s="2057"/>
      <c r="MVB22" s="2056"/>
      <c r="MVC22" s="2057"/>
      <c r="MVD22" s="2057"/>
      <c r="MVE22" s="2056"/>
      <c r="MVF22" s="2057"/>
      <c r="MVG22" s="2057"/>
      <c r="MVH22" s="2056"/>
      <c r="MVI22" s="2057"/>
      <c r="MVJ22" s="2057"/>
      <c r="MVK22" s="2056"/>
      <c r="MVL22" s="2057"/>
      <c r="MVM22" s="2057"/>
      <c r="MVN22" s="2056"/>
      <c r="MVO22" s="2057"/>
      <c r="MVP22" s="2057"/>
      <c r="MVQ22" s="2056"/>
      <c r="MVR22" s="2057"/>
      <c r="MVS22" s="2057"/>
      <c r="MVT22" s="2056"/>
      <c r="MVU22" s="2057"/>
      <c r="MVV22" s="2057"/>
      <c r="MVW22" s="2056"/>
      <c r="MVX22" s="2057"/>
      <c r="MVY22" s="2057"/>
      <c r="MVZ22" s="2056"/>
      <c r="MWA22" s="2057"/>
      <c r="MWB22" s="2057"/>
      <c r="MWC22" s="2056"/>
      <c r="MWD22" s="2057"/>
      <c r="MWE22" s="2057"/>
      <c r="MWF22" s="2056"/>
      <c r="MWG22" s="2057"/>
      <c r="MWH22" s="2057"/>
      <c r="MWI22" s="2056"/>
      <c r="MWJ22" s="2057"/>
      <c r="MWK22" s="2057"/>
      <c r="MWL22" s="2056"/>
      <c r="MWM22" s="2057"/>
      <c r="MWN22" s="2057"/>
      <c r="MWO22" s="2056"/>
      <c r="MWP22" s="2057"/>
      <c r="MWQ22" s="2057"/>
      <c r="MWR22" s="2056"/>
      <c r="MWS22" s="2057"/>
      <c r="MWT22" s="2057"/>
      <c r="MWU22" s="2056"/>
      <c r="MWV22" s="2057"/>
      <c r="MWW22" s="2057"/>
      <c r="MWX22" s="2056"/>
      <c r="MWY22" s="2057"/>
      <c r="MWZ22" s="2057"/>
      <c r="MXA22" s="2056"/>
      <c r="MXB22" s="2057"/>
      <c r="MXC22" s="2057"/>
      <c r="MXD22" s="2056"/>
      <c r="MXE22" s="2057"/>
      <c r="MXF22" s="2057"/>
      <c r="MXG22" s="2056"/>
      <c r="MXH22" s="2057"/>
      <c r="MXI22" s="2057"/>
      <c r="MXJ22" s="2056"/>
      <c r="MXK22" s="2057"/>
      <c r="MXL22" s="2057"/>
      <c r="MXM22" s="2056"/>
      <c r="MXN22" s="2057"/>
      <c r="MXO22" s="2057"/>
      <c r="MXP22" s="2056"/>
      <c r="MXQ22" s="2057"/>
      <c r="MXR22" s="2057"/>
      <c r="MXS22" s="2056"/>
      <c r="MXT22" s="2057"/>
      <c r="MXU22" s="2057"/>
      <c r="MXV22" s="2056"/>
      <c r="MXW22" s="2057"/>
      <c r="MXX22" s="2057"/>
      <c r="MXY22" s="2056"/>
      <c r="MXZ22" s="2057"/>
      <c r="MYA22" s="2057"/>
      <c r="MYB22" s="2056"/>
      <c r="MYC22" s="2057"/>
      <c r="MYD22" s="2057"/>
      <c r="MYE22" s="2056"/>
      <c r="MYF22" s="2057"/>
      <c r="MYG22" s="2057"/>
      <c r="MYH22" s="2056"/>
      <c r="MYI22" s="2057"/>
      <c r="MYJ22" s="2057"/>
      <c r="MYK22" s="2056"/>
      <c r="MYL22" s="2057"/>
      <c r="MYM22" s="2057"/>
      <c r="MYN22" s="2056"/>
      <c r="MYO22" s="2057"/>
      <c r="MYP22" s="2057"/>
      <c r="MYQ22" s="2056"/>
      <c r="MYR22" s="2057"/>
      <c r="MYS22" s="2057"/>
      <c r="MYT22" s="2056"/>
      <c r="MYU22" s="2057"/>
      <c r="MYV22" s="2057"/>
      <c r="MYW22" s="2056"/>
      <c r="MYX22" s="2057"/>
      <c r="MYY22" s="2057"/>
      <c r="MYZ22" s="2056"/>
      <c r="MZA22" s="2057"/>
      <c r="MZB22" s="2057"/>
      <c r="MZC22" s="2056"/>
      <c r="MZD22" s="2057"/>
      <c r="MZE22" s="2057"/>
      <c r="MZF22" s="2056"/>
      <c r="MZG22" s="2057"/>
      <c r="MZH22" s="2057"/>
      <c r="MZI22" s="2056"/>
      <c r="MZJ22" s="2057"/>
      <c r="MZK22" s="2057"/>
      <c r="MZL22" s="2056"/>
      <c r="MZM22" s="2057"/>
      <c r="MZN22" s="2057"/>
      <c r="MZO22" s="2056"/>
      <c r="MZP22" s="2057"/>
      <c r="MZQ22" s="2057"/>
      <c r="MZR22" s="2056"/>
      <c r="MZS22" s="2057"/>
      <c r="MZT22" s="2057"/>
      <c r="MZU22" s="2056"/>
      <c r="MZV22" s="2057"/>
      <c r="MZW22" s="2057"/>
      <c r="MZX22" s="2056"/>
      <c r="MZY22" s="2057"/>
      <c r="MZZ22" s="2057"/>
      <c r="NAA22" s="2056"/>
      <c r="NAB22" s="2057"/>
      <c r="NAC22" s="2057"/>
      <c r="NAD22" s="2056"/>
      <c r="NAE22" s="2057"/>
      <c r="NAF22" s="2057"/>
      <c r="NAG22" s="2056"/>
      <c r="NAH22" s="2057"/>
      <c r="NAI22" s="2057"/>
      <c r="NAJ22" s="2056"/>
      <c r="NAK22" s="2057"/>
      <c r="NAL22" s="2057"/>
      <c r="NAM22" s="2056"/>
      <c r="NAN22" s="2057"/>
      <c r="NAO22" s="2057"/>
      <c r="NAP22" s="2056"/>
      <c r="NAQ22" s="2057"/>
      <c r="NAR22" s="2057"/>
      <c r="NAS22" s="2056"/>
      <c r="NAT22" s="2057"/>
      <c r="NAU22" s="2057"/>
      <c r="NAV22" s="2056"/>
      <c r="NAW22" s="2057"/>
      <c r="NAX22" s="2057"/>
      <c r="NAY22" s="2056"/>
      <c r="NAZ22" s="2057"/>
      <c r="NBA22" s="2057"/>
      <c r="NBB22" s="2056"/>
      <c r="NBC22" s="2057"/>
      <c r="NBD22" s="2057"/>
      <c r="NBE22" s="2056"/>
      <c r="NBF22" s="2057"/>
      <c r="NBG22" s="2057"/>
      <c r="NBH22" s="2056"/>
      <c r="NBI22" s="2057"/>
      <c r="NBJ22" s="2057"/>
      <c r="NBK22" s="2056"/>
      <c r="NBL22" s="2057"/>
      <c r="NBM22" s="2057"/>
      <c r="NBN22" s="2056"/>
      <c r="NBO22" s="2057"/>
      <c r="NBP22" s="2057"/>
      <c r="NBQ22" s="2056"/>
      <c r="NBR22" s="2057"/>
      <c r="NBS22" s="2057"/>
      <c r="NBT22" s="2056"/>
      <c r="NBU22" s="2057"/>
      <c r="NBV22" s="2057"/>
      <c r="NBW22" s="2056"/>
      <c r="NBX22" s="2057"/>
      <c r="NBY22" s="2057"/>
      <c r="NBZ22" s="2056"/>
      <c r="NCA22" s="2057"/>
      <c r="NCB22" s="2057"/>
      <c r="NCC22" s="2056"/>
      <c r="NCD22" s="2057"/>
      <c r="NCE22" s="2057"/>
      <c r="NCF22" s="2056"/>
      <c r="NCG22" s="2057"/>
      <c r="NCH22" s="2057"/>
      <c r="NCI22" s="2056"/>
      <c r="NCJ22" s="2057"/>
      <c r="NCK22" s="2057"/>
      <c r="NCL22" s="2056"/>
      <c r="NCM22" s="2057"/>
      <c r="NCN22" s="2057"/>
      <c r="NCO22" s="2056"/>
      <c r="NCP22" s="2057"/>
      <c r="NCQ22" s="2057"/>
      <c r="NCR22" s="2056"/>
      <c r="NCS22" s="2057"/>
      <c r="NCT22" s="2057"/>
      <c r="NCU22" s="2056"/>
      <c r="NCV22" s="2057"/>
      <c r="NCW22" s="2057"/>
      <c r="NCX22" s="2056"/>
      <c r="NCY22" s="2057"/>
      <c r="NCZ22" s="2057"/>
      <c r="NDA22" s="2056"/>
      <c r="NDB22" s="2057"/>
      <c r="NDC22" s="2057"/>
      <c r="NDD22" s="2056"/>
      <c r="NDE22" s="2057"/>
      <c r="NDF22" s="2057"/>
      <c r="NDG22" s="2056"/>
      <c r="NDH22" s="2057"/>
      <c r="NDI22" s="2057"/>
      <c r="NDJ22" s="2056"/>
      <c r="NDK22" s="2057"/>
      <c r="NDL22" s="2057"/>
      <c r="NDM22" s="2056"/>
      <c r="NDN22" s="2057"/>
      <c r="NDO22" s="2057"/>
      <c r="NDP22" s="2056"/>
      <c r="NDQ22" s="2057"/>
      <c r="NDR22" s="2057"/>
      <c r="NDS22" s="2056"/>
      <c r="NDT22" s="2057"/>
      <c r="NDU22" s="2057"/>
      <c r="NDV22" s="2056"/>
      <c r="NDW22" s="2057"/>
      <c r="NDX22" s="2057"/>
      <c r="NDY22" s="2056"/>
      <c r="NDZ22" s="2057"/>
      <c r="NEA22" s="2057"/>
      <c r="NEB22" s="2056"/>
      <c r="NEC22" s="2057"/>
      <c r="NED22" s="2057"/>
      <c r="NEE22" s="2056"/>
      <c r="NEF22" s="2057"/>
      <c r="NEG22" s="2057"/>
      <c r="NEH22" s="2056"/>
      <c r="NEI22" s="2057"/>
      <c r="NEJ22" s="2057"/>
      <c r="NEK22" s="2056"/>
      <c r="NEL22" s="2057"/>
      <c r="NEM22" s="2057"/>
      <c r="NEN22" s="2056"/>
      <c r="NEO22" s="2057"/>
      <c r="NEP22" s="2057"/>
      <c r="NEQ22" s="2056"/>
      <c r="NER22" s="2057"/>
      <c r="NES22" s="2057"/>
      <c r="NET22" s="2056"/>
      <c r="NEU22" s="2057"/>
      <c r="NEV22" s="2057"/>
      <c r="NEW22" s="2056"/>
      <c r="NEX22" s="2057"/>
      <c r="NEY22" s="2057"/>
      <c r="NEZ22" s="2056"/>
      <c r="NFA22" s="2057"/>
      <c r="NFB22" s="2057"/>
      <c r="NFC22" s="2056"/>
      <c r="NFD22" s="2057"/>
      <c r="NFE22" s="2057"/>
      <c r="NFF22" s="2056"/>
      <c r="NFG22" s="2057"/>
      <c r="NFH22" s="2057"/>
      <c r="NFI22" s="2056"/>
      <c r="NFJ22" s="2057"/>
      <c r="NFK22" s="2057"/>
      <c r="NFL22" s="2056"/>
      <c r="NFM22" s="2057"/>
      <c r="NFN22" s="2057"/>
      <c r="NFO22" s="2056"/>
      <c r="NFP22" s="2057"/>
      <c r="NFQ22" s="2057"/>
      <c r="NFR22" s="2056"/>
      <c r="NFS22" s="2057"/>
      <c r="NFT22" s="2057"/>
      <c r="NFU22" s="2056"/>
      <c r="NFV22" s="2057"/>
      <c r="NFW22" s="2057"/>
      <c r="NFX22" s="2056"/>
      <c r="NFY22" s="2057"/>
      <c r="NFZ22" s="2057"/>
      <c r="NGA22" s="2056"/>
      <c r="NGB22" s="2057"/>
      <c r="NGC22" s="2057"/>
      <c r="NGD22" s="2056"/>
      <c r="NGE22" s="2057"/>
      <c r="NGF22" s="2057"/>
      <c r="NGG22" s="2056"/>
      <c r="NGH22" s="2057"/>
      <c r="NGI22" s="2057"/>
      <c r="NGJ22" s="2056"/>
      <c r="NGK22" s="2057"/>
      <c r="NGL22" s="2057"/>
      <c r="NGM22" s="2056"/>
      <c r="NGN22" s="2057"/>
      <c r="NGO22" s="2057"/>
      <c r="NGP22" s="2056"/>
      <c r="NGQ22" s="2057"/>
      <c r="NGR22" s="2057"/>
      <c r="NGS22" s="2056"/>
      <c r="NGT22" s="2057"/>
      <c r="NGU22" s="2057"/>
      <c r="NGV22" s="2056"/>
      <c r="NGW22" s="2057"/>
      <c r="NGX22" s="2057"/>
      <c r="NGY22" s="2056"/>
      <c r="NGZ22" s="2057"/>
      <c r="NHA22" s="2057"/>
      <c r="NHB22" s="2056"/>
      <c r="NHC22" s="2057"/>
      <c r="NHD22" s="2057"/>
      <c r="NHE22" s="2056"/>
      <c r="NHF22" s="2057"/>
      <c r="NHG22" s="2057"/>
      <c r="NHH22" s="2056"/>
      <c r="NHI22" s="2057"/>
      <c r="NHJ22" s="2057"/>
      <c r="NHK22" s="2056"/>
      <c r="NHL22" s="2057"/>
      <c r="NHM22" s="2057"/>
      <c r="NHN22" s="2056"/>
      <c r="NHO22" s="2057"/>
      <c r="NHP22" s="2057"/>
      <c r="NHQ22" s="2056"/>
      <c r="NHR22" s="2057"/>
      <c r="NHS22" s="2057"/>
      <c r="NHT22" s="2056"/>
      <c r="NHU22" s="2057"/>
      <c r="NHV22" s="2057"/>
      <c r="NHW22" s="2056"/>
      <c r="NHX22" s="2057"/>
      <c r="NHY22" s="2057"/>
      <c r="NHZ22" s="2056"/>
      <c r="NIA22" s="2057"/>
      <c r="NIB22" s="2057"/>
      <c r="NIC22" s="2056"/>
      <c r="NID22" s="2057"/>
      <c r="NIE22" s="2057"/>
      <c r="NIF22" s="2056"/>
      <c r="NIG22" s="2057"/>
      <c r="NIH22" s="2057"/>
      <c r="NII22" s="2056"/>
      <c r="NIJ22" s="2057"/>
      <c r="NIK22" s="2057"/>
      <c r="NIL22" s="2056"/>
      <c r="NIM22" s="2057"/>
      <c r="NIN22" s="2057"/>
      <c r="NIO22" s="2056"/>
      <c r="NIP22" s="2057"/>
      <c r="NIQ22" s="2057"/>
      <c r="NIR22" s="2056"/>
      <c r="NIS22" s="2057"/>
      <c r="NIT22" s="2057"/>
      <c r="NIU22" s="2056"/>
      <c r="NIV22" s="2057"/>
      <c r="NIW22" s="2057"/>
      <c r="NIX22" s="2056"/>
      <c r="NIY22" s="2057"/>
      <c r="NIZ22" s="2057"/>
      <c r="NJA22" s="2056"/>
      <c r="NJB22" s="2057"/>
      <c r="NJC22" s="2057"/>
      <c r="NJD22" s="2056"/>
      <c r="NJE22" s="2057"/>
      <c r="NJF22" s="2057"/>
      <c r="NJG22" s="2056"/>
      <c r="NJH22" s="2057"/>
      <c r="NJI22" s="2057"/>
      <c r="NJJ22" s="2056"/>
      <c r="NJK22" s="2057"/>
      <c r="NJL22" s="2057"/>
      <c r="NJM22" s="2056"/>
      <c r="NJN22" s="2057"/>
      <c r="NJO22" s="2057"/>
      <c r="NJP22" s="2056"/>
      <c r="NJQ22" s="2057"/>
      <c r="NJR22" s="2057"/>
      <c r="NJS22" s="2056"/>
      <c r="NJT22" s="2057"/>
      <c r="NJU22" s="2057"/>
      <c r="NJV22" s="2056"/>
      <c r="NJW22" s="2057"/>
      <c r="NJX22" s="2057"/>
      <c r="NJY22" s="2056"/>
      <c r="NJZ22" s="2057"/>
      <c r="NKA22" s="2057"/>
      <c r="NKB22" s="2056"/>
      <c r="NKC22" s="2057"/>
      <c r="NKD22" s="2057"/>
      <c r="NKE22" s="2056"/>
      <c r="NKF22" s="2057"/>
      <c r="NKG22" s="2057"/>
      <c r="NKH22" s="2056"/>
      <c r="NKI22" s="2057"/>
      <c r="NKJ22" s="2057"/>
      <c r="NKK22" s="2056"/>
      <c r="NKL22" s="2057"/>
      <c r="NKM22" s="2057"/>
      <c r="NKN22" s="2056"/>
      <c r="NKO22" s="2057"/>
      <c r="NKP22" s="2057"/>
      <c r="NKQ22" s="2056"/>
      <c r="NKR22" s="2057"/>
      <c r="NKS22" s="2057"/>
      <c r="NKT22" s="2056"/>
      <c r="NKU22" s="2057"/>
      <c r="NKV22" s="2057"/>
      <c r="NKW22" s="2056"/>
      <c r="NKX22" s="2057"/>
      <c r="NKY22" s="2057"/>
      <c r="NKZ22" s="2056"/>
      <c r="NLA22" s="2057"/>
      <c r="NLB22" s="2057"/>
      <c r="NLC22" s="2056"/>
      <c r="NLD22" s="2057"/>
      <c r="NLE22" s="2057"/>
      <c r="NLF22" s="2056"/>
      <c r="NLG22" s="2057"/>
      <c r="NLH22" s="2057"/>
      <c r="NLI22" s="2056"/>
      <c r="NLJ22" s="2057"/>
      <c r="NLK22" s="2057"/>
      <c r="NLL22" s="2056"/>
      <c r="NLM22" s="2057"/>
      <c r="NLN22" s="2057"/>
      <c r="NLO22" s="2056"/>
      <c r="NLP22" s="2057"/>
      <c r="NLQ22" s="2057"/>
      <c r="NLR22" s="2056"/>
      <c r="NLS22" s="2057"/>
      <c r="NLT22" s="2057"/>
      <c r="NLU22" s="2056"/>
      <c r="NLV22" s="2057"/>
      <c r="NLW22" s="2057"/>
      <c r="NLX22" s="2056"/>
      <c r="NLY22" s="2057"/>
      <c r="NLZ22" s="2057"/>
      <c r="NMA22" s="2056"/>
      <c r="NMB22" s="2057"/>
      <c r="NMC22" s="2057"/>
      <c r="NMD22" s="2056"/>
      <c r="NME22" s="2057"/>
      <c r="NMF22" s="2057"/>
      <c r="NMG22" s="2056"/>
      <c r="NMH22" s="2057"/>
      <c r="NMI22" s="2057"/>
      <c r="NMJ22" s="2056"/>
      <c r="NMK22" s="2057"/>
      <c r="NML22" s="2057"/>
      <c r="NMM22" s="2056"/>
      <c r="NMN22" s="2057"/>
      <c r="NMO22" s="2057"/>
      <c r="NMP22" s="2056"/>
      <c r="NMQ22" s="2057"/>
      <c r="NMR22" s="2057"/>
      <c r="NMS22" s="2056"/>
      <c r="NMT22" s="2057"/>
      <c r="NMU22" s="2057"/>
      <c r="NMV22" s="2056"/>
      <c r="NMW22" s="2057"/>
      <c r="NMX22" s="2057"/>
      <c r="NMY22" s="2056"/>
      <c r="NMZ22" s="2057"/>
      <c r="NNA22" s="2057"/>
      <c r="NNB22" s="2056"/>
      <c r="NNC22" s="2057"/>
      <c r="NND22" s="2057"/>
      <c r="NNE22" s="2056"/>
      <c r="NNF22" s="2057"/>
      <c r="NNG22" s="2057"/>
      <c r="NNH22" s="2056"/>
      <c r="NNI22" s="2057"/>
      <c r="NNJ22" s="2057"/>
      <c r="NNK22" s="2056"/>
      <c r="NNL22" s="2057"/>
      <c r="NNM22" s="2057"/>
      <c r="NNN22" s="2056"/>
      <c r="NNO22" s="2057"/>
      <c r="NNP22" s="2057"/>
      <c r="NNQ22" s="2056"/>
      <c r="NNR22" s="2057"/>
      <c r="NNS22" s="2057"/>
      <c r="NNT22" s="2056"/>
      <c r="NNU22" s="2057"/>
      <c r="NNV22" s="2057"/>
      <c r="NNW22" s="2056"/>
      <c r="NNX22" s="2057"/>
      <c r="NNY22" s="2057"/>
      <c r="NNZ22" s="2056"/>
      <c r="NOA22" s="2057"/>
      <c r="NOB22" s="2057"/>
      <c r="NOC22" s="2056"/>
      <c r="NOD22" s="2057"/>
      <c r="NOE22" s="2057"/>
      <c r="NOF22" s="2056"/>
      <c r="NOG22" s="2057"/>
      <c r="NOH22" s="2057"/>
      <c r="NOI22" s="2056"/>
      <c r="NOJ22" s="2057"/>
      <c r="NOK22" s="2057"/>
      <c r="NOL22" s="2056"/>
      <c r="NOM22" s="2057"/>
      <c r="NON22" s="2057"/>
      <c r="NOO22" s="2056"/>
      <c r="NOP22" s="2057"/>
      <c r="NOQ22" s="2057"/>
      <c r="NOR22" s="2056"/>
      <c r="NOS22" s="2057"/>
      <c r="NOT22" s="2057"/>
      <c r="NOU22" s="2056"/>
      <c r="NOV22" s="2057"/>
      <c r="NOW22" s="2057"/>
      <c r="NOX22" s="2056"/>
      <c r="NOY22" s="2057"/>
      <c r="NOZ22" s="2057"/>
      <c r="NPA22" s="2056"/>
      <c r="NPB22" s="2057"/>
      <c r="NPC22" s="2057"/>
      <c r="NPD22" s="2056"/>
      <c r="NPE22" s="2057"/>
      <c r="NPF22" s="2057"/>
      <c r="NPG22" s="2056"/>
      <c r="NPH22" s="2057"/>
      <c r="NPI22" s="2057"/>
      <c r="NPJ22" s="2056"/>
      <c r="NPK22" s="2057"/>
      <c r="NPL22" s="2057"/>
      <c r="NPM22" s="2056"/>
      <c r="NPN22" s="2057"/>
      <c r="NPO22" s="2057"/>
      <c r="NPP22" s="2056"/>
      <c r="NPQ22" s="2057"/>
      <c r="NPR22" s="2057"/>
      <c r="NPS22" s="2056"/>
      <c r="NPT22" s="2057"/>
      <c r="NPU22" s="2057"/>
      <c r="NPV22" s="2056"/>
      <c r="NPW22" s="2057"/>
      <c r="NPX22" s="2057"/>
      <c r="NPY22" s="2056"/>
      <c r="NPZ22" s="2057"/>
      <c r="NQA22" s="2057"/>
      <c r="NQB22" s="2056"/>
      <c r="NQC22" s="2057"/>
      <c r="NQD22" s="2057"/>
      <c r="NQE22" s="2056"/>
      <c r="NQF22" s="2057"/>
      <c r="NQG22" s="2057"/>
      <c r="NQH22" s="2056"/>
      <c r="NQI22" s="2057"/>
      <c r="NQJ22" s="2057"/>
      <c r="NQK22" s="2056"/>
      <c r="NQL22" s="2057"/>
      <c r="NQM22" s="2057"/>
      <c r="NQN22" s="2056"/>
      <c r="NQO22" s="2057"/>
      <c r="NQP22" s="2057"/>
      <c r="NQQ22" s="2056"/>
      <c r="NQR22" s="2057"/>
      <c r="NQS22" s="2057"/>
      <c r="NQT22" s="2056"/>
      <c r="NQU22" s="2057"/>
      <c r="NQV22" s="2057"/>
      <c r="NQW22" s="2056"/>
      <c r="NQX22" s="2057"/>
      <c r="NQY22" s="2057"/>
      <c r="NQZ22" s="2056"/>
      <c r="NRA22" s="2057"/>
      <c r="NRB22" s="2057"/>
      <c r="NRC22" s="2056"/>
      <c r="NRD22" s="2057"/>
      <c r="NRE22" s="2057"/>
      <c r="NRF22" s="2056"/>
      <c r="NRG22" s="2057"/>
      <c r="NRH22" s="2057"/>
      <c r="NRI22" s="2056"/>
      <c r="NRJ22" s="2057"/>
      <c r="NRK22" s="2057"/>
      <c r="NRL22" s="2056"/>
      <c r="NRM22" s="2057"/>
      <c r="NRN22" s="2057"/>
      <c r="NRO22" s="2056"/>
      <c r="NRP22" s="2057"/>
      <c r="NRQ22" s="2057"/>
      <c r="NRR22" s="2056"/>
      <c r="NRS22" s="2057"/>
      <c r="NRT22" s="2057"/>
      <c r="NRU22" s="2056"/>
      <c r="NRV22" s="2057"/>
      <c r="NRW22" s="2057"/>
      <c r="NRX22" s="2056"/>
      <c r="NRY22" s="2057"/>
      <c r="NRZ22" s="2057"/>
      <c r="NSA22" s="2056"/>
      <c r="NSB22" s="2057"/>
      <c r="NSC22" s="2057"/>
      <c r="NSD22" s="2056"/>
      <c r="NSE22" s="2057"/>
      <c r="NSF22" s="2057"/>
      <c r="NSG22" s="2056"/>
      <c r="NSH22" s="2057"/>
      <c r="NSI22" s="2057"/>
      <c r="NSJ22" s="2056"/>
      <c r="NSK22" s="2057"/>
      <c r="NSL22" s="2057"/>
      <c r="NSM22" s="2056"/>
      <c r="NSN22" s="2057"/>
      <c r="NSO22" s="2057"/>
      <c r="NSP22" s="2056"/>
      <c r="NSQ22" s="2057"/>
      <c r="NSR22" s="2057"/>
      <c r="NSS22" s="2056"/>
      <c r="NST22" s="2057"/>
      <c r="NSU22" s="2057"/>
      <c r="NSV22" s="2056"/>
      <c r="NSW22" s="2057"/>
      <c r="NSX22" s="2057"/>
      <c r="NSY22" s="2056"/>
      <c r="NSZ22" s="2057"/>
      <c r="NTA22" s="2057"/>
      <c r="NTB22" s="2056"/>
      <c r="NTC22" s="2057"/>
      <c r="NTD22" s="2057"/>
      <c r="NTE22" s="2056"/>
      <c r="NTF22" s="2057"/>
      <c r="NTG22" s="2057"/>
      <c r="NTH22" s="2056"/>
      <c r="NTI22" s="2057"/>
      <c r="NTJ22" s="2057"/>
      <c r="NTK22" s="2056"/>
      <c r="NTL22" s="2057"/>
      <c r="NTM22" s="2057"/>
      <c r="NTN22" s="2056"/>
      <c r="NTO22" s="2057"/>
      <c r="NTP22" s="2057"/>
      <c r="NTQ22" s="2056"/>
      <c r="NTR22" s="2057"/>
      <c r="NTS22" s="2057"/>
      <c r="NTT22" s="2056"/>
      <c r="NTU22" s="2057"/>
      <c r="NTV22" s="2057"/>
      <c r="NTW22" s="2056"/>
      <c r="NTX22" s="2057"/>
      <c r="NTY22" s="2057"/>
      <c r="NTZ22" s="2056"/>
      <c r="NUA22" s="2057"/>
      <c r="NUB22" s="2057"/>
      <c r="NUC22" s="2056"/>
      <c r="NUD22" s="2057"/>
      <c r="NUE22" s="2057"/>
      <c r="NUF22" s="2056"/>
      <c r="NUG22" s="2057"/>
      <c r="NUH22" s="2057"/>
      <c r="NUI22" s="2056"/>
      <c r="NUJ22" s="2057"/>
      <c r="NUK22" s="2057"/>
      <c r="NUL22" s="2056"/>
      <c r="NUM22" s="2057"/>
      <c r="NUN22" s="2057"/>
      <c r="NUO22" s="2056"/>
      <c r="NUP22" s="2057"/>
      <c r="NUQ22" s="2057"/>
      <c r="NUR22" s="2056"/>
      <c r="NUS22" s="2057"/>
      <c r="NUT22" s="2057"/>
      <c r="NUU22" s="2056"/>
      <c r="NUV22" s="2057"/>
      <c r="NUW22" s="2057"/>
      <c r="NUX22" s="2056"/>
      <c r="NUY22" s="2057"/>
      <c r="NUZ22" s="2057"/>
      <c r="NVA22" s="2056"/>
      <c r="NVB22" s="2057"/>
      <c r="NVC22" s="2057"/>
      <c r="NVD22" s="2056"/>
      <c r="NVE22" s="2057"/>
      <c r="NVF22" s="2057"/>
      <c r="NVG22" s="2056"/>
      <c r="NVH22" s="2057"/>
      <c r="NVI22" s="2057"/>
      <c r="NVJ22" s="2056"/>
      <c r="NVK22" s="2057"/>
      <c r="NVL22" s="2057"/>
      <c r="NVM22" s="2056"/>
      <c r="NVN22" s="2057"/>
      <c r="NVO22" s="2057"/>
      <c r="NVP22" s="2056"/>
      <c r="NVQ22" s="2057"/>
      <c r="NVR22" s="2057"/>
      <c r="NVS22" s="2056"/>
      <c r="NVT22" s="2057"/>
      <c r="NVU22" s="2057"/>
      <c r="NVV22" s="2056"/>
      <c r="NVW22" s="2057"/>
      <c r="NVX22" s="2057"/>
      <c r="NVY22" s="2056"/>
      <c r="NVZ22" s="2057"/>
      <c r="NWA22" s="2057"/>
      <c r="NWB22" s="2056"/>
      <c r="NWC22" s="2057"/>
      <c r="NWD22" s="2057"/>
      <c r="NWE22" s="2056"/>
      <c r="NWF22" s="2057"/>
      <c r="NWG22" s="2057"/>
      <c r="NWH22" s="2056"/>
      <c r="NWI22" s="2057"/>
      <c r="NWJ22" s="2057"/>
      <c r="NWK22" s="2056"/>
      <c r="NWL22" s="2057"/>
      <c r="NWM22" s="2057"/>
      <c r="NWN22" s="2056"/>
      <c r="NWO22" s="2057"/>
      <c r="NWP22" s="2057"/>
      <c r="NWQ22" s="2056"/>
      <c r="NWR22" s="2057"/>
      <c r="NWS22" s="2057"/>
      <c r="NWT22" s="2056"/>
      <c r="NWU22" s="2057"/>
      <c r="NWV22" s="2057"/>
      <c r="NWW22" s="2056"/>
      <c r="NWX22" s="2057"/>
      <c r="NWY22" s="2057"/>
      <c r="NWZ22" s="2056"/>
      <c r="NXA22" s="2057"/>
      <c r="NXB22" s="2057"/>
      <c r="NXC22" s="2056"/>
      <c r="NXD22" s="2057"/>
      <c r="NXE22" s="2057"/>
      <c r="NXF22" s="2056"/>
      <c r="NXG22" s="2057"/>
      <c r="NXH22" s="2057"/>
      <c r="NXI22" s="2056"/>
      <c r="NXJ22" s="2057"/>
      <c r="NXK22" s="2057"/>
      <c r="NXL22" s="2056"/>
      <c r="NXM22" s="2057"/>
      <c r="NXN22" s="2057"/>
      <c r="NXO22" s="2056"/>
      <c r="NXP22" s="2057"/>
      <c r="NXQ22" s="2057"/>
      <c r="NXR22" s="2056"/>
      <c r="NXS22" s="2057"/>
      <c r="NXT22" s="2057"/>
      <c r="NXU22" s="2056"/>
      <c r="NXV22" s="2057"/>
      <c r="NXW22" s="2057"/>
      <c r="NXX22" s="2056"/>
      <c r="NXY22" s="2057"/>
      <c r="NXZ22" s="2057"/>
      <c r="NYA22" s="2056"/>
      <c r="NYB22" s="2057"/>
      <c r="NYC22" s="2057"/>
      <c r="NYD22" s="2056"/>
      <c r="NYE22" s="2057"/>
      <c r="NYF22" s="2057"/>
      <c r="NYG22" s="2056"/>
      <c r="NYH22" s="2057"/>
      <c r="NYI22" s="2057"/>
      <c r="NYJ22" s="2056"/>
      <c r="NYK22" s="2057"/>
      <c r="NYL22" s="2057"/>
      <c r="NYM22" s="2056"/>
      <c r="NYN22" s="2057"/>
      <c r="NYO22" s="2057"/>
      <c r="NYP22" s="2056"/>
      <c r="NYQ22" s="2057"/>
      <c r="NYR22" s="2057"/>
      <c r="NYS22" s="2056"/>
      <c r="NYT22" s="2057"/>
      <c r="NYU22" s="2057"/>
      <c r="NYV22" s="2056"/>
      <c r="NYW22" s="2057"/>
      <c r="NYX22" s="2057"/>
      <c r="NYY22" s="2056"/>
      <c r="NYZ22" s="2057"/>
      <c r="NZA22" s="2057"/>
      <c r="NZB22" s="2056"/>
      <c r="NZC22" s="2057"/>
      <c r="NZD22" s="2057"/>
      <c r="NZE22" s="2056"/>
      <c r="NZF22" s="2057"/>
      <c r="NZG22" s="2057"/>
      <c r="NZH22" s="2056"/>
      <c r="NZI22" s="2057"/>
      <c r="NZJ22" s="2057"/>
      <c r="NZK22" s="2056"/>
      <c r="NZL22" s="2057"/>
      <c r="NZM22" s="2057"/>
      <c r="NZN22" s="2056"/>
      <c r="NZO22" s="2057"/>
      <c r="NZP22" s="2057"/>
      <c r="NZQ22" s="2056"/>
      <c r="NZR22" s="2057"/>
      <c r="NZS22" s="2057"/>
      <c r="NZT22" s="2056"/>
      <c r="NZU22" s="2057"/>
      <c r="NZV22" s="2057"/>
      <c r="NZW22" s="2056"/>
      <c r="NZX22" s="2057"/>
      <c r="NZY22" s="2057"/>
      <c r="NZZ22" s="2056"/>
      <c r="OAA22" s="2057"/>
      <c r="OAB22" s="2057"/>
      <c r="OAC22" s="2056"/>
      <c r="OAD22" s="2057"/>
      <c r="OAE22" s="2057"/>
      <c r="OAF22" s="2056"/>
      <c r="OAG22" s="2057"/>
      <c r="OAH22" s="2057"/>
      <c r="OAI22" s="2056"/>
      <c r="OAJ22" s="2057"/>
      <c r="OAK22" s="2057"/>
      <c r="OAL22" s="2056"/>
      <c r="OAM22" s="2057"/>
      <c r="OAN22" s="2057"/>
      <c r="OAO22" s="2056"/>
      <c r="OAP22" s="2057"/>
      <c r="OAQ22" s="2057"/>
      <c r="OAR22" s="2056"/>
      <c r="OAS22" s="2057"/>
      <c r="OAT22" s="2057"/>
      <c r="OAU22" s="2056"/>
      <c r="OAV22" s="2057"/>
      <c r="OAW22" s="2057"/>
      <c r="OAX22" s="2056"/>
      <c r="OAY22" s="2057"/>
      <c r="OAZ22" s="2057"/>
      <c r="OBA22" s="2056"/>
      <c r="OBB22" s="2057"/>
      <c r="OBC22" s="2057"/>
      <c r="OBD22" s="2056"/>
      <c r="OBE22" s="2057"/>
      <c r="OBF22" s="2057"/>
      <c r="OBG22" s="2056"/>
      <c r="OBH22" s="2057"/>
      <c r="OBI22" s="2057"/>
      <c r="OBJ22" s="2056"/>
      <c r="OBK22" s="2057"/>
      <c r="OBL22" s="2057"/>
      <c r="OBM22" s="2056"/>
      <c r="OBN22" s="2057"/>
      <c r="OBO22" s="2057"/>
      <c r="OBP22" s="2056"/>
      <c r="OBQ22" s="2057"/>
      <c r="OBR22" s="2057"/>
      <c r="OBS22" s="2056"/>
      <c r="OBT22" s="2057"/>
      <c r="OBU22" s="2057"/>
      <c r="OBV22" s="2056"/>
      <c r="OBW22" s="2057"/>
      <c r="OBX22" s="2057"/>
      <c r="OBY22" s="2056"/>
      <c r="OBZ22" s="2057"/>
      <c r="OCA22" s="2057"/>
      <c r="OCB22" s="2056"/>
      <c r="OCC22" s="2057"/>
      <c r="OCD22" s="2057"/>
      <c r="OCE22" s="2056"/>
      <c r="OCF22" s="2057"/>
      <c r="OCG22" s="2057"/>
      <c r="OCH22" s="2056"/>
      <c r="OCI22" s="2057"/>
      <c r="OCJ22" s="2057"/>
      <c r="OCK22" s="2056"/>
      <c r="OCL22" s="2057"/>
      <c r="OCM22" s="2057"/>
      <c r="OCN22" s="2056"/>
      <c r="OCO22" s="2057"/>
      <c r="OCP22" s="2057"/>
      <c r="OCQ22" s="2056"/>
      <c r="OCR22" s="2057"/>
      <c r="OCS22" s="2057"/>
      <c r="OCT22" s="2056"/>
      <c r="OCU22" s="2057"/>
      <c r="OCV22" s="2057"/>
      <c r="OCW22" s="2056"/>
      <c r="OCX22" s="2057"/>
      <c r="OCY22" s="2057"/>
      <c r="OCZ22" s="2056"/>
      <c r="ODA22" s="2057"/>
      <c r="ODB22" s="2057"/>
      <c r="ODC22" s="2056"/>
      <c r="ODD22" s="2057"/>
      <c r="ODE22" s="2057"/>
      <c r="ODF22" s="2056"/>
      <c r="ODG22" s="2057"/>
      <c r="ODH22" s="2057"/>
      <c r="ODI22" s="2056"/>
      <c r="ODJ22" s="2057"/>
      <c r="ODK22" s="2057"/>
      <c r="ODL22" s="2056"/>
      <c r="ODM22" s="2057"/>
      <c r="ODN22" s="2057"/>
      <c r="ODO22" s="2056"/>
      <c r="ODP22" s="2057"/>
      <c r="ODQ22" s="2057"/>
      <c r="ODR22" s="2056"/>
      <c r="ODS22" s="2057"/>
      <c r="ODT22" s="2057"/>
      <c r="ODU22" s="2056"/>
      <c r="ODV22" s="2057"/>
      <c r="ODW22" s="2057"/>
      <c r="ODX22" s="2056"/>
      <c r="ODY22" s="2057"/>
      <c r="ODZ22" s="2057"/>
      <c r="OEA22" s="2056"/>
      <c r="OEB22" s="2057"/>
      <c r="OEC22" s="2057"/>
      <c r="OED22" s="2056"/>
      <c r="OEE22" s="2057"/>
      <c r="OEF22" s="2057"/>
      <c r="OEG22" s="2056"/>
      <c r="OEH22" s="2057"/>
      <c r="OEI22" s="2057"/>
      <c r="OEJ22" s="2056"/>
      <c r="OEK22" s="2057"/>
      <c r="OEL22" s="2057"/>
      <c r="OEM22" s="2056"/>
      <c r="OEN22" s="2057"/>
      <c r="OEO22" s="2057"/>
      <c r="OEP22" s="2056"/>
      <c r="OEQ22" s="2057"/>
      <c r="OER22" s="2057"/>
      <c r="OES22" s="2056"/>
      <c r="OET22" s="2057"/>
      <c r="OEU22" s="2057"/>
      <c r="OEV22" s="2056"/>
      <c r="OEW22" s="2057"/>
      <c r="OEX22" s="2057"/>
      <c r="OEY22" s="2056"/>
      <c r="OEZ22" s="2057"/>
      <c r="OFA22" s="2057"/>
      <c r="OFB22" s="2056"/>
      <c r="OFC22" s="2057"/>
      <c r="OFD22" s="2057"/>
      <c r="OFE22" s="2056"/>
      <c r="OFF22" s="2057"/>
      <c r="OFG22" s="2057"/>
      <c r="OFH22" s="2056"/>
      <c r="OFI22" s="2057"/>
      <c r="OFJ22" s="2057"/>
      <c r="OFK22" s="2056"/>
      <c r="OFL22" s="2057"/>
      <c r="OFM22" s="2057"/>
      <c r="OFN22" s="2056"/>
      <c r="OFO22" s="2057"/>
      <c r="OFP22" s="2057"/>
      <c r="OFQ22" s="2056"/>
      <c r="OFR22" s="2057"/>
      <c r="OFS22" s="2057"/>
      <c r="OFT22" s="2056"/>
      <c r="OFU22" s="2057"/>
      <c r="OFV22" s="2057"/>
      <c r="OFW22" s="2056"/>
      <c r="OFX22" s="2057"/>
      <c r="OFY22" s="2057"/>
      <c r="OFZ22" s="2056"/>
      <c r="OGA22" s="2057"/>
      <c r="OGB22" s="2057"/>
      <c r="OGC22" s="2056"/>
      <c r="OGD22" s="2057"/>
      <c r="OGE22" s="2057"/>
      <c r="OGF22" s="2056"/>
      <c r="OGG22" s="2057"/>
      <c r="OGH22" s="2057"/>
      <c r="OGI22" s="2056"/>
      <c r="OGJ22" s="2057"/>
      <c r="OGK22" s="2057"/>
      <c r="OGL22" s="2056"/>
      <c r="OGM22" s="2057"/>
      <c r="OGN22" s="2057"/>
      <c r="OGO22" s="2056"/>
      <c r="OGP22" s="2057"/>
      <c r="OGQ22" s="2057"/>
      <c r="OGR22" s="2056"/>
      <c r="OGS22" s="2057"/>
      <c r="OGT22" s="2057"/>
      <c r="OGU22" s="2056"/>
      <c r="OGV22" s="2057"/>
      <c r="OGW22" s="2057"/>
      <c r="OGX22" s="2056"/>
      <c r="OGY22" s="2057"/>
      <c r="OGZ22" s="2057"/>
      <c r="OHA22" s="2056"/>
      <c r="OHB22" s="2057"/>
      <c r="OHC22" s="2057"/>
      <c r="OHD22" s="2056"/>
      <c r="OHE22" s="2057"/>
      <c r="OHF22" s="2057"/>
      <c r="OHG22" s="2056"/>
      <c r="OHH22" s="2057"/>
      <c r="OHI22" s="2057"/>
      <c r="OHJ22" s="2056"/>
      <c r="OHK22" s="2057"/>
      <c r="OHL22" s="2057"/>
      <c r="OHM22" s="2056"/>
      <c r="OHN22" s="2057"/>
      <c r="OHO22" s="2057"/>
      <c r="OHP22" s="2056"/>
      <c r="OHQ22" s="2057"/>
      <c r="OHR22" s="2057"/>
      <c r="OHS22" s="2056"/>
      <c r="OHT22" s="2057"/>
      <c r="OHU22" s="2057"/>
      <c r="OHV22" s="2056"/>
      <c r="OHW22" s="2057"/>
      <c r="OHX22" s="2057"/>
      <c r="OHY22" s="2056"/>
      <c r="OHZ22" s="2057"/>
      <c r="OIA22" s="2057"/>
      <c r="OIB22" s="2056"/>
      <c r="OIC22" s="2057"/>
      <c r="OID22" s="2057"/>
      <c r="OIE22" s="2056"/>
      <c r="OIF22" s="2057"/>
      <c r="OIG22" s="2057"/>
      <c r="OIH22" s="2056"/>
      <c r="OII22" s="2057"/>
      <c r="OIJ22" s="2057"/>
      <c r="OIK22" s="2056"/>
      <c r="OIL22" s="2057"/>
      <c r="OIM22" s="2057"/>
      <c r="OIN22" s="2056"/>
      <c r="OIO22" s="2057"/>
      <c r="OIP22" s="2057"/>
      <c r="OIQ22" s="2056"/>
      <c r="OIR22" s="2057"/>
      <c r="OIS22" s="2057"/>
      <c r="OIT22" s="2056"/>
      <c r="OIU22" s="2057"/>
      <c r="OIV22" s="2057"/>
      <c r="OIW22" s="2056"/>
      <c r="OIX22" s="2057"/>
      <c r="OIY22" s="2057"/>
      <c r="OIZ22" s="2056"/>
      <c r="OJA22" s="2057"/>
      <c r="OJB22" s="2057"/>
      <c r="OJC22" s="2056"/>
      <c r="OJD22" s="2057"/>
      <c r="OJE22" s="2057"/>
      <c r="OJF22" s="2056"/>
      <c r="OJG22" s="2057"/>
      <c r="OJH22" s="2057"/>
      <c r="OJI22" s="2056"/>
      <c r="OJJ22" s="2057"/>
      <c r="OJK22" s="2057"/>
      <c r="OJL22" s="2056"/>
      <c r="OJM22" s="2057"/>
      <c r="OJN22" s="2057"/>
      <c r="OJO22" s="2056"/>
      <c r="OJP22" s="2057"/>
      <c r="OJQ22" s="2057"/>
      <c r="OJR22" s="2056"/>
      <c r="OJS22" s="2057"/>
      <c r="OJT22" s="2057"/>
      <c r="OJU22" s="2056"/>
      <c r="OJV22" s="2057"/>
      <c r="OJW22" s="2057"/>
      <c r="OJX22" s="2056"/>
      <c r="OJY22" s="2057"/>
      <c r="OJZ22" s="2057"/>
      <c r="OKA22" s="2056"/>
      <c r="OKB22" s="2057"/>
      <c r="OKC22" s="2057"/>
      <c r="OKD22" s="2056"/>
      <c r="OKE22" s="2057"/>
      <c r="OKF22" s="2057"/>
      <c r="OKG22" s="2056"/>
      <c r="OKH22" s="2057"/>
      <c r="OKI22" s="2057"/>
      <c r="OKJ22" s="2056"/>
      <c r="OKK22" s="2057"/>
      <c r="OKL22" s="2057"/>
      <c r="OKM22" s="2056"/>
      <c r="OKN22" s="2057"/>
      <c r="OKO22" s="2057"/>
      <c r="OKP22" s="2056"/>
      <c r="OKQ22" s="2057"/>
      <c r="OKR22" s="2057"/>
      <c r="OKS22" s="2056"/>
      <c r="OKT22" s="2057"/>
      <c r="OKU22" s="2057"/>
      <c r="OKV22" s="2056"/>
      <c r="OKW22" s="2057"/>
      <c r="OKX22" s="2057"/>
      <c r="OKY22" s="2056"/>
      <c r="OKZ22" s="2057"/>
      <c r="OLA22" s="2057"/>
      <c r="OLB22" s="2056"/>
      <c r="OLC22" s="2057"/>
      <c r="OLD22" s="2057"/>
      <c r="OLE22" s="2056"/>
      <c r="OLF22" s="2057"/>
      <c r="OLG22" s="2057"/>
      <c r="OLH22" s="2056"/>
      <c r="OLI22" s="2057"/>
      <c r="OLJ22" s="2057"/>
      <c r="OLK22" s="2056"/>
      <c r="OLL22" s="2057"/>
      <c r="OLM22" s="2057"/>
      <c r="OLN22" s="2056"/>
      <c r="OLO22" s="2057"/>
      <c r="OLP22" s="2057"/>
      <c r="OLQ22" s="2056"/>
      <c r="OLR22" s="2057"/>
      <c r="OLS22" s="2057"/>
      <c r="OLT22" s="2056"/>
      <c r="OLU22" s="2057"/>
      <c r="OLV22" s="2057"/>
      <c r="OLW22" s="2056"/>
      <c r="OLX22" s="2057"/>
      <c r="OLY22" s="2057"/>
      <c r="OLZ22" s="2056"/>
      <c r="OMA22" s="2057"/>
      <c r="OMB22" s="2057"/>
      <c r="OMC22" s="2056"/>
      <c r="OMD22" s="2057"/>
      <c r="OME22" s="2057"/>
      <c r="OMF22" s="2056"/>
      <c r="OMG22" s="2057"/>
      <c r="OMH22" s="2057"/>
      <c r="OMI22" s="2056"/>
      <c r="OMJ22" s="2057"/>
      <c r="OMK22" s="2057"/>
      <c r="OML22" s="2056"/>
      <c r="OMM22" s="2057"/>
      <c r="OMN22" s="2057"/>
      <c r="OMO22" s="2056"/>
      <c r="OMP22" s="2057"/>
      <c r="OMQ22" s="2057"/>
      <c r="OMR22" s="2056"/>
      <c r="OMS22" s="2057"/>
      <c r="OMT22" s="2057"/>
      <c r="OMU22" s="2056"/>
      <c r="OMV22" s="2057"/>
      <c r="OMW22" s="2057"/>
      <c r="OMX22" s="2056"/>
      <c r="OMY22" s="2057"/>
      <c r="OMZ22" s="2057"/>
      <c r="ONA22" s="2056"/>
      <c r="ONB22" s="2057"/>
      <c r="ONC22" s="2057"/>
      <c r="OND22" s="2056"/>
      <c r="ONE22" s="2057"/>
      <c r="ONF22" s="2057"/>
      <c r="ONG22" s="2056"/>
      <c r="ONH22" s="2057"/>
      <c r="ONI22" s="2057"/>
      <c r="ONJ22" s="2056"/>
      <c r="ONK22" s="2057"/>
      <c r="ONL22" s="2057"/>
      <c r="ONM22" s="2056"/>
      <c r="ONN22" s="2057"/>
      <c r="ONO22" s="2057"/>
      <c r="ONP22" s="2056"/>
      <c r="ONQ22" s="2057"/>
      <c r="ONR22" s="2057"/>
      <c r="ONS22" s="2056"/>
      <c r="ONT22" s="2057"/>
      <c r="ONU22" s="2057"/>
      <c r="ONV22" s="2056"/>
      <c r="ONW22" s="2057"/>
      <c r="ONX22" s="2057"/>
      <c r="ONY22" s="2056"/>
      <c r="ONZ22" s="2057"/>
      <c r="OOA22" s="2057"/>
      <c r="OOB22" s="2056"/>
      <c r="OOC22" s="2057"/>
      <c r="OOD22" s="2057"/>
      <c r="OOE22" s="2056"/>
      <c r="OOF22" s="2057"/>
      <c r="OOG22" s="2057"/>
      <c r="OOH22" s="2056"/>
      <c r="OOI22" s="2057"/>
      <c r="OOJ22" s="2057"/>
      <c r="OOK22" s="2056"/>
      <c r="OOL22" s="2057"/>
      <c r="OOM22" s="2057"/>
      <c r="OON22" s="2056"/>
      <c r="OOO22" s="2057"/>
      <c r="OOP22" s="2057"/>
      <c r="OOQ22" s="2056"/>
      <c r="OOR22" s="2057"/>
      <c r="OOS22" s="2057"/>
      <c r="OOT22" s="2056"/>
      <c r="OOU22" s="2057"/>
      <c r="OOV22" s="2057"/>
      <c r="OOW22" s="2056"/>
      <c r="OOX22" s="2057"/>
      <c r="OOY22" s="2057"/>
      <c r="OOZ22" s="2056"/>
      <c r="OPA22" s="2057"/>
      <c r="OPB22" s="2057"/>
      <c r="OPC22" s="2056"/>
      <c r="OPD22" s="2057"/>
      <c r="OPE22" s="2057"/>
      <c r="OPF22" s="2056"/>
      <c r="OPG22" s="2057"/>
      <c r="OPH22" s="2057"/>
      <c r="OPI22" s="2056"/>
      <c r="OPJ22" s="2057"/>
      <c r="OPK22" s="2057"/>
      <c r="OPL22" s="2056"/>
      <c r="OPM22" s="2057"/>
      <c r="OPN22" s="2057"/>
      <c r="OPO22" s="2056"/>
      <c r="OPP22" s="2057"/>
      <c r="OPQ22" s="2057"/>
      <c r="OPR22" s="2056"/>
      <c r="OPS22" s="2057"/>
      <c r="OPT22" s="2057"/>
      <c r="OPU22" s="2056"/>
      <c r="OPV22" s="2057"/>
      <c r="OPW22" s="2057"/>
      <c r="OPX22" s="2056"/>
      <c r="OPY22" s="2057"/>
      <c r="OPZ22" s="2057"/>
      <c r="OQA22" s="2056"/>
      <c r="OQB22" s="2057"/>
      <c r="OQC22" s="2057"/>
      <c r="OQD22" s="2056"/>
      <c r="OQE22" s="2057"/>
      <c r="OQF22" s="2057"/>
      <c r="OQG22" s="2056"/>
      <c r="OQH22" s="2057"/>
      <c r="OQI22" s="2057"/>
      <c r="OQJ22" s="2056"/>
      <c r="OQK22" s="2057"/>
      <c r="OQL22" s="2057"/>
      <c r="OQM22" s="2056"/>
      <c r="OQN22" s="2057"/>
      <c r="OQO22" s="2057"/>
      <c r="OQP22" s="2056"/>
      <c r="OQQ22" s="2057"/>
      <c r="OQR22" s="2057"/>
      <c r="OQS22" s="2056"/>
      <c r="OQT22" s="2057"/>
      <c r="OQU22" s="2057"/>
      <c r="OQV22" s="2056"/>
      <c r="OQW22" s="2057"/>
      <c r="OQX22" s="2057"/>
      <c r="OQY22" s="2056"/>
      <c r="OQZ22" s="2057"/>
      <c r="ORA22" s="2057"/>
      <c r="ORB22" s="2056"/>
      <c r="ORC22" s="2057"/>
      <c r="ORD22" s="2057"/>
      <c r="ORE22" s="2056"/>
      <c r="ORF22" s="2057"/>
      <c r="ORG22" s="2057"/>
      <c r="ORH22" s="2056"/>
      <c r="ORI22" s="2057"/>
      <c r="ORJ22" s="2057"/>
      <c r="ORK22" s="2056"/>
      <c r="ORL22" s="2057"/>
      <c r="ORM22" s="2057"/>
      <c r="ORN22" s="2056"/>
      <c r="ORO22" s="2057"/>
      <c r="ORP22" s="2057"/>
      <c r="ORQ22" s="2056"/>
      <c r="ORR22" s="2057"/>
      <c r="ORS22" s="2057"/>
      <c r="ORT22" s="2056"/>
      <c r="ORU22" s="2057"/>
      <c r="ORV22" s="2057"/>
      <c r="ORW22" s="2056"/>
      <c r="ORX22" s="2057"/>
      <c r="ORY22" s="2057"/>
      <c r="ORZ22" s="2056"/>
      <c r="OSA22" s="2057"/>
      <c r="OSB22" s="2057"/>
      <c r="OSC22" s="2056"/>
      <c r="OSD22" s="2057"/>
      <c r="OSE22" s="2057"/>
      <c r="OSF22" s="2056"/>
      <c r="OSG22" s="2057"/>
      <c r="OSH22" s="2057"/>
      <c r="OSI22" s="2056"/>
      <c r="OSJ22" s="2057"/>
      <c r="OSK22" s="2057"/>
      <c r="OSL22" s="2056"/>
      <c r="OSM22" s="2057"/>
      <c r="OSN22" s="2057"/>
      <c r="OSO22" s="2056"/>
      <c r="OSP22" s="2057"/>
      <c r="OSQ22" s="2057"/>
      <c r="OSR22" s="2056"/>
      <c r="OSS22" s="2057"/>
      <c r="OST22" s="2057"/>
      <c r="OSU22" s="2056"/>
      <c r="OSV22" s="2057"/>
      <c r="OSW22" s="2057"/>
      <c r="OSX22" s="2056"/>
      <c r="OSY22" s="2057"/>
      <c r="OSZ22" s="2057"/>
      <c r="OTA22" s="2056"/>
      <c r="OTB22" s="2057"/>
      <c r="OTC22" s="2057"/>
      <c r="OTD22" s="2056"/>
      <c r="OTE22" s="2057"/>
      <c r="OTF22" s="2057"/>
      <c r="OTG22" s="2056"/>
      <c r="OTH22" s="2057"/>
      <c r="OTI22" s="2057"/>
      <c r="OTJ22" s="2056"/>
      <c r="OTK22" s="2057"/>
      <c r="OTL22" s="2057"/>
      <c r="OTM22" s="2056"/>
      <c r="OTN22" s="2057"/>
      <c r="OTO22" s="2057"/>
      <c r="OTP22" s="2056"/>
      <c r="OTQ22" s="2057"/>
      <c r="OTR22" s="2057"/>
      <c r="OTS22" s="2056"/>
      <c r="OTT22" s="2057"/>
      <c r="OTU22" s="2057"/>
      <c r="OTV22" s="2056"/>
      <c r="OTW22" s="2057"/>
      <c r="OTX22" s="2057"/>
      <c r="OTY22" s="2056"/>
      <c r="OTZ22" s="2057"/>
      <c r="OUA22" s="2057"/>
      <c r="OUB22" s="2056"/>
      <c r="OUC22" s="2057"/>
      <c r="OUD22" s="2057"/>
      <c r="OUE22" s="2056"/>
      <c r="OUF22" s="2057"/>
      <c r="OUG22" s="2057"/>
      <c r="OUH22" s="2056"/>
      <c r="OUI22" s="2057"/>
      <c r="OUJ22" s="2057"/>
      <c r="OUK22" s="2056"/>
      <c r="OUL22" s="2057"/>
      <c r="OUM22" s="2057"/>
      <c r="OUN22" s="2056"/>
      <c r="OUO22" s="2057"/>
      <c r="OUP22" s="2057"/>
      <c r="OUQ22" s="2056"/>
      <c r="OUR22" s="2057"/>
      <c r="OUS22" s="2057"/>
      <c r="OUT22" s="2056"/>
      <c r="OUU22" s="2057"/>
      <c r="OUV22" s="2057"/>
      <c r="OUW22" s="2056"/>
      <c r="OUX22" s="2057"/>
      <c r="OUY22" s="2057"/>
      <c r="OUZ22" s="2056"/>
      <c r="OVA22" s="2057"/>
      <c r="OVB22" s="2057"/>
      <c r="OVC22" s="2056"/>
      <c r="OVD22" s="2057"/>
      <c r="OVE22" s="2057"/>
      <c r="OVF22" s="2056"/>
      <c r="OVG22" s="2057"/>
      <c r="OVH22" s="2057"/>
      <c r="OVI22" s="2056"/>
      <c r="OVJ22" s="2057"/>
      <c r="OVK22" s="2057"/>
      <c r="OVL22" s="2056"/>
      <c r="OVM22" s="2057"/>
      <c r="OVN22" s="2057"/>
      <c r="OVO22" s="2056"/>
      <c r="OVP22" s="2057"/>
      <c r="OVQ22" s="2057"/>
      <c r="OVR22" s="2056"/>
      <c r="OVS22" s="2057"/>
      <c r="OVT22" s="2057"/>
      <c r="OVU22" s="2056"/>
      <c r="OVV22" s="2057"/>
      <c r="OVW22" s="2057"/>
      <c r="OVX22" s="2056"/>
      <c r="OVY22" s="2057"/>
      <c r="OVZ22" s="2057"/>
      <c r="OWA22" s="2056"/>
      <c r="OWB22" s="2057"/>
      <c r="OWC22" s="2057"/>
      <c r="OWD22" s="2056"/>
      <c r="OWE22" s="2057"/>
      <c r="OWF22" s="2057"/>
      <c r="OWG22" s="2056"/>
      <c r="OWH22" s="2057"/>
      <c r="OWI22" s="2057"/>
      <c r="OWJ22" s="2056"/>
      <c r="OWK22" s="2057"/>
      <c r="OWL22" s="2057"/>
      <c r="OWM22" s="2056"/>
      <c r="OWN22" s="2057"/>
      <c r="OWO22" s="2057"/>
      <c r="OWP22" s="2056"/>
      <c r="OWQ22" s="2057"/>
      <c r="OWR22" s="2057"/>
      <c r="OWS22" s="2056"/>
      <c r="OWT22" s="2057"/>
      <c r="OWU22" s="2057"/>
      <c r="OWV22" s="2056"/>
      <c r="OWW22" s="2057"/>
      <c r="OWX22" s="2057"/>
      <c r="OWY22" s="2056"/>
      <c r="OWZ22" s="2057"/>
      <c r="OXA22" s="2057"/>
      <c r="OXB22" s="2056"/>
      <c r="OXC22" s="2057"/>
      <c r="OXD22" s="2057"/>
      <c r="OXE22" s="2056"/>
      <c r="OXF22" s="2057"/>
      <c r="OXG22" s="2057"/>
      <c r="OXH22" s="2056"/>
      <c r="OXI22" s="2057"/>
      <c r="OXJ22" s="2057"/>
      <c r="OXK22" s="2056"/>
      <c r="OXL22" s="2057"/>
      <c r="OXM22" s="2057"/>
      <c r="OXN22" s="2056"/>
      <c r="OXO22" s="2057"/>
      <c r="OXP22" s="2057"/>
      <c r="OXQ22" s="2056"/>
      <c r="OXR22" s="2057"/>
      <c r="OXS22" s="2057"/>
      <c r="OXT22" s="2056"/>
      <c r="OXU22" s="2057"/>
      <c r="OXV22" s="2057"/>
      <c r="OXW22" s="2056"/>
      <c r="OXX22" s="2057"/>
      <c r="OXY22" s="2057"/>
      <c r="OXZ22" s="2056"/>
      <c r="OYA22" s="2057"/>
      <c r="OYB22" s="2057"/>
      <c r="OYC22" s="2056"/>
      <c r="OYD22" s="2057"/>
      <c r="OYE22" s="2057"/>
      <c r="OYF22" s="2056"/>
      <c r="OYG22" s="2057"/>
      <c r="OYH22" s="2057"/>
      <c r="OYI22" s="2056"/>
      <c r="OYJ22" s="2057"/>
      <c r="OYK22" s="2057"/>
      <c r="OYL22" s="2056"/>
      <c r="OYM22" s="2057"/>
      <c r="OYN22" s="2057"/>
      <c r="OYO22" s="2056"/>
      <c r="OYP22" s="2057"/>
      <c r="OYQ22" s="2057"/>
      <c r="OYR22" s="2056"/>
      <c r="OYS22" s="2057"/>
      <c r="OYT22" s="2057"/>
      <c r="OYU22" s="2056"/>
      <c r="OYV22" s="2057"/>
      <c r="OYW22" s="2057"/>
      <c r="OYX22" s="2056"/>
      <c r="OYY22" s="2057"/>
      <c r="OYZ22" s="2057"/>
      <c r="OZA22" s="2056"/>
      <c r="OZB22" s="2057"/>
      <c r="OZC22" s="2057"/>
      <c r="OZD22" s="2056"/>
      <c r="OZE22" s="2057"/>
      <c r="OZF22" s="2057"/>
      <c r="OZG22" s="2056"/>
      <c r="OZH22" s="2057"/>
      <c r="OZI22" s="2057"/>
      <c r="OZJ22" s="2056"/>
      <c r="OZK22" s="2057"/>
      <c r="OZL22" s="2057"/>
      <c r="OZM22" s="2056"/>
      <c r="OZN22" s="2057"/>
      <c r="OZO22" s="2057"/>
      <c r="OZP22" s="2056"/>
      <c r="OZQ22" s="2057"/>
      <c r="OZR22" s="2057"/>
      <c r="OZS22" s="2056"/>
      <c r="OZT22" s="2057"/>
      <c r="OZU22" s="2057"/>
      <c r="OZV22" s="2056"/>
      <c r="OZW22" s="2057"/>
      <c r="OZX22" s="2057"/>
      <c r="OZY22" s="2056"/>
      <c r="OZZ22" s="2057"/>
      <c r="PAA22" s="2057"/>
      <c r="PAB22" s="2056"/>
      <c r="PAC22" s="2057"/>
      <c r="PAD22" s="2057"/>
      <c r="PAE22" s="2056"/>
      <c r="PAF22" s="2057"/>
      <c r="PAG22" s="2057"/>
      <c r="PAH22" s="2056"/>
      <c r="PAI22" s="2057"/>
      <c r="PAJ22" s="2057"/>
      <c r="PAK22" s="2056"/>
      <c r="PAL22" s="2057"/>
      <c r="PAM22" s="2057"/>
      <c r="PAN22" s="2056"/>
      <c r="PAO22" s="2057"/>
      <c r="PAP22" s="2057"/>
      <c r="PAQ22" s="2056"/>
      <c r="PAR22" s="2057"/>
      <c r="PAS22" s="2057"/>
      <c r="PAT22" s="2056"/>
      <c r="PAU22" s="2057"/>
      <c r="PAV22" s="2057"/>
      <c r="PAW22" s="2056"/>
      <c r="PAX22" s="2057"/>
      <c r="PAY22" s="2057"/>
      <c r="PAZ22" s="2056"/>
      <c r="PBA22" s="2057"/>
      <c r="PBB22" s="2057"/>
      <c r="PBC22" s="2056"/>
      <c r="PBD22" s="2057"/>
      <c r="PBE22" s="2057"/>
      <c r="PBF22" s="2056"/>
      <c r="PBG22" s="2057"/>
      <c r="PBH22" s="2057"/>
      <c r="PBI22" s="2056"/>
      <c r="PBJ22" s="2057"/>
      <c r="PBK22" s="2057"/>
      <c r="PBL22" s="2056"/>
      <c r="PBM22" s="2057"/>
      <c r="PBN22" s="2057"/>
      <c r="PBO22" s="2056"/>
      <c r="PBP22" s="2057"/>
      <c r="PBQ22" s="2057"/>
      <c r="PBR22" s="2056"/>
      <c r="PBS22" s="2057"/>
      <c r="PBT22" s="2057"/>
      <c r="PBU22" s="2056"/>
      <c r="PBV22" s="2057"/>
      <c r="PBW22" s="2057"/>
      <c r="PBX22" s="2056"/>
      <c r="PBY22" s="2057"/>
      <c r="PBZ22" s="2057"/>
      <c r="PCA22" s="2056"/>
      <c r="PCB22" s="2057"/>
      <c r="PCC22" s="2057"/>
      <c r="PCD22" s="2056"/>
      <c r="PCE22" s="2057"/>
      <c r="PCF22" s="2057"/>
      <c r="PCG22" s="2056"/>
      <c r="PCH22" s="2057"/>
      <c r="PCI22" s="2057"/>
      <c r="PCJ22" s="2056"/>
      <c r="PCK22" s="2057"/>
      <c r="PCL22" s="2057"/>
      <c r="PCM22" s="2056"/>
      <c r="PCN22" s="2057"/>
      <c r="PCO22" s="2057"/>
      <c r="PCP22" s="2056"/>
      <c r="PCQ22" s="2057"/>
      <c r="PCR22" s="2057"/>
      <c r="PCS22" s="2056"/>
      <c r="PCT22" s="2057"/>
      <c r="PCU22" s="2057"/>
      <c r="PCV22" s="2056"/>
      <c r="PCW22" s="2057"/>
      <c r="PCX22" s="2057"/>
      <c r="PCY22" s="2056"/>
      <c r="PCZ22" s="2057"/>
      <c r="PDA22" s="2057"/>
      <c r="PDB22" s="2056"/>
      <c r="PDC22" s="2057"/>
      <c r="PDD22" s="2057"/>
      <c r="PDE22" s="2056"/>
      <c r="PDF22" s="2057"/>
      <c r="PDG22" s="2057"/>
      <c r="PDH22" s="2056"/>
      <c r="PDI22" s="2057"/>
      <c r="PDJ22" s="2057"/>
      <c r="PDK22" s="2056"/>
      <c r="PDL22" s="2057"/>
      <c r="PDM22" s="2057"/>
      <c r="PDN22" s="2056"/>
      <c r="PDO22" s="2057"/>
      <c r="PDP22" s="2057"/>
      <c r="PDQ22" s="2056"/>
      <c r="PDR22" s="2057"/>
      <c r="PDS22" s="2057"/>
      <c r="PDT22" s="2056"/>
      <c r="PDU22" s="2057"/>
      <c r="PDV22" s="2057"/>
      <c r="PDW22" s="2056"/>
      <c r="PDX22" s="2057"/>
      <c r="PDY22" s="2057"/>
      <c r="PDZ22" s="2056"/>
      <c r="PEA22" s="2057"/>
      <c r="PEB22" s="2057"/>
      <c r="PEC22" s="2056"/>
      <c r="PED22" s="2057"/>
      <c r="PEE22" s="2057"/>
      <c r="PEF22" s="2056"/>
      <c r="PEG22" s="2057"/>
      <c r="PEH22" s="2057"/>
      <c r="PEI22" s="2056"/>
      <c r="PEJ22" s="2057"/>
      <c r="PEK22" s="2057"/>
      <c r="PEL22" s="2056"/>
      <c r="PEM22" s="2057"/>
      <c r="PEN22" s="2057"/>
      <c r="PEO22" s="2056"/>
      <c r="PEP22" s="2057"/>
      <c r="PEQ22" s="2057"/>
      <c r="PER22" s="2056"/>
      <c r="PES22" s="2057"/>
      <c r="PET22" s="2057"/>
      <c r="PEU22" s="2056"/>
      <c r="PEV22" s="2057"/>
      <c r="PEW22" s="2057"/>
      <c r="PEX22" s="2056"/>
      <c r="PEY22" s="2057"/>
      <c r="PEZ22" s="2057"/>
      <c r="PFA22" s="2056"/>
      <c r="PFB22" s="2057"/>
      <c r="PFC22" s="2057"/>
      <c r="PFD22" s="2056"/>
      <c r="PFE22" s="2057"/>
      <c r="PFF22" s="2057"/>
      <c r="PFG22" s="2056"/>
      <c r="PFH22" s="2057"/>
      <c r="PFI22" s="2057"/>
      <c r="PFJ22" s="2056"/>
      <c r="PFK22" s="2057"/>
      <c r="PFL22" s="2057"/>
      <c r="PFM22" s="2056"/>
      <c r="PFN22" s="2057"/>
      <c r="PFO22" s="2057"/>
      <c r="PFP22" s="2056"/>
      <c r="PFQ22" s="2057"/>
      <c r="PFR22" s="2057"/>
      <c r="PFS22" s="2056"/>
      <c r="PFT22" s="2057"/>
      <c r="PFU22" s="2057"/>
      <c r="PFV22" s="2056"/>
      <c r="PFW22" s="2057"/>
      <c r="PFX22" s="2057"/>
      <c r="PFY22" s="2056"/>
      <c r="PFZ22" s="2057"/>
      <c r="PGA22" s="2057"/>
      <c r="PGB22" s="2056"/>
      <c r="PGC22" s="2057"/>
      <c r="PGD22" s="2057"/>
      <c r="PGE22" s="2056"/>
      <c r="PGF22" s="2057"/>
      <c r="PGG22" s="2057"/>
      <c r="PGH22" s="2056"/>
      <c r="PGI22" s="2057"/>
      <c r="PGJ22" s="2057"/>
      <c r="PGK22" s="2056"/>
      <c r="PGL22" s="2057"/>
      <c r="PGM22" s="2057"/>
      <c r="PGN22" s="2056"/>
      <c r="PGO22" s="2057"/>
      <c r="PGP22" s="2057"/>
      <c r="PGQ22" s="2056"/>
      <c r="PGR22" s="2057"/>
      <c r="PGS22" s="2057"/>
      <c r="PGT22" s="2056"/>
      <c r="PGU22" s="2057"/>
      <c r="PGV22" s="2057"/>
      <c r="PGW22" s="2056"/>
      <c r="PGX22" s="2057"/>
      <c r="PGY22" s="2057"/>
      <c r="PGZ22" s="2056"/>
      <c r="PHA22" s="2057"/>
      <c r="PHB22" s="2057"/>
      <c r="PHC22" s="2056"/>
      <c r="PHD22" s="2057"/>
      <c r="PHE22" s="2057"/>
      <c r="PHF22" s="2056"/>
      <c r="PHG22" s="2057"/>
      <c r="PHH22" s="2057"/>
      <c r="PHI22" s="2056"/>
      <c r="PHJ22" s="2057"/>
      <c r="PHK22" s="2057"/>
      <c r="PHL22" s="2056"/>
      <c r="PHM22" s="2057"/>
      <c r="PHN22" s="2057"/>
      <c r="PHO22" s="2056"/>
      <c r="PHP22" s="2057"/>
      <c r="PHQ22" s="2057"/>
      <c r="PHR22" s="2056"/>
      <c r="PHS22" s="2057"/>
      <c r="PHT22" s="2057"/>
      <c r="PHU22" s="2056"/>
      <c r="PHV22" s="2057"/>
      <c r="PHW22" s="2057"/>
      <c r="PHX22" s="2056"/>
      <c r="PHY22" s="2057"/>
      <c r="PHZ22" s="2057"/>
      <c r="PIA22" s="2056"/>
      <c r="PIB22" s="2057"/>
      <c r="PIC22" s="2057"/>
      <c r="PID22" s="2056"/>
      <c r="PIE22" s="2057"/>
      <c r="PIF22" s="2057"/>
      <c r="PIG22" s="2056"/>
      <c r="PIH22" s="2057"/>
      <c r="PII22" s="2057"/>
      <c r="PIJ22" s="2056"/>
      <c r="PIK22" s="2057"/>
      <c r="PIL22" s="2057"/>
      <c r="PIM22" s="2056"/>
      <c r="PIN22" s="2057"/>
      <c r="PIO22" s="2057"/>
      <c r="PIP22" s="2056"/>
      <c r="PIQ22" s="2057"/>
      <c r="PIR22" s="2057"/>
      <c r="PIS22" s="2056"/>
      <c r="PIT22" s="2057"/>
      <c r="PIU22" s="2057"/>
      <c r="PIV22" s="2056"/>
      <c r="PIW22" s="2057"/>
      <c r="PIX22" s="2057"/>
      <c r="PIY22" s="2056"/>
      <c r="PIZ22" s="2057"/>
      <c r="PJA22" s="2057"/>
      <c r="PJB22" s="2056"/>
      <c r="PJC22" s="2057"/>
      <c r="PJD22" s="2057"/>
      <c r="PJE22" s="2056"/>
      <c r="PJF22" s="2057"/>
      <c r="PJG22" s="2057"/>
      <c r="PJH22" s="2056"/>
      <c r="PJI22" s="2057"/>
      <c r="PJJ22" s="2057"/>
      <c r="PJK22" s="2056"/>
      <c r="PJL22" s="2057"/>
      <c r="PJM22" s="2057"/>
      <c r="PJN22" s="2056"/>
      <c r="PJO22" s="2057"/>
      <c r="PJP22" s="2057"/>
      <c r="PJQ22" s="2056"/>
      <c r="PJR22" s="2057"/>
      <c r="PJS22" s="2057"/>
      <c r="PJT22" s="2056"/>
      <c r="PJU22" s="2057"/>
      <c r="PJV22" s="2057"/>
      <c r="PJW22" s="2056"/>
      <c r="PJX22" s="2057"/>
      <c r="PJY22" s="2057"/>
      <c r="PJZ22" s="2056"/>
      <c r="PKA22" s="2057"/>
      <c r="PKB22" s="2057"/>
      <c r="PKC22" s="2056"/>
      <c r="PKD22" s="2057"/>
      <c r="PKE22" s="2057"/>
      <c r="PKF22" s="2056"/>
      <c r="PKG22" s="2057"/>
      <c r="PKH22" s="2057"/>
      <c r="PKI22" s="2056"/>
      <c r="PKJ22" s="2057"/>
      <c r="PKK22" s="2057"/>
      <c r="PKL22" s="2056"/>
      <c r="PKM22" s="2057"/>
      <c r="PKN22" s="2057"/>
      <c r="PKO22" s="2056"/>
      <c r="PKP22" s="2057"/>
      <c r="PKQ22" s="2057"/>
      <c r="PKR22" s="2056"/>
      <c r="PKS22" s="2057"/>
      <c r="PKT22" s="2057"/>
      <c r="PKU22" s="2056"/>
      <c r="PKV22" s="2057"/>
      <c r="PKW22" s="2057"/>
      <c r="PKX22" s="2056"/>
      <c r="PKY22" s="2057"/>
      <c r="PKZ22" s="2057"/>
      <c r="PLA22" s="2056"/>
      <c r="PLB22" s="2057"/>
      <c r="PLC22" s="2057"/>
      <c r="PLD22" s="2056"/>
      <c r="PLE22" s="2057"/>
      <c r="PLF22" s="2057"/>
      <c r="PLG22" s="2056"/>
      <c r="PLH22" s="2057"/>
      <c r="PLI22" s="2057"/>
      <c r="PLJ22" s="2056"/>
      <c r="PLK22" s="2057"/>
      <c r="PLL22" s="2057"/>
      <c r="PLM22" s="2056"/>
      <c r="PLN22" s="2057"/>
      <c r="PLO22" s="2057"/>
      <c r="PLP22" s="2056"/>
      <c r="PLQ22" s="2057"/>
      <c r="PLR22" s="2057"/>
      <c r="PLS22" s="2056"/>
      <c r="PLT22" s="2057"/>
      <c r="PLU22" s="2057"/>
      <c r="PLV22" s="2056"/>
      <c r="PLW22" s="2057"/>
      <c r="PLX22" s="2057"/>
      <c r="PLY22" s="2056"/>
      <c r="PLZ22" s="2057"/>
      <c r="PMA22" s="2057"/>
      <c r="PMB22" s="2056"/>
      <c r="PMC22" s="2057"/>
      <c r="PMD22" s="2057"/>
      <c r="PME22" s="2056"/>
      <c r="PMF22" s="2057"/>
      <c r="PMG22" s="2057"/>
      <c r="PMH22" s="2056"/>
      <c r="PMI22" s="2057"/>
      <c r="PMJ22" s="2057"/>
      <c r="PMK22" s="2056"/>
      <c r="PML22" s="2057"/>
      <c r="PMM22" s="2057"/>
      <c r="PMN22" s="2056"/>
      <c r="PMO22" s="2057"/>
      <c r="PMP22" s="2057"/>
      <c r="PMQ22" s="2056"/>
      <c r="PMR22" s="2057"/>
      <c r="PMS22" s="2057"/>
      <c r="PMT22" s="2056"/>
      <c r="PMU22" s="2057"/>
      <c r="PMV22" s="2057"/>
      <c r="PMW22" s="2056"/>
      <c r="PMX22" s="2057"/>
      <c r="PMY22" s="2057"/>
      <c r="PMZ22" s="2056"/>
      <c r="PNA22" s="2057"/>
      <c r="PNB22" s="2057"/>
      <c r="PNC22" s="2056"/>
      <c r="PND22" s="2057"/>
      <c r="PNE22" s="2057"/>
      <c r="PNF22" s="2056"/>
      <c r="PNG22" s="2057"/>
      <c r="PNH22" s="2057"/>
      <c r="PNI22" s="2056"/>
      <c r="PNJ22" s="2057"/>
      <c r="PNK22" s="2057"/>
      <c r="PNL22" s="2056"/>
      <c r="PNM22" s="2057"/>
      <c r="PNN22" s="2057"/>
      <c r="PNO22" s="2056"/>
      <c r="PNP22" s="2057"/>
      <c r="PNQ22" s="2057"/>
      <c r="PNR22" s="2056"/>
      <c r="PNS22" s="2057"/>
      <c r="PNT22" s="2057"/>
      <c r="PNU22" s="2056"/>
      <c r="PNV22" s="2057"/>
      <c r="PNW22" s="2057"/>
      <c r="PNX22" s="2056"/>
      <c r="PNY22" s="2057"/>
      <c r="PNZ22" s="2057"/>
      <c r="POA22" s="2056"/>
      <c r="POB22" s="2057"/>
      <c r="POC22" s="2057"/>
      <c r="POD22" s="2056"/>
      <c r="POE22" s="2057"/>
      <c r="POF22" s="2057"/>
      <c r="POG22" s="2056"/>
      <c r="POH22" s="2057"/>
      <c r="POI22" s="2057"/>
      <c r="POJ22" s="2056"/>
      <c r="POK22" s="2057"/>
      <c r="POL22" s="2057"/>
      <c r="POM22" s="2056"/>
      <c r="PON22" s="2057"/>
      <c r="POO22" s="2057"/>
      <c r="POP22" s="2056"/>
      <c r="POQ22" s="2057"/>
      <c r="POR22" s="2057"/>
      <c r="POS22" s="2056"/>
      <c r="POT22" s="2057"/>
      <c r="POU22" s="2057"/>
      <c r="POV22" s="2056"/>
      <c r="POW22" s="2057"/>
      <c r="POX22" s="2057"/>
      <c r="POY22" s="2056"/>
      <c r="POZ22" s="2057"/>
      <c r="PPA22" s="2057"/>
      <c r="PPB22" s="2056"/>
      <c r="PPC22" s="2057"/>
      <c r="PPD22" s="2057"/>
      <c r="PPE22" s="2056"/>
      <c r="PPF22" s="2057"/>
      <c r="PPG22" s="2057"/>
      <c r="PPH22" s="2056"/>
      <c r="PPI22" s="2057"/>
      <c r="PPJ22" s="2057"/>
      <c r="PPK22" s="2056"/>
      <c r="PPL22" s="2057"/>
      <c r="PPM22" s="2057"/>
      <c r="PPN22" s="2056"/>
      <c r="PPO22" s="2057"/>
      <c r="PPP22" s="2057"/>
      <c r="PPQ22" s="2056"/>
      <c r="PPR22" s="2057"/>
      <c r="PPS22" s="2057"/>
      <c r="PPT22" s="2056"/>
      <c r="PPU22" s="2057"/>
      <c r="PPV22" s="2057"/>
      <c r="PPW22" s="2056"/>
      <c r="PPX22" s="2057"/>
      <c r="PPY22" s="2057"/>
      <c r="PPZ22" s="2056"/>
      <c r="PQA22" s="2057"/>
      <c r="PQB22" s="2057"/>
      <c r="PQC22" s="2056"/>
      <c r="PQD22" s="2057"/>
      <c r="PQE22" s="2057"/>
      <c r="PQF22" s="2056"/>
      <c r="PQG22" s="2057"/>
      <c r="PQH22" s="2057"/>
      <c r="PQI22" s="2056"/>
      <c r="PQJ22" s="2057"/>
      <c r="PQK22" s="2057"/>
      <c r="PQL22" s="2056"/>
      <c r="PQM22" s="2057"/>
      <c r="PQN22" s="2057"/>
      <c r="PQO22" s="2056"/>
      <c r="PQP22" s="2057"/>
      <c r="PQQ22" s="2057"/>
      <c r="PQR22" s="2056"/>
      <c r="PQS22" s="2057"/>
      <c r="PQT22" s="2057"/>
      <c r="PQU22" s="2056"/>
      <c r="PQV22" s="2057"/>
      <c r="PQW22" s="2057"/>
      <c r="PQX22" s="2056"/>
      <c r="PQY22" s="2057"/>
      <c r="PQZ22" s="2057"/>
      <c r="PRA22" s="2056"/>
      <c r="PRB22" s="2057"/>
      <c r="PRC22" s="2057"/>
      <c r="PRD22" s="2056"/>
      <c r="PRE22" s="2057"/>
      <c r="PRF22" s="2057"/>
      <c r="PRG22" s="2056"/>
      <c r="PRH22" s="2057"/>
      <c r="PRI22" s="2057"/>
      <c r="PRJ22" s="2056"/>
      <c r="PRK22" s="2057"/>
      <c r="PRL22" s="2057"/>
      <c r="PRM22" s="2056"/>
      <c r="PRN22" s="2057"/>
      <c r="PRO22" s="2057"/>
      <c r="PRP22" s="2056"/>
      <c r="PRQ22" s="2057"/>
      <c r="PRR22" s="2057"/>
      <c r="PRS22" s="2056"/>
      <c r="PRT22" s="2057"/>
      <c r="PRU22" s="2057"/>
      <c r="PRV22" s="2056"/>
      <c r="PRW22" s="2057"/>
      <c r="PRX22" s="2057"/>
      <c r="PRY22" s="2056"/>
      <c r="PRZ22" s="2057"/>
      <c r="PSA22" s="2057"/>
      <c r="PSB22" s="2056"/>
      <c r="PSC22" s="2057"/>
      <c r="PSD22" s="2057"/>
      <c r="PSE22" s="2056"/>
      <c r="PSF22" s="2057"/>
      <c r="PSG22" s="2057"/>
      <c r="PSH22" s="2056"/>
      <c r="PSI22" s="2057"/>
      <c r="PSJ22" s="2057"/>
      <c r="PSK22" s="2056"/>
      <c r="PSL22" s="2057"/>
      <c r="PSM22" s="2057"/>
      <c r="PSN22" s="2056"/>
      <c r="PSO22" s="2057"/>
      <c r="PSP22" s="2057"/>
      <c r="PSQ22" s="2056"/>
      <c r="PSR22" s="2057"/>
      <c r="PSS22" s="2057"/>
      <c r="PST22" s="2056"/>
      <c r="PSU22" s="2057"/>
      <c r="PSV22" s="2057"/>
      <c r="PSW22" s="2056"/>
      <c r="PSX22" s="2057"/>
      <c r="PSY22" s="2057"/>
      <c r="PSZ22" s="2056"/>
      <c r="PTA22" s="2057"/>
      <c r="PTB22" s="2057"/>
      <c r="PTC22" s="2056"/>
      <c r="PTD22" s="2057"/>
      <c r="PTE22" s="2057"/>
      <c r="PTF22" s="2056"/>
      <c r="PTG22" s="2057"/>
      <c r="PTH22" s="2057"/>
      <c r="PTI22" s="2056"/>
      <c r="PTJ22" s="2057"/>
      <c r="PTK22" s="2057"/>
      <c r="PTL22" s="2056"/>
      <c r="PTM22" s="2057"/>
      <c r="PTN22" s="2057"/>
      <c r="PTO22" s="2056"/>
      <c r="PTP22" s="2057"/>
      <c r="PTQ22" s="2057"/>
      <c r="PTR22" s="2056"/>
      <c r="PTS22" s="2057"/>
      <c r="PTT22" s="2057"/>
      <c r="PTU22" s="2056"/>
      <c r="PTV22" s="2057"/>
      <c r="PTW22" s="2057"/>
      <c r="PTX22" s="2056"/>
      <c r="PTY22" s="2057"/>
      <c r="PTZ22" s="2057"/>
      <c r="PUA22" s="2056"/>
      <c r="PUB22" s="2057"/>
      <c r="PUC22" s="2057"/>
      <c r="PUD22" s="2056"/>
      <c r="PUE22" s="2057"/>
      <c r="PUF22" s="2057"/>
      <c r="PUG22" s="2056"/>
      <c r="PUH22" s="2057"/>
      <c r="PUI22" s="2057"/>
      <c r="PUJ22" s="2056"/>
      <c r="PUK22" s="2057"/>
      <c r="PUL22" s="2057"/>
      <c r="PUM22" s="2056"/>
      <c r="PUN22" s="2057"/>
      <c r="PUO22" s="2057"/>
      <c r="PUP22" s="2056"/>
      <c r="PUQ22" s="2057"/>
      <c r="PUR22" s="2057"/>
      <c r="PUS22" s="2056"/>
      <c r="PUT22" s="2057"/>
      <c r="PUU22" s="2057"/>
      <c r="PUV22" s="2056"/>
      <c r="PUW22" s="2057"/>
      <c r="PUX22" s="2057"/>
      <c r="PUY22" s="2056"/>
      <c r="PUZ22" s="2057"/>
      <c r="PVA22" s="2057"/>
      <c r="PVB22" s="2056"/>
      <c r="PVC22" s="2057"/>
      <c r="PVD22" s="2057"/>
      <c r="PVE22" s="2056"/>
      <c r="PVF22" s="2057"/>
      <c r="PVG22" s="2057"/>
      <c r="PVH22" s="2056"/>
      <c r="PVI22" s="2057"/>
      <c r="PVJ22" s="2057"/>
      <c r="PVK22" s="2056"/>
      <c r="PVL22" s="2057"/>
      <c r="PVM22" s="2057"/>
      <c r="PVN22" s="2056"/>
      <c r="PVO22" s="2057"/>
      <c r="PVP22" s="2057"/>
      <c r="PVQ22" s="2056"/>
      <c r="PVR22" s="2057"/>
      <c r="PVS22" s="2057"/>
      <c r="PVT22" s="2056"/>
      <c r="PVU22" s="2057"/>
      <c r="PVV22" s="2057"/>
      <c r="PVW22" s="2056"/>
      <c r="PVX22" s="2057"/>
      <c r="PVY22" s="2057"/>
      <c r="PVZ22" s="2056"/>
      <c r="PWA22" s="2057"/>
      <c r="PWB22" s="2057"/>
      <c r="PWC22" s="2056"/>
      <c r="PWD22" s="2057"/>
      <c r="PWE22" s="2057"/>
      <c r="PWF22" s="2056"/>
      <c r="PWG22" s="2057"/>
      <c r="PWH22" s="2057"/>
      <c r="PWI22" s="2056"/>
      <c r="PWJ22" s="2057"/>
      <c r="PWK22" s="2057"/>
      <c r="PWL22" s="2056"/>
      <c r="PWM22" s="2057"/>
      <c r="PWN22" s="2057"/>
      <c r="PWO22" s="2056"/>
      <c r="PWP22" s="2057"/>
      <c r="PWQ22" s="2057"/>
      <c r="PWR22" s="2056"/>
      <c r="PWS22" s="2057"/>
      <c r="PWT22" s="2057"/>
      <c r="PWU22" s="2056"/>
      <c r="PWV22" s="2057"/>
      <c r="PWW22" s="2057"/>
      <c r="PWX22" s="2056"/>
      <c r="PWY22" s="2057"/>
      <c r="PWZ22" s="2057"/>
      <c r="PXA22" s="2056"/>
      <c r="PXB22" s="2057"/>
      <c r="PXC22" s="2057"/>
      <c r="PXD22" s="2056"/>
      <c r="PXE22" s="2057"/>
      <c r="PXF22" s="2057"/>
      <c r="PXG22" s="2056"/>
      <c r="PXH22" s="2057"/>
      <c r="PXI22" s="2057"/>
      <c r="PXJ22" s="2056"/>
      <c r="PXK22" s="2057"/>
      <c r="PXL22" s="2057"/>
      <c r="PXM22" s="2056"/>
      <c r="PXN22" s="2057"/>
      <c r="PXO22" s="2057"/>
      <c r="PXP22" s="2056"/>
      <c r="PXQ22" s="2057"/>
      <c r="PXR22" s="2057"/>
      <c r="PXS22" s="2056"/>
      <c r="PXT22" s="2057"/>
      <c r="PXU22" s="2057"/>
      <c r="PXV22" s="2056"/>
      <c r="PXW22" s="2057"/>
      <c r="PXX22" s="2057"/>
      <c r="PXY22" s="2056"/>
      <c r="PXZ22" s="2057"/>
      <c r="PYA22" s="2057"/>
      <c r="PYB22" s="2056"/>
      <c r="PYC22" s="2057"/>
      <c r="PYD22" s="2057"/>
      <c r="PYE22" s="2056"/>
      <c r="PYF22" s="2057"/>
      <c r="PYG22" s="2057"/>
      <c r="PYH22" s="2056"/>
      <c r="PYI22" s="2057"/>
      <c r="PYJ22" s="2057"/>
      <c r="PYK22" s="2056"/>
      <c r="PYL22" s="2057"/>
      <c r="PYM22" s="2057"/>
      <c r="PYN22" s="2056"/>
      <c r="PYO22" s="2057"/>
      <c r="PYP22" s="2057"/>
      <c r="PYQ22" s="2056"/>
      <c r="PYR22" s="2057"/>
      <c r="PYS22" s="2057"/>
      <c r="PYT22" s="2056"/>
      <c r="PYU22" s="2057"/>
      <c r="PYV22" s="2057"/>
      <c r="PYW22" s="2056"/>
      <c r="PYX22" s="2057"/>
      <c r="PYY22" s="2057"/>
      <c r="PYZ22" s="2056"/>
      <c r="PZA22" s="2057"/>
      <c r="PZB22" s="2057"/>
      <c r="PZC22" s="2056"/>
      <c r="PZD22" s="2057"/>
      <c r="PZE22" s="2057"/>
      <c r="PZF22" s="2056"/>
      <c r="PZG22" s="2057"/>
      <c r="PZH22" s="2057"/>
      <c r="PZI22" s="2056"/>
      <c r="PZJ22" s="2057"/>
      <c r="PZK22" s="2057"/>
      <c r="PZL22" s="2056"/>
      <c r="PZM22" s="2057"/>
      <c r="PZN22" s="2057"/>
      <c r="PZO22" s="2056"/>
      <c r="PZP22" s="2057"/>
      <c r="PZQ22" s="2057"/>
      <c r="PZR22" s="2056"/>
      <c r="PZS22" s="2057"/>
      <c r="PZT22" s="2057"/>
      <c r="PZU22" s="2056"/>
      <c r="PZV22" s="2057"/>
      <c r="PZW22" s="2057"/>
      <c r="PZX22" s="2056"/>
      <c r="PZY22" s="2057"/>
      <c r="PZZ22" s="2057"/>
      <c r="QAA22" s="2056"/>
      <c r="QAB22" s="2057"/>
      <c r="QAC22" s="2057"/>
      <c r="QAD22" s="2056"/>
      <c r="QAE22" s="2057"/>
      <c r="QAF22" s="2057"/>
      <c r="QAG22" s="2056"/>
      <c r="QAH22" s="2057"/>
      <c r="QAI22" s="2057"/>
      <c r="QAJ22" s="2056"/>
      <c r="QAK22" s="2057"/>
      <c r="QAL22" s="2057"/>
      <c r="QAM22" s="2056"/>
      <c r="QAN22" s="2057"/>
      <c r="QAO22" s="2057"/>
      <c r="QAP22" s="2056"/>
      <c r="QAQ22" s="2057"/>
      <c r="QAR22" s="2057"/>
      <c r="QAS22" s="2056"/>
      <c r="QAT22" s="2057"/>
      <c r="QAU22" s="2057"/>
      <c r="QAV22" s="2056"/>
      <c r="QAW22" s="2057"/>
      <c r="QAX22" s="2057"/>
      <c r="QAY22" s="2056"/>
      <c r="QAZ22" s="2057"/>
      <c r="QBA22" s="2057"/>
      <c r="QBB22" s="2056"/>
      <c r="QBC22" s="2057"/>
      <c r="QBD22" s="2057"/>
      <c r="QBE22" s="2056"/>
      <c r="QBF22" s="2057"/>
      <c r="QBG22" s="2057"/>
      <c r="QBH22" s="2056"/>
      <c r="QBI22" s="2057"/>
      <c r="QBJ22" s="2057"/>
      <c r="QBK22" s="2056"/>
      <c r="QBL22" s="2057"/>
      <c r="QBM22" s="2057"/>
      <c r="QBN22" s="2056"/>
      <c r="QBO22" s="2057"/>
      <c r="QBP22" s="2057"/>
      <c r="QBQ22" s="2056"/>
      <c r="QBR22" s="2057"/>
      <c r="QBS22" s="2057"/>
      <c r="QBT22" s="2056"/>
      <c r="QBU22" s="2057"/>
      <c r="QBV22" s="2057"/>
      <c r="QBW22" s="2056"/>
      <c r="QBX22" s="2057"/>
      <c r="QBY22" s="2057"/>
      <c r="QBZ22" s="2056"/>
      <c r="QCA22" s="2057"/>
      <c r="QCB22" s="2057"/>
      <c r="QCC22" s="2056"/>
      <c r="QCD22" s="2057"/>
      <c r="QCE22" s="2057"/>
      <c r="QCF22" s="2056"/>
      <c r="QCG22" s="2057"/>
      <c r="QCH22" s="2057"/>
      <c r="QCI22" s="2056"/>
      <c r="QCJ22" s="2057"/>
      <c r="QCK22" s="2057"/>
      <c r="QCL22" s="2056"/>
      <c r="QCM22" s="2057"/>
      <c r="QCN22" s="2057"/>
      <c r="QCO22" s="2056"/>
      <c r="QCP22" s="2057"/>
      <c r="QCQ22" s="2057"/>
      <c r="QCR22" s="2056"/>
      <c r="QCS22" s="2057"/>
      <c r="QCT22" s="2057"/>
      <c r="QCU22" s="2056"/>
      <c r="QCV22" s="2057"/>
      <c r="QCW22" s="2057"/>
      <c r="QCX22" s="2056"/>
      <c r="QCY22" s="2057"/>
      <c r="QCZ22" s="2057"/>
      <c r="QDA22" s="2056"/>
      <c r="QDB22" s="2057"/>
      <c r="QDC22" s="2057"/>
      <c r="QDD22" s="2056"/>
      <c r="QDE22" s="2057"/>
      <c r="QDF22" s="2057"/>
      <c r="QDG22" s="2056"/>
      <c r="QDH22" s="2057"/>
      <c r="QDI22" s="2057"/>
      <c r="QDJ22" s="2056"/>
      <c r="QDK22" s="2057"/>
      <c r="QDL22" s="2057"/>
      <c r="QDM22" s="2056"/>
      <c r="QDN22" s="2057"/>
      <c r="QDO22" s="2057"/>
      <c r="QDP22" s="2056"/>
      <c r="QDQ22" s="2057"/>
      <c r="QDR22" s="2057"/>
      <c r="QDS22" s="2056"/>
      <c r="QDT22" s="2057"/>
      <c r="QDU22" s="2057"/>
      <c r="QDV22" s="2056"/>
      <c r="QDW22" s="2057"/>
      <c r="QDX22" s="2057"/>
      <c r="QDY22" s="2056"/>
      <c r="QDZ22" s="2057"/>
      <c r="QEA22" s="2057"/>
      <c r="QEB22" s="2056"/>
      <c r="QEC22" s="2057"/>
      <c r="QED22" s="2057"/>
      <c r="QEE22" s="2056"/>
      <c r="QEF22" s="2057"/>
      <c r="QEG22" s="2057"/>
      <c r="QEH22" s="2056"/>
      <c r="QEI22" s="2057"/>
      <c r="QEJ22" s="2057"/>
      <c r="QEK22" s="2056"/>
      <c r="QEL22" s="2057"/>
      <c r="QEM22" s="2057"/>
      <c r="QEN22" s="2056"/>
      <c r="QEO22" s="2057"/>
      <c r="QEP22" s="2057"/>
      <c r="QEQ22" s="2056"/>
      <c r="QER22" s="2057"/>
      <c r="QES22" s="2057"/>
      <c r="QET22" s="2056"/>
      <c r="QEU22" s="2057"/>
      <c r="QEV22" s="2057"/>
      <c r="QEW22" s="2056"/>
      <c r="QEX22" s="2057"/>
      <c r="QEY22" s="2057"/>
      <c r="QEZ22" s="2056"/>
      <c r="QFA22" s="2057"/>
      <c r="QFB22" s="2057"/>
      <c r="QFC22" s="2056"/>
      <c r="QFD22" s="2057"/>
      <c r="QFE22" s="2057"/>
      <c r="QFF22" s="2056"/>
      <c r="QFG22" s="2057"/>
      <c r="QFH22" s="2057"/>
      <c r="QFI22" s="2056"/>
      <c r="QFJ22" s="2057"/>
      <c r="QFK22" s="2057"/>
      <c r="QFL22" s="2056"/>
      <c r="QFM22" s="2057"/>
      <c r="QFN22" s="2057"/>
      <c r="QFO22" s="2056"/>
      <c r="QFP22" s="2057"/>
      <c r="QFQ22" s="2057"/>
      <c r="QFR22" s="2056"/>
      <c r="QFS22" s="2057"/>
      <c r="QFT22" s="2057"/>
      <c r="QFU22" s="2056"/>
      <c r="QFV22" s="2057"/>
      <c r="QFW22" s="2057"/>
      <c r="QFX22" s="2056"/>
      <c r="QFY22" s="2057"/>
      <c r="QFZ22" s="2057"/>
      <c r="QGA22" s="2056"/>
      <c r="QGB22" s="2057"/>
      <c r="QGC22" s="2057"/>
      <c r="QGD22" s="2056"/>
      <c r="QGE22" s="2057"/>
      <c r="QGF22" s="2057"/>
      <c r="QGG22" s="2056"/>
      <c r="QGH22" s="2057"/>
      <c r="QGI22" s="2057"/>
      <c r="QGJ22" s="2056"/>
      <c r="QGK22" s="2057"/>
      <c r="QGL22" s="2057"/>
      <c r="QGM22" s="2056"/>
      <c r="QGN22" s="2057"/>
      <c r="QGO22" s="2057"/>
      <c r="QGP22" s="2056"/>
      <c r="QGQ22" s="2057"/>
      <c r="QGR22" s="2057"/>
      <c r="QGS22" s="2056"/>
      <c r="QGT22" s="2057"/>
      <c r="QGU22" s="2057"/>
      <c r="QGV22" s="2056"/>
      <c r="QGW22" s="2057"/>
      <c r="QGX22" s="2057"/>
      <c r="QGY22" s="2056"/>
      <c r="QGZ22" s="2057"/>
      <c r="QHA22" s="2057"/>
      <c r="QHB22" s="2056"/>
      <c r="QHC22" s="2057"/>
      <c r="QHD22" s="2057"/>
      <c r="QHE22" s="2056"/>
      <c r="QHF22" s="2057"/>
      <c r="QHG22" s="2057"/>
      <c r="QHH22" s="2056"/>
      <c r="QHI22" s="2057"/>
      <c r="QHJ22" s="2057"/>
      <c r="QHK22" s="2056"/>
      <c r="QHL22" s="2057"/>
      <c r="QHM22" s="2057"/>
      <c r="QHN22" s="2056"/>
      <c r="QHO22" s="2057"/>
      <c r="QHP22" s="2057"/>
      <c r="QHQ22" s="2056"/>
      <c r="QHR22" s="2057"/>
      <c r="QHS22" s="2057"/>
      <c r="QHT22" s="2056"/>
      <c r="QHU22" s="2057"/>
      <c r="QHV22" s="2057"/>
      <c r="QHW22" s="2056"/>
      <c r="QHX22" s="2057"/>
      <c r="QHY22" s="2057"/>
      <c r="QHZ22" s="2056"/>
      <c r="QIA22" s="2057"/>
      <c r="QIB22" s="2057"/>
      <c r="QIC22" s="2056"/>
      <c r="QID22" s="2057"/>
      <c r="QIE22" s="2057"/>
      <c r="QIF22" s="2056"/>
      <c r="QIG22" s="2057"/>
      <c r="QIH22" s="2057"/>
      <c r="QII22" s="2056"/>
      <c r="QIJ22" s="2057"/>
      <c r="QIK22" s="2057"/>
      <c r="QIL22" s="2056"/>
      <c r="QIM22" s="2057"/>
      <c r="QIN22" s="2057"/>
      <c r="QIO22" s="2056"/>
      <c r="QIP22" s="2057"/>
      <c r="QIQ22" s="2057"/>
      <c r="QIR22" s="2056"/>
      <c r="QIS22" s="2057"/>
      <c r="QIT22" s="2057"/>
      <c r="QIU22" s="2056"/>
      <c r="QIV22" s="2057"/>
      <c r="QIW22" s="2057"/>
      <c r="QIX22" s="2056"/>
      <c r="QIY22" s="2057"/>
      <c r="QIZ22" s="2057"/>
      <c r="QJA22" s="2056"/>
      <c r="QJB22" s="2057"/>
      <c r="QJC22" s="2057"/>
      <c r="QJD22" s="2056"/>
      <c r="QJE22" s="2057"/>
      <c r="QJF22" s="2057"/>
      <c r="QJG22" s="2056"/>
      <c r="QJH22" s="2057"/>
      <c r="QJI22" s="2057"/>
      <c r="QJJ22" s="2056"/>
      <c r="QJK22" s="2057"/>
      <c r="QJL22" s="2057"/>
      <c r="QJM22" s="2056"/>
      <c r="QJN22" s="2057"/>
      <c r="QJO22" s="2057"/>
      <c r="QJP22" s="2056"/>
      <c r="QJQ22" s="2057"/>
      <c r="QJR22" s="2057"/>
      <c r="QJS22" s="2056"/>
      <c r="QJT22" s="2057"/>
      <c r="QJU22" s="2057"/>
      <c r="QJV22" s="2056"/>
      <c r="QJW22" s="2057"/>
      <c r="QJX22" s="2057"/>
      <c r="QJY22" s="2056"/>
      <c r="QJZ22" s="2057"/>
      <c r="QKA22" s="2057"/>
      <c r="QKB22" s="2056"/>
      <c r="QKC22" s="2057"/>
      <c r="QKD22" s="2057"/>
      <c r="QKE22" s="2056"/>
      <c r="QKF22" s="2057"/>
      <c r="QKG22" s="2057"/>
      <c r="QKH22" s="2056"/>
      <c r="QKI22" s="2057"/>
      <c r="QKJ22" s="2057"/>
      <c r="QKK22" s="2056"/>
      <c r="QKL22" s="2057"/>
      <c r="QKM22" s="2057"/>
      <c r="QKN22" s="2056"/>
      <c r="QKO22" s="2057"/>
      <c r="QKP22" s="2057"/>
      <c r="QKQ22" s="2056"/>
      <c r="QKR22" s="2057"/>
      <c r="QKS22" s="2057"/>
      <c r="QKT22" s="2056"/>
      <c r="QKU22" s="2057"/>
      <c r="QKV22" s="2057"/>
      <c r="QKW22" s="2056"/>
      <c r="QKX22" s="2057"/>
      <c r="QKY22" s="2057"/>
      <c r="QKZ22" s="2056"/>
      <c r="QLA22" s="2057"/>
      <c r="QLB22" s="2057"/>
      <c r="QLC22" s="2056"/>
      <c r="QLD22" s="2057"/>
      <c r="QLE22" s="2057"/>
      <c r="QLF22" s="2056"/>
      <c r="QLG22" s="2057"/>
      <c r="QLH22" s="2057"/>
      <c r="QLI22" s="2056"/>
      <c r="QLJ22" s="2057"/>
      <c r="QLK22" s="2057"/>
      <c r="QLL22" s="2056"/>
      <c r="QLM22" s="2057"/>
      <c r="QLN22" s="2057"/>
      <c r="QLO22" s="2056"/>
      <c r="QLP22" s="2057"/>
      <c r="QLQ22" s="2057"/>
      <c r="QLR22" s="2056"/>
      <c r="QLS22" s="2057"/>
      <c r="QLT22" s="2057"/>
      <c r="QLU22" s="2056"/>
      <c r="QLV22" s="2057"/>
      <c r="QLW22" s="2057"/>
      <c r="QLX22" s="2056"/>
      <c r="QLY22" s="2057"/>
      <c r="QLZ22" s="2057"/>
      <c r="QMA22" s="2056"/>
      <c r="QMB22" s="2057"/>
      <c r="QMC22" s="2057"/>
      <c r="QMD22" s="2056"/>
      <c r="QME22" s="2057"/>
      <c r="QMF22" s="2057"/>
      <c r="QMG22" s="2056"/>
      <c r="QMH22" s="2057"/>
      <c r="QMI22" s="2057"/>
      <c r="QMJ22" s="2056"/>
      <c r="QMK22" s="2057"/>
      <c r="QML22" s="2057"/>
      <c r="QMM22" s="2056"/>
      <c r="QMN22" s="2057"/>
      <c r="QMO22" s="2057"/>
      <c r="QMP22" s="2056"/>
      <c r="QMQ22" s="2057"/>
      <c r="QMR22" s="2057"/>
      <c r="QMS22" s="2056"/>
      <c r="QMT22" s="2057"/>
      <c r="QMU22" s="2057"/>
      <c r="QMV22" s="2056"/>
      <c r="QMW22" s="2057"/>
      <c r="QMX22" s="2057"/>
      <c r="QMY22" s="2056"/>
      <c r="QMZ22" s="2057"/>
      <c r="QNA22" s="2057"/>
      <c r="QNB22" s="2056"/>
      <c r="QNC22" s="2057"/>
      <c r="QND22" s="2057"/>
      <c r="QNE22" s="2056"/>
      <c r="QNF22" s="2057"/>
      <c r="QNG22" s="2057"/>
      <c r="QNH22" s="2056"/>
      <c r="QNI22" s="2057"/>
      <c r="QNJ22" s="2057"/>
      <c r="QNK22" s="2056"/>
      <c r="QNL22" s="2057"/>
      <c r="QNM22" s="2057"/>
      <c r="QNN22" s="2056"/>
      <c r="QNO22" s="2057"/>
      <c r="QNP22" s="2057"/>
      <c r="QNQ22" s="2056"/>
      <c r="QNR22" s="2057"/>
      <c r="QNS22" s="2057"/>
      <c r="QNT22" s="2056"/>
      <c r="QNU22" s="2057"/>
      <c r="QNV22" s="2057"/>
      <c r="QNW22" s="2056"/>
      <c r="QNX22" s="2057"/>
      <c r="QNY22" s="2057"/>
      <c r="QNZ22" s="2056"/>
      <c r="QOA22" s="2057"/>
      <c r="QOB22" s="2057"/>
      <c r="QOC22" s="2056"/>
      <c r="QOD22" s="2057"/>
      <c r="QOE22" s="2057"/>
      <c r="QOF22" s="2056"/>
      <c r="QOG22" s="2057"/>
      <c r="QOH22" s="2057"/>
      <c r="QOI22" s="2056"/>
      <c r="QOJ22" s="2057"/>
      <c r="QOK22" s="2057"/>
      <c r="QOL22" s="2056"/>
      <c r="QOM22" s="2057"/>
      <c r="QON22" s="2057"/>
      <c r="QOO22" s="2056"/>
      <c r="QOP22" s="2057"/>
      <c r="QOQ22" s="2057"/>
      <c r="QOR22" s="2056"/>
      <c r="QOS22" s="2057"/>
      <c r="QOT22" s="2057"/>
      <c r="QOU22" s="2056"/>
      <c r="QOV22" s="2057"/>
      <c r="QOW22" s="2057"/>
      <c r="QOX22" s="2056"/>
      <c r="QOY22" s="2057"/>
      <c r="QOZ22" s="2057"/>
      <c r="QPA22" s="2056"/>
      <c r="QPB22" s="2057"/>
      <c r="QPC22" s="2057"/>
      <c r="QPD22" s="2056"/>
      <c r="QPE22" s="2057"/>
      <c r="QPF22" s="2057"/>
      <c r="QPG22" s="2056"/>
      <c r="QPH22" s="2057"/>
      <c r="QPI22" s="2057"/>
      <c r="QPJ22" s="2056"/>
      <c r="QPK22" s="2057"/>
      <c r="QPL22" s="2057"/>
      <c r="QPM22" s="2056"/>
      <c r="QPN22" s="2057"/>
      <c r="QPO22" s="2057"/>
      <c r="QPP22" s="2056"/>
      <c r="QPQ22" s="2057"/>
      <c r="QPR22" s="2057"/>
      <c r="QPS22" s="2056"/>
      <c r="QPT22" s="2057"/>
      <c r="QPU22" s="2057"/>
      <c r="QPV22" s="2056"/>
      <c r="QPW22" s="2057"/>
      <c r="QPX22" s="2057"/>
      <c r="QPY22" s="2056"/>
      <c r="QPZ22" s="2057"/>
      <c r="QQA22" s="2057"/>
      <c r="QQB22" s="2056"/>
      <c r="QQC22" s="2057"/>
      <c r="QQD22" s="2057"/>
      <c r="QQE22" s="2056"/>
      <c r="QQF22" s="2057"/>
      <c r="QQG22" s="2057"/>
      <c r="QQH22" s="2056"/>
      <c r="QQI22" s="2057"/>
      <c r="QQJ22" s="2057"/>
      <c r="QQK22" s="2056"/>
      <c r="QQL22" s="2057"/>
      <c r="QQM22" s="2057"/>
      <c r="QQN22" s="2056"/>
      <c r="QQO22" s="2057"/>
      <c r="QQP22" s="2057"/>
      <c r="QQQ22" s="2056"/>
      <c r="QQR22" s="2057"/>
      <c r="QQS22" s="2057"/>
      <c r="QQT22" s="2056"/>
      <c r="QQU22" s="2057"/>
      <c r="QQV22" s="2057"/>
      <c r="QQW22" s="2056"/>
      <c r="QQX22" s="2057"/>
      <c r="QQY22" s="2057"/>
      <c r="QQZ22" s="2056"/>
      <c r="QRA22" s="2057"/>
      <c r="QRB22" s="2057"/>
      <c r="QRC22" s="2056"/>
      <c r="QRD22" s="2057"/>
      <c r="QRE22" s="2057"/>
      <c r="QRF22" s="2056"/>
      <c r="QRG22" s="2057"/>
      <c r="QRH22" s="2057"/>
      <c r="QRI22" s="2056"/>
      <c r="QRJ22" s="2057"/>
      <c r="QRK22" s="2057"/>
      <c r="QRL22" s="2056"/>
      <c r="QRM22" s="2057"/>
      <c r="QRN22" s="2057"/>
      <c r="QRO22" s="2056"/>
      <c r="QRP22" s="2057"/>
      <c r="QRQ22" s="2057"/>
      <c r="QRR22" s="2056"/>
      <c r="QRS22" s="2057"/>
      <c r="QRT22" s="2057"/>
      <c r="QRU22" s="2056"/>
      <c r="QRV22" s="2057"/>
      <c r="QRW22" s="2057"/>
      <c r="QRX22" s="2056"/>
      <c r="QRY22" s="2057"/>
      <c r="QRZ22" s="2057"/>
      <c r="QSA22" s="2056"/>
      <c r="QSB22" s="2057"/>
      <c r="QSC22" s="2057"/>
      <c r="QSD22" s="2056"/>
      <c r="QSE22" s="2057"/>
      <c r="QSF22" s="2057"/>
      <c r="QSG22" s="2056"/>
      <c r="QSH22" s="2057"/>
      <c r="QSI22" s="2057"/>
      <c r="QSJ22" s="2056"/>
      <c r="QSK22" s="2057"/>
      <c r="QSL22" s="2057"/>
      <c r="QSM22" s="2056"/>
      <c r="QSN22" s="2057"/>
      <c r="QSO22" s="2057"/>
      <c r="QSP22" s="2056"/>
      <c r="QSQ22" s="2057"/>
      <c r="QSR22" s="2057"/>
      <c r="QSS22" s="2056"/>
      <c r="QST22" s="2057"/>
      <c r="QSU22" s="2057"/>
      <c r="QSV22" s="2056"/>
      <c r="QSW22" s="2057"/>
      <c r="QSX22" s="2057"/>
      <c r="QSY22" s="2056"/>
      <c r="QSZ22" s="2057"/>
      <c r="QTA22" s="2057"/>
      <c r="QTB22" s="2056"/>
      <c r="QTC22" s="2057"/>
      <c r="QTD22" s="2057"/>
      <c r="QTE22" s="2056"/>
      <c r="QTF22" s="2057"/>
      <c r="QTG22" s="2057"/>
      <c r="QTH22" s="2056"/>
      <c r="QTI22" s="2057"/>
      <c r="QTJ22" s="2057"/>
      <c r="QTK22" s="2056"/>
      <c r="QTL22" s="2057"/>
      <c r="QTM22" s="2057"/>
      <c r="QTN22" s="2056"/>
      <c r="QTO22" s="2057"/>
      <c r="QTP22" s="2057"/>
      <c r="QTQ22" s="2056"/>
      <c r="QTR22" s="2057"/>
      <c r="QTS22" s="2057"/>
      <c r="QTT22" s="2056"/>
      <c r="QTU22" s="2057"/>
      <c r="QTV22" s="2057"/>
      <c r="QTW22" s="2056"/>
      <c r="QTX22" s="2057"/>
      <c r="QTY22" s="2057"/>
      <c r="QTZ22" s="2056"/>
      <c r="QUA22" s="2057"/>
      <c r="QUB22" s="2057"/>
      <c r="QUC22" s="2056"/>
      <c r="QUD22" s="2057"/>
      <c r="QUE22" s="2057"/>
      <c r="QUF22" s="2056"/>
      <c r="QUG22" s="2057"/>
      <c r="QUH22" s="2057"/>
      <c r="QUI22" s="2056"/>
      <c r="QUJ22" s="2057"/>
      <c r="QUK22" s="2057"/>
      <c r="QUL22" s="2056"/>
      <c r="QUM22" s="2057"/>
      <c r="QUN22" s="2057"/>
      <c r="QUO22" s="2056"/>
      <c r="QUP22" s="2057"/>
      <c r="QUQ22" s="2057"/>
      <c r="QUR22" s="2056"/>
      <c r="QUS22" s="2057"/>
      <c r="QUT22" s="2057"/>
      <c r="QUU22" s="2056"/>
      <c r="QUV22" s="2057"/>
      <c r="QUW22" s="2057"/>
      <c r="QUX22" s="2056"/>
      <c r="QUY22" s="2057"/>
      <c r="QUZ22" s="2057"/>
      <c r="QVA22" s="2056"/>
      <c r="QVB22" s="2057"/>
      <c r="QVC22" s="2057"/>
      <c r="QVD22" s="2056"/>
      <c r="QVE22" s="2057"/>
      <c r="QVF22" s="2057"/>
      <c r="QVG22" s="2056"/>
      <c r="QVH22" s="2057"/>
      <c r="QVI22" s="2057"/>
      <c r="QVJ22" s="2056"/>
      <c r="QVK22" s="2057"/>
      <c r="QVL22" s="2057"/>
      <c r="QVM22" s="2056"/>
      <c r="QVN22" s="2057"/>
      <c r="QVO22" s="2057"/>
      <c r="QVP22" s="2056"/>
      <c r="QVQ22" s="2057"/>
      <c r="QVR22" s="2057"/>
      <c r="QVS22" s="2056"/>
      <c r="QVT22" s="2057"/>
      <c r="QVU22" s="2057"/>
      <c r="QVV22" s="2056"/>
      <c r="QVW22" s="2057"/>
      <c r="QVX22" s="2057"/>
      <c r="QVY22" s="2056"/>
      <c r="QVZ22" s="2057"/>
      <c r="QWA22" s="2057"/>
      <c r="QWB22" s="2056"/>
      <c r="QWC22" s="2057"/>
      <c r="QWD22" s="2057"/>
      <c r="QWE22" s="2056"/>
      <c r="QWF22" s="2057"/>
      <c r="QWG22" s="2057"/>
      <c r="QWH22" s="2056"/>
      <c r="QWI22" s="2057"/>
      <c r="QWJ22" s="2057"/>
      <c r="QWK22" s="2056"/>
      <c r="QWL22" s="2057"/>
      <c r="QWM22" s="2057"/>
      <c r="QWN22" s="2056"/>
      <c r="QWO22" s="2057"/>
      <c r="QWP22" s="2057"/>
      <c r="QWQ22" s="2056"/>
      <c r="QWR22" s="2057"/>
      <c r="QWS22" s="2057"/>
      <c r="QWT22" s="2056"/>
      <c r="QWU22" s="2057"/>
      <c r="QWV22" s="2057"/>
      <c r="QWW22" s="2056"/>
      <c r="QWX22" s="2057"/>
      <c r="QWY22" s="2057"/>
      <c r="QWZ22" s="2056"/>
      <c r="QXA22" s="2057"/>
      <c r="QXB22" s="2057"/>
      <c r="QXC22" s="2056"/>
      <c r="QXD22" s="2057"/>
      <c r="QXE22" s="2057"/>
      <c r="QXF22" s="2056"/>
      <c r="QXG22" s="2057"/>
      <c r="QXH22" s="2057"/>
      <c r="QXI22" s="2056"/>
      <c r="QXJ22" s="2057"/>
      <c r="QXK22" s="2057"/>
      <c r="QXL22" s="2056"/>
      <c r="QXM22" s="2057"/>
      <c r="QXN22" s="2057"/>
      <c r="QXO22" s="2056"/>
      <c r="QXP22" s="2057"/>
      <c r="QXQ22" s="2057"/>
      <c r="QXR22" s="2056"/>
      <c r="QXS22" s="2057"/>
      <c r="QXT22" s="2057"/>
      <c r="QXU22" s="2056"/>
      <c r="QXV22" s="2057"/>
      <c r="QXW22" s="2057"/>
      <c r="QXX22" s="2056"/>
      <c r="QXY22" s="2057"/>
      <c r="QXZ22" s="2057"/>
      <c r="QYA22" s="2056"/>
      <c r="QYB22" s="2057"/>
      <c r="QYC22" s="2057"/>
      <c r="QYD22" s="2056"/>
      <c r="QYE22" s="2057"/>
      <c r="QYF22" s="2057"/>
      <c r="QYG22" s="2056"/>
      <c r="QYH22" s="2057"/>
      <c r="QYI22" s="2057"/>
      <c r="QYJ22" s="2056"/>
      <c r="QYK22" s="2057"/>
      <c r="QYL22" s="2057"/>
      <c r="QYM22" s="2056"/>
      <c r="QYN22" s="2057"/>
      <c r="QYO22" s="2057"/>
      <c r="QYP22" s="2056"/>
      <c r="QYQ22" s="2057"/>
      <c r="QYR22" s="2057"/>
      <c r="QYS22" s="2056"/>
      <c r="QYT22" s="2057"/>
      <c r="QYU22" s="2057"/>
      <c r="QYV22" s="2056"/>
      <c r="QYW22" s="2057"/>
      <c r="QYX22" s="2057"/>
      <c r="QYY22" s="2056"/>
      <c r="QYZ22" s="2057"/>
      <c r="QZA22" s="2057"/>
      <c r="QZB22" s="2056"/>
      <c r="QZC22" s="2057"/>
      <c r="QZD22" s="2057"/>
      <c r="QZE22" s="2056"/>
      <c r="QZF22" s="2057"/>
      <c r="QZG22" s="2057"/>
      <c r="QZH22" s="2056"/>
      <c r="QZI22" s="2057"/>
      <c r="QZJ22" s="2057"/>
      <c r="QZK22" s="2056"/>
      <c r="QZL22" s="2057"/>
      <c r="QZM22" s="2057"/>
      <c r="QZN22" s="2056"/>
      <c r="QZO22" s="2057"/>
      <c r="QZP22" s="2057"/>
      <c r="QZQ22" s="2056"/>
      <c r="QZR22" s="2057"/>
      <c r="QZS22" s="2057"/>
      <c r="QZT22" s="2056"/>
      <c r="QZU22" s="2057"/>
      <c r="QZV22" s="2057"/>
      <c r="QZW22" s="2056"/>
      <c r="QZX22" s="2057"/>
      <c r="QZY22" s="2057"/>
      <c r="QZZ22" s="2056"/>
      <c r="RAA22" s="2057"/>
      <c r="RAB22" s="2057"/>
      <c r="RAC22" s="2056"/>
      <c r="RAD22" s="2057"/>
      <c r="RAE22" s="2057"/>
      <c r="RAF22" s="2056"/>
      <c r="RAG22" s="2057"/>
      <c r="RAH22" s="2057"/>
      <c r="RAI22" s="2056"/>
      <c r="RAJ22" s="2057"/>
      <c r="RAK22" s="2057"/>
      <c r="RAL22" s="2056"/>
      <c r="RAM22" s="2057"/>
      <c r="RAN22" s="2057"/>
      <c r="RAO22" s="2056"/>
      <c r="RAP22" s="2057"/>
      <c r="RAQ22" s="2057"/>
      <c r="RAR22" s="2056"/>
      <c r="RAS22" s="2057"/>
      <c r="RAT22" s="2057"/>
      <c r="RAU22" s="2056"/>
      <c r="RAV22" s="2057"/>
      <c r="RAW22" s="2057"/>
      <c r="RAX22" s="2056"/>
      <c r="RAY22" s="2057"/>
      <c r="RAZ22" s="2057"/>
      <c r="RBA22" s="2056"/>
      <c r="RBB22" s="2057"/>
      <c r="RBC22" s="2057"/>
      <c r="RBD22" s="2056"/>
      <c r="RBE22" s="2057"/>
      <c r="RBF22" s="2057"/>
      <c r="RBG22" s="2056"/>
      <c r="RBH22" s="2057"/>
      <c r="RBI22" s="2057"/>
      <c r="RBJ22" s="2056"/>
      <c r="RBK22" s="2057"/>
      <c r="RBL22" s="2057"/>
      <c r="RBM22" s="2056"/>
      <c r="RBN22" s="2057"/>
      <c r="RBO22" s="2057"/>
      <c r="RBP22" s="2056"/>
      <c r="RBQ22" s="2057"/>
      <c r="RBR22" s="2057"/>
      <c r="RBS22" s="2056"/>
      <c r="RBT22" s="2057"/>
      <c r="RBU22" s="2057"/>
      <c r="RBV22" s="2056"/>
      <c r="RBW22" s="2057"/>
      <c r="RBX22" s="2057"/>
      <c r="RBY22" s="2056"/>
      <c r="RBZ22" s="2057"/>
      <c r="RCA22" s="2057"/>
      <c r="RCB22" s="2056"/>
      <c r="RCC22" s="2057"/>
      <c r="RCD22" s="2057"/>
      <c r="RCE22" s="2056"/>
      <c r="RCF22" s="2057"/>
      <c r="RCG22" s="2057"/>
      <c r="RCH22" s="2056"/>
      <c r="RCI22" s="2057"/>
      <c r="RCJ22" s="2057"/>
      <c r="RCK22" s="2056"/>
      <c r="RCL22" s="2057"/>
      <c r="RCM22" s="2057"/>
      <c r="RCN22" s="2056"/>
      <c r="RCO22" s="2057"/>
      <c r="RCP22" s="2057"/>
      <c r="RCQ22" s="2056"/>
      <c r="RCR22" s="2057"/>
      <c r="RCS22" s="2057"/>
      <c r="RCT22" s="2056"/>
      <c r="RCU22" s="2057"/>
      <c r="RCV22" s="2057"/>
      <c r="RCW22" s="2056"/>
      <c r="RCX22" s="2057"/>
      <c r="RCY22" s="2057"/>
      <c r="RCZ22" s="2056"/>
      <c r="RDA22" s="2057"/>
      <c r="RDB22" s="2057"/>
      <c r="RDC22" s="2056"/>
      <c r="RDD22" s="2057"/>
      <c r="RDE22" s="2057"/>
      <c r="RDF22" s="2056"/>
      <c r="RDG22" s="2057"/>
      <c r="RDH22" s="2057"/>
      <c r="RDI22" s="2056"/>
      <c r="RDJ22" s="2057"/>
      <c r="RDK22" s="2057"/>
      <c r="RDL22" s="2056"/>
      <c r="RDM22" s="2057"/>
      <c r="RDN22" s="2057"/>
      <c r="RDO22" s="2056"/>
      <c r="RDP22" s="2057"/>
      <c r="RDQ22" s="2057"/>
      <c r="RDR22" s="2056"/>
      <c r="RDS22" s="2057"/>
      <c r="RDT22" s="2057"/>
      <c r="RDU22" s="2056"/>
      <c r="RDV22" s="2057"/>
      <c r="RDW22" s="2057"/>
      <c r="RDX22" s="2056"/>
      <c r="RDY22" s="2057"/>
      <c r="RDZ22" s="2057"/>
      <c r="REA22" s="2056"/>
      <c r="REB22" s="2057"/>
      <c r="REC22" s="2057"/>
      <c r="RED22" s="2056"/>
      <c r="REE22" s="2057"/>
      <c r="REF22" s="2057"/>
      <c r="REG22" s="2056"/>
      <c r="REH22" s="2057"/>
      <c r="REI22" s="2057"/>
      <c r="REJ22" s="2056"/>
      <c r="REK22" s="2057"/>
      <c r="REL22" s="2057"/>
      <c r="REM22" s="2056"/>
      <c r="REN22" s="2057"/>
      <c r="REO22" s="2057"/>
      <c r="REP22" s="2056"/>
      <c r="REQ22" s="2057"/>
      <c r="RER22" s="2057"/>
      <c r="RES22" s="2056"/>
      <c r="RET22" s="2057"/>
      <c r="REU22" s="2057"/>
      <c r="REV22" s="2056"/>
      <c r="REW22" s="2057"/>
      <c r="REX22" s="2057"/>
      <c r="REY22" s="2056"/>
      <c r="REZ22" s="2057"/>
      <c r="RFA22" s="2057"/>
      <c r="RFB22" s="2056"/>
      <c r="RFC22" s="2057"/>
      <c r="RFD22" s="2057"/>
      <c r="RFE22" s="2056"/>
      <c r="RFF22" s="2057"/>
      <c r="RFG22" s="2057"/>
      <c r="RFH22" s="2056"/>
      <c r="RFI22" s="2057"/>
      <c r="RFJ22" s="2057"/>
      <c r="RFK22" s="2056"/>
      <c r="RFL22" s="2057"/>
      <c r="RFM22" s="2057"/>
      <c r="RFN22" s="2056"/>
      <c r="RFO22" s="2057"/>
      <c r="RFP22" s="2057"/>
      <c r="RFQ22" s="2056"/>
      <c r="RFR22" s="2057"/>
      <c r="RFS22" s="2057"/>
      <c r="RFT22" s="2056"/>
      <c r="RFU22" s="2057"/>
      <c r="RFV22" s="2057"/>
      <c r="RFW22" s="2056"/>
      <c r="RFX22" s="2057"/>
      <c r="RFY22" s="2057"/>
      <c r="RFZ22" s="2056"/>
      <c r="RGA22" s="2057"/>
      <c r="RGB22" s="2057"/>
      <c r="RGC22" s="2056"/>
      <c r="RGD22" s="2057"/>
      <c r="RGE22" s="2057"/>
      <c r="RGF22" s="2056"/>
      <c r="RGG22" s="2057"/>
      <c r="RGH22" s="2057"/>
      <c r="RGI22" s="2056"/>
      <c r="RGJ22" s="2057"/>
      <c r="RGK22" s="2057"/>
      <c r="RGL22" s="2056"/>
      <c r="RGM22" s="2057"/>
      <c r="RGN22" s="2057"/>
      <c r="RGO22" s="2056"/>
      <c r="RGP22" s="2057"/>
      <c r="RGQ22" s="2057"/>
      <c r="RGR22" s="2056"/>
      <c r="RGS22" s="2057"/>
      <c r="RGT22" s="2057"/>
      <c r="RGU22" s="2056"/>
      <c r="RGV22" s="2057"/>
      <c r="RGW22" s="2057"/>
      <c r="RGX22" s="2056"/>
      <c r="RGY22" s="2057"/>
      <c r="RGZ22" s="2057"/>
      <c r="RHA22" s="2056"/>
      <c r="RHB22" s="2057"/>
      <c r="RHC22" s="2057"/>
      <c r="RHD22" s="2056"/>
      <c r="RHE22" s="2057"/>
      <c r="RHF22" s="2057"/>
      <c r="RHG22" s="2056"/>
      <c r="RHH22" s="2057"/>
      <c r="RHI22" s="2057"/>
      <c r="RHJ22" s="2056"/>
      <c r="RHK22" s="2057"/>
      <c r="RHL22" s="2057"/>
      <c r="RHM22" s="2056"/>
      <c r="RHN22" s="2057"/>
      <c r="RHO22" s="2057"/>
      <c r="RHP22" s="2056"/>
      <c r="RHQ22" s="2057"/>
      <c r="RHR22" s="2057"/>
      <c r="RHS22" s="2056"/>
      <c r="RHT22" s="2057"/>
      <c r="RHU22" s="2057"/>
      <c r="RHV22" s="2056"/>
      <c r="RHW22" s="2057"/>
      <c r="RHX22" s="2057"/>
      <c r="RHY22" s="2056"/>
      <c r="RHZ22" s="2057"/>
      <c r="RIA22" s="2057"/>
      <c r="RIB22" s="2056"/>
      <c r="RIC22" s="2057"/>
      <c r="RID22" s="2057"/>
      <c r="RIE22" s="2056"/>
      <c r="RIF22" s="2057"/>
      <c r="RIG22" s="2057"/>
      <c r="RIH22" s="2056"/>
      <c r="RII22" s="2057"/>
      <c r="RIJ22" s="2057"/>
      <c r="RIK22" s="2056"/>
      <c r="RIL22" s="2057"/>
      <c r="RIM22" s="2057"/>
      <c r="RIN22" s="2056"/>
      <c r="RIO22" s="2057"/>
      <c r="RIP22" s="2057"/>
      <c r="RIQ22" s="2056"/>
      <c r="RIR22" s="2057"/>
      <c r="RIS22" s="2057"/>
      <c r="RIT22" s="2056"/>
      <c r="RIU22" s="2057"/>
      <c r="RIV22" s="2057"/>
      <c r="RIW22" s="2056"/>
      <c r="RIX22" s="2057"/>
      <c r="RIY22" s="2057"/>
      <c r="RIZ22" s="2056"/>
      <c r="RJA22" s="2057"/>
      <c r="RJB22" s="2057"/>
      <c r="RJC22" s="2056"/>
      <c r="RJD22" s="2057"/>
      <c r="RJE22" s="2057"/>
      <c r="RJF22" s="2056"/>
      <c r="RJG22" s="2057"/>
      <c r="RJH22" s="2057"/>
      <c r="RJI22" s="2056"/>
      <c r="RJJ22" s="2057"/>
      <c r="RJK22" s="2057"/>
      <c r="RJL22" s="2056"/>
      <c r="RJM22" s="2057"/>
      <c r="RJN22" s="2057"/>
      <c r="RJO22" s="2056"/>
      <c r="RJP22" s="2057"/>
      <c r="RJQ22" s="2057"/>
      <c r="RJR22" s="2056"/>
      <c r="RJS22" s="2057"/>
      <c r="RJT22" s="2057"/>
      <c r="RJU22" s="2056"/>
      <c r="RJV22" s="2057"/>
      <c r="RJW22" s="2057"/>
      <c r="RJX22" s="2056"/>
      <c r="RJY22" s="2057"/>
      <c r="RJZ22" s="2057"/>
      <c r="RKA22" s="2056"/>
      <c r="RKB22" s="2057"/>
      <c r="RKC22" s="2057"/>
      <c r="RKD22" s="2056"/>
      <c r="RKE22" s="2057"/>
      <c r="RKF22" s="2057"/>
      <c r="RKG22" s="2056"/>
      <c r="RKH22" s="2057"/>
      <c r="RKI22" s="2057"/>
      <c r="RKJ22" s="2056"/>
      <c r="RKK22" s="2057"/>
      <c r="RKL22" s="2057"/>
      <c r="RKM22" s="2056"/>
      <c r="RKN22" s="2057"/>
      <c r="RKO22" s="2057"/>
      <c r="RKP22" s="2056"/>
      <c r="RKQ22" s="2057"/>
      <c r="RKR22" s="2057"/>
      <c r="RKS22" s="2056"/>
      <c r="RKT22" s="2057"/>
      <c r="RKU22" s="2057"/>
      <c r="RKV22" s="2056"/>
      <c r="RKW22" s="2057"/>
      <c r="RKX22" s="2057"/>
      <c r="RKY22" s="2056"/>
      <c r="RKZ22" s="2057"/>
      <c r="RLA22" s="2057"/>
      <c r="RLB22" s="2056"/>
      <c r="RLC22" s="2057"/>
      <c r="RLD22" s="2057"/>
      <c r="RLE22" s="2056"/>
      <c r="RLF22" s="2057"/>
      <c r="RLG22" s="2057"/>
      <c r="RLH22" s="2056"/>
      <c r="RLI22" s="2057"/>
      <c r="RLJ22" s="2057"/>
      <c r="RLK22" s="2056"/>
      <c r="RLL22" s="2057"/>
      <c r="RLM22" s="2057"/>
      <c r="RLN22" s="2056"/>
      <c r="RLO22" s="2057"/>
      <c r="RLP22" s="2057"/>
      <c r="RLQ22" s="2056"/>
      <c r="RLR22" s="2057"/>
      <c r="RLS22" s="2057"/>
      <c r="RLT22" s="2056"/>
      <c r="RLU22" s="2057"/>
      <c r="RLV22" s="2057"/>
      <c r="RLW22" s="2056"/>
      <c r="RLX22" s="2057"/>
      <c r="RLY22" s="2057"/>
      <c r="RLZ22" s="2056"/>
      <c r="RMA22" s="2057"/>
      <c r="RMB22" s="2057"/>
      <c r="RMC22" s="2056"/>
      <c r="RMD22" s="2057"/>
      <c r="RME22" s="2057"/>
      <c r="RMF22" s="2056"/>
      <c r="RMG22" s="2057"/>
      <c r="RMH22" s="2057"/>
      <c r="RMI22" s="2056"/>
      <c r="RMJ22" s="2057"/>
      <c r="RMK22" s="2057"/>
      <c r="RML22" s="2056"/>
      <c r="RMM22" s="2057"/>
      <c r="RMN22" s="2057"/>
      <c r="RMO22" s="2056"/>
      <c r="RMP22" s="2057"/>
      <c r="RMQ22" s="2057"/>
      <c r="RMR22" s="2056"/>
      <c r="RMS22" s="2057"/>
      <c r="RMT22" s="2057"/>
      <c r="RMU22" s="2056"/>
      <c r="RMV22" s="2057"/>
      <c r="RMW22" s="2057"/>
      <c r="RMX22" s="2056"/>
      <c r="RMY22" s="2057"/>
      <c r="RMZ22" s="2057"/>
      <c r="RNA22" s="2056"/>
      <c r="RNB22" s="2057"/>
      <c r="RNC22" s="2057"/>
      <c r="RND22" s="2056"/>
      <c r="RNE22" s="2057"/>
      <c r="RNF22" s="2057"/>
      <c r="RNG22" s="2056"/>
      <c r="RNH22" s="2057"/>
      <c r="RNI22" s="2057"/>
      <c r="RNJ22" s="2056"/>
      <c r="RNK22" s="2057"/>
      <c r="RNL22" s="2057"/>
      <c r="RNM22" s="2056"/>
      <c r="RNN22" s="2057"/>
      <c r="RNO22" s="2057"/>
      <c r="RNP22" s="2056"/>
      <c r="RNQ22" s="2057"/>
      <c r="RNR22" s="2057"/>
      <c r="RNS22" s="2056"/>
      <c r="RNT22" s="2057"/>
      <c r="RNU22" s="2057"/>
      <c r="RNV22" s="2056"/>
      <c r="RNW22" s="2057"/>
      <c r="RNX22" s="2057"/>
      <c r="RNY22" s="2056"/>
      <c r="RNZ22" s="2057"/>
      <c r="ROA22" s="2057"/>
      <c r="ROB22" s="2056"/>
      <c r="ROC22" s="2057"/>
      <c r="ROD22" s="2057"/>
      <c r="ROE22" s="2056"/>
      <c r="ROF22" s="2057"/>
      <c r="ROG22" s="2057"/>
      <c r="ROH22" s="2056"/>
      <c r="ROI22" s="2057"/>
      <c r="ROJ22" s="2057"/>
      <c r="ROK22" s="2056"/>
      <c r="ROL22" s="2057"/>
      <c r="ROM22" s="2057"/>
      <c r="RON22" s="2056"/>
      <c r="ROO22" s="2057"/>
      <c r="ROP22" s="2057"/>
      <c r="ROQ22" s="2056"/>
      <c r="ROR22" s="2057"/>
      <c r="ROS22" s="2057"/>
      <c r="ROT22" s="2056"/>
      <c r="ROU22" s="2057"/>
      <c r="ROV22" s="2057"/>
      <c r="ROW22" s="2056"/>
      <c r="ROX22" s="2057"/>
      <c r="ROY22" s="2057"/>
      <c r="ROZ22" s="2056"/>
      <c r="RPA22" s="2057"/>
      <c r="RPB22" s="2057"/>
      <c r="RPC22" s="2056"/>
      <c r="RPD22" s="2057"/>
      <c r="RPE22" s="2057"/>
      <c r="RPF22" s="2056"/>
      <c r="RPG22" s="2057"/>
      <c r="RPH22" s="2057"/>
      <c r="RPI22" s="2056"/>
      <c r="RPJ22" s="2057"/>
      <c r="RPK22" s="2057"/>
      <c r="RPL22" s="2056"/>
      <c r="RPM22" s="2057"/>
      <c r="RPN22" s="2057"/>
      <c r="RPO22" s="2056"/>
      <c r="RPP22" s="2057"/>
      <c r="RPQ22" s="2057"/>
      <c r="RPR22" s="2056"/>
      <c r="RPS22" s="2057"/>
      <c r="RPT22" s="2057"/>
      <c r="RPU22" s="2056"/>
      <c r="RPV22" s="2057"/>
      <c r="RPW22" s="2057"/>
      <c r="RPX22" s="2056"/>
      <c r="RPY22" s="2057"/>
      <c r="RPZ22" s="2057"/>
      <c r="RQA22" s="2056"/>
      <c r="RQB22" s="2057"/>
      <c r="RQC22" s="2057"/>
      <c r="RQD22" s="2056"/>
      <c r="RQE22" s="2057"/>
      <c r="RQF22" s="2057"/>
      <c r="RQG22" s="2056"/>
      <c r="RQH22" s="2057"/>
      <c r="RQI22" s="2057"/>
      <c r="RQJ22" s="2056"/>
      <c r="RQK22" s="2057"/>
      <c r="RQL22" s="2057"/>
      <c r="RQM22" s="2056"/>
      <c r="RQN22" s="2057"/>
      <c r="RQO22" s="2057"/>
      <c r="RQP22" s="2056"/>
      <c r="RQQ22" s="2057"/>
      <c r="RQR22" s="2057"/>
      <c r="RQS22" s="2056"/>
      <c r="RQT22" s="2057"/>
      <c r="RQU22" s="2057"/>
      <c r="RQV22" s="2056"/>
      <c r="RQW22" s="2057"/>
      <c r="RQX22" s="2057"/>
      <c r="RQY22" s="2056"/>
      <c r="RQZ22" s="2057"/>
      <c r="RRA22" s="2057"/>
      <c r="RRB22" s="2056"/>
      <c r="RRC22" s="2057"/>
      <c r="RRD22" s="2057"/>
      <c r="RRE22" s="2056"/>
      <c r="RRF22" s="2057"/>
      <c r="RRG22" s="2057"/>
      <c r="RRH22" s="2056"/>
      <c r="RRI22" s="2057"/>
      <c r="RRJ22" s="2057"/>
      <c r="RRK22" s="2056"/>
      <c r="RRL22" s="2057"/>
      <c r="RRM22" s="2057"/>
      <c r="RRN22" s="2056"/>
      <c r="RRO22" s="2057"/>
      <c r="RRP22" s="2057"/>
      <c r="RRQ22" s="2056"/>
      <c r="RRR22" s="2057"/>
      <c r="RRS22" s="2057"/>
      <c r="RRT22" s="2056"/>
      <c r="RRU22" s="2057"/>
      <c r="RRV22" s="2057"/>
      <c r="RRW22" s="2056"/>
      <c r="RRX22" s="2057"/>
      <c r="RRY22" s="2057"/>
      <c r="RRZ22" s="2056"/>
      <c r="RSA22" s="2057"/>
      <c r="RSB22" s="2057"/>
      <c r="RSC22" s="2056"/>
      <c r="RSD22" s="2057"/>
      <c r="RSE22" s="2057"/>
      <c r="RSF22" s="2056"/>
      <c r="RSG22" s="2057"/>
      <c r="RSH22" s="2057"/>
      <c r="RSI22" s="2056"/>
      <c r="RSJ22" s="2057"/>
      <c r="RSK22" s="2057"/>
      <c r="RSL22" s="2056"/>
      <c r="RSM22" s="2057"/>
      <c r="RSN22" s="2057"/>
      <c r="RSO22" s="2056"/>
      <c r="RSP22" s="2057"/>
      <c r="RSQ22" s="2057"/>
      <c r="RSR22" s="2056"/>
      <c r="RSS22" s="2057"/>
      <c r="RST22" s="2057"/>
      <c r="RSU22" s="2056"/>
      <c r="RSV22" s="2057"/>
      <c r="RSW22" s="2057"/>
      <c r="RSX22" s="2056"/>
      <c r="RSY22" s="2057"/>
      <c r="RSZ22" s="2057"/>
      <c r="RTA22" s="2056"/>
      <c r="RTB22" s="2057"/>
      <c r="RTC22" s="2057"/>
      <c r="RTD22" s="2056"/>
      <c r="RTE22" s="2057"/>
      <c r="RTF22" s="2057"/>
      <c r="RTG22" s="2056"/>
      <c r="RTH22" s="2057"/>
      <c r="RTI22" s="2057"/>
      <c r="RTJ22" s="2056"/>
      <c r="RTK22" s="2057"/>
      <c r="RTL22" s="2057"/>
      <c r="RTM22" s="2056"/>
      <c r="RTN22" s="2057"/>
      <c r="RTO22" s="2057"/>
      <c r="RTP22" s="2056"/>
      <c r="RTQ22" s="2057"/>
      <c r="RTR22" s="2057"/>
      <c r="RTS22" s="2056"/>
      <c r="RTT22" s="2057"/>
      <c r="RTU22" s="2057"/>
      <c r="RTV22" s="2056"/>
      <c r="RTW22" s="2057"/>
      <c r="RTX22" s="2057"/>
      <c r="RTY22" s="2056"/>
      <c r="RTZ22" s="2057"/>
      <c r="RUA22" s="2057"/>
      <c r="RUB22" s="2056"/>
      <c r="RUC22" s="2057"/>
      <c r="RUD22" s="2057"/>
      <c r="RUE22" s="2056"/>
      <c r="RUF22" s="2057"/>
      <c r="RUG22" s="2057"/>
      <c r="RUH22" s="2056"/>
      <c r="RUI22" s="2057"/>
      <c r="RUJ22" s="2057"/>
      <c r="RUK22" s="2056"/>
      <c r="RUL22" s="2057"/>
      <c r="RUM22" s="2057"/>
      <c r="RUN22" s="2056"/>
      <c r="RUO22" s="2057"/>
      <c r="RUP22" s="2057"/>
      <c r="RUQ22" s="2056"/>
      <c r="RUR22" s="2057"/>
      <c r="RUS22" s="2057"/>
      <c r="RUT22" s="2056"/>
      <c r="RUU22" s="2057"/>
      <c r="RUV22" s="2057"/>
      <c r="RUW22" s="2056"/>
      <c r="RUX22" s="2057"/>
      <c r="RUY22" s="2057"/>
      <c r="RUZ22" s="2056"/>
      <c r="RVA22" s="2057"/>
      <c r="RVB22" s="2057"/>
      <c r="RVC22" s="2056"/>
      <c r="RVD22" s="2057"/>
      <c r="RVE22" s="2057"/>
      <c r="RVF22" s="2056"/>
      <c r="RVG22" s="2057"/>
      <c r="RVH22" s="2057"/>
      <c r="RVI22" s="2056"/>
      <c r="RVJ22" s="2057"/>
      <c r="RVK22" s="2057"/>
      <c r="RVL22" s="2056"/>
      <c r="RVM22" s="2057"/>
      <c r="RVN22" s="2057"/>
      <c r="RVO22" s="2056"/>
      <c r="RVP22" s="2057"/>
      <c r="RVQ22" s="2057"/>
      <c r="RVR22" s="2056"/>
      <c r="RVS22" s="2057"/>
      <c r="RVT22" s="2057"/>
      <c r="RVU22" s="2056"/>
      <c r="RVV22" s="2057"/>
      <c r="RVW22" s="2057"/>
      <c r="RVX22" s="2056"/>
      <c r="RVY22" s="2057"/>
      <c r="RVZ22" s="2057"/>
      <c r="RWA22" s="2056"/>
      <c r="RWB22" s="2057"/>
      <c r="RWC22" s="2057"/>
      <c r="RWD22" s="2056"/>
      <c r="RWE22" s="2057"/>
      <c r="RWF22" s="2057"/>
      <c r="RWG22" s="2056"/>
      <c r="RWH22" s="2057"/>
      <c r="RWI22" s="2057"/>
      <c r="RWJ22" s="2056"/>
      <c r="RWK22" s="2057"/>
      <c r="RWL22" s="2057"/>
      <c r="RWM22" s="2056"/>
      <c r="RWN22" s="2057"/>
      <c r="RWO22" s="2057"/>
      <c r="RWP22" s="2056"/>
      <c r="RWQ22" s="2057"/>
      <c r="RWR22" s="2057"/>
      <c r="RWS22" s="2056"/>
      <c r="RWT22" s="2057"/>
      <c r="RWU22" s="2057"/>
      <c r="RWV22" s="2056"/>
      <c r="RWW22" s="2057"/>
      <c r="RWX22" s="2057"/>
      <c r="RWY22" s="2056"/>
      <c r="RWZ22" s="2057"/>
      <c r="RXA22" s="2057"/>
      <c r="RXB22" s="2056"/>
      <c r="RXC22" s="2057"/>
      <c r="RXD22" s="2057"/>
      <c r="RXE22" s="2056"/>
      <c r="RXF22" s="2057"/>
      <c r="RXG22" s="2057"/>
      <c r="RXH22" s="2056"/>
      <c r="RXI22" s="2057"/>
      <c r="RXJ22" s="2057"/>
      <c r="RXK22" s="2056"/>
      <c r="RXL22" s="2057"/>
      <c r="RXM22" s="2057"/>
      <c r="RXN22" s="2056"/>
      <c r="RXO22" s="2057"/>
      <c r="RXP22" s="2057"/>
      <c r="RXQ22" s="2056"/>
      <c r="RXR22" s="2057"/>
      <c r="RXS22" s="2057"/>
      <c r="RXT22" s="2056"/>
      <c r="RXU22" s="2057"/>
      <c r="RXV22" s="2057"/>
      <c r="RXW22" s="2056"/>
      <c r="RXX22" s="2057"/>
      <c r="RXY22" s="2057"/>
      <c r="RXZ22" s="2056"/>
      <c r="RYA22" s="2057"/>
      <c r="RYB22" s="2057"/>
      <c r="RYC22" s="2056"/>
      <c r="RYD22" s="2057"/>
      <c r="RYE22" s="2057"/>
      <c r="RYF22" s="2056"/>
      <c r="RYG22" s="2057"/>
      <c r="RYH22" s="2057"/>
      <c r="RYI22" s="2056"/>
      <c r="RYJ22" s="2057"/>
      <c r="RYK22" s="2057"/>
      <c r="RYL22" s="2056"/>
      <c r="RYM22" s="2057"/>
      <c r="RYN22" s="2057"/>
      <c r="RYO22" s="2056"/>
      <c r="RYP22" s="2057"/>
      <c r="RYQ22" s="2057"/>
      <c r="RYR22" s="2056"/>
      <c r="RYS22" s="2057"/>
      <c r="RYT22" s="2057"/>
      <c r="RYU22" s="2056"/>
      <c r="RYV22" s="2057"/>
      <c r="RYW22" s="2057"/>
      <c r="RYX22" s="2056"/>
      <c r="RYY22" s="2057"/>
      <c r="RYZ22" s="2057"/>
      <c r="RZA22" s="2056"/>
      <c r="RZB22" s="2057"/>
      <c r="RZC22" s="2057"/>
      <c r="RZD22" s="2056"/>
      <c r="RZE22" s="2057"/>
      <c r="RZF22" s="2057"/>
      <c r="RZG22" s="2056"/>
      <c r="RZH22" s="2057"/>
      <c r="RZI22" s="2057"/>
      <c r="RZJ22" s="2056"/>
      <c r="RZK22" s="2057"/>
      <c r="RZL22" s="2057"/>
      <c r="RZM22" s="2056"/>
      <c r="RZN22" s="2057"/>
      <c r="RZO22" s="2057"/>
      <c r="RZP22" s="2056"/>
      <c r="RZQ22" s="2057"/>
      <c r="RZR22" s="2057"/>
      <c r="RZS22" s="2056"/>
      <c r="RZT22" s="2057"/>
      <c r="RZU22" s="2057"/>
      <c r="RZV22" s="2056"/>
      <c r="RZW22" s="2057"/>
      <c r="RZX22" s="2057"/>
      <c r="RZY22" s="2056"/>
      <c r="RZZ22" s="2057"/>
      <c r="SAA22" s="2057"/>
      <c r="SAB22" s="2056"/>
      <c r="SAC22" s="2057"/>
      <c r="SAD22" s="2057"/>
      <c r="SAE22" s="2056"/>
      <c r="SAF22" s="2057"/>
      <c r="SAG22" s="2057"/>
      <c r="SAH22" s="2056"/>
      <c r="SAI22" s="2057"/>
      <c r="SAJ22" s="2057"/>
      <c r="SAK22" s="2056"/>
      <c r="SAL22" s="2057"/>
      <c r="SAM22" s="2057"/>
      <c r="SAN22" s="2056"/>
      <c r="SAO22" s="2057"/>
      <c r="SAP22" s="2057"/>
      <c r="SAQ22" s="2056"/>
      <c r="SAR22" s="2057"/>
      <c r="SAS22" s="2057"/>
      <c r="SAT22" s="2056"/>
      <c r="SAU22" s="2057"/>
      <c r="SAV22" s="2057"/>
      <c r="SAW22" s="2056"/>
      <c r="SAX22" s="2057"/>
      <c r="SAY22" s="2057"/>
      <c r="SAZ22" s="2056"/>
      <c r="SBA22" s="2057"/>
      <c r="SBB22" s="2057"/>
      <c r="SBC22" s="2056"/>
      <c r="SBD22" s="2057"/>
      <c r="SBE22" s="2057"/>
      <c r="SBF22" s="2056"/>
      <c r="SBG22" s="2057"/>
      <c r="SBH22" s="2057"/>
      <c r="SBI22" s="2056"/>
      <c r="SBJ22" s="2057"/>
      <c r="SBK22" s="2057"/>
      <c r="SBL22" s="2056"/>
      <c r="SBM22" s="2057"/>
      <c r="SBN22" s="2057"/>
      <c r="SBO22" s="2056"/>
      <c r="SBP22" s="2057"/>
      <c r="SBQ22" s="2057"/>
      <c r="SBR22" s="2056"/>
      <c r="SBS22" s="2057"/>
      <c r="SBT22" s="2057"/>
      <c r="SBU22" s="2056"/>
      <c r="SBV22" s="2057"/>
      <c r="SBW22" s="2057"/>
      <c r="SBX22" s="2056"/>
      <c r="SBY22" s="2057"/>
      <c r="SBZ22" s="2057"/>
      <c r="SCA22" s="2056"/>
      <c r="SCB22" s="2057"/>
      <c r="SCC22" s="2057"/>
      <c r="SCD22" s="2056"/>
      <c r="SCE22" s="2057"/>
      <c r="SCF22" s="2057"/>
      <c r="SCG22" s="2056"/>
      <c r="SCH22" s="2057"/>
      <c r="SCI22" s="2057"/>
      <c r="SCJ22" s="2056"/>
      <c r="SCK22" s="2057"/>
      <c r="SCL22" s="2057"/>
      <c r="SCM22" s="2056"/>
      <c r="SCN22" s="2057"/>
      <c r="SCO22" s="2057"/>
      <c r="SCP22" s="2056"/>
      <c r="SCQ22" s="2057"/>
      <c r="SCR22" s="2057"/>
      <c r="SCS22" s="2056"/>
      <c r="SCT22" s="2057"/>
      <c r="SCU22" s="2057"/>
      <c r="SCV22" s="2056"/>
      <c r="SCW22" s="2057"/>
      <c r="SCX22" s="2057"/>
      <c r="SCY22" s="2056"/>
      <c r="SCZ22" s="2057"/>
      <c r="SDA22" s="2057"/>
      <c r="SDB22" s="2056"/>
      <c r="SDC22" s="2057"/>
      <c r="SDD22" s="2057"/>
      <c r="SDE22" s="2056"/>
      <c r="SDF22" s="2057"/>
      <c r="SDG22" s="2057"/>
      <c r="SDH22" s="2056"/>
      <c r="SDI22" s="2057"/>
      <c r="SDJ22" s="2057"/>
      <c r="SDK22" s="2056"/>
      <c r="SDL22" s="2057"/>
      <c r="SDM22" s="2057"/>
      <c r="SDN22" s="2056"/>
      <c r="SDO22" s="2057"/>
      <c r="SDP22" s="2057"/>
      <c r="SDQ22" s="2056"/>
      <c r="SDR22" s="2057"/>
      <c r="SDS22" s="2057"/>
      <c r="SDT22" s="2056"/>
      <c r="SDU22" s="2057"/>
      <c r="SDV22" s="2057"/>
      <c r="SDW22" s="2056"/>
      <c r="SDX22" s="2057"/>
      <c r="SDY22" s="2057"/>
      <c r="SDZ22" s="2056"/>
      <c r="SEA22" s="2057"/>
      <c r="SEB22" s="2057"/>
      <c r="SEC22" s="2056"/>
      <c r="SED22" s="2057"/>
      <c r="SEE22" s="2057"/>
      <c r="SEF22" s="2056"/>
      <c r="SEG22" s="2057"/>
      <c r="SEH22" s="2057"/>
      <c r="SEI22" s="2056"/>
      <c r="SEJ22" s="2057"/>
      <c r="SEK22" s="2057"/>
      <c r="SEL22" s="2056"/>
      <c r="SEM22" s="2057"/>
      <c r="SEN22" s="2057"/>
      <c r="SEO22" s="2056"/>
      <c r="SEP22" s="2057"/>
      <c r="SEQ22" s="2057"/>
      <c r="SER22" s="2056"/>
      <c r="SES22" s="2057"/>
      <c r="SET22" s="2057"/>
      <c r="SEU22" s="2056"/>
      <c r="SEV22" s="2057"/>
      <c r="SEW22" s="2057"/>
      <c r="SEX22" s="2056"/>
      <c r="SEY22" s="2057"/>
      <c r="SEZ22" s="2057"/>
      <c r="SFA22" s="2056"/>
      <c r="SFB22" s="2057"/>
      <c r="SFC22" s="2057"/>
      <c r="SFD22" s="2056"/>
      <c r="SFE22" s="2057"/>
      <c r="SFF22" s="2057"/>
      <c r="SFG22" s="2056"/>
      <c r="SFH22" s="2057"/>
      <c r="SFI22" s="2057"/>
      <c r="SFJ22" s="2056"/>
      <c r="SFK22" s="2057"/>
      <c r="SFL22" s="2057"/>
      <c r="SFM22" s="2056"/>
      <c r="SFN22" s="2057"/>
      <c r="SFO22" s="2057"/>
      <c r="SFP22" s="2056"/>
      <c r="SFQ22" s="2057"/>
      <c r="SFR22" s="2057"/>
      <c r="SFS22" s="2056"/>
      <c r="SFT22" s="2057"/>
      <c r="SFU22" s="2057"/>
      <c r="SFV22" s="2056"/>
      <c r="SFW22" s="2057"/>
      <c r="SFX22" s="2057"/>
      <c r="SFY22" s="2056"/>
      <c r="SFZ22" s="2057"/>
      <c r="SGA22" s="2057"/>
      <c r="SGB22" s="2056"/>
      <c r="SGC22" s="2057"/>
      <c r="SGD22" s="2057"/>
      <c r="SGE22" s="2056"/>
      <c r="SGF22" s="2057"/>
      <c r="SGG22" s="2057"/>
      <c r="SGH22" s="2056"/>
      <c r="SGI22" s="2057"/>
      <c r="SGJ22" s="2057"/>
      <c r="SGK22" s="2056"/>
      <c r="SGL22" s="2057"/>
      <c r="SGM22" s="2057"/>
      <c r="SGN22" s="2056"/>
      <c r="SGO22" s="2057"/>
      <c r="SGP22" s="2057"/>
      <c r="SGQ22" s="2056"/>
      <c r="SGR22" s="2057"/>
      <c r="SGS22" s="2057"/>
      <c r="SGT22" s="2056"/>
      <c r="SGU22" s="2057"/>
      <c r="SGV22" s="2057"/>
      <c r="SGW22" s="2056"/>
      <c r="SGX22" s="2057"/>
      <c r="SGY22" s="2057"/>
      <c r="SGZ22" s="2056"/>
      <c r="SHA22" s="2057"/>
      <c r="SHB22" s="2057"/>
      <c r="SHC22" s="2056"/>
      <c r="SHD22" s="2057"/>
      <c r="SHE22" s="2057"/>
      <c r="SHF22" s="2056"/>
      <c r="SHG22" s="2057"/>
      <c r="SHH22" s="2057"/>
      <c r="SHI22" s="2056"/>
      <c r="SHJ22" s="2057"/>
      <c r="SHK22" s="2057"/>
      <c r="SHL22" s="2056"/>
      <c r="SHM22" s="2057"/>
      <c r="SHN22" s="2057"/>
      <c r="SHO22" s="2056"/>
      <c r="SHP22" s="2057"/>
      <c r="SHQ22" s="2057"/>
      <c r="SHR22" s="2056"/>
      <c r="SHS22" s="2057"/>
      <c r="SHT22" s="2057"/>
      <c r="SHU22" s="2056"/>
      <c r="SHV22" s="2057"/>
      <c r="SHW22" s="2057"/>
      <c r="SHX22" s="2056"/>
      <c r="SHY22" s="2057"/>
      <c r="SHZ22" s="2057"/>
      <c r="SIA22" s="2056"/>
      <c r="SIB22" s="2057"/>
      <c r="SIC22" s="2057"/>
      <c r="SID22" s="2056"/>
      <c r="SIE22" s="2057"/>
      <c r="SIF22" s="2057"/>
      <c r="SIG22" s="2056"/>
      <c r="SIH22" s="2057"/>
      <c r="SII22" s="2057"/>
      <c r="SIJ22" s="2056"/>
      <c r="SIK22" s="2057"/>
      <c r="SIL22" s="2057"/>
      <c r="SIM22" s="2056"/>
      <c r="SIN22" s="2057"/>
      <c r="SIO22" s="2057"/>
      <c r="SIP22" s="2056"/>
      <c r="SIQ22" s="2057"/>
      <c r="SIR22" s="2057"/>
      <c r="SIS22" s="2056"/>
      <c r="SIT22" s="2057"/>
      <c r="SIU22" s="2057"/>
      <c r="SIV22" s="2056"/>
      <c r="SIW22" s="2057"/>
      <c r="SIX22" s="2057"/>
      <c r="SIY22" s="2056"/>
      <c r="SIZ22" s="2057"/>
      <c r="SJA22" s="2057"/>
      <c r="SJB22" s="2056"/>
      <c r="SJC22" s="2057"/>
      <c r="SJD22" s="2057"/>
      <c r="SJE22" s="2056"/>
      <c r="SJF22" s="2057"/>
      <c r="SJG22" s="2057"/>
      <c r="SJH22" s="2056"/>
      <c r="SJI22" s="2057"/>
      <c r="SJJ22" s="2057"/>
      <c r="SJK22" s="2056"/>
      <c r="SJL22" s="2057"/>
      <c r="SJM22" s="2057"/>
      <c r="SJN22" s="2056"/>
      <c r="SJO22" s="2057"/>
      <c r="SJP22" s="2057"/>
      <c r="SJQ22" s="2056"/>
      <c r="SJR22" s="2057"/>
      <c r="SJS22" s="2057"/>
      <c r="SJT22" s="2056"/>
      <c r="SJU22" s="2057"/>
      <c r="SJV22" s="2057"/>
      <c r="SJW22" s="2056"/>
      <c r="SJX22" s="2057"/>
      <c r="SJY22" s="2057"/>
      <c r="SJZ22" s="2056"/>
      <c r="SKA22" s="2057"/>
      <c r="SKB22" s="2057"/>
      <c r="SKC22" s="2056"/>
      <c r="SKD22" s="2057"/>
      <c r="SKE22" s="2057"/>
      <c r="SKF22" s="2056"/>
      <c r="SKG22" s="2057"/>
      <c r="SKH22" s="2057"/>
      <c r="SKI22" s="2056"/>
      <c r="SKJ22" s="2057"/>
      <c r="SKK22" s="2057"/>
      <c r="SKL22" s="2056"/>
      <c r="SKM22" s="2057"/>
      <c r="SKN22" s="2057"/>
      <c r="SKO22" s="2056"/>
      <c r="SKP22" s="2057"/>
      <c r="SKQ22" s="2057"/>
      <c r="SKR22" s="2056"/>
      <c r="SKS22" s="2057"/>
      <c r="SKT22" s="2057"/>
      <c r="SKU22" s="2056"/>
      <c r="SKV22" s="2057"/>
      <c r="SKW22" s="2057"/>
      <c r="SKX22" s="2056"/>
      <c r="SKY22" s="2057"/>
      <c r="SKZ22" s="2057"/>
      <c r="SLA22" s="2056"/>
      <c r="SLB22" s="2057"/>
      <c r="SLC22" s="2057"/>
      <c r="SLD22" s="2056"/>
      <c r="SLE22" s="2057"/>
      <c r="SLF22" s="2057"/>
      <c r="SLG22" s="2056"/>
      <c r="SLH22" s="2057"/>
      <c r="SLI22" s="2057"/>
      <c r="SLJ22" s="2056"/>
      <c r="SLK22" s="2057"/>
      <c r="SLL22" s="2057"/>
      <c r="SLM22" s="2056"/>
      <c r="SLN22" s="2057"/>
      <c r="SLO22" s="2057"/>
      <c r="SLP22" s="2056"/>
      <c r="SLQ22" s="2057"/>
      <c r="SLR22" s="2057"/>
      <c r="SLS22" s="2056"/>
      <c r="SLT22" s="2057"/>
      <c r="SLU22" s="2057"/>
      <c r="SLV22" s="2056"/>
      <c r="SLW22" s="2057"/>
      <c r="SLX22" s="2057"/>
      <c r="SLY22" s="2056"/>
      <c r="SLZ22" s="2057"/>
      <c r="SMA22" s="2057"/>
      <c r="SMB22" s="2056"/>
      <c r="SMC22" s="2057"/>
      <c r="SMD22" s="2057"/>
      <c r="SME22" s="2056"/>
      <c r="SMF22" s="2057"/>
      <c r="SMG22" s="2057"/>
      <c r="SMH22" s="2056"/>
      <c r="SMI22" s="2057"/>
      <c r="SMJ22" s="2057"/>
      <c r="SMK22" s="2056"/>
      <c r="SML22" s="2057"/>
      <c r="SMM22" s="2057"/>
      <c r="SMN22" s="2056"/>
      <c r="SMO22" s="2057"/>
      <c r="SMP22" s="2057"/>
      <c r="SMQ22" s="2056"/>
      <c r="SMR22" s="2057"/>
      <c r="SMS22" s="2057"/>
      <c r="SMT22" s="2056"/>
      <c r="SMU22" s="2057"/>
      <c r="SMV22" s="2057"/>
      <c r="SMW22" s="2056"/>
      <c r="SMX22" s="2057"/>
      <c r="SMY22" s="2057"/>
      <c r="SMZ22" s="2056"/>
      <c r="SNA22" s="2057"/>
      <c r="SNB22" s="2057"/>
      <c r="SNC22" s="2056"/>
      <c r="SND22" s="2057"/>
      <c r="SNE22" s="2057"/>
      <c r="SNF22" s="2056"/>
      <c r="SNG22" s="2057"/>
      <c r="SNH22" s="2057"/>
      <c r="SNI22" s="2056"/>
      <c r="SNJ22" s="2057"/>
      <c r="SNK22" s="2057"/>
      <c r="SNL22" s="2056"/>
      <c r="SNM22" s="2057"/>
      <c r="SNN22" s="2057"/>
      <c r="SNO22" s="2056"/>
      <c r="SNP22" s="2057"/>
      <c r="SNQ22" s="2057"/>
      <c r="SNR22" s="2056"/>
      <c r="SNS22" s="2057"/>
      <c r="SNT22" s="2057"/>
      <c r="SNU22" s="2056"/>
      <c r="SNV22" s="2057"/>
      <c r="SNW22" s="2057"/>
      <c r="SNX22" s="2056"/>
      <c r="SNY22" s="2057"/>
      <c r="SNZ22" s="2057"/>
      <c r="SOA22" s="2056"/>
      <c r="SOB22" s="2057"/>
      <c r="SOC22" s="2057"/>
      <c r="SOD22" s="2056"/>
      <c r="SOE22" s="2057"/>
      <c r="SOF22" s="2057"/>
      <c r="SOG22" s="2056"/>
      <c r="SOH22" s="2057"/>
      <c r="SOI22" s="2057"/>
      <c r="SOJ22" s="2056"/>
      <c r="SOK22" s="2057"/>
      <c r="SOL22" s="2057"/>
      <c r="SOM22" s="2056"/>
      <c r="SON22" s="2057"/>
      <c r="SOO22" s="2057"/>
      <c r="SOP22" s="2056"/>
      <c r="SOQ22" s="2057"/>
      <c r="SOR22" s="2057"/>
      <c r="SOS22" s="2056"/>
      <c r="SOT22" s="2057"/>
      <c r="SOU22" s="2057"/>
      <c r="SOV22" s="2056"/>
      <c r="SOW22" s="2057"/>
      <c r="SOX22" s="2057"/>
      <c r="SOY22" s="2056"/>
      <c r="SOZ22" s="2057"/>
      <c r="SPA22" s="2057"/>
      <c r="SPB22" s="2056"/>
      <c r="SPC22" s="2057"/>
      <c r="SPD22" s="2057"/>
      <c r="SPE22" s="2056"/>
      <c r="SPF22" s="2057"/>
      <c r="SPG22" s="2057"/>
      <c r="SPH22" s="2056"/>
      <c r="SPI22" s="2057"/>
      <c r="SPJ22" s="2057"/>
      <c r="SPK22" s="2056"/>
      <c r="SPL22" s="2057"/>
      <c r="SPM22" s="2057"/>
      <c r="SPN22" s="2056"/>
      <c r="SPO22" s="2057"/>
      <c r="SPP22" s="2057"/>
      <c r="SPQ22" s="2056"/>
      <c r="SPR22" s="2057"/>
      <c r="SPS22" s="2057"/>
      <c r="SPT22" s="2056"/>
      <c r="SPU22" s="2057"/>
      <c r="SPV22" s="2057"/>
      <c r="SPW22" s="2056"/>
      <c r="SPX22" s="2057"/>
      <c r="SPY22" s="2057"/>
      <c r="SPZ22" s="2056"/>
      <c r="SQA22" s="2057"/>
      <c r="SQB22" s="2057"/>
      <c r="SQC22" s="2056"/>
      <c r="SQD22" s="2057"/>
      <c r="SQE22" s="2057"/>
      <c r="SQF22" s="2056"/>
      <c r="SQG22" s="2057"/>
      <c r="SQH22" s="2057"/>
      <c r="SQI22" s="2056"/>
      <c r="SQJ22" s="2057"/>
      <c r="SQK22" s="2057"/>
      <c r="SQL22" s="2056"/>
      <c r="SQM22" s="2057"/>
      <c r="SQN22" s="2057"/>
      <c r="SQO22" s="2056"/>
      <c r="SQP22" s="2057"/>
      <c r="SQQ22" s="2057"/>
      <c r="SQR22" s="2056"/>
      <c r="SQS22" s="2057"/>
      <c r="SQT22" s="2057"/>
      <c r="SQU22" s="2056"/>
      <c r="SQV22" s="2057"/>
      <c r="SQW22" s="2057"/>
      <c r="SQX22" s="2056"/>
      <c r="SQY22" s="2057"/>
      <c r="SQZ22" s="2057"/>
      <c r="SRA22" s="2056"/>
      <c r="SRB22" s="2057"/>
      <c r="SRC22" s="2057"/>
      <c r="SRD22" s="2056"/>
      <c r="SRE22" s="2057"/>
      <c r="SRF22" s="2057"/>
      <c r="SRG22" s="2056"/>
      <c r="SRH22" s="2057"/>
      <c r="SRI22" s="2057"/>
      <c r="SRJ22" s="2056"/>
      <c r="SRK22" s="2057"/>
      <c r="SRL22" s="2057"/>
      <c r="SRM22" s="2056"/>
      <c r="SRN22" s="2057"/>
      <c r="SRO22" s="2057"/>
      <c r="SRP22" s="2056"/>
      <c r="SRQ22" s="2057"/>
      <c r="SRR22" s="2057"/>
      <c r="SRS22" s="2056"/>
      <c r="SRT22" s="2057"/>
      <c r="SRU22" s="2057"/>
      <c r="SRV22" s="2056"/>
      <c r="SRW22" s="2057"/>
      <c r="SRX22" s="2057"/>
      <c r="SRY22" s="2056"/>
      <c r="SRZ22" s="2057"/>
      <c r="SSA22" s="2057"/>
      <c r="SSB22" s="2056"/>
      <c r="SSC22" s="2057"/>
      <c r="SSD22" s="2057"/>
      <c r="SSE22" s="2056"/>
      <c r="SSF22" s="2057"/>
      <c r="SSG22" s="2057"/>
      <c r="SSH22" s="2056"/>
      <c r="SSI22" s="2057"/>
      <c r="SSJ22" s="2057"/>
      <c r="SSK22" s="2056"/>
      <c r="SSL22" s="2057"/>
      <c r="SSM22" s="2057"/>
      <c r="SSN22" s="2056"/>
      <c r="SSO22" s="2057"/>
      <c r="SSP22" s="2057"/>
      <c r="SSQ22" s="2056"/>
      <c r="SSR22" s="2057"/>
      <c r="SSS22" s="2057"/>
      <c r="SST22" s="2056"/>
      <c r="SSU22" s="2057"/>
      <c r="SSV22" s="2057"/>
      <c r="SSW22" s="2056"/>
      <c r="SSX22" s="2057"/>
      <c r="SSY22" s="2057"/>
      <c r="SSZ22" s="2056"/>
      <c r="STA22" s="2057"/>
      <c r="STB22" s="2057"/>
      <c r="STC22" s="2056"/>
      <c r="STD22" s="2057"/>
      <c r="STE22" s="2057"/>
      <c r="STF22" s="2056"/>
      <c r="STG22" s="2057"/>
      <c r="STH22" s="2057"/>
      <c r="STI22" s="2056"/>
      <c r="STJ22" s="2057"/>
      <c r="STK22" s="2057"/>
      <c r="STL22" s="2056"/>
      <c r="STM22" s="2057"/>
      <c r="STN22" s="2057"/>
      <c r="STO22" s="2056"/>
      <c r="STP22" s="2057"/>
      <c r="STQ22" s="2057"/>
      <c r="STR22" s="2056"/>
      <c r="STS22" s="2057"/>
      <c r="STT22" s="2057"/>
      <c r="STU22" s="2056"/>
      <c r="STV22" s="2057"/>
      <c r="STW22" s="2057"/>
      <c r="STX22" s="2056"/>
      <c r="STY22" s="2057"/>
      <c r="STZ22" s="2057"/>
      <c r="SUA22" s="2056"/>
      <c r="SUB22" s="2057"/>
      <c r="SUC22" s="2057"/>
      <c r="SUD22" s="2056"/>
      <c r="SUE22" s="2057"/>
      <c r="SUF22" s="2057"/>
      <c r="SUG22" s="2056"/>
      <c r="SUH22" s="2057"/>
      <c r="SUI22" s="2057"/>
      <c r="SUJ22" s="2056"/>
      <c r="SUK22" s="2057"/>
      <c r="SUL22" s="2057"/>
      <c r="SUM22" s="2056"/>
      <c r="SUN22" s="2057"/>
      <c r="SUO22" s="2057"/>
      <c r="SUP22" s="2056"/>
      <c r="SUQ22" s="2057"/>
      <c r="SUR22" s="2057"/>
      <c r="SUS22" s="2056"/>
      <c r="SUT22" s="2057"/>
      <c r="SUU22" s="2057"/>
      <c r="SUV22" s="2056"/>
      <c r="SUW22" s="2057"/>
      <c r="SUX22" s="2057"/>
      <c r="SUY22" s="2056"/>
      <c r="SUZ22" s="2057"/>
      <c r="SVA22" s="2057"/>
      <c r="SVB22" s="2056"/>
      <c r="SVC22" s="2057"/>
      <c r="SVD22" s="2057"/>
      <c r="SVE22" s="2056"/>
      <c r="SVF22" s="2057"/>
      <c r="SVG22" s="2057"/>
      <c r="SVH22" s="2056"/>
      <c r="SVI22" s="2057"/>
      <c r="SVJ22" s="2057"/>
      <c r="SVK22" s="2056"/>
      <c r="SVL22" s="2057"/>
      <c r="SVM22" s="2057"/>
      <c r="SVN22" s="2056"/>
      <c r="SVO22" s="2057"/>
      <c r="SVP22" s="2057"/>
      <c r="SVQ22" s="2056"/>
      <c r="SVR22" s="2057"/>
      <c r="SVS22" s="2057"/>
      <c r="SVT22" s="2056"/>
      <c r="SVU22" s="2057"/>
      <c r="SVV22" s="2057"/>
      <c r="SVW22" s="2056"/>
      <c r="SVX22" s="2057"/>
      <c r="SVY22" s="2057"/>
      <c r="SVZ22" s="2056"/>
      <c r="SWA22" s="2057"/>
      <c r="SWB22" s="2057"/>
      <c r="SWC22" s="2056"/>
      <c r="SWD22" s="2057"/>
      <c r="SWE22" s="2057"/>
      <c r="SWF22" s="2056"/>
      <c r="SWG22" s="2057"/>
      <c r="SWH22" s="2057"/>
      <c r="SWI22" s="2056"/>
      <c r="SWJ22" s="2057"/>
      <c r="SWK22" s="2057"/>
      <c r="SWL22" s="2056"/>
      <c r="SWM22" s="2057"/>
      <c r="SWN22" s="2057"/>
      <c r="SWO22" s="2056"/>
      <c r="SWP22" s="2057"/>
      <c r="SWQ22" s="2057"/>
      <c r="SWR22" s="2056"/>
      <c r="SWS22" s="2057"/>
      <c r="SWT22" s="2057"/>
      <c r="SWU22" s="2056"/>
      <c r="SWV22" s="2057"/>
      <c r="SWW22" s="2057"/>
      <c r="SWX22" s="2056"/>
      <c r="SWY22" s="2057"/>
      <c r="SWZ22" s="2057"/>
      <c r="SXA22" s="2056"/>
      <c r="SXB22" s="2057"/>
      <c r="SXC22" s="2057"/>
      <c r="SXD22" s="2056"/>
      <c r="SXE22" s="2057"/>
      <c r="SXF22" s="2057"/>
      <c r="SXG22" s="2056"/>
      <c r="SXH22" s="2057"/>
      <c r="SXI22" s="2057"/>
      <c r="SXJ22" s="2056"/>
      <c r="SXK22" s="2057"/>
      <c r="SXL22" s="2057"/>
      <c r="SXM22" s="2056"/>
      <c r="SXN22" s="2057"/>
      <c r="SXO22" s="2057"/>
      <c r="SXP22" s="2056"/>
      <c r="SXQ22" s="2057"/>
      <c r="SXR22" s="2057"/>
      <c r="SXS22" s="2056"/>
      <c r="SXT22" s="2057"/>
      <c r="SXU22" s="2057"/>
      <c r="SXV22" s="2056"/>
      <c r="SXW22" s="2057"/>
      <c r="SXX22" s="2057"/>
      <c r="SXY22" s="2056"/>
      <c r="SXZ22" s="2057"/>
      <c r="SYA22" s="2057"/>
      <c r="SYB22" s="2056"/>
      <c r="SYC22" s="2057"/>
      <c r="SYD22" s="2057"/>
      <c r="SYE22" s="2056"/>
      <c r="SYF22" s="2057"/>
      <c r="SYG22" s="2057"/>
      <c r="SYH22" s="2056"/>
      <c r="SYI22" s="2057"/>
      <c r="SYJ22" s="2057"/>
      <c r="SYK22" s="2056"/>
      <c r="SYL22" s="2057"/>
      <c r="SYM22" s="2057"/>
      <c r="SYN22" s="2056"/>
      <c r="SYO22" s="2057"/>
      <c r="SYP22" s="2057"/>
      <c r="SYQ22" s="2056"/>
      <c r="SYR22" s="2057"/>
      <c r="SYS22" s="2057"/>
      <c r="SYT22" s="2056"/>
      <c r="SYU22" s="2057"/>
      <c r="SYV22" s="2057"/>
      <c r="SYW22" s="2056"/>
      <c r="SYX22" s="2057"/>
      <c r="SYY22" s="2057"/>
      <c r="SYZ22" s="2056"/>
      <c r="SZA22" s="2057"/>
      <c r="SZB22" s="2057"/>
      <c r="SZC22" s="2056"/>
      <c r="SZD22" s="2057"/>
      <c r="SZE22" s="2057"/>
      <c r="SZF22" s="2056"/>
      <c r="SZG22" s="2057"/>
      <c r="SZH22" s="2057"/>
      <c r="SZI22" s="2056"/>
      <c r="SZJ22" s="2057"/>
      <c r="SZK22" s="2057"/>
      <c r="SZL22" s="2056"/>
      <c r="SZM22" s="2057"/>
      <c r="SZN22" s="2057"/>
      <c r="SZO22" s="2056"/>
      <c r="SZP22" s="2057"/>
      <c r="SZQ22" s="2057"/>
      <c r="SZR22" s="2056"/>
      <c r="SZS22" s="2057"/>
      <c r="SZT22" s="2057"/>
      <c r="SZU22" s="2056"/>
      <c r="SZV22" s="2057"/>
      <c r="SZW22" s="2057"/>
      <c r="SZX22" s="2056"/>
      <c r="SZY22" s="2057"/>
      <c r="SZZ22" s="2057"/>
      <c r="TAA22" s="2056"/>
      <c r="TAB22" s="2057"/>
      <c r="TAC22" s="2057"/>
      <c r="TAD22" s="2056"/>
      <c r="TAE22" s="2057"/>
      <c r="TAF22" s="2057"/>
      <c r="TAG22" s="2056"/>
      <c r="TAH22" s="2057"/>
      <c r="TAI22" s="2057"/>
      <c r="TAJ22" s="2056"/>
      <c r="TAK22" s="2057"/>
      <c r="TAL22" s="2057"/>
      <c r="TAM22" s="2056"/>
      <c r="TAN22" s="2057"/>
      <c r="TAO22" s="2057"/>
      <c r="TAP22" s="2056"/>
      <c r="TAQ22" s="2057"/>
      <c r="TAR22" s="2057"/>
      <c r="TAS22" s="2056"/>
      <c r="TAT22" s="2057"/>
      <c r="TAU22" s="2057"/>
      <c r="TAV22" s="2056"/>
      <c r="TAW22" s="2057"/>
      <c r="TAX22" s="2057"/>
      <c r="TAY22" s="2056"/>
      <c r="TAZ22" s="2057"/>
      <c r="TBA22" s="2057"/>
      <c r="TBB22" s="2056"/>
      <c r="TBC22" s="2057"/>
      <c r="TBD22" s="2057"/>
      <c r="TBE22" s="2056"/>
      <c r="TBF22" s="2057"/>
      <c r="TBG22" s="2057"/>
      <c r="TBH22" s="2056"/>
      <c r="TBI22" s="2057"/>
      <c r="TBJ22" s="2057"/>
      <c r="TBK22" s="2056"/>
      <c r="TBL22" s="2057"/>
      <c r="TBM22" s="2057"/>
      <c r="TBN22" s="2056"/>
      <c r="TBO22" s="2057"/>
      <c r="TBP22" s="2057"/>
      <c r="TBQ22" s="2056"/>
      <c r="TBR22" s="2057"/>
      <c r="TBS22" s="2057"/>
      <c r="TBT22" s="2056"/>
      <c r="TBU22" s="2057"/>
      <c r="TBV22" s="2057"/>
      <c r="TBW22" s="2056"/>
      <c r="TBX22" s="2057"/>
      <c r="TBY22" s="2057"/>
      <c r="TBZ22" s="2056"/>
      <c r="TCA22" s="2057"/>
      <c r="TCB22" s="2057"/>
      <c r="TCC22" s="2056"/>
      <c r="TCD22" s="2057"/>
      <c r="TCE22" s="2057"/>
      <c r="TCF22" s="2056"/>
      <c r="TCG22" s="2057"/>
      <c r="TCH22" s="2057"/>
      <c r="TCI22" s="2056"/>
      <c r="TCJ22" s="2057"/>
      <c r="TCK22" s="2057"/>
      <c r="TCL22" s="2056"/>
      <c r="TCM22" s="2057"/>
      <c r="TCN22" s="2057"/>
      <c r="TCO22" s="2056"/>
      <c r="TCP22" s="2057"/>
      <c r="TCQ22" s="2057"/>
      <c r="TCR22" s="2056"/>
      <c r="TCS22" s="2057"/>
      <c r="TCT22" s="2057"/>
      <c r="TCU22" s="2056"/>
      <c r="TCV22" s="2057"/>
      <c r="TCW22" s="2057"/>
      <c r="TCX22" s="2056"/>
      <c r="TCY22" s="2057"/>
      <c r="TCZ22" s="2057"/>
      <c r="TDA22" s="2056"/>
      <c r="TDB22" s="2057"/>
      <c r="TDC22" s="2057"/>
      <c r="TDD22" s="2056"/>
      <c r="TDE22" s="2057"/>
      <c r="TDF22" s="2057"/>
      <c r="TDG22" s="2056"/>
      <c r="TDH22" s="2057"/>
      <c r="TDI22" s="2057"/>
      <c r="TDJ22" s="2056"/>
      <c r="TDK22" s="2057"/>
      <c r="TDL22" s="2057"/>
      <c r="TDM22" s="2056"/>
      <c r="TDN22" s="2057"/>
      <c r="TDO22" s="2057"/>
      <c r="TDP22" s="2056"/>
      <c r="TDQ22" s="2057"/>
      <c r="TDR22" s="2057"/>
      <c r="TDS22" s="2056"/>
      <c r="TDT22" s="2057"/>
      <c r="TDU22" s="2057"/>
      <c r="TDV22" s="2056"/>
      <c r="TDW22" s="2057"/>
      <c r="TDX22" s="2057"/>
      <c r="TDY22" s="2056"/>
      <c r="TDZ22" s="2057"/>
      <c r="TEA22" s="2057"/>
      <c r="TEB22" s="2056"/>
      <c r="TEC22" s="2057"/>
      <c r="TED22" s="2057"/>
      <c r="TEE22" s="2056"/>
      <c r="TEF22" s="2057"/>
      <c r="TEG22" s="2057"/>
      <c r="TEH22" s="2056"/>
      <c r="TEI22" s="2057"/>
      <c r="TEJ22" s="2057"/>
      <c r="TEK22" s="2056"/>
      <c r="TEL22" s="2057"/>
      <c r="TEM22" s="2057"/>
      <c r="TEN22" s="2056"/>
      <c r="TEO22" s="2057"/>
      <c r="TEP22" s="2057"/>
      <c r="TEQ22" s="2056"/>
      <c r="TER22" s="2057"/>
      <c r="TES22" s="2057"/>
      <c r="TET22" s="2056"/>
      <c r="TEU22" s="2057"/>
      <c r="TEV22" s="2057"/>
      <c r="TEW22" s="2056"/>
      <c r="TEX22" s="2057"/>
      <c r="TEY22" s="2057"/>
      <c r="TEZ22" s="2056"/>
      <c r="TFA22" s="2057"/>
      <c r="TFB22" s="2057"/>
      <c r="TFC22" s="2056"/>
      <c r="TFD22" s="2057"/>
      <c r="TFE22" s="2057"/>
      <c r="TFF22" s="2056"/>
      <c r="TFG22" s="2057"/>
      <c r="TFH22" s="2057"/>
      <c r="TFI22" s="2056"/>
      <c r="TFJ22" s="2057"/>
      <c r="TFK22" s="2057"/>
      <c r="TFL22" s="2056"/>
      <c r="TFM22" s="2057"/>
      <c r="TFN22" s="2057"/>
      <c r="TFO22" s="2056"/>
      <c r="TFP22" s="2057"/>
      <c r="TFQ22" s="2057"/>
      <c r="TFR22" s="2056"/>
      <c r="TFS22" s="2057"/>
      <c r="TFT22" s="2057"/>
      <c r="TFU22" s="2056"/>
      <c r="TFV22" s="2057"/>
      <c r="TFW22" s="2057"/>
      <c r="TFX22" s="2056"/>
      <c r="TFY22" s="2057"/>
      <c r="TFZ22" s="2057"/>
      <c r="TGA22" s="2056"/>
      <c r="TGB22" s="2057"/>
      <c r="TGC22" s="2057"/>
      <c r="TGD22" s="2056"/>
      <c r="TGE22" s="2057"/>
      <c r="TGF22" s="2057"/>
      <c r="TGG22" s="2056"/>
      <c r="TGH22" s="2057"/>
      <c r="TGI22" s="2057"/>
      <c r="TGJ22" s="2056"/>
      <c r="TGK22" s="2057"/>
      <c r="TGL22" s="2057"/>
      <c r="TGM22" s="2056"/>
      <c r="TGN22" s="2057"/>
      <c r="TGO22" s="2057"/>
      <c r="TGP22" s="2056"/>
      <c r="TGQ22" s="2057"/>
      <c r="TGR22" s="2057"/>
      <c r="TGS22" s="2056"/>
      <c r="TGT22" s="2057"/>
      <c r="TGU22" s="2057"/>
      <c r="TGV22" s="2056"/>
      <c r="TGW22" s="2057"/>
      <c r="TGX22" s="2057"/>
      <c r="TGY22" s="2056"/>
      <c r="TGZ22" s="2057"/>
      <c r="THA22" s="2057"/>
      <c r="THB22" s="2056"/>
      <c r="THC22" s="2057"/>
      <c r="THD22" s="2057"/>
      <c r="THE22" s="2056"/>
      <c r="THF22" s="2057"/>
      <c r="THG22" s="2057"/>
      <c r="THH22" s="2056"/>
      <c r="THI22" s="2057"/>
      <c r="THJ22" s="2057"/>
      <c r="THK22" s="2056"/>
      <c r="THL22" s="2057"/>
      <c r="THM22" s="2057"/>
      <c r="THN22" s="2056"/>
      <c r="THO22" s="2057"/>
      <c r="THP22" s="2057"/>
      <c r="THQ22" s="2056"/>
      <c r="THR22" s="2057"/>
      <c r="THS22" s="2057"/>
      <c r="THT22" s="2056"/>
      <c r="THU22" s="2057"/>
      <c r="THV22" s="2057"/>
      <c r="THW22" s="2056"/>
      <c r="THX22" s="2057"/>
      <c r="THY22" s="2057"/>
      <c r="THZ22" s="2056"/>
      <c r="TIA22" s="2057"/>
      <c r="TIB22" s="2057"/>
      <c r="TIC22" s="2056"/>
      <c r="TID22" s="2057"/>
      <c r="TIE22" s="2057"/>
      <c r="TIF22" s="2056"/>
      <c r="TIG22" s="2057"/>
      <c r="TIH22" s="2057"/>
      <c r="TII22" s="2056"/>
      <c r="TIJ22" s="2057"/>
      <c r="TIK22" s="2057"/>
      <c r="TIL22" s="2056"/>
      <c r="TIM22" s="2057"/>
      <c r="TIN22" s="2057"/>
      <c r="TIO22" s="2056"/>
      <c r="TIP22" s="2057"/>
      <c r="TIQ22" s="2057"/>
      <c r="TIR22" s="2056"/>
      <c r="TIS22" s="2057"/>
      <c r="TIT22" s="2057"/>
      <c r="TIU22" s="2056"/>
      <c r="TIV22" s="2057"/>
      <c r="TIW22" s="2057"/>
      <c r="TIX22" s="2056"/>
      <c r="TIY22" s="2057"/>
      <c r="TIZ22" s="2057"/>
      <c r="TJA22" s="2056"/>
      <c r="TJB22" s="2057"/>
      <c r="TJC22" s="2057"/>
      <c r="TJD22" s="2056"/>
      <c r="TJE22" s="2057"/>
      <c r="TJF22" s="2057"/>
      <c r="TJG22" s="2056"/>
      <c r="TJH22" s="2057"/>
      <c r="TJI22" s="2057"/>
      <c r="TJJ22" s="2056"/>
      <c r="TJK22" s="2057"/>
      <c r="TJL22" s="2057"/>
      <c r="TJM22" s="2056"/>
      <c r="TJN22" s="2057"/>
      <c r="TJO22" s="2057"/>
      <c r="TJP22" s="2056"/>
      <c r="TJQ22" s="2057"/>
      <c r="TJR22" s="2057"/>
      <c r="TJS22" s="2056"/>
      <c r="TJT22" s="2057"/>
      <c r="TJU22" s="2057"/>
      <c r="TJV22" s="2056"/>
      <c r="TJW22" s="2057"/>
      <c r="TJX22" s="2057"/>
      <c r="TJY22" s="2056"/>
      <c r="TJZ22" s="2057"/>
      <c r="TKA22" s="2057"/>
      <c r="TKB22" s="2056"/>
      <c r="TKC22" s="2057"/>
      <c r="TKD22" s="2057"/>
      <c r="TKE22" s="2056"/>
      <c r="TKF22" s="2057"/>
      <c r="TKG22" s="2057"/>
      <c r="TKH22" s="2056"/>
      <c r="TKI22" s="2057"/>
      <c r="TKJ22" s="2057"/>
      <c r="TKK22" s="2056"/>
      <c r="TKL22" s="2057"/>
      <c r="TKM22" s="2057"/>
      <c r="TKN22" s="2056"/>
      <c r="TKO22" s="2057"/>
      <c r="TKP22" s="2057"/>
      <c r="TKQ22" s="2056"/>
      <c r="TKR22" s="2057"/>
      <c r="TKS22" s="2057"/>
      <c r="TKT22" s="2056"/>
      <c r="TKU22" s="2057"/>
      <c r="TKV22" s="2057"/>
      <c r="TKW22" s="2056"/>
      <c r="TKX22" s="2057"/>
      <c r="TKY22" s="2057"/>
      <c r="TKZ22" s="2056"/>
      <c r="TLA22" s="2057"/>
      <c r="TLB22" s="2057"/>
      <c r="TLC22" s="2056"/>
      <c r="TLD22" s="2057"/>
      <c r="TLE22" s="2057"/>
      <c r="TLF22" s="2056"/>
      <c r="TLG22" s="2057"/>
      <c r="TLH22" s="2057"/>
      <c r="TLI22" s="2056"/>
      <c r="TLJ22" s="2057"/>
      <c r="TLK22" s="2057"/>
      <c r="TLL22" s="2056"/>
      <c r="TLM22" s="2057"/>
      <c r="TLN22" s="2057"/>
      <c r="TLO22" s="2056"/>
      <c r="TLP22" s="2057"/>
      <c r="TLQ22" s="2057"/>
      <c r="TLR22" s="2056"/>
      <c r="TLS22" s="2057"/>
      <c r="TLT22" s="2057"/>
      <c r="TLU22" s="2056"/>
      <c r="TLV22" s="2057"/>
      <c r="TLW22" s="2057"/>
      <c r="TLX22" s="2056"/>
      <c r="TLY22" s="2057"/>
      <c r="TLZ22" s="2057"/>
      <c r="TMA22" s="2056"/>
      <c r="TMB22" s="2057"/>
      <c r="TMC22" s="2057"/>
      <c r="TMD22" s="2056"/>
      <c r="TME22" s="2057"/>
      <c r="TMF22" s="2057"/>
      <c r="TMG22" s="2056"/>
      <c r="TMH22" s="2057"/>
      <c r="TMI22" s="2057"/>
      <c r="TMJ22" s="2056"/>
      <c r="TMK22" s="2057"/>
      <c r="TML22" s="2057"/>
      <c r="TMM22" s="2056"/>
      <c r="TMN22" s="2057"/>
      <c r="TMO22" s="2057"/>
      <c r="TMP22" s="2056"/>
      <c r="TMQ22" s="2057"/>
      <c r="TMR22" s="2057"/>
      <c r="TMS22" s="2056"/>
      <c r="TMT22" s="2057"/>
      <c r="TMU22" s="2057"/>
      <c r="TMV22" s="2056"/>
      <c r="TMW22" s="2057"/>
      <c r="TMX22" s="2057"/>
      <c r="TMY22" s="2056"/>
      <c r="TMZ22" s="2057"/>
      <c r="TNA22" s="2057"/>
      <c r="TNB22" s="2056"/>
      <c r="TNC22" s="2057"/>
      <c r="TND22" s="2057"/>
      <c r="TNE22" s="2056"/>
      <c r="TNF22" s="2057"/>
      <c r="TNG22" s="2057"/>
      <c r="TNH22" s="2056"/>
      <c r="TNI22" s="2057"/>
      <c r="TNJ22" s="2057"/>
      <c r="TNK22" s="2056"/>
      <c r="TNL22" s="2057"/>
      <c r="TNM22" s="2057"/>
      <c r="TNN22" s="2056"/>
      <c r="TNO22" s="2057"/>
      <c r="TNP22" s="2057"/>
      <c r="TNQ22" s="2056"/>
      <c r="TNR22" s="2057"/>
      <c r="TNS22" s="2057"/>
      <c r="TNT22" s="2056"/>
      <c r="TNU22" s="2057"/>
      <c r="TNV22" s="2057"/>
      <c r="TNW22" s="2056"/>
      <c r="TNX22" s="2057"/>
      <c r="TNY22" s="2057"/>
      <c r="TNZ22" s="2056"/>
      <c r="TOA22" s="2057"/>
      <c r="TOB22" s="2057"/>
      <c r="TOC22" s="2056"/>
      <c r="TOD22" s="2057"/>
      <c r="TOE22" s="2057"/>
      <c r="TOF22" s="2056"/>
      <c r="TOG22" s="2057"/>
      <c r="TOH22" s="2057"/>
      <c r="TOI22" s="2056"/>
      <c r="TOJ22" s="2057"/>
      <c r="TOK22" s="2057"/>
      <c r="TOL22" s="2056"/>
      <c r="TOM22" s="2057"/>
      <c r="TON22" s="2057"/>
      <c r="TOO22" s="2056"/>
      <c r="TOP22" s="2057"/>
      <c r="TOQ22" s="2057"/>
      <c r="TOR22" s="2056"/>
      <c r="TOS22" s="2057"/>
      <c r="TOT22" s="2057"/>
      <c r="TOU22" s="2056"/>
      <c r="TOV22" s="2057"/>
      <c r="TOW22" s="2057"/>
      <c r="TOX22" s="2056"/>
      <c r="TOY22" s="2057"/>
      <c r="TOZ22" s="2057"/>
      <c r="TPA22" s="2056"/>
      <c r="TPB22" s="2057"/>
      <c r="TPC22" s="2057"/>
      <c r="TPD22" s="2056"/>
      <c r="TPE22" s="2057"/>
      <c r="TPF22" s="2057"/>
      <c r="TPG22" s="2056"/>
      <c r="TPH22" s="2057"/>
      <c r="TPI22" s="2057"/>
      <c r="TPJ22" s="2056"/>
      <c r="TPK22" s="2057"/>
      <c r="TPL22" s="2057"/>
      <c r="TPM22" s="2056"/>
      <c r="TPN22" s="2057"/>
      <c r="TPO22" s="2057"/>
      <c r="TPP22" s="2056"/>
      <c r="TPQ22" s="2057"/>
      <c r="TPR22" s="2057"/>
      <c r="TPS22" s="2056"/>
      <c r="TPT22" s="2057"/>
      <c r="TPU22" s="2057"/>
      <c r="TPV22" s="2056"/>
      <c r="TPW22" s="2057"/>
      <c r="TPX22" s="2057"/>
      <c r="TPY22" s="2056"/>
      <c r="TPZ22" s="2057"/>
      <c r="TQA22" s="2057"/>
      <c r="TQB22" s="2056"/>
      <c r="TQC22" s="2057"/>
      <c r="TQD22" s="2057"/>
      <c r="TQE22" s="2056"/>
      <c r="TQF22" s="2057"/>
      <c r="TQG22" s="2057"/>
      <c r="TQH22" s="2056"/>
      <c r="TQI22" s="2057"/>
      <c r="TQJ22" s="2057"/>
      <c r="TQK22" s="2056"/>
      <c r="TQL22" s="2057"/>
      <c r="TQM22" s="2057"/>
      <c r="TQN22" s="2056"/>
      <c r="TQO22" s="2057"/>
      <c r="TQP22" s="2057"/>
      <c r="TQQ22" s="2056"/>
      <c r="TQR22" s="2057"/>
      <c r="TQS22" s="2057"/>
      <c r="TQT22" s="2056"/>
      <c r="TQU22" s="2057"/>
      <c r="TQV22" s="2057"/>
      <c r="TQW22" s="2056"/>
      <c r="TQX22" s="2057"/>
      <c r="TQY22" s="2057"/>
      <c r="TQZ22" s="2056"/>
      <c r="TRA22" s="2057"/>
      <c r="TRB22" s="2057"/>
      <c r="TRC22" s="2056"/>
      <c r="TRD22" s="2057"/>
      <c r="TRE22" s="2057"/>
      <c r="TRF22" s="2056"/>
      <c r="TRG22" s="2057"/>
      <c r="TRH22" s="2057"/>
      <c r="TRI22" s="2056"/>
      <c r="TRJ22" s="2057"/>
      <c r="TRK22" s="2057"/>
      <c r="TRL22" s="2056"/>
      <c r="TRM22" s="2057"/>
      <c r="TRN22" s="2057"/>
      <c r="TRO22" s="2056"/>
      <c r="TRP22" s="2057"/>
      <c r="TRQ22" s="2057"/>
      <c r="TRR22" s="2056"/>
      <c r="TRS22" s="2057"/>
      <c r="TRT22" s="2057"/>
      <c r="TRU22" s="2056"/>
      <c r="TRV22" s="2057"/>
      <c r="TRW22" s="2057"/>
      <c r="TRX22" s="2056"/>
      <c r="TRY22" s="2057"/>
      <c r="TRZ22" s="2057"/>
      <c r="TSA22" s="2056"/>
      <c r="TSB22" s="2057"/>
      <c r="TSC22" s="2057"/>
      <c r="TSD22" s="2056"/>
      <c r="TSE22" s="2057"/>
      <c r="TSF22" s="2057"/>
      <c r="TSG22" s="2056"/>
      <c r="TSH22" s="2057"/>
      <c r="TSI22" s="2057"/>
      <c r="TSJ22" s="2056"/>
      <c r="TSK22" s="2057"/>
      <c r="TSL22" s="2057"/>
      <c r="TSM22" s="2056"/>
      <c r="TSN22" s="2057"/>
      <c r="TSO22" s="2057"/>
      <c r="TSP22" s="2056"/>
      <c r="TSQ22" s="2057"/>
      <c r="TSR22" s="2057"/>
      <c r="TSS22" s="2056"/>
      <c r="TST22" s="2057"/>
      <c r="TSU22" s="2057"/>
      <c r="TSV22" s="2056"/>
      <c r="TSW22" s="2057"/>
      <c r="TSX22" s="2057"/>
      <c r="TSY22" s="2056"/>
      <c r="TSZ22" s="2057"/>
      <c r="TTA22" s="2057"/>
      <c r="TTB22" s="2056"/>
      <c r="TTC22" s="2057"/>
      <c r="TTD22" s="2057"/>
      <c r="TTE22" s="2056"/>
      <c r="TTF22" s="2057"/>
      <c r="TTG22" s="2057"/>
      <c r="TTH22" s="2056"/>
      <c r="TTI22" s="2057"/>
      <c r="TTJ22" s="2057"/>
      <c r="TTK22" s="2056"/>
      <c r="TTL22" s="2057"/>
      <c r="TTM22" s="2057"/>
      <c r="TTN22" s="2056"/>
      <c r="TTO22" s="2057"/>
      <c r="TTP22" s="2057"/>
      <c r="TTQ22" s="2056"/>
      <c r="TTR22" s="2057"/>
      <c r="TTS22" s="2057"/>
      <c r="TTT22" s="2056"/>
      <c r="TTU22" s="2057"/>
      <c r="TTV22" s="2057"/>
      <c r="TTW22" s="2056"/>
      <c r="TTX22" s="2057"/>
      <c r="TTY22" s="2057"/>
      <c r="TTZ22" s="2056"/>
      <c r="TUA22" s="2057"/>
      <c r="TUB22" s="2057"/>
      <c r="TUC22" s="2056"/>
      <c r="TUD22" s="2057"/>
      <c r="TUE22" s="2057"/>
      <c r="TUF22" s="2056"/>
      <c r="TUG22" s="2057"/>
      <c r="TUH22" s="2057"/>
      <c r="TUI22" s="2056"/>
      <c r="TUJ22" s="2057"/>
      <c r="TUK22" s="2057"/>
      <c r="TUL22" s="2056"/>
      <c r="TUM22" s="2057"/>
      <c r="TUN22" s="2057"/>
      <c r="TUO22" s="2056"/>
      <c r="TUP22" s="2057"/>
      <c r="TUQ22" s="2057"/>
      <c r="TUR22" s="2056"/>
      <c r="TUS22" s="2057"/>
      <c r="TUT22" s="2057"/>
      <c r="TUU22" s="2056"/>
      <c r="TUV22" s="2057"/>
      <c r="TUW22" s="2057"/>
      <c r="TUX22" s="2056"/>
      <c r="TUY22" s="2057"/>
      <c r="TUZ22" s="2057"/>
      <c r="TVA22" s="2056"/>
      <c r="TVB22" s="2057"/>
      <c r="TVC22" s="2057"/>
      <c r="TVD22" s="2056"/>
      <c r="TVE22" s="2057"/>
      <c r="TVF22" s="2057"/>
      <c r="TVG22" s="2056"/>
      <c r="TVH22" s="2057"/>
      <c r="TVI22" s="2057"/>
      <c r="TVJ22" s="2056"/>
      <c r="TVK22" s="2057"/>
      <c r="TVL22" s="2057"/>
      <c r="TVM22" s="2056"/>
      <c r="TVN22" s="2057"/>
      <c r="TVO22" s="2057"/>
      <c r="TVP22" s="2056"/>
      <c r="TVQ22" s="2057"/>
      <c r="TVR22" s="2057"/>
      <c r="TVS22" s="2056"/>
      <c r="TVT22" s="2057"/>
      <c r="TVU22" s="2057"/>
      <c r="TVV22" s="2056"/>
      <c r="TVW22" s="2057"/>
      <c r="TVX22" s="2057"/>
      <c r="TVY22" s="2056"/>
      <c r="TVZ22" s="2057"/>
      <c r="TWA22" s="2057"/>
      <c r="TWB22" s="2056"/>
      <c r="TWC22" s="2057"/>
      <c r="TWD22" s="2057"/>
      <c r="TWE22" s="2056"/>
      <c r="TWF22" s="2057"/>
      <c r="TWG22" s="2057"/>
      <c r="TWH22" s="2056"/>
      <c r="TWI22" s="2057"/>
      <c r="TWJ22" s="2057"/>
      <c r="TWK22" s="2056"/>
      <c r="TWL22" s="2057"/>
      <c r="TWM22" s="2057"/>
      <c r="TWN22" s="2056"/>
      <c r="TWO22" s="2057"/>
      <c r="TWP22" s="2057"/>
      <c r="TWQ22" s="2056"/>
      <c r="TWR22" s="2057"/>
      <c r="TWS22" s="2057"/>
      <c r="TWT22" s="2056"/>
      <c r="TWU22" s="2057"/>
      <c r="TWV22" s="2057"/>
      <c r="TWW22" s="2056"/>
      <c r="TWX22" s="2057"/>
      <c r="TWY22" s="2057"/>
      <c r="TWZ22" s="2056"/>
      <c r="TXA22" s="2057"/>
      <c r="TXB22" s="2057"/>
      <c r="TXC22" s="2056"/>
      <c r="TXD22" s="2057"/>
      <c r="TXE22" s="2057"/>
      <c r="TXF22" s="2056"/>
      <c r="TXG22" s="2057"/>
      <c r="TXH22" s="2057"/>
      <c r="TXI22" s="2056"/>
      <c r="TXJ22" s="2057"/>
      <c r="TXK22" s="2057"/>
      <c r="TXL22" s="2056"/>
      <c r="TXM22" s="2057"/>
      <c r="TXN22" s="2057"/>
      <c r="TXO22" s="2056"/>
      <c r="TXP22" s="2057"/>
      <c r="TXQ22" s="2057"/>
      <c r="TXR22" s="2056"/>
      <c r="TXS22" s="2057"/>
      <c r="TXT22" s="2057"/>
      <c r="TXU22" s="2056"/>
      <c r="TXV22" s="2057"/>
      <c r="TXW22" s="2057"/>
      <c r="TXX22" s="2056"/>
      <c r="TXY22" s="2057"/>
      <c r="TXZ22" s="2057"/>
      <c r="TYA22" s="2056"/>
      <c r="TYB22" s="2057"/>
      <c r="TYC22" s="2057"/>
      <c r="TYD22" s="2056"/>
      <c r="TYE22" s="2057"/>
      <c r="TYF22" s="2057"/>
      <c r="TYG22" s="2056"/>
      <c r="TYH22" s="2057"/>
      <c r="TYI22" s="2057"/>
      <c r="TYJ22" s="2056"/>
      <c r="TYK22" s="2057"/>
      <c r="TYL22" s="2057"/>
      <c r="TYM22" s="2056"/>
      <c r="TYN22" s="2057"/>
      <c r="TYO22" s="2057"/>
      <c r="TYP22" s="2056"/>
      <c r="TYQ22" s="2057"/>
      <c r="TYR22" s="2057"/>
      <c r="TYS22" s="2056"/>
      <c r="TYT22" s="2057"/>
      <c r="TYU22" s="2057"/>
      <c r="TYV22" s="2056"/>
      <c r="TYW22" s="2057"/>
      <c r="TYX22" s="2057"/>
      <c r="TYY22" s="2056"/>
      <c r="TYZ22" s="2057"/>
      <c r="TZA22" s="2057"/>
      <c r="TZB22" s="2056"/>
      <c r="TZC22" s="2057"/>
      <c r="TZD22" s="2057"/>
      <c r="TZE22" s="2056"/>
      <c r="TZF22" s="2057"/>
      <c r="TZG22" s="2057"/>
      <c r="TZH22" s="2056"/>
      <c r="TZI22" s="2057"/>
      <c r="TZJ22" s="2057"/>
      <c r="TZK22" s="2056"/>
      <c r="TZL22" s="2057"/>
      <c r="TZM22" s="2057"/>
      <c r="TZN22" s="2056"/>
      <c r="TZO22" s="2057"/>
      <c r="TZP22" s="2057"/>
      <c r="TZQ22" s="2056"/>
      <c r="TZR22" s="2057"/>
      <c r="TZS22" s="2057"/>
      <c r="TZT22" s="2056"/>
      <c r="TZU22" s="2057"/>
      <c r="TZV22" s="2057"/>
      <c r="TZW22" s="2056"/>
      <c r="TZX22" s="2057"/>
      <c r="TZY22" s="2057"/>
      <c r="TZZ22" s="2056"/>
      <c r="UAA22" s="2057"/>
      <c r="UAB22" s="2057"/>
      <c r="UAC22" s="2056"/>
      <c r="UAD22" s="2057"/>
      <c r="UAE22" s="2057"/>
      <c r="UAF22" s="2056"/>
      <c r="UAG22" s="2057"/>
      <c r="UAH22" s="2057"/>
      <c r="UAI22" s="2056"/>
      <c r="UAJ22" s="2057"/>
      <c r="UAK22" s="2057"/>
      <c r="UAL22" s="2056"/>
      <c r="UAM22" s="2057"/>
      <c r="UAN22" s="2057"/>
      <c r="UAO22" s="2056"/>
      <c r="UAP22" s="2057"/>
      <c r="UAQ22" s="2057"/>
      <c r="UAR22" s="2056"/>
      <c r="UAS22" s="2057"/>
      <c r="UAT22" s="2057"/>
      <c r="UAU22" s="2056"/>
      <c r="UAV22" s="2057"/>
      <c r="UAW22" s="2057"/>
      <c r="UAX22" s="2056"/>
      <c r="UAY22" s="2057"/>
      <c r="UAZ22" s="2057"/>
      <c r="UBA22" s="2056"/>
      <c r="UBB22" s="2057"/>
      <c r="UBC22" s="2057"/>
      <c r="UBD22" s="2056"/>
      <c r="UBE22" s="2057"/>
      <c r="UBF22" s="2057"/>
      <c r="UBG22" s="2056"/>
      <c r="UBH22" s="2057"/>
      <c r="UBI22" s="2057"/>
      <c r="UBJ22" s="2056"/>
      <c r="UBK22" s="2057"/>
      <c r="UBL22" s="2057"/>
      <c r="UBM22" s="2056"/>
      <c r="UBN22" s="2057"/>
      <c r="UBO22" s="2057"/>
      <c r="UBP22" s="2056"/>
      <c r="UBQ22" s="2057"/>
      <c r="UBR22" s="2057"/>
      <c r="UBS22" s="2056"/>
      <c r="UBT22" s="2057"/>
      <c r="UBU22" s="2057"/>
      <c r="UBV22" s="2056"/>
      <c r="UBW22" s="2057"/>
      <c r="UBX22" s="2057"/>
      <c r="UBY22" s="2056"/>
      <c r="UBZ22" s="2057"/>
      <c r="UCA22" s="2057"/>
      <c r="UCB22" s="2056"/>
      <c r="UCC22" s="2057"/>
      <c r="UCD22" s="2057"/>
      <c r="UCE22" s="2056"/>
      <c r="UCF22" s="2057"/>
      <c r="UCG22" s="2057"/>
      <c r="UCH22" s="2056"/>
      <c r="UCI22" s="2057"/>
      <c r="UCJ22" s="2057"/>
      <c r="UCK22" s="2056"/>
      <c r="UCL22" s="2057"/>
      <c r="UCM22" s="2057"/>
      <c r="UCN22" s="2056"/>
      <c r="UCO22" s="2057"/>
      <c r="UCP22" s="2057"/>
      <c r="UCQ22" s="2056"/>
      <c r="UCR22" s="2057"/>
      <c r="UCS22" s="2057"/>
      <c r="UCT22" s="2056"/>
      <c r="UCU22" s="2057"/>
      <c r="UCV22" s="2057"/>
      <c r="UCW22" s="2056"/>
      <c r="UCX22" s="2057"/>
      <c r="UCY22" s="2057"/>
      <c r="UCZ22" s="2056"/>
      <c r="UDA22" s="2057"/>
      <c r="UDB22" s="2057"/>
      <c r="UDC22" s="2056"/>
      <c r="UDD22" s="2057"/>
      <c r="UDE22" s="2057"/>
      <c r="UDF22" s="2056"/>
      <c r="UDG22" s="2057"/>
      <c r="UDH22" s="2057"/>
      <c r="UDI22" s="2056"/>
      <c r="UDJ22" s="2057"/>
      <c r="UDK22" s="2057"/>
      <c r="UDL22" s="2056"/>
      <c r="UDM22" s="2057"/>
      <c r="UDN22" s="2057"/>
      <c r="UDO22" s="2056"/>
      <c r="UDP22" s="2057"/>
      <c r="UDQ22" s="2057"/>
      <c r="UDR22" s="2056"/>
      <c r="UDS22" s="2057"/>
      <c r="UDT22" s="2057"/>
      <c r="UDU22" s="2056"/>
      <c r="UDV22" s="2057"/>
      <c r="UDW22" s="2057"/>
      <c r="UDX22" s="2056"/>
      <c r="UDY22" s="2057"/>
      <c r="UDZ22" s="2057"/>
      <c r="UEA22" s="2056"/>
      <c r="UEB22" s="2057"/>
      <c r="UEC22" s="2057"/>
      <c r="UED22" s="2056"/>
      <c r="UEE22" s="2057"/>
      <c r="UEF22" s="2057"/>
      <c r="UEG22" s="2056"/>
      <c r="UEH22" s="2057"/>
      <c r="UEI22" s="2057"/>
      <c r="UEJ22" s="2056"/>
      <c r="UEK22" s="2057"/>
      <c r="UEL22" s="2057"/>
      <c r="UEM22" s="2056"/>
      <c r="UEN22" s="2057"/>
      <c r="UEO22" s="2057"/>
      <c r="UEP22" s="2056"/>
      <c r="UEQ22" s="2057"/>
      <c r="UER22" s="2057"/>
      <c r="UES22" s="2056"/>
      <c r="UET22" s="2057"/>
      <c r="UEU22" s="2057"/>
      <c r="UEV22" s="2056"/>
      <c r="UEW22" s="2057"/>
      <c r="UEX22" s="2057"/>
      <c r="UEY22" s="2056"/>
      <c r="UEZ22" s="2057"/>
      <c r="UFA22" s="2057"/>
      <c r="UFB22" s="2056"/>
      <c r="UFC22" s="2057"/>
      <c r="UFD22" s="2057"/>
      <c r="UFE22" s="2056"/>
      <c r="UFF22" s="2057"/>
      <c r="UFG22" s="2057"/>
      <c r="UFH22" s="2056"/>
      <c r="UFI22" s="2057"/>
      <c r="UFJ22" s="2057"/>
      <c r="UFK22" s="2056"/>
      <c r="UFL22" s="2057"/>
      <c r="UFM22" s="2057"/>
      <c r="UFN22" s="2056"/>
      <c r="UFO22" s="2057"/>
      <c r="UFP22" s="2057"/>
      <c r="UFQ22" s="2056"/>
      <c r="UFR22" s="2057"/>
      <c r="UFS22" s="2057"/>
      <c r="UFT22" s="2056"/>
      <c r="UFU22" s="2057"/>
      <c r="UFV22" s="2057"/>
      <c r="UFW22" s="2056"/>
      <c r="UFX22" s="2057"/>
      <c r="UFY22" s="2057"/>
      <c r="UFZ22" s="2056"/>
      <c r="UGA22" s="2057"/>
      <c r="UGB22" s="2057"/>
      <c r="UGC22" s="2056"/>
      <c r="UGD22" s="2057"/>
      <c r="UGE22" s="2057"/>
      <c r="UGF22" s="2056"/>
      <c r="UGG22" s="2057"/>
      <c r="UGH22" s="2057"/>
      <c r="UGI22" s="2056"/>
      <c r="UGJ22" s="2057"/>
      <c r="UGK22" s="2057"/>
      <c r="UGL22" s="2056"/>
      <c r="UGM22" s="2057"/>
      <c r="UGN22" s="2057"/>
      <c r="UGO22" s="2056"/>
      <c r="UGP22" s="2057"/>
      <c r="UGQ22" s="2057"/>
      <c r="UGR22" s="2056"/>
      <c r="UGS22" s="2057"/>
      <c r="UGT22" s="2057"/>
      <c r="UGU22" s="2056"/>
      <c r="UGV22" s="2057"/>
      <c r="UGW22" s="2057"/>
      <c r="UGX22" s="2056"/>
      <c r="UGY22" s="2057"/>
      <c r="UGZ22" s="2057"/>
      <c r="UHA22" s="2056"/>
      <c r="UHB22" s="2057"/>
      <c r="UHC22" s="2057"/>
      <c r="UHD22" s="2056"/>
      <c r="UHE22" s="2057"/>
      <c r="UHF22" s="2057"/>
      <c r="UHG22" s="2056"/>
      <c r="UHH22" s="2057"/>
      <c r="UHI22" s="2057"/>
      <c r="UHJ22" s="2056"/>
      <c r="UHK22" s="2057"/>
      <c r="UHL22" s="2057"/>
      <c r="UHM22" s="2056"/>
      <c r="UHN22" s="2057"/>
      <c r="UHO22" s="2057"/>
      <c r="UHP22" s="2056"/>
      <c r="UHQ22" s="2057"/>
      <c r="UHR22" s="2057"/>
      <c r="UHS22" s="2056"/>
      <c r="UHT22" s="2057"/>
      <c r="UHU22" s="2057"/>
      <c r="UHV22" s="2056"/>
      <c r="UHW22" s="2057"/>
      <c r="UHX22" s="2057"/>
      <c r="UHY22" s="2056"/>
      <c r="UHZ22" s="2057"/>
      <c r="UIA22" s="2057"/>
      <c r="UIB22" s="2056"/>
      <c r="UIC22" s="2057"/>
      <c r="UID22" s="2057"/>
      <c r="UIE22" s="2056"/>
      <c r="UIF22" s="2057"/>
      <c r="UIG22" s="2057"/>
      <c r="UIH22" s="2056"/>
      <c r="UII22" s="2057"/>
      <c r="UIJ22" s="2057"/>
      <c r="UIK22" s="2056"/>
      <c r="UIL22" s="2057"/>
      <c r="UIM22" s="2057"/>
      <c r="UIN22" s="2056"/>
      <c r="UIO22" s="2057"/>
      <c r="UIP22" s="2057"/>
      <c r="UIQ22" s="2056"/>
      <c r="UIR22" s="2057"/>
      <c r="UIS22" s="2057"/>
      <c r="UIT22" s="2056"/>
      <c r="UIU22" s="2057"/>
      <c r="UIV22" s="2057"/>
      <c r="UIW22" s="2056"/>
      <c r="UIX22" s="2057"/>
      <c r="UIY22" s="2057"/>
      <c r="UIZ22" s="2056"/>
      <c r="UJA22" s="2057"/>
      <c r="UJB22" s="2057"/>
      <c r="UJC22" s="2056"/>
      <c r="UJD22" s="2057"/>
      <c r="UJE22" s="2057"/>
      <c r="UJF22" s="2056"/>
      <c r="UJG22" s="2057"/>
      <c r="UJH22" s="2057"/>
      <c r="UJI22" s="2056"/>
      <c r="UJJ22" s="2057"/>
      <c r="UJK22" s="2057"/>
      <c r="UJL22" s="2056"/>
      <c r="UJM22" s="2057"/>
      <c r="UJN22" s="2057"/>
      <c r="UJO22" s="2056"/>
      <c r="UJP22" s="2057"/>
      <c r="UJQ22" s="2057"/>
      <c r="UJR22" s="2056"/>
      <c r="UJS22" s="2057"/>
      <c r="UJT22" s="2057"/>
      <c r="UJU22" s="2056"/>
      <c r="UJV22" s="2057"/>
      <c r="UJW22" s="2057"/>
      <c r="UJX22" s="2056"/>
      <c r="UJY22" s="2057"/>
      <c r="UJZ22" s="2057"/>
      <c r="UKA22" s="2056"/>
      <c r="UKB22" s="2057"/>
      <c r="UKC22" s="2057"/>
      <c r="UKD22" s="2056"/>
      <c r="UKE22" s="2057"/>
      <c r="UKF22" s="2057"/>
      <c r="UKG22" s="2056"/>
      <c r="UKH22" s="2057"/>
      <c r="UKI22" s="2057"/>
      <c r="UKJ22" s="2056"/>
      <c r="UKK22" s="2057"/>
      <c r="UKL22" s="2057"/>
      <c r="UKM22" s="2056"/>
      <c r="UKN22" s="2057"/>
      <c r="UKO22" s="2057"/>
      <c r="UKP22" s="2056"/>
      <c r="UKQ22" s="2057"/>
      <c r="UKR22" s="2057"/>
      <c r="UKS22" s="2056"/>
      <c r="UKT22" s="2057"/>
      <c r="UKU22" s="2057"/>
      <c r="UKV22" s="2056"/>
      <c r="UKW22" s="2057"/>
      <c r="UKX22" s="2057"/>
      <c r="UKY22" s="2056"/>
      <c r="UKZ22" s="2057"/>
      <c r="ULA22" s="2057"/>
      <c r="ULB22" s="2056"/>
      <c r="ULC22" s="2057"/>
      <c r="ULD22" s="2057"/>
      <c r="ULE22" s="2056"/>
      <c r="ULF22" s="2057"/>
      <c r="ULG22" s="2057"/>
      <c r="ULH22" s="2056"/>
      <c r="ULI22" s="2057"/>
      <c r="ULJ22" s="2057"/>
      <c r="ULK22" s="2056"/>
      <c r="ULL22" s="2057"/>
      <c r="ULM22" s="2057"/>
      <c r="ULN22" s="2056"/>
      <c r="ULO22" s="2057"/>
      <c r="ULP22" s="2057"/>
      <c r="ULQ22" s="2056"/>
      <c r="ULR22" s="2057"/>
      <c r="ULS22" s="2057"/>
      <c r="ULT22" s="2056"/>
      <c r="ULU22" s="2057"/>
      <c r="ULV22" s="2057"/>
      <c r="ULW22" s="2056"/>
      <c r="ULX22" s="2057"/>
      <c r="ULY22" s="2057"/>
      <c r="ULZ22" s="2056"/>
      <c r="UMA22" s="2057"/>
      <c r="UMB22" s="2057"/>
      <c r="UMC22" s="2056"/>
      <c r="UMD22" s="2057"/>
      <c r="UME22" s="2057"/>
      <c r="UMF22" s="2056"/>
      <c r="UMG22" s="2057"/>
      <c r="UMH22" s="2057"/>
      <c r="UMI22" s="2056"/>
      <c r="UMJ22" s="2057"/>
      <c r="UMK22" s="2057"/>
      <c r="UML22" s="2056"/>
      <c r="UMM22" s="2057"/>
      <c r="UMN22" s="2057"/>
      <c r="UMO22" s="2056"/>
      <c r="UMP22" s="2057"/>
      <c r="UMQ22" s="2057"/>
      <c r="UMR22" s="2056"/>
      <c r="UMS22" s="2057"/>
      <c r="UMT22" s="2057"/>
      <c r="UMU22" s="2056"/>
      <c r="UMV22" s="2057"/>
      <c r="UMW22" s="2057"/>
      <c r="UMX22" s="2056"/>
      <c r="UMY22" s="2057"/>
      <c r="UMZ22" s="2057"/>
      <c r="UNA22" s="2056"/>
      <c r="UNB22" s="2057"/>
      <c r="UNC22" s="2057"/>
      <c r="UND22" s="2056"/>
      <c r="UNE22" s="2057"/>
      <c r="UNF22" s="2057"/>
      <c r="UNG22" s="2056"/>
      <c r="UNH22" s="2057"/>
      <c r="UNI22" s="2057"/>
      <c r="UNJ22" s="2056"/>
      <c r="UNK22" s="2057"/>
      <c r="UNL22" s="2057"/>
      <c r="UNM22" s="2056"/>
      <c r="UNN22" s="2057"/>
      <c r="UNO22" s="2057"/>
      <c r="UNP22" s="2056"/>
      <c r="UNQ22" s="2057"/>
      <c r="UNR22" s="2057"/>
      <c r="UNS22" s="2056"/>
      <c r="UNT22" s="2057"/>
      <c r="UNU22" s="2057"/>
      <c r="UNV22" s="2056"/>
      <c r="UNW22" s="2057"/>
      <c r="UNX22" s="2057"/>
      <c r="UNY22" s="2056"/>
      <c r="UNZ22" s="2057"/>
      <c r="UOA22" s="2057"/>
      <c r="UOB22" s="2056"/>
      <c r="UOC22" s="2057"/>
      <c r="UOD22" s="2057"/>
      <c r="UOE22" s="2056"/>
      <c r="UOF22" s="2057"/>
      <c r="UOG22" s="2057"/>
      <c r="UOH22" s="2056"/>
      <c r="UOI22" s="2057"/>
      <c r="UOJ22" s="2057"/>
      <c r="UOK22" s="2056"/>
      <c r="UOL22" s="2057"/>
      <c r="UOM22" s="2057"/>
      <c r="UON22" s="2056"/>
      <c r="UOO22" s="2057"/>
      <c r="UOP22" s="2057"/>
      <c r="UOQ22" s="2056"/>
      <c r="UOR22" s="2057"/>
      <c r="UOS22" s="2057"/>
      <c r="UOT22" s="2056"/>
      <c r="UOU22" s="2057"/>
      <c r="UOV22" s="2057"/>
      <c r="UOW22" s="2056"/>
      <c r="UOX22" s="2057"/>
      <c r="UOY22" s="2057"/>
      <c r="UOZ22" s="2056"/>
      <c r="UPA22" s="2057"/>
      <c r="UPB22" s="2057"/>
      <c r="UPC22" s="2056"/>
      <c r="UPD22" s="2057"/>
      <c r="UPE22" s="2057"/>
      <c r="UPF22" s="2056"/>
      <c r="UPG22" s="2057"/>
      <c r="UPH22" s="2057"/>
      <c r="UPI22" s="2056"/>
      <c r="UPJ22" s="2057"/>
      <c r="UPK22" s="2057"/>
      <c r="UPL22" s="2056"/>
      <c r="UPM22" s="2057"/>
      <c r="UPN22" s="2057"/>
      <c r="UPO22" s="2056"/>
      <c r="UPP22" s="2057"/>
      <c r="UPQ22" s="2057"/>
      <c r="UPR22" s="2056"/>
      <c r="UPS22" s="2057"/>
      <c r="UPT22" s="2057"/>
      <c r="UPU22" s="2056"/>
      <c r="UPV22" s="2057"/>
      <c r="UPW22" s="2057"/>
      <c r="UPX22" s="2056"/>
      <c r="UPY22" s="2057"/>
      <c r="UPZ22" s="2057"/>
      <c r="UQA22" s="2056"/>
      <c r="UQB22" s="2057"/>
      <c r="UQC22" s="2057"/>
      <c r="UQD22" s="2056"/>
      <c r="UQE22" s="2057"/>
      <c r="UQF22" s="2057"/>
      <c r="UQG22" s="2056"/>
      <c r="UQH22" s="2057"/>
      <c r="UQI22" s="2057"/>
      <c r="UQJ22" s="2056"/>
      <c r="UQK22" s="2057"/>
      <c r="UQL22" s="2057"/>
      <c r="UQM22" s="2056"/>
      <c r="UQN22" s="2057"/>
      <c r="UQO22" s="2057"/>
      <c r="UQP22" s="2056"/>
      <c r="UQQ22" s="2057"/>
      <c r="UQR22" s="2057"/>
      <c r="UQS22" s="2056"/>
      <c r="UQT22" s="2057"/>
      <c r="UQU22" s="2057"/>
      <c r="UQV22" s="2056"/>
      <c r="UQW22" s="2057"/>
      <c r="UQX22" s="2057"/>
      <c r="UQY22" s="2056"/>
      <c r="UQZ22" s="2057"/>
      <c r="URA22" s="2057"/>
      <c r="URB22" s="2056"/>
      <c r="URC22" s="2057"/>
      <c r="URD22" s="2057"/>
      <c r="URE22" s="2056"/>
      <c r="URF22" s="2057"/>
      <c r="URG22" s="2057"/>
      <c r="URH22" s="2056"/>
      <c r="URI22" s="2057"/>
      <c r="URJ22" s="2057"/>
      <c r="URK22" s="2056"/>
      <c r="URL22" s="2057"/>
      <c r="URM22" s="2057"/>
      <c r="URN22" s="2056"/>
      <c r="URO22" s="2057"/>
      <c r="URP22" s="2057"/>
      <c r="URQ22" s="2056"/>
      <c r="URR22" s="2057"/>
      <c r="URS22" s="2057"/>
      <c r="URT22" s="2056"/>
      <c r="URU22" s="2057"/>
      <c r="URV22" s="2057"/>
      <c r="URW22" s="2056"/>
      <c r="URX22" s="2057"/>
      <c r="URY22" s="2057"/>
      <c r="URZ22" s="2056"/>
      <c r="USA22" s="2057"/>
      <c r="USB22" s="2057"/>
      <c r="USC22" s="2056"/>
      <c r="USD22" s="2057"/>
      <c r="USE22" s="2057"/>
      <c r="USF22" s="2056"/>
      <c r="USG22" s="2057"/>
      <c r="USH22" s="2057"/>
      <c r="USI22" s="2056"/>
      <c r="USJ22" s="2057"/>
      <c r="USK22" s="2057"/>
      <c r="USL22" s="2056"/>
      <c r="USM22" s="2057"/>
      <c r="USN22" s="2057"/>
      <c r="USO22" s="2056"/>
      <c r="USP22" s="2057"/>
      <c r="USQ22" s="2057"/>
      <c r="USR22" s="2056"/>
      <c r="USS22" s="2057"/>
      <c r="UST22" s="2057"/>
      <c r="USU22" s="2056"/>
      <c r="USV22" s="2057"/>
      <c r="USW22" s="2057"/>
      <c r="USX22" s="2056"/>
      <c r="USY22" s="2057"/>
      <c r="USZ22" s="2057"/>
      <c r="UTA22" s="2056"/>
      <c r="UTB22" s="2057"/>
      <c r="UTC22" s="2057"/>
      <c r="UTD22" s="2056"/>
      <c r="UTE22" s="2057"/>
      <c r="UTF22" s="2057"/>
      <c r="UTG22" s="2056"/>
      <c r="UTH22" s="2057"/>
      <c r="UTI22" s="2057"/>
      <c r="UTJ22" s="2056"/>
      <c r="UTK22" s="2057"/>
      <c r="UTL22" s="2057"/>
      <c r="UTM22" s="2056"/>
      <c r="UTN22" s="2057"/>
      <c r="UTO22" s="2057"/>
      <c r="UTP22" s="2056"/>
      <c r="UTQ22" s="2057"/>
      <c r="UTR22" s="2057"/>
      <c r="UTS22" s="2056"/>
      <c r="UTT22" s="2057"/>
      <c r="UTU22" s="2057"/>
      <c r="UTV22" s="2056"/>
      <c r="UTW22" s="2057"/>
      <c r="UTX22" s="2057"/>
      <c r="UTY22" s="2056"/>
      <c r="UTZ22" s="2057"/>
      <c r="UUA22" s="2057"/>
      <c r="UUB22" s="2056"/>
      <c r="UUC22" s="2057"/>
      <c r="UUD22" s="2057"/>
      <c r="UUE22" s="2056"/>
      <c r="UUF22" s="2057"/>
      <c r="UUG22" s="2057"/>
      <c r="UUH22" s="2056"/>
      <c r="UUI22" s="2057"/>
      <c r="UUJ22" s="2057"/>
      <c r="UUK22" s="2056"/>
      <c r="UUL22" s="2057"/>
      <c r="UUM22" s="2057"/>
      <c r="UUN22" s="2056"/>
      <c r="UUO22" s="2057"/>
      <c r="UUP22" s="2057"/>
      <c r="UUQ22" s="2056"/>
      <c r="UUR22" s="2057"/>
      <c r="UUS22" s="2057"/>
      <c r="UUT22" s="2056"/>
      <c r="UUU22" s="2057"/>
      <c r="UUV22" s="2057"/>
      <c r="UUW22" s="2056"/>
      <c r="UUX22" s="2057"/>
      <c r="UUY22" s="2057"/>
      <c r="UUZ22" s="2056"/>
      <c r="UVA22" s="2057"/>
      <c r="UVB22" s="2057"/>
      <c r="UVC22" s="2056"/>
      <c r="UVD22" s="2057"/>
      <c r="UVE22" s="2057"/>
      <c r="UVF22" s="2056"/>
      <c r="UVG22" s="2057"/>
      <c r="UVH22" s="2057"/>
      <c r="UVI22" s="2056"/>
      <c r="UVJ22" s="2057"/>
      <c r="UVK22" s="2057"/>
      <c r="UVL22" s="2056"/>
      <c r="UVM22" s="2057"/>
      <c r="UVN22" s="2057"/>
      <c r="UVO22" s="2056"/>
      <c r="UVP22" s="2057"/>
      <c r="UVQ22" s="2057"/>
      <c r="UVR22" s="2056"/>
      <c r="UVS22" s="2057"/>
      <c r="UVT22" s="2057"/>
      <c r="UVU22" s="2056"/>
      <c r="UVV22" s="2057"/>
      <c r="UVW22" s="2057"/>
      <c r="UVX22" s="2056"/>
      <c r="UVY22" s="2057"/>
      <c r="UVZ22" s="2057"/>
      <c r="UWA22" s="2056"/>
      <c r="UWB22" s="2057"/>
      <c r="UWC22" s="2057"/>
      <c r="UWD22" s="2056"/>
      <c r="UWE22" s="2057"/>
      <c r="UWF22" s="2057"/>
      <c r="UWG22" s="2056"/>
      <c r="UWH22" s="2057"/>
      <c r="UWI22" s="2057"/>
      <c r="UWJ22" s="2056"/>
      <c r="UWK22" s="2057"/>
      <c r="UWL22" s="2057"/>
      <c r="UWM22" s="2056"/>
      <c r="UWN22" s="2057"/>
      <c r="UWO22" s="2057"/>
      <c r="UWP22" s="2056"/>
      <c r="UWQ22" s="2057"/>
      <c r="UWR22" s="2057"/>
      <c r="UWS22" s="2056"/>
      <c r="UWT22" s="2057"/>
      <c r="UWU22" s="2057"/>
      <c r="UWV22" s="2056"/>
      <c r="UWW22" s="2057"/>
      <c r="UWX22" s="2057"/>
      <c r="UWY22" s="2056"/>
      <c r="UWZ22" s="2057"/>
      <c r="UXA22" s="2057"/>
      <c r="UXB22" s="2056"/>
      <c r="UXC22" s="2057"/>
      <c r="UXD22" s="2057"/>
      <c r="UXE22" s="2056"/>
      <c r="UXF22" s="2057"/>
      <c r="UXG22" s="2057"/>
      <c r="UXH22" s="2056"/>
      <c r="UXI22" s="2057"/>
      <c r="UXJ22" s="2057"/>
      <c r="UXK22" s="2056"/>
      <c r="UXL22" s="2057"/>
      <c r="UXM22" s="2057"/>
      <c r="UXN22" s="2056"/>
      <c r="UXO22" s="2057"/>
      <c r="UXP22" s="2057"/>
      <c r="UXQ22" s="2056"/>
      <c r="UXR22" s="2057"/>
      <c r="UXS22" s="2057"/>
      <c r="UXT22" s="2056"/>
      <c r="UXU22" s="2057"/>
      <c r="UXV22" s="2057"/>
      <c r="UXW22" s="2056"/>
      <c r="UXX22" s="2057"/>
      <c r="UXY22" s="2057"/>
      <c r="UXZ22" s="2056"/>
      <c r="UYA22" s="2057"/>
      <c r="UYB22" s="2057"/>
      <c r="UYC22" s="2056"/>
      <c r="UYD22" s="2057"/>
      <c r="UYE22" s="2057"/>
      <c r="UYF22" s="2056"/>
      <c r="UYG22" s="2057"/>
      <c r="UYH22" s="2057"/>
      <c r="UYI22" s="2056"/>
      <c r="UYJ22" s="2057"/>
      <c r="UYK22" s="2057"/>
      <c r="UYL22" s="2056"/>
      <c r="UYM22" s="2057"/>
      <c r="UYN22" s="2057"/>
      <c r="UYO22" s="2056"/>
      <c r="UYP22" s="2057"/>
      <c r="UYQ22" s="2057"/>
      <c r="UYR22" s="2056"/>
      <c r="UYS22" s="2057"/>
      <c r="UYT22" s="2057"/>
      <c r="UYU22" s="2056"/>
      <c r="UYV22" s="2057"/>
      <c r="UYW22" s="2057"/>
      <c r="UYX22" s="2056"/>
      <c r="UYY22" s="2057"/>
      <c r="UYZ22" s="2057"/>
      <c r="UZA22" s="2056"/>
      <c r="UZB22" s="2057"/>
      <c r="UZC22" s="2057"/>
      <c r="UZD22" s="2056"/>
      <c r="UZE22" s="2057"/>
      <c r="UZF22" s="2057"/>
      <c r="UZG22" s="2056"/>
      <c r="UZH22" s="2057"/>
      <c r="UZI22" s="2057"/>
      <c r="UZJ22" s="2056"/>
      <c r="UZK22" s="2057"/>
      <c r="UZL22" s="2057"/>
      <c r="UZM22" s="2056"/>
      <c r="UZN22" s="2057"/>
      <c r="UZO22" s="2057"/>
      <c r="UZP22" s="2056"/>
      <c r="UZQ22" s="2057"/>
      <c r="UZR22" s="2057"/>
      <c r="UZS22" s="2056"/>
      <c r="UZT22" s="2057"/>
      <c r="UZU22" s="2057"/>
      <c r="UZV22" s="2056"/>
      <c r="UZW22" s="2057"/>
      <c r="UZX22" s="2057"/>
      <c r="UZY22" s="2056"/>
      <c r="UZZ22" s="2057"/>
      <c r="VAA22" s="2057"/>
      <c r="VAB22" s="2056"/>
      <c r="VAC22" s="2057"/>
      <c r="VAD22" s="2057"/>
      <c r="VAE22" s="2056"/>
      <c r="VAF22" s="2057"/>
      <c r="VAG22" s="2057"/>
      <c r="VAH22" s="2056"/>
      <c r="VAI22" s="2057"/>
      <c r="VAJ22" s="2057"/>
      <c r="VAK22" s="2056"/>
      <c r="VAL22" s="2057"/>
      <c r="VAM22" s="2057"/>
      <c r="VAN22" s="2056"/>
      <c r="VAO22" s="2057"/>
      <c r="VAP22" s="2057"/>
      <c r="VAQ22" s="2056"/>
      <c r="VAR22" s="2057"/>
      <c r="VAS22" s="2057"/>
      <c r="VAT22" s="2056"/>
      <c r="VAU22" s="2057"/>
      <c r="VAV22" s="2057"/>
      <c r="VAW22" s="2056"/>
      <c r="VAX22" s="2057"/>
      <c r="VAY22" s="2057"/>
      <c r="VAZ22" s="2056"/>
      <c r="VBA22" s="2057"/>
      <c r="VBB22" s="2057"/>
      <c r="VBC22" s="2056"/>
      <c r="VBD22" s="2057"/>
      <c r="VBE22" s="2057"/>
      <c r="VBF22" s="2056"/>
      <c r="VBG22" s="2057"/>
      <c r="VBH22" s="2057"/>
      <c r="VBI22" s="2056"/>
      <c r="VBJ22" s="2057"/>
      <c r="VBK22" s="2057"/>
      <c r="VBL22" s="2056"/>
      <c r="VBM22" s="2057"/>
      <c r="VBN22" s="2057"/>
      <c r="VBO22" s="2056"/>
      <c r="VBP22" s="2057"/>
      <c r="VBQ22" s="2057"/>
      <c r="VBR22" s="2056"/>
      <c r="VBS22" s="2057"/>
      <c r="VBT22" s="2057"/>
      <c r="VBU22" s="2056"/>
      <c r="VBV22" s="2057"/>
      <c r="VBW22" s="2057"/>
      <c r="VBX22" s="2056"/>
      <c r="VBY22" s="2057"/>
      <c r="VBZ22" s="2057"/>
      <c r="VCA22" s="2056"/>
      <c r="VCB22" s="2057"/>
      <c r="VCC22" s="2057"/>
      <c r="VCD22" s="2056"/>
      <c r="VCE22" s="2057"/>
      <c r="VCF22" s="2057"/>
      <c r="VCG22" s="2056"/>
      <c r="VCH22" s="2057"/>
      <c r="VCI22" s="2057"/>
      <c r="VCJ22" s="2056"/>
      <c r="VCK22" s="2057"/>
      <c r="VCL22" s="2057"/>
      <c r="VCM22" s="2056"/>
      <c r="VCN22" s="2057"/>
      <c r="VCO22" s="2057"/>
      <c r="VCP22" s="2056"/>
      <c r="VCQ22" s="2057"/>
      <c r="VCR22" s="2057"/>
      <c r="VCS22" s="2056"/>
      <c r="VCT22" s="2057"/>
      <c r="VCU22" s="2057"/>
      <c r="VCV22" s="2056"/>
      <c r="VCW22" s="2057"/>
      <c r="VCX22" s="2057"/>
      <c r="VCY22" s="2056"/>
      <c r="VCZ22" s="2057"/>
      <c r="VDA22" s="2057"/>
      <c r="VDB22" s="2056"/>
      <c r="VDC22" s="2057"/>
      <c r="VDD22" s="2057"/>
      <c r="VDE22" s="2056"/>
      <c r="VDF22" s="2057"/>
      <c r="VDG22" s="2057"/>
      <c r="VDH22" s="2056"/>
      <c r="VDI22" s="2057"/>
      <c r="VDJ22" s="2057"/>
      <c r="VDK22" s="2056"/>
      <c r="VDL22" s="2057"/>
      <c r="VDM22" s="2057"/>
      <c r="VDN22" s="2056"/>
      <c r="VDO22" s="2057"/>
      <c r="VDP22" s="2057"/>
      <c r="VDQ22" s="2056"/>
      <c r="VDR22" s="2057"/>
      <c r="VDS22" s="2057"/>
      <c r="VDT22" s="2056"/>
      <c r="VDU22" s="2057"/>
      <c r="VDV22" s="2057"/>
      <c r="VDW22" s="2056"/>
      <c r="VDX22" s="2057"/>
      <c r="VDY22" s="2057"/>
      <c r="VDZ22" s="2056"/>
      <c r="VEA22" s="2057"/>
      <c r="VEB22" s="2057"/>
      <c r="VEC22" s="2056"/>
      <c r="VED22" s="2057"/>
      <c r="VEE22" s="2057"/>
      <c r="VEF22" s="2056"/>
      <c r="VEG22" s="2057"/>
      <c r="VEH22" s="2057"/>
      <c r="VEI22" s="2056"/>
      <c r="VEJ22" s="2057"/>
      <c r="VEK22" s="2057"/>
      <c r="VEL22" s="2056"/>
      <c r="VEM22" s="2057"/>
      <c r="VEN22" s="2057"/>
      <c r="VEO22" s="2056"/>
      <c r="VEP22" s="2057"/>
      <c r="VEQ22" s="2057"/>
      <c r="VER22" s="2056"/>
      <c r="VES22" s="2057"/>
      <c r="VET22" s="2057"/>
      <c r="VEU22" s="2056"/>
      <c r="VEV22" s="2057"/>
      <c r="VEW22" s="2057"/>
      <c r="VEX22" s="2056"/>
      <c r="VEY22" s="2057"/>
      <c r="VEZ22" s="2057"/>
      <c r="VFA22" s="2056"/>
      <c r="VFB22" s="2057"/>
      <c r="VFC22" s="2057"/>
      <c r="VFD22" s="2056"/>
      <c r="VFE22" s="2057"/>
      <c r="VFF22" s="2057"/>
      <c r="VFG22" s="2056"/>
      <c r="VFH22" s="2057"/>
      <c r="VFI22" s="2057"/>
      <c r="VFJ22" s="2056"/>
      <c r="VFK22" s="2057"/>
      <c r="VFL22" s="2057"/>
      <c r="VFM22" s="2056"/>
      <c r="VFN22" s="2057"/>
      <c r="VFO22" s="2057"/>
      <c r="VFP22" s="2056"/>
      <c r="VFQ22" s="2057"/>
      <c r="VFR22" s="2057"/>
      <c r="VFS22" s="2056"/>
      <c r="VFT22" s="2057"/>
      <c r="VFU22" s="2057"/>
      <c r="VFV22" s="2056"/>
      <c r="VFW22" s="2057"/>
      <c r="VFX22" s="2057"/>
      <c r="VFY22" s="2056"/>
      <c r="VFZ22" s="2057"/>
      <c r="VGA22" s="2057"/>
      <c r="VGB22" s="2056"/>
      <c r="VGC22" s="2057"/>
      <c r="VGD22" s="2057"/>
      <c r="VGE22" s="2056"/>
      <c r="VGF22" s="2057"/>
      <c r="VGG22" s="2057"/>
      <c r="VGH22" s="2056"/>
      <c r="VGI22" s="2057"/>
      <c r="VGJ22" s="2057"/>
      <c r="VGK22" s="2056"/>
      <c r="VGL22" s="2057"/>
      <c r="VGM22" s="2057"/>
      <c r="VGN22" s="2056"/>
      <c r="VGO22" s="2057"/>
      <c r="VGP22" s="2057"/>
      <c r="VGQ22" s="2056"/>
      <c r="VGR22" s="2057"/>
      <c r="VGS22" s="2057"/>
      <c r="VGT22" s="2056"/>
      <c r="VGU22" s="2057"/>
      <c r="VGV22" s="2057"/>
      <c r="VGW22" s="2056"/>
      <c r="VGX22" s="2057"/>
      <c r="VGY22" s="2057"/>
      <c r="VGZ22" s="2056"/>
      <c r="VHA22" s="2057"/>
      <c r="VHB22" s="2057"/>
      <c r="VHC22" s="2056"/>
      <c r="VHD22" s="2057"/>
      <c r="VHE22" s="2057"/>
      <c r="VHF22" s="2056"/>
      <c r="VHG22" s="2057"/>
      <c r="VHH22" s="2057"/>
      <c r="VHI22" s="2056"/>
      <c r="VHJ22" s="2057"/>
      <c r="VHK22" s="2057"/>
      <c r="VHL22" s="2056"/>
      <c r="VHM22" s="2057"/>
      <c r="VHN22" s="2057"/>
      <c r="VHO22" s="2056"/>
      <c r="VHP22" s="2057"/>
      <c r="VHQ22" s="2057"/>
      <c r="VHR22" s="2056"/>
      <c r="VHS22" s="2057"/>
      <c r="VHT22" s="2057"/>
      <c r="VHU22" s="2056"/>
      <c r="VHV22" s="2057"/>
      <c r="VHW22" s="2057"/>
      <c r="VHX22" s="2056"/>
      <c r="VHY22" s="2057"/>
      <c r="VHZ22" s="2057"/>
      <c r="VIA22" s="2056"/>
      <c r="VIB22" s="2057"/>
      <c r="VIC22" s="2057"/>
      <c r="VID22" s="2056"/>
      <c r="VIE22" s="2057"/>
      <c r="VIF22" s="2057"/>
      <c r="VIG22" s="2056"/>
      <c r="VIH22" s="2057"/>
      <c r="VII22" s="2057"/>
      <c r="VIJ22" s="2056"/>
      <c r="VIK22" s="2057"/>
      <c r="VIL22" s="2057"/>
      <c r="VIM22" s="2056"/>
      <c r="VIN22" s="2057"/>
      <c r="VIO22" s="2057"/>
      <c r="VIP22" s="2056"/>
      <c r="VIQ22" s="2057"/>
      <c r="VIR22" s="2057"/>
      <c r="VIS22" s="2056"/>
      <c r="VIT22" s="2057"/>
      <c r="VIU22" s="2057"/>
      <c r="VIV22" s="2056"/>
      <c r="VIW22" s="2057"/>
      <c r="VIX22" s="2057"/>
      <c r="VIY22" s="2056"/>
      <c r="VIZ22" s="2057"/>
      <c r="VJA22" s="2057"/>
      <c r="VJB22" s="2056"/>
      <c r="VJC22" s="2057"/>
      <c r="VJD22" s="2057"/>
      <c r="VJE22" s="2056"/>
      <c r="VJF22" s="2057"/>
      <c r="VJG22" s="2057"/>
      <c r="VJH22" s="2056"/>
      <c r="VJI22" s="2057"/>
      <c r="VJJ22" s="2057"/>
      <c r="VJK22" s="2056"/>
      <c r="VJL22" s="2057"/>
      <c r="VJM22" s="2057"/>
      <c r="VJN22" s="2056"/>
      <c r="VJO22" s="2057"/>
      <c r="VJP22" s="2057"/>
      <c r="VJQ22" s="2056"/>
      <c r="VJR22" s="2057"/>
      <c r="VJS22" s="2057"/>
      <c r="VJT22" s="2056"/>
      <c r="VJU22" s="2057"/>
      <c r="VJV22" s="2057"/>
      <c r="VJW22" s="2056"/>
      <c r="VJX22" s="2057"/>
      <c r="VJY22" s="2057"/>
      <c r="VJZ22" s="2056"/>
      <c r="VKA22" s="2057"/>
      <c r="VKB22" s="2057"/>
      <c r="VKC22" s="2056"/>
      <c r="VKD22" s="2057"/>
      <c r="VKE22" s="2057"/>
      <c r="VKF22" s="2056"/>
      <c r="VKG22" s="2057"/>
      <c r="VKH22" s="2057"/>
      <c r="VKI22" s="2056"/>
      <c r="VKJ22" s="2057"/>
      <c r="VKK22" s="2057"/>
      <c r="VKL22" s="2056"/>
      <c r="VKM22" s="2057"/>
      <c r="VKN22" s="2057"/>
      <c r="VKO22" s="2056"/>
      <c r="VKP22" s="2057"/>
      <c r="VKQ22" s="2057"/>
      <c r="VKR22" s="2056"/>
      <c r="VKS22" s="2057"/>
      <c r="VKT22" s="2057"/>
      <c r="VKU22" s="2056"/>
      <c r="VKV22" s="2057"/>
      <c r="VKW22" s="2057"/>
      <c r="VKX22" s="2056"/>
      <c r="VKY22" s="2057"/>
      <c r="VKZ22" s="2057"/>
      <c r="VLA22" s="2056"/>
      <c r="VLB22" s="2057"/>
      <c r="VLC22" s="2057"/>
      <c r="VLD22" s="2056"/>
      <c r="VLE22" s="2057"/>
      <c r="VLF22" s="2057"/>
      <c r="VLG22" s="2056"/>
      <c r="VLH22" s="2057"/>
      <c r="VLI22" s="2057"/>
      <c r="VLJ22" s="2056"/>
      <c r="VLK22" s="2057"/>
      <c r="VLL22" s="2057"/>
      <c r="VLM22" s="2056"/>
      <c r="VLN22" s="2057"/>
      <c r="VLO22" s="2057"/>
      <c r="VLP22" s="2056"/>
      <c r="VLQ22" s="2057"/>
      <c r="VLR22" s="2057"/>
      <c r="VLS22" s="2056"/>
      <c r="VLT22" s="2057"/>
      <c r="VLU22" s="2057"/>
      <c r="VLV22" s="2056"/>
      <c r="VLW22" s="2057"/>
      <c r="VLX22" s="2057"/>
      <c r="VLY22" s="2056"/>
      <c r="VLZ22" s="2057"/>
      <c r="VMA22" s="2057"/>
      <c r="VMB22" s="2056"/>
      <c r="VMC22" s="2057"/>
      <c r="VMD22" s="2057"/>
      <c r="VME22" s="2056"/>
      <c r="VMF22" s="2057"/>
      <c r="VMG22" s="2057"/>
      <c r="VMH22" s="2056"/>
      <c r="VMI22" s="2057"/>
      <c r="VMJ22" s="2057"/>
      <c r="VMK22" s="2056"/>
      <c r="VML22" s="2057"/>
      <c r="VMM22" s="2057"/>
      <c r="VMN22" s="2056"/>
      <c r="VMO22" s="2057"/>
      <c r="VMP22" s="2057"/>
      <c r="VMQ22" s="2056"/>
      <c r="VMR22" s="2057"/>
      <c r="VMS22" s="2057"/>
      <c r="VMT22" s="2056"/>
      <c r="VMU22" s="2057"/>
      <c r="VMV22" s="2057"/>
      <c r="VMW22" s="2056"/>
      <c r="VMX22" s="2057"/>
      <c r="VMY22" s="2057"/>
      <c r="VMZ22" s="2056"/>
      <c r="VNA22" s="2057"/>
      <c r="VNB22" s="2057"/>
      <c r="VNC22" s="2056"/>
      <c r="VND22" s="2057"/>
      <c r="VNE22" s="2057"/>
      <c r="VNF22" s="2056"/>
      <c r="VNG22" s="2057"/>
      <c r="VNH22" s="2057"/>
      <c r="VNI22" s="2056"/>
      <c r="VNJ22" s="2057"/>
      <c r="VNK22" s="2057"/>
      <c r="VNL22" s="2056"/>
      <c r="VNM22" s="2057"/>
      <c r="VNN22" s="2057"/>
      <c r="VNO22" s="2056"/>
      <c r="VNP22" s="2057"/>
      <c r="VNQ22" s="2057"/>
      <c r="VNR22" s="2056"/>
      <c r="VNS22" s="2057"/>
      <c r="VNT22" s="2057"/>
      <c r="VNU22" s="2056"/>
      <c r="VNV22" s="2057"/>
      <c r="VNW22" s="2057"/>
      <c r="VNX22" s="2056"/>
      <c r="VNY22" s="2057"/>
      <c r="VNZ22" s="2057"/>
      <c r="VOA22" s="2056"/>
      <c r="VOB22" s="2057"/>
      <c r="VOC22" s="2057"/>
      <c r="VOD22" s="2056"/>
      <c r="VOE22" s="2057"/>
      <c r="VOF22" s="2057"/>
      <c r="VOG22" s="2056"/>
      <c r="VOH22" s="2057"/>
      <c r="VOI22" s="2057"/>
      <c r="VOJ22" s="2056"/>
      <c r="VOK22" s="2057"/>
      <c r="VOL22" s="2057"/>
      <c r="VOM22" s="2056"/>
      <c r="VON22" s="2057"/>
      <c r="VOO22" s="2057"/>
      <c r="VOP22" s="2056"/>
      <c r="VOQ22" s="2057"/>
      <c r="VOR22" s="2057"/>
      <c r="VOS22" s="2056"/>
      <c r="VOT22" s="2057"/>
      <c r="VOU22" s="2057"/>
      <c r="VOV22" s="2056"/>
      <c r="VOW22" s="2057"/>
      <c r="VOX22" s="2057"/>
      <c r="VOY22" s="2056"/>
      <c r="VOZ22" s="2057"/>
      <c r="VPA22" s="2057"/>
      <c r="VPB22" s="2056"/>
      <c r="VPC22" s="2057"/>
      <c r="VPD22" s="2057"/>
      <c r="VPE22" s="2056"/>
      <c r="VPF22" s="2057"/>
      <c r="VPG22" s="2057"/>
      <c r="VPH22" s="2056"/>
      <c r="VPI22" s="2057"/>
      <c r="VPJ22" s="2057"/>
      <c r="VPK22" s="2056"/>
      <c r="VPL22" s="2057"/>
      <c r="VPM22" s="2057"/>
      <c r="VPN22" s="2056"/>
      <c r="VPO22" s="2057"/>
      <c r="VPP22" s="2057"/>
      <c r="VPQ22" s="2056"/>
      <c r="VPR22" s="2057"/>
      <c r="VPS22" s="2057"/>
      <c r="VPT22" s="2056"/>
      <c r="VPU22" s="2057"/>
      <c r="VPV22" s="2057"/>
      <c r="VPW22" s="2056"/>
      <c r="VPX22" s="2057"/>
      <c r="VPY22" s="2057"/>
      <c r="VPZ22" s="2056"/>
      <c r="VQA22" s="2057"/>
      <c r="VQB22" s="2057"/>
      <c r="VQC22" s="2056"/>
      <c r="VQD22" s="2057"/>
      <c r="VQE22" s="2057"/>
      <c r="VQF22" s="2056"/>
      <c r="VQG22" s="2057"/>
      <c r="VQH22" s="2057"/>
      <c r="VQI22" s="2056"/>
      <c r="VQJ22" s="2057"/>
      <c r="VQK22" s="2057"/>
      <c r="VQL22" s="2056"/>
      <c r="VQM22" s="2057"/>
      <c r="VQN22" s="2057"/>
      <c r="VQO22" s="2056"/>
      <c r="VQP22" s="2057"/>
      <c r="VQQ22" s="2057"/>
      <c r="VQR22" s="2056"/>
      <c r="VQS22" s="2057"/>
      <c r="VQT22" s="2057"/>
      <c r="VQU22" s="2056"/>
      <c r="VQV22" s="2057"/>
      <c r="VQW22" s="2057"/>
      <c r="VQX22" s="2056"/>
      <c r="VQY22" s="2057"/>
      <c r="VQZ22" s="2057"/>
      <c r="VRA22" s="2056"/>
      <c r="VRB22" s="2057"/>
      <c r="VRC22" s="2057"/>
      <c r="VRD22" s="2056"/>
      <c r="VRE22" s="2057"/>
      <c r="VRF22" s="2057"/>
      <c r="VRG22" s="2056"/>
      <c r="VRH22" s="2057"/>
      <c r="VRI22" s="2057"/>
      <c r="VRJ22" s="2056"/>
      <c r="VRK22" s="2057"/>
      <c r="VRL22" s="2057"/>
      <c r="VRM22" s="2056"/>
      <c r="VRN22" s="2057"/>
      <c r="VRO22" s="2057"/>
      <c r="VRP22" s="2056"/>
      <c r="VRQ22" s="2057"/>
      <c r="VRR22" s="2057"/>
      <c r="VRS22" s="2056"/>
      <c r="VRT22" s="2057"/>
      <c r="VRU22" s="2057"/>
      <c r="VRV22" s="2056"/>
      <c r="VRW22" s="2057"/>
      <c r="VRX22" s="2057"/>
      <c r="VRY22" s="2056"/>
      <c r="VRZ22" s="2057"/>
      <c r="VSA22" s="2057"/>
      <c r="VSB22" s="2056"/>
      <c r="VSC22" s="2057"/>
      <c r="VSD22" s="2057"/>
      <c r="VSE22" s="2056"/>
      <c r="VSF22" s="2057"/>
      <c r="VSG22" s="2057"/>
      <c r="VSH22" s="2056"/>
      <c r="VSI22" s="2057"/>
      <c r="VSJ22" s="2057"/>
      <c r="VSK22" s="2056"/>
      <c r="VSL22" s="2057"/>
      <c r="VSM22" s="2057"/>
      <c r="VSN22" s="2056"/>
      <c r="VSO22" s="2057"/>
      <c r="VSP22" s="2057"/>
      <c r="VSQ22" s="2056"/>
      <c r="VSR22" s="2057"/>
      <c r="VSS22" s="2057"/>
      <c r="VST22" s="2056"/>
      <c r="VSU22" s="2057"/>
      <c r="VSV22" s="2057"/>
      <c r="VSW22" s="2056"/>
      <c r="VSX22" s="2057"/>
      <c r="VSY22" s="2057"/>
      <c r="VSZ22" s="2056"/>
      <c r="VTA22" s="2057"/>
      <c r="VTB22" s="2057"/>
      <c r="VTC22" s="2056"/>
      <c r="VTD22" s="2057"/>
      <c r="VTE22" s="2057"/>
      <c r="VTF22" s="2056"/>
      <c r="VTG22" s="2057"/>
      <c r="VTH22" s="2057"/>
      <c r="VTI22" s="2056"/>
      <c r="VTJ22" s="2057"/>
      <c r="VTK22" s="2057"/>
      <c r="VTL22" s="2056"/>
      <c r="VTM22" s="2057"/>
      <c r="VTN22" s="2057"/>
      <c r="VTO22" s="2056"/>
      <c r="VTP22" s="2057"/>
      <c r="VTQ22" s="2057"/>
      <c r="VTR22" s="2056"/>
      <c r="VTS22" s="2057"/>
      <c r="VTT22" s="2057"/>
      <c r="VTU22" s="2056"/>
      <c r="VTV22" s="2057"/>
      <c r="VTW22" s="2057"/>
      <c r="VTX22" s="2056"/>
      <c r="VTY22" s="2057"/>
      <c r="VTZ22" s="2057"/>
      <c r="VUA22" s="2056"/>
      <c r="VUB22" s="2057"/>
      <c r="VUC22" s="2057"/>
      <c r="VUD22" s="2056"/>
      <c r="VUE22" s="2057"/>
      <c r="VUF22" s="2057"/>
      <c r="VUG22" s="2056"/>
      <c r="VUH22" s="2057"/>
      <c r="VUI22" s="2057"/>
      <c r="VUJ22" s="2056"/>
      <c r="VUK22" s="2057"/>
      <c r="VUL22" s="2057"/>
      <c r="VUM22" s="2056"/>
      <c r="VUN22" s="2057"/>
      <c r="VUO22" s="2057"/>
      <c r="VUP22" s="2056"/>
      <c r="VUQ22" s="2057"/>
      <c r="VUR22" s="2057"/>
      <c r="VUS22" s="2056"/>
      <c r="VUT22" s="2057"/>
      <c r="VUU22" s="2057"/>
      <c r="VUV22" s="2056"/>
      <c r="VUW22" s="2057"/>
      <c r="VUX22" s="2057"/>
      <c r="VUY22" s="2056"/>
      <c r="VUZ22" s="2057"/>
      <c r="VVA22" s="2057"/>
      <c r="VVB22" s="2056"/>
      <c r="VVC22" s="2057"/>
      <c r="VVD22" s="2057"/>
      <c r="VVE22" s="2056"/>
      <c r="VVF22" s="2057"/>
      <c r="VVG22" s="2057"/>
      <c r="VVH22" s="2056"/>
      <c r="VVI22" s="2057"/>
      <c r="VVJ22" s="2057"/>
      <c r="VVK22" s="2056"/>
      <c r="VVL22" s="2057"/>
      <c r="VVM22" s="2057"/>
      <c r="VVN22" s="2056"/>
      <c r="VVO22" s="2057"/>
      <c r="VVP22" s="2057"/>
      <c r="VVQ22" s="2056"/>
      <c r="VVR22" s="2057"/>
      <c r="VVS22" s="2057"/>
      <c r="VVT22" s="2056"/>
      <c r="VVU22" s="2057"/>
      <c r="VVV22" s="2057"/>
      <c r="VVW22" s="2056"/>
      <c r="VVX22" s="2057"/>
      <c r="VVY22" s="2057"/>
      <c r="VVZ22" s="2056"/>
      <c r="VWA22" s="2057"/>
      <c r="VWB22" s="2057"/>
      <c r="VWC22" s="2056"/>
      <c r="VWD22" s="2057"/>
      <c r="VWE22" s="2057"/>
      <c r="VWF22" s="2056"/>
      <c r="VWG22" s="2057"/>
      <c r="VWH22" s="2057"/>
      <c r="VWI22" s="2056"/>
      <c r="VWJ22" s="2057"/>
      <c r="VWK22" s="2057"/>
      <c r="VWL22" s="2056"/>
      <c r="VWM22" s="2057"/>
      <c r="VWN22" s="2057"/>
      <c r="VWO22" s="2056"/>
      <c r="VWP22" s="2057"/>
      <c r="VWQ22" s="2057"/>
      <c r="VWR22" s="2056"/>
      <c r="VWS22" s="2057"/>
      <c r="VWT22" s="2057"/>
      <c r="VWU22" s="2056"/>
      <c r="VWV22" s="2057"/>
      <c r="VWW22" s="2057"/>
      <c r="VWX22" s="2056"/>
      <c r="VWY22" s="2057"/>
      <c r="VWZ22" s="2057"/>
      <c r="VXA22" s="2056"/>
      <c r="VXB22" s="2057"/>
      <c r="VXC22" s="2057"/>
      <c r="VXD22" s="2056"/>
      <c r="VXE22" s="2057"/>
      <c r="VXF22" s="2057"/>
      <c r="VXG22" s="2056"/>
      <c r="VXH22" s="2057"/>
      <c r="VXI22" s="2057"/>
      <c r="VXJ22" s="2056"/>
      <c r="VXK22" s="2057"/>
      <c r="VXL22" s="2057"/>
      <c r="VXM22" s="2056"/>
      <c r="VXN22" s="2057"/>
      <c r="VXO22" s="2057"/>
      <c r="VXP22" s="2056"/>
      <c r="VXQ22" s="2057"/>
      <c r="VXR22" s="2057"/>
      <c r="VXS22" s="2056"/>
      <c r="VXT22" s="2057"/>
      <c r="VXU22" s="2057"/>
      <c r="VXV22" s="2056"/>
      <c r="VXW22" s="2057"/>
      <c r="VXX22" s="2057"/>
      <c r="VXY22" s="2056"/>
      <c r="VXZ22" s="2057"/>
      <c r="VYA22" s="2057"/>
      <c r="VYB22" s="2056"/>
      <c r="VYC22" s="2057"/>
      <c r="VYD22" s="2057"/>
      <c r="VYE22" s="2056"/>
      <c r="VYF22" s="2057"/>
      <c r="VYG22" s="2057"/>
      <c r="VYH22" s="2056"/>
      <c r="VYI22" s="2057"/>
      <c r="VYJ22" s="2057"/>
      <c r="VYK22" s="2056"/>
      <c r="VYL22" s="2057"/>
      <c r="VYM22" s="2057"/>
      <c r="VYN22" s="2056"/>
      <c r="VYO22" s="2057"/>
      <c r="VYP22" s="2057"/>
      <c r="VYQ22" s="2056"/>
      <c r="VYR22" s="2057"/>
      <c r="VYS22" s="2057"/>
      <c r="VYT22" s="2056"/>
      <c r="VYU22" s="2057"/>
      <c r="VYV22" s="2057"/>
      <c r="VYW22" s="2056"/>
      <c r="VYX22" s="2057"/>
      <c r="VYY22" s="2057"/>
      <c r="VYZ22" s="2056"/>
      <c r="VZA22" s="2057"/>
      <c r="VZB22" s="2057"/>
      <c r="VZC22" s="2056"/>
      <c r="VZD22" s="2057"/>
      <c r="VZE22" s="2057"/>
      <c r="VZF22" s="2056"/>
      <c r="VZG22" s="2057"/>
      <c r="VZH22" s="2057"/>
      <c r="VZI22" s="2056"/>
      <c r="VZJ22" s="2057"/>
      <c r="VZK22" s="2057"/>
      <c r="VZL22" s="2056"/>
      <c r="VZM22" s="2057"/>
      <c r="VZN22" s="2057"/>
      <c r="VZO22" s="2056"/>
      <c r="VZP22" s="2057"/>
      <c r="VZQ22" s="2057"/>
      <c r="VZR22" s="2056"/>
      <c r="VZS22" s="2057"/>
      <c r="VZT22" s="2057"/>
      <c r="VZU22" s="2056"/>
      <c r="VZV22" s="2057"/>
      <c r="VZW22" s="2057"/>
      <c r="VZX22" s="2056"/>
      <c r="VZY22" s="2057"/>
      <c r="VZZ22" s="2057"/>
      <c r="WAA22" s="2056"/>
      <c r="WAB22" s="2057"/>
      <c r="WAC22" s="2057"/>
      <c r="WAD22" s="2056"/>
      <c r="WAE22" s="2057"/>
      <c r="WAF22" s="2057"/>
      <c r="WAG22" s="2056"/>
      <c r="WAH22" s="2057"/>
      <c r="WAI22" s="2057"/>
      <c r="WAJ22" s="2056"/>
      <c r="WAK22" s="2057"/>
      <c r="WAL22" s="2057"/>
      <c r="WAM22" s="2056"/>
      <c r="WAN22" s="2057"/>
      <c r="WAO22" s="2057"/>
      <c r="WAP22" s="2056"/>
      <c r="WAQ22" s="2057"/>
      <c r="WAR22" s="2057"/>
      <c r="WAS22" s="2056"/>
      <c r="WAT22" s="2057"/>
      <c r="WAU22" s="2057"/>
      <c r="WAV22" s="2056"/>
      <c r="WAW22" s="2057"/>
      <c r="WAX22" s="2057"/>
      <c r="WAY22" s="2056"/>
      <c r="WAZ22" s="2057"/>
      <c r="WBA22" s="2057"/>
      <c r="WBB22" s="2056"/>
      <c r="WBC22" s="2057"/>
      <c r="WBD22" s="2057"/>
      <c r="WBE22" s="2056"/>
      <c r="WBF22" s="2057"/>
      <c r="WBG22" s="2057"/>
      <c r="WBH22" s="2056"/>
      <c r="WBI22" s="2057"/>
      <c r="WBJ22" s="2057"/>
      <c r="WBK22" s="2056"/>
      <c r="WBL22" s="2057"/>
      <c r="WBM22" s="2057"/>
      <c r="WBN22" s="2056"/>
      <c r="WBO22" s="2057"/>
      <c r="WBP22" s="2057"/>
      <c r="WBQ22" s="2056"/>
      <c r="WBR22" s="2057"/>
      <c r="WBS22" s="2057"/>
      <c r="WBT22" s="2056"/>
      <c r="WBU22" s="2057"/>
      <c r="WBV22" s="2057"/>
      <c r="WBW22" s="2056"/>
      <c r="WBX22" s="2057"/>
      <c r="WBY22" s="2057"/>
      <c r="WBZ22" s="2056"/>
      <c r="WCA22" s="2057"/>
      <c r="WCB22" s="2057"/>
      <c r="WCC22" s="2056"/>
      <c r="WCD22" s="2057"/>
      <c r="WCE22" s="2057"/>
      <c r="WCF22" s="2056"/>
      <c r="WCG22" s="2057"/>
      <c r="WCH22" s="2057"/>
      <c r="WCI22" s="2056"/>
      <c r="WCJ22" s="2057"/>
      <c r="WCK22" s="2057"/>
      <c r="WCL22" s="2056"/>
      <c r="WCM22" s="2057"/>
      <c r="WCN22" s="2057"/>
      <c r="WCO22" s="2056"/>
      <c r="WCP22" s="2057"/>
      <c r="WCQ22" s="2057"/>
      <c r="WCR22" s="2056"/>
      <c r="WCS22" s="2057"/>
      <c r="WCT22" s="2057"/>
      <c r="WCU22" s="2056"/>
      <c r="WCV22" s="2057"/>
      <c r="WCW22" s="2057"/>
      <c r="WCX22" s="2056"/>
      <c r="WCY22" s="2057"/>
      <c r="WCZ22" s="2057"/>
      <c r="WDA22" s="2056"/>
      <c r="WDB22" s="2057"/>
      <c r="WDC22" s="2057"/>
      <c r="WDD22" s="2056"/>
      <c r="WDE22" s="2057"/>
      <c r="WDF22" s="2057"/>
      <c r="WDG22" s="2056"/>
      <c r="WDH22" s="2057"/>
      <c r="WDI22" s="2057"/>
      <c r="WDJ22" s="2056"/>
      <c r="WDK22" s="2057"/>
      <c r="WDL22" s="2057"/>
      <c r="WDM22" s="2056"/>
      <c r="WDN22" s="2057"/>
      <c r="WDO22" s="2057"/>
      <c r="WDP22" s="2056"/>
      <c r="WDQ22" s="2057"/>
      <c r="WDR22" s="2057"/>
      <c r="WDS22" s="2056"/>
      <c r="WDT22" s="2057"/>
      <c r="WDU22" s="2057"/>
      <c r="WDV22" s="2056"/>
      <c r="WDW22" s="2057"/>
      <c r="WDX22" s="2057"/>
      <c r="WDY22" s="2056"/>
      <c r="WDZ22" s="2057"/>
      <c r="WEA22" s="2057"/>
      <c r="WEB22" s="2056"/>
      <c r="WEC22" s="2057"/>
      <c r="WED22" s="2057"/>
      <c r="WEE22" s="2056"/>
      <c r="WEF22" s="2057"/>
      <c r="WEG22" s="2057"/>
      <c r="WEH22" s="2056"/>
      <c r="WEI22" s="2057"/>
      <c r="WEJ22" s="2057"/>
      <c r="WEK22" s="2056"/>
      <c r="WEL22" s="2057"/>
      <c r="WEM22" s="2057"/>
      <c r="WEN22" s="2056"/>
      <c r="WEO22" s="2057"/>
      <c r="WEP22" s="2057"/>
      <c r="WEQ22" s="2056"/>
      <c r="WER22" s="2057"/>
      <c r="WES22" s="2057"/>
      <c r="WET22" s="2056"/>
      <c r="WEU22" s="2057"/>
      <c r="WEV22" s="2057"/>
      <c r="WEW22" s="2056"/>
      <c r="WEX22" s="2057"/>
      <c r="WEY22" s="2057"/>
      <c r="WEZ22" s="2056"/>
      <c r="WFA22" s="2057"/>
      <c r="WFB22" s="2057"/>
      <c r="WFC22" s="2056"/>
      <c r="WFD22" s="2057"/>
      <c r="WFE22" s="2057"/>
      <c r="WFF22" s="2056"/>
      <c r="WFG22" s="2057"/>
      <c r="WFH22" s="2057"/>
      <c r="WFI22" s="2056"/>
      <c r="WFJ22" s="2057"/>
      <c r="WFK22" s="2057"/>
      <c r="WFL22" s="2056"/>
      <c r="WFM22" s="2057"/>
      <c r="WFN22" s="2057"/>
      <c r="WFO22" s="2056"/>
      <c r="WFP22" s="2057"/>
      <c r="WFQ22" s="2057"/>
      <c r="WFR22" s="2056"/>
      <c r="WFS22" s="2057"/>
      <c r="WFT22" s="2057"/>
      <c r="WFU22" s="2056"/>
      <c r="WFV22" s="2057"/>
      <c r="WFW22" s="2057"/>
      <c r="WFX22" s="2056"/>
      <c r="WFY22" s="2057"/>
      <c r="WFZ22" s="2057"/>
      <c r="WGA22" s="2056"/>
      <c r="WGB22" s="2057"/>
      <c r="WGC22" s="2057"/>
      <c r="WGD22" s="2056"/>
      <c r="WGE22" s="2057"/>
      <c r="WGF22" s="2057"/>
      <c r="WGG22" s="2056"/>
      <c r="WGH22" s="2057"/>
      <c r="WGI22" s="2057"/>
      <c r="WGJ22" s="2056"/>
      <c r="WGK22" s="2057"/>
      <c r="WGL22" s="2057"/>
      <c r="WGM22" s="2056"/>
      <c r="WGN22" s="2057"/>
      <c r="WGO22" s="2057"/>
      <c r="WGP22" s="2056"/>
      <c r="WGQ22" s="2057"/>
      <c r="WGR22" s="2057"/>
      <c r="WGS22" s="2056"/>
      <c r="WGT22" s="2057"/>
      <c r="WGU22" s="2057"/>
      <c r="WGV22" s="2056"/>
      <c r="WGW22" s="2057"/>
      <c r="WGX22" s="2057"/>
      <c r="WGY22" s="2056"/>
      <c r="WGZ22" s="2057"/>
      <c r="WHA22" s="2057"/>
      <c r="WHB22" s="2056"/>
      <c r="WHC22" s="2057"/>
      <c r="WHD22" s="2057"/>
      <c r="WHE22" s="2056"/>
      <c r="WHF22" s="2057"/>
      <c r="WHG22" s="2057"/>
      <c r="WHH22" s="2056"/>
      <c r="WHI22" s="2057"/>
      <c r="WHJ22" s="2057"/>
      <c r="WHK22" s="2056"/>
      <c r="WHL22" s="2057"/>
      <c r="WHM22" s="2057"/>
      <c r="WHN22" s="2056"/>
      <c r="WHO22" s="2057"/>
      <c r="WHP22" s="2057"/>
      <c r="WHQ22" s="2056"/>
      <c r="WHR22" s="2057"/>
      <c r="WHS22" s="2057"/>
      <c r="WHT22" s="2056"/>
      <c r="WHU22" s="2057"/>
      <c r="WHV22" s="2057"/>
      <c r="WHW22" s="2056"/>
      <c r="WHX22" s="2057"/>
      <c r="WHY22" s="2057"/>
      <c r="WHZ22" s="2056"/>
      <c r="WIA22" s="2057"/>
      <c r="WIB22" s="2057"/>
      <c r="WIC22" s="2056"/>
      <c r="WID22" s="2057"/>
      <c r="WIE22" s="2057"/>
      <c r="WIF22" s="2056"/>
      <c r="WIG22" s="2057"/>
      <c r="WIH22" s="2057"/>
      <c r="WII22" s="2056"/>
      <c r="WIJ22" s="2057"/>
      <c r="WIK22" s="2057"/>
      <c r="WIL22" s="2056"/>
      <c r="WIM22" s="2057"/>
      <c r="WIN22" s="2057"/>
      <c r="WIO22" s="2056"/>
      <c r="WIP22" s="2057"/>
      <c r="WIQ22" s="2057"/>
      <c r="WIR22" s="2056"/>
      <c r="WIS22" s="2057"/>
      <c r="WIT22" s="2057"/>
      <c r="WIU22" s="2056"/>
      <c r="WIV22" s="2057"/>
      <c r="WIW22" s="2057"/>
      <c r="WIX22" s="2056"/>
      <c r="WIY22" s="2057"/>
      <c r="WIZ22" s="2057"/>
      <c r="WJA22" s="2056"/>
      <c r="WJB22" s="2057"/>
      <c r="WJC22" s="2057"/>
      <c r="WJD22" s="2056"/>
      <c r="WJE22" s="2057"/>
      <c r="WJF22" s="2057"/>
      <c r="WJG22" s="2056"/>
      <c r="WJH22" s="2057"/>
      <c r="WJI22" s="2057"/>
      <c r="WJJ22" s="2056"/>
      <c r="WJK22" s="2057"/>
      <c r="WJL22" s="2057"/>
      <c r="WJM22" s="2056"/>
      <c r="WJN22" s="2057"/>
      <c r="WJO22" s="2057"/>
      <c r="WJP22" s="2056"/>
      <c r="WJQ22" s="2057"/>
      <c r="WJR22" s="2057"/>
      <c r="WJS22" s="2056"/>
      <c r="WJT22" s="2057"/>
      <c r="WJU22" s="2057"/>
      <c r="WJV22" s="2056"/>
      <c r="WJW22" s="2057"/>
      <c r="WJX22" s="2057"/>
      <c r="WJY22" s="2056"/>
      <c r="WJZ22" s="2057"/>
      <c r="WKA22" s="2057"/>
      <c r="WKB22" s="2056"/>
      <c r="WKC22" s="2057"/>
      <c r="WKD22" s="2057"/>
      <c r="WKE22" s="2056"/>
      <c r="WKF22" s="2057"/>
      <c r="WKG22" s="2057"/>
      <c r="WKH22" s="2056"/>
      <c r="WKI22" s="2057"/>
      <c r="WKJ22" s="2057"/>
      <c r="WKK22" s="2056"/>
      <c r="WKL22" s="2057"/>
      <c r="WKM22" s="2057"/>
      <c r="WKN22" s="2056"/>
      <c r="WKO22" s="2057"/>
      <c r="WKP22" s="2057"/>
      <c r="WKQ22" s="2056"/>
      <c r="WKR22" s="2057"/>
      <c r="WKS22" s="2057"/>
      <c r="WKT22" s="2056"/>
      <c r="WKU22" s="2057"/>
      <c r="WKV22" s="2057"/>
      <c r="WKW22" s="2056"/>
      <c r="WKX22" s="2057"/>
      <c r="WKY22" s="2057"/>
      <c r="WKZ22" s="2056"/>
      <c r="WLA22" s="2057"/>
      <c r="WLB22" s="2057"/>
      <c r="WLC22" s="2056"/>
      <c r="WLD22" s="2057"/>
      <c r="WLE22" s="2057"/>
      <c r="WLF22" s="2056"/>
      <c r="WLG22" s="2057"/>
      <c r="WLH22" s="2057"/>
      <c r="WLI22" s="2056"/>
      <c r="WLJ22" s="2057"/>
      <c r="WLK22" s="2057"/>
      <c r="WLL22" s="2056"/>
      <c r="WLM22" s="2057"/>
      <c r="WLN22" s="2057"/>
      <c r="WLO22" s="2056"/>
      <c r="WLP22" s="2057"/>
      <c r="WLQ22" s="2057"/>
      <c r="WLR22" s="2056"/>
      <c r="WLS22" s="2057"/>
      <c r="WLT22" s="2057"/>
      <c r="WLU22" s="2056"/>
      <c r="WLV22" s="2057"/>
      <c r="WLW22" s="2057"/>
      <c r="WLX22" s="2056"/>
      <c r="WLY22" s="2057"/>
      <c r="WLZ22" s="2057"/>
      <c r="WMA22" s="2056"/>
      <c r="WMB22" s="2057"/>
      <c r="WMC22" s="2057"/>
      <c r="WMD22" s="2056"/>
      <c r="WME22" s="2057"/>
      <c r="WMF22" s="2057"/>
      <c r="WMG22" s="2056"/>
      <c r="WMH22" s="2057"/>
      <c r="WMI22" s="2057"/>
      <c r="WMJ22" s="2056"/>
      <c r="WMK22" s="2057"/>
      <c r="WML22" s="2057"/>
      <c r="WMM22" s="2056"/>
      <c r="WMN22" s="2057"/>
      <c r="WMO22" s="2057"/>
      <c r="WMP22" s="2056"/>
      <c r="WMQ22" s="2057"/>
      <c r="WMR22" s="2057"/>
      <c r="WMS22" s="2056"/>
      <c r="WMT22" s="2057"/>
      <c r="WMU22" s="2057"/>
      <c r="WMV22" s="2056"/>
      <c r="WMW22" s="2057"/>
      <c r="WMX22" s="2057"/>
      <c r="WMY22" s="2056"/>
      <c r="WMZ22" s="2057"/>
      <c r="WNA22" s="2057"/>
      <c r="WNB22" s="2056"/>
      <c r="WNC22" s="2057"/>
      <c r="WND22" s="2057"/>
      <c r="WNE22" s="2056"/>
      <c r="WNF22" s="2057"/>
      <c r="WNG22" s="2057"/>
      <c r="WNH22" s="2056"/>
      <c r="WNI22" s="2057"/>
      <c r="WNJ22" s="2057"/>
      <c r="WNK22" s="2056"/>
      <c r="WNL22" s="2057"/>
      <c r="WNM22" s="2057"/>
      <c r="WNN22" s="2056"/>
      <c r="WNO22" s="2057"/>
      <c r="WNP22" s="2057"/>
      <c r="WNQ22" s="2056"/>
      <c r="WNR22" s="2057"/>
      <c r="WNS22" s="2057"/>
      <c r="WNT22" s="2056"/>
      <c r="WNU22" s="2057"/>
      <c r="WNV22" s="2057"/>
      <c r="WNW22" s="2056"/>
      <c r="WNX22" s="2057"/>
      <c r="WNY22" s="2057"/>
      <c r="WNZ22" s="2056"/>
      <c r="WOA22" s="2057"/>
      <c r="WOB22" s="2057"/>
      <c r="WOC22" s="2056"/>
      <c r="WOD22" s="2057"/>
      <c r="WOE22" s="2057"/>
      <c r="WOF22" s="2056"/>
      <c r="WOG22" s="2057"/>
      <c r="WOH22" s="2057"/>
      <c r="WOI22" s="2056"/>
      <c r="WOJ22" s="2057"/>
      <c r="WOK22" s="2057"/>
      <c r="WOL22" s="2056"/>
      <c r="WOM22" s="2057"/>
      <c r="WON22" s="2057"/>
      <c r="WOO22" s="2056"/>
      <c r="WOP22" s="2057"/>
      <c r="WOQ22" s="2057"/>
      <c r="WOR22" s="2056"/>
      <c r="WOS22" s="2057"/>
      <c r="WOT22" s="2057"/>
      <c r="WOU22" s="2056"/>
      <c r="WOV22" s="2057"/>
      <c r="WOW22" s="2057"/>
      <c r="WOX22" s="2056"/>
      <c r="WOY22" s="2057"/>
      <c r="WOZ22" s="2057"/>
      <c r="WPA22" s="2056"/>
      <c r="WPB22" s="2057"/>
      <c r="WPC22" s="2057"/>
      <c r="WPD22" s="2056"/>
      <c r="WPE22" s="2057"/>
      <c r="WPF22" s="2057"/>
      <c r="WPG22" s="2056"/>
      <c r="WPH22" s="2057"/>
      <c r="WPI22" s="2057"/>
      <c r="WPJ22" s="2056"/>
      <c r="WPK22" s="2057"/>
      <c r="WPL22" s="2057"/>
      <c r="WPM22" s="2056"/>
      <c r="WPN22" s="2057"/>
      <c r="WPO22" s="2057"/>
      <c r="WPP22" s="2056"/>
      <c r="WPQ22" s="2057"/>
      <c r="WPR22" s="2057"/>
      <c r="WPS22" s="2056"/>
      <c r="WPT22" s="2057"/>
      <c r="WPU22" s="2057"/>
      <c r="WPV22" s="2056"/>
      <c r="WPW22" s="2057"/>
      <c r="WPX22" s="2057"/>
      <c r="WPY22" s="2056"/>
      <c r="WPZ22" s="2057"/>
      <c r="WQA22" s="2057"/>
      <c r="WQB22" s="2056"/>
      <c r="WQC22" s="2057"/>
      <c r="WQD22" s="2057"/>
      <c r="WQE22" s="2056"/>
      <c r="WQF22" s="2057"/>
      <c r="WQG22" s="2057"/>
      <c r="WQH22" s="2056"/>
      <c r="WQI22" s="2057"/>
      <c r="WQJ22" s="2057"/>
      <c r="WQK22" s="2056"/>
      <c r="WQL22" s="2057"/>
      <c r="WQM22" s="2057"/>
      <c r="WQN22" s="2056"/>
      <c r="WQO22" s="2057"/>
      <c r="WQP22" s="2057"/>
      <c r="WQQ22" s="2056"/>
      <c r="WQR22" s="2057"/>
      <c r="WQS22" s="2057"/>
      <c r="WQT22" s="2056"/>
      <c r="WQU22" s="2057"/>
      <c r="WQV22" s="2057"/>
      <c r="WQW22" s="2056"/>
      <c r="WQX22" s="2057"/>
      <c r="WQY22" s="2057"/>
      <c r="WQZ22" s="2056"/>
      <c r="WRA22" s="2057"/>
      <c r="WRB22" s="2057"/>
      <c r="WRC22" s="2056"/>
      <c r="WRD22" s="2057"/>
      <c r="WRE22" s="2057"/>
      <c r="WRF22" s="2056"/>
      <c r="WRG22" s="2057"/>
      <c r="WRH22" s="2057"/>
      <c r="WRI22" s="2056"/>
      <c r="WRJ22" s="2057"/>
      <c r="WRK22" s="2057"/>
      <c r="WRL22" s="2056"/>
      <c r="WRM22" s="2057"/>
      <c r="WRN22" s="2057"/>
      <c r="WRO22" s="2056"/>
      <c r="WRP22" s="2057"/>
      <c r="WRQ22" s="2057"/>
      <c r="WRR22" s="2056"/>
      <c r="WRS22" s="2057"/>
      <c r="WRT22" s="2057"/>
      <c r="WRU22" s="2056"/>
      <c r="WRV22" s="2057"/>
      <c r="WRW22" s="2057"/>
      <c r="WRX22" s="2056"/>
      <c r="WRY22" s="2057"/>
      <c r="WRZ22" s="2057"/>
      <c r="WSA22" s="2056"/>
      <c r="WSB22" s="2057"/>
      <c r="WSC22" s="2057"/>
      <c r="WSD22" s="2056"/>
      <c r="WSE22" s="2057"/>
      <c r="WSF22" s="2057"/>
      <c r="WSG22" s="2056"/>
      <c r="WSH22" s="2057"/>
      <c r="WSI22" s="2057"/>
      <c r="WSJ22" s="2056"/>
      <c r="WSK22" s="2057"/>
      <c r="WSL22" s="2057"/>
      <c r="WSM22" s="2056"/>
      <c r="WSN22" s="2057"/>
      <c r="WSO22" s="2057"/>
      <c r="WSP22" s="2056"/>
      <c r="WSQ22" s="2057"/>
      <c r="WSR22" s="2057"/>
      <c r="WSS22" s="2056"/>
      <c r="WST22" s="2057"/>
      <c r="WSU22" s="2057"/>
      <c r="WSV22" s="2056"/>
      <c r="WSW22" s="2057"/>
      <c r="WSX22" s="2057"/>
      <c r="WSY22" s="2056"/>
      <c r="WSZ22" s="2057"/>
      <c r="WTA22" s="2057"/>
      <c r="WTB22" s="2056"/>
      <c r="WTC22" s="2057"/>
      <c r="WTD22" s="2057"/>
      <c r="WTE22" s="2056"/>
      <c r="WTF22" s="2057"/>
      <c r="WTG22" s="2057"/>
      <c r="WTH22" s="2056"/>
      <c r="WTI22" s="2057"/>
      <c r="WTJ22" s="2057"/>
      <c r="WTK22" s="2056"/>
      <c r="WTL22" s="2057"/>
      <c r="WTM22" s="2057"/>
      <c r="WTN22" s="2056"/>
      <c r="WTO22" s="2057"/>
      <c r="WTP22" s="2057"/>
      <c r="WTQ22" s="2056"/>
      <c r="WTR22" s="2057"/>
      <c r="WTS22" s="2057"/>
      <c r="WTT22" s="2056"/>
      <c r="WTU22" s="2057"/>
      <c r="WTV22" s="2057"/>
      <c r="WTW22" s="2056"/>
      <c r="WTX22" s="2057"/>
      <c r="WTY22" s="2057"/>
      <c r="WTZ22" s="2056"/>
      <c r="WUA22" s="2057"/>
      <c r="WUB22" s="2057"/>
      <c r="WUC22" s="2056"/>
      <c r="WUD22" s="2057"/>
      <c r="WUE22" s="2057"/>
      <c r="WUF22" s="2056"/>
      <c r="WUG22" s="2057"/>
      <c r="WUH22" s="2057"/>
      <c r="WUI22" s="2056"/>
      <c r="WUJ22" s="2057"/>
      <c r="WUK22" s="2057"/>
      <c r="WUL22" s="2056"/>
      <c r="WUM22" s="2057"/>
      <c r="WUN22" s="2057"/>
      <c r="WUO22" s="2056"/>
      <c r="WUP22" s="2057"/>
      <c r="WUQ22" s="2057"/>
      <c r="WUR22" s="2056"/>
      <c r="WUS22" s="2057"/>
      <c r="WUT22" s="2057"/>
      <c r="WUU22" s="2056"/>
      <c r="WUV22" s="2057"/>
      <c r="WUW22" s="2057"/>
      <c r="WUX22" s="2056"/>
      <c r="WUY22" s="2057"/>
      <c r="WUZ22" s="2057"/>
      <c r="WVA22" s="2056"/>
      <c r="WVB22" s="2057"/>
      <c r="WVC22" s="2057"/>
      <c r="WVD22" s="2056"/>
      <c r="WVE22" s="2057"/>
      <c r="WVF22" s="2057"/>
      <c r="WVG22" s="2056"/>
      <c r="WVH22" s="2057"/>
      <c r="WVI22" s="2057"/>
      <c r="WVJ22" s="2056"/>
      <c r="WVK22" s="2057"/>
      <c r="WVL22" s="2057"/>
      <c r="WVM22" s="2056"/>
      <c r="WVN22" s="2057"/>
      <c r="WVO22" s="2057"/>
      <c r="WVP22" s="2056"/>
      <c r="WVQ22" s="2057"/>
      <c r="WVR22" s="2057"/>
      <c r="WVS22" s="2056"/>
      <c r="WVT22" s="2057"/>
      <c r="WVU22" s="2057"/>
      <c r="WVV22" s="2056"/>
      <c r="WVW22" s="2057"/>
      <c r="WVX22" s="2057"/>
      <c r="WVY22" s="2056"/>
      <c r="WVZ22" s="2057"/>
      <c r="WWA22" s="2057"/>
      <c r="WWB22" s="2056"/>
      <c r="WWC22" s="2057"/>
      <c r="WWD22" s="2057"/>
      <c r="WWE22" s="2056"/>
      <c r="WWF22" s="2057"/>
      <c r="WWG22" s="2057"/>
      <c r="WWH22" s="2056"/>
      <c r="WWI22" s="2057"/>
      <c r="WWJ22" s="2057"/>
      <c r="WWK22" s="2056"/>
      <c r="WWL22" s="2057"/>
      <c r="WWM22" s="2057"/>
      <c r="WWN22" s="2056"/>
      <c r="WWO22" s="2057"/>
      <c r="WWP22" s="2057"/>
      <c r="WWQ22" s="2056"/>
      <c r="WWR22" s="2057"/>
      <c r="WWS22" s="2057"/>
      <c r="WWT22" s="2056"/>
      <c r="WWU22" s="2057"/>
      <c r="WWV22" s="2057"/>
      <c r="WWW22" s="2056"/>
      <c r="WWX22" s="2057"/>
      <c r="WWY22" s="2057"/>
      <c r="WWZ22" s="2056"/>
      <c r="WXA22" s="2057"/>
      <c r="WXB22" s="2057"/>
      <c r="WXC22" s="2056"/>
      <c r="WXD22" s="2057"/>
      <c r="WXE22" s="2057"/>
      <c r="WXF22" s="2056"/>
      <c r="WXG22" s="2057"/>
      <c r="WXH22" s="2057"/>
      <c r="WXI22" s="2056"/>
      <c r="WXJ22" s="2057"/>
      <c r="WXK22" s="2057"/>
      <c r="WXL22" s="2056"/>
      <c r="WXM22" s="2057"/>
      <c r="WXN22" s="2057"/>
      <c r="WXO22" s="2056"/>
      <c r="WXP22" s="2057"/>
      <c r="WXQ22" s="2057"/>
      <c r="WXR22" s="2056"/>
      <c r="WXS22" s="2057"/>
      <c r="WXT22" s="2057"/>
      <c r="WXU22" s="2056"/>
      <c r="WXV22" s="2057"/>
      <c r="WXW22" s="2057"/>
      <c r="WXX22" s="2056"/>
      <c r="WXY22" s="2057"/>
      <c r="WXZ22" s="2057"/>
      <c r="WYA22" s="2056"/>
      <c r="WYB22" s="2057"/>
      <c r="WYC22" s="2057"/>
      <c r="WYD22" s="2056"/>
      <c r="WYE22" s="2057"/>
      <c r="WYF22" s="2057"/>
      <c r="WYG22" s="2056"/>
      <c r="WYH22" s="2057"/>
      <c r="WYI22" s="2057"/>
      <c r="WYJ22" s="2056"/>
      <c r="WYK22" s="2057"/>
      <c r="WYL22" s="2057"/>
      <c r="WYM22" s="2056"/>
      <c r="WYN22" s="2057"/>
      <c r="WYO22" s="2057"/>
      <c r="WYP22" s="2056"/>
      <c r="WYQ22" s="2057"/>
      <c r="WYR22" s="2057"/>
      <c r="WYS22" s="2056"/>
      <c r="WYT22" s="2057"/>
      <c r="WYU22" s="2057"/>
      <c r="WYV22" s="2056"/>
      <c r="WYW22" s="2057"/>
      <c r="WYX22" s="2057"/>
      <c r="WYY22" s="2056"/>
      <c r="WYZ22" s="2057"/>
      <c r="WZA22" s="2057"/>
      <c r="WZB22" s="2056"/>
      <c r="WZC22" s="2057"/>
      <c r="WZD22" s="2057"/>
      <c r="WZE22" s="2056"/>
      <c r="WZF22" s="2057"/>
      <c r="WZG22" s="2057"/>
      <c r="WZH22" s="2056"/>
      <c r="WZI22" s="2057"/>
      <c r="WZJ22" s="2057"/>
      <c r="WZK22" s="2056"/>
      <c r="WZL22" s="2057"/>
      <c r="WZM22" s="2057"/>
      <c r="WZN22" s="2056"/>
      <c r="WZO22" s="2057"/>
      <c r="WZP22" s="2057"/>
      <c r="WZQ22" s="2056"/>
      <c r="WZR22" s="2057"/>
      <c r="WZS22" s="2057"/>
      <c r="WZT22" s="2056"/>
      <c r="WZU22" s="2057"/>
      <c r="WZV22" s="2057"/>
      <c r="WZW22" s="2056"/>
      <c r="WZX22" s="2057"/>
      <c r="WZY22" s="2057"/>
      <c r="WZZ22" s="2056"/>
      <c r="XAA22" s="2057"/>
      <c r="XAB22" s="2057"/>
      <c r="XAC22" s="2056"/>
      <c r="XAD22" s="2057"/>
      <c r="XAE22" s="2057"/>
      <c r="XAF22" s="2056"/>
      <c r="XAG22" s="2057"/>
      <c r="XAH22" s="2057"/>
      <c r="XAI22" s="2056"/>
      <c r="XAJ22" s="2057"/>
      <c r="XAK22" s="2057"/>
      <c r="XAL22" s="2056"/>
      <c r="XAM22" s="2057"/>
      <c r="XAN22" s="2057"/>
      <c r="XAO22" s="2056"/>
      <c r="XAP22" s="2057"/>
      <c r="XAQ22" s="2057"/>
      <c r="XAR22" s="2056"/>
      <c r="XAS22" s="2057"/>
      <c r="XAT22" s="2057"/>
      <c r="XAU22" s="2056"/>
      <c r="XAV22" s="2057"/>
      <c r="XAW22" s="2057"/>
      <c r="XAX22" s="2056"/>
      <c r="XAY22" s="2057"/>
      <c r="XAZ22" s="2057"/>
      <c r="XBA22" s="2056"/>
      <c r="XBB22" s="2057"/>
      <c r="XBC22" s="2057"/>
      <c r="XBD22" s="2056"/>
      <c r="XBE22" s="2057"/>
      <c r="XBF22" s="2057"/>
      <c r="XBG22" s="2056"/>
      <c r="XBH22" s="2057"/>
      <c r="XBI22" s="2057"/>
      <c r="XBJ22" s="2056"/>
      <c r="XBK22" s="2057"/>
      <c r="XBL22" s="2057"/>
      <c r="XBM22" s="2056"/>
      <c r="XBN22" s="2057"/>
      <c r="XBO22" s="2057"/>
      <c r="XBP22" s="2056"/>
      <c r="XBQ22" s="2057"/>
      <c r="XBR22" s="2057"/>
      <c r="XBS22" s="2056"/>
      <c r="XBT22" s="2057"/>
      <c r="XBU22" s="2057"/>
      <c r="XBV22" s="2056"/>
      <c r="XBW22" s="2057"/>
      <c r="XBX22" s="2057"/>
      <c r="XBY22" s="2056"/>
      <c r="XBZ22" s="2057"/>
      <c r="XCA22" s="2057"/>
      <c r="XCB22" s="2056"/>
      <c r="XCC22" s="2057"/>
      <c r="XCD22" s="2057"/>
      <c r="XCE22" s="2056"/>
      <c r="XCF22" s="2057"/>
      <c r="XCG22" s="2057"/>
      <c r="XCH22" s="2056"/>
      <c r="XCI22" s="2057"/>
      <c r="XCJ22" s="2057"/>
      <c r="XCK22" s="2056"/>
      <c r="XCL22" s="2057"/>
      <c r="XCM22" s="2057"/>
      <c r="XCN22" s="2056"/>
      <c r="XCO22" s="2057"/>
      <c r="XCP22" s="2057"/>
      <c r="XCQ22" s="2056"/>
      <c r="XCR22" s="2057"/>
      <c r="XCS22" s="2057"/>
      <c r="XCT22" s="2056"/>
      <c r="XCU22" s="2057"/>
      <c r="XCV22" s="2057"/>
      <c r="XCW22" s="2056"/>
      <c r="XCX22" s="2057"/>
      <c r="XCY22" s="2057"/>
      <c r="XCZ22" s="2056"/>
      <c r="XDA22" s="2057"/>
      <c r="XDB22" s="2057"/>
      <c r="XDC22" s="2056"/>
      <c r="XDD22" s="2057"/>
      <c r="XDE22" s="2057"/>
      <c r="XDF22" s="2056"/>
      <c r="XDG22" s="2057"/>
      <c r="XDH22" s="2057"/>
      <c r="XDI22" s="2056"/>
      <c r="XDJ22" s="2057"/>
      <c r="XDK22" s="2057"/>
      <c r="XDL22" s="2056"/>
      <c r="XDM22" s="2057"/>
      <c r="XDN22" s="2057"/>
      <c r="XDO22" s="2056"/>
      <c r="XDP22" s="2057"/>
      <c r="XDQ22" s="2057"/>
      <c r="XDR22" s="2056"/>
      <c r="XDS22" s="2057"/>
      <c r="XDT22" s="2057"/>
      <c r="XDU22" s="2056"/>
      <c r="XDV22" s="2057"/>
      <c r="XDW22" s="2057"/>
      <c r="XDX22" s="2056"/>
      <c r="XDY22" s="2057"/>
      <c r="XDZ22" s="2057"/>
      <c r="XEA22" s="2056"/>
      <c r="XEB22" s="2057"/>
      <c r="XEC22" s="2057"/>
      <c r="XED22" s="2056"/>
      <c r="XEE22" s="2057"/>
      <c r="XEF22" s="2057"/>
      <c r="XEG22" s="2056"/>
      <c r="XEH22" s="2057"/>
      <c r="XEI22" s="2057"/>
      <c r="XEJ22" s="2056"/>
      <c r="XEK22" s="2057"/>
      <c r="XEL22" s="2057"/>
      <c r="XEM22" s="2056"/>
      <c r="XEN22" s="2057"/>
      <c r="XEO22" s="2057"/>
      <c r="XEP22" s="2056"/>
      <c r="XEQ22" s="2057"/>
      <c r="XER22" s="2057"/>
      <c r="XES22" s="2056"/>
      <c r="XET22" s="2057"/>
      <c r="XEU22" s="2057"/>
      <c r="XEV22" s="2056"/>
      <c r="XEW22" s="2057"/>
      <c r="XEX22" s="2057"/>
      <c r="XEY22" s="2056"/>
      <c r="XEZ22" s="2057"/>
      <c r="XFA22" s="2057"/>
      <c r="XFB22" s="2056"/>
      <c r="XFC22" s="2056"/>
      <c r="XFD22" s="2056"/>
    </row>
    <row r="23" spans="1:16384" s="722" customFormat="1" ht="15.75">
      <c r="A23" s="2073"/>
      <c r="B23" s="2073"/>
      <c r="C23" s="2073"/>
      <c r="D23" s="2073"/>
    </row>
  </sheetData>
  <mergeCells count="5470">
    <mergeCell ref="XEY22:XFA22"/>
    <mergeCell ref="XFB22:XFD22"/>
    <mergeCell ref="A23:D23"/>
    <mergeCell ref="XEG22:XEI22"/>
    <mergeCell ref="XEJ22:XEL22"/>
    <mergeCell ref="XEM22:XEO22"/>
    <mergeCell ref="XEP22:XER22"/>
    <mergeCell ref="XES22:XEU22"/>
    <mergeCell ref="XEV22:XEX22"/>
    <mergeCell ref="XDO22:XDQ22"/>
    <mergeCell ref="XDR22:XDT22"/>
    <mergeCell ref="XDU22:XDW22"/>
    <mergeCell ref="XDX22:XDZ22"/>
    <mergeCell ref="XEA22:XEC22"/>
    <mergeCell ref="XED22:XEF22"/>
    <mergeCell ref="XCW22:XCY22"/>
    <mergeCell ref="XCZ22:XDB22"/>
    <mergeCell ref="XDC22:XDE22"/>
    <mergeCell ref="XDF22:XDH22"/>
    <mergeCell ref="XDI22:XDK22"/>
    <mergeCell ref="XDL22:XDN22"/>
    <mergeCell ref="XCE22:XCG22"/>
    <mergeCell ref="XCH22:XCJ22"/>
    <mergeCell ref="XCK22:XCM22"/>
    <mergeCell ref="XCN22:XCP22"/>
    <mergeCell ref="XCQ22:XCS22"/>
    <mergeCell ref="XCT22:XCV22"/>
    <mergeCell ref="XBM22:XBO22"/>
    <mergeCell ref="XBP22:XBR22"/>
    <mergeCell ref="XBS22:XBU22"/>
    <mergeCell ref="XBV22:XBX22"/>
    <mergeCell ref="XBY22:XCA22"/>
    <mergeCell ref="XCB22:XCD22"/>
    <mergeCell ref="XAU22:XAW22"/>
    <mergeCell ref="XAX22:XAZ22"/>
    <mergeCell ref="XBA22:XBC22"/>
    <mergeCell ref="XBD22:XBF22"/>
    <mergeCell ref="XBG22:XBI22"/>
    <mergeCell ref="XBJ22:XBL22"/>
    <mergeCell ref="XAC22:XAE22"/>
    <mergeCell ref="XAF22:XAH22"/>
    <mergeCell ref="XAI22:XAK22"/>
    <mergeCell ref="XAL22:XAN22"/>
    <mergeCell ref="XAO22:XAQ22"/>
    <mergeCell ref="XAR22:XAT22"/>
    <mergeCell ref="WZK22:WZM22"/>
    <mergeCell ref="WZN22:WZP22"/>
    <mergeCell ref="WZQ22:WZS22"/>
    <mergeCell ref="WZT22:WZV22"/>
    <mergeCell ref="WZW22:WZY22"/>
    <mergeCell ref="WZZ22:XAB22"/>
    <mergeCell ref="WYS22:WYU22"/>
    <mergeCell ref="WYV22:WYX22"/>
    <mergeCell ref="WYY22:WZA22"/>
    <mergeCell ref="WZB22:WZD22"/>
    <mergeCell ref="WZE22:WZG22"/>
    <mergeCell ref="WZH22:WZJ22"/>
    <mergeCell ref="WYA22:WYC22"/>
    <mergeCell ref="WYD22:WYF22"/>
    <mergeCell ref="WYG22:WYI22"/>
    <mergeCell ref="WYJ22:WYL22"/>
    <mergeCell ref="WYM22:WYO22"/>
    <mergeCell ref="WYP22:WYR22"/>
    <mergeCell ref="WXI22:WXK22"/>
    <mergeCell ref="WXL22:WXN22"/>
    <mergeCell ref="WXO22:WXQ22"/>
    <mergeCell ref="WXR22:WXT22"/>
    <mergeCell ref="WXU22:WXW22"/>
    <mergeCell ref="WXX22:WXZ22"/>
    <mergeCell ref="WWQ22:WWS22"/>
    <mergeCell ref="WWT22:WWV22"/>
    <mergeCell ref="WWW22:WWY22"/>
    <mergeCell ref="WWZ22:WXB22"/>
    <mergeCell ref="WXC22:WXE22"/>
    <mergeCell ref="WXF22:WXH22"/>
    <mergeCell ref="WVY22:WWA22"/>
    <mergeCell ref="WWB22:WWD22"/>
    <mergeCell ref="WWE22:WWG22"/>
    <mergeCell ref="WWH22:WWJ22"/>
    <mergeCell ref="WWK22:WWM22"/>
    <mergeCell ref="WWN22:WWP22"/>
    <mergeCell ref="WVG22:WVI22"/>
    <mergeCell ref="WVJ22:WVL22"/>
    <mergeCell ref="WVM22:WVO22"/>
    <mergeCell ref="WVP22:WVR22"/>
    <mergeCell ref="WVS22:WVU22"/>
    <mergeCell ref="WVV22:WVX22"/>
    <mergeCell ref="WUO22:WUQ22"/>
    <mergeCell ref="WUR22:WUT22"/>
    <mergeCell ref="WUU22:WUW22"/>
    <mergeCell ref="WUX22:WUZ22"/>
    <mergeCell ref="WVA22:WVC22"/>
    <mergeCell ref="WVD22:WVF22"/>
    <mergeCell ref="WTW22:WTY22"/>
    <mergeCell ref="WTZ22:WUB22"/>
    <mergeCell ref="WUC22:WUE22"/>
    <mergeCell ref="WUF22:WUH22"/>
    <mergeCell ref="WUI22:WUK22"/>
    <mergeCell ref="WUL22:WUN22"/>
    <mergeCell ref="WTE22:WTG22"/>
    <mergeCell ref="WTH22:WTJ22"/>
    <mergeCell ref="WTK22:WTM22"/>
    <mergeCell ref="WTN22:WTP22"/>
    <mergeCell ref="WTQ22:WTS22"/>
    <mergeCell ref="WTT22:WTV22"/>
    <mergeCell ref="WSM22:WSO22"/>
    <mergeCell ref="WSP22:WSR22"/>
    <mergeCell ref="WSS22:WSU22"/>
    <mergeCell ref="WSV22:WSX22"/>
    <mergeCell ref="WSY22:WTA22"/>
    <mergeCell ref="WTB22:WTD22"/>
    <mergeCell ref="WRU22:WRW22"/>
    <mergeCell ref="WRX22:WRZ22"/>
    <mergeCell ref="WSA22:WSC22"/>
    <mergeCell ref="WSD22:WSF22"/>
    <mergeCell ref="WSG22:WSI22"/>
    <mergeCell ref="WSJ22:WSL22"/>
    <mergeCell ref="WRC22:WRE22"/>
    <mergeCell ref="WRF22:WRH22"/>
    <mergeCell ref="WRI22:WRK22"/>
    <mergeCell ref="WRL22:WRN22"/>
    <mergeCell ref="WRO22:WRQ22"/>
    <mergeCell ref="WRR22:WRT22"/>
    <mergeCell ref="WQK22:WQM22"/>
    <mergeCell ref="WQN22:WQP22"/>
    <mergeCell ref="WQQ22:WQS22"/>
    <mergeCell ref="WQT22:WQV22"/>
    <mergeCell ref="WQW22:WQY22"/>
    <mergeCell ref="WQZ22:WRB22"/>
    <mergeCell ref="WPS22:WPU22"/>
    <mergeCell ref="WPV22:WPX22"/>
    <mergeCell ref="WPY22:WQA22"/>
    <mergeCell ref="WQB22:WQD22"/>
    <mergeCell ref="WQE22:WQG22"/>
    <mergeCell ref="WQH22:WQJ22"/>
    <mergeCell ref="WPA22:WPC22"/>
    <mergeCell ref="WPD22:WPF22"/>
    <mergeCell ref="WPG22:WPI22"/>
    <mergeCell ref="WPJ22:WPL22"/>
    <mergeCell ref="WPM22:WPO22"/>
    <mergeCell ref="WPP22:WPR22"/>
    <mergeCell ref="WOI22:WOK22"/>
    <mergeCell ref="WOL22:WON22"/>
    <mergeCell ref="WOO22:WOQ22"/>
    <mergeCell ref="WOR22:WOT22"/>
    <mergeCell ref="WOU22:WOW22"/>
    <mergeCell ref="WOX22:WOZ22"/>
    <mergeCell ref="WNQ22:WNS22"/>
    <mergeCell ref="WNT22:WNV22"/>
    <mergeCell ref="WNW22:WNY22"/>
    <mergeCell ref="WNZ22:WOB22"/>
    <mergeCell ref="WOC22:WOE22"/>
    <mergeCell ref="WOF22:WOH22"/>
    <mergeCell ref="WMY22:WNA22"/>
    <mergeCell ref="WNB22:WND22"/>
    <mergeCell ref="WNE22:WNG22"/>
    <mergeCell ref="WNH22:WNJ22"/>
    <mergeCell ref="WNK22:WNM22"/>
    <mergeCell ref="WNN22:WNP22"/>
    <mergeCell ref="WMG22:WMI22"/>
    <mergeCell ref="WMJ22:WML22"/>
    <mergeCell ref="WMM22:WMO22"/>
    <mergeCell ref="WMP22:WMR22"/>
    <mergeCell ref="WMS22:WMU22"/>
    <mergeCell ref="WMV22:WMX22"/>
    <mergeCell ref="WLO22:WLQ22"/>
    <mergeCell ref="WLR22:WLT22"/>
    <mergeCell ref="WLU22:WLW22"/>
    <mergeCell ref="WLX22:WLZ22"/>
    <mergeCell ref="WMA22:WMC22"/>
    <mergeCell ref="WMD22:WMF22"/>
    <mergeCell ref="WKW22:WKY22"/>
    <mergeCell ref="WKZ22:WLB22"/>
    <mergeCell ref="WLC22:WLE22"/>
    <mergeCell ref="WLF22:WLH22"/>
    <mergeCell ref="WLI22:WLK22"/>
    <mergeCell ref="WLL22:WLN22"/>
    <mergeCell ref="WKE22:WKG22"/>
    <mergeCell ref="WKH22:WKJ22"/>
    <mergeCell ref="WKK22:WKM22"/>
    <mergeCell ref="WKN22:WKP22"/>
    <mergeCell ref="WKQ22:WKS22"/>
    <mergeCell ref="WKT22:WKV22"/>
    <mergeCell ref="WJM22:WJO22"/>
    <mergeCell ref="WJP22:WJR22"/>
    <mergeCell ref="WJS22:WJU22"/>
    <mergeCell ref="WJV22:WJX22"/>
    <mergeCell ref="WJY22:WKA22"/>
    <mergeCell ref="WKB22:WKD22"/>
    <mergeCell ref="WIU22:WIW22"/>
    <mergeCell ref="WIX22:WIZ22"/>
    <mergeCell ref="WJA22:WJC22"/>
    <mergeCell ref="WJD22:WJF22"/>
    <mergeCell ref="WJG22:WJI22"/>
    <mergeCell ref="WJJ22:WJL22"/>
    <mergeCell ref="WIC22:WIE22"/>
    <mergeCell ref="WIF22:WIH22"/>
    <mergeCell ref="WII22:WIK22"/>
    <mergeCell ref="WIL22:WIN22"/>
    <mergeCell ref="WIO22:WIQ22"/>
    <mergeCell ref="WIR22:WIT22"/>
    <mergeCell ref="WHK22:WHM22"/>
    <mergeCell ref="WHN22:WHP22"/>
    <mergeCell ref="WHQ22:WHS22"/>
    <mergeCell ref="WHT22:WHV22"/>
    <mergeCell ref="WHW22:WHY22"/>
    <mergeCell ref="WHZ22:WIB22"/>
    <mergeCell ref="WGS22:WGU22"/>
    <mergeCell ref="WGV22:WGX22"/>
    <mergeCell ref="WGY22:WHA22"/>
    <mergeCell ref="WHB22:WHD22"/>
    <mergeCell ref="WHE22:WHG22"/>
    <mergeCell ref="WHH22:WHJ22"/>
    <mergeCell ref="WGA22:WGC22"/>
    <mergeCell ref="WGD22:WGF22"/>
    <mergeCell ref="WGG22:WGI22"/>
    <mergeCell ref="WGJ22:WGL22"/>
    <mergeCell ref="WGM22:WGO22"/>
    <mergeCell ref="WGP22:WGR22"/>
    <mergeCell ref="WFI22:WFK22"/>
    <mergeCell ref="WFL22:WFN22"/>
    <mergeCell ref="WFO22:WFQ22"/>
    <mergeCell ref="WFR22:WFT22"/>
    <mergeCell ref="WFU22:WFW22"/>
    <mergeCell ref="WFX22:WFZ22"/>
    <mergeCell ref="WEQ22:WES22"/>
    <mergeCell ref="WET22:WEV22"/>
    <mergeCell ref="WEW22:WEY22"/>
    <mergeCell ref="WEZ22:WFB22"/>
    <mergeCell ref="WFC22:WFE22"/>
    <mergeCell ref="WFF22:WFH22"/>
    <mergeCell ref="WDY22:WEA22"/>
    <mergeCell ref="WEB22:WED22"/>
    <mergeCell ref="WEE22:WEG22"/>
    <mergeCell ref="WEH22:WEJ22"/>
    <mergeCell ref="WEK22:WEM22"/>
    <mergeCell ref="WEN22:WEP22"/>
    <mergeCell ref="WDG22:WDI22"/>
    <mergeCell ref="WDJ22:WDL22"/>
    <mergeCell ref="WDM22:WDO22"/>
    <mergeCell ref="WDP22:WDR22"/>
    <mergeCell ref="WDS22:WDU22"/>
    <mergeCell ref="WDV22:WDX22"/>
    <mergeCell ref="WCO22:WCQ22"/>
    <mergeCell ref="WCR22:WCT22"/>
    <mergeCell ref="WCU22:WCW22"/>
    <mergeCell ref="WCX22:WCZ22"/>
    <mergeCell ref="WDA22:WDC22"/>
    <mergeCell ref="WDD22:WDF22"/>
    <mergeCell ref="WBW22:WBY22"/>
    <mergeCell ref="WBZ22:WCB22"/>
    <mergeCell ref="WCC22:WCE22"/>
    <mergeCell ref="WCF22:WCH22"/>
    <mergeCell ref="WCI22:WCK22"/>
    <mergeCell ref="WCL22:WCN22"/>
    <mergeCell ref="WBE22:WBG22"/>
    <mergeCell ref="WBH22:WBJ22"/>
    <mergeCell ref="WBK22:WBM22"/>
    <mergeCell ref="WBN22:WBP22"/>
    <mergeCell ref="WBQ22:WBS22"/>
    <mergeCell ref="WBT22:WBV22"/>
    <mergeCell ref="WAM22:WAO22"/>
    <mergeCell ref="WAP22:WAR22"/>
    <mergeCell ref="WAS22:WAU22"/>
    <mergeCell ref="WAV22:WAX22"/>
    <mergeCell ref="WAY22:WBA22"/>
    <mergeCell ref="WBB22:WBD22"/>
    <mergeCell ref="VZU22:VZW22"/>
    <mergeCell ref="VZX22:VZZ22"/>
    <mergeCell ref="WAA22:WAC22"/>
    <mergeCell ref="WAD22:WAF22"/>
    <mergeCell ref="WAG22:WAI22"/>
    <mergeCell ref="WAJ22:WAL22"/>
    <mergeCell ref="VZC22:VZE22"/>
    <mergeCell ref="VZF22:VZH22"/>
    <mergeCell ref="VZI22:VZK22"/>
    <mergeCell ref="VZL22:VZN22"/>
    <mergeCell ref="VZO22:VZQ22"/>
    <mergeCell ref="VZR22:VZT22"/>
    <mergeCell ref="VYK22:VYM22"/>
    <mergeCell ref="VYN22:VYP22"/>
    <mergeCell ref="VYQ22:VYS22"/>
    <mergeCell ref="VYT22:VYV22"/>
    <mergeCell ref="VYW22:VYY22"/>
    <mergeCell ref="VYZ22:VZB22"/>
    <mergeCell ref="VXS22:VXU22"/>
    <mergeCell ref="VXV22:VXX22"/>
    <mergeCell ref="VXY22:VYA22"/>
    <mergeCell ref="VYB22:VYD22"/>
    <mergeCell ref="VYE22:VYG22"/>
    <mergeCell ref="VYH22:VYJ22"/>
    <mergeCell ref="VXA22:VXC22"/>
    <mergeCell ref="VXD22:VXF22"/>
    <mergeCell ref="VXG22:VXI22"/>
    <mergeCell ref="VXJ22:VXL22"/>
    <mergeCell ref="VXM22:VXO22"/>
    <mergeCell ref="VXP22:VXR22"/>
    <mergeCell ref="VWI22:VWK22"/>
    <mergeCell ref="VWL22:VWN22"/>
    <mergeCell ref="VWO22:VWQ22"/>
    <mergeCell ref="VWR22:VWT22"/>
    <mergeCell ref="VWU22:VWW22"/>
    <mergeCell ref="VWX22:VWZ22"/>
    <mergeCell ref="VVQ22:VVS22"/>
    <mergeCell ref="VVT22:VVV22"/>
    <mergeCell ref="VVW22:VVY22"/>
    <mergeCell ref="VVZ22:VWB22"/>
    <mergeCell ref="VWC22:VWE22"/>
    <mergeCell ref="VWF22:VWH22"/>
    <mergeCell ref="VUY22:VVA22"/>
    <mergeCell ref="VVB22:VVD22"/>
    <mergeCell ref="VVE22:VVG22"/>
    <mergeCell ref="VVH22:VVJ22"/>
    <mergeCell ref="VVK22:VVM22"/>
    <mergeCell ref="VVN22:VVP22"/>
    <mergeCell ref="VUG22:VUI22"/>
    <mergeCell ref="VUJ22:VUL22"/>
    <mergeCell ref="VUM22:VUO22"/>
    <mergeCell ref="VUP22:VUR22"/>
    <mergeCell ref="VUS22:VUU22"/>
    <mergeCell ref="VUV22:VUX22"/>
    <mergeCell ref="VTO22:VTQ22"/>
    <mergeCell ref="VTR22:VTT22"/>
    <mergeCell ref="VTU22:VTW22"/>
    <mergeCell ref="VTX22:VTZ22"/>
    <mergeCell ref="VUA22:VUC22"/>
    <mergeCell ref="VUD22:VUF22"/>
    <mergeCell ref="VSW22:VSY22"/>
    <mergeCell ref="VSZ22:VTB22"/>
    <mergeCell ref="VTC22:VTE22"/>
    <mergeCell ref="VTF22:VTH22"/>
    <mergeCell ref="VTI22:VTK22"/>
    <mergeCell ref="VTL22:VTN22"/>
    <mergeCell ref="VSE22:VSG22"/>
    <mergeCell ref="VSH22:VSJ22"/>
    <mergeCell ref="VSK22:VSM22"/>
    <mergeCell ref="VSN22:VSP22"/>
    <mergeCell ref="VSQ22:VSS22"/>
    <mergeCell ref="VST22:VSV22"/>
    <mergeCell ref="VRM22:VRO22"/>
    <mergeCell ref="VRP22:VRR22"/>
    <mergeCell ref="VRS22:VRU22"/>
    <mergeCell ref="VRV22:VRX22"/>
    <mergeCell ref="VRY22:VSA22"/>
    <mergeCell ref="VSB22:VSD22"/>
    <mergeCell ref="VQU22:VQW22"/>
    <mergeCell ref="VQX22:VQZ22"/>
    <mergeCell ref="VRA22:VRC22"/>
    <mergeCell ref="VRD22:VRF22"/>
    <mergeCell ref="VRG22:VRI22"/>
    <mergeCell ref="VRJ22:VRL22"/>
    <mergeCell ref="VQC22:VQE22"/>
    <mergeCell ref="VQF22:VQH22"/>
    <mergeCell ref="VQI22:VQK22"/>
    <mergeCell ref="VQL22:VQN22"/>
    <mergeCell ref="VQO22:VQQ22"/>
    <mergeCell ref="VQR22:VQT22"/>
    <mergeCell ref="VPK22:VPM22"/>
    <mergeCell ref="VPN22:VPP22"/>
    <mergeCell ref="VPQ22:VPS22"/>
    <mergeCell ref="VPT22:VPV22"/>
    <mergeCell ref="VPW22:VPY22"/>
    <mergeCell ref="VPZ22:VQB22"/>
    <mergeCell ref="VOS22:VOU22"/>
    <mergeCell ref="VOV22:VOX22"/>
    <mergeCell ref="VOY22:VPA22"/>
    <mergeCell ref="VPB22:VPD22"/>
    <mergeCell ref="VPE22:VPG22"/>
    <mergeCell ref="VPH22:VPJ22"/>
    <mergeCell ref="VOA22:VOC22"/>
    <mergeCell ref="VOD22:VOF22"/>
    <mergeCell ref="VOG22:VOI22"/>
    <mergeCell ref="VOJ22:VOL22"/>
    <mergeCell ref="VOM22:VOO22"/>
    <mergeCell ref="VOP22:VOR22"/>
    <mergeCell ref="VNI22:VNK22"/>
    <mergeCell ref="VNL22:VNN22"/>
    <mergeCell ref="VNO22:VNQ22"/>
    <mergeCell ref="VNR22:VNT22"/>
    <mergeCell ref="VNU22:VNW22"/>
    <mergeCell ref="VNX22:VNZ22"/>
    <mergeCell ref="VMQ22:VMS22"/>
    <mergeCell ref="VMT22:VMV22"/>
    <mergeCell ref="VMW22:VMY22"/>
    <mergeCell ref="VMZ22:VNB22"/>
    <mergeCell ref="VNC22:VNE22"/>
    <mergeCell ref="VNF22:VNH22"/>
    <mergeCell ref="VLY22:VMA22"/>
    <mergeCell ref="VMB22:VMD22"/>
    <mergeCell ref="VME22:VMG22"/>
    <mergeCell ref="VMH22:VMJ22"/>
    <mergeCell ref="VMK22:VMM22"/>
    <mergeCell ref="VMN22:VMP22"/>
    <mergeCell ref="VLG22:VLI22"/>
    <mergeCell ref="VLJ22:VLL22"/>
    <mergeCell ref="VLM22:VLO22"/>
    <mergeCell ref="VLP22:VLR22"/>
    <mergeCell ref="VLS22:VLU22"/>
    <mergeCell ref="VLV22:VLX22"/>
    <mergeCell ref="VKO22:VKQ22"/>
    <mergeCell ref="VKR22:VKT22"/>
    <mergeCell ref="VKU22:VKW22"/>
    <mergeCell ref="VKX22:VKZ22"/>
    <mergeCell ref="VLA22:VLC22"/>
    <mergeCell ref="VLD22:VLF22"/>
    <mergeCell ref="VJW22:VJY22"/>
    <mergeCell ref="VJZ22:VKB22"/>
    <mergeCell ref="VKC22:VKE22"/>
    <mergeCell ref="VKF22:VKH22"/>
    <mergeCell ref="VKI22:VKK22"/>
    <mergeCell ref="VKL22:VKN22"/>
    <mergeCell ref="VJE22:VJG22"/>
    <mergeCell ref="VJH22:VJJ22"/>
    <mergeCell ref="VJK22:VJM22"/>
    <mergeCell ref="VJN22:VJP22"/>
    <mergeCell ref="VJQ22:VJS22"/>
    <mergeCell ref="VJT22:VJV22"/>
    <mergeCell ref="VIM22:VIO22"/>
    <mergeCell ref="VIP22:VIR22"/>
    <mergeCell ref="VIS22:VIU22"/>
    <mergeCell ref="VIV22:VIX22"/>
    <mergeCell ref="VIY22:VJA22"/>
    <mergeCell ref="VJB22:VJD22"/>
    <mergeCell ref="VHU22:VHW22"/>
    <mergeCell ref="VHX22:VHZ22"/>
    <mergeCell ref="VIA22:VIC22"/>
    <mergeCell ref="VID22:VIF22"/>
    <mergeCell ref="VIG22:VII22"/>
    <mergeCell ref="VIJ22:VIL22"/>
    <mergeCell ref="VHC22:VHE22"/>
    <mergeCell ref="VHF22:VHH22"/>
    <mergeCell ref="VHI22:VHK22"/>
    <mergeCell ref="VHL22:VHN22"/>
    <mergeCell ref="VHO22:VHQ22"/>
    <mergeCell ref="VHR22:VHT22"/>
    <mergeCell ref="VGK22:VGM22"/>
    <mergeCell ref="VGN22:VGP22"/>
    <mergeCell ref="VGQ22:VGS22"/>
    <mergeCell ref="VGT22:VGV22"/>
    <mergeCell ref="VGW22:VGY22"/>
    <mergeCell ref="VGZ22:VHB22"/>
    <mergeCell ref="VFS22:VFU22"/>
    <mergeCell ref="VFV22:VFX22"/>
    <mergeCell ref="VFY22:VGA22"/>
    <mergeCell ref="VGB22:VGD22"/>
    <mergeCell ref="VGE22:VGG22"/>
    <mergeCell ref="VGH22:VGJ22"/>
    <mergeCell ref="VFA22:VFC22"/>
    <mergeCell ref="VFD22:VFF22"/>
    <mergeCell ref="VFG22:VFI22"/>
    <mergeCell ref="VFJ22:VFL22"/>
    <mergeCell ref="VFM22:VFO22"/>
    <mergeCell ref="VFP22:VFR22"/>
    <mergeCell ref="VEI22:VEK22"/>
    <mergeCell ref="VEL22:VEN22"/>
    <mergeCell ref="VEO22:VEQ22"/>
    <mergeCell ref="VER22:VET22"/>
    <mergeCell ref="VEU22:VEW22"/>
    <mergeCell ref="VEX22:VEZ22"/>
    <mergeCell ref="VDQ22:VDS22"/>
    <mergeCell ref="VDT22:VDV22"/>
    <mergeCell ref="VDW22:VDY22"/>
    <mergeCell ref="VDZ22:VEB22"/>
    <mergeCell ref="VEC22:VEE22"/>
    <mergeCell ref="VEF22:VEH22"/>
    <mergeCell ref="VCY22:VDA22"/>
    <mergeCell ref="VDB22:VDD22"/>
    <mergeCell ref="VDE22:VDG22"/>
    <mergeCell ref="VDH22:VDJ22"/>
    <mergeCell ref="VDK22:VDM22"/>
    <mergeCell ref="VDN22:VDP22"/>
    <mergeCell ref="VCG22:VCI22"/>
    <mergeCell ref="VCJ22:VCL22"/>
    <mergeCell ref="VCM22:VCO22"/>
    <mergeCell ref="VCP22:VCR22"/>
    <mergeCell ref="VCS22:VCU22"/>
    <mergeCell ref="VCV22:VCX22"/>
    <mergeCell ref="VBO22:VBQ22"/>
    <mergeCell ref="VBR22:VBT22"/>
    <mergeCell ref="VBU22:VBW22"/>
    <mergeCell ref="VBX22:VBZ22"/>
    <mergeCell ref="VCA22:VCC22"/>
    <mergeCell ref="VCD22:VCF22"/>
    <mergeCell ref="VAW22:VAY22"/>
    <mergeCell ref="VAZ22:VBB22"/>
    <mergeCell ref="VBC22:VBE22"/>
    <mergeCell ref="VBF22:VBH22"/>
    <mergeCell ref="VBI22:VBK22"/>
    <mergeCell ref="VBL22:VBN22"/>
    <mergeCell ref="VAE22:VAG22"/>
    <mergeCell ref="VAH22:VAJ22"/>
    <mergeCell ref="VAK22:VAM22"/>
    <mergeCell ref="VAN22:VAP22"/>
    <mergeCell ref="VAQ22:VAS22"/>
    <mergeCell ref="VAT22:VAV22"/>
    <mergeCell ref="UZM22:UZO22"/>
    <mergeCell ref="UZP22:UZR22"/>
    <mergeCell ref="UZS22:UZU22"/>
    <mergeCell ref="UZV22:UZX22"/>
    <mergeCell ref="UZY22:VAA22"/>
    <mergeCell ref="VAB22:VAD22"/>
    <mergeCell ref="UYU22:UYW22"/>
    <mergeCell ref="UYX22:UYZ22"/>
    <mergeCell ref="UZA22:UZC22"/>
    <mergeCell ref="UZD22:UZF22"/>
    <mergeCell ref="UZG22:UZI22"/>
    <mergeCell ref="UZJ22:UZL22"/>
    <mergeCell ref="UYC22:UYE22"/>
    <mergeCell ref="UYF22:UYH22"/>
    <mergeCell ref="UYI22:UYK22"/>
    <mergeCell ref="UYL22:UYN22"/>
    <mergeCell ref="UYO22:UYQ22"/>
    <mergeCell ref="UYR22:UYT22"/>
    <mergeCell ref="UXK22:UXM22"/>
    <mergeCell ref="UXN22:UXP22"/>
    <mergeCell ref="UXQ22:UXS22"/>
    <mergeCell ref="UXT22:UXV22"/>
    <mergeCell ref="UXW22:UXY22"/>
    <mergeCell ref="UXZ22:UYB22"/>
    <mergeCell ref="UWS22:UWU22"/>
    <mergeCell ref="UWV22:UWX22"/>
    <mergeCell ref="UWY22:UXA22"/>
    <mergeCell ref="UXB22:UXD22"/>
    <mergeCell ref="UXE22:UXG22"/>
    <mergeCell ref="UXH22:UXJ22"/>
    <mergeCell ref="UWA22:UWC22"/>
    <mergeCell ref="UWD22:UWF22"/>
    <mergeCell ref="UWG22:UWI22"/>
    <mergeCell ref="UWJ22:UWL22"/>
    <mergeCell ref="UWM22:UWO22"/>
    <mergeCell ref="UWP22:UWR22"/>
    <mergeCell ref="UVI22:UVK22"/>
    <mergeCell ref="UVL22:UVN22"/>
    <mergeCell ref="UVO22:UVQ22"/>
    <mergeCell ref="UVR22:UVT22"/>
    <mergeCell ref="UVU22:UVW22"/>
    <mergeCell ref="UVX22:UVZ22"/>
    <mergeCell ref="UUQ22:UUS22"/>
    <mergeCell ref="UUT22:UUV22"/>
    <mergeCell ref="UUW22:UUY22"/>
    <mergeCell ref="UUZ22:UVB22"/>
    <mergeCell ref="UVC22:UVE22"/>
    <mergeCell ref="UVF22:UVH22"/>
    <mergeCell ref="UTY22:UUA22"/>
    <mergeCell ref="UUB22:UUD22"/>
    <mergeCell ref="UUE22:UUG22"/>
    <mergeCell ref="UUH22:UUJ22"/>
    <mergeCell ref="UUK22:UUM22"/>
    <mergeCell ref="UUN22:UUP22"/>
    <mergeCell ref="UTG22:UTI22"/>
    <mergeCell ref="UTJ22:UTL22"/>
    <mergeCell ref="UTM22:UTO22"/>
    <mergeCell ref="UTP22:UTR22"/>
    <mergeCell ref="UTS22:UTU22"/>
    <mergeCell ref="UTV22:UTX22"/>
    <mergeCell ref="USO22:USQ22"/>
    <mergeCell ref="USR22:UST22"/>
    <mergeCell ref="USU22:USW22"/>
    <mergeCell ref="USX22:USZ22"/>
    <mergeCell ref="UTA22:UTC22"/>
    <mergeCell ref="UTD22:UTF22"/>
    <mergeCell ref="URW22:URY22"/>
    <mergeCell ref="URZ22:USB22"/>
    <mergeCell ref="USC22:USE22"/>
    <mergeCell ref="USF22:USH22"/>
    <mergeCell ref="USI22:USK22"/>
    <mergeCell ref="USL22:USN22"/>
    <mergeCell ref="URE22:URG22"/>
    <mergeCell ref="URH22:URJ22"/>
    <mergeCell ref="URK22:URM22"/>
    <mergeCell ref="URN22:URP22"/>
    <mergeCell ref="URQ22:URS22"/>
    <mergeCell ref="URT22:URV22"/>
    <mergeCell ref="UQM22:UQO22"/>
    <mergeCell ref="UQP22:UQR22"/>
    <mergeCell ref="UQS22:UQU22"/>
    <mergeCell ref="UQV22:UQX22"/>
    <mergeCell ref="UQY22:URA22"/>
    <mergeCell ref="URB22:URD22"/>
    <mergeCell ref="UPU22:UPW22"/>
    <mergeCell ref="UPX22:UPZ22"/>
    <mergeCell ref="UQA22:UQC22"/>
    <mergeCell ref="UQD22:UQF22"/>
    <mergeCell ref="UQG22:UQI22"/>
    <mergeCell ref="UQJ22:UQL22"/>
    <mergeCell ref="UPC22:UPE22"/>
    <mergeCell ref="UPF22:UPH22"/>
    <mergeCell ref="UPI22:UPK22"/>
    <mergeCell ref="UPL22:UPN22"/>
    <mergeCell ref="UPO22:UPQ22"/>
    <mergeCell ref="UPR22:UPT22"/>
    <mergeCell ref="UOK22:UOM22"/>
    <mergeCell ref="UON22:UOP22"/>
    <mergeCell ref="UOQ22:UOS22"/>
    <mergeCell ref="UOT22:UOV22"/>
    <mergeCell ref="UOW22:UOY22"/>
    <mergeCell ref="UOZ22:UPB22"/>
    <mergeCell ref="UNS22:UNU22"/>
    <mergeCell ref="UNV22:UNX22"/>
    <mergeCell ref="UNY22:UOA22"/>
    <mergeCell ref="UOB22:UOD22"/>
    <mergeCell ref="UOE22:UOG22"/>
    <mergeCell ref="UOH22:UOJ22"/>
    <mergeCell ref="UNA22:UNC22"/>
    <mergeCell ref="UND22:UNF22"/>
    <mergeCell ref="UNG22:UNI22"/>
    <mergeCell ref="UNJ22:UNL22"/>
    <mergeCell ref="UNM22:UNO22"/>
    <mergeCell ref="UNP22:UNR22"/>
    <mergeCell ref="UMI22:UMK22"/>
    <mergeCell ref="UML22:UMN22"/>
    <mergeCell ref="UMO22:UMQ22"/>
    <mergeCell ref="UMR22:UMT22"/>
    <mergeCell ref="UMU22:UMW22"/>
    <mergeCell ref="UMX22:UMZ22"/>
    <mergeCell ref="ULQ22:ULS22"/>
    <mergeCell ref="ULT22:ULV22"/>
    <mergeCell ref="ULW22:ULY22"/>
    <mergeCell ref="ULZ22:UMB22"/>
    <mergeCell ref="UMC22:UME22"/>
    <mergeCell ref="UMF22:UMH22"/>
    <mergeCell ref="UKY22:ULA22"/>
    <mergeCell ref="ULB22:ULD22"/>
    <mergeCell ref="ULE22:ULG22"/>
    <mergeCell ref="ULH22:ULJ22"/>
    <mergeCell ref="ULK22:ULM22"/>
    <mergeCell ref="ULN22:ULP22"/>
    <mergeCell ref="UKG22:UKI22"/>
    <mergeCell ref="UKJ22:UKL22"/>
    <mergeCell ref="UKM22:UKO22"/>
    <mergeCell ref="UKP22:UKR22"/>
    <mergeCell ref="UKS22:UKU22"/>
    <mergeCell ref="UKV22:UKX22"/>
    <mergeCell ref="UJO22:UJQ22"/>
    <mergeCell ref="UJR22:UJT22"/>
    <mergeCell ref="UJU22:UJW22"/>
    <mergeCell ref="UJX22:UJZ22"/>
    <mergeCell ref="UKA22:UKC22"/>
    <mergeCell ref="UKD22:UKF22"/>
    <mergeCell ref="UIW22:UIY22"/>
    <mergeCell ref="UIZ22:UJB22"/>
    <mergeCell ref="UJC22:UJE22"/>
    <mergeCell ref="UJF22:UJH22"/>
    <mergeCell ref="UJI22:UJK22"/>
    <mergeCell ref="UJL22:UJN22"/>
    <mergeCell ref="UIE22:UIG22"/>
    <mergeCell ref="UIH22:UIJ22"/>
    <mergeCell ref="UIK22:UIM22"/>
    <mergeCell ref="UIN22:UIP22"/>
    <mergeCell ref="UIQ22:UIS22"/>
    <mergeCell ref="UIT22:UIV22"/>
    <mergeCell ref="UHM22:UHO22"/>
    <mergeCell ref="UHP22:UHR22"/>
    <mergeCell ref="UHS22:UHU22"/>
    <mergeCell ref="UHV22:UHX22"/>
    <mergeCell ref="UHY22:UIA22"/>
    <mergeCell ref="UIB22:UID22"/>
    <mergeCell ref="UGU22:UGW22"/>
    <mergeCell ref="UGX22:UGZ22"/>
    <mergeCell ref="UHA22:UHC22"/>
    <mergeCell ref="UHD22:UHF22"/>
    <mergeCell ref="UHG22:UHI22"/>
    <mergeCell ref="UHJ22:UHL22"/>
    <mergeCell ref="UGC22:UGE22"/>
    <mergeCell ref="UGF22:UGH22"/>
    <mergeCell ref="UGI22:UGK22"/>
    <mergeCell ref="UGL22:UGN22"/>
    <mergeCell ref="UGO22:UGQ22"/>
    <mergeCell ref="UGR22:UGT22"/>
    <mergeCell ref="UFK22:UFM22"/>
    <mergeCell ref="UFN22:UFP22"/>
    <mergeCell ref="UFQ22:UFS22"/>
    <mergeCell ref="UFT22:UFV22"/>
    <mergeCell ref="UFW22:UFY22"/>
    <mergeCell ref="UFZ22:UGB22"/>
    <mergeCell ref="UES22:UEU22"/>
    <mergeCell ref="UEV22:UEX22"/>
    <mergeCell ref="UEY22:UFA22"/>
    <mergeCell ref="UFB22:UFD22"/>
    <mergeCell ref="UFE22:UFG22"/>
    <mergeCell ref="UFH22:UFJ22"/>
    <mergeCell ref="UEA22:UEC22"/>
    <mergeCell ref="UED22:UEF22"/>
    <mergeCell ref="UEG22:UEI22"/>
    <mergeCell ref="UEJ22:UEL22"/>
    <mergeCell ref="UEM22:UEO22"/>
    <mergeCell ref="UEP22:UER22"/>
    <mergeCell ref="UDI22:UDK22"/>
    <mergeCell ref="UDL22:UDN22"/>
    <mergeCell ref="UDO22:UDQ22"/>
    <mergeCell ref="UDR22:UDT22"/>
    <mergeCell ref="UDU22:UDW22"/>
    <mergeCell ref="UDX22:UDZ22"/>
    <mergeCell ref="UCQ22:UCS22"/>
    <mergeCell ref="UCT22:UCV22"/>
    <mergeCell ref="UCW22:UCY22"/>
    <mergeCell ref="UCZ22:UDB22"/>
    <mergeCell ref="UDC22:UDE22"/>
    <mergeCell ref="UDF22:UDH22"/>
    <mergeCell ref="UBY22:UCA22"/>
    <mergeCell ref="UCB22:UCD22"/>
    <mergeCell ref="UCE22:UCG22"/>
    <mergeCell ref="UCH22:UCJ22"/>
    <mergeCell ref="UCK22:UCM22"/>
    <mergeCell ref="UCN22:UCP22"/>
    <mergeCell ref="UBG22:UBI22"/>
    <mergeCell ref="UBJ22:UBL22"/>
    <mergeCell ref="UBM22:UBO22"/>
    <mergeCell ref="UBP22:UBR22"/>
    <mergeCell ref="UBS22:UBU22"/>
    <mergeCell ref="UBV22:UBX22"/>
    <mergeCell ref="UAO22:UAQ22"/>
    <mergeCell ref="UAR22:UAT22"/>
    <mergeCell ref="UAU22:UAW22"/>
    <mergeCell ref="UAX22:UAZ22"/>
    <mergeCell ref="UBA22:UBC22"/>
    <mergeCell ref="UBD22:UBF22"/>
    <mergeCell ref="TZW22:TZY22"/>
    <mergeCell ref="TZZ22:UAB22"/>
    <mergeCell ref="UAC22:UAE22"/>
    <mergeCell ref="UAF22:UAH22"/>
    <mergeCell ref="UAI22:UAK22"/>
    <mergeCell ref="UAL22:UAN22"/>
    <mergeCell ref="TZE22:TZG22"/>
    <mergeCell ref="TZH22:TZJ22"/>
    <mergeCell ref="TZK22:TZM22"/>
    <mergeCell ref="TZN22:TZP22"/>
    <mergeCell ref="TZQ22:TZS22"/>
    <mergeCell ref="TZT22:TZV22"/>
    <mergeCell ref="TYM22:TYO22"/>
    <mergeCell ref="TYP22:TYR22"/>
    <mergeCell ref="TYS22:TYU22"/>
    <mergeCell ref="TYV22:TYX22"/>
    <mergeCell ref="TYY22:TZA22"/>
    <mergeCell ref="TZB22:TZD22"/>
    <mergeCell ref="TXU22:TXW22"/>
    <mergeCell ref="TXX22:TXZ22"/>
    <mergeCell ref="TYA22:TYC22"/>
    <mergeCell ref="TYD22:TYF22"/>
    <mergeCell ref="TYG22:TYI22"/>
    <mergeCell ref="TYJ22:TYL22"/>
    <mergeCell ref="TXC22:TXE22"/>
    <mergeCell ref="TXF22:TXH22"/>
    <mergeCell ref="TXI22:TXK22"/>
    <mergeCell ref="TXL22:TXN22"/>
    <mergeCell ref="TXO22:TXQ22"/>
    <mergeCell ref="TXR22:TXT22"/>
    <mergeCell ref="TWK22:TWM22"/>
    <mergeCell ref="TWN22:TWP22"/>
    <mergeCell ref="TWQ22:TWS22"/>
    <mergeCell ref="TWT22:TWV22"/>
    <mergeCell ref="TWW22:TWY22"/>
    <mergeCell ref="TWZ22:TXB22"/>
    <mergeCell ref="TVS22:TVU22"/>
    <mergeCell ref="TVV22:TVX22"/>
    <mergeCell ref="TVY22:TWA22"/>
    <mergeCell ref="TWB22:TWD22"/>
    <mergeCell ref="TWE22:TWG22"/>
    <mergeCell ref="TWH22:TWJ22"/>
    <mergeCell ref="TVA22:TVC22"/>
    <mergeCell ref="TVD22:TVF22"/>
    <mergeCell ref="TVG22:TVI22"/>
    <mergeCell ref="TVJ22:TVL22"/>
    <mergeCell ref="TVM22:TVO22"/>
    <mergeCell ref="TVP22:TVR22"/>
    <mergeCell ref="TUI22:TUK22"/>
    <mergeCell ref="TUL22:TUN22"/>
    <mergeCell ref="TUO22:TUQ22"/>
    <mergeCell ref="TUR22:TUT22"/>
    <mergeCell ref="TUU22:TUW22"/>
    <mergeCell ref="TUX22:TUZ22"/>
    <mergeCell ref="TTQ22:TTS22"/>
    <mergeCell ref="TTT22:TTV22"/>
    <mergeCell ref="TTW22:TTY22"/>
    <mergeCell ref="TTZ22:TUB22"/>
    <mergeCell ref="TUC22:TUE22"/>
    <mergeCell ref="TUF22:TUH22"/>
    <mergeCell ref="TSY22:TTA22"/>
    <mergeCell ref="TTB22:TTD22"/>
    <mergeCell ref="TTE22:TTG22"/>
    <mergeCell ref="TTH22:TTJ22"/>
    <mergeCell ref="TTK22:TTM22"/>
    <mergeCell ref="TTN22:TTP22"/>
    <mergeCell ref="TSG22:TSI22"/>
    <mergeCell ref="TSJ22:TSL22"/>
    <mergeCell ref="TSM22:TSO22"/>
    <mergeCell ref="TSP22:TSR22"/>
    <mergeCell ref="TSS22:TSU22"/>
    <mergeCell ref="TSV22:TSX22"/>
    <mergeCell ref="TRO22:TRQ22"/>
    <mergeCell ref="TRR22:TRT22"/>
    <mergeCell ref="TRU22:TRW22"/>
    <mergeCell ref="TRX22:TRZ22"/>
    <mergeCell ref="TSA22:TSC22"/>
    <mergeCell ref="TSD22:TSF22"/>
    <mergeCell ref="TQW22:TQY22"/>
    <mergeCell ref="TQZ22:TRB22"/>
    <mergeCell ref="TRC22:TRE22"/>
    <mergeCell ref="TRF22:TRH22"/>
    <mergeCell ref="TRI22:TRK22"/>
    <mergeCell ref="TRL22:TRN22"/>
    <mergeCell ref="TQE22:TQG22"/>
    <mergeCell ref="TQH22:TQJ22"/>
    <mergeCell ref="TQK22:TQM22"/>
    <mergeCell ref="TQN22:TQP22"/>
    <mergeCell ref="TQQ22:TQS22"/>
    <mergeCell ref="TQT22:TQV22"/>
    <mergeCell ref="TPM22:TPO22"/>
    <mergeCell ref="TPP22:TPR22"/>
    <mergeCell ref="TPS22:TPU22"/>
    <mergeCell ref="TPV22:TPX22"/>
    <mergeCell ref="TPY22:TQA22"/>
    <mergeCell ref="TQB22:TQD22"/>
    <mergeCell ref="TOU22:TOW22"/>
    <mergeCell ref="TOX22:TOZ22"/>
    <mergeCell ref="TPA22:TPC22"/>
    <mergeCell ref="TPD22:TPF22"/>
    <mergeCell ref="TPG22:TPI22"/>
    <mergeCell ref="TPJ22:TPL22"/>
    <mergeCell ref="TOC22:TOE22"/>
    <mergeCell ref="TOF22:TOH22"/>
    <mergeCell ref="TOI22:TOK22"/>
    <mergeCell ref="TOL22:TON22"/>
    <mergeCell ref="TOO22:TOQ22"/>
    <mergeCell ref="TOR22:TOT22"/>
    <mergeCell ref="TNK22:TNM22"/>
    <mergeCell ref="TNN22:TNP22"/>
    <mergeCell ref="TNQ22:TNS22"/>
    <mergeCell ref="TNT22:TNV22"/>
    <mergeCell ref="TNW22:TNY22"/>
    <mergeCell ref="TNZ22:TOB22"/>
    <mergeCell ref="TMS22:TMU22"/>
    <mergeCell ref="TMV22:TMX22"/>
    <mergeCell ref="TMY22:TNA22"/>
    <mergeCell ref="TNB22:TND22"/>
    <mergeCell ref="TNE22:TNG22"/>
    <mergeCell ref="TNH22:TNJ22"/>
    <mergeCell ref="TMA22:TMC22"/>
    <mergeCell ref="TMD22:TMF22"/>
    <mergeCell ref="TMG22:TMI22"/>
    <mergeCell ref="TMJ22:TML22"/>
    <mergeCell ref="TMM22:TMO22"/>
    <mergeCell ref="TMP22:TMR22"/>
    <mergeCell ref="TLI22:TLK22"/>
    <mergeCell ref="TLL22:TLN22"/>
    <mergeCell ref="TLO22:TLQ22"/>
    <mergeCell ref="TLR22:TLT22"/>
    <mergeCell ref="TLU22:TLW22"/>
    <mergeCell ref="TLX22:TLZ22"/>
    <mergeCell ref="TKQ22:TKS22"/>
    <mergeCell ref="TKT22:TKV22"/>
    <mergeCell ref="TKW22:TKY22"/>
    <mergeCell ref="TKZ22:TLB22"/>
    <mergeCell ref="TLC22:TLE22"/>
    <mergeCell ref="TLF22:TLH22"/>
    <mergeCell ref="TJY22:TKA22"/>
    <mergeCell ref="TKB22:TKD22"/>
    <mergeCell ref="TKE22:TKG22"/>
    <mergeCell ref="TKH22:TKJ22"/>
    <mergeCell ref="TKK22:TKM22"/>
    <mergeCell ref="TKN22:TKP22"/>
    <mergeCell ref="TJG22:TJI22"/>
    <mergeCell ref="TJJ22:TJL22"/>
    <mergeCell ref="TJM22:TJO22"/>
    <mergeCell ref="TJP22:TJR22"/>
    <mergeCell ref="TJS22:TJU22"/>
    <mergeCell ref="TJV22:TJX22"/>
    <mergeCell ref="TIO22:TIQ22"/>
    <mergeCell ref="TIR22:TIT22"/>
    <mergeCell ref="TIU22:TIW22"/>
    <mergeCell ref="TIX22:TIZ22"/>
    <mergeCell ref="TJA22:TJC22"/>
    <mergeCell ref="TJD22:TJF22"/>
    <mergeCell ref="THW22:THY22"/>
    <mergeCell ref="THZ22:TIB22"/>
    <mergeCell ref="TIC22:TIE22"/>
    <mergeCell ref="TIF22:TIH22"/>
    <mergeCell ref="TII22:TIK22"/>
    <mergeCell ref="TIL22:TIN22"/>
    <mergeCell ref="THE22:THG22"/>
    <mergeCell ref="THH22:THJ22"/>
    <mergeCell ref="THK22:THM22"/>
    <mergeCell ref="THN22:THP22"/>
    <mergeCell ref="THQ22:THS22"/>
    <mergeCell ref="THT22:THV22"/>
    <mergeCell ref="TGM22:TGO22"/>
    <mergeCell ref="TGP22:TGR22"/>
    <mergeCell ref="TGS22:TGU22"/>
    <mergeCell ref="TGV22:TGX22"/>
    <mergeCell ref="TGY22:THA22"/>
    <mergeCell ref="THB22:THD22"/>
    <mergeCell ref="TFU22:TFW22"/>
    <mergeCell ref="TFX22:TFZ22"/>
    <mergeCell ref="TGA22:TGC22"/>
    <mergeCell ref="TGD22:TGF22"/>
    <mergeCell ref="TGG22:TGI22"/>
    <mergeCell ref="TGJ22:TGL22"/>
    <mergeCell ref="TFC22:TFE22"/>
    <mergeCell ref="TFF22:TFH22"/>
    <mergeCell ref="TFI22:TFK22"/>
    <mergeCell ref="TFL22:TFN22"/>
    <mergeCell ref="TFO22:TFQ22"/>
    <mergeCell ref="TFR22:TFT22"/>
    <mergeCell ref="TEK22:TEM22"/>
    <mergeCell ref="TEN22:TEP22"/>
    <mergeCell ref="TEQ22:TES22"/>
    <mergeCell ref="TET22:TEV22"/>
    <mergeCell ref="TEW22:TEY22"/>
    <mergeCell ref="TEZ22:TFB22"/>
    <mergeCell ref="TDS22:TDU22"/>
    <mergeCell ref="TDV22:TDX22"/>
    <mergeCell ref="TDY22:TEA22"/>
    <mergeCell ref="TEB22:TED22"/>
    <mergeCell ref="TEE22:TEG22"/>
    <mergeCell ref="TEH22:TEJ22"/>
    <mergeCell ref="TDA22:TDC22"/>
    <mergeCell ref="TDD22:TDF22"/>
    <mergeCell ref="TDG22:TDI22"/>
    <mergeCell ref="TDJ22:TDL22"/>
    <mergeCell ref="TDM22:TDO22"/>
    <mergeCell ref="TDP22:TDR22"/>
    <mergeCell ref="TCI22:TCK22"/>
    <mergeCell ref="TCL22:TCN22"/>
    <mergeCell ref="TCO22:TCQ22"/>
    <mergeCell ref="TCR22:TCT22"/>
    <mergeCell ref="TCU22:TCW22"/>
    <mergeCell ref="TCX22:TCZ22"/>
    <mergeCell ref="TBQ22:TBS22"/>
    <mergeCell ref="TBT22:TBV22"/>
    <mergeCell ref="TBW22:TBY22"/>
    <mergeCell ref="TBZ22:TCB22"/>
    <mergeCell ref="TCC22:TCE22"/>
    <mergeCell ref="TCF22:TCH22"/>
    <mergeCell ref="TAY22:TBA22"/>
    <mergeCell ref="TBB22:TBD22"/>
    <mergeCell ref="TBE22:TBG22"/>
    <mergeCell ref="TBH22:TBJ22"/>
    <mergeCell ref="TBK22:TBM22"/>
    <mergeCell ref="TBN22:TBP22"/>
    <mergeCell ref="TAG22:TAI22"/>
    <mergeCell ref="TAJ22:TAL22"/>
    <mergeCell ref="TAM22:TAO22"/>
    <mergeCell ref="TAP22:TAR22"/>
    <mergeCell ref="TAS22:TAU22"/>
    <mergeCell ref="TAV22:TAX22"/>
    <mergeCell ref="SZO22:SZQ22"/>
    <mergeCell ref="SZR22:SZT22"/>
    <mergeCell ref="SZU22:SZW22"/>
    <mergeCell ref="SZX22:SZZ22"/>
    <mergeCell ref="TAA22:TAC22"/>
    <mergeCell ref="TAD22:TAF22"/>
    <mergeCell ref="SYW22:SYY22"/>
    <mergeCell ref="SYZ22:SZB22"/>
    <mergeCell ref="SZC22:SZE22"/>
    <mergeCell ref="SZF22:SZH22"/>
    <mergeCell ref="SZI22:SZK22"/>
    <mergeCell ref="SZL22:SZN22"/>
    <mergeCell ref="SYE22:SYG22"/>
    <mergeCell ref="SYH22:SYJ22"/>
    <mergeCell ref="SYK22:SYM22"/>
    <mergeCell ref="SYN22:SYP22"/>
    <mergeCell ref="SYQ22:SYS22"/>
    <mergeCell ref="SYT22:SYV22"/>
    <mergeCell ref="SXM22:SXO22"/>
    <mergeCell ref="SXP22:SXR22"/>
    <mergeCell ref="SXS22:SXU22"/>
    <mergeCell ref="SXV22:SXX22"/>
    <mergeCell ref="SXY22:SYA22"/>
    <mergeCell ref="SYB22:SYD22"/>
    <mergeCell ref="SWU22:SWW22"/>
    <mergeCell ref="SWX22:SWZ22"/>
    <mergeCell ref="SXA22:SXC22"/>
    <mergeCell ref="SXD22:SXF22"/>
    <mergeCell ref="SXG22:SXI22"/>
    <mergeCell ref="SXJ22:SXL22"/>
    <mergeCell ref="SWC22:SWE22"/>
    <mergeCell ref="SWF22:SWH22"/>
    <mergeCell ref="SWI22:SWK22"/>
    <mergeCell ref="SWL22:SWN22"/>
    <mergeCell ref="SWO22:SWQ22"/>
    <mergeCell ref="SWR22:SWT22"/>
    <mergeCell ref="SVK22:SVM22"/>
    <mergeCell ref="SVN22:SVP22"/>
    <mergeCell ref="SVQ22:SVS22"/>
    <mergeCell ref="SVT22:SVV22"/>
    <mergeCell ref="SVW22:SVY22"/>
    <mergeCell ref="SVZ22:SWB22"/>
    <mergeCell ref="SUS22:SUU22"/>
    <mergeCell ref="SUV22:SUX22"/>
    <mergeCell ref="SUY22:SVA22"/>
    <mergeCell ref="SVB22:SVD22"/>
    <mergeCell ref="SVE22:SVG22"/>
    <mergeCell ref="SVH22:SVJ22"/>
    <mergeCell ref="SUA22:SUC22"/>
    <mergeCell ref="SUD22:SUF22"/>
    <mergeCell ref="SUG22:SUI22"/>
    <mergeCell ref="SUJ22:SUL22"/>
    <mergeCell ref="SUM22:SUO22"/>
    <mergeCell ref="SUP22:SUR22"/>
    <mergeCell ref="STI22:STK22"/>
    <mergeCell ref="STL22:STN22"/>
    <mergeCell ref="STO22:STQ22"/>
    <mergeCell ref="STR22:STT22"/>
    <mergeCell ref="STU22:STW22"/>
    <mergeCell ref="STX22:STZ22"/>
    <mergeCell ref="SSQ22:SSS22"/>
    <mergeCell ref="SST22:SSV22"/>
    <mergeCell ref="SSW22:SSY22"/>
    <mergeCell ref="SSZ22:STB22"/>
    <mergeCell ref="STC22:STE22"/>
    <mergeCell ref="STF22:STH22"/>
    <mergeCell ref="SRY22:SSA22"/>
    <mergeCell ref="SSB22:SSD22"/>
    <mergeCell ref="SSE22:SSG22"/>
    <mergeCell ref="SSH22:SSJ22"/>
    <mergeCell ref="SSK22:SSM22"/>
    <mergeCell ref="SSN22:SSP22"/>
    <mergeCell ref="SRG22:SRI22"/>
    <mergeCell ref="SRJ22:SRL22"/>
    <mergeCell ref="SRM22:SRO22"/>
    <mergeCell ref="SRP22:SRR22"/>
    <mergeCell ref="SRS22:SRU22"/>
    <mergeCell ref="SRV22:SRX22"/>
    <mergeCell ref="SQO22:SQQ22"/>
    <mergeCell ref="SQR22:SQT22"/>
    <mergeCell ref="SQU22:SQW22"/>
    <mergeCell ref="SQX22:SQZ22"/>
    <mergeCell ref="SRA22:SRC22"/>
    <mergeCell ref="SRD22:SRF22"/>
    <mergeCell ref="SPW22:SPY22"/>
    <mergeCell ref="SPZ22:SQB22"/>
    <mergeCell ref="SQC22:SQE22"/>
    <mergeCell ref="SQF22:SQH22"/>
    <mergeCell ref="SQI22:SQK22"/>
    <mergeCell ref="SQL22:SQN22"/>
    <mergeCell ref="SPE22:SPG22"/>
    <mergeCell ref="SPH22:SPJ22"/>
    <mergeCell ref="SPK22:SPM22"/>
    <mergeCell ref="SPN22:SPP22"/>
    <mergeCell ref="SPQ22:SPS22"/>
    <mergeCell ref="SPT22:SPV22"/>
    <mergeCell ref="SOM22:SOO22"/>
    <mergeCell ref="SOP22:SOR22"/>
    <mergeCell ref="SOS22:SOU22"/>
    <mergeCell ref="SOV22:SOX22"/>
    <mergeCell ref="SOY22:SPA22"/>
    <mergeCell ref="SPB22:SPD22"/>
    <mergeCell ref="SNU22:SNW22"/>
    <mergeCell ref="SNX22:SNZ22"/>
    <mergeCell ref="SOA22:SOC22"/>
    <mergeCell ref="SOD22:SOF22"/>
    <mergeCell ref="SOG22:SOI22"/>
    <mergeCell ref="SOJ22:SOL22"/>
    <mergeCell ref="SNC22:SNE22"/>
    <mergeCell ref="SNF22:SNH22"/>
    <mergeCell ref="SNI22:SNK22"/>
    <mergeCell ref="SNL22:SNN22"/>
    <mergeCell ref="SNO22:SNQ22"/>
    <mergeCell ref="SNR22:SNT22"/>
    <mergeCell ref="SMK22:SMM22"/>
    <mergeCell ref="SMN22:SMP22"/>
    <mergeCell ref="SMQ22:SMS22"/>
    <mergeCell ref="SMT22:SMV22"/>
    <mergeCell ref="SMW22:SMY22"/>
    <mergeCell ref="SMZ22:SNB22"/>
    <mergeCell ref="SLS22:SLU22"/>
    <mergeCell ref="SLV22:SLX22"/>
    <mergeCell ref="SLY22:SMA22"/>
    <mergeCell ref="SMB22:SMD22"/>
    <mergeCell ref="SME22:SMG22"/>
    <mergeCell ref="SMH22:SMJ22"/>
    <mergeCell ref="SLA22:SLC22"/>
    <mergeCell ref="SLD22:SLF22"/>
    <mergeCell ref="SLG22:SLI22"/>
    <mergeCell ref="SLJ22:SLL22"/>
    <mergeCell ref="SLM22:SLO22"/>
    <mergeCell ref="SLP22:SLR22"/>
    <mergeCell ref="SKI22:SKK22"/>
    <mergeCell ref="SKL22:SKN22"/>
    <mergeCell ref="SKO22:SKQ22"/>
    <mergeCell ref="SKR22:SKT22"/>
    <mergeCell ref="SKU22:SKW22"/>
    <mergeCell ref="SKX22:SKZ22"/>
    <mergeCell ref="SJQ22:SJS22"/>
    <mergeCell ref="SJT22:SJV22"/>
    <mergeCell ref="SJW22:SJY22"/>
    <mergeCell ref="SJZ22:SKB22"/>
    <mergeCell ref="SKC22:SKE22"/>
    <mergeCell ref="SKF22:SKH22"/>
    <mergeCell ref="SIY22:SJA22"/>
    <mergeCell ref="SJB22:SJD22"/>
    <mergeCell ref="SJE22:SJG22"/>
    <mergeCell ref="SJH22:SJJ22"/>
    <mergeCell ref="SJK22:SJM22"/>
    <mergeCell ref="SJN22:SJP22"/>
    <mergeCell ref="SIG22:SII22"/>
    <mergeCell ref="SIJ22:SIL22"/>
    <mergeCell ref="SIM22:SIO22"/>
    <mergeCell ref="SIP22:SIR22"/>
    <mergeCell ref="SIS22:SIU22"/>
    <mergeCell ref="SIV22:SIX22"/>
    <mergeCell ref="SHO22:SHQ22"/>
    <mergeCell ref="SHR22:SHT22"/>
    <mergeCell ref="SHU22:SHW22"/>
    <mergeCell ref="SHX22:SHZ22"/>
    <mergeCell ref="SIA22:SIC22"/>
    <mergeCell ref="SID22:SIF22"/>
    <mergeCell ref="SGW22:SGY22"/>
    <mergeCell ref="SGZ22:SHB22"/>
    <mergeCell ref="SHC22:SHE22"/>
    <mergeCell ref="SHF22:SHH22"/>
    <mergeCell ref="SHI22:SHK22"/>
    <mergeCell ref="SHL22:SHN22"/>
    <mergeCell ref="SGE22:SGG22"/>
    <mergeCell ref="SGH22:SGJ22"/>
    <mergeCell ref="SGK22:SGM22"/>
    <mergeCell ref="SGN22:SGP22"/>
    <mergeCell ref="SGQ22:SGS22"/>
    <mergeCell ref="SGT22:SGV22"/>
    <mergeCell ref="SFM22:SFO22"/>
    <mergeCell ref="SFP22:SFR22"/>
    <mergeCell ref="SFS22:SFU22"/>
    <mergeCell ref="SFV22:SFX22"/>
    <mergeCell ref="SFY22:SGA22"/>
    <mergeCell ref="SGB22:SGD22"/>
    <mergeCell ref="SEU22:SEW22"/>
    <mergeCell ref="SEX22:SEZ22"/>
    <mergeCell ref="SFA22:SFC22"/>
    <mergeCell ref="SFD22:SFF22"/>
    <mergeCell ref="SFG22:SFI22"/>
    <mergeCell ref="SFJ22:SFL22"/>
    <mergeCell ref="SEC22:SEE22"/>
    <mergeCell ref="SEF22:SEH22"/>
    <mergeCell ref="SEI22:SEK22"/>
    <mergeCell ref="SEL22:SEN22"/>
    <mergeCell ref="SEO22:SEQ22"/>
    <mergeCell ref="SER22:SET22"/>
    <mergeCell ref="SDK22:SDM22"/>
    <mergeCell ref="SDN22:SDP22"/>
    <mergeCell ref="SDQ22:SDS22"/>
    <mergeCell ref="SDT22:SDV22"/>
    <mergeCell ref="SDW22:SDY22"/>
    <mergeCell ref="SDZ22:SEB22"/>
    <mergeCell ref="SCS22:SCU22"/>
    <mergeCell ref="SCV22:SCX22"/>
    <mergeCell ref="SCY22:SDA22"/>
    <mergeCell ref="SDB22:SDD22"/>
    <mergeCell ref="SDE22:SDG22"/>
    <mergeCell ref="SDH22:SDJ22"/>
    <mergeCell ref="SCA22:SCC22"/>
    <mergeCell ref="SCD22:SCF22"/>
    <mergeCell ref="SCG22:SCI22"/>
    <mergeCell ref="SCJ22:SCL22"/>
    <mergeCell ref="SCM22:SCO22"/>
    <mergeCell ref="SCP22:SCR22"/>
    <mergeCell ref="SBI22:SBK22"/>
    <mergeCell ref="SBL22:SBN22"/>
    <mergeCell ref="SBO22:SBQ22"/>
    <mergeCell ref="SBR22:SBT22"/>
    <mergeCell ref="SBU22:SBW22"/>
    <mergeCell ref="SBX22:SBZ22"/>
    <mergeCell ref="SAQ22:SAS22"/>
    <mergeCell ref="SAT22:SAV22"/>
    <mergeCell ref="SAW22:SAY22"/>
    <mergeCell ref="SAZ22:SBB22"/>
    <mergeCell ref="SBC22:SBE22"/>
    <mergeCell ref="SBF22:SBH22"/>
    <mergeCell ref="RZY22:SAA22"/>
    <mergeCell ref="SAB22:SAD22"/>
    <mergeCell ref="SAE22:SAG22"/>
    <mergeCell ref="SAH22:SAJ22"/>
    <mergeCell ref="SAK22:SAM22"/>
    <mergeCell ref="SAN22:SAP22"/>
    <mergeCell ref="RZG22:RZI22"/>
    <mergeCell ref="RZJ22:RZL22"/>
    <mergeCell ref="RZM22:RZO22"/>
    <mergeCell ref="RZP22:RZR22"/>
    <mergeCell ref="RZS22:RZU22"/>
    <mergeCell ref="RZV22:RZX22"/>
    <mergeCell ref="RYO22:RYQ22"/>
    <mergeCell ref="RYR22:RYT22"/>
    <mergeCell ref="RYU22:RYW22"/>
    <mergeCell ref="RYX22:RYZ22"/>
    <mergeCell ref="RZA22:RZC22"/>
    <mergeCell ref="RZD22:RZF22"/>
    <mergeCell ref="RXW22:RXY22"/>
    <mergeCell ref="RXZ22:RYB22"/>
    <mergeCell ref="RYC22:RYE22"/>
    <mergeCell ref="RYF22:RYH22"/>
    <mergeCell ref="RYI22:RYK22"/>
    <mergeCell ref="RYL22:RYN22"/>
    <mergeCell ref="RXE22:RXG22"/>
    <mergeCell ref="RXH22:RXJ22"/>
    <mergeCell ref="RXK22:RXM22"/>
    <mergeCell ref="RXN22:RXP22"/>
    <mergeCell ref="RXQ22:RXS22"/>
    <mergeCell ref="RXT22:RXV22"/>
    <mergeCell ref="RWM22:RWO22"/>
    <mergeCell ref="RWP22:RWR22"/>
    <mergeCell ref="RWS22:RWU22"/>
    <mergeCell ref="RWV22:RWX22"/>
    <mergeCell ref="RWY22:RXA22"/>
    <mergeCell ref="RXB22:RXD22"/>
    <mergeCell ref="RVU22:RVW22"/>
    <mergeCell ref="RVX22:RVZ22"/>
    <mergeCell ref="RWA22:RWC22"/>
    <mergeCell ref="RWD22:RWF22"/>
    <mergeCell ref="RWG22:RWI22"/>
    <mergeCell ref="RWJ22:RWL22"/>
    <mergeCell ref="RVC22:RVE22"/>
    <mergeCell ref="RVF22:RVH22"/>
    <mergeCell ref="RVI22:RVK22"/>
    <mergeCell ref="RVL22:RVN22"/>
    <mergeCell ref="RVO22:RVQ22"/>
    <mergeCell ref="RVR22:RVT22"/>
    <mergeCell ref="RUK22:RUM22"/>
    <mergeCell ref="RUN22:RUP22"/>
    <mergeCell ref="RUQ22:RUS22"/>
    <mergeCell ref="RUT22:RUV22"/>
    <mergeCell ref="RUW22:RUY22"/>
    <mergeCell ref="RUZ22:RVB22"/>
    <mergeCell ref="RTS22:RTU22"/>
    <mergeCell ref="RTV22:RTX22"/>
    <mergeCell ref="RTY22:RUA22"/>
    <mergeCell ref="RUB22:RUD22"/>
    <mergeCell ref="RUE22:RUG22"/>
    <mergeCell ref="RUH22:RUJ22"/>
    <mergeCell ref="RTA22:RTC22"/>
    <mergeCell ref="RTD22:RTF22"/>
    <mergeCell ref="RTG22:RTI22"/>
    <mergeCell ref="RTJ22:RTL22"/>
    <mergeCell ref="RTM22:RTO22"/>
    <mergeCell ref="RTP22:RTR22"/>
    <mergeCell ref="RSI22:RSK22"/>
    <mergeCell ref="RSL22:RSN22"/>
    <mergeCell ref="RSO22:RSQ22"/>
    <mergeCell ref="RSR22:RST22"/>
    <mergeCell ref="RSU22:RSW22"/>
    <mergeCell ref="RSX22:RSZ22"/>
    <mergeCell ref="RRQ22:RRS22"/>
    <mergeCell ref="RRT22:RRV22"/>
    <mergeCell ref="RRW22:RRY22"/>
    <mergeCell ref="RRZ22:RSB22"/>
    <mergeCell ref="RSC22:RSE22"/>
    <mergeCell ref="RSF22:RSH22"/>
    <mergeCell ref="RQY22:RRA22"/>
    <mergeCell ref="RRB22:RRD22"/>
    <mergeCell ref="RRE22:RRG22"/>
    <mergeCell ref="RRH22:RRJ22"/>
    <mergeCell ref="RRK22:RRM22"/>
    <mergeCell ref="RRN22:RRP22"/>
    <mergeCell ref="RQG22:RQI22"/>
    <mergeCell ref="RQJ22:RQL22"/>
    <mergeCell ref="RQM22:RQO22"/>
    <mergeCell ref="RQP22:RQR22"/>
    <mergeCell ref="RQS22:RQU22"/>
    <mergeCell ref="RQV22:RQX22"/>
    <mergeCell ref="RPO22:RPQ22"/>
    <mergeCell ref="RPR22:RPT22"/>
    <mergeCell ref="RPU22:RPW22"/>
    <mergeCell ref="RPX22:RPZ22"/>
    <mergeCell ref="RQA22:RQC22"/>
    <mergeCell ref="RQD22:RQF22"/>
    <mergeCell ref="ROW22:ROY22"/>
    <mergeCell ref="ROZ22:RPB22"/>
    <mergeCell ref="RPC22:RPE22"/>
    <mergeCell ref="RPF22:RPH22"/>
    <mergeCell ref="RPI22:RPK22"/>
    <mergeCell ref="RPL22:RPN22"/>
    <mergeCell ref="ROE22:ROG22"/>
    <mergeCell ref="ROH22:ROJ22"/>
    <mergeCell ref="ROK22:ROM22"/>
    <mergeCell ref="RON22:ROP22"/>
    <mergeCell ref="ROQ22:ROS22"/>
    <mergeCell ref="ROT22:ROV22"/>
    <mergeCell ref="RNM22:RNO22"/>
    <mergeCell ref="RNP22:RNR22"/>
    <mergeCell ref="RNS22:RNU22"/>
    <mergeCell ref="RNV22:RNX22"/>
    <mergeCell ref="RNY22:ROA22"/>
    <mergeCell ref="ROB22:ROD22"/>
    <mergeCell ref="RMU22:RMW22"/>
    <mergeCell ref="RMX22:RMZ22"/>
    <mergeCell ref="RNA22:RNC22"/>
    <mergeCell ref="RND22:RNF22"/>
    <mergeCell ref="RNG22:RNI22"/>
    <mergeCell ref="RNJ22:RNL22"/>
    <mergeCell ref="RMC22:RME22"/>
    <mergeCell ref="RMF22:RMH22"/>
    <mergeCell ref="RMI22:RMK22"/>
    <mergeCell ref="RML22:RMN22"/>
    <mergeCell ref="RMO22:RMQ22"/>
    <mergeCell ref="RMR22:RMT22"/>
    <mergeCell ref="RLK22:RLM22"/>
    <mergeCell ref="RLN22:RLP22"/>
    <mergeCell ref="RLQ22:RLS22"/>
    <mergeCell ref="RLT22:RLV22"/>
    <mergeCell ref="RLW22:RLY22"/>
    <mergeCell ref="RLZ22:RMB22"/>
    <mergeCell ref="RKS22:RKU22"/>
    <mergeCell ref="RKV22:RKX22"/>
    <mergeCell ref="RKY22:RLA22"/>
    <mergeCell ref="RLB22:RLD22"/>
    <mergeCell ref="RLE22:RLG22"/>
    <mergeCell ref="RLH22:RLJ22"/>
    <mergeCell ref="RKA22:RKC22"/>
    <mergeCell ref="RKD22:RKF22"/>
    <mergeCell ref="RKG22:RKI22"/>
    <mergeCell ref="RKJ22:RKL22"/>
    <mergeCell ref="RKM22:RKO22"/>
    <mergeCell ref="RKP22:RKR22"/>
    <mergeCell ref="RJI22:RJK22"/>
    <mergeCell ref="RJL22:RJN22"/>
    <mergeCell ref="RJO22:RJQ22"/>
    <mergeCell ref="RJR22:RJT22"/>
    <mergeCell ref="RJU22:RJW22"/>
    <mergeCell ref="RJX22:RJZ22"/>
    <mergeCell ref="RIQ22:RIS22"/>
    <mergeCell ref="RIT22:RIV22"/>
    <mergeCell ref="RIW22:RIY22"/>
    <mergeCell ref="RIZ22:RJB22"/>
    <mergeCell ref="RJC22:RJE22"/>
    <mergeCell ref="RJF22:RJH22"/>
    <mergeCell ref="RHY22:RIA22"/>
    <mergeCell ref="RIB22:RID22"/>
    <mergeCell ref="RIE22:RIG22"/>
    <mergeCell ref="RIH22:RIJ22"/>
    <mergeCell ref="RIK22:RIM22"/>
    <mergeCell ref="RIN22:RIP22"/>
    <mergeCell ref="RHG22:RHI22"/>
    <mergeCell ref="RHJ22:RHL22"/>
    <mergeCell ref="RHM22:RHO22"/>
    <mergeCell ref="RHP22:RHR22"/>
    <mergeCell ref="RHS22:RHU22"/>
    <mergeCell ref="RHV22:RHX22"/>
    <mergeCell ref="RGO22:RGQ22"/>
    <mergeCell ref="RGR22:RGT22"/>
    <mergeCell ref="RGU22:RGW22"/>
    <mergeCell ref="RGX22:RGZ22"/>
    <mergeCell ref="RHA22:RHC22"/>
    <mergeCell ref="RHD22:RHF22"/>
    <mergeCell ref="RFW22:RFY22"/>
    <mergeCell ref="RFZ22:RGB22"/>
    <mergeCell ref="RGC22:RGE22"/>
    <mergeCell ref="RGF22:RGH22"/>
    <mergeCell ref="RGI22:RGK22"/>
    <mergeCell ref="RGL22:RGN22"/>
    <mergeCell ref="RFE22:RFG22"/>
    <mergeCell ref="RFH22:RFJ22"/>
    <mergeCell ref="RFK22:RFM22"/>
    <mergeCell ref="RFN22:RFP22"/>
    <mergeCell ref="RFQ22:RFS22"/>
    <mergeCell ref="RFT22:RFV22"/>
    <mergeCell ref="REM22:REO22"/>
    <mergeCell ref="REP22:RER22"/>
    <mergeCell ref="RES22:REU22"/>
    <mergeCell ref="REV22:REX22"/>
    <mergeCell ref="REY22:RFA22"/>
    <mergeCell ref="RFB22:RFD22"/>
    <mergeCell ref="RDU22:RDW22"/>
    <mergeCell ref="RDX22:RDZ22"/>
    <mergeCell ref="REA22:REC22"/>
    <mergeCell ref="RED22:REF22"/>
    <mergeCell ref="REG22:REI22"/>
    <mergeCell ref="REJ22:REL22"/>
    <mergeCell ref="RDC22:RDE22"/>
    <mergeCell ref="RDF22:RDH22"/>
    <mergeCell ref="RDI22:RDK22"/>
    <mergeCell ref="RDL22:RDN22"/>
    <mergeCell ref="RDO22:RDQ22"/>
    <mergeCell ref="RDR22:RDT22"/>
    <mergeCell ref="RCK22:RCM22"/>
    <mergeCell ref="RCN22:RCP22"/>
    <mergeCell ref="RCQ22:RCS22"/>
    <mergeCell ref="RCT22:RCV22"/>
    <mergeCell ref="RCW22:RCY22"/>
    <mergeCell ref="RCZ22:RDB22"/>
    <mergeCell ref="RBS22:RBU22"/>
    <mergeCell ref="RBV22:RBX22"/>
    <mergeCell ref="RBY22:RCA22"/>
    <mergeCell ref="RCB22:RCD22"/>
    <mergeCell ref="RCE22:RCG22"/>
    <mergeCell ref="RCH22:RCJ22"/>
    <mergeCell ref="RBA22:RBC22"/>
    <mergeCell ref="RBD22:RBF22"/>
    <mergeCell ref="RBG22:RBI22"/>
    <mergeCell ref="RBJ22:RBL22"/>
    <mergeCell ref="RBM22:RBO22"/>
    <mergeCell ref="RBP22:RBR22"/>
    <mergeCell ref="RAI22:RAK22"/>
    <mergeCell ref="RAL22:RAN22"/>
    <mergeCell ref="RAO22:RAQ22"/>
    <mergeCell ref="RAR22:RAT22"/>
    <mergeCell ref="RAU22:RAW22"/>
    <mergeCell ref="RAX22:RAZ22"/>
    <mergeCell ref="QZQ22:QZS22"/>
    <mergeCell ref="QZT22:QZV22"/>
    <mergeCell ref="QZW22:QZY22"/>
    <mergeCell ref="QZZ22:RAB22"/>
    <mergeCell ref="RAC22:RAE22"/>
    <mergeCell ref="RAF22:RAH22"/>
    <mergeCell ref="QYY22:QZA22"/>
    <mergeCell ref="QZB22:QZD22"/>
    <mergeCell ref="QZE22:QZG22"/>
    <mergeCell ref="QZH22:QZJ22"/>
    <mergeCell ref="QZK22:QZM22"/>
    <mergeCell ref="QZN22:QZP22"/>
    <mergeCell ref="QYG22:QYI22"/>
    <mergeCell ref="QYJ22:QYL22"/>
    <mergeCell ref="QYM22:QYO22"/>
    <mergeCell ref="QYP22:QYR22"/>
    <mergeCell ref="QYS22:QYU22"/>
    <mergeCell ref="QYV22:QYX22"/>
    <mergeCell ref="QXO22:QXQ22"/>
    <mergeCell ref="QXR22:QXT22"/>
    <mergeCell ref="QXU22:QXW22"/>
    <mergeCell ref="QXX22:QXZ22"/>
    <mergeCell ref="QYA22:QYC22"/>
    <mergeCell ref="QYD22:QYF22"/>
    <mergeCell ref="QWW22:QWY22"/>
    <mergeCell ref="QWZ22:QXB22"/>
    <mergeCell ref="QXC22:QXE22"/>
    <mergeCell ref="QXF22:QXH22"/>
    <mergeCell ref="QXI22:QXK22"/>
    <mergeCell ref="QXL22:QXN22"/>
    <mergeCell ref="QWE22:QWG22"/>
    <mergeCell ref="QWH22:QWJ22"/>
    <mergeCell ref="QWK22:QWM22"/>
    <mergeCell ref="QWN22:QWP22"/>
    <mergeCell ref="QWQ22:QWS22"/>
    <mergeCell ref="QWT22:QWV22"/>
    <mergeCell ref="QVM22:QVO22"/>
    <mergeCell ref="QVP22:QVR22"/>
    <mergeCell ref="QVS22:QVU22"/>
    <mergeCell ref="QVV22:QVX22"/>
    <mergeCell ref="QVY22:QWA22"/>
    <mergeCell ref="QWB22:QWD22"/>
    <mergeCell ref="QUU22:QUW22"/>
    <mergeCell ref="QUX22:QUZ22"/>
    <mergeCell ref="QVA22:QVC22"/>
    <mergeCell ref="QVD22:QVF22"/>
    <mergeCell ref="QVG22:QVI22"/>
    <mergeCell ref="QVJ22:QVL22"/>
    <mergeCell ref="QUC22:QUE22"/>
    <mergeCell ref="QUF22:QUH22"/>
    <mergeCell ref="QUI22:QUK22"/>
    <mergeCell ref="QUL22:QUN22"/>
    <mergeCell ref="QUO22:QUQ22"/>
    <mergeCell ref="QUR22:QUT22"/>
    <mergeCell ref="QTK22:QTM22"/>
    <mergeCell ref="QTN22:QTP22"/>
    <mergeCell ref="QTQ22:QTS22"/>
    <mergeCell ref="QTT22:QTV22"/>
    <mergeCell ref="QTW22:QTY22"/>
    <mergeCell ref="QTZ22:QUB22"/>
    <mergeCell ref="QSS22:QSU22"/>
    <mergeCell ref="QSV22:QSX22"/>
    <mergeCell ref="QSY22:QTA22"/>
    <mergeCell ref="QTB22:QTD22"/>
    <mergeCell ref="QTE22:QTG22"/>
    <mergeCell ref="QTH22:QTJ22"/>
    <mergeCell ref="QSA22:QSC22"/>
    <mergeCell ref="QSD22:QSF22"/>
    <mergeCell ref="QSG22:QSI22"/>
    <mergeCell ref="QSJ22:QSL22"/>
    <mergeCell ref="QSM22:QSO22"/>
    <mergeCell ref="QSP22:QSR22"/>
    <mergeCell ref="QRI22:QRK22"/>
    <mergeCell ref="QRL22:QRN22"/>
    <mergeCell ref="QRO22:QRQ22"/>
    <mergeCell ref="QRR22:QRT22"/>
    <mergeCell ref="QRU22:QRW22"/>
    <mergeCell ref="QRX22:QRZ22"/>
    <mergeCell ref="QQQ22:QQS22"/>
    <mergeCell ref="QQT22:QQV22"/>
    <mergeCell ref="QQW22:QQY22"/>
    <mergeCell ref="QQZ22:QRB22"/>
    <mergeCell ref="QRC22:QRE22"/>
    <mergeCell ref="QRF22:QRH22"/>
    <mergeCell ref="QPY22:QQA22"/>
    <mergeCell ref="QQB22:QQD22"/>
    <mergeCell ref="QQE22:QQG22"/>
    <mergeCell ref="QQH22:QQJ22"/>
    <mergeCell ref="QQK22:QQM22"/>
    <mergeCell ref="QQN22:QQP22"/>
    <mergeCell ref="QPG22:QPI22"/>
    <mergeCell ref="QPJ22:QPL22"/>
    <mergeCell ref="QPM22:QPO22"/>
    <mergeCell ref="QPP22:QPR22"/>
    <mergeCell ref="QPS22:QPU22"/>
    <mergeCell ref="QPV22:QPX22"/>
    <mergeCell ref="QOO22:QOQ22"/>
    <mergeCell ref="QOR22:QOT22"/>
    <mergeCell ref="QOU22:QOW22"/>
    <mergeCell ref="QOX22:QOZ22"/>
    <mergeCell ref="QPA22:QPC22"/>
    <mergeCell ref="QPD22:QPF22"/>
    <mergeCell ref="QNW22:QNY22"/>
    <mergeCell ref="QNZ22:QOB22"/>
    <mergeCell ref="QOC22:QOE22"/>
    <mergeCell ref="QOF22:QOH22"/>
    <mergeCell ref="QOI22:QOK22"/>
    <mergeCell ref="QOL22:QON22"/>
    <mergeCell ref="QNE22:QNG22"/>
    <mergeCell ref="QNH22:QNJ22"/>
    <mergeCell ref="QNK22:QNM22"/>
    <mergeCell ref="QNN22:QNP22"/>
    <mergeCell ref="QNQ22:QNS22"/>
    <mergeCell ref="QNT22:QNV22"/>
    <mergeCell ref="QMM22:QMO22"/>
    <mergeCell ref="QMP22:QMR22"/>
    <mergeCell ref="QMS22:QMU22"/>
    <mergeCell ref="QMV22:QMX22"/>
    <mergeCell ref="QMY22:QNA22"/>
    <mergeCell ref="QNB22:QND22"/>
    <mergeCell ref="QLU22:QLW22"/>
    <mergeCell ref="QLX22:QLZ22"/>
    <mergeCell ref="QMA22:QMC22"/>
    <mergeCell ref="QMD22:QMF22"/>
    <mergeCell ref="QMG22:QMI22"/>
    <mergeCell ref="QMJ22:QML22"/>
    <mergeCell ref="QLC22:QLE22"/>
    <mergeCell ref="QLF22:QLH22"/>
    <mergeCell ref="QLI22:QLK22"/>
    <mergeCell ref="QLL22:QLN22"/>
    <mergeCell ref="QLO22:QLQ22"/>
    <mergeCell ref="QLR22:QLT22"/>
    <mergeCell ref="QKK22:QKM22"/>
    <mergeCell ref="QKN22:QKP22"/>
    <mergeCell ref="QKQ22:QKS22"/>
    <mergeCell ref="QKT22:QKV22"/>
    <mergeCell ref="QKW22:QKY22"/>
    <mergeCell ref="QKZ22:QLB22"/>
    <mergeCell ref="QJS22:QJU22"/>
    <mergeCell ref="QJV22:QJX22"/>
    <mergeCell ref="QJY22:QKA22"/>
    <mergeCell ref="QKB22:QKD22"/>
    <mergeCell ref="QKE22:QKG22"/>
    <mergeCell ref="QKH22:QKJ22"/>
    <mergeCell ref="QJA22:QJC22"/>
    <mergeCell ref="QJD22:QJF22"/>
    <mergeCell ref="QJG22:QJI22"/>
    <mergeCell ref="QJJ22:QJL22"/>
    <mergeCell ref="QJM22:QJO22"/>
    <mergeCell ref="QJP22:QJR22"/>
    <mergeCell ref="QII22:QIK22"/>
    <mergeCell ref="QIL22:QIN22"/>
    <mergeCell ref="QIO22:QIQ22"/>
    <mergeCell ref="QIR22:QIT22"/>
    <mergeCell ref="QIU22:QIW22"/>
    <mergeCell ref="QIX22:QIZ22"/>
    <mergeCell ref="QHQ22:QHS22"/>
    <mergeCell ref="QHT22:QHV22"/>
    <mergeCell ref="QHW22:QHY22"/>
    <mergeCell ref="QHZ22:QIB22"/>
    <mergeCell ref="QIC22:QIE22"/>
    <mergeCell ref="QIF22:QIH22"/>
    <mergeCell ref="QGY22:QHA22"/>
    <mergeCell ref="QHB22:QHD22"/>
    <mergeCell ref="QHE22:QHG22"/>
    <mergeCell ref="QHH22:QHJ22"/>
    <mergeCell ref="QHK22:QHM22"/>
    <mergeCell ref="QHN22:QHP22"/>
    <mergeCell ref="QGG22:QGI22"/>
    <mergeCell ref="QGJ22:QGL22"/>
    <mergeCell ref="QGM22:QGO22"/>
    <mergeCell ref="QGP22:QGR22"/>
    <mergeCell ref="QGS22:QGU22"/>
    <mergeCell ref="QGV22:QGX22"/>
    <mergeCell ref="QFO22:QFQ22"/>
    <mergeCell ref="QFR22:QFT22"/>
    <mergeCell ref="QFU22:QFW22"/>
    <mergeCell ref="QFX22:QFZ22"/>
    <mergeCell ref="QGA22:QGC22"/>
    <mergeCell ref="QGD22:QGF22"/>
    <mergeCell ref="QEW22:QEY22"/>
    <mergeCell ref="QEZ22:QFB22"/>
    <mergeCell ref="QFC22:QFE22"/>
    <mergeCell ref="QFF22:QFH22"/>
    <mergeCell ref="QFI22:QFK22"/>
    <mergeCell ref="QFL22:QFN22"/>
    <mergeCell ref="QEE22:QEG22"/>
    <mergeCell ref="QEH22:QEJ22"/>
    <mergeCell ref="QEK22:QEM22"/>
    <mergeCell ref="QEN22:QEP22"/>
    <mergeCell ref="QEQ22:QES22"/>
    <mergeCell ref="QET22:QEV22"/>
    <mergeCell ref="QDM22:QDO22"/>
    <mergeCell ref="QDP22:QDR22"/>
    <mergeCell ref="QDS22:QDU22"/>
    <mergeCell ref="QDV22:QDX22"/>
    <mergeCell ref="QDY22:QEA22"/>
    <mergeCell ref="QEB22:QED22"/>
    <mergeCell ref="QCU22:QCW22"/>
    <mergeCell ref="QCX22:QCZ22"/>
    <mergeCell ref="QDA22:QDC22"/>
    <mergeCell ref="QDD22:QDF22"/>
    <mergeCell ref="QDG22:QDI22"/>
    <mergeCell ref="QDJ22:QDL22"/>
    <mergeCell ref="QCC22:QCE22"/>
    <mergeCell ref="QCF22:QCH22"/>
    <mergeCell ref="QCI22:QCK22"/>
    <mergeCell ref="QCL22:QCN22"/>
    <mergeCell ref="QCO22:QCQ22"/>
    <mergeCell ref="QCR22:QCT22"/>
    <mergeCell ref="QBK22:QBM22"/>
    <mergeCell ref="QBN22:QBP22"/>
    <mergeCell ref="QBQ22:QBS22"/>
    <mergeCell ref="QBT22:QBV22"/>
    <mergeCell ref="QBW22:QBY22"/>
    <mergeCell ref="QBZ22:QCB22"/>
    <mergeCell ref="QAS22:QAU22"/>
    <mergeCell ref="QAV22:QAX22"/>
    <mergeCell ref="QAY22:QBA22"/>
    <mergeCell ref="QBB22:QBD22"/>
    <mergeCell ref="QBE22:QBG22"/>
    <mergeCell ref="QBH22:QBJ22"/>
    <mergeCell ref="QAA22:QAC22"/>
    <mergeCell ref="QAD22:QAF22"/>
    <mergeCell ref="QAG22:QAI22"/>
    <mergeCell ref="QAJ22:QAL22"/>
    <mergeCell ref="QAM22:QAO22"/>
    <mergeCell ref="QAP22:QAR22"/>
    <mergeCell ref="PZI22:PZK22"/>
    <mergeCell ref="PZL22:PZN22"/>
    <mergeCell ref="PZO22:PZQ22"/>
    <mergeCell ref="PZR22:PZT22"/>
    <mergeCell ref="PZU22:PZW22"/>
    <mergeCell ref="PZX22:PZZ22"/>
    <mergeCell ref="PYQ22:PYS22"/>
    <mergeCell ref="PYT22:PYV22"/>
    <mergeCell ref="PYW22:PYY22"/>
    <mergeCell ref="PYZ22:PZB22"/>
    <mergeCell ref="PZC22:PZE22"/>
    <mergeCell ref="PZF22:PZH22"/>
    <mergeCell ref="PXY22:PYA22"/>
    <mergeCell ref="PYB22:PYD22"/>
    <mergeCell ref="PYE22:PYG22"/>
    <mergeCell ref="PYH22:PYJ22"/>
    <mergeCell ref="PYK22:PYM22"/>
    <mergeCell ref="PYN22:PYP22"/>
    <mergeCell ref="PXG22:PXI22"/>
    <mergeCell ref="PXJ22:PXL22"/>
    <mergeCell ref="PXM22:PXO22"/>
    <mergeCell ref="PXP22:PXR22"/>
    <mergeCell ref="PXS22:PXU22"/>
    <mergeCell ref="PXV22:PXX22"/>
    <mergeCell ref="PWO22:PWQ22"/>
    <mergeCell ref="PWR22:PWT22"/>
    <mergeCell ref="PWU22:PWW22"/>
    <mergeCell ref="PWX22:PWZ22"/>
    <mergeCell ref="PXA22:PXC22"/>
    <mergeCell ref="PXD22:PXF22"/>
    <mergeCell ref="PVW22:PVY22"/>
    <mergeCell ref="PVZ22:PWB22"/>
    <mergeCell ref="PWC22:PWE22"/>
    <mergeCell ref="PWF22:PWH22"/>
    <mergeCell ref="PWI22:PWK22"/>
    <mergeCell ref="PWL22:PWN22"/>
    <mergeCell ref="PVE22:PVG22"/>
    <mergeCell ref="PVH22:PVJ22"/>
    <mergeCell ref="PVK22:PVM22"/>
    <mergeCell ref="PVN22:PVP22"/>
    <mergeCell ref="PVQ22:PVS22"/>
    <mergeCell ref="PVT22:PVV22"/>
    <mergeCell ref="PUM22:PUO22"/>
    <mergeCell ref="PUP22:PUR22"/>
    <mergeCell ref="PUS22:PUU22"/>
    <mergeCell ref="PUV22:PUX22"/>
    <mergeCell ref="PUY22:PVA22"/>
    <mergeCell ref="PVB22:PVD22"/>
    <mergeCell ref="PTU22:PTW22"/>
    <mergeCell ref="PTX22:PTZ22"/>
    <mergeCell ref="PUA22:PUC22"/>
    <mergeCell ref="PUD22:PUF22"/>
    <mergeCell ref="PUG22:PUI22"/>
    <mergeCell ref="PUJ22:PUL22"/>
    <mergeCell ref="PTC22:PTE22"/>
    <mergeCell ref="PTF22:PTH22"/>
    <mergeCell ref="PTI22:PTK22"/>
    <mergeCell ref="PTL22:PTN22"/>
    <mergeCell ref="PTO22:PTQ22"/>
    <mergeCell ref="PTR22:PTT22"/>
    <mergeCell ref="PSK22:PSM22"/>
    <mergeCell ref="PSN22:PSP22"/>
    <mergeCell ref="PSQ22:PSS22"/>
    <mergeCell ref="PST22:PSV22"/>
    <mergeCell ref="PSW22:PSY22"/>
    <mergeCell ref="PSZ22:PTB22"/>
    <mergeCell ref="PRS22:PRU22"/>
    <mergeCell ref="PRV22:PRX22"/>
    <mergeCell ref="PRY22:PSA22"/>
    <mergeCell ref="PSB22:PSD22"/>
    <mergeCell ref="PSE22:PSG22"/>
    <mergeCell ref="PSH22:PSJ22"/>
    <mergeCell ref="PRA22:PRC22"/>
    <mergeCell ref="PRD22:PRF22"/>
    <mergeCell ref="PRG22:PRI22"/>
    <mergeCell ref="PRJ22:PRL22"/>
    <mergeCell ref="PRM22:PRO22"/>
    <mergeCell ref="PRP22:PRR22"/>
    <mergeCell ref="PQI22:PQK22"/>
    <mergeCell ref="PQL22:PQN22"/>
    <mergeCell ref="PQO22:PQQ22"/>
    <mergeCell ref="PQR22:PQT22"/>
    <mergeCell ref="PQU22:PQW22"/>
    <mergeCell ref="PQX22:PQZ22"/>
    <mergeCell ref="PPQ22:PPS22"/>
    <mergeCell ref="PPT22:PPV22"/>
    <mergeCell ref="PPW22:PPY22"/>
    <mergeCell ref="PPZ22:PQB22"/>
    <mergeCell ref="PQC22:PQE22"/>
    <mergeCell ref="PQF22:PQH22"/>
    <mergeCell ref="POY22:PPA22"/>
    <mergeCell ref="PPB22:PPD22"/>
    <mergeCell ref="PPE22:PPG22"/>
    <mergeCell ref="PPH22:PPJ22"/>
    <mergeCell ref="PPK22:PPM22"/>
    <mergeCell ref="PPN22:PPP22"/>
    <mergeCell ref="POG22:POI22"/>
    <mergeCell ref="POJ22:POL22"/>
    <mergeCell ref="POM22:POO22"/>
    <mergeCell ref="POP22:POR22"/>
    <mergeCell ref="POS22:POU22"/>
    <mergeCell ref="POV22:POX22"/>
    <mergeCell ref="PNO22:PNQ22"/>
    <mergeCell ref="PNR22:PNT22"/>
    <mergeCell ref="PNU22:PNW22"/>
    <mergeCell ref="PNX22:PNZ22"/>
    <mergeCell ref="POA22:POC22"/>
    <mergeCell ref="POD22:POF22"/>
    <mergeCell ref="PMW22:PMY22"/>
    <mergeCell ref="PMZ22:PNB22"/>
    <mergeCell ref="PNC22:PNE22"/>
    <mergeCell ref="PNF22:PNH22"/>
    <mergeCell ref="PNI22:PNK22"/>
    <mergeCell ref="PNL22:PNN22"/>
    <mergeCell ref="PME22:PMG22"/>
    <mergeCell ref="PMH22:PMJ22"/>
    <mergeCell ref="PMK22:PMM22"/>
    <mergeCell ref="PMN22:PMP22"/>
    <mergeCell ref="PMQ22:PMS22"/>
    <mergeCell ref="PMT22:PMV22"/>
    <mergeCell ref="PLM22:PLO22"/>
    <mergeCell ref="PLP22:PLR22"/>
    <mergeCell ref="PLS22:PLU22"/>
    <mergeCell ref="PLV22:PLX22"/>
    <mergeCell ref="PLY22:PMA22"/>
    <mergeCell ref="PMB22:PMD22"/>
    <mergeCell ref="PKU22:PKW22"/>
    <mergeCell ref="PKX22:PKZ22"/>
    <mergeCell ref="PLA22:PLC22"/>
    <mergeCell ref="PLD22:PLF22"/>
    <mergeCell ref="PLG22:PLI22"/>
    <mergeCell ref="PLJ22:PLL22"/>
    <mergeCell ref="PKC22:PKE22"/>
    <mergeCell ref="PKF22:PKH22"/>
    <mergeCell ref="PKI22:PKK22"/>
    <mergeCell ref="PKL22:PKN22"/>
    <mergeCell ref="PKO22:PKQ22"/>
    <mergeCell ref="PKR22:PKT22"/>
    <mergeCell ref="PJK22:PJM22"/>
    <mergeCell ref="PJN22:PJP22"/>
    <mergeCell ref="PJQ22:PJS22"/>
    <mergeCell ref="PJT22:PJV22"/>
    <mergeCell ref="PJW22:PJY22"/>
    <mergeCell ref="PJZ22:PKB22"/>
    <mergeCell ref="PIS22:PIU22"/>
    <mergeCell ref="PIV22:PIX22"/>
    <mergeCell ref="PIY22:PJA22"/>
    <mergeCell ref="PJB22:PJD22"/>
    <mergeCell ref="PJE22:PJG22"/>
    <mergeCell ref="PJH22:PJJ22"/>
    <mergeCell ref="PIA22:PIC22"/>
    <mergeCell ref="PID22:PIF22"/>
    <mergeCell ref="PIG22:PII22"/>
    <mergeCell ref="PIJ22:PIL22"/>
    <mergeCell ref="PIM22:PIO22"/>
    <mergeCell ref="PIP22:PIR22"/>
    <mergeCell ref="PHI22:PHK22"/>
    <mergeCell ref="PHL22:PHN22"/>
    <mergeCell ref="PHO22:PHQ22"/>
    <mergeCell ref="PHR22:PHT22"/>
    <mergeCell ref="PHU22:PHW22"/>
    <mergeCell ref="PHX22:PHZ22"/>
    <mergeCell ref="PGQ22:PGS22"/>
    <mergeCell ref="PGT22:PGV22"/>
    <mergeCell ref="PGW22:PGY22"/>
    <mergeCell ref="PGZ22:PHB22"/>
    <mergeCell ref="PHC22:PHE22"/>
    <mergeCell ref="PHF22:PHH22"/>
    <mergeCell ref="PFY22:PGA22"/>
    <mergeCell ref="PGB22:PGD22"/>
    <mergeCell ref="PGE22:PGG22"/>
    <mergeCell ref="PGH22:PGJ22"/>
    <mergeCell ref="PGK22:PGM22"/>
    <mergeCell ref="PGN22:PGP22"/>
    <mergeCell ref="PFG22:PFI22"/>
    <mergeCell ref="PFJ22:PFL22"/>
    <mergeCell ref="PFM22:PFO22"/>
    <mergeCell ref="PFP22:PFR22"/>
    <mergeCell ref="PFS22:PFU22"/>
    <mergeCell ref="PFV22:PFX22"/>
    <mergeCell ref="PEO22:PEQ22"/>
    <mergeCell ref="PER22:PET22"/>
    <mergeCell ref="PEU22:PEW22"/>
    <mergeCell ref="PEX22:PEZ22"/>
    <mergeCell ref="PFA22:PFC22"/>
    <mergeCell ref="PFD22:PFF22"/>
    <mergeCell ref="PDW22:PDY22"/>
    <mergeCell ref="PDZ22:PEB22"/>
    <mergeCell ref="PEC22:PEE22"/>
    <mergeCell ref="PEF22:PEH22"/>
    <mergeCell ref="PEI22:PEK22"/>
    <mergeCell ref="PEL22:PEN22"/>
    <mergeCell ref="PDE22:PDG22"/>
    <mergeCell ref="PDH22:PDJ22"/>
    <mergeCell ref="PDK22:PDM22"/>
    <mergeCell ref="PDN22:PDP22"/>
    <mergeCell ref="PDQ22:PDS22"/>
    <mergeCell ref="PDT22:PDV22"/>
    <mergeCell ref="PCM22:PCO22"/>
    <mergeCell ref="PCP22:PCR22"/>
    <mergeCell ref="PCS22:PCU22"/>
    <mergeCell ref="PCV22:PCX22"/>
    <mergeCell ref="PCY22:PDA22"/>
    <mergeCell ref="PDB22:PDD22"/>
    <mergeCell ref="PBU22:PBW22"/>
    <mergeCell ref="PBX22:PBZ22"/>
    <mergeCell ref="PCA22:PCC22"/>
    <mergeCell ref="PCD22:PCF22"/>
    <mergeCell ref="PCG22:PCI22"/>
    <mergeCell ref="PCJ22:PCL22"/>
    <mergeCell ref="PBC22:PBE22"/>
    <mergeCell ref="PBF22:PBH22"/>
    <mergeCell ref="PBI22:PBK22"/>
    <mergeCell ref="PBL22:PBN22"/>
    <mergeCell ref="PBO22:PBQ22"/>
    <mergeCell ref="PBR22:PBT22"/>
    <mergeCell ref="PAK22:PAM22"/>
    <mergeCell ref="PAN22:PAP22"/>
    <mergeCell ref="PAQ22:PAS22"/>
    <mergeCell ref="PAT22:PAV22"/>
    <mergeCell ref="PAW22:PAY22"/>
    <mergeCell ref="PAZ22:PBB22"/>
    <mergeCell ref="OZS22:OZU22"/>
    <mergeCell ref="OZV22:OZX22"/>
    <mergeCell ref="OZY22:PAA22"/>
    <mergeCell ref="PAB22:PAD22"/>
    <mergeCell ref="PAE22:PAG22"/>
    <mergeCell ref="PAH22:PAJ22"/>
    <mergeCell ref="OZA22:OZC22"/>
    <mergeCell ref="OZD22:OZF22"/>
    <mergeCell ref="OZG22:OZI22"/>
    <mergeCell ref="OZJ22:OZL22"/>
    <mergeCell ref="OZM22:OZO22"/>
    <mergeCell ref="OZP22:OZR22"/>
    <mergeCell ref="OYI22:OYK22"/>
    <mergeCell ref="OYL22:OYN22"/>
    <mergeCell ref="OYO22:OYQ22"/>
    <mergeCell ref="OYR22:OYT22"/>
    <mergeCell ref="OYU22:OYW22"/>
    <mergeCell ref="OYX22:OYZ22"/>
    <mergeCell ref="OXQ22:OXS22"/>
    <mergeCell ref="OXT22:OXV22"/>
    <mergeCell ref="OXW22:OXY22"/>
    <mergeCell ref="OXZ22:OYB22"/>
    <mergeCell ref="OYC22:OYE22"/>
    <mergeCell ref="OYF22:OYH22"/>
    <mergeCell ref="OWY22:OXA22"/>
    <mergeCell ref="OXB22:OXD22"/>
    <mergeCell ref="OXE22:OXG22"/>
    <mergeCell ref="OXH22:OXJ22"/>
    <mergeCell ref="OXK22:OXM22"/>
    <mergeCell ref="OXN22:OXP22"/>
    <mergeCell ref="OWG22:OWI22"/>
    <mergeCell ref="OWJ22:OWL22"/>
    <mergeCell ref="OWM22:OWO22"/>
    <mergeCell ref="OWP22:OWR22"/>
    <mergeCell ref="OWS22:OWU22"/>
    <mergeCell ref="OWV22:OWX22"/>
    <mergeCell ref="OVO22:OVQ22"/>
    <mergeCell ref="OVR22:OVT22"/>
    <mergeCell ref="OVU22:OVW22"/>
    <mergeCell ref="OVX22:OVZ22"/>
    <mergeCell ref="OWA22:OWC22"/>
    <mergeCell ref="OWD22:OWF22"/>
    <mergeCell ref="OUW22:OUY22"/>
    <mergeCell ref="OUZ22:OVB22"/>
    <mergeCell ref="OVC22:OVE22"/>
    <mergeCell ref="OVF22:OVH22"/>
    <mergeCell ref="OVI22:OVK22"/>
    <mergeCell ref="OVL22:OVN22"/>
    <mergeCell ref="OUE22:OUG22"/>
    <mergeCell ref="OUH22:OUJ22"/>
    <mergeCell ref="OUK22:OUM22"/>
    <mergeCell ref="OUN22:OUP22"/>
    <mergeCell ref="OUQ22:OUS22"/>
    <mergeCell ref="OUT22:OUV22"/>
    <mergeCell ref="OTM22:OTO22"/>
    <mergeCell ref="OTP22:OTR22"/>
    <mergeCell ref="OTS22:OTU22"/>
    <mergeCell ref="OTV22:OTX22"/>
    <mergeCell ref="OTY22:OUA22"/>
    <mergeCell ref="OUB22:OUD22"/>
    <mergeCell ref="OSU22:OSW22"/>
    <mergeCell ref="OSX22:OSZ22"/>
    <mergeCell ref="OTA22:OTC22"/>
    <mergeCell ref="OTD22:OTF22"/>
    <mergeCell ref="OTG22:OTI22"/>
    <mergeCell ref="OTJ22:OTL22"/>
    <mergeCell ref="OSC22:OSE22"/>
    <mergeCell ref="OSF22:OSH22"/>
    <mergeCell ref="OSI22:OSK22"/>
    <mergeCell ref="OSL22:OSN22"/>
    <mergeCell ref="OSO22:OSQ22"/>
    <mergeCell ref="OSR22:OST22"/>
    <mergeCell ref="ORK22:ORM22"/>
    <mergeCell ref="ORN22:ORP22"/>
    <mergeCell ref="ORQ22:ORS22"/>
    <mergeCell ref="ORT22:ORV22"/>
    <mergeCell ref="ORW22:ORY22"/>
    <mergeCell ref="ORZ22:OSB22"/>
    <mergeCell ref="OQS22:OQU22"/>
    <mergeCell ref="OQV22:OQX22"/>
    <mergeCell ref="OQY22:ORA22"/>
    <mergeCell ref="ORB22:ORD22"/>
    <mergeCell ref="ORE22:ORG22"/>
    <mergeCell ref="ORH22:ORJ22"/>
    <mergeCell ref="OQA22:OQC22"/>
    <mergeCell ref="OQD22:OQF22"/>
    <mergeCell ref="OQG22:OQI22"/>
    <mergeCell ref="OQJ22:OQL22"/>
    <mergeCell ref="OQM22:OQO22"/>
    <mergeCell ref="OQP22:OQR22"/>
    <mergeCell ref="OPI22:OPK22"/>
    <mergeCell ref="OPL22:OPN22"/>
    <mergeCell ref="OPO22:OPQ22"/>
    <mergeCell ref="OPR22:OPT22"/>
    <mergeCell ref="OPU22:OPW22"/>
    <mergeCell ref="OPX22:OPZ22"/>
    <mergeCell ref="OOQ22:OOS22"/>
    <mergeCell ref="OOT22:OOV22"/>
    <mergeCell ref="OOW22:OOY22"/>
    <mergeCell ref="OOZ22:OPB22"/>
    <mergeCell ref="OPC22:OPE22"/>
    <mergeCell ref="OPF22:OPH22"/>
    <mergeCell ref="ONY22:OOA22"/>
    <mergeCell ref="OOB22:OOD22"/>
    <mergeCell ref="OOE22:OOG22"/>
    <mergeCell ref="OOH22:OOJ22"/>
    <mergeCell ref="OOK22:OOM22"/>
    <mergeCell ref="OON22:OOP22"/>
    <mergeCell ref="ONG22:ONI22"/>
    <mergeCell ref="ONJ22:ONL22"/>
    <mergeCell ref="ONM22:ONO22"/>
    <mergeCell ref="ONP22:ONR22"/>
    <mergeCell ref="ONS22:ONU22"/>
    <mergeCell ref="ONV22:ONX22"/>
    <mergeCell ref="OMO22:OMQ22"/>
    <mergeCell ref="OMR22:OMT22"/>
    <mergeCell ref="OMU22:OMW22"/>
    <mergeCell ref="OMX22:OMZ22"/>
    <mergeCell ref="ONA22:ONC22"/>
    <mergeCell ref="OND22:ONF22"/>
    <mergeCell ref="OLW22:OLY22"/>
    <mergeCell ref="OLZ22:OMB22"/>
    <mergeCell ref="OMC22:OME22"/>
    <mergeCell ref="OMF22:OMH22"/>
    <mergeCell ref="OMI22:OMK22"/>
    <mergeCell ref="OML22:OMN22"/>
    <mergeCell ref="OLE22:OLG22"/>
    <mergeCell ref="OLH22:OLJ22"/>
    <mergeCell ref="OLK22:OLM22"/>
    <mergeCell ref="OLN22:OLP22"/>
    <mergeCell ref="OLQ22:OLS22"/>
    <mergeCell ref="OLT22:OLV22"/>
    <mergeCell ref="OKM22:OKO22"/>
    <mergeCell ref="OKP22:OKR22"/>
    <mergeCell ref="OKS22:OKU22"/>
    <mergeCell ref="OKV22:OKX22"/>
    <mergeCell ref="OKY22:OLA22"/>
    <mergeCell ref="OLB22:OLD22"/>
    <mergeCell ref="OJU22:OJW22"/>
    <mergeCell ref="OJX22:OJZ22"/>
    <mergeCell ref="OKA22:OKC22"/>
    <mergeCell ref="OKD22:OKF22"/>
    <mergeCell ref="OKG22:OKI22"/>
    <mergeCell ref="OKJ22:OKL22"/>
    <mergeCell ref="OJC22:OJE22"/>
    <mergeCell ref="OJF22:OJH22"/>
    <mergeCell ref="OJI22:OJK22"/>
    <mergeCell ref="OJL22:OJN22"/>
    <mergeCell ref="OJO22:OJQ22"/>
    <mergeCell ref="OJR22:OJT22"/>
    <mergeCell ref="OIK22:OIM22"/>
    <mergeCell ref="OIN22:OIP22"/>
    <mergeCell ref="OIQ22:OIS22"/>
    <mergeCell ref="OIT22:OIV22"/>
    <mergeCell ref="OIW22:OIY22"/>
    <mergeCell ref="OIZ22:OJB22"/>
    <mergeCell ref="OHS22:OHU22"/>
    <mergeCell ref="OHV22:OHX22"/>
    <mergeCell ref="OHY22:OIA22"/>
    <mergeCell ref="OIB22:OID22"/>
    <mergeCell ref="OIE22:OIG22"/>
    <mergeCell ref="OIH22:OIJ22"/>
    <mergeCell ref="OHA22:OHC22"/>
    <mergeCell ref="OHD22:OHF22"/>
    <mergeCell ref="OHG22:OHI22"/>
    <mergeCell ref="OHJ22:OHL22"/>
    <mergeCell ref="OHM22:OHO22"/>
    <mergeCell ref="OHP22:OHR22"/>
    <mergeCell ref="OGI22:OGK22"/>
    <mergeCell ref="OGL22:OGN22"/>
    <mergeCell ref="OGO22:OGQ22"/>
    <mergeCell ref="OGR22:OGT22"/>
    <mergeCell ref="OGU22:OGW22"/>
    <mergeCell ref="OGX22:OGZ22"/>
    <mergeCell ref="OFQ22:OFS22"/>
    <mergeCell ref="OFT22:OFV22"/>
    <mergeCell ref="OFW22:OFY22"/>
    <mergeCell ref="OFZ22:OGB22"/>
    <mergeCell ref="OGC22:OGE22"/>
    <mergeCell ref="OGF22:OGH22"/>
    <mergeCell ref="OEY22:OFA22"/>
    <mergeCell ref="OFB22:OFD22"/>
    <mergeCell ref="OFE22:OFG22"/>
    <mergeCell ref="OFH22:OFJ22"/>
    <mergeCell ref="OFK22:OFM22"/>
    <mergeCell ref="OFN22:OFP22"/>
    <mergeCell ref="OEG22:OEI22"/>
    <mergeCell ref="OEJ22:OEL22"/>
    <mergeCell ref="OEM22:OEO22"/>
    <mergeCell ref="OEP22:OER22"/>
    <mergeCell ref="OES22:OEU22"/>
    <mergeCell ref="OEV22:OEX22"/>
    <mergeCell ref="ODO22:ODQ22"/>
    <mergeCell ref="ODR22:ODT22"/>
    <mergeCell ref="ODU22:ODW22"/>
    <mergeCell ref="ODX22:ODZ22"/>
    <mergeCell ref="OEA22:OEC22"/>
    <mergeCell ref="OED22:OEF22"/>
    <mergeCell ref="OCW22:OCY22"/>
    <mergeCell ref="OCZ22:ODB22"/>
    <mergeCell ref="ODC22:ODE22"/>
    <mergeCell ref="ODF22:ODH22"/>
    <mergeCell ref="ODI22:ODK22"/>
    <mergeCell ref="ODL22:ODN22"/>
    <mergeCell ref="OCE22:OCG22"/>
    <mergeCell ref="OCH22:OCJ22"/>
    <mergeCell ref="OCK22:OCM22"/>
    <mergeCell ref="OCN22:OCP22"/>
    <mergeCell ref="OCQ22:OCS22"/>
    <mergeCell ref="OCT22:OCV22"/>
    <mergeCell ref="OBM22:OBO22"/>
    <mergeCell ref="OBP22:OBR22"/>
    <mergeCell ref="OBS22:OBU22"/>
    <mergeCell ref="OBV22:OBX22"/>
    <mergeCell ref="OBY22:OCA22"/>
    <mergeCell ref="OCB22:OCD22"/>
    <mergeCell ref="OAU22:OAW22"/>
    <mergeCell ref="OAX22:OAZ22"/>
    <mergeCell ref="OBA22:OBC22"/>
    <mergeCell ref="OBD22:OBF22"/>
    <mergeCell ref="OBG22:OBI22"/>
    <mergeCell ref="OBJ22:OBL22"/>
    <mergeCell ref="OAC22:OAE22"/>
    <mergeCell ref="OAF22:OAH22"/>
    <mergeCell ref="OAI22:OAK22"/>
    <mergeCell ref="OAL22:OAN22"/>
    <mergeCell ref="OAO22:OAQ22"/>
    <mergeCell ref="OAR22:OAT22"/>
    <mergeCell ref="NZK22:NZM22"/>
    <mergeCell ref="NZN22:NZP22"/>
    <mergeCell ref="NZQ22:NZS22"/>
    <mergeCell ref="NZT22:NZV22"/>
    <mergeCell ref="NZW22:NZY22"/>
    <mergeCell ref="NZZ22:OAB22"/>
    <mergeCell ref="NYS22:NYU22"/>
    <mergeCell ref="NYV22:NYX22"/>
    <mergeCell ref="NYY22:NZA22"/>
    <mergeCell ref="NZB22:NZD22"/>
    <mergeCell ref="NZE22:NZG22"/>
    <mergeCell ref="NZH22:NZJ22"/>
    <mergeCell ref="NYA22:NYC22"/>
    <mergeCell ref="NYD22:NYF22"/>
    <mergeCell ref="NYG22:NYI22"/>
    <mergeCell ref="NYJ22:NYL22"/>
    <mergeCell ref="NYM22:NYO22"/>
    <mergeCell ref="NYP22:NYR22"/>
    <mergeCell ref="NXI22:NXK22"/>
    <mergeCell ref="NXL22:NXN22"/>
    <mergeCell ref="NXO22:NXQ22"/>
    <mergeCell ref="NXR22:NXT22"/>
    <mergeCell ref="NXU22:NXW22"/>
    <mergeCell ref="NXX22:NXZ22"/>
    <mergeCell ref="NWQ22:NWS22"/>
    <mergeCell ref="NWT22:NWV22"/>
    <mergeCell ref="NWW22:NWY22"/>
    <mergeCell ref="NWZ22:NXB22"/>
    <mergeCell ref="NXC22:NXE22"/>
    <mergeCell ref="NXF22:NXH22"/>
    <mergeCell ref="NVY22:NWA22"/>
    <mergeCell ref="NWB22:NWD22"/>
    <mergeCell ref="NWE22:NWG22"/>
    <mergeCell ref="NWH22:NWJ22"/>
    <mergeCell ref="NWK22:NWM22"/>
    <mergeCell ref="NWN22:NWP22"/>
    <mergeCell ref="NVG22:NVI22"/>
    <mergeCell ref="NVJ22:NVL22"/>
    <mergeCell ref="NVM22:NVO22"/>
    <mergeCell ref="NVP22:NVR22"/>
    <mergeCell ref="NVS22:NVU22"/>
    <mergeCell ref="NVV22:NVX22"/>
    <mergeCell ref="NUO22:NUQ22"/>
    <mergeCell ref="NUR22:NUT22"/>
    <mergeCell ref="NUU22:NUW22"/>
    <mergeCell ref="NUX22:NUZ22"/>
    <mergeCell ref="NVA22:NVC22"/>
    <mergeCell ref="NVD22:NVF22"/>
    <mergeCell ref="NTW22:NTY22"/>
    <mergeCell ref="NTZ22:NUB22"/>
    <mergeCell ref="NUC22:NUE22"/>
    <mergeCell ref="NUF22:NUH22"/>
    <mergeCell ref="NUI22:NUK22"/>
    <mergeCell ref="NUL22:NUN22"/>
    <mergeCell ref="NTE22:NTG22"/>
    <mergeCell ref="NTH22:NTJ22"/>
    <mergeCell ref="NTK22:NTM22"/>
    <mergeCell ref="NTN22:NTP22"/>
    <mergeCell ref="NTQ22:NTS22"/>
    <mergeCell ref="NTT22:NTV22"/>
    <mergeCell ref="NSM22:NSO22"/>
    <mergeCell ref="NSP22:NSR22"/>
    <mergeCell ref="NSS22:NSU22"/>
    <mergeCell ref="NSV22:NSX22"/>
    <mergeCell ref="NSY22:NTA22"/>
    <mergeCell ref="NTB22:NTD22"/>
    <mergeCell ref="NRU22:NRW22"/>
    <mergeCell ref="NRX22:NRZ22"/>
    <mergeCell ref="NSA22:NSC22"/>
    <mergeCell ref="NSD22:NSF22"/>
    <mergeCell ref="NSG22:NSI22"/>
    <mergeCell ref="NSJ22:NSL22"/>
    <mergeCell ref="NRC22:NRE22"/>
    <mergeCell ref="NRF22:NRH22"/>
    <mergeCell ref="NRI22:NRK22"/>
    <mergeCell ref="NRL22:NRN22"/>
    <mergeCell ref="NRO22:NRQ22"/>
    <mergeCell ref="NRR22:NRT22"/>
    <mergeCell ref="NQK22:NQM22"/>
    <mergeCell ref="NQN22:NQP22"/>
    <mergeCell ref="NQQ22:NQS22"/>
    <mergeCell ref="NQT22:NQV22"/>
    <mergeCell ref="NQW22:NQY22"/>
    <mergeCell ref="NQZ22:NRB22"/>
    <mergeCell ref="NPS22:NPU22"/>
    <mergeCell ref="NPV22:NPX22"/>
    <mergeCell ref="NPY22:NQA22"/>
    <mergeCell ref="NQB22:NQD22"/>
    <mergeCell ref="NQE22:NQG22"/>
    <mergeCell ref="NQH22:NQJ22"/>
    <mergeCell ref="NPA22:NPC22"/>
    <mergeCell ref="NPD22:NPF22"/>
    <mergeCell ref="NPG22:NPI22"/>
    <mergeCell ref="NPJ22:NPL22"/>
    <mergeCell ref="NPM22:NPO22"/>
    <mergeCell ref="NPP22:NPR22"/>
    <mergeCell ref="NOI22:NOK22"/>
    <mergeCell ref="NOL22:NON22"/>
    <mergeCell ref="NOO22:NOQ22"/>
    <mergeCell ref="NOR22:NOT22"/>
    <mergeCell ref="NOU22:NOW22"/>
    <mergeCell ref="NOX22:NOZ22"/>
    <mergeCell ref="NNQ22:NNS22"/>
    <mergeCell ref="NNT22:NNV22"/>
    <mergeCell ref="NNW22:NNY22"/>
    <mergeCell ref="NNZ22:NOB22"/>
    <mergeCell ref="NOC22:NOE22"/>
    <mergeCell ref="NOF22:NOH22"/>
    <mergeCell ref="NMY22:NNA22"/>
    <mergeCell ref="NNB22:NND22"/>
    <mergeCell ref="NNE22:NNG22"/>
    <mergeCell ref="NNH22:NNJ22"/>
    <mergeCell ref="NNK22:NNM22"/>
    <mergeCell ref="NNN22:NNP22"/>
    <mergeCell ref="NMG22:NMI22"/>
    <mergeCell ref="NMJ22:NML22"/>
    <mergeCell ref="NMM22:NMO22"/>
    <mergeCell ref="NMP22:NMR22"/>
    <mergeCell ref="NMS22:NMU22"/>
    <mergeCell ref="NMV22:NMX22"/>
    <mergeCell ref="NLO22:NLQ22"/>
    <mergeCell ref="NLR22:NLT22"/>
    <mergeCell ref="NLU22:NLW22"/>
    <mergeCell ref="NLX22:NLZ22"/>
    <mergeCell ref="NMA22:NMC22"/>
    <mergeCell ref="NMD22:NMF22"/>
    <mergeCell ref="NKW22:NKY22"/>
    <mergeCell ref="NKZ22:NLB22"/>
    <mergeCell ref="NLC22:NLE22"/>
    <mergeCell ref="NLF22:NLH22"/>
    <mergeCell ref="NLI22:NLK22"/>
    <mergeCell ref="NLL22:NLN22"/>
    <mergeCell ref="NKE22:NKG22"/>
    <mergeCell ref="NKH22:NKJ22"/>
    <mergeCell ref="NKK22:NKM22"/>
    <mergeCell ref="NKN22:NKP22"/>
    <mergeCell ref="NKQ22:NKS22"/>
    <mergeCell ref="NKT22:NKV22"/>
    <mergeCell ref="NJM22:NJO22"/>
    <mergeCell ref="NJP22:NJR22"/>
    <mergeCell ref="NJS22:NJU22"/>
    <mergeCell ref="NJV22:NJX22"/>
    <mergeCell ref="NJY22:NKA22"/>
    <mergeCell ref="NKB22:NKD22"/>
    <mergeCell ref="NIU22:NIW22"/>
    <mergeCell ref="NIX22:NIZ22"/>
    <mergeCell ref="NJA22:NJC22"/>
    <mergeCell ref="NJD22:NJF22"/>
    <mergeCell ref="NJG22:NJI22"/>
    <mergeCell ref="NJJ22:NJL22"/>
    <mergeCell ref="NIC22:NIE22"/>
    <mergeCell ref="NIF22:NIH22"/>
    <mergeCell ref="NII22:NIK22"/>
    <mergeCell ref="NIL22:NIN22"/>
    <mergeCell ref="NIO22:NIQ22"/>
    <mergeCell ref="NIR22:NIT22"/>
    <mergeCell ref="NHK22:NHM22"/>
    <mergeCell ref="NHN22:NHP22"/>
    <mergeCell ref="NHQ22:NHS22"/>
    <mergeCell ref="NHT22:NHV22"/>
    <mergeCell ref="NHW22:NHY22"/>
    <mergeCell ref="NHZ22:NIB22"/>
    <mergeCell ref="NGS22:NGU22"/>
    <mergeCell ref="NGV22:NGX22"/>
    <mergeCell ref="NGY22:NHA22"/>
    <mergeCell ref="NHB22:NHD22"/>
    <mergeCell ref="NHE22:NHG22"/>
    <mergeCell ref="NHH22:NHJ22"/>
    <mergeCell ref="NGA22:NGC22"/>
    <mergeCell ref="NGD22:NGF22"/>
    <mergeCell ref="NGG22:NGI22"/>
    <mergeCell ref="NGJ22:NGL22"/>
    <mergeCell ref="NGM22:NGO22"/>
    <mergeCell ref="NGP22:NGR22"/>
    <mergeCell ref="NFI22:NFK22"/>
    <mergeCell ref="NFL22:NFN22"/>
    <mergeCell ref="NFO22:NFQ22"/>
    <mergeCell ref="NFR22:NFT22"/>
    <mergeCell ref="NFU22:NFW22"/>
    <mergeCell ref="NFX22:NFZ22"/>
    <mergeCell ref="NEQ22:NES22"/>
    <mergeCell ref="NET22:NEV22"/>
    <mergeCell ref="NEW22:NEY22"/>
    <mergeCell ref="NEZ22:NFB22"/>
    <mergeCell ref="NFC22:NFE22"/>
    <mergeCell ref="NFF22:NFH22"/>
    <mergeCell ref="NDY22:NEA22"/>
    <mergeCell ref="NEB22:NED22"/>
    <mergeCell ref="NEE22:NEG22"/>
    <mergeCell ref="NEH22:NEJ22"/>
    <mergeCell ref="NEK22:NEM22"/>
    <mergeCell ref="NEN22:NEP22"/>
    <mergeCell ref="NDG22:NDI22"/>
    <mergeCell ref="NDJ22:NDL22"/>
    <mergeCell ref="NDM22:NDO22"/>
    <mergeCell ref="NDP22:NDR22"/>
    <mergeCell ref="NDS22:NDU22"/>
    <mergeCell ref="NDV22:NDX22"/>
    <mergeCell ref="NCO22:NCQ22"/>
    <mergeCell ref="NCR22:NCT22"/>
    <mergeCell ref="NCU22:NCW22"/>
    <mergeCell ref="NCX22:NCZ22"/>
    <mergeCell ref="NDA22:NDC22"/>
    <mergeCell ref="NDD22:NDF22"/>
    <mergeCell ref="NBW22:NBY22"/>
    <mergeCell ref="NBZ22:NCB22"/>
    <mergeCell ref="NCC22:NCE22"/>
    <mergeCell ref="NCF22:NCH22"/>
    <mergeCell ref="NCI22:NCK22"/>
    <mergeCell ref="NCL22:NCN22"/>
    <mergeCell ref="NBE22:NBG22"/>
    <mergeCell ref="NBH22:NBJ22"/>
    <mergeCell ref="NBK22:NBM22"/>
    <mergeCell ref="NBN22:NBP22"/>
    <mergeCell ref="NBQ22:NBS22"/>
    <mergeCell ref="NBT22:NBV22"/>
    <mergeCell ref="NAM22:NAO22"/>
    <mergeCell ref="NAP22:NAR22"/>
    <mergeCell ref="NAS22:NAU22"/>
    <mergeCell ref="NAV22:NAX22"/>
    <mergeCell ref="NAY22:NBA22"/>
    <mergeCell ref="NBB22:NBD22"/>
    <mergeCell ref="MZU22:MZW22"/>
    <mergeCell ref="MZX22:MZZ22"/>
    <mergeCell ref="NAA22:NAC22"/>
    <mergeCell ref="NAD22:NAF22"/>
    <mergeCell ref="NAG22:NAI22"/>
    <mergeCell ref="NAJ22:NAL22"/>
    <mergeCell ref="MZC22:MZE22"/>
    <mergeCell ref="MZF22:MZH22"/>
    <mergeCell ref="MZI22:MZK22"/>
    <mergeCell ref="MZL22:MZN22"/>
    <mergeCell ref="MZO22:MZQ22"/>
    <mergeCell ref="MZR22:MZT22"/>
    <mergeCell ref="MYK22:MYM22"/>
    <mergeCell ref="MYN22:MYP22"/>
    <mergeCell ref="MYQ22:MYS22"/>
    <mergeCell ref="MYT22:MYV22"/>
    <mergeCell ref="MYW22:MYY22"/>
    <mergeCell ref="MYZ22:MZB22"/>
    <mergeCell ref="MXS22:MXU22"/>
    <mergeCell ref="MXV22:MXX22"/>
    <mergeCell ref="MXY22:MYA22"/>
    <mergeCell ref="MYB22:MYD22"/>
    <mergeCell ref="MYE22:MYG22"/>
    <mergeCell ref="MYH22:MYJ22"/>
    <mergeCell ref="MXA22:MXC22"/>
    <mergeCell ref="MXD22:MXF22"/>
    <mergeCell ref="MXG22:MXI22"/>
    <mergeCell ref="MXJ22:MXL22"/>
    <mergeCell ref="MXM22:MXO22"/>
    <mergeCell ref="MXP22:MXR22"/>
    <mergeCell ref="MWI22:MWK22"/>
    <mergeCell ref="MWL22:MWN22"/>
    <mergeCell ref="MWO22:MWQ22"/>
    <mergeCell ref="MWR22:MWT22"/>
    <mergeCell ref="MWU22:MWW22"/>
    <mergeCell ref="MWX22:MWZ22"/>
    <mergeCell ref="MVQ22:MVS22"/>
    <mergeCell ref="MVT22:MVV22"/>
    <mergeCell ref="MVW22:MVY22"/>
    <mergeCell ref="MVZ22:MWB22"/>
    <mergeCell ref="MWC22:MWE22"/>
    <mergeCell ref="MWF22:MWH22"/>
    <mergeCell ref="MUY22:MVA22"/>
    <mergeCell ref="MVB22:MVD22"/>
    <mergeCell ref="MVE22:MVG22"/>
    <mergeCell ref="MVH22:MVJ22"/>
    <mergeCell ref="MVK22:MVM22"/>
    <mergeCell ref="MVN22:MVP22"/>
    <mergeCell ref="MUG22:MUI22"/>
    <mergeCell ref="MUJ22:MUL22"/>
    <mergeCell ref="MUM22:MUO22"/>
    <mergeCell ref="MUP22:MUR22"/>
    <mergeCell ref="MUS22:MUU22"/>
    <mergeCell ref="MUV22:MUX22"/>
    <mergeCell ref="MTO22:MTQ22"/>
    <mergeCell ref="MTR22:MTT22"/>
    <mergeCell ref="MTU22:MTW22"/>
    <mergeCell ref="MTX22:MTZ22"/>
    <mergeCell ref="MUA22:MUC22"/>
    <mergeCell ref="MUD22:MUF22"/>
    <mergeCell ref="MSW22:MSY22"/>
    <mergeCell ref="MSZ22:MTB22"/>
    <mergeCell ref="MTC22:MTE22"/>
    <mergeCell ref="MTF22:MTH22"/>
    <mergeCell ref="MTI22:MTK22"/>
    <mergeCell ref="MTL22:MTN22"/>
    <mergeCell ref="MSE22:MSG22"/>
    <mergeCell ref="MSH22:MSJ22"/>
    <mergeCell ref="MSK22:MSM22"/>
    <mergeCell ref="MSN22:MSP22"/>
    <mergeCell ref="MSQ22:MSS22"/>
    <mergeCell ref="MST22:MSV22"/>
    <mergeCell ref="MRM22:MRO22"/>
    <mergeCell ref="MRP22:MRR22"/>
    <mergeCell ref="MRS22:MRU22"/>
    <mergeCell ref="MRV22:MRX22"/>
    <mergeCell ref="MRY22:MSA22"/>
    <mergeCell ref="MSB22:MSD22"/>
    <mergeCell ref="MQU22:MQW22"/>
    <mergeCell ref="MQX22:MQZ22"/>
    <mergeCell ref="MRA22:MRC22"/>
    <mergeCell ref="MRD22:MRF22"/>
    <mergeCell ref="MRG22:MRI22"/>
    <mergeCell ref="MRJ22:MRL22"/>
    <mergeCell ref="MQC22:MQE22"/>
    <mergeCell ref="MQF22:MQH22"/>
    <mergeCell ref="MQI22:MQK22"/>
    <mergeCell ref="MQL22:MQN22"/>
    <mergeCell ref="MQO22:MQQ22"/>
    <mergeCell ref="MQR22:MQT22"/>
    <mergeCell ref="MPK22:MPM22"/>
    <mergeCell ref="MPN22:MPP22"/>
    <mergeCell ref="MPQ22:MPS22"/>
    <mergeCell ref="MPT22:MPV22"/>
    <mergeCell ref="MPW22:MPY22"/>
    <mergeCell ref="MPZ22:MQB22"/>
    <mergeCell ref="MOS22:MOU22"/>
    <mergeCell ref="MOV22:MOX22"/>
    <mergeCell ref="MOY22:MPA22"/>
    <mergeCell ref="MPB22:MPD22"/>
    <mergeCell ref="MPE22:MPG22"/>
    <mergeCell ref="MPH22:MPJ22"/>
    <mergeCell ref="MOA22:MOC22"/>
    <mergeCell ref="MOD22:MOF22"/>
    <mergeCell ref="MOG22:MOI22"/>
    <mergeCell ref="MOJ22:MOL22"/>
    <mergeCell ref="MOM22:MOO22"/>
    <mergeCell ref="MOP22:MOR22"/>
    <mergeCell ref="MNI22:MNK22"/>
    <mergeCell ref="MNL22:MNN22"/>
    <mergeCell ref="MNO22:MNQ22"/>
    <mergeCell ref="MNR22:MNT22"/>
    <mergeCell ref="MNU22:MNW22"/>
    <mergeCell ref="MNX22:MNZ22"/>
    <mergeCell ref="MMQ22:MMS22"/>
    <mergeCell ref="MMT22:MMV22"/>
    <mergeCell ref="MMW22:MMY22"/>
    <mergeCell ref="MMZ22:MNB22"/>
    <mergeCell ref="MNC22:MNE22"/>
    <mergeCell ref="MNF22:MNH22"/>
    <mergeCell ref="MLY22:MMA22"/>
    <mergeCell ref="MMB22:MMD22"/>
    <mergeCell ref="MME22:MMG22"/>
    <mergeCell ref="MMH22:MMJ22"/>
    <mergeCell ref="MMK22:MMM22"/>
    <mergeCell ref="MMN22:MMP22"/>
    <mergeCell ref="MLG22:MLI22"/>
    <mergeCell ref="MLJ22:MLL22"/>
    <mergeCell ref="MLM22:MLO22"/>
    <mergeCell ref="MLP22:MLR22"/>
    <mergeCell ref="MLS22:MLU22"/>
    <mergeCell ref="MLV22:MLX22"/>
    <mergeCell ref="MKO22:MKQ22"/>
    <mergeCell ref="MKR22:MKT22"/>
    <mergeCell ref="MKU22:MKW22"/>
    <mergeCell ref="MKX22:MKZ22"/>
    <mergeCell ref="MLA22:MLC22"/>
    <mergeCell ref="MLD22:MLF22"/>
    <mergeCell ref="MJW22:MJY22"/>
    <mergeCell ref="MJZ22:MKB22"/>
    <mergeCell ref="MKC22:MKE22"/>
    <mergeCell ref="MKF22:MKH22"/>
    <mergeCell ref="MKI22:MKK22"/>
    <mergeCell ref="MKL22:MKN22"/>
    <mergeCell ref="MJE22:MJG22"/>
    <mergeCell ref="MJH22:MJJ22"/>
    <mergeCell ref="MJK22:MJM22"/>
    <mergeCell ref="MJN22:MJP22"/>
    <mergeCell ref="MJQ22:MJS22"/>
    <mergeCell ref="MJT22:MJV22"/>
    <mergeCell ref="MIM22:MIO22"/>
    <mergeCell ref="MIP22:MIR22"/>
    <mergeCell ref="MIS22:MIU22"/>
    <mergeCell ref="MIV22:MIX22"/>
    <mergeCell ref="MIY22:MJA22"/>
    <mergeCell ref="MJB22:MJD22"/>
    <mergeCell ref="MHU22:MHW22"/>
    <mergeCell ref="MHX22:MHZ22"/>
    <mergeCell ref="MIA22:MIC22"/>
    <mergeCell ref="MID22:MIF22"/>
    <mergeCell ref="MIG22:MII22"/>
    <mergeCell ref="MIJ22:MIL22"/>
    <mergeCell ref="MHC22:MHE22"/>
    <mergeCell ref="MHF22:MHH22"/>
    <mergeCell ref="MHI22:MHK22"/>
    <mergeCell ref="MHL22:MHN22"/>
    <mergeCell ref="MHO22:MHQ22"/>
    <mergeCell ref="MHR22:MHT22"/>
    <mergeCell ref="MGK22:MGM22"/>
    <mergeCell ref="MGN22:MGP22"/>
    <mergeCell ref="MGQ22:MGS22"/>
    <mergeCell ref="MGT22:MGV22"/>
    <mergeCell ref="MGW22:MGY22"/>
    <mergeCell ref="MGZ22:MHB22"/>
    <mergeCell ref="MFS22:MFU22"/>
    <mergeCell ref="MFV22:MFX22"/>
    <mergeCell ref="MFY22:MGA22"/>
    <mergeCell ref="MGB22:MGD22"/>
    <mergeCell ref="MGE22:MGG22"/>
    <mergeCell ref="MGH22:MGJ22"/>
    <mergeCell ref="MFA22:MFC22"/>
    <mergeCell ref="MFD22:MFF22"/>
    <mergeCell ref="MFG22:MFI22"/>
    <mergeCell ref="MFJ22:MFL22"/>
    <mergeCell ref="MFM22:MFO22"/>
    <mergeCell ref="MFP22:MFR22"/>
    <mergeCell ref="MEI22:MEK22"/>
    <mergeCell ref="MEL22:MEN22"/>
    <mergeCell ref="MEO22:MEQ22"/>
    <mergeCell ref="MER22:MET22"/>
    <mergeCell ref="MEU22:MEW22"/>
    <mergeCell ref="MEX22:MEZ22"/>
    <mergeCell ref="MDQ22:MDS22"/>
    <mergeCell ref="MDT22:MDV22"/>
    <mergeCell ref="MDW22:MDY22"/>
    <mergeCell ref="MDZ22:MEB22"/>
    <mergeCell ref="MEC22:MEE22"/>
    <mergeCell ref="MEF22:MEH22"/>
    <mergeCell ref="MCY22:MDA22"/>
    <mergeCell ref="MDB22:MDD22"/>
    <mergeCell ref="MDE22:MDG22"/>
    <mergeCell ref="MDH22:MDJ22"/>
    <mergeCell ref="MDK22:MDM22"/>
    <mergeCell ref="MDN22:MDP22"/>
    <mergeCell ref="MCG22:MCI22"/>
    <mergeCell ref="MCJ22:MCL22"/>
    <mergeCell ref="MCM22:MCO22"/>
    <mergeCell ref="MCP22:MCR22"/>
    <mergeCell ref="MCS22:MCU22"/>
    <mergeCell ref="MCV22:MCX22"/>
    <mergeCell ref="MBO22:MBQ22"/>
    <mergeCell ref="MBR22:MBT22"/>
    <mergeCell ref="MBU22:MBW22"/>
    <mergeCell ref="MBX22:MBZ22"/>
    <mergeCell ref="MCA22:MCC22"/>
    <mergeCell ref="MCD22:MCF22"/>
    <mergeCell ref="MAW22:MAY22"/>
    <mergeCell ref="MAZ22:MBB22"/>
    <mergeCell ref="MBC22:MBE22"/>
    <mergeCell ref="MBF22:MBH22"/>
    <mergeCell ref="MBI22:MBK22"/>
    <mergeCell ref="MBL22:MBN22"/>
    <mergeCell ref="MAE22:MAG22"/>
    <mergeCell ref="MAH22:MAJ22"/>
    <mergeCell ref="MAK22:MAM22"/>
    <mergeCell ref="MAN22:MAP22"/>
    <mergeCell ref="MAQ22:MAS22"/>
    <mergeCell ref="MAT22:MAV22"/>
    <mergeCell ref="LZM22:LZO22"/>
    <mergeCell ref="LZP22:LZR22"/>
    <mergeCell ref="LZS22:LZU22"/>
    <mergeCell ref="LZV22:LZX22"/>
    <mergeCell ref="LZY22:MAA22"/>
    <mergeCell ref="MAB22:MAD22"/>
    <mergeCell ref="LYU22:LYW22"/>
    <mergeCell ref="LYX22:LYZ22"/>
    <mergeCell ref="LZA22:LZC22"/>
    <mergeCell ref="LZD22:LZF22"/>
    <mergeCell ref="LZG22:LZI22"/>
    <mergeCell ref="LZJ22:LZL22"/>
    <mergeCell ref="LYC22:LYE22"/>
    <mergeCell ref="LYF22:LYH22"/>
    <mergeCell ref="LYI22:LYK22"/>
    <mergeCell ref="LYL22:LYN22"/>
    <mergeCell ref="LYO22:LYQ22"/>
    <mergeCell ref="LYR22:LYT22"/>
    <mergeCell ref="LXK22:LXM22"/>
    <mergeCell ref="LXN22:LXP22"/>
    <mergeCell ref="LXQ22:LXS22"/>
    <mergeCell ref="LXT22:LXV22"/>
    <mergeCell ref="LXW22:LXY22"/>
    <mergeCell ref="LXZ22:LYB22"/>
    <mergeCell ref="LWS22:LWU22"/>
    <mergeCell ref="LWV22:LWX22"/>
    <mergeCell ref="LWY22:LXA22"/>
    <mergeCell ref="LXB22:LXD22"/>
    <mergeCell ref="LXE22:LXG22"/>
    <mergeCell ref="LXH22:LXJ22"/>
    <mergeCell ref="LWA22:LWC22"/>
    <mergeCell ref="LWD22:LWF22"/>
    <mergeCell ref="LWG22:LWI22"/>
    <mergeCell ref="LWJ22:LWL22"/>
    <mergeCell ref="LWM22:LWO22"/>
    <mergeCell ref="LWP22:LWR22"/>
    <mergeCell ref="LVI22:LVK22"/>
    <mergeCell ref="LVL22:LVN22"/>
    <mergeCell ref="LVO22:LVQ22"/>
    <mergeCell ref="LVR22:LVT22"/>
    <mergeCell ref="LVU22:LVW22"/>
    <mergeCell ref="LVX22:LVZ22"/>
    <mergeCell ref="LUQ22:LUS22"/>
    <mergeCell ref="LUT22:LUV22"/>
    <mergeCell ref="LUW22:LUY22"/>
    <mergeCell ref="LUZ22:LVB22"/>
    <mergeCell ref="LVC22:LVE22"/>
    <mergeCell ref="LVF22:LVH22"/>
    <mergeCell ref="LTY22:LUA22"/>
    <mergeCell ref="LUB22:LUD22"/>
    <mergeCell ref="LUE22:LUG22"/>
    <mergeCell ref="LUH22:LUJ22"/>
    <mergeCell ref="LUK22:LUM22"/>
    <mergeCell ref="LUN22:LUP22"/>
    <mergeCell ref="LTG22:LTI22"/>
    <mergeCell ref="LTJ22:LTL22"/>
    <mergeCell ref="LTM22:LTO22"/>
    <mergeCell ref="LTP22:LTR22"/>
    <mergeCell ref="LTS22:LTU22"/>
    <mergeCell ref="LTV22:LTX22"/>
    <mergeCell ref="LSO22:LSQ22"/>
    <mergeCell ref="LSR22:LST22"/>
    <mergeCell ref="LSU22:LSW22"/>
    <mergeCell ref="LSX22:LSZ22"/>
    <mergeCell ref="LTA22:LTC22"/>
    <mergeCell ref="LTD22:LTF22"/>
    <mergeCell ref="LRW22:LRY22"/>
    <mergeCell ref="LRZ22:LSB22"/>
    <mergeCell ref="LSC22:LSE22"/>
    <mergeCell ref="LSF22:LSH22"/>
    <mergeCell ref="LSI22:LSK22"/>
    <mergeCell ref="LSL22:LSN22"/>
    <mergeCell ref="LRE22:LRG22"/>
    <mergeCell ref="LRH22:LRJ22"/>
    <mergeCell ref="LRK22:LRM22"/>
    <mergeCell ref="LRN22:LRP22"/>
    <mergeCell ref="LRQ22:LRS22"/>
    <mergeCell ref="LRT22:LRV22"/>
    <mergeCell ref="LQM22:LQO22"/>
    <mergeCell ref="LQP22:LQR22"/>
    <mergeCell ref="LQS22:LQU22"/>
    <mergeCell ref="LQV22:LQX22"/>
    <mergeCell ref="LQY22:LRA22"/>
    <mergeCell ref="LRB22:LRD22"/>
    <mergeCell ref="LPU22:LPW22"/>
    <mergeCell ref="LPX22:LPZ22"/>
    <mergeCell ref="LQA22:LQC22"/>
    <mergeCell ref="LQD22:LQF22"/>
    <mergeCell ref="LQG22:LQI22"/>
    <mergeCell ref="LQJ22:LQL22"/>
    <mergeCell ref="LPC22:LPE22"/>
    <mergeCell ref="LPF22:LPH22"/>
    <mergeCell ref="LPI22:LPK22"/>
    <mergeCell ref="LPL22:LPN22"/>
    <mergeCell ref="LPO22:LPQ22"/>
    <mergeCell ref="LPR22:LPT22"/>
    <mergeCell ref="LOK22:LOM22"/>
    <mergeCell ref="LON22:LOP22"/>
    <mergeCell ref="LOQ22:LOS22"/>
    <mergeCell ref="LOT22:LOV22"/>
    <mergeCell ref="LOW22:LOY22"/>
    <mergeCell ref="LOZ22:LPB22"/>
    <mergeCell ref="LNS22:LNU22"/>
    <mergeCell ref="LNV22:LNX22"/>
    <mergeCell ref="LNY22:LOA22"/>
    <mergeCell ref="LOB22:LOD22"/>
    <mergeCell ref="LOE22:LOG22"/>
    <mergeCell ref="LOH22:LOJ22"/>
    <mergeCell ref="LNA22:LNC22"/>
    <mergeCell ref="LND22:LNF22"/>
    <mergeCell ref="LNG22:LNI22"/>
    <mergeCell ref="LNJ22:LNL22"/>
    <mergeCell ref="LNM22:LNO22"/>
    <mergeCell ref="LNP22:LNR22"/>
    <mergeCell ref="LMI22:LMK22"/>
    <mergeCell ref="LML22:LMN22"/>
    <mergeCell ref="LMO22:LMQ22"/>
    <mergeCell ref="LMR22:LMT22"/>
    <mergeCell ref="LMU22:LMW22"/>
    <mergeCell ref="LMX22:LMZ22"/>
    <mergeCell ref="LLQ22:LLS22"/>
    <mergeCell ref="LLT22:LLV22"/>
    <mergeCell ref="LLW22:LLY22"/>
    <mergeCell ref="LLZ22:LMB22"/>
    <mergeCell ref="LMC22:LME22"/>
    <mergeCell ref="LMF22:LMH22"/>
    <mergeCell ref="LKY22:LLA22"/>
    <mergeCell ref="LLB22:LLD22"/>
    <mergeCell ref="LLE22:LLG22"/>
    <mergeCell ref="LLH22:LLJ22"/>
    <mergeCell ref="LLK22:LLM22"/>
    <mergeCell ref="LLN22:LLP22"/>
    <mergeCell ref="LKG22:LKI22"/>
    <mergeCell ref="LKJ22:LKL22"/>
    <mergeCell ref="LKM22:LKO22"/>
    <mergeCell ref="LKP22:LKR22"/>
    <mergeCell ref="LKS22:LKU22"/>
    <mergeCell ref="LKV22:LKX22"/>
    <mergeCell ref="LJO22:LJQ22"/>
    <mergeCell ref="LJR22:LJT22"/>
    <mergeCell ref="LJU22:LJW22"/>
    <mergeCell ref="LJX22:LJZ22"/>
    <mergeCell ref="LKA22:LKC22"/>
    <mergeCell ref="LKD22:LKF22"/>
    <mergeCell ref="LIW22:LIY22"/>
    <mergeCell ref="LIZ22:LJB22"/>
    <mergeCell ref="LJC22:LJE22"/>
    <mergeCell ref="LJF22:LJH22"/>
    <mergeCell ref="LJI22:LJK22"/>
    <mergeCell ref="LJL22:LJN22"/>
    <mergeCell ref="LIE22:LIG22"/>
    <mergeCell ref="LIH22:LIJ22"/>
    <mergeCell ref="LIK22:LIM22"/>
    <mergeCell ref="LIN22:LIP22"/>
    <mergeCell ref="LIQ22:LIS22"/>
    <mergeCell ref="LIT22:LIV22"/>
    <mergeCell ref="LHM22:LHO22"/>
    <mergeCell ref="LHP22:LHR22"/>
    <mergeCell ref="LHS22:LHU22"/>
    <mergeCell ref="LHV22:LHX22"/>
    <mergeCell ref="LHY22:LIA22"/>
    <mergeCell ref="LIB22:LID22"/>
    <mergeCell ref="LGU22:LGW22"/>
    <mergeCell ref="LGX22:LGZ22"/>
    <mergeCell ref="LHA22:LHC22"/>
    <mergeCell ref="LHD22:LHF22"/>
    <mergeCell ref="LHG22:LHI22"/>
    <mergeCell ref="LHJ22:LHL22"/>
    <mergeCell ref="LGC22:LGE22"/>
    <mergeCell ref="LGF22:LGH22"/>
    <mergeCell ref="LGI22:LGK22"/>
    <mergeCell ref="LGL22:LGN22"/>
    <mergeCell ref="LGO22:LGQ22"/>
    <mergeCell ref="LGR22:LGT22"/>
    <mergeCell ref="LFK22:LFM22"/>
    <mergeCell ref="LFN22:LFP22"/>
    <mergeCell ref="LFQ22:LFS22"/>
    <mergeCell ref="LFT22:LFV22"/>
    <mergeCell ref="LFW22:LFY22"/>
    <mergeCell ref="LFZ22:LGB22"/>
    <mergeCell ref="LES22:LEU22"/>
    <mergeCell ref="LEV22:LEX22"/>
    <mergeCell ref="LEY22:LFA22"/>
    <mergeCell ref="LFB22:LFD22"/>
    <mergeCell ref="LFE22:LFG22"/>
    <mergeCell ref="LFH22:LFJ22"/>
    <mergeCell ref="LEA22:LEC22"/>
    <mergeCell ref="LED22:LEF22"/>
    <mergeCell ref="LEG22:LEI22"/>
    <mergeCell ref="LEJ22:LEL22"/>
    <mergeCell ref="LEM22:LEO22"/>
    <mergeCell ref="LEP22:LER22"/>
    <mergeCell ref="LDI22:LDK22"/>
    <mergeCell ref="LDL22:LDN22"/>
    <mergeCell ref="LDO22:LDQ22"/>
    <mergeCell ref="LDR22:LDT22"/>
    <mergeCell ref="LDU22:LDW22"/>
    <mergeCell ref="LDX22:LDZ22"/>
    <mergeCell ref="LCQ22:LCS22"/>
    <mergeCell ref="LCT22:LCV22"/>
    <mergeCell ref="LCW22:LCY22"/>
    <mergeCell ref="LCZ22:LDB22"/>
    <mergeCell ref="LDC22:LDE22"/>
    <mergeCell ref="LDF22:LDH22"/>
    <mergeCell ref="LBY22:LCA22"/>
    <mergeCell ref="LCB22:LCD22"/>
    <mergeCell ref="LCE22:LCG22"/>
    <mergeCell ref="LCH22:LCJ22"/>
    <mergeCell ref="LCK22:LCM22"/>
    <mergeCell ref="LCN22:LCP22"/>
    <mergeCell ref="LBG22:LBI22"/>
    <mergeCell ref="LBJ22:LBL22"/>
    <mergeCell ref="LBM22:LBO22"/>
    <mergeCell ref="LBP22:LBR22"/>
    <mergeCell ref="LBS22:LBU22"/>
    <mergeCell ref="LBV22:LBX22"/>
    <mergeCell ref="LAO22:LAQ22"/>
    <mergeCell ref="LAR22:LAT22"/>
    <mergeCell ref="LAU22:LAW22"/>
    <mergeCell ref="LAX22:LAZ22"/>
    <mergeCell ref="LBA22:LBC22"/>
    <mergeCell ref="LBD22:LBF22"/>
    <mergeCell ref="KZW22:KZY22"/>
    <mergeCell ref="KZZ22:LAB22"/>
    <mergeCell ref="LAC22:LAE22"/>
    <mergeCell ref="LAF22:LAH22"/>
    <mergeCell ref="LAI22:LAK22"/>
    <mergeCell ref="LAL22:LAN22"/>
    <mergeCell ref="KZE22:KZG22"/>
    <mergeCell ref="KZH22:KZJ22"/>
    <mergeCell ref="KZK22:KZM22"/>
    <mergeCell ref="KZN22:KZP22"/>
    <mergeCell ref="KZQ22:KZS22"/>
    <mergeCell ref="KZT22:KZV22"/>
    <mergeCell ref="KYM22:KYO22"/>
    <mergeCell ref="KYP22:KYR22"/>
    <mergeCell ref="KYS22:KYU22"/>
    <mergeCell ref="KYV22:KYX22"/>
    <mergeCell ref="KYY22:KZA22"/>
    <mergeCell ref="KZB22:KZD22"/>
    <mergeCell ref="KXU22:KXW22"/>
    <mergeCell ref="KXX22:KXZ22"/>
    <mergeCell ref="KYA22:KYC22"/>
    <mergeCell ref="KYD22:KYF22"/>
    <mergeCell ref="KYG22:KYI22"/>
    <mergeCell ref="KYJ22:KYL22"/>
    <mergeCell ref="KXC22:KXE22"/>
    <mergeCell ref="KXF22:KXH22"/>
    <mergeCell ref="KXI22:KXK22"/>
    <mergeCell ref="KXL22:KXN22"/>
    <mergeCell ref="KXO22:KXQ22"/>
    <mergeCell ref="KXR22:KXT22"/>
    <mergeCell ref="KWK22:KWM22"/>
    <mergeCell ref="KWN22:KWP22"/>
    <mergeCell ref="KWQ22:KWS22"/>
    <mergeCell ref="KWT22:KWV22"/>
    <mergeCell ref="KWW22:KWY22"/>
    <mergeCell ref="KWZ22:KXB22"/>
    <mergeCell ref="KVS22:KVU22"/>
    <mergeCell ref="KVV22:KVX22"/>
    <mergeCell ref="KVY22:KWA22"/>
    <mergeCell ref="KWB22:KWD22"/>
    <mergeCell ref="KWE22:KWG22"/>
    <mergeCell ref="KWH22:KWJ22"/>
    <mergeCell ref="KVA22:KVC22"/>
    <mergeCell ref="KVD22:KVF22"/>
    <mergeCell ref="KVG22:KVI22"/>
    <mergeCell ref="KVJ22:KVL22"/>
    <mergeCell ref="KVM22:KVO22"/>
    <mergeCell ref="KVP22:KVR22"/>
    <mergeCell ref="KUI22:KUK22"/>
    <mergeCell ref="KUL22:KUN22"/>
    <mergeCell ref="KUO22:KUQ22"/>
    <mergeCell ref="KUR22:KUT22"/>
    <mergeCell ref="KUU22:KUW22"/>
    <mergeCell ref="KUX22:KUZ22"/>
    <mergeCell ref="KTQ22:KTS22"/>
    <mergeCell ref="KTT22:KTV22"/>
    <mergeCell ref="KTW22:KTY22"/>
    <mergeCell ref="KTZ22:KUB22"/>
    <mergeCell ref="KUC22:KUE22"/>
    <mergeCell ref="KUF22:KUH22"/>
    <mergeCell ref="KSY22:KTA22"/>
    <mergeCell ref="KTB22:KTD22"/>
    <mergeCell ref="KTE22:KTG22"/>
    <mergeCell ref="KTH22:KTJ22"/>
    <mergeCell ref="KTK22:KTM22"/>
    <mergeCell ref="KTN22:KTP22"/>
    <mergeCell ref="KSG22:KSI22"/>
    <mergeCell ref="KSJ22:KSL22"/>
    <mergeCell ref="KSM22:KSO22"/>
    <mergeCell ref="KSP22:KSR22"/>
    <mergeCell ref="KSS22:KSU22"/>
    <mergeCell ref="KSV22:KSX22"/>
    <mergeCell ref="KRO22:KRQ22"/>
    <mergeCell ref="KRR22:KRT22"/>
    <mergeCell ref="KRU22:KRW22"/>
    <mergeCell ref="KRX22:KRZ22"/>
    <mergeCell ref="KSA22:KSC22"/>
    <mergeCell ref="KSD22:KSF22"/>
    <mergeCell ref="KQW22:KQY22"/>
    <mergeCell ref="KQZ22:KRB22"/>
    <mergeCell ref="KRC22:KRE22"/>
    <mergeCell ref="KRF22:KRH22"/>
    <mergeCell ref="KRI22:KRK22"/>
    <mergeCell ref="KRL22:KRN22"/>
    <mergeCell ref="KQE22:KQG22"/>
    <mergeCell ref="KQH22:KQJ22"/>
    <mergeCell ref="KQK22:KQM22"/>
    <mergeCell ref="KQN22:KQP22"/>
    <mergeCell ref="KQQ22:KQS22"/>
    <mergeCell ref="KQT22:KQV22"/>
    <mergeCell ref="KPM22:KPO22"/>
    <mergeCell ref="KPP22:KPR22"/>
    <mergeCell ref="KPS22:KPU22"/>
    <mergeCell ref="KPV22:KPX22"/>
    <mergeCell ref="KPY22:KQA22"/>
    <mergeCell ref="KQB22:KQD22"/>
    <mergeCell ref="KOU22:KOW22"/>
    <mergeCell ref="KOX22:KOZ22"/>
    <mergeCell ref="KPA22:KPC22"/>
    <mergeCell ref="KPD22:KPF22"/>
    <mergeCell ref="KPG22:KPI22"/>
    <mergeCell ref="KPJ22:KPL22"/>
    <mergeCell ref="KOC22:KOE22"/>
    <mergeCell ref="KOF22:KOH22"/>
    <mergeCell ref="KOI22:KOK22"/>
    <mergeCell ref="KOL22:KON22"/>
    <mergeCell ref="KOO22:KOQ22"/>
    <mergeCell ref="KOR22:KOT22"/>
    <mergeCell ref="KNK22:KNM22"/>
    <mergeCell ref="KNN22:KNP22"/>
    <mergeCell ref="KNQ22:KNS22"/>
    <mergeCell ref="KNT22:KNV22"/>
    <mergeCell ref="KNW22:KNY22"/>
    <mergeCell ref="KNZ22:KOB22"/>
    <mergeCell ref="KMS22:KMU22"/>
    <mergeCell ref="KMV22:KMX22"/>
    <mergeCell ref="KMY22:KNA22"/>
    <mergeCell ref="KNB22:KND22"/>
    <mergeCell ref="KNE22:KNG22"/>
    <mergeCell ref="KNH22:KNJ22"/>
    <mergeCell ref="KMA22:KMC22"/>
    <mergeCell ref="KMD22:KMF22"/>
    <mergeCell ref="KMG22:KMI22"/>
    <mergeCell ref="KMJ22:KML22"/>
    <mergeCell ref="KMM22:KMO22"/>
    <mergeCell ref="KMP22:KMR22"/>
    <mergeCell ref="KLI22:KLK22"/>
    <mergeCell ref="KLL22:KLN22"/>
    <mergeCell ref="KLO22:KLQ22"/>
    <mergeCell ref="KLR22:KLT22"/>
    <mergeCell ref="KLU22:KLW22"/>
    <mergeCell ref="KLX22:KLZ22"/>
    <mergeCell ref="KKQ22:KKS22"/>
    <mergeCell ref="KKT22:KKV22"/>
    <mergeCell ref="KKW22:KKY22"/>
    <mergeCell ref="KKZ22:KLB22"/>
    <mergeCell ref="KLC22:KLE22"/>
    <mergeCell ref="KLF22:KLH22"/>
    <mergeCell ref="KJY22:KKA22"/>
    <mergeCell ref="KKB22:KKD22"/>
    <mergeCell ref="KKE22:KKG22"/>
    <mergeCell ref="KKH22:KKJ22"/>
    <mergeCell ref="KKK22:KKM22"/>
    <mergeCell ref="KKN22:KKP22"/>
    <mergeCell ref="KJG22:KJI22"/>
    <mergeCell ref="KJJ22:KJL22"/>
    <mergeCell ref="KJM22:KJO22"/>
    <mergeCell ref="KJP22:KJR22"/>
    <mergeCell ref="KJS22:KJU22"/>
    <mergeCell ref="KJV22:KJX22"/>
    <mergeCell ref="KIO22:KIQ22"/>
    <mergeCell ref="KIR22:KIT22"/>
    <mergeCell ref="KIU22:KIW22"/>
    <mergeCell ref="KIX22:KIZ22"/>
    <mergeCell ref="KJA22:KJC22"/>
    <mergeCell ref="KJD22:KJF22"/>
    <mergeCell ref="KHW22:KHY22"/>
    <mergeCell ref="KHZ22:KIB22"/>
    <mergeCell ref="KIC22:KIE22"/>
    <mergeCell ref="KIF22:KIH22"/>
    <mergeCell ref="KII22:KIK22"/>
    <mergeCell ref="KIL22:KIN22"/>
    <mergeCell ref="KHE22:KHG22"/>
    <mergeCell ref="KHH22:KHJ22"/>
    <mergeCell ref="KHK22:KHM22"/>
    <mergeCell ref="KHN22:KHP22"/>
    <mergeCell ref="KHQ22:KHS22"/>
    <mergeCell ref="KHT22:KHV22"/>
    <mergeCell ref="KGM22:KGO22"/>
    <mergeCell ref="KGP22:KGR22"/>
    <mergeCell ref="KGS22:KGU22"/>
    <mergeCell ref="KGV22:KGX22"/>
    <mergeCell ref="KGY22:KHA22"/>
    <mergeCell ref="KHB22:KHD22"/>
    <mergeCell ref="KFU22:KFW22"/>
    <mergeCell ref="KFX22:KFZ22"/>
    <mergeCell ref="KGA22:KGC22"/>
    <mergeCell ref="KGD22:KGF22"/>
    <mergeCell ref="KGG22:KGI22"/>
    <mergeCell ref="KGJ22:KGL22"/>
    <mergeCell ref="KFC22:KFE22"/>
    <mergeCell ref="KFF22:KFH22"/>
    <mergeCell ref="KFI22:KFK22"/>
    <mergeCell ref="KFL22:KFN22"/>
    <mergeCell ref="KFO22:KFQ22"/>
    <mergeCell ref="KFR22:KFT22"/>
    <mergeCell ref="KEK22:KEM22"/>
    <mergeCell ref="KEN22:KEP22"/>
    <mergeCell ref="KEQ22:KES22"/>
    <mergeCell ref="KET22:KEV22"/>
    <mergeCell ref="KEW22:KEY22"/>
    <mergeCell ref="KEZ22:KFB22"/>
    <mergeCell ref="KDS22:KDU22"/>
    <mergeCell ref="KDV22:KDX22"/>
    <mergeCell ref="KDY22:KEA22"/>
    <mergeCell ref="KEB22:KED22"/>
    <mergeCell ref="KEE22:KEG22"/>
    <mergeCell ref="KEH22:KEJ22"/>
    <mergeCell ref="KDA22:KDC22"/>
    <mergeCell ref="KDD22:KDF22"/>
    <mergeCell ref="KDG22:KDI22"/>
    <mergeCell ref="KDJ22:KDL22"/>
    <mergeCell ref="KDM22:KDO22"/>
    <mergeCell ref="KDP22:KDR22"/>
    <mergeCell ref="KCI22:KCK22"/>
    <mergeCell ref="KCL22:KCN22"/>
    <mergeCell ref="KCO22:KCQ22"/>
    <mergeCell ref="KCR22:KCT22"/>
    <mergeCell ref="KCU22:KCW22"/>
    <mergeCell ref="KCX22:KCZ22"/>
    <mergeCell ref="KBQ22:KBS22"/>
    <mergeCell ref="KBT22:KBV22"/>
    <mergeCell ref="KBW22:KBY22"/>
    <mergeCell ref="KBZ22:KCB22"/>
    <mergeCell ref="KCC22:KCE22"/>
    <mergeCell ref="KCF22:KCH22"/>
    <mergeCell ref="KAY22:KBA22"/>
    <mergeCell ref="KBB22:KBD22"/>
    <mergeCell ref="KBE22:KBG22"/>
    <mergeCell ref="KBH22:KBJ22"/>
    <mergeCell ref="KBK22:KBM22"/>
    <mergeCell ref="KBN22:KBP22"/>
    <mergeCell ref="KAG22:KAI22"/>
    <mergeCell ref="KAJ22:KAL22"/>
    <mergeCell ref="KAM22:KAO22"/>
    <mergeCell ref="KAP22:KAR22"/>
    <mergeCell ref="KAS22:KAU22"/>
    <mergeCell ref="KAV22:KAX22"/>
    <mergeCell ref="JZO22:JZQ22"/>
    <mergeCell ref="JZR22:JZT22"/>
    <mergeCell ref="JZU22:JZW22"/>
    <mergeCell ref="JZX22:JZZ22"/>
    <mergeCell ref="KAA22:KAC22"/>
    <mergeCell ref="KAD22:KAF22"/>
    <mergeCell ref="JYW22:JYY22"/>
    <mergeCell ref="JYZ22:JZB22"/>
    <mergeCell ref="JZC22:JZE22"/>
    <mergeCell ref="JZF22:JZH22"/>
    <mergeCell ref="JZI22:JZK22"/>
    <mergeCell ref="JZL22:JZN22"/>
    <mergeCell ref="JYE22:JYG22"/>
    <mergeCell ref="JYH22:JYJ22"/>
    <mergeCell ref="JYK22:JYM22"/>
    <mergeCell ref="JYN22:JYP22"/>
    <mergeCell ref="JYQ22:JYS22"/>
    <mergeCell ref="JYT22:JYV22"/>
    <mergeCell ref="JXM22:JXO22"/>
    <mergeCell ref="JXP22:JXR22"/>
    <mergeCell ref="JXS22:JXU22"/>
    <mergeCell ref="JXV22:JXX22"/>
    <mergeCell ref="JXY22:JYA22"/>
    <mergeCell ref="JYB22:JYD22"/>
    <mergeCell ref="JWU22:JWW22"/>
    <mergeCell ref="JWX22:JWZ22"/>
    <mergeCell ref="JXA22:JXC22"/>
    <mergeCell ref="JXD22:JXF22"/>
    <mergeCell ref="JXG22:JXI22"/>
    <mergeCell ref="JXJ22:JXL22"/>
    <mergeCell ref="JWC22:JWE22"/>
    <mergeCell ref="JWF22:JWH22"/>
    <mergeCell ref="JWI22:JWK22"/>
    <mergeCell ref="JWL22:JWN22"/>
    <mergeCell ref="JWO22:JWQ22"/>
    <mergeCell ref="JWR22:JWT22"/>
    <mergeCell ref="JVK22:JVM22"/>
    <mergeCell ref="JVN22:JVP22"/>
    <mergeCell ref="JVQ22:JVS22"/>
    <mergeCell ref="JVT22:JVV22"/>
    <mergeCell ref="JVW22:JVY22"/>
    <mergeCell ref="JVZ22:JWB22"/>
    <mergeCell ref="JUS22:JUU22"/>
    <mergeCell ref="JUV22:JUX22"/>
    <mergeCell ref="JUY22:JVA22"/>
    <mergeCell ref="JVB22:JVD22"/>
    <mergeCell ref="JVE22:JVG22"/>
    <mergeCell ref="JVH22:JVJ22"/>
    <mergeCell ref="JUA22:JUC22"/>
    <mergeCell ref="JUD22:JUF22"/>
    <mergeCell ref="JUG22:JUI22"/>
    <mergeCell ref="JUJ22:JUL22"/>
    <mergeCell ref="JUM22:JUO22"/>
    <mergeCell ref="JUP22:JUR22"/>
    <mergeCell ref="JTI22:JTK22"/>
    <mergeCell ref="JTL22:JTN22"/>
    <mergeCell ref="JTO22:JTQ22"/>
    <mergeCell ref="JTR22:JTT22"/>
    <mergeCell ref="JTU22:JTW22"/>
    <mergeCell ref="JTX22:JTZ22"/>
    <mergeCell ref="JSQ22:JSS22"/>
    <mergeCell ref="JST22:JSV22"/>
    <mergeCell ref="JSW22:JSY22"/>
    <mergeCell ref="JSZ22:JTB22"/>
    <mergeCell ref="JTC22:JTE22"/>
    <mergeCell ref="JTF22:JTH22"/>
    <mergeCell ref="JRY22:JSA22"/>
    <mergeCell ref="JSB22:JSD22"/>
    <mergeCell ref="JSE22:JSG22"/>
    <mergeCell ref="JSH22:JSJ22"/>
    <mergeCell ref="JSK22:JSM22"/>
    <mergeCell ref="JSN22:JSP22"/>
    <mergeCell ref="JRG22:JRI22"/>
    <mergeCell ref="JRJ22:JRL22"/>
    <mergeCell ref="JRM22:JRO22"/>
    <mergeCell ref="JRP22:JRR22"/>
    <mergeCell ref="JRS22:JRU22"/>
    <mergeCell ref="JRV22:JRX22"/>
    <mergeCell ref="JQO22:JQQ22"/>
    <mergeCell ref="JQR22:JQT22"/>
    <mergeCell ref="JQU22:JQW22"/>
    <mergeCell ref="JQX22:JQZ22"/>
    <mergeCell ref="JRA22:JRC22"/>
    <mergeCell ref="JRD22:JRF22"/>
    <mergeCell ref="JPW22:JPY22"/>
    <mergeCell ref="JPZ22:JQB22"/>
    <mergeCell ref="JQC22:JQE22"/>
    <mergeCell ref="JQF22:JQH22"/>
    <mergeCell ref="JQI22:JQK22"/>
    <mergeCell ref="JQL22:JQN22"/>
    <mergeCell ref="JPE22:JPG22"/>
    <mergeCell ref="JPH22:JPJ22"/>
    <mergeCell ref="JPK22:JPM22"/>
    <mergeCell ref="JPN22:JPP22"/>
    <mergeCell ref="JPQ22:JPS22"/>
    <mergeCell ref="JPT22:JPV22"/>
    <mergeCell ref="JOM22:JOO22"/>
    <mergeCell ref="JOP22:JOR22"/>
    <mergeCell ref="JOS22:JOU22"/>
    <mergeCell ref="JOV22:JOX22"/>
    <mergeCell ref="JOY22:JPA22"/>
    <mergeCell ref="JPB22:JPD22"/>
    <mergeCell ref="JNU22:JNW22"/>
    <mergeCell ref="JNX22:JNZ22"/>
    <mergeCell ref="JOA22:JOC22"/>
    <mergeCell ref="JOD22:JOF22"/>
    <mergeCell ref="JOG22:JOI22"/>
    <mergeCell ref="JOJ22:JOL22"/>
    <mergeCell ref="JNC22:JNE22"/>
    <mergeCell ref="JNF22:JNH22"/>
    <mergeCell ref="JNI22:JNK22"/>
    <mergeCell ref="JNL22:JNN22"/>
    <mergeCell ref="JNO22:JNQ22"/>
    <mergeCell ref="JNR22:JNT22"/>
    <mergeCell ref="JMK22:JMM22"/>
    <mergeCell ref="JMN22:JMP22"/>
    <mergeCell ref="JMQ22:JMS22"/>
    <mergeCell ref="JMT22:JMV22"/>
    <mergeCell ref="JMW22:JMY22"/>
    <mergeCell ref="JMZ22:JNB22"/>
    <mergeCell ref="JLS22:JLU22"/>
    <mergeCell ref="JLV22:JLX22"/>
    <mergeCell ref="JLY22:JMA22"/>
    <mergeCell ref="JMB22:JMD22"/>
    <mergeCell ref="JME22:JMG22"/>
    <mergeCell ref="JMH22:JMJ22"/>
    <mergeCell ref="JLA22:JLC22"/>
    <mergeCell ref="JLD22:JLF22"/>
    <mergeCell ref="JLG22:JLI22"/>
    <mergeCell ref="JLJ22:JLL22"/>
    <mergeCell ref="JLM22:JLO22"/>
    <mergeCell ref="JLP22:JLR22"/>
    <mergeCell ref="JKI22:JKK22"/>
    <mergeCell ref="JKL22:JKN22"/>
    <mergeCell ref="JKO22:JKQ22"/>
    <mergeCell ref="JKR22:JKT22"/>
    <mergeCell ref="JKU22:JKW22"/>
    <mergeCell ref="JKX22:JKZ22"/>
    <mergeCell ref="JJQ22:JJS22"/>
    <mergeCell ref="JJT22:JJV22"/>
    <mergeCell ref="JJW22:JJY22"/>
    <mergeCell ref="JJZ22:JKB22"/>
    <mergeCell ref="JKC22:JKE22"/>
    <mergeCell ref="JKF22:JKH22"/>
    <mergeCell ref="JIY22:JJA22"/>
    <mergeCell ref="JJB22:JJD22"/>
    <mergeCell ref="JJE22:JJG22"/>
    <mergeCell ref="JJH22:JJJ22"/>
    <mergeCell ref="JJK22:JJM22"/>
    <mergeCell ref="JJN22:JJP22"/>
    <mergeCell ref="JIG22:JII22"/>
    <mergeCell ref="JIJ22:JIL22"/>
    <mergeCell ref="JIM22:JIO22"/>
    <mergeCell ref="JIP22:JIR22"/>
    <mergeCell ref="JIS22:JIU22"/>
    <mergeCell ref="JIV22:JIX22"/>
    <mergeCell ref="JHO22:JHQ22"/>
    <mergeCell ref="JHR22:JHT22"/>
    <mergeCell ref="JHU22:JHW22"/>
    <mergeCell ref="JHX22:JHZ22"/>
    <mergeCell ref="JIA22:JIC22"/>
    <mergeCell ref="JID22:JIF22"/>
    <mergeCell ref="JGW22:JGY22"/>
    <mergeCell ref="JGZ22:JHB22"/>
    <mergeCell ref="JHC22:JHE22"/>
    <mergeCell ref="JHF22:JHH22"/>
    <mergeCell ref="JHI22:JHK22"/>
    <mergeCell ref="JHL22:JHN22"/>
    <mergeCell ref="JGE22:JGG22"/>
    <mergeCell ref="JGH22:JGJ22"/>
    <mergeCell ref="JGK22:JGM22"/>
    <mergeCell ref="JGN22:JGP22"/>
    <mergeCell ref="JGQ22:JGS22"/>
    <mergeCell ref="JGT22:JGV22"/>
    <mergeCell ref="JFM22:JFO22"/>
    <mergeCell ref="JFP22:JFR22"/>
    <mergeCell ref="JFS22:JFU22"/>
    <mergeCell ref="JFV22:JFX22"/>
    <mergeCell ref="JFY22:JGA22"/>
    <mergeCell ref="JGB22:JGD22"/>
    <mergeCell ref="JEU22:JEW22"/>
    <mergeCell ref="JEX22:JEZ22"/>
    <mergeCell ref="JFA22:JFC22"/>
    <mergeCell ref="JFD22:JFF22"/>
    <mergeCell ref="JFG22:JFI22"/>
    <mergeCell ref="JFJ22:JFL22"/>
    <mergeCell ref="JEC22:JEE22"/>
    <mergeCell ref="JEF22:JEH22"/>
    <mergeCell ref="JEI22:JEK22"/>
    <mergeCell ref="JEL22:JEN22"/>
    <mergeCell ref="JEO22:JEQ22"/>
    <mergeCell ref="JER22:JET22"/>
    <mergeCell ref="JDK22:JDM22"/>
    <mergeCell ref="JDN22:JDP22"/>
    <mergeCell ref="JDQ22:JDS22"/>
    <mergeCell ref="JDT22:JDV22"/>
    <mergeCell ref="JDW22:JDY22"/>
    <mergeCell ref="JDZ22:JEB22"/>
    <mergeCell ref="JCS22:JCU22"/>
    <mergeCell ref="JCV22:JCX22"/>
    <mergeCell ref="JCY22:JDA22"/>
    <mergeCell ref="JDB22:JDD22"/>
    <mergeCell ref="JDE22:JDG22"/>
    <mergeCell ref="JDH22:JDJ22"/>
    <mergeCell ref="JCA22:JCC22"/>
    <mergeCell ref="JCD22:JCF22"/>
    <mergeCell ref="JCG22:JCI22"/>
    <mergeCell ref="JCJ22:JCL22"/>
    <mergeCell ref="JCM22:JCO22"/>
    <mergeCell ref="JCP22:JCR22"/>
    <mergeCell ref="JBI22:JBK22"/>
    <mergeCell ref="JBL22:JBN22"/>
    <mergeCell ref="JBO22:JBQ22"/>
    <mergeCell ref="JBR22:JBT22"/>
    <mergeCell ref="JBU22:JBW22"/>
    <mergeCell ref="JBX22:JBZ22"/>
    <mergeCell ref="JAQ22:JAS22"/>
    <mergeCell ref="JAT22:JAV22"/>
    <mergeCell ref="JAW22:JAY22"/>
    <mergeCell ref="JAZ22:JBB22"/>
    <mergeCell ref="JBC22:JBE22"/>
    <mergeCell ref="JBF22:JBH22"/>
    <mergeCell ref="IZY22:JAA22"/>
    <mergeCell ref="JAB22:JAD22"/>
    <mergeCell ref="JAE22:JAG22"/>
    <mergeCell ref="JAH22:JAJ22"/>
    <mergeCell ref="JAK22:JAM22"/>
    <mergeCell ref="JAN22:JAP22"/>
    <mergeCell ref="IZG22:IZI22"/>
    <mergeCell ref="IZJ22:IZL22"/>
    <mergeCell ref="IZM22:IZO22"/>
    <mergeCell ref="IZP22:IZR22"/>
    <mergeCell ref="IZS22:IZU22"/>
    <mergeCell ref="IZV22:IZX22"/>
    <mergeCell ref="IYO22:IYQ22"/>
    <mergeCell ref="IYR22:IYT22"/>
    <mergeCell ref="IYU22:IYW22"/>
    <mergeCell ref="IYX22:IYZ22"/>
    <mergeCell ref="IZA22:IZC22"/>
    <mergeCell ref="IZD22:IZF22"/>
    <mergeCell ref="IXW22:IXY22"/>
    <mergeCell ref="IXZ22:IYB22"/>
    <mergeCell ref="IYC22:IYE22"/>
    <mergeCell ref="IYF22:IYH22"/>
    <mergeCell ref="IYI22:IYK22"/>
    <mergeCell ref="IYL22:IYN22"/>
    <mergeCell ref="IXE22:IXG22"/>
    <mergeCell ref="IXH22:IXJ22"/>
    <mergeCell ref="IXK22:IXM22"/>
    <mergeCell ref="IXN22:IXP22"/>
    <mergeCell ref="IXQ22:IXS22"/>
    <mergeCell ref="IXT22:IXV22"/>
    <mergeCell ref="IWM22:IWO22"/>
    <mergeCell ref="IWP22:IWR22"/>
    <mergeCell ref="IWS22:IWU22"/>
    <mergeCell ref="IWV22:IWX22"/>
    <mergeCell ref="IWY22:IXA22"/>
    <mergeCell ref="IXB22:IXD22"/>
    <mergeCell ref="IVU22:IVW22"/>
    <mergeCell ref="IVX22:IVZ22"/>
    <mergeCell ref="IWA22:IWC22"/>
    <mergeCell ref="IWD22:IWF22"/>
    <mergeCell ref="IWG22:IWI22"/>
    <mergeCell ref="IWJ22:IWL22"/>
    <mergeCell ref="IVC22:IVE22"/>
    <mergeCell ref="IVF22:IVH22"/>
    <mergeCell ref="IVI22:IVK22"/>
    <mergeCell ref="IVL22:IVN22"/>
    <mergeCell ref="IVO22:IVQ22"/>
    <mergeCell ref="IVR22:IVT22"/>
    <mergeCell ref="IUK22:IUM22"/>
    <mergeCell ref="IUN22:IUP22"/>
    <mergeCell ref="IUQ22:IUS22"/>
    <mergeCell ref="IUT22:IUV22"/>
    <mergeCell ref="IUW22:IUY22"/>
    <mergeCell ref="IUZ22:IVB22"/>
    <mergeCell ref="ITS22:ITU22"/>
    <mergeCell ref="ITV22:ITX22"/>
    <mergeCell ref="ITY22:IUA22"/>
    <mergeCell ref="IUB22:IUD22"/>
    <mergeCell ref="IUE22:IUG22"/>
    <mergeCell ref="IUH22:IUJ22"/>
    <mergeCell ref="ITA22:ITC22"/>
    <mergeCell ref="ITD22:ITF22"/>
    <mergeCell ref="ITG22:ITI22"/>
    <mergeCell ref="ITJ22:ITL22"/>
    <mergeCell ref="ITM22:ITO22"/>
    <mergeCell ref="ITP22:ITR22"/>
    <mergeCell ref="ISI22:ISK22"/>
    <mergeCell ref="ISL22:ISN22"/>
    <mergeCell ref="ISO22:ISQ22"/>
    <mergeCell ref="ISR22:IST22"/>
    <mergeCell ref="ISU22:ISW22"/>
    <mergeCell ref="ISX22:ISZ22"/>
    <mergeCell ref="IRQ22:IRS22"/>
    <mergeCell ref="IRT22:IRV22"/>
    <mergeCell ref="IRW22:IRY22"/>
    <mergeCell ref="IRZ22:ISB22"/>
    <mergeCell ref="ISC22:ISE22"/>
    <mergeCell ref="ISF22:ISH22"/>
    <mergeCell ref="IQY22:IRA22"/>
    <mergeCell ref="IRB22:IRD22"/>
    <mergeCell ref="IRE22:IRG22"/>
    <mergeCell ref="IRH22:IRJ22"/>
    <mergeCell ref="IRK22:IRM22"/>
    <mergeCell ref="IRN22:IRP22"/>
    <mergeCell ref="IQG22:IQI22"/>
    <mergeCell ref="IQJ22:IQL22"/>
    <mergeCell ref="IQM22:IQO22"/>
    <mergeCell ref="IQP22:IQR22"/>
    <mergeCell ref="IQS22:IQU22"/>
    <mergeCell ref="IQV22:IQX22"/>
    <mergeCell ref="IPO22:IPQ22"/>
    <mergeCell ref="IPR22:IPT22"/>
    <mergeCell ref="IPU22:IPW22"/>
    <mergeCell ref="IPX22:IPZ22"/>
    <mergeCell ref="IQA22:IQC22"/>
    <mergeCell ref="IQD22:IQF22"/>
    <mergeCell ref="IOW22:IOY22"/>
    <mergeCell ref="IOZ22:IPB22"/>
    <mergeCell ref="IPC22:IPE22"/>
    <mergeCell ref="IPF22:IPH22"/>
    <mergeCell ref="IPI22:IPK22"/>
    <mergeCell ref="IPL22:IPN22"/>
    <mergeCell ref="IOE22:IOG22"/>
    <mergeCell ref="IOH22:IOJ22"/>
    <mergeCell ref="IOK22:IOM22"/>
    <mergeCell ref="ION22:IOP22"/>
    <mergeCell ref="IOQ22:IOS22"/>
    <mergeCell ref="IOT22:IOV22"/>
    <mergeCell ref="INM22:INO22"/>
    <mergeCell ref="INP22:INR22"/>
    <mergeCell ref="INS22:INU22"/>
    <mergeCell ref="INV22:INX22"/>
    <mergeCell ref="INY22:IOA22"/>
    <mergeCell ref="IOB22:IOD22"/>
    <mergeCell ref="IMU22:IMW22"/>
    <mergeCell ref="IMX22:IMZ22"/>
    <mergeCell ref="INA22:INC22"/>
    <mergeCell ref="IND22:INF22"/>
    <mergeCell ref="ING22:INI22"/>
    <mergeCell ref="INJ22:INL22"/>
    <mergeCell ref="IMC22:IME22"/>
    <mergeCell ref="IMF22:IMH22"/>
    <mergeCell ref="IMI22:IMK22"/>
    <mergeCell ref="IML22:IMN22"/>
    <mergeCell ref="IMO22:IMQ22"/>
    <mergeCell ref="IMR22:IMT22"/>
    <mergeCell ref="ILK22:ILM22"/>
    <mergeCell ref="ILN22:ILP22"/>
    <mergeCell ref="ILQ22:ILS22"/>
    <mergeCell ref="ILT22:ILV22"/>
    <mergeCell ref="ILW22:ILY22"/>
    <mergeCell ref="ILZ22:IMB22"/>
    <mergeCell ref="IKS22:IKU22"/>
    <mergeCell ref="IKV22:IKX22"/>
    <mergeCell ref="IKY22:ILA22"/>
    <mergeCell ref="ILB22:ILD22"/>
    <mergeCell ref="ILE22:ILG22"/>
    <mergeCell ref="ILH22:ILJ22"/>
    <mergeCell ref="IKA22:IKC22"/>
    <mergeCell ref="IKD22:IKF22"/>
    <mergeCell ref="IKG22:IKI22"/>
    <mergeCell ref="IKJ22:IKL22"/>
    <mergeCell ref="IKM22:IKO22"/>
    <mergeCell ref="IKP22:IKR22"/>
    <mergeCell ref="IJI22:IJK22"/>
    <mergeCell ref="IJL22:IJN22"/>
    <mergeCell ref="IJO22:IJQ22"/>
    <mergeCell ref="IJR22:IJT22"/>
    <mergeCell ref="IJU22:IJW22"/>
    <mergeCell ref="IJX22:IJZ22"/>
    <mergeCell ref="IIQ22:IIS22"/>
    <mergeCell ref="IIT22:IIV22"/>
    <mergeCell ref="IIW22:IIY22"/>
    <mergeCell ref="IIZ22:IJB22"/>
    <mergeCell ref="IJC22:IJE22"/>
    <mergeCell ref="IJF22:IJH22"/>
    <mergeCell ref="IHY22:IIA22"/>
    <mergeCell ref="IIB22:IID22"/>
    <mergeCell ref="IIE22:IIG22"/>
    <mergeCell ref="IIH22:IIJ22"/>
    <mergeCell ref="IIK22:IIM22"/>
    <mergeCell ref="IIN22:IIP22"/>
    <mergeCell ref="IHG22:IHI22"/>
    <mergeCell ref="IHJ22:IHL22"/>
    <mergeCell ref="IHM22:IHO22"/>
    <mergeCell ref="IHP22:IHR22"/>
    <mergeCell ref="IHS22:IHU22"/>
    <mergeCell ref="IHV22:IHX22"/>
    <mergeCell ref="IGO22:IGQ22"/>
    <mergeCell ref="IGR22:IGT22"/>
    <mergeCell ref="IGU22:IGW22"/>
    <mergeCell ref="IGX22:IGZ22"/>
    <mergeCell ref="IHA22:IHC22"/>
    <mergeCell ref="IHD22:IHF22"/>
    <mergeCell ref="IFW22:IFY22"/>
    <mergeCell ref="IFZ22:IGB22"/>
    <mergeCell ref="IGC22:IGE22"/>
    <mergeCell ref="IGF22:IGH22"/>
    <mergeCell ref="IGI22:IGK22"/>
    <mergeCell ref="IGL22:IGN22"/>
    <mergeCell ref="IFE22:IFG22"/>
    <mergeCell ref="IFH22:IFJ22"/>
    <mergeCell ref="IFK22:IFM22"/>
    <mergeCell ref="IFN22:IFP22"/>
    <mergeCell ref="IFQ22:IFS22"/>
    <mergeCell ref="IFT22:IFV22"/>
    <mergeCell ref="IEM22:IEO22"/>
    <mergeCell ref="IEP22:IER22"/>
    <mergeCell ref="IES22:IEU22"/>
    <mergeCell ref="IEV22:IEX22"/>
    <mergeCell ref="IEY22:IFA22"/>
    <mergeCell ref="IFB22:IFD22"/>
    <mergeCell ref="IDU22:IDW22"/>
    <mergeCell ref="IDX22:IDZ22"/>
    <mergeCell ref="IEA22:IEC22"/>
    <mergeCell ref="IED22:IEF22"/>
    <mergeCell ref="IEG22:IEI22"/>
    <mergeCell ref="IEJ22:IEL22"/>
    <mergeCell ref="IDC22:IDE22"/>
    <mergeCell ref="IDF22:IDH22"/>
    <mergeCell ref="IDI22:IDK22"/>
    <mergeCell ref="IDL22:IDN22"/>
    <mergeCell ref="IDO22:IDQ22"/>
    <mergeCell ref="IDR22:IDT22"/>
    <mergeCell ref="ICK22:ICM22"/>
    <mergeCell ref="ICN22:ICP22"/>
    <mergeCell ref="ICQ22:ICS22"/>
    <mergeCell ref="ICT22:ICV22"/>
    <mergeCell ref="ICW22:ICY22"/>
    <mergeCell ref="ICZ22:IDB22"/>
    <mergeCell ref="IBS22:IBU22"/>
    <mergeCell ref="IBV22:IBX22"/>
    <mergeCell ref="IBY22:ICA22"/>
    <mergeCell ref="ICB22:ICD22"/>
    <mergeCell ref="ICE22:ICG22"/>
    <mergeCell ref="ICH22:ICJ22"/>
    <mergeCell ref="IBA22:IBC22"/>
    <mergeCell ref="IBD22:IBF22"/>
    <mergeCell ref="IBG22:IBI22"/>
    <mergeCell ref="IBJ22:IBL22"/>
    <mergeCell ref="IBM22:IBO22"/>
    <mergeCell ref="IBP22:IBR22"/>
    <mergeCell ref="IAI22:IAK22"/>
    <mergeCell ref="IAL22:IAN22"/>
    <mergeCell ref="IAO22:IAQ22"/>
    <mergeCell ref="IAR22:IAT22"/>
    <mergeCell ref="IAU22:IAW22"/>
    <mergeCell ref="IAX22:IAZ22"/>
    <mergeCell ref="HZQ22:HZS22"/>
    <mergeCell ref="HZT22:HZV22"/>
    <mergeCell ref="HZW22:HZY22"/>
    <mergeCell ref="HZZ22:IAB22"/>
    <mergeCell ref="IAC22:IAE22"/>
    <mergeCell ref="IAF22:IAH22"/>
    <mergeCell ref="HYY22:HZA22"/>
    <mergeCell ref="HZB22:HZD22"/>
    <mergeCell ref="HZE22:HZG22"/>
    <mergeCell ref="HZH22:HZJ22"/>
    <mergeCell ref="HZK22:HZM22"/>
    <mergeCell ref="HZN22:HZP22"/>
    <mergeCell ref="HYG22:HYI22"/>
    <mergeCell ref="HYJ22:HYL22"/>
    <mergeCell ref="HYM22:HYO22"/>
    <mergeCell ref="HYP22:HYR22"/>
    <mergeCell ref="HYS22:HYU22"/>
    <mergeCell ref="HYV22:HYX22"/>
    <mergeCell ref="HXO22:HXQ22"/>
    <mergeCell ref="HXR22:HXT22"/>
    <mergeCell ref="HXU22:HXW22"/>
    <mergeCell ref="HXX22:HXZ22"/>
    <mergeCell ref="HYA22:HYC22"/>
    <mergeCell ref="HYD22:HYF22"/>
    <mergeCell ref="HWW22:HWY22"/>
    <mergeCell ref="HWZ22:HXB22"/>
    <mergeCell ref="HXC22:HXE22"/>
    <mergeCell ref="HXF22:HXH22"/>
    <mergeCell ref="HXI22:HXK22"/>
    <mergeCell ref="HXL22:HXN22"/>
    <mergeCell ref="HWE22:HWG22"/>
    <mergeCell ref="HWH22:HWJ22"/>
    <mergeCell ref="HWK22:HWM22"/>
    <mergeCell ref="HWN22:HWP22"/>
    <mergeCell ref="HWQ22:HWS22"/>
    <mergeCell ref="HWT22:HWV22"/>
    <mergeCell ref="HVM22:HVO22"/>
    <mergeCell ref="HVP22:HVR22"/>
    <mergeCell ref="HVS22:HVU22"/>
    <mergeCell ref="HVV22:HVX22"/>
    <mergeCell ref="HVY22:HWA22"/>
    <mergeCell ref="HWB22:HWD22"/>
    <mergeCell ref="HUU22:HUW22"/>
    <mergeCell ref="HUX22:HUZ22"/>
    <mergeCell ref="HVA22:HVC22"/>
    <mergeCell ref="HVD22:HVF22"/>
    <mergeCell ref="HVG22:HVI22"/>
    <mergeCell ref="HVJ22:HVL22"/>
    <mergeCell ref="HUC22:HUE22"/>
    <mergeCell ref="HUF22:HUH22"/>
    <mergeCell ref="HUI22:HUK22"/>
    <mergeCell ref="HUL22:HUN22"/>
    <mergeCell ref="HUO22:HUQ22"/>
    <mergeCell ref="HUR22:HUT22"/>
    <mergeCell ref="HTK22:HTM22"/>
    <mergeCell ref="HTN22:HTP22"/>
    <mergeCell ref="HTQ22:HTS22"/>
    <mergeCell ref="HTT22:HTV22"/>
    <mergeCell ref="HTW22:HTY22"/>
    <mergeCell ref="HTZ22:HUB22"/>
    <mergeCell ref="HSS22:HSU22"/>
    <mergeCell ref="HSV22:HSX22"/>
    <mergeCell ref="HSY22:HTA22"/>
    <mergeCell ref="HTB22:HTD22"/>
    <mergeCell ref="HTE22:HTG22"/>
    <mergeCell ref="HTH22:HTJ22"/>
    <mergeCell ref="HSA22:HSC22"/>
    <mergeCell ref="HSD22:HSF22"/>
    <mergeCell ref="HSG22:HSI22"/>
    <mergeCell ref="HSJ22:HSL22"/>
    <mergeCell ref="HSM22:HSO22"/>
    <mergeCell ref="HSP22:HSR22"/>
    <mergeCell ref="HRI22:HRK22"/>
    <mergeCell ref="HRL22:HRN22"/>
    <mergeCell ref="HRO22:HRQ22"/>
    <mergeCell ref="HRR22:HRT22"/>
    <mergeCell ref="HRU22:HRW22"/>
    <mergeCell ref="HRX22:HRZ22"/>
    <mergeCell ref="HQQ22:HQS22"/>
    <mergeCell ref="HQT22:HQV22"/>
    <mergeCell ref="HQW22:HQY22"/>
    <mergeCell ref="HQZ22:HRB22"/>
    <mergeCell ref="HRC22:HRE22"/>
    <mergeCell ref="HRF22:HRH22"/>
    <mergeCell ref="HPY22:HQA22"/>
    <mergeCell ref="HQB22:HQD22"/>
    <mergeCell ref="HQE22:HQG22"/>
    <mergeCell ref="HQH22:HQJ22"/>
    <mergeCell ref="HQK22:HQM22"/>
    <mergeCell ref="HQN22:HQP22"/>
    <mergeCell ref="HPG22:HPI22"/>
    <mergeCell ref="HPJ22:HPL22"/>
    <mergeCell ref="HPM22:HPO22"/>
    <mergeCell ref="HPP22:HPR22"/>
    <mergeCell ref="HPS22:HPU22"/>
    <mergeCell ref="HPV22:HPX22"/>
    <mergeCell ref="HOO22:HOQ22"/>
    <mergeCell ref="HOR22:HOT22"/>
    <mergeCell ref="HOU22:HOW22"/>
    <mergeCell ref="HOX22:HOZ22"/>
    <mergeCell ref="HPA22:HPC22"/>
    <mergeCell ref="HPD22:HPF22"/>
    <mergeCell ref="HNW22:HNY22"/>
    <mergeCell ref="HNZ22:HOB22"/>
    <mergeCell ref="HOC22:HOE22"/>
    <mergeCell ref="HOF22:HOH22"/>
    <mergeCell ref="HOI22:HOK22"/>
    <mergeCell ref="HOL22:HON22"/>
    <mergeCell ref="HNE22:HNG22"/>
    <mergeCell ref="HNH22:HNJ22"/>
    <mergeCell ref="HNK22:HNM22"/>
    <mergeCell ref="HNN22:HNP22"/>
    <mergeCell ref="HNQ22:HNS22"/>
    <mergeCell ref="HNT22:HNV22"/>
    <mergeCell ref="HMM22:HMO22"/>
    <mergeCell ref="HMP22:HMR22"/>
    <mergeCell ref="HMS22:HMU22"/>
    <mergeCell ref="HMV22:HMX22"/>
    <mergeCell ref="HMY22:HNA22"/>
    <mergeCell ref="HNB22:HND22"/>
    <mergeCell ref="HLU22:HLW22"/>
    <mergeCell ref="HLX22:HLZ22"/>
    <mergeCell ref="HMA22:HMC22"/>
    <mergeCell ref="HMD22:HMF22"/>
    <mergeCell ref="HMG22:HMI22"/>
    <mergeCell ref="HMJ22:HML22"/>
    <mergeCell ref="HLC22:HLE22"/>
    <mergeCell ref="HLF22:HLH22"/>
    <mergeCell ref="HLI22:HLK22"/>
    <mergeCell ref="HLL22:HLN22"/>
    <mergeCell ref="HLO22:HLQ22"/>
    <mergeCell ref="HLR22:HLT22"/>
    <mergeCell ref="HKK22:HKM22"/>
    <mergeCell ref="HKN22:HKP22"/>
    <mergeCell ref="HKQ22:HKS22"/>
    <mergeCell ref="HKT22:HKV22"/>
    <mergeCell ref="HKW22:HKY22"/>
    <mergeCell ref="HKZ22:HLB22"/>
    <mergeCell ref="HJS22:HJU22"/>
    <mergeCell ref="HJV22:HJX22"/>
    <mergeCell ref="HJY22:HKA22"/>
    <mergeCell ref="HKB22:HKD22"/>
    <mergeCell ref="HKE22:HKG22"/>
    <mergeCell ref="HKH22:HKJ22"/>
    <mergeCell ref="HJA22:HJC22"/>
    <mergeCell ref="HJD22:HJF22"/>
    <mergeCell ref="HJG22:HJI22"/>
    <mergeCell ref="HJJ22:HJL22"/>
    <mergeCell ref="HJM22:HJO22"/>
    <mergeCell ref="HJP22:HJR22"/>
    <mergeCell ref="HII22:HIK22"/>
    <mergeCell ref="HIL22:HIN22"/>
    <mergeCell ref="HIO22:HIQ22"/>
    <mergeCell ref="HIR22:HIT22"/>
    <mergeCell ref="HIU22:HIW22"/>
    <mergeCell ref="HIX22:HIZ22"/>
    <mergeCell ref="HHQ22:HHS22"/>
    <mergeCell ref="HHT22:HHV22"/>
    <mergeCell ref="HHW22:HHY22"/>
    <mergeCell ref="HHZ22:HIB22"/>
    <mergeCell ref="HIC22:HIE22"/>
    <mergeCell ref="HIF22:HIH22"/>
    <mergeCell ref="HGY22:HHA22"/>
    <mergeCell ref="HHB22:HHD22"/>
    <mergeCell ref="HHE22:HHG22"/>
    <mergeCell ref="HHH22:HHJ22"/>
    <mergeCell ref="HHK22:HHM22"/>
    <mergeCell ref="HHN22:HHP22"/>
    <mergeCell ref="HGG22:HGI22"/>
    <mergeCell ref="HGJ22:HGL22"/>
    <mergeCell ref="HGM22:HGO22"/>
    <mergeCell ref="HGP22:HGR22"/>
    <mergeCell ref="HGS22:HGU22"/>
    <mergeCell ref="HGV22:HGX22"/>
    <mergeCell ref="HFO22:HFQ22"/>
    <mergeCell ref="HFR22:HFT22"/>
    <mergeCell ref="HFU22:HFW22"/>
    <mergeCell ref="HFX22:HFZ22"/>
    <mergeCell ref="HGA22:HGC22"/>
    <mergeCell ref="HGD22:HGF22"/>
    <mergeCell ref="HEW22:HEY22"/>
    <mergeCell ref="HEZ22:HFB22"/>
    <mergeCell ref="HFC22:HFE22"/>
    <mergeCell ref="HFF22:HFH22"/>
    <mergeCell ref="HFI22:HFK22"/>
    <mergeCell ref="HFL22:HFN22"/>
    <mergeCell ref="HEE22:HEG22"/>
    <mergeCell ref="HEH22:HEJ22"/>
    <mergeCell ref="HEK22:HEM22"/>
    <mergeCell ref="HEN22:HEP22"/>
    <mergeCell ref="HEQ22:HES22"/>
    <mergeCell ref="HET22:HEV22"/>
    <mergeCell ref="HDM22:HDO22"/>
    <mergeCell ref="HDP22:HDR22"/>
    <mergeCell ref="HDS22:HDU22"/>
    <mergeCell ref="HDV22:HDX22"/>
    <mergeCell ref="HDY22:HEA22"/>
    <mergeCell ref="HEB22:HED22"/>
    <mergeCell ref="HCU22:HCW22"/>
    <mergeCell ref="HCX22:HCZ22"/>
    <mergeCell ref="HDA22:HDC22"/>
    <mergeCell ref="HDD22:HDF22"/>
    <mergeCell ref="HDG22:HDI22"/>
    <mergeCell ref="HDJ22:HDL22"/>
    <mergeCell ref="HCC22:HCE22"/>
    <mergeCell ref="HCF22:HCH22"/>
    <mergeCell ref="HCI22:HCK22"/>
    <mergeCell ref="HCL22:HCN22"/>
    <mergeCell ref="HCO22:HCQ22"/>
    <mergeCell ref="HCR22:HCT22"/>
    <mergeCell ref="HBK22:HBM22"/>
    <mergeCell ref="HBN22:HBP22"/>
    <mergeCell ref="HBQ22:HBS22"/>
    <mergeCell ref="HBT22:HBV22"/>
    <mergeCell ref="HBW22:HBY22"/>
    <mergeCell ref="HBZ22:HCB22"/>
    <mergeCell ref="HAS22:HAU22"/>
    <mergeCell ref="HAV22:HAX22"/>
    <mergeCell ref="HAY22:HBA22"/>
    <mergeCell ref="HBB22:HBD22"/>
    <mergeCell ref="HBE22:HBG22"/>
    <mergeCell ref="HBH22:HBJ22"/>
    <mergeCell ref="HAA22:HAC22"/>
    <mergeCell ref="HAD22:HAF22"/>
    <mergeCell ref="HAG22:HAI22"/>
    <mergeCell ref="HAJ22:HAL22"/>
    <mergeCell ref="HAM22:HAO22"/>
    <mergeCell ref="HAP22:HAR22"/>
    <mergeCell ref="GZI22:GZK22"/>
    <mergeCell ref="GZL22:GZN22"/>
    <mergeCell ref="GZO22:GZQ22"/>
    <mergeCell ref="GZR22:GZT22"/>
    <mergeCell ref="GZU22:GZW22"/>
    <mergeCell ref="GZX22:GZZ22"/>
    <mergeCell ref="GYQ22:GYS22"/>
    <mergeCell ref="GYT22:GYV22"/>
    <mergeCell ref="GYW22:GYY22"/>
    <mergeCell ref="GYZ22:GZB22"/>
    <mergeCell ref="GZC22:GZE22"/>
    <mergeCell ref="GZF22:GZH22"/>
    <mergeCell ref="GXY22:GYA22"/>
    <mergeCell ref="GYB22:GYD22"/>
    <mergeCell ref="GYE22:GYG22"/>
    <mergeCell ref="GYH22:GYJ22"/>
    <mergeCell ref="GYK22:GYM22"/>
    <mergeCell ref="GYN22:GYP22"/>
    <mergeCell ref="GXG22:GXI22"/>
    <mergeCell ref="GXJ22:GXL22"/>
    <mergeCell ref="GXM22:GXO22"/>
    <mergeCell ref="GXP22:GXR22"/>
    <mergeCell ref="GXS22:GXU22"/>
    <mergeCell ref="GXV22:GXX22"/>
    <mergeCell ref="GWO22:GWQ22"/>
    <mergeCell ref="GWR22:GWT22"/>
    <mergeCell ref="GWU22:GWW22"/>
    <mergeCell ref="GWX22:GWZ22"/>
    <mergeCell ref="GXA22:GXC22"/>
    <mergeCell ref="GXD22:GXF22"/>
    <mergeCell ref="GVW22:GVY22"/>
    <mergeCell ref="GVZ22:GWB22"/>
    <mergeCell ref="GWC22:GWE22"/>
    <mergeCell ref="GWF22:GWH22"/>
    <mergeCell ref="GWI22:GWK22"/>
    <mergeCell ref="GWL22:GWN22"/>
    <mergeCell ref="GVE22:GVG22"/>
    <mergeCell ref="GVH22:GVJ22"/>
    <mergeCell ref="GVK22:GVM22"/>
    <mergeCell ref="GVN22:GVP22"/>
    <mergeCell ref="GVQ22:GVS22"/>
    <mergeCell ref="GVT22:GVV22"/>
    <mergeCell ref="GUM22:GUO22"/>
    <mergeCell ref="GUP22:GUR22"/>
    <mergeCell ref="GUS22:GUU22"/>
    <mergeCell ref="GUV22:GUX22"/>
    <mergeCell ref="GUY22:GVA22"/>
    <mergeCell ref="GVB22:GVD22"/>
    <mergeCell ref="GTU22:GTW22"/>
    <mergeCell ref="GTX22:GTZ22"/>
    <mergeCell ref="GUA22:GUC22"/>
    <mergeCell ref="GUD22:GUF22"/>
    <mergeCell ref="GUG22:GUI22"/>
    <mergeCell ref="GUJ22:GUL22"/>
    <mergeCell ref="GTC22:GTE22"/>
    <mergeCell ref="GTF22:GTH22"/>
    <mergeCell ref="GTI22:GTK22"/>
    <mergeCell ref="GTL22:GTN22"/>
    <mergeCell ref="GTO22:GTQ22"/>
    <mergeCell ref="GTR22:GTT22"/>
    <mergeCell ref="GSK22:GSM22"/>
    <mergeCell ref="GSN22:GSP22"/>
    <mergeCell ref="GSQ22:GSS22"/>
    <mergeCell ref="GST22:GSV22"/>
    <mergeCell ref="GSW22:GSY22"/>
    <mergeCell ref="GSZ22:GTB22"/>
    <mergeCell ref="GRS22:GRU22"/>
    <mergeCell ref="GRV22:GRX22"/>
    <mergeCell ref="GRY22:GSA22"/>
    <mergeCell ref="GSB22:GSD22"/>
    <mergeCell ref="GSE22:GSG22"/>
    <mergeCell ref="GSH22:GSJ22"/>
    <mergeCell ref="GRA22:GRC22"/>
    <mergeCell ref="GRD22:GRF22"/>
    <mergeCell ref="GRG22:GRI22"/>
    <mergeCell ref="GRJ22:GRL22"/>
    <mergeCell ref="GRM22:GRO22"/>
    <mergeCell ref="GRP22:GRR22"/>
    <mergeCell ref="GQI22:GQK22"/>
    <mergeCell ref="GQL22:GQN22"/>
    <mergeCell ref="GQO22:GQQ22"/>
    <mergeCell ref="GQR22:GQT22"/>
    <mergeCell ref="GQU22:GQW22"/>
    <mergeCell ref="GQX22:GQZ22"/>
    <mergeCell ref="GPQ22:GPS22"/>
    <mergeCell ref="GPT22:GPV22"/>
    <mergeCell ref="GPW22:GPY22"/>
    <mergeCell ref="GPZ22:GQB22"/>
    <mergeCell ref="GQC22:GQE22"/>
    <mergeCell ref="GQF22:GQH22"/>
    <mergeCell ref="GOY22:GPA22"/>
    <mergeCell ref="GPB22:GPD22"/>
    <mergeCell ref="GPE22:GPG22"/>
    <mergeCell ref="GPH22:GPJ22"/>
    <mergeCell ref="GPK22:GPM22"/>
    <mergeCell ref="GPN22:GPP22"/>
    <mergeCell ref="GOG22:GOI22"/>
    <mergeCell ref="GOJ22:GOL22"/>
    <mergeCell ref="GOM22:GOO22"/>
    <mergeCell ref="GOP22:GOR22"/>
    <mergeCell ref="GOS22:GOU22"/>
    <mergeCell ref="GOV22:GOX22"/>
    <mergeCell ref="GNO22:GNQ22"/>
    <mergeCell ref="GNR22:GNT22"/>
    <mergeCell ref="GNU22:GNW22"/>
    <mergeCell ref="GNX22:GNZ22"/>
    <mergeCell ref="GOA22:GOC22"/>
    <mergeCell ref="GOD22:GOF22"/>
    <mergeCell ref="GMW22:GMY22"/>
    <mergeCell ref="GMZ22:GNB22"/>
    <mergeCell ref="GNC22:GNE22"/>
    <mergeCell ref="GNF22:GNH22"/>
    <mergeCell ref="GNI22:GNK22"/>
    <mergeCell ref="GNL22:GNN22"/>
    <mergeCell ref="GME22:GMG22"/>
    <mergeCell ref="GMH22:GMJ22"/>
    <mergeCell ref="GMK22:GMM22"/>
    <mergeCell ref="GMN22:GMP22"/>
    <mergeCell ref="GMQ22:GMS22"/>
    <mergeCell ref="GMT22:GMV22"/>
    <mergeCell ref="GLM22:GLO22"/>
    <mergeCell ref="GLP22:GLR22"/>
    <mergeCell ref="GLS22:GLU22"/>
    <mergeCell ref="GLV22:GLX22"/>
    <mergeCell ref="GLY22:GMA22"/>
    <mergeCell ref="GMB22:GMD22"/>
    <mergeCell ref="GKU22:GKW22"/>
    <mergeCell ref="GKX22:GKZ22"/>
    <mergeCell ref="GLA22:GLC22"/>
    <mergeCell ref="GLD22:GLF22"/>
    <mergeCell ref="GLG22:GLI22"/>
    <mergeCell ref="GLJ22:GLL22"/>
    <mergeCell ref="GKC22:GKE22"/>
    <mergeCell ref="GKF22:GKH22"/>
    <mergeCell ref="GKI22:GKK22"/>
    <mergeCell ref="GKL22:GKN22"/>
    <mergeCell ref="GKO22:GKQ22"/>
    <mergeCell ref="GKR22:GKT22"/>
    <mergeCell ref="GJK22:GJM22"/>
    <mergeCell ref="GJN22:GJP22"/>
    <mergeCell ref="GJQ22:GJS22"/>
    <mergeCell ref="GJT22:GJV22"/>
    <mergeCell ref="GJW22:GJY22"/>
    <mergeCell ref="GJZ22:GKB22"/>
    <mergeCell ref="GIS22:GIU22"/>
    <mergeCell ref="GIV22:GIX22"/>
    <mergeCell ref="GIY22:GJA22"/>
    <mergeCell ref="GJB22:GJD22"/>
    <mergeCell ref="GJE22:GJG22"/>
    <mergeCell ref="GJH22:GJJ22"/>
    <mergeCell ref="GIA22:GIC22"/>
    <mergeCell ref="GID22:GIF22"/>
    <mergeCell ref="GIG22:GII22"/>
    <mergeCell ref="GIJ22:GIL22"/>
    <mergeCell ref="GIM22:GIO22"/>
    <mergeCell ref="GIP22:GIR22"/>
    <mergeCell ref="GHI22:GHK22"/>
    <mergeCell ref="GHL22:GHN22"/>
    <mergeCell ref="GHO22:GHQ22"/>
    <mergeCell ref="GHR22:GHT22"/>
    <mergeCell ref="GHU22:GHW22"/>
    <mergeCell ref="GHX22:GHZ22"/>
    <mergeCell ref="GGQ22:GGS22"/>
    <mergeCell ref="GGT22:GGV22"/>
    <mergeCell ref="GGW22:GGY22"/>
    <mergeCell ref="GGZ22:GHB22"/>
    <mergeCell ref="GHC22:GHE22"/>
    <mergeCell ref="GHF22:GHH22"/>
    <mergeCell ref="GFY22:GGA22"/>
    <mergeCell ref="GGB22:GGD22"/>
    <mergeCell ref="GGE22:GGG22"/>
    <mergeCell ref="GGH22:GGJ22"/>
    <mergeCell ref="GGK22:GGM22"/>
    <mergeCell ref="GGN22:GGP22"/>
    <mergeCell ref="GFG22:GFI22"/>
    <mergeCell ref="GFJ22:GFL22"/>
    <mergeCell ref="GFM22:GFO22"/>
    <mergeCell ref="GFP22:GFR22"/>
    <mergeCell ref="GFS22:GFU22"/>
    <mergeCell ref="GFV22:GFX22"/>
    <mergeCell ref="GEO22:GEQ22"/>
    <mergeCell ref="GER22:GET22"/>
    <mergeCell ref="GEU22:GEW22"/>
    <mergeCell ref="GEX22:GEZ22"/>
    <mergeCell ref="GFA22:GFC22"/>
    <mergeCell ref="GFD22:GFF22"/>
    <mergeCell ref="GDW22:GDY22"/>
    <mergeCell ref="GDZ22:GEB22"/>
    <mergeCell ref="GEC22:GEE22"/>
    <mergeCell ref="GEF22:GEH22"/>
    <mergeCell ref="GEI22:GEK22"/>
    <mergeCell ref="GEL22:GEN22"/>
    <mergeCell ref="GDE22:GDG22"/>
    <mergeCell ref="GDH22:GDJ22"/>
    <mergeCell ref="GDK22:GDM22"/>
    <mergeCell ref="GDN22:GDP22"/>
    <mergeCell ref="GDQ22:GDS22"/>
    <mergeCell ref="GDT22:GDV22"/>
    <mergeCell ref="GCM22:GCO22"/>
    <mergeCell ref="GCP22:GCR22"/>
    <mergeCell ref="GCS22:GCU22"/>
    <mergeCell ref="GCV22:GCX22"/>
    <mergeCell ref="GCY22:GDA22"/>
    <mergeCell ref="GDB22:GDD22"/>
    <mergeCell ref="GBU22:GBW22"/>
    <mergeCell ref="GBX22:GBZ22"/>
    <mergeCell ref="GCA22:GCC22"/>
    <mergeCell ref="GCD22:GCF22"/>
    <mergeCell ref="GCG22:GCI22"/>
    <mergeCell ref="GCJ22:GCL22"/>
    <mergeCell ref="GBC22:GBE22"/>
    <mergeCell ref="GBF22:GBH22"/>
    <mergeCell ref="GBI22:GBK22"/>
    <mergeCell ref="GBL22:GBN22"/>
    <mergeCell ref="GBO22:GBQ22"/>
    <mergeCell ref="GBR22:GBT22"/>
    <mergeCell ref="GAK22:GAM22"/>
    <mergeCell ref="GAN22:GAP22"/>
    <mergeCell ref="GAQ22:GAS22"/>
    <mergeCell ref="GAT22:GAV22"/>
    <mergeCell ref="GAW22:GAY22"/>
    <mergeCell ref="GAZ22:GBB22"/>
    <mergeCell ref="FZS22:FZU22"/>
    <mergeCell ref="FZV22:FZX22"/>
    <mergeCell ref="FZY22:GAA22"/>
    <mergeCell ref="GAB22:GAD22"/>
    <mergeCell ref="GAE22:GAG22"/>
    <mergeCell ref="GAH22:GAJ22"/>
    <mergeCell ref="FZA22:FZC22"/>
    <mergeCell ref="FZD22:FZF22"/>
    <mergeCell ref="FZG22:FZI22"/>
    <mergeCell ref="FZJ22:FZL22"/>
    <mergeCell ref="FZM22:FZO22"/>
    <mergeCell ref="FZP22:FZR22"/>
    <mergeCell ref="FYI22:FYK22"/>
    <mergeCell ref="FYL22:FYN22"/>
    <mergeCell ref="FYO22:FYQ22"/>
    <mergeCell ref="FYR22:FYT22"/>
    <mergeCell ref="FYU22:FYW22"/>
    <mergeCell ref="FYX22:FYZ22"/>
    <mergeCell ref="FXQ22:FXS22"/>
    <mergeCell ref="FXT22:FXV22"/>
    <mergeCell ref="FXW22:FXY22"/>
    <mergeCell ref="FXZ22:FYB22"/>
    <mergeCell ref="FYC22:FYE22"/>
    <mergeCell ref="FYF22:FYH22"/>
    <mergeCell ref="FWY22:FXA22"/>
    <mergeCell ref="FXB22:FXD22"/>
    <mergeCell ref="FXE22:FXG22"/>
    <mergeCell ref="FXH22:FXJ22"/>
    <mergeCell ref="FXK22:FXM22"/>
    <mergeCell ref="FXN22:FXP22"/>
    <mergeCell ref="FWG22:FWI22"/>
    <mergeCell ref="FWJ22:FWL22"/>
    <mergeCell ref="FWM22:FWO22"/>
    <mergeCell ref="FWP22:FWR22"/>
    <mergeCell ref="FWS22:FWU22"/>
    <mergeCell ref="FWV22:FWX22"/>
    <mergeCell ref="FVO22:FVQ22"/>
    <mergeCell ref="FVR22:FVT22"/>
    <mergeCell ref="FVU22:FVW22"/>
    <mergeCell ref="FVX22:FVZ22"/>
    <mergeCell ref="FWA22:FWC22"/>
    <mergeCell ref="FWD22:FWF22"/>
    <mergeCell ref="FUW22:FUY22"/>
    <mergeCell ref="FUZ22:FVB22"/>
    <mergeCell ref="FVC22:FVE22"/>
    <mergeCell ref="FVF22:FVH22"/>
    <mergeCell ref="FVI22:FVK22"/>
    <mergeCell ref="FVL22:FVN22"/>
    <mergeCell ref="FUE22:FUG22"/>
    <mergeCell ref="FUH22:FUJ22"/>
    <mergeCell ref="FUK22:FUM22"/>
    <mergeCell ref="FUN22:FUP22"/>
    <mergeCell ref="FUQ22:FUS22"/>
    <mergeCell ref="FUT22:FUV22"/>
    <mergeCell ref="FTM22:FTO22"/>
    <mergeCell ref="FTP22:FTR22"/>
    <mergeCell ref="FTS22:FTU22"/>
    <mergeCell ref="FTV22:FTX22"/>
    <mergeCell ref="FTY22:FUA22"/>
    <mergeCell ref="FUB22:FUD22"/>
    <mergeCell ref="FSU22:FSW22"/>
    <mergeCell ref="FSX22:FSZ22"/>
    <mergeCell ref="FTA22:FTC22"/>
    <mergeCell ref="FTD22:FTF22"/>
    <mergeCell ref="FTG22:FTI22"/>
    <mergeCell ref="FTJ22:FTL22"/>
    <mergeCell ref="FSC22:FSE22"/>
    <mergeCell ref="FSF22:FSH22"/>
    <mergeCell ref="FSI22:FSK22"/>
    <mergeCell ref="FSL22:FSN22"/>
    <mergeCell ref="FSO22:FSQ22"/>
    <mergeCell ref="FSR22:FST22"/>
    <mergeCell ref="FRK22:FRM22"/>
    <mergeCell ref="FRN22:FRP22"/>
    <mergeCell ref="FRQ22:FRS22"/>
    <mergeCell ref="FRT22:FRV22"/>
    <mergeCell ref="FRW22:FRY22"/>
    <mergeCell ref="FRZ22:FSB22"/>
    <mergeCell ref="FQS22:FQU22"/>
    <mergeCell ref="FQV22:FQX22"/>
    <mergeCell ref="FQY22:FRA22"/>
    <mergeCell ref="FRB22:FRD22"/>
    <mergeCell ref="FRE22:FRG22"/>
    <mergeCell ref="FRH22:FRJ22"/>
    <mergeCell ref="FQA22:FQC22"/>
    <mergeCell ref="FQD22:FQF22"/>
    <mergeCell ref="FQG22:FQI22"/>
    <mergeCell ref="FQJ22:FQL22"/>
    <mergeCell ref="FQM22:FQO22"/>
    <mergeCell ref="FQP22:FQR22"/>
    <mergeCell ref="FPI22:FPK22"/>
    <mergeCell ref="FPL22:FPN22"/>
    <mergeCell ref="FPO22:FPQ22"/>
    <mergeCell ref="FPR22:FPT22"/>
    <mergeCell ref="FPU22:FPW22"/>
    <mergeCell ref="FPX22:FPZ22"/>
    <mergeCell ref="FOQ22:FOS22"/>
    <mergeCell ref="FOT22:FOV22"/>
    <mergeCell ref="FOW22:FOY22"/>
    <mergeCell ref="FOZ22:FPB22"/>
    <mergeCell ref="FPC22:FPE22"/>
    <mergeCell ref="FPF22:FPH22"/>
    <mergeCell ref="FNY22:FOA22"/>
    <mergeCell ref="FOB22:FOD22"/>
    <mergeCell ref="FOE22:FOG22"/>
    <mergeCell ref="FOH22:FOJ22"/>
    <mergeCell ref="FOK22:FOM22"/>
    <mergeCell ref="FON22:FOP22"/>
    <mergeCell ref="FNG22:FNI22"/>
    <mergeCell ref="FNJ22:FNL22"/>
    <mergeCell ref="FNM22:FNO22"/>
    <mergeCell ref="FNP22:FNR22"/>
    <mergeCell ref="FNS22:FNU22"/>
    <mergeCell ref="FNV22:FNX22"/>
    <mergeCell ref="FMO22:FMQ22"/>
    <mergeCell ref="FMR22:FMT22"/>
    <mergeCell ref="FMU22:FMW22"/>
    <mergeCell ref="FMX22:FMZ22"/>
    <mergeCell ref="FNA22:FNC22"/>
    <mergeCell ref="FND22:FNF22"/>
    <mergeCell ref="FLW22:FLY22"/>
    <mergeCell ref="FLZ22:FMB22"/>
    <mergeCell ref="FMC22:FME22"/>
    <mergeCell ref="FMF22:FMH22"/>
    <mergeCell ref="FMI22:FMK22"/>
    <mergeCell ref="FML22:FMN22"/>
    <mergeCell ref="FLE22:FLG22"/>
    <mergeCell ref="FLH22:FLJ22"/>
    <mergeCell ref="FLK22:FLM22"/>
    <mergeCell ref="FLN22:FLP22"/>
    <mergeCell ref="FLQ22:FLS22"/>
    <mergeCell ref="FLT22:FLV22"/>
    <mergeCell ref="FKM22:FKO22"/>
    <mergeCell ref="FKP22:FKR22"/>
    <mergeCell ref="FKS22:FKU22"/>
    <mergeCell ref="FKV22:FKX22"/>
    <mergeCell ref="FKY22:FLA22"/>
    <mergeCell ref="FLB22:FLD22"/>
    <mergeCell ref="FJU22:FJW22"/>
    <mergeCell ref="FJX22:FJZ22"/>
    <mergeCell ref="FKA22:FKC22"/>
    <mergeCell ref="FKD22:FKF22"/>
    <mergeCell ref="FKG22:FKI22"/>
    <mergeCell ref="FKJ22:FKL22"/>
    <mergeCell ref="FJC22:FJE22"/>
    <mergeCell ref="FJF22:FJH22"/>
    <mergeCell ref="FJI22:FJK22"/>
    <mergeCell ref="FJL22:FJN22"/>
    <mergeCell ref="FJO22:FJQ22"/>
    <mergeCell ref="FJR22:FJT22"/>
    <mergeCell ref="FIK22:FIM22"/>
    <mergeCell ref="FIN22:FIP22"/>
    <mergeCell ref="FIQ22:FIS22"/>
    <mergeCell ref="FIT22:FIV22"/>
    <mergeCell ref="FIW22:FIY22"/>
    <mergeCell ref="FIZ22:FJB22"/>
    <mergeCell ref="FHS22:FHU22"/>
    <mergeCell ref="FHV22:FHX22"/>
    <mergeCell ref="FHY22:FIA22"/>
    <mergeCell ref="FIB22:FID22"/>
    <mergeCell ref="FIE22:FIG22"/>
    <mergeCell ref="FIH22:FIJ22"/>
    <mergeCell ref="FHA22:FHC22"/>
    <mergeCell ref="FHD22:FHF22"/>
    <mergeCell ref="FHG22:FHI22"/>
    <mergeCell ref="FHJ22:FHL22"/>
    <mergeCell ref="FHM22:FHO22"/>
    <mergeCell ref="FHP22:FHR22"/>
    <mergeCell ref="FGI22:FGK22"/>
    <mergeCell ref="FGL22:FGN22"/>
    <mergeCell ref="FGO22:FGQ22"/>
    <mergeCell ref="FGR22:FGT22"/>
    <mergeCell ref="FGU22:FGW22"/>
    <mergeCell ref="FGX22:FGZ22"/>
    <mergeCell ref="FFQ22:FFS22"/>
    <mergeCell ref="FFT22:FFV22"/>
    <mergeCell ref="FFW22:FFY22"/>
    <mergeCell ref="FFZ22:FGB22"/>
    <mergeCell ref="FGC22:FGE22"/>
    <mergeCell ref="FGF22:FGH22"/>
    <mergeCell ref="FEY22:FFA22"/>
    <mergeCell ref="FFB22:FFD22"/>
    <mergeCell ref="FFE22:FFG22"/>
    <mergeCell ref="FFH22:FFJ22"/>
    <mergeCell ref="FFK22:FFM22"/>
    <mergeCell ref="FFN22:FFP22"/>
    <mergeCell ref="FEG22:FEI22"/>
    <mergeCell ref="FEJ22:FEL22"/>
    <mergeCell ref="FEM22:FEO22"/>
    <mergeCell ref="FEP22:FER22"/>
    <mergeCell ref="FES22:FEU22"/>
    <mergeCell ref="FEV22:FEX22"/>
    <mergeCell ref="FDO22:FDQ22"/>
    <mergeCell ref="FDR22:FDT22"/>
    <mergeCell ref="FDU22:FDW22"/>
    <mergeCell ref="FDX22:FDZ22"/>
    <mergeCell ref="FEA22:FEC22"/>
    <mergeCell ref="FED22:FEF22"/>
    <mergeCell ref="FCW22:FCY22"/>
    <mergeCell ref="FCZ22:FDB22"/>
    <mergeCell ref="FDC22:FDE22"/>
    <mergeCell ref="FDF22:FDH22"/>
    <mergeCell ref="FDI22:FDK22"/>
    <mergeCell ref="FDL22:FDN22"/>
    <mergeCell ref="FCE22:FCG22"/>
    <mergeCell ref="FCH22:FCJ22"/>
    <mergeCell ref="FCK22:FCM22"/>
    <mergeCell ref="FCN22:FCP22"/>
    <mergeCell ref="FCQ22:FCS22"/>
    <mergeCell ref="FCT22:FCV22"/>
    <mergeCell ref="FBM22:FBO22"/>
    <mergeCell ref="FBP22:FBR22"/>
    <mergeCell ref="FBS22:FBU22"/>
    <mergeCell ref="FBV22:FBX22"/>
    <mergeCell ref="FBY22:FCA22"/>
    <mergeCell ref="FCB22:FCD22"/>
    <mergeCell ref="FAU22:FAW22"/>
    <mergeCell ref="FAX22:FAZ22"/>
    <mergeCell ref="FBA22:FBC22"/>
    <mergeCell ref="FBD22:FBF22"/>
    <mergeCell ref="FBG22:FBI22"/>
    <mergeCell ref="FBJ22:FBL22"/>
    <mergeCell ref="FAC22:FAE22"/>
    <mergeCell ref="FAF22:FAH22"/>
    <mergeCell ref="FAI22:FAK22"/>
    <mergeCell ref="FAL22:FAN22"/>
    <mergeCell ref="FAO22:FAQ22"/>
    <mergeCell ref="FAR22:FAT22"/>
    <mergeCell ref="EZK22:EZM22"/>
    <mergeCell ref="EZN22:EZP22"/>
    <mergeCell ref="EZQ22:EZS22"/>
    <mergeCell ref="EZT22:EZV22"/>
    <mergeCell ref="EZW22:EZY22"/>
    <mergeCell ref="EZZ22:FAB22"/>
    <mergeCell ref="EYS22:EYU22"/>
    <mergeCell ref="EYV22:EYX22"/>
    <mergeCell ref="EYY22:EZA22"/>
    <mergeCell ref="EZB22:EZD22"/>
    <mergeCell ref="EZE22:EZG22"/>
    <mergeCell ref="EZH22:EZJ22"/>
    <mergeCell ref="EYA22:EYC22"/>
    <mergeCell ref="EYD22:EYF22"/>
    <mergeCell ref="EYG22:EYI22"/>
    <mergeCell ref="EYJ22:EYL22"/>
    <mergeCell ref="EYM22:EYO22"/>
    <mergeCell ref="EYP22:EYR22"/>
    <mergeCell ref="EXI22:EXK22"/>
    <mergeCell ref="EXL22:EXN22"/>
    <mergeCell ref="EXO22:EXQ22"/>
    <mergeCell ref="EXR22:EXT22"/>
    <mergeCell ref="EXU22:EXW22"/>
    <mergeCell ref="EXX22:EXZ22"/>
    <mergeCell ref="EWQ22:EWS22"/>
    <mergeCell ref="EWT22:EWV22"/>
    <mergeCell ref="EWW22:EWY22"/>
    <mergeCell ref="EWZ22:EXB22"/>
    <mergeCell ref="EXC22:EXE22"/>
    <mergeCell ref="EXF22:EXH22"/>
    <mergeCell ref="EVY22:EWA22"/>
    <mergeCell ref="EWB22:EWD22"/>
    <mergeCell ref="EWE22:EWG22"/>
    <mergeCell ref="EWH22:EWJ22"/>
    <mergeCell ref="EWK22:EWM22"/>
    <mergeCell ref="EWN22:EWP22"/>
    <mergeCell ref="EVG22:EVI22"/>
    <mergeCell ref="EVJ22:EVL22"/>
    <mergeCell ref="EVM22:EVO22"/>
    <mergeCell ref="EVP22:EVR22"/>
    <mergeCell ref="EVS22:EVU22"/>
    <mergeCell ref="EVV22:EVX22"/>
    <mergeCell ref="EUO22:EUQ22"/>
    <mergeCell ref="EUR22:EUT22"/>
    <mergeCell ref="EUU22:EUW22"/>
    <mergeCell ref="EUX22:EUZ22"/>
    <mergeCell ref="EVA22:EVC22"/>
    <mergeCell ref="EVD22:EVF22"/>
    <mergeCell ref="ETW22:ETY22"/>
    <mergeCell ref="ETZ22:EUB22"/>
    <mergeCell ref="EUC22:EUE22"/>
    <mergeCell ref="EUF22:EUH22"/>
    <mergeCell ref="EUI22:EUK22"/>
    <mergeCell ref="EUL22:EUN22"/>
    <mergeCell ref="ETE22:ETG22"/>
    <mergeCell ref="ETH22:ETJ22"/>
    <mergeCell ref="ETK22:ETM22"/>
    <mergeCell ref="ETN22:ETP22"/>
    <mergeCell ref="ETQ22:ETS22"/>
    <mergeCell ref="ETT22:ETV22"/>
    <mergeCell ref="ESM22:ESO22"/>
    <mergeCell ref="ESP22:ESR22"/>
    <mergeCell ref="ESS22:ESU22"/>
    <mergeCell ref="ESV22:ESX22"/>
    <mergeCell ref="ESY22:ETA22"/>
    <mergeCell ref="ETB22:ETD22"/>
    <mergeCell ref="ERU22:ERW22"/>
    <mergeCell ref="ERX22:ERZ22"/>
    <mergeCell ref="ESA22:ESC22"/>
    <mergeCell ref="ESD22:ESF22"/>
    <mergeCell ref="ESG22:ESI22"/>
    <mergeCell ref="ESJ22:ESL22"/>
    <mergeCell ref="ERC22:ERE22"/>
    <mergeCell ref="ERF22:ERH22"/>
    <mergeCell ref="ERI22:ERK22"/>
    <mergeCell ref="ERL22:ERN22"/>
    <mergeCell ref="ERO22:ERQ22"/>
    <mergeCell ref="ERR22:ERT22"/>
    <mergeCell ref="EQK22:EQM22"/>
    <mergeCell ref="EQN22:EQP22"/>
    <mergeCell ref="EQQ22:EQS22"/>
    <mergeCell ref="EQT22:EQV22"/>
    <mergeCell ref="EQW22:EQY22"/>
    <mergeCell ref="EQZ22:ERB22"/>
    <mergeCell ref="EPS22:EPU22"/>
    <mergeCell ref="EPV22:EPX22"/>
    <mergeCell ref="EPY22:EQA22"/>
    <mergeCell ref="EQB22:EQD22"/>
    <mergeCell ref="EQE22:EQG22"/>
    <mergeCell ref="EQH22:EQJ22"/>
    <mergeCell ref="EPA22:EPC22"/>
    <mergeCell ref="EPD22:EPF22"/>
    <mergeCell ref="EPG22:EPI22"/>
    <mergeCell ref="EPJ22:EPL22"/>
    <mergeCell ref="EPM22:EPO22"/>
    <mergeCell ref="EPP22:EPR22"/>
    <mergeCell ref="EOI22:EOK22"/>
    <mergeCell ref="EOL22:EON22"/>
    <mergeCell ref="EOO22:EOQ22"/>
    <mergeCell ref="EOR22:EOT22"/>
    <mergeCell ref="EOU22:EOW22"/>
    <mergeCell ref="EOX22:EOZ22"/>
    <mergeCell ref="ENQ22:ENS22"/>
    <mergeCell ref="ENT22:ENV22"/>
    <mergeCell ref="ENW22:ENY22"/>
    <mergeCell ref="ENZ22:EOB22"/>
    <mergeCell ref="EOC22:EOE22"/>
    <mergeCell ref="EOF22:EOH22"/>
    <mergeCell ref="EMY22:ENA22"/>
    <mergeCell ref="ENB22:END22"/>
    <mergeCell ref="ENE22:ENG22"/>
    <mergeCell ref="ENH22:ENJ22"/>
    <mergeCell ref="ENK22:ENM22"/>
    <mergeCell ref="ENN22:ENP22"/>
    <mergeCell ref="EMG22:EMI22"/>
    <mergeCell ref="EMJ22:EML22"/>
    <mergeCell ref="EMM22:EMO22"/>
    <mergeCell ref="EMP22:EMR22"/>
    <mergeCell ref="EMS22:EMU22"/>
    <mergeCell ref="EMV22:EMX22"/>
    <mergeCell ref="ELO22:ELQ22"/>
    <mergeCell ref="ELR22:ELT22"/>
    <mergeCell ref="ELU22:ELW22"/>
    <mergeCell ref="ELX22:ELZ22"/>
    <mergeCell ref="EMA22:EMC22"/>
    <mergeCell ref="EMD22:EMF22"/>
    <mergeCell ref="EKW22:EKY22"/>
    <mergeCell ref="EKZ22:ELB22"/>
    <mergeCell ref="ELC22:ELE22"/>
    <mergeCell ref="ELF22:ELH22"/>
    <mergeCell ref="ELI22:ELK22"/>
    <mergeCell ref="ELL22:ELN22"/>
    <mergeCell ref="EKE22:EKG22"/>
    <mergeCell ref="EKH22:EKJ22"/>
    <mergeCell ref="EKK22:EKM22"/>
    <mergeCell ref="EKN22:EKP22"/>
    <mergeCell ref="EKQ22:EKS22"/>
    <mergeCell ref="EKT22:EKV22"/>
    <mergeCell ref="EJM22:EJO22"/>
    <mergeCell ref="EJP22:EJR22"/>
    <mergeCell ref="EJS22:EJU22"/>
    <mergeCell ref="EJV22:EJX22"/>
    <mergeCell ref="EJY22:EKA22"/>
    <mergeCell ref="EKB22:EKD22"/>
    <mergeCell ref="EIU22:EIW22"/>
    <mergeCell ref="EIX22:EIZ22"/>
    <mergeCell ref="EJA22:EJC22"/>
    <mergeCell ref="EJD22:EJF22"/>
    <mergeCell ref="EJG22:EJI22"/>
    <mergeCell ref="EJJ22:EJL22"/>
    <mergeCell ref="EIC22:EIE22"/>
    <mergeCell ref="EIF22:EIH22"/>
    <mergeCell ref="EII22:EIK22"/>
    <mergeCell ref="EIL22:EIN22"/>
    <mergeCell ref="EIO22:EIQ22"/>
    <mergeCell ref="EIR22:EIT22"/>
    <mergeCell ref="EHK22:EHM22"/>
    <mergeCell ref="EHN22:EHP22"/>
    <mergeCell ref="EHQ22:EHS22"/>
    <mergeCell ref="EHT22:EHV22"/>
    <mergeCell ref="EHW22:EHY22"/>
    <mergeCell ref="EHZ22:EIB22"/>
    <mergeCell ref="EGS22:EGU22"/>
    <mergeCell ref="EGV22:EGX22"/>
    <mergeCell ref="EGY22:EHA22"/>
    <mergeCell ref="EHB22:EHD22"/>
    <mergeCell ref="EHE22:EHG22"/>
    <mergeCell ref="EHH22:EHJ22"/>
    <mergeCell ref="EGA22:EGC22"/>
    <mergeCell ref="EGD22:EGF22"/>
    <mergeCell ref="EGG22:EGI22"/>
    <mergeCell ref="EGJ22:EGL22"/>
    <mergeCell ref="EGM22:EGO22"/>
    <mergeCell ref="EGP22:EGR22"/>
    <mergeCell ref="EFI22:EFK22"/>
    <mergeCell ref="EFL22:EFN22"/>
    <mergeCell ref="EFO22:EFQ22"/>
    <mergeCell ref="EFR22:EFT22"/>
    <mergeCell ref="EFU22:EFW22"/>
    <mergeCell ref="EFX22:EFZ22"/>
    <mergeCell ref="EEQ22:EES22"/>
    <mergeCell ref="EET22:EEV22"/>
    <mergeCell ref="EEW22:EEY22"/>
    <mergeCell ref="EEZ22:EFB22"/>
    <mergeCell ref="EFC22:EFE22"/>
    <mergeCell ref="EFF22:EFH22"/>
    <mergeCell ref="EDY22:EEA22"/>
    <mergeCell ref="EEB22:EED22"/>
    <mergeCell ref="EEE22:EEG22"/>
    <mergeCell ref="EEH22:EEJ22"/>
    <mergeCell ref="EEK22:EEM22"/>
    <mergeCell ref="EEN22:EEP22"/>
    <mergeCell ref="EDG22:EDI22"/>
    <mergeCell ref="EDJ22:EDL22"/>
    <mergeCell ref="EDM22:EDO22"/>
    <mergeCell ref="EDP22:EDR22"/>
    <mergeCell ref="EDS22:EDU22"/>
    <mergeCell ref="EDV22:EDX22"/>
    <mergeCell ref="ECO22:ECQ22"/>
    <mergeCell ref="ECR22:ECT22"/>
    <mergeCell ref="ECU22:ECW22"/>
    <mergeCell ref="ECX22:ECZ22"/>
    <mergeCell ref="EDA22:EDC22"/>
    <mergeCell ref="EDD22:EDF22"/>
    <mergeCell ref="EBW22:EBY22"/>
    <mergeCell ref="EBZ22:ECB22"/>
    <mergeCell ref="ECC22:ECE22"/>
    <mergeCell ref="ECF22:ECH22"/>
    <mergeCell ref="ECI22:ECK22"/>
    <mergeCell ref="ECL22:ECN22"/>
    <mergeCell ref="EBE22:EBG22"/>
    <mergeCell ref="EBH22:EBJ22"/>
    <mergeCell ref="EBK22:EBM22"/>
    <mergeCell ref="EBN22:EBP22"/>
    <mergeCell ref="EBQ22:EBS22"/>
    <mergeCell ref="EBT22:EBV22"/>
    <mergeCell ref="EAM22:EAO22"/>
    <mergeCell ref="EAP22:EAR22"/>
    <mergeCell ref="EAS22:EAU22"/>
    <mergeCell ref="EAV22:EAX22"/>
    <mergeCell ref="EAY22:EBA22"/>
    <mergeCell ref="EBB22:EBD22"/>
    <mergeCell ref="DZU22:DZW22"/>
    <mergeCell ref="DZX22:DZZ22"/>
    <mergeCell ref="EAA22:EAC22"/>
    <mergeCell ref="EAD22:EAF22"/>
    <mergeCell ref="EAG22:EAI22"/>
    <mergeCell ref="EAJ22:EAL22"/>
    <mergeCell ref="DZC22:DZE22"/>
    <mergeCell ref="DZF22:DZH22"/>
    <mergeCell ref="DZI22:DZK22"/>
    <mergeCell ref="DZL22:DZN22"/>
    <mergeCell ref="DZO22:DZQ22"/>
    <mergeCell ref="DZR22:DZT22"/>
    <mergeCell ref="DYK22:DYM22"/>
    <mergeCell ref="DYN22:DYP22"/>
    <mergeCell ref="DYQ22:DYS22"/>
    <mergeCell ref="DYT22:DYV22"/>
    <mergeCell ref="DYW22:DYY22"/>
    <mergeCell ref="DYZ22:DZB22"/>
    <mergeCell ref="DXS22:DXU22"/>
    <mergeCell ref="DXV22:DXX22"/>
    <mergeCell ref="DXY22:DYA22"/>
    <mergeCell ref="DYB22:DYD22"/>
    <mergeCell ref="DYE22:DYG22"/>
    <mergeCell ref="DYH22:DYJ22"/>
    <mergeCell ref="DXA22:DXC22"/>
    <mergeCell ref="DXD22:DXF22"/>
    <mergeCell ref="DXG22:DXI22"/>
    <mergeCell ref="DXJ22:DXL22"/>
    <mergeCell ref="DXM22:DXO22"/>
    <mergeCell ref="DXP22:DXR22"/>
    <mergeCell ref="DWI22:DWK22"/>
    <mergeCell ref="DWL22:DWN22"/>
    <mergeCell ref="DWO22:DWQ22"/>
    <mergeCell ref="DWR22:DWT22"/>
    <mergeCell ref="DWU22:DWW22"/>
    <mergeCell ref="DWX22:DWZ22"/>
    <mergeCell ref="DVQ22:DVS22"/>
    <mergeCell ref="DVT22:DVV22"/>
    <mergeCell ref="DVW22:DVY22"/>
    <mergeCell ref="DVZ22:DWB22"/>
    <mergeCell ref="DWC22:DWE22"/>
    <mergeCell ref="DWF22:DWH22"/>
    <mergeCell ref="DUY22:DVA22"/>
    <mergeCell ref="DVB22:DVD22"/>
    <mergeCell ref="DVE22:DVG22"/>
    <mergeCell ref="DVH22:DVJ22"/>
    <mergeCell ref="DVK22:DVM22"/>
    <mergeCell ref="DVN22:DVP22"/>
    <mergeCell ref="DUG22:DUI22"/>
    <mergeCell ref="DUJ22:DUL22"/>
    <mergeCell ref="DUM22:DUO22"/>
    <mergeCell ref="DUP22:DUR22"/>
    <mergeCell ref="DUS22:DUU22"/>
    <mergeCell ref="DUV22:DUX22"/>
    <mergeCell ref="DTO22:DTQ22"/>
    <mergeCell ref="DTR22:DTT22"/>
    <mergeCell ref="DTU22:DTW22"/>
    <mergeCell ref="DTX22:DTZ22"/>
    <mergeCell ref="DUA22:DUC22"/>
    <mergeCell ref="DUD22:DUF22"/>
    <mergeCell ref="DSW22:DSY22"/>
    <mergeCell ref="DSZ22:DTB22"/>
    <mergeCell ref="DTC22:DTE22"/>
    <mergeCell ref="DTF22:DTH22"/>
    <mergeCell ref="DTI22:DTK22"/>
    <mergeCell ref="DTL22:DTN22"/>
    <mergeCell ref="DSE22:DSG22"/>
    <mergeCell ref="DSH22:DSJ22"/>
    <mergeCell ref="DSK22:DSM22"/>
    <mergeCell ref="DSN22:DSP22"/>
    <mergeCell ref="DSQ22:DSS22"/>
    <mergeCell ref="DST22:DSV22"/>
    <mergeCell ref="DRM22:DRO22"/>
    <mergeCell ref="DRP22:DRR22"/>
    <mergeCell ref="DRS22:DRU22"/>
    <mergeCell ref="DRV22:DRX22"/>
    <mergeCell ref="DRY22:DSA22"/>
    <mergeCell ref="DSB22:DSD22"/>
    <mergeCell ref="DQU22:DQW22"/>
    <mergeCell ref="DQX22:DQZ22"/>
    <mergeCell ref="DRA22:DRC22"/>
    <mergeCell ref="DRD22:DRF22"/>
    <mergeCell ref="DRG22:DRI22"/>
    <mergeCell ref="DRJ22:DRL22"/>
    <mergeCell ref="DQC22:DQE22"/>
    <mergeCell ref="DQF22:DQH22"/>
    <mergeCell ref="DQI22:DQK22"/>
    <mergeCell ref="DQL22:DQN22"/>
    <mergeCell ref="DQO22:DQQ22"/>
    <mergeCell ref="DQR22:DQT22"/>
    <mergeCell ref="DPK22:DPM22"/>
    <mergeCell ref="DPN22:DPP22"/>
    <mergeCell ref="DPQ22:DPS22"/>
    <mergeCell ref="DPT22:DPV22"/>
    <mergeCell ref="DPW22:DPY22"/>
    <mergeCell ref="DPZ22:DQB22"/>
    <mergeCell ref="DOS22:DOU22"/>
    <mergeCell ref="DOV22:DOX22"/>
    <mergeCell ref="DOY22:DPA22"/>
    <mergeCell ref="DPB22:DPD22"/>
    <mergeCell ref="DPE22:DPG22"/>
    <mergeCell ref="DPH22:DPJ22"/>
    <mergeCell ref="DOA22:DOC22"/>
    <mergeCell ref="DOD22:DOF22"/>
    <mergeCell ref="DOG22:DOI22"/>
    <mergeCell ref="DOJ22:DOL22"/>
    <mergeCell ref="DOM22:DOO22"/>
    <mergeCell ref="DOP22:DOR22"/>
    <mergeCell ref="DNI22:DNK22"/>
    <mergeCell ref="DNL22:DNN22"/>
    <mergeCell ref="DNO22:DNQ22"/>
    <mergeCell ref="DNR22:DNT22"/>
    <mergeCell ref="DNU22:DNW22"/>
    <mergeCell ref="DNX22:DNZ22"/>
    <mergeCell ref="DMQ22:DMS22"/>
    <mergeCell ref="DMT22:DMV22"/>
    <mergeCell ref="DMW22:DMY22"/>
    <mergeCell ref="DMZ22:DNB22"/>
    <mergeCell ref="DNC22:DNE22"/>
    <mergeCell ref="DNF22:DNH22"/>
    <mergeCell ref="DLY22:DMA22"/>
    <mergeCell ref="DMB22:DMD22"/>
    <mergeCell ref="DME22:DMG22"/>
    <mergeCell ref="DMH22:DMJ22"/>
    <mergeCell ref="DMK22:DMM22"/>
    <mergeCell ref="DMN22:DMP22"/>
    <mergeCell ref="DLG22:DLI22"/>
    <mergeCell ref="DLJ22:DLL22"/>
    <mergeCell ref="DLM22:DLO22"/>
    <mergeCell ref="DLP22:DLR22"/>
    <mergeCell ref="DLS22:DLU22"/>
    <mergeCell ref="DLV22:DLX22"/>
    <mergeCell ref="DKO22:DKQ22"/>
    <mergeCell ref="DKR22:DKT22"/>
    <mergeCell ref="DKU22:DKW22"/>
    <mergeCell ref="DKX22:DKZ22"/>
    <mergeCell ref="DLA22:DLC22"/>
    <mergeCell ref="DLD22:DLF22"/>
    <mergeCell ref="DJW22:DJY22"/>
    <mergeCell ref="DJZ22:DKB22"/>
    <mergeCell ref="DKC22:DKE22"/>
    <mergeCell ref="DKF22:DKH22"/>
    <mergeCell ref="DKI22:DKK22"/>
    <mergeCell ref="DKL22:DKN22"/>
    <mergeCell ref="DJE22:DJG22"/>
    <mergeCell ref="DJH22:DJJ22"/>
    <mergeCell ref="DJK22:DJM22"/>
    <mergeCell ref="DJN22:DJP22"/>
    <mergeCell ref="DJQ22:DJS22"/>
    <mergeCell ref="DJT22:DJV22"/>
    <mergeCell ref="DIM22:DIO22"/>
    <mergeCell ref="DIP22:DIR22"/>
    <mergeCell ref="DIS22:DIU22"/>
    <mergeCell ref="DIV22:DIX22"/>
    <mergeCell ref="DIY22:DJA22"/>
    <mergeCell ref="DJB22:DJD22"/>
    <mergeCell ref="DHU22:DHW22"/>
    <mergeCell ref="DHX22:DHZ22"/>
    <mergeCell ref="DIA22:DIC22"/>
    <mergeCell ref="DID22:DIF22"/>
    <mergeCell ref="DIG22:DII22"/>
    <mergeCell ref="DIJ22:DIL22"/>
    <mergeCell ref="DHC22:DHE22"/>
    <mergeCell ref="DHF22:DHH22"/>
    <mergeCell ref="DHI22:DHK22"/>
    <mergeCell ref="DHL22:DHN22"/>
    <mergeCell ref="DHO22:DHQ22"/>
    <mergeCell ref="DHR22:DHT22"/>
    <mergeCell ref="DGK22:DGM22"/>
    <mergeCell ref="DGN22:DGP22"/>
    <mergeCell ref="DGQ22:DGS22"/>
    <mergeCell ref="DGT22:DGV22"/>
    <mergeCell ref="DGW22:DGY22"/>
    <mergeCell ref="DGZ22:DHB22"/>
    <mergeCell ref="DFS22:DFU22"/>
    <mergeCell ref="DFV22:DFX22"/>
    <mergeCell ref="DFY22:DGA22"/>
    <mergeCell ref="DGB22:DGD22"/>
    <mergeCell ref="DGE22:DGG22"/>
    <mergeCell ref="DGH22:DGJ22"/>
    <mergeCell ref="DFA22:DFC22"/>
    <mergeCell ref="DFD22:DFF22"/>
    <mergeCell ref="DFG22:DFI22"/>
    <mergeCell ref="DFJ22:DFL22"/>
    <mergeCell ref="DFM22:DFO22"/>
    <mergeCell ref="DFP22:DFR22"/>
    <mergeCell ref="DEI22:DEK22"/>
    <mergeCell ref="DEL22:DEN22"/>
    <mergeCell ref="DEO22:DEQ22"/>
    <mergeCell ref="DER22:DET22"/>
    <mergeCell ref="DEU22:DEW22"/>
    <mergeCell ref="DEX22:DEZ22"/>
    <mergeCell ref="DDQ22:DDS22"/>
    <mergeCell ref="DDT22:DDV22"/>
    <mergeCell ref="DDW22:DDY22"/>
    <mergeCell ref="DDZ22:DEB22"/>
    <mergeCell ref="DEC22:DEE22"/>
    <mergeCell ref="DEF22:DEH22"/>
    <mergeCell ref="DCY22:DDA22"/>
    <mergeCell ref="DDB22:DDD22"/>
    <mergeCell ref="DDE22:DDG22"/>
    <mergeCell ref="DDH22:DDJ22"/>
    <mergeCell ref="DDK22:DDM22"/>
    <mergeCell ref="DDN22:DDP22"/>
    <mergeCell ref="DCG22:DCI22"/>
    <mergeCell ref="DCJ22:DCL22"/>
    <mergeCell ref="DCM22:DCO22"/>
    <mergeCell ref="DCP22:DCR22"/>
    <mergeCell ref="DCS22:DCU22"/>
    <mergeCell ref="DCV22:DCX22"/>
    <mergeCell ref="DBO22:DBQ22"/>
    <mergeCell ref="DBR22:DBT22"/>
    <mergeCell ref="DBU22:DBW22"/>
    <mergeCell ref="DBX22:DBZ22"/>
    <mergeCell ref="DCA22:DCC22"/>
    <mergeCell ref="DCD22:DCF22"/>
    <mergeCell ref="DAW22:DAY22"/>
    <mergeCell ref="DAZ22:DBB22"/>
    <mergeCell ref="DBC22:DBE22"/>
    <mergeCell ref="DBF22:DBH22"/>
    <mergeCell ref="DBI22:DBK22"/>
    <mergeCell ref="DBL22:DBN22"/>
    <mergeCell ref="DAE22:DAG22"/>
    <mergeCell ref="DAH22:DAJ22"/>
    <mergeCell ref="DAK22:DAM22"/>
    <mergeCell ref="DAN22:DAP22"/>
    <mergeCell ref="DAQ22:DAS22"/>
    <mergeCell ref="DAT22:DAV22"/>
    <mergeCell ref="CZM22:CZO22"/>
    <mergeCell ref="CZP22:CZR22"/>
    <mergeCell ref="CZS22:CZU22"/>
    <mergeCell ref="CZV22:CZX22"/>
    <mergeCell ref="CZY22:DAA22"/>
    <mergeCell ref="DAB22:DAD22"/>
    <mergeCell ref="CYU22:CYW22"/>
    <mergeCell ref="CYX22:CYZ22"/>
    <mergeCell ref="CZA22:CZC22"/>
    <mergeCell ref="CZD22:CZF22"/>
    <mergeCell ref="CZG22:CZI22"/>
    <mergeCell ref="CZJ22:CZL22"/>
    <mergeCell ref="CYC22:CYE22"/>
    <mergeCell ref="CYF22:CYH22"/>
    <mergeCell ref="CYI22:CYK22"/>
    <mergeCell ref="CYL22:CYN22"/>
    <mergeCell ref="CYO22:CYQ22"/>
    <mergeCell ref="CYR22:CYT22"/>
    <mergeCell ref="CXK22:CXM22"/>
    <mergeCell ref="CXN22:CXP22"/>
    <mergeCell ref="CXQ22:CXS22"/>
    <mergeCell ref="CXT22:CXV22"/>
    <mergeCell ref="CXW22:CXY22"/>
    <mergeCell ref="CXZ22:CYB22"/>
    <mergeCell ref="CWS22:CWU22"/>
    <mergeCell ref="CWV22:CWX22"/>
    <mergeCell ref="CWY22:CXA22"/>
    <mergeCell ref="CXB22:CXD22"/>
    <mergeCell ref="CXE22:CXG22"/>
    <mergeCell ref="CXH22:CXJ22"/>
    <mergeCell ref="CWA22:CWC22"/>
    <mergeCell ref="CWD22:CWF22"/>
    <mergeCell ref="CWG22:CWI22"/>
    <mergeCell ref="CWJ22:CWL22"/>
    <mergeCell ref="CWM22:CWO22"/>
    <mergeCell ref="CWP22:CWR22"/>
    <mergeCell ref="CVI22:CVK22"/>
    <mergeCell ref="CVL22:CVN22"/>
    <mergeCell ref="CVO22:CVQ22"/>
    <mergeCell ref="CVR22:CVT22"/>
    <mergeCell ref="CVU22:CVW22"/>
    <mergeCell ref="CVX22:CVZ22"/>
    <mergeCell ref="CUQ22:CUS22"/>
    <mergeCell ref="CUT22:CUV22"/>
    <mergeCell ref="CUW22:CUY22"/>
    <mergeCell ref="CUZ22:CVB22"/>
    <mergeCell ref="CVC22:CVE22"/>
    <mergeCell ref="CVF22:CVH22"/>
    <mergeCell ref="CTY22:CUA22"/>
    <mergeCell ref="CUB22:CUD22"/>
    <mergeCell ref="CUE22:CUG22"/>
    <mergeCell ref="CUH22:CUJ22"/>
    <mergeCell ref="CUK22:CUM22"/>
    <mergeCell ref="CUN22:CUP22"/>
    <mergeCell ref="CTG22:CTI22"/>
    <mergeCell ref="CTJ22:CTL22"/>
    <mergeCell ref="CTM22:CTO22"/>
    <mergeCell ref="CTP22:CTR22"/>
    <mergeCell ref="CTS22:CTU22"/>
    <mergeCell ref="CTV22:CTX22"/>
    <mergeCell ref="CSO22:CSQ22"/>
    <mergeCell ref="CSR22:CST22"/>
    <mergeCell ref="CSU22:CSW22"/>
    <mergeCell ref="CSX22:CSZ22"/>
    <mergeCell ref="CTA22:CTC22"/>
    <mergeCell ref="CTD22:CTF22"/>
    <mergeCell ref="CRW22:CRY22"/>
    <mergeCell ref="CRZ22:CSB22"/>
    <mergeCell ref="CSC22:CSE22"/>
    <mergeCell ref="CSF22:CSH22"/>
    <mergeCell ref="CSI22:CSK22"/>
    <mergeCell ref="CSL22:CSN22"/>
    <mergeCell ref="CRE22:CRG22"/>
    <mergeCell ref="CRH22:CRJ22"/>
    <mergeCell ref="CRK22:CRM22"/>
    <mergeCell ref="CRN22:CRP22"/>
    <mergeCell ref="CRQ22:CRS22"/>
    <mergeCell ref="CRT22:CRV22"/>
    <mergeCell ref="CQM22:CQO22"/>
    <mergeCell ref="CQP22:CQR22"/>
    <mergeCell ref="CQS22:CQU22"/>
    <mergeCell ref="CQV22:CQX22"/>
    <mergeCell ref="CQY22:CRA22"/>
    <mergeCell ref="CRB22:CRD22"/>
    <mergeCell ref="CPU22:CPW22"/>
    <mergeCell ref="CPX22:CPZ22"/>
    <mergeCell ref="CQA22:CQC22"/>
    <mergeCell ref="CQD22:CQF22"/>
    <mergeCell ref="CQG22:CQI22"/>
    <mergeCell ref="CQJ22:CQL22"/>
    <mergeCell ref="CPC22:CPE22"/>
    <mergeCell ref="CPF22:CPH22"/>
    <mergeCell ref="CPI22:CPK22"/>
    <mergeCell ref="CPL22:CPN22"/>
    <mergeCell ref="CPO22:CPQ22"/>
    <mergeCell ref="CPR22:CPT22"/>
    <mergeCell ref="COK22:COM22"/>
    <mergeCell ref="CON22:COP22"/>
    <mergeCell ref="COQ22:COS22"/>
    <mergeCell ref="COT22:COV22"/>
    <mergeCell ref="COW22:COY22"/>
    <mergeCell ref="COZ22:CPB22"/>
    <mergeCell ref="CNS22:CNU22"/>
    <mergeCell ref="CNV22:CNX22"/>
    <mergeCell ref="CNY22:COA22"/>
    <mergeCell ref="COB22:COD22"/>
    <mergeCell ref="COE22:COG22"/>
    <mergeCell ref="COH22:COJ22"/>
    <mergeCell ref="CNA22:CNC22"/>
    <mergeCell ref="CND22:CNF22"/>
    <mergeCell ref="CNG22:CNI22"/>
    <mergeCell ref="CNJ22:CNL22"/>
    <mergeCell ref="CNM22:CNO22"/>
    <mergeCell ref="CNP22:CNR22"/>
    <mergeCell ref="CMI22:CMK22"/>
    <mergeCell ref="CML22:CMN22"/>
    <mergeCell ref="CMO22:CMQ22"/>
    <mergeCell ref="CMR22:CMT22"/>
    <mergeCell ref="CMU22:CMW22"/>
    <mergeCell ref="CMX22:CMZ22"/>
    <mergeCell ref="CLQ22:CLS22"/>
    <mergeCell ref="CLT22:CLV22"/>
    <mergeCell ref="CLW22:CLY22"/>
    <mergeCell ref="CLZ22:CMB22"/>
    <mergeCell ref="CMC22:CME22"/>
    <mergeCell ref="CMF22:CMH22"/>
    <mergeCell ref="CKY22:CLA22"/>
    <mergeCell ref="CLB22:CLD22"/>
    <mergeCell ref="CLE22:CLG22"/>
    <mergeCell ref="CLH22:CLJ22"/>
    <mergeCell ref="CLK22:CLM22"/>
    <mergeCell ref="CLN22:CLP22"/>
    <mergeCell ref="CKG22:CKI22"/>
    <mergeCell ref="CKJ22:CKL22"/>
    <mergeCell ref="CKM22:CKO22"/>
    <mergeCell ref="CKP22:CKR22"/>
    <mergeCell ref="CKS22:CKU22"/>
    <mergeCell ref="CKV22:CKX22"/>
    <mergeCell ref="CJO22:CJQ22"/>
    <mergeCell ref="CJR22:CJT22"/>
    <mergeCell ref="CJU22:CJW22"/>
    <mergeCell ref="CJX22:CJZ22"/>
    <mergeCell ref="CKA22:CKC22"/>
    <mergeCell ref="CKD22:CKF22"/>
    <mergeCell ref="CIW22:CIY22"/>
    <mergeCell ref="CIZ22:CJB22"/>
    <mergeCell ref="CJC22:CJE22"/>
    <mergeCell ref="CJF22:CJH22"/>
    <mergeCell ref="CJI22:CJK22"/>
    <mergeCell ref="CJL22:CJN22"/>
    <mergeCell ref="CIE22:CIG22"/>
    <mergeCell ref="CIH22:CIJ22"/>
    <mergeCell ref="CIK22:CIM22"/>
    <mergeCell ref="CIN22:CIP22"/>
    <mergeCell ref="CIQ22:CIS22"/>
    <mergeCell ref="CIT22:CIV22"/>
    <mergeCell ref="CHM22:CHO22"/>
    <mergeCell ref="CHP22:CHR22"/>
    <mergeCell ref="CHS22:CHU22"/>
    <mergeCell ref="CHV22:CHX22"/>
    <mergeCell ref="CHY22:CIA22"/>
    <mergeCell ref="CIB22:CID22"/>
    <mergeCell ref="CGU22:CGW22"/>
    <mergeCell ref="CGX22:CGZ22"/>
    <mergeCell ref="CHA22:CHC22"/>
    <mergeCell ref="CHD22:CHF22"/>
    <mergeCell ref="CHG22:CHI22"/>
    <mergeCell ref="CHJ22:CHL22"/>
    <mergeCell ref="CGC22:CGE22"/>
    <mergeCell ref="CGF22:CGH22"/>
    <mergeCell ref="CGI22:CGK22"/>
    <mergeCell ref="CGL22:CGN22"/>
    <mergeCell ref="CGO22:CGQ22"/>
    <mergeCell ref="CGR22:CGT22"/>
    <mergeCell ref="CFK22:CFM22"/>
    <mergeCell ref="CFN22:CFP22"/>
    <mergeCell ref="CFQ22:CFS22"/>
    <mergeCell ref="CFT22:CFV22"/>
    <mergeCell ref="CFW22:CFY22"/>
    <mergeCell ref="CFZ22:CGB22"/>
    <mergeCell ref="CES22:CEU22"/>
    <mergeCell ref="CEV22:CEX22"/>
    <mergeCell ref="CEY22:CFA22"/>
    <mergeCell ref="CFB22:CFD22"/>
    <mergeCell ref="CFE22:CFG22"/>
    <mergeCell ref="CFH22:CFJ22"/>
    <mergeCell ref="CEA22:CEC22"/>
    <mergeCell ref="CED22:CEF22"/>
    <mergeCell ref="CEG22:CEI22"/>
    <mergeCell ref="CEJ22:CEL22"/>
    <mergeCell ref="CEM22:CEO22"/>
    <mergeCell ref="CEP22:CER22"/>
    <mergeCell ref="CDI22:CDK22"/>
    <mergeCell ref="CDL22:CDN22"/>
    <mergeCell ref="CDO22:CDQ22"/>
    <mergeCell ref="CDR22:CDT22"/>
    <mergeCell ref="CDU22:CDW22"/>
    <mergeCell ref="CDX22:CDZ22"/>
    <mergeCell ref="CCQ22:CCS22"/>
    <mergeCell ref="CCT22:CCV22"/>
    <mergeCell ref="CCW22:CCY22"/>
    <mergeCell ref="CCZ22:CDB22"/>
    <mergeCell ref="CDC22:CDE22"/>
    <mergeCell ref="CDF22:CDH22"/>
    <mergeCell ref="CBY22:CCA22"/>
    <mergeCell ref="CCB22:CCD22"/>
    <mergeCell ref="CCE22:CCG22"/>
    <mergeCell ref="CCH22:CCJ22"/>
    <mergeCell ref="CCK22:CCM22"/>
    <mergeCell ref="CCN22:CCP22"/>
    <mergeCell ref="CBG22:CBI22"/>
    <mergeCell ref="CBJ22:CBL22"/>
    <mergeCell ref="CBM22:CBO22"/>
    <mergeCell ref="CBP22:CBR22"/>
    <mergeCell ref="CBS22:CBU22"/>
    <mergeCell ref="CBV22:CBX22"/>
    <mergeCell ref="CAO22:CAQ22"/>
    <mergeCell ref="CAR22:CAT22"/>
    <mergeCell ref="CAU22:CAW22"/>
    <mergeCell ref="CAX22:CAZ22"/>
    <mergeCell ref="CBA22:CBC22"/>
    <mergeCell ref="CBD22:CBF22"/>
    <mergeCell ref="BZW22:BZY22"/>
    <mergeCell ref="BZZ22:CAB22"/>
    <mergeCell ref="CAC22:CAE22"/>
    <mergeCell ref="CAF22:CAH22"/>
    <mergeCell ref="CAI22:CAK22"/>
    <mergeCell ref="CAL22:CAN22"/>
    <mergeCell ref="BZE22:BZG22"/>
    <mergeCell ref="BZH22:BZJ22"/>
    <mergeCell ref="BZK22:BZM22"/>
    <mergeCell ref="BZN22:BZP22"/>
    <mergeCell ref="BZQ22:BZS22"/>
    <mergeCell ref="BZT22:BZV22"/>
    <mergeCell ref="BYM22:BYO22"/>
    <mergeCell ref="BYP22:BYR22"/>
    <mergeCell ref="BYS22:BYU22"/>
    <mergeCell ref="BYV22:BYX22"/>
    <mergeCell ref="BYY22:BZA22"/>
    <mergeCell ref="BZB22:BZD22"/>
    <mergeCell ref="BXU22:BXW22"/>
    <mergeCell ref="BXX22:BXZ22"/>
    <mergeCell ref="BYA22:BYC22"/>
    <mergeCell ref="BYD22:BYF22"/>
    <mergeCell ref="BYG22:BYI22"/>
    <mergeCell ref="BYJ22:BYL22"/>
    <mergeCell ref="BXC22:BXE22"/>
    <mergeCell ref="BXF22:BXH22"/>
    <mergeCell ref="BXI22:BXK22"/>
    <mergeCell ref="BXL22:BXN22"/>
    <mergeCell ref="BXO22:BXQ22"/>
    <mergeCell ref="BXR22:BXT22"/>
    <mergeCell ref="BWK22:BWM22"/>
    <mergeCell ref="BWN22:BWP22"/>
    <mergeCell ref="BWQ22:BWS22"/>
    <mergeCell ref="BWT22:BWV22"/>
    <mergeCell ref="BWW22:BWY22"/>
    <mergeCell ref="BWZ22:BXB22"/>
    <mergeCell ref="BVS22:BVU22"/>
    <mergeCell ref="BVV22:BVX22"/>
    <mergeCell ref="BVY22:BWA22"/>
    <mergeCell ref="BWB22:BWD22"/>
    <mergeCell ref="BWE22:BWG22"/>
    <mergeCell ref="BWH22:BWJ22"/>
    <mergeCell ref="BVA22:BVC22"/>
    <mergeCell ref="BVD22:BVF22"/>
    <mergeCell ref="BVG22:BVI22"/>
    <mergeCell ref="BVJ22:BVL22"/>
    <mergeCell ref="BVM22:BVO22"/>
    <mergeCell ref="BVP22:BVR22"/>
    <mergeCell ref="BUI22:BUK22"/>
    <mergeCell ref="BUL22:BUN22"/>
    <mergeCell ref="BUO22:BUQ22"/>
    <mergeCell ref="BUR22:BUT22"/>
    <mergeCell ref="BUU22:BUW22"/>
    <mergeCell ref="BUX22:BUZ22"/>
    <mergeCell ref="BTQ22:BTS22"/>
    <mergeCell ref="BTT22:BTV22"/>
    <mergeCell ref="BTW22:BTY22"/>
    <mergeCell ref="BTZ22:BUB22"/>
    <mergeCell ref="BUC22:BUE22"/>
    <mergeCell ref="BUF22:BUH22"/>
    <mergeCell ref="BSY22:BTA22"/>
    <mergeCell ref="BTB22:BTD22"/>
    <mergeCell ref="BTE22:BTG22"/>
    <mergeCell ref="BTH22:BTJ22"/>
    <mergeCell ref="BTK22:BTM22"/>
    <mergeCell ref="BTN22:BTP22"/>
    <mergeCell ref="BSG22:BSI22"/>
    <mergeCell ref="BSJ22:BSL22"/>
    <mergeCell ref="BSM22:BSO22"/>
    <mergeCell ref="BSP22:BSR22"/>
    <mergeCell ref="BSS22:BSU22"/>
    <mergeCell ref="BSV22:BSX22"/>
    <mergeCell ref="BRO22:BRQ22"/>
    <mergeCell ref="BRR22:BRT22"/>
    <mergeCell ref="BRU22:BRW22"/>
    <mergeCell ref="BRX22:BRZ22"/>
    <mergeCell ref="BSA22:BSC22"/>
    <mergeCell ref="BSD22:BSF22"/>
    <mergeCell ref="BQW22:BQY22"/>
    <mergeCell ref="BQZ22:BRB22"/>
    <mergeCell ref="BRC22:BRE22"/>
    <mergeCell ref="BRF22:BRH22"/>
    <mergeCell ref="BRI22:BRK22"/>
    <mergeCell ref="BRL22:BRN22"/>
    <mergeCell ref="BQE22:BQG22"/>
    <mergeCell ref="BQH22:BQJ22"/>
    <mergeCell ref="BQK22:BQM22"/>
    <mergeCell ref="BQN22:BQP22"/>
    <mergeCell ref="BQQ22:BQS22"/>
    <mergeCell ref="BQT22:BQV22"/>
    <mergeCell ref="BPM22:BPO22"/>
    <mergeCell ref="BPP22:BPR22"/>
    <mergeCell ref="BPS22:BPU22"/>
    <mergeCell ref="BPV22:BPX22"/>
    <mergeCell ref="BPY22:BQA22"/>
    <mergeCell ref="BQB22:BQD22"/>
    <mergeCell ref="BOU22:BOW22"/>
    <mergeCell ref="BOX22:BOZ22"/>
    <mergeCell ref="BPA22:BPC22"/>
    <mergeCell ref="BPD22:BPF22"/>
    <mergeCell ref="BPG22:BPI22"/>
    <mergeCell ref="BPJ22:BPL22"/>
    <mergeCell ref="BOC22:BOE22"/>
    <mergeCell ref="BOF22:BOH22"/>
    <mergeCell ref="BOI22:BOK22"/>
    <mergeCell ref="BOL22:BON22"/>
    <mergeCell ref="BOO22:BOQ22"/>
    <mergeCell ref="BOR22:BOT22"/>
    <mergeCell ref="BNK22:BNM22"/>
    <mergeCell ref="BNN22:BNP22"/>
    <mergeCell ref="BNQ22:BNS22"/>
    <mergeCell ref="BNT22:BNV22"/>
    <mergeCell ref="BNW22:BNY22"/>
    <mergeCell ref="BNZ22:BOB22"/>
    <mergeCell ref="BMS22:BMU22"/>
    <mergeCell ref="BMV22:BMX22"/>
    <mergeCell ref="BMY22:BNA22"/>
    <mergeCell ref="BNB22:BND22"/>
    <mergeCell ref="BNE22:BNG22"/>
    <mergeCell ref="BNH22:BNJ22"/>
    <mergeCell ref="BMA22:BMC22"/>
    <mergeCell ref="BMD22:BMF22"/>
    <mergeCell ref="BMG22:BMI22"/>
    <mergeCell ref="BMJ22:BML22"/>
    <mergeCell ref="BMM22:BMO22"/>
    <mergeCell ref="BMP22:BMR22"/>
    <mergeCell ref="BLI22:BLK22"/>
    <mergeCell ref="BLL22:BLN22"/>
    <mergeCell ref="BLO22:BLQ22"/>
    <mergeCell ref="BLR22:BLT22"/>
    <mergeCell ref="BLU22:BLW22"/>
    <mergeCell ref="BLX22:BLZ22"/>
    <mergeCell ref="BKQ22:BKS22"/>
    <mergeCell ref="BKT22:BKV22"/>
    <mergeCell ref="BKW22:BKY22"/>
    <mergeCell ref="BKZ22:BLB22"/>
    <mergeCell ref="BLC22:BLE22"/>
    <mergeCell ref="BLF22:BLH22"/>
    <mergeCell ref="BJY22:BKA22"/>
    <mergeCell ref="BKB22:BKD22"/>
    <mergeCell ref="BKE22:BKG22"/>
    <mergeCell ref="BKH22:BKJ22"/>
    <mergeCell ref="BKK22:BKM22"/>
    <mergeCell ref="BKN22:BKP22"/>
    <mergeCell ref="BJG22:BJI22"/>
    <mergeCell ref="BJJ22:BJL22"/>
    <mergeCell ref="BJM22:BJO22"/>
    <mergeCell ref="BJP22:BJR22"/>
    <mergeCell ref="BJS22:BJU22"/>
    <mergeCell ref="BJV22:BJX22"/>
    <mergeCell ref="BIO22:BIQ22"/>
    <mergeCell ref="BIR22:BIT22"/>
    <mergeCell ref="BIU22:BIW22"/>
    <mergeCell ref="BIX22:BIZ22"/>
    <mergeCell ref="BJA22:BJC22"/>
    <mergeCell ref="BJD22:BJF22"/>
    <mergeCell ref="BHW22:BHY22"/>
    <mergeCell ref="BHZ22:BIB22"/>
    <mergeCell ref="BIC22:BIE22"/>
    <mergeCell ref="BIF22:BIH22"/>
    <mergeCell ref="BII22:BIK22"/>
    <mergeCell ref="BIL22:BIN22"/>
    <mergeCell ref="BHE22:BHG22"/>
    <mergeCell ref="BHH22:BHJ22"/>
    <mergeCell ref="BHK22:BHM22"/>
    <mergeCell ref="BHN22:BHP22"/>
    <mergeCell ref="BHQ22:BHS22"/>
    <mergeCell ref="BHT22:BHV22"/>
    <mergeCell ref="BGM22:BGO22"/>
    <mergeCell ref="BGP22:BGR22"/>
    <mergeCell ref="BGS22:BGU22"/>
    <mergeCell ref="BGV22:BGX22"/>
    <mergeCell ref="BGY22:BHA22"/>
    <mergeCell ref="BHB22:BHD22"/>
    <mergeCell ref="BFU22:BFW22"/>
    <mergeCell ref="BFX22:BFZ22"/>
    <mergeCell ref="BGA22:BGC22"/>
    <mergeCell ref="BGD22:BGF22"/>
    <mergeCell ref="BGG22:BGI22"/>
    <mergeCell ref="BGJ22:BGL22"/>
    <mergeCell ref="BFC22:BFE22"/>
    <mergeCell ref="BFF22:BFH22"/>
    <mergeCell ref="BFI22:BFK22"/>
    <mergeCell ref="BFL22:BFN22"/>
    <mergeCell ref="BFO22:BFQ22"/>
    <mergeCell ref="BFR22:BFT22"/>
    <mergeCell ref="BEK22:BEM22"/>
    <mergeCell ref="BEN22:BEP22"/>
    <mergeCell ref="BEQ22:BES22"/>
    <mergeCell ref="BET22:BEV22"/>
    <mergeCell ref="BEW22:BEY22"/>
    <mergeCell ref="BEZ22:BFB22"/>
    <mergeCell ref="BDS22:BDU22"/>
    <mergeCell ref="BDV22:BDX22"/>
    <mergeCell ref="BDY22:BEA22"/>
    <mergeCell ref="BEB22:BED22"/>
    <mergeCell ref="BEE22:BEG22"/>
    <mergeCell ref="BEH22:BEJ22"/>
    <mergeCell ref="BDA22:BDC22"/>
    <mergeCell ref="BDD22:BDF22"/>
    <mergeCell ref="BDG22:BDI22"/>
    <mergeCell ref="BDJ22:BDL22"/>
    <mergeCell ref="BDM22:BDO22"/>
    <mergeCell ref="BDP22:BDR22"/>
    <mergeCell ref="BCI22:BCK22"/>
    <mergeCell ref="BCL22:BCN22"/>
    <mergeCell ref="BCO22:BCQ22"/>
    <mergeCell ref="BCR22:BCT22"/>
    <mergeCell ref="BCU22:BCW22"/>
    <mergeCell ref="BCX22:BCZ22"/>
    <mergeCell ref="BBQ22:BBS22"/>
    <mergeCell ref="BBT22:BBV22"/>
    <mergeCell ref="BBW22:BBY22"/>
    <mergeCell ref="BBZ22:BCB22"/>
    <mergeCell ref="BCC22:BCE22"/>
    <mergeCell ref="BCF22:BCH22"/>
    <mergeCell ref="BAY22:BBA22"/>
    <mergeCell ref="BBB22:BBD22"/>
    <mergeCell ref="BBE22:BBG22"/>
    <mergeCell ref="BBH22:BBJ22"/>
    <mergeCell ref="BBK22:BBM22"/>
    <mergeCell ref="BBN22:BBP22"/>
    <mergeCell ref="BAG22:BAI22"/>
    <mergeCell ref="BAJ22:BAL22"/>
    <mergeCell ref="BAM22:BAO22"/>
    <mergeCell ref="BAP22:BAR22"/>
    <mergeCell ref="BAS22:BAU22"/>
    <mergeCell ref="BAV22:BAX22"/>
    <mergeCell ref="AZO22:AZQ22"/>
    <mergeCell ref="AZR22:AZT22"/>
    <mergeCell ref="AZU22:AZW22"/>
    <mergeCell ref="AZX22:AZZ22"/>
    <mergeCell ref="BAA22:BAC22"/>
    <mergeCell ref="BAD22:BAF22"/>
    <mergeCell ref="AYW22:AYY22"/>
    <mergeCell ref="AYZ22:AZB22"/>
    <mergeCell ref="AZC22:AZE22"/>
    <mergeCell ref="AZF22:AZH22"/>
    <mergeCell ref="AZI22:AZK22"/>
    <mergeCell ref="AZL22:AZN22"/>
    <mergeCell ref="AYE22:AYG22"/>
    <mergeCell ref="AYH22:AYJ22"/>
    <mergeCell ref="AYK22:AYM22"/>
    <mergeCell ref="AYN22:AYP22"/>
    <mergeCell ref="AYQ22:AYS22"/>
    <mergeCell ref="AYT22:AYV22"/>
    <mergeCell ref="AXM22:AXO22"/>
    <mergeCell ref="AXP22:AXR22"/>
    <mergeCell ref="AXS22:AXU22"/>
    <mergeCell ref="AXV22:AXX22"/>
    <mergeCell ref="AXY22:AYA22"/>
    <mergeCell ref="AYB22:AYD22"/>
    <mergeCell ref="AWU22:AWW22"/>
    <mergeCell ref="AWX22:AWZ22"/>
    <mergeCell ref="AXA22:AXC22"/>
    <mergeCell ref="AXD22:AXF22"/>
    <mergeCell ref="AXG22:AXI22"/>
    <mergeCell ref="AXJ22:AXL22"/>
    <mergeCell ref="AWC22:AWE22"/>
    <mergeCell ref="AWF22:AWH22"/>
    <mergeCell ref="AWI22:AWK22"/>
    <mergeCell ref="AWL22:AWN22"/>
    <mergeCell ref="AWO22:AWQ22"/>
    <mergeCell ref="AWR22:AWT22"/>
    <mergeCell ref="AVK22:AVM22"/>
    <mergeCell ref="AVN22:AVP22"/>
    <mergeCell ref="AVQ22:AVS22"/>
    <mergeCell ref="AVT22:AVV22"/>
    <mergeCell ref="AVW22:AVY22"/>
    <mergeCell ref="AVZ22:AWB22"/>
    <mergeCell ref="AUS22:AUU22"/>
    <mergeCell ref="AUV22:AUX22"/>
    <mergeCell ref="AUY22:AVA22"/>
    <mergeCell ref="AVB22:AVD22"/>
    <mergeCell ref="AVE22:AVG22"/>
    <mergeCell ref="AVH22:AVJ22"/>
    <mergeCell ref="AUA22:AUC22"/>
    <mergeCell ref="AUD22:AUF22"/>
    <mergeCell ref="AUG22:AUI22"/>
    <mergeCell ref="AUJ22:AUL22"/>
    <mergeCell ref="AUM22:AUO22"/>
    <mergeCell ref="AUP22:AUR22"/>
    <mergeCell ref="ATI22:ATK22"/>
    <mergeCell ref="ATL22:ATN22"/>
    <mergeCell ref="ATO22:ATQ22"/>
    <mergeCell ref="ATR22:ATT22"/>
    <mergeCell ref="ATU22:ATW22"/>
    <mergeCell ref="ATX22:ATZ22"/>
    <mergeCell ref="ASQ22:ASS22"/>
    <mergeCell ref="AST22:ASV22"/>
    <mergeCell ref="ASW22:ASY22"/>
    <mergeCell ref="ASZ22:ATB22"/>
    <mergeCell ref="ATC22:ATE22"/>
    <mergeCell ref="ATF22:ATH22"/>
    <mergeCell ref="ARY22:ASA22"/>
    <mergeCell ref="ASB22:ASD22"/>
    <mergeCell ref="ASE22:ASG22"/>
    <mergeCell ref="ASH22:ASJ22"/>
    <mergeCell ref="ASK22:ASM22"/>
    <mergeCell ref="ASN22:ASP22"/>
    <mergeCell ref="ARG22:ARI22"/>
    <mergeCell ref="ARJ22:ARL22"/>
    <mergeCell ref="ARM22:ARO22"/>
    <mergeCell ref="ARP22:ARR22"/>
    <mergeCell ref="ARS22:ARU22"/>
    <mergeCell ref="ARV22:ARX22"/>
    <mergeCell ref="AQO22:AQQ22"/>
    <mergeCell ref="AQR22:AQT22"/>
    <mergeCell ref="AQU22:AQW22"/>
    <mergeCell ref="AQX22:AQZ22"/>
    <mergeCell ref="ARA22:ARC22"/>
    <mergeCell ref="ARD22:ARF22"/>
    <mergeCell ref="APW22:APY22"/>
    <mergeCell ref="APZ22:AQB22"/>
    <mergeCell ref="AQC22:AQE22"/>
    <mergeCell ref="AQF22:AQH22"/>
    <mergeCell ref="AQI22:AQK22"/>
    <mergeCell ref="AQL22:AQN22"/>
    <mergeCell ref="APE22:APG22"/>
    <mergeCell ref="APH22:APJ22"/>
    <mergeCell ref="APK22:APM22"/>
    <mergeCell ref="APN22:APP22"/>
    <mergeCell ref="APQ22:APS22"/>
    <mergeCell ref="APT22:APV22"/>
    <mergeCell ref="AOM22:AOO22"/>
    <mergeCell ref="AOP22:AOR22"/>
    <mergeCell ref="AOS22:AOU22"/>
    <mergeCell ref="AOV22:AOX22"/>
    <mergeCell ref="AOY22:APA22"/>
    <mergeCell ref="APB22:APD22"/>
    <mergeCell ref="ANU22:ANW22"/>
    <mergeCell ref="ANX22:ANZ22"/>
    <mergeCell ref="AOA22:AOC22"/>
    <mergeCell ref="AOD22:AOF22"/>
    <mergeCell ref="AOG22:AOI22"/>
    <mergeCell ref="AOJ22:AOL22"/>
    <mergeCell ref="ANC22:ANE22"/>
    <mergeCell ref="ANF22:ANH22"/>
    <mergeCell ref="ANI22:ANK22"/>
    <mergeCell ref="ANL22:ANN22"/>
    <mergeCell ref="ANO22:ANQ22"/>
    <mergeCell ref="ANR22:ANT22"/>
    <mergeCell ref="AMK22:AMM22"/>
    <mergeCell ref="AMN22:AMP22"/>
    <mergeCell ref="AMQ22:AMS22"/>
    <mergeCell ref="AMT22:AMV22"/>
    <mergeCell ref="AMW22:AMY22"/>
    <mergeCell ref="AMZ22:ANB22"/>
    <mergeCell ref="ALS22:ALU22"/>
    <mergeCell ref="ALV22:ALX22"/>
    <mergeCell ref="ALY22:AMA22"/>
    <mergeCell ref="AMB22:AMD22"/>
    <mergeCell ref="AME22:AMG22"/>
    <mergeCell ref="AMH22:AMJ22"/>
    <mergeCell ref="ALA22:ALC22"/>
    <mergeCell ref="ALD22:ALF22"/>
    <mergeCell ref="ALG22:ALI22"/>
    <mergeCell ref="ALJ22:ALL22"/>
    <mergeCell ref="ALM22:ALO22"/>
    <mergeCell ref="ALP22:ALR22"/>
    <mergeCell ref="AKI22:AKK22"/>
    <mergeCell ref="AKL22:AKN22"/>
    <mergeCell ref="AKO22:AKQ22"/>
    <mergeCell ref="AKR22:AKT22"/>
    <mergeCell ref="AKU22:AKW22"/>
    <mergeCell ref="AKX22:AKZ22"/>
    <mergeCell ref="AJQ22:AJS22"/>
    <mergeCell ref="AJT22:AJV22"/>
    <mergeCell ref="AJW22:AJY22"/>
    <mergeCell ref="AJZ22:AKB22"/>
    <mergeCell ref="AKC22:AKE22"/>
    <mergeCell ref="AKF22:AKH22"/>
    <mergeCell ref="AIY22:AJA22"/>
    <mergeCell ref="AJB22:AJD22"/>
    <mergeCell ref="AJE22:AJG22"/>
    <mergeCell ref="AJH22:AJJ22"/>
    <mergeCell ref="AJK22:AJM22"/>
    <mergeCell ref="AJN22:AJP22"/>
    <mergeCell ref="AIG22:AII22"/>
    <mergeCell ref="AIJ22:AIL22"/>
    <mergeCell ref="AIM22:AIO22"/>
    <mergeCell ref="AIP22:AIR22"/>
    <mergeCell ref="AIS22:AIU22"/>
    <mergeCell ref="AIV22:AIX22"/>
    <mergeCell ref="AHO22:AHQ22"/>
    <mergeCell ref="AHR22:AHT22"/>
    <mergeCell ref="AHU22:AHW22"/>
    <mergeCell ref="AHX22:AHZ22"/>
    <mergeCell ref="AIA22:AIC22"/>
    <mergeCell ref="AID22:AIF22"/>
    <mergeCell ref="AGW22:AGY22"/>
    <mergeCell ref="AGZ22:AHB22"/>
    <mergeCell ref="AHC22:AHE22"/>
    <mergeCell ref="AHF22:AHH22"/>
    <mergeCell ref="AHI22:AHK22"/>
    <mergeCell ref="AHL22:AHN22"/>
    <mergeCell ref="AGE22:AGG22"/>
    <mergeCell ref="AGH22:AGJ22"/>
    <mergeCell ref="AGK22:AGM22"/>
    <mergeCell ref="AGN22:AGP22"/>
    <mergeCell ref="AGQ22:AGS22"/>
    <mergeCell ref="AGT22:AGV22"/>
    <mergeCell ref="AFM22:AFO22"/>
    <mergeCell ref="AFP22:AFR22"/>
    <mergeCell ref="AFS22:AFU22"/>
    <mergeCell ref="AFV22:AFX22"/>
    <mergeCell ref="AFY22:AGA22"/>
    <mergeCell ref="AGB22:AGD22"/>
    <mergeCell ref="AEU22:AEW22"/>
    <mergeCell ref="AEX22:AEZ22"/>
    <mergeCell ref="AFA22:AFC22"/>
    <mergeCell ref="AFD22:AFF22"/>
    <mergeCell ref="AFG22:AFI22"/>
    <mergeCell ref="AFJ22:AFL22"/>
    <mergeCell ref="AEC22:AEE22"/>
    <mergeCell ref="AEF22:AEH22"/>
    <mergeCell ref="AEI22:AEK22"/>
    <mergeCell ref="AEL22:AEN22"/>
    <mergeCell ref="AEO22:AEQ22"/>
    <mergeCell ref="AER22:AET22"/>
    <mergeCell ref="ADK22:ADM22"/>
    <mergeCell ref="ADN22:ADP22"/>
    <mergeCell ref="ADQ22:ADS22"/>
    <mergeCell ref="ADT22:ADV22"/>
    <mergeCell ref="ADW22:ADY22"/>
    <mergeCell ref="ADZ22:AEB22"/>
    <mergeCell ref="ACS22:ACU22"/>
    <mergeCell ref="ACV22:ACX22"/>
    <mergeCell ref="ACY22:ADA22"/>
    <mergeCell ref="ADB22:ADD22"/>
    <mergeCell ref="ADE22:ADG22"/>
    <mergeCell ref="ADH22:ADJ22"/>
    <mergeCell ref="ACA22:ACC22"/>
    <mergeCell ref="ACD22:ACF22"/>
    <mergeCell ref="ACG22:ACI22"/>
    <mergeCell ref="ACJ22:ACL22"/>
    <mergeCell ref="ACM22:ACO22"/>
    <mergeCell ref="ACP22:ACR22"/>
    <mergeCell ref="ABI22:ABK22"/>
    <mergeCell ref="ABL22:ABN22"/>
    <mergeCell ref="ABO22:ABQ22"/>
    <mergeCell ref="ABR22:ABT22"/>
    <mergeCell ref="ABU22:ABW22"/>
    <mergeCell ref="ABX22:ABZ22"/>
    <mergeCell ref="AAQ22:AAS22"/>
    <mergeCell ref="AAT22:AAV22"/>
    <mergeCell ref="AAW22:AAY22"/>
    <mergeCell ref="AAZ22:ABB22"/>
    <mergeCell ref="ABC22:ABE22"/>
    <mergeCell ref="ABF22:ABH22"/>
    <mergeCell ref="ZY22:AAA22"/>
    <mergeCell ref="AAB22:AAD22"/>
    <mergeCell ref="AAE22:AAG22"/>
    <mergeCell ref="AAH22:AAJ22"/>
    <mergeCell ref="AAK22:AAM22"/>
    <mergeCell ref="AAN22:AAP22"/>
    <mergeCell ref="ZG22:ZI22"/>
    <mergeCell ref="ZJ22:ZL22"/>
    <mergeCell ref="ZM22:ZO22"/>
    <mergeCell ref="ZP22:ZR22"/>
    <mergeCell ref="ZS22:ZU22"/>
    <mergeCell ref="ZV22:ZX22"/>
    <mergeCell ref="YO22:YQ22"/>
    <mergeCell ref="YR22:YT22"/>
    <mergeCell ref="YU22:YW22"/>
    <mergeCell ref="YX22:YZ22"/>
    <mergeCell ref="ZA22:ZC22"/>
    <mergeCell ref="ZD22:ZF22"/>
    <mergeCell ref="XW22:XY22"/>
    <mergeCell ref="XZ22:YB22"/>
    <mergeCell ref="YC22:YE22"/>
    <mergeCell ref="YF22:YH22"/>
    <mergeCell ref="YI22:YK22"/>
    <mergeCell ref="YL22:YN22"/>
    <mergeCell ref="XE22:XG22"/>
    <mergeCell ref="XH22:XJ22"/>
    <mergeCell ref="XK22:XM22"/>
    <mergeCell ref="XN22:XP22"/>
    <mergeCell ref="XQ22:XS22"/>
    <mergeCell ref="XT22:XV22"/>
    <mergeCell ref="WM22:WO22"/>
    <mergeCell ref="WP22:WR22"/>
    <mergeCell ref="WS22:WU22"/>
    <mergeCell ref="WV22:WX22"/>
    <mergeCell ref="WY22:XA22"/>
    <mergeCell ref="XB22:XD22"/>
    <mergeCell ref="VU22:VW22"/>
    <mergeCell ref="VX22:VZ22"/>
    <mergeCell ref="WA22:WC22"/>
    <mergeCell ref="WD22:WF22"/>
    <mergeCell ref="WG22:WI22"/>
    <mergeCell ref="WJ22:WL22"/>
    <mergeCell ref="VC22:VE22"/>
    <mergeCell ref="VF22:VH22"/>
    <mergeCell ref="VI22:VK22"/>
    <mergeCell ref="VL22:VN22"/>
    <mergeCell ref="VO22:VQ22"/>
    <mergeCell ref="VR22:VT22"/>
    <mergeCell ref="UK22:UM22"/>
    <mergeCell ref="UN22:UP22"/>
    <mergeCell ref="UQ22:US22"/>
    <mergeCell ref="UT22:UV22"/>
    <mergeCell ref="UW22:UY22"/>
    <mergeCell ref="UZ22:VB22"/>
    <mergeCell ref="TS22:TU22"/>
    <mergeCell ref="TV22:TX22"/>
    <mergeCell ref="TY22:UA22"/>
    <mergeCell ref="UB22:UD22"/>
    <mergeCell ref="UE22:UG22"/>
    <mergeCell ref="UH22:UJ22"/>
    <mergeCell ref="TA22:TC22"/>
    <mergeCell ref="TD22:TF22"/>
    <mergeCell ref="TG22:TI22"/>
    <mergeCell ref="TJ22:TL22"/>
    <mergeCell ref="TM22:TO22"/>
    <mergeCell ref="TP22:TR22"/>
    <mergeCell ref="SI22:SK22"/>
    <mergeCell ref="SL22:SN22"/>
    <mergeCell ref="SO22:SQ22"/>
    <mergeCell ref="SR22:ST22"/>
    <mergeCell ref="SU22:SW22"/>
    <mergeCell ref="SX22:SZ22"/>
    <mergeCell ref="RQ22:RS22"/>
    <mergeCell ref="RT22:RV22"/>
    <mergeCell ref="RW22:RY22"/>
    <mergeCell ref="RZ22:SB22"/>
    <mergeCell ref="SC22:SE22"/>
    <mergeCell ref="SF22:SH22"/>
    <mergeCell ref="QY22:RA22"/>
    <mergeCell ref="RB22:RD22"/>
    <mergeCell ref="RE22:RG22"/>
    <mergeCell ref="RH22:RJ22"/>
    <mergeCell ref="RK22:RM22"/>
    <mergeCell ref="RN22:RP22"/>
    <mergeCell ref="QG22:QI22"/>
    <mergeCell ref="QJ22:QL22"/>
    <mergeCell ref="QM22:QO22"/>
    <mergeCell ref="QP22:QR22"/>
    <mergeCell ref="QS22:QU22"/>
    <mergeCell ref="QV22:QX22"/>
    <mergeCell ref="PO22:PQ22"/>
    <mergeCell ref="PR22:PT22"/>
    <mergeCell ref="PU22:PW22"/>
    <mergeCell ref="PX22:PZ22"/>
    <mergeCell ref="QA22:QC22"/>
    <mergeCell ref="QD22:QF22"/>
    <mergeCell ref="OW22:OY22"/>
    <mergeCell ref="OZ22:PB22"/>
    <mergeCell ref="PC22:PE22"/>
    <mergeCell ref="PF22:PH22"/>
    <mergeCell ref="PI22:PK22"/>
    <mergeCell ref="PL22:PN22"/>
    <mergeCell ref="OE22:OG22"/>
    <mergeCell ref="OH22:OJ22"/>
    <mergeCell ref="OK22:OM22"/>
    <mergeCell ref="ON22:OP22"/>
    <mergeCell ref="OQ22:OS22"/>
    <mergeCell ref="OT22:OV22"/>
    <mergeCell ref="NM22:NO22"/>
    <mergeCell ref="NP22:NR22"/>
    <mergeCell ref="NS22:NU22"/>
    <mergeCell ref="NV22:NX22"/>
    <mergeCell ref="NY22:OA22"/>
    <mergeCell ref="OB22:OD22"/>
    <mergeCell ref="MU22:MW22"/>
    <mergeCell ref="MX22:MZ22"/>
    <mergeCell ref="NA22:NC22"/>
    <mergeCell ref="ND22:NF22"/>
    <mergeCell ref="NG22:NI22"/>
    <mergeCell ref="NJ22:NL22"/>
    <mergeCell ref="MC22:ME22"/>
    <mergeCell ref="MF22:MH22"/>
    <mergeCell ref="MI22:MK22"/>
    <mergeCell ref="ML22:MN22"/>
    <mergeCell ref="MO22:MQ22"/>
    <mergeCell ref="MR22:MT22"/>
    <mergeCell ref="LK22:LM22"/>
    <mergeCell ref="LN22:LP22"/>
    <mergeCell ref="LQ22:LS22"/>
    <mergeCell ref="LT22:LV22"/>
    <mergeCell ref="LW22:LY22"/>
    <mergeCell ref="LZ22:MB22"/>
    <mergeCell ref="KS22:KU22"/>
    <mergeCell ref="KV22:KX22"/>
    <mergeCell ref="KY22:LA22"/>
    <mergeCell ref="LB22:LD22"/>
    <mergeCell ref="LE22:LG22"/>
    <mergeCell ref="LH22:LJ22"/>
    <mergeCell ref="KA22:KC22"/>
    <mergeCell ref="KD22:KF22"/>
    <mergeCell ref="KG22:KI22"/>
    <mergeCell ref="KJ22:KL22"/>
    <mergeCell ref="KM22:KO22"/>
    <mergeCell ref="KP22:KR22"/>
    <mergeCell ref="JI22:JK22"/>
    <mergeCell ref="JL22:JN22"/>
    <mergeCell ref="JO22:JQ22"/>
    <mergeCell ref="JR22:JT22"/>
    <mergeCell ref="JU22:JW22"/>
    <mergeCell ref="JX22:JZ22"/>
    <mergeCell ref="IQ22:IS22"/>
    <mergeCell ref="IT22:IV22"/>
    <mergeCell ref="IW22:IY22"/>
    <mergeCell ref="IZ22:JB22"/>
    <mergeCell ref="JC22:JE22"/>
    <mergeCell ref="JF22:JH22"/>
    <mergeCell ref="HY22:IA22"/>
    <mergeCell ref="IB22:ID22"/>
    <mergeCell ref="IE22:IG22"/>
    <mergeCell ref="IH22:IJ22"/>
    <mergeCell ref="IK22:IM22"/>
    <mergeCell ref="IN22:IP22"/>
    <mergeCell ref="HG22:HI22"/>
    <mergeCell ref="HJ22:HL22"/>
    <mergeCell ref="HM22:HO22"/>
    <mergeCell ref="HP22:HR22"/>
    <mergeCell ref="HS22:HU22"/>
    <mergeCell ref="HV22:HX22"/>
    <mergeCell ref="GO22:GQ22"/>
    <mergeCell ref="GR22:GT22"/>
    <mergeCell ref="GU22:GW22"/>
    <mergeCell ref="GX22:GZ22"/>
    <mergeCell ref="HA22:HC22"/>
    <mergeCell ref="HD22:HF22"/>
    <mergeCell ref="FW22:FY22"/>
    <mergeCell ref="FZ22:GB22"/>
    <mergeCell ref="GC22:GE22"/>
    <mergeCell ref="GF22:GH22"/>
    <mergeCell ref="GI22:GK22"/>
    <mergeCell ref="GL22:GN22"/>
    <mergeCell ref="FE22:FG22"/>
    <mergeCell ref="FH22:FJ22"/>
    <mergeCell ref="FK22:FM22"/>
    <mergeCell ref="FN22:FP22"/>
    <mergeCell ref="FQ22:FS22"/>
    <mergeCell ref="FT22:FV22"/>
    <mergeCell ref="EM22:EO22"/>
    <mergeCell ref="EP22:ER22"/>
    <mergeCell ref="ES22:EU22"/>
    <mergeCell ref="EV22:EX22"/>
    <mergeCell ref="EY22:FA22"/>
    <mergeCell ref="FB22:FD22"/>
    <mergeCell ref="DU22:DW22"/>
    <mergeCell ref="DX22:DZ22"/>
    <mergeCell ref="EA22:EC22"/>
    <mergeCell ref="ED22:EF22"/>
    <mergeCell ref="EG22:EI22"/>
    <mergeCell ref="EJ22:EL22"/>
    <mergeCell ref="DC22:DE22"/>
    <mergeCell ref="DF22:DH22"/>
    <mergeCell ref="DI22:DK22"/>
    <mergeCell ref="DL22:DN22"/>
    <mergeCell ref="DO22:DQ22"/>
    <mergeCell ref="DR22:DT22"/>
    <mergeCell ref="CK22:CM22"/>
    <mergeCell ref="CN22:CP22"/>
    <mergeCell ref="CQ22:CS22"/>
    <mergeCell ref="CT22:CV22"/>
    <mergeCell ref="CW22:CY22"/>
    <mergeCell ref="CZ22:DB22"/>
    <mergeCell ref="BS22:BU22"/>
    <mergeCell ref="BV22:BX22"/>
    <mergeCell ref="BY22:CA22"/>
    <mergeCell ref="CB22:CD22"/>
    <mergeCell ref="CE22:CG22"/>
    <mergeCell ref="CH22:CJ22"/>
    <mergeCell ref="BA22:BC22"/>
    <mergeCell ref="BD22:BF22"/>
    <mergeCell ref="BG22:BI22"/>
    <mergeCell ref="BJ22:BL22"/>
    <mergeCell ref="BM22:BO22"/>
    <mergeCell ref="BP22:BR22"/>
    <mergeCell ref="AI22:AK22"/>
    <mergeCell ref="AL22:AN22"/>
    <mergeCell ref="AO22:AQ22"/>
    <mergeCell ref="AR22:AT22"/>
    <mergeCell ref="AU22:AW22"/>
    <mergeCell ref="AX22:AZ22"/>
    <mergeCell ref="Q22:S22"/>
    <mergeCell ref="T22:V22"/>
    <mergeCell ref="W22:Y22"/>
    <mergeCell ref="Z22:AB22"/>
    <mergeCell ref="AC22:AE22"/>
    <mergeCell ref="AF22:AH22"/>
    <mergeCell ref="A20:D20"/>
    <mergeCell ref="A22:D22"/>
    <mergeCell ref="E22:G22"/>
    <mergeCell ref="H22:J22"/>
    <mergeCell ref="K22:M22"/>
    <mergeCell ref="N22:P22"/>
    <mergeCell ref="A1:D1"/>
    <mergeCell ref="A2:D2"/>
    <mergeCell ref="A3:D3"/>
    <mergeCell ref="A6:A8"/>
    <mergeCell ref="A10:D10"/>
    <mergeCell ref="A15:D15"/>
    <mergeCell ref="B8:D8"/>
  </mergeCells>
  <pageMargins left="0.7" right="0.7" top="0.75" bottom="0.75" header="0.3" footer="0.3"/>
  <pageSetup paperSize="9" scale="5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26">
    <tabColor rgb="FF92D050"/>
  </sheetPr>
  <dimension ref="A2:CD802"/>
  <sheetViews>
    <sheetView view="pageBreakPreview" topLeftCell="B1" zoomScale="110" zoomScaleSheetLayoutView="110" workbookViewId="0">
      <pane ySplit="11" topLeftCell="A780" activePane="bottomLeft" state="frozen"/>
      <selection activeCell="F40" sqref="F40"/>
      <selection pane="bottomLeft" activeCell="F40" sqref="F40"/>
    </sheetView>
  </sheetViews>
  <sheetFormatPr defaultColWidth="10.85546875" defaultRowHeight="12"/>
  <cols>
    <col min="1" max="1" width="10.85546875" style="183" hidden="1" customWidth="1"/>
    <col min="2" max="2" width="14.5703125" style="208" customWidth="1"/>
    <col min="3" max="4" width="10.85546875" style="201" customWidth="1"/>
    <col min="5" max="5" width="16" style="201" customWidth="1"/>
    <col min="6" max="30" width="10.85546875" style="201" customWidth="1"/>
    <col min="31" max="31" width="14.5703125" style="208" customWidth="1"/>
    <col min="32" max="79" width="10.85546875" style="183"/>
    <col min="80" max="80" width="0" style="183" hidden="1" customWidth="1"/>
    <col min="81" max="16384" width="10.85546875" style="183"/>
  </cols>
  <sheetData>
    <row r="2" spans="2:82" s="316" customFormat="1" ht="16.5" customHeight="1">
      <c r="B2" s="2466" t="s">
        <v>3302</v>
      </c>
      <c r="C2" s="2466"/>
      <c r="D2" s="2466"/>
      <c r="E2" s="2466"/>
      <c r="F2" s="2466"/>
      <c r="G2" s="2466"/>
      <c r="H2" s="2466"/>
      <c r="I2" s="2466"/>
      <c r="J2" s="2466"/>
      <c r="K2" s="2466"/>
      <c r="L2" s="2466"/>
      <c r="M2" s="2466"/>
      <c r="N2" s="2466"/>
      <c r="O2" s="2466"/>
      <c r="P2" s="2466"/>
      <c r="Q2" s="2466"/>
      <c r="R2" s="2466"/>
      <c r="S2" s="2466"/>
      <c r="T2" s="2466"/>
      <c r="U2" s="2466"/>
      <c r="V2" s="2466"/>
      <c r="W2" s="2466"/>
      <c r="X2" s="2466"/>
      <c r="Y2" s="2466"/>
      <c r="Z2" s="2466"/>
      <c r="AA2" s="2466"/>
      <c r="AB2" s="2466"/>
      <c r="AC2" s="2466"/>
      <c r="AD2" s="2466"/>
      <c r="AE2" s="2466"/>
    </row>
    <row r="3" spans="2:82" s="316" customFormat="1" ht="24" customHeight="1">
      <c r="B3" s="2467" t="s">
        <v>3303</v>
      </c>
      <c r="C3" s="2467"/>
      <c r="D3" s="2467"/>
      <c r="E3" s="2467"/>
      <c r="F3" s="2467"/>
      <c r="G3" s="2467"/>
      <c r="H3" s="2467"/>
      <c r="I3" s="2467"/>
      <c r="J3" s="2467"/>
      <c r="K3" s="2467"/>
      <c r="L3" s="2467"/>
      <c r="M3" s="2467"/>
      <c r="N3" s="2467"/>
      <c r="O3" s="2467"/>
      <c r="P3" s="2467"/>
      <c r="Q3" s="2467"/>
      <c r="R3" s="2467"/>
      <c r="S3" s="2467"/>
      <c r="T3" s="2467"/>
      <c r="U3" s="2467"/>
      <c r="V3" s="2467"/>
      <c r="W3" s="2467"/>
      <c r="X3" s="2467"/>
      <c r="Y3" s="2467"/>
      <c r="Z3" s="2467"/>
      <c r="AA3" s="2467"/>
      <c r="AB3" s="2467"/>
      <c r="AC3" s="2467"/>
      <c r="AD3" s="2467"/>
      <c r="AE3" s="2467"/>
    </row>
    <row r="4" spans="2:82" s="316" customFormat="1" ht="11.25" customHeight="1"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8"/>
      <c r="V4" s="498"/>
      <c r="W4" s="498"/>
      <c r="X4" s="498"/>
      <c r="Y4" s="498"/>
      <c r="Z4" s="498"/>
      <c r="AA4" s="498"/>
      <c r="AB4" s="498"/>
      <c r="AC4" s="498"/>
      <c r="AD4" s="498"/>
      <c r="AE4" s="498"/>
    </row>
    <row r="5" spans="2:82" s="316" customFormat="1" ht="11.25" customHeight="1" thickBot="1">
      <c r="B5" s="476"/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76"/>
      <c r="R5" s="476"/>
      <c r="S5" s="476"/>
      <c r="T5" s="476"/>
      <c r="U5" s="476"/>
      <c r="V5" s="476"/>
      <c r="W5" s="476"/>
      <c r="X5" s="476"/>
      <c r="Y5" s="476"/>
      <c r="Z5" s="476"/>
      <c r="AA5" s="476"/>
      <c r="AB5" s="476"/>
      <c r="AC5" s="476"/>
      <c r="AD5" s="476"/>
      <c r="AE5" s="476"/>
    </row>
    <row r="6" spans="2:82" thickBot="1">
      <c r="B6" s="2472" t="s">
        <v>182</v>
      </c>
      <c r="C6" s="2475" t="s">
        <v>3001</v>
      </c>
      <c r="D6" s="2476"/>
      <c r="E6" s="2476"/>
      <c r="F6" s="2476"/>
      <c r="G6" s="2476"/>
      <c r="H6" s="2476"/>
      <c r="I6" s="2476"/>
      <c r="J6" s="2476"/>
      <c r="K6" s="2476"/>
      <c r="L6" s="2477"/>
      <c r="M6" s="2475" t="s">
        <v>291</v>
      </c>
      <c r="N6" s="2476"/>
      <c r="O6" s="2476"/>
      <c r="P6" s="2476"/>
      <c r="Q6" s="2476"/>
      <c r="R6" s="2476"/>
      <c r="S6" s="2476"/>
      <c r="T6" s="2476"/>
      <c r="U6" s="2476"/>
      <c r="V6" s="2476"/>
      <c r="W6" s="2476"/>
      <c r="X6" s="2477"/>
      <c r="Y6" s="2475" t="s">
        <v>292</v>
      </c>
      <c r="Z6" s="2476"/>
      <c r="AA6" s="2476"/>
      <c r="AB6" s="2476"/>
      <c r="AC6" s="2476"/>
      <c r="AD6" s="2477"/>
      <c r="AE6" s="2472" t="s">
        <v>283</v>
      </c>
    </row>
    <row r="7" spans="2:82" ht="11.25">
      <c r="B7" s="2473"/>
      <c r="C7" s="533" t="s">
        <v>293</v>
      </c>
      <c r="D7" s="534" t="s">
        <v>294</v>
      </c>
      <c r="E7" s="534" t="s">
        <v>295</v>
      </c>
      <c r="F7" s="534" t="s">
        <v>296</v>
      </c>
      <c r="G7" s="534" t="s">
        <v>297</v>
      </c>
      <c r="H7" s="534" t="s">
        <v>298</v>
      </c>
      <c r="I7" s="534" t="s">
        <v>299</v>
      </c>
      <c r="J7" s="534" t="s">
        <v>300</v>
      </c>
      <c r="K7" s="534" t="s">
        <v>301</v>
      </c>
      <c r="L7" s="535" t="s">
        <v>302</v>
      </c>
      <c r="M7" s="533" t="s">
        <v>293</v>
      </c>
      <c r="N7" s="534" t="s">
        <v>294</v>
      </c>
      <c r="O7" s="534" t="s">
        <v>295</v>
      </c>
      <c r="P7" s="534" t="s">
        <v>296</v>
      </c>
      <c r="Q7" s="534" t="s">
        <v>297</v>
      </c>
      <c r="R7" s="534" t="s">
        <v>298</v>
      </c>
      <c r="S7" s="534" t="s">
        <v>299</v>
      </c>
      <c r="T7" s="534" t="s">
        <v>300</v>
      </c>
      <c r="U7" s="534" t="s">
        <v>301</v>
      </c>
      <c r="V7" s="534" t="s">
        <v>303</v>
      </c>
      <c r="W7" s="536" t="s">
        <v>302</v>
      </c>
      <c r="X7" s="537" t="s">
        <v>304</v>
      </c>
      <c r="Y7" s="533" t="s">
        <v>293</v>
      </c>
      <c r="Z7" s="534">
        <v>30</v>
      </c>
      <c r="AA7" s="534" t="s">
        <v>305</v>
      </c>
      <c r="AB7" s="534" t="s">
        <v>306</v>
      </c>
      <c r="AC7" s="534" t="s">
        <v>307</v>
      </c>
      <c r="AD7" s="535" t="s">
        <v>308</v>
      </c>
      <c r="AE7" s="2473"/>
    </row>
    <row r="8" spans="2:82" ht="14.25" customHeight="1" thickBot="1">
      <c r="B8" s="2473"/>
      <c r="C8" s="538" t="s">
        <v>309</v>
      </c>
      <c r="D8" s="539" t="s">
        <v>310</v>
      </c>
      <c r="E8" s="539" t="s">
        <v>310</v>
      </c>
      <c r="F8" s="539" t="s">
        <v>311</v>
      </c>
      <c r="G8" s="539" t="s">
        <v>312</v>
      </c>
      <c r="H8" s="539" t="s">
        <v>313</v>
      </c>
      <c r="I8" s="539" t="s">
        <v>314</v>
      </c>
      <c r="J8" s="539" t="s">
        <v>315</v>
      </c>
      <c r="K8" s="539" t="s">
        <v>316</v>
      </c>
      <c r="L8" s="540" t="s">
        <v>317</v>
      </c>
      <c r="M8" s="538" t="s">
        <v>309</v>
      </c>
      <c r="N8" s="539" t="s">
        <v>310</v>
      </c>
      <c r="O8" s="539" t="s">
        <v>310</v>
      </c>
      <c r="P8" s="539" t="s">
        <v>311</v>
      </c>
      <c r="Q8" s="539" t="s">
        <v>312</v>
      </c>
      <c r="R8" s="539" t="s">
        <v>313</v>
      </c>
      <c r="S8" s="539" t="s">
        <v>314</v>
      </c>
      <c r="T8" s="539" t="s">
        <v>315</v>
      </c>
      <c r="U8" s="539" t="s">
        <v>318</v>
      </c>
      <c r="V8" s="539" t="s">
        <v>316</v>
      </c>
      <c r="W8" s="541" t="s">
        <v>319</v>
      </c>
      <c r="X8" s="537" t="s">
        <v>317</v>
      </c>
      <c r="Y8" s="538" t="s">
        <v>309</v>
      </c>
      <c r="Z8" s="539" t="s">
        <v>320</v>
      </c>
      <c r="AA8" s="539" t="s">
        <v>321</v>
      </c>
      <c r="AB8" s="539" t="s">
        <v>321</v>
      </c>
      <c r="AC8" s="539" t="s">
        <v>321</v>
      </c>
      <c r="AD8" s="540" t="s">
        <v>322</v>
      </c>
      <c r="AE8" s="2473"/>
      <c r="CC8" s="284"/>
      <c r="CD8" s="289"/>
    </row>
    <row r="9" spans="2:82" ht="12" customHeight="1" thickBot="1">
      <c r="B9" s="2473"/>
      <c r="C9" s="2475" t="s">
        <v>3002</v>
      </c>
      <c r="D9" s="2476"/>
      <c r="E9" s="2476"/>
      <c r="F9" s="2476"/>
      <c r="G9" s="2476"/>
      <c r="H9" s="2476"/>
      <c r="I9" s="2476"/>
      <c r="J9" s="2476"/>
      <c r="K9" s="2476"/>
      <c r="L9" s="2477"/>
      <c r="M9" s="2475" t="s">
        <v>1172</v>
      </c>
      <c r="N9" s="2481"/>
      <c r="O9" s="2481"/>
      <c r="P9" s="2481"/>
      <c r="Q9" s="2481"/>
      <c r="R9" s="2481"/>
      <c r="S9" s="2481"/>
      <c r="T9" s="2481"/>
      <c r="U9" s="2481"/>
      <c r="V9" s="2481"/>
      <c r="W9" s="2481"/>
      <c r="X9" s="2482"/>
      <c r="Y9" s="2475" t="s">
        <v>1173</v>
      </c>
      <c r="Z9" s="2476"/>
      <c r="AA9" s="2476"/>
      <c r="AB9" s="2476"/>
      <c r="AC9" s="2476"/>
      <c r="AD9" s="2477"/>
      <c r="AE9" s="2473"/>
      <c r="CD9" s="265"/>
    </row>
    <row r="10" spans="2:82" ht="17.25" customHeight="1">
      <c r="B10" s="2473"/>
      <c r="C10" s="2470" t="s">
        <v>2872</v>
      </c>
      <c r="D10" s="542" t="s">
        <v>323</v>
      </c>
      <c r="E10" s="2468" t="s">
        <v>324</v>
      </c>
      <c r="F10" s="542" t="s">
        <v>325</v>
      </c>
      <c r="G10" s="542" t="s">
        <v>326</v>
      </c>
      <c r="H10" s="542" t="s">
        <v>327</v>
      </c>
      <c r="I10" s="542" t="s">
        <v>328</v>
      </c>
      <c r="J10" s="542" t="s">
        <v>329</v>
      </c>
      <c r="K10" s="542" t="s">
        <v>330</v>
      </c>
      <c r="L10" s="543" t="s">
        <v>333</v>
      </c>
      <c r="M10" s="2470" t="s">
        <v>2872</v>
      </c>
      <c r="N10" s="542" t="s">
        <v>323</v>
      </c>
      <c r="O10" s="2468" t="s">
        <v>324</v>
      </c>
      <c r="P10" s="542" t="s">
        <v>325</v>
      </c>
      <c r="Q10" s="542" t="s">
        <v>326</v>
      </c>
      <c r="R10" s="542" t="s">
        <v>327</v>
      </c>
      <c r="S10" s="542" t="s">
        <v>328</v>
      </c>
      <c r="T10" s="542" t="s">
        <v>329</v>
      </c>
      <c r="U10" s="542" t="s">
        <v>330</v>
      </c>
      <c r="V10" s="542" t="s">
        <v>331</v>
      </c>
      <c r="W10" s="542" t="s">
        <v>332</v>
      </c>
      <c r="X10" s="544" t="s">
        <v>333</v>
      </c>
      <c r="Y10" s="2470" t="s">
        <v>2872</v>
      </c>
      <c r="Z10" s="542" t="s">
        <v>334</v>
      </c>
      <c r="AA10" s="542" t="s">
        <v>305</v>
      </c>
      <c r="AB10" s="542" t="s">
        <v>306</v>
      </c>
      <c r="AC10" s="542" t="s">
        <v>307</v>
      </c>
      <c r="AD10" s="543" t="s">
        <v>333</v>
      </c>
      <c r="AE10" s="2473"/>
      <c r="CD10" s="265"/>
    </row>
    <row r="11" spans="2:82" ht="16.899999999999999" customHeight="1" thickBot="1">
      <c r="B11" s="2474"/>
      <c r="C11" s="2471"/>
      <c r="D11" s="545" t="s">
        <v>335</v>
      </c>
      <c r="E11" s="2469"/>
      <c r="F11" s="545" t="s">
        <v>336</v>
      </c>
      <c r="G11" s="545" t="s">
        <v>337</v>
      </c>
      <c r="H11" s="545" t="s">
        <v>338</v>
      </c>
      <c r="I11" s="545" t="s">
        <v>339</v>
      </c>
      <c r="J11" s="545" t="s">
        <v>340</v>
      </c>
      <c r="K11" s="545" t="s">
        <v>341</v>
      </c>
      <c r="L11" s="546" t="s">
        <v>342</v>
      </c>
      <c r="M11" s="2471"/>
      <c r="N11" s="545" t="s">
        <v>335</v>
      </c>
      <c r="O11" s="2469"/>
      <c r="P11" s="545" t="s">
        <v>336</v>
      </c>
      <c r="Q11" s="545" t="s">
        <v>337</v>
      </c>
      <c r="R11" s="545" t="s">
        <v>338</v>
      </c>
      <c r="S11" s="545" t="s">
        <v>339</v>
      </c>
      <c r="T11" s="545" t="s">
        <v>340</v>
      </c>
      <c r="U11" s="545" t="s">
        <v>343</v>
      </c>
      <c r="V11" s="545" t="s">
        <v>341</v>
      </c>
      <c r="W11" s="545" t="s">
        <v>344</v>
      </c>
      <c r="X11" s="547" t="s">
        <v>345</v>
      </c>
      <c r="Y11" s="2471"/>
      <c r="Z11" s="545" t="s">
        <v>346</v>
      </c>
      <c r="AA11" s="545" t="s">
        <v>347</v>
      </c>
      <c r="AB11" s="545" t="s">
        <v>347</v>
      </c>
      <c r="AC11" s="545" t="s">
        <v>347</v>
      </c>
      <c r="AD11" s="546" t="s">
        <v>348</v>
      </c>
      <c r="AE11" s="2474"/>
      <c r="CD11" s="265"/>
    </row>
    <row r="12" spans="2:82" ht="3" customHeight="1">
      <c r="B12" s="186"/>
      <c r="C12" s="187"/>
      <c r="D12" s="188"/>
      <c r="E12" s="188"/>
      <c r="F12" s="188"/>
      <c r="G12" s="188"/>
      <c r="H12" s="188"/>
      <c r="I12" s="188"/>
      <c r="J12" s="188"/>
      <c r="K12" s="188"/>
      <c r="L12" s="184"/>
      <c r="M12" s="189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1"/>
      <c r="Y12" s="187"/>
      <c r="Z12" s="188"/>
      <c r="AA12" s="188"/>
      <c r="AB12" s="188"/>
      <c r="AC12" s="188"/>
      <c r="AD12" s="184"/>
      <c r="AE12" s="186"/>
      <c r="CD12" s="265"/>
    </row>
    <row r="13" spans="2:82" ht="11.1" hidden="1" customHeight="1">
      <c r="B13" s="186" t="s">
        <v>1065</v>
      </c>
      <c r="C13" s="192"/>
      <c r="D13" s="193"/>
      <c r="E13" s="193"/>
      <c r="F13" s="193"/>
      <c r="G13" s="193"/>
      <c r="H13" s="193"/>
      <c r="I13" s="193"/>
      <c r="J13" s="193"/>
      <c r="K13" s="193"/>
      <c r="L13" s="194"/>
      <c r="M13" s="195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6"/>
      <c r="Y13" s="197"/>
      <c r="Z13" s="198"/>
      <c r="AA13" s="198"/>
      <c r="AB13" s="198"/>
      <c r="AC13" s="198"/>
      <c r="AD13" s="191"/>
      <c r="AE13" s="186" t="s">
        <v>1065</v>
      </c>
      <c r="CD13" s="265"/>
    </row>
    <row r="14" spans="2:82" ht="11.1" hidden="1" customHeight="1">
      <c r="B14" s="199" t="s">
        <v>184</v>
      </c>
      <c r="C14" s="197">
        <v>8.2799999999999994</v>
      </c>
      <c r="D14" s="198">
        <v>7.6</v>
      </c>
      <c r="E14" s="198">
        <v>9.0299999999999994</v>
      </c>
      <c r="F14" s="198">
        <v>5</v>
      </c>
      <c r="G14" s="198">
        <v>7</v>
      </c>
      <c r="H14" s="198">
        <v>5.46</v>
      </c>
      <c r="I14" s="198">
        <v>8.25</v>
      </c>
      <c r="J14" s="198">
        <v>12.64</v>
      </c>
      <c r="K14" s="198">
        <v>7.53</v>
      </c>
      <c r="L14" s="191" t="s">
        <v>93</v>
      </c>
      <c r="M14" s="197">
        <v>15.59</v>
      </c>
      <c r="N14" s="198">
        <v>16.02</v>
      </c>
      <c r="O14" s="198">
        <v>14.77</v>
      </c>
      <c r="P14" s="198">
        <v>21.89</v>
      </c>
      <c r="Q14" s="198">
        <v>16.77</v>
      </c>
      <c r="R14" s="198">
        <v>15.81</v>
      </c>
      <c r="S14" s="198">
        <v>17.53</v>
      </c>
      <c r="T14" s="198">
        <v>16.3</v>
      </c>
      <c r="U14" s="198">
        <v>12.8</v>
      </c>
      <c r="V14" s="198">
        <v>12.99</v>
      </c>
      <c r="W14" s="198">
        <v>25</v>
      </c>
      <c r="X14" s="191" t="s">
        <v>349</v>
      </c>
      <c r="Y14" s="197"/>
      <c r="Z14" s="198" t="s">
        <v>93</v>
      </c>
      <c r="AA14" s="198" t="s">
        <v>93</v>
      </c>
      <c r="AB14" s="198" t="s">
        <v>93</v>
      </c>
      <c r="AC14" s="198">
        <v>18</v>
      </c>
      <c r="AD14" s="191">
        <v>20</v>
      </c>
      <c r="AE14" s="199" t="s">
        <v>350</v>
      </c>
      <c r="CD14" s="265"/>
    </row>
    <row r="15" spans="2:82" ht="11.1" hidden="1" customHeight="1">
      <c r="B15" s="199" t="s">
        <v>351</v>
      </c>
      <c r="C15" s="197">
        <v>9.34</v>
      </c>
      <c r="D15" s="198">
        <v>4.59</v>
      </c>
      <c r="E15" s="198">
        <v>11.75</v>
      </c>
      <c r="F15" s="198">
        <v>3.8</v>
      </c>
      <c r="G15" s="198">
        <v>5.0599999999999996</v>
      </c>
      <c r="H15" s="198">
        <v>6.18</v>
      </c>
      <c r="I15" s="198">
        <v>5.77</v>
      </c>
      <c r="J15" s="198">
        <v>10.050000000000001</v>
      </c>
      <c r="K15" s="198">
        <v>11.34</v>
      </c>
      <c r="L15" s="191">
        <v>9.94</v>
      </c>
      <c r="M15" s="197">
        <v>12.79</v>
      </c>
      <c r="N15" s="198">
        <v>10.97</v>
      </c>
      <c r="O15" s="198">
        <v>21.43</v>
      </c>
      <c r="P15" s="198">
        <v>3.7</v>
      </c>
      <c r="Q15" s="198">
        <v>9.44</v>
      </c>
      <c r="R15" s="198">
        <v>20.84</v>
      </c>
      <c r="S15" s="198">
        <v>22.27</v>
      </c>
      <c r="T15" s="198">
        <v>19.63</v>
      </c>
      <c r="U15" s="198">
        <v>15.73</v>
      </c>
      <c r="V15" s="198">
        <v>12.53</v>
      </c>
      <c r="W15" s="198">
        <v>8.15</v>
      </c>
      <c r="X15" s="191" t="s">
        <v>349</v>
      </c>
      <c r="Y15" s="197"/>
      <c r="Z15" s="198">
        <v>2.91</v>
      </c>
      <c r="AA15" s="198">
        <v>17.190000000000001</v>
      </c>
      <c r="AB15" s="198">
        <v>15.21</v>
      </c>
      <c r="AC15" s="198">
        <v>14.38</v>
      </c>
      <c r="AD15" s="191" t="s">
        <v>93</v>
      </c>
      <c r="AE15" s="199" t="s">
        <v>207</v>
      </c>
      <c r="CD15" s="265"/>
    </row>
    <row r="16" spans="2:82" ht="14.1" hidden="1" customHeight="1">
      <c r="B16" s="199"/>
      <c r="C16" s="197"/>
      <c r="D16" s="198"/>
      <c r="E16" s="198"/>
      <c r="F16" s="198"/>
      <c r="G16" s="198"/>
      <c r="H16" s="198"/>
      <c r="I16" s="198"/>
      <c r="J16" s="198"/>
      <c r="K16" s="198"/>
      <c r="L16" s="191"/>
      <c r="M16" s="197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1"/>
      <c r="Y16" s="197"/>
      <c r="Z16" s="198"/>
      <c r="AA16" s="198"/>
      <c r="AB16" s="198"/>
      <c r="AC16" s="198"/>
      <c r="AD16" s="191"/>
      <c r="AE16" s="199"/>
      <c r="CD16" s="265"/>
    </row>
    <row r="17" spans="2:82" ht="11.1" hidden="1" customHeight="1">
      <c r="B17" s="186" t="s">
        <v>980</v>
      </c>
      <c r="C17" s="197"/>
      <c r="D17" s="198"/>
      <c r="E17" s="198"/>
      <c r="F17" s="198"/>
      <c r="G17" s="198"/>
      <c r="H17" s="198"/>
      <c r="I17" s="198"/>
      <c r="J17" s="198"/>
      <c r="K17" s="198"/>
      <c r="L17" s="191"/>
      <c r="M17" s="197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1"/>
      <c r="Y17" s="197"/>
      <c r="Z17" s="198"/>
      <c r="AA17" s="198"/>
      <c r="AB17" s="198"/>
      <c r="AC17" s="198"/>
      <c r="AD17" s="191"/>
      <c r="AE17" s="186" t="s">
        <v>980</v>
      </c>
      <c r="CD17" s="265"/>
    </row>
    <row r="18" spans="2:82" ht="11.1" hidden="1" customHeight="1">
      <c r="B18" s="199" t="s">
        <v>184</v>
      </c>
      <c r="C18" s="197">
        <v>6.5</v>
      </c>
      <c r="D18" s="198">
        <v>5.66</v>
      </c>
      <c r="E18" s="198">
        <v>9.31</v>
      </c>
      <c r="F18" s="198">
        <v>2</v>
      </c>
      <c r="G18" s="198">
        <v>5.89</v>
      </c>
      <c r="H18" s="198">
        <v>5.46</v>
      </c>
      <c r="I18" s="198">
        <v>11</v>
      </c>
      <c r="J18" s="198">
        <v>8.5399999999999991</v>
      </c>
      <c r="K18" s="198">
        <v>6.83</v>
      </c>
      <c r="L18" s="191" t="s">
        <v>93</v>
      </c>
      <c r="M18" s="197">
        <v>14.91</v>
      </c>
      <c r="N18" s="198">
        <v>15.04</v>
      </c>
      <c r="O18" s="198">
        <v>14.63</v>
      </c>
      <c r="P18" s="198">
        <v>23.36</v>
      </c>
      <c r="Q18" s="198">
        <v>19.54</v>
      </c>
      <c r="R18" s="198">
        <v>19.170000000000002</v>
      </c>
      <c r="S18" s="198">
        <v>16.079999999999998</v>
      </c>
      <c r="T18" s="198">
        <v>15.46</v>
      </c>
      <c r="U18" s="198">
        <v>13.17</v>
      </c>
      <c r="V18" s="198">
        <v>7.81</v>
      </c>
      <c r="W18" s="198">
        <v>25</v>
      </c>
      <c r="X18" s="191" t="s">
        <v>349</v>
      </c>
      <c r="Y18" s="197">
        <v>18.62</v>
      </c>
      <c r="Z18" s="198" t="s">
        <v>93</v>
      </c>
      <c r="AA18" s="198" t="s">
        <v>93</v>
      </c>
      <c r="AB18" s="198">
        <v>8</v>
      </c>
      <c r="AC18" s="198">
        <v>18</v>
      </c>
      <c r="AD18" s="191">
        <v>20</v>
      </c>
      <c r="AE18" s="199" t="s">
        <v>350</v>
      </c>
      <c r="CD18" s="265"/>
    </row>
    <row r="19" spans="2:82" ht="11.1" hidden="1" customHeight="1">
      <c r="B19" s="199" t="s">
        <v>351</v>
      </c>
      <c r="C19" s="197">
        <v>10.08</v>
      </c>
      <c r="D19" s="198">
        <v>5.84</v>
      </c>
      <c r="E19" s="198">
        <v>11.11</v>
      </c>
      <c r="F19" s="198">
        <v>7.37</v>
      </c>
      <c r="G19" s="198">
        <v>4.59</v>
      </c>
      <c r="H19" s="198">
        <v>6.33</v>
      </c>
      <c r="I19" s="198">
        <v>6.32</v>
      </c>
      <c r="J19" s="198">
        <v>8.91</v>
      </c>
      <c r="K19" s="198">
        <v>11.84</v>
      </c>
      <c r="L19" s="191">
        <v>14.87</v>
      </c>
      <c r="M19" s="197">
        <v>18.43</v>
      </c>
      <c r="N19" s="198">
        <v>17.05</v>
      </c>
      <c r="O19" s="198">
        <v>22.24</v>
      </c>
      <c r="P19" s="198">
        <v>17.89</v>
      </c>
      <c r="Q19" s="198">
        <v>18.59</v>
      </c>
      <c r="R19" s="198">
        <v>20.61</v>
      </c>
      <c r="S19" s="198">
        <v>20.010000000000002</v>
      </c>
      <c r="T19" s="198">
        <v>19.239999999999998</v>
      </c>
      <c r="U19" s="198">
        <v>19.53</v>
      </c>
      <c r="V19" s="198">
        <v>12.89</v>
      </c>
      <c r="W19" s="198">
        <v>12.87</v>
      </c>
      <c r="X19" s="191" t="s">
        <v>349</v>
      </c>
      <c r="Y19" s="197">
        <v>16.920000000000002</v>
      </c>
      <c r="Z19" s="198" t="s">
        <v>180</v>
      </c>
      <c r="AA19" s="198">
        <v>18.18</v>
      </c>
      <c r="AB19" s="198">
        <v>18</v>
      </c>
      <c r="AC19" s="198">
        <v>15.49</v>
      </c>
      <c r="AD19" s="191" t="s">
        <v>93</v>
      </c>
      <c r="AE19" s="199" t="s">
        <v>207</v>
      </c>
      <c r="CD19" s="265"/>
    </row>
    <row r="20" spans="2:82" ht="12.6" hidden="1" customHeight="1">
      <c r="B20" s="199"/>
      <c r="C20" s="197"/>
      <c r="D20" s="198"/>
      <c r="E20" s="198"/>
      <c r="F20" s="198"/>
      <c r="G20" s="198"/>
      <c r="H20" s="198"/>
      <c r="I20" s="198"/>
      <c r="J20" s="198"/>
      <c r="K20" s="198"/>
      <c r="L20" s="191"/>
      <c r="M20" s="197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1"/>
      <c r="Y20" s="197"/>
      <c r="Z20" s="198"/>
      <c r="AA20" s="198"/>
      <c r="AB20" s="198"/>
      <c r="AC20" s="198"/>
      <c r="AD20" s="191"/>
      <c r="AE20" s="199"/>
      <c r="CD20" s="265"/>
    </row>
    <row r="21" spans="2:82" ht="11.1" hidden="1" customHeight="1">
      <c r="B21" s="186" t="s">
        <v>1066</v>
      </c>
      <c r="C21" s="197"/>
      <c r="D21" s="198"/>
      <c r="E21" s="198"/>
      <c r="F21" s="198"/>
      <c r="G21" s="198"/>
      <c r="H21" s="198"/>
      <c r="I21" s="198"/>
      <c r="J21" s="198"/>
      <c r="K21" s="198"/>
      <c r="L21" s="191"/>
      <c r="M21" s="197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1"/>
      <c r="Y21" s="197"/>
      <c r="Z21" s="198"/>
      <c r="AA21" s="198"/>
      <c r="AB21" s="198"/>
      <c r="AC21" s="198"/>
      <c r="AD21" s="191"/>
      <c r="AE21" s="186" t="s">
        <v>1066</v>
      </c>
      <c r="CD21" s="265"/>
    </row>
    <row r="22" spans="2:82" ht="11.1" hidden="1" customHeight="1">
      <c r="B22" s="199" t="s">
        <v>184</v>
      </c>
      <c r="C22" s="197">
        <v>6.93</v>
      </c>
      <c r="D22" s="198">
        <v>5.89</v>
      </c>
      <c r="E22" s="198">
        <v>9.61</v>
      </c>
      <c r="F22" s="198" t="s">
        <v>93</v>
      </c>
      <c r="G22" s="198">
        <v>5.0999999999999996</v>
      </c>
      <c r="H22" s="198">
        <v>5.26</v>
      </c>
      <c r="I22" s="198">
        <v>6.23</v>
      </c>
      <c r="J22" s="198">
        <v>8.5299999999999994</v>
      </c>
      <c r="K22" s="198">
        <v>7.28</v>
      </c>
      <c r="L22" s="191" t="s">
        <v>93</v>
      </c>
      <c r="M22" s="197">
        <v>15.55</v>
      </c>
      <c r="N22" s="198">
        <v>16.059999999999999</v>
      </c>
      <c r="O22" s="198">
        <v>14.22</v>
      </c>
      <c r="P22" s="198">
        <v>16.739999999999998</v>
      </c>
      <c r="Q22" s="198">
        <v>17.98</v>
      </c>
      <c r="R22" s="198">
        <v>17.78</v>
      </c>
      <c r="S22" s="198">
        <v>16.29</v>
      </c>
      <c r="T22" s="198">
        <v>16.98</v>
      </c>
      <c r="U22" s="198">
        <v>12.53</v>
      </c>
      <c r="V22" s="198">
        <v>8.32</v>
      </c>
      <c r="W22" s="198">
        <v>25</v>
      </c>
      <c r="X22" s="191" t="s">
        <v>349</v>
      </c>
      <c r="Y22" s="197">
        <v>12.15</v>
      </c>
      <c r="Z22" s="198">
        <v>14.5</v>
      </c>
      <c r="AA22" s="198">
        <v>14.05</v>
      </c>
      <c r="AB22" s="198">
        <v>11.99</v>
      </c>
      <c r="AC22" s="198">
        <v>10.94</v>
      </c>
      <c r="AD22" s="191">
        <v>19.97</v>
      </c>
      <c r="AE22" s="199" t="s">
        <v>350</v>
      </c>
      <c r="CD22" s="265"/>
    </row>
    <row r="23" spans="2:82" ht="11.1" hidden="1" customHeight="1">
      <c r="B23" s="199" t="s">
        <v>351</v>
      </c>
      <c r="C23" s="197">
        <v>9.43</v>
      </c>
      <c r="D23" s="198">
        <v>5.58</v>
      </c>
      <c r="E23" s="198">
        <v>10.53</v>
      </c>
      <c r="F23" s="198">
        <v>2.77</v>
      </c>
      <c r="G23" s="198">
        <v>4.2699999999999996</v>
      </c>
      <c r="H23" s="198">
        <v>5.77</v>
      </c>
      <c r="I23" s="198">
        <v>6.07</v>
      </c>
      <c r="J23" s="198">
        <v>8.7100000000000009</v>
      </c>
      <c r="K23" s="198">
        <v>11.31</v>
      </c>
      <c r="L23" s="191">
        <v>15</v>
      </c>
      <c r="M23" s="197">
        <v>18.96</v>
      </c>
      <c r="N23" s="198">
        <v>17.12</v>
      </c>
      <c r="O23" s="198">
        <v>22.89</v>
      </c>
      <c r="P23" s="198">
        <v>17.54</v>
      </c>
      <c r="Q23" s="198">
        <v>18.7</v>
      </c>
      <c r="R23" s="198">
        <v>21.69</v>
      </c>
      <c r="S23" s="198">
        <v>19.34</v>
      </c>
      <c r="T23" s="198">
        <v>19.52</v>
      </c>
      <c r="U23" s="198">
        <v>18.579999999999998</v>
      </c>
      <c r="V23" s="198">
        <v>16.07</v>
      </c>
      <c r="W23" s="198">
        <v>14.91</v>
      </c>
      <c r="X23" s="191" t="s">
        <v>349</v>
      </c>
      <c r="Y23" s="197">
        <v>12.24</v>
      </c>
      <c r="Z23" s="198">
        <v>8.69</v>
      </c>
      <c r="AA23" s="198">
        <v>16.8</v>
      </c>
      <c r="AB23" s="198">
        <v>10.33</v>
      </c>
      <c r="AC23" s="198">
        <v>13.26</v>
      </c>
      <c r="AD23" s="191">
        <v>15</v>
      </c>
      <c r="AE23" s="199" t="s">
        <v>207</v>
      </c>
      <c r="CD23" s="265"/>
    </row>
    <row r="24" spans="2:82" ht="14.1" hidden="1" customHeight="1">
      <c r="B24" s="186" t="s">
        <v>352</v>
      </c>
      <c r="C24" s="197"/>
      <c r="D24" s="198"/>
      <c r="E24" s="198"/>
      <c r="F24" s="198"/>
      <c r="G24" s="198"/>
      <c r="H24" s="198"/>
      <c r="I24" s="198"/>
      <c r="J24" s="198"/>
      <c r="K24" s="198"/>
      <c r="L24" s="191"/>
      <c r="M24" s="197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1"/>
      <c r="Y24" s="197"/>
      <c r="Z24" s="198"/>
      <c r="AA24" s="198"/>
      <c r="AB24" s="198"/>
      <c r="AC24" s="198"/>
      <c r="AD24" s="191"/>
      <c r="AE24" s="186" t="s">
        <v>352</v>
      </c>
      <c r="CD24" s="265"/>
    </row>
    <row r="25" spans="2:82" ht="14.1" hidden="1" customHeight="1">
      <c r="B25" s="199" t="s">
        <v>184</v>
      </c>
      <c r="C25" s="197">
        <v>7.37</v>
      </c>
      <c r="D25" s="198">
        <v>6.29</v>
      </c>
      <c r="E25" s="198">
        <v>9.32</v>
      </c>
      <c r="F25" s="198">
        <v>2.93</v>
      </c>
      <c r="G25" s="198">
        <v>5.71</v>
      </c>
      <c r="H25" s="198">
        <v>5.17</v>
      </c>
      <c r="I25" s="198">
        <v>9.99</v>
      </c>
      <c r="J25" s="198">
        <v>8.25</v>
      </c>
      <c r="K25" s="198">
        <v>7.34</v>
      </c>
      <c r="L25" s="191" t="s">
        <v>93</v>
      </c>
      <c r="M25" s="197">
        <v>16.03</v>
      </c>
      <c r="N25" s="198">
        <v>16.32</v>
      </c>
      <c r="O25" s="198">
        <v>15.25</v>
      </c>
      <c r="P25" s="198">
        <v>17.96</v>
      </c>
      <c r="Q25" s="198">
        <v>19.739999999999998</v>
      </c>
      <c r="R25" s="198">
        <v>17.97</v>
      </c>
      <c r="S25" s="198">
        <v>16.46</v>
      </c>
      <c r="T25" s="198">
        <v>17.059999999999999</v>
      </c>
      <c r="U25" s="198">
        <v>14.04</v>
      </c>
      <c r="V25" s="198">
        <v>7.76</v>
      </c>
      <c r="W25" s="198">
        <v>25</v>
      </c>
      <c r="X25" s="191" t="s">
        <v>349</v>
      </c>
      <c r="Y25" s="197">
        <v>13.16</v>
      </c>
      <c r="Z25" s="198" t="s">
        <v>93</v>
      </c>
      <c r="AA25" s="198">
        <v>17.940000000000001</v>
      </c>
      <c r="AB25" s="198">
        <v>11.99</v>
      </c>
      <c r="AC25" s="198">
        <v>12.11</v>
      </c>
      <c r="AD25" s="191">
        <v>19.97</v>
      </c>
      <c r="AE25" s="199" t="s">
        <v>350</v>
      </c>
      <c r="CD25" s="265"/>
    </row>
    <row r="26" spans="2:82" ht="14.1" hidden="1" customHeight="1">
      <c r="B26" s="199" t="s">
        <v>351</v>
      </c>
      <c r="C26" s="197">
        <v>10.02</v>
      </c>
      <c r="D26" s="198">
        <v>6.47</v>
      </c>
      <c r="E26" s="198">
        <v>10.43</v>
      </c>
      <c r="F26" s="198">
        <v>1.9</v>
      </c>
      <c r="G26" s="198">
        <v>4.62</v>
      </c>
      <c r="H26" s="198">
        <v>6.06</v>
      </c>
      <c r="I26" s="198">
        <v>6.16</v>
      </c>
      <c r="J26" s="198">
        <v>8.98</v>
      </c>
      <c r="K26" s="198">
        <v>11.35</v>
      </c>
      <c r="L26" s="191">
        <v>15</v>
      </c>
      <c r="M26" s="197">
        <v>18.96</v>
      </c>
      <c r="N26" s="198">
        <v>17.39</v>
      </c>
      <c r="O26" s="198">
        <v>22.6</v>
      </c>
      <c r="P26" s="198">
        <v>17.989999999999998</v>
      </c>
      <c r="Q26" s="198">
        <v>18.7</v>
      </c>
      <c r="R26" s="198">
        <v>21.15</v>
      </c>
      <c r="S26" s="198">
        <v>18.89</v>
      </c>
      <c r="T26" s="198">
        <v>19.5</v>
      </c>
      <c r="U26" s="198">
        <v>18.670000000000002</v>
      </c>
      <c r="V26" s="198">
        <v>16.149999999999999</v>
      </c>
      <c r="W26" s="198">
        <v>14.66</v>
      </c>
      <c r="X26" s="191" t="s">
        <v>349</v>
      </c>
      <c r="Y26" s="197">
        <v>13.48</v>
      </c>
      <c r="Z26" s="198">
        <v>8.33</v>
      </c>
      <c r="AA26" s="198">
        <v>22.59</v>
      </c>
      <c r="AB26" s="198">
        <v>11.4</v>
      </c>
      <c r="AC26" s="198">
        <v>12.87</v>
      </c>
      <c r="AD26" s="191">
        <v>15</v>
      </c>
      <c r="AE26" s="199" t="s">
        <v>207</v>
      </c>
      <c r="CD26" s="265"/>
    </row>
    <row r="27" spans="2:82" ht="14.1" hidden="1" customHeight="1">
      <c r="B27" s="186" t="s">
        <v>353</v>
      </c>
      <c r="C27" s="197"/>
      <c r="D27" s="198"/>
      <c r="E27" s="198"/>
      <c r="F27" s="198"/>
      <c r="G27" s="198"/>
      <c r="H27" s="198"/>
      <c r="I27" s="198"/>
      <c r="J27" s="198"/>
      <c r="K27" s="198"/>
      <c r="L27" s="191"/>
      <c r="M27" s="197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1"/>
      <c r="Y27" s="197"/>
      <c r="Z27" s="198"/>
      <c r="AA27" s="198"/>
      <c r="AB27" s="198"/>
      <c r="AC27" s="198"/>
      <c r="AD27" s="191"/>
      <c r="AE27" s="186" t="s">
        <v>353</v>
      </c>
      <c r="CD27" s="265"/>
    </row>
    <row r="28" spans="2:82" ht="14.1" hidden="1" customHeight="1">
      <c r="B28" s="199" t="s">
        <v>184</v>
      </c>
      <c r="C28" s="197">
        <v>7.23</v>
      </c>
      <c r="D28" s="198">
        <v>6.29</v>
      </c>
      <c r="E28" s="198">
        <v>8.9499999999999993</v>
      </c>
      <c r="F28" s="198">
        <v>3</v>
      </c>
      <c r="G28" s="198">
        <v>4.96</v>
      </c>
      <c r="H28" s="198">
        <v>4.93</v>
      </c>
      <c r="I28" s="198">
        <v>9.74</v>
      </c>
      <c r="J28" s="198">
        <v>8.17</v>
      </c>
      <c r="K28" s="198">
        <v>7.17</v>
      </c>
      <c r="L28" s="191" t="s">
        <v>93</v>
      </c>
      <c r="M28" s="197">
        <v>15.34</v>
      </c>
      <c r="N28" s="198">
        <v>15.22</v>
      </c>
      <c r="O28" s="198">
        <v>15.6</v>
      </c>
      <c r="P28" s="198">
        <v>16.28</v>
      </c>
      <c r="Q28" s="198">
        <v>17.88</v>
      </c>
      <c r="R28" s="198">
        <v>18.47</v>
      </c>
      <c r="S28" s="198">
        <v>16.3</v>
      </c>
      <c r="T28" s="198">
        <v>15.67</v>
      </c>
      <c r="U28" s="198">
        <v>14.45</v>
      </c>
      <c r="V28" s="198">
        <v>7.53</v>
      </c>
      <c r="W28" s="198">
        <v>25</v>
      </c>
      <c r="X28" s="191" t="s">
        <v>349</v>
      </c>
      <c r="Y28" s="197">
        <v>14.82</v>
      </c>
      <c r="Z28" s="198" t="s">
        <v>93</v>
      </c>
      <c r="AA28" s="198" t="s">
        <v>93</v>
      </c>
      <c r="AB28" s="198">
        <v>11</v>
      </c>
      <c r="AC28" s="198">
        <v>14.23</v>
      </c>
      <c r="AD28" s="191">
        <v>19.97</v>
      </c>
      <c r="AE28" s="199" t="s">
        <v>350</v>
      </c>
      <c r="CD28" s="265"/>
    </row>
    <row r="29" spans="2:82" ht="14.1" hidden="1" customHeight="1">
      <c r="B29" s="199" t="s">
        <v>351</v>
      </c>
      <c r="C29" s="197">
        <v>10.01</v>
      </c>
      <c r="D29" s="198">
        <v>6.68</v>
      </c>
      <c r="E29" s="198">
        <v>10.41</v>
      </c>
      <c r="F29" s="198">
        <v>1.87</v>
      </c>
      <c r="G29" s="198">
        <v>4.6100000000000003</v>
      </c>
      <c r="H29" s="198">
        <v>5.92</v>
      </c>
      <c r="I29" s="198">
        <v>6.21</v>
      </c>
      <c r="J29" s="198">
        <v>8.94</v>
      </c>
      <c r="K29" s="198">
        <v>11.28</v>
      </c>
      <c r="L29" s="191">
        <v>14.98</v>
      </c>
      <c r="M29" s="197">
        <v>18.63</v>
      </c>
      <c r="N29" s="198">
        <v>17.239999999999998</v>
      </c>
      <c r="O29" s="198">
        <v>21.87</v>
      </c>
      <c r="P29" s="198">
        <v>17.86</v>
      </c>
      <c r="Q29" s="198">
        <v>18.670000000000002</v>
      </c>
      <c r="R29" s="198">
        <v>21.01</v>
      </c>
      <c r="S29" s="198">
        <v>18.510000000000002</v>
      </c>
      <c r="T29" s="198">
        <v>19.27</v>
      </c>
      <c r="U29" s="198">
        <v>18.25</v>
      </c>
      <c r="V29" s="198">
        <v>14.62</v>
      </c>
      <c r="W29" s="198">
        <v>14.71</v>
      </c>
      <c r="X29" s="191" t="s">
        <v>349</v>
      </c>
      <c r="Y29" s="197">
        <v>14.89</v>
      </c>
      <c r="Z29" s="198">
        <v>14.96</v>
      </c>
      <c r="AA29" s="198">
        <v>21.65</v>
      </c>
      <c r="AB29" s="198">
        <v>11.26</v>
      </c>
      <c r="AC29" s="198">
        <v>13.6</v>
      </c>
      <c r="AD29" s="191">
        <v>15</v>
      </c>
      <c r="AE29" s="199" t="s">
        <v>207</v>
      </c>
      <c r="CD29" s="265"/>
    </row>
    <row r="30" spans="2:82" ht="14.1" hidden="1" customHeight="1">
      <c r="B30" s="186" t="s">
        <v>354</v>
      </c>
      <c r="C30" s="197"/>
      <c r="D30" s="198"/>
      <c r="E30" s="198"/>
      <c r="F30" s="198"/>
      <c r="G30" s="198"/>
      <c r="H30" s="198"/>
      <c r="I30" s="198"/>
      <c r="J30" s="198"/>
      <c r="K30" s="198"/>
      <c r="L30" s="191"/>
      <c r="M30" s="197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1"/>
      <c r="Y30" s="197"/>
      <c r="Z30" s="198"/>
      <c r="AA30" s="198"/>
      <c r="AB30" s="198"/>
      <c r="AC30" s="198"/>
      <c r="AD30" s="191"/>
      <c r="AE30" s="186" t="s">
        <v>354</v>
      </c>
      <c r="CD30" s="265"/>
    </row>
    <row r="31" spans="2:82" ht="14.1" hidden="1" customHeight="1">
      <c r="B31" s="199" t="s">
        <v>184</v>
      </c>
      <c r="C31" s="197">
        <v>6.9</v>
      </c>
      <c r="D31" s="198">
        <v>6.09</v>
      </c>
      <c r="E31" s="198">
        <v>8.8800000000000008</v>
      </c>
      <c r="F31" s="198">
        <v>3</v>
      </c>
      <c r="G31" s="198">
        <v>3.77</v>
      </c>
      <c r="H31" s="198">
        <v>5.75</v>
      </c>
      <c r="I31" s="198">
        <v>8.16</v>
      </c>
      <c r="J31" s="198">
        <v>7.35</v>
      </c>
      <c r="K31" s="198">
        <v>6.83</v>
      </c>
      <c r="L31" s="191" t="s">
        <v>93</v>
      </c>
      <c r="M31" s="197">
        <v>15.69</v>
      </c>
      <c r="N31" s="198">
        <v>15.53</v>
      </c>
      <c r="O31" s="198">
        <v>16.170000000000002</v>
      </c>
      <c r="P31" s="198">
        <v>16.940000000000001</v>
      </c>
      <c r="Q31" s="198">
        <v>17.91</v>
      </c>
      <c r="R31" s="198">
        <v>19.5</v>
      </c>
      <c r="S31" s="198">
        <v>15.88</v>
      </c>
      <c r="T31" s="198">
        <v>15.85</v>
      </c>
      <c r="U31" s="198">
        <v>14.97</v>
      </c>
      <c r="V31" s="198">
        <v>7.66</v>
      </c>
      <c r="W31" s="198">
        <v>25</v>
      </c>
      <c r="X31" s="191" t="s">
        <v>349</v>
      </c>
      <c r="Y31" s="197">
        <v>14.51</v>
      </c>
      <c r="Z31" s="198" t="s">
        <v>93</v>
      </c>
      <c r="AA31" s="198">
        <v>17.760000000000002</v>
      </c>
      <c r="AB31" s="198">
        <v>11.01</v>
      </c>
      <c r="AC31" s="198">
        <v>13.72</v>
      </c>
      <c r="AD31" s="191">
        <v>19.96</v>
      </c>
      <c r="AE31" s="199" t="s">
        <v>350</v>
      </c>
      <c r="CD31" s="265"/>
    </row>
    <row r="32" spans="2:82" ht="14.1" hidden="1" customHeight="1">
      <c r="B32" s="199" t="s">
        <v>351</v>
      </c>
      <c r="C32" s="197">
        <v>9.93</v>
      </c>
      <c r="D32" s="198">
        <v>6.72</v>
      </c>
      <c r="E32" s="198">
        <v>10.35</v>
      </c>
      <c r="F32" s="198">
        <v>1.95</v>
      </c>
      <c r="G32" s="198">
        <v>4.6900000000000004</v>
      </c>
      <c r="H32" s="198">
        <v>5.87</v>
      </c>
      <c r="I32" s="198">
        <v>6.2</v>
      </c>
      <c r="J32" s="198">
        <v>8.89</v>
      </c>
      <c r="K32" s="198">
        <v>11.11</v>
      </c>
      <c r="L32" s="191">
        <v>14.96</v>
      </c>
      <c r="M32" s="197">
        <v>18.649999999999999</v>
      </c>
      <c r="N32" s="198">
        <v>17.22</v>
      </c>
      <c r="O32" s="198">
        <v>21.86</v>
      </c>
      <c r="P32" s="198">
        <v>17.760000000000002</v>
      </c>
      <c r="Q32" s="198">
        <v>18.82</v>
      </c>
      <c r="R32" s="198">
        <v>20.05</v>
      </c>
      <c r="S32" s="198">
        <v>18.64</v>
      </c>
      <c r="T32" s="198">
        <v>19.25</v>
      </c>
      <c r="U32" s="198">
        <v>18.36</v>
      </c>
      <c r="V32" s="198">
        <v>14.62</v>
      </c>
      <c r="W32" s="198">
        <v>14.73</v>
      </c>
      <c r="X32" s="191" t="s">
        <v>349</v>
      </c>
      <c r="Y32" s="197">
        <v>12</v>
      </c>
      <c r="Z32" s="198">
        <v>9.7899999999999991</v>
      </c>
      <c r="AA32" s="198">
        <v>19.98</v>
      </c>
      <c r="AB32" s="198">
        <v>11.04</v>
      </c>
      <c r="AC32" s="198">
        <v>12.59</v>
      </c>
      <c r="AD32" s="191">
        <v>6.43</v>
      </c>
      <c r="AE32" s="199" t="s">
        <v>207</v>
      </c>
      <c r="CD32" s="265"/>
    </row>
    <row r="33" spans="2:82" ht="14.1" hidden="1" customHeight="1">
      <c r="B33" s="186" t="s">
        <v>355</v>
      </c>
      <c r="C33" s="197"/>
      <c r="D33" s="198"/>
      <c r="E33" s="198"/>
      <c r="F33" s="198"/>
      <c r="G33" s="198"/>
      <c r="H33" s="198"/>
      <c r="I33" s="198"/>
      <c r="J33" s="198"/>
      <c r="K33" s="198"/>
      <c r="L33" s="191"/>
      <c r="M33" s="197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1"/>
      <c r="Y33" s="197"/>
      <c r="Z33" s="198"/>
      <c r="AA33" s="198"/>
      <c r="AB33" s="198"/>
      <c r="AC33" s="198"/>
      <c r="AD33" s="191"/>
      <c r="AE33" s="186" t="s">
        <v>355</v>
      </c>
      <c r="CD33" s="265"/>
    </row>
    <row r="34" spans="2:82" ht="14.1" hidden="1" customHeight="1">
      <c r="B34" s="199" t="s">
        <v>184</v>
      </c>
      <c r="C34" s="197">
        <v>7.31</v>
      </c>
      <c r="D34" s="198">
        <v>6.45</v>
      </c>
      <c r="E34" s="198">
        <v>9.07</v>
      </c>
      <c r="F34" s="198">
        <v>3</v>
      </c>
      <c r="G34" s="198">
        <v>5.9</v>
      </c>
      <c r="H34" s="198">
        <v>6.01</v>
      </c>
      <c r="I34" s="198">
        <v>8.27</v>
      </c>
      <c r="J34" s="198">
        <v>8</v>
      </c>
      <c r="K34" s="198">
        <v>7.16</v>
      </c>
      <c r="L34" s="191" t="s">
        <v>93</v>
      </c>
      <c r="M34" s="197">
        <v>16.190000000000001</v>
      </c>
      <c r="N34" s="198">
        <v>15.95</v>
      </c>
      <c r="O34" s="198">
        <v>16.96</v>
      </c>
      <c r="P34" s="198">
        <v>16.809999999999999</v>
      </c>
      <c r="Q34" s="198">
        <v>18.89</v>
      </c>
      <c r="R34" s="198">
        <v>19.649999999999999</v>
      </c>
      <c r="S34" s="198">
        <v>16.48</v>
      </c>
      <c r="T34" s="198">
        <v>17.28</v>
      </c>
      <c r="U34" s="198">
        <v>14.27</v>
      </c>
      <c r="V34" s="198">
        <v>8.09</v>
      </c>
      <c r="W34" s="198">
        <v>13.9</v>
      </c>
      <c r="X34" s="191" t="s">
        <v>349</v>
      </c>
      <c r="Y34" s="197">
        <v>15.86</v>
      </c>
      <c r="Z34" s="198" t="s">
        <v>93</v>
      </c>
      <c r="AA34" s="198">
        <v>16.559999999999999</v>
      </c>
      <c r="AB34" s="198">
        <v>11.83</v>
      </c>
      <c r="AC34" s="198">
        <v>15.48</v>
      </c>
      <c r="AD34" s="191">
        <v>19.97</v>
      </c>
      <c r="AE34" s="199" t="s">
        <v>350</v>
      </c>
      <c r="CD34" s="265"/>
    </row>
    <row r="35" spans="2:82" ht="14.1" hidden="1" customHeight="1">
      <c r="B35" s="199" t="s">
        <v>351</v>
      </c>
      <c r="C35" s="197">
        <v>9.77</v>
      </c>
      <c r="D35" s="198">
        <v>6.46</v>
      </c>
      <c r="E35" s="198">
        <v>10.33</v>
      </c>
      <c r="F35" s="198">
        <v>1.87</v>
      </c>
      <c r="G35" s="198">
        <v>4.3600000000000003</v>
      </c>
      <c r="H35" s="198">
        <v>5.66</v>
      </c>
      <c r="I35" s="198">
        <v>5.9</v>
      </c>
      <c r="J35" s="198">
        <v>8.99</v>
      </c>
      <c r="K35" s="198">
        <v>10.94</v>
      </c>
      <c r="L35" s="191">
        <v>14.94</v>
      </c>
      <c r="M35" s="197">
        <v>18.489999999999998</v>
      </c>
      <c r="N35" s="198">
        <v>16.87</v>
      </c>
      <c r="O35" s="198">
        <v>21.96</v>
      </c>
      <c r="P35" s="198">
        <v>17.96</v>
      </c>
      <c r="Q35" s="198">
        <v>17.809999999999999</v>
      </c>
      <c r="R35" s="198">
        <v>19.41</v>
      </c>
      <c r="S35" s="198">
        <v>17.96</v>
      </c>
      <c r="T35" s="198">
        <v>19.21</v>
      </c>
      <c r="U35" s="198">
        <v>18.399999999999999</v>
      </c>
      <c r="V35" s="198">
        <v>14.77</v>
      </c>
      <c r="W35" s="198">
        <v>14.69</v>
      </c>
      <c r="X35" s="191" t="s">
        <v>349</v>
      </c>
      <c r="Y35" s="197">
        <v>12.8</v>
      </c>
      <c r="Z35" s="198">
        <v>14.47</v>
      </c>
      <c r="AA35" s="198">
        <v>20.29</v>
      </c>
      <c r="AB35" s="198">
        <v>10.69</v>
      </c>
      <c r="AC35" s="198">
        <v>10.19</v>
      </c>
      <c r="AD35" s="191">
        <v>15</v>
      </c>
      <c r="AE35" s="199" t="s">
        <v>207</v>
      </c>
      <c r="CD35" s="265"/>
    </row>
    <row r="36" spans="2:82" ht="14.1" hidden="1" customHeight="1">
      <c r="B36" s="186" t="s">
        <v>356</v>
      </c>
      <c r="C36" s="197"/>
      <c r="D36" s="198"/>
      <c r="E36" s="198"/>
      <c r="F36" s="198"/>
      <c r="G36" s="198"/>
      <c r="H36" s="198"/>
      <c r="I36" s="198"/>
      <c r="J36" s="198"/>
      <c r="K36" s="198"/>
      <c r="L36" s="191"/>
      <c r="M36" s="197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1"/>
      <c r="Y36" s="197"/>
      <c r="Z36" s="198"/>
      <c r="AA36" s="198"/>
      <c r="AB36" s="198"/>
      <c r="AC36" s="198"/>
      <c r="AD36" s="191"/>
      <c r="AE36" s="186" t="s">
        <v>356</v>
      </c>
      <c r="CD36" s="265"/>
    </row>
    <row r="37" spans="2:82" ht="14.1" hidden="1" customHeight="1">
      <c r="B37" s="199" t="s">
        <v>184</v>
      </c>
      <c r="C37" s="197">
        <v>7.54</v>
      </c>
      <c r="D37" s="198">
        <v>6.53</v>
      </c>
      <c r="E37" s="198">
        <v>9.59</v>
      </c>
      <c r="F37" s="198">
        <v>3</v>
      </c>
      <c r="G37" s="198">
        <v>6.05</v>
      </c>
      <c r="H37" s="198">
        <v>6.12</v>
      </c>
      <c r="I37" s="198">
        <v>8</v>
      </c>
      <c r="J37" s="198">
        <v>8.3699999999999992</v>
      </c>
      <c r="K37" s="198">
        <v>7.54</v>
      </c>
      <c r="L37" s="191" t="s">
        <v>93</v>
      </c>
      <c r="M37" s="197">
        <v>15.74</v>
      </c>
      <c r="N37" s="198">
        <v>15.17</v>
      </c>
      <c r="O37" s="198">
        <v>17.27</v>
      </c>
      <c r="P37" s="198">
        <v>17.66</v>
      </c>
      <c r="Q37" s="198">
        <v>22.21</v>
      </c>
      <c r="R37" s="198">
        <v>20.2</v>
      </c>
      <c r="S37" s="198">
        <v>16.72</v>
      </c>
      <c r="T37" s="198">
        <v>16.670000000000002</v>
      </c>
      <c r="U37" s="198">
        <v>14.05</v>
      </c>
      <c r="V37" s="198">
        <v>7.99</v>
      </c>
      <c r="W37" s="198">
        <v>13.88</v>
      </c>
      <c r="X37" s="191" t="s">
        <v>349</v>
      </c>
      <c r="Y37" s="197">
        <v>16.22</v>
      </c>
      <c r="Z37" s="198">
        <v>14</v>
      </c>
      <c r="AA37" s="198">
        <v>17.760000000000002</v>
      </c>
      <c r="AB37" s="198">
        <v>14.2</v>
      </c>
      <c r="AC37" s="198">
        <v>15.6</v>
      </c>
      <c r="AD37" s="191">
        <v>20</v>
      </c>
      <c r="AE37" s="199" t="s">
        <v>350</v>
      </c>
      <c r="CD37" s="265"/>
    </row>
    <row r="38" spans="2:82" ht="14.1" hidden="1" customHeight="1">
      <c r="B38" s="199" t="s">
        <v>351</v>
      </c>
      <c r="C38" s="197">
        <v>9.8000000000000007</v>
      </c>
      <c r="D38" s="198">
        <v>6.47</v>
      </c>
      <c r="E38" s="198">
        <v>10.31</v>
      </c>
      <c r="F38" s="198">
        <v>1.53</v>
      </c>
      <c r="G38" s="198">
        <v>4.3099999999999996</v>
      </c>
      <c r="H38" s="198">
        <v>5.6</v>
      </c>
      <c r="I38" s="198">
        <v>6.51</v>
      </c>
      <c r="J38" s="198">
        <v>8.93</v>
      </c>
      <c r="K38" s="198">
        <v>10.96</v>
      </c>
      <c r="L38" s="191">
        <v>14.92</v>
      </c>
      <c r="M38" s="197">
        <v>18.43</v>
      </c>
      <c r="N38" s="198">
        <v>16.809999999999999</v>
      </c>
      <c r="O38" s="198">
        <v>21.75</v>
      </c>
      <c r="P38" s="198">
        <v>18.010000000000002</v>
      </c>
      <c r="Q38" s="198">
        <v>17.39</v>
      </c>
      <c r="R38" s="198">
        <v>19.190000000000001</v>
      </c>
      <c r="S38" s="198">
        <v>17.95</v>
      </c>
      <c r="T38" s="198">
        <v>19.02</v>
      </c>
      <c r="U38" s="198">
        <v>18.52</v>
      </c>
      <c r="V38" s="198">
        <v>14.72</v>
      </c>
      <c r="W38" s="198">
        <v>14.71</v>
      </c>
      <c r="X38" s="191" t="s">
        <v>349</v>
      </c>
      <c r="Y38" s="197">
        <v>12.74</v>
      </c>
      <c r="Z38" s="198">
        <v>13.26</v>
      </c>
      <c r="AA38" s="198">
        <v>19.8</v>
      </c>
      <c r="AB38" s="198">
        <v>13.16</v>
      </c>
      <c r="AC38" s="198">
        <v>10.54</v>
      </c>
      <c r="AD38" s="191">
        <v>15</v>
      </c>
      <c r="AE38" s="199" t="s">
        <v>207</v>
      </c>
      <c r="CD38" s="265"/>
    </row>
    <row r="39" spans="2:82" ht="14.1" hidden="1" customHeight="1">
      <c r="B39" s="186" t="s">
        <v>357</v>
      </c>
      <c r="C39" s="197"/>
      <c r="D39" s="198"/>
      <c r="E39" s="198"/>
      <c r="F39" s="198"/>
      <c r="G39" s="198"/>
      <c r="H39" s="198"/>
      <c r="I39" s="198"/>
      <c r="J39" s="198"/>
      <c r="K39" s="198"/>
      <c r="L39" s="191"/>
      <c r="M39" s="197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1"/>
      <c r="Y39" s="197"/>
      <c r="Z39" s="198"/>
      <c r="AA39" s="198"/>
      <c r="AB39" s="198"/>
      <c r="AC39" s="198"/>
      <c r="AD39" s="191"/>
      <c r="AE39" s="186" t="s">
        <v>357</v>
      </c>
      <c r="CD39" s="265"/>
    </row>
    <row r="40" spans="2:82" ht="14.1" hidden="1" customHeight="1">
      <c r="B40" s="199" t="s">
        <v>184</v>
      </c>
      <c r="C40" s="197">
        <v>7.52</v>
      </c>
      <c r="D40" s="198">
        <v>6.3</v>
      </c>
      <c r="E40" s="198">
        <v>9.66</v>
      </c>
      <c r="F40" s="198">
        <v>3.05</v>
      </c>
      <c r="G40" s="198">
        <v>4.1100000000000003</v>
      </c>
      <c r="H40" s="198">
        <v>6</v>
      </c>
      <c r="I40" s="198">
        <v>10.28</v>
      </c>
      <c r="J40" s="198">
        <v>8.3800000000000008</v>
      </c>
      <c r="K40" s="198">
        <v>7.75</v>
      </c>
      <c r="L40" s="191" t="s">
        <v>93</v>
      </c>
      <c r="M40" s="197">
        <v>16.329999999999998</v>
      </c>
      <c r="N40" s="198">
        <v>15.4</v>
      </c>
      <c r="O40" s="198">
        <v>18.649999999999999</v>
      </c>
      <c r="P40" s="198">
        <v>17.170000000000002</v>
      </c>
      <c r="Q40" s="198">
        <v>22.42</v>
      </c>
      <c r="R40" s="198">
        <v>20.36</v>
      </c>
      <c r="S40" s="198">
        <v>17.07</v>
      </c>
      <c r="T40" s="198">
        <v>18.079999999999998</v>
      </c>
      <c r="U40" s="198">
        <v>14.55</v>
      </c>
      <c r="V40" s="198">
        <v>8.07</v>
      </c>
      <c r="W40" s="198">
        <v>13.59</v>
      </c>
      <c r="X40" s="191" t="s">
        <v>349</v>
      </c>
      <c r="Y40" s="197">
        <v>16.64</v>
      </c>
      <c r="Z40" s="198" t="s">
        <v>93</v>
      </c>
      <c r="AA40" s="198">
        <v>14.99</v>
      </c>
      <c r="AB40" s="198">
        <v>10.43</v>
      </c>
      <c r="AC40" s="198">
        <v>17.36</v>
      </c>
      <c r="AD40" s="191">
        <v>20</v>
      </c>
      <c r="AE40" s="199" t="s">
        <v>350</v>
      </c>
      <c r="CD40" s="265"/>
    </row>
    <row r="41" spans="2:82" ht="14.1" hidden="1" customHeight="1">
      <c r="B41" s="199" t="s">
        <v>351</v>
      </c>
      <c r="C41" s="197">
        <v>9.99</v>
      </c>
      <c r="D41" s="198">
        <v>6.6</v>
      </c>
      <c r="E41" s="198">
        <v>10.52</v>
      </c>
      <c r="F41" s="198">
        <v>2.4300000000000002</v>
      </c>
      <c r="G41" s="198">
        <v>4.4800000000000004</v>
      </c>
      <c r="H41" s="198">
        <v>5.96</v>
      </c>
      <c r="I41" s="198">
        <v>6.53</v>
      </c>
      <c r="J41" s="198">
        <v>9.36</v>
      </c>
      <c r="K41" s="198">
        <v>11.05</v>
      </c>
      <c r="L41" s="191">
        <v>14.96</v>
      </c>
      <c r="M41" s="197">
        <v>18.28</v>
      </c>
      <c r="N41" s="198">
        <v>16.47</v>
      </c>
      <c r="O41" s="198">
        <v>21.75</v>
      </c>
      <c r="P41" s="198">
        <v>17.850000000000001</v>
      </c>
      <c r="Q41" s="198">
        <v>16.55</v>
      </c>
      <c r="R41" s="198">
        <v>19.02</v>
      </c>
      <c r="S41" s="198">
        <v>17.399999999999999</v>
      </c>
      <c r="T41" s="198">
        <v>19.27</v>
      </c>
      <c r="U41" s="198">
        <v>18.350000000000001</v>
      </c>
      <c r="V41" s="198">
        <v>14.98</v>
      </c>
      <c r="W41" s="198">
        <v>15.2</v>
      </c>
      <c r="X41" s="191" t="s">
        <v>349</v>
      </c>
      <c r="Y41" s="197">
        <v>12.71</v>
      </c>
      <c r="Z41" s="198">
        <v>14.26</v>
      </c>
      <c r="AA41" s="198">
        <v>11.73</v>
      </c>
      <c r="AB41" s="198">
        <v>13.33</v>
      </c>
      <c r="AC41" s="198">
        <v>11.95</v>
      </c>
      <c r="AD41" s="191">
        <v>15</v>
      </c>
      <c r="AE41" s="199" t="s">
        <v>207</v>
      </c>
      <c r="CD41" s="265"/>
    </row>
    <row r="42" spans="2:82" ht="14.1" hidden="1" customHeight="1">
      <c r="B42" s="186" t="s">
        <v>358</v>
      </c>
      <c r="C42" s="197"/>
      <c r="D42" s="198"/>
      <c r="E42" s="198"/>
      <c r="F42" s="198"/>
      <c r="G42" s="198"/>
      <c r="H42" s="198"/>
      <c r="I42" s="198"/>
      <c r="J42" s="198"/>
      <c r="K42" s="198"/>
      <c r="L42" s="191"/>
      <c r="M42" s="197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1"/>
      <c r="Y42" s="197"/>
      <c r="Z42" s="198"/>
      <c r="AA42" s="198"/>
      <c r="AB42" s="198"/>
      <c r="AC42" s="198"/>
      <c r="AD42" s="191"/>
      <c r="AE42" s="186" t="s">
        <v>358</v>
      </c>
      <c r="CD42" s="265"/>
    </row>
    <row r="43" spans="2:82" ht="14.1" hidden="1" customHeight="1">
      <c r="B43" s="199" t="s">
        <v>184</v>
      </c>
      <c r="C43" s="197">
        <v>8.0299999999999994</v>
      </c>
      <c r="D43" s="198">
        <v>6.54</v>
      </c>
      <c r="E43" s="198">
        <v>10.11</v>
      </c>
      <c r="F43" s="198">
        <v>3.28</v>
      </c>
      <c r="G43" s="198">
        <v>4.26</v>
      </c>
      <c r="H43" s="198">
        <v>6.9</v>
      </c>
      <c r="I43" s="198">
        <v>10.8</v>
      </c>
      <c r="J43" s="198">
        <v>8.5500000000000007</v>
      </c>
      <c r="K43" s="198">
        <v>8.4700000000000006</v>
      </c>
      <c r="L43" s="191" t="s">
        <v>93</v>
      </c>
      <c r="M43" s="197">
        <v>15.97</v>
      </c>
      <c r="N43" s="198">
        <v>14.88</v>
      </c>
      <c r="O43" s="198">
        <v>18.5</v>
      </c>
      <c r="P43" s="198">
        <v>16.78</v>
      </c>
      <c r="Q43" s="198">
        <v>21.36</v>
      </c>
      <c r="R43" s="198">
        <v>20.23</v>
      </c>
      <c r="S43" s="198">
        <v>17.39</v>
      </c>
      <c r="T43" s="198">
        <v>17.57</v>
      </c>
      <c r="U43" s="198">
        <v>14.28</v>
      </c>
      <c r="V43" s="198">
        <v>8.08</v>
      </c>
      <c r="W43" s="198">
        <v>13.57</v>
      </c>
      <c r="X43" s="191" t="s">
        <v>349</v>
      </c>
      <c r="Y43" s="197">
        <v>16.64</v>
      </c>
      <c r="Z43" s="198" t="s">
        <v>93</v>
      </c>
      <c r="AA43" s="198">
        <v>14.99</v>
      </c>
      <c r="AB43" s="198">
        <v>10.43</v>
      </c>
      <c r="AC43" s="198">
        <v>17.36</v>
      </c>
      <c r="AD43" s="191">
        <v>20</v>
      </c>
      <c r="AE43" s="199" t="s">
        <v>350</v>
      </c>
      <c r="CD43" s="265"/>
    </row>
    <row r="44" spans="2:82" ht="14.1" hidden="1" customHeight="1">
      <c r="B44" s="199" t="s">
        <v>351</v>
      </c>
      <c r="C44" s="197">
        <v>10.91</v>
      </c>
      <c r="D44" s="198">
        <v>6.66</v>
      </c>
      <c r="E44" s="198">
        <v>11.01</v>
      </c>
      <c r="F44" s="198">
        <v>6.31</v>
      </c>
      <c r="G44" s="198">
        <v>4.26</v>
      </c>
      <c r="H44" s="198">
        <v>6.49</v>
      </c>
      <c r="I44" s="198">
        <v>5.25</v>
      </c>
      <c r="J44" s="198">
        <v>9.5299999999999994</v>
      </c>
      <c r="K44" s="198">
        <v>11.11</v>
      </c>
      <c r="L44" s="191">
        <v>14.82</v>
      </c>
      <c r="M44" s="197">
        <v>18.239999999999998</v>
      </c>
      <c r="N44" s="198">
        <v>16.559999999999999</v>
      </c>
      <c r="O44" s="198">
        <v>21.56</v>
      </c>
      <c r="P44" s="198">
        <v>18.079999999999998</v>
      </c>
      <c r="Q44" s="198">
        <v>16.510000000000002</v>
      </c>
      <c r="R44" s="198">
        <v>18.989999999999998</v>
      </c>
      <c r="S44" s="198">
        <v>16.989999999999998</v>
      </c>
      <c r="T44" s="198">
        <v>19.14</v>
      </c>
      <c r="U44" s="198">
        <v>18.440000000000001</v>
      </c>
      <c r="V44" s="198">
        <v>14.686999999999999</v>
      </c>
      <c r="W44" s="198">
        <v>15.77</v>
      </c>
      <c r="X44" s="191" t="s">
        <v>349</v>
      </c>
      <c r="Y44" s="197">
        <v>12.71</v>
      </c>
      <c r="Z44" s="198">
        <v>14.26</v>
      </c>
      <c r="AA44" s="198">
        <v>11.73</v>
      </c>
      <c r="AB44" s="198">
        <v>13.33</v>
      </c>
      <c r="AC44" s="198">
        <v>11.95</v>
      </c>
      <c r="AD44" s="191">
        <v>15</v>
      </c>
      <c r="AE44" s="199" t="s">
        <v>207</v>
      </c>
      <c r="CD44" s="265"/>
    </row>
    <row r="45" spans="2:82" ht="14.1" hidden="1" customHeight="1">
      <c r="B45" s="186" t="s">
        <v>359</v>
      </c>
      <c r="C45" s="197"/>
      <c r="D45" s="198"/>
      <c r="E45" s="198"/>
      <c r="F45" s="198"/>
      <c r="G45" s="198"/>
      <c r="H45" s="198"/>
      <c r="I45" s="198"/>
      <c r="J45" s="198"/>
      <c r="K45" s="198"/>
      <c r="L45" s="191"/>
      <c r="M45" s="197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191"/>
      <c r="Y45" s="197"/>
      <c r="Z45" s="198"/>
      <c r="AA45" s="198"/>
      <c r="AB45" s="198"/>
      <c r="AC45" s="198"/>
      <c r="AD45" s="191"/>
      <c r="AE45" s="186" t="s">
        <v>359</v>
      </c>
      <c r="CD45" s="265"/>
    </row>
    <row r="46" spans="2:82" ht="14.1" hidden="1" customHeight="1">
      <c r="B46" s="199" t="s">
        <v>184</v>
      </c>
      <c r="C46" s="197">
        <v>8.1</v>
      </c>
      <c r="D46" s="198">
        <v>6.44</v>
      </c>
      <c r="E46" s="198">
        <v>9.91</v>
      </c>
      <c r="F46" s="198">
        <v>2.19</v>
      </c>
      <c r="G46" s="198">
        <v>4.37</v>
      </c>
      <c r="H46" s="198">
        <v>7.35</v>
      </c>
      <c r="I46" s="198">
        <v>10.63</v>
      </c>
      <c r="J46" s="198">
        <v>8.74</v>
      </c>
      <c r="K46" s="198">
        <v>8.42</v>
      </c>
      <c r="L46" s="191">
        <v>10.9</v>
      </c>
      <c r="M46" s="197">
        <v>15.81</v>
      </c>
      <c r="N46" s="198">
        <v>14.8</v>
      </c>
      <c r="O46" s="198">
        <v>18.28</v>
      </c>
      <c r="P46" s="198">
        <v>16.52</v>
      </c>
      <c r="Q46" s="198">
        <v>22.78</v>
      </c>
      <c r="R46" s="198">
        <v>19.670000000000002</v>
      </c>
      <c r="S46" s="198">
        <v>17.239999999999998</v>
      </c>
      <c r="T46" s="198">
        <v>17.309999999999999</v>
      </c>
      <c r="U46" s="198">
        <v>14.38</v>
      </c>
      <c r="V46" s="198">
        <v>7.92</v>
      </c>
      <c r="W46" s="198">
        <v>11.88</v>
      </c>
      <c r="X46" s="191" t="s">
        <v>349</v>
      </c>
      <c r="Y46" s="197">
        <v>17.850000000000001</v>
      </c>
      <c r="Z46" s="198" t="s">
        <v>93</v>
      </c>
      <c r="AA46" s="198">
        <v>16.88</v>
      </c>
      <c r="AB46" s="198">
        <v>12</v>
      </c>
      <c r="AC46" s="198">
        <v>18.059999999999999</v>
      </c>
      <c r="AD46" s="191">
        <v>20</v>
      </c>
      <c r="AE46" s="199" t="s">
        <v>350</v>
      </c>
      <c r="CD46" s="265"/>
    </row>
    <row r="47" spans="2:82" ht="14.1" hidden="1" customHeight="1">
      <c r="B47" s="199" t="s">
        <v>351</v>
      </c>
      <c r="C47" s="197">
        <v>10</v>
      </c>
      <c r="D47" s="198">
        <v>7.1</v>
      </c>
      <c r="E47" s="198">
        <v>10.45</v>
      </c>
      <c r="F47" s="198">
        <v>6.83</v>
      </c>
      <c r="G47" s="198">
        <v>4.32</v>
      </c>
      <c r="H47" s="198">
        <v>6.54</v>
      </c>
      <c r="I47" s="198">
        <v>5.58</v>
      </c>
      <c r="J47" s="198">
        <v>9.18</v>
      </c>
      <c r="K47" s="198">
        <v>11</v>
      </c>
      <c r="L47" s="191">
        <v>14.79</v>
      </c>
      <c r="M47" s="197">
        <v>17.63</v>
      </c>
      <c r="N47" s="198">
        <v>15.91</v>
      </c>
      <c r="O47" s="198">
        <v>21.49</v>
      </c>
      <c r="P47" s="198">
        <v>17.77</v>
      </c>
      <c r="Q47" s="198">
        <v>16.89</v>
      </c>
      <c r="R47" s="198">
        <v>18.96</v>
      </c>
      <c r="S47" s="198">
        <v>14.42</v>
      </c>
      <c r="T47" s="198">
        <v>19.170000000000002</v>
      </c>
      <c r="U47" s="198">
        <v>18.309999999999999</v>
      </c>
      <c r="V47" s="198">
        <v>14.67</v>
      </c>
      <c r="W47" s="198">
        <v>16.190000000000001</v>
      </c>
      <c r="X47" s="191" t="s">
        <v>349</v>
      </c>
      <c r="Y47" s="197">
        <v>12</v>
      </c>
      <c r="Z47" s="198">
        <v>11.14</v>
      </c>
      <c r="AA47" s="198">
        <v>15.09</v>
      </c>
      <c r="AB47" s="198">
        <v>13.08</v>
      </c>
      <c r="AC47" s="198">
        <v>10.86</v>
      </c>
      <c r="AD47" s="191">
        <v>15</v>
      </c>
      <c r="AE47" s="199" t="s">
        <v>207</v>
      </c>
      <c r="CD47" s="265"/>
    </row>
    <row r="48" spans="2:82" ht="14.1" hidden="1" customHeight="1">
      <c r="B48" s="186" t="s">
        <v>360</v>
      </c>
      <c r="C48" s="197"/>
      <c r="D48" s="198"/>
      <c r="E48" s="198"/>
      <c r="F48" s="198"/>
      <c r="G48" s="198"/>
      <c r="H48" s="198"/>
      <c r="I48" s="198"/>
      <c r="J48" s="198"/>
      <c r="K48" s="198"/>
      <c r="L48" s="191"/>
      <c r="M48" s="197"/>
      <c r="N48" s="198"/>
      <c r="O48" s="198"/>
      <c r="P48" s="198"/>
      <c r="Q48" s="198"/>
      <c r="R48" s="198"/>
      <c r="S48" s="198"/>
      <c r="T48" s="198"/>
      <c r="U48" s="198"/>
      <c r="V48" s="198"/>
      <c r="W48" s="198"/>
      <c r="X48" s="191"/>
      <c r="Y48" s="197"/>
      <c r="Z48" s="198"/>
      <c r="AA48" s="198"/>
      <c r="AB48" s="198"/>
      <c r="AC48" s="198"/>
      <c r="AD48" s="191"/>
      <c r="AE48" s="186" t="s">
        <v>360</v>
      </c>
      <c r="CD48" s="265"/>
    </row>
    <row r="49" spans="2:82" ht="14.1" hidden="1" customHeight="1">
      <c r="B49" s="199" t="s">
        <v>184</v>
      </c>
      <c r="C49" s="197">
        <v>8.0614219334928929</v>
      </c>
      <c r="D49" s="198">
        <v>6.56</v>
      </c>
      <c r="E49" s="198">
        <v>10.19</v>
      </c>
      <c r="F49" s="198">
        <v>3.106589322656983</v>
      </c>
      <c r="G49" s="198">
        <v>5.1735568091054311</v>
      </c>
      <c r="H49" s="198">
        <v>7.2317561608300913</v>
      </c>
      <c r="I49" s="198">
        <v>10.425389145022141</v>
      </c>
      <c r="J49" s="198">
        <v>8.9248480783146729</v>
      </c>
      <c r="K49" s="198">
        <v>8.5675015358495212</v>
      </c>
      <c r="L49" s="191">
        <v>10.96</v>
      </c>
      <c r="M49" s="197">
        <v>15.660094178342705</v>
      </c>
      <c r="N49" s="198">
        <v>14.960336743803863</v>
      </c>
      <c r="O49" s="198">
        <v>17.558325371205228</v>
      </c>
      <c r="P49" s="198">
        <v>17.260479646806271</v>
      </c>
      <c r="Q49" s="198">
        <v>22.036962658757318</v>
      </c>
      <c r="R49" s="198">
        <v>16.90591775741758</v>
      </c>
      <c r="S49" s="198">
        <v>16.531147670066868</v>
      </c>
      <c r="T49" s="198">
        <v>17.825813994887039</v>
      </c>
      <c r="U49" s="198">
        <v>14.470936675011711</v>
      </c>
      <c r="V49" s="198">
        <v>8.1169969857962325</v>
      </c>
      <c r="W49" s="198">
        <v>10.851742955045262</v>
      </c>
      <c r="X49" s="191" t="s">
        <v>349</v>
      </c>
      <c r="Y49" s="197">
        <v>16.809999999999999</v>
      </c>
      <c r="Z49" s="198" t="s">
        <v>93</v>
      </c>
      <c r="AA49" s="198">
        <v>20.56</v>
      </c>
      <c r="AB49" s="198">
        <v>12</v>
      </c>
      <c r="AC49" s="198">
        <v>15.93</v>
      </c>
      <c r="AD49" s="191">
        <v>20</v>
      </c>
      <c r="AE49" s="199" t="s">
        <v>350</v>
      </c>
      <c r="CD49" s="265"/>
    </row>
    <row r="50" spans="2:82" ht="14.1" hidden="1" customHeight="1">
      <c r="B50" s="199" t="s">
        <v>351</v>
      </c>
      <c r="C50" s="197">
        <v>10.220547650525372</v>
      </c>
      <c r="D50" s="198">
        <v>7.46</v>
      </c>
      <c r="E50" s="198">
        <v>10.62</v>
      </c>
      <c r="F50" s="198">
        <v>7.4726913998007891</v>
      </c>
      <c r="G50" s="198">
        <v>4.374128419365916</v>
      </c>
      <c r="H50" s="198">
        <v>6.5434332317965094</v>
      </c>
      <c r="I50" s="198">
        <v>5.3300612639956544</v>
      </c>
      <c r="J50" s="198">
        <v>9.6487498546546693</v>
      </c>
      <c r="K50" s="198">
        <v>11.021139172912003</v>
      </c>
      <c r="L50" s="191">
        <v>14.75</v>
      </c>
      <c r="M50" s="197">
        <v>17.526840711242201</v>
      </c>
      <c r="N50" s="198">
        <v>15.82628791593832</v>
      </c>
      <c r="O50" s="198">
        <v>21.223970574414952</v>
      </c>
      <c r="P50" s="198">
        <v>17.619806313510065</v>
      </c>
      <c r="Q50" s="198">
        <v>16.703942459430646</v>
      </c>
      <c r="R50" s="198">
        <v>19.436851907610265</v>
      </c>
      <c r="S50" s="198">
        <v>15.068248868828434</v>
      </c>
      <c r="T50" s="198">
        <v>18.91745194842137</v>
      </c>
      <c r="U50" s="198">
        <v>17.959993174019647</v>
      </c>
      <c r="V50" s="198">
        <v>14.524777974012169</v>
      </c>
      <c r="W50" s="198">
        <v>14.069533722992054</v>
      </c>
      <c r="X50" s="191" t="s">
        <v>349</v>
      </c>
      <c r="Y50" s="197">
        <v>12.17</v>
      </c>
      <c r="Z50" s="198">
        <v>14.71</v>
      </c>
      <c r="AA50" s="198">
        <v>12.85</v>
      </c>
      <c r="AB50" s="198">
        <v>13.65</v>
      </c>
      <c r="AC50" s="198">
        <v>10.11</v>
      </c>
      <c r="AD50" s="191">
        <v>14.7</v>
      </c>
      <c r="AE50" s="199" t="s">
        <v>207</v>
      </c>
      <c r="CD50" s="265"/>
    </row>
    <row r="51" spans="2:82" ht="14.1" hidden="1" customHeight="1">
      <c r="B51" s="186" t="s">
        <v>361</v>
      </c>
      <c r="C51" s="197"/>
      <c r="D51" s="198"/>
      <c r="E51" s="198"/>
      <c r="F51" s="198"/>
      <c r="G51" s="198"/>
      <c r="H51" s="198"/>
      <c r="I51" s="198"/>
      <c r="J51" s="198"/>
      <c r="K51" s="198"/>
      <c r="L51" s="191"/>
      <c r="M51" s="197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191"/>
      <c r="Y51" s="197"/>
      <c r="Z51" s="198"/>
      <c r="AA51" s="198"/>
      <c r="AB51" s="198"/>
      <c r="AC51" s="198"/>
      <c r="AD51" s="191"/>
      <c r="AE51" s="186" t="s">
        <v>361</v>
      </c>
      <c r="CD51" s="265"/>
    </row>
    <row r="52" spans="2:82" ht="14.1" hidden="1" customHeight="1">
      <c r="B52" s="199" t="s">
        <v>184</v>
      </c>
      <c r="C52" s="197">
        <v>8.1609564876884537</v>
      </c>
      <c r="D52" s="198">
        <v>6.6480331092979021</v>
      </c>
      <c r="E52" s="198">
        <v>10.35720870121054</v>
      </c>
      <c r="F52" s="198">
        <v>5.8354259950902732</v>
      </c>
      <c r="G52" s="198">
        <v>5.4319422498566832</v>
      </c>
      <c r="H52" s="198">
        <v>7.7923213064729255</v>
      </c>
      <c r="I52" s="198">
        <v>10.804548657254536</v>
      </c>
      <c r="J52" s="198">
        <v>9.2025741794467244</v>
      </c>
      <c r="K52" s="198">
        <v>8.4872501024748264</v>
      </c>
      <c r="L52" s="191">
        <v>10.9</v>
      </c>
      <c r="M52" s="197">
        <v>15.573715104518687</v>
      </c>
      <c r="N52" s="198">
        <v>15.078683665722473</v>
      </c>
      <c r="O52" s="198">
        <v>17.025039704052809</v>
      </c>
      <c r="P52" s="198">
        <v>18.089612101909282</v>
      </c>
      <c r="Q52" s="198">
        <v>20.057450086061447</v>
      </c>
      <c r="R52" s="198">
        <v>16.802245545914651</v>
      </c>
      <c r="S52" s="198">
        <v>16.77002866758454</v>
      </c>
      <c r="T52" s="198">
        <v>17.434841326510217</v>
      </c>
      <c r="U52" s="198">
        <v>14.717086418695715</v>
      </c>
      <c r="V52" s="198">
        <v>8.1160818961946273</v>
      </c>
      <c r="W52" s="198">
        <v>9.2887192038260302</v>
      </c>
      <c r="X52" s="191" t="s">
        <v>349</v>
      </c>
      <c r="Y52" s="197">
        <v>18.145371283021852</v>
      </c>
      <c r="Z52" s="198">
        <v>14</v>
      </c>
      <c r="AA52" s="198">
        <v>18.79</v>
      </c>
      <c r="AB52" s="198" t="s">
        <v>180</v>
      </c>
      <c r="AC52" s="198">
        <v>17.68</v>
      </c>
      <c r="AD52" s="191">
        <v>20</v>
      </c>
      <c r="AE52" s="199" t="s">
        <v>350</v>
      </c>
      <c r="CD52" s="265"/>
    </row>
    <row r="53" spans="2:82" ht="14.1" hidden="1" customHeight="1">
      <c r="B53" s="199" t="s">
        <v>351</v>
      </c>
      <c r="C53" s="197">
        <v>10.319637957820659</v>
      </c>
      <c r="D53" s="198">
        <v>7.7314486018350541</v>
      </c>
      <c r="E53" s="198">
        <v>10.664399518716349</v>
      </c>
      <c r="F53" s="198">
        <v>7.7812639454592798</v>
      </c>
      <c r="G53" s="198">
        <v>4.4654197568087106</v>
      </c>
      <c r="H53" s="198">
        <v>6.9303678372070427</v>
      </c>
      <c r="I53" s="198">
        <v>5.1556653250912152</v>
      </c>
      <c r="J53" s="198">
        <v>9.693097261443091</v>
      </c>
      <c r="K53" s="198">
        <v>11.035735881201708</v>
      </c>
      <c r="L53" s="191">
        <v>14.814964821853692</v>
      </c>
      <c r="M53" s="197">
        <v>17.280614826569646</v>
      </c>
      <c r="N53" s="198">
        <v>15.645114164613263</v>
      </c>
      <c r="O53" s="198">
        <v>20.979110790571859</v>
      </c>
      <c r="P53" s="198">
        <v>17.895303257201149</v>
      </c>
      <c r="Q53" s="198">
        <v>15.388393878987744</v>
      </c>
      <c r="R53" s="198">
        <v>18.307301232448776</v>
      </c>
      <c r="S53" s="198">
        <v>15.081987739364587</v>
      </c>
      <c r="T53" s="198">
        <v>18.444577336591831</v>
      </c>
      <c r="U53" s="198">
        <v>17.823041113775435</v>
      </c>
      <c r="V53" s="198">
        <v>15.431697514377056</v>
      </c>
      <c r="W53" s="198">
        <v>14.170734791956493</v>
      </c>
      <c r="X53" s="191" t="s">
        <v>349</v>
      </c>
      <c r="Y53" s="197">
        <v>10.510995948683323</v>
      </c>
      <c r="Z53" s="198">
        <v>9.23</v>
      </c>
      <c r="AA53" s="198">
        <v>9.73</v>
      </c>
      <c r="AB53" s="198">
        <v>12.54</v>
      </c>
      <c r="AC53" s="198">
        <v>10.41</v>
      </c>
      <c r="AD53" s="191">
        <v>14</v>
      </c>
      <c r="AE53" s="199" t="s">
        <v>207</v>
      </c>
      <c r="CD53" s="265"/>
    </row>
    <row r="54" spans="2:82" ht="14.1" hidden="1" customHeight="1">
      <c r="B54" s="186" t="s">
        <v>362</v>
      </c>
      <c r="C54" s="197"/>
      <c r="D54" s="198"/>
      <c r="E54" s="198"/>
      <c r="F54" s="198"/>
      <c r="G54" s="198"/>
      <c r="H54" s="198"/>
      <c r="I54" s="198"/>
      <c r="J54" s="198"/>
      <c r="K54" s="198"/>
      <c r="L54" s="191"/>
      <c r="M54" s="197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1"/>
      <c r="Y54" s="197"/>
      <c r="Z54" s="198"/>
      <c r="AA54" s="198"/>
      <c r="AB54" s="198"/>
      <c r="AC54" s="198"/>
      <c r="AD54" s="191"/>
      <c r="AE54" s="186" t="s">
        <v>362</v>
      </c>
      <c r="CD54" s="265"/>
    </row>
    <row r="55" spans="2:82" ht="14.1" hidden="1" customHeight="1">
      <c r="B55" s="199" t="s">
        <v>184</v>
      </c>
      <c r="C55" s="197">
        <v>8.4148178394843711</v>
      </c>
      <c r="D55" s="198">
        <v>7.05</v>
      </c>
      <c r="E55" s="198">
        <v>10.422085563422144</v>
      </c>
      <c r="F55" s="198">
        <v>5.9787814820206728</v>
      </c>
      <c r="G55" s="198">
        <v>5.5849978118486536</v>
      </c>
      <c r="H55" s="198">
        <v>7.2784480559361269</v>
      </c>
      <c r="I55" s="198">
        <v>10.759115073863367</v>
      </c>
      <c r="J55" s="198">
        <v>8.9312029714765497</v>
      </c>
      <c r="K55" s="198">
        <v>8.9195751131408443</v>
      </c>
      <c r="L55" s="191">
        <v>10.9</v>
      </c>
      <c r="M55" s="197">
        <v>15.624518162033617</v>
      </c>
      <c r="N55" s="198">
        <v>14.782822943258052</v>
      </c>
      <c r="O55" s="198">
        <v>18.005412112681796</v>
      </c>
      <c r="P55" s="198">
        <v>17.651508349893735</v>
      </c>
      <c r="Q55" s="198">
        <v>20.03432698437263</v>
      </c>
      <c r="R55" s="198">
        <v>18.749061633537544</v>
      </c>
      <c r="S55" s="198">
        <v>15.819789215674401</v>
      </c>
      <c r="T55" s="198">
        <v>16.862449557883878</v>
      </c>
      <c r="U55" s="198">
        <v>14.788964803628181</v>
      </c>
      <c r="V55" s="198">
        <v>8.1490781856731225</v>
      </c>
      <c r="W55" s="198">
        <v>9.0695018404353824</v>
      </c>
      <c r="X55" s="191" t="s">
        <v>349</v>
      </c>
      <c r="Y55" s="197">
        <v>16.38</v>
      </c>
      <c r="Z55" s="198">
        <v>8</v>
      </c>
      <c r="AA55" s="198">
        <v>21.92</v>
      </c>
      <c r="AB55" s="198" t="s">
        <v>180</v>
      </c>
      <c r="AC55" s="198">
        <v>18.41</v>
      </c>
      <c r="AD55" s="191">
        <v>20</v>
      </c>
      <c r="AE55" s="199" t="s">
        <v>350</v>
      </c>
      <c r="CD55" s="265"/>
    </row>
    <row r="56" spans="2:82" ht="14.1" hidden="1" customHeight="1">
      <c r="B56" s="199" t="s">
        <v>351</v>
      </c>
      <c r="C56" s="197">
        <v>10.178527504086118</v>
      </c>
      <c r="D56" s="198">
        <v>6.7709291470640256</v>
      </c>
      <c r="E56" s="198">
        <v>10.753455432885044</v>
      </c>
      <c r="F56" s="198">
        <v>6.0755893660395746</v>
      </c>
      <c r="G56" s="198">
        <v>4.0530555698408621</v>
      </c>
      <c r="H56" s="198">
        <v>7.0455668898174784</v>
      </c>
      <c r="I56" s="198">
        <v>5.9968978181927772</v>
      </c>
      <c r="J56" s="198">
        <v>9.7982238072140717</v>
      </c>
      <c r="K56" s="198">
        <v>11.112685931746908</v>
      </c>
      <c r="L56" s="191">
        <v>14.83</v>
      </c>
      <c r="M56" s="197">
        <v>17.438986705997205</v>
      </c>
      <c r="N56" s="198">
        <v>15.744984857192614</v>
      </c>
      <c r="O56" s="198">
        <v>21.186121510474702</v>
      </c>
      <c r="P56" s="198">
        <v>18.306354510633316</v>
      </c>
      <c r="Q56" s="198">
        <v>15.420413278435912</v>
      </c>
      <c r="R56" s="198">
        <v>18.338800473630986</v>
      </c>
      <c r="S56" s="198">
        <v>14.93710511138916</v>
      </c>
      <c r="T56" s="198">
        <v>18.884729630720226</v>
      </c>
      <c r="U56" s="198">
        <v>17.912657104647774</v>
      </c>
      <c r="V56" s="198">
        <v>14.844100425044561</v>
      </c>
      <c r="W56" s="198">
        <v>16.765940883678137</v>
      </c>
      <c r="X56" s="191" t="s">
        <v>349</v>
      </c>
      <c r="Y56" s="197">
        <v>10.89</v>
      </c>
      <c r="Z56" s="198">
        <v>5.95</v>
      </c>
      <c r="AA56" s="198">
        <v>11.93</v>
      </c>
      <c r="AB56" s="198">
        <v>9.56</v>
      </c>
      <c r="AC56" s="198">
        <v>11.21</v>
      </c>
      <c r="AD56" s="191">
        <v>14</v>
      </c>
      <c r="AE56" s="199" t="s">
        <v>207</v>
      </c>
      <c r="CD56" s="265"/>
    </row>
    <row r="57" spans="2:82" ht="14.1" hidden="1" customHeight="1">
      <c r="B57" s="359"/>
      <c r="C57" s="360"/>
      <c r="D57" s="361"/>
      <c r="E57" s="361"/>
      <c r="F57" s="361"/>
      <c r="G57" s="361"/>
      <c r="H57" s="361"/>
      <c r="I57" s="361"/>
      <c r="J57" s="361"/>
      <c r="K57" s="361"/>
      <c r="L57" s="362"/>
      <c r="M57" s="363"/>
      <c r="N57" s="364"/>
      <c r="O57" s="364"/>
      <c r="P57" s="364"/>
      <c r="Q57" s="364"/>
      <c r="R57" s="364"/>
      <c r="S57" s="364"/>
      <c r="T57" s="364"/>
      <c r="U57" s="364"/>
      <c r="V57" s="364"/>
      <c r="W57" s="364"/>
      <c r="X57" s="362"/>
      <c r="Y57" s="360"/>
      <c r="Z57" s="364"/>
      <c r="AA57" s="364"/>
      <c r="AB57" s="364"/>
      <c r="AC57" s="364"/>
      <c r="AD57" s="364"/>
      <c r="AE57" s="406"/>
      <c r="CD57" s="265"/>
    </row>
    <row r="58" spans="2:82" ht="12.75" hidden="1" customHeight="1">
      <c r="B58" s="365" t="s">
        <v>1067</v>
      </c>
      <c r="C58" s="197"/>
      <c r="D58" s="198"/>
      <c r="E58" s="198"/>
      <c r="F58" s="198"/>
      <c r="G58" s="198"/>
      <c r="H58" s="198"/>
      <c r="I58" s="198"/>
      <c r="J58" s="198"/>
      <c r="K58" s="198"/>
      <c r="L58" s="191"/>
      <c r="M58" s="197"/>
      <c r="N58" s="198"/>
      <c r="O58" s="198"/>
      <c r="P58" s="198"/>
      <c r="Q58" s="198"/>
      <c r="R58" s="198"/>
      <c r="S58" s="198"/>
      <c r="T58" s="198"/>
      <c r="U58" s="198"/>
      <c r="V58" s="198"/>
      <c r="W58" s="198"/>
      <c r="X58" s="191"/>
      <c r="Y58" s="197"/>
      <c r="Z58" s="198"/>
      <c r="AA58" s="198"/>
      <c r="AB58" s="198"/>
      <c r="AC58" s="198"/>
      <c r="AD58" s="191"/>
      <c r="AE58" s="186" t="s">
        <v>1067</v>
      </c>
      <c r="CD58" s="265"/>
    </row>
    <row r="59" spans="2:82" ht="11.1" hidden="1" customHeight="1">
      <c r="B59" s="366" t="s">
        <v>184</v>
      </c>
      <c r="C59" s="197">
        <v>8.918581315234313</v>
      </c>
      <c r="D59" s="198">
        <v>7.406485775261797</v>
      </c>
      <c r="E59" s="198">
        <v>10.7</v>
      </c>
      <c r="F59" s="198">
        <v>8.7545741499612362</v>
      </c>
      <c r="G59" s="198">
        <v>7.3719052097678954</v>
      </c>
      <c r="H59" s="198">
        <v>7.3050304363979306</v>
      </c>
      <c r="I59" s="198">
        <v>10.818557960041034</v>
      </c>
      <c r="J59" s="198">
        <v>9.3755282615259095</v>
      </c>
      <c r="K59" s="198">
        <v>9.142993998295589</v>
      </c>
      <c r="L59" s="191">
        <v>10.9</v>
      </c>
      <c r="M59" s="197">
        <v>15.144352743166559</v>
      </c>
      <c r="N59" s="198">
        <v>14.358888795352891</v>
      </c>
      <c r="O59" s="198">
        <v>17.356171419984918</v>
      </c>
      <c r="P59" s="198">
        <v>16.458396691458191</v>
      </c>
      <c r="Q59" s="198">
        <v>18.3333995799658</v>
      </c>
      <c r="R59" s="198">
        <v>17.823933207736555</v>
      </c>
      <c r="S59" s="198">
        <v>15.760469125997316</v>
      </c>
      <c r="T59" s="198">
        <v>16.215656736048935</v>
      </c>
      <c r="U59" s="198">
        <v>14.290185030212877</v>
      </c>
      <c r="V59" s="198">
        <v>8.4156761216068858</v>
      </c>
      <c r="W59" s="198">
        <v>9.2942057344918929</v>
      </c>
      <c r="X59" s="191" t="s">
        <v>349</v>
      </c>
      <c r="Y59" s="197">
        <v>16.43</v>
      </c>
      <c r="Z59" s="198">
        <v>8</v>
      </c>
      <c r="AA59" s="198">
        <v>19.850000000000001</v>
      </c>
      <c r="AB59" s="198" t="s">
        <v>180</v>
      </c>
      <c r="AC59" s="198">
        <v>18.41</v>
      </c>
      <c r="AD59" s="191">
        <v>20</v>
      </c>
      <c r="AE59" s="199" t="s">
        <v>350</v>
      </c>
      <c r="CD59" s="265"/>
    </row>
    <row r="60" spans="2:82" ht="11.1" hidden="1" customHeight="1">
      <c r="B60" s="366" t="s">
        <v>351</v>
      </c>
      <c r="C60" s="197">
        <v>10.187015327247307</v>
      </c>
      <c r="D60" s="198">
        <v>6.8273483971875217</v>
      </c>
      <c r="E60" s="198">
        <v>10.71</v>
      </c>
      <c r="F60" s="198">
        <v>6.7811774603353845</v>
      </c>
      <c r="G60" s="198">
        <v>4.0869987221467934</v>
      </c>
      <c r="H60" s="198">
        <v>7.0543025124344485</v>
      </c>
      <c r="I60" s="198">
        <v>6.1726331281276421</v>
      </c>
      <c r="J60" s="198">
        <v>9.8902250446376989</v>
      </c>
      <c r="K60" s="198">
        <v>11.077580555278269</v>
      </c>
      <c r="L60" s="191">
        <v>14.83</v>
      </c>
      <c r="M60" s="197">
        <v>17.109675437909097</v>
      </c>
      <c r="N60" s="198">
        <v>15.368755212792308</v>
      </c>
      <c r="O60" s="198">
        <v>21.305548802787708</v>
      </c>
      <c r="P60" s="198">
        <v>17.711492648976407</v>
      </c>
      <c r="Q60" s="198">
        <v>15.467090851162794</v>
      </c>
      <c r="R60" s="198">
        <v>16.306540298678435</v>
      </c>
      <c r="S60" s="198">
        <v>14.891855752225869</v>
      </c>
      <c r="T60" s="198">
        <v>19.336790448127918</v>
      </c>
      <c r="U60" s="198">
        <v>17.31078483059953</v>
      </c>
      <c r="V60" s="198">
        <v>14.899583289549028</v>
      </c>
      <c r="W60" s="198">
        <v>15.06529972798953</v>
      </c>
      <c r="X60" s="191" t="s">
        <v>349</v>
      </c>
      <c r="Y60" s="197">
        <v>10.73</v>
      </c>
      <c r="Z60" s="198">
        <v>9.98</v>
      </c>
      <c r="AA60" s="198">
        <v>14.48</v>
      </c>
      <c r="AB60" s="198">
        <v>9.7200000000000006</v>
      </c>
      <c r="AC60" s="198">
        <v>10.34</v>
      </c>
      <c r="AD60" s="191">
        <v>14</v>
      </c>
      <c r="AE60" s="199" t="s">
        <v>207</v>
      </c>
      <c r="CD60" s="265"/>
    </row>
    <row r="61" spans="2:82" ht="11.1" hidden="1" customHeight="1">
      <c r="B61" s="365" t="s">
        <v>363</v>
      </c>
      <c r="C61" s="197"/>
      <c r="D61" s="198"/>
      <c r="E61" s="198"/>
      <c r="F61" s="198"/>
      <c r="G61" s="198"/>
      <c r="H61" s="198"/>
      <c r="I61" s="198"/>
      <c r="J61" s="198"/>
      <c r="K61" s="198"/>
      <c r="L61" s="191"/>
      <c r="M61" s="197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1"/>
      <c r="Y61" s="197"/>
      <c r="Z61" s="198"/>
      <c r="AA61" s="198"/>
      <c r="AB61" s="198"/>
      <c r="AC61" s="198"/>
      <c r="AD61" s="191"/>
      <c r="AE61" s="186" t="s">
        <v>363</v>
      </c>
      <c r="CD61" s="265"/>
    </row>
    <row r="62" spans="2:82" ht="11.1" hidden="1" customHeight="1">
      <c r="B62" s="366" t="s">
        <v>184</v>
      </c>
      <c r="C62" s="197">
        <v>8.8516109446285949</v>
      </c>
      <c r="D62" s="198">
        <v>7.2133972918151423</v>
      </c>
      <c r="E62" s="198">
        <v>10.74</v>
      </c>
      <c r="F62" s="198">
        <v>8.25</v>
      </c>
      <c r="G62" s="198">
        <v>4.833141904786137</v>
      </c>
      <c r="H62" s="198">
        <v>7.4175906144765911</v>
      </c>
      <c r="I62" s="198">
        <v>10.825556353194544</v>
      </c>
      <c r="J62" s="198">
        <v>9.5113147753547622</v>
      </c>
      <c r="K62" s="198">
        <v>9.3836685552407939</v>
      </c>
      <c r="L62" s="191">
        <v>10.9</v>
      </c>
      <c r="M62" s="197">
        <v>15.540641253059201</v>
      </c>
      <c r="N62" s="198">
        <v>14.583627497138178</v>
      </c>
      <c r="O62" s="198">
        <v>18.219189184615253</v>
      </c>
      <c r="P62" s="198">
        <v>18.724064361295955</v>
      </c>
      <c r="Q62" s="198">
        <v>18.505396977416822</v>
      </c>
      <c r="R62" s="198">
        <v>18.174006334174557</v>
      </c>
      <c r="S62" s="198">
        <v>15.462178549449986</v>
      </c>
      <c r="T62" s="198">
        <v>16.362618529407566</v>
      </c>
      <c r="U62" s="198">
        <v>15.296283416866785</v>
      </c>
      <c r="V62" s="198">
        <v>8.6713869630176781</v>
      </c>
      <c r="W62" s="198">
        <v>9.8730119552641735</v>
      </c>
      <c r="X62" s="191" t="s">
        <v>349</v>
      </c>
      <c r="Y62" s="197">
        <v>19.48</v>
      </c>
      <c r="Z62" s="198">
        <v>8</v>
      </c>
      <c r="AA62" s="198" t="s">
        <v>180</v>
      </c>
      <c r="AB62" s="198" t="s">
        <v>180</v>
      </c>
      <c r="AC62" s="198">
        <v>18.41</v>
      </c>
      <c r="AD62" s="191">
        <v>20</v>
      </c>
      <c r="AE62" s="199" t="s">
        <v>350</v>
      </c>
      <c r="CD62" s="265"/>
    </row>
    <row r="63" spans="2:82" ht="11.1" hidden="1" customHeight="1">
      <c r="B63" s="366" t="s">
        <v>351</v>
      </c>
      <c r="C63" s="197">
        <v>10.371434055040151</v>
      </c>
      <c r="D63" s="198">
        <v>6.7943042147931569</v>
      </c>
      <c r="E63" s="198">
        <v>10.88</v>
      </c>
      <c r="F63" s="198">
        <v>9.2152964377124142</v>
      </c>
      <c r="G63" s="198">
        <v>5.1185795209408598</v>
      </c>
      <c r="H63" s="198">
        <v>7.4297068191660305</v>
      </c>
      <c r="I63" s="198">
        <v>7.3149209285934544</v>
      </c>
      <c r="J63" s="198">
        <v>10.070711401349181</v>
      </c>
      <c r="K63" s="198">
        <v>11.064971337316056</v>
      </c>
      <c r="L63" s="191">
        <v>14.89</v>
      </c>
      <c r="M63" s="197">
        <v>17.473877674577377</v>
      </c>
      <c r="N63" s="198">
        <v>15.856708429460477</v>
      </c>
      <c r="O63" s="198">
        <v>20.898533558302848</v>
      </c>
      <c r="P63" s="198">
        <v>18.489503442249326</v>
      </c>
      <c r="Q63" s="198">
        <v>15.518512152388681</v>
      </c>
      <c r="R63" s="198">
        <v>16.44777343608995</v>
      </c>
      <c r="S63" s="198">
        <v>16.916138187626164</v>
      </c>
      <c r="T63" s="198">
        <v>19.449647408795933</v>
      </c>
      <c r="U63" s="198">
        <v>17.123234345919723</v>
      </c>
      <c r="V63" s="198">
        <v>15.178726006854175</v>
      </c>
      <c r="W63" s="198">
        <v>15.602682030728122</v>
      </c>
      <c r="X63" s="191" t="s">
        <v>349</v>
      </c>
      <c r="Y63" s="197">
        <v>10.83</v>
      </c>
      <c r="Z63" s="198">
        <v>2.4700000000000002</v>
      </c>
      <c r="AA63" s="198">
        <v>14.03</v>
      </c>
      <c r="AB63" s="198">
        <v>9.6199999999999992</v>
      </c>
      <c r="AC63" s="198">
        <v>10.86</v>
      </c>
      <c r="AD63" s="191">
        <v>14</v>
      </c>
      <c r="AE63" s="199" t="s">
        <v>207</v>
      </c>
      <c r="CD63" s="265"/>
    </row>
    <row r="64" spans="2:82" hidden="1">
      <c r="B64" s="365" t="s">
        <v>364</v>
      </c>
      <c r="C64" s="197"/>
      <c r="D64" s="198"/>
      <c r="E64" s="198"/>
      <c r="F64" s="198"/>
      <c r="G64" s="198"/>
      <c r="H64" s="198"/>
      <c r="I64" s="198"/>
      <c r="J64" s="198"/>
      <c r="K64" s="198"/>
      <c r="L64" s="191"/>
      <c r="M64" s="197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191"/>
      <c r="Y64" s="197"/>
      <c r="Z64" s="198"/>
      <c r="AA64" s="198"/>
      <c r="AB64" s="198"/>
      <c r="AC64" s="198"/>
      <c r="AD64" s="191"/>
      <c r="AE64" s="186" t="s">
        <v>364</v>
      </c>
    </row>
    <row r="65" spans="2:31" ht="11.1" hidden="1" customHeight="1">
      <c r="B65" s="366" t="s">
        <v>184</v>
      </c>
      <c r="C65" s="197">
        <v>9.4880483052747824</v>
      </c>
      <c r="D65" s="198">
        <v>8.0534562415252147</v>
      </c>
      <c r="E65" s="198">
        <v>11.029584083069281</v>
      </c>
      <c r="F65" s="198">
        <v>11.64018993012005</v>
      </c>
      <c r="G65" s="198">
        <v>5.2032060035676899</v>
      </c>
      <c r="H65" s="198">
        <v>7.2924383103304065</v>
      </c>
      <c r="I65" s="198">
        <v>11.038693528693527</v>
      </c>
      <c r="J65" s="198">
        <v>10.147678604796013</v>
      </c>
      <c r="K65" s="198">
        <v>9.77539869981252</v>
      </c>
      <c r="L65" s="191">
        <v>10.9</v>
      </c>
      <c r="M65" s="197">
        <v>16.033045886478778</v>
      </c>
      <c r="N65" s="198">
        <v>14.990661647203023</v>
      </c>
      <c r="O65" s="198">
        <v>18.901516662972824</v>
      </c>
      <c r="P65" s="198">
        <v>16.318436095659301</v>
      </c>
      <c r="Q65" s="198">
        <v>19.431080725210169</v>
      </c>
      <c r="R65" s="198">
        <v>18.825455081224028</v>
      </c>
      <c r="S65" s="198">
        <v>15.285190614850862</v>
      </c>
      <c r="T65" s="198">
        <v>17.620480456246582</v>
      </c>
      <c r="U65" s="198">
        <v>15.480826545407524</v>
      </c>
      <c r="V65" s="198">
        <v>8.6687657437974934</v>
      </c>
      <c r="W65" s="198">
        <v>9.4314004305002932</v>
      </c>
      <c r="X65" s="191" t="s">
        <v>349</v>
      </c>
      <c r="Y65" s="197">
        <v>19.03</v>
      </c>
      <c r="Z65" s="198">
        <v>13.19</v>
      </c>
      <c r="AA65" s="198">
        <v>10</v>
      </c>
      <c r="AB65" s="198">
        <v>15</v>
      </c>
      <c r="AC65" s="198">
        <v>18.41</v>
      </c>
      <c r="AD65" s="191">
        <v>20</v>
      </c>
      <c r="AE65" s="199" t="s">
        <v>350</v>
      </c>
    </row>
    <row r="66" spans="2:31" ht="11.1" hidden="1" customHeight="1">
      <c r="B66" s="366" t="s">
        <v>351</v>
      </c>
      <c r="C66" s="197">
        <v>10.717757360098522</v>
      </c>
      <c r="D66" s="198">
        <v>8.4241047755958292</v>
      </c>
      <c r="E66" s="198">
        <v>10.938439396149164</v>
      </c>
      <c r="F66" s="198">
        <v>10.921927091340814</v>
      </c>
      <c r="G66" s="198">
        <v>7.0238592803264499</v>
      </c>
      <c r="H66" s="198">
        <v>7.9840614701347938</v>
      </c>
      <c r="I66" s="198">
        <v>7.7179708509924687</v>
      </c>
      <c r="J66" s="198">
        <v>10.173587057595599</v>
      </c>
      <c r="K66" s="198">
        <v>11.164420551792082</v>
      </c>
      <c r="L66" s="191">
        <v>14.89</v>
      </c>
      <c r="M66" s="197">
        <v>18.161524482964442</v>
      </c>
      <c r="N66" s="198">
        <v>16.117413806505262</v>
      </c>
      <c r="O66" s="198">
        <v>21.857088071315836</v>
      </c>
      <c r="P66" s="198">
        <v>18.16483951316162</v>
      </c>
      <c r="Q66" s="198">
        <v>15.620391237781181</v>
      </c>
      <c r="R66" s="198">
        <v>17.896456919858515</v>
      </c>
      <c r="S66" s="198">
        <v>18.051989551033238</v>
      </c>
      <c r="T66" s="198">
        <v>20.402674490672137</v>
      </c>
      <c r="U66" s="198">
        <v>17.524889075751542</v>
      </c>
      <c r="V66" s="198">
        <v>15.936826929883999</v>
      </c>
      <c r="W66" s="198">
        <v>12.387354158825744</v>
      </c>
      <c r="X66" s="191" t="s">
        <v>349</v>
      </c>
      <c r="Y66" s="197">
        <v>10.92</v>
      </c>
      <c r="Z66" s="198">
        <v>3.27</v>
      </c>
      <c r="AA66" s="198">
        <v>12.96</v>
      </c>
      <c r="AB66" s="198">
        <v>10.47</v>
      </c>
      <c r="AC66" s="198">
        <v>11.01</v>
      </c>
      <c r="AD66" s="191">
        <v>14</v>
      </c>
      <c r="AE66" s="199" t="s">
        <v>207</v>
      </c>
    </row>
    <row r="67" spans="2:31" ht="11.1" hidden="1" customHeight="1">
      <c r="B67" s="365" t="s">
        <v>365</v>
      </c>
      <c r="C67" s="197"/>
      <c r="D67" s="198"/>
      <c r="E67" s="198"/>
      <c r="F67" s="198"/>
      <c r="G67" s="198"/>
      <c r="H67" s="198"/>
      <c r="I67" s="198"/>
      <c r="J67" s="198"/>
      <c r="K67" s="198"/>
      <c r="L67" s="191"/>
      <c r="M67" s="197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1"/>
      <c r="Y67" s="197"/>
      <c r="Z67" s="198"/>
      <c r="AA67" s="198"/>
      <c r="AB67" s="198"/>
      <c r="AC67" s="198"/>
      <c r="AD67" s="191"/>
      <c r="AE67" s="186" t="s">
        <v>365</v>
      </c>
    </row>
    <row r="68" spans="2:31" hidden="1">
      <c r="B68" s="366" t="s">
        <v>184</v>
      </c>
      <c r="C68" s="197">
        <v>10.506228710036384</v>
      </c>
      <c r="D68" s="198">
        <v>8.8922024662071433</v>
      </c>
      <c r="E68" s="198">
        <v>11.810650391799564</v>
      </c>
      <c r="F68" s="198">
        <v>10.646318431189448</v>
      </c>
      <c r="G68" s="198">
        <v>5.4461178748278041</v>
      </c>
      <c r="H68" s="198">
        <v>6.4159808494966857</v>
      </c>
      <c r="I68" s="198">
        <v>11.206603462489696</v>
      </c>
      <c r="J68" s="198">
        <v>10.597216797068436</v>
      </c>
      <c r="K68" s="198">
        <v>11.725115370085147</v>
      </c>
      <c r="L68" s="191">
        <v>10.9</v>
      </c>
      <c r="M68" s="197">
        <v>15.74050820202392</v>
      </c>
      <c r="N68" s="198">
        <v>14.753087078779707</v>
      </c>
      <c r="O68" s="198">
        <v>18.465912303758866</v>
      </c>
      <c r="P68" s="198">
        <v>16.329616100209023</v>
      </c>
      <c r="Q68" s="198">
        <v>19.005588674012834</v>
      </c>
      <c r="R68" s="198">
        <v>19.204548221378385</v>
      </c>
      <c r="S68" s="198">
        <v>15.630264455711636</v>
      </c>
      <c r="T68" s="198">
        <v>16.99012433868025</v>
      </c>
      <c r="U68" s="198">
        <v>15.39132273204153</v>
      </c>
      <c r="V68" s="198">
        <v>8.8755754953537558</v>
      </c>
      <c r="W68" s="198">
        <v>9.5884737389495562</v>
      </c>
      <c r="X68" s="191">
        <v>12</v>
      </c>
      <c r="Y68" s="197">
        <v>19.03</v>
      </c>
      <c r="Z68" s="198">
        <v>12.51</v>
      </c>
      <c r="AA68" s="198">
        <v>12.87</v>
      </c>
      <c r="AB68" s="198">
        <v>15</v>
      </c>
      <c r="AC68" s="198">
        <v>18.41</v>
      </c>
      <c r="AD68" s="191">
        <v>20</v>
      </c>
      <c r="AE68" s="199" t="s">
        <v>350</v>
      </c>
    </row>
    <row r="69" spans="2:31" hidden="1">
      <c r="B69" s="366" t="s">
        <v>351</v>
      </c>
      <c r="C69" s="197">
        <v>10.992092862441837</v>
      </c>
      <c r="D69" s="198">
        <v>8.6479797914899734</v>
      </c>
      <c r="E69" s="198">
        <v>11.18800192334688</v>
      </c>
      <c r="F69" s="198">
        <v>10.157713186011016</v>
      </c>
      <c r="G69" s="198">
        <v>6.8208979804946592</v>
      </c>
      <c r="H69" s="198">
        <v>7.8053081391375656</v>
      </c>
      <c r="I69" s="198">
        <v>8.3376851864347312</v>
      </c>
      <c r="J69" s="198">
        <v>10.304035703645249</v>
      </c>
      <c r="K69" s="198">
        <v>11.574503705797216</v>
      </c>
      <c r="L69" s="191">
        <v>14.89</v>
      </c>
      <c r="M69" s="197">
        <v>17.923410596244537</v>
      </c>
      <c r="N69" s="198">
        <v>15.881153750105765</v>
      </c>
      <c r="O69" s="198">
        <v>21.739713816162308</v>
      </c>
      <c r="P69" s="198">
        <v>18.560351011826963</v>
      </c>
      <c r="Q69" s="198">
        <v>15.237685600806417</v>
      </c>
      <c r="R69" s="198">
        <v>17.720901979258279</v>
      </c>
      <c r="S69" s="198">
        <v>17.483531869928282</v>
      </c>
      <c r="T69" s="198">
        <v>20.128854437265478</v>
      </c>
      <c r="U69" s="198">
        <v>17.424537211708476</v>
      </c>
      <c r="V69" s="198">
        <v>15.444049326761295</v>
      </c>
      <c r="W69" s="198">
        <v>16.42137825421133</v>
      </c>
      <c r="X69" s="191" t="s">
        <v>180</v>
      </c>
      <c r="Y69" s="197">
        <v>8.1470106236927595</v>
      </c>
      <c r="Z69" s="198">
        <v>8.01</v>
      </c>
      <c r="AA69" s="198">
        <v>11.19</v>
      </c>
      <c r="AB69" s="198">
        <v>13.08</v>
      </c>
      <c r="AC69" s="198">
        <v>11.93</v>
      </c>
      <c r="AD69" s="191">
        <v>10.119999999999999</v>
      </c>
      <c r="AE69" s="199" t="s">
        <v>207</v>
      </c>
    </row>
    <row r="70" spans="2:31" hidden="1">
      <c r="B70" s="365" t="s">
        <v>366</v>
      </c>
      <c r="C70" s="192"/>
      <c r="F70" s="198"/>
      <c r="G70" s="198"/>
      <c r="H70" s="198"/>
      <c r="I70" s="198"/>
      <c r="J70" s="198"/>
      <c r="K70" s="198"/>
      <c r="L70" s="191"/>
      <c r="M70" s="202"/>
      <c r="X70" s="185"/>
      <c r="Y70" s="192"/>
      <c r="Z70" s="198"/>
      <c r="AA70" s="198"/>
      <c r="AB70" s="198"/>
      <c r="AC70" s="198"/>
      <c r="AD70" s="191"/>
      <c r="AE70" s="186" t="s">
        <v>366</v>
      </c>
    </row>
    <row r="71" spans="2:31" ht="11.1" hidden="1" customHeight="1">
      <c r="B71" s="366" t="s">
        <v>184</v>
      </c>
      <c r="C71" s="197">
        <v>10.978901970427007</v>
      </c>
      <c r="D71" s="198">
        <v>9.9559597581794819</v>
      </c>
      <c r="E71" s="198">
        <v>11.794225129843484</v>
      </c>
      <c r="F71" s="198">
        <v>11.433895965558564</v>
      </c>
      <c r="G71" s="198">
        <v>10.755280274986779</v>
      </c>
      <c r="H71" s="198">
        <v>7.1211887962369058</v>
      </c>
      <c r="I71" s="198">
        <v>11.06912629070691</v>
      </c>
      <c r="J71" s="198">
        <v>11.490435904071054</v>
      </c>
      <c r="K71" s="198">
        <v>11.094969075759799</v>
      </c>
      <c r="L71" s="191">
        <v>10.9</v>
      </c>
      <c r="M71" s="197">
        <v>15.843438145856622</v>
      </c>
      <c r="N71" s="198">
        <v>14.770511569533927</v>
      </c>
      <c r="O71" s="198">
        <v>19.022665918719085</v>
      </c>
      <c r="P71" s="198">
        <v>14.443195509246959</v>
      </c>
      <c r="Q71" s="198">
        <v>18.974259431071225</v>
      </c>
      <c r="R71" s="198">
        <v>19.460259805238575</v>
      </c>
      <c r="S71" s="198">
        <v>14.708189444417812</v>
      </c>
      <c r="T71" s="198">
        <v>17.816656230947334</v>
      </c>
      <c r="U71" s="198">
        <v>15.699299386655813</v>
      </c>
      <c r="V71" s="198">
        <v>8.2952068586052441</v>
      </c>
      <c r="W71" s="198">
        <v>8.9668765895298783</v>
      </c>
      <c r="X71" s="191">
        <v>11.56</v>
      </c>
      <c r="Y71" s="202">
        <v>19.031592540524215</v>
      </c>
      <c r="Z71" s="198">
        <v>13.33</v>
      </c>
      <c r="AA71" s="198">
        <v>12.82</v>
      </c>
      <c r="AB71" s="198">
        <v>15</v>
      </c>
      <c r="AC71" s="198">
        <v>18.41</v>
      </c>
      <c r="AD71" s="191">
        <v>20</v>
      </c>
      <c r="AE71" s="199" t="s">
        <v>350</v>
      </c>
    </row>
    <row r="72" spans="2:31" ht="11.1" hidden="1" customHeight="1">
      <c r="B72" s="366" t="s">
        <v>351</v>
      </c>
      <c r="C72" s="197">
        <v>10.744750484707557</v>
      </c>
      <c r="D72" s="198">
        <v>6.9777276532268449</v>
      </c>
      <c r="E72" s="198">
        <v>11.156915667641059</v>
      </c>
      <c r="F72" s="198">
        <v>7.3111488175350887</v>
      </c>
      <c r="G72" s="198">
        <v>6.2376801766773458</v>
      </c>
      <c r="H72" s="198">
        <v>7.9124112021857931</v>
      </c>
      <c r="I72" s="198">
        <v>7.7495499021526424</v>
      </c>
      <c r="J72" s="198">
        <v>10.661152676484667</v>
      </c>
      <c r="K72" s="198">
        <v>11.308739604376848</v>
      </c>
      <c r="L72" s="191">
        <v>14.89</v>
      </c>
      <c r="M72" s="197">
        <v>17.77529163601935</v>
      </c>
      <c r="N72" s="198">
        <v>15.802690471919322</v>
      </c>
      <c r="O72" s="198">
        <v>21.74172746739119</v>
      </c>
      <c r="P72" s="198">
        <v>18.040060068285172</v>
      </c>
      <c r="Q72" s="198">
        <v>15.93600879694959</v>
      </c>
      <c r="R72" s="198">
        <v>17.889634777154143</v>
      </c>
      <c r="S72" s="198">
        <v>17.785614283830945</v>
      </c>
      <c r="T72" s="198">
        <v>19.871561388748852</v>
      </c>
      <c r="U72" s="198">
        <v>16.951298029522963</v>
      </c>
      <c r="V72" s="198">
        <v>15.08078989605052</v>
      </c>
      <c r="W72" s="198">
        <v>14.622507150851884</v>
      </c>
      <c r="X72" s="191" t="s">
        <v>93</v>
      </c>
      <c r="Y72" s="202">
        <v>12.017461148052869</v>
      </c>
      <c r="Z72" s="198">
        <v>4.7</v>
      </c>
      <c r="AA72" s="198">
        <v>11.08</v>
      </c>
      <c r="AB72" s="198">
        <v>14.48</v>
      </c>
      <c r="AC72" s="198">
        <v>12.55</v>
      </c>
      <c r="AD72" s="191">
        <v>10.59</v>
      </c>
      <c r="AE72" s="199" t="s">
        <v>207</v>
      </c>
    </row>
    <row r="73" spans="2:31" hidden="1">
      <c r="B73" s="365" t="s">
        <v>367</v>
      </c>
      <c r="C73" s="197"/>
      <c r="D73" s="198"/>
      <c r="E73" s="198"/>
      <c r="F73" s="198"/>
      <c r="G73" s="198"/>
      <c r="H73" s="198"/>
      <c r="I73" s="198"/>
      <c r="J73" s="198"/>
      <c r="K73" s="198"/>
      <c r="L73" s="191"/>
      <c r="M73" s="197"/>
      <c r="N73" s="198"/>
      <c r="O73" s="198"/>
      <c r="P73" s="198"/>
      <c r="Q73" s="198"/>
      <c r="R73" s="198"/>
      <c r="S73" s="198"/>
      <c r="T73" s="198"/>
      <c r="U73" s="198"/>
      <c r="V73" s="198"/>
      <c r="W73" s="198"/>
      <c r="X73" s="191"/>
      <c r="Y73" s="202"/>
      <c r="Z73" s="198"/>
      <c r="AA73" s="198"/>
      <c r="AB73" s="198"/>
      <c r="AC73" s="198"/>
      <c r="AD73" s="191"/>
      <c r="AE73" s="186" t="s">
        <v>367</v>
      </c>
    </row>
    <row r="74" spans="2:31" ht="11.1" hidden="1" customHeight="1">
      <c r="B74" s="366" t="s">
        <v>184</v>
      </c>
      <c r="C74" s="197">
        <v>10.89</v>
      </c>
      <c r="D74" s="198">
        <v>9.5</v>
      </c>
      <c r="E74" s="198">
        <v>11.88</v>
      </c>
      <c r="F74" s="198">
        <v>5.4899500416319729</v>
      </c>
      <c r="G74" s="198">
        <v>6.6753835993395709</v>
      </c>
      <c r="H74" s="198">
        <v>9.2025935329986339</v>
      </c>
      <c r="I74" s="198">
        <v>11.05399416909621</v>
      </c>
      <c r="J74" s="198">
        <v>11.007072606553866</v>
      </c>
      <c r="K74" s="198">
        <v>11.306002131598138</v>
      </c>
      <c r="L74" s="191">
        <v>10.9</v>
      </c>
      <c r="M74" s="197">
        <v>15.83</v>
      </c>
      <c r="N74" s="198">
        <v>14.52</v>
      </c>
      <c r="O74" s="198">
        <v>19.239999999999998</v>
      </c>
      <c r="P74" s="198">
        <v>17.351042519770832</v>
      </c>
      <c r="Q74" s="198">
        <v>18.15188123892154</v>
      </c>
      <c r="R74" s="198">
        <v>19.436487530359379</v>
      </c>
      <c r="S74" s="198">
        <v>14.432856727127765</v>
      </c>
      <c r="T74" s="198">
        <v>17.637887546700487</v>
      </c>
      <c r="U74" s="198">
        <v>15.71967738956501</v>
      </c>
      <c r="V74" s="198">
        <v>8.3912450116597874</v>
      </c>
      <c r="W74" s="198">
        <v>7.3218415618862158</v>
      </c>
      <c r="X74" s="191">
        <v>9.0500000000000007</v>
      </c>
      <c r="Y74" s="202">
        <v>19.031592540524215</v>
      </c>
      <c r="Z74" s="198">
        <v>14</v>
      </c>
      <c r="AA74" s="198">
        <v>12.75</v>
      </c>
      <c r="AB74" s="198">
        <v>15</v>
      </c>
      <c r="AC74" s="198">
        <v>18.41</v>
      </c>
      <c r="AD74" s="191">
        <v>20</v>
      </c>
      <c r="AE74" s="199" t="s">
        <v>350</v>
      </c>
    </row>
    <row r="75" spans="2:31" hidden="1">
      <c r="B75" s="366" t="s">
        <v>351</v>
      </c>
      <c r="C75" s="197">
        <v>10.84</v>
      </c>
      <c r="D75" s="198">
        <v>7.41</v>
      </c>
      <c r="E75" s="198">
        <v>11.2</v>
      </c>
      <c r="F75" s="198">
        <v>2.8273675014560276</v>
      </c>
      <c r="G75" s="198">
        <v>5.7241371331972974</v>
      </c>
      <c r="H75" s="198">
        <v>8.4446395348837218</v>
      </c>
      <c r="I75" s="198">
        <v>7.5900623494870185</v>
      </c>
      <c r="J75" s="198">
        <v>10.827716906826231</v>
      </c>
      <c r="K75" s="198">
        <v>11.418956118494089</v>
      </c>
      <c r="L75" s="191">
        <v>14.89</v>
      </c>
      <c r="M75" s="197">
        <v>17.53</v>
      </c>
      <c r="N75" s="198">
        <v>15.47</v>
      </c>
      <c r="O75" s="198">
        <v>21.64</v>
      </c>
      <c r="P75" s="198">
        <v>18.523294012400608</v>
      </c>
      <c r="Q75" s="198">
        <v>16.01743498328824</v>
      </c>
      <c r="R75" s="198">
        <v>17.789886639035345</v>
      </c>
      <c r="S75" s="198">
        <v>17.15052632037672</v>
      </c>
      <c r="T75" s="198">
        <v>19.516280153067711</v>
      </c>
      <c r="U75" s="198">
        <v>16.604389804147736</v>
      </c>
      <c r="V75" s="198">
        <v>15.743568847289653</v>
      </c>
      <c r="W75" s="198">
        <v>14.500107890839855</v>
      </c>
      <c r="X75" s="191" t="s">
        <v>93</v>
      </c>
      <c r="Y75" s="202">
        <v>11.83</v>
      </c>
      <c r="Z75" s="198">
        <v>1.9</v>
      </c>
      <c r="AA75" s="198">
        <v>11.26</v>
      </c>
      <c r="AB75" s="198">
        <v>12.84</v>
      </c>
      <c r="AC75" s="198">
        <v>12.53</v>
      </c>
      <c r="AD75" s="191">
        <v>11.4</v>
      </c>
      <c r="AE75" s="199" t="s">
        <v>207</v>
      </c>
    </row>
    <row r="76" spans="2:31" hidden="1">
      <c r="B76" s="367">
        <v>38899</v>
      </c>
      <c r="C76" s="197"/>
      <c r="D76" s="198"/>
      <c r="E76" s="198"/>
      <c r="F76" s="198"/>
      <c r="G76" s="198"/>
      <c r="H76" s="198"/>
      <c r="I76" s="198"/>
      <c r="J76" s="198"/>
      <c r="K76" s="198"/>
      <c r="L76" s="191"/>
      <c r="M76" s="197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1"/>
      <c r="Y76" s="202"/>
      <c r="Z76" s="198"/>
      <c r="AA76" s="198"/>
      <c r="AB76" s="198"/>
      <c r="AC76" s="198"/>
      <c r="AD76" s="191"/>
      <c r="AE76" s="374">
        <v>38899</v>
      </c>
    </row>
    <row r="77" spans="2:31" hidden="1">
      <c r="B77" s="366" t="s">
        <v>184</v>
      </c>
      <c r="C77" s="197">
        <v>10.956563254378409</v>
      </c>
      <c r="D77" s="198">
        <v>8.8841619870478699</v>
      </c>
      <c r="E77" s="198">
        <v>12.285445267172477</v>
      </c>
      <c r="F77" s="198">
        <v>10.713621993127148</v>
      </c>
      <c r="G77" s="198">
        <v>5.2217960271963744</v>
      </c>
      <c r="H77" s="198">
        <v>9.8433250316104068</v>
      </c>
      <c r="I77" s="198">
        <v>10.595919416658877</v>
      </c>
      <c r="J77" s="198">
        <v>10.025015887370261</v>
      </c>
      <c r="K77" s="198">
        <v>12.058844968818326</v>
      </c>
      <c r="L77" s="191">
        <v>10.9</v>
      </c>
      <c r="M77" s="197">
        <v>15.848713303456487</v>
      </c>
      <c r="N77" s="198">
        <v>14.465544119024944</v>
      </c>
      <c r="O77" s="198">
        <v>19.529792397332631</v>
      </c>
      <c r="P77" s="198">
        <v>17.801937675695118</v>
      </c>
      <c r="Q77" s="198">
        <v>17.99952422333261</v>
      </c>
      <c r="R77" s="198">
        <v>19.899679061066799</v>
      </c>
      <c r="S77" s="198">
        <v>14.974998661280747</v>
      </c>
      <c r="T77" s="198">
        <v>17.920717910870156</v>
      </c>
      <c r="U77" s="198">
        <v>15.88329490212722</v>
      </c>
      <c r="V77" s="198">
        <v>8.1401921860465123</v>
      </c>
      <c r="W77" s="198">
        <v>8.2725441342181032</v>
      </c>
      <c r="X77" s="191">
        <v>7.33</v>
      </c>
      <c r="Y77" s="202">
        <v>17.20020018478596</v>
      </c>
      <c r="Z77" s="198">
        <v>16.59</v>
      </c>
      <c r="AA77" s="198">
        <v>16.309999999999999</v>
      </c>
      <c r="AB77" s="198">
        <v>15.35</v>
      </c>
      <c r="AC77" s="198">
        <v>18.41</v>
      </c>
      <c r="AD77" s="191">
        <v>18.84</v>
      </c>
      <c r="AE77" s="199" t="s">
        <v>350</v>
      </c>
    </row>
    <row r="78" spans="2:31" hidden="1">
      <c r="B78" s="366" t="s">
        <v>351</v>
      </c>
      <c r="C78" s="197">
        <v>11.022342188044044</v>
      </c>
      <c r="D78" s="198">
        <v>7.3618534350587428</v>
      </c>
      <c r="E78" s="198">
        <v>11.345418678018929</v>
      </c>
      <c r="F78" s="198">
        <v>10.636136106288214</v>
      </c>
      <c r="G78" s="198">
        <v>6.3723783739704798</v>
      </c>
      <c r="H78" s="198">
        <v>8.0934232597941822</v>
      </c>
      <c r="I78" s="198">
        <v>8.5019872172231086</v>
      </c>
      <c r="J78" s="198">
        <v>10.898884685826927</v>
      </c>
      <c r="K78" s="198">
        <v>11.405602200063285</v>
      </c>
      <c r="L78" s="191">
        <v>14.89</v>
      </c>
      <c r="M78" s="197">
        <v>17.504595618916124</v>
      </c>
      <c r="N78" s="198">
        <v>15.311010153917714</v>
      </c>
      <c r="O78" s="198">
        <v>21.730896741302701</v>
      </c>
      <c r="P78" s="198">
        <v>17.252186710477925</v>
      </c>
      <c r="Q78" s="198">
        <v>15.908117090042657</v>
      </c>
      <c r="R78" s="198">
        <v>17.836853478060931</v>
      </c>
      <c r="S78" s="198">
        <v>17.235832469335776</v>
      </c>
      <c r="T78" s="198">
        <v>19.64960383945963</v>
      </c>
      <c r="U78" s="198">
        <v>16.515439961840094</v>
      </c>
      <c r="V78" s="198">
        <v>16.520076891245022</v>
      </c>
      <c r="W78" s="198">
        <v>14.377937052355493</v>
      </c>
      <c r="X78" s="191">
        <v>18.309999999999999</v>
      </c>
      <c r="Y78" s="202">
        <v>11.802995507607285</v>
      </c>
      <c r="Z78" s="198">
        <v>9.4700000000000006</v>
      </c>
      <c r="AA78" s="198">
        <v>12.68</v>
      </c>
      <c r="AB78" s="198">
        <v>13.01</v>
      </c>
      <c r="AC78" s="198">
        <v>12.13</v>
      </c>
      <c r="AD78" s="191">
        <v>11.4</v>
      </c>
      <c r="AE78" s="199" t="s">
        <v>207</v>
      </c>
    </row>
    <row r="79" spans="2:31" hidden="1">
      <c r="B79" s="367">
        <v>38930</v>
      </c>
      <c r="C79" s="192"/>
      <c r="F79" s="198"/>
      <c r="G79" s="198"/>
      <c r="H79" s="198"/>
      <c r="I79" s="198"/>
      <c r="J79" s="198"/>
      <c r="K79" s="198"/>
      <c r="L79" s="191"/>
      <c r="M79" s="202"/>
      <c r="X79" s="185"/>
      <c r="Y79" s="192"/>
      <c r="Z79" s="198"/>
      <c r="AA79" s="198"/>
      <c r="AB79" s="198"/>
      <c r="AC79" s="198"/>
      <c r="AD79" s="191"/>
      <c r="AE79" s="374">
        <v>38930</v>
      </c>
    </row>
    <row r="80" spans="2:31" hidden="1">
      <c r="B80" s="366" t="s">
        <v>184</v>
      </c>
      <c r="C80" s="197">
        <v>10.857274328192288</v>
      </c>
      <c r="D80" s="198">
        <v>8.6113851777270671</v>
      </c>
      <c r="E80" s="198">
        <v>12.121279826851636</v>
      </c>
      <c r="F80" s="198">
        <v>4.9000000000000004</v>
      </c>
      <c r="G80" s="198">
        <v>5.7955040847472841</v>
      </c>
      <c r="H80" s="198">
        <v>9.0059774024326984</v>
      </c>
      <c r="I80" s="198">
        <v>9.83543303096336</v>
      </c>
      <c r="J80" s="198">
        <v>11.053810199800838</v>
      </c>
      <c r="K80" s="198">
        <v>11.991753036413503</v>
      </c>
      <c r="L80" s="191">
        <v>6.5</v>
      </c>
      <c r="M80" s="197">
        <v>16.045133774254037</v>
      </c>
      <c r="N80" s="198">
        <v>14.74296659308003</v>
      </c>
      <c r="O80" s="198">
        <v>19.594459491261173</v>
      </c>
      <c r="P80" s="198">
        <v>15.528580135336121</v>
      </c>
      <c r="Q80" s="198">
        <v>17.990014150115748</v>
      </c>
      <c r="R80" s="198">
        <v>19.477058613112579</v>
      </c>
      <c r="S80" s="198">
        <v>15.112997808714992</v>
      </c>
      <c r="T80" s="198">
        <v>18.539756799803651</v>
      </c>
      <c r="U80" s="198">
        <v>16.551559590270781</v>
      </c>
      <c r="V80" s="198">
        <v>7.9636365106087617</v>
      </c>
      <c r="W80" s="198">
        <v>7.8387961969770839</v>
      </c>
      <c r="X80" s="191">
        <v>7.31</v>
      </c>
      <c r="Y80" s="197">
        <v>17.461670181987866</v>
      </c>
      <c r="Z80" s="198">
        <v>16.59</v>
      </c>
      <c r="AA80" s="198">
        <v>16.29</v>
      </c>
      <c r="AB80" s="198">
        <v>16</v>
      </c>
      <c r="AC80" s="198">
        <v>18.18</v>
      </c>
      <c r="AD80" s="191">
        <v>18.86</v>
      </c>
      <c r="AE80" s="199" t="s">
        <v>350</v>
      </c>
    </row>
    <row r="81" spans="2:31" hidden="1">
      <c r="B81" s="366" t="s">
        <v>351</v>
      </c>
      <c r="C81" s="197">
        <v>11.148588439466153</v>
      </c>
      <c r="D81" s="198">
        <v>7.7405032637998916</v>
      </c>
      <c r="E81" s="198">
        <v>11.429867077598477</v>
      </c>
      <c r="F81" s="198">
        <v>6.5059020235955938</v>
      </c>
      <c r="G81" s="198">
        <v>8.1286328992570098</v>
      </c>
      <c r="H81" s="198">
        <v>8.3611412030299928</v>
      </c>
      <c r="I81" s="198">
        <v>9.1984651249149021</v>
      </c>
      <c r="J81" s="198">
        <v>11.281950392575045</v>
      </c>
      <c r="K81" s="198">
        <v>11.504431609033764</v>
      </c>
      <c r="L81" s="191">
        <v>14.84</v>
      </c>
      <c r="M81" s="197">
        <v>17.457490939544698</v>
      </c>
      <c r="N81" s="198">
        <v>15.329563799085761</v>
      </c>
      <c r="O81" s="198">
        <v>21.693348245793015</v>
      </c>
      <c r="P81" s="198">
        <v>17.12211573083485</v>
      </c>
      <c r="Q81" s="198">
        <v>15.587791146330332</v>
      </c>
      <c r="R81" s="198">
        <v>17.674910925976612</v>
      </c>
      <c r="S81" s="198">
        <v>16.972778815509709</v>
      </c>
      <c r="T81" s="198">
        <v>19.658158022597679</v>
      </c>
      <c r="U81" s="198">
        <v>16.512212613777667</v>
      </c>
      <c r="V81" s="198"/>
      <c r="W81" s="198">
        <v>14.466466362489077</v>
      </c>
      <c r="X81" s="191">
        <v>18.309999999999999</v>
      </c>
      <c r="Y81" s="197">
        <v>12.922794260548514</v>
      </c>
      <c r="Z81" s="198">
        <v>8.14</v>
      </c>
      <c r="AA81" s="198">
        <v>10.97</v>
      </c>
      <c r="AB81" s="198">
        <v>12.7</v>
      </c>
      <c r="AC81" s="198">
        <v>15.14</v>
      </c>
      <c r="AD81" s="191">
        <v>12.48</v>
      </c>
      <c r="AE81" s="199" t="s">
        <v>207</v>
      </c>
    </row>
    <row r="82" spans="2:31" ht="11.1" hidden="1" customHeight="1">
      <c r="B82" s="367">
        <v>38961</v>
      </c>
      <c r="C82" s="192"/>
      <c r="F82" s="198"/>
      <c r="G82" s="198"/>
      <c r="H82" s="198"/>
      <c r="I82" s="198"/>
      <c r="J82" s="198"/>
      <c r="K82" s="198"/>
      <c r="L82" s="191"/>
      <c r="M82" s="202"/>
      <c r="X82" s="185"/>
      <c r="Y82" s="192"/>
      <c r="Z82" s="198"/>
      <c r="AA82" s="198"/>
      <c r="AB82" s="198"/>
      <c r="AC82" s="198"/>
      <c r="AD82" s="191"/>
      <c r="AE82" s="374">
        <v>38961</v>
      </c>
    </row>
    <row r="83" spans="2:31" hidden="1">
      <c r="B83" s="366" t="s">
        <v>184</v>
      </c>
      <c r="C83" s="197">
        <v>11.02721339764839</v>
      </c>
      <c r="D83" s="198">
        <v>8.9877920789301839</v>
      </c>
      <c r="E83" s="198">
        <v>12.111721799915449</v>
      </c>
      <c r="F83" s="198">
        <v>6.1539248142778051</v>
      </c>
      <c r="G83" s="198">
        <v>6.6224766213323472</v>
      </c>
      <c r="H83" s="198">
        <v>8.5082192812067667</v>
      </c>
      <c r="I83" s="198">
        <v>11.153243221611413</v>
      </c>
      <c r="J83" s="198">
        <v>10.794369104246124</v>
      </c>
      <c r="K83" s="198">
        <v>12.196280672940265</v>
      </c>
      <c r="L83" s="191">
        <v>6.5</v>
      </c>
      <c r="M83" s="197">
        <v>16.308161770610234</v>
      </c>
      <c r="N83" s="198">
        <v>14.888638408100737</v>
      </c>
      <c r="O83" s="198">
        <v>19.952516606294299</v>
      </c>
      <c r="P83" s="198">
        <v>18.839413331213077</v>
      </c>
      <c r="Q83" s="198">
        <v>17.586929226627632</v>
      </c>
      <c r="R83" s="198">
        <v>19.997690044542995</v>
      </c>
      <c r="S83" s="198">
        <v>15.027924928007829</v>
      </c>
      <c r="T83" s="198">
        <v>18.600837179073729</v>
      </c>
      <c r="U83" s="198">
        <v>17.136992609435143</v>
      </c>
      <c r="V83" s="198">
        <v>8.2242964363636588</v>
      </c>
      <c r="W83" s="198">
        <v>7.6818703395207031</v>
      </c>
      <c r="X83" s="191">
        <v>7.7516935036091059</v>
      </c>
      <c r="Y83" s="197">
        <v>16.916001290166513</v>
      </c>
      <c r="Z83" s="198">
        <v>15.31</v>
      </c>
      <c r="AA83" s="198">
        <v>16.29</v>
      </c>
      <c r="AB83" s="198">
        <v>16</v>
      </c>
      <c r="AC83" s="198">
        <v>18.16</v>
      </c>
      <c r="AD83" s="191">
        <v>18.87</v>
      </c>
      <c r="AE83" s="199" t="s">
        <v>350</v>
      </c>
    </row>
    <row r="84" spans="2:31" hidden="1">
      <c r="B84" s="366" t="s">
        <v>351</v>
      </c>
      <c r="C84" s="197">
        <v>11.05920263199787</v>
      </c>
      <c r="D84" s="198">
        <v>6.7258730094161328</v>
      </c>
      <c r="E84" s="198">
        <v>11.465307921816963</v>
      </c>
      <c r="F84" s="198">
        <v>5.406047771648443</v>
      </c>
      <c r="G84" s="198">
        <v>7.7604129383651186</v>
      </c>
      <c r="H84" s="198">
        <v>8.4725113643581071</v>
      </c>
      <c r="I84" s="198">
        <v>9.3456472870553071</v>
      </c>
      <c r="J84" s="198">
        <v>11.040814046923945</v>
      </c>
      <c r="K84" s="198">
        <v>11.594182302563022</v>
      </c>
      <c r="L84" s="191">
        <v>14.837924407431135</v>
      </c>
      <c r="M84" s="197">
        <v>17.147342819669948</v>
      </c>
      <c r="N84" s="198">
        <v>15.053588671866944</v>
      </c>
      <c r="O84" s="198">
        <v>21.55685497155304</v>
      </c>
      <c r="P84" s="198">
        <v>17.159867361176254</v>
      </c>
      <c r="Q84" s="198">
        <v>15.607120667925704</v>
      </c>
      <c r="R84" s="198">
        <v>17.151755265872051</v>
      </c>
      <c r="S84" s="198">
        <v>16.905840192324735</v>
      </c>
      <c r="T84" s="198">
        <v>19.372628494000377</v>
      </c>
      <c r="U84" s="198">
        <v>16.253407670842112</v>
      </c>
      <c r="V84" s="198">
        <v>16.196796657278227</v>
      </c>
      <c r="W84" s="198">
        <v>14.954261686718141</v>
      </c>
      <c r="X84" s="191">
        <v>18.309754706217909</v>
      </c>
      <c r="Y84" s="197">
        <v>12.429885540238766</v>
      </c>
      <c r="Z84" s="198">
        <v>8.0399999999999991</v>
      </c>
      <c r="AA84" s="198">
        <v>12.43</v>
      </c>
      <c r="AB84" s="198">
        <v>12.11</v>
      </c>
      <c r="AC84" s="198">
        <v>14.44</v>
      </c>
      <c r="AD84" s="191">
        <v>11.44</v>
      </c>
      <c r="AE84" s="199" t="s">
        <v>207</v>
      </c>
    </row>
    <row r="85" spans="2:31" hidden="1">
      <c r="B85" s="367">
        <v>38991</v>
      </c>
      <c r="C85" s="192"/>
      <c r="F85" s="198"/>
      <c r="G85" s="198"/>
      <c r="H85" s="198"/>
      <c r="I85" s="198"/>
      <c r="J85" s="198"/>
      <c r="K85" s="198"/>
      <c r="L85" s="191"/>
      <c r="M85" s="202"/>
      <c r="X85" s="185"/>
      <c r="Y85" s="192"/>
      <c r="Z85" s="198"/>
      <c r="AA85" s="198"/>
      <c r="AB85" s="198"/>
      <c r="AC85" s="198"/>
      <c r="AD85" s="191"/>
      <c r="AE85" s="374">
        <v>38991</v>
      </c>
    </row>
    <row r="86" spans="2:31" hidden="1">
      <c r="B86" s="366" t="s">
        <v>184</v>
      </c>
      <c r="C86" s="197">
        <v>10.7167799559739</v>
      </c>
      <c r="D86" s="198">
        <v>8.5666638502493058</v>
      </c>
      <c r="E86" s="198">
        <v>11.96345598334665</v>
      </c>
      <c r="F86" s="198">
        <v>6.7381507572166335</v>
      </c>
      <c r="G86" s="198">
        <v>6.10449234284222</v>
      </c>
      <c r="H86" s="198">
        <v>8.5718005032988263</v>
      </c>
      <c r="I86" s="198">
        <v>11.476816455373974</v>
      </c>
      <c r="J86" s="198">
        <v>10.657713267029541</v>
      </c>
      <c r="K86" s="198">
        <v>12.161694220667608</v>
      </c>
      <c r="L86" s="191">
        <v>6.5</v>
      </c>
      <c r="M86" s="197">
        <v>16.247945830899106</v>
      </c>
      <c r="N86" s="198">
        <v>14.762258523511882</v>
      </c>
      <c r="O86" s="198">
        <v>19.918664445107115</v>
      </c>
      <c r="P86" s="198">
        <v>17.926640510054206</v>
      </c>
      <c r="Q86" s="198">
        <v>16.509660361742686</v>
      </c>
      <c r="R86" s="198">
        <v>19.267072389091535</v>
      </c>
      <c r="S86" s="198">
        <v>14.964998556542309</v>
      </c>
      <c r="T86" s="198">
        <v>18.652714084534441</v>
      </c>
      <c r="U86" s="198">
        <v>17.198369031810095</v>
      </c>
      <c r="V86" s="198">
        <v>8.3183032564978809</v>
      </c>
      <c r="W86" s="198">
        <v>7.1774869942561139</v>
      </c>
      <c r="X86" s="191">
        <v>9.3894324853228959</v>
      </c>
      <c r="Y86" s="197">
        <v>16.264133889138755</v>
      </c>
      <c r="Z86" s="198">
        <v>15.103211009174313</v>
      </c>
      <c r="AA86" s="198">
        <v>16.805970149253731</v>
      </c>
      <c r="AB86" s="198">
        <v>12.55493998153278</v>
      </c>
      <c r="AC86" s="198">
        <v>18.18128686617241</v>
      </c>
      <c r="AD86" s="191">
        <v>18.894736842105264</v>
      </c>
      <c r="AE86" s="199" t="s">
        <v>350</v>
      </c>
    </row>
    <row r="87" spans="2:31" hidden="1">
      <c r="B87" s="366" t="s">
        <v>351</v>
      </c>
      <c r="C87" s="197">
        <v>11.470580449764423</v>
      </c>
      <c r="D87" s="198">
        <v>7.2258965261364629</v>
      </c>
      <c r="E87" s="198">
        <v>11.821780452865452</v>
      </c>
      <c r="F87" s="198">
        <v>5.5859428249446381</v>
      </c>
      <c r="G87" s="198">
        <v>7.8740611975221109</v>
      </c>
      <c r="H87" s="198">
        <v>8.4026765973512809</v>
      </c>
      <c r="I87" s="198">
        <v>9.8606029249516496</v>
      </c>
      <c r="J87" s="198">
        <v>11.348167670030657</v>
      </c>
      <c r="K87" s="198">
        <v>12.134935970931529</v>
      </c>
      <c r="L87" s="191">
        <v>14.831285954123871</v>
      </c>
      <c r="M87" s="197">
        <v>17.154112452122174</v>
      </c>
      <c r="N87" s="198">
        <v>15.022932249551328</v>
      </c>
      <c r="O87" s="198">
        <v>21.671710246132637</v>
      </c>
      <c r="P87" s="198">
        <v>17.259608904932033</v>
      </c>
      <c r="Q87" s="198">
        <v>15.810962426207528</v>
      </c>
      <c r="R87" s="198">
        <v>16.953818709064386</v>
      </c>
      <c r="S87" s="198">
        <v>17.00495948888517</v>
      </c>
      <c r="T87" s="198">
        <v>19.481355469935121</v>
      </c>
      <c r="U87" s="198">
        <v>16.125455935613157</v>
      </c>
      <c r="V87" s="198">
        <v>16.956617135561391</v>
      </c>
      <c r="W87" s="198">
        <v>15.635736885279682</v>
      </c>
      <c r="X87" s="191">
        <v>18.309851088201604</v>
      </c>
      <c r="Y87" s="197">
        <v>13.585176147972481</v>
      </c>
      <c r="Z87" s="198">
        <v>11.223799420255208</v>
      </c>
      <c r="AA87" s="198">
        <v>11.936875054343101</v>
      </c>
      <c r="AB87" s="198">
        <v>12.779637606091997</v>
      </c>
      <c r="AC87" s="198">
        <v>16.452606487718935</v>
      </c>
      <c r="AD87" s="191">
        <v>13.080033953399619</v>
      </c>
      <c r="AE87" s="199" t="s">
        <v>207</v>
      </c>
    </row>
    <row r="88" spans="2:31" hidden="1">
      <c r="B88" s="367">
        <v>39022</v>
      </c>
      <c r="C88" s="192"/>
      <c r="F88" s="198"/>
      <c r="G88" s="198"/>
      <c r="H88" s="198"/>
      <c r="I88" s="198"/>
      <c r="J88" s="198"/>
      <c r="K88" s="198"/>
      <c r="L88" s="191"/>
      <c r="M88" s="202"/>
      <c r="X88" s="185"/>
      <c r="Y88" s="192"/>
      <c r="Z88" s="198"/>
      <c r="AA88" s="198"/>
      <c r="AB88" s="198"/>
      <c r="AC88" s="198"/>
      <c r="AD88" s="191"/>
      <c r="AE88" s="374">
        <v>39022</v>
      </c>
    </row>
    <row r="89" spans="2:31" hidden="1">
      <c r="B89" s="366" t="s">
        <v>184</v>
      </c>
      <c r="C89" s="197">
        <v>10.460332231923816</v>
      </c>
      <c r="D89" s="198">
        <v>8.2766327513263924</v>
      </c>
      <c r="E89" s="198">
        <v>12.09140819408622</v>
      </c>
      <c r="F89" s="198">
        <v>6.5143072634547181</v>
      </c>
      <c r="G89" s="198">
        <v>6.3495465600253302</v>
      </c>
      <c r="H89" s="198">
        <v>8.4802431731948644</v>
      </c>
      <c r="I89" s="198">
        <v>9.4699061749501574</v>
      </c>
      <c r="J89" s="198">
        <v>10.615575874827645</v>
      </c>
      <c r="K89" s="198">
        <v>12.066358310370999</v>
      </c>
      <c r="L89" s="191">
        <v>9.8687138406764578</v>
      </c>
      <c r="M89" s="197">
        <v>16.307296177720321</v>
      </c>
      <c r="N89" s="198">
        <v>14.856727930431928</v>
      </c>
      <c r="O89" s="198">
        <v>19.547893316205375</v>
      </c>
      <c r="P89" s="198">
        <v>16.751514995424728</v>
      </c>
      <c r="Q89" s="198">
        <v>18.023599900655388</v>
      </c>
      <c r="R89" s="198">
        <v>19.110182366314</v>
      </c>
      <c r="S89" s="198">
        <v>14.605246524561338</v>
      </c>
      <c r="T89" s="198">
        <v>18.068819378665054</v>
      </c>
      <c r="U89" s="198">
        <v>17.398070101175524</v>
      </c>
      <c r="V89" s="198">
        <v>9.2049152013398707</v>
      </c>
      <c r="W89" s="198">
        <v>7.4530829293960128</v>
      </c>
      <c r="X89" s="191">
        <v>8.5469013184643092</v>
      </c>
      <c r="Y89" s="197">
        <v>16.226323570884212</v>
      </c>
      <c r="Z89" s="198">
        <v>14</v>
      </c>
      <c r="AA89" s="198">
        <v>16.79</v>
      </c>
      <c r="AB89" s="198">
        <v>13.78966009711511</v>
      </c>
      <c r="AC89" s="198">
        <v>18.410233219200205</v>
      </c>
      <c r="AD89" s="191">
        <v>18.907221929362152</v>
      </c>
      <c r="AE89" s="199" t="s">
        <v>350</v>
      </c>
    </row>
    <row r="90" spans="2:31" hidden="1">
      <c r="B90" s="366" t="s">
        <v>351</v>
      </c>
      <c r="C90" s="197">
        <v>11.296443751155259</v>
      </c>
      <c r="D90" s="198">
        <v>6.7896227618418168</v>
      </c>
      <c r="E90" s="198">
        <v>11.665148380184625</v>
      </c>
      <c r="F90" s="198">
        <v>5.6665298979026026</v>
      </c>
      <c r="G90" s="198">
        <v>7.724836389921121</v>
      </c>
      <c r="H90" s="198">
        <v>8.3941759514847227</v>
      </c>
      <c r="I90" s="198">
        <v>10.035353766481579</v>
      </c>
      <c r="J90" s="198">
        <v>11.164628360215547</v>
      </c>
      <c r="K90" s="198">
        <v>11.912865023580872</v>
      </c>
      <c r="L90" s="191">
        <v>14.84290939663795</v>
      </c>
      <c r="M90" s="197">
        <v>16.825046102604883</v>
      </c>
      <c r="N90" s="198">
        <v>14.757189231621728</v>
      </c>
      <c r="O90" s="198">
        <v>21.289146719046311</v>
      </c>
      <c r="P90" s="198">
        <v>17.041052280039128</v>
      </c>
      <c r="Q90" s="198">
        <v>15.54032179490191</v>
      </c>
      <c r="R90" s="198">
        <v>17.156593897724978</v>
      </c>
      <c r="S90" s="198">
        <v>16.522154771415877</v>
      </c>
      <c r="T90" s="198">
        <v>18.624009323462136</v>
      </c>
      <c r="U90" s="198">
        <v>16.028460444930634</v>
      </c>
      <c r="V90" s="198">
        <v>16.873831117757714</v>
      </c>
      <c r="W90" s="198">
        <v>15.867989676040532</v>
      </c>
      <c r="X90" s="191">
        <v>18.309851088201604</v>
      </c>
      <c r="Y90" s="197">
        <v>14.389741119892982</v>
      </c>
      <c r="Z90" s="198">
        <v>8.1324674815090923</v>
      </c>
      <c r="AA90" s="198">
        <v>11.584113560857748</v>
      </c>
      <c r="AB90" s="198">
        <v>14.219330194545616</v>
      </c>
      <c r="AC90" s="198">
        <v>16.452384385621588</v>
      </c>
      <c r="AD90" s="191">
        <v>15.329921983922164</v>
      </c>
      <c r="AE90" s="199" t="s">
        <v>207</v>
      </c>
    </row>
    <row r="91" spans="2:31" hidden="1">
      <c r="B91" s="367">
        <v>39052</v>
      </c>
      <c r="C91" s="192"/>
      <c r="F91" s="198"/>
      <c r="G91" s="198"/>
      <c r="H91" s="198"/>
      <c r="I91" s="198"/>
      <c r="J91" s="198"/>
      <c r="K91" s="198"/>
      <c r="L91" s="191"/>
      <c r="M91" s="202"/>
      <c r="X91" s="185"/>
      <c r="Y91" s="192"/>
      <c r="Z91" s="198"/>
      <c r="AA91" s="198"/>
      <c r="AB91" s="198"/>
      <c r="AC91" s="198"/>
      <c r="AD91" s="191"/>
      <c r="AE91" s="374">
        <v>39052</v>
      </c>
    </row>
    <row r="92" spans="2:31" ht="11.1" hidden="1" customHeight="1">
      <c r="B92" s="366" t="s">
        <v>184</v>
      </c>
      <c r="C92" s="197">
        <v>10.468600119025336</v>
      </c>
      <c r="D92" s="198">
        <v>8.2164658464514613</v>
      </c>
      <c r="E92" s="198">
        <v>12.075913805543339</v>
      </c>
      <c r="F92" s="198">
        <v>7.592864649916514</v>
      </c>
      <c r="G92" s="198">
        <v>6.3943886331993331</v>
      </c>
      <c r="H92" s="198">
        <v>7.4899729743343624</v>
      </c>
      <c r="I92" s="198">
        <v>8.8944883652370024</v>
      </c>
      <c r="J92" s="198">
        <v>10.529251033566469</v>
      </c>
      <c r="K92" s="198">
        <v>12.337970877129282</v>
      </c>
      <c r="L92" s="191">
        <v>10.927457098283933</v>
      </c>
      <c r="M92" s="197">
        <v>16.317944940218538</v>
      </c>
      <c r="N92" s="198">
        <v>14.747894136255614</v>
      </c>
      <c r="O92" s="198">
        <v>19.584366387824222</v>
      </c>
      <c r="P92" s="198">
        <v>15.656868498783329</v>
      </c>
      <c r="Q92" s="198">
        <v>16.944728189004891</v>
      </c>
      <c r="R92" s="198">
        <v>19.163910950376088</v>
      </c>
      <c r="S92" s="198">
        <v>14.113246242757905</v>
      </c>
      <c r="T92" s="198">
        <v>17.840910806432131</v>
      </c>
      <c r="U92" s="198">
        <v>17.94289753609927</v>
      </c>
      <c r="V92" s="198">
        <v>8.9182998160593527</v>
      </c>
      <c r="W92" s="198">
        <v>7.2278120689016454</v>
      </c>
      <c r="X92" s="191">
        <v>8.3672265501868779</v>
      </c>
      <c r="Y92" s="197">
        <v>17.235705201494103</v>
      </c>
      <c r="Z92" s="198">
        <v>17.103684210526314</v>
      </c>
      <c r="AA92" s="198">
        <v>14</v>
      </c>
      <c r="AB92" s="198">
        <v>15.825190562613431</v>
      </c>
      <c r="AC92" s="198">
        <v>18.18128686617241</v>
      </c>
      <c r="AD92" s="191">
        <v>18.919746568109819</v>
      </c>
      <c r="AE92" s="199" t="s">
        <v>350</v>
      </c>
    </row>
    <row r="93" spans="2:31" hidden="1">
      <c r="B93" s="366" t="s">
        <v>351</v>
      </c>
      <c r="C93" s="197">
        <v>11.340902771924531</v>
      </c>
      <c r="D93" s="198">
        <v>6.7421735630714519</v>
      </c>
      <c r="E93" s="198">
        <v>11.695936618144469</v>
      </c>
      <c r="F93" s="198">
        <v>6.1986568535494229</v>
      </c>
      <c r="G93" s="198">
        <v>7.6872396548908721</v>
      </c>
      <c r="H93" s="198">
        <v>8.3546887689630651</v>
      </c>
      <c r="I93" s="198">
        <v>10.11770399901663</v>
      </c>
      <c r="J93" s="198">
        <v>11.215799630494022</v>
      </c>
      <c r="K93" s="198">
        <v>11.900517194848453</v>
      </c>
      <c r="L93" s="191">
        <v>14.833311549055772</v>
      </c>
      <c r="M93" s="197">
        <v>16.984793797877586</v>
      </c>
      <c r="N93" s="198">
        <v>14.872920886460719</v>
      </c>
      <c r="O93" s="198">
        <v>21.401173283283384</v>
      </c>
      <c r="P93" s="198">
        <v>17.43889349710253</v>
      </c>
      <c r="Q93" s="198">
        <v>15.350995369755369</v>
      </c>
      <c r="R93" s="198">
        <v>17.72750959395281</v>
      </c>
      <c r="S93" s="198">
        <v>16.512505317822438</v>
      </c>
      <c r="T93" s="198">
        <v>18.974321355985172</v>
      </c>
      <c r="U93" s="198">
        <v>16.173388759178334</v>
      </c>
      <c r="V93" s="198">
        <v>17.040236036141092</v>
      </c>
      <c r="W93" s="198">
        <v>16.709960849370592</v>
      </c>
      <c r="X93" s="191">
        <v>18.309851088201604</v>
      </c>
      <c r="Y93" s="197">
        <v>14.858854453310999</v>
      </c>
      <c r="Z93" s="198">
        <v>8.7287459534453511</v>
      </c>
      <c r="AA93" s="198">
        <v>11.777505866577272</v>
      </c>
      <c r="AB93" s="198">
        <v>16.034476485035931</v>
      </c>
      <c r="AC93" s="198">
        <v>16.55273230375942</v>
      </c>
      <c r="AD93" s="191">
        <v>16.609012324382341</v>
      </c>
      <c r="AE93" s="199" t="s">
        <v>207</v>
      </c>
    </row>
    <row r="94" spans="2:31" hidden="1">
      <c r="B94" s="367">
        <v>39083</v>
      </c>
      <c r="C94" s="197"/>
      <c r="D94" s="198"/>
      <c r="E94" s="198"/>
      <c r="F94" s="198"/>
      <c r="G94" s="198"/>
      <c r="H94" s="198"/>
      <c r="I94" s="198"/>
      <c r="J94" s="198"/>
      <c r="K94" s="198"/>
      <c r="L94" s="191"/>
      <c r="M94" s="197"/>
      <c r="N94" s="198"/>
      <c r="O94" s="198"/>
      <c r="P94" s="198"/>
      <c r="Q94" s="198"/>
      <c r="R94" s="198"/>
      <c r="S94" s="198"/>
      <c r="T94" s="198"/>
      <c r="U94" s="198"/>
      <c r="V94" s="198"/>
      <c r="W94" s="198"/>
      <c r="X94" s="191"/>
      <c r="Y94" s="197"/>
      <c r="Z94" s="198"/>
      <c r="AA94" s="198"/>
      <c r="AB94" s="198"/>
      <c r="AC94" s="198"/>
      <c r="AD94" s="191"/>
      <c r="AE94" s="374">
        <v>39083</v>
      </c>
    </row>
    <row r="95" spans="2:31" hidden="1">
      <c r="B95" s="366" t="s">
        <v>184</v>
      </c>
      <c r="C95" s="197">
        <v>10.39</v>
      </c>
      <c r="D95" s="198">
        <v>8.4</v>
      </c>
      <c r="E95" s="198">
        <v>11.76</v>
      </c>
      <c r="F95" s="198">
        <v>8.9143137723279455</v>
      </c>
      <c r="G95" s="198">
        <v>7.89672176453234</v>
      </c>
      <c r="H95" s="198">
        <v>7.6387368133255364</v>
      </c>
      <c r="I95" s="198">
        <v>8.6002296504613973</v>
      </c>
      <c r="J95" s="198">
        <v>10.532505552590097</v>
      </c>
      <c r="K95" s="198">
        <v>12.163546499437119</v>
      </c>
      <c r="L95" s="191">
        <v>11.410714285714286</v>
      </c>
      <c r="M95" s="197">
        <v>16.498405055180786</v>
      </c>
      <c r="N95" s="198">
        <v>14.890413977526155</v>
      </c>
      <c r="O95" s="198">
        <v>20.103582681719313</v>
      </c>
      <c r="P95" s="198">
        <v>15.567957437877737</v>
      </c>
      <c r="Q95" s="198">
        <v>17.138169435766788</v>
      </c>
      <c r="R95" s="198">
        <v>18.908094367663182</v>
      </c>
      <c r="S95" s="198">
        <v>13.450462430847226</v>
      </c>
      <c r="T95" s="198">
        <v>18.309344413161309</v>
      </c>
      <c r="U95" s="198">
        <v>17.617437089869025</v>
      </c>
      <c r="V95" s="198">
        <v>9.6073166164199328</v>
      </c>
      <c r="W95" s="198">
        <v>7.2361382083307646</v>
      </c>
      <c r="X95" s="191">
        <v>7.7058774834437083</v>
      </c>
      <c r="Y95" s="197">
        <v>17.226960926964257</v>
      </c>
      <c r="Z95" s="198">
        <v>19.140789473684212</v>
      </c>
      <c r="AA95" s="198">
        <v>14.260869565217391</v>
      </c>
      <c r="AB95" s="198">
        <v>15.804959621502567</v>
      </c>
      <c r="AC95" s="198">
        <v>18.410233219200205</v>
      </c>
      <c r="AD95" s="191">
        <v>18.529280535415506</v>
      </c>
      <c r="AE95" s="199" t="s">
        <v>350</v>
      </c>
    </row>
    <row r="96" spans="2:31" hidden="1">
      <c r="B96" s="366" t="s">
        <v>351</v>
      </c>
      <c r="C96" s="197">
        <v>11.58</v>
      </c>
      <c r="D96" s="198">
        <v>8.5</v>
      </c>
      <c r="E96" s="198">
        <v>11.75</v>
      </c>
      <c r="F96" s="198">
        <v>11.025785026210038</v>
      </c>
      <c r="G96" s="198">
        <v>7.4138953359681521</v>
      </c>
      <c r="H96" s="198">
        <v>8.595540301394605</v>
      </c>
      <c r="I96" s="198">
        <v>7.9577504522501661</v>
      </c>
      <c r="J96" s="198">
        <v>11.583816390671231</v>
      </c>
      <c r="K96" s="198">
        <v>11.871718978327999</v>
      </c>
      <c r="L96" s="191">
        <v>14.902051219313268</v>
      </c>
      <c r="M96" s="197">
        <v>17.172992965899521</v>
      </c>
      <c r="N96" s="198">
        <v>14.807701386018321</v>
      </c>
      <c r="O96" s="198">
        <v>21.818686142101775</v>
      </c>
      <c r="P96" s="198">
        <v>16.980587235919582</v>
      </c>
      <c r="Q96" s="198">
        <v>15.239697205177942</v>
      </c>
      <c r="R96" s="198">
        <v>18.190893513491339</v>
      </c>
      <c r="S96" s="198">
        <v>15.883458725049309</v>
      </c>
      <c r="T96" s="198">
        <v>19.481609377067475</v>
      </c>
      <c r="U96" s="198">
        <v>16.443519429993081</v>
      </c>
      <c r="V96" s="198">
        <v>17.401057694423237</v>
      </c>
      <c r="W96" s="198">
        <v>16.74545047993881</v>
      </c>
      <c r="X96" s="191">
        <v>17.321462488129157</v>
      </c>
      <c r="Y96" s="197">
        <v>13.56</v>
      </c>
      <c r="Z96" s="198">
        <v>9.889504419191919</v>
      </c>
      <c r="AA96" s="198">
        <v>15.277525108963426</v>
      </c>
      <c r="AB96" s="198">
        <v>12.585533802681068</v>
      </c>
      <c r="AC96" s="198">
        <v>16.874947961215021</v>
      </c>
      <c r="AD96" s="191">
        <v>13.142741812006737</v>
      </c>
      <c r="AE96" s="199" t="s">
        <v>207</v>
      </c>
    </row>
    <row r="97" spans="2:31" hidden="1">
      <c r="B97" s="367">
        <v>39114</v>
      </c>
      <c r="C97" s="197"/>
      <c r="D97" s="198"/>
      <c r="E97" s="198"/>
      <c r="F97" s="198"/>
      <c r="G97" s="198"/>
      <c r="H97" s="198"/>
      <c r="I97" s="198"/>
      <c r="J97" s="198"/>
      <c r="K97" s="198"/>
      <c r="L97" s="191"/>
      <c r="M97" s="197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1"/>
      <c r="Y97" s="197"/>
      <c r="Z97" s="198"/>
      <c r="AA97" s="198"/>
      <c r="AB97" s="198"/>
      <c r="AC97" s="198"/>
      <c r="AD97" s="191"/>
      <c r="AE97" s="374">
        <v>39114</v>
      </c>
    </row>
    <row r="98" spans="2:31" hidden="1">
      <c r="B98" s="366" t="s">
        <v>184</v>
      </c>
      <c r="C98" s="197">
        <v>10.41</v>
      </c>
      <c r="D98" s="198">
        <v>8.5299999999999994</v>
      </c>
      <c r="E98" s="198">
        <v>11.81</v>
      </c>
      <c r="F98" s="198">
        <v>8.2167946574183031</v>
      </c>
      <c r="G98" s="198">
        <v>7.8615985507591839</v>
      </c>
      <c r="H98" s="198">
        <v>7.634243392765006</v>
      </c>
      <c r="I98" s="198">
        <v>8.8792047288025699</v>
      </c>
      <c r="J98" s="198">
        <v>10.770585497173986</v>
      </c>
      <c r="K98" s="198">
        <v>11.950218275684048</v>
      </c>
      <c r="L98" s="191">
        <v>10.7</v>
      </c>
      <c r="M98" s="197">
        <v>16.231999999999999</v>
      </c>
      <c r="N98" s="198">
        <v>14.91</v>
      </c>
      <c r="O98" s="198">
        <v>19.03</v>
      </c>
      <c r="P98" s="198">
        <v>14.947563967237322</v>
      </c>
      <c r="Q98" s="198">
        <v>16.894895114341534</v>
      </c>
      <c r="R98" s="198">
        <v>18.442730493155452</v>
      </c>
      <c r="S98" s="198">
        <v>14.395215530637214</v>
      </c>
      <c r="T98" s="198">
        <v>17.77468693082858</v>
      </c>
      <c r="U98" s="198">
        <v>17.322820327114798</v>
      </c>
      <c r="V98" s="198">
        <v>9.5234454360004399</v>
      </c>
      <c r="W98" s="198">
        <v>7.2605596274974005</v>
      </c>
      <c r="X98" s="191">
        <v>7.5709206994123202</v>
      </c>
      <c r="Y98" s="197">
        <v>16.89</v>
      </c>
      <c r="Z98" s="198">
        <v>16.559999999999999</v>
      </c>
      <c r="AA98" s="198">
        <v>14.260869565217391</v>
      </c>
      <c r="AB98" s="198">
        <v>15.73</v>
      </c>
      <c r="AC98" s="198">
        <v>18.410233219200205</v>
      </c>
      <c r="AD98" s="191">
        <v>18.95</v>
      </c>
      <c r="AE98" s="199" t="s">
        <v>350</v>
      </c>
    </row>
    <row r="99" spans="2:31" hidden="1">
      <c r="B99" s="366" t="s">
        <v>351</v>
      </c>
      <c r="C99" s="197">
        <v>11.51</v>
      </c>
      <c r="D99" s="198">
        <v>7.66</v>
      </c>
      <c r="E99" s="198">
        <v>11.75</v>
      </c>
      <c r="F99" s="198">
        <v>11.641820828258068</v>
      </c>
      <c r="G99" s="198">
        <v>7.4660936047471038</v>
      </c>
      <c r="H99" s="198">
        <v>8.5425079425195261</v>
      </c>
      <c r="I99" s="198">
        <v>7.9285576997591196</v>
      </c>
      <c r="J99" s="198">
        <v>11.371510871270896</v>
      </c>
      <c r="K99" s="198">
        <v>11.883503829963688</v>
      </c>
      <c r="L99" s="191">
        <v>14.902051219313268</v>
      </c>
      <c r="M99" s="197">
        <v>16.63</v>
      </c>
      <c r="N99" s="198">
        <v>14.56</v>
      </c>
      <c r="O99" s="198">
        <v>21.07</v>
      </c>
      <c r="P99" s="198">
        <v>16.13759302747928</v>
      </c>
      <c r="Q99" s="198">
        <v>15.738282601473667</v>
      </c>
      <c r="R99" s="198">
        <v>17.517978229477947</v>
      </c>
      <c r="S99" s="198">
        <v>15.588892434792248</v>
      </c>
      <c r="T99" s="198">
        <v>17.861750031687794</v>
      </c>
      <c r="U99" s="198">
        <v>16.16095336536895</v>
      </c>
      <c r="V99" s="198">
        <v>17.008938930619486</v>
      </c>
      <c r="W99" s="198">
        <v>16.76438167406538</v>
      </c>
      <c r="X99" s="191">
        <v>17.268595041322314</v>
      </c>
      <c r="Y99" s="197">
        <v>14.07</v>
      </c>
      <c r="Z99" s="198">
        <v>7.63</v>
      </c>
      <c r="AA99" s="198">
        <v>16.27</v>
      </c>
      <c r="AB99" s="198">
        <v>11.08</v>
      </c>
      <c r="AC99" s="198">
        <v>16.11</v>
      </c>
      <c r="AD99" s="191">
        <v>16.510000000000002</v>
      </c>
      <c r="AE99" s="199" t="s">
        <v>207</v>
      </c>
    </row>
    <row r="100" spans="2:31" hidden="1">
      <c r="B100" s="367">
        <v>39142</v>
      </c>
      <c r="C100" s="197"/>
      <c r="D100" s="198"/>
      <c r="E100" s="198"/>
      <c r="F100" s="198"/>
      <c r="G100" s="198"/>
      <c r="H100" s="198"/>
      <c r="I100" s="198"/>
      <c r="J100" s="198"/>
      <c r="K100" s="198"/>
      <c r="L100" s="191"/>
      <c r="M100" s="197"/>
      <c r="N100" s="198"/>
      <c r="O100" s="198"/>
      <c r="P100" s="198"/>
      <c r="Q100" s="198"/>
      <c r="R100" s="198"/>
      <c r="S100" s="198"/>
      <c r="T100" s="198"/>
      <c r="U100" s="198"/>
      <c r="V100" s="198"/>
      <c r="W100" s="198"/>
      <c r="X100" s="191"/>
      <c r="Y100" s="197"/>
      <c r="Z100" s="198"/>
      <c r="AA100" s="198"/>
      <c r="AB100" s="198"/>
      <c r="AC100" s="198"/>
      <c r="AD100" s="191"/>
      <c r="AE100" s="374">
        <v>39142</v>
      </c>
    </row>
    <row r="101" spans="2:31" hidden="1">
      <c r="B101" s="366" t="s">
        <v>184</v>
      </c>
      <c r="C101" s="197">
        <v>10.45</v>
      </c>
      <c r="D101" s="198">
        <v>8.61</v>
      </c>
      <c r="E101" s="198">
        <v>11.56</v>
      </c>
      <c r="F101" s="198">
        <v>7.5984972069385535</v>
      </c>
      <c r="G101" s="198">
        <v>7.8565376391618349</v>
      </c>
      <c r="H101" s="198">
        <v>7.7697583351641279</v>
      </c>
      <c r="I101" s="198">
        <v>8.7980237995067707</v>
      </c>
      <c r="J101" s="198">
        <v>10.78382770363053</v>
      </c>
      <c r="K101" s="198">
        <v>12.341355004779921</v>
      </c>
      <c r="L101" s="191">
        <v>10.7</v>
      </c>
      <c r="M101" s="197">
        <v>16.32</v>
      </c>
      <c r="N101" s="198">
        <v>14.96</v>
      </c>
      <c r="O101" s="198">
        <v>19.41</v>
      </c>
      <c r="P101" s="198">
        <v>14.47993542325926</v>
      </c>
      <c r="Q101" s="198">
        <v>16.050089848315807</v>
      </c>
      <c r="R101" s="198">
        <v>18.586534364367171</v>
      </c>
      <c r="S101" s="198">
        <v>14.938374454149628</v>
      </c>
      <c r="T101" s="198">
        <v>18.579650724460894</v>
      </c>
      <c r="U101" s="198">
        <v>17.125955662919655</v>
      </c>
      <c r="V101" s="198">
        <v>9.1877589725265842</v>
      </c>
      <c r="W101" s="198">
        <v>7.2406476951495726</v>
      </c>
      <c r="X101" s="191">
        <v>6.3298268374893327</v>
      </c>
      <c r="Y101" s="197">
        <v>17.398744831890159</v>
      </c>
      <c r="Z101" s="198">
        <v>17.2</v>
      </c>
      <c r="AA101" s="198">
        <v>16.752950926226841</v>
      </c>
      <c r="AB101" s="198">
        <v>15</v>
      </c>
      <c r="AC101" s="198">
        <v>18.410233219200205</v>
      </c>
      <c r="AD101" s="191">
        <v>18.96</v>
      </c>
      <c r="AE101" s="199" t="s">
        <v>350</v>
      </c>
    </row>
    <row r="102" spans="2:31" hidden="1">
      <c r="B102" s="366" t="s">
        <v>351</v>
      </c>
      <c r="C102" s="197">
        <v>11.69</v>
      </c>
      <c r="D102" s="198">
        <v>8.7799999999999994</v>
      </c>
      <c r="E102" s="198">
        <v>11.84</v>
      </c>
      <c r="F102" s="198">
        <v>10.753812419244509</v>
      </c>
      <c r="G102" s="198">
        <v>7.3371263080353986</v>
      </c>
      <c r="H102" s="198">
        <v>8.6552018270799351</v>
      </c>
      <c r="I102" s="198">
        <v>8.1295334977651468</v>
      </c>
      <c r="J102" s="198">
        <v>11.784163928088152</v>
      </c>
      <c r="K102" s="198">
        <v>11.880735648142839</v>
      </c>
      <c r="L102" s="191">
        <v>14.91</v>
      </c>
      <c r="M102" s="197">
        <v>16.84</v>
      </c>
      <c r="N102" s="198">
        <v>14.63</v>
      </c>
      <c r="O102" s="198">
        <v>21.66</v>
      </c>
      <c r="P102" s="198">
        <v>16.31780309308218</v>
      </c>
      <c r="Q102" s="198">
        <v>15.960063151731521</v>
      </c>
      <c r="R102" s="198">
        <v>17.46337330516582</v>
      </c>
      <c r="S102" s="198">
        <v>15.955189448848259</v>
      </c>
      <c r="T102" s="198">
        <v>18.479915384270122</v>
      </c>
      <c r="U102" s="198">
        <v>16.181399041165164</v>
      </c>
      <c r="V102" s="198">
        <v>17.181429715241933</v>
      </c>
      <c r="W102" s="198">
        <v>16.279590918522686</v>
      </c>
      <c r="X102" s="191">
        <v>17.140799999999999</v>
      </c>
      <c r="Y102" s="197">
        <v>14.008646912128242</v>
      </c>
      <c r="Z102" s="198">
        <v>10.88</v>
      </c>
      <c r="AA102" s="198">
        <v>17.04</v>
      </c>
      <c r="AB102" s="198">
        <v>10.45</v>
      </c>
      <c r="AC102" s="198">
        <v>16.02</v>
      </c>
      <c r="AD102" s="191">
        <v>13.51</v>
      </c>
      <c r="AE102" s="199" t="s">
        <v>207</v>
      </c>
    </row>
    <row r="103" spans="2:31" hidden="1">
      <c r="B103" s="367">
        <v>39173</v>
      </c>
      <c r="C103" s="197"/>
      <c r="D103" s="198"/>
      <c r="E103" s="198"/>
      <c r="F103" s="198"/>
      <c r="G103" s="198"/>
      <c r="H103" s="198"/>
      <c r="I103" s="198"/>
      <c r="J103" s="198"/>
      <c r="K103" s="198"/>
      <c r="L103" s="191"/>
      <c r="M103" s="197"/>
      <c r="N103" s="198"/>
      <c r="O103" s="198"/>
      <c r="P103" s="198"/>
      <c r="Q103" s="198"/>
      <c r="R103" s="198"/>
      <c r="S103" s="198"/>
      <c r="T103" s="198"/>
      <c r="U103" s="198"/>
      <c r="V103" s="198"/>
      <c r="W103" s="198"/>
      <c r="X103" s="191"/>
      <c r="Y103" s="197"/>
      <c r="Z103" s="198"/>
      <c r="AA103" s="198"/>
      <c r="AB103" s="198"/>
      <c r="AC103" s="198"/>
      <c r="AD103" s="191"/>
      <c r="AE103" s="374">
        <v>39173</v>
      </c>
    </row>
    <row r="104" spans="2:31" hidden="1">
      <c r="B104" s="366" t="s">
        <v>184</v>
      </c>
      <c r="C104" s="197">
        <v>10.59</v>
      </c>
      <c r="D104" s="198">
        <v>8.94</v>
      </c>
      <c r="E104" s="198">
        <v>11.66</v>
      </c>
      <c r="F104" s="198">
        <v>7.8287345094467256</v>
      </c>
      <c r="G104" s="198">
        <v>8.4584769596536002</v>
      </c>
      <c r="H104" s="198">
        <v>8.7551002389635713</v>
      </c>
      <c r="I104" s="198">
        <v>8.8526721355381408</v>
      </c>
      <c r="J104" s="198">
        <v>10.80974967598533</v>
      </c>
      <c r="K104" s="198">
        <v>12.818537923739255</v>
      </c>
      <c r="L104" s="191">
        <v>10.96039603960396</v>
      </c>
      <c r="M104" s="197">
        <v>15.279164069508514</v>
      </c>
      <c r="N104" s="198">
        <v>13.55</v>
      </c>
      <c r="O104" s="198">
        <v>19.11</v>
      </c>
      <c r="P104" s="198">
        <v>14.100952871443109</v>
      </c>
      <c r="Q104" s="198">
        <v>5.7485670103469353</v>
      </c>
      <c r="R104" s="198">
        <v>18.263468422824111</v>
      </c>
      <c r="S104" s="198">
        <v>16.500429290467959</v>
      </c>
      <c r="T104" s="198">
        <v>18.853696421315149</v>
      </c>
      <c r="U104" s="198">
        <v>17.006648924590483</v>
      </c>
      <c r="V104" s="198">
        <v>8.7841631149790107</v>
      </c>
      <c r="W104" s="198">
        <v>7.2577645263687467</v>
      </c>
      <c r="X104" s="191">
        <v>6.0422006218935929</v>
      </c>
      <c r="Y104" s="197">
        <v>18.037256555388705</v>
      </c>
      <c r="Z104" s="198">
        <v>18.68</v>
      </c>
      <c r="AA104" s="198">
        <v>16.551392665842606</v>
      </c>
      <c r="AB104" s="198">
        <v>15.25</v>
      </c>
      <c r="AC104" s="198">
        <v>18.410233219200205</v>
      </c>
      <c r="AD104" s="191">
        <v>19</v>
      </c>
      <c r="AE104" s="199" t="s">
        <v>350</v>
      </c>
    </row>
    <row r="105" spans="2:31" hidden="1">
      <c r="B105" s="366" t="s">
        <v>351</v>
      </c>
      <c r="C105" s="197">
        <v>12.2</v>
      </c>
      <c r="D105" s="198">
        <v>7.22</v>
      </c>
      <c r="E105" s="198">
        <v>12.46</v>
      </c>
      <c r="F105" s="198">
        <v>13.870724262918564</v>
      </c>
      <c r="G105" s="198">
        <v>7.0420980204181154</v>
      </c>
      <c r="H105" s="198">
        <v>8.5753895940848874</v>
      </c>
      <c r="I105" s="198">
        <v>8.9652083489484209</v>
      </c>
      <c r="J105" s="198">
        <v>11.454412411344986</v>
      </c>
      <c r="K105" s="198">
        <v>12.835454227652253</v>
      </c>
      <c r="L105" s="191">
        <v>14.900707126381535</v>
      </c>
      <c r="M105" s="197">
        <v>16.36</v>
      </c>
      <c r="N105" s="198">
        <v>14.04</v>
      </c>
      <c r="O105" s="198">
        <v>21.84</v>
      </c>
      <c r="P105" s="198">
        <v>16.393949539511148</v>
      </c>
      <c r="Q105" s="198">
        <v>15.133670492861661</v>
      </c>
      <c r="R105" s="198">
        <v>17.271937363932444</v>
      </c>
      <c r="S105" s="198">
        <v>15.618680731647848</v>
      </c>
      <c r="T105" s="198">
        <v>19.561208516001891</v>
      </c>
      <c r="U105" s="198">
        <v>15.371241097003972</v>
      </c>
      <c r="V105" s="198">
        <v>17.224975426576865</v>
      </c>
      <c r="W105" s="198">
        <v>16.243933244049725</v>
      </c>
      <c r="X105" s="191">
        <v>17</v>
      </c>
      <c r="Y105" s="197">
        <v>13.46</v>
      </c>
      <c r="Z105" s="198">
        <v>11.75</v>
      </c>
      <c r="AA105" s="198">
        <v>11.2</v>
      </c>
      <c r="AB105" s="198">
        <v>11.32</v>
      </c>
      <c r="AC105" s="198">
        <v>16.02</v>
      </c>
      <c r="AD105" s="191">
        <v>13.54</v>
      </c>
      <c r="AE105" s="199" t="s">
        <v>207</v>
      </c>
    </row>
    <row r="106" spans="2:31" hidden="1">
      <c r="B106" s="367">
        <v>39203</v>
      </c>
      <c r="C106" s="197"/>
      <c r="D106" s="198"/>
      <c r="E106" s="198"/>
      <c r="F106" s="198"/>
      <c r="G106" s="198"/>
      <c r="H106" s="198"/>
      <c r="I106" s="198"/>
      <c r="J106" s="198"/>
      <c r="K106" s="198"/>
      <c r="L106" s="191"/>
      <c r="M106" s="197"/>
      <c r="N106" s="198"/>
      <c r="O106" s="198"/>
      <c r="P106" s="198"/>
      <c r="Q106" s="198"/>
      <c r="R106" s="198"/>
      <c r="S106" s="198"/>
      <c r="T106" s="198"/>
      <c r="U106" s="198"/>
      <c r="V106" s="198"/>
      <c r="W106" s="198"/>
      <c r="X106" s="191"/>
      <c r="Y106" s="197"/>
      <c r="Z106" s="198"/>
      <c r="AA106" s="198"/>
      <c r="AB106" s="198"/>
      <c r="AC106" s="198"/>
      <c r="AD106" s="191"/>
      <c r="AE106" s="374">
        <v>39203</v>
      </c>
    </row>
    <row r="107" spans="2:31" hidden="1">
      <c r="B107" s="366" t="s">
        <v>184</v>
      </c>
      <c r="C107" s="197">
        <v>10.92</v>
      </c>
      <c r="D107" s="198">
        <v>9.48</v>
      </c>
      <c r="E107" s="198">
        <v>11.9</v>
      </c>
      <c r="F107" s="198">
        <v>7.5311148336001956</v>
      </c>
      <c r="G107" s="198">
        <v>8.1138966067771712</v>
      </c>
      <c r="H107" s="198">
        <v>9.5965435437098634</v>
      </c>
      <c r="I107" s="198">
        <v>9.0047561028704006</v>
      </c>
      <c r="J107" s="198">
        <v>11.169279311625242</v>
      </c>
      <c r="K107" s="198">
        <v>12.76243578415118</v>
      </c>
      <c r="L107" s="191">
        <v>10.836206896551724</v>
      </c>
      <c r="M107" s="197">
        <v>15.46</v>
      </c>
      <c r="N107" s="198">
        <v>13.93</v>
      </c>
      <c r="O107" s="198">
        <v>18.8</v>
      </c>
      <c r="P107" s="198">
        <v>14.43242738235616</v>
      </c>
      <c r="Q107" s="198">
        <v>5.7375511517970361</v>
      </c>
      <c r="R107" s="198">
        <v>18.489895722197534</v>
      </c>
      <c r="S107" s="198">
        <v>16.670629572386698</v>
      </c>
      <c r="T107" s="198">
        <v>19.28855004975733</v>
      </c>
      <c r="U107" s="198">
        <v>17.130788516199264</v>
      </c>
      <c r="V107" s="198">
        <v>9.6250494017274146</v>
      </c>
      <c r="W107" s="198">
        <v>7.266384793530194</v>
      </c>
      <c r="X107" s="191">
        <v>5.9585169107666811</v>
      </c>
      <c r="Y107" s="197">
        <v>17.294305363803971</v>
      </c>
      <c r="Z107" s="198">
        <v>19.13</v>
      </c>
      <c r="AA107" s="198">
        <v>16.37</v>
      </c>
      <c r="AB107" s="198">
        <v>17.63</v>
      </c>
      <c r="AC107" s="198">
        <v>18.410233219200205</v>
      </c>
      <c r="AD107" s="191">
        <v>19.02</v>
      </c>
      <c r="AE107" s="199" t="s">
        <v>350</v>
      </c>
    </row>
    <row r="108" spans="2:31" hidden="1">
      <c r="B108" s="366" t="s">
        <v>351</v>
      </c>
      <c r="C108" s="197">
        <v>12.37</v>
      </c>
      <c r="D108" s="198">
        <v>8.84</v>
      </c>
      <c r="E108" s="198">
        <v>12.51</v>
      </c>
      <c r="F108" s="198">
        <v>14.145283039100171</v>
      </c>
      <c r="G108" s="198">
        <v>7.0919966496329279</v>
      </c>
      <c r="H108" s="198">
        <v>8.577298304574267</v>
      </c>
      <c r="I108" s="198">
        <v>9.2376253999853795</v>
      </c>
      <c r="J108" s="198">
        <v>11.717927360812412</v>
      </c>
      <c r="K108" s="198">
        <v>12.91470547902761</v>
      </c>
      <c r="L108" s="191">
        <v>14.89724850649622</v>
      </c>
      <c r="M108" s="197">
        <v>16.37</v>
      </c>
      <c r="N108" s="198">
        <v>14.04</v>
      </c>
      <c r="O108" s="198">
        <v>22.02</v>
      </c>
      <c r="P108" s="198">
        <v>17.345026754570124</v>
      </c>
      <c r="Q108" s="198">
        <v>15.596603696549096</v>
      </c>
      <c r="R108" s="198">
        <v>16.976268555062823</v>
      </c>
      <c r="S108" s="198">
        <v>15.610051057732925</v>
      </c>
      <c r="T108" s="198">
        <v>19.716409238440566</v>
      </c>
      <c r="U108" s="198">
        <v>15.341503116014053</v>
      </c>
      <c r="V108" s="198">
        <v>17.471990474315916</v>
      </c>
      <c r="W108" s="198">
        <v>15.815018694069135</v>
      </c>
      <c r="X108" s="191">
        <v>16.96153846153846</v>
      </c>
      <c r="Y108" s="197">
        <v>13.46</v>
      </c>
      <c r="Z108" s="198">
        <v>7.66</v>
      </c>
      <c r="AA108" s="198">
        <v>10.039999999999999</v>
      </c>
      <c r="AB108" s="198">
        <v>15</v>
      </c>
      <c r="AC108" s="198">
        <v>15.01</v>
      </c>
      <c r="AD108" s="191">
        <v>13.79</v>
      </c>
      <c r="AE108" s="199" t="s">
        <v>207</v>
      </c>
    </row>
    <row r="109" spans="2:31" hidden="1">
      <c r="B109" s="367">
        <v>39234</v>
      </c>
      <c r="C109" s="197"/>
      <c r="D109" s="198"/>
      <c r="E109" s="198"/>
      <c r="F109" s="198"/>
      <c r="G109" s="198"/>
      <c r="H109" s="198"/>
      <c r="I109" s="198"/>
      <c r="J109" s="198"/>
      <c r="K109" s="198"/>
      <c r="L109" s="191"/>
      <c r="M109" s="197"/>
      <c r="N109" s="198"/>
      <c r="O109" s="198"/>
      <c r="P109" s="198"/>
      <c r="Q109" s="198"/>
      <c r="R109" s="198"/>
      <c r="S109" s="198"/>
      <c r="T109" s="198"/>
      <c r="U109" s="198"/>
      <c r="V109" s="198"/>
      <c r="W109" s="198"/>
      <c r="X109" s="191"/>
      <c r="Y109" s="197"/>
      <c r="Z109" s="198"/>
      <c r="AA109" s="198"/>
      <c r="AB109" s="198"/>
      <c r="AC109" s="198"/>
      <c r="AD109" s="191"/>
      <c r="AE109" s="374">
        <v>39234</v>
      </c>
    </row>
    <row r="110" spans="2:31" hidden="1">
      <c r="B110" s="366" t="s">
        <v>184</v>
      </c>
      <c r="C110" s="197">
        <v>10.84592396368704</v>
      </c>
      <c r="D110" s="198">
        <v>9.6564868231054248</v>
      </c>
      <c r="E110" s="198">
        <v>11.799299005769463</v>
      </c>
      <c r="F110" s="198">
        <v>7.1788217159479757</v>
      </c>
      <c r="G110" s="198">
        <v>7.8881981876188707</v>
      </c>
      <c r="H110" s="198">
        <v>9.5323657426686275</v>
      </c>
      <c r="I110" s="198">
        <v>9.0040466655266389</v>
      </c>
      <c r="J110" s="198">
        <v>11.341725423562409</v>
      </c>
      <c r="K110" s="198">
        <v>13.007318059014969</v>
      </c>
      <c r="L110" s="191">
        <v>10.664335664335663</v>
      </c>
      <c r="M110" s="197">
        <v>15.460662861873637</v>
      </c>
      <c r="N110" s="198">
        <v>13.95282793777667</v>
      </c>
      <c r="O110" s="198">
        <v>18.520654600130104</v>
      </c>
      <c r="P110" s="198">
        <v>13.857401474557282</v>
      </c>
      <c r="Q110" s="198">
        <v>5.9640551084711646</v>
      </c>
      <c r="R110" s="198">
        <v>18.652676486256304</v>
      </c>
      <c r="S110" s="198">
        <v>17.427530284413233</v>
      </c>
      <c r="T110" s="198">
        <v>18.897035501307478</v>
      </c>
      <c r="U110" s="198">
        <v>17.489999257668767</v>
      </c>
      <c r="V110" s="198">
        <v>10.354383022189483</v>
      </c>
      <c r="W110" s="198">
        <v>7.0171398339881819</v>
      </c>
      <c r="X110" s="191">
        <v>6.1183401909704838</v>
      </c>
      <c r="Y110" s="197">
        <v>16.994331816712712</v>
      </c>
      <c r="Z110" s="198">
        <v>15.655172413793103</v>
      </c>
      <c r="AA110" s="198">
        <v>16.646034482758619</v>
      </c>
      <c r="AB110" s="198">
        <v>17.274395604395604</v>
      </c>
      <c r="AC110" s="198">
        <v>17.269545019254672</v>
      </c>
      <c r="AD110" s="191">
        <v>17.789450709348856</v>
      </c>
      <c r="AE110" s="199" t="s">
        <v>350</v>
      </c>
    </row>
    <row r="111" spans="2:31" hidden="1">
      <c r="B111" s="366" t="s">
        <v>351</v>
      </c>
      <c r="C111" s="197">
        <v>12.59821815211086</v>
      </c>
      <c r="D111" s="198">
        <v>9.1359006420787967</v>
      </c>
      <c r="E111" s="198">
        <v>12.74592786887335</v>
      </c>
      <c r="F111" s="198">
        <v>14.522262710514749</v>
      </c>
      <c r="G111" s="198">
        <v>7.2212378105861257</v>
      </c>
      <c r="H111" s="198">
        <v>8.4946411311823162</v>
      </c>
      <c r="I111" s="198">
        <v>9.7816966675412385</v>
      </c>
      <c r="J111" s="198">
        <v>11.926381348380795</v>
      </c>
      <c r="K111" s="198">
        <v>13.201737182208808</v>
      </c>
      <c r="L111" s="191">
        <v>14.918440841450645</v>
      </c>
      <c r="M111" s="197">
        <v>16.25377445498679</v>
      </c>
      <c r="N111" s="198">
        <v>13.966892862542288</v>
      </c>
      <c r="O111" s="198">
        <v>21.923498459580696</v>
      </c>
      <c r="P111" s="198">
        <v>17.200473758923202</v>
      </c>
      <c r="Q111" s="198">
        <v>13.213858728776453</v>
      </c>
      <c r="R111" s="198">
        <v>16.39860969534616</v>
      </c>
      <c r="S111" s="198">
        <v>14.95554277586719</v>
      </c>
      <c r="T111" s="198">
        <v>19.938207063433595</v>
      </c>
      <c r="U111" s="198">
        <v>15.285696510484389</v>
      </c>
      <c r="V111" s="198">
        <v>18.217153307132659</v>
      </c>
      <c r="W111" s="198">
        <v>15.649148498998199</v>
      </c>
      <c r="X111" s="191">
        <v>16.846153846153843</v>
      </c>
      <c r="Y111" s="197">
        <v>12.99</v>
      </c>
      <c r="Z111" s="198">
        <v>7.2441978076050413</v>
      </c>
      <c r="AA111" s="198">
        <v>9.93</v>
      </c>
      <c r="AB111" s="198">
        <v>17.727487720574857</v>
      </c>
      <c r="AC111" s="198">
        <v>15.544982280927835</v>
      </c>
      <c r="AD111" s="191">
        <v>13.70318894084274</v>
      </c>
      <c r="AE111" s="199" t="s">
        <v>207</v>
      </c>
    </row>
    <row r="112" spans="2:31" hidden="1">
      <c r="B112" s="367">
        <v>39264</v>
      </c>
      <c r="C112" s="197"/>
      <c r="D112" s="198"/>
      <c r="E112" s="198"/>
      <c r="F112" s="198"/>
      <c r="G112" s="198"/>
      <c r="H112" s="198"/>
      <c r="I112" s="198"/>
      <c r="J112" s="198"/>
      <c r="K112" s="198"/>
      <c r="L112" s="191"/>
      <c r="M112" s="197"/>
      <c r="N112" s="198"/>
      <c r="O112" s="198"/>
      <c r="P112" s="198"/>
      <c r="Q112" s="198"/>
      <c r="R112" s="198"/>
      <c r="S112" s="198"/>
      <c r="T112" s="198"/>
      <c r="U112" s="198"/>
      <c r="V112" s="198"/>
      <c r="W112" s="198"/>
      <c r="X112" s="191"/>
      <c r="Y112" s="197"/>
      <c r="Z112" s="198"/>
      <c r="AA112" s="198"/>
      <c r="AB112" s="198"/>
      <c r="AC112" s="198"/>
      <c r="AD112" s="191"/>
      <c r="AE112" s="374">
        <v>39264</v>
      </c>
    </row>
    <row r="113" spans="2:31" hidden="1">
      <c r="B113" s="366" t="s">
        <v>184</v>
      </c>
      <c r="C113" s="197">
        <v>11.203611216884898</v>
      </c>
      <c r="D113" s="198">
        <v>10.120993689600802</v>
      </c>
      <c r="E113" s="198">
        <v>11.940224848650731</v>
      </c>
      <c r="F113" s="198">
        <v>8.0048865262452669</v>
      </c>
      <c r="G113" s="198">
        <v>7.7122093424890901</v>
      </c>
      <c r="H113" s="198">
        <v>9.3802050495834646</v>
      </c>
      <c r="I113" s="198">
        <v>8.8900268229074157</v>
      </c>
      <c r="J113" s="198">
        <v>11.787339557210728</v>
      </c>
      <c r="K113" s="198">
        <v>12.860715690868103</v>
      </c>
      <c r="L113" s="191">
        <v>11.11875</v>
      </c>
      <c r="M113" s="197">
        <v>15.632173699763165</v>
      </c>
      <c r="N113" s="198">
        <v>14.092365100433824</v>
      </c>
      <c r="O113" s="198">
        <v>18.670767712327983</v>
      </c>
      <c r="P113" s="198">
        <v>14.214136801920112</v>
      </c>
      <c r="Q113" s="198">
        <v>6.3219034862697407</v>
      </c>
      <c r="R113" s="198">
        <v>18.628917985253583</v>
      </c>
      <c r="S113" s="198">
        <v>17.279746875594689</v>
      </c>
      <c r="T113" s="198">
        <v>18.970583955191735</v>
      </c>
      <c r="U113" s="198">
        <v>17.739237743396526</v>
      </c>
      <c r="V113" s="198">
        <v>10.821069148113882</v>
      </c>
      <c r="W113" s="198">
        <v>7.2264061800835062</v>
      </c>
      <c r="X113" s="191">
        <v>6.1220336010236114</v>
      </c>
      <c r="Y113" s="197">
        <v>15.596468700413798</v>
      </c>
      <c r="Z113" s="198">
        <v>9.17</v>
      </c>
      <c r="AA113" s="198">
        <v>17.002367209761086</v>
      </c>
      <c r="AB113" s="198">
        <v>16.412702702702703</v>
      </c>
      <c r="AC113" s="198">
        <v>16.458406050029087</v>
      </c>
      <c r="AD113" s="191">
        <v>17.551941764360066</v>
      </c>
      <c r="AE113" s="199" t="s">
        <v>350</v>
      </c>
    </row>
    <row r="114" spans="2:31" hidden="1">
      <c r="B114" s="366" t="s">
        <v>351</v>
      </c>
      <c r="C114" s="197">
        <v>12.606299355439848</v>
      </c>
      <c r="D114" s="198">
        <v>9.2816876120291241</v>
      </c>
      <c r="E114" s="198">
        <v>12.751509159271365</v>
      </c>
      <c r="F114" s="198">
        <v>13.776926951437204</v>
      </c>
      <c r="G114" s="198">
        <v>7.1404281153139406</v>
      </c>
      <c r="H114" s="198">
        <v>8.6267371703598013</v>
      </c>
      <c r="I114" s="198">
        <v>10.128456956589128</v>
      </c>
      <c r="J114" s="198">
        <v>11.923972943713325</v>
      </c>
      <c r="K114" s="198">
        <v>13.344950519818131</v>
      </c>
      <c r="L114" s="191">
        <v>14.913244616450159</v>
      </c>
      <c r="M114" s="197">
        <v>16.428767417776815</v>
      </c>
      <c r="N114" s="198">
        <v>14.028285067020292</v>
      </c>
      <c r="O114" s="198">
        <v>21.940274592463748</v>
      </c>
      <c r="P114" s="198">
        <v>17.555429548004714</v>
      </c>
      <c r="Q114" s="198">
        <v>14.925398484115599</v>
      </c>
      <c r="R114" s="198">
        <v>16.53249358105997</v>
      </c>
      <c r="S114" s="198">
        <v>17.010811465319531</v>
      </c>
      <c r="T114" s="198">
        <v>20.211161834627731</v>
      </c>
      <c r="U114" s="198">
        <v>15.265785114433495</v>
      </c>
      <c r="V114" s="198">
        <v>17.863068863537517</v>
      </c>
      <c r="W114" s="198">
        <v>15.984687951325791</v>
      </c>
      <c r="X114" s="191">
        <v>18.62857142857143</v>
      </c>
      <c r="Y114" s="197">
        <v>13.226100045193014</v>
      </c>
      <c r="Z114" s="198">
        <v>11.072863565903429</v>
      </c>
      <c r="AA114" s="198">
        <v>11.85308209959623</v>
      </c>
      <c r="AB114" s="198">
        <v>17.726194819408974</v>
      </c>
      <c r="AC114" s="198">
        <v>14.944095189721642</v>
      </c>
      <c r="AD114" s="191">
        <v>13.744010457445142</v>
      </c>
      <c r="AE114" s="199" t="s">
        <v>207</v>
      </c>
    </row>
    <row r="115" spans="2:31" ht="11.1" hidden="1" customHeight="1">
      <c r="B115" s="367">
        <v>39295</v>
      </c>
      <c r="C115" s="197"/>
      <c r="D115" s="198"/>
      <c r="E115" s="198"/>
      <c r="F115" s="198"/>
      <c r="G115" s="198"/>
      <c r="H115" s="198"/>
      <c r="I115" s="198"/>
      <c r="J115" s="198"/>
      <c r="K115" s="198"/>
      <c r="L115" s="191"/>
      <c r="M115" s="197"/>
      <c r="N115" s="198"/>
      <c r="O115" s="198"/>
      <c r="P115" s="198"/>
      <c r="Q115" s="198"/>
      <c r="R115" s="198"/>
      <c r="S115" s="198"/>
      <c r="T115" s="198"/>
      <c r="U115" s="198"/>
      <c r="V115" s="198"/>
      <c r="W115" s="198"/>
      <c r="X115" s="191"/>
      <c r="Y115" s="197"/>
      <c r="Z115" s="198"/>
      <c r="AA115" s="198"/>
      <c r="AB115" s="198"/>
      <c r="AC115" s="198"/>
      <c r="AD115" s="191"/>
      <c r="AE115" s="374">
        <v>39295</v>
      </c>
    </row>
    <row r="116" spans="2:31" hidden="1">
      <c r="B116" s="366" t="s">
        <v>184</v>
      </c>
      <c r="C116" s="197">
        <v>11.307480867067005</v>
      </c>
      <c r="D116" s="198">
        <v>10.119706105283349</v>
      </c>
      <c r="E116" s="198">
        <v>12.2538635243053</v>
      </c>
      <c r="F116" s="198">
        <v>9.3621086473189976</v>
      </c>
      <c r="G116" s="198">
        <v>6.7506125676081083</v>
      </c>
      <c r="H116" s="198">
        <v>9.2262554875702794</v>
      </c>
      <c r="I116" s="198">
        <v>9.3522261292198632</v>
      </c>
      <c r="J116" s="198">
        <v>11.680362331896763</v>
      </c>
      <c r="K116" s="198">
        <v>13.033705424426692</v>
      </c>
      <c r="L116" s="191">
        <v>10.445945945945947</v>
      </c>
      <c r="M116" s="197">
        <v>16.846220519952738</v>
      </c>
      <c r="N116" s="198">
        <v>15.571299039129764</v>
      </c>
      <c r="O116" s="198">
        <v>19.019234533184164</v>
      </c>
      <c r="P116" s="198">
        <v>15.586019792133349</v>
      </c>
      <c r="Q116" s="198">
        <v>16.17974746004808</v>
      </c>
      <c r="R116" s="198">
        <v>18.427947062814525</v>
      </c>
      <c r="S116" s="198">
        <v>18.189754639401063</v>
      </c>
      <c r="T116" s="198">
        <v>19.425777846927748</v>
      </c>
      <c r="U116" s="198">
        <v>18.182702799616717</v>
      </c>
      <c r="V116" s="198">
        <v>10.771933916343091</v>
      </c>
      <c r="W116" s="198">
        <v>7.793422479169652</v>
      </c>
      <c r="X116" s="191">
        <v>6.8995617893417247</v>
      </c>
      <c r="Y116" s="197">
        <v>16.986244268822617</v>
      </c>
      <c r="Z116" s="198">
        <v>15.96551724137931</v>
      </c>
      <c r="AA116" s="198">
        <v>17.013648244958926</v>
      </c>
      <c r="AB116" s="198">
        <v>16.953947499950019</v>
      </c>
      <c r="AC116" s="198">
        <v>16.699548603647546</v>
      </c>
      <c r="AD116" s="191">
        <v>17.344614238861119</v>
      </c>
      <c r="AE116" s="199" t="s">
        <v>350</v>
      </c>
    </row>
    <row r="117" spans="2:31" hidden="1">
      <c r="B117" s="366" t="s">
        <v>351</v>
      </c>
      <c r="C117" s="197">
        <v>12.667387373114769</v>
      </c>
      <c r="D117" s="198">
        <v>9.6260222337578192</v>
      </c>
      <c r="E117" s="198">
        <v>12.805181752412615</v>
      </c>
      <c r="F117" s="198">
        <v>13.728196274743187</v>
      </c>
      <c r="G117" s="198">
        <v>7.1715046957003388</v>
      </c>
      <c r="H117" s="198">
        <v>8.7218790987466814</v>
      </c>
      <c r="I117" s="198">
        <v>10.171776862674053</v>
      </c>
      <c r="J117" s="198">
        <v>11.880479412228988</v>
      </c>
      <c r="K117" s="198">
        <v>13.391260270557884</v>
      </c>
      <c r="L117" s="191">
        <v>15.891006364726502</v>
      </c>
      <c r="M117" s="197">
        <v>16.767881715478808</v>
      </c>
      <c r="N117" s="198">
        <v>14.402135313236462</v>
      </c>
      <c r="O117" s="198">
        <v>21.503544108001712</v>
      </c>
      <c r="P117" s="198">
        <v>17.204760647932936</v>
      </c>
      <c r="Q117" s="198">
        <v>14.044118849991218</v>
      </c>
      <c r="R117" s="198">
        <v>16.970453549830189</v>
      </c>
      <c r="S117" s="198">
        <v>17.797481517345293</v>
      </c>
      <c r="T117" s="198">
        <v>20.194662737225489</v>
      </c>
      <c r="U117" s="198">
        <v>15.659362069916359</v>
      </c>
      <c r="V117" s="198">
        <v>18.35966299302213</v>
      </c>
      <c r="W117" s="198">
        <v>14.357882569200084</v>
      </c>
      <c r="X117" s="191" t="s">
        <v>93</v>
      </c>
      <c r="Y117" s="197">
        <v>14.54246276989884</v>
      </c>
      <c r="Z117" s="198">
        <v>12.094472583131468</v>
      </c>
      <c r="AA117" s="198">
        <v>14.893463974190464</v>
      </c>
      <c r="AB117" s="198">
        <v>17.606746482565764</v>
      </c>
      <c r="AC117" s="198">
        <v>14.332449640022345</v>
      </c>
      <c r="AD117" s="191">
        <v>14.775503956652841</v>
      </c>
      <c r="AE117" s="199" t="s">
        <v>207</v>
      </c>
    </row>
    <row r="118" spans="2:31" hidden="1">
      <c r="B118" s="367">
        <v>39326</v>
      </c>
      <c r="C118" s="197"/>
      <c r="D118" s="198"/>
      <c r="E118" s="198"/>
      <c r="F118" s="198"/>
      <c r="G118" s="198"/>
      <c r="H118" s="198"/>
      <c r="I118" s="198"/>
      <c r="J118" s="198"/>
      <c r="K118" s="198"/>
      <c r="L118" s="191"/>
      <c r="M118" s="197"/>
      <c r="N118" s="198"/>
      <c r="O118" s="198"/>
      <c r="P118" s="198"/>
      <c r="Q118" s="198"/>
      <c r="R118" s="198"/>
      <c r="S118" s="198"/>
      <c r="T118" s="198"/>
      <c r="U118" s="198"/>
      <c r="V118" s="198"/>
      <c r="W118" s="198"/>
      <c r="X118" s="191"/>
      <c r="Y118" s="197"/>
      <c r="Z118" s="198"/>
      <c r="AA118" s="198"/>
      <c r="AB118" s="198"/>
      <c r="AC118" s="198"/>
      <c r="AD118" s="191"/>
      <c r="AE118" s="374">
        <v>39326</v>
      </c>
    </row>
    <row r="119" spans="2:31" hidden="1">
      <c r="B119" s="366" t="s">
        <v>184</v>
      </c>
      <c r="C119" s="197">
        <v>11.27501998174921</v>
      </c>
      <c r="D119" s="198">
        <v>9.6265831448081869</v>
      </c>
      <c r="E119" s="198">
        <v>12.411341707463139</v>
      </c>
      <c r="F119" s="198">
        <v>6.4336710966583794</v>
      </c>
      <c r="G119" s="198">
        <v>7.7662165640996914</v>
      </c>
      <c r="H119" s="198">
        <v>9.4196214511635006</v>
      </c>
      <c r="I119" s="198">
        <v>9.3857762088064245</v>
      </c>
      <c r="J119" s="198">
        <v>12.019114988666887</v>
      </c>
      <c r="K119" s="198">
        <v>13.279424686033249</v>
      </c>
      <c r="L119" s="191">
        <v>11.432926829268293</v>
      </c>
      <c r="M119" s="197">
        <v>16.905527320365511</v>
      </c>
      <c r="N119" s="198">
        <v>15.428389432473287</v>
      </c>
      <c r="O119" s="198">
        <v>19.363010018644523</v>
      </c>
      <c r="P119" s="198">
        <v>14.364413387203969</v>
      </c>
      <c r="Q119" s="198">
        <v>17.088250041177155</v>
      </c>
      <c r="R119" s="198">
        <v>18.593898340438695</v>
      </c>
      <c r="S119" s="198">
        <v>17.297790036690333</v>
      </c>
      <c r="T119" s="198">
        <v>19.139710845608217</v>
      </c>
      <c r="U119" s="198">
        <v>18.479320464000377</v>
      </c>
      <c r="V119" s="198">
        <v>10.752410354033101</v>
      </c>
      <c r="W119" s="198">
        <v>7.9446614968515208</v>
      </c>
      <c r="X119" s="191">
        <v>7.8914681399985458</v>
      </c>
      <c r="Y119" s="197">
        <v>17.070255063201216</v>
      </c>
      <c r="Z119" s="198">
        <v>14.105263157894736</v>
      </c>
      <c r="AA119" s="198">
        <v>18.142857142857146</v>
      </c>
      <c r="AB119" s="198">
        <v>17.558334738312581</v>
      </c>
      <c r="AC119" s="198">
        <v>16.495480681615856</v>
      </c>
      <c r="AD119" s="191">
        <v>17.206471177816045</v>
      </c>
      <c r="AE119" s="199" t="s">
        <v>350</v>
      </c>
    </row>
    <row r="120" spans="2:31" hidden="1">
      <c r="B120" s="366" t="s">
        <v>351</v>
      </c>
      <c r="C120" s="197">
        <v>12.654806257782685</v>
      </c>
      <c r="D120" s="198">
        <v>9.9004758667621768</v>
      </c>
      <c r="E120" s="198">
        <v>12.773002952251325</v>
      </c>
      <c r="F120" s="198">
        <v>11.725759693048669</v>
      </c>
      <c r="G120" s="198">
        <v>7.4655389948329116</v>
      </c>
      <c r="H120" s="198">
        <v>8.6702471567871697</v>
      </c>
      <c r="I120" s="198">
        <v>9.8619178273277761</v>
      </c>
      <c r="J120" s="198">
        <v>11.981820104543472</v>
      </c>
      <c r="K120" s="198">
        <v>13.399505641998347</v>
      </c>
      <c r="L120" s="191">
        <v>15.84252989596704</v>
      </c>
      <c r="M120" s="197">
        <v>17.157434871922021</v>
      </c>
      <c r="N120" s="198">
        <v>14.734094300103179</v>
      </c>
      <c r="O120" s="198">
        <v>21.660173655985304</v>
      </c>
      <c r="P120" s="198">
        <v>17.238015934491994</v>
      </c>
      <c r="Q120" s="198">
        <v>14.315898127757791</v>
      </c>
      <c r="R120" s="198">
        <v>16.839356272434806</v>
      </c>
      <c r="S120" s="198">
        <v>17.633800180504654</v>
      </c>
      <c r="T120" s="198">
        <v>20.452215706588824</v>
      </c>
      <c r="U120" s="198">
        <v>16.108251817143298</v>
      </c>
      <c r="V120" s="198">
        <v>18.868794405613009</v>
      </c>
      <c r="W120" s="198">
        <v>16.124524450030542</v>
      </c>
      <c r="X120" s="191" t="s">
        <v>93</v>
      </c>
      <c r="Y120" s="197">
        <v>14.301916293761417</v>
      </c>
      <c r="Z120" s="198">
        <v>9.3283260809184334</v>
      </c>
      <c r="AA120" s="198">
        <v>14.021336078000473</v>
      </c>
      <c r="AB120" s="198">
        <v>13.53816554974593</v>
      </c>
      <c r="AC120" s="198">
        <v>15.881830423586665</v>
      </c>
      <c r="AD120" s="191">
        <v>14.631648450939167</v>
      </c>
      <c r="AE120" s="199" t="s">
        <v>207</v>
      </c>
    </row>
    <row r="121" spans="2:31" hidden="1">
      <c r="B121" s="367">
        <v>39356</v>
      </c>
      <c r="C121" s="197"/>
      <c r="D121" s="198"/>
      <c r="E121" s="198"/>
      <c r="F121" s="198"/>
      <c r="G121" s="198"/>
      <c r="H121" s="198"/>
      <c r="I121" s="198"/>
      <c r="J121" s="198"/>
      <c r="K121" s="198"/>
      <c r="L121" s="191"/>
      <c r="M121" s="197"/>
      <c r="N121" s="198"/>
      <c r="O121" s="198"/>
      <c r="P121" s="198"/>
      <c r="Q121" s="198"/>
      <c r="R121" s="198"/>
      <c r="S121" s="198"/>
      <c r="T121" s="198"/>
      <c r="U121" s="198"/>
      <c r="V121" s="198"/>
      <c r="W121" s="198"/>
      <c r="X121" s="191"/>
      <c r="Y121" s="197"/>
      <c r="Z121" s="198"/>
      <c r="AA121" s="198"/>
      <c r="AB121" s="198"/>
      <c r="AC121" s="198"/>
      <c r="AD121" s="191"/>
      <c r="AE121" s="374">
        <v>39356</v>
      </c>
    </row>
    <row r="122" spans="2:31" ht="11.1" hidden="1" customHeight="1">
      <c r="B122" s="366" t="s">
        <v>184</v>
      </c>
      <c r="C122" s="197">
        <v>11.002403128870975</v>
      </c>
      <c r="D122" s="198">
        <v>9.2754584983262216</v>
      </c>
      <c r="E122" s="198">
        <v>12.38642901690001</v>
      </c>
      <c r="F122" s="198">
        <v>5.7322675426342444</v>
      </c>
      <c r="G122" s="198">
        <v>7.4995788513445998</v>
      </c>
      <c r="H122" s="198">
        <v>9.2922159949199514</v>
      </c>
      <c r="I122" s="198">
        <v>9.3849280471239087</v>
      </c>
      <c r="J122" s="198">
        <v>11.905196016437337</v>
      </c>
      <c r="K122" s="198">
        <v>13.053878501883652</v>
      </c>
      <c r="L122" s="191">
        <v>12.597426470588236</v>
      </c>
      <c r="M122" s="197">
        <v>17.059301922599047</v>
      </c>
      <c r="N122" s="198">
        <v>15.327822139836409</v>
      </c>
      <c r="O122" s="198">
        <v>19.980023719993753</v>
      </c>
      <c r="P122" s="198">
        <v>13.453677829023304</v>
      </c>
      <c r="Q122" s="198">
        <v>17.201232561152068</v>
      </c>
      <c r="R122" s="198">
        <v>19.077342330922864</v>
      </c>
      <c r="S122" s="198">
        <v>17.532138342101547</v>
      </c>
      <c r="T122" s="198">
        <v>19.230510672831883</v>
      </c>
      <c r="U122" s="198">
        <v>18.797220365082918</v>
      </c>
      <c r="V122" s="198">
        <v>10.630445887473639</v>
      </c>
      <c r="W122" s="198">
        <v>8.1873929565001315</v>
      </c>
      <c r="X122" s="191">
        <v>8.2582585741015322</v>
      </c>
      <c r="Y122" s="197">
        <v>17.013495465922162</v>
      </c>
      <c r="Z122" s="198">
        <v>14.105263157894736</v>
      </c>
      <c r="AA122" s="198">
        <v>19</v>
      </c>
      <c r="AB122" s="198">
        <v>17.448369651159112</v>
      </c>
      <c r="AC122" s="198">
        <v>16.495480681615856</v>
      </c>
      <c r="AD122" s="191">
        <v>17.207986838553783</v>
      </c>
      <c r="AE122" s="199" t="s">
        <v>350</v>
      </c>
    </row>
    <row r="123" spans="2:31" ht="12" hidden="1" customHeight="1">
      <c r="B123" s="366" t="s">
        <v>351</v>
      </c>
      <c r="C123" s="197">
        <v>12.688912433052959</v>
      </c>
      <c r="D123" s="198">
        <v>9.474465458299866</v>
      </c>
      <c r="E123" s="198">
        <v>12.821144945261286</v>
      </c>
      <c r="F123" s="198">
        <v>11.4880203995482</v>
      </c>
      <c r="G123" s="198">
        <v>6.6920409270888577</v>
      </c>
      <c r="H123" s="198">
        <v>8.7417391449798245</v>
      </c>
      <c r="I123" s="198">
        <v>10.190995007753969</v>
      </c>
      <c r="J123" s="198">
        <v>12.046200627939021</v>
      </c>
      <c r="K123" s="198">
        <v>13.507384920769143</v>
      </c>
      <c r="L123" s="191">
        <v>15.81460469967289</v>
      </c>
      <c r="M123" s="197">
        <v>17.153924406224622</v>
      </c>
      <c r="N123" s="198">
        <v>14.636866746889474</v>
      </c>
      <c r="O123" s="198">
        <v>21.775945522048922</v>
      </c>
      <c r="P123" s="198">
        <v>16.062116148304916</v>
      </c>
      <c r="Q123" s="198">
        <v>14.297576545889363</v>
      </c>
      <c r="R123" s="198">
        <v>15.849841906708571</v>
      </c>
      <c r="S123" s="198">
        <v>17.971427784015216</v>
      </c>
      <c r="T123" s="198">
        <v>20.208046660849231</v>
      </c>
      <c r="U123" s="198">
        <v>16.201294241200664</v>
      </c>
      <c r="V123" s="198">
        <v>19.022581980336039</v>
      </c>
      <c r="W123" s="198">
        <v>16.23758388244179</v>
      </c>
      <c r="X123" s="191">
        <v>15.308661084922255</v>
      </c>
      <c r="Y123" s="197">
        <v>13.716648686917432</v>
      </c>
      <c r="Z123" s="198">
        <v>9.1104966325357282</v>
      </c>
      <c r="AA123" s="198">
        <v>13.237910408081884</v>
      </c>
      <c r="AB123" s="198">
        <v>13.323903966597078</v>
      </c>
      <c r="AC123" s="198">
        <v>15.888445326612993</v>
      </c>
      <c r="AD123" s="191">
        <v>13.881369759598016</v>
      </c>
      <c r="AE123" s="199" t="s">
        <v>207</v>
      </c>
    </row>
    <row r="124" spans="2:31" hidden="1">
      <c r="B124" s="367">
        <v>39387</v>
      </c>
      <c r="C124" s="197"/>
      <c r="D124" s="198"/>
      <c r="E124" s="198"/>
      <c r="F124" s="198"/>
      <c r="G124" s="198"/>
      <c r="H124" s="198"/>
      <c r="I124" s="198"/>
      <c r="J124" s="198"/>
      <c r="K124" s="198"/>
      <c r="L124" s="191"/>
      <c r="M124" s="197"/>
      <c r="N124" s="198"/>
      <c r="O124" s="198"/>
      <c r="P124" s="198"/>
      <c r="Q124" s="198"/>
      <c r="R124" s="198"/>
      <c r="S124" s="198"/>
      <c r="T124" s="198"/>
      <c r="U124" s="198"/>
      <c r="V124" s="198"/>
      <c r="W124" s="198"/>
      <c r="X124" s="191"/>
      <c r="Y124" s="197"/>
      <c r="Z124" s="198"/>
      <c r="AA124" s="198"/>
      <c r="AB124" s="198"/>
      <c r="AC124" s="198"/>
      <c r="AD124" s="191"/>
      <c r="AE124" s="374">
        <v>39387</v>
      </c>
    </row>
    <row r="125" spans="2:31" hidden="1">
      <c r="B125" s="366" t="s">
        <v>184</v>
      </c>
      <c r="C125" s="197">
        <v>11.218828598850028</v>
      </c>
      <c r="D125" s="198">
        <v>9.3936910775523863</v>
      </c>
      <c r="E125" s="198">
        <v>12.462181043936056</v>
      </c>
      <c r="F125" s="198">
        <v>6.6296878950558575</v>
      </c>
      <c r="G125" s="198">
        <v>5.8411695712300729</v>
      </c>
      <c r="H125" s="198">
        <v>9.1605412094852667</v>
      </c>
      <c r="I125" s="198">
        <v>9.9329683995694893</v>
      </c>
      <c r="J125" s="198">
        <v>12.168522498990619</v>
      </c>
      <c r="K125" s="198">
        <v>13.231011324933585</v>
      </c>
      <c r="L125" s="191">
        <v>11.477678571428573</v>
      </c>
      <c r="M125" s="197">
        <v>17.14788739472149</v>
      </c>
      <c r="N125" s="198">
        <v>15.823324881623162</v>
      </c>
      <c r="O125" s="198">
        <v>19.684833542176339</v>
      </c>
      <c r="P125" s="198">
        <v>17.011002340258038</v>
      </c>
      <c r="Q125" s="198">
        <v>18.050288510951798</v>
      </c>
      <c r="R125" s="198">
        <v>19.192083796363228</v>
      </c>
      <c r="S125" s="198">
        <v>18.557840122575161</v>
      </c>
      <c r="T125" s="198">
        <v>20.015635228200654</v>
      </c>
      <c r="U125" s="198">
        <v>17.933903312000403</v>
      </c>
      <c r="V125" s="198">
        <v>10.268064440536724</v>
      </c>
      <c r="W125" s="198">
        <v>7.98251267432435</v>
      </c>
      <c r="X125" s="191">
        <v>8.6040193030645824</v>
      </c>
      <c r="Y125" s="197">
        <v>16.260744592308406</v>
      </c>
      <c r="Z125" s="198">
        <v>14.918172157279489</v>
      </c>
      <c r="AA125" s="198">
        <v>14.613658536585366</v>
      </c>
      <c r="AB125" s="198">
        <v>16.330333979628062</v>
      </c>
      <c r="AC125" s="198">
        <v>16.68777905714925</v>
      </c>
      <c r="AD125" s="191">
        <v>17.213337449830195</v>
      </c>
      <c r="AE125" s="199" t="s">
        <v>350</v>
      </c>
    </row>
    <row r="126" spans="2:31" hidden="1">
      <c r="B126" s="366" t="s">
        <v>351</v>
      </c>
      <c r="C126" s="197">
        <v>12.734229916902422</v>
      </c>
      <c r="D126" s="198">
        <v>8.2168012899305118</v>
      </c>
      <c r="E126" s="198">
        <v>12.939537236138426</v>
      </c>
      <c r="F126" s="198">
        <v>12.567012606672662</v>
      </c>
      <c r="G126" s="198">
        <v>6.0468637310037838</v>
      </c>
      <c r="H126" s="198">
        <v>8.9163944654076541</v>
      </c>
      <c r="I126" s="198">
        <v>11.186282715321118</v>
      </c>
      <c r="J126" s="198">
        <v>12.098658152094485</v>
      </c>
      <c r="K126" s="198">
        <v>13.507160093594369</v>
      </c>
      <c r="L126" s="191">
        <v>15.851481125990185</v>
      </c>
      <c r="M126" s="197">
        <v>16.974514946360276</v>
      </c>
      <c r="N126" s="198">
        <v>14.465433626042154</v>
      </c>
      <c r="O126" s="198">
        <v>21.973006711588827</v>
      </c>
      <c r="P126" s="198">
        <v>18.400842281387604</v>
      </c>
      <c r="Q126" s="198">
        <v>15.617678741684465</v>
      </c>
      <c r="R126" s="198">
        <v>17.484445324858591</v>
      </c>
      <c r="S126" s="198">
        <v>17.690003021252711</v>
      </c>
      <c r="T126" s="198">
        <v>20.742908591236379</v>
      </c>
      <c r="U126" s="198">
        <v>15.772046555863508</v>
      </c>
      <c r="V126" s="198">
        <v>18.796797131870772</v>
      </c>
      <c r="W126" s="198">
        <v>16.058740220468078</v>
      </c>
      <c r="X126" s="191">
        <v>16.316493782481537</v>
      </c>
      <c r="Y126" s="197">
        <v>14.243274587397426</v>
      </c>
      <c r="Z126" s="198">
        <v>14.181425120401286</v>
      </c>
      <c r="AA126" s="198">
        <v>13.634860711308258</v>
      </c>
      <c r="AB126" s="198">
        <v>13.432912278071392</v>
      </c>
      <c r="AC126" s="198">
        <v>16.751975690304608</v>
      </c>
      <c r="AD126" s="191">
        <v>13.648980597811947</v>
      </c>
      <c r="AE126" s="199" t="s">
        <v>207</v>
      </c>
    </row>
    <row r="127" spans="2:31" ht="12" hidden="1" customHeight="1">
      <c r="B127" s="367">
        <v>39417</v>
      </c>
      <c r="C127" s="197"/>
      <c r="D127" s="198"/>
      <c r="E127" s="198"/>
      <c r="F127" s="198"/>
      <c r="G127" s="198"/>
      <c r="H127" s="198"/>
      <c r="I127" s="198"/>
      <c r="J127" s="198"/>
      <c r="K127" s="198"/>
      <c r="L127" s="191"/>
      <c r="M127" s="197"/>
      <c r="N127" s="198"/>
      <c r="O127" s="198"/>
      <c r="P127" s="198"/>
      <c r="Q127" s="198"/>
      <c r="R127" s="198"/>
      <c r="S127" s="198"/>
      <c r="T127" s="198"/>
      <c r="U127" s="198"/>
      <c r="V127" s="198"/>
      <c r="W127" s="198"/>
      <c r="X127" s="191"/>
      <c r="Y127" s="197"/>
      <c r="Z127" s="198"/>
      <c r="AA127" s="198"/>
      <c r="AB127" s="198"/>
      <c r="AC127" s="198"/>
      <c r="AD127" s="191"/>
      <c r="AE127" s="374">
        <v>39417</v>
      </c>
    </row>
    <row r="128" spans="2:31" ht="12" hidden="1" customHeight="1">
      <c r="B128" s="366" t="s">
        <v>184</v>
      </c>
      <c r="C128" s="197">
        <v>11.587096953871432</v>
      </c>
      <c r="D128" s="198">
        <v>9.9677849538514423</v>
      </c>
      <c r="E128" s="198">
        <v>12.507081055880906</v>
      </c>
      <c r="F128" s="198">
        <v>6.6643659968121014</v>
      </c>
      <c r="G128" s="198">
        <v>7.3085340474246054</v>
      </c>
      <c r="H128" s="198">
        <v>9.5173287044320034</v>
      </c>
      <c r="I128" s="198">
        <v>9.2123958202668117</v>
      </c>
      <c r="J128" s="198">
        <v>12.11951895752814</v>
      </c>
      <c r="K128" s="198">
        <v>13.09739186601073</v>
      </c>
      <c r="L128" s="191">
        <v>13.305263157894736</v>
      </c>
      <c r="M128" s="197">
        <v>17.459787107169252</v>
      </c>
      <c r="N128" s="198">
        <v>15.790124614856721</v>
      </c>
      <c r="O128" s="198">
        <v>20.297341454146896</v>
      </c>
      <c r="P128" s="198">
        <v>19.00252943018052</v>
      </c>
      <c r="Q128" s="198">
        <v>18.20516613851364</v>
      </c>
      <c r="R128" s="198">
        <v>19.071965497810673</v>
      </c>
      <c r="S128" s="198">
        <v>18.332569237766688</v>
      </c>
      <c r="T128" s="198">
        <v>19.851791059104933</v>
      </c>
      <c r="U128" s="198">
        <v>18.740573356624935</v>
      </c>
      <c r="V128" s="198">
        <v>10.67913610045033</v>
      </c>
      <c r="W128" s="198">
        <v>10.327028798697917</v>
      </c>
      <c r="X128" s="191">
        <v>8.309489728605854</v>
      </c>
      <c r="Y128" s="197">
        <v>16.624766610578547</v>
      </c>
      <c r="Z128" s="198">
        <v>14.404761904761905</v>
      </c>
      <c r="AA128" s="198">
        <v>16.697959183673468</v>
      </c>
      <c r="AB128" s="198">
        <v>15.46788537549407</v>
      </c>
      <c r="AC128" s="198">
        <v>18.809691041311552</v>
      </c>
      <c r="AD128" s="191">
        <v>17.075066963013622</v>
      </c>
      <c r="AE128" s="199" t="s">
        <v>350</v>
      </c>
    </row>
    <row r="129" spans="2:31" ht="12" hidden="1" customHeight="1">
      <c r="B129" s="366" t="s">
        <v>351</v>
      </c>
      <c r="C129" s="197">
        <v>12.369543330507399</v>
      </c>
      <c r="D129" s="198">
        <v>7.7041832612149346</v>
      </c>
      <c r="E129" s="198">
        <v>12.645460785969638</v>
      </c>
      <c r="F129" s="198">
        <v>6.7467707296788646</v>
      </c>
      <c r="G129" s="198">
        <v>6.6938541559599241</v>
      </c>
      <c r="H129" s="198">
        <v>9.196652126324171</v>
      </c>
      <c r="I129" s="198">
        <v>10.966932828924969</v>
      </c>
      <c r="J129" s="198">
        <v>11.877109787694376</v>
      </c>
      <c r="K129" s="198">
        <v>13.5205987056854</v>
      </c>
      <c r="L129" s="191">
        <v>16.005921147596382</v>
      </c>
      <c r="M129" s="197">
        <v>16.676122147385954</v>
      </c>
      <c r="N129" s="198">
        <v>14.150161630515905</v>
      </c>
      <c r="O129" s="198">
        <v>21.616415201082631</v>
      </c>
      <c r="P129" s="198">
        <v>17.068274827219092</v>
      </c>
      <c r="Q129" s="198">
        <v>14.987974219243673</v>
      </c>
      <c r="R129" s="198">
        <v>16.877994007781286</v>
      </c>
      <c r="S129" s="198">
        <v>17.138958122551344</v>
      </c>
      <c r="T129" s="198">
        <v>20.540148846949325</v>
      </c>
      <c r="U129" s="198">
        <v>15.459430789983005</v>
      </c>
      <c r="V129" s="198">
        <v>19.030550669161869</v>
      </c>
      <c r="W129" s="198">
        <v>17.037135205371161</v>
      </c>
      <c r="X129" s="191">
        <v>16.242413876113371</v>
      </c>
      <c r="Y129" s="197">
        <v>13.49927211761854</v>
      </c>
      <c r="Z129" s="198">
        <v>4.8428761887832188</v>
      </c>
      <c r="AA129" s="198">
        <v>15.043962123966551</v>
      </c>
      <c r="AB129" s="198">
        <v>13.35415033672996</v>
      </c>
      <c r="AC129" s="198">
        <v>15.399538473780536</v>
      </c>
      <c r="AD129" s="191">
        <v>13.979758117653727</v>
      </c>
      <c r="AE129" s="199" t="s">
        <v>207</v>
      </c>
    </row>
    <row r="130" spans="2:31" ht="12" hidden="1" customHeight="1">
      <c r="B130" s="367">
        <v>39448</v>
      </c>
      <c r="C130" s="197"/>
      <c r="D130" s="198"/>
      <c r="E130" s="198"/>
      <c r="F130" s="198"/>
      <c r="G130" s="198"/>
      <c r="H130" s="198"/>
      <c r="I130" s="198"/>
      <c r="J130" s="198"/>
      <c r="K130" s="198"/>
      <c r="L130" s="191"/>
      <c r="M130" s="197"/>
      <c r="N130" s="198"/>
      <c r="O130" s="198"/>
      <c r="P130" s="198"/>
      <c r="Q130" s="198"/>
      <c r="R130" s="198"/>
      <c r="S130" s="198"/>
      <c r="T130" s="198"/>
      <c r="U130" s="198"/>
      <c r="V130" s="198"/>
      <c r="W130" s="198"/>
      <c r="X130" s="191"/>
      <c r="Y130" s="197"/>
      <c r="Z130" s="198"/>
      <c r="AA130" s="198"/>
      <c r="AB130" s="198"/>
      <c r="AC130" s="198"/>
      <c r="AD130" s="191"/>
      <c r="AE130" s="374">
        <v>39448</v>
      </c>
    </row>
    <row r="131" spans="2:31" ht="12" hidden="1" customHeight="1">
      <c r="B131" s="366" t="s">
        <v>184</v>
      </c>
      <c r="C131" s="197">
        <v>11.35565519022407</v>
      </c>
      <c r="D131" s="198">
        <v>9.6792579834318158</v>
      </c>
      <c r="E131" s="198">
        <v>12.466169821551761</v>
      </c>
      <c r="F131" s="198">
        <v>7.2789934369290759</v>
      </c>
      <c r="G131" s="198">
        <v>8.5762949123214938</v>
      </c>
      <c r="H131" s="198">
        <v>9.5353800706710299</v>
      </c>
      <c r="I131" s="198">
        <v>9.920070254362809</v>
      </c>
      <c r="J131" s="198">
        <v>12.11981526556475</v>
      </c>
      <c r="K131" s="198">
        <v>12.874801507466882</v>
      </c>
      <c r="L131" s="191">
        <v>11.588709677419354</v>
      </c>
      <c r="M131" s="197">
        <v>16.969291478520621</v>
      </c>
      <c r="N131" s="198">
        <v>15.126338918854209</v>
      </c>
      <c r="O131" s="198">
        <v>20.292233684010192</v>
      </c>
      <c r="P131" s="198">
        <v>12.433236464404116</v>
      </c>
      <c r="Q131" s="198">
        <v>17.539207109361534</v>
      </c>
      <c r="R131" s="198">
        <v>18.587925374744128</v>
      </c>
      <c r="S131" s="198">
        <v>15.605124157558302</v>
      </c>
      <c r="T131" s="198">
        <v>19.544160319217969</v>
      </c>
      <c r="U131" s="198">
        <v>18.523536298525414</v>
      </c>
      <c r="V131" s="198">
        <v>10.42689160827643</v>
      </c>
      <c r="W131" s="198">
        <v>10.964300454738712</v>
      </c>
      <c r="X131" s="191">
        <v>8.2551570613153196</v>
      </c>
      <c r="Y131" s="197">
        <v>16.250093424700626</v>
      </c>
      <c r="Z131" s="198">
        <v>14.824817518248175</v>
      </c>
      <c r="AA131" s="198">
        <v>15.21510989010989</v>
      </c>
      <c r="AB131" s="198">
        <v>14.791975308641975</v>
      </c>
      <c r="AC131" s="198">
        <v>18.677126927917119</v>
      </c>
      <c r="AD131" s="191">
        <v>17.075181799530398</v>
      </c>
      <c r="AE131" s="199" t="s">
        <v>350</v>
      </c>
    </row>
    <row r="132" spans="2:31" ht="12" hidden="1" customHeight="1">
      <c r="B132" s="366" t="s">
        <v>351</v>
      </c>
      <c r="C132" s="197">
        <v>12.219044809934442</v>
      </c>
      <c r="D132" s="198">
        <v>7.6765779833926802</v>
      </c>
      <c r="E132" s="198">
        <v>12.469371496756848</v>
      </c>
      <c r="F132" s="198">
        <v>7.1077425276869572</v>
      </c>
      <c r="G132" s="198">
        <v>6.945192278258137</v>
      </c>
      <c r="H132" s="198">
        <v>9.5068421665197427</v>
      </c>
      <c r="I132" s="198">
        <v>11.265399633473383</v>
      </c>
      <c r="J132" s="198">
        <v>12.166607314932762</v>
      </c>
      <c r="K132" s="198">
        <v>13.29076101755687</v>
      </c>
      <c r="L132" s="191">
        <v>15.36246190272607</v>
      </c>
      <c r="M132" s="197">
        <v>16.256982802903423</v>
      </c>
      <c r="N132" s="198">
        <v>13.715939121794552</v>
      </c>
      <c r="O132" s="198">
        <v>21.69727168150602</v>
      </c>
      <c r="P132" s="198">
        <v>16.981636114825278</v>
      </c>
      <c r="Q132" s="198">
        <v>14.652092213150279</v>
      </c>
      <c r="R132" s="198">
        <v>17.387986774224306</v>
      </c>
      <c r="S132" s="198">
        <v>17.938247986543498</v>
      </c>
      <c r="T132" s="198">
        <v>20.674145299241982</v>
      </c>
      <c r="U132" s="198">
        <v>14.907378422099782</v>
      </c>
      <c r="V132" s="198">
        <v>19.063054771258507</v>
      </c>
      <c r="W132" s="198">
        <v>16.600147117339013</v>
      </c>
      <c r="X132" s="191">
        <v>16.144740250682499</v>
      </c>
      <c r="Y132" s="197">
        <v>14.68809890659967</v>
      </c>
      <c r="Z132" s="198">
        <v>14.296773678644826</v>
      </c>
      <c r="AA132" s="198">
        <v>15.029750937162463</v>
      </c>
      <c r="AB132" s="198">
        <v>14.092512632062471</v>
      </c>
      <c r="AC132" s="198">
        <v>15.446584346555946</v>
      </c>
      <c r="AD132" s="191">
        <v>14.716650137924713</v>
      </c>
      <c r="AE132" s="199" t="s">
        <v>207</v>
      </c>
    </row>
    <row r="133" spans="2:31" ht="12" hidden="1" customHeight="1">
      <c r="B133" s="367">
        <v>39479</v>
      </c>
      <c r="C133" s="197"/>
      <c r="D133" s="198"/>
      <c r="E133" s="198"/>
      <c r="F133" s="198"/>
      <c r="G133" s="198"/>
      <c r="H133" s="198"/>
      <c r="I133" s="198"/>
      <c r="J133" s="198"/>
      <c r="K133" s="198"/>
      <c r="L133" s="191"/>
      <c r="M133" s="197"/>
      <c r="N133" s="198"/>
      <c r="O133" s="198"/>
      <c r="P133" s="198"/>
      <c r="Q133" s="198"/>
      <c r="R133" s="198"/>
      <c r="S133" s="198"/>
      <c r="T133" s="198"/>
      <c r="U133" s="198"/>
      <c r="V133" s="198"/>
      <c r="W133" s="198"/>
      <c r="X133" s="191"/>
      <c r="Y133" s="197"/>
      <c r="Z133" s="198"/>
      <c r="AA133" s="198"/>
      <c r="AB133" s="198"/>
      <c r="AC133" s="198"/>
      <c r="AD133" s="191"/>
      <c r="AE133" s="374">
        <v>39479</v>
      </c>
    </row>
    <row r="134" spans="2:31" ht="12" hidden="1" customHeight="1">
      <c r="B134" s="366" t="s">
        <v>184</v>
      </c>
      <c r="C134" s="197">
        <v>11.392882123181254</v>
      </c>
      <c r="D134" s="198">
        <v>9.8741182198546333</v>
      </c>
      <c r="E134" s="198">
        <v>12.33353833515657</v>
      </c>
      <c r="F134" s="198">
        <v>8.6654952656641449</v>
      </c>
      <c r="G134" s="198">
        <v>8.1481295495630448</v>
      </c>
      <c r="H134" s="198">
        <v>10.309689467112769</v>
      </c>
      <c r="I134" s="198">
        <v>9.4896300182797866</v>
      </c>
      <c r="J134" s="198">
        <v>11.970858297527764</v>
      </c>
      <c r="K134" s="198">
        <v>12.772976233280312</v>
      </c>
      <c r="L134" s="191">
        <v>11.458378378378377</v>
      </c>
      <c r="M134" s="197">
        <v>17.490891702654732</v>
      </c>
      <c r="N134" s="198">
        <v>15.786021916883252</v>
      </c>
      <c r="O134" s="198">
        <v>20.440505519790271</v>
      </c>
      <c r="P134" s="198">
        <v>18.829889862034019</v>
      </c>
      <c r="Q134" s="198">
        <v>18.164398669034902</v>
      </c>
      <c r="R134" s="198">
        <v>19.280767481950846</v>
      </c>
      <c r="S134" s="198">
        <v>19.89786890520762</v>
      </c>
      <c r="T134" s="198">
        <v>19.622760845242272</v>
      </c>
      <c r="U134" s="198">
        <v>18.641488355784197</v>
      </c>
      <c r="V134" s="198">
        <v>10.377081769992172</v>
      </c>
      <c r="W134" s="198">
        <v>11.168244863880753</v>
      </c>
      <c r="X134" s="191">
        <v>8.2661473126003688</v>
      </c>
      <c r="Y134" s="197">
        <v>16.010649716035779</v>
      </c>
      <c r="Z134" s="198">
        <v>15.026315789473685</v>
      </c>
      <c r="AA134" s="198">
        <v>14.99764705882353</v>
      </c>
      <c r="AB134" s="198">
        <v>15.328855721393035</v>
      </c>
      <c r="AC134" s="198">
        <v>17.37666566659593</v>
      </c>
      <c r="AD134" s="191">
        <v>17.075251045786647</v>
      </c>
      <c r="AE134" s="199" t="s">
        <v>350</v>
      </c>
    </row>
    <row r="135" spans="2:31" ht="12" hidden="1" customHeight="1">
      <c r="B135" s="366" t="s">
        <v>351</v>
      </c>
      <c r="C135" s="197">
        <v>12.14634212163414</v>
      </c>
      <c r="D135" s="198">
        <v>7.5515082736140222</v>
      </c>
      <c r="E135" s="198">
        <v>12.497482621798552</v>
      </c>
      <c r="F135" s="198">
        <v>7.3260253175658869</v>
      </c>
      <c r="G135" s="198">
        <v>7.7990078089769561</v>
      </c>
      <c r="H135" s="198">
        <v>9.8127649823405161</v>
      </c>
      <c r="I135" s="198">
        <v>11.362338719936025</v>
      </c>
      <c r="J135" s="198">
        <v>11.958029258386007</v>
      </c>
      <c r="K135" s="198">
        <v>13.366607610684266</v>
      </c>
      <c r="L135" s="191">
        <v>15.353163129504781</v>
      </c>
      <c r="M135" s="197">
        <v>16.166873153027161</v>
      </c>
      <c r="N135" s="198">
        <v>13.779342336511304</v>
      </c>
      <c r="O135" s="198">
        <v>21.222651679662473</v>
      </c>
      <c r="P135" s="198">
        <v>18.00470797635462</v>
      </c>
      <c r="Q135" s="198">
        <v>13.926817650785567</v>
      </c>
      <c r="R135" s="198">
        <v>17.986037779101601</v>
      </c>
      <c r="S135" s="198">
        <v>16.546150535201289</v>
      </c>
      <c r="T135" s="198">
        <v>20.483332138903847</v>
      </c>
      <c r="U135" s="198">
        <v>14.88998873330589</v>
      </c>
      <c r="V135" s="198">
        <v>19.011228703454407</v>
      </c>
      <c r="W135" s="198">
        <v>17.311601078040272</v>
      </c>
      <c r="X135" s="191">
        <v>17.592378877765416</v>
      </c>
      <c r="Y135" s="197">
        <v>14.776353179959948</v>
      </c>
      <c r="Z135" s="198">
        <v>12.621281929670031</v>
      </c>
      <c r="AA135" s="198">
        <v>15.073209200043259</v>
      </c>
      <c r="AB135" s="198">
        <v>14.458736059479554</v>
      </c>
      <c r="AC135" s="198">
        <v>15.259285287606733</v>
      </c>
      <c r="AD135" s="191">
        <v>14.725575513164063</v>
      </c>
      <c r="AE135" s="199" t="s">
        <v>207</v>
      </c>
    </row>
    <row r="136" spans="2:31" ht="12" hidden="1" customHeight="1">
      <c r="B136" s="367">
        <v>39508</v>
      </c>
      <c r="C136" s="197"/>
      <c r="D136" s="198"/>
      <c r="E136" s="198"/>
      <c r="F136" s="198"/>
      <c r="G136" s="198"/>
      <c r="H136" s="198"/>
      <c r="I136" s="198"/>
      <c r="J136" s="198"/>
      <c r="K136" s="198"/>
      <c r="L136" s="191"/>
      <c r="M136" s="197"/>
      <c r="N136" s="198"/>
      <c r="O136" s="198"/>
      <c r="P136" s="198"/>
      <c r="Q136" s="198"/>
      <c r="R136" s="198"/>
      <c r="S136" s="198"/>
      <c r="T136" s="198"/>
      <c r="U136" s="198"/>
      <c r="V136" s="198"/>
      <c r="W136" s="198"/>
      <c r="X136" s="191"/>
      <c r="Y136" s="197"/>
      <c r="Z136" s="198"/>
      <c r="AA136" s="198"/>
      <c r="AB136" s="198"/>
      <c r="AC136" s="198"/>
      <c r="AD136" s="191"/>
      <c r="AE136" s="374">
        <v>39508</v>
      </c>
    </row>
    <row r="137" spans="2:31" ht="12" hidden="1" customHeight="1">
      <c r="B137" s="366" t="s">
        <v>184</v>
      </c>
      <c r="C137" s="197">
        <v>11.273999478090209</v>
      </c>
      <c r="D137" s="198">
        <v>9.5410806601169043</v>
      </c>
      <c r="E137" s="198">
        <v>12.315452273240837</v>
      </c>
      <c r="F137" s="198">
        <v>7.146343791708305</v>
      </c>
      <c r="G137" s="198">
        <v>8.4777486765394006</v>
      </c>
      <c r="H137" s="198">
        <v>10.264058440689773</v>
      </c>
      <c r="I137" s="198">
        <v>9.5334230255297836</v>
      </c>
      <c r="J137" s="198">
        <v>12.210073720455821</v>
      </c>
      <c r="K137" s="198">
        <v>13.418327767347444</v>
      </c>
      <c r="L137" s="191">
        <v>11.491846396633351</v>
      </c>
      <c r="M137" s="197">
        <v>17.618902764485131</v>
      </c>
      <c r="N137" s="198">
        <v>15.724328348987628</v>
      </c>
      <c r="O137" s="198">
        <v>20.792339107609571</v>
      </c>
      <c r="P137" s="198">
        <v>16.544300667247501</v>
      </c>
      <c r="Q137" s="198">
        <v>18.281309832713884</v>
      </c>
      <c r="R137" s="198">
        <v>19.184610509791156</v>
      </c>
      <c r="S137" s="198">
        <v>19.23998779375211</v>
      </c>
      <c r="T137" s="198">
        <v>19.534942913909898</v>
      </c>
      <c r="U137" s="198">
        <v>18.966660700538458</v>
      </c>
      <c r="V137" s="198">
        <v>11.074232752285157</v>
      </c>
      <c r="W137" s="198">
        <v>10.693938862859063</v>
      </c>
      <c r="X137" s="191">
        <v>8.5823780402948486</v>
      </c>
      <c r="Y137" s="197">
        <v>15.788334570633253</v>
      </c>
      <c r="Z137" s="198">
        <v>15.710569105691057</v>
      </c>
      <c r="AA137" s="198">
        <v>15.04982206405694</v>
      </c>
      <c r="AB137" s="198">
        <v>16.029761904761905</v>
      </c>
      <c r="AC137" s="198">
        <v>15.69316722248141</v>
      </c>
      <c r="AD137" s="191">
        <v>17.079074416966748</v>
      </c>
      <c r="AE137" s="199" t="s">
        <v>350</v>
      </c>
    </row>
    <row r="138" spans="2:31" ht="12" hidden="1" customHeight="1">
      <c r="B138" s="366" t="s">
        <v>351</v>
      </c>
      <c r="C138" s="197">
        <v>10.151489787302468</v>
      </c>
      <c r="D138" s="198">
        <v>6.6233706810478852</v>
      </c>
      <c r="E138" s="198">
        <v>12.673578182570997</v>
      </c>
      <c r="F138" s="198">
        <v>6.5959563853422782</v>
      </c>
      <c r="G138" s="198">
        <v>8.3305275231327052</v>
      </c>
      <c r="H138" s="198">
        <v>9.1299829390798024</v>
      </c>
      <c r="I138" s="198">
        <v>11.798828918033456</v>
      </c>
      <c r="J138" s="198">
        <v>12.179591543404694</v>
      </c>
      <c r="K138" s="198">
        <v>13.353189078514378</v>
      </c>
      <c r="L138" s="191">
        <v>15.343256092733878</v>
      </c>
      <c r="M138" s="197">
        <v>16.653475948390021</v>
      </c>
      <c r="N138" s="198">
        <v>14.237156990575912</v>
      </c>
      <c r="O138" s="198">
        <v>21.305534822520965</v>
      </c>
      <c r="P138" s="198">
        <v>18.252651197934718</v>
      </c>
      <c r="Q138" s="198">
        <v>13.395504033235849</v>
      </c>
      <c r="R138" s="198">
        <v>17.953167268699328</v>
      </c>
      <c r="S138" s="198">
        <v>17.189713125311517</v>
      </c>
      <c r="T138" s="198">
        <v>20.572694390100263</v>
      </c>
      <c r="U138" s="198">
        <v>15.478598083768913</v>
      </c>
      <c r="V138" s="198">
        <v>19.097180859677916</v>
      </c>
      <c r="W138" s="198">
        <v>17.005130610541645</v>
      </c>
      <c r="X138" s="191">
        <v>16.067640761907196</v>
      </c>
      <c r="Y138" s="197">
        <v>13.258436722974414</v>
      </c>
      <c r="Z138" s="198">
        <v>11.617206419570662</v>
      </c>
      <c r="AA138" s="198">
        <v>15.091623502973498</v>
      </c>
      <c r="AB138" s="198">
        <v>15.078920927916633</v>
      </c>
      <c r="AC138" s="198">
        <v>16.999729698420666</v>
      </c>
      <c r="AD138" s="191">
        <v>12.704824453132325</v>
      </c>
      <c r="AE138" s="199" t="s">
        <v>207</v>
      </c>
    </row>
    <row r="139" spans="2:31" ht="12" hidden="1" customHeight="1">
      <c r="B139" s="367">
        <v>39539</v>
      </c>
      <c r="C139" s="197"/>
      <c r="D139" s="198"/>
      <c r="E139" s="198"/>
      <c r="F139" s="198"/>
      <c r="G139" s="198"/>
      <c r="H139" s="198"/>
      <c r="I139" s="198"/>
      <c r="J139" s="198"/>
      <c r="K139" s="198"/>
      <c r="L139" s="191"/>
      <c r="M139" s="197"/>
      <c r="N139" s="198"/>
      <c r="O139" s="198"/>
      <c r="P139" s="198"/>
      <c r="Q139" s="198"/>
      <c r="R139" s="198"/>
      <c r="S139" s="198"/>
      <c r="T139" s="198"/>
      <c r="U139" s="198"/>
      <c r="V139" s="198"/>
      <c r="W139" s="198"/>
      <c r="X139" s="191"/>
      <c r="Y139" s="197"/>
      <c r="Z139" s="198"/>
      <c r="AA139" s="198"/>
      <c r="AB139" s="198"/>
      <c r="AC139" s="198"/>
      <c r="AD139" s="191"/>
      <c r="AE139" s="374">
        <v>39539</v>
      </c>
    </row>
    <row r="140" spans="2:31" hidden="1">
      <c r="B140" s="366" t="s">
        <v>184</v>
      </c>
      <c r="C140" s="197">
        <v>11.510543630316047</v>
      </c>
      <c r="D140" s="198">
        <v>9.9851891344099943</v>
      </c>
      <c r="E140" s="198">
        <v>12.47556650917624</v>
      </c>
      <c r="F140" s="198">
        <v>8.2983684284111128</v>
      </c>
      <c r="G140" s="198">
        <v>8.5603692662485713</v>
      </c>
      <c r="H140" s="198">
        <v>10.014150261208147</v>
      </c>
      <c r="I140" s="198">
        <v>10.085114573955464</v>
      </c>
      <c r="J140" s="198">
        <v>12.389800434936612</v>
      </c>
      <c r="K140" s="198">
        <v>12.976686635514849</v>
      </c>
      <c r="L140" s="191">
        <v>11.534132360604481</v>
      </c>
      <c r="M140" s="197">
        <v>17.711993321030384</v>
      </c>
      <c r="N140" s="198">
        <v>15.847810282829984</v>
      </c>
      <c r="O140" s="198">
        <v>20.84093711890246</v>
      </c>
      <c r="P140" s="198">
        <v>17.000276717847211</v>
      </c>
      <c r="Q140" s="198">
        <v>18.022742504608644</v>
      </c>
      <c r="R140" s="198">
        <v>18.745633845658276</v>
      </c>
      <c r="S140" s="198">
        <v>19.941320502283091</v>
      </c>
      <c r="T140" s="198">
        <v>19.652176979897376</v>
      </c>
      <c r="U140" s="198">
        <v>18.967956375510532</v>
      </c>
      <c r="V140" s="198">
        <v>11.69464768134403</v>
      </c>
      <c r="W140" s="198">
        <v>11.012335822980827</v>
      </c>
      <c r="X140" s="191">
        <v>8.500013493752272</v>
      </c>
      <c r="Y140" s="197">
        <v>14.876579650180226</v>
      </c>
      <c r="Z140" s="198">
        <v>12.657342657342657</v>
      </c>
      <c r="AA140" s="198">
        <v>15.743402084719451</v>
      </c>
      <c r="AB140" s="198">
        <v>16.384707446808509</v>
      </c>
      <c r="AC140" s="198">
        <v>15.396927474097891</v>
      </c>
      <c r="AD140" s="191">
        <v>16.227101816405582</v>
      </c>
      <c r="AE140" s="199" t="s">
        <v>350</v>
      </c>
    </row>
    <row r="141" spans="2:31" hidden="1">
      <c r="B141" s="366" t="s">
        <v>351</v>
      </c>
      <c r="C141" s="197">
        <v>9.8368908002746895</v>
      </c>
      <c r="D141" s="198">
        <v>5.5836161791012486</v>
      </c>
      <c r="E141" s="198">
        <v>12.582756939764328</v>
      </c>
      <c r="F141" s="198">
        <v>5.6969412284708971</v>
      </c>
      <c r="G141" s="198">
        <v>6.9237520125968786</v>
      </c>
      <c r="H141" s="198">
        <v>9.4319229881899318</v>
      </c>
      <c r="I141" s="198">
        <v>11.986344316268006</v>
      </c>
      <c r="J141" s="198">
        <v>11.858023680018592</v>
      </c>
      <c r="K141" s="198">
        <v>13.243089545643123</v>
      </c>
      <c r="L141" s="191">
        <v>15.442003692288184</v>
      </c>
      <c r="M141" s="197">
        <v>17.867385546781669</v>
      </c>
      <c r="N141" s="198">
        <v>16.203863333729402</v>
      </c>
      <c r="O141" s="198">
        <v>21.061065913080309</v>
      </c>
      <c r="P141" s="198">
        <v>17.274152915970792</v>
      </c>
      <c r="Q141" s="198">
        <v>15.529321138861475</v>
      </c>
      <c r="R141" s="198">
        <v>17.911993896874691</v>
      </c>
      <c r="S141" s="198">
        <v>18.340120480870773</v>
      </c>
      <c r="T141" s="198">
        <v>20.269722795807017</v>
      </c>
      <c r="U141" s="198">
        <v>17.232470079291875</v>
      </c>
      <c r="V141" s="198">
        <v>19.147229451490219</v>
      </c>
      <c r="W141" s="198">
        <v>16.581196107315296</v>
      </c>
      <c r="X141" s="191">
        <v>16.338123693044668</v>
      </c>
      <c r="Y141" s="197">
        <v>13.246225601768586</v>
      </c>
      <c r="Z141" s="198">
        <v>11.967582854731635</v>
      </c>
      <c r="AA141" s="198">
        <v>14.681484431912875</v>
      </c>
      <c r="AB141" s="198">
        <v>15</v>
      </c>
      <c r="AC141" s="198">
        <v>17.999277307454054</v>
      </c>
      <c r="AD141" s="191">
        <v>13.367543859649123</v>
      </c>
      <c r="AE141" s="199" t="s">
        <v>207</v>
      </c>
    </row>
    <row r="142" spans="2:31" hidden="1">
      <c r="B142" s="367">
        <v>39569</v>
      </c>
      <c r="C142" s="197"/>
      <c r="D142" s="198"/>
      <c r="E142" s="198"/>
      <c r="F142" s="198"/>
      <c r="G142" s="198"/>
      <c r="H142" s="198"/>
      <c r="I142" s="198"/>
      <c r="J142" s="198"/>
      <c r="K142" s="198"/>
      <c r="L142" s="191"/>
      <c r="M142" s="197"/>
      <c r="N142" s="198"/>
      <c r="O142" s="198"/>
      <c r="P142" s="198"/>
      <c r="Q142" s="198"/>
      <c r="R142" s="198"/>
      <c r="S142" s="198"/>
      <c r="T142" s="198"/>
      <c r="U142" s="198"/>
      <c r="V142" s="198"/>
      <c r="W142" s="198"/>
      <c r="X142" s="191"/>
      <c r="Y142" s="197"/>
      <c r="Z142" s="198"/>
      <c r="AA142" s="198"/>
      <c r="AB142" s="198"/>
      <c r="AC142" s="198"/>
      <c r="AD142" s="191"/>
      <c r="AE142" s="374">
        <v>39569</v>
      </c>
    </row>
    <row r="143" spans="2:31" hidden="1">
      <c r="B143" s="366" t="s">
        <v>184</v>
      </c>
      <c r="C143" s="197">
        <v>11.603299191621778</v>
      </c>
      <c r="D143" s="198">
        <v>9.6876018775604837</v>
      </c>
      <c r="E143" s="198">
        <v>12.762375816747817</v>
      </c>
      <c r="F143" s="198">
        <v>8.1858936208634017</v>
      </c>
      <c r="G143" s="198">
        <v>8.9730771066723367</v>
      </c>
      <c r="H143" s="198">
        <v>9.9786410901963247</v>
      </c>
      <c r="I143" s="198">
        <v>10.047454010770094</v>
      </c>
      <c r="J143" s="198">
        <v>12.160976982521845</v>
      </c>
      <c r="K143" s="198">
        <v>13.157626748769397</v>
      </c>
      <c r="L143" s="191">
        <v>13.938928571428571</v>
      </c>
      <c r="M143" s="197">
        <v>17.889375222893587</v>
      </c>
      <c r="N143" s="198">
        <v>16.01048049209755</v>
      </c>
      <c r="O143" s="198">
        <v>20.957275051418026</v>
      </c>
      <c r="P143" s="198">
        <v>18.681010272155909</v>
      </c>
      <c r="Q143" s="198">
        <v>19.110325199115913</v>
      </c>
      <c r="R143" s="198">
        <v>19.202389912082616</v>
      </c>
      <c r="S143" s="198">
        <v>20.342688598792851</v>
      </c>
      <c r="T143" s="198">
        <v>19.77709441841856</v>
      </c>
      <c r="U143" s="198">
        <v>18.515659457171026</v>
      </c>
      <c r="V143" s="198">
        <v>11.63944316989147</v>
      </c>
      <c r="W143" s="198">
        <v>8.715277453266328</v>
      </c>
      <c r="X143" s="191">
        <v>8.7711731401703208</v>
      </c>
      <c r="Y143" s="197">
        <v>15.655063515616323</v>
      </c>
      <c r="Z143" s="198">
        <v>15.273781902552205</v>
      </c>
      <c r="AA143" s="198">
        <v>15.249370818631355</v>
      </c>
      <c r="AB143" s="198">
        <v>15.78813432495917</v>
      </c>
      <c r="AC143" s="198">
        <v>16.882986913010008</v>
      </c>
      <c r="AD143" s="191">
        <v>15.942292678282396</v>
      </c>
      <c r="AE143" s="199" t="s">
        <v>350</v>
      </c>
    </row>
    <row r="144" spans="2:31" hidden="1">
      <c r="B144" s="366" t="s">
        <v>351</v>
      </c>
      <c r="C144" s="197">
        <v>9.5145034611006416</v>
      </c>
      <c r="D144" s="198">
        <v>5.6147003204224033</v>
      </c>
      <c r="E144" s="198">
        <v>12.704516116070694</v>
      </c>
      <c r="F144" s="198">
        <v>5.7042599302819497</v>
      </c>
      <c r="G144" s="198">
        <v>7.8864615161213001</v>
      </c>
      <c r="H144" s="198">
        <v>9.3943807086761559</v>
      </c>
      <c r="I144" s="198">
        <v>11.612239034219915</v>
      </c>
      <c r="J144" s="198">
        <v>12.439784607286438</v>
      </c>
      <c r="K144" s="198">
        <v>11.618964281705617</v>
      </c>
      <c r="L144" s="191">
        <v>15.440769995903146</v>
      </c>
      <c r="M144" s="197">
        <v>16.611619154650661</v>
      </c>
      <c r="N144" s="198">
        <v>14.365434660576341</v>
      </c>
      <c r="O144" s="198">
        <v>20.88672910706714</v>
      </c>
      <c r="P144" s="198">
        <v>16.872237423798765</v>
      </c>
      <c r="Q144" s="198">
        <v>15.648232063629042</v>
      </c>
      <c r="R144" s="198">
        <v>17.552759048504143</v>
      </c>
      <c r="S144" s="198">
        <v>19.126191505177854</v>
      </c>
      <c r="T144" s="198">
        <v>20.661398980940273</v>
      </c>
      <c r="U144" s="198">
        <v>15.230268731126186</v>
      </c>
      <c r="V144" s="198">
        <v>19.215548659158372</v>
      </c>
      <c r="W144" s="198">
        <v>16.907991938729175</v>
      </c>
      <c r="X144" s="191">
        <v>16.501772385731044</v>
      </c>
      <c r="Y144" s="197">
        <v>13.998807539925293</v>
      </c>
      <c r="Z144" s="198">
        <v>11.422275898011545</v>
      </c>
      <c r="AA144" s="198">
        <v>15.292144130379423</v>
      </c>
      <c r="AB144" s="198">
        <v>15.102639911827993</v>
      </c>
      <c r="AC144" s="198">
        <v>16.347392112731185</v>
      </c>
      <c r="AD144" s="191">
        <v>14.742375818614494</v>
      </c>
      <c r="AE144" s="199" t="s">
        <v>207</v>
      </c>
    </row>
    <row r="145" spans="1:31" hidden="1">
      <c r="B145" s="367">
        <v>39600</v>
      </c>
      <c r="C145" s="197"/>
      <c r="D145" s="198"/>
      <c r="E145" s="198"/>
      <c r="F145" s="198"/>
      <c r="G145" s="198"/>
      <c r="H145" s="198"/>
      <c r="I145" s="198"/>
      <c r="J145" s="198"/>
      <c r="K145" s="198"/>
      <c r="L145" s="191"/>
      <c r="M145" s="197"/>
      <c r="N145" s="198"/>
      <c r="O145" s="198"/>
      <c r="P145" s="198"/>
      <c r="Q145" s="198"/>
      <c r="R145" s="198"/>
      <c r="S145" s="198"/>
      <c r="T145" s="198"/>
      <c r="U145" s="198"/>
      <c r="V145" s="198"/>
      <c r="W145" s="198"/>
      <c r="X145" s="191"/>
      <c r="Y145" s="197"/>
      <c r="Z145" s="198"/>
      <c r="AA145" s="198"/>
      <c r="AB145" s="198"/>
      <c r="AC145" s="198"/>
      <c r="AD145" s="191"/>
      <c r="AE145" s="374">
        <v>39600</v>
      </c>
    </row>
    <row r="146" spans="1:31" hidden="1">
      <c r="B146" s="366" t="s">
        <v>184</v>
      </c>
      <c r="C146" s="197">
        <v>11.690645823084221</v>
      </c>
      <c r="D146" s="198">
        <v>9.8588106809798006</v>
      </c>
      <c r="E146" s="198">
        <v>12.82204200571012</v>
      </c>
      <c r="F146" s="198">
        <v>8.5409694925024446</v>
      </c>
      <c r="G146" s="198">
        <v>8.8825932006208532</v>
      </c>
      <c r="H146" s="198">
        <v>10.178033138736167</v>
      </c>
      <c r="I146" s="198">
        <v>10.244692630546508</v>
      </c>
      <c r="J146" s="198">
        <v>12.223521266513771</v>
      </c>
      <c r="K146" s="198">
        <v>13.220351487664246</v>
      </c>
      <c r="L146" s="191">
        <v>15.426934767360301</v>
      </c>
      <c r="M146" s="197">
        <v>17.935064714117512</v>
      </c>
      <c r="N146" s="198">
        <v>15.864548329663773</v>
      </c>
      <c r="O146" s="198">
        <v>21.049363127575205</v>
      </c>
      <c r="P146" s="198">
        <v>18.075407726746384</v>
      </c>
      <c r="Q146" s="198">
        <v>18.105584274573143</v>
      </c>
      <c r="R146" s="198">
        <v>18.951000776894602</v>
      </c>
      <c r="S146" s="198">
        <v>19.535554963587469</v>
      </c>
      <c r="T146" s="198">
        <v>20.005097288836804</v>
      </c>
      <c r="U146" s="198">
        <v>19.108358768606156</v>
      </c>
      <c r="V146" s="198">
        <v>11.79364096255283</v>
      </c>
      <c r="W146" s="198">
        <v>11.417819217514394</v>
      </c>
      <c r="X146" s="191">
        <v>8.4854168001498262</v>
      </c>
      <c r="Y146" s="197">
        <v>15.484806593324345</v>
      </c>
      <c r="Z146" s="198">
        <v>14.319172413793103</v>
      </c>
      <c r="AA146" s="198">
        <v>15.593548387096774</v>
      </c>
      <c r="AB146" s="198">
        <v>15.961097321587904</v>
      </c>
      <c r="AC146" s="198">
        <v>16.826732628819236</v>
      </c>
      <c r="AD146" s="191">
        <v>15.712698653912291</v>
      </c>
      <c r="AE146" s="199" t="s">
        <v>350</v>
      </c>
    </row>
    <row r="147" spans="1:31" ht="12" hidden="1" customHeight="1">
      <c r="B147" s="366" t="s">
        <v>351</v>
      </c>
      <c r="C147" s="197">
        <v>9.7967534790830388</v>
      </c>
      <c r="D147" s="198">
        <v>5.6870478733891758</v>
      </c>
      <c r="E147" s="198">
        <v>12.939102792020952</v>
      </c>
      <c r="F147" s="198">
        <v>5.7137002026628823</v>
      </c>
      <c r="G147" s="198">
        <v>7.7618329426257082</v>
      </c>
      <c r="H147" s="198">
        <v>10.079413223613763</v>
      </c>
      <c r="I147" s="198">
        <v>12.127309268702501</v>
      </c>
      <c r="J147" s="198">
        <v>12.495786826734305</v>
      </c>
      <c r="K147" s="198">
        <v>13.28841647613347</v>
      </c>
      <c r="L147" s="191">
        <v>15.49366996467128</v>
      </c>
      <c r="M147" s="197">
        <v>14.069109331214882</v>
      </c>
      <c r="N147" s="198">
        <v>11.512265869145445</v>
      </c>
      <c r="O147" s="198">
        <v>20.614822049260397</v>
      </c>
      <c r="P147" s="198">
        <v>16.154409315863813</v>
      </c>
      <c r="Q147" s="198">
        <v>15.320032010862278</v>
      </c>
      <c r="R147" s="198">
        <v>16.437117258384411</v>
      </c>
      <c r="S147" s="198">
        <v>19.910112360150737</v>
      </c>
      <c r="T147" s="198">
        <v>20.649191407989989</v>
      </c>
      <c r="U147" s="198">
        <v>12.250181250840591</v>
      </c>
      <c r="V147" s="198">
        <v>19.031692645488896</v>
      </c>
      <c r="W147" s="198">
        <v>16.840017045211752</v>
      </c>
      <c r="X147" s="191">
        <v>16.32746282588786</v>
      </c>
      <c r="Y147" s="197">
        <v>14.288135794014915</v>
      </c>
      <c r="Z147" s="198">
        <v>12.940199409322052</v>
      </c>
      <c r="AA147" s="198">
        <v>15.408858843450151</v>
      </c>
      <c r="AB147" s="198">
        <v>14.781698139243597</v>
      </c>
      <c r="AC147" s="198">
        <v>16.073621336296707</v>
      </c>
      <c r="AD147" s="191">
        <v>14.511715895878471</v>
      </c>
      <c r="AE147" s="199" t="s">
        <v>207</v>
      </c>
    </row>
    <row r="148" spans="1:31" hidden="1">
      <c r="B148" s="367">
        <v>39630</v>
      </c>
      <c r="C148" s="197"/>
      <c r="D148" s="198"/>
      <c r="E148" s="198"/>
      <c r="F148" s="198"/>
      <c r="G148" s="198"/>
      <c r="H148" s="198"/>
      <c r="I148" s="198"/>
      <c r="J148" s="198"/>
      <c r="K148" s="198"/>
      <c r="L148" s="191"/>
      <c r="M148" s="197"/>
      <c r="N148" s="198"/>
      <c r="O148" s="198"/>
      <c r="P148" s="198"/>
      <c r="Q148" s="198"/>
      <c r="R148" s="198"/>
      <c r="S148" s="198"/>
      <c r="T148" s="198"/>
      <c r="U148" s="198"/>
      <c r="V148" s="198"/>
      <c r="W148" s="198"/>
      <c r="X148" s="191"/>
      <c r="Y148" s="197"/>
      <c r="Z148" s="198"/>
      <c r="AA148" s="198"/>
      <c r="AB148" s="198"/>
      <c r="AC148" s="198"/>
      <c r="AD148" s="191"/>
      <c r="AE148" s="374">
        <v>39630</v>
      </c>
    </row>
    <row r="149" spans="1:31" hidden="1">
      <c r="B149" s="366" t="s">
        <v>184</v>
      </c>
      <c r="C149" s="197">
        <v>12.084130701936411</v>
      </c>
      <c r="D149" s="198">
        <v>10.50324229235984</v>
      </c>
      <c r="E149" s="198">
        <v>12.753043958128348</v>
      </c>
      <c r="F149" s="198">
        <v>6.5336394080487299</v>
      </c>
      <c r="G149" s="198">
        <v>9.2592222029421887</v>
      </c>
      <c r="H149" s="198">
        <v>9.1296435185583427</v>
      </c>
      <c r="I149" s="198">
        <v>9.9663904861952677</v>
      </c>
      <c r="J149" s="198">
        <v>12.420269035142438</v>
      </c>
      <c r="K149" s="198">
        <v>13.362667281791301</v>
      </c>
      <c r="L149" s="191">
        <v>15.837472079884376</v>
      </c>
      <c r="M149" s="197">
        <v>17.761918774534031</v>
      </c>
      <c r="N149" s="198">
        <v>15.552954809268208</v>
      </c>
      <c r="O149" s="198">
        <v>20.937368462686617</v>
      </c>
      <c r="P149" s="198">
        <v>17.429821453554094</v>
      </c>
      <c r="Q149" s="198">
        <v>17.378905287510214</v>
      </c>
      <c r="R149" s="198">
        <v>18.845781442456271</v>
      </c>
      <c r="S149" s="198">
        <v>19.392636559565592</v>
      </c>
      <c r="T149" s="198">
        <v>19.715740475922821</v>
      </c>
      <c r="U149" s="198">
        <v>19.049988837715059</v>
      </c>
      <c r="V149" s="198">
        <v>11.96956109165637</v>
      </c>
      <c r="W149" s="198">
        <v>11.41389486464263</v>
      </c>
      <c r="X149" s="191">
        <v>8.4851581891146797</v>
      </c>
      <c r="Y149" s="197">
        <v>15.54</v>
      </c>
      <c r="Z149" s="198">
        <v>14.31</v>
      </c>
      <c r="AA149" s="198">
        <v>15.52</v>
      </c>
      <c r="AB149" s="198">
        <v>16.14</v>
      </c>
      <c r="AC149" s="198">
        <v>16.809999999999999</v>
      </c>
      <c r="AD149" s="191">
        <v>16.68</v>
      </c>
      <c r="AE149" s="199" t="s">
        <v>350</v>
      </c>
    </row>
    <row r="150" spans="1:31" ht="10.5" hidden="1" customHeight="1">
      <c r="B150" s="366" t="s">
        <v>351</v>
      </c>
      <c r="C150" s="197">
        <v>9.6338831608320366</v>
      </c>
      <c r="D150" s="198">
        <v>5.1085504807286082</v>
      </c>
      <c r="E150" s="198">
        <v>12.96577958062622</v>
      </c>
      <c r="F150" s="198">
        <v>5.2150869557811674</v>
      </c>
      <c r="G150" s="198">
        <v>7.6478821902810274</v>
      </c>
      <c r="H150" s="198">
        <v>9.996908945538026</v>
      </c>
      <c r="I150" s="198">
        <v>11.626787085006356</v>
      </c>
      <c r="J150" s="198">
        <v>12.521371429365516</v>
      </c>
      <c r="K150" s="198">
        <v>13.081577072566672</v>
      </c>
      <c r="L150" s="191">
        <v>15.614263597512023</v>
      </c>
      <c r="M150" s="197">
        <v>14.106512004063838</v>
      </c>
      <c r="N150" s="198">
        <v>11.522156061526463</v>
      </c>
      <c r="O150" s="198">
        <v>21.048598699870862</v>
      </c>
      <c r="P150" s="198">
        <v>16.54758450707806</v>
      </c>
      <c r="Q150" s="198">
        <v>16.134623705054292</v>
      </c>
      <c r="R150" s="198">
        <v>17.286126683941998</v>
      </c>
      <c r="S150" s="198">
        <v>19.36485029724453</v>
      </c>
      <c r="T150" s="198">
        <v>20.605017994535398</v>
      </c>
      <c r="U150" s="198">
        <v>12.295284226951651</v>
      </c>
      <c r="V150" s="198">
        <v>19.402803034473784</v>
      </c>
      <c r="W150" s="198">
        <v>16.898212911867933</v>
      </c>
      <c r="X150" s="191">
        <v>16.570164301484155</v>
      </c>
      <c r="Y150" s="197">
        <v>14.387967151474909</v>
      </c>
      <c r="Z150" s="198">
        <v>10.372821417344836</v>
      </c>
      <c r="AA150" s="198">
        <v>16.046069469835466</v>
      </c>
      <c r="AB150" s="198">
        <v>15.999048359212676</v>
      </c>
      <c r="AC150" s="198">
        <v>16.340328277581552</v>
      </c>
      <c r="AD150" s="191">
        <v>14.737295352247044</v>
      </c>
      <c r="AE150" s="199" t="s">
        <v>207</v>
      </c>
    </row>
    <row r="151" spans="1:31" hidden="1">
      <c r="B151" s="367">
        <v>39661</v>
      </c>
      <c r="C151" s="197"/>
      <c r="D151" s="198"/>
      <c r="E151" s="198"/>
      <c r="F151" s="198"/>
      <c r="G151" s="198"/>
      <c r="H151" s="198"/>
      <c r="I151" s="198"/>
      <c r="J151" s="198"/>
      <c r="K151" s="198"/>
      <c r="L151" s="191"/>
      <c r="M151" s="197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1"/>
      <c r="Y151" s="183"/>
      <c r="Z151" s="183"/>
      <c r="AA151" s="183"/>
      <c r="AB151" s="183"/>
      <c r="AC151" s="183"/>
      <c r="AD151" s="183"/>
      <c r="AE151" s="374">
        <v>39661</v>
      </c>
    </row>
    <row r="152" spans="1:31" hidden="1">
      <c r="B152" s="366" t="s">
        <v>184</v>
      </c>
      <c r="C152" s="197">
        <v>11.967396631858911</v>
      </c>
      <c r="D152" s="198">
        <v>10.07</v>
      </c>
      <c r="E152" s="198">
        <v>12.71</v>
      </c>
      <c r="F152" s="198">
        <v>6.8167533539971732</v>
      </c>
      <c r="G152" s="198">
        <v>8.9036919134713575</v>
      </c>
      <c r="H152" s="198">
        <v>10.146705274393144</v>
      </c>
      <c r="I152" s="198">
        <v>9.2008108057299687</v>
      </c>
      <c r="J152" s="198">
        <v>12.424851032616425</v>
      </c>
      <c r="K152" s="198">
        <v>12.892149658649572</v>
      </c>
      <c r="L152" s="191">
        <v>16.39</v>
      </c>
      <c r="M152" s="197">
        <v>18.21</v>
      </c>
      <c r="N152" s="198">
        <v>15.95</v>
      </c>
      <c r="O152" s="198">
        <v>21.38</v>
      </c>
      <c r="P152" s="198">
        <v>17.920009792264111</v>
      </c>
      <c r="Q152" s="198">
        <v>18.974302604106345</v>
      </c>
      <c r="R152" s="198">
        <v>19.22902877539352</v>
      </c>
      <c r="S152" s="198">
        <v>19.913496061272159</v>
      </c>
      <c r="T152" s="198">
        <v>19.919203505666331</v>
      </c>
      <c r="U152" s="198">
        <v>19.378058183648982</v>
      </c>
      <c r="V152" s="198">
        <v>12.393119690404392</v>
      </c>
      <c r="W152" s="198">
        <v>11.687644453004623</v>
      </c>
      <c r="X152" s="191">
        <v>8.4709916954405422</v>
      </c>
      <c r="Y152" s="197">
        <v>15.46</v>
      </c>
      <c r="Z152" s="198">
        <v>14.73</v>
      </c>
      <c r="AA152" s="198">
        <v>14.37</v>
      </c>
      <c r="AB152" s="198">
        <v>16.12</v>
      </c>
      <c r="AC152" s="198">
        <v>16.82</v>
      </c>
      <c r="AD152" s="191">
        <v>16.48</v>
      </c>
      <c r="AE152" s="199" t="s">
        <v>350</v>
      </c>
    </row>
    <row r="153" spans="1:31" ht="10.5" hidden="1" customHeight="1">
      <c r="B153" s="366" t="s">
        <v>351</v>
      </c>
      <c r="C153" s="197">
        <v>9.52</v>
      </c>
      <c r="D153" s="198">
        <v>5.19</v>
      </c>
      <c r="E153" s="198">
        <v>12.93</v>
      </c>
      <c r="F153" s="198">
        <v>5.2353672989041948</v>
      </c>
      <c r="G153" s="198">
        <v>7.1224641771613788</v>
      </c>
      <c r="H153" s="198">
        <v>9.9631275053650246</v>
      </c>
      <c r="I153" s="198">
        <v>11.033176166161324</v>
      </c>
      <c r="J153" s="198">
        <v>12.516035538194627</v>
      </c>
      <c r="K153" s="198">
        <v>13.132924849884471</v>
      </c>
      <c r="L153" s="191">
        <v>16.041029028591851</v>
      </c>
      <c r="M153" s="197">
        <v>14.1</v>
      </c>
      <c r="N153" s="198">
        <v>11.71</v>
      </c>
      <c r="O153" s="198">
        <v>21.38</v>
      </c>
      <c r="P153" s="198">
        <v>15.880786946569149</v>
      </c>
      <c r="Q153" s="198">
        <v>16.430000000000003</v>
      </c>
      <c r="R153" s="198">
        <v>17.442691910056034</v>
      </c>
      <c r="S153" s="198">
        <v>19.367759111090557</v>
      </c>
      <c r="T153" s="198">
        <v>20.852993288252115</v>
      </c>
      <c r="U153" s="198">
        <v>12.644723520091139</v>
      </c>
      <c r="V153" s="198">
        <v>19.466293841407296</v>
      </c>
      <c r="W153" s="198">
        <v>16.859420804070254</v>
      </c>
      <c r="X153" s="191">
        <v>16.570164301484155</v>
      </c>
      <c r="Y153" s="197">
        <v>14.353219570984095</v>
      </c>
      <c r="Z153" s="198">
        <v>9.31</v>
      </c>
      <c r="AA153" s="198">
        <v>15.91</v>
      </c>
      <c r="AB153" s="198">
        <v>15.68</v>
      </c>
      <c r="AC153" s="198">
        <v>16.899999999999999</v>
      </c>
      <c r="AD153" s="191">
        <v>14.76</v>
      </c>
      <c r="AE153" s="199" t="s">
        <v>207</v>
      </c>
    </row>
    <row r="154" spans="1:31" hidden="1">
      <c r="B154" s="367">
        <v>39692</v>
      </c>
      <c r="C154" s="197"/>
      <c r="D154" s="198"/>
      <c r="E154" s="198"/>
      <c r="F154" s="198"/>
      <c r="G154" s="198"/>
      <c r="H154" s="198"/>
      <c r="I154" s="198"/>
      <c r="J154" s="198"/>
      <c r="K154" s="198"/>
      <c r="L154" s="191"/>
      <c r="M154" s="197"/>
      <c r="N154" s="198"/>
      <c r="O154" s="198"/>
      <c r="P154" s="198"/>
      <c r="Q154" s="198"/>
      <c r="R154" s="198"/>
      <c r="S154" s="198"/>
      <c r="T154" s="198"/>
      <c r="U154" s="198"/>
      <c r="V154" s="198"/>
      <c r="W154" s="198"/>
      <c r="X154" s="191"/>
      <c r="Y154" s="183"/>
      <c r="Z154" s="183"/>
      <c r="AA154" s="183"/>
      <c r="AB154" s="183"/>
      <c r="AC154" s="183"/>
      <c r="AD154" s="183"/>
      <c r="AE154" s="374">
        <v>39692</v>
      </c>
    </row>
    <row r="155" spans="1:31" hidden="1">
      <c r="B155" s="366" t="s">
        <v>184</v>
      </c>
      <c r="C155" s="197">
        <v>12.019499788979722</v>
      </c>
      <c r="D155" s="198">
        <v>10.48542878065742</v>
      </c>
      <c r="E155" s="198">
        <v>12.658594284981852</v>
      </c>
      <c r="F155" s="198">
        <v>7.0024916073361236</v>
      </c>
      <c r="G155" s="198">
        <v>8.8431540369171397</v>
      </c>
      <c r="H155" s="198">
        <v>10.546011588314197</v>
      </c>
      <c r="I155" s="198">
        <v>9.3333231104927261</v>
      </c>
      <c r="J155" s="198">
        <v>12.554124432268368</v>
      </c>
      <c r="K155" s="198">
        <v>12.87708871832112</v>
      </c>
      <c r="L155" s="191">
        <v>16.938228641030104</v>
      </c>
      <c r="M155" s="197">
        <v>18.218587417169033</v>
      </c>
      <c r="N155" s="198">
        <v>16.00336686477953</v>
      </c>
      <c r="O155" s="198">
        <v>21.248820678408247</v>
      </c>
      <c r="P155" s="198">
        <v>19.193206516627683</v>
      </c>
      <c r="Q155" s="198">
        <v>20.454379614133423</v>
      </c>
      <c r="R155" s="198">
        <v>19.320210585859616</v>
      </c>
      <c r="S155" s="198">
        <v>19.798979247282578</v>
      </c>
      <c r="T155" s="198">
        <v>20.065609525180633</v>
      </c>
      <c r="U155" s="198">
        <v>19.184630422315372</v>
      </c>
      <c r="V155" s="198">
        <v>12.446837770842299</v>
      </c>
      <c r="W155" s="198">
        <v>12.494928130509265</v>
      </c>
      <c r="X155" s="191">
        <v>8.4592133457492906</v>
      </c>
      <c r="Y155" s="197">
        <v>15.873012664931679</v>
      </c>
      <c r="Z155" s="198">
        <v>15.631560283687943</v>
      </c>
      <c r="AA155" s="198">
        <v>15.365429234338746</v>
      </c>
      <c r="AB155" s="198">
        <v>16.384193548387096</v>
      </c>
      <c r="AC155" s="198">
        <v>15.310040436885107</v>
      </c>
      <c r="AD155" s="191">
        <v>16.620587169937494</v>
      </c>
      <c r="AE155" s="199" t="s">
        <v>350</v>
      </c>
    </row>
    <row r="156" spans="1:31" ht="10.5" hidden="1" customHeight="1" thickBot="1">
      <c r="A156" s="203"/>
      <c r="B156" s="366" t="s">
        <v>351</v>
      </c>
      <c r="C156" s="197">
        <v>7.8395737085250543</v>
      </c>
      <c r="D156" s="198">
        <v>5.152284375804272</v>
      </c>
      <c r="E156" s="198">
        <v>12.500065891453298</v>
      </c>
      <c r="F156" s="198">
        <v>5.2365885273161714</v>
      </c>
      <c r="G156" s="198">
        <v>7.5229604712565452</v>
      </c>
      <c r="H156" s="198">
        <v>10.274922987632825</v>
      </c>
      <c r="I156" s="198">
        <v>10.978869471367428</v>
      </c>
      <c r="J156" s="198">
        <v>12.854776918280614</v>
      </c>
      <c r="K156" s="198">
        <v>12.431559395672725</v>
      </c>
      <c r="L156" s="191">
        <v>15.657654049262273</v>
      </c>
      <c r="M156" s="197">
        <v>14.673969347252013</v>
      </c>
      <c r="N156" s="198">
        <v>11.920213569523382</v>
      </c>
      <c r="O156" s="198">
        <v>21.402859071259268</v>
      </c>
      <c r="P156" s="198">
        <v>17.4138458324264</v>
      </c>
      <c r="Q156" s="198">
        <v>16.461164924758801</v>
      </c>
      <c r="R156" s="198">
        <v>16.659998443524739</v>
      </c>
      <c r="S156" s="198"/>
      <c r="T156" s="198">
        <v>20.610389525196613</v>
      </c>
      <c r="U156" s="198">
        <v>12.918895879804616</v>
      </c>
      <c r="V156" s="198">
        <v>19.757428577459571</v>
      </c>
      <c r="W156" s="198">
        <v>17.518092862549501</v>
      </c>
      <c r="X156" s="191">
        <v>16.559856608671467</v>
      </c>
      <c r="Y156" s="197">
        <v>15.389877216061379</v>
      </c>
      <c r="Z156" s="198">
        <v>15.771536574043372</v>
      </c>
      <c r="AA156" s="198">
        <v>16.049653761410134</v>
      </c>
      <c r="AB156" s="198">
        <v>15.189524388127062</v>
      </c>
      <c r="AC156" s="198">
        <v>16.44942956031278</v>
      </c>
      <c r="AD156" s="191">
        <v>14.976551594702702</v>
      </c>
      <c r="AE156" s="199" t="s">
        <v>207</v>
      </c>
    </row>
    <row r="157" spans="1:31" hidden="1">
      <c r="B157" s="367">
        <v>39722</v>
      </c>
      <c r="C157" s="197"/>
      <c r="D157" s="198"/>
      <c r="E157" s="198"/>
      <c r="F157" s="198"/>
      <c r="G157" s="198"/>
      <c r="H157" s="198"/>
      <c r="I157" s="198"/>
      <c r="J157" s="198"/>
      <c r="K157" s="198"/>
      <c r="L157" s="191"/>
      <c r="M157" s="197"/>
      <c r="N157" s="198"/>
      <c r="O157" s="198"/>
      <c r="P157" s="198"/>
      <c r="Q157" s="198"/>
      <c r="R157" s="198"/>
      <c r="S157" s="198"/>
      <c r="T157" s="198"/>
      <c r="U157" s="198"/>
      <c r="V157" s="198"/>
      <c r="W157" s="198"/>
      <c r="X157" s="191"/>
      <c r="Y157" s="183"/>
      <c r="Z157" s="183"/>
      <c r="AA157" s="183"/>
      <c r="AB157" s="183"/>
      <c r="AC157" s="183"/>
      <c r="AD157" s="183"/>
      <c r="AE157" s="374">
        <v>39722</v>
      </c>
    </row>
    <row r="158" spans="1:31" hidden="1">
      <c r="B158" s="366" t="s">
        <v>184</v>
      </c>
      <c r="C158" s="197">
        <v>12.311538100424931</v>
      </c>
      <c r="D158" s="198">
        <v>10.925283269726412</v>
      </c>
      <c r="E158" s="198">
        <v>12.872609194403255</v>
      </c>
      <c r="F158" s="198">
        <v>8.211689515318211</v>
      </c>
      <c r="G158" s="198">
        <v>9.0958782819044668</v>
      </c>
      <c r="H158" s="198">
        <v>10.461846860439872</v>
      </c>
      <c r="I158" s="198">
        <v>9.6134045964919324</v>
      </c>
      <c r="J158" s="198">
        <v>12.651173735750161</v>
      </c>
      <c r="K158" s="198">
        <v>13.167673093336161</v>
      </c>
      <c r="L158" s="191">
        <v>16.959545010036543</v>
      </c>
      <c r="M158" s="197">
        <v>18.245787027020071</v>
      </c>
      <c r="N158" s="198">
        <v>16.103072287214601</v>
      </c>
      <c r="O158" s="198">
        <v>21.214640207955419</v>
      </c>
      <c r="P158" s="198">
        <v>17.91651244425428</v>
      </c>
      <c r="Q158" s="198">
        <v>20.000154796611827</v>
      </c>
      <c r="R158" s="198">
        <v>20.049249268575497</v>
      </c>
      <c r="S158" s="198">
        <v>19.873350510493612</v>
      </c>
      <c r="T158" s="198">
        <v>19.912915936500529</v>
      </c>
      <c r="U158" s="198">
        <v>19.164477524321075</v>
      </c>
      <c r="V158" s="198">
        <v>12.56185414148797</v>
      </c>
      <c r="W158" s="198">
        <v>12.977259741359861</v>
      </c>
      <c r="X158" s="191">
        <v>8.5450856286337142</v>
      </c>
      <c r="Y158" s="197">
        <v>16.60312553067812</v>
      </c>
      <c r="Z158" s="198">
        <v>16.213186077643908</v>
      </c>
      <c r="AA158" s="198">
        <v>16.475687987884371</v>
      </c>
      <c r="AB158" s="198">
        <v>16.282057564072524</v>
      </c>
      <c r="AC158" s="198">
        <v>17.393626051392854</v>
      </c>
      <c r="AD158" s="191">
        <v>17.538262165489535</v>
      </c>
      <c r="AE158" s="199" t="s">
        <v>350</v>
      </c>
    </row>
    <row r="159" spans="1:31" ht="10.5" hidden="1" customHeight="1" thickBot="1">
      <c r="A159" s="203"/>
      <c r="B159" s="366" t="s">
        <v>351</v>
      </c>
      <c r="C159" s="197">
        <v>7.9669867574257021</v>
      </c>
      <c r="D159" s="198">
        <v>5.1282349630475013</v>
      </c>
      <c r="E159" s="198">
        <v>12.533432001106886</v>
      </c>
      <c r="F159" s="198">
        <v>5.287325683604573</v>
      </c>
      <c r="G159" s="198">
        <v>7.3775452194368887</v>
      </c>
      <c r="H159" s="198">
        <v>10.502005930682966</v>
      </c>
      <c r="I159" s="198">
        <v>10.638938997003669</v>
      </c>
      <c r="J159" s="198">
        <v>12.782473773594157</v>
      </c>
      <c r="K159" s="198">
        <v>12.484316543644336</v>
      </c>
      <c r="L159" s="191">
        <v>15.706877432441258</v>
      </c>
      <c r="M159" s="197">
        <v>14.69821305396143</v>
      </c>
      <c r="N159" s="198">
        <v>11.978259819080314</v>
      </c>
      <c r="O159" s="198">
        <v>21.500656709120733</v>
      </c>
      <c r="P159" s="198">
        <v>16.184427037986044</v>
      </c>
      <c r="Q159" s="198">
        <v>16.619440086490531</v>
      </c>
      <c r="R159" s="198">
        <v>16.020839128971602</v>
      </c>
      <c r="S159" s="198">
        <v>19.482344189800628</v>
      </c>
      <c r="T159" s="198">
        <v>20.702318399781777</v>
      </c>
      <c r="U159" s="198">
        <v>12.954288297308491</v>
      </c>
      <c r="V159" s="198">
        <v>19.93542723431489</v>
      </c>
      <c r="W159" s="198">
        <v>17.031856955784168</v>
      </c>
      <c r="X159" s="191">
        <v>16.569488739220166</v>
      </c>
      <c r="Y159" s="197">
        <v>15.216883175787004</v>
      </c>
      <c r="Z159" s="198">
        <v>12.510099278516487</v>
      </c>
      <c r="AA159" s="198">
        <v>15.422204193552444</v>
      </c>
      <c r="AB159" s="198">
        <v>15.385308518862955</v>
      </c>
      <c r="AC159" s="198">
        <v>16.846507617131358</v>
      </c>
      <c r="AD159" s="191">
        <v>16.00001306887734</v>
      </c>
      <c r="AE159" s="199" t="s">
        <v>207</v>
      </c>
    </row>
    <row r="160" spans="1:31" hidden="1">
      <c r="B160" s="367">
        <v>39753</v>
      </c>
      <c r="C160" s="197"/>
      <c r="D160" s="198"/>
      <c r="E160" s="198"/>
      <c r="F160" s="198"/>
      <c r="G160" s="198"/>
      <c r="H160" s="198"/>
      <c r="I160" s="198"/>
      <c r="J160" s="198"/>
      <c r="K160" s="198"/>
      <c r="L160" s="191"/>
      <c r="M160" s="197"/>
      <c r="N160" s="198"/>
      <c r="O160" s="198"/>
      <c r="P160" s="198"/>
      <c r="Q160" s="198"/>
      <c r="R160" s="198"/>
      <c r="S160" s="198"/>
      <c r="T160" s="198"/>
      <c r="U160" s="198"/>
      <c r="V160" s="198"/>
      <c r="W160" s="198"/>
      <c r="X160" s="191"/>
      <c r="Y160" s="183"/>
      <c r="Z160" s="183"/>
      <c r="AA160" s="183"/>
      <c r="AB160" s="183"/>
      <c r="AC160" s="183"/>
      <c r="AD160" s="183"/>
      <c r="AE160" s="374">
        <v>39753</v>
      </c>
    </row>
    <row r="161" spans="1:31" hidden="1">
      <c r="B161" s="366" t="s">
        <v>184</v>
      </c>
      <c r="C161" s="197">
        <v>11.880130156462105</v>
      </c>
      <c r="D161" s="198">
        <v>10.647577415967255</v>
      </c>
      <c r="E161" s="198">
        <v>12.431974973315427</v>
      </c>
      <c r="F161" s="198">
        <v>9.1996751482608747</v>
      </c>
      <c r="G161" s="198">
        <v>9.1394719864407854</v>
      </c>
      <c r="H161" s="198">
        <v>10.07525243516454</v>
      </c>
      <c r="I161" s="198">
        <v>11.020688108791536</v>
      </c>
      <c r="J161" s="198">
        <v>11.608276318947189</v>
      </c>
      <c r="K161" s="198">
        <v>13.294257179739672</v>
      </c>
      <c r="L161" s="191">
        <v>14.367034514913298</v>
      </c>
      <c r="M161" s="197">
        <v>17.987652089875287</v>
      </c>
      <c r="N161" s="198">
        <v>15.924630734453254</v>
      </c>
      <c r="O161" s="198">
        <v>21.123742461305397</v>
      </c>
      <c r="P161" s="198">
        <v>18.550049259696593</v>
      </c>
      <c r="Q161" s="198">
        <v>19.08393912589132</v>
      </c>
      <c r="R161" s="198">
        <v>20.194381273391212</v>
      </c>
      <c r="S161" s="198">
        <v>19.928842586307649</v>
      </c>
      <c r="T161" s="198">
        <v>19.854549098585363</v>
      </c>
      <c r="U161" s="198">
        <v>18.945297473983786</v>
      </c>
      <c r="V161" s="198">
        <v>12.314560286741767</v>
      </c>
      <c r="W161" s="198">
        <v>12.042481378786299</v>
      </c>
      <c r="X161" s="191">
        <v>8.4316675338751601</v>
      </c>
      <c r="Y161" s="197">
        <v>17.826315315231724</v>
      </c>
      <c r="Z161" s="198">
        <v>19.952127659574469</v>
      </c>
      <c r="AA161" s="198">
        <v>17.291439688715954</v>
      </c>
      <c r="AB161" s="198">
        <v>16.657772020725389</v>
      </c>
      <c r="AC161" s="198">
        <v>18.88162048223742</v>
      </c>
      <c r="AD161" s="191">
        <v>18.976047349459598</v>
      </c>
      <c r="AE161" s="199" t="s">
        <v>350</v>
      </c>
    </row>
    <row r="162" spans="1:31" ht="10.5" hidden="1" customHeight="1" thickBot="1">
      <c r="A162" s="203"/>
      <c r="B162" s="366" t="s">
        <v>351</v>
      </c>
      <c r="C162" s="197">
        <v>8.0695539192407999</v>
      </c>
      <c r="D162" s="198">
        <v>5.1611660536694872</v>
      </c>
      <c r="E162" s="198">
        <v>12.658972303437269</v>
      </c>
      <c r="F162" s="198">
        <v>5.1204770920173459</v>
      </c>
      <c r="G162" s="198">
        <v>6.7255268571070577</v>
      </c>
      <c r="H162" s="198">
        <v>10.84006231767245</v>
      </c>
      <c r="I162" s="198">
        <v>10.798058664047597</v>
      </c>
      <c r="J162" s="198">
        <v>11.794231241000894</v>
      </c>
      <c r="K162" s="198">
        <v>13.451329609127251</v>
      </c>
      <c r="L162" s="191">
        <v>15.733735216972509</v>
      </c>
      <c r="M162" s="197">
        <v>14.887112373845401</v>
      </c>
      <c r="N162" s="198">
        <v>12.461115121886904</v>
      </c>
      <c r="O162" s="198">
        <v>21.41105521337624</v>
      </c>
      <c r="P162" s="198">
        <v>17.044925747184227</v>
      </c>
      <c r="Q162" s="198">
        <v>18.015459015110363</v>
      </c>
      <c r="R162" s="198">
        <v>17.186839964783047</v>
      </c>
      <c r="S162" s="198">
        <v>20.117023896318518</v>
      </c>
      <c r="T162" s="198">
        <v>20.935390036344241</v>
      </c>
      <c r="U162" s="198">
        <v>12.904687040812748</v>
      </c>
      <c r="V162" s="198">
        <v>20.31863115891186</v>
      </c>
      <c r="W162" s="198">
        <v>16.78017055743252</v>
      </c>
      <c r="X162" s="191">
        <v>16.55309703578072</v>
      </c>
      <c r="Y162" s="197">
        <v>15.75</v>
      </c>
      <c r="Z162" s="198">
        <v>14.222222222222221</v>
      </c>
      <c r="AA162" s="198">
        <v>15.546198559303903</v>
      </c>
      <c r="AB162" s="198">
        <v>15.372701562049452</v>
      </c>
      <c r="AC162" s="198">
        <v>17.510000000000002</v>
      </c>
      <c r="AD162" s="191">
        <v>16.00001306887734</v>
      </c>
      <c r="AE162" s="199" t="s">
        <v>207</v>
      </c>
    </row>
    <row r="163" spans="1:31" hidden="1">
      <c r="B163" s="367">
        <v>39783</v>
      </c>
      <c r="C163" s="197"/>
      <c r="D163" s="198"/>
      <c r="E163" s="198"/>
      <c r="F163" s="198"/>
      <c r="G163" s="198"/>
      <c r="H163" s="198"/>
      <c r="I163" s="198"/>
      <c r="J163" s="198"/>
      <c r="K163" s="198"/>
      <c r="L163" s="191"/>
      <c r="M163" s="197"/>
      <c r="N163" s="198"/>
      <c r="O163" s="198"/>
      <c r="P163" s="198"/>
      <c r="Q163" s="198"/>
      <c r="R163" s="198"/>
      <c r="S163" s="198"/>
      <c r="T163" s="198"/>
      <c r="U163" s="198"/>
      <c r="V163" s="198"/>
      <c r="W163" s="198"/>
      <c r="X163" s="191"/>
      <c r="Y163" s="183"/>
      <c r="Z163" s="183"/>
      <c r="AA163" s="183"/>
      <c r="AB163" s="183"/>
      <c r="AC163" s="183"/>
      <c r="AD163" s="183"/>
      <c r="AE163" s="374">
        <v>39783</v>
      </c>
    </row>
    <row r="164" spans="1:31" hidden="1">
      <c r="B164" s="366" t="s">
        <v>184</v>
      </c>
      <c r="C164" s="197">
        <v>11.87244843640082</v>
      </c>
      <c r="D164" s="198">
        <v>10.360889947776561</v>
      </c>
      <c r="E164" s="198">
        <v>12.639179325138763</v>
      </c>
      <c r="F164" s="198">
        <v>7.9680817993564528</v>
      </c>
      <c r="G164" s="198">
        <v>9.307644696034389</v>
      </c>
      <c r="H164" s="198">
        <v>9.6651962553024262</v>
      </c>
      <c r="I164" s="198">
        <v>11.679908022918124</v>
      </c>
      <c r="J164" s="198">
        <v>11.877796686338382</v>
      </c>
      <c r="K164" s="198">
        <v>12.864282175513329</v>
      </c>
      <c r="L164" s="191">
        <v>14.42370706634634</v>
      </c>
      <c r="M164" s="197">
        <v>18.07621126911986</v>
      </c>
      <c r="N164" s="198">
        <v>15.880779409119015</v>
      </c>
      <c r="O164" s="198">
        <v>21.348343825460457</v>
      </c>
      <c r="P164" s="198">
        <v>18.386741632198238</v>
      </c>
      <c r="Q164" s="198">
        <v>18.99004058174356</v>
      </c>
      <c r="R164" s="198">
        <v>20.301129450403323</v>
      </c>
      <c r="S164" s="198">
        <v>19.651683724935772</v>
      </c>
      <c r="T164" s="198">
        <v>20.019496732668546</v>
      </c>
      <c r="U164" s="198">
        <v>19.157458299122208</v>
      </c>
      <c r="V164" s="198">
        <v>11.903491773551824</v>
      </c>
      <c r="W164" s="198">
        <v>12.086292674583595</v>
      </c>
      <c r="X164" s="191">
        <v>8.587138632923029</v>
      </c>
      <c r="Y164" s="197">
        <v>16.874954894442997</v>
      </c>
      <c r="Z164" s="198">
        <v>13.673076923076922</v>
      </c>
      <c r="AA164" s="198">
        <v>18.203125</v>
      </c>
      <c r="AB164" s="198">
        <v>15.697297297297297</v>
      </c>
      <c r="AC164" s="198">
        <v>18.663304597701149</v>
      </c>
      <c r="AD164" s="191">
        <v>12.5</v>
      </c>
      <c r="AE164" s="199" t="s">
        <v>350</v>
      </c>
    </row>
    <row r="165" spans="1:31" ht="10.5" hidden="1" customHeight="1" thickBot="1">
      <c r="A165" s="203"/>
      <c r="B165" s="366" t="s">
        <v>351</v>
      </c>
      <c r="C165" s="197">
        <v>7.9073689049268454</v>
      </c>
      <c r="D165" s="198">
        <v>5.1748835926489232</v>
      </c>
      <c r="E165" s="198">
        <v>12.715148434108549</v>
      </c>
      <c r="F165" s="198">
        <v>5.0961225730414972</v>
      </c>
      <c r="G165" s="198">
        <v>5.1859213239605788</v>
      </c>
      <c r="H165" s="198">
        <v>10.720964678982</v>
      </c>
      <c r="I165" s="198">
        <v>10.881289800323465</v>
      </c>
      <c r="J165" s="198">
        <v>11.948937583908283</v>
      </c>
      <c r="K165" s="198">
        <v>13.414333155773225</v>
      </c>
      <c r="L165" s="191">
        <v>15.791909596631974</v>
      </c>
      <c r="M165" s="197">
        <v>14.318693793605547</v>
      </c>
      <c r="N165" s="198">
        <v>11.934721516251168</v>
      </c>
      <c r="O165" s="198">
        <v>21.342882294538125</v>
      </c>
      <c r="P165" s="198">
        <v>16.307092199404536</v>
      </c>
      <c r="Q165" s="198">
        <v>18.07403168029002</v>
      </c>
      <c r="R165" s="198">
        <v>12.315405432014748</v>
      </c>
      <c r="S165" s="198">
        <v>19.329281477411666</v>
      </c>
      <c r="T165" s="198">
        <v>20.46304164477662</v>
      </c>
      <c r="U165" s="198">
        <v>12.553443600184767</v>
      </c>
      <c r="V165" s="198">
        <v>20.283205738596852</v>
      </c>
      <c r="W165" s="198">
        <v>16.734003512196441</v>
      </c>
      <c r="X165" s="191">
        <v>16.547799018823657</v>
      </c>
      <c r="Y165" s="197">
        <v>15.257978585364061</v>
      </c>
      <c r="Z165" s="198" t="s">
        <v>93</v>
      </c>
      <c r="AA165" s="198">
        <v>16.342020658047748</v>
      </c>
      <c r="AB165" s="198">
        <v>15.220114636319977</v>
      </c>
      <c r="AC165" s="198" t="s">
        <v>93</v>
      </c>
      <c r="AD165" s="191" t="s">
        <v>93</v>
      </c>
      <c r="AE165" s="199" t="s">
        <v>207</v>
      </c>
    </row>
    <row r="166" spans="1:31" hidden="1">
      <c r="B166" s="367">
        <v>39814</v>
      </c>
      <c r="C166" s="197"/>
      <c r="D166" s="198"/>
      <c r="E166" s="198"/>
      <c r="F166" s="198"/>
      <c r="G166" s="198"/>
      <c r="H166" s="198"/>
      <c r="I166" s="198"/>
      <c r="J166" s="198"/>
      <c r="K166" s="198"/>
      <c r="L166" s="191"/>
      <c r="M166" s="197"/>
      <c r="N166" s="198"/>
      <c r="O166" s="198"/>
      <c r="P166" s="198"/>
      <c r="Q166" s="198"/>
      <c r="R166" s="198"/>
      <c r="S166" s="198"/>
      <c r="T166" s="198"/>
      <c r="U166" s="198"/>
      <c r="V166" s="198"/>
      <c r="W166" s="198"/>
      <c r="X166" s="191"/>
      <c r="Y166" s="183"/>
      <c r="Z166" s="183"/>
      <c r="AA166" s="183"/>
      <c r="AB166" s="183"/>
      <c r="AC166" s="183"/>
      <c r="AD166" s="183"/>
      <c r="AE166" s="374">
        <v>39814</v>
      </c>
    </row>
    <row r="167" spans="1:31" hidden="1">
      <c r="B167" s="366" t="s">
        <v>184</v>
      </c>
      <c r="C167" s="204">
        <v>11.605823492323422</v>
      </c>
      <c r="D167" s="205">
        <v>9.4762266249718685</v>
      </c>
      <c r="E167" s="205">
        <v>12.540531737560679</v>
      </c>
      <c r="F167" s="205">
        <v>9.7749030521369775</v>
      </c>
      <c r="G167" s="205">
        <v>9.0080906903778875</v>
      </c>
      <c r="H167" s="205">
        <v>9.6628233787137781</v>
      </c>
      <c r="I167" s="205">
        <v>11.274484314858377</v>
      </c>
      <c r="J167" s="205">
        <v>12.205567897180202</v>
      </c>
      <c r="K167" s="205">
        <v>12.076611348201816</v>
      </c>
      <c r="L167" s="206">
        <v>14.982210034103295</v>
      </c>
      <c r="M167" s="204">
        <v>17.45431429121518</v>
      </c>
      <c r="N167" s="205">
        <v>14.868187332058014</v>
      </c>
      <c r="O167" s="205">
        <v>21.528869980690441</v>
      </c>
      <c r="P167" s="205">
        <v>18.075813180264014</v>
      </c>
      <c r="Q167" s="205">
        <v>19.008497639565284</v>
      </c>
      <c r="R167" s="205">
        <v>18.792360348876564</v>
      </c>
      <c r="S167" s="205">
        <v>20.318481691206145</v>
      </c>
      <c r="T167" s="205">
        <v>19.068070052323542</v>
      </c>
      <c r="U167" s="205">
        <v>18.536391923685315</v>
      </c>
      <c r="V167" s="205">
        <v>11.997713482549168</v>
      </c>
      <c r="W167" s="205">
        <v>11.711290655592324</v>
      </c>
      <c r="X167" s="206">
        <v>8.4300134268074487</v>
      </c>
      <c r="Y167" s="204">
        <v>17.830520308421708</v>
      </c>
      <c r="Z167" s="205">
        <v>16.839727151502718</v>
      </c>
      <c r="AA167" s="205">
        <v>17.216713271671328</v>
      </c>
      <c r="AB167" s="205">
        <v>16.137777777777778</v>
      </c>
      <c r="AC167" s="205">
        <v>20.046781448127859</v>
      </c>
      <c r="AD167" s="206">
        <v>17.344011020628805</v>
      </c>
      <c r="AE167" s="199" t="s">
        <v>350</v>
      </c>
    </row>
    <row r="168" spans="1:31" ht="10.5" hidden="1" customHeight="1" thickBot="1">
      <c r="A168" s="203"/>
      <c r="B168" s="366" t="s">
        <v>351</v>
      </c>
      <c r="C168" s="204">
        <v>7.9583591920351697</v>
      </c>
      <c r="D168" s="205">
        <v>5.4008154998240547</v>
      </c>
      <c r="E168" s="205">
        <v>12.42737589511259</v>
      </c>
      <c r="F168" s="205">
        <v>5.1278963804746471</v>
      </c>
      <c r="G168" s="205">
        <v>6.8940987449008144</v>
      </c>
      <c r="H168" s="205">
        <v>9.4654906865829709</v>
      </c>
      <c r="I168" s="205">
        <v>12.473880919403515</v>
      </c>
      <c r="J168" s="205">
        <v>12.479335858974922</v>
      </c>
      <c r="K168" s="205">
        <v>12.526522321207199</v>
      </c>
      <c r="L168" s="206">
        <v>15.758643560350807</v>
      </c>
      <c r="M168" s="204">
        <v>14.522487260765857</v>
      </c>
      <c r="N168" s="205">
        <v>12.366145150652745</v>
      </c>
      <c r="O168" s="205">
        <v>21.519509712669223</v>
      </c>
      <c r="P168" s="205">
        <v>16.532118093073837</v>
      </c>
      <c r="Q168" s="205">
        <v>17.042538585493762</v>
      </c>
      <c r="R168" s="205">
        <v>12.452297063857035</v>
      </c>
      <c r="S168" s="205">
        <v>19.601961771350524</v>
      </c>
      <c r="T168" s="205">
        <v>20.640913063873509</v>
      </c>
      <c r="U168" s="205">
        <v>12.636742806930792</v>
      </c>
      <c r="V168" s="205">
        <v>20.779605757240589</v>
      </c>
      <c r="W168" s="205">
        <v>12.400444462084097</v>
      </c>
      <c r="X168" s="206">
        <v>16.5423220519456</v>
      </c>
      <c r="Y168" s="204">
        <v>16.169769148014137</v>
      </c>
      <c r="Z168" s="205">
        <v>10.880025577491809</v>
      </c>
      <c r="AA168" s="205">
        <v>16.998875515388782</v>
      </c>
      <c r="AB168" s="205">
        <v>14.794928295667285</v>
      </c>
      <c r="AC168" s="205">
        <v>24.5174388688785</v>
      </c>
      <c r="AD168" s="206">
        <v>15.999948768304657</v>
      </c>
      <c r="AE168" s="199" t="s">
        <v>207</v>
      </c>
    </row>
    <row r="169" spans="1:31" ht="10.5" hidden="1" customHeight="1">
      <c r="B169" s="367">
        <v>39845</v>
      </c>
      <c r="C169" s="204"/>
      <c r="D169" s="205"/>
      <c r="E169" s="205"/>
      <c r="F169" s="205"/>
      <c r="G169" s="205"/>
      <c r="H169" s="205"/>
      <c r="I169" s="205"/>
      <c r="J169" s="205"/>
      <c r="K169" s="205"/>
      <c r="L169" s="206"/>
      <c r="M169" s="204"/>
      <c r="N169" s="205"/>
      <c r="O169" s="205"/>
      <c r="P169" s="205"/>
      <c r="Q169" s="205"/>
      <c r="R169" s="205"/>
      <c r="S169" s="205"/>
      <c r="T169" s="205"/>
      <c r="U169" s="205"/>
      <c r="V169" s="205"/>
      <c r="W169" s="205"/>
      <c r="X169" s="206"/>
      <c r="Y169" s="204"/>
      <c r="Z169" s="205"/>
      <c r="AA169" s="205"/>
      <c r="AB169" s="205"/>
      <c r="AC169" s="205"/>
      <c r="AD169" s="206"/>
      <c r="AE169" s="374">
        <v>39845</v>
      </c>
    </row>
    <row r="170" spans="1:31" ht="12" hidden="1" customHeight="1">
      <c r="B170" s="366" t="s">
        <v>184</v>
      </c>
      <c r="C170" s="204">
        <v>11.573550866288937</v>
      </c>
      <c r="D170" s="205">
        <v>9.4873734406504333</v>
      </c>
      <c r="E170" s="205">
        <v>12.383069613881007</v>
      </c>
      <c r="F170" s="205">
        <v>9.8201941958757963</v>
      </c>
      <c r="G170" s="205">
        <v>10.148060097285976</v>
      </c>
      <c r="H170" s="205">
        <v>9.446846099593369</v>
      </c>
      <c r="I170" s="205">
        <v>11.228762607499707</v>
      </c>
      <c r="J170" s="205">
        <v>11.765970054131692</v>
      </c>
      <c r="K170" s="205">
        <v>12.110848205247528</v>
      </c>
      <c r="L170" s="206">
        <v>15.156096311390552</v>
      </c>
      <c r="M170" s="204">
        <v>18.746218966327877</v>
      </c>
      <c r="N170" s="205">
        <v>16.435806353425015</v>
      </c>
      <c r="O170" s="205">
        <v>22.032899036627057</v>
      </c>
      <c r="P170" s="205">
        <v>17.461377880179427</v>
      </c>
      <c r="Q170" s="205">
        <v>19.06133509220329</v>
      </c>
      <c r="R170" s="205">
        <v>18.707907059756366</v>
      </c>
      <c r="S170" s="205">
        <v>20.288083003982475</v>
      </c>
      <c r="T170" s="205">
        <v>20.409399152532984</v>
      </c>
      <c r="U170" s="205">
        <v>20.310021786622226</v>
      </c>
      <c r="V170" s="205">
        <v>13.059799773975657</v>
      </c>
      <c r="W170" s="205">
        <v>10.791742129741699</v>
      </c>
      <c r="X170" s="206">
        <v>9.5588130454464597</v>
      </c>
      <c r="Y170" s="204">
        <v>16.398415343615476</v>
      </c>
      <c r="Z170" s="205">
        <v>17.128356435643564</v>
      </c>
      <c r="AA170" s="205">
        <v>16.468379080118694</v>
      </c>
      <c r="AB170" s="205">
        <v>15.901917808219178</v>
      </c>
      <c r="AC170" s="205">
        <v>15.322366195868954</v>
      </c>
      <c r="AD170" s="206">
        <v>17.537343752116033</v>
      </c>
      <c r="AE170" s="199" t="s">
        <v>350</v>
      </c>
    </row>
    <row r="171" spans="1:31" ht="12" hidden="1" customHeight="1">
      <c r="B171" s="366" t="s">
        <v>351</v>
      </c>
      <c r="C171" s="204">
        <v>8.1977315006159532</v>
      </c>
      <c r="D171" s="205">
        <v>5.519123955893261</v>
      </c>
      <c r="E171" s="205">
        <v>12.363096754431648</v>
      </c>
      <c r="F171" s="205">
        <v>5.1418282558336372</v>
      </c>
      <c r="G171" s="205">
        <v>7.8446036297154844</v>
      </c>
      <c r="H171" s="205">
        <v>9.5790474341218204</v>
      </c>
      <c r="I171" s="205">
        <v>12.459387004062368</v>
      </c>
      <c r="J171" s="205">
        <v>12.31085799408495</v>
      </c>
      <c r="K171" s="205">
        <v>12.546825205565002</v>
      </c>
      <c r="L171" s="206">
        <v>15.873162182608944</v>
      </c>
      <c r="M171" s="204">
        <v>16.930479180735283</v>
      </c>
      <c r="N171" s="205">
        <v>15.525247172254872</v>
      </c>
      <c r="O171" s="205">
        <v>21.692738641797693</v>
      </c>
      <c r="P171" s="205">
        <v>16.16</v>
      </c>
      <c r="Q171" s="205">
        <v>17.213506615962324</v>
      </c>
      <c r="R171" s="205">
        <v>12.566335037740329</v>
      </c>
      <c r="S171" s="205">
        <v>19.197026609656415</v>
      </c>
      <c r="T171" s="205">
        <v>19.427120738098601</v>
      </c>
      <c r="U171" s="205">
        <v>16.117593860743579</v>
      </c>
      <c r="V171" s="205">
        <v>21.1441632808246</v>
      </c>
      <c r="W171" s="205">
        <v>12.297985951422241</v>
      </c>
      <c r="X171" s="206">
        <v>16.513327306625328</v>
      </c>
      <c r="Y171" s="204">
        <v>15.879835549259136</v>
      </c>
      <c r="Z171" s="205">
        <v>24.003541912632819</v>
      </c>
      <c r="AA171" s="205">
        <v>12.940998487140696</v>
      </c>
      <c r="AB171" s="205">
        <v>14.971772717766392</v>
      </c>
      <c r="AC171" s="205">
        <v>19.259571056323917</v>
      </c>
      <c r="AD171" s="206">
        <v>14.999988258638707</v>
      </c>
      <c r="AE171" s="199" t="s">
        <v>207</v>
      </c>
    </row>
    <row r="172" spans="1:31" ht="10.5" hidden="1" customHeight="1">
      <c r="B172" s="367">
        <v>39873</v>
      </c>
      <c r="C172" s="204"/>
      <c r="D172" s="205"/>
      <c r="E172" s="205"/>
      <c r="F172" s="205"/>
      <c r="G172" s="205"/>
      <c r="H172" s="205"/>
      <c r="I172" s="205"/>
      <c r="J172" s="205"/>
      <c r="K172" s="205"/>
      <c r="L172" s="206"/>
      <c r="M172" s="204"/>
      <c r="N172" s="205"/>
      <c r="O172" s="205"/>
      <c r="P172" s="205"/>
      <c r="Q172" s="205"/>
      <c r="R172" s="205"/>
      <c r="S172" s="205"/>
      <c r="T172" s="205"/>
      <c r="U172" s="205"/>
      <c r="V172" s="205"/>
      <c r="W172" s="205"/>
      <c r="X172" s="206"/>
      <c r="Y172" s="204"/>
      <c r="Z172" s="205"/>
      <c r="AA172" s="205"/>
      <c r="AB172" s="205"/>
      <c r="AC172" s="205"/>
      <c r="AD172" s="206"/>
      <c r="AE172" s="374">
        <v>39873</v>
      </c>
    </row>
    <row r="173" spans="1:31" ht="12" hidden="1" customHeight="1">
      <c r="B173" s="366" t="s">
        <v>184</v>
      </c>
      <c r="C173" s="204">
        <v>11.346441926756764</v>
      </c>
      <c r="D173" s="205">
        <v>9.1023483940335179</v>
      </c>
      <c r="E173" s="205">
        <v>12.303831266157998</v>
      </c>
      <c r="F173" s="205">
        <v>10.581093013023837</v>
      </c>
      <c r="G173" s="205">
        <v>9.6919404317714264</v>
      </c>
      <c r="H173" s="205">
        <v>8.567155321650235</v>
      </c>
      <c r="I173" s="205">
        <v>10.949991824943456</v>
      </c>
      <c r="J173" s="205">
        <v>11.489589648078477</v>
      </c>
      <c r="K173" s="205">
        <v>11.916077931668456</v>
      </c>
      <c r="L173" s="206">
        <v>16.185183535708408</v>
      </c>
      <c r="M173" s="204">
        <v>17.36686787695125</v>
      </c>
      <c r="N173" s="205">
        <v>14.70252367966545</v>
      </c>
      <c r="O173" s="205">
        <v>21.658659235360403</v>
      </c>
      <c r="P173" s="205">
        <v>16.898503718943584</v>
      </c>
      <c r="Q173" s="205">
        <v>19.198788022787213</v>
      </c>
      <c r="R173" s="205">
        <v>19.156956433247533</v>
      </c>
      <c r="S173" s="205">
        <v>20.640675337327338</v>
      </c>
      <c r="T173" s="205">
        <v>18.710397979935163</v>
      </c>
      <c r="U173" s="205">
        <v>18.212443247724526</v>
      </c>
      <c r="V173" s="205">
        <v>12.623726074339437</v>
      </c>
      <c r="W173" s="205">
        <v>12.024717301230154</v>
      </c>
      <c r="X173" s="206">
        <v>7.2096940036103243</v>
      </c>
      <c r="Y173" s="204">
        <v>16.713024137010343</v>
      </c>
      <c r="Z173" s="205">
        <v>16.888888888888889</v>
      </c>
      <c r="AA173" s="205">
        <v>16.225168499467898</v>
      </c>
      <c r="AB173" s="205">
        <v>16.121444201312912</v>
      </c>
      <c r="AC173" s="205">
        <v>17.420000000000002</v>
      </c>
      <c r="AD173" s="206">
        <v>17.553718207732544</v>
      </c>
      <c r="AE173" s="199" t="s">
        <v>350</v>
      </c>
    </row>
    <row r="174" spans="1:31" ht="12" hidden="1" customHeight="1">
      <c r="B174" s="366" t="s">
        <v>351</v>
      </c>
      <c r="C174" s="204">
        <v>9.0088346368103789</v>
      </c>
      <c r="D174" s="205">
        <v>5.6031818770337773</v>
      </c>
      <c r="E174" s="205">
        <v>12.351351979184145</v>
      </c>
      <c r="F174" s="205">
        <v>5.2363573084869701</v>
      </c>
      <c r="G174" s="205">
        <v>6.1939161647568755</v>
      </c>
      <c r="H174" s="205">
        <v>11.072939498200512</v>
      </c>
      <c r="I174" s="205">
        <v>12.192707822957793</v>
      </c>
      <c r="J174" s="205">
        <v>11.942987462685648</v>
      </c>
      <c r="K174" s="205">
        <v>12.62692580162574</v>
      </c>
      <c r="L174" s="206">
        <v>16.301230256083002</v>
      </c>
      <c r="M174" s="204">
        <v>16.805104267287458</v>
      </c>
      <c r="N174" s="205">
        <v>15.305685290632352</v>
      </c>
      <c r="O174" s="205">
        <v>20.325900752077075</v>
      </c>
      <c r="P174" s="205">
        <v>16.116400583541186</v>
      </c>
      <c r="Q174" s="205">
        <v>17.419834909013115</v>
      </c>
      <c r="R174" s="205">
        <v>15.158714711584665</v>
      </c>
      <c r="S174" s="205">
        <v>18.205494519468907</v>
      </c>
      <c r="T174" s="205">
        <v>20.775210091563682</v>
      </c>
      <c r="U174" s="205">
        <v>15.841404959609035</v>
      </c>
      <c r="V174" s="205">
        <v>20.802084763866389</v>
      </c>
      <c r="W174" s="205">
        <v>16.613706433434107</v>
      </c>
      <c r="X174" s="206">
        <v>16.558022467637308</v>
      </c>
      <c r="Y174" s="204">
        <v>14.743074776879059</v>
      </c>
      <c r="Z174" s="205">
        <v>14.925387096774193</v>
      </c>
      <c r="AA174" s="205">
        <v>14.706074639062926</v>
      </c>
      <c r="AB174" s="205">
        <v>14.89684894996503</v>
      </c>
      <c r="AC174" s="205">
        <v>14.12</v>
      </c>
      <c r="AD174" s="206">
        <v>14.99991292611781</v>
      </c>
      <c r="AE174" s="199" t="s">
        <v>207</v>
      </c>
    </row>
    <row r="175" spans="1:31" ht="12" hidden="1" customHeight="1">
      <c r="B175" s="367">
        <v>39904</v>
      </c>
      <c r="C175" s="204"/>
      <c r="D175" s="205"/>
      <c r="E175" s="205"/>
      <c r="F175" s="205"/>
      <c r="G175" s="205"/>
      <c r="H175" s="205"/>
      <c r="I175" s="205"/>
      <c r="J175" s="205"/>
      <c r="K175" s="205"/>
      <c r="L175" s="206"/>
      <c r="M175" s="204"/>
      <c r="N175" s="205"/>
      <c r="O175" s="205"/>
      <c r="P175" s="205"/>
      <c r="Q175" s="205"/>
      <c r="R175" s="205"/>
      <c r="S175" s="205"/>
      <c r="T175" s="205"/>
      <c r="U175" s="205"/>
      <c r="V175" s="205"/>
      <c r="W175" s="205"/>
      <c r="X175" s="206"/>
      <c r="Y175" s="204"/>
      <c r="Z175" s="205"/>
      <c r="AA175" s="205"/>
      <c r="AB175" s="205"/>
      <c r="AC175" s="205"/>
      <c r="AD175" s="206"/>
      <c r="AE175" s="374">
        <v>39904</v>
      </c>
    </row>
    <row r="176" spans="1:31" ht="12" hidden="1" customHeight="1">
      <c r="B176" s="366" t="s">
        <v>184</v>
      </c>
      <c r="C176" s="204">
        <v>11.456619095926984</v>
      </c>
      <c r="D176" s="205">
        <v>9.1850566557821356</v>
      </c>
      <c r="E176" s="205">
        <v>12.411562493669667</v>
      </c>
      <c r="F176" s="205">
        <v>11.583517271217259</v>
      </c>
      <c r="G176" s="205">
        <v>9.5717172112778925</v>
      </c>
      <c r="H176" s="205">
        <v>8.9326496688362003</v>
      </c>
      <c r="I176" s="205">
        <v>10.918582097168869</v>
      </c>
      <c r="J176" s="205">
        <v>12.028367382590327</v>
      </c>
      <c r="K176" s="205">
        <v>11.651615362286895</v>
      </c>
      <c r="L176" s="206">
        <v>14.344754665351667</v>
      </c>
      <c r="M176" s="204">
        <v>17.422363398333648</v>
      </c>
      <c r="N176" s="205">
        <v>14.803775306682541</v>
      </c>
      <c r="O176" s="205">
        <v>21.646365056490474</v>
      </c>
      <c r="P176" s="205">
        <v>16.345185987516246</v>
      </c>
      <c r="Q176" s="205">
        <v>18.975568897179944</v>
      </c>
      <c r="R176" s="205">
        <v>18.791856208697624</v>
      </c>
      <c r="S176" s="205">
        <v>20.703114351067306</v>
      </c>
      <c r="T176" s="205">
        <v>18.461086663422901</v>
      </c>
      <c r="U176" s="205">
        <v>18.755934948366257</v>
      </c>
      <c r="V176" s="205">
        <v>12.304071172216958</v>
      </c>
      <c r="W176" s="205">
        <v>12.127393063389002</v>
      </c>
      <c r="X176" s="206">
        <v>7.1972396260353424</v>
      </c>
      <c r="Y176" s="204">
        <v>17.803849875388636</v>
      </c>
      <c r="Z176" s="205">
        <v>17.007940229959409</v>
      </c>
      <c r="AA176" s="205">
        <v>15.49462715727776</v>
      </c>
      <c r="AB176" s="205">
        <v>19.960921276194071</v>
      </c>
      <c r="AC176" s="205">
        <v>17.459307276073282</v>
      </c>
      <c r="AD176" s="206">
        <v>17.496261705457165</v>
      </c>
      <c r="AE176" s="199" t="s">
        <v>350</v>
      </c>
    </row>
    <row r="177" spans="2:31" ht="12" hidden="1" customHeight="1">
      <c r="B177" s="366" t="s">
        <v>351</v>
      </c>
      <c r="C177" s="204">
        <v>11.282690038631689</v>
      </c>
      <c r="D177" s="205">
        <v>6.775811982749163</v>
      </c>
      <c r="E177" s="205">
        <v>12.617052484987603</v>
      </c>
      <c r="F177" s="205">
        <v>5.8507631354080569</v>
      </c>
      <c r="G177" s="205">
        <v>6.1742140660572717</v>
      </c>
      <c r="H177" s="205">
        <v>10.533017207201123</v>
      </c>
      <c r="I177" s="205">
        <v>11.752646497164848</v>
      </c>
      <c r="J177" s="205">
        <v>12.373993407245919</v>
      </c>
      <c r="K177" s="205">
        <v>12.848958547952687</v>
      </c>
      <c r="L177" s="206">
        <v>16.418639515329176</v>
      </c>
      <c r="M177" s="204">
        <v>18.511995620808754</v>
      </c>
      <c r="N177" s="205">
        <v>16.605188530507348</v>
      </c>
      <c r="O177" s="205">
        <v>22.262765427734863</v>
      </c>
      <c r="P177" s="205">
        <v>18.174589746557672</v>
      </c>
      <c r="Q177" s="205">
        <v>18.613931093383172</v>
      </c>
      <c r="R177" s="205">
        <v>18.22647762675507</v>
      </c>
      <c r="S177" s="205">
        <v>20.560860486864218</v>
      </c>
      <c r="T177" s="205">
        <v>22.126219183105068</v>
      </c>
      <c r="U177" s="205">
        <v>17.401301980554965</v>
      </c>
      <c r="V177" s="205">
        <v>20.474877656467868</v>
      </c>
      <c r="W177" s="205">
        <v>16.745472159005349</v>
      </c>
      <c r="X177" s="206">
        <v>16.57019778725704</v>
      </c>
      <c r="Y177" s="204">
        <v>15.24150683059816</v>
      </c>
      <c r="Z177" s="205">
        <v>17.502563628805028</v>
      </c>
      <c r="AA177" s="205">
        <v>15.138650429227392</v>
      </c>
      <c r="AB177" s="205">
        <v>14.865920931657984</v>
      </c>
      <c r="AC177" s="205">
        <v>15.894584292861113</v>
      </c>
      <c r="AD177" s="206" t="s">
        <v>93</v>
      </c>
      <c r="AE177" s="199" t="s">
        <v>207</v>
      </c>
    </row>
    <row r="178" spans="2:31" ht="12" hidden="1" customHeight="1">
      <c r="B178" s="367">
        <v>39934</v>
      </c>
      <c r="C178" s="204"/>
      <c r="D178" s="205"/>
      <c r="E178" s="205"/>
      <c r="F178" s="205"/>
      <c r="G178" s="205"/>
      <c r="H178" s="205"/>
      <c r="I178" s="205"/>
      <c r="J178" s="205"/>
      <c r="K178" s="205"/>
      <c r="L178" s="206"/>
      <c r="M178" s="204"/>
      <c r="N178" s="205"/>
      <c r="O178" s="205"/>
      <c r="P178" s="205"/>
      <c r="Q178" s="205"/>
      <c r="R178" s="205"/>
      <c r="S178" s="205"/>
      <c r="T178" s="205"/>
      <c r="U178" s="205"/>
      <c r="V178" s="205"/>
      <c r="W178" s="205"/>
      <c r="X178" s="206"/>
      <c r="Y178" s="204"/>
      <c r="Z178" s="205"/>
      <c r="AA178" s="205"/>
      <c r="AB178" s="205"/>
      <c r="AC178" s="205"/>
      <c r="AD178" s="206"/>
      <c r="AE178" s="374">
        <v>39934</v>
      </c>
    </row>
    <row r="179" spans="2:31" ht="12" hidden="1" customHeight="1">
      <c r="B179" s="366" t="s">
        <v>184</v>
      </c>
      <c r="C179" s="204">
        <v>11.58728507674166</v>
      </c>
      <c r="D179" s="205">
        <v>9.4899591112749206</v>
      </c>
      <c r="E179" s="205">
        <v>12.422181472736778</v>
      </c>
      <c r="F179" s="205">
        <v>10.976111370989996</v>
      </c>
      <c r="G179" s="205">
        <v>8.6783662411831823</v>
      </c>
      <c r="H179" s="205">
        <v>8.9212350348830221</v>
      </c>
      <c r="I179" s="205">
        <v>10.937894390715527</v>
      </c>
      <c r="J179" s="205">
        <v>12.126504922190236</v>
      </c>
      <c r="K179" s="205">
        <v>12.102266504520207</v>
      </c>
      <c r="L179" s="206">
        <v>14.149273726247063</v>
      </c>
      <c r="M179" s="204">
        <v>16.246109449910353</v>
      </c>
      <c r="N179" s="205">
        <v>13.434450885015975</v>
      </c>
      <c r="O179" s="205">
        <v>21.064596385876523</v>
      </c>
      <c r="P179" s="205">
        <v>16.921013460058035</v>
      </c>
      <c r="Q179" s="205">
        <v>19.293501890459389</v>
      </c>
      <c r="R179" s="205">
        <v>17.473846896335044</v>
      </c>
      <c r="S179" s="205">
        <v>18.168799559179128</v>
      </c>
      <c r="T179" s="205">
        <v>18.005463309527798</v>
      </c>
      <c r="U179" s="205">
        <v>16.741151988820103</v>
      </c>
      <c r="V179" s="205">
        <v>12.12032999755565</v>
      </c>
      <c r="W179" s="205">
        <v>12.254558410529413</v>
      </c>
      <c r="X179" s="206">
        <v>7.1848784347727683</v>
      </c>
      <c r="Y179" s="204">
        <v>16.640745923294727</v>
      </c>
      <c r="Z179" s="205">
        <v>16.847692307692309</v>
      </c>
      <c r="AA179" s="205">
        <v>15.281445138269403</v>
      </c>
      <c r="AB179" s="205">
        <v>16.104367238733083</v>
      </c>
      <c r="AC179" s="205">
        <v>17.531610554528385</v>
      </c>
      <c r="AD179" s="206">
        <v>17.496261705457165</v>
      </c>
      <c r="AE179" s="199" t="s">
        <v>350</v>
      </c>
    </row>
    <row r="180" spans="2:31" ht="12" hidden="1" customHeight="1">
      <c r="B180" s="366" t="s">
        <v>351</v>
      </c>
      <c r="C180" s="204">
        <v>10.835784364443432</v>
      </c>
      <c r="D180" s="205">
        <v>6.3951611947477307</v>
      </c>
      <c r="E180" s="205">
        <v>12.507419210368509</v>
      </c>
      <c r="F180" s="205">
        <v>5.7491171978654299</v>
      </c>
      <c r="G180" s="205">
        <v>4.8977253849507214</v>
      </c>
      <c r="H180" s="205">
        <v>10.455021045895034</v>
      </c>
      <c r="I180" s="205">
        <v>10.978021567636107</v>
      </c>
      <c r="J180" s="205">
        <v>12.323621885822217</v>
      </c>
      <c r="K180" s="205">
        <v>12.825380392200087</v>
      </c>
      <c r="L180" s="206">
        <v>16.154322926762184</v>
      </c>
      <c r="M180" s="204">
        <v>16.983118922741198</v>
      </c>
      <c r="N180" s="205">
        <v>15.049534793495217</v>
      </c>
      <c r="O180" s="205">
        <v>20.27367629481834</v>
      </c>
      <c r="P180" s="205">
        <v>17.042465716771485</v>
      </c>
      <c r="Q180" s="205">
        <v>18.609446700475395</v>
      </c>
      <c r="R180" s="205">
        <v>17.250834917132412</v>
      </c>
      <c r="S180" s="205">
        <v>19.07572175975692</v>
      </c>
      <c r="T180" s="205">
        <v>20.058291652013899</v>
      </c>
      <c r="U180" s="205">
        <v>15.621751057997161</v>
      </c>
      <c r="V180" s="205">
        <v>21.182291718912062</v>
      </c>
      <c r="W180" s="205">
        <v>16.618434451955384</v>
      </c>
      <c r="X180" s="206">
        <v>16.594516004513618</v>
      </c>
      <c r="Y180" s="204">
        <v>14.896458993241087</v>
      </c>
      <c r="Z180" s="205" t="s">
        <v>93</v>
      </c>
      <c r="AA180" s="205">
        <v>15.202330004755112</v>
      </c>
      <c r="AB180" s="205">
        <v>14.708604077974456</v>
      </c>
      <c r="AC180" s="205">
        <v>15.342012850592692</v>
      </c>
      <c r="AD180" s="206" t="s">
        <v>93</v>
      </c>
      <c r="AE180" s="199" t="s">
        <v>207</v>
      </c>
    </row>
    <row r="181" spans="2:31" ht="12" hidden="1" customHeight="1">
      <c r="B181" s="367">
        <v>39965</v>
      </c>
      <c r="C181" s="204"/>
      <c r="D181" s="205"/>
      <c r="E181" s="205"/>
      <c r="F181" s="205"/>
      <c r="G181" s="205"/>
      <c r="H181" s="205"/>
      <c r="I181" s="205"/>
      <c r="J181" s="205"/>
      <c r="K181" s="205"/>
      <c r="L181" s="206"/>
      <c r="M181" s="204"/>
      <c r="N181" s="205"/>
      <c r="O181" s="205"/>
      <c r="P181" s="205"/>
      <c r="Q181" s="205"/>
      <c r="R181" s="205"/>
      <c r="S181" s="205"/>
      <c r="T181" s="205"/>
      <c r="U181" s="205"/>
      <c r="V181" s="205"/>
      <c r="W181" s="205"/>
      <c r="X181" s="206"/>
      <c r="Y181" s="204"/>
      <c r="Z181" s="205"/>
      <c r="AA181" s="205"/>
      <c r="AB181" s="205"/>
      <c r="AC181" s="205"/>
      <c r="AD181" s="206"/>
      <c r="AE181" s="374">
        <v>39965</v>
      </c>
    </row>
    <row r="182" spans="2:31" ht="12" hidden="1" customHeight="1">
      <c r="B182" s="366" t="s">
        <v>184</v>
      </c>
      <c r="C182" s="204">
        <v>11.278175761435543</v>
      </c>
      <c r="D182" s="205">
        <v>8.6697405834803742</v>
      </c>
      <c r="E182" s="205">
        <v>12.424479594551778</v>
      </c>
      <c r="F182" s="205">
        <v>10.524158903886978</v>
      </c>
      <c r="G182" s="205">
        <v>6.7354249394647674</v>
      </c>
      <c r="H182" s="205">
        <v>8.9898552315885532</v>
      </c>
      <c r="I182" s="205">
        <v>11.191955182430819</v>
      </c>
      <c r="J182" s="205">
        <v>12.199837902540295</v>
      </c>
      <c r="K182" s="205">
        <v>11.76685330062339</v>
      </c>
      <c r="L182" s="206">
        <v>12.223530879518362</v>
      </c>
      <c r="M182" s="204">
        <v>17.1237151174149</v>
      </c>
      <c r="N182" s="205">
        <v>14.784686873121705</v>
      </c>
      <c r="O182" s="205">
        <v>21.153918339430451</v>
      </c>
      <c r="P182" s="205">
        <v>16.338402548047828</v>
      </c>
      <c r="Q182" s="205">
        <v>17.646891647490609</v>
      </c>
      <c r="R182" s="205">
        <v>16.361545393674618</v>
      </c>
      <c r="S182" s="205">
        <v>18.891828485345027</v>
      </c>
      <c r="T182" s="205">
        <v>18.996018842067546</v>
      </c>
      <c r="U182" s="205">
        <v>18.134491236213336</v>
      </c>
      <c r="V182" s="205">
        <v>12.351205746548592</v>
      </c>
      <c r="W182" s="205">
        <v>12.29651863864097</v>
      </c>
      <c r="X182" s="206">
        <v>8.5672544197600047</v>
      </c>
      <c r="Y182" s="204">
        <v>18.059999999999999</v>
      </c>
      <c r="Z182" s="205">
        <v>16.84</v>
      </c>
      <c r="AA182" s="205">
        <v>15.97</v>
      </c>
      <c r="AB182" s="205">
        <v>15.729200000000001</v>
      </c>
      <c r="AC182" s="205">
        <v>17.663685667534551</v>
      </c>
      <c r="AD182" s="206">
        <v>21.71</v>
      </c>
      <c r="AE182" s="199" t="s">
        <v>350</v>
      </c>
    </row>
    <row r="183" spans="2:31" ht="12" hidden="1" customHeight="1">
      <c r="B183" s="366" t="s">
        <v>351</v>
      </c>
      <c r="C183" s="204">
        <v>10.558669095738395</v>
      </c>
      <c r="D183" s="205">
        <v>6.0904765786835</v>
      </c>
      <c r="E183" s="205">
        <v>12.312400207198134</v>
      </c>
      <c r="F183" s="205">
        <v>5.6973869787282831</v>
      </c>
      <c r="G183" s="205">
        <v>4.047001596556222</v>
      </c>
      <c r="H183" s="205">
        <v>8.8771502000050155</v>
      </c>
      <c r="I183" s="205">
        <v>10.936780890789356</v>
      </c>
      <c r="J183" s="205">
        <v>12.413139804102888</v>
      </c>
      <c r="K183" s="205">
        <v>12.74574707284367</v>
      </c>
      <c r="L183" s="206">
        <v>15.981921232306975</v>
      </c>
      <c r="M183" s="204">
        <v>18.778254671104399</v>
      </c>
      <c r="N183" s="205">
        <v>16.536141887856346</v>
      </c>
      <c r="O183" s="205">
        <v>23.170339934500419</v>
      </c>
      <c r="P183" s="205">
        <v>17.71841880912881</v>
      </c>
      <c r="Q183" s="205">
        <v>19.269845243586964</v>
      </c>
      <c r="R183" s="205">
        <v>17.506954597464517</v>
      </c>
      <c r="S183" s="205">
        <v>19.491704481756081</v>
      </c>
      <c r="T183" s="205">
        <v>22.859475035989149</v>
      </c>
      <c r="U183" s="205">
        <v>17.55435095035681</v>
      </c>
      <c r="V183" s="205">
        <v>21.449290965791867</v>
      </c>
      <c r="W183" s="205">
        <v>16.951021060153238</v>
      </c>
      <c r="X183" s="206">
        <v>16.878860480144361</v>
      </c>
      <c r="Y183" s="204">
        <v>14.76</v>
      </c>
      <c r="Z183" s="205">
        <v>10.46</v>
      </c>
      <c r="AA183" s="205">
        <v>15.01</v>
      </c>
      <c r="AB183" s="205">
        <v>14.98</v>
      </c>
      <c r="AC183" s="205">
        <v>15</v>
      </c>
      <c r="AD183" s="206" t="s">
        <v>93</v>
      </c>
      <c r="AE183" s="199" t="s">
        <v>207</v>
      </c>
    </row>
    <row r="184" spans="2:31" ht="12" hidden="1" customHeight="1">
      <c r="B184" s="367">
        <v>39995</v>
      </c>
      <c r="C184" s="204"/>
      <c r="D184" s="205"/>
      <c r="E184" s="205"/>
      <c r="F184" s="205"/>
      <c r="G184" s="205"/>
      <c r="H184" s="205"/>
      <c r="I184" s="205"/>
      <c r="J184" s="205"/>
      <c r="K184" s="205"/>
      <c r="L184" s="206"/>
      <c r="M184" s="204"/>
      <c r="N184" s="205"/>
      <c r="O184" s="205"/>
      <c r="P184" s="205"/>
      <c r="Q184" s="205"/>
      <c r="R184" s="205"/>
      <c r="S184" s="205"/>
      <c r="T184" s="205"/>
      <c r="U184" s="205"/>
      <c r="V184" s="205"/>
      <c r="W184" s="205"/>
      <c r="X184" s="206"/>
      <c r="Y184" s="204"/>
      <c r="Z184" s="205"/>
      <c r="AA184" s="205"/>
      <c r="AB184" s="205"/>
      <c r="AC184" s="205"/>
      <c r="AD184" s="206"/>
      <c r="AE184" s="374">
        <f>+B184</f>
        <v>39995</v>
      </c>
    </row>
    <row r="185" spans="2:31" ht="12" hidden="1" customHeight="1">
      <c r="B185" s="366" t="s">
        <v>184</v>
      </c>
      <c r="C185" s="204">
        <v>11.447808438893727</v>
      </c>
      <c r="D185" s="205">
        <v>8.3621216475929447</v>
      </c>
      <c r="E185" s="205">
        <v>12.750665830845687</v>
      </c>
      <c r="F185" s="205">
        <v>11.133432795752146</v>
      </c>
      <c r="G185" s="205">
        <v>8.4235221085648551</v>
      </c>
      <c r="H185" s="205">
        <v>8.8507404685211988</v>
      </c>
      <c r="I185" s="205">
        <v>11.278341122543329</v>
      </c>
      <c r="J185" s="205">
        <v>12.217375661778464</v>
      </c>
      <c r="K185" s="205">
        <v>11.874092311304912</v>
      </c>
      <c r="L185" s="206">
        <v>11.775226042487279</v>
      </c>
      <c r="M185" s="204">
        <v>17.116687412680399</v>
      </c>
      <c r="N185" s="205">
        <v>14.801566168412959</v>
      </c>
      <c r="O185" s="205">
        <v>21.186402407044071</v>
      </c>
      <c r="P185" s="205">
        <v>18.231213411213499</v>
      </c>
      <c r="Q185" s="205">
        <v>17.708376922358603</v>
      </c>
      <c r="R185" s="205">
        <v>17.057670050180462</v>
      </c>
      <c r="S185" s="205">
        <v>17.549353737601493</v>
      </c>
      <c r="T185" s="205">
        <v>19.230201523106555</v>
      </c>
      <c r="U185" s="205">
        <v>18.16204491241297</v>
      </c>
      <c r="V185" s="205">
        <v>11.964024870682147</v>
      </c>
      <c r="W185" s="205">
        <v>12.912471917502307</v>
      </c>
      <c r="X185" s="206">
        <v>8.6024509439521779</v>
      </c>
      <c r="Y185" s="204">
        <v>16.137374622725897</v>
      </c>
      <c r="Z185" s="205">
        <v>12.682539682539682</v>
      </c>
      <c r="AA185" s="205">
        <v>15.281445138269403</v>
      </c>
      <c r="AB185" s="205">
        <v>15.783271418176248</v>
      </c>
      <c r="AC185" s="205">
        <v>17.135494450517893</v>
      </c>
      <c r="AD185" s="206">
        <v>17.221073774006452</v>
      </c>
      <c r="AE185" s="199" t="s">
        <v>350</v>
      </c>
    </row>
    <row r="186" spans="2:31" ht="12" hidden="1" customHeight="1">
      <c r="B186" s="366" t="s">
        <v>351</v>
      </c>
      <c r="C186" s="204">
        <v>10.772275632790823</v>
      </c>
      <c r="D186" s="205">
        <v>6.1945631976303677</v>
      </c>
      <c r="E186" s="205">
        <v>12.532787937305654</v>
      </c>
      <c r="F186" s="205">
        <v>5.6201613308901797</v>
      </c>
      <c r="G186" s="205">
        <v>6.3618175856173824</v>
      </c>
      <c r="H186" s="205">
        <v>9.0134478139632233</v>
      </c>
      <c r="I186" s="205">
        <v>11.153805947439542</v>
      </c>
      <c r="J186" s="205">
        <v>12.514230579194717</v>
      </c>
      <c r="K186" s="205">
        <v>12.955385803248554</v>
      </c>
      <c r="L186" s="206">
        <v>15.988570234781253</v>
      </c>
      <c r="M186" s="204">
        <v>17.590529734428145</v>
      </c>
      <c r="N186" s="205">
        <v>15.014922478265103</v>
      </c>
      <c r="O186" s="205">
        <v>22.672918645058118</v>
      </c>
      <c r="P186" s="205">
        <v>17.78040717935643</v>
      </c>
      <c r="Q186" s="205">
        <v>19.299449134693042</v>
      </c>
      <c r="R186" s="205">
        <v>17.956329727478597</v>
      </c>
      <c r="S186" s="205">
        <v>16.518553471857601</v>
      </c>
      <c r="T186" s="205">
        <v>21.229140453549991</v>
      </c>
      <c r="U186" s="205">
        <v>16.285583833253131</v>
      </c>
      <c r="V186" s="205">
        <v>21.306164933368532</v>
      </c>
      <c r="W186" s="205">
        <v>16.847123539976192</v>
      </c>
      <c r="X186" s="206">
        <v>16.887591035213553</v>
      </c>
      <c r="Y186" s="204">
        <v>14.573027229924994</v>
      </c>
      <c r="Z186" s="205">
        <v>13.436666933629281</v>
      </c>
      <c r="AA186" s="205">
        <v>16.331500303398059</v>
      </c>
      <c r="AB186" s="205">
        <v>13.55135717930569</v>
      </c>
      <c r="AC186" s="205">
        <v>11.829747613749488</v>
      </c>
      <c r="AD186" s="206">
        <v>19.845190532931476</v>
      </c>
      <c r="AE186" s="199" t="s">
        <v>207</v>
      </c>
    </row>
    <row r="187" spans="2:31" ht="12" hidden="1" customHeight="1">
      <c r="B187" s="367">
        <v>40026</v>
      </c>
      <c r="C187" s="204"/>
      <c r="D187" s="205"/>
      <c r="E187" s="205"/>
      <c r="F187" s="205"/>
      <c r="G187" s="205"/>
      <c r="H187" s="205"/>
      <c r="I187" s="205"/>
      <c r="J187" s="205"/>
      <c r="K187" s="205"/>
      <c r="L187" s="206"/>
      <c r="M187" s="204"/>
      <c r="N187" s="205"/>
      <c r="O187" s="205"/>
      <c r="P187" s="205"/>
      <c r="Q187" s="205"/>
      <c r="R187" s="205"/>
      <c r="S187" s="205"/>
      <c r="T187" s="205"/>
      <c r="U187" s="205"/>
      <c r="V187" s="205"/>
      <c r="W187" s="205"/>
      <c r="X187" s="206"/>
      <c r="Y187" s="204"/>
      <c r="Z187" s="205"/>
      <c r="AA187" s="205"/>
      <c r="AB187" s="205"/>
      <c r="AC187" s="205"/>
      <c r="AD187" s="206"/>
      <c r="AE187" s="374">
        <f>+B187</f>
        <v>40026</v>
      </c>
    </row>
    <row r="188" spans="2:31" ht="12" hidden="1" customHeight="1">
      <c r="B188" s="366" t="s">
        <v>184</v>
      </c>
      <c r="C188" s="204">
        <v>11.2737738352271</v>
      </c>
      <c r="D188" s="205">
        <v>8.2554996651869264</v>
      </c>
      <c r="E188" s="205">
        <v>12.525949162033642</v>
      </c>
      <c r="F188" s="205">
        <v>11.209604742449713</v>
      </c>
      <c r="G188" s="205">
        <v>7.9933150390491985</v>
      </c>
      <c r="H188" s="205">
        <v>9.1733903101047201</v>
      </c>
      <c r="I188" s="205">
        <v>11.263516344298061</v>
      </c>
      <c r="J188" s="205">
        <v>12.271956854730886</v>
      </c>
      <c r="K188" s="205">
        <v>11.802257487106507</v>
      </c>
      <c r="L188" s="206">
        <v>11.498987083774407</v>
      </c>
      <c r="M188" s="204">
        <v>15.335169811558794</v>
      </c>
      <c r="N188" s="205">
        <v>12.741690278834879</v>
      </c>
      <c r="O188" s="205">
        <v>20.828893136326254</v>
      </c>
      <c r="P188" s="205">
        <v>17.087374130211664</v>
      </c>
      <c r="Q188" s="205">
        <v>15.344307230895037</v>
      </c>
      <c r="R188" s="205">
        <v>13.670126163513673</v>
      </c>
      <c r="S188" s="205">
        <v>15.959003739154827</v>
      </c>
      <c r="T188" s="205">
        <v>20.367207441799817</v>
      </c>
      <c r="U188" s="205">
        <v>15.054927982028779</v>
      </c>
      <c r="V188" s="205">
        <v>11.793331913306822</v>
      </c>
      <c r="W188" s="205">
        <v>12.857468672654221</v>
      </c>
      <c r="X188" s="206">
        <v>8.4987876318652145</v>
      </c>
      <c r="Y188" s="204">
        <v>15.084702993403175</v>
      </c>
      <c r="Z188" s="205">
        <v>17.297872340425531</v>
      </c>
      <c r="AA188" s="205">
        <v>13.369565217391303</v>
      </c>
      <c r="AB188" s="205">
        <v>14.972196515920395</v>
      </c>
      <c r="AC188" s="205">
        <v>17.375044201890663</v>
      </c>
      <c r="AD188" s="206">
        <v>17.14</v>
      </c>
      <c r="AE188" s="199" t="s">
        <v>350</v>
      </c>
    </row>
    <row r="189" spans="2:31" ht="12" hidden="1" customHeight="1">
      <c r="B189" s="366" t="s">
        <v>351</v>
      </c>
      <c r="C189" s="204">
        <v>9.382649390351828</v>
      </c>
      <c r="D189" s="205">
        <v>4.8453775102855925</v>
      </c>
      <c r="E189" s="205">
        <v>12.296578530814406</v>
      </c>
      <c r="F189" s="205">
        <v>5.7362991057213284</v>
      </c>
      <c r="G189" s="205">
        <v>4.269403745236577</v>
      </c>
      <c r="H189" s="205">
        <v>9.8072234658875566</v>
      </c>
      <c r="I189" s="205">
        <v>10.958832122369673</v>
      </c>
      <c r="J189" s="205">
        <v>12.47785013206758</v>
      </c>
      <c r="K189" s="205">
        <v>12.876111802423967</v>
      </c>
      <c r="L189" s="206">
        <v>16.00878595537344</v>
      </c>
      <c r="M189" s="204">
        <v>16.38999262302946</v>
      </c>
      <c r="N189" s="205">
        <v>13.786681338539655</v>
      </c>
      <c r="O189" s="205">
        <v>22.194524269189404</v>
      </c>
      <c r="P189" s="205">
        <v>18.117752961935061</v>
      </c>
      <c r="Q189" s="205">
        <v>18.408885538641023</v>
      </c>
      <c r="R189" s="205">
        <v>17.869686414676188</v>
      </c>
      <c r="S189" s="205">
        <v>19.577396051035748</v>
      </c>
      <c r="T189" s="205">
        <v>20.713922558766271</v>
      </c>
      <c r="U189" s="205">
        <v>14.725577531199132</v>
      </c>
      <c r="V189" s="205">
        <v>21.098968106856951</v>
      </c>
      <c r="W189" s="205">
        <v>16.869583839863957</v>
      </c>
      <c r="X189" s="206">
        <v>16.902592219011257</v>
      </c>
      <c r="Y189" s="204">
        <v>15.123587257947719</v>
      </c>
      <c r="Z189" s="205">
        <v>12.856087163810752</v>
      </c>
      <c r="AA189" s="205">
        <v>16.168748096253427</v>
      </c>
      <c r="AB189" s="205">
        <v>14.813655713343985</v>
      </c>
      <c r="AC189" s="205">
        <v>12.038959568780095</v>
      </c>
      <c r="AD189" s="206">
        <v>19.882192721625188</v>
      </c>
      <c r="AE189" s="199" t="s">
        <v>207</v>
      </c>
    </row>
    <row r="190" spans="2:31" ht="12" hidden="1" customHeight="1">
      <c r="B190" s="367">
        <v>40057</v>
      </c>
      <c r="C190" s="204"/>
      <c r="D190" s="205"/>
      <c r="E190" s="205"/>
      <c r="F190" s="205"/>
      <c r="G190" s="205"/>
      <c r="H190" s="205"/>
      <c r="I190" s="205"/>
      <c r="J190" s="205"/>
      <c r="K190" s="205"/>
      <c r="L190" s="206"/>
      <c r="M190" s="204"/>
      <c r="N190" s="205"/>
      <c r="O190" s="205"/>
      <c r="P190" s="205"/>
      <c r="Q190" s="205"/>
      <c r="R190" s="205"/>
      <c r="S190" s="205"/>
      <c r="T190" s="205"/>
      <c r="U190" s="205"/>
      <c r="V190" s="205"/>
      <c r="W190" s="205"/>
      <c r="X190" s="206"/>
      <c r="Y190" s="204"/>
      <c r="Z190" s="205"/>
      <c r="AA190" s="205"/>
      <c r="AB190" s="205"/>
      <c r="AC190" s="205"/>
      <c r="AD190" s="206"/>
      <c r="AE190" s="374">
        <f>+B190</f>
        <v>40057</v>
      </c>
    </row>
    <row r="191" spans="2:31" ht="12" hidden="1" customHeight="1">
      <c r="B191" s="366" t="s">
        <v>184</v>
      </c>
      <c r="C191" s="204">
        <v>11.610215496933973</v>
      </c>
      <c r="D191" s="205">
        <v>8.4057084050314543</v>
      </c>
      <c r="E191" s="205">
        <v>12.919316585535949</v>
      </c>
      <c r="F191" s="205">
        <v>9.6494922970841444</v>
      </c>
      <c r="G191" s="205">
        <v>9.2336363550500984</v>
      </c>
      <c r="H191" s="205">
        <v>9.2119402585047006</v>
      </c>
      <c r="I191" s="205">
        <v>11.666020096411032</v>
      </c>
      <c r="J191" s="205">
        <v>12.37681757055673</v>
      </c>
      <c r="K191" s="205">
        <v>12.151233937691803</v>
      </c>
      <c r="L191" s="206">
        <v>11.242089643288836</v>
      </c>
      <c r="M191" s="204">
        <v>14.859023296481148</v>
      </c>
      <c r="N191" s="205">
        <v>12.484725772428783</v>
      </c>
      <c r="O191" s="205">
        <v>20.678859660673581</v>
      </c>
      <c r="P191" s="205">
        <v>20.499410768811625</v>
      </c>
      <c r="Q191" s="205">
        <v>15.241032530626123</v>
      </c>
      <c r="R191" s="205">
        <v>13.716193827882998</v>
      </c>
      <c r="S191" s="205">
        <v>15.653721569774607</v>
      </c>
      <c r="T191" s="205">
        <v>20.63596323017131</v>
      </c>
      <c r="U191" s="205">
        <v>14.173802971357125</v>
      </c>
      <c r="V191" s="205">
        <v>11.732677771600988</v>
      </c>
      <c r="W191" s="205">
        <v>12.663843175275884</v>
      </c>
      <c r="X191" s="206">
        <v>8.392804326015499</v>
      </c>
      <c r="Y191" s="204">
        <v>18.708027737034687</v>
      </c>
      <c r="Z191" s="205">
        <v>17</v>
      </c>
      <c r="AA191" s="205">
        <v>24.1</v>
      </c>
      <c r="AB191" s="205">
        <v>17.375009375234381</v>
      </c>
      <c r="AC191" s="205">
        <v>17.311010009099181</v>
      </c>
      <c r="AD191" s="206">
        <v>17.567868431902514</v>
      </c>
      <c r="AE191" s="199" t="s">
        <v>350</v>
      </c>
    </row>
    <row r="192" spans="2:31" ht="11.25" hidden="1" customHeight="1">
      <c r="B192" s="366" t="s">
        <v>351</v>
      </c>
      <c r="C192" s="204">
        <v>9.555496467843259</v>
      </c>
      <c r="D192" s="205">
        <v>4.9371418605565029</v>
      </c>
      <c r="E192" s="205">
        <v>12.4502440956194</v>
      </c>
      <c r="F192" s="205">
        <v>5.7818168112929822</v>
      </c>
      <c r="G192" s="205">
        <v>5.8113609375938866</v>
      </c>
      <c r="H192" s="205">
        <v>9.0200519245786221</v>
      </c>
      <c r="I192" s="205">
        <v>11.051815132301845</v>
      </c>
      <c r="J192" s="205">
        <v>12.481476289290937</v>
      </c>
      <c r="K192" s="205">
        <v>13.004780060577403</v>
      </c>
      <c r="L192" s="206">
        <v>16.06943324551197</v>
      </c>
      <c r="M192" s="204">
        <v>15.484034415087605</v>
      </c>
      <c r="N192" s="205">
        <v>12.705685923312313</v>
      </c>
      <c r="O192" s="205">
        <v>21.760760867724894</v>
      </c>
      <c r="P192" s="205">
        <v>18.092380536976151</v>
      </c>
      <c r="Q192" s="205">
        <v>18.922803943977655</v>
      </c>
      <c r="R192" s="205">
        <v>17.86444794375209</v>
      </c>
      <c r="S192" s="205">
        <v>19.471267153970022</v>
      </c>
      <c r="T192" s="205">
        <v>19.232568295579423</v>
      </c>
      <c r="U192" s="205">
        <v>13.96767426413826</v>
      </c>
      <c r="V192" s="205">
        <v>20.995169090456812</v>
      </c>
      <c r="W192" s="205">
        <v>16.898742660656676</v>
      </c>
      <c r="X192" s="206">
        <v>16.807053209899358</v>
      </c>
      <c r="Y192" s="204">
        <v>15.024009216115598</v>
      </c>
      <c r="Z192" s="205">
        <v>5.6043414735963264</v>
      </c>
      <c r="AA192" s="205">
        <v>15.104326254668374</v>
      </c>
      <c r="AB192" s="205">
        <v>15.08185641526906</v>
      </c>
      <c r="AC192" s="205">
        <v>14.675523893304847</v>
      </c>
      <c r="AD192" s="206">
        <v>17.045253242277557</v>
      </c>
      <c r="AE192" s="199" t="s">
        <v>207</v>
      </c>
    </row>
    <row r="193" spans="2:31" ht="12" hidden="1" customHeight="1">
      <c r="B193" s="367">
        <v>40087</v>
      </c>
      <c r="C193" s="204"/>
      <c r="D193" s="205"/>
      <c r="E193" s="205"/>
      <c r="F193" s="205"/>
      <c r="G193" s="205"/>
      <c r="H193" s="205"/>
      <c r="I193" s="205"/>
      <c r="J193" s="205"/>
      <c r="K193" s="205"/>
      <c r="L193" s="206"/>
      <c r="M193" s="204"/>
      <c r="N193" s="205"/>
      <c r="O193" s="205"/>
      <c r="P193" s="205"/>
      <c r="Q193" s="205"/>
      <c r="R193" s="205"/>
      <c r="S193" s="205"/>
      <c r="T193" s="205"/>
      <c r="U193" s="205"/>
      <c r="V193" s="205"/>
      <c r="W193" s="205"/>
      <c r="X193" s="206"/>
      <c r="Y193" s="204"/>
      <c r="Z193" s="205"/>
      <c r="AA193" s="205"/>
      <c r="AB193" s="205"/>
      <c r="AC193" s="205"/>
      <c r="AD193" s="206"/>
      <c r="AE193" s="374">
        <f>+B193</f>
        <v>40087</v>
      </c>
    </row>
    <row r="194" spans="2:31" ht="12" hidden="1" customHeight="1">
      <c r="B194" s="366" t="s">
        <v>184</v>
      </c>
      <c r="C194" s="204">
        <v>11.798945861116858</v>
      </c>
      <c r="D194" s="205">
        <v>7.8341342279723589</v>
      </c>
      <c r="E194" s="205">
        <v>13.037804423806095</v>
      </c>
      <c r="F194" s="205">
        <v>8.3552199973613188</v>
      </c>
      <c r="G194" s="205">
        <v>9.7820483094358135</v>
      </c>
      <c r="H194" s="205">
        <v>9.7527301123419274</v>
      </c>
      <c r="I194" s="205">
        <v>11.679065867950971</v>
      </c>
      <c r="J194" s="205">
        <v>12.578377850856343</v>
      </c>
      <c r="K194" s="205">
        <v>12.105632869511977</v>
      </c>
      <c r="L194" s="206">
        <v>11.971692171507581</v>
      </c>
      <c r="M194" s="204">
        <v>14.627108948242133</v>
      </c>
      <c r="N194" s="205">
        <v>12.145588154385962</v>
      </c>
      <c r="O194" s="205">
        <v>20.566761900845233</v>
      </c>
      <c r="P194" s="205">
        <v>18.037014808997807</v>
      </c>
      <c r="Q194" s="205">
        <v>15.698275209742139</v>
      </c>
      <c r="R194" s="205">
        <v>13.705133354260093</v>
      </c>
      <c r="S194" s="205">
        <v>15.462172797883319</v>
      </c>
      <c r="T194" s="205">
        <v>20.343789371280774</v>
      </c>
      <c r="U194" s="205">
        <v>13.959736430392459</v>
      </c>
      <c r="V194" s="205">
        <v>11.543799520160263</v>
      </c>
      <c r="W194" s="205">
        <v>12.96295002153774</v>
      </c>
      <c r="X194" s="206">
        <v>8.2787198590861966</v>
      </c>
      <c r="Y194" s="204">
        <v>15.334492432986369</v>
      </c>
      <c r="Z194" s="205">
        <v>7</v>
      </c>
      <c r="AA194" s="205">
        <v>14.814814814814815</v>
      </c>
      <c r="AB194" s="205">
        <v>15.61457322033009</v>
      </c>
      <c r="AC194" s="205">
        <v>15.702678852820673</v>
      </c>
      <c r="AD194" s="206">
        <v>17.531830699095181</v>
      </c>
      <c r="AE194" s="199" t="s">
        <v>350</v>
      </c>
    </row>
    <row r="195" spans="2:31" ht="12" hidden="1" customHeight="1">
      <c r="B195" s="366" t="s">
        <v>351</v>
      </c>
      <c r="C195" s="204">
        <v>10.644111620393474</v>
      </c>
      <c r="D195" s="205">
        <v>4.7922252658994529</v>
      </c>
      <c r="E195" s="205">
        <v>12.502775785907172</v>
      </c>
      <c r="F195" s="205">
        <v>5.6993803803681118</v>
      </c>
      <c r="G195" s="205">
        <v>5.5422164748664819</v>
      </c>
      <c r="H195" s="205">
        <v>8.9681011973848559</v>
      </c>
      <c r="I195" s="205">
        <v>10.976979714724227</v>
      </c>
      <c r="J195" s="205">
        <v>12.471792286014333</v>
      </c>
      <c r="K195" s="205">
        <v>13.12439813694578</v>
      </c>
      <c r="L195" s="206">
        <v>16.233444842122218</v>
      </c>
      <c r="M195" s="204">
        <v>16.349074122510341</v>
      </c>
      <c r="N195" s="205">
        <v>13.878704149077201</v>
      </c>
      <c r="O195" s="205">
        <v>22.246313360511905</v>
      </c>
      <c r="P195" s="205">
        <v>18.778511818595252</v>
      </c>
      <c r="Q195" s="205">
        <v>18.641616173456821</v>
      </c>
      <c r="R195" s="205">
        <v>17.072594858816434</v>
      </c>
      <c r="S195" s="205">
        <v>19.188980947980525</v>
      </c>
      <c r="T195" s="205">
        <v>20.074990453465563</v>
      </c>
      <c r="U195" s="205">
        <v>14.84619843803115</v>
      </c>
      <c r="V195" s="205">
        <v>20.71465889663698</v>
      </c>
      <c r="W195" s="205">
        <v>17.124751900312791</v>
      </c>
      <c r="X195" s="206">
        <v>16.704302595126364</v>
      </c>
      <c r="Y195" s="204">
        <v>12.760194743037617</v>
      </c>
      <c r="Z195" s="205">
        <v>7.9014534568073591</v>
      </c>
      <c r="AA195" s="205">
        <v>17.79703273172224</v>
      </c>
      <c r="AB195" s="205">
        <v>14.743201744625928</v>
      </c>
      <c r="AC195" s="205">
        <v>14.680064829821717</v>
      </c>
      <c r="AD195" s="206">
        <v>17.05601047632571</v>
      </c>
      <c r="AE195" s="199" t="s">
        <v>207</v>
      </c>
    </row>
    <row r="196" spans="2:31" ht="12" hidden="1" customHeight="1">
      <c r="B196" s="367">
        <v>40118</v>
      </c>
      <c r="C196" s="204"/>
      <c r="D196" s="205"/>
      <c r="E196" s="205"/>
      <c r="F196" s="205"/>
      <c r="G196" s="205"/>
      <c r="H196" s="205"/>
      <c r="I196" s="205"/>
      <c r="J196" s="205"/>
      <c r="K196" s="205"/>
      <c r="L196" s="206"/>
      <c r="M196" s="204"/>
      <c r="N196" s="205"/>
      <c r="O196" s="205"/>
      <c r="P196" s="205"/>
      <c r="Q196" s="205"/>
      <c r="R196" s="205"/>
      <c r="S196" s="205"/>
      <c r="T196" s="205"/>
      <c r="U196" s="205"/>
      <c r="V196" s="205"/>
      <c r="W196" s="205"/>
      <c r="X196" s="206"/>
      <c r="Y196" s="204"/>
      <c r="Z196" s="205"/>
      <c r="AA196" s="205"/>
      <c r="AB196" s="205"/>
      <c r="AC196" s="205"/>
      <c r="AD196" s="206"/>
      <c r="AE196" s="374">
        <f>+B196</f>
        <v>40118</v>
      </c>
    </row>
    <row r="197" spans="2:31" ht="12" hidden="1" customHeight="1">
      <c r="B197" s="366" t="s">
        <v>184</v>
      </c>
      <c r="C197" s="204">
        <v>11.90814342430798</v>
      </c>
      <c r="D197" s="205">
        <v>7.0511474741301665</v>
      </c>
      <c r="E197" s="205">
        <v>13.205636117207286</v>
      </c>
      <c r="F197" s="205">
        <v>7.8698268138491132</v>
      </c>
      <c r="G197" s="205">
        <v>9.8553158985182652</v>
      </c>
      <c r="H197" s="205">
        <v>10.023250552766612</v>
      </c>
      <c r="I197" s="205">
        <v>11.804166827592338</v>
      </c>
      <c r="J197" s="205">
        <v>12.612072852029705</v>
      </c>
      <c r="K197" s="205">
        <v>12.360912007095179</v>
      </c>
      <c r="L197" s="206">
        <v>12.148031056462687</v>
      </c>
      <c r="M197" s="204">
        <v>16.229813262683688</v>
      </c>
      <c r="N197" s="205">
        <v>14.399256201955616</v>
      </c>
      <c r="O197" s="205">
        <v>20.729472194875601</v>
      </c>
      <c r="P197" s="205">
        <v>17.335015856329605</v>
      </c>
      <c r="Q197" s="205">
        <v>15.800761127848201</v>
      </c>
      <c r="R197" s="205">
        <v>14.218317546716106</v>
      </c>
      <c r="S197" s="205">
        <v>15.561927109956326</v>
      </c>
      <c r="T197" s="205">
        <v>21.828615595080933</v>
      </c>
      <c r="U197" s="205">
        <v>16.44533281019724</v>
      </c>
      <c r="V197" s="205">
        <v>11.741408063702028</v>
      </c>
      <c r="W197" s="205">
        <v>12.869951453627818</v>
      </c>
      <c r="X197" s="206">
        <v>8.5796143556476032</v>
      </c>
      <c r="Y197" s="204">
        <v>18.40961558221953</v>
      </c>
      <c r="Z197" s="205">
        <v>16.666666666666668</v>
      </c>
      <c r="AA197" s="205">
        <v>16.93401567944251</v>
      </c>
      <c r="AB197" s="205">
        <v>19.782984786037755</v>
      </c>
      <c r="AC197" s="205">
        <v>19.804917325664988</v>
      </c>
      <c r="AD197" s="206">
        <v>16.883990480919039</v>
      </c>
      <c r="AE197" s="199" t="s">
        <v>350</v>
      </c>
    </row>
    <row r="198" spans="2:31" ht="12" hidden="1" customHeight="1">
      <c r="B198" s="366" t="s">
        <v>351</v>
      </c>
      <c r="C198" s="204">
        <v>10.890232332606585</v>
      </c>
      <c r="D198" s="205">
        <v>5.8098047357939899</v>
      </c>
      <c r="E198" s="205">
        <v>12.5884777156938</v>
      </c>
      <c r="F198" s="205">
        <v>5.6368598269778341</v>
      </c>
      <c r="G198" s="205">
        <v>6.428620243045529</v>
      </c>
      <c r="H198" s="205">
        <v>9.1166436634833978</v>
      </c>
      <c r="I198" s="205">
        <v>11.510853018890312</v>
      </c>
      <c r="J198" s="205">
        <v>12.354274827653279</v>
      </c>
      <c r="K198" s="205">
        <v>13.022681106290463</v>
      </c>
      <c r="L198" s="206">
        <v>16.269294808633383</v>
      </c>
      <c r="M198" s="204">
        <v>18.352515173544425</v>
      </c>
      <c r="N198" s="205">
        <v>16.062222635255594</v>
      </c>
      <c r="O198" s="205">
        <v>23.928779196304248</v>
      </c>
      <c r="P198" s="205">
        <v>18.285930462707089</v>
      </c>
      <c r="Q198" s="205">
        <v>17.131686157507989</v>
      </c>
      <c r="R198" s="205">
        <v>15.336144153626089</v>
      </c>
      <c r="S198" s="205">
        <v>19.923950757954412</v>
      </c>
      <c r="T198" s="205">
        <v>22.736001000816373</v>
      </c>
      <c r="U198" s="205">
        <v>17.12101687503127</v>
      </c>
      <c r="V198" s="205">
        <v>20.330354790359184</v>
      </c>
      <c r="W198" s="205">
        <v>17.508540003746155</v>
      </c>
      <c r="X198" s="206">
        <v>23.86041343787036</v>
      </c>
      <c r="Y198" s="204">
        <v>9.9357727686243607</v>
      </c>
      <c r="Z198" s="205">
        <v>2.8666380341749242</v>
      </c>
      <c r="AA198" s="205">
        <v>9.4787199287199275</v>
      </c>
      <c r="AB198" s="205">
        <v>6.2537266826762234</v>
      </c>
      <c r="AC198" s="205">
        <v>15.230208861043598</v>
      </c>
      <c r="AD198" s="206">
        <v>16.368200268594105</v>
      </c>
      <c r="AE198" s="199" t="s">
        <v>207</v>
      </c>
    </row>
    <row r="199" spans="2:31" ht="12" hidden="1" customHeight="1">
      <c r="B199" s="367">
        <v>40148</v>
      </c>
      <c r="C199" s="204"/>
      <c r="D199" s="205"/>
      <c r="E199" s="205"/>
      <c r="F199" s="205"/>
      <c r="G199" s="205"/>
      <c r="H199" s="205"/>
      <c r="I199" s="205"/>
      <c r="J199" s="205"/>
      <c r="K199" s="205"/>
      <c r="L199" s="206"/>
      <c r="M199" s="204"/>
      <c r="N199" s="205"/>
      <c r="O199" s="205"/>
      <c r="P199" s="205"/>
      <c r="Q199" s="205"/>
      <c r="R199" s="205"/>
      <c r="S199" s="205"/>
      <c r="T199" s="205"/>
      <c r="U199" s="205"/>
      <c r="V199" s="205"/>
      <c r="W199" s="205"/>
      <c r="X199" s="206"/>
      <c r="Y199" s="204"/>
      <c r="Z199" s="205"/>
      <c r="AA199" s="205"/>
      <c r="AB199" s="205"/>
      <c r="AC199" s="205"/>
      <c r="AD199" s="206"/>
      <c r="AE199" s="374">
        <f>+B199</f>
        <v>40148</v>
      </c>
    </row>
    <row r="200" spans="2:31" ht="12" hidden="1" customHeight="1">
      <c r="B200" s="366" t="s">
        <v>184</v>
      </c>
      <c r="C200" s="204">
        <v>11.662952694568434</v>
      </c>
      <c r="D200" s="205">
        <v>6.7467347989308237</v>
      </c>
      <c r="E200" s="205">
        <v>12.940092829025316</v>
      </c>
      <c r="F200" s="205">
        <v>6.9936324112332979</v>
      </c>
      <c r="G200" s="205">
        <v>7.1363336581173344</v>
      </c>
      <c r="H200" s="205">
        <v>9.3749235503900969</v>
      </c>
      <c r="I200" s="205">
        <v>11.827285900821366</v>
      </c>
      <c r="J200" s="205">
        <v>12.480884716648257</v>
      </c>
      <c r="K200" s="205">
        <v>12.505935633060766</v>
      </c>
      <c r="L200" s="206">
        <v>12.462146880863832</v>
      </c>
      <c r="M200" s="204">
        <v>14.649243154767603</v>
      </c>
      <c r="N200" s="205">
        <v>12.276878861734627</v>
      </c>
      <c r="O200" s="205">
        <v>20.418390991471711</v>
      </c>
      <c r="P200" s="205">
        <v>19.123244798511564</v>
      </c>
      <c r="Q200" s="205">
        <v>13.810689100031698</v>
      </c>
      <c r="R200" s="205">
        <v>14.674413455600055</v>
      </c>
      <c r="S200" s="205">
        <v>13.293022729736585</v>
      </c>
      <c r="T200" s="205">
        <v>21.12103532577067</v>
      </c>
      <c r="U200" s="205">
        <v>13.793541546303121</v>
      </c>
      <c r="V200" s="205">
        <v>12.124037553378439</v>
      </c>
      <c r="W200" s="205">
        <v>13.052234843765378</v>
      </c>
      <c r="X200" s="206">
        <v>8.4995342111324579</v>
      </c>
      <c r="Y200" s="204">
        <v>17.680176814578594</v>
      </c>
      <c r="Z200" s="205">
        <v>16.729187071498529</v>
      </c>
      <c r="AA200" s="205">
        <v>17.718309859154928</v>
      </c>
      <c r="AB200" s="205">
        <v>18.012222222222221</v>
      </c>
      <c r="AC200" s="205">
        <v>18.084811576818684</v>
      </c>
      <c r="AD200" s="206">
        <v>16.883711770951059</v>
      </c>
      <c r="AE200" s="199" t="s">
        <v>350</v>
      </c>
    </row>
    <row r="201" spans="2:31" ht="12" hidden="1" customHeight="1">
      <c r="B201" s="366" t="s">
        <v>351</v>
      </c>
      <c r="C201" s="204">
        <v>10.797985330539023</v>
      </c>
      <c r="D201" s="205">
        <v>5.8641526072663108</v>
      </c>
      <c r="E201" s="205">
        <v>12.409959689183946</v>
      </c>
      <c r="F201" s="205">
        <v>5.3133007088672128</v>
      </c>
      <c r="G201" s="205">
        <v>4.1873731962796201</v>
      </c>
      <c r="H201" s="205">
        <v>8.7314678629140943</v>
      </c>
      <c r="I201" s="205">
        <v>11.50480929661029</v>
      </c>
      <c r="J201" s="205">
        <v>12.462827955657627</v>
      </c>
      <c r="K201" s="205">
        <v>12.916675802190166</v>
      </c>
      <c r="L201" s="206">
        <v>16.14538736760678</v>
      </c>
      <c r="M201" s="204">
        <v>16.708503036153505</v>
      </c>
      <c r="N201" s="205">
        <v>14.009336170410792</v>
      </c>
      <c r="O201" s="205">
        <v>23.237093303191561</v>
      </c>
      <c r="P201" s="205">
        <v>17.905994409992061</v>
      </c>
      <c r="Q201" s="205">
        <v>19.468548703745125</v>
      </c>
      <c r="R201" s="205">
        <v>17.170641623581094</v>
      </c>
      <c r="S201" s="205">
        <v>16.47704537651844</v>
      </c>
      <c r="T201" s="205">
        <v>21.056959473220232</v>
      </c>
      <c r="U201" s="205">
        <v>15.020891547192154</v>
      </c>
      <c r="V201" s="205">
        <v>20.220567591536451</v>
      </c>
      <c r="W201" s="205">
        <v>17.472420189423627</v>
      </c>
      <c r="X201" s="206">
        <v>23.901380693211113</v>
      </c>
      <c r="Y201" s="204">
        <v>9.7384961106722621</v>
      </c>
      <c r="Z201" s="205">
        <v>4.4611335780501467</v>
      </c>
      <c r="AA201" s="205">
        <v>6.1410488245931285</v>
      </c>
      <c r="AB201" s="205">
        <v>3.8089698749782608</v>
      </c>
      <c r="AC201" s="205">
        <v>14.622134564903069</v>
      </c>
      <c r="AD201" s="206">
        <v>17.056149119407824</v>
      </c>
      <c r="AE201" s="199" t="s">
        <v>207</v>
      </c>
    </row>
    <row r="202" spans="2:31" ht="12" customHeight="1">
      <c r="B202" s="367">
        <v>40179</v>
      </c>
      <c r="C202" s="204"/>
      <c r="D202" s="205"/>
      <c r="E202" s="205"/>
      <c r="F202" s="205"/>
      <c r="G202" s="205"/>
      <c r="H202" s="205"/>
      <c r="I202" s="205"/>
      <c r="J202" s="205"/>
      <c r="K202" s="205"/>
      <c r="L202" s="206"/>
      <c r="M202" s="205"/>
      <c r="N202" s="205"/>
      <c r="O202" s="205"/>
      <c r="P202" s="205"/>
      <c r="Q202" s="205"/>
      <c r="R202" s="205"/>
      <c r="S202" s="205"/>
      <c r="T202" s="205"/>
      <c r="U202" s="205"/>
      <c r="V202" s="205"/>
      <c r="W202" s="205"/>
      <c r="X202" s="206"/>
      <c r="Y202" s="204"/>
      <c r="Z202" s="205"/>
      <c r="AA202" s="205"/>
      <c r="AB202" s="205"/>
      <c r="AC202" s="205"/>
      <c r="AD202" s="206"/>
      <c r="AE202" s="374">
        <f>+B202</f>
        <v>40179</v>
      </c>
    </row>
    <row r="203" spans="2:31" ht="12" customHeight="1">
      <c r="B203" s="366" t="s">
        <v>184</v>
      </c>
      <c r="C203" s="204">
        <v>11.718484320258268</v>
      </c>
      <c r="D203" s="205">
        <v>6.6520142106707452</v>
      </c>
      <c r="E203" s="205">
        <v>12.975171334747234</v>
      </c>
      <c r="F203" s="205">
        <v>8.6575449444266894</v>
      </c>
      <c r="G203" s="205">
        <v>6.2725125031597218</v>
      </c>
      <c r="H203" s="205">
        <v>8.653303084610398</v>
      </c>
      <c r="I203" s="205">
        <v>11.840374183375662</v>
      </c>
      <c r="J203" s="205">
        <v>12.185158033596656</v>
      </c>
      <c r="K203" s="205">
        <v>12.881874436644969</v>
      </c>
      <c r="L203" s="206">
        <v>12.599788193681869</v>
      </c>
      <c r="M203" s="205">
        <v>15.919293745442129</v>
      </c>
      <c r="N203" s="205">
        <v>14.141925484423041</v>
      </c>
      <c r="O203" s="205">
        <v>20.537896901753591</v>
      </c>
      <c r="P203" s="205">
        <v>6.1561035632533576</v>
      </c>
      <c r="Q203" s="205">
        <v>14.409200225066501</v>
      </c>
      <c r="R203" s="205">
        <v>14.740714344082598</v>
      </c>
      <c r="S203" s="205">
        <v>16.887524645472549</v>
      </c>
      <c r="T203" s="205">
        <v>22.232518120404713</v>
      </c>
      <c r="U203" s="205">
        <v>16.311938971662521</v>
      </c>
      <c r="V203" s="205">
        <v>11.61298776487048</v>
      </c>
      <c r="W203" s="205">
        <v>12.740227912466079</v>
      </c>
      <c r="X203" s="206">
        <v>8.4271961403672186</v>
      </c>
      <c r="Y203" s="204">
        <v>15.577801359524807</v>
      </c>
      <c r="Z203" s="205">
        <v>11.501114413075781</v>
      </c>
      <c r="AA203" s="205">
        <v>8.6666666666666661</v>
      </c>
      <c r="AB203" s="205">
        <v>13.768692652461896</v>
      </c>
      <c r="AC203" s="205">
        <v>18.148454389093146</v>
      </c>
      <c r="AD203" s="206">
        <v>16.88882028060787</v>
      </c>
      <c r="AE203" s="199" t="s">
        <v>350</v>
      </c>
    </row>
    <row r="204" spans="2:31" ht="12" customHeight="1">
      <c r="B204" s="366" t="s">
        <v>351</v>
      </c>
      <c r="C204" s="204">
        <v>10.708407750549791</v>
      </c>
      <c r="D204" s="205">
        <v>5.9756230773076453</v>
      </c>
      <c r="E204" s="205">
        <v>12.276841085731483</v>
      </c>
      <c r="F204" s="205">
        <v>5.3099851372136424</v>
      </c>
      <c r="G204" s="205">
        <v>4.0916140887135466</v>
      </c>
      <c r="H204" s="205">
        <v>8.7571410132803624</v>
      </c>
      <c r="I204" s="205">
        <v>11.459553656482079</v>
      </c>
      <c r="J204" s="205">
        <v>12.608526600688764</v>
      </c>
      <c r="K204" s="205">
        <v>12.927299867895835</v>
      </c>
      <c r="L204" s="206">
        <v>16.156218022742561</v>
      </c>
      <c r="M204" s="205">
        <v>17.193602079199202</v>
      </c>
      <c r="N204" s="205">
        <v>14.648754319710969</v>
      </c>
      <c r="O204" s="205">
        <v>23.272646085084713</v>
      </c>
      <c r="P204" s="205">
        <v>17.883738472922651</v>
      </c>
      <c r="Q204" s="205">
        <v>19.001040694112316</v>
      </c>
      <c r="R204" s="205">
        <v>16.907644333760246</v>
      </c>
      <c r="S204" s="205">
        <v>16.243129162601967</v>
      </c>
      <c r="T204" s="205">
        <v>21.414859598768405</v>
      </c>
      <c r="U204" s="205">
        <v>15.898148580380521</v>
      </c>
      <c r="V204" s="205">
        <v>19.871457240749105</v>
      </c>
      <c r="W204" s="205">
        <v>17.852008895404154</v>
      </c>
      <c r="X204" s="206">
        <v>21.397504721939196</v>
      </c>
      <c r="Y204" s="204">
        <v>8.6961249179488362</v>
      </c>
      <c r="Z204" s="205">
        <v>3.3873386547045756</v>
      </c>
      <c r="AA204" s="205">
        <v>11.559504427590042</v>
      </c>
      <c r="AB204" s="205">
        <v>4.5458951199784305</v>
      </c>
      <c r="AC204" s="205">
        <v>14.100110555102992</v>
      </c>
      <c r="AD204" s="206">
        <v>17.056102976618494</v>
      </c>
      <c r="AE204" s="199" t="s">
        <v>207</v>
      </c>
    </row>
    <row r="205" spans="2:31" ht="12" hidden="1" customHeight="1">
      <c r="B205" s="367">
        <v>40180</v>
      </c>
      <c r="C205" s="197"/>
      <c r="D205" s="198"/>
      <c r="E205" s="198"/>
      <c r="F205" s="198"/>
      <c r="G205" s="198"/>
      <c r="H205" s="198"/>
      <c r="I205" s="198"/>
      <c r="J205" s="198"/>
      <c r="K205" s="198"/>
      <c r="L205" s="191"/>
      <c r="M205" s="198"/>
      <c r="N205" s="198"/>
      <c r="O205" s="198"/>
      <c r="P205" s="198"/>
      <c r="Q205" s="198"/>
      <c r="R205" s="198"/>
      <c r="S205" s="198"/>
      <c r="T205" s="198"/>
      <c r="U205" s="198"/>
      <c r="V205" s="198"/>
      <c r="W205" s="198"/>
      <c r="X205" s="191"/>
      <c r="Y205" s="197"/>
      <c r="Z205" s="198"/>
      <c r="AA205" s="198"/>
      <c r="AB205" s="198"/>
      <c r="AC205" s="198"/>
      <c r="AD205" s="191"/>
      <c r="AE205" s="374">
        <f>+B205</f>
        <v>40180</v>
      </c>
    </row>
    <row r="206" spans="2:31" ht="12" hidden="1" customHeight="1">
      <c r="B206" s="366" t="s">
        <v>184</v>
      </c>
      <c r="C206" s="197">
        <v>11.2696331873452</v>
      </c>
      <c r="D206" s="198">
        <v>5.5736886750843748</v>
      </c>
      <c r="E206" s="198">
        <v>13.068069605315584</v>
      </c>
      <c r="F206" s="198">
        <v>8.8522612480061493</v>
      </c>
      <c r="G206" s="198">
        <v>4.7926818702238068</v>
      </c>
      <c r="H206" s="198">
        <v>8.7115619343435533</v>
      </c>
      <c r="I206" s="198">
        <v>11.75999737317623</v>
      </c>
      <c r="J206" s="198">
        <v>12.010911110558286</v>
      </c>
      <c r="K206" s="198">
        <v>12.937714061753365</v>
      </c>
      <c r="L206" s="191">
        <v>13.787410531285882</v>
      </c>
      <c r="M206" s="198">
        <v>13.968857974689483</v>
      </c>
      <c r="N206" s="198">
        <v>11.509798212270905</v>
      </c>
      <c r="O206" s="198">
        <v>20.388493456706335</v>
      </c>
      <c r="P206" s="198">
        <v>20.301616051234813</v>
      </c>
      <c r="Q206" s="198">
        <v>8.3209043117239361</v>
      </c>
      <c r="R206" s="198">
        <v>15.590684513716196</v>
      </c>
      <c r="S206" s="198">
        <v>14.454141493750177</v>
      </c>
      <c r="T206" s="198">
        <v>20.796276951877264</v>
      </c>
      <c r="U206" s="198">
        <v>12.91632339532902</v>
      </c>
      <c r="V206" s="198">
        <v>11.761905885261157</v>
      </c>
      <c r="W206" s="198">
        <v>12.719623132827882</v>
      </c>
      <c r="X206" s="191">
        <v>8.4363856693530064</v>
      </c>
      <c r="Y206" s="197">
        <v>14.782528849178316</v>
      </c>
      <c r="Z206" s="198">
        <v>6.1212638770281806</v>
      </c>
      <c r="AA206" s="198">
        <v>10.822429906542055</v>
      </c>
      <c r="AB206" s="198">
        <v>14.391645353793692</v>
      </c>
      <c r="AC206" s="198">
        <v>19.771466103567658</v>
      </c>
      <c r="AD206" s="191">
        <v>17.542768704811621</v>
      </c>
      <c r="AE206" s="199" t="s">
        <v>350</v>
      </c>
    </row>
    <row r="207" spans="2:31" ht="12" hidden="1" customHeight="1">
      <c r="B207" s="366" t="s">
        <v>351</v>
      </c>
      <c r="C207" s="197">
        <v>11.018271969149104</v>
      </c>
      <c r="D207" s="198">
        <v>5.9749098989532543</v>
      </c>
      <c r="E207" s="198">
        <v>12.543815137378688</v>
      </c>
      <c r="F207" s="198">
        <v>5.3439707748211385</v>
      </c>
      <c r="G207" s="198">
        <v>5.7241174672661295</v>
      </c>
      <c r="H207" s="198">
        <v>8.8841623470678037</v>
      </c>
      <c r="I207" s="198">
        <v>11.475304635774799</v>
      </c>
      <c r="J207" s="198">
        <v>12.589624958344185</v>
      </c>
      <c r="K207" s="198">
        <v>13.094726106597989</v>
      </c>
      <c r="L207" s="191">
        <v>16.159575910633098</v>
      </c>
      <c r="M207" s="198">
        <v>15.498976752077441</v>
      </c>
      <c r="N207" s="198">
        <v>12.573829742785085</v>
      </c>
      <c r="O207" s="198">
        <v>22.55799545239605</v>
      </c>
      <c r="P207" s="198">
        <v>18.612152290964882</v>
      </c>
      <c r="Q207" s="198">
        <v>19.301921474172001</v>
      </c>
      <c r="R207" s="198">
        <v>16.309200288946066</v>
      </c>
      <c r="S207" s="198">
        <v>12.490314042505037</v>
      </c>
      <c r="T207" s="198">
        <v>19.357988025563813</v>
      </c>
      <c r="U207" s="198">
        <v>14.07938350952916</v>
      </c>
      <c r="V207" s="198">
        <v>20.028803106059609</v>
      </c>
      <c r="W207" s="198">
        <v>17.146295915970338</v>
      </c>
      <c r="X207" s="191">
        <v>21.773395659970586</v>
      </c>
      <c r="Y207" s="197">
        <v>9.2518697816428865</v>
      </c>
      <c r="Z207" s="198">
        <v>4.2204120933896805</v>
      </c>
      <c r="AA207" s="198">
        <v>12.836892632198774</v>
      </c>
      <c r="AB207" s="198">
        <v>4.879710465244778</v>
      </c>
      <c r="AC207" s="198">
        <v>14.929504638692652</v>
      </c>
      <c r="AD207" s="191">
        <v>17.049716552837253</v>
      </c>
      <c r="AE207" s="199" t="s">
        <v>207</v>
      </c>
    </row>
    <row r="208" spans="2:31" ht="12" hidden="1" customHeight="1">
      <c r="B208" s="367">
        <v>40181</v>
      </c>
      <c r="C208" s="197"/>
      <c r="D208" s="198"/>
      <c r="E208" s="198"/>
      <c r="F208" s="198"/>
      <c r="G208" s="198"/>
      <c r="H208" s="198"/>
      <c r="I208" s="198"/>
      <c r="J208" s="198"/>
      <c r="K208" s="198"/>
      <c r="L208" s="191"/>
      <c r="M208" s="198"/>
      <c r="N208" s="198"/>
      <c r="O208" s="198"/>
      <c r="P208" s="198"/>
      <c r="Q208" s="198"/>
      <c r="R208" s="198"/>
      <c r="S208" s="198"/>
      <c r="T208" s="198"/>
      <c r="U208" s="198"/>
      <c r="V208" s="198"/>
      <c r="W208" s="198"/>
      <c r="X208" s="191"/>
      <c r="Y208" s="197"/>
      <c r="Z208" s="198"/>
      <c r="AA208" s="198"/>
      <c r="AB208" s="198"/>
      <c r="AC208" s="198"/>
      <c r="AD208" s="191"/>
      <c r="AE208" s="374">
        <f>+B208</f>
        <v>40181</v>
      </c>
    </row>
    <row r="209" spans="2:31" ht="12" hidden="1" customHeight="1">
      <c r="B209" s="366" t="s">
        <v>184</v>
      </c>
      <c r="C209" s="197">
        <v>11.303500632557501</v>
      </c>
      <c r="D209" s="198">
        <v>5.5979552756502082</v>
      </c>
      <c r="E209" s="198">
        <v>12.99509764578243</v>
      </c>
      <c r="F209" s="198">
        <v>8.7542125476272297</v>
      </c>
      <c r="G209" s="198">
        <v>4.8002254242257409</v>
      </c>
      <c r="H209" s="198">
        <v>8.8255036097043913</v>
      </c>
      <c r="I209" s="198">
        <v>11.635331218168918</v>
      </c>
      <c r="J209" s="198">
        <v>12.052610857102</v>
      </c>
      <c r="K209" s="198">
        <v>13.101219111235904</v>
      </c>
      <c r="L209" s="191">
        <v>13.878575951752998</v>
      </c>
      <c r="M209" s="198">
        <v>15.84396466011931</v>
      </c>
      <c r="N209" s="198">
        <v>13.878040715237143</v>
      </c>
      <c r="O209" s="198">
        <v>20.746352733126681</v>
      </c>
      <c r="P209" s="198">
        <v>17.239664033345445</v>
      </c>
      <c r="Q209" s="198">
        <v>9.0388508642060845</v>
      </c>
      <c r="R209" s="198">
        <v>17.877441645216496</v>
      </c>
      <c r="S209" s="198">
        <v>16.652834382952882</v>
      </c>
      <c r="T209" s="198">
        <v>20.637154514128071</v>
      </c>
      <c r="U209" s="198">
        <v>16.208392857222186</v>
      </c>
      <c r="V209" s="198">
        <v>11.451325919445505</v>
      </c>
      <c r="W209" s="198">
        <v>12.158477590739233</v>
      </c>
      <c r="X209" s="191">
        <v>8.1091002810522106</v>
      </c>
      <c r="Y209" s="197">
        <v>14.194405089678705</v>
      </c>
      <c r="Z209" s="198">
        <v>4.1714497773379513</v>
      </c>
      <c r="AA209" s="198">
        <v>12.689318783068783</v>
      </c>
      <c r="AB209" s="198">
        <v>14.530641543292957</v>
      </c>
      <c r="AC209" s="198">
        <v>19.349600476223184</v>
      </c>
      <c r="AD209" s="191">
        <v>17.542329020332716</v>
      </c>
      <c r="AE209" s="199" t="s">
        <v>350</v>
      </c>
    </row>
    <row r="210" spans="2:31" ht="12" hidden="1" customHeight="1">
      <c r="B210" s="366" t="s">
        <v>351</v>
      </c>
      <c r="C210" s="197">
        <v>10.991053009358701</v>
      </c>
      <c r="D210" s="198">
        <v>5.9173465613537948</v>
      </c>
      <c r="E210" s="198">
        <v>12.535844294359064</v>
      </c>
      <c r="F210" s="198">
        <v>5.3509689942665855</v>
      </c>
      <c r="G210" s="198">
        <v>5.082071516757984</v>
      </c>
      <c r="H210" s="198">
        <v>9.7756776190430923</v>
      </c>
      <c r="I210" s="198">
        <v>11.173730255482244</v>
      </c>
      <c r="J210" s="198">
        <v>12.220833604293862</v>
      </c>
      <c r="K210" s="198">
        <v>13.048777356303605</v>
      </c>
      <c r="L210" s="191">
        <v>16.100020258701313</v>
      </c>
      <c r="M210" s="198">
        <v>16.996276827951618</v>
      </c>
      <c r="N210" s="198">
        <v>14.44683601525119</v>
      </c>
      <c r="O210" s="198">
        <v>23.318100566312907</v>
      </c>
      <c r="P210" s="198">
        <v>17.44582977271104</v>
      </c>
      <c r="Q210" s="198">
        <v>19.115330967777023</v>
      </c>
      <c r="R210" s="198">
        <v>16.133130651092458</v>
      </c>
      <c r="S210" s="198">
        <v>16.59555472453977</v>
      </c>
      <c r="T210" s="198">
        <v>21.522711612698476</v>
      </c>
      <c r="U210" s="198">
        <v>15.766650207162959</v>
      </c>
      <c r="V210" s="198">
        <v>19.218588554971934</v>
      </c>
      <c r="W210" s="198">
        <v>15.590495590715477</v>
      </c>
      <c r="X210" s="191">
        <v>17.588169853906916</v>
      </c>
      <c r="Y210" s="197">
        <v>12.17170572662347</v>
      </c>
      <c r="Z210" s="198">
        <v>15.37102358796797</v>
      </c>
      <c r="AA210" s="198">
        <v>10.547957572657936</v>
      </c>
      <c r="AB210" s="198">
        <v>6.5965148591745839</v>
      </c>
      <c r="AC210" s="198">
        <v>13.366276162583041</v>
      </c>
      <c r="AD210" s="191">
        <v>17.039889770864804</v>
      </c>
      <c r="AE210" s="199" t="s">
        <v>207</v>
      </c>
    </row>
    <row r="211" spans="2:31" ht="12" hidden="1" customHeight="1">
      <c r="B211" s="367">
        <v>40182</v>
      </c>
      <c r="C211" s="197"/>
      <c r="D211" s="198"/>
      <c r="E211" s="198"/>
      <c r="F211" s="198"/>
      <c r="G211" s="198"/>
      <c r="H211" s="198"/>
      <c r="I211" s="198"/>
      <c r="J211" s="198"/>
      <c r="K211" s="198"/>
      <c r="L211" s="191"/>
      <c r="M211" s="198"/>
      <c r="N211" s="198"/>
      <c r="O211" s="198"/>
      <c r="P211" s="198"/>
      <c r="Q211" s="198"/>
      <c r="R211" s="198"/>
      <c r="S211" s="198"/>
      <c r="T211" s="198"/>
      <c r="U211" s="198"/>
      <c r="V211" s="198"/>
      <c r="W211" s="198"/>
      <c r="X211" s="191"/>
      <c r="Y211" s="197"/>
      <c r="Z211" s="198"/>
      <c r="AA211" s="198"/>
      <c r="AB211" s="198"/>
      <c r="AC211" s="198"/>
      <c r="AD211" s="191"/>
      <c r="AE211" s="374">
        <f>+B211</f>
        <v>40182</v>
      </c>
    </row>
    <row r="212" spans="2:31" ht="12" hidden="1" customHeight="1">
      <c r="B212" s="366" t="s">
        <v>184</v>
      </c>
      <c r="C212" s="197">
        <v>11.402791517387307</v>
      </c>
      <c r="D212" s="198">
        <v>5.3647994948243882</v>
      </c>
      <c r="E212" s="198">
        <v>13.089098033686465</v>
      </c>
      <c r="F212" s="198">
        <v>8.1461564542991916</v>
      </c>
      <c r="G212" s="198">
        <v>4.7911564394694581</v>
      </c>
      <c r="H212" s="198">
        <v>8.4976632334022195</v>
      </c>
      <c r="I212" s="198">
        <v>11.461385632847499</v>
      </c>
      <c r="J212" s="198">
        <v>11.977464079501001</v>
      </c>
      <c r="K212" s="198">
        <v>13.146669154411104</v>
      </c>
      <c r="L212" s="191">
        <v>13.876128184934883</v>
      </c>
      <c r="M212" s="198">
        <v>13.991928791910272</v>
      </c>
      <c r="N212" s="198">
        <v>11.600618057211353</v>
      </c>
      <c r="O212" s="198">
        <v>19.931649550449791</v>
      </c>
      <c r="P212" s="198">
        <v>17.504513583231908</v>
      </c>
      <c r="Q212" s="198">
        <v>8.7755971443513765</v>
      </c>
      <c r="R212" s="198">
        <v>18.997688635795537</v>
      </c>
      <c r="S212" s="198">
        <v>15.971023606565382</v>
      </c>
      <c r="T212" s="198">
        <v>20.315773538734842</v>
      </c>
      <c r="U212" s="198">
        <v>12.863490603620573</v>
      </c>
      <c r="V212" s="198">
        <v>11.559561831133127</v>
      </c>
      <c r="W212" s="198">
        <v>11.820001952380677</v>
      </c>
      <c r="X212" s="191">
        <v>8.1832357683912615</v>
      </c>
      <c r="Y212" s="197">
        <v>14.648151170197591</v>
      </c>
      <c r="Z212" s="198">
        <v>12.159762496547915</v>
      </c>
      <c r="AA212" s="198">
        <v>11.494512195121951</v>
      </c>
      <c r="AB212" s="198">
        <v>14.815445154943433</v>
      </c>
      <c r="AC212" s="198">
        <v>18.974978140187488</v>
      </c>
      <c r="AD212" s="191">
        <v>17.205540843348953</v>
      </c>
      <c r="AE212" s="199" t="s">
        <v>350</v>
      </c>
    </row>
    <row r="213" spans="2:31" ht="12" hidden="1" customHeight="1">
      <c r="B213" s="366" t="s">
        <v>351</v>
      </c>
      <c r="C213" s="197">
        <v>11.094100139311639</v>
      </c>
      <c r="D213" s="198">
        <v>5.8827100695263406</v>
      </c>
      <c r="E213" s="198">
        <v>12.583682906541197</v>
      </c>
      <c r="F213" s="198">
        <v>5.3417968863238006</v>
      </c>
      <c r="G213" s="198">
        <v>5.249542885861632</v>
      </c>
      <c r="H213" s="198">
        <v>9.9735557433018727</v>
      </c>
      <c r="I213" s="198">
        <v>11.29867674749338</v>
      </c>
      <c r="J213" s="198">
        <v>12.362928596444112</v>
      </c>
      <c r="K213" s="198">
        <v>12.981188521208457</v>
      </c>
      <c r="L213" s="191">
        <v>16.087439735799681</v>
      </c>
      <c r="M213" s="198">
        <v>15.401170681643585</v>
      </c>
      <c r="N213" s="198">
        <v>12.554504180680217</v>
      </c>
      <c r="O213" s="198">
        <v>22.088107888738843</v>
      </c>
      <c r="P213" s="198">
        <v>17.495085985446245</v>
      </c>
      <c r="Q213" s="198">
        <v>19.27529099947996</v>
      </c>
      <c r="R213" s="198">
        <v>15.857973254750995</v>
      </c>
      <c r="S213" s="198">
        <v>12.319158119247575</v>
      </c>
      <c r="T213" s="198">
        <v>19.418691701056702</v>
      </c>
      <c r="U213" s="198">
        <v>14.078266670679223</v>
      </c>
      <c r="V213" s="198">
        <v>19.131557439769033</v>
      </c>
      <c r="W213" s="198">
        <v>16.222233685983653</v>
      </c>
      <c r="X213" s="191">
        <v>17.588213197312193</v>
      </c>
      <c r="Y213" s="197">
        <v>9.9170505662761652</v>
      </c>
      <c r="Z213" s="198">
        <v>6.6912581095666779</v>
      </c>
      <c r="AA213" s="198">
        <v>9.3841536856979442</v>
      </c>
      <c r="AB213" s="198">
        <v>8.3102649318301935</v>
      </c>
      <c r="AC213" s="198">
        <v>13.230218417473399</v>
      </c>
      <c r="AD213" s="191">
        <v>17.039812627553072</v>
      </c>
      <c r="AE213" s="199" t="s">
        <v>207</v>
      </c>
    </row>
    <row r="214" spans="2:31" ht="12" hidden="1" customHeight="1">
      <c r="B214" s="367">
        <v>40183</v>
      </c>
      <c r="C214" s="197"/>
      <c r="D214" s="198"/>
      <c r="E214" s="198"/>
      <c r="F214" s="198"/>
      <c r="G214" s="198"/>
      <c r="H214" s="198"/>
      <c r="I214" s="198"/>
      <c r="J214" s="198"/>
      <c r="K214" s="198"/>
      <c r="L214" s="191"/>
      <c r="M214" s="198"/>
      <c r="N214" s="198"/>
      <c r="O214" s="198"/>
      <c r="P214" s="198"/>
      <c r="Q214" s="198"/>
      <c r="R214" s="198"/>
      <c r="S214" s="198"/>
      <c r="T214" s="198"/>
      <c r="U214" s="198"/>
      <c r="V214" s="198"/>
      <c r="W214" s="198"/>
      <c r="X214" s="191"/>
      <c r="Y214" s="197"/>
      <c r="Z214" s="198"/>
      <c r="AA214" s="198"/>
      <c r="AB214" s="198"/>
      <c r="AC214" s="198"/>
      <c r="AD214" s="191"/>
      <c r="AE214" s="374">
        <f>+B214</f>
        <v>40183</v>
      </c>
    </row>
    <row r="215" spans="2:31" ht="12" hidden="1" customHeight="1">
      <c r="B215" s="366" t="s">
        <v>184</v>
      </c>
      <c r="C215" s="197">
        <v>10.871929544843598</v>
      </c>
      <c r="D215" s="198">
        <v>4.9256122391032404</v>
      </c>
      <c r="E215" s="198">
        <v>12.165286245944124</v>
      </c>
      <c r="F215" s="198">
        <v>6.6294112800477301</v>
      </c>
      <c r="G215" s="198">
        <v>4.0256394528272184</v>
      </c>
      <c r="H215" s="198">
        <v>8.2009268406419356</v>
      </c>
      <c r="I215" s="198">
        <v>10.929628083167641</v>
      </c>
      <c r="J215" s="198">
        <v>11.493790259192883</v>
      </c>
      <c r="K215" s="198">
        <v>12.868374963265705</v>
      </c>
      <c r="L215" s="191">
        <v>13.417468116685303</v>
      </c>
      <c r="M215" s="198">
        <v>14.173572547774807</v>
      </c>
      <c r="N215" s="198">
        <v>11.715234410801468</v>
      </c>
      <c r="O215" s="198">
        <v>20.131589013165819</v>
      </c>
      <c r="P215" s="198">
        <v>17.137512457701103</v>
      </c>
      <c r="Q215" s="198">
        <v>7.8609452653530685</v>
      </c>
      <c r="R215" s="198">
        <v>18.1595210742273</v>
      </c>
      <c r="S215" s="198">
        <v>13.253856148769836</v>
      </c>
      <c r="T215" s="198">
        <v>20.394986761137723</v>
      </c>
      <c r="U215" s="198">
        <v>13.258866640607888</v>
      </c>
      <c r="V215" s="198">
        <v>12.275431216476939</v>
      </c>
      <c r="W215" s="198">
        <v>11.864505544978147</v>
      </c>
      <c r="X215" s="191">
        <v>8.381590078984356</v>
      </c>
      <c r="Y215" s="197">
        <v>14.599934021952643</v>
      </c>
      <c r="Z215" s="198">
        <v>12.566640222134074</v>
      </c>
      <c r="AA215" s="198">
        <v>12.347826086956522</v>
      </c>
      <c r="AB215" s="198">
        <v>13.458757189761297</v>
      </c>
      <c r="AC215" s="198">
        <v>16.760997023134927</v>
      </c>
      <c r="AD215" s="191">
        <v>17.485504693619578</v>
      </c>
      <c r="AE215" s="199" t="s">
        <v>350</v>
      </c>
    </row>
    <row r="216" spans="2:31" ht="12" hidden="1" customHeight="1">
      <c r="B216" s="366" t="s">
        <v>351</v>
      </c>
      <c r="C216" s="197">
        <v>11.101894351003327</v>
      </c>
      <c r="D216" s="198">
        <v>6.0407036416590598</v>
      </c>
      <c r="E216" s="198">
        <v>12.449832483850757</v>
      </c>
      <c r="F216" s="198">
        <v>5.4635600409927845</v>
      </c>
      <c r="G216" s="198">
        <v>3.2731093615721396</v>
      </c>
      <c r="H216" s="198">
        <v>9.9844731708922723</v>
      </c>
      <c r="I216" s="198">
        <v>11.239275359094561</v>
      </c>
      <c r="J216" s="198">
        <v>12.373946014518056</v>
      </c>
      <c r="K216" s="198">
        <v>12.956529398041951</v>
      </c>
      <c r="L216" s="191">
        <v>16.121761798017982</v>
      </c>
      <c r="M216" s="198">
        <v>15.271901690316778</v>
      </c>
      <c r="N216" s="198">
        <v>12.408595922179183</v>
      </c>
      <c r="O216" s="198">
        <v>22.210377485556926</v>
      </c>
      <c r="P216" s="198">
        <v>16.657526115344179</v>
      </c>
      <c r="Q216" s="198">
        <v>19.438597979792295</v>
      </c>
      <c r="R216" s="198">
        <v>15.766476509829371</v>
      </c>
      <c r="S216" s="198">
        <v>12.87294778921442</v>
      </c>
      <c r="T216" s="198">
        <v>19.486703630236214</v>
      </c>
      <c r="U216" s="198">
        <v>13.764987504057665</v>
      </c>
      <c r="V216" s="198">
        <v>19.154998039343468</v>
      </c>
      <c r="W216" s="198">
        <v>16.822247581583415</v>
      </c>
      <c r="X216" s="191">
        <v>21.797233398724511</v>
      </c>
      <c r="Y216" s="197">
        <v>10.969615324292429</v>
      </c>
      <c r="Z216" s="198">
        <v>6.1741796008869176</v>
      </c>
      <c r="AA216" s="198">
        <v>7.6852530957629437</v>
      </c>
      <c r="AB216" s="198">
        <v>10.265422793413135</v>
      </c>
      <c r="AC216" s="198">
        <v>12.140451490356519</v>
      </c>
      <c r="AD216" s="191">
        <v>14.987911570183861</v>
      </c>
      <c r="AE216" s="199" t="s">
        <v>207</v>
      </c>
    </row>
    <row r="217" spans="2:31" ht="12" hidden="1" customHeight="1">
      <c r="B217" s="367">
        <v>40184</v>
      </c>
      <c r="C217" s="197"/>
      <c r="D217" s="198"/>
      <c r="E217" s="198"/>
      <c r="F217" s="198"/>
      <c r="G217" s="198"/>
      <c r="H217" s="198"/>
      <c r="I217" s="198"/>
      <c r="J217" s="198"/>
      <c r="K217" s="198"/>
      <c r="L217" s="191"/>
      <c r="M217" s="198"/>
      <c r="N217" s="198"/>
      <c r="O217" s="198"/>
      <c r="P217" s="198"/>
      <c r="Q217" s="198"/>
      <c r="R217" s="198"/>
      <c r="S217" s="198"/>
      <c r="T217" s="198"/>
      <c r="U217" s="198"/>
      <c r="V217" s="198"/>
      <c r="W217" s="198"/>
      <c r="X217" s="191"/>
      <c r="Y217" s="197"/>
      <c r="Z217" s="198"/>
      <c r="AA217" s="198"/>
      <c r="AB217" s="198"/>
      <c r="AC217" s="198"/>
      <c r="AD217" s="191"/>
      <c r="AE217" s="374">
        <f>+B217</f>
        <v>40184</v>
      </c>
    </row>
    <row r="218" spans="2:31" ht="12" hidden="1" customHeight="1">
      <c r="B218" s="366" t="s">
        <v>184</v>
      </c>
      <c r="C218" s="197">
        <v>11.202513878251331</v>
      </c>
      <c r="D218" s="198">
        <v>5.4023708049891948</v>
      </c>
      <c r="E218" s="198">
        <v>12.909869514038768</v>
      </c>
      <c r="F218" s="198">
        <v>6.8320591028007538</v>
      </c>
      <c r="G218" s="198">
        <v>4.7244311571451361</v>
      </c>
      <c r="H218" s="198">
        <v>8.004337768511876</v>
      </c>
      <c r="I218" s="198">
        <v>10.369937985134714</v>
      </c>
      <c r="J218" s="198">
        <v>11.96286342842652</v>
      </c>
      <c r="K218" s="198">
        <v>13.044454285047317</v>
      </c>
      <c r="L218" s="191">
        <v>13.243434130913965</v>
      </c>
      <c r="M218" s="198">
        <v>15.878450246125061</v>
      </c>
      <c r="N218" s="198">
        <v>14.142118056979687</v>
      </c>
      <c r="O218" s="198">
        <v>20.104650323424949</v>
      </c>
      <c r="P218" s="198">
        <v>17.048800588599612</v>
      </c>
      <c r="Q218" s="198">
        <v>8.6467259480800358</v>
      </c>
      <c r="R218" s="198">
        <v>18.13575777144835</v>
      </c>
      <c r="S218" s="198">
        <v>15.558742913858477</v>
      </c>
      <c r="T218" s="198">
        <v>21.118041440206767</v>
      </c>
      <c r="U218" s="198">
        <v>16.122370334246757</v>
      </c>
      <c r="V218" s="198">
        <v>12.166355665943755</v>
      </c>
      <c r="W218" s="198">
        <v>11.914869197349669</v>
      </c>
      <c r="X218" s="191">
        <v>8.3799410046427134</v>
      </c>
      <c r="Y218" s="197">
        <v>14.958408573045267</v>
      </c>
      <c r="Z218" s="198">
        <v>11.098713508164275</v>
      </c>
      <c r="AA218" s="198">
        <v>13.923433874709977</v>
      </c>
      <c r="AB218" s="198">
        <v>12.551264809478067</v>
      </c>
      <c r="AC218" s="198">
        <v>17.445460068785192</v>
      </c>
      <c r="AD218" s="191">
        <v>17.828244960265792</v>
      </c>
      <c r="AE218" s="199" t="s">
        <v>350</v>
      </c>
    </row>
    <row r="219" spans="2:31" ht="12" hidden="1" customHeight="1">
      <c r="B219" s="366" t="s">
        <v>351</v>
      </c>
      <c r="C219" s="197">
        <v>10.874683535350744</v>
      </c>
      <c r="D219" s="198">
        <v>5.9662608626346918</v>
      </c>
      <c r="E219" s="198">
        <v>12.646287414360298</v>
      </c>
      <c r="F219" s="198">
        <v>5.3711102111736695</v>
      </c>
      <c r="G219" s="198">
        <v>5.2690070101331727</v>
      </c>
      <c r="H219" s="198">
        <v>10.055747366948379</v>
      </c>
      <c r="I219" s="198">
        <v>11.060632805830407</v>
      </c>
      <c r="J219" s="198">
        <v>11.19186857008018</v>
      </c>
      <c r="K219" s="198">
        <v>13.077579014011102</v>
      </c>
      <c r="L219" s="191">
        <v>16.007486332024939</v>
      </c>
      <c r="M219" s="198">
        <v>17.12237150497274</v>
      </c>
      <c r="N219" s="198">
        <v>14.692390134466972</v>
      </c>
      <c r="O219" s="198">
        <v>23.094587587595839</v>
      </c>
      <c r="P219" s="198">
        <v>17.210210609469524</v>
      </c>
      <c r="Q219" s="198">
        <v>19.958261642121951</v>
      </c>
      <c r="R219" s="198">
        <v>16.008907771883404</v>
      </c>
      <c r="S219" s="198">
        <v>17.221003352153307</v>
      </c>
      <c r="T219" s="198">
        <v>21.265766416658757</v>
      </c>
      <c r="U219" s="198">
        <v>15.785614812105203</v>
      </c>
      <c r="V219" s="198">
        <v>19.262096953899526</v>
      </c>
      <c r="W219" s="198">
        <v>16.829806980956242</v>
      </c>
      <c r="X219" s="191">
        <v>24.389248594399412</v>
      </c>
      <c r="Y219" s="197">
        <v>12.846243945771587</v>
      </c>
      <c r="Z219" s="198">
        <v>9.6205443418509784</v>
      </c>
      <c r="AA219" s="198">
        <v>12.932861321804861</v>
      </c>
      <c r="AB219" s="198">
        <v>14.081716536265596</v>
      </c>
      <c r="AC219" s="198">
        <v>11.593798610390959</v>
      </c>
      <c r="AD219" s="191">
        <v>14.782957602746079</v>
      </c>
      <c r="AE219" s="199" t="s">
        <v>207</v>
      </c>
    </row>
    <row r="220" spans="2:31" ht="12" hidden="1" customHeight="1">
      <c r="B220" s="367">
        <v>40185</v>
      </c>
      <c r="C220" s="197"/>
      <c r="D220" s="198"/>
      <c r="E220" s="198"/>
      <c r="F220" s="198"/>
      <c r="G220" s="198"/>
      <c r="H220" s="198"/>
      <c r="I220" s="198"/>
      <c r="J220" s="198"/>
      <c r="K220" s="198"/>
      <c r="L220" s="191"/>
      <c r="M220" s="198"/>
      <c r="N220" s="198"/>
      <c r="O220" s="198"/>
      <c r="P220" s="198"/>
      <c r="Q220" s="198"/>
      <c r="R220" s="198"/>
      <c r="S220" s="198"/>
      <c r="T220" s="198"/>
      <c r="U220" s="198"/>
      <c r="V220" s="198"/>
      <c r="W220" s="198"/>
      <c r="X220" s="191"/>
      <c r="Y220" s="197"/>
      <c r="Z220" s="198"/>
      <c r="AA220" s="198"/>
      <c r="AB220" s="198"/>
      <c r="AC220" s="198"/>
      <c r="AD220" s="191"/>
      <c r="AE220" s="374">
        <f>+B220</f>
        <v>40185</v>
      </c>
    </row>
    <row r="221" spans="2:31" ht="12" hidden="1" customHeight="1">
      <c r="B221" s="366" t="s">
        <v>184</v>
      </c>
      <c r="C221" s="197">
        <v>11.814770913664805</v>
      </c>
      <c r="D221" s="198">
        <v>6.7267404652730116</v>
      </c>
      <c r="E221" s="198">
        <v>12.806249301499806</v>
      </c>
      <c r="F221" s="198">
        <v>7.8019577344566775</v>
      </c>
      <c r="G221" s="198">
        <v>8.3381464455590901</v>
      </c>
      <c r="H221" s="198">
        <v>8.1233832312199699</v>
      </c>
      <c r="I221" s="198">
        <v>10.064709763423966</v>
      </c>
      <c r="J221" s="198">
        <v>12.017099633653375</v>
      </c>
      <c r="K221" s="198">
        <v>12.943149661492278</v>
      </c>
      <c r="L221" s="191">
        <v>13.002707283315452</v>
      </c>
      <c r="M221" s="198">
        <v>16.064191812801305</v>
      </c>
      <c r="N221" s="198">
        <v>14.46192000915344</v>
      </c>
      <c r="O221" s="198">
        <v>19.909995550420536</v>
      </c>
      <c r="P221" s="198">
        <v>16.570411949788014</v>
      </c>
      <c r="Q221" s="198">
        <v>14.294971690531755</v>
      </c>
      <c r="R221" s="198">
        <v>17.379053883327799</v>
      </c>
      <c r="S221" s="198">
        <v>15.744379140584432</v>
      </c>
      <c r="T221" s="198">
        <v>21.114106273840086</v>
      </c>
      <c r="U221" s="198">
        <v>16.154893079644506</v>
      </c>
      <c r="V221" s="198">
        <v>12.092940400367716</v>
      </c>
      <c r="W221" s="198">
        <v>11.751947434685572</v>
      </c>
      <c r="X221" s="191">
        <v>8.3032014891012107</v>
      </c>
      <c r="Y221" s="197">
        <v>13.465896074930596</v>
      </c>
      <c r="Z221" s="198">
        <v>17.095330739299612</v>
      </c>
      <c r="AA221" s="198">
        <v>12.271809405721372</v>
      </c>
      <c r="AB221" s="198">
        <v>12.303576178513374</v>
      </c>
      <c r="AC221" s="198">
        <v>13.079545153426254</v>
      </c>
      <c r="AD221" s="191">
        <v>16.8454862787842</v>
      </c>
      <c r="AE221" s="199" t="s">
        <v>350</v>
      </c>
    </row>
    <row r="222" spans="2:31" ht="13.9" hidden="1" customHeight="1">
      <c r="B222" s="366" t="s">
        <v>351</v>
      </c>
      <c r="C222" s="197">
        <v>10.94660037158711</v>
      </c>
      <c r="D222" s="198">
        <v>5.7765675087268651</v>
      </c>
      <c r="E222" s="198">
        <v>12.543763360875852</v>
      </c>
      <c r="F222" s="198">
        <v>5.436488389032589</v>
      </c>
      <c r="G222" s="198">
        <v>5.4217934202595481</v>
      </c>
      <c r="H222" s="198">
        <v>10.064455497074013</v>
      </c>
      <c r="I222" s="198">
        <v>10.826525340581451</v>
      </c>
      <c r="J222" s="198">
        <v>11.03778869536948</v>
      </c>
      <c r="K222" s="198">
        <v>12.964980448510282</v>
      </c>
      <c r="L222" s="191">
        <v>15.928459309164204</v>
      </c>
      <c r="M222" s="198">
        <v>17.124731981495003</v>
      </c>
      <c r="N222" s="198">
        <v>14.526407723984933</v>
      </c>
      <c r="O222" s="198">
        <v>23.174738616844209</v>
      </c>
      <c r="P222" s="198">
        <v>17.740313726239282</v>
      </c>
      <c r="Q222" s="198">
        <v>20.125376543958261</v>
      </c>
      <c r="R222" s="198">
        <v>14.01621333254384</v>
      </c>
      <c r="S222" s="198">
        <v>17.127675176328221</v>
      </c>
      <c r="T222" s="198">
        <v>21.345766084708487</v>
      </c>
      <c r="U222" s="198">
        <v>15.88636140523897</v>
      </c>
      <c r="V222" s="198">
        <v>19.270919710368929</v>
      </c>
      <c r="W222" s="198">
        <v>17.035162489576184</v>
      </c>
      <c r="X222" s="191">
        <v>21.904460752294138</v>
      </c>
      <c r="Y222" s="197">
        <v>11.303602836769516</v>
      </c>
      <c r="Z222" s="198">
        <v>17.399883094109242</v>
      </c>
      <c r="AA222" s="198">
        <v>13.718001707174626</v>
      </c>
      <c r="AB222" s="198">
        <v>7.1997983802237293</v>
      </c>
      <c r="AC222" s="198">
        <v>11.708165192350153</v>
      </c>
      <c r="AD222" s="191">
        <v>14.833143989891379</v>
      </c>
      <c r="AE222" s="199" t="s">
        <v>207</v>
      </c>
    </row>
    <row r="223" spans="2:31" ht="10.5" hidden="1" customHeight="1">
      <c r="B223" s="367">
        <v>40186</v>
      </c>
      <c r="C223" s="197"/>
      <c r="D223" s="198"/>
      <c r="E223" s="198"/>
      <c r="F223" s="198"/>
      <c r="G223" s="198"/>
      <c r="H223" s="198"/>
      <c r="I223" s="198"/>
      <c r="J223" s="198"/>
      <c r="K223" s="198"/>
      <c r="L223" s="191"/>
      <c r="M223" s="198"/>
      <c r="N223" s="198"/>
      <c r="O223" s="198"/>
      <c r="P223" s="198"/>
      <c r="Q223" s="198"/>
      <c r="R223" s="198"/>
      <c r="S223" s="198"/>
      <c r="T223" s="198"/>
      <c r="U223" s="198"/>
      <c r="V223" s="198"/>
      <c r="W223" s="198"/>
      <c r="X223" s="191"/>
      <c r="Y223" s="197"/>
      <c r="Z223" s="198"/>
      <c r="AA223" s="198"/>
      <c r="AB223" s="198"/>
      <c r="AC223" s="198"/>
      <c r="AD223" s="191"/>
      <c r="AE223" s="374">
        <f>+B223</f>
        <v>40186</v>
      </c>
    </row>
    <row r="224" spans="2:31" ht="12" hidden="1" customHeight="1">
      <c r="B224" s="366" t="s">
        <v>184</v>
      </c>
      <c r="C224" s="197">
        <v>11.69</v>
      </c>
      <c r="D224" s="198">
        <v>6.88</v>
      </c>
      <c r="E224" s="198">
        <v>12.68</v>
      </c>
      <c r="F224" s="198">
        <v>7.6559737652903648</v>
      </c>
      <c r="G224" s="198">
        <v>8.2319780959196542</v>
      </c>
      <c r="H224" s="198">
        <v>8.6403304769316502</v>
      </c>
      <c r="I224" s="198">
        <v>10.130960291479065</v>
      </c>
      <c r="J224" s="198">
        <v>11.581504958108313</v>
      </c>
      <c r="K224" s="198">
        <v>13.002468130869852</v>
      </c>
      <c r="L224" s="191">
        <v>13.12205087737704</v>
      </c>
      <c r="M224" s="198">
        <v>15.93</v>
      </c>
      <c r="N224" s="198">
        <v>14.37</v>
      </c>
      <c r="O224" s="198">
        <v>19.61</v>
      </c>
      <c r="P224" s="198">
        <v>17.773054968109378</v>
      </c>
      <c r="Q224" s="198">
        <v>14.088548495899753</v>
      </c>
      <c r="R224" s="198">
        <v>17.42444858712707</v>
      </c>
      <c r="S224" s="198">
        <v>14.513078932417811</v>
      </c>
      <c r="T224" s="198">
        <v>20.917653903543716</v>
      </c>
      <c r="U224" s="198">
        <v>16.074902603182906</v>
      </c>
      <c r="V224" s="198">
        <v>11.779411791397639</v>
      </c>
      <c r="W224" s="198">
        <v>11.869919109631299</v>
      </c>
      <c r="X224" s="191">
        <v>8.3938822020289621</v>
      </c>
      <c r="Y224" s="197">
        <v>13.84</v>
      </c>
      <c r="Z224" s="198">
        <v>15.52</v>
      </c>
      <c r="AA224" s="198">
        <v>12.271809405721372</v>
      </c>
      <c r="AB224" s="198">
        <v>12.45</v>
      </c>
      <c r="AC224" s="198">
        <v>13.88</v>
      </c>
      <c r="AD224" s="191">
        <v>17.190000000000001</v>
      </c>
      <c r="AE224" s="199" t="s">
        <v>350</v>
      </c>
    </row>
    <row r="225" spans="2:31" ht="12" hidden="1" customHeight="1">
      <c r="B225" s="366" t="s">
        <v>351</v>
      </c>
      <c r="C225" s="197">
        <v>11.02</v>
      </c>
      <c r="D225" s="198">
        <v>6.01</v>
      </c>
      <c r="E225" s="198">
        <v>12.52</v>
      </c>
      <c r="F225" s="198">
        <v>5.4565661493991291</v>
      </c>
      <c r="G225" s="198">
        <v>3.9868781817179619</v>
      </c>
      <c r="H225" s="198">
        <v>10.348425849572518</v>
      </c>
      <c r="I225" s="198">
        <v>9.8931151331054661</v>
      </c>
      <c r="J225" s="198">
        <v>11.308281872897007</v>
      </c>
      <c r="K225" s="198">
        <v>13.0023523863369</v>
      </c>
      <c r="L225" s="191">
        <v>16.156855061347226</v>
      </c>
      <c r="M225" s="198">
        <v>17.53</v>
      </c>
      <c r="N225" s="198">
        <v>14.7</v>
      </c>
      <c r="O225" s="198">
        <v>23.26</v>
      </c>
      <c r="P225" s="198">
        <v>18.353132178489059</v>
      </c>
      <c r="Q225" s="198">
        <v>19.699432469803014</v>
      </c>
      <c r="R225" s="198">
        <v>14.117759209074405</v>
      </c>
      <c r="S225" s="198">
        <v>16.700065870415109</v>
      </c>
      <c r="T225" s="198">
        <v>21.391147246477402</v>
      </c>
      <c r="U225" s="198">
        <v>16.410701690870344</v>
      </c>
      <c r="V225" s="198">
        <v>19.431509919129997</v>
      </c>
      <c r="W225" s="198">
        <v>16.885011149739178</v>
      </c>
      <c r="X225" s="191">
        <v>21.963107820171437</v>
      </c>
      <c r="Y225" s="197">
        <v>11.58</v>
      </c>
      <c r="Z225" s="198">
        <v>17.29</v>
      </c>
      <c r="AA225" s="198">
        <v>15.31</v>
      </c>
      <c r="AB225" s="198">
        <v>8.98</v>
      </c>
      <c r="AC225" s="198">
        <v>11.52</v>
      </c>
      <c r="AD225" s="191">
        <v>14.2</v>
      </c>
      <c r="AE225" s="199" t="s">
        <v>207</v>
      </c>
    </row>
    <row r="226" spans="2:31" ht="10.5" hidden="1" customHeight="1">
      <c r="B226" s="367">
        <v>40187</v>
      </c>
      <c r="C226" s="197"/>
      <c r="D226" s="198"/>
      <c r="E226" s="198"/>
      <c r="F226" s="198"/>
      <c r="G226" s="198"/>
      <c r="H226" s="198"/>
      <c r="I226" s="198"/>
      <c r="J226" s="198"/>
      <c r="K226" s="198"/>
      <c r="L226" s="191"/>
      <c r="M226" s="198"/>
      <c r="N226" s="198"/>
      <c r="O226" s="198"/>
      <c r="P226" s="198"/>
      <c r="Q226" s="198"/>
      <c r="R226" s="198"/>
      <c r="S226" s="198"/>
      <c r="T226" s="198"/>
      <c r="U226" s="198"/>
      <c r="V226" s="198"/>
      <c r="W226" s="198"/>
      <c r="X226" s="191"/>
      <c r="Y226" s="197"/>
      <c r="Z226" s="198"/>
      <c r="AA226" s="198"/>
      <c r="AB226" s="198"/>
      <c r="AC226" s="198"/>
      <c r="AD226" s="191"/>
      <c r="AE226" s="374">
        <f>+B226</f>
        <v>40187</v>
      </c>
    </row>
    <row r="227" spans="2:31" ht="12" hidden="1" customHeight="1">
      <c r="B227" s="366" t="s">
        <v>184</v>
      </c>
      <c r="C227" s="197">
        <v>10.987441836644855</v>
      </c>
      <c r="D227" s="198">
        <v>6.1417660841190784</v>
      </c>
      <c r="E227" s="198">
        <v>12.087768671419427</v>
      </c>
      <c r="F227" s="198">
        <v>5.7259969439320102</v>
      </c>
      <c r="G227" s="198">
        <v>5.3871162388419984</v>
      </c>
      <c r="H227" s="198">
        <v>8.1850685626969319</v>
      </c>
      <c r="I227" s="198">
        <v>10.156700952366775</v>
      </c>
      <c r="J227" s="198">
        <v>11.495996363511196</v>
      </c>
      <c r="K227" s="198">
        <v>12.554332251166782</v>
      </c>
      <c r="L227" s="191">
        <v>13.237722367006862</v>
      </c>
      <c r="M227" s="198">
        <v>15.851069946624934</v>
      </c>
      <c r="N227" s="198">
        <v>14.293276887853716</v>
      </c>
      <c r="O227" s="198">
        <v>19.488256496771957</v>
      </c>
      <c r="P227" s="198">
        <v>17.102027311029065</v>
      </c>
      <c r="Q227" s="198">
        <v>14.30866746828125</v>
      </c>
      <c r="R227" s="198">
        <v>17.287998966498805</v>
      </c>
      <c r="S227" s="198">
        <v>13.025586939359689</v>
      </c>
      <c r="T227" s="198">
        <v>20.914270506594374</v>
      </c>
      <c r="U227" s="198">
        <v>16.08396895715714</v>
      </c>
      <c r="V227" s="198">
        <v>11.69571726534234</v>
      </c>
      <c r="W227" s="198">
        <v>11.834943160901926</v>
      </c>
      <c r="X227" s="191">
        <v>8.3458379357517121</v>
      </c>
      <c r="Y227" s="197">
        <v>13.814591157447547</v>
      </c>
      <c r="Z227" s="198">
        <v>18.359589041095891</v>
      </c>
      <c r="AA227" s="198">
        <v>12.136363636363637</v>
      </c>
      <c r="AB227" s="198">
        <v>12.713923026918568</v>
      </c>
      <c r="AC227" s="198">
        <v>13.683221784483147</v>
      </c>
      <c r="AD227" s="191">
        <v>18.096454914440596</v>
      </c>
      <c r="AE227" s="199" t="s">
        <v>350</v>
      </c>
    </row>
    <row r="228" spans="2:31" ht="12" hidden="1" customHeight="1">
      <c r="B228" s="366" t="s">
        <v>351</v>
      </c>
      <c r="C228" s="197">
        <v>10.569090484973072</v>
      </c>
      <c r="D228" s="198">
        <v>5.661037524559597</v>
      </c>
      <c r="E228" s="198">
        <v>12.113678302407148</v>
      </c>
      <c r="F228" s="198">
        <v>5.188054541252157</v>
      </c>
      <c r="G228" s="198">
        <v>2.8048981143653453</v>
      </c>
      <c r="H228" s="198">
        <v>10.330350333524169</v>
      </c>
      <c r="I228" s="198">
        <v>9.7029494362168887</v>
      </c>
      <c r="J228" s="198">
        <v>11.192211173699821</v>
      </c>
      <c r="K228" s="198">
        <v>12.756527573406053</v>
      </c>
      <c r="L228" s="191">
        <v>15.993137980198004</v>
      </c>
      <c r="M228" s="198">
        <v>17.390337145860467</v>
      </c>
      <c r="N228" s="198">
        <v>14.74724268906575</v>
      </c>
      <c r="O228" s="198">
        <v>22.930187692726474</v>
      </c>
      <c r="P228" s="198">
        <v>19.170850729791638</v>
      </c>
      <c r="Q228" s="198">
        <v>19.997988706903698</v>
      </c>
      <c r="R228" s="198">
        <v>14.55652060877426</v>
      </c>
      <c r="S228" s="198">
        <v>16.689397205653236</v>
      </c>
      <c r="T228" s="198">
        <v>20.60233915154156</v>
      </c>
      <c r="U228" s="198">
        <v>16.298949189804134</v>
      </c>
      <c r="V228" s="198">
        <v>19.597189108191497</v>
      </c>
      <c r="W228" s="198">
        <v>16.564013678450635</v>
      </c>
      <c r="X228" s="191">
        <v>21.960781022352009</v>
      </c>
      <c r="Y228" s="197">
        <v>11.879185050287857</v>
      </c>
      <c r="Z228" s="198">
        <v>7.7120317870038724</v>
      </c>
      <c r="AA228" s="198">
        <v>13.408111970824505</v>
      </c>
      <c r="AB228" s="198">
        <v>10.797271929232222</v>
      </c>
      <c r="AC228" s="198">
        <v>11.615615310569673</v>
      </c>
      <c r="AD228" s="191">
        <v>14.18227129260654</v>
      </c>
      <c r="AE228" s="199" t="s">
        <v>207</v>
      </c>
    </row>
    <row r="229" spans="2:31" ht="10.5" hidden="1" customHeight="1">
      <c r="B229" s="367">
        <v>40188</v>
      </c>
      <c r="C229" s="197"/>
      <c r="D229" s="198"/>
      <c r="E229" s="198"/>
      <c r="F229" s="198"/>
      <c r="G229" s="198"/>
      <c r="H229" s="198"/>
      <c r="I229" s="198"/>
      <c r="J229" s="198"/>
      <c r="K229" s="198"/>
      <c r="L229" s="191"/>
      <c r="M229" s="198"/>
      <c r="N229" s="198"/>
      <c r="O229" s="198"/>
      <c r="P229" s="198"/>
      <c r="Q229" s="198"/>
      <c r="R229" s="198"/>
      <c r="S229" s="198"/>
      <c r="T229" s="198"/>
      <c r="U229" s="198"/>
      <c r="V229" s="198"/>
      <c r="W229" s="198"/>
      <c r="X229" s="191"/>
      <c r="Y229" s="197"/>
      <c r="Z229" s="198"/>
      <c r="AA229" s="198"/>
      <c r="AB229" s="198"/>
      <c r="AC229" s="198"/>
      <c r="AD229" s="191"/>
      <c r="AE229" s="374">
        <f>+B229</f>
        <v>40188</v>
      </c>
    </row>
    <row r="230" spans="2:31" ht="12" hidden="1" customHeight="1">
      <c r="B230" s="366" t="s">
        <v>184</v>
      </c>
      <c r="C230" s="197">
        <v>11.211484026012926</v>
      </c>
      <c r="D230" s="198">
        <v>6.0185864339028354</v>
      </c>
      <c r="E230" s="198">
        <v>12.099914099277674</v>
      </c>
      <c r="F230" s="198">
        <v>7.0467376592269035</v>
      </c>
      <c r="G230" s="198">
        <v>5.6793940366851761</v>
      </c>
      <c r="H230" s="198">
        <v>8.1908059618460385</v>
      </c>
      <c r="I230" s="198">
        <v>10.157090874794529</v>
      </c>
      <c r="J230" s="198">
        <v>11.58012742550595</v>
      </c>
      <c r="K230" s="198">
        <v>12.634928613081691</v>
      </c>
      <c r="L230" s="191">
        <v>13.310697087590443</v>
      </c>
      <c r="M230" s="198">
        <v>14.095897205126503</v>
      </c>
      <c r="N230" s="198">
        <v>11.765196767958409</v>
      </c>
      <c r="O230" s="198">
        <v>19.448828805376969</v>
      </c>
      <c r="P230" s="198">
        <v>17.385838782370975</v>
      </c>
      <c r="Q230" s="198">
        <v>14.059660911820641</v>
      </c>
      <c r="R230" s="198">
        <v>19.142116845395982</v>
      </c>
      <c r="S230" s="198">
        <v>11.919100627600596</v>
      </c>
      <c r="T230" s="198">
        <v>20.919254598806361</v>
      </c>
      <c r="U230" s="198">
        <v>13.185144560107904</v>
      </c>
      <c r="V230" s="198">
        <v>11.872913923325729</v>
      </c>
      <c r="W230" s="198">
        <v>11.321811872198968</v>
      </c>
      <c r="X230" s="191">
        <v>8.2958362724870529</v>
      </c>
      <c r="Y230" s="197">
        <v>13.875936392636824</v>
      </c>
      <c r="Z230" s="198">
        <v>9.5618992695117271</v>
      </c>
      <c r="AA230" s="198">
        <v>12.75</v>
      </c>
      <c r="AB230" s="198">
        <v>13.780102723152256</v>
      </c>
      <c r="AC230" s="198">
        <v>13.737489809820541</v>
      </c>
      <c r="AD230" s="191">
        <v>18.099954590378506</v>
      </c>
      <c r="AE230" s="199" t="s">
        <v>350</v>
      </c>
    </row>
    <row r="231" spans="2:31" ht="12" hidden="1" customHeight="1">
      <c r="B231" s="366" t="s">
        <v>351</v>
      </c>
      <c r="C231" s="197">
        <v>10.405435186927548</v>
      </c>
      <c r="D231" s="198">
        <v>5.5780180116310394</v>
      </c>
      <c r="E231" s="198">
        <v>12.083153565685102</v>
      </c>
      <c r="F231" s="198">
        <v>5.3977828646281729</v>
      </c>
      <c r="G231" s="198">
        <v>2.8337372650647512</v>
      </c>
      <c r="H231" s="198">
        <v>10.250074762890421</v>
      </c>
      <c r="I231" s="198">
        <v>7.6375715161736597</v>
      </c>
      <c r="J231" s="198">
        <v>10.786515690416007</v>
      </c>
      <c r="K231" s="198">
        <v>12.719200990982028</v>
      </c>
      <c r="L231" s="191">
        <v>15.996622093746453</v>
      </c>
      <c r="M231" s="198">
        <v>16.211416945129827</v>
      </c>
      <c r="N231" s="198">
        <v>13.1583686771051</v>
      </c>
      <c r="O231" s="198">
        <v>23.007967648158019</v>
      </c>
      <c r="P231" s="198">
        <v>17.012366984119417</v>
      </c>
      <c r="Q231" s="198">
        <v>15.291629477685365</v>
      </c>
      <c r="R231" s="198">
        <v>12.480957200482511</v>
      </c>
      <c r="S231" s="198">
        <v>15.42578353967167</v>
      </c>
      <c r="T231" s="198">
        <v>18.834263199396482</v>
      </c>
      <c r="U231" s="198">
        <v>15.423493447351557</v>
      </c>
      <c r="V231" s="198">
        <v>19.393533229977685</v>
      </c>
      <c r="W231" s="198">
        <v>16.360639810350524</v>
      </c>
      <c r="X231" s="191">
        <v>22.011919701678064</v>
      </c>
      <c r="Y231" s="197">
        <v>10.780263230238857</v>
      </c>
      <c r="Z231" s="198">
        <v>7.2964779060396587</v>
      </c>
      <c r="AA231" s="198">
        <v>9.5852575253198644</v>
      </c>
      <c r="AB231" s="198">
        <v>10.516011984284461</v>
      </c>
      <c r="AC231" s="198">
        <v>9.2094925877519191</v>
      </c>
      <c r="AD231" s="191">
        <v>16.337893747635377</v>
      </c>
      <c r="AE231" s="199" t="s">
        <v>207</v>
      </c>
    </row>
    <row r="232" spans="2:31" ht="10.5" hidden="1" customHeight="1">
      <c r="B232" s="367">
        <v>40189</v>
      </c>
      <c r="C232" s="197"/>
      <c r="D232" s="198"/>
      <c r="E232" s="198"/>
      <c r="F232" s="198"/>
      <c r="G232" s="198"/>
      <c r="H232" s="198"/>
      <c r="I232" s="198"/>
      <c r="J232" s="198"/>
      <c r="K232" s="198"/>
      <c r="L232" s="191"/>
      <c r="M232" s="198"/>
      <c r="N232" s="198"/>
      <c r="O232" s="198"/>
      <c r="P232" s="198"/>
      <c r="Q232" s="198"/>
      <c r="R232" s="198"/>
      <c r="S232" s="198"/>
      <c r="T232" s="198"/>
      <c r="U232" s="198"/>
      <c r="V232" s="198"/>
      <c r="W232" s="198"/>
      <c r="X232" s="191"/>
      <c r="Y232" s="197"/>
      <c r="Z232" s="198"/>
      <c r="AA232" s="198"/>
      <c r="AB232" s="198"/>
      <c r="AC232" s="198"/>
      <c r="AD232" s="191"/>
      <c r="AE232" s="374">
        <f>+B232</f>
        <v>40189</v>
      </c>
    </row>
    <row r="233" spans="2:31" ht="12" hidden="1" customHeight="1">
      <c r="B233" s="366" t="s">
        <v>184</v>
      </c>
      <c r="C233" s="197">
        <v>10.977663419795656</v>
      </c>
      <c r="D233" s="198">
        <v>6.4951269906473108</v>
      </c>
      <c r="E233" s="198">
        <v>11.957003225093425</v>
      </c>
      <c r="F233" s="198">
        <v>6.756312489299952</v>
      </c>
      <c r="G233" s="198">
        <v>5.9058262200995788</v>
      </c>
      <c r="H233" s="198">
        <v>8.1829853566811632</v>
      </c>
      <c r="I233" s="198">
        <v>10.100764332060345</v>
      </c>
      <c r="J233" s="198">
        <v>11.31826543781512</v>
      </c>
      <c r="K233" s="198">
        <v>12.408737507163691</v>
      </c>
      <c r="L233" s="191">
        <v>12.849677171869688</v>
      </c>
      <c r="M233" s="198">
        <v>14.05713661455748</v>
      </c>
      <c r="N233" s="198">
        <v>11.734998851089355</v>
      </c>
      <c r="O233" s="198">
        <v>19.479036840686938</v>
      </c>
      <c r="P233" s="198">
        <v>16.834182753037016</v>
      </c>
      <c r="Q233" s="198">
        <v>13.683811940976478</v>
      </c>
      <c r="R233" s="198">
        <v>18.687250328775409</v>
      </c>
      <c r="S233" s="198">
        <v>11.815725494162391</v>
      </c>
      <c r="T233" s="198">
        <v>20.952342301393355</v>
      </c>
      <c r="U233" s="198">
        <v>13.206383356373296</v>
      </c>
      <c r="V233" s="198">
        <v>11.884333147127466</v>
      </c>
      <c r="W233" s="198">
        <v>11.212784508685807</v>
      </c>
      <c r="X233" s="191">
        <v>8.3328359718555021</v>
      </c>
      <c r="Y233" s="197">
        <v>13.406176420127229</v>
      </c>
      <c r="Z233" s="198">
        <v>10.138600538254517</v>
      </c>
      <c r="AA233" s="198">
        <v>13.125939849624061</v>
      </c>
      <c r="AB233" s="198">
        <v>12.565980559373395</v>
      </c>
      <c r="AC233" s="198">
        <v>14.487871094609863</v>
      </c>
      <c r="AD233" s="191">
        <v>15.510494785888618</v>
      </c>
      <c r="AE233" s="199" t="s">
        <v>350</v>
      </c>
    </row>
    <row r="234" spans="2:31" ht="12" hidden="1" customHeight="1">
      <c r="B234" s="366" t="s">
        <v>351</v>
      </c>
      <c r="C234" s="197">
        <v>10.503239924985904</v>
      </c>
      <c r="D234" s="198">
        <v>5.7166487390003429</v>
      </c>
      <c r="E234" s="198">
        <v>12.162003810946082</v>
      </c>
      <c r="F234" s="198">
        <v>5.4554838032237036</v>
      </c>
      <c r="G234" s="198">
        <v>3.1268080040547108</v>
      </c>
      <c r="H234" s="198">
        <v>10.290821246085757</v>
      </c>
      <c r="I234" s="198">
        <v>7.7443008523541748</v>
      </c>
      <c r="J234" s="198">
        <v>10.938146718473979</v>
      </c>
      <c r="K234" s="198">
        <v>12.732468439124963</v>
      </c>
      <c r="L234" s="191">
        <v>15.785298448251364</v>
      </c>
      <c r="M234" s="198">
        <v>16.337698852827373</v>
      </c>
      <c r="N234" s="198">
        <v>13.220515835663795</v>
      </c>
      <c r="O234" s="198">
        <v>22.918479781719849</v>
      </c>
      <c r="P234" s="198">
        <v>16.998045963889265</v>
      </c>
      <c r="Q234" s="198">
        <v>15.974634519177162</v>
      </c>
      <c r="R234" s="198">
        <v>12.798246789740853</v>
      </c>
      <c r="S234" s="198">
        <v>15.377899064255869</v>
      </c>
      <c r="T234" s="198">
        <v>19.15625812784636</v>
      </c>
      <c r="U234" s="198">
        <v>15.442934792616862</v>
      </c>
      <c r="V234" s="198">
        <v>19.193739754176701</v>
      </c>
      <c r="W234" s="198">
        <v>16.236073109741032</v>
      </c>
      <c r="X234" s="191">
        <v>22.030732802967055</v>
      </c>
      <c r="Y234" s="197">
        <v>10.378392503050124</v>
      </c>
      <c r="Z234" s="198">
        <v>2.1339132595998507</v>
      </c>
      <c r="AA234" s="198">
        <v>10.79841810692831</v>
      </c>
      <c r="AB234" s="198">
        <v>11.781643199866872</v>
      </c>
      <c r="AC234" s="198">
        <v>8.8984525384176969</v>
      </c>
      <c r="AD234" s="191">
        <v>13.816254136009738</v>
      </c>
      <c r="AE234" s="199" t="s">
        <v>207</v>
      </c>
    </row>
    <row r="235" spans="2:31" ht="10.5" hidden="1" customHeight="1">
      <c r="B235" s="367">
        <v>40190</v>
      </c>
      <c r="C235" s="197"/>
      <c r="D235" s="198"/>
      <c r="E235" s="198"/>
      <c r="F235" s="198"/>
      <c r="G235" s="198"/>
      <c r="H235" s="198"/>
      <c r="I235" s="198"/>
      <c r="J235" s="198"/>
      <c r="K235" s="198"/>
      <c r="L235" s="191"/>
      <c r="M235" s="198"/>
      <c r="N235" s="198"/>
      <c r="O235" s="198"/>
      <c r="P235" s="198"/>
      <c r="Q235" s="198"/>
      <c r="R235" s="198"/>
      <c r="S235" s="198"/>
      <c r="T235" s="198"/>
      <c r="U235" s="198"/>
      <c r="V235" s="198"/>
      <c r="W235" s="198"/>
      <c r="X235" s="191"/>
      <c r="Y235" s="197"/>
      <c r="Z235" s="198"/>
      <c r="AA235" s="198"/>
      <c r="AB235" s="198"/>
      <c r="AC235" s="198"/>
      <c r="AD235" s="191"/>
      <c r="AE235" s="374">
        <f>+B235</f>
        <v>40190</v>
      </c>
    </row>
    <row r="236" spans="2:31" ht="12" hidden="1" customHeight="1">
      <c r="B236" s="366" t="s">
        <v>184</v>
      </c>
      <c r="C236" s="197">
        <v>11.088899582560577</v>
      </c>
      <c r="D236" s="198">
        <v>6.3994539143536233</v>
      </c>
      <c r="E236" s="198">
        <v>12.04656227075661</v>
      </c>
      <c r="F236" s="198">
        <v>5.9663916993599013</v>
      </c>
      <c r="G236" s="198">
        <v>6.7741020359197339</v>
      </c>
      <c r="H236" s="198">
        <v>8.0692492267359626</v>
      </c>
      <c r="I236" s="198">
        <v>10.186857227764053</v>
      </c>
      <c r="J236" s="198">
        <v>11.226735704506394</v>
      </c>
      <c r="K236" s="198">
        <v>12.626390722473822</v>
      </c>
      <c r="L236" s="191">
        <v>12.858829645165782</v>
      </c>
      <c r="M236" s="198">
        <v>13.660643929492656</v>
      </c>
      <c r="N236" s="198">
        <v>11.247447930289878</v>
      </c>
      <c r="O236" s="198">
        <v>19.281237300556128</v>
      </c>
      <c r="P236" s="198">
        <v>15.546116564472715</v>
      </c>
      <c r="Q236" s="198">
        <v>12.408306430262938</v>
      </c>
      <c r="R236" s="198">
        <v>17.91757731768713</v>
      </c>
      <c r="S236" s="198">
        <v>12.265971593793953</v>
      </c>
      <c r="T236" s="198">
        <v>21.215047206134052</v>
      </c>
      <c r="U236" s="198">
        <v>12.49677752946406</v>
      </c>
      <c r="V236" s="198">
        <v>12.207713581465237</v>
      </c>
      <c r="W236" s="198">
        <v>9.9433455072202843</v>
      </c>
      <c r="X236" s="191">
        <v>8.3757694307622899</v>
      </c>
      <c r="Y236" s="197">
        <v>13.132136366869879</v>
      </c>
      <c r="Z236" s="198">
        <v>11.202718912435026</v>
      </c>
      <c r="AA236" s="198">
        <v>11.001216545012165</v>
      </c>
      <c r="AB236" s="198">
        <v>12.628037763540053</v>
      </c>
      <c r="AC236" s="198">
        <v>16.183079948919193</v>
      </c>
      <c r="AD236" s="191">
        <v>13.412686815725291</v>
      </c>
      <c r="AE236" s="199" t="s">
        <v>350</v>
      </c>
    </row>
    <row r="237" spans="2:31" ht="12" hidden="1" customHeight="1">
      <c r="B237" s="366" t="s">
        <v>351</v>
      </c>
      <c r="C237" s="197">
        <v>10.630501243704192</v>
      </c>
      <c r="D237" s="198">
        <v>5.4308016628086158</v>
      </c>
      <c r="E237" s="198">
        <v>12.328501356674641</v>
      </c>
      <c r="F237" s="198">
        <v>5.3554912950130413</v>
      </c>
      <c r="G237" s="198">
        <v>5.0740056010074763</v>
      </c>
      <c r="H237" s="198">
        <v>10.012679421350841</v>
      </c>
      <c r="I237" s="198">
        <v>7.7724444250829681</v>
      </c>
      <c r="J237" s="198">
        <v>10.862632912707914</v>
      </c>
      <c r="K237" s="198">
        <v>12.729441173789541</v>
      </c>
      <c r="L237" s="191">
        <v>15.985956557209869</v>
      </c>
      <c r="M237" s="198">
        <v>16.434329094164134</v>
      </c>
      <c r="N237" s="198">
        <v>13.281870497051935</v>
      </c>
      <c r="O237" s="198">
        <v>22.835411946898336</v>
      </c>
      <c r="P237" s="198">
        <v>17.047623310829373</v>
      </c>
      <c r="Q237" s="198">
        <v>16.423197335675432</v>
      </c>
      <c r="R237" s="198">
        <v>12.666538279018081</v>
      </c>
      <c r="S237" s="198">
        <v>15.399948764076138</v>
      </c>
      <c r="T237" s="198">
        <v>19.112791506776695</v>
      </c>
      <c r="U237" s="198">
        <v>15.598309467218206</v>
      </c>
      <c r="V237" s="198">
        <v>18.8310455485408</v>
      </c>
      <c r="W237" s="198">
        <v>16.166753666674115</v>
      </c>
      <c r="X237" s="191">
        <v>22.017752904208116</v>
      </c>
      <c r="Y237" s="197">
        <v>10.393442603270101</v>
      </c>
      <c r="Z237" s="198">
        <v>8.0727702387472355</v>
      </c>
      <c r="AA237" s="198">
        <v>10.879196720460795</v>
      </c>
      <c r="AB237" s="198">
        <v>11.628060899789494</v>
      </c>
      <c r="AC237" s="198">
        <v>7.7956719331922377</v>
      </c>
      <c r="AD237" s="191">
        <v>13.990008226286148</v>
      </c>
      <c r="AE237" s="199" t="s">
        <v>207</v>
      </c>
    </row>
    <row r="238" spans="2:31" ht="10.5" customHeight="1">
      <c r="B238" s="367">
        <v>40544</v>
      </c>
      <c r="C238" s="197"/>
      <c r="D238" s="198"/>
      <c r="E238" s="198"/>
      <c r="F238" s="198"/>
      <c r="G238" s="198"/>
      <c r="H238" s="198"/>
      <c r="I238" s="198"/>
      <c r="J238" s="198"/>
      <c r="K238" s="198"/>
      <c r="L238" s="191"/>
      <c r="M238" s="198"/>
      <c r="N238" s="198"/>
      <c r="O238" s="198"/>
      <c r="P238" s="198"/>
      <c r="Q238" s="198"/>
      <c r="R238" s="198"/>
      <c r="S238" s="198"/>
      <c r="T238" s="198"/>
      <c r="U238" s="198"/>
      <c r="V238" s="198"/>
      <c r="W238" s="198"/>
      <c r="X238" s="191"/>
      <c r="Y238" s="197"/>
      <c r="Z238" s="198"/>
      <c r="AA238" s="198"/>
      <c r="AB238" s="198"/>
      <c r="AC238" s="198"/>
      <c r="AD238" s="191"/>
      <c r="AE238" s="374">
        <f>+B238</f>
        <v>40544</v>
      </c>
    </row>
    <row r="239" spans="2:31" ht="12" customHeight="1">
      <c r="B239" s="366" t="s">
        <v>184</v>
      </c>
      <c r="C239" s="197">
        <v>11.112817606546072</v>
      </c>
      <c r="D239" s="198">
        <v>6.1875294706409401</v>
      </c>
      <c r="E239" s="198">
        <v>11.790199541365546</v>
      </c>
      <c r="F239" s="198">
        <v>6.6957569138013886</v>
      </c>
      <c r="G239" s="198">
        <v>4.8249043440344472</v>
      </c>
      <c r="H239" s="198">
        <v>7.9563015439451759</v>
      </c>
      <c r="I239" s="198">
        <v>8.7010615181324322</v>
      </c>
      <c r="J239" s="198">
        <v>10.961740384293394</v>
      </c>
      <c r="K239" s="198">
        <v>12.670510627277526</v>
      </c>
      <c r="L239" s="191">
        <v>13.444838518450087</v>
      </c>
      <c r="M239" s="198">
        <v>16.367472368344515</v>
      </c>
      <c r="N239" s="198">
        <v>14.403041693924806</v>
      </c>
      <c r="O239" s="198">
        <v>19.836223685155858</v>
      </c>
      <c r="P239" s="198">
        <v>18.787630106536565</v>
      </c>
      <c r="Q239" s="198">
        <v>17.237521373999364</v>
      </c>
      <c r="R239" s="198">
        <v>18.749814219118441</v>
      </c>
      <c r="S239" s="198">
        <v>14.714151064274347</v>
      </c>
      <c r="T239" s="198">
        <v>19.212447186231326</v>
      </c>
      <c r="U239" s="198">
        <v>17.957126800879156</v>
      </c>
      <c r="V239" s="198">
        <v>12.709431095131924</v>
      </c>
      <c r="W239" s="198">
        <v>10.501702273111892</v>
      </c>
      <c r="X239" s="191">
        <v>8.2914534722020043</v>
      </c>
      <c r="Y239" s="197">
        <v>11.863007691990093</v>
      </c>
      <c r="Z239" s="198">
        <v>7.3888888888888893</v>
      </c>
      <c r="AA239" s="198">
        <v>10.239705732093594</v>
      </c>
      <c r="AB239" s="198">
        <v>12.016286192869106</v>
      </c>
      <c r="AC239" s="198">
        <v>14.940792986202828</v>
      </c>
      <c r="AD239" s="191">
        <v>15.409252384487976</v>
      </c>
      <c r="AE239" s="199" t="s">
        <v>350</v>
      </c>
    </row>
    <row r="240" spans="2:31" ht="12" customHeight="1">
      <c r="B240" s="366" t="s">
        <v>351</v>
      </c>
      <c r="C240" s="197">
        <v>11.64344600494818</v>
      </c>
      <c r="D240" s="198">
        <v>6.2703950897978995</v>
      </c>
      <c r="E240" s="198">
        <v>12.266544021828141</v>
      </c>
      <c r="F240" s="198">
        <v>12.631122567092516</v>
      </c>
      <c r="G240" s="198">
        <v>5.7444429949656959</v>
      </c>
      <c r="H240" s="198">
        <v>9.1788944450483747</v>
      </c>
      <c r="I240" s="198">
        <v>9.8406638689809238</v>
      </c>
      <c r="J240" s="198">
        <v>10.676715076936064</v>
      </c>
      <c r="K240" s="198">
        <v>12.984551632049305</v>
      </c>
      <c r="L240" s="191">
        <v>18.742061908346198</v>
      </c>
      <c r="M240" s="198">
        <v>17.314706809218322</v>
      </c>
      <c r="N240" s="198">
        <v>14.19522569523917</v>
      </c>
      <c r="O240" s="198">
        <v>23.729516967687971</v>
      </c>
      <c r="P240" s="198">
        <v>23.530770315371367</v>
      </c>
      <c r="Q240" s="198">
        <v>18.342605021038093</v>
      </c>
      <c r="R240" s="198">
        <v>18.088397282862211</v>
      </c>
      <c r="S240" s="198">
        <v>19.878289892338529</v>
      </c>
      <c r="T240" s="198">
        <v>20.599056359408305</v>
      </c>
      <c r="U240" s="198">
        <v>18.554802420606276</v>
      </c>
      <c r="V240" s="198">
        <v>13.89492236497412</v>
      </c>
      <c r="W240" s="198">
        <v>12.887417794807989</v>
      </c>
      <c r="X240" s="191">
        <v>8.1386261063905962</v>
      </c>
      <c r="Y240" s="197">
        <v>9.986973468740592</v>
      </c>
      <c r="Z240" s="198">
        <v>1.2201834862385319</v>
      </c>
      <c r="AA240" s="198">
        <v>6.9777391106992228</v>
      </c>
      <c r="AB240" s="198">
        <v>11.888724319159103</v>
      </c>
      <c r="AC240" s="198">
        <v>6.5391549637129902</v>
      </c>
      <c r="AD240" s="191">
        <v>14.374279307050765</v>
      </c>
      <c r="AE240" s="199" t="s">
        <v>207</v>
      </c>
    </row>
    <row r="241" spans="1:31" ht="10.5" hidden="1" customHeight="1">
      <c r="B241" s="367">
        <v>40545</v>
      </c>
      <c r="C241" s="197"/>
      <c r="D241" s="198"/>
      <c r="E241" s="198"/>
      <c r="F241" s="198"/>
      <c r="G241" s="198"/>
      <c r="H241" s="198"/>
      <c r="I241" s="198"/>
      <c r="J241" s="198"/>
      <c r="K241" s="198"/>
      <c r="L241" s="191"/>
      <c r="M241" s="198"/>
      <c r="N241" s="198"/>
      <c r="O241" s="198"/>
      <c r="P241" s="198"/>
      <c r="Q241" s="198"/>
      <c r="R241" s="198"/>
      <c r="S241" s="198"/>
      <c r="T241" s="198"/>
      <c r="U241" s="198"/>
      <c r="V241" s="198"/>
      <c r="W241" s="198"/>
      <c r="X241" s="191"/>
      <c r="Y241" s="197"/>
      <c r="Z241" s="198"/>
      <c r="AA241" s="198"/>
      <c r="AB241" s="198"/>
      <c r="AC241" s="198"/>
      <c r="AD241" s="191"/>
      <c r="AE241" s="374">
        <f>+B241</f>
        <v>40545</v>
      </c>
    </row>
    <row r="242" spans="1:31" ht="12" hidden="1" customHeight="1">
      <c r="B242" s="366" t="s">
        <v>184</v>
      </c>
      <c r="C242" s="197">
        <v>11.159152084023074</v>
      </c>
      <c r="D242" s="198">
        <v>6.2656182602467965</v>
      </c>
      <c r="E242" s="198">
        <v>11.832936923129816</v>
      </c>
      <c r="F242" s="198">
        <v>6.4568357226119142</v>
      </c>
      <c r="G242" s="198">
        <v>4.5813542333567741</v>
      </c>
      <c r="H242" s="198">
        <v>7.9596307205149985</v>
      </c>
      <c r="I242" s="198">
        <v>8.4890616540275019</v>
      </c>
      <c r="J242" s="198">
        <v>11.110166398720374</v>
      </c>
      <c r="K242" s="198">
        <v>12.655125233301716</v>
      </c>
      <c r="L242" s="191">
        <v>13.519858096828045</v>
      </c>
      <c r="M242" s="198">
        <v>16.398350139113926</v>
      </c>
      <c r="N242" s="198">
        <v>14.396360380629934</v>
      </c>
      <c r="O242" s="198">
        <v>19.852209112817405</v>
      </c>
      <c r="P242" s="198">
        <v>18.78329804460472</v>
      </c>
      <c r="Q242" s="198">
        <v>17.989274408896982</v>
      </c>
      <c r="R242" s="198">
        <v>19.255652288758679</v>
      </c>
      <c r="S242" s="198">
        <v>14.914208232655989</v>
      </c>
      <c r="T242" s="198">
        <v>19.04338288123693</v>
      </c>
      <c r="U242" s="198">
        <v>18.057508710758114</v>
      </c>
      <c r="V242" s="198">
        <v>12.851093048891151</v>
      </c>
      <c r="W242" s="198">
        <v>10.355621765450131</v>
      </c>
      <c r="X242" s="191">
        <v>8.2896433383996335</v>
      </c>
      <c r="Y242" s="197">
        <v>12.100025118949716</v>
      </c>
      <c r="Z242" s="198">
        <v>10.615384615384615</v>
      </c>
      <c r="AA242" s="198">
        <v>9.6300287356321839</v>
      </c>
      <c r="AB242" s="198">
        <v>12.426001626457035</v>
      </c>
      <c r="AC242" s="198">
        <v>11.18626850718023</v>
      </c>
      <c r="AD242" s="191">
        <v>18.000976390556222</v>
      </c>
      <c r="AE242" s="199" t="s">
        <v>350</v>
      </c>
    </row>
    <row r="243" spans="1:31" ht="12" hidden="1" customHeight="1">
      <c r="A243" s="200"/>
      <c r="B243" s="366" t="s">
        <v>351</v>
      </c>
      <c r="C243" s="197">
        <v>11.345264091019976</v>
      </c>
      <c r="D243" s="198">
        <v>5.0703228571505683</v>
      </c>
      <c r="E243" s="198">
        <v>12.11504682609521</v>
      </c>
      <c r="F243" s="198">
        <v>8.9248348375804909</v>
      </c>
      <c r="G243" s="198">
        <v>6.1123910924495766</v>
      </c>
      <c r="H243" s="198">
        <v>9.00990762785786</v>
      </c>
      <c r="I243" s="198">
        <v>9.8781911084702649</v>
      </c>
      <c r="J243" s="198">
        <v>10.287118721351423</v>
      </c>
      <c r="K243" s="198">
        <v>12.743638873925089</v>
      </c>
      <c r="L243" s="191">
        <v>18.904217034973357</v>
      </c>
      <c r="M243" s="198">
        <v>16.863362169449211</v>
      </c>
      <c r="N243" s="198">
        <v>13.625473322799268</v>
      </c>
      <c r="O243" s="198">
        <v>23.873971578415425</v>
      </c>
      <c r="P243" s="198">
        <v>25.635452054634122</v>
      </c>
      <c r="Q243" s="198">
        <v>18.303080826201942</v>
      </c>
      <c r="R243" s="198">
        <v>18.126764250494276</v>
      </c>
      <c r="S243" s="198">
        <v>19.693638797288269</v>
      </c>
      <c r="T243" s="198">
        <v>18.911681385392882</v>
      </c>
      <c r="U243" s="198">
        <v>18.570721166730266</v>
      </c>
      <c r="V243" s="198">
        <v>13.882912211800663</v>
      </c>
      <c r="W243" s="198">
        <v>12.880773386871025</v>
      </c>
      <c r="X243" s="191">
        <v>8.0701913733218049</v>
      </c>
      <c r="Y243" s="197">
        <v>9.8240781800577146</v>
      </c>
      <c r="Z243" s="198">
        <v>6.8509187565006355</v>
      </c>
      <c r="AA243" s="198">
        <v>10.00501359319281</v>
      </c>
      <c r="AB243" s="198">
        <v>8.2675645999560796</v>
      </c>
      <c r="AC243" s="198">
        <v>7.1480495246397346</v>
      </c>
      <c r="AD243" s="191">
        <v>14.032414673978661</v>
      </c>
      <c r="AE243" s="199" t="s">
        <v>207</v>
      </c>
    </row>
    <row r="244" spans="1:31" ht="10.5" hidden="1" customHeight="1">
      <c r="A244" s="200"/>
      <c r="B244" s="367">
        <v>40546</v>
      </c>
      <c r="C244" s="197"/>
      <c r="D244" s="198"/>
      <c r="E244" s="198"/>
      <c r="F244" s="198"/>
      <c r="G244" s="198"/>
      <c r="H244" s="198"/>
      <c r="I244" s="198"/>
      <c r="J244" s="198"/>
      <c r="K244" s="198"/>
      <c r="L244" s="191"/>
      <c r="M244" s="198"/>
      <c r="N244" s="198"/>
      <c r="O244" s="198"/>
      <c r="P244" s="198"/>
      <c r="Q244" s="198"/>
      <c r="R244" s="198"/>
      <c r="S244" s="198"/>
      <c r="T244" s="198"/>
      <c r="U244" s="198"/>
      <c r="V244" s="198"/>
      <c r="W244" s="198"/>
      <c r="X244" s="191"/>
      <c r="Y244" s="197"/>
      <c r="Z244" s="198"/>
      <c r="AA244" s="198"/>
      <c r="AB244" s="198"/>
      <c r="AC244" s="198"/>
      <c r="AD244" s="191"/>
      <c r="AE244" s="374">
        <f>+B244</f>
        <v>40546</v>
      </c>
    </row>
    <row r="245" spans="1:31" ht="12" hidden="1" customHeight="1">
      <c r="A245" s="200"/>
      <c r="B245" s="366" t="s">
        <v>184</v>
      </c>
      <c r="C245" s="197">
        <v>11.137222056263454</v>
      </c>
      <c r="D245" s="198">
        <v>6.4305800441391687</v>
      </c>
      <c r="E245" s="198">
        <v>11.788356645919132</v>
      </c>
      <c r="F245" s="198">
        <v>6.7856786315446236</v>
      </c>
      <c r="G245" s="198">
        <v>5.3051454170834056</v>
      </c>
      <c r="H245" s="198">
        <v>7.8268183562332325</v>
      </c>
      <c r="I245" s="198">
        <v>8.4129685290564069</v>
      </c>
      <c r="J245" s="198">
        <v>10.896285101565043</v>
      </c>
      <c r="K245" s="198">
        <v>12.678303286204091</v>
      </c>
      <c r="L245" s="191">
        <v>13.3825441031611</v>
      </c>
      <c r="M245" s="198">
        <v>16.434529377131494</v>
      </c>
      <c r="N245" s="198">
        <v>14.462679558410146</v>
      </c>
      <c r="O245" s="198">
        <v>19.672189441251117</v>
      </c>
      <c r="P245" s="198">
        <v>17.187436325315602</v>
      </c>
      <c r="Q245" s="198">
        <v>17.587589085349311</v>
      </c>
      <c r="R245" s="198">
        <v>18.731077464021549</v>
      </c>
      <c r="S245" s="198">
        <v>15.364218251128531</v>
      </c>
      <c r="T245" s="198">
        <v>19.191328941721071</v>
      </c>
      <c r="U245" s="198">
        <v>17.985314251527114</v>
      </c>
      <c r="V245" s="198">
        <v>12.868019064328927</v>
      </c>
      <c r="W245" s="198">
        <v>9.7416427909387799</v>
      </c>
      <c r="X245" s="191">
        <v>8.3203746766765239</v>
      </c>
      <c r="Y245" s="197">
        <v>11.478376629003776</v>
      </c>
      <c r="Z245" s="198">
        <v>9</v>
      </c>
      <c r="AA245" s="198">
        <v>8.744082932617248</v>
      </c>
      <c r="AB245" s="198">
        <v>12.0547037658911</v>
      </c>
      <c r="AC245" s="198">
        <v>10.756190280489058</v>
      </c>
      <c r="AD245" s="191">
        <v>16.880051480051481</v>
      </c>
      <c r="AE245" s="199" t="s">
        <v>350</v>
      </c>
    </row>
    <row r="246" spans="1:31" ht="12" hidden="1" customHeight="1" thickBot="1">
      <c r="A246" s="207"/>
      <c r="B246" s="366" t="s">
        <v>351</v>
      </c>
      <c r="C246" s="197">
        <v>11.887590045993775</v>
      </c>
      <c r="D246" s="198">
        <v>7.1802072318484012</v>
      </c>
      <c r="E246" s="198">
        <v>12.077234689180234</v>
      </c>
      <c r="F246" s="198">
        <v>7.3778263337310959</v>
      </c>
      <c r="G246" s="198">
        <v>6.5833900191588359</v>
      </c>
      <c r="H246" s="198">
        <v>8.719536972210765</v>
      </c>
      <c r="I246" s="198">
        <v>9.4512696063024055</v>
      </c>
      <c r="J246" s="198">
        <v>11.427699765703416</v>
      </c>
      <c r="K246" s="198">
        <v>12.768264640149484</v>
      </c>
      <c r="L246" s="191">
        <v>18.407878217980798</v>
      </c>
      <c r="M246" s="198">
        <v>16.890716700271845</v>
      </c>
      <c r="N246" s="198">
        <v>13.713609977562569</v>
      </c>
      <c r="O246" s="198">
        <v>23.798573753187348</v>
      </c>
      <c r="P246" s="198">
        <v>25.435401823953246</v>
      </c>
      <c r="Q246" s="198">
        <v>17.919290082615071</v>
      </c>
      <c r="R246" s="198">
        <v>17.500370905350159</v>
      </c>
      <c r="S246" s="198">
        <v>20.122227438409634</v>
      </c>
      <c r="T246" s="198">
        <v>18.860345290848088</v>
      </c>
      <c r="U246" s="198">
        <v>18.735634381696844</v>
      </c>
      <c r="V246" s="198">
        <v>13.915228386700019</v>
      </c>
      <c r="W246" s="198">
        <v>12.999206685512361</v>
      </c>
      <c r="X246" s="191">
        <v>8.4924541212263094</v>
      </c>
      <c r="Y246" s="197">
        <v>5.2115724201522324</v>
      </c>
      <c r="Z246" s="198">
        <v>0.48415765220067231</v>
      </c>
      <c r="AA246" s="198">
        <v>9.3291334089219617</v>
      </c>
      <c r="AB246" s="198">
        <v>7.5540133055150971</v>
      </c>
      <c r="AC246" s="198">
        <v>6.6256823356935657</v>
      </c>
      <c r="AD246" s="191">
        <v>14.133239867448381</v>
      </c>
      <c r="AE246" s="199" t="s">
        <v>207</v>
      </c>
    </row>
    <row r="247" spans="1:31" ht="10.5" hidden="1" customHeight="1">
      <c r="A247" s="200"/>
      <c r="B247" s="367">
        <v>40547</v>
      </c>
      <c r="C247" s="197"/>
      <c r="D247" s="198"/>
      <c r="E247" s="198"/>
      <c r="F247" s="198"/>
      <c r="G247" s="198"/>
      <c r="H247" s="198"/>
      <c r="I247" s="198"/>
      <c r="J247" s="198"/>
      <c r="K247" s="198"/>
      <c r="L247" s="191"/>
      <c r="M247" s="198"/>
      <c r="N247" s="198"/>
      <c r="O247" s="198"/>
      <c r="P247" s="198"/>
      <c r="Q247" s="198"/>
      <c r="R247" s="198"/>
      <c r="S247" s="198"/>
      <c r="T247" s="198"/>
      <c r="U247" s="198"/>
      <c r="V247" s="198"/>
      <c r="W247" s="198"/>
      <c r="X247" s="191"/>
      <c r="Y247" s="197"/>
      <c r="Z247" s="198"/>
      <c r="AA247" s="198"/>
      <c r="AB247" s="198"/>
      <c r="AC247" s="198"/>
      <c r="AD247" s="191"/>
      <c r="AE247" s="374">
        <f>+B247</f>
        <v>40547</v>
      </c>
    </row>
    <row r="248" spans="1:31" ht="12" hidden="1" customHeight="1">
      <c r="A248" s="200"/>
      <c r="B248" s="366" t="s">
        <v>184</v>
      </c>
      <c r="C248" s="197">
        <v>11.075629564827254</v>
      </c>
      <c r="D248" s="198">
        <v>6.1700191179244559</v>
      </c>
      <c r="E248" s="198">
        <v>11.734494069090399</v>
      </c>
      <c r="F248" s="198">
        <v>6.3059133687177518</v>
      </c>
      <c r="G248" s="198">
        <v>4.5756189464818648</v>
      </c>
      <c r="H248" s="198">
        <v>8.098058816493225</v>
      </c>
      <c r="I248" s="198">
        <v>7.8600670556053167</v>
      </c>
      <c r="J248" s="198">
        <v>10.906956402681081</v>
      </c>
      <c r="K248" s="198">
        <v>12.656999212132533</v>
      </c>
      <c r="L248" s="191">
        <v>13.48522090004883</v>
      </c>
      <c r="M248" s="198">
        <v>16.405849594011013</v>
      </c>
      <c r="N248" s="198">
        <v>14.404443946595784</v>
      </c>
      <c r="O248" s="198">
        <v>19.746005572579488</v>
      </c>
      <c r="P248" s="198">
        <v>16.273622232057832</v>
      </c>
      <c r="Q248" s="198">
        <v>17.551130316591227</v>
      </c>
      <c r="R248" s="198">
        <v>18.524104346676914</v>
      </c>
      <c r="S248" s="198">
        <v>15.069928285690853</v>
      </c>
      <c r="T248" s="198">
        <v>19.258129177907193</v>
      </c>
      <c r="U248" s="198">
        <v>18.056727237430142</v>
      </c>
      <c r="V248" s="198">
        <v>12.681805581244276</v>
      </c>
      <c r="W248" s="198">
        <v>10.823171266143609</v>
      </c>
      <c r="X248" s="191">
        <v>8.2867563453280955</v>
      </c>
      <c r="Y248" s="197">
        <v>11.037573951098118</v>
      </c>
      <c r="Z248" s="198">
        <v>7.9050632911392409</v>
      </c>
      <c r="AA248" s="198">
        <v>8.449064011778729</v>
      </c>
      <c r="AB248" s="198">
        <v>11.620739566825145</v>
      </c>
      <c r="AC248" s="198">
        <v>10.976815974790185</v>
      </c>
      <c r="AD248" s="191">
        <v>16.910901923373689</v>
      </c>
      <c r="AE248" s="199" t="s">
        <v>350</v>
      </c>
    </row>
    <row r="249" spans="1:31" ht="12" hidden="1" customHeight="1" thickBot="1">
      <c r="A249" s="207"/>
      <c r="B249" s="366" t="s">
        <v>351</v>
      </c>
      <c r="C249" s="197">
        <v>11.093327185371567</v>
      </c>
      <c r="D249" s="198">
        <v>6.2836781823653327</v>
      </c>
      <c r="E249" s="198">
        <v>11.486517012279446</v>
      </c>
      <c r="F249" s="198">
        <v>14.254232776822787</v>
      </c>
      <c r="G249" s="198">
        <v>6.8872589048440478</v>
      </c>
      <c r="H249" s="198">
        <v>8.389206698758322</v>
      </c>
      <c r="I249" s="198">
        <v>8.9096789179820135</v>
      </c>
      <c r="J249" s="198">
        <v>10.316407171197802</v>
      </c>
      <c r="K249" s="198">
        <v>11.923815531857805</v>
      </c>
      <c r="L249" s="191">
        <v>17.945205506619647</v>
      </c>
      <c r="M249" s="198">
        <v>16.365042678237014</v>
      </c>
      <c r="N249" s="198">
        <v>13.293138862587913</v>
      </c>
      <c r="O249" s="198">
        <v>23.420458613972517</v>
      </c>
      <c r="P249" s="198">
        <v>24.984731593682781</v>
      </c>
      <c r="Q249" s="198">
        <v>16.790624279438806</v>
      </c>
      <c r="R249" s="198">
        <v>17.914461386484312</v>
      </c>
      <c r="S249" s="198">
        <v>19.610726473520863</v>
      </c>
      <c r="T249" s="198">
        <v>17.387938975906017</v>
      </c>
      <c r="U249" s="198">
        <v>18.408571714075471</v>
      </c>
      <c r="V249" s="198">
        <v>13.867717397343101</v>
      </c>
      <c r="W249" s="198">
        <v>12.993665062287654</v>
      </c>
      <c r="X249" s="191">
        <v>7.9768651258717078</v>
      </c>
      <c r="Y249" s="197">
        <v>9.09522793246677</v>
      </c>
      <c r="Z249" s="198">
        <v>10.60593155893536</v>
      </c>
      <c r="AA249" s="198">
        <v>9.388627943900504</v>
      </c>
      <c r="AB249" s="198">
        <v>9.9265385867795501</v>
      </c>
      <c r="AC249" s="198">
        <v>3.8673537234042552</v>
      </c>
      <c r="AD249" s="191">
        <v>14.063395644733575</v>
      </c>
      <c r="AE249" s="199" t="s">
        <v>207</v>
      </c>
    </row>
    <row r="250" spans="1:31" ht="10.5" hidden="1" customHeight="1">
      <c r="A250" s="200"/>
      <c r="B250" s="367">
        <v>40548</v>
      </c>
      <c r="C250" s="197"/>
      <c r="D250" s="198"/>
      <c r="E250" s="198"/>
      <c r="F250" s="198"/>
      <c r="G250" s="198"/>
      <c r="H250" s="198"/>
      <c r="I250" s="198"/>
      <c r="J250" s="198"/>
      <c r="K250" s="198"/>
      <c r="L250" s="191"/>
      <c r="M250" s="198"/>
      <c r="N250" s="198"/>
      <c r="O250" s="198"/>
      <c r="P250" s="198"/>
      <c r="Q250" s="198"/>
      <c r="R250" s="198"/>
      <c r="S250" s="198"/>
      <c r="T250" s="198"/>
      <c r="U250" s="198"/>
      <c r="V250" s="198"/>
      <c r="W250" s="198"/>
      <c r="X250" s="191"/>
      <c r="Y250" s="197"/>
      <c r="Z250" s="198"/>
      <c r="AA250" s="198"/>
      <c r="AB250" s="198"/>
      <c r="AC250" s="198"/>
      <c r="AD250" s="191"/>
      <c r="AE250" s="374">
        <f>+B250</f>
        <v>40548</v>
      </c>
    </row>
    <row r="251" spans="1:31" ht="12" hidden="1" customHeight="1">
      <c r="A251" s="200"/>
      <c r="B251" s="366" t="s">
        <v>184</v>
      </c>
      <c r="C251" s="197">
        <v>10.959688991472451</v>
      </c>
      <c r="D251" s="198">
        <v>6.3523993801626322</v>
      </c>
      <c r="E251" s="198">
        <v>11.660048420574828</v>
      </c>
      <c r="F251" s="198">
        <v>10.35886169639342</v>
      </c>
      <c r="G251" s="198">
        <v>5.2249257968424416</v>
      </c>
      <c r="H251" s="198">
        <v>7.9679301104049287</v>
      </c>
      <c r="I251" s="198">
        <v>7.9565393483738474</v>
      </c>
      <c r="J251" s="198">
        <v>10.679151165114765</v>
      </c>
      <c r="K251" s="198">
        <v>12.412523133665163</v>
      </c>
      <c r="L251" s="191">
        <v>12.813082546579093</v>
      </c>
      <c r="M251" s="198">
        <v>16.540886222281376</v>
      </c>
      <c r="N251" s="198">
        <v>14.61445734554359</v>
      </c>
      <c r="O251" s="198">
        <v>19.762631299563775</v>
      </c>
      <c r="P251" s="198">
        <v>13.094434533057806</v>
      </c>
      <c r="Q251" s="198">
        <v>17.27365506795201</v>
      </c>
      <c r="R251" s="198">
        <v>18.375520845152916</v>
      </c>
      <c r="S251" s="198">
        <v>14.823220823148079</v>
      </c>
      <c r="T251" s="198">
        <v>19.308480341945558</v>
      </c>
      <c r="U251" s="198">
        <v>18.007817326843689</v>
      </c>
      <c r="V251" s="198">
        <v>13.239765368874668</v>
      </c>
      <c r="W251" s="198">
        <v>11.740134429276177</v>
      </c>
      <c r="X251" s="191">
        <v>8.2538930968356485</v>
      </c>
      <c r="Y251" s="197">
        <v>10.955032749994034</v>
      </c>
      <c r="Z251" s="198">
        <v>14.5</v>
      </c>
      <c r="AA251" s="198">
        <v>9.4067862266857976</v>
      </c>
      <c r="AB251" s="198">
        <v>9.7754299754299758</v>
      </c>
      <c r="AC251" s="198">
        <v>10.733140363443036</v>
      </c>
      <c r="AD251" s="191">
        <v>13.934474206349208</v>
      </c>
      <c r="AE251" s="199" t="s">
        <v>350</v>
      </c>
    </row>
    <row r="252" spans="1:31" ht="12" hidden="1" customHeight="1" thickBot="1">
      <c r="A252" s="207"/>
      <c r="B252" s="366" t="s">
        <v>351</v>
      </c>
      <c r="C252" s="197">
        <v>11.196832365796132</v>
      </c>
      <c r="D252" s="198">
        <v>9.0331255904485221</v>
      </c>
      <c r="E252" s="198">
        <v>11.293357126387447</v>
      </c>
      <c r="F252" s="198">
        <v>13.619197155386749</v>
      </c>
      <c r="G252" s="198">
        <v>4.787706738525582</v>
      </c>
      <c r="H252" s="198">
        <v>8.0366325408755852</v>
      </c>
      <c r="I252" s="198">
        <v>7.8909223999063025</v>
      </c>
      <c r="J252" s="198">
        <v>11.026604555854062</v>
      </c>
      <c r="K252" s="198">
        <v>11.79856147881506</v>
      </c>
      <c r="L252" s="191">
        <v>15.922087606738915</v>
      </c>
      <c r="M252" s="198">
        <v>16.549109263255652</v>
      </c>
      <c r="N252" s="198">
        <v>13.243881127695971</v>
      </c>
      <c r="O252" s="198">
        <v>23.904394540053062</v>
      </c>
      <c r="P252" s="198">
        <v>24.370251530914711</v>
      </c>
      <c r="Q252" s="198">
        <v>18.130503673356607</v>
      </c>
      <c r="R252" s="198">
        <v>15.521201429388199</v>
      </c>
      <c r="S252" s="198">
        <v>19.302135511194265</v>
      </c>
      <c r="T252" s="198">
        <v>17.69518437627924</v>
      </c>
      <c r="U252" s="198">
        <v>18.703030168027194</v>
      </c>
      <c r="V252" s="198">
        <v>14.091534855218503</v>
      </c>
      <c r="W252" s="198">
        <v>13.11127770041495</v>
      </c>
      <c r="X252" s="191">
        <v>7.9235252202941515</v>
      </c>
      <c r="Y252" s="197">
        <v>9.434989704119646</v>
      </c>
      <c r="Z252" s="198">
        <v>7.7060389688974951</v>
      </c>
      <c r="AA252" s="198">
        <v>13.876496384970961</v>
      </c>
      <c r="AB252" s="198">
        <v>10.825208868894602</v>
      </c>
      <c r="AC252" s="198">
        <v>3.3902547238751439</v>
      </c>
      <c r="AD252" s="191">
        <v>14.061087083117954</v>
      </c>
      <c r="AE252" s="199" t="s">
        <v>207</v>
      </c>
    </row>
    <row r="253" spans="1:31" ht="10.5" hidden="1" customHeight="1">
      <c r="A253" s="200"/>
      <c r="B253" s="367">
        <v>40549</v>
      </c>
      <c r="C253" s="197"/>
      <c r="D253" s="198"/>
      <c r="E253" s="198"/>
      <c r="F253" s="198"/>
      <c r="G253" s="198"/>
      <c r="H253" s="198"/>
      <c r="I253" s="198"/>
      <c r="J253" s="198"/>
      <c r="K253" s="198"/>
      <c r="L253" s="191"/>
      <c r="M253" s="198"/>
      <c r="N253" s="198"/>
      <c r="O253" s="198"/>
      <c r="P253" s="198"/>
      <c r="Q253" s="198"/>
      <c r="R253" s="198"/>
      <c r="S253" s="198"/>
      <c r="T253" s="198"/>
      <c r="U253" s="198"/>
      <c r="V253" s="198"/>
      <c r="W253" s="198"/>
      <c r="X253" s="191"/>
      <c r="Y253" s="197"/>
      <c r="Z253" s="198"/>
      <c r="AA253" s="198"/>
      <c r="AB253" s="198"/>
      <c r="AC253" s="198"/>
      <c r="AD253" s="191"/>
      <c r="AE253" s="374">
        <f>+B253</f>
        <v>40549</v>
      </c>
    </row>
    <row r="254" spans="1:31" ht="12" hidden="1" customHeight="1">
      <c r="A254" s="200"/>
      <c r="B254" s="366" t="s">
        <v>184</v>
      </c>
      <c r="C254" s="197">
        <v>10.981540321348685</v>
      </c>
      <c r="D254" s="198">
        <v>6.243134558379519</v>
      </c>
      <c r="E254" s="198">
        <v>11.661417336013049</v>
      </c>
      <c r="F254" s="198">
        <v>10.217463425994538</v>
      </c>
      <c r="G254" s="198">
        <v>5.4013743802050733</v>
      </c>
      <c r="H254" s="198">
        <v>7.3258837096008342</v>
      </c>
      <c r="I254" s="198">
        <v>7.8453014025036234</v>
      </c>
      <c r="J254" s="198">
        <v>10.768190342117936</v>
      </c>
      <c r="K254" s="198">
        <v>12.510364653956483</v>
      </c>
      <c r="L254" s="191">
        <v>12.418683857162542</v>
      </c>
      <c r="M254" s="198">
        <v>16.497870378663549</v>
      </c>
      <c r="N254" s="198">
        <v>14.472513939719979</v>
      </c>
      <c r="O254" s="198">
        <v>19.861054004990901</v>
      </c>
      <c r="P254" s="198">
        <v>13.006497184941606</v>
      </c>
      <c r="Q254" s="198">
        <v>16.258098615146864</v>
      </c>
      <c r="R254" s="198">
        <v>17.766157850974999</v>
      </c>
      <c r="S254" s="198">
        <v>15.066130204240855</v>
      </c>
      <c r="T254" s="198">
        <v>19.04895280970257</v>
      </c>
      <c r="U254" s="198">
        <v>18.381402361879832</v>
      </c>
      <c r="V254" s="198">
        <v>12.805813902395164</v>
      </c>
      <c r="W254" s="198">
        <v>11.971450493187062</v>
      </c>
      <c r="X254" s="191">
        <v>8.251803425457803</v>
      </c>
      <c r="Y254" s="197">
        <v>10.823332463585734</v>
      </c>
      <c r="Z254" s="198">
        <v>11</v>
      </c>
      <c r="AA254" s="198">
        <v>8.085259298972657</v>
      </c>
      <c r="AB254" s="198">
        <v>11.047508690614137</v>
      </c>
      <c r="AC254" s="198">
        <v>10.935378438347481</v>
      </c>
      <c r="AD254" s="191">
        <v>13.434026107866712</v>
      </c>
      <c r="AE254" s="199" t="s">
        <v>350</v>
      </c>
    </row>
    <row r="255" spans="1:31" ht="12" hidden="1" customHeight="1" thickBot="1">
      <c r="A255" s="207"/>
      <c r="B255" s="366" t="s">
        <v>351</v>
      </c>
      <c r="C255" s="197">
        <v>11.346171687087807</v>
      </c>
      <c r="D255" s="198">
        <v>7.8812327661529062</v>
      </c>
      <c r="E255" s="198">
        <v>11.496084570220887</v>
      </c>
      <c r="F255" s="198">
        <v>12.72626505295465</v>
      </c>
      <c r="G255" s="198">
        <v>3.6712248456187204</v>
      </c>
      <c r="H255" s="198">
        <v>7.9139353760124509</v>
      </c>
      <c r="I255" s="198">
        <v>8.7994814039462241</v>
      </c>
      <c r="J255" s="198">
        <v>10.926761898186024</v>
      </c>
      <c r="K255" s="198">
        <v>12.199262202728141</v>
      </c>
      <c r="L255" s="191">
        <v>15.839783505186437</v>
      </c>
      <c r="M255" s="198">
        <v>16.48007265532291</v>
      </c>
      <c r="N255" s="198">
        <v>13.442416092867759</v>
      </c>
      <c r="O255" s="198">
        <v>23.773637687769241</v>
      </c>
      <c r="P255" s="198">
        <v>24.930347224367488</v>
      </c>
      <c r="Q255" s="198">
        <v>17.364576102898493</v>
      </c>
      <c r="R255" s="198">
        <v>15.682051457054785</v>
      </c>
      <c r="S255" s="198">
        <v>19.924887516972579</v>
      </c>
      <c r="T255" s="198">
        <v>17.562095360500674</v>
      </c>
      <c r="U255" s="198">
        <v>18.712148058676654</v>
      </c>
      <c r="V255" s="198">
        <v>14.194209139584055</v>
      </c>
      <c r="W255" s="198">
        <v>13.301448354286794</v>
      </c>
      <c r="X255" s="191">
        <v>8.0366836037469547</v>
      </c>
      <c r="Y255" s="197">
        <v>9.2449133677021305</v>
      </c>
      <c r="Z255" s="198">
        <v>9.0975782395469924</v>
      </c>
      <c r="AA255" s="198">
        <v>13.165499827843453</v>
      </c>
      <c r="AB255" s="198">
        <v>10.466700227467651</v>
      </c>
      <c r="AC255" s="198">
        <v>2.2178426217260752</v>
      </c>
      <c r="AD255" s="191">
        <v>13.672388541356369</v>
      </c>
      <c r="AE255" s="199" t="s">
        <v>207</v>
      </c>
    </row>
    <row r="256" spans="1:31" ht="10.5" hidden="1" customHeight="1">
      <c r="A256" s="200"/>
      <c r="B256" s="367">
        <v>40550</v>
      </c>
      <c r="C256" s="197"/>
      <c r="D256" s="198"/>
      <c r="E256" s="198"/>
      <c r="F256" s="198"/>
      <c r="G256" s="198"/>
      <c r="H256" s="198"/>
      <c r="I256" s="198"/>
      <c r="J256" s="198"/>
      <c r="K256" s="198"/>
      <c r="L256" s="191"/>
      <c r="M256" s="198"/>
      <c r="N256" s="198"/>
      <c r="O256" s="198"/>
      <c r="P256" s="198"/>
      <c r="Q256" s="198"/>
      <c r="R256" s="198"/>
      <c r="S256" s="198"/>
      <c r="T256" s="198"/>
      <c r="U256" s="198"/>
      <c r="V256" s="198"/>
      <c r="W256" s="198"/>
      <c r="X256" s="191"/>
      <c r="Y256" s="197"/>
      <c r="Z256" s="198"/>
      <c r="AA256" s="198"/>
      <c r="AB256" s="198"/>
      <c r="AC256" s="198"/>
      <c r="AD256" s="191"/>
      <c r="AE256" s="374">
        <f>+B256</f>
        <v>40550</v>
      </c>
    </row>
    <row r="257" spans="1:31" ht="12" hidden="1" customHeight="1">
      <c r="A257" s="200"/>
      <c r="B257" s="366" t="s">
        <v>184</v>
      </c>
      <c r="C257" s="197">
        <v>10.652280728578809</v>
      </c>
      <c r="D257" s="198">
        <v>5.952886247027406</v>
      </c>
      <c r="E257" s="198">
        <v>11.41764144314357</v>
      </c>
      <c r="F257" s="198">
        <v>5.5399120296458619</v>
      </c>
      <c r="G257" s="198">
        <v>4.5909616849759072</v>
      </c>
      <c r="H257" s="198">
        <v>6.9779677397125806</v>
      </c>
      <c r="I257" s="198">
        <v>7.2543602303600547</v>
      </c>
      <c r="J257" s="198">
        <v>10.726409054541088</v>
      </c>
      <c r="K257" s="198">
        <v>12.189886942190173</v>
      </c>
      <c r="L257" s="191">
        <v>12.051685969510272</v>
      </c>
      <c r="M257" s="198">
        <v>16.385000049473145</v>
      </c>
      <c r="N257" s="198">
        <v>14.433786995234053</v>
      </c>
      <c r="O257" s="198">
        <v>19.606404725423459</v>
      </c>
      <c r="P257" s="198">
        <v>11.78053080252548</v>
      </c>
      <c r="Q257" s="198">
        <v>16.350201858291882</v>
      </c>
      <c r="R257" s="198">
        <v>17.350278827986845</v>
      </c>
      <c r="S257" s="198">
        <v>14.973349036480267</v>
      </c>
      <c r="T257" s="198">
        <v>19.167738936630432</v>
      </c>
      <c r="U257" s="198">
        <v>18.133750057501469</v>
      </c>
      <c r="V257" s="198">
        <v>12.522147928572288</v>
      </c>
      <c r="W257" s="198">
        <v>12.215833281027667</v>
      </c>
      <c r="X257" s="191">
        <v>8.0522461040133724</v>
      </c>
      <c r="Y257" s="197">
        <v>11.876123046384791</v>
      </c>
      <c r="Z257" s="198">
        <v>16</v>
      </c>
      <c r="AA257" s="198">
        <v>14.164578111946533</v>
      </c>
      <c r="AB257" s="198">
        <v>11.206372194062274</v>
      </c>
      <c r="AC257" s="198">
        <v>11.081856432487568</v>
      </c>
      <c r="AD257" s="191">
        <v>14.185026457340271</v>
      </c>
      <c r="AE257" s="199" t="s">
        <v>350</v>
      </c>
    </row>
    <row r="258" spans="1:31" ht="12" hidden="1" customHeight="1" thickBot="1">
      <c r="A258" s="207"/>
      <c r="B258" s="366" t="s">
        <v>351</v>
      </c>
      <c r="C258" s="197">
        <v>11.002126460939801</v>
      </c>
      <c r="D258" s="198">
        <v>8.1387277666819369</v>
      </c>
      <c r="E258" s="198">
        <v>11.148916828886813</v>
      </c>
      <c r="F258" s="198">
        <v>13.182406707576931</v>
      </c>
      <c r="G258" s="198">
        <v>3.25874223076667</v>
      </c>
      <c r="H258" s="198">
        <v>8.0324253487412314</v>
      </c>
      <c r="I258" s="198">
        <v>8.3463221306655644</v>
      </c>
      <c r="J258" s="198">
        <v>10.897184088555594</v>
      </c>
      <c r="K258" s="198">
        <v>11.710490413278301</v>
      </c>
      <c r="L258" s="191">
        <v>15.888497040808033</v>
      </c>
      <c r="M258" s="198">
        <v>16.677382293410862</v>
      </c>
      <c r="N258" s="198">
        <v>13.575424627270646</v>
      </c>
      <c r="O258" s="198">
        <v>23.543416925816441</v>
      </c>
      <c r="P258" s="198">
        <v>22.541109268572551</v>
      </c>
      <c r="Q258" s="198">
        <v>16.750466265033815</v>
      </c>
      <c r="R258" s="198">
        <v>17.593597061783388</v>
      </c>
      <c r="S258" s="198">
        <v>18.385242618235729</v>
      </c>
      <c r="T258" s="198">
        <v>18.088432441911479</v>
      </c>
      <c r="U258" s="198">
        <v>18.587597887297736</v>
      </c>
      <c r="V258" s="198">
        <v>14.492014586779385</v>
      </c>
      <c r="W258" s="198">
        <v>13.210095859450263</v>
      </c>
      <c r="X258" s="191">
        <v>7.2641891247925434</v>
      </c>
      <c r="Y258" s="197">
        <v>5.7337987171179954</v>
      </c>
      <c r="Z258" s="198">
        <v>1.0001332593003887</v>
      </c>
      <c r="AA258" s="198">
        <v>3.3455989964457453</v>
      </c>
      <c r="AB258" s="198">
        <v>5.4184258413470188</v>
      </c>
      <c r="AC258" s="198">
        <v>3.1793148364137886</v>
      </c>
      <c r="AD258" s="191">
        <v>13.666078090027357</v>
      </c>
      <c r="AE258" s="199" t="s">
        <v>207</v>
      </c>
    </row>
    <row r="259" spans="1:31" ht="10.5" hidden="1" customHeight="1">
      <c r="A259" s="200"/>
      <c r="B259" s="367">
        <v>40551</v>
      </c>
      <c r="C259" s="197"/>
      <c r="D259" s="198"/>
      <c r="E259" s="198"/>
      <c r="F259" s="198"/>
      <c r="G259" s="198"/>
      <c r="H259" s="198"/>
      <c r="I259" s="198"/>
      <c r="J259" s="198"/>
      <c r="K259" s="198"/>
      <c r="L259" s="191"/>
      <c r="M259" s="198"/>
      <c r="N259" s="198"/>
      <c r="O259" s="198"/>
      <c r="P259" s="198"/>
      <c r="Q259" s="198"/>
      <c r="R259" s="198"/>
      <c r="S259" s="198"/>
      <c r="T259" s="198"/>
      <c r="U259" s="198"/>
      <c r="V259" s="198"/>
      <c r="W259" s="198"/>
      <c r="X259" s="191"/>
      <c r="Y259" s="197"/>
      <c r="Z259" s="198"/>
      <c r="AA259" s="198"/>
      <c r="AB259" s="198"/>
      <c r="AC259" s="198"/>
      <c r="AD259" s="191"/>
      <c r="AE259" s="374">
        <f>+B259</f>
        <v>40551</v>
      </c>
    </row>
    <row r="260" spans="1:31" ht="12" hidden="1" customHeight="1">
      <c r="A260" s="200"/>
      <c r="B260" s="366" t="s">
        <v>184</v>
      </c>
      <c r="C260" s="197">
        <v>10.691077237465445</v>
      </c>
      <c r="D260" s="198">
        <v>5.6476059822146913</v>
      </c>
      <c r="E260" s="198">
        <v>11.418209840656967</v>
      </c>
      <c r="F260" s="198">
        <v>8.2948400053554696</v>
      </c>
      <c r="G260" s="198">
        <v>5.3888661291229782</v>
      </c>
      <c r="H260" s="198">
        <v>6.2996068981766227</v>
      </c>
      <c r="I260" s="198">
        <v>6.8890834944417589</v>
      </c>
      <c r="J260" s="198">
        <v>10.693627818709244</v>
      </c>
      <c r="K260" s="198">
        <v>12.288918799403117</v>
      </c>
      <c r="L260" s="191">
        <v>10.282398949181424</v>
      </c>
      <c r="M260" s="198">
        <v>16.3955203624935</v>
      </c>
      <c r="N260" s="198">
        <v>14.410742663328506</v>
      </c>
      <c r="O260" s="198">
        <v>19.654463988315165</v>
      </c>
      <c r="P260" s="198">
        <v>14.605959689728735</v>
      </c>
      <c r="Q260" s="198">
        <v>17.133344580073</v>
      </c>
      <c r="R260" s="198">
        <v>16.992045143580299</v>
      </c>
      <c r="S260" s="198">
        <v>14.80332585959351</v>
      </c>
      <c r="T260" s="198">
        <v>18.81825934615474</v>
      </c>
      <c r="U260" s="198">
        <v>18.269551724369464</v>
      </c>
      <c r="V260" s="198">
        <v>12.735224327399811</v>
      </c>
      <c r="W260" s="198">
        <v>11.975368206818358</v>
      </c>
      <c r="X260" s="191">
        <v>8.350392820941785</v>
      </c>
      <c r="Y260" s="197">
        <v>10.722193253954966</v>
      </c>
      <c r="Z260" s="198">
        <v>8.7800015544846897</v>
      </c>
      <c r="AA260" s="198">
        <v>11.558170222124478</v>
      </c>
      <c r="AB260" s="198">
        <v>9.0500000000000007</v>
      </c>
      <c r="AC260" s="198">
        <v>10.765506697728597</v>
      </c>
      <c r="AD260" s="191">
        <v>14.176193901035672</v>
      </c>
      <c r="AE260" s="199" t="s">
        <v>350</v>
      </c>
    </row>
    <row r="261" spans="1:31" ht="12" hidden="1" customHeight="1" thickBot="1">
      <c r="A261" s="207"/>
      <c r="B261" s="366" t="s">
        <v>351</v>
      </c>
      <c r="C261" s="197">
        <v>11.158039043902226</v>
      </c>
      <c r="D261" s="198">
        <v>7.4578437236393968</v>
      </c>
      <c r="E261" s="198">
        <v>11.2793423965075</v>
      </c>
      <c r="F261" s="198">
        <v>12.486014447285447</v>
      </c>
      <c r="G261" s="198">
        <v>6.9037641491503905</v>
      </c>
      <c r="H261" s="198">
        <v>7.8676995977619466</v>
      </c>
      <c r="I261" s="198">
        <v>8.3754235871971918</v>
      </c>
      <c r="J261" s="198">
        <v>10.668277601238517</v>
      </c>
      <c r="K261" s="198">
        <v>11.750456142113922</v>
      </c>
      <c r="L261" s="191">
        <v>16.571470564452333</v>
      </c>
      <c r="M261" s="198">
        <v>16.423578185724526</v>
      </c>
      <c r="N261" s="198">
        <v>13.669559233529778</v>
      </c>
      <c r="O261" s="198">
        <v>23.08688615551436</v>
      </c>
      <c r="P261" s="198">
        <v>24.147489290040483</v>
      </c>
      <c r="Q261" s="198">
        <v>15.905817017148069</v>
      </c>
      <c r="R261" s="198">
        <v>17.590173398712121</v>
      </c>
      <c r="S261" s="198">
        <v>18.121880264525089</v>
      </c>
      <c r="T261" s="198">
        <v>17.453242193642723</v>
      </c>
      <c r="U261" s="198">
        <v>18.437702252814784</v>
      </c>
      <c r="V261" s="198">
        <v>14.35196198924341</v>
      </c>
      <c r="W261" s="198">
        <v>13.178629580280598</v>
      </c>
      <c r="X261" s="191">
        <v>7.4113889876585697</v>
      </c>
      <c r="Y261" s="197">
        <v>5.4445772796542666</v>
      </c>
      <c r="Z261" s="198">
        <v>0.20929425804123997</v>
      </c>
      <c r="AA261" s="198">
        <v>4.2623216399775687</v>
      </c>
      <c r="AB261" s="198">
        <v>4.7780713015998417</v>
      </c>
      <c r="AC261" s="198">
        <v>2.2298688576102328</v>
      </c>
      <c r="AD261" s="191">
        <v>14.168596849776016</v>
      </c>
      <c r="AE261" s="199" t="s">
        <v>207</v>
      </c>
    </row>
    <row r="262" spans="1:31" ht="10.5" hidden="1" customHeight="1">
      <c r="A262" s="200"/>
      <c r="B262" s="367">
        <v>40552</v>
      </c>
      <c r="C262" s="197"/>
      <c r="D262" s="198"/>
      <c r="E262" s="198"/>
      <c r="F262" s="198"/>
      <c r="G262" s="198"/>
      <c r="H262" s="198"/>
      <c r="I262" s="198"/>
      <c r="J262" s="198"/>
      <c r="K262" s="198"/>
      <c r="L262" s="191"/>
      <c r="M262" s="198"/>
      <c r="N262" s="198"/>
      <c r="O262" s="198"/>
      <c r="P262" s="198"/>
      <c r="Q262" s="198"/>
      <c r="R262" s="198"/>
      <c r="S262" s="198"/>
      <c r="T262" s="198"/>
      <c r="U262" s="198"/>
      <c r="V262" s="198"/>
      <c r="W262" s="198"/>
      <c r="X262" s="191"/>
      <c r="Y262" s="197"/>
      <c r="Z262" s="198"/>
      <c r="AA262" s="198"/>
      <c r="AB262" s="198"/>
      <c r="AC262" s="198"/>
      <c r="AD262" s="191"/>
      <c r="AE262" s="374">
        <f>+B262</f>
        <v>40552</v>
      </c>
    </row>
    <row r="263" spans="1:31" ht="12" hidden="1" customHeight="1">
      <c r="A263" s="200"/>
      <c r="B263" s="366" t="s">
        <v>184</v>
      </c>
      <c r="C263" s="197">
        <v>10.672588734845309</v>
      </c>
      <c r="D263" s="198">
        <v>6.002107092367325</v>
      </c>
      <c r="E263" s="198">
        <v>11.338672615214165</v>
      </c>
      <c r="F263" s="198">
        <v>8.6809776638593927</v>
      </c>
      <c r="G263" s="198">
        <v>4.5532912300979218</v>
      </c>
      <c r="H263" s="198">
        <v>6.7500725716684391</v>
      </c>
      <c r="I263" s="198">
        <v>6.1116299123325293</v>
      </c>
      <c r="J263" s="198">
        <v>10.732942697350717</v>
      </c>
      <c r="K263" s="198">
        <v>12.204895009970418</v>
      </c>
      <c r="L263" s="191">
        <v>10.913020491091322</v>
      </c>
      <c r="M263" s="198">
        <v>16.186950927827066</v>
      </c>
      <c r="N263" s="198">
        <v>14.29588854956431</v>
      </c>
      <c r="O263" s="198">
        <v>19.298024504250069</v>
      </c>
      <c r="P263" s="198">
        <v>15.425907806833919</v>
      </c>
      <c r="Q263" s="198">
        <v>17.43424891001272</v>
      </c>
      <c r="R263" s="198">
        <v>16.846668349318527</v>
      </c>
      <c r="S263" s="198">
        <v>14.842332726024139</v>
      </c>
      <c r="T263" s="198">
        <v>18.721307392616442</v>
      </c>
      <c r="U263" s="198">
        <v>17.994206241504109</v>
      </c>
      <c r="V263" s="198">
        <v>12.584105730956804</v>
      </c>
      <c r="W263" s="198">
        <v>11.396626324289507</v>
      </c>
      <c r="X263" s="191">
        <v>8.0515416489192333</v>
      </c>
      <c r="Y263" s="197">
        <v>10.352441329343202</v>
      </c>
      <c r="Z263" s="198">
        <v>6.8804925832633641</v>
      </c>
      <c r="AA263" s="198">
        <v>11.998377501352083</v>
      </c>
      <c r="AB263" s="198">
        <v>8.7073684210526316</v>
      </c>
      <c r="AC263" s="198">
        <v>10.801550387596899</v>
      </c>
      <c r="AD263" s="191">
        <v>14.187180200222469</v>
      </c>
      <c r="AE263" s="199" t="s">
        <v>350</v>
      </c>
    </row>
    <row r="264" spans="1:31" ht="12" hidden="1" customHeight="1" thickBot="1">
      <c r="A264" s="207"/>
      <c r="B264" s="366" t="s">
        <v>351</v>
      </c>
      <c r="C264" s="197">
        <v>11.260888688259454</v>
      </c>
      <c r="D264" s="198">
        <v>7.4268919531707231</v>
      </c>
      <c r="E264" s="198">
        <v>11.385530177908894</v>
      </c>
      <c r="F264" s="198">
        <v>11.939928480757919</v>
      </c>
      <c r="G264" s="198">
        <v>5.790336277976472</v>
      </c>
      <c r="H264" s="198">
        <v>7.7844632995466938</v>
      </c>
      <c r="I264" s="198">
        <v>8.8385927353489677</v>
      </c>
      <c r="J264" s="198">
        <v>11.187976636004505</v>
      </c>
      <c r="K264" s="198">
        <v>11.81648575753602</v>
      </c>
      <c r="L264" s="191">
        <v>15.876008532247255</v>
      </c>
      <c r="M264" s="198">
        <v>16.415542063146386</v>
      </c>
      <c r="N264" s="198">
        <v>13.873293754523912</v>
      </c>
      <c r="O264" s="198">
        <v>23.013821509723766</v>
      </c>
      <c r="P264" s="198">
        <v>23.113221024562055</v>
      </c>
      <c r="Q264" s="198">
        <v>16.003331927096699</v>
      </c>
      <c r="R264" s="198">
        <v>17.809605980317777</v>
      </c>
      <c r="S264" s="198">
        <v>17.435773507377661</v>
      </c>
      <c r="T264" s="198">
        <v>17.324368612643788</v>
      </c>
      <c r="U264" s="198">
        <v>18.491863572271726</v>
      </c>
      <c r="V264" s="198">
        <v>15.028486507979895</v>
      </c>
      <c r="W264" s="198">
        <v>13.24913161337123</v>
      </c>
      <c r="X264" s="191">
        <v>7.392280642546563</v>
      </c>
      <c r="Y264" s="197">
        <v>7.8228396893466332</v>
      </c>
      <c r="Z264" s="198">
        <v>2.5546187683284458</v>
      </c>
      <c r="AA264" s="198">
        <v>12.909090909090908</v>
      </c>
      <c r="AB264" s="198">
        <v>9.4389502268329561</v>
      </c>
      <c r="AC264" s="198">
        <v>2.2238456535876869</v>
      </c>
      <c r="AD264" s="191">
        <v>14.168375633120457</v>
      </c>
      <c r="AE264" s="199" t="s">
        <v>207</v>
      </c>
    </row>
    <row r="265" spans="1:31" ht="10.5" hidden="1" customHeight="1">
      <c r="A265" s="200"/>
      <c r="B265" s="367">
        <v>40553</v>
      </c>
      <c r="C265" s="197"/>
      <c r="D265" s="198"/>
      <c r="E265" s="198"/>
      <c r="F265" s="198"/>
      <c r="G265" s="198"/>
      <c r="H265" s="198"/>
      <c r="I265" s="198"/>
      <c r="J265" s="198"/>
      <c r="K265" s="198"/>
      <c r="L265" s="191"/>
      <c r="M265" s="198"/>
      <c r="N265" s="198"/>
      <c r="O265" s="198"/>
      <c r="P265" s="198"/>
      <c r="Q265" s="198"/>
      <c r="R265" s="198"/>
      <c r="S265" s="198"/>
      <c r="T265" s="198"/>
      <c r="U265" s="198"/>
      <c r="V265" s="198"/>
      <c r="W265" s="198"/>
      <c r="X265" s="191"/>
      <c r="Y265" s="197"/>
      <c r="Z265" s="198"/>
      <c r="AA265" s="198"/>
      <c r="AB265" s="198"/>
      <c r="AC265" s="198"/>
      <c r="AD265" s="191"/>
      <c r="AE265" s="374">
        <f>+B265</f>
        <v>40553</v>
      </c>
    </row>
    <row r="266" spans="1:31" ht="12" hidden="1" customHeight="1">
      <c r="A266" s="200"/>
      <c r="B266" s="366" t="s">
        <v>184</v>
      </c>
      <c r="C266" s="197">
        <v>10.781809905282525</v>
      </c>
      <c r="D266" s="198">
        <v>6.1889599173309326</v>
      </c>
      <c r="E266" s="198">
        <v>11.376597264468083</v>
      </c>
      <c r="F266" s="198">
        <v>7.5518506898354865</v>
      </c>
      <c r="G266" s="198">
        <v>5.1408485271335396</v>
      </c>
      <c r="H266" s="198">
        <v>7.249091666618777</v>
      </c>
      <c r="I266" s="198">
        <v>6.1554411031518246</v>
      </c>
      <c r="J266" s="198">
        <v>10.742884376085126</v>
      </c>
      <c r="K266" s="198">
        <v>12.179425875435131</v>
      </c>
      <c r="L266" s="191">
        <v>11.726880236134896</v>
      </c>
      <c r="M266" s="198">
        <v>16.07281516172721</v>
      </c>
      <c r="N266" s="198">
        <v>14.423567087656521</v>
      </c>
      <c r="O266" s="198">
        <v>18.773188524415129</v>
      </c>
      <c r="P266" s="198">
        <v>12.756894093810647</v>
      </c>
      <c r="Q266" s="198">
        <v>16.072742333103246</v>
      </c>
      <c r="R266" s="198">
        <v>17.056908746764481</v>
      </c>
      <c r="S266" s="198">
        <v>14.680128317024169</v>
      </c>
      <c r="T266" s="198">
        <v>18.590260211534357</v>
      </c>
      <c r="U266" s="198">
        <v>18.074885527685492</v>
      </c>
      <c r="V266" s="198">
        <v>12.702073636530596</v>
      </c>
      <c r="W266" s="198">
        <v>11.759249582649309</v>
      </c>
      <c r="X266" s="191">
        <v>7.9913779794679876</v>
      </c>
      <c r="Y266" s="197">
        <v>9.6101490870278123</v>
      </c>
      <c r="Z266" s="198">
        <v>10.088235294117647</v>
      </c>
      <c r="AA266" s="198">
        <v>8.0591674550614947</v>
      </c>
      <c r="AB266" s="198">
        <v>8.5312169312169317</v>
      </c>
      <c r="AC266" s="198">
        <v>10.963678160919541</v>
      </c>
      <c r="AD266" s="191">
        <v>10.99694094004689</v>
      </c>
      <c r="AE266" s="199" t="s">
        <v>350</v>
      </c>
    </row>
    <row r="267" spans="1:31" ht="12" hidden="1" customHeight="1" thickBot="1">
      <c r="A267" s="207"/>
      <c r="B267" s="366" t="s">
        <v>351</v>
      </c>
      <c r="C267" s="197">
        <v>11.457300337144005</v>
      </c>
      <c r="D267" s="198">
        <v>8.0369622123414821</v>
      </c>
      <c r="E267" s="198">
        <v>11.588831892164311</v>
      </c>
      <c r="F267" s="198">
        <v>13.61401647820996</v>
      </c>
      <c r="G267" s="198">
        <v>4.6433183604716453</v>
      </c>
      <c r="H267" s="198">
        <v>8.0498936968216217</v>
      </c>
      <c r="I267" s="198">
        <v>7.3085795900078416</v>
      </c>
      <c r="J267" s="198">
        <v>10.867621971862974</v>
      </c>
      <c r="K267" s="198">
        <v>12.429199170960713</v>
      </c>
      <c r="L267" s="191">
        <v>16.379969717591017</v>
      </c>
      <c r="M267" s="198">
        <v>16.339857351368092</v>
      </c>
      <c r="N267" s="198">
        <v>13.909050317409928</v>
      </c>
      <c r="O267" s="198">
        <v>22.615941975585145</v>
      </c>
      <c r="P267" s="198">
        <v>24.027908451142803</v>
      </c>
      <c r="Q267" s="198">
        <v>16.821636757171429</v>
      </c>
      <c r="R267" s="198">
        <v>17.974148439187726</v>
      </c>
      <c r="S267" s="198">
        <v>18.555047321965034</v>
      </c>
      <c r="T267" s="198">
        <v>17.089285270747485</v>
      </c>
      <c r="U267" s="198">
        <v>18.420071286348641</v>
      </c>
      <c r="V267" s="198">
        <v>14.906628035942674</v>
      </c>
      <c r="W267" s="198">
        <v>13.672682956626264</v>
      </c>
      <c r="X267" s="191">
        <v>7.4007050690004554</v>
      </c>
      <c r="Y267" s="197">
        <v>6.7354781184605592</v>
      </c>
      <c r="Z267" s="198">
        <v>5.8568850819600851</v>
      </c>
      <c r="AA267" s="198">
        <v>12</v>
      </c>
      <c r="AB267" s="198">
        <v>9.9065885034116352</v>
      </c>
      <c r="AC267" s="198">
        <v>1.9645532244407617</v>
      </c>
      <c r="AD267" s="191">
        <v>14.169247703897355</v>
      </c>
      <c r="AE267" s="199" t="s">
        <v>207</v>
      </c>
    </row>
    <row r="268" spans="1:31" ht="10.5" hidden="1" customHeight="1">
      <c r="A268" s="200"/>
      <c r="B268" s="367">
        <v>40554</v>
      </c>
      <c r="C268" s="197"/>
      <c r="D268" s="198"/>
      <c r="E268" s="198"/>
      <c r="F268" s="198"/>
      <c r="G268" s="198"/>
      <c r="H268" s="198"/>
      <c r="I268" s="198"/>
      <c r="J268" s="198"/>
      <c r="K268" s="198"/>
      <c r="L268" s="191"/>
      <c r="M268" s="198"/>
      <c r="N268" s="198"/>
      <c r="O268" s="198"/>
      <c r="P268" s="198"/>
      <c r="Q268" s="198"/>
      <c r="R268" s="198"/>
      <c r="S268" s="198"/>
      <c r="T268" s="198"/>
      <c r="U268" s="198"/>
      <c r="V268" s="198"/>
      <c r="W268" s="198"/>
      <c r="X268" s="191"/>
      <c r="Y268" s="197"/>
      <c r="Z268" s="198"/>
      <c r="AA268" s="198"/>
      <c r="AB268" s="198"/>
      <c r="AC268" s="198"/>
      <c r="AD268" s="191"/>
      <c r="AE268" s="374">
        <f>+B268</f>
        <v>40554</v>
      </c>
    </row>
    <row r="269" spans="1:31" ht="12" hidden="1" customHeight="1">
      <c r="A269" s="200"/>
      <c r="B269" s="366" t="s">
        <v>184</v>
      </c>
      <c r="C269" s="197">
        <v>10.63593959892207</v>
      </c>
      <c r="D269" s="198">
        <v>6.0528144976018581</v>
      </c>
      <c r="E269" s="198">
        <v>11.21640361184954</v>
      </c>
      <c r="F269" s="198">
        <v>7.6690318027273516</v>
      </c>
      <c r="G269" s="198">
        <v>5.991518651757322</v>
      </c>
      <c r="H269" s="198">
        <v>7.5549176343009474</v>
      </c>
      <c r="I269" s="198">
        <v>6.1693204432295978</v>
      </c>
      <c r="J269" s="198">
        <v>10.649222314245625</v>
      </c>
      <c r="K269" s="198">
        <v>11.771276691306262</v>
      </c>
      <c r="L269" s="191">
        <v>12.106048149439818</v>
      </c>
      <c r="M269" s="198">
        <v>16.207579544429226</v>
      </c>
      <c r="N269" s="198">
        <v>14.368564616009802</v>
      </c>
      <c r="O269" s="198">
        <v>19.179001910175955</v>
      </c>
      <c r="P269" s="198">
        <v>16.558809470516554</v>
      </c>
      <c r="Q269" s="198">
        <v>16.079062991470586</v>
      </c>
      <c r="R269" s="198">
        <v>17.582792256393841</v>
      </c>
      <c r="S269" s="198">
        <v>14.763835041482706</v>
      </c>
      <c r="T269" s="198">
        <v>18.743235222751586</v>
      </c>
      <c r="U269" s="198">
        <v>17.98863277681361</v>
      </c>
      <c r="V269" s="198">
        <v>12.541034420631295</v>
      </c>
      <c r="W269" s="198">
        <v>11.985006555819769</v>
      </c>
      <c r="X269" s="191">
        <v>8.06</v>
      </c>
      <c r="Y269" s="197">
        <v>9.9116933689184972</v>
      </c>
      <c r="Z269" s="198">
        <v>8.7226890756302513</v>
      </c>
      <c r="AA269" s="198">
        <v>8.3791646122420236</v>
      </c>
      <c r="AB269" s="198">
        <v>10.468385449904275</v>
      </c>
      <c r="AC269" s="198">
        <v>10.700476190476191</v>
      </c>
      <c r="AD269" s="191">
        <v>11.134662553279629</v>
      </c>
      <c r="AE269" s="199" t="s">
        <v>350</v>
      </c>
    </row>
    <row r="270" spans="1:31" ht="12" hidden="1" customHeight="1" thickBot="1">
      <c r="A270" s="207"/>
      <c r="B270" s="366" t="s">
        <v>351</v>
      </c>
      <c r="C270" s="197">
        <v>11.195667908927541</v>
      </c>
      <c r="D270" s="198">
        <v>7.5255626229851842</v>
      </c>
      <c r="E270" s="198">
        <v>11.330273752398396</v>
      </c>
      <c r="F270" s="198">
        <v>14.534934829314873</v>
      </c>
      <c r="G270" s="198">
        <v>4.8505956247319064</v>
      </c>
      <c r="H270" s="198">
        <v>8.2075319953600729</v>
      </c>
      <c r="I270" s="198">
        <v>7.7118673347920232</v>
      </c>
      <c r="J270" s="198">
        <v>10.512905266069769</v>
      </c>
      <c r="K270" s="198">
        <v>12.122890279114337</v>
      </c>
      <c r="L270" s="191">
        <v>15.894170534128216</v>
      </c>
      <c r="M270" s="198">
        <v>16.273914457259707</v>
      </c>
      <c r="N270" s="198">
        <v>13.655074808668367</v>
      </c>
      <c r="O270" s="198">
        <v>23.017106896889313</v>
      </c>
      <c r="P270" s="198">
        <v>20.02782918681757</v>
      </c>
      <c r="Q270" s="198">
        <v>16.974816354134646</v>
      </c>
      <c r="R270" s="198">
        <v>17.459364285306105</v>
      </c>
      <c r="S270" s="198">
        <v>15.234716099662885</v>
      </c>
      <c r="T270" s="198">
        <v>17.410084224174536</v>
      </c>
      <c r="U270" s="198">
        <v>18.406694964517165</v>
      </c>
      <c r="V270" s="198">
        <v>14.887369553015359</v>
      </c>
      <c r="W270" s="198">
        <v>13.188347936018586</v>
      </c>
      <c r="X270" s="191">
        <v>7.5198658814823949</v>
      </c>
      <c r="Y270" s="197">
        <v>8.4969117920491311</v>
      </c>
      <c r="Z270" s="198">
        <v>7.9992276975756216</v>
      </c>
      <c r="AA270" s="198">
        <v>7.0779120119968324</v>
      </c>
      <c r="AB270" s="198">
        <v>9.0032656680534568</v>
      </c>
      <c r="AC270" s="198">
        <v>1.6193534234970197</v>
      </c>
      <c r="AD270" s="191">
        <v>14.169247703897355</v>
      </c>
      <c r="AE270" s="199" t="s">
        <v>207</v>
      </c>
    </row>
    <row r="271" spans="1:31" ht="10.5" hidden="1" customHeight="1">
      <c r="A271" s="200"/>
      <c r="B271" s="367">
        <v>40555</v>
      </c>
      <c r="C271" s="197"/>
      <c r="D271" s="198"/>
      <c r="E271" s="198"/>
      <c r="F271" s="198"/>
      <c r="G271" s="198"/>
      <c r="H271" s="198"/>
      <c r="I271" s="198"/>
      <c r="J271" s="198"/>
      <c r="K271" s="198"/>
      <c r="L271" s="191"/>
      <c r="M271" s="198"/>
      <c r="N271" s="198"/>
      <c r="O271" s="198"/>
      <c r="P271" s="198"/>
      <c r="Q271" s="198"/>
      <c r="R271" s="198"/>
      <c r="S271" s="198"/>
      <c r="T271" s="198"/>
      <c r="U271" s="198"/>
      <c r="V271" s="198"/>
      <c r="W271" s="198"/>
      <c r="X271" s="191"/>
      <c r="Y271" s="197"/>
      <c r="Z271" s="198"/>
      <c r="AA271" s="198"/>
      <c r="AB271" s="198"/>
      <c r="AC271" s="198"/>
      <c r="AD271" s="191"/>
      <c r="AE271" s="374">
        <f>+B271</f>
        <v>40555</v>
      </c>
    </row>
    <row r="272" spans="1:31" ht="12" hidden="1" customHeight="1">
      <c r="A272" s="200"/>
      <c r="B272" s="366" t="s">
        <v>184</v>
      </c>
      <c r="C272" s="197">
        <v>10.649349282308517</v>
      </c>
      <c r="D272" s="198">
        <v>6.1459974857737558</v>
      </c>
      <c r="E272" s="198">
        <v>11.103937454233314</v>
      </c>
      <c r="F272" s="198">
        <v>5.8869808553147376</v>
      </c>
      <c r="G272" s="198">
        <v>7.3662232957989673</v>
      </c>
      <c r="H272" s="198">
        <v>8.1024511745887455</v>
      </c>
      <c r="I272" s="198">
        <v>6.0144797938779515</v>
      </c>
      <c r="J272" s="198">
        <v>10.663226169513862</v>
      </c>
      <c r="K272" s="198">
        <v>11.384192113881561</v>
      </c>
      <c r="L272" s="191">
        <v>12.223105926881795</v>
      </c>
      <c r="M272" s="198">
        <v>16.238466427104793</v>
      </c>
      <c r="N272" s="198">
        <v>14.475815203859959</v>
      </c>
      <c r="O272" s="198">
        <v>19.092108559170285</v>
      </c>
      <c r="P272" s="198">
        <v>16.126713881327856</v>
      </c>
      <c r="Q272" s="198">
        <v>17.04777042495429</v>
      </c>
      <c r="R272" s="198">
        <v>17.181608673588041</v>
      </c>
      <c r="S272" s="198">
        <v>15.234816156892453</v>
      </c>
      <c r="T272" s="198">
        <v>18.823360008240122</v>
      </c>
      <c r="U272" s="198">
        <v>17.907447672907679</v>
      </c>
      <c r="V272" s="198">
        <v>12.634770822247789</v>
      </c>
      <c r="W272" s="198">
        <v>12.021026690266252</v>
      </c>
      <c r="X272" s="191">
        <v>7.97</v>
      </c>
      <c r="Y272" s="197">
        <v>9.7790104236648077</v>
      </c>
      <c r="Z272" s="198">
        <v>7.6447761194029855</v>
      </c>
      <c r="AA272" s="198">
        <v>8.8182963286419671</v>
      </c>
      <c r="AB272" s="198">
        <v>10.19797707412885</v>
      </c>
      <c r="AC272" s="198">
        <v>9.6482597099003851</v>
      </c>
      <c r="AD272" s="191">
        <v>11.084009912796425</v>
      </c>
      <c r="AE272" s="199" t="s">
        <v>350</v>
      </c>
    </row>
    <row r="273" spans="1:31" ht="12" hidden="1" customHeight="1" thickBot="1">
      <c r="A273" s="207"/>
      <c r="B273" s="366" t="s">
        <v>351</v>
      </c>
      <c r="C273" s="197">
        <v>11.267840977942724</v>
      </c>
      <c r="D273" s="198">
        <v>8.0226251467248701</v>
      </c>
      <c r="E273" s="198">
        <v>11.386434225039325</v>
      </c>
      <c r="F273" s="198">
        <v>15.067924130663858</v>
      </c>
      <c r="G273" s="198">
        <v>5.3727304435393117</v>
      </c>
      <c r="H273" s="198">
        <v>7.4700254371602588</v>
      </c>
      <c r="I273" s="198">
        <v>7.4384730057737194</v>
      </c>
      <c r="J273" s="198">
        <v>10.574137518195876</v>
      </c>
      <c r="K273" s="198">
        <v>12.359555717431775</v>
      </c>
      <c r="L273" s="191">
        <v>15.717870169093157</v>
      </c>
      <c r="M273" s="198">
        <v>16.3381564256504</v>
      </c>
      <c r="N273" s="198">
        <v>13.71591717381907</v>
      </c>
      <c r="O273" s="198">
        <v>22.982775640179852</v>
      </c>
      <c r="P273" s="198">
        <v>21.60402678745584</v>
      </c>
      <c r="Q273" s="198">
        <v>17.689870433529517</v>
      </c>
      <c r="R273" s="198">
        <v>16.644160653514106</v>
      </c>
      <c r="S273" s="198">
        <v>15.165931110931895</v>
      </c>
      <c r="T273" s="198">
        <v>17.554458863325788</v>
      </c>
      <c r="U273" s="198">
        <v>18.365328262866122</v>
      </c>
      <c r="V273" s="198">
        <v>15.113615232430131</v>
      </c>
      <c r="W273" s="198">
        <v>13.189471055102068</v>
      </c>
      <c r="X273" s="191">
        <v>7.5585940949249597</v>
      </c>
      <c r="Y273" s="197">
        <v>8.1608335401565189</v>
      </c>
      <c r="Z273" s="198">
        <v>6.4885358562667577</v>
      </c>
      <c r="AA273" s="198">
        <v>9.3605557154929837</v>
      </c>
      <c r="AB273" s="198">
        <v>9.6681067847563504</v>
      </c>
      <c r="AC273" s="198">
        <v>3.4399209968598474</v>
      </c>
      <c r="AD273" s="191">
        <v>13.602518842055137</v>
      </c>
      <c r="AE273" s="199" t="s">
        <v>207</v>
      </c>
    </row>
    <row r="274" spans="1:31" ht="10.5" customHeight="1">
      <c r="A274" s="200"/>
      <c r="B274" s="367">
        <v>40909</v>
      </c>
      <c r="C274" s="197"/>
      <c r="D274" s="198"/>
      <c r="E274" s="198"/>
      <c r="F274" s="198"/>
      <c r="G274" s="198"/>
      <c r="H274" s="198"/>
      <c r="I274" s="198"/>
      <c r="J274" s="198"/>
      <c r="K274" s="198"/>
      <c r="L274" s="191"/>
      <c r="M274" s="198"/>
      <c r="N274" s="198"/>
      <c r="O274" s="198"/>
      <c r="P274" s="198"/>
      <c r="Q274" s="198"/>
      <c r="R274" s="198"/>
      <c r="S274" s="198"/>
      <c r="T274" s="198"/>
      <c r="U274" s="198"/>
      <c r="V274" s="198"/>
      <c r="W274" s="198"/>
      <c r="X274" s="191"/>
      <c r="Y274" s="197"/>
      <c r="Z274" s="198"/>
      <c r="AA274" s="198"/>
      <c r="AB274" s="198"/>
      <c r="AC274" s="198"/>
      <c r="AD274" s="191"/>
      <c r="AE274" s="374">
        <f>+B274</f>
        <v>40909</v>
      </c>
    </row>
    <row r="275" spans="1:31" ht="12" customHeight="1">
      <c r="A275" s="200"/>
      <c r="B275" s="366" t="s">
        <v>184</v>
      </c>
      <c r="C275" s="197">
        <v>10.262110538599906</v>
      </c>
      <c r="D275" s="198">
        <v>5.6047661617120328</v>
      </c>
      <c r="E275" s="198">
        <v>10.758618172383821</v>
      </c>
      <c r="F275" s="198">
        <v>5.4513972494086653</v>
      </c>
      <c r="G275" s="198">
        <v>5.8932152562648916</v>
      </c>
      <c r="H275" s="198">
        <v>7.9952809065703194</v>
      </c>
      <c r="I275" s="198">
        <v>6.3029943094068708</v>
      </c>
      <c r="J275" s="198">
        <v>10.355048968051387</v>
      </c>
      <c r="K275" s="198">
        <v>11.130911640910623</v>
      </c>
      <c r="L275" s="191">
        <v>12.386912448091177</v>
      </c>
      <c r="M275" s="198">
        <v>16.26791580416263</v>
      </c>
      <c r="N275" s="198">
        <v>14.534148101710628</v>
      </c>
      <c r="O275" s="198">
        <v>19.063871280329476</v>
      </c>
      <c r="P275" s="198">
        <v>16.381729137199432</v>
      </c>
      <c r="Q275" s="198">
        <v>16.169830542487013</v>
      </c>
      <c r="R275" s="198">
        <v>17.245335332730107</v>
      </c>
      <c r="S275" s="198">
        <v>15.021616085292074</v>
      </c>
      <c r="T275" s="198">
        <v>19.148586157507474</v>
      </c>
      <c r="U275" s="198">
        <v>17.923300231527797</v>
      </c>
      <c r="V275" s="198">
        <v>12.619614473962345</v>
      </c>
      <c r="W275" s="198">
        <v>11.927135750604378</v>
      </c>
      <c r="X275" s="191">
        <v>7.9242434335464251</v>
      </c>
      <c r="Y275" s="197">
        <v>9.8614706846305342</v>
      </c>
      <c r="Z275" s="198">
        <v>7.9402985074626864</v>
      </c>
      <c r="AA275" s="198">
        <v>7.4582338902147969</v>
      </c>
      <c r="AB275" s="198">
        <v>11.416924870897885</v>
      </c>
      <c r="AC275" s="198">
        <v>9.4440092069079817</v>
      </c>
      <c r="AD275" s="191">
        <v>11.125006536357837</v>
      </c>
      <c r="AE275" s="199" t="s">
        <v>350</v>
      </c>
    </row>
    <row r="276" spans="1:31" ht="12" customHeight="1" thickBot="1">
      <c r="A276" s="207"/>
      <c r="B276" s="366" t="s">
        <v>351</v>
      </c>
      <c r="C276" s="197">
        <v>11.11193754726729</v>
      </c>
      <c r="D276" s="198">
        <v>7.0188700595823184</v>
      </c>
      <c r="E276" s="198">
        <v>11.273037531139332</v>
      </c>
      <c r="F276" s="198">
        <v>11.013197682712764</v>
      </c>
      <c r="G276" s="198">
        <v>4.720018988303206</v>
      </c>
      <c r="H276" s="198">
        <v>7.2878515947132643</v>
      </c>
      <c r="I276" s="198">
        <v>8.2100000000000009</v>
      </c>
      <c r="J276" s="198">
        <v>10.466828801747235</v>
      </c>
      <c r="K276" s="198">
        <v>12.253497705393917</v>
      </c>
      <c r="L276" s="191">
        <v>15.757025856010557</v>
      </c>
      <c r="M276" s="198">
        <v>16.788057839345189</v>
      </c>
      <c r="N276" s="198">
        <v>14.299858908692411</v>
      </c>
      <c r="O276" s="198">
        <v>22.903222770539312</v>
      </c>
      <c r="P276" s="198">
        <v>22.176827799859712</v>
      </c>
      <c r="Q276" s="198">
        <v>16.037023717977714</v>
      </c>
      <c r="R276" s="198">
        <v>17.982787379963852</v>
      </c>
      <c r="S276" s="198">
        <v>14.265165374153597</v>
      </c>
      <c r="T276" s="198">
        <v>18.233351313546272</v>
      </c>
      <c r="U276" s="198">
        <v>19.063257902157424</v>
      </c>
      <c r="V276" s="198">
        <v>15.847265691669804</v>
      </c>
      <c r="W276" s="198">
        <v>13.144848062948983</v>
      </c>
      <c r="X276" s="191">
        <v>7.5303417387821554</v>
      </c>
      <c r="Y276" s="197">
        <v>7.9896471876227739</v>
      </c>
      <c r="Z276" s="198">
        <v>7.9981081854608922</v>
      </c>
      <c r="AA276" s="198">
        <v>6.2973514048369656</v>
      </c>
      <c r="AB276" s="198">
        <v>8.9851707334945399</v>
      </c>
      <c r="AC276" s="198">
        <v>1.9447251442612994</v>
      </c>
      <c r="AD276" s="191">
        <v>12.248531975410586</v>
      </c>
      <c r="AE276" s="199" t="s">
        <v>207</v>
      </c>
    </row>
    <row r="277" spans="1:31" ht="10.5" hidden="1" customHeight="1">
      <c r="A277" s="200"/>
      <c r="B277" s="367">
        <v>40910</v>
      </c>
      <c r="C277" s="197"/>
      <c r="D277" s="198"/>
      <c r="E277" s="198"/>
      <c r="F277" s="198"/>
      <c r="G277" s="198"/>
      <c r="H277" s="198"/>
      <c r="I277" s="198"/>
      <c r="J277" s="198"/>
      <c r="K277" s="198"/>
      <c r="L277" s="191"/>
      <c r="M277" s="198"/>
      <c r="N277" s="198"/>
      <c r="O277" s="198"/>
      <c r="P277" s="198"/>
      <c r="Q277" s="198"/>
      <c r="R277" s="198"/>
      <c r="S277" s="198"/>
      <c r="T277" s="198"/>
      <c r="U277" s="198"/>
      <c r="V277" s="198"/>
      <c r="W277" s="198"/>
      <c r="X277" s="191"/>
      <c r="Y277" s="197"/>
      <c r="Z277" s="198"/>
      <c r="AA277" s="198"/>
      <c r="AB277" s="198"/>
      <c r="AC277" s="198"/>
      <c r="AD277" s="191"/>
      <c r="AE277" s="374">
        <f>+B277</f>
        <v>40910</v>
      </c>
    </row>
    <row r="278" spans="1:31" ht="12" hidden="1" customHeight="1">
      <c r="A278" s="200"/>
      <c r="B278" s="366" t="s">
        <v>184</v>
      </c>
      <c r="C278" s="197">
        <v>10.387458233802105</v>
      </c>
      <c r="D278" s="198">
        <v>5.9896672212187463</v>
      </c>
      <c r="E278" s="198">
        <v>10.805989601825516</v>
      </c>
      <c r="F278" s="198">
        <v>6.0415100965759434</v>
      </c>
      <c r="G278" s="198">
        <v>5.8055230130722206</v>
      </c>
      <c r="H278" s="198">
        <v>8.0479338604054842</v>
      </c>
      <c r="I278" s="198">
        <v>6.3497889488189836</v>
      </c>
      <c r="J278" s="198">
        <v>10.353476389471263</v>
      </c>
      <c r="K278" s="198">
        <v>11.268000918758549</v>
      </c>
      <c r="L278" s="191">
        <v>12.368175355794214</v>
      </c>
      <c r="M278" s="198">
        <v>16.244263301641077</v>
      </c>
      <c r="N278" s="198">
        <v>14.556390559391808</v>
      </c>
      <c r="O278" s="198">
        <v>18.983784329887882</v>
      </c>
      <c r="P278" s="198">
        <v>16.574332327900901</v>
      </c>
      <c r="Q278" s="198">
        <v>16.413292779559402</v>
      </c>
      <c r="R278" s="198">
        <v>17.442564038985758</v>
      </c>
      <c r="S278" s="198">
        <v>15.105601305374254</v>
      </c>
      <c r="T278" s="198">
        <v>19.020767237636438</v>
      </c>
      <c r="U278" s="198">
        <v>17.838378372561671</v>
      </c>
      <c r="V278" s="198">
        <v>12.668188398211687</v>
      </c>
      <c r="W278" s="198">
        <v>11.96575341099733</v>
      </c>
      <c r="X278" s="191">
        <v>7.9043853126816819</v>
      </c>
      <c r="Y278" s="197">
        <v>9.7641974619601672</v>
      </c>
      <c r="Z278" s="211" t="s">
        <v>93</v>
      </c>
      <c r="AA278" s="198">
        <v>8.1754443778709796</v>
      </c>
      <c r="AB278" s="198">
        <v>8.7061390212213077</v>
      </c>
      <c r="AC278" s="198">
        <v>10.488404147995213</v>
      </c>
      <c r="AD278" s="191">
        <v>11.174083589727324</v>
      </c>
      <c r="AE278" s="199" t="s">
        <v>350</v>
      </c>
    </row>
    <row r="279" spans="1:31" ht="12" hidden="1" customHeight="1" thickBot="1">
      <c r="A279" s="207"/>
      <c r="B279" s="366" t="s">
        <v>351</v>
      </c>
      <c r="C279" s="197">
        <v>11.15094016277394</v>
      </c>
      <c r="D279" s="198">
        <v>7.4053675711002871</v>
      </c>
      <c r="E279" s="198">
        <v>11.276091493702179</v>
      </c>
      <c r="F279" s="198">
        <v>13.88927922477237</v>
      </c>
      <c r="G279" s="198">
        <v>4.3874408016917021</v>
      </c>
      <c r="H279" s="198">
        <v>7.3865276947053617</v>
      </c>
      <c r="I279" s="198">
        <v>8.52</v>
      </c>
      <c r="J279" s="198">
        <v>10.497853490075022</v>
      </c>
      <c r="K279" s="198">
        <v>12.227727167022065</v>
      </c>
      <c r="L279" s="191">
        <v>16.447058665251003</v>
      </c>
      <c r="M279" s="198">
        <v>16.403429338773119</v>
      </c>
      <c r="N279" s="198">
        <v>13.770591771435862</v>
      </c>
      <c r="O279" s="198">
        <v>22.887602229442077</v>
      </c>
      <c r="P279" s="198">
        <v>19.640633821999899</v>
      </c>
      <c r="Q279" s="198">
        <v>16.60062545523915</v>
      </c>
      <c r="R279" s="198">
        <v>17.949743537653763</v>
      </c>
      <c r="S279" s="198">
        <v>14.773670556155819</v>
      </c>
      <c r="T279" s="198">
        <v>18.221304575645576</v>
      </c>
      <c r="U279" s="198">
        <v>19.088696642773172</v>
      </c>
      <c r="V279" s="198">
        <v>14.983103505315094</v>
      </c>
      <c r="W279" s="198">
        <v>12.510648413843292</v>
      </c>
      <c r="X279" s="191">
        <v>7.50088136263967</v>
      </c>
      <c r="Y279" s="197">
        <v>7.948826984636832</v>
      </c>
      <c r="Z279" s="198">
        <v>7.9814035574487239</v>
      </c>
      <c r="AA279" s="198">
        <v>4.9258932365728478</v>
      </c>
      <c r="AB279" s="198">
        <v>8.5924278473156104</v>
      </c>
      <c r="AC279" s="198">
        <v>2.4476280469230818</v>
      </c>
      <c r="AD279" s="191">
        <v>12.289880823401951</v>
      </c>
      <c r="AE279" s="199" t="s">
        <v>207</v>
      </c>
    </row>
    <row r="280" spans="1:31" ht="10.5" hidden="1" customHeight="1">
      <c r="A280" s="200"/>
      <c r="B280" s="367">
        <v>40911</v>
      </c>
      <c r="C280" s="197"/>
      <c r="D280" s="198"/>
      <c r="E280" s="198"/>
      <c r="F280" s="198"/>
      <c r="G280" s="198"/>
      <c r="H280" s="198"/>
      <c r="I280" s="198"/>
      <c r="J280" s="198"/>
      <c r="K280" s="198"/>
      <c r="L280" s="191"/>
      <c r="M280" s="198"/>
      <c r="N280" s="198"/>
      <c r="O280" s="198"/>
      <c r="P280" s="198"/>
      <c r="Q280" s="198"/>
      <c r="R280" s="198"/>
      <c r="S280" s="198"/>
      <c r="T280" s="198"/>
      <c r="U280" s="198"/>
      <c r="V280" s="198"/>
      <c r="W280" s="198"/>
      <c r="X280" s="191"/>
      <c r="Y280" s="197"/>
      <c r="Z280" s="198"/>
      <c r="AA280" s="198"/>
      <c r="AB280" s="198"/>
      <c r="AC280" s="198"/>
      <c r="AD280" s="191"/>
      <c r="AE280" s="374">
        <f>+B280</f>
        <v>40911</v>
      </c>
    </row>
    <row r="281" spans="1:31" ht="12" hidden="1" customHeight="1">
      <c r="A281" s="200"/>
      <c r="B281" s="366" t="s">
        <v>184</v>
      </c>
      <c r="C281" s="197">
        <v>10.214143150820393</v>
      </c>
      <c r="D281" s="198">
        <v>6.2390706553259685</v>
      </c>
      <c r="E281" s="198">
        <v>10.649978915861997</v>
      </c>
      <c r="F281" s="198">
        <v>7.3906171206381659</v>
      </c>
      <c r="G281" s="198">
        <v>5.5540768358111459</v>
      </c>
      <c r="H281" s="198">
        <v>6.7602912413475549</v>
      </c>
      <c r="I281" s="198">
        <v>6.485803252677508</v>
      </c>
      <c r="J281" s="198">
        <v>10.36541769458764</v>
      </c>
      <c r="K281" s="198">
        <v>11.217120810687119</v>
      </c>
      <c r="L281" s="191">
        <v>12.376427587291211</v>
      </c>
      <c r="M281" s="198">
        <v>16.170712402345679</v>
      </c>
      <c r="N281" s="198">
        <v>14.506534682982378</v>
      </c>
      <c r="O281" s="198">
        <v>18.779600076865218</v>
      </c>
      <c r="P281" s="198">
        <v>16.080745478487543</v>
      </c>
      <c r="Q281" s="198">
        <v>16.331766493834852</v>
      </c>
      <c r="R281" s="198">
        <v>16.737453177299379</v>
      </c>
      <c r="S281" s="198">
        <v>15.142381721825716</v>
      </c>
      <c r="T281" s="198">
        <v>19.211701079790913</v>
      </c>
      <c r="U281" s="198">
        <v>17.861204935137913</v>
      </c>
      <c r="V281" s="198">
        <v>12.408336809367741</v>
      </c>
      <c r="W281" s="198">
        <v>11.937362974906048</v>
      </c>
      <c r="X281" s="191">
        <v>7.755130639849245</v>
      </c>
      <c r="Y281" s="197">
        <v>9.734879656121894</v>
      </c>
      <c r="Z281" s="210">
        <v>3.0000000000000004</v>
      </c>
      <c r="AA281" s="198">
        <v>8.0720943503899569</v>
      </c>
      <c r="AB281" s="198">
        <v>9.7185265698778256</v>
      </c>
      <c r="AC281" s="198">
        <v>10.445496049395636</v>
      </c>
      <c r="AD281" s="191">
        <v>11.215464952372818</v>
      </c>
      <c r="AE281" s="199" t="s">
        <v>350</v>
      </c>
    </row>
    <row r="282" spans="1:31" ht="12" hidden="1" customHeight="1" thickBot="1">
      <c r="A282" s="207"/>
      <c r="B282" s="366" t="s">
        <v>351</v>
      </c>
      <c r="C282" s="197">
        <v>11.035907500807472</v>
      </c>
      <c r="D282" s="198">
        <v>6.9856642074961286</v>
      </c>
      <c r="E282" s="198">
        <v>11.197288498206383</v>
      </c>
      <c r="F282" s="198">
        <v>10.135006167017339</v>
      </c>
      <c r="G282" s="198">
        <v>4.7482063002546759</v>
      </c>
      <c r="H282" s="198">
        <v>7.3571705388328565</v>
      </c>
      <c r="I282" s="198">
        <v>7.92</v>
      </c>
      <c r="J282" s="198">
        <v>10.210699237464231</v>
      </c>
      <c r="K282" s="198">
        <v>12.252718959584213</v>
      </c>
      <c r="L282" s="191">
        <v>16.23400570080527</v>
      </c>
      <c r="M282" s="198">
        <v>16.400008836694379</v>
      </c>
      <c r="N282" s="198">
        <v>13.717060870917383</v>
      </c>
      <c r="O282" s="198">
        <v>23.009410935611751</v>
      </c>
      <c r="P282" s="198">
        <v>18.946886745620873</v>
      </c>
      <c r="Q282" s="198">
        <v>16.368267389632987</v>
      </c>
      <c r="R282" s="198">
        <v>17.046359596949127</v>
      </c>
      <c r="S282" s="198">
        <v>14.813665488143771</v>
      </c>
      <c r="T282" s="198">
        <v>18.422231802313721</v>
      </c>
      <c r="U282" s="198">
        <v>19.045534612441887</v>
      </c>
      <c r="V282" s="198">
        <v>14.945604044680934</v>
      </c>
      <c r="W282" s="198">
        <v>12.525223241708828</v>
      </c>
      <c r="X282" s="191">
        <v>7.4731762019674361</v>
      </c>
      <c r="Y282" s="197">
        <v>6.406359798478789</v>
      </c>
      <c r="Z282" s="198">
        <v>3.577840145279592</v>
      </c>
      <c r="AA282" s="198">
        <v>8.0650199837679732</v>
      </c>
      <c r="AB282" s="198">
        <v>8.5925278318089635</v>
      </c>
      <c r="AC282" s="198">
        <v>2.1666372498438644</v>
      </c>
      <c r="AD282" s="191">
        <v>12.401034330985917</v>
      </c>
      <c r="AE282" s="199" t="s">
        <v>207</v>
      </c>
    </row>
    <row r="283" spans="1:31" ht="10.5" hidden="1" customHeight="1">
      <c r="A283" s="200"/>
      <c r="B283" s="367">
        <v>40912</v>
      </c>
      <c r="C283" s="197"/>
      <c r="D283" s="198"/>
      <c r="E283" s="198"/>
      <c r="F283" s="198"/>
      <c r="G283" s="198"/>
      <c r="H283" s="198"/>
      <c r="I283" s="198"/>
      <c r="J283" s="198"/>
      <c r="K283" s="198"/>
      <c r="L283" s="191"/>
      <c r="M283" s="198"/>
      <c r="N283" s="198"/>
      <c r="O283" s="198"/>
      <c r="P283" s="198"/>
      <c r="Q283" s="198"/>
      <c r="R283" s="198"/>
      <c r="S283" s="198"/>
      <c r="T283" s="198"/>
      <c r="U283" s="198"/>
      <c r="V283" s="198"/>
      <c r="W283" s="198"/>
      <c r="X283" s="191"/>
      <c r="Y283" s="197"/>
      <c r="Z283" s="198"/>
      <c r="AA283" s="198"/>
      <c r="AB283" s="198"/>
      <c r="AC283" s="198"/>
      <c r="AD283" s="191"/>
      <c r="AE283" s="374">
        <f>+B283</f>
        <v>40912</v>
      </c>
    </row>
    <row r="284" spans="1:31" ht="12" hidden="1" customHeight="1">
      <c r="A284" s="200"/>
      <c r="B284" s="366" t="s">
        <v>184</v>
      </c>
      <c r="C284" s="197">
        <v>10.242373193820267</v>
      </c>
      <c r="D284" s="198">
        <v>6.1715166835135724</v>
      </c>
      <c r="E284" s="198">
        <v>10.701449830593598</v>
      </c>
      <c r="F284" s="198">
        <v>7.9274651662485001</v>
      </c>
      <c r="G284" s="198">
        <v>6.0671490965009385</v>
      </c>
      <c r="H284" s="198">
        <v>6.4091339142308703</v>
      </c>
      <c r="I284" s="198">
        <v>6.7803440911046096</v>
      </c>
      <c r="J284" s="198">
        <v>10.298519029188403</v>
      </c>
      <c r="K284" s="198">
        <v>11.205982875450449</v>
      </c>
      <c r="L284" s="191">
        <v>12.483667814874773</v>
      </c>
      <c r="M284" s="198">
        <v>16.088610597771925</v>
      </c>
      <c r="N284" s="198">
        <v>14.462300776026389</v>
      </c>
      <c r="O284" s="198">
        <v>18.573507280242271</v>
      </c>
      <c r="P284" s="198">
        <v>17.776396326331493</v>
      </c>
      <c r="Q284" s="198">
        <v>15.878811522050869</v>
      </c>
      <c r="R284" s="198">
        <v>16.047430170158858</v>
      </c>
      <c r="S284" s="198">
        <v>15.162670564192057</v>
      </c>
      <c r="T284" s="198">
        <v>19.327168629528266</v>
      </c>
      <c r="U284" s="198">
        <v>17.782953100244026</v>
      </c>
      <c r="V284" s="198">
        <v>12.397361238671067</v>
      </c>
      <c r="W284" s="198">
        <v>11.489045534777306</v>
      </c>
      <c r="X284" s="191">
        <v>7.756313282083803</v>
      </c>
      <c r="Y284" s="197">
        <v>10.269542042192738</v>
      </c>
      <c r="Z284" s="210">
        <v>8.89</v>
      </c>
      <c r="AA284" s="198">
        <v>8.41</v>
      </c>
      <c r="AB284" s="198">
        <v>9.6999999999999993</v>
      </c>
      <c r="AC284" s="198">
        <v>11.02</v>
      </c>
      <c r="AD284" s="191">
        <v>11.19</v>
      </c>
      <c r="AE284" s="199" t="s">
        <v>350</v>
      </c>
    </row>
    <row r="285" spans="1:31" ht="12" hidden="1" customHeight="1" thickBot="1">
      <c r="A285" s="207"/>
      <c r="B285" s="368" t="s">
        <v>351</v>
      </c>
      <c r="C285" s="197">
        <v>10.916659408861973</v>
      </c>
      <c r="D285" s="198">
        <v>6.1330823106695673</v>
      </c>
      <c r="E285" s="198">
        <v>11.101419020288068</v>
      </c>
      <c r="F285" s="198">
        <v>8.2468467336683418</v>
      </c>
      <c r="G285" s="198">
        <v>4.8889157918841066</v>
      </c>
      <c r="H285" s="198">
        <v>7.3101504801173833</v>
      </c>
      <c r="I285" s="198">
        <v>7.91</v>
      </c>
      <c r="J285" s="198">
        <v>10.019493983688637</v>
      </c>
      <c r="K285" s="198">
        <v>12.196321482913383</v>
      </c>
      <c r="L285" s="191">
        <v>17.23108352253983</v>
      </c>
      <c r="M285" s="198">
        <v>16.163024862257252</v>
      </c>
      <c r="N285" s="198">
        <v>13.689354925708702</v>
      </c>
      <c r="O285" s="198">
        <v>22.073429454485076</v>
      </c>
      <c r="P285" s="198">
        <v>21.092387276096357</v>
      </c>
      <c r="Q285" s="198">
        <v>16.413554480685011</v>
      </c>
      <c r="R285" s="198">
        <v>17.165259271161492</v>
      </c>
      <c r="S285" s="198">
        <v>16.84979288221129</v>
      </c>
      <c r="T285" s="198">
        <v>17.464695218839594</v>
      </c>
      <c r="U285" s="198">
        <v>18.876308790915523</v>
      </c>
      <c r="V285" s="198">
        <v>14.983192934075346</v>
      </c>
      <c r="W285" s="198">
        <v>12.441952029865632</v>
      </c>
      <c r="X285" s="191">
        <v>7.5142183042237836</v>
      </c>
      <c r="Y285" s="197">
        <v>9.0944513676909438</v>
      </c>
      <c r="Z285" s="198">
        <v>6.07</v>
      </c>
      <c r="AA285" s="198">
        <v>8.34</v>
      </c>
      <c r="AB285" s="198">
        <v>8.85</v>
      </c>
      <c r="AC285" s="198">
        <v>9.51</v>
      </c>
      <c r="AD285" s="191">
        <v>12.25</v>
      </c>
      <c r="AE285" s="199" t="s">
        <v>207</v>
      </c>
    </row>
    <row r="286" spans="1:31" ht="10.5" hidden="1" customHeight="1">
      <c r="A286" s="200"/>
      <c r="B286" s="369">
        <v>40913</v>
      </c>
      <c r="C286" s="197"/>
      <c r="D286" s="198"/>
      <c r="E286" s="198"/>
      <c r="F286" s="198"/>
      <c r="G286" s="198"/>
      <c r="H286" s="198"/>
      <c r="I286" s="198"/>
      <c r="J286" s="198"/>
      <c r="K286" s="198"/>
      <c r="L286" s="191"/>
      <c r="M286" s="198"/>
      <c r="N286" s="198"/>
      <c r="O286" s="198"/>
      <c r="P286" s="198"/>
      <c r="Q286" s="198"/>
      <c r="R286" s="198"/>
      <c r="S286" s="198"/>
      <c r="T286" s="198"/>
      <c r="U286" s="198"/>
      <c r="V286" s="198"/>
      <c r="W286" s="198"/>
      <c r="X286" s="198"/>
      <c r="Y286" s="197"/>
      <c r="Z286" s="198"/>
      <c r="AA286" s="198"/>
      <c r="AB286" s="198"/>
      <c r="AC286" s="198"/>
      <c r="AD286" s="191"/>
      <c r="AE286" s="374">
        <f>+B286</f>
        <v>40913</v>
      </c>
    </row>
    <row r="287" spans="1:31" ht="12" hidden="1" customHeight="1">
      <c r="A287" s="200"/>
      <c r="B287" s="368" t="s">
        <v>184</v>
      </c>
      <c r="C287" s="197">
        <v>10.186161365570532</v>
      </c>
      <c r="D287" s="198">
        <v>5.8397949220675969</v>
      </c>
      <c r="E287" s="198">
        <v>10.708923721899398</v>
      </c>
      <c r="F287" s="198">
        <v>7.8335430075598289</v>
      </c>
      <c r="G287" s="198">
        <v>4.5048745005155588</v>
      </c>
      <c r="H287" s="198">
        <v>6.4364236555810441</v>
      </c>
      <c r="I287" s="198">
        <v>7.7309388396761447</v>
      </c>
      <c r="J287" s="198">
        <v>10.228577585057225</v>
      </c>
      <c r="K287" s="198">
        <v>11.396798065761981</v>
      </c>
      <c r="L287" s="191">
        <v>12.860785870505417</v>
      </c>
      <c r="M287" s="198">
        <v>16.04509213356507</v>
      </c>
      <c r="N287" s="198">
        <v>14.364903595049825</v>
      </c>
      <c r="O287" s="198">
        <v>18.569775180652051</v>
      </c>
      <c r="P287" s="198">
        <v>20.592665638361478</v>
      </c>
      <c r="Q287" s="198">
        <v>15.674957395442943</v>
      </c>
      <c r="R287" s="198">
        <v>16.406293226122415</v>
      </c>
      <c r="S287" s="198">
        <v>13.839891595791215</v>
      </c>
      <c r="T287" s="198">
        <v>19.259675205705506</v>
      </c>
      <c r="U287" s="198">
        <v>17.785367088607593</v>
      </c>
      <c r="V287" s="198">
        <v>12.349066341150083</v>
      </c>
      <c r="W287" s="198">
        <v>11.461271195527303</v>
      </c>
      <c r="X287" s="191">
        <v>7.7022162138029273</v>
      </c>
      <c r="Y287" s="197">
        <v>9.584958863592755</v>
      </c>
      <c r="Z287" s="210">
        <v>12</v>
      </c>
      <c r="AA287" s="198">
        <v>7.7345309381237524</v>
      </c>
      <c r="AB287" s="198">
        <v>8.3350000000000009</v>
      </c>
      <c r="AC287" s="198">
        <v>10.923956731677052</v>
      </c>
      <c r="AD287" s="191">
        <v>10.214753253587991</v>
      </c>
      <c r="AE287" s="199" t="s">
        <v>350</v>
      </c>
    </row>
    <row r="288" spans="1:31" ht="12" hidden="1" customHeight="1" thickBot="1">
      <c r="A288" s="207"/>
      <c r="B288" s="368" t="s">
        <v>351</v>
      </c>
      <c r="C288" s="197">
        <v>10.968540679286095</v>
      </c>
      <c r="D288" s="198">
        <v>5.5668699691795807</v>
      </c>
      <c r="E288" s="198">
        <v>11.161036755039644</v>
      </c>
      <c r="F288" s="198">
        <v>7.2785881943408421</v>
      </c>
      <c r="G288" s="198">
        <v>4.6475874134965771</v>
      </c>
      <c r="H288" s="198">
        <v>7.3039175964819547</v>
      </c>
      <c r="I288" s="198">
        <v>7.93</v>
      </c>
      <c r="J288" s="198">
        <v>10.047915524001887</v>
      </c>
      <c r="K288" s="198">
        <v>12.263379373083392</v>
      </c>
      <c r="L288" s="191">
        <v>17.308174500807372</v>
      </c>
      <c r="M288" s="198">
        <v>16.048422986482368</v>
      </c>
      <c r="N288" s="198">
        <v>13.559186200909711</v>
      </c>
      <c r="O288" s="198">
        <v>21.981610637715569</v>
      </c>
      <c r="P288" s="198">
        <v>18.010628507523382</v>
      </c>
      <c r="Q288" s="198">
        <v>13.603890915713805</v>
      </c>
      <c r="R288" s="198">
        <v>17.237939687878001</v>
      </c>
      <c r="S288" s="198">
        <v>15.142571509360538</v>
      </c>
      <c r="T288" s="198">
        <v>18.111961000823936</v>
      </c>
      <c r="U288" s="198">
        <v>19.018617783050718</v>
      </c>
      <c r="V288" s="198">
        <v>14.256651608240157</v>
      </c>
      <c r="W288" s="198">
        <v>12.392880070539569</v>
      </c>
      <c r="X288" s="191">
        <v>7.5972440700108601</v>
      </c>
      <c r="Y288" s="197">
        <v>7.4363672285509006</v>
      </c>
      <c r="Z288" s="198">
        <v>8.8225549854830358</v>
      </c>
      <c r="AA288" s="198">
        <v>8.3038034216746794</v>
      </c>
      <c r="AB288" s="198">
        <v>7.1470732751105537</v>
      </c>
      <c r="AC288" s="198">
        <v>5.0174535899646946</v>
      </c>
      <c r="AD288" s="191">
        <v>12.247909521570067</v>
      </c>
      <c r="AE288" s="199" t="s">
        <v>207</v>
      </c>
    </row>
    <row r="289" spans="1:31" ht="10.5" hidden="1" customHeight="1">
      <c r="A289" s="200"/>
      <c r="B289" s="369">
        <v>40914</v>
      </c>
      <c r="C289" s="197"/>
      <c r="D289" s="198"/>
      <c r="E289" s="198"/>
      <c r="F289" s="198"/>
      <c r="G289" s="198"/>
      <c r="H289" s="198"/>
      <c r="I289" s="198"/>
      <c r="J289" s="198"/>
      <c r="K289" s="198"/>
      <c r="L289" s="191"/>
      <c r="M289" s="198"/>
      <c r="N289" s="198"/>
      <c r="O289" s="198"/>
      <c r="P289" s="198"/>
      <c r="Q289" s="198"/>
      <c r="R289" s="198"/>
      <c r="S289" s="198"/>
      <c r="T289" s="198"/>
      <c r="U289" s="198"/>
      <c r="V289" s="198"/>
      <c r="W289" s="198"/>
      <c r="X289" s="198"/>
      <c r="Y289" s="197"/>
      <c r="Z289" s="198"/>
      <c r="AA289" s="198"/>
      <c r="AB289" s="198"/>
      <c r="AC289" s="198"/>
      <c r="AD289" s="191"/>
      <c r="AE289" s="374">
        <f>+B289</f>
        <v>40914</v>
      </c>
    </row>
    <row r="290" spans="1:31" ht="12" hidden="1" customHeight="1">
      <c r="A290" s="200"/>
      <c r="B290" s="368" t="s">
        <v>184</v>
      </c>
      <c r="C290" s="197">
        <v>10.31799494944403</v>
      </c>
      <c r="D290" s="198">
        <v>6.1192603126029015</v>
      </c>
      <c r="E290" s="198">
        <v>10.741910375270537</v>
      </c>
      <c r="F290" s="198">
        <v>9.0347612504294048</v>
      </c>
      <c r="G290" s="198">
        <v>4.9572447013095378</v>
      </c>
      <c r="H290" s="198">
        <v>7.3772636660383428</v>
      </c>
      <c r="I290" s="198">
        <v>7.8702993680775455</v>
      </c>
      <c r="J290" s="198">
        <v>10.313087307847143</v>
      </c>
      <c r="K290" s="198">
        <v>11.340131094169067</v>
      </c>
      <c r="L290" s="191">
        <v>12.96324254985984</v>
      </c>
      <c r="M290" s="198">
        <v>15.993191353610388</v>
      </c>
      <c r="N290" s="198">
        <v>14.326806366384954</v>
      </c>
      <c r="O290" s="198">
        <v>18.465557526022256</v>
      </c>
      <c r="P290" s="198">
        <v>19.864516720942564</v>
      </c>
      <c r="Q290" s="198">
        <v>16.538022837913793</v>
      </c>
      <c r="R290" s="198">
        <v>16.035768832256785</v>
      </c>
      <c r="S290" s="198">
        <v>13.996088043767884</v>
      </c>
      <c r="T290" s="198">
        <v>19.12046119635135</v>
      </c>
      <c r="U290" s="198">
        <v>17.725030419257841</v>
      </c>
      <c r="V290" s="198">
        <v>12.321024926520154</v>
      </c>
      <c r="W290" s="198">
        <v>11.400904013661753</v>
      </c>
      <c r="X290" s="191">
        <v>7.6158077185180408</v>
      </c>
      <c r="Y290" s="197">
        <v>9.512187327695667</v>
      </c>
      <c r="Z290" s="210">
        <v>5.5723076923076924</v>
      </c>
      <c r="AA290" s="198">
        <v>7.5817319690541556</v>
      </c>
      <c r="AB290" s="198">
        <v>10.316548672566372</v>
      </c>
      <c r="AC290" s="198">
        <v>11.058119503128117</v>
      </c>
      <c r="AD290" s="191">
        <v>10.233338947841222</v>
      </c>
      <c r="AE290" s="199" t="s">
        <v>350</v>
      </c>
    </row>
    <row r="291" spans="1:31" ht="12" hidden="1" customHeight="1" thickBot="1">
      <c r="A291" s="207"/>
      <c r="B291" s="368" t="s">
        <v>351</v>
      </c>
      <c r="C291" s="197">
        <v>11.011558597816119</v>
      </c>
      <c r="D291" s="198">
        <v>5.2692832941745946</v>
      </c>
      <c r="E291" s="198">
        <v>11.209029193822671</v>
      </c>
      <c r="F291" s="198">
        <v>6.8002710967848587</v>
      </c>
      <c r="G291" s="198">
        <v>6.2410334509600798</v>
      </c>
      <c r="H291" s="198">
        <v>7.2907753824756609</v>
      </c>
      <c r="I291" s="198">
        <v>7.32</v>
      </c>
      <c r="J291" s="198">
        <v>10.015999577188088</v>
      </c>
      <c r="K291" s="198">
        <v>12.217175248999983</v>
      </c>
      <c r="L291" s="191">
        <v>17.404122192094334</v>
      </c>
      <c r="M291" s="198">
        <v>16.31048710397177</v>
      </c>
      <c r="N291" s="198">
        <v>13.797554014996875</v>
      </c>
      <c r="O291" s="198">
        <v>22.146823179323018</v>
      </c>
      <c r="P291" s="198">
        <v>21.882667955370167</v>
      </c>
      <c r="Q291" s="198">
        <v>16.640088447504219</v>
      </c>
      <c r="R291" s="198">
        <v>17.325020949647154</v>
      </c>
      <c r="S291" s="198">
        <v>18.662276721272203</v>
      </c>
      <c r="T291" s="198">
        <v>17.79080968966699</v>
      </c>
      <c r="U291" s="198">
        <v>19.156483607045715</v>
      </c>
      <c r="V291" s="198">
        <v>14.839615344721899</v>
      </c>
      <c r="W291" s="198">
        <v>12.400146666706798</v>
      </c>
      <c r="X291" s="191">
        <v>7.6667808963120665</v>
      </c>
      <c r="Y291" s="197">
        <v>7.4815176161491319</v>
      </c>
      <c r="Z291" s="198">
        <v>8.6094498827368202</v>
      </c>
      <c r="AA291" s="198">
        <v>7.9002601784080513</v>
      </c>
      <c r="AB291" s="198">
        <v>8.1164017244699931</v>
      </c>
      <c r="AC291" s="198">
        <v>5.0186197159028492</v>
      </c>
      <c r="AD291" s="191">
        <v>12.246827746036116</v>
      </c>
      <c r="AE291" s="199" t="s">
        <v>207</v>
      </c>
    </row>
    <row r="292" spans="1:31" ht="10.5" hidden="1" customHeight="1">
      <c r="A292" s="200"/>
      <c r="B292" s="369">
        <v>40915</v>
      </c>
      <c r="C292" s="197"/>
      <c r="D292" s="198"/>
      <c r="E292" s="198"/>
      <c r="F292" s="198"/>
      <c r="G292" s="198"/>
      <c r="H292" s="198"/>
      <c r="I292" s="198"/>
      <c r="J292" s="198"/>
      <c r="K292" s="198"/>
      <c r="L292" s="191"/>
      <c r="M292" s="198"/>
      <c r="N292" s="198"/>
      <c r="O292" s="198"/>
      <c r="P292" s="198"/>
      <c r="Q292" s="198"/>
      <c r="R292" s="198"/>
      <c r="S292" s="198"/>
      <c r="T292" s="198"/>
      <c r="U292" s="198"/>
      <c r="V292" s="198"/>
      <c r="W292" s="198"/>
      <c r="X292" s="198"/>
      <c r="Y292" s="197"/>
      <c r="Z292" s="198"/>
      <c r="AA292" s="198"/>
      <c r="AB292" s="198"/>
      <c r="AC292" s="198"/>
      <c r="AD292" s="191"/>
      <c r="AE292" s="374">
        <f>+B292</f>
        <v>40915</v>
      </c>
    </row>
    <row r="293" spans="1:31" ht="12" hidden="1" customHeight="1">
      <c r="A293" s="200"/>
      <c r="B293" s="368" t="s">
        <v>184</v>
      </c>
      <c r="C293" s="197">
        <v>10.32828696157139</v>
      </c>
      <c r="D293" s="198">
        <v>6.2520752340748595</v>
      </c>
      <c r="E293" s="198">
        <v>10.774112942548228</v>
      </c>
      <c r="F293" s="198">
        <v>9.5773764261586649</v>
      </c>
      <c r="G293" s="198">
        <v>4.5050449562205914</v>
      </c>
      <c r="H293" s="198">
        <v>7.4025732956332586</v>
      </c>
      <c r="I293" s="198">
        <v>7.8426598266570275</v>
      </c>
      <c r="J293" s="198">
        <v>10.32693163284967</v>
      </c>
      <c r="K293" s="198">
        <v>11.587272144872616</v>
      </c>
      <c r="L293" s="191">
        <v>12.987585712718641</v>
      </c>
      <c r="M293" s="198">
        <v>15.65159815388148</v>
      </c>
      <c r="N293" s="198">
        <v>13.739346577770059</v>
      </c>
      <c r="O293" s="198">
        <v>18.490801384726801</v>
      </c>
      <c r="P293" s="198">
        <v>20.012767667120229</v>
      </c>
      <c r="Q293" s="198">
        <v>16.497134615384617</v>
      </c>
      <c r="R293" s="198">
        <v>15.91179280898449</v>
      </c>
      <c r="S293" s="198">
        <v>13.821955786503011</v>
      </c>
      <c r="T293" s="198">
        <v>18.964018183616979</v>
      </c>
      <c r="U293" s="198">
        <v>17.522870085077702</v>
      </c>
      <c r="V293" s="198">
        <v>11.95388411990152</v>
      </c>
      <c r="W293" s="198">
        <v>8.6388673400621006</v>
      </c>
      <c r="X293" s="191">
        <v>7.6077650127055909</v>
      </c>
      <c r="Y293" s="197">
        <v>9.3021024444269056</v>
      </c>
      <c r="Z293" s="210">
        <v>5.1794871794871797</v>
      </c>
      <c r="AA293" s="198">
        <v>7.9147419446820644</v>
      </c>
      <c r="AB293" s="198">
        <v>11.090568181818181</v>
      </c>
      <c r="AC293" s="198">
        <v>11.020998847244291</v>
      </c>
      <c r="AD293" s="191">
        <v>9.1222351571594888</v>
      </c>
      <c r="AE293" s="199" t="s">
        <v>350</v>
      </c>
    </row>
    <row r="294" spans="1:31" ht="12" hidden="1" customHeight="1" thickBot="1">
      <c r="A294" s="207"/>
      <c r="B294" s="368" t="s">
        <v>351</v>
      </c>
      <c r="C294" s="197">
        <v>10.793325837993052</v>
      </c>
      <c r="D294" s="198">
        <v>5.1128874894459146</v>
      </c>
      <c r="E294" s="198">
        <v>10.984232430863429</v>
      </c>
      <c r="F294" s="198">
        <v>8.1444725324252598</v>
      </c>
      <c r="G294" s="198">
        <v>5.5152725722369729</v>
      </c>
      <c r="H294" s="198">
        <v>7.0165313151827853</v>
      </c>
      <c r="I294" s="198">
        <v>8.68</v>
      </c>
      <c r="J294" s="198">
        <v>9.8607087856885958</v>
      </c>
      <c r="K294" s="198">
        <v>11.940996282817975</v>
      </c>
      <c r="L294" s="191">
        <v>17.395767431929563</v>
      </c>
      <c r="M294" s="198">
        <v>15.443921649585358</v>
      </c>
      <c r="N294" s="198">
        <v>12.617930141551577</v>
      </c>
      <c r="O294" s="198">
        <v>21.938581189858681</v>
      </c>
      <c r="P294" s="198">
        <v>14.9860187502993</v>
      </c>
      <c r="Q294" s="198">
        <v>16.474438361964676</v>
      </c>
      <c r="R294" s="198">
        <v>16.758414387166404</v>
      </c>
      <c r="S294" s="198">
        <v>16.768026806006706</v>
      </c>
      <c r="T294" s="198">
        <v>17.258728161477247</v>
      </c>
      <c r="U294" s="198">
        <v>18.773564198699017</v>
      </c>
      <c r="V294" s="198">
        <v>14.02738877388939</v>
      </c>
      <c r="W294" s="198">
        <v>9.8124904586164075</v>
      </c>
      <c r="X294" s="191">
        <v>7.4126475857587701</v>
      </c>
      <c r="Y294" s="197">
        <v>7.2218266089664649</v>
      </c>
      <c r="Z294" s="198">
        <v>9.0042840087084759</v>
      </c>
      <c r="AA294" s="198">
        <v>9.1615173938112644</v>
      </c>
      <c r="AB294" s="198">
        <v>6.9005244511827231</v>
      </c>
      <c r="AC294" s="198">
        <v>4.257064046372145</v>
      </c>
      <c r="AD294" s="191">
        <v>12.246598132127859</v>
      </c>
      <c r="AE294" s="199" t="s">
        <v>207</v>
      </c>
    </row>
    <row r="295" spans="1:31" ht="10.5" hidden="1" customHeight="1">
      <c r="A295" s="200"/>
      <c r="B295" s="369">
        <v>40916</v>
      </c>
      <c r="C295" s="197"/>
      <c r="D295" s="198"/>
      <c r="E295" s="198"/>
      <c r="F295" s="198"/>
      <c r="G295" s="198"/>
      <c r="H295" s="198"/>
      <c r="I295" s="198"/>
      <c r="J295" s="198"/>
      <c r="K295" s="198"/>
      <c r="L295" s="191"/>
      <c r="M295" s="198"/>
      <c r="N295" s="198"/>
      <c r="O295" s="198"/>
      <c r="P295" s="198"/>
      <c r="Q295" s="198"/>
      <c r="R295" s="198"/>
      <c r="S295" s="198"/>
      <c r="T295" s="198"/>
      <c r="U295" s="198"/>
      <c r="V295" s="198"/>
      <c r="W295" s="198"/>
      <c r="X295" s="198"/>
      <c r="Y295" s="197"/>
      <c r="Z295" s="198"/>
      <c r="AA295" s="198"/>
      <c r="AB295" s="198"/>
      <c r="AC295" s="198"/>
      <c r="AD295" s="191"/>
      <c r="AE295" s="374">
        <f>+B295</f>
        <v>40916</v>
      </c>
    </row>
    <row r="296" spans="1:31" ht="12" hidden="1" customHeight="1">
      <c r="A296" s="200"/>
      <c r="B296" s="368" t="s">
        <v>184</v>
      </c>
      <c r="C296" s="197">
        <v>10.359047194517673</v>
      </c>
      <c r="D296" s="198">
        <v>7.0097953297145983</v>
      </c>
      <c r="E296" s="198">
        <v>10.665166053481141</v>
      </c>
      <c r="F296" s="198">
        <v>9.0758920759275874</v>
      </c>
      <c r="G296" s="198">
        <v>6.3628777969500101</v>
      </c>
      <c r="H296" s="198">
        <v>7.5034829493918638</v>
      </c>
      <c r="I296" s="198">
        <v>7.6600037701177683</v>
      </c>
      <c r="J296" s="198">
        <v>10.303092956166779</v>
      </c>
      <c r="K296" s="198">
        <v>11.077697351820451</v>
      </c>
      <c r="L296" s="191">
        <v>15.26</v>
      </c>
      <c r="M296" s="198">
        <v>15.605827807097635</v>
      </c>
      <c r="N296" s="198">
        <v>13.630110596733077</v>
      </c>
      <c r="O296" s="198">
        <v>18.544113762346054</v>
      </c>
      <c r="P296" s="198">
        <v>19.584232469722213</v>
      </c>
      <c r="Q296" s="198">
        <v>16.281323730000363</v>
      </c>
      <c r="R296" s="198">
        <v>15.213975138220325</v>
      </c>
      <c r="S296" s="198">
        <v>13.741657277036927</v>
      </c>
      <c r="T296" s="198">
        <v>19.120266665325168</v>
      </c>
      <c r="U296" s="198">
        <v>17.286295012534492</v>
      </c>
      <c r="V296" s="198">
        <v>12.114115237173534</v>
      </c>
      <c r="W296" s="198">
        <v>8.7112101327894962</v>
      </c>
      <c r="X296" s="191">
        <v>7.666903524079502</v>
      </c>
      <c r="Y296" s="197">
        <v>9.4324977561453842</v>
      </c>
      <c r="Z296" s="210">
        <v>6.9102564102564106</v>
      </c>
      <c r="AA296" s="198">
        <v>7.9141716566866265</v>
      </c>
      <c r="AB296" s="198">
        <v>11.276144578313254</v>
      </c>
      <c r="AC296" s="198">
        <v>10.728328972161744</v>
      </c>
      <c r="AD296" s="191">
        <v>8.9582358908644348</v>
      </c>
      <c r="AE296" s="199" t="s">
        <v>350</v>
      </c>
    </row>
    <row r="297" spans="1:31" ht="12" hidden="1" customHeight="1" thickBot="1">
      <c r="A297" s="207"/>
      <c r="B297" s="368" t="s">
        <v>351</v>
      </c>
      <c r="C297" s="197">
        <v>10.770296467193761</v>
      </c>
      <c r="D297" s="198">
        <v>4.4437821131277593</v>
      </c>
      <c r="E297" s="198">
        <v>10.975521345298196</v>
      </c>
      <c r="F297" s="198">
        <v>7.3533181821911189</v>
      </c>
      <c r="G297" s="198">
        <v>6.3600589954823272</v>
      </c>
      <c r="H297" s="198">
        <v>7.2980077382275743</v>
      </c>
      <c r="I297" s="198">
        <v>6.38</v>
      </c>
      <c r="J297" s="198">
        <v>9.757057459214364</v>
      </c>
      <c r="K297" s="198">
        <v>11.963156467023266</v>
      </c>
      <c r="L297" s="191">
        <v>17.92234129253249</v>
      </c>
      <c r="M297" s="198">
        <v>15.434881789276496</v>
      </c>
      <c r="N297" s="198">
        <v>12.557573112377909</v>
      </c>
      <c r="O297" s="198">
        <v>22.111495421301981</v>
      </c>
      <c r="P297" s="198">
        <v>18.254486897995196</v>
      </c>
      <c r="Q297" s="198">
        <v>15.786194776141963</v>
      </c>
      <c r="R297" s="198">
        <v>16.971738828764284</v>
      </c>
      <c r="S297" s="198">
        <v>16.493834830401536</v>
      </c>
      <c r="T297" s="198">
        <v>17.057897302877858</v>
      </c>
      <c r="U297" s="198">
        <v>18.841404013819513</v>
      </c>
      <c r="V297" s="198">
        <v>13.984442562005441</v>
      </c>
      <c r="W297" s="198">
        <v>9.9114746204258797</v>
      </c>
      <c r="X297" s="191">
        <v>7.4337979876884734</v>
      </c>
      <c r="Y297" s="197">
        <v>6.8285063272332271</v>
      </c>
      <c r="Z297" s="198">
        <v>7.8492876224398946</v>
      </c>
      <c r="AA297" s="198">
        <v>9.7638828046486452</v>
      </c>
      <c r="AB297" s="198">
        <v>5.9678387315142682</v>
      </c>
      <c r="AC297" s="198">
        <v>4.9014796102490079</v>
      </c>
      <c r="AD297" s="191">
        <v>17.209758792119313</v>
      </c>
      <c r="AE297" s="199" t="s">
        <v>207</v>
      </c>
    </row>
    <row r="298" spans="1:31" ht="10.5" hidden="1" customHeight="1">
      <c r="A298" s="200"/>
      <c r="B298" s="369">
        <v>40917</v>
      </c>
      <c r="C298" s="197"/>
      <c r="D298" s="198"/>
      <c r="E298" s="198"/>
      <c r="F298" s="198"/>
      <c r="G298" s="198"/>
      <c r="H298" s="198"/>
      <c r="I298" s="198"/>
      <c r="J298" s="198"/>
      <c r="K298" s="198"/>
      <c r="L298" s="191"/>
      <c r="M298" s="198"/>
      <c r="N298" s="198"/>
      <c r="O298" s="198"/>
      <c r="P298" s="198"/>
      <c r="Q298" s="198"/>
      <c r="R298" s="198"/>
      <c r="S298" s="198"/>
      <c r="T298" s="198"/>
      <c r="U298" s="198"/>
      <c r="V298" s="198"/>
      <c r="W298" s="198"/>
      <c r="X298" s="198"/>
      <c r="Y298" s="197"/>
      <c r="Z298" s="198"/>
      <c r="AA298" s="198"/>
      <c r="AB298" s="198"/>
      <c r="AC298" s="198"/>
      <c r="AD298" s="191"/>
      <c r="AE298" s="374">
        <f>+B298</f>
        <v>40917</v>
      </c>
    </row>
    <row r="299" spans="1:31" ht="12" hidden="1" customHeight="1">
      <c r="A299" s="200"/>
      <c r="B299" s="368" t="s">
        <v>184</v>
      </c>
      <c r="C299" s="197">
        <v>10.310056038454373</v>
      </c>
      <c r="D299" s="198">
        <v>6.88486826938819</v>
      </c>
      <c r="E299" s="198">
        <v>10.638747475010177</v>
      </c>
      <c r="F299" s="198">
        <v>9.1694490094880745</v>
      </c>
      <c r="G299" s="198">
        <v>5.4363518943781797</v>
      </c>
      <c r="H299" s="198">
        <v>6.9139921109489819</v>
      </c>
      <c r="I299" s="198">
        <v>7.5682194395863105</v>
      </c>
      <c r="J299" s="198">
        <v>10.211892487009337</v>
      </c>
      <c r="K299" s="198">
        <v>11.269907047273243</v>
      </c>
      <c r="L299" s="191">
        <v>15.229999999999999</v>
      </c>
      <c r="M299" s="198">
        <v>15.386542759202586</v>
      </c>
      <c r="N299" s="198">
        <v>13.313752694645366</v>
      </c>
      <c r="O299" s="198">
        <v>18.558137361784201</v>
      </c>
      <c r="P299" s="198">
        <v>20.528292135301125</v>
      </c>
      <c r="Q299" s="198">
        <v>16.023646917267229</v>
      </c>
      <c r="R299" s="198">
        <v>15.26993981951895</v>
      </c>
      <c r="S299" s="198">
        <v>13.996167872058674</v>
      </c>
      <c r="T299" s="198">
        <v>18.781938763160518</v>
      </c>
      <c r="U299" s="198">
        <v>16.875962063672503</v>
      </c>
      <c r="V299" s="198">
        <v>12.191593348708494</v>
      </c>
      <c r="W299" s="198">
        <v>8.6197117806318424</v>
      </c>
      <c r="X299" s="191">
        <v>7.6012214734696189</v>
      </c>
      <c r="Y299" s="197">
        <v>8.3603889957522277</v>
      </c>
      <c r="Z299" s="210">
        <v>3</v>
      </c>
      <c r="AA299" s="198">
        <v>8.186674160109904</v>
      </c>
      <c r="AB299" s="198">
        <v>6.4444444444444446</v>
      </c>
      <c r="AC299" s="198">
        <v>10.268771983483713</v>
      </c>
      <c r="AD299" s="191">
        <v>8.586450973100284</v>
      </c>
      <c r="AE299" s="199" t="s">
        <v>350</v>
      </c>
    </row>
    <row r="300" spans="1:31" ht="12" hidden="1" customHeight="1" thickBot="1">
      <c r="A300" s="207"/>
      <c r="B300" s="368" t="s">
        <v>351</v>
      </c>
      <c r="C300" s="197">
        <v>10.76730146378042</v>
      </c>
      <c r="D300" s="198">
        <v>5.3210243679308018</v>
      </c>
      <c r="E300" s="198">
        <v>10.953911835808951</v>
      </c>
      <c r="F300" s="198">
        <v>7.1868585575823252</v>
      </c>
      <c r="G300" s="198">
        <v>6.2788328653609087</v>
      </c>
      <c r="H300" s="198">
        <v>7.1268593205032396</v>
      </c>
      <c r="I300" s="198">
        <v>7.35</v>
      </c>
      <c r="J300" s="198">
        <v>9.7359095946605994</v>
      </c>
      <c r="K300" s="198">
        <v>11.955020417816115</v>
      </c>
      <c r="L300" s="191">
        <v>17.88406860498112</v>
      </c>
      <c r="M300" s="198">
        <v>15.521302677934335</v>
      </c>
      <c r="N300" s="198">
        <v>12.461134274591013</v>
      </c>
      <c r="O300" s="198">
        <v>22.311992927509682</v>
      </c>
      <c r="P300" s="198">
        <v>19.256786502379619</v>
      </c>
      <c r="Q300" s="198">
        <v>15.747743119750673</v>
      </c>
      <c r="R300" s="198">
        <v>17.355813609321896</v>
      </c>
      <c r="S300" s="198">
        <v>15.532802020578181</v>
      </c>
      <c r="T300" s="198">
        <v>17.323137839530958</v>
      </c>
      <c r="U300" s="198">
        <v>18.881362155877365</v>
      </c>
      <c r="V300" s="198">
        <v>13.948310658433513</v>
      </c>
      <c r="W300" s="198">
        <v>10.176712702550267</v>
      </c>
      <c r="X300" s="191">
        <v>7.1277981437009155</v>
      </c>
      <c r="Y300" s="197">
        <v>6.7117263794963895</v>
      </c>
      <c r="Z300" s="198">
        <v>5.8339123396391299</v>
      </c>
      <c r="AA300" s="198">
        <v>7.4855351056578057</v>
      </c>
      <c r="AB300" s="198">
        <v>8.4980934773817101</v>
      </c>
      <c r="AC300" s="198">
        <v>4.9771314600621581</v>
      </c>
      <c r="AD300" s="191">
        <v>17.210004788742772</v>
      </c>
      <c r="AE300" s="199" t="s">
        <v>207</v>
      </c>
    </row>
    <row r="301" spans="1:31" ht="10.5" hidden="1" customHeight="1">
      <c r="A301" s="200"/>
      <c r="B301" s="369">
        <v>40918</v>
      </c>
      <c r="C301" s="197"/>
      <c r="D301" s="198"/>
      <c r="E301" s="198"/>
      <c r="F301" s="198"/>
      <c r="G301" s="198"/>
      <c r="H301" s="198"/>
      <c r="I301" s="198"/>
      <c r="J301" s="198"/>
      <c r="K301" s="198"/>
      <c r="L301" s="191"/>
      <c r="M301" s="198"/>
      <c r="N301" s="198"/>
      <c r="O301" s="198"/>
      <c r="P301" s="198"/>
      <c r="Q301" s="198"/>
      <c r="R301" s="198"/>
      <c r="S301" s="198"/>
      <c r="T301" s="198"/>
      <c r="U301" s="198"/>
      <c r="V301" s="198"/>
      <c r="W301" s="198"/>
      <c r="X301" s="198"/>
      <c r="Y301" s="197"/>
      <c r="Z301" s="198"/>
      <c r="AA301" s="198"/>
      <c r="AB301" s="198"/>
      <c r="AC301" s="198"/>
      <c r="AD301" s="191"/>
      <c r="AE301" s="374">
        <f>+B301</f>
        <v>40918</v>
      </c>
    </row>
    <row r="302" spans="1:31" ht="12" hidden="1" customHeight="1">
      <c r="A302" s="200"/>
      <c r="B302" s="368" t="s">
        <v>184</v>
      </c>
      <c r="C302" s="197">
        <v>10.211301593280011</v>
      </c>
      <c r="D302" s="198">
        <v>6.9697278207915829</v>
      </c>
      <c r="E302" s="198">
        <v>10.531491644690613</v>
      </c>
      <c r="F302" s="198">
        <v>8.1362607597555119</v>
      </c>
      <c r="G302" s="198">
        <v>6.36579097697122</v>
      </c>
      <c r="H302" s="198">
        <v>6.919215636844406</v>
      </c>
      <c r="I302" s="198">
        <v>7.8003236342850935</v>
      </c>
      <c r="J302" s="198">
        <v>10.153467596892254</v>
      </c>
      <c r="K302" s="198">
        <v>11.06973445252642</v>
      </c>
      <c r="L302" s="191">
        <v>15.221457750193654</v>
      </c>
      <c r="M302" s="198">
        <v>15.427573653039792</v>
      </c>
      <c r="N302" s="198">
        <v>13.465374692758541</v>
      </c>
      <c r="O302" s="198">
        <v>18.481032752326954</v>
      </c>
      <c r="P302" s="198">
        <v>19.040996976022999</v>
      </c>
      <c r="Q302" s="198">
        <v>16.142700755388294</v>
      </c>
      <c r="R302" s="198">
        <v>15.516630414435586</v>
      </c>
      <c r="S302" s="198">
        <v>14.418646502136358</v>
      </c>
      <c r="T302" s="198">
        <v>18.809701197357576</v>
      </c>
      <c r="U302" s="198">
        <v>16.755299067237708</v>
      </c>
      <c r="V302" s="198">
        <v>12.073831585255659</v>
      </c>
      <c r="W302" s="198">
        <v>8.3834491570878491</v>
      </c>
      <c r="X302" s="191">
        <v>7.2094036119277609</v>
      </c>
      <c r="Y302" s="197">
        <v>8.506045031161424</v>
      </c>
      <c r="Z302" s="210">
        <v>4.458333333333333</v>
      </c>
      <c r="AA302" s="198">
        <v>8.2285714285714278</v>
      </c>
      <c r="AB302" s="198">
        <v>6.9795918367346941</v>
      </c>
      <c r="AC302" s="198">
        <v>10.555905013192611</v>
      </c>
      <c r="AD302" s="191">
        <v>8.7068969992731802</v>
      </c>
      <c r="AE302" s="199" t="s">
        <v>350</v>
      </c>
    </row>
    <row r="303" spans="1:31" ht="14.25" hidden="1" customHeight="1" thickBot="1">
      <c r="A303" s="207"/>
      <c r="B303" s="368" t="s">
        <v>351</v>
      </c>
      <c r="C303" s="197">
        <v>10.493164881112145</v>
      </c>
      <c r="D303" s="198">
        <v>4.2689779700784465</v>
      </c>
      <c r="E303" s="198">
        <v>10.818892911718407</v>
      </c>
      <c r="F303" s="198">
        <v>7.5077968221459317</v>
      </c>
      <c r="G303" s="198">
        <v>5.7929459402608332</v>
      </c>
      <c r="H303" s="198">
        <v>7.1379662437020333</v>
      </c>
      <c r="I303" s="198">
        <v>5.3568437674080389</v>
      </c>
      <c r="J303" s="198">
        <v>9.6765054535196633</v>
      </c>
      <c r="K303" s="198">
        <v>11.798594812519939</v>
      </c>
      <c r="L303" s="191">
        <v>17.78618539914795</v>
      </c>
      <c r="M303" s="198">
        <v>15.526073106153257</v>
      </c>
      <c r="N303" s="198">
        <v>12.36834602387764</v>
      </c>
      <c r="O303" s="198">
        <v>22.422363944312877</v>
      </c>
      <c r="P303" s="198">
        <v>18.61173244663367</v>
      </c>
      <c r="Q303" s="198">
        <v>16.710503964092712</v>
      </c>
      <c r="R303" s="198">
        <v>16.839970792321587</v>
      </c>
      <c r="S303" s="198">
        <v>15.284913353852522</v>
      </c>
      <c r="T303" s="198">
        <v>17.021180456495877</v>
      </c>
      <c r="U303" s="198">
        <v>19.1050232235098</v>
      </c>
      <c r="V303" s="198">
        <v>13.912623059178642</v>
      </c>
      <c r="W303" s="198">
        <v>10.525180880308973</v>
      </c>
      <c r="X303" s="191">
        <v>6.9285822687257319</v>
      </c>
      <c r="Y303" s="197">
        <v>5.7833194873034008</v>
      </c>
      <c r="Z303" s="198">
        <v>3.6792280059167428</v>
      </c>
      <c r="AA303" s="198">
        <v>7.5402123349721606</v>
      </c>
      <c r="AB303" s="198">
        <v>8.2127791925043248</v>
      </c>
      <c r="AC303" s="198">
        <v>4.3976226187011713</v>
      </c>
      <c r="AD303" s="191">
        <v>17.20999115826702</v>
      </c>
      <c r="AE303" s="199" t="s">
        <v>207</v>
      </c>
    </row>
    <row r="304" spans="1:31" ht="10.5" hidden="1" customHeight="1">
      <c r="A304" s="200"/>
      <c r="B304" s="369">
        <v>40919</v>
      </c>
      <c r="C304" s="197"/>
      <c r="D304" s="198"/>
      <c r="E304" s="198"/>
      <c r="F304" s="198"/>
      <c r="G304" s="198"/>
      <c r="H304" s="198"/>
      <c r="I304" s="198"/>
      <c r="J304" s="198"/>
      <c r="K304" s="198"/>
      <c r="L304" s="191"/>
      <c r="M304" s="198"/>
      <c r="N304" s="198"/>
      <c r="O304" s="198"/>
      <c r="P304" s="198"/>
      <c r="Q304" s="198"/>
      <c r="R304" s="198"/>
      <c r="S304" s="198"/>
      <c r="T304" s="198"/>
      <c r="U304" s="198"/>
      <c r="V304" s="198"/>
      <c r="W304" s="198"/>
      <c r="X304" s="198"/>
      <c r="Y304" s="197"/>
      <c r="Z304" s="198"/>
      <c r="AA304" s="198"/>
      <c r="AB304" s="198"/>
      <c r="AC304" s="198"/>
      <c r="AD304" s="191"/>
      <c r="AE304" s="374">
        <f>+B304</f>
        <v>40919</v>
      </c>
    </row>
    <row r="305" spans="1:31" ht="12" hidden="1" customHeight="1">
      <c r="A305" s="200"/>
      <c r="B305" s="368" t="s">
        <v>184</v>
      </c>
      <c r="C305" s="197">
        <v>10.080689226712016</v>
      </c>
      <c r="D305" s="198">
        <v>6.9603853767541448</v>
      </c>
      <c r="E305" s="198">
        <v>10.370942184864951</v>
      </c>
      <c r="F305" s="198">
        <v>9.2532605579446461</v>
      </c>
      <c r="G305" s="198">
        <v>6.4073626493205014</v>
      </c>
      <c r="H305" s="198">
        <v>6.8766349309748698</v>
      </c>
      <c r="I305" s="198">
        <v>7.8499962320686842</v>
      </c>
      <c r="J305" s="198">
        <v>9.9307673874098477</v>
      </c>
      <c r="K305" s="198">
        <v>11.028896319188103</v>
      </c>
      <c r="L305" s="191">
        <v>15.050671536899825</v>
      </c>
      <c r="M305" s="198">
        <v>15.214407382672235</v>
      </c>
      <c r="N305" s="198">
        <v>13.119958095294493</v>
      </c>
      <c r="O305" s="198">
        <v>18.536130533883124</v>
      </c>
      <c r="P305" s="198">
        <v>12.694132312151911</v>
      </c>
      <c r="Q305" s="198">
        <v>16.983119688079615</v>
      </c>
      <c r="R305" s="198">
        <v>15.898604967783575</v>
      </c>
      <c r="S305" s="198">
        <v>14.450936968910014</v>
      </c>
      <c r="T305" s="198">
        <v>18.299408853768128</v>
      </c>
      <c r="U305" s="198">
        <v>16.842809653389789</v>
      </c>
      <c r="V305" s="198">
        <v>12.211045633904721</v>
      </c>
      <c r="W305" s="198">
        <v>8.1830307636555215</v>
      </c>
      <c r="X305" s="191">
        <v>7.560373880885856</v>
      </c>
      <c r="Y305" s="197">
        <v>8.7486863169482163</v>
      </c>
      <c r="Z305" s="210">
        <v>5.0262732919254658</v>
      </c>
      <c r="AA305" s="198">
        <v>6.4848686398403723</v>
      </c>
      <c r="AB305" s="198">
        <v>5.6470588235294121</v>
      </c>
      <c r="AC305" s="198">
        <v>11.052991809807356</v>
      </c>
      <c r="AD305" s="191">
        <v>10.270892975459738</v>
      </c>
      <c r="AE305" s="199" t="s">
        <v>350</v>
      </c>
    </row>
    <row r="306" spans="1:31" ht="12" hidden="1" customHeight="1" thickBot="1">
      <c r="A306" s="207"/>
      <c r="B306" s="368" t="s">
        <v>351</v>
      </c>
      <c r="C306" s="197">
        <v>10.300958135140972</v>
      </c>
      <c r="D306" s="198">
        <v>3.7882308826049225</v>
      </c>
      <c r="E306" s="198">
        <v>10.844540147272028</v>
      </c>
      <c r="F306" s="198">
        <v>7.3774882494166976</v>
      </c>
      <c r="G306" s="198">
        <v>5.5707331975560086</v>
      </c>
      <c r="H306" s="198">
        <v>4.9157071177443017</v>
      </c>
      <c r="I306" s="198">
        <v>5.3600463485495169</v>
      </c>
      <c r="J306" s="198">
        <v>9.6726279390644994</v>
      </c>
      <c r="K306" s="198">
        <v>11.868830979202873</v>
      </c>
      <c r="L306" s="191">
        <v>17.640622977346279</v>
      </c>
      <c r="M306" s="198">
        <v>15.454166158651386</v>
      </c>
      <c r="N306" s="198">
        <v>12.387015383805823</v>
      </c>
      <c r="O306" s="198">
        <v>21.923510285709572</v>
      </c>
      <c r="P306" s="198">
        <v>16.96551305858603</v>
      </c>
      <c r="Q306" s="198">
        <v>16.321933461984592</v>
      </c>
      <c r="R306" s="198">
        <v>17.013744652240838</v>
      </c>
      <c r="S306" s="198">
        <v>14.734348695953052</v>
      </c>
      <c r="T306" s="198">
        <v>16.629577505361318</v>
      </c>
      <c r="U306" s="198">
        <v>19.160211462596216</v>
      </c>
      <c r="V306" s="198">
        <v>14.133425546066812</v>
      </c>
      <c r="W306" s="198">
        <v>10.336624764854182</v>
      </c>
      <c r="X306" s="191">
        <v>6.7295107738102606</v>
      </c>
      <c r="Y306" s="197">
        <v>5.5561578113859413</v>
      </c>
      <c r="Z306" s="198">
        <v>4.192778467471407</v>
      </c>
      <c r="AA306" s="198">
        <v>6.4458815520762425</v>
      </c>
      <c r="AB306" s="198">
        <v>8.3636843717324485</v>
      </c>
      <c r="AC306" s="198">
        <v>3.9689652803674118</v>
      </c>
      <c r="AD306" s="191">
        <v>13.479567527945758</v>
      </c>
      <c r="AE306" s="199" t="s">
        <v>207</v>
      </c>
    </row>
    <row r="307" spans="1:31" ht="10.5" hidden="1" customHeight="1">
      <c r="A307" s="200"/>
      <c r="B307" s="369">
        <v>40920</v>
      </c>
      <c r="C307" s="197"/>
      <c r="D307" s="198"/>
      <c r="E307" s="198"/>
      <c r="F307" s="198"/>
      <c r="G307" s="198"/>
      <c r="H307" s="198"/>
      <c r="I307" s="198"/>
      <c r="J307" s="198"/>
      <c r="K307" s="198"/>
      <c r="L307" s="191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7"/>
      <c r="Z307" s="198"/>
      <c r="AA307" s="198"/>
      <c r="AB307" s="198"/>
      <c r="AC307" s="198"/>
      <c r="AD307" s="191"/>
      <c r="AE307" s="374">
        <f>+B307</f>
        <v>40920</v>
      </c>
    </row>
    <row r="308" spans="1:31" ht="12" hidden="1" customHeight="1">
      <c r="A308" s="200"/>
      <c r="B308" s="368" t="s">
        <v>184</v>
      </c>
      <c r="C308" s="197">
        <v>10.043775294827034</v>
      </c>
      <c r="D308" s="198">
        <v>6.7365786821635245</v>
      </c>
      <c r="E308" s="198">
        <v>10.369642731213707</v>
      </c>
      <c r="F308" s="198">
        <v>7.9030248964204395</v>
      </c>
      <c r="G308" s="198">
        <v>6.3483584807593862</v>
      </c>
      <c r="H308" s="198">
        <v>7.6983145345468751</v>
      </c>
      <c r="I308" s="198">
        <v>7.8780787613000589</v>
      </c>
      <c r="J308" s="198">
        <v>10.045527055172128</v>
      </c>
      <c r="K308" s="198">
        <v>10.822686620623678</v>
      </c>
      <c r="L308" s="191">
        <v>14.48121513238514</v>
      </c>
      <c r="M308" s="198">
        <v>15.135070998448523</v>
      </c>
      <c r="N308" s="198">
        <v>13.058855529500985</v>
      </c>
      <c r="O308" s="198">
        <v>18.366861093606939</v>
      </c>
      <c r="P308" s="198">
        <v>18.547557475125068</v>
      </c>
      <c r="Q308" s="198">
        <v>16.671822252103553</v>
      </c>
      <c r="R308" s="198">
        <v>15.959342526109104</v>
      </c>
      <c r="S308" s="198">
        <v>14.498748837393531</v>
      </c>
      <c r="T308" s="198">
        <v>18.625880850093488</v>
      </c>
      <c r="U308" s="198">
        <v>16.817851917784338</v>
      </c>
      <c r="V308" s="198">
        <v>11.912258696510593</v>
      </c>
      <c r="W308" s="198">
        <v>7.8305744031102069</v>
      </c>
      <c r="X308" s="191">
        <v>7.814107028973365</v>
      </c>
      <c r="Y308" s="197">
        <v>9.0434566229883746</v>
      </c>
      <c r="Z308" s="210">
        <v>4.9012345679012341</v>
      </c>
      <c r="AA308" s="198">
        <v>7.8534031413612562</v>
      </c>
      <c r="AB308" s="198">
        <v>8.6315789473684212</v>
      </c>
      <c r="AC308" s="198">
        <v>10.835711125857109</v>
      </c>
      <c r="AD308" s="191">
        <v>10.416360597071149</v>
      </c>
      <c r="AE308" s="199" t="s">
        <v>350</v>
      </c>
    </row>
    <row r="309" spans="1:31" ht="12" hidden="1" customHeight="1" thickBot="1">
      <c r="A309" s="207"/>
      <c r="B309" s="368" t="s">
        <v>351</v>
      </c>
      <c r="C309" s="197">
        <v>10.286572524726303</v>
      </c>
      <c r="D309" s="198">
        <v>3.7575704877610581</v>
      </c>
      <c r="E309" s="198">
        <v>10.836539138845092</v>
      </c>
      <c r="F309" s="198">
        <v>7.0510142704052914</v>
      </c>
      <c r="G309" s="198">
        <v>5.6703304103869856</v>
      </c>
      <c r="H309" s="198">
        <v>4.386855673043291</v>
      </c>
      <c r="I309" s="198">
        <v>5.4738383980595708</v>
      </c>
      <c r="J309" s="198">
        <v>9.6280723044761487</v>
      </c>
      <c r="K309" s="198">
        <v>11.865905826383999</v>
      </c>
      <c r="L309" s="191">
        <v>17.379552525510483</v>
      </c>
      <c r="M309" s="198">
        <v>15.623024936514769</v>
      </c>
      <c r="N309" s="198">
        <v>12.806142071544352</v>
      </c>
      <c r="O309" s="198">
        <v>21.834710343278726</v>
      </c>
      <c r="P309" s="198">
        <v>16.646607858479921</v>
      </c>
      <c r="Q309" s="198">
        <v>16.233301935439513</v>
      </c>
      <c r="R309" s="198">
        <v>17.544583483628248</v>
      </c>
      <c r="S309" s="198">
        <v>13.393091458067847</v>
      </c>
      <c r="T309" s="198">
        <v>17.066402575729974</v>
      </c>
      <c r="U309" s="198">
        <v>19.365574136859465</v>
      </c>
      <c r="V309" s="198">
        <v>14.088944139128669</v>
      </c>
      <c r="W309" s="198">
        <v>10.646367522183901</v>
      </c>
      <c r="X309" s="191">
        <v>6.6086268113959585</v>
      </c>
      <c r="Y309" s="197">
        <v>5.3892096618450287</v>
      </c>
      <c r="Z309" s="198">
        <v>4.127046296487924</v>
      </c>
      <c r="AA309" s="198">
        <v>1</v>
      </c>
      <c r="AB309" s="198">
        <v>8.1839500291143938</v>
      </c>
      <c r="AC309" s="198">
        <v>4.2812588726057612</v>
      </c>
      <c r="AD309" s="191">
        <v>13.479346631066438</v>
      </c>
      <c r="AE309" s="199" t="s">
        <v>207</v>
      </c>
    </row>
    <row r="310" spans="1:31" ht="10.5" customHeight="1">
      <c r="A310" s="200"/>
      <c r="B310" s="369">
        <v>41275</v>
      </c>
      <c r="C310" s="197"/>
      <c r="D310" s="198"/>
      <c r="E310" s="198"/>
      <c r="F310" s="198"/>
      <c r="G310" s="198"/>
      <c r="H310" s="198"/>
      <c r="I310" s="198"/>
      <c r="J310" s="198"/>
      <c r="K310" s="198"/>
      <c r="L310" s="191"/>
      <c r="M310" s="198"/>
      <c r="N310" s="198"/>
      <c r="O310" s="198"/>
      <c r="P310" s="198"/>
      <c r="Q310" s="198"/>
      <c r="R310" s="198"/>
      <c r="S310" s="198"/>
      <c r="T310" s="198"/>
      <c r="U310" s="198"/>
      <c r="V310" s="198"/>
      <c r="W310" s="198"/>
      <c r="X310" s="198"/>
      <c r="Y310" s="197"/>
      <c r="Z310" s="198"/>
      <c r="AA310" s="198"/>
      <c r="AB310" s="198"/>
      <c r="AC310" s="198"/>
      <c r="AD310" s="191"/>
      <c r="AE310" s="374">
        <f>+B310</f>
        <v>41275</v>
      </c>
    </row>
    <row r="311" spans="1:31" ht="12" customHeight="1">
      <c r="A311" s="200"/>
      <c r="B311" s="368" t="s">
        <v>184</v>
      </c>
      <c r="C311" s="197">
        <v>9.988228333452696</v>
      </c>
      <c r="D311" s="198">
        <v>6.952853647920592</v>
      </c>
      <c r="E311" s="198">
        <v>10.249739926374248</v>
      </c>
      <c r="F311" s="198">
        <v>8.3611651832644185</v>
      </c>
      <c r="G311" s="198">
        <v>6.3175543445060693</v>
      </c>
      <c r="H311" s="198">
        <v>7.7992254114656436</v>
      </c>
      <c r="I311" s="198">
        <v>8.0565584916128703</v>
      </c>
      <c r="J311" s="198">
        <v>10.056311534712687</v>
      </c>
      <c r="K311" s="198">
        <v>10.602799100453558</v>
      </c>
      <c r="L311" s="191">
        <v>14.67215235586041</v>
      </c>
      <c r="M311" s="198">
        <v>15.199658989674417</v>
      </c>
      <c r="N311" s="198">
        <v>13.318360730531515</v>
      </c>
      <c r="O311" s="198">
        <v>18.24614893332566</v>
      </c>
      <c r="P311" s="198">
        <v>18.792970049434579</v>
      </c>
      <c r="Q311" s="198">
        <v>16.263822326519517</v>
      </c>
      <c r="R311" s="198">
        <v>15.754163685978623</v>
      </c>
      <c r="S311" s="198">
        <v>14.358474882211951</v>
      </c>
      <c r="T311" s="198">
        <v>18.877662561270089</v>
      </c>
      <c r="U311" s="198">
        <v>16.555011070932331</v>
      </c>
      <c r="V311" s="198">
        <v>12.225718994892567</v>
      </c>
      <c r="W311" s="198">
        <v>8.6737669797738359</v>
      </c>
      <c r="X311" s="191">
        <v>7.9257748455304853</v>
      </c>
      <c r="Y311" s="197">
        <v>9.1472313789692627</v>
      </c>
      <c r="Z311" s="210">
        <v>3.1999999999999997</v>
      </c>
      <c r="AA311" s="198">
        <v>7.6248950461796809</v>
      </c>
      <c r="AB311" s="198">
        <v>9.5724259387382862</v>
      </c>
      <c r="AC311" s="198">
        <v>10.448880254630957</v>
      </c>
      <c r="AD311" s="191">
        <v>10.351481216225014</v>
      </c>
      <c r="AE311" s="199" t="s">
        <v>350</v>
      </c>
    </row>
    <row r="312" spans="1:31" ht="12" customHeight="1" thickBot="1">
      <c r="A312" s="207"/>
      <c r="B312" s="368" t="s">
        <v>351</v>
      </c>
      <c r="C312" s="197">
        <v>10.178710726478325</v>
      </c>
      <c r="D312" s="198">
        <v>3.6885317049896607</v>
      </c>
      <c r="E312" s="198">
        <v>10.751312632735752</v>
      </c>
      <c r="F312" s="198">
        <v>11.000845396119887</v>
      </c>
      <c r="G312" s="198">
        <v>4.6275620052770448</v>
      </c>
      <c r="H312" s="198">
        <v>4.4049812673229471</v>
      </c>
      <c r="I312" s="198">
        <v>4.672047122683197</v>
      </c>
      <c r="J312" s="198">
        <v>9.54603030569589</v>
      </c>
      <c r="K312" s="198">
        <v>11.586920938520425</v>
      </c>
      <c r="L312" s="191">
        <v>17.275002559262052</v>
      </c>
      <c r="M312" s="198">
        <v>15.801385800700732</v>
      </c>
      <c r="N312" s="198">
        <v>13.219944520354893</v>
      </c>
      <c r="O312" s="198">
        <v>22.06348592484731</v>
      </c>
      <c r="P312" s="198">
        <v>16.494362398484537</v>
      </c>
      <c r="Q312" s="198">
        <v>17.43323190111359</v>
      </c>
      <c r="R312" s="198">
        <v>15.85176285292917</v>
      </c>
      <c r="S312" s="198">
        <v>13.401324953741296</v>
      </c>
      <c r="T312" s="198">
        <v>18.661020158850775</v>
      </c>
      <c r="U312" s="198">
        <v>19.432630956739104</v>
      </c>
      <c r="V312" s="198">
        <v>12.915073107898008</v>
      </c>
      <c r="W312" s="198">
        <v>10.733737231671977</v>
      </c>
      <c r="X312" s="191">
        <v>6.8056783121597091</v>
      </c>
      <c r="Y312" s="197">
        <v>5.6043901957480395</v>
      </c>
      <c r="Z312" s="198">
        <v>4.6483853126971377</v>
      </c>
      <c r="AA312" s="198">
        <v>1</v>
      </c>
      <c r="AB312" s="198">
        <v>8.0971080168081073</v>
      </c>
      <c r="AC312" s="198">
        <v>4.434334808916363</v>
      </c>
      <c r="AD312" s="191">
        <v>17.210016214622641</v>
      </c>
      <c r="AE312" s="199" t="s">
        <v>207</v>
      </c>
    </row>
    <row r="313" spans="1:31" ht="12" hidden="1" customHeight="1">
      <c r="A313" s="200"/>
      <c r="B313" s="369">
        <v>41276</v>
      </c>
      <c r="C313" s="197"/>
      <c r="D313" s="198"/>
      <c r="E313" s="198"/>
      <c r="F313" s="198"/>
      <c r="G313" s="198"/>
      <c r="H313" s="198"/>
      <c r="I313" s="198"/>
      <c r="J313" s="198"/>
      <c r="K313" s="198"/>
      <c r="L313" s="191"/>
      <c r="M313" s="198"/>
      <c r="N313" s="198"/>
      <c r="O313" s="198"/>
      <c r="P313" s="198"/>
      <c r="Q313" s="198"/>
      <c r="R313" s="198"/>
      <c r="S313" s="198"/>
      <c r="T313" s="198"/>
      <c r="U313" s="198"/>
      <c r="V313" s="198"/>
      <c r="W313" s="198"/>
      <c r="X313" s="198"/>
      <c r="Y313" s="197"/>
      <c r="Z313" s="198"/>
      <c r="AA313" s="198"/>
      <c r="AB313" s="198"/>
      <c r="AC313" s="198"/>
      <c r="AD313" s="191"/>
      <c r="AE313" s="374">
        <f>+B313</f>
        <v>41276</v>
      </c>
    </row>
    <row r="314" spans="1:31" ht="12" hidden="1" customHeight="1">
      <c r="A314" s="200"/>
      <c r="B314" s="368" t="s">
        <v>184</v>
      </c>
      <c r="C314" s="197">
        <v>9.8783592570438827</v>
      </c>
      <c r="D314" s="198">
        <v>6.6449127189547932</v>
      </c>
      <c r="E314" s="198">
        <v>10.221221926246397</v>
      </c>
      <c r="F314" s="198">
        <v>8.7048963326647062</v>
      </c>
      <c r="G314" s="198">
        <v>6.6797528947057296</v>
      </c>
      <c r="H314" s="198">
        <v>7.9433362744522444</v>
      </c>
      <c r="I314" s="198">
        <v>8.4153112951592117</v>
      </c>
      <c r="J314" s="198">
        <v>9.8443944216956591</v>
      </c>
      <c r="K314" s="198">
        <v>10.551754886576834</v>
      </c>
      <c r="L314" s="191">
        <v>16.570037063778578</v>
      </c>
      <c r="M314" s="198">
        <v>15.352173661952207</v>
      </c>
      <c r="N314" s="198">
        <v>13.31645310167421</v>
      </c>
      <c r="O314" s="198">
        <v>18.530706603983436</v>
      </c>
      <c r="P314" s="198">
        <v>17.976965024163729</v>
      </c>
      <c r="Q314" s="198">
        <v>16.136377274854034</v>
      </c>
      <c r="R314" s="198">
        <v>16.221564355888848</v>
      </c>
      <c r="S314" s="198">
        <v>14.430821941368315</v>
      </c>
      <c r="T314" s="198">
        <v>18.896973714168638</v>
      </c>
      <c r="U314" s="198">
        <v>16.671208849951888</v>
      </c>
      <c r="V314" s="198">
        <v>12.564082583635026</v>
      </c>
      <c r="W314" s="198">
        <v>9.2225095059532638</v>
      </c>
      <c r="X314" s="198">
        <v>8.1428866118858565</v>
      </c>
      <c r="Y314" s="197">
        <v>8.237982734210803</v>
      </c>
      <c r="Z314" s="198">
        <v>6.9072727272727299</v>
      </c>
      <c r="AA314" s="198">
        <v>7.0191977524582496</v>
      </c>
      <c r="AB314" s="198">
        <v>10.0489260143198</v>
      </c>
      <c r="AC314" s="198">
        <v>9.86995204500586</v>
      </c>
      <c r="AD314" s="191">
        <v>7.7504413876664202</v>
      </c>
      <c r="AE314" s="199" t="s">
        <v>350</v>
      </c>
    </row>
    <row r="315" spans="1:31" ht="12" hidden="1" customHeight="1">
      <c r="A315" s="200"/>
      <c r="B315" s="368" t="s">
        <v>351</v>
      </c>
      <c r="C315" s="197">
        <v>10.34577778455035</v>
      </c>
      <c r="D315" s="198">
        <v>4.4778720215932086</v>
      </c>
      <c r="E315" s="198">
        <v>10.714247613702417</v>
      </c>
      <c r="F315" s="198">
        <v>6.9328140221569301</v>
      </c>
      <c r="G315" s="198">
        <v>5.6244360871182355</v>
      </c>
      <c r="H315" s="198">
        <v>7.1878949540006642</v>
      </c>
      <c r="I315" s="198">
        <v>5.2096805251016631</v>
      </c>
      <c r="J315" s="198">
        <v>9.5902367236616612</v>
      </c>
      <c r="K315" s="198">
        <v>11.533261589874979</v>
      </c>
      <c r="L315" s="191">
        <v>17.798746388807725</v>
      </c>
      <c r="M315" s="198">
        <v>15.50613963365452</v>
      </c>
      <c r="N315" s="198">
        <v>12.751200577664234</v>
      </c>
      <c r="O315" s="198">
        <v>21.867947396832022</v>
      </c>
      <c r="P315" s="198">
        <v>17.888575972622075</v>
      </c>
      <c r="Q315" s="198">
        <v>17.33025175317448</v>
      </c>
      <c r="R315" s="198">
        <v>15.151861813153609</v>
      </c>
      <c r="S315" s="198">
        <v>13.34789035857248</v>
      </c>
      <c r="T315" s="198">
        <v>18.856998632535394</v>
      </c>
      <c r="U315" s="198">
        <v>19.043508715627532</v>
      </c>
      <c r="V315" s="198">
        <v>11.592299113260179</v>
      </c>
      <c r="W315" s="198">
        <v>10.824994111048074</v>
      </c>
      <c r="X315" s="198">
        <v>6.8876925262011959</v>
      </c>
      <c r="Y315" s="197">
        <v>3.9317940668518214</v>
      </c>
      <c r="Z315" s="198">
        <v>1.20952063174285</v>
      </c>
      <c r="AA315" s="198">
        <v>2.18956967882349</v>
      </c>
      <c r="AB315" s="198">
        <v>12</v>
      </c>
      <c r="AC315" s="198">
        <v>2.9752147860435301</v>
      </c>
      <c r="AD315" s="191">
        <v>17.210000368609201</v>
      </c>
      <c r="AE315" s="199" t="s">
        <v>207</v>
      </c>
    </row>
    <row r="316" spans="1:31" ht="12" hidden="1" customHeight="1">
      <c r="A316" s="200"/>
      <c r="B316" s="369">
        <v>41277</v>
      </c>
      <c r="C316" s="197"/>
      <c r="D316" s="198"/>
      <c r="E316" s="198"/>
      <c r="F316" s="198"/>
      <c r="G316" s="198"/>
      <c r="H316" s="198"/>
      <c r="I316" s="198"/>
      <c r="J316" s="198"/>
      <c r="K316" s="198"/>
      <c r="L316" s="191"/>
      <c r="M316" s="198"/>
      <c r="N316" s="198"/>
      <c r="O316" s="198"/>
      <c r="P316" s="198"/>
      <c r="Q316" s="198"/>
      <c r="R316" s="198"/>
      <c r="S316" s="198"/>
      <c r="T316" s="198"/>
      <c r="U316" s="198"/>
      <c r="V316" s="198"/>
      <c r="W316" s="198"/>
      <c r="X316" s="198"/>
      <c r="Y316" s="197"/>
      <c r="Z316" s="198"/>
      <c r="AA316" s="198"/>
      <c r="AB316" s="198"/>
      <c r="AC316" s="198"/>
      <c r="AD316" s="191"/>
      <c r="AE316" s="374">
        <f>+B316</f>
        <v>41277</v>
      </c>
    </row>
    <row r="317" spans="1:31" ht="12" hidden="1" customHeight="1">
      <c r="A317" s="200"/>
      <c r="B317" s="368" t="s">
        <v>184</v>
      </c>
      <c r="C317" s="197">
        <v>9.9454365965648108</v>
      </c>
      <c r="D317" s="198">
        <v>6.6785173162402298</v>
      </c>
      <c r="E317" s="198">
        <v>10.327171488966313</v>
      </c>
      <c r="F317" s="198">
        <v>8.4017430120573593</v>
      </c>
      <c r="G317" s="198">
        <v>6.5916494996329975</v>
      </c>
      <c r="H317" s="198">
        <v>7.8208392437011467</v>
      </c>
      <c r="I317" s="198">
        <v>7.9342458067275743</v>
      </c>
      <c r="J317" s="198">
        <v>9.8750388766312565</v>
      </c>
      <c r="K317" s="198">
        <v>10.617601077225396</v>
      </c>
      <c r="L317" s="191">
        <v>14.038271072538791</v>
      </c>
      <c r="M317" s="198">
        <v>14.982227881414623</v>
      </c>
      <c r="N317" s="198">
        <v>12.460592993304703</v>
      </c>
      <c r="O317" s="198">
        <v>18.609947421547524</v>
      </c>
      <c r="P317" s="198">
        <v>19.437683379113988</v>
      </c>
      <c r="Q317" s="198">
        <v>16.314799858758331</v>
      </c>
      <c r="R317" s="198">
        <v>17.089236876097509</v>
      </c>
      <c r="S317" s="198">
        <v>15.165038952927913</v>
      </c>
      <c r="T317" s="198">
        <v>18.255261767665733</v>
      </c>
      <c r="U317" s="198">
        <v>16.460382474352034</v>
      </c>
      <c r="V317" s="198">
        <v>12.399720920721341</v>
      </c>
      <c r="W317" s="198">
        <v>9.037955757453771</v>
      </c>
      <c r="X317" s="198">
        <v>8.1976043765764697</v>
      </c>
      <c r="Y317" s="197">
        <v>8.6410086837839764</v>
      </c>
      <c r="Z317" s="198">
        <v>7.2474999999999996</v>
      </c>
      <c r="AA317" s="198">
        <v>6.9289617486338804</v>
      </c>
      <c r="AB317" s="198">
        <v>10.921901528013599</v>
      </c>
      <c r="AC317" s="198">
        <v>10.2810300680258</v>
      </c>
      <c r="AD317" s="191">
        <v>8.1097275026295002</v>
      </c>
      <c r="AE317" s="199" t="s">
        <v>350</v>
      </c>
    </row>
    <row r="318" spans="1:31" ht="12" hidden="1" customHeight="1">
      <c r="A318" s="200"/>
      <c r="B318" s="368" t="s">
        <v>351</v>
      </c>
      <c r="C318" s="197">
        <v>10.310514144352737</v>
      </c>
      <c r="D318" s="198">
        <v>4.5564254248245666</v>
      </c>
      <c r="E318" s="198">
        <v>10.702632111647652</v>
      </c>
      <c r="F318" s="198">
        <v>6.8229662713231782</v>
      </c>
      <c r="G318" s="198">
        <v>5.1188062829636767</v>
      </c>
      <c r="H318" s="198">
        <v>6.49745846844535</v>
      </c>
      <c r="I318" s="198">
        <v>4.8913539666157941</v>
      </c>
      <c r="J318" s="198">
        <v>9.5929482871452496</v>
      </c>
      <c r="K318" s="198">
        <v>11.490229631832531</v>
      </c>
      <c r="L318" s="191">
        <v>13.714589679215626</v>
      </c>
      <c r="M318" s="198">
        <v>15.459497633014248</v>
      </c>
      <c r="N318" s="198">
        <v>12.545120529881425</v>
      </c>
      <c r="O318" s="198">
        <v>21.887330419534269</v>
      </c>
      <c r="P318" s="198">
        <v>20.937296555961765</v>
      </c>
      <c r="Q318" s="198">
        <v>15.133996465903104</v>
      </c>
      <c r="R318" s="198">
        <v>14.799280728974621</v>
      </c>
      <c r="S318" s="198">
        <v>14.466655255370188</v>
      </c>
      <c r="T318" s="198">
        <v>18.935481552281679</v>
      </c>
      <c r="U318" s="198">
        <v>18.796059301853052</v>
      </c>
      <c r="V318" s="198">
        <v>11.410435636761461</v>
      </c>
      <c r="W318" s="198">
        <v>10.597844692467131</v>
      </c>
      <c r="X318" s="198">
        <v>6.9904468923138561</v>
      </c>
      <c r="Y318" s="197">
        <v>5.3300313138406832</v>
      </c>
      <c r="Z318" s="198">
        <v>1.3179516608155599</v>
      </c>
      <c r="AA318" s="198">
        <v>5.7520613768506497</v>
      </c>
      <c r="AB318" s="198">
        <v>12</v>
      </c>
      <c r="AC318" s="198">
        <v>4.4115441482248601</v>
      </c>
      <c r="AD318" s="191">
        <v>17.210000368609201</v>
      </c>
      <c r="AE318" s="199" t="s">
        <v>207</v>
      </c>
    </row>
    <row r="319" spans="1:31" ht="10.5" hidden="1" customHeight="1">
      <c r="A319" s="200"/>
      <c r="B319" s="369">
        <v>41278</v>
      </c>
      <c r="C319" s="197"/>
      <c r="D319" s="198"/>
      <c r="E319" s="198"/>
      <c r="F319" s="198"/>
      <c r="G319" s="198"/>
      <c r="H319" s="198"/>
      <c r="I319" s="198"/>
      <c r="J319" s="198"/>
      <c r="K319" s="198"/>
      <c r="L319" s="191"/>
      <c r="M319" s="198"/>
      <c r="N319" s="198"/>
      <c r="O319" s="198"/>
      <c r="P319" s="198"/>
      <c r="Q319" s="198"/>
      <c r="R319" s="198"/>
      <c r="S319" s="198"/>
      <c r="T319" s="198"/>
      <c r="U319" s="198"/>
      <c r="V319" s="198"/>
      <c r="W319" s="198"/>
      <c r="X319" s="198"/>
      <c r="Y319" s="197"/>
      <c r="Z319" s="198"/>
      <c r="AA319" s="198"/>
      <c r="AB319" s="198"/>
      <c r="AC319" s="198"/>
      <c r="AD319" s="191"/>
      <c r="AE319" s="374">
        <f>+B319</f>
        <v>41278</v>
      </c>
    </row>
    <row r="320" spans="1:31" ht="12" hidden="1" customHeight="1">
      <c r="A320" s="200"/>
      <c r="B320" s="368" t="s">
        <v>184</v>
      </c>
      <c r="C320" s="197">
        <v>9.8398200009807759</v>
      </c>
      <c r="D320" s="198">
        <v>6.0872100091545507</v>
      </c>
      <c r="E320" s="198">
        <v>10.327440430431482</v>
      </c>
      <c r="F320" s="198">
        <v>7.8657170015695117</v>
      </c>
      <c r="G320" s="198">
        <v>6.4771437918397021</v>
      </c>
      <c r="H320" s="198">
        <v>6.6809575470416878</v>
      </c>
      <c r="I320" s="198">
        <v>7.4825129951831411</v>
      </c>
      <c r="J320" s="198">
        <v>9.7567859522814828</v>
      </c>
      <c r="K320" s="198">
        <v>10.642582385423006</v>
      </c>
      <c r="L320" s="191">
        <v>13.962725117789919</v>
      </c>
      <c r="M320" s="198">
        <v>14.852139348537825</v>
      </c>
      <c r="N320" s="198">
        <v>12.347882481298999</v>
      </c>
      <c r="O320" s="198">
        <v>18.306563093240477</v>
      </c>
      <c r="P320" s="198">
        <v>20.695443631588862</v>
      </c>
      <c r="Q320" s="198">
        <v>16.798539699478326</v>
      </c>
      <c r="R320" s="198">
        <v>16.816439152546593</v>
      </c>
      <c r="S320" s="198">
        <v>15.60655833768797</v>
      </c>
      <c r="T320" s="198">
        <v>18.282571960065532</v>
      </c>
      <c r="U320" s="198">
        <v>16.233372413407889</v>
      </c>
      <c r="V320" s="198">
        <v>12.238232027939077</v>
      </c>
      <c r="W320" s="198">
        <v>8.8508263409058703</v>
      </c>
      <c r="X320" s="191">
        <v>8.4805947052856911</v>
      </c>
      <c r="Y320" s="197">
        <v>8.2544667247436312</v>
      </c>
      <c r="Z320" s="210">
        <v>6.9072727272727299</v>
      </c>
      <c r="AA320" s="198">
        <v>7.0191977524582496</v>
      </c>
      <c r="AB320" s="198">
        <v>10.0489260143198</v>
      </c>
      <c r="AC320" s="198">
        <v>9.86995204500586</v>
      </c>
      <c r="AD320" s="191">
        <v>7.8705576302662603</v>
      </c>
      <c r="AE320" s="199" t="s">
        <v>350</v>
      </c>
    </row>
    <row r="321" spans="1:31" ht="12" hidden="1" customHeight="1" thickBot="1">
      <c r="A321" s="207"/>
      <c r="B321" s="368" t="s">
        <v>351</v>
      </c>
      <c r="C321" s="197">
        <v>10.32637320736532</v>
      </c>
      <c r="D321" s="198">
        <v>4.6177722738978355</v>
      </c>
      <c r="E321" s="198">
        <v>10.689397920129359</v>
      </c>
      <c r="F321" s="198">
        <v>8.197909305064778</v>
      </c>
      <c r="G321" s="198">
        <v>5.6453302930901135</v>
      </c>
      <c r="H321" s="198">
        <v>6.7778965702226444</v>
      </c>
      <c r="I321" s="198">
        <v>5.0095480395858312</v>
      </c>
      <c r="J321" s="198">
        <v>9.6154603810477379</v>
      </c>
      <c r="K321" s="198">
        <v>11.46727826321505</v>
      </c>
      <c r="L321" s="191">
        <v>11.662772584437949</v>
      </c>
      <c r="M321" s="198">
        <v>15.299708127261228</v>
      </c>
      <c r="N321" s="198">
        <v>12.449588766715825</v>
      </c>
      <c r="O321" s="198">
        <v>21.600032109057814</v>
      </c>
      <c r="P321" s="198">
        <v>18.887855578685528</v>
      </c>
      <c r="Q321" s="198">
        <v>15.266758360561187</v>
      </c>
      <c r="R321" s="198">
        <v>13.675218178150347</v>
      </c>
      <c r="S321" s="198">
        <v>13.461034511891887</v>
      </c>
      <c r="T321" s="198">
        <v>18.897059259161928</v>
      </c>
      <c r="U321" s="198">
        <v>18.616341695936001</v>
      </c>
      <c r="V321" s="198">
        <v>11.111227009398755</v>
      </c>
      <c r="W321" s="198">
        <v>10.639289679854011</v>
      </c>
      <c r="X321" s="191">
        <v>6.958463634688778</v>
      </c>
      <c r="Y321" s="197">
        <v>3.9317940668518214</v>
      </c>
      <c r="Z321" s="198">
        <v>1.20952063174285</v>
      </c>
      <c r="AA321" s="198">
        <v>2.18956967882349</v>
      </c>
      <c r="AB321" s="198">
        <v>12</v>
      </c>
      <c r="AC321" s="198">
        <v>2.9752147860435301</v>
      </c>
      <c r="AD321" s="191">
        <v>17.210000368609201</v>
      </c>
      <c r="AE321" s="199" t="s">
        <v>207</v>
      </c>
    </row>
    <row r="322" spans="1:31" ht="10.5" hidden="1" customHeight="1">
      <c r="A322" s="200"/>
      <c r="B322" s="369">
        <v>41279</v>
      </c>
      <c r="C322" s="197"/>
      <c r="D322" s="198"/>
      <c r="E322" s="198"/>
      <c r="F322" s="198"/>
      <c r="G322" s="198"/>
      <c r="H322" s="198"/>
      <c r="I322" s="198"/>
      <c r="J322" s="198"/>
      <c r="K322" s="198"/>
      <c r="L322" s="191"/>
      <c r="M322" s="198"/>
      <c r="N322" s="198"/>
      <c r="O322" s="198"/>
      <c r="P322" s="198"/>
      <c r="Q322" s="198"/>
      <c r="R322" s="198"/>
      <c r="S322" s="198"/>
      <c r="T322" s="198"/>
      <c r="U322" s="198"/>
      <c r="V322" s="198"/>
      <c r="W322" s="198"/>
      <c r="X322" s="198"/>
      <c r="Y322" s="197"/>
      <c r="Z322" s="198"/>
      <c r="AA322" s="198"/>
      <c r="AB322" s="198"/>
      <c r="AC322" s="198"/>
      <c r="AD322" s="191"/>
      <c r="AE322" s="374">
        <f>+B322</f>
        <v>41279</v>
      </c>
    </row>
    <row r="323" spans="1:31" ht="12" hidden="1" customHeight="1">
      <c r="A323" s="200"/>
      <c r="B323" s="368" t="s">
        <v>184</v>
      </c>
      <c r="C323" s="197">
        <v>9.5522884456731969</v>
      </c>
      <c r="D323" s="198">
        <v>5.8617067326749162</v>
      </c>
      <c r="E323" s="198">
        <v>9.9755434490535393</v>
      </c>
      <c r="F323" s="198">
        <v>8.616504068504236</v>
      </c>
      <c r="G323" s="198">
        <v>6.4941664165735595</v>
      </c>
      <c r="H323" s="198">
        <v>6.5417255009709709</v>
      </c>
      <c r="I323" s="198">
        <v>6.635600266670675</v>
      </c>
      <c r="J323" s="198">
        <v>10.040354978672783</v>
      </c>
      <c r="K323" s="198">
        <v>9.7433945716904446</v>
      </c>
      <c r="L323" s="191">
        <v>13.553935517623421</v>
      </c>
      <c r="M323" s="198">
        <v>13.903563671204541</v>
      </c>
      <c r="N323" s="198">
        <v>11.890687267188079</v>
      </c>
      <c r="O323" s="198">
        <v>17.066614059626513</v>
      </c>
      <c r="P323" s="198">
        <v>11.055598646362633</v>
      </c>
      <c r="Q323" s="198">
        <v>15.442400781507477</v>
      </c>
      <c r="R323" s="198">
        <v>15.307561685710782</v>
      </c>
      <c r="S323" s="198">
        <v>15.520547302869996</v>
      </c>
      <c r="T323" s="198">
        <v>17.194054232326902</v>
      </c>
      <c r="U323" s="198">
        <v>15.121214718816514</v>
      </c>
      <c r="V323" s="198">
        <v>12.083209853466387</v>
      </c>
      <c r="W323" s="198">
        <v>8.4721815518063597</v>
      </c>
      <c r="X323" s="191">
        <v>8.1497422778023942</v>
      </c>
      <c r="Y323" s="197">
        <v>7.9419748518099063</v>
      </c>
      <c r="Z323" s="210">
        <v>6.3318840579710098</v>
      </c>
      <c r="AA323" s="198">
        <v>7.9223858248065904</v>
      </c>
      <c r="AB323" s="198">
        <v>9.4864864864864895</v>
      </c>
      <c r="AC323" s="198">
        <v>8.9465286270351498</v>
      </c>
      <c r="AD323" s="191">
        <v>8.07611927280246</v>
      </c>
      <c r="AE323" s="199" t="s">
        <v>350</v>
      </c>
    </row>
    <row r="324" spans="1:31" ht="12" hidden="1" customHeight="1" thickBot="1">
      <c r="A324" s="207"/>
      <c r="B324" s="368" t="s">
        <v>351</v>
      </c>
      <c r="C324" s="197">
        <v>10.245488282038993</v>
      </c>
      <c r="D324" s="198">
        <v>4.2696659665013037</v>
      </c>
      <c r="E324" s="198">
        <v>10.615497414693431</v>
      </c>
      <c r="F324" s="198">
        <v>8.3498138560559187</v>
      </c>
      <c r="G324" s="198">
        <v>6.0896306086303991</v>
      </c>
      <c r="H324" s="198">
        <v>5.1165628561673957</v>
      </c>
      <c r="I324" s="198">
        <v>5.4025087916913064</v>
      </c>
      <c r="J324" s="198">
        <v>9.4783245700229024</v>
      </c>
      <c r="K324" s="198">
        <v>11.276360525652848</v>
      </c>
      <c r="L324" s="191">
        <v>11.222120203744607</v>
      </c>
      <c r="M324" s="198">
        <v>14.872687415046119</v>
      </c>
      <c r="N324" s="198">
        <v>12.387420654123485</v>
      </c>
      <c r="O324" s="198">
        <v>21.632075571214521</v>
      </c>
      <c r="P324" s="198">
        <v>19.743472286088661</v>
      </c>
      <c r="Q324" s="198">
        <v>13.578558132549599</v>
      </c>
      <c r="R324" s="198">
        <v>14.265573733154122</v>
      </c>
      <c r="S324" s="198">
        <v>13.065288406387145</v>
      </c>
      <c r="T324" s="198">
        <v>18.659256842732553</v>
      </c>
      <c r="U324" s="198">
        <v>17.884787115046194</v>
      </c>
      <c r="V324" s="198">
        <v>10.307805318621392</v>
      </c>
      <c r="W324" s="198">
        <v>10.028063677597315</v>
      </c>
      <c r="X324" s="191">
        <v>6.8086615519160425</v>
      </c>
      <c r="Y324" s="197">
        <v>4.9164414928507378</v>
      </c>
      <c r="Z324" s="198">
        <v>1.49274181492002</v>
      </c>
      <c r="AA324" s="198">
        <v>6.0622645896303204</v>
      </c>
      <c r="AB324" s="198">
        <v>10.0772169639257</v>
      </c>
      <c r="AC324" s="198">
        <v>3.8568750346267202</v>
      </c>
      <c r="AD324" s="191">
        <v>9.2547155111005601</v>
      </c>
      <c r="AE324" s="199" t="s">
        <v>207</v>
      </c>
    </row>
    <row r="325" spans="1:31" ht="10.5" hidden="1" customHeight="1">
      <c r="A325" s="200"/>
      <c r="B325" s="369">
        <v>41280</v>
      </c>
      <c r="C325" s="197"/>
      <c r="D325" s="198"/>
      <c r="E325" s="198"/>
      <c r="F325" s="198"/>
      <c r="G325" s="198"/>
      <c r="H325" s="198"/>
      <c r="I325" s="198"/>
      <c r="J325" s="198"/>
      <c r="K325" s="198"/>
      <c r="L325" s="191"/>
      <c r="M325" s="198"/>
      <c r="N325" s="198"/>
      <c r="O325" s="198"/>
      <c r="P325" s="198"/>
      <c r="Q325" s="198"/>
      <c r="R325" s="198"/>
      <c r="S325" s="198"/>
      <c r="T325" s="198"/>
      <c r="U325" s="198"/>
      <c r="V325" s="198"/>
      <c r="W325" s="198"/>
      <c r="X325" s="198"/>
      <c r="Y325" s="197"/>
      <c r="Z325" s="198"/>
      <c r="AA325" s="198"/>
      <c r="AB325" s="198"/>
      <c r="AC325" s="198"/>
      <c r="AD325" s="191"/>
      <c r="AE325" s="374">
        <f>+B325</f>
        <v>41280</v>
      </c>
    </row>
    <row r="326" spans="1:31" ht="12" hidden="1" customHeight="1">
      <c r="A326" s="200"/>
      <c r="B326" s="368" t="s">
        <v>184</v>
      </c>
      <c r="C326" s="197">
        <v>9.4770379899538781</v>
      </c>
      <c r="D326" s="198">
        <v>5.0461951802090281</v>
      </c>
      <c r="E326" s="198">
        <v>9.9860577434342801</v>
      </c>
      <c r="F326" s="198">
        <v>7.7839632537588628</v>
      </c>
      <c r="G326" s="198">
        <v>4.6055544933365455</v>
      </c>
      <c r="H326" s="198">
        <v>6.646250060671866</v>
      </c>
      <c r="I326" s="198">
        <v>7.1115268838506829</v>
      </c>
      <c r="J326" s="198">
        <v>9.9429341930687851</v>
      </c>
      <c r="K326" s="198">
        <v>9.8217757414093576</v>
      </c>
      <c r="L326" s="191">
        <v>12.672411594806253</v>
      </c>
      <c r="M326" s="198">
        <v>14.186019186671386</v>
      </c>
      <c r="N326" s="198">
        <v>11.645329956977179</v>
      </c>
      <c r="O326" s="198">
        <v>17.890237297147198</v>
      </c>
      <c r="P326" s="198">
        <v>10.982863126711351</v>
      </c>
      <c r="Q326" s="198">
        <v>15.497015143555828</v>
      </c>
      <c r="R326" s="198">
        <v>16.107309260595493</v>
      </c>
      <c r="S326" s="198">
        <v>14.514233937269911</v>
      </c>
      <c r="T326" s="198">
        <v>17.583860464482573</v>
      </c>
      <c r="U326" s="198">
        <v>15.542122378233897</v>
      </c>
      <c r="V326" s="198">
        <v>12.017093728391989</v>
      </c>
      <c r="W326" s="198">
        <v>8.4820314969768145</v>
      </c>
      <c r="X326" s="191">
        <v>8.0915300183041072</v>
      </c>
      <c r="Y326" s="197">
        <v>8.270549915904569</v>
      </c>
      <c r="Z326" s="210">
        <v>3</v>
      </c>
      <c r="AA326" s="198">
        <v>6.9081977279705296</v>
      </c>
      <c r="AB326" s="198">
        <v>9.4880952380952408</v>
      </c>
      <c r="AC326" s="198">
        <v>10.122630811155499</v>
      </c>
      <c r="AD326" s="191">
        <v>8.0907796069619309</v>
      </c>
      <c r="AE326" s="199" t="s">
        <v>350</v>
      </c>
    </row>
    <row r="327" spans="1:31" ht="12" hidden="1" customHeight="1">
      <c r="A327" s="200"/>
      <c r="B327" s="368" t="s">
        <v>351</v>
      </c>
      <c r="C327" s="197">
        <v>10.370607608552318</v>
      </c>
      <c r="D327" s="198">
        <v>5.219457786353356</v>
      </c>
      <c r="E327" s="198">
        <v>10.592219449793843</v>
      </c>
      <c r="F327" s="198">
        <v>8.7227307945154244</v>
      </c>
      <c r="G327" s="198">
        <v>4.8832893384343103</v>
      </c>
      <c r="H327" s="198">
        <v>6.8695182358949749</v>
      </c>
      <c r="I327" s="198">
        <v>7.5887660580585869</v>
      </c>
      <c r="J327" s="198">
        <v>9.5289112510922092</v>
      </c>
      <c r="K327" s="198">
        <v>11.221170275980894</v>
      </c>
      <c r="L327" s="191">
        <v>11.306126107194235</v>
      </c>
      <c r="M327" s="198">
        <v>14.61173801110354</v>
      </c>
      <c r="N327" s="198">
        <v>11.029929883108878</v>
      </c>
      <c r="O327" s="198">
        <v>21.44086858422444</v>
      </c>
      <c r="P327" s="198">
        <v>17.370000283123034</v>
      </c>
      <c r="Q327" s="198">
        <v>13.110214766498975</v>
      </c>
      <c r="R327" s="198">
        <v>13.566015872174901</v>
      </c>
      <c r="S327" s="198">
        <v>13.064095323532973</v>
      </c>
      <c r="T327" s="198">
        <v>15.775809986250307</v>
      </c>
      <c r="U327" s="198">
        <v>17.678823629492246</v>
      </c>
      <c r="V327" s="198">
        <v>13.702197268157459</v>
      </c>
      <c r="W327" s="198">
        <v>10.540090327985943</v>
      </c>
      <c r="X327" s="191">
        <v>6.8917282363006374</v>
      </c>
      <c r="Y327" s="197">
        <v>4.8290317764360573</v>
      </c>
      <c r="Z327" s="198">
        <v>2.2383673815536498</v>
      </c>
      <c r="AA327" s="198">
        <v>6.4026271954177503</v>
      </c>
      <c r="AB327" s="198">
        <v>7.5675300560796801</v>
      </c>
      <c r="AC327" s="198">
        <v>4.0101792104073901</v>
      </c>
      <c r="AD327" s="191">
        <v>9.2547155111005601</v>
      </c>
      <c r="AE327" s="199" t="s">
        <v>207</v>
      </c>
    </row>
    <row r="328" spans="1:31" ht="10.5" hidden="1" customHeight="1">
      <c r="A328" s="200"/>
      <c r="B328" s="369">
        <v>41281</v>
      </c>
      <c r="C328" s="197"/>
      <c r="D328" s="198"/>
      <c r="E328" s="198"/>
      <c r="F328" s="198"/>
      <c r="G328" s="198"/>
      <c r="H328" s="198"/>
      <c r="I328" s="198"/>
      <c r="J328" s="198"/>
      <c r="K328" s="198"/>
      <c r="L328" s="191"/>
      <c r="M328" s="198"/>
      <c r="N328" s="198"/>
      <c r="O328" s="198"/>
      <c r="P328" s="198"/>
      <c r="Q328" s="198"/>
      <c r="R328" s="198"/>
      <c r="S328" s="198"/>
      <c r="T328" s="198"/>
      <c r="U328" s="198"/>
      <c r="V328" s="198"/>
      <c r="W328" s="198"/>
      <c r="X328" s="198"/>
      <c r="Y328" s="197"/>
      <c r="Z328" s="198"/>
      <c r="AA328" s="198"/>
      <c r="AB328" s="198"/>
      <c r="AC328" s="198"/>
      <c r="AD328" s="191"/>
      <c r="AE328" s="374">
        <f>+B328</f>
        <v>41281</v>
      </c>
    </row>
    <row r="329" spans="1:31" ht="12" hidden="1" customHeight="1">
      <c r="A329" s="200"/>
      <c r="B329" s="368" t="s">
        <v>184</v>
      </c>
      <c r="C329" s="197">
        <v>9.5713169440795411</v>
      </c>
      <c r="D329" s="198">
        <v>5.1445913119523965</v>
      </c>
      <c r="E329" s="198">
        <v>10.054310610782855</v>
      </c>
      <c r="F329" s="198">
        <v>8.7490863311735971</v>
      </c>
      <c r="G329" s="198">
        <v>4.2976489479919904</v>
      </c>
      <c r="H329" s="198">
        <v>6.2208725940997747</v>
      </c>
      <c r="I329" s="198">
        <v>6.4366864752925625</v>
      </c>
      <c r="J329" s="198">
        <v>10.045045172685162</v>
      </c>
      <c r="K329" s="198">
        <v>9.9322330519655679</v>
      </c>
      <c r="L329" s="191">
        <v>12.623871649986928</v>
      </c>
      <c r="M329" s="198">
        <v>14.207734300434527</v>
      </c>
      <c r="N329" s="198">
        <v>11.597030533688095</v>
      </c>
      <c r="O329" s="198">
        <v>18.04951168599727</v>
      </c>
      <c r="P329" s="198">
        <v>19.260946257502898</v>
      </c>
      <c r="Q329" s="198">
        <v>16.124772527518523</v>
      </c>
      <c r="R329" s="198">
        <v>12.752547250783397</v>
      </c>
      <c r="S329" s="198">
        <v>14.623515421351613</v>
      </c>
      <c r="T329" s="198">
        <v>17.760718219814972</v>
      </c>
      <c r="U329" s="198">
        <v>15.561834562516095</v>
      </c>
      <c r="V329" s="198">
        <v>11.974435100553285</v>
      </c>
      <c r="W329" s="198">
        <v>8.4943365798059727</v>
      </c>
      <c r="X329" s="191">
        <v>8.096568894611968</v>
      </c>
      <c r="Y329" s="197">
        <v>7.9801216739622127</v>
      </c>
      <c r="Z329" s="210">
        <v>5.9393006993007003</v>
      </c>
      <c r="AA329" s="198">
        <v>8.4802128367143297</v>
      </c>
      <c r="AB329" s="198">
        <v>10.6666666666667</v>
      </c>
      <c r="AC329" s="198">
        <v>9.87566262000745</v>
      </c>
      <c r="AD329" s="191">
        <v>7.7391326095227102</v>
      </c>
      <c r="AE329" s="199" t="s">
        <v>350</v>
      </c>
    </row>
    <row r="330" spans="1:31" ht="12" hidden="1" customHeight="1" thickBot="1">
      <c r="A330" s="207"/>
      <c r="B330" s="368" t="s">
        <v>351</v>
      </c>
      <c r="C330" s="197">
        <v>10.110724483077579</v>
      </c>
      <c r="D330" s="198">
        <v>3.7703048086665034</v>
      </c>
      <c r="E330" s="198">
        <v>10.580463356532249</v>
      </c>
      <c r="F330" s="198">
        <v>9.1719166544602295</v>
      </c>
      <c r="G330" s="198">
        <v>4.1877820943606059</v>
      </c>
      <c r="H330" s="198">
        <v>4.5774790461429786</v>
      </c>
      <c r="I330" s="198">
        <v>7.0411828352114973</v>
      </c>
      <c r="J330" s="198">
        <v>9.4258434654825489</v>
      </c>
      <c r="K330" s="198">
        <v>10.984794895047271</v>
      </c>
      <c r="L330" s="191">
        <v>11.269558053014403</v>
      </c>
      <c r="M330" s="198">
        <v>14.711426285858071</v>
      </c>
      <c r="N330" s="198">
        <v>11.182168281123124</v>
      </c>
      <c r="O330" s="198">
        <v>21.472386915084577</v>
      </c>
      <c r="P330" s="198">
        <v>17.673446827574629</v>
      </c>
      <c r="Q330" s="198">
        <v>14.616013464184434</v>
      </c>
      <c r="R330" s="198">
        <v>12.028854660415796</v>
      </c>
      <c r="S330" s="198">
        <v>13.022688324415189</v>
      </c>
      <c r="T330" s="198">
        <v>15.276346479790117</v>
      </c>
      <c r="U330" s="198">
        <v>18.201070625702862</v>
      </c>
      <c r="V330" s="198">
        <v>13.719665968101163</v>
      </c>
      <c r="W330" s="198">
        <v>10.633145635608082</v>
      </c>
      <c r="X330" s="191">
        <v>6.8705568660565897</v>
      </c>
      <c r="Y330" s="197">
        <v>4.7027730001899846</v>
      </c>
      <c r="Z330" s="198">
        <v>3.2540332692209302</v>
      </c>
      <c r="AA330" s="198">
        <v>7.61429788207393</v>
      </c>
      <c r="AB330" s="198">
        <v>7.2192090538202098</v>
      </c>
      <c r="AC330" s="198">
        <v>4.0104097206786697</v>
      </c>
      <c r="AD330" s="191">
        <v>9.2698754007361703</v>
      </c>
      <c r="AE330" s="199" t="s">
        <v>207</v>
      </c>
    </row>
    <row r="331" spans="1:31" ht="10.5" hidden="1" customHeight="1">
      <c r="A331" s="200"/>
      <c r="B331" s="369">
        <v>41282</v>
      </c>
      <c r="C331" s="197"/>
      <c r="D331" s="198"/>
      <c r="E331" s="198"/>
      <c r="F331" s="198"/>
      <c r="G331" s="198"/>
      <c r="H331" s="198"/>
      <c r="I331" s="198"/>
      <c r="J331" s="198"/>
      <c r="K331" s="198"/>
      <c r="L331" s="191"/>
      <c r="M331" s="198"/>
      <c r="N331" s="198"/>
      <c r="O331" s="198"/>
      <c r="P331" s="198"/>
      <c r="Q331" s="198"/>
      <c r="R331" s="198"/>
      <c r="S331" s="198"/>
      <c r="T331" s="198"/>
      <c r="U331" s="198"/>
      <c r="V331" s="198"/>
      <c r="W331" s="198"/>
      <c r="X331" s="198"/>
      <c r="Y331" s="197"/>
      <c r="Z331" s="198"/>
      <c r="AA331" s="198"/>
      <c r="AB331" s="198"/>
      <c r="AC331" s="198"/>
      <c r="AD331" s="191"/>
      <c r="AE331" s="374">
        <f>+B331</f>
        <v>41282</v>
      </c>
    </row>
    <row r="332" spans="1:31" ht="12" hidden="1" customHeight="1">
      <c r="A332" s="200"/>
      <c r="B332" s="368" t="s">
        <v>184</v>
      </c>
      <c r="C332" s="197">
        <v>9.4906812906339724</v>
      </c>
      <c r="D332" s="198">
        <v>5.1037621725990592</v>
      </c>
      <c r="E332" s="198">
        <v>9.9686707134004457</v>
      </c>
      <c r="F332" s="198">
        <v>7.5205443732257766</v>
      </c>
      <c r="G332" s="198">
        <v>4.3044827419116825</v>
      </c>
      <c r="H332" s="198">
        <v>6.0410807077371675</v>
      </c>
      <c r="I332" s="198">
        <v>6.6970732712648173</v>
      </c>
      <c r="J332" s="198">
        <v>10.022259724176118</v>
      </c>
      <c r="K332" s="198">
        <v>9.95301187475226</v>
      </c>
      <c r="L332" s="191">
        <v>9.7506395031755133</v>
      </c>
      <c r="M332" s="198">
        <v>14.333198892689472</v>
      </c>
      <c r="N332" s="198">
        <v>11.471037494256018</v>
      </c>
      <c r="O332" s="198">
        <v>18.360065036201895</v>
      </c>
      <c r="P332" s="198">
        <v>10.989869216306055</v>
      </c>
      <c r="Q332" s="198">
        <v>16.071206709713806</v>
      </c>
      <c r="R332" s="198">
        <v>13.127057116634646</v>
      </c>
      <c r="S332" s="198">
        <v>14.398651074980762</v>
      </c>
      <c r="T332" s="198">
        <v>18.75610508588986</v>
      </c>
      <c r="U332" s="198">
        <v>15.544206369531668</v>
      </c>
      <c r="V332" s="198">
        <v>12.033703849600455</v>
      </c>
      <c r="W332" s="198">
        <v>8.563761138955158</v>
      </c>
      <c r="X332" s="191">
        <v>8.073765833901497</v>
      </c>
      <c r="Y332" s="197">
        <v>8.4947551011168905</v>
      </c>
      <c r="Z332" s="210">
        <v>5.7</v>
      </c>
      <c r="AA332" s="198">
        <v>12.852508110806101</v>
      </c>
      <c r="AB332" s="198">
        <v>10.714285714285699</v>
      </c>
      <c r="AC332" s="198">
        <v>9.9551544991540002</v>
      </c>
      <c r="AD332" s="191">
        <v>7.2035467102016604</v>
      </c>
      <c r="AE332" s="199" t="s">
        <v>350</v>
      </c>
    </row>
    <row r="333" spans="1:31" ht="12" hidden="1" customHeight="1">
      <c r="A333" s="200"/>
      <c r="B333" s="368" t="s">
        <v>351</v>
      </c>
      <c r="C333" s="197">
        <v>10.03535543418965</v>
      </c>
      <c r="D333" s="198">
        <v>4.1572514385842032</v>
      </c>
      <c r="E333" s="198">
        <v>10.464236169998999</v>
      </c>
      <c r="F333" s="198">
        <v>8.2456686590225186</v>
      </c>
      <c r="G333" s="198">
        <v>5.0341109919596159</v>
      </c>
      <c r="H333" s="198">
        <v>4.6608468288633489</v>
      </c>
      <c r="I333" s="198">
        <v>5.6103334890464911</v>
      </c>
      <c r="J333" s="198">
        <v>9.346247209963062</v>
      </c>
      <c r="K333" s="198">
        <v>10.987971763587419</v>
      </c>
      <c r="L333" s="191">
        <v>11.25647406218193</v>
      </c>
      <c r="M333" s="198">
        <v>14.828362162055155</v>
      </c>
      <c r="N333" s="198">
        <v>10.976854373859032</v>
      </c>
      <c r="O333" s="198">
        <v>21.862500884209283</v>
      </c>
      <c r="P333" s="198">
        <v>18.016470622441787</v>
      </c>
      <c r="Q333" s="198">
        <v>10.518720235737289</v>
      </c>
      <c r="R333" s="198">
        <v>10.984905064182216</v>
      </c>
      <c r="S333" s="198">
        <v>12.27105516044907</v>
      </c>
      <c r="T333" s="198">
        <v>16.233080181401199</v>
      </c>
      <c r="U333" s="198">
        <v>18.547336436598869</v>
      </c>
      <c r="V333" s="198">
        <v>14.073195286861694</v>
      </c>
      <c r="W333" s="198">
        <v>9.6095618310685431</v>
      </c>
      <c r="X333" s="191">
        <v>6.8269679046849365</v>
      </c>
      <c r="Y333" s="197">
        <v>4.6903591620489884</v>
      </c>
      <c r="Z333" s="198">
        <v>3.4975563971247099</v>
      </c>
      <c r="AA333" s="198">
        <v>3.5418992886006602</v>
      </c>
      <c r="AB333" s="198">
        <v>7.2192090538202098</v>
      </c>
      <c r="AC333" s="198">
        <v>4.0104097206786697</v>
      </c>
      <c r="AD333" s="191">
        <v>9.8247130368228905</v>
      </c>
      <c r="AE333" s="199" t="s">
        <v>207</v>
      </c>
    </row>
    <row r="334" spans="1:31" ht="10.5" hidden="1" customHeight="1">
      <c r="A334" s="200"/>
      <c r="B334" s="369">
        <v>41283</v>
      </c>
      <c r="C334" s="197"/>
      <c r="D334" s="198"/>
      <c r="E334" s="198"/>
      <c r="F334" s="198"/>
      <c r="G334" s="198"/>
      <c r="H334" s="198"/>
      <c r="I334" s="198"/>
      <c r="J334" s="198"/>
      <c r="K334" s="198"/>
      <c r="L334" s="191"/>
      <c r="M334" s="198"/>
      <c r="N334" s="198"/>
      <c r="O334" s="198"/>
      <c r="P334" s="198"/>
      <c r="Q334" s="198"/>
      <c r="R334" s="198"/>
      <c r="S334" s="198"/>
      <c r="T334" s="198"/>
      <c r="U334" s="198"/>
      <c r="V334" s="198"/>
      <c r="W334" s="198"/>
      <c r="X334" s="198"/>
      <c r="Y334" s="197"/>
      <c r="Z334" s="198"/>
      <c r="AA334" s="198"/>
      <c r="AB334" s="198"/>
      <c r="AC334" s="198"/>
      <c r="AD334" s="191"/>
      <c r="AE334" s="374">
        <f>+B334</f>
        <v>41283</v>
      </c>
    </row>
    <row r="335" spans="1:31" ht="12" hidden="1" customHeight="1">
      <c r="A335" s="200"/>
      <c r="B335" s="368" t="s">
        <v>184</v>
      </c>
      <c r="C335" s="197">
        <v>9.4530053274357808</v>
      </c>
      <c r="D335" s="198">
        <v>5.2010005226510652</v>
      </c>
      <c r="E335" s="198">
        <v>9.9357171909679831</v>
      </c>
      <c r="F335" s="198">
        <v>9.25725399739704</v>
      </c>
      <c r="G335" s="198">
        <v>4.394672217034012</v>
      </c>
      <c r="H335" s="198">
        <v>6.0044094499753706</v>
      </c>
      <c r="I335" s="198">
        <v>6.4941805141256195</v>
      </c>
      <c r="J335" s="198">
        <v>9.9967656653500025</v>
      </c>
      <c r="K335" s="198">
        <v>9.8836691435370518</v>
      </c>
      <c r="L335" s="191">
        <v>9.7481304780528824</v>
      </c>
      <c r="M335" s="198">
        <v>14.255088315670614</v>
      </c>
      <c r="N335" s="198">
        <v>11.447213202928442</v>
      </c>
      <c r="O335" s="198">
        <v>18.213045948996577</v>
      </c>
      <c r="P335" s="198">
        <v>10.945568484095356</v>
      </c>
      <c r="Q335" s="198">
        <v>16.23388188588482</v>
      </c>
      <c r="R335" s="198">
        <v>12.703607961105471</v>
      </c>
      <c r="S335" s="198">
        <v>14.318741332665459</v>
      </c>
      <c r="T335" s="198">
        <v>18.524902325530306</v>
      </c>
      <c r="U335" s="198">
        <v>15.43808190709928</v>
      </c>
      <c r="V335" s="198">
        <v>12.237668695358296</v>
      </c>
      <c r="W335" s="198">
        <v>8.5364144583194985</v>
      </c>
      <c r="X335" s="191">
        <v>8.1459238425040397</v>
      </c>
      <c r="Y335" s="197">
        <v>10.264774187687037</v>
      </c>
      <c r="Z335" s="216" t="s">
        <v>93</v>
      </c>
      <c r="AA335" s="198">
        <v>12.852508110806101</v>
      </c>
      <c r="AB335" s="198">
        <v>10.714285714285699</v>
      </c>
      <c r="AC335" s="198">
        <v>9.8362662946742301</v>
      </c>
      <c r="AD335" s="191">
        <v>10.729340835176901</v>
      </c>
      <c r="AE335" s="199" t="s">
        <v>350</v>
      </c>
    </row>
    <row r="336" spans="1:31" ht="12" hidden="1" customHeight="1" thickBot="1">
      <c r="A336" s="207"/>
      <c r="B336" s="368" t="s">
        <v>351</v>
      </c>
      <c r="C336" s="197">
        <v>10.005140104836167</v>
      </c>
      <c r="D336" s="198">
        <v>4.4146000072770377</v>
      </c>
      <c r="E336" s="198">
        <v>10.434668578367789</v>
      </c>
      <c r="F336" s="198">
        <v>8.3372254857659058</v>
      </c>
      <c r="G336" s="198">
        <v>5.2795126644907704</v>
      </c>
      <c r="H336" s="198">
        <v>4.5133494161895511</v>
      </c>
      <c r="I336" s="198">
        <v>6.5694745887974211</v>
      </c>
      <c r="J336" s="198">
        <v>9.2553486337102502</v>
      </c>
      <c r="K336" s="198">
        <v>10.862905998821347</v>
      </c>
      <c r="L336" s="191">
        <v>11.343509825761824</v>
      </c>
      <c r="M336" s="198">
        <v>14.561165275003269</v>
      </c>
      <c r="N336" s="198">
        <v>10.890746158590751</v>
      </c>
      <c r="O336" s="198">
        <v>21.202005847119715</v>
      </c>
      <c r="P336" s="198">
        <v>19.352412533240841</v>
      </c>
      <c r="Q336" s="198">
        <v>14.094708268739408</v>
      </c>
      <c r="R336" s="198">
        <v>12.791944493773492</v>
      </c>
      <c r="S336" s="198">
        <v>12.593742437456147</v>
      </c>
      <c r="T336" s="198">
        <v>15.277050972985217</v>
      </c>
      <c r="U336" s="198">
        <v>17.84209053810471</v>
      </c>
      <c r="V336" s="198">
        <v>13.607945747958077</v>
      </c>
      <c r="W336" s="198">
        <v>10.851454308117541</v>
      </c>
      <c r="X336" s="191">
        <v>6.8222608144245047</v>
      </c>
      <c r="Y336" s="197">
        <v>4.8835084778062452</v>
      </c>
      <c r="Z336" s="198">
        <v>3.64827624996924</v>
      </c>
      <c r="AA336" s="198">
        <v>6.6775365684969001</v>
      </c>
      <c r="AB336" s="198">
        <v>11.022935308032499</v>
      </c>
      <c r="AC336" s="198">
        <v>4.01064863397949</v>
      </c>
      <c r="AD336" s="191">
        <v>9.8246216267669304</v>
      </c>
      <c r="AE336" s="199" t="s">
        <v>207</v>
      </c>
    </row>
    <row r="337" spans="1:31" ht="10.5" hidden="1" customHeight="1">
      <c r="A337" s="200"/>
      <c r="B337" s="369">
        <v>41284</v>
      </c>
      <c r="C337" s="197"/>
      <c r="D337" s="198"/>
      <c r="E337" s="198"/>
      <c r="F337" s="198"/>
      <c r="G337" s="198"/>
      <c r="H337" s="198"/>
      <c r="I337" s="198"/>
      <c r="J337" s="198"/>
      <c r="K337" s="198"/>
      <c r="L337" s="191"/>
      <c r="M337" s="198"/>
      <c r="N337" s="198"/>
      <c r="O337" s="198"/>
      <c r="P337" s="198"/>
      <c r="Q337" s="198"/>
      <c r="R337" s="198"/>
      <c r="S337" s="198"/>
      <c r="T337" s="198"/>
      <c r="U337" s="198"/>
      <c r="V337" s="198"/>
      <c r="W337" s="198"/>
      <c r="X337" s="198"/>
      <c r="Y337" s="197"/>
      <c r="Z337" s="198"/>
      <c r="AA337" s="198"/>
      <c r="AB337" s="198"/>
      <c r="AC337" s="198"/>
      <c r="AD337" s="191"/>
      <c r="AE337" s="374">
        <f>+B337</f>
        <v>41284</v>
      </c>
    </row>
    <row r="338" spans="1:31" ht="12" hidden="1" customHeight="1">
      <c r="A338" s="200"/>
      <c r="B338" s="368" t="s">
        <v>184</v>
      </c>
      <c r="C338" s="197">
        <v>9.451891480803539</v>
      </c>
      <c r="D338" s="198">
        <v>5.6899094656159654</v>
      </c>
      <c r="E338" s="198">
        <v>9.9002270571142468</v>
      </c>
      <c r="F338" s="198">
        <v>7.1503717440553221</v>
      </c>
      <c r="G338" s="198">
        <v>5.414233996742051</v>
      </c>
      <c r="H338" s="198">
        <v>5.9860831211283232</v>
      </c>
      <c r="I338" s="198">
        <v>6.0748013613959202</v>
      </c>
      <c r="J338" s="198">
        <v>9.8606533813120407</v>
      </c>
      <c r="K338" s="198">
        <v>9.9431972117105971</v>
      </c>
      <c r="L338" s="191">
        <v>9.0149305727308313</v>
      </c>
      <c r="M338" s="198">
        <v>14.142315161796645</v>
      </c>
      <c r="N338" s="198">
        <v>11.369739918976656</v>
      </c>
      <c r="O338" s="198">
        <v>18.018104658209012</v>
      </c>
      <c r="P338" s="198">
        <v>9.9812214354952804</v>
      </c>
      <c r="Q338" s="198">
        <v>13.543678474142057</v>
      </c>
      <c r="R338" s="198">
        <v>12.225654178216933</v>
      </c>
      <c r="S338" s="198">
        <v>14.62438039259937</v>
      </c>
      <c r="T338" s="198">
        <v>18.358589010189572</v>
      </c>
      <c r="U338" s="198">
        <v>15.240433526297656</v>
      </c>
      <c r="V338" s="198">
        <v>12.394284391921273</v>
      </c>
      <c r="W338" s="198">
        <v>8.6417955135755449</v>
      </c>
      <c r="X338" s="191">
        <v>8.1703032995910068</v>
      </c>
      <c r="Y338" s="197">
        <v>8.4152723373436729</v>
      </c>
      <c r="Z338" s="198">
        <v>4.25</v>
      </c>
      <c r="AA338" s="198">
        <v>8.8687918457080102</v>
      </c>
      <c r="AB338" s="198">
        <v>10.2516543402102</v>
      </c>
      <c r="AC338" s="198">
        <v>9.2319168880245304</v>
      </c>
      <c r="AD338" s="191">
        <v>9.0551390782178398</v>
      </c>
      <c r="AE338" s="199" t="s">
        <v>350</v>
      </c>
    </row>
    <row r="339" spans="1:31" ht="12" hidden="1" customHeight="1" thickBot="1">
      <c r="A339" s="207"/>
      <c r="B339" s="368" t="s">
        <v>351</v>
      </c>
      <c r="C339" s="197">
        <v>10.044738809608438</v>
      </c>
      <c r="D339" s="198">
        <v>4.8337205144407527</v>
      </c>
      <c r="E339" s="198">
        <v>10.401520362502579</v>
      </c>
      <c r="F339" s="198">
        <v>7.7432300589448042</v>
      </c>
      <c r="G339" s="198">
        <v>5.1323513513513523</v>
      </c>
      <c r="H339" s="198">
        <v>5.5885018734195464</v>
      </c>
      <c r="I339" s="198">
        <v>5.1017205157259706</v>
      </c>
      <c r="J339" s="198">
        <v>9.1997143379013746</v>
      </c>
      <c r="K339" s="198">
        <v>10.855628361200253</v>
      </c>
      <c r="L339" s="191">
        <v>11.325690427947439</v>
      </c>
      <c r="M339" s="198">
        <v>14.439608556269141</v>
      </c>
      <c r="N339" s="198">
        <v>10.908825412430485</v>
      </c>
      <c r="O339" s="198">
        <v>20.716576866631421</v>
      </c>
      <c r="P339" s="198">
        <v>18.311100310196998</v>
      </c>
      <c r="Q339" s="198">
        <v>11.71610691853955</v>
      </c>
      <c r="R339" s="198">
        <v>10.546826817954024</v>
      </c>
      <c r="S339" s="198">
        <v>10.13869991518491</v>
      </c>
      <c r="T339" s="198">
        <v>15.530043107010886</v>
      </c>
      <c r="U339" s="198">
        <v>17.454740654811289</v>
      </c>
      <c r="V339" s="198">
        <v>13.676540755717204</v>
      </c>
      <c r="W339" s="198">
        <v>10.656633013292485</v>
      </c>
      <c r="X339" s="191">
        <v>6.8099701864054607</v>
      </c>
      <c r="Y339" s="197">
        <v>4.0328181842894368</v>
      </c>
      <c r="Z339" s="198">
        <v>3.51737351190476</v>
      </c>
      <c r="AA339" s="198">
        <v>0.68290256115773096</v>
      </c>
      <c r="AB339" s="198">
        <v>9.28571428571429</v>
      </c>
      <c r="AC339" s="198">
        <v>4.0104403893867904</v>
      </c>
      <c r="AD339" s="191">
        <v>9.8247130368228905</v>
      </c>
      <c r="AE339" s="199" t="s">
        <v>207</v>
      </c>
    </row>
    <row r="340" spans="1:31" ht="10.5" hidden="1" customHeight="1">
      <c r="A340" s="200"/>
      <c r="B340" s="369">
        <v>41285</v>
      </c>
      <c r="C340" s="197"/>
      <c r="D340" s="198"/>
      <c r="E340" s="198"/>
      <c r="F340" s="198"/>
      <c r="G340" s="198"/>
      <c r="H340" s="198"/>
      <c r="I340" s="198"/>
      <c r="J340" s="198"/>
      <c r="K340" s="198"/>
      <c r="L340" s="191"/>
      <c r="M340" s="198"/>
      <c r="N340" s="198"/>
      <c r="O340" s="198"/>
      <c r="P340" s="198"/>
      <c r="Q340" s="198"/>
      <c r="R340" s="198"/>
      <c r="S340" s="198"/>
      <c r="T340" s="198"/>
      <c r="U340" s="198"/>
      <c r="V340" s="198"/>
      <c r="W340" s="198"/>
      <c r="X340" s="198"/>
      <c r="Y340" s="197"/>
      <c r="Z340" s="198"/>
      <c r="AA340" s="198"/>
      <c r="AB340" s="198"/>
      <c r="AC340" s="198"/>
      <c r="AD340" s="191"/>
      <c r="AE340" s="374">
        <f>+B340</f>
        <v>41285</v>
      </c>
    </row>
    <row r="341" spans="1:31" ht="12" hidden="1" customHeight="1">
      <c r="A341" s="200"/>
      <c r="B341" s="368" t="s">
        <v>184</v>
      </c>
      <c r="C341" s="197">
        <v>9.4335703984423436</v>
      </c>
      <c r="D341" s="198">
        <v>5.741900636882562</v>
      </c>
      <c r="E341" s="198">
        <v>9.8341212158887519</v>
      </c>
      <c r="F341" s="198">
        <v>8.8060031488509818</v>
      </c>
      <c r="G341" s="198">
        <v>5.7328312027824335</v>
      </c>
      <c r="H341" s="198">
        <v>5.9941423584936944</v>
      </c>
      <c r="I341" s="198">
        <v>5.633357439802424</v>
      </c>
      <c r="J341" s="198">
        <v>9.7723059037099489</v>
      </c>
      <c r="K341" s="198">
        <v>9.9313239278692489</v>
      </c>
      <c r="L341" s="191">
        <v>10.982109781938822</v>
      </c>
      <c r="M341" s="198">
        <v>14.332285034730189</v>
      </c>
      <c r="N341" s="198">
        <v>11.402323744609486</v>
      </c>
      <c r="O341" s="198">
        <v>18.353916964642224</v>
      </c>
      <c r="P341" s="198">
        <v>10.960899942044014</v>
      </c>
      <c r="Q341" s="198">
        <v>13.742196402728931</v>
      </c>
      <c r="R341" s="198">
        <v>15.563796350187525</v>
      </c>
      <c r="S341" s="198">
        <v>15.007428396183212</v>
      </c>
      <c r="T341" s="198">
        <v>18.430103972405398</v>
      </c>
      <c r="U341" s="198">
        <v>15.469028881176534</v>
      </c>
      <c r="V341" s="198">
        <v>12.458727430814365</v>
      </c>
      <c r="W341" s="198">
        <v>8.6864091402257575</v>
      </c>
      <c r="X341" s="191">
        <v>8.2844048047394256</v>
      </c>
      <c r="Y341" s="197">
        <v>10.099371978487431</v>
      </c>
      <c r="Z341" s="198">
        <v>2.8529411764705901</v>
      </c>
      <c r="AA341" s="198">
        <v>12.636538873420401</v>
      </c>
      <c r="AB341" s="198">
        <v>11.545454545454501</v>
      </c>
      <c r="AC341" s="198">
        <v>8.8614708730185505</v>
      </c>
      <c r="AD341" s="191">
        <v>9.0772697448221198</v>
      </c>
      <c r="AE341" s="199" t="s">
        <v>350</v>
      </c>
    </row>
    <row r="342" spans="1:31" ht="12" hidden="1" customHeight="1" thickBot="1">
      <c r="A342" s="207"/>
      <c r="B342" s="368" t="s">
        <v>351</v>
      </c>
      <c r="C342" s="197">
        <v>9.9003835484868112</v>
      </c>
      <c r="D342" s="198">
        <v>3.7096148152524702</v>
      </c>
      <c r="E342" s="198">
        <v>10.348435988208536</v>
      </c>
      <c r="F342" s="198">
        <v>7.7904924586218289</v>
      </c>
      <c r="G342" s="198">
        <v>4.8450403058639262</v>
      </c>
      <c r="H342" s="198">
        <v>5.6541734150201384</v>
      </c>
      <c r="I342" s="198">
        <v>4.5711592309128255</v>
      </c>
      <c r="J342" s="198">
        <v>9.1478860724816009</v>
      </c>
      <c r="K342" s="198">
        <v>10.702471630546356</v>
      </c>
      <c r="L342" s="191">
        <v>11.39311853623588</v>
      </c>
      <c r="M342" s="198">
        <v>14.548760216632919</v>
      </c>
      <c r="N342" s="198">
        <v>10.977108131943794</v>
      </c>
      <c r="O342" s="198">
        <v>20.700189335045774</v>
      </c>
      <c r="P342" s="198">
        <v>18.082697030990417</v>
      </c>
      <c r="Q342" s="198">
        <v>12.498940650215518</v>
      </c>
      <c r="R342" s="198">
        <v>11.767654148655865</v>
      </c>
      <c r="S342" s="198">
        <v>11.888073973890398</v>
      </c>
      <c r="T342" s="198">
        <v>15.671349171676509</v>
      </c>
      <c r="U342" s="198">
        <v>17.53646364773601</v>
      </c>
      <c r="V342" s="198">
        <v>13.720572046632531</v>
      </c>
      <c r="W342" s="198">
        <v>10.597652021827264</v>
      </c>
      <c r="X342" s="191">
        <v>6.7702319608896087</v>
      </c>
      <c r="Y342" s="197">
        <v>3.7597658795531235</v>
      </c>
      <c r="Z342" s="198">
        <v>3.1951273711035602</v>
      </c>
      <c r="AA342" s="198">
        <v>0.55518976504045203</v>
      </c>
      <c r="AB342" s="198">
        <v>8.7423975319524008</v>
      </c>
      <c r="AC342" s="198">
        <v>3.34485828577004</v>
      </c>
      <c r="AD342" s="191">
        <v>9.2698754007361703</v>
      </c>
      <c r="AE342" s="199" t="s">
        <v>207</v>
      </c>
    </row>
    <row r="343" spans="1:31" ht="10.5" hidden="1" customHeight="1">
      <c r="A343" s="200"/>
      <c r="B343" s="369">
        <v>41286</v>
      </c>
      <c r="C343" s="197"/>
      <c r="D343" s="198"/>
      <c r="E343" s="198"/>
      <c r="F343" s="198"/>
      <c r="G343" s="198"/>
      <c r="H343" s="198"/>
      <c r="I343" s="198"/>
      <c r="J343" s="198"/>
      <c r="K343" s="198"/>
      <c r="L343" s="191"/>
      <c r="M343" s="198"/>
      <c r="N343" s="198"/>
      <c r="O343" s="198"/>
      <c r="P343" s="198"/>
      <c r="Q343" s="198"/>
      <c r="R343" s="198"/>
      <c r="S343" s="198"/>
      <c r="T343" s="198"/>
      <c r="U343" s="198"/>
      <c r="V343" s="198"/>
      <c r="W343" s="198"/>
      <c r="X343" s="198"/>
      <c r="Y343" s="197"/>
      <c r="Z343" s="198"/>
      <c r="AA343" s="198"/>
      <c r="AB343" s="198"/>
      <c r="AC343" s="198"/>
      <c r="AD343" s="191"/>
      <c r="AE343" s="374">
        <f>+B343</f>
        <v>41286</v>
      </c>
    </row>
    <row r="344" spans="1:31" ht="12" hidden="1" customHeight="1">
      <c r="A344" s="200"/>
      <c r="B344" s="368" t="s">
        <v>184</v>
      </c>
      <c r="C344" s="197">
        <v>9.51416177117577</v>
      </c>
      <c r="D344" s="198">
        <v>6.0353678725378241</v>
      </c>
      <c r="E344" s="198">
        <v>9.8677042142317681</v>
      </c>
      <c r="F344" s="198">
        <v>8.0766696660434807</v>
      </c>
      <c r="G344" s="198">
        <v>5.7718240231924147</v>
      </c>
      <c r="H344" s="198">
        <v>6.2335210729054378</v>
      </c>
      <c r="I344" s="198">
        <v>5.3123847348150184</v>
      </c>
      <c r="J344" s="198">
        <v>9.8390261506853278</v>
      </c>
      <c r="K344" s="198">
        <v>9.9518983450729692</v>
      </c>
      <c r="L344" s="191">
        <v>13.103462064526505</v>
      </c>
      <c r="M344" s="198">
        <v>14.444365886076246</v>
      </c>
      <c r="N344" s="198">
        <v>11.567439655402302</v>
      </c>
      <c r="O344" s="198">
        <v>18.340665338502227</v>
      </c>
      <c r="P344" s="198">
        <v>11.114815538516723</v>
      </c>
      <c r="Q344" s="198">
        <v>13.840814053782589</v>
      </c>
      <c r="R344" s="198">
        <v>15.000983477747063</v>
      </c>
      <c r="S344" s="198">
        <v>15.129172140142508</v>
      </c>
      <c r="T344" s="198">
        <v>18.661051719929382</v>
      </c>
      <c r="U344" s="198">
        <v>15.540283521452965</v>
      </c>
      <c r="V344" s="198">
        <v>12.560955390654597</v>
      </c>
      <c r="W344" s="198">
        <v>8.9137035858689497</v>
      </c>
      <c r="X344" s="191">
        <v>8.3458589551069675</v>
      </c>
      <c r="Y344" s="197">
        <v>10.111265715704572</v>
      </c>
      <c r="Z344" s="198">
        <v>4.0697674418604697</v>
      </c>
      <c r="AA344" s="198">
        <v>13.188837500979901</v>
      </c>
      <c r="AB344" s="198">
        <v>9.5</v>
      </c>
      <c r="AC344" s="198">
        <v>9.1078664042084103</v>
      </c>
      <c r="AD344" s="191">
        <v>8.7388447877490805</v>
      </c>
      <c r="AE344" s="199" t="s">
        <v>350</v>
      </c>
    </row>
    <row r="345" spans="1:31" ht="12" hidden="1" customHeight="1" thickBot="1">
      <c r="A345" s="207"/>
      <c r="B345" s="368" t="s">
        <v>351</v>
      </c>
      <c r="C345" s="197">
        <v>9.7184276881036329</v>
      </c>
      <c r="D345" s="198">
        <v>3.0835862261532743</v>
      </c>
      <c r="E345" s="198">
        <v>10.304374478067478</v>
      </c>
      <c r="F345" s="198">
        <v>6.896865653675567</v>
      </c>
      <c r="G345" s="198">
        <v>5.3143910499595153</v>
      </c>
      <c r="H345" s="198">
        <v>5.674360952117441</v>
      </c>
      <c r="I345" s="198">
        <v>4.821180879464797</v>
      </c>
      <c r="J345" s="198">
        <v>9.1532237177875064</v>
      </c>
      <c r="K345" s="198">
        <v>10.333723260430761</v>
      </c>
      <c r="L345" s="191">
        <v>11.406727928773178</v>
      </c>
      <c r="M345" s="198">
        <v>14.51574563723938</v>
      </c>
      <c r="N345" s="198">
        <v>10.8855536685501</v>
      </c>
      <c r="O345" s="198">
        <v>20.753530805034259</v>
      </c>
      <c r="P345" s="198">
        <v>14.633206511962591</v>
      </c>
      <c r="Q345" s="198">
        <v>11.91266470215108</v>
      </c>
      <c r="R345" s="198">
        <v>12.29109049397046</v>
      </c>
      <c r="S345" s="198">
        <v>12.578607061688471</v>
      </c>
      <c r="T345" s="198">
        <v>15.640244368066767</v>
      </c>
      <c r="U345" s="198">
        <v>17.602954328079729</v>
      </c>
      <c r="V345" s="198">
        <v>13.634948484638466</v>
      </c>
      <c r="W345" s="198">
        <v>10.565053745956774</v>
      </c>
      <c r="X345" s="191">
        <v>6.7678294134928283</v>
      </c>
      <c r="Y345" s="197">
        <v>3.9215026569221423</v>
      </c>
      <c r="Z345" s="198">
        <v>3.1592252077153602</v>
      </c>
      <c r="AA345" s="198">
        <v>5.4210824157131201</v>
      </c>
      <c r="AB345" s="198">
        <v>4.0119066773933998</v>
      </c>
      <c r="AC345" s="198">
        <v>3.2722677316245501</v>
      </c>
      <c r="AD345" s="191">
        <v>9.7663411588274407</v>
      </c>
      <c r="AE345" s="199" t="s">
        <v>207</v>
      </c>
    </row>
    <row r="346" spans="1:31" ht="10.5" customHeight="1">
      <c r="A346" s="200"/>
      <c r="B346" s="369">
        <v>41640</v>
      </c>
      <c r="C346" s="197"/>
      <c r="D346" s="198"/>
      <c r="E346" s="198"/>
      <c r="F346" s="198"/>
      <c r="G346" s="198"/>
      <c r="H346" s="198"/>
      <c r="I346" s="198"/>
      <c r="J346" s="198"/>
      <c r="K346" s="198"/>
      <c r="L346" s="191"/>
      <c r="M346" s="198"/>
      <c r="N346" s="198"/>
      <c r="O346" s="198"/>
      <c r="P346" s="198"/>
      <c r="Q346" s="198"/>
      <c r="R346" s="198"/>
      <c r="S346" s="198"/>
      <c r="T346" s="198"/>
      <c r="U346" s="198"/>
      <c r="V346" s="198"/>
      <c r="W346" s="198"/>
      <c r="X346" s="198"/>
      <c r="Y346" s="197"/>
      <c r="Z346" s="198"/>
      <c r="AA346" s="198"/>
      <c r="AB346" s="198"/>
      <c r="AC346" s="198"/>
      <c r="AD346" s="191"/>
      <c r="AE346" s="374">
        <f>+B346</f>
        <v>41640</v>
      </c>
    </row>
    <row r="347" spans="1:31" ht="12" customHeight="1">
      <c r="A347" s="200"/>
      <c r="B347" s="368" t="s">
        <v>184</v>
      </c>
      <c r="C347" s="197">
        <v>9.42403346165203</v>
      </c>
      <c r="D347" s="198">
        <v>5.7416401960557177</v>
      </c>
      <c r="E347" s="198">
        <v>9.8069731601243859</v>
      </c>
      <c r="F347" s="198">
        <v>8.7409518576250651</v>
      </c>
      <c r="G347" s="198">
        <v>5.8542408280554152</v>
      </c>
      <c r="H347" s="198">
        <v>6.3602603841398873</v>
      </c>
      <c r="I347" s="198">
        <v>5.6656609250657581</v>
      </c>
      <c r="J347" s="198">
        <v>9.7046897468902902</v>
      </c>
      <c r="K347" s="198">
        <v>9.9735396847885074</v>
      </c>
      <c r="L347" s="191">
        <v>12.981960297580667</v>
      </c>
      <c r="M347" s="198">
        <v>14.12954858726828</v>
      </c>
      <c r="N347" s="198">
        <v>11.518096241727724</v>
      </c>
      <c r="O347" s="198">
        <v>17.648924752834414</v>
      </c>
      <c r="P347" s="198">
        <v>10.657545216749766</v>
      </c>
      <c r="Q347" s="198">
        <v>15.290687763366721</v>
      </c>
      <c r="R347" s="198">
        <v>14.545613046710196</v>
      </c>
      <c r="S347" s="198">
        <v>14.401894898660528</v>
      </c>
      <c r="T347" s="198">
        <v>17.819155563075903</v>
      </c>
      <c r="U347" s="198">
        <v>15.454573820543908</v>
      </c>
      <c r="V347" s="198">
        <v>12.367393115282376</v>
      </c>
      <c r="W347" s="198">
        <v>9.1002623379886405</v>
      </c>
      <c r="X347" s="191">
        <v>8.3790926889192967</v>
      </c>
      <c r="Y347" s="197">
        <v>9.2834186641242891</v>
      </c>
      <c r="Z347" s="198">
        <v>3.5102040816326499</v>
      </c>
      <c r="AA347" s="198">
        <v>11.577251297965001</v>
      </c>
      <c r="AB347" s="198">
        <v>6.71428571428571</v>
      </c>
      <c r="AC347" s="198">
        <v>8.6996488748507392</v>
      </c>
      <c r="AD347" s="191">
        <v>8.8597182464903099</v>
      </c>
      <c r="AE347" s="199" t="s">
        <v>350</v>
      </c>
    </row>
    <row r="348" spans="1:31" ht="12" customHeight="1" thickBot="1">
      <c r="A348" s="207"/>
      <c r="B348" s="368" t="s">
        <v>351</v>
      </c>
      <c r="C348" s="197">
        <v>9.6644118121558424</v>
      </c>
      <c r="D348" s="198">
        <v>2.978586470819113</v>
      </c>
      <c r="E348" s="198">
        <v>10.232093071299426</v>
      </c>
      <c r="F348" s="198">
        <v>9.2098806150917891</v>
      </c>
      <c r="G348" s="198">
        <v>5.5414966472578975</v>
      </c>
      <c r="H348" s="198">
        <v>6.7301326596153572</v>
      </c>
      <c r="I348" s="198">
        <v>4.461894903421963</v>
      </c>
      <c r="J348" s="198">
        <v>9.0378970191978745</v>
      </c>
      <c r="K348" s="198">
        <v>10.312087439673125</v>
      </c>
      <c r="L348" s="191">
        <v>11.420622405539531</v>
      </c>
      <c r="M348" s="198">
        <v>14.394101064297516</v>
      </c>
      <c r="N348" s="198">
        <v>10.756032484390227</v>
      </c>
      <c r="O348" s="198">
        <v>20.735615193089128</v>
      </c>
      <c r="P348" s="198">
        <v>16.689937198864033</v>
      </c>
      <c r="Q348" s="198">
        <v>13.93701567675453</v>
      </c>
      <c r="R348" s="198">
        <v>12.105791572260815</v>
      </c>
      <c r="S348" s="198">
        <v>13.451604188426487</v>
      </c>
      <c r="T348" s="198">
        <v>16.38048423032329</v>
      </c>
      <c r="U348" s="198">
        <v>16.786035224506392</v>
      </c>
      <c r="V348" s="198">
        <v>13.670378858220433</v>
      </c>
      <c r="W348" s="198">
        <v>10.371303810252742</v>
      </c>
      <c r="X348" s="191">
        <v>7.0137743197417022</v>
      </c>
      <c r="Y348" s="197">
        <v>4.0761969384712327</v>
      </c>
      <c r="Z348" s="198">
        <v>2.7500787266881499</v>
      </c>
      <c r="AA348" s="198">
        <v>6.2192881402533597</v>
      </c>
      <c r="AB348" s="198">
        <v>6.7566421611786103</v>
      </c>
      <c r="AC348" s="198">
        <v>3.3913760649646898</v>
      </c>
      <c r="AD348" s="191">
        <v>7.9266243045756397</v>
      </c>
      <c r="AE348" s="199" t="s">
        <v>207</v>
      </c>
    </row>
    <row r="349" spans="1:31" ht="10.5" hidden="1" customHeight="1">
      <c r="A349" s="200"/>
      <c r="B349" s="369">
        <v>41641</v>
      </c>
      <c r="C349" s="197"/>
      <c r="D349" s="198"/>
      <c r="E349" s="198"/>
      <c r="F349" s="198"/>
      <c r="G349" s="198"/>
      <c r="H349" s="198"/>
      <c r="I349" s="198"/>
      <c r="J349" s="198"/>
      <c r="K349" s="198"/>
      <c r="L349" s="191"/>
      <c r="M349" s="198"/>
      <c r="N349" s="198"/>
      <c r="O349" s="198"/>
      <c r="P349" s="198"/>
      <c r="Q349" s="198"/>
      <c r="R349" s="198"/>
      <c r="S349" s="198"/>
      <c r="T349" s="198"/>
      <c r="U349" s="198"/>
      <c r="V349" s="198"/>
      <c r="W349" s="198"/>
      <c r="X349" s="198"/>
      <c r="Y349" s="197"/>
      <c r="Z349" s="198"/>
      <c r="AA349" s="198"/>
      <c r="AB349" s="198"/>
      <c r="AC349" s="198"/>
      <c r="AD349" s="191"/>
      <c r="AE349" s="374">
        <f>+B349</f>
        <v>41641</v>
      </c>
    </row>
    <row r="350" spans="1:31" ht="12" hidden="1" customHeight="1">
      <c r="A350" s="200"/>
      <c r="B350" s="368" t="s">
        <v>184</v>
      </c>
      <c r="C350" s="197">
        <v>9.4150083800694588</v>
      </c>
      <c r="D350" s="198">
        <v>5.5880765872757738</v>
      </c>
      <c r="E350" s="198">
        <v>9.7959391989648825</v>
      </c>
      <c r="F350" s="198">
        <v>9.7226665759723403</v>
      </c>
      <c r="G350" s="198">
        <v>5.5983136916209482</v>
      </c>
      <c r="H350" s="198">
        <v>6.8925659857845041</v>
      </c>
      <c r="I350" s="198">
        <v>5.5684340870260325</v>
      </c>
      <c r="J350" s="198">
        <v>9.7272682412315561</v>
      </c>
      <c r="K350" s="198">
        <v>9.8299502425090068</v>
      </c>
      <c r="L350" s="191">
        <v>12.130390737669174</v>
      </c>
      <c r="M350" s="198">
        <v>14.159939798981696</v>
      </c>
      <c r="N350" s="198">
        <v>10.981378957686037</v>
      </c>
      <c r="O350" s="198">
        <v>17.98790030451983</v>
      </c>
      <c r="P350" s="198">
        <v>10.909014317195679</v>
      </c>
      <c r="Q350" s="198">
        <v>15.621685827868189</v>
      </c>
      <c r="R350" s="198">
        <v>14.332572634747267</v>
      </c>
      <c r="S350" s="198">
        <v>13.010718770303626</v>
      </c>
      <c r="T350" s="198">
        <v>18.386071459324246</v>
      </c>
      <c r="U350" s="198">
        <v>15.897135902354453</v>
      </c>
      <c r="V350" s="198">
        <v>12.11566296719325</v>
      </c>
      <c r="W350" s="198">
        <v>8.8706654923765793</v>
      </c>
      <c r="X350" s="191">
        <v>7.9807677990179284</v>
      </c>
      <c r="Y350" s="197">
        <v>7.6350639756918488</v>
      </c>
      <c r="Z350" s="198">
        <v>4.12270803949224</v>
      </c>
      <c r="AA350" s="198">
        <v>7.0115860966839803</v>
      </c>
      <c r="AB350" s="198">
        <v>9.9920349761526204</v>
      </c>
      <c r="AC350" s="198">
        <v>8.93798266660081</v>
      </c>
      <c r="AD350" s="191">
        <v>8.7972305931189396</v>
      </c>
      <c r="AE350" s="199" t="s">
        <v>350</v>
      </c>
    </row>
    <row r="351" spans="1:31" ht="12" hidden="1" customHeight="1" thickBot="1">
      <c r="A351" s="207"/>
      <c r="B351" s="368" t="s">
        <v>351</v>
      </c>
      <c r="C351" s="197">
        <v>9.6551971496758515</v>
      </c>
      <c r="D351" s="198">
        <v>3.3488763422166188</v>
      </c>
      <c r="E351" s="198">
        <v>10.188819827519346</v>
      </c>
      <c r="F351" s="198">
        <v>7.5103105765117437</v>
      </c>
      <c r="G351" s="198">
        <v>6.9826886744820955</v>
      </c>
      <c r="H351" s="198">
        <v>7.3455414187941797</v>
      </c>
      <c r="I351" s="198">
        <v>4.5980133270953463</v>
      </c>
      <c r="J351" s="198">
        <v>9.0265636331374228</v>
      </c>
      <c r="K351" s="198">
        <v>10.235234044967845</v>
      </c>
      <c r="L351" s="191">
        <v>11.354949465099201</v>
      </c>
      <c r="M351" s="198">
        <v>14.647339731009572</v>
      </c>
      <c r="N351" s="198">
        <v>10.517717271272936</v>
      </c>
      <c r="O351" s="198">
        <v>20.824614165833861</v>
      </c>
      <c r="P351" s="198">
        <v>17.566959921370561</v>
      </c>
      <c r="Q351" s="198">
        <v>14.036590815043517</v>
      </c>
      <c r="R351" s="198">
        <v>11.526289880948605</v>
      </c>
      <c r="S351" s="198">
        <v>13.485810517854464</v>
      </c>
      <c r="T351" s="198">
        <v>16.505929077668128</v>
      </c>
      <c r="U351" s="198">
        <v>16.967267010795197</v>
      </c>
      <c r="V351" s="198">
        <v>13.774382318067667</v>
      </c>
      <c r="W351" s="198">
        <v>10.54857658381677</v>
      </c>
      <c r="X351" s="191">
        <v>7.8007910190679981</v>
      </c>
      <c r="Y351" s="197">
        <v>4.6876403073642123</v>
      </c>
      <c r="Z351" s="198">
        <v>3.7326858441419102</v>
      </c>
      <c r="AA351" s="198">
        <v>5.8713455466821403</v>
      </c>
      <c r="AB351" s="198">
        <v>6.9137479733349396</v>
      </c>
      <c r="AC351" s="198">
        <v>3.2030713879922601</v>
      </c>
      <c r="AD351" s="191">
        <v>6.8496119611130499</v>
      </c>
      <c r="AE351" s="199" t="s">
        <v>207</v>
      </c>
    </row>
    <row r="352" spans="1:31" ht="10.5" hidden="1" customHeight="1">
      <c r="A352" s="200"/>
      <c r="B352" s="369">
        <v>41642</v>
      </c>
      <c r="C352" s="197"/>
      <c r="D352" s="198"/>
      <c r="E352" s="198"/>
      <c r="F352" s="198"/>
      <c r="G352" s="198"/>
      <c r="H352" s="198"/>
      <c r="I352" s="198"/>
      <c r="J352" s="198"/>
      <c r="K352" s="198"/>
      <c r="L352" s="191"/>
      <c r="M352" s="198"/>
      <c r="N352" s="198"/>
      <c r="O352" s="198"/>
      <c r="P352" s="198"/>
      <c r="Q352" s="198"/>
      <c r="R352" s="198"/>
      <c r="S352" s="198"/>
      <c r="T352" s="198"/>
      <c r="U352" s="198"/>
      <c r="V352" s="198"/>
      <c r="W352" s="198"/>
      <c r="X352" s="198"/>
      <c r="Y352" s="197"/>
      <c r="Z352" s="198"/>
      <c r="AA352" s="198"/>
      <c r="AB352" s="198"/>
      <c r="AC352" s="198"/>
      <c r="AD352" s="191"/>
      <c r="AE352" s="374">
        <f>+B352</f>
        <v>41642</v>
      </c>
    </row>
    <row r="353" spans="1:31" ht="12" hidden="1" customHeight="1">
      <c r="A353" s="200"/>
      <c r="B353" s="368" t="s">
        <v>184</v>
      </c>
      <c r="C353" s="197">
        <v>9.3790537953254471</v>
      </c>
      <c r="D353" s="198">
        <v>5.6343447414043561</v>
      </c>
      <c r="E353" s="198">
        <v>9.8094861557187887</v>
      </c>
      <c r="F353" s="198">
        <v>9.3204560804587864</v>
      </c>
      <c r="G353" s="198">
        <v>5.6348029431048294</v>
      </c>
      <c r="H353" s="198">
        <v>7.4148993036224704</v>
      </c>
      <c r="I353" s="198">
        <v>5.6880020100362474</v>
      </c>
      <c r="J353" s="198">
        <v>9.4862017730915316</v>
      </c>
      <c r="K353" s="198">
        <v>9.9550081368087895</v>
      </c>
      <c r="L353" s="191">
        <v>12.681658561290645</v>
      </c>
      <c r="M353" s="198">
        <v>14.471831469653909</v>
      </c>
      <c r="N353" s="198">
        <v>11.455695670771247</v>
      </c>
      <c r="O353" s="198">
        <v>18.213274893568052</v>
      </c>
      <c r="P353" s="198">
        <v>11.158935216196582</v>
      </c>
      <c r="Q353" s="198">
        <v>16.098030254538212</v>
      </c>
      <c r="R353" s="198">
        <v>14.33747103509803</v>
      </c>
      <c r="S353" s="198">
        <v>17.251797491180245</v>
      </c>
      <c r="T353" s="198">
        <v>18.940047469796319</v>
      </c>
      <c r="U353" s="198">
        <v>16.02606324844535</v>
      </c>
      <c r="V353" s="198">
        <v>12.35141314047751</v>
      </c>
      <c r="W353" s="198">
        <v>9.1768426456264027</v>
      </c>
      <c r="X353" s="191">
        <v>7.7262498007295122</v>
      </c>
      <c r="Y353" s="197">
        <v>9.7656766121779981</v>
      </c>
      <c r="Z353" s="198">
        <v>4.6164772727272698</v>
      </c>
      <c r="AA353" s="198">
        <v>12.611761285163899</v>
      </c>
      <c r="AB353" s="198">
        <v>8.8000000000000007</v>
      </c>
      <c r="AC353" s="198">
        <v>8.3705805821918204</v>
      </c>
      <c r="AD353" s="191">
        <v>8.9170012539301098</v>
      </c>
      <c r="AE353" s="199" t="s">
        <v>350</v>
      </c>
    </row>
    <row r="354" spans="1:31" ht="12" hidden="1" customHeight="1" thickBot="1">
      <c r="A354" s="207"/>
      <c r="B354" s="368" t="s">
        <v>351</v>
      </c>
      <c r="C354" s="197">
        <v>9.740441464743542</v>
      </c>
      <c r="D354" s="198">
        <v>3.3877192238702989</v>
      </c>
      <c r="E354" s="198">
        <v>10.236146305728376</v>
      </c>
      <c r="F354" s="198">
        <v>10.417659390643699</v>
      </c>
      <c r="G354" s="198">
        <v>6.6620769960018142</v>
      </c>
      <c r="H354" s="198">
        <v>7.0933866059627926</v>
      </c>
      <c r="I354" s="198">
        <v>5.18023268464992</v>
      </c>
      <c r="J354" s="198">
        <v>8.8211426782433833</v>
      </c>
      <c r="K354" s="198">
        <v>10.513257807749998</v>
      </c>
      <c r="L354" s="191">
        <v>11.40897260514557</v>
      </c>
      <c r="M354" s="198">
        <v>14.322030077481909</v>
      </c>
      <c r="N354" s="198">
        <v>10.690508499712196</v>
      </c>
      <c r="O354" s="198">
        <v>20.375727911585905</v>
      </c>
      <c r="P354" s="198">
        <v>11.614818216436083</v>
      </c>
      <c r="Q354" s="198">
        <v>14.307670980122003</v>
      </c>
      <c r="R354" s="198">
        <v>11.668589653148056</v>
      </c>
      <c r="S354" s="198">
        <v>12.147055716820592</v>
      </c>
      <c r="T354" s="198">
        <v>15.749764378867434</v>
      </c>
      <c r="U354" s="198">
        <v>17.012148745211142</v>
      </c>
      <c r="V354" s="198">
        <v>13.890085949597736</v>
      </c>
      <c r="W354" s="198">
        <v>10.417782441856961</v>
      </c>
      <c r="X354" s="191">
        <v>7.0748849279597259</v>
      </c>
      <c r="Y354" s="197">
        <v>4.440639730284845</v>
      </c>
      <c r="Z354" s="198">
        <v>3.7533543024446798</v>
      </c>
      <c r="AA354" s="198">
        <v>4.1171928215061904</v>
      </c>
      <c r="AB354" s="198">
        <v>7.1926326129665998</v>
      </c>
      <c r="AC354" s="198">
        <v>3.3608484025862202</v>
      </c>
      <c r="AD354" s="191">
        <v>7.9265172846969199</v>
      </c>
      <c r="AE354" s="199" t="s">
        <v>207</v>
      </c>
    </row>
    <row r="355" spans="1:31" ht="12" hidden="1" customHeight="1">
      <c r="B355" s="369">
        <v>41643</v>
      </c>
      <c r="C355" s="197"/>
      <c r="D355" s="198"/>
      <c r="E355" s="198"/>
      <c r="F355" s="198"/>
      <c r="G355" s="198"/>
      <c r="H355" s="198"/>
      <c r="I355" s="198"/>
      <c r="J355" s="198"/>
      <c r="K355" s="198"/>
      <c r="L355" s="191"/>
      <c r="M355" s="198"/>
      <c r="N355" s="198"/>
      <c r="O355" s="198"/>
      <c r="P355" s="198"/>
      <c r="Q355" s="198"/>
      <c r="R355" s="198"/>
      <c r="S355" s="198"/>
      <c r="T355" s="198"/>
      <c r="U355" s="198"/>
      <c r="V355" s="198"/>
      <c r="W355" s="198"/>
      <c r="X355" s="198"/>
      <c r="Y355" s="197"/>
      <c r="Z355" s="198"/>
      <c r="AA355" s="198"/>
      <c r="AB355" s="198"/>
      <c r="AC355" s="198"/>
      <c r="AD355" s="191"/>
      <c r="AE355" s="374">
        <f>+B355</f>
        <v>41643</v>
      </c>
    </row>
    <row r="356" spans="1:31" ht="12" hidden="1" customHeight="1">
      <c r="B356" s="368" t="s">
        <v>184</v>
      </c>
      <c r="C356" s="197">
        <v>9.3151785851461231</v>
      </c>
      <c r="D356" s="198">
        <v>5.6574289428355318</v>
      </c>
      <c r="E356" s="198">
        <v>9.7253732054530424</v>
      </c>
      <c r="F356" s="198">
        <v>8.1893455420190904</v>
      </c>
      <c r="G356" s="198">
        <v>5.7856215810967964</v>
      </c>
      <c r="H356" s="198">
        <v>6.9961879552921991</v>
      </c>
      <c r="I356" s="198">
        <v>5.8317506068989866</v>
      </c>
      <c r="J356" s="198">
        <v>9.4627954895184168</v>
      </c>
      <c r="K356" s="198">
        <v>9.7989237755040506</v>
      </c>
      <c r="L356" s="191">
        <v>12.183791808585552</v>
      </c>
      <c r="M356" s="198">
        <v>14.452596758088932</v>
      </c>
      <c r="N356" s="198">
        <v>11.574116514726382</v>
      </c>
      <c r="O356" s="198">
        <v>17.898763110870771</v>
      </c>
      <c r="P356" s="198">
        <v>9.5892273592277171</v>
      </c>
      <c r="Q356" s="198">
        <v>15.98177931687502</v>
      </c>
      <c r="R356" s="198">
        <v>13.387383879802247</v>
      </c>
      <c r="S356" s="198">
        <v>17.31529882807525</v>
      </c>
      <c r="T356" s="198">
        <v>18.125898529172623</v>
      </c>
      <c r="U356" s="198">
        <v>16.097693443996718</v>
      </c>
      <c r="V356" s="198">
        <v>12.994782293814131</v>
      </c>
      <c r="W356" s="198">
        <v>9.1604713430457814</v>
      </c>
      <c r="X356" s="191">
        <v>7.7635084554261091</v>
      </c>
      <c r="Y356" s="197">
        <v>10.048143635013266</v>
      </c>
      <c r="Z356" s="198">
        <v>2.2333333333333298</v>
      </c>
      <c r="AA356" s="198">
        <v>12.6210211046876</v>
      </c>
      <c r="AB356" s="198">
        <v>11.4444444444444</v>
      </c>
      <c r="AC356" s="198">
        <v>8.1508192560977992</v>
      </c>
      <c r="AD356" s="191">
        <v>9.0612946146514908</v>
      </c>
      <c r="AE356" s="199" t="s">
        <v>350</v>
      </c>
    </row>
    <row r="357" spans="1:31" ht="12" hidden="1" customHeight="1">
      <c r="B357" s="368" t="s">
        <v>351</v>
      </c>
      <c r="C357" s="197">
        <v>9.6385763746616355</v>
      </c>
      <c r="D357" s="198">
        <v>3.4783787550976464</v>
      </c>
      <c r="E357" s="198">
        <v>10.131208816310421</v>
      </c>
      <c r="F357" s="198">
        <v>10.471747479390499</v>
      </c>
      <c r="G357" s="198">
        <v>7.2253163800580547</v>
      </c>
      <c r="H357" s="198">
        <v>6.6024689229829878</v>
      </c>
      <c r="I357" s="198">
        <v>5.1214967413425301</v>
      </c>
      <c r="J357" s="198">
        <v>8.8716541847312111</v>
      </c>
      <c r="K357" s="198">
        <v>10.4132743935773</v>
      </c>
      <c r="L357" s="191">
        <v>11.189026625332968</v>
      </c>
      <c r="M357" s="198">
        <v>14.787157712109964</v>
      </c>
      <c r="N357" s="198">
        <v>10.97041807854737</v>
      </c>
      <c r="O357" s="198">
        <v>20.830846303725892</v>
      </c>
      <c r="P357" s="198">
        <v>11.335716125567574</v>
      </c>
      <c r="Q357" s="198">
        <v>14.225442105046781</v>
      </c>
      <c r="R357" s="198">
        <v>11.202969681666977</v>
      </c>
      <c r="S357" s="198">
        <v>12.18566950787565</v>
      </c>
      <c r="T357" s="198">
        <v>16.038689707679765</v>
      </c>
      <c r="U357" s="198">
        <v>17.454356960326777</v>
      </c>
      <c r="V357" s="198">
        <v>14.373123050860473</v>
      </c>
      <c r="W357" s="198">
        <v>10.701156335558359</v>
      </c>
      <c r="X357" s="191">
        <v>7.4437023251589078</v>
      </c>
      <c r="Y357" s="197">
        <v>4.1833509847964638</v>
      </c>
      <c r="Z357" s="198">
        <v>2.1201887390522498</v>
      </c>
      <c r="AA357" s="198">
        <v>13.485764449084201</v>
      </c>
      <c r="AB357" s="198">
        <v>2.6872663294479899</v>
      </c>
      <c r="AC357" s="198">
        <v>5.4603895887131602</v>
      </c>
      <c r="AD357" s="191">
        <v>7.9261139540057801</v>
      </c>
      <c r="AE357" s="199" t="s">
        <v>207</v>
      </c>
    </row>
    <row r="358" spans="1:31" ht="12" hidden="1" customHeight="1">
      <c r="B358" s="369">
        <v>41644</v>
      </c>
      <c r="C358" s="197"/>
      <c r="D358" s="198"/>
      <c r="E358" s="198"/>
      <c r="F358" s="198"/>
      <c r="G358" s="198"/>
      <c r="H358" s="198"/>
      <c r="I358" s="198"/>
      <c r="J358" s="198"/>
      <c r="K358" s="198"/>
      <c r="L358" s="191"/>
      <c r="M358" s="198"/>
      <c r="N358" s="198"/>
      <c r="O358" s="198"/>
      <c r="P358" s="198"/>
      <c r="Q358" s="198"/>
      <c r="R358" s="198"/>
      <c r="S358" s="198"/>
      <c r="T358" s="198"/>
      <c r="U358" s="198"/>
      <c r="V358" s="198"/>
      <c r="W358" s="198"/>
      <c r="X358" s="198"/>
      <c r="Y358" s="197"/>
      <c r="Z358" s="198"/>
      <c r="AA358" s="198"/>
      <c r="AB358" s="198"/>
      <c r="AC358" s="198"/>
      <c r="AD358" s="191"/>
      <c r="AE358" s="374">
        <f>+B358</f>
        <v>41644</v>
      </c>
    </row>
    <row r="359" spans="1:31" ht="12" hidden="1" customHeight="1">
      <c r="B359" s="368" t="s">
        <v>184</v>
      </c>
      <c r="C359" s="197">
        <v>9.1579732167241747</v>
      </c>
      <c r="D359" s="198">
        <v>5.7210351715609677</v>
      </c>
      <c r="E359" s="198">
        <v>9.5498014201292278</v>
      </c>
      <c r="F359" s="198">
        <v>7.274786281386401</v>
      </c>
      <c r="G359" s="198">
        <v>5.5068783221871973</v>
      </c>
      <c r="H359" s="198">
        <v>6.5752453873776835</v>
      </c>
      <c r="I359" s="198">
        <v>5.351680517187579</v>
      </c>
      <c r="J359" s="198">
        <v>9.1909630114097887</v>
      </c>
      <c r="K359" s="198">
        <v>9.7486385680021854</v>
      </c>
      <c r="L359" s="191">
        <v>12.082756448418504</v>
      </c>
      <c r="M359" s="198">
        <v>14.195979534287781</v>
      </c>
      <c r="N359" s="198">
        <v>11.352062452356964</v>
      </c>
      <c r="O359" s="198">
        <v>17.585702084226039</v>
      </c>
      <c r="P359" s="198">
        <v>9.4152419638906526</v>
      </c>
      <c r="Q359" s="198">
        <v>15.426760450683505</v>
      </c>
      <c r="R359" s="198">
        <v>14.164568215772317</v>
      </c>
      <c r="S359" s="198">
        <v>17.918054460635936</v>
      </c>
      <c r="T359" s="198">
        <v>17.642106929482754</v>
      </c>
      <c r="U359" s="198">
        <v>16.020574100963529</v>
      </c>
      <c r="V359" s="198">
        <v>12.230141880774628</v>
      </c>
      <c r="W359" s="198">
        <v>9.3920970374982762</v>
      </c>
      <c r="X359" s="191">
        <v>7.7957630379189231</v>
      </c>
      <c r="Y359" s="197">
        <v>10.133558819850807</v>
      </c>
      <c r="Z359" s="198">
        <v>2.9</v>
      </c>
      <c r="AA359" s="198">
        <v>13.0108983039917</v>
      </c>
      <c r="AB359" s="198">
        <v>8</v>
      </c>
      <c r="AC359" s="198">
        <v>8.5129801699516996</v>
      </c>
      <c r="AD359" s="191">
        <v>8.8849966189832195</v>
      </c>
      <c r="AE359" s="199" t="s">
        <v>350</v>
      </c>
    </row>
    <row r="360" spans="1:31" ht="12" hidden="1" customHeight="1">
      <c r="B360" s="368" t="s">
        <v>351</v>
      </c>
      <c r="C360" s="197">
        <v>9.6395330671180357</v>
      </c>
      <c r="D360" s="198">
        <v>3.474920476434824</v>
      </c>
      <c r="E360" s="198">
        <v>10.158198613797207</v>
      </c>
      <c r="F360" s="198">
        <v>10.0317335459972</v>
      </c>
      <c r="G360" s="198">
        <v>5.4435696025994886</v>
      </c>
      <c r="H360" s="198">
        <v>6.4153824480902077</v>
      </c>
      <c r="I360" s="198">
        <v>4.5937692097409197</v>
      </c>
      <c r="J360" s="198">
        <v>8.8151235288269216</v>
      </c>
      <c r="K360" s="198">
        <v>10.505976317464857</v>
      </c>
      <c r="L360" s="191">
        <v>11.768748913697079</v>
      </c>
      <c r="M360" s="198">
        <v>14.617161366081467</v>
      </c>
      <c r="N360" s="198">
        <v>10.797428094594808</v>
      </c>
      <c r="O360" s="198">
        <v>20.641026421373613</v>
      </c>
      <c r="P360" s="198">
        <v>11.19666115375119</v>
      </c>
      <c r="Q360" s="198">
        <v>14.189621010858888</v>
      </c>
      <c r="R360" s="198">
        <v>11.155697996057109</v>
      </c>
      <c r="S360" s="198">
        <v>11.871275646378958</v>
      </c>
      <c r="T360" s="198">
        <v>14.411900822181506</v>
      </c>
      <c r="U360" s="198">
        <v>17.799702363328159</v>
      </c>
      <c r="V360" s="198">
        <v>14.447212490141318</v>
      </c>
      <c r="W360" s="198">
        <v>10.820656411142425</v>
      </c>
      <c r="X360" s="191">
        <v>7.090633424180889</v>
      </c>
      <c r="Y360" s="197">
        <v>5.2854164264235699</v>
      </c>
      <c r="Z360" s="198">
        <v>3.4887078582328401</v>
      </c>
      <c r="AA360" s="198">
        <v>10.001803179342</v>
      </c>
      <c r="AB360" s="198">
        <v>5.0447888438936799</v>
      </c>
      <c r="AC360" s="198">
        <v>3.8980311693102201</v>
      </c>
      <c r="AD360" s="191">
        <v>7.9265963495955596</v>
      </c>
      <c r="AE360" s="199" t="s">
        <v>207</v>
      </c>
    </row>
    <row r="361" spans="1:31" ht="12" hidden="1" customHeight="1">
      <c r="B361" s="369">
        <v>41645</v>
      </c>
      <c r="C361" s="197"/>
      <c r="D361" s="198"/>
      <c r="E361" s="198"/>
      <c r="F361" s="198"/>
      <c r="G361" s="198"/>
      <c r="H361" s="198"/>
      <c r="I361" s="198"/>
      <c r="J361" s="198"/>
      <c r="K361" s="198"/>
      <c r="L361" s="191"/>
      <c r="M361" s="198"/>
      <c r="N361" s="198"/>
      <c r="O361" s="198"/>
      <c r="P361" s="198"/>
      <c r="Q361" s="198"/>
      <c r="R361" s="198"/>
      <c r="S361" s="198"/>
      <c r="T361" s="198"/>
      <c r="U361" s="198"/>
      <c r="V361" s="198"/>
      <c r="W361" s="198"/>
      <c r="X361" s="198"/>
      <c r="Y361" s="197"/>
      <c r="Z361" s="198"/>
      <c r="AA361" s="198"/>
      <c r="AB361" s="198"/>
      <c r="AC361" s="198"/>
      <c r="AD361" s="191"/>
      <c r="AE361" s="374">
        <f>+B361</f>
        <v>41645</v>
      </c>
    </row>
    <row r="362" spans="1:31" ht="12" hidden="1" customHeight="1">
      <c r="B362" s="368" t="s">
        <v>184</v>
      </c>
      <c r="C362" s="197">
        <v>9.0749943469420131</v>
      </c>
      <c r="D362" s="198">
        <v>5.7255827085130786</v>
      </c>
      <c r="E362" s="198">
        <v>9.4927950715278726</v>
      </c>
      <c r="F362" s="198">
        <v>6.0475701035679963</v>
      </c>
      <c r="G362" s="198">
        <v>5.4659493883039634</v>
      </c>
      <c r="H362" s="198">
        <v>5.8857834335020875</v>
      </c>
      <c r="I362" s="198">
        <v>5.3364424361693921</v>
      </c>
      <c r="J362" s="198">
        <v>9.1769724703924442</v>
      </c>
      <c r="K362" s="198">
        <v>9.7560928097293509</v>
      </c>
      <c r="L362" s="191">
        <v>12.057191943084407</v>
      </c>
      <c r="M362" s="198">
        <v>14.054465364110834</v>
      </c>
      <c r="N362" s="198">
        <v>10.711090522276931</v>
      </c>
      <c r="O362" s="198">
        <v>18.084794044630844</v>
      </c>
      <c r="P362" s="198">
        <v>9.6603749396851128</v>
      </c>
      <c r="Q362" s="198">
        <v>12.83208631049699</v>
      </c>
      <c r="R362" s="198">
        <v>14.295203796057256</v>
      </c>
      <c r="S362" s="198">
        <v>16.216930110364409</v>
      </c>
      <c r="T362" s="198">
        <v>16.953199111320142</v>
      </c>
      <c r="U362" s="198">
        <v>15.968533432457734</v>
      </c>
      <c r="V362" s="198">
        <v>12.360742351889485</v>
      </c>
      <c r="W362" s="198">
        <v>9.1315604113627984</v>
      </c>
      <c r="X362" s="191">
        <v>8.0929168691964435</v>
      </c>
      <c r="Y362" s="197">
        <v>9.6974188652920734</v>
      </c>
      <c r="Z362" s="198">
        <v>5.2639830508474601</v>
      </c>
      <c r="AA362" s="198">
        <v>12.400265889451299</v>
      </c>
      <c r="AB362" s="198">
        <v>9.125</v>
      </c>
      <c r="AC362" s="198">
        <v>8.9697588566043809</v>
      </c>
      <c r="AD362" s="191">
        <v>8.6967359128277799</v>
      </c>
      <c r="AE362" s="199" t="s">
        <v>350</v>
      </c>
    </row>
    <row r="363" spans="1:31" ht="12" hidden="1" customHeight="1">
      <c r="B363" s="368" t="s">
        <v>351</v>
      </c>
      <c r="C363" s="197">
        <v>8.9890125085675994</v>
      </c>
      <c r="D363" s="198">
        <v>2.8866963784782094</v>
      </c>
      <c r="E363" s="198">
        <v>10.099375877710417</v>
      </c>
      <c r="F363" s="198">
        <v>6.4189295318581214</v>
      </c>
      <c r="G363" s="198">
        <v>5.702164034727744</v>
      </c>
      <c r="H363" s="198">
        <v>6.2180640013637758</v>
      </c>
      <c r="I363" s="198">
        <v>4.1391017226017315</v>
      </c>
      <c r="J363" s="198">
        <v>7.6599167157979098</v>
      </c>
      <c r="K363" s="198">
        <v>10.454970302788739</v>
      </c>
      <c r="L363" s="191">
        <v>11.693317959197675</v>
      </c>
      <c r="M363" s="198">
        <v>14.39369816646434</v>
      </c>
      <c r="N363" s="198">
        <v>9.9348990290027341</v>
      </c>
      <c r="O363" s="198">
        <v>21.365067812112539</v>
      </c>
      <c r="P363" s="198">
        <v>14.951810136578283</v>
      </c>
      <c r="Q363" s="198">
        <v>14.845222013315084</v>
      </c>
      <c r="R363" s="198">
        <v>11.736668727171068</v>
      </c>
      <c r="S363" s="198">
        <v>10.297072342601618</v>
      </c>
      <c r="T363" s="198">
        <v>13.568507117367998</v>
      </c>
      <c r="U363" s="198">
        <v>18.307753431188178</v>
      </c>
      <c r="V363" s="198">
        <v>13.547396035832044</v>
      </c>
      <c r="W363" s="198">
        <v>10.497814682296104</v>
      </c>
      <c r="X363" s="191">
        <v>7.072351565226775</v>
      </c>
      <c r="Y363" s="197">
        <v>4.8196328564984832</v>
      </c>
      <c r="Z363" s="198">
        <v>4.7467054172776901</v>
      </c>
      <c r="AA363" s="198">
        <v>7.4490168436546007</v>
      </c>
      <c r="AB363" s="198">
        <v>5.4481584279803199</v>
      </c>
      <c r="AC363" s="198">
        <v>1.4948840581484399</v>
      </c>
      <c r="AD363" s="191">
        <v>6.6743531040143607</v>
      </c>
      <c r="AE363" s="199" t="s">
        <v>207</v>
      </c>
    </row>
    <row r="364" spans="1:31" ht="12" hidden="1" customHeight="1">
      <c r="B364" s="369">
        <v>41646</v>
      </c>
      <c r="C364" s="197"/>
      <c r="D364" s="198"/>
      <c r="E364" s="198"/>
      <c r="F364" s="198"/>
      <c r="G364" s="198"/>
      <c r="H364" s="198"/>
      <c r="I364" s="198"/>
      <c r="J364" s="198"/>
      <c r="K364" s="198"/>
      <c r="L364" s="191"/>
      <c r="M364" s="198"/>
      <c r="N364" s="198"/>
      <c r="O364" s="198"/>
      <c r="P364" s="198"/>
      <c r="Q364" s="198"/>
      <c r="R364" s="198"/>
      <c r="S364" s="198"/>
      <c r="T364" s="198"/>
      <c r="U364" s="198"/>
      <c r="V364" s="198"/>
      <c r="W364" s="198"/>
      <c r="X364" s="198"/>
      <c r="Y364" s="197"/>
      <c r="Z364" s="198"/>
      <c r="AA364" s="198"/>
      <c r="AB364" s="198"/>
      <c r="AC364" s="198"/>
      <c r="AD364" s="191"/>
      <c r="AE364" s="374">
        <f>+B364</f>
        <v>41646</v>
      </c>
    </row>
    <row r="365" spans="1:31" ht="12" hidden="1" customHeight="1">
      <c r="B365" s="368" t="s">
        <v>184</v>
      </c>
      <c r="C365" s="197">
        <v>9.0101386347106107</v>
      </c>
      <c r="D365" s="198">
        <v>5.6985774263499698</v>
      </c>
      <c r="E365" s="198">
        <v>9.4494477178255458</v>
      </c>
      <c r="F365" s="198">
        <v>7.9269944533918091</v>
      </c>
      <c r="G365" s="198">
        <v>5.4716367988731998</v>
      </c>
      <c r="H365" s="198">
        <v>5.8624556206236633</v>
      </c>
      <c r="I365" s="198">
        <v>5.354909837356761</v>
      </c>
      <c r="J365" s="198">
        <v>9.0145482638553602</v>
      </c>
      <c r="K365" s="198">
        <v>9.7425950223928552</v>
      </c>
      <c r="L365" s="191">
        <v>12.117675337293218</v>
      </c>
      <c r="M365" s="198">
        <v>14.130668674924213</v>
      </c>
      <c r="N365" s="198">
        <v>10.889310526867034</v>
      </c>
      <c r="O365" s="198">
        <v>18.036756907067719</v>
      </c>
      <c r="P365" s="198">
        <v>14.358620436451147</v>
      </c>
      <c r="Q365" s="198">
        <v>15.430951390035567</v>
      </c>
      <c r="R365" s="198">
        <v>14.777799534970098</v>
      </c>
      <c r="S365" s="198">
        <v>16.212165849133164</v>
      </c>
      <c r="T365" s="198">
        <v>17.110538973450364</v>
      </c>
      <c r="U365" s="198">
        <v>16.037652094595636</v>
      </c>
      <c r="V365" s="198">
        <v>12.329702359625923</v>
      </c>
      <c r="W365" s="198">
        <v>9.004122365067655</v>
      </c>
      <c r="X365" s="191">
        <v>8.1311550649601188</v>
      </c>
      <c r="Y365" s="197">
        <v>9.4217443231602402</v>
      </c>
      <c r="Z365" s="198">
        <v>4.1750472589792098</v>
      </c>
      <c r="AA365" s="198">
        <v>12.400265889451299</v>
      </c>
      <c r="AB365" s="198">
        <v>9.125</v>
      </c>
      <c r="AC365" s="198">
        <v>9.5570909846229792</v>
      </c>
      <c r="AD365" s="191">
        <v>8.9522624112294995</v>
      </c>
      <c r="AE365" s="199" t="s">
        <v>350</v>
      </c>
    </row>
    <row r="366" spans="1:31" ht="12" hidden="1" customHeight="1">
      <c r="B366" s="368" t="s">
        <v>351</v>
      </c>
      <c r="C366" s="197">
        <v>9.4967666096898249</v>
      </c>
      <c r="D366" s="198">
        <v>3.6936950843113308</v>
      </c>
      <c r="E366" s="198">
        <v>10.058878373027779</v>
      </c>
      <c r="F366" s="198">
        <v>6.5174869386801122</v>
      </c>
      <c r="G366" s="198">
        <v>5.1344300339694078</v>
      </c>
      <c r="H366" s="198">
        <v>6.3346482568851243</v>
      </c>
      <c r="I366" s="198">
        <v>6.5459808892728581</v>
      </c>
      <c r="J366" s="198">
        <v>8.8319273460483014</v>
      </c>
      <c r="K366" s="198">
        <v>10.230262844369511</v>
      </c>
      <c r="L366" s="191">
        <v>11.712809851206535</v>
      </c>
      <c r="M366" s="198">
        <v>14.844169657225816</v>
      </c>
      <c r="N366" s="198">
        <v>10.529595945802718</v>
      </c>
      <c r="O366" s="198">
        <v>21.425932744378688</v>
      </c>
      <c r="P366" s="198">
        <v>15.205249883955586</v>
      </c>
      <c r="Q366" s="198">
        <v>14.68768706907683</v>
      </c>
      <c r="R366" s="198">
        <v>11.764256496752013</v>
      </c>
      <c r="S366" s="198">
        <v>12.858612002521012</v>
      </c>
      <c r="T366" s="198">
        <v>15.016345123547193</v>
      </c>
      <c r="U366" s="198">
        <v>18.277463501053401</v>
      </c>
      <c r="V366" s="198">
        <v>14.112659691498616</v>
      </c>
      <c r="W366" s="198">
        <v>10.509191863567883</v>
      </c>
      <c r="X366" s="191">
        <v>7.069047161682704</v>
      </c>
      <c r="Y366" s="197">
        <v>4.2653664838556633</v>
      </c>
      <c r="Z366" s="198">
        <v>4.0695950149496696</v>
      </c>
      <c r="AA366" s="198">
        <v>6.9417245145542097</v>
      </c>
      <c r="AB366" s="198">
        <v>5.0651210509959501</v>
      </c>
      <c r="AC366" s="198">
        <v>1.18180722573317</v>
      </c>
      <c r="AD366" s="191">
        <v>6.8678449308356297</v>
      </c>
      <c r="AE366" s="199" t="s">
        <v>207</v>
      </c>
    </row>
    <row r="367" spans="1:31" ht="12" hidden="1" customHeight="1">
      <c r="B367" s="369">
        <v>41647</v>
      </c>
      <c r="C367" s="197"/>
      <c r="E367" s="198"/>
      <c r="F367" s="198"/>
      <c r="G367" s="198"/>
      <c r="H367" s="198"/>
      <c r="I367" s="198"/>
      <c r="J367" s="198"/>
      <c r="K367" s="198"/>
      <c r="L367" s="191"/>
      <c r="M367" s="197"/>
      <c r="N367" s="198"/>
      <c r="O367" s="198"/>
      <c r="P367" s="198"/>
      <c r="Q367" s="198"/>
      <c r="R367" s="198"/>
      <c r="S367" s="198"/>
      <c r="T367" s="198"/>
      <c r="U367" s="198"/>
      <c r="V367" s="198"/>
      <c r="W367" s="198"/>
      <c r="X367" s="191"/>
      <c r="Y367" s="197"/>
      <c r="Z367" s="198"/>
      <c r="AA367" s="198"/>
      <c r="AB367" s="198"/>
      <c r="AC367" s="198"/>
      <c r="AD367" s="191"/>
      <c r="AE367" s="374">
        <f>+B367</f>
        <v>41647</v>
      </c>
    </row>
    <row r="368" spans="1:31" ht="12" hidden="1" customHeight="1">
      <c r="B368" s="368" t="s">
        <v>184</v>
      </c>
      <c r="C368" s="197">
        <v>8.9833696612956633</v>
      </c>
      <c r="D368" s="198">
        <v>5.6030845607852005</v>
      </c>
      <c r="E368" s="198">
        <v>9.4551944937467365</v>
      </c>
      <c r="F368" s="198">
        <v>6.404932642055515</v>
      </c>
      <c r="G368" s="198">
        <v>5.189792716096969</v>
      </c>
      <c r="H368" s="198">
        <v>5.7972656326871004</v>
      </c>
      <c r="I368" s="198">
        <v>5.8142714258282577</v>
      </c>
      <c r="J368" s="198">
        <v>8.9738290333905208</v>
      </c>
      <c r="K368" s="198">
        <v>9.8914503427232816</v>
      </c>
      <c r="L368" s="191">
        <v>12.449509676782556</v>
      </c>
      <c r="M368" s="197">
        <v>14.355794281446773</v>
      </c>
      <c r="N368" s="198">
        <v>11.094085488213903</v>
      </c>
      <c r="O368" s="198">
        <v>18.489747672156877</v>
      </c>
      <c r="P368" s="198">
        <v>14.524062935540089</v>
      </c>
      <c r="Q368" s="198">
        <v>16.447608249015442</v>
      </c>
      <c r="R368" s="198">
        <v>14.794664941453279</v>
      </c>
      <c r="S368" s="198">
        <v>14.499218257103863</v>
      </c>
      <c r="T368" s="198">
        <v>18.669243182146332</v>
      </c>
      <c r="U368" s="198">
        <v>16.064663680580299</v>
      </c>
      <c r="V368" s="198">
        <v>12.494907271859075</v>
      </c>
      <c r="W368" s="198">
        <v>9.090117781234591</v>
      </c>
      <c r="X368" s="191">
        <v>8.336429401480757</v>
      </c>
      <c r="Y368" s="197">
        <v>9.5807301060844186</v>
      </c>
      <c r="Z368" s="198">
        <v>5.81172413793103</v>
      </c>
      <c r="AA368" s="198">
        <v>11.922090098689701</v>
      </c>
      <c r="AB368" s="198">
        <v>6.8571428571428603</v>
      </c>
      <c r="AC368" s="198">
        <v>9.0274825658463502</v>
      </c>
      <c r="AD368" s="191">
        <v>9.0397376489035608</v>
      </c>
      <c r="AE368" s="199" t="s">
        <v>350</v>
      </c>
    </row>
    <row r="369" spans="2:31" ht="12" hidden="1" customHeight="1">
      <c r="B369" s="368" t="s">
        <v>351</v>
      </c>
      <c r="C369" s="197">
        <v>9.4667463621534775</v>
      </c>
      <c r="D369" s="198">
        <v>3.4514250245718814</v>
      </c>
      <c r="E369" s="198">
        <v>10.03773795686304</v>
      </c>
      <c r="F369" s="198">
        <v>4.3035247690111209</v>
      </c>
      <c r="G369" s="198">
        <v>5.2109006726851312</v>
      </c>
      <c r="H369" s="198">
        <v>6.1431510017487669</v>
      </c>
      <c r="I369" s="198">
        <v>6.9603914731473724</v>
      </c>
      <c r="J369" s="198">
        <v>8.8781019385016791</v>
      </c>
      <c r="K369" s="198">
        <v>10.233877910456503</v>
      </c>
      <c r="L369" s="191">
        <v>11.883338602709179</v>
      </c>
      <c r="M369" s="197">
        <v>14.641773445608612</v>
      </c>
      <c r="N369" s="198">
        <v>10.544223195367254</v>
      </c>
      <c r="O369" s="198">
        <v>21.330807336187014</v>
      </c>
      <c r="P369" s="198">
        <v>15.201097581498567</v>
      </c>
      <c r="Q369" s="198">
        <v>14.850588542218219</v>
      </c>
      <c r="R369" s="198">
        <v>11.874173839108668</v>
      </c>
      <c r="S369" s="198">
        <v>12.946962174290569</v>
      </c>
      <c r="T369" s="198">
        <v>15.099792268515621</v>
      </c>
      <c r="U369" s="198">
        <v>18.215550440246705</v>
      </c>
      <c r="V369" s="198">
        <v>13.922777567877793</v>
      </c>
      <c r="W369" s="198">
        <v>10.199309417991451</v>
      </c>
      <c r="X369" s="191">
        <v>7.2599455933946633</v>
      </c>
      <c r="Y369" s="197">
        <v>4.2233262431956051</v>
      </c>
      <c r="Z369" s="198">
        <v>3.6407655615144701</v>
      </c>
      <c r="AA369" s="198">
        <v>7.0909214667757903</v>
      </c>
      <c r="AB369" s="198">
        <v>2</v>
      </c>
      <c r="AC369" s="198">
        <v>1.17542481702518</v>
      </c>
      <c r="AD369" s="191">
        <v>8.1343273094574098</v>
      </c>
      <c r="AE369" s="199" t="s">
        <v>207</v>
      </c>
    </row>
    <row r="370" spans="2:31" ht="12" hidden="1" customHeight="1">
      <c r="B370" s="369">
        <v>41648</v>
      </c>
      <c r="C370" s="197"/>
      <c r="E370" s="198"/>
      <c r="F370" s="198"/>
      <c r="G370" s="198"/>
      <c r="H370" s="198"/>
      <c r="I370" s="198"/>
      <c r="J370" s="198"/>
      <c r="K370" s="198"/>
      <c r="L370" s="191"/>
      <c r="M370" s="197"/>
      <c r="N370" s="198"/>
      <c r="O370" s="198"/>
      <c r="P370" s="198"/>
      <c r="Q370" s="198"/>
      <c r="R370" s="198"/>
      <c r="S370" s="198"/>
      <c r="T370" s="198"/>
      <c r="U370" s="198"/>
      <c r="V370" s="198"/>
      <c r="W370" s="198"/>
      <c r="X370" s="191"/>
      <c r="Y370" s="197"/>
      <c r="Z370" s="198"/>
      <c r="AA370" s="198"/>
      <c r="AB370" s="198"/>
      <c r="AC370" s="198"/>
      <c r="AD370" s="191"/>
      <c r="AE370" s="374">
        <f>+B370</f>
        <v>41648</v>
      </c>
    </row>
    <row r="371" spans="2:31" ht="12" hidden="1" customHeight="1">
      <c r="B371" s="368" t="s">
        <v>184</v>
      </c>
      <c r="C371" s="197">
        <v>8.9167549785090898</v>
      </c>
      <c r="D371" s="198">
        <v>5.4724610968121485</v>
      </c>
      <c r="E371" s="198">
        <v>9.4312218409064723</v>
      </c>
      <c r="F371" s="198">
        <v>5.5950579021482598</v>
      </c>
      <c r="G371" s="198">
        <v>5.0412805622462171</v>
      </c>
      <c r="H371" s="198">
        <v>6.0349998095827395</v>
      </c>
      <c r="I371" s="198">
        <v>5.6429620470559296</v>
      </c>
      <c r="J371" s="198">
        <v>8.9984426573883738</v>
      </c>
      <c r="K371" s="198">
        <v>9.6218962777142192</v>
      </c>
      <c r="L371" s="191">
        <v>11.914698608906098</v>
      </c>
      <c r="M371" s="197">
        <v>14.30666743385961</v>
      </c>
      <c r="N371" s="198">
        <v>10.964768210721259</v>
      </c>
      <c r="O371" s="198">
        <v>18.29381610416301</v>
      </c>
      <c r="P371" s="198">
        <v>14.331089779748325</v>
      </c>
      <c r="Q371" s="198">
        <v>16.655991793229081</v>
      </c>
      <c r="R371" s="198">
        <v>14.994081988314496</v>
      </c>
      <c r="S371" s="198">
        <v>15.090339301804413</v>
      </c>
      <c r="T371" s="198">
        <v>17.278670498613337</v>
      </c>
      <c r="U371" s="198">
        <v>16.289479955561536</v>
      </c>
      <c r="V371" s="198">
        <v>12.583477108010065</v>
      </c>
      <c r="W371" s="198">
        <v>9.0091982415609611</v>
      </c>
      <c r="X371" s="191">
        <v>8.3003376728205644</v>
      </c>
      <c r="Y371" s="197">
        <v>9.6583511222979173</v>
      </c>
      <c r="Z371" s="198">
        <v>5.7305220883534096</v>
      </c>
      <c r="AA371" s="198">
        <v>12.061607330897001</v>
      </c>
      <c r="AB371" s="198">
        <v>8.56</v>
      </c>
      <c r="AC371" s="198">
        <v>8.73276167310555</v>
      </c>
      <c r="AD371" s="191">
        <v>8.74591530379152</v>
      </c>
      <c r="AE371" s="199" t="s">
        <v>350</v>
      </c>
    </row>
    <row r="372" spans="2:31" ht="12" hidden="1" customHeight="1">
      <c r="B372" s="368" t="s">
        <v>351</v>
      </c>
      <c r="C372" s="197">
        <v>9.3911260986846568</v>
      </c>
      <c r="D372" s="198">
        <v>3.5329090887603787</v>
      </c>
      <c r="E372" s="198">
        <v>9.958660927243896</v>
      </c>
      <c r="F372" s="198">
        <v>4.7672211632146153</v>
      </c>
      <c r="G372" s="198">
        <v>4.6551467818668426</v>
      </c>
      <c r="H372" s="198">
        <v>6.6048051093101261</v>
      </c>
      <c r="I372" s="198">
        <v>6.9619145045274893</v>
      </c>
      <c r="J372" s="198">
        <v>8.7878221210761271</v>
      </c>
      <c r="K372" s="198">
        <v>10.125521917766525</v>
      </c>
      <c r="L372" s="191">
        <v>11.560298633417009</v>
      </c>
      <c r="M372" s="197">
        <v>14.539179710778031</v>
      </c>
      <c r="N372" s="198">
        <v>10.121651216898551</v>
      </c>
      <c r="O372" s="198">
        <v>21.095034969738588</v>
      </c>
      <c r="P372" s="198">
        <v>15.668369907839317</v>
      </c>
      <c r="Q372" s="198">
        <v>14.242988853685768</v>
      </c>
      <c r="R372" s="198">
        <v>11.730307033304582</v>
      </c>
      <c r="S372" s="198">
        <v>12.865063847306914</v>
      </c>
      <c r="T372" s="198">
        <v>12.909530376394201</v>
      </c>
      <c r="U372" s="198">
        <v>18.508436200412259</v>
      </c>
      <c r="V372" s="198">
        <v>14.031925528391437</v>
      </c>
      <c r="W372" s="198">
        <v>10.528884466134492</v>
      </c>
      <c r="X372" s="191">
        <v>7.4839826583152016</v>
      </c>
      <c r="Y372" s="197">
        <v>5.0071855458082339</v>
      </c>
      <c r="Z372" s="198">
        <v>4.1451303496853997</v>
      </c>
      <c r="AA372" s="198">
        <v>6.98771130428484</v>
      </c>
      <c r="AB372" s="198">
        <v>8</v>
      </c>
      <c r="AC372" s="198">
        <v>1</v>
      </c>
      <c r="AD372" s="191">
        <v>16.682583952917501</v>
      </c>
      <c r="AE372" s="199" t="s">
        <v>207</v>
      </c>
    </row>
    <row r="373" spans="2:31" ht="12" hidden="1" customHeight="1">
      <c r="B373" s="369">
        <v>41649</v>
      </c>
      <c r="C373" s="197"/>
      <c r="E373" s="198"/>
      <c r="F373" s="198"/>
      <c r="G373" s="198"/>
      <c r="H373" s="198"/>
      <c r="I373" s="198"/>
      <c r="J373" s="198"/>
      <c r="K373" s="198"/>
      <c r="L373" s="191"/>
      <c r="M373" s="197"/>
      <c r="N373" s="198"/>
      <c r="O373" s="198"/>
      <c r="P373" s="198"/>
      <c r="Q373" s="198"/>
      <c r="R373" s="198"/>
      <c r="S373" s="198"/>
      <c r="T373" s="198"/>
      <c r="U373" s="198"/>
      <c r="V373" s="198"/>
      <c r="W373" s="198"/>
      <c r="X373" s="191"/>
      <c r="Y373" s="197"/>
      <c r="Z373" s="198"/>
      <c r="AA373" s="198"/>
      <c r="AB373" s="198"/>
      <c r="AC373" s="198"/>
      <c r="AD373" s="191"/>
      <c r="AE373" s="374">
        <f>+B373</f>
        <v>41649</v>
      </c>
    </row>
    <row r="374" spans="2:31" ht="12" hidden="1" customHeight="1">
      <c r="B374" s="368" t="s">
        <v>184</v>
      </c>
      <c r="C374" s="197">
        <v>8.8474160469473162</v>
      </c>
      <c r="D374" s="198">
        <v>5.4043965671967378</v>
      </c>
      <c r="E374" s="198">
        <v>9.4057196280001918</v>
      </c>
      <c r="F374" s="198">
        <v>5.2219697317351352</v>
      </c>
      <c r="G374" s="198">
        <v>4.7440900930324617</v>
      </c>
      <c r="H374" s="198">
        <v>6.2030027707874345</v>
      </c>
      <c r="I374" s="198">
        <v>5.6757359517668018</v>
      </c>
      <c r="J374" s="198">
        <v>8.994592586901712</v>
      </c>
      <c r="K374" s="198">
        <v>9.4761203109291436</v>
      </c>
      <c r="L374" s="191">
        <v>11.867311464869744</v>
      </c>
      <c r="M374" s="197">
        <v>14.330010278905917</v>
      </c>
      <c r="N374" s="198">
        <v>11.028540921189716</v>
      </c>
      <c r="O374" s="198">
        <v>18.483948891942756</v>
      </c>
      <c r="P374" s="198">
        <v>14.476134394543243</v>
      </c>
      <c r="Q374" s="198">
        <v>15.742876761081002</v>
      </c>
      <c r="R374" s="198">
        <v>14.460093771426019</v>
      </c>
      <c r="S374" s="198">
        <v>14.340120344580411</v>
      </c>
      <c r="T374" s="198">
        <v>18.013629099457066</v>
      </c>
      <c r="U374" s="198">
        <v>16.279885130629314</v>
      </c>
      <c r="V374" s="198">
        <v>12.59247959812746</v>
      </c>
      <c r="W374" s="198">
        <v>8.938918950216987</v>
      </c>
      <c r="X374" s="191">
        <v>8.1777618791951578</v>
      </c>
      <c r="Y374" s="197">
        <v>7.8612073876195696</v>
      </c>
      <c r="Z374" s="198">
        <v>5.7604081632653097</v>
      </c>
      <c r="AA374" s="198">
        <v>8.7531030661248597</v>
      </c>
      <c r="AB374" s="198">
        <v>9.2319999999999993</v>
      </c>
      <c r="AC374" s="198">
        <v>7.4777922221252</v>
      </c>
      <c r="AD374" s="191">
        <v>8.4425390100745297</v>
      </c>
      <c r="AE374" s="199" t="s">
        <v>350</v>
      </c>
    </row>
    <row r="375" spans="2:31" ht="12" hidden="1" customHeight="1">
      <c r="B375" s="368" t="s">
        <v>351</v>
      </c>
      <c r="C375" s="197">
        <v>9.0039621694609977</v>
      </c>
      <c r="D375" s="198">
        <v>3.2669837170973315</v>
      </c>
      <c r="E375" s="198">
        <v>9.9849085698753282</v>
      </c>
      <c r="F375" s="198">
        <v>5.3691616080384676</v>
      </c>
      <c r="G375" s="198">
        <v>4.6969809992588401</v>
      </c>
      <c r="H375" s="198">
        <v>6.6336180681035914</v>
      </c>
      <c r="I375" s="198">
        <v>6.9247905290324088</v>
      </c>
      <c r="J375" s="198">
        <v>7.8854408782571017</v>
      </c>
      <c r="K375" s="198">
        <v>10.188381433862716</v>
      </c>
      <c r="L375" s="191">
        <v>11.50705983293947</v>
      </c>
      <c r="M375" s="197">
        <v>14.295792122335673</v>
      </c>
      <c r="N375" s="198">
        <v>9.9014581106577602</v>
      </c>
      <c r="O375" s="198">
        <v>21.319305561799339</v>
      </c>
      <c r="P375" s="198">
        <v>15.327869540682686</v>
      </c>
      <c r="Q375" s="198">
        <v>14.722070128889346</v>
      </c>
      <c r="R375" s="198">
        <v>12.77933301569756</v>
      </c>
      <c r="S375" s="198">
        <v>13.192088962033699</v>
      </c>
      <c r="T375" s="198">
        <v>13.039861141331549</v>
      </c>
      <c r="U375" s="198">
        <v>18.340092655731791</v>
      </c>
      <c r="V375" s="198">
        <v>14.608484769387182</v>
      </c>
      <c r="W375" s="198">
        <v>9.6224978779355226</v>
      </c>
      <c r="X375" s="191">
        <v>7.2281608262027532</v>
      </c>
      <c r="Y375" s="197">
        <v>4.6342922276313452</v>
      </c>
      <c r="Z375" s="198">
        <v>4.0625666857179503</v>
      </c>
      <c r="AA375" s="198">
        <v>5.3392032680619304</v>
      </c>
      <c r="AB375" s="198">
        <v>8</v>
      </c>
      <c r="AC375" s="198">
        <v>1</v>
      </c>
      <c r="AD375" s="191">
        <v>16.789718749999999</v>
      </c>
      <c r="AE375" s="199" t="s">
        <v>207</v>
      </c>
    </row>
    <row r="376" spans="2:31" ht="12" hidden="1" customHeight="1">
      <c r="B376" s="369">
        <v>41650</v>
      </c>
      <c r="C376" s="197"/>
      <c r="E376" s="198"/>
      <c r="F376" s="198"/>
      <c r="G376" s="198"/>
      <c r="H376" s="198"/>
      <c r="I376" s="198"/>
      <c r="J376" s="198"/>
      <c r="K376" s="198"/>
      <c r="L376" s="191"/>
      <c r="M376" s="197"/>
      <c r="N376" s="198"/>
      <c r="O376" s="198"/>
      <c r="P376" s="198"/>
      <c r="Q376" s="198"/>
      <c r="R376" s="198"/>
      <c r="S376" s="198"/>
      <c r="T376" s="198"/>
      <c r="U376" s="198"/>
      <c r="V376" s="198"/>
      <c r="W376" s="198"/>
      <c r="X376" s="191"/>
      <c r="Y376" s="197"/>
      <c r="Z376" s="198"/>
      <c r="AA376" s="198"/>
      <c r="AB376" s="198"/>
      <c r="AC376" s="198"/>
      <c r="AD376" s="191"/>
      <c r="AE376" s="374">
        <f>+B376</f>
        <v>41650</v>
      </c>
    </row>
    <row r="377" spans="2:31" ht="12" hidden="1" customHeight="1">
      <c r="B377" s="368" t="s">
        <v>184</v>
      </c>
      <c r="C377" s="197">
        <v>8.7651000631326195</v>
      </c>
      <c r="D377" s="198">
        <v>5.4034388723182882</v>
      </c>
      <c r="E377" s="198">
        <v>9.3900790866800765</v>
      </c>
      <c r="F377" s="198">
        <v>6.3421131341187937</v>
      </c>
      <c r="G377" s="198">
        <v>4.6695664017388818</v>
      </c>
      <c r="H377" s="198">
        <v>6.235661078839855</v>
      </c>
      <c r="I377" s="198">
        <v>5.8476376468517053</v>
      </c>
      <c r="J377" s="198">
        <v>8.9521506267174704</v>
      </c>
      <c r="K377" s="198">
        <v>9.2874213149262239</v>
      </c>
      <c r="L377" s="191">
        <v>11.835786763863306</v>
      </c>
      <c r="M377" s="197">
        <v>14.14289476620884</v>
      </c>
      <c r="N377" s="198">
        <v>10.637204690530625</v>
      </c>
      <c r="O377" s="198">
        <v>18.324031680078932</v>
      </c>
      <c r="P377" s="198">
        <v>13.076066013767251</v>
      </c>
      <c r="Q377" s="198">
        <v>14.777464402845748</v>
      </c>
      <c r="R377" s="198">
        <v>14.294939764511565</v>
      </c>
      <c r="S377" s="198">
        <v>15.732724356815382</v>
      </c>
      <c r="T377" s="198">
        <v>16.875628172185131</v>
      </c>
      <c r="U377" s="198">
        <v>16.319097879168243</v>
      </c>
      <c r="V377" s="198">
        <v>12.442763463475883</v>
      </c>
      <c r="W377" s="198">
        <v>8.7804910781360412</v>
      </c>
      <c r="X377" s="191">
        <v>8.1134361430866733</v>
      </c>
      <c r="Y377" s="197">
        <v>7.9446583368502504</v>
      </c>
      <c r="Z377" s="198">
        <v>2.5071428571428598</v>
      </c>
      <c r="AA377" s="198">
        <v>10.1853836451545</v>
      </c>
      <c r="AB377" s="198">
        <v>9.2588799999999996</v>
      </c>
      <c r="AC377" s="198">
        <v>6.9231999619632898</v>
      </c>
      <c r="AD377" s="191">
        <v>8.1527764106650409</v>
      </c>
      <c r="AE377" s="199" t="s">
        <v>350</v>
      </c>
    </row>
    <row r="378" spans="2:31" ht="12" hidden="1" customHeight="1">
      <c r="B378" s="368" t="s">
        <v>351</v>
      </c>
      <c r="C378" s="197">
        <v>8.9118220629155811</v>
      </c>
      <c r="D378" s="198">
        <v>4.764905113804569</v>
      </c>
      <c r="E378" s="198">
        <v>9.9315990501960396</v>
      </c>
      <c r="F378" s="198">
        <v>6.0314593116482635</v>
      </c>
      <c r="G378" s="198">
        <v>5.0096622265980759</v>
      </c>
      <c r="H378" s="198">
        <v>6.3523572185057073</v>
      </c>
      <c r="I378" s="198">
        <v>6.9261706365203421</v>
      </c>
      <c r="J378" s="198">
        <v>7.8051628442432737</v>
      </c>
      <c r="K378" s="198">
        <v>10.166293288828475</v>
      </c>
      <c r="L378" s="191">
        <v>9.3400361225415427</v>
      </c>
      <c r="M378" s="197">
        <v>14.573242540139283</v>
      </c>
      <c r="N378" s="198">
        <v>9.9017829635035906</v>
      </c>
      <c r="O378" s="198">
        <v>21.359658459438453</v>
      </c>
      <c r="P378" s="198">
        <v>14.64911101565883</v>
      </c>
      <c r="Q378" s="198">
        <v>14.677682117483847</v>
      </c>
      <c r="R378" s="198">
        <v>11.329979586606735</v>
      </c>
      <c r="S378" s="198">
        <v>13.104860344917698</v>
      </c>
      <c r="T378" s="198">
        <v>12.71117981083075</v>
      </c>
      <c r="U378" s="198">
        <v>18.928588463905303</v>
      </c>
      <c r="V378" s="198">
        <v>14.97209719521449</v>
      </c>
      <c r="W378" s="198">
        <v>9.2623715894821554</v>
      </c>
      <c r="X378" s="191">
        <v>7.9521787480256405</v>
      </c>
      <c r="Y378" s="197">
        <v>5.0281556552820428</v>
      </c>
      <c r="Z378" s="198">
        <v>4.5342016403351204</v>
      </c>
      <c r="AA378" s="198">
        <v>5.3392032680619304</v>
      </c>
      <c r="AB378" s="198">
        <v>8.25</v>
      </c>
      <c r="AC378" s="198">
        <v>1</v>
      </c>
      <c r="AD378" s="191">
        <v>16.789718749999999</v>
      </c>
      <c r="AE378" s="199" t="s">
        <v>207</v>
      </c>
    </row>
    <row r="379" spans="2:31" ht="12" hidden="1" customHeight="1">
      <c r="B379" s="369">
        <v>41651</v>
      </c>
      <c r="C379" s="197"/>
      <c r="D379" s="198"/>
      <c r="E379" s="198"/>
      <c r="F379" s="198"/>
      <c r="G379" s="198"/>
      <c r="H379" s="198"/>
      <c r="I379" s="198"/>
      <c r="J379" s="198"/>
      <c r="K379" s="198"/>
      <c r="L379" s="191"/>
      <c r="M379" s="197"/>
      <c r="N379" s="198"/>
      <c r="O379" s="198"/>
      <c r="P379" s="198"/>
      <c r="Q379" s="198"/>
      <c r="R379" s="198"/>
      <c r="S379" s="198"/>
      <c r="T379" s="198"/>
      <c r="U379" s="198"/>
      <c r="V379" s="198"/>
      <c r="W379" s="198"/>
      <c r="X379" s="191"/>
      <c r="Y379" s="197"/>
      <c r="Z379" s="198"/>
      <c r="AA379" s="198"/>
      <c r="AB379" s="198"/>
      <c r="AC379" s="198"/>
      <c r="AD379" s="191"/>
      <c r="AE379" s="374">
        <v>41651</v>
      </c>
    </row>
    <row r="380" spans="2:31" ht="12" hidden="1" customHeight="1">
      <c r="B380" s="368" t="s">
        <v>184</v>
      </c>
      <c r="C380" s="197">
        <v>8.7774271321552906</v>
      </c>
      <c r="D380" s="198">
        <v>5.3459395089978106</v>
      </c>
      <c r="E380" s="198">
        <v>9.4538708567163017</v>
      </c>
      <c r="F380" s="198">
        <v>6.56325934979</v>
      </c>
      <c r="G380" s="198">
        <v>4.606099774599568</v>
      </c>
      <c r="H380" s="198">
        <v>6.0439927090048275</v>
      </c>
      <c r="I380" s="198">
        <v>6.0065618582133924</v>
      </c>
      <c r="J380" s="198">
        <v>9.0098456173964028</v>
      </c>
      <c r="K380" s="198">
        <v>9.2988576290268483</v>
      </c>
      <c r="L380" s="191">
        <v>12.181742339028681</v>
      </c>
      <c r="M380" s="197">
        <v>13.843773750816332</v>
      </c>
      <c r="N380" s="198">
        <v>10.122169963883403</v>
      </c>
      <c r="O380" s="198">
        <v>18.515482118779868</v>
      </c>
      <c r="P380" s="198">
        <v>12.667338317787692</v>
      </c>
      <c r="Q380" s="198">
        <v>12.288937178146398</v>
      </c>
      <c r="R380" s="198">
        <v>12.972699202419587</v>
      </c>
      <c r="S380" s="198">
        <v>15.137741844706312</v>
      </c>
      <c r="T380" s="198">
        <v>18.154813084364733</v>
      </c>
      <c r="U380" s="198">
        <v>16.014407864209286</v>
      </c>
      <c r="V380" s="198">
        <v>11.404938876991489</v>
      </c>
      <c r="W380" s="198">
        <v>8.8881867552991221</v>
      </c>
      <c r="X380" s="191">
        <v>8.2102198343319692</v>
      </c>
      <c r="Y380" s="197">
        <v>7.7846597811002534</v>
      </c>
      <c r="Z380" s="198">
        <v>2.5071428571428598</v>
      </c>
      <c r="AA380" s="198">
        <v>8.23846614739365</v>
      </c>
      <c r="AB380" s="198">
        <v>8.4460714285714307</v>
      </c>
      <c r="AC380" s="198">
        <v>7.7056040882566199</v>
      </c>
      <c r="AD380" s="191">
        <v>8.5157198761413806</v>
      </c>
      <c r="AE380" s="199" t="s">
        <v>350</v>
      </c>
    </row>
    <row r="381" spans="2:31" ht="12" hidden="1" customHeight="1">
      <c r="B381" s="368" t="s">
        <v>351</v>
      </c>
      <c r="C381" s="197">
        <v>9.3731688263573449</v>
      </c>
      <c r="D381" s="198">
        <v>5.9528223564294018</v>
      </c>
      <c r="E381" s="198">
        <v>10.02173537264181</v>
      </c>
      <c r="F381" s="198">
        <v>5.1634575893160726</v>
      </c>
      <c r="G381" s="198">
        <v>4.6423645419227739</v>
      </c>
      <c r="H381" s="198">
        <v>6.0622812968743078</v>
      </c>
      <c r="I381" s="198">
        <v>7.5492248615486197</v>
      </c>
      <c r="J381" s="198">
        <v>8.7939387888303049</v>
      </c>
      <c r="K381" s="198">
        <v>10.290629842626458</v>
      </c>
      <c r="L381" s="191">
        <v>9.3069655912768887</v>
      </c>
      <c r="M381" s="197">
        <v>14.532845037996156</v>
      </c>
      <c r="N381" s="198">
        <v>9.7000528171527485</v>
      </c>
      <c r="O381" s="198">
        <v>21.966311704375912</v>
      </c>
      <c r="P381" s="198">
        <v>14.31303035405638</v>
      </c>
      <c r="Q381" s="198">
        <v>14.288957398381417</v>
      </c>
      <c r="R381" s="198">
        <v>11.702888711726191</v>
      </c>
      <c r="S381" s="198">
        <v>13.148030032626654</v>
      </c>
      <c r="T381" s="198">
        <v>12.71561975094099</v>
      </c>
      <c r="U381" s="198">
        <v>18.57217122047366</v>
      </c>
      <c r="V381" s="198">
        <v>14.715466600904179</v>
      </c>
      <c r="W381" s="198">
        <v>10.256024322478829</v>
      </c>
      <c r="X381" s="191">
        <v>7.5002781942173025</v>
      </c>
      <c r="Y381" s="197">
        <v>4.5651785827902556</v>
      </c>
      <c r="Z381" s="198">
        <v>3.5116242567225999</v>
      </c>
      <c r="AA381" s="198">
        <v>6.0561558245952201</v>
      </c>
      <c r="AB381" s="198">
        <v>8.6484403011832196</v>
      </c>
      <c r="AC381" s="198">
        <v>1.00237786668169</v>
      </c>
      <c r="AD381" s="191">
        <v>10.576702761141499</v>
      </c>
      <c r="AE381" s="199" t="s">
        <v>207</v>
      </c>
    </row>
    <row r="382" spans="2:31" ht="12" customHeight="1">
      <c r="B382" s="369">
        <v>42005</v>
      </c>
      <c r="C382" s="197"/>
      <c r="D382" s="198"/>
      <c r="E382" s="198"/>
      <c r="F382" s="198"/>
      <c r="G382" s="198"/>
      <c r="H382" s="198"/>
      <c r="I382" s="198"/>
      <c r="J382" s="198"/>
      <c r="K382" s="198"/>
      <c r="L382" s="191"/>
      <c r="M382" s="197"/>
      <c r="N382" s="198"/>
      <c r="O382" s="198"/>
      <c r="P382" s="198"/>
      <c r="Q382" s="198"/>
      <c r="R382" s="198"/>
      <c r="S382" s="198"/>
      <c r="T382" s="198"/>
      <c r="U382" s="198"/>
      <c r="V382" s="198"/>
      <c r="W382" s="198"/>
      <c r="X382" s="191"/>
      <c r="Y382" s="197"/>
      <c r="Z382" s="198"/>
      <c r="AA382" s="198"/>
      <c r="AB382" s="198"/>
      <c r="AC382" s="198"/>
      <c r="AD382" s="191"/>
      <c r="AE382" s="374">
        <v>42005</v>
      </c>
    </row>
    <row r="383" spans="2:31" ht="12" customHeight="1">
      <c r="B383" s="368" t="s">
        <v>184</v>
      </c>
      <c r="C383" s="197">
        <v>8.8626682211002397</v>
      </c>
      <c r="D383" s="198">
        <v>5.5071734280242968</v>
      </c>
      <c r="E383" s="198">
        <v>9.4502936481120976</v>
      </c>
      <c r="F383" s="198">
        <v>8.0349488911705667</v>
      </c>
      <c r="G383" s="198">
        <v>4.5458598875152125</v>
      </c>
      <c r="H383" s="198">
        <v>6.7251764853335994</v>
      </c>
      <c r="I383" s="198">
        <v>5.7773083217621952</v>
      </c>
      <c r="J383" s="198">
        <v>9.0755290305756464</v>
      </c>
      <c r="K383" s="198">
        <v>9.2649082914122971</v>
      </c>
      <c r="L383" s="191">
        <v>11.962738551213542</v>
      </c>
      <c r="M383" s="197">
        <v>13.808868012021472</v>
      </c>
      <c r="N383" s="198">
        <v>9.9850939385958775</v>
      </c>
      <c r="O383" s="198">
        <v>18.533507242235206</v>
      </c>
      <c r="P383" s="198">
        <v>12.375254025211378</v>
      </c>
      <c r="Q383" s="198">
        <v>13.306574961207057</v>
      </c>
      <c r="R383" s="198">
        <v>12.989601874648651</v>
      </c>
      <c r="S383" s="198">
        <v>14.194619435438412</v>
      </c>
      <c r="T383" s="198">
        <v>17.997493678941328</v>
      </c>
      <c r="U383" s="198">
        <v>15.940983115651457</v>
      </c>
      <c r="V383" s="198">
        <v>11.383499995430888</v>
      </c>
      <c r="W383" s="198">
        <v>9.0221576788017508</v>
      </c>
      <c r="X383" s="191">
        <v>8.2588233282663346</v>
      </c>
      <c r="Y383" s="197">
        <v>7.9380828566585553</v>
      </c>
      <c r="Z383" s="198">
        <v>2.5071428571428598</v>
      </c>
      <c r="AA383" s="198">
        <v>8.3882564409826301</v>
      </c>
      <c r="AB383" s="198">
        <v>8.1576106194690308</v>
      </c>
      <c r="AC383" s="198">
        <v>8.9370285716512594</v>
      </c>
      <c r="AD383" s="191">
        <v>8.5122139972387707</v>
      </c>
      <c r="AE383" s="199" t="s">
        <v>350</v>
      </c>
    </row>
    <row r="384" spans="2:31" ht="12" customHeight="1">
      <c r="B384" s="368" t="s">
        <v>351</v>
      </c>
      <c r="C384" s="197">
        <v>9.2351702662960786</v>
      </c>
      <c r="D384" s="198">
        <v>6.0006057991105948</v>
      </c>
      <c r="E384" s="198">
        <v>9.7765271699955179</v>
      </c>
      <c r="F384" s="198">
        <v>8.6687873140766758</v>
      </c>
      <c r="G384" s="198">
        <v>4.8788867234829683</v>
      </c>
      <c r="H384" s="198">
        <v>3.9055086616898467</v>
      </c>
      <c r="I384" s="198">
        <v>7.4513961841461303</v>
      </c>
      <c r="J384" s="198">
        <v>8.991226750432892</v>
      </c>
      <c r="K384" s="198">
        <v>10.17216331247598</v>
      </c>
      <c r="L384" s="191">
        <v>9.4669363242855553</v>
      </c>
      <c r="M384" s="197">
        <v>14.066706477003759</v>
      </c>
      <c r="N384" s="198">
        <v>9.1792493575743954</v>
      </c>
      <c r="O384" s="198">
        <v>21.524596558397572</v>
      </c>
      <c r="P384" s="198">
        <v>14.777589480897545</v>
      </c>
      <c r="Q384" s="198">
        <v>14.950937046160025</v>
      </c>
      <c r="R384" s="198">
        <v>7.8325859398941011</v>
      </c>
      <c r="S384" s="198">
        <v>12.197339501200398</v>
      </c>
      <c r="T384" s="198">
        <v>11.038273103713749</v>
      </c>
      <c r="U384" s="198">
        <v>18.088428276900554</v>
      </c>
      <c r="V384" s="198">
        <v>15.223862201824705</v>
      </c>
      <c r="W384" s="198">
        <v>10.772740274459682</v>
      </c>
      <c r="X384" s="191">
        <v>7.5020574512726999</v>
      </c>
      <c r="Y384" s="197">
        <v>4.3966045168836834</v>
      </c>
      <c r="Z384" s="198">
        <v>3.0701399110752701</v>
      </c>
      <c r="AA384" s="198">
        <v>6.0561558245952201</v>
      </c>
      <c r="AB384" s="198">
        <v>7.4659731744943398</v>
      </c>
      <c r="AC384" s="198">
        <v>3.7641130453168001</v>
      </c>
      <c r="AD384" s="191">
        <v>10.576702761141499</v>
      </c>
      <c r="AE384" s="199" t="s">
        <v>207</v>
      </c>
    </row>
    <row r="385" spans="2:31" ht="12" hidden="1" customHeight="1">
      <c r="B385" s="369">
        <v>42006</v>
      </c>
      <c r="C385" s="197"/>
      <c r="D385" s="198"/>
      <c r="E385" s="198"/>
      <c r="F385" s="198"/>
      <c r="G385" s="198"/>
      <c r="H385" s="198"/>
      <c r="I385" s="198"/>
      <c r="J385" s="198"/>
      <c r="K385" s="198"/>
      <c r="L385" s="191"/>
      <c r="M385" s="197"/>
      <c r="N385" s="198"/>
      <c r="O385" s="198"/>
      <c r="P385" s="198"/>
      <c r="Q385" s="198"/>
      <c r="R385" s="198"/>
      <c r="S385" s="198"/>
      <c r="T385" s="198"/>
      <c r="U385" s="198"/>
      <c r="V385" s="198"/>
      <c r="W385" s="198"/>
      <c r="X385" s="191"/>
      <c r="Y385" s="197"/>
      <c r="Z385" s="198"/>
      <c r="AA385" s="198"/>
      <c r="AB385" s="198"/>
      <c r="AC385" s="198"/>
      <c r="AD385" s="191"/>
      <c r="AE385" s="374">
        <v>42006</v>
      </c>
    </row>
    <row r="386" spans="2:31" ht="12" hidden="1" customHeight="1">
      <c r="B386" s="368" t="s">
        <v>184</v>
      </c>
      <c r="C386" s="197">
        <v>8.82</v>
      </c>
      <c r="D386" s="198">
        <v>5.66</v>
      </c>
      <c r="E386" s="198">
        <v>9.41</v>
      </c>
      <c r="F386" s="198">
        <v>8.06</v>
      </c>
      <c r="G386" s="198">
        <v>4.7300000000000004</v>
      </c>
      <c r="H386" s="198">
        <v>6.82</v>
      </c>
      <c r="I386" s="198">
        <v>5.46</v>
      </c>
      <c r="J386" s="198">
        <v>8.98</v>
      </c>
      <c r="K386" s="198">
        <v>9.2100000000000009</v>
      </c>
      <c r="L386" s="191">
        <v>11.93</v>
      </c>
      <c r="M386" s="197">
        <v>13.71</v>
      </c>
      <c r="N386" s="198">
        <v>9.74</v>
      </c>
      <c r="O386" s="198">
        <v>18.59</v>
      </c>
      <c r="P386" s="198">
        <v>12.98</v>
      </c>
      <c r="Q386" s="198">
        <v>13.91</v>
      </c>
      <c r="R386" s="198">
        <v>13.01</v>
      </c>
      <c r="S386" s="198">
        <v>13.99</v>
      </c>
      <c r="T386" s="198">
        <v>18.29</v>
      </c>
      <c r="U386" s="198">
        <v>15.89</v>
      </c>
      <c r="V386" s="198">
        <v>11.09</v>
      </c>
      <c r="W386" s="198">
        <v>8.81</v>
      </c>
      <c r="X386" s="191">
        <v>8.31</v>
      </c>
      <c r="Y386" s="197">
        <v>8.02</v>
      </c>
      <c r="Z386" s="198">
        <v>2.5099999999999998</v>
      </c>
      <c r="AA386" s="198">
        <v>8.52</v>
      </c>
      <c r="AB386" s="198">
        <v>8.43</v>
      </c>
      <c r="AC386" s="198">
        <v>9.0500000000000007</v>
      </c>
      <c r="AD386" s="191">
        <v>7.95</v>
      </c>
      <c r="AE386" s="199" t="s">
        <v>350</v>
      </c>
    </row>
    <row r="387" spans="2:31" ht="12" hidden="1" customHeight="1">
      <c r="B387" s="368" t="s">
        <v>351</v>
      </c>
      <c r="C387" s="197">
        <v>8.93</v>
      </c>
      <c r="D387" s="198">
        <v>4.3600000000000003</v>
      </c>
      <c r="E387" s="198">
        <v>10.050000000000001</v>
      </c>
      <c r="F387" s="198">
        <v>7.96</v>
      </c>
      <c r="G387" s="198">
        <v>3.8</v>
      </c>
      <c r="H387" s="198">
        <v>6.44</v>
      </c>
      <c r="I387" s="198">
        <v>7.58</v>
      </c>
      <c r="J387" s="198">
        <v>9.08</v>
      </c>
      <c r="K387" s="198">
        <v>10.210000000000001</v>
      </c>
      <c r="L387" s="191">
        <v>9.65</v>
      </c>
      <c r="M387" s="197">
        <v>14.28</v>
      </c>
      <c r="N387" s="198">
        <v>9.2200000000000006</v>
      </c>
      <c r="O387" s="198">
        <v>22.27</v>
      </c>
      <c r="P387" s="198">
        <v>14.2</v>
      </c>
      <c r="Q387" s="198">
        <v>14.42</v>
      </c>
      <c r="R387" s="198">
        <v>11.62</v>
      </c>
      <c r="S387" s="198">
        <v>12.24</v>
      </c>
      <c r="T387" s="198">
        <v>10.97</v>
      </c>
      <c r="U387" s="198">
        <v>18.16</v>
      </c>
      <c r="V387" s="198">
        <v>15.46</v>
      </c>
      <c r="W387" s="198">
        <v>10.55</v>
      </c>
      <c r="X387" s="191">
        <v>7.75</v>
      </c>
      <c r="Y387" s="197">
        <v>4.78</v>
      </c>
      <c r="Z387" s="198">
        <v>3.86</v>
      </c>
      <c r="AA387" s="198">
        <v>5.15</v>
      </c>
      <c r="AB387" s="198">
        <v>6.11</v>
      </c>
      <c r="AC387" s="198">
        <v>3.76</v>
      </c>
      <c r="AD387" s="191">
        <v>8.33</v>
      </c>
      <c r="AE387" s="199" t="s">
        <v>207</v>
      </c>
    </row>
    <row r="388" spans="2:31" ht="12" hidden="1" customHeight="1">
      <c r="B388" s="369">
        <v>42007</v>
      </c>
      <c r="C388" s="197"/>
      <c r="D388" s="198"/>
      <c r="E388" s="198"/>
      <c r="F388" s="198"/>
      <c r="G388" s="198"/>
      <c r="H388" s="198"/>
      <c r="I388" s="198"/>
      <c r="J388" s="198"/>
      <c r="K388" s="198"/>
      <c r="L388" s="191"/>
      <c r="M388" s="197"/>
      <c r="N388" s="198"/>
      <c r="O388" s="198"/>
      <c r="P388" s="198"/>
      <c r="Q388" s="198"/>
      <c r="R388" s="198"/>
      <c r="S388" s="198"/>
      <c r="T388" s="198"/>
      <c r="U388" s="198"/>
      <c r="V388" s="198"/>
      <c r="W388" s="198"/>
      <c r="X388" s="191"/>
      <c r="Y388" s="197"/>
      <c r="Z388" s="198"/>
      <c r="AA388" s="198"/>
      <c r="AB388" s="198"/>
      <c r="AC388" s="198"/>
      <c r="AD388" s="191"/>
      <c r="AE388" s="374">
        <v>42007</v>
      </c>
    </row>
    <row r="389" spans="2:31" ht="12" hidden="1" customHeight="1">
      <c r="B389" s="368" t="s">
        <v>184</v>
      </c>
      <c r="C389" s="197">
        <v>8.9452936423301601</v>
      </c>
      <c r="D389" s="198">
        <v>5.7803910235888996</v>
      </c>
      <c r="E389" s="198">
        <v>9.6388379035779508</v>
      </c>
      <c r="F389" s="198">
        <v>7.6508867712816748</v>
      </c>
      <c r="G389" s="198">
        <v>5.3148431984208226</v>
      </c>
      <c r="H389" s="198">
        <v>7.0414959209905801</v>
      </c>
      <c r="I389" s="198">
        <v>5.4155670446280562</v>
      </c>
      <c r="J389" s="198">
        <v>9.421578151905333</v>
      </c>
      <c r="K389" s="198">
        <v>8.868590656940091</v>
      </c>
      <c r="L389" s="191">
        <v>12.181470148898422</v>
      </c>
      <c r="M389" s="197">
        <v>14.153858707174011</v>
      </c>
      <c r="N389" s="198">
        <v>9.7773087459297408</v>
      </c>
      <c r="O389" s="198">
        <v>18.65384456885257</v>
      </c>
      <c r="P389" s="198">
        <v>16.556945676884165</v>
      </c>
      <c r="Q389" s="198">
        <v>13.744747941532522</v>
      </c>
      <c r="R389" s="198">
        <v>12.765308456781836</v>
      </c>
      <c r="S389" s="198">
        <v>13.778619158165366</v>
      </c>
      <c r="T389" s="198">
        <v>18.424180372689495</v>
      </c>
      <c r="U389" s="198">
        <v>16.380482581343664</v>
      </c>
      <c r="V389" s="198">
        <v>11.67216057091859</v>
      </c>
      <c r="W389" s="198">
        <v>8.8615153984800603</v>
      </c>
      <c r="X389" s="191">
        <v>8.1917345883275416</v>
      </c>
      <c r="Y389" s="197">
        <v>8.0723603633603549</v>
      </c>
      <c r="Z389" s="198">
        <v>2.5071428571428598</v>
      </c>
      <c r="AA389" s="198">
        <v>10.449213875717501</v>
      </c>
      <c r="AB389" s="198">
        <v>8.1537492123503501</v>
      </c>
      <c r="AC389" s="198">
        <v>8.5068187813129992</v>
      </c>
      <c r="AD389" s="191">
        <v>8.5976032506787607</v>
      </c>
      <c r="AE389" s="199" t="s">
        <v>350</v>
      </c>
    </row>
    <row r="390" spans="2:31" ht="12" hidden="1" customHeight="1">
      <c r="B390" s="368" t="s">
        <v>351</v>
      </c>
      <c r="C390" s="197">
        <v>8.7331442739580947</v>
      </c>
      <c r="D390" s="198">
        <v>4.3431561069736899</v>
      </c>
      <c r="E390" s="198">
        <v>9.5680047709059011</v>
      </c>
      <c r="F390" s="198">
        <v>6.5141263642913758</v>
      </c>
      <c r="G390" s="198">
        <v>4.5754842335172397</v>
      </c>
      <c r="H390" s="198">
        <v>6.3796542669992995</v>
      </c>
      <c r="I390" s="198">
        <v>7.4163139613885463</v>
      </c>
      <c r="J390" s="198">
        <v>8.4904497700253785</v>
      </c>
      <c r="K390" s="198">
        <v>10.102544296677912</v>
      </c>
      <c r="L390" s="191">
        <v>9.6948246178328894</v>
      </c>
      <c r="M390" s="197">
        <v>13.07741160773741</v>
      </c>
      <c r="N390" s="198">
        <v>8.8878508561252776</v>
      </c>
      <c r="O390" s="198">
        <v>21.751160026932023</v>
      </c>
      <c r="P390" s="198">
        <v>14.024389014650167</v>
      </c>
      <c r="Q390" s="198">
        <v>14.208723886070597</v>
      </c>
      <c r="R390" s="198">
        <v>11.745842698843774</v>
      </c>
      <c r="S390" s="198">
        <v>12.107582077393644</v>
      </c>
      <c r="T390" s="198">
        <v>10.867749849981893</v>
      </c>
      <c r="U390" s="198">
        <v>14.787214327575178</v>
      </c>
      <c r="V390" s="198">
        <v>13.86319805617717</v>
      </c>
      <c r="W390" s="198">
        <v>10.348133137714793</v>
      </c>
      <c r="X390" s="191">
        <v>8.1940706663209593</v>
      </c>
      <c r="Y390" s="197">
        <v>5.1346397291594945</v>
      </c>
      <c r="Z390" s="198">
        <v>3.0021280059253099</v>
      </c>
      <c r="AA390" s="198">
        <v>6.8440921172468903</v>
      </c>
      <c r="AB390" s="198">
        <v>6.6562091589116497</v>
      </c>
      <c r="AC390" s="198">
        <v>7.2202319957371799</v>
      </c>
      <c r="AD390" s="191">
        <v>10.588610102806699</v>
      </c>
      <c r="AE390" s="199" t="s">
        <v>207</v>
      </c>
    </row>
    <row r="391" spans="2:31" ht="12" hidden="1" customHeight="1">
      <c r="B391" s="369">
        <v>42008</v>
      </c>
      <c r="C391" s="197"/>
      <c r="D391" s="198"/>
      <c r="E391" s="198"/>
      <c r="F391" s="198"/>
      <c r="G391" s="198"/>
      <c r="H391" s="198"/>
      <c r="I391" s="198"/>
      <c r="J391" s="198"/>
      <c r="K391" s="198"/>
      <c r="L391" s="191"/>
      <c r="M391" s="197"/>
      <c r="N391" s="198"/>
      <c r="O391" s="198"/>
      <c r="P391" s="198"/>
      <c r="Q391" s="198"/>
      <c r="R391" s="198"/>
      <c r="S391" s="198"/>
      <c r="T391" s="198"/>
      <c r="U391" s="198"/>
      <c r="V391" s="198"/>
      <c r="W391" s="198"/>
      <c r="X391" s="191"/>
      <c r="Y391" s="197"/>
      <c r="Z391" s="198"/>
      <c r="AA391" s="198"/>
      <c r="AB391" s="198"/>
      <c r="AC391" s="198"/>
      <c r="AD391" s="191"/>
      <c r="AE391" s="374">
        <v>42008</v>
      </c>
    </row>
    <row r="392" spans="2:31" ht="12" hidden="1" customHeight="1">
      <c r="B392" s="368" t="s">
        <v>184</v>
      </c>
      <c r="C392" s="197">
        <v>8.9899615832638702</v>
      </c>
      <c r="D392" s="198">
        <v>5.8534530718526696</v>
      </c>
      <c r="E392" s="198">
        <v>9.7085174852379392</v>
      </c>
      <c r="F392" s="198">
        <v>8.0971018658535066</v>
      </c>
      <c r="G392" s="198">
        <v>5.7389095594626323</v>
      </c>
      <c r="H392" s="198">
        <v>7.2536684123298762</v>
      </c>
      <c r="I392" s="198">
        <v>5.5282296769649806</v>
      </c>
      <c r="J392" s="198">
        <v>9.4341774533372273</v>
      </c>
      <c r="K392" s="198">
        <v>8.8711451601412232</v>
      </c>
      <c r="L392" s="191">
        <v>12.307025351634286</v>
      </c>
      <c r="M392" s="197">
        <v>14.021275620711668</v>
      </c>
      <c r="N392" s="198">
        <v>9.7545381680927328</v>
      </c>
      <c r="O392" s="198">
        <v>18.389124278311705</v>
      </c>
      <c r="P392" s="198">
        <v>15.110099923211274</v>
      </c>
      <c r="Q392" s="198">
        <v>13.743463285367488</v>
      </c>
      <c r="R392" s="198">
        <v>12.997710331562816</v>
      </c>
      <c r="S392" s="198">
        <v>14.165242294728571</v>
      </c>
      <c r="T392" s="198">
        <v>18.057496917264615</v>
      </c>
      <c r="U392" s="198">
        <v>16.325953509255839</v>
      </c>
      <c r="V392" s="198">
        <v>11.580613385857852</v>
      </c>
      <c r="W392" s="198">
        <v>8.7624999745883105</v>
      </c>
      <c r="X392" s="191">
        <v>8.1481893469405033</v>
      </c>
      <c r="Y392" s="197">
        <v>7.2894131405449576</v>
      </c>
      <c r="Z392" s="198">
        <v>1.9285714285714299</v>
      </c>
      <c r="AA392" s="198">
        <v>5.7894736842105301</v>
      </c>
      <c r="AB392" s="198">
        <v>8.3894795747062094</v>
      </c>
      <c r="AC392" s="198">
        <v>7.2024412677132199</v>
      </c>
      <c r="AD392" s="191">
        <v>8.7106326009658002</v>
      </c>
      <c r="AE392" s="199" t="s">
        <v>350</v>
      </c>
    </row>
    <row r="393" spans="2:31" ht="12" hidden="1" customHeight="1">
      <c r="B393" s="368" t="s">
        <v>351</v>
      </c>
      <c r="C393" s="197">
        <v>8.7453318920255825</v>
      </c>
      <c r="D393" s="198">
        <v>4.3121756673446896</v>
      </c>
      <c r="E393" s="198">
        <v>9.62180827859099</v>
      </c>
      <c r="F393" s="198">
        <v>5.9010883612731719</v>
      </c>
      <c r="G393" s="198">
        <v>4.5349866006048796</v>
      </c>
      <c r="H393" s="198">
        <v>6.6898166849690703</v>
      </c>
      <c r="I393" s="198">
        <v>7.4301132554961091</v>
      </c>
      <c r="J393" s="198">
        <v>8.3894698225652782</v>
      </c>
      <c r="K393" s="198">
        <v>10.328986206147002</v>
      </c>
      <c r="L393" s="191">
        <v>9.7546704715594252</v>
      </c>
      <c r="M393" s="197">
        <v>12.898273629131685</v>
      </c>
      <c r="N393" s="198">
        <v>8.8364529513425545</v>
      </c>
      <c r="O393" s="198">
        <v>21.416237388685101</v>
      </c>
      <c r="P393" s="198">
        <v>13.864571842085358</v>
      </c>
      <c r="Q393" s="198">
        <v>14.315285362085715</v>
      </c>
      <c r="R393" s="198">
        <v>11.700981841952109</v>
      </c>
      <c r="S393" s="198">
        <v>12.192577409356028</v>
      </c>
      <c r="T393" s="198">
        <v>10.539431799486795</v>
      </c>
      <c r="U393" s="198">
        <v>14.607176529390431</v>
      </c>
      <c r="V393" s="198">
        <v>13.527478984186381</v>
      </c>
      <c r="W393" s="198">
        <v>10.870662617639804</v>
      </c>
      <c r="X393" s="191">
        <v>8.1196988913953465</v>
      </c>
      <c r="Y393" s="197">
        <v>5.0843673080476375</v>
      </c>
      <c r="Z393" s="198">
        <v>3.4505156255407199</v>
      </c>
      <c r="AA393" s="198">
        <v>4.8579327832261701</v>
      </c>
      <c r="AB393" s="198">
        <v>6.6142672591443201</v>
      </c>
      <c r="AC393" s="198">
        <v>7.2201668986331802</v>
      </c>
      <c r="AD393" s="191">
        <v>9.5174295950841703</v>
      </c>
      <c r="AE393" s="199" t="s">
        <v>207</v>
      </c>
    </row>
    <row r="394" spans="2:31" ht="12" hidden="1" customHeight="1">
      <c r="B394" s="369">
        <v>42009</v>
      </c>
      <c r="C394" s="197"/>
      <c r="D394" s="198"/>
      <c r="E394" s="198"/>
      <c r="F394" s="198"/>
      <c r="G394" s="198"/>
      <c r="H394" s="198"/>
      <c r="I394" s="198"/>
      <c r="J394" s="198"/>
      <c r="K394" s="198"/>
      <c r="L394" s="191"/>
      <c r="M394" s="197"/>
      <c r="N394" s="198"/>
      <c r="O394" s="198"/>
      <c r="P394" s="198"/>
      <c r="Q394" s="198"/>
      <c r="R394" s="198"/>
      <c r="S394" s="198"/>
      <c r="T394" s="198"/>
      <c r="U394" s="198"/>
      <c r="V394" s="198"/>
      <c r="W394" s="198"/>
      <c r="X394" s="191"/>
      <c r="Y394" s="197"/>
      <c r="Z394" s="198"/>
      <c r="AA394" s="198"/>
      <c r="AB394" s="198"/>
      <c r="AC394" s="198"/>
      <c r="AD394" s="191"/>
      <c r="AE394" s="374">
        <v>42009</v>
      </c>
    </row>
    <row r="395" spans="2:31" ht="12" hidden="1" customHeight="1">
      <c r="B395" s="368" t="s">
        <v>184</v>
      </c>
      <c r="C395" s="197">
        <v>8.8191348443317104</v>
      </c>
      <c r="D395" s="198">
        <v>5.8826886430837497</v>
      </c>
      <c r="E395" s="198">
        <v>9.5772618714173703</v>
      </c>
      <c r="F395" s="198">
        <v>9.2370033407719401</v>
      </c>
      <c r="G395" s="198">
        <v>5.8685727387936444</v>
      </c>
      <c r="H395" s="198">
        <v>7.781229524339409</v>
      </c>
      <c r="I395" s="198">
        <v>5.2440733033150773</v>
      </c>
      <c r="J395" s="198">
        <v>9.4497743269594086</v>
      </c>
      <c r="K395" s="198">
        <v>8.4719347084990737</v>
      </c>
      <c r="L395" s="191">
        <v>12.31466494207902</v>
      </c>
      <c r="M395" s="197">
        <v>14.1437579153783</v>
      </c>
      <c r="N395" s="198">
        <v>9.7248828795689768</v>
      </c>
      <c r="O395" s="198">
        <v>18.626335150181767</v>
      </c>
      <c r="P395" s="198">
        <v>16.400546010286302</v>
      </c>
      <c r="Q395" s="198">
        <v>13.209095694898501</v>
      </c>
      <c r="R395" s="198">
        <v>13.12250602750937</v>
      </c>
      <c r="S395" s="198">
        <v>14.005868538614548</v>
      </c>
      <c r="T395" s="198">
        <v>18.357691493108057</v>
      </c>
      <c r="U395" s="198">
        <v>16.945838805447973</v>
      </c>
      <c r="V395" s="198">
        <v>11.742328245455703</v>
      </c>
      <c r="W395" s="198">
        <v>8.3820530993143088</v>
      </c>
      <c r="X395" s="191">
        <v>8.3464074613614514</v>
      </c>
      <c r="Y395" s="197">
        <v>7.4585731002344451</v>
      </c>
      <c r="Z395" s="198">
        <v>6.2830820770519296</v>
      </c>
      <c r="AA395" s="198">
        <v>8.2140193885160304</v>
      </c>
      <c r="AB395" s="198">
        <v>7.7422072451558597</v>
      </c>
      <c r="AC395" s="198">
        <v>7.4450864356356004</v>
      </c>
      <c r="AD395" s="191">
        <v>7.6563972552641504</v>
      </c>
      <c r="AE395" s="199" t="s">
        <v>350</v>
      </c>
    </row>
    <row r="396" spans="2:31" ht="12" hidden="1" customHeight="1">
      <c r="B396" s="368" t="s">
        <v>351</v>
      </c>
      <c r="C396" s="197">
        <v>8.3095828065019042</v>
      </c>
      <c r="D396" s="198">
        <v>3.9255690724022898</v>
      </c>
      <c r="E396" s="198">
        <v>9.5101172093018</v>
      </c>
      <c r="F396" s="198">
        <v>4.3653642460994346</v>
      </c>
      <c r="G396" s="198">
        <v>4.2237255358264001</v>
      </c>
      <c r="H396" s="198">
        <v>5.7456191096858307</v>
      </c>
      <c r="I396" s="198">
        <v>6.5331548481527575</v>
      </c>
      <c r="J396" s="198">
        <v>8.6170730349516269</v>
      </c>
      <c r="K396" s="198">
        <v>10.015686456194251</v>
      </c>
      <c r="L396" s="191">
        <v>9.5254596010558714</v>
      </c>
      <c r="M396" s="197">
        <v>13.001148645696414</v>
      </c>
      <c r="N396" s="198">
        <v>9.2774409616901323</v>
      </c>
      <c r="O396" s="198">
        <v>21.056388586808961</v>
      </c>
      <c r="P396" s="198">
        <v>13.679957700593757</v>
      </c>
      <c r="Q396" s="198">
        <v>13.083776761422328</v>
      </c>
      <c r="R396" s="198">
        <v>12.096020328225658</v>
      </c>
      <c r="S396" s="198">
        <v>10.301918933729233</v>
      </c>
      <c r="T396" s="198">
        <v>12.044659287306192</v>
      </c>
      <c r="U396" s="198">
        <v>14.911481428754454</v>
      </c>
      <c r="V396" s="198">
        <v>12.601944333476922</v>
      </c>
      <c r="W396" s="198">
        <v>10.737123801953231</v>
      </c>
      <c r="X396" s="191">
        <v>7.6036529998055489</v>
      </c>
      <c r="Y396" s="197">
        <v>5.3546809717776815</v>
      </c>
      <c r="Z396" s="198">
        <v>3.2084128059670798</v>
      </c>
      <c r="AA396" s="198">
        <v>8.1445757115152801</v>
      </c>
      <c r="AB396" s="198">
        <v>7.1714222251603097</v>
      </c>
      <c r="AC396" s="198">
        <v>7.2979458071010104</v>
      </c>
      <c r="AD396" s="191">
        <v>11.445332019538901</v>
      </c>
      <c r="AE396" s="199" t="s">
        <v>207</v>
      </c>
    </row>
    <row r="397" spans="2:31" ht="12" hidden="1" customHeight="1">
      <c r="B397" s="369">
        <v>42010</v>
      </c>
      <c r="C397" s="197"/>
      <c r="D397" s="198"/>
      <c r="E397" s="198"/>
      <c r="F397" s="198"/>
      <c r="G397" s="198"/>
      <c r="H397" s="198"/>
      <c r="I397" s="198"/>
      <c r="J397" s="198"/>
      <c r="K397" s="198"/>
      <c r="L397" s="191"/>
      <c r="M397" s="197"/>
      <c r="N397" s="198"/>
      <c r="O397" s="198"/>
      <c r="P397" s="198"/>
      <c r="Q397" s="198"/>
      <c r="R397" s="198"/>
      <c r="S397" s="198"/>
      <c r="T397" s="198"/>
      <c r="U397" s="198"/>
      <c r="V397" s="198"/>
      <c r="W397" s="198"/>
      <c r="X397" s="191"/>
      <c r="Y397" s="197"/>
      <c r="Z397" s="198"/>
      <c r="AA397" s="198"/>
      <c r="AB397" s="198"/>
      <c r="AC397" s="198"/>
      <c r="AD397" s="191"/>
      <c r="AE397" s="374">
        <v>42010</v>
      </c>
    </row>
    <row r="398" spans="2:31" ht="12" hidden="1" customHeight="1">
      <c r="B398" s="368" t="s">
        <v>184</v>
      </c>
      <c r="C398" s="197">
        <v>8.8070994661025761</v>
      </c>
      <c r="D398" s="198">
        <v>5.9543382495766801</v>
      </c>
      <c r="E398" s="198">
        <v>9.6624543115970098</v>
      </c>
      <c r="F398" s="198">
        <v>9.2021746237528959</v>
      </c>
      <c r="G398" s="198">
        <v>7.4809614271079177</v>
      </c>
      <c r="H398" s="198">
        <v>9.2847457016343444</v>
      </c>
      <c r="I398" s="198">
        <v>6.7436687647920843</v>
      </c>
      <c r="J398" s="198">
        <v>9.3188951552893098</v>
      </c>
      <c r="K398" s="198">
        <v>8.3789571736768735</v>
      </c>
      <c r="L398" s="191">
        <v>13.081198447478409</v>
      </c>
      <c r="M398" s="197">
        <v>14.0488538252864</v>
      </c>
      <c r="N398" s="198">
        <v>9.7632063476693443</v>
      </c>
      <c r="O398" s="198">
        <v>18.456354325647556</v>
      </c>
      <c r="P398" s="198">
        <v>15.909156346171637</v>
      </c>
      <c r="Q398" s="198">
        <v>13.347362451787209</v>
      </c>
      <c r="R398" s="198">
        <v>13.260937574496046</v>
      </c>
      <c r="S398" s="198">
        <v>14.088890472193533</v>
      </c>
      <c r="T398" s="198">
        <v>18.536264225527812</v>
      </c>
      <c r="U398" s="198">
        <v>16.867354016265349</v>
      </c>
      <c r="V398" s="198">
        <v>11.732819316988138</v>
      </c>
      <c r="W398" s="198">
        <v>8.3106887128232323</v>
      </c>
      <c r="X398" s="191">
        <v>7.7457253074681294</v>
      </c>
      <c r="Y398" s="197">
        <v>7.0155188127891455</v>
      </c>
      <c r="Z398" s="198">
        <v>1.9198919891989199</v>
      </c>
      <c r="AA398" s="198">
        <v>7.97518830305716</v>
      </c>
      <c r="AB398" s="198">
        <v>7.7422072451558597</v>
      </c>
      <c r="AC398" s="198">
        <v>8.2010760040011608</v>
      </c>
      <c r="AD398" s="191">
        <v>7.5070169720731803</v>
      </c>
      <c r="AE398" s="199" t="s">
        <v>350</v>
      </c>
    </row>
    <row r="399" spans="2:31" ht="14.25" hidden="1" customHeight="1">
      <c r="B399" s="368" t="s">
        <v>351</v>
      </c>
      <c r="C399" s="197">
        <v>8.3753970919019114</v>
      </c>
      <c r="D399" s="198">
        <v>4.0294703737894499</v>
      </c>
      <c r="E399" s="198">
        <v>9.5037009967457706</v>
      </c>
      <c r="F399" s="198">
        <v>4.9873162144579242</v>
      </c>
      <c r="G399" s="198">
        <v>4.6743079480202114</v>
      </c>
      <c r="H399" s="198">
        <v>5.7166404932823616</v>
      </c>
      <c r="I399" s="198">
        <v>6.5379634488421869</v>
      </c>
      <c r="J399" s="198">
        <v>8.6035003934275114</v>
      </c>
      <c r="K399" s="198">
        <v>10.017377025026963</v>
      </c>
      <c r="L399" s="191">
        <v>9.6347174242915337</v>
      </c>
      <c r="M399" s="197">
        <v>12.638919448718367</v>
      </c>
      <c r="N399" s="198">
        <v>8.8012154684053368</v>
      </c>
      <c r="O399" s="198">
        <v>20.955798164179072</v>
      </c>
      <c r="P399" s="198">
        <v>13.338778397231726</v>
      </c>
      <c r="Q399" s="198">
        <v>13.298308703679815</v>
      </c>
      <c r="R399" s="198">
        <v>11.636365144751952</v>
      </c>
      <c r="S399" s="198">
        <v>11.703665785148734</v>
      </c>
      <c r="T399" s="198">
        <v>10.573488357852302</v>
      </c>
      <c r="U399" s="198">
        <v>14.961944843033594</v>
      </c>
      <c r="V399" s="198">
        <v>12.119116699029982</v>
      </c>
      <c r="W399" s="198">
        <v>10.746511988599442</v>
      </c>
      <c r="X399" s="191">
        <v>8.3552127766150974</v>
      </c>
      <c r="Y399" s="197">
        <v>5.4611620543607877</v>
      </c>
      <c r="Z399" s="198">
        <v>3.2396755527841101</v>
      </c>
      <c r="AA399" s="198">
        <v>7.97225391781613</v>
      </c>
      <c r="AB399" s="198">
        <v>7.25810680281496</v>
      </c>
      <c r="AC399" s="198">
        <v>7.2202149781800102</v>
      </c>
      <c r="AD399" s="191">
        <v>10.8438744534789</v>
      </c>
      <c r="AE399" s="199" t="s">
        <v>207</v>
      </c>
    </row>
    <row r="400" spans="2:31" ht="14.25" hidden="1" customHeight="1">
      <c r="B400" s="369">
        <v>42011</v>
      </c>
      <c r="C400" s="197"/>
      <c r="D400" s="198"/>
      <c r="E400" s="198"/>
      <c r="F400" s="198"/>
      <c r="G400" s="198"/>
      <c r="H400" s="198"/>
      <c r="I400" s="198"/>
      <c r="J400" s="198"/>
      <c r="K400" s="198"/>
      <c r="L400" s="191"/>
      <c r="M400" s="197"/>
      <c r="N400" s="198"/>
      <c r="O400" s="198"/>
      <c r="P400" s="198"/>
      <c r="Q400" s="198"/>
      <c r="R400" s="198"/>
      <c r="S400" s="198"/>
      <c r="T400" s="198"/>
      <c r="U400" s="198"/>
      <c r="V400" s="198"/>
      <c r="W400" s="198"/>
      <c r="X400" s="191"/>
      <c r="Y400" s="197"/>
      <c r="Z400" s="198"/>
      <c r="AA400" s="198"/>
      <c r="AB400" s="198"/>
      <c r="AC400" s="198"/>
      <c r="AD400" s="191"/>
      <c r="AE400" s="374">
        <v>42011</v>
      </c>
    </row>
    <row r="401" spans="2:31" ht="14.25" hidden="1" customHeight="1">
      <c r="B401" s="368" t="s">
        <v>184</v>
      </c>
      <c r="C401" s="197">
        <v>8.8585333001431188</v>
      </c>
      <c r="D401" s="198">
        <v>6.5011095434785098</v>
      </c>
      <c r="E401" s="198">
        <v>9.7045400945932396</v>
      </c>
      <c r="F401" s="198">
        <v>8.5503932922155261</v>
      </c>
      <c r="G401" s="198">
        <v>7.983438115465284</v>
      </c>
      <c r="H401" s="198">
        <v>10.048203401108193</v>
      </c>
      <c r="I401" s="198">
        <v>5.7798622432196023</v>
      </c>
      <c r="J401" s="198">
        <v>9.2475760616871998</v>
      </c>
      <c r="K401" s="198">
        <v>8.4952976564858229</v>
      </c>
      <c r="L401" s="191">
        <v>13.832092135147635</v>
      </c>
      <c r="M401" s="197">
        <v>13.980289910414932</v>
      </c>
      <c r="N401" s="198">
        <v>9.890732199049376</v>
      </c>
      <c r="O401" s="198">
        <v>18.216066094866751</v>
      </c>
      <c r="P401" s="198">
        <v>16.598653910832283</v>
      </c>
      <c r="Q401" s="198">
        <v>13.434763195250508</v>
      </c>
      <c r="R401" s="198">
        <v>13.396036137625716</v>
      </c>
      <c r="S401" s="198">
        <v>14.686310787807578</v>
      </c>
      <c r="T401" s="198">
        <v>18.682596989683496</v>
      </c>
      <c r="U401" s="198">
        <v>16.992803945669632</v>
      </c>
      <c r="V401" s="198">
        <v>11.287514216210477</v>
      </c>
      <c r="W401" s="198">
        <v>8.0876305098671857</v>
      </c>
      <c r="X401" s="191">
        <v>7.5264444415942275</v>
      </c>
      <c r="Y401" s="197">
        <v>7.0413483739480949</v>
      </c>
      <c r="Z401" s="198">
        <v>1.9198919891989199</v>
      </c>
      <c r="AA401" s="198">
        <v>7.9148845166809201</v>
      </c>
      <c r="AB401" s="198">
        <v>10.393700787401601</v>
      </c>
      <c r="AC401" s="198">
        <v>9.2974057696937802</v>
      </c>
      <c r="AD401" s="191">
        <v>6.9217232484333202</v>
      </c>
      <c r="AE401" s="199" t="s">
        <v>350</v>
      </c>
    </row>
    <row r="402" spans="2:31" ht="14.25" hidden="1" customHeight="1">
      <c r="B402" s="368" t="s">
        <v>351</v>
      </c>
      <c r="C402" s="197">
        <v>8.4692981525065942</v>
      </c>
      <c r="D402" s="198">
        <v>4.1310869622254103</v>
      </c>
      <c r="E402" s="198">
        <v>9.4775764627312604</v>
      </c>
      <c r="F402" s="198">
        <v>6.6607309417484357</v>
      </c>
      <c r="G402" s="198">
        <v>4.5004524888262631</v>
      </c>
      <c r="H402" s="198">
        <v>5.1771822454402416</v>
      </c>
      <c r="I402" s="198">
        <v>6.1944708463027558</v>
      </c>
      <c r="J402" s="198">
        <v>8.5584491695972105</v>
      </c>
      <c r="K402" s="198">
        <v>10.117376373659393</v>
      </c>
      <c r="L402" s="191">
        <v>9.7193864969744599</v>
      </c>
      <c r="M402" s="197">
        <v>12.474579178609778</v>
      </c>
      <c r="N402" s="198">
        <v>8.8072129963577659</v>
      </c>
      <c r="O402" s="198">
        <v>20.576854403053847</v>
      </c>
      <c r="P402" s="198">
        <v>13.401840200725704</v>
      </c>
      <c r="Q402" s="198">
        <v>13.908719824963939</v>
      </c>
      <c r="R402" s="198">
        <v>11.968278888117069</v>
      </c>
      <c r="S402" s="198">
        <v>10.556711176094117</v>
      </c>
      <c r="T402" s="198">
        <v>10.679737913588539</v>
      </c>
      <c r="U402" s="198">
        <v>14.912418520779742</v>
      </c>
      <c r="V402" s="198">
        <v>11.456278698461716</v>
      </c>
      <c r="W402" s="198">
        <v>10.571321656003384</v>
      </c>
      <c r="X402" s="191">
        <v>9.0379118324895202</v>
      </c>
      <c r="Y402" s="197">
        <v>5.6202787025486218</v>
      </c>
      <c r="Z402" s="198">
        <v>3.4264148224508002</v>
      </c>
      <c r="AA402" s="198">
        <v>8.2179979192657893</v>
      </c>
      <c r="AB402" s="198">
        <v>6.4988753580403102</v>
      </c>
      <c r="AC402" s="198">
        <v>5.9981178910711801</v>
      </c>
      <c r="AD402" s="191">
        <v>11.9671364259938</v>
      </c>
      <c r="AE402" s="199" t="s">
        <v>207</v>
      </c>
    </row>
    <row r="403" spans="2:31" ht="14.25" hidden="1" customHeight="1">
      <c r="B403" s="369">
        <v>42012</v>
      </c>
      <c r="C403" s="197"/>
      <c r="D403" s="198"/>
      <c r="E403" s="198"/>
      <c r="F403" s="198"/>
      <c r="G403" s="198"/>
      <c r="H403" s="198"/>
      <c r="I403" s="198"/>
      <c r="J403" s="198"/>
      <c r="K403" s="198"/>
      <c r="L403" s="191"/>
      <c r="M403" s="197"/>
      <c r="N403" s="198"/>
      <c r="O403" s="198"/>
      <c r="P403" s="198"/>
      <c r="Q403" s="198"/>
      <c r="R403" s="198"/>
      <c r="S403" s="198"/>
      <c r="T403" s="198"/>
      <c r="U403" s="198"/>
      <c r="V403" s="198"/>
      <c r="W403" s="198"/>
      <c r="X403" s="191"/>
      <c r="Y403" s="197"/>
      <c r="Z403" s="198"/>
      <c r="AA403" s="198"/>
      <c r="AB403" s="198"/>
      <c r="AC403" s="198"/>
      <c r="AD403" s="191"/>
      <c r="AE403" s="374">
        <v>42012</v>
      </c>
    </row>
    <row r="404" spans="2:31" ht="14.25" hidden="1" customHeight="1">
      <c r="B404" s="368" t="s">
        <v>184</v>
      </c>
      <c r="C404" s="197">
        <v>8.4085898097751048</v>
      </c>
      <c r="D404" s="198">
        <v>4.9978595512608699</v>
      </c>
      <c r="E404" s="198">
        <v>9.6744568941849902</v>
      </c>
      <c r="F404" s="198">
        <v>8.2021947606424455</v>
      </c>
      <c r="G404" s="198">
        <v>7.5590725543832242</v>
      </c>
      <c r="H404" s="198">
        <v>9.9726567092586382</v>
      </c>
      <c r="I404" s="198">
        <v>5.9784329383940795</v>
      </c>
      <c r="J404" s="198">
        <v>9.1650777408217543</v>
      </c>
      <c r="K404" s="198">
        <v>7.7144107115047929</v>
      </c>
      <c r="L404" s="191">
        <v>13.851181345599718</v>
      </c>
      <c r="M404" s="197">
        <v>13.97274343340783</v>
      </c>
      <c r="N404" s="198">
        <v>9.8725802988422569</v>
      </c>
      <c r="O404" s="198">
        <v>18.287282629112568</v>
      </c>
      <c r="P404" s="198">
        <v>16.980484284335677</v>
      </c>
      <c r="Q404" s="198">
        <v>13.331720721884835</v>
      </c>
      <c r="R404" s="198">
        <v>13.237274500128146</v>
      </c>
      <c r="S404" s="198">
        <v>14.439558415449298</v>
      </c>
      <c r="T404" s="198">
        <v>18.60409399615061</v>
      </c>
      <c r="U404" s="198">
        <v>17.14952132960568</v>
      </c>
      <c r="V404" s="198">
        <v>11.251080886727605</v>
      </c>
      <c r="W404" s="198">
        <v>8.1661437138603166</v>
      </c>
      <c r="X404" s="191">
        <v>7.7119344022012495</v>
      </c>
      <c r="Y404" s="197">
        <v>6.3256515342178812</v>
      </c>
      <c r="Z404" s="198">
        <v>1.94492846888768</v>
      </c>
      <c r="AA404" s="198">
        <v>7.2942892232115399</v>
      </c>
      <c r="AB404" s="198">
        <v>16</v>
      </c>
      <c r="AC404" s="198">
        <v>7.46653523316132</v>
      </c>
      <c r="AD404" s="191">
        <v>7.0466112389239397</v>
      </c>
      <c r="AE404" s="199" t="s">
        <v>350</v>
      </c>
    </row>
    <row r="405" spans="2:31" ht="14.25" hidden="1" customHeight="1">
      <c r="B405" s="368" t="s">
        <v>351</v>
      </c>
      <c r="C405" s="197">
        <v>8.3624471657176294</v>
      </c>
      <c r="D405" s="198">
        <v>4.0051811622126703</v>
      </c>
      <c r="E405" s="198">
        <v>9.3878252624301304</v>
      </c>
      <c r="F405" s="198">
        <v>6.9244353317262322</v>
      </c>
      <c r="G405" s="198">
        <v>4.3218130615540371</v>
      </c>
      <c r="H405" s="198">
        <v>5.1736822874042812</v>
      </c>
      <c r="I405" s="198">
        <v>6.054942851695146</v>
      </c>
      <c r="J405" s="198">
        <v>8.4614399257415833</v>
      </c>
      <c r="K405" s="198">
        <v>10.055358625170536</v>
      </c>
      <c r="L405" s="191">
        <v>9.6724562611406082</v>
      </c>
      <c r="M405" s="197">
        <v>12.728993476685533</v>
      </c>
      <c r="N405" s="198">
        <v>8.8282959794606608</v>
      </c>
      <c r="O405" s="198">
        <v>21.45942657938647</v>
      </c>
      <c r="P405" s="198">
        <v>12.969769662146357</v>
      </c>
      <c r="Q405" s="198">
        <v>13.27066531467552</v>
      </c>
      <c r="R405" s="198">
        <v>11.806876400093149</v>
      </c>
      <c r="S405" s="198">
        <v>12.17520397311271</v>
      </c>
      <c r="T405" s="198">
        <v>11.035722526061488</v>
      </c>
      <c r="U405" s="198">
        <v>14.924583738800674</v>
      </c>
      <c r="V405" s="198">
        <v>12.148509076947574</v>
      </c>
      <c r="W405" s="198">
        <v>10.669546676955074</v>
      </c>
      <c r="X405" s="191">
        <v>9.1490803425458953</v>
      </c>
      <c r="Y405" s="197">
        <v>5.0933071175614275</v>
      </c>
      <c r="Z405" s="198">
        <v>3.5997376174523898</v>
      </c>
      <c r="AA405" s="198">
        <v>7.96095593623245</v>
      </c>
      <c r="AB405" s="198">
        <v>4.3168906985871303</v>
      </c>
      <c r="AC405" s="198">
        <v>5.1622911322294103</v>
      </c>
      <c r="AD405" s="191">
        <v>8.0552182945293307</v>
      </c>
      <c r="AE405" s="199" t="s">
        <v>207</v>
      </c>
    </row>
    <row r="406" spans="2:31" ht="14.25" hidden="1" customHeight="1">
      <c r="B406" s="369">
        <v>42013</v>
      </c>
      <c r="C406" s="197"/>
      <c r="D406" s="198"/>
      <c r="E406" s="198"/>
      <c r="F406" s="198"/>
      <c r="G406" s="198"/>
      <c r="H406" s="198"/>
      <c r="I406" s="198"/>
      <c r="J406" s="198"/>
      <c r="K406" s="198"/>
      <c r="L406" s="191"/>
      <c r="M406" s="197"/>
      <c r="N406" s="198"/>
      <c r="O406" s="198"/>
      <c r="P406" s="198"/>
      <c r="Q406" s="198"/>
      <c r="R406" s="198"/>
      <c r="S406" s="198"/>
      <c r="T406" s="198"/>
      <c r="U406" s="198"/>
      <c r="V406" s="198"/>
      <c r="W406" s="198"/>
      <c r="X406" s="191"/>
      <c r="Y406" s="197"/>
      <c r="Z406" s="198"/>
      <c r="AA406" s="198"/>
      <c r="AB406" s="198"/>
      <c r="AC406" s="198"/>
      <c r="AD406" s="191"/>
      <c r="AE406" s="374">
        <v>42013</v>
      </c>
    </row>
    <row r="407" spans="2:31" ht="14.25" hidden="1" customHeight="1">
      <c r="B407" s="368" t="s">
        <v>184</v>
      </c>
      <c r="C407" s="197">
        <v>7.977581710559364</v>
      </c>
      <c r="D407" s="198">
        <v>4.3410517205660097</v>
      </c>
      <c r="E407" s="198">
        <v>9.4872626957335502</v>
      </c>
      <c r="F407" s="198">
        <v>7.856297730843715</v>
      </c>
      <c r="G407" s="198">
        <v>7.0123373817497141</v>
      </c>
      <c r="H407" s="198">
        <v>8.7418872513025043</v>
      </c>
      <c r="I407" s="198">
        <v>4.5999051830860953</v>
      </c>
      <c r="J407" s="198">
        <v>8.6042676106985176</v>
      </c>
      <c r="K407" s="198">
        <v>7.4180155989557033</v>
      </c>
      <c r="L407" s="191">
        <v>13.889601057104841</v>
      </c>
      <c r="M407" s="197">
        <v>13.724812367305937</v>
      </c>
      <c r="N407" s="198">
        <v>9.9419813293836796</v>
      </c>
      <c r="O407" s="198">
        <v>17.821939151526234</v>
      </c>
      <c r="P407" s="198">
        <v>17.048490842786581</v>
      </c>
      <c r="Q407" s="198">
        <v>13.352507324123408</v>
      </c>
      <c r="R407" s="198">
        <v>13.538668650220295</v>
      </c>
      <c r="S407" s="198">
        <v>15.712899705424157</v>
      </c>
      <c r="T407" s="198">
        <v>17.062955537105381</v>
      </c>
      <c r="U407" s="198">
        <v>17.173493238372622</v>
      </c>
      <c r="V407" s="198">
        <v>11.186995189225648</v>
      </c>
      <c r="W407" s="198">
        <v>8.1255821813752842</v>
      </c>
      <c r="X407" s="191">
        <v>7.5252408985762855</v>
      </c>
      <c r="Y407" s="197">
        <v>6.6163932333027597</v>
      </c>
      <c r="Z407" s="198">
        <v>1.3091993813066201</v>
      </c>
      <c r="AA407" s="198">
        <v>7.4738415545590398</v>
      </c>
      <c r="AB407" s="198">
        <v>9.25</v>
      </c>
      <c r="AC407" s="198">
        <v>7.6905530973731899</v>
      </c>
      <c r="AD407" s="191">
        <v>7.1733167097595203</v>
      </c>
      <c r="AE407" s="199" t="s">
        <v>350</v>
      </c>
    </row>
    <row r="408" spans="2:31" ht="14.25" hidden="1" customHeight="1">
      <c r="B408" s="368" t="s">
        <v>351</v>
      </c>
      <c r="C408" s="197">
        <v>8.3346306997363513</v>
      </c>
      <c r="D408" s="198">
        <v>3.9908161741466599</v>
      </c>
      <c r="E408" s="198">
        <v>9.3303474155921293</v>
      </c>
      <c r="F408" s="198">
        <v>5.7949836737944462</v>
      </c>
      <c r="G408" s="198">
        <v>4.6803508764137298</v>
      </c>
      <c r="H408" s="198">
        <v>4.7361086920157831</v>
      </c>
      <c r="I408" s="198">
        <v>5.8593697943030403</v>
      </c>
      <c r="J408" s="198">
        <v>8.3367827907622853</v>
      </c>
      <c r="K408" s="198">
        <v>9.9383568681949299</v>
      </c>
      <c r="L408" s="191">
        <v>9.6008845819505915</v>
      </c>
      <c r="M408" s="197">
        <v>13.007173735737267</v>
      </c>
      <c r="N408" s="198">
        <v>9.230668966356891</v>
      </c>
      <c r="O408" s="198">
        <v>21.83138630859608</v>
      </c>
      <c r="P408" s="198">
        <v>13.416215371281668</v>
      </c>
      <c r="Q408" s="198">
        <v>12.442814487072695</v>
      </c>
      <c r="R408" s="198">
        <v>11.784829350360821</v>
      </c>
      <c r="S408" s="198">
        <v>12.454402795544492</v>
      </c>
      <c r="T408" s="198">
        <v>12.23012467365697</v>
      </c>
      <c r="U408" s="198">
        <v>14.608245609872148</v>
      </c>
      <c r="V408" s="198">
        <v>12.553950546745465</v>
      </c>
      <c r="W408" s="198">
        <v>10.85117637638157</v>
      </c>
      <c r="X408" s="191">
        <v>9.1243347938882682</v>
      </c>
      <c r="Y408" s="197">
        <v>5.073025065844563</v>
      </c>
      <c r="Z408" s="198">
        <v>3.15476351722184</v>
      </c>
      <c r="AA408" s="198">
        <v>7.8896646159692301</v>
      </c>
      <c r="AB408" s="198">
        <v>6.4732048262562998</v>
      </c>
      <c r="AC408" s="198">
        <v>4.9168929201476699</v>
      </c>
      <c r="AD408" s="191">
        <v>7.9863860191828904</v>
      </c>
      <c r="AE408" s="199" t="s">
        <v>207</v>
      </c>
    </row>
    <row r="409" spans="2:31" ht="14.25" hidden="1" customHeight="1">
      <c r="B409" s="369">
        <v>42014</v>
      </c>
      <c r="C409" s="197"/>
      <c r="D409" s="198"/>
      <c r="E409" s="198"/>
      <c r="F409" s="198"/>
      <c r="G409" s="198"/>
      <c r="H409" s="198"/>
      <c r="I409" s="198"/>
      <c r="J409" s="198"/>
      <c r="K409" s="198"/>
      <c r="L409" s="191"/>
      <c r="M409" s="197"/>
      <c r="N409" s="198"/>
      <c r="O409" s="198"/>
      <c r="P409" s="198"/>
      <c r="Q409" s="198"/>
      <c r="R409" s="198"/>
      <c r="S409" s="198"/>
      <c r="T409" s="198"/>
      <c r="U409" s="198"/>
      <c r="V409" s="198"/>
      <c r="W409" s="198"/>
      <c r="X409" s="191"/>
      <c r="Y409" s="197"/>
      <c r="Z409" s="198"/>
      <c r="AA409" s="198"/>
      <c r="AB409" s="198"/>
      <c r="AC409" s="198"/>
      <c r="AD409" s="191"/>
      <c r="AE409" s="374">
        <v>42014</v>
      </c>
    </row>
    <row r="410" spans="2:31" ht="14.25" hidden="1" customHeight="1">
      <c r="B410" s="368" t="s">
        <v>184</v>
      </c>
      <c r="C410" s="197">
        <v>8.7251936810852815</v>
      </c>
      <c r="D410" s="198">
        <v>6.2443298086669099</v>
      </c>
      <c r="E410" s="198">
        <v>9.45086708734555</v>
      </c>
      <c r="F410" s="198">
        <v>7.9372763179854271</v>
      </c>
      <c r="G410" s="198">
        <v>7.2424539257763225</v>
      </c>
      <c r="H410" s="198">
        <v>9.1843171199604647</v>
      </c>
      <c r="I410" s="198">
        <v>6.437687283603946</v>
      </c>
      <c r="J410" s="198">
        <v>8.9452062939351453</v>
      </c>
      <c r="K410" s="198">
        <v>8.4379821824327301</v>
      </c>
      <c r="L410" s="191">
        <v>14.009243660327989</v>
      </c>
      <c r="M410" s="197">
        <v>14.006055030653629</v>
      </c>
      <c r="N410" s="198">
        <v>9.9684952941822331</v>
      </c>
      <c r="O410" s="198">
        <v>17.795644008107605</v>
      </c>
      <c r="P410" s="198">
        <v>16.901150737385027</v>
      </c>
      <c r="Q410" s="198">
        <v>13.265644224388996</v>
      </c>
      <c r="R410" s="198">
        <v>13.082612512424317</v>
      </c>
      <c r="S410" s="198">
        <v>14.888446502525481</v>
      </c>
      <c r="T410" s="198">
        <v>17.040776897738407</v>
      </c>
      <c r="U410" s="198">
        <v>17.3592188742183</v>
      </c>
      <c r="V410" s="198">
        <v>11.506089192084692</v>
      </c>
      <c r="W410" s="198">
        <v>8.2467278294359563</v>
      </c>
      <c r="X410" s="191">
        <v>7.5617794395950311</v>
      </c>
      <c r="Y410" s="197">
        <v>6.7433626608861603</v>
      </c>
      <c r="Z410" s="198">
        <v>1.3259804708235099</v>
      </c>
      <c r="AA410" s="198">
        <v>6.9755854509217698</v>
      </c>
      <c r="AB410" s="198">
        <v>10.63</v>
      </c>
      <c r="AC410" s="198">
        <v>7.0637361780595</v>
      </c>
      <c r="AD410" s="191">
        <v>6.5935588159325196</v>
      </c>
      <c r="AE410" s="199" t="s">
        <v>350</v>
      </c>
    </row>
    <row r="411" spans="2:31" ht="14.25" hidden="1" customHeight="1">
      <c r="B411" s="368" t="s">
        <v>351</v>
      </c>
      <c r="C411" s="197">
        <v>8.5963007252091721</v>
      </c>
      <c r="D411" s="198">
        <v>5.3013551740632003</v>
      </c>
      <c r="E411" s="198">
        <v>9.2949228774535708</v>
      </c>
      <c r="F411" s="198">
        <v>5.7805183251703527</v>
      </c>
      <c r="G411" s="198">
        <v>4.6720938727519155</v>
      </c>
      <c r="H411" s="198">
        <v>4.5356773187911772</v>
      </c>
      <c r="I411" s="198">
        <v>5.4459068753122803</v>
      </c>
      <c r="J411" s="198">
        <v>8.2267232464671398</v>
      </c>
      <c r="K411" s="198">
        <v>10.38000971372329</v>
      </c>
      <c r="L411" s="191">
        <v>9.7928799400588051</v>
      </c>
      <c r="M411" s="197">
        <v>12.739187615937199</v>
      </c>
      <c r="N411" s="198">
        <v>8.9188077462818089</v>
      </c>
      <c r="O411" s="198">
        <v>21.73106530597196</v>
      </c>
      <c r="P411" s="198">
        <v>12.045635983865246</v>
      </c>
      <c r="Q411" s="198">
        <v>12.752887413943172</v>
      </c>
      <c r="R411" s="198">
        <v>10.898950522815001</v>
      </c>
      <c r="S411" s="198">
        <v>11.924794638670042</v>
      </c>
      <c r="T411" s="198">
        <v>11.29215930032759</v>
      </c>
      <c r="U411" s="198">
        <v>14.41997012034456</v>
      </c>
      <c r="V411" s="198">
        <v>12.640262822647117</v>
      </c>
      <c r="W411" s="198">
        <v>11.056034777184118</v>
      </c>
      <c r="X411" s="191">
        <v>8.9150541082257053</v>
      </c>
      <c r="Y411" s="197">
        <v>5.2265579921445697</v>
      </c>
      <c r="Z411" s="198">
        <v>3.2491659727765199</v>
      </c>
      <c r="AA411" s="198">
        <v>5.7800041800459798</v>
      </c>
      <c r="AB411" s="198">
        <v>7.2545162805446504</v>
      </c>
      <c r="AC411" s="198">
        <v>5.2287518411959901</v>
      </c>
      <c r="AD411" s="191">
        <v>7.6643431696626303</v>
      </c>
      <c r="AE411" s="199" t="s">
        <v>207</v>
      </c>
    </row>
    <row r="412" spans="2:31" ht="14.25" hidden="1" customHeight="1">
      <c r="B412" s="369">
        <v>42015</v>
      </c>
      <c r="C412" s="197"/>
      <c r="D412" s="198"/>
      <c r="E412" s="198"/>
      <c r="F412" s="198"/>
      <c r="G412" s="198"/>
      <c r="H412" s="198"/>
      <c r="I412" s="198"/>
      <c r="J412" s="198"/>
      <c r="K412" s="198"/>
      <c r="L412" s="191"/>
      <c r="M412" s="197"/>
      <c r="N412" s="198"/>
      <c r="O412" s="198"/>
      <c r="P412" s="198"/>
      <c r="Q412" s="198"/>
      <c r="R412" s="198"/>
      <c r="S412" s="198"/>
      <c r="T412" s="198"/>
      <c r="U412" s="198"/>
      <c r="V412" s="198"/>
      <c r="W412" s="198"/>
      <c r="X412" s="191"/>
      <c r="Y412" s="197"/>
      <c r="Z412" s="198"/>
      <c r="AA412" s="198"/>
      <c r="AB412" s="198"/>
      <c r="AC412" s="198"/>
      <c r="AD412" s="191"/>
      <c r="AE412" s="374">
        <v>42015</v>
      </c>
    </row>
    <row r="413" spans="2:31" ht="14.25" hidden="1" customHeight="1">
      <c r="B413" s="368" t="s">
        <v>184</v>
      </c>
      <c r="C413" s="197">
        <v>8.4595472455527592</v>
      </c>
      <c r="D413" s="198">
        <v>5.9295698113337902</v>
      </c>
      <c r="E413" s="198">
        <v>9.4120078728045105</v>
      </c>
      <c r="F413" s="198">
        <v>3.9546988839855222</v>
      </c>
      <c r="G413" s="198">
        <v>5.6622725427557832</v>
      </c>
      <c r="H413" s="198">
        <v>9.9054720143270139</v>
      </c>
      <c r="I413" s="198">
        <v>6.5345415429742744</v>
      </c>
      <c r="J413" s="198">
        <v>8.6274294646982508</v>
      </c>
      <c r="K413" s="198">
        <v>8.2571107890981512</v>
      </c>
      <c r="L413" s="191">
        <v>12.013241715588752</v>
      </c>
      <c r="M413" s="197">
        <v>13.231646503781795</v>
      </c>
      <c r="N413" s="198">
        <v>9.0008801905493616</v>
      </c>
      <c r="O413" s="198">
        <v>17.68026100823451</v>
      </c>
      <c r="P413" s="198">
        <v>15.47304033420928</v>
      </c>
      <c r="Q413" s="198">
        <v>13.23849433046302</v>
      </c>
      <c r="R413" s="198">
        <v>13.923454138622029</v>
      </c>
      <c r="S413" s="198">
        <v>15.324267296142844</v>
      </c>
      <c r="T413" s="198">
        <v>12.698912559712948</v>
      </c>
      <c r="U413" s="198">
        <v>17.290007415716591</v>
      </c>
      <c r="V413" s="198">
        <v>11.466179073283792</v>
      </c>
      <c r="W413" s="198">
        <v>7.6929924985761007</v>
      </c>
      <c r="X413" s="191">
        <v>7.5114695761007848</v>
      </c>
      <c r="Y413" s="197">
        <v>7.1548843281367001</v>
      </c>
      <c r="Z413" s="198">
        <v>1.3237922705314</v>
      </c>
      <c r="AA413" s="198">
        <v>10.232093835787399</v>
      </c>
      <c r="AB413" s="198">
        <v>10.63</v>
      </c>
      <c r="AC413" s="198">
        <v>7.1559769602633096</v>
      </c>
      <c r="AD413" s="191">
        <v>6.6541982906160797</v>
      </c>
      <c r="AE413" s="199" t="s">
        <v>350</v>
      </c>
    </row>
    <row r="414" spans="2:31" ht="14.25" hidden="1" customHeight="1">
      <c r="B414" s="368" t="s">
        <v>351</v>
      </c>
      <c r="C414" s="197">
        <v>8.5095621037188867</v>
      </c>
      <c r="D414" s="198">
        <v>5.2280765987427804</v>
      </c>
      <c r="E414" s="198">
        <v>9.2071343676025101</v>
      </c>
      <c r="F414" s="198">
        <v>5.3303252916749031</v>
      </c>
      <c r="G414" s="198">
        <v>4.092815201559814</v>
      </c>
      <c r="H414" s="198">
        <v>4.5334880094817116</v>
      </c>
      <c r="I414" s="198">
        <v>7.0079455653674749</v>
      </c>
      <c r="J414" s="198">
        <v>8.2110921545440547</v>
      </c>
      <c r="K414" s="198">
        <v>10.083465817865942</v>
      </c>
      <c r="L414" s="191">
        <v>9.9669233901078105</v>
      </c>
      <c r="M414" s="197">
        <v>13.241377117363118</v>
      </c>
      <c r="N414" s="198">
        <v>9.0516276903695676</v>
      </c>
      <c r="O414" s="198">
        <v>21.446745366764162</v>
      </c>
      <c r="P414" s="198">
        <v>12.879480921542754</v>
      </c>
      <c r="Q414" s="198">
        <v>12.787780287752726</v>
      </c>
      <c r="R414" s="198">
        <v>10.578208411180755</v>
      </c>
      <c r="S414" s="198">
        <v>11.55258019373456</v>
      </c>
      <c r="T414" s="198">
        <v>12.012039881503151</v>
      </c>
      <c r="U414" s="198">
        <v>15.32947687904786</v>
      </c>
      <c r="V414" s="198">
        <v>13.650163910155628</v>
      </c>
      <c r="W414" s="198">
        <v>10.000195757528621</v>
      </c>
      <c r="X414" s="191">
        <v>11.444301062335702</v>
      </c>
      <c r="Y414" s="197">
        <v>5.0107639592155904</v>
      </c>
      <c r="Z414" s="198">
        <v>3.5079709489036301</v>
      </c>
      <c r="AA414" s="198">
        <v>6.3420926522416901</v>
      </c>
      <c r="AB414" s="198">
        <v>6.0544386997035602</v>
      </c>
      <c r="AC414" s="198">
        <v>4.6950179022089804</v>
      </c>
      <c r="AD414" s="191">
        <v>7.0778898298517401</v>
      </c>
      <c r="AE414" s="199" t="s">
        <v>207</v>
      </c>
    </row>
    <row r="415" spans="2:31" ht="14.25" hidden="1" customHeight="1">
      <c r="B415" s="369">
        <v>42016</v>
      </c>
      <c r="C415" s="197"/>
      <c r="D415" s="198"/>
      <c r="E415" s="198"/>
      <c r="F415" s="198"/>
      <c r="G415" s="198"/>
      <c r="H415" s="198"/>
      <c r="I415" s="198"/>
      <c r="J415" s="198"/>
      <c r="K415" s="198"/>
      <c r="L415" s="191"/>
      <c r="M415" s="197"/>
      <c r="N415" s="198"/>
      <c r="O415" s="198"/>
      <c r="P415" s="198"/>
      <c r="Q415" s="198"/>
      <c r="R415" s="198"/>
      <c r="S415" s="198"/>
      <c r="T415" s="198"/>
      <c r="U415" s="198"/>
      <c r="V415" s="198"/>
      <c r="W415" s="198"/>
      <c r="X415" s="191"/>
      <c r="Y415" s="197"/>
      <c r="Z415" s="198"/>
      <c r="AA415" s="198"/>
      <c r="AB415" s="198"/>
      <c r="AC415" s="198"/>
      <c r="AD415" s="191"/>
      <c r="AE415" s="374">
        <v>42016</v>
      </c>
    </row>
    <row r="416" spans="2:31" ht="14.25" hidden="1" customHeight="1">
      <c r="B416" s="368" t="s">
        <v>184</v>
      </c>
      <c r="C416" s="197">
        <v>8.3281277335470829</v>
      </c>
      <c r="D416" s="198">
        <v>5.8017270038372599</v>
      </c>
      <c r="E416" s="198">
        <v>9.3323595321086206</v>
      </c>
      <c r="F416" s="198">
        <v>4.4023442020001635</v>
      </c>
      <c r="G416" s="198">
        <v>5.5939435519410292</v>
      </c>
      <c r="H416" s="198">
        <v>9.2540196945255193</v>
      </c>
      <c r="I416" s="198">
        <v>6.135293185641526</v>
      </c>
      <c r="J416" s="198">
        <v>8.5571832169017181</v>
      </c>
      <c r="K416" s="198">
        <v>8.0829340741051521</v>
      </c>
      <c r="L416" s="191">
        <v>12.035058772485934</v>
      </c>
      <c r="M416" s="197">
        <v>13.760474507383361</v>
      </c>
      <c r="N416" s="198">
        <v>9.9192271023470688</v>
      </c>
      <c r="O416" s="198">
        <v>17.54360417432812</v>
      </c>
      <c r="P416" s="198">
        <v>17.667197565020636</v>
      </c>
      <c r="Q416" s="198">
        <v>13.604706385084734</v>
      </c>
      <c r="R416" s="198">
        <v>14.133029092662509</v>
      </c>
      <c r="S416" s="198">
        <v>15.260371354822821</v>
      </c>
      <c r="T416" s="198">
        <v>17.048016333681211</v>
      </c>
      <c r="U416" s="198">
        <v>17.411211731882364</v>
      </c>
      <c r="V416" s="198">
        <v>11.525194431274601</v>
      </c>
      <c r="W416" s="198">
        <v>7.8426124702617264</v>
      </c>
      <c r="X416" s="191">
        <v>7.5218955186243903</v>
      </c>
      <c r="Y416" s="197">
        <v>6.71202305724068</v>
      </c>
      <c r="Z416" s="198">
        <v>1.2975149287450101</v>
      </c>
      <c r="AA416" s="198">
        <v>10.232093835787399</v>
      </c>
      <c r="AB416" s="198">
        <v>12</v>
      </c>
      <c r="AC416" s="198">
        <v>6.25956838317662</v>
      </c>
      <c r="AD416" s="191">
        <v>6.3194070660522303</v>
      </c>
      <c r="AE416" s="199" t="s">
        <v>350</v>
      </c>
    </row>
    <row r="417" spans="2:31" ht="14.25" hidden="1" customHeight="1">
      <c r="B417" s="368" t="s">
        <v>351</v>
      </c>
      <c r="C417" s="197">
        <v>8.2527527278886375</v>
      </c>
      <c r="D417" s="198">
        <v>4.9678116337588598</v>
      </c>
      <c r="E417" s="198">
        <v>9.0035814438149799</v>
      </c>
      <c r="F417" s="198">
        <v>4.8713095436916598</v>
      </c>
      <c r="G417" s="198">
        <v>4.2232961215773903</v>
      </c>
      <c r="H417" s="198">
        <v>4.08859836883002</v>
      </c>
      <c r="I417" s="198">
        <v>5.3196732217103078</v>
      </c>
      <c r="J417" s="198">
        <v>7.9133403701389469</v>
      </c>
      <c r="K417" s="198">
        <v>9.9872151538701655</v>
      </c>
      <c r="L417" s="191">
        <v>9.8150254753686923</v>
      </c>
      <c r="M417" s="197">
        <v>13.737</v>
      </c>
      <c r="N417" s="198">
        <v>9.9869580796748796</v>
      </c>
      <c r="O417" s="198">
        <v>21.260997120234773</v>
      </c>
      <c r="P417" s="198">
        <v>12.247195097212629</v>
      </c>
      <c r="Q417" s="198">
        <v>12.718998501057943</v>
      </c>
      <c r="R417" s="198">
        <v>12.395109693381038</v>
      </c>
      <c r="S417" s="198">
        <v>12.847874610366919</v>
      </c>
      <c r="T417" s="198">
        <v>14.33</v>
      </c>
      <c r="U417" s="198">
        <v>15.286409269644313</v>
      </c>
      <c r="V417" s="198">
        <v>13.602127253664559</v>
      </c>
      <c r="W417" s="198">
        <v>10.041119989920904</v>
      </c>
      <c r="X417" s="191">
        <v>11.438799544494007</v>
      </c>
      <c r="Y417" s="197">
        <v>5.8927769538458401</v>
      </c>
      <c r="Z417" s="198">
        <v>3.3840035995954101</v>
      </c>
      <c r="AA417" s="198">
        <v>11.2457157118296</v>
      </c>
      <c r="AB417" s="198">
        <v>6.3153465052691304</v>
      </c>
      <c r="AC417" s="198">
        <v>4.6966172918011901</v>
      </c>
      <c r="AD417" s="191">
        <v>6.8405384840724901</v>
      </c>
      <c r="AE417" s="199" t="s">
        <v>207</v>
      </c>
    </row>
    <row r="418" spans="2:31" ht="14.25" customHeight="1">
      <c r="B418" s="369">
        <v>42370</v>
      </c>
      <c r="C418" s="197"/>
      <c r="D418" s="198"/>
      <c r="E418" s="198"/>
      <c r="F418" s="198"/>
      <c r="G418" s="198"/>
      <c r="H418" s="198"/>
      <c r="I418" s="198"/>
      <c r="J418" s="198"/>
      <c r="K418" s="198"/>
      <c r="L418" s="191"/>
      <c r="M418" s="197"/>
      <c r="N418" s="198"/>
      <c r="O418" s="198"/>
      <c r="P418" s="198"/>
      <c r="Q418" s="198"/>
      <c r="R418" s="198"/>
      <c r="S418" s="198"/>
      <c r="T418" s="198"/>
      <c r="U418" s="198"/>
      <c r="V418" s="198"/>
      <c r="W418" s="198"/>
      <c r="X418" s="191"/>
      <c r="Y418" s="197"/>
      <c r="Z418" s="198"/>
      <c r="AA418" s="198"/>
      <c r="AB418" s="198"/>
      <c r="AC418" s="198"/>
      <c r="AD418" s="191"/>
      <c r="AE418" s="374">
        <v>42370</v>
      </c>
    </row>
    <row r="419" spans="2:31" ht="14.25" customHeight="1">
      <c r="B419" s="368" t="s">
        <v>184</v>
      </c>
      <c r="C419" s="197">
        <v>8.0846398406764397</v>
      </c>
      <c r="D419" s="198">
        <v>5.8211878960792998</v>
      </c>
      <c r="E419" s="198">
        <v>9.1430579002005903</v>
      </c>
      <c r="F419" s="198">
        <v>6.5550852398610076</v>
      </c>
      <c r="G419" s="198">
        <v>8.0497382802212289</v>
      </c>
      <c r="H419" s="198">
        <v>8.5813182425859811</v>
      </c>
      <c r="I419" s="198">
        <v>5.5813175901741969</v>
      </c>
      <c r="J419" s="198">
        <v>8.2160029198757911</v>
      </c>
      <c r="K419" s="198">
        <v>7.8471408119128947</v>
      </c>
      <c r="L419" s="191">
        <v>11.616890307635797</v>
      </c>
      <c r="M419" s="197">
        <v>13.600373857141348</v>
      </c>
      <c r="N419" s="198">
        <v>9.7226726185170289</v>
      </c>
      <c r="O419" s="198">
        <v>17.455650251249018</v>
      </c>
      <c r="P419" s="198">
        <v>16.76527965256853</v>
      </c>
      <c r="Q419" s="198">
        <v>12.656516793777145</v>
      </c>
      <c r="R419" s="198">
        <v>14.355259514493643</v>
      </c>
      <c r="S419" s="198">
        <v>13.977629869359747</v>
      </c>
      <c r="T419" s="198">
        <v>17.607243623394751</v>
      </c>
      <c r="U419" s="198">
        <v>17.44831015480564</v>
      </c>
      <c r="V419" s="198">
        <v>11.541479933957046</v>
      </c>
      <c r="W419" s="198">
        <v>7.5144766954884732</v>
      </c>
      <c r="X419" s="191">
        <v>7.3494661353028361</v>
      </c>
      <c r="Y419" s="197">
        <v>5.6525575817833902</v>
      </c>
      <c r="Z419" s="198">
        <v>1.14828072470136</v>
      </c>
      <c r="AA419" s="198">
        <v>18.867924528301899</v>
      </c>
      <c r="AB419" s="198">
        <v>12.69646333297</v>
      </c>
      <c r="AC419" s="198">
        <v>5.5253465218276396</v>
      </c>
      <c r="AD419" s="191">
        <v>6.2624452892382099</v>
      </c>
      <c r="AE419" s="199" t="s">
        <v>350</v>
      </c>
    </row>
    <row r="420" spans="2:31" ht="14.25" customHeight="1">
      <c r="B420" s="368" t="s">
        <v>351</v>
      </c>
      <c r="C420" s="197">
        <v>8.0585173415691198</v>
      </c>
      <c r="D420" s="198">
        <v>4.80731400651716</v>
      </c>
      <c r="E420" s="198">
        <v>8.8283399301766092</v>
      </c>
      <c r="F420" s="198">
        <v>5.1652618225941165</v>
      </c>
      <c r="G420" s="198">
        <v>3.8695699527709904</v>
      </c>
      <c r="H420" s="198">
        <v>3.7399972679071323</v>
      </c>
      <c r="I420" s="198">
        <v>3.8681695698995848</v>
      </c>
      <c r="J420" s="198">
        <v>7.6453051059621888</v>
      </c>
      <c r="K420" s="198">
        <v>9.9091583380620545</v>
      </c>
      <c r="L420" s="191">
        <v>9.8503870448395432</v>
      </c>
      <c r="M420" s="197">
        <v>12.525502329406873</v>
      </c>
      <c r="N420" s="198">
        <v>8.7801546056214388</v>
      </c>
      <c r="O420" s="198">
        <v>20.723113622101469</v>
      </c>
      <c r="P420" s="198">
        <v>12.508118247365942</v>
      </c>
      <c r="Q420" s="198">
        <v>13.087924960773032</v>
      </c>
      <c r="R420" s="198">
        <v>12.055340383225751</v>
      </c>
      <c r="S420" s="198">
        <v>13.230187165903269</v>
      </c>
      <c r="T420" s="198">
        <v>9.9103325719387065</v>
      </c>
      <c r="U420" s="198">
        <v>14.292384345655433</v>
      </c>
      <c r="V420" s="198">
        <v>14.446049352298923</v>
      </c>
      <c r="W420" s="198">
        <v>9.5503646378579283</v>
      </c>
      <c r="X420" s="191">
        <v>10.722638141350142</v>
      </c>
      <c r="Y420" s="197">
        <v>5.5956879363860201</v>
      </c>
      <c r="Z420" s="198">
        <v>2.8228701735390498</v>
      </c>
      <c r="AA420" s="198">
        <v>11.1427815551727</v>
      </c>
      <c r="AB420" s="198">
        <v>7.9797459057808</v>
      </c>
      <c r="AC420" s="198">
        <v>5.0191271051888098</v>
      </c>
      <c r="AD420" s="191">
        <v>7.04071070945378</v>
      </c>
      <c r="AE420" s="199" t="s">
        <v>207</v>
      </c>
    </row>
    <row r="421" spans="2:31" ht="14.25" hidden="1" customHeight="1">
      <c r="B421" s="369">
        <v>42371</v>
      </c>
      <c r="C421" s="197"/>
      <c r="D421" s="198"/>
      <c r="E421" s="198"/>
      <c r="F421" s="198"/>
      <c r="G421" s="198"/>
      <c r="H421" s="198"/>
      <c r="I421" s="198"/>
      <c r="J421" s="198"/>
      <c r="K421" s="198"/>
      <c r="L421" s="191"/>
      <c r="M421" s="197"/>
      <c r="N421" s="198"/>
      <c r="O421" s="198"/>
      <c r="P421" s="198"/>
      <c r="Q421" s="198"/>
      <c r="R421" s="198"/>
      <c r="S421" s="198"/>
      <c r="T421" s="198"/>
      <c r="U421" s="198"/>
      <c r="V421" s="198"/>
      <c r="W421" s="198"/>
      <c r="X421" s="191"/>
      <c r="Y421" s="197"/>
      <c r="Z421" s="198"/>
      <c r="AA421" s="198"/>
      <c r="AB421" s="198"/>
      <c r="AC421" s="198"/>
      <c r="AD421" s="191"/>
      <c r="AE421" s="374">
        <v>42371</v>
      </c>
    </row>
    <row r="422" spans="2:31" ht="14.25" hidden="1" customHeight="1">
      <c r="B422" s="368" t="s">
        <v>184</v>
      </c>
      <c r="C422" s="197">
        <v>7.7549340153815249</v>
      </c>
      <c r="D422" s="198">
        <v>5.8592718492586604</v>
      </c>
      <c r="E422" s="198">
        <v>8.9048486191943308</v>
      </c>
      <c r="F422" s="198">
        <v>6.9023233322837427</v>
      </c>
      <c r="G422" s="198">
        <v>5.1607081599403726</v>
      </c>
      <c r="H422" s="198">
        <v>8.2445880924407149</v>
      </c>
      <c r="I422" s="198">
        <v>5.2190364693783877</v>
      </c>
      <c r="J422" s="198">
        <v>7.8831133290903646</v>
      </c>
      <c r="K422" s="198">
        <v>7.5946955017922608</v>
      </c>
      <c r="L422" s="191">
        <v>11.995523774788452</v>
      </c>
      <c r="M422" s="197">
        <v>13.359451901813932</v>
      </c>
      <c r="N422" s="198">
        <v>9.247802496088422</v>
      </c>
      <c r="O422" s="198">
        <v>17.496077738201457</v>
      </c>
      <c r="P422" s="198">
        <v>16.855526352024913</v>
      </c>
      <c r="Q422" s="198">
        <v>12.421010710380028</v>
      </c>
      <c r="R422" s="198">
        <v>14.616480355903599</v>
      </c>
      <c r="S422" s="198">
        <v>13.126090465619011</v>
      </c>
      <c r="T422" s="198">
        <v>17.338082292484433</v>
      </c>
      <c r="W422" s="198">
        <v>7.5918116071319997</v>
      </c>
      <c r="X422" s="191">
        <v>7.2412231984516291</v>
      </c>
      <c r="Y422" s="197">
        <v>5.8855327241111901</v>
      </c>
      <c r="Z422" s="198">
        <v>1.01802376874773</v>
      </c>
      <c r="AA422" s="198">
        <v>18.867924528301899</v>
      </c>
      <c r="AB422" s="198">
        <v>12.69646333297</v>
      </c>
      <c r="AC422" s="198">
        <v>5.5233643933386203</v>
      </c>
      <c r="AD422" s="191">
        <v>7.1498432379042498</v>
      </c>
      <c r="AE422" s="199" t="s">
        <v>350</v>
      </c>
    </row>
    <row r="423" spans="2:31" ht="14.25" hidden="1" customHeight="1">
      <c r="B423" s="368" t="s">
        <v>351</v>
      </c>
      <c r="C423" s="197">
        <v>7.669221598017975</v>
      </c>
      <c r="D423" s="198">
        <v>3.7156025250933</v>
      </c>
      <c r="E423" s="198">
        <v>8.6635297080296905</v>
      </c>
      <c r="F423" s="198">
        <v>4.4863289067993728</v>
      </c>
      <c r="G423" s="198">
        <v>4.0500611879883293</v>
      </c>
      <c r="H423" s="198">
        <v>2.9164857957928305</v>
      </c>
      <c r="I423" s="198">
        <v>3.2483814373821533</v>
      </c>
      <c r="J423" s="198">
        <v>7.3606708657222768</v>
      </c>
      <c r="K423" s="198">
        <v>9.3329641085421269</v>
      </c>
      <c r="L423" s="191">
        <v>9.5114820356581582</v>
      </c>
      <c r="M423" s="197">
        <v>12.370133783191344</v>
      </c>
      <c r="N423" s="198">
        <v>8.7842666290604914</v>
      </c>
      <c r="O423" s="198">
        <v>20.64516489235368</v>
      </c>
      <c r="P423" s="198">
        <v>12.266256796076076</v>
      </c>
      <c r="Q423" s="198">
        <v>13.446045193965974</v>
      </c>
      <c r="R423" s="198">
        <v>12.039001032260908</v>
      </c>
      <c r="S423" s="198">
        <v>13.182234106419884</v>
      </c>
      <c r="T423" s="198">
        <v>9.8466350197557908</v>
      </c>
      <c r="U423" s="198">
        <v>16.939242005423367</v>
      </c>
      <c r="V423" s="198">
        <v>11.604464939171832</v>
      </c>
      <c r="W423" s="198">
        <v>9.3317148974205679</v>
      </c>
      <c r="X423" s="191">
        <v>10.743381118806749</v>
      </c>
      <c r="Y423" s="197">
        <v>5.2827638739411196</v>
      </c>
      <c r="Z423" s="198">
        <v>2.32481914041063</v>
      </c>
      <c r="AA423" s="198">
        <v>11.052385335283599</v>
      </c>
      <c r="AB423" s="198">
        <v>7.6179520160917997</v>
      </c>
      <c r="AC423" s="198">
        <v>4.4613927323300802</v>
      </c>
      <c r="AD423" s="191">
        <v>5.2016430169704897</v>
      </c>
      <c r="AE423" s="199" t="s">
        <v>207</v>
      </c>
    </row>
    <row r="424" spans="2:31" ht="14.25" hidden="1" customHeight="1">
      <c r="B424" s="369">
        <v>42372</v>
      </c>
      <c r="C424" s="197"/>
      <c r="D424" s="198"/>
      <c r="E424" s="198"/>
      <c r="F424" s="198"/>
      <c r="G424" s="198"/>
      <c r="H424" s="198"/>
      <c r="I424" s="198"/>
      <c r="J424" s="198"/>
      <c r="K424" s="198"/>
      <c r="L424" s="191"/>
      <c r="M424" s="197"/>
      <c r="N424" s="198"/>
      <c r="O424" s="198"/>
      <c r="P424" s="198"/>
      <c r="Q424" s="198"/>
      <c r="R424" s="198"/>
      <c r="S424" s="198"/>
      <c r="T424" s="198"/>
      <c r="U424" s="198">
        <v>14.174800273401198</v>
      </c>
      <c r="V424" s="198">
        <v>13.748817663003324</v>
      </c>
      <c r="W424" s="198"/>
      <c r="X424" s="191"/>
      <c r="Y424" s="197"/>
      <c r="Z424" s="198"/>
      <c r="AA424" s="198"/>
      <c r="AB424" s="198"/>
      <c r="AC424" s="198"/>
      <c r="AD424" s="191"/>
      <c r="AE424" s="374">
        <v>42372</v>
      </c>
    </row>
    <row r="425" spans="2:31" ht="14.25" hidden="1" customHeight="1">
      <c r="B425" s="368" t="s">
        <v>184</v>
      </c>
      <c r="C425" s="197">
        <v>7.8330607922234901</v>
      </c>
      <c r="D425" s="198">
        <v>6</v>
      </c>
      <c r="E425" s="198">
        <v>8.9616318320289405</v>
      </c>
      <c r="F425" s="198">
        <v>7.6211165219846171</v>
      </c>
      <c r="G425" s="198">
        <v>8.2038999261161187</v>
      </c>
      <c r="H425" s="198">
        <v>11.976629805311482</v>
      </c>
      <c r="I425" s="198">
        <v>5.2447209575055185</v>
      </c>
      <c r="J425" s="198">
        <v>7.8161426834107193</v>
      </c>
      <c r="K425" s="198">
        <v>8.9618483947961263</v>
      </c>
      <c r="L425" s="191">
        <v>11.49816844872116</v>
      </c>
      <c r="M425" s="197">
        <v>13.168994119156967</v>
      </c>
      <c r="N425" s="198">
        <v>9.184192378246463</v>
      </c>
      <c r="O425" s="198">
        <v>17.237507119751509</v>
      </c>
      <c r="P425" s="198">
        <v>16.041556794811147</v>
      </c>
      <c r="Q425" s="198">
        <v>12.84833951308649</v>
      </c>
      <c r="R425" s="198">
        <v>16.149615881161065</v>
      </c>
      <c r="S425" s="198">
        <v>12.16310961782094</v>
      </c>
      <c r="T425" s="198">
        <v>16.556722295723638</v>
      </c>
      <c r="U425" s="198"/>
      <c r="V425" s="198"/>
      <c r="W425" s="198">
        <v>7.5345812740672704</v>
      </c>
      <c r="X425" s="191">
        <v>7.2942296620821612</v>
      </c>
      <c r="Y425" s="197">
        <v>5.8788109668322397</v>
      </c>
      <c r="Z425" s="198">
        <v>1.0059933947505699</v>
      </c>
      <c r="AA425" s="198">
        <v>18.867924528301899</v>
      </c>
      <c r="AB425" s="198">
        <v>7.6076028398491102</v>
      </c>
      <c r="AC425" s="198">
        <v>7.0501760550274302</v>
      </c>
      <c r="AD425" s="191">
        <v>5.5983552989376699</v>
      </c>
      <c r="AE425" s="199" t="s">
        <v>350</v>
      </c>
    </row>
    <row r="426" spans="2:31" ht="14.25" hidden="1" customHeight="1">
      <c r="B426" s="368" t="s">
        <v>351</v>
      </c>
      <c r="C426" s="197">
        <v>6.9931245152580832</v>
      </c>
      <c r="D426" s="198">
        <v>3.1498093614374301</v>
      </c>
      <c r="E426" s="198">
        <v>8.2851992820996205</v>
      </c>
      <c r="F426" s="198">
        <v>5.2751217356972271</v>
      </c>
      <c r="G426" s="198">
        <v>3.5986077704646662</v>
      </c>
      <c r="H426" s="198">
        <v>3.1767220679385662</v>
      </c>
      <c r="I426" s="198">
        <v>3.0860225947476265</v>
      </c>
      <c r="J426" s="198">
        <v>6.8523128929413621</v>
      </c>
      <c r="K426" s="198">
        <v>8.9724906007330461</v>
      </c>
      <c r="L426" s="191">
        <v>9.2375595941066937</v>
      </c>
      <c r="M426" s="197">
        <v>12.33983292492276</v>
      </c>
      <c r="N426" s="198">
        <v>8.8644026095323891</v>
      </c>
      <c r="O426" s="198">
        <v>20.188096794752351</v>
      </c>
      <c r="P426" s="198">
        <v>11.998421342982892</v>
      </c>
      <c r="Q426" s="198">
        <v>13.157092912235802</v>
      </c>
      <c r="R426" s="198">
        <v>12.279429344733966</v>
      </c>
      <c r="S426" s="198">
        <v>13.258531967279186</v>
      </c>
      <c r="T426" s="198">
        <v>10.38904144555994</v>
      </c>
      <c r="U426" s="198">
        <v>16.856045199905495</v>
      </c>
      <c r="V426" s="198">
        <v>11.532072321928574</v>
      </c>
      <c r="W426" s="198">
        <v>8.951369212372601</v>
      </c>
      <c r="X426" s="191">
        <v>10.956514954179488</v>
      </c>
      <c r="Y426" s="197">
        <v>4.8251730940978801</v>
      </c>
      <c r="Z426" s="198">
        <v>2.36613583402668</v>
      </c>
      <c r="AA426" s="198">
        <v>10.3945166266294</v>
      </c>
      <c r="AB426" s="198">
        <v>7.9648354347470098</v>
      </c>
      <c r="AC426" s="198">
        <v>5.7771454136564104</v>
      </c>
      <c r="AD426" s="191">
        <v>3.7766590767308599</v>
      </c>
      <c r="AE426" s="199" t="s">
        <v>207</v>
      </c>
    </row>
    <row r="427" spans="2:31" ht="12" hidden="1" customHeight="1">
      <c r="B427" s="369">
        <v>42373</v>
      </c>
      <c r="C427" s="197"/>
      <c r="E427" s="198"/>
      <c r="F427" s="198"/>
      <c r="G427" s="198"/>
      <c r="H427" s="198"/>
      <c r="I427" s="198"/>
      <c r="J427" s="198"/>
      <c r="K427" s="198"/>
      <c r="L427" s="191"/>
      <c r="M427" s="197"/>
      <c r="N427" s="198"/>
      <c r="O427" s="198"/>
      <c r="P427" s="198"/>
      <c r="Q427" s="198"/>
      <c r="R427" s="198"/>
      <c r="S427" s="198"/>
      <c r="T427" s="198"/>
      <c r="U427" s="198">
        <v>13.874147313558291</v>
      </c>
      <c r="V427" s="198">
        <v>13.512862911023419</v>
      </c>
      <c r="W427" s="198"/>
      <c r="X427" s="191"/>
      <c r="Y427" s="197"/>
      <c r="Z427" s="198"/>
      <c r="AA427" s="198"/>
      <c r="AB427" s="198"/>
      <c r="AC427" s="198"/>
      <c r="AD427" s="191"/>
      <c r="AE427" s="374">
        <v>42373</v>
      </c>
    </row>
    <row r="428" spans="2:31" ht="12" hidden="1" customHeight="1">
      <c r="B428" s="368" t="s">
        <v>184</v>
      </c>
      <c r="C428" s="197">
        <v>7.8546249983483261</v>
      </c>
      <c r="D428" s="198">
        <v>5.4306023012632894</v>
      </c>
      <c r="E428" s="198">
        <v>9.1863149915308071</v>
      </c>
      <c r="F428" s="198">
        <v>8.3561234667273236</v>
      </c>
      <c r="G428" s="198">
        <v>4.4281677554245231</v>
      </c>
      <c r="H428" s="198">
        <v>12.063745399817648</v>
      </c>
      <c r="I428" s="198">
        <v>5.7857469402955637</v>
      </c>
      <c r="J428" s="198">
        <v>7.8308770683566156</v>
      </c>
      <c r="K428" s="198">
        <v>8.2169076790480027</v>
      </c>
      <c r="L428" s="191">
        <v>8.3906090383604663</v>
      </c>
      <c r="M428" s="197">
        <v>12.894417055549514</v>
      </c>
      <c r="N428" s="198">
        <v>8.8366158345621031</v>
      </c>
      <c r="O428" s="198">
        <v>17.001538541436656</v>
      </c>
      <c r="P428" s="198">
        <v>15.252031573646562</v>
      </c>
      <c r="Q428" s="198">
        <v>12.658361063163603</v>
      </c>
      <c r="R428" s="198">
        <v>15.131120906421089</v>
      </c>
      <c r="S428" s="198">
        <v>14.7782212624753</v>
      </c>
      <c r="T428" s="198">
        <v>16.782294993135956</v>
      </c>
      <c r="U428" s="198">
        <v>16.478011746598668</v>
      </c>
      <c r="V428" s="198">
        <v>11.019015764215258</v>
      </c>
      <c r="W428" s="198">
        <v>7.515171044014715</v>
      </c>
      <c r="X428" s="191">
        <v>7.3850903382320183</v>
      </c>
      <c r="Y428" s="197">
        <v>5.845806271567457</v>
      </c>
      <c r="Z428" s="198">
        <v>1.38141776011325</v>
      </c>
      <c r="AA428" s="198">
        <v>18.867924528301899</v>
      </c>
      <c r="AB428" s="198">
        <v>8.8280656789851708</v>
      </c>
      <c r="AC428" s="198">
        <v>6.6122865648548501</v>
      </c>
      <c r="AD428" s="191">
        <v>4.1025284467713803</v>
      </c>
      <c r="AE428" s="199" t="s">
        <v>350</v>
      </c>
    </row>
    <row r="429" spans="2:31" ht="12" hidden="1" customHeight="1">
      <c r="B429" s="368" t="s">
        <v>351</v>
      </c>
      <c r="C429" s="197">
        <v>6.2779121374884701</v>
      </c>
      <c r="D429" s="198">
        <v>3.37</v>
      </c>
      <c r="E429" s="198">
        <v>7.7503811665346856</v>
      </c>
      <c r="F429" s="198">
        <v>4.7287219684249902</v>
      </c>
      <c r="G429" s="198">
        <v>4.4117282316346396</v>
      </c>
      <c r="H429" s="198">
        <v>3.1183731328084603</v>
      </c>
      <c r="I429" s="198">
        <v>2.7596684514163341</v>
      </c>
      <c r="J429" s="198">
        <v>4.9657113580488339</v>
      </c>
      <c r="K429" s="198">
        <v>8.2319422762121501</v>
      </c>
      <c r="L429" s="191">
        <v>8.8003835213264807</v>
      </c>
      <c r="M429" s="197">
        <v>11.640958846474957</v>
      </c>
      <c r="N429" s="198">
        <v>8.3051566014637146</v>
      </c>
      <c r="O429" s="198">
        <v>18.913439441546412</v>
      </c>
      <c r="P429" s="198">
        <v>10.482925685461955</v>
      </c>
      <c r="Q429" s="198">
        <v>12.729973142547253</v>
      </c>
      <c r="R429" s="198">
        <v>11.701581918682862</v>
      </c>
      <c r="S429" s="198">
        <v>13.147404267691996</v>
      </c>
      <c r="T429" s="198">
        <v>10.357359795570776</v>
      </c>
      <c r="U429" s="198">
        <v>12.504565659388467</v>
      </c>
      <c r="V429" s="198">
        <v>13.131378925777975</v>
      </c>
      <c r="W429" s="198">
        <v>8.9266084251071351</v>
      </c>
      <c r="X429" s="191">
        <v>10.062678295404533</v>
      </c>
      <c r="Y429" s="197">
        <v>4.5285504587531369</v>
      </c>
      <c r="Z429" s="198">
        <v>2.161738467862842</v>
      </c>
      <c r="AA429" s="198">
        <v>12.010766960969759</v>
      </c>
      <c r="AB429" s="198">
        <v>8.3472319236609511</v>
      </c>
      <c r="AC429" s="198">
        <v>5.4939799018210396</v>
      </c>
      <c r="AD429" s="191">
        <v>4.1715789471545088</v>
      </c>
      <c r="AE429" s="199" t="s">
        <v>207</v>
      </c>
    </row>
    <row r="430" spans="2:31" ht="12" hidden="1" customHeight="1">
      <c r="B430" s="369">
        <v>42374</v>
      </c>
      <c r="C430" s="197"/>
      <c r="E430" s="198"/>
      <c r="F430" s="198"/>
      <c r="G430" s="198"/>
      <c r="H430" s="198"/>
      <c r="I430" s="198"/>
      <c r="J430" s="198"/>
      <c r="K430" s="198"/>
      <c r="L430" s="191"/>
      <c r="M430" s="197"/>
      <c r="N430" s="198"/>
      <c r="O430" s="198"/>
      <c r="P430" s="198"/>
      <c r="Q430" s="198"/>
      <c r="R430" s="198"/>
      <c r="S430" s="198"/>
      <c r="T430" s="198"/>
      <c r="U430" s="198"/>
      <c r="V430" s="198"/>
      <c r="W430" s="198"/>
      <c r="X430" s="191"/>
      <c r="Y430" s="197"/>
      <c r="Z430" s="198"/>
      <c r="AA430" s="198"/>
      <c r="AB430" s="198"/>
      <c r="AC430" s="198"/>
      <c r="AD430" s="191"/>
      <c r="AE430" s="374">
        <v>42374</v>
      </c>
    </row>
    <row r="431" spans="2:31" ht="12" hidden="1" customHeight="1">
      <c r="B431" s="368" t="s">
        <v>184</v>
      </c>
      <c r="C431" s="197">
        <v>7.7679742041894579</v>
      </c>
      <c r="D431" s="198">
        <v>5.54669882262277</v>
      </c>
      <c r="E431" s="198">
        <v>8.9406493286928708</v>
      </c>
      <c r="F431" s="198">
        <v>9.9821080789319385</v>
      </c>
      <c r="G431" s="198">
        <v>5.5963840677055332</v>
      </c>
      <c r="H431" s="198">
        <v>12.735621564263877</v>
      </c>
      <c r="I431" s="198">
        <v>6.1731339738571824</v>
      </c>
      <c r="J431" s="198">
        <v>8.1191092133352765</v>
      </c>
      <c r="K431" s="198">
        <v>7.5593735125740062</v>
      </c>
      <c r="L431" s="191">
        <v>10.522906013819002</v>
      </c>
      <c r="M431" s="197">
        <v>12.853397682452025</v>
      </c>
      <c r="N431" s="198">
        <v>8.8423561076465163</v>
      </c>
      <c r="O431" s="198">
        <v>16.905335769369266</v>
      </c>
      <c r="P431" s="198">
        <v>14.971379311487549</v>
      </c>
      <c r="Q431" s="198">
        <v>12.496335870494267</v>
      </c>
      <c r="R431" s="198">
        <v>16.485230069826535</v>
      </c>
      <c r="S431" s="198">
        <v>12.340339958163884</v>
      </c>
      <c r="T431" s="198">
        <v>17.08332544275768</v>
      </c>
      <c r="U431" s="198">
        <v>16.325779381487909</v>
      </c>
      <c r="V431" s="198">
        <v>10.988139141153068</v>
      </c>
      <c r="W431" s="198">
        <v>7.4338123127537035</v>
      </c>
      <c r="X431" s="191">
        <v>7.358519241658307</v>
      </c>
      <c r="Y431" s="197">
        <v>5.3191613893579621</v>
      </c>
      <c r="Z431" s="198">
        <v>1.3531595479949414</v>
      </c>
      <c r="AA431" s="198">
        <v>13.402747009304401</v>
      </c>
      <c r="AB431" s="198">
        <v>8.6909162845756498</v>
      </c>
      <c r="AC431" s="198">
        <v>6.5118220134836999</v>
      </c>
      <c r="AD431" s="191">
        <v>1.54154017442939</v>
      </c>
      <c r="AE431" s="199" t="s">
        <v>350</v>
      </c>
    </row>
    <row r="432" spans="2:31" ht="12" hidden="1" customHeight="1">
      <c r="B432" s="368" t="s">
        <v>351</v>
      </c>
      <c r="C432" s="197">
        <v>5.8381688648343069</v>
      </c>
      <c r="D432" s="198">
        <v>3.4169223727224298</v>
      </c>
      <c r="E432" s="198">
        <v>7.0774900522169695</v>
      </c>
      <c r="F432" s="198">
        <v>1.8814267735419323</v>
      </c>
      <c r="G432" s="198">
        <v>5.0578163269261216</v>
      </c>
      <c r="H432" s="198">
        <v>2.6866858463519372</v>
      </c>
      <c r="I432" s="198">
        <v>2.7123947064406138</v>
      </c>
      <c r="J432" s="198">
        <v>4.3958474485751804</v>
      </c>
      <c r="K432" s="198">
        <v>7.8337206396019923</v>
      </c>
      <c r="L432" s="191">
        <v>8.8471504055191694</v>
      </c>
      <c r="M432" s="197">
        <v>11.405322052478029</v>
      </c>
      <c r="N432" s="198">
        <v>7.6796442782466041</v>
      </c>
      <c r="O432" s="198">
        <v>19.329259855541103</v>
      </c>
      <c r="P432" s="198">
        <v>14.892600009954061</v>
      </c>
      <c r="Q432" s="198">
        <v>12.058911977068016</v>
      </c>
      <c r="R432" s="198">
        <v>11.753319885219186</v>
      </c>
      <c r="S432" s="198">
        <v>12.639120151278023</v>
      </c>
      <c r="T432" s="198">
        <v>10.362009329221703</v>
      </c>
      <c r="U432" s="198">
        <v>13.840398226838936</v>
      </c>
      <c r="V432" s="198">
        <v>10.132740966090893</v>
      </c>
      <c r="W432" s="198">
        <v>8.844010353628752</v>
      </c>
      <c r="X432" s="191">
        <v>9.9260808440445718</v>
      </c>
      <c r="Y432" s="197">
        <v>4.5513133702539443</v>
      </c>
      <c r="Z432" s="198">
        <v>2.2986823323751646</v>
      </c>
      <c r="AA432" s="198">
        <v>12.470294675199087</v>
      </c>
      <c r="AB432" s="198">
        <v>9.6110470586676247</v>
      </c>
      <c r="AC432" s="198">
        <v>5.5003348190675903</v>
      </c>
      <c r="AD432" s="191">
        <v>4.1672887415519311</v>
      </c>
      <c r="AE432" s="199" t="s">
        <v>207</v>
      </c>
    </row>
    <row r="433" spans="2:31" ht="12" hidden="1" customHeight="1">
      <c r="B433" s="369">
        <v>42375</v>
      </c>
      <c r="C433" s="197"/>
      <c r="D433" s="198"/>
      <c r="E433" s="198"/>
      <c r="F433" s="198"/>
      <c r="G433" s="198"/>
      <c r="H433" s="198"/>
      <c r="I433" s="198"/>
      <c r="J433" s="198"/>
      <c r="K433" s="198"/>
      <c r="L433" s="191"/>
      <c r="M433" s="197"/>
      <c r="N433" s="198"/>
      <c r="O433" s="198"/>
      <c r="P433" s="198"/>
      <c r="Q433" s="198"/>
      <c r="R433" s="198"/>
      <c r="S433" s="198"/>
      <c r="T433" s="198"/>
      <c r="U433" s="198"/>
      <c r="V433" s="198"/>
      <c r="W433" s="198"/>
      <c r="X433" s="191"/>
      <c r="Y433" s="197"/>
      <c r="Z433" s="198"/>
      <c r="AA433" s="198"/>
      <c r="AB433" s="198"/>
      <c r="AC433" s="198"/>
      <c r="AD433" s="191"/>
      <c r="AE433" s="374">
        <v>42375</v>
      </c>
    </row>
    <row r="434" spans="2:31" ht="12" hidden="1" customHeight="1">
      <c r="B434" s="368" t="s">
        <v>184</v>
      </c>
      <c r="C434" s="197">
        <v>7.7787056990116357</v>
      </c>
      <c r="D434" s="198">
        <v>5.4913707859508101</v>
      </c>
      <c r="E434" s="198">
        <v>8.9532688197881569</v>
      </c>
      <c r="F434" s="198">
        <v>9.7717833893026604</v>
      </c>
      <c r="G434" s="198">
        <v>5.6858722538786708</v>
      </c>
      <c r="H434" s="198">
        <v>13.353334770604866</v>
      </c>
      <c r="I434" s="198">
        <v>7.5065248475020132</v>
      </c>
      <c r="J434" s="198">
        <v>8.1329879747116198</v>
      </c>
      <c r="K434" s="198">
        <v>7.4814913457121373</v>
      </c>
      <c r="L434" s="191">
        <v>9.9602492421461299</v>
      </c>
      <c r="M434" s="197">
        <v>12.431248436857066</v>
      </c>
      <c r="N434" s="198">
        <v>8.2766571349243883</v>
      </c>
      <c r="O434" s="198">
        <v>16.720979725017443</v>
      </c>
      <c r="P434" s="198">
        <v>14.794130550684709</v>
      </c>
      <c r="Q434" s="198">
        <v>11.502632673512656</v>
      </c>
      <c r="R434" s="198">
        <v>16.25289139058718</v>
      </c>
      <c r="S434" s="198">
        <v>13.755968549991893</v>
      </c>
      <c r="T434" s="198">
        <v>16.360906657019314</v>
      </c>
      <c r="U434" s="198">
        <v>15.730767646701297</v>
      </c>
      <c r="V434" s="198">
        <v>10.808585990676367</v>
      </c>
      <c r="W434" s="198">
        <v>7.1382985177734586</v>
      </c>
      <c r="X434" s="191">
        <v>7.3535431986420337</v>
      </c>
      <c r="Y434" s="197">
        <v>4.639443797427</v>
      </c>
      <c r="Z434" s="198">
        <v>1.3580521016725353</v>
      </c>
      <c r="AA434" s="198">
        <v>8.9498806682577605</v>
      </c>
      <c r="AB434" s="198">
        <v>8.6909162845756498</v>
      </c>
      <c r="AC434" s="198">
        <v>6.5118220134836999</v>
      </c>
      <c r="AD434" s="191">
        <v>1.25440610104862</v>
      </c>
      <c r="AE434" s="199" t="s">
        <v>350</v>
      </c>
    </row>
    <row r="435" spans="2:31" ht="12" hidden="1" customHeight="1">
      <c r="B435" s="368" t="s">
        <v>351</v>
      </c>
      <c r="C435" s="197">
        <v>5.418083950833755</v>
      </c>
      <c r="D435" s="198">
        <v>3.1692924876830237</v>
      </c>
      <c r="E435" s="198">
        <v>6.9408055553740384</v>
      </c>
      <c r="F435" s="198">
        <v>2.4303380635045109</v>
      </c>
      <c r="G435" s="198">
        <v>5.1729573997426082</v>
      </c>
      <c r="H435" s="198">
        <v>2.677458768572119</v>
      </c>
      <c r="I435" s="198">
        <v>1.9394033223687928</v>
      </c>
      <c r="J435" s="198">
        <v>3.9861056740686873</v>
      </c>
      <c r="K435" s="198">
        <v>7.6216543792043874</v>
      </c>
      <c r="L435" s="191">
        <v>9.1877321362774715</v>
      </c>
      <c r="M435" s="197">
        <v>10.186180120543163</v>
      </c>
      <c r="N435" s="198">
        <v>5.7335590509677852</v>
      </c>
      <c r="O435" s="198">
        <v>19.304942726601233</v>
      </c>
      <c r="P435" s="198">
        <v>4.2891231727497114</v>
      </c>
      <c r="Q435" s="198">
        <v>9.478899538389733</v>
      </c>
      <c r="R435" s="198">
        <v>5.634734508087007</v>
      </c>
      <c r="S435" s="198">
        <v>3.8081193804896873</v>
      </c>
      <c r="T435" s="198">
        <v>8.9671191659083842</v>
      </c>
      <c r="U435" s="198">
        <v>13.463357208219044</v>
      </c>
      <c r="V435" s="198">
        <v>9.2269206402271902</v>
      </c>
      <c r="W435" s="198">
        <v>8.414359139511161</v>
      </c>
      <c r="X435" s="191">
        <v>9.7493904802152667</v>
      </c>
      <c r="Y435" s="197">
        <v>4.4906427477746416</v>
      </c>
      <c r="Z435" s="198">
        <v>2.0498981980090782</v>
      </c>
      <c r="AA435" s="198">
        <v>11.4345543669051</v>
      </c>
      <c r="AB435" s="198">
        <v>9.6350785269793615</v>
      </c>
      <c r="AC435" s="198">
        <v>5.4062670620130939</v>
      </c>
      <c r="AD435" s="191">
        <v>4.2456166630524761</v>
      </c>
      <c r="AE435" s="199" t="s">
        <v>207</v>
      </c>
    </row>
    <row r="436" spans="2:31" ht="12" hidden="1" customHeight="1">
      <c r="B436" s="369">
        <v>42376</v>
      </c>
      <c r="C436" s="197"/>
      <c r="D436" s="198"/>
      <c r="E436" s="198"/>
      <c r="F436" s="198"/>
      <c r="G436" s="198"/>
      <c r="H436" s="198"/>
      <c r="I436" s="198"/>
      <c r="J436" s="198"/>
      <c r="K436" s="198"/>
      <c r="L436" s="191"/>
      <c r="M436" s="197"/>
      <c r="N436" s="198"/>
      <c r="O436" s="198"/>
      <c r="P436" s="198"/>
      <c r="Q436" s="198"/>
      <c r="R436" s="198"/>
      <c r="S436" s="198"/>
      <c r="T436" s="198"/>
      <c r="U436" s="198"/>
      <c r="V436" s="198"/>
      <c r="W436" s="198"/>
      <c r="X436" s="191"/>
      <c r="Y436" s="197"/>
      <c r="Z436" s="198"/>
      <c r="AA436" s="198"/>
      <c r="AB436" s="198"/>
      <c r="AC436" s="198"/>
      <c r="AD436" s="191"/>
      <c r="AE436" s="374">
        <v>42376</v>
      </c>
    </row>
    <row r="437" spans="2:31" ht="12" hidden="1" customHeight="1">
      <c r="B437" s="368" t="s">
        <v>184</v>
      </c>
      <c r="C437" s="197">
        <v>7.8536464776653778</v>
      </c>
      <c r="D437" s="198">
        <v>5.570345703683298</v>
      </c>
      <c r="E437" s="198">
        <v>9.0441524568560432</v>
      </c>
      <c r="F437" s="198">
        <v>9.6314559116572447</v>
      </c>
      <c r="G437" s="198">
        <v>5.632650914009008</v>
      </c>
      <c r="H437" s="198">
        <v>13.71371810866991</v>
      </c>
      <c r="I437" s="198">
        <v>8.0197053879500988</v>
      </c>
      <c r="J437" s="198">
        <v>8.2746832022393875</v>
      </c>
      <c r="K437" s="198">
        <v>7.5007453617235829</v>
      </c>
      <c r="L437" s="191">
        <v>9.9291734820975996</v>
      </c>
      <c r="M437" s="197">
        <v>12.528858752502991</v>
      </c>
      <c r="N437" s="198">
        <v>8.5024571265920788</v>
      </c>
      <c r="O437" s="198">
        <v>16.584618509422768</v>
      </c>
      <c r="P437" s="198">
        <v>14.643580755174501</v>
      </c>
      <c r="Q437" s="198">
        <v>12.455579719435134</v>
      </c>
      <c r="R437" s="198">
        <v>14.195950711407342</v>
      </c>
      <c r="S437" s="198">
        <v>14.374646733728834</v>
      </c>
      <c r="T437" s="198">
        <v>16.252720591094182</v>
      </c>
      <c r="U437" s="198">
        <v>16.249004653684814</v>
      </c>
      <c r="V437" s="198">
        <v>10.834342060225408</v>
      </c>
      <c r="W437" s="198">
        <v>7.0433065045091325</v>
      </c>
      <c r="X437" s="191">
        <v>7.5116366685108327</v>
      </c>
      <c r="Y437" s="197">
        <v>4.301152189109108</v>
      </c>
      <c r="Z437" s="198">
        <v>1.3333240305317946</v>
      </c>
      <c r="AA437" s="198">
        <v>7.8</v>
      </c>
      <c r="AB437" s="198">
        <v>8.6909162845756498</v>
      </c>
      <c r="AC437" s="198">
        <v>6.3776730587198296</v>
      </c>
      <c r="AD437" s="191">
        <v>1.25440610104862</v>
      </c>
      <c r="AE437" s="199" t="s">
        <v>350</v>
      </c>
    </row>
    <row r="438" spans="2:31" ht="12" hidden="1" customHeight="1">
      <c r="B438" s="368" t="s">
        <v>351</v>
      </c>
      <c r="C438" s="197">
        <v>5.4243543360049298</v>
      </c>
      <c r="D438" s="198">
        <v>3.4979404745448477</v>
      </c>
      <c r="E438" s="198">
        <v>6.7295003183593227</v>
      </c>
      <c r="F438" s="198">
        <v>2.0451574616020025</v>
      </c>
      <c r="G438" s="198">
        <v>5.1601459984067066</v>
      </c>
      <c r="H438" s="198">
        <v>2.4979973846771948</v>
      </c>
      <c r="I438" s="198">
        <v>2.0610321277046384</v>
      </c>
      <c r="J438" s="198">
        <v>4.1171825532472353</v>
      </c>
      <c r="K438" s="198">
        <v>7.4155641121494122</v>
      </c>
      <c r="L438" s="191">
        <v>9.0801229200021876</v>
      </c>
      <c r="M438" s="197">
        <v>9.8082447499579981</v>
      </c>
      <c r="N438" s="198">
        <v>5.5018113538743751</v>
      </c>
      <c r="O438" s="198">
        <v>19.071750154214435</v>
      </c>
      <c r="P438" s="198">
        <v>4.5339029322138726</v>
      </c>
      <c r="Q438" s="198">
        <v>9.1031170176875058</v>
      </c>
      <c r="R438" s="198">
        <v>4.9309574568081409</v>
      </c>
      <c r="S438" s="198">
        <v>3.3925280246519409</v>
      </c>
      <c r="T438" s="198">
        <v>8.4758460868041929</v>
      </c>
      <c r="U438" s="198">
        <v>13.190943627741131</v>
      </c>
      <c r="V438" s="198">
        <v>8.9946656426027563</v>
      </c>
      <c r="W438" s="198">
        <v>8.4261957150078413</v>
      </c>
      <c r="X438" s="191">
        <v>9.52909052438463</v>
      </c>
      <c r="Y438" s="197">
        <v>4.3423832249306198</v>
      </c>
      <c r="Z438" s="198">
        <v>1.8582893537294063</v>
      </c>
      <c r="AA438" s="198">
        <v>14.574820713095502</v>
      </c>
      <c r="AB438" s="198">
        <v>9.6381866590099676</v>
      </c>
      <c r="AC438" s="198">
        <v>4.7751713784129901</v>
      </c>
      <c r="AD438" s="191">
        <v>4.2475596571029772</v>
      </c>
      <c r="AE438" s="199" t="s">
        <v>207</v>
      </c>
    </row>
    <row r="439" spans="2:31" ht="12" hidden="1" customHeight="1">
      <c r="B439" s="369">
        <v>42377</v>
      </c>
      <c r="C439" s="197"/>
      <c r="D439" s="198"/>
      <c r="E439" s="198"/>
      <c r="F439" s="198"/>
      <c r="G439" s="198"/>
      <c r="H439" s="198"/>
      <c r="I439" s="198"/>
      <c r="J439" s="198"/>
      <c r="K439" s="198"/>
      <c r="L439" s="191"/>
      <c r="M439" s="197"/>
      <c r="N439" s="198"/>
      <c r="O439" s="198"/>
      <c r="P439" s="198"/>
      <c r="Q439" s="198"/>
      <c r="R439" s="198"/>
      <c r="S439" s="198"/>
      <c r="T439" s="198"/>
      <c r="U439" s="198"/>
      <c r="V439" s="198"/>
      <c r="W439" s="198"/>
      <c r="X439" s="191"/>
      <c r="Y439" s="197"/>
      <c r="Z439" s="198"/>
      <c r="AA439" s="198"/>
      <c r="AB439" s="198"/>
      <c r="AC439" s="198"/>
      <c r="AD439" s="191"/>
      <c r="AE439" s="374">
        <v>42377</v>
      </c>
    </row>
    <row r="440" spans="2:31" ht="12" hidden="1" customHeight="1">
      <c r="B440" s="368" t="s">
        <v>184</v>
      </c>
      <c r="C440" s="197">
        <v>7.7131825668223613</v>
      </c>
      <c r="D440" s="198">
        <v>5.6320547515802195</v>
      </c>
      <c r="E440" s="198">
        <v>8.8421775694834501</v>
      </c>
      <c r="F440" s="198">
        <v>9.3103728294177728</v>
      </c>
      <c r="G440" s="198">
        <v>5.2939634797541064</v>
      </c>
      <c r="H440" s="198">
        <v>13.322163346909106</v>
      </c>
      <c r="I440" s="198">
        <v>7.7621141510052718</v>
      </c>
      <c r="J440" s="198">
        <v>8.1941220472450489</v>
      </c>
      <c r="K440" s="198">
        <v>7.3886743663493668</v>
      </c>
      <c r="L440" s="191">
        <v>8.8642405114770142</v>
      </c>
      <c r="M440" s="197">
        <v>12.371364974218517</v>
      </c>
      <c r="N440" s="198">
        <v>8.1456911307506026</v>
      </c>
      <c r="O440" s="198">
        <v>16.71341546256745</v>
      </c>
      <c r="P440" s="198">
        <v>14.878851015511703</v>
      </c>
      <c r="Q440" s="198">
        <v>11.321781527490717</v>
      </c>
      <c r="R440" s="198">
        <v>13.923449729277397</v>
      </c>
      <c r="S440" s="198">
        <v>14.069043681806342</v>
      </c>
      <c r="T440" s="198">
        <v>15.979702176778995</v>
      </c>
      <c r="U440" s="198">
        <v>16.691243721576228</v>
      </c>
      <c r="V440" s="198">
        <v>11.29492671075676</v>
      </c>
      <c r="W440" s="198">
        <v>6.8582941849945165</v>
      </c>
      <c r="X440" s="191">
        <v>7.7636064560457783</v>
      </c>
      <c r="Y440" s="197">
        <v>5.9005480072219294</v>
      </c>
      <c r="Z440" s="198">
        <v>1.4717586548594619</v>
      </c>
      <c r="AA440" s="198">
        <v>7.53</v>
      </c>
      <c r="AB440" s="198">
        <v>7.6076028398491102</v>
      </c>
      <c r="AC440" s="198">
        <v>6.8981355225530798</v>
      </c>
      <c r="AD440" s="191">
        <v>5.1216372581174197</v>
      </c>
      <c r="AE440" s="199" t="s">
        <v>350</v>
      </c>
    </row>
    <row r="441" spans="2:31" ht="12" hidden="1" customHeight="1">
      <c r="B441" s="368" t="s">
        <v>351</v>
      </c>
      <c r="C441" s="197">
        <v>5.1444265421016926</v>
      </c>
      <c r="D441" s="198">
        <v>3.4693955936369001</v>
      </c>
      <c r="E441" s="198">
        <v>6.3265743362772895</v>
      </c>
      <c r="F441" s="198">
        <v>2.026441771179937</v>
      </c>
      <c r="G441" s="198">
        <v>2.5834326992350247</v>
      </c>
      <c r="H441" s="198">
        <v>2.3973779166514437</v>
      </c>
      <c r="I441" s="198">
        <v>1.8032872261428459</v>
      </c>
      <c r="J441" s="198">
        <v>3.9243393910800086</v>
      </c>
      <c r="K441" s="198">
        <v>7.0385621355243755</v>
      </c>
      <c r="L441" s="191">
        <v>8.5967596155736761</v>
      </c>
      <c r="M441" s="197">
        <v>10.303627848739415</v>
      </c>
      <c r="N441" s="198">
        <v>6.2529041776221428</v>
      </c>
      <c r="O441" s="198">
        <v>18.771337108861051</v>
      </c>
      <c r="P441" s="198">
        <v>8.7857562810761678</v>
      </c>
      <c r="Q441" s="198">
        <v>9.6907629101211246</v>
      </c>
      <c r="R441" s="198">
        <v>5.0914001309565169</v>
      </c>
      <c r="S441" s="198">
        <v>6.2301346470701082</v>
      </c>
      <c r="T441" s="198">
        <v>8.9843024381338772</v>
      </c>
      <c r="U441" s="198">
        <v>13.10670573236969</v>
      </c>
      <c r="V441" s="198">
        <v>9.9157348292876542</v>
      </c>
      <c r="W441" s="198">
        <v>8.5730231850281395</v>
      </c>
      <c r="X441" s="191">
        <v>9.0603524795454451</v>
      </c>
      <c r="Y441" s="197">
        <v>5.1091155477064261</v>
      </c>
      <c r="Z441" s="198">
        <v>4.0597240907294196</v>
      </c>
      <c r="AA441" s="198">
        <v>17.2445851324673</v>
      </c>
      <c r="AB441" s="198">
        <v>6.5477011464452932</v>
      </c>
      <c r="AC441" s="198">
        <v>5.53921044567889</v>
      </c>
      <c r="AD441" s="191">
        <v>4.2473549991232362</v>
      </c>
      <c r="AE441" s="199" t="s">
        <v>207</v>
      </c>
    </row>
    <row r="442" spans="2:31" ht="26.25" hidden="1" customHeight="1">
      <c r="B442" s="369">
        <v>42378</v>
      </c>
      <c r="C442" s="197"/>
      <c r="D442" s="198"/>
      <c r="E442" s="198"/>
      <c r="F442" s="198"/>
      <c r="G442" s="198"/>
      <c r="H442" s="198"/>
      <c r="I442" s="198"/>
      <c r="J442" s="198"/>
      <c r="K442" s="198"/>
      <c r="L442" s="191"/>
      <c r="M442" s="197"/>
      <c r="N442" s="198"/>
      <c r="O442" s="198"/>
      <c r="P442" s="198"/>
      <c r="Q442" s="198"/>
      <c r="R442" s="198"/>
      <c r="S442" s="198"/>
      <c r="T442" s="198"/>
      <c r="U442" s="198"/>
      <c r="V442" s="198"/>
      <c r="W442" s="198"/>
      <c r="X442" s="191"/>
      <c r="Y442" s="197"/>
      <c r="Z442" s="198"/>
      <c r="AA442" s="198"/>
      <c r="AB442" s="198"/>
      <c r="AC442" s="198"/>
      <c r="AD442" s="191"/>
      <c r="AE442" s="374">
        <v>42378</v>
      </c>
    </row>
    <row r="443" spans="2:31" ht="12" hidden="1" customHeight="1">
      <c r="B443" s="368" t="s">
        <v>184</v>
      </c>
      <c r="C443" s="197">
        <v>8.5487458643917282</v>
      </c>
      <c r="D443" s="198">
        <v>6.1642038287288941</v>
      </c>
      <c r="E443" s="198">
        <v>9.803234665422023</v>
      </c>
      <c r="F443" s="198">
        <v>11.767199324773502</v>
      </c>
      <c r="G443" s="198">
        <v>5.8464197003725191</v>
      </c>
      <c r="H443" s="198">
        <v>12.338199377890774</v>
      </c>
      <c r="I443" s="198">
        <v>9.2046797806188039</v>
      </c>
      <c r="J443" s="198">
        <v>9.3214070248855379</v>
      </c>
      <c r="K443" s="198">
        <v>7.7623095376888127</v>
      </c>
      <c r="L443" s="191">
        <v>8.9568180397190726</v>
      </c>
      <c r="M443" s="197">
        <v>12.281606105064469</v>
      </c>
      <c r="N443" s="198">
        <v>8.1965405483745606</v>
      </c>
      <c r="O443" s="198">
        <v>16.413073857937189</v>
      </c>
      <c r="P443" s="198">
        <v>16.332012481247322</v>
      </c>
      <c r="Q443" s="198">
        <v>10.958989122632136</v>
      </c>
      <c r="R443" s="198">
        <v>13.739690934919583</v>
      </c>
      <c r="S443" s="198">
        <v>14.341032370811902</v>
      </c>
      <c r="T443" s="198">
        <v>15.90552123678154</v>
      </c>
      <c r="U443" s="198">
        <v>16.602274812861168</v>
      </c>
      <c r="V443" s="198">
        <v>11.697775366017643</v>
      </c>
      <c r="W443" s="198">
        <v>6.7081228806513806</v>
      </c>
      <c r="X443" s="191">
        <v>7.3487100213782419</v>
      </c>
      <c r="Y443" s="197">
        <v>5.6532796451905307</v>
      </c>
      <c r="Z443" s="198">
        <v>1.460206619475799</v>
      </c>
      <c r="AA443" s="198">
        <v>6.81</v>
      </c>
      <c r="AB443" s="198">
        <v>2.5721645437585794</v>
      </c>
      <c r="AC443" s="198">
        <v>6.2797344328747107</v>
      </c>
      <c r="AD443" s="191">
        <v>4.8646052631579</v>
      </c>
      <c r="AE443" s="199" t="s">
        <v>350</v>
      </c>
    </row>
    <row r="444" spans="2:31" ht="12" hidden="1" customHeight="1">
      <c r="B444" s="368" t="s">
        <v>351</v>
      </c>
      <c r="C444" s="197">
        <v>4.9749364877635536</v>
      </c>
      <c r="D444" s="198">
        <v>3.3581785508194137</v>
      </c>
      <c r="E444" s="198">
        <v>6.1708415936312697</v>
      </c>
      <c r="F444" s="198">
        <v>4.7270176607920318</v>
      </c>
      <c r="G444" s="198">
        <v>1.4636863980655657</v>
      </c>
      <c r="H444" s="198">
        <v>2.4515219637249812</v>
      </c>
      <c r="I444" s="198">
        <v>2.6250818617911023</v>
      </c>
      <c r="J444" s="198">
        <v>3.7633796639940411</v>
      </c>
      <c r="K444" s="198">
        <v>7.0444289143481109</v>
      </c>
      <c r="L444" s="191">
        <v>8.4470431241100936</v>
      </c>
      <c r="M444" s="197">
        <v>10.205087899591888</v>
      </c>
      <c r="N444" s="198">
        <v>6.1653989003632459</v>
      </c>
      <c r="O444" s="198">
        <v>18.649560677927763</v>
      </c>
      <c r="P444" s="198">
        <v>7.863806676134085</v>
      </c>
      <c r="Q444" s="198">
        <v>9.4657873232681915</v>
      </c>
      <c r="R444" s="198">
        <v>5.1408120740501362</v>
      </c>
      <c r="S444" s="198">
        <v>6.4403833755852826</v>
      </c>
      <c r="T444" s="198">
        <v>8.9345259248342419</v>
      </c>
      <c r="U444" s="198">
        <v>13.405181121945292</v>
      </c>
      <c r="V444" s="198">
        <v>9.5642330202436394</v>
      </c>
      <c r="W444" s="198">
        <v>8.6964505665214027</v>
      </c>
      <c r="X444" s="191">
        <v>8.1234789809653414</v>
      </c>
      <c r="Y444" s="197">
        <v>5.4188749940763721</v>
      </c>
      <c r="Z444" s="198">
        <v>2.9323228231123104</v>
      </c>
      <c r="AA444" s="198">
        <v>17.218537359612398</v>
      </c>
      <c r="AB444" s="198">
        <v>7.4345477158044</v>
      </c>
      <c r="AC444" s="198">
        <v>5.9793324902019398</v>
      </c>
      <c r="AD444" s="191">
        <v>4.7489192122268413</v>
      </c>
      <c r="AE444" s="199" t="s">
        <v>207</v>
      </c>
    </row>
    <row r="445" spans="2:31" ht="12" hidden="1" customHeight="1">
      <c r="B445" s="369">
        <v>42379</v>
      </c>
      <c r="C445" s="197"/>
      <c r="E445" s="198"/>
      <c r="F445" s="198"/>
      <c r="G445" s="198"/>
      <c r="H445" s="198"/>
      <c r="I445" s="198"/>
      <c r="J445" s="198"/>
      <c r="K445" s="198"/>
      <c r="L445" s="191"/>
      <c r="M445" s="197"/>
      <c r="N445" s="198"/>
      <c r="O445" s="198"/>
      <c r="P445" s="198"/>
      <c r="Q445" s="198"/>
      <c r="R445" s="198"/>
      <c r="S445" s="198"/>
      <c r="T445" s="198"/>
      <c r="U445" s="198"/>
      <c r="V445" s="198"/>
      <c r="W445" s="198"/>
      <c r="X445" s="191"/>
      <c r="Y445" s="197"/>
      <c r="Z445" s="198"/>
      <c r="AA445" s="198"/>
      <c r="AB445" s="198"/>
      <c r="AC445" s="198"/>
      <c r="AD445" s="191"/>
      <c r="AE445" s="374">
        <v>42379</v>
      </c>
    </row>
    <row r="446" spans="2:31" ht="12" hidden="1" customHeight="1">
      <c r="B446" s="368" t="s">
        <v>184</v>
      </c>
      <c r="C446" s="197">
        <v>8.7477693921998139</v>
      </c>
      <c r="D446" s="198">
        <v>6.3784857795723751</v>
      </c>
      <c r="E446" s="198">
        <v>9.9388924611118927</v>
      </c>
      <c r="F446" s="198">
        <v>9.5285670893765619</v>
      </c>
      <c r="G446" s="198">
        <v>4.9740770748029171</v>
      </c>
      <c r="H446" s="198">
        <v>11.878570423873137</v>
      </c>
      <c r="I446" s="198">
        <v>7.4655803412726582</v>
      </c>
      <c r="J446" s="198">
        <v>9.8534223197120845</v>
      </c>
      <c r="K446" s="198">
        <v>8.2330596108895655</v>
      </c>
      <c r="L446" s="191">
        <v>9.5039660968760185</v>
      </c>
      <c r="M446" s="197">
        <v>12.420827960656089</v>
      </c>
      <c r="N446" s="198">
        <v>8.3001068005549339</v>
      </c>
      <c r="O446" s="198">
        <v>16.484009035563666</v>
      </c>
      <c r="P446" s="198">
        <v>17.212029394974305</v>
      </c>
      <c r="Q446" s="198">
        <v>10.833115048348901</v>
      </c>
      <c r="R446" s="198">
        <v>14.560173188124995</v>
      </c>
      <c r="S446" s="198">
        <v>13.29547608244923</v>
      </c>
      <c r="T446" s="198">
        <v>16.469428501983923</v>
      </c>
      <c r="U446" s="198">
        <v>16.594790325294039</v>
      </c>
      <c r="V446" s="198">
        <v>11.802201581741427</v>
      </c>
      <c r="W446" s="198">
        <v>6.7484393071467634</v>
      </c>
      <c r="X446" s="191">
        <v>7.417214075856732</v>
      </c>
      <c r="Y446" s="197">
        <v>5.6210032787954995</v>
      </c>
      <c r="Z446" s="198">
        <v>1.4438554372170214</v>
      </c>
      <c r="AA446" s="198">
        <v>5.9</v>
      </c>
      <c r="AB446" s="198">
        <v>13.9831391980258</v>
      </c>
      <c r="AC446" s="198">
        <v>6.2797344328747107</v>
      </c>
      <c r="AD446" s="191">
        <v>4.8646052631579</v>
      </c>
      <c r="AE446" s="199" t="s">
        <v>350</v>
      </c>
    </row>
    <row r="447" spans="2:31" ht="12" hidden="1" customHeight="1">
      <c r="B447" s="368" t="s">
        <v>351</v>
      </c>
      <c r="C447" s="197">
        <v>5.1223333144383014</v>
      </c>
      <c r="D447" s="198">
        <v>3.7723449673879887</v>
      </c>
      <c r="E447" s="198">
        <v>6.015951359562556</v>
      </c>
      <c r="F447" s="198">
        <v>2.3912564621828674</v>
      </c>
      <c r="G447" s="198">
        <v>1.0828626580077991</v>
      </c>
      <c r="H447" s="198">
        <v>2.0600243171636019</v>
      </c>
      <c r="I447" s="198">
        <v>1.634412983263223</v>
      </c>
      <c r="J447" s="198">
        <v>3.9897288097263259</v>
      </c>
      <c r="K447" s="198">
        <v>6.9147575062960485</v>
      </c>
      <c r="L447" s="191">
        <v>8.6598299001298606</v>
      </c>
      <c r="M447" s="197">
        <v>10.096247735903264</v>
      </c>
      <c r="N447" s="198">
        <v>6.0817018275724379</v>
      </c>
      <c r="O447" s="198">
        <v>18.588515633000057</v>
      </c>
      <c r="P447" s="198">
        <v>9.0759662309544371</v>
      </c>
      <c r="Q447" s="198">
        <v>8.4684750690141044</v>
      </c>
      <c r="R447" s="198">
        <v>5.1549674976242379</v>
      </c>
      <c r="S447" s="198">
        <v>6.3391277217599411</v>
      </c>
      <c r="T447" s="198">
        <v>9.3959872559914075</v>
      </c>
      <c r="U447" s="198">
        <v>13.009470814335659</v>
      </c>
      <c r="V447" s="198">
        <v>9.4459295049135594</v>
      </c>
      <c r="W447" s="198">
        <v>8.5959471823715212</v>
      </c>
      <c r="X447" s="191">
        <v>8.1279319053052106</v>
      </c>
      <c r="Y447" s="197">
        <v>5.3599661184697238</v>
      </c>
      <c r="Z447" s="198">
        <v>2.4617354358892571</v>
      </c>
      <c r="AA447" s="198">
        <v>17.218534456474799</v>
      </c>
      <c r="AB447" s="198">
        <v>7.43456207232067</v>
      </c>
      <c r="AC447" s="198">
        <v>6.04474914362833</v>
      </c>
      <c r="AD447" s="191">
        <v>4.7250913892008892</v>
      </c>
      <c r="AE447" s="199" t="s">
        <v>207</v>
      </c>
    </row>
    <row r="448" spans="2:31" ht="12" hidden="1" customHeight="1">
      <c r="B448" s="369">
        <v>42380</v>
      </c>
      <c r="C448" s="197"/>
      <c r="D448" s="198"/>
      <c r="E448" s="198"/>
      <c r="F448" s="198"/>
      <c r="G448" s="198"/>
      <c r="H448" s="198"/>
      <c r="I448" s="198"/>
      <c r="J448" s="198"/>
      <c r="K448" s="198"/>
      <c r="L448" s="191"/>
      <c r="M448" s="197"/>
      <c r="N448" s="198"/>
      <c r="O448" s="198"/>
      <c r="P448" s="198"/>
      <c r="Q448" s="198"/>
      <c r="R448" s="198"/>
      <c r="S448" s="198"/>
      <c r="T448" s="198"/>
      <c r="U448" s="198"/>
      <c r="V448" s="198"/>
      <c r="W448" s="198"/>
      <c r="X448" s="191"/>
      <c r="Y448" s="197"/>
      <c r="Z448" s="198"/>
      <c r="AA448" s="198"/>
      <c r="AB448" s="198"/>
      <c r="AC448" s="198"/>
      <c r="AD448" s="191"/>
      <c r="AE448" s="374">
        <v>42380</v>
      </c>
    </row>
    <row r="449" spans="2:31" ht="12" hidden="1" customHeight="1">
      <c r="B449" s="368" t="s">
        <v>184</v>
      </c>
      <c r="C449" s="197">
        <v>6.3083897763536312</v>
      </c>
      <c r="D449" s="198">
        <v>3.7704495758272989</v>
      </c>
      <c r="E449" s="198">
        <v>10.086352967138801</v>
      </c>
      <c r="F449" s="198">
        <v>11.404373047169589</v>
      </c>
      <c r="G449" s="198">
        <v>5.0807105914861408</v>
      </c>
      <c r="H449" s="198">
        <v>11.617367177416311</v>
      </c>
      <c r="I449" s="198">
        <v>8.6802173220867758</v>
      </c>
      <c r="J449" s="198">
        <v>5.2169079598538</v>
      </c>
      <c r="K449" s="198">
        <v>8.4392299371473758</v>
      </c>
      <c r="L449" s="191">
        <v>10.208179846278645</v>
      </c>
      <c r="M449" s="197">
        <v>12.24245255750518</v>
      </c>
      <c r="N449" s="198">
        <v>8.3266166003200137</v>
      </c>
      <c r="O449" s="198">
        <v>16.2016582127502</v>
      </c>
      <c r="P449" s="198">
        <v>14.702004165635064</v>
      </c>
      <c r="Q449" s="198">
        <v>11.161215920760327</v>
      </c>
      <c r="R449" s="198">
        <v>14.933113134604474</v>
      </c>
      <c r="S449" s="198">
        <v>13.422949469082573</v>
      </c>
      <c r="T449" s="198">
        <v>15.710499106913648</v>
      </c>
      <c r="U449" s="198">
        <v>16.42547379469309</v>
      </c>
      <c r="V449" s="198">
        <v>11.759293517999915</v>
      </c>
      <c r="W449" s="198">
        <v>6.9105804335800576</v>
      </c>
      <c r="X449" s="191">
        <v>7.6428119571016859</v>
      </c>
      <c r="Y449" s="197">
        <v>6.6873983365152156</v>
      </c>
      <c r="Z449" s="210">
        <v>1.4252024851185634</v>
      </c>
      <c r="AA449" s="198">
        <v>17.424312635155999</v>
      </c>
      <c r="AB449" s="198">
        <v>13.983139198025802</v>
      </c>
      <c r="AC449" s="198">
        <v>6.2797344328747107</v>
      </c>
      <c r="AD449" s="191">
        <v>4.767779148467981</v>
      </c>
      <c r="AE449" s="199" t="s">
        <v>350</v>
      </c>
    </row>
    <row r="450" spans="2:31" ht="12" hidden="1" customHeight="1">
      <c r="B450" s="368" t="s">
        <v>351</v>
      </c>
      <c r="C450" s="197">
        <v>4.7203920877170056</v>
      </c>
      <c r="D450" s="198">
        <v>3.1999984603845304</v>
      </c>
      <c r="E450" s="198">
        <v>5.6427160587586167</v>
      </c>
      <c r="F450" s="198">
        <v>2.672403285206792</v>
      </c>
      <c r="G450" s="198">
        <v>1.3264314668089889</v>
      </c>
      <c r="H450" s="198">
        <v>1.7808851505448129</v>
      </c>
      <c r="I450" s="198">
        <v>2.1667818564070678</v>
      </c>
      <c r="J450" s="198">
        <v>3.8670422759930907</v>
      </c>
      <c r="K450" s="198">
        <v>6.6976644379203352</v>
      </c>
      <c r="L450" s="191">
        <v>8.5078565811048303</v>
      </c>
      <c r="M450" s="197">
        <v>9.6299558139759966</v>
      </c>
      <c r="N450" s="198">
        <v>5.7399764262067547</v>
      </c>
      <c r="O450" s="198">
        <v>18.452799920946447</v>
      </c>
      <c r="P450" s="198">
        <v>7.3043921515944286</v>
      </c>
      <c r="Q450" s="198">
        <v>7.8499296166917238</v>
      </c>
      <c r="R450" s="198">
        <v>5.3856012121572601</v>
      </c>
      <c r="S450" s="198">
        <v>3.0411543947701314</v>
      </c>
      <c r="T450" s="198">
        <v>8.3288074156443148</v>
      </c>
      <c r="U450" s="198">
        <v>12.89924602491601</v>
      </c>
      <c r="V450" s="198">
        <v>9.1953342620269591</v>
      </c>
      <c r="W450" s="198">
        <v>8.1611887286894653</v>
      </c>
      <c r="X450" s="191">
        <v>5.1418131588413232</v>
      </c>
      <c r="Y450" s="197">
        <v>5.41794670091969</v>
      </c>
      <c r="Z450" s="198">
        <v>4.2651526519469902</v>
      </c>
      <c r="AA450" s="198">
        <v>17.218542332982402</v>
      </c>
      <c r="AB450" s="198">
        <v>11.5</v>
      </c>
      <c r="AC450" s="198">
        <v>5.7510454850457497</v>
      </c>
      <c r="AD450" s="191">
        <v>4.6959971694463256</v>
      </c>
      <c r="AE450" s="199" t="s">
        <v>207</v>
      </c>
    </row>
    <row r="451" spans="2:31" ht="12" hidden="1" customHeight="1">
      <c r="B451" s="369">
        <v>42381</v>
      </c>
      <c r="C451" s="197"/>
      <c r="D451" s="198"/>
      <c r="E451" s="198"/>
      <c r="F451" s="198"/>
      <c r="G451" s="198"/>
      <c r="H451" s="198"/>
      <c r="I451" s="198"/>
      <c r="J451" s="198"/>
      <c r="K451" s="198"/>
      <c r="L451" s="191"/>
      <c r="M451" s="197"/>
      <c r="N451" s="198"/>
      <c r="O451" s="198"/>
      <c r="P451" s="198"/>
      <c r="Q451" s="198"/>
      <c r="R451" s="198"/>
      <c r="S451" s="198"/>
      <c r="T451" s="198"/>
      <c r="U451" s="198"/>
      <c r="V451" s="198"/>
      <c r="W451" s="198"/>
      <c r="X451" s="191"/>
      <c r="Y451" s="197"/>
      <c r="Z451" s="198"/>
      <c r="AA451" s="198"/>
      <c r="AB451" s="198"/>
      <c r="AC451" s="198"/>
      <c r="AD451" s="191"/>
      <c r="AE451" s="374">
        <v>42381</v>
      </c>
    </row>
    <row r="452" spans="2:31" ht="12" hidden="1" customHeight="1">
      <c r="B452" s="368" t="s">
        <v>184</v>
      </c>
      <c r="C452" s="197">
        <v>6.3565334326834355</v>
      </c>
      <c r="D452" s="198">
        <v>3.7943101049297603</v>
      </c>
      <c r="E452" s="198">
        <v>10.178784193448665</v>
      </c>
      <c r="F452" s="198">
        <v>11.688140781707217</v>
      </c>
      <c r="G452" s="198">
        <v>5.0774283060516616</v>
      </c>
      <c r="H452" s="198">
        <v>11.39839769270406</v>
      </c>
      <c r="I452" s="198">
        <v>11.855651868698308</v>
      </c>
      <c r="J452" s="198">
        <v>5.3291849050605204</v>
      </c>
      <c r="K452" s="198">
        <v>8.4108864653713109</v>
      </c>
      <c r="L452" s="191">
        <v>9.4689509851204789</v>
      </c>
      <c r="M452" s="197">
        <v>12.177118423039293</v>
      </c>
      <c r="N452" s="198">
        <v>8.364858814733088</v>
      </c>
      <c r="O452" s="198">
        <v>16.072758654657974</v>
      </c>
      <c r="P452" s="198">
        <v>15.140463838130094</v>
      </c>
      <c r="Q452" s="198">
        <v>10.299510464100738</v>
      </c>
      <c r="R452" s="198">
        <v>15.126997943837216</v>
      </c>
      <c r="S452" s="198">
        <v>15.567507808783256</v>
      </c>
      <c r="T452" s="198">
        <v>15.598704237913761</v>
      </c>
      <c r="U452" s="198">
        <v>16.466176777056713</v>
      </c>
      <c r="V452" s="198">
        <v>11.651393353857348</v>
      </c>
      <c r="W452" s="198">
        <v>6.7175664109533839</v>
      </c>
      <c r="X452" s="191">
        <v>7.7219562839409539</v>
      </c>
      <c r="Y452" s="197">
        <v>7.778842885147168</v>
      </c>
      <c r="Z452" s="198">
        <v>1.4017544433897415</v>
      </c>
      <c r="AA452" s="198">
        <v>17.424312635155999</v>
      </c>
      <c r="AB452" s="198">
        <v>13.594071627354301</v>
      </c>
      <c r="AC452" s="198">
        <v>6.2797344328747107</v>
      </c>
      <c r="AD452" s="191">
        <v>8.9114957134627808</v>
      </c>
      <c r="AE452" s="199" t="s">
        <v>350</v>
      </c>
    </row>
    <row r="453" spans="2:31" ht="12" hidden="1" customHeight="1">
      <c r="B453" s="368" t="s">
        <v>351</v>
      </c>
      <c r="C453" s="197">
        <v>4.6752075996117286</v>
      </c>
      <c r="D453" s="198">
        <v>3.2000024818375503</v>
      </c>
      <c r="E453" s="198">
        <v>5.595330670812884</v>
      </c>
      <c r="F453" s="198">
        <v>3.4408928633970386</v>
      </c>
      <c r="G453" s="198">
        <v>1.3719880452702409</v>
      </c>
      <c r="H453" s="198">
        <v>1.7363734736643963</v>
      </c>
      <c r="I453" s="198">
        <v>2.5175955851908118</v>
      </c>
      <c r="J453" s="198">
        <v>3.7989964994600212</v>
      </c>
      <c r="K453" s="198">
        <v>6.9974294742067231</v>
      </c>
      <c r="L453" s="191">
        <v>8.2863815665661811</v>
      </c>
      <c r="M453" s="197">
        <v>9.1579183901890833</v>
      </c>
      <c r="N453" s="198">
        <v>5.7149061364184366</v>
      </c>
      <c r="O453" s="198">
        <v>17.302419362597636</v>
      </c>
      <c r="P453" s="198">
        <v>9.6098246246015488</v>
      </c>
      <c r="Q453" s="198">
        <v>7.9799632041257098</v>
      </c>
      <c r="R453" s="198">
        <v>7.8085951549369081</v>
      </c>
      <c r="S453" s="198">
        <v>3.0584438088922759</v>
      </c>
      <c r="T453" s="198">
        <v>6.9032014389155902</v>
      </c>
      <c r="U453" s="198">
        <v>13.303190366721465</v>
      </c>
      <c r="V453" s="198">
        <v>8.2541321499821443</v>
      </c>
      <c r="W453" s="198">
        <v>7.6788425849105879</v>
      </c>
      <c r="X453" s="191">
        <v>4.8319656022554298</v>
      </c>
      <c r="Y453" s="197">
        <v>5.4350029989902113</v>
      </c>
      <c r="Z453" s="198">
        <v>4.2234810147180086</v>
      </c>
      <c r="AA453" s="198">
        <v>16.537084591198902</v>
      </c>
      <c r="AB453" s="198">
        <v>10.4109011762527</v>
      </c>
      <c r="AC453" s="198">
        <v>5.7024854670844807</v>
      </c>
      <c r="AD453" s="191">
        <v>4.7104080266050863</v>
      </c>
      <c r="AE453" s="199" t="s">
        <v>207</v>
      </c>
    </row>
    <row r="454" spans="2:31" ht="12" customHeight="1">
      <c r="B454" s="369">
        <v>42736</v>
      </c>
      <c r="C454" s="197"/>
      <c r="D454" s="198"/>
      <c r="E454" s="198"/>
      <c r="F454" s="198"/>
      <c r="G454" s="198"/>
      <c r="H454" s="198"/>
      <c r="I454" s="198"/>
      <c r="J454" s="198"/>
      <c r="K454" s="198"/>
      <c r="L454" s="191"/>
      <c r="M454" s="197"/>
      <c r="N454" s="198"/>
      <c r="O454" s="198"/>
      <c r="P454" s="198"/>
      <c r="Q454" s="198"/>
      <c r="R454" s="198"/>
      <c r="S454" s="198"/>
      <c r="T454" s="198"/>
      <c r="U454" s="198"/>
      <c r="V454" s="198"/>
      <c r="W454" s="198"/>
      <c r="X454" s="191"/>
      <c r="Y454" s="197"/>
      <c r="Z454" s="198"/>
      <c r="AA454" s="198"/>
      <c r="AB454" s="198"/>
      <c r="AC454" s="198"/>
      <c r="AD454" s="191"/>
      <c r="AE454" s="374">
        <v>42736</v>
      </c>
    </row>
    <row r="455" spans="2:31" ht="12" customHeight="1">
      <c r="B455" s="368" t="s">
        <v>184</v>
      </c>
      <c r="C455" s="197">
        <v>6.5023868172007351</v>
      </c>
      <c r="D455" s="198">
        <v>3.9104297432175263</v>
      </c>
      <c r="E455" s="198">
        <v>10.314322112643243</v>
      </c>
      <c r="F455" s="198">
        <v>11.153546377183979</v>
      </c>
      <c r="G455" s="198">
        <v>10.647914570215512</v>
      </c>
      <c r="H455" s="198">
        <v>11.468189900394753</v>
      </c>
      <c r="I455" s="198">
        <v>12.115054945572346</v>
      </c>
      <c r="J455" s="198">
        <v>5.5266378857597571</v>
      </c>
      <c r="K455" s="198">
        <v>8.3978283794328323</v>
      </c>
      <c r="L455" s="191">
        <v>9.4812126043880944</v>
      </c>
      <c r="M455" s="197">
        <v>12.048431932291406</v>
      </c>
      <c r="N455" s="198">
        <v>8.5538532301999499</v>
      </c>
      <c r="O455" s="198">
        <v>15.708811028585986</v>
      </c>
      <c r="P455" s="198">
        <v>13.394058409602319</v>
      </c>
      <c r="Q455" s="198">
        <v>14.96690702626185</v>
      </c>
      <c r="R455" s="198">
        <v>15.741056396599511</v>
      </c>
      <c r="S455" s="198">
        <v>16.80097950967043</v>
      </c>
      <c r="T455" s="198">
        <v>15.740122909218083</v>
      </c>
      <c r="U455" s="198">
        <v>16.180972333304037</v>
      </c>
      <c r="V455" s="198">
        <v>11.533134259049598</v>
      </c>
      <c r="W455" s="198">
        <v>6.7789323334650993</v>
      </c>
      <c r="X455" s="191">
        <v>7.4937943486610337</v>
      </c>
      <c r="Y455" s="197">
        <v>10.860672641707177</v>
      </c>
      <c r="Z455" s="198">
        <v>1.730184660559565</v>
      </c>
      <c r="AA455" s="198">
        <v>20.622394610237599</v>
      </c>
      <c r="AB455" s="198">
        <v>16.924696674562199</v>
      </c>
      <c r="AC455" s="198">
        <v>8.734515152507651</v>
      </c>
      <c r="AD455" s="191">
        <v>8.9370805328708105</v>
      </c>
      <c r="AE455" s="199" t="s">
        <v>350</v>
      </c>
    </row>
    <row r="456" spans="2:31" ht="12" customHeight="1">
      <c r="B456" s="368" t="s">
        <v>351</v>
      </c>
      <c r="C456" s="197">
        <v>4.6575166249814339</v>
      </c>
      <c r="D456" s="198">
        <v>3.3383061693595559</v>
      </c>
      <c r="E456" s="198">
        <v>5.4447996540986772</v>
      </c>
      <c r="F456" s="198">
        <v>2.3451931661698167</v>
      </c>
      <c r="G456" s="198">
        <v>2.5772390573501878</v>
      </c>
      <c r="H456" s="198">
        <v>2.3729258298072238</v>
      </c>
      <c r="I456" s="198">
        <v>2.5183107395992099</v>
      </c>
      <c r="J456" s="198">
        <v>3.9395645591607851</v>
      </c>
      <c r="K456" s="198">
        <v>6.1496849971792011</v>
      </c>
      <c r="L456" s="191">
        <v>8.1796016549017292</v>
      </c>
      <c r="M456" s="197">
        <v>8.599636937928949</v>
      </c>
      <c r="N456" s="198">
        <v>5.5875144346596475</v>
      </c>
      <c r="O456" s="198">
        <v>16.041203929542881</v>
      </c>
      <c r="P456" s="198">
        <v>9.2814242954333039</v>
      </c>
      <c r="Q456" s="198">
        <v>7.3376564156456263</v>
      </c>
      <c r="R456" s="198">
        <v>7.7220487324275284</v>
      </c>
      <c r="S456" s="198">
        <v>2.7999032854363031</v>
      </c>
      <c r="T456" s="198">
        <v>6.9624689030796256</v>
      </c>
      <c r="U456" s="198">
        <v>12.391452878230538</v>
      </c>
      <c r="V456" s="198">
        <v>7.5765838658553619</v>
      </c>
      <c r="W456" s="198">
        <v>7.621751865999232</v>
      </c>
      <c r="X456" s="191">
        <v>4.7932430403499726</v>
      </c>
      <c r="Y456" s="197">
        <v>5.4242515244904821</v>
      </c>
      <c r="Z456" s="198">
        <v>4.3028251530864301</v>
      </c>
      <c r="AA456" s="198">
        <v>17.218532107028299</v>
      </c>
      <c r="AB456" s="198">
        <v>10.720988851187601</v>
      </c>
      <c r="AC456" s="198">
        <v>5.6038419358970293</v>
      </c>
      <c r="AD456" s="191">
        <v>4.7124931774515817</v>
      </c>
      <c r="AE456" s="199" t="s">
        <v>207</v>
      </c>
    </row>
    <row r="457" spans="2:31" ht="12" hidden="1" customHeight="1">
      <c r="B457" s="369">
        <v>42737</v>
      </c>
      <c r="C457" s="197"/>
      <c r="D457" s="198"/>
      <c r="E457" s="198"/>
      <c r="F457" s="198"/>
      <c r="G457" s="198"/>
      <c r="H457" s="198"/>
      <c r="I457" s="198"/>
      <c r="J457" s="198"/>
      <c r="K457" s="198"/>
      <c r="L457" s="191"/>
      <c r="M457" s="197"/>
      <c r="N457" s="198"/>
      <c r="O457" s="198"/>
      <c r="P457" s="198"/>
      <c r="Q457" s="198"/>
      <c r="R457" s="198"/>
      <c r="S457" s="198"/>
      <c r="T457" s="198"/>
      <c r="U457" s="198"/>
      <c r="V457" s="198"/>
      <c r="W457" s="198"/>
      <c r="X457" s="191"/>
      <c r="Y457" s="197"/>
      <c r="Z457" s="198"/>
      <c r="AA457" s="198"/>
      <c r="AB457" s="198"/>
      <c r="AC457" s="198"/>
      <c r="AD457" s="191"/>
      <c r="AE457" s="374">
        <v>42737</v>
      </c>
    </row>
    <row r="458" spans="2:31" ht="12" hidden="1" customHeight="1">
      <c r="B458" s="368" t="s">
        <v>184</v>
      </c>
      <c r="C458" s="197">
        <v>6.1876238617653527</v>
      </c>
      <c r="D458" s="198">
        <v>3.3715373623214133</v>
      </c>
      <c r="E458" s="198">
        <v>10.216958540404859</v>
      </c>
      <c r="F458" s="198">
        <v>11.903210608373653</v>
      </c>
      <c r="G458" s="198">
        <v>9.5311332770257255</v>
      </c>
      <c r="H458" s="198">
        <v>9.962363236563391</v>
      </c>
      <c r="I458" s="198">
        <v>11.146465430208714</v>
      </c>
      <c r="J458" s="198">
        <v>5.1232967385938162</v>
      </c>
      <c r="K458" s="198">
        <v>8.3767494260231015</v>
      </c>
      <c r="L458" s="191">
        <v>9.4021239963916337</v>
      </c>
      <c r="M458" s="197">
        <v>12.282084805162686</v>
      </c>
      <c r="N458" s="198">
        <v>8.796498087587878</v>
      </c>
      <c r="O458" s="198">
        <v>15.792400341795565</v>
      </c>
      <c r="P458" s="198">
        <v>14.139235570768733</v>
      </c>
      <c r="Q458" s="198">
        <v>17.636845550819039</v>
      </c>
      <c r="R458" s="198">
        <v>15.734972012053969</v>
      </c>
      <c r="S458" s="198">
        <v>16.444432680462373</v>
      </c>
      <c r="T458" s="198">
        <v>15.601481762999647</v>
      </c>
      <c r="U458" s="198">
        <v>16.256461857263211</v>
      </c>
      <c r="V458" s="198">
        <v>11.86665796786381</v>
      </c>
      <c r="W458" s="198">
        <v>6.9709299324874197</v>
      </c>
      <c r="X458" s="191">
        <v>7.4678789273943194</v>
      </c>
      <c r="Y458" s="197">
        <v>10.956121358425721</v>
      </c>
      <c r="Z458" s="198">
        <v>11.700191404210862</v>
      </c>
      <c r="AA458" s="198">
        <v>20.622394610237599</v>
      </c>
      <c r="AB458" s="198">
        <v>16.814524613794099</v>
      </c>
      <c r="AC458" s="198">
        <v>6.2282713089385098</v>
      </c>
      <c r="AD458" s="191">
        <v>10.662133739067201</v>
      </c>
      <c r="AE458" s="199" t="s">
        <v>350</v>
      </c>
    </row>
    <row r="459" spans="2:31" ht="12" hidden="1" customHeight="1">
      <c r="B459" s="368" t="s">
        <v>351</v>
      </c>
      <c r="C459" s="197">
        <v>4.3968435644553985</v>
      </c>
      <c r="D459" s="198">
        <v>3.0502399573772987</v>
      </c>
      <c r="E459" s="198">
        <v>5.2541574637976138</v>
      </c>
      <c r="F459" s="198">
        <v>1.9713064995892309</v>
      </c>
      <c r="G459" s="198">
        <v>0.88392764631336596</v>
      </c>
      <c r="H459" s="198">
        <v>1.3403439646420234</v>
      </c>
      <c r="I459" s="198">
        <v>3.2641342745245732</v>
      </c>
      <c r="J459" s="198">
        <v>3.9237685415364787</v>
      </c>
      <c r="K459" s="198">
        <v>5.7430878382883739</v>
      </c>
      <c r="L459" s="191">
        <v>8.3117303013835482</v>
      </c>
      <c r="M459" s="197">
        <v>8.8992687691551069</v>
      </c>
      <c r="N459" s="198">
        <v>5.7020999000616825</v>
      </c>
      <c r="O459" s="198">
        <v>16.951698717145515</v>
      </c>
      <c r="P459" s="198">
        <v>9.6337266352055462</v>
      </c>
      <c r="Q459" s="198">
        <v>9.6344895321859916</v>
      </c>
      <c r="R459" s="198">
        <v>7.7439830854370744</v>
      </c>
      <c r="S459" s="198">
        <v>2.7867318372792704</v>
      </c>
      <c r="T459" s="198">
        <v>6.6483605425228101</v>
      </c>
      <c r="U459" s="198">
        <v>13.00473533358136</v>
      </c>
      <c r="V459" s="198">
        <v>8.0241696477485185</v>
      </c>
      <c r="W459" s="198">
        <v>7.8029418308084981</v>
      </c>
      <c r="X459" s="191">
        <v>4.7620883296499832</v>
      </c>
      <c r="Y459" s="197">
        <v>9.0086103462322207</v>
      </c>
      <c r="Z459" s="198">
        <v>2.3969511760718221</v>
      </c>
      <c r="AA459" s="198">
        <v>17.2185373702861</v>
      </c>
      <c r="AB459" s="198">
        <v>11.0801445783133</v>
      </c>
      <c r="AC459" s="198">
        <v>6.743183928812166</v>
      </c>
      <c r="AD459" s="191">
        <v>8.3220523994717599</v>
      </c>
      <c r="AE459" s="199" t="s">
        <v>207</v>
      </c>
    </row>
    <row r="460" spans="2:31" ht="12" hidden="1" customHeight="1">
      <c r="B460" s="369">
        <v>42738</v>
      </c>
      <c r="C460" s="197"/>
      <c r="D460" s="198"/>
      <c r="E460" s="198"/>
      <c r="F460" s="198"/>
      <c r="G460" s="198"/>
      <c r="H460" s="198"/>
      <c r="I460" s="198"/>
      <c r="J460" s="198"/>
      <c r="K460" s="198"/>
      <c r="L460" s="191"/>
      <c r="M460" s="197"/>
      <c r="N460" s="198"/>
      <c r="O460" s="198"/>
      <c r="P460" s="198"/>
      <c r="Q460" s="198"/>
      <c r="R460" s="198"/>
      <c r="S460" s="198"/>
      <c r="T460" s="198"/>
      <c r="U460" s="198"/>
      <c r="V460" s="198"/>
      <c r="W460" s="198"/>
      <c r="X460" s="191"/>
      <c r="Y460" s="197"/>
      <c r="Z460" s="198"/>
      <c r="AA460" s="198"/>
      <c r="AB460" s="198"/>
      <c r="AC460" s="198"/>
      <c r="AD460" s="191"/>
      <c r="AE460" s="374">
        <v>42738</v>
      </c>
    </row>
    <row r="461" spans="2:31" ht="12" hidden="1" customHeight="1">
      <c r="B461" s="368" t="s">
        <v>184</v>
      </c>
      <c r="C461" s="197">
        <v>6.611174973984328</v>
      </c>
      <c r="D461" s="198">
        <v>3.8126776820876764</v>
      </c>
      <c r="E461" s="198">
        <v>10.526655082026998</v>
      </c>
      <c r="F461" s="198">
        <v>11.805834851546109</v>
      </c>
      <c r="G461" s="198">
        <v>7.4261738401328232</v>
      </c>
      <c r="H461" s="198">
        <v>10.933366156353468</v>
      </c>
      <c r="I461" s="198">
        <v>12.408990562614239</v>
      </c>
      <c r="J461" s="198">
        <v>5.7555959461004402</v>
      </c>
      <c r="K461" s="198">
        <v>8.0762027901434656</v>
      </c>
      <c r="L461" s="191">
        <v>11.073062148347775</v>
      </c>
      <c r="M461" s="197">
        <v>12.418231200203579</v>
      </c>
      <c r="N461" s="198">
        <v>8.8597670811891618</v>
      </c>
      <c r="O461" s="198">
        <v>15.995021178359961</v>
      </c>
      <c r="P461" s="198">
        <v>15.258609734217817</v>
      </c>
      <c r="Q461" s="198">
        <v>18.470958504166727</v>
      </c>
      <c r="R461" s="198">
        <v>15.719532190919223</v>
      </c>
      <c r="S461" s="198">
        <v>16.679163062221651</v>
      </c>
      <c r="T461" s="198">
        <v>16.45184994091051</v>
      </c>
      <c r="U461" s="198">
        <v>16.420884770443468</v>
      </c>
      <c r="V461" s="198">
        <v>12.077234054841304</v>
      </c>
      <c r="W461" s="198">
        <v>6.9701056191116733</v>
      </c>
      <c r="X461" s="191">
        <v>7.4103906251324823</v>
      </c>
      <c r="Y461" s="197">
        <v>13.371821782821886</v>
      </c>
      <c r="Z461" s="198">
        <v>11.774284121642514</v>
      </c>
      <c r="AA461" s="198">
        <v>20.622394610237599</v>
      </c>
      <c r="AB461" s="198">
        <v>17.6326211458213</v>
      </c>
      <c r="AC461" s="198">
        <v>6.4788121453155503</v>
      </c>
      <c r="AD461" s="191">
        <v>11.397285787706499</v>
      </c>
      <c r="AE461" s="199" t="s">
        <v>350</v>
      </c>
    </row>
    <row r="462" spans="2:31" ht="12" hidden="1" customHeight="1">
      <c r="B462" s="368" t="s">
        <v>351</v>
      </c>
      <c r="C462" s="197">
        <v>4.2239479775957243</v>
      </c>
      <c r="D462" s="198">
        <v>3.0194215797580903</v>
      </c>
      <c r="E462" s="198">
        <v>5.0165855006906739</v>
      </c>
      <c r="F462" s="198">
        <v>1.1979284597788766</v>
      </c>
      <c r="G462" s="198">
        <v>1.399037237423981</v>
      </c>
      <c r="H462" s="198">
        <v>1.0822831053012993</v>
      </c>
      <c r="I462" s="198">
        <v>2.1553855839445388</v>
      </c>
      <c r="J462" s="198">
        <v>3.7503279912288683</v>
      </c>
      <c r="K462" s="198">
        <v>5.4976277537937799</v>
      </c>
      <c r="L462" s="191">
        <v>8.0731201878007077</v>
      </c>
      <c r="M462" s="197">
        <v>8.8137934164512384</v>
      </c>
      <c r="N462" s="198">
        <v>5.6350777572401674</v>
      </c>
      <c r="O462" s="198">
        <v>16.853316550041551</v>
      </c>
      <c r="P462" s="198">
        <v>10.146515424106262</v>
      </c>
      <c r="Q462" s="198">
        <v>9.2454342738982582</v>
      </c>
      <c r="R462" s="198">
        <v>7.8492497294334633</v>
      </c>
      <c r="S462" s="198">
        <v>2.5345545367591473</v>
      </c>
      <c r="T462" s="198">
        <v>6.7081816055193464</v>
      </c>
      <c r="U462" s="198">
        <v>12.86654753277158</v>
      </c>
      <c r="V462" s="198">
        <v>7.9208684310868316</v>
      </c>
      <c r="W462" s="198">
        <v>7.6440746449684793</v>
      </c>
      <c r="X462" s="191">
        <v>4.7499367321524772</v>
      </c>
      <c r="Y462" s="197">
        <v>9.5014722148720789</v>
      </c>
      <c r="Z462" s="198">
        <v>2.5038673082283869</v>
      </c>
      <c r="AA462" s="198">
        <v>17.181237811859702</v>
      </c>
      <c r="AB462" s="198">
        <v>11.1593129361245</v>
      </c>
      <c r="AC462" s="198">
        <v>6.086174332601499</v>
      </c>
      <c r="AD462" s="191">
        <v>12.618383534718101</v>
      </c>
      <c r="AE462" s="199" t="s">
        <v>207</v>
      </c>
    </row>
    <row r="463" spans="2:31" ht="12" hidden="1" customHeight="1">
      <c r="B463" s="369">
        <v>42739</v>
      </c>
      <c r="C463" s="197"/>
      <c r="D463" s="198"/>
      <c r="E463" s="198"/>
      <c r="F463" s="198"/>
      <c r="G463" s="198"/>
      <c r="H463" s="198"/>
      <c r="I463" s="198"/>
      <c r="J463" s="198"/>
      <c r="K463" s="198"/>
      <c r="L463" s="191"/>
      <c r="M463" s="197"/>
      <c r="N463" s="198"/>
      <c r="O463" s="198"/>
      <c r="P463" s="198"/>
      <c r="Q463" s="198"/>
      <c r="R463" s="198"/>
      <c r="S463" s="198"/>
      <c r="T463" s="198"/>
      <c r="U463" s="198"/>
      <c r="V463" s="198"/>
      <c r="W463" s="198"/>
      <c r="X463" s="191"/>
      <c r="Y463" s="197"/>
      <c r="Z463" s="198"/>
      <c r="AA463" s="198"/>
      <c r="AB463" s="198"/>
      <c r="AC463" s="198"/>
      <c r="AD463" s="191"/>
      <c r="AE463" s="374">
        <v>42739</v>
      </c>
    </row>
    <row r="464" spans="2:31" ht="12" hidden="1" customHeight="1">
      <c r="B464" s="368" t="s">
        <v>184</v>
      </c>
      <c r="C464" s="197">
        <v>6.8197604419194455</v>
      </c>
      <c r="D464" s="198">
        <v>3.9740698016689362</v>
      </c>
      <c r="E464" s="198">
        <v>10.809964370250285</v>
      </c>
      <c r="F464" s="198">
        <v>8.7318305378955365</v>
      </c>
      <c r="G464" s="198">
        <v>12.035156505900575</v>
      </c>
      <c r="H464" s="198">
        <v>12.519491276196529</v>
      </c>
      <c r="I464" s="198">
        <v>13.37426994611692</v>
      </c>
      <c r="J464" s="198">
        <v>5.6704971312025307</v>
      </c>
      <c r="K464" s="198">
        <v>8.5090975829454454</v>
      </c>
      <c r="L464" s="191">
        <v>16.118322410123216</v>
      </c>
      <c r="M464" s="197">
        <v>12.312406604682932</v>
      </c>
      <c r="N464" s="198">
        <v>8.7742820941451587</v>
      </c>
      <c r="O464" s="198">
        <v>15.796162701284025</v>
      </c>
      <c r="P464" s="198">
        <v>13.708459542528836</v>
      </c>
      <c r="Q464" s="198">
        <v>18.33638825533885</v>
      </c>
      <c r="R464" s="198">
        <v>16.029873261901724</v>
      </c>
      <c r="S464" s="198">
        <v>12.603050746945874</v>
      </c>
      <c r="T464" s="198">
        <v>15.718012429337488</v>
      </c>
      <c r="U464" s="198">
        <v>16.581854961509055</v>
      </c>
      <c r="V464" s="198">
        <v>11.796237583114436</v>
      </c>
      <c r="W464" s="198">
        <v>7.1594433999525604</v>
      </c>
      <c r="X464" s="191">
        <v>7.3293839931270242</v>
      </c>
      <c r="Y464" s="197">
        <v>12.475447632312395</v>
      </c>
      <c r="Z464" s="198">
        <v>3</v>
      </c>
      <c r="AA464" s="198">
        <v>20.622394610237599</v>
      </c>
      <c r="AB464" s="198">
        <v>18.953092794599399</v>
      </c>
      <c r="AC464" s="198">
        <v>6.1411331304674706</v>
      </c>
      <c r="AD464" s="191">
        <v>11.4263919131358</v>
      </c>
      <c r="AE464" s="199" t="s">
        <v>350</v>
      </c>
    </row>
    <row r="465" spans="2:31" ht="12" hidden="1" customHeight="1">
      <c r="B465" s="368" t="s">
        <v>351</v>
      </c>
      <c r="C465" s="197">
        <v>4.1030224135572135</v>
      </c>
      <c r="D465" s="198">
        <v>2.9425310640630875</v>
      </c>
      <c r="E465" s="198">
        <v>4.8780255815958133</v>
      </c>
      <c r="F465" s="198">
        <v>2.3263826262059797</v>
      </c>
      <c r="G465" s="198">
        <v>0.83435970417122685</v>
      </c>
      <c r="H465" s="198">
        <v>0.88934002466495199</v>
      </c>
      <c r="I465" s="198">
        <v>1.912159811664103</v>
      </c>
      <c r="J465" s="198">
        <v>3.6633240235831135</v>
      </c>
      <c r="K465" s="198">
        <v>5.271459085253678</v>
      </c>
      <c r="L465" s="191">
        <v>8.3544858429879305</v>
      </c>
      <c r="M465" s="197">
        <v>8.687144211443087</v>
      </c>
      <c r="N465" s="198">
        <v>5.5967851604495484</v>
      </c>
      <c r="O465" s="198">
        <v>16.722919864976635</v>
      </c>
      <c r="P465" s="198">
        <v>10.86422928522404</v>
      </c>
      <c r="Q465" s="198">
        <v>8.7808702411955508</v>
      </c>
      <c r="R465" s="198">
        <v>7.777484740639343</v>
      </c>
      <c r="S465" s="198">
        <v>2.3459817088964048</v>
      </c>
      <c r="T465" s="198">
        <v>6.3372715299919919</v>
      </c>
      <c r="U465" s="198">
        <v>12.748941416701889</v>
      </c>
      <c r="V465" s="198">
        <v>7.8436861165822851</v>
      </c>
      <c r="W465" s="198">
        <v>7.6610795619834331</v>
      </c>
      <c r="X465" s="191">
        <v>4.1577722947897051</v>
      </c>
      <c r="Y465" s="197">
        <v>9.4494553446086034</v>
      </c>
      <c r="Z465" s="198">
        <v>2.5424657851167707</v>
      </c>
      <c r="AA465" s="198">
        <v>17.1819394492816</v>
      </c>
      <c r="AB465" s="198">
        <v>11.1595038624742</v>
      </c>
      <c r="AC465" s="198">
        <v>6.085127909677893</v>
      </c>
      <c r="AD465" s="191">
        <v>12.618382944429099</v>
      </c>
      <c r="AE465" s="199" t="s">
        <v>207</v>
      </c>
    </row>
    <row r="466" spans="2:31" ht="12" hidden="1" customHeight="1">
      <c r="B466" s="369">
        <v>42740</v>
      </c>
      <c r="C466" s="197"/>
      <c r="D466" s="198"/>
      <c r="E466" s="198"/>
      <c r="F466" s="198"/>
      <c r="G466" s="198"/>
      <c r="H466" s="198"/>
      <c r="I466" s="198"/>
      <c r="J466" s="198"/>
      <c r="K466" s="198"/>
      <c r="L466" s="191"/>
      <c r="M466" s="197"/>
      <c r="N466" s="198"/>
      <c r="O466" s="198"/>
      <c r="P466" s="198"/>
      <c r="Q466" s="198"/>
      <c r="R466" s="198"/>
      <c r="S466" s="198"/>
      <c r="T466" s="198"/>
      <c r="U466" s="198"/>
      <c r="V466" s="198"/>
      <c r="W466" s="198"/>
      <c r="X466" s="191"/>
      <c r="Y466" s="197"/>
      <c r="Z466" s="198"/>
      <c r="AA466" s="198"/>
      <c r="AB466" s="198"/>
      <c r="AC466" s="198"/>
      <c r="AD466" s="191"/>
      <c r="AE466" s="374">
        <v>42740</v>
      </c>
    </row>
    <row r="467" spans="2:31" ht="12" hidden="1" customHeight="1">
      <c r="B467" s="368" t="s">
        <v>184</v>
      </c>
      <c r="C467" s="197">
        <v>7.0041505000506792</v>
      </c>
      <c r="D467" s="198">
        <v>4.0417661514235093</v>
      </c>
      <c r="E467" s="198">
        <v>11.044817935624556</v>
      </c>
      <c r="F467" s="198">
        <v>8.2956337400505227</v>
      </c>
      <c r="G467" s="198">
        <v>11.852358248875753</v>
      </c>
      <c r="H467" s="198">
        <v>11.188057253894703</v>
      </c>
      <c r="I467" s="198">
        <v>13.26829522489326</v>
      </c>
      <c r="J467" s="198">
        <v>5.7287353871381095</v>
      </c>
      <c r="K467" s="198">
        <v>8.6518810158919539</v>
      </c>
      <c r="L467" s="191">
        <v>9.4766767940508334</v>
      </c>
      <c r="M467" s="197">
        <v>12.257155937105571</v>
      </c>
      <c r="N467" s="198">
        <v>8.7461552325241012</v>
      </c>
      <c r="O467" s="198">
        <v>15.761013736327085</v>
      </c>
      <c r="P467" s="198">
        <v>13.533301025745132</v>
      </c>
      <c r="Q467" s="198">
        <v>13.319886664533168</v>
      </c>
      <c r="R467" s="198">
        <v>16.411038879482348</v>
      </c>
      <c r="S467" s="198">
        <v>12.726080060445618</v>
      </c>
      <c r="T467" s="198">
        <v>15.616948674513553</v>
      </c>
      <c r="U467" s="198">
        <v>16.654197210424091</v>
      </c>
      <c r="V467" s="198">
        <v>11.859589060116736</v>
      </c>
      <c r="W467" s="198">
        <v>7.1168480882683651</v>
      </c>
      <c r="X467" s="191">
        <v>7.4294532712982111</v>
      </c>
      <c r="Y467" s="197">
        <v>11.091475159796293</v>
      </c>
      <c r="Z467" s="198">
        <v>2.9980604857806559</v>
      </c>
      <c r="AA467" s="198">
        <v>20.622394610237599</v>
      </c>
      <c r="AB467" s="198">
        <v>17.5066537769105</v>
      </c>
      <c r="AC467" s="198">
        <v>6.4788121453155503</v>
      </c>
      <c r="AD467" s="191">
        <v>11.3055075891728</v>
      </c>
      <c r="AE467" s="199" t="s">
        <v>350</v>
      </c>
    </row>
    <row r="468" spans="2:31" ht="12" hidden="1" customHeight="1">
      <c r="B468" s="368" t="s">
        <v>351</v>
      </c>
      <c r="C468" s="197">
        <v>3.8833737737847716</v>
      </c>
      <c r="D468" s="198">
        <v>2.9134166091861862</v>
      </c>
      <c r="E468" s="198">
        <v>4.5549049360562126</v>
      </c>
      <c r="F468" s="198">
        <v>2.1941841363989654</v>
      </c>
      <c r="G468" s="198">
        <v>0.77338172197718036</v>
      </c>
      <c r="H468" s="198">
        <v>0.95905086840413079</v>
      </c>
      <c r="I468" s="198">
        <v>1.8989294452827969</v>
      </c>
      <c r="J468" s="198">
        <v>3.5191344876007133</v>
      </c>
      <c r="K468" s="198">
        <v>4.8298218298903173</v>
      </c>
      <c r="L468" s="191">
        <v>8.3079783883649583</v>
      </c>
      <c r="M468" s="197">
        <v>8.4258743309535706</v>
      </c>
      <c r="N468" s="198">
        <v>5.4851843921049994</v>
      </c>
      <c r="O468" s="198">
        <v>16.395867691595136</v>
      </c>
      <c r="P468" s="198">
        <v>10.879240939902916</v>
      </c>
      <c r="Q468" s="198">
        <v>5.1995772446201549</v>
      </c>
      <c r="R468" s="198">
        <v>7.7738750096694771</v>
      </c>
      <c r="S468" s="198">
        <v>2.2071454794595797</v>
      </c>
      <c r="T468" s="198">
        <v>6.1717924204633592</v>
      </c>
      <c r="U468" s="198">
        <v>12.441958906323585</v>
      </c>
      <c r="V468" s="198">
        <v>7.7556569717050579</v>
      </c>
      <c r="W468" s="198">
        <v>7.6322490196025283</v>
      </c>
      <c r="X468" s="191">
        <v>4.1120183771579315</v>
      </c>
      <c r="Y468" s="197">
        <v>9.7440425915983546</v>
      </c>
      <c r="Z468" s="198">
        <v>2.4780360365527021</v>
      </c>
      <c r="AA468" s="198">
        <v>17.189270695207401</v>
      </c>
      <c r="AB468" s="198">
        <v>11.159393939393899</v>
      </c>
      <c r="AC468" s="198">
        <v>5.6357100267179296</v>
      </c>
      <c r="AD468" s="191">
        <v>12.618369626723199</v>
      </c>
      <c r="AE468" s="199" t="s">
        <v>207</v>
      </c>
    </row>
    <row r="469" spans="2:31" ht="12" hidden="1" customHeight="1">
      <c r="B469" s="369">
        <v>42741</v>
      </c>
      <c r="C469" s="197"/>
      <c r="D469" s="198"/>
      <c r="E469" s="198"/>
      <c r="F469" s="198"/>
      <c r="G469" s="198"/>
      <c r="H469" s="198"/>
      <c r="I469" s="198"/>
      <c r="J469" s="198"/>
      <c r="K469" s="198"/>
      <c r="L469" s="191"/>
      <c r="M469" s="197"/>
      <c r="N469" s="198"/>
      <c r="O469" s="198"/>
      <c r="P469" s="198"/>
      <c r="Q469" s="198"/>
      <c r="R469" s="198"/>
      <c r="S469" s="198"/>
      <c r="T469" s="198"/>
      <c r="U469" s="198"/>
      <c r="V469" s="198"/>
      <c r="W469" s="198"/>
      <c r="X469" s="191"/>
      <c r="Y469" s="197"/>
      <c r="Z469" s="198"/>
      <c r="AA469" s="198"/>
      <c r="AB469" s="198"/>
      <c r="AC469" s="198"/>
      <c r="AD469" s="191"/>
      <c r="AE469" s="374">
        <v>42741</v>
      </c>
    </row>
    <row r="470" spans="2:31" ht="12" hidden="1" customHeight="1">
      <c r="B470" s="368" t="s">
        <v>184</v>
      </c>
      <c r="C470" s="197">
        <v>7.1571022631323356</v>
      </c>
      <c r="D470" s="198">
        <v>4.0425608758293201</v>
      </c>
      <c r="E470" s="198">
        <v>11.316739331672723</v>
      </c>
      <c r="F470" s="198">
        <v>9.5277975370521037</v>
      </c>
      <c r="G470" s="198">
        <v>10.311684380892759</v>
      </c>
      <c r="H470" s="198">
        <v>10.536119295067833</v>
      </c>
      <c r="I470" s="198">
        <v>13.291554298269212</v>
      </c>
      <c r="J470" s="198">
        <v>5.854896853923524</v>
      </c>
      <c r="K470" s="198">
        <v>8.7966214835301066</v>
      </c>
      <c r="L470" s="191">
        <v>9.4305240548500855</v>
      </c>
      <c r="M470" s="197">
        <v>12.341069952506954</v>
      </c>
      <c r="N470" s="198">
        <v>8.906541098324098</v>
      </c>
      <c r="O470" s="198">
        <v>15.712964672438309</v>
      </c>
      <c r="P470" s="198">
        <v>13.451976781459733</v>
      </c>
      <c r="Q470" s="198">
        <v>13.392415988933177</v>
      </c>
      <c r="R470" s="198">
        <v>16.54193115738795</v>
      </c>
      <c r="S470" s="198">
        <v>12.535684775418208</v>
      </c>
      <c r="T470" s="198">
        <v>15.911866008335608</v>
      </c>
      <c r="U470" s="198">
        <v>17.000156835118773</v>
      </c>
      <c r="V470" s="198">
        <v>11.976821342128567</v>
      </c>
      <c r="W470" s="198">
        <v>7.1590120753786497</v>
      </c>
      <c r="X470" s="191">
        <v>7.4201645283530988</v>
      </c>
      <c r="Y470" s="197">
        <v>11.171539890054671</v>
      </c>
      <c r="Z470" s="198">
        <v>3</v>
      </c>
      <c r="AA470" s="198">
        <v>20.62</v>
      </c>
      <c r="AB470" s="198">
        <v>17.262429674247102</v>
      </c>
      <c r="AC470" s="198">
        <v>6.4788121453155503</v>
      </c>
      <c r="AD470" s="191">
        <v>11.3187309780456</v>
      </c>
      <c r="AE470" s="199" t="s">
        <v>350</v>
      </c>
    </row>
    <row r="471" spans="2:31" ht="12" hidden="1" customHeight="1">
      <c r="B471" s="368" t="s">
        <v>351</v>
      </c>
      <c r="C471" s="197">
        <v>3.7943590771214413</v>
      </c>
      <c r="D471" s="198">
        <v>2.8734965636281773</v>
      </c>
      <c r="E471" s="198">
        <v>4.4677640030507098</v>
      </c>
      <c r="F471" s="198">
        <v>2.8420986363345322</v>
      </c>
      <c r="G471" s="198">
        <v>0.81832079141909408</v>
      </c>
      <c r="H471" s="198">
        <v>0.91105515307912521</v>
      </c>
      <c r="I471" s="198">
        <v>1.9066853815974127</v>
      </c>
      <c r="J471" s="198">
        <v>3.442996192592704</v>
      </c>
      <c r="K471" s="198">
        <v>4.6679298060732926</v>
      </c>
      <c r="L471" s="191">
        <v>8.1154255907744535</v>
      </c>
      <c r="M471" s="197">
        <v>8.8794381903356037</v>
      </c>
      <c r="N471" s="198">
        <v>5.9228722110585341</v>
      </c>
      <c r="O471" s="198">
        <v>16.081436107261258</v>
      </c>
      <c r="P471" s="198">
        <v>14.028006912748003</v>
      </c>
      <c r="Q471" s="198">
        <v>5.6553783572585719</v>
      </c>
      <c r="R471" s="198">
        <v>8.4116469720556655</v>
      </c>
      <c r="S471" s="198">
        <v>4.1834321822948706</v>
      </c>
      <c r="T471" s="198">
        <v>6.9389173546900276</v>
      </c>
      <c r="U471" s="198">
        <v>12.497242864461205</v>
      </c>
      <c r="V471" s="198">
        <v>7.8832315466564813</v>
      </c>
      <c r="W471" s="198">
        <v>7.3945334887932646</v>
      </c>
      <c r="X471" s="191">
        <v>5.9824633093214903</v>
      </c>
      <c r="Y471" s="197">
        <v>9.5383813600454097</v>
      </c>
      <c r="Z471" s="198">
        <v>2.5940645290240569</v>
      </c>
      <c r="AA471" s="198">
        <v>17.2183552359825</v>
      </c>
      <c r="AB471" s="198">
        <v>7.4494163887565499</v>
      </c>
      <c r="AC471" s="198">
        <v>5.088172929123334</v>
      </c>
      <c r="AD471" s="191">
        <v>12.6183629372353</v>
      </c>
      <c r="AE471" s="199" t="s">
        <v>207</v>
      </c>
    </row>
    <row r="472" spans="2:31" ht="12" hidden="1" customHeight="1">
      <c r="B472" s="369">
        <v>42742</v>
      </c>
      <c r="C472" s="197"/>
      <c r="D472" s="198"/>
      <c r="E472" s="198"/>
      <c r="F472" s="198"/>
      <c r="G472" s="198"/>
      <c r="H472" s="198"/>
      <c r="I472" s="198"/>
      <c r="J472" s="198"/>
      <c r="K472" s="198"/>
      <c r="L472" s="191"/>
      <c r="M472" s="197"/>
      <c r="N472" s="198"/>
      <c r="O472" s="198"/>
      <c r="P472" s="198"/>
      <c r="Q472" s="198"/>
      <c r="R472" s="198"/>
      <c r="S472" s="198"/>
      <c r="T472" s="198"/>
      <c r="U472" s="198"/>
      <c r="V472" s="198"/>
      <c r="W472" s="198"/>
      <c r="X472" s="191"/>
      <c r="Y472" s="197"/>
      <c r="Z472" s="198"/>
      <c r="AA472" s="198"/>
      <c r="AB472" s="198"/>
      <c r="AC472" s="198"/>
      <c r="AD472" s="191"/>
      <c r="AE472" s="374">
        <v>42742</v>
      </c>
    </row>
    <row r="473" spans="2:31" ht="12" hidden="1" customHeight="1">
      <c r="B473" s="368" t="s">
        <v>184</v>
      </c>
      <c r="C473" s="197">
        <v>8.2614467653253065</v>
      </c>
      <c r="D473" s="198">
        <v>4.3491462931160125</v>
      </c>
      <c r="E473" s="198">
        <v>11.455164448017138</v>
      </c>
      <c r="F473" s="198">
        <v>10.260658674246953</v>
      </c>
      <c r="G473" s="198">
        <v>9.7767888343190368</v>
      </c>
      <c r="H473" s="198">
        <v>9.6801043597201577</v>
      </c>
      <c r="I473" s="198">
        <v>13.167691104891894</v>
      </c>
      <c r="J473" s="198">
        <v>7.5506380759375071</v>
      </c>
      <c r="K473" s="198">
        <v>8.8835230714834008</v>
      </c>
      <c r="L473" s="191">
        <v>9.4637625054390337</v>
      </c>
      <c r="M473" s="197">
        <v>12.399430281535551</v>
      </c>
      <c r="N473" s="198">
        <v>8.8241240612898793</v>
      </c>
      <c r="O473" s="198">
        <v>15.863324078995547</v>
      </c>
      <c r="P473" s="198">
        <v>11.468262983714862</v>
      </c>
      <c r="Q473" s="198">
        <v>13.363085558636936</v>
      </c>
      <c r="R473" s="198">
        <v>16.79835863838672</v>
      </c>
      <c r="S473" s="198">
        <v>12.384526400456854</v>
      </c>
      <c r="T473" s="198">
        <v>15.818084407683752</v>
      </c>
      <c r="U473" s="198">
        <v>17.421520758680195</v>
      </c>
      <c r="V473" s="198">
        <v>12.14045533065433</v>
      </c>
      <c r="W473" s="198">
        <v>7.0480177807589612</v>
      </c>
      <c r="X473" s="191">
        <v>7.4311306977433693</v>
      </c>
      <c r="Y473" s="197">
        <v>10.418541218040712</v>
      </c>
      <c r="Z473" s="198">
        <v>3</v>
      </c>
      <c r="AA473" s="198">
        <v>20.62</v>
      </c>
      <c r="AB473" s="198">
        <v>11.820277441739599</v>
      </c>
      <c r="AC473" s="198">
        <v>6.1411331304674706</v>
      </c>
      <c r="AD473" s="191">
        <v>11.3589730605631</v>
      </c>
      <c r="AE473" s="199" t="s">
        <v>350</v>
      </c>
    </row>
    <row r="474" spans="2:31" ht="12" hidden="1" customHeight="1">
      <c r="B474" s="368" t="s">
        <v>351</v>
      </c>
      <c r="C474" s="197">
        <v>3.7139229244167642</v>
      </c>
      <c r="D474" s="198">
        <v>2.8586544186691869</v>
      </c>
      <c r="E474" s="198">
        <v>4.3637666340159438</v>
      </c>
      <c r="F474" s="198">
        <v>2.2807073380171761</v>
      </c>
      <c r="G474" s="198">
        <v>0.92652034129522887</v>
      </c>
      <c r="H474" s="198">
        <v>0.86876503996008925</v>
      </c>
      <c r="I474" s="198">
        <v>2.1985453472501568</v>
      </c>
      <c r="J474" s="198">
        <v>3.3445991099446224</v>
      </c>
      <c r="K474" s="198">
        <v>4.4798285829830382</v>
      </c>
      <c r="L474" s="191">
        <v>8.0782489247292375</v>
      </c>
      <c r="M474" s="197">
        <v>9.838817071248581</v>
      </c>
      <c r="N474" s="198">
        <v>6.8856347451401181</v>
      </c>
      <c r="O474" s="198">
        <v>15.97380345748032</v>
      </c>
      <c r="P474" s="198">
        <v>14.180660628918679</v>
      </c>
      <c r="Q474" s="198">
        <v>5.9110454654746052</v>
      </c>
      <c r="R474" s="198">
        <v>8.7030597885685239</v>
      </c>
      <c r="S474" s="198">
        <v>5.2708577214798753</v>
      </c>
      <c r="T474" s="198">
        <v>7.4865074966617469</v>
      </c>
      <c r="U474" s="198">
        <v>12.591806100065424</v>
      </c>
      <c r="V474" s="198">
        <v>10.665044413742587</v>
      </c>
      <c r="W474" s="198">
        <v>7.2969312702227658</v>
      </c>
      <c r="X474" s="191">
        <v>6.0897967351197373</v>
      </c>
      <c r="Y474" s="197">
        <v>10.026237837491047</v>
      </c>
      <c r="Z474" s="198">
        <v>0.7141697099071117</v>
      </c>
      <c r="AA474" s="198">
        <v>17.2013925733396</v>
      </c>
      <c r="AB474" s="198">
        <v>11.5</v>
      </c>
      <c r="AC474" s="198">
        <v>5.8752783965201072</v>
      </c>
      <c r="AD474" s="191">
        <v>15.288254196245198</v>
      </c>
      <c r="AE474" s="199" t="s">
        <v>207</v>
      </c>
    </row>
    <row r="475" spans="2:31" ht="12" hidden="1" customHeight="1">
      <c r="B475" s="369">
        <v>42743</v>
      </c>
      <c r="C475" s="197"/>
      <c r="D475" s="198"/>
      <c r="E475" s="198"/>
      <c r="F475" s="198"/>
      <c r="G475" s="198"/>
      <c r="H475" s="198"/>
      <c r="I475" s="198"/>
      <c r="J475" s="198"/>
      <c r="K475" s="198"/>
      <c r="L475" s="191"/>
      <c r="M475" s="197"/>
      <c r="N475" s="198"/>
      <c r="O475" s="198"/>
      <c r="P475" s="198"/>
      <c r="Q475" s="198"/>
      <c r="R475" s="198"/>
      <c r="S475" s="198"/>
      <c r="T475" s="198"/>
      <c r="U475" s="198"/>
      <c r="V475" s="198"/>
      <c r="W475" s="198"/>
      <c r="X475" s="191"/>
      <c r="Y475" s="197"/>
      <c r="Z475" s="198"/>
      <c r="AA475" s="198"/>
      <c r="AB475" s="198"/>
      <c r="AC475" s="198"/>
      <c r="AD475" s="191"/>
      <c r="AE475" s="374">
        <v>42743</v>
      </c>
    </row>
    <row r="476" spans="2:31" ht="12" hidden="1" customHeight="1">
      <c r="B476" s="368" t="s">
        <v>184</v>
      </c>
      <c r="C476" s="197">
        <v>8.8314696368529635</v>
      </c>
      <c r="D476" s="198">
        <v>4.4675864497297875</v>
      </c>
      <c r="E476" s="198">
        <v>11.635218323883903</v>
      </c>
      <c r="F476" s="198">
        <v>7.6046918281721707</v>
      </c>
      <c r="G476" s="198">
        <v>8.4580841958292883</v>
      </c>
      <c r="H476" s="198">
        <v>9.5033843107245932</v>
      </c>
      <c r="I476" s="198">
        <v>12.981078509477115</v>
      </c>
      <c r="J476" s="198">
        <v>8.476293906850243</v>
      </c>
      <c r="K476" s="198">
        <v>9.1111799717734687</v>
      </c>
      <c r="L476" s="191">
        <v>9.4552092390339304</v>
      </c>
      <c r="M476" s="197">
        <v>12.895889177218228</v>
      </c>
      <c r="N476" s="198">
        <v>9.0688244398131488</v>
      </c>
      <c r="O476" s="198">
        <v>15.926744463562144</v>
      </c>
      <c r="P476" s="198">
        <v>13.265500388979193</v>
      </c>
      <c r="Q476" s="198">
        <v>13.140505559271606</v>
      </c>
      <c r="R476" s="198">
        <v>16.700220844222088</v>
      </c>
      <c r="S476" s="198">
        <v>15.291341849436261</v>
      </c>
      <c r="T476" s="198">
        <v>16.587219689191528</v>
      </c>
      <c r="U476" s="198">
        <v>18.871855273938042</v>
      </c>
      <c r="V476" s="198">
        <v>13.422951582021774</v>
      </c>
      <c r="W476" s="198">
        <v>6.9003174586678711</v>
      </c>
      <c r="X476" s="191">
        <v>7.3864224443007203</v>
      </c>
      <c r="Y476" s="197">
        <v>9.1764459857847775</v>
      </c>
      <c r="Z476" s="198">
        <v>3</v>
      </c>
      <c r="AA476" s="198">
        <v>20.62</v>
      </c>
      <c r="AB476" s="198">
        <v>11.302742718394299</v>
      </c>
      <c r="AC476" s="198">
        <v>6.4788121453155503</v>
      </c>
      <c r="AD476" s="191">
        <v>10.0702884033931</v>
      </c>
      <c r="AE476" s="199" t="s">
        <v>350</v>
      </c>
    </row>
    <row r="477" spans="2:31" ht="12" hidden="1" customHeight="1">
      <c r="B477" s="368" t="s">
        <v>351</v>
      </c>
      <c r="C477" s="197">
        <v>3.6460069303721845</v>
      </c>
      <c r="D477" s="198">
        <v>2.815072161776464</v>
      </c>
      <c r="E477" s="198">
        <v>4.2976110213341485</v>
      </c>
      <c r="F477" s="198">
        <v>2.7601088666453233</v>
      </c>
      <c r="G477" s="198">
        <v>1.0606437266156412</v>
      </c>
      <c r="H477" s="198">
        <v>0.80170905315260033</v>
      </c>
      <c r="I477" s="198">
        <v>2.0152729527065669</v>
      </c>
      <c r="J477" s="198">
        <v>3.2893807496611935</v>
      </c>
      <c r="K477" s="198">
        <v>4.3345148385700192</v>
      </c>
      <c r="L477" s="191">
        <v>8.0626202757923942</v>
      </c>
      <c r="M477" s="197">
        <v>10.003277465469413</v>
      </c>
      <c r="N477" s="198">
        <v>6.8642539695841789</v>
      </c>
      <c r="O477" s="198">
        <v>16.214333787100376</v>
      </c>
      <c r="P477" s="198">
        <v>15.957658425235225</v>
      </c>
      <c r="Q477" s="198">
        <v>8.729044270889224</v>
      </c>
      <c r="R477" s="198">
        <v>8.7376944134374863</v>
      </c>
      <c r="S477" s="198">
        <v>5.2278262128125643</v>
      </c>
      <c r="T477" s="198">
        <v>7.4058556794270123</v>
      </c>
      <c r="U477" s="198">
        <v>12.545581021987861</v>
      </c>
      <c r="V477" s="198">
        <v>10.637288948953689</v>
      </c>
      <c r="W477" s="198">
        <v>7.2897429993265606</v>
      </c>
      <c r="X477" s="191">
        <v>6.3274704465245719</v>
      </c>
      <c r="Y477" s="197">
        <v>9.7274731624376116</v>
      </c>
      <c r="Z477" s="198">
        <v>1.2171356235072506</v>
      </c>
      <c r="AA477" s="198">
        <v>17.218540240660701</v>
      </c>
      <c r="AB477" s="198">
        <v>11.5</v>
      </c>
      <c r="AC477" s="198">
        <v>5.7159365223464498</v>
      </c>
      <c r="AD477" s="191">
        <v>11.96983039215473</v>
      </c>
      <c r="AE477" s="199" t="s">
        <v>207</v>
      </c>
    </row>
    <row r="478" spans="2:31" ht="12" hidden="1" customHeight="1">
      <c r="B478" s="369">
        <v>42744</v>
      </c>
      <c r="C478" s="197"/>
      <c r="D478" s="198"/>
      <c r="E478" s="198"/>
      <c r="F478" s="198"/>
      <c r="G478" s="198"/>
      <c r="H478" s="198"/>
      <c r="I478" s="198"/>
      <c r="J478" s="198"/>
      <c r="K478" s="198"/>
      <c r="L478" s="191"/>
      <c r="M478" s="197"/>
      <c r="N478" s="198"/>
      <c r="O478" s="198"/>
      <c r="P478" s="198"/>
      <c r="Q478" s="198"/>
      <c r="R478" s="198"/>
      <c r="S478" s="198"/>
      <c r="T478" s="198"/>
      <c r="U478" s="198"/>
      <c r="V478" s="198"/>
      <c r="W478" s="198"/>
      <c r="X478" s="191"/>
      <c r="Y478" s="197"/>
      <c r="Z478" s="198"/>
      <c r="AA478" s="198"/>
      <c r="AB478" s="198"/>
      <c r="AC478" s="198"/>
      <c r="AD478" s="191"/>
      <c r="AE478" s="374">
        <v>42744</v>
      </c>
    </row>
    <row r="479" spans="2:31" ht="12" hidden="1" customHeight="1">
      <c r="B479" s="368" t="s">
        <v>184</v>
      </c>
      <c r="C479" s="197">
        <v>9.4914019468435544</v>
      </c>
      <c r="D479" s="198">
        <v>4.8445666994118639</v>
      </c>
      <c r="E479" s="198">
        <v>11.724731365051523</v>
      </c>
      <c r="F479" s="198">
        <v>7.928345052094329</v>
      </c>
      <c r="G479" s="198">
        <v>8.1392806446902561</v>
      </c>
      <c r="H479" s="198">
        <v>10.393991745768627</v>
      </c>
      <c r="I479" s="198">
        <v>12.7005230407682</v>
      </c>
      <c r="J479" s="198">
        <v>9.5868839182913117</v>
      </c>
      <c r="K479" s="198">
        <v>9.2181069894420116</v>
      </c>
      <c r="L479" s="191">
        <v>9.7604402632967968</v>
      </c>
      <c r="M479" s="197">
        <v>12.995620427702622</v>
      </c>
      <c r="N479" s="198">
        <v>9.0206028895049499</v>
      </c>
      <c r="O479" s="198">
        <v>16.096154902090191</v>
      </c>
      <c r="P479" s="198">
        <v>13.877483875080188</v>
      </c>
      <c r="Q479" s="198">
        <v>13.248720776051451</v>
      </c>
      <c r="R479" s="198">
        <v>16.894500776584231</v>
      </c>
      <c r="S479" s="198">
        <v>16.608051463436311</v>
      </c>
      <c r="T479" s="198">
        <v>16.79647441706102</v>
      </c>
      <c r="U479" s="198">
        <v>19.143925179937931</v>
      </c>
      <c r="V479" s="198">
        <v>13.234375894127867</v>
      </c>
      <c r="W479" s="198">
        <v>6.9651254790801946</v>
      </c>
      <c r="X479" s="191">
        <v>7.4645233082550844</v>
      </c>
      <c r="Y479" s="197">
        <v>8.4396189256677054</v>
      </c>
      <c r="Z479" s="198">
        <v>3</v>
      </c>
      <c r="AA479" s="198">
        <v>20.62</v>
      </c>
      <c r="AB479" s="198">
        <v>11.302742718394299</v>
      </c>
      <c r="AC479" s="198">
        <v>1.4516025595348399</v>
      </c>
      <c r="AD479" s="191">
        <v>9.9045177838652112</v>
      </c>
      <c r="AE479" s="199" t="s">
        <v>350</v>
      </c>
    </row>
    <row r="480" spans="2:31" ht="12" hidden="1" customHeight="1">
      <c r="B480" s="368" t="s">
        <v>351</v>
      </c>
      <c r="C480" s="197">
        <v>3.5690455864802502</v>
      </c>
      <c r="D480" s="198">
        <v>2.7790605152901549</v>
      </c>
      <c r="E480" s="198">
        <v>4.2027598589473634</v>
      </c>
      <c r="F480" s="198">
        <v>1.0114896641329034</v>
      </c>
      <c r="G480" s="198">
        <v>0.97803513461313685</v>
      </c>
      <c r="H480" s="198">
        <v>0.74378430391068351</v>
      </c>
      <c r="I480" s="198">
        <v>2.0810127997582275</v>
      </c>
      <c r="J480" s="198">
        <v>3.2181681949291767</v>
      </c>
      <c r="K480" s="198">
        <v>4.227386790011475</v>
      </c>
      <c r="L480" s="191">
        <v>7.9862367813933464</v>
      </c>
      <c r="M480" s="197">
        <v>10.615800253013393</v>
      </c>
      <c r="N480" s="198">
        <v>7.5143185130459393</v>
      </c>
      <c r="O480" s="198">
        <v>16.251619023383604</v>
      </c>
      <c r="P480" s="198">
        <v>16.292327444593251</v>
      </c>
      <c r="Q480" s="198">
        <v>11.980895836584679</v>
      </c>
      <c r="R480" s="198">
        <v>10.683949112333147</v>
      </c>
      <c r="S480" s="198">
        <v>5.2644156357022354</v>
      </c>
      <c r="T480" s="198">
        <v>7.6883897521335562</v>
      </c>
      <c r="U480" s="198">
        <v>12.621753474146525</v>
      </c>
      <c r="V480" s="198">
        <v>12.496833054119</v>
      </c>
      <c r="W480" s="198">
        <v>7.1665971470682157</v>
      </c>
      <c r="X480" s="191">
        <v>6.1560939073346121</v>
      </c>
      <c r="Y480" s="197">
        <v>9.76</v>
      </c>
      <c r="Z480" s="198">
        <v>1.19</v>
      </c>
      <c r="AA480" s="198">
        <v>17.218539913513201</v>
      </c>
      <c r="AB480" s="198">
        <v>11.5</v>
      </c>
      <c r="AC480" s="198">
        <v>5.716319796537789</v>
      </c>
      <c r="AD480" s="191">
        <v>11.969832156305465</v>
      </c>
      <c r="AE480" s="199" t="s">
        <v>207</v>
      </c>
    </row>
    <row r="481" spans="2:31" ht="12" hidden="1" customHeight="1">
      <c r="B481" s="369">
        <v>42745</v>
      </c>
      <c r="C481" s="197"/>
      <c r="D481" s="198"/>
      <c r="E481" s="198"/>
      <c r="F481" s="198"/>
      <c r="G481" s="198"/>
      <c r="H481" s="198"/>
      <c r="I481" s="198"/>
      <c r="J481" s="198"/>
      <c r="K481" s="198"/>
      <c r="L481" s="191"/>
      <c r="M481" s="197"/>
      <c r="N481" s="198"/>
      <c r="O481" s="198"/>
      <c r="P481" s="198"/>
      <c r="Q481" s="198"/>
      <c r="R481" s="198"/>
      <c r="S481" s="198"/>
      <c r="T481" s="198"/>
      <c r="U481" s="198"/>
      <c r="V481" s="198"/>
      <c r="W481" s="198"/>
      <c r="X481" s="191"/>
      <c r="Y481" s="197"/>
      <c r="Z481" s="198"/>
      <c r="AA481" s="198"/>
      <c r="AB481" s="198"/>
      <c r="AC481" s="198"/>
      <c r="AD481" s="191"/>
      <c r="AE481" s="374">
        <v>42745</v>
      </c>
    </row>
    <row r="482" spans="2:31" ht="12" hidden="1" customHeight="1">
      <c r="B482" s="368" t="s">
        <v>184</v>
      </c>
      <c r="C482" s="197">
        <v>10.14982090740212</v>
      </c>
      <c r="D482" s="198">
        <v>5.6677417838347957</v>
      </c>
      <c r="E482" s="198">
        <v>11.752540109386118</v>
      </c>
      <c r="F482" s="198">
        <v>6.1699266541421123</v>
      </c>
      <c r="G482" s="198">
        <v>8.0696278840026672</v>
      </c>
      <c r="H482" s="198">
        <v>9.7549079916137682</v>
      </c>
      <c r="I482" s="198">
        <v>11.857515216880673</v>
      </c>
      <c r="J482" s="198">
        <v>11.013734109029521</v>
      </c>
      <c r="K482" s="198">
        <v>9.3245158040607965</v>
      </c>
      <c r="L482" s="191">
        <v>9.7777159118147399</v>
      </c>
      <c r="M482" s="197">
        <v>12.995245415099307</v>
      </c>
      <c r="N482" s="198">
        <v>8.9791190567734507</v>
      </c>
      <c r="O482" s="198">
        <v>16.1037441771063</v>
      </c>
      <c r="P482" s="198">
        <v>12.089429608804151</v>
      </c>
      <c r="Q482" s="198">
        <v>13.150258580944985</v>
      </c>
      <c r="R482" s="198">
        <v>16.869095222410071</v>
      </c>
      <c r="S482" s="198">
        <v>16.606418349762208</v>
      </c>
      <c r="T482" s="198">
        <v>16.938166204062899</v>
      </c>
      <c r="U482" s="198">
        <v>19.220648715434123</v>
      </c>
      <c r="V482" s="198">
        <v>13.287084254525613</v>
      </c>
      <c r="W482" s="198">
        <v>6.8862426319533387</v>
      </c>
      <c r="X482" s="191">
        <v>7.298689326268196</v>
      </c>
      <c r="Y482" s="197">
        <v>8.4115397469527888</v>
      </c>
      <c r="Z482" s="198">
        <v>3</v>
      </c>
      <c r="AA482" s="198" t="s">
        <v>93</v>
      </c>
      <c r="AB482" s="198">
        <v>11.2545159854935</v>
      </c>
      <c r="AC482" s="198">
        <v>1.4516025595348399</v>
      </c>
      <c r="AD482" s="191">
        <v>9.9115047862274306</v>
      </c>
      <c r="AE482" s="199" t="s">
        <v>350</v>
      </c>
    </row>
    <row r="483" spans="2:31" ht="12" hidden="1" customHeight="1">
      <c r="B483" s="368" t="s">
        <v>351</v>
      </c>
      <c r="C483" s="197">
        <v>3.3669194225889805</v>
      </c>
      <c r="D483" s="198">
        <v>1.3613012736516135</v>
      </c>
      <c r="E483" s="198">
        <v>4.1488301026977297</v>
      </c>
      <c r="F483" s="198">
        <v>3.9905492122009485</v>
      </c>
      <c r="G483" s="198">
        <v>0.98978029586635385</v>
      </c>
      <c r="H483" s="198">
        <v>0.53499337775331601</v>
      </c>
      <c r="I483" s="198">
        <v>1.6875566136444551</v>
      </c>
      <c r="J483" s="198">
        <v>2.6515820494893969</v>
      </c>
      <c r="K483" s="198">
        <v>4.1223638273863807</v>
      </c>
      <c r="L483" s="191">
        <v>7.980882793182241</v>
      </c>
      <c r="M483" s="197">
        <v>10.289448787006124</v>
      </c>
      <c r="N483" s="198">
        <v>7.2044706309116284</v>
      </c>
      <c r="O483" s="198">
        <v>16.160415427628763</v>
      </c>
      <c r="P483" s="198">
        <v>16.152748322375459</v>
      </c>
      <c r="Q483" s="198">
        <v>7.0077640927618852</v>
      </c>
      <c r="R483" s="198">
        <v>10.150613730843775</v>
      </c>
      <c r="S483" s="198">
        <v>5.2975098473864595</v>
      </c>
      <c r="T483" s="198">
        <v>6.8792233690854898</v>
      </c>
      <c r="U483" s="198">
        <v>12.447686748941329</v>
      </c>
      <c r="V483" s="198">
        <v>12.530805878634199</v>
      </c>
      <c r="W483" s="198">
        <v>7.0427556277892736</v>
      </c>
      <c r="X483" s="191">
        <v>6.1847629718861281</v>
      </c>
      <c r="Y483" s="197">
        <v>9.9702919392385301</v>
      </c>
      <c r="Z483" s="198">
        <v>1.1848682592688948</v>
      </c>
      <c r="AA483" s="198" t="s">
        <v>93</v>
      </c>
      <c r="AB483" s="198">
        <v>10.571770802776999</v>
      </c>
      <c r="AC483" s="198">
        <v>5.437449126189323</v>
      </c>
      <c r="AD483" s="191">
        <v>11.969821332086747</v>
      </c>
      <c r="AE483" s="199" t="s">
        <v>207</v>
      </c>
    </row>
    <row r="484" spans="2:31" ht="12" hidden="1" customHeight="1">
      <c r="B484" s="369">
        <v>42746</v>
      </c>
      <c r="C484" s="197"/>
      <c r="D484" s="198"/>
      <c r="E484" s="198"/>
      <c r="F484" s="198"/>
      <c r="G484" s="198"/>
      <c r="H484" s="198"/>
      <c r="I484" s="198"/>
      <c r="J484" s="198"/>
      <c r="K484" s="198"/>
      <c r="L484" s="191"/>
      <c r="M484" s="197"/>
      <c r="N484" s="198"/>
      <c r="O484" s="198"/>
      <c r="P484" s="198"/>
      <c r="Q484" s="198"/>
      <c r="R484" s="198"/>
      <c r="S484" s="198"/>
      <c r="T484" s="198"/>
      <c r="U484" s="198"/>
      <c r="V484" s="198"/>
      <c r="W484" s="198"/>
      <c r="X484" s="191"/>
      <c r="Y484" s="197"/>
      <c r="Z484" s="198"/>
      <c r="AA484" s="198"/>
      <c r="AB484" s="198"/>
      <c r="AC484" s="198"/>
      <c r="AD484" s="191"/>
      <c r="AE484" s="374">
        <v>42746</v>
      </c>
    </row>
    <row r="485" spans="2:31" ht="12" hidden="1" customHeight="1">
      <c r="B485" s="368" t="s">
        <v>184</v>
      </c>
      <c r="C485" s="197">
        <v>10.331563248497115</v>
      </c>
      <c r="D485" s="198">
        <v>5.4163263332480893</v>
      </c>
      <c r="E485" s="198">
        <v>11.830688634479234</v>
      </c>
      <c r="F485" s="198">
        <v>6.4750419413256042</v>
      </c>
      <c r="G485" s="198">
        <v>3.4163556171746796</v>
      </c>
      <c r="H485" s="198">
        <v>9.3386893740557397</v>
      </c>
      <c r="I485" s="198">
        <v>11.482307244416081</v>
      </c>
      <c r="J485" s="198">
        <v>12.201653253380965</v>
      </c>
      <c r="K485" s="198">
        <v>9.3900104097408104</v>
      </c>
      <c r="L485" s="191">
        <v>9.6969074369815864</v>
      </c>
      <c r="M485" s="197">
        <v>13.140363724493358</v>
      </c>
      <c r="N485" s="198">
        <v>8.9860709421420193</v>
      </c>
      <c r="O485" s="198">
        <v>16.298475372069372</v>
      </c>
      <c r="P485" s="198">
        <v>12.668189322776307</v>
      </c>
      <c r="Q485" s="198">
        <v>12.79501274840975</v>
      </c>
      <c r="R485" s="198">
        <v>16.74934801457546</v>
      </c>
      <c r="S485" s="198">
        <v>16.30647891467169</v>
      </c>
      <c r="T485" s="198">
        <v>17.496585447971174</v>
      </c>
      <c r="U485" s="198">
        <v>19.397973591067917</v>
      </c>
      <c r="V485" s="198">
        <v>13.43921045708143</v>
      </c>
      <c r="W485" s="198">
        <v>6.8890642569695322</v>
      </c>
      <c r="X485" s="191">
        <v>7.2966209181990553</v>
      </c>
      <c r="Y485" s="197">
        <v>7.9430832578659309</v>
      </c>
      <c r="Z485" s="198">
        <v>3</v>
      </c>
      <c r="AA485" s="198" t="s">
        <v>93</v>
      </c>
      <c r="AB485" s="198">
        <v>4.7428009002112397</v>
      </c>
      <c r="AC485" s="198">
        <v>1.4516025595348399</v>
      </c>
      <c r="AD485" s="191">
        <v>9.9312036045845904</v>
      </c>
      <c r="AE485" s="199" t="s">
        <v>350</v>
      </c>
    </row>
    <row r="486" spans="2:31" ht="12" hidden="1" customHeight="1">
      <c r="B486" s="368" t="s">
        <v>351</v>
      </c>
      <c r="C486" s="197">
        <v>3.3279623877593458</v>
      </c>
      <c r="D486" s="198">
        <v>1.3679276296996576</v>
      </c>
      <c r="E486" s="198">
        <v>4.1006115816854614</v>
      </c>
      <c r="F486" s="198">
        <v>5.4443734994887656</v>
      </c>
      <c r="G486" s="198">
        <v>0.91571592524471779</v>
      </c>
      <c r="H486" s="198">
        <v>0.5509599899839227</v>
      </c>
      <c r="I486" s="198">
        <v>1.6859077677079899</v>
      </c>
      <c r="J486" s="198">
        <v>2.6090223205611451</v>
      </c>
      <c r="K486" s="198">
        <v>3.9917731860567027</v>
      </c>
      <c r="L486" s="191">
        <v>7.9007932948718951</v>
      </c>
      <c r="M486" s="197">
        <v>10.53268878492427</v>
      </c>
      <c r="N486" s="198">
        <v>7.2339014326291764</v>
      </c>
      <c r="O486" s="198">
        <v>17.343706674588208</v>
      </c>
      <c r="P486" s="198">
        <v>14.941462946080044</v>
      </c>
      <c r="Q486" s="198">
        <v>12.255783439426422</v>
      </c>
      <c r="R486" s="198">
        <v>9.7759489525065852</v>
      </c>
      <c r="S486" s="198">
        <v>5.1258303612793918</v>
      </c>
      <c r="T486" s="198">
        <v>8.0740182164027878</v>
      </c>
      <c r="U486" s="198">
        <v>12.337018983219142</v>
      </c>
      <c r="V486" s="198">
        <v>12.37943895784227</v>
      </c>
      <c r="W486" s="198">
        <v>6.9305882705694435</v>
      </c>
      <c r="X486" s="191">
        <v>6.1387297695685374</v>
      </c>
      <c r="Y486" s="197">
        <v>10.224279841960197</v>
      </c>
      <c r="Z486" s="198">
        <v>0.55209794914179178</v>
      </c>
      <c r="AA486" s="198" t="s">
        <v>93</v>
      </c>
      <c r="AB486" s="198">
        <v>10.384835412172901</v>
      </c>
      <c r="AC486" s="198">
        <v>5.4355306182335505</v>
      </c>
      <c r="AD486" s="191">
        <v>11.993904010187103</v>
      </c>
      <c r="AE486" s="199" t="s">
        <v>207</v>
      </c>
    </row>
    <row r="487" spans="2:31" ht="12" hidden="1" customHeight="1">
      <c r="B487" s="369">
        <v>42747</v>
      </c>
      <c r="C487" s="197"/>
      <c r="D487" s="198"/>
      <c r="E487" s="198"/>
      <c r="F487" s="198"/>
      <c r="G487" s="198"/>
      <c r="H487" s="198"/>
      <c r="I487" s="198"/>
      <c r="J487" s="198"/>
      <c r="K487" s="198"/>
      <c r="L487" s="191"/>
      <c r="M487" s="197"/>
      <c r="N487" s="198"/>
      <c r="O487" s="198"/>
      <c r="P487" s="198"/>
      <c r="Q487" s="198"/>
      <c r="R487" s="198"/>
      <c r="S487" s="198"/>
      <c r="T487" s="198"/>
      <c r="U487" s="198"/>
      <c r="V487" s="198"/>
      <c r="W487" s="198"/>
      <c r="X487" s="191"/>
      <c r="Y487" s="197"/>
      <c r="Z487" s="198"/>
      <c r="AA487" s="198"/>
      <c r="AB487" s="198"/>
      <c r="AC487" s="198"/>
      <c r="AD487" s="191"/>
      <c r="AE487" s="374">
        <v>42747</v>
      </c>
    </row>
    <row r="488" spans="2:31" ht="12" hidden="1" customHeight="1">
      <c r="B488" s="368" t="s">
        <v>184</v>
      </c>
      <c r="C488" s="197">
        <v>10.296818151290225</v>
      </c>
      <c r="D488" s="198">
        <v>5.1682674547192935</v>
      </c>
      <c r="E488" s="198">
        <v>11.741638554738707</v>
      </c>
      <c r="F488" s="198">
        <v>6.0415400753395092</v>
      </c>
      <c r="G488" s="198">
        <v>3.2927870483454527</v>
      </c>
      <c r="H488" s="198">
        <v>8.3118312421433878</v>
      </c>
      <c r="I488" s="198">
        <v>10.902110237821578</v>
      </c>
      <c r="J488" s="198">
        <v>12.052243846456852</v>
      </c>
      <c r="K488" s="198">
        <v>9.4794869304937794</v>
      </c>
      <c r="L488" s="191">
        <v>9.4776915714056589</v>
      </c>
      <c r="M488" s="197">
        <v>13.091153752203144</v>
      </c>
      <c r="N488" s="198">
        <v>8.8238824231999793</v>
      </c>
      <c r="O488" s="198">
        <v>16.37714894397423</v>
      </c>
      <c r="P488" s="198">
        <v>5.0580307704670382</v>
      </c>
      <c r="Q488" s="198">
        <v>12.863687077098488</v>
      </c>
      <c r="R488" s="198">
        <v>16.512786347788698</v>
      </c>
      <c r="S488" s="198">
        <v>15.412273161165347</v>
      </c>
      <c r="T488" s="198">
        <v>17.812851308823529</v>
      </c>
      <c r="U488" s="198">
        <v>19.436484657282051</v>
      </c>
      <c r="V488" s="198">
        <v>14.003475775949012</v>
      </c>
      <c r="W488" s="198">
        <v>6.8371111461014253</v>
      </c>
      <c r="X488" s="191">
        <v>7.2920004880457174</v>
      </c>
      <c r="Y488" s="197">
        <v>7.8943426171339119</v>
      </c>
      <c r="Z488" s="198">
        <v>3</v>
      </c>
      <c r="AA488" s="198" t="s">
        <v>93</v>
      </c>
      <c r="AB488" s="198">
        <v>2.5722126262739597</v>
      </c>
      <c r="AC488" s="198">
        <v>1.4516025595348399</v>
      </c>
      <c r="AD488" s="191">
        <v>9.9387910025754795</v>
      </c>
      <c r="AE488" s="199" t="s">
        <v>350</v>
      </c>
    </row>
    <row r="489" spans="2:31" ht="12" hidden="1" customHeight="1">
      <c r="B489" s="368" t="s">
        <v>351</v>
      </c>
      <c r="C489" s="197">
        <v>3.0546474749815697</v>
      </c>
      <c r="D489" s="198">
        <v>1.3893405090269959</v>
      </c>
      <c r="E489" s="198">
        <v>3.7592917737444038</v>
      </c>
      <c r="F489" s="198">
        <v>1.8258704815429843</v>
      </c>
      <c r="G489" s="198">
        <v>0.80110981387519486</v>
      </c>
      <c r="H489" s="198">
        <v>0.66990427255265383</v>
      </c>
      <c r="I489" s="198">
        <v>1.4571975548788643</v>
      </c>
      <c r="J489" s="198">
        <v>2.6375663457898648</v>
      </c>
      <c r="K489" s="198">
        <v>3.4610073153671714</v>
      </c>
      <c r="L489" s="191">
        <v>6.5199709137424637</v>
      </c>
      <c r="M489" s="197">
        <v>10.369396328526484</v>
      </c>
      <c r="N489" s="198">
        <v>7.1497860162492168</v>
      </c>
      <c r="O489" s="198">
        <v>17.219761073525685</v>
      </c>
      <c r="P489" s="198">
        <v>14.242288453611538</v>
      </c>
      <c r="Q489" s="198">
        <v>12.201085846160362</v>
      </c>
      <c r="R489" s="198">
        <v>9.7476443580222583</v>
      </c>
      <c r="S489" s="198">
        <v>5.0278172381948583</v>
      </c>
      <c r="T489" s="198">
        <v>8.0459519268236033</v>
      </c>
      <c r="U489" s="198">
        <v>12.07328722122419</v>
      </c>
      <c r="V489" s="198">
        <v>12.22137591100825</v>
      </c>
      <c r="W489" s="198">
        <v>6.8690577232813439</v>
      </c>
      <c r="X489" s="191">
        <v>6.0216974478485907</v>
      </c>
      <c r="Y489" s="197">
        <v>10.706573078805647</v>
      </c>
      <c r="Z489" s="198">
        <v>0.42783872058801298</v>
      </c>
      <c r="AA489" s="198" t="s">
        <v>93</v>
      </c>
      <c r="AB489" s="198">
        <v>9.7715173025731996</v>
      </c>
      <c r="AC489" s="198">
        <v>4.5344757348089164</v>
      </c>
      <c r="AD489" s="191">
        <v>11.993765776050019</v>
      </c>
      <c r="AE489" s="199" t="s">
        <v>207</v>
      </c>
    </row>
    <row r="490" spans="2:31" ht="12" customHeight="1">
      <c r="B490" s="369">
        <v>43101</v>
      </c>
      <c r="C490" s="197"/>
      <c r="D490" s="198"/>
      <c r="E490" s="198"/>
      <c r="F490" s="198"/>
      <c r="G490" s="198"/>
      <c r="H490" s="198"/>
      <c r="I490" s="198"/>
      <c r="J490" s="198"/>
      <c r="K490" s="198"/>
      <c r="L490" s="191"/>
      <c r="M490" s="197"/>
      <c r="N490" s="198"/>
      <c r="O490" s="198"/>
      <c r="P490" s="198"/>
      <c r="Q490" s="198"/>
      <c r="R490" s="198"/>
      <c r="S490" s="198"/>
      <c r="T490" s="198"/>
      <c r="U490" s="198"/>
      <c r="V490" s="198"/>
      <c r="W490" s="198"/>
      <c r="X490" s="191"/>
      <c r="Y490" s="197"/>
      <c r="Z490" s="198"/>
      <c r="AA490" s="198"/>
      <c r="AB490" s="198"/>
      <c r="AC490" s="198"/>
      <c r="AD490" s="191"/>
      <c r="AE490" s="374">
        <v>43101</v>
      </c>
    </row>
    <row r="491" spans="2:31" ht="12" customHeight="1">
      <c r="B491" s="368" t="s">
        <v>184</v>
      </c>
      <c r="C491" s="197">
        <v>10.71853110418318</v>
      </c>
      <c r="D491" s="198">
        <v>5.8209487526934289</v>
      </c>
      <c r="E491" s="198">
        <v>11.586417445667854</v>
      </c>
      <c r="F491" s="198">
        <v>6.3076376772265865</v>
      </c>
      <c r="G491" s="198">
        <v>6.1677297238010427</v>
      </c>
      <c r="H491" s="198">
        <v>7.7711532573587219</v>
      </c>
      <c r="I491" s="198">
        <v>10.354504407404104</v>
      </c>
      <c r="J491" s="198">
        <v>12.126232959749309</v>
      </c>
      <c r="K491" s="198">
        <v>9.6552056105716755</v>
      </c>
      <c r="L491" s="191">
        <v>9.2693909330025779</v>
      </c>
      <c r="M491" s="197">
        <v>13.198633658661837</v>
      </c>
      <c r="N491" s="198">
        <v>8.9123874442705908</v>
      </c>
      <c r="O491" s="198">
        <v>16.311398202818033</v>
      </c>
      <c r="P491" s="198">
        <v>11.61434939937317</v>
      </c>
      <c r="Q491" s="198">
        <v>14.39455994551604</v>
      </c>
      <c r="R491" s="198">
        <v>16.488599510322334</v>
      </c>
      <c r="S491" s="198">
        <v>15.246977643382223</v>
      </c>
      <c r="T491" s="198">
        <v>17.74589025213027</v>
      </c>
      <c r="U491" s="198">
        <v>19.49634663849308</v>
      </c>
      <c r="V491" s="198">
        <v>14.305643055584685</v>
      </c>
      <c r="W491" s="198">
        <v>6.7065011725772505</v>
      </c>
      <c r="X491" s="191">
        <v>7.25012785058298</v>
      </c>
      <c r="Y491" s="197">
        <v>11.800540936374265</v>
      </c>
      <c r="Z491" s="198">
        <v>3</v>
      </c>
      <c r="AA491" s="198" t="s">
        <v>93</v>
      </c>
      <c r="AB491" s="198">
        <v>16</v>
      </c>
      <c r="AC491" s="198">
        <v>15.372549019607801</v>
      </c>
      <c r="AD491" s="191">
        <v>11.692507322809199</v>
      </c>
      <c r="AE491" s="199" t="s">
        <v>350</v>
      </c>
    </row>
    <row r="492" spans="2:31" ht="12" customHeight="1">
      <c r="B492" s="368" t="s">
        <v>351</v>
      </c>
      <c r="C492" s="197">
        <v>2.9961275170641333</v>
      </c>
      <c r="D492" s="198">
        <v>1.4069779861606102</v>
      </c>
      <c r="E492" s="198">
        <v>3.6615058681605244</v>
      </c>
      <c r="F492" s="198">
        <v>1.47851356113393</v>
      </c>
      <c r="G492" s="198">
        <v>0.6996926665427099</v>
      </c>
      <c r="H492" s="198">
        <v>1.9304067695900797</v>
      </c>
      <c r="I492" s="198">
        <v>1.4864997627375169</v>
      </c>
      <c r="J492" s="198">
        <v>2.6161334600456314</v>
      </c>
      <c r="K492" s="198">
        <v>3.2525785146851329</v>
      </c>
      <c r="L492" s="191">
        <v>6.5552726819701856</v>
      </c>
      <c r="M492" s="197">
        <v>9.7631805590209275</v>
      </c>
      <c r="N492" s="198">
        <v>6.8437511902362536</v>
      </c>
      <c r="O492" s="198">
        <v>16.470998707390702</v>
      </c>
      <c r="P492" s="198">
        <v>14.966557215702538</v>
      </c>
      <c r="Q492" s="198">
        <v>9.0612695190298798</v>
      </c>
      <c r="R492" s="198">
        <v>9.8943586799180991</v>
      </c>
      <c r="S492" s="198">
        <v>4.9966571543696592</v>
      </c>
      <c r="T492" s="198">
        <v>7.7543250905681012</v>
      </c>
      <c r="U492" s="198">
        <v>10.996635431287324</v>
      </c>
      <c r="V492" s="198">
        <v>11.647176261744661</v>
      </c>
      <c r="W492" s="198">
        <v>6.3377621636447392</v>
      </c>
      <c r="X492" s="191">
        <v>6.0563835635224743</v>
      </c>
      <c r="Y492" s="197">
        <v>4.9257167447122843</v>
      </c>
      <c r="Z492" s="198" t="s">
        <v>93</v>
      </c>
      <c r="AA492" s="198" t="s">
        <v>93</v>
      </c>
      <c r="AB492" s="198">
        <v>10.568197361993199</v>
      </c>
      <c r="AC492" s="198">
        <v>5.064423066161595</v>
      </c>
      <c r="AD492" s="191">
        <v>3.5000000000000004</v>
      </c>
      <c r="AE492" s="199" t="s">
        <v>207</v>
      </c>
    </row>
    <row r="493" spans="2:31" ht="12" hidden="1" customHeight="1">
      <c r="B493" s="369">
        <v>43102</v>
      </c>
      <c r="C493" s="197"/>
      <c r="D493" s="198"/>
      <c r="E493" s="198"/>
      <c r="F493" s="198"/>
      <c r="G493" s="198"/>
      <c r="H493" s="198"/>
      <c r="I493" s="198"/>
      <c r="J493" s="198"/>
      <c r="K493" s="198"/>
      <c r="L493" s="191"/>
      <c r="M493" s="197"/>
      <c r="N493" s="198"/>
      <c r="O493" s="198"/>
      <c r="P493" s="198"/>
      <c r="Q493" s="198"/>
      <c r="R493" s="198"/>
      <c r="S493" s="198"/>
      <c r="T493" s="198"/>
      <c r="U493" s="198"/>
      <c r="V493" s="198"/>
      <c r="W493" s="198"/>
      <c r="X493" s="191"/>
      <c r="Y493" s="197"/>
      <c r="Z493" s="198"/>
      <c r="AA493" s="198"/>
      <c r="AB493" s="198"/>
      <c r="AC493" s="198"/>
      <c r="AD493" s="191"/>
      <c r="AE493" s="374">
        <v>43102</v>
      </c>
    </row>
    <row r="494" spans="2:31" ht="12" hidden="1" customHeight="1">
      <c r="B494" s="368" t="s">
        <v>184</v>
      </c>
      <c r="C494" s="197">
        <v>10.357154905275253</v>
      </c>
      <c r="D494" s="198">
        <v>5.1747872569152751</v>
      </c>
      <c r="E494" s="198">
        <v>11.43173545550221</v>
      </c>
      <c r="F494" s="198">
        <v>9.677612652701546</v>
      </c>
      <c r="G494" s="198">
        <v>6.9048457039123354</v>
      </c>
      <c r="H494" s="198">
        <v>7.2351038604275333</v>
      </c>
      <c r="I494" s="198">
        <v>10.26985097647942</v>
      </c>
      <c r="J494" s="198">
        <v>11.111450011089104</v>
      </c>
      <c r="K494" s="198">
        <v>9.6276452882409664</v>
      </c>
      <c r="L494" s="191">
        <v>9.2500511917545669</v>
      </c>
      <c r="M494" s="197">
        <v>13.348650015168376</v>
      </c>
      <c r="N494" s="198">
        <v>8.9361182943092565</v>
      </c>
      <c r="O494" s="198">
        <v>16.494017144652741</v>
      </c>
      <c r="P494" s="198">
        <v>10.391109059179552</v>
      </c>
      <c r="Q494" s="198">
        <v>14.983432082780404</v>
      </c>
      <c r="R494" s="198">
        <v>16.330845808586293</v>
      </c>
      <c r="S494" s="198">
        <v>15.850578782231734</v>
      </c>
      <c r="T494" s="198">
        <v>17.932840169515316</v>
      </c>
      <c r="U494" s="198">
        <v>19.517956458647046</v>
      </c>
      <c r="V494" s="198">
        <v>14.571458228481285</v>
      </c>
      <c r="W494" s="198">
        <v>6.6323166844491714</v>
      </c>
      <c r="X494" s="191">
        <v>7.3278559847426887</v>
      </c>
      <c r="Y494" s="197">
        <v>10.772005915644709</v>
      </c>
      <c r="Z494" s="198">
        <v>3</v>
      </c>
      <c r="AA494" s="198" t="s">
        <v>93</v>
      </c>
      <c r="AB494" s="198" t="s">
        <v>93</v>
      </c>
      <c r="AC494" s="198">
        <v>1.96758074936607</v>
      </c>
      <c r="AD494" s="191">
        <v>11.251492565987101</v>
      </c>
      <c r="AE494" s="199" t="s">
        <v>350</v>
      </c>
    </row>
    <row r="495" spans="2:31" ht="12" hidden="1" customHeight="1">
      <c r="B495" s="368" t="s">
        <v>351</v>
      </c>
      <c r="C495" s="197">
        <v>2.9235677217547935</v>
      </c>
      <c r="D495" s="198">
        <v>1.4016717091344841</v>
      </c>
      <c r="E495" s="198">
        <v>3.5819703066928352</v>
      </c>
      <c r="F495" s="198">
        <v>1.5059219796187957</v>
      </c>
      <c r="G495" s="198">
        <v>0.65366540500252468</v>
      </c>
      <c r="H495" s="198">
        <v>2.0753848575630203</v>
      </c>
      <c r="I495" s="198">
        <v>1.4693329211655424</v>
      </c>
      <c r="J495" s="198">
        <v>2.6311693448175504</v>
      </c>
      <c r="K495" s="198">
        <v>3.0717222824453936</v>
      </c>
      <c r="L495" s="191">
        <v>6.4247421545577703</v>
      </c>
      <c r="M495" s="197">
        <v>9.656001085819149</v>
      </c>
      <c r="N495" s="198">
        <v>6.790075566910529</v>
      </c>
      <c r="O495" s="198">
        <v>16.278573445313103</v>
      </c>
      <c r="P495" s="198">
        <v>15.28979856000878</v>
      </c>
      <c r="Q495" s="198">
        <v>8.8593592172989499</v>
      </c>
      <c r="R495" s="198">
        <v>9.7790292847964277</v>
      </c>
      <c r="S495" s="198">
        <v>4.7245604033104209</v>
      </c>
      <c r="T495" s="198">
        <v>8.2578384234804005</v>
      </c>
      <c r="U495" s="198">
        <v>10.609479191376069</v>
      </c>
      <c r="V495" s="198">
        <v>11.55693655423447</v>
      </c>
      <c r="W495" s="198">
        <v>6.4106833434719777</v>
      </c>
      <c r="X495" s="191">
        <v>6.0163451986196783</v>
      </c>
      <c r="Y495" s="197">
        <v>6.46</v>
      </c>
      <c r="Z495" s="198">
        <v>0.42820146304548901</v>
      </c>
      <c r="AA495" s="198" t="s">
        <v>93</v>
      </c>
      <c r="AB495" s="198" t="s">
        <v>93</v>
      </c>
      <c r="AC495" s="198">
        <v>4.5170112805010643</v>
      </c>
      <c r="AD495" s="191">
        <v>10.942714819427142</v>
      </c>
      <c r="AE495" s="199" t="s">
        <v>207</v>
      </c>
    </row>
    <row r="496" spans="2:31" ht="12" hidden="1" customHeight="1">
      <c r="B496" s="369">
        <v>43103</v>
      </c>
      <c r="C496" s="197"/>
      <c r="D496" s="198"/>
      <c r="E496" s="198"/>
      <c r="F496" s="198"/>
      <c r="G496" s="198"/>
      <c r="H496" s="198"/>
      <c r="I496" s="198"/>
      <c r="J496" s="198"/>
      <c r="K496" s="198"/>
      <c r="L496" s="191"/>
      <c r="M496" s="197"/>
      <c r="N496" s="198"/>
      <c r="O496" s="198"/>
      <c r="P496" s="198"/>
      <c r="Q496" s="198"/>
      <c r="R496" s="198"/>
      <c r="S496" s="198"/>
      <c r="T496" s="198"/>
      <c r="U496" s="198"/>
      <c r="V496" s="198"/>
      <c r="W496" s="198"/>
      <c r="X496" s="191"/>
      <c r="Y496" s="197"/>
      <c r="Z496" s="198"/>
      <c r="AA496" s="198"/>
      <c r="AB496" s="198"/>
      <c r="AC496" s="198"/>
      <c r="AD496" s="191"/>
      <c r="AE496" s="374">
        <v>43103</v>
      </c>
    </row>
    <row r="497" spans="2:31" ht="12" hidden="1" customHeight="1">
      <c r="B497" s="368" t="s">
        <v>184</v>
      </c>
      <c r="C497" s="197">
        <v>10.100213123439412</v>
      </c>
      <c r="D497" s="198">
        <v>5.3101447870132015</v>
      </c>
      <c r="E497" s="198">
        <v>11.182912251135983</v>
      </c>
      <c r="F497" s="198">
        <v>6.9710667668741939</v>
      </c>
      <c r="G497" s="198">
        <v>6.8678935332988384</v>
      </c>
      <c r="H497" s="198">
        <v>7.5131515266858742</v>
      </c>
      <c r="I497" s="198">
        <v>10.199434733627402</v>
      </c>
      <c r="J497" s="198">
        <v>10.798792710104353</v>
      </c>
      <c r="K497" s="198">
        <v>9.6166314426032873</v>
      </c>
      <c r="L497" s="191">
        <v>9.3277445607218485</v>
      </c>
      <c r="M497" s="197">
        <v>13.449441435697704</v>
      </c>
      <c r="N497" s="198">
        <v>9.0115579349819654</v>
      </c>
      <c r="O497" s="198">
        <v>16.610434113249429</v>
      </c>
      <c r="P497" s="198">
        <v>11.434358395048831</v>
      </c>
      <c r="Q497" s="198">
        <v>14.290969191508207</v>
      </c>
      <c r="R497" s="198">
        <v>16.124574069516058</v>
      </c>
      <c r="S497" s="198">
        <v>15.704508171014679</v>
      </c>
      <c r="T497" s="198">
        <v>17.771387074101799</v>
      </c>
      <c r="U497" s="198">
        <v>19.889748316424971</v>
      </c>
      <c r="V497" s="198">
        <v>14.982511848531141</v>
      </c>
      <c r="W497" s="198">
        <v>6.6222519134979532</v>
      </c>
      <c r="X497" s="191">
        <v>7.3238566893583119</v>
      </c>
      <c r="Y497" s="197">
        <v>10.784115961128247</v>
      </c>
      <c r="Z497" s="198" t="s">
        <v>93</v>
      </c>
      <c r="AA497" s="198" t="s">
        <v>93</v>
      </c>
      <c r="AB497" s="198" t="s">
        <v>93</v>
      </c>
      <c r="AC497" s="198">
        <v>1.96758074936607</v>
      </c>
      <c r="AD497" s="191">
        <v>11.272052341713499</v>
      </c>
      <c r="AE497" s="199" t="s">
        <v>350</v>
      </c>
    </row>
    <row r="498" spans="2:31" ht="12" hidden="1" customHeight="1">
      <c r="B498" s="368" t="s">
        <v>351</v>
      </c>
      <c r="C498" s="197">
        <v>2.9195149539065364</v>
      </c>
      <c r="D498" s="198">
        <v>1.3955673034248857</v>
      </c>
      <c r="E498" s="198">
        <v>3.5805219125545342</v>
      </c>
      <c r="F498" s="198">
        <v>2.6298969862582826</v>
      </c>
      <c r="G498" s="198">
        <v>0.65570360679846762</v>
      </c>
      <c r="H498" s="198">
        <v>1.9294101842252684</v>
      </c>
      <c r="I498" s="198">
        <v>1.4332631717988178</v>
      </c>
      <c r="J498" s="198">
        <v>2.7235038785706216</v>
      </c>
      <c r="K498" s="198">
        <v>2.9363332468755527</v>
      </c>
      <c r="L498" s="191">
        <v>6.2445370105275959</v>
      </c>
      <c r="M498" s="197">
        <v>9.8729388600422929</v>
      </c>
      <c r="N498" s="198">
        <v>6.9753024155147001</v>
      </c>
      <c r="O498" s="198">
        <v>16.177609376920756</v>
      </c>
      <c r="P498" s="198">
        <v>15.272565273825849</v>
      </c>
      <c r="Q498" s="198">
        <v>9.0439375086298188</v>
      </c>
      <c r="R498" s="198">
        <v>10.972918995405838</v>
      </c>
      <c r="S498" s="198">
        <v>4.9402827270807803</v>
      </c>
      <c r="T498" s="198">
        <v>8.4540729101344461</v>
      </c>
      <c r="U498" s="198">
        <v>11.249164463696721</v>
      </c>
      <c r="V498" s="198">
        <v>11.481359171997726</v>
      </c>
      <c r="W498" s="198">
        <v>6.3604570285573647</v>
      </c>
      <c r="X498" s="191">
        <v>6.4012427060842256</v>
      </c>
      <c r="Y498" s="197">
        <v>6.8351377987234896</v>
      </c>
      <c r="Z498" s="198">
        <v>0.92037221412011017</v>
      </c>
      <c r="AA498" s="198">
        <v>6</v>
      </c>
      <c r="AB498" s="198" t="s">
        <v>93</v>
      </c>
      <c r="AC498" s="198">
        <v>5.6811454295706199</v>
      </c>
      <c r="AD498" s="191">
        <v>10.942714819427142</v>
      </c>
      <c r="AE498" s="199" t="s">
        <v>207</v>
      </c>
    </row>
    <row r="499" spans="2:31" ht="12" hidden="1" customHeight="1">
      <c r="B499" s="369">
        <v>43104</v>
      </c>
      <c r="C499" s="197"/>
      <c r="D499" s="198"/>
      <c r="E499" s="198"/>
      <c r="F499" s="198"/>
      <c r="G499" s="198"/>
      <c r="H499" s="198"/>
      <c r="I499" s="198"/>
      <c r="J499" s="198"/>
      <c r="K499" s="198"/>
      <c r="L499" s="191"/>
      <c r="M499" s="197"/>
      <c r="N499" s="198"/>
      <c r="O499" s="198"/>
      <c r="P499" s="198"/>
      <c r="Q499" s="198"/>
      <c r="R499" s="198"/>
      <c r="S499" s="198"/>
      <c r="T499" s="198"/>
      <c r="U499" s="198"/>
      <c r="V499" s="198"/>
      <c r="W499" s="198"/>
      <c r="X499" s="191"/>
      <c r="Y499" s="197"/>
      <c r="Z499" s="198"/>
      <c r="AA499" s="198"/>
      <c r="AB499" s="198"/>
      <c r="AC499" s="198"/>
      <c r="AD499" s="191"/>
      <c r="AE499" s="374">
        <v>43104</v>
      </c>
    </row>
    <row r="500" spans="2:31" ht="12" hidden="1" customHeight="1">
      <c r="B500" s="368" t="s">
        <v>184</v>
      </c>
      <c r="C500" s="197">
        <v>10.06035634863445</v>
      </c>
      <c r="D500" s="198">
        <v>5.3848966256109447</v>
      </c>
      <c r="E500" s="198">
        <v>11.040797292372552</v>
      </c>
      <c r="F500" s="198">
        <v>6.9990074390783823</v>
      </c>
      <c r="G500" s="198">
        <v>5.9094653435904689</v>
      </c>
      <c r="H500" s="198">
        <v>7.6090859335386858</v>
      </c>
      <c r="I500" s="198">
        <v>10.285688277432417</v>
      </c>
      <c r="J500" s="198">
        <v>10.784335863950819</v>
      </c>
      <c r="K500" s="198">
        <v>9.7108093932399573</v>
      </c>
      <c r="L500" s="191">
        <v>9.3162166043456445</v>
      </c>
      <c r="M500" s="197">
        <v>13.453746777445286</v>
      </c>
      <c r="N500" s="198">
        <v>8.8743764457821399</v>
      </c>
      <c r="O500" s="198">
        <v>16.645146090361681</v>
      </c>
      <c r="P500" s="198">
        <v>11.281037480318911</v>
      </c>
      <c r="Q500" s="198">
        <v>13.890888269467247</v>
      </c>
      <c r="R500" s="198">
        <v>15.947189532447153</v>
      </c>
      <c r="S500" s="198">
        <v>15.382588163251487</v>
      </c>
      <c r="T500" s="198">
        <v>17.700016022769464</v>
      </c>
      <c r="U500" s="198">
        <v>19.695449041382812</v>
      </c>
      <c r="V500" s="198">
        <v>15.313900588631746</v>
      </c>
      <c r="W500" s="198">
        <v>6.6171966308235453</v>
      </c>
      <c r="X500" s="191">
        <v>7.2716361725696412</v>
      </c>
      <c r="Y500" s="197">
        <v>12.386978845728745</v>
      </c>
      <c r="Z500" s="198" t="s">
        <v>93</v>
      </c>
      <c r="AA500" s="198" t="s">
        <v>93</v>
      </c>
      <c r="AB500" s="198" t="s">
        <v>93</v>
      </c>
      <c r="AC500" s="198">
        <v>1.96758074936607</v>
      </c>
      <c r="AD500" s="191">
        <v>13.528729470960599</v>
      </c>
      <c r="AE500" s="199" t="s">
        <v>350</v>
      </c>
    </row>
    <row r="501" spans="2:31" ht="12" hidden="1" customHeight="1">
      <c r="B501" s="368" t="s">
        <v>351</v>
      </c>
      <c r="C501" s="197">
        <v>2.8177618454761451</v>
      </c>
      <c r="D501" s="198">
        <v>1.3813073236072373</v>
      </c>
      <c r="E501" s="198">
        <v>3.4322642710448812</v>
      </c>
      <c r="F501" s="198">
        <v>2.4198107127260653</v>
      </c>
      <c r="G501" s="198">
        <v>0.6510447698154368</v>
      </c>
      <c r="H501" s="198">
        <v>1.7251659753966653</v>
      </c>
      <c r="I501" s="198">
        <v>2.0046640785140712</v>
      </c>
      <c r="J501" s="198">
        <v>2.5014145039997144</v>
      </c>
      <c r="K501" s="198">
        <v>2.9818260894754269</v>
      </c>
      <c r="L501" s="191">
        <v>5.9329104525000886</v>
      </c>
      <c r="M501" s="197">
        <v>9.7406871802686474</v>
      </c>
      <c r="N501" s="198">
        <v>6.9642390626804511</v>
      </c>
      <c r="O501" s="198">
        <v>15.858318349012702</v>
      </c>
      <c r="P501" s="198">
        <v>13.037841999492054</v>
      </c>
      <c r="Q501" s="198">
        <v>9.614542207960417</v>
      </c>
      <c r="R501" s="198">
        <v>10.817512030155289</v>
      </c>
      <c r="S501" s="198">
        <v>5.4375185339671459</v>
      </c>
      <c r="T501" s="198">
        <v>8.3547797929859815</v>
      </c>
      <c r="U501" s="198">
        <v>11.040237561156905</v>
      </c>
      <c r="V501" s="198">
        <v>11.557123939558855</v>
      </c>
      <c r="W501" s="198">
        <v>6.2791113292945955</v>
      </c>
      <c r="X501" s="191">
        <v>6.3996243911129733</v>
      </c>
      <c r="Y501" s="197">
        <v>5.0881340284685193</v>
      </c>
      <c r="Z501" s="198">
        <v>1.2810330353951054</v>
      </c>
      <c r="AA501" s="198" t="s">
        <v>93</v>
      </c>
      <c r="AB501" s="198">
        <v>4</v>
      </c>
      <c r="AC501" s="198">
        <v>5.7035940236547695</v>
      </c>
      <c r="AD501" s="191">
        <v>10.942551200608532</v>
      </c>
      <c r="AE501" s="199" t="s">
        <v>207</v>
      </c>
    </row>
    <row r="502" spans="2:31" ht="12" hidden="1" customHeight="1">
      <c r="B502" s="369">
        <v>43105</v>
      </c>
      <c r="C502" s="197"/>
      <c r="D502" s="198"/>
      <c r="E502" s="198"/>
      <c r="F502" s="198"/>
      <c r="G502" s="198"/>
      <c r="H502" s="198"/>
      <c r="I502" s="198"/>
      <c r="J502" s="198"/>
      <c r="K502" s="198"/>
      <c r="L502" s="191"/>
      <c r="M502" s="197"/>
      <c r="N502" s="198"/>
      <c r="O502" s="198"/>
      <c r="P502" s="198"/>
      <c r="Q502" s="198"/>
      <c r="R502" s="198"/>
      <c r="S502" s="198"/>
      <c r="T502" s="198"/>
      <c r="U502" s="198"/>
      <c r="V502" s="198"/>
      <c r="W502" s="198"/>
      <c r="X502" s="191"/>
      <c r="Y502" s="197"/>
      <c r="Z502" s="198"/>
      <c r="AA502" s="198"/>
      <c r="AB502" s="198"/>
      <c r="AC502" s="198"/>
      <c r="AD502" s="191"/>
      <c r="AE502" s="374">
        <v>43105</v>
      </c>
    </row>
    <row r="503" spans="2:31" ht="12" hidden="1" customHeight="1">
      <c r="B503" s="368" t="s">
        <v>184</v>
      </c>
      <c r="C503" s="197">
        <v>10.1448899430314</v>
      </c>
      <c r="D503" s="198">
        <v>5.4289589126870785</v>
      </c>
      <c r="E503" s="198">
        <v>10.905032870854727</v>
      </c>
      <c r="F503" s="198">
        <v>7.862352594152207</v>
      </c>
      <c r="G503" s="198">
        <v>5.6263366502178043</v>
      </c>
      <c r="H503" s="198">
        <v>7.6787090816637633</v>
      </c>
      <c r="I503" s="198">
        <v>9.7755015563420713</v>
      </c>
      <c r="J503" s="198">
        <v>10.735031234645557</v>
      </c>
      <c r="K503" s="198">
        <v>9.6759935029332045</v>
      </c>
      <c r="L503" s="191">
        <v>9.2686049743124954</v>
      </c>
      <c r="M503" s="197">
        <v>13.568419497425497</v>
      </c>
      <c r="N503" s="198">
        <v>8.8087999828200818</v>
      </c>
      <c r="O503" s="198">
        <v>16.828145743822358</v>
      </c>
      <c r="P503" s="198">
        <v>12.116462405702579</v>
      </c>
      <c r="Q503" s="198">
        <v>12.897963442806159</v>
      </c>
      <c r="R503" s="198">
        <v>16.100570881535521</v>
      </c>
      <c r="S503" s="198">
        <v>15.444959510955814</v>
      </c>
      <c r="T503" s="198">
        <v>17.135472398349023</v>
      </c>
      <c r="U503" s="198">
        <v>19.65639493075625</v>
      </c>
      <c r="V503" s="198">
        <v>15.955678971846117</v>
      </c>
      <c r="W503" s="198">
        <v>6.6589596932397344</v>
      </c>
      <c r="X503" s="191">
        <v>7.2398056085688394</v>
      </c>
      <c r="Y503" s="197">
        <v>11.583975691832702</v>
      </c>
      <c r="Z503" s="198">
        <v>3</v>
      </c>
      <c r="AA503" s="198" t="s">
        <v>93</v>
      </c>
      <c r="AB503" s="198"/>
      <c r="AC503" s="198">
        <v>1.9675807493660671</v>
      </c>
      <c r="AD503" s="191">
        <v>12.644752563873256</v>
      </c>
      <c r="AE503" s="199" t="s">
        <v>350</v>
      </c>
    </row>
    <row r="504" spans="2:31" ht="12" hidden="1" customHeight="1">
      <c r="B504" s="368" t="s">
        <v>351</v>
      </c>
      <c r="C504" s="197">
        <v>2.6965609397783332</v>
      </c>
      <c r="D504" s="198">
        <v>1.3531217870604457</v>
      </c>
      <c r="E504" s="198">
        <v>3.2828157901601172</v>
      </c>
      <c r="F504" s="198">
        <v>2.2277045520722121</v>
      </c>
      <c r="G504" s="198">
        <v>0.66183195611115664</v>
      </c>
      <c r="H504" s="198">
        <v>1.4792705402705675</v>
      </c>
      <c r="I504" s="198">
        <v>0.63777827516771579</v>
      </c>
      <c r="J504" s="198">
        <v>2.3773846519345829</v>
      </c>
      <c r="K504" s="198">
        <v>2.9411213936385057</v>
      </c>
      <c r="L504" s="191">
        <v>5.0661766833800215</v>
      </c>
      <c r="M504" s="197">
        <v>9.6476500104021561</v>
      </c>
      <c r="N504" s="198">
        <v>6.9521558826244032</v>
      </c>
      <c r="O504" s="198">
        <v>15.925236939339305</v>
      </c>
      <c r="P504" s="198">
        <v>12.961557498627666</v>
      </c>
      <c r="Q504" s="198">
        <v>9.6980436687022493</v>
      </c>
      <c r="R504" s="198">
        <v>11.280299262160604</v>
      </c>
      <c r="S504" s="198">
        <v>5.7201647421828987</v>
      </c>
      <c r="T504" s="198">
        <v>8.392379897982897</v>
      </c>
      <c r="U504" s="198">
        <v>10.925567947769618</v>
      </c>
      <c r="V504" s="198">
        <v>11.128191327879701</v>
      </c>
      <c r="W504" s="198">
        <v>6.3168646592133513</v>
      </c>
      <c r="X504" s="191">
        <v>6.378265458382069</v>
      </c>
      <c r="Y504" s="197">
        <v>5.18</v>
      </c>
      <c r="Z504" s="198">
        <v>1.4451183365470424</v>
      </c>
      <c r="AA504" s="198" t="s">
        <v>93</v>
      </c>
      <c r="AB504" s="198">
        <v>4</v>
      </c>
      <c r="AC504" s="198">
        <v>5.7250011131605225</v>
      </c>
      <c r="AD504" s="191">
        <v>9.8390772039903318</v>
      </c>
      <c r="AE504" s="199" t="s">
        <v>207</v>
      </c>
    </row>
    <row r="505" spans="2:31" ht="12" hidden="1" customHeight="1">
      <c r="B505" s="369">
        <v>43106</v>
      </c>
      <c r="C505" s="197"/>
      <c r="D505" s="198"/>
      <c r="E505" s="198"/>
      <c r="F505" s="198"/>
      <c r="G505" s="198"/>
      <c r="H505" s="198"/>
      <c r="I505" s="198"/>
      <c r="J505" s="198"/>
      <c r="K505" s="198"/>
      <c r="L505" s="191"/>
      <c r="M505" s="197"/>
      <c r="N505" s="198"/>
      <c r="O505" s="198"/>
      <c r="P505" s="198"/>
      <c r="Q505" s="198"/>
      <c r="R505" s="198"/>
      <c r="S505" s="198"/>
      <c r="T505" s="198"/>
      <c r="U505" s="198"/>
      <c r="V505" s="198"/>
      <c r="W505" s="198"/>
      <c r="X505" s="191"/>
      <c r="Y505" s="197"/>
      <c r="Z505" s="198"/>
      <c r="AA505" s="198"/>
      <c r="AB505" s="198"/>
      <c r="AC505" s="198"/>
      <c r="AD505" s="191"/>
      <c r="AE505" s="374">
        <v>43106</v>
      </c>
    </row>
    <row r="506" spans="2:31" ht="12" hidden="1" customHeight="1">
      <c r="B506" s="368" t="s">
        <v>184</v>
      </c>
      <c r="C506" s="197">
        <v>9.9769953030977856</v>
      </c>
      <c r="D506" s="198">
        <v>5.2296782644881645</v>
      </c>
      <c r="E506" s="198">
        <v>10.689306328631396</v>
      </c>
      <c r="F506" s="198">
        <v>10.889844188888285</v>
      </c>
      <c r="G506" s="198">
        <v>4.577347677303429</v>
      </c>
      <c r="H506" s="198">
        <v>6.2547252069878105</v>
      </c>
      <c r="I506" s="198">
        <v>9.7687659950161105</v>
      </c>
      <c r="J506" s="198">
        <v>10.407557975674187</v>
      </c>
      <c r="K506" s="198">
        <v>9.6860484612145861</v>
      </c>
      <c r="L506" s="191">
        <v>9.6154877123330671</v>
      </c>
      <c r="M506" s="197">
        <v>13.649195925723925</v>
      </c>
      <c r="N506" s="198">
        <v>8.7829361672723287</v>
      </c>
      <c r="O506" s="198">
        <v>16.899030041484089</v>
      </c>
      <c r="P506" s="198">
        <v>13.020703676174453</v>
      </c>
      <c r="Q506" s="198">
        <v>12.654136370971974</v>
      </c>
      <c r="R506" s="198">
        <v>15.908085632377714</v>
      </c>
      <c r="S506" s="198">
        <v>15.260656500230468</v>
      </c>
      <c r="T506" s="198">
        <v>17.057788909788364</v>
      </c>
      <c r="U506" s="198">
        <v>19.564623271220238</v>
      </c>
      <c r="V506" s="198">
        <v>16.347497637759808</v>
      </c>
      <c r="W506" s="198">
        <v>6.6454053075662198</v>
      </c>
      <c r="X506" s="191">
        <v>7.218415448274226</v>
      </c>
      <c r="Y506" s="197">
        <v>11.636319054889617</v>
      </c>
      <c r="Z506" s="198" t="s">
        <v>93</v>
      </c>
      <c r="AA506" s="198" t="s">
        <v>93</v>
      </c>
      <c r="AB506" s="198" t="s">
        <v>93</v>
      </c>
      <c r="AC506" s="198">
        <v>1.96758074936607</v>
      </c>
      <c r="AD506" s="191">
        <v>12.583420155487399</v>
      </c>
      <c r="AE506" s="199" t="s">
        <v>350</v>
      </c>
    </row>
    <row r="507" spans="2:31" ht="12" hidden="1" customHeight="1">
      <c r="B507" s="368" t="s">
        <v>351</v>
      </c>
      <c r="C507" s="197">
        <v>2.6463043063408236</v>
      </c>
      <c r="D507" s="198">
        <v>1.3314495078884421</v>
      </c>
      <c r="E507" s="198">
        <v>3.2255902186543262</v>
      </c>
      <c r="F507" s="198">
        <v>4.2450708897385603</v>
      </c>
      <c r="G507" s="198">
        <v>0.49456522613835552</v>
      </c>
      <c r="H507" s="198">
        <v>2.3412789601523487</v>
      </c>
      <c r="I507" s="198">
        <v>0.61286930802777462</v>
      </c>
      <c r="J507" s="198">
        <v>2.2435405563808613</v>
      </c>
      <c r="K507" s="198">
        <v>2.9268235000447294</v>
      </c>
      <c r="L507" s="191">
        <v>5.1757559744703627</v>
      </c>
      <c r="M507" s="197">
        <v>9.4854444975377241</v>
      </c>
      <c r="N507" s="198">
        <v>6.9117289886880986</v>
      </c>
      <c r="O507" s="198">
        <v>15.606046545405029</v>
      </c>
      <c r="P507" s="198">
        <v>12.752776640498256</v>
      </c>
      <c r="Q507" s="198">
        <v>9.9392498420392457</v>
      </c>
      <c r="R507" s="198">
        <v>10.874358030251443</v>
      </c>
      <c r="S507" s="198">
        <v>5.8547795402750786</v>
      </c>
      <c r="T507" s="198">
        <v>8.0892169420112445</v>
      </c>
      <c r="U507" s="198">
        <v>10.773862162062622</v>
      </c>
      <c r="V507" s="198">
        <v>10.922410232748444</v>
      </c>
      <c r="W507" s="198">
        <v>6.2814503266051132</v>
      </c>
      <c r="X507" s="191">
        <v>6.3590967846870639</v>
      </c>
      <c r="Y507" s="197">
        <v>5.7430721833938545</v>
      </c>
      <c r="Z507" s="198">
        <v>1.1438035650803207</v>
      </c>
      <c r="AA507" s="198" t="s">
        <v>93</v>
      </c>
      <c r="AB507" s="198">
        <v>4</v>
      </c>
      <c r="AC507" s="198">
        <v>5.7250011131605198</v>
      </c>
      <c r="AD507" s="191">
        <v>9.9939727523196122</v>
      </c>
      <c r="AE507" s="199" t="s">
        <v>207</v>
      </c>
    </row>
    <row r="508" spans="2:31" ht="12" customHeight="1">
      <c r="B508" s="369">
        <v>43107</v>
      </c>
      <c r="C508" s="197"/>
      <c r="D508" s="198"/>
      <c r="E508" s="198"/>
      <c r="F508" s="198"/>
      <c r="G508" s="198"/>
      <c r="H508" s="198"/>
      <c r="I508" s="198"/>
      <c r="J508" s="198"/>
      <c r="K508" s="198"/>
      <c r="L508" s="191"/>
      <c r="M508" s="197"/>
      <c r="N508" s="198"/>
      <c r="O508" s="198"/>
      <c r="P508" s="198"/>
      <c r="Q508" s="198"/>
      <c r="R508" s="198"/>
      <c r="S508" s="198"/>
      <c r="T508" s="198"/>
      <c r="U508" s="198"/>
      <c r="V508" s="198"/>
      <c r="W508" s="198"/>
      <c r="X508" s="191"/>
      <c r="Y508" s="197"/>
      <c r="Z508" s="198"/>
      <c r="AA508" s="198"/>
      <c r="AB508" s="198"/>
      <c r="AC508" s="198"/>
      <c r="AD508" s="191"/>
      <c r="AE508" s="374">
        <v>43107</v>
      </c>
    </row>
    <row r="509" spans="2:31" ht="12" customHeight="1">
      <c r="B509" s="368" t="s">
        <v>184</v>
      </c>
      <c r="C509" s="197">
        <v>9.8644828350590927</v>
      </c>
      <c r="D509" s="198">
        <v>5.1920533574302405</v>
      </c>
      <c r="E509" s="198">
        <v>10.508945174551602</v>
      </c>
      <c r="F509" s="198">
        <v>11.083087625979262</v>
      </c>
      <c r="G509" s="198">
        <v>3.6481746766940502</v>
      </c>
      <c r="H509" s="198">
        <v>5.6887490790517026</v>
      </c>
      <c r="I509" s="198">
        <v>6.7111615126555044</v>
      </c>
      <c r="J509" s="198">
        <v>10.292656835683646</v>
      </c>
      <c r="K509" s="198">
        <v>9.6467892957115424</v>
      </c>
      <c r="L509" s="191">
        <v>9.5835567290840569</v>
      </c>
      <c r="M509" s="197">
        <v>13.693684554332277</v>
      </c>
      <c r="N509" s="198">
        <v>8.7623698234549625</v>
      </c>
      <c r="O509" s="198">
        <v>16.900058211119699</v>
      </c>
      <c r="P509" s="198">
        <v>10.868981021557977</v>
      </c>
      <c r="Q509" s="198">
        <v>12.814306495411392</v>
      </c>
      <c r="R509" s="198">
        <v>15.38346280810925</v>
      </c>
      <c r="S509" s="198">
        <v>14.902519043697723</v>
      </c>
      <c r="T509" s="198">
        <v>17.366187109084006</v>
      </c>
      <c r="U509" s="198">
        <v>19.427636582276836</v>
      </c>
      <c r="V509" s="198">
        <v>16.385725449030364</v>
      </c>
      <c r="W509" s="198">
        <v>6.7124006579954072</v>
      </c>
      <c r="X509" s="191">
        <v>7.1911051881564543</v>
      </c>
      <c r="Y509" s="197">
        <v>11.229027170193126</v>
      </c>
      <c r="Z509" s="198" t="s">
        <v>93</v>
      </c>
      <c r="AA509" s="198" t="s">
        <v>93</v>
      </c>
      <c r="AB509" s="198" t="s">
        <v>93</v>
      </c>
      <c r="AC509" s="198">
        <v>14.000000000000002</v>
      </c>
      <c r="AD509" s="191">
        <v>11.202385602259399</v>
      </c>
      <c r="AE509" s="199" t="s">
        <v>350</v>
      </c>
    </row>
    <row r="510" spans="2:31" ht="12" customHeight="1">
      <c r="B510" s="368" t="s">
        <v>351</v>
      </c>
      <c r="C510" s="197">
        <v>2.5183389510809748</v>
      </c>
      <c r="D510" s="198">
        <v>1.2993692241944239</v>
      </c>
      <c r="E510" s="198">
        <v>3.0445775600013549</v>
      </c>
      <c r="F510" s="198">
        <v>4.2024040085462397</v>
      </c>
      <c r="G510" s="198">
        <v>0.50062012137319345</v>
      </c>
      <c r="H510" s="198">
        <v>2.2420653940463708</v>
      </c>
      <c r="I510" s="198">
        <v>0.63528350101575803</v>
      </c>
      <c r="J510" s="198">
        <v>2.0564245308774205</v>
      </c>
      <c r="K510" s="198">
        <v>2.8627005567076775</v>
      </c>
      <c r="L510" s="191">
        <v>5.135415227443362</v>
      </c>
      <c r="M510" s="197">
        <v>9.3915462233774747</v>
      </c>
      <c r="N510" s="198">
        <v>6.8762912841410948</v>
      </c>
      <c r="O510" s="198">
        <v>15.70277630608598</v>
      </c>
      <c r="P510" s="198">
        <v>13.916131246119795</v>
      </c>
      <c r="Q510" s="198">
        <v>9.6003602998200801</v>
      </c>
      <c r="R510" s="198">
        <v>10.413817366623466</v>
      </c>
      <c r="S510" s="198">
        <v>6.0494408821712247</v>
      </c>
      <c r="T510" s="198">
        <v>8.0407705324930099</v>
      </c>
      <c r="U510" s="198">
        <v>10.570340658391558</v>
      </c>
      <c r="V510" s="198">
        <v>10.789696476228924</v>
      </c>
      <c r="W510" s="198">
        <v>6.3944616739592632</v>
      </c>
      <c r="X510" s="191">
        <v>6.3839288787562287</v>
      </c>
      <c r="Y510" s="197">
        <v>4.3459290678370577</v>
      </c>
      <c r="Z510" s="198">
        <v>2.0556174985242999</v>
      </c>
      <c r="AA510" s="198" t="s">
        <v>93</v>
      </c>
      <c r="AB510" s="198">
        <v>4</v>
      </c>
      <c r="AC510" s="198">
        <v>10</v>
      </c>
      <c r="AD510" s="191">
        <v>3.9106990374378503</v>
      </c>
      <c r="AE510" s="199" t="s">
        <v>207</v>
      </c>
    </row>
    <row r="511" spans="2:31" ht="12" customHeight="1">
      <c r="B511" s="369">
        <v>43108</v>
      </c>
      <c r="C511" s="197"/>
      <c r="D511" s="198"/>
      <c r="E511" s="198"/>
      <c r="F511" s="198"/>
      <c r="G511" s="198"/>
      <c r="H511" s="198"/>
      <c r="I511" s="198"/>
      <c r="J511" s="198"/>
      <c r="K511" s="198"/>
      <c r="L511" s="191"/>
      <c r="M511" s="197"/>
      <c r="N511" s="198"/>
      <c r="O511" s="198"/>
      <c r="P511" s="198"/>
      <c r="Q511" s="198"/>
      <c r="R511" s="198"/>
      <c r="S511" s="198"/>
      <c r="T511" s="198"/>
      <c r="U511" s="198"/>
      <c r="V511" s="198"/>
      <c r="W511" s="198"/>
      <c r="X511" s="191"/>
      <c r="Y511" s="197"/>
      <c r="Z511" s="198"/>
      <c r="AA511" s="198"/>
      <c r="AB511" s="198"/>
      <c r="AC511" s="198"/>
      <c r="AD511" s="191"/>
      <c r="AE511" s="374">
        <v>43108</v>
      </c>
    </row>
    <row r="512" spans="2:31" ht="12" customHeight="1">
      <c r="B512" s="368" t="s">
        <v>184</v>
      </c>
      <c r="C512" s="197">
        <v>9.8472674523363981</v>
      </c>
      <c r="D512" s="198">
        <v>5.6719499466993932</v>
      </c>
      <c r="E512" s="198">
        <v>10.34397979602875</v>
      </c>
      <c r="F512" s="198">
        <v>11.09184337039604</v>
      </c>
      <c r="G512" s="198">
        <v>3.5016370566966182</v>
      </c>
      <c r="H512" s="198">
        <v>5.8351693731834766</v>
      </c>
      <c r="I512" s="198">
        <v>6.4934368488125784</v>
      </c>
      <c r="J512" s="198">
        <v>10.253793267293871</v>
      </c>
      <c r="K512" s="198">
        <v>9.6633115783591332</v>
      </c>
      <c r="L512" s="191">
        <v>9.4795890447910196</v>
      </c>
      <c r="M512" s="197">
        <v>13.798637432398438</v>
      </c>
      <c r="N512" s="198">
        <v>8.820729662054589</v>
      </c>
      <c r="O512" s="198">
        <v>16.967155835797033</v>
      </c>
      <c r="P512" s="198">
        <v>11.109601432645968</v>
      </c>
      <c r="Q512" s="198">
        <v>13.182159447127404</v>
      </c>
      <c r="R512" s="198">
        <v>16.247374394233301</v>
      </c>
      <c r="S512" s="198">
        <v>14.775999235162962</v>
      </c>
      <c r="T512" s="198">
        <v>17.440321209424486</v>
      </c>
      <c r="U512" s="198">
        <v>19.325196141973262</v>
      </c>
      <c r="V512" s="198">
        <v>16.916078947179724</v>
      </c>
      <c r="W512" s="198">
        <v>6.6813507235499792</v>
      </c>
      <c r="X512" s="191">
        <v>7.1958410231467598</v>
      </c>
      <c r="Y512" s="197">
        <v>10.634985333055015</v>
      </c>
      <c r="Z512" s="198">
        <v>2.9999999999999996</v>
      </c>
      <c r="AA512" s="198" t="s">
        <v>93</v>
      </c>
      <c r="AB512" s="198" t="s">
        <v>93</v>
      </c>
      <c r="AC512" s="198">
        <v>14.000000000000002</v>
      </c>
      <c r="AD512" s="191">
        <v>10.612420600668401</v>
      </c>
      <c r="AE512" s="199" t="s">
        <v>350</v>
      </c>
    </row>
    <row r="513" spans="2:31" ht="12" customHeight="1">
      <c r="B513" s="368" t="s">
        <v>351</v>
      </c>
      <c r="C513" s="197">
        <v>2.4637831796217129</v>
      </c>
      <c r="D513" s="198">
        <v>1.332990137748195</v>
      </c>
      <c r="E513" s="198">
        <v>2.9425758491637066</v>
      </c>
      <c r="F513" s="198">
        <v>4.3011062117853101</v>
      </c>
      <c r="G513" s="198">
        <v>0.47351797004909202</v>
      </c>
      <c r="H513" s="198">
        <v>2.2204896423621583</v>
      </c>
      <c r="I513" s="198">
        <v>0.49401653772509518</v>
      </c>
      <c r="J513" s="198">
        <v>2.0735148449575873</v>
      </c>
      <c r="K513" s="198">
        <v>2.7165592489803072</v>
      </c>
      <c r="L513" s="191">
        <v>5.115790657533049</v>
      </c>
      <c r="M513" s="197">
        <v>9.1799251819278211</v>
      </c>
      <c r="N513" s="198">
        <v>6.8359763804302611</v>
      </c>
      <c r="O513" s="198">
        <v>15.156565172212428</v>
      </c>
      <c r="P513" s="198">
        <v>13.570096666208597</v>
      </c>
      <c r="Q513" s="198">
        <v>9.3556064322377459</v>
      </c>
      <c r="R513" s="198">
        <v>9.5158286952262134</v>
      </c>
      <c r="S513" s="198">
        <v>5.6328613186229184</v>
      </c>
      <c r="T513" s="198">
        <v>8.0029537041721373</v>
      </c>
      <c r="U513" s="198">
        <v>10.022633736510523</v>
      </c>
      <c r="V513" s="198">
        <v>10.758281882915409</v>
      </c>
      <c r="W513" s="198">
        <v>6.3793527202829656</v>
      </c>
      <c r="X513" s="191">
        <v>6.3764311916490293</v>
      </c>
      <c r="Y513" s="197">
        <v>4.8629647492222112</v>
      </c>
      <c r="Z513" s="198" t="s">
        <v>93</v>
      </c>
      <c r="AA513" s="198" t="s">
        <v>93</v>
      </c>
      <c r="AB513" s="198">
        <v>4</v>
      </c>
      <c r="AC513" s="198">
        <v>10</v>
      </c>
      <c r="AD513" s="191">
        <v>4.248918353105374</v>
      </c>
      <c r="AE513" s="199" t="s">
        <v>207</v>
      </c>
    </row>
    <row r="514" spans="2:31" ht="12" customHeight="1">
      <c r="B514" s="369">
        <v>43109</v>
      </c>
      <c r="C514" s="197"/>
      <c r="D514" s="198"/>
      <c r="E514" s="198"/>
      <c r="F514" s="198"/>
      <c r="G514" s="198"/>
      <c r="H514" s="198"/>
      <c r="I514" s="198"/>
      <c r="J514" s="198"/>
      <c r="K514" s="198"/>
      <c r="L514" s="191"/>
      <c r="M514" s="197"/>
      <c r="N514" s="198"/>
      <c r="O514" s="198"/>
      <c r="P514" s="198"/>
      <c r="Q514" s="198"/>
      <c r="R514" s="198"/>
      <c r="S514" s="198"/>
      <c r="T514" s="198"/>
      <c r="U514" s="198"/>
      <c r="V514" s="198"/>
      <c r="W514" s="198"/>
      <c r="X514" s="191"/>
      <c r="Y514" s="197"/>
      <c r="Z514" s="198"/>
      <c r="AA514" s="198"/>
      <c r="AB514" s="198"/>
      <c r="AC514" s="198"/>
      <c r="AD514" s="191"/>
      <c r="AE514" s="374">
        <v>43109</v>
      </c>
    </row>
    <row r="515" spans="2:31" ht="12" customHeight="1">
      <c r="B515" s="368" t="s">
        <v>184</v>
      </c>
      <c r="C515" s="197">
        <v>9.7843249468819966</v>
      </c>
      <c r="D515" s="198">
        <v>5.6592976581722159</v>
      </c>
      <c r="E515" s="198">
        <v>10.244794937643631</v>
      </c>
      <c r="F515" s="198">
        <v>11.295020985078448</v>
      </c>
      <c r="G515" s="198">
        <v>4.2680758312583427</v>
      </c>
      <c r="H515" s="198">
        <v>6.1919729582312426</v>
      </c>
      <c r="I515" s="198">
        <v>6.2808154490267842</v>
      </c>
      <c r="J515" s="198">
        <v>10.10166087928887</v>
      </c>
      <c r="K515" s="198">
        <v>9.604136303566607</v>
      </c>
      <c r="L515" s="191">
        <v>9.4523871468136864</v>
      </c>
      <c r="M515" s="197">
        <v>13.968477456461809</v>
      </c>
      <c r="N515" s="198">
        <v>8.8490669848200696</v>
      </c>
      <c r="O515" s="198">
        <v>17.142593862021833</v>
      </c>
      <c r="P515" s="198">
        <v>12.094858211430278</v>
      </c>
      <c r="Q515" s="198">
        <v>13.560813355841772</v>
      </c>
      <c r="R515" s="198">
        <v>15.232046215560086</v>
      </c>
      <c r="S515" s="198">
        <v>14.152537604183211</v>
      </c>
      <c r="T515" s="198">
        <v>17.604442908736875</v>
      </c>
      <c r="U515" s="198">
        <v>19.35288100982542</v>
      </c>
      <c r="V515" s="198">
        <v>17.200898065141441</v>
      </c>
      <c r="W515" s="198">
        <v>6.7002770781036576</v>
      </c>
      <c r="X515" s="191">
        <v>7.198304219292889</v>
      </c>
      <c r="Y515" s="197">
        <v>10.616585775637995</v>
      </c>
      <c r="Z515" s="198">
        <v>3</v>
      </c>
      <c r="AA515" s="198" t="s">
        <v>93</v>
      </c>
      <c r="AB515" s="198" t="s">
        <v>93</v>
      </c>
      <c r="AC515" s="198">
        <v>14.000000000000002</v>
      </c>
      <c r="AD515" s="191">
        <v>10.6022204422257</v>
      </c>
      <c r="AE515" s="199" t="s">
        <v>350</v>
      </c>
    </row>
    <row r="516" spans="2:31" ht="12" customHeight="1">
      <c r="B516" s="368" t="s">
        <v>351</v>
      </c>
      <c r="C516" s="197">
        <v>2.4269626632772194</v>
      </c>
      <c r="D516" s="198">
        <v>1.3362584554668777</v>
      </c>
      <c r="E516" s="198">
        <v>2.9178171162528415</v>
      </c>
      <c r="F516" s="198">
        <v>4.3701049177696802</v>
      </c>
      <c r="G516" s="198">
        <v>0.58936475153087831</v>
      </c>
      <c r="H516" s="198">
        <v>2.6657062119784207</v>
      </c>
      <c r="I516" s="198">
        <v>0.42797233357839859</v>
      </c>
      <c r="J516" s="198">
        <v>2.0831764645618294</v>
      </c>
      <c r="K516" s="198">
        <v>2.6424659725491479</v>
      </c>
      <c r="L516" s="191">
        <v>5.1754020778788687</v>
      </c>
      <c r="M516" s="197">
        <v>9.305413652923562</v>
      </c>
      <c r="N516" s="198">
        <v>6.7768643954931731</v>
      </c>
      <c r="O516" s="198">
        <v>15.93094803483392</v>
      </c>
      <c r="P516" s="198">
        <v>13.691453580199846</v>
      </c>
      <c r="Q516" s="198">
        <v>7.6717087988132686</v>
      </c>
      <c r="R516" s="198">
        <v>10.1872595726666</v>
      </c>
      <c r="S516" s="198">
        <v>5.2034086653197624</v>
      </c>
      <c r="T516" s="198">
        <v>8.0330662883414998</v>
      </c>
      <c r="U516" s="198">
        <v>10.240973512213827</v>
      </c>
      <c r="V516" s="198">
        <v>10.936885680805231</v>
      </c>
      <c r="W516" s="198">
        <v>6.3920577509313015</v>
      </c>
      <c r="X516" s="191">
        <v>6.349016013621454</v>
      </c>
      <c r="Y516" s="197">
        <v>4.8637520312496259</v>
      </c>
      <c r="Z516" s="198" t="s">
        <v>93</v>
      </c>
      <c r="AA516" s="198" t="s">
        <v>93</v>
      </c>
      <c r="AB516" s="198">
        <v>4</v>
      </c>
      <c r="AC516" s="198">
        <v>10</v>
      </c>
      <c r="AD516" s="191">
        <v>4.2514207373513333</v>
      </c>
      <c r="AE516" s="199" t="s">
        <v>207</v>
      </c>
    </row>
    <row r="517" spans="2:31" ht="12" customHeight="1">
      <c r="B517" s="369">
        <v>43110</v>
      </c>
      <c r="C517" s="197"/>
      <c r="D517" s="198"/>
      <c r="E517" s="198"/>
      <c r="F517" s="198"/>
      <c r="G517" s="198"/>
      <c r="H517" s="198"/>
      <c r="I517" s="198"/>
      <c r="J517" s="198"/>
      <c r="K517" s="198"/>
      <c r="L517" s="191"/>
      <c r="M517" s="197"/>
      <c r="N517" s="198"/>
      <c r="O517" s="198"/>
      <c r="P517" s="198"/>
      <c r="Q517" s="198"/>
      <c r="R517" s="198"/>
      <c r="S517" s="198"/>
      <c r="T517" s="198"/>
      <c r="U517" s="198"/>
      <c r="V517" s="198"/>
      <c r="W517" s="198"/>
      <c r="X517" s="191"/>
      <c r="Y517" s="197"/>
      <c r="Z517" s="198"/>
      <c r="AA517" s="198"/>
      <c r="AB517" s="198"/>
      <c r="AC517" s="198"/>
      <c r="AD517" s="191"/>
      <c r="AE517" s="374">
        <v>43110</v>
      </c>
    </row>
    <row r="518" spans="2:31" ht="12" customHeight="1">
      <c r="B518" s="368" t="s">
        <v>184</v>
      </c>
      <c r="C518" s="197">
        <v>9.7936065599027771</v>
      </c>
      <c r="D518" s="198">
        <v>5.552660024173635</v>
      </c>
      <c r="E518" s="198">
        <v>10.303634296580562</v>
      </c>
      <c r="F518" s="198">
        <v>10.188483078684673</v>
      </c>
      <c r="G518" s="198">
        <v>4.2356185009675862</v>
      </c>
      <c r="H518" s="198">
        <v>5.9078368533968755</v>
      </c>
      <c r="I518" s="198">
        <v>6.3915499732510161</v>
      </c>
      <c r="J518" s="198">
        <v>9.9977302096245904</v>
      </c>
      <c r="K518" s="198">
        <v>9.8538603821698221</v>
      </c>
      <c r="L518" s="191">
        <v>9.399244893381745</v>
      </c>
      <c r="M518" s="197">
        <v>14.21221168216365</v>
      </c>
      <c r="N518" s="198">
        <v>9.0264307537051174</v>
      </c>
      <c r="O518" s="198">
        <v>17.185353230375018</v>
      </c>
      <c r="P518" s="198">
        <v>10.066410518434358</v>
      </c>
      <c r="Q518" s="198">
        <v>13.451732196419824</v>
      </c>
      <c r="R518" s="198">
        <v>14.645902997124411</v>
      </c>
      <c r="S518" s="198">
        <v>13.912975715464562</v>
      </c>
      <c r="T518" s="198">
        <v>17.700854031848383</v>
      </c>
      <c r="U518" s="198">
        <v>20.427800677725454</v>
      </c>
      <c r="V518" s="198">
        <v>17.343584255925336</v>
      </c>
      <c r="W518" s="198">
        <v>6.7248718734778139</v>
      </c>
      <c r="X518" s="191">
        <v>7.1449745074930657</v>
      </c>
      <c r="Y518" s="197">
        <v>10.41931877617677</v>
      </c>
      <c r="Z518" s="198">
        <v>3.0000000000000004</v>
      </c>
      <c r="AA518" s="198" t="s">
        <v>93</v>
      </c>
      <c r="AB518" s="198" t="s">
        <v>93</v>
      </c>
      <c r="AC518" s="198">
        <v>14.000000000000002</v>
      </c>
      <c r="AD518" s="191">
        <v>10.409576716381901</v>
      </c>
      <c r="AE518" s="199" t="s">
        <v>350</v>
      </c>
    </row>
    <row r="519" spans="2:31" ht="12" customHeight="1">
      <c r="B519" s="368" t="s">
        <v>351</v>
      </c>
      <c r="C519" s="197">
        <v>2.3913842769644988</v>
      </c>
      <c r="D519" s="198">
        <v>1.2151208646546672</v>
      </c>
      <c r="E519" s="198">
        <v>2.9456516464407176</v>
      </c>
      <c r="F519" s="198">
        <v>1.3953705663360623</v>
      </c>
      <c r="G519" s="198">
        <v>0.65166946102285739</v>
      </c>
      <c r="H519" s="198">
        <v>2.9267561522249754</v>
      </c>
      <c r="I519" s="198">
        <v>0.40322377670440784</v>
      </c>
      <c r="J519" s="198">
        <v>2.0142816619239112</v>
      </c>
      <c r="K519" s="198">
        <v>2.6087348426207684</v>
      </c>
      <c r="L519" s="191">
        <v>5.1875969639594643</v>
      </c>
      <c r="M519" s="197">
        <v>8.8996093326244523</v>
      </c>
      <c r="N519" s="198">
        <v>6.381837193477585</v>
      </c>
      <c r="O519" s="198">
        <v>15.744548480271281</v>
      </c>
      <c r="P519" s="198">
        <v>5.8378914492466141</v>
      </c>
      <c r="Q519" s="198">
        <v>6.7564758241411669</v>
      </c>
      <c r="R519" s="198">
        <v>5.230971370551166</v>
      </c>
      <c r="S519" s="198">
        <v>4.8743490391277584</v>
      </c>
      <c r="T519" s="198">
        <v>7.8241977425188942</v>
      </c>
      <c r="U519" s="198">
        <v>9.8165358835852761</v>
      </c>
      <c r="V519" s="198">
        <v>10.786018677782783</v>
      </c>
      <c r="W519" s="198">
        <v>6.3121834570774773</v>
      </c>
      <c r="X519" s="191">
        <v>6.7112702554120318</v>
      </c>
      <c r="Y519" s="197">
        <v>4.9751383001910057</v>
      </c>
      <c r="Z519" s="198">
        <v>3.0000000000000004</v>
      </c>
      <c r="AA519" s="198" t="s">
        <v>93</v>
      </c>
      <c r="AB519" s="198">
        <v>4</v>
      </c>
      <c r="AC519" s="198">
        <v>7.07959761138342</v>
      </c>
      <c r="AD519" s="191">
        <v>4.1393046001514504</v>
      </c>
      <c r="AE519" s="199" t="s">
        <v>207</v>
      </c>
    </row>
    <row r="520" spans="2:31" ht="12" customHeight="1">
      <c r="B520" s="369">
        <v>43111</v>
      </c>
      <c r="C520" s="197"/>
      <c r="D520" s="198"/>
      <c r="E520" s="198"/>
      <c r="F520" s="198"/>
      <c r="G520" s="198"/>
      <c r="H520" s="198"/>
      <c r="I520" s="198"/>
      <c r="J520" s="198"/>
      <c r="K520" s="198"/>
      <c r="L520" s="191"/>
      <c r="M520" s="197"/>
      <c r="N520" s="198"/>
      <c r="O520" s="198"/>
      <c r="P520" s="198"/>
      <c r="Q520" s="198"/>
      <c r="R520" s="198"/>
      <c r="S520" s="198"/>
      <c r="T520" s="198"/>
      <c r="U520" s="198"/>
      <c r="V520" s="198"/>
      <c r="W520" s="198"/>
      <c r="X520" s="191"/>
      <c r="Y520" s="197"/>
      <c r="Z520" s="198"/>
      <c r="AA520" s="198"/>
      <c r="AB520" s="198"/>
      <c r="AC520" s="198"/>
      <c r="AD520" s="191"/>
      <c r="AE520" s="374">
        <v>43111</v>
      </c>
    </row>
    <row r="521" spans="2:31" ht="12" customHeight="1">
      <c r="B521" s="368" t="s">
        <v>184</v>
      </c>
      <c r="C521" s="197">
        <v>9.6203915704741885</v>
      </c>
      <c r="D521" s="198">
        <v>5.3034035554364305</v>
      </c>
      <c r="E521" s="198">
        <v>10.186274697644661</v>
      </c>
      <c r="F521" s="198">
        <v>9.9521610444140176</v>
      </c>
      <c r="G521" s="198">
        <v>3.9591233472314227</v>
      </c>
      <c r="H521" s="198">
        <v>5.7931943921308164</v>
      </c>
      <c r="I521" s="198">
        <v>5.7556003249149352</v>
      </c>
      <c r="J521" s="198">
        <v>9.8436463978188478</v>
      </c>
      <c r="K521" s="198">
        <v>9.7913480586447807</v>
      </c>
      <c r="L521" s="191">
        <v>9.3241631936403113</v>
      </c>
      <c r="M521" s="197">
        <v>14.286632379994678</v>
      </c>
      <c r="N521" s="198">
        <v>9.0329647913186903</v>
      </c>
      <c r="O521" s="198">
        <v>17.211115259541398</v>
      </c>
      <c r="P521" s="198">
        <v>11.436837293221917</v>
      </c>
      <c r="Q521" s="198">
        <v>13.185855923467059</v>
      </c>
      <c r="R521" s="198">
        <v>14.51834418301039</v>
      </c>
      <c r="S521" s="198">
        <v>14.153496359620906</v>
      </c>
      <c r="T521" s="198">
        <v>17.654395134646016</v>
      </c>
      <c r="U521" s="198">
        <v>20.399393895899735</v>
      </c>
      <c r="V521" s="198">
        <v>17.521447714981541</v>
      </c>
      <c r="W521" s="198">
        <v>6.7371300537357088</v>
      </c>
      <c r="X521" s="191">
        <v>7.0222478601232927</v>
      </c>
      <c r="Y521" s="197">
        <v>6.5610006504664895</v>
      </c>
      <c r="Z521" s="198">
        <v>2.20245436643888</v>
      </c>
      <c r="AA521" s="198" t="s">
        <v>93</v>
      </c>
      <c r="AB521" s="198" t="s">
        <v>93</v>
      </c>
      <c r="AC521" s="198">
        <v>14.000000000000002</v>
      </c>
      <c r="AD521" s="191">
        <v>9.3553931928426195</v>
      </c>
      <c r="AE521" s="199" t="s">
        <v>350</v>
      </c>
    </row>
    <row r="522" spans="2:31" ht="12" customHeight="1">
      <c r="B522" s="368" t="s">
        <v>351</v>
      </c>
      <c r="C522" s="197">
        <v>2.3496546529145372</v>
      </c>
      <c r="D522" s="198">
        <v>1.2141142285237481</v>
      </c>
      <c r="E522" s="198">
        <v>2.8874993462563303</v>
      </c>
      <c r="F522" s="198">
        <v>1.368525023924819</v>
      </c>
      <c r="G522" s="198">
        <v>0.64316619844411627</v>
      </c>
      <c r="H522" s="198">
        <v>2.9110418448040076</v>
      </c>
      <c r="I522" s="198">
        <v>0.577142580113156</v>
      </c>
      <c r="J522" s="198">
        <v>1.9212725761007454</v>
      </c>
      <c r="K522" s="198">
        <v>2.5696443083203553</v>
      </c>
      <c r="L522" s="191">
        <v>5.2839046526397579</v>
      </c>
      <c r="M522" s="197">
        <v>8.6529048575154697</v>
      </c>
      <c r="N522" s="198">
        <v>6.3417512109647358</v>
      </c>
      <c r="O522" s="198">
        <v>15.336960157804192</v>
      </c>
      <c r="P522" s="198">
        <v>6.9511294162507262</v>
      </c>
      <c r="Q522" s="198">
        <v>7.0666724562584164</v>
      </c>
      <c r="R522" s="198">
        <v>5.2646114657868335</v>
      </c>
      <c r="S522" s="198">
        <v>5.0157194967563576</v>
      </c>
      <c r="T522" s="198">
        <v>7.5816735068657923</v>
      </c>
      <c r="U522" s="198">
        <v>9.5898159690962359</v>
      </c>
      <c r="V522" s="198">
        <v>10.421524946112209</v>
      </c>
      <c r="W522" s="198">
        <v>6.0130656838122549</v>
      </c>
      <c r="X522" s="191">
        <v>8.4776445121036534</v>
      </c>
      <c r="Y522" s="197">
        <v>4.7267807446091288</v>
      </c>
      <c r="Z522" s="198">
        <v>2.1999999999999997</v>
      </c>
      <c r="AA522" s="198" t="s">
        <v>93</v>
      </c>
      <c r="AB522" s="198">
        <v>4</v>
      </c>
      <c r="AC522" s="198">
        <v>7.07959761138342</v>
      </c>
      <c r="AD522" s="191">
        <v>4.0246236140139571</v>
      </c>
      <c r="AE522" s="199" t="s">
        <v>207</v>
      </c>
    </row>
    <row r="523" spans="2:31" ht="12" customHeight="1">
      <c r="B523" s="369">
        <v>43112</v>
      </c>
      <c r="C523" s="197"/>
      <c r="D523" s="198"/>
      <c r="E523" s="198"/>
      <c r="F523" s="198"/>
      <c r="G523" s="198"/>
      <c r="H523" s="198"/>
      <c r="I523" s="198"/>
      <c r="J523" s="198"/>
      <c r="K523" s="198"/>
      <c r="L523" s="191"/>
      <c r="M523" s="197"/>
      <c r="N523" s="198"/>
      <c r="O523" s="198"/>
      <c r="P523" s="198"/>
      <c r="Q523" s="198"/>
      <c r="R523" s="198"/>
      <c r="S523" s="198"/>
      <c r="T523" s="198"/>
      <c r="U523" s="198"/>
      <c r="V523" s="198"/>
      <c r="W523" s="198"/>
      <c r="X523" s="191"/>
      <c r="Y523" s="197"/>
      <c r="Z523" s="198"/>
      <c r="AA523" s="198"/>
      <c r="AB523" s="198"/>
      <c r="AC523" s="198"/>
      <c r="AD523" s="191"/>
      <c r="AE523" s="374">
        <v>43112</v>
      </c>
    </row>
    <row r="524" spans="2:31" ht="12" customHeight="1">
      <c r="B524" s="368" t="s">
        <v>184</v>
      </c>
      <c r="C524" s="197">
        <v>9.1947543398482416</v>
      </c>
      <c r="D524" s="198">
        <v>4.2140149382273968</v>
      </c>
      <c r="E524" s="198">
        <v>9.999822175443402</v>
      </c>
      <c r="F524" s="198">
        <v>9.921841353767876</v>
      </c>
      <c r="G524" s="198">
        <v>4.1627608783167398</v>
      </c>
      <c r="H524" s="198">
        <v>6.0611503428075784</v>
      </c>
      <c r="I524" s="198">
        <v>5.7527791904120305</v>
      </c>
      <c r="J524" s="198">
        <v>9.1988548406566633</v>
      </c>
      <c r="K524" s="198">
        <v>9.479362785553235</v>
      </c>
      <c r="L524" s="191">
        <v>9.1753568052368308</v>
      </c>
      <c r="M524" s="197">
        <v>14.171954221691067</v>
      </c>
      <c r="N524" s="198">
        <v>9.1536373869374437</v>
      </c>
      <c r="O524" s="198">
        <v>16.923494131852316</v>
      </c>
      <c r="P524" s="198">
        <v>4.4808930099065121</v>
      </c>
      <c r="Q524" s="198">
        <v>12.67213153966377</v>
      </c>
      <c r="R524" s="198">
        <v>14.099593443526565</v>
      </c>
      <c r="S524" s="198">
        <v>13.997902966101314</v>
      </c>
      <c r="T524" s="198">
        <v>17.249877570254483</v>
      </c>
      <c r="U524" s="198">
        <v>20.411855777424911</v>
      </c>
      <c r="V524" s="198">
        <v>17.700117094340669</v>
      </c>
      <c r="W524" s="198">
        <v>6.7014918396882575</v>
      </c>
      <c r="X524" s="191">
        <v>6.9798947494857186</v>
      </c>
      <c r="Y524" s="197">
        <v>6.8478700041645437</v>
      </c>
      <c r="Z524" s="198">
        <v>2.2034089411489099</v>
      </c>
      <c r="AA524" s="198" t="s">
        <v>93</v>
      </c>
      <c r="AB524" s="198" t="s">
        <v>93</v>
      </c>
      <c r="AC524" s="198">
        <v>14.000000000000002</v>
      </c>
      <c r="AD524" s="191">
        <v>9.3553931928426195</v>
      </c>
      <c r="AE524" s="199" t="s">
        <v>350</v>
      </c>
    </row>
    <row r="525" spans="2:31" ht="12" customHeight="1">
      <c r="B525" s="368" t="s">
        <v>351</v>
      </c>
      <c r="C525" s="197">
        <v>2.4311533694693721</v>
      </c>
      <c r="D525" s="198">
        <v>1.2545410720049905</v>
      </c>
      <c r="E525" s="198">
        <v>2.9675531524505074</v>
      </c>
      <c r="F525" s="198">
        <v>1.3746231854323454</v>
      </c>
      <c r="G525" s="198">
        <v>0.96692544569262606</v>
      </c>
      <c r="H525" s="198">
        <v>2.3073876205904815</v>
      </c>
      <c r="I525" s="198">
        <v>0.5991975847203761</v>
      </c>
      <c r="J525" s="198">
        <v>2.0569624824674371</v>
      </c>
      <c r="K525" s="198">
        <v>2.6470503928508671</v>
      </c>
      <c r="L525" s="191">
        <v>5.214462880125696</v>
      </c>
      <c r="M525" s="197">
        <v>8.5596931924074404</v>
      </c>
      <c r="N525" s="198">
        <v>6.2973890224500284</v>
      </c>
      <c r="O525" s="198">
        <v>15.206783024248244</v>
      </c>
      <c r="P525" s="198">
        <v>6.7151381670383401</v>
      </c>
      <c r="Q525" s="198">
        <v>5.9338014533313954</v>
      </c>
      <c r="R525" s="198">
        <v>5.4740573362849645</v>
      </c>
      <c r="S525" s="198">
        <v>4.6916304640659643</v>
      </c>
      <c r="T525" s="198">
        <v>7.598120304296339</v>
      </c>
      <c r="U525" s="198">
        <v>9.4801185507929606</v>
      </c>
      <c r="V525" s="198">
        <v>10.480413006276706</v>
      </c>
      <c r="W525" s="198">
        <v>6.0237547210720095</v>
      </c>
      <c r="X525" s="191">
        <v>8.4728162227980484</v>
      </c>
      <c r="Y525" s="197">
        <v>4.9339945955053777</v>
      </c>
      <c r="Z525" s="198">
        <v>3</v>
      </c>
      <c r="AA525" s="198" t="s">
        <v>93</v>
      </c>
      <c r="AB525" s="198">
        <v>5</v>
      </c>
      <c r="AC525" s="198">
        <v>7.07959761138342</v>
      </c>
      <c r="AD525" s="191">
        <v>3.640784526359766</v>
      </c>
      <c r="AE525" s="199" t="s">
        <v>207</v>
      </c>
    </row>
    <row r="526" spans="2:31" ht="12" customHeight="1">
      <c r="B526" s="369">
        <v>43466</v>
      </c>
      <c r="C526" s="197"/>
      <c r="D526" s="198"/>
      <c r="E526" s="198"/>
      <c r="F526" s="198"/>
      <c r="G526" s="198"/>
      <c r="H526" s="198"/>
      <c r="I526" s="198"/>
      <c r="J526" s="198"/>
      <c r="K526" s="198"/>
      <c r="L526" s="191"/>
      <c r="M526" s="197"/>
      <c r="N526" s="198"/>
      <c r="O526" s="198"/>
      <c r="P526" s="198"/>
      <c r="Q526" s="198"/>
      <c r="R526" s="198"/>
      <c r="S526" s="198"/>
      <c r="T526" s="198"/>
      <c r="U526" s="198"/>
      <c r="V526" s="198"/>
      <c r="W526" s="198"/>
      <c r="X526" s="191"/>
      <c r="Y526" s="197"/>
      <c r="Z526" s="198"/>
      <c r="AA526" s="198"/>
      <c r="AB526" s="198"/>
      <c r="AC526" s="198"/>
      <c r="AD526" s="191"/>
      <c r="AE526" s="374">
        <v>43466</v>
      </c>
    </row>
    <row r="527" spans="2:31" ht="12" customHeight="1">
      <c r="B527" s="368" t="s">
        <v>184</v>
      </c>
      <c r="C527" s="197">
        <v>9.5799474469641979</v>
      </c>
      <c r="D527" s="198">
        <v>5.5329047784568175</v>
      </c>
      <c r="E527" s="198">
        <v>10.012396819931507</v>
      </c>
      <c r="F527" s="198">
        <v>10.220013772624851</v>
      </c>
      <c r="G527" s="198">
        <v>5.5580222806275721</v>
      </c>
      <c r="H527" s="198">
        <v>6.2386276248705714</v>
      </c>
      <c r="I527" s="198">
        <v>5.6525722947761192</v>
      </c>
      <c r="J527" s="198">
        <v>9.7863264338575728</v>
      </c>
      <c r="K527" s="198">
        <v>9.489929348263372</v>
      </c>
      <c r="L527" s="191">
        <v>12.935888898861576</v>
      </c>
      <c r="M527" s="197">
        <v>14.236260835604245</v>
      </c>
      <c r="N527" s="198">
        <v>9.2982458318919186</v>
      </c>
      <c r="O527" s="198">
        <v>17.107492506992276</v>
      </c>
      <c r="P527" s="198">
        <v>10.926315131815711</v>
      </c>
      <c r="Q527" s="198">
        <v>12.680823505903424</v>
      </c>
      <c r="R527" s="198">
        <v>12.765066166267591</v>
      </c>
      <c r="S527" s="198">
        <v>13.838821742304793</v>
      </c>
      <c r="T527" s="198">
        <v>16.773463503963679</v>
      </c>
      <c r="U527" s="198">
        <v>20.031995404097039</v>
      </c>
      <c r="V527" s="198">
        <v>17.818254729573493</v>
      </c>
      <c r="W527" s="198">
        <v>6.8268619755696927</v>
      </c>
      <c r="X527" s="191">
        <v>6.94627304951306</v>
      </c>
      <c r="Y527" s="197">
        <v>9.4630625891120417</v>
      </c>
      <c r="Z527" s="198">
        <v>3</v>
      </c>
      <c r="AA527" s="198" t="s">
        <v>93</v>
      </c>
      <c r="AB527" s="198" t="s">
        <v>93</v>
      </c>
      <c r="AC527" s="198">
        <v>10</v>
      </c>
      <c r="AD527" s="191">
        <v>9.3714233827030995</v>
      </c>
      <c r="AE527" s="199" t="s">
        <v>350</v>
      </c>
    </row>
    <row r="528" spans="2:31" ht="12" customHeight="1">
      <c r="B528" s="368" t="s">
        <v>351</v>
      </c>
      <c r="C528" s="197">
        <v>2.3274776843003475</v>
      </c>
      <c r="D528" s="198">
        <v>1.427668784333278</v>
      </c>
      <c r="E528" s="198">
        <v>2.6582295934355691</v>
      </c>
      <c r="F528" s="198">
        <v>1.3995623273940327</v>
      </c>
      <c r="G528" s="198">
        <v>0.95782849813119653</v>
      </c>
      <c r="H528" s="198">
        <v>2.341748888547909</v>
      </c>
      <c r="I528" s="198">
        <v>0.42798931687920039</v>
      </c>
      <c r="J528" s="198">
        <v>1.7313530687709739</v>
      </c>
      <c r="K528" s="198">
        <v>2.9005195752920203</v>
      </c>
      <c r="L528" s="191">
        <v>4.7449134030075113</v>
      </c>
      <c r="M528" s="197">
        <v>8.057367810507202</v>
      </c>
      <c r="N528" s="198">
        <v>6.1277690126746851</v>
      </c>
      <c r="O528" s="198">
        <v>14.669748357856003</v>
      </c>
      <c r="P528" s="198">
        <v>6.7998380279823634</v>
      </c>
      <c r="Q528" s="198">
        <v>6.5794032473644277</v>
      </c>
      <c r="R528" s="198">
        <v>6.8746639501520308</v>
      </c>
      <c r="S528" s="198">
        <v>4.4739291646282284</v>
      </c>
      <c r="T528" s="198">
        <v>7.5462821873520687</v>
      </c>
      <c r="U528" s="198">
        <v>9.0210319916215038</v>
      </c>
      <c r="V528" s="198">
        <v>8.9148131002316422</v>
      </c>
      <c r="W528" s="198">
        <v>6.0305705053918635</v>
      </c>
      <c r="X528" s="191">
        <v>3.9489539897644295</v>
      </c>
      <c r="Y528" s="197">
        <v>3.2915043008065359</v>
      </c>
      <c r="Z528" s="198">
        <v>2.16</v>
      </c>
      <c r="AA528" s="198" t="s">
        <v>93</v>
      </c>
      <c r="AB528" s="198" t="s">
        <v>93</v>
      </c>
      <c r="AC528" s="198">
        <v>7.07959761138342</v>
      </c>
      <c r="AD528" s="191">
        <v>4.7033753379637142</v>
      </c>
      <c r="AE528" s="199" t="s">
        <v>207</v>
      </c>
    </row>
    <row r="529" spans="2:31" ht="12" customHeight="1">
      <c r="B529" s="369">
        <v>43467</v>
      </c>
      <c r="C529" s="197"/>
      <c r="D529" s="198"/>
      <c r="E529" s="198"/>
      <c r="F529" s="198"/>
      <c r="G529" s="198"/>
      <c r="H529" s="198"/>
      <c r="I529" s="198"/>
      <c r="J529" s="198"/>
      <c r="K529" s="198"/>
      <c r="L529" s="191"/>
      <c r="M529" s="197"/>
      <c r="N529" s="198"/>
      <c r="O529" s="198"/>
      <c r="P529" s="198"/>
      <c r="Q529" s="198"/>
      <c r="R529" s="198"/>
      <c r="S529" s="198"/>
      <c r="T529" s="198"/>
      <c r="U529" s="198"/>
      <c r="V529" s="198"/>
      <c r="W529" s="198"/>
      <c r="X529" s="191"/>
      <c r="Y529" s="197"/>
      <c r="Z529" s="198"/>
      <c r="AA529" s="198"/>
      <c r="AB529" s="198"/>
      <c r="AC529" s="198"/>
      <c r="AD529" s="191"/>
      <c r="AE529" s="374">
        <v>43467</v>
      </c>
    </row>
    <row r="530" spans="2:31" ht="12" customHeight="1">
      <c r="B530" s="368" t="s">
        <v>184</v>
      </c>
      <c r="C530" s="197">
        <v>9.48830163381162</v>
      </c>
      <c r="D530" s="198">
        <v>4.9493351192509198</v>
      </c>
      <c r="E530" s="198">
        <v>9.9616980660605723</v>
      </c>
      <c r="F530" s="198">
        <v>9.1904653303424606</v>
      </c>
      <c r="G530" s="198">
        <v>4.8125797232846592</v>
      </c>
      <c r="H530" s="198">
        <v>6.1962533885836448</v>
      </c>
      <c r="I530" s="198">
        <v>5.4974300475223279</v>
      </c>
      <c r="J530" s="198">
        <v>9.5197161942437933</v>
      </c>
      <c r="K530" s="198">
        <v>9.562839375391107</v>
      </c>
      <c r="L530" s="191">
        <v>13.081262728680883</v>
      </c>
      <c r="M530" s="197">
        <v>14.404272320573504</v>
      </c>
      <c r="N530" s="198">
        <v>9.3113559255782441</v>
      </c>
      <c r="O530" s="198">
        <v>17.338864053639284</v>
      </c>
      <c r="P530" s="198">
        <v>9.663739422906966</v>
      </c>
      <c r="Q530" s="198">
        <v>13.263837215758059</v>
      </c>
      <c r="R530" s="198">
        <v>13.077253917698306</v>
      </c>
      <c r="S530" s="198">
        <v>15.03217729821997</v>
      </c>
      <c r="T530" s="198">
        <v>16.994582094314701</v>
      </c>
      <c r="U530" s="198">
        <v>20.197903816406377</v>
      </c>
      <c r="V530" s="198">
        <v>17.851443115203779</v>
      </c>
      <c r="W530" s="198">
        <v>6.5596226055846012</v>
      </c>
      <c r="X530" s="191">
        <v>7.0721831565620414</v>
      </c>
      <c r="Y530" s="197">
        <v>9.2768482359278224</v>
      </c>
      <c r="Z530" s="198" t="s">
        <v>93</v>
      </c>
      <c r="AA530" s="198" t="s">
        <v>93</v>
      </c>
      <c r="AB530" s="198" t="s">
        <v>93</v>
      </c>
      <c r="AC530" s="198">
        <v>9.2799999999999994</v>
      </c>
      <c r="AD530" s="191">
        <v>9.2728419603945298</v>
      </c>
      <c r="AE530" s="199" t="s">
        <v>350</v>
      </c>
    </row>
    <row r="531" spans="2:31" ht="12" customHeight="1">
      <c r="B531" s="368" t="s">
        <v>351</v>
      </c>
      <c r="C531" s="197">
        <v>2.2149770931279562</v>
      </c>
      <c r="D531" s="198">
        <v>1.2553926235279909</v>
      </c>
      <c r="E531" s="198">
        <v>2.664718571123561</v>
      </c>
      <c r="F531" s="198">
        <v>1.3032607430149803</v>
      </c>
      <c r="G531" s="198">
        <v>0.9133034494007658</v>
      </c>
      <c r="H531" s="198">
        <v>2.1243071924914076</v>
      </c>
      <c r="I531" s="198">
        <v>0.52600221230517241</v>
      </c>
      <c r="J531" s="198">
        <v>1.4924433573197893</v>
      </c>
      <c r="K531" s="198">
        <v>3.2542053436457161</v>
      </c>
      <c r="L531" s="191">
        <v>5.3053429944296644</v>
      </c>
      <c r="M531" s="197">
        <v>7.893831926166464</v>
      </c>
      <c r="N531" s="198">
        <v>5.9491464852687015</v>
      </c>
      <c r="O531" s="198">
        <v>14.548924679412478</v>
      </c>
      <c r="P531" s="198">
        <v>6.7950347164809788</v>
      </c>
      <c r="Q531" s="198">
        <v>6.3646300536213261</v>
      </c>
      <c r="R531" s="198">
        <v>6.5034968327704608</v>
      </c>
      <c r="S531" s="198">
        <v>4.3269280917452937</v>
      </c>
      <c r="T531" s="198">
        <v>6.5097591010289797</v>
      </c>
      <c r="U531" s="198">
        <v>9.4724991450908131</v>
      </c>
      <c r="V531" s="198">
        <v>8.4356324887273129</v>
      </c>
      <c r="W531" s="198">
        <v>5.7055504269163517</v>
      </c>
      <c r="X531" s="191">
        <v>7.8145772259454986</v>
      </c>
      <c r="Y531" s="197">
        <v>3.3317049355438804</v>
      </c>
      <c r="Z531" s="198">
        <v>1.9262175600598694</v>
      </c>
      <c r="AA531" s="198" t="s">
        <v>93</v>
      </c>
      <c r="AB531" s="198" t="s">
        <v>93</v>
      </c>
      <c r="AC531" s="198">
        <v>6.1318537409907972</v>
      </c>
      <c r="AD531" s="191">
        <v>5.0283018867924527</v>
      </c>
      <c r="AE531" s="199" t="s">
        <v>207</v>
      </c>
    </row>
    <row r="532" spans="2:31" ht="12" customHeight="1">
      <c r="B532" s="369">
        <v>43468</v>
      </c>
      <c r="C532" s="197"/>
      <c r="D532" s="198"/>
      <c r="E532" s="198"/>
      <c r="F532" s="198"/>
      <c r="G532" s="198"/>
      <c r="H532" s="198"/>
      <c r="I532" s="198"/>
      <c r="J532" s="198"/>
      <c r="K532" s="198"/>
      <c r="L532" s="191"/>
      <c r="M532" s="197"/>
      <c r="N532" s="198"/>
      <c r="O532" s="198"/>
      <c r="P532" s="198"/>
      <c r="Q532" s="198"/>
      <c r="R532" s="198"/>
      <c r="S532" s="198"/>
      <c r="T532" s="198"/>
      <c r="U532" s="198"/>
      <c r="V532" s="198"/>
      <c r="W532" s="198"/>
      <c r="X532" s="191"/>
      <c r="Y532" s="197"/>
      <c r="Z532" s="198"/>
      <c r="AA532" s="198"/>
      <c r="AB532" s="198"/>
      <c r="AC532" s="198"/>
      <c r="AD532" s="191"/>
      <c r="AE532" s="374">
        <v>43468</v>
      </c>
    </row>
    <row r="533" spans="2:31" ht="12" customHeight="1">
      <c r="B533" s="368" t="s">
        <v>184</v>
      </c>
      <c r="C533" s="197">
        <v>9.5264052248777542</v>
      </c>
      <c r="D533" s="198">
        <v>4.8651588118372704</v>
      </c>
      <c r="E533" s="198">
        <v>10.004251833794079</v>
      </c>
      <c r="F533" s="198">
        <v>8.3957736054114562</v>
      </c>
      <c r="G533" s="198">
        <v>4.6534293564108093</v>
      </c>
      <c r="H533" s="198">
        <v>6.2770563788653169</v>
      </c>
      <c r="I533" s="198">
        <v>5.2559510877797377</v>
      </c>
      <c r="J533" s="198">
        <v>9.6846429117486075</v>
      </c>
      <c r="K533" s="198">
        <v>9.4785094080590504</v>
      </c>
      <c r="L533" s="191">
        <v>12.762061346850887</v>
      </c>
      <c r="M533" s="197">
        <v>14.420537172106807</v>
      </c>
      <c r="N533" s="198">
        <v>9.3283540338232562</v>
      </c>
      <c r="O533" s="198">
        <v>17.347382402662976</v>
      </c>
      <c r="P533" s="198">
        <v>9.8852460811751897</v>
      </c>
      <c r="Q533" s="198">
        <v>13.086607335174541</v>
      </c>
      <c r="R533" s="198">
        <v>12.575002236463625</v>
      </c>
      <c r="S533" s="198">
        <v>14.934204926030956</v>
      </c>
      <c r="T533" s="198">
        <v>16.745634168964767</v>
      </c>
      <c r="U533" s="198">
        <v>19.743492389441634</v>
      </c>
      <c r="V533" s="198">
        <v>18.407939740618225</v>
      </c>
      <c r="W533" s="198">
        <v>6.5772670367811594</v>
      </c>
      <c r="X533" s="191">
        <v>7.0055314052131905</v>
      </c>
      <c r="Y533" s="197">
        <v>9.2712555735711391</v>
      </c>
      <c r="Z533" s="198" t="s">
        <v>93</v>
      </c>
      <c r="AA533" s="198" t="s">
        <v>93</v>
      </c>
      <c r="AB533" s="198" t="s">
        <v>93</v>
      </c>
      <c r="AC533" s="198">
        <v>9.27</v>
      </c>
      <c r="AD533" s="191">
        <v>9.2728419603945298</v>
      </c>
      <c r="AE533" s="199" t="s">
        <v>350</v>
      </c>
    </row>
    <row r="534" spans="2:31" ht="12" customHeight="1">
      <c r="B534" s="368" t="s">
        <v>351</v>
      </c>
      <c r="C534" s="197">
        <v>2.2408478845994608</v>
      </c>
      <c r="D534" s="198">
        <v>1.4292894759783836</v>
      </c>
      <c r="E534" s="198">
        <v>2.638533471522885</v>
      </c>
      <c r="F534" s="198">
        <v>1.1979002283070321</v>
      </c>
      <c r="G534" s="198">
        <v>0.86704835731788898</v>
      </c>
      <c r="H534" s="198">
        <v>2.5423240617605383</v>
      </c>
      <c r="I534" s="198">
        <v>0.48371241374250229</v>
      </c>
      <c r="J534" s="198">
        <v>1.5693212455463668</v>
      </c>
      <c r="K534" s="198">
        <v>3.2714059772256263</v>
      </c>
      <c r="L534" s="191">
        <v>5.0919033981244821</v>
      </c>
      <c r="M534" s="197">
        <v>7.8591809055348127</v>
      </c>
      <c r="N534" s="198">
        <v>5.9669116913154721</v>
      </c>
      <c r="O534" s="198">
        <v>14.41130690246608</v>
      </c>
      <c r="P534" s="198">
        <v>6.9936465537983787</v>
      </c>
      <c r="Q534" s="198">
        <v>6.8605801692347086</v>
      </c>
      <c r="R534" s="198">
        <v>6.8985863508647993</v>
      </c>
      <c r="S534" s="198">
        <v>5.9553549382152786</v>
      </c>
      <c r="T534" s="198">
        <v>6.1945060496210829</v>
      </c>
      <c r="U534" s="198">
        <v>9.3323292944626957</v>
      </c>
      <c r="V534" s="198">
        <v>8.4561537850382695</v>
      </c>
      <c r="W534" s="198">
        <v>5.6107413220564117</v>
      </c>
      <c r="X534" s="191">
        <v>7.9007219029466764</v>
      </c>
      <c r="Y534" s="197">
        <v>2.7400247692057946</v>
      </c>
      <c r="Z534" s="198">
        <v>2.4</v>
      </c>
      <c r="AA534" s="198" t="s">
        <v>93</v>
      </c>
      <c r="AB534" s="198" t="s">
        <v>93</v>
      </c>
      <c r="AC534" s="198">
        <v>6.1403843655085852</v>
      </c>
      <c r="AD534" s="191">
        <v>5.5</v>
      </c>
      <c r="AE534" s="199" t="s">
        <v>207</v>
      </c>
    </row>
    <row r="535" spans="2:31" ht="12" customHeight="1">
      <c r="B535" s="369">
        <v>43469</v>
      </c>
      <c r="C535" s="197"/>
      <c r="D535" s="198"/>
      <c r="E535" s="198"/>
      <c r="F535" s="198"/>
      <c r="G535" s="198"/>
      <c r="H535" s="198"/>
      <c r="I535" s="198"/>
      <c r="J535" s="198"/>
      <c r="K535" s="198"/>
      <c r="L535" s="191"/>
      <c r="M535" s="197"/>
      <c r="N535" s="198"/>
      <c r="O535" s="198"/>
      <c r="P535" s="198"/>
      <c r="Q535" s="198"/>
      <c r="R535" s="198"/>
      <c r="S535" s="198"/>
      <c r="T535" s="198"/>
      <c r="U535" s="198"/>
      <c r="V535" s="198"/>
      <c r="W535" s="198"/>
      <c r="X535" s="191"/>
      <c r="Y535" s="197"/>
      <c r="Z535" s="198"/>
      <c r="AA535" s="198"/>
      <c r="AB535" s="198"/>
      <c r="AC535" s="198"/>
      <c r="AD535" s="191"/>
      <c r="AE535" s="374">
        <v>43469</v>
      </c>
    </row>
    <row r="536" spans="2:31" ht="12" customHeight="1">
      <c r="B536" s="368" t="s">
        <v>184</v>
      </c>
      <c r="C536" s="197">
        <v>9.345397824461612</v>
      </c>
      <c r="D536" s="198">
        <v>4.8610380199862409</v>
      </c>
      <c r="E536" s="198">
        <v>9.7899244769381859</v>
      </c>
      <c r="F536" s="198">
        <v>8.782154691881825</v>
      </c>
      <c r="G536" s="198">
        <v>1.7365433881085035</v>
      </c>
      <c r="H536" s="198">
        <v>6.1849337285782431</v>
      </c>
      <c r="I536" s="198">
        <v>5.4095479860882651</v>
      </c>
      <c r="J536" s="198">
        <v>9.6860936567367943</v>
      </c>
      <c r="K536" s="198">
        <v>9.4645634456343508</v>
      </c>
      <c r="L536" s="191">
        <v>12.638592870302453</v>
      </c>
      <c r="M536" s="197">
        <v>14.222564088661191</v>
      </c>
      <c r="N536" s="198">
        <v>9.2811410825377383</v>
      </c>
      <c r="O536" s="198">
        <v>17.03571693967524</v>
      </c>
      <c r="P536" s="198">
        <v>10.449731682220897</v>
      </c>
      <c r="Q536" s="198">
        <v>12.820750009967419</v>
      </c>
      <c r="R536" s="198">
        <v>11.219883767631163</v>
      </c>
      <c r="S536" s="198">
        <v>14.997998470765758</v>
      </c>
      <c r="T536" s="198">
        <v>16.968635157208869</v>
      </c>
      <c r="U536" s="198">
        <v>19.209031147713851</v>
      </c>
      <c r="V536" s="198">
        <v>18.393701416315448</v>
      </c>
      <c r="W536" s="198">
        <v>6.5310516237395131</v>
      </c>
      <c r="X536" s="191">
        <v>6.9968771524521047</v>
      </c>
      <c r="Y536" s="197">
        <v>9.1072790551297729</v>
      </c>
      <c r="Z536" s="198">
        <v>2.8499999999999996</v>
      </c>
      <c r="AA536" s="198" t="s">
        <v>93</v>
      </c>
      <c r="AB536" s="198" t="s">
        <v>93</v>
      </c>
      <c r="AC536" s="198">
        <v>9.27</v>
      </c>
      <c r="AD536" s="191">
        <v>8.8575952358445988</v>
      </c>
      <c r="AE536" s="199" t="s">
        <v>350</v>
      </c>
    </row>
    <row r="537" spans="2:31" ht="12" customHeight="1">
      <c r="B537" s="368" t="s">
        <v>351</v>
      </c>
      <c r="C537" s="197">
        <v>2.2454769946070976</v>
      </c>
      <c r="D537" s="198">
        <v>1.4461026434354141</v>
      </c>
      <c r="E537" s="198">
        <v>2.6352894896408405</v>
      </c>
      <c r="F537" s="198">
        <v>0.78348984500396202</v>
      </c>
      <c r="G537" s="198">
        <v>0.94552715107093543</v>
      </c>
      <c r="H537" s="198">
        <v>2.7910401978993677</v>
      </c>
      <c r="I537" s="198">
        <v>1.5866304167867904</v>
      </c>
      <c r="J537" s="198">
        <v>1.6045840307477337</v>
      </c>
      <c r="K537" s="198">
        <v>3.1842506683032492</v>
      </c>
      <c r="L537" s="191">
        <v>5.0778329122769668</v>
      </c>
      <c r="M537" s="197">
        <v>7.7891146095907864</v>
      </c>
      <c r="N537" s="198">
        <v>5.8853094913895685</v>
      </c>
      <c r="O537" s="198">
        <v>14.404990274907103</v>
      </c>
      <c r="P537" s="198">
        <v>6.7177901514289777</v>
      </c>
      <c r="Q537" s="198">
        <v>6.848402135322865</v>
      </c>
      <c r="R537" s="198">
        <v>6.9061429880065948</v>
      </c>
      <c r="S537" s="198">
        <v>5.962672148171011</v>
      </c>
      <c r="T537" s="198">
        <v>6.1130448658924106</v>
      </c>
      <c r="U537" s="198">
        <v>9.3219920367522295</v>
      </c>
      <c r="V537" s="198">
        <v>8.3166614571389541</v>
      </c>
      <c r="W537" s="198">
        <v>5.6028838267974885</v>
      </c>
      <c r="X537" s="191">
        <v>7.9894291071147263</v>
      </c>
      <c r="Y537" s="197">
        <v>2.7280072599702203</v>
      </c>
      <c r="Z537" s="198">
        <v>2.1734559206101465</v>
      </c>
      <c r="AA537" s="198" t="s">
        <v>93</v>
      </c>
      <c r="AB537" s="198" t="s">
        <v>93</v>
      </c>
      <c r="AC537" s="198">
        <v>6.1503470440585719</v>
      </c>
      <c r="AD537" s="191" t="s">
        <v>93</v>
      </c>
      <c r="AE537" s="199" t="s">
        <v>207</v>
      </c>
    </row>
    <row r="538" spans="2:31" ht="12" customHeight="1">
      <c r="B538" s="369">
        <v>43470</v>
      </c>
      <c r="C538" s="197"/>
      <c r="D538" s="198"/>
      <c r="E538" s="198"/>
      <c r="F538" s="198"/>
      <c r="G538" s="198"/>
      <c r="H538" s="198"/>
      <c r="I538" s="198"/>
      <c r="J538" s="198"/>
      <c r="K538" s="198"/>
      <c r="L538" s="191"/>
      <c r="M538" s="197"/>
      <c r="N538" s="198"/>
      <c r="O538" s="198"/>
      <c r="P538" s="198"/>
      <c r="Q538" s="198"/>
      <c r="R538" s="198"/>
      <c r="S538" s="198"/>
      <c r="T538" s="198"/>
      <c r="U538" s="198"/>
      <c r="V538" s="198"/>
      <c r="W538" s="198"/>
      <c r="X538" s="191"/>
      <c r="Y538" s="197"/>
      <c r="Z538" s="198"/>
      <c r="AA538" s="198"/>
      <c r="AB538" s="198"/>
      <c r="AC538" s="198"/>
      <c r="AD538" s="191"/>
      <c r="AE538" s="374">
        <v>43470</v>
      </c>
    </row>
    <row r="539" spans="2:31" ht="12" customHeight="1">
      <c r="B539" s="368" t="s">
        <v>184</v>
      </c>
      <c r="C539" s="197">
        <v>9.5036178133987939</v>
      </c>
      <c r="D539" s="198">
        <v>4.7337240844629607</v>
      </c>
      <c r="E539" s="198">
        <v>10.050142406631704</v>
      </c>
      <c r="F539" s="198">
        <v>5.9177167560596349</v>
      </c>
      <c r="G539" s="198">
        <v>2.2987788549058497</v>
      </c>
      <c r="H539" s="198">
        <v>5.9495768995396849</v>
      </c>
      <c r="I539" s="198">
        <v>5.3505116275427751</v>
      </c>
      <c r="J539" s="198">
        <v>9.7506071939338099</v>
      </c>
      <c r="K539" s="198">
        <v>9.5670446965096527</v>
      </c>
      <c r="L539" s="191">
        <v>12.655137983235088</v>
      </c>
      <c r="M539" s="197">
        <v>14.341311177842675</v>
      </c>
      <c r="N539" s="198">
        <v>9.3110151299004702</v>
      </c>
      <c r="O539" s="198">
        <v>17.121855010223328</v>
      </c>
      <c r="P539" s="198">
        <v>9.8550084035165639</v>
      </c>
      <c r="Q539" s="198">
        <v>12.816072092390844</v>
      </c>
      <c r="R539" s="198">
        <v>11.82550458744152</v>
      </c>
      <c r="S539" s="198">
        <v>15.123647073959429</v>
      </c>
      <c r="T539" s="198">
        <v>17.254788941124296</v>
      </c>
      <c r="U539" s="198">
        <v>19.273239944359492</v>
      </c>
      <c r="V539" s="198">
        <v>18.426547828348887</v>
      </c>
      <c r="W539" s="198">
        <v>6.5008181996205492</v>
      </c>
      <c r="X539" s="191">
        <v>7.0075036192932689</v>
      </c>
      <c r="Y539" s="197">
        <v>9.2703615470591423</v>
      </c>
      <c r="Z539" s="198">
        <v>3</v>
      </c>
      <c r="AA539" s="198" t="s">
        <v>93</v>
      </c>
      <c r="AB539" s="198" t="s">
        <v>93</v>
      </c>
      <c r="AC539" s="198">
        <v>9.32</v>
      </c>
      <c r="AD539" s="191">
        <v>8.9884180047380902</v>
      </c>
      <c r="AE539" s="199" t="s">
        <v>350</v>
      </c>
    </row>
    <row r="540" spans="2:31" ht="12" customHeight="1">
      <c r="B540" s="368" t="s">
        <v>351</v>
      </c>
      <c r="C540" s="197">
        <v>2.2502926991212613</v>
      </c>
      <c r="D540" s="198">
        <v>1.4789418739780307</v>
      </c>
      <c r="E540" s="198">
        <v>2.6205844948830248</v>
      </c>
      <c r="F540" s="198">
        <v>0.51452473963234802</v>
      </c>
      <c r="G540" s="198">
        <v>0.9559038901969904</v>
      </c>
      <c r="H540" s="198">
        <v>2.820464024531669</v>
      </c>
      <c r="I540" s="198">
        <v>1.5620071341907802</v>
      </c>
      <c r="J540" s="198">
        <v>1.5748402672228903</v>
      </c>
      <c r="K540" s="198">
        <v>3.2714983931248325</v>
      </c>
      <c r="L540" s="191">
        <v>4.9693047409019124</v>
      </c>
      <c r="M540" s="197">
        <v>7.3962388266394381</v>
      </c>
      <c r="N540" s="198">
        <v>5.782846311396888</v>
      </c>
      <c r="O540" s="198">
        <v>13.470242725760778</v>
      </c>
      <c r="P540" s="198">
        <v>6.7714710346861686</v>
      </c>
      <c r="Q540" s="198">
        <v>6.6696854888591908</v>
      </c>
      <c r="R540" s="198">
        <v>6.642283719055329</v>
      </c>
      <c r="S540" s="198">
        <v>5.8322255809433159</v>
      </c>
      <c r="T540" s="198">
        <v>6.0397319469306119</v>
      </c>
      <c r="U540" s="198">
        <v>8.6361870665161344</v>
      </c>
      <c r="V540" s="198">
        <v>7.8607351466666708</v>
      </c>
      <c r="W540" s="198">
        <v>5.4273743761640372</v>
      </c>
      <c r="X540" s="191">
        <v>8.8653986030764127</v>
      </c>
      <c r="Y540" s="197">
        <v>2.4134215429116379</v>
      </c>
      <c r="Z540" s="198">
        <v>2.154006959980113</v>
      </c>
      <c r="AA540" s="198" t="s">
        <v>93</v>
      </c>
      <c r="AB540" s="198" t="s">
        <v>93</v>
      </c>
      <c r="AC540" s="198">
        <v>6.8982929413957894</v>
      </c>
      <c r="AD540" s="191">
        <v>1.9</v>
      </c>
      <c r="AE540" s="199" t="s">
        <v>207</v>
      </c>
    </row>
    <row r="541" spans="2:31" ht="12" customHeight="1">
      <c r="B541" s="369">
        <v>43471</v>
      </c>
      <c r="C541" s="197"/>
      <c r="D541" s="198"/>
      <c r="E541" s="198"/>
      <c r="F541" s="198"/>
      <c r="G541" s="198"/>
      <c r="H541" s="198"/>
      <c r="I541" s="198"/>
      <c r="J541" s="198"/>
      <c r="K541" s="198"/>
      <c r="L541" s="191"/>
      <c r="M541" s="197"/>
      <c r="N541" s="198"/>
      <c r="O541" s="198"/>
      <c r="P541" s="198"/>
      <c r="Q541" s="198"/>
      <c r="R541" s="198"/>
      <c r="S541" s="198"/>
      <c r="T541" s="198"/>
      <c r="U541" s="198"/>
      <c r="V541" s="198"/>
      <c r="W541" s="198"/>
      <c r="X541" s="191"/>
      <c r="Y541" s="197"/>
      <c r="Z541" s="198"/>
      <c r="AA541" s="198"/>
      <c r="AB541" s="198"/>
      <c r="AC541" s="198"/>
      <c r="AD541" s="191"/>
      <c r="AE541" s="374">
        <v>43471</v>
      </c>
    </row>
    <row r="542" spans="2:31" ht="12" customHeight="1">
      <c r="B542" s="368" t="s">
        <v>184</v>
      </c>
      <c r="C542" s="197">
        <v>9.7342674109307925</v>
      </c>
      <c r="D542" s="198">
        <v>4.8245578810824838</v>
      </c>
      <c r="E542" s="198">
        <v>10.238831973469976</v>
      </c>
      <c r="F542" s="198">
        <v>8.8506823771320065</v>
      </c>
      <c r="G542" s="198">
        <v>2.3145991764239584</v>
      </c>
      <c r="H542" s="198">
        <v>5.970104601249778</v>
      </c>
      <c r="I542" s="198">
        <v>5.6861053972823372</v>
      </c>
      <c r="J542" s="198">
        <v>9.9131372418991415</v>
      </c>
      <c r="K542" s="198">
        <v>9.8268675088901087</v>
      </c>
      <c r="L542" s="191">
        <v>12.592381694800014</v>
      </c>
      <c r="M542" s="197">
        <v>14.325751298429143</v>
      </c>
      <c r="N542" s="198">
        <v>9.1932002841408949</v>
      </c>
      <c r="O542" s="198">
        <v>17.128347302625617</v>
      </c>
      <c r="P542" s="198">
        <v>10.057286157710598</v>
      </c>
      <c r="Q542" s="198">
        <v>12.265248350463692</v>
      </c>
      <c r="R542" s="198">
        <v>12.752272633563383</v>
      </c>
      <c r="S542" s="198">
        <v>14.880295577636513</v>
      </c>
      <c r="T542" s="198">
        <v>17.304258234952101</v>
      </c>
      <c r="U542" s="198">
        <v>18.88178053254995</v>
      </c>
      <c r="V542" s="198">
        <v>18.538381538296463</v>
      </c>
      <c r="W542" s="198">
        <v>6.4350909545223542</v>
      </c>
      <c r="X542" s="191">
        <v>6.9772576017726573</v>
      </c>
      <c r="Y542" s="197">
        <v>9.2667965550152953</v>
      </c>
      <c r="Z542" s="198">
        <v>3</v>
      </c>
      <c r="AA542" s="198" t="s">
        <v>93</v>
      </c>
      <c r="AB542" s="198" t="s">
        <v>93</v>
      </c>
      <c r="AC542" s="198">
        <v>9.31</v>
      </c>
      <c r="AD542" s="191">
        <v>9.0360838418678711</v>
      </c>
      <c r="AE542" s="199" t="s">
        <v>350</v>
      </c>
    </row>
    <row r="543" spans="2:31" ht="12" customHeight="1">
      <c r="B543" s="368" t="s">
        <v>351</v>
      </c>
      <c r="C543" s="197">
        <v>2.1705870360847457</v>
      </c>
      <c r="D543" s="198">
        <v>1.4107059622787295</v>
      </c>
      <c r="E543" s="198">
        <v>2.6248326513355997</v>
      </c>
      <c r="F543" s="198">
        <v>0.56835712930112814</v>
      </c>
      <c r="G543" s="198">
        <v>1.1116712018653536</v>
      </c>
      <c r="H543" s="198">
        <v>1.3864163600710133</v>
      </c>
      <c r="I543" s="198">
        <v>1.7443094594634234</v>
      </c>
      <c r="J543" s="198">
        <v>1.5096634338234203</v>
      </c>
      <c r="K543" s="198">
        <v>3.3482189549584067</v>
      </c>
      <c r="L543" s="191">
        <v>5.0097966646531766</v>
      </c>
      <c r="M543" s="197">
        <v>7.3001454124355654</v>
      </c>
      <c r="N543" s="198">
        <v>5.7546665176151608</v>
      </c>
      <c r="O543" s="198">
        <v>13.15276970421562</v>
      </c>
      <c r="P543" s="198">
        <v>6.6051711462942713</v>
      </c>
      <c r="Q543" s="198">
        <v>6.5809348206087943</v>
      </c>
      <c r="R543" s="198">
        <v>6.7678617329111086</v>
      </c>
      <c r="S543" s="198">
        <v>6.1023470301128651</v>
      </c>
      <c r="T543" s="198">
        <v>5.7783100662488218</v>
      </c>
      <c r="U543" s="198">
        <v>8.5264601010344396</v>
      </c>
      <c r="V543" s="198">
        <v>7.8414717382267201</v>
      </c>
      <c r="W543" s="198">
        <v>5.4007531006434251</v>
      </c>
      <c r="X543" s="191">
        <v>7.8159064612388338</v>
      </c>
      <c r="Y543" s="197">
        <v>2.3306897017898023</v>
      </c>
      <c r="Z543" s="198">
        <v>2.2206385133122919</v>
      </c>
      <c r="AA543" s="198" t="s">
        <v>93</v>
      </c>
      <c r="AB543" s="198" t="s">
        <v>93</v>
      </c>
      <c r="AC543" s="198">
        <v>4.1042890325915087</v>
      </c>
      <c r="AD543" s="191">
        <v>1.9</v>
      </c>
      <c r="AE543" s="199" t="s">
        <v>207</v>
      </c>
    </row>
    <row r="544" spans="2:31" ht="12" customHeight="1">
      <c r="B544" s="369">
        <v>43472</v>
      </c>
      <c r="C544" s="197"/>
      <c r="D544" s="198"/>
      <c r="E544" s="198"/>
      <c r="F544" s="198"/>
      <c r="G544" s="198"/>
      <c r="H544" s="198"/>
      <c r="I544" s="198"/>
      <c r="J544" s="198"/>
      <c r="K544" s="198"/>
      <c r="L544" s="191"/>
      <c r="M544" s="197"/>
      <c r="N544" s="198"/>
      <c r="O544" s="198"/>
      <c r="P544" s="198"/>
      <c r="Q544" s="198"/>
      <c r="R544" s="198"/>
      <c r="S544" s="198"/>
      <c r="T544" s="198"/>
      <c r="U544" s="198"/>
      <c r="V544" s="198"/>
      <c r="W544" s="198"/>
      <c r="X544" s="191"/>
      <c r="Y544" s="197"/>
      <c r="Z544" s="198"/>
      <c r="AA544" s="198"/>
      <c r="AB544" s="198"/>
      <c r="AC544" s="198"/>
      <c r="AD544" s="191"/>
      <c r="AE544" s="374">
        <v>43472</v>
      </c>
    </row>
    <row r="545" spans="2:31" ht="12" customHeight="1">
      <c r="B545" s="368" t="s">
        <v>184</v>
      </c>
      <c r="C545" s="197">
        <v>9.7087112798567734</v>
      </c>
      <c r="D545" s="198">
        <v>4.6849581151980706</v>
      </c>
      <c r="E545" s="198">
        <v>10.238862634862038</v>
      </c>
      <c r="F545" s="198">
        <v>7.4573548889544732</v>
      </c>
      <c r="G545" s="198">
        <v>2.6711053975229953</v>
      </c>
      <c r="H545" s="198">
        <v>6.6249120041113629</v>
      </c>
      <c r="I545" s="198">
        <v>5.4674926001714637</v>
      </c>
      <c r="J545" s="198">
        <v>9.9368295791054226</v>
      </c>
      <c r="K545" s="198">
        <v>9.8121914355314512</v>
      </c>
      <c r="L545" s="191">
        <v>12.556572392143554</v>
      </c>
      <c r="M545" s="197">
        <v>14.283356114072612</v>
      </c>
      <c r="N545" s="198">
        <v>9.0067183481573387</v>
      </c>
      <c r="O545" s="198">
        <v>17.176967301608919</v>
      </c>
      <c r="P545" s="198">
        <v>9.8329144453994868</v>
      </c>
      <c r="Q545" s="198">
        <v>11.595074403433516</v>
      </c>
      <c r="R545" s="198">
        <v>12.928005279643518</v>
      </c>
      <c r="S545" s="198">
        <v>14.600727797540763</v>
      </c>
      <c r="T545" s="198">
        <v>17.243697323255393</v>
      </c>
      <c r="U545" s="198">
        <v>18.886018325181595</v>
      </c>
      <c r="V545" s="198">
        <v>18.40388537671339</v>
      </c>
      <c r="W545" s="198">
        <v>6.3390877331889337</v>
      </c>
      <c r="X545" s="191">
        <v>7.0662977715628115</v>
      </c>
      <c r="Y545" s="197">
        <v>9.2709962597755862</v>
      </c>
      <c r="Z545" s="198" t="s">
        <v>93</v>
      </c>
      <c r="AA545" s="198" t="s">
        <v>93</v>
      </c>
      <c r="AB545" s="198" t="s">
        <v>93</v>
      </c>
      <c r="AC545" s="198">
        <v>9.31</v>
      </c>
      <c r="AD545" s="191">
        <v>9.0360838418678693</v>
      </c>
      <c r="AE545" s="199" t="s">
        <v>350</v>
      </c>
    </row>
    <row r="546" spans="2:31" ht="12" customHeight="1">
      <c r="B546" s="368" t="s">
        <v>351</v>
      </c>
      <c r="C546" s="197">
        <v>2.0955448638748786</v>
      </c>
      <c r="D546" s="198">
        <v>1.355262949089737</v>
      </c>
      <c r="E546" s="198">
        <v>2.5923082885847561</v>
      </c>
      <c r="F546" s="198">
        <v>0.52355817140063654</v>
      </c>
      <c r="G546" s="198">
        <v>1.0159907156949046</v>
      </c>
      <c r="H546" s="198">
        <v>1.3959938465247441</v>
      </c>
      <c r="I546" s="198">
        <v>1.7694263267453583</v>
      </c>
      <c r="J546" s="198">
        <v>1.4835701649885884</v>
      </c>
      <c r="K546" s="198">
        <v>3.1403565279862824</v>
      </c>
      <c r="L546" s="191">
        <v>5.0763843897272345</v>
      </c>
      <c r="M546" s="197">
        <v>7.1337897667991159</v>
      </c>
      <c r="N546" s="198">
        <v>5.7266187952116496</v>
      </c>
      <c r="O546" s="198">
        <v>12.43811451510561</v>
      </c>
      <c r="P546" s="198">
        <v>6.7364325446733266</v>
      </c>
      <c r="Q546" s="198">
        <v>6.6818189572607745</v>
      </c>
      <c r="R546" s="198">
        <v>6.6452035437181465</v>
      </c>
      <c r="S546" s="198">
        <v>6.1518743377242311</v>
      </c>
      <c r="T546" s="198">
        <v>5.8037739528265435</v>
      </c>
      <c r="U546" s="198">
        <v>8.1969980749804456</v>
      </c>
      <c r="V546" s="198">
        <v>7.5728970699339397</v>
      </c>
      <c r="W546" s="198">
        <v>5.5694668918068491</v>
      </c>
      <c r="X546" s="191">
        <v>7.8917331154902737</v>
      </c>
      <c r="Y546" s="197">
        <v>3.4150612491771266</v>
      </c>
      <c r="Z546" s="198">
        <v>3</v>
      </c>
      <c r="AA546" s="198" t="s">
        <v>93</v>
      </c>
      <c r="AB546" s="198" t="s">
        <v>93</v>
      </c>
      <c r="AC546" s="198">
        <v>4.5314661326169992</v>
      </c>
      <c r="AD546" s="191">
        <v>2.7919621214678774</v>
      </c>
      <c r="AE546" s="199" t="s">
        <v>207</v>
      </c>
    </row>
    <row r="547" spans="2:31" ht="12" customHeight="1">
      <c r="B547" s="369">
        <v>43473</v>
      </c>
      <c r="C547" s="197"/>
      <c r="D547" s="198"/>
      <c r="E547" s="198"/>
      <c r="F547" s="198"/>
      <c r="G547" s="198"/>
      <c r="H547" s="198"/>
      <c r="I547" s="198"/>
      <c r="J547" s="198"/>
      <c r="K547" s="198"/>
      <c r="L547" s="191"/>
      <c r="M547" s="197"/>
      <c r="N547" s="198"/>
      <c r="O547" s="198"/>
      <c r="P547" s="198"/>
      <c r="Q547" s="198"/>
      <c r="R547" s="198"/>
      <c r="S547" s="198"/>
      <c r="T547" s="198"/>
      <c r="U547" s="198"/>
      <c r="V547" s="198"/>
      <c r="W547" s="198"/>
      <c r="X547" s="191"/>
      <c r="Y547" s="197"/>
      <c r="Z547" s="198"/>
      <c r="AA547" s="198"/>
      <c r="AB547" s="198"/>
      <c r="AC547" s="198"/>
      <c r="AD547" s="191"/>
      <c r="AE547" s="374">
        <v>43473</v>
      </c>
    </row>
    <row r="548" spans="2:31" ht="12" customHeight="1">
      <c r="B548" s="368" t="s">
        <v>184</v>
      </c>
      <c r="C548" s="197">
        <v>9.6359951665537125</v>
      </c>
      <c r="D548" s="198">
        <v>4.5912757052452209</v>
      </c>
      <c r="E548" s="198">
        <v>10.180876787368353</v>
      </c>
      <c r="F548" s="198">
        <v>9.5914795115456215</v>
      </c>
      <c r="G548" s="198">
        <v>2.5495939989680387</v>
      </c>
      <c r="H548" s="198">
        <v>5.9469427616612673</v>
      </c>
      <c r="I548" s="198">
        <v>5.1449546773508619</v>
      </c>
      <c r="J548" s="198">
        <v>9.8528338487210547</v>
      </c>
      <c r="K548" s="198">
        <v>9.8181559198263386</v>
      </c>
      <c r="L548" s="191">
        <v>12.321058888361323</v>
      </c>
      <c r="M548" s="197">
        <v>14.302674679636352</v>
      </c>
      <c r="N548" s="198">
        <v>9.1020207263385124</v>
      </c>
      <c r="O548" s="198">
        <v>17.130590711894271</v>
      </c>
      <c r="P548" s="198">
        <v>9.3856957053909031</v>
      </c>
      <c r="Q548" s="198">
        <v>11.251013771234232</v>
      </c>
      <c r="R548" s="198">
        <v>13.013913591992926</v>
      </c>
      <c r="S548" s="198">
        <v>14.722975534204453</v>
      </c>
      <c r="T548" s="198">
        <v>17.304153260683709</v>
      </c>
      <c r="U548" s="198">
        <v>18.84038747376588</v>
      </c>
      <c r="V548" s="198">
        <v>17.908495738303913</v>
      </c>
      <c r="W548" s="198">
        <v>6.4493364703512288</v>
      </c>
      <c r="X548" s="191">
        <v>7.1518162790577096</v>
      </c>
      <c r="Y548" s="197">
        <v>9.2161569659103364</v>
      </c>
      <c r="Z548" s="198" t="s">
        <v>93</v>
      </c>
      <c r="AA548" s="198" t="s">
        <v>93</v>
      </c>
      <c r="AB548" s="198" t="s">
        <v>93</v>
      </c>
      <c r="AC548" s="198">
        <v>9.3000000000000007</v>
      </c>
      <c r="AD548" s="191">
        <v>8.8188299433843564</v>
      </c>
      <c r="AE548" s="199" t="s">
        <v>184</v>
      </c>
    </row>
    <row r="549" spans="2:31" ht="12" customHeight="1">
      <c r="B549" s="368" t="s">
        <v>351</v>
      </c>
      <c r="C549" s="197">
        <v>2.0320606360153746</v>
      </c>
      <c r="D549" s="198">
        <v>1.3300240185729719</v>
      </c>
      <c r="E549" s="198">
        <v>2.5668753460050069</v>
      </c>
      <c r="F549" s="198">
        <v>0.74933640148077452</v>
      </c>
      <c r="G549" s="198">
        <v>1.0143056334794389</v>
      </c>
      <c r="H549" s="198">
        <v>1.2714820554474726</v>
      </c>
      <c r="I549" s="198">
        <v>1.2424308737684222</v>
      </c>
      <c r="J549" s="198">
        <v>1.497539417206093</v>
      </c>
      <c r="K549" s="198">
        <v>3.1437272681288677</v>
      </c>
      <c r="L549" s="191">
        <v>5.1181607226836396</v>
      </c>
      <c r="M549" s="197">
        <v>6.8799967242915194</v>
      </c>
      <c r="N549" s="198">
        <v>5.661030338540864</v>
      </c>
      <c r="O549" s="198">
        <v>11.712869748830178</v>
      </c>
      <c r="P549" s="198">
        <v>6.2250937857174691</v>
      </c>
      <c r="Q549" s="198">
        <v>6.8262185277736274</v>
      </c>
      <c r="R549" s="198">
        <v>6.717201277741947</v>
      </c>
      <c r="S549" s="198">
        <v>6.0285559238595772</v>
      </c>
      <c r="T549" s="198">
        <v>5.5252175587980066</v>
      </c>
      <c r="U549" s="198">
        <v>7.6064945875238488</v>
      </c>
      <c r="V549" s="198">
        <v>7.4223408689213217</v>
      </c>
      <c r="W549" s="198">
        <v>5.5754353960766831</v>
      </c>
      <c r="X549" s="191">
        <v>8.2417457580962861</v>
      </c>
      <c r="Y549" s="197">
        <v>3.4296107377930261</v>
      </c>
      <c r="Z549" s="198">
        <v>3</v>
      </c>
      <c r="AA549" s="198" t="s">
        <v>93</v>
      </c>
      <c r="AB549" s="198" t="s">
        <v>93</v>
      </c>
      <c r="AC549" s="198">
        <v>4.547552383175482</v>
      </c>
      <c r="AD549" s="191">
        <v>2.8030190358805807</v>
      </c>
      <c r="AE549" s="199" t="s">
        <v>351</v>
      </c>
    </row>
    <row r="550" spans="2:31" s="265" customFormat="1" ht="12" customHeight="1">
      <c r="B550" s="369">
        <v>43474</v>
      </c>
      <c r="C550" s="197"/>
      <c r="D550" s="201"/>
      <c r="E550" s="198"/>
      <c r="F550" s="198"/>
      <c r="G550" s="198"/>
      <c r="H550" s="198"/>
      <c r="I550" s="198"/>
      <c r="J550" s="198"/>
      <c r="K550" s="198"/>
      <c r="L550" s="191"/>
      <c r="M550" s="197"/>
      <c r="N550" s="198"/>
      <c r="O550" s="198"/>
      <c r="P550" s="198"/>
      <c r="Q550" s="198"/>
      <c r="R550" s="198"/>
      <c r="S550" s="198"/>
      <c r="T550" s="198"/>
      <c r="U550" s="198"/>
      <c r="V550" s="198"/>
      <c r="W550" s="198"/>
      <c r="X550" s="191"/>
      <c r="Y550" s="197"/>
      <c r="Z550" s="198"/>
      <c r="AA550" s="198"/>
      <c r="AB550" s="198"/>
      <c r="AC550" s="198"/>
      <c r="AD550" s="191"/>
      <c r="AE550" s="374">
        <v>43474</v>
      </c>
    </row>
    <row r="551" spans="2:31" s="265" customFormat="1" ht="12" customHeight="1">
      <c r="B551" s="368" t="s">
        <v>184</v>
      </c>
      <c r="C551" s="197">
        <v>9.5888251950872245</v>
      </c>
      <c r="D551" s="198">
        <v>4.6464727408108653</v>
      </c>
      <c r="E551" s="198">
        <v>10.125377877710898</v>
      </c>
      <c r="F551" s="198">
        <v>9.9954769184584826</v>
      </c>
      <c r="G551" s="198">
        <v>3.1018882802968122</v>
      </c>
      <c r="H551" s="198">
        <v>5.5944874344560516</v>
      </c>
      <c r="I551" s="198">
        <v>5.3161049831278087</v>
      </c>
      <c r="J551" s="198">
        <v>9.8008290551738906</v>
      </c>
      <c r="K551" s="198">
        <v>9.6757696175036312</v>
      </c>
      <c r="L551" s="191">
        <v>12.186656110048769</v>
      </c>
      <c r="M551" s="197">
        <v>14.365706895660381</v>
      </c>
      <c r="N551" s="198">
        <v>9.1172806853422248</v>
      </c>
      <c r="O551" s="198">
        <v>17.156168284518635</v>
      </c>
      <c r="P551" s="198">
        <v>9.2943194173693637</v>
      </c>
      <c r="Q551" s="198">
        <v>11.277300965907456</v>
      </c>
      <c r="R551" s="198">
        <v>13.202130496677722</v>
      </c>
      <c r="S551" s="198">
        <v>14.669784008901068</v>
      </c>
      <c r="T551" s="198">
        <v>17.278693571855722</v>
      </c>
      <c r="U551" s="198">
        <v>19.02668605099646</v>
      </c>
      <c r="V551" s="198">
        <v>17.835201300605526</v>
      </c>
      <c r="W551" s="198">
        <v>6.488953846285467</v>
      </c>
      <c r="X551" s="191">
        <v>7.1430565021236303</v>
      </c>
      <c r="Y551" s="198">
        <v>9.2154740169376232</v>
      </c>
      <c r="Z551" s="198">
        <v>3.01</v>
      </c>
      <c r="AA551" s="198" t="s">
        <v>93</v>
      </c>
      <c r="AB551" s="198" t="s">
        <v>93</v>
      </c>
      <c r="AC551" s="198">
        <v>9.3000000000000007</v>
      </c>
      <c r="AD551" s="198">
        <v>8.8188299433843564</v>
      </c>
      <c r="AE551" s="199" t="s">
        <v>350</v>
      </c>
    </row>
    <row r="552" spans="2:31" s="265" customFormat="1" ht="12" customHeight="1">
      <c r="B552" s="368" t="s">
        <v>351</v>
      </c>
      <c r="C552" s="197">
        <v>2.0408192634479541</v>
      </c>
      <c r="D552" s="198">
        <v>1.3509494056839262</v>
      </c>
      <c r="E552" s="198">
        <v>2.5681439028906299</v>
      </c>
      <c r="F552" s="198">
        <v>0.79678696513386571</v>
      </c>
      <c r="G552" s="198">
        <v>1.3406190721441407</v>
      </c>
      <c r="H552" s="198">
        <v>1.269376970817331</v>
      </c>
      <c r="I552" s="198">
        <v>1.2510988672493843</v>
      </c>
      <c r="J552" s="198">
        <v>1.4888769962532615</v>
      </c>
      <c r="K552" s="198">
        <v>3.0009951570481861</v>
      </c>
      <c r="L552" s="191">
        <v>5.057373052347562</v>
      </c>
      <c r="M552" s="197">
        <v>6.8419944244844322</v>
      </c>
      <c r="N552" s="198">
        <v>5.5796039221686415</v>
      </c>
      <c r="O552" s="198">
        <v>11.905127932278123</v>
      </c>
      <c r="P552" s="198">
        <v>5.4994284275463388</v>
      </c>
      <c r="Q552" s="198">
        <v>6.7420890660928201</v>
      </c>
      <c r="R552" s="198">
        <v>6.7703336428809546</v>
      </c>
      <c r="S552" s="198">
        <v>6.0261476712795394</v>
      </c>
      <c r="T552" s="198">
        <v>5.4774464256449216</v>
      </c>
      <c r="U552" s="198">
        <v>7.5546641039688369</v>
      </c>
      <c r="V552" s="198">
        <v>7.442632243736969</v>
      </c>
      <c r="W552" s="198">
        <v>5.4482097819268649</v>
      </c>
      <c r="X552" s="191">
        <v>8.1794505042954349</v>
      </c>
      <c r="Y552" s="198">
        <v>3.6181403796157587</v>
      </c>
      <c r="Z552" s="198" t="s">
        <v>93</v>
      </c>
      <c r="AA552" s="198" t="s">
        <v>93</v>
      </c>
      <c r="AB552" s="198" t="s">
        <v>93</v>
      </c>
      <c r="AC552" s="198">
        <v>4.3202980940505453</v>
      </c>
      <c r="AD552" s="198">
        <v>2.8089870011900722</v>
      </c>
      <c r="AE552" s="199" t="s">
        <v>207</v>
      </c>
    </row>
    <row r="553" spans="2:31" s="265" customFormat="1" ht="12" customHeight="1">
      <c r="B553" s="369">
        <v>43475</v>
      </c>
      <c r="C553" s="197"/>
      <c r="D553" s="201"/>
      <c r="E553" s="198"/>
      <c r="F553" s="198"/>
      <c r="G553" s="198"/>
      <c r="H553" s="198"/>
      <c r="I553" s="198"/>
      <c r="J553" s="198"/>
      <c r="K553" s="198"/>
      <c r="L553" s="191"/>
      <c r="M553" s="197"/>
      <c r="N553" s="198"/>
      <c r="O553" s="198"/>
      <c r="P553" s="198"/>
      <c r="Q553" s="198"/>
      <c r="R553" s="198"/>
      <c r="S553" s="198"/>
      <c r="T553" s="198"/>
      <c r="U553" s="198"/>
      <c r="V553" s="198"/>
      <c r="W553" s="198"/>
      <c r="X553" s="191"/>
      <c r="Y553" s="197"/>
      <c r="Z553" s="198"/>
      <c r="AA553" s="198"/>
      <c r="AB553" s="198"/>
      <c r="AC553" s="198"/>
      <c r="AD553" s="191"/>
      <c r="AE553" s="374">
        <f>B553</f>
        <v>43475</v>
      </c>
    </row>
    <row r="554" spans="2:31" s="265" customFormat="1" ht="12" customHeight="1">
      <c r="B554" s="368" t="s">
        <v>184</v>
      </c>
      <c r="C554" s="197">
        <v>9.5723595964539552</v>
      </c>
      <c r="D554" s="198">
        <v>4.7362011225742009</v>
      </c>
      <c r="E554" s="198">
        <v>10.07470392403784</v>
      </c>
      <c r="F554" s="198">
        <v>6.6038282457876551</v>
      </c>
      <c r="G554" s="198">
        <v>3.49761494326341</v>
      </c>
      <c r="H554" s="198">
        <v>5.2750951753684481</v>
      </c>
      <c r="I554" s="198">
        <v>5.2242940771371362</v>
      </c>
      <c r="J554" s="198">
        <v>9.7411746045162708</v>
      </c>
      <c r="K554" s="198">
        <v>9.6872721371513073</v>
      </c>
      <c r="L554" s="191">
        <v>11.485575194470711</v>
      </c>
      <c r="M554" s="197">
        <v>14.343855799530733</v>
      </c>
      <c r="N554" s="198">
        <v>9.1033232248527618</v>
      </c>
      <c r="O554" s="198">
        <v>17.132752742325142</v>
      </c>
      <c r="P554" s="198">
        <v>9.1653028767182843</v>
      </c>
      <c r="Q554" s="198">
        <v>11.308223969368768</v>
      </c>
      <c r="R554" s="198">
        <v>13.153538778544176</v>
      </c>
      <c r="S554" s="198">
        <v>15.230323787875808</v>
      </c>
      <c r="T554" s="198">
        <v>17.598905479403165</v>
      </c>
      <c r="U554" s="198">
        <v>18.861181001290795</v>
      </c>
      <c r="V554" s="198">
        <v>17.659634072004138</v>
      </c>
      <c r="W554" s="198">
        <v>6.4392859696689531</v>
      </c>
      <c r="X554" s="191">
        <v>7.1530062843505835</v>
      </c>
      <c r="Y554" s="198">
        <v>9.1733420740991374</v>
      </c>
      <c r="Z554" s="198" t="s">
        <v>93</v>
      </c>
      <c r="AA554" s="198" t="s">
        <v>93</v>
      </c>
      <c r="AB554" s="198" t="s">
        <v>93</v>
      </c>
      <c r="AC554" s="198">
        <v>9.3000000000000007</v>
      </c>
      <c r="AD554" s="198">
        <v>6.9401103230890469</v>
      </c>
      <c r="AE554" s="199" t="s">
        <v>350</v>
      </c>
    </row>
    <row r="555" spans="2:31" s="265" customFormat="1" ht="12" customHeight="1">
      <c r="B555" s="368" t="s">
        <v>351</v>
      </c>
      <c r="C555" s="197">
        <v>1.9811263120352827</v>
      </c>
      <c r="D555" s="198">
        <v>1.2702907874924532</v>
      </c>
      <c r="E555" s="198">
        <v>2.5610658038835643</v>
      </c>
      <c r="F555" s="198">
        <v>0.78298600631794835</v>
      </c>
      <c r="G555" s="198">
        <v>1.021535474668515</v>
      </c>
      <c r="H555" s="198">
        <v>1.269176718926718</v>
      </c>
      <c r="I555" s="198">
        <v>1.2544354038335841</v>
      </c>
      <c r="J555" s="198">
        <v>1.4615170918599145</v>
      </c>
      <c r="K555" s="198">
        <v>2.9578349605236962</v>
      </c>
      <c r="L555" s="191">
        <v>5.043255889768254</v>
      </c>
      <c r="M555" s="197">
        <v>6.644629329579546</v>
      </c>
      <c r="N555" s="198">
        <v>5.5131307283886546</v>
      </c>
      <c r="O555" s="198">
        <v>11.356001918868877</v>
      </c>
      <c r="P555" s="198">
        <v>5.5758326266787881</v>
      </c>
      <c r="Q555" s="198">
        <v>6.6473661076963566</v>
      </c>
      <c r="R555" s="198">
        <v>7.2276874441690415</v>
      </c>
      <c r="S555" s="198">
        <v>5.9908282421997594</v>
      </c>
      <c r="T555" s="198">
        <v>5.588145970386531</v>
      </c>
      <c r="U555" s="198">
        <v>7.4021692970801398</v>
      </c>
      <c r="V555" s="198">
        <v>7.3405458875675427</v>
      </c>
      <c r="W555" s="198">
        <v>5.2589424295845797</v>
      </c>
      <c r="X555" s="191">
        <v>8.1921871178490662</v>
      </c>
      <c r="Y555" s="198">
        <v>2.9806494357709568</v>
      </c>
      <c r="Z555" s="198" t="s">
        <v>93</v>
      </c>
      <c r="AA555" s="198" t="s">
        <v>93</v>
      </c>
      <c r="AB555" s="198" t="s">
        <v>93</v>
      </c>
      <c r="AC555" s="198">
        <v>4.5646698751927985</v>
      </c>
      <c r="AD555" s="198">
        <v>2.796217603093742</v>
      </c>
      <c r="AE555" s="199" t="s">
        <v>207</v>
      </c>
    </row>
    <row r="556" spans="2:31" s="265" customFormat="1" ht="12" customHeight="1">
      <c r="B556" s="369">
        <v>43476</v>
      </c>
      <c r="C556" s="197"/>
      <c r="D556" s="201"/>
      <c r="E556" s="198"/>
      <c r="F556" s="198"/>
      <c r="G556" s="198"/>
      <c r="H556" s="198"/>
      <c r="I556" s="198"/>
      <c r="J556" s="198"/>
      <c r="K556" s="198"/>
      <c r="L556" s="191"/>
      <c r="M556" s="197"/>
      <c r="N556" s="198"/>
      <c r="O556" s="198"/>
      <c r="P556" s="198"/>
      <c r="Q556" s="198"/>
      <c r="R556" s="198"/>
      <c r="S556" s="198"/>
      <c r="T556" s="198"/>
      <c r="U556" s="198"/>
      <c r="V556" s="198"/>
      <c r="W556" s="198"/>
      <c r="X556" s="191"/>
      <c r="Y556" s="197"/>
      <c r="Z556" s="198"/>
      <c r="AA556" s="198"/>
      <c r="AB556" s="198"/>
      <c r="AC556" s="198"/>
      <c r="AD556" s="191"/>
      <c r="AE556" s="374">
        <f>B556</f>
        <v>43476</v>
      </c>
    </row>
    <row r="557" spans="2:31" s="265" customFormat="1" ht="12" customHeight="1">
      <c r="B557" s="368" t="s">
        <v>184</v>
      </c>
      <c r="C557" s="197">
        <v>9.549460424417445</v>
      </c>
      <c r="D557" s="198">
        <v>4.7845155613990915</v>
      </c>
      <c r="E557" s="198">
        <v>10.008132508840548</v>
      </c>
      <c r="F557" s="198">
        <v>8.991685217600617</v>
      </c>
      <c r="G557" s="198">
        <v>3.0244829725663305</v>
      </c>
      <c r="H557" s="198">
        <v>5.117365749723036</v>
      </c>
      <c r="I557" s="198">
        <v>5.1003842676105791</v>
      </c>
      <c r="J557" s="198">
        <v>9.6691234804167721</v>
      </c>
      <c r="K557" s="198">
        <v>9.6660202588247692</v>
      </c>
      <c r="L557" s="191">
        <v>11.356775252340977</v>
      </c>
      <c r="M557" s="197">
        <v>14.34</v>
      </c>
      <c r="N557" s="198">
        <v>9.0660671223202787</v>
      </c>
      <c r="O557" s="198">
        <v>17.125305682446921</v>
      </c>
      <c r="P557" s="198">
        <v>9.8104348712172769</v>
      </c>
      <c r="Q557" s="198">
        <v>11.456771765246536</v>
      </c>
      <c r="R557" s="198">
        <v>12.925735676730563</v>
      </c>
      <c r="S557" s="198">
        <v>15.642902593353856</v>
      </c>
      <c r="T557" s="198">
        <v>17.582769478021806</v>
      </c>
      <c r="U557" s="198">
        <v>18.749996458254973</v>
      </c>
      <c r="V557" s="198">
        <v>17.58745585784856</v>
      </c>
      <c r="W557" s="198">
        <v>6.3946785151010443</v>
      </c>
      <c r="X557" s="191">
        <v>7.1680676855117706</v>
      </c>
      <c r="Y557" s="198">
        <v>9.1823694029850742</v>
      </c>
      <c r="Z557" s="198" t="s">
        <v>93</v>
      </c>
      <c r="AA557" s="198" t="s">
        <v>93</v>
      </c>
      <c r="AB557" s="198" t="s">
        <v>93</v>
      </c>
      <c r="AC557" s="198">
        <v>9.3000000000000007</v>
      </c>
      <c r="AD557" s="198">
        <v>7.0518638573743919</v>
      </c>
      <c r="AE557" s="199" t="s">
        <v>350</v>
      </c>
    </row>
    <row r="558" spans="2:31" s="265" customFormat="1" ht="12" customHeight="1">
      <c r="B558" s="368" t="s">
        <v>351</v>
      </c>
      <c r="C558" s="197">
        <v>2.0207342760059479</v>
      </c>
      <c r="D558" s="198">
        <v>1.3447705243099564</v>
      </c>
      <c r="E558" s="198">
        <v>2.5363342173027994</v>
      </c>
      <c r="F558" s="198">
        <v>0.59592748126640349</v>
      </c>
      <c r="G558" s="198">
        <v>0.95788799726342377</v>
      </c>
      <c r="H558" s="198">
        <v>1.2124431807108762</v>
      </c>
      <c r="I558" s="198">
        <v>1.2315618325176387</v>
      </c>
      <c r="J558" s="198">
        <v>1.4922809388554443</v>
      </c>
      <c r="K558" s="198">
        <v>3.003876761611973</v>
      </c>
      <c r="L558" s="191">
        <v>4.9873021490057976</v>
      </c>
      <c r="M558" s="197">
        <v>6.6879136898876004</v>
      </c>
      <c r="N558" s="198">
        <v>5.5432876483243021</v>
      </c>
      <c r="O558" s="198">
        <v>11.613422992777952</v>
      </c>
      <c r="P558" s="198">
        <v>5.9538457430278289</v>
      </c>
      <c r="Q558" s="198">
        <v>6.7110106598947805</v>
      </c>
      <c r="R558" s="198">
        <v>7.0810631244771542</v>
      </c>
      <c r="S558" s="198">
        <v>6.3716643797200723</v>
      </c>
      <c r="T558" s="198">
        <v>5.5733781289352411</v>
      </c>
      <c r="U558" s="198">
        <v>7.2592438781126845</v>
      </c>
      <c r="V558" s="198">
        <v>7.3774738860324014</v>
      </c>
      <c r="W558" s="198">
        <v>5.4666713886434621</v>
      </c>
      <c r="X558" s="191">
        <v>7.9710346176224363</v>
      </c>
      <c r="Y558" s="198">
        <v>3.0364617451834142</v>
      </c>
      <c r="Z558" s="198" t="s">
        <v>93</v>
      </c>
      <c r="AA558" s="198" t="s">
        <v>93</v>
      </c>
      <c r="AB558" s="198" t="s">
        <v>93</v>
      </c>
      <c r="AC558" s="198">
        <v>4.5467753853730777</v>
      </c>
      <c r="AD558" s="198">
        <v>2.9291173119146214</v>
      </c>
      <c r="AE558" s="199" t="s">
        <v>207</v>
      </c>
    </row>
    <row r="559" spans="2:31" s="265" customFormat="1" ht="12" customHeight="1">
      <c r="B559" s="369">
        <v>43477</v>
      </c>
      <c r="C559" s="197"/>
      <c r="D559" s="201"/>
      <c r="E559" s="198"/>
      <c r="F559" s="198"/>
      <c r="G559" s="198"/>
      <c r="H559" s="198"/>
      <c r="I559" s="198"/>
      <c r="J559" s="198"/>
      <c r="K559" s="198"/>
      <c r="L559" s="191"/>
      <c r="M559" s="197"/>
      <c r="N559" s="198"/>
      <c r="O559" s="198"/>
      <c r="P559" s="198"/>
      <c r="Q559" s="198"/>
      <c r="R559" s="198"/>
      <c r="S559" s="198"/>
      <c r="T559" s="198"/>
      <c r="U559" s="198"/>
      <c r="V559" s="198"/>
      <c r="W559" s="198"/>
      <c r="X559" s="191"/>
      <c r="Y559" s="197"/>
      <c r="Z559" s="198"/>
      <c r="AA559" s="198"/>
      <c r="AB559" s="198"/>
      <c r="AC559" s="198"/>
      <c r="AD559" s="191"/>
      <c r="AE559" s="374">
        <f>B559</f>
        <v>43477</v>
      </c>
    </row>
    <row r="560" spans="2:31" s="265" customFormat="1" ht="12" customHeight="1">
      <c r="B560" s="368" t="s">
        <v>184</v>
      </c>
      <c r="C560" s="197">
        <v>9.3125702580400311</v>
      </c>
      <c r="D560" s="198">
        <v>4.7682987018485496</v>
      </c>
      <c r="E560" s="198">
        <v>9.7576963837057527</v>
      </c>
      <c r="F560" s="198">
        <v>8.0715212181920748</v>
      </c>
      <c r="G560" s="198">
        <v>3.1304642277925154</v>
      </c>
      <c r="H560" s="198">
        <v>4.9149375315825061</v>
      </c>
      <c r="I560" s="198">
        <v>6.0188162931879132</v>
      </c>
      <c r="J560" s="198">
        <v>9.4139177864203134</v>
      </c>
      <c r="K560" s="198">
        <v>9.4236685768087902</v>
      </c>
      <c r="L560" s="191">
        <v>11.20390609050035</v>
      </c>
      <c r="M560" s="197">
        <v>14.179135971556015</v>
      </c>
      <c r="N560" s="198">
        <v>8.9702644734261519</v>
      </c>
      <c r="O560" s="198">
        <v>16.964161404248753</v>
      </c>
      <c r="P560" s="198">
        <v>9.9513008909014466</v>
      </c>
      <c r="Q560" s="198">
        <v>10.776197454807646</v>
      </c>
      <c r="R560" s="198">
        <v>12.876962106657709</v>
      </c>
      <c r="S560" s="198">
        <v>15.330974752267844</v>
      </c>
      <c r="T560" s="198">
        <v>17.568635334242305</v>
      </c>
      <c r="U560" s="198">
        <v>18.50479113364775</v>
      </c>
      <c r="V560" s="198">
        <v>17.328380426458196</v>
      </c>
      <c r="W560" s="198">
        <v>6.1860176139030925</v>
      </c>
      <c r="X560" s="191">
        <v>7.1060051957943848</v>
      </c>
      <c r="Y560" s="198">
        <v>9.1614044168391988</v>
      </c>
      <c r="Z560" s="198" t="s">
        <v>93</v>
      </c>
      <c r="AA560" s="198" t="s">
        <v>93</v>
      </c>
      <c r="AB560" s="198" t="s">
        <v>93</v>
      </c>
      <c r="AC560" s="198">
        <v>9.2799999999999994</v>
      </c>
      <c r="AD560" s="198">
        <v>7.0518638573743919</v>
      </c>
      <c r="AE560" s="199" t="s">
        <v>350</v>
      </c>
    </row>
    <row r="561" spans="2:31" s="265" customFormat="1" ht="12" customHeight="1">
      <c r="B561" s="368" t="s">
        <v>351</v>
      </c>
      <c r="C561" s="197">
        <v>1.9273511105233967</v>
      </c>
      <c r="D561" s="198">
        <v>1.2568812895333508</v>
      </c>
      <c r="E561" s="198">
        <v>2.4481030822379446</v>
      </c>
      <c r="F561" s="198">
        <v>0.65221837462033649</v>
      </c>
      <c r="G561" s="198">
        <v>0.96770489527142545</v>
      </c>
      <c r="H561" s="198">
        <v>0.92686504868191966</v>
      </c>
      <c r="I561" s="198">
        <v>1.0469733205176264</v>
      </c>
      <c r="J561" s="198">
        <v>1.4182953288311804</v>
      </c>
      <c r="K561" s="198">
        <v>2.8915466543164654</v>
      </c>
      <c r="L561" s="191">
        <v>4.8284059743152623</v>
      </c>
      <c r="M561" s="197">
        <v>6.1639470836162928</v>
      </c>
      <c r="N561" s="198">
        <v>5.3774810453789321</v>
      </c>
      <c r="O561" s="198">
        <v>8.8699643925975682</v>
      </c>
      <c r="P561" s="198">
        <v>6.9943086435280009</v>
      </c>
      <c r="Q561" s="198">
        <v>6.5603966991425642</v>
      </c>
      <c r="R561" s="198">
        <v>2.6198277323896728</v>
      </c>
      <c r="S561" s="198">
        <v>7.3614202160706901</v>
      </c>
      <c r="T561" s="198">
        <v>5.5022167547232641</v>
      </c>
      <c r="U561" s="198">
        <v>7.0068086032374737</v>
      </c>
      <c r="V561" s="198">
        <v>6.8620765556573753</v>
      </c>
      <c r="W561" s="198">
        <v>5.41775219905659</v>
      </c>
      <c r="X561" s="191">
        <v>7.8701275614120929</v>
      </c>
      <c r="Y561" s="198">
        <v>3.3988138067689735</v>
      </c>
      <c r="Z561" s="198" t="s">
        <v>93</v>
      </c>
      <c r="AA561" s="198" t="s">
        <v>93</v>
      </c>
      <c r="AB561" s="198" t="s">
        <v>93</v>
      </c>
      <c r="AC561" s="198">
        <v>4.5537848273497783</v>
      </c>
      <c r="AD561" s="198">
        <v>2.9332131293960031</v>
      </c>
      <c r="AE561" s="199" t="s">
        <v>207</v>
      </c>
    </row>
    <row r="562" spans="2:31" s="265" customFormat="1" ht="12" customHeight="1">
      <c r="B562" s="369">
        <v>43831</v>
      </c>
      <c r="C562" s="197"/>
      <c r="D562" s="198"/>
      <c r="E562" s="198"/>
      <c r="F562" s="198"/>
      <c r="G562" s="198"/>
      <c r="H562" s="198"/>
      <c r="I562" s="198"/>
      <c r="J562" s="198"/>
      <c r="K562" s="198"/>
      <c r="L562" s="191"/>
      <c r="M562" s="197"/>
      <c r="N562" s="198"/>
      <c r="O562" s="198"/>
      <c r="P562" s="198"/>
      <c r="Q562" s="198"/>
      <c r="R562" s="198"/>
      <c r="S562" s="198"/>
      <c r="T562" s="198"/>
      <c r="U562" s="198"/>
      <c r="V562" s="198"/>
      <c r="W562" s="198"/>
      <c r="X562" s="191"/>
      <c r="Y562" s="198"/>
      <c r="Z562" s="198"/>
      <c r="AA562" s="198"/>
      <c r="AB562" s="198"/>
      <c r="AC562" s="198"/>
      <c r="AD562" s="198"/>
      <c r="AE562" s="374">
        <f>B562</f>
        <v>43831</v>
      </c>
    </row>
    <row r="563" spans="2:31" s="265" customFormat="1" ht="12" customHeight="1">
      <c r="B563" s="368" t="s">
        <v>184</v>
      </c>
      <c r="C563" s="197">
        <v>9.2660920207277169</v>
      </c>
      <c r="D563" s="198">
        <v>4.7128299405666283</v>
      </c>
      <c r="E563" s="198">
        <v>9.680086042086371</v>
      </c>
      <c r="F563" s="198">
        <v>7.7658902498190274</v>
      </c>
      <c r="G563" s="198">
        <v>3.0249257820583395</v>
      </c>
      <c r="H563" s="198">
        <v>4.9041528505026664</v>
      </c>
      <c r="I563" s="198">
        <v>5.9711650392416118</v>
      </c>
      <c r="J563" s="198">
        <v>9.3697689619612543</v>
      </c>
      <c r="K563" s="198">
        <v>9.3531386873380065</v>
      </c>
      <c r="L563" s="191">
        <v>11.584197962565989</v>
      </c>
      <c r="M563" s="197">
        <v>13.918693008487949</v>
      </c>
      <c r="N563" s="198">
        <v>8.7971889664325502</v>
      </c>
      <c r="O563" s="198">
        <v>16.627149930432243</v>
      </c>
      <c r="P563" s="198">
        <v>10.293070209697762</v>
      </c>
      <c r="Q563" s="198">
        <v>10.955347444084554</v>
      </c>
      <c r="R563" s="198">
        <v>12.684526321272761</v>
      </c>
      <c r="S563" s="198">
        <v>14.930251209607123</v>
      </c>
      <c r="T563" s="198">
        <v>17.541899800031718</v>
      </c>
      <c r="U563" s="198">
        <v>17.951848050593316</v>
      </c>
      <c r="V563" s="198">
        <v>17.174601997598284</v>
      </c>
      <c r="W563" s="198">
        <v>6.1068035355891395</v>
      </c>
      <c r="X563" s="191">
        <v>6.9691628440527156</v>
      </c>
      <c r="Y563" s="198">
        <v>8.9694827025268413</v>
      </c>
      <c r="Z563" s="198" t="s">
        <v>93</v>
      </c>
      <c r="AA563" s="198" t="s">
        <v>93</v>
      </c>
      <c r="AB563" s="198" t="s">
        <v>93</v>
      </c>
      <c r="AC563" s="198">
        <v>9.07</v>
      </c>
      <c r="AD563" s="198">
        <v>7.1788549937317176</v>
      </c>
      <c r="AE563" s="199" t="s">
        <v>350</v>
      </c>
    </row>
    <row r="564" spans="2:31" s="265" customFormat="1" ht="12" customHeight="1">
      <c r="B564" s="368" t="s">
        <v>351</v>
      </c>
      <c r="C564" s="197">
        <v>1.8385462477253165</v>
      </c>
      <c r="D564" s="198">
        <v>1.1049377230410617</v>
      </c>
      <c r="E564" s="198">
        <v>2.4042446214286128</v>
      </c>
      <c r="F564" s="198">
        <v>0.20340838750696649</v>
      </c>
      <c r="G564" s="198">
        <v>1.0026500652671853</v>
      </c>
      <c r="H564" s="198">
        <v>0.81355324041808463</v>
      </c>
      <c r="I564" s="198">
        <v>0.9999192823580928</v>
      </c>
      <c r="J564" s="198">
        <v>1.4616785123082179</v>
      </c>
      <c r="K564" s="198">
        <v>2.5861884376715172</v>
      </c>
      <c r="L564" s="191">
        <v>4.5623015832487193</v>
      </c>
      <c r="M564" s="197">
        <v>5.8997903123803095</v>
      </c>
      <c r="N564" s="198">
        <v>5.3333844781581057</v>
      </c>
      <c r="O564" s="198">
        <v>8.0059051316120069</v>
      </c>
      <c r="P564" s="198">
        <v>5.8651940528171087</v>
      </c>
      <c r="Q564" s="198">
        <v>8.4949364499902273</v>
      </c>
      <c r="R564" s="198">
        <v>2.5800480967189308</v>
      </c>
      <c r="S564" s="198">
        <v>7.2529496698305289</v>
      </c>
      <c r="T564" s="198">
        <v>5.5603641778397392</v>
      </c>
      <c r="U564" s="198">
        <v>6.5907995451352761</v>
      </c>
      <c r="V564" s="198">
        <v>6.5062276652737348</v>
      </c>
      <c r="W564" s="198">
        <v>5.264978476370735</v>
      </c>
      <c r="X564" s="191">
        <v>7.8287794874134597</v>
      </c>
      <c r="Y564" s="197">
        <v>3.6679789804180003</v>
      </c>
      <c r="Z564" s="198" t="s">
        <v>93</v>
      </c>
      <c r="AA564" s="198" t="s">
        <v>93</v>
      </c>
      <c r="AB564" s="198">
        <v>2.5</v>
      </c>
      <c r="AC564" s="198">
        <v>4.5443102970556302</v>
      </c>
      <c r="AD564" s="191">
        <v>3.568299615241405</v>
      </c>
      <c r="AE564" s="407" t="s">
        <v>207</v>
      </c>
    </row>
    <row r="565" spans="2:31" s="265" customFormat="1" ht="12" customHeight="1">
      <c r="B565" s="369">
        <v>43832</v>
      </c>
      <c r="C565" s="197"/>
      <c r="D565" s="201"/>
      <c r="E565" s="198"/>
      <c r="F565" s="198"/>
      <c r="G565" s="198"/>
      <c r="H565" s="198"/>
      <c r="I565" s="198"/>
      <c r="J565" s="198"/>
      <c r="K565" s="198"/>
      <c r="L565" s="191"/>
      <c r="M565" s="197"/>
      <c r="N565" s="198"/>
      <c r="O565" s="198"/>
      <c r="P565" s="198"/>
      <c r="Q565" s="198"/>
      <c r="R565" s="198"/>
      <c r="S565" s="198"/>
      <c r="T565" s="198"/>
      <c r="U565" s="198"/>
      <c r="V565" s="198"/>
      <c r="W565" s="198"/>
      <c r="X565" s="191"/>
      <c r="Y565" s="197"/>
      <c r="Z565" s="198"/>
      <c r="AA565" s="198"/>
      <c r="AB565" s="198"/>
      <c r="AC565" s="198"/>
      <c r="AD565" s="191"/>
      <c r="AE565" s="374">
        <f>B565</f>
        <v>43832</v>
      </c>
    </row>
    <row r="566" spans="2:31" s="265" customFormat="1" ht="12" customHeight="1">
      <c r="B566" s="368" t="s">
        <v>184</v>
      </c>
      <c r="C566" s="197">
        <v>9.2620098809829976</v>
      </c>
      <c r="D566" s="198">
        <v>4.5806310606330269</v>
      </c>
      <c r="E566" s="198">
        <v>9.5957537879121997</v>
      </c>
      <c r="F566" s="198">
        <v>9.3221841259830001</v>
      </c>
      <c r="G566" s="198">
        <v>4.3122714523054899</v>
      </c>
      <c r="H566" s="198">
        <v>5.1486303042622836</v>
      </c>
      <c r="I566" s="198">
        <v>5.9450027947492341</v>
      </c>
      <c r="J566" s="198">
        <v>9.3498442438153031</v>
      </c>
      <c r="K566" s="198">
        <v>9.3011583865129541</v>
      </c>
      <c r="L566" s="191">
        <v>11.451390416214338</v>
      </c>
      <c r="M566" s="197">
        <v>13.956081277680982</v>
      </c>
      <c r="N566" s="198">
        <v>8.8001508028622677</v>
      </c>
      <c r="O566" s="198">
        <v>16.612999705444167</v>
      </c>
      <c r="P566" s="198">
        <v>9.972285798207837</v>
      </c>
      <c r="Q566" s="198">
        <v>10.810084341449659</v>
      </c>
      <c r="R566" s="198">
        <v>12.499356955715831</v>
      </c>
      <c r="S566" s="198">
        <v>14.64589197939155</v>
      </c>
      <c r="T566" s="198">
        <v>17.706383191613803</v>
      </c>
      <c r="U566" s="198">
        <v>17.869657200061354</v>
      </c>
      <c r="V566" s="198">
        <v>17.174424614638994</v>
      </c>
      <c r="W566" s="198">
        <v>6.1733926846289684</v>
      </c>
      <c r="X566" s="191">
        <v>6.9831253259060775</v>
      </c>
      <c r="Y566" s="198">
        <v>8.6638847266264758</v>
      </c>
      <c r="Z566" s="198" t="s">
        <v>93</v>
      </c>
      <c r="AA566" s="198" t="s">
        <v>93</v>
      </c>
      <c r="AB566" s="198" t="s">
        <v>93</v>
      </c>
      <c r="AC566" s="198">
        <v>8.75</v>
      </c>
      <c r="AD566" s="198">
        <v>7.1788549937317176</v>
      </c>
      <c r="AE566" s="199" t="s">
        <v>350</v>
      </c>
    </row>
    <row r="567" spans="2:31" s="265" customFormat="1" ht="12" customHeight="1">
      <c r="B567" s="368" t="s">
        <v>351</v>
      </c>
      <c r="C567" s="197">
        <v>1.8859389333748118</v>
      </c>
      <c r="D567" s="198">
        <v>1.1618651865391341</v>
      </c>
      <c r="E567" s="198">
        <v>2.3876162374520535</v>
      </c>
      <c r="F567" s="198">
        <v>0.4077323978608603</v>
      </c>
      <c r="G567" s="198">
        <v>1.2810491539203241</v>
      </c>
      <c r="H567" s="198">
        <v>0.70644251315878093</v>
      </c>
      <c r="I567" s="198">
        <v>0.89408614355916383</v>
      </c>
      <c r="J567" s="198">
        <v>1.5486727398325091</v>
      </c>
      <c r="K567" s="198">
        <v>2.5208494790760394</v>
      </c>
      <c r="L567" s="191">
        <v>4.6410822017655766</v>
      </c>
      <c r="M567" s="197">
        <v>5.8644022507312439</v>
      </c>
      <c r="N567" s="198">
        <v>5.3290148108412696</v>
      </c>
      <c r="O567" s="198">
        <v>7.9803764769598891</v>
      </c>
      <c r="P567" s="198">
        <v>6.9972974521357498</v>
      </c>
      <c r="Q567" s="198">
        <v>8.4395029429033421</v>
      </c>
      <c r="R567" s="198">
        <v>2.5394308057032506</v>
      </c>
      <c r="S567" s="198">
        <v>7.4364290987674009</v>
      </c>
      <c r="T567" s="198">
        <v>5.8913203766195119</v>
      </c>
      <c r="U567" s="198">
        <v>6.7460661014601824</v>
      </c>
      <c r="V567" s="198">
        <v>6.0481327558066367</v>
      </c>
      <c r="W567" s="198">
        <v>5.3925706628020187</v>
      </c>
      <c r="X567" s="191">
        <v>5.126517829447014</v>
      </c>
      <c r="Y567" s="198">
        <v>3.3478879261335854</v>
      </c>
      <c r="Z567" s="198" t="s">
        <v>93</v>
      </c>
      <c r="AA567" s="198" t="s">
        <v>93</v>
      </c>
      <c r="AB567" s="198">
        <v>2.5</v>
      </c>
      <c r="AC567" s="198">
        <v>4.5577410985138531</v>
      </c>
      <c r="AD567" s="198">
        <v>3.5800095019003799</v>
      </c>
      <c r="AE567" s="199" t="s">
        <v>207</v>
      </c>
    </row>
    <row r="568" spans="2:31" ht="12.75" customHeight="1">
      <c r="B568" s="369">
        <v>43833</v>
      </c>
      <c r="C568" s="197"/>
      <c r="E568" s="198"/>
      <c r="F568" s="198"/>
      <c r="G568" s="198"/>
      <c r="H568" s="198"/>
      <c r="I568" s="198"/>
      <c r="J568" s="198"/>
      <c r="K568" s="198"/>
      <c r="L568" s="191"/>
      <c r="M568" s="197"/>
      <c r="N568" s="198"/>
      <c r="O568" s="198"/>
      <c r="P568" s="198"/>
      <c r="Q568" s="198"/>
      <c r="R568" s="198"/>
      <c r="S568" s="198"/>
      <c r="T568" s="198"/>
      <c r="U568" s="198"/>
      <c r="V568" s="198"/>
      <c r="W568" s="198"/>
      <c r="X568" s="191"/>
      <c r="Y568" s="197"/>
      <c r="Z568" s="198"/>
      <c r="AA568" s="198"/>
      <c r="AB568" s="198"/>
      <c r="AC568" s="198"/>
      <c r="AD568" s="191"/>
      <c r="AE568" s="374">
        <f>B568</f>
        <v>43833</v>
      </c>
    </row>
    <row r="569" spans="2:31">
      <c r="B569" s="368" t="s">
        <v>184</v>
      </c>
      <c r="C569" s="197">
        <v>9.0383073516625743</v>
      </c>
      <c r="D569" s="198">
        <v>4.6527843359069978</v>
      </c>
      <c r="E569" s="198">
        <v>9.3817034310065885</v>
      </c>
      <c r="F569" s="198">
        <v>7.5193803484895367</v>
      </c>
      <c r="G569" s="198">
        <v>3.2841560085471619</v>
      </c>
      <c r="H569" s="198">
        <v>5.1636487449224999</v>
      </c>
      <c r="I569" s="198">
        <v>5.6024183078000958</v>
      </c>
      <c r="J569" s="198">
        <v>9.1032643424135831</v>
      </c>
      <c r="K569" s="198">
        <v>9.1347484500228635</v>
      </c>
      <c r="L569" s="191">
        <v>11.369243882942847</v>
      </c>
      <c r="M569" s="197">
        <v>13.89574269687045</v>
      </c>
      <c r="N569" s="198">
        <v>8.7994555338498035</v>
      </c>
      <c r="O569" s="198">
        <v>16.548002462928679</v>
      </c>
      <c r="P569" s="198">
        <v>8.471296700402613</v>
      </c>
      <c r="Q569" s="198">
        <v>11.810247011582526</v>
      </c>
      <c r="R569" s="198">
        <v>12.535796881103792</v>
      </c>
      <c r="S569" s="198">
        <v>13.14642287698071</v>
      </c>
      <c r="T569" s="198">
        <v>17.695835633898547</v>
      </c>
      <c r="U569" s="198">
        <v>17.65494676656861</v>
      </c>
      <c r="V569" s="198">
        <v>17.202327081222119</v>
      </c>
      <c r="W569" s="198">
        <v>6.2087296758505275</v>
      </c>
      <c r="X569" s="191">
        <v>6.9702479380235696</v>
      </c>
      <c r="Y569" s="198">
        <v>8.6680757413984697</v>
      </c>
      <c r="Z569" s="198" t="s">
        <v>93</v>
      </c>
      <c r="AA569" s="198" t="s">
        <v>93</v>
      </c>
      <c r="AB569" s="198" t="s">
        <v>93</v>
      </c>
      <c r="AC569" s="198">
        <v>8.75</v>
      </c>
      <c r="AD569" s="198">
        <v>7.1788549937317176</v>
      </c>
      <c r="AE569" s="199" t="s">
        <v>350</v>
      </c>
    </row>
    <row r="570" spans="2:31">
      <c r="B570" s="368" t="s">
        <v>351</v>
      </c>
      <c r="C570" s="197">
        <v>1.6396604260354939</v>
      </c>
      <c r="D570" s="198">
        <v>0.83163284280458405</v>
      </c>
      <c r="E570" s="198">
        <v>2.2965639670743805</v>
      </c>
      <c r="F570" s="198">
        <v>0.76425404429460619</v>
      </c>
      <c r="G570" s="198">
        <v>0.81572515875442264</v>
      </c>
      <c r="H570" s="198">
        <v>0.70687177138060775</v>
      </c>
      <c r="I570" s="198">
        <v>0.45885756169418046</v>
      </c>
      <c r="J570" s="198">
        <v>1.4542141934734933</v>
      </c>
      <c r="K570" s="198">
        <v>2.3795421355998445</v>
      </c>
      <c r="L570" s="191">
        <v>3.7029094976115768</v>
      </c>
      <c r="M570" s="197">
        <v>5.8207201877644899</v>
      </c>
      <c r="N570" s="198">
        <v>5.3023283346250425</v>
      </c>
      <c r="O570" s="198">
        <v>7.8952526166365518</v>
      </c>
      <c r="P570" s="198">
        <v>7.0284038886510896</v>
      </c>
      <c r="Q570" s="198">
        <v>8.1624545649109912</v>
      </c>
      <c r="R570" s="198">
        <v>2.4836223274743308</v>
      </c>
      <c r="S570" s="198">
        <v>7.4641868311083677</v>
      </c>
      <c r="T570" s="198">
        <v>5.871581924644909</v>
      </c>
      <c r="U570" s="198">
        <v>6.6672126967150112</v>
      </c>
      <c r="V570" s="198">
        <v>6.043051980523753</v>
      </c>
      <c r="W570" s="198">
        <v>5.2743598481755134</v>
      </c>
      <c r="X570" s="191">
        <v>5.1381776501025058</v>
      </c>
      <c r="Y570" s="198">
        <v>3.3287159459911599</v>
      </c>
      <c r="Z570" s="198" t="s">
        <v>93</v>
      </c>
      <c r="AA570" s="198" t="s">
        <v>93</v>
      </c>
      <c r="AB570" s="198">
        <v>2.5</v>
      </c>
      <c r="AC570" s="198">
        <v>4.4311820194236962</v>
      </c>
      <c r="AD570" s="198">
        <v>3.5821863889027994</v>
      </c>
      <c r="AE570" s="199" t="s">
        <v>207</v>
      </c>
    </row>
    <row r="571" spans="2:31">
      <c r="B571" s="369">
        <v>43834</v>
      </c>
      <c r="C571" s="197"/>
      <c r="E571" s="198"/>
      <c r="F571" s="198"/>
      <c r="G571" s="198"/>
      <c r="H571" s="198"/>
      <c r="I571" s="198"/>
      <c r="J571" s="198"/>
      <c r="K571" s="198"/>
      <c r="L571" s="191"/>
      <c r="M571" s="197"/>
      <c r="N571" s="198"/>
      <c r="O571" s="198"/>
      <c r="P571" s="198"/>
      <c r="Q571" s="198"/>
      <c r="R571" s="198"/>
      <c r="S571" s="198"/>
      <c r="T571" s="198"/>
      <c r="U571" s="198"/>
      <c r="V571" s="198"/>
      <c r="W571" s="198"/>
      <c r="X571" s="191"/>
      <c r="Y571" s="197"/>
      <c r="Z571" s="198"/>
      <c r="AA571" s="198"/>
      <c r="AB571" s="198"/>
      <c r="AC571" s="198"/>
      <c r="AD571" s="191"/>
      <c r="AE571" s="374">
        <f>B571</f>
        <v>43834</v>
      </c>
    </row>
    <row r="572" spans="2:31">
      <c r="B572" s="368" t="s">
        <v>184</v>
      </c>
      <c r="C572" s="197">
        <v>8.9462539866547317</v>
      </c>
      <c r="D572" s="198">
        <v>4.7761024781162655</v>
      </c>
      <c r="E572" s="198">
        <v>9.2772753914187103</v>
      </c>
      <c r="F572" s="198">
        <v>4.0937327823772458</v>
      </c>
      <c r="G572" s="198">
        <v>4.9087372328660051</v>
      </c>
      <c r="H572" s="198">
        <v>5.4274981605386454</v>
      </c>
      <c r="I572" s="198">
        <v>6.6521770959722595</v>
      </c>
      <c r="J572" s="198">
        <v>8.9601338505400907</v>
      </c>
      <c r="K572" s="198">
        <v>9.071319076840755</v>
      </c>
      <c r="L572" s="191">
        <v>10.259525137940036</v>
      </c>
      <c r="M572" s="197">
        <v>13.793960629317144</v>
      </c>
      <c r="N572" s="198">
        <v>8.8243594084254031</v>
      </c>
      <c r="O572" s="198">
        <v>16.473864343602539</v>
      </c>
      <c r="P572" s="198">
        <v>8.4625047418423023</v>
      </c>
      <c r="Q572" s="198">
        <v>11.897535730389215</v>
      </c>
      <c r="R572" s="198">
        <v>12.392461617401766</v>
      </c>
      <c r="S572" s="198">
        <v>13.056565429111286</v>
      </c>
      <c r="T572" s="198">
        <v>17.251813054841431</v>
      </c>
      <c r="U572" s="198">
        <v>17.28264707062641</v>
      </c>
      <c r="V572" s="198">
        <v>17.281311416784703</v>
      </c>
      <c r="W572" s="198">
        <v>6.2226437806834944</v>
      </c>
      <c r="X572" s="191">
        <v>6.9594784841435589</v>
      </c>
      <c r="Y572" s="198">
        <v>6.8705420405290853</v>
      </c>
      <c r="Z572" s="198" t="s">
        <v>93</v>
      </c>
      <c r="AA572" s="198" t="s">
        <v>93</v>
      </c>
      <c r="AB572" s="198" t="s">
        <v>93</v>
      </c>
      <c r="AC572" s="198">
        <v>6.83</v>
      </c>
      <c r="AD572" s="198">
        <v>7.0345356249495685</v>
      </c>
      <c r="AE572" s="199" t="s">
        <v>350</v>
      </c>
    </row>
    <row r="573" spans="2:31">
      <c r="B573" s="368" t="s">
        <v>351</v>
      </c>
      <c r="C573" s="197">
        <v>1.7509130302936915</v>
      </c>
      <c r="D573" s="198">
        <v>1.1320382712028567</v>
      </c>
      <c r="E573" s="198">
        <v>2.2033361714460113</v>
      </c>
      <c r="F573" s="198">
        <v>0.59611044542619529</v>
      </c>
      <c r="G573" s="198">
        <v>1.0671736291096163</v>
      </c>
      <c r="H573" s="198">
        <v>0.81944261660731899</v>
      </c>
      <c r="I573" s="198">
        <v>0.94113265936171142</v>
      </c>
      <c r="J573" s="198">
        <v>1.4017196909661604</v>
      </c>
      <c r="K573" s="198">
        <v>2.2880573020640211</v>
      </c>
      <c r="L573" s="191">
        <v>4.584727548289921</v>
      </c>
      <c r="M573" s="197">
        <v>5.9684078115837824</v>
      </c>
      <c r="N573" s="198">
        <v>5.3163293166971544</v>
      </c>
      <c r="O573" s="198">
        <v>9.052783668151978</v>
      </c>
      <c r="P573" s="198">
        <v>7.0793821501116154</v>
      </c>
      <c r="Q573" s="198">
        <v>7.9950838760799803</v>
      </c>
      <c r="R573" s="198">
        <v>3.1508430245953072</v>
      </c>
      <c r="S573" s="198">
        <v>4.6851882733833916</v>
      </c>
      <c r="T573" s="198">
        <v>5.9455184637703375</v>
      </c>
      <c r="U573" s="198">
        <v>6.7159305285202109</v>
      </c>
      <c r="V573" s="198">
        <v>6.0932735143274792</v>
      </c>
      <c r="W573" s="198">
        <v>5.2470607243381675</v>
      </c>
      <c r="X573" s="191">
        <v>5.143420602858515</v>
      </c>
      <c r="Y573" s="198">
        <v>3.4929068804788264</v>
      </c>
      <c r="Z573" s="198">
        <v>1.87</v>
      </c>
      <c r="AA573" s="198" t="s">
        <v>93</v>
      </c>
      <c r="AB573" s="198">
        <v>2.5</v>
      </c>
      <c r="AC573" s="198">
        <v>4.4179294470440515</v>
      </c>
      <c r="AD573" s="198">
        <v>3.5802108185160177</v>
      </c>
      <c r="AE573" s="199" t="s">
        <v>207</v>
      </c>
    </row>
    <row r="574" spans="2:31">
      <c r="B574" s="369">
        <v>43835</v>
      </c>
      <c r="C574" s="197"/>
      <c r="D574" s="198"/>
      <c r="E574" s="198"/>
      <c r="F574" s="198"/>
      <c r="G574" s="198"/>
      <c r="H574" s="198"/>
      <c r="I574" s="198"/>
      <c r="J574" s="198"/>
      <c r="K574" s="198"/>
      <c r="L574" s="191"/>
      <c r="M574" s="197"/>
      <c r="N574" s="198"/>
      <c r="O574" s="198"/>
      <c r="P574" s="198"/>
      <c r="Q574" s="198"/>
      <c r="R574" s="198"/>
      <c r="S574" s="198"/>
      <c r="T574" s="198"/>
      <c r="U574" s="198"/>
      <c r="V574" s="198"/>
      <c r="W574" s="198"/>
      <c r="X574" s="191"/>
      <c r="Y574" s="197"/>
      <c r="Z574" s="198"/>
      <c r="AA574" s="198"/>
      <c r="AB574" s="198"/>
      <c r="AC574" s="198"/>
      <c r="AD574" s="191"/>
      <c r="AE574" s="374">
        <f>B574</f>
        <v>43835</v>
      </c>
    </row>
    <row r="575" spans="2:31">
      <c r="B575" s="368" t="s">
        <v>184</v>
      </c>
      <c r="C575" s="197">
        <v>8.7264129503223575</v>
      </c>
      <c r="D575" s="198">
        <v>5.7065243387448756</v>
      </c>
      <c r="E575" s="198">
        <v>9.0964613758997128</v>
      </c>
      <c r="F575" s="198">
        <v>3.7135115899010409</v>
      </c>
      <c r="G575" s="198">
        <v>2.3087803700682423</v>
      </c>
      <c r="H575" s="198">
        <v>9.0580981872485804</v>
      </c>
      <c r="I575" s="198">
        <v>6.4948549755473586</v>
      </c>
      <c r="J575" s="198">
        <v>8.7374027489187096</v>
      </c>
      <c r="K575" s="198">
        <v>8.8736467889370321</v>
      </c>
      <c r="L575" s="191">
        <v>10.164695551644565</v>
      </c>
      <c r="M575" s="197">
        <v>13.624087704174523</v>
      </c>
      <c r="N575" s="198">
        <v>8.5756840617809189</v>
      </c>
      <c r="O575" s="198">
        <v>16.429158373153367</v>
      </c>
      <c r="P575" s="198">
        <v>8.8651887107373391</v>
      </c>
      <c r="Q575" s="198">
        <v>10.798997914898331</v>
      </c>
      <c r="R575" s="198">
        <v>11.921950451094387</v>
      </c>
      <c r="S575" s="198">
        <v>12.584433644330467</v>
      </c>
      <c r="T575" s="198">
        <v>17.049344292880672</v>
      </c>
      <c r="U575" s="198">
        <v>16.510944598700423</v>
      </c>
      <c r="V575" s="198">
        <v>17.607852911525086</v>
      </c>
      <c r="W575" s="198">
        <v>6.3276433908123861</v>
      </c>
      <c r="X575" s="191">
        <v>6.9659257001665624</v>
      </c>
      <c r="Y575" s="197">
        <v>8.901054012123538</v>
      </c>
      <c r="Z575" s="198" t="s">
        <v>93</v>
      </c>
      <c r="AA575" s="198" t="s">
        <v>93</v>
      </c>
      <c r="AB575" s="198">
        <v>11</v>
      </c>
      <c r="AC575" s="198">
        <v>8.32</v>
      </c>
      <c r="AD575" s="191">
        <v>7.0345356249495685</v>
      </c>
      <c r="AE575" s="199" t="s">
        <v>350</v>
      </c>
    </row>
    <row r="576" spans="2:31">
      <c r="B576" s="368" t="s">
        <v>351</v>
      </c>
      <c r="C576" s="197">
        <v>1.6314793515049864</v>
      </c>
      <c r="D576" s="198">
        <v>1.0728130589594966</v>
      </c>
      <c r="E576" s="198">
        <v>2.0615095051474328</v>
      </c>
      <c r="F576" s="198">
        <v>0.44752245621745224</v>
      </c>
      <c r="G576" s="198">
        <v>0.83885785465085128</v>
      </c>
      <c r="H576" s="198">
        <v>0.81204626779938116</v>
      </c>
      <c r="I576" s="198">
        <v>0.83316839979341772</v>
      </c>
      <c r="J576" s="198">
        <v>1.3525767439425525</v>
      </c>
      <c r="K576" s="198">
        <v>1.9906366878689508</v>
      </c>
      <c r="L576" s="191">
        <v>4.5917149721819293</v>
      </c>
      <c r="M576" s="197">
        <v>5.8284454732082898</v>
      </c>
      <c r="N576" s="198">
        <v>5.161871427287366</v>
      </c>
      <c r="O576" s="198">
        <v>8.9640348696907637</v>
      </c>
      <c r="P576" s="198">
        <v>6.4369292550485726</v>
      </c>
      <c r="Q576" s="198">
        <v>6.1703707074291119</v>
      </c>
      <c r="R576" s="198">
        <v>2.8380118155875222</v>
      </c>
      <c r="S576" s="198">
        <v>3.8479571445092948</v>
      </c>
      <c r="T576" s="198">
        <v>5.8245756082413136</v>
      </c>
      <c r="U576" s="198">
        <v>6.505705530684498</v>
      </c>
      <c r="V576" s="198">
        <v>6.058004090884757</v>
      </c>
      <c r="W576" s="198">
        <v>5.1698260999596126</v>
      </c>
      <c r="X576" s="191">
        <v>5.1552728838274211</v>
      </c>
      <c r="Y576" s="197">
        <v>3.7802831804027632</v>
      </c>
      <c r="Z576" s="198" t="s">
        <v>93</v>
      </c>
      <c r="AA576" s="198" t="s">
        <v>93</v>
      </c>
      <c r="AB576" s="198">
        <v>2.5</v>
      </c>
      <c r="AC576" s="198">
        <v>4.5544309128635287</v>
      </c>
      <c r="AD576" s="191">
        <v>3.895113135972855</v>
      </c>
      <c r="AE576" s="199" t="s">
        <v>207</v>
      </c>
    </row>
    <row r="577" spans="2:31">
      <c r="B577" s="369">
        <v>43836</v>
      </c>
      <c r="C577" s="197"/>
      <c r="D577" s="198"/>
      <c r="E577" s="198"/>
      <c r="F577" s="198"/>
      <c r="G577" s="198"/>
      <c r="H577" s="198"/>
      <c r="I577" s="198"/>
      <c r="J577" s="198"/>
      <c r="K577" s="198"/>
      <c r="L577" s="191"/>
      <c r="M577" s="197"/>
      <c r="N577" s="198"/>
      <c r="O577" s="198"/>
      <c r="P577" s="198"/>
      <c r="Q577" s="198"/>
      <c r="R577" s="198"/>
      <c r="S577" s="198"/>
      <c r="T577" s="198"/>
      <c r="U577" s="198"/>
      <c r="V577" s="198"/>
      <c r="W577" s="198"/>
      <c r="X577" s="191"/>
      <c r="Y577" s="197"/>
      <c r="Z577" s="198"/>
      <c r="AA577" s="198"/>
      <c r="AB577" s="198"/>
      <c r="AC577" s="198"/>
      <c r="AD577" s="191"/>
      <c r="AE577" s="374">
        <f>B577</f>
        <v>43836</v>
      </c>
    </row>
    <row r="578" spans="2:31">
      <c r="B578" s="368" t="s">
        <v>184</v>
      </c>
      <c r="C578" s="197">
        <v>8.5504052055160304</v>
      </c>
      <c r="D578" s="198">
        <v>5.8361589915343899</v>
      </c>
      <c r="E578" s="198">
        <v>8.9020938528194709</v>
      </c>
      <c r="F578" s="198">
        <v>5.1994591279575797</v>
      </c>
      <c r="G578" s="198">
        <v>3.2301756747234198</v>
      </c>
      <c r="H578" s="198">
        <v>9.0147171106833603</v>
      </c>
      <c r="I578" s="198">
        <v>6.6566504598670804</v>
      </c>
      <c r="J578" s="198">
        <v>8.4324615746479896</v>
      </c>
      <c r="K578" s="198">
        <v>8.7833796208671302</v>
      </c>
      <c r="L578" s="191">
        <v>9.8820492999385792</v>
      </c>
      <c r="M578" s="197">
        <v>13.661859286719899</v>
      </c>
      <c r="N578" s="198">
        <v>8.7222880253276607</v>
      </c>
      <c r="O578" s="198">
        <v>16.3921781691791</v>
      </c>
      <c r="P578" s="198">
        <v>9.0244732934266594</v>
      </c>
      <c r="Q578" s="198">
        <v>11.843423133061201</v>
      </c>
      <c r="R578" s="198">
        <v>11.9363236949417</v>
      </c>
      <c r="S578" s="198">
        <v>12.9759698609335</v>
      </c>
      <c r="T578" s="198">
        <v>17.183516451288899</v>
      </c>
      <c r="U578" s="198">
        <v>16.430698126139202</v>
      </c>
      <c r="V578" s="198">
        <v>17.848699074169499</v>
      </c>
      <c r="W578" s="198">
        <v>6.4025277535946401</v>
      </c>
      <c r="X578" s="191">
        <v>6.9468547346005503</v>
      </c>
      <c r="Y578" s="197">
        <v>9.0971291071437097</v>
      </c>
      <c r="Z578" s="198" t="s">
        <v>93</v>
      </c>
      <c r="AA578" s="198" t="s">
        <v>93</v>
      </c>
      <c r="AB578" s="198">
        <v>11</v>
      </c>
      <c r="AC578" s="198">
        <v>8.7200000000000006</v>
      </c>
      <c r="AD578" s="191">
        <v>7.0345356249495703</v>
      </c>
      <c r="AE578" s="199" t="s">
        <v>350</v>
      </c>
    </row>
    <row r="579" spans="2:31">
      <c r="B579" s="368" t="s">
        <v>351</v>
      </c>
      <c r="C579" s="197">
        <v>1.67324177913779</v>
      </c>
      <c r="D579" s="198">
        <v>1.08087717300938</v>
      </c>
      <c r="E579" s="198">
        <v>2.1204394998235299</v>
      </c>
      <c r="F579" s="198">
        <v>0.26427690558446698</v>
      </c>
      <c r="G579" s="198">
        <v>0.25466757739040402</v>
      </c>
      <c r="H579" s="198">
        <v>0.66757787098064503</v>
      </c>
      <c r="I579" s="198">
        <v>0.87544320526341901</v>
      </c>
      <c r="J579" s="198">
        <v>1.2567989658746901</v>
      </c>
      <c r="K579" s="198">
        <v>2.1473422175536299</v>
      </c>
      <c r="L579" s="191">
        <v>4.5809320798156801</v>
      </c>
      <c r="M579" s="197">
        <v>5.6595625105976302</v>
      </c>
      <c r="N579" s="198">
        <v>5.0858237476161499</v>
      </c>
      <c r="O579" s="198">
        <v>8.4246178984700499</v>
      </c>
      <c r="P579" s="198">
        <v>3.9519695441340099</v>
      </c>
      <c r="Q579" s="198">
        <v>6.37614294309782</v>
      </c>
      <c r="R579" s="198">
        <v>6.7055452604139303</v>
      </c>
      <c r="S579" s="198">
        <v>5.7917956515631701</v>
      </c>
      <c r="T579" s="198">
        <v>4.8611329459780297</v>
      </c>
      <c r="U579" s="198">
        <v>6.1411069500797399</v>
      </c>
      <c r="V579" s="198">
        <v>5.9200558877540903</v>
      </c>
      <c r="W579" s="198">
        <v>5.0486260156690301</v>
      </c>
      <c r="X579" s="191">
        <v>5.1740379406182599</v>
      </c>
      <c r="Y579" s="197">
        <v>3.6665960673210898</v>
      </c>
      <c r="Z579" s="198">
        <v>4.55</v>
      </c>
      <c r="AA579" s="198" t="s">
        <v>93</v>
      </c>
      <c r="AB579" s="198">
        <v>2.5</v>
      </c>
      <c r="AC579" s="198">
        <v>2.7379036869328499</v>
      </c>
      <c r="AD579" s="191">
        <v>4.2080000794284702</v>
      </c>
      <c r="AE579" s="199" t="s">
        <v>207</v>
      </c>
    </row>
    <row r="580" spans="2:31">
      <c r="B580" s="369">
        <v>43837</v>
      </c>
      <c r="C580" s="197"/>
      <c r="E580" s="198"/>
      <c r="F580" s="198"/>
      <c r="G580" s="198"/>
      <c r="H580" s="198"/>
      <c r="I580" s="198"/>
      <c r="J580" s="198"/>
      <c r="K580" s="198"/>
      <c r="L580" s="191"/>
      <c r="M580" s="197"/>
      <c r="N580" s="198"/>
      <c r="O580" s="198"/>
      <c r="P580" s="198"/>
      <c r="Q580" s="198"/>
      <c r="R580" s="198"/>
      <c r="S580" s="198"/>
      <c r="T580" s="198"/>
      <c r="U580" s="198"/>
      <c r="V580" s="198"/>
      <c r="W580" s="198"/>
      <c r="X580" s="191"/>
      <c r="Y580" s="197"/>
      <c r="Z580" s="198"/>
      <c r="AA580" s="198"/>
      <c r="AB580" s="198"/>
      <c r="AC580" s="198"/>
      <c r="AD580" s="191"/>
      <c r="AE580" s="374">
        <f>B580</f>
        <v>43837</v>
      </c>
    </row>
    <row r="581" spans="2:31">
      <c r="B581" s="368" t="s">
        <v>184</v>
      </c>
      <c r="C581" s="197">
        <v>8.5895076688119207</v>
      </c>
      <c r="D581" s="198">
        <v>5.8437262898597204</v>
      </c>
      <c r="E581" s="198">
        <v>8.9455356674796995</v>
      </c>
      <c r="F581" s="198">
        <v>4.1396471901476799</v>
      </c>
      <c r="G581" s="198">
        <v>4.4681817797803403</v>
      </c>
      <c r="H581" s="198">
        <v>8.75116960269035</v>
      </c>
      <c r="I581" s="198">
        <v>7.0939285497098403</v>
      </c>
      <c r="J581" s="198">
        <v>8.4619106592866196</v>
      </c>
      <c r="K581" s="198">
        <v>8.8300679415346099</v>
      </c>
      <c r="L581" s="191">
        <v>9.9818650252788306</v>
      </c>
      <c r="M581" s="197">
        <v>13.6656940087032</v>
      </c>
      <c r="N581" s="198">
        <v>8.7130031325285699</v>
      </c>
      <c r="O581" s="198">
        <v>16.370551887523899</v>
      </c>
      <c r="P581" s="198">
        <v>8.4290529218618797</v>
      </c>
      <c r="Q581" s="198">
        <v>11.7875136486294</v>
      </c>
      <c r="R581" s="198">
        <v>12.0478103075568</v>
      </c>
      <c r="S581" s="198">
        <v>12.915112382933</v>
      </c>
      <c r="T581" s="198">
        <v>17.198366303412701</v>
      </c>
      <c r="U581" s="198">
        <v>16.386442006034098</v>
      </c>
      <c r="V581" s="198">
        <v>17.971973804926701</v>
      </c>
      <c r="W581" s="198">
        <v>6.4089099400464402</v>
      </c>
      <c r="X581" s="191">
        <v>6.9571151306307097</v>
      </c>
      <c r="Y581" s="198">
        <v>9.0971291071437097</v>
      </c>
      <c r="Z581" s="198" t="s">
        <v>93</v>
      </c>
      <c r="AA581" s="198" t="s">
        <v>93</v>
      </c>
      <c r="AB581" s="198">
        <v>11</v>
      </c>
      <c r="AC581" s="198">
        <v>8.7200000000000006</v>
      </c>
      <c r="AD581" s="198">
        <v>7.0345356249495703</v>
      </c>
      <c r="AE581" s="199" t="s">
        <v>350</v>
      </c>
    </row>
    <row r="582" spans="2:31">
      <c r="B582" s="368" t="s">
        <v>351</v>
      </c>
      <c r="C582" s="197">
        <v>1.60262838412965</v>
      </c>
      <c r="D582" s="198">
        <v>1.05424237121611</v>
      </c>
      <c r="E582" s="198">
        <v>2.0610901758995999</v>
      </c>
      <c r="F582" s="198">
        <v>0.324611563888209</v>
      </c>
      <c r="G582" s="198">
        <v>0.139620742621895</v>
      </c>
      <c r="H582" s="198">
        <v>0.61774303430896105</v>
      </c>
      <c r="I582" s="198">
        <v>0.90554015691359702</v>
      </c>
      <c r="J582" s="198">
        <v>1.21441425048743</v>
      </c>
      <c r="K582" s="198">
        <v>2.0283076943374301</v>
      </c>
      <c r="L582" s="191">
        <v>4.4636225900416102</v>
      </c>
      <c r="M582" s="197">
        <v>5.6147543780618703</v>
      </c>
      <c r="N582" s="198">
        <v>5.0754600601055699</v>
      </c>
      <c r="O582" s="198">
        <v>8.3139268551798793</v>
      </c>
      <c r="P582" s="198">
        <v>8.3279352332055598</v>
      </c>
      <c r="Q582" s="198">
        <v>8.0299579739654501</v>
      </c>
      <c r="R582" s="198">
        <v>6.8962972561567604</v>
      </c>
      <c r="S582" s="198">
        <v>6.3297316937026498</v>
      </c>
      <c r="T582" s="198">
        <v>4.7961738667740699</v>
      </c>
      <c r="U582" s="198">
        <v>5.9886451771521596</v>
      </c>
      <c r="V582" s="198">
        <v>5.9239142902138999</v>
      </c>
      <c r="W582" s="198">
        <v>4.89364727195548</v>
      </c>
      <c r="X582" s="191">
        <v>5.1806626140871801</v>
      </c>
      <c r="Y582" s="198">
        <v>4.1802026155046601</v>
      </c>
      <c r="Z582" s="198" t="s">
        <v>93</v>
      </c>
      <c r="AA582" s="198" t="s">
        <v>93</v>
      </c>
      <c r="AB582" s="198">
        <v>4.5</v>
      </c>
      <c r="AC582" s="198">
        <v>2.74540384192029</v>
      </c>
      <c r="AD582" s="198">
        <v>4.6666058538907</v>
      </c>
      <c r="AE582" s="199" t="s">
        <v>207</v>
      </c>
    </row>
    <row r="583" spans="2:31">
      <c r="B583" s="369">
        <v>43838</v>
      </c>
      <c r="C583" s="197"/>
      <c r="E583" s="198"/>
      <c r="F583" s="198"/>
      <c r="G583" s="198"/>
      <c r="H583" s="198"/>
      <c r="I583" s="198"/>
      <c r="J583" s="198"/>
      <c r="K583" s="198"/>
      <c r="L583" s="191"/>
      <c r="M583" s="197"/>
      <c r="N583" s="198"/>
      <c r="O583" s="198"/>
      <c r="P583" s="198"/>
      <c r="Q583" s="198"/>
      <c r="R583" s="198"/>
      <c r="S583" s="198"/>
      <c r="T583" s="198"/>
      <c r="U583" s="198"/>
      <c r="V583" s="198"/>
      <c r="W583" s="198"/>
      <c r="X583" s="191"/>
      <c r="Y583" s="197"/>
      <c r="Z583" s="198"/>
      <c r="AA583" s="198"/>
      <c r="AB583" s="198"/>
      <c r="AC583" s="198"/>
      <c r="AD583" s="191"/>
      <c r="AE583" s="374">
        <f>B583</f>
        <v>43838</v>
      </c>
    </row>
    <row r="584" spans="2:31">
      <c r="B584" s="368" t="s">
        <v>184</v>
      </c>
      <c r="C584" s="197">
        <v>8.5736245441109205</v>
      </c>
      <c r="D584" s="198">
        <v>5.7009033542652396</v>
      </c>
      <c r="E584" s="198">
        <v>8.9428075552246291</v>
      </c>
      <c r="F584" s="198">
        <v>5.8752517231045802</v>
      </c>
      <c r="G584" s="198">
        <v>4.66598891305226</v>
      </c>
      <c r="H584" s="198">
        <v>8.7633853254528908</v>
      </c>
      <c r="I584" s="198">
        <v>6.2653720372037203</v>
      </c>
      <c r="J584" s="198">
        <v>8.4512826692146295</v>
      </c>
      <c r="K584" s="198">
        <v>8.8156627258292808</v>
      </c>
      <c r="L584" s="191">
        <v>9.6948308907252692</v>
      </c>
      <c r="M584" s="197">
        <v>13.6312557532956</v>
      </c>
      <c r="N584" s="198">
        <v>8.7936553260004402</v>
      </c>
      <c r="O584" s="198">
        <v>16.2646846637174</v>
      </c>
      <c r="P584" s="198">
        <v>8.4463697434450697</v>
      </c>
      <c r="Q584" s="198">
        <v>11.801950219106701</v>
      </c>
      <c r="R584" s="198">
        <v>12.136423140987599</v>
      </c>
      <c r="S584" s="198">
        <v>13.2251607309537</v>
      </c>
      <c r="T584" s="198">
        <v>17.066838857466202</v>
      </c>
      <c r="U584" s="198">
        <v>16.314293749578301</v>
      </c>
      <c r="V584" s="198">
        <v>17.968549458291101</v>
      </c>
      <c r="W584" s="198">
        <v>6.5822320873240097</v>
      </c>
      <c r="X584" s="191">
        <v>6.9285587891580001</v>
      </c>
      <c r="Y584" s="198">
        <v>9.1333955001247897</v>
      </c>
      <c r="Z584" s="198" t="s">
        <v>93</v>
      </c>
      <c r="AA584" s="198" t="s">
        <v>93</v>
      </c>
      <c r="AB584" s="198">
        <v>11</v>
      </c>
      <c r="AC584" s="198">
        <v>8.7200000000000006</v>
      </c>
      <c r="AD584" s="198">
        <v>6.8487443471567397</v>
      </c>
      <c r="AE584" s="199" t="s">
        <v>350</v>
      </c>
    </row>
    <row r="585" spans="2:31">
      <c r="B585" s="368" t="s">
        <v>351</v>
      </c>
      <c r="C585" s="197">
        <v>1.57682761411385</v>
      </c>
      <c r="D585" s="198">
        <v>1.0019076183056901</v>
      </c>
      <c r="E585" s="198">
        <v>2.07942305068475</v>
      </c>
      <c r="F585" s="198">
        <v>0.50058447476522006</v>
      </c>
      <c r="G585" s="198">
        <v>8.0072255731579403E-2</v>
      </c>
      <c r="H585" s="198">
        <v>0.63975219308008002</v>
      </c>
      <c r="I585" s="198">
        <v>1.68472374973844</v>
      </c>
      <c r="J585" s="198">
        <v>1.17601735886639</v>
      </c>
      <c r="K585" s="198">
        <v>2.0206728097038398</v>
      </c>
      <c r="L585" s="191">
        <v>4.3582156298391803</v>
      </c>
      <c r="M585" s="197">
        <v>5.5854716405733402</v>
      </c>
      <c r="N585" s="198">
        <v>5.0686144107919198</v>
      </c>
      <c r="O585" s="198">
        <v>8.18575651999776</v>
      </c>
      <c r="P585" s="198">
        <v>8.0923989981665798</v>
      </c>
      <c r="Q585" s="198">
        <v>8.3668219998988</v>
      </c>
      <c r="R585" s="198">
        <v>6.2043098352085098</v>
      </c>
      <c r="S585" s="198">
        <v>6.2658447329586</v>
      </c>
      <c r="T585" s="198">
        <v>4.7808480633229999</v>
      </c>
      <c r="U585" s="198">
        <v>5.6696982862818999</v>
      </c>
      <c r="V585" s="198">
        <v>6.0996448223164297</v>
      </c>
      <c r="W585" s="198">
        <v>4.9146686909640698</v>
      </c>
      <c r="X585" s="191">
        <v>5.1845043521954199</v>
      </c>
      <c r="Y585" s="198">
        <v>4.1723665845453999</v>
      </c>
      <c r="Z585" s="198" t="s">
        <v>93</v>
      </c>
      <c r="AA585" s="198" t="s">
        <v>93</v>
      </c>
      <c r="AB585" s="198">
        <v>4.5</v>
      </c>
      <c r="AC585" s="198">
        <v>2.7544562650523301</v>
      </c>
      <c r="AD585" s="198">
        <v>4.6525849591848498</v>
      </c>
      <c r="AE585" s="199" t="s">
        <v>207</v>
      </c>
    </row>
    <row r="586" spans="2:31">
      <c r="B586" s="369">
        <v>43839</v>
      </c>
      <c r="C586" s="197"/>
      <c r="E586" s="198"/>
      <c r="F586" s="198"/>
      <c r="G586" s="198"/>
      <c r="H586" s="198"/>
      <c r="I586" s="198"/>
      <c r="J586" s="198"/>
      <c r="K586" s="198"/>
      <c r="L586" s="191"/>
      <c r="M586" s="197"/>
      <c r="N586" s="198"/>
      <c r="O586" s="198"/>
      <c r="P586" s="198"/>
      <c r="Q586" s="198"/>
      <c r="R586" s="198"/>
      <c r="S586" s="198"/>
      <c r="T586" s="198"/>
      <c r="U586" s="198"/>
      <c r="V586" s="198"/>
      <c r="W586" s="198"/>
      <c r="X586" s="191"/>
      <c r="Y586" s="197"/>
      <c r="Z586" s="198"/>
      <c r="AA586" s="198"/>
      <c r="AB586" s="198"/>
      <c r="AC586" s="198"/>
      <c r="AD586" s="191"/>
      <c r="AE586" s="374">
        <f>B586</f>
        <v>43839</v>
      </c>
    </row>
    <row r="587" spans="2:31">
      <c r="B587" s="368" t="s">
        <v>184</v>
      </c>
      <c r="C587" s="197">
        <v>8.6452766622694597</v>
      </c>
      <c r="D587" s="198">
        <v>6.0451931578642499</v>
      </c>
      <c r="E587" s="198">
        <v>8.9670797575333197</v>
      </c>
      <c r="F587" s="198">
        <v>5.58600845082207</v>
      </c>
      <c r="G587" s="198">
        <v>5.1563375788638899</v>
      </c>
      <c r="H587" s="198">
        <v>8.8404471549525407</v>
      </c>
      <c r="I587" s="198">
        <v>6.3086498492410703</v>
      </c>
      <c r="J587" s="198">
        <v>8.5319964675982103</v>
      </c>
      <c r="K587" s="198">
        <v>8.8918668373754404</v>
      </c>
      <c r="L587" s="191">
        <v>9.6218914862522809</v>
      </c>
      <c r="M587" s="197">
        <v>13.659397918726301</v>
      </c>
      <c r="N587" s="198">
        <v>8.7747090599066198</v>
      </c>
      <c r="O587" s="198">
        <v>16.287032417180701</v>
      </c>
      <c r="P587" s="198">
        <v>8.21766353895854</v>
      </c>
      <c r="Q587" s="198">
        <v>12.073154963687699</v>
      </c>
      <c r="R587" s="198">
        <v>12.030857009507701</v>
      </c>
      <c r="S587" s="198">
        <v>13.187477550940301</v>
      </c>
      <c r="T587" s="198">
        <v>17.0932887877435</v>
      </c>
      <c r="U587" s="198">
        <v>16.297355556913601</v>
      </c>
      <c r="V587" s="198">
        <v>18.0169277480285</v>
      </c>
      <c r="W587" s="198">
        <v>6.6396219057218104</v>
      </c>
      <c r="X587" s="191">
        <v>6.9439581299903104</v>
      </c>
      <c r="Y587" s="198">
        <v>9.1792986535629506</v>
      </c>
      <c r="Z587" s="198" t="s">
        <v>93</v>
      </c>
      <c r="AA587" s="198" t="s">
        <v>93</v>
      </c>
      <c r="AB587" s="198">
        <v>11</v>
      </c>
      <c r="AC587" s="198">
        <v>8.7899999999999991</v>
      </c>
      <c r="AD587" s="198">
        <v>6.8487443471567397</v>
      </c>
      <c r="AE587" s="199" t="s">
        <v>350</v>
      </c>
    </row>
    <row r="588" spans="2:31">
      <c r="B588" s="368" t="s">
        <v>351</v>
      </c>
      <c r="C588" s="197">
        <v>1.6127648648350299</v>
      </c>
      <c r="D588" s="198">
        <v>0.933539642770292</v>
      </c>
      <c r="E588" s="198">
        <v>2.07605302086648</v>
      </c>
      <c r="F588" s="198">
        <v>0.37900673997871598</v>
      </c>
      <c r="G588" s="198">
        <v>0.29776802225186799</v>
      </c>
      <c r="H588" s="198">
        <v>1.1436628652498899</v>
      </c>
      <c r="I588" s="198">
        <v>1.6991112439667899</v>
      </c>
      <c r="J588" s="198">
        <v>1.0720507181260599</v>
      </c>
      <c r="K588" s="198">
        <v>2.0449815111245302</v>
      </c>
      <c r="L588" s="191">
        <v>4.3451173665271101</v>
      </c>
      <c r="M588" s="197">
        <v>5.5891485742523797</v>
      </c>
      <c r="N588" s="198">
        <v>5.0796982603198204</v>
      </c>
      <c r="O588" s="198">
        <v>8.1298455856521894</v>
      </c>
      <c r="P588" s="198">
        <v>8.2261212323064097</v>
      </c>
      <c r="Q588" s="198">
        <v>8.7924265592100497</v>
      </c>
      <c r="R588" s="198">
        <v>6.2287679441285997</v>
      </c>
      <c r="S588" s="198">
        <v>6.3970472335152397</v>
      </c>
      <c r="T588" s="198">
        <v>4.7651970349643102</v>
      </c>
      <c r="U588" s="198">
        <v>5.6549938175768704</v>
      </c>
      <c r="V588" s="198">
        <v>6.1254707697158199</v>
      </c>
      <c r="W588" s="198">
        <v>4.91779022306046</v>
      </c>
      <c r="X588" s="191">
        <v>5.1873904373587303</v>
      </c>
      <c r="Y588" s="198">
        <v>4.1700242100114897</v>
      </c>
      <c r="Z588" s="198" t="s">
        <v>93</v>
      </c>
      <c r="AA588" s="198" t="s">
        <v>93</v>
      </c>
      <c r="AB588" s="198">
        <v>4.5</v>
      </c>
      <c r="AC588" s="198">
        <v>2.7673281454256702</v>
      </c>
      <c r="AD588" s="198">
        <v>4.6490306573026601</v>
      </c>
      <c r="AE588" s="199" t="s">
        <v>207</v>
      </c>
    </row>
    <row r="589" spans="2:31">
      <c r="B589" s="369">
        <v>43840</v>
      </c>
      <c r="C589" s="197"/>
      <c r="E589" s="198"/>
      <c r="F589" s="198"/>
      <c r="G589" s="198"/>
      <c r="H589" s="198"/>
      <c r="I589" s="198"/>
      <c r="J589" s="198"/>
      <c r="K589" s="198"/>
      <c r="L589" s="191"/>
      <c r="M589" s="197"/>
      <c r="N589" s="198"/>
      <c r="O589" s="198"/>
      <c r="P589" s="198"/>
      <c r="Q589" s="198"/>
      <c r="R589" s="198"/>
      <c r="S589" s="198"/>
      <c r="T589" s="198"/>
      <c r="U589" s="198"/>
      <c r="V589" s="198"/>
      <c r="W589" s="198"/>
      <c r="X589" s="191"/>
      <c r="Y589" s="197"/>
      <c r="Z589" s="198"/>
      <c r="AA589" s="198"/>
      <c r="AB589" s="198"/>
      <c r="AC589" s="198"/>
      <c r="AD589" s="191"/>
      <c r="AE589" s="374">
        <v>43840</v>
      </c>
    </row>
    <row r="590" spans="2:31">
      <c r="B590" s="368" t="s">
        <v>184</v>
      </c>
      <c r="C590" s="197">
        <v>8.4552602819158995</v>
      </c>
      <c r="D590" s="198">
        <v>5.5673585950654703</v>
      </c>
      <c r="E590" s="198">
        <v>8.9541909591081392</v>
      </c>
      <c r="F590" s="198">
        <v>6.0271361621924502</v>
      </c>
      <c r="G590" s="198">
        <v>5.2534059544068796</v>
      </c>
      <c r="H590" s="198">
        <v>8.5792546230538704</v>
      </c>
      <c r="I590" s="198">
        <v>5.1734765107306799</v>
      </c>
      <c r="J590" s="198">
        <v>8.5331729290733094</v>
      </c>
      <c r="K590" s="198">
        <v>8.6912964920594291</v>
      </c>
      <c r="L590" s="191">
        <v>9.1289993816066008</v>
      </c>
      <c r="M590" s="197">
        <v>13.688810182492301</v>
      </c>
      <c r="N590" s="198">
        <v>8.8046663082494607</v>
      </c>
      <c r="O590" s="198">
        <v>16.305835739132199</v>
      </c>
      <c r="P590" s="198">
        <v>8.8283992317211393</v>
      </c>
      <c r="Q590" s="198">
        <v>12.5151856978749</v>
      </c>
      <c r="R590" s="198">
        <v>12.253319113727599</v>
      </c>
      <c r="S590" s="198">
        <v>12.9346827194481</v>
      </c>
      <c r="T590" s="198">
        <v>17.2024029224727</v>
      </c>
      <c r="U590" s="198">
        <v>16.175574345186501</v>
      </c>
      <c r="V590" s="198">
        <v>18.004515254862302</v>
      </c>
      <c r="W590" s="198">
        <v>6.6905435683692804</v>
      </c>
      <c r="X590" s="191">
        <v>6.92222277920912</v>
      </c>
      <c r="Y590" s="198">
        <v>9.1792986535629506</v>
      </c>
      <c r="Z590" s="198" t="s">
        <v>93</v>
      </c>
      <c r="AA590" s="198" t="s">
        <v>93</v>
      </c>
      <c r="AB590" s="198">
        <v>11</v>
      </c>
      <c r="AC590" s="198">
        <v>8.7899999999999991</v>
      </c>
      <c r="AD590" s="198">
        <v>6.8487443471567397</v>
      </c>
      <c r="AE590" s="199" t="s">
        <v>350</v>
      </c>
    </row>
    <row r="591" spans="2:31">
      <c r="B591" s="368" t="s">
        <v>351</v>
      </c>
      <c r="C591" s="197">
        <v>1.74108179097676</v>
      </c>
      <c r="D591" s="198">
        <v>1.11116307579248</v>
      </c>
      <c r="E591" s="198">
        <v>2.0953665853832102</v>
      </c>
      <c r="F591" s="198">
        <v>0.402844082266201</v>
      </c>
      <c r="G591" s="198">
        <v>2.1897615699805901</v>
      </c>
      <c r="H591" s="198">
        <v>1.4492848866891299</v>
      </c>
      <c r="I591" s="198">
        <v>1.7446612329075299</v>
      </c>
      <c r="J591" s="198">
        <v>1.0607076996250999</v>
      </c>
      <c r="K591" s="198">
        <v>1.9717847439405201</v>
      </c>
      <c r="L591" s="191">
        <v>4.3748408992406196</v>
      </c>
      <c r="M591" s="197">
        <v>5.5356522942479103</v>
      </c>
      <c r="N591" s="198">
        <v>5.0462430237279499</v>
      </c>
      <c r="O591" s="198">
        <v>8.0186755399721097</v>
      </c>
      <c r="P591" s="198">
        <v>8.2030869459959508</v>
      </c>
      <c r="Q591" s="198">
        <v>9.4919152664193192</v>
      </c>
      <c r="R591" s="198">
        <v>6.1099807040807903</v>
      </c>
      <c r="S591" s="198">
        <v>6.1754340410269801</v>
      </c>
      <c r="T591" s="198">
        <v>4.9011370025043997</v>
      </c>
      <c r="U591" s="198">
        <v>5.62177076629286</v>
      </c>
      <c r="V591" s="198">
        <v>5.97217038500066</v>
      </c>
      <c r="W591" s="198">
        <v>4.8372682474290496</v>
      </c>
      <c r="X591" s="191">
        <v>5.1884053223943898</v>
      </c>
      <c r="Y591" s="198">
        <v>4.1722913017980101</v>
      </c>
      <c r="Z591" s="198" t="s">
        <v>93</v>
      </c>
      <c r="AA591" s="198" t="s">
        <v>93</v>
      </c>
      <c r="AB591" s="198">
        <v>4.5</v>
      </c>
      <c r="AC591" s="198">
        <v>2.7703449556700499</v>
      </c>
      <c r="AD591" s="198">
        <v>4.6534554375694297</v>
      </c>
      <c r="AE591" s="199" t="s">
        <v>207</v>
      </c>
    </row>
    <row r="592" spans="2:31">
      <c r="B592" s="374">
        <v>43841</v>
      </c>
      <c r="C592" s="198"/>
      <c r="E592" s="198"/>
      <c r="F592" s="198"/>
      <c r="G592" s="198"/>
      <c r="H592" s="198"/>
      <c r="I592" s="198"/>
      <c r="J592" s="198"/>
      <c r="K592" s="198"/>
      <c r="L592" s="191"/>
      <c r="M592" s="198"/>
      <c r="N592" s="198"/>
      <c r="O592" s="198"/>
      <c r="P592" s="198"/>
      <c r="Q592" s="198"/>
      <c r="R592" s="198"/>
      <c r="S592" s="198"/>
      <c r="T592" s="198"/>
      <c r="U592" s="198"/>
      <c r="V592" s="198"/>
      <c r="W592" s="198"/>
      <c r="X592" s="191"/>
      <c r="Y592" s="198"/>
      <c r="Z592" s="198"/>
      <c r="AA592" s="198"/>
      <c r="AB592" s="198"/>
      <c r="AC592" s="198"/>
      <c r="AD592" s="191"/>
      <c r="AE592" s="374">
        <v>43841</v>
      </c>
    </row>
    <row r="593" spans="2:32">
      <c r="B593" s="199" t="s">
        <v>184</v>
      </c>
      <c r="C593" s="198">
        <v>8.4248088996577604</v>
      </c>
      <c r="D593" s="198">
        <v>4.9825950302726003</v>
      </c>
      <c r="E593" s="198">
        <v>8.8759757609061403</v>
      </c>
      <c r="F593" s="210">
        <v>5.6685983271588398</v>
      </c>
      <c r="G593" s="198">
        <v>5.7723935288362203</v>
      </c>
      <c r="H593" s="210">
        <v>6.5974439740815702</v>
      </c>
      <c r="I593" s="198">
        <v>6.2660172178865299</v>
      </c>
      <c r="J593" s="198">
        <v>8.5449541791879398</v>
      </c>
      <c r="K593" s="198">
        <v>8.4564743624725907</v>
      </c>
      <c r="L593" s="191">
        <v>9.0794239514447792</v>
      </c>
      <c r="M593" s="198">
        <v>13.6043675595316</v>
      </c>
      <c r="N593" s="210">
        <v>8.7964019349491007</v>
      </c>
      <c r="O593" s="198">
        <v>16.2143610670478</v>
      </c>
      <c r="P593" s="198">
        <v>9.6366761511352905</v>
      </c>
      <c r="Q593" s="198">
        <v>12.1763002001841</v>
      </c>
      <c r="R593" s="198">
        <v>11.7873192647849</v>
      </c>
      <c r="S593" s="198">
        <v>12.733741764515001</v>
      </c>
      <c r="T593" s="198">
        <v>17.0557691730952</v>
      </c>
      <c r="U593" s="198">
        <v>16.047006548637999</v>
      </c>
      <c r="V593" s="198">
        <v>17.9093490120665</v>
      </c>
      <c r="W593" s="198">
        <v>6.7964927110864002</v>
      </c>
      <c r="X593" s="191">
        <v>6.9262080916725699</v>
      </c>
      <c r="Y593" s="210">
        <v>8.2775927962431997</v>
      </c>
      <c r="Z593" s="198" t="s">
        <v>93</v>
      </c>
      <c r="AA593" s="198" t="s">
        <v>93</v>
      </c>
      <c r="AB593" s="198" t="s">
        <v>93</v>
      </c>
      <c r="AC593" s="198">
        <v>8.7899999999999991</v>
      </c>
      <c r="AD593" s="191">
        <v>6.8487443471567397</v>
      </c>
      <c r="AE593" s="199" t="s">
        <v>350</v>
      </c>
    </row>
    <row r="594" spans="2:32">
      <c r="B594" s="199" t="s">
        <v>351</v>
      </c>
      <c r="C594" s="198">
        <v>1.7147049164663</v>
      </c>
      <c r="D594" s="198">
        <v>1.06580441328352</v>
      </c>
      <c r="E594" s="198">
        <v>2.1037491081329902</v>
      </c>
      <c r="F594" s="198">
        <v>0.71426459888952698</v>
      </c>
      <c r="G594" s="198">
        <v>1.9172721955326699</v>
      </c>
      <c r="H594" s="198">
        <v>1.4395997323330101</v>
      </c>
      <c r="I594" s="198">
        <v>1.6297016551571399</v>
      </c>
      <c r="J594" s="198">
        <v>1.0463537883310701</v>
      </c>
      <c r="K594" s="198">
        <v>1.91281038698969</v>
      </c>
      <c r="L594" s="191">
        <v>4.4338188503267597</v>
      </c>
      <c r="M594" s="198">
        <v>5.3922936818449596</v>
      </c>
      <c r="N594" s="198">
        <v>5.0149979343178703</v>
      </c>
      <c r="O594" s="198">
        <v>7.4059049663367702</v>
      </c>
      <c r="P594" s="198">
        <v>8.3644985353481207</v>
      </c>
      <c r="Q594" s="198">
        <v>8.5190620334924692</v>
      </c>
      <c r="R594" s="198">
        <v>6.02680927911008</v>
      </c>
      <c r="S594" s="198">
        <v>6.3838120074231304</v>
      </c>
      <c r="T594" s="198">
        <v>4.8609554058245896</v>
      </c>
      <c r="U594" s="198">
        <v>5.3337454126781001</v>
      </c>
      <c r="V594" s="198">
        <v>5.8003108951728501</v>
      </c>
      <c r="W594" s="198">
        <v>4.8217659470725902</v>
      </c>
      <c r="X594" s="191">
        <v>5.2060747567441199</v>
      </c>
      <c r="Y594" s="198">
        <v>4.9166666666666696</v>
      </c>
      <c r="Z594" s="198" t="s">
        <v>93</v>
      </c>
      <c r="AA594" s="198" t="s">
        <v>93</v>
      </c>
      <c r="AB594" s="198">
        <v>4.5</v>
      </c>
      <c r="AC594" s="198" t="s">
        <v>93</v>
      </c>
      <c r="AD594" s="191">
        <v>5</v>
      </c>
      <c r="AE594" s="199" t="s">
        <v>207</v>
      </c>
    </row>
    <row r="595" spans="2:32">
      <c r="B595" s="374">
        <v>43842</v>
      </c>
      <c r="C595" s="198"/>
      <c r="E595" s="198"/>
      <c r="F595" s="198"/>
      <c r="G595" s="198"/>
      <c r="H595" s="198"/>
      <c r="I595" s="198"/>
      <c r="J595" s="198"/>
      <c r="K595" s="198"/>
      <c r="L595" s="191"/>
      <c r="M595" s="198"/>
      <c r="N595" s="198"/>
      <c r="O595" s="198"/>
      <c r="P595" s="198"/>
      <c r="Q595" s="198"/>
      <c r="R595" s="198"/>
      <c r="S595" s="198"/>
      <c r="T595" s="198"/>
      <c r="U595" s="198"/>
      <c r="V595" s="198"/>
      <c r="W595" s="198"/>
      <c r="X595" s="191"/>
      <c r="Y595" s="198"/>
      <c r="Z595" s="198"/>
      <c r="AA595" s="198"/>
      <c r="AB595" s="198"/>
      <c r="AC595" s="198"/>
      <c r="AD595" s="191"/>
      <c r="AE595" s="374">
        <v>43842</v>
      </c>
    </row>
    <row r="596" spans="2:32">
      <c r="B596" s="199" t="s">
        <v>184</v>
      </c>
      <c r="C596" s="198">
        <v>8.5495751109839198</v>
      </c>
      <c r="D596" s="198">
        <v>6.2542879798381401</v>
      </c>
      <c r="E596" s="198">
        <v>9.0099460527382291</v>
      </c>
      <c r="F596" s="210">
        <v>4.0590551777484096</v>
      </c>
      <c r="G596" s="210">
        <v>5.4276193901916399</v>
      </c>
      <c r="H596" s="210">
        <v>8.4848226566009206</v>
      </c>
      <c r="I596" s="198">
        <v>6.2704023323256397</v>
      </c>
      <c r="J596" s="198">
        <v>8.5945541169377204</v>
      </c>
      <c r="K596" s="198">
        <v>8.6507689354048498</v>
      </c>
      <c r="L596" s="191">
        <v>9.0272089681325305</v>
      </c>
      <c r="M596" s="198">
        <v>13.670802410910699</v>
      </c>
      <c r="N596" s="210">
        <v>9.1441873085030192</v>
      </c>
      <c r="O596" s="198">
        <v>16.1447568381334</v>
      </c>
      <c r="P596" s="198">
        <v>9.4250477176183693</v>
      </c>
      <c r="Q596" s="198">
        <v>11.6773595303116</v>
      </c>
      <c r="R596" s="198">
        <v>11.290770994239001</v>
      </c>
      <c r="S596" s="198">
        <v>12.685764694157999</v>
      </c>
      <c r="T596" s="198">
        <v>16.809529236800199</v>
      </c>
      <c r="U596" s="198">
        <v>16.587426237853698</v>
      </c>
      <c r="V596" s="198">
        <v>17.833157707660199</v>
      </c>
      <c r="W596" s="198">
        <v>6.7221503129738398</v>
      </c>
      <c r="X596" s="191">
        <v>6.9389681957773899</v>
      </c>
      <c r="Y596" s="210">
        <v>7.9982402446709804</v>
      </c>
      <c r="Z596" s="198">
        <v>6.01</v>
      </c>
      <c r="AA596" s="198" t="s">
        <v>93</v>
      </c>
      <c r="AB596" s="198" t="s">
        <v>93</v>
      </c>
      <c r="AC596" s="198">
        <v>8.8699999999999992</v>
      </c>
      <c r="AD596" s="191">
        <v>6.8487443471567397</v>
      </c>
      <c r="AE596" s="199" t="s">
        <v>350</v>
      </c>
    </row>
    <row r="597" spans="2:32">
      <c r="B597" s="405" t="s">
        <v>351</v>
      </c>
      <c r="C597" s="198">
        <v>1.7492535530854401</v>
      </c>
      <c r="D597" s="198">
        <v>1.0656660882931099</v>
      </c>
      <c r="E597" s="198">
        <v>2.1745946100846401</v>
      </c>
      <c r="F597" s="198">
        <v>0.20267771451809699</v>
      </c>
      <c r="G597" s="198">
        <v>1.3762779955489499</v>
      </c>
      <c r="H597" s="198">
        <v>1.0507212559794099</v>
      </c>
      <c r="I597" s="198">
        <v>1.4528220451673499</v>
      </c>
      <c r="J597" s="198">
        <v>1.0622104667837899</v>
      </c>
      <c r="K597" s="198">
        <v>2.0005521116115101</v>
      </c>
      <c r="L597" s="198">
        <v>4.4306731734427203</v>
      </c>
      <c r="M597" s="197">
        <v>5.3028692806492801</v>
      </c>
      <c r="N597" s="198">
        <v>5.0049955864506002</v>
      </c>
      <c r="O597" s="198">
        <v>6.9532698618323803</v>
      </c>
      <c r="P597" s="198">
        <v>8.0957440068888094</v>
      </c>
      <c r="Q597" s="198">
        <v>8.3575390094979607</v>
      </c>
      <c r="R597" s="198">
        <v>5.7747121812967999</v>
      </c>
      <c r="S597" s="198">
        <v>6.4576006031649102</v>
      </c>
      <c r="T597" s="198">
        <v>4.8290329447217299</v>
      </c>
      <c r="U597" s="198">
        <v>5.3827451650074796</v>
      </c>
      <c r="V597" s="198">
        <v>5.5634728820555797</v>
      </c>
      <c r="W597" s="198">
        <v>4.7813221290836001</v>
      </c>
      <c r="X597" s="198">
        <v>5.2446041458997898</v>
      </c>
      <c r="Y597" s="197">
        <v>5</v>
      </c>
      <c r="Z597" s="198" t="s">
        <v>93</v>
      </c>
      <c r="AA597" s="198" t="s">
        <v>93</v>
      </c>
      <c r="AB597" s="198" t="s">
        <v>93</v>
      </c>
      <c r="AC597" s="198" t="s">
        <v>93</v>
      </c>
      <c r="AD597" s="198">
        <v>5</v>
      </c>
      <c r="AE597" s="410" t="s">
        <v>207</v>
      </c>
      <c r="AF597" s="200"/>
    </row>
    <row r="598" spans="2:32">
      <c r="B598" s="374">
        <v>44197</v>
      </c>
      <c r="C598" s="198"/>
      <c r="D598" s="198"/>
      <c r="E598" s="198"/>
      <c r="F598" s="198"/>
      <c r="G598" s="198"/>
      <c r="H598" s="198"/>
      <c r="I598" s="198"/>
      <c r="J598" s="198"/>
      <c r="K598" s="198"/>
      <c r="L598" s="191"/>
      <c r="M598" s="198"/>
      <c r="N598" s="198"/>
      <c r="O598" s="198"/>
      <c r="P598" s="198"/>
      <c r="Q598" s="198"/>
      <c r="R598" s="198"/>
      <c r="S598" s="198"/>
      <c r="T598" s="198"/>
      <c r="U598" s="198"/>
      <c r="V598" s="198"/>
      <c r="W598" s="198"/>
      <c r="X598" s="191"/>
      <c r="Y598" s="198"/>
      <c r="Z598" s="198"/>
      <c r="AA598" s="198"/>
      <c r="AB598" s="198"/>
      <c r="AC598" s="198"/>
      <c r="AD598" s="191"/>
      <c r="AE598" s="374">
        <v>44197</v>
      </c>
    </row>
    <row r="599" spans="2:32">
      <c r="B599" s="199" t="s">
        <v>184</v>
      </c>
      <c r="C599" s="198">
        <v>8.6184906431529207</v>
      </c>
      <c r="D599" s="198">
        <v>5.9197146842321304</v>
      </c>
      <c r="E599" s="198">
        <v>8.9950017472229096</v>
      </c>
      <c r="F599" s="198">
        <v>7.39349523046676</v>
      </c>
      <c r="G599" s="198">
        <v>4.75310559885268</v>
      </c>
      <c r="H599" s="198">
        <v>8.9240761294445505</v>
      </c>
      <c r="I599" s="198">
        <v>5.7268732742056603</v>
      </c>
      <c r="J599" s="198">
        <v>8.5938060771878408</v>
      </c>
      <c r="K599" s="198">
        <v>8.8220378656236296</v>
      </c>
      <c r="L599" s="191">
        <v>8.9881273166011297</v>
      </c>
      <c r="M599" s="198">
        <v>13.6861695482852</v>
      </c>
      <c r="N599" s="198">
        <v>9.27444701343369</v>
      </c>
      <c r="O599" s="198">
        <v>16.089823539910999</v>
      </c>
      <c r="P599" s="198">
        <v>10.176229957173099</v>
      </c>
      <c r="Q599" s="198">
        <v>12.492248078945201</v>
      </c>
      <c r="R599" s="198">
        <v>11.193023330012</v>
      </c>
      <c r="S599" s="198">
        <v>12.5951895616053</v>
      </c>
      <c r="T599" s="198">
        <v>16.817424550022199</v>
      </c>
      <c r="U599" s="198">
        <v>16.8136537115519</v>
      </c>
      <c r="V599" s="198">
        <v>17.743095267224799</v>
      </c>
      <c r="W599" s="198">
        <v>6.7612721001391396</v>
      </c>
      <c r="X599" s="191">
        <v>6.9473365267137703</v>
      </c>
      <c r="Y599" s="198">
        <v>8.0377968852274897</v>
      </c>
      <c r="Z599" s="198">
        <v>6.01</v>
      </c>
      <c r="AA599" s="198" t="s">
        <v>93</v>
      </c>
      <c r="AB599" s="198" t="s">
        <v>93</v>
      </c>
      <c r="AC599" s="198">
        <v>8.66</v>
      </c>
      <c r="AD599" s="191">
        <v>6.8487443471567397</v>
      </c>
      <c r="AE599" s="199" t="s">
        <v>350</v>
      </c>
    </row>
    <row r="600" spans="2:32">
      <c r="B600" s="405" t="s">
        <v>351</v>
      </c>
      <c r="C600" s="198">
        <v>1.7106085025992199</v>
      </c>
      <c r="D600" s="198">
        <v>1.0458319558267399</v>
      </c>
      <c r="E600" s="198">
        <v>2.14868175260768</v>
      </c>
      <c r="F600" s="198">
        <v>0.128364755336287</v>
      </c>
      <c r="G600" s="198">
        <v>1.14090988491574</v>
      </c>
      <c r="H600" s="198">
        <v>0.89278086762855202</v>
      </c>
      <c r="I600" s="198">
        <v>0.87588499744468096</v>
      </c>
      <c r="J600" s="198">
        <v>1.03221946446723</v>
      </c>
      <c r="K600" s="198">
        <v>1.99069155580274</v>
      </c>
      <c r="L600" s="191">
        <v>4.3897307523020004</v>
      </c>
      <c r="M600" s="198">
        <v>5.2088016821522301</v>
      </c>
      <c r="N600" s="198">
        <v>4.9757066021814698</v>
      </c>
      <c r="O600" s="198">
        <v>6.5253193855142797</v>
      </c>
      <c r="P600" s="198">
        <v>5.2661492301172501</v>
      </c>
      <c r="Q600" s="210">
        <v>8.3194353568677908</v>
      </c>
      <c r="R600" s="198">
        <v>6.2006413174140098</v>
      </c>
      <c r="S600" s="198">
        <v>6.5269770034503001</v>
      </c>
      <c r="T600" s="198">
        <v>5.6405511197795102</v>
      </c>
      <c r="U600" s="198">
        <v>4.8166879670132303</v>
      </c>
      <c r="V600" s="198">
        <v>5.5021209296311797</v>
      </c>
      <c r="W600" s="198">
        <v>4.7359394864088502</v>
      </c>
      <c r="X600" s="191">
        <v>5.2499571389068098</v>
      </c>
      <c r="Y600" s="198">
        <v>4.0681898380430503</v>
      </c>
      <c r="Z600" s="198" t="s">
        <v>93</v>
      </c>
      <c r="AA600" s="198" t="s">
        <v>93</v>
      </c>
      <c r="AB600" s="198">
        <v>4.5</v>
      </c>
      <c r="AC600" s="198" t="s">
        <v>93</v>
      </c>
      <c r="AD600" s="191">
        <v>5</v>
      </c>
      <c r="AE600" s="199" t="s">
        <v>207</v>
      </c>
    </row>
    <row r="601" spans="2:32">
      <c r="B601" s="374">
        <v>44228</v>
      </c>
      <c r="C601" s="198"/>
      <c r="D601" s="198"/>
      <c r="E601" s="198"/>
      <c r="F601" s="198"/>
      <c r="G601" s="198"/>
      <c r="H601" s="198"/>
      <c r="I601" s="198"/>
      <c r="J601" s="198"/>
      <c r="K601" s="198"/>
      <c r="L601" s="191"/>
      <c r="M601" s="198"/>
      <c r="N601" s="210"/>
      <c r="O601" s="198"/>
      <c r="P601" s="198"/>
      <c r="Q601" s="198"/>
      <c r="R601" s="198"/>
      <c r="S601" s="198"/>
      <c r="T601" s="198"/>
      <c r="U601" s="198"/>
      <c r="V601" s="198"/>
      <c r="W601" s="198"/>
      <c r="X601" s="191"/>
      <c r="Y601" s="198"/>
      <c r="Z601" s="198"/>
      <c r="AA601" s="198"/>
      <c r="AB601" s="198"/>
      <c r="AC601" s="198"/>
      <c r="AD601" s="191"/>
      <c r="AE601" s="374">
        <v>44228</v>
      </c>
    </row>
    <row r="602" spans="2:32">
      <c r="B602" s="199" t="s">
        <v>184</v>
      </c>
      <c r="C602" s="198">
        <v>8.4464034181733805</v>
      </c>
      <c r="D602" s="198">
        <v>5.2832596197895398</v>
      </c>
      <c r="E602" s="198">
        <v>9.0030366838800298</v>
      </c>
      <c r="F602" s="198">
        <v>6.24390849166344</v>
      </c>
      <c r="G602" s="198">
        <v>4.8280064757813399</v>
      </c>
      <c r="H602" s="198">
        <v>8.8524653502268595</v>
      </c>
      <c r="I602" s="198">
        <v>5.2817505628300196</v>
      </c>
      <c r="J602" s="198">
        <v>8.4471979178782792</v>
      </c>
      <c r="K602" s="198">
        <v>8.6576978912288993</v>
      </c>
      <c r="L602" s="191">
        <v>8.8510849334058701</v>
      </c>
      <c r="M602" s="198">
        <v>13.7070807907042</v>
      </c>
      <c r="N602" s="198">
        <v>9.3698452320080694</v>
      </c>
      <c r="O602" s="198">
        <v>16.075380514585799</v>
      </c>
      <c r="P602" s="198">
        <v>9.6727309751186006</v>
      </c>
      <c r="Q602" s="210">
        <v>11.736956772230201</v>
      </c>
      <c r="R602" s="198">
        <v>11.338007827232699</v>
      </c>
      <c r="S602" s="198">
        <v>12.602016002016001</v>
      </c>
      <c r="T602" s="198">
        <v>16.690964498935301</v>
      </c>
      <c r="U602" s="198">
        <v>16.767847516273299</v>
      </c>
      <c r="V602" s="198">
        <v>17.783788191971698</v>
      </c>
      <c r="W602" s="198">
        <v>6.8297939577140001</v>
      </c>
      <c r="X602" s="191">
        <v>6.9532677027127203</v>
      </c>
      <c r="Y602" s="198">
        <v>8.3763888215096607</v>
      </c>
      <c r="Z602" s="198" t="s">
        <v>93</v>
      </c>
      <c r="AA602" s="198" t="s">
        <v>93</v>
      </c>
      <c r="AB602" s="198" t="s">
        <v>93</v>
      </c>
      <c r="AC602" s="198">
        <v>8.66</v>
      </c>
      <c r="AD602" s="411">
        <v>6.8487443471567397</v>
      </c>
      <c r="AE602" s="199" t="s">
        <v>350</v>
      </c>
      <c r="AF602" s="200"/>
    </row>
    <row r="603" spans="2:32">
      <c r="B603" s="405" t="s">
        <v>351</v>
      </c>
      <c r="C603" s="198">
        <v>1.7040236337655399</v>
      </c>
      <c r="D603" s="198">
        <v>1.0380402048730399</v>
      </c>
      <c r="E603" s="198">
        <v>2.15441028545193</v>
      </c>
      <c r="F603" s="198">
        <v>0.196905707917434</v>
      </c>
      <c r="G603" s="198">
        <v>0.99677140489998095</v>
      </c>
      <c r="H603" s="198">
        <v>0.83157261672812399</v>
      </c>
      <c r="I603" s="198">
        <v>0.86695598940838003</v>
      </c>
      <c r="J603" s="198">
        <v>1.0464104382467301</v>
      </c>
      <c r="K603" s="198">
        <v>1.96377948927774</v>
      </c>
      <c r="L603" s="191">
        <v>4.3122400723651602</v>
      </c>
      <c r="M603" s="198">
        <v>5.1685531836404301</v>
      </c>
      <c r="N603" s="198">
        <v>4.9710957381636698</v>
      </c>
      <c r="O603" s="198">
        <v>6.2194043508468404</v>
      </c>
      <c r="P603" s="198">
        <v>3.10038365024102</v>
      </c>
      <c r="Q603" s="198">
        <v>8.0796578459820498</v>
      </c>
      <c r="R603" s="198">
        <v>5.97935906602165</v>
      </c>
      <c r="S603" s="198">
        <v>6.2261011073902397</v>
      </c>
      <c r="T603" s="198">
        <v>5.6372111784148498</v>
      </c>
      <c r="U603" s="198">
        <v>4.9091652120806701</v>
      </c>
      <c r="V603" s="198">
        <v>5.4793078548745404</v>
      </c>
      <c r="W603" s="198">
        <v>4.7293202691035203</v>
      </c>
      <c r="X603" s="191">
        <v>5.2391394208969801</v>
      </c>
      <c r="Y603" s="198">
        <v>4.9166666666666696</v>
      </c>
      <c r="Z603" s="198" t="s">
        <v>93</v>
      </c>
      <c r="AA603" s="198" t="s">
        <v>93</v>
      </c>
      <c r="AB603" s="198">
        <v>4.5</v>
      </c>
      <c r="AC603" s="198" t="s">
        <v>93</v>
      </c>
      <c r="AD603" s="191">
        <v>5</v>
      </c>
      <c r="AE603" s="199" t="s">
        <v>207</v>
      </c>
    </row>
    <row r="604" spans="2:32">
      <c r="B604" s="374">
        <v>44256</v>
      </c>
      <c r="C604" s="198"/>
      <c r="D604" s="198"/>
      <c r="E604" s="198"/>
      <c r="F604" s="198"/>
      <c r="G604" s="198"/>
      <c r="H604" s="198"/>
      <c r="I604" s="198"/>
      <c r="J604" s="198"/>
      <c r="K604" s="198"/>
      <c r="L604" s="191"/>
      <c r="M604" s="198"/>
      <c r="N604" s="198"/>
      <c r="O604" s="198"/>
      <c r="P604" s="198"/>
      <c r="Q604" s="198"/>
      <c r="R604" s="198"/>
      <c r="S604" s="198"/>
      <c r="T604" s="198"/>
      <c r="U604" s="198"/>
      <c r="V604" s="198"/>
      <c r="W604" s="198"/>
      <c r="X604" s="191"/>
      <c r="Y604" s="198"/>
      <c r="Z604" s="198"/>
      <c r="AA604" s="198"/>
      <c r="AB604" s="198"/>
      <c r="AC604" s="198"/>
      <c r="AD604" s="191"/>
      <c r="AE604" s="374">
        <v>44256</v>
      </c>
    </row>
    <row r="605" spans="2:32">
      <c r="B605" s="405" t="s">
        <v>184</v>
      </c>
      <c r="C605" s="198">
        <v>8.6243741779423004</v>
      </c>
      <c r="D605" s="198">
        <v>5.7828781672670404</v>
      </c>
      <c r="E605" s="198">
        <v>9.1363696498089908</v>
      </c>
      <c r="F605" s="198">
        <v>5.9944559782264699</v>
      </c>
      <c r="G605" s="198">
        <v>4.81408533321438</v>
      </c>
      <c r="H605" s="198">
        <v>8.3014118988882704</v>
      </c>
      <c r="I605" s="198">
        <v>4.5405783812240799</v>
      </c>
      <c r="J605" s="198">
        <v>8.6437064526368594</v>
      </c>
      <c r="K605" s="198">
        <v>8.9697927869155301</v>
      </c>
      <c r="L605" s="191">
        <v>8.7205290716905708</v>
      </c>
      <c r="M605" s="198">
        <v>13.746083103206001</v>
      </c>
      <c r="N605" s="198">
        <v>9.4046587595048603</v>
      </c>
      <c r="O605" s="198">
        <v>16.104118332854402</v>
      </c>
      <c r="P605" s="198">
        <v>9.3750243280596308</v>
      </c>
      <c r="Q605" s="198">
        <v>11.193669382277699</v>
      </c>
      <c r="R605" s="198">
        <v>11.341570137766499</v>
      </c>
      <c r="S605" s="198">
        <v>12.574356066523199</v>
      </c>
      <c r="T605" s="198">
        <v>16.391982256656402</v>
      </c>
      <c r="U605" s="198">
        <v>16.8332686926022</v>
      </c>
      <c r="V605" s="198">
        <v>17.929738140687601</v>
      </c>
      <c r="W605" s="198">
        <v>6.9092666294686502</v>
      </c>
      <c r="X605" s="191">
        <v>7.0004759051026104</v>
      </c>
      <c r="Y605" s="198">
        <v>8.36795507276946</v>
      </c>
      <c r="Z605" s="198" t="s">
        <v>93</v>
      </c>
      <c r="AA605" s="198" t="s">
        <v>93</v>
      </c>
      <c r="AB605" s="198" t="s">
        <v>93</v>
      </c>
      <c r="AC605" s="198">
        <v>8.65</v>
      </c>
      <c r="AD605" s="191">
        <v>6.8487443471567397</v>
      </c>
      <c r="AE605" s="199" t="s">
        <v>350</v>
      </c>
    </row>
    <row r="606" spans="2:32">
      <c r="B606" s="405" t="s">
        <v>351</v>
      </c>
      <c r="C606" s="198">
        <v>1.7567817144660001</v>
      </c>
      <c r="D606" s="198">
        <v>1.1553023843207</v>
      </c>
      <c r="E606" s="198">
        <v>2.1465960970203102</v>
      </c>
      <c r="F606" s="198">
        <v>0.213230683374765</v>
      </c>
      <c r="G606" s="198">
        <v>0.995458781328178</v>
      </c>
      <c r="H606" s="198">
        <v>0.67650628366718601</v>
      </c>
      <c r="I606" s="198">
        <v>0.90004561941260897</v>
      </c>
      <c r="J606" s="198">
        <v>1.0767445868726899</v>
      </c>
      <c r="K606" s="198">
        <v>2.01317169262816</v>
      </c>
      <c r="L606" s="191">
        <v>4.2017198998023799</v>
      </c>
      <c r="M606" s="198">
        <v>5.1750981234222202</v>
      </c>
      <c r="N606" s="198">
        <v>4.9318088350859197</v>
      </c>
      <c r="O606" s="198">
        <v>6.6728249736438796</v>
      </c>
      <c r="P606" s="198">
        <v>7.52640817695523</v>
      </c>
      <c r="Q606" s="198">
        <v>7.3839838912792501</v>
      </c>
      <c r="R606" s="198">
        <v>5.9720619508078601</v>
      </c>
      <c r="S606" s="198">
        <v>5.94400194925388</v>
      </c>
      <c r="T606" s="198">
        <v>5.6629809430117204</v>
      </c>
      <c r="U606" s="198">
        <v>4.8506951946114603</v>
      </c>
      <c r="V606" s="198">
        <v>5.3915535118986897</v>
      </c>
      <c r="W606" s="198">
        <v>4.7149409435027696</v>
      </c>
      <c r="X606" s="191">
        <v>5.2519536465625496</v>
      </c>
      <c r="Y606" s="198">
        <v>4.9097543176842597</v>
      </c>
      <c r="Z606" s="198" t="s">
        <v>93</v>
      </c>
      <c r="AA606" s="198" t="s">
        <v>93</v>
      </c>
      <c r="AB606" s="198">
        <v>4.5</v>
      </c>
      <c r="AC606" s="198">
        <v>4</v>
      </c>
      <c r="AD606" s="191">
        <v>5</v>
      </c>
      <c r="AE606" s="199" t="s">
        <v>207</v>
      </c>
    </row>
    <row r="607" spans="2:32">
      <c r="B607" s="374">
        <v>44287</v>
      </c>
      <c r="C607" s="198"/>
      <c r="D607" s="198"/>
      <c r="E607" s="198"/>
      <c r="F607" s="198"/>
      <c r="G607" s="198"/>
      <c r="H607" s="198"/>
      <c r="I607" s="198"/>
      <c r="J607" s="198"/>
      <c r="K607" s="198"/>
      <c r="L607" s="191"/>
      <c r="M607" s="198"/>
      <c r="N607" s="198"/>
      <c r="O607" s="198"/>
      <c r="P607" s="198"/>
      <c r="Q607" s="198"/>
      <c r="R607" s="198"/>
      <c r="S607" s="198"/>
      <c r="T607" s="198"/>
      <c r="U607" s="198"/>
      <c r="V607" s="198"/>
      <c r="W607" s="198"/>
      <c r="X607" s="191"/>
      <c r="Y607" s="198"/>
      <c r="Z607" s="198"/>
      <c r="AA607" s="198"/>
      <c r="AB607" s="198"/>
      <c r="AC607" s="198"/>
      <c r="AD607" s="191"/>
      <c r="AE607" s="374">
        <v>44287</v>
      </c>
    </row>
    <row r="608" spans="2:32">
      <c r="B608" s="405" t="s">
        <v>184</v>
      </c>
      <c r="C608" s="198">
        <v>8.5450535887271997</v>
      </c>
      <c r="D608" s="198">
        <v>5.7575904795127997</v>
      </c>
      <c r="E608" s="198">
        <v>9.0649526850212307</v>
      </c>
      <c r="F608" s="198">
        <v>5.0364147640236299</v>
      </c>
      <c r="G608" s="198">
        <v>3.6413774470373999</v>
      </c>
      <c r="H608" s="198">
        <v>7.8105827766158296</v>
      </c>
      <c r="I608" s="198">
        <v>4.0650918060381001</v>
      </c>
      <c r="J608" s="198">
        <v>8.6565645294752898</v>
      </c>
      <c r="K608" s="198">
        <v>8.7900641590995701</v>
      </c>
      <c r="L608" s="191">
        <v>8.6323659003721591</v>
      </c>
      <c r="M608" s="198">
        <v>13.8152474944816</v>
      </c>
      <c r="N608" s="198">
        <v>9.7053868126368208</v>
      </c>
      <c r="O608" s="198">
        <v>16.0413289235346</v>
      </c>
      <c r="P608" s="198">
        <v>9.7266885553470903</v>
      </c>
      <c r="Q608" s="198">
        <v>11.4902825224887</v>
      </c>
      <c r="R608" s="198">
        <v>11.7178342742337</v>
      </c>
      <c r="S608" s="198">
        <v>12.168399768241599</v>
      </c>
      <c r="T608" s="198">
        <v>16.3075194646702</v>
      </c>
      <c r="U608" s="198">
        <v>17.0638939546348</v>
      </c>
      <c r="V608" s="198">
        <v>17.883725488489201</v>
      </c>
      <c r="W608" s="198">
        <v>7.0064492847260702</v>
      </c>
      <c r="X608" s="191">
        <v>6.9217580809889299</v>
      </c>
      <c r="Y608" s="198">
        <v>8.2367897887427208</v>
      </c>
      <c r="Z608" s="198" t="s">
        <v>93</v>
      </c>
      <c r="AA608" s="198" t="s">
        <v>93</v>
      </c>
      <c r="AB608" s="198" t="s">
        <v>93</v>
      </c>
      <c r="AC608" s="198">
        <v>8.52</v>
      </c>
      <c r="AD608" s="191">
        <v>6.8487443471567397</v>
      </c>
      <c r="AE608" s="199" t="s">
        <v>350</v>
      </c>
    </row>
    <row r="609" spans="2:32">
      <c r="B609" s="405" t="s">
        <v>351</v>
      </c>
      <c r="C609" s="198">
        <v>1.7089839230084101</v>
      </c>
      <c r="D609" s="198">
        <v>1.0657250522674799</v>
      </c>
      <c r="E609" s="198">
        <v>2.1449717586211801</v>
      </c>
      <c r="F609" s="198">
        <v>0.145928952093865</v>
      </c>
      <c r="G609" s="198">
        <v>0.70688070312824502</v>
      </c>
      <c r="H609" s="198">
        <v>1.1024593683178501</v>
      </c>
      <c r="I609" s="198">
        <v>0.71998537670307305</v>
      </c>
      <c r="J609" s="198">
        <v>1.04933828143643</v>
      </c>
      <c r="K609" s="198">
        <v>1.9511421916442799</v>
      </c>
      <c r="L609" s="191">
        <v>4.2709808198751302</v>
      </c>
      <c r="M609" s="198">
        <v>5.10628279299398</v>
      </c>
      <c r="N609" s="198">
        <v>4.9193360989931803</v>
      </c>
      <c r="O609" s="198">
        <v>6.2675426952799098</v>
      </c>
      <c r="P609" s="198">
        <v>7.9428803336849203</v>
      </c>
      <c r="Q609" s="198">
        <v>7.2852310921709202</v>
      </c>
      <c r="R609" s="198">
        <v>5.9525442576707901</v>
      </c>
      <c r="S609" s="198">
        <v>5.3778264084614902</v>
      </c>
      <c r="T609" s="198">
        <v>5.6484351318915103</v>
      </c>
      <c r="U609" s="198">
        <v>4.8407268636766396</v>
      </c>
      <c r="V609" s="198">
        <v>5.1989191614457697</v>
      </c>
      <c r="W609" s="198">
        <v>4.7659022369044202</v>
      </c>
      <c r="X609" s="191">
        <v>5.2588135697802496</v>
      </c>
      <c r="Y609" s="198">
        <v>4.9776576472956302</v>
      </c>
      <c r="Z609" s="198" t="s">
        <v>93</v>
      </c>
      <c r="AA609" s="198" t="s">
        <v>93</v>
      </c>
      <c r="AB609" s="198" t="s">
        <v>93</v>
      </c>
      <c r="AC609" s="198">
        <v>4</v>
      </c>
      <c r="AD609" s="191">
        <v>5</v>
      </c>
      <c r="AE609" s="199" t="s">
        <v>207</v>
      </c>
    </row>
    <row r="610" spans="2:32">
      <c r="B610" s="374">
        <v>44317</v>
      </c>
      <c r="C610" s="198"/>
      <c r="D610" s="198"/>
      <c r="E610" s="198"/>
      <c r="F610" s="198"/>
      <c r="G610" s="198"/>
      <c r="H610" s="198"/>
      <c r="I610" s="198"/>
      <c r="J610" s="198"/>
      <c r="K610" s="198"/>
      <c r="L610" s="191"/>
      <c r="M610" s="198"/>
      <c r="N610" s="210"/>
      <c r="O610" s="198"/>
      <c r="P610" s="198"/>
      <c r="Q610" s="198"/>
      <c r="R610" s="198"/>
      <c r="S610" s="198"/>
      <c r="T610" s="198"/>
      <c r="U610" s="198"/>
      <c r="V610" s="198"/>
      <c r="W610" s="198"/>
      <c r="X610" s="191"/>
      <c r="Y610" s="198"/>
      <c r="Z610" s="198"/>
      <c r="AA610" s="198"/>
      <c r="AB610" s="198"/>
      <c r="AC610" s="198"/>
      <c r="AD610" s="191"/>
      <c r="AE610" s="374">
        <v>44317</v>
      </c>
    </row>
    <row r="611" spans="2:32">
      <c r="B611" s="405" t="s">
        <v>184</v>
      </c>
      <c r="C611" s="198">
        <v>8.5117038352128294</v>
      </c>
      <c r="D611" s="198">
        <v>5.1536050332865502</v>
      </c>
      <c r="E611" s="198">
        <v>9.0879180496813099</v>
      </c>
      <c r="F611" s="198">
        <v>4.6754406395568404</v>
      </c>
      <c r="G611" s="198">
        <v>2.5905064185725499</v>
      </c>
      <c r="H611" s="198">
        <v>5.2431812075686004</v>
      </c>
      <c r="I611" s="198">
        <v>3.9556877837883802</v>
      </c>
      <c r="J611" s="198">
        <v>8.6905894396753904</v>
      </c>
      <c r="K611" s="198">
        <v>8.7619551954052195</v>
      </c>
      <c r="L611" s="191">
        <v>9.4325808682500298</v>
      </c>
      <c r="M611" s="198">
        <v>13.862310752869201</v>
      </c>
      <c r="N611" s="198">
        <v>9.7160898326826004</v>
      </c>
      <c r="O611" s="198">
        <v>16.101580812450699</v>
      </c>
      <c r="P611" s="198">
        <v>9.4432156747862095</v>
      </c>
      <c r="Q611" s="210">
        <v>11.1293714294802</v>
      </c>
      <c r="R611" s="198">
        <v>11.8063171972675</v>
      </c>
      <c r="S611" s="198">
        <v>10.5008659773469</v>
      </c>
      <c r="T611" s="198">
        <v>16.361513715608599</v>
      </c>
      <c r="U611" s="198">
        <v>17.0816274635092</v>
      </c>
      <c r="V611" s="198">
        <v>17.8792472082906</v>
      </c>
      <c r="W611" s="198">
        <v>7.0297263863840396</v>
      </c>
      <c r="X611" s="191">
        <v>6.8962676022189502</v>
      </c>
      <c r="Y611" s="198">
        <v>8.3008867089188403</v>
      </c>
      <c r="Z611" s="198" t="s">
        <v>93</v>
      </c>
      <c r="AA611" s="198" t="s">
        <v>93</v>
      </c>
      <c r="AB611" s="198" t="s">
        <v>93</v>
      </c>
      <c r="AC611" s="198">
        <v>8.57</v>
      </c>
      <c r="AD611" s="411">
        <v>6.8487443471567397</v>
      </c>
      <c r="AE611" s="199" t="s">
        <v>350</v>
      </c>
      <c r="AF611" s="200"/>
    </row>
    <row r="612" spans="2:32">
      <c r="B612" s="405" t="s">
        <v>351</v>
      </c>
      <c r="C612" s="198">
        <v>1.6145506258825699</v>
      </c>
      <c r="D612" s="198">
        <v>1.06457717758879</v>
      </c>
      <c r="E612" s="198">
        <v>1.9933694944818801</v>
      </c>
      <c r="F612" s="198">
        <v>0.35949703454790399</v>
      </c>
      <c r="G612" s="198">
        <v>0.95786001495015605</v>
      </c>
      <c r="H612" s="198">
        <v>0.99755507281132205</v>
      </c>
      <c r="I612" s="198">
        <v>1.5720962030173</v>
      </c>
      <c r="J612" s="198">
        <v>1.0035158895839</v>
      </c>
      <c r="K612" s="198">
        <v>1.83856831384498</v>
      </c>
      <c r="L612" s="191">
        <v>4.3592590057410501</v>
      </c>
      <c r="M612" s="198">
        <v>5.0220964006079702</v>
      </c>
      <c r="N612" s="198">
        <v>4.8386487348920797</v>
      </c>
      <c r="O612" s="198">
        <v>6.1588921765931399</v>
      </c>
      <c r="P612" s="198">
        <v>8.5189742444068592</v>
      </c>
      <c r="Q612" s="198">
        <v>7.0289803510141198</v>
      </c>
      <c r="R612" s="198">
        <v>5.8853202729551199</v>
      </c>
      <c r="S612" s="198">
        <v>5.3320602610269097</v>
      </c>
      <c r="T612" s="198">
        <v>5.5136736179646002</v>
      </c>
      <c r="U612" s="198">
        <v>4.9196822279512302</v>
      </c>
      <c r="V612" s="198">
        <v>4.9776232518498498</v>
      </c>
      <c r="W612" s="198">
        <v>4.7700689465356296</v>
      </c>
      <c r="X612" s="191">
        <v>5.2497889191874103</v>
      </c>
      <c r="Y612" s="198">
        <v>4.9768823661240198</v>
      </c>
      <c r="Z612" s="198" t="s">
        <v>93</v>
      </c>
      <c r="AA612" s="198" t="s">
        <v>93</v>
      </c>
      <c r="AB612" s="198" t="s">
        <v>93</v>
      </c>
      <c r="AC612" s="198">
        <v>4</v>
      </c>
      <c r="AD612" s="191">
        <v>5</v>
      </c>
      <c r="AE612" s="199" t="s">
        <v>207</v>
      </c>
    </row>
    <row r="613" spans="2:32">
      <c r="B613" s="374">
        <v>44348</v>
      </c>
      <c r="C613" s="198"/>
      <c r="D613" s="198"/>
      <c r="E613" s="198"/>
      <c r="F613" s="198"/>
      <c r="G613" s="198"/>
      <c r="H613" s="198"/>
      <c r="I613" s="198"/>
      <c r="J613" s="198"/>
      <c r="K613" s="198"/>
      <c r="L613" s="191"/>
      <c r="M613" s="198"/>
      <c r="N613" s="210"/>
      <c r="O613" s="198"/>
      <c r="P613" s="198"/>
      <c r="Q613" s="198"/>
      <c r="R613" s="198"/>
      <c r="S613" s="198"/>
      <c r="T613" s="198"/>
      <c r="U613" s="198"/>
      <c r="V613" s="198"/>
      <c r="W613" s="198"/>
      <c r="X613" s="191"/>
      <c r="Y613" s="198"/>
      <c r="Z613" s="198"/>
      <c r="AA613" s="198"/>
      <c r="AB613" s="198"/>
      <c r="AC613" s="198"/>
      <c r="AD613" s="191"/>
      <c r="AE613" s="374">
        <v>44348</v>
      </c>
    </row>
    <row r="614" spans="2:32">
      <c r="B614" s="405" t="s">
        <v>184</v>
      </c>
      <c r="C614" s="198">
        <v>8.5187088100419697</v>
      </c>
      <c r="D614" s="198">
        <v>5.1109629597527597</v>
      </c>
      <c r="E614" s="198">
        <v>9.0701170638112103</v>
      </c>
      <c r="F614" s="198">
        <v>4.4552455428976003</v>
      </c>
      <c r="G614" s="198">
        <v>2.6142989889486699</v>
      </c>
      <c r="H614" s="198">
        <v>5.7614203843293001</v>
      </c>
      <c r="I614" s="198">
        <v>4.0566788262478299</v>
      </c>
      <c r="J614" s="198">
        <v>8.7527650832039896</v>
      </c>
      <c r="K614" s="198">
        <v>8.6477552170938097</v>
      </c>
      <c r="L614" s="191">
        <v>9.3925864163230806</v>
      </c>
      <c r="M614" s="198">
        <v>13.8988634378667</v>
      </c>
      <c r="N614" s="198">
        <v>9.7007504663912094</v>
      </c>
      <c r="O614" s="198">
        <v>16.108476286822601</v>
      </c>
      <c r="P614" s="198">
        <v>10.1722931023937</v>
      </c>
      <c r="Q614" s="210">
        <v>11.522311887419701</v>
      </c>
      <c r="R614" s="198">
        <v>11.700738206117</v>
      </c>
      <c r="S614" s="198">
        <v>10.5044084799126</v>
      </c>
      <c r="T614" s="198">
        <v>16.3473353898016</v>
      </c>
      <c r="U614" s="198">
        <v>17.085691657673198</v>
      </c>
      <c r="V614" s="198">
        <v>17.959685453402901</v>
      </c>
      <c r="W614" s="198">
        <v>7.1040739240583104</v>
      </c>
      <c r="X614" s="191">
        <v>6.8841380261920904</v>
      </c>
      <c r="Y614" s="198">
        <v>8.3008867089188403</v>
      </c>
      <c r="Z614" s="198" t="s">
        <v>93</v>
      </c>
      <c r="AA614" s="198" t="s">
        <v>93</v>
      </c>
      <c r="AB614" s="198" t="s">
        <v>93</v>
      </c>
      <c r="AC614" s="198">
        <v>8.57</v>
      </c>
      <c r="AD614" s="411">
        <v>6.8487443471567397</v>
      </c>
      <c r="AE614" s="199" t="s">
        <v>350</v>
      </c>
      <c r="AF614" s="200"/>
    </row>
    <row r="615" spans="2:32">
      <c r="B615" s="405" t="s">
        <v>351</v>
      </c>
      <c r="C615" s="198">
        <v>1.5492263714263399</v>
      </c>
      <c r="D615" s="198">
        <v>0.97068739937332604</v>
      </c>
      <c r="E615" s="198">
        <v>1.98283426413567</v>
      </c>
      <c r="F615" s="198">
        <v>0.52081292197765605</v>
      </c>
      <c r="G615" s="198">
        <v>0.92803319495833703</v>
      </c>
      <c r="H615" s="198">
        <v>1.0052158375636799</v>
      </c>
      <c r="I615" s="198">
        <v>1.47037701368339</v>
      </c>
      <c r="J615" s="198">
        <v>1.0051194791287601</v>
      </c>
      <c r="K615" s="198">
        <v>1.6821963936673301</v>
      </c>
      <c r="L615" s="191">
        <v>4.3682268539810902</v>
      </c>
      <c r="M615" s="198">
        <v>4.97696147945154</v>
      </c>
      <c r="N615" s="198">
        <v>4.79927445575417</v>
      </c>
      <c r="O615" s="198">
        <v>6.0808441200455201</v>
      </c>
      <c r="P615" s="198">
        <v>8.6300628625734994</v>
      </c>
      <c r="Q615" s="198">
        <v>7.3827017522778204</v>
      </c>
      <c r="R615" s="198">
        <v>5.84557167095151</v>
      </c>
      <c r="S615" s="198">
        <v>5.2556052764605301</v>
      </c>
      <c r="T615" s="198">
        <v>5.4588240045941996</v>
      </c>
      <c r="U615" s="198">
        <v>4.7726822664111701</v>
      </c>
      <c r="V615" s="198">
        <v>4.9677974727635297</v>
      </c>
      <c r="W615" s="198">
        <v>4.7782313732885999</v>
      </c>
      <c r="X615" s="191">
        <v>5.2482069679456798</v>
      </c>
      <c r="Y615" s="198">
        <v>4.9656128233382901</v>
      </c>
      <c r="Z615" s="198" t="s">
        <v>93</v>
      </c>
      <c r="AA615" s="198" t="s">
        <v>93</v>
      </c>
      <c r="AB615" s="198" t="s">
        <v>93</v>
      </c>
      <c r="AC615" s="198">
        <v>4</v>
      </c>
      <c r="AD615" s="191">
        <v>5</v>
      </c>
      <c r="AE615" s="199" t="s">
        <v>207</v>
      </c>
    </row>
    <row r="616" spans="2:32">
      <c r="B616" s="374">
        <v>44378</v>
      </c>
      <c r="C616" s="198"/>
      <c r="D616" s="198"/>
      <c r="E616" s="198"/>
      <c r="F616" s="198"/>
      <c r="G616" s="198"/>
      <c r="H616" s="198"/>
      <c r="I616" s="198"/>
      <c r="J616" s="198"/>
      <c r="K616" s="198"/>
      <c r="L616" s="191"/>
      <c r="M616" s="198"/>
      <c r="N616" s="210"/>
      <c r="O616" s="198"/>
      <c r="P616" s="198"/>
      <c r="Q616" s="198"/>
      <c r="R616" s="198"/>
      <c r="S616" s="198"/>
      <c r="T616" s="198"/>
      <c r="U616" s="198"/>
      <c r="V616" s="198"/>
      <c r="W616" s="198"/>
      <c r="X616" s="191"/>
      <c r="Y616" s="198"/>
      <c r="Z616" s="198"/>
      <c r="AA616" s="198"/>
      <c r="AB616" s="198"/>
      <c r="AC616" s="198"/>
      <c r="AD616" s="191"/>
      <c r="AE616" s="374">
        <v>44378</v>
      </c>
    </row>
    <row r="617" spans="2:32">
      <c r="B617" s="199" t="s">
        <v>184</v>
      </c>
      <c r="C617" s="198">
        <v>8.5436559171770696</v>
      </c>
      <c r="D617" s="198">
        <v>5.2504719722231998</v>
      </c>
      <c r="E617" s="198">
        <v>9.0894285990718906</v>
      </c>
      <c r="F617" s="198">
        <v>3.8397616251761399</v>
      </c>
      <c r="G617" s="198">
        <v>2.5814202836269899</v>
      </c>
      <c r="H617" s="198">
        <v>5.2296580099404197</v>
      </c>
      <c r="I617" s="198">
        <v>3.8780480535380502</v>
      </c>
      <c r="J617" s="198">
        <v>8.7713496583473898</v>
      </c>
      <c r="K617" s="198">
        <v>8.6949210731189304</v>
      </c>
      <c r="L617" s="191">
        <v>9.2890563772701498</v>
      </c>
      <c r="M617" s="198">
        <v>13.939897742794001</v>
      </c>
      <c r="N617" s="198">
        <v>9.7052095913802194</v>
      </c>
      <c r="O617" s="198">
        <v>16.134784755389902</v>
      </c>
      <c r="P617" s="198">
        <v>10.162000163558201</v>
      </c>
      <c r="Q617" s="210">
        <v>12.4316485821056</v>
      </c>
      <c r="R617" s="198">
        <v>11.397072961110799</v>
      </c>
      <c r="S617" s="198">
        <v>10.5140543305157</v>
      </c>
      <c r="T617" s="198">
        <v>16.5123165379262</v>
      </c>
      <c r="U617" s="198">
        <v>16.980340061716099</v>
      </c>
      <c r="V617" s="198">
        <v>17.980632926463301</v>
      </c>
      <c r="W617" s="198">
        <v>7.0066656691098199</v>
      </c>
      <c r="X617" s="191">
        <v>6.9015817705238396</v>
      </c>
      <c r="Y617" s="198">
        <v>8.2249579459005702</v>
      </c>
      <c r="Z617" s="198" t="s">
        <v>93</v>
      </c>
      <c r="AA617" s="198" t="s">
        <v>93</v>
      </c>
      <c r="AB617" s="198" t="s">
        <v>93</v>
      </c>
      <c r="AC617" s="198">
        <v>8.48</v>
      </c>
      <c r="AD617" s="411">
        <v>6.8487443471567397</v>
      </c>
      <c r="AE617" s="199" t="s">
        <v>350</v>
      </c>
      <c r="AF617" s="200"/>
    </row>
    <row r="618" spans="2:32">
      <c r="B618" s="405" t="s">
        <v>351</v>
      </c>
      <c r="C618" s="198">
        <v>1.5659820177852499</v>
      </c>
      <c r="D618" s="198">
        <v>0.96236753291201604</v>
      </c>
      <c r="E618" s="198">
        <v>1.97234249251187</v>
      </c>
      <c r="F618" s="198">
        <v>0.19840180332026899</v>
      </c>
      <c r="G618" s="198">
        <v>1.02587772397094</v>
      </c>
      <c r="H618" s="198">
        <v>0.51479065262593104</v>
      </c>
      <c r="I618" s="198">
        <v>1.4511428182673201</v>
      </c>
      <c r="J618" s="198">
        <v>1.00961244014806</v>
      </c>
      <c r="K618" s="198">
        <v>1.76041536385055</v>
      </c>
      <c r="L618" s="191">
        <v>4.22751767979255</v>
      </c>
      <c r="M618" s="198">
        <v>5.00706345254856</v>
      </c>
      <c r="N618" s="198">
        <v>4.8504142219126196</v>
      </c>
      <c r="O618" s="198">
        <v>5.98431379317124</v>
      </c>
      <c r="P618" s="198">
        <v>8.8935110756280196</v>
      </c>
      <c r="Q618" s="198">
        <v>7.4995237736758096</v>
      </c>
      <c r="R618" s="198">
        <v>5.6390120873171199</v>
      </c>
      <c r="S618" s="198">
        <v>5.2096705325901</v>
      </c>
      <c r="T618" s="198">
        <v>5.4779150829329204</v>
      </c>
      <c r="U618" s="198">
        <v>4.8395060376212804</v>
      </c>
      <c r="V618" s="198">
        <v>4.9645525369978802</v>
      </c>
      <c r="W618" s="198">
        <v>4.8174617197022096</v>
      </c>
      <c r="X618" s="191">
        <v>5.2335771771567199</v>
      </c>
      <c r="Y618" s="198">
        <v>4.9583079663577498</v>
      </c>
      <c r="Z618" s="198" t="s">
        <v>93</v>
      </c>
      <c r="AA618" s="198" t="s">
        <v>93</v>
      </c>
      <c r="AB618" s="198" t="s">
        <v>93</v>
      </c>
      <c r="AC618" s="198">
        <v>4</v>
      </c>
      <c r="AD618" s="191">
        <v>5</v>
      </c>
      <c r="AE618" s="199" t="s">
        <v>207</v>
      </c>
    </row>
    <row r="619" spans="2:32">
      <c r="B619" s="374">
        <v>44409</v>
      </c>
      <c r="C619" s="198"/>
      <c r="D619" s="198"/>
      <c r="E619" s="198"/>
      <c r="F619" s="198"/>
      <c r="G619" s="198"/>
      <c r="H619" s="198"/>
      <c r="I619" s="198"/>
      <c r="J619" s="198"/>
      <c r="K619" s="198"/>
      <c r="L619" s="191"/>
      <c r="M619" s="198"/>
      <c r="N619" s="210"/>
      <c r="O619" s="198"/>
      <c r="P619" s="198"/>
      <c r="Q619" s="198"/>
      <c r="R619" s="198"/>
      <c r="S619" s="198"/>
      <c r="T619" s="198"/>
      <c r="U619" s="198"/>
      <c r="V619" s="198"/>
      <c r="W619" s="198"/>
      <c r="X619" s="191"/>
      <c r="Y619" s="198"/>
      <c r="Z619" s="198"/>
      <c r="AA619" s="198"/>
      <c r="AB619" s="198"/>
      <c r="AC619" s="198"/>
      <c r="AD619" s="191"/>
      <c r="AE619" s="374">
        <v>44409</v>
      </c>
    </row>
    <row r="620" spans="2:32">
      <c r="B620" s="199" t="s">
        <v>184</v>
      </c>
      <c r="C620" s="198">
        <v>8.51073860438545</v>
      </c>
      <c r="D620" s="198">
        <v>5.0781894937140102</v>
      </c>
      <c r="E620" s="198">
        <v>9.0852094344791592</v>
      </c>
      <c r="F620" s="198">
        <v>4.4304815900944901</v>
      </c>
      <c r="G620" s="198">
        <v>2.2813299907684801</v>
      </c>
      <c r="H620" s="198">
        <v>4.7041988512723298</v>
      </c>
      <c r="I620" s="198">
        <v>4.0542684103102404</v>
      </c>
      <c r="J620" s="198">
        <v>8.7731118647745792</v>
      </c>
      <c r="K620" s="198">
        <v>8.6984058300855907</v>
      </c>
      <c r="L620" s="191">
        <v>9.2845977079510007</v>
      </c>
      <c r="M620" s="198">
        <v>14.0442654455398</v>
      </c>
      <c r="N620" s="198">
        <v>9.6856194239834998</v>
      </c>
      <c r="O620" s="198">
        <v>16.227238567660599</v>
      </c>
      <c r="P620" s="198">
        <v>10.6536009620839</v>
      </c>
      <c r="Q620" s="210">
        <v>12.491877835119601</v>
      </c>
      <c r="R620" s="198">
        <v>11.2888615249497</v>
      </c>
      <c r="S620" s="198">
        <v>10.292403262989801</v>
      </c>
      <c r="T620" s="198">
        <v>16.394241792888401</v>
      </c>
      <c r="U620" s="198">
        <v>17.119681514415198</v>
      </c>
      <c r="V620" s="198">
        <v>18.074427772739</v>
      </c>
      <c r="W620" s="198">
        <v>6.9496138993358896</v>
      </c>
      <c r="X620" s="191">
        <v>6.8865142374536203</v>
      </c>
      <c r="Y620" s="198">
        <v>8.2249579459005702</v>
      </c>
      <c r="Z620" s="198" t="s">
        <v>93</v>
      </c>
      <c r="AA620" s="198" t="s">
        <v>93</v>
      </c>
      <c r="AB620" s="198" t="s">
        <v>93</v>
      </c>
      <c r="AC620" s="198">
        <v>8.48</v>
      </c>
      <c r="AD620" s="411">
        <v>6.8487443471567397</v>
      </c>
      <c r="AE620" s="199" t="s">
        <v>350</v>
      </c>
      <c r="AF620" s="200"/>
    </row>
    <row r="621" spans="2:32">
      <c r="B621" s="405" t="s">
        <v>351</v>
      </c>
      <c r="C621" s="198">
        <v>1.54335119671726</v>
      </c>
      <c r="D621" s="198">
        <v>0.97684654152401995</v>
      </c>
      <c r="E621" s="198">
        <v>1.97089480949116</v>
      </c>
      <c r="F621" s="198">
        <v>0.89323816054693195</v>
      </c>
      <c r="G621" s="198">
        <v>0.83658239844834803</v>
      </c>
      <c r="H621" s="198">
        <v>0.55814009426548195</v>
      </c>
      <c r="I621" s="198">
        <v>1.3739258086060999</v>
      </c>
      <c r="J621" s="198">
        <v>1.0408210746450299</v>
      </c>
      <c r="K621" s="198">
        <v>1.70222515377438</v>
      </c>
      <c r="L621" s="191">
        <v>3.98958833841797</v>
      </c>
      <c r="M621" s="198">
        <v>5.1401384413875304</v>
      </c>
      <c r="N621" s="198">
        <v>5.0004788466336896</v>
      </c>
      <c r="O621" s="198">
        <v>6.01205789015766</v>
      </c>
      <c r="P621" s="198">
        <v>9.0101860066498993</v>
      </c>
      <c r="Q621" s="198">
        <v>7.8778875724517201</v>
      </c>
      <c r="R621" s="198">
        <v>5.7425147578298299</v>
      </c>
      <c r="S621" s="198">
        <v>4.6988652787097598</v>
      </c>
      <c r="T621" s="198">
        <v>5.6408880345962196</v>
      </c>
      <c r="U621" s="198">
        <v>5.2019800102234104</v>
      </c>
      <c r="V621" s="198">
        <v>5.0028183842791902</v>
      </c>
      <c r="W621" s="198">
        <v>4.8853234865443103</v>
      </c>
      <c r="X621" s="191">
        <v>5.1730439397820103</v>
      </c>
      <c r="Y621" s="198">
        <v>4.9544663410252099</v>
      </c>
      <c r="Z621" s="198" t="s">
        <v>93</v>
      </c>
      <c r="AA621" s="198" t="s">
        <v>93</v>
      </c>
      <c r="AB621" s="198" t="s">
        <v>93</v>
      </c>
      <c r="AC621" s="198">
        <v>4</v>
      </c>
      <c r="AD621" s="191">
        <v>5</v>
      </c>
      <c r="AE621" s="199" t="s">
        <v>207</v>
      </c>
    </row>
    <row r="622" spans="2:32">
      <c r="B622" s="374">
        <v>44440</v>
      </c>
      <c r="C622" s="198"/>
      <c r="D622" s="198"/>
      <c r="E622" s="198"/>
      <c r="F622" s="198"/>
      <c r="G622" s="198"/>
      <c r="H622" s="198"/>
      <c r="I622" s="198"/>
      <c r="J622" s="198"/>
      <c r="K622" s="198"/>
      <c r="L622" s="191"/>
      <c r="M622" s="198"/>
      <c r="N622" s="210"/>
      <c r="O622" s="198"/>
      <c r="P622" s="198"/>
      <c r="Q622" s="198"/>
      <c r="R622" s="198"/>
      <c r="S622" s="198"/>
      <c r="T622" s="198"/>
      <c r="U622" s="198"/>
      <c r="V622" s="198"/>
      <c r="W622" s="198"/>
      <c r="X622" s="191"/>
      <c r="Y622" s="198"/>
      <c r="Z622" s="198"/>
      <c r="AA622" s="198"/>
      <c r="AB622" s="198"/>
      <c r="AC622" s="198"/>
      <c r="AD622" s="191"/>
      <c r="AE622" s="374">
        <v>44440</v>
      </c>
    </row>
    <row r="623" spans="2:32">
      <c r="B623" s="199" t="s">
        <v>184</v>
      </c>
      <c r="C623" s="198">
        <v>8.5848079607137802</v>
      </c>
      <c r="D623" s="198">
        <v>5.3109586929174304</v>
      </c>
      <c r="E623" s="198">
        <v>9.0444479455845208</v>
      </c>
      <c r="F623" s="198">
        <v>4.9440969743851202</v>
      </c>
      <c r="G623" s="198">
        <v>4.74777214914665</v>
      </c>
      <c r="H623" s="198">
        <v>4.6570095262433098</v>
      </c>
      <c r="I623" s="198">
        <v>4.2714561492954104</v>
      </c>
      <c r="J623" s="198">
        <v>8.7365132059614208</v>
      </c>
      <c r="K623" s="198">
        <v>8.6866318661951301</v>
      </c>
      <c r="L623" s="191">
        <v>9.6057986405726901</v>
      </c>
      <c r="M623" s="198">
        <v>14.155290109759401</v>
      </c>
      <c r="N623" s="198">
        <v>9.7896105667758508</v>
      </c>
      <c r="O623" s="198">
        <v>16.272035479967901</v>
      </c>
      <c r="P623" s="198">
        <v>9.4513226974871394</v>
      </c>
      <c r="Q623" s="210">
        <v>12.06324185135</v>
      </c>
      <c r="R623" s="198">
        <v>11.377158731320201</v>
      </c>
      <c r="S623" s="198">
        <v>11.169165787881401</v>
      </c>
      <c r="T623" s="198">
        <v>16.552741065989</v>
      </c>
      <c r="U623" s="198">
        <v>17.180113607027899</v>
      </c>
      <c r="V623" s="198">
        <v>18.149625020210401</v>
      </c>
      <c r="W623" s="198">
        <v>7.0028877435964301</v>
      </c>
      <c r="X623" s="191">
        <v>6.8854930314055904</v>
      </c>
      <c r="Y623" s="198">
        <v>7.9993962907606404</v>
      </c>
      <c r="Z623" s="198" t="s">
        <v>93</v>
      </c>
      <c r="AA623" s="198" t="s">
        <v>93</v>
      </c>
      <c r="AB623" s="198" t="s">
        <v>93</v>
      </c>
      <c r="AC623" s="198">
        <v>8.1803672770800606</v>
      </c>
      <c r="AD623" s="411">
        <v>6.8487443471567397</v>
      </c>
      <c r="AE623" s="199" t="s">
        <v>350</v>
      </c>
      <c r="AF623" s="200"/>
    </row>
    <row r="624" spans="2:32">
      <c r="B624" s="405" t="s">
        <v>351</v>
      </c>
      <c r="C624" s="198">
        <v>1.5254980847592801</v>
      </c>
      <c r="D624" s="198">
        <v>0.96397999622243602</v>
      </c>
      <c r="E624" s="198">
        <v>1.94975715090276</v>
      </c>
      <c r="F624" s="198">
        <v>0.144354582655426</v>
      </c>
      <c r="G624" s="198">
        <v>0.90557173340541697</v>
      </c>
      <c r="H624" s="198">
        <v>0.56381672441491604</v>
      </c>
      <c r="I624" s="198">
        <v>1.3874182031962501</v>
      </c>
      <c r="J624" s="198">
        <v>1.0120892943696</v>
      </c>
      <c r="K624" s="198">
        <v>1.68694970591138</v>
      </c>
      <c r="L624" s="191">
        <v>3.9895709945705802</v>
      </c>
      <c r="M624" s="198">
        <v>4.9356884719280201</v>
      </c>
      <c r="N624" s="198">
        <v>4.7882276015756302</v>
      </c>
      <c r="O624" s="198">
        <v>5.8538414142213098</v>
      </c>
      <c r="P624" s="198">
        <v>8.9323503429311906</v>
      </c>
      <c r="Q624" s="198">
        <v>7.06919791260328</v>
      </c>
      <c r="R624" s="198">
        <v>5.5237878754691598</v>
      </c>
      <c r="S624" s="198">
        <v>4.7436701289720098</v>
      </c>
      <c r="T624" s="198">
        <v>5.4539778830307402</v>
      </c>
      <c r="U624" s="198">
        <v>4.6763755609017901</v>
      </c>
      <c r="V624" s="198">
        <v>4.9123276414300703</v>
      </c>
      <c r="W624" s="198">
        <v>4.8080816893005096</v>
      </c>
      <c r="X624" s="191">
        <v>5.2397176378013297</v>
      </c>
      <c r="Y624" s="198">
        <v>4.9504640500950501</v>
      </c>
      <c r="Z624" s="198" t="s">
        <v>93</v>
      </c>
      <c r="AA624" s="198" t="s">
        <v>93</v>
      </c>
      <c r="AB624" s="198" t="s">
        <v>93</v>
      </c>
      <c r="AC624" s="198">
        <v>4</v>
      </c>
      <c r="AD624" s="191">
        <v>5</v>
      </c>
      <c r="AE624" s="199" t="s">
        <v>207</v>
      </c>
    </row>
    <row r="625" spans="2:32">
      <c r="B625" s="374">
        <v>44470</v>
      </c>
      <c r="C625" s="198"/>
      <c r="D625" s="198"/>
      <c r="E625" s="198"/>
      <c r="F625" s="198"/>
      <c r="G625" s="198"/>
      <c r="H625" s="198"/>
      <c r="I625" s="198"/>
      <c r="J625" s="198"/>
      <c r="K625" s="198"/>
      <c r="L625" s="191"/>
      <c r="M625" s="198"/>
      <c r="N625" s="210"/>
      <c r="O625" s="198"/>
      <c r="P625" s="198"/>
      <c r="Q625" s="198"/>
      <c r="R625" s="198"/>
      <c r="S625" s="198"/>
      <c r="T625" s="198"/>
      <c r="U625" s="198"/>
      <c r="V625" s="198"/>
      <c r="W625" s="198"/>
      <c r="X625" s="191"/>
      <c r="Y625" s="198"/>
      <c r="Z625" s="198"/>
      <c r="AA625" s="198"/>
      <c r="AB625" s="198"/>
      <c r="AC625" s="198"/>
      <c r="AD625" s="191"/>
      <c r="AE625" s="374">
        <v>44470</v>
      </c>
    </row>
    <row r="626" spans="2:32">
      <c r="B626" s="199" t="s">
        <v>184</v>
      </c>
      <c r="C626" s="198">
        <v>8.5437205114917205</v>
      </c>
      <c r="D626" s="198">
        <v>5.2423294851309397</v>
      </c>
      <c r="E626" s="198">
        <v>9.0622579485733699</v>
      </c>
      <c r="F626" s="198">
        <v>4.7493241568441302</v>
      </c>
      <c r="G626" s="198">
        <v>3.81207542857143</v>
      </c>
      <c r="H626" s="198">
        <v>5.0484957617993</v>
      </c>
      <c r="I626" s="198">
        <v>4.38819139426574</v>
      </c>
      <c r="J626" s="198">
        <v>8.7293073194602506</v>
      </c>
      <c r="K626" s="198">
        <v>8.5551849400222206</v>
      </c>
      <c r="L626" s="191">
        <v>9.2637482366050001</v>
      </c>
      <c r="M626" s="198">
        <v>14.271304132484101</v>
      </c>
      <c r="N626" s="198">
        <v>9.8264732089148801</v>
      </c>
      <c r="O626" s="198">
        <v>16.409533567041802</v>
      </c>
      <c r="P626" s="198">
        <v>10.9939724541555</v>
      </c>
      <c r="Q626" s="210">
        <v>12.101203382484</v>
      </c>
      <c r="R626" s="198">
        <v>11.4197908124143</v>
      </c>
      <c r="S626" s="198">
        <v>11.7564537891394</v>
      </c>
      <c r="T626" s="198">
        <v>16.5413600888755</v>
      </c>
      <c r="U626" s="198">
        <v>17.1792027533292</v>
      </c>
      <c r="V626" s="198">
        <v>18.144154452989898</v>
      </c>
      <c r="W626" s="198">
        <v>7.0559019418324898</v>
      </c>
      <c r="X626" s="191">
        <v>6.9138132136375203</v>
      </c>
      <c r="Y626" s="198">
        <v>7.8956405269699896</v>
      </c>
      <c r="Z626" s="198" t="s">
        <v>93</v>
      </c>
      <c r="AA626" s="198" t="s">
        <v>93</v>
      </c>
      <c r="AB626" s="198" t="s">
        <v>93</v>
      </c>
      <c r="AC626" s="198">
        <v>8.1606455742681892</v>
      </c>
      <c r="AD626" s="411">
        <v>6.9719511597116703</v>
      </c>
      <c r="AE626" s="199" t="s">
        <v>350</v>
      </c>
      <c r="AF626" s="200"/>
    </row>
    <row r="627" spans="2:32">
      <c r="B627" s="405" t="s">
        <v>351</v>
      </c>
      <c r="C627" s="198">
        <v>1.5714194254621101</v>
      </c>
      <c r="D627" s="198">
        <v>1.02461306236918</v>
      </c>
      <c r="E627" s="198">
        <v>1.94384990849927</v>
      </c>
      <c r="F627" s="198">
        <v>0.22408302551432299</v>
      </c>
      <c r="G627" s="198">
        <v>0.92283773574411498</v>
      </c>
      <c r="H627" s="198">
        <v>0.56368838076884697</v>
      </c>
      <c r="I627" s="198">
        <v>1.37372579209038</v>
      </c>
      <c r="J627" s="198">
        <v>1.01721680988842</v>
      </c>
      <c r="K627" s="198">
        <v>1.7872770340244599</v>
      </c>
      <c r="L627" s="191">
        <v>3.9662030544162201</v>
      </c>
      <c r="M627" s="198">
        <v>4.9759740954410301</v>
      </c>
      <c r="N627" s="198">
        <v>4.8463136391413002</v>
      </c>
      <c r="O627" s="198">
        <v>5.8040346659615896</v>
      </c>
      <c r="P627" s="198">
        <v>9.0083259357145593</v>
      </c>
      <c r="Q627" s="198">
        <v>7.5043525214276601</v>
      </c>
      <c r="R627" s="198">
        <v>5.5872608075242196</v>
      </c>
      <c r="S627" s="198">
        <v>5.1664474916923098</v>
      </c>
      <c r="T627" s="198">
        <v>5.2420532461717899</v>
      </c>
      <c r="U627" s="198">
        <v>4.9156999774142802</v>
      </c>
      <c r="V627" s="198">
        <v>4.9061319500002103</v>
      </c>
      <c r="W627" s="198">
        <v>4.8054473763864101</v>
      </c>
      <c r="X627" s="191">
        <v>5.2524687318394498</v>
      </c>
      <c r="Y627" s="198">
        <v>4.4591170046654698</v>
      </c>
      <c r="Z627" s="198" t="s">
        <v>93</v>
      </c>
      <c r="AA627" s="198">
        <v>1.75</v>
      </c>
      <c r="AB627" s="198" t="s">
        <v>93</v>
      </c>
      <c r="AC627" s="198">
        <v>4</v>
      </c>
      <c r="AD627" s="191">
        <v>5</v>
      </c>
      <c r="AE627" s="199" t="s">
        <v>207</v>
      </c>
    </row>
    <row r="628" spans="2:32">
      <c r="B628" s="374">
        <v>44501</v>
      </c>
      <c r="C628" s="198"/>
      <c r="D628" s="198"/>
      <c r="E628" s="198"/>
      <c r="F628" s="198"/>
      <c r="G628" s="198"/>
      <c r="H628" s="198"/>
      <c r="I628" s="198"/>
      <c r="J628" s="198"/>
      <c r="K628" s="198"/>
      <c r="L628" s="191"/>
      <c r="M628" s="198"/>
      <c r="N628" s="210"/>
      <c r="O628" s="198"/>
      <c r="P628" s="198"/>
      <c r="Q628" s="198"/>
      <c r="R628" s="198"/>
      <c r="S628" s="198"/>
      <c r="T628" s="198"/>
      <c r="U628" s="198"/>
      <c r="V628" s="198"/>
      <c r="W628" s="198"/>
      <c r="X628" s="191"/>
      <c r="Y628" s="198"/>
      <c r="Z628" s="198"/>
      <c r="AA628" s="198"/>
      <c r="AB628" s="198"/>
      <c r="AC628" s="198"/>
      <c r="AD628" s="191"/>
      <c r="AE628" s="374">
        <v>44501</v>
      </c>
    </row>
    <row r="629" spans="2:32">
      <c r="B629" s="199" t="s">
        <v>184</v>
      </c>
      <c r="C629" s="198">
        <v>8.5796923032208792</v>
      </c>
      <c r="D629" s="198">
        <v>5.3147952529390103</v>
      </c>
      <c r="E629" s="198">
        <v>9.0822036289567798</v>
      </c>
      <c r="F629" s="198">
        <v>6.9460972521804401</v>
      </c>
      <c r="G629" s="198">
        <v>8.9561580647200305</v>
      </c>
      <c r="H629" s="198">
        <v>5.1538591849851798</v>
      </c>
      <c r="I629" s="198">
        <v>4.7605060289958701</v>
      </c>
      <c r="J629" s="198">
        <v>8.70626767801296</v>
      </c>
      <c r="K629" s="198">
        <v>8.5383844060182401</v>
      </c>
      <c r="L629" s="191">
        <v>9.6620886835591797</v>
      </c>
      <c r="M629" s="198">
        <v>14.3321644542655</v>
      </c>
      <c r="N629" s="198">
        <v>9.8749027665936406</v>
      </c>
      <c r="O629" s="198">
        <v>16.451529946629499</v>
      </c>
      <c r="P629" s="198">
        <v>10.9898972535072</v>
      </c>
      <c r="Q629" s="210">
        <v>13.2437288938353</v>
      </c>
      <c r="R629" s="198">
        <v>11.472766797310801</v>
      </c>
      <c r="S629" s="198">
        <v>12.111474101229399</v>
      </c>
      <c r="T629" s="198">
        <v>16.320184403714201</v>
      </c>
      <c r="U629" s="198">
        <v>17.248138027624901</v>
      </c>
      <c r="V629" s="198">
        <v>18.105180151192702</v>
      </c>
      <c r="W629" s="198">
        <v>7.1628733698995601</v>
      </c>
      <c r="X629" s="191">
        <v>6.9076089241332301</v>
      </c>
      <c r="Y629" s="198">
        <v>7.8956405269699896</v>
      </c>
      <c r="Z629" s="198" t="s">
        <v>93</v>
      </c>
      <c r="AA629" s="198" t="s">
        <v>93</v>
      </c>
      <c r="AB629" s="198" t="s">
        <v>93</v>
      </c>
      <c r="AC629" s="198">
        <v>8.1606455742681892</v>
      </c>
      <c r="AD629" s="411">
        <v>6.9719511597116703</v>
      </c>
      <c r="AE629" s="199" t="s">
        <v>350</v>
      </c>
      <c r="AF629" s="200"/>
    </row>
    <row r="630" spans="2:32">
      <c r="B630" s="405" t="s">
        <v>351</v>
      </c>
      <c r="C630" s="198">
        <v>1.56316894237486</v>
      </c>
      <c r="D630" s="198">
        <v>1.0358664668778801</v>
      </c>
      <c r="E630" s="198">
        <v>1.92432790299495</v>
      </c>
      <c r="F630" s="198">
        <v>0.60138903433315805</v>
      </c>
      <c r="G630" s="198">
        <v>0.94186538691094601</v>
      </c>
      <c r="H630" s="198">
        <v>0.75138642329337801</v>
      </c>
      <c r="I630" s="198">
        <v>1.3700125034675401</v>
      </c>
      <c r="J630" s="198">
        <v>1.0376510392959399</v>
      </c>
      <c r="K630" s="198">
        <v>1.7656889929694299</v>
      </c>
      <c r="L630" s="191">
        <v>3.7931772946608202</v>
      </c>
      <c r="M630" s="198">
        <v>5.0534498537415002</v>
      </c>
      <c r="N630" s="198">
        <v>4.9051432553459096</v>
      </c>
      <c r="O630" s="198">
        <v>6.0712259140291902</v>
      </c>
      <c r="P630" s="198">
        <v>7.8770899934829703</v>
      </c>
      <c r="Q630" s="198">
        <v>7.4081495041952703</v>
      </c>
      <c r="R630" s="198">
        <v>7.0786164222783396</v>
      </c>
      <c r="S630" s="198">
        <v>5.5749806480007704</v>
      </c>
      <c r="T630" s="198">
        <v>4.8013668379562304</v>
      </c>
      <c r="U630" s="198">
        <v>5.0198167812888004</v>
      </c>
      <c r="V630" s="198">
        <v>4.9627735176734999</v>
      </c>
      <c r="W630" s="198">
        <v>5.0498286912128796</v>
      </c>
      <c r="X630" s="191">
        <v>5.1976909509440103</v>
      </c>
      <c r="Y630" s="198">
        <v>4.4589870922407204</v>
      </c>
      <c r="Z630" s="198" t="s">
        <v>93</v>
      </c>
      <c r="AA630" s="198">
        <v>1.75</v>
      </c>
      <c r="AB630" s="198" t="s">
        <v>93</v>
      </c>
      <c r="AC630" s="198">
        <v>4</v>
      </c>
      <c r="AD630" s="191">
        <v>5</v>
      </c>
      <c r="AE630" s="199" t="s">
        <v>207</v>
      </c>
    </row>
    <row r="631" spans="2:32">
      <c r="B631" s="374">
        <v>44531</v>
      </c>
      <c r="C631" s="198"/>
      <c r="D631" s="198"/>
      <c r="E631" s="198"/>
      <c r="F631" s="198"/>
      <c r="G631" s="198"/>
      <c r="H631" s="198"/>
      <c r="I631" s="198"/>
      <c r="J631" s="198"/>
      <c r="K631" s="198"/>
      <c r="L631" s="191"/>
      <c r="M631" s="198"/>
      <c r="N631" s="198"/>
      <c r="O631" s="198"/>
      <c r="P631" s="198"/>
      <c r="Q631" s="198"/>
      <c r="R631" s="198"/>
      <c r="S631" s="198"/>
      <c r="T631" s="198"/>
      <c r="U631" s="198"/>
      <c r="V631" s="198"/>
      <c r="W631" s="198"/>
      <c r="X631" s="191"/>
      <c r="Y631" s="198"/>
      <c r="Z631" s="198"/>
      <c r="AA631" s="198"/>
      <c r="AB631" s="198"/>
      <c r="AC631" s="198"/>
      <c r="AD631" s="191"/>
      <c r="AE631" s="374">
        <v>44531</v>
      </c>
    </row>
    <row r="632" spans="2:32">
      <c r="B632" s="405" t="s">
        <v>184</v>
      </c>
      <c r="C632" s="198">
        <v>8.5678685781588495</v>
      </c>
      <c r="D632" s="198">
        <v>5.3006864373290004</v>
      </c>
      <c r="E632" s="198">
        <v>9.0853432585860006</v>
      </c>
      <c r="F632" s="198">
        <v>6.28576043303649</v>
      </c>
      <c r="G632" s="198">
        <v>5.9320799582877397</v>
      </c>
      <c r="H632" s="198">
        <v>5.1530126798990699</v>
      </c>
      <c r="I632" s="198">
        <v>4.7452495324740998</v>
      </c>
      <c r="J632" s="198">
        <v>8.7796080150966205</v>
      </c>
      <c r="K632" s="198">
        <v>8.3910924372323201</v>
      </c>
      <c r="L632" s="191">
        <v>9.9285049866881199</v>
      </c>
      <c r="M632" s="198">
        <v>14.352115803765001</v>
      </c>
      <c r="N632" s="198">
        <v>9.8918428385847399</v>
      </c>
      <c r="O632" s="198">
        <v>16.5086595753802</v>
      </c>
      <c r="P632" s="198">
        <v>11.211869423392701</v>
      </c>
      <c r="Q632" s="198">
        <v>13.5392100866862</v>
      </c>
      <c r="R632" s="198">
        <v>11.5032143287388</v>
      </c>
      <c r="S632" s="198">
        <v>11.899535168327599</v>
      </c>
      <c r="T632" s="198">
        <v>16.3178626747168</v>
      </c>
      <c r="U632" s="198">
        <v>17.079585715782301</v>
      </c>
      <c r="V632" s="198">
        <v>18.168077016839799</v>
      </c>
      <c r="W632" s="198">
        <v>7.2233635004796204</v>
      </c>
      <c r="X632" s="191">
        <v>6.9751058765641503</v>
      </c>
      <c r="Y632" s="198">
        <v>7.7447342768665797</v>
      </c>
      <c r="Z632" s="198" t="s">
        <v>93</v>
      </c>
      <c r="AA632" s="198" t="s">
        <v>93</v>
      </c>
      <c r="AB632" s="198" t="s">
        <v>93</v>
      </c>
      <c r="AC632" s="198">
        <v>8.0027423629972692</v>
      </c>
      <c r="AD632" s="191">
        <v>6.9719511597116703</v>
      </c>
      <c r="AE632" s="199" t="s">
        <v>350</v>
      </c>
    </row>
    <row r="633" spans="2:32">
      <c r="B633" s="405" t="s">
        <v>351</v>
      </c>
      <c r="C633" s="198">
        <v>1.49248390141881</v>
      </c>
      <c r="D633" s="198">
        <v>0.99622831656321698</v>
      </c>
      <c r="E633" s="198">
        <v>1.8313182665969501</v>
      </c>
      <c r="F633" s="198">
        <v>2.1397282180262001</v>
      </c>
      <c r="G633" s="198">
        <v>1.04035725056891</v>
      </c>
      <c r="H633" s="198">
        <v>0.59294841618487704</v>
      </c>
      <c r="I633" s="198">
        <v>0.57247291989868598</v>
      </c>
      <c r="J633" s="198">
        <v>1.01664759040432</v>
      </c>
      <c r="K633" s="198">
        <v>1.6616530478818199</v>
      </c>
      <c r="L633" s="191">
        <v>3.7649125974577098</v>
      </c>
      <c r="M633" s="198">
        <v>5.0013540644799699</v>
      </c>
      <c r="N633" s="198">
        <v>4.8327960081826298</v>
      </c>
      <c r="O633" s="198">
        <v>6.2114360538357598</v>
      </c>
      <c r="P633" s="198">
        <v>7.6458048904834701</v>
      </c>
      <c r="Q633" s="198">
        <v>6.0760544614821299</v>
      </c>
      <c r="R633" s="198">
        <v>5.8919041082485801</v>
      </c>
      <c r="S633" s="198">
        <v>5.3069211711990496</v>
      </c>
      <c r="T633" s="198">
        <v>4.7421154444631703</v>
      </c>
      <c r="U633" s="198">
        <v>5.0153287294531603</v>
      </c>
      <c r="V633" s="198">
        <v>4.9771609455107502</v>
      </c>
      <c r="W633" s="198">
        <v>4.9645862392498303</v>
      </c>
      <c r="X633" s="191">
        <v>5.22618424913317</v>
      </c>
      <c r="Y633" s="198">
        <v>4.45967212495336</v>
      </c>
      <c r="Z633" s="198" t="s">
        <v>93</v>
      </c>
      <c r="AA633" s="198">
        <v>1.75</v>
      </c>
      <c r="AB633" s="198" t="s">
        <v>93</v>
      </c>
      <c r="AC633" s="198">
        <v>4</v>
      </c>
      <c r="AD633" s="191">
        <v>5</v>
      </c>
      <c r="AE633" s="199" t="s">
        <v>207</v>
      </c>
    </row>
    <row r="634" spans="2:32">
      <c r="B634" s="374">
        <v>44562</v>
      </c>
      <c r="C634" s="198"/>
      <c r="D634" s="198"/>
      <c r="E634" s="198"/>
      <c r="F634" s="198"/>
      <c r="G634" s="198"/>
      <c r="H634" s="198"/>
      <c r="I634" s="198"/>
      <c r="J634" s="198"/>
      <c r="K634" s="198"/>
      <c r="L634" s="191"/>
      <c r="M634" s="198"/>
      <c r="N634" s="210"/>
      <c r="O634" s="198"/>
      <c r="P634" s="198"/>
      <c r="Q634" s="198"/>
      <c r="R634" s="198"/>
      <c r="S634" s="198"/>
      <c r="T634" s="198"/>
      <c r="U634" s="198"/>
      <c r="V634" s="198"/>
      <c r="W634" s="198"/>
      <c r="X634" s="191"/>
      <c r="Y634" s="198"/>
      <c r="Z634" s="198"/>
      <c r="AA634" s="198"/>
      <c r="AB634" s="198"/>
      <c r="AC634" s="198"/>
      <c r="AD634" s="191"/>
      <c r="AE634" s="374">
        <v>44562</v>
      </c>
    </row>
    <row r="635" spans="2:32">
      <c r="B635" s="405" t="s">
        <v>184</v>
      </c>
      <c r="C635" s="198">
        <v>8.5893232726859292</v>
      </c>
      <c r="D635" s="198">
        <v>5.31907621153006</v>
      </c>
      <c r="E635" s="198">
        <v>9.1150738478398896</v>
      </c>
      <c r="F635" s="198">
        <v>5.2033768562735503</v>
      </c>
      <c r="G635" s="198">
        <v>4.2653700857328296</v>
      </c>
      <c r="H635" s="198">
        <v>4.6322023165759196</v>
      </c>
      <c r="I635" s="198">
        <v>6.4833258407157697</v>
      </c>
      <c r="J635" s="198">
        <v>8.8045856113221905</v>
      </c>
      <c r="K635" s="198">
        <v>8.4190308537893994</v>
      </c>
      <c r="L635" s="191">
        <v>10.1341638853362</v>
      </c>
      <c r="M635" s="198">
        <v>14.3310402994173</v>
      </c>
      <c r="N635" s="198">
        <v>9.9776442080344001</v>
      </c>
      <c r="O635" s="198">
        <v>16.437396817306201</v>
      </c>
      <c r="P635" s="198">
        <v>11.0467301202643</v>
      </c>
      <c r="Q635" s="210">
        <v>11.5804825189191</v>
      </c>
      <c r="R635" s="198">
        <v>11.666489262041001</v>
      </c>
      <c r="S635" s="198">
        <v>11.6988598043915</v>
      </c>
      <c r="T635" s="198">
        <v>16.373543851021601</v>
      </c>
      <c r="U635" s="198">
        <v>17.0676744899664</v>
      </c>
      <c r="V635" s="198">
        <v>18.102780757107102</v>
      </c>
      <c r="W635" s="198">
        <v>7.4764375542905404</v>
      </c>
      <c r="X635" s="191">
        <v>6.9649471355593899</v>
      </c>
      <c r="Y635" s="198">
        <v>8.4391980843331993</v>
      </c>
      <c r="Z635" s="198" t="s">
        <v>93</v>
      </c>
      <c r="AA635" s="198" t="s">
        <v>93</v>
      </c>
      <c r="AB635" s="198" t="s">
        <v>93</v>
      </c>
      <c r="AC635" s="198">
        <v>7.4918833177884503</v>
      </c>
      <c r="AD635" s="411">
        <v>9.30867815806468</v>
      </c>
      <c r="AE635" s="199" t="s">
        <v>350</v>
      </c>
      <c r="AF635" s="200"/>
    </row>
    <row r="636" spans="2:32">
      <c r="B636" s="405" t="s">
        <v>351</v>
      </c>
      <c r="C636" s="198">
        <v>1.48373358363344</v>
      </c>
      <c r="D636" s="198">
        <v>0.98994045930902796</v>
      </c>
      <c r="E636" s="198">
        <v>1.8144110323056599</v>
      </c>
      <c r="F636" s="198">
        <v>3.67247384116355</v>
      </c>
      <c r="G636" s="198">
        <v>1.0502745194374501</v>
      </c>
      <c r="H636" s="198">
        <v>0.444893858613992</v>
      </c>
      <c r="I636" s="198">
        <v>0.63382726599711203</v>
      </c>
      <c r="J636" s="198">
        <v>1.0389474718301199</v>
      </c>
      <c r="K636" s="198">
        <v>1.6407372898600801</v>
      </c>
      <c r="L636" s="191">
        <v>3.6741304930910301</v>
      </c>
      <c r="M636" s="198">
        <v>4.8006556076737601</v>
      </c>
      <c r="N636" s="198">
        <v>4.7113708624274597</v>
      </c>
      <c r="O636" s="198">
        <v>5.4539096501419797</v>
      </c>
      <c r="P636" s="198">
        <v>6.3436633327141001</v>
      </c>
      <c r="Q636" s="198">
        <v>5.5013674618503998</v>
      </c>
      <c r="R636" s="198">
        <v>5.3051706338567604</v>
      </c>
      <c r="S636" s="198">
        <v>5.2760646812051402</v>
      </c>
      <c r="T636" s="198">
        <v>4.6007785350649302</v>
      </c>
      <c r="U636" s="198">
        <v>4.7508606410655796</v>
      </c>
      <c r="V636" s="198">
        <v>4.8071397602293802</v>
      </c>
      <c r="W636" s="198">
        <v>4.7689175838842202</v>
      </c>
      <c r="X636" s="191">
        <v>5.2136250596724096</v>
      </c>
      <c r="Y636" s="198">
        <v>4.49705882352941</v>
      </c>
      <c r="Z636" s="198" t="s">
        <v>93</v>
      </c>
      <c r="AA636" s="198">
        <v>1.85</v>
      </c>
      <c r="AB636" s="198" t="s">
        <v>93</v>
      </c>
      <c r="AC636" s="198" t="s">
        <v>93</v>
      </c>
      <c r="AD636" s="191">
        <v>5</v>
      </c>
      <c r="AE636" s="199" t="s">
        <v>207</v>
      </c>
    </row>
    <row r="637" spans="2:32">
      <c r="B637" s="374">
        <v>44593</v>
      </c>
      <c r="C637" s="198"/>
      <c r="D637" s="198"/>
      <c r="E637" s="198"/>
      <c r="F637" s="198"/>
      <c r="G637" s="198"/>
      <c r="H637" s="198"/>
      <c r="I637" s="198"/>
      <c r="J637" s="198"/>
      <c r="K637" s="198"/>
      <c r="L637" s="191"/>
      <c r="M637" s="198"/>
      <c r="N637" s="198"/>
      <c r="O637" s="198"/>
      <c r="P637" s="198"/>
      <c r="Q637" s="198"/>
      <c r="R637" s="198"/>
      <c r="S637" s="198"/>
      <c r="T637" s="198"/>
      <c r="U637" s="198"/>
      <c r="V637" s="198"/>
      <c r="W637" s="198"/>
      <c r="X637" s="191"/>
      <c r="Y637" s="198"/>
      <c r="Z637" s="198"/>
      <c r="AA637" s="198"/>
      <c r="AB637" s="198"/>
      <c r="AC637" s="198"/>
      <c r="AD637" s="191"/>
      <c r="AE637" s="374">
        <v>44593</v>
      </c>
    </row>
    <row r="638" spans="2:32">
      <c r="B638" s="405" t="s">
        <v>184</v>
      </c>
      <c r="C638" s="198">
        <v>8.6211350531620106</v>
      </c>
      <c r="D638" s="198">
        <v>5.4251661885873101</v>
      </c>
      <c r="E638" s="198">
        <v>9.1183048055635592</v>
      </c>
      <c r="F638" s="198">
        <v>5.0228262359456899</v>
      </c>
      <c r="G638" s="198">
        <v>3.7460910353340502</v>
      </c>
      <c r="H638" s="198">
        <v>5.6388589843835604</v>
      </c>
      <c r="I638" s="198">
        <v>6.3403809123958697</v>
      </c>
      <c r="J638" s="198">
        <v>8.7850794510076593</v>
      </c>
      <c r="K638" s="198">
        <v>8.38469688285854</v>
      </c>
      <c r="L638" s="191">
        <v>10.531945800602999</v>
      </c>
      <c r="M638" s="198">
        <v>14.382187028067801</v>
      </c>
      <c r="N638" s="198">
        <v>10.047619206853099</v>
      </c>
      <c r="O638" s="198">
        <v>16.4257591188654</v>
      </c>
      <c r="P638" s="198">
        <v>10.918628479682701</v>
      </c>
      <c r="Q638" s="198">
        <v>13.3144207355069</v>
      </c>
      <c r="R638" s="198">
        <v>11.6676264190918</v>
      </c>
      <c r="S638" s="198">
        <v>11.895365421059401</v>
      </c>
      <c r="T638" s="198">
        <v>16.2801536911184</v>
      </c>
      <c r="U638" s="198">
        <v>17.0558390123173</v>
      </c>
      <c r="V638" s="198">
        <v>18.122632728630101</v>
      </c>
      <c r="W638" s="198">
        <v>7.5861105893973404</v>
      </c>
      <c r="X638" s="191">
        <v>6.9607394059763497</v>
      </c>
      <c r="Y638" s="198">
        <v>8.4391980843331993</v>
      </c>
      <c r="Z638" s="198" t="s">
        <v>93</v>
      </c>
      <c r="AA638" s="198" t="s">
        <v>93</v>
      </c>
      <c r="AB638" s="198" t="s">
        <v>93</v>
      </c>
      <c r="AC638" s="198">
        <v>7.4918833177884503</v>
      </c>
      <c r="AD638" s="191">
        <v>9.30867815806468</v>
      </c>
      <c r="AE638" s="199" t="s">
        <v>350</v>
      </c>
    </row>
    <row r="639" spans="2:32">
      <c r="B639" s="405" t="s">
        <v>351</v>
      </c>
      <c r="C639" s="198">
        <v>1.4761078312809901</v>
      </c>
      <c r="D639" s="198">
        <v>0.99133837896383104</v>
      </c>
      <c r="E639" s="198">
        <v>1.7948221364291701</v>
      </c>
      <c r="F639" s="198">
        <v>5.0451770158654696</v>
      </c>
      <c r="G639" s="198">
        <v>0.95270407399947299</v>
      </c>
      <c r="H639" s="198">
        <v>0.49021084348219202</v>
      </c>
      <c r="I639" s="198">
        <v>0.70582620642558802</v>
      </c>
      <c r="J639" s="198">
        <v>1.0363665787121401</v>
      </c>
      <c r="K639" s="198">
        <v>1.6390827298269399</v>
      </c>
      <c r="L639" s="191">
        <v>3.4875370484350299</v>
      </c>
      <c r="M639" s="198">
        <v>4.79901150341676</v>
      </c>
      <c r="N639" s="198">
        <v>4.7138502380871303</v>
      </c>
      <c r="O639" s="198">
        <v>5.4371068206894098</v>
      </c>
      <c r="P639" s="198">
        <v>8.0561850047092207</v>
      </c>
      <c r="Q639" s="198">
        <v>6.0792673024048796</v>
      </c>
      <c r="R639" s="198">
        <v>5.1611722126457797</v>
      </c>
      <c r="S639" s="198">
        <v>5.3182980704059499</v>
      </c>
      <c r="T639" s="198">
        <v>4.5528631520827396</v>
      </c>
      <c r="U639" s="198">
        <v>4.7416344335959302</v>
      </c>
      <c r="V639" s="198">
        <v>4.79529289078756</v>
      </c>
      <c r="W639" s="198">
        <v>4.7616531205578401</v>
      </c>
      <c r="X639" s="191">
        <v>5.1985772842887901</v>
      </c>
      <c r="Y639" s="198">
        <v>4.2869747899159698</v>
      </c>
      <c r="Z639" s="198" t="s">
        <v>93</v>
      </c>
      <c r="AA639" s="198">
        <v>1.85</v>
      </c>
      <c r="AB639" s="198" t="s">
        <v>93</v>
      </c>
      <c r="AC639" s="198" t="s">
        <v>93</v>
      </c>
      <c r="AD639" s="191">
        <v>4.75</v>
      </c>
      <c r="AE639" s="199" t="s">
        <v>207</v>
      </c>
    </row>
    <row r="640" spans="2:32">
      <c r="B640" s="374">
        <v>44621</v>
      </c>
      <c r="C640" s="198"/>
      <c r="D640" s="198"/>
      <c r="E640" s="198"/>
      <c r="F640" s="198"/>
      <c r="G640" s="198"/>
      <c r="H640" s="198"/>
      <c r="I640" s="198"/>
      <c r="J640" s="198"/>
      <c r="K640" s="198"/>
      <c r="L640" s="191"/>
      <c r="M640" s="198"/>
      <c r="N640" s="198"/>
      <c r="O640" s="198"/>
      <c r="P640" s="198"/>
      <c r="Q640" s="198"/>
      <c r="R640" s="198"/>
      <c r="S640" s="198"/>
      <c r="T640" s="198"/>
      <c r="U640" s="198"/>
      <c r="V640" s="198"/>
      <c r="W640" s="198"/>
      <c r="X640" s="191"/>
      <c r="Y640" s="198"/>
      <c r="Z640" s="198"/>
      <c r="AA640" s="198"/>
      <c r="AB640" s="198"/>
      <c r="AC640" s="198"/>
      <c r="AD640" s="191"/>
      <c r="AE640" s="374">
        <v>44621</v>
      </c>
    </row>
    <row r="641" spans="2:32">
      <c r="B641" s="405" t="s">
        <v>184</v>
      </c>
      <c r="C641" s="198">
        <v>8.6486856661334794</v>
      </c>
      <c r="D641" s="198">
        <v>5.4698052322823001</v>
      </c>
      <c r="E641" s="198">
        <v>9.1274990307266997</v>
      </c>
      <c r="F641" s="198">
        <v>5.0094588296783504</v>
      </c>
      <c r="G641" s="198">
        <v>4.0563350649350598</v>
      </c>
      <c r="H641" s="198">
        <v>5.81900949708273</v>
      </c>
      <c r="I641" s="198">
        <v>5.98162084867948</v>
      </c>
      <c r="J641" s="198">
        <v>8.8555758200616204</v>
      </c>
      <c r="K641" s="198">
        <v>8.3710607989096495</v>
      </c>
      <c r="L641" s="191">
        <v>10.5076994636814</v>
      </c>
      <c r="M641" s="198">
        <v>14.305857719264299</v>
      </c>
      <c r="N641" s="198">
        <v>10.0809905654903</v>
      </c>
      <c r="O641" s="198">
        <v>16.343960341089801</v>
      </c>
      <c r="P641" s="198">
        <v>10.9519323907738</v>
      </c>
      <c r="Q641" s="198">
        <v>11.4633586134594</v>
      </c>
      <c r="R641" s="198">
        <v>11.4478898148963</v>
      </c>
      <c r="S641" s="198">
        <v>12.1427051487155</v>
      </c>
      <c r="T641" s="198">
        <v>16.101660739685801</v>
      </c>
      <c r="U641" s="198">
        <v>16.964600482896302</v>
      </c>
      <c r="V641" s="198">
        <v>17.9750157358622</v>
      </c>
      <c r="W641" s="198">
        <v>7.6160291145444301</v>
      </c>
      <c r="X641" s="191">
        <v>6.9384660364501203</v>
      </c>
      <c r="Y641" s="198">
        <v>8.3060926740554297</v>
      </c>
      <c r="Z641" s="198" t="s">
        <v>93</v>
      </c>
      <c r="AA641" s="198" t="s">
        <v>93</v>
      </c>
      <c r="AB641" s="198" t="s">
        <v>93</v>
      </c>
      <c r="AC641" s="198">
        <v>7.3589897060732801</v>
      </c>
      <c r="AD641" s="191">
        <v>9.30867815806468</v>
      </c>
      <c r="AE641" s="199" t="s">
        <v>350</v>
      </c>
    </row>
    <row r="642" spans="2:32">
      <c r="B642" s="405" t="s">
        <v>351</v>
      </c>
      <c r="C642" s="198">
        <v>1.4660195075040301</v>
      </c>
      <c r="D642" s="198">
        <v>0.99322551460534403</v>
      </c>
      <c r="E642" s="198">
        <v>1.7797722608727</v>
      </c>
      <c r="F642" s="198">
        <v>4.5340125219451304</v>
      </c>
      <c r="G642" s="198">
        <v>1.0587462549539901</v>
      </c>
      <c r="H642" s="198">
        <v>0.49040669326434499</v>
      </c>
      <c r="I642" s="198">
        <v>0.65910037164052804</v>
      </c>
      <c r="J642" s="198">
        <v>1.0478138232982299</v>
      </c>
      <c r="K642" s="198">
        <v>1.6021511531264101</v>
      </c>
      <c r="L642" s="191">
        <v>3.6646334007071002</v>
      </c>
      <c r="M642" s="198">
        <v>4.7807085127099</v>
      </c>
      <c r="N642" s="198">
        <v>4.7020341082574397</v>
      </c>
      <c r="O642" s="198">
        <v>5.37222524367853</v>
      </c>
      <c r="P642" s="198">
        <v>8.1013265718663003</v>
      </c>
      <c r="Q642" s="198">
        <v>5.0566188368040397</v>
      </c>
      <c r="R642" s="198">
        <v>4.8774625662545503</v>
      </c>
      <c r="S642" s="198">
        <v>5.2668571243472204</v>
      </c>
      <c r="T642" s="198">
        <v>4.6087963497125699</v>
      </c>
      <c r="U642" s="198">
        <v>4.7085365667282604</v>
      </c>
      <c r="V642" s="198">
        <v>4.7879284810601002</v>
      </c>
      <c r="W642" s="198">
        <v>4.7530806265123404</v>
      </c>
      <c r="X642" s="191">
        <v>5.19366646478265</v>
      </c>
      <c r="Y642" s="198">
        <v>4.2841390179082701</v>
      </c>
      <c r="Z642" s="198" t="s">
        <v>93</v>
      </c>
      <c r="AA642" s="198">
        <v>1.85</v>
      </c>
      <c r="AB642" s="198" t="s">
        <v>93</v>
      </c>
      <c r="AC642" s="198">
        <v>4</v>
      </c>
      <c r="AD642" s="191">
        <v>4.75</v>
      </c>
      <c r="AE642" s="199" t="s">
        <v>207</v>
      </c>
    </row>
    <row r="643" spans="2:32">
      <c r="B643" s="374">
        <v>44652</v>
      </c>
      <c r="C643" s="198"/>
      <c r="D643" s="198"/>
      <c r="E643" s="198"/>
      <c r="F643" s="198"/>
      <c r="G643" s="198"/>
      <c r="H643" s="198"/>
      <c r="I643" s="198"/>
      <c r="J643" s="198"/>
      <c r="K643" s="198"/>
      <c r="L643" s="191"/>
      <c r="M643" s="198"/>
      <c r="N643" s="198"/>
      <c r="O643" s="198"/>
      <c r="P643" s="198"/>
      <c r="Q643" s="198"/>
      <c r="R643" s="198"/>
      <c r="S643" s="198"/>
      <c r="T643" s="198"/>
      <c r="U643" s="198"/>
      <c r="V643" s="198"/>
      <c r="W643" s="198"/>
      <c r="X643" s="191"/>
      <c r="Y643" s="198"/>
      <c r="Z643" s="198"/>
      <c r="AA643" s="198"/>
      <c r="AB643" s="198"/>
      <c r="AC643" s="198"/>
      <c r="AD643" s="191"/>
      <c r="AE643" s="374">
        <v>44652</v>
      </c>
    </row>
    <row r="644" spans="2:32">
      <c r="B644" s="405" t="s">
        <v>184</v>
      </c>
      <c r="C644" s="198">
        <v>8.7305520484873007</v>
      </c>
      <c r="D644" s="198">
        <v>5.65349734447594</v>
      </c>
      <c r="E644" s="198">
        <v>9.1677763806918406</v>
      </c>
      <c r="F644" s="198">
        <v>5.7400872723896601</v>
      </c>
      <c r="G644" s="198">
        <v>5.0647883216357403</v>
      </c>
      <c r="H644" s="198">
        <v>5.8450938053232999</v>
      </c>
      <c r="I644" s="198">
        <v>6.58457400176533</v>
      </c>
      <c r="J644" s="198">
        <v>8.8980079375865699</v>
      </c>
      <c r="K644" s="198">
        <v>8.5045453554138799</v>
      </c>
      <c r="L644" s="191">
        <v>10.4916242034645</v>
      </c>
      <c r="M644" s="198">
        <v>14.2774216015181</v>
      </c>
      <c r="N644" s="198">
        <v>10.1015936761764</v>
      </c>
      <c r="O644" s="198">
        <v>16.291645831181501</v>
      </c>
      <c r="P644" s="198">
        <v>10.5352800393023</v>
      </c>
      <c r="Q644" s="198">
        <v>11.353060721102899</v>
      </c>
      <c r="R644" s="198">
        <v>11.5111666774615</v>
      </c>
      <c r="S644" s="198">
        <v>12.119347159932101</v>
      </c>
      <c r="T644" s="198">
        <v>16.0106442984073</v>
      </c>
      <c r="U644" s="198">
        <v>16.9109851269085</v>
      </c>
      <c r="V644" s="198">
        <v>17.9240665119166</v>
      </c>
      <c r="W644" s="198">
        <v>7.6570198279476598</v>
      </c>
      <c r="X644" s="191">
        <v>6.9123115204927803</v>
      </c>
      <c r="Y644" s="198">
        <v>8.3060926740554297</v>
      </c>
      <c r="Z644" s="198" t="s">
        <v>93</v>
      </c>
      <c r="AA644" s="198" t="s">
        <v>93</v>
      </c>
      <c r="AB644" s="198" t="s">
        <v>93</v>
      </c>
      <c r="AC644" s="198">
        <v>7.3589897060732801</v>
      </c>
      <c r="AD644" s="191">
        <v>9.30867815806468</v>
      </c>
      <c r="AE644" s="199" t="s">
        <v>350</v>
      </c>
    </row>
    <row r="645" spans="2:32">
      <c r="B645" s="405" t="s">
        <v>351</v>
      </c>
      <c r="C645" s="198">
        <v>1.4520519725412699</v>
      </c>
      <c r="D645" s="198">
        <v>0.97018893360459801</v>
      </c>
      <c r="E645" s="198">
        <v>1.75348371979388</v>
      </c>
      <c r="F645" s="198">
        <v>4.32177759066031</v>
      </c>
      <c r="G645" s="198">
        <v>0.94006797999062497</v>
      </c>
      <c r="H645" s="198">
        <v>0.44844084888788199</v>
      </c>
      <c r="I645" s="198">
        <v>0.66913483970731003</v>
      </c>
      <c r="J645" s="198">
        <v>1.0096549892773501</v>
      </c>
      <c r="K645" s="198">
        <v>1.60763882003166</v>
      </c>
      <c r="L645" s="191">
        <v>3.6706978061350402</v>
      </c>
      <c r="M645" s="198">
        <v>4.7562016386869699</v>
      </c>
      <c r="N645" s="198">
        <v>4.6865988615353098</v>
      </c>
      <c r="O645" s="198">
        <v>5.2313451325033</v>
      </c>
      <c r="P645" s="198">
        <v>8.1352782256071396</v>
      </c>
      <c r="Q645" s="198">
        <v>4.9124310126347597</v>
      </c>
      <c r="R645" s="198">
        <v>4.87683852315834</v>
      </c>
      <c r="S645" s="198">
        <v>5.2054393214836798</v>
      </c>
      <c r="T645" s="198">
        <v>4.6228926284989003</v>
      </c>
      <c r="U645" s="198">
        <v>4.6624687912756002</v>
      </c>
      <c r="V645" s="198">
        <v>4.7565333238863596</v>
      </c>
      <c r="W645" s="198">
        <v>4.7398841784824102</v>
      </c>
      <c r="X645" s="191">
        <v>5.2094985892816696</v>
      </c>
      <c r="Y645" s="198">
        <v>2.8252222788258798</v>
      </c>
      <c r="Z645" s="198">
        <v>0.5</v>
      </c>
      <c r="AA645" s="198">
        <v>1.28018582104625</v>
      </c>
      <c r="AB645" s="198" t="s">
        <v>93</v>
      </c>
      <c r="AC645" s="198">
        <v>4</v>
      </c>
      <c r="AD645" s="191">
        <v>4.75</v>
      </c>
      <c r="AE645" s="199" t="s">
        <v>207</v>
      </c>
    </row>
    <row r="646" spans="2:32">
      <c r="B646" s="374">
        <v>44682</v>
      </c>
      <c r="C646" s="198"/>
      <c r="D646" s="198"/>
      <c r="E646" s="198"/>
      <c r="F646" s="198"/>
      <c r="G646" s="198"/>
      <c r="H646" s="198"/>
      <c r="I646" s="198"/>
      <c r="J646" s="198"/>
      <c r="K646" s="198"/>
      <c r="L646" s="191"/>
      <c r="M646" s="198"/>
      <c r="N646" s="210"/>
      <c r="O646" s="198"/>
      <c r="P646" s="198"/>
      <c r="Q646" s="198"/>
      <c r="R646" s="198"/>
      <c r="S646" s="198"/>
      <c r="T646" s="198"/>
      <c r="U646" s="198"/>
      <c r="V646" s="198"/>
      <c r="W646" s="198"/>
      <c r="X646" s="191"/>
      <c r="Y646" s="198"/>
      <c r="Z646" s="198"/>
      <c r="AA646" s="198"/>
      <c r="AB646" s="198"/>
      <c r="AC646" s="198"/>
      <c r="AD646" s="191"/>
      <c r="AE646" s="374">
        <v>44682</v>
      </c>
    </row>
    <row r="647" spans="2:32">
      <c r="B647" s="405" t="s">
        <v>184</v>
      </c>
      <c r="C647" s="198">
        <v>8.7212718412205099</v>
      </c>
      <c r="D647" s="198">
        <v>5.6622528009373703</v>
      </c>
      <c r="E647" s="198">
        <v>9.1342740900264108</v>
      </c>
      <c r="F647" s="198">
        <v>6.7413822389070104</v>
      </c>
      <c r="G647" s="198">
        <v>4.6616830633284199</v>
      </c>
      <c r="H647" s="198">
        <v>4.4699825063642002</v>
      </c>
      <c r="I647" s="198">
        <v>6.6554159496389103</v>
      </c>
      <c r="J647" s="198">
        <v>9.0302013078209793</v>
      </c>
      <c r="K647" s="198">
        <v>8.4454325056301691</v>
      </c>
      <c r="L647" s="191">
        <v>10.4152455600822</v>
      </c>
      <c r="M647" s="198">
        <v>14.2377509306829</v>
      </c>
      <c r="N647" s="198">
        <v>10.107180807781299</v>
      </c>
      <c r="O647" s="198">
        <v>16.221214605832799</v>
      </c>
      <c r="P647" s="198">
        <v>11.2058788980556</v>
      </c>
      <c r="Q647" s="210">
        <v>10.972178973795801</v>
      </c>
      <c r="R647" s="198">
        <v>11.414448050536199</v>
      </c>
      <c r="S647" s="198">
        <v>12.092398925145</v>
      </c>
      <c r="T647" s="198">
        <v>15.255640616400999</v>
      </c>
      <c r="U647" s="198">
        <v>16.965384314312601</v>
      </c>
      <c r="V647" s="198">
        <v>17.852582379402499</v>
      </c>
      <c r="W647" s="198">
        <v>7.7130471568491297</v>
      </c>
      <c r="X647" s="191">
        <v>6.9280039542685996</v>
      </c>
      <c r="Y647" s="198">
        <v>8.2767907525252902</v>
      </c>
      <c r="Z647" s="198" t="s">
        <v>93</v>
      </c>
      <c r="AA647" s="198" t="s">
        <v>93</v>
      </c>
      <c r="AB647" s="198" t="s">
        <v>93</v>
      </c>
      <c r="AC647" s="198">
        <v>7.2175042877127504</v>
      </c>
      <c r="AD647" s="411">
        <v>9.30867815806468</v>
      </c>
      <c r="AE647" s="199" t="s">
        <v>350</v>
      </c>
      <c r="AF647" s="200"/>
    </row>
    <row r="648" spans="2:32">
      <c r="B648" s="405" t="s">
        <v>351</v>
      </c>
      <c r="C648" s="198">
        <v>1.4275776099350801</v>
      </c>
      <c r="D648" s="198">
        <v>0.996519314348148</v>
      </c>
      <c r="E648" s="198">
        <v>1.68897881332377</v>
      </c>
      <c r="F648" s="198">
        <v>4.4134467989541104</v>
      </c>
      <c r="G648" s="198">
        <v>0.84248272397353197</v>
      </c>
      <c r="H648" s="198">
        <v>0.46295651438817897</v>
      </c>
      <c r="I648" s="198">
        <v>0.43429772282183599</v>
      </c>
      <c r="J648" s="198">
        <v>0.99981678139421104</v>
      </c>
      <c r="K648" s="198">
        <v>1.5598445457903001</v>
      </c>
      <c r="L648" s="191">
        <v>3.6980399311257099</v>
      </c>
      <c r="M648" s="198">
        <v>4.7500716534101697</v>
      </c>
      <c r="N648" s="198">
        <v>4.6769419818690601</v>
      </c>
      <c r="O648" s="198">
        <v>5.3178428384465501</v>
      </c>
      <c r="P648" s="198">
        <v>7.9454155798438402</v>
      </c>
      <c r="Q648" s="198">
        <v>4.97057515089225</v>
      </c>
      <c r="R648" s="198">
        <v>5.0210586610907599</v>
      </c>
      <c r="S648" s="198">
        <v>4.2505758095672599</v>
      </c>
      <c r="T648" s="198">
        <v>4.6314035617615597</v>
      </c>
      <c r="U648" s="198">
        <v>4.6697973993653497</v>
      </c>
      <c r="V648" s="198">
        <v>4.7796225572394899</v>
      </c>
      <c r="W648" s="198">
        <v>4.7143686696342604</v>
      </c>
      <c r="X648" s="191">
        <v>5.2673328428975301</v>
      </c>
      <c r="Y648" s="198">
        <v>3.14169942623055</v>
      </c>
      <c r="Z648" s="198" t="s">
        <v>93</v>
      </c>
      <c r="AA648" s="198">
        <v>1.2930662948409199</v>
      </c>
      <c r="AB648" s="198" t="s">
        <v>93</v>
      </c>
      <c r="AC648" s="198">
        <v>4</v>
      </c>
      <c r="AD648" s="191">
        <v>3.9375</v>
      </c>
      <c r="AE648" s="199" t="s">
        <v>207</v>
      </c>
    </row>
    <row r="649" spans="2:32">
      <c r="B649" s="374">
        <v>44713</v>
      </c>
      <c r="C649" s="198"/>
      <c r="D649" s="198"/>
      <c r="E649" s="198"/>
      <c r="F649" s="198"/>
      <c r="G649" s="198"/>
      <c r="H649" s="198"/>
      <c r="I649" s="198"/>
      <c r="J649" s="198"/>
      <c r="K649" s="198"/>
      <c r="L649" s="191"/>
      <c r="M649" s="198"/>
      <c r="N649" s="198"/>
      <c r="O649" s="198"/>
      <c r="P649" s="198"/>
      <c r="Q649" s="198"/>
      <c r="R649" s="198"/>
      <c r="S649" s="198"/>
      <c r="T649" s="198"/>
      <c r="U649" s="198"/>
      <c r="V649" s="198"/>
      <c r="W649" s="198"/>
      <c r="X649" s="191"/>
      <c r="Y649" s="198"/>
      <c r="Z649" s="198"/>
      <c r="AA649" s="198"/>
      <c r="AB649" s="198"/>
      <c r="AC649" s="198"/>
      <c r="AD649" s="191"/>
      <c r="AE649" s="374">
        <v>44713</v>
      </c>
    </row>
    <row r="650" spans="2:32">
      <c r="B650" s="405" t="s">
        <v>184</v>
      </c>
      <c r="C650" s="198">
        <v>8.7200656052578598</v>
      </c>
      <c r="D650" s="198">
        <v>5.6755645513418402</v>
      </c>
      <c r="E650" s="198">
        <v>9.1363305415739209</v>
      </c>
      <c r="F650" s="198">
        <v>3.1062774417562702</v>
      </c>
      <c r="G650" s="198">
        <v>5.1071923640073003</v>
      </c>
      <c r="H650" s="198">
        <v>4.44163694770024</v>
      </c>
      <c r="I650" s="198">
        <v>6.85067292996494</v>
      </c>
      <c r="J650" s="198">
        <v>9.0764698924794907</v>
      </c>
      <c r="K650" s="198">
        <v>8.4107388252640494</v>
      </c>
      <c r="L650" s="191">
        <v>10.296551942945401</v>
      </c>
      <c r="M650" s="198">
        <v>14.260917119873</v>
      </c>
      <c r="N650" s="198">
        <v>10.196000714026599</v>
      </c>
      <c r="O650" s="198">
        <v>16.1728011235503</v>
      </c>
      <c r="P650" s="198">
        <v>11.006370042288699</v>
      </c>
      <c r="Q650" s="198">
        <v>11.5097886131409</v>
      </c>
      <c r="R650" s="198">
        <v>11.2174483631853</v>
      </c>
      <c r="S650" s="198">
        <v>12.1036870203238</v>
      </c>
      <c r="T650" s="198">
        <v>15.466266561699101</v>
      </c>
      <c r="U650" s="198">
        <v>16.873585755836899</v>
      </c>
      <c r="V650" s="198">
        <v>17.828976991383399</v>
      </c>
      <c r="W650" s="198">
        <v>7.7952871774319803</v>
      </c>
      <c r="X650" s="191">
        <v>6.9316370101092799</v>
      </c>
      <c r="Y650" s="198">
        <v>8.2839353437632006</v>
      </c>
      <c r="Z650" s="198" t="s">
        <v>93</v>
      </c>
      <c r="AA650" s="198" t="s">
        <v>93</v>
      </c>
      <c r="AB650" s="198" t="s">
        <v>93</v>
      </c>
      <c r="AC650" s="198">
        <v>7.1754579095088902</v>
      </c>
      <c r="AD650" s="191">
        <v>9.30867815806468</v>
      </c>
      <c r="AE650" s="199" t="s">
        <v>350</v>
      </c>
    </row>
    <row r="651" spans="2:32">
      <c r="B651" s="405" t="s">
        <v>351</v>
      </c>
      <c r="C651" s="198">
        <v>1.4327143698809599</v>
      </c>
      <c r="D651" s="198">
        <v>1.02086261782002</v>
      </c>
      <c r="E651" s="198">
        <v>1.6767147727208001</v>
      </c>
      <c r="F651" s="198">
        <v>2.8770345221928402</v>
      </c>
      <c r="G651" s="198">
        <v>0.19900245872848599</v>
      </c>
      <c r="H651" s="198">
        <v>0.44095598572484801</v>
      </c>
      <c r="I651" s="198">
        <v>0.44670605197699098</v>
      </c>
      <c r="J651" s="198">
        <v>1.00369101612707</v>
      </c>
      <c r="K651" s="198">
        <v>1.56914508967818</v>
      </c>
      <c r="L651" s="191">
        <v>3.65582023193193</v>
      </c>
      <c r="M651" s="198">
        <v>4.7238668263829604</v>
      </c>
      <c r="N651" s="198">
        <v>4.6522379746111602</v>
      </c>
      <c r="O651" s="198">
        <v>5.2763936356370698</v>
      </c>
      <c r="P651" s="198">
        <v>8.1025857088108495</v>
      </c>
      <c r="Q651" s="198">
        <v>4.9187579198867803</v>
      </c>
      <c r="R651" s="198">
        <v>5.0035944325487698</v>
      </c>
      <c r="S651" s="198">
        <v>4.0079120592377304</v>
      </c>
      <c r="T651" s="198">
        <v>4.5591756527246901</v>
      </c>
      <c r="U651" s="198">
        <v>4.6163411394304896</v>
      </c>
      <c r="V651" s="198">
        <v>4.7775707223817898</v>
      </c>
      <c r="W651" s="198">
        <v>4.73256451133315</v>
      </c>
      <c r="X651" s="191">
        <v>5.2703745854543902</v>
      </c>
      <c r="Y651" s="198">
        <v>3.13152071539248</v>
      </c>
      <c r="Z651" s="198" t="s">
        <v>93</v>
      </c>
      <c r="AA651" s="198">
        <v>1.2884351478354901</v>
      </c>
      <c r="AB651" s="198" t="s">
        <v>93</v>
      </c>
      <c r="AC651" s="198">
        <v>4</v>
      </c>
      <c r="AD651" s="191">
        <v>3.9375</v>
      </c>
      <c r="AE651" s="199" t="s">
        <v>207</v>
      </c>
    </row>
    <row r="652" spans="2:32">
      <c r="B652" s="374">
        <v>44743</v>
      </c>
      <c r="C652" s="198"/>
      <c r="D652" s="198"/>
      <c r="E652" s="198"/>
      <c r="F652" s="198"/>
      <c r="G652" s="198"/>
      <c r="H652" s="198"/>
      <c r="I652" s="198"/>
      <c r="J652" s="198"/>
      <c r="K652" s="198"/>
      <c r="L652" s="191"/>
      <c r="M652" s="198"/>
      <c r="N652" s="198"/>
      <c r="O652" s="198"/>
      <c r="P652" s="198"/>
      <c r="Q652" s="198"/>
      <c r="R652" s="198"/>
      <c r="S652" s="198"/>
      <c r="T652" s="198"/>
      <c r="U652" s="198"/>
      <c r="V652" s="198"/>
      <c r="W652" s="198"/>
      <c r="X652" s="191"/>
      <c r="Y652" s="198"/>
      <c r="Z652" s="198"/>
      <c r="AA652" s="198"/>
      <c r="AB652" s="198"/>
      <c r="AC652" s="198"/>
      <c r="AD652" s="191"/>
      <c r="AE652" s="374">
        <v>44743</v>
      </c>
    </row>
    <row r="653" spans="2:32">
      <c r="B653" s="405" t="s">
        <v>184</v>
      </c>
      <c r="C653" s="198">
        <v>8.6506981191968499</v>
      </c>
      <c r="D653" s="198">
        <v>5.4454532782358704</v>
      </c>
      <c r="E653" s="198">
        <v>9.1296443041515296</v>
      </c>
      <c r="F653" s="198">
        <v>3.3855875822694501</v>
      </c>
      <c r="G653" s="198">
        <v>3.7461179343559401</v>
      </c>
      <c r="H653" s="198">
        <v>4.2748428443307196</v>
      </c>
      <c r="I653" s="198">
        <v>6.8141395093874202</v>
      </c>
      <c r="J653" s="198">
        <v>9.0104927786926901</v>
      </c>
      <c r="K653" s="198">
        <v>8.3738954543587596</v>
      </c>
      <c r="L653" s="191">
        <v>10.352675535647499</v>
      </c>
      <c r="M653" s="198">
        <v>14.3128395174397</v>
      </c>
      <c r="N653" s="198">
        <v>10.231128765781</v>
      </c>
      <c r="O653" s="198">
        <v>16.229059174683599</v>
      </c>
      <c r="P653" s="198">
        <v>10.7049542225637</v>
      </c>
      <c r="Q653" s="198">
        <v>12.226201475036399</v>
      </c>
      <c r="R653" s="198">
        <v>11.166181968889401</v>
      </c>
      <c r="S653" s="198">
        <v>11.466202106535199</v>
      </c>
      <c r="T653" s="198">
        <v>14.656468988145001</v>
      </c>
      <c r="U653" s="198">
        <v>17.1878131235596</v>
      </c>
      <c r="V653" s="198">
        <v>17.826319929552799</v>
      </c>
      <c r="W653" s="198">
        <v>7.8563531955571202</v>
      </c>
      <c r="X653" s="191">
        <v>6.9361678590223299</v>
      </c>
      <c r="Y653" s="198">
        <v>8.2839353437632006</v>
      </c>
      <c r="Z653" s="198" t="s">
        <v>93</v>
      </c>
      <c r="AA653" s="198" t="s">
        <v>93</v>
      </c>
      <c r="AB653" s="198" t="s">
        <v>93</v>
      </c>
      <c r="AC653" s="198">
        <v>7.1754579095088902</v>
      </c>
      <c r="AD653" s="191">
        <v>9.30867815806468</v>
      </c>
      <c r="AE653" s="199" t="s">
        <v>350</v>
      </c>
    </row>
    <row r="654" spans="2:32">
      <c r="B654" s="405" t="s">
        <v>351</v>
      </c>
      <c r="C654" s="198">
        <v>1.2991849736038199</v>
      </c>
      <c r="D654" s="198">
        <v>0.81455582492560197</v>
      </c>
      <c r="E654" s="198">
        <v>1.65324585171044</v>
      </c>
      <c r="F654" s="198">
        <v>2.4225602409638598</v>
      </c>
      <c r="G654" s="198">
        <v>0.195504643962848</v>
      </c>
      <c r="H654" s="198">
        <v>0.46152342350834202</v>
      </c>
      <c r="I654" s="198">
        <v>0.54329487153848399</v>
      </c>
      <c r="J654" s="198">
        <v>1.00627328424267</v>
      </c>
      <c r="K654" s="198">
        <v>1.32157867705695</v>
      </c>
      <c r="L654" s="191">
        <v>4.8228100843756199</v>
      </c>
      <c r="M654" s="198">
        <v>4.7714372015424598</v>
      </c>
      <c r="N654" s="198">
        <v>4.7072000151636804</v>
      </c>
      <c r="O654" s="198">
        <v>5.3026066696144101</v>
      </c>
      <c r="P654" s="198">
        <v>8.1310387491559801</v>
      </c>
      <c r="Q654" s="198">
        <v>5.2309128422056403</v>
      </c>
      <c r="R654" s="198">
        <v>4.9450943494517601</v>
      </c>
      <c r="S654" s="198">
        <v>4.4505490929043496</v>
      </c>
      <c r="T654" s="198">
        <v>4.5200812195231101</v>
      </c>
      <c r="U654" s="198">
        <v>4.7384206228830701</v>
      </c>
      <c r="V654" s="198">
        <v>4.7382567965801696</v>
      </c>
      <c r="W654" s="198">
        <v>4.9147919042508201</v>
      </c>
      <c r="X654" s="191">
        <v>5.2676935193613597</v>
      </c>
      <c r="Y654" s="198">
        <v>3.3820165883683799</v>
      </c>
      <c r="Z654" s="198" t="s">
        <v>93</v>
      </c>
      <c r="AA654" s="198" t="s">
        <v>93</v>
      </c>
      <c r="AB654" s="198" t="s">
        <v>93</v>
      </c>
      <c r="AC654" s="198">
        <v>2.1914385709372701</v>
      </c>
      <c r="AD654" s="191">
        <v>3.7666666666666702</v>
      </c>
      <c r="AE654" s="199" t="s">
        <v>207</v>
      </c>
    </row>
    <row r="655" spans="2:32">
      <c r="B655" s="374">
        <v>44774</v>
      </c>
      <c r="C655" s="198"/>
      <c r="D655" s="198"/>
      <c r="E655" s="198"/>
      <c r="F655" s="198"/>
      <c r="G655" s="198"/>
      <c r="H655" s="198"/>
      <c r="I655" s="198"/>
      <c r="J655" s="198"/>
      <c r="K655" s="198"/>
      <c r="L655" s="191"/>
      <c r="M655" s="198"/>
      <c r="N655" s="210"/>
      <c r="O655" s="198"/>
      <c r="P655" s="198"/>
      <c r="Q655" s="198"/>
      <c r="R655" s="198"/>
      <c r="S655" s="198"/>
      <c r="T655" s="198"/>
      <c r="U655" s="198"/>
      <c r="V655" s="198"/>
      <c r="W655" s="198"/>
      <c r="X655" s="191"/>
      <c r="Y655" s="198"/>
      <c r="Z655" s="198"/>
      <c r="AA655" s="198"/>
      <c r="AB655" s="198"/>
      <c r="AC655" s="198"/>
      <c r="AD655" s="191"/>
      <c r="AE655" s="374">
        <v>44774</v>
      </c>
    </row>
    <row r="656" spans="2:32">
      <c r="B656" s="405" t="s">
        <v>184</v>
      </c>
      <c r="C656" s="198">
        <v>8.5239701021015009</v>
      </c>
      <c r="D656" s="198">
        <v>5.0563448097957702</v>
      </c>
      <c r="E656" s="198">
        <v>9.1731669206519406</v>
      </c>
      <c r="F656" s="198">
        <v>3.9397327771352999</v>
      </c>
      <c r="G656" s="198">
        <v>3.66352057296384</v>
      </c>
      <c r="H656" s="198">
        <v>4.4877818815939099</v>
      </c>
      <c r="I656" s="198">
        <v>4.2788502733089899</v>
      </c>
      <c r="J656" s="198">
        <v>8.9641484154815707</v>
      </c>
      <c r="K656" s="198">
        <v>8.3989788830766798</v>
      </c>
      <c r="L656" s="191">
        <v>10.286975248305501</v>
      </c>
      <c r="M656" s="198">
        <v>14.338801406616501</v>
      </c>
      <c r="N656" s="198">
        <v>10.215514391532</v>
      </c>
      <c r="O656" s="198">
        <v>16.2530286785308</v>
      </c>
      <c r="P656" s="198">
        <v>10.4899439845247</v>
      </c>
      <c r="Q656" s="210">
        <v>14.458362118709999</v>
      </c>
      <c r="R656" s="198">
        <v>11.0777187463366</v>
      </c>
      <c r="S656" s="198">
        <v>11.1580469744186</v>
      </c>
      <c r="T656" s="198">
        <v>14.2390404396044</v>
      </c>
      <c r="U656" s="198">
        <v>17.2358318521473</v>
      </c>
      <c r="V656" s="198">
        <v>17.793699724202501</v>
      </c>
      <c r="W656" s="198">
        <v>7.9450746807476902</v>
      </c>
      <c r="X656" s="191">
        <v>6.9008666943156101</v>
      </c>
      <c r="Y656" s="198">
        <v>8.2839353437632006</v>
      </c>
      <c r="Z656" s="198" t="s">
        <v>93</v>
      </c>
      <c r="AA656" s="198" t="s">
        <v>93</v>
      </c>
      <c r="AB656" s="198" t="s">
        <v>93</v>
      </c>
      <c r="AC656" s="198">
        <v>7.1754579095088902</v>
      </c>
      <c r="AD656" s="411">
        <v>9.30867815806468</v>
      </c>
      <c r="AE656" s="199" t="s">
        <v>350</v>
      </c>
    </row>
    <row r="657" spans="2:31">
      <c r="B657" s="405" t="s">
        <v>351</v>
      </c>
      <c r="C657" s="198">
        <v>1.3094628270912201</v>
      </c>
      <c r="D657" s="198">
        <v>0.82417762573693099</v>
      </c>
      <c r="E657" s="198">
        <v>1.66452657182915</v>
      </c>
      <c r="F657" s="198">
        <v>3.0623211646872099</v>
      </c>
      <c r="G657" s="198">
        <v>0.123428290766208</v>
      </c>
      <c r="H657" s="198">
        <v>0.44862126550686299</v>
      </c>
      <c r="I657" s="198">
        <v>0.631105064515188</v>
      </c>
      <c r="J657" s="198">
        <v>1.02745034815401</v>
      </c>
      <c r="K657" s="198">
        <v>1.3288143772399099</v>
      </c>
      <c r="L657" s="191">
        <v>4.9234023438309</v>
      </c>
      <c r="M657" s="198">
        <v>4.7595533386127897</v>
      </c>
      <c r="N657" s="198">
        <v>4.7068263824737002</v>
      </c>
      <c r="O657" s="198">
        <v>5.1591373948855699</v>
      </c>
      <c r="P657" s="198">
        <v>8.0754954140892803</v>
      </c>
      <c r="Q657" s="198">
        <v>5.3655580155552096</v>
      </c>
      <c r="R657" s="198">
        <v>4.8440730136892096</v>
      </c>
      <c r="S657" s="198">
        <v>4.4188372235435303</v>
      </c>
      <c r="T657" s="198">
        <v>4.5556289030237203</v>
      </c>
      <c r="U657" s="198">
        <v>4.7697980854597102</v>
      </c>
      <c r="V657" s="198">
        <v>4.6697036805711702</v>
      </c>
      <c r="W657" s="198">
        <v>4.90396292687862</v>
      </c>
      <c r="X657" s="191">
        <v>5.2618743421994303</v>
      </c>
      <c r="Y657" s="198">
        <v>3.3868382234452699</v>
      </c>
      <c r="Z657" s="198" t="s">
        <v>93</v>
      </c>
      <c r="AA657" s="198" t="s">
        <v>93</v>
      </c>
      <c r="AB657" s="198" t="s">
        <v>93</v>
      </c>
      <c r="AC657" s="198">
        <v>2.19310840651158</v>
      </c>
      <c r="AD657" s="191">
        <v>3.7666666666666702</v>
      </c>
      <c r="AE657" s="199" t="s">
        <v>207</v>
      </c>
    </row>
    <row r="658" spans="2:31">
      <c r="B658" s="374">
        <v>44805</v>
      </c>
      <c r="C658" s="198"/>
      <c r="D658" s="198"/>
      <c r="E658" s="198"/>
      <c r="F658" s="198"/>
      <c r="G658" s="198"/>
      <c r="H658" s="198"/>
      <c r="I658" s="198"/>
      <c r="J658" s="198"/>
      <c r="K658" s="198"/>
      <c r="L658" s="191"/>
      <c r="M658" s="198"/>
      <c r="N658" s="198"/>
      <c r="O658" s="198"/>
      <c r="P658" s="198"/>
      <c r="Q658" s="198"/>
      <c r="R658" s="198"/>
      <c r="S658" s="198"/>
      <c r="T658" s="198"/>
      <c r="U658" s="198"/>
      <c r="V658" s="198"/>
      <c r="W658" s="198"/>
      <c r="X658" s="191"/>
      <c r="Y658" s="198"/>
      <c r="Z658" s="198"/>
      <c r="AA658" s="198"/>
      <c r="AB658" s="198"/>
      <c r="AC658" s="198"/>
      <c r="AD658" s="191"/>
      <c r="AE658" s="374">
        <v>44805</v>
      </c>
    </row>
    <row r="659" spans="2:31">
      <c r="B659" s="405" t="s">
        <v>184</v>
      </c>
      <c r="C659" s="198">
        <v>8.5387849912153104</v>
      </c>
      <c r="D659" s="198">
        <v>5.05465920912523</v>
      </c>
      <c r="E659" s="198">
        <v>9.1881413008153903</v>
      </c>
      <c r="F659" s="198">
        <v>3.9135210776913301</v>
      </c>
      <c r="G659" s="198">
        <v>2.7171967486452702</v>
      </c>
      <c r="H659" s="198">
        <v>4.2921637295467203</v>
      </c>
      <c r="I659" s="198">
        <v>4.1300179278865601</v>
      </c>
      <c r="J659" s="198">
        <v>8.9828179944789799</v>
      </c>
      <c r="K659" s="198">
        <v>8.4160502967798898</v>
      </c>
      <c r="L659" s="191">
        <v>9.9530095285158495</v>
      </c>
      <c r="M659" s="198">
        <v>14.3701699474127</v>
      </c>
      <c r="N659" s="198">
        <v>10.1730635909152</v>
      </c>
      <c r="O659" s="198">
        <v>16.286317546064499</v>
      </c>
      <c r="P659" s="198">
        <v>10.8377995425046</v>
      </c>
      <c r="Q659" s="198">
        <v>13.719398549980999</v>
      </c>
      <c r="R659" s="198">
        <v>11.326099813626501</v>
      </c>
      <c r="S659" s="198">
        <v>11.2116906977877</v>
      </c>
      <c r="T659" s="198">
        <v>13.959503456288299</v>
      </c>
      <c r="U659" s="198">
        <v>17.242584007504998</v>
      </c>
      <c r="V659" s="198">
        <v>17.823125973778399</v>
      </c>
      <c r="W659" s="198">
        <v>8.0210078994125809</v>
      </c>
      <c r="X659" s="191">
        <v>6.8967520534743798</v>
      </c>
      <c r="Y659" s="198">
        <v>8.4456782490094309</v>
      </c>
      <c r="Z659" s="198" t="s">
        <v>93</v>
      </c>
      <c r="AA659" s="198" t="s">
        <v>93</v>
      </c>
      <c r="AB659" s="198" t="s">
        <v>93</v>
      </c>
      <c r="AC659" s="198">
        <v>7.4203343438735097</v>
      </c>
      <c r="AD659" s="191">
        <v>9.30867815806468</v>
      </c>
      <c r="AE659" s="199" t="s">
        <v>350</v>
      </c>
    </row>
    <row r="660" spans="2:31">
      <c r="B660" s="405" t="s">
        <v>351</v>
      </c>
      <c r="C660" s="198">
        <v>1.3119303889859799</v>
      </c>
      <c r="D660" s="198">
        <v>0.82028588732005303</v>
      </c>
      <c r="E660" s="198">
        <v>1.6753454996048101</v>
      </c>
      <c r="F660" s="198">
        <v>1.8595457416502299</v>
      </c>
      <c r="G660" s="198">
        <v>0.972288168183566</v>
      </c>
      <c r="H660" s="198">
        <v>0.48733880981946698</v>
      </c>
      <c r="I660" s="198">
        <v>0.62894537919336002</v>
      </c>
      <c r="J660" s="198">
        <v>1.0425598914997301</v>
      </c>
      <c r="K660" s="198">
        <v>1.3268178626828599</v>
      </c>
      <c r="L660" s="191">
        <v>4.8434374075167401</v>
      </c>
      <c r="M660" s="198">
        <v>4.7707425800346401</v>
      </c>
      <c r="N660" s="198">
        <v>4.7033821371259199</v>
      </c>
      <c r="O660" s="198">
        <v>5.2856603189976097</v>
      </c>
      <c r="P660" s="198">
        <v>8.1246285700431304</v>
      </c>
      <c r="Q660" s="198">
        <v>6.5221885368070804</v>
      </c>
      <c r="R660" s="198">
        <v>4.9147965645065099</v>
      </c>
      <c r="S660" s="198">
        <v>4.1942301007987099</v>
      </c>
      <c r="T660" s="198">
        <v>4.5925839294194697</v>
      </c>
      <c r="U660" s="198">
        <v>4.8685857187265098</v>
      </c>
      <c r="V660" s="198">
        <v>4.6158752195294799</v>
      </c>
      <c r="W660" s="198">
        <v>4.9121092757979996</v>
      </c>
      <c r="X660" s="191">
        <v>5.2549670164778002</v>
      </c>
      <c r="Y660" s="198">
        <v>3.3903184751374602</v>
      </c>
      <c r="Z660" s="198" t="s">
        <v>93</v>
      </c>
      <c r="AA660" s="198" t="s">
        <v>93</v>
      </c>
      <c r="AB660" s="198" t="s">
        <v>93</v>
      </c>
      <c r="AC660" s="198">
        <v>2.1943463631454301</v>
      </c>
      <c r="AD660" s="191">
        <v>3.7666666666666702</v>
      </c>
      <c r="AE660" s="199" t="s">
        <v>207</v>
      </c>
    </row>
    <row r="661" spans="2:31">
      <c r="B661" s="374">
        <v>44835</v>
      </c>
      <c r="C661" s="198"/>
      <c r="D661" s="198"/>
      <c r="E661" s="198"/>
      <c r="F661" s="198"/>
      <c r="G661" s="198"/>
      <c r="H661" s="198"/>
      <c r="I661" s="198"/>
      <c r="J661" s="198"/>
      <c r="K661" s="198"/>
      <c r="L661" s="191"/>
      <c r="M661" s="198"/>
      <c r="N661" s="210"/>
      <c r="O661" s="198"/>
      <c r="P661" s="198"/>
      <c r="Q661" s="198"/>
      <c r="R661" s="198"/>
      <c r="S661" s="198"/>
      <c r="T661" s="198"/>
      <c r="U661" s="198"/>
      <c r="V661" s="198"/>
      <c r="W661" s="198"/>
      <c r="X661" s="191"/>
      <c r="Y661" s="198"/>
      <c r="Z661" s="198"/>
      <c r="AA661" s="198"/>
      <c r="AB661" s="198"/>
      <c r="AC661" s="198"/>
      <c r="AD661" s="191"/>
      <c r="AE661" s="374">
        <v>44835</v>
      </c>
    </row>
    <row r="662" spans="2:31">
      <c r="B662" s="405" t="s">
        <v>184</v>
      </c>
      <c r="C662" s="198">
        <v>8.5728338191578501</v>
      </c>
      <c r="D662" s="198">
        <v>5.12942296046955</v>
      </c>
      <c r="E662" s="198">
        <v>9.2000210484510596</v>
      </c>
      <c r="F662" s="198">
        <v>3.6487173988640298</v>
      </c>
      <c r="G662" s="198">
        <v>3.3384642073575201</v>
      </c>
      <c r="H662" s="198">
        <v>4.3904863296150198</v>
      </c>
      <c r="I662" s="198">
        <v>4.2483246569393298</v>
      </c>
      <c r="J662" s="198">
        <v>9.0069283704317602</v>
      </c>
      <c r="K662" s="198">
        <v>8.4182385643367095</v>
      </c>
      <c r="L662" s="191">
        <v>9.9049539171499603</v>
      </c>
      <c r="M662" s="198">
        <v>14.335881751814799</v>
      </c>
      <c r="N662" s="198">
        <v>10.1407056288131</v>
      </c>
      <c r="O662" s="198">
        <v>16.281292780433699</v>
      </c>
      <c r="P662" s="198">
        <v>10.200269178192</v>
      </c>
      <c r="Q662" s="198">
        <v>13.173119290275</v>
      </c>
      <c r="R662" s="198">
        <v>11.7457906025773</v>
      </c>
      <c r="S662" s="198">
        <v>11.4227256453153</v>
      </c>
      <c r="T662" s="198">
        <v>13.5104305190474</v>
      </c>
      <c r="U662" s="198">
        <v>17.066827212385999</v>
      </c>
      <c r="V662" s="198">
        <v>17.818708001184401</v>
      </c>
      <c r="W662" s="198">
        <v>8.0603184586364502</v>
      </c>
      <c r="X662" s="191">
        <v>6.9857168825821603</v>
      </c>
      <c r="Y662" s="198">
        <v>8.5054229652733504</v>
      </c>
      <c r="Z662" s="198" t="s">
        <v>93</v>
      </c>
      <c r="AA662" s="198" t="s">
        <v>93</v>
      </c>
      <c r="AB662" s="198" t="s">
        <v>93</v>
      </c>
      <c r="AC662" s="198">
        <v>7.7079501207445604</v>
      </c>
      <c r="AD662" s="191">
        <v>9.30867815806468</v>
      </c>
      <c r="AE662" s="199" t="s">
        <v>350</v>
      </c>
    </row>
    <row r="663" spans="2:31">
      <c r="B663" s="405" t="s">
        <v>351</v>
      </c>
      <c r="C663" s="198">
        <v>1.3254967567361</v>
      </c>
      <c r="D663" s="198">
        <v>0.82306479604705596</v>
      </c>
      <c r="E663" s="198">
        <v>1.6936474546906899</v>
      </c>
      <c r="F663" s="198">
        <v>0.81775282750664402</v>
      </c>
      <c r="G663" s="198">
        <v>0.64484249084249101</v>
      </c>
      <c r="H663" s="198">
        <v>0.94837097689532601</v>
      </c>
      <c r="I663" s="198">
        <v>0.62130645545215801</v>
      </c>
      <c r="J663" s="198">
        <v>1.08569564326224</v>
      </c>
      <c r="K663" s="198">
        <v>1.32783000825033</v>
      </c>
      <c r="L663" s="191">
        <v>4.6719034236307699</v>
      </c>
      <c r="M663" s="198">
        <v>4.7816196010442997</v>
      </c>
      <c r="N663" s="198">
        <v>4.7391055114900098</v>
      </c>
      <c r="O663" s="198">
        <v>5.0645881244070701</v>
      </c>
      <c r="P663" s="198">
        <v>8.0997083274312995</v>
      </c>
      <c r="Q663" s="198">
        <v>6.2353646718792799</v>
      </c>
      <c r="R663" s="198">
        <v>5.0939853695209196</v>
      </c>
      <c r="S663" s="198">
        <v>4.1776559803668496</v>
      </c>
      <c r="T663" s="198">
        <v>4.7538585616222004</v>
      </c>
      <c r="U663" s="198">
        <v>4.8616643279630498</v>
      </c>
      <c r="V663" s="198">
        <v>4.5966802095655304</v>
      </c>
      <c r="W663" s="198">
        <v>4.8848732943284698</v>
      </c>
      <c r="X663" s="191">
        <v>5.2262977998740299</v>
      </c>
      <c r="Y663" s="198">
        <v>3.5243871102939499</v>
      </c>
      <c r="Z663" s="198" t="s">
        <v>93</v>
      </c>
      <c r="AA663" s="198" t="s">
        <v>93</v>
      </c>
      <c r="AB663" s="198" t="s">
        <v>93</v>
      </c>
      <c r="AC663" s="198">
        <v>2.19606313325672</v>
      </c>
      <c r="AD663" s="191">
        <v>3.93611111111111</v>
      </c>
      <c r="AE663" s="199" t="s">
        <v>207</v>
      </c>
    </row>
    <row r="664" spans="2:31">
      <c r="B664" s="374">
        <v>44866</v>
      </c>
      <c r="C664" s="198"/>
      <c r="D664" s="198"/>
      <c r="E664" s="198"/>
      <c r="F664" s="198"/>
      <c r="G664" s="198"/>
      <c r="H664" s="198"/>
      <c r="I664" s="198"/>
      <c r="J664" s="198"/>
      <c r="K664" s="198"/>
      <c r="L664" s="191"/>
      <c r="M664" s="198"/>
      <c r="N664" s="198"/>
      <c r="O664" s="198"/>
      <c r="P664" s="198"/>
      <c r="Q664" s="198"/>
      <c r="R664" s="198"/>
      <c r="S664" s="198"/>
      <c r="T664" s="198"/>
      <c r="U664" s="198"/>
      <c r="V664" s="198"/>
      <c r="W664" s="198"/>
      <c r="X664" s="191"/>
      <c r="Y664" s="198"/>
      <c r="Z664" s="198"/>
      <c r="AA664" s="198"/>
      <c r="AB664" s="198"/>
      <c r="AC664" s="198"/>
      <c r="AD664" s="191"/>
      <c r="AE664" s="374">
        <v>44866</v>
      </c>
    </row>
    <row r="665" spans="2:31">
      <c r="B665" s="405" t="s">
        <v>184</v>
      </c>
      <c r="C665" s="198">
        <v>8.5982402267645099</v>
      </c>
      <c r="D665" s="198">
        <v>5.0956266287915604</v>
      </c>
      <c r="E665" s="198">
        <v>9.2545887239535798</v>
      </c>
      <c r="F665" s="198">
        <v>4.0542377622377597</v>
      </c>
      <c r="G665" s="198">
        <v>3.2050971742963199</v>
      </c>
      <c r="H665" s="198">
        <v>5.0816351636753501</v>
      </c>
      <c r="I665" s="198">
        <v>4.1136907239343996</v>
      </c>
      <c r="J665" s="198">
        <v>9.0081266374546693</v>
      </c>
      <c r="K665" s="198">
        <v>8.4274927837694893</v>
      </c>
      <c r="L665" s="191">
        <v>9.9051904445947105</v>
      </c>
      <c r="M665" s="198">
        <v>14.2918884557726</v>
      </c>
      <c r="N665" s="198">
        <v>10.136114415135699</v>
      </c>
      <c r="O665" s="198">
        <v>16.195418832182199</v>
      </c>
      <c r="P665" s="198">
        <v>10.611424483882301</v>
      </c>
      <c r="Q665" s="198">
        <v>11.9798355909862</v>
      </c>
      <c r="R665" s="198">
        <v>12.0131051366301</v>
      </c>
      <c r="S665" s="198">
        <v>11.5699791658073</v>
      </c>
      <c r="T665" s="198">
        <v>13.309047846585999</v>
      </c>
      <c r="U665" s="198">
        <v>17.037959592882299</v>
      </c>
      <c r="V665" s="198">
        <v>17.774823136395799</v>
      </c>
      <c r="W665" s="198">
        <v>8.1243673954268001</v>
      </c>
      <c r="X665" s="191">
        <v>6.9475342924082097</v>
      </c>
      <c r="Y665" s="198">
        <v>8.5054229652733504</v>
      </c>
      <c r="Z665" s="198" t="s">
        <v>93</v>
      </c>
      <c r="AA665" s="198" t="s">
        <v>93</v>
      </c>
      <c r="AB665" s="198" t="s">
        <v>93</v>
      </c>
      <c r="AC665" s="198">
        <v>7.7079501207445604</v>
      </c>
      <c r="AD665" s="191">
        <v>9.30867815806468</v>
      </c>
      <c r="AE665" s="199" t="s">
        <v>350</v>
      </c>
    </row>
    <row r="666" spans="2:31">
      <c r="B666" s="405" t="s">
        <v>351</v>
      </c>
      <c r="C666" s="198">
        <v>1.36641120671591</v>
      </c>
      <c r="D666" s="198">
        <v>0.88817232200158702</v>
      </c>
      <c r="E666" s="198">
        <v>1.7300900450433601</v>
      </c>
      <c r="F666" s="198">
        <v>1.16766625807658</v>
      </c>
      <c r="G666" s="198">
        <v>0.57993883463891005</v>
      </c>
      <c r="H666" s="198">
        <v>1.2001914324862999</v>
      </c>
      <c r="I666" s="198">
        <v>0.64387126598681999</v>
      </c>
      <c r="J666" s="198">
        <v>1.10167200447266</v>
      </c>
      <c r="K666" s="198">
        <v>1.3859170102995799</v>
      </c>
      <c r="L666" s="191">
        <v>4.5809150061344104</v>
      </c>
      <c r="M666" s="198">
        <v>4.8030369395157999</v>
      </c>
      <c r="N666" s="198">
        <v>4.7757951677927801</v>
      </c>
      <c r="O666" s="198">
        <v>4.9827150895007204</v>
      </c>
      <c r="P666" s="198">
        <v>8.1160835908472606</v>
      </c>
      <c r="Q666" s="198">
        <v>6.9144188209914601</v>
      </c>
      <c r="R666" s="198">
        <v>5.1261101716845596</v>
      </c>
      <c r="S666" s="198">
        <v>4.6036288174000299</v>
      </c>
      <c r="T666" s="198">
        <v>5.1064403708764701</v>
      </c>
      <c r="U666" s="198">
        <v>4.7260813386489904</v>
      </c>
      <c r="V666" s="198">
        <v>4.5899162028663101</v>
      </c>
      <c r="W666" s="198">
        <v>4.9002298328511298</v>
      </c>
      <c r="X666" s="191">
        <v>5.2142123982313802</v>
      </c>
      <c r="Y666" s="198">
        <v>3.8379491149663898</v>
      </c>
      <c r="Z666" s="198">
        <v>7.5</v>
      </c>
      <c r="AA666" s="198" t="s">
        <v>93</v>
      </c>
      <c r="AB666" s="198" t="s">
        <v>93</v>
      </c>
      <c r="AC666" s="198">
        <v>2.1949432102889599</v>
      </c>
      <c r="AD666" s="191">
        <v>3.9184210526315799</v>
      </c>
      <c r="AE666" s="199" t="s">
        <v>207</v>
      </c>
    </row>
    <row r="667" spans="2:31">
      <c r="B667" s="374">
        <v>44896</v>
      </c>
      <c r="C667" s="198"/>
      <c r="D667" s="198"/>
      <c r="E667" s="198"/>
      <c r="F667" s="198"/>
      <c r="G667" s="198"/>
      <c r="H667" s="198"/>
      <c r="I667" s="198"/>
      <c r="J667" s="198"/>
      <c r="K667" s="198"/>
      <c r="L667" s="191"/>
      <c r="M667" s="198"/>
      <c r="N667" s="198"/>
      <c r="O667" s="198"/>
      <c r="P667" s="198"/>
      <c r="Q667" s="198"/>
      <c r="R667" s="198"/>
      <c r="S667" s="198"/>
      <c r="T667" s="198"/>
      <c r="U667" s="198"/>
      <c r="V667" s="198"/>
      <c r="W667" s="198"/>
      <c r="X667" s="191"/>
      <c r="Y667" s="198"/>
      <c r="Z667" s="198"/>
      <c r="AA667" s="198"/>
      <c r="AB667" s="198"/>
      <c r="AC667" s="198"/>
      <c r="AD667" s="191"/>
      <c r="AE667" s="374">
        <v>44896</v>
      </c>
    </row>
    <row r="668" spans="2:31">
      <c r="B668" s="405" t="s">
        <v>184</v>
      </c>
      <c r="C668" s="198">
        <v>8.6212998262010601</v>
      </c>
      <c r="D668" s="198">
        <v>5.0818051820108803</v>
      </c>
      <c r="E668" s="198">
        <v>9.3054976538606695</v>
      </c>
      <c r="F668" s="198">
        <v>2.9249971111928099</v>
      </c>
      <c r="G668" s="198">
        <v>2.2202781763442299</v>
      </c>
      <c r="H668" s="198">
        <v>5.0789062366764499</v>
      </c>
      <c r="I668" s="198">
        <v>3.8690654769956101</v>
      </c>
      <c r="J668" s="198">
        <v>9.0747150601513002</v>
      </c>
      <c r="K668" s="198">
        <v>8.5192211952304593</v>
      </c>
      <c r="L668" s="191">
        <v>9.7596342518566193</v>
      </c>
      <c r="M668" s="198">
        <v>14.207878821486499</v>
      </c>
      <c r="N668" s="198">
        <v>10.018859643690099</v>
      </c>
      <c r="O668" s="198">
        <v>16.148629776290498</v>
      </c>
      <c r="P668" s="198">
        <v>9.8863917080158998</v>
      </c>
      <c r="Q668" s="198">
        <v>11.9844066022359</v>
      </c>
      <c r="R668" s="198">
        <v>11.483785596392501</v>
      </c>
      <c r="S668" s="198">
        <v>11.3277294646351</v>
      </c>
      <c r="T668" s="198">
        <v>13.190902696454</v>
      </c>
      <c r="U668" s="198">
        <v>16.9561516947232</v>
      </c>
      <c r="V668" s="198">
        <v>17.665419174112898</v>
      </c>
      <c r="W668" s="198">
        <v>7.9744183266417696</v>
      </c>
      <c r="X668" s="191">
        <v>6.9748762760833998</v>
      </c>
      <c r="Y668" s="198">
        <v>8.5054229652733504</v>
      </c>
      <c r="Z668" s="198" t="s">
        <v>93</v>
      </c>
      <c r="AA668" s="198" t="s">
        <v>93</v>
      </c>
      <c r="AB668" s="198" t="s">
        <v>93</v>
      </c>
      <c r="AC668" s="198">
        <v>7.7079501207445604</v>
      </c>
      <c r="AD668" s="191">
        <v>9.30867815806468</v>
      </c>
      <c r="AE668" s="199" t="s">
        <v>350</v>
      </c>
    </row>
    <row r="669" spans="2:31">
      <c r="B669" s="405" t="s">
        <v>351</v>
      </c>
      <c r="C669" s="198">
        <v>1.40085225416074</v>
      </c>
      <c r="D669" s="198">
        <v>0.88872896974808102</v>
      </c>
      <c r="E669" s="198">
        <v>1.7836424429980799</v>
      </c>
      <c r="F669" s="198">
        <v>0.67542790038206302</v>
      </c>
      <c r="G669" s="198">
        <v>1.2800986709625499</v>
      </c>
      <c r="H669" s="198">
        <v>2.39533213506951</v>
      </c>
      <c r="I669" s="198">
        <v>0.67804730531364898</v>
      </c>
      <c r="J669" s="198">
        <v>1.1621298541333001</v>
      </c>
      <c r="K669" s="198">
        <v>1.3918107474614601</v>
      </c>
      <c r="L669" s="191">
        <v>4.5898292974612502</v>
      </c>
      <c r="M669" s="198">
        <v>4.7596209792756801</v>
      </c>
      <c r="N669" s="198">
        <v>4.7210473163821698</v>
      </c>
      <c r="O669" s="198">
        <v>5.0066389348155003</v>
      </c>
      <c r="P669" s="198">
        <v>6.7184141661131802</v>
      </c>
      <c r="Q669" s="198">
        <v>5.3918469278708301</v>
      </c>
      <c r="R669" s="198">
        <v>5.54749069089325</v>
      </c>
      <c r="S669" s="198">
        <v>4.7998461628996001</v>
      </c>
      <c r="T669" s="198">
        <v>5.1845467837535999</v>
      </c>
      <c r="U669" s="198">
        <v>4.8117364653922596</v>
      </c>
      <c r="V669" s="198">
        <v>4.6181068987217504</v>
      </c>
      <c r="W669" s="198">
        <v>4.5048904375546703</v>
      </c>
      <c r="X669" s="191">
        <v>5.2248006060945302</v>
      </c>
      <c r="Y669" s="198">
        <v>4.5356322140093397</v>
      </c>
      <c r="Z669" s="198">
        <v>6.8</v>
      </c>
      <c r="AA669" s="198" t="s">
        <v>93</v>
      </c>
      <c r="AB669" s="198" t="s">
        <v>93</v>
      </c>
      <c r="AC669" s="198">
        <v>2.19211351329343</v>
      </c>
      <c r="AD669" s="191">
        <v>3.9184210526315799</v>
      </c>
      <c r="AE669" s="199" t="s">
        <v>207</v>
      </c>
    </row>
    <row r="670" spans="2:31">
      <c r="B670" s="374">
        <v>44927</v>
      </c>
      <c r="C670" s="198"/>
      <c r="D670" s="198"/>
      <c r="E670" s="198"/>
      <c r="F670" s="198"/>
      <c r="G670" s="198"/>
      <c r="H670" s="198"/>
      <c r="I670" s="198"/>
      <c r="J670" s="198"/>
      <c r="K670" s="198"/>
      <c r="L670" s="191"/>
      <c r="M670" s="198"/>
      <c r="N670" s="198"/>
      <c r="O670" s="198"/>
      <c r="P670" s="198"/>
      <c r="Q670" s="198"/>
      <c r="R670" s="198"/>
      <c r="S670" s="198"/>
      <c r="T670" s="198"/>
      <c r="U670" s="198"/>
      <c r="V670" s="198"/>
      <c r="W670" s="198"/>
      <c r="X670" s="191"/>
      <c r="Y670" s="198"/>
      <c r="Z670" s="198"/>
      <c r="AA670" s="198"/>
      <c r="AB670" s="198"/>
      <c r="AC670" s="198"/>
      <c r="AD670" s="191"/>
      <c r="AE670" s="374">
        <v>44927</v>
      </c>
    </row>
    <row r="671" spans="2:31">
      <c r="B671" s="405" t="s">
        <v>184</v>
      </c>
      <c r="C671" s="198">
        <v>8.60142290528802</v>
      </c>
      <c r="D671" s="198">
        <v>5.1248496428737198</v>
      </c>
      <c r="E671" s="198">
        <v>9.2815949326854508</v>
      </c>
      <c r="F671" s="198">
        <v>4.1562121901296303</v>
      </c>
      <c r="G671" s="198">
        <v>2.4770227510983398</v>
      </c>
      <c r="H671" s="198">
        <v>4.90867849326452</v>
      </c>
      <c r="I671" s="198">
        <v>3.8870978115426902</v>
      </c>
      <c r="J671" s="198">
        <v>9.01566531560022</v>
      </c>
      <c r="K671" s="198">
        <v>8.5377132189004605</v>
      </c>
      <c r="L671" s="191">
        <v>9.7409344730983403</v>
      </c>
      <c r="M671" s="198">
        <v>14.134652366376301</v>
      </c>
      <c r="N671" s="198">
        <v>9.9934011387622093</v>
      </c>
      <c r="O671" s="198">
        <v>16.036205532642001</v>
      </c>
      <c r="P671" s="198">
        <v>9.4096926451531395</v>
      </c>
      <c r="Q671" s="198">
        <v>13.398664674404399</v>
      </c>
      <c r="R671" s="198">
        <v>11.5809243687474</v>
      </c>
      <c r="S671" s="198">
        <v>11.125746332466999</v>
      </c>
      <c r="T671" s="198">
        <v>13.097750114381601</v>
      </c>
      <c r="U671" s="198">
        <v>16.9465670978019</v>
      </c>
      <c r="V671" s="198">
        <v>17.5872464707547</v>
      </c>
      <c r="W671" s="198">
        <v>8.1002964750149307</v>
      </c>
      <c r="X671" s="191">
        <v>6.6361776079148003</v>
      </c>
      <c r="Y671" s="198">
        <v>8.7036122803032399</v>
      </c>
      <c r="Z671" s="198" t="s">
        <v>93</v>
      </c>
      <c r="AA671" s="198" t="s">
        <v>93</v>
      </c>
      <c r="AB671" s="198">
        <v>6</v>
      </c>
      <c r="AC671" s="198">
        <v>8.3286979089426101</v>
      </c>
      <c r="AD671" s="191">
        <v>9.30867815806468</v>
      </c>
      <c r="AE671" s="199" t="s">
        <v>350</v>
      </c>
    </row>
    <row r="672" spans="2:31">
      <c r="B672" s="405" t="s">
        <v>351</v>
      </c>
      <c r="C672" s="198">
        <v>1.41441170820335</v>
      </c>
      <c r="D672" s="198">
        <v>0.91211793176338496</v>
      </c>
      <c r="E672" s="198">
        <v>1.7884961683435301</v>
      </c>
      <c r="F672" s="198">
        <v>0.490638345986109</v>
      </c>
      <c r="G672" s="198">
        <v>2.40835507736913</v>
      </c>
      <c r="H672" s="198">
        <v>2.67608934123857</v>
      </c>
      <c r="I672" s="198">
        <v>0.64477335299267202</v>
      </c>
      <c r="J672" s="198">
        <v>1.1673087901075301</v>
      </c>
      <c r="K672" s="198">
        <v>1.39880096034645</v>
      </c>
      <c r="L672" s="191">
        <v>4.4996970970827599</v>
      </c>
      <c r="M672" s="198">
        <v>4.8480390931580502</v>
      </c>
      <c r="N672" s="198">
        <v>4.7837222111535898</v>
      </c>
      <c r="O672" s="198">
        <v>5.2628200808764696</v>
      </c>
      <c r="P672" s="198">
        <v>6.9587948038205099</v>
      </c>
      <c r="Q672" s="198">
        <v>5.7583361152346404</v>
      </c>
      <c r="R672" s="198">
        <v>5.8332211000693102</v>
      </c>
      <c r="S672" s="198">
        <v>5.1343564775720498</v>
      </c>
      <c r="T672" s="198">
        <v>5.18863633801252</v>
      </c>
      <c r="U672" s="198">
        <v>5.1930257618233098</v>
      </c>
      <c r="V672" s="198">
        <v>4.6385818836448696</v>
      </c>
      <c r="W672" s="198">
        <v>4.6007063235080503</v>
      </c>
      <c r="X672" s="191">
        <v>4.6021326189943697</v>
      </c>
      <c r="Y672" s="198">
        <v>4.35829954705991</v>
      </c>
      <c r="Z672" s="198">
        <v>7.25</v>
      </c>
      <c r="AA672" s="198" t="s">
        <v>93</v>
      </c>
      <c r="AB672" s="198" t="s">
        <v>93</v>
      </c>
      <c r="AC672" s="198">
        <v>2.1900652262942901</v>
      </c>
      <c r="AD672" s="191">
        <v>3.9184210526315799</v>
      </c>
      <c r="AE672" s="199" t="s">
        <v>207</v>
      </c>
    </row>
    <row r="673" spans="2:31">
      <c r="B673" s="374">
        <v>44958</v>
      </c>
      <c r="C673" s="198"/>
      <c r="D673" s="198"/>
      <c r="E673" s="198"/>
      <c r="F673" s="198"/>
      <c r="G673" s="198"/>
      <c r="H673" s="198"/>
      <c r="I673" s="198"/>
      <c r="J673" s="198"/>
      <c r="K673" s="198"/>
      <c r="L673" s="191"/>
      <c r="M673" s="198"/>
      <c r="N673" s="198"/>
      <c r="O673" s="198"/>
      <c r="P673" s="198"/>
      <c r="Q673" s="198"/>
      <c r="R673" s="198"/>
      <c r="S673" s="198"/>
      <c r="T673" s="198"/>
      <c r="U673" s="198"/>
      <c r="V673" s="198"/>
      <c r="W673" s="198"/>
      <c r="X673" s="191"/>
      <c r="Y673" s="198"/>
      <c r="Z673" s="198"/>
      <c r="AA673" s="198"/>
      <c r="AB673" s="198"/>
      <c r="AC673" s="198"/>
      <c r="AD673" s="191"/>
      <c r="AE673" s="374">
        <v>44958</v>
      </c>
    </row>
    <row r="674" spans="2:31">
      <c r="B674" s="405" t="s">
        <v>184</v>
      </c>
      <c r="C674" s="198">
        <v>8.6147196828586594</v>
      </c>
      <c r="D674" s="198">
        <v>5.31848648384398</v>
      </c>
      <c r="E674" s="198">
        <v>9.2626599030839802</v>
      </c>
      <c r="F674" s="198">
        <v>4.1156224311694203</v>
      </c>
      <c r="G674" s="198">
        <v>3.15361487490634</v>
      </c>
      <c r="H674" s="198">
        <v>5.4940618725472499</v>
      </c>
      <c r="I674" s="198">
        <v>4.1902019331693596</v>
      </c>
      <c r="J674" s="198">
        <v>9.0256695398662607</v>
      </c>
      <c r="K674" s="198">
        <v>8.4911601026802792</v>
      </c>
      <c r="L674" s="191">
        <v>9.6900112648814201</v>
      </c>
      <c r="M674" s="198">
        <v>14.240136785732799</v>
      </c>
      <c r="N674" s="198">
        <v>9.9757930365206295</v>
      </c>
      <c r="O674" s="198">
        <v>16.1513143139594</v>
      </c>
      <c r="P674" s="198">
        <v>13.2736293590344</v>
      </c>
      <c r="Q674" s="198">
        <v>13.4344707172725</v>
      </c>
      <c r="R674" s="198">
        <v>11.6975103857232</v>
      </c>
      <c r="S674" s="198">
        <v>11.120023460539599</v>
      </c>
      <c r="T674" s="198">
        <v>13.069225980928399</v>
      </c>
      <c r="U674" s="198">
        <v>16.9293706740924</v>
      </c>
      <c r="V674" s="198">
        <v>17.616197536314399</v>
      </c>
      <c r="W674" s="198">
        <v>8.3751218164078001</v>
      </c>
      <c r="X674" s="191">
        <v>6.9611242810533298</v>
      </c>
      <c r="Y674" s="198">
        <v>8.7036122803032399</v>
      </c>
      <c r="Z674" s="198" t="s">
        <v>93</v>
      </c>
      <c r="AA674" s="198" t="s">
        <v>93</v>
      </c>
      <c r="AB674" s="198">
        <v>6</v>
      </c>
      <c r="AC674" s="198">
        <v>8.3286979089426101</v>
      </c>
      <c r="AD674" s="191">
        <v>9.30867815806468</v>
      </c>
      <c r="AE674" s="199" t="s">
        <v>350</v>
      </c>
    </row>
    <row r="675" spans="2:31">
      <c r="B675" s="405" t="s">
        <v>351</v>
      </c>
      <c r="C675" s="198">
        <v>1.4287522670800299</v>
      </c>
      <c r="D675" s="198">
        <v>0.91312713738119899</v>
      </c>
      <c r="E675" s="198">
        <v>1.8163516019983199</v>
      </c>
      <c r="F675" s="198">
        <v>1.12573922765976</v>
      </c>
      <c r="G675" s="198">
        <v>2.3562296997124901</v>
      </c>
      <c r="H675" s="198">
        <v>2.6339089317692999</v>
      </c>
      <c r="I675" s="198">
        <v>1.10893799839124</v>
      </c>
      <c r="J675" s="198">
        <v>1.1710470663728301</v>
      </c>
      <c r="K675" s="198">
        <v>1.4156681177388299</v>
      </c>
      <c r="L675" s="191">
        <v>4.4161150694593001</v>
      </c>
      <c r="M675" s="198">
        <v>4.8166790947837503</v>
      </c>
      <c r="N675" s="198">
        <v>4.7686074589802496</v>
      </c>
      <c r="O675" s="198">
        <v>5.1304377629341902</v>
      </c>
      <c r="P675" s="198">
        <v>7.1085632202605096</v>
      </c>
      <c r="Q675" s="198">
        <v>5.6843859456911101</v>
      </c>
      <c r="R675" s="198">
        <v>5.9132714213740698</v>
      </c>
      <c r="S675" s="198">
        <v>5.1051239552410701</v>
      </c>
      <c r="T675" s="198">
        <v>5.2463349362553302</v>
      </c>
      <c r="U675" s="198">
        <v>5.1001714661837001</v>
      </c>
      <c r="V675" s="198">
        <v>4.6078827150650996</v>
      </c>
      <c r="W675" s="198">
        <v>4.5852882636035304</v>
      </c>
      <c r="X675" s="191">
        <v>4.5317864808146702</v>
      </c>
      <c r="Y675" s="198">
        <v>5.0359995210223998</v>
      </c>
      <c r="Z675" s="198">
        <v>6.8</v>
      </c>
      <c r="AA675" s="198" t="s">
        <v>93</v>
      </c>
      <c r="AB675" s="198">
        <v>3</v>
      </c>
      <c r="AC675" s="198">
        <v>2.4</v>
      </c>
      <c r="AD675" s="191">
        <v>4.6868421052631604</v>
      </c>
      <c r="AE675" s="199" t="s">
        <v>207</v>
      </c>
    </row>
    <row r="676" spans="2:31">
      <c r="B676" s="374">
        <v>44986</v>
      </c>
      <c r="C676" s="198"/>
      <c r="D676" s="198"/>
      <c r="E676" s="198"/>
      <c r="F676" s="198"/>
      <c r="G676" s="198"/>
      <c r="H676" s="198"/>
      <c r="I676" s="198"/>
      <c r="J676" s="198"/>
      <c r="K676" s="198"/>
      <c r="L676" s="191"/>
      <c r="M676" s="198"/>
      <c r="N676" s="198"/>
      <c r="O676" s="198"/>
      <c r="P676" s="198"/>
      <c r="Q676" s="198"/>
      <c r="R676" s="198"/>
      <c r="S676" s="198"/>
      <c r="T676" s="198"/>
      <c r="U676" s="198"/>
      <c r="V676" s="198"/>
      <c r="W676" s="198"/>
      <c r="X676" s="191"/>
      <c r="Y676" s="198"/>
      <c r="Z676" s="198"/>
      <c r="AA676" s="198"/>
      <c r="AB676" s="198"/>
      <c r="AC676" s="198"/>
      <c r="AD676" s="191"/>
      <c r="AE676" s="374">
        <v>44986</v>
      </c>
    </row>
    <row r="677" spans="2:31">
      <c r="B677" s="405" t="s">
        <v>184</v>
      </c>
      <c r="C677" s="198">
        <v>8.5364588129317696</v>
      </c>
      <c r="D677" s="198">
        <v>5.1422600917822496</v>
      </c>
      <c r="E677" s="198">
        <v>9.2842444393086296</v>
      </c>
      <c r="F677" s="198">
        <v>8.3520459047964799</v>
      </c>
      <c r="G677" s="198">
        <v>3.7862679280326401</v>
      </c>
      <c r="H677" s="198">
        <v>2.6384476891092401</v>
      </c>
      <c r="I677" s="198">
        <v>4.2881843778185598</v>
      </c>
      <c r="J677" s="198">
        <v>9.0102961146443796</v>
      </c>
      <c r="K677" s="198">
        <v>8.5174681790627904</v>
      </c>
      <c r="L677" s="191">
        <v>9.3643677535935694</v>
      </c>
      <c r="M677" s="198">
        <v>14.261356666204</v>
      </c>
      <c r="N677" s="198">
        <v>9.9775761935449108</v>
      </c>
      <c r="O677" s="198">
        <v>16.143532488294799</v>
      </c>
      <c r="P677" s="198">
        <v>13.218378591681301</v>
      </c>
      <c r="Q677" s="198">
        <v>12.879714215920901</v>
      </c>
      <c r="R677" s="198">
        <v>11.312583926238499</v>
      </c>
      <c r="S677" s="198">
        <v>10.9769330558892</v>
      </c>
      <c r="T677" s="198">
        <v>13.138432404162</v>
      </c>
      <c r="U677" s="198">
        <v>16.9610453270381</v>
      </c>
      <c r="V677" s="198">
        <v>17.6411694739901</v>
      </c>
      <c r="W677" s="198">
        <v>8.4932295687148507</v>
      </c>
      <c r="X677" s="191">
        <v>6.9681828516171302</v>
      </c>
      <c r="Y677" s="198">
        <v>8.8341930788951206</v>
      </c>
      <c r="Z677" s="198" t="s">
        <v>93</v>
      </c>
      <c r="AA677" s="198">
        <v>8.1</v>
      </c>
      <c r="AB677" s="198">
        <v>7.1881188118811901</v>
      </c>
      <c r="AC677" s="198">
        <v>8.7861293550200301</v>
      </c>
      <c r="AD677" s="191">
        <v>9.30867815806468</v>
      </c>
      <c r="AE677" s="199" t="s">
        <v>350</v>
      </c>
    </row>
    <row r="678" spans="2:31">
      <c r="B678" s="405" t="s">
        <v>351</v>
      </c>
      <c r="C678" s="198">
        <v>1.50354091535845</v>
      </c>
      <c r="D678" s="198">
        <v>1.14381362487024</v>
      </c>
      <c r="E678" s="198">
        <v>1.80059369703399</v>
      </c>
      <c r="F678" s="198">
        <v>4.5959136960158302</v>
      </c>
      <c r="G678" s="198">
        <v>2.3492863624062399</v>
      </c>
      <c r="H678" s="198">
        <v>2.6060345979392099</v>
      </c>
      <c r="I678" s="198">
        <v>1.1165325149254399</v>
      </c>
      <c r="J678" s="198">
        <v>1.36890804499965</v>
      </c>
      <c r="K678" s="198">
        <v>1.43053328224175</v>
      </c>
      <c r="L678" s="191">
        <v>4.3837267490416103</v>
      </c>
      <c r="M678" s="198">
        <v>4.8119880940372202</v>
      </c>
      <c r="N678" s="198">
        <v>4.7632793450169304</v>
      </c>
      <c r="O678" s="198">
        <v>5.1272351281749096</v>
      </c>
      <c r="P678" s="198">
        <v>7.08690954895029</v>
      </c>
      <c r="Q678" s="198">
        <v>5.7650872083782998</v>
      </c>
      <c r="R678" s="198">
        <v>5.8125111021508902</v>
      </c>
      <c r="S678" s="198">
        <v>5.0678040277065204</v>
      </c>
      <c r="T678" s="198">
        <v>5.26054447479535</v>
      </c>
      <c r="U678" s="198">
        <v>5.1560065597625702</v>
      </c>
      <c r="V678" s="198">
        <v>4.6109670574759303</v>
      </c>
      <c r="W678" s="198">
        <v>4.5474347331230396</v>
      </c>
      <c r="X678" s="191">
        <v>4.4793075490166299</v>
      </c>
      <c r="Y678" s="198">
        <v>5.2853464731521296</v>
      </c>
      <c r="Z678" s="198">
        <v>7.36</v>
      </c>
      <c r="AA678" s="198" t="s">
        <v>93</v>
      </c>
      <c r="AB678" s="198">
        <v>3</v>
      </c>
      <c r="AC678" s="198">
        <v>2.4</v>
      </c>
      <c r="AD678" s="191">
        <v>4.6868421052631604</v>
      </c>
      <c r="AE678" s="199" t="s">
        <v>207</v>
      </c>
    </row>
    <row r="679" spans="2:31">
      <c r="B679" s="374">
        <v>45017</v>
      </c>
      <c r="C679" s="198"/>
      <c r="D679" s="198"/>
      <c r="E679" s="198"/>
      <c r="F679" s="198"/>
      <c r="G679" s="198"/>
      <c r="H679" s="198"/>
      <c r="I679" s="198"/>
      <c r="J679" s="198"/>
      <c r="K679" s="198"/>
      <c r="L679" s="191"/>
      <c r="M679" s="198"/>
      <c r="N679" s="198"/>
      <c r="O679" s="198"/>
      <c r="P679" s="198"/>
      <c r="Q679" s="198"/>
      <c r="R679" s="198"/>
      <c r="S679" s="198"/>
      <c r="T679" s="198"/>
      <c r="U679" s="198"/>
      <c r="V679" s="198"/>
      <c r="W679" s="198"/>
      <c r="X679" s="191"/>
      <c r="Y679" s="198"/>
      <c r="Z679" s="198"/>
      <c r="AA679" s="198"/>
      <c r="AB679" s="198"/>
      <c r="AC679" s="198"/>
      <c r="AD679" s="191"/>
      <c r="AE679" s="374">
        <v>45017</v>
      </c>
    </row>
    <row r="680" spans="2:31">
      <c r="B680" s="405" t="s">
        <v>184</v>
      </c>
      <c r="C680" s="198">
        <v>8.5184915548081204</v>
      </c>
      <c r="D680" s="198">
        <v>5.0962648055484498</v>
      </c>
      <c r="E680" s="198">
        <v>9.3021645693288697</v>
      </c>
      <c r="F680" s="198">
        <v>9.0528972065245892</v>
      </c>
      <c r="G680" s="198">
        <v>3.3583153979253502</v>
      </c>
      <c r="H680" s="198">
        <v>2.6634861679402699</v>
      </c>
      <c r="I680" s="198">
        <v>4.3388395482469901</v>
      </c>
      <c r="J680" s="198">
        <v>8.9193558008015295</v>
      </c>
      <c r="K680" s="198">
        <v>8.6276762582378907</v>
      </c>
      <c r="L680" s="191">
        <v>9.3939088422105606</v>
      </c>
      <c r="M680" s="198">
        <v>14.270831109008901</v>
      </c>
      <c r="N680" s="198">
        <v>10.06903502752</v>
      </c>
      <c r="O680" s="198">
        <v>16.085318808675002</v>
      </c>
      <c r="P680" s="198">
        <v>10.405919140999501</v>
      </c>
      <c r="Q680" s="198">
        <v>12.9593833751804</v>
      </c>
      <c r="R680" s="198">
        <v>11.3877861130497</v>
      </c>
      <c r="S680" s="198">
        <v>10.8101422357253</v>
      </c>
      <c r="T680" s="198">
        <v>13.3269124594611</v>
      </c>
      <c r="U680" s="198">
        <v>16.9783480927412</v>
      </c>
      <c r="V680" s="198">
        <v>17.6115826999694</v>
      </c>
      <c r="W680" s="198">
        <v>8.5924706507909701</v>
      </c>
      <c r="X680" s="191">
        <v>6.9357152950227903</v>
      </c>
      <c r="Y680" s="198">
        <v>8.1834407379212095</v>
      </c>
      <c r="Z680" s="198">
        <v>4</v>
      </c>
      <c r="AA680" s="198">
        <v>8.1</v>
      </c>
      <c r="AB680" s="198">
        <v>7.5952662721893498</v>
      </c>
      <c r="AC680" s="198">
        <v>8.7861293550200301</v>
      </c>
      <c r="AD680" s="191">
        <v>9.30867815806468</v>
      </c>
      <c r="AE680" s="199" t="s">
        <v>350</v>
      </c>
    </row>
    <row r="681" spans="2:31">
      <c r="B681" s="405" t="s">
        <v>351</v>
      </c>
      <c r="C681" s="198">
        <v>1.56562917124798</v>
      </c>
      <c r="D681" s="198">
        <v>1.24758789404363</v>
      </c>
      <c r="E681" s="198">
        <v>1.83549579079396</v>
      </c>
      <c r="F681" s="198">
        <v>4.8175949367088604</v>
      </c>
      <c r="G681" s="198">
        <v>2.08141535501708</v>
      </c>
      <c r="H681" s="198">
        <v>2.80544858721019</v>
      </c>
      <c r="I681" s="198">
        <v>2.8078501417625499</v>
      </c>
      <c r="J681" s="198">
        <v>1.48835764389321</v>
      </c>
      <c r="K681" s="198">
        <v>1.4965008302467</v>
      </c>
      <c r="L681" s="191">
        <v>4.1003875429167298</v>
      </c>
      <c r="M681" s="198">
        <v>4.7766814962673703</v>
      </c>
      <c r="N681" s="198">
        <v>4.7367035262356696</v>
      </c>
      <c r="O681" s="198">
        <v>5.0437186951887902</v>
      </c>
      <c r="P681" s="198">
        <v>6.5576489802205797</v>
      </c>
      <c r="Q681" s="198">
        <v>5.7938828176563799</v>
      </c>
      <c r="R681" s="198">
        <v>5.6247281662041297</v>
      </c>
      <c r="S681" s="198">
        <v>5.4922829773856501</v>
      </c>
      <c r="T681" s="198">
        <v>5.0588556261311304</v>
      </c>
      <c r="U681" s="198">
        <v>5.12701898109004</v>
      </c>
      <c r="V681" s="198">
        <v>4.5984333600494702</v>
      </c>
      <c r="W681" s="198">
        <v>4.5514538503738002</v>
      </c>
      <c r="X681" s="191">
        <v>4.44471174204637</v>
      </c>
      <c r="Y681" s="198">
        <v>5.3324500136061497</v>
      </c>
      <c r="Z681" s="198">
        <v>7.1</v>
      </c>
      <c r="AA681" s="198" t="s">
        <v>93</v>
      </c>
      <c r="AB681" s="198">
        <v>3</v>
      </c>
      <c r="AC681" s="198">
        <v>2.4</v>
      </c>
      <c r="AD681" s="191">
        <v>4.6868421052631604</v>
      </c>
      <c r="AE681" s="199" t="s">
        <v>207</v>
      </c>
    </row>
    <row r="682" spans="2:31">
      <c r="B682" s="374">
        <v>45047</v>
      </c>
      <c r="C682" s="198"/>
      <c r="D682" s="198"/>
      <c r="E682" s="198"/>
      <c r="F682" s="198"/>
      <c r="G682" s="198"/>
      <c r="H682" s="198"/>
      <c r="I682" s="198"/>
      <c r="J682" s="198"/>
      <c r="K682" s="198"/>
      <c r="L682" s="191"/>
      <c r="M682" s="198"/>
      <c r="N682" s="198"/>
      <c r="O682" s="198"/>
      <c r="P682" s="198"/>
      <c r="Q682" s="198"/>
      <c r="R682" s="198"/>
      <c r="S682" s="198"/>
      <c r="T682" s="198"/>
      <c r="U682" s="198"/>
      <c r="V682" s="198"/>
      <c r="W682" s="198"/>
      <c r="X682" s="191"/>
      <c r="Y682" s="198"/>
      <c r="Z682" s="198"/>
      <c r="AA682" s="198"/>
      <c r="AB682" s="198"/>
      <c r="AC682" s="198"/>
      <c r="AD682" s="191"/>
      <c r="AE682" s="374">
        <v>45047</v>
      </c>
    </row>
    <row r="683" spans="2:31">
      <c r="B683" s="405" t="s">
        <v>184</v>
      </c>
      <c r="C683" s="198">
        <v>8.5089277384760305</v>
      </c>
      <c r="D683" s="198">
        <v>5.21347996844188</v>
      </c>
      <c r="E683" s="198">
        <v>9.2942095896543808</v>
      </c>
      <c r="F683" s="198">
        <v>3.7121135461097201</v>
      </c>
      <c r="G683" s="198">
        <v>3.7282321226040902</v>
      </c>
      <c r="H683" s="198">
        <v>3.1547567392306002</v>
      </c>
      <c r="I683" s="198">
        <v>5.2868817421269503</v>
      </c>
      <c r="J683" s="198">
        <v>8.8405257773495407</v>
      </c>
      <c r="K683" s="198">
        <v>8.5965939006197498</v>
      </c>
      <c r="L683" s="191">
        <v>9.3658874350420298</v>
      </c>
      <c r="M683" s="198">
        <v>14.2782569264246</v>
      </c>
      <c r="N683" s="198">
        <v>10.126889060963499</v>
      </c>
      <c r="O683" s="198">
        <v>16.046379536572999</v>
      </c>
      <c r="P683" s="198">
        <v>9.8758592616649192</v>
      </c>
      <c r="Q683" s="198">
        <v>11.0452387496677</v>
      </c>
      <c r="R683" s="198">
        <v>11.360065018851399</v>
      </c>
      <c r="S683" s="198">
        <v>10.641301742179699</v>
      </c>
      <c r="T683" s="198">
        <v>13.5937027929276</v>
      </c>
      <c r="U683" s="198">
        <v>16.9077029542117</v>
      </c>
      <c r="V683" s="198">
        <v>17.602359809918301</v>
      </c>
      <c r="W683" s="198">
        <v>8.7211725737942398</v>
      </c>
      <c r="X683" s="191">
        <v>6.9293187542894303</v>
      </c>
      <c r="Y683" s="198">
        <v>7.5484858038101201</v>
      </c>
      <c r="Z683" s="198">
        <v>4</v>
      </c>
      <c r="AA683" s="198">
        <v>7.125</v>
      </c>
      <c r="AB683" s="198">
        <v>7.5952662721893498</v>
      </c>
      <c r="AC683" s="198">
        <v>8.8699999999999992</v>
      </c>
      <c r="AD683" s="191">
        <v>9.30867815806468</v>
      </c>
      <c r="AE683" s="199" t="s">
        <v>350</v>
      </c>
    </row>
    <row r="684" spans="2:31">
      <c r="B684" s="405" t="s">
        <v>351</v>
      </c>
      <c r="C684" s="198">
        <v>1.5955021291628799</v>
      </c>
      <c r="D684" s="198">
        <v>1.2891433726879</v>
      </c>
      <c r="E684" s="198">
        <v>1.85768296977543</v>
      </c>
      <c r="F684" s="198">
        <v>0.91138002149475705</v>
      </c>
      <c r="G684" s="198">
        <v>2.51293164955201</v>
      </c>
      <c r="H684" s="198">
        <v>2.8795102712026699</v>
      </c>
      <c r="I684" s="198">
        <v>2.7842625397776599</v>
      </c>
      <c r="J684" s="198">
        <v>1.5516055127272499</v>
      </c>
      <c r="K684" s="198">
        <v>1.5017051767668901</v>
      </c>
      <c r="L684" s="191">
        <v>4.0052573470766699</v>
      </c>
      <c r="M684" s="198">
        <v>4.7689270805825696</v>
      </c>
      <c r="N684" s="198">
        <v>4.7299248739329096</v>
      </c>
      <c r="O684" s="198">
        <v>5.0253134920377898</v>
      </c>
      <c r="P684" s="198">
        <v>6.5631098104113201</v>
      </c>
      <c r="Q684" s="198">
        <v>3.3403916416422601</v>
      </c>
      <c r="R684" s="198">
        <v>5.61663596099622</v>
      </c>
      <c r="S684" s="198">
        <v>5.7030497099444997</v>
      </c>
      <c r="T684" s="198">
        <v>5.0004503673436904</v>
      </c>
      <c r="U684" s="198">
        <v>5.1710261708120102</v>
      </c>
      <c r="V684" s="198">
        <v>4.6042724119919898</v>
      </c>
      <c r="W684" s="198">
        <v>4.54085466098645</v>
      </c>
      <c r="X684" s="191">
        <v>4.4446227976608004</v>
      </c>
      <c r="Y684" s="198">
        <v>5.1186439592002504</v>
      </c>
      <c r="Z684" s="198">
        <v>5.2051643812588599</v>
      </c>
      <c r="AA684" s="198" t="s">
        <v>93</v>
      </c>
      <c r="AB684" s="198">
        <v>3</v>
      </c>
      <c r="AC684" s="198">
        <v>2.77</v>
      </c>
      <c r="AD684" s="191">
        <v>5.5637335285505101</v>
      </c>
      <c r="AE684" s="199" t="s">
        <v>207</v>
      </c>
    </row>
    <row r="685" spans="2:31">
      <c r="B685" s="374">
        <v>45078</v>
      </c>
      <c r="C685" s="198"/>
      <c r="D685" s="198"/>
      <c r="E685" s="198"/>
      <c r="F685" s="198"/>
      <c r="G685" s="198"/>
      <c r="H685" s="198"/>
      <c r="I685" s="198"/>
      <c r="J685" s="198"/>
      <c r="K685" s="198"/>
      <c r="L685" s="191"/>
      <c r="M685" s="198"/>
      <c r="N685" s="198"/>
      <c r="O685" s="198"/>
      <c r="P685" s="198"/>
      <c r="Q685" s="198"/>
      <c r="R685" s="198"/>
      <c r="S685" s="198"/>
      <c r="T685" s="198"/>
      <c r="U685" s="198"/>
      <c r="V685" s="198"/>
      <c r="W685" s="198"/>
      <c r="X685" s="191"/>
      <c r="Y685" s="198"/>
      <c r="Z685" s="198"/>
      <c r="AA685" s="198"/>
      <c r="AB685" s="198"/>
      <c r="AC685" s="198"/>
      <c r="AD685" s="191"/>
      <c r="AE685" s="374">
        <v>45078</v>
      </c>
    </row>
    <row r="686" spans="2:31">
      <c r="B686" s="405" t="s">
        <v>184</v>
      </c>
      <c r="C686" s="198">
        <v>8.4471814808264796</v>
      </c>
      <c r="D686" s="198">
        <v>5.3055054247456797</v>
      </c>
      <c r="E686" s="198">
        <v>9.2568137191875408</v>
      </c>
      <c r="F686" s="198">
        <v>3.6604552534692698</v>
      </c>
      <c r="G686" s="198">
        <v>3.7432402649431098</v>
      </c>
      <c r="H686" s="198">
        <v>3.2541044549317202</v>
      </c>
      <c r="I686" s="198">
        <v>5.27075973531836</v>
      </c>
      <c r="J686" s="198">
        <v>8.6694027092729797</v>
      </c>
      <c r="K686" s="198">
        <v>8.6281201993508301</v>
      </c>
      <c r="L686" s="191">
        <v>9.4644705399270208</v>
      </c>
      <c r="M686" s="198">
        <v>14.3153650938346</v>
      </c>
      <c r="N686" s="198">
        <v>10.112806990225801</v>
      </c>
      <c r="O686" s="198">
        <v>16.1015688562943</v>
      </c>
      <c r="P686" s="198">
        <v>11.9575541604334</v>
      </c>
      <c r="Q686" s="198">
        <v>10.964059025744699</v>
      </c>
      <c r="R686" s="198">
        <v>11.373937630371699</v>
      </c>
      <c r="S686" s="198">
        <v>10.3351587902481</v>
      </c>
      <c r="T686" s="198">
        <v>13.7260888581726</v>
      </c>
      <c r="U686" s="198">
        <v>16.859954699691201</v>
      </c>
      <c r="V686" s="198">
        <v>17.683546044480199</v>
      </c>
      <c r="W686" s="198">
        <v>8.7332133949507895</v>
      </c>
      <c r="X686" s="191">
        <v>6.8968254760719496</v>
      </c>
      <c r="Y686" s="198">
        <v>8.1887640874355707</v>
      </c>
      <c r="Z686" s="198">
        <v>4.25</v>
      </c>
      <c r="AA686" s="198">
        <v>6.15</v>
      </c>
      <c r="AB686" s="198">
        <v>7.5952662721893498</v>
      </c>
      <c r="AC686" s="198">
        <v>8.7861293550200301</v>
      </c>
      <c r="AD686" s="191">
        <v>9.3188542644081203</v>
      </c>
      <c r="AE686" s="199" t="s">
        <v>350</v>
      </c>
    </row>
    <row r="687" spans="2:31">
      <c r="B687" s="405" t="s">
        <v>351</v>
      </c>
      <c r="C687" s="198">
        <v>1.63928747580419</v>
      </c>
      <c r="D687" s="198">
        <v>1.36460904307526</v>
      </c>
      <c r="E687" s="198">
        <v>1.8731617770578199</v>
      </c>
      <c r="F687" s="198">
        <v>0.79804695683583204</v>
      </c>
      <c r="G687" s="198">
        <v>3.0085318932412899</v>
      </c>
      <c r="H687" s="198">
        <v>2.5577526911966899</v>
      </c>
      <c r="I687" s="198">
        <v>3.30600823411568</v>
      </c>
      <c r="J687" s="198">
        <v>1.58712598690928</v>
      </c>
      <c r="K687" s="198">
        <v>1.5541087222513501</v>
      </c>
      <c r="L687" s="191">
        <v>3.9267817071632898</v>
      </c>
      <c r="M687" s="198">
        <v>4.8706178673976996</v>
      </c>
      <c r="N687" s="198">
        <v>4.8471896864227402</v>
      </c>
      <c r="O687" s="198">
        <v>5.0306433812411102</v>
      </c>
      <c r="P687" s="198">
        <v>6.54219872056282</v>
      </c>
      <c r="Q687" s="198">
        <v>4.6448476537645398</v>
      </c>
      <c r="R687" s="198">
        <v>5.5095058294005304</v>
      </c>
      <c r="S687" s="198">
        <v>5.9834480930324299</v>
      </c>
      <c r="T687" s="198">
        <v>5.1520608932825303</v>
      </c>
      <c r="U687" s="198">
        <v>5.6866959007050601</v>
      </c>
      <c r="V687" s="198">
        <v>4.6161138007667804</v>
      </c>
      <c r="W687" s="198">
        <v>4.5302953498329499</v>
      </c>
      <c r="X687" s="191">
        <v>4.4315238759466498</v>
      </c>
      <c r="Y687" s="198">
        <v>5.4857136657618204</v>
      </c>
      <c r="Z687" s="198">
        <v>6.6768774703557296</v>
      </c>
      <c r="AA687" s="198" t="s">
        <v>93</v>
      </c>
      <c r="AB687" s="198">
        <v>3</v>
      </c>
      <c r="AC687" s="198">
        <v>2.77</v>
      </c>
      <c r="AD687" s="191">
        <v>5.5581723079896603</v>
      </c>
      <c r="AE687" s="199" t="s">
        <v>207</v>
      </c>
    </row>
    <row r="688" spans="2:31">
      <c r="B688" s="374">
        <v>45108</v>
      </c>
      <c r="C688" s="198"/>
      <c r="D688" s="198"/>
      <c r="E688" s="198"/>
      <c r="F688" s="198"/>
      <c r="G688" s="198"/>
      <c r="H688" s="198"/>
      <c r="I688" s="198"/>
      <c r="J688" s="198"/>
      <c r="K688" s="198"/>
      <c r="L688" s="191"/>
      <c r="M688" s="198"/>
      <c r="N688" s="198"/>
      <c r="O688" s="198"/>
      <c r="P688" s="198"/>
      <c r="Q688" s="198"/>
      <c r="R688" s="198"/>
      <c r="S688" s="198"/>
      <c r="T688" s="198"/>
      <c r="U688" s="198"/>
      <c r="V688" s="198"/>
      <c r="W688" s="198"/>
      <c r="X688" s="191"/>
      <c r="Y688" s="198"/>
      <c r="Z688" s="198"/>
      <c r="AA688" s="198"/>
      <c r="AB688" s="198"/>
      <c r="AC688" s="198"/>
      <c r="AD688" s="191"/>
      <c r="AE688" s="374">
        <v>45108</v>
      </c>
    </row>
    <row r="689" spans="2:32">
      <c r="B689" s="405" t="s">
        <v>184</v>
      </c>
      <c r="C689" s="198">
        <v>8.3853959927454493</v>
      </c>
      <c r="D689" s="198">
        <v>5.4311237017009102</v>
      </c>
      <c r="E689" s="198">
        <v>9.2246259550186291</v>
      </c>
      <c r="F689" s="198">
        <v>3.7200551423441901</v>
      </c>
      <c r="G689" s="198">
        <v>4.0714655562596196</v>
      </c>
      <c r="H689" s="198">
        <v>3.8429174494577398</v>
      </c>
      <c r="I689" s="198">
        <v>6.1627454614867698</v>
      </c>
      <c r="J689" s="198">
        <v>8.5656192919634897</v>
      </c>
      <c r="K689" s="198">
        <v>8.5796052566140197</v>
      </c>
      <c r="L689" s="191">
        <v>9.4148752194804093</v>
      </c>
      <c r="M689" s="198">
        <v>14.2813789909953</v>
      </c>
      <c r="N689" s="198">
        <v>10.1337634247843</v>
      </c>
      <c r="O689" s="198">
        <v>16.0603926086347</v>
      </c>
      <c r="P689" s="198">
        <v>11.479834830262901</v>
      </c>
      <c r="Q689" s="198">
        <v>10.386988298432</v>
      </c>
      <c r="R689" s="198">
        <v>11.311216237448701</v>
      </c>
      <c r="S689" s="198">
        <v>10.468561926151301</v>
      </c>
      <c r="T689" s="198">
        <v>13.770134353241099</v>
      </c>
      <c r="U689" s="198">
        <v>16.777097184979699</v>
      </c>
      <c r="V689" s="198">
        <v>17.6368317326823</v>
      </c>
      <c r="W689" s="198">
        <v>8.8567018741306693</v>
      </c>
      <c r="X689" s="191">
        <v>6.9175597108325704</v>
      </c>
      <c r="Y689" s="198">
        <v>8.9687144965467702</v>
      </c>
      <c r="Z689" s="198" t="s">
        <v>93</v>
      </c>
      <c r="AA689" s="198">
        <v>6.15</v>
      </c>
      <c r="AB689" s="198">
        <v>9.5212799005902493</v>
      </c>
      <c r="AC689" s="198">
        <v>8.7861293550200301</v>
      </c>
      <c r="AD689" s="191">
        <v>9.3188542644081203</v>
      </c>
      <c r="AE689" s="199" t="s">
        <v>350</v>
      </c>
    </row>
    <row r="690" spans="2:32">
      <c r="B690" s="405" t="s">
        <v>351</v>
      </c>
      <c r="C690" s="198">
        <v>1.78452736329281</v>
      </c>
      <c r="D690" s="198">
        <v>1.6738695689371299</v>
      </c>
      <c r="E690" s="198">
        <v>1.89121458438928</v>
      </c>
      <c r="F690" s="198">
        <v>0.81910540175076496</v>
      </c>
      <c r="G690" s="198">
        <v>2.9613140607656598</v>
      </c>
      <c r="H690" s="198">
        <v>1.37894134192724</v>
      </c>
      <c r="I690" s="198">
        <v>3.2748537552149601</v>
      </c>
      <c r="J690" s="198">
        <v>1.68295266986514</v>
      </c>
      <c r="K690" s="198">
        <v>1.7833708339855601</v>
      </c>
      <c r="L690" s="191">
        <v>3.81641836140561</v>
      </c>
      <c r="M690" s="198">
        <v>4.9620718225926801</v>
      </c>
      <c r="N690" s="198">
        <v>4.9479980502655296</v>
      </c>
      <c r="O690" s="198">
        <v>5.0673913084106497</v>
      </c>
      <c r="P690" s="198">
        <v>6.7620070913350503</v>
      </c>
      <c r="Q690" s="198">
        <v>4.6004954892300303</v>
      </c>
      <c r="R690" s="198">
        <v>5.6038043446487498</v>
      </c>
      <c r="S690" s="198">
        <v>6.04561622624386</v>
      </c>
      <c r="T690" s="198">
        <v>5.1782852950316203</v>
      </c>
      <c r="U690" s="198">
        <v>5.6537198760344998</v>
      </c>
      <c r="V690" s="198">
        <v>4.6193344118843997</v>
      </c>
      <c r="W690" s="198">
        <v>4.8405605675093604</v>
      </c>
      <c r="X690" s="191">
        <v>4.4374424120288998</v>
      </c>
      <c r="Y690" s="198">
        <v>5.77</v>
      </c>
      <c r="Z690" s="198">
        <v>7.25</v>
      </c>
      <c r="AA690" s="198">
        <v>7</v>
      </c>
      <c r="AB690" s="198">
        <v>3</v>
      </c>
      <c r="AC690" s="198">
        <v>3.0150000000000001</v>
      </c>
      <c r="AD690" s="191">
        <v>5.6836920008529699</v>
      </c>
      <c r="AE690" s="199" t="s">
        <v>207</v>
      </c>
    </row>
    <row r="691" spans="2:32">
      <c r="B691" s="374">
        <v>45139</v>
      </c>
      <c r="C691" s="198"/>
      <c r="D691" s="198"/>
      <c r="E691" s="198"/>
      <c r="F691" s="198"/>
      <c r="G691" s="198"/>
      <c r="H691" s="198"/>
      <c r="I691" s="198"/>
      <c r="J691" s="198"/>
      <c r="K691" s="198"/>
      <c r="L691" s="191"/>
      <c r="M691" s="198"/>
      <c r="N691" s="198"/>
      <c r="O691" s="198"/>
      <c r="P691" s="198"/>
      <c r="Q691" s="198"/>
      <c r="R691" s="198"/>
      <c r="S691" s="198"/>
      <c r="T691" s="198"/>
      <c r="U691" s="198"/>
      <c r="V691" s="198"/>
      <c r="W691" s="198"/>
      <c r="X691" s="191"/>
      <c r="Y691" s="198"/>
      <c r="Z691" s="198"/>
      <c r="AA691" s="198"/>
      <c r="AB691" s="198"/>
      <c r="AC691" s="198"/>
      <c r="AD691" s="191"/>
      <c r="AE691" s="374">
        <v>45139</v>
      </c>
    </row>
    <row r="692" spans="2:32">
      <c r="B692" s="405" t="s">
        <v>184</v>
      </c>
      <c r="C692" s="198">
        <v>8.3773557442175299</v>
      </c>
      <c r="D692" s="198">
        <v>5.4758750207010003</v>
      </c>
      <c r="E692" s="198">
        <v>9.2372276692831292</v>
      </c>
      <c r="F692" s="198">
        <v>4.0902152283200701</v>
      </c>
      <c r="G692" s="198">
        <v>3.47501210640623</v>
      </c>
      <c r="H692" s="198">
        <v>3.90462706384361</v>
      </c>
      <c r="I692" s="198">
        <v>6.1340742459516804</v>
      </c>
      <c r="J692" s="198">
        <v>8.5440783776318092</v>
      </c>
      <c r="K692" s="198">
        <v>8.6417389703494401</v>
      </c>
      <c r="L692" s="191">
        <v>9.0761120793728001</v>
      </c>
      <c r="M692" s="198">
        <v>14.2711393574337</v>
      </c>
      <c r="N692" s="198">
        <v>10.1418851842379</v>
      </c>
      <c r="O692" s="198">
        <v>15.9850945492067</v>
      </c>
      <c r="P692" s="198">
        <v>13.263792452958601</v>
      </c>
      <c r="Q692" s="198">
        <v>9.0563819862171808</v>
      </c>
      <c r="R692" s="198">
        <v>11.250538865860699</v>
      </c>
      <c r="S692" s="198">
        <v>10.0856584540198</v>
      </c>
      <c r="T692" s="198">
        <v>14.3458891386319</v>
      </c>
      <c r="U692" s="198">
        <v>16.5646258863589</v>
      </c>
      <c r="V692" s="198">
        <v>17.618840206443</v>
      </c>
      <c r="W692" s="198">
        <v>8.91337237504057</v>
      </c>
      <c r="X692" s="191">
        <v>6.9197345240479304</v>
      </c>
      <c r="Y692" s="198">
        <v>9.0491879922542608</v>
      </c>
      <c r="Z692" s="198" t="s">
        <v>93</v>
      </c>
      <c r="AA692" s="198">
        <v>7</v>
      </c>
      <c r="AB692" s="198">
        <v>9.5212799005902493</v>
      </c>
      <c r="AC692" s="198">
        <v>8.7861293550200301</v>
      </c>
      <c r="AD692" s="191">
        <v>9.36</v>
      </c>
      <c r="AE692" s="199" t="s">
        <v>350</v>
      </c>
    </row>
    <row r="693" spans="2:32">
      <c r="B693" s="405" t="s">
        <v>351</v>
      </c>
      <c r="C693" s="198">
        <v>1.8713594672178999</v>
      </c>
      <c r="D693" s="198">
        <v>1.83796366819692</v>
      </c>
      <c r="E693" s="198">
        <v>1.9040823902956301</v>
      </c>
      <c r="F693" s="198">
        <v>0.69665716512764497</v>
      </c>
      <c r="G693" s="198">
        <v>2.8052263235352601</v>
      </c>
      <c r="H693" s="198">
        <v>2.9241645182367901</v>
      </c>
      <c r="I693" s="198">
        <v>1.0842505660005199</v>
      </c>
      <c r="J693" s="198">
        <v>1.71477695199615</v>
      </c>
      <c r="K693" s="198">
        <v>1.9194500792103399</v>
      </c>
      <c r="L693" s="191">
        <v>3.8150334750280401</v>
      </c>
      <c r="M693" s="198">
        <v>5.0030672625074404</v>
      </c>
      <c r="N693" s="198">
        <v>4.9750693274405702</v>
      </c>
      <c r="O693" s="198">
        <v>5.3010017930095996</v>
      </c>
      <c r="P693" s="198">
        <v>6.7301322536850501</v>
      </c>
      <c r="Q693" s="198">
        <v>4.2744444469647203</v>
      </c>
      <c r="R693" s="198">
        <v>5.5920530420895602</v>
      </c>
      <c r="S693" s="198">
        <v>6.1457093346946801</v>
      </c>
      <c r="T693" s="198">
        <v>5.3362904642040903</v>
      </c>
      <c r="U693" s="198">
        <v>8.4653791506145399</v>
      </c>
      <c r="V693" s="198">
        <v>4.0371234839716497</v>
      </c>
      <c r="W693" s="198">
        <v>3.5729593348889201</v>
      </c>
      <c r="X693" s="191">
        <v>4.4296685634917701</v>
      </c>
      <c r="Y693" s="198">
        <v>5.9370555734409898</v>
      </c>
      <c r="Z693" s="198">
        <v>8</v>
      </c>
      <c r="AA693" s="198">
        <v>7.25</v>
      </c>
      <c r="AB693" s="198" t="s">
        <v>93</v>
      </c>
      <c r="AC693" s="198">
        <v>3.69</v>
      </c>
      <c r="AD693" s="191">
        <v>5.9261679576539503</v>
      </c>
      <c r="AE693" s="199" t="s">
        <v>207</v>
      </c>
    </row>
    <row r="694" spans="2:32">
      <c r="B694" s="374">
        <v>45170</v>
      </c>
      <c r="C694" s="198"/>
      <c r="D694" s="198"/>
      <c r="E694" s="198"/>
      <c r="F694" s="198"/>
      <c r="G694" s="198"/>
      <c r="H694" s="198"/>
      <c r="I694" s="198"/>
      <c r="J694" s="198"/>
      <c r="K694" s="198"/>
      <c r="L694" s="191"/>
      <c r="M694" s="198"/>
      <c r="N694" s="198"/>
      <c r="O694" s="198"/>
      <c r="P694" s="198"/>
      <c r="Q694" s="198"/>
      <c r="R694" s="198"/>
      <c r="S694" s="198"/>
      <c r="T694" s="198"/>
      <c r="U694" s="198"/>
      <c r="V694" s="198"/>
      <c r="W694" s="198"/>
      <c r="X694" s="191"/>
      <c r="Y694" s="198"/>
      <c r="Z694" s="198"/>
      <c r="AA694" s="198"/>
      <c r="AB694" s="198"/>
      <c r="AC694" s="198"/>
      <c r="AD694" s="191"/>
      <c r="AE694" s="374">
        <v>45170</v>
      </c>
    </row>
    <row r="695" spans="2:32">
      <c r="B695" s="405" t="s">
        <v>184</v>
      </c>
      <c r="C695" s="198">
        <v>8.3563065039579705</v>
      </c>
      <c r="D695" s="198">
        <v>5.62206208973919</v>
      </c>
      <c r="E695" s="198">
        <v>9.2525759443630005</v>
      </c>
      <c r="F695" s="198">
        <v>3.9263851191041099</v>
      </c>
      <c r="G695" s="198">
        <v>3.2769613246912401</v>
      </c>
      <c r="H695" s="198">
        <v>4.9875124186419697</v>
      </c>
      <c r="I695" s="198">
        <v>4.9628431031553601</v>
      </c>
      <c r="J695" s="198">
        <v>8.5244824103153594</v>
      </c>
      <c r="K695" s="198">
        <v>8.6517262483639392</v>
      </c>
      <c r="L695" s="191">
        <v>9.0593947690487209</v>
      </c>
      <c r="M695" s="198">
        <v>14.2929304423752</v>
      </c>
      <c r="N695" s="198">
        <v>10.1454909744968</v>
      </c>
      <c r="O695" s="198">
        <v>15.987291911717101</v>
      </c>
      <c r="P695" s="198">
        <v>13.029487579342801</v>
      </c>
      <c r="Q695" s="198">
        <v>9.9086846728016198</v>
      </c>
      <c r="R695" s="198">
        <v>11.283781988606799</v>
      </c>
      <c r="S695" s="198">
        <v>10.0978358455255</v>
      </c>
      <c r="T695" s="198">
        <v>14.425763238967001</v>
      </c>
      <c r="U695" s="198">
        <v>16.4689895010304</v>
      </c>
      <c r="V695" s="198">
        <v>17.6494230968446</v>
      </c>
      <c r="W695" s="198">
        <v>9.0656773901818699</v>
      </c>
      <c r="X695" s="191">
        <v>6.9215772915071003</v>
      </c>
      <c r="Y695" s="198">
        <v>9.0820673326317305</v>
      </c>
      <c r="Z695" s="198" t="s">
        <v>93</v>
      </c>
      <c r="AA695" s="198">
        <v>7</v>
      </c>
      <c r="AB695" s="198">
        <v>9.5212799005902493</v>
      </c>
      <c r="AC695" s="198">
        <v>8.8699999999999992</v>
      </c>
      <c r="AD695" s="191">
        <v>9.36</v>
      </c>
      <c r="AE695" s="199" t="s">
        <v>350</v>
      </c>
    </row>
    <row r="696" spans="2:32">
      <c r="B696" s="405" t="s">
        <v>351</v>
      </c>
      <c r="C696" s="198">
        <v>1.8876366900172199</v>
      </c>
      <c r="D696" s="198">
        <v>1.8507020325560799</v>
      </c>
      <c r="E696" s="198">
        <v>1.9246553400842701</v>
      </c>
      <c r="F696" s="198">
        <v>1.28864027740731</v>
      </c>
      <c r="G696" s="198">
        <v>2.09649353926013</v>
      </c>
      <c r="H696" s="198">
        <v>2.9549807487701001</v>
      </c>
      <c r="I696" s="198">
        <v>1.07231042430267</v>
      </c>
      <c r="J696" s="198">
        <v>1.73778554735215</v>
      </c>
      <c r="K696" s="198">
        <v>1.9320316943740601</v>
      </c>
      <c r="L696" s="191">
        <v>3.7689638776697398</v>
      </c>
      <c r="M696" s="198">
        <v>4.9973024292736303</v>
      </c>
      <c r="N696" s="198">
        <v>4.97086852114575</v>
      </c>
      <c r="O696" s="198">
        <v>5.27827778695376</v>
      </c>
      <c r="P696" s="198">
        <v>6.5885893311075501</v>
      </c>
      <c r="Q696" s="198">
        <v>4.2047525690306804</v>
      </c>
      <c r="R696" s="198">
        <v>5.62496756661068</v>
      </c>
      <c r="S696" s="198">
        <v>6.2699473770174201</v>
      </c>
      <c r="T696" s="198">
        <v>5.2634720200449197</v>
      </c>
      <c r="U696" s="198">
        <v>8.4132773104478193</v>
      </c>
      <c r="V696" s="198">
        <v>4.0422861272034201</v>
      </c>
      <c r="W696" s="198">
        <v>3.56111712250837</v>
      </c>
      <c r="X696" s="191">
        <v>4.4267806100100797</v>
      </c>
      <c r="Y696" s="198">
        <v>6.8505692647688301</v>
      </c>
      <c r="Z696" s="198">
        <v>11.38</v>
      </c>
      <c r="AA696" s="198">
        <v>7.25</v>
      </c>
      <c r="AB696" s="198" t="s">
        <v>93</v>
      </c>
      <c r="AC696" s="198">
        <v>3.69</v>
      </c>
      <c r="AD696" s="191">
        <v>5.9030356431541904</v>
      </c>
      <c r="AE696" s="199" t="s">
        <v>207</v>
      </c>
    </row>
    <row r="697" spans="2:32">
      <c r="B697" s="374">
        <v>45200</v>
      </c>
      <c r="C697" s="198"/>
      <c r="D697" s="198"/>
      <c r="E697" s="198"/>
      <c r="F697" s="198"/>
      <c r="G697" s="198"/>
      <c r="H697" s="198"/>
      <c r="I697" s="198"/>
      <c r="J697" s="198"/>
      <c r="K697" s="198"/>
      <c r="L697" s="191"/>
      <c r="M697" s="198"/>
      <c r="N697" s="198"/>
      <c r="O697" s="198"/>
      <c r="P697" s="198"/>
      <c r="Q697" s="198"/>
      <c r="R697" s="198"/>
      <c r="S697" s="198"/>
      <c r="T697" s="198"/>
      <c r="U697" s="198"/>
      <c r="V697" s="198"/>
      <c r="W697" s="198"/>
      <c r="X697" s="191"/>
      <c r="Y697" s="198"/>
      <c r="Z697" s="198"/>
      <c r="AA697" s="198"/>
      <c r="AB697" s="198"/>
      <c r="AC697" s="198"/>
      <c r="AD697" s="191"/>
      <c r="AE697" s="374">
        <v>45200</v>
      </c>
    </row>
    <row r="698" spans="2:32">
      <c r="B698" s="405" t="s">
        <v>184</v>
      </c>
      <c r="C698" s="198">
        <v>8.3271786922668003</v>
      </c>
      <c r="D698" s="198">
        <v>5.5980697394133001</v>
      </c>
      <c r="E698" s="198">
        <v>9.2609919540112706</v>
      </c>
      <c r="F698" s="198">
        <v>2.8759851911892</v>
      </c>
      <c r="G698" s="198">
        <v>3.96858802864773</v>
      </c>
      <c r="H698" s="198">
        <v>4.6361191445207499</v>
      </c>
      <c r="I698" s="198">
        <v>4.9667630483912903</v>
      </c>
      <c r="J698" s="198">
        <v>8.5026595942363805</v>
      </c>
      <c r="K698" s="198">
        <v>8.6666707243532599</v>
      </c>
      <c r="L698" s="191">
        <v>9.0503574949119798</v>
      </c>
      <c r="M698" s="198">
        <v>14.294579006932</v>
      </c>
      <c r="N698" s="198">
        <v>10.151941197970499</v>
      </c>
      <c r="O698" s="198">
        <v>15.983881301756499</v>
      </c>
      <c r="P698" s="198">
        <v>12.237070647373301</v>
      </c>
      <c r="Q698" s="198">
        <v>10.6123892686365</v>
      </c>
      <c r="R698" s="198">
        <v>11.0486594666913</v>
      </c>
      <c r="S698" s="198">
        <v>10.1701237650596</v>
      </c>
      <c r="T698" s="198">
        <v>14.477008409883</v>
      </c>
      <c r="U698" s="198">
        <v>16.3426983864567</v>
      </c>
      <c r="V698" s="198">
        <v>17.648398101731701</v>
      </c>
      <c r="W698" s="198">
        <v>9.1572724005592701</v>
      </c>
      <c r="X698" s="191">
        <v>6.9431356728238898</v>
      </c>
      <c r="Y698" s="198">
        <v>9.5043095741702199</v>
      </c>
      <c r="Z698" s="198" t="s">
        <v>93</v>
      </c>
      <c r="AA698" s="198">
        <v>7</v>
      </c>
      <c r="AB698" s="198">
        <v>10.3398570984778</v>
      </c>
      <c r="AC698" s="198">
        <v>9</v>
      </c>
      <c r="AD698" s="191">
        <v>9.8000000000000007</v>
      </c>
      <c r="AE698" s="199" t="s">
        <v>350</v>
      </c>
    </row>
    <row r="699" spans="2:32">
      <c r="B699" s="405" t="s">
        <v>351</v>
      </c>
      <c r="C699" s="198">
        <v>1.9459297546480301</v>
      </c>
      <c r="D699" s="198">
        <v>1.9203047535183999</v>
      </c>
      <c r="E699" s="198">
        <v>1.9718913574263</v>
      </c>
      <c r="F699" s="198">
        <v>1.70617010724692</v>
      </c>
      <c r="G699" s="198">
        <v>2.8292183212056199</v>
      </c>
      <c r="H699" s="198">
        <v>2.8364283280548599</v>
      </c>
      <c r="I699" s="198">
        <v>0.75629555894478695</v>
      </c>
      <c r="J699" s="198">
        <v>1.8055216600237101</v>
      </c>
      <c r="K699" s="198">
        <v>1.9921417375257999</v>
      </c>
      <c r="L699" s="191">
        <v>3.7628549797556698</v>
      </c>
      <c r="M699" s="198">
        <v>5.0624689523759301</v>
      </c>
      <c r="N699" s="198">
        <v>5.0519623067959998</v>
      </c>
      <c r="O699" s="198">
        <v>5.1707524671192697</v>
      </c>
      <c r="P699" s="198">
        <v>6.4350132257119501</v>
      </c>
      <c r="Q699" s="198">
        <v>3.6509648097682099</v>
      </c>
      <c r="R699" s="198">
        <v>5.2850470010172801</v>
      </c>
      <c r="S699" s="198">
        <v>5.87332977028972</v>
      </c>
      <c r="T699" s="198">
        <v>5.3394573148889499</v>
      </c>
      <c r="U699" s="198">
        <v>8.3585040759398801</v>
      </c>
      <c r="V699" s="198">
        <v>4.1667360595245597</v>
      </c>
      <c r="W699" s="198">
        <v>3.7502424183473102</v>
      </c>
      <c r="X699" s="191">
        <v>4.4234873407845203</v>
      </c>
      <c r="Y699" s="198">
        <v>6.0680916227662403</v>
      </c>
      <c r="Z699" s="198">
        <v>11.85</v>
      </c>
      <c r="AA699" s="198">
        <v>7.25</v>
      </c>
      <c r="AB699" s="198" t="s">
        <v>93</v>
      </c>
      <c r="AC699" s="198">
        <v>3.69</v>
      </c>
      <c r="AD699" s="191">
        <v>5.8908370185736096</v>
      </c>
      <c r="AE699" s="199" t="s">
        <v>207</v>
      </c>
    </row>
    <row r="700" spans="2:32">
      <c r="B700" s="374">
        <v>45231</v>
      </c>
      <c r="C700" s="198"/>
      <c r="D700" s="198"/>
      <c r="E700" s="198"/>
      <c r="F700" s="198"/>
      <c r="G700" s="198"/>
      <c r="H700" s="198"/>
      <c r="I700" s="198"/>
      <c r="J700" s="198"/>
      <c r="K700" s="198"/>
      <c r="L700" s="191"/>
      <c r="M700" s="198"/>
      <c r="N700" s="210"/>
      <c r="O700" s="198"/>
      <c r="P700" s="198"/>
      <c r="Q700" s="198"/>
      <c r="R700" s="198"/>
      <c r="S700" s="198"/>
      <c r="T700" s="198"/>
      <c r="U700" s="198"/>
      <c r="V700" s="198"/>
      <c r="W700" s="198"/>
      <c r="X700" s="191"/>
      <c r="Y700" s="198"/>
      <c r="Z700" s="198"/>
      <c r="AA700" s="198"/>
      <c r="AB700" s="198"/>
      <c r="AC700" s="198"/>
      <c r="AD700" s="191"/>
      <c r="AE700" s="374">
        <v>45231</v>
      </c>
    </row>
    <row r="701" spans="2:32">
      <c r="B701" s="405" t="s">
        <v>184</v>
      </c>
      <c r="C701" s="198">
        <v>8.2071245279318692</v>
      </c>
      <c r="D701" s="198">
        <v>5.6290513279957199</v>
      </c>
      <c r="E701" s="198">
        <v>9.2071129779423995</v>
      </c>
      <c r="F701" s="198">
        <v>4.1912712754780399</v>
      </c>
      <c r="G701" s="198">
        <v>4.2788680239576804</v>
      </c>
      <c r="H701" s="198">
        <v>4.5000444775288502</v>
      </c>
      <c r="I701" s="198">
        <v>4.8562337501975401</v>
      </c>
      <c r="J701" s="198">
        <v>8.4361013385733905</v>
      </c>
      <c r="K701" s="198">
        <v>8.6581828115417707</v>
      </c>
      <c r="L701" s="191">
        <v>8.0819756147886999</v>
      </c>
      <c r="M701" s="198">
        <v>14.3791481058988</v>
      </c>
      <c r="N701" s="198">
        <v>10.181821052110401</v>
      </c>
      <c r="O701" s="198">
        <v>16.057802136999999</v>
      </c>
      <c r="P701" s="198">
        <v>12.179374623225501</v>
      </c>
      <c r="Q701" s="210">
        <v>12.4141693056108</v>
      </c>
      <c r="R701" s="198">
        <v>10.1366702990444</v>
      </c>
      <c r="S701" s="198">
        <v>10.0216941940479</v>
      </c>
      <c r="T701" s="198">
        <v>14.5910042672977</v>
      </c>
      <c r="U701" s="198">
        <v>16.286243969972499</v>
      </c>
      <c r="V701" s="198">
        <v>17.722378405821399</v>
      </c>
      <c r="W701" s="198">
        <v>9.2705018246711006</v>
      </c>
      <c r="X701" s="191">
        <v>6.97394549726818</v>
      </c>
      <c r="Y701" s="198">
        <v>9.76715705291471</v>
      </c>
      <c r="Z701" s="198" t="s">
        <v>93</v>
      </c>
      <c r="AA701" s="198" t="s">
        <v>93</v>
      </c>
      <c r="AB701" s="198">
        <v>10.1360032526936</v>
      </c>
      <c r="AC701" s="198">
        <v>9</v>
      </c>
      <c r="AD701" s="411">
        <v>9.8000000000000007</v>
      </c>
      <c r="AE701" s="199" t="s">
        <v>350</v>
      </c>
      <c r="AF701" s="200"/>
    </row>
    <row r="702" spans="2:32">
      <c r="B702" s="405" t="s">
        <v>351</v>
      </c>
      <c r="C702" s="198">
        <v>1.95537340307257</v>
      </c>
      <c r="D702" s="198">
        <v>1.8944552074540799</v>
      </c>
      <c r="E702" s="198">
        <v>2.0168692739285201</v>
      </c>
      <c r="F702" s="198">
        <v>1.8906202964652199</v>
      </c>
      <c r="G702" s="198">
        <v>1.86793384693804</v>
      </c>
      <c r="H702" s="198">
        <v>2.9270822712095899</v>
      </c>
      <c r="I702" s="198">
        <v>0.72281398405241903</v>
      </c>
      <c r="J702" s="198">
        <v>1.8559104197434</v>
      </c>
      <c r="K702" s="198">
        <v>1.97757144427092</v>
      </c>
      <c r="L702" s="191">
        <v>3.88401561521917</v>
      </c>
      <c r="M702" s="198">
        <v>5.1287103470581004</v>
      </c>
      <c r="N702" s="198">
        <v>5.1578736422983198</v>
      </c>
      <c r="O702" s="198">
        <v>4.78412381512869</v>
      </c>
      <c r="P702" s="198">
        <v>6.8413638773690604</v>
      </c>
      <c r="Q702" s="198">
        <v>3.1946040389167001</v>
      </c>
      <c r="R702" s="198">
        <v>5.2234769687813998</v>
      </c>
      <c r="S702" s="198">
        <v>5.5174056815798096</v>
      </c>
      <c r="T702" s="198">
        <v>5.4544925328195797</v>
      </c>
      <c r="U702" s="198">
        <v>8.4366427453964494</v>
      </c>
      <c r="V702" s="198">
        <v>4.1300443608073296</v>
      </c>
      <c r="W702" s="198">
        <v>4.2841734616301803</v>
      </c>
      <c r="X702" s="191">
        <v>4.4210129620038101</v>
      </c>
      <c r="Y702" s="198">
        <v>6.4307310006237604</v>
      </c>
      <c r="Z702" s="198">
        <v>13.7</v>
      </c>
      <c r="AA702" s="198" t="s">
        <v>93</v>
      </c>
      <c r="AB702" s="198"/>
      <c r="AC702" s="198">
        <v>5.8066666666666702</v>
      </c>
      <c r="AD702" s="191">
        <v>5.9678861919305604</v>
      </c>
      <c r="AE702" s="199" t="s">
        <v>207</v>
      </c>
    </row>
    <row r="703" spans="2:32">
      <c r="B703" s="374">
        <v>45261</v>
      </c>
      <c r="C703" s="198"/>
      <c r="D703" s="198"/>
      <c r="E703" s="198"/>
      <c r="F703" s="198"/>
      <c r="G703" s="198"/>
      <c r="H703" s="198"/>
      <c r="I703" s="198"/>
      <c r="J703" s="198"/>
      <c r="K703" s="198"/>
      <c r="L703" s="191"/>
      <c r="M703" s="198"/>
      <c r="N703" s="198"/>
      <c r="O703" s="198"/>
      <c r="P703" s="198"/>
      <c r="Q703" s="198"/>
      <c r="R703" s="198"/>
      <c r="S703" s="198"/>
      <c r="T703" s="198"/>
      <c r="U703" s="198"/>
      <c r="V703" s="198"/>
      <c r="W703" s="198"/>
      <c r="X703" s="191"/>
      <c r="Y703" s="198"/>
      <c r="Z703" s="198"/>
      <c r="AA703" s="198"/>
      <c r="AB703" s="198"/>
      <c r="AC703" s="198"/>
      <c r="AD703" s="191"/>
      <c r="AE703" s="374">
        <v>45261</v>
      </c>
    </row>
    <row r="704" spans="2:32">
      <c r="B704" s="405" t="s">
        <v>184</v>
      </c>
      <c r="C704" s="198">
        <v>8.2200568020037004</v>
      </c>
      <c r="D704" s="198">
        <v>5.6626923926175801</v>
      </c>
      <c r="E704" s="198">
        <v>9.2289046054371404</v>
      </c>
      <c r="F704" s="198">
        <v>4.78526725934874</v>
      </c>
      <c r="G704" s="198">
        <v>4.4906126842017002</v>
      </c>
      <c r="H704" s="198">
        <v>4.6947826037938603</v>
      </c>
      <c r="I704" s="198">
        <v>4.8581566195648698</v>
      </c>
      <c r="J704" s="198">
        <v>8.4417684594680704</v>
      </c>
      <c r="K704" s="198">
        <v>8.7060654643226805</v>
      </c>
      <c r="L704" s="191">
        <v>8.1223117673275897</v>
      </c>
      <c r="M704" s="198">
        <v>14.343184466366299</v>
      </c>
      <c r="N704" s="198">
        <v>10.1707714730976</v>
      </c>
      <c r="O704" s="198">
        <v>16.005787092354801</v>
      </c>
      <c r="P704" s="198">
        <v>11.908013306064801</v>
      </c>
      <c r="Q704" s="198">
        <v>11.493337125654801</v>
      </c>
      <c r="R704" s="198">
        <v>10.128854582203299</v>
      </c>
      <c r="S704" s="198">
        <v>10.174766932219599</v>
      </c>
      <c r="T704" s="198">
        <v>14.576669858465101</v>
      </c>
      <c r="U704" s="198">
        <v>16.3025370311267</v>
      </c>
      <c r="V704" s="198">
        <v>17.730529335132001</v>
      </c>
      <c r="W704" s="198">
        <v>9.1710343624985597</v>
      </c>
      <c r="X704" s="191">
        <v>6.93662942823675</v>
      </c>
      <c r="Y704" s="198">
        <v>9.6520349812933901</v>
      </c>
      <c r="Z704" s="198" t="s">
        <v>93</v>
      </c>
      <c r="AA704" s="198" t="s">
        <v>93</v>
      </c>
      <c r="AB704" s="198">
        <v>9.75</v>
      </c>
      <c r="AC704" s="198">
        <v>9</v>
      </c>
      <c r="AD704" s="191">
        <v>9.8000000000000007</v>
      </c>
      <c r="AE704" s="199" t="s">
        <v>350</v>
      </c>
    </row>
    <row r="705" spans="2:32">
      <c r="B705" s="405" t="s">
        <v>351</v>
      </c>
      <c r="C705" s="198">
        <v>1.97137998982887</v>
      </c>
      <c r="D705" s="198">
        <v>1.9077567170628</v>
      </c>
      <c r="E705" s="198">
        <v>2.0374316328800202</v>
      </c>
      <c r="F705" s="198">
        <v>0.97787580240585004</v>
      </c>
      <c r="G705" s="198">
        <v>1.6683529789835201</v>
      </c>
      <c r="H705" s="198">
        <v>1.8632223425379799</v>
      </c>
      <c r="I705" s="198">
        <v>1.3989689332570501</v>
      </c>
      <c r="J705" s="198">
        <v>1.8563846034803599</v>
      </c>
      <c r="K705" s="198">
        <v>2.0270138517225198</v>
      </c>
      <c r="L705" s="191">
        <v>3.8984026893112</v>
      </c>
      <c r="M705" s="198">
        <v>5.1570393358473501</v>
      </c>
      <c r="N705" s="198">
        <v>5.1903981372998702</v>
      </c>
      <c r="O705" s="198">
        <v>4.7594566854868496</v>
      </c>
      <c r="P705" s="198">
        <v>6.9604626689196598</v>
      </c>
      <c r="Q705" s="198">
        <v>3.2747237850159201</v>
      </c>
      <c r="R705" s="198">
        <v>5.5429612750311303</v>
      </c>
      <c r="S705" s="198">
        <v>5.6023683166111304</v>
      </c>
      <c r="T705" s="198">
        <v>5.5030704621083704</v>
      </c>
      <c r="U705" s="198">
        <v>5.7812083923933804</v>
      </c>
      <c r="V705" s="198">
        <v>4.6788793042779</v>
      </c>
      <c r="W705" s="198">
        <v>5.2859208992470501</v>
      </c>
      <c r="X705" s="191">
        <v>4.4145116223107603</v>
      </c>
      <c r="Y705" s="198">
        <v>6.2467893388095597</v>
      </c>
      <c r="Z705" s="198">
        <v>14</v>
      </c>
      <c r="AA705" s="198">
        <v>3</v>
      </c>
      <c r="AB705" s="198" t="s">
        <v>93</v>
      </c>
      <c r="AC705" s="198">
        <v>6.2611191335740104</v>
      </c>
      <c r="AD705" s="191">
        <v>5.9806364359586297</v>
      </c>
      <c r="AE705" s="199" t="s">
        <v>207</v>
      </c>
    </row>
    <row r="706" spans="2:32">
      <c r="B706" s="374">
        <v>45292</v>
      </c>
      <c r="C706" s="198"/>
      <c r="D706" s="198"/>
      <c r="E706" s="198"/>
      <c r="F706" s="198"/>
      <c r="G706" s="198"/>
      <c r="H706" s="198"/>
      <c r="I706" s="198"/>
      <c r="J706" s="198"/>
      <c r="K706" s="198"/>
      <c r="L706" s="191"/>
      <c r="M706" s="198"/>
      <c r="N706" s="198"/>
      <c r="O706" s="198"/>
      <c r="P706" s="198"/>
      <c r="Q706" s="198"/>
      <c r="R706" s="198"/>
      <c r="S706" s="198"/>
      <c r="T706" s="198"/>
      <c r="U706" s="198"/>
      <c r="V706" s="198"/>
      <c r="W706" s="198"/>
      <c r="X706" s="191"/>
      <c r="Y706" s="198"/>
      <c r="Z706" s="198"/>
      <c r="AA706" s="198"/>
      <c r="AB706" s="198"/>
      <c r="AC706" s="198"/>
      <c r="AD706" s="191"/>
      <c r="AE706" s="374">
        <v>45292</v>
      </c>
    </row>
    <row r="707" spans="2:32">
      <c r="B707" s="405" t="s">
        <v>184</v>
      </c>
      <c r="C707" s="198">
        <v>8.1919824561087697</v>
      </c>
      <c r="D707" s="198">
        <v>5.6306211834863404</v>
      </c>
      <c r="E707" s="198">
        <v>9.25506016766297</v>
      </c>
      <c r="F707" s="198">
        <v>3.7668348042891999</v>
      </c>
      <c r="G707" s="198">
        <v>4.1248953891675004</v>
      </c>
      <c r="H707" s="198">
        <v>5.0150583865487004</v>
      </c>
      <c r="I707" s="198">
        <v>4.8129434014156702</v>
      </c>
      <c r="J707" s="198">
        <v>8.3556366372669295</v>
      </c>
      <c r="K707" s="198">
        <v>8.7570818350464492</v>
      </c>
      <c r="L707" s="191">
        <v>8.0907459432545608</v>
      </c>
      <c r="M707" s="198">
        <v>14.305827657062901</v>
      </c>
      <c r="N707" s="198">
        <v>10.1405664301854</v>
      </c>
      <c r="O707" s="198">
        <v>16.003146345940099</v>
      </c>
      <c r="P707" s="198">
        <v>6.6711023705627399</v>
      </c>
      <c r="Q707" s="198">
        <v>11.3045366468113</v>
      </c>
      <c r="R707" s="198">
        <v>9.9038143424498202</v>
      </c>
      <c r="S707" s="198">
        <v>10.1993162643102</v>
      </c>
      <c r="T707" s="198">
        <v>14.537810282807399</v>
      </c>
      <c r="U707" s="198">
        <v>16.390100780719798</v>
      </c>
      <c r="V707" s="198">
        <v>17.655625245124501</v>
      </c>
      <c r="W707" s="198">
        <v>9.1345899130266996</v>
      </c>
      <c r="X707" s="191">
        <v>6.9975137553791704</v>
      </c>
      <c r="Y707" s="198">
        <v>9.6406022387619092</v>
      </c>
      <c r="Z707" s="198" t="s">
        <v>93</v>
      </c>
      <c r="AA707" s="198" t="s">
        <v>93</v>
      </c>
      <c r="AB707" s="198">
        <v>9.75</v>
      </c>
      <c r="AC707" s="198">
        <v>9</v>
      </c>
      <c r="AD707" s="191">
        <v>9.8000000000000007</v>
      </c>
      <c r="AE707" s="199" t="s">
        <v>350</v>
      </c>
    </row>
    <row r="708" spans="2:32">
      <c r="B708" s="405" t="s">
        <v>351</v>
      </c>
      <c r="C708" s="198">
        <v>1.99601877899684</v>
      </c>
      <c r="D708" s="198">
        <v>1.9207650790483599</v>
      </c>
      <c r="E708" s="198">
        <v>2.0808809009780802</v>
      </c>
      <c r="F708" s="198">
        <v>1.9321895197185199</v>
      </c>
      <c r="G708" s="198">
        <v>2.3002227371686201</v>
      </c>
      <c r="H708" s="198">
        <v>3.31759422133337</v>
      </c>
      <c r="I708" s="198">
        <v>1.9649466764410699</v>
      </c>
      <c r="J708" s="198">
        <v>1.80116818074162</v>
      </c>
      <c r="K708" s="198">
        <v>2.05037694234636</v>
      </c>
      <c r="L708" s="191">
        <v>3.6833359910221999</v>
      </c>
      <c r="M708" s="198">
        <v>5.1183078495815097</v>
      </c>
      <c r="N708" s="198">
        <v>5.1563672150768296</v>
      </c>
      <c r="O708" s="198">
        <v>4.6697439170766897</v>
      </c>
      <c r="P708" s="198">
        <v>6.7646074242235503</v>
      </c>
      <c r="Q708" s="198">
        <v>3.2692297444228999</v>
      </c>
      <c r="R708" s="198">
        <v>5.4567229815661902</v>
      </c>
      <c r="S708" s="198">
        <v>5.5565931407502998</v>
      </c>
      <c r="T708" s="198">
        <v>5.5392456648572699</v>
      </c>
      <c r="U708" s="198">
        <v>5.7751144375259296</v>
      </c>
      <c r="V708" s="198">
        <v>4.6756997710800796</v>
      </c>
      <c r="W708" s="198">
        <v>5.21456558880827</v>
      </c>
      <c r="X708" s="191">
        <v>4.4028569262555601</v>
      </c>
      <c r="Y708" s="198">
        <v>6.9226321189428504</v>
      </c>
      <c r="Z708" s="198">
        <v>14.4</v>
      </c>
      <c r="AA708" s="198">
        <v>3</v>
      </c>
      <c r="AB708" s="198" t="s">
        <v>93</v>
      </c>
      <c r="AC708" s="198">
        <v>7.0798933948063496</v>
      </c>
      <c r="AD708" s="191">
        <v>5.9829196709335202</v>
      </c>
      <c r="AE708" s="199" t="s">
        <v>207</v>
      </c>
    </row>
    <row r="709" spans="2:32">
      <c r="B709" s="374">
        <v>45323</v>
      </c>
      <c r="C709" s="198"/>
      <c r="D709" s="198"/>
      <c r="E709" s="198"/>
      <c r="F709" s="198"/>
      <c r="G709" s="198"/>
      <c r="H709" s="198"/>
      <c r="I709" s="198"/>
      <c r="J709" s="198"/>
      <c r="K709" s="198"/>
      <c r="L709" s="191"/>
      <c r="M709" s="198"/>
      <c r="N709" s="198"/>
      <c r="O709" s="198"/>
      <c r="P709" s="198"/>
      <c r="Q709" s="198"/>
      <c r="R709" s="198"/>
      <c r="S709" s="198"/>
      <c r="T709" s="198"/>
      <c r="U709" s="198"/>
      <c r="V709" s="198"/>
      <c r="W709" s="198"/>
      <c r="X709" s="191"/>
      <c r="Y709" s="198"/>
      <c r="Z709" s="198"/>
      <c r="AA709" s="198"/>
      <c r="AB709" s="198"/>
      <c r="AC709" s="198"/>
      <c r="AD709" s="191"/>
      <c r="AE709" s="374">
        <v>45323</v>
      </c>
    </row>
    <row r="710" spans="2:32">
      <c r="B710" s="405" t="s">
        <v>184</v>
      </c>
      <c r="C710" s="198">
        <v>8.3299004852360898</v>
      </c>
      <c r="D710" s="198">
        <v>5.71963620811559</v>
      </c>
      <c r="E710" s="198">
        <v>9.2869447023310805</v>
      </c>
      <c r="F710" s="198">
        <v>4.7993159984105702</v>
      </c>
      <c r="G710" s="198">
        <v>4.5054796438686404</v>
      </c>
      <c r="H710" s="198">
        <v>6.1721736755175298</v>
      </c>
      <c r="I710" s="198">
        <v>5.8036334775294103</v>
      </c>
      <c r="J710" s="198">
        <v>8.3768152910722709</v>
      </c>
      <c r="K710" s="198">
        <v>8.6919242190902395</v>
      </c>
      <c r="L710" s="191">
        <v>8.0819697798699508</v>
      </c>
      <c r="M710" s="198">
        <v>14.3842546942286</v>
      </c>
      <c r="N710" s="198">
        <v>10.1448574928603</v>
      </c>
      <c r="O710" s="198">
        <v>16.084935036738401</v>
      </c>
      <c r="P710" s="198">
        <v>11.6927582956245</v>
      </c>
      <c r="Q710" s="198">
        <v>11.5133701376429</v>
      </c>
      <c r="R710" s="198">
        <v>10.557184696503599</v>
      </c>
      <c r="S710" s="198">
        <v>10.7044198441817</v>
      </c>
      <c r="T710" s="198">
        <v>14.6192923591904</v>
      </c>
      <c r="U710" s="198">
        <v>16.371361576740899</v>
      </c>
      <c r="V710" s="198">
        <v>17.7315852608792</v>
      </c>
      <c r="W710" s="198">
        <v>9.1783297948707503</v>
      </c>
      <c r="X710" s="191">
        <v>6.99184925866391</v>
      </c>
      <c r="Y710" s="198">
        <v>9.6406022387619092</v>
      </c>
      <c r="Z710" s="198" t="s">
        <v>93</v>
      </c>
      <c r="AA710" s="198" t="s">
        <v>93</v>
      </c>
      <c r="AB710" s="198">
        <v>9.75</v>
      </c>
      <c r="AC710" s="198">
        <v>9</v>
      </c>
      <c r="AD710" s="191">
        <v>9.8000000000000007</v>
      </c>
      <c r="AE710" s="199" t="s">
        <v>350</v>
      </c>
    </row>
    <row r="711" spans="2:32">
      <c r="B711" s="405" t="s">
        <v>351</v>
      </c>
      <c r="C711" s="198">
        <v>2.3770872626134101</v>
      </c>
      <c r="D711" s="198">
        <v>2.4252314360768898</v>
      </c>
      <c r="E711" s="198">
        <v>2.3187992380359499</v>
      </c>
      <c r="F711" s="198">
        <v>1.9105578063533699</v>
      </c>
      <c r="G711" s="198">
        <v>2.3104499451190001</v>
      </c>
      <c r="H711" s="198">
        <v>3.0560171986815998</v>
      </c>
      <c r="I711" s="198">
        <v>1.9229934582189601</v>
      </c>
      <c r="J711" s="198">
        <v>1.8523083107353799</v>
      </c>
      <c r="K711" s="198">
        <v>2.5624116599845399</v>
      </c>
      <c r="L711" s="191">
        <v>5.2854217380878401</v>
      </c>
      <c r="M711" s="198">
        <v>5.2977295984369404</v>
      </c>
      <c r="N711" s="198">
        <v>5.3454430706028697</v>
      </c>
      <c r="O711" s="198">
        <v>4.6638819740353998</v>
      </c>
      <c r="P711" s="198">
        <v>6.5877733150490698</v>
      </c>
      <c r="Q711" s="198">
        <v>3.2770580432714902</v>
      </c>
      <c r="R711" s="198">
        <v>5.7251519981638603</v>
      </c>
      <c r="S711" s="198">
        <v>5.3375642492208</v>
      </c>
      <c r="T711" s="198">
        <v>5.5096019522033801</v>
      </c>
      <c r="U711" s="198">
        <v>5.79232370613716</v>
      </c>
      <c r="V711" s="198">
        <v>5.0286481850704696</v>
      </c>
      <c r="W711" s="198">
        <v>5.4522654078085502</v>
      </c>
      <c r="X711" s="191">
        <v>4.4111015242666101</v>
      </c>
      <c r="Y711" s="198">
        <v>7.1863312346033803</v>
      </c>
      <c r="Z711" s="198">
        <v>15</v>
      </c>
      <c r="AA711" s="198">
        <v>6.75</v>
      </c>
      <c r="AB711" s="198" t="s">
        <v>93</v>
      </c>
      <c r="AC711" s="198">
        <v>6.9738585802640101</v>
      </c>
      <c r="AD711" s="191">
        <v>6.0540418563782996</v>
      </c>
      <c r="AE711" s="199" t="s">
        <v>207</v>
      </c>
    </row>
    <row r="712" spans="2:32">
      <c r="B712" s="374">
        <v>45352</v>
      </c>
      <c r="C712" s="198"/>
      <c r="D712" s="198"/>
      <c r="E712" s="198"/>
      <c r="F712" s="198"/>
      <c r="G712" s="198"/>
      <c r="H712" s="198"/>
      <c r="I712" s="198"/>
      <c r="J712" s="198"/>
      <c r="K712" s="198"/>
      <c r="L712" s="191"/>
      <c r="M712" s="198"/>
      <c r="N712" s="210"/>
      <c r="O712" s="198"/>
      <c r="P712" s="198"/>
      <c r="Q712" s="198"/>
      <c r="R712" s="198"/>
      <c r="S712" s="198"/>
      <c r="T712" s="198"/>
      <c r="U712" s="198"/>
      <c r="V712" s="198"/>
      <c r="W712" s="198"/>
      <c r="X712" s="191"/>
      <c r="Y712" s="198"/>
      <c r="Z712" s="198"/>
      <c r="AA712" s="198"/>
      <c r="AB712" s="198"/>
      <c r="AC712" s="198"/>
      <c r="AD712" s="191"/>
      <c r="AE712" s="374">
        <v>45352</v>
      </c>
    </row>
    <row r="713" spans="2:32">
      <c r="B713" s="405" t="s">
        <v>184</v>
      </c>
      <c r="C713" s="198">
        <v>8.3941962526663598</v>
      </c>
      <c r="D713" s="198">
        <v>5.9528131673790101</v>
      </c>
      <c r="E713" s="198">
        <v>9.3157205153657507</v>
      </c>
      <c r="F713" s="198">
        <v>4.3953279149837803</v>
      </c>
      <c r="G713" s="198">
        <v>4.6750391369708604</v>
      </c>
      <c r="H713" s="198">
        <v>6.7013656174129199</v>
      </c>
      <c r="I713" s="198">
        <v>5.7951333632783104</v>
      </c>
      <c r="J713" s="198">
        <v>8.4345312312397098</v>
      </c>
      <c r="K713" s="198">
        <v>8.7501235191525097</v>
      </c>
      <c r="L713" s="191">
        <v>8.2937946919607803</v>
      </c>
      <c r="M713" s="198">
        <v>14.3802254025886</v>
      </c>
      <c r="N713" s="198">
        <v>10.173816136148</v>
      </c>
      <c r="O713" s="198">
        <v>16.0760257613031</v>
      </c>
      <c r="P713" s="198">
        <v>10.572700545214399</v>
      </c>
      <c r="Q713" s="198">
        <v>11.5666020873246</v>
      </c>
      <c r="R713" s="198">
        <v>10.394505976401801</v>
      </c>
      <c r="S713" s="198">
        <v>10.7397028433482</v>
      </c>
      <c r="T713" s="198">
        <v>14.646147891259099</v>
      </c>
      <c r="U713" s="198">
        <v>16.3637798144368</v>
      </c>
      <c r="V713" s="198">
        <v>17.709027557468101</v>
      </c>
      <c r="W713" s="198">
        <v>9.1902708381094005</v>
      </c>
      <c r="X713" s="191">
        <v>7.0034786736277503</v>
      </c>
      <c r="Y713" s="198">
        <v>9.6406022387619092</v>
      </c>
      <c r="Z713" s="198" t="s">
        <v>93</v>
      </c>
      <c r="AA713" s="198" t="s">
        <v>93</v>
      </c>
      <c r="AB713" s="198">
        <v>9.75</v>
      </c>
      <c r="AC713" s="198">
        <v>9</v>
      </c>
      <c r="AD713" s="191">
        <v>9.8000000000000007</v>
      </c>
      <c r="AE713" s="199" t="s">
        <v>350</v>
      </c>
    </row>
    <row r="714" spans="2:32">
      <c r="B714" s="405" t="s">
        <v>351</v>
      </c>
      <c r="C714" s="198">
        <v>2.3967395100693598</v>
      </c>
      <c r="D714" s="198">
        <v>2.3676317689765498</v>
      </c>
      <c r="E714" s="198">
        <v>2.4339897524399499</v>
      </c>
      <c r="F714" s="198">
        <v>1.2835953563482101</v>
      </c>
      <c r="G714" s="198">
        <v>2.4493777742268299</v>
      </c>
      <c r="H714" s="198">
        <v>1.51669337884983</v>
      </c>
      <c r="I714" s="198">
        <v>1.3943196712175301</v>
      </c>
      <c r="J714" s="198">
        <v>1.9674669497945201</v>
      </c>
      <c r="K714" s="198">
        <v>2.6042438061039799</v>
      </c>
      <c r="L714" s="191">
        <v>5.4439018112188204</v>
      </c>
      <c r="M714" s="198">
        <v>5.2904185888366904</v>
      </c>
      <c r="N714" s="198">
        <v>5.3382941076975303</v>
      </c>
      <c r="O714" s="198">
        <v>4.64983797902722</v>
      </c>
      <c r="P714" s="198">
        <v>6.8017029351811296</v>
      </c>
      <c r="Q714" s="198">
        <v>3.4125979143493499</v>
      </c>
      <c r="R714" s="198">
        <v>5.8274965699952697</v>
      </c>
      <c r="S714" s="198">
        <v>5.4179627075098802</v>
      </c>
      <c r="T714" s="198">
        <v>5.4655212004509997</v>
      </c>
      <c r="U714" s="198">
        <v>5.6968009501617098</v>
      </c>
      <c r="V714" s="198">
        <v>5.0394603456012499</v>
      </c>
      <c r="W714" s="198">
        <v>5.4592587142101703</v>
      </c>
      <c r="X714" s="191">
        <v>4.4046393353960198</v>
      </c>
      <c r="Y714" s="198">
        <v>7.0697975689662602</v>
      </c>
      <c r="Z714" s="198">
        <v>14.8</v>
      </c>
      <c r="AA714" s="198">
        <v>7.5</v>
      </c>
      <c r="AB714" s="198" t="s">
        <v>93</v>
      </c>
      <c r="AC714" s="198">
        <v>7.0890179222018102</v>
      </c>
      <c r="AD714" s="191">
        <v>5.7035575747838099</v>
      </c>
      <c r="AE714" s="199" t="s">
        <v>207</v>
      </c>
    </row>
    <row r="715" spans="2:32">
      <c r="B715" s="374">
        <v>45383</v>
      </c>
      <c r="C715" s="198"/>
      <c r="D715" s="198"/>
      <c r="E715" s="198"/>
      <c r="F715" s="198"/>
      <c r="G715" s="198"/>
      <c r="H715" s="198"/>
      <c r="I715" s="198"/>
      <c r="J715" s="198"/>
      <c r="K715" s="198"/>
      <c r="L715" s="191"/>
      <c r="M715" s="198"/>
      <c r="N715" s="210"/>
      <c r="O715" s="198"/>
      <c r="P715" s="198"/>
      <c r="Q715" s="198"/>
      <c r="R715" s="198"/>
      <c r="S715" s="198"/>
      <c r="T715" s="198"/>
      <c r="U715" s="198"/>
      <c r="V715" s="198"/>
      <c r="W715" s="198"/>
      <c r="X715" s="191"/>
      <c r="Y715" s="198"/>
      <c r="Z715" s="198"/>
      <c r="AA715" s="198"/>
      <c r="AB715" s="198"/>
      <c r="AC715" s="198"/>
      <c r="AD715" s="191"/>
      <c r="AE715" s="374">
        <v>45383</v>
      </c>
    </row>
    <row r="716" spans="2:32">
      <c r="B716" s="199" t="s">
        <v>184</v>
      </c>
      <c r="C716" s="198">
        <v>8.3872015590247599</v>
      </c>
      <c r="D716" s="198">
        <v>6.0307717753382404</v>
      </c>
      <c r="E716" s="198">
        <v>9.3425932582992903</v>
      </c>
      <c r="F716" s="198">
        <v>4.1025977505494398</v>
      </c>
      <c r="G716" s="198">
        <v>3.0463647564396599</v>
      </c>
      <c r="H716" s="198">
        <v>7.4245691532461597</v>
      </c>
      <c r="I716" s="198">
        <v>5.6748013044185601</v>
      </c>
      <c r="J716" s="198">
        <v>8.4806216318201102</v>
      </c>
      <c r="K716" s="198">
        <v>8.6731594858752494</v>
      </c>
      <c r="L716" s="191">
        <v>8.42003971899371</v>
      </c>
      <c r="M716" s="198">
        <v>14.3750129087388</v>
      </c>
      <c r="N716" s="198">
        <v>10.2292826251088</v>
      </c>
      <c r="O716" s="198">
        <v>16.061486812443299</v>
      </c>
      <c r="P716" s="198">
        <v>10.579731641632801</v>
      </c>
      <c r="Q716" s="210">
        <v>10.8606417215889</v>
      </c>
      <c r="R716" s="198">
        <v>10.6002133373477</v>
      </c>
      <c r="S716" s="198">
        <v>10.852308450019899</v>
      </c>
      <c r="T716" s="198">
        <v>14.684393331972901</v>
      </c>
      <c r="U716" s="198">
        <v>16.371903978692099</v>
      </c>
      <c r="V716" s="198">
        <v>17.740012255579298</v>
      </c>
      <c r="W716" s="198">
        <v>9.1934831215612398</v>
      </c>
      <c r="X716" s="191">
        <v>6.9972169245745697</v>
      </c>
      <c r="Y716" s="198">
        <v>10.114035362170499</v>
      </c>
      <c r="Z716" s="198" t="s">
        <v>93</v>
      </c>
      <c r="AA716" s="198" t="s">
        <v>93</v>
      </c>
      <c r="AB716" s="198" t="s">
        <v>93</v>
      </c>
      <c r="AC716" s="198">
        <v>9</v>
      </c>
      <c r="AD716" s="411">
        <v>10.5</v>
      </c>
      <c r="AE716" s="199" t="s">
        <v>350</v>
      </c>
      <c r="AF716" s="200"/>
    </row>
    <row r="717" spans="2:32">
      <c r="B717" s="405" t="s">
        <v>351</v>
      </c>
      <c r="C717" s="198">
        <v>2.4704204456778101</v>
      </c>
      <c r="D717" s="198">
        <v>2.4585892728351402</v>
      </c>
      <c r="E717" s="198">
        <v>2.4845512254894602</v>
      </c>
      <c r="F717" s="198">
        <v>2.93499811837669</v>
      </c>
      <c r="G717" s="198">
        <v>2.7163065029623201</v>
      </c>
      <c r="H717" s="198">
        <v>2.0049065274797901</v>
      </c>
      <c r="I717" s="198">
        <v>1.4498681976049099</v>
      </c>
      <c r="J717" s="198">
        <v>2.0528626972108301</v>
      </c>
      <c r="K717" s="198">
        <v>2.6271449104773401</v>
      </c>
      <c r="L717" s="191">
        <v>5.4913236623330599</v>
      </c>
      <c r="M717" s="198">
        <v>5.3106830436896804</v>
      </c>
      <c r="N717" s="198">
        <v>5.3570584822307898</v>
      </c>
      <c r="O717" s="198">
        <v>4.6787581435522796</v>
      </c>
      <c r="P717" s="198">
        <v>7.4386381157944896</v>
      </c>
      <c r="Q717" s="198">
        <v>3.5232064009582902</v>
      </c>
      <c r="R717" s="198">
        <v>5.9513200266562096</v>
      </c>
      <c r="S717" s="198">
        <v>5.4841615037485996</v>
      </c>
      <c r="T717" s="198">
        <v>5.5088014935002496</v>
      </c>
      <c r="U717" s="198">
        <v>5.7047732404732399</v>
      </c>
      <c r="V717" s="198">
        <v>5.0532016555999997</v>
      </c>
      <c r="W717" s="198">
        <v>5.4580369861582003</v>
      </c>
      <c r="X717" s="191">
        <v>4.4621120932649099</v>
      </c>
      <c r="Y717" s="198">
        <v>6.9780154544555604</v>
      </c>
      <c r="Z717" s="198">
        <v>14.8</v>
      </c>
      <c r="AA717" s="198">
        <v>7.5</v>
      </c>
      <c r="AB717" s="198" t="s">
        <v>93</v>
      </c>
      <c r="AC717" s="198">
        <v>7.0876249067516301</v>
      </c>
      <c r="AD717" s="191">
        <v>5.7943135917746398</v>
      </c>
      <c r="AE717" s="199" t="s">
        <v>207</v>
      </c>
    </row>
    <row r="718" spans="2:32">
      <c r="B718" s="374">
        <v>45413</v>
      </c>
      <c r="C718" s="198"/>
      <c r="D718" s="198"/>
      <c r="E718" s="198"/>
      <c r="F718" s="198"/>
      <c r="G718" s="198"/>
      <c r="H718" s="198"/>
      <c r="I718" s="198"/>
      <c r="J718" s="198"/>
      <c r="K718" s="198"/>
      <c r="L718" s="191"/>
      <c r="M718" s="198"/>
      <c r="N718" s="198"/>
      <c r="O718" s="198"/>
      <c r="P718" s="198"/>
      <c r="Q718" s="198"/>
      <c r="R718" s="198"/>
      <c r="S718" s="198"/>
      <c r="T718" s="198"/>
      <c r="U718" s="198"/>
      <c r="V718" s="198"/>
      <c r="W718" s="198"/>
      <c r="X718" s="191"/>
      <c r="Y718" s="198"/>
      <c r="Z718" s="198"/>
      <c r="AA718" s="198"/>
      <c r="AB718" s="198"/>
      <c r="AC718" s="198"/>
      <c r="AD718" s="191"/>
      <c r="AE718" s="374">
        <v>45413</v>
      </c>
    </row>
    <row r="719" spans="2:32">
      <c r="B719" s="199" t="s">
        <v>184</v>
      </c>
      <c r="C719" s="198">
        <v>8.3714539614380499</v>
      </c>
      <c r="D719" s="198">
        <v>6.1566487641662802</v>
      </c>
      <c r="E719" s="198">
        <v>9.2785379127678294</v>
      </c>
      <c r="F719" s="198">
        <v>2.6794037381446101</v>
      </c>
      <c r="G719" s="198">
        <v>3.2456861106597201</v>
      </c>
      <c r="H719" s="198">
        <v>7.5702320280642201</v>
      </c>
      <c r="I719" s="198">
        <v>5.8467508841404303</v>
      </c>
      <c r="J719" s="198">
        <v>8.4342414672569603</v>
      </c>
      <c r="K719" s="198">
        <v>8.6869156850633402</v>
      </c>
      <c r="L719" s="191">
        <v>8.4736945512525992</v>
      </c>
      <c r="M719" s="198">
        <v>14.369647925243999</v>
      </c>
      <c r="N719" s="198">
        <v>10.2772267707513</v>
      </c>
      <c r="O719" s="198">
        <v>16.057922682706302</v>
      </c>
      <c r="P719" s="198">
        <v>11.3987960910084</v>
      </c>
      <c r="Q719" s="198">
        <v>11.183478323360401</v>
      </c>
      <c r="R719" s="198">
        <v>10.513179683002001</v>
      </c>
      <c r="S719" s="198">
        <v>10.8706269969692</v>
      </c>
      <c r="T719" s="198">
        <v>14.515221655694701</v>
      </c>
      <c r="U719" s="198">
        <v>16.334706432207199</v>
      </c>
      <c r="V719" s="198">
        <v>17.713158674284699</v>
      </c>
      <c r="W719" s="198">
        <v>9.2952825488857496</v>
      </c>
      <c r="X719" s="191">
        <v>7.0012574516103001</v>
      </c>
      <c r="Y719" s="198">
        <v>9.9684444658066909</v>
      </c>
      <c r="Z719" s="198" t="s">
        <v>93</v>
      </c>
      <c r="AA719" s="198">
        <v>8.65</v>
      </c>
      <c r="AB719" s="198" t="s">
        <v>93</v>
      </c>
      <c r="AC719" s="198">
        <v>9</v>
      </c>
      <c r="AD719" s="191">
        <v>10.5</v>
      </c>
      <c r="AE719" s="199" t="s">
        <v>350</v>
      </c>
    </row>
    <row r="720" spans="2:32">
      <c r="B720" s="405" t="s">
        <v>351</v>
      </c>
      <c r="C720" s="198">
        <v>2.4995410477659501</v>
      </c>
      <c r="D720" s="198">
        <v>2.4681031060596701</v>
      </c>
      <c r="E720" s="198">
        <v>2.5359173352258302</v>
      </c>
      <c r="F720" s="198">
        <v>1.15337679923266</v>
      </c>
      <c r="G720" s="198">
        <v>3.01951405661198</v>
      </c>
      <c r="H720" s="198">
        <v>2.06296780604709</v>
      </c>
      <c r="I720" s="198">
        <v>1.8570941184004801</v>
      </c>
      <c r="J720" s="198">
        <v>2.0881738140813502</v>
      </c>
      <c r="K720" s="198">
        <v>2.7008378431826898</v>
      </c>
      <c r="L720" s="191">
        <v>5.6159294495752601</v>
      </c>
      <c r="M720" s="198">
        <v>5.3260266543219803</v>
      </c>
      <c r="N720" s="198">
        <v>5.37999875103164</v>
      </c>
      <c r="O720" s="198">
        <v>4.5878110618579102</v>
      </c>
      <c r="P720" s="198">
        <v>6.7679716300309201</v>
      </c>
      <c r="Q720" s="198">
        <v>3.55550967069667</v>
      </c>
      <c r="R720" s="198">
        <v>6.0762740170544296</v>
      </c>
      <c r="S720" s="198">
        <v>5.4838197155747803</v>
      </c>
      <c r="T720" s="198">
        <v>5.5544913629365498</v>
      </c>
      <c r="U720" s="198">
        <v>5.7783516842683502</v>
      </c>
      <c r="V720" s="198">
        <v>5.0765947526660096</v>
      </c>
      <c r="W720" s="198">
        <v>5.4427219408417198</v>
      </c>
      <c r="X720" s="191">
        <v>4.45951846699867</v>
      </c>
      <c r="Y720" s="198">
        <v>7.6208764047173299</v>
      </c>
      <c r="Z720" s="198">
        <v>12.4017021276596</v>
      </c>
      <c r="AA720" s="198" t="s">
        <v>93</v>
      </c>
      <c r="AB720" s="198" t="s">
        <v>93</v>
      </c>
      <c r="AC720" s="198">
        <v>6.9402114313902299</v>
      </c>
      <c r="AD720" s="191">
        <v>3.6937487475500901</v>
      </c>
      <c r="AE720" s="199" t="s">
        <v>207</v>
      </c>
    </row>
    <row r="721" spans="2:31">
      <c r="B721" s="374">
        <v>45444</v>
      </c>
      <c r="C721" s="198"/>
      <c r="D721" s="198"/>
      <c r="E721" s="198"/>
      <c r="F721" s="198"/>
      <c r="G721" s="198"/>
      <c r="H721" s="198"/>
      <c r="I721" s="198"/>
      <c r="J721" s="198"/>
      <c r="K721" s="198"/>
      <c r="L721" s="191"/>
      <c r="M721" s="198"/>
      <c r="N721" s="198"/>
      <c r="O721" s="198"/>
      <c r="P721" s="198"/>
      <c r="Q721" s="198"/>
      <c r="R721" s="198"/>
      <c r="S721" s="198"/>
      <c r="T721" s="198"/>
      <c r="U721" s="198"/>
      <c r="V721" s="198"/>
      <c r="W721" s="198"/>
      <c r="X721" s="191"/>
      <c r="Y721" s="198"/>
      <c r="Z721" s="198"/>
      <c r="AA721" s="198"/>
      <c r="AB721" s="198"/>
      <c r="AC721" s="198"/>
      <c r="AD721" s="191"/>
      <c r="AE721" s="374">
        <v>45444</v>
      </c>
    </row>
    <row r="722" spans="2:31">
      <c r="B722" s="405" t="s">
        <v>184</v>
      </c>
      <c r="C722" s="198">
        <v>8.3821199200153398</v>
      </c>
      <c r="D722" s="198">
        <v>6.1718430065744503</v>
      </c>
      <c r="E722" s="198">
        <v>9.3146655188141505</v>
      </c>
      <c r="F722" s="198">
        <v>5.6425538081411597</v>
      </c>
      <c r="G722" s="198">
        <v>3.5601593011991</v>
      </c>
      <c r="H722" s="198">
        <v>7.8705758493585796</v>
      </c>
      <c r="I722" s="198">
        <v>4.8825632369785801</v>
      </c>
      <c r="J722" s="198">
        <v>8.4567787557377301</v>
      </c>
      <c r="K722" s="198">
        <v>8.7664372841274592</v>
      </c>
      <c r="L722" s="191">
        <v>8.4885613057879699</v>
      </c>
      <c r="M722" s="198">
        <v>14.404237384157801</v>
      </c>
      <c r="N722" s="198">
        <v>10.398882486331599</v>
      </c>
      <c r="O722" s="198">
        <v>16.090758588198</v>
      </c>
      <c r="P722" s="198">
        <v>9.80486901571369</v>
      </c>
      <c r="Q722" s="198">
        <v>12.380562201176</v>
      </c>
      <c r="R722" s="198">
        <v>10.581744629549</v>
      </c>
      <c r="S722" s="198">
        <v>10.900815905666301</v>
      </c>
      <c r="T722" s="198">
        <v>14.4825361530305</v>
      </c>
      <c r="U722" s="198">
        <v>16.3372842370085</v>
      </c>
      <c r="V722" s="198">
        <v>17.720525522051599</v>
      </c>
      <c r="W722" s="198">
        <v>9.3640758892799205</v>
      </c>
      <c r="X722" s="191">
        <v>7.0668283544447101</v>
      </c>
      <c r="Y722" s="198">
        <v>10.027242645527201</v>
      </c>
      <c r="Z722" s="198" t="s">
        <v>93</v>
      </c>
      <c r="AA722" s="198">
        <v>9.5</v>
      </c>
      <c r="AB722" s="198" t="s">
        <v>93</v>
      </c>
      <c r="AC722" s="198">
        <v>9</v>
      </c>
      <c r="AD722" s="191">
        <v>10.5</v>
      </c>
      <c r="AE722" s="199" t="s">
        <v>350</v>
      </c>
    </row>
    <row r="723" spans="2:31">
      <c r="B723" s="405" t="s">
        <v>351</v>
      </c>
      <c r="C723" s="198">
        <v>2.5662991466557998</v>
      </c>
      <c r="D723" s="198">
        <v>2.5373473677776999</v>
      </c>
      <c r="E723" s="198">
        <v>2.5999832033578998</v>
      </c>
      <c r="F723" s="198">
        <v>2.8528987806826498</v>
      </c>
      <c r="G723" s="198">
        <v>2.9539572541469501</v>
      </c>
      <c r="H723" s="198">
        <v>2.4461220970793298</v>
      </c>
      <c r="I723" s="198">
        <v>1.8355025235879401</v>
      </c>
      <c r="J723" s="198">
        <v>2.2588676468000202</v>
      </c>
      <c r="K723" s="198">
        <v>2.69099450306026</v>
      </c>
      <c r="L723" s="191">
        <v>5.6391362829493303</v>
      </c>
      <c r="M723" s="198">
        <v>5.3388681508328704</v>
      </c>
      <c r="N723" s="198">
        <v>5.3890916125404402</v>
      </c>
      <c r="O723" s="198">
        <v>4.6210783708790304</v>
      </c>
      <c r="P723" s="198">
        <v>6.2800438014699402</v>
      </c>
      <c r="Q723" s="198">
        <v>3.4173325957394001</v>
      </c>
      <c r="R723" s="198">
        <v>6.2711071971385701</v>
      </c>
      <c r="S723" s="198">
        <v>5.46889097414416</v>
      </c>
      <c r="T723" s="198">
        <v>5.6298110814302502</v>
      </c>
      <c r="U723" s="198">
        <v>5.8289842537480796</v>
      </c>
      <c r="V723" s="198">
        <v>5.0896126230548804</v>
      </c>
      <c r="W723" s="198">
        <v>5.4260111492153102</v>
      </c>
      <c r="X723" s="191">
        <v>4.4854286229596996</v>
      </c>
      <c r="Y723" s="198">
        <v>6.8464038914385101</v>
      </c>
      <c r="Z723" s="198">
        <v>14.95</v>
      </c>
      <c r="AA723" s="198" t="s">
        <v>93</v>
      </c>
      <c r="AB723" s="198">
        <v>7.6</v>
      </c>
      <c r="AC723" s="198">
        <v>6.8836144662025696</v>
      </c>
      <c r="AD723" s="191">
        <v>4.2586643055906901</v>
      </c>
      <c r="AE723" s="199" t="s">
        <v>207</v>
      </c>
    </row>
    <row r="724" spans="2:31">
      <c r="B724" s="374">
        <v>45474</v>
      </c>
      <c r="C724" s="198"/>
      <c r="D724" s="198"/>
      <c r="E724" s="198"/>
      <c r="F724" s="198"/>
      <c r="G724" s="198"/>
      <c r="H724" s="198"/>
      <c r="I724" s="198"/>
      <c r="J724" s="198"/>
      <c r="K724" s="198"/>
      <c r="L724" s="191"/>
      <c r="M724" s="198"/>
      <c r="N724" s="198"/>
      <c r="O724" s="198"/>
      <c r="P724" s="198"/>
      <c r="Q724" s="198"/>
      <c r="R724" s="198"/>
      <c r="S724" s="198"/>
      <c r="T724" s="198"/>
      <c r="U724" s="198"/>
      <c r="V724" s="198"/>
      <c r="W724" s="198"/>
      <c r="X724" s="191"/>
      <c r="Y724" s="198"/>
      <c r="Z724" s="198"/>
      <c r="AA724" s="198"/>
      <c r="AB724" s="198"/>
      <c r="AC724" s="198"/>
      <c r="AD724" s="191"/>
      <c r="AE724" s="374">
        <v>45474</v>
      </c>
    </row>
    <row r="725" spans="2:31">
      <c r="B725" s="405" t="s">
        <v>184</v>
      </c>
      <c r="C725" s="198">
        <v>8.4330855708779708</v>
      </c>
      <c r="D725" s="198">
        <v>6.3697495533031203</v>
      </c>
      <c r="E725" s="198">
        <v>9.3632080232137493</v>
      </c>
      <c r="F725" s="198">
        <v>3.6777773303343402</v>
      </c>
      <c r="G725" s="198">
        <v>4.56193179560419</v>
      </c>
      <c r="H725" s="198">
        <v>8.1535333814381392</v>
      </c>
      <c r="I725" s="198">
        <v>4.9262003466386899</v>
      </c>
      <c r="J725" s="198">
        <v>8.5319358465177899</v>
      </c>
      <c r="K725" s="198">
        <v>8.7957016929580991</v>
      </c>
      <c r="L725" s="191">
        <v>8.4819347499163396</v>
      </c>
      <c r="M725" s="198">
        <v>14.4479388494833</v>
      </c>
      <c r="N725" s="198">
        <v>10.460999762906701</v>
      </c>
      <c r="O725" s="198">
        <v>16.136890335850701</v>
      </c>
      <c r="P725" s="198">
        <v>10.8979712743037</v>
      </c>
      <c r="Q725" s="198">
        <v>12.625776746536401</v>
      </c>
      <c r="R725" s="198">
        <v>10.7748769062925</v>
      </c>
      <c r="S725" s="198">
        <v>10.8546754297607</v>
      </c>
      <c r="T725" s="198">
        <v>14.6020158986697</v>
      </c>
      <c r="U725" s="198">
        <v>16.327577120128499</v>
      </c>
      <c r="V725" s="198">
        <v>17.728143431560898</v>
      </c>
      <c r="W725" s="198">
        <v>9.4027965391900405</v>
      </c>
      <c r="X725" s="191">
        <v>7.0704460177094903</v>
      </c>
      <c r="Y725" s="198">
        <v>10.020425941341999</v>
      </c>
      <c r="Z725" s="198" t="s">
        <v>93</v>
      </c>
      <c r="AA725" s="198">
        <v>9.5</v>
      </c>
      <c r="AB725" s="198" t="s">
        <v>93</v>
      </c>
      <c r="AC725" s="198">
        <v>9</v>
      </c>
      <c r="AD725" s="191">
        <v>10.5</v>
      </c>
      <c r="AE725" s="199" t="s">
        <v>350</v>
      </c>
    </row>
    <row r="726" spans="2:31">
      <c r="B726" s="405" t="s">
        <v>351</v>
      </c>
      <c r="C726" s="198">
        <v>2.7712689382498299</v>
      </c>
      <c r="D726" s="198">
        <v>2.8849419315896299</v>
      </c>
      <c r="E726" s="198">
        <v>2.6535451021914902</v>
      </c>
      <c r="F726" s="198">
        <v>3.2439342132807498</v>
      </c>
      <c r="G726" s="198">
        <v>2.7771544097347198</v>
      </c>
      <c r="H726" s="198">
        <v>2.7890460817278702</v>
      </c>
      <c r="I726" s="198">
        <v>1.8800507158567901</v>
      </c>
      <c r="J726" s="198">
        <v>2.3493077405821801</v>
      </c>
      <c r="K726" s="198">
        <v>3.0486635915815499</v>
      </c>
      <c r="L726" s="191">
        <v>5.5051615953775199</v>
      </c>
      <c r="M726" s="198">
        <v>5.3778975170514203</v>
      </c>
      <c r="N726" s="198">
        <v>5.4532938761835501</v>
      </c>
      <c r="O726" s="198">
        <v>4.41278890414325</v>
      </c>
      <c r="P726" s="198">
        <v>6.8914268108701302</v>
      </c>
      <c r="Q726" s="198">
        <v>4.2098457683218999</v>
      </c>
      <c r="R726" s="198">
        <v>6.2599703168381202</v>
      </c>
      <c r="S726" s="198">
        <v>6.0870995435219797</v>
      </c>
      <c r="T726" s="198">
        <v>5.6070725540357298</v>
      </c>
      <c r="U726" s="198">
        <v>5.8154046596157301</v>
      </c>
      <c r="V726" s="198">
        <v>5.1256084674723699</v>
      </c>
      <c r="W726" s="198">
        <v>5.4396403467573702</v>
      </c>
      <c r="X726" s="191">
        <v>4.4878160694951097</v>
      </c>
      <c r="Y726" s="198">
        <v>7.1548029001370397</v>
      </c>
      <c r="Z726" s="198">
        <v>15.25</v>
      </c>
      <c r="AA726" s="198" t="s">
        <v>93</v>
      </c>
      <c r="AB726" s="198">
        <v>6.8333333333333304</v>
      </c>
      <c r="AC726" s="198">
        <v>7.3148603075852803</v>
      </c>
      <c r="AD726" s="191">
        <v>5.0569230769230797</v>
      </c>
      <c r="AE726" s="199" t="s">
        <v>207</v>
      </c>
    </row>
    <row r="727" spans="2:31">
      <c r="B727" s="374">
        <v>45505</v>
      </c>
      <c r="C727" s="198"/>
      <c r="D727" s="198"/>
      <c r="E727" s="198"/>
      <c r="F727" s="198"/>
      <c r="G727" s="198"/>
      <c r="H727" s="198"/>
      <c r="I727" s="198"/>
      <c r="J727" s="198"/>
      <c r="K727" s="198"/>
      <c r="L727" s="191"/>
      <c r="M727" s="198"/>
      <c r="N727" s="198"/>
      <c r="O727" s="198"/>
      <c r="P727" s="198"/>
      <c r="Q727" s="198"/>
      <c r="R727" s="198"/>
      <c r="S727" s="198"/>
      <c r="T727" s="198"/>
      <c r="U727" s="198"/>
      <c r="V727" s="198"/>
      <c r="W727" s="198"/>
      <c r="X727" s="191"/>
      <c r="Y727" s="198"/>
      <c r="Z727" s="198"/>
      <c r="AA727" s="198"/>
      <c r="AB727" s="198"/>
      <c r="AC727" s="198"/>
      <c r="AD727" s="191"/>
      <c r="AE727" s="374">
        <v>45505</v>
      </c>
    </row>
    <row r="728" spans="2:31">
      <c r="B728" s="199" t="s">
        <v>184</v>
      </c>
      <c r="C728" s="198">
        <v>8.5649118423448201</v>
      </c>
      <c r="D728" s="198">
        <v>6.7261626335631597</v>
      </c>
      <c r="E728" s="198">
        <v>9.3607857277960704</v>
      </c>
      <c r="F728" s="198">
        <v>5.95916184270156</v>
      </c>
      <c r="G728" s="198">
        <v>5.1953854047259798</v>
      </c>
      <c r="H728" s="198">
        <v>8.5307530866220702</v>
      </c>
      <c r="I728" s="198">
        <v>5.3719987405929004</v>
      </c>
      <c r="J728" s="198">
        <v>8.6103693453689694</v>
      </c>
      <c r="K728" s="198">
        <v>8.8235630255847806</v>
      </c>
      <c r="L728" s="191">
        <v>8.4944137358073597</v>
      </c>
      <c r="M728" s="198">
        <v>14.478228981825801</v>
      </c>
      <c r="N728" s="198">
        <v>10.504845079899701</v>
      </c>
      <c r="O728" s="198">
        <v>16.126132746784201</v>
      </c>
      <c r="P728" s="198">
        <v>14.531236675484701</v>
      </c>
      <c r="Q728" s="210">
        <v>12.362501019312001</v>
      </c>
      <c r="R728" s="198">
        <v>11.052874986130499</v>
      </c>
      <c r="S728" s="198">
        <v>10.8843979728594</v>
      </c>
      <c r="T728" s="198">
        <v>14.7496520881968</v>
      </c>
      <c r="U728" s="198">
        <v>16.3986252101224</v>
      </c>
      <c r="V728" s="198">
        <v>17.690641298303799</v>
      </c>
      <c r="W728" s="198">
        <v>9.4577867589290303</v>
      </c>
      <c r="X728" s="191">
        <v>7.0682402982712897</v>
      </c>
      <c r="Y728" s="198">
        <v>10.114035362170499</v>
      </c>
      <c r="Z728" s="198" t="s">
        <v>93</v>
      </c>
      <c r="AA728" s="198" t="s">
        <v>93</v>
      </c>
      <c r="AB728" s="198" t="s">
        <v>93</v>
      </c>
      <c r="AC728" s="198">
        <v>9</v>
      </c>
      <c r="AD728" s="411">
        <v>10.5</v>
      </c>
      <c r="AE728" s="199" t="s">
        <v>350</v>
      </c>
    </row>
    <row r="729" spans="2:31">
      <c r="B729" s="199" t="s">
        <v>351</v>
      </c>
      <c r="C729" s="198">
        <v>2.8197576460856602</v>
      </c>
      <c r="D729" s="198">
        <v>2.89502316892351</v>
      </c>
      <c r="E729" s="198">
        <v>2.7361431142982902</v>
      </c>
      <c r="F729" s="198">
        <v>3.3587142905855898</v>
      </c>
      <c r="G729" s="198">
        <v>3.2371883049966801</v>
      </c>
      <c r="H729" s="198">
        <v>2.87691586309063</v>
      </c>
      <c r="I729" s="198">
        <v>1.84528274913098</v>
      </c>
      <c r="J729" s="198">
        <v>2.4425791105303398</v>
      </c>
      <c r="K729" s="198">
        <v>3.05805319217753</v>
      </c>
      <c r="L729" s="191">
        <v>5.6838911851575702</v>
      </c>
      <c r="M729" s="198">
        <v>5.3964754102389003</v>
      </c>
      <c r="N729" s="198">
        <v>5.4585736466873902</v>
      </c>
      <c r="O729" s="198">
        <v>4.5893329775769498</v>
      </c>
      <c r="P729" s="198">
        <v>6.8605038105723599</v>
      </c>
      <c r="Q729" s="198">
        <v>4.49952295021538</v>
      </c>
      <c r="R729" s="198">
        <v>6.2496350254187902</v>
      </c>
      <c r="S729" s="198">
        <v>6.3783372056557397</v>
      </c>
      <c r="T729" s="198">
        <v>5.6204321732668703</v>
      </c>
      <c r="U729" s="198">
        <v>5.8555662965306698</v>
      </c>
      <c r="V729" s="198">
        <v>5.1426461907987102</v>
      </c>
      <c r="W729" s="198">
        <v>5.4011879127234002</v>
      </c>
      <c r="X729" s="191">
        <v>4.4836789799447203</v>
      </c>
      <c r="Y729" s="198">
        <v>7.1446248800500802</v>
      </c>
      <c r="Z729" s="198">
        <v>16.3415403642054</v>
      </c>
      <c r="AA729" s="198" t="s">
        <v>93</v>
      </c>
      <c r="AB729" s="198">
        <v>6.9666666666666703</v>
      </c>
      <c r="AC729" s="198">
        <v>7.1480774836369001</v>
      </c>
      <c r="AD729" s="191">
        <v>5.5219607843137304</v>
      </c>
      <c r="AE729" s="199" t="s">
        <v>207</v>
      </c>
    </row>
    <row r="730" spans="2:31">
      <c r="B730" s="374">
        <v>45536</v>
      </c>
      <c r="C730" s="198"/>
      <c r="D730" s="198"/>
      <c r="E730" s="198"/>
      <c r="F730" s="198"/>
      <c r="G730" s="198"/>
      <c r="H730" s="198"/>
      <c r="I730" s="198"/>
      <c r="J730" s="198"/>
      <c r="K730" s="198"/>
      <c r="L730" s="191"/>
      <c r="M730" s="198"/>
      <c r="N730" s="198"/>
      <c r="O730" s="198"/>
      <c r="P730" s="198"/>
      <c r="Q730" s="198"/>
      <c r="R730" s="198"/>
      <c r="S730" s="198"/>
      <c r="T730" s="198"/>
      <c r="U730" s="198"/>
      <c r="V730" s="198"/>
      <c r="W730" s="198"/>
      <c r="X730" s="191"/>
      <c r="Y730" s="198"/>
      <c r="Z730" s="198"/>
      <c r="AA730" s="198"/>
      <c r="AB730" s="198"/>
      <c r="AC730" s="198"/>
      <c r="AD730" s="191"/>
      <c r="AE730" s="374">
        <v>45536</v>
      </c>
    </row>
    <row r="731" spans="2:31">
      <c r="B731" s="199" t="s">
        <v>184</v>
      </c>
      <c r="C731" s="198">
        <v>8.5971973240472099</v>
      </c>
      <c r="D731" s="198">
        <v>6.8170573676070996</v>
      </c>
      <c r="E731" s="198">
        <v>9.3842064725771195</v>
      </c>
      <c r="F731" s="198">
        <v>6.4079053538894</v>
      </c>
      <c r="G731" s="198">
        <v>5.7500913077720499</v>
      </c>
      <c r="H731" s="198">
        <v>8.4667310885111906</v>
      </c>
      <c r="I731" s="198">
        <v>5.6101252628941998</v>
      </c>
      <c r="J731" s="198">
        <v>8.6572731388639106</v>
      </c>
      <c r="K731" s="198">
        <v>8.8124248847180109</v>
      </c>
      <c r="L731" s="191">
        <v>8.4695498932763993</v>
      </c>
      <c r="M731" s="198">
        <v>14.550715374743801</v>
      </c>
      <c r="N731" s="198">
        <v>10.5319659450409</v>
      </c>
      <c r="O731" s="198">
        <v>16.178374131098298</v>
      </c>
      <c r="P731" s="198">
        <v>12.6380347466564</v>
      </c>
      <c r="Q731" s="198">
        <v>11.821666035323901</v>
      </c>
      <c r="R731" s="198">
        <v>11.237248794673301</v>
      </c>
      <c r="S731" s="198">
        <v>10.893072174712101</v>
      </c>
      <c r="T731" s="198">
        <v>15.0823650302624</v>
      </c>
      <c r="U731" s="198">
        <v>16.5320827312921</v>
      </c>
      <c r="V731" s="198">
        <v>17.735442319182798</v>
      </c>
      <c r="W731" s="198">
        <v>9.4839833321147502</v>
      </c>
      <c r="X731" s="191">
        <v>7.0606640450463498</v>
      </c>
      <c r="Y731" s="198">
        <v>10.114035362170499</v>
      </c>
      <c r="Z731" s="198" t="s">
        <v>93</v>
      </c>
      <c r="AA731" s="198" t="s">
        <v>93</v>
      </c>
      <c r="AB731" s="198" t="s">
        <v>93</v>
      </c>
      <c r="AC731" s="198">
        <v>9</v>
      </c>
      <c r="AD731" s="191">
        <v>10.5</v>
      </c>
      <c r="AE731" s="199" t="s">
        <v>350</v>
      </c>
    </row>
    <row r="732" spans="2:31">
      <c r="B732" s="199" t="s">
        <v>351</v>
      </c>
      <c r="C732" s="198">
        <v>2.8749783581514099</v>
      </c>
      <c r="D732" s="198">
        <v>2.9861021859435701</v>
      </c>
      <c r="E732" s="198">
        <v>2.7594174102007498</v>
      </c>
      <c r="F732" s="198">
        <v>2.9011762414279998</v>
      </c>
      <c r="G732" s="198">
        <v>3.0565640064030801</v>
      </c>
      <c r="H732" s="198">
        <v>3.57278994523233</v>
      </c>
      <c r="I732" s="198">
        <v>1.80607947847479</v>
      </c>
      <c r="J732" s="198">
        <v>2.5208768914033399</v>
      </c>
      <c r="K732" s="198">
        <v>3.0921823476952599</v>
      </c>
      <c r="L732" s="191">
        <v>5.6992163262134596</v>
      </c>
      <c r="M732" s="198">
        <v>5.4591937113394096</v>
      </c>
      <c r="N732" s="198">
        <v>5.5241442605434301</v>
      </c>
      <c r="O732" s="198">
        <v>4.6283050048387802</v>
      </c>
      <c r="P732" s="198">
        <v>6.8525601398780802</v>
      </c>
      <c r="Q732" s="198">
        <v>6.2102276562101997</v>
      </c>
      <c r="R732" s="198">
        <v>6.3249712590625897</v>
      </c>
      <c r="S732" s="198">
        <v>6.3520867147268198</v>
      </c>
      <c r="T732" s="198">
        <v>5.6703124480553999</v>
      </c>
      <c r="U732" s="198">
        <v>5.92463632874657</v>
      </c>
      <c r="V732" s="198">
        <v>5.13226418481905</v>
      </c>
      <c r="W732" s="198">
        <v>5.4121129520632696</v>
      </c>
      <c r="X732" s="191">
        <v>4.4779321848927296</v>
      </c>
      <c r="Y732" s="198">
        <v>7.1012282817153798</v>
      </c>
      <c r="Z732" s="198">
        <v>17.2</v>
      </c>
      <c r="AA732" s="198" t="s">
        <v>93</v>
      </c>
      <c r="AB732" s="198">
        <v>6.9666666666666703</v>
      </c>
      <c r="AC732" s="198">
        <v>7.1592216464366896</v>
      </c>
      <c r="AD732" s="191">
        <v>5.8803278688524596</v>
      </c>
      <c r="AE732" s="199" t="s">
        <v>207</v>
      </c>
    </row>
    <row r="733" spans="2:31">
      <c r="B733" s="374">
        <v>45566</v>
      </c>
      <c r="C733" s="198"/>
      <c r="D733" s="198"/>
      <c r="E733" s="198"/>
      <c r="F733" s="198"/>
      <c r="G733" s="198"/>
      <c r="H733" s="198"/>
      <c r="I733" s="198"/>
      <c r="J733" s="198"/>
      <c r="K733" s="198"/>
      <c r="L733" s="191"/>
      <c r="M733" s="198"/>
      <c r="N733" s="210"/>
      <c r="O733" s="198"/>
      <c r="P733" s="198"/>
      <c r="Q733" s="198"/>
      <c r="R733" s="198"/>
      <c r="S733" s="198"/>
      <c r="T733" s="198"/>
      <c r="U733" s="198"/>
      <c r="V733" s="198"/>
      <c r="W733" s="198"/>
      <c r="X733" s="191"/>
      <c r="Y733" s="198"/>
      <c r="Z733" s="198"/>
      <c r="AA733" s="198"/>
      <c r="AB733" s="198"/>
      <c r="AC733" s="198"/>
      <c r="AD733" s="191"/>
      <c r="AE733" s="374">
        <v>45566</v>
      </c>
    </row>
    <row r="734" spans="2:31">
      <c r="B734" s="405" t="s">
        <v>184</v>
      </c>
      <c r="C734" s="198">
        <v>8.6259474818937001</v>
      </c>
      <c r="D734" s="198">
        <v>6.7876984130098403</v>
      </c>
      <c r="E734" s="198">
        <v>9.4709856207768404</v>
      </c>
      <c r="F734" s="198">
        <v>6.6735597645771101</v>
      </c>
      <c r="G734" s="198">
        <v>5.9994235505655098</v>
      </c>
      <c r="H734" s="198">
        <v>7.7278481620106403</v>
      </c>
      <c r="I734" s="198">
        <v>5.7757472927148301</v>
      </c>
      <c r="J734" s="198">
        <v>8.7001747875375699</v>
      </c>
      <c r="K734" s="198">
        <v>8.9137021829677803</v>
      </c>
      <c r="L734" s="191">
        <v>8.49647792687208</v>
      </c>
      <c r="M734" s="198">
        <v>14.5745293645655</v>
      </c>
      <c r="N734" s="198">
        <v>10.507979331513599</v>
      </c>
      <c r="O734" s="198">
        <v>16.254200328351502</v>
      </c>
      <c r="P734" s="198">
        <v>14.152135709485099</v>
      </c>
      <c r="Q734" s="210">
        <v>11.8055113748058</v>
      </c>
      <c r="R734" s="198">
        <v>11.039187339631599</v>
      </c>
      <c r="S734" s="198">
        <v>10.7584371737072</v>
      </c>
      <c r="T734" s="198">
        <v>14.7111631527558</v>
      </c>
      <c r="U734" s="198">
        <v>16.595551595126601</v>
      </c>
      <c r="V734" s="198">
        <v>17.752860942174099</v>
      </c>
      <c r="W734" s="198">
        <v>9.4993280522275008</v>
      </c>
      <c r="X734" s="191">
        <v>7.0623794471262897</v>
      </c>
      <c r="Y734" s="198">
        <v>10.19</v>
      </c>
      <c r="Z734" s="198">
        <v>11.5</v>
      </c>
      <c r="AA734" s="198">
        <v>10.25</v>
      </c>
      <c r="AB734" s="198" t="s">
        <v>93</v>
      </c>
      <c r="AC734" s="198">
        <v>9.33</v>
      </c>
      <c r="AD734" s="411">
        <v>10.5</v>
      </c>
      <c r="AE734" s="199" t="s">
        <v>350</v>
      </c>
    </row>
    <row r="735" spans="2:31">
      <c r="B735" s="405" t="s">
        <v>351</v>
      </c>
      <c r="C735" s="198">
        <v>2.89804265376489</v>
      </c>
      <c r="D735" s="198">
        <v>2.9846143493841901</v>
      </c>
      <c r="E735" s="198">
        <v>2.80806305649301</v>
      </c>
      <c r="F735" s="198">
        <v>3.1239225990553101</v>
      </c>
      <c r="G735" s="198">
        <v>2.5023097617250598</v>
      </c>
      <c r="H735" s="198">
        <v>3.5570915240816801</v>
      </c>
      <c r="I735" s="198">
        <v>2.1524961670202698</v>
      </c>
      <c r="J735" s="198">
        <v>2.5667552313456201</v>
      </c>
      <c r="K735" s="198">
        <v>3.1156865345127698</v>
      </c>
      <c r="L735" s="191">
        <v>5.3472693632335204</v>
      </c>
      <c r="M735" s="198">
        <v>5.4481907853746998</v>
      </c>
      <c r="N735" s="198">
        <v>5.5096002400185098</v>
      </c>
      <c r="O735" s="198">
        <v>4.6677146229598101</v>
      </c>
      <c r="P735" s="198">
        <v>7.4067418767301003</v>
      </c>
      <c r="Q735" s="198">
        <v>4.5964835137403899</v>
      </c>
      <c r="R735" s="198">
        <v>6.1624668144945298</v>
      </c>
      <c r="S735" s="198">
        <v>6.3270450114436096</v>
      </c>
      <c r="T735" s="198">
        <v>5.7064068657355502</v>
      </c>
      <c r="U735" s="198">
        <v>5.9898977493098498</v>
      </c>
      <c r="V735" s="198">
        <v>5.1914416729686002</v>
      </c>
      <c r="W735" s="198">
        <v>5.4116224251020899</v>
      </c>
      <c r="X735" s="191">
        <v>4.4974655754700903</v>
      </c>
      <c r="Y735" s="198">
        <v>7.0902389494269604</v>
      </c>
      <c r="Z735" s="198">
        <v>17.3</v>
      </c>
      <c r="AA735" s="198" t="s">
        <v>93</v>
      </c>
      <c r="AB735" s="198">
        <v>6.9666666666666703</v>
      </c>
      <c r="AC735" s="198">
        <v>7.1575862773797096</v>
      </c>
      <c r="AD735" s="191">
        <v>5.7150273224043699</v>
      </c>
      <c r="AE735" s="199" t="s">
        <v>207</v>
      </c>
    </row>
    <row r="736" spans="2:31">
      <c r="B736" s="374">
        <v>45597</v>
      </c>
      <c r="C736" s="198"/>
      <c r="D736" s="198"/>
      <c r="E736" s="198"/>
      <c r="F736" s="198"/>
      <c r="G736" s="198"/>
      <c r="H736" s="198"/>
      <c r="I736" s="198"/>
      <c r="J736" s="198"/>
      <c r="K736" s="198"/>
      <c r="L736" s="191"/>
      <c r="M736" s="198"/>
      <c r="N736" s="198"/>
      <c r="O736" s="198"/>
      <c r="P736" s="198"/>
      <c r="Q736" s="198"/>
      <c r="R736" s="198"/>
      <c r="S736" s="198"/>
      <c r="T736" s="198"/>
      <c r="U736" s="198"/>
      <c r="V736" s="198"/>
      <c r="W736" s="198"/>
      <c r="X736" s="191"/>
      <c r="Y736" s="198"/>
      <c r="Z736" s="198"/>
      <c r="AA736" s="198"/>
      <c r="AB736" s="198"/>
      <c r="AC736" s="198"/>
      <c r="AD736" s="191"/>
      <c r="AE736" s="374">
        <v>45597</v>
      </c>
    </row>
    <row r="737" spans="2:31">
      <c r="B737" s="405" t="s">
        <v>184</v>
      </c>
      <c r="C737" s="198">
        <v>8.6521598253537508</v>
      </c>
      <c r="D737" s="198">
        <v>6.7337875780630601</v>
      </c>
      <c r="E737" s="198">
        <v>9.5391849448367392</v>
      </c>
      <c r="F737" s="198">
        <v>6.4307048859446203</v>
      </c>
      <c r="G737" s="198">
        <v>6.1705770986444897</v>
      </c>
      <c r="H737" s="198">
        <v>7.2929466572678798</v>
      </c>
      <c r="I737" s="198">
        <v>5.9200842465631096</v>
      </c>
      <c r="J737" s="198">
        <v>8.7739805706053602</v>
      </c>
      <c r="K737" s="198">
        <v>8.9597084089901493</v>
      </c>
      <c r="L737" s="191">
        <v>8.5291347724831503</v>
      </c>
      <c r="M737" s="198">
        <v>14.5798584655357</v>
      </c>
      <c r="N737" s="198">
        <v>10.5593578548265</v>
      </c>
      <c r="O737" s="198">
        <v>16.255642686277199</v>
      </c>
      <c r="P737" s="198">
        <v>10.3441833745647</v>
      </c>
      <c r="Q737" s="198">
        <v>11.893759611242499</v>
      </c>
      <c r="R737" s="198">
        <v>10.6553981917304</v>
      </c>
      <c r="S737" s="198">
        <v>10.714137348409301</v>
      </c>
      <c r="T737" s="198">
        <v>14.6632668104315</v>
      </c>
      <c r="U737" s="198">
        <v>16.5950785162097</v>
      </c>
      <c r="V737" s="198">
        <v>17.6881869209606</v>
      </c>
      <c r="W737" s="198">
        <v>9.5937649954304103</v>
      </c>
      <c r="X737" s="191">
        <v>7.1148813119995404</v>
      </c>
      <c r="Y737" s="198">
        <v>10.0658259263736</v>
      </c>
      <c r="Z737" s="198" t="s">
        <v>93</v>
      </c>
      <c r="AA737" s="198">
        <v>10.25</v>
      </c>
      <c r="AB737" s="198" t="s">
        <v>93</v>
      </c>
      <c r="AC737" s="198">
        <v>9.3292783798450003</v>
      </c>
      <c r="AD737" s="191">
        <v>10.5</v>
      </c>
      <c r="AE737" s="405" t="s">
        <v>184</v>
      </c>
    </row>
    <row r="738" spans="2:31">
      <c r="B738" s="405" t="s">
        <v>351</v>
      </c>
      <c r="C738" s="198">
        <v>2.9158353128101999</v>
      </c>
      <c r="D738" s="198">
        <v>2.99808414422986</v>
      </c>
      <c r="E738" s="198">
        <v>2.8310367024137202</v>
      </c>
      <c r="F738" s="198">
        <v>2.9988988337965901</v>
      </c>
      <c r="G738" s="198">
        <v>2.4981189507705199</v>
      </c>
      <c r="H738" s="198">
        <v>3.4809274903119398</v>
      </c>
      <c r="I738" s="198">
        <v>2.22550287805934</v>
      </c>
      <c r="J738" s="198">
        <v>2.6092257890514401</v>
      </c>
      <c r="K738" s="198">
        <v>3.1073145020982702</v>
      </c>
      <c r="L738" s="191">
        <v>4.6780716373119597</v>
      </c>
      <c r="M738" s="198">
        <v>5.4691961363339798</v>
      </c>
      <c r="N738" s="198">
        <v>5.5337091516469501</v>
      </c>
      <c r="O738" s="198">
        <v>4.6281769577923804</v>
      </c>
      <c r="P738" s="198">
        <v>7.2957277408513903</v>
      </c>
      <c r="Q738" s="198">
        <v>4.46493741651362</v>
      </c>
      <c r="R738" s="198">
        <v>5.9473794792522003</v>
      </c>
      <c r="S738" s="198">
        <v>6.4013241380417396</v>
      </c>
      <c r="T738" s="198">
        <v>5.7193201796453499</v>
      </c>
      <c r="U738" s="198">
        <v>6.0366340469001596</v>
      </c>
      <c r="V738" s="198">
        <v>5.2080609657021499</v>
      </c>
      <c r="W738" s="198">
        <v>5.4473507032852497</v>
      </c>
      <c r="X738" s="191">
        <v>4.6002072283295004</v>
      </c>
      <c r="Y738" s="198">
        <v>7.1441461756926596</v>
      </c>
      <c r="Z738" s="198">
        <v>12.3032258064516</v>
      </c>
      <c r="AA738" s="198" t="s">
        <v>93</v>
      </c>
      <c r="AB738" s="198" t="s">
        <v>93</v>
      </c>
      <c r="AC738" s="198">
        <v>7.0551892784347299</v>
      </c>
      <c r="AD738" s="191">
        <v>5.6822404371584696</v>
      </c>
      <c r="AE738" s="405" t="s">
        <v>351</v>
      </c>
    </row>
    <row r="739" spans="2:31">
      <c r="B739" s="374">
        <v>45627</v>
      </c>
      <c r="C739" s="198"/>
      <c r="D739" s="198"/>
      <c r="E739" s="198"/>
      <c r="F739" s="198"/>
      <c r="G739" s="198"/>
      <c r="H739" s="198"/>
      <c r="I739" s="198"/>
      <c r="J739" s="198"/>
      <c r="K739" s="198"/>
      <c r="L739" s="191"/>
      <c r="M739" s="198"/>
      <c r="N739" s="210"/>
      <c r="O739" s="198"/>
      <c r="P739" s="198"/>
      <c r="Q739" s="198"/>
      <c r="R739" s="198"/>
      <c r="S739" s="198"/>
      <c r="T739" s="198"/>
      <c r="U739" s="198"/>
      <c r="V739" s="198"/>
      <c r="W739" s="198"/>
      <c r="X739" s="191"/>
      <c r="Y739" s="198"/>
      <c r="Z739" s="198"/>
      <c r="AA739" s="198"/>
      <c r="AB739" s="198"/>
      <c r="AC739" s="198"/>
      <c r="AD739" s="191"/>
      <c r="AE739" s="374">
        <v>45627</v>
      </c>
    </row>
    <row r="740" spans="2:31">
      <c r="B740" s="199" t="s">
        <v>184</v>
      </c>
      <c r="C740" s="198">
        <v>8.6819428037639099</v>
      </c>
      <c r="D740" s="198">
        <v>6.7209237244494204</v>
      </c>
      <c r="E740" s="198">
        <v>9.6180177876869202</v>
      </c>
      <c r="F740" s="198">
        <v>6.7774665953647197</v>
      </c>
      <c r="G740" s="198">
        <v>6.1268087413679702</v>
      </c>
      <c r="H740" s="198">
        <v>7.2021849943553304</v>
      </c>
      <c r="I740" s="198">
        <v>6.1075471812804398</v>
      </c>
      <c r="J740" s="198">
        <v>8.7909726413312494</v>
      </c>
      <c r="K740" s="198">
        <v>9.0319751873153802</v>
      </c>
      <c r="L740" s="191">
        <v>8.5688662946605891</v>
      </c>
      <c r="M740" s="198">
        <v>14.639645585513</v>
      </c>
      <c r="N740" s="198">
        <v>10.651250003980699</v>
      </c>
      <c r="O740" s="198">
        <v>16.3089759964626</v>
      </c>
      <c r="P740" s="198">
        <v>11.7752965751282</v>
      </c>
      <c r="Q740" s="210">
        <v>11.7372829998817</v>
      </c>
      <c r="R740" s="198">
        <v>10.986017560358</v>
      </c>
      <c r="S740" s="198">
        <v>10.805933706187201</v>
      </c>
      <c r="T740" s="198">
        <v>14.760017164025699</v>
      </c>
      <c r="U740" s="198">
        <v>16.637469446053501</v>
      </c>
      <c r="V740" s="198">
        <v>17.729513591293099</v>
      </c>
      <c r="W740" s="198">
        <v>9.5562927890233595</v>
      </c>
      <c r="X740" s="191">
        <v>7.1174266116536602</v>
      </c>
      <c r="Y740" s="198">
        <v>10.1314849305927</v>
      </c>
      <c r="Z740" s="198" t="s">
        <v>93</v>
      </c>
      <c r="AA740" s="198">
        <v>10.25</v>
      </c>
      <c r="AB740" s="198" t="s">
        <v>93</v>
      </c>
      <c r="AC740" s="198">
        <v>9.3292783798450003</v>
      </c>
      <c r="AD740" s="411">
        <v>10.5</v>
      </c>
      <c r="AE740" s="199" t="s">
        <v>350</v>
      </c>
    </row>
    <row r="741" spans="2:31">
      <c r="B741" s="199" t="s">
        <v>351</v>
      </c>
      <c r="C741" s="198">
        <v>2.9527820724468201</v>
      </c>
      <c r="D741" s="198">
        <v>3.0476745995362098</v>
      </c>
      <c r="E741" s="198">
        <v>2.8567656051457702</v>
      </c>
      <c r="F741" s="198">
        <v>3.2245115245911902</v>
      </c>
      <c r="G741" s="198">
        <v>2.9001833750075199</v>
      </c>
      <c r="H741" s="198">
        <v>3.37288952117096</v>
      </c>
      <c r="I741" s="198">
        <v>2.8369683214228401</v>
      </c>
      <c r="J741" s="198">
        <v>2.63699407572624</v>
      </c>
      <c r="K741" s="198">
        <v>3.1324503385468598</v>
      </c>
      <c r="L741" s="191">
        <v>4.4467862413596499</v>
      </c>
      <c r="M741" s="198">
        <v>5.48152864448695</v>
      </c>
      <c r="N741" s="198">
        <v>5.5790144297525996</v>
      </c>
      <c r="O741" s="198">
        <v>4.3226778323920998</v>
      </c>
      <c r="P741" s="198">
        <v>5.6172654222335501</v>
      </c>
      <c r="Q741" s="198">
        <v>3.81620137431563</v>
      </c>
      <c r="R741" s="198">
        <v>6.0810806328485203</v>
      </c>
      <c r="S741" s="198">
        <v>6.3467003430564199</v>
      </c>
      <c r="T741" s="198">
        <v>5.7081020513979901</v>
      </c>
      <c r="U741" s="198">
        <v>6.07380669964245</v>
      </c>
      <c r="V741" s="198">
        <v>5.1971579312721303</v>
      </c>
      <c r="W741" s="198">
        <v>5.4672334791508996</v>
      </c>
      <c r="X741" s="191">
        <v>5.03662665310409</v>
      </c>
      <c r="Y741" s="198">
        <v>6.8324599249703502</v>
      </c>
      <c r="Z741" s="198">
        <v>12.7981307840322</v>
      </c>
      <c r="AA741" s="198" t="s">
        <v>93</v>
      </c>
      <c r="AB741" s="198" t="s">
        <v>93</v>
      </c>
      <c r="AC741" s="198">
        <v>5.7384300670850497</v>
      </c>
      <c r="AD741" s="191">
        <v>5.8317567567567599</v>
      </c>
      <c r="AE741" s="199" t="s">
        <v>207</v>
      </c>
    </row>
    <row r="742" spans="2:31">
      <c r="B742" s="374">
        <v>45658</v>
      </c>
      <c r="C742" s="198"/>
      <c r="D742" s="198"/>
      <c r="E742" s="198"/>
      <c r="F742" s="198"/>
      <c r="G742" s="198"/>
      <c r="H742" s="198"/>
      <c r="I742" s="198"/>
      <c r="J742" s="198"/>
      <c r="K742" s="198"/>
      <c r="L742" s="191"/>
      <c r="M742" s="198"/>
      <c r="N742" s="198"/>
      <c r="O742" s="198"/>
      <c r="P742" s="198"/>
      <c r="Q742" s="198"/>
      <c r="R742" s="198"/>
      <c r="S742" s="198"/>
      <c r="T742" s="198"/>
      <c r="U742" s="198"/>
      <c r="V742" s="198"/>
      <c r="W742" s="198"/>
      <c r="X742" s="191"/>
      <c r="Y742" s="198"/>
      <c r="Z742" s="198"/>
      <c r="AA742" s="198"/>
      <c r="AB742" s="198"/>
      <c r="AC742" s="198"/>
      <c r="AD742" s="191"/>
      <c r="AE742" s="374">
        <v>45658</v>
      </c>
    </row>
    <row r="743" spans="2:31">
      <c r="B743" s="199" t="s">
        <v>184</v>
      </c>
      <c r="C743" s="198">
        <v>8.7505275485649499</v>
      </c>
      <c r="D743" s="198">
        <v>6.8007684381746198</v>
      </c>
      <c r="E743" s="198">
        <v>9.7357051399145593</v>
      </c>
      <c r="F743" s="198">
        <v>6.38775000536251</v>
      </c>
      <c r="G743" s="198">
        <v>5.53565674394883</v>
      </c>
      <c r="H743" s="198">
        <v>7.9232292981608596</v>
      </c>
      <c r="I743" s="198">
        <v>6.2669476127477397</v>
      </c>
      <c r="J743" s="198">
        <v>8.8548593664135602</v>
      </c>
      <c r="K743" s="198">
        <v>9.1607378087779008</v>
      </c>
      <c r="L743" s="191">
        <v>8.6205598227164106</v>
      </c>
      <c r="M743" s="198">
        <v>14.659652428918401</v>
      </c>
      <c r="N743" s="198">
        <v>10.7133090683676</v>
      </c>
      <c r="O743" s="198">
        <v>16.317367497750499</v>
      </c>
      <c r="P743" s="198">
        <v>6.2875297085894104</v>
      </c>
      <c r="Q743" s="198">
        <v>11.192148554728901</v>
      </c>
      <c r="R743" s="198">
        <v>11.3663042291018</v>
      </c>
      <c r="S743" s="198">
        <v>11.110390155980699</v>
      </c>
      <c r="T743" s="198">
        <v>14.5366364162051</v>
      </c>
      <c r="U743" s="198">
        <v>16.804048387700099</v>
      </c>
      <c r="V743" s="198">
        <v>17.741291956934599</v>
      </c>
      <c r="W743" s="198">
        <v>9.6336604253220202</v>
      </c>
      <c r="X743" s="191">
        <v>7.11413699749333</v>
      </c>
      <c r="Y743" s="198">
        <v>10.25</v>
      </c>
      <c r="Z743" s="198" t="s">
        <v>93</v>
      </c>
      <c r="AA743" s="198" t="s">
        <v>93</v>
      </c>
      <c r="AB743" s="198" t="s">
        <v>93</v>
      </c>
      <c r="AC743" s="198">
        <v>10.25</v>
      </c>
      <c r="AD743" s="191" t="s">
        <v>93</v>
      </c>
      <c r="AE743" s="199" t="s">
        <v>350</v>
      </c>
    </row>
    <row r="744" spans="2:31">
      <c r="B744" s="199" t="s">
        <v>351</v>
      </c>
      <c r="C744" s="198">
        <v>3.0022596114586499</v>
      </c>
      <c r="D744" s="198">
        <v>3.1022172088206701</v>
      </c>
      <c r="E744" s="198">
        <v>2.9013521934146298</v>
      </c>
      <c r="F744" s="198">
        <v>2.8018050162208401</v>
      </c>
      <c r="G744" s="198">
        <v>2.4887284358972601</v>
      </c>
      <c r="H744" s="198">
        <v>3.2308021188964502</v>
      </c>
      <c r="I744" s="198">
        <v>3.36402866963383</v>
      </c>
      <c r="J744" s="198">
        <v>2.7482264601755402</v>
      </c>
      <c r="K744" s="198">
        <v>3.1771335589834102</v>
      </c>
      <c r="L744" s="191">
        <v>4.20581320242787</v>
      </c>
      <c r="M744" s="198">
        <v>5.5651958580387602</v>
      </c>
      <c r="N744" s="198">
        <v>5.6652174124577099</v>
      </c>
      <c r="O744" s="198">
        <v>4.3887151565091704</v>
      </c>
      <c r="P744" s="198">
        <v>6.2096589509972899</v>
      </c>
      <c r="Q744" s="198">
        <v>3.8252601077366402</v>
      </c>
      <c r="R744" s="198">
        <v>6.2724027701928797</v>
      </c>
      <c r="S744" s="198">
        <v>5.6799560579903501</v>
      </c>
      <c r="T744" s="198">
        <v>5.8526442060852704</v>
      </c>
      <c r="U744" s="198">
        <v>6.15635683974961</v>
      </c>
      <c r="V744" s="198">
        <v>5.2222534245208996</v>
      </c>
      <c r="W744" s="198">
        <v>5.5842733353705496</v>
      </c>
      <c r="X744" s="191">
        <v>5.3956882888717397</v>
      </c>
      <c r="Y744" s="198">
        <v>7.2668126981738199</v>
      </c>
      <c r="Z744" s="198">
        <v>12.3330290700787</v>
      </c>
      <c r="AA744" s="198" t="s">
        <v>93</v>
      </c>
      <c r="AB744" s="198" t="s">
        <v>93</v>
      </c>
      <c r="AC744" s="198">
        <v>5.0459229272379797</v>
      </c>
      <c r="AD744" s="191">
        <v>6.9006993006992996</v>
      </c>
      <c r="AE744" s="199" t="s">
        <v>207</v>
      </c>
    </row>
    <row r="745" spans="2:31">
      <c r="B745" s="374">
        <v>45689</v>
      </c>
      <c r="C745" s="198"/>
      <c r="D745" s="198"/>
      <c r="E745" s="198"/>
      <c r="F745" s="198"/>
      <c r="G745" s="198"/>
      <c r="H745" s="198"/>
      <c r="I745" s="198"/>
      <c r="J745" s="198"/>
      <c r="K745" s="198"/>
      <c r="L745" s="191"/>
      <c r="M745" s="198"/>
      <c r="N745" s="198"/>
      <c r="O745" s="198"/>
      <c r="P745" s="198"/>
      <c r="Q745" s="198"/>
      <c r="R745" s="198"/>
      <c r="S745" s="198"/>
      <c r="T745" s="198"/>
      <c r="U745" s="198"/>
      <c r="V745" s="198"/>
      <c r="W745" s="198"/>
      <c r="X745" s="191"/>
      <c r="Y745" s="198"/>
      <c r="Z745" s="198"/>
      <c r="AA745" s="198"/>
      <c r="AB745" s="198"/>
      <c r="AC745" s="198"/>
      <c r="AD745" s="191"/>
      <c r="AE745" s="374">
        <v>45689</v>
      </c>
    </row>
    <row r="746" spans="2:31">
      <c r="B746" s="199" t="s">
        <v>184</v>
      </c>
      <c r="C746" s="198">
        <v>8.8408852838142096</v>
      </c>
      <c r="D746" s="198">
        <v>6.8266201367162198</v>
      </c>
      <c r="E746" s="198">
        <v>9.8564383417158794</v>
      </c>
      <c r="F746" s="198">
        <v>6.5694933852499302</v>
      </c>
      <c r="G746" s="198">
        <v>5.63674181390292</v>
      </c>
      <c r="H746" s="198">
        <v>8.15600733615201</v>
      </c>
      <c r="I746" s="198">
        <v>6.7480633795695404</v>
      </c>
      <c r="J746" s="198">
        <v>8.9266216035070407</v>
      </c>
      <c r="K746" s="198">
        <v>9.30209430527343</v>
      </c>
      <c r="L746" s="191">
        <v>8.5502272746748407</v>
      </c>
      <c r="M746" s="198">
        <v>14.8305993280126</v>
      </c>
      <c r="N746" s="198">
        <v>10.811593260649</v>
      </c>
      <c r="O746" s="198">
        <v>16.497059955072999</v>
      </c>
      <c r="P746" s="198">
        <v>11.891991893165599</v>
      </c>
      <c r="Q746" s="198">
        <v>12.636977935295301</v>
      </c>
      <c r="R746" s="198">
        <v>11.708754925189901</v>
      </c>
      <c r="S746" s="198">
        <v>11.3331286681591</v>
      </c>
      <c r="T746" s="198">
        <v>14.9870658729763</v>
      </c>
      <c r="U746" s="198">
        <v>16.811567741460401</v>
      </c>
      <c r="V746" s="198">
        <v>17.810264129027601</v>
      </c>
      <c r="W746" s="198">
        <v>9.6644954201121092</v>
      </c>
      <c r="X746" s="191">
        <v>7.5498633260838703</v>
      </c>
      <c r="Y746" s="198">
        <v>10.472439035145699</v>
      </c>
      <c r="Z746" s="198" t="s">
        <v>93</v>
      </c>
      <c r="AA746" s="198">
        <v>10.5</v>
      </c>
      <c r="AB746" s="198" t="s">
        <v>93</v>
      </c>
      <c r="AC746" s="198">
        <v>10.25</v>
      </c>
      <c r="AD746" s="191" t="s">
        <v>93</v>
      </c>
      <c r="AE746" s="199" t="s">
        <v>350</v>
      </c>
    </row>
    <row r="747" spans="2:31">
      <c r="B747" s="199" t="s">
        <v>351</v>
      </c>
      <c r="C747" s="198">
        <v>3.0199659986979199</v>
      </c>
      <c r="D747" s="198">
        <v>3.1096308150546599</v>
      </c>
      <c r="E747" s="198">
        <v>2.92916828092903</v>
      </c>
      <c r="F747" s="198">
        <v>2.6990880377399198</v>
      </c>
      <c r="G747" s="198">
        <v>2.49661466123688</v>
      </c>
      <c r="H747" s="198">
        <v>3.28715773520201</v>
      </c>
      <c r="I747" s="198">
        <v>3.3588560242818102</v>
      </c>
      <c r="J747" s="198">
        <v>2.7722186423182902</v>
      </c>
      <c r="K747" s="198">
        <v>3.1837936956836601</v>
      </c>
      <c r="L747" s="191">
        <v>4.3104450464622399</v>
      </c>
      <c r="M747" s="198">
        <v>5.53878608801136</v>
      </c>
      <c r="N747" s="198">
        <v>5.6320345435960801</v>
      </c>
      <c r="O747" s="198">
        <v>4.40858368027172</v>
      </c>
      <c r="P747" s="198">
        <v>6.2530806263283303</v>
      </c>
      <c r="Q747" s="198">
        <v>3.8229699055269402</v>
      </c>
      <c r="R747" s="198">
        <v>6.3066005908417404</v>
      </c>
      <c r="S747" s="198">
        <v>5.9216694674395596</v>
      </c>
      <c r="T747" s="198">
        <v>5.87386736444543</v>
      </c>
      <c r="U747" s="198">
        <v>6.2431832047771003</v>
      </c>
      <c r="V747" s="198">
        <v>5.2192008160056798</v>
      </c>
      <c r="W747" s="198">
        <v>5.5030014954715698</v>
      </c>
      <c r="X747" s="191">
        <v>5.1575087050386603</v>
      </c>
      <c r="Y747" s="198">
        <v>7.2003104576564096</v>
      </c>
      <c r="Z747" s="198">
        <v>12.235574549412</v>
      </c>
      <c r="AA747" s="198" t="s">
        <v>93</v>
      </c>
      <c r="AB747" s="198" t="s">
        <v>93</v>
      </c>
      <c r="AC747" s="198">
        <v>4.46990436459979</v>
      </c>
      <c r="AD747" s="191">
        <v>6.8071678321678304</v>
      </c>
      <c r="AE747" s="199" t="s">
        <v>207</v>
      </c>
    </row>
    <row r="748" spans="2:31">
      <c r="B748" s="374">
        <v>45717</v>
      </c>
      <c r="C748" s="198"/>
      <c r="D748" s="198"/>
      <c r="E748" s="198"/>
      <c r="F748" s="198"/>
      <c r="G748" s="198"/>
      <c r="H748" s="198"/>
      <c r="I748" s="198"/>
      <c r="J748" s="198"/>
      <c r="K748" s="198"/>
      <c r="L748" s="191"/>
      <c r="M748" s="198"/>
      <c r="N748" s="198"/>
      <c r="O748" s="198"/>
      <c r="P748" s="198"/>
      <c r="Q748" s="198"/>
      <c r="R748" s="198"/>
      <c r="S748" s="198"/>
      <c r="T748" s="198"/>
      <c r="U748" s="198"/>
      <c r="V748" s="198"/>
      <c r="W748" s="198"/>
      <c r="X748" s="191"/>
      <c r="Y748" s="198"/>
      <c r="Z748" s="198"/>
      <c r="AA748" s="198"/>
      <c r="AB748" s="198"/>
      <c r="AC748" s="198"/>
      <c r="AD748" s="191"/>
      <c r="AE748" s="374">
        <v>45717</v>
      </c>
    </row>
    <row r="749" spans="2:31">
      <c r="B749" s="199" t="s">
        <v>184</v>
      </c>
      <c r="C749" s="198">
        <v>8.8723907405444091</v>
      </c>
      <c r="D749" s="198">
        <v>6.8845288047822999</v>
      </c>
      <c r="E749" s="198">
        <v>9.90950561187476</v>
      </c>
      <c r="F749" s="198">
        <v>6.5216693747699601</v>
      </c>
      <c r="G749" s="198">
        <v>5.8515973107981498</v>
      </c>
      <c r="H749" s="198">
        <v>8.3827111956346307</v>
      </c>
      <c r="I749" s="198">
        <v>6.9111189860796696</v>
      </c>
      <c r="J749" s="198">
        <v>8.9447442433212991</v>
      </c>
      <c r="K749" s="198">
        <v>9.3216939204974292</v>
      </c>
      <c r="L749" s="191">
        <v>8.5837833782777295</v>
      </c>
      <c r="M749" s="198">
        <v>14.810105758931</v>
      </c>
      <c r="N749" s="198">
        <v>10.8662808287978</v>
      </c>
      <c r="O749" s="198">
        <v>16.458945411025098</v>
      </c>
      <c r="P749" s="198">
        <v>11.867093958936501</v>
      </c>
      <c r="Q749" s="198">
        <v>12.1098090827586</v>
      </c>
      <c r="R749" s="198">
        <v>11.5614142969391</v>
      </c>
      <c r="S749" s="198">
        <v>11.4747178446205</v>
      </c>
      <c r="T749" s="198">
        <v>15.1452126410719</v>
      </c>
      <c r="U749" s="198">
        <v>16.865729259560698</v>
      </c>
      <c r="V749" s="198">
        <v>17.8513022606314</v>
      </c>
      <c r="W749" s="198">
        <v>9.6799224263403794</v>
      </c>
      <c r="X749" s="191">
        <v>7.1062262451791796</v>
      </c>
      <c r="Y749" s="198">
        <v>10.472439035145699</v>
      </c>
      <c r="Z749" s="198" t="s">
        <v>93</v>
      </c>
      <c r="AA749" s="198">
        <v>10.5</v>
      </c>
      <c r="AB749" s="198" t="s">
        <v>93</v>
      </c>
      <c r="AC749" s="198">
        <v>10.25</v>
      </c>
      <c r="AD749" s="191" t="s">
        <v>93</v>
      </c>
      <c r="AE749" s="199" t="s">
        <v>350</v>
      </c>
    </row>
    <row r="750" spans="2:31">
      <c r="B750" s="199" t="s">
        <v>351</v>
      </c>
      <c r="C750" s="198">
        <v>3.0521874054226701</v>
      </c>
      <c r="D750" s="198">
        <v>3.1095719666372701</v>
      </c>
      <c r="E750" s="198">
        <v>2.9956952279336</v>
      </c>
      <c r="F750" s="198">
        <v>3.00758308925989</v>
      </c>
      <c r="G750" s="198">
        <v>2.5694220892039299</v>
      </c>
      <c r="H750" s="198">
        <v>3.0684984114137901</v>
      </c>
      <c r="I750" s="198">
        <v>3.2435905076839799</v>
      </c>
      <c r="J750" s="198">
        <v>2.8710179558528401</v>
      </c>
      <c r="K750" s="198">
        <v>3.1550148451262401</v>
      </c>
      <c r="L750" s="191">
        <v>4.5121041768860497</v>
      </c>
      <c r="M750" s="198">
        <v>5.6019376464838802</v>
      </c>
      <c r="N750" s="198">
        <v>5.6701679930289703</v>
      </c>
      <c r="O750" s="198">
        <v>4.6901498533820698</v>
      </c>
      <c r="P750" s="198">
        <v>6.3629272679017799</v>
      </c>
      <c r="Q750" s="198">
        <v>4.5181254964903603</v>
      </c>
      <c r="R750" s="198">
        <v>6.3143952637498604</v>
      </c>
      <c r="S750" s="198">
        <v>6.0148524014894598</v>
      </c>
      <c r="T750" s="198">
        <v>5.8316488689332804</v>
      </c>
      <c r="U750" s="198">
        <v>6.3147537655511998</v>
      </c>
      <c r="V750" s="198">
        <v>5.2800570303156098</v>
      </c>
      <c r="W750" s="198">
        <v>5.5086578244660496</v>
      </c>
      <c r="X750" s="191">
        <v>5.2502363443522899</v>
      </c>
      <c r="Y750" s="198">
        <v>6.9711132919885701</v>
      </c>
      <c r="Z750" s="198">
        <v>12.0029765618038</v>
      </c>
      <c r="AA750" s="198" t="s">
        <v>93</v>
      </c>
      <c r="AB750" s="198" t="s">
        <v>93</v>
      </c>
      <c r="AC750" s="198">
        <v>4.4698780921093499</v>
      </c>
      <c r="AD750" s="191">
        <v>6.4485169491525403</v>
      </c>
      <c r="AE750" s="199" t="s">
        <v>207</v>
      </c>
    </row>
    <row r="751" spans="2:31">
      <c r="B751" s="374">
        <v>45748</v>
      </c>
      <c r="C751" s="198"/>
      <c r="D751" s="198"/>
      <c r="E751" s="198"/>
      <c r="F751" s="198"/>
      <c r="G751" s="198"/>
      <c r="H751" s="198"/>
      <c r="I751" s="198"/>
      <c r="J751" s="198"/>
      <c r="K751" s="198"/>
      <c r="L751" s="191"/>
      <c r="M751" s="198"/>
      <c r="N751" s="210"/>
      <c r="O751" s="198"/>
      <c r="P751" s="198"/>
      <c r="Q751" s="198"/>
      <c r="R751" s="198"/>
      <c r="S751" s="198"/>
      <c r="T751" s="198"/>
      <c r="U751" s="198"/>
      <c r="V751" s="198"/>
      <c r="W751" s="198"/>
      <c r="X751" s="191"/>
      <c r="Y751" s="198"/>
      <c r="Z751" s="198"/>
      <c r="AA751" s="198"/>
      <c r="AB751" s="198"/>
      <c r="AC751" s="198"/>
      <c r="AD751" s="191"/>
      <c r="AE751" s="374">
        <v>45748</v>
      </c>
    </row>
    <row r="752" spans="2:31">
      <c r="B752" s="405" t="s">
        <v>184</v>
      </c>
      <c r="C752" s="198">
        <v>9.0487790096926197</v>
      </c>
      <c r="D752" s="198">
        <v>7.0673440851723699</v>
      </c>
      <c r="E752" s="198">
        <v>9.9840040272382904</v>
      </c>
      <c r="F752" s="198">
        <v>6.4379315017495804</v>
      </c>
      <c r="G752" s="198">
        <v>7.0160019646193401</v>
      </c>
      <c r="H752" s="198">
        <v>8.5021255404346192</v>
      </c>
      <c r="I752" s="198">
        <v>7.9261790457479604</v>
      </c>
      <c r="J752" s="198">
        <v>9.0999969541781205</v>
      </c>
      <c r="K752" s="198">
        <v>9.3900285610338798</v>
      </c>
      <c r="L752" s="191">
        <v>8.7170919218700291</v>
      </c>
      <c r="M752" s="198">
        <v>14.8210526016471</v>
      </c>
      <c r="N752" s="198">
        <v>10.9338838290984</v>
      </c>
      <c r="O752" s="198">
        <v>16.452432869287701</v>
      </c>
      <c r="P752" s="198">
        <v>11.609591042701901</v>
      </c>
      <c r="Q752" s="210">
        <v>12.4627763644552</v>
      </c>
      <c r="R752" s="198">
        <v>11.7445557119753</v>
      </c>
      <c r="S752" s="198">
        <v>11.7082590547728</v>
      </c>
      <c r="T752" s="198">
        <v>15.069462572062401</v>
      </c>
      <c r="U752" s="198">
        <v>16.889515582063101</v>
      </c>
      <c r="V752" s="198">
        <v>17.923649641744198</v>
      </c>
      <c r="W752" s="198">
        <v>9.7288536456116894</v>
      </c>
      <c r="X752" s="191">
        <v>7.0489810836704798</v>
      </c>
      <c r="Y752" s="198">
        <v>10.472439035145699</v>
      </c>
      <c r="Z752" s="198" t="s">
        <v>93</v>
      </c>
      <c r="AA752" s="198">
        <v>10.5</v>
      </c>
      <c r="AB752" s="198" t="s">
        <v>93</v>
      </c>
      <c r="AC752" s="198">
        <v>10.25</v>
      </c>
      <c r="AD752" s="411" t="s">
        <v>93</v>
      </c>
      <c r="AE752" s="199" t="s">
        <v>350</v>
      </c>
    </row>
    <row r="753" spans="2:31">
      <c r="B753" s="405" t="s">
        <v>351</v>
      </c>
      <c r="C753" s="198">
        <v>3.0673567101593902</v>
      </c>
      <c r="D753" s="198">
        <v>3.1288779710197798</v>
      </c>
      <c r="E753" s="198">
        <v>3.0078830120272699</v>
      </c>
      <c r="F753" s="198">
        <v>2.79813965660784</v>
      </c>
      <c r="G753" s="198">
        <v>2.5859377650224298</v>
      </c>
      <c r="H753" s="198">
        <v>2.94049163517961</v>
      </c>
      <c r="I753" s="198">
        <v>2.7535208776832798</v>
      </c>
      <c r="J753" s="198">
        <v>2.9432189520204202</v>
      </c>
      <c r="K753" s="198">
        <v>3.1493985417885799</v>
      </c>
      <c r="L753" s="191">
        <v>4.3363313592137498</v>
      </c>
      <c r="M753" s="198">
        <v>5.6499665398987897</v>
      </c>
      <c r="N753" s="198">
        <v>5.7250160504887004</v>
      </c>
      <c r="O753" s="198">
        <v>4.6704159907435097</v>
      </c>
      <c r="P753" s="198">
        <v>4.8305487736168002</v>
      </c>
      <c r="Q753" s="198">
        <v>4.5329730490258102</v>
      </c>
      <c r="R753" s="198">
        <v>6.4540669034267903</v>
      </c>
      <c r="S753" s="198">
        <v>6.1027326162189199</v>
      </c>
      <c r="T753" s="198">
        <v>5.8012396099106098</v>
      </c>
      <c r="U753" s="198">
        <v>6.6239497253811797</v>
      </c>
      <c r="V753" s="198">
        <v>5.2421824194804696</v>
      </c>
      <c r="W753" s="198">
        <v>5.4754467021675701</v>
      </c>
      <c r="X753" s="191">
        <v>5.5247253505085103</v>
      </c>
      <c r="Y753" s="198">
        <v>7.0123572018102696</v>
      </c>
      <c r="Z753" s="198">
        <v>12.224668006290401</v>
      </c>
      <c r="AA753" s="198" t="s">
        <v>93</v>
      </c>
      <c r="AB753" s="198" t="s">
        <v>93</v>
      </c>
      <c r="AC753" s="198">
        <v>4.4625027212953796</v>
      </c>
      <c r="AD753" s="191">
        <v>6.4485169491525403</v>
      </c>
      <c r="AE753" s="199" t="s">
        <v>207</v>
      </c>
    </row>
    <row r="754" spans="2:31">
      <c r="B754" s="374">
        <v>45778</v>
      </c>
      <c r="C754" s="198"/>
      <c r="D754" s="198"/>
      <c r="E754" s="198"/>
      <c r="F754" s="198"/>
      <c r="G754" s="198"/>
      <c r="H754" s="198"/>
      <c r="I754" s="198"/>
      <c r="J754" s="198"/>
      <c r="K754" s="198"/>
      <c r="L754" s="191"/>
      <c r="M754" s="198"/>
      <c r="N754" s="198"/>
      <c r="O754" s="198"/>
      <c r="P754" s="198"/>
      <c r="Q754" s="198"/>
      <c r="R754" s="198"/>
      <c r="S754" s="198"/>
      <c r="T754" s="198"/>
      <c r="U754" s="198"/>
      <c r="V754" s="198"/>
      <c r="W754" s="198"/>
      <c r="X754" s="191"/>
      <c r="Y754" s="198"/>
      <c r="Z754" s="198"/>
      <c r="AA754" s="198"/>
      <c r="AB754" s="198"/>
      <c r="AC754" s="198"/>
      <c r="AD754" s="191"/>
      <c r="AE754" s="374">
        <v>45778</v>
      </c>
    </row>
    <row r="755" spans="2:31">
      <c r="B755" s="405" t="s">
        <v>184</v>
      </c>
      <c r="C755" s="198">
        <v>8.9174482518076896</v>
      </c>
      <c r="D755" s="198">
        <v>7.1819775756019597</v>
      </c>
      <c r="E755" s="198">
        <v>10.0821378186867</v>
      </c>
      <c r="F755" s="198">
        <v>6.5388942642605699</v>
      </c>
      <c r="G755" s="198">
        <v>7.0637229456494204</v>
      </c>
      <c r="H755" s="198">
        <v>8.8210256668443208</v>
      </c>
      <c r="I755" s="198">
        <v>7.8988284751281999</v>
      </c>
      <c r="J755" s="198">
        <v>9.2211413973589504</v>
      </c>
      <c r="K755" s="198">
        <v>9.4813691311675505</v>
      </c>
      <c r="L755" s="191">
        <v>8.7167380215494603</v>
      </c>
      <c r="M755" s="198">
        <v>14.9540733676057</v>
      </c>
      <c r="N755" s="198">
        <v>11.060258895109699</v>
      </c>
      <c r="O755" s="198">
        <v>16.564370541921299</v>
      </c>
      <c r="P755" s="198">
        <v>13.6971385203436</v>
      </c>
      <c r="Q755" s="198">
        <v>12.755148652811499</v>
      </c>
      <c r="R755" s="198">
        <v>12.034398112104601</v>
      </c>
      <c r="S755" s="198">
        <v>11.725694356027599</v>
      </c>
      <c r="T755" s="198">
        <v>15.3916471363412</v>
      </c>
      <c r="U755" s="198">
        <v>17.076061268113399</v>
      </c>
      <c r="V755" s="198">
        <v>17.9969520795085</v>
      </c>
      <c r="W755" s="198">
        <v>9.7823724877484892</v>
      </c>
      <c r="X755" s="191">
        <v>7.0542049142849601</v>
      </c>
      <c r="Y755" s="198">
        <v>10.25</v>
      </c>
      <c r="Z755" s="198" t="s">
        <v>93</v>
      </c>
      <c r="AA755" s="198" t="s">
        <v>93</v>
      </c>
      <c r="AB755" s="198" t="s">
        <v>93</v>
      </c>
      <c r="AC755" s="198">
        <v>10.25</v>
      </c>
      <c r="AD755" s="191" t="s">
        <v>93</v>
      </c>
      <c r="AE755" s="199" t="s">
        <v>350</v>
      </c>
    </row>
    <row r="756" spans="2:31">
      <c r="B756" s="405" t="s">
        <v>351</v>
      </c>
      <c r="C756" s="198">
        <v>3.14846972691883</v>
      </c>
      <c r="D756" s="198">
        <v>3.2242734400020399</v>
      </c>
      <c r="E756" s="198">
        <v>3.0803927478664899</v>
      </c>
      <c r="F756" s="198">
        <v>2.9384232119495799</v>
      </c>
      <c r="G756" s="198">
        <v>3.4242958251983202</v>
      </c>
      <c r="H756" s="198">
        <v>2.9075344676695201</v>
      </c>
      <c r="I756" s="198">
        <v>2.8146252789574699</v>
      </c>
      <c r="J756" s="198">
        <v>3.06912241693305</v>
      </c>
      <c r="K756" s="198">
        <v>3.24186107686858</v>
      </c>
      <c r="L756" s="191">
        <v>2.2488799326188098</v>
      </c>
      <c r="M756" s="198">
        <v>5.6644506110799204</v>
      </c>
      <c r="N756" s="198">
        <v>5.73815464394887</v>
      </c>
      <c r="O756" s="198">
        <v>4.6733138763537303</v>
      </c>
      <c r="P756" s="198">
        <v>5.6116288159705201</v>
      </c>
      <c r="Q756" s="198">
        <v>4.5316739576047098</v>
      </c>
      <c r="R756" s="198">
        <v>6.5322543140935903</v>
      </c>
      <c r="S756" s="198">
        <v>6.0801756262224904</v>
      </c>
      <c r="T756" s="198">
        <v>5.88165397029847</v>
      </c>
      <c r="U756" s="198">
        <v>6.68484553934384</v>
      </c>
      <c r="V756" s="198">
        <v>5.2706236681604697</v>
      </c>
      <c r="W756" s="198">
        <v>5.4452226533348904</v>
      </c>
      <c r="X756" s="191">
        <v>5.5148949520571602</v>
      </c>
      <c r="Y756" s="198">
        <v>7.11682421181305</v>
      </c>
      <c r="Z756" s="198">
        <v>12.4412850244517</v>
      </c>
      <c r="AA756" s="198" t="s">
        <v>93</v>
      </c>
      <c r="AB756" s="198" t="s">
        <v>93</v>
      </c>
      <c r="AC756" s="198">
        <v>4.4814147360812999</v>
      </c>
      <c r="AD756" s="191">
        <v>6.4485169491525403</v>
      </c>
      <c r="AE756" s="199" t="s">
        <v>207</v>
      </c>
    </row>
    <row r="757" spans="2:31">
      <c r="B757" s="374">
        <v>45809</v>
      </c>
      <c r="C757" s="198"/>
      <c r="D757" s="198"/>
      <c r="E757" s="198"/>
      <c r="F757" s="198"/>
      <c r="G757" s="198"/>
      <c r="H757" s="198"/>
      <c r="I757" s="198"/>
      <c r="J757" s="198"/>
      <c r="K757" s="198"/>
      <c r="L757" s="191"/>
      <c r="M757" s="198"/>
      <c r="N757" s="198"/>
      <c r="O757" s="198"/>
      <c r="P757" s="198"/>
      <c r="Q757" s="198"/>
      <c r="R757" s="198"/>
      <c r="S757" s="198"/>
      <c r="T757" s="198"/>
      <c r="U757" s="198"/>
      <c r="V757" s="198"/>
      <c r="W757" s="198"/>
      <c r="X757" s="191"/>
      <c r="Y757" s="198"/>
      <c r="Z757" s="198"/>
      <c r="AA757" s="198"/>
      <c r="AB757" s="198"/>
      <c r="AC757" s="198"/>
      <c r="AD757" s="191"/>
      <c r="AE757" s="374">
        <v>45809</v>
      </c>
    </row>
    <row r="758" spans="2:31">
      <c r="B758" s="405" t="s">
        <v>184</v>
      </c>
      <c r="C758" s="198">
        <v>8.8677288712242905</v>
      </c>
      <c r="D758" s="198">
        <v>7.1070822745133704</v>
      </c>
      <c r="E758" s="198">
        <v>10.210778796917101</v>
      </c>
      <c r="F758" s="198">
        <v>6.62757954131001</v>
      </c>
      <c r="G758" s="198">
        <v>7.0861639793759297</v>
      </c>
      <c r="H758" s="198">
        <v>9.0192344352113594</v>
      </c>
      <c r="I758" s="198">
        <v>8.2102082573781292</v>
      </c>
      <c r="J758" s="198">
        <v>9.3758914962211506</v>
      </c>
      <c r="K758" s="198">
        <v>9.5441640541833603</v>
      </c>
      <c r="L758" s="191">
        <v>8.6475422954492291</v>
      </c>
      <c r="M758" s="198">
        <v>15.0398370664333</v>
      </c>
      <c r="N758" s="198">
        <v>11.1477713900245</v>
      </c>
      <c r="O758" s="198">
        <v>16.667411354241001</v>
      </c>
      <c r="P758" s="198">
        <v>13.2967397722544</v>
      </c>
      <c r="Q758" s="198">
        <v>12.6399828632891</v>
      </c>
      <c r="R758" s="198">
        <v>11.8206580639231</v>
      </c>
      <c r="S758" s="198">
        <v>11.9037507651393</v>
      </c>
      <c r="T758" s="198">
        <v>15.2997161700823</v>
      </c>
      <c r="U758" s="198">
        <v>17.162345587014499</v>
      </c>
      <c r="V758" s="198">
        <v>18.123151728735099</v>
      </c>
      <c r="W758" s="198">
        <v>9.8267329460937791</v>
      </c>
      <c r="X758" s="191">
        <v>7.0714949006545096</v>
      </c>
      <c r="Y758" s="198">
        <v>10.25</v>
      </c>
      <c r="Z758" s="198" t="s">
        <v>93</v>
      </c>
      <c r="AA758" s="198" t="s">
        <v>93</v>
      </c>
      <c r="AB758" s="198" t="s">
        <v>93</v>
      </c>
      <c r="AC758" s="198">
        <v>10.25</v>
      </c>
      <c r="AD758" s="191" t="s">
        <v>93</v>
      </c>
      <c r="AE758" s="199" t="s">
        <v>350</v>
      </c>
    </row>
    <row r="759" spans="2:31">
      <c r="B759" s="405" t="s">
        <v>351</v>
      </c>
      <c r="C759" s="198">
        <v>3.1423401825389998</v>
      </c>
      <c r="D759" s="198">
        <v>3.2054152236815998</v>
      </c>
      <c r="E759" s="198">
        <v>3.0858576177207002</v>
      </c>
      <c r="F759" s="198">
        <v>1.2901337839820399</v>
      </c>
      <c r="G759" s="198">
        <v>3.05962564509815</v>
      </c>
      <c r="H759" s="198">
        <v>2.9742601120144099</v>
      </c>
      <c r="I759" s="198">
        <v>2.85752699078397</v>
      </c>
      <c r="J759" s="198">
        <v>3.0717907760084802</v>
      </c>
      <c r="K759" s="198">
        <v>3.26121936451311</v>
      </c>
      <c r="L759" s="191">
        <v>2.01188633601295</v>
      </c>
      <c r="M759" s="198">
        <v>5.6641788590956699</v>
      </c>
      <c r="N759" s="198">
        <v>5.74353226763703</v>
      </c>
      <c r="O759" s="198">
        <v>4.5643482514898501</v>
      </c>
      <c r="P759" s="198">
        <v>7.5078030027431701</v>
      </c>
      <c r="Q759" s="198">
        <v>4.5913264042997604</v>
      </c>
      <c r="R759" s="198">
        <v>6.6519664186566496</v>
      </c>
      <c r="S759" s="198">
        <v>6.0776408483368103</v>
      </c>
      <c r="T759" s="198">
        <v>5.9056465146759196</v>
      </c>
      <c r="U759" s="198">
        <v>6.7074029726653501</v>
      </c>
      <c r="V759" s="198">
        <v>5.2584105861708004</v>
      </c>
      <c r="W759" s="198">
        <v>5.4231135607596697</v>
      </c>
      <c r="X759" s="191">
        <v>5.4902988774201704</v>
      </c>
      <c r="Y759" s="198">
        <v>11.8522075273707</v>
      </c>
      <c r="Z759" s="198">
        <v>17.4250092375908</v>
      </c>
      <c r="AA759" s="198" t="s">
        <v>93</v>
      </c>
      <c r="AB759" s="198" t="s">
        <v>93</v>
      </c>
      <c r="AC759" s="198">
        <v>4.3638113464494603</v>
      </c>
      <c r="AD759" s="191">
        <v>6.4485169491525403</v>
      </c>
      <c r="AE759" s="199" t="s">
        <v>207</v>
      </c>
    </row>
    <row r="760" spans="2:31">
      <c r="B760" s="374">
        <v>45839</v>
      </c>
      <c r="C760" s="198"/>
      <c r="D760" s="198"/>
      <c r="E760" s="198"/>
      <c r="F760" s="198"/>
      <c r="G760" s="198"/>
      <c r="H760" s="198"/>
      <c r="I760" s="198"/>
      <c r="J760" s="198"/>
      <c r="K760" s="198"/>
      <c r="L760" s="191"/>
      <c r="M760" s="198"/>
      <c r="N760" s="198"/>
      <c r="O760" s="198"/>
      <c r="P760" s="198"/>
      <c r="Q760" s="198"/>
      <c r="R760" s="198"/>
      <c r="S760" s="198"/>
      <c r="T760" s="198"/>
      <c r="U760" s="198"/>
      <c r="V760" s="198"/>
      <c r="W760" s="198"/>
      <c r="X760" s="191"/>
      <c r="Y760" s="198"/>
      <c r="Z760" s="198"/>
      <c r="AA760" s="198"/>
      <c r="AB760" s="198"/>
      <c r="AC760" s="198"/>
      <c r="AD760" s="191"/>
      <c r="AE760" s="374">
        <v>45839</v>
      </c>
    </row>
    <row r="761" spans="2:31">
      <c r="B761" s="405" t="s">
        <v>184</v>
      </c>
      <c r="C761" s="198">
        <v>8.8571093238479701</v>
      </c>
      <c r="D761" s="198">
        <v>7.0989988807922204</v>
      </c>
      <c r="E761" s="198">
        <v>10.260162456038</v>
      </c>
      <c r="F761" s="198">
        <v>6.7539563109103398</v>
      </c>
      <c r="G761" s="198">
        <v>7.27105519051866</v>
      </c>
      <c r="H761" s="198">
        <v>9.0325262259788399</v>
      </c>
      <c r="I761" s="198">
        <v>8.52577263829183</v>
      </c>
      <c r="J761" s="198">
        <v>9.4377417292812797</v>
      </c>
      <c r="K761" s="198">
        <v>9.6257551703180102</v>
      </c>
      <c r="L761" s="191">
        <v>8.6670785304798397</v>
      </c>
      <c r="M761" s="198">
        <v>15.0820194606016</v>
      </c>
      <c r="N761" s="198">
        <v>11.2384648592906</v>
      </c>
      <c r="O761" s="198">
        <v>16.698356591464901</v>
      </c>
      <c r="P761" s="198">
        <v>10.824609291177801</v>
      </c>
      <c r="Q761" s="198">
        <v>13.2562441372176</v>
      </c>
      <c r="R761" s="198">
        <v>11.914693444083699</v>
      </c>
      <c r="S761" s="198">
        <v>12.2292390737031</v>
      </c>
      <c r="T761" s="198">
        <v>15.3403115046273</v>
      </c>
      <c r="U761" s="198">
        <v>17.213050146137899</v>
      </c>
      <c r="V761" s="198">
        <v>18.135333365965401</v>
      </c>
      <c r="W761" s="198">
        <v>9.8130096212488507</v>
      </c>
      <c r="X761" s="191">
        <v>7.0823567515435197</v>
      </c>
      <c r="Y761" s="198">
        <v>10.25</v>
      </c>
      <c r="Z761" s="198" t="s">
        <v>93</v>
      </c>
      <c r="AA761" s="198" t="s">
        <v>93</v>
      </c>
      <c r="AB761" s="198" t="s">
        <v>93</v>
      </c>
      <c r="AC761" s="198">
        <v>10.25</v>
      </c>
      <c r="AD761" s="191" t="s">
        <v>93</v>
      </c>
      <c r="AE761" s="199" t="s">
        <v>350</v>
      </c>
    </row>
    <row r="762" spans="2:31">
      <c r="B762" s="405" t="s">
        <v>351</v>
      </c>
      <c r="C762" s="198">
        <v>3.1676637176193898</v>
      </c>
      <c r="D762" s="198">
        <v>3.2423773386038501</v>
      </c>
      <c r="E762" s="198">
        <v>3.0981067798052502</v>
      </c>
      <c r="F762" s="198">
        <v>6.0057345001875602</v>
      </c>
      <c r="G762" s="198">
        <v>2.54623621555311</v>
      </c>
      <c r="H762" s="198">
        <v>2.9276672473747798</v>
      </c>
      <c r="I762" s="198">
        <v>2.9335439581852598</v>
      </c>
      <c r="J762" s="198">
        <v>3.0565029147234002</v>
      </c>
      <c r="K762" s="198">
        <v>3.2373468168134698</v>
      </c>
      <c r="L762" s="191">
        <v>2.1213099913678</v>
      </c>
      <c r="M762" s="198">
        <v>5.7131531574379899</v>
      </c>
      <c r="N762" s="198">
        <v>5.7909015468576097</v>
      </c>
      <c r="O762" s="198">
        <v>4.6030718108630602</v>
      </c>
      <c r="P762" s="198">
        <v>8.5997627903132496</v>
      </c>
      <c r="Q762" s="198">
        <v>5.0970261230811902</v>
      </c>
      <c r="R762" s="198">
        <v>6.7037724433508501</v>
      </c>
      <c r="S762" s="198">
        <v>6.1380017352765801</v>
      </c>
      <c r="T762" s="198">
        <v>5.96465985715035</v>
      </c>
      <c r="U762" s="198">
        <v>6.6832773428495598</v>
      </c>
      <c r="V762" s="198">
        <v>5.3876305833969402</v>
      </c>
      <c r="W762" s="198">
        <v>5.4174817484566997</v>
      </c>
      <c r="X762" s="191">
        <v>5.4731670197635198</v>
      </c>
      <c r="Y762" s="198">
        <v>11.410492430420099</v>
      </c>
      <c r="Z762" s="198">
        <v>16.495443014313199</v>
      </c>
      <c r="AA762" s="198" t="s">
        <v>93</v>
      </c>
      <c r="AB762" s="198" t="s">
        <v>93</v>
      </c>
      <c r="AC762" s="198">
        <v>4.4677537212449296</v>
      </c>
      <c r="AD762" s="191">
        <v>6.4481182795698899</v>
      </c>
      <c r="AE762" s="199" t="s">
        <v>207</v>
      </c>
    </row>
    <row r="763" spans="2:31">
      <c r="B763" s="374">
        <v>45870</v>
      </c>
      <c r="C763" s="198"/>
      <c r="D763" s="198"/>
      <c r="E763" s="198"/>
      <c r="F763" s="198"/>
      <c r="G763" s="198"/>
      <c r="H763" s="198"/>
      <c r="I763" s="198"/>
      <c r="J763" s="198"/>
      <c r="K763" s="198"/>
      <c r="L763" s="191"/>
      <c r="M763" s="198"/>
      <c r="N763" s="198"/>
      <c r="O763" s="198"/>
      <c r="P763" s="198"/>
      <c r="Q763" s="198"/>
      <c r="R763" s="198"/>
      <c r="S763" s="198"/>
      <c r="T763" s="198"/>
      <c r="U763" s="198"/>
      <c r="V763" s="198"/>
      <c r="W763" s="198"/>
      <c r="X763" s="191"/>
      <c r="Y763" s="198"/>
      <c r="Z763" s="198"/>
      <c r="AA763" s="198"/>
      <c r="AB763" s="198"/>
      <c r="AC763" s="198"/>
      <c r="AD763" s="191"/>
      <c r="AE763" s="374">
        <v>45870</v>
      </c>
    </row>
    <row r="764" spans="2:31">
      <c r="B764" s="405" t="s">
        <v>184</v>
      </c>
      <c r="C764" s="198">
        <v>8.9653702859900104</v>
      </c>
      <c r="D764" s="198">
        <v>7.2091749768004103</v>
      </c>
      <c r="E764" s="198">
        <v>10.2978166239191</v>
      </c>
      <c r="F764" s="198">
        <v>7.0489723805759699</v>
      </c>
      <c r="G764" s="198">
        <v>7.3333348149539903</v>
      </c>
      <c r="H764" s="198">
        <v>8.8770503254465591</v>
      </c>
      <c r="I764" s="198">
        <v>8.57863954579215</v>
      </c>
      <c r="J764" s="198">
        <v>9.5520533724150702</v>
      </c>
      <c r="K764" s="198">
        <v>9.6551082503745693</v>
      </c>
      <c r="L764" s="191">
        <v>8.6880298070337894</v>
      </c>
      <c r="M764" s="198">
        <v>15.2159721247943</v>
      </c>
      <c r="N764" s="198">
        <v>11.3743525504535</v>
      </c>
      <c r="O764" s="198">
        <v>16.801249547962101</v>
      </c>
      <c r="P764" s="198">
        <v>4.5873681256134704</v>
      </c>
      <c r="Q764" s="198">
        <v>13.2742515058719</v>
      </c>
      <c r="R764" s="198">
        <v>11.990830560253899</v>
      </c>
      <c r="S764" s="198">
        <v>12.264935359846</v>
      </c>
      <c r="T764" s="198">
        <v>15.447120117209</v>
      </c>
      <c r="U764" s="198">
        <v>17.3089888945774</v>
      </c>
      <c r="V764" s="198">
        <v>18.269068701207701</v>
      </c>
      <c r="W764" s="198">
        <v>10.081535192626401</v>
      </c>
      <c r="X764" s="191">
        <v>7.0940588247619001</v>
      </c>
      <c r="Y764" s="198">
        <v>10.25</v>
      </c>
      <c r="Z764" s="198" t="s">
        <v>93</v>
      </c>
      <c r="AA764" s="198" t="s">
        <v>93</v>
      </c>
      <c r="AB764" s="198" t="s">
        <v>93</v>
      </c>
      <c r="AC764" s="198">
        <v>10.25</v>
      </c>
      <c r="AD764" s="191" t="s">
        <v>93</v>
      </c>
      <c r="AE764" s="199" t="s">
        <v>350</v>
      </c>
    </row>
    <row r="765" spans="2:31">
      <c r="B765" s="405" t="s">
        <v>351</v>
      </c>
      <c r="C765" s="198">
        <v>3.2003669028752602</v>
      </c>
      <c r="D765" s="198">
        <v>3.2659540607350399</v>
      </c>
      <c r="E765" s="198">
        <v>3.1387051659051601</v>
      </c>
      <c r="F765" s="198">
        <v>3.2677349593964</v>
      </c>
      <c r="G765" s="198">
        <v>2.8036332575377898</v>
      </c>
      <c r="H765" s="198">
        <v>2.70700989164063</v>
      </c>
      <c r="I765" s="198">
        <v>3.1257596353944801</v>
      </c>
      <c r="J765" s="198">
        <v>3.1080132810502001</v>
      </c>
      <c r="K765" s="198">
        <v>3.3611353373529802</v>
      </c>
      <c r="L765" s="191">
        <v>2.09813261339532</v>
      </c>
      <c r="M765" s="198">
        <v>5.8023979815138098</v>
      </c>
      <c r="N765" s="198">
        <v>5.8797518697604998</v>
      </c>
      <c r="O765" s="198">
        <v>4.6483096900955303</v>
      </c>
      <c r="P765" s="198">
        <v>7.3015704375474204</v>
      </c>
      <c r="Q765" s="198">
        <v>5.0464009942275903</v>
      </c>
      <c r="R765" s="198">
        <v>6.8683680244294703</v>
      </c>
      <c r="S765" s="198">
        <v>6.1119924945495097</v>
      </c>
      <c r="T765" s="198">
        <v>6.0359597569961299</v>
      </c>
      <c r="U765" s="198">
        <v>6.8259053883415604</v>
      </c>
      <c r="V765" s="198">
        <v>5.5771348283044997</v>
      </c>
      <c r="W765" s="198">
        <v>5.4305711595988502</v>
      </c>
      <c r="X765" s="191">
        <v>5.4528889027550198</v>
      </c>
      <c r="Y765" s="198">
        <v>10.1160578098016</v>
      </c>
      <c r="Z765" s="198">
        <v>14.962882747259</v>
      </c>
      <c r="AA765" s="198" t="s">
        <v>93</v>
      </c>
      <c r="AB765" s="198" t="s">
        <v>93</v>
      </c>
      <c r="AC765" s="198">
        <v>4.4655546129655503</v>
      </c>
      <c r="AD765" s="191">
        <v>6.1165929203539804</v>
      </c>
      <c r="AE765" s="199" t="s">
        <v>207</v>
      </c>
    </row>
    <row r="766" spans="2:31">
      <c r="B766" s="374">
        <v>45901</v>
      </c>
      <c r="C766" s="198"/>
      <c r="D766" s="198"/>
      <c r="E766" s="198"/>
      <c r="F766" s="198"/>
      <c r="G766" s="198"/>
      <c r="H766" s="198"/>
      <c r="I766" s="198"/>
      <c r="J766" s="198"/>
      <c r="K766" s="198"/>
      <c r="L766" s="191"/>
      <c r="M766" s="198"/>
      <c r="N766" s="198"/>
      <c r="O766" s="198"/>
      <c r="P766" s="198"/>
      <c r="Q766" s="198"/>
      <c r="R766" s="198"/>
      <c r="S766" s="198"/>
      <c r="T766" s="198"/>
      <c r="U766" s="198"/>
      <c r="V766" s="198"/>
      <c r="W766" s="198"/>
      <c r="X766" s="191"/>
      <c r="Y766" s="198"/>
      <c r="Z766" s="198"/>
      <c r="AA766" s="198"/>
      <c r="AB766" s="198"/>
      <c r="AC766" s="198"/>
      <c r="AD766" s="191"/>
      <c r="AE766" s="374">
        <v>45901</v>
      </c>
    </row>
    <row r="767" spans="2:31">
      <c r="B767" s="405" t="s">
        <v>184</v>
      </c>
      <c r="C767" s="198">
        <v>9.0477941439406298</v>
      </c>
      <c r="D767" s="198">
        <v>7.1667307834977301</v>
      </c>
      <c r="E767" s="198">
        <v>10.299133084018299</v>
      </c>
      <c r="F767" s="198">
        <v>6.8687487970100003</v>
      </c>
      <c r="G767" s="198">
        <v>7.6805162193449803</v>
      </c>
      <c r="H767" s="198">
        <v>8.75710525978905</v>
      </c>
      <c r="I767" s="198">
        <v>8.5877547619488208</v>
      </c>
      <c r="J767" s="198">
        <v>9.60311040468358</v>
      </c>
      <c r="K767" s="198">
        <v>9.6837355906109099</v>
      </c>
      <c r="L767" s="191">
        <v>8.7503541639749205</v>
      </c>
      <c r="M767" s="198">
        <v>15.3058898640158</v>
      </c>
      <c r="N767" s="198">
        <v>11.409383593683</v>
      </c>
      <c r="O767" s="198">
        <v>16.902419920976399</v>
      </c>
      <c r="P767" s="198">
        <v>3.4795203068231402</v>
      </c>
      <c r="Q767" s="198">
        <v>13.4175954880065</v>
      </c>
      <c r="R767" s="198">
        <v>12.008560390818699</v>
      </c>
      <c r="S767" s="198">
        <v>12.425350003155099</v>
      </c>
      <c r="T767" s="198">
        <v>15.460859065303</v>
      </c>
      <c r="U767" s="198">
        <v>17.432354215490701</v>
      </c>
      <c r="V767" s="198">
        <v>18.397276323177401</v>
      </c>
      <c r="W767" s="198">
        <v>10.1580788892939</v>
      </c>
      <c r="X767" s="191">
        <v>7.1094966784922402</v>
      </c>
      <c r="Y767" s="198">
        <v>10.25</v>
      </c>
      <c r="Z767" s="198" t="s">
        <v>93</v>
      </c>
      <c r="AA767" s="198" t="s">
        <v>93</v>
      </c>
      <c r="AB767" s="198" t="s">
        <v>93</v>
      </c>
      <c r="AC767" s="198">
        <v>10.25</v>
      </c>
      <c r="AD767" s="191" t="s">
        <v>93</v>
      </c>
      <c r="AE767" s="199" t="s">
        <v>350</v>
      </c>
    </row>
    <row r="768" spans="2:31">
      <c r="B768" s="405" t="s">
        <v>351</v>
      </c>
      <c r="C768" s="198">
        <v>3.19511182872199</v>
      </c>
      <c r="D768" s="198">
        <v>3.24950097227094</v>
      </c>
      <c r="E768" s="198">
        <v>3.1431912440673302</v>
      </c>
      <c r="F768" s="198">
        <v>3.17982165853285</v>
      </c>
      <c r="G768" s="198">
        <v>2.6413506304329002</v>
      </c>
      <c r="H768" s="198">
        <v>2.8793817394135499</v>
      </c>
      <c r="I768" s="198">
        <v>3.3923564344311199</v>
      </c>
      <c r="J768" s="198">
        <v>3.0713607656150601</v>
      </c>
      <c r="K768" s="198">
        <v>3.3957538253831299</v>
      </c>
      <c r="L768" s="191">
        <v>2.0815602090774199</v>
      </c>
      <c r="M768" s="198">
        <v>5.8375484467926704</v>
      </c>
      <c r="N768" s="198">
        <v>5.9201286984962396</v>
      </c>
      <c r="O768" s="198">
        <v>4.6514373280643602</v>
      </c>
      <c r="P768" s="198">
        <v>7.4014607893387998</v>
      </c>
      <c r="Q768" s="198">
        <v>4.9808353807860799</v>
      </c>
      <c r="R768" s="198">
        <v>6.9126940776056403</v>
      </c>
      <c r="S768" s="198">
        <v>5.9746418405355302</v>
      </c>
      <c r="T768" s="198">
        <v>6.0778107089020601</v>
      </c>
      <c r="U768" s="198">
        <v>6.9244867822548901</v>
      </c>
      <c r="V768" s="198">
        <v>5.6504805695166098</v>
      </c>
      <c r="W768" s="198">
        <v>5.4338480886889498</v>
      </c>
      <c r="X768" s="191">
        <v>5.4591043665544499</v>
      </c>
      <c r="Y768" s="198">
        <v>7.97243786947472</v>
      </c>
      <c r="Z768" s="198">
        <v>13.371678140093101</v>
      </c>
      <c r="AA768" s="198" t="s">
        <v>93</v>
      </c>
      <c r="AB768" s="198" t="s">
        <v>93</v>
      </c>
      <c r="AC768" s="198">
        <v>4.2013822402512702</v>
      </c>
      <c r="AD768" s="191">
        <v>5.6036049207376903</v>
      </c>
      <c r="AE768" s="199" t="s">
        <v>207</v>
      </c>
    </row>
    <row r="769" spans="2:31">
      <c r="B769" s="374">
        <v>45931</v>
      </c>
      <c r="C769" s="198"/>
      <c r="D769" s="198"/>
      <c r="E769" s="198"/>
      <c r="F769" s="198"/>
      <c r="G769" s="198"/>
      <c r="H769" s="198"/>
      <c r="I769" s="198"/>
      <c r="J769" s="198"/>
      <c r="K769" s="198"/>
      <c r="L769" s="191"/>
      <c r="M769" s="198"/>
      <c r="N769" s="198"/>
      <c r="O769" s="198"/>
      <c r="P769" s="198"/>
      <c r="Q769" s="198"/>
      <c r="R769" s="198"/>
      <c r="S769" s="198"/>
      <c r="T769" s="198"/>
      <c r="U769" s="198"/>
      <c r="V769" s="198"/>
      <c r="W769" s="198"/>
      <c r="X769" s="191"/>
      <c r="Y769" s="198"/>
      <c r="Z769" s="198"/>
      <c r="AA769" s="198"/>
      <c r="AB769" s="198"/>
      <c r="AC769" s="198"/>
      <c r="AD769" s="191"/>
      <c r="AE769" s="374">
        <v>45931</v>
      </c>
    </row>
    <row r="770" spans="2:31">
      <c r="B770" s="405" t="s">
        <v>184</v>
      </c>
      <c r="C770" s="198">
        <v>9.1174212925342797</v>
      </c>
      <c r="D770" s="198">
        <v>7.1232017531071703</v>
      </c>
      <c r="E770" s="198">
        <v>10.316117395602101</v>
      </c>
      <c r="F770" s="198">
        <v>6.8156181962954898</v>
      </c>
      <c r="G770" s="198">
        <v>7.5524303678129003</v>
      </c>
      <c r="H770" s="198">
        <v>8.5986782602164702</v>
      </c>
      <c r="I770" s="198">
        <v>8.7267630705638393</v>
      </c>
      <c r="J770" s="198">
        <v>9.6828014971380902</v>
      </c>
      <c r="K770" s="198">
        <v>9.74216916666761</v>
      </c>
      <c r="L770" s="191">
        <v>8.7403303825135108</v>
      </c>
      <c r="M770" s="198">
        <v>15.311145392654099</v>
      </c>
      <c r="N770" s="198">
        <v>11.4810343363804</v>
      </c>
      <c r="O770" s="198">
        <v>16.9058066407739</v>
      </c>
      <c r="P770" s="198">
        <v>11.824571682540499</v>
      </c>
      <c r="Q770" s="198">
        <v>12.7006337808666</v>
      </c>
      <c r="R770" s="198">
        <v>11.988164028058</v>
      </c>
      <c r="S770" s="198">
        <v>12.5495120397898</v>
      </c>
      <c r="T770" s="198">
        <v>15.295658067266601</v>
      </c>
      <c r="U770" s="198">
        <v>17.479275114318099</v>
      </c>
      <c r="V770" s="198">
        <v>18.418006465051601</v>
      </c>
      <c r="W770" s="198">
        <v>10.1245598381824</v>
      </c>
      <c r="X770" s="191">
        <v>7.1142167225827198</v>
      </c>
      <c r="Y770" s="198">
        <v>8</v>
      </c>
      <c r="Z770" s="198" t="s">
        <v>93</v>
      </c>
      <c r="AA770" s="198" t="s">
        <v>93</v>
      </c>
      <c r="AB770" s="198" t="s">
        <v>93</v>
      </c>
      <c r="AC770" s="198" t="s">
        <v>93</v>
      </c>
      <c r="AD770" s="191">
        <v>8</v>
      </c>
      <c r="AE770" s="199" t="s">
        <v>350</v>
      </c>
    </row>
    <row r="771" spans="2:31">
      <c r="B771" s="405" t="s">
        <v>351</v>
      </c>
      <c r="C771" s="198">
        <v>3.1897384639036899</v>
      </c>
      <c r="D771" s="198">
        <v>3.2439783734221499</v>
      </c>
      <c r="E771" s="198">
        <v>3.1368683028569699</v>
      </c>
      <c r="F771" s="198">
        <v>1.7355198059594701</v>
      </c>
      <c r="G771" s="198">
        <v>2.64790547898731</v>
      </c>
      <c r="H771" s="198">
        <v>2.9271559657756301</v>
      </c>
      <c r="I771" s="198">
        <v>3.30518709314221</v>
      </c>
      <c r="J771" s="198">
        <v>3.09083965812638</v>
      </c>
      <c r="K771" s="198">
        <v>3.3602649709171901</v>
      </c>
      <c r="L771" s="191">
        <v>2.3219612269738299</v>
      </c>
      <c r="M771" s="198">
        <v>5.7983633006226203</v>
      </c>
      <c r="N771" s="198">
        <v>5.8693472761608696</v>
      </c>
      <c r="O771" s="198">
        <v>4.7498254089783201</v>
      </c>
      <c r="P771" s="198">
        <v>6.8902539577836404</v>
      </c>
      <c r="Q771" s="198">
        <v>5.0101830791072404</v>
      </c>
      <c r="R771" s="198">
        <v>6.99667432434092</v>
      </c>
      <c r="S771" s="198">
        <v>5.0998980311936402</v>
      </c>
      <c r="T771" s="198">
        <v>6.1995785708859099</v>
      </c>
      <c r="U771" s="198">
        <v>6.9536173154173104</v>
      </c>
      <c r="V771" s="198">
        <v>5.6320619932935703</v>
      </c>
      <c r="W771" s="198">
        <v>5.4159279969316403</v>
      </c>
      <c r="X771" s="191">
        <v>5.4425598142166196</v>
      </c>
      <c r="Y771" s="198">
        <v>6.9141834377043203</v>
      </c>
      <c r="Z771" s="198">
        <v>11.717459772390299</v>
      </c>
      <c r="AA771" s="198" t="s">
        <v>93</v>
      </c>
      <c r="AB771" s="198" t="s">
        <v>93</v>
      </c>
      <c r="AC771" s="198">
        <v>4.6480236609675103</v>
      </c>
      <c r="AD771" s="191">
        <v>5.60220879349865</v>
      </c>
      <c r="AE771" s="199" t="s">
        <v>207</v>
      </c>
    </row>
    <row r="772" spans="2:31">
      <c r="B772" s="374">
        <v>45962</v>
      </c>
      <c r="C772" s="198"/>
      <c r="D772" s="198"/>
      <c r="E772" s="198"/>
      <c r="F772" s="198"/>
      <c r="G772" s="198"/>
      <c r="H772" s="198"/>
      <c r="I772" s="198"/>
      <c r="J772" s="198"/>
      <c r="K772" s="198"/>
      <c r="L772" s="191"/>
      <c r="M772" s="198"/>
      <c r="N772" s="198"/>
      <c r="O772" s="198"/>
      <c r="P772" s="198"/>
      <c r="Q772" s="198"/>
      <c r="R772" s="198"/>
      <c r="S772" s="198"/>
      <c r="T772" s="198"/>
      <c r="U772" s="198"/>
      <c r="V772" s="198"/>
      <c r="W772" s="198"/>
      <c r="X772" s="191"/>
      <c r="Y772" s="198"/>
      <c r="Z772" s="198"/>
      <c r="AA772" s="198"/>
      <c r="AB772" s="198"/>
      <c r="AC772" s="198"/>
      <c r="AD772" s="191"/>
      <c r="AE772" s="374">
        <v>45962</v>
      </c>
    </row>
    <row r="773" spans="2:31">
      <c r="B773" s="405" t="s">
        <v>184</v>
      </c>
      <c r="C773" s="198">
        <v>8.9999946717470003</v>
      </c>
      <c r="D773" s="198">
        <v>7.0958033004375496</v>
      </c>
      <c r="E773" s="198">
        <v>10.298505838910501</v>
      </c>
      <c r="F773" s="198">
        <v>6.9368940662985104</v>
      </c>
      <c r="G773" s="198">
        <v>8.2966298152048292</v>
      </c>
      <c r="H773" s="198">
        <v>8.4956239791427404</v>
      </c>
      <c r="I773" s="198">
        <v>8.0495431732161595</v>
      </c>
      <c r="J773" s="198">
        <v>9.5362346246640506</v>
      </c>
      <c r="K773" s="198">
        <v>9.7829471075218599</v>
      </c>
      <c r="L773" s="191">
        <v>8.8271209587089405</v>
      </c>
      <c r="M773" s="198">
        <v>15.420640722187599</v>
      </c>
      <c r="N773" s="198">
        <v>11.584877060251999</v>
      </c>
      <c r="O773" s="198">
        <v>17.013547510744601</v>
      </c>
      <c r="P773" s="198">
        <v>6.3091435362879702</v>
      </c>
      <c r="Q773" s="198">
        <v>12.483256231781199</v>
      </c>
      <c r="R773" s="198">
        <v>12.2714234844162</v>
      </c>
      <c r="S773" s="198">
        <v>12.593928830351601</v>
      </c>
      <c r="T773" s="198">
        <v>15.6196687476862</v>
      </c>
      <c r="U773" s="198">
        <v>17.615572735600299</v>
      </c>
      <c r="V773" s="198">
        <v>18.495885058028598</v>
      </c>
      <c r="W773" s="198">
        <v>10.1455259656779</v>
      </c>
      <c r="X773" s="191">
        <v>7.1062378734468403</v>
      </c>
      <c r="Y773" s="198" t="s">
        <v>93</v>
      </c>
      <c r="Z773" s="198" t="s">
        <v>93</v>
      </c>
      <c r="AA773" s="198" t="s">
        <v>93</v>
      </c>
      <c r="AB773" s="198" t="s">
        <v>93</v>
      </c>
      <c r="AC773" s="198" t="s">
        <v>93</v>
      </c>
      <c r="AD773" s="191" t="s">
        <v>93</v>
      </c>
      <c r="AE773" s="199" t="s">
        <v>350</v>
      </c>
    </row>
    <row r="774" spans="2:31">
      <c r="B774" s="405" t="s">
        <v>351</v>
      </c>
      <c r="C774" s="198">
        <v>3.1927462609333102</v>
      </c>
      <c r="D774" s="198">
        <v>3.2476876882746999</v>
      </c>
      <c r="E774" s="198">
        <v>3.1399161902481199</v>
      </c>
      <c r="F774" s="198">
        <v>1.4858091251158001</v>
      </c>
      <c r="G774" s="198">
        <v>2.8168166376255499</v>
      </c>
      <c r="H774" s="198">
        <v>2.94804726432913</v>
      </c>
      <c r="I774" s="198">
        <v>3.0138469004590802</v>
      </c>
      <c r="J774" s="198">
        <v>3.0812243894100702</v>
      </c>
      <c r="K774" s="198">
        <v>3.3598537184233601</v>
      </c>
      <c r="L774" s="191">
        <v>2.5819455354547198</v>
      </c>
      <c r="M774" s="198">
        <v>5.7773547838446797</v>
      </c>
      <c r="N774" s="198">
        <v>5.8454309084844498</v>
      </c>
      <c r="O774" s="198">
        <v>4.7655554173881898</v>
      </c>
      <c r="P774" s="198">
        <v>6.3059187214343897</v>
      </c>
      <c r="Q774" s="198">
        <v>5.1187531506964499</v>
      </c>
      <c r="R774" s="198">
        <v>7.2046259009842899</v>
      </c>
      <c r="S774" s="198">
        <v>5.0554507884403002</v>
      </c>
      <c r="T774" s="198">
        <v>6.2084532009843096</v>
      </c>
      <c r="U774" s="198">
        <v>7.02285434805819</v>
      </c>
      <c r="V774" s="198">
        <v>5.7057605861304399</v>
      </c>
      <c r="W774" s="198">
        <v>5.3117304830942604</v>
      </c>
      <c r="X774" s="191">
        <v>5.4324262412659401</v>
      </c>
      <c r="Y774" s="198">
        <v>6.2392953900445303</v>
      </c>
      <c r="Z774" s="198">
        <v>10.022398228763301</v>
      </c>
      <c r="AA774" s="198" t="s">
        <v>93</v>
      </c>
      <c r="AB774" s="198" t="s">
        <v>93</v>
      </c>
      <c r="AC774" s="198">
        <v>4.5981963070454297</v>
      </c>
      <c r="AD774" s="191">
        <v>5.6055907128787599</v>
      </c>
      <c r="AE774" s="199" t="s">
        <v>207</v>
      </c>
    </row>
    <row r="775" spans="2:31">
      <c r="B775" s="374">
        <v>45992</v>
      </c>
      <c r="C775" s="198"/>
      <c r="D775" s="198"/>
      <c r="E775" s="198"/>
      <c r="F775" s="198"/>
      <c r="G775" s="198"/>
      <c r="H775" s="198"/>
      <c r="I775" s="198"/>
      <c r="J775" s="198"/>
      <c r="K775" s="198"/>
      <c r="L775" s="191"/>
      <c r="M775" s="198"/>
      <c r="N775" s="198"/>
      <c r="O775" s="198"/>
      <c r="P775" s="198"/>
      <c r="Q775" s="198"/>
      <c r="R775" s="198"/>
      <c r="S775" s="198"/>
      <c r="T775" s="198"/>
      <c r="U775" s="198"/>
      <c r="V775" s="198"/>
      <c r="W775" s="198"/>
      <c r="X775" s="191"/>
      <c r="Y775" s="198"/>
      <c r="Z775" s="198"/>
      <c r="AA775" s="198"/>
      <c r="AB775" s="198"/>
      <c r="AC775" s="198"/>
      <c r="AD775" s="191"/>
      <c r="AE775" s="374">
        <v>45992</v>
      </c>
    </row>
    <row r="776" spans="2:31">
      <c r="B776" s="405" t="s">
        <v>184</v>
      </c>
      <c r="C776" s="198">
        <v>8.9116887323983605</v>
      </c>
      <c r="D776" s="198">
        <v>7.0877406272280998</v>
      </c>
      <c r="E776" s="198">
        <v>10.285781172053801</v>
      </c>
      <c r="F776" s="198">
        <v>6.9129574281639599</v>
      </c>
      <c r="G776" s="198">
        <v>8.5919273126924907</v>
      </c>
      <c r="H776" s="198">
        <v>8.4904411410577207</v>
      </c>
      <c r="I776" s="198">
        <v>8.1056979233666695</v>
      </c>
      <c r="J776" s="198">
        <v>9.4789129925034299</v>
      </c>
      <c r="K776" s="198">
        <v>9.8030667966804206</v>
      </c>
      <c r="L776" s="191">
        <v>8.9470799066042108</v>
      </c>
      <c r="M776" s="198">
        <v>15.5787102928919</v>
      </c>
      <c r="N776" s="198">
        <v>11.6589788966568</v>
      </c>
      <c r="O776" s="198">
        <v>17.210040192762602</v>
      </c>
      <c r="P776" s="198">
        <v>11.3484167005732</v>
      </c>
      <c r="Q776" s="210">
        <v>12.5455024477256</v>
      </c>
      <c r="R776" s="198">
        <v>12.4358991508784</v>
      </c>
      <c r="S776" s="198">
        <v>12.7599021059075</v>
      </c>
      <c r="T776" s="198">
        <v>15.487277233095099</v>
      </c>
      <c r="U776" s="198">
        <v>17.8547369257968</v>
      </c>
      <c r="V776" s="198">
        <v>18.523414066356398</v>
      </c>
      <c r="W776" s="198">
        <v>10.2481386451106</v>
      </c>
      <c r="X776" s="191">
        <v>7.4933072617703598</v>
      </c>
      <c r="Y776" s="198" t="s">
        <v>93</v>
      </c>
      <c r="Z776" s="198" t="s">
        <v>93</v>
      </c>
      <c r="AA776" s="198" t="s">
        <v>93</v>
      </c>
      <c r="AB776" s="198" t="s">
        <v>93</v>
      </c>
      <c r="AC776" s="198" t="s">
        <v>93</v>
      </c>
      <c r="AD776" s="411" t="s">
        <v>93</v>
      </c>
      <c r="AE776" s="199" t="s">
        <v>350</v>
      </c>
    </row>
    <row r="777" spans="2:31">
      <c r="B777" s="405" t="s">
        <v>351</v>
      </c>
      <c r="C777" s="198">
        <v>3.18236012003337</v>
      </c>
      <c r="D777" s="198">
        <v>3.2407085896355401</v>
      </c>
      <c r="E777" s="198">
        <v>3.12525698763648</v>
      </c>
      <c r="F777" s="198">
        <v>1.96023561442237</v>
      </c>
      <c r="G777" s="198">
        <v>2.8111458440347401</v>
      </c>
      <c r="H777" s="198">
        <v>2.7253698176865599</v>
      </c>
      <c r="I777" s="198">
        <v>3.0068169999089398</v>
      </c>
      <c r="J777" s="198">
        <v>3.0777745000619401</v>
      </c>
      <c r="K777" s="198">
        <v>3.3506258828745001</v>
      </c>
      <c r="L777" s="191">
        <v>2.5647774963355299</v>
      </c>
      <c r="M777" s="198">
        <v>5.7957534887389199</v>
      </c>
      <c r="N777" s="210">
        <v>5.86650919990403</v>
      </c>
      <c r="O777" s="198">
        <v>4.7350439708615202</v>
      </c>
      <c r="P777" s="198">
        <v>6.2653147357043597</v>
      </c>
      <c r="Q777" s="198">
        <v>4.9193281506444499</v>
      </c>
      <c r="R777" s="198">
        <v>7.2020207391089999</v>
      </c>
      <c r="S777" s="198">
        <v>5.0119774960663399</v>
      </c>
      <c r="T777" s="198">
        <v>6.2375553655743703</v>
      </c>
      <c r="U777" s="198">
        <v>7.0036730252708796</v>
      </c>
      <c r="V777" s="198">
        <v>5.6996371971870703</v>
      </c>
      <c r="W777" s="198">
        <v>5.3501637144086098</v>
      </c>
      <c r="X777" s="191">
        <v>5.4219790537115298</v>
      </c>
      <c r="Y777" s="198">
        <v>6.5784744258302998</v>
      </c>
      <c r="Z777" s="210">
        <v>10.8564841810226</v>
      </c>
      <c r="AA777" s="198" t="s">
        <v>93</v>
      </c>
      <c r="AB777" s="198" t="s">
        <v>93</v>
      </c>
      <c r="AC777" s="198">
        <v>4.6088079703283</v>
      </c>
      <c r="AD777" s="191">
        <v>5.6052356020942398</v>
      </c>
      <c r="AE777" s="199" t="s">
        <v>207</v>
      </c>
    </row>
    <row r="778" spans="2:31">
      <c r="B778" s="374">
        <v>46023</v>
      </c>
      <c r="C778" s="198"/>
      <c r="D778" s="198"/>
      <c r="E778" s="198"/>
      <c r="F778" s="198"/>
      <c r="G778" s="198"/>
      <c r="H778" s="198"/>
      <c r="I778" s="198"/>
      <c r="J778" s="198"/>
      <c r="K778" s="198"/>
      <c r="L778" s="191"/>
      <c r="M778" s="198"/>
      <c r="N778" s="198"/>
      <c r="O778" s="198"/>
      <c r="P778" s="198"/>
      <c r="Q778" s="198"/>
      <c r="R778" s="198"/>
      <c r="S778" s="198"/>
      <c r="T778" s="198"/>
      <c r="U778" s="198"/>
      <c r="V778" s="198"/>
      <c r="W778" s="198"/>
      <c r="X778" s="191"/>
      <c r="Y778" s="198"/>
      <c r="Z778" s="198"/>
      <c r="AA778" s="198"/>
      <c r="AB778" s="198"/>
      <c r="AC778" s="198"/>
      <c r="AD778" s="191"/>
      <c r="AE778" s="374">
        <v>46023</v>
      </c>
    </row>
    <row r="779" spans="2:31">
      <c r="B779" s="199" t="s">
        <v>184</v>
      </c>
      <c r="C779" s="198">
        <v>9.4415003855549102</v>
      </c>
      <c r="D779" s="198">
        <v>7.15093008797834</v>
      </c>
      <c r="E779" s="198">
        <v>10.257152581871001</v>
      </c>
      <c r="F779" s="198">
        <v>5.4892693504037204</v>
      </c>
      <c r="G779" s="198">
        <v>8.1798865110052095</v>
      </c>
      <c r="H779" s="198">
        <v>8.5624263759083004</v>
      </c>
      <c r="I779" s="198">
        <v>8.0967760113212197</v>
      </c>
      <c r="J779" s="198">
        <v>9.41655646136992</v>
      </c>
      <c r="K779" s="198">
        <v>9.8722544521899795</v>
      </c>
      <c r="L779" s="191">
        <v>7.8981870882450202</v>
      </c>
      <c r="M779" s="198">
        <v>15.444453868523899</v>
      </c>
      <c r="N779" s="198">
        <v>11.627532518747</v>
      </c>
      <c r="O779" s="198">
        <v>17.074783369544001</v>
      </c>
      <c r="P779" s="198">
        <v>4.6377320247344196</v>
      </c>
      <c r="Q779" s="210">
        <v>12.030338877613101</v>
      </c>
      <c r="R779" s="198">
        <v>12.256940320546599</v>
      </c>
      <c r="S779" s="198">
        <v>12.6556949831621</v>
      </c>
      <c r="T779" s="198">
        <v>15.4843693082599</v>
      </c>
      <c r="U779" s="198">
        <v>17.7225524559632</v>
      </c>
      <c r="V779" s="198">
        <v>18.5498543277509</v>
      </c>
      <c r="W779" s="198">
        <v>10.1508874949382</v>
      </c>
      <c r="X779" s="191">
        <v>7.1119538731120002</v>
      </c>
      <c r="Y779" s="198" t="s">
        <v>93</v>
      </c>
      <c r="Z779" s="198" t="s">
        <v>93</v>
      </c>
      <c r="AA779" s="198" t="s">
        <v>93</v>
      </c>
      <c r="AB779" s="198" t="s">
        <v>93</v>
      </c>
      <c r="AC779" s="198" t="s">
        <v>93</v>
      </c>
      <c r="AD779" s="411" t="s">
        <v>93</v>
      </c>
      <c r="AE779" s="199" t="s">
        <v>350</v>
      </c>
    </row>
    <row r="780" spans="2:31">
      <c r="B780" s="405" t="s">
        <v>351</v>
      </c>
      <c r="C780" s="198">
        <v>3.1760948142588301</v>
      </c>
      <c r="D780" s="198">
        <v>3.1890972831373001</v>
      </c>
      <c r="E780" s="198">
        <v>3.1638436956456499</v>
      </c>
      <c r="F780" s="198">
        <v>1.9990762377378</v>
      </c>
      <c r="G780" s="198">
        <v>3.09983657794157</v>
      </c>
      <c r="H780" s="198">
        <v>2.5765707974299001</v>
      </c>
      <c r="I780" s="198">
        <v>3.28196946295806</v>
      </c>
      <c r="J780" s="198">
        <v>3.03900315789677</v>
      </c>
      <c r="K780" s="198">
        <v>3.3509738498271102</v>
      </c>
      <c r="L780" s="191">
        <v>2.8182246497813002</v>
      </c>
      <c r="M780" s="198">
        <v>5.8009662294975302</v>
      </c>
      <c r="N780" s="210">
        <v>5.9005094080443499</v>
      </c>
      <c r="O780" s="198">
        <v>4.5705295241363997</v>
      </c>
      <c r="P780" s="198">
        <v>6.0806307617661304</v>
      </c>
      <c r="Q780" s="198">
        <v>4.8865733005931897</v>
      </c>
      <c r="R780" s="198">
        <v>6.13814397554144</v>
      </c>
      <c r="S780" s="198">
        <v>5.1114913038263099</v>
      </c>
      <c r="T780" s="198">
        <v>6.1953185277171103</v>
      </c>
      <c r="U780" s="198">
        <v>7.0997174916691099</v>
      </c>
      <c r="V780" s="198">
        <v>5.6983566965375099</v>
      </c>
      <c r="W780" s="198">
        <v>5.3870184270957502</v>
      </c>
      <c r="X780" s="191">
        <v>5.4128667546190901</v>
      </c>
      <c r="Y780" s="198">
        <v>6.2952331373327404</v>
      </c>
      <c r="Z780" s="210">
        <v>9.4844408614534093</v>
      </c>
      <c r="AA780" s="198" t="s">
        <v>93</v>
      </c>
      <c r="AB780" s="198" t="s">
        <v>93</v>
      </c>
      <c r="AC780" s="198">
        <v>4.4953851736203401</v>
      </c>
      <c r="AD780" s="191">
        <v>6.13163587951406</v>
      </c>
      <c r="AE780" s="199" t="s">
        <v>207</v>
      </c>
    </row>
    <row r="781" spans="2:31">
      <c r="B781" s="374">
        <v>46054</v>
      </c>
      <c r="C781" s="198"/>
      <c r="D781" s="198"/>
      <c r="E781" s="198"/>
      <c r="F781" s="198"/>
      <c r="G781" s="198"/>
      <c r="H781" s="198"/>
      <c r="I781" s="198"/>
      <c r="J781" s="198"/>
      <c r="K781" s="198"/>
      <c r="L781" s="191"/>
      <c r="M781" s="198"/>
      <c r="N781" s="198"/>
      <c r="O781" s="198"/>
      <c r="P781" s="198"/>
      <c r="Q781" s="198"/>
      <c r="R781" s="198"/>
      <c r="S781" s="198"/>
      <c r="T781" s="198"/>
      <c r="U781" s="198"/>
      <c r="V781" s="198"/>
      <c r="W781" s="198"/>
      <c r="X781" s="191"/>
      <c r="Y781" s="198"/>
      <c r="Z781" s="198"/>
      <c r="AA781" s="198"/>
      <c r="AB781" s="198"/>
      <c r="AC781" s="198"/>
      <c r="AD781" s="191"/>
      <c r="AE781" s="374">
        <v>46054</v>
      </c>
    </row>
    <row r="782" spans="2:31">
      <c r="B782" s="199" t="s">
        <v>184</v>
      </c>
      <c r="C782" s="198">
        <v>9.4162721077264404</v>
      </c>
      <c r="D782" s="198">
        <v>7.1653409081109896</v>
      </c>
      <c r="E782" s="198">
        <v>10.2222153086087</v>
      </c>
      <c r="F782" s="198">
        <v>5.68889683323009</v>
      </c>
      <c r="G782" s="198">
        <v>8.0059686707236093</v>
      </c>
      <c r="H782" s="198">
        <v>8.21599409735229</v>
      </c>
      <c r="I782" s="198">
        <v>8.0255834133481407</v>
      </c>
      <c r="J782" s="198">
        <v>9.3279555231764792</v>
      </c>
      <c r="K782" s="198">
        <v>9.9136714181677004</v>
      </c>
      <c r="L782" s="191">
        <v>9.1870569765030901</v>
      </c>
      <c r="M782" s="198">
        <v>15.6241054538424</v>
      </c>
      <c r="N782" s="198">
        <v>11.805907300475701</v>
      </c>
      <c r="O782" s="198">
        <v>17.216329110754199</v>
      </c>
      <c r="P782" s="198">
        <v>3.4052842281978899</v>
      </c>
      <c r="Q782" s="210">
        <v>12.1589198501169</v>
      </c>
      <c r="R782" s="198">
        <v>12.3284097048763</v>
      </c>
      <c r="S782" s="198">
        <v>12.705467263788799</v>
      </c>
      <c r="T782" s="198">
        <v>15.736633049929001</v>
      </c>
      <c r="U782" s="198">
        <v>17.877597648069202</v>
      </c>
      <c r="V782" s="198">
        <v>18.752287319198999</v>
      </c>
      <c r="W782" s="198">
        <v>10.1629694786775</v>
      </c>
      <c r="X782" s="191">
        <v>7.1089338980074999</v>
      </c>
      <c r="Y782" s="198" t="s">
        <v>93</v>
      </c>
      <c r="Z782" s="198" t="s">
        <v>93</v>
      </c>
      <c r="AA782" s="198" t="s">
        <v>93</v>
      </c>
      <c r="AB782" s="198" t="s">
        <v>93</v>
      </c>
      <c r="AC782" s="198" t="s">
        <v>93</v>
      </c>
      <c r="AD782" s="411" t="s">
        <v>93</v>
      </c>
      <c r="AE782" s="199" t="s">
        <v>350</v>
      </c>
    </row>
    <row r="783" spans="2:31">
      <c r="B783" s="199" t="s">
        <v>351</v>
      </c>
      <c r="C783" s="198">
        <v>3.1549440124620101</v>
      </c>
      <c r="D783" s="198">
        <v>3.1601788761810599</v>
      </c>
      <c r="E783" s="198">
        <v>3.14992819590725</v>
      </c>
      <c r="F783" s="198">
        <v>2.8239659432310802</v>
      </c>
      <c r="G783" s="198">
        <v>2.9630405194887302</v>
      </c>
      <c r="H783" s="198">
        <v>2.6043182378409302</v>
      </c>
      <c r="I783" s="198">
        <v>3.0458688087028798</v>
      </c>
      <c r="J783" s="198">
        <v>3.0057009406439801</v>
      </c>
      <c r="K783" s="198">
        <v>3.3469407486726301</v>
      </c>
      <c r="L783" s="191">
        <v>2.8327013471230602</v>
      </c>
      <c r="M783" s="198">
        <v>5.8110414503591601</v>
      </c>
      <c r="N783" s="198">
        <v>5.9122234858441001</v>
      </c>
      <c r="O783" s="198">
        <v>4.5217940509545196</v>
      </c>
      <c r="P783" s="198">
        <v>5.2993276494555399</v>
      </c>
      <c r="Q783" s="198">
        <v>5.10006556086421</v>
      </c>
      <c r="R783" s="198">
        <v>6.2081109500932596</v>
      </c>
      <c r="S783" s="198">
        <v>5.0589574841615601</v>
      </c>
      <c r="T783" s="198">
        <v>6.3579694336936203</v>
      </c>
      <c r="U783" s="198">
        <v>7.2571288981067301</v>
      </c>
      <c r="V783" s="198">
        <v>5.7357980061289702</v>
      </c>
      <c r="W783" s="198">
        <v>5.3221867259868096</v>
      </c>
      <c r="X783" s="191">
        <v>5.41332964551433</v>
      </c>
      <c r="Y783" s="198">
        <v>6.5613693710666396</v>
      </c>
      <c r="Z783" s="198">
        <v>10.2224869736923</v>
      </c>
      <c r="AA783" s="198" t="s">
        <v>93</v>
      </c>
      <c r="AB783" s="198" t="s">
        <v>93</v>
      </c>
      <c r="AC783" s="198">
        <v>4.4292204135988902</v>
      </c>
      <c r="AD783" s="191">
        <v>6.1257812176648301</v>
      </c>
      <c r="AE783" s="199" t="s">
        <v>207</v>
      </c>
    </row>
    <row r="784" spans="2:31">
      <c r="B784" s="374">
        <v>46082</v>
      </c>
      <c r="C784" s="198"/>
      <c r="D784" s="198"/>
      <c r="E784" s="198"/>
      <c r="F784" s="198"/>
      <c r="G784" s="198"/>
      <c r="H784" s="198"/>
      <c r="I784" s="198"/>
      <c r="J784" s="198"/>
      <c r="K784" s="198"/>
      <c r="L784" s="191"/>
      <c r="M784" s="198"/>
      <c r="N784" s="198"/>
      <c r="O784" s="198"/>
      <c r="P784" s="198"/>
      <c r="Q784" s="198"/>
      <c r="R784" s="198"/>
      <c r="S784" s="198"/>
      <c r="T784" s="198"/>
      <c r="U784" s="198"/>
      <c r="V784" s="198"/>
      <c r="W784" s="198"/>
      <c r="X784" s="191"/>
      <c r="Y784" s="198"/>
      <c r="Z784" s="198"/>
      <c r="AA784" s="198"/>
      <c r="AB784" s="198"/>
      <c r="AC784" s="198"/>
      <c r="AD784" s="191"/>
      <c r="AE784" s="374">
        <v>46082</v>
      </c>
    </row>
    <row r="785" spans="2:32">
      <c r="B785" s="199" t="s">
        <v>184</v>
      </c>
      <c r="C785" s="198">
        <v>9.47321020885067</v>
      </c>
      <c r="D785" s="198">
        <v>7.2327515985060904</v>
      </c>
      <c r="E785" s="198">
        <v>10.209159737196201</v>
      </c>
      <c r="F785" s="198">
        <v>6.1864574364646598</v>
      </c>
      <c r="G785" s="198">
        <v>8.4094996716737302</v>
      </c>
      <c r="H785" s="198">
        <v>8.3683950152105702</v>
      </c>
      <c r="I785" s="198">
        <v>7.9934089763851697</v>
      </c>
      <c r="J785" s="198">
        <v>9.2819326227977204</v>
      </c>
      <c r="K785" s="198">
        <v>9.9298112680793</v>
      </c>
      <c r="L785" s="191">
        <v>9.1983226835961496</v>
      </c>
      <c r="M785" s="198">
        <v>15.549378938851101</v>
      </c>
      <c r="N785" s="198">
        <v>11.6773215241071</v>
      </c>
      <c r="O785" s="198">
        <v>17.169091878379099</v>
      </c>
      <c r="P785" s="198">
        <v>6.9006608283110502</v>
      </c>
      <c r="Q785" s="210">
        <v>11.8119093795847</v>
      </c>
      <c r="R785" s="198">
        <v>12.535803476485199</v>
      </c>
      <c r="S785" s="198">
        <v>12.4284005225161</v>
      </c>
      <c r="T785" s="198">
        <v>15.685289458770701</v>
      </c>
      <c r="U785" s="198">
        <v>17.848015542670201</v>
      </c>
      <c r="V785" s="198">
        <v>18.608834197823001</v>
      </c>
      <c r="W785" s="198">
        <v>9.9766351396145101</v>
      </c>
      <c r="X785" s="191">
        <v>7.1027721141785403</v>
      </c>
      <c r="Y785" s="198" t="s">
        <v>93</v>
      </c>
      <c r="Z785" s="198" t="s">
        <v>93</v>
      </c>
      <c r="AA785" s="198" t="s">
        <v>93</v>
      </c>
      <c r="AB785" s="198" t="s">
        <v>93</v>
      </c>
      <c r="AC785" s="198" t="s">
        <v>93</v>
      </c>
      <c r="AD785" s="411" t="s">
        <v>93</v>
      </c>
      <c r="AE785" s="199" t="s">
        <v>350</v>
      </c>
      <c r="AF785" s="200"/>
    </row>
    <row r="786" spans="2:32">
      <c r="B786" s="199" t="s">
        <v>351</v>
      </c>
      <c r="C786" s="198">
        <v>3.13154525445636</v>
      </c>
      <c r="D786" s="198">
        <v>3.1530758689223699</v>
      </c>
      <c r="E786" s="198">
        <v>3.1109524111601199</v>
      </c>
      <c r="F786" s="198">
        <v>2.8113385368522099</v>
      </c>
      <c r="G786" s="198">
        <v>2.56131665412481</v>
      </c>
      <c r="H786" s="198">
        <v>2.5237922835192999</v>
      </c>
      <c r="I786" s="198">
        <v>2.90561731468329</v>
      </c>
      <c r="J786" s="198">
        <v>2.9813264798007801</v>
      </c>
      <c r="K786" s="198">
        <v>3.3525040865623401</v>
      </c>
      <c r="L786" s="191">
        <v>2.6973529016598801</v>
      </c>
      <c r="M786" s="198">
        <v>5.8205877129199601</v>
      </c>
      <c r="N786" s="198">
        <v>5.9211408754563601</v>
      </c>
      <c r="O786" s="198">
        <v>4.5711827032292502</v>
      </c>
      <c r="P786" s="198">
        <v>5.6906832440353501</v>
      </c>
      <c r="Q786" s="198">
        <v>5.3674109559941598</v>
      </c>
      <c r="R786" s="198">
        <v>6.4300725795570699</v>
      </c>
      <c r="S786" s="198">
        <v>5.0637617490412499</v>
      </c>
      <c r="T786" s="198">
        <v>6.1683286110130302</v>
      </c>
      <c r="U786" s="198">
        <v>7.3039452173772199</v>
      </c>
      <c r="V786" s="198">
        <v>5.7115676373674296</v>
      </c>
      <c r="W786" s="198">
        <v>5.3476549400228999</v>
      </c>
      <c r="X786" s="191">
        <v>5.4046295513957796</v>
      </c>
      <c r="Y786" s="198">
        <v>6.4460226087682004</v>
      </c>
      <c r="Z786" s="198">
        <v>9.7980800635565206</v>
      </c>
      <c r="AA786" s="198" t="s">
        <v>93</v>
      </c>
      <c r="AB786" s="198" t="s">
        <v>93</v>
      </c>
      <c r="AC786" s="198">
        <v>4.4334456064680197</v>
      </c>
      <c r="AD786" s="191">
        <v>6.1302721795138204</v>
      </c>
      <c r="AE786" s="199" t="s">
        <v>207</v>
      </c>
    </row>
    <row r="787" spans="2:32">
      <c r="B787" s="374">
        <v>46113</v>
      </c>
      <c r="C787" s="198"/>
      <c r="D787" s="198"/>
      <c r="E787" s="198"/>
      <c r="F787" s="198"/>
      <c r="G787" s="198"/>
      <c r="H787" s="198"/>
      <c r="I787" s="198"/>
      <c r="J787" s="198"/>
      <c r="K787" s="198"/>
      <c r="L787" s="191"/>
      <c r="M787" s="198"/>
      <c r="N787" s="198"/>
      <c r="O787" s="198"/>
      <c r="P787" s="198"/>
      <c r="Q787" s="198"/>
      <c r="R787" s="198"/>
      <c r="S787" s="198"/>
      <c r="T787" s="198"/>
      <c r="U787" s="198"/>
      <c r="V787" s="198"/>
      <c r="W787" s="198"/>
      <c r="X787" s="191"/>
      <c r="Y787" s="198"/>
      <c r="Z787" s="198"/>
      <c r="AA787" s="198"/>
      <c r="AB787" s="198"/>
      <c r="AC787" s="198"/>
      <c r="AD787" s="191"/>
      <c r="AE787" s="374">
        <v>46113</v>
      </c>
    </row>
    <row r="788" spans="2:32">
      <c r="B788" s="199" t="s">
        <v>184</v>
      </c>
      <c r="C788" s="198">
        <v>9.4378506744217407</v>
      </c>
      <c r="D788" s="198">
        <v>7.1768389757860698</v>
      </c>
      <c r="E788" s="198">
        <v>10.186348139190599</v>
      </c>
      <c r="F788" s="198">
        <v>6.1837489740276901</v>
      </c>
      <c r="G788" s="198">
        <v>8.6807707705919004</v>
      </c>
      <c r="H788" s="198">
        <v>8.3454513256209601</v>
      </c>
      <c r="I788" s="198">
        <v>8.3467155766080392</v>
      </c>
      <c r="J788" s="198">
        <v>9.1679221182464001</v>
      </c>
      <c r="K788" s="198">
        <v>9.9196197526236798</v>
      </c>
      <c r="L788" s="191">
        <v>9.1858710581553602</v>
      </c>
      <c r="M788" s="198">
        <v>15.602728857937899</v>
      </c>
      <c r="N788" s="198">
        <v>11.736486916651099</v>
      </c>
      <c r="O788" s="198">
        <v>17.241549174853599</v>
      </c>
      <c r="P788" s="198">
        <v>6.5017870241932103</v>
      </c>
      <c r="Q788" s="198">
        <v>12.1381435635604</v>
      </c>
      <c r="R788" s="198">
        <v>12.3780387724383</v>
      </c>
      <c r="S788" s="198">
        <v>12.6097055455835</v>
      </c>
      <c r="T788" s="198">
        <v>15.659382077137399</v>
      </c>
      <c r="U788" s="198">
        <v>17.9728407940034</v>
      </c>
      <c r="V788" s="198">
        <v>18.671956235319701</v>
      </c>
      <c r="W788" s="198">
        <v>9.9785719081783402</v>
      </c>
      <c r="X788" s="191">
        <v>7.1099511984142296</v>
      </c>
      <c r="Y788" s="198" t="s">
        <v>93</v>
      </c>
      <c r="Z788" s="198" t="s">
        <v>93</v>
      </c>
      <c r="AA788" s="198" t="s">
        <v>93</v>
      </c>
      <c r="AB788" s="198" t="s">
        <v>93</v>
      </c>
      <c r="AC788" s="198" t="s">
        <v>93</v>
      </c>
      <c r="AD788" s="191" t="s">
        <v>93</v>
      </c>
      <c r="AE788" s="199" t="s">
        <v>350</v>
      </c>
    </row>
    <row r="789" spans="2:32">
      <c r="B789" s="199" t="s">
        <v>351</v>
      </c>
      <c r="C789" s="198">
        <v>3.1452211558726701</v>
      </c>
      <c r="D789" s="198">
        <v>3.1978987984264702</v>
      </c>
      <c r="E789" s="198">
        <v>3.0970460300112101</v>
      </c>
      <c r="F789" s="198">
        <v>2.5064162476232399</v>
      </c>
      <c r="G789" s="198">
        <v>2.8874944734431902</v>
      </c>
      <c r="H789" s="198">
        <v>2.5310215291863098</v>
      </c>
      <c r="I789" s="198">
        <v>2.8816439299473502</v>
      </c>
      <c r="J789" s="198">
        <v>3.00239031757968</v>
      </c>
      <c r="K789" s="198">
        <v>3.34326847642981</v>
      </c>
      <c r="L789" s="191">
        <v>2.6893395160407101</v>
      </c>
      <c r="M789" s="198">
        <v>5.8394994032596204</v>
      </c>
      <c r="N789" s="198">
        <v>5.9390836018667299</v>
      </c>
      <c r="O789" s="198">
        <v>4.5761787363683899</v>
      </c>
      <c r="P789" s="198">
        <v>6.0318698547532899</v>
      </c>
      <c r="Q789" s="198">
        <v>5.4706938024533498</v>
      </c>
      <c r="R789" s="198">
        <v>6.4334466703910698</v>
      </c>
      <c r="S789" s="198">
        <v>5.2830679951997599</v>
      </c>
      <c r="T789" s="198">
        <v>6.1306082355540097</v>
      </c>
      <c r="U789" s="198">
        <v>7.3098203923617904</v>
      </c>
      <c r="V789" s="198">
        <v>5.6948364670030802</v>
      </c>
      <c r="W789" s="198">
        <v>5.3643454545083804</v>
      </c>
      <c r="X789" s="191">
        <v>5.3963233400421498</v>
      </c>
      <c r="Y789" s="198">
        <v>6.00734259165593</v>
      </c>
      <c r="Z789" s="198">
        <v>9.4014407700429992</v>
      </c>
      <c r="AA789" s="198" t="s">
        <v>93</v>
      </c>
      <c r="AB789" s="198" t="s">
        <v>93</v>
      </c>
      <c r="AC789" s="198">
        <v>4.4237502571487299</v>
      </c>
      <c r="AD789" s="191">
        <v>6.1927614780373803</v>
      </c>
      <c r="AE789" s="199" t="s">
        <v>207</v>
      </c>
    </row>
    <row r="790" spans="2:32">
      <c r="B790" s="374">
        <v>46143</v>
      </c>
      <c r="C790" s="198"/>
      <c r="D790" s="198"/>
      <c r="E790" s="198"/>
      <c r="F790" s="198"/>
      <c r="G790" s="198"/>
      <c r="H790" s="198"/>
      <c r="I790" s="198"/>
      <c r="J790" s="198"/>
      <c r="K790" s="198"/>
      <c r="L790" s="191"/>
      <c r="M790" s="198"/>
      <c r="N790" s="198"/>
      <c r="O790" s="198"/>
      <c r="P790" s="198"/>
      <c r="Q790" s="198"/>
      <c r="R790" s="198"/>
      <c r="S790" s="198"/>
      <c r="T790" s="198"/>
      <c r="U790" s="198"/>
      <c r="V790" s="198"/>
      <c r="W790" s="198"/>
      <c r="X790" s="191"/>
      <c r="Y790" s="198"/>
      <c r="Z790" s="198"/>
      <c r="AA790" s="198"/>
      <c r="AB790" s="198"/>
      <c r="AC790" s="198"/>
      <c r="AD790" s="191"/>
      <c r="AE790" s="374">
        <v>46143</v>
      </c>
    </row>
    <row r="791" spans="2:32">
      <c r="B791" s="199" t="s">
        <v>184</v>
      </c>
      <c r="C791" s="198">
        <v>9.3652840608601107</v>
      </c>
      <c r="D791" s="198">
        <v>7.1094453599139502</v>
      </c>
      <c r="E791" s="198">
        <v>10.1200299540555</v>
      </c>
      <c r="F791" s="198">
        <v>6.4079319734788802</v>
      </c>
      <c r="G791" s="198">
        <v>8.4278380077122392</v>
      </c>
      <c r="H791" s="198">
        <v>8.3438239113734003</v>
      </c>
      <c r="I791" s="198">
        <v>8.2790883395691708</v>
      </c>
      <c r="J791" s="198">
        <v>8.9848611073983502</v>
      </c>
      <c r="K791" s="198">
        <v>9.9027137108947194</v>
      </c>
      <c r="L791" s="191">
        <v>9.1838475604908396</v>
      </c>
      <c r="M791" s="198">
        <v>15.6316381863329</v>
      </c>
      <c r="N791" s="198">
        <v>11.721719060701</v>
      </c>
      <c r="O791" s="198">
        <v>17.263921707922702</v>
      </c>
      <c r="P791" s="198">
        <v>3.86883594325601</v>
      </c>
      <c r="Q791" s="210">
        <v>12.027998752695201</v>
      </c>
      <c r="R791" s="198">
        <v>12.3307094374562</v>
      </c>
      <c r="S791" s="198">
        <v>12.7795230147556</v>
      </c>
      <c r="T791" s="198">
        <v>15.6625291488533</v>
      </c>
      <c r="U791" s="198">
        <v>18.070589814800499</v>
      </c>
      <c r="V791" s="198">
        <v>18.692055411942999</v>
      </c>
      <c r="W791" s="198">
        <v>9.9937256846008005</v>
      </c>
      <c r="X791" s="191">
        <v>7.10667104635026</v>
      </c>
      <c r="Y791" s="198" t="s">
        <v>93</v>
      </c>
      <c r="Z791" s="198" t="s">
        <v>93</v>
      </c>
      <c r="AA791" s="198" t="s">
        <v>93</v>
      </c>
      <c r="AB791" s="198" t="s">
        <v>93</v>
      </c>
      <c r="AC791" s="198" t="s">
        <v>93</v>
      </c>
      <c r="AD791" s="411" t="s">
        <v>93</v>
      </c>
      <c r="AE791" s="199" t="s">
        <v>350</v>
      </c>
    </row>
    <row r="792" spans="2:32">
      <c r="B792" s="199" t="s">
        <v>351</v>
      </c>
      <c r="C792" s="198">
        <v>3.1186889938408799</v>
      </c>
      <c r="D792" s="198">
        <v>3.1716149382700101</v>
      </c>
      <c r="E792" s="198">
        <v>3.0703935746261202</v>
      </c>
      <c r="F792" s="198">
        <v>2.6306097419856802</v>
      </c>
      <c r="G792" s="198">
        <v>2.6780934607895999</v>
      </c>
      <c r="H792" s="198">
        <v>2.5221063917771498</v>
      </c>
      <c r="I792" s="198">
        <v>3.2662586628349701</v>
      </c>
      <c r="J792" s="198">
        <v>2.9599459224349798</v>
      </c>
      <c r="K792" s="198">
        <v>3.3194156381682798</v>
      </c>
      <c r="L792" s="191">
        <v>2.7010859045808999</v>
      </c>
      <c r="M792" s="198">
        <v>5.7889297838655596</v>
      </c>
      <c r="N792" s="198">
        <v>5.8859274562446098</v>
      </c>
      <c r="O792" s="198">
        <v>4.5562026896871597</v>
      </c>
      <c r="P792" s="198">
        <v>6.0763614849107803</v>
      </c>
      <c r="Q792" s="198">
        <v>5.2287426929723404</v>
      </c>
      <c r="R792" s="198">
        <v>6.2214818616381304</v>
      </c>
      <c r="S792" s="198">
        <v>5.2633641211942104</v>
      </c>
      <c r="T792" s="198">
        <v>6.0627018289891597</v>
      </c>
      <c r="U792" s="198">
        <v>7.2360900998464901</v>
      </c>
      <c r="V792" s="198">
        <v>5.7259552438128303</v>
      </c>
      <c r="W792" s="198">
        <v>5.3538749508977901</v>
      </c>
      <c r="X792" s="191">
        <v>5.3938569238765801</v>
      </c>
      <c r="Y792" s="198">
        <v>5.0431384254140204</v>
      </c>
      <c r="Z792" s="198">
        <v>8.0694590476377108</v>
      </c>
      <c r="AA792" s="198" t="s">
        <v>93</v>
      </c>
      <c r="AB792" s="198" t="s">
        <v>93</v>
      </c>
      <c r="AC792" s="198">
        <v>2.7954561575291299</v>
      </c>
      <c r="AD792" s="191">
        <v>6.2048126192539499</v>
      </c>
      <c r="AE792" s="199" t="s">
        <v>207</v>
      </c>
    </row>
    <row r="793" spans="2:32">
      <c r="B793" s="374">
        <v>46174</v>
      </c>
      <c r="C793" s="198"/>
      <c r="D793" s="198"/>
      <c r="E793" s="198"/>
      <c r="F793" s="198"/>
      <c r="G793" s="198"/>
      <c r="H793" s="198"/>
      <c r="I793" s="198"/>
      <c r="J793" s="198"/>
      <c r="K793" s="198"/>
      <c r="L793" s="191"/>
      <c r="M793" s="198"/>
      <c r="N793" s="210"/>
      <c r="O793" s="198"/>
      <c r="P793" s="198"/>
      <c r="Q793" s="198"/>
      <c r="R793" s="198"/>
      <c r="S793" s="198"/>
      <c r="T793" s="198"/>
      <c r="U793" s="198"/>
      <c r="V793" s="198"/>
      <c r="W793" s="198"/>
      <c r="X793" s="191"/>
      <c r="Y793" s="198"/>
      <c r="Z793" s="210"/>
      <c r="AA793" s="198"/>
      <c r="AB793" s="198"/>
      <c r="AC793" s="198"/>
      <c r="AD793" s="191"/>
      <c r="AE793" s="374">
        <v>46174</v>
      </c>
    </row>
    <row r="794" spans="2:32">
      <c r="B794" s="199" t="s">
        <v>184</v>
      </c>
      <c r="C794" s="198">
        <v>9.3137651193622606</v>
      </c>
      <c r="D794" s="198">
        <v>7.0518110163746197</v>
      </c>
      <c r="E794" s="198">
        <v>10.098652130132001</v>
      </c>
      <c r="F794" s="198">
        <v>6.1162758285248904</v>
      </c>
      <c r="G794" s="198">
        <v>8.1976985869546599</v>
      </c>
      <c r="H794" s="198">
        <v>8.2232330065245804</v>
      </c>
      <c r="I794" s="198">
        <v>8.2011583562190697</v>
      </c>
      <c r="J794" s="198">
        <v>8.8678154619632306</v>
      </c>
      <c r="K794" s="198">
        <v>9.9380825228215599</v>
      </c>
      <c r="L794" s="191">
        <v>9.1479431911961697</v>
      </c>
      <c r="M794" s="198">
        <v>15.6540656624754</v>
      </c>
      <c r="N794" s="198">
        <v>11.77174982877</v>
      </c>
      <c r="O794" s="198">
        <v>17.263906183340399</v>
      </c>
      <c r="P794" s="198">
        <v>3.8541195662392198</v>
      </c>
      <c r="Q794" s="210">
        <v>12.347978211207</v>
      </c>
      <c r="R794" s="198">
        <v>12.187288863956301</v>
      </c>
      <c r="S794" s="198">
        <v>12.4457087972472</v>
      </c>
      <c r="T794" s="198">
        <v>15.7127857736479</v>
      </c>
      <c r="U794" s="198">
        <v>18.1249740621633</v>
      </c>
      <c r="V794" s="198">
        <v>18.714365970282401</v>
      </c>
      <c r="W794" s="198">
        <v>10.0684889479019</v>
      </c>
      <c r="X794" s="191">
        <v>7.1092946904496097</v>
      </c>
      <c r="Y794" s="198">
        <v>9.25</v>
      </c>
      <c r="Z794" s="198" t="s">
        <v>93</v>
      </c>
      <c r="AA794" s="198" t="s">
        <v>93</v>
      </c>
      <c r="AB794" s="198" t="s">
        <v>93</v>
      </c>
      <c r="AC794" s="198">
        <v>9.25</v>
      </c>
      <c r="AD794" s="411" t="s">
        <v>93</v>
      </c>
      <c r="AE794" s="199" t="s">
        <v>350</v>
      </c>
    </row>
    <row r="795" spans="2:32">
      <c r="B795" s="199" t="s">
        <v>351</v>
      </c>
      <c r="C795" s="198">
        <v>3.1417542388988702</v>
      </c>
      <c r="D795" s="198">
        <v>3.2501853272670602</v>
      </c>
      <c r="E795" s="198">
        <v>3.0455549879305899</v>
      </c>
      <c r="F795" s="198">
        <v>2.6179130893927098</v>
      </c>
      <c r="G795" s="198">
        <v>2.6425987211207298</v>
      </c>
      <c r="H795" s="198">
        <v>2.60288871991794</v>
      </c>
      <c r="I795" s="198">
        <v>3.2650793883097098</v>
      </c>
      <c r="J795" s="198">
        <v>2.9464826742120001</v>
      </c>
      <c r="K795" s="198">
        <v>3.3566141415861499</v>
      </c>
      <c r="L795" s="191">
        <v>2.8317459714706801</v>
      </c>
      <c r="M795" s="198">
        <v>5.7511167096941396</v>
      </c>
      <c r="N795" s="210">
        <v>5.8496794709665503</v>
      </c>
      <c r="O795" s="198">
        <v>4.4909365709728002</v>
      </c>
      <c r="P795" s="198">
        <v>5.5578544362134297</v>
      </c>
      <c r="Q795" s="198">
        <v>5.1424754836578099</v>
      </c>
      <c r="R795" s="198">
        <v>6.2390917036444202</v>
      </c>
      <c r="S795" s="198">
        <v>5.3521613993599004</v>
      </c>
      <c r="T795" s="198">
        <v>5.6716689325118299</v>
      </c>
      <c r="U795" s="198">
        <v>6.7933851990362601</v>
      </c>
      <c r="V795" s="198">
        <v>5.9455912149529402</v>
      </c>
      <c r="W795" s="198">
        <v>5.3561658234642602</v>
      </c>
      <c r="X795" s="191">
        <v>5.3738539123537601</v>
      </c>
      <c r="Y795" s="198">
        <v>5.7538535615987598</v>
      </c>
      <c r="Z795" s="210">
        <v>7.1061577873713198</v>
      </c>
      <c r="AA795" s="198" t="s">
        <v>93</v>
      </c>
      <c r="AB795" s="198" t="s">
        <v>93</v>
      </c>
      <c r="AC795" s="198">
        <v>4.5395932025849097</v>
      </c>
      <c r="AD795" s="191">
        <v>6.0359456957729103</v>
      </c>
      <c r="AE795" s="199" t="s">
        <v>207</v>
      </c>
    </row>
    <row r="796" spans="2:32">
      <c r="B796" s="374">
        <v>46204</v>
      </c>
      <c r="C796" s="198"/>
      <c r="D796" s="198"/>
      <c r="E796" s="198"/>
      <c r="F796" s="198"/>
      <c r="G796" s="198"/>
      <c r="H796" s="198"/>
      <c r="I796" s="198"/>
      <c r="J796" s="198"/>
      <c r="K796" s="198"/>
      <c r="L796" s="191"/>
      <c r="M796" s="198"/>
      <c r="N796" s="198"/>
      <c r="O796" s="198"/>
      <c r="P796" s="198"/>
      <c r="Q796" s="198"/>
      <c r="R796" s="198"/>
      <c r="S796" s="198"/>
      <c r="T796" s="198"/>
      <c r="U796" s="198"/>
      <c r="V796" s="198"/>
      <c r="W796" s="198"/>
      <c r="X796" s="191"/>
      <c r="Y796" s="198"/>
      <c r="Z796" s="198"/>
      <c r="AA796" s="198"/>
      <c r="AB796" s="198"/>
      <c r="AC796" s="198"/>
      <c r="AD796" s="191"/>
      <c r="AE796" s="374">
        <v>46204</v>
      </c>
    </row>
    <row r="797" spans="2:32">
      <c r="B797" s="199" t="s">
        <v>184</v>
      </c>
      <c r="C797" s="198">
        <v>9.2771306216043108</v>
      </c>
      <c r="D797" s="198">
        <v>7.0402904667074599</v>
      </c>
      <c r="E797" s="198">
        <v>10.026542395583601</v>
      </c>
      <c r="F797" s="198">
        <v>6.5037160748122496</v>
      </c>
      <c r="G797" s="198">
        <v>8.3468994762075699</v>
      </c>
      <c r="H797" s="198">
        <v>8.2174075400911306</v>
      </c>
      <c r="I797" s="198">
        <v>8.1501763645253504</v>
      </c>
      <c r="J797" s="198">
        <v>8.7719382630420508</v>
      </c>
      <c r="K797" s="198">
        <v>9.9031159033373601</v>
      </c>
      <c r="L797" s="191">
        <v>9.2304024126535609</v>
      </c>
      <c r="M797" s="198">
        <v>15.685438699452799</v>
      </c>
      <c r="N797" s="198">
        <v>11.7912747399588</v>
      </c>
      <c r="O797" s="198">
        <v>17.278955589181699</v>
      </c>
      <c r="P797" s="198">
        <v>8.6188281502567303</v>
      </c>
      <c r="Q797" s="210">
        <v>12.2826594957777</v>
      </c>
      <c r="R797" s="198">
        <v>12.005035033335799</v>
      </c>
      <c r="S797" s="198">
        <v>12.374223650166501</v>
      </c>
      <c r="T797" s="198">
        <v>15.8572341914858</v>
      </c>
      <c r="U797" s="198">
        <v>18.151819467392901</v>
      </c>
      <c r="V797" s="198">
        <v>18.686409548435201</v>
      </c>
      <c r="W797" s="198">
        <v>10.0889310348284</v>
      </c>
      <c r="X797" s="191">
        <v>7.1239588715975799</v>
      </c>
      <c r="Y797" s="198">
        <v>9.25</v>
      </c>
      <c r="Z797" s="198" t="s">
        <v>93</v>
      </c>
      <c r="AA797" s="198" t="s">
        <v>93</v>
      </c>
      <c r="AB797" s="198" t="s">
        <v>93</v>
      </c>
      <c r="AC797" s="198">
        <v>9.25</v>
      </c>
      <c r="AD797" s="411" t="s">
        <v>93</v>
      </c>
      <c r="AE797" s="199" t="s">
        <v>350</v>
      </c>
      <c r="AF797" s="200"/>
    </row>
    <row r="798" spans="2:32" ht="12.75" thickBot="1">
      <c r="B798" s="199" t="s">
        <v>351</v>
      </c>
      <c r="C798" s="198">
        <v>3.1011697898830102</v>
      </c>
      <c r="D798" s="198">
        <v>3.1559530744381901</v>
      </c>
      <c r="E798" s="198">
        <v>3.0501077684025599</v>
      </c>
      <c r="F798" s="198">
        <v>3.2890142130436701</v>
      </c>
      <c r="G798" s="198">
        <v>2.45739020247475</v>
      </c>
      <c r="H798" s="198">
        <v>2.69115145479496</v>
      </c>
      <c r="I798" s="198">
        <v>3.22891251281641</v>
      </c>
      <c r="J798" s="198">
        <v>2.8724718211839502</v>
      </c>
      <c r="K798" s="198">
        <v>3.3350044094714701</v>
      </c>
      <c r="L798" s="1991">
        <v>2.89272218533445</v>
      </c>
      <c r="M798" s="198">
        <v>5.6633641020041301</v>
      </c>
      <c r="N798" s="210">
        <v>5.7409394354663901</v>
      </c>
      <c r="O798" s="198">
        <v>4.4649965295299303</v>
      </c>
      <c r="P798" s="198">
        <v>6.8892528952485996</v>
      </c>
      <c r="Q798" s="198">
        <v>5.1703902856457802</v>
      </c>
      <c r="R798" s="198">
        <v>7.1607774685852501</v>
      </c>
      <c r="S798" s="198">
        <v>5.1588151649051301</v>
      </c>
      <c r="T798" s="198">
        <v>5.7297396164665102</v>
      </c>
      <c r="U798" s="198">
        <v>6.4948741864182304</v>
      </c>
      <c r="V798" s="198">
        <v>5.5791115975105798</v>
      </c>
      <c r="W798" s="198">
        <v>5.3454416981163</v>
      </c>
      <c r="X798" s="1991">
        <v>5.5006269867902002</v>
      </c>
      <c r="Y798" s="198">
        <v>5.9952146610558597</v>
      </c>
      <c r="Z798" s="210">
        <v>8.2139409172418105</v>
      </c>
      <c r="AA798" s="198" t="s">
        <v>93</v>
      </c>
      <c r="AB798" s="198" t="s">
        <v>93</v>
      </c>
      <c r="AC798" s="198">
        <v>4.56745439116178</v>
      </c>
      <c r="AD798" s="1991">
        <v>6.0789617501798698</v>
      </c>
      <c r="AE798" s="199" t="s">
        <v>207</v>
      </c>
    </row>
    <row r="799" spans="2:32" s="746" customFormat="1" ht="29.25" customHeight="1">
      <c r="B799" s="2478" t="s">
        <v>2693</v>
      </c>
      <c r="C799" s="2479"/>
      <c r="D799" s="2479"/>
      <c r="E799" s="2479"/>
      <c r="F799" s="2479"/>
      <c r="G799" s="2479"/>
      <c r="H799" s="2479"/>
      <c r="I799" s="2479"/>
      <c r="J799" s="2479"/>
      <c r="K799" s="2479"/>
      <c r="L799" s="2479"/>
      <c r="M799" s="2479"/>
      <c r="N799" s="2479"/>
      <c r="O799" s="2479"/>
      <c r="P799" s="2479"/>
      <c r="Q799" s="2479"/>
      <c r="R799" s="2479"/>
      <c r="S799" s="2479"/>
      <c r="T799" s="2479"/>
      <c r="U799" s="2479"/>
      <c r="V799" s="2479"/>
      <c r="W799" s="2479"/>
      <c r="X799" s="2479"/>
      <c r="Y799" s="2479"/>
      <c r="Z799" s="2479"/>
      <c r="AA799" s="2479"/>
      <c r="AB799" s="2479"/>
      <c r="AC799" s="2479"/>
      <c r="AD799" s="2479"/>
      <c r="AE799" s="2480"/>
    </row>
    <row r="801" spans="3:30">
      <c r="C801" s="198"/>
      <c r="D801" s="198"/>
      <c r="E801" s="198"/>
      <c r="F801" s="198"/>
      <c r="G801" s="198"/>
      <c r="H801" s="198"/>
      <c r="I801" s="198"/>
      <c r="J801" s="198"/>
      <c r="K801" s="198"/>
      <c r="L801" s="198"/>
      <c r="M801" s="198"/>
      <c r="N801" s="198"/>
      <c r="O801" s="198"/>
      <c r="P801" s="198"/>
      <c r="Q801" s="198"/>
      <c r="R801" s="198"/>
      <c r="S801" s="198"/>
      <c r="T801" s="198"/>
      <c r="U801" s="198"/>
      <c r="V801" s="198"/>
      <c r="W801" s="198"/>
      <c r="X801" s="198"/>
      <c r="Y801" s="198"/>
      <c r="Z801" s="198"/>
      <c r="AA801" s="198"/>
      <c r="AB801" s="198"/>
      <c r="AC801" s="198"/>
      <c r="AD801" s="198"/>
    </row>
    <row r="802" spans="3:30">
      <c r="C802" s="198"/>
      <c r="D802" s="198"/>
      <c r="E802" s="198"/>
      <c r="F802" s="198"/>
      <c r="G802" s="198"/>
      <c r="H802" s="198"/>
      <c r="I802" s="198"/>
      <c r="J802" s="198"/>
      <c r="K802" s="198"/>
      <c r="L802" s="198"/>
      <c r="M802" s="198"/>
      <c r="N802" s="198"/>
      <c r="O802" s="198"/>
      <c r="P802" s="198"/>
      <c r="Q802" s="198"/>
      <c r="R802" s="198"/>
      <c r="S802" s="198"/>
      <c r="T802" s="198"/>
      <c r="U802" s="198"/>
      <c r="V802" s="198"/>
      <c r="W802" s="198"/>
      <c r="X802" s="198"/>
      <c r="Y802" s="198"/>
      <c r="Z802" s="198"/>
      <c r="AA802" s="198"/>
      <c r="AB802" s="198"/>
      <c r="AC802" s="198"/>
      <c r="AD802" s="198"/>
    </row>
  </sheetData>
  <mergeCells count="16">
    <mergeCell ref="B799:AE799"/>
    <mergeCell ref="M9:X9"/>
    <mergeCell ref="Y9:AD9"/>
    <mergeCell ref="C10:C11"/>
    <mergeCell ref="E10:E11"/>
    <mergeCell ref="B2:AE2"/>
    <mergeCell ref="B3:AE3"/>
    <mergeCell ref="O10:O11"/>
    <mergeCell ref="Y10:Y11"/>
    <mergeCell ref="B6:B11"/>
    <mergeCell ref="C6:L6"/>
    <mergeCell ref="M6:X6"/>
    <mergeCell ref="Y6:AD6"/>
    <mergeCell ref="AE6:AE11"/>
    <mergeCell ref="C9:L9"/>
    <mergeCell ref="M10:M11"/>
  </mergeCells>
  <pageMargins left="0.17" right="0.3" top="0.23" bottom="0.17" header="0.17" footer="0.17"/>
  <pageSetup paperSize="8" scale="3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4">
    <tabColor rgb="FF92D050"/>
  </sheetPr>
  <dimension ref="A1:I290"/>
  <sheetViews>
    <sheetView view="pageBreakPreview" topLeftCell="B1" zoomScale="130" zoomScaleNormal="100" zoomScaleSheetLayoutView="130" workbookViewId="0">
      <pane ySplit="7" topLeftCell="A266" activePane="bottomLeft" state="frozen"/>
      <selection activeCell="F40" sqref="F40"/>
      <selection pane="bottomLeft" activeCell="F40" sqref="F40"/>
    </sheetView>
  </sheetViews>
  <sheetFormatPr defaultColWidth="10.85546875" defaultRowHeight="12"/>
  <cols>
    <col min="1" max="1" width="10.85546875" style="183" hidden="1" customWidth="1"/>
    <col min="2" max="2" width="23.5703125" style="208" customWidth="1"/>
    <col min="3" max="3" width="26.28515625" style="201" customWidth="1"/>
    <col min="4" max="4" width="30.5703125" style="201" customWidth="1"/>
    <col min="5" max="5" width="23.5703125" style="208" customWidth="1"/>
    <col min="6" max="16384" width="10.85546875" style="183"/>
  </cols>
  <sheetData>
    <row r="1" spans="1:5" ht="7.5" customHeight="1"/>
    <row r="2" spans="1:5" s="316" customFormat="1" ht="17.25" customHeight="1">
      <c r="B2" s="2485" t="s">
        <v>3332</v>
      </c>
      <c r="C2" s="2485"/>
      <c r="D2" s="2485"/>
      <c r="E2" s="2485"/>
    </row>
    <row r="3" spans="1:5" s="316" customFormat="1" ht="20.25" customHeight="1">
      <c r="B3" s="2486" t="s">
        <v>3333</v>
      </c>
      <c r="C3" s="2486"/>
      <c r="D3" s="2486"/>
      <c r="E3" s="2486"/>
    </row>
    <row r="4" spans="1:5" s="316" customFormat="1" ht="9.75" customHeight="1">
      <c r="B4" s="498"/>
      <c r="C4" s="498"/>
      <c r="D4" s="498"/>
      <c r="E4" s="498"/>
    </row>
    <row r="5" spans="1:5" s="316" customFormat="1" ht="9.75" customHeight="1">
      <c r="B5" s="1217"/>
      <c r="C5" s="1217"/>
      <c r="D5" s="1217"/>
      <c r="E5" s="1217"/>
    </row>
    <row r="6" spans="1:5" ht="33.75" customHeight="1">
      <c r="A6" s="1206"/>
      <c r="B6" s="2489" t="s">
        <v>182</v>
      </c>
      <c r="C6" s="1215" t="s">
        <v>3334</v>
      </c>
      <c r="D6" s="1215" t="s">
        <v>3328</v>
      </c>
      <c r="E6" s="2487" t="s">
        <v>283</v>
      </c>
    </row>
    <row r="7" spans="1:5" ht="30" customHeight="1">
      <c r="A7" s="1206"/>
      <c r="B7" s="2490"/>
      <c r="C7" s="1216" t="s">
        <v>3335</v>
      </c>
      <c r="D7" s="1216" t="s">
        <v>3329</v>
      </c>
      <c r="E7" s="2488"/>
    </row>
    <row r="8" spans="1:5" ht="10.5" customHeight="1">
      <c r="B8" s="1218">
        <v>43466</v>
      </c>
      <c r="C8" s="1207"/>
      <c r="D8" s="1208"/>
      <c r="E8" s="1219">
        <v>43466</v>
      </c>
    </row>
    <row r="9" spans="1:5" ht="10.5" customHeight="1">
      <c r="B9" s="1220" t="s">
        <v>184</v>
      </c>
      <c r="C9" s="578">
        <v>9.2507924231679102</v>
      </c>
      <c r="D9" s="1209">
        <v>15.871369294883699</v>
      </c>
      <c r="E9" s="1220" t="s">
        <v>350</v>
      </c>
    </row>
    <row r="10" spans="1:5" ht="10.5" customHeight="1">
      <c r="B10" s="1220" t="s">
        <v>351</v>
      </c>
      <c r="C10" s="578">
        <v>1.7567331000052901</v>
      </c>
      <c r="D10" s="1209">
        <v>5.1798710586902397</v>
      </c>
      <c r="E10" s="1220" t="s">
        <v>207</v>
      </c>
    </row>
    <row r="11" spans="1:5" ht="10.5" hidden="1" customHeight="1">
      <c r="B11" s="1218">
        <v>43467</v>
      </c>
      <c r="C11" s="578"/>
      <c r="D11" s="1210"/>
      <c r="E11" s="1219">
        <v>43467</v>
      </c>
    </row>
    <row r="12" spans="1:5" ht="10.5" hidden="1" customHeight="1">
      <c r="B12" s="1220" t="s">
        <v>184</v>
      </c>
      <c r="C12" s="578">
        <v>9.0818033753120506</v>
      </c>
      <c r="D12" s="1209">
        <v>19.096257750949</v>
      </c>
      <c r="E12" s="1220" t="s">
        <v>350</v>
      </c>
    </row>
    <row r="13" spans="1:5" ht="10.5" hidden="1" customHeight="1">
      <c r="B13" s="1220" t="s">
        <v>351</v>
      </c>
      <c r="C13" s="578">
        <v>1.3298038332329101</v>
      </c>
      <c r="D13" s="1209">
        <v>6.6945903236952597</v>
      </c>
      <c r="E13" s="1220" t="s">
        <v>207</v>
      </c>
    </row>
    <row r="14" spans="1:5" ht="10.5" hidden="1" customHeight="1">
      <c r="B14" s="1218">
        <v>43468</v>
      </c>
      <c r="C14" s="578"/>
      <c r="D14" s="1210"/>
      <c r="E14" s="1219">
        <v>43468</v>
      </c>
    </row>
    <row r="15" spans="1:5" ht="10.5" hidden="1" customHeight="1">
      <c r="B15" s="1220" t="s">
        <v>184</v>
      </c>
      <c r="C15" s="578">
        <v>10.0597940166189</v>
      </c>
      <c r="D15" s="1210">
        <v>18.267952224541801</v>
      </c>
      <c r="E15" s="1220" t="s">
        <v>350</v>
      </c>
    </row>
    <row r="16" spans="1:5" ht="10.5" hidden="1" customHeight="1">
      <c r="B16" s="1220" t="s">
        <v>351</v>
      </c>
      <c r="C16" s="578">
        <v>2.1086955502722002</v>
      </c>
      <c r="D16" s="1210">
        <v>6.6738475106790096</v>
      </c>
      <c r="E16" s="1220" t="s">
        <v>207</v>
      </c>
    </row>
    <row r="17" spans="2:5" ht="10.5" hidden="1" customHeight="1">
      <c r="B17" s="1218">
        <v>43469</v>
      </c>
      <c r="C17" s="578"/>
      <c r="D17" s="1210"/>
      <c r="E17" s="1219">
        <v>43469</v>
      </c>
    </row>
    <row r="18" spans="2:5" ht="10.5" hidden="1" customHeight="1">
      <c r="B18" s="1220" t="s">
        <v>184</v>
      </c>
      <c r="C18" s="578">
        <v>7.2835565575847898</v>
      </c>
      <c r="D18" s="1210">
        <v>18.4220846791696</v>
      </c>
      <c r="E18" s="1220" t="s">
        <v>350</v>
      </c>
    </row>
    <row r="19" spans="2:5" ht="10.5" hidden="1" customHeight="1">
      <c r="B19" s="1220" t="s">
        <v>351</v>
      </c>
      <c r="C19" s="578">
        <v>1.9199223356286199</v>
      </c>
      <c r="D19" s="1210">
        <v>6.2708673600068696</v>
      </c>
      <c r="E19" s="1220" t="s">
        <v>207</v>
      </c>
    </row>
    <row r="20" spans="2:5" ht="10.5" hidden="1" customHeight="1">
      <c r="B20" s="1218">
        <v>43470</v>
      </c>
      <c r="C20" s="578"/>
      <c r="D20" s="1210"/>
      <c r="E20" s="1219">
        <v>43470</v>
      </c>
    </row>
    <row r="21" spans="2:5" ht="10.5" hidden="1" customHeight="1">
      <c r="B21" s="1220" t="s">
        <v>184</v>
      </c>
      <c r="C21" s="578">
        <v>8.0634565335777104</v>
      </c>
      <c r="D21" s="1210">
        <v>18.354390231396</v>
      </c>
      <c r="E21" s="1220" t="s">
        <v>350</v>
      </c>
    </row>
    <row r="22" spans="2:5" ht="10.5" hidden="1" customHeight="1">
      <c r="B22" s="1220" t="s">
        <v>351</v>
      </c>
      <c r="C22" s="578">
        <v>1.7257733148166798</v>
      </c>
      <c r="D22" s="1210">
        <v>7.7664344200580606</v>
      </c>
      <c r="E22" s="1220" t="s">
        <v>207</v>
      </c>
    </row>
    <row r="23" spans="2:5" ht="10.5" hidden="1" customHeight="1">
      <c r="B23" s="1218">
        <v>43471</v>
      </c>
      <c r="C23" s="578"/>
      <c r="D23" s="1210"/>
      <c r="E23" s="1219">
        <v>43471</v>
      </c>
    </row>
    <row r="24" spans="2:5" ht="10.5" hidden="1" customHeight="1">
      <c r="B24" s="1220" t="s">
        <v>184</v>
      </c>
      <c r="C24" s="578">
        <v>9.17696185540537</v>
      </c>
      <c r="D24" s="1210">
        <v>18.1101882582002</v>
      </c>
      <c r="E24" s="1220" t="s">
        <v>350</v>
      </c>
    </row>
    <row r="25" spans="2:5" ht="10.5" hidden="1" customHeight="1">
      <c r="B25" s="1220" t="s">
        <v>351</v>
      </c>
      <c r="C25" s="578">
        <v>1.17659426215979</v>
      </c>
      <c r="D25" s="1210">
        <v>5.2873916970415298</v>
      </c>
      <c r="E25" s="1220" t="s">
        <v>207</v>
      </c>
    </row>
    <row r="26" spans="2:5" ht="10.5" hidden="1" customHeight="1">
      <c r="B26" s="1218">
        <v>43472</v>
      </c>
      <c r="C26" s="578"/>
      <c r="D26" s="1210"/>
      <c r="E26" s="1219">
        <v>43472</v>
      </c>
    </row>
    <row r="27" spans="2:5" ht="10.5" hidden="1" customHeight="1">
      <c r="B27" s="1220" t="s">
        <v>184</v>
      </c>
      <c r="C27" s="578">
        <v>8.5500162208111394</v>
      </c>
      <c r="D27" s="1210">
        <v>17.771181581088001</v>
      </c>
      <c r="E27" s="1220" t="s">
        <v>350</v>
      </c>
    </row>
    <row r="28" spans="2:5" ht="10.5" hidden="1" customHeight="1">
      <c r="B28" s="1220" t="s">
        <v>351</v>
      </c>
      <c r="C28" s="578">
        <v>1.6245197650887702</v>
      </c>
      <c r="D28" s="1210">
        <v>5.23929423595676</v>
      </c>
      <c r="E28" s="1220" t="s">
        <v>207</v>
      </c>
    </row>
    <row r="29" spans="2:5" ht="10.5" hidden="1" customHeight="1">
      <c r="B29" s="1218">
        <v>43473</v>
      </c>
      <c r="C29" s="578"/>
      <c r="D29" s="1210"/>
      <c r="E29" s="1219">
        <v>43473</v>
      </c>
    </row>
    <row r="30" spans="2:5" ht="10.5" hidden="1" customHeight="1">
      <c r="B30" s="1220" t="s">
        <v>184</v>
      </c>
      <c r="C30" s="578">
        <v>8.3250088892515706</v>
      </c>
      <c r="D30" s="1210">
        <v>16.877089259292699</v>
      </c>
      <c r="E30" s="1220" t="s">
        <v>184</v>
      </c>
    </row>
    <row r="31" spans="2:5" ht="10.5" hidden="1" customHeight="1">
      <c r="B31" s="1220" t="s">
        <v>351</v>
      </c>
      <c r="C31" s="578">
        <v>1.2393760507771299</v>
      </c>
      <c r="D31" s="1210">
        <v>5.9161768999769597</v>
      </c>
      <c r="E31" s="1220" t="s">
        <v>351</v>
      </c>
    </row>
    <row r="32" spans="2:5" ht="10.5" hidden="1" customHeight="1">
      <c r="B32" s="1218">
        <v>43474</v>
      </c>
      <c r="C32" s="578"/>
      <c r="D32" s="1210"/>
      <c r="E32" s="1219">
        <v>43474</v>
      </c>
    </row>
    <row r="33" spans="2:5" ht="10.5" hidden="1" customHeight="1">
      <c r="B33" s="1220" t="s">
        <v>184</v>
      </c>
      <c r="C33" s="578">
        <v>7.7565583471179798</v>
      </c>
      <c r="D33" s="1210">
        <v>17.217579225133999</v>
      </c>
      <c r="E33" s="1220" t="s">
        <v>350</v>
      </c>
    </row>
    <row r="34" spans="2:5" ht="10.5" hidden="1" customHeight="1">
      <c r="B34" s="1220" t="s">
        <v>351</v>
      </c>
      <c r="C34" s="578">
        <v>1.6382996091606601</v>
      </c>
      <c r="D34" s="1210">
        <v>5.7210269829543199</v>
      </c>
      <c r="E34" s="1220" t="s">
        <v>207</v>
      </c>
    </row>
    <row r="35" spans="2:5" ht="10.5" hidden="1" customHeight="1">
      <c r="B35" s="1218">
        <v>43475</v>
      </c>
      <c r="C35" s="578"/>
      <c r="D35" s="1210"/>
      <c r="E35" s="1219">
        <v>43475</v>
      </c>
    </row>
    <row r="36" spans="2:5" ht="10.5" hidden="1" customHeight="1">
      <c r="B36" s="1220" t="s">
        <v>184</v>
      </c>
      <c r="C36" s="578">
        <v>8.0509338654700802</v>
      </c>
      <c r="D36" s="1210">
        <v>17.313918109880401</v>
      </c>
      <c r="E36" s="1220" t="s">
        <v>350</v>
      </c>
    </row>
    <row r="37" spans="2:5" ht="10.5" hidden="1" customHeight="1">
      <c r="B37" s="1220" t="s">
        <v>351</v>
      </c>
      <c r="C37" s="578">
        <v>1.2301330597273201</v>
      </c>
      <c r="D37" s="1210">
        <v>5.3389482132214399</v>
      </c>
      <c r="E37" s="1220" t="s">
        <v>207</v>
      </c>
    </row>
    <row r="38" spans="2:5" ht="10.5" hidden="1" customHeight="1">
      <c r="B38" s="1218">
        <v>43476</v>
      </c>
      <c r="C38" s="578"/>
      <c r="D38" s="1210"/>
      <c r="E38" s="1219">
        <v>43476</v>
      </c>
    </row>
    <row r="39" spans="2:5" ht="10.5" hidden="1" customHeight="1">
      <c r="B39" s="1220" t="s">
        <v>184</v>
      </c>
      <c r="C39" s="578">
        <v>8.2428389203660899</v>
      </c>
      <c r="D39" s="1210">
        <v>17.8930663841289</v>
      </c>
      <c r="E39" s="1220" t="s">
        <v>350</v>
      </c>
    </row>
    <row r="40" spans="2:5" ht="10.5" hidden="1" customHeight="1">
      <c r="B40" s="1220" t="s">
        <v>351</v>
      </c>
      <c r="C40" s="578">
        <v>1.4867544834161199</v>
      </c>
      <c r="D40" s="1210">
        <v>5.5234333773663602</v>
      </c>
      <c r="E40" s="1220" t="s">
        <v>207</v>
      </c>
    </row>
    <row r="41" spans="2:5" ht="10.5" hidden="1" customHeight="1">
      <c r="B41" s="1218">
        <v>43477</v>
      </c>
      <c r="C41" s="578"/>
      <c r="D41" s="1210"/>
      <c r="E41" s="1219">
        <v>43477</v>
      </c>
    </row>
    <row r="42" spans="2:5" ht="10.5" hidden="1" customHeight="1">
      <c r="B42" s="1220" t="s">
        <v>184</v>
      </c>
      <c r="C42" s="578">
        <v>7.5247787256899707</v>
      </c>
      <c r="D42" s="1210">
        <v>16.148499991607302</v>
      </c>
      <c r="E42" s="1220" t="s">
        <v>350</v>
      </c>
    </row>
    <row r="43" spans="2:5" ht="10.5" hidden="1" customHeight="1">
      <c r="B43" s="1220" t="s">
        <v>351</v>
      </c>
      <c r="C43" s="578">
        <v>1.20589072416816</v>
      </c>
      <c r="D43" s="1210">
        <v>3.47154246115148</v>
      </c>
      <c r="E43" s="1220" t="s">
        <v>207</v>
      </c>
    </row>
    <row r="44" spans="2:5" ht="12" hidden="1" customHeight="1">
      <c r="B44" s="1218">
        <v>43831</v>
      </c>
      <c r="C44" s="578"/>
      <c r="D44" s="1210"/>
      <c r="E44" s="1219">
        <v>43831</v>
      </c>
    </row>
    <row r="45" spans="2:5" ht="12" hidden="1" customHeight="1">
      <c r="B45" s="1220" t="s">
        <v>184</v>
      </c>
      <c r="C45" s="578">
        <v>8.3475755687774189</v>
      </c>
      <c r="D45" s="1210">
        <v>14.668835307017</v>
      </c>
      <c r="E45" s="1220" t="s">
        <v>350</v>
      </c>
    </row>
    <row r="46" spans="2:5" ht="12" hidden="1" customHeight="1">
      <c r="B46" s="1220" t="s">
        <v>351</v>
      </c>
      <c r="C46" s="578">
        <v>1.4504183922695602</v>
      </c>
      <c r="D46" s="1210">
        <v>5.0018797721393202</v>
      </c>
      <c r="E46" s="1220" t="s">
        <v>207</v>
      </c>
    </row>
    <row r="47" spans="2:5" ht="12" hidden="1" customHeight="1">
      <c r="B47" s="1218">
        <v>43832</v>
      </c>
      <c r="C47" s="578"/>
      <c r="D47" s="1210"/>
      <c r="E47" s="1219">
        <v>43832</v>
      </c>
    </row>
    <row r="48" spans="2:5" ht="12" hidden="1" customHeight="1">
      <c r="B48" s="1220" t="s">
        <v>184</v>
      </c>
      <c r="C48" s="578">
        <v>8.3800000000000008</v>
      </c>
      <c r="D48" s="1210">
        <v>17.420000000000002</v>
      </c>
      <c r="E48" s="1220" t="s">
        <v>350</v>
      </c>
    </row>
    <row r="49" spans="2:7" ht="12" hidden="1" customHeight="1">
      <c r="B49" s="1220" t="s">
        <v>351</v>
      </c>
      <c r="C49" s="578">
        <v>1.44</v>
      </c>
      <c r="D49" s="1210">
        <v>5.03</v>
      </c>
      <c r="E49" s="1220" t="s">
        <v>207</v>
      </c>
    </row>
    <row r="50" spans="2:7" ht="12" hidden="1" customHeight="1">
      <c r="B50" s="1218">
        <v>43833</v>
      </c>
      <c r="C50" s="578"/>
      <c r="D50" s="1210"/>
      <c r="E50" s="1219">
        <v>43833</v>
      </c>
    </row>
    <row r="51" spans="2:7" ht="12" hidden="1" customHeight="1">
      <c r="B51" s="1220" t="s">
        <v>184</v>
      </c>
      <c r="C51" s="578">
        <v>7.91</v>
      </c>
      <c r="D51" s="1210">
        <v>16.39</v>
      </c>
      <c r="E51" s="1220" t="s">
        <v>350</v>
      </c>
    </row>
    <row r="52" spans="2:7" ht="12" hidden="1" customHeight="1">
      <c r="B52" s="1220" t="s">
        <v>351</v>
      </c>
      <c r="C52" s="578">
        <v>1.17</v>
      </c>
      <c r="D52" s="1210">
        <v>5.5</v>
      </c>
      <c r="E52" s="1220" t="s">
        <v>207</v>
      </c>
    </row>
    <row r="53" spans="2:7" ht="12" hidden="1" customHeight="1">
      <c r="B53" s="1218">
        <v>43834</v>
      </c>
      <c r="C53" s="578"/>
      <c r="D53" s="1210"/>
      <c r="E53" s="1219">
        <v>43834</v>
      </c>
    </row>
    <row r="54" spans="2:7" ht="12" hidden="1" customHeight="1">
      <c r="B54" s="1220" t="s">
        <v>184</v>
      </c>
      <c r="C54" s="578">
        <v>6.74</v>
      </c>
      <c r="D54" s="1210">
        <v>15.03</v>
      </c>
      <c r="E54" s="1220" t="s">
        <v>350</v>
      </c>
    </row>
    <row r="55" spans="2:7" ht="12" hidden="1" customHeight="1">
      <c r="B55" s="1220" t="s">
        <v>351</v>
      </c>
      <c r="C55" s="578">
        <v>1.32</v>
      </c>
      <c r="D55" s="1210">
        <v>5.81</v>
      </c>
      <c r="E55" s="1220" t="s">
        <v>207</v>
      </c>
    </row>
    <row r="56" spans="2:7" ht="12" hidden="1" customHeight="1">
      <c r="B56" s="1218">
        <v>43835</v>
      </c>
      <c r="C56" s="578"/>
      <c r="D56" s="1210"/>
      <c r="E56" s="1219">
        <v>43835</v>
      </c>
    </row>
    <row r="57" spans="2:7" ht="12" hidden="1" customHeight="1">
      <c r="B57" s="1220" t="s">
        <v>184</v>
      </c>
      <c r="C57" s="578">
        <v>6.19</v>
      </c>
      <c r="D57" s="1210">
        <v>11.31</v>
      </c>
      <c r="E57" s="1220" t="s">
        <v>350</v>
      </c>
    </row>
    <row r="58" spans="2:7" ht="12" hidden="1" customHeight="1">
      <c r="B58" s="1220" t="s">
        <v>351</v>
      </c>
      <c r="C58" s="578">
        <v>1.05</v>
      </c>
      <c r="D58" s="1210">
        <v>4.63</v>
      </c>
      <c r="E58" s="1220" t="s">
        <v>207</v>
      </c>
    </row>
    <row r="59" spans="2:7" ht="12" hidden="1" customHeight="1">
      <c r="B59" s="1218">
        <v>43836</v>
      </c>
      <c r="C59" s="578"/>
      <c r="D59" s="1210"/>
      <c r="E59" s="1219">
        <v>43836</v>
      </c>
    </row>
    <row r="60" spans="2:7" ht="12" hidden="1" customHeight="1">
      <c r="B60" s="1220" t="s">
        <v>184</v>
      </c>
      <c r="C60" s="578">
        <v>7.71</v>
      </c>
      <c r="D60" s="1210">
        <v>14.16</v>
      </c>
      <c r="E60" s="1220" t="s">
        <v>350</v>
      </c>
    </row>
    <row r="61" spans="2:7" ht="12" hidden="1" customHeight="1">
      <c r="B61" s="1220" t="s">
        <v>351</v>
      </c>
      <c r="C61" s="578">
        <v>3.22</v>
      </c>
      <c r="D61" s="1210">
        <v>3.97</v>
      </c>
      <c r="E61" s="1220" t="s">
        <v>207</v>
      </c>
    </row>
    <row r="62" spans="2:7" ht="12" hidden="1" customHeight="1">
      <c r="B62" s="1218">
        <v>43837</v>
      </c>
      <c r="C62" s="578"/>
      <c r="D62" s="1210"/>
      <c r="E62" s="1219">
        <v>43837</v>
      </c>
      <c r="G62" s="1211"/>
    </row>
    <row r="63" spans="2:7" ht="12" hidden="1" customHeight="1">
      <c r="B63" s="1220" t="s">
        <v>184</v>
      </c>
      <c r="C63" s="578">
        <v>9.09</v>
      </c>
      <c r="D63" s="1210">
        <v>17.239999999999998</v>
      </c>
      <c r="E63" s="1220" t="s">
        <v>350</v>
      </c>
    </row>
    <row r="64" spans="2:7" ht="12" hidden="1" customHeight="1">
      <c r="B64" s="1220" t="s">
        <v>351</v>
      </c>
      <c r="C64" s="578">
        <v>0.82</v>
      </c>
      <c r="D64" s="1210">
        <v>4.76</v>
      </c>
      <c r="E64" s="1220" t="s">
        <v>207</v>
      </c>
    </row>
    <row r="65" spans="2:5" ht="12" hidden="1" customHeight="1">
      <c r="B65" s="1218">
        <v>43838</v>
      </c>
      <c r="C65" s="578"/>
      <c r="D65" s="1210"/>
      <c r="E65" s="1219">
        <v>43838</v>
      </c>
    </row>
    <row r="66" spans="2:5" ht="12" hidden="1" customHeight="1">
      <c r="B66" s="1220" t="s">
        <v>184</v>
      </c>
      <c r="C66" s="578">
        <v>8.61</v>
      </c>
      <c r="D66" s="1210">
        <v>16.37</v>
      </c>
      <c r="E66" s="1220" t="s">
        <v>350</v>
      </c>
    </row>
    <row r="67" spans="2:5" ht="12" hidden="1" customHeight="1">
      <c r="B67" s="1220" t="s">
        <v>351</v>
      </c>
      <c r="C67" s="578">
        <v>0.77</v>
      </c>
      <c r="D67" s="1210">
        <v>5.78</v>
      </c>
      <c r="E67" s="1220" t="s">
        <v>207</v>
      </c>
    </row>
    <row r="68" spans="2:5" ht="12" hidden="1" customHeight="1">
      <c r="B68" s="1218">
        <v>43839</v>
      </c>
      <c r="C68" s="578"/>
      <c r="D68" s="1210"/>
      <c r="E68" s="1219">
        <v>43838</v>
      </c>
    </row>
    <row r="69" spans="2:5" ht="12" hidden="1" customHeight="1">
      <c r="B69" s="1220" t="s">
        <v>184</v>
      </c>
      <c r="C69" s="578">
        <v>8.61</v>
      </c>
      <c r="D69" s="1210">
        <v>17.53</v>
      </c>
      <c r="E69" s="1220" t="s">
        <v>350</v>
      </c>
    </row>
    <row r="70" spans="2:5" ht="12" hidden="1" customHeight="1">
      <c r="B70" s="1220" t="s">
        <v>351</v>
      </c>
      <c r="C70" s="578">
        <v>1.62</v>
      </c>
      <c r="D70" s="1210">
        <v>5.81</v>
      </c>
      <c r="E70" s="1220" t="s">
        <v>207</v>
      </c>
    </row>
    <row r="71" spans="2:5" ht="12" hidden="1" customHeight="1">
      <c r="B71" s="1218">
        <v>43840</v>
      </c>
      <c r="C71" s="578"/>
      <c r="D71" s="1210"/>
      <c r="E71" s="1219">
        <v>43840</v>
      </c>
    </row>
    <row r="72" spans="2:5" ht="12" hidden="1" customHeight="1">
      <c r="B72" s="1220" t="s">
        <v>184</v>
      </c>
      <c r="C72" s="578">
        <v>7.41</v>
      </c>
      <c r="D72" s="1210">
        <v>17.170000000000002</v>
      </c>
      <c r="E72" s="1220" t="s">
        <v>350</v>
      </c>
    </row>
    <row r="73" spans="2:5" ht="12" hidden="1" customHeight="1">
      <c r="B73" s="1220" t="s">
        <v>351</v>
      </c>
      <c r="C73" s="578">
        <v>0.84</v>
      </c>
      <c r="D73" s="1210">
        <v>4.8899999999999997</v>
      </c>
      <c r="E73" s="1220" t="s">
        <v>207</v>
      </c>
    </row>
    <row r="74" spans="2:5" ht="12" hidden="1" customHeight="1">
      <c r="B74" s="1218">
        <v>43841</v>
      </c>
      <c r="C74" s="1209"/>
      <c r="D74" s="1209"/>
      <c r="E74" s="1219">
        <v>43841</v>
      </c>
    </row>
    <row r="75" spans="2:5" ht="12" hidden="1" customHeight="1">
      <c r="B75" s="1220" t="s">
        <v>184</v>
      </c>
      <c r="C75" s="1209">
        <v>7.84</v>
      </c>
      <c r="D75" s="1209">
        <v>14.95</v>
      </c>
      <c r="E75" s="1220" t="s">
        <v>350</v>
      </c>
    </row>
    <row r="76" spans="2:5" ht="12" hidden="1" customHeight="1">
      <c r="B76" s="1220" t="s">
        <v>351</v>
      </c>
      <c r="C76" s="1209">
        <v>0.73</v>
      </c>
      <c r="D76" s="1209">
        <v>5.17</v>
      </c>
      <c r="E76" s="1220" t="s">
        <v>207</v>
      </c>
    </row>
    <row r="77" spans="2:5" ht="12" hidden="1" customHeight="1">
      <c r="B77" s="1218">
        <v>43842</v>
      </c>
      <c r="C77" s="1209"/>
      <c r="D77" s="1209"/>
      <c r="E77" s="1218">
        <v>43842</v>
      </c>
    </row>
    <row r="78" spans="2:5" ht="12" hidden="1" customHeight="1">
      <c r="B78" s="1220" t="s">
        <v>184</v>
      </c>
      <c r="C78" s="1209">
        <v>8.01</v>
      </c>
      <c r="D78" s="1209">
        <v>14.13</v>
      </c>
      <c r="E78" s="1220" t="s">
        <v>350</v>
      </c>
    </row>
    <row r="79" spans="2:5" ht="12" hidden="1" customHeight="1">
      <c r="B79" s="1220" t="s">
        <v>351</v>
      </c>
      <c r="C79" s="1209">
        <v>2.31</v>
      </c>
      <c r="D79" s="1209">
        <v>5.4</v>
      </c>
      <c r="E79" s="1220" t="s">
        <v>207</v>
      </c>
    </row>
    <row r="80" spans="2:5" ht="12" customHeight="1">
      <c r="B80" s="1218">
        <v>44197</v>
      </c>
      <c r="C80" s="1209"/>
      <c r="D80" s="1209"/>
      <c r="E80" s="1218">
        <v>44197</v>
      </c>
    </row>
    <row r="81" spans="2:9" ht="12" customHeight="1">
      <c r="B81" s="1220" t="s">
        <v>184</v>
      </c>
      <c r="C81" s="1209">
        <v>8.24</v>
      </c>
      <c r="D81" s="1209">
        <v>15.65</v>
      </c>
      <c r="E81" s="1220" t="s">
        <v>350</v>
      </c>
    </row>
    <row r="82" spans="2:9" ht="12" customHeight="1">
      <c r="B82" s="1220" t="s">
        <v>351</v>
      </c>
      <c r="C82" s="1209">
        <v>1.1499999999999999</v>
      </c>
      <c r="D82" s="1209">
        <v>3.43</v>
      </c>
      <c r="E82" s="1220" t="s">
        <v>207</v>
      </c>
    </row>
    <row r="83" spans="2:9" ht="12" customHeight="1">
      <c r="B83" s="1218">
        <v>44198</v>
      </c>
      <c r="C83" s="1209"/>
      <c r="D83" s="1209"/>
      <c r="E83" s="1218">
        <v>44198</v>
      </c>
    </row>
    <row r="84" spans="2:9" ht="12" customHeight="1">
      <c r="B84" s="1220" t="s">
        <v>184</v>
      </c>
      <c r="C84" s="1209">
        <v>6.78</v>
      </c>
      <c r="D84" s="1209">
        <v>17</v>
      </c>
      <c r="E84" s="1220" t="s">
        <v>350</v>
      </c>
    </row>
    <row r="85" spans="2:9" ht="12" customHeight="1">
      <c r="B85" s="1220" t="s">
        <v>351</v>
      </c>
      <c r="C85" s="1209">
        <v>1.55</v>
      </c>
      <c r="D85" s="1209">
        <v>3.97</v>
      </c>
      <c r="E85" s="1220" t="s">
        <v>207</v>
      </c>
    </row>
    <row r="86" spans="2:9" ht="12" customHeight="1">
      <c r="B86" s="1218">
        <v>44199</v>
      </c>
      <c r="C86" s="1209"/>
      <c r="D86" s="1209"/>
      <c r="E86" s="1218">
        <v>44199</v>
      </c>
    </row>
    <row r="87" spans="2:9" ht="12" customHeight="1">
      <c r="B87" s="1220" t="s">
        <v>184</v>
      </c>
      <c r="C87" s="1209">
        <v>8.18</v>
      </c>
      <c r="D87" s="1209">
        <v>17.62</v>
      </c>
      <c r="E87" s="1220" t="s">
        <v>350</v>
      </c>
    </row>
    <row r="88" spans="2:9" ht="12" customHeight="1">
      <c r="B88" s="1220" t="s">
        <v>351</v>
      </c>
      <c r="C88" s="1209">
        <v>1.07</v>
      </c>
      <c r="D88" s="1209">
        <v>5.07</v>
      </c>
      <c r="E88" s="1220" t="s">
        <v>207</v>
      </c>
    </row>
    <row r="89" spans="2:9" ht="12" customHeight="1">
      <c r="B89" s="1218">
        <v>44200</v>
      </c>
      <c r="C89" s="1209"/>
      <c r="D89" s="1209"/>
      <c r="E89" s="1218">
        <v>44200</v>
      </c>
    </row>
    <row r="90" spans="2:9" ht="12" customHeight="1">
      <c r="B90" s="1220" t="s">
        <v>184</v>
      </c>
      <c r="C90" s="1209">
        <v>7.62</v>
      </c>
      <c r="D90" s="1209">
        <v>17.18</v>
      </c>
      <c r="E90" s="1220" t="s">
        <v>350</v>
      </c>
    </row>
    <row r="91" spans="2:9" ht="12" customHeight="1">
      <c r="B91" s="1220" t="s">
        <v>351</v>
      </c>
      <c r="C91" s="1209">
        <v>0.84</v>
      </c>
      <c r="D91" s="1209">
        <v>5.83</v>
      </c>
      <c r="E91" s="1220" t="s">
        <v>207</v>
      </c>
    </row>
    <row r="92" spans="2:9" ht="12" customHeight="1">
      <c r="B92" s="1218">
        <v>44201</v>
      </c>
      <c r="C92" s="1209"/>
      <c r="D92" s="1209"/>
      <c r="E92" s="1218">
        <v>44201</v>
      </c>
    </row>
    <row r="93" spans="2:9" ht="12" customHeight="1">
      <c r="B93" s="1220" t="s">
        <v>184</v>
      </c>
      <c r="C93" s="1209">
        <v>8.0500000000000007</v>
      </c>
      <c r="D93" s="1209">
        <v>17.61</v>
      </c>
      <c r="E93" s="1220" t="s">
        <v>350</v>
      </c>
      <c r="I93" s="1212"/>
    </row>
    <row r="94" spans="2:9" ht="12" customHeight="1">
      <c r="B94" s="1220" t="s">
        <v>351</v>
      </c>
      <c r="C94" s="1209">
        <v>1.18</v>
      </c>
      <c r="D94" s="1209">
        <v>5.38</v>
      </c>
      <c r="E94" s="1220" t="s">
        <v>207</v>
      </c>
    </row>
    <row r="95" spans="2:9" ht="12" customHeight="1">
      <c r="B95" s="1218">
        <v>44202</v>
      </c>
      <c r="C95" s="1209"/>
      <c r="D95" s="1209"/>
      <c r="E95" s="1218">
        <v>44202</v>
      </c>
    </row>
    <row r="96" spans="2:9" ht="12" customHeight="1">
      <c r="B96" s="1220" t="s">
        <v>184</v>
      </c>
      <c r="C96" s="1209">
        <v>8.83</v>
      </c>
      <c r="D96" s="1209">
        <v>17.57</v>
      </c>
      <c r="E96" s="1220" t="s">
        <v>350</v>
      </c>
    </row>
    <row r="97" spans="2:5" ht="12" customHeight="1">
      <c r="B97" s="1220" t="s">
        <v>351</v>
      </c>
      <c r="C97" s="1209">
        <v>0.68</v>
      </c>
      <c r="D97" s="1209">
        <v>5.21</v>
      </c>
      <c r="E97" s="1220" t="s">
        <v>207</v>
      </c>
    </row>
    <row r="98" spans="2:5" ht="12" customHeight="1">
      <c r="B98" s="1218">
        <v>44203</v>
      </c>
      <c r="C98" s="1209"/>
      <c r="D98" s="1209"/>
      <c r="E98" s="1218">
        <v>44203</v>
      </c>
    </row>
    <row r="99" spans="2:5" ht="12" customHeight="1">
      <c r="B99" s="1220" t="s">
        <v>184</v>
      </c>
      <c r="C99" s="1209">
        <v>8.9600000000000009</v>
      </c>
      <c r="D99" s="1209">
        <v>17.38</v>
      </c>
      <c r="E99" s="1220" t="s">
        <v>350</v>
      </c>
    </row>
    <row r="100" spans="2:5" ht="12" customHeight="1">
      <c r="B100" s="1220" t="s">
        <v>351</v>
      </c>
      <c r="C100" s="1209">
        <v>1.06</v>
      </c>
      <c r="D100" s="1209">
        <v>6.02</v>
      </c>
      <c r="E100" s="1220" t="s">
        <v>207</v>
      </c>
    </row>
    <row r="101" spans="2:5" ht="12" customHeight="1">
      <c r="B101" s="1218">
        <v>44204</v>
      </c>
      <c r="C101" s="1209"/>
      <c r="D101" s="1209"/>
      <c r="E101" s="1218">
        <v>44204</v>
      </c>
    </row>
    <row r="102" spans="2:5" ht="12" customHeight="1">
      <c r="B102" s="1220" t="s">
        <v>184</v>
      </c>
      <c r="C102" s="1209">
        <v>8.0399999999999991</v>
      </c>
      <c r="D102" s="1209">
        <v>17.579999999999998</v>
      </c>
      <c r="E102" s="1220" t="s">
        <v>350</v>
      </c>
    </row>
    <row r="103" spans="2:5" ht="12" customHeight="1">
      <c r="B103" s="1220" t="s">
        <v>351</v>
      </c>
      <c r="C103" s="1209">
        <v>1.19</v>
      </c>
      <c r="D103" s="1209">
        <v>5.72</v>
      </c>
      <c r="E103" s="1220" t="s">
        <v>207</v>
      </c>
    </row>
    <row r="104" spans="2:5" ht="12" customHeight="1">
      <c r="B104" s="1218">
        <v>44205</v>
      </c>
      <c r="C104" s="1209"/>
      <c r="D104" s="1209"/>
      <c r="E104" s="1218">
        <v>44205</v>
      </c>
    </row>
    <row r="105" spans="2:5" ht="12" customHeight="1">
      <c r="B105" s="1220" t="s">
        <v>184</v>
      </c>
      <c r="C105" s="1209">
        <v>8.6300000000000008</v>
      </c>
      <c r="D105" s="1209">
        <v>17.84</v>
      </c>
      <c r="E105" s="1220" t="s">
        <v>350</v>
      </c>
    </row>
    <row r="106" spans="2:5" ht="10.5" customHeight="1">
      <c r="B106" s="1220" t="s">
        <v>351</v>
      </c>
      <c r="C106" s="1209">
        <v>0.9</v>
      </c>
      <c r="D106" s="1209">
        <v>4.55</v>
      </c>
      <c r="E106" s="1220" t="s">
        <v>207</v>
      </c>
    </row>
    <row r="107" spans="2:5" ht="10.5" customHeight="1">
      <c r="B107" s="1218">
        <v>44206</v>
      </c>
      <c r="C107" s="1209"/>
      <c r="D107" s="1209"/>
      <c r="E107" s="1218">
        <v>44206</v>
      </c>
    </row>
    <row r="108" spans="2:5" ht="10.5" customHeight="1">
      <c r="B108" s="1220" t="s">
        <v>184</v>
      </c>
      <c r="C108" s="1209">
        <v>7.89</v>
      </c>
      <c r="D108" s="1209">
        <v>17.739999999999998</v>
      </c>
      <c r="E108" s="1220" t="s">
        <v>350</v>
      </c>
    </row>
    <row r="109" spans="2:5" ht="10.5" customHeight="1">
      <c r="B109" s="1220" t="s">
        <v>351</v>
      </c>
      <c r="C109" s="1209">
        <v>0.89</v>
      </c>
      <c r="D109" s="1209">
        <v>5.52</v>
      </c>
      <c r="E109" s="1220" t="s">
        <v>207</v>
      </c>
    </row>
    <row r="110" spans="2:5" ht="10.5" customHeight="1">
      <c r="B110" s="1218">
        <v>44207</v>
      </c>
      <c r="C110" s="1209"/>
      <c r="D110" s="1209"/>
      <c r="E110" s="1218">
        <v>44207</v>
      </c>
    </row>
    <row r="111" spans="2:5" ht="10.5" customHeight="1">
      <c r="B111" s="1220" t="s">
        <v>184</v>
      </c>
      <c r="C111" s="1209">
        <v>8.4852166087593996</v>
      </c>
      <c r="D111" s="1209">
        <v>17.126320129385</v>
      </c>
      <c r="E111" s="1220" t="s">
        <v>350</v>
      </c>
    </row>
    <row r="112" spans="2:5" ht="10.5" customHeight="1">
      <c r="B112" s="1220" t="s">
        <v>351</v>
      </c>
      <c r="C112" s="1209">
        <v>0.869302402393618</v>
      </c>
      <c r="D112" s="1209">
        <v>4.73917110856347</v>
      </c>
      <c r="E112" s="1220" t="s">
        <v>207</v>
      </c>
    </row>
    <row r="113" spans="2:5" ht="10.5" customHeight="1">
      <c r="B113" s="1218">
        <v>44208</v>
      </c>
      <c r="C113" s="1209"/>
      <c r="D113" s="1209"/>
      <c r="E113" s="1218">
        <v>44208</v>
      </c>
    </row>
    <row r="114" spans="2:5" ht="10.5" customHeight="1">
      <c r="B114" s="1220" t="s">
        <v>184</v>
      </c>
      <c r="C114" s="1209">
        <v>8.4499999999999993</v>
      </c>
      <c r="D114" s="1209">
        <v>16.96</v>
      </c>
      <c r="E114" s="1220" t="s">
        <v>350</v>
      </c>
    </row>
    <row r="115" spans="2:5" ht="10.5" customHeight="1">
      <c r="B115" s="1220" t="s">
        <v>351</v>
      </c>
      <c r="C115" s="1209">
        <v>1.01</v>
      </c>
      <c r="D115" s="1209">
        <v>5.5</v>
      </c>
      <c r="E115" s="1220" t="s">
        <v>207</v>
      </c>
    </row>
    <row r="116" spans="2:5" ht="10.5" customHeight="1">
      <c r="B116" s="1218">
        <v>44562</v>
      </c>
      <c r="C116" s="1209"/>
      <c r="D116" s="1209"/>
      <c r="E116" s="1218">
        <v>44562</v>
      </c>
    </row>
    <row r="117" spans="2:5" ht="10.5" customHeight="1">
      <c r="B117" s="1220" t="s">
        <v>184</v>
      </c>
      <c r="C117" s="1209">
        <v>9.0734050578463101</v>
      </c>
      <c r="D117" s="1209">
        <v>16.430556473376999</v>
      </c>
      <c r="E117" s="1220" t="s">
        <v>350</v>
      </c>
    </row>
    <row r="118" spans="2:5" ht="10.5" customHeight="1">
      <c r="B118" s="1220" t="s">
        <v>351</v>
      </c>
      <c r="C118" s="1209">
        <v>1.34607710298501</v>
      </c>
      <c r="D118" s="1209">
        <v>5.0647932762014198</v>
      </c>
      <c r="E118" s="1220" t="s">
        <v>207</v>
      </c>
    </row>
    <row r="119" spans="2:5" ht="10.5" customHeight="1">
      <c r="B119" s="1218">
        <v>44563</v>
      </c>
      <c r="C119" s="1209"/>
      <c r="D119" s="1209"/>
      <c r="E119" s="1218">
        <v>44563</v>
      </c>
    </row>
    <row r="120" spans="2:5" ht="10.5" customHeight="1">
      <c r="B120" s="1220" t="s">
        <v>184</v>
      </c>
      <c r="C120" s="1209">
        <v>6.41</v>
      </c>
      <c r="D120" s="1209">
        <v>17.55</v>
      </c>
      <c r="E120" s="1220" t="s">
        <v>350</v>
      </c>
    </row>
    <row r="121" spans="2:5" ht="10.5" customHeight="1">
      <c r="B121" s="1220" t="s">
        <v>351</v>
      </c>
      <c r="C121" s="1209">
        <v>1.38</v>
      </c>
      <c r="D121" s="1209">
        <v>4.55</v>
      </c>
      <c r="E121" s="1220" t="s">
        <v>207</v>
      </c>
    </row>
    <row r="122" spans="2:5" ht="10.5" customHeight="1">
      <c r="B122" s="1218">
        <v>44564</v>
      </c>
      <c r="C122" s="1209"/>
      <c r="D122" s="1209"/>
      <c r="E122" s="1218">
        <v>44564</v>
      </c>
    </row>
    <row r="123" spans="2:5" ht="10.5" customHeight="1">
      <c r="B123" s="1220" t="s">
        <v>184</v>
      </c>
      <c r="C123" s="1209">
        <v>8.5260057543494501</v>
      </c>
      <c r="D123" s="1209">
        <v>16.4929505198802</v>
      </c>
      <c r="E123" s="1220" t="s">
        <v>350</v>
      </c>
    </row>
    <row r="124" spans="2:5" ht="10.5" customHeight="1">
      <c r="B124" s="1220" t="s">
        <v>351</v>
      </c>
      <c r="C124" s="1209">
        <v>1.40290192566995</v>
      </c>
      <c r="D124" s="1209">
        <v>4.7976959432738298</v>
      </c>
      <c r="E124" s="1220" t="s">
        <v>207</v>
      </c>
    </row>
    <row r="125" spans="2:5" ht="10.5" customHeight="1">
      <c r="B125" s="1218">
        <v>44565</v>
      </c>
      <c r="C125" s="1209"/>
      <c r="D125" s="1209"/>
      <c r="E125" s="1218">
        <v>44565</v>
      </c>
    </row>
    <row r="126" spans="2:5" ht="10.5" customHeight="1">
      <c r="B126" s="1220" t="s">
        <v>184</v>
      </c>
      <c r="C126" s="1209">
        <v>8.7200000000000006</v>
      </c>
      <c r="D126" s="1209">
        <v>17.11</v>
      </c>
      <c r="E126" s="1220" t="s">
        <v>350</v>
      </c>
    </row>
    <row r="127" spans="2:5" ht="10.5" customHeight="1">
      <c r="B127" s="1220" t="s">
        <v>351</v>
      </c>
      <c r="C127" s="1209">
        <v>1.31</v>
      </c>
      <c r="D127" s="1209">
        <v>4.71</v>
      </c>
      <c r="E127" s="1220" t="s">
        <v>207</v>
      </c>
    </row>
    <row r="128" spans="2:5" ht="10.5" customHeight="1">
      <c r="B128" s="1218">
        <v>44566</v>
      </c>
      <c r="C128" s="1209"/>
      <c r="D128" s="1209"/>
      <c r="E128" s="1218">
        <v>44566</v>
      </c>
    </row>
    <row r="129" spans="2:5" ht="10.5" customHeight="1">
      <c r="B129" s="1220" t="s">
        <v>184</v>
      </c>
      <c r="C129" s="1209">
        <v>8.68</v>
      </c>
      <c r="D129" s="1209">
        <v>16.34</v>
      </c>
      <c r="E129" s="1220" t="s">
        <v>350</v>
      </c>
    </row>
    <row r="130" spans="2:5" ht="10.5" customHeight="1">
      <c r="B130" s="1220" t="s">
        <v>351</v>
      </c>
      <c r="C130" s="1209">
        <v>0.8</v>
      </c>
      <c r="D130" s="1209">
        <v>4.8499999999999996</v>
      </c>
      <c r="E130" s="1220" t="s">
        <v>207</v>
      </c>
    </row>
    <row r="131" spans="2:5" ht="10.5" customHeight="1">
      <c r="B131" s="1218">
        <v>44567</v>
      </c>
      <c r="C131" s="1209"/>
      <c r="D131" s="1209"/>
      <c r="E131" s="1218">
        <v>44567</v>
      </c>
    </row>
    <row r="132" spans="2:5" ht="10.5" customHeight="1">
      <c r="B132" s="1220" t="s">
        <v>184</v>
      </c>
      <c r="C132" s="1209">
        <v>8.77</v>
      </c>
      <c r="D132" s="1209">
        <v>16.940000000000001</v>
      </c>
      <c r="E132" s="1220" t="s">
        <v>350</v>
      </c>
    </row>
    <row r="133" spans="2:5" ht="10.5" customHeight="1">
      <c r="B133" s="1220" t="s">
        <v>351</v>
      </c>
      <c r="C133" s="1209">
        <v>0.95</v>
      </c>
      <c r="D133" s="1209">
        <v>4.53</v>
      </c>
      <c r="E133" s="1220" t="s">
        <v>207</v>
      </c>
    </row>
    <row r="134" spans="2:5" ht="10.5" customHeight="1">
      <c r="B134" s="1218">
        <v>44568</v>
      </c>
      <c r="C134" s="1209"/>
      <c r="D134" s="1209"/>
      <c r="E134" s="1218">
        <v>44568</v>
      </c>
    </row>
    <row r="135" spans="2:5" ht="10.5" customHeight="1">
      <c r="B135" s="1220" t="s">
        <v>184</v>
      </c>
      <c r="C135" s="1209">
        <v>8.15</v>
      </c>
      <c r="D135" s="1209">
        <v>16.170000000000002</v>
      </c>
      <c r="E135" s="1220" t="s">
        <v>350</v>
      </c>
    </row>
    <row r="136" spans="2:5" ht="10.5" customHeight="1">
      <c r="B136" s="1220" t="s">
        <v>351</v>
      </c>
      <c r="C136" s="1209">
        <v>0.76</v>
      </c>
      <c r="D136" s="1209">
        <v>4.4400000000000004</v>
      </c>
      <c r="E136" s="1220" t="s">
        <v>207</v>
      </c>
    </row>
    <row r="137" spans="2:5" ht="10.5" customHeight="1">
      <c r="B137" s="1218">
        <v>44569</v>
      </c>
      <c r="C137" s="1209"/>
      <c r="D137" s="1209"/>
      <c r="E137" s="1218">
        <v>44569</v>
      </c>
    </row>
    <row r="138" spans="2:5" ht="10.5" customHeight="1">
      <c r="B138" s="1220" t="s">
        <v>184</v>
      </c>
      <c r="C138" s="1209">
        <v>7.44</v>
      </c>
      <c r="D138" s="1209">
        <v>16.670000000000002</v>
      </c>
      <c r="E138" s="1220" t="s">
        <v>350</v>
      </c>
    </row>
    <row r="139" spans="2:5" ht="10.5" customHeight="1">
      <c r="B139" s="1220" t="s">
        <v>351</v>
      </c>
      <c r="C139" s="1209">
        <v>1.3</v>
      </c>
      <c r="D139" s="1209">
        <v>4.08</v>
      </c>
      <c r="E139" s="1220" t="s">
        <v>207</v>
      </c>
    </row>
    <row r="140" spans="2:5" ht="10.5" customHeight="1">
      <c r="B140" s="1218">
        <v>44570</v>
      </c>
      <c r="C140" s="1209"/>
      <c r="D140" s="1209"/>
      <c r="E140" s="1218">
        <v>44570</v>
      </c>
    </row>
    <row r="141" spans="2:5" ht="10.5" customHeight="1">
      <c r="B141" s="1220" t="s">
        <v>184</v>
      </c>
      <c r="C141" s="1209">
        <v>8.86</v>
      </c>
      <c r="D141" s="1209">
        <v>17.16</v>
      </c>
      <c r="E141" s="1220" t="s">
        <v>350</v>
      </c>
    </row>
    <row r="142" spans="2:5" ht="10.5" customHeight="1">
      <c r="B142" s="1220" t="s">
        <v>351</v>
      </c>
      <c r="C142" s="1209">
        <v>1.62</v>
      </c>
      <c r="D142" s="1209">
        <v>5.07</v>
      </c>
      <c r="E142" s="1220" t="s">
        <v>207</v>
      </c>
    </row>
    <row r="143" spans="2:5" ht="10.5" customHeight="1">
      <c r="B143" s="1218">
        <v>44571</v>
      </c>
      <c r="C143" s="1209"/>
      <c r="D143" s="1209"/>
      <c r="E143" s="1218">
        <v>44571</v>
      </c>
    </row>
    <row r="144" spans="2:5" ht="10.5" customHeight="1">
      <c r="B144" s="1220" t="s">
        <v>184</v>
      </c>
      <c r="C144" s="1209">
        <v>8.9466000000000001</v>
      </c>
      <c r="D144" s="1209">
        <v>16.350000000000001</v>
      </c>
      <c r="E144" s="1220" t="s">
        <v>350</v>
      </c>
    </row>
    <row r="145" spans="2:5" ht="10.5" customHeight="1">
      <c r="B145" s="1220" t="s">
        <v>351</v>
      </c>
      <c r="C145" s="1209">
        <v>1.57</v>
      </c>
      <c r="D145" s="1209">
        <v>4.63</v>
      </c>
      <c r="E145" s="1220" t="s">
        <v>207</v>
      </c>
    </row>
    <row r="146" spans="2:5" ht="10.5" customHeight="1">
      <c r="B146" s="1218">
        <v>44572</v>
      </c>
      <c r="C146" s="1209"/>
      <c r="D146" s="1209"/>
      <c r="E146" s="1218">
        <v>44572</v>
      </c>
    </row>
    <row r="147" spans="2:5" ht="10.5" customHeight="1">
      <c r="B147" s="1220" t="s">
        <v>184</v>
      </c>
      <c r="C147" s="1209">
        <v>8.61</v>
      </c>
      <c r="D147" s="1209">
        <v>15.87</v>
      </c>
      <c r="E147" s="1220" t="s">
        <v>350</v>
      </c>
    </row>
    <row r="148" spans="2:5" ht="10.5" customHeight="1">
      <c r="B148" s="1220" t="s">
        <v>351</v>
      </c>
      <c r="C148" s="1209">
        <v>2</v>
      </c>
      <c r="D148" s="1209">
        <v>4.4400000000000004</v>
      </c>
      <c r="E148" s="1220" t="s">
        <v>207</v>
      </c>
    </row>
    <row r="149" spans="2:5" ht="10.5" customHeight="1">
      <c r="B149" s="1218">
        <v>44573</v>
      </c>
      <c r="C149" s="1209"/>
      <c r="D149" s="1209"/>
      <c r="E149" s="1218">
        <v>44573</v>
      </c>
    </row>
    <row r="150" spans="2:5" ht="10.5" customHeight="1">
      <c r="B150" s="1220" t="s">
        <v>184</v>
      </c>
      <c r="C150" s="1209">
        <v>8.1255699968013797</v>
      </c>
      <c r="D150" s="1209">
        <v>15.8221124672479</v>
      </c>
      <c r="E150" s="1220" t="s">
        <v>350</v>
      </c>
    </row>
    <row r="151" spans="2:5" ht="10.5" customHeight="1">
      <c r="B151" s="1220" t="s">
        <v>351</v>
      </c>
      <c r="C151" s="1209">
        <v>2.4274596949307199</v>
      </c>
      <c r="D151" s="1209">
        <v>4.0818775446556099</v>
      </c>
      <c r="E151" s="1220" t="s">
        <v>207</v>
      </c>
    </row>
    <row r="152" spans="2:5" ht="10.5" customHeight="1">
      <c r="B152" s="1218">
        <v>44927</v>
      </c>
      <c r="C152" s="1209"/>
      <c r="D152" s="1209"/>
      <c r="E152" s="1218">
        <v>44927</v>
      </c>
    </row>
    <row r="153" spans="2:5" ht="10.5" customHeight="1">
      <c r="B153" s="1220" t="s">
        <v>184</v>
      </c>
      <c r="C153" s="1209">
        <v>8.35</v>
      </c>
      <c r="D153" s="1209">
        <v>15.85</v>
      </c>
      <c r="E153" s="1220" t="s">
        <v>350</v>
      </c>
    </row>
    <row r="154" spans="2:5" ht="10.5" customHeight="1">
      <c r="B154" s="1220" t="s">
        <v>351</v>
      </c>
      <c r="C154" s="1209">
        <v>1.79</v>
      </c>
      <c r="D154" s="1209">
        <v>4.6900000000000004</v>
      </c>
      <c r="E154" s="1220" t="s">
        <v>207</v>
      </c>
    </row>
    <row r="155" spans="2:5" ht="10.5" customHeight="1">
      <c r="B155" s="1218">
        <v>44958</v>
      </c>
      <c r="C155" s="1209"/>
      <c r="D155" s="1209"/>
      <c r="E155" s="1218">
        <v>44958</v>
      </c>
    </row>
    <row r="156" spans="2:5" ht="10.5" customHeight="1">
      <c r="B156" s="1220" t="s">
        <v>184</v>
      </c>
      <c r="C156" s="1209">
        <v>7.8</v>
      </c>
      <c r="D156" s="1209">
        <v>16.43</v>
      </c>
      <c r="E156" s="1220" t="s">
        <v>350</v>
      </c>
    </row>
    <row r="157" spans="2:5" ht="10.5" customHeight="1">
      <c r="B157" s="1220" t="s">
        <v>351</v>
      </c>
      <c r="C157" s="1209">
        <v>2.4900000000000002</v>
      </c>
      <c r="D157" s="1209">
        <v>4.8600000000000003</v>
      </c>
      <c r="E157" s="1220" t="s">
        <v>207</v>
      </c>
    </row>
    <row r="158" spans="2:5" ht="10.5" customHeight="1">
      <c r="B158" s="1218">
        <v>44986</v>
      </c>
      <c r="C158" s="1209"/>
      <c r="D158" s="1209"/>
      <c r="E158" s="1218">
        <v>44986</v>
      </c>
    </row>
    <row r="159" spans="2:5" ht="10.5" customHeight="1">
      <c r="B159" s="1220" t="s">
        <v>184</v>
      </c>
      <c r="C159" s="1209">
        <v>7.51</v>
      </c>
      <c r="D159" s="1209">
        <v>16.809999999999999</v>
      </c>
      <c r="E159" s="1220" t="s">
        <v>350</v>
      </c>
    </row>
    <row r="160" spans="2:5" ht="10.5" customHeight="1">
      <c r="B160" s="1220" t="s">
        <v>351</v>
      </c>
      <c r="C160" s="1209">
        <v>2.02</v>
      </c>
      <c r="D160" s="1209">
        <v>4.91</v>
      </c>
      <c r="E160" s="1220" t="s">
        <v>207</v>
      </c>
    </row>
    <row r="161" spans="2:5" ht="10.5" customHeight="1">
      <c r="B161" s="1218">
        <v>45017</v>
      </c>
      <c r="C161" s="1209"/>
      <c r="D161" s="1209"/>
      <c r="E161" s="1218">
        <v>45017</v>
      </c>
    </row>
    <row r="162" spans="2:5" ht="10.5" customHeight="1">
      <c r="B162" s="1220" t="s">
        <v>184</v>
      </c>
      <c r="C162" s="1209">
        <v>7.8352970978728296</v>
      </c>
      <c r="D162" s="1209">
        <v>15.994237383635101</v>
      </c>
      <c r="E162" s="1220" t="s">
        <v>350</v>
      </c>
    </row>
    <row r="163" spans="2:5" ht="10.5" customHeight="1">
      <c r="B163" s="1220" t="s">
        <v>351</v>
      </c>
      <c r="C163" s="1209">
        <v>1.6658552923039001</v>
      </c>
      <c r="D163" s="1209">
        <v>5.2627029938083103</v>
      </c>
      <c r="E163" s="1220" t="s">
        <v>207</v>
      </c>
    </row>
    <row r="164" spans="2:5" ht="10.5" customHeight="1">
      <c r="B164" s="1218">
        <v>45047</v>
      </c>
      <c r="C164" s="1209"/>
      <c r="D164" s="1209"/>
      <c r="E164" s="1218">
        <v>45047</v>
      </c>
    </row>
    <row r="165" spans="2:5" ht="10.5" customHeight="1">
      <c r="B165" s="1220" t="s">
        <v>184</v>
      </c>
      <c r="C165" s="1209">
        <v>7.72</v>
      </c>
      <c r="D165" s="1209">
        <v>15.92</v>
      </c>
      <c r="E165" s="1220" t="s">
        <v>350</v>
      </c>
    </row>
    <row r="166" spans="2:5" ht="10.5" customHeight="1">
      <c r="B166" s="1220" t="s">
        <v>351</v>
      </c>
      <c r="C166" s="1209">
        <v>2.34</v>
      </c>
      <c r="D166" s="1209">
        <v>4.92</v>
      </c>
      <c r="E166" s="1220" t="s">
        <v>207</v>
      </c>
    </row>
    <row r="167" spans="2:5" ht="10.5" customHeight="1">
      <c r="B167" s="1218">
        <v>45078</v>
      </c>
      <c r="C167" s="1209"/>
      <c r="D167" s="1209"/>
      <c r="E167" s="1218">
        <v>45078</v>
      </c>
    </row>
    <row r="168" spans="2:5" ht="10.5" customHeight="1">
      <c r="B168" s="1220" t="s">
        <v>184</v>
      </c>
      <c r="C168" s="1209">
        <v>7.94</v>
      </c>
      <c r="D168" s="1209">
        <v>15.49</v>
      </c>
      <c r="E168" s="1220" t="s">
        <v>350</v>
      </c>
    </row>
    <row r="169" spans="2:5" ht="10.5" customHeight="1">
      <c r="B169" s="1220" t="s">
        <v>351</v>
      </c>
      <c r="C169" s="1209">
        <v>1.48</v>
      </c>
      <c r="D169" s="1209">
        <v>5.34</v>
      </c>
      <c r="E169" s="1220" t="s">
        <v>207</v>
      </c>
    </row>
    <row r="170" spans="2:5" ht="10.5" customHeight="1">
      <c r="B170" s="1218">
        <v>45108</v>
      </c>
      <c r="C170" s="1209"/>
      <c r="D170" s="1209"/>
      <c r="E170" s="1218">
        <v>45108</v>
      </c>
    </row>
    <row r="171" spans="2:5" ht="10.5" customHeight="1">
      <c r="B171" s="1220" t="s">
        <v>184</v>
      </c>
      <c r="C171" s="1209">
        <v>7.51</v>
      </c>
      <c r="D171" s="1209">
        <v>15.68</v>
      </c>
      <c r="E171" s="1220" t="s">
        <v>350</v>
      </c>
    </row>
    <row r="172" spans="2:5" ht="10.5" customHeight="1">
      <c r="B172" s="1220" t="s">
        <v>351</v>
      </c>
      <c r="C172" s="1209">
        <v>1.83</v>
      </c>
      <c r="D172" s="1209">
        <v>6.05</v>
      </c>
      <c r="E172" s="1220" t="s">
        <v>207</v>
      </c>
    </row>
    <row r="173" spans="2:5" ht="10.5" customHeight="1">
      <c r="B173" s="1218">
        <v>45139</v>
      </c>
      <c r="C173" s="1209"/>
      <c r="D173" s="1209"/>
      <c r="E173" s="1218">
        <v>45139</v>
      </c>
    </row>
    <row r="174" spans="2:5" ht="10.5" customHeight="1">
      <c r="B174" s="1220" t="s">
        <v>184</v>
      </c>
      <c r="C174" s="1209">
        <v>7.96</v>
      </c>
      <c r="D174" s="1209">
        <v>15.31</v>
      </c>
      <c r="E174" s="1220" t="s">
        <v>350</v>
      </c>
    </row>
    <row r="175" spans="2:5" ht="10.5" customHeight="1">
      <c r="B175" s="1220" t="s">
        <v>351</v>
      </c>
      <c r="C175" s="1209">
        <v>2.06</v>
      </c>
      <c r="D175" s="1209">
        <v>5.57</v>
      </c>
      <c r="E175" s="1220" t="s">
        <v>207</v>
      </c>
    </row>
    <row r="176" spans="2:5" ht="10.5" customHeight="1">
      <c r="B176" s="1218">
        <v>44935</v>
      </c>
      <c r="C176" s="1209"/>
      <c r="D176" s="1209"/>
      <c r="E176" s="1218">
        <v>44935</v>
      </c>
    </row>
    <row r="177" spans="2:5" ht="10.5" customHeight="1">
      <c r="B177" s="1220" t="s">
        <v>184</v>
      </c>
      <c r="C177" s="1209">
        <v>7.7</v>
      </c>
      <c r="D177" s="1209">
        <v>15.79</v>
      </c>
      <c r="E177" s="1220" t="s">
        <v>350</v>
      </c>
    </row>
    <row r="178" spans="2:5" ht="10.5" customHeight="1">
      <c r="B178" s="1220" t="s">
        <v>351</v>
      </c>
      <c r="C178" s="1209">
        <v>2.39</v>
      </c>
      <c r="D178" s="1209">
        <v>5.18</v>
      </c>
      <c r="E178" s="1220" t="s">
        <v>207</v>
      </c>
    </row>
    <row r="179" spans="2:5" ht="10.5" customHeight="1">
      <c r="B179" s="1218">
        <v>44936</v>
      </c>
      <c r="C179" s="1209"/>
      <c r="D179" s="1209"/>
      <c r="E179" s="1218">
        <v>44936</v>
      </c>
    </row>
    <row r="180" spans="2:5" ht="10.5" customHeight="1">
      <c r="B180" s="1220" t="s">
        <v>184</v>
      </c>
      <c r="C180" s="1209">
        <v>8.16</v>
      </c>
      <c r="D180" s="1209">
        <v>16.09</v>
      </c>
      <c r="E180" s="1220" t="s">
        <v>350</v>
      </c>
    </row>
    <row r="181" spans="2:5" ht="10.5" customHeight="1">
      <c r="B181" s="1220" t="s">
        <v>351</v>
      </c>
      <c r="C181" s="1209">
        <v>1.49</v>
      </c>
      <c r="D181" s="1209">
        <v>5.33</v>
      </c>
      <c r="E181" s="1220" t="s">
        <v>207</v>
      </c>
    </row>
    <row r="182" spans="2:5" ht="10.5" customHeight="1">
      <c r="B182" s="1218">
        <v>44937</v>
      </c>
      <c r="C182" s="1209"/>
      <c r="D182" s="1209"/>
      <c r="E182" s="1218">
        <v>44937</v>
      </c>
    </row>
    <row r="183" spans="2:5" ht="10.5" customHeight="1">
      <c r="B183" s="1220" t="s">
        <v>184</v>
      </c>
      <c r="C183" s="1209">
        <v>7.31</v>
      </c>
      <c r="D183" s="1209">
        <v>15.79</v>
      </c>
      <c r="E183" s="1220" t="s">
        <v>350</v>
      </c>
    </row>
    <row r="184" spans="2:5" ht="10.5" customHeight="1">
      <c r="B184" s="1220" t="s">
        <v>351</v>
      </c>
      <c r="C184" s="1209">
        <v>1.67</v>
      </c>
      <c r="D184" s="1209">
        <v>6.33</v>
      </c>
      <c r="E184" s="1220" t="s">
        <v>207</v>
      </c>
    </row>
    <row r="185" spans="2:5" ht="10.5" customHeight="1">
      <c r="B185" s="1218">
        <v>44938</v>
      </c>
      <c r="C185" s="1209"/>
      <c r="D185" s="1209"/>
      <c r="E185" s="1218">
        <v>44938</v>
      </c>
    </row>
    <row r="186" spans="2:5" ht="10.5" customHeight="1">
      <c r="B186" s="1220" t="s">
        <v>184</v>
      </c>
      <c r="C186" s="1209">
        <v>8.27</v>
      </c>
      <c r="D186" s="1209">
        <v>15.41</v>
      </c>
      <c r="E186" s="1220" t="s">
        <v>350</v>
      </c>
    </row>
    <row r="187" spans="2:5" ht="10.5" customHeight="1">
      <c r="B187" s="1220" t="s">
        <v>351</v>
      </c>
      <c r="C187" s="1209">
        <v>2.69</v>
      </c>
      <c r="D187" s="1209">
        <v>5.76</v>
      </c>
      <c r="E187" s="1220" t="s">
        <v>207</v>
      </c>
    </row>
    <row r="188" spans="2:5" ht="12" customHeight="1">
      <c r="B188" s="1218">
        <v>45292</v>
      </c>
      <c r="C188" s="1209"/>
      <c r="D188" s="1209"/>
      <c r="E188" s="1218">
        <v>45292</v>
      </c>
    </row>
    <row r="189" spans="2:5" ht="10.5" customHeight="1">
      <c r="B189" s="1220" t="s">
        <v>184</v>
      </c>
      <c r="C189" s="1209">
        <v>7.34</v>
      </c>
      <c r="D189" s="1209">
        <v>15.14</v>
      </c>
      <c r="E189" s="1220" t="s">
        <v>350</v>
      </c>
    </row>
    <row r="190" spans="2:5" ht="10.5" customHeight="1">
      <c r="B190" s="1220" t="s">
        <v>351</v>
      </c>
      <c r="C190" s="1209">
        <v>2.17</v>
      </c>
      <c r="D190" s="1209">
        <v>5.07</v>
      </c>
      <c r="E190" s="1220" t="s">
        <v>207</v>
      </c>
    </row>
    <row r="191" spans="2:5" ht="10.5" customHeight="1">
      <c r="B191" s="1218">
        <v>45323</v>
      </c>
      <c r="C191" s="1209"/>
      <c r="D191" s="1209"/>
      <c r="E191" s="1218">
        <v>45323</v>
      </c>
    </row>
    <row r="192" spans="2:5" ht="10.5" customHeight="1">
      <c r="B192" s="1220" t="s">
        <v>184</v>
      </c>
      <c r="C192" s="1209">
        <v>8.16</v>
      </c>
      <c r="D192" s="1209">
        <v>16</v>
      </c>
      <c r="E192" s="1220" t="s">
        <v>350</v>
      </c>
    </row>
    <row r="193" spans="2:5" ht="10.5" customHeight="1">
      <c r="B193" s="1220" t="s">
        <v>351</v>
      </c>
      <c r="C193" s="1209">
        <v>4.16</v>
      </c>
      <c r="D193" s="1209">
        <v>6.66</v>
      </c>
      <c r="E193" s="1220" t="s">
        <v>207</v>
      </c>
    </row>
    <row r="194" spans="2:5" ht="10.5" customHeight="1">
      <c r="B194" s="1218">
        <v>45352</v>
      </c>
      <c r="C194" s="1209"/>
      <c r="D194" s="1209"/>
      <c r="E194" s="1218">
        <v>45352</v>
      </c>
    </row>
    <row r="195" spans="2:5" ht="10.5" customHeight="1">
      <c r="B195" s="1220" t="s">
        <v>184</v>
      </c>
      <c r="C195" s="1209">
        <v>8.41</v>
      </c>
      <c r="D195" s="1209">
        <v>16.07</v>
      </c>
      <c r="E195" s="1220" t="s">
        <v>350</v>
      </c>
    </row>
    <row r="196" spans="2:5" ht="10.5" customHeight="1">
      <c r="B196" s="1220" t="s">
        <v>351</v>
      </c>
      <c r="C196" s="1209">
        <v>2.34</v>
      </c>
      <c r="D196" s="1209">
        <v>5.21</v>
      </c>
      <c r="E196" s="1220" t="s">
        <v>207</v>
      </c>
    </row>
    <row r="197" spans="2:5" ht="10.5" customHeight="1">
      <c r="B197" s="1218">
        <v>45383</v>
      </c>
      <c r="C197" s="1209"/>
      <c r="D197" s="1209"/>
      <c r="E197" s="1218">
        <v>45383</v>
      </c>
    </row>
    <row r="198" spans="2:5" ht="10.5" customHeight="1">
      <c r="B198" s="1220" t="s">
        <v>184</v>
      </c>
      <c r="C198" s="1209">
        <v>7.64</v>
      </c>
      <c r="D198" s="1209">
        <v>15.07</v>
      </c>
      <c r="E198" s="1220" t="s">
        <v>350</v>
      </c>
    </row>
    <row r="199" spans="2:5" ht="10.5" customHeight="1">
      <c r="B199" s="1220" t="s">
        <v>351</v>
      </c>
      <c r="C199" s="1209">
        <v>2.77</v>
      </c>
      <c r="D199" s="1209">
        <v>5.72</v>
      </c>
      <c r="E199" s="1220" t="s">
        <v>207</v>
      </c>
    </row>
    <row r="200" spans="2:5" ht="10.5" customHeight="1">
      <c r="B200" s="1218">
        <v>45413</v>
      </c>
      <c r="C200" s="1209"/>
      <c r="D200" s="1209"/>
      <c r="E200" s="1218">
        <v>45413</v>
      </c>
    </row>
    <row r="201" spans="2:5" ht="10.5" customHeight="1">
      <c r="B201" s="1220" t="s">
        <v>184</v>
      </c>
      <c r="C201" s="1209">
        <v>7.95</v>
      </c>
      <c r="D201" s="1209">
        <v>15.24</v>
      </c>
      <c r="E201" s="1220" t="s">
        <v>350</v>
      </c>
    </row>
    <row r="202" spans="2:5" ht="10.5" customHeight="1">
      <c r="B202" s="1220" t="s">
        <v>351</v>
      </c>
      <c r="C202" s="1209">
        <v>2.46</v>
      </c>
      <c r="D202" s="1209">
        <v>5.78</v>
      </c>
      <c r="E202" s="1220" t="s">
        <v>207</v>
      </c>
    </row>
    <row r="203" spans="2:5" ht="10.5" customHeight="1">
      <c r="B203" s="1218">
        <v>45444</v>
      </c>
      <c r="C203" s="1209"/>
      <c r="D203" s="1209"/>
      <c r="E203" s="1218">
        <v>45444</v>
      </c>
    </row>
    <row r="204" spans="2:5" ht="10.5" customHeight="1">
      <c r="B204" s="1220" t="s">
        <v>184</v>
      </c>
      <c r="C204" s="1209">
        <v>8.06</v>
      </c>
      <c r="D204" s="1209">
        <v>15.11</v>
      </c>
      <c r="E204" s="1220" t="s">
        <v>350</v>
      </c>
    </row>
    <row r="205" spans="2:5" ht="10.5" customHeight="1">
      <c r="B205" s="1220" t="s">
        <v>351</v>
      </c>
      <c r="C205" s="1209">
        <v>3.32</v>
      </c>
      <c r="D205" s="1209">
        <v>5.75</v>
      </c>
      <c r="E205" s="1220" t="s">
        <v>207</v>
      </c>
    </row>
    <row r="206" spans="2:5" ht="10.5" customHeight="1">
      <c r="B206" s="1218">
        <v>45474</v>
      </c>
      <c r="C206" s="1209"/>
      <c r="D206" s="1209"/>
      <c r="E206" s="1218">
        <v>45474</v>
      </c>
    </row>
    <row r="207" spans="2:5" ht="10.5" customHeight="1">
      <c r="B207" s="1220" t="s">
        <v>184</v>
      </c>
      <c r="C207" s="1209">
        <v>7.96</v>
      </c>
      <c r="D207" s="1209">
        <v>15.03</v>
      </c>
      <c r="E207" s="1220" t="s">
        <v>350</v>
      </c>
    </row>
    <row r="208" spans="2:5" ht="10.5" customHeight="1">
      <c r="B208" s="1220" t="s">
        <v>351</v>
      </c>
      <c r="C208" s="1209">
        <v>3</v>
      </c>
      <c r="D208" s="1209">
        <v>5.92</v>
      </c>
      <c r="E208" s="1220" t="s">
        <v>207</v>
      </c>
    </row>
    <row r="209" spans="2:5" ht="10.5" customHeight="1">
      <c r="B209" s="1218">
        <v>45505</v>
      </c>
      <c r="C209" s="1209"/>
      <c r="D209" s="1209"/>
      <c r="E209" s="1218">
        <v>45505</v>
      </c>
    </row>
    <row r="210" spans="2:5" ht="10.5" customHeight="1">
      <c r="B210" s="1220" t="s">
        <v>184</v>
      </c>
      <c r="C210" s="1209">
        <v>8.4</v>
      </c>
      <c r="D210" s="1209">
        <v>15.8</v>
      </c>
      <c r="E210" s="1220" t="s">
        <v>350</v>
      </c>
    </row>
    <row r="211" spans="2:5" ht="10.5" customHeight="1">
      <c r="B211" s="1220" t="s">
        <v>351</v>
      </c>
      <c r="C211" s="1209">
        <v>2.98</v>
      </c>
      <c r="D211" s="1209">
        <v>5.61</v>
      </c>
      <c r="E211" s="1220" t="s">
        <v>207</v>
      </c>
    </row>
    <row r="212" spans="2:5" ht="10.5" customHeight="1">
      <c r="B212" s="1218">
        <v>45536</v>
      </c>
      <c r="C212" s="1209"/>
      <c r="D212" s="1209"/>
      <c r="E212" s="1218">
        <v>45536</v>
      </c>
    </row>
    <row r="213" spans="2:5" ht="10.5" customHeight="1">
      <c r="B213" s="1220" t="s">
        <v>184</v>
      </c>
      <c r="C213" s="1209">
        <v>8.49</v>
      </c>
      <c r="D213" s="1209">
        <v>16.12</v>
      </c>
      <c r="E213" s="1220" t="s">
        <v>350</v>
      </c>
    </row>
    <row r="214" spans="2:5" ht="10.5" customHeight="1">
      <c r="B214" s="1220" t="s">
        <v>351</v>
      </c>
      <c r="C214" s="1209">
        <v>3.31</v>
      </c>
      <c r="D214" s="1209">
        <v>5.87</v>
      </c>
      <c r="E214" s="1220" t="s">
        <v>207</v>
      </c>
    </row>
    <row r="215" spans="2:5" ht="10.5" customHeight="1">
      <c r="B215" s="1762">
        <v>45566</v>
      </c>
      <c r="C215" s="1209"/>
      <c r="D215" s="1209"/>
      <c r="E215" s="367">
        <v>45566</v>
      </c>
    </row>
    <row r="216" spans="2:5" ht="10.5" customHeight="1">
      <c r="B216" s="1763" t="s">
        <v>184</v>
      </c>
      <c r="C216" s="1209">
        <v>8.25</v>
      </c>
      <c r="D216" s="1209">
        <v>16.32</v>
      </c>
      <c r="E216" s="366" t="s">
        <v>350</v>
      </c>
    </row>
    <row r="217" spans="2:5" ht="10.5" customHeight="1">
      <c r="B217" s="1763" t="s">
        <v>351</v>
      </c>
      <c r="C217" s="1209">
        <v>3.13</v>
      </c>
      <c r="D217" s="1209">
        <v>6.06</v>
      </c>
      <c r="E217" s="366" t="s">
        <v>207</v>
      </c>
    </row>
    <row r="218" spans="2:5" ht="10.5" customHeight="1">
      <c r="B218" s="1762">
        <v>45597</v>
      </c>
      <c r="C218" s="1209"/>
      <c r="D218" s="1209"/>
      <c r="E218" s="1882">
        <v>45597</v>
      </c>
    </row>
    <row r="219" spans="2:5" ht="10.5" customHeight="1">
      <c r="B219" s="1763" t="s">
        <v>184</v>
      </c>
      <c r="C219" s="1209">
        <v>8.6999999999999993</v>
      </c>
      <c r="D219" s="1209">
        <v>16.34</v>
      </c>
      <c r="E219" s="405" t="s">
        <v>350</v>
      </c>
    </row>
    <row r="220" spans="2:5" ht="10.5" customHeight="1">
      <c r="B220" s="1763" t="s">
        <v>351</v>
      </c>
      <c r="C220" s="1209">
        <v>3.88</v>
      </c>
      <c r="D220" s="1209">
        <v>6.41</v>
      </c>
      <c r="E220" s="405" t="s">
        <v>207</v>
      </c>
    </row>
    <row r="221" spans="2:5" ht="10.5" customHeight="1">
      <c r="B221" s="1762">
        <v>45627</v>
      </c>
      <c r="C221" s="1209"/>
      <c r="D221" s="1209"/>
      <c r="E221" s="1882">
        <v>45627</v>
      </c>
    </row>
    <row r="222" spans="2:5" ht="10.5" customHeight="1">
      <c r="B222" s="1763" t="s">
        <v>184</v>
      </c>
      <c r="C222" s="1209">
        <v>8.7100000000000009</v>
      </c>
      <c r="D222" s="1209">
        <v>17.07</v>
      </c>
      <c r="E222" s="208" t="s">
        <v>350</v>
      </c>
    </row>
    <row r="223" spans="2:5" ht="10.5" customHeight="1">
      <c r="B223" s="1763" t="s">
        <v>351</v>
      </c>
      <c r="C223" s="1209">
        <v>3.19</v>
      </c>
      <c r="D223" s="1209">
        <v>6.02</v>
      </c>
      <c r="E223" s="208" t="s">
        <v>207</v>
      </c>
    </row>
    <row r="224" spans="2:5" ht="10.5" customHeight="1">
      <c r="B224" s="1762">
        <v>45658</v>
      </c>
      <c r="C224" s="1209"/>
      <c r="D224" s="1209"/>
      <c r="E224" s="1882">
        <v>45658</v>
      </c>
    </row>
    <row r="225" spans="2:5" ht="10.5" customHeight="1">
      <c r="B225" s="1763" t="s">
        <v>184</v>
      </c>
      <c r="C225" s="1209">
        <v>8.34</v>
      </c>
      <c r="D225" s="1209">
        <v>16.559999999999999</v>
      </c>
      <c r="E225" s="208" t="s">
        <v>350</v>
      </c>
    </row>
    <row r="226" spans="2:5" ht="10.5" customHeight="1">
      <c r="B226" s="1763" t="s">
        <v>351</v>
      </c>
      <c r="C226" s="1209">
        <v>3.37</v>
      </c>
      <c r="D226" s="1209">
        <v>5.93</v>
      </c>
      <c r="E226" s="208" t="s">
        <v>207</v>
      </c>
    </row>
    <row r="227" spans="2:5" ht="10.5" customHeight="1">
      <c r="B227" s="1762">
        <v>45689</v>
      </c>
      <c r="C227" s="1209"/>
      <c r="D227" s="1209"/>
      <c r="E227" s="1882">
        <v>45689</v>
      </c>
    </row>
    <row r="228" spans="2:5" ht="10.5" customHeight="1">
      <c r="B228" s="1763" t="s">
        <v>184</v>
      </c>
      <c r="C228" s="1209">
        <v>7.23</v>
      </c>
      <c r="D228" s="1209">
        <v>17.75</v>
      </c>
      <c r="E228" s="208" t="s">
        <v>350</v>
      </c>
    </row>
    <row r="229" spans="2:5" ht="10.5" customHeight="1">
      <c r="B229" s="1763" t="s">
        <v>351</v>
      </c>
      <c r="C229" s="1209">
        <v>3.29</v>
      </c>
      <c r="D229" s="1209">
        <v>6.25</v>
      </c>
      <c r="E229" s="208" t="s">
        <v>207</v>
      </c>
    </row>
    <row r="230" spans="2:5" ht="10.5" customHeight="1">
      <c r="B230" s="1762">
        <v>45717</v>
      </c>
      <c r="C230" s="1209"/>
      <c r="D230" s="1209"/>
      <c r="E230" s="1882">
        <v>45717</v>
      </c>
    </row>
    <row r="231" spans="2:5" ht="10.5" customHeight="1">
      <c r="B231" s="1763" t="s">
        <v>184</v>
      </c>
      <c r="C231" s="1209">
        <v>7.02</v>
      </c>
      <c r="D231" s="1209">
        <v>18.07</v>
      </c>
      <c r="E231" s="208" t="s">
        <v>350</v>
      </c>
    </row>
    <row r="232" spans="2:5" ht="10.5" customHeight="1">
      <c r="B232" s="1763" t="s">
        <v>351</v>
      </c>
      <c r="C232" s="1209">
        <v>2.91</v>
      </c>
      <c r="D232" s="1209">
        <v>6.41</v>
      </c>
      <c r="E232" s="208" t="s">
        <v>207</v>
      </c>
    </row>
    <row r="233" spans="2:5" ht="10.5" customHeight="1">
      <c r="B233" s="1762">
        <v>45748</v>
      </c>
      <c r="C233" s="1209"/>
      <c r="D233" s="1209"/>
      <c r="E233" s="1882">
        <v>45748</v>
      </c>
    </row>
    <row r="234" spans="2:5" ht="10.5" customHeight="1">
      <c r="B234" s="1763" t="s">
        <v>184</v>
      </c>
      <c r="C234" s="1209">
        <v>7.55</v>
      </c>
      <c r="D234" s="1209">
        <v>17.850000000000001</v>
      </c>
      <c r="E234" s="366" t="s">
        <v>350</v>
      </c>
    </row>
    <row r="235" spans="2:5" ht="10.5" customHeight="1">
      <c r="B235" s="1763" t="s">
        <v>351</v>
      </c>
      <c r="C235" s="1209">
        <v>2.96</v>
      </c>
      <c r="D235" s="1209">
        <v>7.85</v>
      </c>
      <c r="E235" s="366" t="s">
        <v>207</v>
      </c>
    </row>
    <row r="236" spans="2:5" ht="10.5" customHeight="1">
      <c r="B236" s="1762">
        <v>45778</v>
      </c>
      <c r="C236" s="1209"/>
      <c r="D236" s="1209"/>
      <c r="E236" s="1882">
        <v>45778</v>
      </c>
    </row>
    <row r="237" spans="2:5" ht="10.5" customHeight="1">
      <c r="B237" s="1763" t="s">
        <v>184</v>
      </c>
      <c r="C237" s="1209">
        <v>7.12</v>
      </c>
      <c r="D237" s="1209">
        <v>18.87</v>
      </c>
      <c r="E237" s="208" t="s">
        <v>350</v>
      </c>
    </row>
    <row r="238" spans="2:5" ht="10.5" customHeight="1">
      <c r="B238" s="1763" t="s">
        <v>351</v>
      </c>
      <c r="C238" s="1209">
        <v>4.32</v>
      </c>
      <c r="D238" s="1209">
        <v>6.08</v>
      </c>
      <c r="E238" s="208" t="s">
        <v>207</v>
      </c>
    </row>
    <row r="239" spans="2:5" ht="10.5" customHeight="1">
      <c r="B239" s="1762">
        <v>45809</v>
      </c>
      <c r="C239" s="1209"/>
      <c r="D239" s="1209"/>
      <c r="E239" s="1882">
        <v>45809</v>
      </c>
    </row>
    <row r="240" spans="2:5" ht="10.5" customHeight="1">
      <c r="B240" s="1763" t="s">
        <v>184</v>
      </c>
      <c r="C240" s="1209">
        <v>6.91</v>
      </c>
      <c r="D240" s="1209">
        <v>18.899999999999999</v>
      </c>
      <c r="E240" s="208" t="s">
        <v>350</v>
      </c>
    </row>
    <row r="241" spans="2:5" ht="10.5" customHeight="1">
      <c r="B241" s="1763" t="s">
        <v>351</v>
      </c>
      <c r="C241" s="1209">
        <v>2.99</v>
      </c>
      <c r="D241" s="1209">
        <v>6.59</v>
      </c>
      <c r="E241" s="208" t="s">
        <v>207</v>
      </c>
    </row>
    <row r="242" spans="2:5" ht="10.5" customHeight="1">
      <c r="B242" s="1762">
        <v>45839</v>
      </c>
      <c r="C242" s="1209"/>
      <c r="D242" s="1209"/>
      <c r="E242" s="1882">
        <v>45839</v>
      </c>
    </row>
    <row r="243" spans="2:5" ht="10.5" customHeight="1">
      <c r="B243" s="1763" t="s">
        <v>184</v>
      </c>
      <c r="C243" s="1209">
        <v>7.01</v>
      </c>
      <c r="D243" s="1209">
        <v>18.45</v>
      </c>
      <c r="E243" s="208" t="s">
        <v>350</v>
      </c>
    </row>
    <row r="244" spans="2:5" ht="10.5" customHeight="1">
      <c r="B244" s="1763" t="s">
        <v>351</v>
      </c>
      <c r="C244" s="1209">
        <v>3.67</v>
      </c>
      <c r="D244" s="1209">
        <v>6.35</v>
      </c>
      <c r="E244" s="208" t="s">
        <v>207</v>
      </c>
    </row>
    <row r="245" spans="2:5" ht="10.5" customHeight="1">
      <c r="B245" s="1762">
        <v>45870</v>
      </c>
      <c r="C245" s="1209"/>
      <c r="D245" s="1209"/>
      <c r="E245" s="1882">
        <v>45870</v>
      </c>
    </row>
    <row r="246" spans="2:5" ht="10.5" customHeight="1">
      <c r="B246" s="1763" t="s">
        <v>184</v>
      </c>
      <c r="C246" s="1209">
        <v>7.09</v>
      </c>
      <c r="D246" s="1209">
        <v>19.03</v>
      </c>
      <c r="E246" s="208" t="s">
        <v>350</v>
      </c>
    </row>
    <row r="247" spans="2:5" ht="10.5" customHeight="1">
      <c r="B247" s="1763" t="s">
        <v>351</v>
      </c>
      <c r="C247" s="1209">
        <v>3.63</v>
      </c>
      <c r="D247" s="1209">
        <v>6.8</v>
      </c>
      <c r="E247" s="208" t="s">
        <v>207</v>
      </c>
    </row>
    <row r="248" spans="2:5" ht="10.5" customHeight="1">
      <c r="B248" s="1762">
        <v>45901</v>
      </c>
      <c r="C248" s="1209"/>
      <c r="D248" s="1209"/>
      <c r="E248" s="1882">
        <v>45901</v>
      </c>
    </row>
    <row r="249" spans="2:5" ht="10.5" customHeight="1">
      <c r="B249" s="1763" t="s">
        <v>184</v>
      </c>
      <c r="C249" s="1209">
        <v>7.02</v>
      </c>
      <c r="D249" s="1209">
        <v>18.52</v>
      </c>
      <c r="E249" s="208" t="s">
        <v>350</v>
      </c>
    </row>
    <row r="250" spans="2:5" ht="10.5" customHeight="1">
      <c r="B250" s="1763" t="s">
        <v>351</v>
      </c>
      <c r="C250" s="1209">
        <v>3.03</v>
      </c>
      <c r="D250" s="1209">
        <v>6.43</v>
      </c>
      <c r="E250" s="208" t="s">
        <v>207</v>
      </c>
    </row>
    <row r="251" spans="2:5" ht="10.5" customHeight="1">
      <c r="B251" s="1762">
        <v>45931</v>
      </c>
      <c r="C251" s="1209"/>
      <c r="D251" s="1209"/>
      <c r="E251" s="1882">
        <v>45931</v>
      </c>
    </row>
    <row r="252" spans="2:5" ht="10.5" customHeight="1">
      <c r="B252" s="1763" t="s">
        <v>184</v>
      </c>
      <c r="C252" s="1209">
        <v>6.53</v>
      </c>
      <c r="D252" s="1209">
        <v>18.27</v>
      </c>
      <c r="E252" s="208" t="s">
        <v>350</v>
      </c>
    </row>
    <row r="253" spans="2:5" ht="10.5" customHeight="1">
      <c r="B253" s="1763" t="s">
        <v>351</v>
      </c>
      <c r="C253" s="1209">
        <v>3.75</v>
      </c>
      <c r="D253" s="1209">
        <v>5.6</v>
      </c>
      <c r="E253" s="208" t="s">
        <v>207</v>
      </c>
    </row>
    <row r="254" spans="2:5" ht="10.5" customHeight="1">
      <c r="B254" s="1762">
        <v>45962</v>
      </c>
      <c r="C254" s="1209"/>
      <c r="D254" s="1209"/>
      <c r="E254" s="1882">
        <v>45962</v>
      </c>
    </row>
    <row r="255" spans="2:5" ht="10.5" customHeight="1">
      <c r="B255" s="1763" t="s">
        <v>184</v>
      </c>
      <c r="C255" s="1209">
        <v>6.7</v>
      </c>
      <c r="D255" s="1209">
        <v>18.72</v>
      </c>
      <c r="E255" s="208" t="s">
        <v>350</v>
      </c>
    </row>
    <row r="256" spans="2:5" ht="10.5" customHeight="1">
      <c r="B256" s="1763" t="s">
        <v>351</v>
      </c>
      <c r="C256" s="1209">
        <v>2.76</v>
      </c>
      <c r="D256" s="1209">
        <v>6.31</v>
      </c>
      <c r="E256" s="208" t="s">
        <v>207</v>
      </c>
    </row>
    <row r="257" spans="2:5" ht="10.5" customHeight="1">
      <c r="B257" s="1762">
        <v>45992</v>
      </c>
      <c r="C257" s="1209"/>
      <c r="D257" s="1209"/>
      <c r="E257" s="1882">
        <v>45992</v>
      </c>
    </row>
    <row r="258" spans="2:5" ht="10.5" customHeight="1">
      <c r="B258" s="1763" t="s">
        <v>184</v>
      </c>
      <c r="C258" s="1209">
        <v>6.77</v>
      </c>
      <c r="D258" s="1209">
        <v>18.47</v>
      </c>
      <c r="E258" s="208" t="s">
        <v>350</v>
      </c>
    </row>
    <row r="259" spans="2:5" ht="10.5" customHeight="1">
      <c r="B259" s="1763" t="s">
        <v>351</v>
      </c>
      <c r="C259" s="1209">
        <v>2.86</v>
      </c>
      <c r="D259" s="1209">
        <v>6.39</v>
      </c>
      <c r="E259" s="208" t="s">
        <v>207</v>
      </c>
    </row>
    <row r="260" spans="2:5" ht="10.5" customHeight="1">
      <c r="B260" s="1762">
        <v>46023</v>
      </c>
      <c r="C260" s="1209"/>
      <c r="D260" s="1209"/>
      <c r="E260" s="1882">
        <v>46023</v>
      </c>
    </row>
    <row r="261" spans="2:5" ht="10.5" customHeight="1">
      <c r="B261" s="1763" t="s">
        <v>184</v>
      </c>
      <c r="C261" s="1209">
        <v>6.54</v>
      </c>
      <c r="D261" s="1209">
        <v>17.690000000000001</v>
      </c>
      <c r="E261" s="208" t="s">
        <v>350</v>
      </c>
    </row>
    <row r="262" spans="2:5" ht="10.5" customHeight="1">
      <c r="B262" s="1763" t="s">
        <v>351</v>
      </c>
      <c r="C262" s="1209">
        <v>3.19</v>
      </c>
      <c r="D262" s="1209">
        <v>6.37</v>
      </c>
      <c r="E262" s="208" t="s">
        <v>207</v>
      </c>
    </row>
    <row r="263" spans="2:5" ht="10.5" customHeight="1">
      <c r="B263" s="1762">
        <v>46054</v>
      </c>
      <c r="C263" s="1209"/>
      <c r="D263" s="2006"/>
      <c r="E263" s="367">
        <v>46054</v>
      </c>
    </row>
    <row r="264" spans="2:5" ht="10.5" customHeight="1">
      <c r="B264" s="1763" t="s">
        <v>184</v>
      </c>
      <c r="C264" s="1209">
        <v>6.62</v>
      </c>
      <c r="D264" s="2007">
        <v>18.87</v>
      </c>
      <c r="E264" s="366" t="s">
        <v>350</v>
      </c>
    </row>
    <row r="265" spans="2:5" ht="10.5" customHeight="1">
      <c r="B265" s="1763" t="s">
        <v>351</v>
      </c>
      <c r="C265" s="1209">
        <v>2.87</v>
      </c>
      <c r="D265" s="2006">
        <v>6.16</v>
      </c>
      <c r="E265" s="366" t="s">
        <v>207</v>
      </c>
    </row>
    <row r="266" spans="2:5" ht="12" customHeight="1">
      <c r="B266" s="1762">
        <v>46082</v>
      </c>
      <c r="C266" s="1209"/>
      <c r="D266" s="2006"/>
      <c r="E266" s="367">
        <v>46082</v>
      </c>
    </row>
    <row r="267" spans="2:5" ht="12" customHeight="1">
      <c r="B267" s="1763" t="s">
        <v>184</v>
      </c>
      <c r="C267" s="1209">
        <v>8.4146622853920405</v>
      </c>
      <c r="D267" s="2006">
        <v>19.05</v>
      </c>
      <c r="E267" s="366" t="s">
        <v>350</v>
      </c>
    </row>
    <row r="268" spans="2:5" ht="10.5" customHeight="1">
      <c r="B268" s="1763" t="s">
        <v>351</v>
      </c>
      <c r="C268" s="1209">
        <v>2.9889598913825202</v>
      </c>
      <c r="D268" s="2006">
        <v>6.92</v>
      </c>
      <c r="E268" s="366" t="s">
        <v>207</v>
      </c>
    </row>
    <row r="269" spans="2:5" ht="10.5" customHeight="1">
      <c r="B269" s="1762">
        <v>46113</v>
      </c>
      <c r="C269" s="1209"/>
      <c r="D269" s="2006"/>
      <c r="E269" s="367">
        <v>46113</v>
      </c>
    </row>
    <row r="270" spans="2:5" ht="10.5" customHeight="1">
      <c r="B270" s="1763" t="s">
        <v>184</v>
      </c>
      <c r="C270" s="1209">
        <v>8.3228746508888491</v>
      </c>
      <c r="D270" s="2006">
        <v>18.791703891697399</v>
      </c>
      <c r="E270" s="366" t="s">
        <v>350</v>
      </c>
    </row>
    <row r="271" spans="2:5" ht="10.5" customHeight="1">
      <c r="B271" s="1763" t="s">
        <v>351</v>
      </c>
      <c r="C271" s="1209">
        <v>2.96533646318432</v>
      </c>
      <c r="D271" s="2006">
        <v>6.5686145696719098</v>
      </c>
      <c r="E271" s="366" t="s">
        <v>207</v>
      </c>
    </row>
    <row r="272" spans="2:5" ht="10.5" customHeight="1">
      <c r="B272" s="1762">
        <v>46143</v>
      </c>
      <c r="C272" s="1209"/>
      <c r="D272" s="2006"/>
      <c r="E272" s="367">
        <v>46143</v>
      </c>
    </row>
    <row r="273" spans="2:5" ht="10.5" customHeight="1">
      <c r="B273" s="1763" t="s">
        <v>184</v>
      </c>
      <c r="C273" s="1209">
        <v>7.99059348082654</v>
      </c>
      <c r="D273" s="2006">
        <v>17.920000000000002</v>
      </c>
      <c r="E273" s="366" t="s">
        <v>350</v>
      </c>
    </row>
    <row r="274" spans="2:5" ht="10.5" customHeight="1">
      <c r="B274" s="1763" t="s">
        <v>351</v>
      </c>
      <c r="C274" s="1209">
        <v>3.97</v>
      </c>
      <c r="D274" s="2006">
        <v>6.24</v>
      </c>
      <c r="E274" s="366" t="s">
        <v>207</v>
      </c>
    </row>
    <row r="275" spans="2:5" ht="10.5" customHeight="1">
      <c r="B275" s="1762">
        <v>46174</v>
      </c>
      <c r="C275" s="1209"/>
      <c r="D275" s="2006"/>
      <c r="E275" s="1762">
        <v>46174</v>
      </c>
    </row>
    <row r="276" spans="2:5" ht="10.5" customHeight="1">
      <c r="B276" s="1763" t="s">
        <v>184</v>
      </c>
      <c r="C276" s="1209">
        <v>7.96419716044878</v>
      </c>
      <c r="D276" s="2006">
        <v>18.304966519591201</v>
      </c>
      <c r="E276" s="366" t="s">
        <v>350</v>
      </c>
    </row>
    <row r="277" spans="2:5" ht="10.5" customHeight="1">
      <c r="B277" s="1763" t="s">
        <v>351</v>
      </c>
      <c r="C277" s="1209">
        <v>2.6013445391794199</v>
      </c>
      <c r="D277" s="2006">
        <v>5.3857858780550698</v>
      </c>
      <c r="E277" s="366" t="s">
        <v>207</v>
      </c>
    </row>
    <row r="278" spans="2:5" ht="12" customHeight="1">
      <c r="B278" s="1762">
        <v>46204</v>
      </c>
      <c r="C278" s="1209"/>
      <c r="D278" s="2006"/>
      <c r="E278" s="367">
        <v>46204</v>
      </c>
    </row>
    <row r="279" spans="2:5" ht="12" customHeight="1">
      <c r="B279" s="1763" t="s">
        <v>184</v>
      </c>
      <c r="C279" s="1209">
        <v>8.11</v>
      </c>
      <c r="D279" s="2006">
        <v>18.62</v>
      </c>
      <c r="E279" s="366" t="s">
        <v>350</v>
      </c>
    </row>
    <row r="280" spans="2:5" ht="11.45" customHeight="1" thickBot="1">
      <c r="B280" s="1764" t="s">
        <v>351</v>
      </c>
      <c r="C280" s="1765">
        <v>3.29</v>
      </c>
      <c r="D280" s="1765">
        <v>5.41</v>
      </c>
      <c r="E280" s="1939" t="s">
        <v>207</v>
      </c>
    </row>
    <row r="281" spans="2:5" s="746" customFormat="1" ht="29.25" customHeight="1">
      <c r="B281" s="2483" t="s">
        <v>3330</v>
      </c>
      <c r="C281" s="2203"/>
      <c r="D281" s="2203"/>
      <c r="E281" s="2484"/>
    </row>
    <row r="282" spans="2:5">
      <c r="C282" s="198"/>
      <c r="D282" s="198"/>
    </row>
    <row r="283" spans="2:5">
      <c r="C283" s="198"/>
      <c r="D283" s="198"/>
    </row>
    <row r="284" spans="2:5" ht="11.25">
      <c r="B284" s="183"/>
      <c r="C284" s="198"/>
      <c r="D284" s="198"/>
      <c r="E284" s="183"/>
    </row>
    <row r="285" spans="2:5" ht="11.25">
      <c r="B285" s="183"/>
      <c r="C285" s="198"/>
      <c r="D285" s="198" t="s">
        <v>115</v>
      </c>
      <c r="E285" s="183"/>
    </row>
    <row r="286" spans="2:5" ht="11.25">
      <c r="B286" s="1213"/>
      <c r="C286" s="198"/>
      <c r="D286" s="198"/>
      <c r="E286" s="1213"/>
    </row>
    <row r="287" spans="2:5" ht="11.25">
      <c r="B287" s="183"/>
      <c r="C287" s="198"/>
      <c r="D287" s="1214"/>
      <c r="E287" s="183"/>
    </row>
    <row r="289" spans="3:4">
      <c r="C289" s="198"/>
      <c r="D289" s="198"/>
    </row>
    <row r="290" spans="3:4">
      <c r="C290" s="198"/>
      <c r="D290" s="198"/>
    </row>
  </sheetData>
  <mergeCells count="5">
    <mergeCell ref="B281:E281"/>
    <mergeCell ref="B2:E2"/>
    <mergeCell ref="B3:E3"/>
    <mergeCell ref="E6:E7"/>
    <mergeCell ref="B6:B7"/>
  </mergeCells>
  <pageMargins left="0.7" right="0.7" top="0.75" bottom="0.75" header="0.3" footer="0.3"/>
  <pageSetup paperSize="8" scale="90" orientation="portrait" verticalDpi="1200" r:id="rId1"/>
  <rowBreaks count="1" manualBreakCount="1">
    <brk id="174" max="4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5FA03-BDC3-45CC-A806-DF53540E588F}">
  <sheetPr codeName="Sheet45">
    <tabColor rgb="FF92D050"/>
  </sheetPr>
  <dimension ref="A1:IV1234"/>
  <sheetViews>
    <sheetView showGridLines="0" view="pageBreakPreview" zoomScale="130" zoomScaleNormal="100" zoomScaleSheetLayoutView="130" workbookViewId="0">
      <pane ySplit="809" topLeftCell="A1221" activePane="bottomLeft" state="frozen"/>
      <selection activeCell="F40" sqref="F40"/>
      <selection pane="bottomLeft" activeCell="F40" sqref="F40"/>
    </sheetView>
  </sheetViews>
  <sheetFormatPr defaultColWidth="9.140625" defaultRowHeight="12.75"/>
  <cols>
    <col min="1" max="1" width="10.5703125" style="323" customWidth="1"/>
    <col min="2" max="2" width="14.5703125" style="323" customWidth="1"/>
    <col min="3" max="3" width="9.140625" style="323"/>
    <col min="4" max="5" width="11.140625" style="323" customWidth="1"/>
    <col min="6" max="6" width="10.28515625" style="323" customWidth="1"/>
    <col min="7" max="7" width="12.85546875" style="345" customWidth="1"/>
    <col min="8" max="10" width="9.140625" style="323"/>
    <col min="11" max="11" width="9.140625" style="323" hidden="1" customWidth="1"/>
    <col min="12" max="12" width="13.28515625" style="323" customWidth="1"/>
    <col min="13" max="79" width="9.140625" style="323"/>
    <col min="80" max="80" width="0" style="323" hidden="1" customWidth="1"/>
    <col min="81" max="16384" width="9.140625" style="323"/>
  </cols>
  <sheetData>
    <row r="1" spans="1:82" ht="10.5" customHeight="1"/>
    <row r="2" spans="1:82" ht="15.75" customHeight="1">
      <c r="A2" s="2492" t="s">
        <v>2736</v>
      </c>
      <c r="B2" s="2492"/>
      <c r="C2" s="2492"/>
      <c r="D2" s="2492"/>
      <c r="E2" s="2492"/>
      <c r="F2" s="2492"/>
      <c r="G2" s="2492"/>
      <c r="H2" s="2492"/>
      <c r="I2" s="2492"/>
      <c r="J2" s="2492"/>
      <c r="K2" s="2492"/>
      <c r="L2" s="2492"/>
    </row>
    <row r="3" spans="1:82" ht="21" customHeight="1">
      <c r="A3" s="2493" t="s">
        <v>2393</v>
      </c>
      <c r="B3" s="2493"/>
      <c r="C3" s="2493"/>
      <c r="D3" s="2493"/>
      <c r="E3" s="2493"/>
      <c r="F3" s="2493"/>
      <c r="G3" s="2493"/>
      <c r="H3" s="2493"/>
      <c r="I3" s="2493"/>
      <c r="J3" s="2493"/>
      <c r="K3" s="2493"/>
      <c r="L3" s="2493"/>
    </row>
    <row r="4" spans="1:82" ht="10.5" customHeight="1">
      <c r="A4" s="1596"/>
      <c r="B4" s="1596"/>
      <c r="C4" s="1596"/>
      <c r="D4" s="1596"/>
      <c r="E4" s="1596"/>
      <c r="F4" s="1596"/>
      <c r="G4" s="1596"/>
      <c r="H4" s="1596"/>
      <c r="I4" s="1596"/>
      <c r="J4" s="1596"/>
      <c r="K4" s="1596"/>
      <c r="L4" s="1596"/>
    </row>
    <row r="5" spans="1:82" ht="10.5" customHeight="1">
      <c r="A5" s="477"/>
      <c r="B5" s="477"/>
      <c r="C5" s="477"/>
      <c r="D5" s="477"/>
      <c r="E5" s="477"/>
      <c r="F5" s="477"/>
      <c r="G5" s="477"/>
      <c r="H5" s="477"/>
      <c r="I5" s="477"/>
      <c r="J5" s="477"/>
      <c r="K5" s="477"/>
      <c r="L5" s="477"/>
    </row>
    <row r="6" spans="1:82" s="324" customFormat="1">
      <c r="A6" s="2491" t="s">
        <v>368</v>
      </c>
      <c r="B6" s="2491" t="s">
        <v>2394</v>
      </c>
      <c r="C6" s="2494" t="s">
        <v>369</v>
      </c>
      <c r="D6" s="2495" t="s">
        <v>370</v>
      </c>
      <c r="E6" s="2496" t="s">
        <v>371</v>
      </c>
      <c r="F6" s="2496"/>
      <c r="G6" s="2496"/>
      <c r="H6" s="2496" t="s">
        <v>372</v>
      </c>
      <c r="I6" s="2496"/>
      <c r="J6" s="2496"/>
      <c r="K6" s="2491" t="s">
        <v>3307</v>
      </c>
      <c r="L6" s="2491" t="s">
        <v>373</v>
      </c>
    </row>
    <row r="7" spans="1:82" s="324" customFormat="1" ht="12.75" customHeight="1">
      <c r="A7" s="2491"/>
      <c r="B7" s="2491"/>
      <c r="C7" s="2494"/>
      <c r="D7" s="2495"/>
      <c r="E7" s="2491" t="s">
        <v>374</v>
      </c>
      <c r="F7" s="2497" t="s">
        <v>375</v>
      </c>
      <c r="G7" s="2500" t="s">
        <v>2551</v>
      </c>
      <c r="H7" s="2491" t="s">
        <v>376</v>
      </c>
      <c r="I7" s="2491" t="s">
        <v>3308</v>
      </c>
      <c r="J7" s="2491" t="s">
        <v>378</v>
      </c>
      <c r="K7" s="2491"/>
      <c r="L7" s="2491"/>
    </row>
    <row r="8" spans="1:82" s="324" customFormat="1">
      <c r="A8" s="2491"/>
      <c r="B8" s="2491"/>
      <c r="C8" s="2494"/>
      <c r="D8" s="2495"/>
      <c r="E8" s="2491"/>
      <c r="F8" s="2498"/>
      <c r="G8" s="2500"/>
      <c r="H8" s="2491"/>
      <c r="I8" s="2491"/>
      <c r="J8" s="2491"/>
      <c r="K8" s="2491"/>
      <c r="L8" s="2491"/>
      <c r="CC8" s="264" t="s">
        <v>2049</v>
      </c>
      <c r="CD8" s="325" t="s">
        <v>2050</v>
      </c>
    </row>
    <row r="9" spans="1:82" s="324" customFormat="1" ht="29.25" customHeight="1">
      <c r="A9" s="2491"/>
      <c r="B9" s="2491"/>
      <c r="C9" s="2494"/>
      <c r="D9" s="2495"/>
      <c r="E9" s="2491"/>
      <c r="F9" s="2499"/>
      <c r="G9" s="2500"/>
      <c r="H9" s="2491"/>
      <c r="I9" s="2491"/>
      <c r="J9" s="2491"/>
      <c r="K9" s="2491"/>
      <c r="L9" s="2491"/>
      <c r="BY9" s="324">
        <f>BY10+BY22+BY32+BY40</f>
        <v>0</v>
      </c>
      <c r="CC9" s="324">
        <f>CC10+CC22+CC32+CC40</f>
        <v>622</v>
      </c>
      <c r="CD9" s="326">
        <f>BY9+BZ9+CA9+CC9</f>
        <v>622</v>
      </c>
    </row>
    <row r="10" spans="1:82">
      <c r="A10" s="2503" t="s">
        <v>379</v>
      </c>
      <c r="B10" s="2505" t="s">
        <v>3309</v>
      </c>
      <c r="C10" s="2507" t="s">
        <v>380</v>
      </c>
      <c r="D10" s="2509" t="s">
        <v>381</v>
      </c>
      <c r="E10" s="1197" t="s">
        <v>382</v>
      </c>
      <c r="F10" s="1198" t="s">
        <v>3310</v>
      </c>
      <c r="G10" s="1199"/>
      <c r="H10" s="1197"/>
      <c r="I10" s="1198" t="s">
        <v>383</v>
      </c>
      <c r="J10" s="1200"/>
      <c r="K10" s="2505" t="s">
        <v>3311</v>
      </c>
      <c r="L10" s="2505" t="s">
        <v>384</v>
      </c>
      <c r="CC10" s="323">
        <f>CC12+CC17</f>
        <v>1713</v>
      </c>
      <c r="CD10" s="327">
        <f>BY10+BZ10+CA10+CC10</f>
        <v>1713</v>
      </c>
    </row>
    <row r="11" spans="1:82" ht="38.25">
      <c r="A11" s="2504"/>
      <c r="B11" s="2506"/>
      <c r="C11" s="2508"/>
      <c r="D11" s="2510"/>
      <c r="E11" s="1201" t="s">
        <v>1770</v>
      </c>
      <c r="F11" s="1201" t="s">
        <v>385</v>
      </c>
      <c r="G11" s="1202" t="s">
        <v>1771</v>
      </c>
      <c r="H11" s="1203" t="s">
        <v>376</v>
      </c>
      <c r="I11" s="1201" t="s">
        <v>3984</v>
      </c>
      <c r="J11" s="1201" t="s">
        <v>387</v>
      </c>
      <c r="K11" s="2506"/>
      <c r="L11" s="2506"/>
      <c r="CD11" s="327"/>
    </row>
    <row r="12" spans="1:82" hidden="1">
      <c r="A12" s="328">
        <v>38730</v>
      </c>
      <c r="B12" s="329" t="s">
        <v>388</v>
      </c>
      <c r="C12" s="330">
        <v>91</v>
      </c>
      <c r="D12" s="328">
        <v>38821</v>
      </c>
      <c r="E12" s="331">
        <v>3</v>
      </c>
      <c r="F12" s="329">
        <v>4.67</v>
      </c>
      <c r="G12" s="332">
        <v>3</v>
      </c>
      <c r="H12" s="333">
        <v>0.124</v>
      </c>
      <c r="I12" s="333">
        <v>0.1244</v>
      </c>
      <c r="J12" s="333">
        <v>0.1244</v>
      </c>
      <c r="K12" s="329"/>
      <c r="L12" s="330">
        <v>4</v>
      </c>
      <c r="CC12" s="323">
        <f>CC14+CC15</f>
        <v>4361</v>
      </c>
      <c r="CD12" s="327">
        <f>BY12+BZ12+CA12+CC12</f>
        <v>4361</v>
      </c>
    </row>
    <row r="13" spans="1:82" hidden="1">
      <c r="A13" s="328">
        <v>38733</v>
      </c>
      <c r="B13" s="329" t="s">
        <v>389</v>
      </c>
      <c r="C13" s="330">
        <v>91</v>
      </c>
      <c r="D13" s="328">
        <v>38824</v>
      </c>
      <c r="E13" s="331">
        <v>5</v>
      </c>
      <c r="F13" s="329">
        <v>6.96</v>
      </c>
      <c r="G13" s="332">
        <v>5</v>
      </c>
      <c r="H13" s="333">
        <v>0.1227</v>
      </c>
      <c r="I13" s="333">
        <v>0.1249</v>
      </c>
      <c r="J13" s="333">
        <v>0.124</v>
      </c>
      <c r="K13" s="329"/>
      <c r="L13" s="330">
        <v>6</v>
      </c>
      <c r="CD13" s="327"/>
    </row>
    <row r="14" spans="1:82" hidden="1">
      <c r="A14" s="328">
        <v>38740</v>
      </c>
      <c r="B14" s="329" t="s">
        <v>390</v>
      </c>
      <c r="C14" s="330">
        <v>91</v>
      </c>
      <c r="D14" s="328">
        <v>38831</v>
      </c>
      <c r="E14" s="331">
        <v>2</v>
      </c>
      <c r="F14" s="329">
        <v>3.3</v>
      </c>
      <c r="G14" s="332">
        <v>2</v>
      </c>
      <c r="H14" s="333">
        <v>0.11550000000000001</v>
      </c>
      <c r="I14" s="333">
        <v>0.1193</v>
      </c>
      <c r="J14" s="333">
        <v>0.1172</v>
      </c>
      <c r="K14" s="329"/>
      <c r="L14" s="330">
        <v>4</v>
      </c>
      <c r="CC14" s="323">
        <v>3917</v>
      </c>
      <c r="CD14" s="327">
        <f>BY14+BZ14+CA14+CC14</f>
        <v>3917</v>
      </c>
    </row>
    <row r="15" spans="1:82" hidden="1">
      <c r="A15" s="328">
        <v>38761</v>
      </c>
      <c r="B15" s="329" t="s">
        <v>391</v>
      </c>
      <c r="C15" s="330">
        <v>120</v>
      </c>
      <c r="D15" s="328">
        <v>38881</v>
      </c>
      <c r="E15" s="331">
        <v>2</v>
      </c>
      <c r="F15" s="329">
        <v>6.79</v>
      </c>
      <c r="G15" s="332">
        <v>1.95</v>
      </c>
      <c r="H15" s="333">
        <v>0.1002</v>
      </c>
      <c r="I15" s="333">
        <v>0.1002</v>
      </c>
      <c r="J15" s="333">
        <v>0.1002</v>
      </c>
      <c r="K15" s="329"/>
      <c r="L15" s="330">
        <v>7</v>
      </c>
      <c r="CC15" s="323">
        <v>444</v>
      </c>
      <c r="CD15" s="327">
        <f t="shared" ref="CD15:CD56" si="0">BY15+BZ15+CA15+CC15</f>
        <v>444</v>
      </c>
    </row>
    <row r="16" spans="1:82" hidden="1">
      <c r="A16" s="328">
        <v>38772</v>
      </c>
      <c r="B16" s="329" t="s">
        <v>392</v>
      </c>
      <c r="C16" s="330">
        <v>334</v>
      </c>
      <c r="D16" s="328">
        <v>39106</v>
      </c>
      <c r="E16" s="331">
        <v>6</v>
      </c>
      <c r="F16" s="329">
        <v>8.0500000000000007</v>
      </c>
      <c r="G16" s="332">
        <v>1.59</v>
      </c>
      <c r="H16" s="333">
        <v>0.09</v>
      </c>
      <c r="I16" s="333">
        <v>0.1</v>
      </c>
      <c r="J16" s="333">
        <v>9.7699999999999995E-2</v>
      </c>
      <c r="K16" s="329"/>
      <c r="L16" s="330">
        <v>7</v>
      </c>
      <c r="CD16" s="327"/>
    </row>
    <row r="17" spans="1:82" hidden="1">
      <c r="A17" s="328">
        <v>38791</v>
      </c>
      <c r="B17" s="329" t="s">
        <v>393</v>
      </c>
      <c r="C17" s="330">
        <v>91</v>
      </c>
      <c r="D17" s="328">
        <v>38882</v>
      </c>
      <c r="E17" s="331">
        <v>5</v>
      </c>
      <c r="F17" s="329">
        <v>15.32</v>
      </c>
      <c r="G17" s="332">
        <v>5</v>
      </c>
      <c r="H17" s="333">
        <v>5.5300000000000002E-2</v>
      </c>
      <c r="I17" s="333">
        <v>5.8999999999999997E-2</v>
      </c>
      <c r="J17" s="333">
        <v>5.6099999999999997E-2</v>
      </c>
      <c r="K17" s="329"/>
      <c r="L17" s="330">
        <v>10</v>
      </c>
      <c r="CC17" s="323">
        <f>CC19+CC20</f>
        <v>-2648</v>
      </c>
      <c r="CD17" s="327">
        <f t="shared" si="0"/>
        <v>-2648</v>
      </c>
    </row>
    <row r="18" spans="1:82" hidden="1">
      <c r="A18" s="328">
        <v>38821</v>
      </c>
      <c r="B18" s="329" t="s">
        <v>394</v>
      </c>
      <c r="C18" s="330">
        <v>91</v>
      </c>
      <c r="D18" s="328">
        <v>38912</v>
      </c>
      <c r="E18" s="331">
        <v>4</v>
      </c>
      <c r="F18" s="329">
        <v>5.04</v>
      </c>
      <c r="G18" s="332">
        <v>4</v>
      </c>
      <c r="H18" s="333">
        <v>4.99E-2</v>
      </c>
      <c r="I18" s="333">
        <v>5.9799999999999999E-2</v>
      </c>
      <c r="J18" s="333">
        <v>5.4100000000000002E-2</v>
      </c>
      <c r="K18" s="329"/>
      <c r="L18" s="330">
        <v>5</v>
      </c>
      <c r="CD18" s="327"/>
    </row>
    <row r="19" spans="1:82" hidden="1">
      <c r="A19" s="328">
        <v>38831</v>
      </c>
      <c r="B19" s="329" t="s">
        <v>395</v>
      </c>
      <c r="C19" s="330">
        <v>91</v>
      </c>
      <c r="D19" s="328">
        <v>38922</v>
      </c>
      <c r="E19" s="331">
        <v>3</v>
      </c>
      <c r="F19" s="329">
        <v>2.23</v>
      </c>
      <c r="G19" s="332">
        <v>2.23</v>
      </c>
      <c r="H19" s="333">
        <v>4.99E-2</v>
      </c>
      <c r="I19" s="333">
        <v>6.4799999999999996E-2</v>
      </c>
      <c r="J19" s="333">
        <v>5.3199999999999997E-2</v>
      </c>
      <c r="K19" s="329"/>
      <c r="L19" s="330">
        <v>4</v>
      </c>
      <c r="CC19" s="323">
        <v>-367</v>
      </c>
      <c r="CD19" s="327">
        <f t="shared" si="0"/>
        <v>-367</v>
      </c>
    </row>
    <row r="20" spans="1:82" hidden="1">
      <c r="A20" s="328">
        <v>38845</v>
      </c>
      <c r="B20" s="329" t="s">
        <v>396</v>
      </c>
      <c r="C20" s="330">
        <v>91</v>
      </c>
      <c r="D20" s="328">
        <v>38936</v>
      </c>
      <c r="E20" s="331">
        <v>5</v>
      </c>
      <c r="F20" s="329">
        <v>0.3</v>
      </c>
      <c r="G20" s="332">
        <v>0.3</v>
      </c>
      <c r="H20" s="333">
        <v>6.6900000000000001E-2</v>
      </c>
      <c r="I20" s="333">
        <v>7.0199999999999999E-2</v>
      </c>
      <c r="J20" s="333">
        <v>6.8500000000000005E-2</v>
      </c>
      <c r="K20" s="329"/>
      <c r="L20" s="330">
        <v>2</v>
      </c>
      <c r="CC20" s="323">
        <v>-2281</v>
      </c>
      <c r="CD20" s="327">
        <f t="shared" si="0"/>
        <v>-2281</v>
      </c>
    </row>
    <row r="21" spans="1:82" hidden="1">
      <c r="A21" s="328">
        <v>38852</v>
      </c>
      <c r="B21" s="329" t="s">
        <v>397</v>
      </c>
      <c r="C21" s="330">
        <v>182</v>
      </c>
      <c r="D21" s="328">
        <v>39034</v>
      </c>
      <c r="E21" s="331">
        <v>4</v>
      </c>
      <c r="F21" s="329">
        <v>0.52</v>
      </c>
      <c r="G21" s="332">
        <v>0.52</v>
      </c>
      <c r="H21" s="333">
        <v>7.0999999999999994E-2</v>
      </c>
      <c r="I21" s="333">
        <v>7.4899999999999994E-2</v>
      </c>
      <c r="J21" s="333">
        <v>7.2999999999999995E-2</v>
      </c>
      <c r="K21" s="329"/>
      <c r="L21" s="330">
        <v>2</v>
      </c>
      <c r="CD21" s="327"/>
    </row>
    <row r="22" spans="1:82" hidden="1">
      <c r="A22" s="328">
        <v>38859</v>
      </c>
      <c r="B22" s="329" t="s">
        <v>398</v>
      </c>
      <c r="C22" s="330">
        <v>364</v>
      </c>
      <c r="D22" s="328">
        <v>39223</v>
      </c>
      <c r="E22" s="331">
        <v>6</v>
      </c>
      <c r="F22" s="329">
        <v>0.33</v>
      </c>
      <c r="G22" s="332">
        <v>0.33</v>
      </c>
      <c r="H22" s="333">
        <v>8.5099999999999995E-2</v>
      </c>
      <c r="I22" s="333">
        <v>9.8000000000000004E-2</v>
      </c>
      <c r="J22" s="333">
        <v>9.6299999999999997E-2</v>
      </c>
      <c r="K22" s="329"/>
      <c r="L22" s="330">
        <v>2</v>
      </c>
      <c r="CC22" s="323">
        <f>CC24+CC25</f>
        <v>-797</v>
      </c>
      <c r="CD22" s="327">
        <f t="shared" si="0"/>
        <v>-797</v>
      </c>
    </row>
    <row r="23" spans="1:82" hidden="1">
      <c r="A23" s="328">
        <v>38859</v>
      </c>
      <c r="B23" s="334" t="s">
        <v>398</v>
      </c>
      <c r="C23" s="335">
        <v>364</v>
      </c>
      <c r="D23" s="334">
        <v>39223</v>
      </c>
      <c r="E23" s="331">
        <v>6</v>
      </c>
      <c r="F23" s="223">
        <v>4.91</v>
      </c>
      <c r="G23" s="336">
        <v>4.91</v>
      </c>
      <c r="H23" s="337">
        <v>8.48E-2</v>
      </c>
      <c r="I23" s="337">
        <v>9.8000000000000004E-2</v>
      </c>
      <c r="J23" s="337">
        <v>9.6299999999999997E-2</v>
      </c>
      <c r="K23" s="223"/>
      <c r="L23" s="335">
        <v>2</v>
      </c>
      <c r="CD23" s="327"/>
    </row>
    <row r="24" spans="1:82" hidden="1">
      <c r="A24" s="328">
        <v>38873</v>
      </c>
      <c r="B24" s="334" t="s">
        <v>2440</v>
      </c>
      <c r="C24" s="335">
        <v>91</v>
      </c>
      <c r="D24" s="334">
        <v>38964</v>
      </c>
      <c r="E24" s="331">
        <v>5</v>
      </c>
      <c r="F24" s="223">
        <v>2.1800000000000002</v>
      </c>
      <c r="G24" s="336">
        <v>2.1800000000000002</v>
      </c>
      <c r="H24" s="337">
        <v>9.2899999999999996E-2</v>
      </c>
      <c r="I24" s="337">
        <v>9.3200000000000005E-2</v>
      </c>
      <c r="J24" s="337">
        <v>8.9800000000000005E-2</v>
      </c>
      <c r="K24" s="223"/>
      <c r="L24" s="335">
        <v>2</v>
      </c>
      <c r="CC24" s="323">
        <v>-644</v>
      </c>
      <c r="CD24" s="327">
        <f t="shared" si="0"/>
        <v>-644</v>
      </c>
    </row>
    <row r="25" spans="1:82" hidden="1">
      <c r="A25" s="328">
        <v>38881</v>
      </c>
      <c r="B25" s="334" t="s">
        <v>2441</v>
      </c>
      <c r="C25" s="335">
        <v>90</v>
      </c>
      <c r="D25" s="334">
        <v>38971</v>
      </c>
      <c r="E25" s="331">
        <v>6</v>
      </c>
      <c r="F25" s="223">
        <v>5.08</v>
      </c>
      <c r="G25" s="336">
        <v>5.08</v>
      </c>
      <c r="H25" s="337">
        <v>0.1052</v>
      </c>
      <c r="I25" s="337">
        <v>0.1198</v>
      </c>
      <c r="J25" s="337">
        <v>9.8900000000000002E-2</v>
      </c>
      <c r="K25" s="223"/>
      <c r="L25" s="335">
        <v>3</v>
      </c>
      <c r="CC25" s="323">
        <v>-153</v>
      </c>
      <c r="CD25" s="327">
        <f t="shared" si="0"/>
        <v>-153</v>
      </c>
    </row>
    <row r="26" spans="1:82" hidden="1">
      <c r="A26" s="328">
        <v>38882</v>
      </c>
      <c r="B26" s="334" t="s">
        <v>2442</v>
      </c>
      <c r="C26" s="335">
        <v>362</v>
      </c>
      <c r="D26" s="334">
        <v>39244</v>
      </c>
      <c r="E26" s="331">
        <v>6</v>
      </c>
      <c r="F26" s="223">
        <v>2.36</v>
      </c>
      <c r="G26" s="336">
        <v>2.36</v>
      </c>
      <c r="H26" s="337">
        <v>0.11550000000000001</v>
      </c>
      <c r="I26" s="337">
        <v>0.14000000000000001</v>
      </c>
      <c r="J26" s="337">
        <v>0.1178</v>
      </c>
      <c r="K26" s="223"/>
      <c r="L26" s="335">
        <v>3</v>
      </c>
      <c r="CD26" s="327"/>
    </row>
    <row r="27" spans="1:82" hidden="1">
      <c r="A27" s="328">
        <v>38887</v>
      </c>
      <c r="B27" s="334" t="s">
        <v>2443</v>
      </c>
      <c r="C27" s="335">
        <v>91</v>
      </c>
      <c r="D27" s="334">
        <v>38978</v>
      </c>
      <c r="E27" s="331">
        <v>3</v>
      </c>
      <c r="F27" s="336">
        <v>1.6745999999999999</v>
      </c>
      <c r="G27" s="336">
        <v>1.45</v>
      </c>
      <c r="H27" s="337">
        <v>0.13489999999999999</v>
      </c>
      <c r="I27" s="337">
        <v>0.13</v>
      </c>
      <c r="J27" s="337">
        <v>0.12280000000000001</v>
      </c>
      <c r="K27" s="223"/>
      <c r="L27" s="335">
        <v>5</v>
      </c>
      <c r="CD27" s="327"/>
    </row>
    <row r="28" spans="1:82" hidden="1">
      <c r="A28" s="328">
        <v>38895</v>
      </c>
      <c r="B28" s="334" t="s">
        <v>2444</v>
      </c>
      <c r="C28" s="335">
        <v>181</v>
      </c>
      <c r="D28" s="334">
        <v>39076</v>
      </c>
      <c r="E28" s="331">
        <v>4</v>
      </c>
      <c r="F28" s="336" t="e">
        <v>#REF!</v>
      </c>
      <c r="G28" s="336">
        <v>1.4514</v>
      </c>
      <c r="H28" s="1204">
        <v>0.12620000000000001</v>
      </c>
      <c r="I28" s="337">
        <v>0.14000000000000001</v>
      </c>
      <c r="J28" s="337">
        <v>0.13900000000000001</v>
      </c>
      <c r="K28" s="223"/>
      <c r="L28" s="335">
        <v>4</v>
      </c>
      <c r="CD28" s="327"/>
    </row>
    <row r="29" spans="1:82" hidden="1">
      <c r="A29" s="328">
        <v>38901</v>
      </c>
      <c r="B29" s="334" t="s">
        <v>2445</v>
      </c>
      <c r="C29" s="335">
        <v>91</v>
      </c>
      <c r="D29" s="334">
        <v>38992</v>
      </c>
      <c r="E29" s="331">
        <v>3</v>
      </c>
      <c r="F29" s="336">
        <v>3.1741999999999999</v>
      </c>
      <c r="G29" s="336">
        <v>3</v>
      </c>
      <c r="H29" s="1204">
        <v>0.14000000000000001</v>
      </c>
      <c r="I29" s="337">
        <v>0.13900000000000001</v>
      </c>
      <c r="J29" s="337">
        <v>0.1356</v>
      </c>
      <c r="K29" s="223"/>
      <c r="L29" s="335">
        <v>4</v>
      </c>
      <c r="CC29" s="323">
        <v>-31</v>
      </c>
      <c r="CD29" s="327">
        <f t="shared" si="0"/>
        <v>-31</v>
      </c>
    </row>
    <row r="30" spans="1:82" hidden="1">
      <c r="A30" s="328">
        <v>38929</v>
      </c>
      <c r="B30" s="334" t="e">
        <v>#REF!</v>
      </c>
      <c r="C30" s="335">
        <v>364</v>
      </c>
      <c r="D30" s="334">
        <v>39293</v>
      </c>
      <c r="E30" s="331">
        <v>6</v>
      </c>
      <c r="F30" s="336">
        <v>1.8084</v>
      </c>
      <c r="G30" s="336" t="e">
        <v>#REF!</v>
      </c>
      <c r="H30" s="1204">
        <v>0.105</v>
      </c>
      <c r="I30" s="337" t="e">
        <v>#REF!</v>
      </c>
      <c r="J30" s="337" t="e">
        <v>#REF!</v>
      </c>
      <c r="K30" s="223"/>
      <c r="L30" s="335" t="e">
        <v>#REF!</v>
      </c>
      <c r="CC30" s="323">
        <v>-440</v>
      </c>
      <c r="CD30" s="327">
        <f t="shared" si="0"/>
        <v>-440</v>
      </c>
    </row>
    <row r="31" spans="1:82" hidden="1">
      <c r="A31" s="328">
        <v>38936</v>
      </c>
      <c r="B31" s="334" t="s">
        <v>2446</v>
      </c>
      <c r="C31" s="335">
        <v>91</v>
      </c>
      <c r="D31" s="334">
        <v>39027</v>
      </c>
      <c r="E31" s="331">
        <v>6</v>
      </c>
      <c r="F31" s="336">
        <v>3.331</v>
      </c>
      <c r="G31" s="336">
        <v>0.49480000000000002</v>
      </c>
      <c r="H31" s="1204">
        <v>8.9599999999999999E-2</v>
      </c>
      <c r="I31" s="337">
        <v>0.1399</v>
      </c>
      <c r="J31" s="337">
        <v>0.105</v>
      </c>
      <c r="K31" s="223"/>
      <c r="L31" s="335">
        <v>3</v>
      </c>
      <c r="CD31" s="327"/>
    </row>
    <row r="32" spans="1:82" hidden="1">
      <c r="A32" s="328">
        <v>38944</v>
      </c>
      <c r="B32" s="334" t="s">
        <v>2447</v>
      </c>
      <c r="C32" s="335">
        <v>98</v>
      </c>
      <c r="D32" s="334">
        <v>39042</v>
      </c>
      <c r="E32" s="331">
        <v>3</v>
      </c>
      <c r="F32" s="336">
        <v>2.3717999999999999</v>
      </c>
      <c r="G32" s="336">
        <v>1.9328000000000001</v>
      </c>
      <c r="H32" s="1204">
        <v>0.12509999999999999</v>
      </c>
      <c r="I32" s="337">
        <v>0.12990000000000002</v>
      </c>
      <c r="J32" s="337">
        <v>0.10059999999999999</v>
      </c>
      <c r="K32" s="223"/>
      <c r="L32" s="335">
        <v>4</v>
      </c>
      <c r="CC32" s="323">
        <f>CC34+CC35</f>
        <v>-498</v>
      </c>
      <c r="CD32" s="327">
        <f>BY32+BZ32+CA32+CC32</f>
        <v>-498</v>
      </c>
    </row>
    <row r="33" spans="1:82" hidden="1">
      <c r="A33" s="334">
        <v>38951</v>
      </c>
      <c r="B33" s="334" t="s">
        <v>2448</v>
      </c>
      <c r="C33" s="335">
        <v>182</v>
      </c>
      <c r="D33" s="334">
        <v>39133</v>
      </c>
      <c r="E33" s="331">
        <v>6</v>
      </c>
      <c r="F33" s="336">
        <v>0.53059999999999996</v>
      </c>
      <c r="G33" s="336">
        <v>0.53059999999999996</v>
      </c>
      <c r="H33" s="1204">
        <v>0.12509999999999999</v>
      </c>
      <c r="I33" s="337">
        <v>0.12509999999999999</v>
      </c>
      <c r="J33" s="337">
        <v>0.12509999999999999</v>
      </c>
      <c r="K33" s="223"/>
      <c r="L33" s="335">
        <v>1</v>
      </c>
      <c r="CD33" s="327"/>
    </row>
    <row r="34" spans="1:82" hidden="1">
      <c r="A34" s="334">
        <v>38958</v>
      </c>
      <c r="B34" s="334" t="s">
        <v>2449</v>
      </c>
      <c r="C34" s="335">
        <v>364</v>
      </c>
      <c r="D34" s="334">
        <v>39322</v>
      </c>
      <c r="E34" s="331">
        <v>6</v>
      </c>
      <c r="F34" s="336">
        <v>0.6966</v>
      </c>
      <c r="G34" s="336">
        <v>0.6966</v>
      </c>
      <c r="H34" s="337">
        <v>0.1193</v>
      </c>
      <c r="I34" s="337">
        <v>0.12970000000000001</v>
      </c>
      <c r="J34" s="337">
        <v>0.12620000000000001</v>
      </c>
      <c r="K34" s="223"/>
      <c r="L34" s="335">
        <v>2</v>
      </c>
      <c r="CC34" s="323">
        <v>-521</v>
      </c>
      <c r="CD34" s="327">
        <f>BY34+BZ34+CA34+CC34</f>
        <v>-521</v>
      </c>
    </row>
    <row r="35" spans="1:82" hidden="1">
      <c r="A35" s="334">
        <v>38964</v>
      </c>
      <c r="B35" s="334" t="s">
        <v>2450</v>
      </c>
      <c r="C35" s="335">
        <v>92</v>
      </c>
      <c r="D35" s="334">
        <v>39056</v>
      </c>
      <c r="E35" s="331">
        <v>6</v>
      </c>
      <c r="F35" s="336">
        <v>9.0594999999999999</v>
      </c>
      <c r="G35" s="336">
        <v>6</v>
      </c>
      <c r="H35" s="337">
        <v>0.11890000000000001</v>
      </c>
      <c r="I35" s="337">
        <v>0.12990000000000002</v>
      </c>
      <c r="J35" s="337">
        <v>0.1198</v>
      </c>
      <c r="K35" s="223"/>
      <c r="L35" s="335">
        <v>5</v>
      </c>
      <c r="CC35" s="323">
        <v>23</v>
      </c>
      <c r="CD35" s="327">
        <f>BY35+BZ35+CA35+CC35</f>
        <v>23</v>
      </c>
    </row>
    <row r="36" spans="1:82" hidden="1">
      <c r="A36" s="334">
        <v>38971</v>
      </c>
      <c r="B36" s="334" t="s">
        <v>2451</v>
      </c>
      <c r="C36" s="335">
        <v>92</v>
      </c>
      <c r="D36" s="334">
        <v>39063</v>
      </c>
      <c r="E36" s="331">
        <v>5</v>
      </c>
      <c r="F36" s="336">
        <v>2.2544</v>
      </c>
      <c r="G36" s="336">
        <v>1.5938000000000001</v>
      </c>
      <c r="H36" s="337">
        <v>0.1237</v>
      </c>
      <c r="I36" s="337">
        <v>0.1198</v>
      </c>
      <c r="J36" s="337">
        <v>0.11890000000000001</v>
      </c>
      <c r="K36" s="223"/>
      <c r="L36" s="335">
        <v>6</v>
      </c>
      <c r="CD36" s="327"/>
    </row>
    <row r="37" spans="1:82" hidden="1">
      <c r="A37" s="334">
        <v>38978</v>
      </c>
      <c r="B37" s="334" t="s">
        <v>2452</v>
      </c>
      <c r="C37" s="335">
        <v>182</v>
      </c>
      <c r="D37" s="334">
        <v>39160</v>
      </c>
      <c r="E37" s="338">
        <v>6</v>
      </c>
      <c r="F37" s="336">
        <v>2.5863999999999998</v>
      </c>
      <c r="G37" s="336">
        <v>2.5863999999999998</v>
      </c>
      <c r="H37" s="337">
        <v>0.1249</v>
      </c>
      <c r="I37" s="337">
        <v>0.13009999999999999</v>
      </c>
      <c r="J37" s="337">
        <v>0.1237</v>
      </c>
      <c r="K37" s="223"/>
      <c r="L37" s="335">
        <v>4</v>
      </c>
      <c r="CC37" s="323">
        <v>433</v>
      </c>
      <c r="CD37" s="327">
        <f t="shared" si="0"/>
        <v>433</v>
      </c>
    </row>
    <row r="38" spans="1:82" hidden="1">
      <c r="A38" s="334">
        <v>38986</v>
      </c>
      <c r="B38" s="334" t="s">
        <v>2453</v>
      </c>
      <c r="C38" s="335">
        <v>364</v>
      </c>
      <c r="D38" s="334">
        <v>39350</v>
      </c>
      <c r="E38" s="338">
        <v>5</v>
      </c>
      <c r="F38" s="336">
        <v>0.89439999999999997</v>
      </c>
      <c r="G38" s="336">
        <v>0.3352</v>
      </c>
      <c r="H38" s="337">
        <v>0.1242</v>
      </c>
      <c r="I38" s="337">
        <v>0.1249</v>
      </c>
      <c r="J38" s="337">
        <v>0.1249</v>
      </c>
      <c r="K38" s="223"/>
      <c r="L38" s="335">
        <v>2</v>
      </c>
      <c r="CC38" s="323">
        <v>-931</v>
      </c>
      <c r="CD38" s="327">
        <f t="shared" si="0"/>
        <v>-931</v>
      </c>
    </row>
    <row r="39" spans="1:82" hidden="1">
      <c r="A39" s="334">
        <v>38992</v>
      </c>
      <c r="B39" s="334" t="s">
        <v>2454</v>
      </c>
      <c r="C39" s="335">
        <v>94</v>
      </c>
      <c r="D39" s="334">
        <v>39086</v>
      </c>
      <c r="E39" s="338">
        <v>4</v>
      </c>
      <c r="F39" s="336">
        <v>2.81</v>
      </c>
      <c r="G39" s="336">
        <v>2.81</v>
      </c>
      <c r="H39" s="337">
        <v>0.13</v>
      </c>
      <c r="I39" s="337">
        <v>0.13</v>
      </c>
      <c r="J39" s="337">
        <v>0.1242</v>
      </c>
      <c r="K39" s="223"/>
      <c r="L39" s="335">
        <v>4</v>
      </c>
      <c r="CD39" s="327"/>
    </row>
    <row r="40" spans="1:82" hidden="1">
      <c r="A40" s="334">
        <v>39000</v>
      </c>
      <c r="B40" s="334" t="s">
        <v>2455</v>
      </c>
      <c r="C40" s="335">
        <v>91</v>
      </c>
      <c r="D40" s="334">
        <v>39091</v>
      </c>
      <c r="E40" s="338">
        <v>5</v>
      </c>
      <c r="F40" s="336">
        <v>0.15440000000000001</v>
      </c>
      <c r="G40" s="336">
        <v>0.15440000000000001</v>
      </c>
      <c r="H40" s="337">
        <v>0.1227</v>
      </c>
      <c r="I40" s="337">
        <v>0.13</v>
      </c>
      <c r="J40" s="337">
        <v>0.13</v>
      </c>
      <c r="K40" s="223"/>
      <c r="L40" s="335">
        <v>2</v>
      </c>
      <c r="CC40" s="323">
        <v>204</v>
      </c>
      <c r="CD40" s="327">
        <f t="shared" si="0"/>
        <v>204</v>
      </c>
    </row>
    <row r="41" spans="1:82" hidden="1">
      <c r="A41" s="334">
        <v>39006</v>
      </c>
      <c r="B41" s="334" t="s">
        <v>2456</v>
      </c>
      <c r="C41" s="335">
        <v>92</v>
      </c>
      <c r="D41" s="334">
        <v>39098</v>
      </c>
      <c r="E41" s="338">
        <v>5</v>
      </c>
      <c r="F41" s="336">
        <v>3.6562000000000001</v>
      </c>
      <c r="G41" s="336">
        <v>2.75</v>
      </c>
      <c r="H41" s="337">
        <v>0.12989999999999999</v>
      </c>
      <c r="I41" s="337">
        <v>0.12990000000000002</v>
      </c>
      <c r="J41" s="337">
        <v>0.1227</v>
      </c>
      <c r="K41" s="223"/>
      <c r="L41" s="335">
        <v>5</v>
      </c>
      <c r="CC41" s="323">
        <v>200</v>
      </c>
      <c r="CD41" s="327">
        <f t="shared" si="0"/>
        <v>200</v>
      </c>
    </row>
    <row r="42" spans="1:82" hidden="1">
      <c r="A42" s="334">
        <v>39016</v>
      </c>
      <c r="B42" s="334" t="s">
        <v>2457</v>
      </c>
      <c r="C42" s="335">
        <v>180</v>
      </c>
      <c r="D42" s="334">
        <v>39196</v>
      </c>
      <c r="E42" s="338">
        <v>6</v>
      </c>
      <c r="F42" s="336">
        <v>4.0628000000000002</v>
      </c>
      <c r="G42" s="336">
        <v>3.5228000000000002</v>
      </c>
      <c r="H42" s="337">
        <v>0.12909999999999999</v>
      </c>
      <c r="I42" s="337">
        <v>0.12990000000000002</v>
      </c>
      <c r="J42" s="337">
        <v>0.12989999999999999</v>
      </c>
      <c r="K42" s="223"/>
      <c r="L42" s="335">
        <v>4</v>
      </c>
      <c r="CD42" s="327"/>
    </row>
    <row r="43" spans="1:82" hidden="1">
      <c r="A43" s="334">
        <v>39021</v>
      </c>
      <c r="B43" s="334" t="s">
        <v>2458</v>
      </c>
      <c r="C43" s="335">
        <v>364</v>
      </c>
      <c r="D43" s="334">
        <v>39385</v>
      </c>
      <c r="E43" s="338">
        <v>6</v>
      </c>
      <c r="F43" s="336">
        <v>2.2728000000000002</v>
      </c>
      <c r="G43" s="336">
        <v>2.2728000000000002</v>
      </c>
      <c r="H43" s="337">
        <v>9.9599999999999994E-2</v>
      </c>
      <c r="I43" s="337">
        <v>0.12990000000000002</v>
      </c>
      <c r="J43" s="337">
        <v>0.12909999999999999</v>
      </c>
      <c r="K43" s="223"/>
      <c r="L43" s="335">
        <v>2</v>
      </c>
      <c r="CC43" s="323">
        <v>295</v>
      </c>
      <c r="CD43" s="327">
        <f t="shared" si="0"/>
        <v>295</v>
      </c>
    </row>
    <row r="44" spans="1:82" hidden="1">
      <c r="A44" s="334">
        <v>39027</v>
      </c>
      <c r="B44" s="334" t="s">
        <v>2459</v>
      </c>
      <c r="C44" s="335">
        <v>92</v>
      </c>
      <c r="D44" s="334">
        <v>39119</v>
      </c>
      <c r="E44" s="338">
        <v>6</v>
      </c>
      <c r="F44" s="336">
        <v>7.1470000000000002</v>
      </c>
      <c r="G44" s="336">
        <v>6</v>
      </c>
      <c r="H44" s="337">
        <v>9.4799999999999995E-2</v>
      </c>
      <c r="I44" s="337">
        <v>9.9600000000000008E-2</v>
      </c>
      <c r="J44" s="337">
        <v>9.9599999999999994E-2</v>
      </c>
      <c r="K44" s="223"/>
      <c r="L44" s="335">
        <v>5</v>
      </c>
      <c r="CC44" s="323">
        <v>-95</v>
      </c>
      <c r="CD44" s="327">
        <f t="shared" si="0"/>
        <v>-95</v>
      </c>
    </row>
    <row r="45" spans="1:82" hidden="1">
      <c r="A45" s="334">
        <v>39035</v>
      </c>
      <c r="B45" s="334" t="s">
        <v>2460</v>
      </c>
      <c r="C45" s="335">
        <v>91</v>
      </c>
      <c r="D45" s="334">
        <v>39126</v>
      </c>
      <c r="E45" s="338">
        <v>6</v>
      </c>
      <c r="F45" s="336">
        <v>9.6999999999999993</v>
      </c>
      <c r="G45" s="336">
        <v>6</v>
      </c>
      <c r="H45" s="337">
        <v>9.5799999999999996E-2</v>
      </c>
      <c r="I45" s="337">
        <v>9.4800000000000009E-2</v>
      </c>
      <c r="J45" s="337">
        <v>9.4600000000000004E-2</v>
      </c>
      <c r="K45" s="223"/>
      <c r="L45" s="335">
        <v>6</v>
      </c>
      <c r="CD45" s="327"/>
    </row>
    <row r="46" spans="1:82" hidden="1">
      <c r="A46" s="334">
        <v>39042</v>
      </c>
      <c r="B46" s="334" t="s">
        <v>2461</v>
      </c>
      <c r="C46" s="335">
        <v>175</v>
      </c>
      <c r="D46" s="334">
        <v>39217</v>
      </c>
      <c r="E46" s="338">
        <v>5</v>
      </c>
      <c r="F46" s="336">
        <v>8.9810000000000016</v>
      </c>
      <c r="G46" s="336">
        <v>5</v>
      </c>
      <c r="H46" s="337">
        <v>9.6000000000000002E-2</v>
      </c>
      <c r="I46" s="337">
        <v>9.69E-2</v>
      </c>
      <c r="J46" s="337">
        <v>9.5799999999999996E-2</v>
      </c>
      <c r="K46" s="223"/>
      <c r="L46" s="335">
        <v>4</v>
      </c>
      <c r="CC46" s="323">
        <v>0</v>
      </c>
      <c r="CD46" s="327">
        <f t="shared" si="0"/>
        <v>0</v>
      </c>
    </row>
    <row r="47" spans="1:82" hidden="1">
      <c r="A47" s="334">
        <v>39049</v>
      </c>
      <c r="B47" s="334" t="s">
        <v>2462</v>
      </c>
      <c r="C47" s="335">
        <v>364</v>
      </c>
      <c r="D47" s="334">
        <v>39413</v>
      </c>
      <c r="E47" s="338">
        <v>6</v>
      </c>
      <c r="F47" s="336">
        <v>5.7102000000000004</v>
      </c>
      <c r="G47" s="336">
        <v>2.5943999999999998</v>
      </c>
      <c r="H47" s="337">
        <v>9.9099999999999994E-2</v>
      </c>
      <c r="I47" s="337">
        <v>0.1</v>
      </c>
      <c r="J47" s="337">
        <v>9.6000000000000002E-2</v>
      </c>
      <c r="K47" s="223"/>
      <c r="L47" s="335">
        <v>5</v>
      </c>
      <c r="CD47" s="327"/>
    </row>
    <row r="48" spans="1:82" hidden="1">
      <c r="A48" s="334">
        <v>39056</v>
      </c>
      <c r="B48" s="334" t="s">
        <v>2463</v>
      </c>
      <c r="C48" s="335">
        <v>91</v>
      </c>
      <c r="D48" s="334">
        <v>39147</v>
      </c>
      <c r="E48" s="338">
        <v>7</v>
      </c>
      <c r="F48" s="336">
        <v>5.6942000000000004</v>
      </c>
      <c r="G48" s="336">
        <v>5.6942000000000004</v>
      </c>
      <c r="H48" s="1205">
        <v>0.10829999999999999</v>
      </c>
      <c r="I48" s="337">
        <v>0.105</v>
      </c>
      <c r="J48" s="337">
        <v>0.1003</v>
      </c>
      <c r="K48" s="223"/>
      <c r="L48" s="335">
        <v>4</v>
      </c>
      <c r="CC48" s="323">
        <f>CC49-CC53</f>
        <v>481</v>
      </c>
      <c r="CD48" s="327">
        <f t="shared" si="0"/>
        <v>481</v>
      </c>
    </row>
    <row r="49" spans="1:82" hidden="1">
      <c r="A49" s="334">
        <v>39063</v>
      </c>
      <c r="B49" s="334" t="s">
        <v>2464</v>
      </c>
      <c r="C49" s="335">
        <v>91</v>
      </c>
      <c r="D49" s="334">
        <v>39154</v>
      </c>
      <c r="E49" s="338">
        <v>6</v>
      </c>
      <c r="F49" s="336">
        <v>6</v>
      </c>
      <c r="G49" s="336">
        <v>6</v>
      </c>
      <c r="H49" s="1205">
        <v>0.11</v>
      </c>
      <c r="I49" s="337">
        <v>0.11</v>
      </c>
      <c r="J49" s="337">
        <v>0.10920000000000001</v>
      </c>
      <c r="K49" s="223"/>
      <c r="L49" s="335">
        <v>2</v>
      </c>
      <c r="CC49" s="323">
        <f>CC51+CC52</f>
        <v>965</v>
      </c>
      <c r="CD49" s="327">
        <f t="shared" si="0"/>
        <v>965</v>
      </c>
    </row>
    <row r="50" spans="1:82" hidden="1">
      <c r="A50" s="334">
        <v>39070</v>
      </c>
      <c r="B50" s="334" t="s">
        <v>2465</v>
      </c>
      <c r="C50" s="335">
        <v>182</v>
      </c>
      <c r="D50" s="334">
        <v>39252</v>
      </c>
      <c r="E50" s="338">
        <v>2</v>
      </c>
      <c r="F50" s="336">
        <v>0.158</v>
      </c>
      <c r="G50" s="336">
        <v>0.105</v>
      </c>
      <c r="H50" s="1205">
        <v>9.9099999999999994E-2</v>
      </c>
      <c r="I50" s="337">
        <v>0.11</v>
      </c>
      <c r="J50" s="337">
        <v>0.11</v>
      </c>
      <c r="K50" s="223"/>
      <c r="L50" s="335">
        <v>3</v>
      </c>
      <c r="CD50" s="327"/>
    </row>
    <row r="51" spans="1:82" hidden="1">
      <c r="A51" s="334">
        <v>39073</v>
      </c>
      <c r="B51" s="334" t="s">
        <v>2466</v>
      </c>
      <c r="C51" s="335">
        <v>91</v>
      </c>
      <c r="D51" s="334">
        <v>39164</v>
      </c>
      <c r="E51" s="338">
        <v>5</v>
      </c>
      <c r="F51" s="336">
        <v>1.1994</v>
      </c>
      <c r="G51" s="336">
        <v>1.1994</v>
      </c>
      <c r="H51" s="1205">
        <v>0.1028</v>
      </c>
      <c r="I51" s="337">
        <v>9.9100000000000008E-2</v>
      </c>
      <c r="J51" s="337">
        <v>9.9099999999999994E-2</v>
      </c>
      <c r="K51" s="223"/>
      <c r="L51" s="335">
        <v>1</v>
      </c>
      <c r="CC51" s="323">
        <v>954</v>
      </c>
      <c r="CD51" s="327">
        <f t="shared" si="0"/>
        <v>954</v>
      </c>
    </row>
    <row r="52" spans="1:82" hidden="1">
      <c r="A52" s="334">
        <v>39076</v>
      </c>
      <c r="B52" s="334" t="s">
        <v>2467</v>
      </c>
      <c r="C52" s="335">
        <v>91</v>
      </c>
      <c r="D52" s="334">
        <v>39167</v>
      </c>
      <c r="E52" s="338">
        <v>6</v>
      </c>
      <c r="F52" s="336">
        <v>0.39119999999999999</v>
      </c>
      <c r="G52" s="336">
        <v>0.39119999999999999</v>
      </c>
      <c r="H52" s="1205">
        <v>0.1091</v>
      </c>
      <c r="I52" s="337">
        <v>0.11890000000000001</v>
      </c>
      <c r="J52" s="337">
        <v>0.1164</v>
      </c>
      <c r="K52" s="223"/>
      <c r="L52" s="335">
        <v>2</v>
      </c>
      <c r="CC52" s="323">
        <v>11</v>
      </c>
      <c r="CD52" s="327">
        <f t="shared" si="0"/>
        <v>11</v>
      </c>
    </row>
    <row r="53" spans="1:82" hidden="1">
      <c r="A53" s="334">
        <v>39079</v>
      </c>
      <c r="B53" s="334" t="s">
        <v>2468</v>
      </c>
      <c r="C53" s="335">
        <v>96</v>
      </c>
      <c r="D53" s="334">
        <v>39175</v>
      </c>
      <c r="E53" s="338">
        <v>4</v>
      </c>
      <c r="F53" s="336">
        <v>3.3719999999999999</v>
      </c>
      <c r="G53" s="336">
        <v>3.3719999999999999</v>
      </c>
      <c r="H53" s="1205">
        <v>0.11559999999999999</v>
      </c>
      <c r="I53" s="337">
        <v>0.11599999999999999</v>
      </c>
      <c r="J53" s="337">
        <v>0.114</v>
      </c>
      <c r="K53" s="223"/>
      <c r="L53" s="335">
        <v>2</v>
      </c>
      <c r="CC53" s="323">
        <f>CC55+CC56+CC57+CC58</f>
        <v>484</v>
      </c>
      <c r="CD53" s="327">
        <f t="shared" si="0"/>
        <v>484</v>
      </c>
    </row>
    <row r="54" spans="1:82" hidden="1">
      <c r="A54" s="1597"/>
      <c r="B54" s="1597"/>
      <c r="C54" s="1598"/>
      <c r="D54" s="1597"/>
      <c r="E54" s="1599"/>
      <c r="F54" s="1600"/>
      <c r="G54" s="1600"/>
      <c r="H54" s="1601"/>
      <c r="I54" s="1601"/>
      <c r="J54" s="1601"/>
      <c r="K54" s="1602"/>
      <c r="L54" s="1598"/>
      <c r="CD54" s="327"/>
    </row>
    <row r="55" spans="1:82" hidden="1">
      <c r="A55" s="1598">
        <v>2007</v>
      </c>
      <c r="B55" s="1597"/>
      <c r="C55" s="1598"/>
      <c r="D55" s="1597"/>
      <c r="E55" s="1599"/>
      <c r="F55" s="1600"/>
      <c r="G55" s="1600"/>
      <c r="H55" s="1601"/>
      <c r="I55" s="1601"/>
      <c r="J55" s="1601"/>
      <c r="K55" s="1602"/>
      <c r="L55" s="1598"/>
      <c r="CC55" s="323">
        <v>1214</v>
      </c>
      <c r="CD55" s="327">
        <f t="shared" si="0"/>
        <v>1214</v>
      </c>
    </row>
    <row r="56" spans="1:82" s="343" customFormat="1" hidden="1">
      <c r="A56" s="339">
        <v>39090</v>
      </c>
      <c r="B56" s="339" t="s">
        <v>399</v>
      </c>
      <c r="C56" s="340">
        <v>92</v>
      </c>
      <c r="D56" s="339">
        <v>39182</v>
      </c>
      <c r="E56" s="341">
        <v>5</v>
      </c>
      <c r="F56" s="342">
        <v>3.6008</v>
      </c>
      <c r="G56" s="342">
        <v>1.1601999999999999</v>
      </c>
      <c r="H56" s="342">
        <v>10.01</v>
      </c>
      <c r="I56" s="342">
        <v>10.01</v>
      </c>
      <c r="J56" s="342">
        <v>10.01</v>
      </c>
      <c r="K56" s="1603"/>
      <c r="L56" s="340">
        <v>4</v>
      </c>
      <c r="CC56" s="343">
        <v>-745</v>
      </c>
      <c r="CD56" s="327">
        <f t="shared" si="0"/>
        <v>-745</v>
      </c>
    </row>
    <row r="57" spans="1:82" hidden="1">
      <c r="A57" s="334">
        <v>39090</v>
      </c>
      <c r="B57" s="334" t="s">
        <v>399</v>
      </c>
      <c r="C57" s="335">
        <v>92</v>
      </c>
      <c r="D57" s="334">
        <v>39182</v>
      </c>
      <c r="E57" s="338">
        <v>5</v>
      </c>
      <c r="F57" s="336">
        <v>3.6008</v>
      </c>
      <c r="G57" s="336">
        <v>1.1601999999999999</v>
      </c>
      <c r="H57" s="336">
        <v>10.01</v>
      </c>
      <c r="I57" s="336">
        <v>10.01</v>
      </c>
      <c r="J57" s="336">
        <v>10.01</v>
      </c>
      <c r="K57" s="223"/>
      <c r="L57" s="335">
        <v>4</v>
      </c>
      <c r="CC57" s="323">
        <v>0</v>
      </c>
      <c r="CD57" s="327">
        <f>BY57+BZ57+CA57+CC57</f>
        <v>0</v>
      </c>
    </row>
    <row r="58" spans="1:82" s="343" customFormat="1" hidden="1">
      <c r="A58" s="339">
        <v>39119</v>
      </c>
      <c r="B58" s="339" t="s">
        <v>400</v>
      </c>
      <c r="C58" s="340">
        <v>91</v>
      </c>
      <c r="D58" s="339">
        <v>39210</v>
      </c>
      <c r="E58" s="341">
        <v>7</v>
      </c>
      <c r="F58" s="342">
        <v>6.9305000000000003</v>
      </c>
      <c r="G58" s="342">
        <v>7</v>
      </c>
      <c r="H58" s="342">
        <v>10.029999999999999</v>
      </c>
      <c r="I58" s="342">
        <v>10.029999999999999</v>
      </c>
      <c r="J58" s="342">
        <v>10.029999999999999</v>
      </c>
      <c r="K58" s="344"/>
      <c r="L58" s="340">
        <v>3</v>
      </c>
      <c r="CC58" s="343">
        <v>15</v>
      </c>
      <c r="CD58" s="327">
        <f>BY58+BZ58+CA58+CC58</f>
        <v>15</v>
      </c>
    </row>
    <row r="59" spans="1:82" hidden="1">
      <c r="A59" s="334">
        <v>39126</v>
      </c>
      <c r="B59" s="334" t="s">
        <v>401</v>
      </c>
      <c r="C59" s="335">
        <v>93</v>
      </c>
      <c r="D59" s="334">
        <v>39219</v>
      </c>
      <c r="E59" s="338">
        <v>7</v>
      </c>
      <c r="F59" s="336">
        <v>8.0876999999999999</v>
      </c>
      <c r="G59" s="336">
        <v>7</v>
      </c>
      <c r="H59" s="336">
        <v>9.9</v>
      </c>
      <c r="I59" s="336">
        <v>10.02</v>
      </c>
      <c r="J59" s="336">
        <v>9.94</v>
      </c>
      <c r="K59" s="223"/>
      <c r="L59" s="335">
        <v>3</v>
      </c>
      <c r="CC59" s="323">
        <v>-372</v>
      </c>
      <c r="CD59" s="327">
        <f>BY59+BZ59+CA59+CC59</f>
        <v>-372</v>
      </c>
    </row>
    <row r="60" spans="1:82" hidden="1">
      <c r="A60" s="334">
        <v>39133</v>
      </c>
      <c r="B60" s="334" t="s">
        <v>402</v>
      </c>
      <c r="C60" s="335">
        <v>182</v>
      </c>
      <c r="D60" s="334">
        <v>39315</v>
      </c>
      <c r="E60" s="338">
        <v>2</v>
      </c>
      <c r="F60" s="336">
        <v>1.8116000000000001</v>
      </c>
      <c r="G60" s="336">
        <v>1.8116000000000001</v>
      </c>
      <c r="H60" s="336">
        <v>10</v>
      </c>
      <c r="I60" s="336">
        <v>10.02</v>
      </c>
      <c r="J60" s="336">
        <v>10.02</v>
      </c>
      <c r="K60" s="223"/>
      <c r="L60" s="335">
        <v>2</v>
      </c>
      <c r="CC60" s="323">
        <v>-231</v>
      </c>
      <c r="CD60" s="327">
        <f>BY60+BZ60+CA60+CC60</f>
        <v>-231</v>
      </c>
    </row>
    <row r="61" spans="1:82" s="343" customFormat="1" hidden="1">
      <c r="A61" s="339">
        <v>39140</v>
      </c>
      <c r="B61" s="339" t="s">
        <v>403</v>
      </c>
      <c r="C61" s="340">
        <v>364</v>
      </c>
      <c r="D61" s="339">
        <v>39504</v>
      </c>
      <c r="E61" s="341">
        <v>2</v>
      </c>
      <c r="F61" s="342">
        <v>0.11119999999999999</v>
      </c>
      <c r="G61" s="342">
        <v>0</v>
      </c>
      <c r="H61" s="342">
        <v>10.029999999999999</v>
      </c>
      <c r="I61" s="342">
        <v>0</v>
      </c>
      <c r="J61" s="342">
        <v>0</v>
      </c>
      <c r="K61" s="344"/>
      <c r="L61" s="340">
        <v>0</v>
      </c>
      <c r="CD61" s="327"/>
    </row>
    <row r="62" spans="1:82" hidden="1">
      <c r="A62" s="334">
        <v>39147</v>
      </c>
      <c r="B62" s="334" t="s">
        <v>404</v>
      </c>
      <c r="C62" s="335">
        <v>91</v>
      </c>
      <c r="D62" s="334">
        <v>39238</v>
      </c>
      <c r="E62" s="338">
        <v>6</v>
      </c>
      <c r="F62" s="336">
        <v>7.0288000000000004</v>
      </c>
      <c r="G62" s="336">
        <v>6</v>
      </c>
      <c r="H62" s="336">
        <v>9.91</v>
      </c>
      <c r="I62" s="336">
        <v>9.99</v>
      </c>
      <c r="J62" s="336">
        <v>9.9500000000000011</v>
      </c>
      <c r="K62" s="223"/>
      <c r="L62" s="335">
        <v>5</v>
      </c>
      <c r="CC62" s="323">
        <f>CC9+CC46-CC48+CC59-CC60</f>
        <v>0</v>
      </c>
      <c r="CD62" s="327">
        <f>BY62+BZ62+CA62+CC62</f>
        <v>0</v>
      </c>
    </row>
    <row r="63" spans="1:82" s="343" customFormat="1" hidden="1">
      <c r="A63" s="339">
        <v>39154</v>
      </c>
      <c r="B63" s="339" t="s">
        <v>405</v>
      </c>
      <c r="C63" s="340">
        <v>182</v>
      </c>
      <c r="D63" s="339">
        <v>39336</v>
      </c>
      <c r="E63" s="341">
        <v>7</v>
      </c>
      <c r="F63" s="342">
        <v>0.65580000000000005</v>
      </c>
      <c r="G63" s="342">
        <v>0.65580000000000005</v>
      </c>
      <c r="H63" s="342">
        <v>9.9599999999999991</v>
      </c>
      <c r="I63" s="342">
        <v>9.9600000000000009</v>
      </c>
      <c r="J63" s="342">
        <v>9.9599999999999991</v>
      </c>
      <c r="K63" s="344"/>
      <c r="L63" s="340">
        <v>3</v>
      </c>
    </row>
    <row r="64" spans="1:82" hidden="1">
      <c r="A64" s="334">
        <v>39160</v>
      </c>
      <c r="B64" s="334" t="s">
        <v>406</v>
      </c>
      <c r="C64" s="335">
        <v>98</v>
      </c>
      <c r="D64" s="334">
        <v>39258</v>
      </c>
      <c r="E64" s="338">
        <v>3</v>
      </c>
      <c r="F64" s="336">
        <v>2.4967999999999999</v>
      </c>
      <c r="G64" s="336">
        <v>2.4967999999999999</v>
      </c>
      <c r="H64" s="336">
        <v>10.02</v>
      </c>
      <c r="I64" s="336">
        <v>10.49</v>
      </c>
      <c r="J64" s="336">
        <v>10.41</v>
      </c>
      <c r="K64" s="223"/>
      <c r="L64" s="335">
        <v>3</v>
      </c>
    </row>
    <row r="65" spans="1:12" hidden="1">
      <c r="A65" s="334">
        <v>39168</v>
      </c>
      <c r="B65" s="334">
        <v>0</v>
      </c>
      <c r="C65" s="335">
        <v>157</v>
      </c>
      <c r="D65" s="334">
        <v>39325</v>
      </c>
      <c r="E65" s="338">
        <v>3</v>
      </c>
      <c r="F65" s="336">
        <v>0</v>
      </c>
      <c r="G65" s="336">
        <v>0</v>
      </c>
      <c r="H65" s="336">
        <v>9.9</v>
      </c>
      <c r="I65" s="336">
        <v>0</v>
      </c>
      <c r="J65" s="336">
        <v>0</v>
      </c>
      <c r="K65" s="223"/>
      <c r="L65" s="335">
        <v>0</v>
      </c>
    </row>
    <row r="66" spans="1:12" s="343" customFormat="1" hidden="1">
      <c r="A66" s="339">
        <v>39175</v>
      </c>
      <c r="B66" s="339" t="s">
        <v>407</v>
      </c>
      <c r="C66" s="340">
        <v>91</v>
      </c>
      <c r="D66" s="339">
        <v>39266</v>
      </c>
      <c r="E66" s="341">
        <v>4</v>
      </c>
      <c r="F66" s="342">
        <v>3.4529999999999998</v>
      </c>
      <c r="G66" s="342">
        <v>3.4529999999999998</v>
      </c>
      <c r="H66" s="342">
        <v>10.199999999999999</v>
      </c>
      <c r="I66" s="342">
        <v>10.5</v>
      </c>
      <c r="J66" s="342">
        <v>10.280000000000001</v>
      </c>
      <c r="K66" s="344"/>
      <c r="L66" s="340">
        <v>2</v>
      </c>
    </row>
    <row r="67" spans="1:12" hidden="1">
      <c r="A67" s="334">
        <v>39182</v>
      </c>
      <c r="B67" s="334" t="s">
        <v>408</v>
      </c>
      <c r="C67" s="335">
        <v>182</v>
      </c>
      <c r="D67" s="334">
        <v>39364</v>
      </c>
      <c r="E67" s="338">
        <v>2</v>
      </c>
      <c r="F67" s="336">
        <v>2.3847999999999998</v>
      </c>
      <c r="G67" s="336">
        <v>2</v>
      </c>
      <c r="H67" s="336">
        <v>10.83</v>
      </c>
      <c r="I67" s="336">
        <v>10.98</v>
      </c>
      <c r="J67" s="336">
        <v>10.6</v>
      </c>
      <c r="K67" s="223"/>
      <c r="L67" s="335">
        <v>4</v>
      </c>
    </row>
    <row r="68" spans="1:12" s="343" customFormat="1" hidden="1">
      <c r="A68" s="339">
        <v>39189</v>
      </c>
      <c r="B68" s="339" t="s">
        <v>409</v>
      </c>
      <c r="C68" s="340">
        <v>91</v>
      </c>
      <c r="D68" s="339">
        <v>39280</v>
      </c>
      <c r="E68" s="341">
        <v>3</v>
      </c>
      <c r="F68" s="342">
        <v>3.1749999999999998</v>
      </c>
      <c r="G68" s="342">
        <v>3</v>
      </c>
      <c r="H68" s="342">
        <v>11.01</v>
      </c>
      <c r="I68" s="342">
        <v>10.88</v>
      </c>
      <c r="J68" s="342">
        <v>10.83</v>
      </c>
      <c r="K68" s="344"/>
      <c r="L68" s="340">
        <v>4</v>
      </c>
    </row>
    <row r="69" spans="1:12" hidden="1">
      <c r="A69" s="334">
        <v>39196</v>
      </c>
      <c r="B69" s="334" t="s">
        <v>410</v>
      </c>
      <c r="C69" s="335">
        <v>364</v>
      </c>
      <c r="D69" s="334">
        <v>39560</v>
      </c>
      <c r="E69" s="338">
        <v>4</v>
      </c>
      <c r="F69" s="336">
        <v>1.14E-2</v>
      </c>
      <c r="G69" s="336">
        <v>1.14E-2</v>
      </c>
      <c r="H69" s="336">
        <v>10.24</v>
      </c>
      <c r="I69" s="336">
        <v>11.01</v>
      </c>
      <c r="J69" s="336">
        <v>11.01</v>
      </c>
      <c r="K69" s="223"/>
      <c r="L69" s="335">
        <v>1</v>
      </c>
    </row>
    <row r="70" spans="1:12" s="343" customFormat="1" hidden="1">
      <c r="A70" s="339">
        <v>39203</v>
      </c>
      <c r="B70" s="339" t="s">
        <v>411</v>
      </c>
      <c r="C70" s="340">
        <v>91</v>
      </c>
      <c r="D70" s="339">
        <v>39294</v>
      </c>
      <c r="E70" s="341">
        <v>5</v>
      </c>
      <c r="F70" s="342">
        <v>5</v>
      </c>
      <c r="G70" s="342">
        <v>5</v>
      </c>
      <c r="H70" s="342">
        <v>10.979999999999999</v>
      </c>
      <c r="I70" s="342">
        <v>10.24</v>
      </c>
      <c r="J70" s="342">
        <v>10.24</v>
      </c>
      <c r="K70" s="344"/>
      <c r="L70" s="340">
        <v>5</v>
      </c>
    </row>
    <row r="71" spans="1:12" hidden="1">
      <c r="A71" s="334">
        <v>39210</v>
      </c>
      <c r="B71" s="334" t="s">
        <v>412</v>
      </c>
      <c r="C71" s="335">
        <v>182</v>
      </c>
      <c r="D71" s="334">
        <v>39392</v>
      </c>
      <c r="E71" s="338">
        <v>8</v>
      </c>
      <c r="F71" s="336">
        <v>4.0819999999999999</v>
      </c>
      <c r="G71" s="336">
        <v>4.0819999999999999</v>
      </c>
      <c r="H71" s="336">
        <v>10.96</v>
      </c>
      <c r="I71" s="336">
        <v>10.98</v>
      </c>
      <c r="J71" s="336">
        <v>10.979999999999999</v>
      </c>
      <c r="K71" s="223"/>
      <c r="L71" s="335">
        <v>2</v>
      </c>
    </row>
    <row r="72" spans="1:12" s="343" customFormat="1" hidden="1">
      <c r="A72" s="339">
        <v>39217</v>
      </c>
      <c r="B72" s="339" t="s">
        <v>413</v>
      </c>
      <c r="C72" s="340">
        <v>91</v>
      </c>
      <c r="D72" s="339">
        <v>39308</v>
      </c>
      <c r="E72" s="341">
        <v>10</v>
      </c>
      <c r="F72" s="342">
        <v>6.3090000000000002</v>
      </c>
      <c r="G72" s="342">
        <v>6.3090000000000002</v>
      </c>
      <c r="H72" s="342">
        <v>11</v>
      </c>
      <c r="I72" s="342">
        <v>10.96</v>
      </c>
      <c r="J72" s="342">
        <v>10.96</v>
      </c>
      <c r="K72" s="344"/>
      <c r="L72" s="340">
        <v>7</v>
      </c>
    </row>
    <row r="73" spans="1:12" hidden="1">
      <c r="A73" s="334">
        <v>39223</v>
      </c>
      <c r="B73" s="334" t="s">
        <v>414</v>
      </c>
      <c r="C73" s="335">
        <v>365</v>
      </c>
      <c r="D73" s="334">
        <v>39588</v>
      </c>
      <c r="E73" s="338">
        <v>2</v>
      </c>
      <c r="F73" s="336">
        <v>1.3262</v>
      </c>
      <c r="G73" s="336">
        <v>1.3262</v>
      </c>
      <c r="H73" s="336">
        <v>10.96</v>
      </c>
      <c r="I73" s="336">
        <v>11</v>
      </c>
      <c r="J73" s="336">
        <v>11</v>
      </c>
      <c r="K73" s="223"/>
      <c r="L73" s="335">
        <v>1</v>
      </c>
    </row>
    <row r="74" spans="1:12" s="343" customFormat="1" hidden="1">
      <c r="A74" s="339">
        <v>39231</v>
      </c>
      <c r="B74" s="339" t="s">
        <v>415</v>
      </c>
      <c r="C74" s="340">
        <v>91</v>
      </c>
      <c r="D74" s="339">
        <v>39322</v>
      </c>
      <c r="E74" s="341">
        <v>10</v>
      </c>
      <c r="F74" s="342">
        <v>1.2996000000000001</v>
      </c>
      <c r="G74" s="342">
        <v>8.2156000000000002</v>
      </c>
      <c r="H74" s="342">
        <v>10.96</v>
      </c>
      <c r="I74" s="342">
        <v>11</v>
      </c>
      <c r="J74" s="342">
        <v>10.96</v>
      </c>
      <c r="K74" s="344"/>
      <c r="L74" s="340">
        <v>2</v>
      </c>
    </row>
    <row r="75" spans="1:12" hidden="1">
      <c r="A75" s="334">
        <v>39238</v>
      </c>
      <c r="B75" s="334" t="s">
        <v>416</v>
      </c>
      <c r="C75" s="335">
        <v>91</v>
      </c>
      <c r="D75" s="334">
        <v>39329</v>
      </c>
      <c r="E75" s="338">
        <v>7</v>
      </c>
      <c r="F75" s="336">
        <v>6.1534000000000004</v>
      </c>
      <c r="G75" s="336">
        <v>6.1534000000000004</v>
      </c>
      <c r="H75" s="336">
        <v>10.979999999999999</v>
      </c>
      <c r="I75" s="336">
        <v>11</v>
      </c>
      <c r="J75" s="336">
        <v>11</v>
      </c>
      <c r="K75" s="223"/>
      <c r="L75" s="335">
        <v>5</v>
      </c>
    </row>
    <row r="76" spans="1:12" s="343" customFormat="1" hidden="1">
      <c r="A76" s="339">
        <v>39245</v>
      </c>
      <c r="B76" s="339" t="s">
        <v>417</v>
      </c>
      <c r="C76" s="340">
        <v>182</v>
      </c>
      <c r="D76" s="339">
        <v>39427</v>
      </c>
      <c r="E76" s="341">
        <v>3</v>
      </c>
      <c r="F76" s="342">
        <v>0.49619999999999997</v>
      </c>
      <c r="G76" s="342">
        <v>3</v>
      </c>
      <c r="H76" s="342">
        <v>12.09</v>
      </c>
      <c r="I76" s="342">
        <v>11</v>
      </c>
      <c r="J76" s="342">
        <v>11</v>
      </c>
      <c r="K76" s="344"/>
      <c r="L76" s="340">
        <v>2</v>
      </c>
    </row>
    <row r="77" spans="1:12" hidden="1">
      <c r="A77" s="334">
        <v>39247</v>
      </c>
      <c r="B77" s="334" t="s">
        <v>418</v>
      </c>
      <c r="C77" s="335">
        <v>365</v>
      </c>
      <c r="D77" s="334">
        <v>39612</v>
      </c>
      <c r="E77" s="338">
        <v>10</v>
      </c>
      <c r="F77" s="336">
        <v>1.3668</v>
      </c>
      <c r="G77" s="336">
        <v>1.3668</v>
      </c>
      <c r="H77" s="336">
        <v>10.96</v>
      </c>
      <c r="I77" s="336">
        <v>12.5</v>
      </c>
      <c r="J77" s="336">
        <v>12.5</v>
      </c>
      <c r="K77" s="223"/>
      <c r="L77" s="335">
        <v>4</v>
      </c>
    </row>
    <row r="78" spans="1:12" s="343" customFormat="1" hidden="1">
      <c r="A78" s="339">
        <v>39252</v>
      </c>
      <c r="B78" s="339" t="s">
        <v>419</v>
      </c>
      <c r="C78" s="340">
        <v>91</v>
      </c>
      <c r="D78" s="339">
        <v>39343</v>
      </c>
      <c r="E78" s="341">
        <v>5</v>
      </c>
      <c r="F78" s="342">
        <v>1.6424000000000001</v>
      </c>
      <c r="G78" s="342">
        <v>1.6424000000000001</v>
      </c>
      <c r="H78" s="342">
        <v>11.55</v>
      </c>
      <c r="I78" s="342">
        <v>11.55</v>
      </c>
      <c r="J78" s="342">
        <v>11.17</v>
      </c>
      <c r="K78" s="344"/>
      <c r="L78" s="340">
        <v>4</v>
      </c>
    </row>
    <row r="79" spans="1:12" hidden="1">
      <c r="A79" s="334">
        <v>39258</v>
      </c>
      <c r="B79" s="334" t="s">
        <v>420</v>
      </c>
      <c r="C79" s="335">
        <v>88</v>
      </c>
      <c r="D79" s="334">
        <v>39346</v>
      </c>
      <c r="E79" s="338">
        <v>3</v>
      </c>
      <c r="F79" s="336">
        <v>1.028</v>
      </c>
      <c r="G79" s="336">
        <v>1.028</v>
      </c>
      <c r="H79" s="336">
        <v>13.08</v>
      </c>
      <c r="I79" s="336">
        <v>11.55</v>
      </c>
      <c r="J79" s="336">
        <v>11.55</v>
      </c>
      <c r="K79" s="223"/>
      <c r="L79" s="335">
        <v>1</v>
      </c>
    </row>
    <row r="80" spans="1:12" s="343" customFormat="1" hidden="1">
      <c r="A80" s="339">
        <v>39261</v>
      </c>
      <c r="B80" s="339" t="s">
        <v>421</v>
      </c>
      <c r="C80" s="340">
        <v>365</v>
      </c>
      <c r="D80" s="339">
        <v>39626</v>
      </c>
      <c r="E80" s="341">
        <v>12</v>
      </c>
      <c r="F80" s="342">
        <v>6.4458000000000002</v>
      </c>
      <c r="G80" s="342">
        <v>6.4458000000000002</v>
      </c>
      <c r="H80" s="342">
        <v>11.57</v>
      </c>
      <c r="I80" s="342">
        <v>13.100000000000001</v>
      </c>
      <c r="J80" s="342">
        <v>13.100000000000001</v>
      </c>
      <c r="K80" s="344"/>
      <c r="L80" s="340">
        <v>3</v>
      </c>
    </row>
    <row r="81" spans="1:12" hidden="1">
      <c r="A81" s="334">
        <v>39266</v>
      </c>
      <c r="B81" s="334" t="s">
        <v>422</v>
      </c>
      <c r="C81" s="335">
        <v>184</v>
      </c>
      <c r="D81" s="334">
        <v>39450</v>
      </c>
      <c r="E81" s="338">
        <v>2</v>
      </c>
      <c r="F81" s="336">
        <v>3.1371000000000002</v>
      </c>
      <c r="G81" s="336">
        <v>2</v>
      </c>
      <c r="H81" s="336">
        <v>13.07</v>
      </c>
      <c r="I81" s="336">
        <v>11.79</v>
      </c>
      <c r="J81" s="336">
        <v>11.57</v>
      </c>
      <c r="K81" s="223"/>
      <c r="L81" s="335">
        <v>4</v>
      </c>
    </row>
    <row r="82" spans="1:12" s="343" customFormat="1" hidden="1">
      <c r="A82" s="339">
        <v>39268</v>
      </c>
      <c r="B82" s="339" t="s">
        <v>423</v>
      </c>
      <c r="C82" s="340">
        <v>365</v>
      </c>
      <c r="D82" s="339">
        <v>39633</v>
      </c>
      <c r="E82" s="341">
        <v>10</v>
      </c>
      <c r="F82" s="342">
        <v>7.2465999999999999</v>
      </c>
      <c r="G82" s="342">
        <v>7.2465999999999999</v>
      </c>
      <c r="H82" s="342">
        <v>11.5</v>
      </c>
      <c r="I82" s="342">
        <v>13.100000000000001</v>
      </c>
      <c r="J82" s="342">
        <v>13.07</v>
      </c>
      <c r="K82" s="344"/>
      <c r="L82" s="340">
        <v>5</v>
      </c>
    </row>
    <row r="83" spans="1:12" hidden="1">
      <c r="A83" s="334">
        <v>39273</v>
      </c>
      <c r="B83" s="334" t="s">
        <v>424</v>
      </c>
      <c r="C83" s="335">
        <v>84</v>
      </c>
      <c r="D83" s="334">
        <v>39357</v>
      </c>
      <c r="E83" s="338">
        <v>2</v>
      </c>
      <c r="F83" s="336">
        <v>2.4557000000000002</v>
      </c>
      <c r="G83" s="336">
        <v>2</v>
      </c>
      <c r="H83" s="336">
        <v>11.74</v>
      </c>
      <c r="I83" s="336">
        <v>11.6</v>
      </c>
      <c r="J83" s="336">
        <v>11.55</v>
      </c>
      <c r="K83" s="223"/>
      <c r="L83" s="335">
        <v>4</v>
      </c>
    </row>
    <row r="84" spans="1:12" s="343" customFormat="1" hidden="1">
      <c r="A84" s="339">
        <v>39280</v>
      </c>
      <c r="B84" s="339" t="s">
        <v>425</v>
      </c>
      <c r="C84" s="340">
        <v>182</v>
      </c>
      <c r="D84" s="339">
        <v>39462</v>
      </c>
      <c r="E84" s="341">
        <v>4</v>
      </c>
      <c r="F84" s="342">
        <v>3.2033999999999998</v>
      </c>
      <c r="G84" s="342">
        <v>3.2033999999999998</v>
      </c>
      <c r="H84" s="342">
        <v>11.63</v>
      </c>
      <c r="I84" s="342">
        <v>11.81</v>
      </c>
      <c r="J84" s="342">
        <v>11.74</v>
      </c>
      <c r="K84" s="344"/>
      <c r="L84" s="340">
        <v>5</v>
      </c>
    </row>
    <row r="85" spans="1:12" hidden="1">
      <c r="A85" s="334">
        <v>39287</v>
      </c>
      <c r="B85" s="334" t="s">
        <v>426</v>
      </c>
      <c r="C85" s="335">
        <v>182</v>
      </c>
      <c r="D85" s="334">
        <v>39469</v>
      </c>
      <c r="E85" s="338">
        <v>5</v>
      </c>
      <c r="F85" s="336">
        <v>10.0381</v>
      </c>
      <c r="G85" s="336">
        <v>5</v>
      </c>
      <c r="H85" s="336">
        <v>12.509999999999998</v>
      </c>
      <c r="I85" s="336">
        <v>11.67</v>
      </c>
      <c r="J85" s="336">
        <v>11.63</v>
      </c>
      <c r="K85" s="223"/>
      <c r="L85" s="335">
        <v>3</v>
      </c>
    </row>
    <row r="86" spans="1:12" s="343" customFormat="1" hidden="1">
      <c r="A86" s="339">
        <v>39290</v>
      </c>
      <c r="B86" s="339" t="s">
        <v>427</v>
      </c>
      <c r="C86" s="340">
        <v>364</v>
      </c>
      <c r="D86" s="339">
        <v>39654</v>
      </c>
      <c r="E86" s="341">
        <v>10</v>
      </c>
      <c r="F86" s="342">
        <v>16.299600000000002</v>
      </c>
      <c r="G86" s="342">
        <v>10</v>
      </c>
      <c r="H86" s="342">
        <v>11.15</v>
      </c>
      <c r="I86" s="342">
        <v>12.98</v>
      </c>
      <c r="J86" s="342">
        <v>12.509999999999998</v>
      </c>
      <c r="K86" s="344"/>
      <c r="L86" s="340">
        <v>7</v>
      </c>
    </row>
    <row r="87" spans="1:12" hidden="1">
      <c r="A87" s="334">
        <v>39294</v>
      </c>
      <c r="B87" s="334" t="s">
        <v>428</v>
      </c>
      <c r="C87" s="335">
        <v>182</v>
      </c>
      <c r="D87" s="334">
        <v>39476</v>
      </c>
      <c r="E87" s="338">
        <v>5</v>
      </c>
      <c r="F87" s="336">
        <v>11.8012</v>
      </c>
      <c r="G87" s="336">
        <v>5</v>
      </c>
      <c r="H87" s="336">
        <v>10.9</v>
      </c>
      <c r="I87" s="336">
        <v>11.2</v>
      </c>
      <c r="J87" s="336">
        <v>11.16</v>
      </c>
      <c r="K87" s="223"/>
      <c r="L87" s="335">
        <v>7</v>
      </c>
    </row>
    <row r="88" spans="1:12" s="343" customFormat="1" hidden="1">
      <c r="A88" s="339">
        <v>39296</v>
      </c>
      <c r="B88" s="339" t="s">
        <v>429</v>
      </c>
      <c r="C88" s="340">
        <v>365</v>
      </c>
      <c r="D88" s="339">
        <v>39661</v>
      </c>
      <c r="E88" s="341">
        <v>12</v>
      </c>
      <c r="F88" s="342">
        <v>26.627400000000002</v>
      </c>
      <c r="G88" s="342">
        <v>12</v>
      </c>
      <c r="H88" s="342">
        <v>10.4</v>
      </c>
      <c r="I88" s="342">
        <v>12.2</v>
      </c>
      <c r="J88" s="342">
        <v>11.74</v>
      </c>
      <c r="K88" s="344"/>
      <c r="L88" s="340">
        <v>10</v>
      </c>
    </row>
    <row r="89" spans="1:12" hidden="1">
      <c r="A89" s="334">
        <v>39301</v>
      </c>
      <c r="B89" s="334" t="s">
        <v>430</v>
      </c>
      <c r="C89" s="335">
        <v>182</v>
      </c>
      <c r="D89" s="334">
        <v>39483</v>
      </c>
      <c r="E89" s="338">
        <v>3</v>
      </c>
      <c r="F89" s="336">
        <v>7.7397999999999998</v>
      </c>
      <c r="G89" s="336">
        <v>3</v>
      </c>
      <c r="H89" s="336">
        <v>9.91</v>
      </c>
      <c r="I89" s="336">
        <v>12.01</v>
      </c>
      <c r="J89" s="336">
        <v>10.42</v>
      </c>
      <c r="K89" s="223"/>
      <c r="L89" s="335">
        <v>9</v>
      </c>
    </row>
    <row r="90" spans="1:12" s="343" customFormat="1" hidden="1">
      <c r="A90" s="339">
        <v>39308</v>
      </c>
      <c r="B90" s="339" t="s">
        <v>431</v>
      </c>
      <c r="C90" s="340">
        <v>364</v>
      </c>
      <c r="D90" s="339">
        <v>39672</v>
      </c>
      <c r="E90" s="341">
        <v>3</v>
      </c>
      <c r="F90" s="342">
        <v>5.8659999999999997</v>
      </c>
      <c r="G90" s="342">
        <v>3</v>
      </c>
      <c r="H90" s="342">
        <v>7.06</v>
      </c>
      <c r="I90" s="342">
        <v>11.01</v>
      </c>
      <c r="J90" s="342">
        <v>9.91</v>
      </c>
      <c r="K90" s="344"/>
      <c r="L90" s="340">
        <v>3</v>
      </c>
    </row>
    <row r="91" spans="1:12" hidden="1">
      <c r="A91" s="334">
        <v>39315</v>
      </c>
      <c r="B91" s="334" t="s">
        <v>432</v>
      </c>
      <c r="C91" s="335">
        <v>182</v>
      </c>
      <c r="D91" s="334">
        <v>39497</v>
      </c>
      <c r="E91" s="338">
        <v>3</v>
      </c>
      <c r="F91" s="336">
        <v>7.1566000000000001</v>
      </c>
      <c r="G91" s="336">
        <v>3</v>
      </c>
      <c r="H91" s="336">
        <v>7.99</v>
      </c>
      <c r="I91" s="336">
        <v>8.01</v>
      </c>
      <c r="J91" s="336">
        <v>7.23</v>
      </c>
      <c r="K91" s="223"/>
      <c r="L91" s="335">
        <v>6</v>
      </c>
    </row>
    <row r="92" spans="1:12" s="343" customFormat="1" hidden="1">
      <c r="A92" s="339">
        <v>39322</v>
      </c>
      <c r="B92" s="339" t="s">
        <v>433</v>
      </c>
      <c r="C92" s="340">
        <v>364</v>
      </c>
      <c r="D92" s="339">
        <v>39686</v>
      </c>
      <c r="E92" s="341">
        <v>3</v>
      </c>
      <c r="F92" s="342">
        <v>0.95220000000000005</v>
      </c>
      <c r="G92" s="342">
        <v>0.95220000000000005</v>
      </c>
      <c r="H92" s="342">
        <v>8.9700000000000006</v>
      </c>
      <c r="I92" s="342">
        <v>9</v>
      </c>
      <c r="J92" s="342">
        <v>8.83</v>
      </c>
      <c r="K92" s="344"/>
      <c r="L92" s="340">
        <v>2</v>
      </c>
    </row>
    <row r="93" spans="1:12" hidden="1">
      <c r="A93" s="334">
        <v>39325</v>
      </c>
      <c r="B93" s="334" t="s">
        <v>434</v>
      </c>
      <c r="C93" s="335">
        <v>364</v>
      </c>
      <c r="D93" s="334">
        <v>39689</v>
      </c>
      <c r="E93" s="338">
        <v>7</v>
      </c>
      <c r="F93" s="336">
        <v>7.8079999999999998</v>
      </c>
      <c r="G93" s="336">
        <v>7</v>
      </c>
      <c r="H93" s="336">
        <v>9.93</v>
      </c>
      <c r="I93" s="336">
        <v>11.01</v>
      </c>
      <c r="J93" s="336">
        <v>9</v>
      </c>
      <c r="K93" s="223"/>
      <c r="L93" s="335">
        <v>3</v>
      </c>
    </row>
    <row r="94" spans="1:12" s="343" customFormat="1" hidden="1">
      <c r="A94" s="339">
        <v>39343</v>
      </c>
      <c r="B94" s="339" t="s">
        <v>435</v>
      </c>
      <c r="C94" s="340">
        <v>182</v>
      </c>
      <c r="D94" s="339">
        <v>39525</v>
      </c>
      <c r="E94" s="341">
        <v>5</v>
      </c>
      <c r="F94" s="342">
        <v>2.9744999999999999</v>
      </c>
      <c r="G94" s="342">
        <v>3.2336</v>
      </c>
      <c r="H94" s="342">
        <v>10.34</v>
      </c>
      <c r="I94" s="342">
        <v>10.51</v>
      </c>
      <c r="J94" s="342">
        <v>9.93</v>
      </c>
      <c r="K94" s="344"/>
      <c r="L94" s="340">
        <v>4</v>
      </c>
    </row>
    <row r="95" spans="1:12" hidden="1">
      <c r="A95" s="334">
        <v>39350</v>
      </c>
      <c r="B95" s="334" t="s">
        <v>436</v>
      </c>
      <c r="C95" s="335">
        <v>364</v>
      </c>
      <c r="D95" s="334">
        <v>39714</v>
      </c>
      <c r="E95" s="338">
        <v>5</v>
      </c>
      <c r="F95" s="336">
        <v>6.0997000000000003</v>
      </c>
      <c r="G95" s="336">
        <v>1.772</v>
      </c>
      <c r="H95" s="336">
        <v>10.4</v>
      </c>
      <c r="I95" s="336">
        <v>10.5</v>
      </c>
      <c r="J95" s="336">
        <v>10.34</v>
      </c>
      <c r="K95" s="223"/>
      <c r="L95" s="335">
        <v>4</v>
      </c>
    </row>
    <row r="96" spans="1:12" s="343" customFormat="1" hidden="1">
      <c r="A96" s="339">
        <v>39353</v>
      </c>
      <c r="B96" s="339" t="s">
        <v>437</v>
      </c>
      <c r="C96" s="340">
        <v>182</v>
      </c>
      <c r="D96" s="339">
        <v>39535</v>
      </c>
      <c r="E96" s="341">
        <v>7</v>
      </c>
      <c r="F96" s="342">
        <v>6.3040000000000003</v>
      </c>
      <c r="G96" s="342">
        <v>2.6282000000000001</v>
      </c>
      <c r="H96" s="342">
        <v>10.5</v>
      </c>
      <c r="I96" s="342">
        <v>10.71</v>
      </c>
      <c r="J96" s="342">
        <v>10.4</v>
      </c>
      <c r="K96" s="344"/>
      <c r="L96" s="340">
        <v>2</v>
      </c>
    </row>
    <row r="97" spans="1:12" hidden="1">
      <c r="A97" s="334">
        <v>39360</v>
      </c>
      <c r="B97" s="334" t="s">
        <v>438</v>
      </c>
      <c r="C97" s="335">
        <v>181</v>
      </c>
      <c r="D97" s="334">
        <v>39541</v>
      </c>
      <c r="E97" s="338">
        <v>10</v>
      </c>
      <c r="F97" s="336">
        <v>1.048</v>
      </c>
      <c r="G97" s="336">
        <v>1.048</v>
      </c>
      <c r="H97" s="336">
        <v>10.45</v>
      </c>
      <c r="I97" s="336">
        <v>10.5</v>
      </c>
      <c r="J97" s="336">
        <v>10.5</v>
      </c>
      <c r="K97" s="223"/>
      <c r="L97" s="335">
        <v>1</v>
      </c>
    </row>
    <row r="98" spans="1:12" s="343" customFormat="1" hidden="1">
      <c r="A98" s="339">
        <v>39364</v>
      </c>
      <c r="B98" s="339" t="s">
        <v>439</v>
      </c>
      <c r="C98" s="340">
        <v>182</v>
      </c>
      <c r="D98" s="339">
        <v>39546</v>
      </c>
      <c r="E98" s="341">
        <v>5</v>
      </c>
      <c r="F98" s="342">
        <v>2.1640000000000001</v>
      </c>
      <c r="G98" s="342">
        <v>2.1640000000000001</v>
      </c>
      <c r="H98" s="342">
        <v>10.5</v>
      </c>
      <c r="I98" s="342">
        <v>10.56</v>
      </c>
      <c r="J98" s="342">
        <v>10.51</v>
      </c>
      <c r="K98" s="344"/>
      <c r="L98" s="340">
        <v>2</v>
      </c>
    </row>
    <row r="99" spans="1:12" hidden="1">
      <c r="A99" s="334">
        <v>39366</v>
      </c>
      <c r="B99" s="334" t="s">
        <v>440</v>
      </c>
      <c r="C99" s="335">
        <v>355</v>
      </c>
      <c r="D99" s="334">
        <v>39721</v>
      </c>
      <c r="E99" s="338">
        <v>8</v>
      </c>
      <c r="F99" s="336">
        <v>0.3286</v>
      </c>
      <c r="G99" s="336">
        <v>8</v>
      </c>
      <c r="H99" s="336">
        <v>10.35</v>
      </c>
      <c r="I99" s="336">
        <v>10.5</v>
      </c>
      <c r="J99" s="336">
        <v>10.5</v>
      </c>
      <c r="K99" s="223"/>
      <c r="L99" s="335">
        <v>1</v>
      </c>
    </row>
    <row r="100" spans="1:12" s="343" customFormat="1" hidden="1">
      <c r="A100" s="339">
        <v>39370</v>
      </c>
      <c r="B100" s="339" t="s">
        <v>441</v>
      </c>
      <c r="C100" s="340">
        <v>91</v>
      </c>
      <c r="D100" s="339">
        <v>39461</v>
      </c>
      <c r="E100" s="341">
        <v>5</v>
      </c>
      <c r="F100" s="342">
        <v>5.4573</v>
      </c>
      <c r="G100" s="342">
        <v>5</v>
      </c>
      <c r="H100" s="342">
        <v>9.99</v>
      </c>
      <c r="I100" s="342">
        <v>10.5</v>
      </c>
      <c r="J100" s="342">
        <v>10.41</v>
      </c>
      <c r="K100" s="344"/>
      <c r="L100" s="340">
        <v>4</v>
      </c>
    </row>
    <row r="101" spans="1:12" hidden="1">
      <c r="A101" s="334">
        <v>39378</v>
      </c>
      <c r="B101" s="334" t="s">
        <v>442</v>
      </c>
      <c r="C101" s="335">
        <v>91</v>
      </c>
      <c r="D101" s="334">
        <v>39469</v>
      </c>
      <c r="E101" s="338">
        <v>3</v>
      </c>
      <c r="F101" s="336">
        <v>3</v>
      </c>
      <c r="G101" s="336">
        <v>3</v>
      </c>
      <c r="H101" s="336">
        <v>10</v>
      </c>
      <c r="I101" s="336">
        <v>9.99</v>
      </c>
      <c r="J101" s="336">
        <v>9.99</v>
      </c>
      <c r="K101" s="223"/>
      <c r="L101" s="335">
        <v>4</v>
      </c>
    </row>
    <row r="102" spans="1:12" s="343" customFormat="1" hidden="1">
      <c r="A102" s="339">
        <v>39385</v>
      </c>
      <c r="B102" s="339" t="s">
        <v>443</v>
      </c>
      <c r="C102" s="340">
        <v>182</v>
      </c>
      <c r="D102" s="339">
        <v>39567</v>
      </c>
      <c r="E102" s="341">
        <v>3</v>
      </c>
      <c r="F102" s="342">
        <v>0.47099999999999997</v>
      </c>
      <c r="G102" s="342">
        <v>0.47099999999999997</v>
      </c>
      <c r="H102" s="342">
        <v>9.99</v>
      </c>
      <c r="I102" s="342">
        <v>10</v>
      </c>
      <c r="J102" s="342">
        <v>10</v>
      </c>
      <c r="K102" s="344"/>
      <c r="L102" s="340">
        <v>1</v>
      </c>
    </row>
    <row r="103" spans="1:12" hidden="1">
      <c r="A103" s="334">
        <v>39392</v>
      </c>
      <c r="B103" s="334" t="s">
        <v>444</v>
      </c>
      <c r="C103" s="335">
        <v>91</v>
      </c>
      <c r="D103" s="334">
        <v>39483</v>
      </c>
      <c r="E103" s="338">
        <v>5</v>
      </c>
      <c r="F103" s="336">
        <v>1.1674</v>
      </c>
      <c r="G103" s="336">
        <v>1.1674</v>
      </c>
      <c r="H103" s="336">
        <v>10.37</v>
      </c>
      <c r="I103" s="336">
        <v>10.55</v>
      </c>
      <c r="J103" s="336">
        <v>9.99</v>
      </c>
      <c r="K103" s="223"/>
      <c r="L103" s="335">
        <v>2</v>
      </c>
    </row>
    <row r="104" spans="1:12" s="343" customFormat="1" hidden="1">
      <c r="A104" s="339">
        <v>39399</v>
      </c>
      <c r="B104" s="339" t="s">
        <v>445</v>
      </c>
      <c r="C104" s="340">
        <v>91</v>
      </c>
      <c r="D104" s="339">
        <v>39490</v>
      </c>
      <c r="E104" s="341">
        <v>3</v>
      </c>
      <c r="F104" s="342">
        <v>1.897</v>
      </c>
      <c r="G104" s="342">
        <v>1.897</v>
      </c>
      <c r="H104" s="342">
        <v>10.47</v>
      </c>
      <c r="I104" s="342">
        <v>10.5</v>
      </c>
      <c r="J104" s="342">
        <v>10.37</v>
      </c>
      <c r="K104" s="344"/>
      <c r="L104" s="340">
        <v>1</v>
      </c>
    </row>
    <row r="105" spans="1:12" hidden="1">
      <c r="A105" s="334">
        <v>39412</v>
      </c>
      <c r="B105" s="334" t="s">
        <v>446</v>
      </c>
      <c r="C105" s="335">
        <v>85</v>
      </c>
      <c r="D105" s="334">
        <v>39497</v>
      </c>
      <c r="E105" s="338">
        <v>3</v>
      </c>
      <c r="F105" s="336">
        <v>0.51060000000000005</v>
      </c>
      <c r="G105" s="336">
        <v>0.51060000000000005</v>
      </c>
      <c r="H105" s="336">
        <v>10.489999999999998</v>
      </c>
      <c r="I105" s="336">
        <v>10.47</v>
      </c>
      <c r="J105" s="336">
        <v>10.47</v>
      </c>
      <c r="K105" s="223"/>
      <c r="L105" s="335">
        <v>1</v>
      </c>
    </row>
    <row r="106" spans="1:12" s="343" customFormat="1" hidden="1">
      <c r="A106" s="339">
        <v>39413</v>
      </c>
      <c r="B106" s="339" t="s">
        <v>447</v>
      </c>
      <c r="C106" s="340">
        <v>91</v>
      </c>
      <c r="D106" s="339">
        <v>39504</v>
      </c>
      <c r="E106" s="341">
        <v>2</v>
      </c>
      <c r="F106" s="342">
        <v>0</v>
      </c>
      <c r="G106" s="342">
        <v>0</v>
      </c>
      <c r="H106" s="342">
        <v>10.489999999999998</v>
      </c>
      <c r="I106" s="342">
        <v>0</v>
      </c>
      <c r="J106" s="342">
        <v>0</v>
      </c>
      <c r="K106" s="344"/>
      <c r="L106" s="340">
        <v>0</v>
      </c>
    </row>
    <row r="107" spans="1:12" hidden="1">
      <c r="H107" s="345">
        <v>0</v>
      </c>
      <c r="I107" s="345">
        <v>0</v>
      </c>
      <c r="J107" s="345">
        <v>0</v>
      </c>
    </row>
    <row r="108" spans="1:12" hidden="1">
      <c r="A108" s="1598">
        <v>2008</v>
      </c>
      <c r="H108" s="345">
        <v>0</v>
      </c>
      <c r="I108" s="345">
        <v>0</v>
      </c>
      <c r="J108" s="345">
        <v>0</v>
      </c>
    </row>
    <row r="109" spans="1:12" hidden="1">
      <c r="A109" s="334">
        <v>39462</v>
      </c>
      <c r="B109" s="334" t="s">
        <v>448</v>
      </c>
      <c r="C109" s="335">
        <v>364</v>
      </c>
      <c r="D109" s="334">
        <v>39826</v>
      </c>
      <c r="E109" s="338">
        <v>5</v>
      </c>
      <c r="F109" s="336">
        <v>4.1074000000000002</v>
      </c>
      <c r="G109" s="336">
        <v>4.1074000000000002</v>
      </c>
      <c r="H109" s="336">
        <v>10.9</v>
      </c>
      <c r="I109" s="336">
        <v>10.99</v>
      </c>
      <c r="J109" s="336">
        <v>10.99</v>
      </c>
      <c r="K109" s="223"/>
      <c r="L109" s="335">
        <v>3</v>
      </c>
    </row>
    <row r="110" spans="1:12" s="343" customFormat="1" hidden="1">
      <c r="A110" s="339">
        <v>39469</v>
      </c>
      <c r="B110" s="339" t="s">
        <v>449</v>
      </c>
      <c r="C110" s="340">
        <v>363</v>
      </c>
      <c r="D110" s="339">
        <v>39832</v>
      </c>
      <c r="E110" s="341">
        <v>8</v>
      </c>
      <c r="F110" s="342">
        <v>3.1871999999999998</v>
      </c>
      <c r="G110" s="342">
        <v>0.99439999999999995</v>
      </c>
      <c r="H110" s="342">
        <v>11</v>
      </c>
      <c r="I110" s="342">
        <v>11</v>
      </c>
      <c r="J110" s="342">
        <v>11</v>
      </c>
      <c r="K110" s="344"/>
      <c r="L110" s="340">
        <v>1</v>
      </c>
    </row>
    <row r="111" spans="1:12" hidden="1">
      <c r="A111" s="334">
        <v>39476</v>
      </c>
      <c r="B111" s="334" t="s">
        <v>450</v>
      </c>
      <c r="C111" s="335">
        <v>182</v>
      </c>
      <c r="D111" s="334">
        <v>39658</v>
      </c>
      <c r="E111" s="338">
        <v>5</v>
      </c>
      <c r="F111" s="336">
        <v>5</v>
      </c>
      <c r="G111" s="336">
        <v>5</v>
      </c>
      <c r="H111" s="336">
        <v>10.89</v>
      </c>
      <c r="I111" s="336">
        <v>10.96</v>
      </c>
      <c r="J111" s="336">
        <v>10.96</v>
      </c>
      <c r="K111" s="223"/>
      <c r="L111" s="335">
        <v>5</v>
      </c>
    </row>
    <row r="112" spans="1:12" s="343" customFormat="1" hidden="1">
      <c r="A112" s="339">
        <v>39483</v>
      </c>
      <c r="B112" s="339" t="s">
        <v>451</v>
      </c>
      <c r="C112" s="340">
        <v>182</v>
      </c>
      <c r="D112" s="339">
        <v>39665</v>
      </c>
      <c r="E112" s="341">
        <v>3</v>
      </c>
      <c r="F112" s="342">
        <v>0.126</v>
      </c>
      <c r="G112" s="342">
        <v>0.126</v>
      </c>
      <c r="H112" s="342">
        <v>10.93</v>
      </c>
      <c r="I112" s="342">
        <v>10.93</v>
      </c>
      <c r="J112" s="342">
        <v>10.93</v>
      </c>
      <c r="L112" s="340">
        <v>1</v>
      </c>
    </row>
    <row r="113" spans="1:12" hidden="1">
      <c r="A113" s="334">
        <v>39483</v>
      </c>
      <c r="B113" s="334" t="s">
        <v>452</v>
      </c>
      <c r="C113" s="335">
        <v>364</v>
      </c>
      <c r="D113" s="334">
        <v>39847</v>
      </c>
      <c r="E113" s="338">
        <v>3</v>
      </c>
      <c r="F113" s="336">
        <v>1.4330000000000001</v>
      </c>
      <c r="G113" s="336">
        <v>1.4330000000000001</v>
      </c>
      <c r="H113" s="336">
        <v>10.5</v>
      </c>
      <c r="I113" s="336">
        <v>11</v>
      </c>
      <c r="J113" s="336">
        <v>11</v>
      </c>
      <c r="L113" s="335">
        <v>2</v>
      </c>
    </row>
    <row r="114" spans="1:12" s="343" customFormat="1" hidden="1">
      <c r="A114" s="339">
        <v>39504</v>
      </c>
      <c r="B114" s="339" t="s">
        <v>453</v>
      </c>
      <c r="C114" s="340">
        <v>182</v>
      </c>
      <c r="D114" s="339">
        <v>39686</v>
      </c>
      <c r="E114" s="341">
        <v>5</v>
      </c>
      <c r="F114" s="342">
        <v>1.0478000000000001</v>
      </c>
      <c r="G114" s="342">
        <v>1.0478000000000001</v>
      </c>
      <c r="H114" s="342">
        <v>10.95</v>
      </c>
      <c r="I114" s="342">
        <v>10.96</v>
      </c>
      <c r="J114" s="342">
        <v>10.71</v>
      </c>
      <c r="L114" s="340">
        <v>2</v>
      </c>
    </row>
    <row r="115" spans="1:12" hidden="1">
      <c r="A115" s="334">
        <v>39511</v>
      </c>
      <c r="B115" s="334" t="s">
        <v>454</v>
      </c>
      <c r="C115" s="335">
        <v>364</v>
      </c>
      <c r="D115" s="334">
        <v>39875</v>
      </c>
      <c r="E115" s="338">
        <v>8</v>
      </c>
      <c r="F115" s="336">
        <v>1.0760000000000001</v>
      </c>
      <c r="G115" s="336">
        <v>1.0760000000000001</v>
      </c>
      <c r="H115" s="336">
        <v>10.979999999999999</v>
      </c>
      <c r="I115" s="336">
        <v>10.98</v>
      </c>
      <c r="J115" s="336">
        <v>10.979999999999999</v>
      </c>
      <c r="L115" s="335">
        <v>1</v>
      </c>
    </row>
    <row r="116" spans="1:12" s="343" customFormat="1" hidden="1">
      <c r="A116" s="339">
        <v>39518</v>
      </c>
      <c r="B116" s="339" t="s">
        <v>455</v>
      </c>
      <c r="C116" s="340">
        <v>364</v>
      </c>
      <c r="D116" s="339">
        <v>39882</v>
      </c>
      <c r="E116" s="341">
        <v>3</v>
      </c>
      <c r="F116" s="342">
        <v>3</v>
      </c>
      <c r="G116" s="342">
        <v>3</v>
      </c>
      <c r="H116" s="342">
        <v>10.5</v>
      </c>
      <c r="I116" s="342">
        <v>11.01</v>
      </c>
      <c r="J116" s="342">
        <v>10.75</v>
      </c>
      <c r="L116" s="340">
        <v>1</v>
      </c>
    </row>
    <row r="117" spans="1:12" hidden="1">
      <c r="A117" s="334">
        <v>39524</v>
      </c>
      <c r="B117" s="334" t="s">
        <v>456</v>
      </c>
      <c r="C117" s="335">
        <v>365</v>
      </c>
      <c r="D117" s="334">
        <v>39889</v>
      </c>
      <c r="E117" s="338">
        <v>10</v>
      </c>
      <c r="F117" s="336">
        <v>10.172800000000001</v>
      </c>
      <c r="G117" s="336">
        <v>10</v>
      </c>
      <c r="H117" s="336">
        <v>10.99</v>
      </c>
      <c r="I117" s="336">
        <v>11</v>
      </c>
      <c r="J117" s="336">
        <v>11</v>
      </c>
      <c r="L117" s="335">
        <v>3</v>
      </c>
    </row>
    <row r="118" spans="1:12" s="343" customFormat="1" hidden="1">
      <c r="A118" s="339">
        <v>39525</v>
      </c>
      <c r="B118" s="339" t="s">
        <v>457</v>
      </c>
      <c r="C118" s="340">
        <v>364</v>
      </c>
      <c r="D118" s="339">
        <v>39889</v>
      </c>
      <c r="E118" s="341">
        <v>5</v>
      </c>
      <c r="F118" s="342">
        <v>1.9732000000000001</v>
      </c>
      <c r="G118" s="342">
        <v>1.9732000000000001</v>
      </c>
      <c r="H118" s="342">
        <v>11</v>
      </c>
      <c r="I118" s="342">
        <v>11</v>
      </c>
      <c r="J118" s="342">
        <v>11</v>
      </c>
      <c r="L118" s="340">
        <v>1</v>
      </c>
    </row>
    <row r="119" spans="1:12" hidden="1">
      <c r="A119" s="334">
        <v>39525</v>
      </c>
      <c r="B119" s="334" t="s">
        <v>458</v>
      </c>
      <c r="C119" s="335">
        <v>182</v>
      </c>
      <c r="D119" s="334">
        <v>39707</v>
      </c>
      <c r="E119" s="338">
        <v>5</v>
      </c>
      <c r="F119" s="336">
        <v>2.5640000000000001</v>
      </c>
      <c r="G119" s="336">
        <v>2.5640000000000001</v>
      </c>
      <c r="H119" s="336">
        <v>10.979999999999999</v>
      </c>
      <c r="I119" s="336">
        <v>11</v>
      </c>
      <c r="J119" s="336">
        <v>10.979999999999999</v>
      </c>
      <c r="L119" s="335">
        <v>2</v>
      </c>
    </row>
    <row r="120" spans="1:12" s="343" customFormat="1" hidden="1">
      <c r="A120" s="339">
        <v>39537</v>
      </c>
      <c r="B120" s="339" t="s">
        <v>459</v>
      </c>
      <c r="C120" s="340">
        <v>366</v>
      </c>
      <c r="D120" s="339">
        <v>39903</v>
      </c>
      <c r="E120" s="341">
        <v>5</v>
      </c>
      <c r="F120" s="342">
        <v>2.2191999999999998</v>
      </c>
      <c r="G120" s="342">
        <v>2.2191999999999998</v>
      </c>
      <c r="H120" s="342">
        <v>10.99</v>
      </c>
      <c r="I120" s="342">
        <v>10.99</v>
      </c>
      <c r="J120" s="342">
        <v>10.99</v>
      </c>
      <c r="L120" s="340">
        <v>1</v>
      </c>
    </row>
    <row r="121" spans="1:12" hidden="1">
      <c r="A121" s="334">
        <v>39538</v>
      </c>
      <c r="B121" s="334" t="s">
        <v>460</v>
      </c>
      <c r="C121" s="335">
        <v>364</v>
      </c>
      <c r="D121" s="334">
        <v>39902</v>
      </c>
      <c r="E121" s="338">
        <v>5</v>
      </c>
      <c r="F121" s="336">
        <v>4.984</v>
      </c>
      <c r="G121" s="336">
        <v>4.984</v>
      </c>
      <c r="H121" s="336">
        <v>11</v>
      </c>
      <c r="I121" s="336">
        <v>11</v>
      </c>
      <c r="J121" s="336">
        <v>11</v>
      </c>
      <c r="L121" s="335">
        <v>1</v>
      </c>
    </row>
    <row r="122" spans="1:12" s="343" customFormat="1" hidden="1">
      <c r="A122" s="339">
        <v>39546</v>
      </c>
      <c r="B122" s="339" t="s">
        <v>461</v>
      </c>
      <c r="C122" s="340">
        <v>182</v>
      </c>
      <c r="D122" s="339">
        <v>39728</v>
      </c>
      <c r="E122" s="341">
        <v>5</v>
      </c>
      <c r="F122" s="342">
        <v>5</v>
      </c>
      <c r="G122" s="342">
        <v>5</v>
      </c>
      <c r="H122" s="342">
        <v>10.71</v>
      </c>
      <c r="I122" s="342">
        <v>10.98</v>
      </c>
      <c r="J122" s="342">
        <v>10.84</v>
      </c>
      <c r="L122" s="340">
        <v>3</v>
      </c>
    </row>
    <row r="123" spans="1:12" hidden="1">
      <c r="A123" s="334">
        <v>39553</v>
      </c>
      <c r="B123" s="334" t="s">
        <v>462</v>
      </c>
      <c r="C123" s="335">
        <v>182</v>
      </c>
      <c r="D123" s="334">
        <v>39735</v>
      </c>
      <c r="E123" s="338">
        <v>5</v>
      </c>
      <c r="F123" s="336">
        <v>2.6568000000000001</v>
      </c>
      <c r="G123" s="336">
        <v>5</v>
      </c>
      <c r="H123" s="336">
        <v>10.979999999999999</v>
      </c>
      <c r="I123" s="336">
        <v>10.98</v>
      </c>
      <c r="J123" s="336">
        <v>10.979999999999999</v>
      </c>
      <c r="L123" s="335">
        <v>1</v>
      </c>
    </row>
    <row r="124" spans="1:12" s="343" customFormat="1" hidden="1">
      <c r="A124" s="339">
        <v>39556</v>
      </c>
      <c r="B124" s="339" t="s">
        <v>463</v>
      </c>
      <c r="C124" s="340">
        <v>364</v>
      </c>
      <c r="D124" s="339">
        <v>39920</v>
      </c>
      <c r="E124" s="341">
        <v>5</v>
      </c>
      <c r="F124" s="342">
        <v>5</v>
      </c>
      <c r="G124" s="342">
        <v>5</v>
      </c>
      <c r="H124" s="342">
        <v>11</v>
      </c>
      <c r="I124" s="342">
        <v>11</v>
      </c>
      <c r="J124" s="342">
        <v>11</v>
      </c>
      <c r="L124" s="340">
        <v>1</v>
      </c>
    </row>
    <row r="125" spans="1:12" hidden="1">
      <c r="A125" s="334">
        <v>39560</v>
      </c>
      <c r="B125" s="334" t="s">
        <v>464</v>
      </c>
      <c r="C125" s="335">
        <v>182</v>
      </c>
      <c r="D125" s="334">
        <v>39742</v>
      </c>
      <c r="E125" s="338">
        <v>5</v>
      </c>
      <c r="F125" s="336">
        <v>4.8368000000000002</v>
      </c>
      <c r="G125" s="336">
        <v>4.8368000000000002</v>
      </c>
      <c r="H125" s="336">
        <v>10.979999999999999</v>
      </c>
      <c r="I125" s="336">
        <v>11</v>
      </c>
      <c r="J125" s="336">
        <v>11</v>
      </c>
      <c r="L125" s="335">
        <v>3</v>
      </c>
    </row>
    <row r="126" spans="1:12" s="343" customFormat="1" hidden="1">
      <c r="A126" s="339">
        <v>39567</v>
      </c>
      <c r="B126" s="339" t="s">
        <v>465</v>
      </c>
      <c r="C126" s="340">
        <v>182</v>
      </c>
      <c r="D126" s="339">
        <v>39749</v>
      </c>
      <c r="E126" s="341">
        <v>5</v>
      </c>
      <c r="F126" s="342">
        <v>0.49519999999999997</v>
      </c>
      <c r="G126" s="342">
        <v>0.49519999999999997</v>
      </c>
      <c r="H126" s="342">
        <v>11</v>
      </c>
      <c r="I126" s="342">
        <v>11</v>
      </c>
      <c r="J126" s="342">
        <v>11</v>
      </c>
      <c r="L126" s="340">
        <v>1</v>
      </c>
    </row>
    <row r="127" spans="1:12" hidden="1">
      <c r="A127" s="334">
        <v>39574</v>
      </c>
      <c r="B127" s="334" t="s">
        <v>466</v>
      </c>
      <c r="C127" s="335">
        <v>364</v>
      </c>
      <c r="D127" s="334">
        <v>39938</v>
      </c>
      <c r="E127" s="338">
        <v>10</v>
      </c>
      <c r="F127" s="336">
        <v>0</v>
      </c>
      <c r="G127" s="336">
        <v>10</v>
      </c>
      <c r="H127" s="336">
        <v>11</v>
      </c>
      <c r="I127" s="336">
        <v>11</v>
      </c>
      <c r="J127" s="336">
        <v>11</v>
      </c>
      <c r="L127" s="335">
        <v>1</v>
      </c>
    </row>
    <row r="128" spans="1:12" hidden="1">
      <c r="A128" s="339">
        <v>39574</v>
      </c>
      <c r="B128" s="339" t="s">
        <v>467</v>
      </c>
      <c r="C128" s="340">
        <v>182</v>
      </c>
      <c r="D128" s="339">
        <v>39756</v>
      </c>
      <c r="E128" s="341">
        <v>5</v>
      </c>
      <c r="F128" s="342">
        <v>0</v>
      </c>
      <c r="G128" s="342">
        <v>5</v>
      </c>
      <c r="H128" s="342">
        <v>11</v>
      </c>
      <c r="I128" s="342">
        <v>11</v>
      </c>
      <c r="J128" s="342">
        <v>11</v>
      </c>
      <c r="K128" s="343"/>
      <c r="L128" s="340">
        <v>1</v>
      </c>
    </row>
    <row r="129" spans="1:12" hidden="1">
      <c r="A129" s="334">
        <v>39581</v>
      </c>
      <c r="B129" s="334" t="s">
        <v>468</v>
      </c>
      <c r="C129" s="335">
        <v>364</v>
      </c>
      <c r="D129" s="334">
        <v>39945</v>
      </c>
      <c r="E129" s="338">
        <v>3</v>
      </c>
      <c r="F129" s="336">
        <v>0</v>
      </c>
      <c r="G129" s="336">
        <v>3</v>
      </c>
      <c r="H129" s="336">
        <v>11</v>
      </c>
      <c r="I129" s="336">
        <v>11</v>
      </c>
      <c r="J129" s="336">
        <v>11</v>
      </c>
      <c r="L129" s="335">
        <v>1</v>
      </c>
    </row>
    <row r="130" spans="1:12" hidden="1">
      <c r="A130" s="339">
        <v>39588</v>
      </c>
      <c r="B130" s="339" t="s">
        <v>469</v>
      </c>
      <c r="C130" s="340">
        <v>91</v>
      </c>
      <c r="D130" s="339">
        <v>39679</v>
      </c>
      <c r="E130" s="341">
        <v>3</v>
      </c>
      <c r="F130" s="342">
        <v>0.30719999999999997</v>
      </c>
      <c r="G130" s="342">
        <v>3</v>
      </c>
      <c r="H130" s="342">
        <v>10.5</v>
      </c>
      <c r="I130" s="342">
        <v>10.5</v>
      </c>
      <c r="J130" s="342">
        <v>10.5</v>
      </c>
      <c r="K130" s="343"/>
      <c r="L130" s="340">
        <v>1</v>
      </c>
    </row>
    <row r="131" spans="1:12" hidden="1">
      <c r="A131" s="334">
        <v>39588</v>
      </c>
      <c r="B131" s="334" t="s">
        <v>470</v>
      </c>
      <c r="C131" s="335">
        <v>182</v>
      </c>
      <c r="D131" s="334">
        <v>39770</v>
      </c>
      <c r="E131" s="338">
        <v>5</v>
      </c>
      <c r="F131" s="336">
        <v>0</v>
      </c>
      <c r="G131" s="336">
        <v>5.0001999999999995</v>
      </c>
      <c r="H131" s="336">
        <v>10.97</v>
      </c>
      <c r="I131" s="336">
        <v>10.97</v>
      </c>
      <c r="J131" s="336">
        <v>10.97</v>
      </c>
      <c r="L131" s="335">
        <v>0</v>
      </c>
    </row>
    <row r="132" spans="1:12" hidden="1">
      <c r="A132" s="339">
        <v>39595</v>
      </c>
      <c r="B132" s="339" t="s">
        <v>471</v>
      </c>
      <c r="C132" s="340">
        <v>182</v>
      </c>
      <c r="D132" s="339">
        <v>39777</v>
      </c>
      <c r="E132" s="341">
        <v>5</v>
      </c>
      <c r="F132" s="342">
        <v>0</v>
      </c>
      <c r="G132" s="342">
        <v>5</v>
      </c>
      <c r="H132" s="342">
        <v>10.979999999999999</v>
      </c>
      <c r="I132" s="342">
        <v>10.98</v>
      </c>
      <c r="J132" s="342">
        <v>10.979999999999999</v>
      </c>
      <c r="K132" s="343"/>
      <c r="L132" s="340">
        <v>0</v>
      </c>
    </row>
    <row r="133" spans="1:12" hidden="1">
      <c r="A133" s="334">
        <v>39595</v>
      </c>
      <c r="B133" s="334" t="s">
        <v>472</v>
      </c>
      <c r="C133" s="335">
        <v>364</v>
      </c>
      <c r="D133" s="334">
        <v>39959</v>
      </c>
      <c r="E133" s="338">
        <v>10</v>
      </c>
      <c r="F133" s="336">
        <v>0</v>
      </c>
      <c r="G133" s="336">
        <v>5</v>
      </c>
      <c r="H133" s="336">
        <v>11</v>
      </c>
      <c r="I133" s="336">
        <v>11</v>
      </c>
      <c r="J133" s="336">
        <v>11</v>
      </c>
      <c r="L133" s="335">
        <v>1</v>
      </c>
    </row>
    <row r="134" spans="1:12" hidden="1">
      <c r="A134" s="339">
        <v>39602</v>
      </c>
      <c r="B134" s="339" t="s">
        <v>473</v>
      </c>
      <c r="C134" s="340">
        <v>91</v>
      </c>
      <c r="D134" s="339">
        <v>39693</v>
      </c>
      <c r="E134" s="341">
        <v>3</v>
      </c>
      <c r="F134" s="342">
        <v>0</v>
      </c>
      <c r="G134" s="342">
        <v>3</v>
      </c>
      <c r="H134" s="342">
        <v>10.99</v>
      </c>
      <c r="I134" s="342">
        <v>10.99</v>
      </c>
      <c r="J134" s="342">
        <v>10.99</v>
      </c>
      <c r="K134" s="343"/>
      <c r="L134" s="340">
        <v>0</v>
      </c>
    </row>
    <row r="135" spans="1:12" hidden="1">
      <c r="A135" s="334">
        <v>39602</v>
      </c>
      <c r="B135" s="334" t="s">
        <v>474</v>
      </c>
      <c r="C135" s="335">
        <v>182</v>
      </c>
      <c r="D135" s="334">
        <v>39784</v>
      </c>
      <c r="E135" s="338">
        <v>3</v>
      </c>
      <c r="F135" s="336">
        <v>0</v>
      </c>
      <c r="G135" s="336">
        <v>3</v>
      </c>
      <c r="H135" s="336">
        <v>11.48</v>
      </c>
      <c r="I135" s="336">
        <v>11.48</v>
      </c>
      <c r="J135" s="336">
        <v>11.48</v>
      </c>
      <c r="L135" s="335">
        <v>0</v>
      </c>
    </row>
    <row r="136" spans="1:12" hidden="1">
      <c r="A136" s="339">
        <v>39609</v>
      </c>
      <c r="B136" s="339" t="s">
        <v>475</v>
      </c>
      <c r="C136" s="340">
        <v>360</v>
      </c>
      <c r="D136" s="339">
        <v>39969</v>
      </c>
      <c r="E136" s="341">
        <v>10</v>
      </c>
      <c r="F136" s="342">
        <v>0</v>
      </c>
      <c r="G136" s="342">
        <v>10</v>
      </c>
      <c r="H136" s="342">
        <v>11.5</v>
      </c>
      <c r="I136" s="342">
        <v>11.5</v>
      </c>
      <c r="J136" s="342">
        <v>11.5</v>
      </c>
      <c r="K136" s="343"/>
      <c r="L136" s="340">
        <v>0</v>
      </c>
    </row>
    <row r="137" spans="1:12" hidden="1">
      <c r="A137" s="334">
        <v>39609</v>
      </c>
      <c r="B137" s="334" t="s">
        <v>476</v>
      </c>
      <c r="C137" s="335">
        <v>182</v>
      </c>
      <c r="D137" s="334">
        <v>39791</v>
      </c>
      <c r="E137" s="338">
        <v>3</v>
      </c>
      <c r="F137" s="336">
        <v>0</v>
      </c>
      <c r="G137" s="336">
        <v>1.6557999999999999</v>
      </c>
      <c r="H137" s="336">
        <v>0</v>
      </c>
      <c r="I137" s="336">
        <v>0</v>
      </c>
      <c r="J137" s="336">
        <v>0</v>
      </c>
      <c r="L137" s="335">
        <v>0</v>
      </c>
    </row>
    <row r="138" spans="1:12" hidden="1">
      <c r="A138" s="339">
        <v>39616</v>
      </c>
      <c r="B138" s="339" t="s">
        <v>477</v>
      </c>
      <c r="C138" s="340">
        <v>91</v>
      </c>
      <c r="D138" s="339">
        <v>39707</v>
      </c>
      <c r="E138" s="341">
        <v>2</v>
      </c>
      <c r="F138" s="342">
        <v>0</v>
      </c>
      <c r="G138" s="342">
        <v>0</v>
      </c>
      <c r="H138" s="342">
        <v>0</v>
      </c>
      <c r="I138" s="342">
        <v>0</v>
      </c>
      <c r="J138" s="342">
        <v>0</v>
      </c>
      <c r="K138" s="343"/>
      <c r="L138" s="340">
        <v>0</v>
      </c>
    </row>
    <row r="139" spans="1:12" hidden="1">
      <c r="A139" s="334">
        <v>39616</v>
      </c>
      <c r="B139" s="334" t="s">
        <v>478</v>
      </c>
      <c r="C139" s="335">
        <v>182</v>
      </c>
      <c r="D139" s="334">
        <v>39798</v>
      </c>
      <c r="E139" s="338">
        <v>2</v>
      </c>
      <c r="F139" s="336">
        <v>0</v>
      </c>
      <c r="G139" s="336">
        <v>0</v>
      </c>
      <c r="H139" s="336">
        <v>0</v>
      </c>
      <c r="I139" s="336">
        <v>0</v>
      </c>
      <c r="J139" s="336">
        <v>0</v>
      </c>
      <c r="L139" s="335">
        <v>0</v>
      </c>
    </row>
    <row r="140" spans="1:12" hidden="1">
      <c r="A140" s="339">
        <v>39616</v>
      </c>
      <c r="B140" s="339" t="s">
        <v>479</v>
      </c>
      <c r="C140" s="340">
        <v>364</v>
      </c>
      <c r="D140" s="339">
        <v>39980</v>
      </c>
      <c r="E140" s="341">
        <v>2</v>
      </c>
      <c r="F140" s="342">
        <v>0</v>
      </c>
      <c r="G140" s="342">
        <v>0</v>
      </c>
      <c r="H140" s="342">
        <v>0</v>
      </c>
      <c r="I140" s="342">
        <v>0</v>
      </c>
      <c r="J140" s="342">
        <v>0</v>
      </c>
      <c r="K140" s="343"/>
      <c r="L140" s="340">
        <v>0</v>
      </c>
    </row>
    <row r="141" spans="1:12" hidden="1">
      <c r="A141" s="334">
        <v>39623</v>
      </c>
      <c r="B141" s="334" t="s">
        <v>480</v>
      </c>
      <c r="C141" s="335">
        <v>182</v>
      </c>
      <c r="D141" s="334">
        <v>39805</v>
      </c>
      <c r="E141" s="338">
        <v>3</v>
      </c>
      <c r="F141" s="336">
        <v>2.0110000000000001</v>
      </c>
      <c r="G141" s="336">
        <v>1.06</v>
      </c>
      <c r="H141" s="336">
        <v>10.190000000000001</v>
      </c>
      <c r="I141" s="336">
        <v>10.49</v>
      </c>
      <c r="J141" s="336">
        <v>10.190000000000001</v>
      </c>
      <c r="L141" s="335">
        <v>1</v>
      </c>
    </row>
    <row r="142" spans="1:12" hidden="1">
      <c r="A142" s="339">
        <v>39637</v>
      </c>
      <c r="B142" s="339" t="s">
        <v>481</v>
      </c>
      <c r="C142" s="340">
        <v>364</v>
      </c>
      <c r="D142" s="339">
        <v>40001</v>
      </c>
      <c r="E142" s="341">
        <v>3</v>
      </c>
      <c r="F142" s="342">
        <v>0</v>
      </c>
      <c r="G142" s="342">
        <v>2</v>
      </c>
      <c r="H142" s="342">
        <v>11.379999999999999</v>
      </c>
      <c r="I142" s="342">
        <v>11.38</v>
      </c>
      <c r="J142" s="342">
        <v>11.379999999999999</v>
      </c>
      <c r="K142" s="343"/>
      <c r="L142" s="340">
        <v>0</v>
      </c>
    </row>
    <row r="143" spans="1:12" hidden="1">
      <c r="A143" s="334">
        <v>39644</v>
      </c>
      <c r="B143" s="334" t="s">
        <v>482</v>
      </c>
      <c r="C143" s="335">
        <v>91</v>
      </c>
      <c r="D143" s="334">
        <v>39735</v>
      </c>
      <c r="E143" s="338">
        <v>7</v>
      </c>
      <c r="F143" s="336">
        <v>0</v>
      </c>
      <c r="G143" s="336">
        <v>7</v>
      </c>
      <c r="H143" s="336">
        <v>11.459999999999999</v>
      </c>
      <c r="I143" s="336">
        <v>11.46</v>
      </c>
      <c r="J143" s="336">
        <v>11.459999999999999</v>
      </c>
      <c r="L143" s="335">
        <v>0</v>
      </c>
    </row>
    <row r="144" spans="1:12" hidden="1">
      <c r="A144" s="339">
        <v>39644</v>
      </c>
      <c r="B144" s="339" t="s">
        <v>483</v>
      </c>
      <c r="C144" s="340">
        <v>182</v>
      </c>
      <c r="D144" s="339">
        <v>39826</v>
      </c>
      <c r="E144" s="341">
        <v>5</v>
      </c>
      <c r="F144" s="342">
        <v>0</v>
      </c>
      <c r="G144" s="342">
        <v>5</v>
      </c>
      <c r="H144" s="342">
        <v>11.5</v>
      </c>
      <c r="I144" s="342">
        <v>11.5</v>
      </c>
      <c r="J144" s="342">
        <v>11.5</v>
      </c>
      <c r="K144" s="343"/>
      <c r="L144" s="340">
        <v>0</v>
      </c>
    </row>
    <row r="145" spans="1:12" hidden="1">
      <c r="A145" s="334">
        <v>39651</v>
      </c>
      <c r="B145" s="334" t="s">
        <v>484</v>
      </c>
      <c r="C145" s="335">
        <v>364</v>
      </c>
      <c r="D145" s="334">
        <v>40015</v>
      </c>
      <c r="E145" s="338">
        <v>5</v>
      </c>
      <c r="F145" s="336">
        <v>2.3934000000000002</v>
      </c>
      <c r="G145" s="336">
        <v>2.3934000000000002</v>
      </c>
      <c r="H145" s="336">
        <v>11.4</v>
      </c>
      <c r="I145" s="336">
        <v>11.46</v>
      </c>
      <c r="J145" s="336">
        <v>11.4</v>
      </c>
      <c r="L145" s="335">
        <v>2</v>
      </c>
    </row>
    <row r="146" spans="1:12" hidden="1">
      <c r="A146" s="339">
        <v>39658</v>
      </c>
      <c r="B146" s="339" t="s">
        <v>485</v>
      </c>
      <c r="C146" s="340">
        <v>91</v>
      </c>
      <c r="D146" s="339">
        <v>39749</v>
      </c>
      <c r="E146" s="341">
        <v>3</v>
      </c>
      <c r="F146" s="342">
        <v>0.1026</v>
      </c>
      <c r="G146" s="342">
        <v>3</v>
      </c>
      <c r="H146" s="342">
        <v>11.469999999999999</v>
      </c>
      <c r="I146" s="342">
        <v>11.47</v>
      </c>
      <c r="J146" s="342">
        <v>11.469999999999999</v>
      </c>
      <c r="K146" s="343"/>
      <c r="L146" s="340">
        <v>1</v>
      </c>
    </row>
    <row r="147" spans="1:12" hidden="1">
      <c r="A147" s="334">
        <v>39658</v>
      </c>
      <c r="B147" s="334" t="s">
        <v>486</v>
      </c>
      <c r="C147" s="335">
        <v>182</v>
      </c>
      <c r="D147" s="334">
        <v>39840</v>
      </c>
      <c r="E147" s="338"/>
      <c r="F147" s="336">
        <v>1.9026000000000001</v>
      </c>
      <c r="G147" s="336">
        <v>5</v>
      </c>
      <c r="H147" s="336">
        <v>11.49</v>
      </c>
      <c r="I147" s="336">
        <v>11.49</v>
      </c>
      <c r="J147" s="336">
        <v>11.49</v>
      </c>
      <c r="L147" s="335">
        <v>1</v>
      </c>
    </row>
    <row r="148" spans="1:12" hidden="1">
      <c r="A148" s="339">
        <v>39658</v>
      </c>
      <c r="B148" s="339" t="s">
        <v>487</v>
      </c>
      <c r="C148" s="340">
        <v>364</v>
      </c>
      <c r="D148" s="339">
        <v>40022</v>
      </c>
      <c r="E148" s="341">
        <v>5</v>
      </c>
      <c r="F148" s="342">
        <v>0</v>
      </c>
      <c r="G148" s="342">
        <v>5</v>
      </c>
      <c r="H148" s="342">
        <v>11.51</v>
      </c>
      <c r="I148" s="342">
        <v>11.51</v>
      </c>
      <c r="J148" s="342">
        <v>11.51</v>
      </c>
      <c r="K148" s="343"/>
      <c r="L148" s="340">
        <v>0</v>
      </c>
    </row>
    <row r="149" spans="1:12" hidden="1">
      <c r="A149" s="334">
        <v>39665</v>
      </c>
      <c r="B149" s="334" t="s">
        <v>488</v>
      </c>
      <c r="C149" s="335">
        <v>182</v>
      </c>
      <c r="D149" s="334">
        <v>39847</v>
      </c>
      <c r="E149" s="338">
        <v>5</v>
      </c>
      <c r="F149" s="336">
        <v>3.1</v>
      </c>
      <c r="G149" s="336">
        <v>5</v>
      </c>
      <c r="H149" s="336">
        <v>11.469999999999999</v>
      </c>
      <c r="I149" s="336">
        <v>11.52</v>
      </c>
      <c r="J149" s="336">
        <v>11.469999999999999</v>
      </c>
      <c r="L149" s="335">
        <v>3</v>
      </c>
    </row>
    <row r="150" spans="1:12" hidden="1">
      <c r="A150" s="339">
        <v>39665</v>
      </c>
      <c r="B150" s="339" t="s">
        <v>489</v>
      </c>
      <c r="C150" s="340">
        <v>364</v>
      </c>
      <c r="D150" s="339">
        <v>40029</v>
      </c>
      <c r="E150" s="341">
        <v>5</v>
      </c>
      <c r="F150" s="342">
        <v>0</v>
      </c>
      <c r="G150" s="342">
        <v>0.50580000000000003</v>
      </c>
      <c r="H150" s="342">
        <v>10.489999999999998</v>
      </c>
      <c r="I150" s="342">
        <v>10.49</v>
      </c>
      <c r="J150" s="342">
        <v>10.489999999999998</v>
      </c>
      <c r="K150" s="343"/>
      <c r="L150" s="340">
        <v>0</v>
      </c>
    </row>
    <row r="151" spans="1:12" hidden="1">
      <c r="A151" s="334">
        <v>39672</v>
      </c>
      <c r="B151" s="334" t="s">
        <v>490</v>
      </c>
      <c r="C151" s="335">
        <v>91</v>
      </c>
      <c r="D151" s="334">
        <v>39763</v>
      </c>
      <c r="E151" s="338">
        <v>5</v>
      </c>
      <c r="F151" s="336">
        <v>0.56559999999999999</v>
      </c>
      <c r="G151" s="336">
        <v>4.9999999999999991</v>
      </c>
      <c r="H151" s="336">
        <v>11.51</v>
      </c>
      <c r="I151" s="336">
        <v>11.51</v>
      </c>
      <c r="J151" s="336">
        <v>11.51</v>
      </c>
      <c r="L151" s="335">
        <v>4</v>
      </c>
    </row>
    <row r="152" spans="1:12" hidden="1">
      <c r="A152" s="339">
        <v>39672</v>
      </c>
      <c r="B152" s="339" t="s">
        <v>491</v>
      </c>
      <c r="C152" s="340">
        <v>182</v>
      </c>
      <c r="D152" s="339">
        <v>39854</v>
      </c>
      <c r="E152" s="341">
        <v>10</v>
      </c>
      <c r="F152" s="342">
        <v>10</v>
      </c>
      <c r="G152" s="342">
        <v>10</v>
      </c>
      <c r="H152" s="342">
        <v>11.49</v>
      </c>
      <c r="I152" s="342">
        <v>11.49</v>
      </c>
      <c r="J152" s="342">
        <v>11.49</v>
      </c>
      <c r="K152" s="343"/>
      <c r="L152" s="340">
        <v>1</v>
      </c>
    </row>
    <row r="153" spans="1:12" hidden="1">
      <c r="A153" s="334">
        <v>39672</v>
      </c>
      <c r="B153" s="334" t="s">
        <v>492</v>
      </c>
      <c r="C153" s="335">
        <v>364</v>
      </c>
      <c r="D153" s="334">
        <v>40036</v>
      </c>
      <c r="E153" s="338">
        <v>5</v>
      </c>
      <c r="F153" s="336">
        <v>0</v>
      </c>
      <c r="G153" s="336">
        <v>5</v>
      </c>
      <c r="H153" s="336">
        <v>11.5</v>
      </c>
      <c r="I153" s="336">
        <v>11.5</v>
      </c>
      <c r="J153" s="336">
        <v>11.5</v>
      </c>
      <c r="L153" s="335">
        <v>0</v>
      </c>
    </row>
    <row r="154" spans="1:12" hidden="1">
      <c r="A154" s="339">
        <v>39679</v>
      </c>
      <c r="B154" s="339" t="s">
        <v>493</v>
      </c>
      <c r="C154" s="340">
        <v>182</v>
      </c>
      <c r="D154" s="339">
        <v>39861</v>
      </c>
      <c r="E154" s="341">
        <v>10</v>
      </c>
      <c r="F154" s="342">
        <v>0</v>
      </c>
      <c r="G154" s="342">
        <v>10</v>
      </c>
      <c r="H154" s="342">
        <v>11.5</v>
      </c>
      <c r="I154" s="342">
        <v>11.5</v>
      </c>
      <c r="J154" s="342">
        <v>11.5</v>
      </c>
      <c r="K154" s="343"/>
      <c r="L154" s="340">
        <v>0</v>
      </c>
    </row>
    <row r="155" spans="1:12" hidden="1">
      <c r="A155" s="334">
        <v>39679</v>
      </c>
      <c r="B155" s="334" t="s">
        <v>494</v>
      </c>
      <c r="C155" s="335">
        <v>364</v>
      </c>
      <c r="D155" s="334">
        <v>40043</v>
      </c>
      <c r="E155" s="338">
        <v>3</v>
      </c>
      <c r="F155" s="336">
        <v>0</v>
      </c>
      <c r="G155" s="336">
        <v>2.2360000000000002</v>
      </c>
      <c r="H155" s="336">
        <v>11.5</v>
      </c>
      <c r="I155" s="336">
        <v>11.5</v>
      </c>
      <c r="J155" s="336">
        <v>11.5</v>
      </c>
      <c r="L155" s="335">
        <v>0</v>
      </c>
    </row>
    <row r="156" spans="1:12" hidden="1">
      <c r="A156" s="339">
        <v>39686</v>
      </c>
      <c r="B156" s="339" t="s">
        <v>495</v>
      </c>
      <c r="C156" s="340">
        <v>91</v>
      </c>
      <c r="D156" s="339">
        <v>39777</v>
      </c>
      <c r="E156" s="341">
        <v>3</v>
      </c>
      <c r="F156" s="342">
        <v>0</v>
      </c>
      <c r="G156" s="342">
        <v>0</v>
      </c>
      <c r="H156" s="342">
        <v>0</v>
      </c>
      <c r="I156" s="342">
        <v>0</v>
      </c>
      <c r="J156" s="342">
        <v>0</v>
      </c>
      <c r="K156" s="343"/>
      <c r="L156" s="340">
        <v>0</v>
      </c>
    </row>
    <row r="157" spans="1:12" hidden="1">
      <c r="A157" s="334">
        <v>39686</v>
      </c>
      <c r="B157" s="334" t="s">
        <v>496</v>
      </c>
      <c r="C157" s="335">
        <v>182</v>
      </c>
      <c r="D157" s="334">
        <v>39868</v>
      </c>
      <c r="E157" s="338">
        <v>5</v>
      </c>
      <c r="F157" s="336">
        <v>1.6588000000000001</v>
      </c>
      <c r="G157" s="336">
        <v>1.6588000000000001</v>
      </c>
      <c r="H157" s="336">
        <v>11.450000000000001</v>
      </c>
      <c r="I157" s="336">
        <v>11.45</v>
      </c>
      <c r="J157" s="336">
        <v>11.450000000000001</v>
      </c>
      <c r="L157" s="335">
        <v>1</v>
      </c>
    </row>
    <row r="158" spans="1:12" hidden="1">
      <c r="A158" s="339">
        <v>39686</v>
      </c>
      <c r="B158" s="339" t="s">
        <v>497</v>
      </c>
      <c r="C158" s="340">
        <v>364</v>
      </c>
      <c r="D158" s="339">
        <v>40050</v>
      </c>
      <c r="E158" s="341">
        <v>3</v>
      </c>
      <c r="F158" s="342">
        <v>0.88019999999999998</v>
      </c>
      <c r="G158" s="342">
        <v>0.88019999999999998</v>
      </c>
      <c r="H158" s="342">
        <v>11.44</v>
      </c>
      <c r="I158" s="342">
        <v>11.44</v>
      </c>
      <c r="J158" s="342">
        <v>11.44</v>
      </c>
      <c r="K158" s="343"/>
      <c r="L158" s="340">
        <v>1</v>
      </c>
    </row>
    <row r="159" spans="1:12" hidden="1">
      <c r="A159" s="334">
        <v>39724</v>
      </c>
      <c r="B159" s="334" t="s">
        <v>498</v>
      </c>
      <c r="C159" s="335">
        <v>95</v>
      </c>
      <c r="D159" s="334">
        <v>39819</v>
      </c>
      <c r="E159" s="338">
        <v>5</v>
      </c>
      <c r="F159" s="336">
        <v>5</v>
      </c>
      <c r="G159" s="346">
        <v>5</v>
      </c>
      <c r="H159" s="346">
        <v>10.639999999999999</v>
      </c>
      <c r="I159" s="336">
        <v>11.51</v>
      </c>
      <c r="J159" s="336">
        <v>10.639999999999999</v>
      </c>
      <c r="L159" s="335">
        <v>2</v>
      </c>
    </row>
    <row r="160" spans="1:12" hidden="1">
      <c r="A160" s="339">
        <v>39724</v>
      </c>
      <c r="B160" s="339" t="s">
        <v>499</v>
      </c>
      <c r="C160" s="340">
        <v>182</v>
      </c>
      <c r="D160" s="339">
        <v>39906</v>
      </c>
      <c r="E160" s="341">
        <v>5</v>
      </c>
      <c r="F160" s="342">
        <v>0.5252</v>
      </c>
      <c r="G160" s="342">
        <v>0.5252</v>
      </c>
      <c r="H160" s="342">
        <v>11.49</v>
      </c>
      <c r="I160" s="342">
        <v>11.49</v>
      </c>
      <c r="J160" s="342">
        <v>11.49</v>
      </c>
      <c r="K160" s="343"/>
      <c r="L160" s="340">
        <v>1</v>
      </c>
    </row>
    <row r="161" spans="1:12" hidden="1">
      <c r="A161" s="334">
        <v>39756</v>
      </c>
      <c r="B161" s="334" t="s">
        <v>500</v>
      </c>
      <c r="C161" s="335">
        <v>91</v>
      </c>
      <c r="D161" s="334">
        <v>39847</v>
      </c>
      <c r="E161" s="338">
        <v>15</v>
      </c>
      <c r="F161" s="336">
        <v>27.520399999999999</v>
      </c>
      <c r="G161" s="336">
        <v>15</v>
      </c>
      <c r="H161" s="336">
        <v>8.98</v>
      </c>
      <c r="I161" s="336">
        <v>11.3</v>
      </c>
      <c r="J161" s="336">
        <v>9.06</v>
      </c>
      <c r="L161" s="335">
        <v>7</v>
      </c>
    </row>
    <row r="162" spans="1:12" hidden="1">
      <c r="A162" s="339">
        <v>39759</v>
      </c>
      <c r="B162" s="339" t="s">
        <v>501</v>
      </c>
      <c r="C162" s="340">
        <v>91</v>
      </c>
      <c r="D162" s="339">
        <v>39850</v>
      </c>
      <c r="E162" s="341">
        <v>20</v>
      </c>
      <c r="F162" s="342">
        <v>0</v>
      </c>
      <c r="G162" s="342">
        <v>0</v>
      </c>
      <c r="H162" s="342">
        <v>0</v>
      </c>
      <c r="I162" s="342">
        <v>0</v>
      </c>
      <c r="J162" s="342">
        <v>0</v>
      </c>
      <c r="K162" s="343"/>
      <c r="L162" s="340">
        <v>0</v>
      </c>
    </row>
    <row r="163" spans="1:12" hidden="1">
      <c r="A163" s="334">
        <v>39763</v>
      </c>
      <c r="B163" s="334" t="s">
        <v>502</v>
      </c>
      <c r="C163" s="335">
        <v>91</v>
      </c>
      <c r="D163" s="334">
        <v>39854</v>
      </c>
      <c r="E163" s="338">
        <v>20</v>
      </c>
      <c r="F163" s="336">
        <v>0</v>
      </c>
      <c r="G163" s="336">
        <v>0</v>
      </c>
      <c r="H163" s="336">
        <v>0</v>
      </c>
      <c r="I163" s="336">
        <v>0</v>
      </c>
      <c r="J163" s="336">
        <v>0</v>
      </c>
      <c r="L163" s="335">
        <v>0</v>
      </c>
    </row>
    <row r="164" spans="1:12" hidden="1">
      <c r="A164" s="339">
        <v>39766</v>
      </c>
      <c r="B164" s="339" t="s">
        <v>503</v>
      </c>
      <c r="C164" s="340">
        <v>91</v>
      </c>
      <c r="D164" s="339">
        <v>39857</v>
      </c>
      <c r="E164" s="341">
        <v>15</v>
      </c>
      <c r="F164" s="342">
        <v>19.988600000000002</v>
      </c>
      <c r="G164" s="342">
        <v>15</v>
      </c>
      <c r="H164" s="342">
        <v>8.02</v>
      </c>
      <c r="I164" s="342">
        <v>8.98</v>
      </c>
      <c r="J164" s="342">
        <v>8.81</v>
      </c>
      <c r="K164" s="343"/>
      <c r="L164" s="340">
        <v>4</v>
      </c>
    </row>
    <row r="165" spans="1:12" hidden="1">
      <c r="A165" s="334">
        <v>39770</v>
      </c>
      <c r="B165" s="334" t="s">
        <v>504</v>
      </c>
      <c r="C165" s="335">
        <v>182</v>
      </c>
      <c r="D165" s="334">
        <v>39952</v>
      </c>
      <c r="E165" s="338">
        <v>5</v>
      </c>
      <c r="F165" s="336">
        <v>3.1360000000000001</v>
      </c>
      <c r="G165" s="336">
        <v>1.8355999999999999</v>
      </c>
      <c r="H165" s="336">
        <v>9.49</v>
      </c>
      <c r="I165" s="336">
        <v>0</v>
      </c>
      <c r="J165" s="336">
        <v>9.49</v>
      </c>
      <c r="L165" s="335">
        <v>3</v>
      </c>
    </row>
    <row r="166" spans="1:12" hidden="1">
      <c r="A166" s="339">
        <v>39777</v>
      </c>
      <c r="B166" s="339" t="s">
        <v>505</v>
      </c>
      <c r="C166" s="340">
        <v>182</v>
      </c>
      <c r="D166" s="339">
        <v>39959</v>
      </c>
      <c r="E166" s="341">
        <v>5</v>
      </c>
      <c r="F166" s="342">
        <v>1.044</v>
      </c>
      <c r="G166" s="342">
        <v>1.044</v>
      </c>
      <c r="H166" s="342">
        <v>9.4700000000000006</v>
      </c>
      <c r="I166" s="342">
        <v>9.4700000000000006</v>
      </c>
      <c r="J166" s="342">
        <v>9.4700000000000006</v>
      </c>
      <c r="K166" s="343"/>
      <c r="L166" s="340">
        <v>1</v>
      </c>
    </row>
    <row r="167" spans="1:12" hidden="1">
      <c r="A167" s="334">
        <v>39784</v>
      </c>
      <c r="B167" s="334" t="s">
        <v>506</v>
      </c>
      <c r="C167" s="335">
        <v>182</v>
      </c>
      <c r="D167" s="334">
        <v>39966</v>
      </c>
      <c r="E167" s="338">
        <v>5</v>
      </c>
      <c r="F167" s="336">
        <v>3.6629999999999998</v>
      </c>
      <c r="G167" s="336">
        <v>3.6629999999999998</v>
      </c>
      <c r="H167" s="336">
        <v>8.92</v>
      </c>
      <c r="I167" s="336">
        <v>9.49</v>
      </c>
      <c r="J167" s="336">
        <v>9.2100000000000009</v>
      </c>
      <c r="L167" s="335">
        <v>4</v>
      </c>
    </row>
    <row r="168" spans="1:12" hidden="1">
      <c r="A168" s="339">
        <v>39792</v>
      </c>
      <c r="B168" s="339" t="s">
        <v>507</v>
      </c>
      <c r="C168" s="340">
        <v>181</v>
      </c>
      <c r="D168" s="339">
        <v>39973</v>
      </c>
      <c r="E168" s="341">
        <v>8</v>
      </c>
      <c r="F168" s="342">
        <v>8</v>
      </c>
      <c r="G168" s="342">
        <v>8</v>
      </c>
      <c r="H168" s="342">
        <v>9.3000000000000007</v>
      </c>
      <c r="I168" s="342">
        <v>9.39</v>
      </c>
      <c r="J168" s="342">
        <v>9.39</v>
      </c>
      <c r="K168" s="343"/>
      <c r="L168" s="340">
        <v>3</v>
      </c>
    </row>
    <row r="169" spans="1:12" hidden="1">
      <c r="A169" s="334">
        <v>39805</v>
      </c>
      <c r="B169" s="334" t="s">
        <v>508</v>
      </c>
      <c r="C169" s="335">
        <v>35</v>
      </c>
      <c r="D169" s="334">
        <v>39840</v>
      </c>
      <c r="E169" s="338">
        <v>10</v>
      </c>
      <c r="F169" s="336">
        <v>0</v>
      </c>
      <c r="G169" s="336">
        <v>10</v>
      </c>
      <c r="H169" s="336">
        <v>5.83</v>
      </c>
      <c r="I169" s="336">
        <v>5.94</v>
      </c>
      <c r="J169" s="336">
        <v>5.94</v>
      </c>
      <c r="L169" s="335">
        <v>3</v>
      </c>
    </row>
    <row r="170" spans="1:12" hidden="1">
      <c r="A170" s="339">
        <v>39808</v>
      </c>
      <c r="B170" s="339" t="s">
        <v>509</v>
      </c>
      <c r="C170" s="340">
        <v>35</v>
      </c>
      <c r="D170" s="339">
        <v>39843</v>
      </c>
      <c r="E170" s="341">
        <v>5</v>
      </c>
      <c r="F170" s="342">
        <v>0</v>
      </c>
      <c r="G170" s="342">
        <v>5</v>
      </c>
      <c r="H170" s="342">
        <v>5.96</v>
      </c>
      <c r="I170" s="342">
        <v>5.96</v>
      </c>
      <c r="J170" s="342">
        <v>5.96</v>
      </c>
      <c r="K170" s="343"/>
      <c r="L170" s="340">
        <v>1</v>
      </c>
    </row>
    <row r="171" spans="1:12" hidden="1">
      <c r="A171" s="334">
        <v>39836</v>
      </c>
      <c r="B171" s="334" t="s">
        <v>510</v>
      </c>
      <c r="C171" s="335">
        <v>35</v>
      </c>
      <c r="D171" s="334">
        <v>39871</v>
      </c>
      <c r="E171" s="338">
        <v>18</v>
      </c>
      <c r="F171" s="336">
        <v>0</v>
      </c>
      <c r="G171" s="336">
        <v>9.9024000000000001</v>
      </c>
      <c r="H171" s="336">
        <v>5.6800000000000006</v>
      </c>
      <c r="I171" s="336">
        <v>5.6800000000000003E-2</v>
      </c>
      <c r="J171" s="336">
        <v>5.6800000000000006</v>
      </c>
      <c r="L171" s="335">
        <v>0</v>
      </c>
    </row>
    <row r="172" spans="1:12" hidden="1">
      <c r="A172" s="339">
        <v>39836</v>
      </c>
      <c r="B172" s="339" t="s">
        <v>511</v>
      </c>
      <c r="C172" s="340">
        <v>91</v>
      </c>
      <c r="D172" s="339">
        <v>39927</v>
      </c>
      <c r="E172" s="341">
        <v>25</v>
      </c>
      <c r="F172" s="342">
        <v>0</v>
      </c>
      <c r="G172" s="342">
        <v>2.5861999999999998</v>
      </c>
      <c r="H172" s="342">
        <v>5.7</v>
      </c>
      <c r="I172" s="342">
        <v>5.6999999999999995E-2</v>
      </c>
      <c r="J172" s="342">
        <v>5.7</v>
      </c>
      <c r="K172" s="343"/>
      <c r="L172" s="340">
        <v>1</v>
      </c>
    </row>
    <row r="173" spans="1:12" hidden="1">
      <c r="A173" s="334">
        <v>39836</v>
      </c>
      <c r="B173" s="334" t="s">
        <v>512</v>
      </c>
      <c r="C173" s="335">
        <v>364</v>
      </c>
      <c r="D173" s="334">
        <v>40200</v>
      </c>
      <c r="E173" s="338">
        <v>3</v>
      </c>
      <c r="F173" s="336">
        <v>0</v>
      </c>
      <c r="G173" s="336">
        <v>3</v>
      </c>
      <c r="H173" s="336">
        <v>9</v>
      </c>
      <c r="I173" s="336">
        <v>0.09</v>
      </c>
      <c r="J173" s="336">
        <v>9</v>
      </c>
      <c r="L173" s="335">
        <v>1</v>
      </c>
    </row>
    <row r="174" spans="1:12" hidden="1">
      <c r="A174" s="339">
        <v>39845</v>
      </c>
      <c r="B174" s="339" t="s">
        <v>513</v>
      </c>
      <c r="C174" s="340">
        <v>180</v>
      </c>
      <c r="D174" s="339"/>
      <c r="E174" s="341">
        <v>15</v>
      </c>
      <c r="F174" s="342">
        <v>7.1192000000000002</v>
      </c>
      <c r="G174" s="342">
        <v>12.32</v>
      </c>
      <c r="H174" s="342">
        <v>6.9500000000000011</v>
      </c>
      <c r="I174" s="342">
        <v>7.0000000000000007E-2</v>
      </c>
      <c r="J174" s="342">
        <v>6.9500000000000011</v>
      </c>
      <c r="K174" s="343"/>
      <c r="L174" s="340">
        <v>3</v>
      </c>
    </row>
    <row r="175" spans="1:12" hidden="1">
      <c r="A175" s="334">
        <v>39847</v>
      </c>
      <c r="B175" s="334" t="s">
        <v>514</v>
      </c>
      <c r="C175" s="335">
        <v>35</v>
      </c>
      <c r="D175" s="334">
        <v>39882</v>
      </c>
      <c r="E175" s="338">
        <v>18</v>
      </c>
      <c r="F175" s="336">
        <v>29.989000000000001</v>
      </c>
      <c r="G175" s="336">
        <v>18</v>
      </c>
      <c r="H175" s="336">
        <v>4.71</v>
      </c>
      <c r="I175" s="336">
        <v>5.0299999999999997E-2</v>
      </c>
      <c r="J175" s="336">
        <v>4.92</v>
      </c>
      <c r="L175" s="335">
        <v>5</v>
      </c>
    </row>
    <row r="176" spans="1:12" hidden="1">
      <c r="A176" s="339">
        <v>39850</v>
      </c>
      <c r="B176" s="339" t="s">
        <v>515</v>
      </c>
      <c r="C176" s="340">
        <v>91</v>
      </c>
      <c r="D176" s="339">
        <v>39941</v>
      </c>
      <c r="E176" s="341">
        <v>18</v>
      </c>
      <c r="F176" s="342">
        <v>8.0752000000000006</v>
      </c>
      <c r="G176" s="342">
        <v>10.135200000000001</v>
      </c>
      <c r="H176" s="342">
        <v>5.7700000000000005</v>
      </c>
      <c r="I176" s="342">
        <v>5.7700000000000001E-2</v>
      </c>
      <c r="J176" s="342">
        <v>5.7700000000000005</v>
      </c>
      <c r="K176" s="343"/>
      <c r="L176" s="340">
        <v>1</v>
      </c>
    </row>
    <row r="177" spans="1:12" hidden="1">
      <c r="A177" s="334">
        <v>39850</v>
      </c>
      <c r="B177" s="334" t="s">
        <v>516</v>
      </c>
      <c r="C177" s="335">
        <v>364</v>
      </c>
      <c r="D177" s="334">
        <v>40214</v>
      </c>
      <c r="E177" s="338">
        <v>3</v>
      </c>
      <c r="F177" s="336">
        <v>0</v>
      </c>
      <c r="G177" s="336">
        <v>3</v>
      </c>
      <c r="H177" s="336">
        <v>8.6999999999999993</v>
      </c>
      <c r="I177" s="336">
        <v>8.6999999999999994E-2</v>
      </c>
      <c r="J177" s="336">
        <v>8.6999999999999993</v>
      </c>
      <c r="L177" s="335">
        <v>1</v>
      </c>
    </row>
    <row r="178" spans="1:12" hidden="1">
      <c r="A178" s="339">
        <v>39854</v>
      </c>
      <c r="B178" s="339" t="s">
        <v>517</v>
      </c>
      <c r="C178" s="340">
        <v>182</v>
      </c>
      <c r="D178" s="339">
        <v>40036</v>
      </c>
      <c r="E178" s="341">
        <v>7</v>
      </c>
      <c r="F178" s="342">
        <v>0.62339999999999995</v>
      </c>
      <c r="G178" s="342">
        <v>4.2834000000000003</v>
      </c>
      <c r="H178" s="342">
        <v>6.9099999999999993</v>
      </c>
      <c r="I178" s="342">
        <v>6.9900000000000004E-2</v>
      </c>
      <c r="J178" s="342">
        <v>6.97</v>
      </c>
      <c r="K178" s="343"/>
      <c r="L178" s="340">
        <v>2</v>
      </c>
    </row>
    <row r="179" spans="1:12" hidden="1">
      <c r="A179" s="334">
        <v>39857</v>
      </c>
      <c r="B179" s="334" t="s">
        <v>518</v>
      </c>
      <c r="C179" s="335">
        <v>728</v>
      </c>
      <c r="D179" s="334">
        <v>40585</v>
      </c>
      <c r="E179" s="338">
        <v>2</v>
      </c>
      <c r="F179" s="336">
        <v>0</v>
      </c>
      <c r="G179" s="336">
        <v>0</v>
      </c>
      <c r="H179" s="336">
        <v>0</v>
      </c>
      <c r="I179" s="336">
        <v>0</v>
      </c>
      <c r="J179" s="336">
        <v>0</v>
      </c>
      <c r="L179" s="335">
        <v>0</v>
      </c>
    </row>
    <row r="180" spans="1:12" hidden="1">
      <c r="A180" s="339">
        <v>39861</v>
      </c>
      <c r="B180" s="339" t="s">
        <v>519</v>
      </c>
      <c r="C180" s="340">
        <v>91</v>
      </c>
      <c r="D180" s="339">
        <v>39952</v>
      </c>
      <c r="E180" s="341">
        <v>15</v>
      </c>
      <c r="F180" s="342">
        <v>0</v>
      </c>
      <c r="G180" s="342">
        <v>0</v>
      </c>
      <c r="H180" s="342">
        <v>0</v>
      </c>
      <c r="I180" s="342">
        <v>0</v>
      </c>
      <c r="J180" s="342">
        <v>0</v>
      </c>
      <c r="K180" s="343"/>
      <c r="L180" s="340">
        <v>0</v>
      </c>
    </row>
    <row r="181" spans="1:12" hidden="1">
      <c r="A181" s="334">
        <v>39862</v>
      </c>
      <c r="B181" s="334" t="s">
        <v>520</v>
      </c>
      <c r="C181" s="335">
        <v>27</v>
      </c>
      <c r="D181" s="334">
        <v>39889</v>
      </c>
      <c r="E181" s="338">
        <v>20</v>
      </c>
      <c r="F181" s="336">
        <v>0</v>
      </c>
      <c r="G181" s="336">
        <v>0</v>
      </c>
      <c r="H181" s="336">
        <v>0</v>
      </c>
      <c r="I181" s="336">
        <v>0</v>
      </c>
      <c r="J181" s="336">
        <v>0</v>
      </c>
      <c r="L181" s="335">
        <v>0</v>
      </c>
    </row>
    <row r="182" spans="1:12" hidden="1">
      <c r="A182" s="339">
        <v>39864</v>
      </c>
      <c r="B182" s="339" t="s">
        <v>521</v>
      </c>
      <c r="C182" s="340">
        <v>364</v>
      </c>
      <c r="D182" s="339">
        <v>40228</v>
      </c>
      <c r="E182" s="341">
        <v>10</v>
      </c>
      <c r="F182" s="342">
        <v>1.08</v>
      </c>
      <c r="G182" s="342">
        <v>1.08</v>
      </c>
      <c r="H182" s="342">
        <v>8.9</v>
      </c>
      <c r="I182" s="342">
        <v>8.8999999999999996E-2</v>
      </c>
      <c r="J182" s="342">
        <v>8.9</v>
      </c>
      <c r="K182" s="343"/>
      <c r="L182" s="340">
        <v>1</v>
      </c>
    </row>
    <row r="183" spans="1:12" hidden="1">
      <c r="A183" s="334">
        <v>39864</v>
      </c>
      <c r="B183" s="334" t="s">
        <v>522</v>
      </c>
      <c r="C183" s="335">
        <v>35</v>
      </c>
      <c r="D183" s="334">
        <v>39899</v>
      </c>
      <c r="E183" s="338">
        <v>12</v>
      </c>
      <c r="F183" s="336">
        <v>5.0229999999999997</v>
      </c>
      <c r="G183" s="336">
        <v>5.0229999999999997</v>
      </c>
      <c r="H183" s="336">
        <v>5.35</v>
      </c>
      <c r="I183" s="336">
        <v>5.3499999999999999E-2</v>
      </c>
      <c r="J183" s="336">
        <v>5.35</v>
      </c>
      <c r="L183" s="335">
        <v>1</v>
      </c>
    </row>
    <row r="184" spans="1:12" hidden="1">
      <c r="A184" s="339">
        <v>39868</v>
      </c>
      <c r="B184" s="339" t="s">
        <v>523</v>
      </c>
      <c r="C184" s="340">
        <v>182</v>
      </c>
      <c r="D184" s="339">
        <v>40050</v>
      </c>
      <c r="E184" s="341">
        <v>8</v>
      </c>
      <c r="F184" s="342">
        <v>1.8</v>
      </c>
      <c r="G184" s="342">
        <v>1.8</v>
      </c>
      <c r="H184" s="342">
        <v>6.99</v>
      </c>
      <c r="I184" s="342">
        <v>6.9900000000000004E-2</v>
      </c>
      <c r="J184" s="342">
        <v>6.99</v>
      </c>
      <c r="K184" s="343"/>
      <c r="L184" s="340">
        <v>1</v>
      </c>
    </row>
    <row r="185" spans="1:12" hidden="1">
      <c r="A185" s="334">
        <v>39871</v>
      </c>
      <c r="B185" s="334" t="s">
        <v>524</v>
      </c>
      <c r="C185" s="335">
        <v>728</v>
      </c>
      <c r="D185" s="334">
        <v>40599</v>
      </c>
      <c r="E185" s="338">
        <v>2</v>
      </c>
      <c r="F185" s="336">
        <v>0</v>
      </c>
      <c r="G185" s="336">
        <v>0</v>
      </c>
      <c r="H185" s="336">
        <v>0</v>
      </c>
      <c r="I185" s="336">
        <v>0</v>
      </c>
      <c r="J185" s="336">
        <v>0</v>
      </c>
      <c r="L185" s="335">
        <v>0</v>
      </c>
    </row>
    <row r="186" spans="1:12" hidden="1">
      <c r="A186" s="339">
        <v>39875</v>
      </c>
      <c r="B186" s="339" t="s">
        <v>525</v>
      </c>
      <c r="C186" s="340">
        <v>35</v>
      </c>
      <c r="D186" s="339">
        <v>39910</v>
      </c>
      <c r="E186" s="341">
        <v>18</v>
      </c>
      <c r="F186" s="342"/>
      <c r="G186" s="342">
        <v>0</v>
      </c>
      <c r="H186" s="342">
        <v>0</v>
      </c>
      <c r="I186" s="342">
        <v>0</v>
      </c>
      <c r="J186" s="342">
        <v>0</v>
      </c>
      <c r="K186" s="343"/>
      <c r="L186" s="340">
        <v>0</v>
      </c>
    </row>
    <row r="187" spans="1:12" hidden="1">
      <c r="A187" s="334">
        <v>39878</v>
      </c>
      <c r="B187" s="334" t="s">
        <v>526</v>
      </c>
      <c r="C187" s="335">
        <v>91</v>
      </c>
      <c r="D187" s="334">
        <v>39969</v>
      </c>
      <c r="E187" s="338">
        <v>18</v>
      </c>
      <c r="F187" s="336">
        <v>0</v>
      </c>
      <c r="G187" s="336">
        <v>0</v>
      </c>
      <c r="H187" s="336">
        <v>0</v>
      </c>
      <c r="I187" s="336">
        <v>0</v>
      </c>
      <c r="J187" s="336">
        <v>0</v>
      </c>
      <c r="L187" s="335">
        <v>0</v>
      </c>
    </row>
    <row r="188" spans="1:12" hidden="1">
      <c r="A188" s="339">
        <v>39878</v>
      </c>
      <c r="B188" s="339" t="s">
        <v>527</v>
      </c>
      <c r="C188" s="340">
        <v>364</v>
      </c>
      <c r="D188" s="339">
        <v>40242</v>
      </c>
      <c r="E188" s="341">
        <v>3</v>
      </c>
      <c r="F188" s="342">
        <v>0</v>
      </c>
      <c r="G188" s="342">
        <v>0</v>
      </c>
      <c r="H188" s="342">
        <v>0</v>
      </c>
      <c r="I188" s="342">
        <v>0</v>
      </c>
      <c r="J188" s="342">
        <v>0</v>
      </c>
      <c r="K188" s="343"/>
      <c r="L188" s="340">
        <v>0</v>
      </c>
    </row>
    <row r="189" spans="1:12" hidden="1">
      <c r="A189" s="334">
        <v>39882</v>
      </c>
      <c r="B189" s="334" t="s">
        <v>528</v>
      </c>
      <c r="C189" s="335">
        <v>182</v>
      </c>
      <c r="D189" s="334">
        <v>40064</v>
      </c>
      <c r="E189" s="338">
        <v>7</v>
      </c>
      <c r="F189" s="336">
        <v>3.7784</v>
      </c>
      <c r="G189" s="336">
        <v>3.7784</v>
      </c>
      <c r="H189" s="336">
        <v>6.84</v>
      </c>
      <c r="I189" s="336">
        <v>6.9900000000000004E-2</v>
      </c>
      <c r="J189" s="336">
        <v>6.84</v>
      </c>
      <c r="L189" s="335">
        <v>3</v>
      </c>
    </row>
    <row r="190" spans="1:12" hidden="1">
      <c r="A190" s="339">
        <v>39885</v>
      </c>
      <c r="B190" s="339" t="s">
        <v>529</v>
      </c>
      <c r="C190" s="340">
        <v>728</v>
      </c>
      <c r="D190" s="339">
        <v>40613</v>
      </c>
      <c r="E190" s="341">
        <v>2</v>
      </c>
      <c r="F190" s="342">
        <v>0.5</v>
      </c>
      <c r="G190" s="342">
        <v>0.5</v>
      </c>
      <c r="H190" s="342">
        <v>9.5</v>
      </c>
      <c r="I190" s="342">
        <v>9.5000000000000001E-2</v>
      </c>
      <c r="J190" s="342">
        <v>9.5</v>
      </c>
      <c r="K190" s="343"/>
      <c r="L190" s="340">
        <v>1</v>
      </c>
    </row>
    <row r="191" spans="1:12" hidden="1">
      <c r="A191" s="334">
        <v>39889</v>
      </c>
      <c r="B191" s="334" t="s">
        <v>530</v>
      </c>
      <c r="C191" s="335">
        <v>364</v>
      </c>
      <c r="D191" s="334">
        <v>40253</v>
      </c>
      <c r="E191" s="338">
        <v>2</v>
      </c>
      <c r="F191" s="336">
        <v>0</v>
      </c>
      <c r="G191" s="336">
        <v>0</v>
      </c>
      <c r="H191" s="336">
        <v>0</v>
      </c>
      <c r="I191" s="336">
        <v>0</v>
      </c>
      <c r="J191" s="336">
        <v>0</v>
      </c>
      <c r="L191" s="335">
        <v>0</v>
      </c>
    </row>
    <row r="192" spans="1:12" hidden="1">
      <c r="A192" s="339">
        <v>39889</v>
      </c>
      <c r="B192" s="339" t="s">
        <v>531</v>
      </c>
      <c r="C192" s="340">
        <v>35</v>
      </c>
      <c r="D192" s="339">
        <v>39924</v>
      </c>
      <c r="E192" s="341">
        <v>20</v>
      </c>
      <c r="F192" s="342">
        <v>5.5948000000000002</v>
      </c>
      <c r="G192" s="342">
        <v>5.5948000000000002</v>
      </c>
      <c r="H192" s="342">
        <v>2.97</v>
      </c>
      <c r="I192" s="342">
        <v>3.0300000000000001E-2</v>
      </c>
      <c r="J192" s="342">
        <v>3.0300000000000002</v>
      </c>
      <c r="K192" s="343"/>
      <c r="L192" s="340">
        <v>2</v>
      </c>
    </row>
    <row r="193" spans="1:256" hidden="1">
      <c r="A193" s="334">
        <v>39901</v>
      </c>
      <c r="B193" s="334" t="s">
        <v>532</v>
      </c>
      <c r="C193" s="335">
        <v>91</v>
      </c>
      <c r="D193" s="334">
        <v>39992</v>
      </c>
      <c r="E193" s="338">
        <v>15</v>
      </c>
      <c r="F193" s="336">
        <v>6.0670000000000002</v>
      </c>
      <c r="G193" s="336">
        <v>6.0670000000000002</v>
      </c>
      <c r="H193" s="336">
        <v>5.04</v>
      </c>
      <c r="I193" s="336">
        <v>5.04E-2</v>
      </c>
      <c r="J193" s="336">
        <v>5.04</v>
      </c>
      <c r="L193" s="335">
        <v>1</v>
      </c>
    </row>
    <row r="194" spans="1:256" hidden="1">
      <c r="A194" s="339">
        <v>39901</v>
      </c>
      <c r="B194" s="339" t="s">
        <v>533</v>
      </c>
      <c r="C194" s="340">
        <v>182</v>
      </c>
      <c r="D194" s="339">
        <v>40083</v>
      </c>
      <c r="E194" s="341">
        <v>8</v>
      </c>
      <c r="F194" s="342">
        <v>0</v>
      </c>
      <c r="G194" s="342">
        <v>0</v>
      </c>
      <c r="H194" s="342">
        <v>0</v>
      </c>
      <c r="I194" s="342">
        <v>0</v>
      </c>
      <c r="J194" s="342">
        <v>0</v>
      </c>
      <c r="K194" s="343"/>
      <c r="L194" s="340">
        <v>0</v>
      </c>
    </row>
    <row r="195" spans="1:256" hidden="1">
      <c r="A195" s="334">
        <v>39903</v>
      </c>
      <c r="B195" s="334" t="s">
        <v>534</v>
      </c>
      <c r="C195" s="335">
        <v>728</v>
      </c>
      <c r="D195" s="334">
        <v>40631</v>
      </c>
      <c r="E195" s="338">
        <v>2</v>
      </c>
      <c r="F195" s="336">
        <v>0</v>
      </c>
      <c r="G195" s="336">
        <v>0</v>
      </c>
      <c r="H195" s="336">
        <v>0</v>
      </c>
      <c r="I195" s="336">
        <v>0</v>
      </c>
      <c r="J195" s="336">
        <v>0</v>
      </c>
      <c r="L195" s="335">
        <v>0</v>
      </c>
    </row>
    <row r="196" spans="1:256" hidden="1">
      <c r="A196" s="339">
        <v>39910</v>
      </c>
      <c r="B196" s="339" t="s">
        <v>535</v>
      </c>
      <c r="C196" s="340">
        <v>364</v>
      </c>
      <c r="D196" s="339">
        <v>40274</v>
      </c>
      <c r="E196" s="341">
        <v>3</v>
      </c>
      <c r="F196" s="342">
        <v>3</v>
      </c>
      <c r="G196" s="342">
        <v>3</v>
      </c>
      <c r="H196" s="342">
        <v>8.49</v>
      </c>
      <c r="I196" s="342">
        <v>8.4900000000000003E-2</v>
      </c>
      <c r="J196" s="342">
        <v>8.49</v>
      </c>
      <c r="K196" s="343"/>
      <c r="L196" s="340">
        <v>1</v>
      </c>
    </row>
    <row r="197" spans="1:256" hidden="1">
      <c r="A197" s="334">
        <v>39910</v>
      </c>
      <c r="B197" s="334" t="s">
        <v>536</v>
      </c>
      <c r="C197" s="335">
        <v>35</v>
      </c>
      <c r="D197" s="334">
        <v>39945</v>
      </c>
      <c r="E197" s="338">
        <v>18</v>
      </c>
      <c r="F197" s="336">
        <v>19.170999999999999</v>
      </c>
      <c r="G197" s="336">
        <v>18</v>
      </c>
      <c r="H197" s="336">
        <v>2.5100000000000002</v>
      </c>
      <c r="I197" s="336">
        <v>3.0300000000000001E-2</v>
      </c>
      <c r="J197" s="336">
        <v>2.93</v>
      </c>
      <c r="L197" s="335">
        <v>5</v>
      </c>
    </row>
    <row r="198" spans="1:256" s="351" customFormat="1" hidden="1">
      <c r="A198" s="347">
        <v>39913</v>
      </c>
      <c r="B198" s="347" t="s">
        <v>537</v>
      </c>
      <c r="C198" s="348">
        <v>91</v>
      </c>
      <c r="D198" s="347">
        <v>40004</v>
      </c>
      <c r="E198" s="349">
        <v>18</v>
      </c>
      <c r="F198" s="350">
        <v>7.5999999999999998E-2</v>
      </c>
      <c r="G198" s="350">
        <v>0</v>
      </c>
      <c r="H198" s="350">
        <v>0</v>
      </c>
      <c r="I198" s="350">
        <v>0</v>
      </c>
      <c r="J198" s="350">
        <v>0</v>
      </c>
      <c r="L198" s="348">
        <v>1</v>
      </c>
      <c r="M198" s="323"/>
      <c r="N198" s="323"/>
      <c r="O198" s="323"/>
      <c r="P198" s="323"/>
      <c r="Q198" s="323"/>
      <c r="R198" s="323"/>
      <c r="S198" s="323"/>
      <c r="T198" s="323"/>
      <c r="U198" s="323"/>
      <c r="V198" s="323"/>
      <c r="W198" s="323"/>
      <c r="X198" s="323"/>
      <c r="Y198" s="323"/>
      <c r="Z198" s="323"/>
      <c r="AA198" s="323"/>
      <c r="AB198" s="323"/>
      <c r="AC198" s="323"/>
      <c r="AD198" s="323"/>
      <c r="AE198" s="323"/>
      <c r="AF198" s="323"/>
      <c r="AG198" s="323"/>
      <c r="AH198" s="323"/>
      <c r="AI198" s="323"/>
      <c r="AJ198" s="323"/>
      <c r="AK198" s="323"/>
      <c r="AL198" s="323"/>
      <c r="AM198" s="323"/>
      <c r="AN198" s="323"/>
      <c r="AO198" s="323"/>
      <c r="AP198" s="323"/>
      <c r="AQ198" s="323"/>
      <c r="AR198" s="323"/>
      <c r="AS198" s="323"/>
      <c r="AT198" s="323"/>
      <c r="AU198" s="323"/>
      <c r="AV198" s="323"/>
      <c r="AW198" s="323"/>
      <c r="AX198" s="323"/>
      <c r="AY198" s="323"/>
      <c r="AZ198" s="323"/>
      <c r="BA198" s="323"/>
      <c r="BB198" s="323"/>
      <c r="BC198" s="323"/>
      <c r="BD198" s="323"/>
      <c r="BE198" s="323"/>
      <c r="BF198" s="323"/>
      <c r="BG198" s="323"/>
      <c r="BH198" s="323"/>
      <c r="BI198" s="323"/>
      <c r="BJ198" s="323"/>
      <c r="BK198" s="323"/>
      <c r="BL198" s="323"/>
      <c r="BM198" s="323"/>
      <c r="BN198" s="323"/>
      <c r="BO198" s="323"/>
      <c r="BP198" s="323"/>
      <c r="BQ198" s="323"/>
      <c r="BR198" s="323"/>
      <c r="BS198" s="323"/>
      <c r="BT198" s="323"/>
      <c r="BU198" s="323"/>
      <c r="BV198" s="323"/>
      <c r="BW198" s="323"/>
      <c r="BX198" s="323"/>
      <c r="BY198" s="323"/>
      <c r="BZ198" s="323"/>
      <c r="CA198" s="323"/>
      <c r="CB198" s="323"/>
      <c r="CC198" s="323"/>
      <c r="CD198" s="323"/>
      <c r="CE198" s="323"/>
      <c r="CF198" s="323"/>
      <c r="CG198" s="323"/>
      <c r="CH198" s="323"/>
      <c r="CI198" s="323"/>
      <c r="CJ198" s="323"/>
      <c r="CK198" s="323"/>
      <c r="CL198" s="323"/>
      <c r="CM198" s="323"/>
      <c r="CN198" s="323"/>
      <c r="CO198" s="323"/>
      <c r="CP198" s="323"/>
      <c r="CQ198" s="323"/>
      <c r="CR198" s="323"/>
      <c r="CS198" s="323"/>
      <c r="CT198" s="323"/>
      <c r="CU198" s="323"/>
      <c r="CV198" s="323"/>
      <c r="CW198" s="323"/>
      <c r="CX198" s="323"/>
      <c r="CY198" s="323"/>
      <c r="CZ198" s="323"/>
      <c r="DA198" s="323"/>
      <c r="DB198" s="323"/>
      <c r="DC198" s="323"/>
      <c r="DD198" s="323"/>
      <c r="DE198" s="323"/>
      <c r="DF198" s="323"/>
      <c r="DG198" s="323"/>
      <c r="DH198" s="323"/>
      <c r="DI198" s="323"/>
      <c r="DJ198" s="323"/>
      <c r="DK198" s="323"/>
      <c r="DL198" s="323"/>
      <c r="DM198" s="323"/>
      <c r="DN198" s="323"/>
      <c r="DO198" s="323"/>
      <c r="DP198" s="323"/>
      <c r="DQ198" s="323"/>
      <c r="DR198" s="323"/>
      <c r="DS198" s="323"/>
      <c r="DT198" s="323"/>
      <c r="DU198" s="323"/>
      <c r="DV198" s="323"/>
      <c r="DW198" s="323"/>
      <c r="DX198" s="323"/>
      <c r="DY198" s="323"/>
      <c r="DZ198" s="323"/>
      <c r="EA198" s="323"/>
      <c r="EB198" s="323"/>
      <c r="EC198" s="323"/>
      <c r="ED198" s="323"/>
      <c r="EE198" s="323"/>
      <c r="EF198" s="323"/>
      <c r="EG198" s="323"/>
      <c r="EH198" s="323"/>
      <c r="EI198" s="323"/>
      <c r="EJ198" s="323"/>
      <c r="EK198" s="323"/>
      <c r="EL198" s="323"/>
      <c r="EM198" s="323"/>
      <c r="EN198" s="323"/>
      <c r="EO198" s="323"/>
      <c r="EP198" s="323"/>
      <c r="EQ198" s="323"/>
      <c r="ER198" s="323"/>
      <c r="ES198" s="323"/>
      <c r="ET198" s="323"/>
      <c r="EU198" s="323"/>
      <c r="EV198" s="323"/>
      <c r="EW198" s="323"/>
      <c r="EX198" s="323"/>
      <c r="EY198" s="323"/>
      <c r="EZ198" s="323"/>
      <c r="FA198" s="323"/>
      <c r="FB198" s="323"/>
      <c r="FC198" s="323"/>
      <c r="FD198" s="323"/>
      <c r="FE198" s="323"/>
      <c r="FF198" s="323"/>
      <c r="FG198" s="323"/>
      <c r="FH198" s="323"/>
      <c r="FI198" s="323"/>
      <c r="FJ198" s="323"/>
      <c r="FK198" s="323"/>
      <c r="FL198" s="323"/>
      <c r="FM198" s="323"/>
      <c r="FN198" s="323"/>
      <c r="FO198" s="323"/>
      <c r="FP198" s="323"/>
      <c r="FQ198" s="323"/>
      <c r="FR198" s="323"/>
      <c r="FS198" s="323"/>
      <c r="FT198" s="323"/>
      <c r="FU198" s="323"/>
      <c r="FV198" s="323"/>
      <c r="FW198" s="323"/>
      <c r="FX198" s="323"/>
      <c r="FY198" s="323"/>
      <c r="FZ198" s="323"/>
      <c r="GA198" s="323"/>
      <c r="GB198" s="323"/>
      <c r="GC198" s="323"/>
      <c r="GD198" s="323"/>
      <c r="GE198" s="323"/>
      <c r="GF198" s="323"/>
      <c r="GG198" s="323"/>
      <c r="GH198" s="323"/>
      <c r="GI198" s="323"/>
      <c r="GJ198" s="323"/>
      <c r="GK198" s="323"/>
      <c r="GL198" s="323"/>
      <c r="GM198" s="323"/>
      <c r="GN198" s="323"/>
      <c r="GO198" s="323"/>
      <c r="GP198" s="323"/>
      <c r="GQ198" s="323"/>
      <c r="GR198" s="323"/>
      <c r="GS198" s="323"/>
      <c r="GT198" s="323"/>
      <c r="GU198" s="323"/>
      <c r="GV198" s="323"/>
      <c r="GW198" s="323"/>
      <c r="GX198" s="323"/>
      <c r="GY198" s="323"/>
      <c r="GZ198" s="323"/>
      <c r="HA198" s="323"/>
      <c r="HB198" s="323"/>
      <c r="HC198" s="323"/>
      <c r="HD198" s="323"/>
      <c r="HE198" s="323"/>
      <c r="HF198" s="323"/>
      <c r="HG198" s="323"/>
      <c r="HH198" s="323"/>
      <c r="HI198" s="323"/>
      <c r="HJ198" s="323"/>
      <c r="HK198" s="323"/>
      <c r="HL198" s="323"/>
      <c r="HM198" s="323"/>
      <c r="HN198" s="323"/>
      <c r="HO198" s="323"/>
      <c r="HP198" s="323"/>
      <c r="HQ198" s="323"/>
      <c r="HR198" s="323"/>
      <c r="HS198" s="323"/>
      <c r="HT198" s="323"/>
      <c r="HU198" s="323"/>
      <c r="HV198" s="323"/>
      <c r="HW198" s="323"/>
      <c r="HX198" s="323"/>
      <c r="HY198" s="323"/>
      <c r="HZ198" s="323"/>
      <c r="IA198" s="323"/>
      <c r="IB198" s="323"/>
      <c r="IC198" s="323"/>
      <c r="ID198" s="323"/>
      <c r="IE198" s="323"/>
      <c r="IF198" s="323"/>
      <c r="IG198" s="323"/>
      <c r="IH198" s="323"/>
      <c r="II198" s="323"/>
      <c r="IJ198" s="323"/>
      <c r="IK198" s="323"/>
      <c r="IL198" s="323"/>
      <c r="IM198" s="323"/>
      <c r="IN198" s="323"/>
      <c r="IO198" s="323"/>
      <c r="IP198" s="323"/>
      <c r="IQ198" s="323"/>
      <c r="IR198" s="323"/>
      <c r="IS198" s="323"/>
      <c r="IT198" s="323"/>
      <c r="IU198" s="323"/>
      <c r="IV198" s="323"/>
    </row>
    <row r="199" spans="1:256" hidden="1">
      <c r="A199" s="334">
        <v>39917</v>
      </c>
      <c r="B199" s="334" t="s">
        <v>538</v>
      </c>
      <c r="C199" s="335">
        <v>182</v>
      </c>
      <c r="D199" s="334">
        <v>40099</v>
      </c>
      <c r="E199" s="338">
        <v>7</v>
      </c>
      <c r="F199" s="336">
        <v>2.5324</v>
      </c>
      <c r="G199" s="336">
        <v>2.5324</v>
      </c>
      <c r="H199" s="336">
        <v>6.99</v>
      </c>
      <c r="I199" s="336">
        <v>6.9900000000000004E-2</v>
      </c>
      <c r="J199" s="336">
        <v>6.99</v>
      </c>
      <c r="L199" s="335">
        <v>2</v>
      </c>
    </row>
    <row r="200" spans="1:256" s="351" customFormat="1" hidden="1">
      <c r="A200" s="347">
        <v>39920</v>
      </c>
      <c r="B200" s="347" t="s">
        <v>539</v>
      </c>
      <c r="C200" s="348">
        <v>1092</v>
      </c>
      <c r="D200" s="347">
        <v>41012</v>
      </c>
      <c r="E200" s="349">
        <v>2</v>
      </c>
      <c r="F200" s="350">
        <v>0</v>
      </c>
      <c r="G200" s="350">
        <v>0</v>
      </c>
      <c r="H200" s="350">
        <v>0</v>
      </c>
      <c r="I200" s="350">
        <v>0</v>
      </c>
      <c r="J200" s="350">
        <v>0</v>
      </c>
      <c r="L200" s="348">
        <v>0</v>
      </c>
      <c r="M200" s="323"/>
      <c r="N200" s="323"/>
      <c r="O200" s="323"/>
      <c r="P200" s="323"/>
      <c r="Q200" s="323"/>
      <c r="R200" s="323"/>
      <c r="S200" s="323"/>
      <c r="T200" s="323"/>
      <c r="U200" s="323"/>
      <c r="V200" s="323"/>
      <c r="W200" s="323"/>
      <c r="X200" s="323"/>
      <c r="Y200" s="323"/>
      <c r="Z200" s="323"/>
      <c r="AA200" s="323"/>
      <c r="AB200" s="323"/>
      <c r="AC200" s="323"/>
      <c r="AD200" s="323"/>
      <c r="AE200" s="323"/>
      <c r="AF200" s="323"/>
      <c r="AG200" s="323"/>
      <c r="AH200" s="323"/>
      <c r="AI200" s="323"/>
      <c r="AJ200" s="323"/>
      <c r="AK200" s="323"/>
      <c r="AL200" s="323"/>
      <c r="AM200" s="323"/>
      <c r="AN200" s="323"/>
      <c r="AO200" s="323"/>
      <c r="AP200" s="323"/>
      <c r="AQ200" s="323"/>
      <c r="AR200" s="323"/>
      <c r="AS200" s="323"/>
      <c r="AT200" s="323"/>
      <c r="AU200" s="323"/>
      <c r="AV200" s="323"/>
      <c r="AW200" s="323"/>
      <c r="AX200" s="323"/>
      <c r="AY200" s="323"/>
      <c r="AZ200" s="323"/>
      <c r="BA200" s="323"/>
      <c r="BB200" s="323"/>
      <c r="BC200" s="323"/>
      <c r="BD200" s="323"/>
      <c r="BE200" s="323"/>
      <c r="BF200" s="323"/>
      <c r="BG200" s="323"/>
      <c r="BH200" s="323"/>
      <c r="BI200" s="323"/>
      <c r="BJ200" s="323"/>
      <c r="BK200" s="323"/>
      <c r="BL200" s="323"/>
      <c r="BM200" s="323"/>
      <c r="BN200" s="323"/>
      <c r="BO200" s="323"/>
      <c r="BP200" s="323"/>
      <c r="BQ200" s="323"/>
      <c r="BR200" s="323"/>
      <c r="BS200" s="323"/>
      <c r="BT200" s="323"/>
      <c r="BU200" s="323"/>
      <c r="BV200" s="323"/>
      <c r="BW200" s="323"/>
      <c r="BX200" s="323"/>
      <c r="BY200" s="323"/>
      <c r="BZ200" s="323"/>
      <c r="CA200" s="323"/>
      <c r="CB200" s="323"/>
      <c r="CC200" s="323"/>
      <c r="CD200" s="323"/>
      <c r="CE200" s="323"/>
      <c r="CF200" s="323"/>
      <c r="CG200" s="323"/>
      <c r="CH200" s="323"/>
      <c r="CI200" s="323"/>
      <c r="CJ200" s="323"/>
      <c r="CK200" s="323"/>
      <c r="CL200" s="323"/>
      <c r="CM200" s="323"/>
      <c r="CN200" s="323"/>
      <c r="CO200" s="323"/>
      <c r="CP200" s="323"/>
      <c r="CQ200" s="323"/>
      <c r="CR200" s="323"/>
      <c r="CS200" s="323"/>
      <c r="CT200" s="323"/>
      <c r="CU200" s="323"/>
      <c r="CV200" s="323"/>
      <c r="CW200" s="323"/>
      <c r="CX200" s="323"/>
      <c r="CY200" s="323"/>
      <c r="CZ200" s="323"/>
      <c r="DA200" s="323"/>
      <c r="DB200" s="323"/>
      <c r="DC200" s="323"/>
      <c r="DD200" s="323"/>
      <c r="DE200" s="323"/>
      <c r="DF200" s="323"/>
      <c r="DG200" s="323"/>
      <c r="DH200" s="323"/>
      <c r="DI200" s="323"/>
      <c r="DJ200" s="323"/>
      <c r="DK200" s="323"/>
      <c r="DL200" s="323"/>
      <c r="DM200" s="323"/>
      <c r="DN200" s="323"/>
      <c r="DO200" s="323"/>
      <c r="DP200" s="323"/>
      <c r="DQ200" s="323"/>
      <c r="DR200" s="323"/>
      <c r="DS200" s="323"/>
      <c r="DT200" s="323"/>
      <c r="DU200" s="323"/>
      <c r="DV200" s="323"/>
      <c r="DW200" s="323"/>
      <c r="DX200" s="323"/>
      <c r="DY200" s="323"/>
      <c r="DZ200" s="323"/>
      <c r="EA200" s="323"/>
      <c r="EB200" s="323"/>
      <c r="EC200" s="323"/>
      <c r="ED200" s="323"/>
      <c r="EE200" s="323"/>
      <c r="EF200" s="323"/>
      <c r="EG200" s="323"/>
      <c r="EH200" s="323"/>
      <c r="EI200" s="323"/>
      <c r="EJ200" s="323"/>
      <c r="EK200" s="323"/>
      <c r="EL200" s="323"/>
      <c r="EM200" s="323"/>
      <c r="EN200" s="323"/>
      <c r="EO200" s="323"/>
      <c r="EP200" s="323"/>
      <c r="EQ200" s="323"/>
      <c r="ER200" s="323"/>
      <c r="ES200" s="323"/>
      <c r="ET200" s="323"/>
      <c r="EU200" s="323"/>
      <c r="EV200" s="323"/>
      <c r="EW200" s="323"/>
      <c r="EX200" s="323"/>
      <c r="EY200" s="323"/>
      <c r="EZ200" s="323"/>
      <c r="FA200" s="323"/>
      <c r="FB200" s="323"/>
      <c r="FC200" s="323"/>
      <c r="FD200" s="323"/>
      <c r="FE200" s="323"/>
      <c r="FF200" s="323"/>
      <c r="FG200" s="323"/>
      <c r="FH200" s="323"/>
      <c r="FI200" s="323"/>
      <c r="FJ200" s="323"/>
      <c r="FK200" s="323"/>
      <c r="FL200" s="323"/>
      <c r="FM200" s="323"/>
      <c r="FN200" s="323"/>
      <c r="FO200" s="323"/>
      <c r="FP200" s="323"/>
      <c r="FQ200" s="323"/>
      <c r="FR200" s="323"/>
      <c r="FS200" s="323"/>
      <c r="FT200" s="323"/>
      <c r="FU200" s="323"/>
      <c r="FV200" s="323"/>
      <c r="FW200" s="323"/>
      <c r="FX200" s="323"/>
      <c r="FY200" s="323"/>
      <c r="FZ200" s="323"/>
      <c r="GA200" s="323"/>
      <c r="GB200" s="323"/>
      <c r="GC200" s="323"/>
      <c r="GD200" s="323"/>
      <c r="GE200" s="323"/>
      <c r="GF200" s="323"/>
      <c r="GG200" s="323"/>
      <c r="GH200" s="323"/>
      <c r="GI200" s="323"/>
      <c r="GJ200" s="323"/>
      <c r="GK200" s="323"/>
      <c r="GL200" s="323"/>
      <c r="GM200" s="323"/>
      <c r="GN200" s="323"/>
      <c r="GO200" s="323"/>
      <c r="GP200" s="323"/>
      <c r="GQ200" s="323"/>
      <c r="GR200" s="323"/>
      <c r="GS200" s="323"/>
      <c r="GT200" s="323"/>
      <c r="GU200" s="323"/>
      <c r="GV200" s="323"/>
      <c r="GW200" s="323"/>
      <c r="GX200" s="323"/>
      <c r="GY200" s="323"/>
      <c r="GZ200" s="323"/>
      <c r="HA200" s="323"/>
      <c r="HB200" s="323"/>
      <c r="HC200" s="323"/>
      <c r="HD200" s="323"/>
      <c r="HE200" s="323"/>
      <c r="HF200" s="323"/>
      <c r="HG200" s="323"/>
      <c r="HH200" s="323"/>
      <c r="HI200" s="323"/>
      <c r="HJ200" s="323"/>
      <c r="HK200" s="323"/>
      <c r="HL200" s="323"/>
      <c r="HM200" s="323"/>
      <c r="HN200" s="323"/>
      <c r="HO200" s="323"/>
      <c r="HP200" s="323"/>
      <c r="HQ200" s="323"/>
      <c r="HR200" s="323"/>
      <c r="HS200" s="323"/>
      <c r="HT200" s="323"/>
      <c r="HU200" s="323"/>
      <c r="HV200" s="323"/>
      <c r="HW200" s="323"/>
      <c r="HX200" s="323"/>
      <c r="HY200" s="323"/>
      <c r="HZ200" s="323"/>
      <c r="IA200" s="323"/>
      <c r="IB200" s="323"/>
      <c r="IC200" s="323"/>
      <c r="ID200" s="323"/>
      <c r="IE200" s="323"/>
      <c r="IF200" s="323"/>
      <c r="IG200" s="323"/>
      <c r="IH200" s="323"/>
      <c r="II200" s="323"/>
      <c r="IJ200" s="323"/>
      <c r="IK200" s="323"/>
      <c r="IL200" s="323"/>
      <c r="IM200" s="323"/>
      <c r="IN200" s="323"/>
      <c r="IO200" s="323"/>
      <c r="IP200" s="323"/>
      <c r="IQ200" s="323"/>
      <c r="IR200" s="323"/>
      <c r="IS200" s="323"/>
      <c r="IT200" s="323"/>
      <c r="IU200" s="323"/>
      <c r="IV200" s="323"/>
    </row>
    <row r="201" spans="1:256" hidden="1">
      <c r="A201" s="334">
        <v>39924</v>
      </c>
      <c r="B201" s="334" t="s">
        <v>540</v>
      </c>
      <c r="C201" s="335">
        <v>35</v>
      </c>
      <c r="D201" s="334">
        <v>39959</v>
      </c>
      <c r="E201" s="338">
        <v>20</v>
      </c>
      <c r="F201" s="336">
        <v>12.866</v>
      </c>
      <c r="G201" s="336">
        <v>12.866</v>
      </c>
      <c r="H201" s="336">
        <v>2.93</v>
      </c>
      <c r="I201" s="336">
        <v>3.9800000000000002E-2</v>
      </c>
      <c r="J201" s="336">
        <v>2.93</v>
      </c>
      <c r="L201" s="335">
        <v>4</v>
      </c>
    </row>
    <row r="202" spans="1:256" s="351" customFormat="1" hidden="1">
      <c r="A202" s="347">
        <v>39924</v>
      </c>
      <c r="B202" s="347" t="s">
        <v>541</v>
      </c>
      <c r="C202" s="348">
        <v>364</v>
      </c>
      <c r="D202" s="347">
        <v>40288</v>
      </c>
      <c r="E202" s="349">
        <v>2</v>
      </c>
      <c r="F202" s="350">
        <v>1.3058000000000001</v>
      </c>
      <c r="G202" s="350">
        <v>1.3058000000000001</v>
      </c>
      <c r="H202" s="350">
        <v>8.49</v>
      </c>
      <c r="I202" s="350">
        <v>8.4900000000000003E-2</v>
      </c>
      <c r="J202" s="350">
        <v>8.49</v>
      </c>
      <c r="L202" s="348">
        <v>1</v>
      </c>
      <c r="M202" s="323"/>
      <c r="N202" s="323"/>
      <c r="O202" s="323"/>
      <c r="P202" s="323"/>
      <c r="Q202" s="323"/>
      <c r="R202" s="323"/>
      <c r="S202" s="323"/>
      <c r="T202" s="323"/>
      <c r="U202" s="323"/>
      <c r="V202" s="323"/>
      <c r="W202" s="323"/>
      <c r="X202" s="323"/>
      <c r="Y202" s="323"/>
      <c r="Z202" s="323"/>
      <c r="AA202" s="323"/>
      <c r="AB202" s="323"/>
      <c r="AC202" s="323"/>
      <c r="AD202" s="323"/>
      <c r="AE202" s="323"/>
      <c r="AF202" s="323"/>
      <c r="AG202" s="323"/>
      <c r="AH202" s="323"/>
      <c r="AI202" s="323"/>
      <c r="AJ202" s="323"/>
      <c r="AK202" s="323"/>
      <c r="AL202" s="323"/>
      <c r="AM202" s="323"/>
      <c r="AN202" s="323"/>
      <c r="AO202" s="323"/>
      <c r="AP202" s="323"/>
      <c r="AQ202" s="323"/>
      <c r="AR202" s="323"/>
      <c r="AS202" s="323"/>
      <c r="AT202" s="323"/>
      <c r="AU202" s="323"/>
      <c r="AV202" s="323"/>
      <c r="AW202" s="323"/>
      <c r="AX202" s="323"/>
      <c r="AY202" s="323"/>
      <c r="AZ202" s="323"/>
      <c r="BA202" s="323"/>
      <c r="BB202" s="323"/>
      <c r="BC202" s="323"/>
      <c r="BD202" s="323"/>
      <c r="BE202" s="323"/>
      <c r="BF202" s="323"/>
      <c r="BG202" s="323"/>
      <c r="BH202" s="323"/>
      <c r="BI202" s="323"/>
      <c r="BJ202" s="323"/>
      <c r="BK202" s="323"/>
      <c r="BL202" s="323"/>
      <c r="BM202" s="323"/>
      <c r="BN202" s="323"/>
      <c r="BO202" s="323"/>
      <c r="BP202" s="323"/>
      <c r="BQ202" s="323"/>
      <c r="BR202" s="323"/>
      <c r="BS202" s="323"/>
      <c r="BT202" s="323"/>
      <c r="BU202" s="323"/>
      <c r="BV202" s="323"/>
      <c r="BW202" s="323"/>
      <c r="BX202" s="323"/>
      <c r="BY202" s="323"/>
      <c r="BZ202" s="323"/>
      <c r="CA202" s="323"/>
      <c r="CB202" s="323"/>
      <c r="CC202" s="323"/>
      <c r="CD202" s="323"/>
      <c r="CE202" s="323"/>
      <c r="CF202" s="323"/>
      <c r="CG202" s="323"/>
      <c r="CH202" s="323"/>
      <c r="CI202" s="323"/>
      <c r="CJ202" s="323"/>
      <c r="CK202" s="323"/>
      <c r="CL202" s="323"/>
      <c r="CM202" s="323"/>
      <c r="CN202" s="323"/>
      <c r="CO202" s="323"/>
      <c r="CP202" s="323"/>
      <c r="CQ202" s="323"/>
      <c r="CR202" s="323"/>
      <c r="CS202" s="323"/>
      <c r="CT202" s="323"/>
      <c r="CU202" s="323"/>
      <c r="CV202" s="323"/>
      <c r="CW202" s="323"/>
      <c r="CX202" s="323"/>
      <c r="CY202" s="323"/>
      <c r="CZ202" s="323"/>
      <c r="DA202" s="323"/>
      <c r="DB202" s="323"/>
      <c r="DC202" s="323"/>
      <c r="DD202" s="323"/>
      <c r="DE202" s="323"/>
      <c r="DF202" s="323"/>
      <c r="DG202" s="323"/>
      <c r="DH202" s="323"/>
      <c r="DI202" s="323"/>
      <c r="DJ202" s="323"/>
      <c r="DK202" s="323"/>
      <c r="DL202" s="323"/>
      <c r="DM202" s="323"/>
      <c r="DN202" s="323"/>
      <c r="DO202" s="323"/>
      <c r="DP202" s="323"/>
      <c r="DQ202" s="323"/>
      <c r="DR202" s="323"/>
      <c r="DS202" s="323"/>
      <c r="DT202" s="323"/>
      <c r="DU202" s="323"/>
      <c r="DV202" s="323"/>
      <c r="DW202" s="323"/>
      <c r="DX202" s="323"/>
      <c r="DY202" s="323"/>
      <c r="DZ202" s="323"/>
      <c r="EA202" s="323"/>
      <c r="EB202" s="323"/>
      <c r="EC202" s="323"/>
      <c r="ED202" s="323"/>
      <c r="EE202" s="323"/>
      <c r="EF202" s="323"/>
      <c r="EG202" s="323"/>
      <c r="EH202" s="323"/>
      <c r="EI202" s="323"/>
      <c r="EJ202" s="323"/>
      <c r="EK202" s="323"/>
      <c r="EL202" s="323"/>
      <c r="EM202" s="323"/>
      <c r="EN202" s="323"/>
      <c r="EO202" s="323"/>
      <c r="EP202" s="323"/>
      <c r="EQ202" s="323"/>
      <c r="ER202" s="323"/>
      <c r="ES202" s="323"/>
      <c r="ET202" s="323"/>
      <c r="EU202" s="323"/>
      <c r="EV202" s="323"/>
      <c r="EW202" s="323"/>
      <c r="EX202" s="323"/>
      <c r="EY202" s="323"/>
      <c r="EZ202" s="323"/>
      <c r="FA202" s="323"/>
      <c r="FB202" s="323"/>
      <c r="FC202" s="323"/>
      <c r="FD202" s="323"/>
      <c r="FE202" s="323"/>
      <c r="FF202" s="323"/>
      <c r="FG202" s="323"/>
      <c r="FH202" s="323"/>
      <c r="FI202" s="323"/>
      <c r="FJ202" s="323"/>
      <c r="FK202" s="323"/>
      <c r="FL202" s="323"/>
      <c r="FM202" s="323"/>
      <c r="FN202" s="323"/>
      <c r="FO202" s="323"/>
      <c r="FP202" s="323"/>
      <c r="FQ202" s="323"/>
      <c r="FR202" s="323"/>
      <c r="FS202" s="323"/>
      <c r="FT202" s="323"/>
      <c r="FU202" s="323"/>
      <c r="FV202" s="323"/>
      <c r="FW202" s="323"/>
      <c r="FX202" s="323"/>
      <c r="FY202" s="323"/>
      <c r="FZ202" s="323"/>
      <c r="GA202" s="323"/>
      <c r="GB202" s="323"/>
      <c r="GC202" s="323"/>
      <c r="GD202" s="323"/>
      <c r="GE202" s="323"/>
      <c r="GF202" s="323"/>
      <c r="GG202" s="323"/>
      <c r="GH202" s="323"/>
      <c r="GI202" s="323"/>
      <c r="GJ202" s="323"/>
      <c r="GK202" s="323"/>
      <c r="GL202" s="323"/>
      <c r="GM202" s="323"/>
      <c r="GN202" s="323"/>
      <c r="GO202" s="323"/>
      <c r="GP202" s="323"/>
      <c r="GQ202" s="323"/>
      <c r="GR202" s="323"/>
      <c r="GS202" s="323"/>
      <c r="GT202" s="323"/>
      <c r="GU202" s="323"/>
      <c r="GV202" s="323"/>
      <c r="GW202" s="323"/>
      <c r="GX202" s="323"/>
      <c r="GY202" s="323"/>
      <c r="GZ202" s="323"/>
      <c r="HA202" s="323"/>
      <c r="HB202" s="323"/>
      <c r="HC202" s="323"/>
      <c r="HD202" s="323"/>
      <c r="HE202" s="323"/>
      <c r="HF202" s="323"/>
      <c r="HG202" s="323"/>
      <c r="HH202" s="323"/>
      <c r="HI202" s="323"/>
      <c r="HJ202" s="323"/>
      <c r="HK202" s="323"/>
      <c r="HL202" s="323"/>
      <c r="HM202" s="323"/>
      <c r="HN202" s="323"/>
      <c r="HO202" s="323"/>
      <c r="HP202" s="323"/>
      <c r="HQ202" s="323"/>
      <c r="HR202" s="323"/>
      <c r="HS202" s="323"/>
      <c r="HT202" s="323"/>
      <c r="HU202" s="323"/>
      <c r="HV202" s="323"/>
      <c r="HW202" s="323"/>
      <c r="HX202" s="323"/>
      <c r="HY202" s="323"/>
      <c r="HZ202" s="323"/>
      <c r="IA202" s="323"/>
      <c r="IB202" s="323"/>
      <c r="IC202" s="323"/>
      <c r="ID202" s="323"/>
      <c r="IE202" s="323"/>
      <c r="IF202" s="323"/>
      <c r="IG202" s="323"/>
      <c r="IH202" s="323"/>
      <c r="II202" s="323"/>
      <c r="IJ202" s="323"/>
      <c r="IK202" s="323"/>
      <c r="IL202" s="323"/>
      <c r="IM202" s="323"/>
      <c r="IN202" s="323"/>
      <c r="IO202" s="323"/>
      <c r="IP202" s="323"/>
      <c r="IQ202" s="323"/>
      <c r="IR202" s="323"/>
      <c r="IS202" s="323"/>
      <c r="IT202" s="323"/>
      <c r="IU202" s="323"/>
      <c r="IV202" s="323"/>
    </row>
    <row r="203" spans="1:256" hidden="1">
      <c r="A203" s="334">
        <v>39927</v>
      </c>
      <c r="B203" s="334" t="s">
        <v>542</v>
      </c>
      <c r="C203" s="335">
        <v>91</v>
      </c>
      <c r="D203" s="334">
        <v>40018</v>
      </c>
      <c r="E203" s="338">
        <v>15</v>
      </c>
      <c r="F203" s="336">
        <v>3.4041999999999999</v>
      </c>
      <c r="G203" s="336">
        <v>3.4041999999999999</v>
      </c>
      <c r="H203" s="336">
        <v>4.99</v>
      </c>
      <c r="I203" s="336">
        <v>6.0299999999999999E-2</v>
      </c>
      <c r="J203" s="336">
        <v>5.94</v>
      </c>
      <c r="L203" s="335">
        <v>5</v>
      </c>
    </row>
    <row r="204" spans="1:256" s="351" customFormat="1" hidden="1">
      <c r="A204" s="347">
        <v>39931</v>
      </c>
      <c r="B204" s="347" t="s">
        <v>543</v>
      </c>
      <c r="C204" s="348">
        <v>182</v>
      </c>
      <c r="D204" s="347">
        <v>40113</v>
      </c>
      <c r="E204" s="349">
        <v>8</v>
      </c>
      <c r="F204" s="350">
        <v>5.1609999999999996</v>
      </c>
      <c r="G204" s="350">
        <v>5.1609999999999996</v>
      </c>
      <c r="H204" s="350">
        <v>6.99</v>
      </c>
      <c r="I204" s="350">
        <v>6.9900000000000004E-2</v>
      </c>
      <c r="J204" s="350">
        <v>6.99</v>
      </c>
      <c r="L204" s="348">
        <v>1</v>
      </c>
      <c r="M204" s="323"/>
      <c r="N204" s="323"/>
      <c r="O204" s="323"/>
      <c r="P204" s="323"/>
      <c r="Q204" s="323"/>
      <c r="R204" s="323"/>
      <c r="S204" s="323"/>
      <c r="T204" s="323"/>
      <c r="U204" s="323"/>
      <c r="V204" s="323"/>
      <c r="W204" s="323"/>
      <c r="X204" s="323"/>
      <c r="Y204" s="323"/>
      <c r="Z204" s="323"/>
      <c r="AA204" s="323"/>
      <c r="AB204" s="323"/>
      <c r="AC204" s="323"/>
      <c r="AD204" s="323"/>
      <c r="AE204" s="323"/>
      <c r="AF204" s="323"/>
      <c r="AG204" s="323"/>
      <c r="AH204" s="323"/>
      <c r="AI204" s="323"/>
      <c r="AJ204" s="323"/>
      <c r="AK204" s="323"/>
      <c r="AL204" s="323"/>
      <c r="AM204" s="323"/>
      <c r="AN204" s="323"/>
      <c r="AO204" s="323"/>
      <c r="AP204" s="323"/>
      <c r="AQ204" s="323"/>
      <c r="AR204" s="323"/>
      <c r="AS204" s="323"/>
      <c r="AT204" s="323"/>
      <c r="AU204" s="323"/>
      <c r="AV204" s="323"/>
      <c r="AW204" s="323"/>
      <c r="AX204" s="323"/>
      <c r="AY204" s="323"/>
      <c r="AZ204" s="323"/>
      <c r="BA204" s="323"/>
      <c r="BB204" s="323"/>
      <c r="BC204" s="323"/>
      <c r="BD204" s="323"/>
      <c r="BE204" s="323"/>
      <c r="BF204" s="323"/>
      <c r="BG204" s="323"/>
      <c r="BH204" s="323"/>
      <c r="BI204" s="323"/>
      <c r="BJ204" s="323"/>
      <c r="BK204" s="323"/>
      <c r="BL204" s="323"/>
      <c r="BM204" s="323"/>
      <c r="BN204" s="323"/>
      <c r="BO204" s="323"/>
      <c r="BP204" s="323"/>
      <c r="BQ204" s="323"/>
      <c r="BR204" s="323"/>
      <c r="BS204" s="323"/>
      <c r="BT204" s="323"/>
      <c r="BU204" s="323"/>
      <c r="BV204" s="323"/>
      <c r="BW204" s="323"/>
      <c r="BX204" s="323"/>
      <c r="BY204" s="323"/>
      <c r="BZ204" s="323"/>
      <c r="CA204" s="323"/>
      <c r="CB204" s="323"/>
      <c r="CC204" s="323"/>
      <c r="CD204" s="323"/>
      <c r="CE204" s="323"/>
      <c r="CF204" s="323"/>
      <c r="CG204" s="323"/>
      <c r="CH204" s="323"/>
      <c r="CI204" s="323"/>
      <c r="CJ204" s="323"/>
      <c r="CK204" s="323"/>
      <c r="CL204" s="323"/>
      <c r="CM204" s="323"/>
      <c r="CN204" s="323"/>
      <c r="CO204" s="323"/>
      <c r="CP204" s="323"/>
      <c r="CQ204" s="323"/>
      <c r="CR204" s="323"/>
      <c r="CS204" s="323"/>
      <c r="CT204" s="323"/>
      <c r="CU204" s="323"/>
      <c r="CV204" s="323"/>
      <c r="CW204" s="323"/>
      <c r="CX204" s="323"/>
      <c r="CY204" s="323"/>
      <c r="CZ204" s="323"/>
      <c r="DA204" s="323"/>
      <c r="DB204" s="323"/>
      <c r="DC204" s="323"/>
      <c r="DD204" s="323"/>
      <c r="DE204" s="323"/>
      <c r="DF204" s="323"/>
      <c r="DG204" s="323"/>
      <c r="DH204" s="323"/>
      <c r="DI204" s="323"/>
      <c r="DJ204" s="323"/>
      <c r="DK204" s="323"/>
      <c r="DL204" s="323"/>
      <c r="DM204" s="323"/>
      <c r="DN204" s="323"/>
      <c r="DO204" s="323"/>
      <c r="DP204" s="323"/>
      <c r="DQ204" s="323"/>
      <c r="DR204" s="323"/>
      <c r="DS204" s="323"/>
      <c r="DT204" s="323"/>
      <c r="DU204" s="323"/>
      <c r="DV204" s="323"/>
      <c r="DW204" s="323"/>
      <c r="DX204" s="323"/>
      <c r="DY204" s="323"/>
      <c r="DZ204" s="323"/>
      <c r="EA204" s="323"/>
      <c r="EB204" s="323"/>
      <c r="EC204" s="323"/>
      <c r="ED204" s="323"/>
      <c r="EE204" s="323"/>
      <c r="EF204" s="323"/>
      <c r="EG204" s="323"/>
      <c r="EH204" s="323"/>
      <c r="EI204" s="323"/>
      <c r="EJ204" s="323"/>
      <c r="EK204" s="323"/>
      <c r="EL204" s="323"/>
      <c r="EM204" s="323"/>
      <c r="EN204" s="323"/>
      <c r="EO204" s="323"/>
      <c r="EP204" s="323"/>
      <c r="EQ204" s="323"/>
      <c r="ER204" s="323"/>
      <c r="ES204" s="323"/>
      <c r="ET204" s="323"/>
      <c r="EU204" s="323"/>
      <c r="EV204" s="323"/>
      <c r="EW204" s="323"/>
      <c r="EX204" s="323"/>
      <c r="EY204" s="323"/>
      <c r="EZ204" s="323"/>
      <c r="FA204" s="323"/>
      <c r="FB204" s="323"/>
      <c r="FC204" s="323"/>
      <c r="FD204" s="323"/>
      <c r="FE204" s="323"/>
      <c r="FF204" s="323"/>
      <c r="FG204" s="323"/>
      <c r="FH204" s="323"/>
      <c r="FI204" s="323"/>
      <c r="FJ204" s="323"/>
      <c r="FK204" s="323"/>
      <c r="FL204" s="323"/>
      <c r="FM204" s="323"/>
      <c r="FN204" s="323"/>
      <c r="FO204" s="323"/>
      <c r="FP204" s="323"/>
      <c r="FQ204" s="323"/>
      <c r="FR204" s="323"/>
      <c r="FS204" s="323"/>
      <c r="FT204" s="323"/>
      <c r="FU204" s="323"/>
      <c r="FV204" s="323"/>
      <c r="FW204" s="323"/>
      <c r="FX204" s="323"/>
      <c r="FY204" s="323"/>
      <c r="FZ204" s="323"/>
      <c r="GA204" s="323"/>
      <c r="GB204" s="323"/>
      <c r="GC204" s="323"/>
      <c r="GD204" s="323"/>
      <c r="GE204" s="323"/>
      <c r="GF204" s="323"/>
      <c r="GG204" s="323"/>
      <c r="GH204" s="323"/>
      <c r="GI204" s="323"/>
      <c r="GJ204" s="323"/>
      <c r="GK204" s="323"/>
      <c r="GL204" s="323"/>
      <c r="GM204" s="323"/>
      <c r="GN204" s="323"/>
      <c r="GO204" s="323"/>
      <c r="GP204" s="323"/>
      <c r="GQ204" s="323"/>
      <c r="GR204" s="323"/>
      <c r="GS204" s="323"/>
      <c r="GT204" s="323"/>
      <c r="GU204" s="323"/>
      <c r="GV204" s="323"/>
      <c r="GW204" s="323"/>
      <c r="GX204" s="323"/>
      <c r="GY204" s="323"/>
      <c r="GZ204" s="323"/>
      <c r="HA204" s="323"/>
      <c r="HB204" s="323"/>
      <c r="HC204" s="323"/>
      <c r="HD204" s="323"/>
      <c r="HE204" s="323"/>
      <c r="HF204" s="323"/>
      <c r="HG204" s="323"/>
      <c r="HH204" s="323"/>
      <c r="HI204" s="323"/>
      <c r="HJ204" s="323"/>
      <c r="HK204" s="323"/>
      <c r="HL204" s="323"/>
      <c r="HM204" s="323"/>
      <c r="HN204" s="323"/>
      <c r="HO204" s="323"/>
      <c r="HP204" s="323"/>
      <c r="HQ204" s="323"/>
      <c r="HR204" s="323"/>
      <c r="HS204" s="323"/>
      <c r="HT204" s="323"/>
      <c r="HU204" s="323"/>
      <c r="HV204" s="323"/>
      <c r="HW204" s="323"/>
      <c r="HX204" s="323"/>
      <c r="HY204" s="323"/>
      <c r="HZ204" s="323"/>
      <c r="IA204" s="323"/>
      <c r="IB204" s="323"/>
      <c r="IC204" s="323"/>
      <c r="ID204" s="323"/>
      <c r="IE204" s="323"/>
      <c r="IF204" s="323"/>
      <c r="IG204" s="323"/>
      <c r="IH204" s="323"/>
      <c r="II204" s="323"/>
      <c r="IJ204" s="323"/>
      <c r="IK204" s="323"/>
      <c r="IL204" s="323"/>
      <c r="IM204" s="323"/>
      <c r="IN204" s="323"/>
      <c r="IO204" s="323"/>
      <c r="IP204" s="323"/>
      <c r="IQ204" s="323"/>
      <c r="IR204" s="323"/>
      <c r="IS204" s="323"/>
      <c r="IT204" s="323"/>
      <c r="IU204" s="323"/>
      <c r="IV204" s="323"/>
    </row>
    <row r="205" spans="1:256" hidden="1">
      <c r="A205" s="334">
        <v>39931</v>
      </c>
      <c r="B205" s="334" t="s">
        <v>544</v>
      </c>
      <c r="C205" s="335">
        <v>728</v>
      </c>
      <c r="D205" s="334">
        <v>40659</v>
      </c>
      <c r="E205" s="338">
        <v>2</v>
      </c>
      <c r="F205" s="336">
        <v>0</v>
      </c>
      <c r="G205" s="336">
        <v>0</v>
      </c>
      <c r="H205" s="336">
        <v>0</v>
      </c>
      <c r="I205" s="336">
        <v>0</v>
      </c>
      <c r="J205" s="336">
        <v>0</v>
      </c>
      <c r="L205" s="335">
        <v>0</v>
      </c>
    </row>
    <row r="206" spans="1:256" s="351" customFormat="1" hidden="1">
      <c r="A206" s="347">
        <v>39934</v>
      </c>
      <c r="B206" s="347" t="s">
        <v>545</v>
      </c>
      <c r="C206" s="348">
        <v>1092</v>
      </c>
      <c r="D206" s="347">
        <v>41026</v>
      </c>
      <c r="E206" s="349">
        <v>3</v>
      </c>
      <c r="F206" s="350">
        <v>0</v>
      </c>
      <c r="G206" s="350">
        <v>0</v>
      </c>
      <c r="H206" s="350">
        <v>0</v>
      </c>
      <c r="I206" s="350">
        <v>0</v>
      </c>
      <c r="J206" s="350">
        <v>0</v>
      </c>
      <c r="L206" s="348">
        <v>0</v>
      </c>
      <c r="M206" s="323"/>
      <c r="N206" s="323"/>
      <c r="O206" s="323"/>
      <c r="P206" s="323"/>
      <c r="Q206" s="323"/>
      <c r="R206" s="323"/>
      <c r="S206" s="323"/>
      <c r="T206" s="323"/>
      <c r="U206" s="323"/>
      <c r="V206" s="323"/>
      <c r="W206" s="323"/>
      <c r="X206" s="323"/>
      <c r="Y206" s="323"/>
      <c r="Z206" s="323"/>
      <c r="AA206" s="323"/>
      <c r="AB206" s="323"/>
      <c r="AC206" s="323"/>
      <c r="AD206" s="323"/>
      <c r="AE206" s="323"/>
      <c r="AF206" s="323"/>
      <c r="AG206" s="323"/>
      <c r="AH206" s="323"/>
      <c r="AI206" s="323"/>
      <c r="AJ206" s="323"/>
      <c r="AK206" s="323"/>
      <c r="AL206" s="323"/>
      <c r="AM206" s="323"/>
      <c r="AN206" s="323"/>
      <c r="AO206" s="323"/>
      <c r="AP206" s="323"/>
      <c r="AQ206" s="323"/>
      <c r="AR206" s="323"/>
      <c r="AS206" s="323"/>
      <c r="AT206" s="323"/>
      <c r="AU206" s="323"/>
      <c r="AV206" s="323"/>
      <c r="AW206" s="323"/>
      <c r="AX206" s="323"/>
      <c r="AY206" s="323"/>
      <c r="AZ206" s="323"/>
      <c r="BA206" s="323"/>
      <c r="BB206" s="323"/>
      <c r="BC206" s="323"/>
      <c r="BD206" s="323"/>
      <c r="BE206" s="323"/>
      <c r="BF206" s="323"/>
      <c r="BG206" s="323"/>
      <c r="BH206" s="323"/>
      <c r="BI206" s="323"/>
      <c r="BJ206" s="323"/>
      <c r="BK206" s="323"/>
      <c r="BL206" s="323"/>
      <c r="BM206" s="323"/>
      <c r="BN206" s="323"/>
      <c r="BO206" s="323"/>
      <c r="BP206" s="323"/>
      <c r="BQ206" s="323"/>
      <c r="BR206" s="323"/>
      <c r="BS206" s="323"/>
      <c r="BT206" s="323"/>
      <c r="BU206" s="323"/>
      <c r="BV206" s="323"/>
      <c r="BW206" s="323"/>
      <c r="BX206" s="323"/>
      <c r="BY206" s="323"/>
      <c r="BZ206" s="323"/>
      <c r="CA206" s="323"/>
      <c r="CB206" s="323"/>
      <c r="CC206" s="323"/>
      <c r="CD206" s="323"/>
      <c r="CE206" s="323"/>
      <c r="CF206" s="323"/>
      <c r="CG206" s="323"/>
      <c r="CH206" s="323"/>
      <c r="CI206" s="323"/>
      <c r="CJ206" s="323"/>
      <c r="CK206" s="323"/>
      <c r="CL206" s="323"/>
      <c r="CM206" s="323"/>
      <c r="CN206" s="323"/>
      <c r="CO206" s="323"/>
      <c r="CP206" s="323"/>
      <c r="CQ206" s="323"/>
      <c r="CR206" s="323"/>
      <c r="CS206" s="323"/>
      <c r="CT206" s="323"/>
      <c r="CU206" s="323"/>
      <c r="CV206" s="323"/>
      <c r="CW206" s="323"/>
      <c r="CX206" s="323"/>
      <c r="CY206" s="323"/>
      <c r="CZ206" s="323"/>
      <c r="DA206" s="323"/>
      <c r="DB206" s="323"/>
      <c r="DC206" s="323"/>
      <c r="DD206" s="323"/>
      <c r="DE206" s="323"/>
      <c r="DF206" s="323"/>
      <c r="DG206" s="323"/>
      <c r="DH206" s="323"/>
      <c r="DI206" s="323"/>
      <c r="DJ206" s="323"/>
      <c r="DK206" s="323"/>
      <c r="DL206" s="323"/>
      <c r="DM206" s="323"/>
      <c r="DN206" s="323"/>
      <c r="DO206" s="323"/>
      <c r="DP206" s="323"/>
      <c r="DQ206" s="323"/>
      <c r="DR206" s="323"/>
      <c r="DS206" s="323"/>
      <c r="DT206" s="323"/>
      <c r="DU206" s="323"/>
      <c r="DV206" s="323"/>
      <c r="DW206" s="323"/>
      <c r="DX206" s="323"/>
      <c r="DY206" s="323"/>
      <c r="DZ206" s="323"/>
      <c r="EA206" s="323"/>
      <c r="EB206" s="323"/>
      <c r="EC206" s="323"/>
      <c r="ED206" s="323"/>
      <c r="EE206" s="323"/>
      <c r="EF206" s="323"/>
      <c r="EG206" s="323"/>
      <c r="EH206" s="323"/>
      <c r="EI206" s="323"/>
      <c r="EJ206" s="323"/>
      <c r="EK206" s="323"/>
      <c r="EL206" s="323"/>
      <c r="EM206" s="323"/>
      <c r="EN206" s="323"/>
      <c r="EO206" s="323"/>
      <c r="EP206" s="323"/>
      <c r="EQ206" s="323"/>
      <c r="ER206" s="323"/>
      <c r="ES206" s="323"/>
      <c r="ET206" s="323"/>
      <c r="EU206" s="323"/>
      <c r="EV206" s="323"/>
      <c r="EW206" s="323"/>
      <c r="EX206" s="323"/>
      <c r="EY206" s="323"/>
      <c r="EZ206" s="323"/>
      <c r="FA206" s="323"/>
      <c r="FB206" s="323"/>
      <c r="FC206" s="323"/>
      <c r="FD206" s="323"/>
      <c r="FE206" s="323"/>
      <c r="FF206" s="323"/>
      <c r="FG206" s="323"/>
      <c r="FH206" s="323"/>
      <c r="FI206" s="323"/>
      <c r="FJ206" s="323"/>
      <c r="FK206" s="323"/>
      <c r="FL206" s="323"/>
      <c r="FM206" s="323"/>
      <c r="FN206" s="323"/>
      <c r="FO206" s="323"/>
      <c r="FP206" s="323"/>
      <c r="FQ206" s="323"/>
      <c r="FR206" s="323"/>
      <c r="FS206" s="323"/>
      <c r="FT206" s="323"/>
      <c r="FU206" s="323"/>
      <c r="FV206" s="323"/>
      <c r="FW206" s="323"/>
      <c r="FX206" s="323"/>
      <c r="FY206" s="323"/>
      <c r="FZ206" s="323"/>
      <c r="GA206" s="323"/>
      <c r="GB206" s="323"/>
      <c r="GC206" s="323"/>
      <c r="GD206" s="323"/>
      <c r="GE206" s="323"/>
      <c r="GF206" s="323"/>
      <c r="GG206" s="323"/>
      <c r="GH206" s="323"/>
      <c r="GI206" s="323"/>
      <c r="GJ206" s="323"/>
      <c r="GK206" s="323"/>
      <c r="GL206" s="323"/>
      <c r="GM206" s="323"/>
      <c r="GN206" s="323"/>
      <c r="GO206" s="323"/>
      <c r="GP206" s="323"/>
      <c r="GQ206" s="323"/>
      <c r="GR206" s="323"/>
      <c r="GS206" s="323"/>
      <c r="GT206" s="323"/>
      <c r="GU206" s="323"/>
      <c r="GV206" s="323"/>
      <c r="GW206" s="323"/>
      <c r="GX206" s="323"/>
      <c r="GY206" s="323"/>
      <c r="GZ206" s="323"/>
      <c r="HA206" s="323"/>
      <c r="HB206" s="323"/>
      <c r="HC206" s="323"/>
      <c r="HD206" s="323"/>
      <c r="HE206" s="323"/>
      <c r="HF206" s="323"/>
      <c r="HG206" s="323"/>
      <c r="HH206" s="323"/>
      <c r="HI206" s="323"/>
      <c r="HJ206" s="323"/>
      <c r="HK206" s="323"/>
      <c r="HL206" s="323"/>
      <c r="HM206" s="323"/>
      <c r="HN206" s="323"/>
      <c r="HO206" s="323"/>
      <c r="HP206" s="323"/>
      <c r="HQ206" s="323"/>
      <c r="HR206" s="323"/>
      <c r="HS206" s="323"/>
      <c r="HT206" s="323"/>
      <c r="HU206" s="323"/>
      <c r="HV206" s="323"/>
      <c r="HW206" s="323"/>
      <c r="HX206" s="323"/>
      <c r="HY206" s="323"/>
      <c r="HZ206" s="323"/>
      <c r="IA206" s="323"/>
      <c r="IB206" s="323"/>
      <c r="IC206" s="323"/>
      <c r="ID206" s="323"/>
      <c r="IE206" s="323"/>
      <c r="IF206" s="323"/>
      <c r="IG206" s="323"/>
      <c r="IH206" s="323"/>
      <c r="II206" s="323"/>
      <c r="IJ206" s="323"/>
      <c r="IK206" s="323"/>
      <c r="IL206" s="323"/>
      <c r="IM206" s="323"/>
      <c r="IN206" s="323"/>
      <c r="IO206" s="323"/>
      <c r="IP206" s="323"/>
      <c r="IQ206" s="323"/>
      <c r="IR206" s="323"/>
      <c r="IS206" s="323"/>
      <c r="IT206" s="323"/>
      <c r="IU206" s="323"/>
      <c r="IV206" s="323"/>
    </row>
    <row r="207" spans="1:256" hidden="1">
      <c r="A207" s="334">
        <v>39938</v>
      </c>
      <c r="B207" s="334" t="s">
        <v>546</v>
      </c>
      <c r="C207" s="335">
        <v>35</v>
      </c>
      <c r="D207" s="334">
        <v>39973</v>
      </c>
      <c r="E207" s="338">
        <v>18</v>
      </c>
      <c r="F207" s="336">
        <v>15.043200000000001</v>
      </c>
      <c r="G207" s="336">
        <v>15.043200000000001</v>
      </c>
      <c r="H207" s="336">
        <v>3.5000000000000004</v>
      </c>
      <c r="I207" s="336">
        <v>3.8699999999999998E-2</v>
      </c>
      <c r="J207" s="336">
        <v>3.56</v>
      </c>
      <c r="L207" s="335">
        <v>2</v>
      </c>
    </row>
    <row r="208" spans="1:256" s="351" customFormat="1" hidden="1">
      <c r="A208" s="347">
        <v>39938</v>
      </c>
      <c r="B208" s="347" t="s">
        <v>547</v>
      </c>
      <c r="C208" s="348">
        <v>364</v>
      </c>
      <c r="D208" s="347">
        <v>40302</v>
      </c>
      <c r="E208" s="349">
        <v>3</v>
      </c>
      <c r="F208" s="350">
        <v>2.3690000000000002</v>
      </c>
      <c r="G208" s="350">
        <v>2.3690000000000002</v>
      </c>
      <c r="H208" s="350">
        <v>8.49</v>
      </c>
      <c r="I208" s="350">
        <v>8.4900000000000003E-2</v>
      </c>
      <c r="J208" s="350">
        <v>8.49</v>
      </c>
      <c r="L208" s="348">
        <v>2</v>
      </c>
      <c r="M208" s="323"/>
      <c r="N208" s="323"/>
      <c r="O208" s="323"/>
      <c r="P208" s="323"/>
      <c r="Q208" s="323"/>
      <c r="R208" s="323"/>
      <c r="S208" s="323"/>
      <c r="T208" s="323"/>
      <c r="U208" s="323"/>
      <c r="V208" s="323"/>
      <c r="W208" s="323"/>
      <c r="X208" s="323"/>
      <c r="Y208" s="323"/>
      <c r="Z208" s="323"/>
      <c r="AA208" s="323"/>
      <c r="AB208" s="323"/>
      <c r="AC208" s="323"/>
      <c r="AD208" s="323"/>
      <c r="AE208" s="323"/>
      <c r="AF208" s="323"/>
      <c r="AG208" s="323"/>
      <c r="AH208" s="323"/>
      <c r="AI208" s="323"/>
      <c r="AJ208" s="323"/>
      <c r="AK208" s="323"/>
      <c r="AL208" s="323"/>
      <c r="AM208" s="323"/>
      <c r="AN208" s="323"/>
      <c r="AO208" s="323"/>
      <c r="AP208" s="323"/>
      <c r="AQ208" s="323"/>
      <c r="AR208" s="323"/>
      <c r="AS208" s="323"/>
      <c r="AT208" s="323"/>
      <c r="AU208" s="323"/>
      <c r="AV208" s="323"/>
      <c r="AW208" s="323"/>
      <c r="AX208" s="323"/>
      <c r="AY208" s="323"/>
      <c r="AZ208" s="323"/>
      <c r="BA208" s="323"/>
      <c r="BB208" s="323"/>
      <c r="BC208" s="323"/>
      <c r="BD208" s="323"/>
      <c r="BE208" s="323"/>
      <c r="BF208" s="323"/>
      <c r="BG208" s="323"/>
      <c r="BH208" s="323"/>
      <c r="BI208" s="323"/>
      <c r="BJ208" s="323"/>
      <c r="BK208" s="323"/>
      <c r="BL208" s="323"/>
      <c r="BM208" s="323"/>
      <c r="BN208" s="323"/>
      <c r="BO208" s="323"/>
      <c r="BP208" s="323"/>
      <c r="BQ208" s="323"/>
      <c r="BR208" s="323"/>
      <c r="BS208" s="323"/>
      <c r="BT208" s="323"/>
      <c r="BU208" s="323"/>
      <c r="BV208" s="323"/>
      <c r="BW208" s="323"/>
      <c r="BX208" s="323"/>
      <c r="BY208" s="323"/>
      <c r="BZ208" s="323"/>
      <c r="CA208" s="323"/>
      <c r="CB208" s="323"/>
      <c r="CC208" s="323"/>
      <c r="CD208" s="323"/>
      <c r="CE208" s="323"/>
      <c r="CF208" s="323"/>
      <c r="CG208" s="323"/>
      <c r="CH208" s="323"/>
      <c r="CI208" s="323"/>
      <c r="CJ208" s="323"/>
      <c r="CK208" s="323"/>
      <c r="CL208" s="323"/>
      <c r="CM208" s="323"/>
      <c r="CN208" s="323"/>
      <c r="CO208" s="323"/>
      <c r="CP208" s="323"/>
      <c r="CQ208" s="323"/>
      <c r="CR208" s="323"/>
      <c r="CS208" s="323"/>
      <c r="CT208" s="323"/>
      <c r="CU208" s="323"/>
      <c r="CV208" s="323"/>
      <c r="CW208" s="323"/>
      <c r="CX208" s="323"/>
      <c r="CY208" s="323"/>
      <c r="CZ208" s="323"/>
      <c r="DA208" s="323"/>
      <c r="DB208" s="323"/>
      <c r="DC208" s="323"/>
      <c r="DD208" s="323"/>
      <c r="DE208" s="323"/>
      <c r="DF208" s="323"/>
      <c r="DG208" s="323"/>
      <c r="DH208" s="323"/>
      <c r="DI208" s="323"/>
      <c r="DJ208" s="323"/>
      <c r="DK208" s="323"/>
      <c r="DL208" s="323"/>
      <c r="DM208" s="323"/>
      <c r="DN208" s="323"/>
      <c r="DO208" s="323"/>
      <c r="DP208" s="323"/>
      <c r="DQ208" s="323"/>
      <c r="DR208" s="323"/>
      <c r="DS208" s="323"/>
      <c r="DT208" s="323"/>
      <c r="DU208" s="323"/>
      <c r="DV208" s="323"/>
      <c r="DW208" s="323"/>
      <c r="DX208" s="323"/>
      <c r="DY208" s="323"/>
      <c r="DZ208" s="323"/>
      <c r="EA208" s="323"/>
      <c r="EB208" s="323"/>
      <c r="EC208" s="323"/>
      <c r="ED208" s="323"/>
      <c r="EE208" s="323"/>
      <c r="EF208" s="323"/>
      <c r="EG208" s="323"/>
      <c r="EH208" s="323"/>
      <c r="EI208" s="323"/>
      <c r="EJ208" s="323"/>
      <c r="EK208" s="323"/>
      <c r="EL208" s="323"/>
      <c r="EM208" s="323"/>
      <c r="EN208" s="323"/>
      <c r="EO208" s="323"/>
      <c r="EP208" s="323"/>
      <c r="EQ208" s="323"/>
      <c r="ER208" s="323"/>
      <c r="ES208" s="323"/>
      <c r="ET208" s="323"/>
      <c r="EU208" s="323"/>
      <c r="EV208" s="323"/>
      <c r="EW208" s="323"/>
      <c r="EX208" s="323"/>
      <c r="EY208" s="323"/>
      <c r="EZ208" s="323"/>
      <c r="FA208" s="323"/>
      <c r="FB208" s="323"/>
      <c r="FC208" s="323"/>
      <c r="FD208" s="323"/>
      <c r="FE208" s="323"/>
      <c r="FF208" s="323"/>
      <c r="FG208" s="323"/>
      <c r="FH208" s="323"/>
      <c r="FI208" s="323"/>
      <c r="FJ208" s="323"/>
      <c r="FK208" s="323"/>
      <c r="FL208" s="323"/>
      <c r="FM208" s="323"/>
      <c r="FN208" s="323"/>
      <c r="FO208" s="323"/>
      <c r="FP208" s="323"/>
      <c r="FQ208" s="323"/>
      <c r="FR208" s="323"/>
      <c r="FS208" s="323"/>
      <c r="FT208" s="323"/>
      <c r="FU208" s="323"/>
      <c r="FV208" s="323"/>
      <c r="FW208" s="323"/>
      <c r="FX208" s="323"/>
      <c r="FY208" s="323"/>
      <c r="FZ208" s="323"/>
      <c r="GA208" s="323"/>
      <c r="GB208" s="323"/>
      <c r="GC208" s="323"/>
      <c r="GD208" s="323"/>
      <c r="GE208" s="323"/>
      <c r="GF208" s="323"/>
      <c r="GG208" s="323"/>
      <c r="GH208" s="323"/>
      <c r="GI208" s="323"/>
      <c r="GJ208" s="323"/>
      <c r="GK208" s="323"/>
      <c r="GL208" s="323"/>
      <c r="GM208" s="323"/>
      <c r="GN208" s="323"/>
      <c r="GO208" s="323"/>
      <c r="GP208" s="323"/>
      <c r="GQ208" s="323"/>
      <c r="GR208" s="323"/>
      <c r="GS208" s="323"/>
      <c r="GT208" s="323"/>
      <c r="GU208" s="323"/>
      <c r="GV208" s="323"/>
      <c r="GW208" s="323"/>
      <c r="GX208" s="323"/>
      <c r="GY208" s="323"/>
      <c r="GZ208" s="323"/>
      <c r="HA208" s="323"/>
      <c r="HB208" s="323"/>
      <c r="HC208" s="323"/>
      <c r="HD208" s="323"/>
      <c r="HE208" s="323"/>
      <c r="HF208" s="323"/>
      <c r="HG208" s="323"/>
      <c r="HH208" s="323"/>
      <c r="HI208" s="323"/>
      <c r="HJ208" s="323"/>
      <c r="HK208" s="323"/>
      <c r="HL208" s="323"/>
      <c r="HM208" s="323"/>
      <c r="HN208" s="323"/>
      <c r="HO208" s="323"/>
      <c r="HP208" s="323"/>
      <c r="HQ208" s="323"/>
      <c r="HR208" s="323"/>
      <c r="HS208" s="323"/>
      <c r="HT208" s="323"/>
      <c r="HU208" s="323"/>
      <c r="HV208" s="323"/>
      <c r="HW208" s="323"/>
      <c r="HX208" s="323"/>
      <c r="HY208" s="323"/>
      <c r="HZ208" s="323"/>
      <c r="IA208" s="323"/>
      <c r="IB208" s="323"/>
      <c r="IC208" s="323"/>
      <c r="ID208" s="323"/>
      <c r="IE208" s="323"/>
      <c r="IF208" s="323"/>
      <c r="IG208" s="323"/>
      <c r="IH208" s="323"/>
      <c r="II208" s="323"/>
      <c r="IJ208" s="323"/>
      <c r="IK208" s="323"/>
      <c r="IL208" s="323"/>
      <c r="IM208" s="323"/>
      <c r="IN208" s="323"/>
      <c r="IO208" s="323"/>
      <c r="IP208" s="323"/>
      <c r="IQ208" s="323"/>
      <c r="IR208" s="323"/>
      <c r="IS208" s="323"/>
      <c r="IT208" s="323"/>
      <c r="IU208" s="323"/>
      <c r="IV208" s="323"/>
    </row>
    <row r="209" spans="1:256" hidden="1">
      <c r="A209" s="334">
        <v>39941</v>
      </c>
      <c r="B209" s="334" t="s">
        <v>548</v>
      </c>
      <c r="C209" s="335">
        <v>91</v>
      </c>
      <c r="D209" s="334">
        <v>40032</v>
      </c>
      <c r="E209" s="338">
        <v>18</v>
      </c>
      <c r="F209" s="336">
        <v>11.561400000000001</v>
      </c>
      <c r="G209" s="336">
        <v>11.561400000000001</v>
      </c>
      <c r="H209" s="336">
        <v>6.03</v>
      </c>
      <c r="I209" s="336">
        <v>5.62E-2</v>
      </c>
      <c r="J209" s="336">
        <v>6.1899999999999995</v>
      </c>
      <c r="L209" s="335">
        <v>3</v>
      </c>
    </row>
    <row r="210" spans="1:256" s="351" customFormat="1" hidden="1">
      <c r="A210" s="347">
        <v>39945</v>
      </c>
      <c r="B210" s="347" t="s">
        <v>549</v>
      </c>
      <c r="C210" s="348">
        <v>182</v>
      </c>
      <c r="D210" s="347">
        <v>40127</v>
      </c>
      <c r="E210" s="349">
        <v>7</v>
      </c>
      <c r="F210" s="350">
        <v>11.6698</v>
      </c>
      <c r="G210" s="350">
        <v>7</v>
      </c>
      <c r="H210" s="350">
        <v>6.5</v>
      </c>
      <c r="I210" s="350">
        <v>6.5000000000000002E-2</v>
      </c>
      <c r="J210" s="350">
        <v>6.5</v>
      </c>
      <c r="L210" s="348">
        <v>3</v>
      </c>
      <c r="M210" s="323"/>
      <c r="N210" s="323"/>
      <c r="O210" s="323"/>
      <c r="P210" s="323"/>
      <c r="Q210" s="323"/>
      <c r="R210" s="323"/>
      <c r="S210" s="323"/>
      <c r="T210" s="323"/>
      <c r="U210" s="323"/>
      <c r="V210" s="323"/>
      <c r="W210" s="323"/>
      <c r="X210" s="323"/>
      <c r="Y210" s="323"/>
      <c r="Z210" s="323"/>
      <c r="AA210" s="323"/>
      <c r="AB210" s="323"/>
      <c r="AC210" s="323"/>
      <c r="AD210" s="323"/>
      <c r="AE210" s="323"/>
      <c r="AF210" s="323"/>
      <c r="AG210" s="323"/>
      <c r="AH210" s="323"/>
      <c r="AI210" s="323"/>
      <c r="AJ210" s="323"/>
      <c r="AK210" s="323"/>
      <c r="AL210" s="323"/>
      <c r="AM210" s="323"/>
      <c r="AN210" s="323"/>
      <c r="AO210" s="323"/>
      <c r="AP210" s="323"/>
      <c r="AQ210" s="323"/>
      <c r="AR210" s="323"/>
      <c r="AS210" s="323"/>
      <c r="AT210" s="323"/>
      <c r="AU210" s="323"/>
      <c r="AV210" s="323"/>
      <c r="AW210" s="323"/>
      <c r="AX210" s="323"/>
      <c r="AY210" s="323"/>
      <c r="AZ210" s="323"/>
      <c r="BA210" s="323"/>
      <c r="BB210" s="323"/>
      <c r="BC210" s="323"/>
      <c r="BD210" s="323"/>
      <c r="BE210" s="323"/>
      <c r="BF210" s="323"/>
      <c r="BG210" s="323"/>
      <c r="BH210" s="323"/>
      <c r="BI210" s="323"/>
      <c r="BJ210" s="323"/>
      <c r="BK210" s="323"/>
      <c r="BL210" s="323"/>
      <c r="BM210" s="323"/>
      <c r="BN210" s="323"/>
      <c r="BO210" s="323"/>
      <c r="BP210" s="323"/>
      <c r="BQ210" s="323"/>
      <c r="BR210" s="323"/>
      <c r="BS210" s="323"/>
      <c r="BT210" s="323"/>
      <c r="BU210" s="323"/>
      <c r="BV210" s="323"/>
      <c r="BW210" s="323"/>
      <c r="BX210" s="323"/>
      <c r="BY210" s="323"/>
      <c r="BZ210" s="323"/>
      <c r="CA210" s="323"/>
      <c r="CB210" s="323"/>
      <c r="CC210" s="323"/>
      <c r="CD210" s="323"/>
      <c r="CE210" s="323"/>
      <c r="CF210" s="323"/>
      <c r="CG210" s="323"/>
      <c r="CH210" s="323"/>
      <c r="CI210" s="323"/>
      <c r="CJ210" s="323"/>
      <c r="CK210" s="323"/>
      <c r="CL210" s="323"/>
      <c r="CM210" s="323"/>
      <c r="CN210" s="323"/>
      <c r="CO210" s="323"/>
      <c r="CP210" s="323"/>
      <c r="CQ210" s="323"/>
      <c r="CR210" s="323"/>
      <c r="CS210" s="323"/>
      <c r="CT210" s="323"/>
      <c r="CU210" s="323"/>
      <c r="CV210" s="323"/>
      <c r="CW210" s="323"/>
      <c r="CX210" s="323"/>
      <c r="CY210" s="323"/>
      <c r="CZ210" s="323"/>
      <c r="DA210" s="323"/>
      <c r="DB210" s="323"/>
      <c r="DC210" s="323"/>
      <c r="DD210" s="323"/>
      <c r="DE210" s="323"/>
      <c r="DF210" s="323"/>
      <c r="DG210" s="323"/>
      <c r="DH210" s="323"/>
      <c r="DI210" s="323"/>
      <c r="DJ210" s="323"/>
      <c r="DK210" s="323"/>
      <c r="DL210" s="323"/>
      <c r="DM210" s="323"/>
      <c r="DN210" s="323"/>
      <c r="DO210" s="323"/>
      <c r="DP210" s="323"/>
      <c r="DQ210" s="323"/>
      <c r="DR210" s="323"/>
      <c r="DS210" s="323"/>
      <c r="DT210" s="323"/>
      <c r="DU210" s="323"/>
      <c r="DV210" s="323"/>
      <c r="DW210" s="323"/>
      <c r="DX210" s="323"/>
      <c r="DY210" s="323"/>
      <c r="DZ210" s="323"/>
      <c r="EA210" s="323"/>
      <c r="EB210" s="323"/>
      <c r="EC210" s="323"/>
      <c r="ED210" s="323"/>
      <c r="EE210" s="323"/>
      <c r="EF210" s="323"/>
      <c r="EG210" s="323"/>
      <c r="EH210" s="323"/>
      <c r="EI210" s="323"/>
      <c r="EJ210" s="323"/>
      <c r="EK210" s="323"/>
      <c r="EL210" s="323"/>
      <c r="EM210" s="323"/>
      <c r="EN210" s="323"/>
      <c r="EO210" s="323"/>
      <c r="EP210" s="323"/>
      <c r="EQ210" s="323"/>
      <c r="ER210" s="323"/>
      <c r="ES210" s="323"/>
      <c r="ET210" s="323"/>
      <c r="EU210" s="323"/>
      <c r="EV210" s="323"/>
      <c r="EW210" s="323"/>
      <c r="EX210" s="323"/>
      <c r="EY210" s="323"/>
      <c r="EZ210" s="323"/>
      <c r="FA210" s="323"/>
      <c r="FB210" s="323"/>
      <c r="FC210" s="323"/>
      <c r="FD210" s="323"/>
      <c r="FE210" s="323"/>
      <c r="FF210" s="323"/>
      <c r="FG210" s="323"/>
      <c r="FH210" s="323"/>
      <c r="FI210" s="323"/>
      <c r="FJ210" s="323"/>
      <c r="FK210" s="323"/>
      <c r="FL210" s="323"/>
      <c r="FM210" s="323"/>
      <c r="FN210" s="323"/>
      <c r="FO210" s="323"/>
      <c r="FP210" s="323"/>
      <c r="FQ210" s="323"/>
      <c r="FR210" s="323"/>
      <c r="FS210" s="323"/>
      <c r="FT210" s="323"/>
      <c r="FU210" s="323"/>
      <c r="FV210" s="323"/>
      <c r="FW210" s="323"/>
      <c r="FX210" s="323"/>
      <c r="FY210" s="323"/>
      <c r="FZ210" s="323"/>
      <c r="GA210" s="323"/>
      <c r="GB210" s="323"/>
      <c r="GC210" s="323"/>
      <c r="GD210" s="323"/>
      <c r="GE210" s="323"/>
      <c r="GF210" s="323"/>
      <c r="GG210" s="323"/>
      <c r="GH210" s="323"/>
      <c r="GI210" s="323"/>
      <c r="GJ210" s="323"/>
      <c r="GK210" s="323"/>
      <c r="GL210" s="323"/>
      <c r="GM210" s="323"/>
      <c r="GN210" s="323"/>
      <c r="GO210" s="323"/>
      <c r="GP210" s="323"/>
      <c r="GQ210" s="323"/>
      <c r="GR210" s="323"/>
      <c r="GS210" s="323"/>
      <c r="GT210" s="323"/>
      <c r="GU210" s="323"/>
      <c r="GV210" s="323"/>
      <c r="GW210" s="323"/>
      <c r="GX210" s="323"/>
      <c r="GY210" s="323"/>
      <c r="GZ210" s="323"/>
      <c r="HA210" s="323"/>
      <c r="HB210" s="323"/>
      <c r="HC210" s="323"/>
      <c r="HD210" s="323"/>
      <c r="HE210" s="323"/>
      <c r="HF210" s="323"/>
      <c r="HG210" s="323"/>
      <c r="HH210" s="323"/>
      <c r="HI210" s="323"/>
      <c r="HJ210" s="323"/>
      <c r="HK210" s="323"/>
      <c r="HL210" s="323"/>
      <c r="HM210" s="323"/>
      <c r="HN210" s="323"/>
      <c r="HO210" s="323"/>
      <c r="HP210" s="323"/>
      <c r="HQ210" s="323"/>
      <c r="HR210" s="323"/>
      <c r="HS210" s="323"/>
      <c r="HT210" s="323"/>
      <c r="HU210" s="323"/>
      <c r="HV210" s="323"/>
      <c r="HW210" s="323"/>
      <c r="HX210" s="323"/>
      <c r="HY210" s="323"/>
      <c r="HZ210" s="323"/>
      <c r="IA210" s="323"/>
      <c r="IB210" s="323"/>
      <c r="IC210" s="323"/>
      <c r="ID210" s="323"/>
      <c r="IE210" s="323"/>
      <c r="IF210" s="323"/>
      <c r="IG210" s="323"/>
      <c r="IH210" s="323"/>
      <c r="II210" s="323"/>
      <c r="IJ210" s="323"/>
      <c r="IK210" s="323"/>
      <c r="IL210" s="323"/>
      <c r="IM210" s="323"/>
      <c r="IN210" s="323"/>
      <c r="IO210" s="323"/>
      <c r="IP210" s="323"/>
      <c r="IQ210" s="323"/>
      <c r="IR210" s="323"/>
      <c r="IS210" s="323"/>
      <c r="IT210" s="323"/>
      <c r="IU210" s="323"/>
      <c r="IV210" s="323"/>
    </row>
    <row r="211" spans="1:256" hidden="1">
      <c r="A211" s="334">
        <v>39948</v>
      </c>
      <c r="B211" s="334" t="s">
        <v>550</v>
      </c>
      <c r="C211" s="335">
        <v>728</v>
      </c>
      <c r="D211" s="334">
        <v>40676</v>
      </c>
      <c r="E211" s="338">
        <v>2</v>
      </c>
      <c r="F211" s="336">
        <v>2</v>
      </c>
      <c r="G211" s="336">
        <v>2</v>
      </c>
      <c r="H211" s="336">
        <v>6</v>
      </c>
      <c r="I211" s="336">
        <v>0.06</v>
      </c>
      <c r="J211" s="336">
        <v>6</v>
      </c>
      <c r="L211" s="335">
        <v>1</v>
      </c>
    </row>
    <row r="212" spans="1:256" s="351" customFormat="1" hidden="1">
      <c r="A212" s="347">
        <v>39948</v>
      </c>
      <c r="B212" s="347" t="s">
        <v>551</v>
      </c>
      <c r="C212" s="348">
        <v>1092</v>
      </c>
      <c r="D212" s="347">
        <v>41040</v>
      </c>
      <c r="E212" s="349">
        <v>2</v>
      </c>
      <c r="F212" s="350">
        <v>0</v>
      </c>
      <c r="G212" s="350">
        <v>0</v>
      </c>
      <c r="H212" s="350">
        <v>0</v>
      </c>
      <c r="I212" s="350">
        <v>0</v>
      </c>
      <c r="J212" s="350">
        <v>0</v>
      </c>
      <c r="L212" s="348">
        <v>0</v>
      </c>
      <c r="M212" s="323"/>
      <c r="N212" s="323"/>
      <c r="O212" s="323"/>
      <c r="P212" s="323"/>
      <c r="Q212" s="323"/>
      <c r="R212" s="323"/>
      <c r="S212" s="323"/>
      <c r="T212" s="323"/>
      <c r="U212" s="323"/>
      <c r="V212" s="323"/>
      <c r="W212" s="323"/>
      <c r="X212" s="323"/>
      <c r="Y212" s="323"/>
      <c r="Z212" s="323"/>
      <c r="AA212" s="323"/>
      <c r="AB212" s="323"/>
      <c r="AC212" s="323"/>
      <c r="AD212" s="323"/>
      <c r="AE212" s="323"/>
      <c r="AF212" s="323"/>
      <c r="AG212" s="323"/>
      <c r="AH212" s="323"/>
      <c r="AI212" s="323"/>
      <c r="AJ212" s="323"/>
      <c r="AK212" s="323"/>
      <c r="AL212" s="323"/>
      <c r="AM212" s="323"/>
      <c r="AN212" s="323"/>
      <c r="AO212" s="323"/>
      <c r="AP212" s="323"/>
      <c r="AQ212" s="323"/>
      <c r="AR212" s="323"/>
      <c r="AS212" s="323"/>
      <c r="AT212" s="323"/>
      <c r="AU212" s="323"/>
      <c r="AV212" s="323"/>
      <c r="AW212" s="323"/>
      <c r="AX212" s="323"/>
      <c r="AY212" s="323"/>
      <c r="AZ212" s="323"/>
      <c r="BA212" s="323"/>
      <c r="BB212" s="323"/>
      <c r="BC212" s="323"/>
      <c r="BD212" s="323"/>
      <c r="BE212" s="323"/>
      <c r="BF212" s="323"/>
      <c r="BG212" s="323"/>
      <c r="BH212" s="323"/>
      <c r="BI212" s="323"/>
      <c r="BJ212" s="323"/>
      <c r="BK212" s="323"/>
      <c r="BL212" s="323"/>
      <c r="BM212" s="323"/>
      <c r="BN212" s="323"/>
      <c r="BO212" s="323"/>
      <c r="BP212" s="323"/>
      <c r="BQ212" s="323"/>
      <c r="BR212" s="323"/>
      <c r="BS212" s="323"/>
      <c r="BT212" s="323"/>
      <c r="BU212" s="323"/>
      <c r="BV212" s="323"/>
      <c r="BW212" s="323"/>
      <c r="BX212" s="323"/>
      <c r="BY212" s="323"/>
      <c r="BZ212" s="323"/>
      <c r="CA212" s="323"/>
      <c r="CB212" s="323"/>
      <c r="CC212" s="323"/>
      <c r="CD212" s="323"/>
      <c r="CE212" s="323"/>
      <c r="CF212" s="323"/>
      <c r="CG212" s="323"/>
      <c r="CH212" s="323"/>
      <c r="CI212" s="323"/>
      <c r="CJ212" s="323"/>
      <c r="CK212" s="323"/>
      <c r="CL212" s="323"/>
      <c r="CM212" s="323"/>
      <c r="CN212" s="323"/>
      <c r="CO212" s="323"/>
      <c r="CP212" s="323"/>
      <c r="CQ212" s="323"/>
      <c r="CR212" s="323"/>
      <c r="CS212" s="323"/>
      <c r="CT212" s="323"/>
      <c r="CU212" s="323"/>
      <c r="CV212" s="323"/>
      <c r="CW212" s="323"/>
      <c r="CX212" s="323"/>
      <c r="CY212" s="323"/>
      <c r="CZ212" s="323"/>
      <c r="DA212" s="323"/>
      <c r="DB212" s="323"/>
      <c r="DC212" s="323"/>
      <c r="DD212" s="323"/>
      <c r="DE212" s="323"/>
      <c r="DF212" s="323"/>
      <c r="DG212" s="323"/>
      <c r="DH212" s="323"/>
      <c r="DI212" s="323"/>
      <c r="DJ212" s="323"/>
      <c r="DK212" s="323"/>
      <c r="DL212" s="323"/>
      <c r="DM212" s="323"/>
      <c r="DN212" s="323"/>
      <c r="DO212" s="323"/>
      <c r="DP212" s="323"/>
      <c r="DQ212" s="323"/>
      <c r="DR212" s="323"/>
      <c r="DS212" s="323"/>
      <c r="DT212" s="323"/>
      <c r="DU212" s="323"/>
      <c r="DV212" s="323"/>
      <c r="DW212" s="323"/>
      <c r="DX212" s="323"/>
      <c r="DY212" s="323"/>
      <c r="DZ212" s="323"/>
      <c r="EA212" s="323"/>
      <c r="EB212" s="323"/>
      <c r="EC212" s="323"/>
      <c r="ED212" s="323"/>
      <c r="EE212" s="323"/>
      <c r="EF212" s="323"/>
      <c r="EG212" s="323"/>
      <c r="EH212" s="323"/>
      <c r="EI212" s="323"/>
      <c r="EJ212" s="323"/>
      <c r="EK212" s="323"/>
      <c r="EL212" s="323"/>
      <c r="EM212" s="323"/>
      <c r="EN212" s="323"/>
      <c r="EO212" s="323"/>
      <c r="EP212" s="323"/>
      <c r="EQ212" s="323"/>
      <c r="ER212" s="323"/>
      <c r="ES212" s="323"/>
      <c r="ET212" s="323"/>
      <c r="EU212" s="323"/>
      <c r="EV212" s="323"/>
      <c r="EW212" s="323"/>
      <c r="EX212" s="323"/>
      <c r="EY212" s="323"/>
      <c r="EZ212" s="323"/>
      <c r="FA212" s="323"/>
      <c r="FB212" s="323"/>
      <c r="FC212" s="323"/>
      <c r="FD212" s="323"/>
      <c r="FE212" s="323"/>
      <c r="FF212" s="323"/>
      <c r="FG212" s="323"/>
      <c r="FH212" s="323"/>
      <c r="FI212" s="323"/>
      <c r="FJ212" s="323"/>
      <c r="FK212" s="323"/>
      <c r="FL212" s="323"/>
      <c r="FM212" s="323"/>
      <c r="FN212" s="323"/>
      <c r="FO212" s="323"/>
      <c r="FP212" s="323"/>
      <c r="FQ212" s="323"/>
      <c r="FR212" s="323"/>
      <c r="FS212" s="323"/>
      <c r="FT212" s="323"/>
      <c r="FU212" s="323"/>
      <c r="FV212" s="323"/>
      <c r="FW212" s="323"/>
      <c r="FX212" s="323"/>
      <c r="FY212" s="323"/>
      <c r="FZ212" s="323"/>
      <c r="GA212" s="323"/>
      <c r="GB212" s="323"/>
      <c r="GC212" s="323"/>
      <c r="GD212" s="323"/>
      <c r="GE212" s="323"/>
      <c r="GF212" s="323"/>
      <c r="GG212" s="323"/>
      <c r="GH212" s="323"/>
      <c r="GI212" s="323"/>
      <c r="GJ212" s="323"/>
      <c r="GK212" s="323"/>
      <c r="GL212" s="323"/>
      <c r="GM212" s="323"/>
      <c r="GN212" s="323"/>
      <c r="GO212" s="323"/>
      <c r="GP212" s="323"/>
      <c r="GQ212" s="323"/>
      <c r="GR212" s="323"/>
      <c r="GS212" s="323"/>
      <c r="GT212" s="323"/>
      <c r="GU212" s="323"/>
      <c r="GV212" s="323"/>
      <c r="GW212" s="323"/>
      <c r="GX212" s="323"/>
      <c r="GY212" s="323"/>
      <c r="GZ212" s="323"/>
      <c r="HA212" s="323"/>
      <c r="HB212" s="323"/>
      <c r="HC212" s="323"/>
      <c r="HD212" s="323"/>
      <c r="HE212" s="323"/>
      <c r="HF212" s="323"/>
      <c r="HG212" s="323"/>
      <c r="HH212" s="323"/>
      <c r="HI212" s="323"/>
      <c r="HJ212" s="323"/>
      <c r="HK212" s="323"/>
      <c r="HL212" s="323"/>
      <c r="HM212" s="323"/>
      <c r="HN212" s="323"/>
      <c r="HO212" s="323"/>
      <c r="HP212" s="323"/>
      <c r="HQ212" s="323"/>
      <c r="HR212" s="323"/>
      <c r="HS212" s="323"/>
      <c r="HT212" s="323"/>
      <c r="HU212" s="323"/>
      <c r="HV212" s="323"/>
      <c r="HW212" s="323"/>
      <c r="HX212" s="323"/>
      <c r="HY212" s="323"/>
      <c r="HZ212" s="323"/>
      <c r="IA212" s="323"/>
      <c r="IB212" s="323"/>
      <c r="IC212" s="323"/>
      <c r="ID212" s="323"/>
      <c r="IE212" s="323"/>
      <c r="IF212" s="323"/>
      <c r="IG212" s="323"/>
      <c r="IH212" s="323"/>
      <c r="II212" s="323"/>
      <c r="IJ212" s="323"/>
      <c r="IK212" s="323"/>
      <c r="IL212" s="323"/>
      <c r="IM212" s="323"/>
      <c r="IN212" s="323"/>
      <c r="IO212" s="323"/>
      <c r="IP212" s="323"/>
      <c r="IQ212" s="323"/>
      <c r="IR212" s="323"/>
      <c r="IS212" s="323"/>
      <c r="IT212" s="323"/>
      <c r="IU212" s="323"/>
      <c r="IV212" s="323"/>
    </row>
    <row r="213" spans="1:256" hidden="1">
      <c r="A213" s="334">
        <v>39952</v>
      </c>
      <c r="B213" s="334" t="s">
        <v>552</v>
      </c>
      <c r="C213" s="335">
        <v>364</v>
      </c>
      <c r="D213" s="334">
        <v>40316</v>
      </c>
      <c r="E213" s="338">
        <v>2</v>
      </c>
      <c r="F213" s="336">
        <v>0</v>
      </c>
      <c r="G213" s="336">
        <v>0</v>
      </c>
      <c r="H213" s="336">
        <v>0</v>
      </c>
      <c r="I213" s="336">
        <v>0</v>
      </c>
      <c r="J213" s="336">
        <v>0</v>
      </c>
      <c r="L213" s="335">
        <v>0</v>
      </c>
    </row>
    <row r="214" spans="1:256" s="351" customFormat="1" hidden="1">
      <c r="A214" s="347">
        <v>39952</v>
      </c>
      <c r="B214" s="347" t="s">
        <v>553</v>
      </c>
      <c r="C214" s="348">
        <v>35</v>
      </c>
      <c r="D214" s="347">
        <v>39987</v>
      </c>
      <c r="E214" s="349">
        <v>35</v>
      </c>
      <c r="F214" s="350">
        <v>0</v>
      </c>
      <c r="G214" s="350">
        <v>0</v>
      </c>
      <c r="H214" s="350">
        <v>0</v>
      </c>
      <c r="I214" s="350">
        <v>0</v>
      </c>
      <c r="J214" s="350">
        <v>0</v>
      </c>
      <c r="L214" s="348">
        <v>0</v>
      </c>
      <c r="M214" s="323"/>
      <c r="N214" s="323"/>
      <c r="O214" s="323"/>
      <c r="P214" s="323"/>
      <c r="Q214" s="323"/>
      <c r="R214" s="323"/>
      <c r="S214" s="323"/>
      <c r="T214" s="323"/>
      <c r="U214" s="323"/>
      <c r="V214" s="323"/>
      <c r="W214" s="323"/>
      <c r="X214" s="323"/>
      <c r="Y214" s="323"/>
      <c r="Z214" s="323"/>
      <c r="AA214" s="323"/>
      <c r="AB214" s="323"/>
      <c r="AC214" s="323"/>
      <c r="AD214" s="323"/>
      <c r="AE214" s="323"/>
      <c r="AF214" s="323"/>
      <c r="AG214" s="323"/>
      <c r="AH214" s="323"/>
      <c r="AI214" s="323"/>
      <c r="AJ214" s="323"/>
      <c r="AK214" s="323"/>
      <c r="AL214" s="323"/>
      <c r="AM214" s="323"/>
      <c r="AN214" s="323"/>
      <c r="AO214" s="323"/>
      <c r="AP214" s="323"/>
      <c r="AQ214" s="323"/>
      <c r="AR214" s="323"/>
      <c r="AS214" s="323"/>
      <c r="AT214" s="323"/>
      <c r="AU214" s="323"/>
      <c r="AV214" s="323"/>
      <c r="AW214" s="323"/>
      <c r="AX214" s="323"/>
      <c r="AY214" s="323"/>
      <c r="AZ214" s="323"/>
      <c r="BA214" s="323"/>
      <c r="BB214" s="323"/>
      <c r="BC214" s="323"/>
      <c r="BD214" s="323"/>
      <c r="BE214" s="323"/>
      <c r="BF214" s="323"/>
      <c r="BG214" s="323"/>
      <c r="BH214" s="323"/>
      <c r="BI214" s="323"/>
      <c r="BJ214" s="323"/>
      <c r="BK214" s="323"/>
      <c r="BL214" s="323"/>
      <c r="BM214" s="323"/>
      <c r="BN214" s="323"/>
      <c r="BO214" s="323"/>
      <c r="BP214" s="323"/>
      <c r="BQ214" s="323"/>
      <c r="BR214" s="323"/>
      <c r="BS214" s="323"/>
      <c r="BT214" s="323"/>
      <c r="BU214" s="323"/>
      <c r="BV214" s="323"/>
      <c r="BW214" s="323"/>
      <c r="BX214" s="323"/>
      <c r="BY214" s="323"/>
      <c r="BZ214" s="323"/>
      <c r="CA214" s="323"/>
      <c r="CB214" s="323"/>
      <c r="CC214" s="323"/>
      <c r="CD214" s="323"/>
      <c r="CE214" s="323"/>
      <c r="CF214" s="323"/>
      <c r="CG214" s="323"/>
      <c r="CH214" s="323"/>
      <c r="CI214" s="323"/>
      <c r="CJ214" s="323"/>
      <c r="CK214" s="323"/>
      <c r="CL214" s="323"/>
      <c r="CM214" s="323"/>
      <c r="CN214" s="323"/>
      <c r="CO214" s="323"/>
      <c r="CP214" s="323"/>
      <c r="CQ214" s="323"/>
      <c r="CR214" s="323"/>
      <c r="CS214" s="323"/>
      <c r="CT214" s="323"/>
      <c r="CU214" s="323"/>
      <c r="CV214" s="323"/>
      <c r="CW214" s="323"/>
      <c r="CX214" s="323"/>
      <c r="CY214" s="323"/>
      <c r="CZ214" s="323"/>
      <c r="DA214" s="323"/>
      <c r="DB214" s="323"/>
      <c r="DC214" s="323"/>
      <c r="DD214" s="323"/>
      <c r="DE214" s="323"/>
      <c r="DF214" s="323"/>
      <c r="DG214" s="323"/>
      <c r="DH214" s="323"/>
      <c r="DI214" s="323"/>
      <c r="DJ214" s="323"/>
      <c r="DK214" s="323"/>
      <c r="DL214" s="323"/>
      <c r="DM214" s="323"/>
      <c r="DN214" s="323"/>
      <c r="DO214" s="323"/>
      <c r="DP214" s="323"/>
      <c r="DQ214" s="323"/>
      <c r="DR214" s="323"/>
      <c r="DS214" s="323"/>
      <c r="DT214" s="323"/>
      <c r="DU214" s="323"/>
      <c r="DV214" s="323"/>
      <c r="DW214" s="323"/>
      <c r="DX214" s="323"/>
      <c r="DY214" s="323"/>
      <c r="DZ214" s="323"/>
      <c r="EA214" s="323"/>
      <c r="EB214" s="323"/>
      <c r="EC214" s="323"/>
      <c r="ED214" s="323"/>
      <c r="EE214" s="323"/>
      <c r="EF214" s="323"/>
      <c r="EG214" s="323"/>
      <c r="EH214" s="323"/>
      <c r="EI214" s="323"/>
      <c r="EJ214" s="323"/>
      <c r="EK214" s="323"/>
      <c r="EL214" s="323"/>
      <c r="EM214" s="323"/>
      <c r="EN214" s="323"/>
      <c r="EO214" s="323"/>
      <c r="EP214" s="323"/>
      <c r="EQ214" s="323"/>
      <c r="ER214" s="323"/>
      <c r="ES214" s="323"/>
      <c r="ET214" s="323"/>
      <c r="EU214" s="323"/>
      <c r="EV214" s="323"/>
      <c r="EW214" s="323"/>
      <c r="EX214" s="323"/>
      <c r="EY214" s="323"/>
      <c r="EZ214" s="323"/>
      <c r="FA214" s="323"/>
      <c r="FB214" s="323"/>
      <c r="FC214" s="323"/>
      <c r="FD214" s="323"/>
      <c r="FE214" s="323"/>
      <c r="FF214" s="323"/>
      <c r="FG214" s="323"/>
      <c r="FH214" s="323"/>
      <c r="FI214" s="323"/>
      <c r="FJ214" s="323"/>
      <c r="FK214" s="323"/>
      <c r="FL214" s="323"/>
      <c r="FM214" s="323"/>
      <c r="FN214" s="323"/>
      <c r="FO214" s="323"/>
      <c r="FP214" s="323"/>
      <c r="FQ214" s="323"/>
      <c r="FR214" s="323"/>
      <c r="FS214" s="323"/>
      <c r="FT214" s="323"/>
      <c r="FU214" s="323"/>
      <c r="FV214" s="323"/>
      <c r="FW214" s="323"/>
      <c r="FX214" s="323"/>
      <c r="FY214" s="323"/>
      <c r="FZ214" s="323"/>
      <c r="GA214" s="323"/>
      <c r="GB214" s="323"/>
      <c r="GC214" s="323"/>
      <c r="GD214" s="323"/>
      <c r="GE214" s="323"/>
      <c r="GF214" s="323"/>
      <c r="GG214" s="323"/>
      <c r="GH214" s="323"/>
      <c r="GI214" s="323"/>
      <c r="GJ214" s="323"/>
      <c r="GK214" s="323"/>
      <c r="GL214" s="323"/>
      <c r="GM214" s="323"/>
      <c r="GN214" s="323"/>
      <c r="GO214" s="323"/>
      <c r="GP214" s="323"/>
      <c r="GQ214" s="323"/>
      <c r="GR214" s="323"/>
      <c r="GS214" s="323"/>
      <c r="GT214" s="323"/>
      <c r="GU214" s="323"/>
      <c r="GV214" s="323"/>
      <c r="GW214" s="323"/>
      <c r="GX214" s="323"/>
      <c r="GY214" s="323"/>
      <c r="GZ214" s="323"/>
      <c r="HA214" s="323"/>
      <c r="HB214" s="323"/>
      <c r="HC214" s="323"/>
      <c r="HD214" s="323"/>
      <c r="HE214" s="323"/>
      <c r="HF214" s="323"/>
      <c r="HG214" s="323"/>
      <c r="HH214" s="323"/>
      <c r="HI214" s="323"/>
      <c r="HJ214" s="323"/>
      <c r="HK214" s="323"/>
      <c r="HL214" s="323"/>
      <c r="HM214" s="323"/>
      <c r="HN214" s="323"/>
      <c r="HO214" s="323"/>
      <c r="HP214" s="323"/>
      <c r="HQ214" s="323"/>
      <c r="HR214" s="323"/>
      <c r="HS214" s="323"/>
      <c r="HT214" s="323"/>
      <c r="HU214" s="323"/>
      <c r="HV214" s="323"/>
      <c r="HW214" s="323"/>
      <c r="HX214" s="323"/>
      <c r="HY214" s="323"/>
      <c r="HZ214" s="323"/>
      <c r="IA214" s="323"/>
      <c r="IB214" s="323"/>
      <c r="IC214" s="323"/>
      <c r="ID214" s="323"/>
      <c r="IE214" s="323"/>
      <c r="IF214" s="323"/>
      <c r="IG214" s="323"/>
      <c r="IH214" s="323"/>
      <c r="II214" s="323"/>
      <c r="IJ214" s="323"/>
      <c r="IK214" s="323"/>
      <c r="IL214" s="323"/>
      <c r="IM214" s="323"/>
      <c r="IN214" s="323"/>
      <c r="IO214" s="323"/>
      <c r="IP214" s="323"/>
      <c r="IQ214" s="323"/>
      <c r="IR214" s="323"/>
      <c r="IS214" s="323"/>
      <c r="IT214" s="323"/>
      <c r="IU214" s="323"/>
      <c r="IV214" s="323"/>
    </row>
    <row r="215" spans="1:256" hidden="1">
      <c r="A215" s="334">
        <v>39955</v>
      </c>
      <c r="B215" s="334" t="s">
        <v>554</v>
      </c>
      <c r="C215" s="335">
        <v>91</v>
      </c>
      <c r="D215" s="334">
        <v>40046</v>
      </c>
      <c r="E215" s="338">
        <v>15</v>
      </c>
      <c r="F215" s="336">
        <v>17.549600000000002</v>
      </c>
      <c r="G215" s="336">
        <v>3.6778</v>
      </c>
      <c r="H215" s="336">
        <v>2.58</v>
      </c>
      <c r="I215" s="336">
        <v>2.5799999999999997E-2</v>
      </c>
      <c r="J215" s="336">
        <v>2.58</v>
      </c>
      <c r="L215" s="335">
        <v>5</v>
      </c>
    </row>
    <row r="216" spans="1:256" s="351" customFormat="1" hidden="1">
      <c r="A216" s="347">
        <v>39959</v>
      </c>
      <c r="B216" s="347" t="s">
        <v>555</v>
      </c>
      <c r="C216" s="348">
        <v>182</v>
      </c>
      <c r="D216" s="347">
        <v>40141</v>
      </c>
      <c r="E216" s="349">
        <v>8</v>
      </c>
      <c r="F216" s="350">
        <v>18.138999999999999</v>
      </c>
      <c r="G216" s="350">
        <v>8</v>
      </c>
      <c r="H216" s="350">
        <v>2.77</v>
      </c>
      <c r="I216" s="350">
        <v>3.5099999999999999E-2</v>
      </c>
      <c r="J216" s="350">
        <v>3.1</v>
      </c>
      <c r="L216" s="348">
        <v>5</v>
      </c>
      <c r="M216" s="323"/>
      <c r="N216" s="323"/>
      <c r="O216" s="323"/>
      <c r="P216" s="323"/>
      <c r="Q216" s="323"/>
      <c r="R216" s="323"/>
      <c r="S216" s="323"/>
      <c r="T216" s="323"/>
      <c r="U216" s="323"/>
      <c r="V216" s="323"/>
      <c r="W216" s="323"/>
      <c r="X216" s="323"/>
      <c r="Y216" s="323"/>
      <c r="Z216" s="323"/>
      <c r="AA216" s="323"/>
      <c r="AB216" s="323"/>
      <c r="AC216" s="323"/>
      <c r="AD216" s="323"/>
      <c r="AE216" s="323"/>
      <c r="AF216" s="323"/>
      <c r="AG216" s="323"/>
      <c r="AH216" s="323"/>
      <c r="AI216" s="323"/>
      <c r="AJ216" s="323"/>
      <c r="AK216" s="323"/>
      <c r="AL216" s="323"/>
      <c r="AM216" s="323"/>
      <c r="AN216" s="323"/>
      <c r="AO216" s="323"/>
      <c r="AP216" s="323"/>
      <c r="AQ216" s="323"/>
      <c r="AR216" s="323"/>
      <c r="AS216" s="323"/>
      <c r="AT216" s="323"/>
      <c r="AU216" s="323"/>
      <c r="AV216" s="323"/>
      <c r="AW216" s="323"/>
      <c r="AX216" s="323"/>
      <c r="AY216" s="323"/>
      <c r="AZ216" s="323"/>
      <c r="BA216" s="323"/>
      <c r="BB216" s="323"/>
      <c r="BC216" s="323"/>
      <c r="BD216" s="323"/>
      <c r="BE216" s="323"/>
      <c r="BF216" s="323"/>
      <c r="BG216" s="323"/>
      <c r="BH216" s="323"/>
      <c r="BI216" s="323"/>
      <c r="BJ216" s="323"/>
      <c r="BK216" s="323"/>
      <c r="BL216" s="323"/>
      <c r="BM216" s="323"/>
      <c r="BN216" s="323"/>
      <c r="BO216" s="323"/>
      <c r="BP216" s="323"/>
      <c r="BQ216" s="323"/>
      <c r="BR216" s="323"/>
      <c r="BS216" s="323"/>
      <c r="BT216" s="323"/>
      <c r="BU216" s="323"/>
      <c r="BV216" s="323"/>
      <c r="BW216" s="323"/>
      <c r="BX216" s="323"/>
      <c r="BY216" s="323"/>
      <c r="BZ216" s="323"/>
      <c r="CA216" s="323"/>
      <c r="CB216" s="323"/>
      <c r="CC216" s="323"/>
      <c r="CD216" s="323"/>
      <c r="CE216" s="323"/>
      <c r="CF216" s="323"/>
      <c r="CG216" s="323"/>
      <c r="CH216" s="323"/>
      <c r="CI216" s="323"/>
      <c r="CJ216" s="323"/>
      <c r="CK216" s="323"/>
      <c r="CL216" s="323"/>
      <c r="CM216" s="323"/>
      <c r="CN216" s="323"/>
      <c r="CO216" s="323"/>
      <c r="CP216" s="323"/>
      <c r="CQ216" s="323"/>
      <c r="CR216" s="323"/>
      <c r="CS216" s="323"/>
      <c r="CT216" s="323"/>
      <c r="CU216" s="323"/>
      <c r="CV216" s="323"/>
      <c r="CW216" s="323"/>
      <c r="CX216" s="323"/>
      <c r="CY216" s="323"/>
      <c r="CZ216" s="323"/>
      <c r="DA216" s="323"/>
      <c r="DB216" s="323"/>
      <c r="DC216" s="323"/>
      <c r="DD216" s="323"/>
      <c r="DE216" s="323"/>
      <c r="DF216" s="323"/>
      <c r="DG216" s="323"/>
      <c r="DH216" s="323"/>
      <c r="DI216" s="323"/>
      <c r="DJ216" s="323"/>
      <c r="DK216" s="323"/>
      <c r="DL216" s="323"/>
      <c r="DM216" s="323"/>
      <c r="DN216" s="323"/>
      <c r="DO216" s="323"/>
      <c r="DP216" s="323"/>
      <c r="DQ216" s="323"/>
      <c r="DR216" s="323"/>
      <c r="DS216" s="323"/>
      <c r="DT216" s="323"/>
      <c r="DU216" s="323"/>
      <c r="DV216" s="323"/>
      <c r="DW216" s="323"/>
      <c r="DX216" s="323"/>
      <c r="DY216" s="323"/>
      <c r="DZ216" s="323"/>
      <c r="EA216" s="323"/>
      <c r="EB216" s="323"/>
      <c r="EC216" s="323"/>
      <c r="ED216" s="323"/>
      <c r="EE216" s="323"/>
      <c r="EF216" s="323"/>
      <c r="EG216" s="323"/>
      <c r="EH216" s="323"/>
      <c r="EI216" s="323"/>
      <c r="EJ216" s="323"/>
      <c r="EK216" s="323"/>
      <c r="EL216" s="323"/>
      <c r="EM216" s="323"/>
      <c r="EN216" s="323"/>
      <c r="EO216" s="323"/>
      <c r="EP216" s="323"/>
      <c r="EQ216" s="323"/>
      <c r="ER216" s="323"/>
      <c r="ES216" s="323"/>
      <c r="ET216" s="323"/>
      <c r="EU216" s="323"/>
      <c r="EV216" s="323"/>
      <c r="EW216" s="323"/>
      <c r="EX216" s="323"/>
      <c r="EY216" s="323"/>
      <c r="EZ216" s="323"/>
      <c r="FA216" s="323"/>
      <c r="FB216" s="323"/>
      <c r="FC216" s="323"/>
      <c r="FD216" s="323"/>
      <c r="FE216" s="323"/>
      <c r="FF216" s="323"/>
      <c r="FG216" s="323"/>
      <c r="FH216" s="323"/>
      <c r="FI216" s="323"/>
      <c r="FJ216" s="323"/>
      <c r="FK216" s="323"/>
      <c r="FL216" s="323"/>
      <c r="FM216" s="323"/>
      <c r="FN216" s="323"/>
      <c r="FO216" s="323"/>
      <c r="FP216" s="323"/>
      <c r="FQ216" s="323"/>
      <c r="FR216" s="323"/>
      <c r="FS216" s="323"/>
      <c r="FT216" s="323"/>
      <c r="FU216" s="323"/>
      <c r="FV216" s="323"/>
      <c r="FW216" s="323"/>
      <c r="FX216" s="323"/>
      <c r="FY216" s="323"/>
      <c r="FZ216" s="323"/>
      <c r="GA216" s="323"/>
      <c r="GB216" s="323"/>
      <c r="GC216" s="323"/>
      <c r="GD216" s="323"/>
      <c r="GE216" s="323"/>
      <c r="GF216" s="323"/>
      <c r="GG216" s="323"/>
      <c r="GH216" s="323"/>
      <c r="GI216" s="323"/>
      <c r="GJ216" s="323"/>
      <c r="GK216" s="323"/>
      <c r="GL216" s="323"/>
      <c r="GM216" s="323"/>
      <c r="GN216" s="323"/>
      <c r="GO216" s="323"/>
      <c r="GP216" s="323"/>
      <c r="GQ216" s="323"/>
      <c r="GR216" s="323"/>
      <c r="GS216" s="323"/>
      <c r="GT216" s="323"/>
      <c r="GU216" s="323"/>
      <c r="GV216" s="323"/>
      <c r="GW216" s="323"/>
      <c r="GX216" s="323"/>
      <c r="GY216" s="323"/>
      <c r="GZ216" s="323"/>
      <c r="HA216" s="323"/>
      <c r="HB216" s="323"/>
      <c r="HC216" s="323"/>
      <c r="HD216" s="323"/>
      <c r="HE216" s="323"/>
      <c r="HF216" s="323"/>
      <c r="HG216" s="323"/>
      <c r="HH216" s="323"/>
      <c r="HI216" s="323"/>
      <c r="HJ216" s="323"/>
      <c r="HK216" s="323"/>
      <c r="HL216" s="323"/>
      <c r="HM216" s="323"/>
      <c r="HN216" s="323"/>
      <c r="HO216" s="323"/>
      <c r="HP216" s="323"/>
      <c r="HQ216" s="323"/>
      <c r="HR216" s="323"/>
      <c r="HS216" s="323"/>
      <c r="HT216" s="323"/>
      <c r="HU216" s="323"/>
      <c r="HV216" s="323"/>
      <c r="HW216" s="323"/>
      <c r="HX216" s="323"/>
      <c r="HY216" s="323"/>
      <c r="HZ216" s="323"/>
      <c r="IA216" s="323"/>
      <c r="IB216" s="323"/>
      <c r="IC216" s="323"/>
      <c r="ID216" s="323"/>
      <c r="IE216" s="323"/>
      <c r="IF216" s="323"/>
      <c r="IG216" s="323"/>
      <c r="IH216" s="323"/>
      <c r="II216" s="323"/>
      <c r="IJ216" s="323"/>
      <c r="IK216" s="323"/>
      <c r="IL216" s="323"/>
      <c r="IM216" s="323"/>
      <c r="IN216" s="323"/>
      <c r="IO216" s="323"/>
      <c r="IP216" s="323"/>
      <c r="IQ216" s="323"/>
      <c r="IR216" s="323"/>
      <c r="IS216" s="323"/>
      <c r="IT216" s="323"/>
      <c r="IU216" s="323"/>
      <c r="IV216" s="323"/>
    </row>
    <row r="217" spans="1:256" hidden="1">
      <c r="A217" s="334">
        <v>39962</v>
      </c>
      <c r="B217" s="334" t="s">
        <v>556</v>
      </c>
      <c r="C217" s="335">
        <v>728</v>
      </c>
      <c r="D217" s="334">
        <v>40690</v>
      </c>
      <c r="E217" s="338">
        <v>2</v>
      </c>
      <c r="F217" s="336">
        <v>0</v>
      </c>
      <c r="G217" s="336">
        <v>0</v>
      </c>
      <c r="H217" s="336">
        <v>0</v>
      </c>
      <c r="I217" s="336">
        <v>0</v>
      </c>
      <c r="J217" s="336">
        <v>0</v>
      </c>
      <c r="L217" s="335">
        <v>0</v>
      </c>
    </row>
    <row r="218" spans="1:256" s="351" customFormat="1" hidden="1">
      <c r="A218" s="347">
        <v>39962</v>
      </c>
      <c r="B218" s="347" t="s">
        <v>557</v>
      </c>
      <c r="C218" s="348">
        <v>1092</v>
      </c>
      <c r="D218" s="347">
        <v>41054</v>
      </c>
      <c r="E218" s="349">
        <v>3</v>
      </c>
      <c r="F218" s="350">
        <v>0</v>
      </c>
      <c r="G218" s="350">
        <v>0</v>
      </c>
      <c r="H218" s="350">
        <v>0</v>
      </c>
      <c r="I218" s="350">
        <v>0</v>
      </c>
      <c r="J218" s="350">
        <v>0</v>
      </c>
      <c r="L218" s="348">
        <v>0</v>
      </c>
      <c r="M218" s="323"/>
      <c r="N218" s="323"/>
      <c r="O218" s="323"/>
      <c r="P218" s="323"/>
      <c r="Q218" s="323"/>
      <c r="R218" s="323"/>
      <c r="S218" s="323"/>
      <c r="T218" s="323"/>
      <c r="U218" s="323"/>
      <c r="V218" s="323"/>
      <c r="W218" s="323"/>
      <c r="X218" s="323"/>
      <c r="Y218" s="323"/>
      <c r="Z218" s="323"/>
      <c r="AA218" s="323"/>
      <c r="AB218" s="323"/>
      <c r="AC218" s="323"/>
      <c r="AD218" s="323"/>
      <c r="AE218" s="323"/>
      <c r="AF218" s="323"/>
      <c r="AG218" s="323"/>
      <c r="AH218" s="323"/>
      <c r="AI218" s="323"/>
      <c r="AJ218" s="323"/>
      <c r="AK218" s="323"/>
      <c r="AL218" s="323"/>
      <c r="AM218" s="323"/>
      <c r="AN218" s="323"/>
      <c r="AO218" s="323"/>
      <c r="AP218" s="323"/>
      <c r="AQ218" s="323"/>
      <c r="AR218" s="323"/>
      <c r="AS218" s="323"/>
      <c r="AT218" s="323"/>
      <c r="AU218" s="323"/>
      <c r="AV218" s="323"/>
      <c r="AW218" s="323"/>
      <c r="AX218" s="323"/>
      <c r="AY218" s="323"/>
      <c r="AZ218" s="323"/>
      <c r="BA218" s="323"/>
      <c r="BB218" s="323"/>
      <c r="BC218" s="323"/>
      <c r="BD218" s="323"/>
      <c r="BE218" s="323"/>
      <c r="BF218" s="323"/>
      <c r="BG218" s="323"/>
      <c r="BH218" s="323"/>
      <c r="BI218" s="323"/>
      <c r="BJ218" s="323"/>
      <c r="BK218" s="323"/>
      <c r="BL218" s="323"/>
      <c r="BM218" s="323"/>
      <c r="BN218" s="323"/>
      <c r="BO218" s="323"/>
      <c r="BP218" s="323"/>
      <c r="BQ218" s="323"/>
      <c r="BR218" s="323"/>
      <c r="BS218" s="323"/>
      <c r="BT218" s="323"/>
      <c r="BU218" s="323"/>
      <c r="BV218" s="323"/>
      <c r="BW218" s="323"/>
      <c r="BX218" s="323"/>
      <c r="BY218" s="323"/>
      <c r="BZ218" s="323"/>
      <c r="CA218" s="323"/>
      <c r="CB218" s="323"/>
      <c r="CC218" s="323"/>
      <c r="CD218" s="323"/>
      <c r="CE218" s="323"/>
      <c r="CF218" s="323"/>
      <c r="CG218" s="323"/>
      <c r="CH218" s="323"/>
      <c r="CI218" s="323"/>
      <c r="CJ218" s="323"/>
      <c r="CK218" s="323"/>
      <c r="CL218" s="323"/>
      <c r="CM218" s="323"/>
      <c r="CN218" s="323"/>
      <c r="CO218" s="323"/>
      <c r="CP218" s="323"/>
      <c r="CQ218" s="323"/>
      <c r="CR218" s="323"/>
      <c r="CS218" s="323"/>
      <c r="CT218" s="323"/>
      <c r="CU218" s="323"/>
      <c r="CV218" s="323"/>
      <c r="CW218" s="323"/>
      <c r="CX218" s="323"/>
      <c r="CY218" s="323"/>
      <c r="CZ218" s="323"/>
      <c r="DA218" s="323"/>
      <c r="DB218" s="323"/>
      <c r="DC218" s="323"/>
      <c r="DD218" s="323"/>
      <c r="DE218" s="323"/>
      <c r="DF218" s="323"/>
      <c r="DG218" s="323"/>
      <c r="DH218" s="323"/>
      <c r="DI218" s="323"/>
      <c r="DJ218" s="323"/>
      <c r="DK218" s="323"/>
      <c r="DL218" s="323"/>
      <c r="DM218" s="323"/>
      <c r="DN218" s="323"/>
      <c r="DO218" s="323"/>
      <c r="DP218" s="323"/>
      <c r="DQ218" s="323"/>
      <c r="DR218" s="323"/>
      <c r="DS218" s="323"/>
      <c r="DT218" s="323"/>
      <c r="DU218" s="323"/>
      <c r="DV218" s="323"/>
      <c r="DW218" s="323"/>
      <c r="DX218" s="323"/>
      <c r="DY218" s="323"/>
      <c r="DZ218" s="323"/>
      <c r="EA218" s="323"/>
      <c r="EB218" s="323"/>
      <c r="EC218" s="323"/>
      <c r="ED218" s="323"/>
      <c r="EE218" s="323"/>
      <c r="EF218" s="323"/>
      <c r="EG218" s="323"/>
      <c r="EH218" s="323"/>
      <c r="EI218" s="323"/>
      <c r="EJ218" s="323"/>
      <c r="EK218" s="323"/>
      <c r="EL218" s="323"/>
      <c r="EM218" s="323"/>
      <c r="EN218" s="323"/>
      <c r="EO218" s="323"/>
      <c r="EP218" s="323"/>
      <c r="EQ218" s="323"/>
      <c r="ER218" s="323"/>
      <c r="ES218" s="323"/>
      <c r="ET218" s="323"/>
      <c r="EU218" s="323"/>
      <c r="EV218" s="323"/>
      <c r="EW218" s="323"/>
      <c r="EX218" s="323"/>
      <c r="EY218" s="323"/>
      <c r="EZ218" s="323"/>
      <c r="FA218" s="323"/>
      <c r="FB218" s="323"/>
      <c r="FC218" s="323"/>
      <c r="FD218" s="323"/>
      <c r="FE218" s="323"/>
      <c r="FF218" s="323"/>
      <c r="FG218" s="323"/>
      <c r="FH218" s="323"/>
      <c r="FI218" s="323"/>
      <c r="FJ218" s="323"/>
      <c r="FK218" s="323"/>
      <c r="FL218" s="323"/>
      <c r="FM218" s="323"/>
      <c r="FN218" s="323"/>
      <c r="FO218" s="323"/>
      <c r="FP218" s="323"/>
      <c r="FQ218" s="323"/>
      <c r="FR218" s="323"/>
      <c r="FS218" s="323"/>
      <c r="FT218" s="323"/>
      <c r="FU218" s="323"/>
      <c r="FV218" s="323"/>
      <c r="FW218" s="323"/>
      <c r="FX218" s="323"/>
      <c r="FY218" s="323"/>
      <c r="FZ218" s="323"/>
      <c r="GA218" s="323"/>
      <c r="GB218" s="323"/>
      <c r="GC218" s="323"/>
      <c r="GD218" s="323"/>
      <c r="GE218" s="323"/>
      <c r="GF218" s="323"/>
      <c r="GG218" s="323"/>
      <c r="GH218" s="323"/>
      <c r="GI218" s="323"/>
      <c r="GJ218" s="323"/>
      <c r="GK218" s="323"/>
      <c r="GL218" s="323"/>
      <c r="GM218" s="323"/>
      <c r="GN218" s="323"/>
      <c r="GO218" s="323"/>
      <c r="GP218" s="323"/>
      <c r="GQ218" s="323"/>
      <c r="GR218" s="323"/>
      <c r="GS218" s="323"/>
      <c r="GT218" s="323"/>
      <c r="GU218" s="323"/>
      <c r="GV218" s="323"/>
      <c r="GW218" s="323"/>
      <c r="GX218" s="323"/>
      <c r="GY218" s="323"/>
      <c r="GZ218" s="323"/>
      <c r="HA218" s="323"/>
      <c r="HB218" s="323"/>
      <c r="HC218" s="323"/>
      <c r="HD218" s="323"/>
      <c r="HE218" s="323"/>
      <c r="HF218" s="323"/>
      <c r="HG218" s="323"/>
      <c r="HH218" s="323"/>
      <c r="HI218" s="323"/>
      <c r="HJ218" s="323"/>
      <c r="HK218" s="323"/>
      <c r="HL218" s="323"/>
      <c r="HM218" s="323"/>
      <c r="HN218" s="323"/>
      <c r="HO218" s="323"/>
      <c r="HP218" s="323"/>
      <c r="HQ218" s="323"/>
      <c r="HR218" s="323"/>
      <c r="HS218" s="323"/>
      <c r="HT218" s="323"/>
      <c r="HU218" s="323"/>
      <c r="HV218" s="323"/>
      <c r="HW218" s="323"/>
      <c r="HX218" s="323"/>
      <c r="HY218" s="323"/>
      <c r="HZ218" s="323"/>
      <c r="IA218" s="323"/>
      <c r="IB218" s="323"/>
      <c r="IC218" s="323"/>
      <c r="ID218" s="323"/>
      <c r="IE218" s="323"/>
      <c r="IF218" s="323"/>
      <c r="IG218" s="323"/>
      <c r="IH218" s="323"/>
      <c r="II218" s="323"/>
      <c r="IJ218" s="323"/>
      <c r="IK218" s="323"/>
      <c r="IL218" s="323"/>
      <c r="IM218" s="323"/>
      <c r="IN218" s="323"/>
      <c r="IO218" s="323"/>
      <c r="IP218" s="323"/>
      <c r="IQ218" s="323"/>
      <c r="IR218" s="323"/>
      <c r="IS218" s="323"/>
      <c r="IT218" s="323"/>
      <c r="IU218" s="323"/>
      <c r="IV218" s="323"/>
    </row>
    <row r="219" spans="1:256" hidden="1">
      <c r="A219" s="334">
        <v>39966</v>
      </c>
      <c r="B219" s="334" t="s">
        <v>558</v>
      </c>
      <c r="C219" s="335">
        <v>35</v>
      </c>
      <c r="D219" s="334">
        <v>40001</v>
      </c>
      <c r="E219" s="338">
        <v>18</v>
      </c>
      <c r="F219" s="336">
        <v>19.368600000000001</v>
      </c>
      <c r="G219" s="336">
        <v>16.1112</v>
      </c>
      <c r="H219" s="336">
        <v>2.2999999999999998</v>
      </c>
      <c r="I219" s="336">
        <v>2.93</v>
      </c>
      <c r="J219" s="336">
        <v>2.5100000000000002</v>
      </c>
      <c r="L219" s="335">
        <v>5</v>
      </c>
      <c r="N219" s="323" t="s">
        <v>115</v>
      </c>
    </row>
    <row r="220" spans="1:256" s="351" customFormat="1" hidden="1">
      <c r="A220" s="347">
        <v>39966</v>
      </c>
      <c r="B220" s="347" t="s">
        <v>559</v>
      </c>
      <c r="C220" s="348">
        <v>364</v>
      </c>
      <c r="D220" s="347">
        <v>40330</v>
      </c>
      <c r="E220" s="349">
        <v>3</v>
      </c>
      <c r="F220" s="350">
        <v>3.0486</v>
      </c>
      <c r="G220" s="350">
        <v>0</v>
      </c>
      <c r="H220" s="350">
        <v>0</v>
      </c>
      <c r="I220" s="350">
        <v>0</v>
      </c>
      <c r="J220" s="350">
        <v>0</v>
      </c>
      <c r="L220" s="348">
        <v>2</v>
      </c>
      <c r="M220" s="323"/>
      <c r="N220" s="323"/>
      <c r="O220" s="323"/>
      <c r="P220" s="323"/>
      <c r="Q220" s="323"/>
      <c r="R220" s="323"/>
      <c r="S220" s="323"/>
      <c r="T220" s="323"/>
      <c r="U220" s="323"/>
      <c r="V220" s="323"/>
      <c r="W220" s="323"/>
      <c r="X220" s="323"/>
      <c r="Y220" s="323"/>
      <c r="Z220" s="323"/>
      <c r="AA220" s="323"/>
      <c r="AB220" s="323"/>
      <c r="AC220" s="323"/>
      <c r="AD220" s="323"/>
      <c r="AE220" s="323"/>
      <c r="AF220" s="323"/>
      <c r="AG220" s="323"/>
      <c r="AH220" s="323"/>
      <c r="AI220" s="323"/>
      <c r="AJ220" s="323"/>
      <c r="AK220" s="323"/>
      <c r="AL220" s="323"/>
      <c r="AM220" s="323"/>
      <c r="AN220" s="323"/>
      <c r="AO220" s="323"/>
      <c r="AP220" s="323"/>
      <c r="AQ220" s="323"/>
      <c r="AR220" s="323"/>
      <c r="AS220" s="323"/>
      <c r="AT220" s="323"/>
      <c r="AU220" s="323"/>
      <c r="AV220" s="323"/>
      <c r="AW220" s="323"/>
      <c r="AX220" s="323"/>
      <c r="AY220" s="323"/>
      <c r="AZ220" s="323"/>
      <c r="BA220" s="323"/>
      <c r="BB220" s="323"/>
      <c r="BC220" s="323"/>
      <c r="BD220" s="323"/>
      <c r="BE220" s="323"/>
      <c r="BF220" s="323"/>
      <c r="BG220" s="323"/>
      <c r="BH220" s="323"/>
      <c r="BI220" s="323"/>
      <c r="BJ220" s="323"/>
      <c r="BK220" s="323"/>
      <c r="BL220" s="323"/>
      <c r="BM220" s="323"/>
      <c r="BN220" s="323"/>
      <c r="BO220" s="323"/>
      <c r="BP220" s="323"/>
      <c r="BQ220" s="323"/>
      <c r="BR220" s="323"/>
      <c r="BS220" s="323"/>
      <c r="BT220" s="323"/>
      <c r="BU220" s="323"/>
      <c r="BV220" s="323"/>
      <c r="BW220" s="323"/>
      <c r="BX220" s="323"/>
      <c r="BY220" s="323"/>
      <c r="BZ220" s="323"/>
      <c r="CA220" s="323"/>
      <c r="CB220" s="323"/>
      <c r="CC220" s="323"/>
      <c r="CD220" s="323"/>
      <c r="CE220" s="323"/>
      <c r="CF220" s="323"/>
      <c r="CG220" s="323"/>
      <c r="CH220" s="323"/>
      <c r="CI220" s="323"/>
      <c r="CJ220" s="323"/>
      <c r="CK220" s="323"/>
      <c r="CL220" s="323"/>
      <c r="CM220" s="323"/>
      <c r="CN220" s="323"/>
      <c r="CO220" s="323"/>
      <c r="CP220" s="323"/>
      <c r="CQ220" s="323"/>
      <c r="CR220" s="323"/>
      <c r="CS220" s="323"/>
      <c r="CT220" s="323"/>
      <c r="CU220" s="323"/>
      <c r="CV220" s="323"/>
      <c r="CW220" s="323"/>
      <c r="CX220" s="323"/>
      <c r="CY220" s="323"/>
      <c r="CZ220" s="323"/>
      <c r="DA220" s="323"/>
      <c r="DB220" s="323"/>
      <c r="DC220" s="323"/>
      <c r="DD220" s="323"/>
      <c r="DE220" s="323"/>
      <c r="DF220" s="323"/>
      <c r="DG220" s="323"/>
      <c r="DH220" s="323"/>
      <c r="DI220" s="323"/>
      <c r="DJ220" s="323"/>
      <c r="DK220" s="323"/>
      <c r="DL220" s="323"/>
      <c r="DM220" s="323"/>
      <c r="DN220" s="323"/>
      <c r="DO220" s="323"/>
      <c r="DP220" s="323"/>
      <c r="DQ220" s="323"/>
      <c r="DR220" s="323"/>
      <c r="DS220" s="323"/>
      <c r="DT220" s="323"/>
      <c r="DU220" s="323"/>
      <c r="DV220" s="323"/>
      <c r="DW220" s="323"/>
      <c r="DX220" s="323"/>
      <c r="DY220" s="323"/>
      <c r="DZ220" s="323"/>
      <c r="EA220" s="323"/>
      <c r="EB220" s="323"/>
      <c r="EC220" s="323"/>
      <c r="ED220" s="323"/>
      <c r="EE220" s="323"/>
      <c r="EF220" s="323"/>
      <c r="EG220" s="323"/>
      <c r="EH220" s="323"/>
      <c r="EI220" s="323"/>
      <c r="EJ220" s="323"/>
      <c r="EK220" s="323"/>
      <c r="EL220" s="323"/>
      <c r="EM220" s="323"/>
      <c r="EN220" s="323"/>
      <c r="EO220" s="323"/>
      <c r="EP220" s="323"/>
      <c r="EQ220" s="323"/>
      <c r="ER220" s="323"/>
      <c r="ES220" s="323"/>
      <c r="ET220" s="323"/>
      <c r="EU220" s="323"/>
      <c r="EV220" s="323"/>
      <c r="EW220" s="323"/>
      <c r="EX220" s="323"/>
      <c r="EY220" s="323"/>
      <c r="EZ220" s="323"/>
      <c r="FA220" s="323"/>
      <c r="FB220" s="323"/>
      <c r="FC220" s="323"/>
      <c r="FD220" s="323"/>
      <c r="FE220" s="323"/>
      <c r="FF220" s="323"/>
      <c r="FG220" s="323"/>
      <c r="FH220" s="323"/>
      <c r="FI220" s="323"/>
      <c r="FJ220" s="323"/>
      <c r="FK220" s="323"/>
      <c r="FL220" s="323"/>
      <c r="FM220" s="323"/>
      <c r="FN220" s="323"/>
      <c r="FO220" s="323"/>
      <c r="FP220" s="323"/>
      <c r="FQ220" s="323"/>
      <c r="FR220" s="323"/>
      <c r="FS220" s="323"/>
      <c r="FT220" s="323"/>
      <c r="FU220" s="323"/>
      <c r="FV220" s="323"/>
      <c r="FW220" s="323"/>
      <c r="FX220" s="323"/>
      <c r="FY220" s="323"/>
      <c r="FZ220" s="323"/>
      <c r="GA220" s="323"/>
      <c r="GB220" s="323"/>
      <c r="GC220" s="323"/>
      <c r="GD220" s="323"/>
      <c r="GE220" s="323"/>
      <c r="GF220" s="323"/>
      <c r="GG220" s="323"/>
      <c r="GH220" s="323"/>
      <c r="GI220" s="323"/>
      <c r="GJ220" s="323"/>
      <c r="GK220" s="323"/>
      <c r="GL220" s="323"/>
      <c r="GM220" s="323"/>
      <c r="GN220" s="323"/>
      <c r="GO220" s="323"/>
      <c r="GP220" s="323"/>
      <c r="GQ220" s="323"/>
      <c r="GR220" s="323"/>
      <c r="GS220" s="323"/>
      <c r="GT220" s="323"/>
      <c r="GU220" s="323"/>
      <c r="GV220" s="323"/>
      <c r="GW220" s="323"/>
      <c r="GX220" s="323"/>
      <c r="GY220" s="323"/>
      <c r="GZ220" s="323"/>
      <c r="HA220" s="323"/>
      <c r="HB220" s="323"/>
      <c r="HC220" s="323"/>
      <c r="HD220" s="323"/>
      <c r="HE220" s="323"/>
      <c r="HF220" s="323"/>
      <c r="HG220" s="323"/>
      <c r="HH220" s="323"/>
      <c r="HI220" s="323"/>
      <c r="HJ220" s="323"/>
      <c r="HK220" s="323"/>
      <c r="HL220" s="323"/>
      <c r="HM220" s="323"/>
      <c r="HN220" s="323"/>
      <c r="HO220" s="323"/>
      <c r="HP220" s="323"/>
      <c r="HQ220" s="323"/>
      <c r="HR220" s="323"/>
      <c r="HS220" s="323"/>
      <c r="HT220" s="323"/>
      <c r="HU220" s="323"/>
      <c r="HV220" s="323"/>
      <c r="HW220" s="323"/>
      <c r="HX220" s="323"/>
      <c r="HY220" s="323"/>
      <c r="HZ220" s="323"/>
      <c r="IA220" s="323"/>
      <c r="IB220" s="323"/>
      <c r="IC220" s="323"/>
      <c r="ID220" s="323"/>
      <c r="IE220" s="323"/>
      <c r="IF220" s="323"/>
      <c r="IG220" s="323"/>
      <c r="IH220" s="323"/>
      <c r="II220" s="323"/>
      <c r="IJ220" s="323"/>
      <c r="IK220" s="323"/>
      <c r="IL220" s="323"/>
      <c r="IM220" s="323"/>
      <c r="IN220" s="323"/>
      <c r="IO220" s="323"/>
      <c r="IP220" s="323"/>
      <c r="IQ220" s="323"/>
      <c r="IR220" s="323"/>
      <c r="IS220" s="323"/>
      <c r="IT220" s="323"/>
      <c r="IU220" s="323"/>
      <c r="IV220" s="323"/>
    </row>
    <row r="221" spans="1:256" hidden="1">
      <c r="A221" s="334">
        <v>39969</v>
      </c>
      <c r="B221" s="334" t="s">
        <v>560</v>
      </c>
      <c r="C221" s="335">
        <v>91</v>
      </c>
      <c r="D221" s="334">
        <v>40060</v>
      </c>
      <c r="E221" s="338">
        <v>18</v>
      </c>
      <c r="F221" s="336">
        <v>14.837400000000001</v>
      </c>
      <c r="G221" s="336">
        <v>14.837400000000001</v>
      </c>
      <c r="H221" s="336">
        <v>2.42</v>
      </c>
      <c r="I221" s="336">
        <v>2.58</v>
      </c>
      <c r="J221" s="336">
        <v>2.5</v>
      </c>
      <c r="L221" s="335">
        <v>3</v>
      </c>
    </row>
    <row r="222" spans="1:256" s="351" customFormat="1" hidden="1">
      <c r="A222" s="347">
        <v>39973</v>
      </c>
      <c r="B222" s="347" t="s">
        <v>561</v>
      </c>
      <c r="C222" s="348">
        <v>182</v>
      </c>
      <c r="D222" s="347">
        <v>40155</v>
      </c>
      <c r="E222" s="349">
        <v>7</v>
      </c>
      <c r="F222" s="350">
        <v>13.762</v>
      </c>
      <c r="G222" s="350">
        <v>7</v>
      </c>
      <c r="H222" s="350">
        <v>2.5</v>
      </c>
      <c r="I222" s="350">
        <v>3.51</v>
      </c>
      <c r="J222" s="350">
        <v>3.2</v>
      </c>
      <c r="L222" s="348">
        <v>3</v>
      </c>
      <c r="M222" s="323"/>
      <c r="N222" s="323"/>
      <c r="O222" s="323"/>
      <c r="P222" s="323"/>
      <c r="Q222" s="323"/>
      <c r="R222" s="323"/>
      <c r="S222" s="323"/>
      <c r="T222" s="323"/>
      <c r="U222" s="323"/>
      <c r="V222" s="323"/>
      <c r="W222" s="323"/>
      <c r="X222" s="323"/>
      <c r="Y222" s="323"/>
      <c r="Z222" s="323"/>
      <c r="AA222" s="323"/>
      <c r="AB222" s="323"/>
      <c r="AC222" s="323"/>
      <c r="AD222" s="323"/>
      <c r="AE222" s="323"/>
      <c r="AF222" s="323"/>
      <c r="AG222" s="323"/>
      <c r="AH222" s="323"/>
      <c r="AI222" s="323"/>
      <c r="AJ222" s="323"/>
      <c r="AK222" s="323"/>
      <c r="AL222" s="323"/>
      <c r="AM222" s="323"/>
      <c r="AN222" s="323"/>
      <c r="AO222" s="323"/>
      <c r="AP222" s="323"/>
      <c r="AQ222" s="323"/>
      <c r="AR222" s="323"/>
      <c r="AS222" s="323"/>
      <c r="AT222" s="323"/>
      <c r="AU222" s="323"/>
      <c r="AV222" s="323"/>
      <c r="AW222" s="323"/>
      <c r="AX222" s="323"/>
      <c r="AY222" s="323"/>
      <c r="AZ222" s="323"/>
      <c r="BA222" s="323"/>
      <c r="BB222" s="323"/>
      <c r="BC222" s="323"/>
      <c r="BD222" s="323"/>
      <c r="BE222" s="323"/>
      <c r="BF222" s="323"/>
      <c r="BG222" s="323"/>
      <c r="BH222" s="323"/>
      <c r="BI222" s="323"/>
      <c r="BJ222" s="323"/>
      <c r="BK222" s="323"/>
      <c r="BL222" s="323"/>
      <c r="BM222" s="323"/>
      <c r="BN222" s="323"/>
      <c r="BO222" s="323"/>
      <c r="BP222" s="323"/>
      <c r="BQ222" s="323"/>
      <c r="BR222" s="323"/>
      <c r="BS222" s="323"/>
      <c r="BT222" s="323"/>
      <c r="BU222" s="323"/>
      <c r="BV222" s="323"/>
      <c r="BW222" s="323"/>
      <c r="BX222" s="323"/>
      <c r="BY222" s="323"/>
      <c r="BZ222" s="323"/>
      <c r="CA222" s="323"/>
      <c r="CB222" s="323"/>
      <c r="CC222" s="323"/>
      <c r="CD222" s="323"/>
      <c r="CE222" s="323"/>
      <c r="CF222" s="323"/>
      <c r="CG222" s="323"/>
      <c r="CH222" s="323"/>
      <c r="CI222" s="323"/>
      <c r="CJ222" s="323"/>
      <c r="CK222" s="323"/>
      <c r="CL222" s="323"/>
      <c r="CM222" s="323"/>
      <c r="CN222" s="323"/>
      <c r="CO222" s="323"/>
      <c r="CP222" s="323"/>
      <c r="CQ222" s="323"/>
      <c r="CR222" s="323"/>
      <c r="CS222" s="323"/>
      <c r="CT222" s="323"/>
      <c r="CU222" s="323"/>
      <c r="CV222" s="323"/>
      <c r="CW222" s="323"/>
      <c r="CX222" s="323"/>
      <c r="CY222" s="323"/>
      <c r="CZ222" s="323"/>
      <c r="DA222" s="323"/>
      <c r="DB222" s="323"/>
      <c r="DC222" s="323"/>
      <c r="DD222" s="323"/>
      <c r="DE222" s="323"/>
      <c r="DF222" s="323"/>
      <c r="DG222" s="323"/>
      <c r="DH222" s="323"/>
      <c r="DI222" s="323"/>
      <c r="DJ222" s="323"/>
      <c r="DK222" s="323"/>
      <c r="DL222" s="323"/>
      <c r="DM222" s="323"/>
      <c r="DN222" s="323"/>
      <c r="DO222" s="323"/>
      <c r="DP222" s="323"/>
      <c r="DQ222" s="323"/>
      <c r="DR222" s="323"/>
      <c r="DS222" s="323"/>
      <c r="DT222" s="323"/>
      <c r="DU222" s="323"/>
      <c r="DV222" s="323"/>
      <c r="DW222" s="323"/>
      <c r="DX222" s="323"/>
      <c r="DY222" s="323"/>
      <c r="DZ222" s="323"/>
      <c r="EA222" s="323"/>
      <c r="EB222" s="323"/>
      <c r="EC222" s="323"/>
      <c r="ED222" s="323"/>
      <c r="EE222" s="323"/>
      <c r="EF222" s="323"/>
      <c r="EG222" s="323"/>
      <c r="EH222" s="323"/>
      <c r="EI222" s="323"/>
      <c r="EJ222" s="323"/>
      <c r="EK222" s="323"/>
      <c r="EL222" s="323"/>
      <c r="EM222" s="323"/>
      <c r="EN222" s="323"/>
      <c r="EO222" s="323"/>
      <c r="EP222" s="323"/>
      <c r="EQ222" s="323"/>
      <c r="ER222" s="323"/>
      <c r="ES222" s="323"/>
      <c r="ET222" s="323"/>
      <c r="EU222" s="323"/>
      <c r="EV222" s="323"/>
      <c r="EW222" s="323"/>
      <c r="EX222" s="323"/>
      <c r="EY222" s="323"/>
      <c r="EZ222" s="323"/>
      <c r="FA222" s="323"/>
      <c r="FB222" s="323"/>
      <c r="FC222" s="323"/>
      <c r="FD222" s="323"/>
      <c r="FE222" s="323"/>
      <c r="FF222" s="323"/>
      <c r="FG222" s="323"/>
      <c r="FH222" s="323"/>
      <c r="FI222" s="323"/>
      <c r="FJ222" s="323"/>
      <c r="FK222" s="323"/>
      <c r="FL222" s="323"/>
      <c r="FM222" s="323"/>
      <c r="FN222" s="323"/>
      <c r="FO222" s="323"/>
      <c r="FP222" s="323"/>
      <c r="FQ222" s="323"/>
      <c r="FR222" s="323"/>
      <c r="FS222" s="323"/>
      <c r="FT222" s="323"/>
      <c r="FU222" s="323"/>
      <c r="FV222" s="323"/>
      <c r="FW222" s="323"/>
      <c r="FX222" s="323"/>
      <c r="FY222" s="323"/>
      <c r="FZ222" s="323"/>
      <c r="GA222" s="323"/>
      <c r="GB222" s="323"/>
      <c r="GC222" s="323"/>
      <c r="GD222" s="323"/>
      <c r="GE222" s="323"/>
      <c r="GF222" s="323"/>
      <c r="GG222" s="323"/>
      <c r="GH222" s="323"/>
      <c r="GI222" s="323"/>
      <c r="GJ222" s="323"/>
      <c r="GK222" s="323"/>
      <c r="GL222" s="323"/>
      <c r="GM222" s="323"/>
      <c r="GN222" s="323"/>
      <c r="GO222" s="323"/>
      <c r="GP222" s="323"/>
      <c r="GQ222" s="323"/>
      <c r="GR222" s="323"/>
      <c r="GS222" s="323"/>
      <c r="GT222" s="323"/>
      <c r="GU222" s="323"/>
      <c r="GV222" s="323"/>
      <c r="GW222" s="323"/>
      <c r="GX222" s="323"/>
      <c r="GY222" s="323"/>
      <c r="GZ222" s="323"/>
      <c r="HA222" s="323"/>
      <c r="HB222" s="323"/>
      <c r="HC222" s="323"/>
      <c r="HD222" s="323"/>
      <c r="HE222" s="323"/>
      <c r="HF222" s="323"/>
      <c r="HG222" s="323"/>
      <c r="HH222" s="323"/>
      <c r="HI222" s="323"/>
      <c r="HJ222" s="323"/>
      <c r="HK222" s="323"/>
      <c r="HL222" s="323"/>
      <c r="HM222" s="323"/>
      <c r="HN222" s="323"/>
      <c r="HO222" s="323"/>
      <c r="HP222" s="323"/>
      <c r="HQ222" s="323"/>
      <c r="HR222" s="323"/>
      <c r="HS222" s="323"/>
      <c r="HT222" s="323"/>
      <c r="HU222" s="323"/>
      <c r="HV222" s="323"/>
      <c r="HW222" s="323"/>
      <c r="HX222" s="323"/>
      <c r="HY222" s="323"/>
      <c r="HZ222" s="323"/>
      <c r="IA222" s="323"/>
      <c r="IB222" s="323"/>
      <c r="IC222" s="323"/>
      <c r="ID222" s="323"/>
      <c r="IE222" s="323"/>
      <c r="IF222" s="323"/>
      <c r="IG222" s="323"/>
      <c r="IH222" s="323"/>
      <c r="II222" s="323"/>
      <c r="IJ222" s="323"/>
      <c r="IK222" s="323"/>
      <c r="IL222" s="323"/>
      <c r="IM222" s="323"/>
      <c r="IN222" s="323"/>
      <c r="IO222" s="323"/>
      <c r="IP222" s="323"/>
      <c r="IQ222" s="323"/>
      <c r="IR222" s="323"/>
      <c r="IS222" s="323"/>
      <c r="IT222" s="323"/>
      <c r="IU222" s="323"/>
      <c r="IV222" s="323"/>
    </row>
    <row r="223" spans="1:256" hidden="1">
      <c r="A223" s="334">
        <v>39976</v>
      </c>
      <c r="B223" s="334" t="s">
        <v>562</v>
      </c>
      <c r="C223" s="335">
        <v>728</v>
      </c>
      <c r="D223" s="334">
        <v>40704</v>
      </c>
      <c r="E223" s="338">
        <v>2</v>
      </c>
      <c r="F223" s="336">
        <v>2.0994000000000002</v>
      </c>
      <c r="G223" s="336">
        <v>2</v>
      </c>
      <c r="H223" s="336">
        <v>6</v>
      </c>
      <c r="I223" s="336">
        <v>6</v>
      </c>
      <c r="J223" s="336">
        <v>6</v>
      </c>
      <c r="L223" s="335">
        <v>3</v>
      </c>
    </row>
    <row r="224" spans="1:256" s="351" customFormat="1" hidden="1">
      <c r="A224" s="347">
        <v>39976</v>
      </c>
      <c r="B224" s="347" t="s">
        <v>563</v>
      </c>
      <c r="C224" s="348">
        <v>1092</v>
      </c>
      <c r="D224" s="347">
        <v>41068</v>
      </c>
      <c r="E224" s="349">
        <v>2</v>
      </c>
      <c r="F224" s="350">
        <v>2</v>
      </c>
      <c r="G224" s="350">
        <v>2</v>
      </c>
      <c r="H224" s="350">
        <v>7.0000000000000009</v>
      </c>
      <c r="I224" s="350">
        <v>7.0000000000000009</v>
      </c>
      <c r="J224" s="350">
        <v>7.0000000000000009</v>
      </c>
      <c r="L224" s="348">
        <v>2</v>
      </c>
      <c r="M224" s="323"/>
      <c r="N224" s="323"/>
      <c r="O224" s="323"/>
      <c r="P224" s="323"/>
      <c r="Q224" s="323"/>
      <c r="R224" s="323"/>
      <c r="S224" s="323"/>
      <c r="T224" s="323"/>
      <c r="U224" s="323"/>
      <c r="V224" s="323"/>
      <c r="W224" s="323"/>
      <c r="X224" s="323"/>
      <c r="Y224" s="323"/>
      <c r="Z224" s="323"/>
      <c r="AA224" s="323"/>
      <c r="AB224" s="323"/>
      <c r="AC224" s="323"/>
      <c r="AD224" s="323"/>
      <c r="AE224" s="323"/>
      <c r="AF224" s="323"/>
      <c r="AG224" s="323"/>
      <c r="AH224" s="323"/>
      <c r="AI224" s="323"/>
      <c r="AJ224" s="323"/>
      <c r="AK224" s="323"/>
      <c r="AL224" s="323"/>
      <c r="AM224" s="323"/>
      <c r="AN224" s="323"/>
      <c r="AO224" s="323"/>
      <c r="AP224" s="323"/>
      <c r="AQ224" s="323"/>
      <c r="AR224" s="323"/>
      <c r="AS224" s="323"/>
      <c r="AT224" s="323"/>
      <c r="AU224" s="323"/>
      <c r="AV224" s="323"/>
      <c r="AW224" s="323"/>
      <c r="AX224" s="323"/>
      <c r="AY224" s="323"/>
      <c r="AZ224" s="323"/>
      <c r="BA224" s="323"/>
      <c r="BB224" s="323"/>
      <c r="BC224" s="323"/>
      <c r="BD224" s="323"/>
      <c r="BE224" s="323"/>
      <c r="BF224" s="323"/>
      <c r="BG224" s="323"/>
      <c r="BH224" s="323"/>
      <c r="BI224" s="323"/>
      <c r="BJ224" s="323"/>
      <c r="BK224" s="323"/>
      <c r="BL224" s="323"/>
      <c r="BM224" s="323"/>
      <c r="BN224" s="323"/>
      <c r="BO224" s="323"/>
      <c r="BP224" s="323"/>
      <c r="BQ224" s="323"/>
      <c r="BR224" s="323"/>
      <c r="BS224" s="323"/>
      <c r="BT224" s="323"/>
      <c r="BU224" s="323"/>
      <c r="BV224" s="323"/>
      <c r="BW224" s="323"/>
      <c r="BX224" s="323"/>
      <c r="BY224" s="323"/>
      <c r="BZ224" s="323"/>
      <c r="CA224" s="323"/>
      <c r="CB224" s="323"/>
      <c r="CC224" s="323"/>
      <c r="CD224" s="323"/>
      <c r="CE224" s="323"/>
      <c r="CF224" s="323"/>
      <c r="CG224" s="323"/>
      <c r="CH224" s="323"/>
      <c r="CI224" s="323"/>
      <c r="CJ224" s="323"/>
      <c r="CK224" s="323"/>
      <c r="CL224" s="323"/>
      <c r="CM224" s="323"/>
      <c r="CN224" s="323"/>
      <c r="CO224" s="323"/>
      <c r="CP224" s="323"/>
      <c r="CQ224" s="323"/>
      <c r="CR224" s="323"/>
      <c r="CS224" s="323"/>
      <c r="CT224" s="323"/>
      <c r="CU224" s="323"/>
      <c r="CV224" s="323"/>
      <c r="CW224" s="323"/>
      <c r="CX224" s="323"/>
      <c r="CY224" s="323"/>
      <c r="CZ224" s="323"/>
      <c r="DA224" s="323"/>
      <c r="DB224" s="323"/>
      <c r="DC224" s="323"/>
      <c r="DD224" s="323"/>
      <c r="DE224" s="323"/>
      <c r="DF224" s="323"/>
      <c r="DG224" s="323"/>
      <c r="DH224" s="323"/>
      <c r="DI224" s="323"/>
      <c r="DJ224" s="323"/>
      <c r="DK224" s="323"/>
      <c r="DL224" s="323"/>
      <c r="DM224" s="323"/>
      <c r="DN224" s="323"/>
      <c r="DO224" s="323"/>
      <c r="DP224" s="323"/>
      <c r="DQ224" s="323"/>
      <c r="DR224" s="323"/>
      <c r="DS224" s="323"/>
      <c r="DT224" s="323"/>
      <c r="DU224" s="323"/>
      <c r="DV224" s="323"/>
      <c r="DW224" s="323"/>
      <c r="DX224" s="323"/>
      <c r="DY224" s="323"/>
      <c r="DZ224" s="323"/>
      <c r="EA224" s="323"/>
      <c r="EB224" s="323"/>
      <c r="EC224" s="323"/>
      <c r="ED224" s="323"/>
      <c r="EE224" s="323"/>
      <c r="EF224" s="323"/>
      <c r="EG224" s="323"/>
      <c r="EH224" s="323"/>
      <c r="EI224" s="323"/>
      <c r="EJ224" s="323"/>
      <c r="EK224" s="323"/>
      <c r="EL224" s="323"/>
      <c r="EM224" s="323"/>
      <c r="EN224" s="323"/>
      <c r="EO224" s="323"/>
      <c r="EP224" s="323"/>
      <c r="EQ224" s="323"/>
      <c r="ER224" s="323"/>
      <c r="ES224" s="323"/>
      <c r="ET224" s="323"/>
      <c r="EU224" s="323"/>
      <c r="EV224" s="323"/>
      <c r="EW224" s="323"/>
      <c r="EX224" s="323"/>
      <c r="EY224" s="323"/>
      <c r="EZ224" s="323"/>
      <c r="FA224" s="323"/>
      <c r="FB224" s="323"/>
      <c r="FC224" s="323"/>
      <c r="FD224" s="323"/>
      <c r="FE224" s="323"/>
      <c r="FF224" s="323"/>
      <c r="FG224" s="323"/>
      <c r="FH224" s="323"/>
      <c r="FI224" s="323"/>
      <c r="FJ224" s="323"/>
      <c r="FK224" s="323"/>
      <c r="FL224" s="323"/>
      <c r="FM224" s="323"/>
      <c r="FN224" s="323"/>
      <c r="FO224" s="323"/>
      <c r="FP224" s="323"/>
      <c r="FQ224" s="323"/>
      <c r="FR224" s="323"/>
      <c r="FS224" s="323"/>
      <c r="FT224" s="323"/>
      <c r="FU224" s="323"/>
      <c r="FV224" s="323"/>
      <c r="FW224" s="323"/>
      <c r="FX224" s="323"/>
      <c r="FY224" s="323"/>
      <c r="FZ224" s="323"/>
      <c r="GA224" s="323"/>
      <c r="GB224" s="323"/>
      <c r="GC224" s="323"/>
      <c r="GD224" s="323"/>
      <c r="GE224" s="323"/>
      <c r="GF224" s="323"/>
      <c r="GG224" s="323"/>
      <c r="GH224" s="323"/>
      <c r="GI224" s="323"/>
      <c r="GJ224" s="323"/>
      <c r="GK224" s="323"/>
      <c r="GL224" s="323"/>
      <c r="GM224" s="323"/>
      <c r="GN224" s="323"/>
      <c r="GO224" s="323"/>
      <c r="GP224" s="323"/>
      <c r="GQ224" s="323"/>
      <c r="GR224" s="323"/>
      <c r="GS224" s="323"/>
      <c r="GT224" s="323"/>
      <c r="GU224" s="323"/>
      <c r="GV224" s="323"/>
      <c r="GW224" s="323"/>
      <c r="GX224" s="323"/>
      <c r="GY224" s="323"/>
      <c r="GZ224" s="323"/>
      <c r="HA224" s="323"/>
      <c r="HB224" s="323"/>
      <c r="HC224" s="323"/>
      <c r="HD224" s="323"/>
      <c r="HE224" s="323"/>
      <c r="HF224" s="323"/>
      <c r="HG224" s="323"/>
      <c r="HH224" s="323"/>
      <c r="HI224" s="323"/>
      <c r="HJ224" s="323"/>
      <c r="HK224" s="323"/>
      <c r="HL224" s="323"/>
      <c r="HM224" s="323"/>
      <c r="HN224" s="323"/>
      <c r="HO224" s="323"/>
      <c r="HP224" s="323"/>
      <c r="HQ224" s="323"/>
      <c r="HR224" s="323"/>
      <c r="HS224" s="323"/>
      <c r="HT224" s="323"/>
      <c r="HU224" s="323"/>
      <c r="HV224" s="323"/>
      <c r="HW224" s="323"/>
      <c r="HX224" s="323"/>
      <c r="HY224" s="323"/>
      <c r="HZ224" s="323"/>
      <c r="IA224" s="323"/>
      <c r="IB224" s="323"/>
      <c r="IC224" s="323"/>
      <c r="ID224" s="323"/>
      <c r="IE224" s="323"/>
      <c r="IF224" s="323"/>
      <c r="IG224" s="323"/>
      <c r="IH224" s="323"/>
      <c r="II224" s="323"/>
      <c r="IJ224" s="323"/>
      <c r="IK224" s="323"/>
      <c r="IL224" s="323"/>
      <c r="IM224" s="323"/>
      <c r="IN224" s="323"/>
      <c r="IO224" s="323"/>
      <c r="IP224" s="323"/>
      <c r="IQ224" s="323"/>
      <c r="IR224" s="323"/>
      <c r="IS224" s="323"/>
      <c r="IT224" s="323"/>
      <c r="IU224" s="323"/>
      <c r="IV224" s="323"/>
    </row>
    <row r="225" spans="1:256" hidden="1">
      <c r="A225" s="334">
        <v>39980</v>
      </c>
      <c r="B225" s="334" t="s">
        <v>564</v>
      </c>
      <c r="C225" s="335">
        <v>35</v>
      </c>
      <c r="D225" s="334">
        <v>40015</v>
      </c>
      <c r="E225" s="338">
        <v>20</v>
      </c>
      <c r="F225" s="336">
        <v>10.017799999999999</v>
      </c>
      <c r="G225" s="336">
        <v>10.017799999999999</v>
      </c>
      <c r="H225" s="336">
        <v>2.2999999999999998</v>
      </c>
      <c r="I225" s="336">
        <v>2.5100000000000004E-2</v>
      </c>
      <c r="J225" s="336">
        <v>2.4</v>
      </c>
      <c r="L225" s="335">
        <v>3</v>
      </c>
    </row>
    <row r="226" spans="1:256" s="351" customFormat="1" hidden="1">
      <c r="A226" s="347">
        <v>39980</v>
      </c>
      <c r="B226" s="347" t="s">
        <v>565</v>
      </c>
      <c r="C226" s="348">
        <v>364</v>
      </c>
      <c r="D226" s="347">
        <v>40344</v>
      </c>
      <c r="E226" s="349">
        <v>2</v>
      </c>
      <c r="F226" s="350">
        <v>0</v>
      </c>
      <c r="G226" s="350">
        <v>0</v>
      </c>
      <c r="H226" s="350">
        <v>0</v>
      </c>
      <c r="I226" s="350">
        <v>0</v>
      </c>
      <c r="J226" s="350">
        <v>0</v>
      </c>
      <c r="L226" s="348">
        <v>0</v>
      </c>
      <c r="M226" s="323"/>
      <c r="N226" s="323"/>
      <c r="O226" s="323"/>
      <c r="P226" s="323"/>
      <c r="Q226" s="323"/>
      <c r="R226" s="323"/>
      <c r="S226" s="323"/>
      <c r="T226" s="323"/>
      <c r="U226" s="323"/>
      <c r="V226" s="323"/>
      <c r="W226" s="323"/>
      <c r="X226" s="323"/>
      <c r="Y226" s="323"/>
      <c r="Z226" s="323"/>
      <c r="AA226" s="323"/>
      <c r="AB226" s="323"/>
      <c r="AC226" s="323"/>
      <c r="AD226" s="323"/>
      <c r="AE226" s="323"/>
      <c r="AF226" s="323"/>
      <c r="AG226" s="323"/>
      <c r="AH226" s="323"/>
      <c r="AI226" s="323"/>
      <c r="AJ226" s="323"/>
      <c r="AK226" s="323"/>
      <c r="AL226" s="323"/>
      <c r="AM226" s="323"/>
      <c r="AN226" s="323"/>
      <c r="AO226" s="323"/>
      <c r="AP226" s="323"/>
      <c r="AQ226" s="323"/>
      <c r="AR226" s="323"/>
      <c r="AS226" s="323"/>
      <c r="AT226" s="323"/>
      <c r="AU226" s="323"/>
      <c r="AV226" s="323"/>
      <c r="AW226" s="323"/>
      <c r="AX226" s="323"/>
      <c r="AY226" s="323"/>
      <c r="AZ226" s="323"/>
      <c r="BA226" s="323"/>
      <c r="BB226" s="323"/>
      <c r="BC226" s="323"/>
      <c r="BD226" s="323"/>
      <c r="BE226" s="323"/>
      <c r="BF226" s="323"/>
      <c r="BG226" s="323"/>
      <c r="BH226" s="323"/>
      <c r="BI226" s="323"/>
      <c r="BJ226" s="323"/>
      <c r="BK226" s="323"/>
      <c r="BL226" s="323"/>
      <c r="BM226" s="323"/>
      <c r="BN226" s="323"/>
      <c r="BO226" s="323"/>
      <c r="BP226" s="323"/>
      <c r="BQ226" s="323"/>
      <c r="BR226" s="323"/>
      <c r="BS226" s="323"/>
      <c r="BT226" s="323"/>
      <c r="BU226" s="323"/>
      <c r="BV226" s="323"/>
      <c r="BW226" s="323"/>
      <c r="BX226" s="323"/>
      <c r="BY226" s="323"/>
      <c r="BZ226" s="323"/>
      <c r="CA226" s="323"/>
      <c r="CB226" s="323"/>
      <c r="CC226" s="323"/>
      <c r="CD226" s="323"/>
      <c r="CE226" s="323"/>
      <c r="CF226" s="323"/>
      <c r="CG226" s="323"/>
      <c r="CH226" s="323"/>
      <c r="CI226" s="323"/>
      <c r="CJ226" s="323"/>
      <c r="CK226" s="323"/>
      <c r="CL226" s="323"/>
      <c r="CM226" s="323"/>
      <c r="CN226" s="323"/>
      <c r="CO226" s="323"/>
      <c r="CP226" s="323"/>
      <c r="CQ226" s="323"/>
      <c r="CR226" s="323"/>
      <c r="CS226" s="323"/>
      <c r="CT226" s="323"/>
      <c r="CU226" s="323"/>
      <c r="CV226" s="323"/>
      <c r="CW226" s="323"/>
      <c r="CX226" s="323"/>
      <c r="CY226" s="323"/>
      <c r="CZ226" s="323"/>
      <c r="DA226" s="323"/>
      <c r="DB226" s="323"/>
      <c r="DC226" s="323"/>
      <c r="DD226" s="323"/>
      <c r="DE226" s="323"/>
      <c r="DF226" s="323"/>
      <c r="DG226" s="323"/>
      <c r="DH226" s="323"/>
      <c r="DI226" s="323"/>
      <c r="DJ226" s="323"/>
      <c r="DK226" s="323"/>
      <c r="DL226" s="323"/>
      <c r="DM226" s="323"/>
      <c r="DN226" s="323"/>
      <c r="DO226" s="323"/>
      <c r="DP226" s="323"/>
      <c r="DQ226" s="323"/>
      <c r="DR226" s="323"/>
      <c r="DS226" s="323"/>
      <c r="DT226" s="323"/>
      <c r="DU226" s="323"/>
      <c r="DV226" s="323"/>
      <c r="DW226" s="323"/>
      <c r="DX226" s="323"/>
      <c r="DY226" s="323"/>
      <c r="DZ226" s="323"/>
      <c r="EA226" s="323"/>
      <c r="EB226" s="323"/>
      <c r="EC226" s="323"/>
      <c r="ED226" s="323"/>
      <c r="EE226" s="323"/>
      <c r="EF226" s="323"/>
      <c r="EG226" s="323"/>
      <c r="EH226" s="323"/>
      <c r="EI226" s="323"/>
      <c r="EJ226" s="323"/>
      <c r="EK226" s="323"/>
      <c r="EL226" s="323"/>
      <c r="EM226" s="323"/>
      <c r="EN226" s="323"/>
      <c r="EO226" s="323"/>
      <c r="EP226" s="323"/>
      <c r="EQ226" s="323"/>
      <c r="ER226" s="323"/>
      <c r="ES226" s="323"/>
      <c r="ET226" s="323"/>
      <c r="EU226" s="323"/>
      <c r="EV226" s="323"/>
      <c r="EW226" s="323"/>
      <c r="EX226" s="323"/>
      <c r="EY226" s="323"/>
      <c r="EZ226" s="323"/>
      <c r="FA226" s="323"/>
      <c r="FB226" s="323"/>
      <c r="FC226" s="323"/>
      <c r="FD226" s="323"/>
      <c r="FE226" s="323"/>
      <c r="FF226" s="323"/>
      <c r="FG226" s="323"/>
      <c r="FH226" s="323"/>
      <c r="FI226" s="323"/>
      <c r="FJ226" s="323"/>
      <c r="FK226" s="323"/>
      <c r="FL226" s="323"/>
      <c r="FM226" s="323"/>
      <c r="FN226" s="323"/>
      <c r="FO226" s="323"/>
      <c r="FP226" s="323"/>
      <c r="FQ226" s="323"/>
      <c r="FR226" s="323"/>
      <c r="FS226" s="323"/>
      <c r="FT226" s="323"/>
      <c r="FU226" s="323"/>
      <c r="FV226" s="323"/>
      <c r="FW226" s="323"/>
      <c r="FX226" s="323"/>
      <c r="FY226" s="323"/>
      <c r="FZ226" s="323"/>
      <c r="GA226" s="323"/>
      <c r="GB226" s="323"/>
      <c r="GC226" s="323"/>
      <c r="GD226" s="323"/>
      <c r="GE226" s="323"/>
      <c r="GF226" s="323"/>
      <c r="GG226" s="323"/>
      <c r="GH226" s="323"/>
      <c r="GI226" s="323"/>
      <c r="GJ226" s="323"/>
      <c r="GK226" s="323"/>
      <c r="GL226" s="323"/>
      <c r="GM226" s="323"/>
      <c r="GN226" s="323"/>
      <c r="GO226" s="323"/>
      <c r="GP226" s="323"/>
      <c r="GQ226" s="323"/>
      <c r="GR226" s="323"/>
      <c r="GS226" s="323"/>
      <c r="GT226" s="323"/>
      <c r="GU226" s="323"/>
      <c r="GV226" s="323"/>
      <c r="GW226" s="323"/>
      <c r="GX226" s="323"/>
      <c r="GY226" s="323"/>
      <c r="GZ226" s="323"/>
      <c r="HA226" s="323"/>
      <c r="HB226" s="323"/>
      <c r="HC226" s="323"/>
      <c r="HD226" s="323"/>
      <c r="HE226" s="323"/>
      <c r="HF226" s="323"/>
      <c r="HG226" s="323"/>
      <c r="HH226" s="323"/>
      <c r="HI226" s="323"/>
      <c r="HJ226" s="323"/>
      <c r="HK226" s="323"/>
      <c r="HL226" s="323"/>
      <c r="HM226" s="323"/>
      <c r="HN226" s="323"/>
      <c r="HO226" s="323"/>
      <c r="HP226" s="323"/>
      <c r="HQ226" s="323"/>
      <c r="HR226" s="323"/>
      <c r="HS226" s="323"/>
      <c r="HT226" s="323"/>
      <c r="HU226" s="323"/>
      <c r="HV226" s="323"/>
      <c r="HW226" s="323"/>
      <c r="HX226" s="323"/>
      <c r="HY226" s="323"/>
      <c r="HZ226" s="323"/>
      <c r="IA226" s="323"/>
      <c r="IB226" s="323"/>
      <c r="IC226" s="323"/>
      <c r="ID226" s="323"/>
      <c r="IE226" s="323"/>
      <c r="IF226" s="323"/>
      <c r="IG226" s="323"/>
      <c r="IH226" s="323"/>
      <c r="II226" s="323"/>
      <c r="IJ226" s="323"/>
      <c r="IK226" s="323"/>
      <c r="IL226" s="323"/>
      <c r="IM226" s="323"/>
      <c r="IN226" s="323"/>
      <c r="IO226" s="323"/>
      <c r="IP226" s="323"/>
      <c r="IQ226" s="323"/>
      <c r="IR226" s="323"/>
      <c r="IS226" s="323"/>
      <c r="IT226" s="323"/>
      <c r="IU226" s="323"/>
      <c r="IV226" s="323"/>
    </row>
    <row r="227" spans="1:256" hidden="1">
      <c r="A227" s="334">
        <v>39983</v>
      </c>
      <c r="B227" s="334" t="s">
        <v>566</v>
      </c>
      <c r="C227" s="335">
        <v>91</v>
      </c>
      <c r="D227" s="334">
        <v>40074</v>
      </c>
      <c r="E227" s="338">
        <v>15</v>
      </c>
      <c r="F227" s="336">
        <v>3.0148000000000001</v>
      </c>
      <c r="G227" s="336">
        <v>3.0148000000000001</v>
      </c>
      <c r="H227" s="336">
        <v>2.58</v>
      </c>
      <c r="I227" s="336">
        <v>2.5799999999999997E-2</v>
      </c>
      <c r="J227" s="336">
        <v>2.58</v>
      </c>
      <c r="L227" s="335">
        <v>1</v>
      </c>
    </row>
    <row r="228" spans="1:256" s="351" customFormat="1" hidden="1">
      <c r="A228" s="347">
        <v>39987</v>
      </c>
      <c r="B228" s="347" t="s">
        <v>567</v>
      </c>
      <c r="C228" s="348">
        <v>182</v>
      </c>
      <c r="D228" s="347">
        <v>40169</v>
      </c>
      <c r="E228" s="349">
        <v>8</v>
      </c>
      <c r="F228" s="350">
        <v>2.0272000000000001</v>
      </c>
      <c r="G228" s="350">
        <v>2.0272000000000001</v>
      </c>
      <c r="H228" s="350">
        <v>3.2399999999999998</v>
      </c>
      <c r="I228" s="350">
        <v>3.2599999999999997E-2</v>
      </c>
      <c r="J228" s="350">
        <v>3.2399999999999998</v>
      </c>
      <c r="L228" s="348">
        <v>1</v>
      </c>
      <c r="M228" s="323"/>
      <c r="N228" s="323"/>
      <c r="O228" s="323"/>
      <c r="P228" s="323"/>
      <c r="Q228" s="323"/>
      <c r="R228" s="323"/>
      <c r="S228" s="323"/>
      <c r="T228" s="323"/>
      <c r="U228" s="323"/>
      <c r="V228" s="323"/>
      <c r="W228" s="323"/>
      <c r="X228" s="323"/>
      <c r="Y228" s="323"/>
      <c r="Z228" s="323"/>
      <c r="AA228" s="323"/>
      <c r="AB228" s="323"/>
      <c r="AC228" s="323"/>
      <c r="AD228" s="323"/>
      <c r="AE228" s="323"/>
      <c r="AF228" s="323"/>
      <c r="AG228" s="323"/>
      <c r="AH228" s="323"/>
      <c r="AI228" s="323"/>
      <c r="AJ228" s="323"/>
      <c r="AK228" s="323"/>
      <c r="AL228" s="323"/>
      <c r="AM228" s="323"/>
      <c r="AN228" s="323"/>
      <c r="AO228" s="323"/>
      <c r="AP228" s="323"/>
      <c r="AQ228" s="323"/>
      <c r="AR228" s="323"/>
      <c r="AS228" s="323"/>
      <c r="AT228" s="323"/>
      <c r="AU228" s="323"/>
      <c r="AV228" s="323"/>
      <c r="AW228" s="323"/>
      <c r="AX228" s="323"/>
      <c r="AY228" s="323"/>
      <c r="AZ228" s="323"/>
      <c r="BA228" s="323"/>
      <c r="BB228" s="323"/>
      <c r="BC228" s="323"/>
      <c r="BD228" s="323"/>
      <c r="BE228" s="323"/>
      <c r="BF228" s="323"/>
      <c r="BG228" s="323"/>
      <c r="BH228" s="323"/>
      <c r="BI228" s="323"/>
      <c r="BJ228" s="323"/>
      <c r="BK228" s="323"/>
      <c r="BL228" s="323"/>
      <c r="BM228" s="323"/>
      <c r="BN228" s="323"/>
      <c r="BO228" s="323"/>
      <c r="BP228" s="323"/>
      <c r="BQ228" s="323"/>
      <c r="BR228" s="323"/>
      <c r="BS228" s="323"/>
      <c r="BT228" s="323"/>
      <c r="BU228" s="323"/>
      <c r="BV228" s="323"/>
      <c r="BW228" s="323"/>
      <c r="BX228" s="323"/>
      <c r="BY228" s="323"/>
      <c r="BZ228" s="323"/>
      <c r="CA228" s="323"/>
      <c r="CB228" s="323"/>
      <c r="CC228" s="323"/>
      <c r="CD228" s="323"/>
      <c r="CE228" s="323"/>
      <c r="CF228" s="323"/>
      <c r="CG228" s="323"/>
      <c r="CH228" s="323"/>
      <c r="CI228" s="323"/>
      <c r="CJ228" s="323"/>
      <c r="CK228" s="323"/>
      <c r="CL228" s="323"/>
      <c r="CM228" s="323"/>
      <c r="CN228" s="323"/>
      <c r="CO228" s="323"/>
      <c r="CP228" s="323"/>
      <c r="CQ228" s="323"/>
      <c r="CR228" s="323"/>
      <c r="CS228" s="323"/>
      <c r="CT228" s="323"/>
      <c r="CU228" s="323"/>
      <c r="CV228" s="323"/>
      <c r="CW228" s="323"/>
      <c r="CX228" s="323"/>
      <c r="CY228" s="323"/>
      <c r="CZ228" s="323"/>
      <c r="DA228" s="323"/>
      <c r="DB228" s="323"/>
      <c r="DC228" s="323"/>
      <c r="DD228" s="323"/>
      <c r="DE228" s="323"/>
      <c r="DF228" s="323"/>
      <c r="DG228" s="323"/>
      <c r="DH228" s="323"/>
      <c r="DI228" s="323"/>
      <c r="DJ228" s="323"/>
      <c r="DK228" s="323"/>
      <c r="DL228" s="323"/>
      <c r="DM228" s="323"/>
      <c r="DN228" s="323"/>
      <c r="DO228" s="323"/>
      <c r="DP228" s="323"/>
      <c r="DQ228" s="323"/>
      <c r="DR228" s="323"/>
      <c r="DS228" s="323"/>
      <c r="DT228" s="323"/>
      <c r="DU228" s="323"/>
      <c r="DV228" s="323"/>
      <c r="DW228" s="323"/>
      <c r="DX228" s="323"/>
      <c r="DY228" s="323"/>
      <c r="DZ228" s="323"/>
      <c r="EA228" s="323"/>
      <c r="EB228" s="323"/>
      <c r="EC228" s="323"/>
      <c r="ED228" s="323"/>
      <c r="EE228" s="323"/>
      <c r="EF228" s="323"/>
      <c r="EG228" s="323"/>
      <c r="EH228" s="323"/>
      <c r="EI228" s="323"/>
      <c r="EJ228" s="323"/>
      <c r="EK228" s="323"/>
      <c r="EL228" s="323"/>
      <c r="EM228" s="323"/>
      <c r="EN228" s="323"/>
      <c r="EO228" s="323"/>
      <c r="EP228" s="323"/>
      <c r="EQ228" s="323"/>
      <c r="ER228" s="323"/>
      <c r="ES228" s="323"/>
      <c r="ET228" s="323"/>
      <c r="EU228" s="323"/>
      <c r="EV228" s="323"/>
      <c r="EW228" s="323"/>
      <c r="EX228" s="323"/>
      <c r="EY228" s="323"/>
      <c r="EZ228" s="323"/>
      <c r="FA228" s="323"/>
      <c r="FB228" s="323"/>
      <c r="FC228" s="323"/>
      <c r="FD228" s="323"/>
      <c r="FE228" s="323"/>
      <c r="FF228" s="323"/>
      <c r="FG228" s="323"/>
      <c r="FH228" s="323"/>
      <c r="FI228" s="323"/>
      <c r="FJ228" s="323"/>
      <c r="FK228" s="323"/>
      <c r="FL228" s="323"/>
      <c r="FM228" s="323"/>
      <c r="FN228" s="323"/>
      <c r="FO228" s="323"/>
      <c r="FP228" s="323"/>
      <c r="FQ228" s="323"/>
      <c r="FR228" s="323"/>
      <c r="FS228" s="323"/>
      <c r="FT228" s="323"/>
      <c r="FU228" s="323"/>
      <c r="FV228" s="323"/>
      <c r="FW228" s="323"/>
      <c r="FX228" s="323"/>
      <c r="FY228" s="323"/>
      <c r="FZ228" s="323"/>
      <c r="GA228" s="323"/>
      <c r="GB228" s="323"/>
      <c r="GC228" s="323"/>
      <c r="GD228" s="323"/>
      <c r="GE228" s="323"/>
      <c r="GF228" s="323"/>
      <c r="GG228" s="323"/>
      <c r="GH228" s="323"/>
      <c r="GI228" s="323"/>
      <c r="GJ228" s="323"/>
      <c r="GK228" s="323"/>
      <c r="GL228" s="323"/>
      <c r="GM228" s="323"/>
      <c r="GN228" s="323"/>
      <c r="GO228" s="323"/>
      <c r="GP228" s="323"/>
      <c r="GQ228" s="323"/>
      <c r="GR228" s="323"/>
      <c r="GS228" s="323"/>
      <c r="GT228" s="323"/>
      <c r="GU228" s="323"/>
      <c r="GV228" s="323"/>
      <c r="GW228" s="323"/>
      <c r="GX228" s="323"/>
      <c r="GY228" s="323"/>
      <c r="GZ228" s="323"/>
      <c r="HA228" s="323"/>
      <c r="HB228" s="323"/>
      <c r="HC228" s="323"/>
      <c r="HD228" s="323"/>
      <c r="HE228" s="323"/>
      <c r="HF228" s="323"/>
      <c r="HG228" s="323"/>
      <c r="HH228" s="323"/>
      <c r="HI228" s="323"/>
      <c r="HJ228" s="323"/>
      <c r="HK228" s="323"/>
      <c r="HL228" s="323"/>
      <c r="HM228" s="323"/>
      <c r="HN228" s="323"/>
      <c r="HO228" s="323"/>
      <c r="HP228" s="323"/>
      <c r="HQ228" s="323"/>
      <c r="HR228" s="323"/>
      <c r="HS228" s="323"/>
      <c r="HT228" s="323"/>
      <c r="HU228" s="323"/>
      <c r="HV228" s="323"/>
      <c r="HW228" s="323"/>
      <c r="HX228" s="323"/>
      <c r="HY228" s="323"/>
      <c r="HZ228" s="323"/>
      <c r="IA228" s="323"/>
      <c r="IB228" s="323"/>
      <c r="IC228" s="323"/>
      <c r="ID228" s="323"/>
      <c r="IE228" s="323"/>
      <c r="IF228" s="323"/>
      <c r="IG228" s="323"/>
      <c r="IH228" s="323"/>
      <c r="II228" s="323"/>
      <c r="IJ228" s="323"/>
      <c r="IK228" s="323"/>
      <c r="IL228" s="323"/>
      <c r="IM228" s="323"/>
      <c r="IN228" s="323"/>
      <c r="IO228" s="323"/>
      <c r="IP228" s="323"/>
      <c r="IQ228" s="323"/>
      <c r="IR228" s="323"/>
      <c r="IS228" s="323"/>
      <c r="IT228" s="323"/>
      <c r="IU228" s="323"/>
      <c r="IV228" s="323"/>
    </row>
    <row r="229" spans="1:256" hidden="1">
      <c r="A229" s="334">
        <v>39987</v>
      </c>
      <c r="B229" s="334" t="s">
        <v>568</v>
      </c>
      <c r="C229" s="335">
        <v>1092</v>
      </c>
      <c r="D229" s="334">
        <v>41079</v>
      </c>
      <c r="E229" s="338">
        <v>3</v>
      </c>
      <c r="F229" s="336">
        <v>2.9750000000000001</v>
      </c>
      <c r="G229" s="336">
        <v>2.9750000000000001</v>
      </c>
      <c r="H229" s="336">
        <v>7.0000000000000009</v>
      </c>
      <c r="I229" s="336">
        <v>7.0000000000000007E-2</v>
      </c>
      <c r="J229" s="336">
        <v>7.0000000000000009</v>
      </c>
      <c r="L229" s="335">
        <v>1</v>
      </c>
    </row>
    <row r="230" spans="1:256" s="351" customFormat="1" hidden="1">
      <c r="A230" s="347">
        <v>39987</v>
      </c>
      <c r="B230" s="347" t="s">
        <v>569</v>
      </c>
      <c r="C230" s="348">
        <v>728</v>
      </c>
      <c r="D230" s="347">
        <v>40715</v>
      </c>
      <c r="E230" s="349">
        <v>2</v>
      </c>
      <c r="F230" s="350">
        <v>2</v>
      </c>
      <c r="G230" s="350">
        <v>2</v>
      </c>
      <c r="H230" s="350">
        <v>6</v>
      </c>
      <c r="I230" s="350">
        <v>6</v>
      </c>
      <c r="J230" s="350">
        <v>6</v>
      </c>
      <c r="L230" s="348">
        <v>1</v>
      </c>
      <c r="M230" s="323"/>
      <c r="N230" s="323"/>
      <c r="O230" s="323"/>
      <c r="P230" s="323"/>
      <c r="Q230" s="323"/>
      <c r="R230" s="323"/>
      <c r="S230" s="323"/>
      <c r="T230" s="323"/>
      <c r="U230" s="323"/>
      <c r="V230" s="323"/>
      <c r="W230" s="323"/>
      <c r="X230" s="323"/>
      <c r="Y230" s="323"/>
      <c r="Z230" s="323"/>
      <c r="AA230" s="323"/>
      <c r="AB230" s="323"/>
      <c r="AC230" s="323"/>
      <c r="AD230" s="323"/>
      <c r="AE230" s="323"/>
      <c r="AF230" s="323"/>
      <c r="AG230" s="323"/>
      <c r="AH230" s="323"/>
      <c r="AI230" s="323"/>
      <c r="AJ230" s="323"/>
      <c r="AK230" s="323"/>
      <c r="AL230" s="323"/>
      <c r="AM230" s="323"/>
      <c r="AN230" s="323"/>
      <c r="AO230" s="323"/>
      <c r="AP230" s="323"/>
      <c r="AQ230" s="323"/>
      <c r="AR230" s="323"/>
      <c r="AS230" s="323"/>
      <c r="AT230" s="323"/>
      <c r="AU230" s="323"/>
      <c r="AV230" s="323"/>
      <c r="AW230" s="323"/>
      <c r="AX230" s="323"/>
      <c r="AY230" s="323"/>
      <c r="AZ230" s="323"/>
      <c r="BA230" s="323"/>
      <c r="BB230" s="323"/>
      <c r="BC230" s="323"/>
      <c r="BD230" s="323"/>
      <c r="BE230" s="323"/>
      <c r="BF230" s="323"/>
      <c r="BG230" s="323"/>
      <c r="BH230" s="323"/>
      <c r="BI230" s="323"/>
      <c r="BJ230" s="323"/>
      <c r="BK230" s="323"/>
      <c r="BL230" s="323"/>
      <c r="BM230" s="323"/>
      <c r="BN230" s="323"/>
      <c r="BO230" s="323"/>
      <c r="BP230" s="323"/>
      <c r="BQ230" s="323"/>
      <c r="BR230" s="323"/>
      <c r="BS230" s="323"/>
      <c r="BT230" s="323"/>
      <c r="BU230" s="323"/>
      <c r="BV230" s="323"/>
      <c r="BW230" s="323"/>
      <c r="BX230" s="323"/>
      <c r="BY230" s="323"/>
      <c r="BZ230" s="323"/>
      <c r="CA230" s="323"/>
      <c r="CB230" s="323"/>
      <c r="CC230" s="323"/>
      <c r="CD230" s="323"/>
      <c r="CE230" s="323"/>
      <c r="CF230" s="323"/>
      <c r="CG230" s="323"/>
      <c r="CH230" s="323"/>
      <c r="CI230" s="323"/>
      <c r="CJ230" s="323"/>
      <c r="CK230" s="323"/>
      <c r="CL230" s="323"/>
      <c r="CM230" s="323"/>
      <c r="CN230" s="323"/>
      <c r="CO230" s="323"/>
      <c r="CP230" s="323"/>
      <c r="CQ230" s="323"/>
      <c r="CR230" s="323"/>
      <c r="CS230" s="323"/>
      <c r="CT230" s="323"/>
      <c r="CU230" s="323"/>
      <c r="CV230" s="323"/>
      <c r="CW230" s="323"/>
      <c r="CX230" s="323"/>
      <c r="CY230" s="323"/>
      <c r="CZ230" s="323"/>
      <c r="DA230" s="323"/>
      <c r="DB230" s="323"/>
      <c r="DC230" s="323"/>
      <c r="DD230" s="323"/>
      <c r="DE230" s="323"/>
      <c r="DF230" s="323"/>
      <c r="DG230" s="323"/>
      <c r="DH230" s="323"/>
      <c r="DI230" s="323"/>
      <c r="DJ230" s="323"/>
      <c r="DK230" s="323"/>
      <c r="DL230" s="323"/>
      <c r="DM230" s="323"/>
      <c r="DN230" s="323"/>
      <c r="DO230" s="323"/>
      <c r="DP230" s="323"/>
      <c r="DQ230" s="323"/>
      <c r="DR230" s="323"/>
      <c r="DS230" s="323"/>
      <c r="DT230" s="323"/>
      <c r="DU230" s="323"/>
      <c r="DV230" s="323"/>
      <c r="DW230" s="323"/>
      <c r="DX230" s="323"/>
      <c r="DY230" s="323"/>
      <c r="DZ230" s="323"/>
      <c r="EA230" s="323"/>
      <c r="EB230" s="323"/>
      <c r="EC230" s="323"/>
      <c r="ED230" s="323"/>
      <c r="EE230" s="323"/>
      <c r="EF230" s="323"/>
      <c r="EG230" s="323"/>
      <c r="EH230" s="323"/>
      <c r="EI230" s="323"/>
      <c r="EJ230" s="323"/>
      <c r="EK230" s="323"/>
      <c r="EL230" s="323"/>
      <c r="EM230" s="323"/>
      <c r="EN230" s="323"/>
      <c r="EO230" s="323"/>
      <c r="EP230" s="323"/>
      <c r="EQ230" s="323"/>
      <c r="ER230" s="323"/>
      <c r="ES230" s="323"/>
      <c r="ET230" s="323"/>
      <c r="EU230" s="323"/>
      <c r="EV230" s="323"/>
      <c r="EW230" s="323"/>
      <c r="EX230" s="323"/>
      <c r="EY230" s="323"/>
      <c r="EZ230" s="323"/>
      <c r="FA230" s="323"/>
      <c r="FB230" s="323"/>
      <c r="FC230" s="323"/>
      <c r="FD230" s="323"/>
      <c r="FE230" s="323"/>
      <c r="FF230" s="323"/>
      <c r="FG230" s="323"/>
      <c r="FH230" s="323"/>
      <c r="FI230" s="323"/>
      <c r="FJ230" s="323"/>
      <c r="FK230" s="323"/>
      <c r="FL230" s="323"/>
      <c r="FM230" s="323"/>
      <c r="FN230" s="323"/>
      <c r="FO230" s="323"/>
      <c r="FP230" s="323"/>
      <c r="FQ230" s="323"/>
      <c r="FR230" s="323"/>
      <c r="FS230" s="323"/>
      <c r="FT230" s="323"/>
      <c r="FU230" s="323"/>
      <c r="FV230" s="323"/>
      <c r="FW230" s="323"/>
      <c r="FX230" s="323"/>
      <c r="FY230" s="323"/>
      <c r="FZ230" s="323"/>
      <c r="GA230" s="323"/>
      <c r="GB230" s="323"/>
      <c r="GC230" s="323"/>
      <c r="GD230" s="323"/>
      <c r="GE230" s="323"/>
      <c r="GF230" s="323"/>
      <c r="GG230" s="323"/>
      <c r="GH230" s="323"/>
      <c r="GI230" s="323"/>
      <c r="GJ230" s="323"/>
      <c r="GK230" s="323"/>
      <c r="GL230" s="323"/>
      <c r="GM230" s="323"/>
      <c r="GN230" s="323"/>
      <c r="GO230" s="323"/>
      <c r="GP230" s="323"/>
      <c r="GQ230" s="323"/>
      <c r="GR230" s="323"/>
      <c r="GS230" s="323"/>
      <c r="GT230" s="323"/>
      <c r="GU230" s="323"/>
      <c r="GV230" s="323"/>
      <c r="GW230" s="323"/>
      <c r="GX230" s="323"/>
      <c r="GY230" s="323"/>
      <c r="GZ230" s="323"/>
      <c r="HA230" s="323"/>
      <c r="HB230" s="323"/>
      <c r="HC230" s="323"/>
      <c r="HD230" s="323"/>
      <c r="HE230" s="323"/>
      <c r="HF230" s="323"/>
      <c r="HG230" s="323"/>
      <c r="HH230" s="323"/>
      <c r="HI230" s="323"/>
      <c r="HJ230" s="323"/>
      <c r="HK230" s="323"/>
      <c r="HL230" s="323"/>
      <c r="HM230" s="323"/>
      <c r="HN230" s="323"/>
      <c r="HO230" s="323"/>
      <c r="HP230" s="323"/>
      <c r="HQ230" s="323"/>
      <c r="HR230" s="323"/>
      <c r="HS230" s="323"/>
      <c r="HT230" s="323"/>
      <c r="HU230" s="323"/>
      <c r="HV230" s="323"/>
      <c r="HW230" s="323"/>
      <c r="HX230" s="323"/>
      <c r="HY230" s="323"/>
      <c r="HZ230" s="323"/>
      <c r="IA230" s="323"/>
      <c r="IB230" s="323"/>
      <c r="IC230" s="323"/>
      <c r="ID230" s="323"/>
      <c r="IE230" s="323"/>
      <c r="IF230" s="323"/>
      <c r="IG230" s="323"/>
      <c r="IH230" s="323"/>
      <c r="II230" s="323"/>
      <c r="IJ230" s="323"/>
      <c r="IK230" s="323"/>
      <c r="IL230" s="323"/>
      <c r="IM230" s="323"/>
      <c r="IN230" s="323"/>
      <c r="IO230" s="323"/>
      <c r="IP230" s="323"/>
      <c r="IQ230" s="323"/>
      <c r="IR230" s="323"/>
      <c r="IS230" s="323"/>
      <c r="IT230" s="323"/>
      <c r="IU230" s="323"/>
      <c r="IV230" s="323"/>
    </row>
    <row r="231" spans="1:256" hidden="1">
      <c r="A231" s="334">
        <v>40001</v>
      </c>
      <c r="B231" s="334" t="s">
        <v>570</v>
      </c>
      <c r="C231" s="335">
        <v>364</v>
      </c>
      <c r="D231" s="334">
        <v>40365</v>
      </c>
      <c r="E231" s="338">
        <v>3</v>
      </c>
      <c r="F231" s="336">
        <v>3</v>
      </c>
      <c r="G231" s="336">
        <v>3</v>
      </c>
      <c r="H231" s="336">
        <v>2.9899999999999998</v>
      </c>
      <c r="I231" s="336">
        <v>2.9899999999999998</v>
      </c>
      <c r="J231" s="336">
        <v>2.9899999999999998</v>
      </c>
      <c r="L231" s="335">
        <v>1</v>
      </c>
    </row>
    <row r="232" spans="1:256" s="351" customFormat="1" hidden="1">
      <c r="A232" s="347">
        <v>40001</v>
      </c>
      <c r="B232" s="347" t="s">
        <v>571</v>
      </c>
      <c r="C232" s="348">
        <v>35</v>
      </c>
      <c r="D232" s="347">
        <v>40036</v>
      </c>
      <c r="E232" s="349">
        <v>18</v>
      </c>
      <c r="F232" s="350">
        <v>18.161200000000001</v>
      </c>
      <c r="G232" s="350">
        <v>2.2006000000000001</v>
      </c>
      <c r="H232" s="350">
        <v>1.78</v>
      </c>
      <c r="I232" s="350">
        <v>1.78</v>
      </c>
      <c r="J232" s="350">
        <v>1.78</v>
      </c>
      <c r="L232" s="348">
        <v>5</v>
      </c>
      <c r="M232" s="323"/>
      <c r="N232" s="323"/>
      <c r="O232" s="323"/>
      <c r="P232" s="323"/>
      <c r="Q232" s="323"/>
      <c r="R232" s="323"/>
      <c r="S232" s="323"/>
      <c r="T232" s="323"/>
      <c r="U232" s="323"/>
      <c r="V232" s="323"/>
      <c r="W232" s="323"/>
      <c r="X232" s="323"/>
      <c r="Y232" s="323"/>
      <c r="Z232" s="323"/>
      <c r="AA232" s="323"/>
      <c r="AB232" s="323"/>
      <c r="AC232" s="323"/>
      <c r="AD232" s="323"/>
      <c r="AE232" s="323"/>
      <c r="AF232" s="323"/>
      <c r="AG232" s="323"/>
      <c r="AH232" s="323"/>
      <c r="AI232" s="323"/>
      <c r="AJ232" s="323"/>
      <c r="AK232" s="323"/>
      <c r="AL232" s="323"/>
      <c r="AM232" s="323"/>
      <c r="AN232" s="323"/>
      <c r="AO232" s="323"/>
      <c r="AP232" s="323"/>
      <c r="AQ232" s="323"/>
      <c r="AR232" s="323"/>
      <c r="AS232" s="323"/>
      <c r="AT232" s="323"/>
      <c r="AU232" s="323"/>
      <c r="AV232" s="323"/>
      <c r="AW232" s="323"/>
      <c r="AX232" s="323"/>
      <c r="AY232" s="323"/>
      <c r="AZ232" s="323"/>
      <c r="BA232" s="323"/>
      <c r="BB232" s="323"/>
      <c r="BC232" s="323"/>
      <c r="BD232" s="323"/>
      <c r="BE232" s="323"/>
      <c r="BF232" s="323"/>
      <c r="BG232" s="323"/>
      <c r="BH232" s="323"/>
      <c r="BI232" s="323"/>
      <c r="BJ232" s="323"/>
      <c r="BK232" s="323"/>
      <c r="BL232" s="323"/>
      <c r="BM232" s="323"/>
      <c r="BN232" s="323"/>
      <c r="BO232" s="323"/>
      <c r="BP232" s="323"/>
      <c r="BQ232" s="323"/>
      <c r="BR232" s="323"/>
      <c r="BS232" s="323"/>
      <c r="BT232" s="323"/>
      <c r="BU232" s="323"/>
      <c r="BV232" s="323"/>
      <c r="BW232" s="323"/>
      <c r="BX232" s="323"/>
      <c r="BY232" s="323"/>
      <c r="BZ232" s="323"/>
      <c r="CA232" s="323"/>
      <c r="CB232" s="323"/>
      <c r="CC232" s="323"/>
      <c r="CD232" s="323"/>
      <c r="CE232" s="323"/>
      <c r="CF232" s="323"/>
      <c r="CG232" s="323"/>
      <c r="CH232" s="323"/>
      <c r="CI232" s="323"/>
      <c r="CJ232" s="323"/>
      <c r="CK232" s="323"/>
      <c r="CL232" s="323"/>
      <c r="CM232" s="323"/>
      <c r="CN232" s="323"/>
      <c r="CO232" s="323"/>
      <c r="CP232" s="323"/>
      <c r="CQ232" s="323"/>
      <c r="CR232" s="323"/>
      <c r="CS232" s="323"/>
      <c r="CT232" s="323"/>
      <c r="CU232" s="323"/>
      <c r="CV232" s="323"/>
      <c r="CW232" s="323"/>
      <c r="CX232" s="323"/>
      <c r="CY232" s="323"/>
      <c r="CZ232" s="323"/>
      <c r="DA232" s="323"/>
      <c r="DB232" s="323"/>
      <c r="DC232" s="323"/>
      <c r="DD232" s="323"/>
      <c r="DE232" s="323"/>
      <c r="DF232" s="323"/>
      <c r="DG232" s="323"/>
      <c r="DH232" s="323"/>
      <c r="DI232" s="323"/>
      <c r="DJ232" s="323"/>
      <c r="DK232" s="323"/>
      <c r="DL232" s="323"/>
      <c r="DM232" s="323"/>
      <c r="DN232" s="323"/>
      <c r="DO232" s="323"/>
      <c r="DP232" s="323"/>
      <c r="DQ232" s="323"/>
      <c r="DR232" s="323"/>
      <c r="DS232" s="323"/>
      <c r="DT232" s="323"/>
      <c r="DU232" s="323"/>
      <c r="DV232" s="323"/>
      <c r="DW232" s="323"/>
      <c r="DX232" s="323"/>
      <c r="DY232" s="323"/>
      <c r="DZ232" s="323"/>
      <c r="EA232" s="323"/>
      <c r="EB232" s="323"/>
      <c r="EC232" s="323"/>
      <c r="ED232" s="323"/>
      <c r="EE232" s="323"/>
      <c r="EF232" s="323"/>
      <c r="EG232" s="323"/>
      <c r="EH232" s="323"/>
      <c r="EI232" s="323"/>
      <c r="EJ232" s="323"/>
      <c r="EK232" s="323"/>
      <c r="EL232" s="323"/>
      <c r="EM232" s="323"/>
      <c r="EN232" s="323"/>
      <c r="EO232" s="323"/>
      <c r="EP232" s="323"/>
      <c r="EQ232" s="323"/>
      <c r="ER232" s="323"/>
      <c r="ES232" s="323"/>
      <c r="ET232" s="323"/>
      <c r="EU232" s="323"/>
      <c r="EV232" s="323"/>
      <c r="EW232" s="323"/>
      <c r="EX232" s="323"/>
      <c r="EY232" s="323"/>
      <c r="EZ232" s="323"/>
      <c r="FA232" s="323"/>
      <c r="FB232" s="323"/>
      <c r="FC232" s="323"/>
      <c r="FD232" s="323"/>
      <c r="FE232" s="323"/>
      <c r="FF232" s="323"/>
      <c r="FG232" s="323"/>
      <c r="FH232" s="323"/>
      <c r="FI232" s="323"/>
      <c r="FJ232" s="323"/>
      <c r="FK232" s="323"/>
      <c r="FL232" s="323"/>
      <c r="FM232" s="323"/>
      <c r="FN232" s="323"/>
      <c r="FO232" s="323"/>
      <c r="FP232" s="323"/>
      <c r="FQ232" s="323"/>
      <c r="FR232" s="323"/>
      <c r="FS232" s="323"/>
      <c r="FT232" s="323"/>
      <c r="FU232" s="323"/>
      <c r="FV232" s="323"/>
      <c r="FW232" s="323"/>
      <c r="FX232" s="323"/>
      <c r="FY232" s="323"/>
      <c r="FZ232" s="323"/>
      <c r="GA232" s="323"/>
      <c r="GB232" s="323"/>
      <c r="GC232" s="323"/>
      <c r="GD232" s="323"/>
      <c r="GE232" s="323"/>
      <c r="GF232" s="323"/>
      <c r="GG232" s="323"/>
      <c r="GH232" s="323"/>
      <c r="GI232" s="323"/>
      <c r="GJ232" s="323"/>
      <c r="GK232" s="323"/>
      <c r="GL232" s="323"/>
      <c r="GM232" s="323"/>
      <c r="GN232" s="323"/>
      <c r="GO232" s="323"/>
      <c r="GP232" s="323"/>
      <c r="GQ232" s="323"/>
      <c r="GR232" s="323"/>
      <c r="GS232" s="323"/>
      <c r="GT232" s="323"/>
      <c r="GU232" s="323"/>
      <c r="GV232" s="323"/>
      <c r="GW232" s="323"/>
      <c r="GX232" s="323"/>
      <c r="GY232" s="323"/>
      <c r="GZ232" s="323"/>
      <c r="HA232" s="323"/>
      <c r="HB232" s="323"/>
      <c r="HC232" s="323"/>
      <c r="HD232" s="323"/>
      <c r="HE232" s="323"/>
      <c r="HF232" s="323"/>
      <c r="HG232" s="323"/>
      <c r="HH232" s="323"/>
      <c r="HI232" s="323"/>
      <c r="HJ232" s="323"/>
      <c r="HK232" s="323"/>
      <c r="HL232" s="323"/>
      <c r="HM232" s="323"/>
      <c r="HN232" s="323"/>
      <c r="HO232" s="323"/>
      <c r="HP232" s="323"/>
      <c r="HQ232" s="323"/>
      <c r="HR232" s="323"/>
      <c r="HS232" s="323"/>
      <c r="HT232" s="323"/>
      <c r="HU232" s="323"/>
      <c r="HV232" s="323"/>
      <c r="HW232" s="323"/>
      <c r="HX232" s="323"/>
      <c r="HY232" s="323"/>
      <c r="HZ232" s="323"/>
      <c r="IA232" s="323"/>
      <c r="IB232" s="323"/>
      <c r="IC232" s="323"/>
      <c r="ID232" s="323"/>
      <c r="IE232" s="323"/>
      <c r="IF232" s="323"/>
      <c r="IG232" s="323"/>
      <c r="IH232" s="323"/>
      <c r="II232" s="323"/>
      <c r="IJ232" s="323"/>
      <c r="IK232" s="323"/>
      <c r="IL232" s="323"/>
      <c r="IM232" s="323"/>
      <c r="IN232" s="323"/>
      <c r="IO232" s="323"/>
      <c r="IP232" s="323"/>
      <c r="IQ232" s="323"/>
      <c r="IR232" s="323"/>
      <c r="IS232" s="323"/>
      <c r="IT232" s="323"/>
      <c r="IU232" s="323"/>
      <c r="IV232" s="323"/>
    </row>
    <row r="233" spans="1:256" hidden="1">
      <c r="A233" s="334">
        <v>40004</v>
      </c>
      <c r="B233" s="334" t="s">
        <v>572</v>
      </c>
      <c r="C233" s="335">
        <v>91</v>
      </c>
      <c r="D233" s="334">
        <v>40095</v>
      </c>
      <c r="E233" s="338">
        <v>20</v>
      </c>
      <c r="F233" s="336">
        <v>0</v>
      </c>
      <c r="G233" s="336">
        <v>0</v>
      </c>
      <c r="H233" s="336">
        <v>0</v>
      </c>
      <c r="I233" s="336">
        <v>0</v>
      </c>
      <c r="J233" s="336">
        <v>0</v>
      </c>
      <c r="L233" s="335">
        <v>0</v>
      </c>
    </row>
    <row r="234" spans="1:256" s="351" customFormat="1" hidden="1">
      <c r="A234" s="347">
        <v>40008</v>
      </c>
      <c r="B234" s="347" t="s">
        <v>573</v>
      </c>
      <c r="C234" s="348">
        <v>182</v>
      </c>
      <c r="D234" s="347">
        <v>40190</v>
      </c>
      <c r="E234" s="349">
        <v>7</v>
      </c>
      <c r="F234" s="350">
        <v>6.2286000000000001</v>
      </c>
      <c r="G234" s="350">
        <v>6.2286000000000001</v>
      </c>
      <c r="H234" s="350">
        <v>2.21</v>
      </c>
      <c r="I234" s="350">
        <v>2.21</v>
      </c>
      <c r="J234" s="350">
        <v>2.13</v>
      </c>
      <c r="L234" s="348">
        <v>3</v>
      </c>
      <c r="M234" s="323"/>
      <c r="N234" s="323"/>
      <c r="O234" s="323"/>
      <c r="P234" s="323"/>
      <c r="Q234" s="323"/>
      <c r="R234" s="323"/>
      <c r="S234" s="323"/>
      <c r="T234" s="323"/>
      <c r="U234" s="323"/>
      <c r="V234" s="323"/>
      <c r="W234" s="323"/>
      <c r="X234" s="323"/>
      <c r="Y234" s="323"/>
      <c r="Z234" s="323"/>
      <c r="AA234" s="323"/>
      <c r="AB234" s="323"/>
      <c r="AC234" s="323"/>
      <c r="AD234" s="323"/>
      <c r="AE234" s="323"/>
      <c r="AF234" s="323"/>
      <c r="AG234" s="323"/>
      <c r="AH234" s="323"/>
      <c r="AI234" s="323"/>
      <c r="AJ234" s="323"/>
      <c r="AK234" s="323"/>
      <c r="AL234" s="323"/>
      <c r="AM234" s="323"/>
      <c r="AN234" s="323"/>
      <c r="AO234" s="323"/>
      <c r="AP234" s="323"/>
      <c r="AQ234" s="323"/>
      <c r="AR234" s="323"/>
      <c r="AS234" s="323"/>
      <c r="AT234" s="323"/>
      <c r="AU234" s="323"/>
      <c r="AV234" s="323"/>
      <c r="AW234" s="323"/>
      <c r="AX234" s="323"/>
      <c r="AY234" s="323"/>
      <c r="AZ234" s="323"/>
      <c r="BA234" s="323"/>
      <c r="BB234" s="323"/>
      <c r="BC234" s="323"/>
      <c r="BD234" s="323"/>
      <c r="BE234" s="323"/>
      <c r="BF234" s="323"/>
      <c r="BG234" s="323"/>
      <c r="BH234" s="323"/>
      <c r="BI234" s="323"/>
      <c r="BJ234" s="323"/>
      <c r="BK234" s="323"/>
      <c r="BL234" s="323"/>
      <c r="BM234" s="323"/>
      <c r="BN234" s="323"/>
      <c r="BO234" s="323"/>
      <c r="BP234" s="323"/>
      <c r="BQ234" s="323"/>
      <c r="BR234" s="323"/>
      <c r="BS234" s="323"/>
      <c r="BT234" s="323"/>
      <c r="BU234" s="323"/>
      <c r="BV234" s="323"/>
      <c r="BW234" s="323"/>
      <c r="BX234" s="323"/>
      <c r="BY234" s="323"/>
      <c r="BZ234" s="323"/>
      <c r="CA234" s="323"/>
      <c r="CB234" s="323"/>
      <c r="CC234" s="323"/>
      <c r="CD234" s="323"/>
      <c r="CE234" s="323"/>
      <c r="CF234" s="323"/>
      <c r="CG234" s="323"/>
      <c r="CH234" s="323"/>
      <c r="CI234" s="323"/>
      <c r="CJ234" s="323"/>
      <c r="CK234" s="323"/>
      <c r="CL234" s="323"/>
      <c r="CM234" s="323"/>
      <c r="CN234" s="323"/>
      <c r="CO234" s="323"/>
      <c r="CP234" s="323"/>
      <c r="CQ234" s="323"/>
      <c r="CR234" s="323"/>
      <c r="CS234" s="323"/>
      <c r="CT234" s="323"/>
      <c r="CU234" s="323"/>
      <c r="CV234" s="323"/>
      <c r="CW234" s="323"/>
      <c r="CX234" s="323"/>
      <c r="CY234" s="323"/>
      <c r="CZ234" s="323"/>
      <c r="DA234" s="323"/>
      <c r="DB234" s="323"/>
      <c r="DC234" s="323"/>
      <c r="DD234" s="323"/>
      <c r="DE234" s="323"/>
      <c r="DF234" s="323"/>
      <c r="DG234" s="323"/>
      <c r="DH234" s="323"/>
      <c r="DI234" s="323"/>
      <c r="DJ234" s="323"/>
      <c r="DK234" s="323"/>
      <c r="DL234" s="323"/>
      <c r="DM234" s="323"/>
      <c r="DN234" s="323"/>
      <c r="DO234" s="323"/>
      <c r="DP234" s="323"/>
      <c r="DQ234" s="323"/>
      <c r="DR234" s="323"/>
      <c r="DS234" s="323"/>
      <c r="DT234" s="323"/>
      <c r="DU234" s="323"/>
      <c r="DV234" s="323"/>
      <c r="DW234" s="323"/>
      <c r="DX234" s="323"/>
      <c r="DY234" s="323"/>
      <c r="DZ234" s="323"/>
      <c r="EA234" s="323"/>
      <c r="EB234" s="323"/>
      <c r="EC234" s="323"/>
      <c r="ED234" s="323"/>
      <c r="EE234" s="323"/>
      <c r="EF234" s="323"/>
      <c r="EG234" s="323"/>
      <c r="EH234" s="323"/>
      <c r="EI234" s="323"/>
      <c r="EJ234" s="323"/>
      <c r="EK234" s="323"/>
      <c r="EL234" s="323"/>
      <c r="EM234" s="323"/>
      <c r="EN234" s="323"/>
      <c r="EO234" s="323"/>
      <c r="EP234" s="323"/>
      <c r="EQ234" s="323"/>
      <c r="ER234" s="323"/>
      <c r="ES234" s="323"/>
      <c r="ET234" s="323"/>
      <c r="EU234" s="323"/>
      <c r="EV234" s="323"/>
      <c r="EW234" s="323"/>
      <c r="EX234" s="323"/>
      <c r="EY234" s="323"/>
      <c r="EZ234" s="323"/>
      <c r="FA234" s="323"/>
      <c r="FB234" s="323"/>
      <c r="FC234" s="323"/>
      <c r="FD234" s="323"/>
      <c r="FE234" s="323"/>
      <c r="FF234" s="323"/>
      <c r="FG234" s="323"/>
      <c r="FH234" s="323"/>
      <c r="FI234" s="323"/>
      <c r="FJ234" s="323"/>
      <c r="FK234" s="323"/>
      <c r="FL234" s="323"/>
      <c r="FM234" s="323"/>
      <c r="FN234" s="323"/>
      <c r="FO234" s="323"/>
      <c r="FP234" s="323"/>
      <c r="FQ234" s="323"/>
      <c r="FR234" s="323"/>
      <c r="FS234" s="323"/>
      <c r="FT234" s="323"/>
      <c r="FU234" s="323"/>
      <c r="FV234" s="323"/>
      <c r="FW234" s="323"/>
      <c r="FX234" s="323"/>
      <c r="FY234" s="323"/>
      <c r="FZ234" s="323"/>
      <c r="GA234" s="323"/>
      <c r="GB234" s="323"/>
      <c r="GC234" s="323"/>
      <c r="GD234" s="323"/>
      <c r="GE234" s="323"/>
      <c r="GF234" s="323"/>
      <c r="GG234" s="323"/>
      <c r="GH234" s="323"/>
      <c r="GI234" s="323"/>
      <c r="GJ234" s="323"/>
      <c r="GK234" s="323"/>
      <c r="GL234" s="323"/>
      <c r="GM234" s="323"/>
      <c r="GN234" s="323"/>
      <c r="GO234" s="323"/>
      <c r="GP234" s="323"/>
      <c r="GQ234" s="323"/>
      <c r="GR234" s="323"/>
      <c r="GS234" s="323"/>
      <c r="GT234" s="323"/>
      <c r="GU234" s="323"/>
      <c r="GV234" s="323"/>
      <c r="GW234" s="323"/>
      <c r="GX234" s="323"/>
      <c r="GY234" s="323"/>
      <c r="GZ234" s="323"/>
      <c r="HA234" s="323"/>
      <c r="HB234" s="323"/>
      <c r="HC234" s="323"/>
      <c r="HD234" s="323"/>
      <c r="HE234" s="323"/>
      <c r="HF234" s="323"/>
      <c r="HG234" s="323"/>
      <c r="HH234" s="323"/>
      <c r="HI234" s="323"/>
      <c r="HJ234" s="323"/>
      <c r="HK234" s="323"/>
      <c r="HL234" s="323"/>
      <c r="HM234" s="323"/>
      <c r="HN234" s="323"/>
      <c r="HO234" s="323"/>
      <c r="HP234" s="323"/>
      <c r="HQ234" s="323"/>
      <c r="HR234" s="323"/>
      <c r="HS234" s="323"/>
      <c r="HT234" s="323"/>
      <c r="HU234" s="323"/>
      <c r="HV234" s="323"/>
      <c r="HW234" s="323"/>
      <c r="HX234" s="323"/>
      <c r="HY234" s="323"/>
      <c r="HZ234" s="323"/>
      <c r="IA234" s="323"/>
      <c r="IB234" s="323"/>
      <c r="IC234" s="323"/>
      <c r="ID234" s="323"/>
      <c r="IE234" s="323"/>
      <c r="IF234" s="323"/>
      <c r="IG234" s="323"/>
      <c r="IH234" s="323"/>
      <c r="II234" s="323"/>
      <c r="IJ234" s="323"/>
      <c r="IK234" s="323"/>
      <c r="IL234" s="323"/>
      <c r="IM234" s="323"/>
      <c r="IN234" s="323"/>
      <c r="IO234" s="323"/>
      <c r="IP234" s="323"/>
      <c r="IQ234" s="323"/>
      <c r="IR234" s="323"/>
      <c r="IS234" s="323"/>
      <c r="IT234" s="323"/>
      <c r="IU234" s="323"/>
      <c r="IV234" s="323"/>
    </row>
    <row r="235" spans="1:256" hidden="1">
      <c r="A235" s="334">
        <v>40011</v>
      </c>
      <c r="B235" s="334" t="s">
        <v>574</v>
      </c>
      <c r="C235" s="335">
        <v>728</v>
      </c>
      <c r="D235" s="334">
        <v>40739</v>
      </c>
      <c r="E235" s="338">
        <v>3</v>
      </c>
      <c r="F235" s="336">
        <v>0</v>
      </c>
      <c r="G235" s="336">
        <v>0</v>
      </c>
      <c r="H235" s="336">
        <v>0</v>
      </c>
      <c r="I235" s="336">
        <v>0</v>
      </c>
      <c r="J235" s="336">
        <v>0</v>
      </c>
      <c r="L235" s="335">
        <v>0</v>
      </c>
    </row>
    <row r="236" spans="1:256" s="351" customFormat="1" hidden="1">
      <c r="A236" s="347">
        <v>40011</v>
      </c>
      <c r="B236" s="347" t="s">
        <v>575</v>
      </c>
      <c r="C236" s="348">
        <v>1092</v>
      </c>
      <c r="D236" s="347">
        <v>41103</v>
      </c>
      <c r="E236" s="349">
        <v>2</v>
      </c>
      <c r="F236" s="350">
        <v>0</v>
      </c>
      <c r="G236" s="350">
        <v>0</v>
      </c>
      <c r="H236" s="350">
        <v>0</v>
      </c>
      <c r="I236" s="350">
        <v>0</v>
      </c>
      <c r="J236" s="350">
        <v>0</v>
      </c>
      <c r="L236" s="348">
        <v>0</v>
      </c>
      <c r="M236" s="323"/>
      <c r="N236" s="323"/>
      <c r="O236" s="323"/>
      <c r="P236" s="323"/>
      <c r="Q236" s="323"/>
      <c r="R236" s="323"/>
      <c r="S236" s="323"/>
      <c r="T236" s="323"/>
      <c r="U236" s="323"/>
      <c r="V236" s="323"/>
      <c r="W236" s="323"/>
      <c r="X236" s="323"/>
      <c r="Y236" s="323"/>
      <c r="Z236" s="323"/>
      <c r="AA236" s="323"/>
      <c r="AB236" s="323"/>
      <c r="AC236" s="323"/>
      <c r="AD236" s="323"/>
      <c r="AE236" s="323"/>
      <c r="AF236" s="323"/>
      <c r="AG236" s="323"/>
      <c r="AH236" s="323"/>
      <c r="AI236" s="323"/>
      <c r="AJ236" s="323"/>
      <c r="AK236" s="323"/>
      <c r="AL236" s="323"/>
      <c r="AM236" s="323"/>
      <c r="AN236" s="323"/>
      <c r="AO236" s="323"/>
      <c r="AP236" s="323"/>
      <c r="AQ236" s="323"/>
      <c r="AR236" s="323"/>
      <c r="AS236" s="323"/>
      <c r="AT236" s="323"/>
      <c r="AU236" s="323"/>
      <c r="AV236" s="323"/>
      <c r="AW236" s="323"/>
      <c r="AX236" s="323"/>
      <c r="AY236" s="323"/>
      <c r="AZ236" s="323"/>
      <c r="BA236" s="323"/>
      <c r="BB236" s="323"/>
      <c r="BC236" s="323"/>
      <c r="BD236" s="323"/>
      <c r="BE236" s="323"/>
      <c r="BF236" s="323"/>
      <c r="BG236" s="323"/>
      <c r="BH236" s="323"/>
      <c r="BI236" s="323"/>
      <c r="BJ236" s="323"/>
      <c r="BK236" s="323"/>
      <c r="BL236" s="323"/>
      <c r="BM236" s="323"/>
      <c r="BN236" s="323"/>
      <c r="BO236" s="323"/>
      <c r="BP236" s="323"/>
      <c r="BQ236" s="323"/>
      <c r="BR236" s="323"/>
      <c r="BS236" s="323"/>
      <c r="BT236" s="323"/>
      <c r="BU236" s="323"/>
      <c r="BV236" s="323"/>
      <c r="BW236" s="323"/>
      <c r="BX236" s="323"/>
      <c r="BY236" s="323"/>
      <c r="BZ236" s="323"/>
      <c r="CA236" s="323"/>
      <c r="CB236" s="323"/>
      <c r="CC236" s="323"/>
      <c r="CD236" s="323"/>
      <c r="CE236" s="323"/>
      <c r="CF236" s="323"/>
      <c r="CG236" s="323"/>
      <c r="CH236" s="323"/>
      <c r="CI236" s="323"/>
      <c r="CJ236" s="323"/>
      <c r="CK236" s="323"/>
      <c r="CL236" s="323"/>
      <c r="CM236" s="323"/>
      <c r="CN236" s="323"/>
      <c r="CO236" s="323"/>
      <c r="CP236" s="323"/>
      <c r="CQ236" s="323"/>
      <c r="CR236" s="323"/>
      <c r="CS236" s="323"/>
      <c r="CT236" s="323"/>
      <c r="CU236" s="323"/>
      <c r="CV236" s="323"/>
      <c r="CW236" s="323"/>
      <c r="CX236" s="323"/>
      <c r="CY236" s="323"/>
      <c r="CZ236" s="323"/>
      <c r="DA236" s="323"/>
      <c r="DB236" s="323"/>
      <c r="DC236" s="323"/>
      <c r="DD236" s="323"/>
      <c r="DE236" s="323"/>
      <c r="DF236" s="323"/>
      <c r="DG236" s="323"/>
      <c r="DH236" s="323"/>
      <c r="DI236" s="323"/>
      <c r="DJ236" s="323"/>
      <c r="DK236" s="323"/>
      <c r="DL236" s="323"/>
      <c r="DM236" s="323"/>
      <c r="DN236" s="323"/>
      <c r="DO236" s="323"/>
      <c r="DP236" s="323"/>
      <c r="DQ236" s="323"/>
      <c r="DR236" s="323"/>
      <c r="DS236" s="323"/>
      <c r="DT236" s="323"/>
      <c r="DU236" s="323"/>
      <c r="DV236" s="323"/>
      <c r="DW236" s="323"/>
      <c r="DX236" s="323"/>
      <c r="DY236" s="323"/>
      <c r="DZ236" s="323"/>
      <c r="EA236" s="323"/>
      <c r="EB236" s="323"/>
      <c r="EC236" s="323"/>
      <c r="ED236" s="323"/>
      <c r="EE236" s="323"/>
      <c r="EF236" s="323"/>
      <c r="EG236" s="323"/>
      <c r="EH236" s="323"/>
      <c r="EI236" s="323"/>
      <c r="EJ236" s="323"/>
      <c r="EK236" s="323"/>
      <c r="EL236" s="323"/>
      <c r="EM236" s="323"/>
      <c r="EN236" s="323"/>
      <c r="EO236" s="323"/>
      <c r="EP236" s="323"/>
      <c r="EQ236" s="323"/>
      <c r="ER236" s="323"/>
      <c r="ES236" s="323"/>
      <c r="ET236" s="323"/>
      <c r="EU236" s="323"/>
      <c r="EV236" s="323"/>
      <c r="EW236" s="323"/>
      <c r="EX236" s="323"/>
      <c r="EY236" s="323"/>
      <c r="EZ236" s="323"/>
      <c r="FA236" s="323"/>
      <c r="FB236" s="323"/>
      <c r="FC236" s="323"/>
      <c r="FD236" s="323"/>
      <c r="FE236" s="323"/>
      <c r="FF236" s="323"/>
      <c r="FG236" s="323"/>
      <c r="FH236" s="323"/>
      <c r="FI236" s="323"/>
      <c r="FJ236" s="323"/>
      <c r="FK236" s="323"/>
      <c r="FL236" s="323"/>
      <c r="FM236" s="323"/>
      <c r="FN236" s="323"/>
      <c r="FO236" s="323"/>
      <c r="FP236" s="323"/>
      <c r="FQ236" s="323"/>
      <c r="FR236" s="323"/>
      <c r="FS236" s="323"/>
      <c r="FT236" s="323"/>
      <c r="FU236" s="323"/>
      <c r="FV236" s="323"/>
      <c r="FW236" s="323"/>
      <c r="FX236" s="323"/>
      <c r="FY236" s="323"/>
      <c r="FZ236" s="323"/>
      <c r="GA236" s="323"/>
      <c r="GB236" s="323"/>
      <c r="GC236" s="323"/>
      <c r="GD236" s="323"/>
      <c r="GE236" s="323"/>
      <c r="GF236" s="323"/>
      <c r="GG236" s="323"/>
      <c r="GH236" s="323"/>
      <c r="GI236" s="323"/>
      <c r="GJ236" s="323"/>
      <c r="GK236" s="323"/>
      <c r="GL236" s="323"/>
      <c r="GM236" s="323"/>
      <c r="GN236" s="323"/>
      <c r="GO236" s="323"/>
      <c r="GP236" s="323"/>
      <c r="GQ236" s="323"/>
      <c r="GR236" s="323"/>
      <c r="GS236" s="323"/>
      <c r="GT236" s="323"/>
      <c r="GU236" s="323"/>
      <c r="GV236" s="323"/>
      <c r="GW236" s="323"/>
      <c r="GX236" s="323"/>
      <c r="GY236" s="323"/>
      <c r="GZ236" s="323"/>
      <c r="HA236" s="323"/>
      <c r="HB236" s="323"/>
      <c r="HC236" s="323"/>
      <c r="HD236" s="323"/>
      <c r="HE236" s="323"/>
      <c r="HF236" s="323"/>
      <c r="HG236" s="323"/>
      <c r="HH236" s="323"/>
      <c r="HI236" s="323"/>
      <c r="HJ236" s="323"/>
      <c r="HK236" s="323"/>
      <c r="HL236" s="323"/>
      <c r="HM236" s="323"/>
      <c r="HN236" s="323"/>
      <c r="HO236" s="323"/>
      <c r="HP236" s="323"/>
      <c r="HQ236" s="323"/>
      <c r="HR236" s="323"/>
      <c r="HS236" s="323"/>
      <c r="HT236" s="323"/>
      <c r="HU236" s="323"/>
      <c r="HV236" s="323"/>
      <c r="HW236" s="323"/>
      <c r="HX236" s="323"/>
      <c r="HY236" s="323"/>
      <c r="HZ236" s="323"/>
      <c r="IA236" s="323"/>
      <c r="IB236" s="323"/>
      <c r="IC236" s="323"/>
      <c r="ID236" s="323"/>
      <c r="IE236" s="323"/>
      <c r="IF236" s="323"/>
      <c r="IG236" s="323"/>
      <c r="IH236" s="323"/>
      <c r="II236" s="323"/>
      <c r="IJ236" s="323"/>
      <c r="IK236" s="323"/>
      <c r="IL236" s="323"/>
      <c r="IM236" s="323"/>
      <c r="IN236" s="323"/>
      <c r="IO236" s="323"/>
      <c r="IP236" s="323"/>
      <c r="IQ236" s="323"/>
      <c r="IR236" s="323"/>
      <c r="IS236" s="323"/>
      <c r="IT236" s="323"/>
      <c r="IU236" s="323"/>
      <c r="IV236" s="323"/>
    </row>
    <row r="237" spans="1:256" hidden="1">
      <c r="A237" s="334">
        <v>40015</v>
      </c>
      <c r="B237" s="334" t="s">
        <v>576</v>
      </c>
      <c r="C237" s="335">
        <v>35</v>
      </c>
      <c r="D237" s="334">
        <v>40050</v>
      </c>
      <c r="E237" s="338">
        <v>20</v>
      </c>
      <c r="F237" s="336">
        <v>12.0266</v>
      </c>
      <c r="G237" s="336">
        <v>0</v>
      </c>
      <c r="H237" s="336">
        <v>0</v>
      </c>
      <c r="I237" s="336">
        <v>0</v>
      </c>
      <c r="J237" s="336">
        <v>0</v>
      </c>
      <c r="L237" s="335">
        <v>3</v>
      </c>
    </row>
    <row r="238" spans="1:256" s="351" customFormat="1" hidden="1">
      <c r="A238" s="347">
        <v>40015</v>
      </c>
      <c r="B238" s="347" t="s">
        <v>577</v>
      </c>
      <c r="C238" s="348">
        <v>364</v>
      </c>
      <c r="D238" s="347">
        <v>40379</v>
      </c>
      <c r="E238" s="349">
        <v>2</v>
      </c>
      <c r="F238" s="350">
        <v>2.1061999999999999</v>
      </c>
      <c r="G238" s="350">
        <v>2</v>
      </c>
      <c r="H238" s="350">
        <v>2.9899999999999998</v>
      </c>
      <c r="I238" s="350">
        <v>2.9899999999999998</v>
      </c>
      <c r="J238" s="350">
        <v>2.9899999999999998</v>
      </c>
      <c r="L238" s="348">
        <v>2</v>
      </c>
      <c r="M238" s="323"/>
      <c r="N238" s="323"/>
      <c r="O238" s="323"/>
      <c r="P238" s="323"/>
      <c r="Q238" s="323"/>
      <c r="R238" s="323"/>
      <c r="S238" s="323"/>
      <c r="T238" s="323"/>
      <c r="U238" s="323"/>
      <c r="V238" s="323"/>
      <c r="W238" s="323"/>
      <c r="X238" s="323"/>
      <c r="Y238" s="323"/>
      <c r="Z238" s="323"/>
      <c r="AA238" s="323"/>
      <c r="AB238" s="323"/>
      <c r="AC238" s="323"/>
      <c r="AD238" s="323"/>
      <c r="AE238" s="323"/>
      <c r="AF238" s="323"/>
      <c r="AG238" s="323"/>
      <c r="AH238" s="323"/>
      <c r="AI238" s="323"/>
      <c r="AJ238" s="323"/>
      <c r="AK238" s="323"/>
      <c r="AL238" s="323"/>
      <c r="AM238" s="323"/>
      <c r="AN238" s="323"/>
      <c r="AO238" s="323"/>
      <c r="AP238" s="323"/>
      <c r="AQ238" s="323"/>
      <c r="AR238" s="323"/>
      <c r="AS238" s="323"/>
      <c r="AT238" s="323"/>
      <c r="AU238" s="323"/>
      <c r="AV238" s="323"/>
      <c r="AW238" s="323"/>
      <c r="AX238" s="323"/>
      <c r="AY238" s="323"/>
      <c r="AZ238" s="323"/>
      <c r="BA238" s="323"/>
      <c r="BB238" s="323"/>
      <c r="BC238" s="323"/>
      <c r="BD238" s="323"/>
      <c r="BE238" s="323"/>
      <c r="BF238" s="323"/>
      <c r="BG238" s="323"/>
      <c r="BH238" s="323"/>
      <c r="BI238" s="323"/>
      <c r="BJ238" s="323"/>
      <c r="BK238" s="323"/>
      <c r="BL238" s="323"/>
      <c r="BM238" s="323"/>
      <c r="BN238" s="323"/>
      <c r="BO238" s="323"/>
      <c r="BP238" s="323"/>
      <c r="BQ238" s="323"/>
      <c r="BR238" s="323"/>
      <c r="BS238" s="323"/>
      <c r="BT238" s="323"/>
      <c r="BU238" s="323"/>
      <c r="BV238" s="323"/>
      <c r="BW238" s="323"/>
      <c r="BX238" s="323"/>
      <c r="BY238" s="323"/>
      <c r="BZ238" s="323"/>
      <c r="CA238" s="323"/>
      <c r="CB238" s="323"/>
      <c r="CC238" s="323"/>
      <c r="CD238" s="323"/>
      <c r="CE238" s="323"/>
      <c r="CF238" s="323"/>
      <c r="CG238" s="323"/>
      <c r="CH238" s="323"/>
      <c r="CI238" s="323"/>
      <c r="CJ238" s="323"/>
      <c r="CK238" s="323"/>
      <c r="CL238" s="323"/>
      <c r="CM238" s="323"/>
      <c r="CN238" s="323"/>
      <c r="CO238" s="323"/>
      <c r="CP238" s="323"/>
      <c r="CQ238" s="323"/>
      <c r="CR238" s="323"/>
      <c r="CS238" s="323"/>
      <c r="CT238" s="323"/>
      <c r="CU238" s="323"/>
      <c r="CV238" s="323"/>
      <c r="CW238" s="323"/>
      <c r="CX238" s="323"/>
      <c r="CY238" s="323"/>
      <c r="CZ238" s="323"/>
      <c r="DA238" s="323"/>
      <c r="DB238" s="323"/>
      <c r="DC238" s="323"/>
      <c r="DD238" s="323"/>
      <c r="DE238" s="323"/>
      <c r="DF238" s="323"/>
      <c r="DG238" s="323"/>
      <c r="DH238" s="323"/>
      <c r="DI238" s="323"/>
      <c r="DJ238" s="323"/>
      <c r="DK238" s="323"/>
      <c r="DL238" s="323"/>
      <c r="DM238" s="323"/>
      <c r="DN238" s="323"/>
      <c r="DO238" s="323"/>
      <c r="DP238" s="323"/>
      <c r="DQ238" s="323"/>
      <c r="DR238" s="323"/>
      <c r="DS238" s="323"/>
      <c r="DT238" s="323"/>
      <c r="DU238" s="323"/>
      <c r="DV238" s="323"/>
      <c r="DW238" s="323"/>
      <c r="DX238" s="323"/>
      <c r="DY238" s="323"/>
      <c r="DZ238" s="323"/>
      <c r="EA238" s="323"/>
      <c r="EB238" s="323"/>
      <c r="EC238" s="323"/>
      <c r="ED238" s="323"/>
      <c r="EE238" s="323"/>
      <c r="EF238" s="323"/>
      <c r="EG238" s="323"/>
      <c r="EH238" s="323"/>
      <c r="EI238" s="323"/>
      <c r="EJ238" s="323"/>
      <c r="EK238" s="323"/>
      <c r="EL238" s="323"/>
      <c r="EM238" s="323"/>
      <c r="EN238" s="323"/>
      <c r="EO238" s="323"/>
      <c r="EP238" s="323"/>
      <c r="EQ238" s="323"/>
      <c r="ER238" s="323"/>
      <c r="ES238" s="323"/>
      <c r="ET238" s="323"/>
      <c r="EU238" s="323"/>
      <c r="EV238" s="323"/>
      <c r="EW238" s="323"/>
      <c r="EX238" s="323"/>
      <c r="EY238" s="323"/>
      <c r="EZ238" s="323"/>
      <c r="FA238" s="323"/>
      <c r="FB238" s="323"/>
      <c r="FC238" s="323"/>
      <c r="FD238" s="323"/>
      <c r="FE238" s="323"/>
      <c r="FF238" s="323"/>
      <c r="FG238" s="323"/>
      <c r="FH238" s="323"/>
      <c r="FI238" s="323"/>
      <c r="FJ238" s="323"/>
      <c r="FK238" s="323"/>
      <c r="FL238" s="323"/>
      <c r="FM238" s="323"/>
      <c r="FN238" s="323"/>
      <c r="FO238" s="323"/>
      <c r="FP238" s="323"/>
      <c r="FQ238" s="323"/>
      <c r="FR238" s="323"/>
      <c r="FS238" s="323"/>
      <c r="FT238" s="323"/>
      <c r="FU238" s="323"/>
      <c r="FV238" s="323"/>
      <c r="FW238" s="323"/>
      <c r="FX238" s="323"/>
      <c r="FY238" s="323"/>
      <c r="FZ238" s="323"/>
      <c r="GA238" s="323"/>
      <c r="GB238" s="323"/>
      <c r="GC238" s="323"/>
      <c r="GD238" s="323"/>
      <c r="GE238" s="323"/>
      <c r="GF238" s="323"/>
      <c r="GG238" s="323"/>
      <c r="GH238" s="323"/>
      <c r="GI238" s="323"/>
      <c r="GJ238" s="323"/>
      <c r="GK238" s="323"/>
      <c r="GL238" s="323"/>
      <c r="GM238" s="323"/>
      <c r="GN238" s="323"/>
      <c r="GO238" s="323"/>
      <c r="GP238" s="323"/>
      <c r="GQ238" s="323"/>
      <c r="GR238" s="323"/>
      <c r="GS238" s="323"/>
      <c r="GT238" s="323"/>
      <c r="GU238" s="323"/>
      <c r="GV238" s="323"/>
      <c r="GW238" s="323"/>
      <c r="GX238" s="323"/>
      <c r="GY238" s="323"/>
      <c r="GZ238" s="323"/>
      <c r="HA238" s="323"/>
      <c r="HB238" s="323"/>
      <c r="HC238" s="323"/>
      <c r="HD238" s="323"/>
      <c r="HE238" s="323"/>
      <c r="HF238" s="323"/>
      <c r="HG238" s="323"/>
      <c r="HH238" s="323"/>
      <c r="HI238" s="323"/>
      <c r="HJ238" s="323"/>
      <c r="HK238" s="323"/>
      <c r="HL238" s="323"/>
      <c r="HM238" s="323"/>
      <c r="HN238" s="323"/>
      <c r="HO238" s="323"/>
      <c r="HP238" s="323"/>
      <c r="HQ238" s="323"/>
      <c r="HR238" s="323"/>
      <c r="HS238" s="323"/>
      <c r="HT238" s="323"/>
      <c r="HU238" s="323"/>
      <c r="HV238" s="323"/>
      <c r="HW238" s="323"/>
      <c r="HX238" s="323"/>
      <c r="HY238" s="323"/>
      <c r="HZ238" s="323"/>
      <c r="IA238" s="323"/>
      <c r="IB238" s="323"/>
      <c r="IC238" s="323"/>
      <c r="ID238" s="323"/>
      <c r="IE238" s="323"/>
      <c r="IF238" s="323"/>
      <c r="IG238" s="323"/>
      <c r="IH238" s="323"/>
      <c r="II238" s="323"/>
      <c r="IJ238" s="323"/>
      <c r="IK238" s="323"/>
      <c r="IL238" s="323"/>
      <c r="IM238" s="323"/>
      <c r="IN238" s="323"/>
      <c r="IO238" s="323"/>
      <c r="IP238" s="323"/>
      <c r="IQ238" s="323"/>
      <c r="IR238" s="323"/>
      <c r="IS238" s="323"/>
      <c r="IT238" s="323"/>
      <c r="IU238" s="323"/>
      <c r="IV238" s="323"/>
    </row>
    <row r="239" spans="1:256" hidden="1">
      <c r="A239" s="334">
        <v>40018</v>
      </c>
      <c r="B239" s="334" t="s">
        <v>578</v>
      </c>
      <c r="C239" s="335">
        <v>91</v>
      </c>
      <c r="D239" s="334">
        <v>40109</v>
      </c>
      <c r="E239" s="338">
        <v>15</v>
      </c>
      <c r="F239" s="336">
        <v>3.1833999999999998</v>
      </c>
      <c r="G239" s="336">
        <v>3.1833999999999998</v>
      </c>
      <c r="H239" s="336">
        <v>1.73</v>
      </c>
      <c r="I239" s="336">
        <v>1.73</v>
      </c>
      <c r="J239" s="336">
        <v>1.73</v>
      </c>
      <c r="L239" s="335">
        <v>4</v>
      </c>
    </row>
    <row r="240" spans="1:256" s="351" customFormat="1" hidden="1">
      <c r="A240" s="347">
        <v>40022</v>
      </c>
      <c r="B240" s="347" t="s">
        <v>579</v>
      </c>
      <c r="C240" s="348">
        <v>182</v>
      </c>
      <c r="D240" s="347">
        <v>40204</v>
      </c>
      <c r="E240" s="349">
        <v>8</v>
      </c>
      <c r="F240" s="350">
        <v>5.0434000000000001</v>
      </c>
      <c r="G240" s="350">
        <v>5.0434000000000001</v>
      </c>
      <c r="H240" s="350">
        <v>2.25</v>
      </c>
      <c r="I240" s="350">
        <v>2.25</v>
      </c>
      <c r="J240" s="350">
        <v>2.25</v>
      </c>
      <c r="L240" s="348">
        <v>1</v>
      </c>
      <c r="M240" s="323"/>
      <c r="N240" s="323"/>
      <c r="O240" s="323"/>
      <c r="P240" s="323"/>
      <c r="Q240" s="323"/>
      <c r="R240" s="323"/>
      <c r="S240" s="323"/>
      <c r="T240" s="323"/>
      <c r="U240" s="323"/>
      <c r="V240" s="323"/>
      <c r="W240" s="323"/>
      <c r="X240" s="323"/>
      <c r="Y240" s="323"/>
      <c r="Z240" s="323"/>
      <c r="AA240" s="323"/>
      <c r="AB240" s="323"/>
      <c r="AC240" s="323"/>
      <c r="AD240" s="323"/>
      <c r="AE240" s="323"/>
      <c r="AF240" s="323"/>
      <c r="AG240" s="323"/>
      <c r="AH240" s="323"/>
      <c r="AI240" s="323"/>
      <c r="AJ240" s="323"/>
      <c r="AK240" s="323"/>
      <c r="AL240" s="323"/>
      <c r="AM240" s="323"/>
      <c r="AN240" s="323"/>
      <c r="AO240" s="323"/>
      <c r="AP240" s="323"/>
      <c r="AQ240" s="323"/>
      <c r="AR240" s="323"/>
      <c r="AS240" s="323"/>
      <c r="AT240" s="323"/>
      <c r="AU240" s="323"/>
      <c r="AV240" s="323"/>
      <c r="AW240" s="323"/>
      <c r="AX240" s="323"/>
      <c r="AY240" s="323"/>
      <c r="AZ240" s="323"/>
      <c r="BA240" s="323"/>
      <c r="BB240" s="323"/>
      <c r="BC240" s="323"/>
      <c r="BD240" s="323"/>
      <c r="BE240" s="323"/>
      <c r="BF240" s="323"/>
      <c r="BG240" s="323"/>
      <c r="BH240" s="323"/>
      <c r="BI240" s="323"/>
      <c r="BJ240" s="323"/>
      <c r="BK240" s="323"/>
      <c r="BL240" s="323"/>
      <c r="BM240" s="323"/>
      <c r="BN240" s="323"/>
      <c r="BO240" s="323"/>
      <c r="BP240" s="323"/>
      <c r="BQ240" s="323"/>
      <c r="BR240" s="323"/>
      <c r="BS240" s="323"/>
      <c r="BT240" s="323"/>
      <c r="BU240" s="323"/>
      <c r="BV240" s="323"/>
      <c r="BW240" s="323"/>
      <c r="BX240" s="323"/>
      <c r="BY240" s="323"/>
      <c r="BZ240" s="323"/>
      <c r="CA240" s="323"/>
      <c r="CB240" s="323"/>
      <c r="CC240" s="323"/>
      <c r="CD240" s="323"/>
      <c r="CE240" s="323"/>
      <c r="CF240" s="323"/>
      <c r="CG240" s="323"/>
      <c r="CH240" s="323"/>
      <c r="CI240" s="323"/>
      <c r="CJ240" s="323"/>
      <c r="CK240" s="323"/>
      <c r="CL240" s="323"/>
      <c r="CM240" s="323"/>
      <c r="CN240" s="323"/>
      <c r="CO240" s="323"/>
      <c r="CP240" s="323"/>
      <c r="CQ240" s="323"/>
      <c r="CR240" s="323"/>
      <c r="CS240" s="323"/>
      <c r="CT240" s="323"/>
      <c r="CU240" s="323"/>
      <c r="CV240" s="323"/>
      <c r="CW240" s="323"/>
      <c r="CX240" s="323"/>
      <c r="CY240" s="323"/>
      <c r="CZ240" s="323"/>
      <c r="DA240" s="323"/>
      <c r="DB240" s="323"/>
      <c r="DC240" s="323"/>
      <c r="DD240" s="323"/>
      <c r="DE240" s="323"/>
      <c r="DF240" s="323"/>
      <c r="DG240" s="323"/>
      <c r="DH240" s="323"/>
      <c r="DI240" s="323"/>
      <c r="DJ240" s="323"/>
      <c r="DK240" s="323"/>
      <c r="DL240" s="323"/>
      <c r="DM240" s="323"/>
      <c r="DN240" s="323"/>
      <c r="DO240" s="323"/>
      <c r="DP240" s="323"/>
      <c r="DQ240" s="323"/>
      <c r="DR240" s="323"/>
      <c r="DS240" s="323"/>
      <c r="DT240" s="323"/>
      <c r="DU240" s="323"/>
      <c r="DV240" s="323"/>
      <c r="DW240" s="323"/>
      <c r="DX240" s="323"/>
      <c r="DY240" s="323"/>
      <c r="DZ240" s="323"/>
      <c r="EA240" s="323"/>
      <c r="EB240" s="323"/>
      <c r="EC240" s="323"/>
      <c r="ED240" s="323"/>
      <c r="EE240" s="323"/>
      <c r="EF240" s="323"/>
      <c r="EG240" s="323"/>
      <c r="EH240" s="323"/>
      <c r="EI240" s="323"/>
      <c r="EJ240" s="323"/>
      <c r="EK240" s="323"/>
      <c r="EL240" s="323"/>
      <c r="EM240" s="323"/>
      <c r="EN240" s="323"/>
      <c r="EO240" s="323"/>
      <c r="EP240" s="323"/>
      <c r="EQ240" s="323"/>
      <c r="ER240" s="323"/>
      <c r="ES240" s="323"/>
      <c r="ET240" s="323"/>
      <c r="EU240" s="323"/>
      <c r="EV240" s="323"/>
      <c r="EW240" s="323"/>
      <c r="EX240" s="323"/>
      <c r="EY240" s="323"/>
      <c r="EZ240" s="323"/>
      <c r="FA240" s="323"/>
      <c r="FB240" s="323"/>
      <c r="FC240" s="323"/>
      <c r="FD240" s="323"/>
      <c r="FE240" s="323"/>
      <c r="FF240" s="323"/>
      <c r="FG240" s="323"/>
      <c r="FH240" s="323"/>
      <c r="FI240" s="323"/>
      <c r="FJ240" s="323"/>
      <c r="FK240" s="323"/>
      <c r="FL240" s="323"/>
      <c r="FM240" s="323"/>
      <c r="FN240" s="323"/>
      <c r="FO240" s="323"/>
      <c r="FP240" s="323"/>
      <c r="FQ240" s="323"/>
      <c r="FR240" s="323"/>
      <c r="FS240" s="323"/>
      <c r="FT240" s="323"/>
      <c r="FU240" s="323"/>
      <c r="FV240" s="323"/>
      <c r="FW240" s="323"/>
      <c r="FX240" s="323"/>
      <c r="FY240" s="323"/>
      <c r="FZ240" s="323"/>
      <c r="GA240" s="323"/>
      <c r="GB240" s="323"/>
      <c r="GC240" s="323"/>
      <c r="GD240" s="323"/>
      <c r="GE240" s="323"/>
      <c r="GF240" s="323"/>
      <c r="GG240" s="323"/>
      <c r="GH240" s="323"/>
      <c r="GI240" s="323"/>
      <c r="GJ240" s="323"/>
      <c r="GK240" s="323"/>
      <c r="GL240" s="323"/>
      <c r="GM240" s="323"/>
      <c r="GN240" s="323"/>
      <c r="GO240" s="323"/>
      <c r="GP240" s="323"/>
      <c r="GQ240" s="323"/>
      <c r="GR240" s="323"/>
      <c r="GS240" s="323"/>
      <c r="GT240" s="323"/>
      <c r="GU240" s="323"/>
      <c r="GV240" s="323"/>
      <c r="GW240" s="323"/>
      <c r="GX240" s="323"/>
      <c r="GY240" s="323"/>
      <c r="GZ240" s="323"/>
      <c r="HA240" s="323"/>
      <c r="HB240" s="323"/>
      <c r="HC240" s="323"/>
      <c r="HD240" s="323"/>
      <c r="HE240" s="323"/>
      <c r="HF240" s="323"/>
      <c r="HG240" s="323"/>
      <c r="HH240" s="323"/>
      <c r="HI240" s="323"/>
      <c r="HJ240" s="323"/>
      <c r="HK240" s="323"/>
      <c r="HL240" s="323"/>
      <c r="HM240" s="323"/>
      <c r="HN240" s="323"/>
      <c r="HO240" s="323"/>
      <c r="HP240" s="323"/>
      <c r="HQ240" s="323"/>
      <c r="HR240" s="323"/>
      <c r="HS240" s="323"/>
      <c r="HT240" s="323"/>
      <c r="HU240" s="323"/>
      <c r="HV240" s="323"/>
      <c r="HW240" s="323"/>
      <c r="HX240" s="323"/>
      <c r="HY240" s="323"/>
      <c r="HZ240" s="323"/>
      <c r="IA240" s="323"/>
      <c r="IB240" s="323"/>
      <c r="IC240" s="323"/>
      <c r="ID240" s="323"/>
      <c r="IE240" s="323"/>
      <c r="IF240" s="323"/>
      <c r="IG240" s="323"/>
      <c r="IH240" s="323"/>
      <c r="II240" s="323"/>
      <c r="IJ240" s="323"/>
      <c r="IK240" s="323"/>
      <c r="IL240" s="323"/>
      <c r="IM240" s="323"/>
      <c r="IN240" s="323"/>
      <c r="IO240" s="323"/>
      <c r="IP240" s="323"/>
      <c r="IQ240" s="323"/>
      <c r="IR240" s="323"/>
      <c r="IS240" s="323"/>
      <c r="IT240" s="323"/>
      <c r="IU240" s="323"/>
      <c r="IV240" s="323"/>
    </row>
    <row r="241" spans="1:12" hidden="1">
      <c r="A241" s="334">
        <v>40025</v>
      </c>
      <c r="B241" s="334" t="s">
        <v>580</v>
      </c>
      <c r="C241" s="335">
        <v>1092</v>
      </c>
      <c r="D241" s="334">
        <v>41117</v>
      </c>
      <c r="E241" s="338">
        <v>3</v>
      </c>
      <c r="F241" s="336">
        <v>3</v>
      </c>
      <c r="G241" s="336">
        <v>3</v>
      </c>
      <c r="H241" s="336">
        <v>3.5000000000000004</v>
      </c>
      <c r="I241" s="336">
        <v>3.5000000000000004</v>
      </c>
      <c r="J241" s="336">
        <v>3.5000000000000004</v>
      </c>
      <c r="L241" s="335">
        <v>1</v>
      </c>
    </row>
    <row r="242" spans="1:12" hidden="1">
      <c r="A242" s="347">
        <v>40025</v>
      </c>
      <c r="B242" s="347" t="s">
        <v>581</v>
      </c>
      <c r="C242" s="348">
        <v>728</v>
      </c>
      <c r="D242" s="347">
        <v>40753</v>
      </c>
      <c r="E242" s="349">
        <v>2</v>
      </c>
      <c r="F242" s="350">
        <v>2</v>
      </c>
      <c r="G242" s="350">
        <v>2</v>
      </c>
      <c r="H242" s="350">
        <v>3.25</v>
      </c>
      <c r="I242" s="350">
        <v>3.25</v>
      </c>
      <c r="J242" s="350">
        <v>3.25</v>
      </c>
      <c r="K242" s="351"/>
      <c r="L242" s="348">
        <v>1</v>
      </c>
    </row>
    <row r="243" spans="1:12" hidden="1">
      <c r="A243" s="334">
        <v>40029</v>
      </c>
      <c r="B243" s="334" t="s">
        <v>582</v>
      </c>
      <c r="C243" s="335">
        <v>35</v>
      </c>
      <c r="D243" s="334">
        <v>40064</v>
      </c>
      <c r="E243" s="338">
        <v>18</v>
      </c>
      <c r="F243" s="336">
        <v>11.916399999999999</v>
      </c>
      <c r="G243" s="336">
        <v>7.4711999999999996</v>
      </c>
      <c r="H243" s="336">
        <v>1.25</v>
      </c>
      <c r="I243" s="336">
        <v>1.25</v>
      </c>
      <c r="J243" s="336">
        <v>1.25</v>
      </c>
      <c r="L243" s="335">
        <v>3</v>
      </c>
    </row>
    <row r="244" spans="1:12" hidden="1">
      <c r="A244" s="347">
        <v>40029</v>
      </c>
      <c r="B244" s="347" t="s">
        <v>583</v>
      </c>
      <c r="C244" s="348">
        <v>364</v>
      </c>
      <c r="D244" s="347">
        <v>40393</v>
      </c>
      <c r="E244" s="349">
        <v>3</v>
      </c>
      <c r="F244" s="350">
        <v>3</v>
      </c>
      <c r="G244" s="350">
        <v>3</v>
      </c>
      <c r="H244" s="350">
        <v>2.9899999999999998</v>
      </c>
      <c r="I244" s="350">
        <v>2.9899999999999998</v>
      </c>
      <c r="J244" s="350">
        <v>2.9899999999999998</v>
      </c>
      <c r="K244" s="351"/>
      <c r="L244" s="348">
        <v>1</v>
      </c>
    </row>
    <row r="245" spans="1:12" hidden="1">
      <c r="A245" s="334">
        <v>40032</v>
      </c>
      <c r="B245" s="334" t="s">
        <v>584</v>
      </c>
      <c r="C245" s="335">
        <v>91</v>
      </c>
      <c r="D245" s="334">
        <v>40123</v>
      </c>
      <c r="E245" s="338">
        <v>20</v>
      </c>
      <c r="F245" s="336">
        <v>8.5462000000000007</v>
      </c>
      <c r="G245" s="336">
        <v>8.5462000000000007</v>
      </c>
      <c r="H245" s="336">
        <v>1.73</v>
      </c>
      <c r="I245" s="336">
        <v>1.73</v>
      </c>
      <c r="J245" s="336">
        <v>1.73</v>
      </c>
      <c r="L245" s="335">
        <v>3</v>
      </c>
    </row>
    <row r="246" spans="1:12" hidden="1">
      <c r="A246" s="347">
        <v>40036</v>
      </c>
      <c r="B246" s="347" t="s">
        <v>585</v>
      </c>
      <c r="C246" s="348">
        <v>182</v>
      </c>
      <c r="D246" s="347">
        <v>40218</v>
      </c>
      <c r="E246" s="349">
        <v>7</v>
      </c>
      <c r="F246" s="350">
        <v>2.6217999999999999</v>
      </c>
      <c r="G246" s="350">
        <v>2.6217999999999999</v>
      </c>
      <c r="H246" s="350">
        <v>2.21</v>
      </c>
      <c r="I246" s="350">
        <v>2.21</v>
      </c>
      <c r="J246" s="350">
        <v>2.21</v>
      </c>
      <c r="K246" s="351"/>
      <c r="L246" s="348">
        <v>2</v>
      </c>
    </row>
    <row r="247" spans="1:12" hidden="1">
      <c r="A247" s="334">
        <v>40039</v>
      </c>
      <c r="B247" s="334" t="s">
        <v>586</v>
      </c>
      <c r="C247" s="335">
        <v>728</v>
      </c>
      <c r="D247" s="334">
        <v>40767</v>
      </c>
      <c r="E247" s="338">
        <v>3</v>
      </c>
      <c r="F247" s="336">
        <v>0</v>
      </c>
      <c r="G247" s="336">
        <v>0</v>
      </c>
      <c r="H247" s="336">
        <v>0</v>
      </c>
      <c r="I247" s="336">
        <v>0</v>
      </c>
      <c r="J247" s="336">
        <v>0</v>
      </c>
      <c r="L247" s="335">
        <v>0</v>
      </c>
    </row>
    <row r="248" spans="1:12" hidden="1">
      <c r="A248" s="347">
        <v>40039</v>
      </c>
      <c r="B248" s="347" t="s">
        <v>587</v>
      </c>
      <c r="C248" s="348">
        <v>1092</v>
      </c>
      <c r="D248" s="347">
        <v>41131</v>
      </c>
      <c r="E248" s="349">
        <v>3</v>
      </c>
      <c r="F248" s="350">
        <v>0</v>
      </c>
      <c r="G248" s="350">
        <v>0</v>
      </c>
      <c r="H248" s="350">
        <v>0</v>
      </c>
      <c r="I248" s="350">
        <v>0</v>
      </c>
      <c r="J248" s="350">
        <v>0</v>
      </c>
      <c r="K248" s="351"/>
      <c r="L248" s="348">
        <v>0</v>
      </c>
    </row>
    <row r="249" spans="1:12" hidden="1">
      <c r="A249" s="334">
        <v>40043</v>
      </c>
      <c r="B249" s="334" t="s">
        <v>588</v>
      </c>
      <c r="C249" s="335">
        <v>35</v>
      </c>
      <c r="D249" s="334">
        <v>40078</v>
      </c>
      <c r="E249" s="338">
        <v>20</v>
      </c>
      <c r="F249" s="336">
        <v>12.0046</v>
      </c>
      <c r="G249" s="336">
        <v>12.0046</v>
      </c>
      <c r="H249" s="336">
        <v>1.25</v>
      </c>
      <c r="I249" s="336">
        <v>1.25</v>
      </c>
      <c r="J249" s="336">
        <v>1.25</v>
      </c>
      <c r="L249" s="335">
        <v>4</v>
      </c>
    </row>
    <row r="250" spans="1:12" hidden="1">
      <c r="A250" s="347">
        <v>40043</v>
      </c>
      <c r="B250" s="347" t="s">
        <v>589</v>
      </c>
      <c r="C250" s="348">
        <v>364</v>
      </c>
      <c r="D250" s="347">
        <v>40407</v>
      </c>
      <c r="E250" s="349">
        <v>2</v>
      </c>
      <c r="F250" s="350">
        <v>0.1024</v>
      </c>
      <c r="G250" s="350">
        <v>0</v>
      </c>
      <c r="H250" s="350">
        <v>0</v>
      </c>
      <c r="I250" s="350">
        <v>0</v>
      </c>
      <c r="J250" s="350">
        <v>0</v>
      </c>
      <c r="K250" s="351"/>
      <c r="L250" s="348">
        <v>1</v>
      </c>
    </row>
    <row r="251" spans="1:12" hidden="1">
      <c r="A251" s="334">
        <v>40046</v>
      </c>
      <c r="B251" s="334" t="s">
        <v>590</v>
      </c>
      <c r="C251" s="335">
        <v>91</v>
      </c>
      <c r="D251" s="334">
        <v>40137</v>
      </c>
      <c r="E251" s="338">
        <v>15</v>
      </c>
      <c r="F251" s="336">
        <v>6.6852</v>
      </c>
      <c r="G251" s="336">
        <v>6.6852</v>
      </c>
      <c r="H251" s="336">
        <v>1.73</v>
      </c>
      <c r="I251" s="336">
        <v>1.73</v>
      </c>
      <c r="J251" s="336">
        <v>1.73</v>
      </c>
      <c r="L251" s="335">
        <v>6</v>
      </c>
    </row>
    <row r="252" spans="1:12" hidden="1">
      <c r="A252" s="347">
        <v>40050</v>
      </c>
      <c r="B252" s="347" t="s">
        <v>591</v>
      </c>
      <c r="C252" s="348">
        <v>182</v>
      </c>
      <c r="D252" s="347">
        <v>40232</v>
      </c>
      <c r="E252" s="349">
        <v>8</v>
      </c>
      <c r="F252" s="350">
        <v>4.0347999999999997</v>
      </c>
      <c r="G252" s="350">
        <v>1.0347999999999999</v>
      </c>
      <c r="H252" s="350">
        <v>2.25</v>
      </c>
      <c r="I252" s="350">
        <v>2.25</v>
      </c>
      <c r="J252" s="350">
        <v>2.25</v>
      </c>
      <c r="K252" s="351"/>
      <c r="L252" s="348">
        <v>1</v>
      </c>
    </row>
    <row r="253" spans="1:12" hidden="1">
      <c r="A253" s="334">
        <v>40053</v>
      </c>
      <c r="B253" s="334" t="s">
        <v>592</v>
      </c>
      <c r="C253" s="335">
        <v>728</v>
      </c>
      <c r="D253" s="334">
        <v>40781</v>
      </c>
      <c r="E253" s="338">
        <v>2</v>
      </c>
      <c r="F253" s="336">
        <v>0</v>
      </c>
      <c r="G253" s="336">
        <v>0</v>
      </c>
      <c r="H253" s="336">
        <v>0</v>
      </c>
      <c r="I253" s="336">
        <v>0</v>
      </c>
      <c r="J253" s="336">
        <v>0</v>
      </c>
      <c r="L253" s="335">
        <v>0</v>
      </c>
    </row>
    <row r="254" spans="1:12" hidden="1">
      <c r="A254" s="347">
        <v>40053</v>
      </c>
      <c r="B254" s="347" t="s">
        <v>593</v>
      </c>
      <c r="C254" s="348">
        <v>1092</v>
      </c>
      <c r="D254" s="347">
        <v>41145</v>
      </c>
      <c r="E254" s="349">
        <v>3</v>
      </c>
      <c r="F254" s="350">
        <v>0</v>
      </c>
      <c r="G254" s="350">
        <v>0</v>
      </c>
      <c r="H254" s="350">
        <v>0</v>
      </c>
      <c r="I254" s="350">
        <v>0</v>
      </c>
      <c r="J254" s="350">
        <v>0</v>
      </c>
      <c r="K254" s="351"/>
      <c r="L254" s="348">
        <v>0</v>
      </c>
    </row>
    <row r="255" spans="1:12" hidden="1">
      <c r="A255" s="334">
        <v>40057</v>
      </c>
      <c r="B255" s="334" t="s">
        <v>594</v>
      </c>
      <c r="C255" s="335">
        <v>364</v>
      </c>
      <c r="D255" s="334">
        <v>40421</v>
      </c>
      <c r="E255" s="338">
        <v>3</v>
      </c>
      <c r="F255" s="336">
        <v>0</v>
      </c>
      <c r="G255" s="336">
        <v>0</v>
      </c>
      <c r="H255" s="336">
        <v>0</v>
      </c>
      <c r="I255" s="336">
        <v>0</v>
      </c>
      <c r="J255" s="336">
        <v>0</v>
      </c>
      <c r="L255" s="335">
        <v>0</v>
      </c>
    </row>
    <row r="256" spans="1:12" hidden="1">
      <c r="A256" s="347">
        <v>40057</v>
      </c>
      <c r="B256" s="347" t="s">
        <v>595</v>
      </c>
      <c r="C256" s="348">
        <v>35</v>
      </c>
      <c r="D256" s="347">
        <v>40092</v>
      </c>
      <c r="E256" s="349">
        <v>18</v>
      </c>
      <c r="F256" s="350">
        <v>9.0025999999999993</v>
      </c>
      <c r="G256" s="350">
        <v>9.0025999999999993</v>
      </c>
      <c r="H256" s="350">
        <v>1.25</v>
      </c>
      <c r="I256" s="350">
        <v>1.25</v>
      </c>
      <c r="J256" s="350">
        <v>1.25</v>
      </c>
      <c r="K256" s="351"/>
      <c r="L256" s="348">
        <v>3</v>
      </c>
    </row>
    <row r="257" spans="1:12" hidden="1">
      <c r="A257" s="334">
        <v>40060</v>
      </c>
      <c r="B257" s="334" t="s">
        <v>596</v>
      </c>
      <c r="C257" s="335">
        <v>91</v>
      </c>
      <c r="D257" s="334">
        <v>40151</v>
      </c>
      <c r="E257" s="338">
        <v>20</v>
      </c>
      <c r="F257" s="336">
        <v>11.335599999999999</v>
      </c>
      <c r="G257" s="336">
        <v>11.335599999999999</v>
      </c>
      <c r="H257" s="336">
        <v>1.73</v>
      </c>
      <c r="I257" s="336">
        <v>1.73</v>
      </c>
      <c r="J257" s="336">
        <v>1.73</v>
      </c>
      <c r="L257" s="335">
        <v>3</v>
      </c>
    </row>
    <row r="258" spans="1:12" hidden="1">
      <c r="A258" s="347">
        <v>40067</v>
      </c>
      <c r="B258" s="347" t="s">
        <v>597</v>
      </c>
      <c r="C258" s="348">
        <v>728</v>
      </c>
      <c r="D258" s="347">
        <v>40795</v>
      </c>
      <c r="E258" s="349">
        <v>3</v>
      </c>
      <c r="F258" s="350">
        <v>0</v>
      </c>
      <c r="G258" s="350">
        <v>0</v>
      </c>
      <c r="H258" s="350">
        <v>0</v>
      </c>
      <c r="I258" s="350">
        <v>0</v>
      </c>
      <c r="J258" s="350">
        <v>0</v>
      </c>
      <c r="K258" s="351"/>
      <c r="L258" s="348">
        <v>0</v>
      </c>
    </row>
    <row r="259" spans="1:12" hidden="1">
      <c r="A259" s="334">
        <v>40067</v>
      </c>
      <c r="B259" s="334" t="s">
        <v>598</v>
      </c>
      <c r="C259" s="335">
        <v>1092</v>
      </c>
      <c r="D259" s="334">
        <v>41159</v>
      </c>
      <c r="E259" s="338">
        <v>3</v>
      </c>
      <c r="F259" s="336">
        <v>0</v>
      </c>
      <c r="G259" s="336">
        <v>0</v>
      </c>
      <c r="H259" s="336">
        <v>0</v>
      </c>
      <c r="I259" s="336">
        <v>0</v>
      </c>
      <c r="J259" s="336">
        <v>0</v>
      </c>
      <c r="L259" s="335">
        <v>0</v>
      </c>
    </row>
    <row r="260" spans="1:12" hidden="1">
      <c r="A260" s="347">
        <v>40071</v>
      </c>
      <c r="B260" s="347" t="s">
        <v>599</v>
      </c>
      <c r="C260" s="348">
        <v>364</v>
      </c>
      <c r="D260" s="347">
        <v>40435</v>
      </c>
      <c r="E260" s="349">
        <v>2</v>
      </c>
      <c r="F260" s="350">
        <v>0</v>
      </c>
      <c r="G260" s="350">
        <v>0</v>
      </c>
      <c r="H260" s="350">
        <v>0</v>
      </c>
      <c r="I260" s="350">
        <v>0</v>
      </c>
      <c r="J260" s="350">
        <v>0</v>
      </c>
      <c r="K260" s="351"/>
      <c r="L260" s="348">
        <v>0</v>
      </c>
    </row>
    <row r="261" spans="1:12" hidden="1">
      <c r="A261" s="334">
        <v>40071</v>
      </c>
      <c r="B261" s="334" t="s">
        <v>600</v>
      </c>
      <c r="C261" s="335">
        <v>35</v>
      </c>
      <c r="D261" s="334">
        <v>40106</v>
      </c>
      <c r="E261" s="338">
        <v>20</v>
      </c>
      <c r="F261" s="336">
        <v>13.93</v>
      </c>
      <c r="G261" s="336">
        <v>11.9298</v>
      </c>
      <c r="H261" s="336">
        <v>1.25</v>
      </c>
      <c r="I261" s="336">
        <v>1.25</v>
      </c>
      <c r="J261" s="336">
        <v>1.25</v>
      </c>
      <c r="L261" s="335">
        <v>7</v>
      </c>
    </row>
    <row r="262" spans="1:12" hidden="1">
      <c r="A262" s="347">
        <v>40074</v>
      </c>
      <c r="B262" s="347" t="s">
        <v>601</v>
      </c>
      <c r="C262" s="348">
        <v>91</v>
      </c>
      <c r="D262" s="347">
        <v>40165</v>
      </c>
      <c r="E262" s="349">
        <v>15</v>
      </c>
      <c r="F262" s="350">
        <v>3.1736</v>
      </c>
      <c r="G262" s="350">
        <v>3.1736</v>
      </c>
      <c r="H262" s="350">
        <v>1.73</v>
      </c>
      <c r="I262" s="350">
        <v>1.73</v>
      </c>
      <c r="J262" s="350">
        <v>1.73</v>
      </c>
      <c r="K262" s="351"/>
      <c r="L262" s="348">
        <v>2</v>
      </c>
    </row>
    <row r="263" spans="1:12" hidden="1">
      <c r="A263" s="334">
        <v>40081</v>
      </c>
      <c r="B263" s="334" t="s">
        <v>602</v>
      </c>
      <c r="C263" s="335">
        <v>182</v>
      </c>
      <c r="D263" s="334">
        <v>40263</v>
      </c>
      <c r="E263" s="338">
        <v>8</v>
      </c>
      <c r="F263" s="336">
        <v>2.4209999999999998</v>
      </c>
      <c r="G263" s="336">
        <v>2.4209999999999998</v>
      </c>
      <c r="H263" s="336">
        <v>2.21</v>
      </c>
      <c r="I263" s="336">
        <v>2.21</v>
      </c>
      <c r="J263" s="336">
        <v>2.21</v>
      </c>
      <c r="L263" s="335">
        <v>3</v>
      </c>
    </row>
    <row r="264" spans="1:12" hidden="1">
      <c r="A264" s="347">
        <v>40081</v>
      </c>
      <c r="B264" s="347" t="s">
        <v>603</v>
      </c>
      <c r="C264" s="348">
        <v>728</v>
      </c>
      <c r="D264" s="347">
        <v>40809</v>
      </c>
      <c r="E264" s="349">
        <v>2</v>
      </c>
      <c r="F264" s="350">
        <v>0</v>
      </c>
      <c r="G264" s="350">
        <v>0</v>
      </c>
      <c r="H264" s="350">
        <v>0</v>
      </c>
      <c r="I264" s="350">
        <v>0</v>
      </c>
      <c r="J264" s="350">
        <v>0</v>
      </c>
      <c r="K264" s="351"/>
      <c r="L264" s="348">
        <v>0</v>
      </c>
    </row>
    <row r="265" spans="1:12" hidden="1">
      <c r="A265" s="334">
        <v>40081</v>
      </c>
      <c r="B265" s="334" t="s">
        <v>604</v>
      </c>
      <c r="C265" s="335">
        <v>1092</v>
      </c>
      <c r="D265" s="334">
        <v>41173</v>
      </c>
      <c r="E265" s="338">
        <v>3</v>
      </c>
      <c r="F265" s="336">
        <v>0</v>
      </c>
      <c r="G265" s="336">
        <v>0</v>
      </c>
      <c r="H265" s="336">
        <v>0</v>
      </c>
      <c r="I265" s="336">
        <v>0</v>
      </c>
      <c r="J265" s="336">
        <v>0</v>
      </c>
      <c r="L265" s="335">
        <v>0</v>
      </c>
    </row>
    <row r="266" spans="1:12" hidden="1">
      <c r="A266" s="347">
        <v>40092</v>
      </c>
      <c r="B266" s="347" t="s">
        <v>605</v>
      </c>
      <c r="C266" s="348">
        <v>35</v>
      </c>
      <c r="D266" s="347">
        <v>40127</v>
      </c>
      <c r="E266" s="349">
        <v>18</v>
      </c>
      <c r="F266" s="350">
        <v>9.2569999999999997</v>
      </c>
      <c r="G266" s="350">
        <v>9.2569999999999997</v>
      </c>
      <c r="H266" s="350">
        <v>1.25</v>
      </c>
      <c r="I266" s="350">
        <v>1.25</v>
      </c>
      <c r="J266" s="350">
        <v>1.25</v>
      </c>
      <c r="K266" s="351"/>
      <c r="L266" s="348">
        <v>4</v>
      </c>
    </row>
    <row r="267" spans="1:12" hidden="1">
      <c r="A267" s="334">
        <v>40092</v>
      </c>
      <c r="B267" s="334" t="s">
        <v>606</v>
      </c>
      <c r="C267" s="335">
        <v>364</v>
      </c>
      <c r="D267" s="334">
        <v>40456</v>
      </c>
      <c r="E267" s="338">
        <v>3</v>
      </c>
      <c r="F267" s="336">
        <v>0</v>
      </c>
      <c r="G267" s="336">
        <v>0</v>
      </c>
      <c r="H267" s="336">
        <v>0</v>
      </c>
      <c r="I267" s="336">
        <v>0</v>
      </c>
      <c r="J267" s="336">
        <v>0</v>
      </c>
      <c r="L267" s="335">
        <v>0</v>
      </c>
    </row>
    <row r="268" spans="1:12" hidden="1">
      <c r="A268" s="347">
        <v>40095</v>
      </c>
      <c r="B268" s="347" t="s">
        <v>607</v>
      </c>
      <c r="C268" s="348">
        <v>91</v>
      </c>
      <c r="D268" s="347">
        <v>40186</v>
      </c>
      <c r="E268" s="349">
        <v>2</v>
      </c>
      <c r="F268" s="350">
        <v>0</v>
      </c>
      <c r="G268" s="350">
        <v>0</v>
      </c>
      <c r="H268" s="350">
        <v>0</v>
      </c>
      <c r="I268" s="350">
        <v>0</v>
      </c>
      <c r="J268" s="350">
        <v>0</v>
      </c>
      <c r="K268" s="351"/>
      <c r="L268" s="348">
        <v>0</v>
      </c>
    </row>
    <row r="269" spans="1:12" hidden="1">
      <c r="A269" s="334">
        <v>40099</v>
      </c>
      <c r="B269" s="334" t="s">
        <v>608</v>
      </c>
      <c r="C269" s="335">
        <v>182</v>
      </c>
      <c r="D269" s="334">
        <v>40281</v>
      </c>
      <c r="E269" s="338">
        <v>7</v>
      </c>
      <c r="F269" s="336">
        <v>0</v>
      </c>
      <c r="G269" s="336">
        <v>0</v>
      </c>
      <c r="H269" s="336">
        <v>0</v>
      </c>
      <c r="I269" s="336">
        <v>0</v>
      </c>
      <c r="J269" s="336">
        <v>0</v>
      </c>
      <c r="L269" s="335">
        <v>0</v>
      </c>
    </row>
    <row r="270" spans="1:12" hidden="1">
      <c r="A270" s="347">
        <v>40102</v>
      </c>
      <c r="B270" s="347" t="s">
        <v>609</v>
      </c>
      <c r="C270" s="348">
        <v>1092</v>
      </c>
      <c r="D270" s="347">
        <v>41194</v>
      </c>
      <c r="E270" s="349">
        <v>3</v>
      </c>
      <c r="F270" s="350">
        <v>0</v>
      </c>
      <c r="G270" s="350">
        <v>0</v>
      </c>
      <c r="H270" s="350">
        <v>0</v>
      </c>
      <c r="I270" s="350">
        <v>0</v>
      </c>
      <c r="J270" s="350">
        <v>0</v>
      </c>
      <c r="K270" s="351"/>
      <c r="L270" s="348">
        <v>0</v>
      </c>
    </row>
    <row r="271" spans="1:12" hidden="1">
      <c r="A271" s="334">
        <v>40102</v>
      </c>
      <c r="B271" s="334" t="s">
        <v>610</v>
      </c>
      <c r="C271" s="335">
        <v>728</v>
      </c>
      <c r="D271" s="334">
        <v>40830</v>
      </c>
      <c r="E271" s="338">
        <v>3</v>
      </c>
      <c r="F271" s="336">
        <v>0</v>
      </c>
      <c r="G271" s="336">
        <v>0</v>
      </c>
      <c r="H271" s="336">
        <v>0</v>
      </c>
      <c r="I271" s="336">
        <v>0</v>
      </c>
      <c r="J271" s="336">
        <v>0</v>
      </c>
      <c r="L271" s="335">
        <v>0</v>
      </c>
    </row>
    <row r="272" spans="1:12" hidden="1">
      <c r="A272" s="347">
        <v>40106</v>
      </c>
      <c r="B272" s="347" t="s">
        <v>611</v>
      </c>
      <c r="C272" s="348">
        <v>364</v>
      </c>
      <c r="D272" s="347">
        <v>40470</v>
      </c>
      <c r="E272" s="349">
        <v>2</v>
      </c>
      <c r="F272" s="350">
        <v>0</v>
      </c>
      <c r="G272" s="350">
        <v>0</v>
      </c>
      <c r="H272" s="350">
        <v>0</v>
      </c>
      <c r="I272" s="350">
        <v>0</v>
      </c>
      <c r="J272" s="350">
        <v>0</v>
      </c>
      <c r="K272" s="351"/>
      <c r="L272" s="348">
        <v>0</v>
      </c>
    </row>
    <row r="273" spans="1:12" hidden="1">
      <c r="A273" s="334">
        <v>40106</v>
      </c>
      <c r="B273" s="334" t="s">
        <v>612</v>
      </c>
      <c r="C273" s="335">
        <v>35</v>
      </c>
      <c r="D273" s="334">
        <v>40141</v>
      </c>
      <c r="E273" s="338">
        <v>20</v>
      </c>
      <c r="F273" s="336">
        <v>11.5312</v>
      </c>
      <c r="G273" s="336">
        <v>11.5312</v>
      </c>
      <c r="H273" s="336">
        <v>1.25</v>
      </c>
      <c r="I273" s="336">
        <v>1.25</v>
      </c>
      <c r="J273" s="336">
        <v>1.25</v>
      </c>
      <c r="L273" s="335">
        <v>3</v>
      </c>
    </row>
    <row r="274" spans="1:12" hidden="1">
      <c r="A274" s="347">
        <v>40109</v>
      </c>
      <c r="B274" s="347" t="s">
        <v>613</v>
      </c>
      <c r="C274" s="348">
        <v>91</v>
      </c>
      <c r="D274" s="347">
        <v>40200</v>
      </c>
      <c r="E274" s="349">
        <v>15</v>
      </c>
      <c r="F274" s="350">
        <v>9.0366</v>
      </c>
      <c r="G274" s="350">
        <v>9.0366</v>
      </c>
      <c r="H274" s="350">
        <v>1.73</v>
      </c>
      <c r="I274" s="350">
        <v>1.73</v>
      </c>
      <c r="J274" s="350">
        <v>1.73</v>
      </c>
      <c r="K274" s="351"/>
      <c r="L274" s="348">
        <v>3</v>
      </c>
    </row>
    <row r="275" spans="1:12" hidden="1">
      <c r="A275" s="334">
        <v>40113</v>
      </c>
      <c r="B275" s="334" t="s">
        <v>614</v>
      </c>
      <c r="C275" s="335">
        <v>182</v>
      </c>
      <c r="D275" s="334">
        <v>40295</v>
      </c>
      <c r="E275" s="338">
        <v>8</v>
      </c>
      <c r="F275" s="336">
        <v>0.30299999999999999</v>
      </c>
      <c r="G275" s="336">
        <v>0.30299999999999999</v>
      </c>
      <c r="H275" s="336">
        <v>2.21</v>
      </c>
      <c r="I275" s="336">
        <v>2.21</v>
      </c>
      <c r="J275" s="336">
        <v>2.21</v>
      </c>
      <c r="L275" s="335">
        <v>1</v>
      </c>
    </row>
    <row r="276" spans="1:12" hidden="1">
      <c r="A276" s="347">
        <v>40113</v>
      </c>
      <c r="B276" s="347" t="s">
        <v>615</v>
      </c>
      <c r="C276" s="348">
        <v>364</v>
      </c>
      <c r="D276" s="347">
        <v>40477</v>
      </c>
      <c r="E276" s="349">
        <v>20</v>
      </c>
      <c r="F276" s="350">
        <v>30.0106</v>
      </c>
      <c r="G276" s="350">
        <v>20</v>
      </c>
      <c r="H276" s="350">
        <v>5</v>
      </c>
      <c r="I276" s="350">
        <v>5</v>
      </c>
      <c r="J276" s="350">
        <v>5</v>
      </c>
      <c r="K276" s="351"/>
      <c r="L276" s="348">
        <v>2</v>
      </c>
    </row>
    <row r="277" spans="1:12" hidden="1">
      <c r="A277" s="334">
        <v>40116</v>
      </c>
      <c r="B277" s="334" t="s">
        <v>616</v>
      </c>
      <c r="C277" s="335">
        <v>728</v>
      </c>
      <c r="D277" s="334">
        <v>40844</v>
      </c>
      <c r="E277" s="338">
        <v>2</v>
      </c>
      <c r="F277" s="336">
        <v>0</v>
      </c>
      <c r="G277" s="336">
        <v>0</v>
      </c>
      <c r="H277" s="336">
        <v>3.25</v>
      </c>
      <c r="I277" s="336">
        <v>3.25</v>
      </c>
      <c r="J277" s="336">
        <v>3.25</v>
      </c>
      <c r="L277" s="335">
        <v>0</v>
      </c>
    </row>
    <row r="278" spans="1:12" hidden="1">
      <c r="A278" s="347">
        <v>40116</v>
      </c>
      <c r="B278" s="347" t="s">
        <v>617</v>
      </c>
      <c r="C278" s="348">
        <v>1092</v>
      </c>
      <c r="D278" s="347">
        <v>41208</v>
      </c>
      <c r="E278" s="349">
        <v>3</v>
      </c>
      <c r="F278" s="350">
        <v>0</v>
      </c>
      <c r="G278" s="350">
        <v>0</v>
      </c>
      <c r="H278" s="350">
        <v>3.5000000000000004</v>
      </c>
      <c r="I278" s="350">
        <v>3.5000000000000004</v>
      </c>
      <c r="J278" s="350">
        <v>3.5000000000000004</v>
      </c>
      <c r="K278" s="351"/>
      <c r="L278" s="348">
        <v>0</v>
      </c>
    </row>
    <row r="279" spans="1:12" hidden="1">
      <c r="A279" s="334">
        <v>40120</v>
      </c>
      <c r="B279" s="334" t="s">
        <v>618</v>
      </c>
      <c r="C279" s="335">
        <v>364</v>
      </c>
      <c r="D279" s="334">
        <v>40484</v>
      </c>
      <c r="E279" s="338">
        <v>3</v>
      </c>
      <c r="F279" s="336">
        <v>0</v>
      </c>
      <c r="G279" s="336">
        <v>0</v>
      </c>
      <c r="H279" s="336">
        <v>0</v>
      </c>
      <c r="I279" s="336">
        <v>0</v>
      </c>
      <c r="J279" s="336">
        <v>0</v>
      </c>
      <c r="L279" s="335">
        <v>0</v>
      </c>
    </row>
    <row r="280" spans="1:12" hidden="1">
      <c r="A280" s="347">
        <v>40120</v>
      </c>
      <c r="B280" s="347" t="s">
        <v>619</v>
      </c>
      <c r="C280" s="348">
        <v>35</v>
      </c>
      <c r="D280" s="347">
        <v>40155</v>
      </c>
      <c r="E280" s="349">
        <v>20</v>
      </c>
      <c r="F280" s="350">
        <v>3.0019999999999998</v>
      </c>
      <c r="G280" s="350">
        <v>3.0019999999999998</v>
      </c>
      <c r="H280" s="350">
        <v>1.25</v>
      </c>
      <c r="I280" s="350">
        <v>1.25</v>
      </c>
      <c r="J280" s="350">
        <v>1.25</v>
      </c>
      <c r="K280" s="351"/>
      <c r="L280" s="348">
        <v>2</v>
      </c>
    </row>
    <row r="281" spans="1:12" hidden="1">
      <c r="A281" s="334">
        <v>40123</v>
      </c>
      <c r="B281" s="334" t="s">
        <v>620</v>
      </c>
      <c r="C281" s="335">
        <v>91</v>
      </c>
      <c r="D281" s="334">
        <v>40214</v>
      </c>
      <c r="E281" s="338">
        <v>20</v>
      </c>
      <c r="F281" s="336">
        <v>7.0961999999999996</v>
      </c>
      <c r="G281" s="336">
        <v>7.0961999999999996</v>
      </c>
      <c r="H281" s="336">
        <v>1.73</v>
      </c>
      <c r="I281" s="336">
        <v>1.73</v>
      </c>
      <c r="J281" s="336">
        <v>1.6500000000000001</v>
      </c>
      <c r="L281" s="335">
        <v>2</v>
      </c>
    </row>
    <row r="282" spans="1:12" hidden="1">
      <c r="A282" s="347">
        <v>40127</v>
      </c>
      <c r="B282" s="347" t="s">
        <v>621</v>
      </c>
      <c r="C282" s="348">
        <v>182</v>
      </c>
      <c r="D282" s="347">
        <v>40309</v>
      </c>
      <c r="E282" s="349">
        <v>7</v>
      </c>
      <c r="F282" s="350">
        <v>0</v>
      </c>
      <c r="G282" s="350">
        <v>0</v>
      </c>
      <c r="H282" s="350">
        <v>0</v>
      </c>
      <c r="I282" s="350">
        <v>0</v>
      </c>
      <c r="J282" s="350">
        <v>0</v>
      </c>
      <c r="K282" s="351"/>
      <c r="L282" s="348">
        <v>0</v>
      </c>
    </row>
    <row r="283" spans="1:12" hidden="1">
      <c r="A283" s="334">
        <v>40127</v>
      </c>
      <c r="B283" s="334" t="s">
        <v>622</v>
      </c>
      <c r="C283" s="335">
        <v>364</v>
      </c>
      <c r="D283" s="334">
        <v>40491</v>
      </c>
      <c r="E283" s="338">
        <v>25</v>
      </c>
      <c r="F283" s="336">
        <v>15.295</v>
      </c>
      <c r="G283" s="336">
        <v>15.295</v>
      </c>
      <c r="H283" s="336">
        <v>5</v>
      </c>
      <c r="I283" s="336">
        <v>5</v>
      </c>
      <c r="J283" s="336">
        <v>5</v>
      </c>
      <c r="L283" s="335">
        <v>4</v>
      </c>
    </row>
    <row r="284" spans="1:12" hidden="1">
      <c r="A284" s="347">
        <v>40130</v>
      </c>
      <c r="B284" s="347" t="s">
        <v>623</v>
      </c>
      <c r="C284" s="348">
        <v>1092</v>
      </c>
      <c r="D284" s="347">
        <v>41222</v>
      </c>
      <c r="E284" s="349">
        <v>3</v>
      </c>
      <c r="F284" s="350">
        <v>0</v>
      </c>
      <c r="G284" s="350">
        <v>0</v>
      </c>
      <c r="H284" s="350">
        <v>0</v>
      </c>
      <c r="I284" s="350">
        <v>0</v>
      </c>
      <c r="J284" s="350">
        <v>0</v>
      </c>
      <c r="K284" s="351"/>
      <c r="L284" s="348">
        <v>0</v>
      </c>
    </row>
    <row r="285" spans="1:12" hidden="1">
      <c r="A285" s="334">
        <v>40130</v>
      </c>
      <c r="B285" s="334" t="s">
        <v>624</v>
      </c>
      <c r="C285" s="335">
        <v>728</v>
      </c>
      <c r="D285" s="334">
        <v>40858</v>
      </c>
      <c r="E285" s="338">
        <v>3</v>
      </c>
      <c r="F285" s="336">
        <v>0</v>
      </c>
      <c r="G285" s="336">
        <v>0</v>
      </c>
      <c r="H285" s="336">
        <v>0</v>
      </c>
      <c r="I285" s="336">
        <v>0</v>
      </c>
      <c r="J285" s="336">
        <v>0</v>
      </c>
      <c r="L285" s="335">
        <v>0</v>
      </c>
    </row>
    <row r="286" spans="1:12" hidden="1">
      <c r="A286" s="347">
        <v>40134</v>
      </c>
      <c r="B286" s="347" t="s">
        <v>625</v>
      </c>
      <c r="C286" s="348">
        <v>35</v>
      </c>
      <c r="D286" s="347">
        <v>40169</v>
      </c>
      <c r="E286" s="349">
        <v>20</v>
      </c>
      <c r="F286" s="350">
        <v>5.0038</v>
      </c>
      <c r="G286" s="350">
        <v>5.0038</v>
      </c>
      <c r="H286" s="350">
        <v>1.25</v>
      </c>
      <c r="I286" s="350">
        <v>1.25</v>
      </c>
      <c r="J286" s="350">
        <v>1.25</v>
      </c>
      <c r="K286" s="351"/>
      <c r="L286" s="348">
        <v>3</v>
      </c>
    </row>
    <row r="287" spans="1:12" hidden="1">
      <c r="A287" s="334">
        <v>40134</v>
      </c>
      <c r="B287" s="334" t="s">
        <v>626</v>
      </c>
      <c r="C287" s="335">
        <v>364</v>
      </c>
      <c r="D287" s="334">
        <v>40498</v>
      </c>
      <c r="E287" s="338">
        <v>3</v>
      </c>
      <c r="F287" s="336">
        <v>0</v>
      </c>
      <c r="G287" s="336">
        <v>0</v>
      </c>
      <c r="H287" s="336">
        <v>0</v>
      </c>
      <c r="I287" s="336">
        <v>0</v>
      </c>
      <c r="J287" s="336">
        <v>0</v>
      </c>
      <c r="L287" s="335">
        <v>0</v>
      </c>
    </row>
    <row r="288" spans="1:12" hidden="1">
      <c r="A288" s="347">
        <v>40137</v>
      </c>
      <c r="B288" s="347" t="s">
        <v>627</v>
      </c>
      <c r="C288" s="348">
        <v>91</v>
      </c>
      <c r="D288" s="347">
        <v>40228</v>
      </c>
      <c r="E288" s="349">
        <v>15</v>
      </c>
      <c r="F288" s="350">
        <v>7.2855999999999996</v>
      </c>
      <c r="G288" s="350">
        <v>7.2351999999999999</v>
      </c>
      <c r="H288" s="350">
        <v>1.73</v>
      </c>
      <c r="I288" s="350">
        <v>1.73</v>
      </c>
      <c r="J288" s="350">
        <v>1.6500000000000001</v>
      </c>
      <c r="K288" s="351"/>
      <c r="L288" s="348">
        <v>4</v>
      </c>
    </row>
    <row r="289" spans="1:12" hidden="1">
      <c r="A289" s="334">
        <v>40141</v>
      </c>
      <c r="B289" s="334" t="s">
        <v>628</v>
      </c>
      <c r="C289" s="335">
        <v>182</v>
      </c>
      <c r="D289" s="334">
        <v>40323</v>
      </c>
      <c r="E289" s="338">
        <v>8</v>
      </c>
      <c r="F289" s="336">
        <v>2.1978</v>
      </c>
      <c r="G289" s="336">
        <v>2.1978</v>
      </c>
      <c r="H289" s="336">
        <v>2.21</v>
      </c>
      <c r="I289" s="336">
        <v>2.21</v>
      </c>
      <c r="J289" s="336">
        <v>2.21</v>
      </c>
      <c r="L289" s="335">
        <v>1</v>
      </c>
    </row>
    <row r="290" spans="1:12" hidden="1">
      <c r="A290" s="347">
        <v>40141</v>
      </c>
      <c r="B290" s="347" t="s">
        <v>629</v>
      </c>
      <c r="C290" s="348">
        <v>364</v>
      </c>
      <c r="D290" s="347">
        <v>40505</v>
      </c>
      <c r="E290" s="349">
        <v>25</v>
      </c>
      <c r="F290" s="350">
        <v>6.4459999999999997</v>
      </c>
      <c r="G290" s="350">
        <v>6.4459999999999997</v>
      </c>
      <c r="H290" s="350">
        <v>3.75</v>
      </c>
      <c r="I290" s="350">
        <v>3.75</v>
      </c>
      <c r="J290" s="350">
        <v>3.75</v>
      </c>
      <c r="K290" s="351"/>
      <c r="L290" s="348">
        <v>2</v>
      </c>
    </row>
    <row r="291" spans="1:12" hidden="1">
      <c r="A291" s="334">
        <v>40143</v>
      </c>
      <c r="B291" s="334" t="s">
        <v>630</v>
      </c>
      <c r="C291" s="335">
        <v>728</v>
      </c>
      <c r="D291" s="334">
        <v>40871</v>
      </c>
      <c r="E291" s="338">
        <v>2</v>
      </c>
      <c r="F291" s="336">
        <v>0</v>
      </c>
      <c r="G291" s="336">
        <v>0</v>
      </c>
      <c r="H291" s="336">
        <v>3.25</v>
      </c>
      <c r="I291" s="336">
        <v>3.25</v>
      </c>
      <c r="J291" s="336">
        <v>3.25</v>
      </c>
      <c r="L291" s="335">
        <v>0</v>
      </c>
    </row>
    <row r="292" spans="1:12" hidden="1">
      <c r="A292" s="347">
        <v>40143</v>
      </c>
      <c r="B292" s="347" t="s">
        <v>631</v>
      </c>
      <c r="C292" s="348">
        <v>1092</v>
      </c>
      <c r="D292" s="347">
        <v>41235</v>
      </c>
      <c r="E292" s="349">
        <v>3</v>
      </c>
      <c r="F292" s="350">
        <v>0</v>
      </c>
      <c r="G292" s="350">
        <v>0</v>
      </c>
      <c r="H292" s="350">
        <v>3.5000000000000004</v>
      </c>
      <c r="I292" s="350">
        <v>3.5000000000000004</v>
      </c>
      <c r="J292" s="350">
        <v>3.5000000000000004</v>
      </c>
      <c r="K292" s="351"/>
      <c r="L292" s="348">
        <v>0</v>
      </c>
    </row>
    <row r="293" spans="1:12" hidden="1">
      <c r="A293" s="334">
        <v>40148</v>
      </c>
      <c r="B293" s="334" t="s">
        <v>632</v>
      </c>
      <c r="C293" s="335">
        <v>35</v>
      </c>
      <c r="D293" s="334">
        <v>40183</v>
      </c>
      <c r="E293" s="338">
        <v>20</v>
      </c>
      <c r="F293" s="336">
        <v>5.0754000000000001</v>
      </c>
      <c r="G293" s="336">
        <v>5.0754000000000001</v>
      </c>
      <c r="H293" s="336">
        <v>1.25</v>
      </c>
      <c r="I293" s="336">
        <v>1.25</v>
      </c>
      <c r="J293" s="336">
        <v>1.25</v>
      </c>
      <c r="L293" s="335">
        <v>5</v>
      </c>
    </row>
    <row r="294" spans="1:12" hidden="1">
      <c r="A294" s="347">
        <v>40148</v>
      </c>
      <c r="B294" s="347" t="s">
        <v>633</v>
      </c>
      <c r="C294" s="348">
        <v>364</v>
      </c>
      <c r="D294" s="347">
        <v>40512</v>
      </c>
      <c r="E294" s="349">
        <v>3</v>
      </c>
      <c r="F294" s="350">
        <v>3</v>
      </c>
      <c r="G294" s="350">
        <v>3</v>
      </c>
      <c r="H294" s="350">
        <v>2.9899999999999998</v>
      </c>
      <c r="I294" s="350">
        <v>2.9899999999999998</v>
      </c>
      <c r="J294" s="350">
        <v>2.9899999999999998</v>
      </c>
      <c r="K294" s="351"/>
      <c r="L294" s="348">
        <v>1</v>
      </c>
    </row>
    <row r="295" spans="1:12" hidden="1">
      <c r="A295" s="334">
        <v>40155</v>
      </c>
      <c r="B295" s="334" t="s">
        <v>634</v>
      </c>
      <c r="C295" s="335">
        <v>182</v>
      </c>
      <c r="D295" s="334">
        <v>40337</v>
      </c>
      <c r="E295" s="338">
        <v>7</v>
      </c>
      <c r="F295" s="336">
        <v>0.35060000000000002</v>
      </c>
      <c r="G295" s="336">
        <v>0</v>
      </c>
      <c r="H295" s="336">
        <v>0</v>
      </c>
      <c r="I295" s="336">
        <v>0</v>
      </c>
      <c r="J295" s="336">
        <v>0</v>
      </c>
      <c r="L295" s="335">
        <v>0</v>
      </c>
    </row>
    <row r="296" spans="1:12" hidden="1">
      <c r="A296" s="347">
        <v>40155</v>
      </c>
      <c r="B296" s="347" t="s">
        <v>635</v>
      </c>
      <c r="C296" s="348">
        <v>364</v>
      </c>
      <c r="D296" s="347">
        <v>40519</v>
      </c>
      <c r="E296" s="349">
        <v>15</v>
      </c>
      <c r="F296" s="350">
        <v>5.7850000000000001</v>
      </c>
      <c r="G296" s="350">
        <v>5.7850000000000001</v>
      </c>
      <c r="H296" s="350">
        <v>3.75</v>
      </c>
      <c r="I296" s="350">
        <v>3.75</v>
      </c>
      <c r="J296" s="350">
        <v>3.75</v>
      </c>
      <c r="K296" s="351"/>
      <c r="L296" s="348">
        <v>2</v>
      </c>
    </row>
    <row r="297" spans="1:12" hidden="1">
      <c r="A297" s="334">
        <v>40158</v>
      </c>
      <c r="B297" s="334" t="s">
        <v>636</v>
      </c>
      <c r="C297" s="335">
        <v>1090</v>
      </c>
      <c r="D297" s="334">
        <v>41248</v>
      </c>
      <c r="E297" s="338">
        <v>3</v>
      </c>
      <c r="F297" s="336">
        <v>0</v>
      </c>
      <c r="G297" s="336">
        <v>0</v>
      </c>
      <c r="H297" s="336">
        <v>3.5000000000000004</v>
      </c>
      <c r="I297" s="336">
        <v>3.5000000000000004</v>
      </c>
      <c r="J297" s="336">
        <v>3.5000000000000004</v>
      </c>
      <c r="L297" s="335">
        <v>0</v>
      </c>
    </row>
    <row r="298" spans="1:12" hidden="1">
      <c r="A298" s="347">
        <v>40158</v>
      </c>
      <c r="B298" s="347" t="s">
        <v>637</v>
      </c>
      <c r="C298" s="348">
        <v>728</v>
      </c>
      <c r="D298" s="347">
        <v>40886</v>
      </c>
      <c r="E298" s="349">
        <v>3</v>
      </c>
      <c r="F298" s="350">
        <v>0</v>
      </c>
      <c r="G298" s="350">
        <v>0</v>
      </c>
      <c r="H298" s="350">
        <v>3.25</v>
      </c>
      <c r="I298" s="350">
        <v>3.25</v>
      </c>
      <c r="J298" s="350">
        <v>3.25</v>
      </c>
      <c r="K298" s="351"/>
      <c r="L298" s="348">
        <v>0</v>
      </c>
    </row>
    <row r="299" spans="1:12" hidden="1">
      <c r="A299" s="334">
        <v>40162</v>
      </c>
      <c r="B299" s="334" t="s">
        <v>638</v>
      </c>
      <c r="C299" s="335">
        <v>35</v>
      </c>
      <c r="D299" s="334">
        <v>40197</v>
      </c>
      <c r="E299" s="338">
        <v>20</v>
      </c>
      <c r="F299" s="336">
        <v>4.4715999999999996</v>
      </c>
      <c r="G299" s="336">
        <v>4.4715999999999996</v>
      </c>
      <c r="H299" s="336">
        <v>0.67999999999999994</v>
      </c>
      <c r="I299" s="336">
        <v>0.67999999999999994</v>
      </c>
      <c r="J299" s="336">
        <v>0.67999999999999994</v>
      </c>
      <c r="L299" s="335">
        <v>2</v>
      </c>
    </row>
    <row r="300" spans="1:12" hidden="1">
      <c r="A300" s="347">
        <v>40162</v>
      </c>
      <c r="B300" s="347" t="s">
        <v>639</v>
      </c>
      <c r="C300" s="348">
        <v>364</v>
      </c>
      <c r="D300" s="347">
        <v>40526</v>
      </c>
      <c r="E300" s="349">
        <v>3</v>
      </c>
      <c r="F300" s="350">
        <v>0</v>
      </c>
      <c r="G300" s="350">
        <v>0</v>
      </c>
      <c r="H300" s="350">
        <v>0</v>
      </c>
      <c r="I300" s="350">
        <v>0</v>
      </c>
      <c r="J300" s="350">
        <v>0</v>
      </c>
      <c r="K300" s="351"/>
      <c r="L300" s="348">
        <v>0</v>
      </c>
    </row>
    <row r="301" spans="1:12" hidden="1">
      <c r="A301" s="334">
        <v>40165</v>
      </c>
      <c r="B301" s="334" t="s">
        <v>640</v>
      </c>
      <c r="C301" s="335">
        <v>91</v>
      </c>
      <c r="D301" s="334">
        <v>40256</v>
      </c>
      <c r="E301" s="338">
        <v>15</v>
      </c>
      <c r="F301" s="336">
        <v>0</v>
      </c>
      <c r="G301" s="336">
        <v>0</v>
      </c>
      <c r="H301" s="336">
        <v>0</v>
      </c>
      <c r="I301" s="336">
        <v>0</v>
      </c>
      <c r="J301" s="336">
        <v>0</v>
      </c>
      <c r="L301" s="335">
        <v>0</v>
      </c>
    </row>
    <row r="302" spans="1:12" hidden="1">
      <c r="A302" s="347">
        <v>40169</v>
      </c>
      <c r="B302" s="347" t="s">
        <v>641</v>
      </c>
      <c r="C302" s="348">
        <v>182</v>
      </c>
      <c r="D302" s="347">
        <v>40351</v>
      </c>
      <c r="E302" s="349">
        <v>8</v>
      </c>
      <c r="F302" s="350">
        <v>0</v>
      </c>
      <c r="G302" s="350">
        <v>0</v>
      </c>
      <c r="H302" s="350">
        <v>0</v>
      </c>
      <c r="I302" s="350">
        <v>0</v>
      </c>
      <c r="J302" s="350">
        <v>0</v>
      </c>
      <c r="K302" s="351"/>
      <c r="L302" s="348">
        <v>0</v>
      </c>
    </row>
    <row r="303" spans="1:12" hidden="1">
      <c r="A303" s="334">
        <v>40169</v>
      </c>
      <c r="B303" s="334" t="s">
        <v>642</v>
      </c>
      <c r="C303" s="335">
        <v>364</v>
      </c>
      <c r="D303" s="334">
        <v>40533</v>
      </c>
      <c r="E303" s="338">
        <v>15</v>
      </c>
      <c r="F303" s="336">
        <v>3.6568000000000001</v>
      </c>
      <c r="G303" s="336">
        <v>3.6568000000000001</v>
      </c>
      <c r="H303" s="336">
        <v>3.75</v>
      </c>
      <c r="I303" s="336">
        <v>3.75</v>
      </c>
      <c r="J303" s="336">
        <v>3.75</v>
      </c>
      <c r="L303" s="335">
        <v>3</v>
      </c>
    </row>
    <row r="304" spans="1:12" hidden="1">
      <c r="A304" s="347">
        <v>40172</v>
      </c>
      <c r="B304" s="347" t="s">
        <v>643</v>
      </c>
      <c r="C304" s="348">
        <v>1092</v>
      </c>
      <c r="D304" s="347">
        <v>41264</v>
      </c>
      <c r="E304" s="349">
        <v>3</v>
      </c>
      <c r="F304" s="350">
        <v>0</v>
      </c>
      <c r="G304" s="350">
        <v>0</v>
      </c>
      <c r="H304" s="350">
        <v>0</v>
      </c>
      <c r="I304" s="350">
        <v>0</v>
      </c>
      <c r="J304" s="350">
        <v>0</v>
      </c>
      <c r="K304" s="351"/>
      <c r="L304" s="348">
        <v>0</v>
      </c>
    </row>
    <row r="305" spans="1:12" hidden="1">
      <c r="A305" s="334">
        <v>40172</v>
      </c>
      <c r="B305" s="334" t="s">
        <v>644</v>
      </c>
      <c r="C305" s="335">
        <v>728</v>
      </c>
      <c r="D305" s="334">
        <v>40900</v>
      </c>
      <c r="E305" s="338">
        <v>2</v>
      </c>
      <c r="F305" s="336">
        <v>0</v>
      </c>
      <c r="G305" s="336">
        <v>0</v>
      </c>
      <c r="H305" s="336">
        <v>0</v>
      </c>
      <c r="I305" s="336">
        <v>0</v>
      </c>
      <c r="J305" s="336">
        <v>0</v>
      </c>
      <c r="L305" s="335">
        <v>0</v>
      </c>
    </row>
    <row r="306" spans="1:12" hidden="1">
      <c r="A306" s="347">
        <v>0</v>
      </c>
      <c r="B306" s="347" t="s">
        <v>1772</v>
      </c>
      <c r="C306" s="348">
        <v>0</v>
      </c>
      <c r="D306" s="347">
        <v>0</v>
      </c>
      <c r="E306" s="349">
        <v>1288</v>
      </c>
      <c r="F306" s="350">
        <v>563.01699999999994</v>
      </c>
      <c r="G306" s="350">
        <v>487.91760000000022</v>
      </c>
      <c r="H306" s="350">
        <v>4.0000000000000036</v>
      </c>
      <c r="I306" s="350">
        <v>4.0000000000000036</v>
      </c>
      <c r="J306" s="350">
        <v>3.9669879518072335</v>
      </c>
      <c r="K306" s="351"/>
      <c r="L306" s="348">
        <v>0</v>
      </c>
    </row>
    <row r="307" spans="1:12" hidden="1">
      <c r="A307" s="334">
        <v>40186</v>
      </c>
      <c r="B307" s="334" t="s">
        <v>645</v>
      </c>
      <c r="C307" s="335">
        <v>35</v>
      </c>
      <c r="D307" s="334">
        <v>40221</v>
      </c>
      <c r="E307" s="338">
        <v>20</v>
      </c>
      <c r="F307" s="336">
        <v>0</v>
      </c>
      <c r="G307" s="336">
        <v>0</v>
      </c>
      <c r="H307" s="336">
        <v>1</v>
      </c>
      <c r="I307" s="336">
        <v>1</v>
      </c>
      <c r="J307" s="336">
        <v>1</v>
      </c>
      <c r="L307" s="335">
        <v>0</v>
      </c>
    </row>
    <row r="308" spans="1:12" hidden="1">
      <c r="A308" s="347">
        <v>40197</v>
      </c>
      <c r="B308" s="347" t="s">
        <v>646</v>
      </c>
      <c r="C308" s="348">
        <v>35</v>
      </c>
      <c r="D308" s="347">
        <v>40232</v>
      </c>
      <c r="E308" s="349">
        <v>18</v>
      </c>
      <c r="F308" s="350">
        <v>13.0076</v>
      </c>
      <c r="G308" s="350">
        <v>3.0005999999999999</v>
      </c>
      <c r="H308" s="350">
        <v>0.73</v>
      </c>
      <c r="I308" s="350">
        <v>0.73</v>
      </c>
      <c r="J308" s="350">
        <v>0.73</v>
      </c>
      <c r="K308" s="351"/>
      <c r="L308" s="348">
        <v>2</v>
      </c>
    </row>
    <row r="309" spans="1:12" hidden="1">
      <c r="A309" s="334">
        <v>40197</v>
      </c>
      <c r="B309" s="334" t="s">
        <v>647</v>
      </c>
      <c r="C309" s="335">
        <v>364</v>
      </c>
      <c r="D309" s="334">
        <v>40561</v>
      </c>
      <c r="E309" s="338">
        <v>3</v>
      </c>
      <c r="F309" s="336">
        <v>0</v>
      </c>
      <c r="G309" s="336">
        <v>0</v>
      </c>
      <c r="H309" s="336">
        <v>0</v>
      </c>
      <c r="I309" s="336">
        <v>0</v>
      </c>
      <c r="J309" s="336">
        <v>0</v>
      </c>
      <c r="L309" s="335">
        <v>0</v>
      </c>
    </row>
    <row r="310" spans="1:12" hidden="1">
      <c r="A310" s="347">
        <v>40200</v>
      </c>
      <c r="B310" s="347" t="s">
        <v>648</v>
      </c>
      <c r="C310" s="348">
        <v>91</v>
      </c>
      <c r="D310" s="347">
        <v>40291</v>
      </c>
      <c r="E310" s="349">
        <v>25</v>
      </c>
      <c r="F310" s="350">
        <v>3.3769999999999998</v>
      </c>
      <c r="G310" s="350">
        <v>3.3769999999999998</v>
      </c>
      <c r="H310" s="350">
        <v>1.41</v>
      </c>
      <c r="I310" s="350">
        <v>1.41</v>
      </c>
      <c r="J310" s="350">
        <v>1.41</v>
      </c>
      <c r="K310" s="351"/>
      <c r="L310" s="348">
        <v>1</v>
      </c>
    </row>
    <row r="311" spans="1:12" hidden="1">
      <c r="A311" s="334">
        <v>40204</v>
      </c>
      <c r="B311" s="334" t="s">
        <v>649</v>
      </c>
      <c r="C311" s="335">
        <v>182</v>
      </c>
      <c r="D311" s="334">
        <v>40386</v>
      </c>
      <c r="E311" s="338">
        <v>15</v>
      </c>
      <c r="F311" s="336">
        <v>0</v>
      </c>
      <c r="G311" s="336">
        <v>0</v>
      </c>
      <c r="H311" s="336">
        <v>0</v>
      </c>
      <c r="I311" s="336">
        <v>0</v>
      </c>
      <c r="J311" s="336">
        <v>0</v>
      </c>
      <c r="L311" s="335">
        <v>0</v>
      </c>
    </row>
    <row r="312" spans="1:12" hidden="1">
      <c r="A312" s="347">
        <v>40204</v>
      </c>
      <c r="B312" s="347" t="s">
        <v>650</v>
      </c>
      <c r="C312" s="348">
        <v>364</v>
      </c>
      <c r="D312" s="347">
        <v>40568</v>
      </c>
      <c r="E312" s="349">
        <v>4</v>
      </c>
      <c r="F312" s="350">
        <v>9.4184000000000001</v>
      </c>
      <c r="G312" s="350">
        <v>4</v>
      </c>
      <c r="H312" s="350">
        <v>3.75</v>
      </c>
      <c r="I312" s="350">
        <v>3.75</v>
      </c>
      <c r="J312" s="350">
        <v>3.75</v>
      </c>
      <c r="K312" s="351"/>
      <c r="L312" s="348">
        <v>3</v>
      </c>
    </row>
    <row r="313" spans="1:12" hidden="1">
      <c r="A313" s="334">
        <v>40211</v>
      </c>
      <c r="B313" s="334" t="s">
        <v>651</v>
      </c>
      <c r="C313" s="335">
        <v>35</v>
      </c>
      <c r="D313" s="334">
        <v>40246</v>
      </c>
      <c r="E313" s="338">
        <v>18</v>
      </c>
      <c r="F313" s="336">
        <v>0</v>
      </c>
      <c r="G313" s="336">
        <v>0</v>
      </c>
      <c r="H313" s="336">
        <v>0</v>
      </c>
      <c r="I313" s="336">
        <v>0</v>
      </c>
      <c r="J313" s="336">
        <v>0</v>
      </c>
      <c r="L313" s="335">
        <v>0</v>
      </c>
    </row>
    <row r="314" spans="1:12" hidden="1">
      <c r="A314" s="347">
        <v>40211</v>
      </c>
      <c r="B314" s="347" t="s">
        <v>652</v>
      </c>
      <c r="C314" s="348">
        <v>364</v>
      </c>
      <c r="D314" s="347">
        <v>40575</v>
      </c>
      <c r="E314" s="349">
        <v>3</v>
      </c>
      <c r="F314" s="350">
        <v>0</v>
      </c>
      <c r="G314" s="350">
        <v>0</v>
      </c>
      <c r="H314" s="350">
        <v>0</v>
      </c>
      <c r="I314" s="350">
        <v>0</v>
      </c>
      <c r="J314" s="350">
        <v>0</v>
      </c>
      <c r="K314" s="351"/>
      <c r="L314" s="348">
        <v>0</v>
      </c>
    </row>
    <row r="315" spans="1:12" hidden="1">
      <c r="A315" s="334">
        <v>40214</v>
      </c>
      <c r="B315" s="334" t="s">
        <v>653</v>
      </c>
      <c r="C315" s="335">
        <v>91</v>
      </c>
      <c r="D315" s="334">
        <v>40305</v>
      </c>
      <c r="E315" s="338">
        <v>18</v>
      </c>
      <c r="F315" s="336">
        <v>0</v>
      </c>
      <c r="G315" s="336">
        <v>0</v>
      </c>
      <c r="H315" s="336">
        <v>0</v>
      </c>
      <c r="I315" s="336">
        <v>0</v>
      </c>
      <c r="J315" s="336">
        <v>0</v>
      </c>
      <c r="L315" s="335">
        <v>0</v>
      </c>
    </row>
    <row r="316" spans="1:12" hidden="1">
      <c r="A316" s="347">
        <v>40218</v>
      </c>
      <c r="B316" s="347" t="s">
        <v>654</v>
      </c>
      <c r="C316" s="348">
        <v>182</v>
      </c>
      <c r="D316" s="347">
        <v>40400</v>
      </c>
      <c r="E316" s="349">
        <v>7</v>
      </c>
      <c r="F316" s="350">
        <v>0</v>
      </c>
      <c r="G316" s="350">
        <v>0</v>
      </c>
      <c r="H316" s="350">
        <v>0</v>
      </c>
      <c r="I316" s="350">
        <v>0</v>
      </c>
      <c r="J316" s="350">
        <v>0</v>
      </c>
      <c r="K316" s="351"/>
      <c r="L316" s="348">
        <v>0</v>
      </c>
    </row>
    <row r="317" spans="1:12" hidden="1">
      <c r="A317" s="334">
        <v>40218</v>
      </c>
      <c r="B317" s="334" t="s">
        <v>655</v>
      </c>
      <c r="C317" s="335">
        <v>364</v>
      </c>
      <c r="D317" s="334">
        <v>40582</v>
      </c>
      <c r="E317" s="338">
        <v>4</v>
      </c>
      <c r="F317" s="336">
        <v>6.5</v>
      </c>
      <c r="G317" s="336">
        <v>4</v>
      </c>
      <c r="H317" s="336">
        <v>3.75</v>
      </c>
      <c r="I317" s="336">
        <v>3.75</v>
      </c>
      <c r="J317" s="336">
        <v>3.75</v>
      </c>
      <c r="L317" s="335">
        <v>3</v>
      </c>
    </row>
    <row r="318" spans="1:12" hidden="1">
      <c r="A318" s="347">
        <v>40221</v>
      </c>
      <c r="B318" s="347" t="s">
        <v>656</v>
      </c>
      <c r="C318" s="348">
        <v>728</v>
      </c>
      <c r="D318" s="347">
        <v>40949</v>
      </c>
      <c r="E318" s="349">
        <v>2</v>
      </c>
      <c r="F318" s="350">
        <v>0</v>
      </c>
      <c r="G318" s="350">
        <v>0</v>
      </c>
      <c r="H318" s="350">
        <v>0</v>
      </c>
      <c r="I318" s="350">
        <v>0</v>
      </c>
      <c r="J318" s="350">
        <v>0</v>
      </c>
      <c r="K318" s="351"/>
      <c r="L318" s="348">
        <v>0</v>
      </c>
    </row>
    <row r="319" spans="1:12" hidden="1">
      <c r="A319" s="334">
        <v>40225</v>
      </c>
      <c r="B319" s="334" t="s">
        <v>657</v>
      </c>
      <c r="C319" s="335">
        <v>364</v>
      </c>
      <c r="D319" s="334">
        <v>40589</v>
      </c>
      <c r="E319" s="338">
        <v>2</v>
      </c>
      <c r="F319" s="336">
        <v>0</v>
      </c>
      <c r="G319" s="336">
        <v>0</v>
      </c>
      <c r="H319" s="336">
        <v>0</v>
      </c>
      <c r="I319" s="336">
        <v>0</v>
      </c>
      <c r="J319" s="336">
        <v>0</v>
      </c>
      <c r="L319" s="335">
        <v>0</v>
      </c>
    </row>
    <row r="320" spans="1:12" hidden="1">
      <c r="A320" s="347">
        <v>40228</v>
      </c>
      <c r="B320" s="347" t="s">
        <v>658</v>
      </c>
      <c r="C320" s="348">
        <v>91</v>
      </c>
      <c r="D320" s="347">
        <v>40319</v>
      </c>
      <c r="E320" s="349">
        <v>15</v>
      </c>
      <c r="F320" s="350">
        <v>0</v>
      </c>
      <c r="G320" s="350">
        <v>0</v>
      </c>
      <c r="H320" s="350">
        <v>0</v>
      </c>
      <c r="I320" s="350">
        <v>0</v>
      </c>
      <c r="J320" s="350">
        <v>0</v>
      </c>
      <c r="K320" s="351"/>
      <c r="L320" s="348">
        <v>0</v>
      </c>
    </row>
    <row r="321" spans="1:12" hidden="1">
      <c r="A321" s="334">
        <v>40232</v>
      </c>
      <c r="B321" s="334" t="s">
        <v>659</v>
      </c>
      <c r="C321" s="335">
        <v>182</v>
      </c>
      <c r="D321" s="334">
        <v>40414</v>
      </c>
      <c r="E321" s="338">
        <v>8</v>
      </c>
      <c r="F321" s="336">
        <v>0</v>
      </c>
      <c r="G321" s="336">
        <v>0</v>
      </c>
      <c r="H321" s="336">
        <v>0</v>
      </c>
      <c r="I321" s="336">
        <v>0</v>
      </c>
      <c r="J321" s="336">
        <v>0</v>
      </c>
      <c r="L321" s="335">
        <v>0</v>
      </c>
    </row>
    <row r="322" spans="1:12" hidden="1">
      <c r="A322" s="347">
        <v>40232</v>
      </c>
      <c r="B322" s="347" t="s">
        <v>660</v>
      </c>
      <c r="C322" s="348">
        <v>364</v>
      </c>
      <c r="D322" s="347">
        <v>40596</v>
      </c>
      <c r="E322" s="349">
        <v>4</v>
      </c>
      <c r="F322" s="350">
        <v>4</v>
      </c>
      <c r="G322" s="350">
        <v>4</v>
      </c>
      <c r="H322" s="350">
        <v>3.75</v>
      </c>
      <c r="I322" s="350">
        <v>3.75</v>
      </c>
      <c r="J322" s="350">
        <v>3.75</v>
      </c>
      <c r="K322" s="351"/>
      <c r="L322" s="348">
        <v>1</v>
      </c>
    </row>
    <row r="323" spans="1:12" hidden="1">
      <c r="A323" s="334">
        <v>40235</v>
      </c>
      <c r="B323" s="334" t="s">
        <v>661</v>
      </c>
      <c r="C323" s="335">
        <v>728</v>
      </c>
      <c r="D323" s="334">
        <v>40963</v>
      </c>
      <c r="E323" s="338">
        <v>2</v>
      </c>
      <c r="F323" s="336">
        <v>0</v>
      </c>
      <c r="G323" s="336">
        <v>0</v>
      </c>
      <c r="H323" s="336">
        <v>0</v>
      </c>
      <c r="I323" s="336">
        <v>0</v>
      </c>
      <c r="J323" s="336">
        <v>0</v>
      </c>
      <c r="L323" s="335">
        <v>0</v>
      </c>
    </row>
    <row r="324" spans="1:12" hidden="1">
      <c r="A324" s="347">
        <v>40239</v>
      </c>
      <c r="B324" s="347" t="s">
        <v>662</v>
      </c>
      <c r="C324" s="348">
        <v>35</v>
      </c>
      <c r="D324" s="347">
        <v>40274</v>
      </c>
      <c r="E324" s="349">
        <v>18</v>
      </c>
      <c r="F324" s="350">
        <v>0</v>
      </c>
      <c r="G324" s="350">
        <v>0</v>
      </c>
      <c r="H324" s="350">
        <v>0</v>
      </c>
      <c r="I324" s="350">
        <v>0</v>
      </c>
      <c r="J324" s="350">
        <v>0</v>
      </c>
      <c r="K324" s="351"/>
      <c r="L324" s="348">
        <v>0</v>
      </c>
    </row>
    <row r="325" spans="1:12" hidden="1">
      <c r="A325" s="334">
        <v>40239</v>
      </c>
      <c r="B325" s="334" t="s">
        <v>663</v>
      </c>
      <c r="C325" s="335">
        <v>364</v>
      </c>
      <c r="D325" s="334">
        <v>40603</v>
      </c>
      <c r="E325" s="338">
        <v>3</v>
      </c>
      <c r="F325" s="336">
        <v>0</v>
      </c>
      <c r="G325" s="336">
        <v>0</v>
      </c>
      <c r="H325" s="336">
        <v>0</v>
      </c>
      <c r="I325" s="336">
        <v>0</v>
      </c>
      <c r="J325" s="336">
        <v>0</v>
      </c>
      <c r="L325" s="335">
        <v>0</v>
      </c>
    </row>
    <row r="326" spans="1:12" hidden="1">
      <c r="A326" s="347">
        <v>40242</v>
      </c>
      <c r="B326" s="347" t="s">
        <v>664</v>
      </c>
      <c r="C326" s="348">
        <v>91</v>
      </c>
      <c r="D326" s="347">
        <v>40333</v>
      </c>
      <c r="E326" s="349">
        <v>18</v>
      </c>
      <c r="F326" s="350">
        <v>0</v>
      </c>
      <c r="G326" s="350">
        <v>0</v>
      </c>
      <c r="H326" s="350">
        <v>0</v>
      </c>
      <c r="I326" s="350">
        <v>0</v>
      </c>
      <c r="J326" s="350">
        <v>0</v>
      </c>
      <c r="K326" s="351"/>
      <c r="L326" s="348">
        <v>0</v>
      </c>
    </row>
    <row r="327" spans="1:12" hidden="1">
      <c r="A327" s="334">
        <v>40246</v>
      </c>
      <c r="B327" s="334" t="s">
        <v>665</v>
      </c>
      <c r="C327" s="335">
        <v>182</v>
      </c>
      <c r="D327" s="334">
        <v>40428</v>
      </c>
      <c r="E327" s="338">
        <v>7</v>
      </c>
      <c r="F327" s="336">
        <v>0</v>
      </c>
      <c r="G327" s="336">
        <v>0</v>
      </c>
      <c r="H327" s="336">
        <v>0</v>
      </c>
      <c r="I327" s="336">
        <v>0</v>
      </c>
      <c r="J327" s="336">
        <v>0</v>
      </c>
      <c r="L327" s="335">
        <v>0</v>
      </c>
    </row>
    <row r="328" spans="1:12" hidden="1">
      <c r="A328" s="347">
        <v>40249</v>
      </c>
      <c r="B328" s="347" t="s">
        <v>666</v>
      </c>
      <c r="C328" s="348">
        <v>728</v>
      </c>
      <c r="D328" s="347">
        <v>40977</v>
      </c>
      <c r="E328" s="349">
        <v>3</v>
      </c>
      <c r="F328" s="350">
        <v>0</v>
      </c>
      <c r="G328" s="350">
        <v>0</v>
      </c>
      <c r="H328" s="350">
        <v>0</v>
      </c>
      <c r="I328" s="350">
        <v>0</v>
      </c>
      <c r="J328" s="350">
        <v>0</v>
      </c>
      <c r="K328" s="351"/>
      <c r="L328" s="348">
        <v>0</v>
      </c>
    </row>
    <row r="329" spans="1:12" hidden="1">
      <c r="A329" s="334">
        <v>40249</v>
      </c>
      <c r="B329" s="334" t="s">
        <v>667</v>
      </c>
      <c r="C329" s="335">
        <v>364</v>
      </c>
      <c r="D329" s="334">
        <v>40613</v>
      </c>
      <c r="E329" s="338">
        <v>4</v>
      </c>
      <c r="F329" s="336">
        <v>6.2992999999999997</v>
      </c>
      <c r="G329" s="336">
        <v>4</v>
      </c>
      <c r="H329" s="336">
        <v>3.75</v>
      </c>
      <c r="I329" s="336">
        <v>3.75</v>
      </c>
      <c r="J329" s="336">
        <v>3.75</v>
      </c>
      <c r="L329" s="335">
        <v>3</v>
      </c>
    </row>
    <row r="330" spans="1:12" hidden="1">
      <c r="A330" s="347">
        <v>40253</v>
      </c>
      <c r="B330" s="347" t="s">
        <v>668</v>
      </c>
      <c r="C330" s="348">
        <v>35</v>
      </c>
      <c r="D330" s="347">
        <v>40288</v>
      </c>
      <c r="E330" s="349">
        <v>20</v>
      </c>
      <c r="F330" s="350">
        <v>8.8030000000000008</v>
      </c>
      <c r="G330" s="350">
        <v>5.8010999999999999</v>
      </c>
      <c r="H330" s="350">
        <v>0.73</v>
      </c>
      <c r="I330" s="350">
        <v>0.73</v>
      </c>
      <c r="J330" s="350">
        <v>0.73</v>
      </c>
      <c r="K330" s="351"/>
      <c r="L330" s="348">
        <v>3</v>
      </c>
    </row>
    <row r="331" spans="1:12" hidden="1">
      <c r="A331" s="334">
        <v>40253</v>
      </c>
      <c r="B331" s="334" t="s">
        <v>669</v>
      </c>
      <c r="C331" s="335">
        <v>364</v>
      </c>
      <c r="D331" s="334">
        <v>40617</v>
      </c>
      <c r="E331" s="338">
        <v>2</v>
      </c>
      <c r="F331" s="336">
        <v>0</v>
      </c>
      <c r="G331" s="336">
        <v>0</v>
      </c>
      <c r="H331" s="336">
        <v>0</v>
      </c>
      <c r="I331" s="336">
        <v>0</v>
      </c>
      <c r="J331" s="336">
        <v>0</v>
      </c>
      <c r="L331" s="335">
        <v>0</v>
      </c>
    </row>
    <row r="332" spans="1:12" hidden="1">
      <c r="A332" s="347">
        <v>40256</v>
      </c>
      <c r="B332" s="347" t="s">
        <v>670</v>
      </c>
      <c r="C332" s="348">
        <v>91</v>
      </c>
      <c r="D332" s="347">
        <v>40347</v>
      </c>
      <c r="E332" s="349">
        <v>15</v>
      </c>
      <c r="F332" s="350">
        <v>0</v>
      </c>
      <c r="G332" s="350">
        <v>0</v>
      </c>
      <c r="H332" s="350">
        <v>0</v>
      </c>
      <c r="I332" s="350">
        <v>0</v>
      </c>
      <c r="J332" s="350">
        <v>0</v>
      </c>
      <c r="K332" s="351"/>
      <c r="L332" s="348">
        <v>0</v>
      </c>
    </row>
    <row r="333" spans="1:12" hidden="1">
      <c r="A333" s="334">
        <v>40256</v>
      </c>
      <c r="B333" s="334" t="s">
        <v>671</v>
      </c>
      <c r="C333" s="335">
        <v>364</v>
      </c>
      <c r="D333" s="334">
        <v>40620</v>
      </c>
      <c r="E333" s="338">
        <v>4</v>
      </c>
      <c r="F333" s="336">
        <v>5.8</v>
      </c>
      <c r="G333" s="336">
        <v>4</v>
      </c>
      <c r="H333" s="336">
        <v>3.75</v>
      </c>
      <c r="I333" s="336">
        <v>3.75</v>
      </c>
      <c r="J333" s="336">
        <v>3.75</v>
      </c>
      <c r="L333" s="335">
        <v>2</v>
      </c>
    </row>
    <row r="334" spans="1:12" hidden="1">
      <c r="A334" s="347">
        <v>40256</v>
      </c>
      <c r="B334" s="347" t="s">
        <v>672</v>
      </c>
      <c r="C334" s="348">
        <v>182</v>
      </c>
      <c r="D334" s="347">
        <v>40438</v>
      </c>
      <c r="E334" s="349">
        <v>8</v>
      </c>
      <c r="F334" s="350">
        <v>1.4046000000000001</v>
      </c>
      <c r="G334" s="350">
        <v>1.4046000000000001</v>
      </c>
      <c r="H334" s="350">
        <v>1.1100000000000001</v>
      </c>
      <c r="I334" s="350">
        <v>1.1100000000000001</v>
      </c>
      <c r="J334" s="350">
        <v>1.01</v>
      </c>
      <c r="K334" s="351"/>
      <c r="L334" s="348">
        <v>3</v>
      </c>
    </row>
    <row r="335" spans="1:12" hidden="1">
      <c r="A335" s="334">
        <v>40274</v>
      </c>
      <c r="B335" s="334" t="s">
        <v>673</v>
      </c>
      <c r="C335" s="335">
        <v>364</v>
      </c>
      <c r="D335" s="334">
        <v>40638</v>
      </c>
      <c r="E335" s="338">
        <v>3</v>
      </c>
      <c r="F335" s="336">
        <v>2.8755000000000002</v>
      </c>
      <c r="G335" s="336">
        <v>2.8755000000000002</v>
      </c>
      <c r="H335" s="336">
        <v>2.88</v>
      </c>
      <c r="I335" s="336">
        <v>2.88</v>
      </c>
      <c r="J335" s="336">
        <v>2.86</v>
      </c>
      <c r="L335" s="335">
        <v>2</v>
      </c>
    </row>
    <row r="336" spans="1:12" hidden="1">
      <c r="A336" s="347">
        <v>40274</v>
      </c>
      <c r="B336" s="347" t="s">
        <v>674</v>
      </c>
      <c r="C336" s="348">
        <v>35</v>
      </c>
      <c r="D336" s="347">
        <v>40309</v>
      </c>
      <c r="E336" s="349">
        <v>18</v>
      </c>
      <c r="F336" s="350">
        <v>5.3018000000000001</v>
      </c>
      <c r="G336" s="350">
        <v>5.3018000000000001</v>
      </c>
      <c r="H336" s="350">
        <v>1.04</v>
      </c>
      <c r="I336" s="350">
        <v>1.04</v>
      </c>
      <c r="J336" s="350">
        <v>0.94000000000000006</v>
      </c>
      <c r="K336" s="351"/>
      <c r="L336" s="348">
        <v>2</v>
      </c>
    </row>
    <row r="337" spans="1:12" hidden="1">
      <c r="A337" s="334">
        <v>40277</v>
      </c>
      <c r="B337" s="334" t="s">
        <v>675</v>
      </c>
      <c r="C337" s="335">
        <v>91</v>
      </c>
      <c r="D337" s="334">
        <v>40368</v>
      </c>
      <c r="E337" s="338">
        <v>18</v>
      </c>
      <c r="F337" s="336">
        <v>3.0053999999999998</v>
      </c>
      <c r="G337" s="336">
        <v>3.0053999999999998</v>
      </c>
      <c r="H337" s="336">
        <v>1.3299999999999998</v>
      </c>
      <c r="I337" s="336">
        <v>1.3299999999999998</v>
      </c>
      <c r="J337" s="336">
        <v>1.3299999999999998</v>
      </c>
      <c r="L337" s="335">
        <v>1</v>
      </c>
    </row>
    <row r="338" spans="1:12" hidden="1">
      <c r="A338" s="347">
        <v>40281</v>
      </c>
      <c r="B338" s="347" t="s">
        <v>676</v>
      </c>
      <c r="C338" s="348">
        <v>182</v>
      </c>
      <c r="D338" s="347">
        <v>40463</v>
      </c>
      <c r="E338" s="349">
        <v>7</v>
      </c>
      <c r="F338" s="350">
        <v>0</v>
      </c>
      <c r="G338" s="350">
        <v>0</v>
      </c>
      <c r="H338" s="350">
        <v>0</v>
      </c>
      <c r="I338" s="350">
        <v>0</v>
      </c>
      <c r="J338" s="350">
        <v>0</v>
      </c>
      <c r="K338" s="351"/>
      <c r="L338" s="348">
        <v>0</v>
      </c>
    </row>
    <row r="339" spans="1:12" hidden="1">
      <c r="A339" s="334">
        <v>40281</v>
      </c>
      <c r="B339" s="334" t="s">
        <v>677</v>
      </c>
      <c r="C339" s="335">
        <v>364</v>
      </c>
      <c r="D339" s="334">
        <v>40645</v>
      </c>
      <c r="E339" s="338">
        <v>4</v>
      </c>
      <c r="F339" s="336">
        <v>0</v>
      </c>
      <c r="G339" s="336">
        <v>0</v>
      </c>
      <c r="H339" s="336">
        <v>0</v>
      </c>
      <c r="I339" s="336">
        <v>0</v>
      </c>
      <c r="J339" s="336">
        <v>0</v>
      </c>
      <c r="L339" s="335">
        <v>0</v>
      </c>
    </row>
    <row r="340" spans="1:12" hidden="1">
      <c r="A340" s="347">
        <v>40281</v>
      </c>
      <c r="B340" s="347" t="s">
        <v>678</v>
      </c>
      <c r="C340" s="348">
        <v>1800</v>
      </c>
      <c r="D340" s="347">
        <v>42101</v>
      </c>
      <c r="E340" s="349">
        <v>500</v>
      </c>
      <c r="F340" s="350">
        <v>40</v>
      </c>
      <c r="G340" s="350">
        <v>40</v>
      </c>
      <c r="H340" s="350">
        <v>2</v>
      </c>
      <c r="I340" s="350">
        <v>2</v>
      </c>
      <c r="J340" s="350">
        <v>2</v>
      </c>
      <c r="K340" s="351"/>
      <c r="L340" s="348">
        <v>1</v>
      </c>
    </row>
    <row r="341" spans="1:12" hidden="1">
      <c r="A341" s="334">
        <v>40284</v>
      </c>
      <c r="B341" s="334" t="s">
        <v>679</v>
      </c>
      <c r="C341" s="335">
        <v>728</v>
      </c>
      <c r="D341" s="334">
        <v>41012</v>
      </c>
      <c r="E341" s="338">
        <v>2</v>
      </c>
      <c r="F341" s="336">
        <v>0</v>
      </c>
      <c r="G341" s="336">
        <v>0</v>
      </c>
      <c r="H341" s="336">
        <v>0</v>
      </c>
      <c r="I341" s="336">
        <v>0</v>
      </c>
      <c r="J341" s="336">
        <v>0</v>
      </c>
      <c r="L341" s="335">
        <v>0</v>
      </c>
    </row>
    <row r="342" spans="1:12" hidden="1">
      <c r="A342" s="347">
        <v>40284</v>
      </c>
      <c r="B342" s="347" t="s">
        <v>680</v>
      </c>
      <c r="C342" s="348">
        <v>1092</v>
      </c>
      <c r="D342" s="347">
        <v>41376</v>
      </c>
      <c r="E342" s="349">
        <v>2</v>
      </c>
      <c r="F342" s="350">
        <v>2</v>
      </c>
      <c r="G342" s="350">
        <v>2</v>
      </c>
      <c r="H342" s="350">
        <v>4.5</v>
      </c>
      <c r="I342" s="350">
        <v>4.5</v>
      </c>
      <c r="J342" s="350">
        <v>4.5</v>
      </c>
      <c r="K342" s="351"/>
      <c r="L342" s="348">
        <v>1</v>
      </c>
    </row>
    <row r="343" spans="1:12" hidden="1">
      <c r="A343" s="334">
        <v>40288</v>
      </c>
      <c r="B343" s="334" t="s">
        <v>681</v>
      </c>
      <c r="C343" s="335">
        <v>35</v>
      </c>
      <c r="D343" s="334">
        <v>40323</v>
      </c>
      <c r="E343" s="338">
        <v>20</v>
      </c>
      <c r="F343" s="336">
        <v>9.0070999999999994</v>
      </c>
      <c r="G343" s="336">
        <v>6.0046999999999997</v>
      </c>
      <c r="H343" s="336">
        <v>1.1499999999999999</v>
      </c>
      <c r="I343" s="336">
        <v>1.1499999999999999</v>
      </c>
      <c r="J343" s="336">
        <v>1.04</v>
      </c>
      <c r="L343" s="335">
        <v>3</v>
      </c>
    </row>
    <row r="344" spans="1:12" hidden="1">
      <c r="A344" s="347">
        <v>40288</v>
      </c>
      <c r="B344" s="347" t="s">
        <v>682</v>
      </c>
      <c r="C344" s="348">
        <v>364</v>
      </c>
      <c r="D344" s="347">
        <v>40652</v>
      </c>
      <c r="E344" s="349">
        <v>2</v>
      </c>
      <c r="F344" s="350">
        <v>0</v>
      </c>
      <c r="G344" s="350">
        <v>0</v>
      </c>
      <c r="H344" s="350">
        <v>0</v>
      </c>
      <c r="I344" s="350">
        <v>0</v>
      </c>
      <c r="J344" s="350">
        <v>0</v>
      </c>
      <c r="K344" s="351"/>
      <c r="L344" s="348">
        <v>0</v>
      </c>
    </row>
    <row r="345" spans="1:12" hidden="1">
      <c r="A345" s="334">
        <v>40291</v>
      </c>
      <c r="B345" s="334" t="s">
        <v>683</v>
      </c>
      <c r="C345" s="335">
        <v>91</v>
      </c>
      <c r="D345" s="334">
        <v>40382</v>
      </c>
      <c r="E345" s="338">
        <v>15</v>
      </c>
      <c r="F345" s="336">
        <v>4.0393999999999997</v>
      </c>
      <c r="G345" s="336">
        <v>4.0393999999999997</v>
      </c>
      <c r="H345" s="336">
        <v>1.3299999999999998</v>
      </c>
      <c r="I345" s="336">
        <v>1.3299999999999998</v>
      </c>
      <c r="J345" s="336">
        <v>1.3299999999999998</v>
      </c>
      <c r="L345" s="335">
        <v>2</v>
      </c>
    </row>
    <row r="346" spans="1:12" hidden="1">
      <c r="A346" s="347">
        <v>40295</v>
      </c>
      <c r="B346" s="347" t="s">
        <v>684</v>
      </c>
      <c r="C346" s="348">
        <v>182</v>
      </c>
      <c r="D346" s="347">
        <v>40477</v>
      </c>
      <c r="E346" s="349">
        <v>8</v>
      </c>
      <c r="F346" s="350">
        <v>0</v>
      </c>
      <c r="G346" s="350">
        <v>0</v>
      </c>
      <c r="H346" s="350">
        <v>0</v>
      </c>
      <c r="I346" s="350">
        <v>0</v>
      </c>
      <c r="J346" s="350">
        <v>0</v>
      </c>
      <c r="K346" s="351"/>
      <c r="L346" s="348">
        <v>0</v>
      </c>
    </row>
    <row r="347" spans="1:12" hidden="1">
      <c r="A347" s="334">
        <v>40295</v>
      </c>
      <c r="B347" s="334" t="s">
        <v>685</v>
      </c>
      <c r="C347" s="335">
        <v>364</v>
      </c>
      <c r="D347" s="334">
        <v>40659</v>
      </c>
      <c r="E347" s="338">
        <v>4</v>
      </c>
      <c r="F347" s="336">
        <v>5.04</v>
      </c>
      <c r="G347" s="336">
        <v>4</v>
      </c>
      <c r="H347" s="336">
        <v>3.75</v>
      </c>
      <c r="I347" s="336">
        <v>3.75</v>
      </c>
      <c r="J347" s="336">
        <v>3.75</v>
      </c>
      <c r="L347" s="335">
        <v>2</v>
      </c>
    </row>
    <row r="348" spans="1:12" hidden="1">
      <c r="A348" s="347">
        <v>40298</v>
      </c>
      <c r="B348" s="347" t="s">
        <v>686</v>
      </c>
      <c r="C348" s="348">
        <v>728</v>
      </c>
      <c r="D348" s="347">
        <v>41026</v>
      </c>
      <c r="E348" s="349">
        <v>2</v>
      </c>
      <c r="F348" s="350">
        <v>0</v>
      </c>
      <c r="G348" s="350">
        <v>0</v>
      </c>
      <c r="H348" s="350">
        <v>0</v>
      </c>
      <c r="I348" s="350">
        <v>0</v>
      </c>
      <c r="J348" s="350">
        <v>0</v>
      </c>
      <c r="K348" s="351"/>
      <c r="L348" s="348">
        <v>0</v>
      </c>
    </row>
    <row r="349" spans="1:12" hidden="1">
      <c r="A349" s="334">
        <v>40298</v>
      </c>
      <c r="B349" s="334" t="s">
        <v>687</v>
      </c>
      <c r="C349" s="335">
        <v>1092</v>
      </c>
      <c r="D349" s="334">
        <v>41390</v>
      </c>
      <c r="E349" s="338">
        <v>3</v>
      </c>
      <c r="F349" s="336">
        <v>0</v>
      </c>
      <c r="G349" s="336">
        <v>0</v>
      </c>
      <c r="H349" s="336">
        <v>0</v>
      </c>
      <c r="I349" s="336">
        <v>0</v>
      </c>
      <c r="J349" s="336">
        <v>0</v>
      </c>
      <c r="L349" s="335">
        <v>0</v>
      </c>
    </row>
    <row r="350" spans="1:12" hidden="1">
      <c r="A350" s="347">
        <v>40302</v>
      </c>
      <c r="B350" s="347" t="s">
        <v>688</v>
      </c>
      <c r="C350" s="348">
        <v>35</v>
      </c>
      <c r="D350" s="347">
        <v>40337</v>
      </c>
      <c r="E350" s="349">
        <v>18</v>
      </c>
      <c r="F350" s="350">
        <v>2.1105999999999998</v>
      </c>
      <c r="G350" s="350">
        <v>2.1105999999999998</v>
      </c>
      <c r="H350" s="350">
        <v>1.1499999999999999</v>
      </c>
      <c r="I350" s="350">
        <v>1.1499999999999999</v>
      </c>
      <c r="J350" s="350">
        <v>1.1499999999999999</v>
      </c>
      <c r="K350" s="351"/>
      <c r="L350" s="348">
        <v>2</v>
      </c>
    </row>
    <row r="351" spans="1:12" hidden="1">
      <c r="A351" s="334">
        <v>40302</v>
      </c>
      <c r="B351" s="334" t="s">
        <v>689</v>
      </c>
      <c r="C351" s="335">
        <v>364</v>
      </c>
      <c r="D351" s="334">
        <v>40666</v>
      </c>
      <c r="E351" s="338">
        <v>3</v>
      </c>
      <c r="F351" s="336">
        <v>0</v>
      </c>
      <c r="G351" s="336">
        <v>0</v>
      </c>
      <c r="H351" s="336">
        <v>0</v>
      </c>
      <c r="I351" s="336">
        <v>0</v>
      </c>
      <c r="J351" s="336">
        <v>0</v>
      </c>
      <c r="L351" s="335">
        <v>0</v>
      </c>
    </row>
    <row r="352" spans="1:12" hidden="1">
      <c r="A352" s="347">
        <v>40305</v>
      </c>
      <c r="B352" s="347" t="s">
        <v>690</v>
      </c>
      <c r="C352" s="348">
        <v>91</v>
      </c>
      <c r="D352" s="347">
        <v>40396</v>
      </c>
      <c r="E352" s="349">
        <v>18</v>
      </c>
      <c r="F352" s="350">
        <v>0</v>
      </c>
      <c r="G352" s="350">
        <v>0</v>
      </c>
      <c r="H352" s="350">
        <v>0</v>
      </c>
      <c r="I352" s="350">
        <v>0</v>
      </c>
      <c r="J352" s="350">
        <v>0</v>
      </c>
      <c r="K352" s="351"/>
      <c r="L352" s="348">
        <v>0</v>
      </c>
    </row>
    <row r="353" spans="1:12" hidden="1">
      <c r="A353" s="334">
        <v>40309</v>
      </c>
      <c r="B353" s="334" t="s">
        <v>691</v>
      </c>
      <c r="C353" s="335">
        <v>182</v>
      </c>
      <c r="D353" s="334">
        <v>40491</v>
      </c>
      <c r="E353" s="338">
        <v>7</v>
      </c>
      <c r="F353" s="336">
        <v>0</v>
      </c>
      <c r="G353" s="336">
        <v>0</v>
      </c>
      <c r="H353" s="336">
        <v>0</v>
      </c>
      <c r="I353" s="336">
        <v>0</v>
      </c>
      <c r="J353" s="336">
        <v>0</v>
      </c>
      <c r="L353" s="335">
        <v>0</v>
      </c>
    </row>
    <row r="354" spans="1:12" hidden="1">
      <c r="A354" s="347">
        <v>40309</v>
      </c>
      <c r="B354" s="347" t="s">
        <v>692</v>
      </c>
      <c r="C354" s="348">
        <v>364</v>
      </c>
      <c r="D354" s="347">
        <v>40673</v>
      </c>
      <c r="E354" s="349">
        <v>4</v>
      </c>
      <c r="F354" s="350">
        <v>0</v>
      </c>
      <c r="G354" s="350">
        <v>0</v>
      </c>
      <c r="H354" s="350">
        <v>0</v>
      </c>
      <c r="I354" s="350">
        <v>0</v>
      </c>
      <c r="J354" s="350">
        <v>0</v>
      </c>
      <c r="K354" s="351"/>
      <c r="L354" s="348">
        <v>0</v>
      </c>
    </row>
    <row r="355" spans="1:12" hidden="1">
      <c r="A355" s="334">
        <v>40312</v>
      </c>
      <c r="B355" s="334" t="s">
        <v>693</v>
      </c>
      <c r="C355" s="335">
        <v>728</v>
      </c>
      <c r="D355" s="334">
        <v>41040</v>
      </c>
      <c r="E355" s="338">
        <v>2</v>
      </c>
      <c r="F355" s="336">
        <v>0</v>
      </c>
      <c r="G355" s="336">
        <v>0</v>
      </c>
      <c r="H355" s="336">
        <v>0</v>
      </c>
      <c r="I355" s="336">
        <v>0</v>
      </c>
      <c r="J355" s="336">
        <v>0</v>
      </c>
      <c r="L355" s="335">
        <v>0</v>
      </c>
    </row>
    <row r="356" spans="1:12" hidden="1">
      <c r="A356" s="347">
        <v>40312</v>
      </c>
      <c r="B356" s="347" t="s">
        <v>694</v>
      </c>
      <c r="C356" s="348">
        <v>1092</v>
      </c>
      <c r="D356" s="347">
        <v>41404</v>
      </c>
      <c r="E356" s="349">
        <v>2</v>
      </c>
      <c r="F356" s="350">
        <v>0</v>
      </c>
      <c r="G356" s="350">
        <v>0</v>
      </c>
      <c r="H356" s="350">
        <v>0</v>
      </c>
      <c r="I356" s="350">
        <v>0</v>
      </c>
      <c r="J356" s="350">
        <v>0</v>
      </c>
      <c r="K356" s="351"/>
      <c r="L356" s="348">
        <v>0</v>
      </c>
    </row>
    <row r="357" spans="1:12" hidden="1">
      <c r="A357" s="334">
        <v>40316</v>
      </c>
      <c r="B357" s="334" t="s">
        <v>695</v>
      </c>
      <c r="C357" s="335">
        <v>35</v>
      </c>
      <c r="D357" s="334">
        <v>40351</v>
      </c>
      <c r="E357" s="338">
        <v>20</v>
      </c>
      <c r="F357" s="336">
        <v>0</v>
      </c>
      <c r="G357" s="336">
        <v>0</v>
      </c>
      <c r="H357" s="336">
        <v>0</v>
      </c>
      <c r="I357" s="336">
        <v>0</v>
      </c>
      <c r="J357" s="336">
        <v>0</v>
      </c>
      <c r="L357" s="335">
        <v>0</v>
      </c>
    </row>
    <row r="358" spans="1:12" hidden="1">
      <c r="A358" s="347">
        <v>40316</v>
      </c>
      <c r="B358" s="347" t="s">
        <v>696</v>
      </c>
      <c r="C358" s="348">
        <v>364</v>
      </c>
      <c r="D358" s="347">
        <v>40680</v>
      </c>
      <c r="E358" s="349">
        <v>2</v>
      </c>
      <c r="F358" s="350">
        <v>2.0588000000000002</v>
      </c>
      <c r="G358" s="350">
        <v>2</v>
      </c>
      <c r="H358" s="350">
        <v>3.45</v>
      </c>
      <c r="I358" s="350">
        <v>3.45</v>
      </c>
      <c r="J358" s="350">
        <v>3.4000000000000004</v>
      </c>
      <c r="K358" s="351"/>
      <c r="L358" s="348">
        <v>2</v>
      </c>
    </row>
    <row r="359" spans="1:12" hidden="1">
      <c r="A359" s="334">
        <v>40319</v>
      </c>
      <c r="B359" s="334" t="s">
        <v>697</v>
      </c>
      <c r="C359" s="335">
        <v>91</v>
      </c>
      <c r="D359" s="334">
        <v>40410</v>
      </c>
      <c r="E359" s="338">
        <v>15</v>
      </c>
      <c r="F359" s="336">
        <v>0</v>
      </c>
      <c r="G359" s="336">
        <v>0</v>
      </c>
      <c r="H359" s="336">
        <v>0</v>
      </c>
      <c r="I359" s="336">
        <v>0</v>
      </c>
      <c r="J359" s="336">
        <v>0</v>
      </c>
      <c r="L359" s="335">
        <v>0</v>
      </c>
    </row>
    <row r="360" spans="1:12" hidden="1">
      <c r="A360" s="347">
        <v>40323</v>
      </c>
      <c r="B360" s="347" t="s">
        <v>698</v>
      </c>
      <c r="C360" s="348">
        <v>182</v>
      </c>
      <c r="D360" s="347">
        <v>40505</v>
      </c>
      <c r="E360" s="349">
        <v>8</v>
      </c>
      <c r="F360" s="350">
        <v>0.19600000000000001</v>
      </c>
      <c r="G360" s="350">
        <v>0</v>
      </c>
      <c r="H360" s="350">
        <v>1.92</v>
      </c>
      <c r="I360" s="350">
        <v>1.92</v>
      </c>
      <c r="J360" s="350">
        <v>0</v>
      </c>
      <c r="K360" s="351"/>
      <c r="L360" s="348">
        <v>1</v>
      </c>
    </row>
    <row r="361" spans="1:12" hidden="1">
      <c r="A361" s="334">
        <v>40323</v>
      </c>
      <c r="B361" s="334" t="s">
        <v>699</v>
      </c>
      <c r="C361" s="335">
        <v>364</v>
      </c>
      <c r="D361" s="334">
        <v>40687</v>
      </c>
      <c r="E361" s="338">
        <v>4</v>
      </c>
      <c r="F361" s="336">
        <v>0.25</v>
      </c>
      <c r="G361" s="336">
        <v>0</v>
      </c>
      <c r="H361" s="336">
        <v>3.75</v>
      </c>
      <c r="I361" s="336">
        <v>3.75</v>
      </c>
      <c r="J361" s="336">
        <v>0</v>
      </c>
      <c r="L361" s="335">
        <v>0</v>
      </c>
    </row>
    <row r="362" spans="1:12" hidden="1">
      <c r="A362" s="347">
        <v>40323</v>
      </c>
      <c r="B362" s="347" t="s">
        <v>700</v>
      </c>
      <c r="C362" s="348">
        <v>728</v>
      </c>
      <c r="D362" s="347">
        <v>41051</v>
      </c>
      <c r="E362" s="349">
        <v>2</v>
      </c>
      <c r="F362" s="350">
        <v>0</v>
      </c>
      <c r="G362" s="350">
        <v>0</v>
      </c>
      <c r="H362" s="350">
        <v>0</v>
      </c>
      <c r="I362" s="350">
        <v>0</v>
      </c>
      <c r="J362" s="350">
        <v>0</v>
      </c>
      <c r="K362" s="351"/>
      <c r="L362" s="348">
        <v>0</v>
      </c>
    </row>
    <row r="363" spans="1:12" hidden="1">
      <c r="A363" s="334">
        <v>40323</v>
      </c>
      <c r="B363" s="334" t="s">
        <v>701</v>
      </c>
      <c r="C363" s="335">
        <v>1092</v>
      </c>
      <c r="D363" s="334">
        <v>41415</v>
      </c>
      <c r="E363" s="338">
        <v>3</v>
      </c>
      <c r="F363" s="336">
        <v>0</v>
      </c>
      <c r="G363" s="336">
        <v>0</v>
      </c>
      <c r="H363" s="336">
        <v>0</v>
      </c>
      <c r="I363" s="336">
        <v>0</v>
      </c>
      <c r="J363" s="336">
        <v>0</v>
      </c>
      <c r="L363" s="335">
        <v>0</v>
      </c>
    </row>
    <row r="364" spans="1:12" hidden="1">
      <c r="A364" s="347">
        <v>40330</v>
      </c>
      <c r="B364" s="347" t="s">
        <v>702</v>
      </c>
      <c r="C364" s="348">
        <v>364</v>
      </c>
      <c r="D364" s="347">
        <v>40694</v>
      </c>
      <c r="E364" s="349">
        <v>3</v>
      </c>
      <c r="F364" s="350">
        <v>0</v>
      </c>
      <c r="G364" s="350">
        <v>0</v>
      </c>
      <c r="H364" s="350">
        <v>0</v>
      </c>
      <c r="I364" s="350">
        <v>0</v>
      </c>
      <c r="J364" s="350">
        <v>0</v>
      </c>
      <c r="K364" s="351"/>
      <c r="L364" s="348">
        <v>0</v>
      </c>
    </row>
    <row r="365" spans="1:12" hidden="1">
      <c r="A365" s="334">
        <v>40330</v>
      </c>
      <c r="B365" s="334" t="s">
        <v>703</v>
      </c>
      <c r="C365" s="335">
        <v>35</v>
      </c>
      <c r="D365" s="334">
        <v>40365</v>
      </c>
      <c r="E365" s="338">
        <v>18</v>
      </c>
      <c r="F365" s="336">
        <v>0</v>
      </c>
      <c r="G365" s="336">
        <v>0</v>
      </c>
      <c r="H365" s="336">
        <v>0</v>
      </c>
      <c r="I365" s="336">
        <v>0</v>
      </c>
      <c r="J365" s="336">
        <v>0</v>
      </c>
      <c r="L365" s="335">
        <v>0</v>
      </c>
    </row>
    <row r="366" spans="1:12" hidden="1">
      <c r="A366" s="347">
        <v>40333</v>
      </c>
      <c r="B366" s="347" t="s">
        <v>704</v>
      </c>
      <c r="C366" s="348">
        <v>91</v>
      </c>
      <c r="D366" s="347">
        <v>40424</v>
      </c>
      <c r="E366" s="349">
        <v>18</v>
      </c>
      <c r="F366" s="350">
        <v>0</v>
      </c>
      <c r="G366" s="350">
        <v>0</v>
      </c>
      <c r="H366" s="350">
        <v>0</v>
      </c>
      <c r="I366" s="350">
        <v>0</v>
      </c>
      <c r="J366" s="350">
        <v>0</v>
      </c>
      <c r="K366" s="351"/>
      <c r="L366" s="348">
        <v>0</v>
      </c>
    </row>
    <row r="367" spans="1:12" hidden="1">
      <c r="A367" s="334">
        <v>40337</v>
      </c>
      <c r="B367" s="334" t="s">
        <v>705</v>
      </c>
      <c r="C367" s="335">
        <v>182</v>
      </c>
      <c r="D367" s="334">
        <v>40519</v>
      </c>
      <c r="E367" s="338">
        <v>7</v>
      </c>
      <c r="F367" s="336">
        <v>0</v>
      </c>
      <c r="G367" s="336">
        <v>0</v>
      </c>
      <c r="H367" s="336">
        <v>0</v>
      </c>
      <c r="I367" s="336">
        <v>0</v>
      </c>
      <c r="J367" s="336">
        <v>0</v>
      </c>
      <c r="L367" s="335">
        <v>0</v>
      </c>
    </row>
    <row r="368" spans="1:12" hidden="1">
      <c r="A368" s="347">
        <v>40337</v>
      </c>
      <c r="B368" s="347" t="s">
        <v>706</v>
      </c>
      <c r="C368" s="348">
        <v>364</v>
      </c>
      <c r="D368" s="347">
        <v>40701</v>
      </c>
      <c r="E368" s="349">
        <v>4</v>
      </c>
      <c r="F368" s="350">
        <v>0.1087</v>
      </c>
      <c r="G368" s="350">
        <v>0</v>
      </c>
      <c r="H368" s="350">
        <v>3.75</v>
      </c>
      <c r="I368" s="350">
        <v>3.75</v>
      </c>
      <c r="J368" s="350">
        <v>0</v>
      </c>
      <c r="K368" s="351"/>
      <c r="L368" s="348">
        <v>0</v>
      </c>
    </row>
    <row r="369" spans="1:12" hidden="1">
      <c r="A369" s="334">
        <v>40340</v>
      </c>
      <c r="B369" s="334" t="s">
        <v>707</v>
      </c>
      <c r="C369" s="335">
        <v>1092</v>
      </c>
      <c r="D369" s="334">
        <v>41432</v>
      </c>
      <c r="E369" s="338">
        <v>2</v>
      </c>
      <c r="F369" s="336">
        <v>0</v>
      </c>
      <c r="G369" s="336">
        <v>0</v>
      </c>
      <c r="H369" s="336">
        <v>4.5</v>
      </c>
      <c r="I369" s="336">
        <v>4.5</v>
      </c>
      <c r="J369" s="336">
        <v>0</v>
      </c>
      <c r="L369" s="335">
        <v>0</v>
      </c>
    </row>
    <row r="370" spans="1:12" hidden="1">
      <c r="A370" s="347">
        <v>40340</v>
      </c>
      <c r="B370" s="347" t="s">
        <v>708</v>
      </c>
      <c r="C370" s="348">
        <v>728</v>
      </c>
      <c r="D370" s="347">
        <v>41068</v>
      </c>
      <c r="E370" s="349">
        <v>2</v>
      </c>
      <c r="F370" s="350">
        <v>0</v>
      </c>
      <c r="G370" s="350">
        <v>0</v>
      </c>
      <c r="H370" s="350">
        <v>4</v>
      </c>
      <c r="I370" s="350">
        <v>4</v>
      </c>
      <c r="J370" s="350">
        <v>0</v>
      </c>
      <c r="K370" s="351"/>
      <c r="L370" s="348">
        <v>0</v>
      </c>
    </row>
    <row r="371" spans="1:12" hidden="1">
      <c r="A371" s="334">
        <v>40347</v>
      </c>
      <c r="B371" s="334" t="s">
        <v>709</v>
      </c>
      <c r="C371" s="335">
        <v>35</v>
      </c>
      <c r="D371" s="334">
        <v>40382</v>
      </c>
      <c r="E371" s="338">
        <v>20</v>
      </c>
      <c r="F371" s="336">
        <v>0</v>
      </c>
      <c r="G371" s="336">
        <v>0</v>
      </c>
      <c r="H371" s="336">
        <v>0</v>
      </c>
      <c r="I371" s="336">
        <v>0</v>
      </c>
      <c r="J371" s="336">
        <v>0</v>
      </c>
      <c r="L371" s="335">
        <v>0</v>
      </c>
    </row>
    <row r="372" spans="1:12" hidden="1">
      <c r="A372" s="347">
        <v>40347</v>
      </c>
      <c r="B372" s="347" t="s">
        <v>710</v>
      </c>
      <c r="C372" s="348">
        <v>91</v>
      </c>
      <c r="D372" s="347">
        <v>40438</v>
      </c>
      <c r="E372" s="349">
        <v>15</v>
      </c>
      <c r="F372" s="350">
        <v>0</v>
      </c>
      <c r="G372" s="350">
        <v>0</v>
      </c>
      <c r="H372" s="350">
        <v>0</v>
      </c>
      <c r="I372" s="350">
        <v>0</v>
      </c>
      <c r="J372" s="350">
        <v>0</v>
      </c>
      <c r="K372" s="351"/>
      <c r="L372" s="348">
        <v>0</v>
      </c>
    </row>
    <row r="373" spans="1:12" hidden="1">
      <c r="A373" s="334">
        <v>40347</v>
      </c>
      <c r="B373" s="334" t="s">
        <v>711</v>
      </c>
      <c r="C373" s="335">
        <v>364</v>
      </c>
      <c r="D373" s="334">
        <v>40711</v>
      </c>
      <c r="E373" s="338">
        <v>2</v>
      </c>
      <c r="F373" s="336">
        <v>0</v>
      </c>
      <c r="G373" s="336">
        <v>0</v>
      </c>
      <c r="H373" s="336">
        <v>0</v>
      </c>
      <c r="I373" s="336">
        <v>0</v>
      </c>
      <c r="J373" s="336">
        <v>0</v>
      </c>
      <c r="L373" s="335">
        <v>0</v>
      </c>
    </row>
    <row r="374" spans="1:12" hidden="1">
      <c r="A374" s="347">
        <v>40351</v>
      </c>
      <c r="B374" s="347" t="s">
        <v>712</v>
      </c>
      <c r="C374" s="348">
        <v>364</v>
      </c>
      <c r="D374" s="347">
        <v>40715</v>
      </c>
      <c r="E374" s="349">
        <v>4</v>
      </c>
      <c r="F374" s="350">
        <v>0</v>
      </c>
      <c r="G374" s="350">
        <v>0</v>
      </c>
      <c r="H374" s="350">
        <v>3.75</v>
      </c>
      <c r="I374" s="350">
        <v>3.75</v>
      </c>
      <c r="J374" s="350">
        <v>0</v>
      </c>
      <c r="K374" s="351"/>
      <c r="L374" s="348">
        <v>0</v>
      </c>
    </row>
    <row r="375" spans="1:12" hidden="1">
      <c r="A375" s="334">
        <v>40351</v>
      </c>
      <c r="B375" s="334" t="s">
        <v>713</v>
      </c>
      <c r="C375" s="335">
        <v>182</v>
      </c>
      <c r="D375" s="334">
        <v>40533</v>
      </c>
      <c r="E375" s="338">
        <v>8</v>
      </c>
      <c r="F375" s="336">
        <v>0</v>
      </c>
      <c r="G375" s="336">
        <v>0</v>
      </c>
      <c r="H375" s="336">
        <v>0</v>
      </c>
      <c r="I375" s="336">
        <v>0</v>
      </c>
      <c r="J375" s="336">
        <v>0</v>
      </c>
      <c r="L375" s="335">
        <v>0</v>
      </c>
    </row>
    <row r="376" spans="1:12" hidden="1">
      <c r="A376" s="347">
        <v>40354</v>
      </c>
      <c r="B376" s="347" t="s">
        <v>714</v>
      </c>
      <c r="C376" s="348">
        <v>1092</v>
      </c>
      <c r="D376" s="347">
        <v>41446</v>
      </c>
      <c r="E376" s="349">
        <v>3</v>
      </c>
      <c r="F376" s="350">
        <v>3</v>
      </c>
      <c r="G376" s="350">
        <v>3</v>
      </c>
      <c r="H376" s="350">
        <v>4.5</v>
      </c>
      <c r="I376" s="350">
        <v>4.5</v>
      </c>
      <c r="J376" s="350">
        <v>4.5</v>
      </c>
      <c r="K376" s="351"/>
      <c r="L376" s="348">
        <v>1</v>
      </c>
    </row>
    <row r="377" spans="1:12" hidden="1">
      <c r="A377" s="334">
        <v>40354</v>
      </c>
      <c r="B377" s="334" t="s">
        <v>715</v>
      </c>
      <c r="C377" s="335">
        <v>728</v>
      </c>
      <c r="D377" s="334">
        <v>41082</v>
      </c>
      <c r="E377" s="338">
        <v>2</v>
      </c>
      <c r="F377" s="336">
        <v>0</v>
      </c>
      <c r="G377" s="336">
        <v>0</v>
      </c>
      <c r="H377" s="336">
        <v>4</v>
      </c>
      <c r="I377" s="336">
        <v>4</v>
      </c>
      <c r="J377" s="336">
        <v>0</v>
      </c>
      <c r="L377" s="335">
        <v>0</v>
      </c>
    </row>
    <row r="378" spans="1:12" hidden="1">
      <c r="A378" s="347">
        <v>40365</v>
      </c>
      <c r="B378" s="347" t="s">
        <v>716</v>
      </c>
      <c r="C378" s="348">
        <v>35</v>
      </c>
      <c r="D378" s="347">
        <v>40400</v>
      </c>
      <c r="E378" s="349">
        <v>18</v>
      </c>
      <c r="F378" s="350">
        <v>2.5394000000000001</v>
      </c>
      <c r="G378" s="350">
        <v>2.5394000000000001</v>
      </c>
      <c r="H378" s="350">
        <v>1.1499999999999999</v>
      </c>
      <c r="I378" s="350">
        <v>1.1499999999999999</v>
      </c>
      <c r="J378" s="350">
        <v>1.1499999999999999</v>
      </c>
      <c r="K378" s="351"/>
      <c r="L378" s="348">
        <v>2</v>
      </c>
    </row>
    <row r="379" spans="1:12" hidden="1">
      <c r="A379" s="334">
        <v>40365</v>
      </c>
      <c r="B379" s="334" t="s">
        <v>717</v>
      </c>
      <c r="C379" s="335">
        <v>364</v>
      </c>
      <c r="D379" s="334">
        <v>40729</v>
      </c>
      <c r="E379" s="338">
        <v>3</v>
      </c>
      <c r="F379" s="336">
        <v>0</v>
      </c>
      <c r="G379" s="336">
        <v>0</v>
      </c>
      <c r="H379" s="336">
        <v>0</v>
      </c>
      <c r="I379" s="336">
        <v>0</v>
      </c>
      <c r="J379" s="336">
        <v>0</v>
      </c>
      <c r="L379" s="335">
        <v>0</v>
      </c>
    </row>
    <row r="380" spans="1:12" hidden="1">
      <c r="A380" s="347">
        <v>40368</v>
      </c>
      <c r="B380" s="347" t="s">
        <v>718</v>
      </c>
      <c r="C380" s="348">
        <v>91</v>
      </c>
      <c r="D380" s="347">
        <v>40459</v>
      </c>
      <c r="E380" s="349">
        <v>20</v>
      </c>
      <c r="F380" s="350">
        <v>4.5171999999999999</v>
      </c>
      <c r="G380" s="350">
        <v>4.5171999999999999</v>
      </c>
      <c r="H380" s="350">
        <v>1.3299999999999998</v>
      </c>
      <c r="I380" s="350">
        <v>1.3299999999999998</v>
      </c>
      <c r="J380" s="350">
        <v>1.3299999999999998</v>
      </c>
      <c r="K380" s="351"/>
      <c r="L380" s="348">
        <v>2</v>
      </c>
    </row>
    <row r="381" spans="1:12" hidden="1">
      <c r="A381" s="334">
        <v>40372</v>
      </c>
      <c r="B381" s="334" t="s">
        <v>719</v>
      </c>
      <c r="C381" s="335">
        <v>182</v>
      </c>
      <c r="D381" s="334">
        <v>40554</v>
      </c>
      <c r="E381" s="338">
        <v>7</v>
      </c>
      <c r="F381" s="336">
        <v>0</v>
      </c>
      <c r="G381" s="336">
        <v>0</v>
      </c>
      <c r="H381" s="336">
        <v>0</v>
      </c>
      <c r="I381" s="336">
        <v>0</v>
      </c>
      <c r="J381" s="336">
        <v>0</v>
      </c>
      <c r="L381" s="335">
        <v>0</v>
      </c>
    </row>
    <row r="382" spans="1:12" hidden="1">
      <c r="A382" s="347">
        <v>40372</v>
      </c>
      <c r="B382" s="347" t="s">
        <v>720</v>
      </c>
      <c r="C382" s="348">
        <v>364</v>
      </c>
      <c r="D382" s="347">
        <v>40736</v>
      </c>
      <c r="E382" s="349">
        <v>4</v>
      </c>
      <c r="F382" s="350">
        <v>0</v>
      </c>
      <c r="G382" s="350">
        <v>0</v>
      </c>
      <c r="H382" s="350">
        <v>3.75</v>
      </c>
      <c r="I382" s="350">
        <v>3.75</v>
      </c>
      <c r="J382" s="350">
        <v>0</v>
      </c>
      <c r="K382" s="351"/>
      <c r="L382" s="348">
        <v>0</v>
      </c>
    </row>
    <row r="383" spans="1:12" hidden="1">
      <c r="A383" s="334">
        <v>40375</v>
      </c>
      <c r="B383" s="334" t="s">
        <v>721</v>
      </c>
      <c r="C383" s="335">
        <v>728</v>
      </c>
      <c r="D383" s="334">
        <v>41103</v>
      </c>
      <c r="E383" s="338">
        <v>3</v>
      </c>
      <c r="F383" s="336">
        <v>0</v>
      </c>
      <c r="G383" s="336">
        <v>0</v>
      </c>
      <c r="H383" s="336">
        <v>4</v>
      </c>
      <c r="I383" s="336">
        <v>4</v>
      </c>
      <c r="J383" s="336">
        <v>0</v>
      </c>
      <c r="L383" s="335">
        <v>0</v>
      </c>
    </row>
    <row r="384" spans="1:12" hidden="1">
      <c r="A384" s="347">
        <v>40375</v>
      </c>
      <c r="B384" s="347" t="s">
        <v>722</v>
      </c>
      <c r="C384" s="348">
        <v>1092</v>
      </c>
      <c r="D384" s="347">
        <v>41467</v>
      </c>
      <c r="E384" s="349">
        <v>2</v>
      </c>
      <c r="F384" s="350">
        <v>0</v>
      </c>
      <c r="G384" s="350">
        <v>0</v>
      </c>
      <c r="H384" s="350">
        <v>4.5</v>
      </c>
      <c r="I384" s="350">
        <v>4.5</v>
      </c>
      <c r="J384" s="350">
        <v>0</v>
      </c>
      <c r="K384" s="351"/>
      <c r="L384" s="348">
        <v>0</v>
      </c>
    </row>
    <row r="385" spans="1:12" hidden="1">
      <c r="A385" s="334">
        <v>40379</v>
      </c>
      <c r="B385" s="334" t="s">
        <v>723</v>
      </c>
      <c r="C385" s="335">
        <v>364</v>
      </c>
      <c r="D385" s="334">
        <v>40743</v>
      </c>
      <c r="E385" s="338">
        <v>2</v>
      </c>
      <c r="F385" s="336">
        <v>0</v>
      </c>
      <c r="G385" s="336">
        <v>0</v>
      </c>
      <c r="H385" s="336">
        <v>0</v>
      </c>
      <c r="I385" s="336">
        <v>0</v>
      </c>
      <c r="J385" s="336">
        <v>0</v>
      </c>
      <c r="L385" s="335">
        <v>0</v>
      </c>
    </row>
    <row r="386" spans="1:12" hidden="1">
      <c r="A386" s="347">
        <v>40379</v>
      </c>
      <c r="B386" s="347" t="s">
        <v>724</v>
      </c>
      <c r="C386" s="348">
        <v>35</v>
      </c>
      <c r="D386" s="347">
        <v>40414</v>
      </c>
      <c r="E386" s="349">
        <v>20</v>
      </c>
      <c r="F386" s="350">
        <v>2.0516999999999999</v>
      </c>
      <c r="G386" s="350">
        <v>2.0516999999999999</v>
      </c>
      <c r="H386" s="350">
        <v>1.1499999999999999</v>
      </c>
      <c r="I386" s="350">
        <v>1.1499999999999999</v>
      </c>
      <c r="J386" s="350">
        <v>1.1499999999999999</v>
      </c>
      <c r="K386" s="351"/>
      <c r="L386" s="348">
        <v>2</v>
      </c>
    </row>
    <row r="387" spans="1:12" hidden="1">
      <c r="A387" s="334">
        <v>40382</v>
      </c>
      <c r="B387" s="334" t="s">
        <v>725</v>
      </c>
      <c r="C387" s="335">
        <v>91</v>
      </c>
      <c r="D387" s="334">
        <v>40473</v>
      </c>
      <c r="E387" s="338">
        <v>15</v>
      </c>
      <c r="F387" s="336">
        <v>0</v>
      </c>
      <c r="G387" s="336">
        <v>0</v>
      </c>
      <c r="H387" s="336">
        <v>0</v>
      </c>
      <c r="I387" s="336">
        <v>0</v>
      </c>
      <c r="J387" s="336">
        <v>0</v>
      </c>
      <c r="L387" s="335">
        <v>0</v>
      </c>
    </row>
    <row r="388" spans="1:12" hidden="1">
      <c r="A388" s="347">
        <v>40386</v>
      </c>
      <c r="B388" s="347" t="s">
        <v>726</v>
      </c>
      <c r="C388" s="348">
        <v>182</v>
      </c>
      <c r="D388" s="347">
        <v>40568</v>
      </c>
      <c r="E388" s="349">
        <v>8</v>
      </c>
      <c r="F388" s="350">
        <v>0.91169999999999995</v>
      </c>
      <c r="G388" s="350">
        <v>0.91169999999999995</v>
      </c>
      <c r="H388" s="350">
        <v>1.9800000000000002</v>
      </c>
      <c r="I388" s="350">
        <v>1.9800000000000002</v>
      </c>
      <c r="J388" s="350">
        <v>1.9800000000000002</v>
      </c>
      <c r="K388" s="351"/>
      <c r="L388" s="348">
        <v>1</v>
      </c>
    </row>
    <row r="389" spans="1:12" hidden="1">
      <c r="A389" s="334">
        <v>40386</v>
      </c>
      <c r="B389" s="334" t="s">
        <v>727</v>
      </c>
      <c r="C389" s="335">
        <v>364</v>
      </c>
      <c r="D389" s="334">
        <v>40750</v>
      </c>
      <c r="E389" s="338">
        <v>4</v>
      </c>
      <c r="F389" s="336">
        <v>0</v>
      </c>
      <c r="G389" s="336">
        <v>0</v>
      </c>
      <c r="H389" s="336">
        <v>3.75</v>
      </c>
      <c r="I389" s="336">
        <v>3.75</v>
      </c>
      <c r="J389" s="336">
        <v>0</v>
      </c>
      <c r="L389" s="335">
        <v>0</v>
      </c>
    </row>
    <row r="390" spans="1:12" hidden="1">
      <c r="A390" s="347">
        <v>40389</v>
      </c>
      <c r="B390" s="347" t="s">
        <v>728</v>
      </c>
      <c r="C390" s="348">
        <v>728</v>
      </c>
      <c r="D390" s="347">
        <v>41117</v>
      </c>
      <c r="E390" s="349">
        <v>2</v>
      </c>
      <c r="F390" s="350">
        <v>0</v>
      </c>
      <c r="G390" s="350">
        <v>0</v>
      </c>
      <c r="H390" s="350">
        <v>4</v>
      </c>
      <c r="I390" s="350">
        <v>4</v>
      </c>
      <c r="J390" s="350">
        <v>0</v>
      </c>
      <c r="K390" s="351"/>
      <c r="L390" s="348">
        <v>0</v>
      </c>
    </row>
    <row r="391" spans="1:12" hidden="1">
      <c r="A391" s="334">
        <v>40389</v>
      </c>
      <c r="B391" s="334" t="s">
        <v>729</v>
      </c>
      <c r="C391" s="335">
        <v>1092</v>
      </c>
      <c r="D391" s="334">
        <v>41481</v>
      </c>
      <c r="E391" s="338">
        <v>3</v>
      </c>
      <c r="F391" s="336">
        <v>0</v>
      </c>
      <c r="G391" s="336">
        <v>0</v>
      </c>
      <c r="H391" s="336">
        <v>4.5</v>
      </c>
      <c r="I391" s="336">
        <v>4.5</v>
      </c>
      <c r="J391" s="336">
        <v>0</v>
      </c>
      <c r="L391" s="335">
        <v>0</v>
      </c>
    </row>
    <row r="392" spans="1:12" hidden="1">
      <c r="A392" s="347">
        <v>40393</v>
      </c>
      <c r="B392" s="347" t="s">
        <v>730</v>
      </c>
      <c r="C392" s="348">
        <v>35</v>
      </c>
      <c r="D392" s="347">
        <v>40428</v>
      </c>
      <c r="E392" s="349">
        <v>18</v>
      </c>
      <c r="F392" s="350">
        <v>0</v>
      </c>
      <c r="G392" s="350">
        <v>0</v>
      </c>
      <c r="H392" s="350">
        <v>0</v>
      </c>
      <c r="I392" s="350">
        <v>0</v>
      </c>
      <c r="J392" s="350">
        <v>0</v>
      </c>
      <c r="K392" s="351"/>
      <c r="L392" s="348">
        <v>0</v>
      </c>
    </row>
    <row r="393" spans="1:12" hidden="1">
      <c r="A393" s="334">
        <v>40393</v>
      </c>
      <c r="B393" s="334" t="s">
        <v>731</v>
      </c>
      <c r="C393" s="335">
        <v>364</v>
      </c>
      <c r="D393" s="334">
        <v>40757</v>
      </c>
      <c r="E393" s="338">
        <v>3</v>
      </c>
      <c r="F393" s="336">
        <v>0</v>
      </c>
      <c r="G393" s="336">
        <v>0</v>
      </c>
      <c r="H393" s="336">
        <v>3.75</v>
      </c>
      <c r="I393" s="336">
        <v>3.75</v>
      </c>
      <c r="J393" s="336">
        <v>0</v>
      </c>
      <c r="L393" s="335">
        <v>0</v>
      </c>
    </row>
    <row r="394" spans="1:12" hidden="1">
      <c r="A394" s="347">
        <v>40400</v>
      </c>
      <c r="B394" s="347" t="s">
        <v>732</v>
      </c>
      <c r="C394" s="348">
        <v>364</v>
      </c>
      <c r="D394" s="347">
        <v>40764</v>
      </c>
      <c r="E394" s="349">
        <v>4</v>
      </c>
      <c r="F394" s="350">
        <v>0</v>
      </c>
      <c r="G394" s="350">
        <v>0</v>
      </c>
      <c r="H394" s="350">
        <v>3.75</v>
      </c>
      <c r="I394" s="350">
        <v>3.75</v>
      </c>
      <c r="J394" s="350">
        <v>0</v>
      </c>
      <c r="K394" s="351"/>
      <c r="L394" s="348">
        <v>0</v>
      </c>
    </row>
    <row r="395" spans="1:12" hidden="1">
      <c r="A395" s="334">
        <v>40400</v>
      </c>
      <c r="B395" s="334" t="s">
        <v>733</v>
      </c>
      <c r="C395" s="335">
        <v>182</v>
      </c>
      <c r="D395" s="334">
        <v>40582</v>
      </c>
      <c r="E395" s="338">
        <v>7</v>
      </c>
      <c r="F395" s="336">
        <v>1.8144</v>
      </c>
      <c r="G395" s="336">
        <v>1.8144</v>
      </c>
      <c r="H395" s="336">
        <v>1.9800000000000002</v>
      </c>
      <c r="I395" s="336">
        <v>1.9800000000000002</v>
      </c>
      <c r="J395" s="336">
        <v>1.9800000000000002</v>
      </c>
      <c r="L395" s="335">
        <v>2</v>
      </c>
    </row>
    <row r="396" spans="1:12" hidden="1">
      <c r="A396" s="347">
        <v>40403</v>
      </c>
      <c r="B396" s="347" t="s">
        <v>734</v>
      </c>
      <c r="C396" s="348">
        <v>728</v>
      </c>
      <c r="D396" s="347">
        <v>41131</v>
      </c>
      <c r="E396" s="349">
        <v>3</v>
      </c>
      <c r="F396" s="350">
        <v>0</v>
      </c>
      <c r="G396" s="350">
        <v>0</v>
      </c>
      <c r="H396" s="350">
        <v>4</v>
      </c>
      <c r="I396" s="350">
        <v>4</v>
      </c>
      <c r="J396" s="350">
        <v>0</v>
      </c>
      <c r="K396" s="351"/>
      <c r="L396" s="348">
        <v>0</v>
      </c>
    </row>
    <row r="397" spans="1:12" hidden="1">
      <c r="A397" s="334">
        <v>40403</v>
      </c>
      <c r="B397" s="334" t="s">
        <v>735</v>
      </c>
      <c r="C397" s="335">
        <v>1092</v>
      </c>
      <c r="D397" s="334">
        <v>41495</v>
      </c>
      <c r="E397" s="338">
        <v>3</v>
      </c>
      <c r="F397" s="336">
        <v>0</v>
      </c>
      <c r="G397" s="336">
        <v>0</v>
      </c>
      <c r="H397" s="336">
        <v>4.5</v>
      </c>
      <c r="I397" s="336">
        <v>4.5</v>
      </c>
      <c r="J397" s="336">
        <v>0</v>
      </c>
      <c r="L397" s="335">
        <v>0</v>
      </c>
    </row>
    <row r="398" spans="1:12" hidden="1">
      <c r="A398" s="347">
        <v>40407</v>
      </c>
      <c r="B398" s="347" t="s">
        <v>736</v>
      </c>
      <c r="C398" s="348">
        <v>35</v>
      </c>
      <c r="D398" s="347">
        <v>40442</v>
      </c>
      <c r="E398" s="349">
        <v>20</v>
      </c>
      <c r="F398" s="350">
        <v>9.0062999999999995</v>
      </c>
      <c r="G398" s="350">
        <v>9.0062999999999995</v>
      </c>
      <c r="H398" s="350">
        <v>1.1499999999999999</v>
      </c>
      <c r="I398" s="350">
        <v>1.1499999999999999</v>
      </c>
      <c r="J398" s="350">
        <v>1.1499999999999999</v>
      </c>
      <c r="K398" s="351"/>
      <c r="L398" s="348">
        <v>2</v>
      </c>
    </row>
    <row r="399" spans="1:12" hidden="1">
      <c r="A399" s="334">
        <v>40407</v>
      </c>
      <c r="B399" s="334" t="s">
        <v>737</v>
      </c>
      <c r="C399" s="335">
        <v>364</v>
      </c>
      <c r="D399" s="334">
        <v>40771</v>
      </c>
      <c r="E399" s="338">
        <v>2</v>
      </c>
      <c r="F399" s="336">
        <v>2</v>
      </c>
      <c r="G399" s="336">
        <v>2</v>
      </c>
      <c r="H399" s="336">
        <v>3.5000000000000004</v>
      </c>
      <c r="I399" s="336">
        <v>3.5000000000000004</v>
      </c>
      <c r="J399" s="336">
        <v>3.5000000000000004</v>
      </c>
      <c r="L399" s="335">
        <v>1</v>
      </c>
    </row>
    <row r="400" spans="1:12" hidden="1">
      <c r="A400" s="347">
        <v>40410</v>
      </c>
      <c r="B400" s="347" t="s">
        <v>738</v>
      </c>
      <c r="C400" s="348">
        <v>91</v>
      </c>
      <c r="D400" s="347">
        <v>40501</v>
      </c>
      <c r="E400" s="349">
        <v>15</v>
      </c>
      <c r="F400" s="350">
        <v>2.0026000000000002</v>
      </c>
      <c r="G400" s="350">
        <v>2.0026000000000002</v>
      </c>
      <c r="H400" s="350">
        <v>1.3299999999999998</v>
      </c>
      <c r="I400" s="350">
        <v>1.3299999999999998</v>
      </c>
      <c r="J400" s="350">
        <v>1.3299999999999998</v>
      </c>
      <c r="K400" s="351"/>
      <c r="L400" s="348">
        <v>2</v>
      </c>
    </row>
    <row r="401" spans="1:12" hidden="1">
      <c r="A401" s="334">
        <v>40414</v>
      </c>
      <c r="B401" s="334" t="s">
        <v>739</v>
      </c>
      <c r="C401" s="335">
        <v>182</v>
      </c>
      <c r="D401" s="334">
        <v>40596</v>
      </c>
      <c r="E401" s="338">
        <v>8</v>
      </c>
      <c r="F401" s="336">
        <v>0</v>
      </c>
      <c r="G401" s="336">
        <v>0</v>
      </c>
      <c r="H401" s="336">
        <v>0</v>
      </c>
      <c r="I401" s="336">
        <v>0</v>
      </c>
      <c r="J401" s="336">
        <v>0</v>
      </c>
      <c r="L401" s="335">
        <v>0</v>
      </c>
    </row>
    <row r="402" spans="1:12" hidden="1">
      <c r="A402" s="347">
        <v>40414</v>
      </c>
      <c r="B402" s="347" t="s">
        <v>740</v>
      </c>
      <c r="C402" s="348">
        <v>364</v>
      </c>
      <c r="D402" s="347">
        <v>40778</v>
      </c>
      <c r="E402" s="349">
        <v>4</v>
      </c>
      <c r="F402" s="350">
        <v>2.9910999999999999</v>
      </c>
      <c r="G402" s="350">
        <v>2.9910999999999999</v>
      </c>
      <c r="H402" s="350">
        <v>3.75</v>
      </c>
      <c r="I402" s="350">
        <v>3.75</v>
      </c>
      <c r="J402" s="350">
        <v>3.75</v>
      </c>
      <c r="K402" s="351"/>
      <c r="L402" s="348">
        <v>1</v>
      </c>
    </row>
    <row r="403" spans="1:12" hidden="1">
      <c r="A403" s="334">
        <v>40417</v>
      </c>
      <c r="B403" s="334" t="s">
        <v>741</v>
      </c>
      <c r="C403" s="335">
        <v>728</v>
      </c>
      <c r="D403" s="334">
        <v>41145</v>
      </c>
      <c r="E403" s="338">
        <v>2</v>
      </c>
      <c r="F403" s="336">
        <v>0</v>
      </c>
      <c r="G403" s="336">
        <v>0</v>
      </c>
      <c r="H403" s="336">
        <v>4</v>
      </c>
      <c r="I403" s="336">
        <v>4</v>
      </c>
      <c r="J403" s="336">
        <v>0</v>
      </c>
      <c r="L403" s="335">
        <v>0</v>
      </c>
    </row>
    <row r="404" spans="1:12" hidden="1">
      <c r="A404" s="347">
        <v>40417</v>
      </c>
      <c r="B404" s="347" t="s">
        <v>742</v>
      </c>
      <c r="C404" s="348">
        <v>1092</v>
      </c>
      <c r="D404" s="347">
        <v>41509</v>
      </c>
      <c r="E404" s="349">
        <v>3</v>
      </c>
      <c r="F404" s="350">
        <v>0</v>
      </c>
      <c r="G404" s="350">
        <v>0</v>
      </c>
      <c r="H404" s="350">
        <v>4.5</v>
      </c>
      <c r="I404" s="350">
        <v>4.5</v>
      </c>
      <c r="J404" s="350">
        <v>0</v>
      </c>
      <c r="K404" s="351"/>
      <c r="L404" s="348">
        <v>0</v>
      </c>
    </row>
    <row r="405" spans="1:12" hidden="1">
      <c r="A405" s="334">
        <v>40424</v>
      </c>
      <c r="B405" s="334" t="s">
        <v>743</v>
      </c>
      <c r="C405" s="335">
        <v>91</v>
      </c>
      <c r="D405" s="334">
        <v>40515</v>
      </c>
      <c r="E405" s="338">
        <v>20</v>
      </c>
      <c r="F405" s="336">
        <v>12.1358</v>
      </c>
      <c r="G405" s="336">
        <v>12.1358</v>
      </c>
      <c r="H405" s="336">
        <v>2.5</v>
      </c>
      <c r="I405" s="336">
        <v>2.5</v>
      </c>
      <c r="J405" s="336">
        <v>2.5</v>
      </c>
      <c r="L405" s="335">
        <v>3</v>
      </c>
    </row>
    <row r="406" spans="1:12" hidden="1">
      <c r="A406" s="347">
        <v>40424</v>
      </c>
      <c r="B406" s="347" t="s">
        <v>744</v>
      </c>
      <c r="C406" s="348">
        <v>35</v>
      </c>
      <c r="D406" s="347">
        <v>40459</v>
      </c>
      <c r="E406" s="349">
        <v>18</v>
      </c>
      <c r="F406" s="350">
        <v>6.0060000000000002</v>
      </c>
      <c r="G406" s="350">
        <v>6.0060000000000002</v>
      </c>
      <c r="H406" s="350">
        <v>1.46</v>
      </c>
      <c r="I406" s="350">
        <v>1.46</v>
      </c>
      <c r="J406" s="350">
        <v>1.46</v>
      </c>
      <c r="K406" s="351"/>
      <c r="L406" s="348">
        <v>3</v>
      </c>
    </row>
    <row r="407" spans="1:12" hidden="1">
      <c r="A407" s="334">
        <v>40424</v>
      </c>
      <c r="B407" s="334" t="s">
        <v>745</v>
      </c>
      <c r="C407" s="335">
        <v>364</v>
      </c>
      <c r="D407" s="334">
        <v>40788</v>
      </c>
      <c r="E407" s="338">
        <v>3</v>
      </c>
      <c r="F407" s="336">
        <v>0</v>
      </c>
      <c r="G407" s="336">
        <v>0</v>
      </c>
      <c r="H407" s="336">
        <v>0</v>
      </c>
      <c r="I407" s="336">
        <v>0</v>
      </c>
      <c r="J407" s="336">
        <v>0</v>
      </c>
      <c r="L407" s="335">
        <v>0</v>
      </c>
    </row>
    <row r="408" spans="1:12" hidden="1">
      <c r="A408" s="347">
        <v>40428</v>
      </c>
      <c r="B408" s="347" t="s">
        <v>746</v>
      </c>
      <c r="C408" s="348">
        <v>182</v>
      </c>
      <c r="D408" s="347">
        <v>40610</v>
      </c>
      <c r="E408" s="349">
        <v>7</v>
      </c>
      <c r="F408" s="350">
        <v>1.014</v>
      </c>
      <c r="G408" s="350">
        <v>4.5521000000000003</v>
      </c>
      <c r="H408" s="350">
        <v>2.9899999999999998</v>
      </c>
      <c r="I408" s="350">
        <v>2.9899999999999998</v>
      </c>
      <c r="J408" s="350">
        <v>2.9899999999999998</v>
      </c>
      <c r="K408" s="351"/>
      <c r="L408" s="348">
        <v>1</v>
      </c>
    </row>
    <row r="409" spans="1:12" hidden="1">
      <c r="A409" s="334">
        <v>40428</v>
      </c>
      <c r="B409" s="334" t="s">
        <v>747</v>
      </c>
      <c r="C409" s="335">
        <v>364</v>
      </c>
      <c r="D409" s="334">
        <v>40792</v>
      </c>
      <c r="E409" s="338">
        <v>4</v>
      </c>
      <c r="F409" s="336">
        <v>2.9923999999999999</v>
      </c>
      <c r="G409" s="336">
        <v>2.9923999999999999</v>
      </c>
      <c r="H409" s="336">
        <v>4</v>
      </c>
      <c r="I409" s="336">
        <v>4</v>
      </c>
      <c r="J409" s="336">
        <v>4</v>
      </c>
      <c r="L409" s="335">
        <v>1</v>
      </c>
    </row>
    <row r="410" spans="1:12" hidden="1">
      <c r="A410" s="347">
        <v>40428</v>
      </c>
      <c r="B410" s="347" t="s">
        <v>748</v>
      </c>
      <c r="C410" s="348">
        <v>728</v>
      </c>
      <c r="D410" s="347">
        <v>41156</v>
      </c>
      <c r="E410" s="349">
        <v>3</v>
      </c>
      <c r="F410" s="350">
        <v>0</v>
      </c>
      <c r="G410" s="350">
        <v>0</v>
      </c>
      <c r="H410" s="350">
        <v>4.5</v>
      </c>
      <c r="I410" s="350">
        <v>4.5</v>
      </c>
      <c r="J410" s="350">
        <v>0</v>
      </c>
      <c r="K410" s="351"/>
      <c r="L410" s="348">
        <v>0</v>
      </c>
    </row>
    <row r="411" spans="1:12" hidden="1">
      <c r="A411" s="334">
        <v>40428</v>
      </c>
      <c r="B411" s="334" t="s">
        <v>729</v>
      </c>
      <c r="C411" s="335">
        <v>1092</v>
      </c>
      <c r="D411" s="334">
        <v>41520</v>
      </c>
      <c r="E411" s="338">
        <v>3</v>
      </c>
      <c r="F411" s="336">
        <v>0</v>
      </c>
      <c r="G411" s="336">
        <v>0</v>
      </c>
      <c r="H411" s="336">
        <v>5</v>
      </c>
      <c r="I411" s="336">
        <v>5</v>
      </c>
      <c r="J411" s="336">
        <v>0</v>
      </c>
      <c r="L411" s="335">
        <v>0</v>
      </c>
    </row>
    <row r="412" spans="1:12" hidden="1">
      <c r="A412" s="347">
        <v>40435</v>
      </c>
      <c r="B412" s="347" t="s">
        <v>749</v>
      </c>
      <c r="C412" s="348">
        <v>35</v>
      </c>
      <c r="D412" s="347">
        <v>40470</v>
      </c>
      <c r="E412" s="349">
        <v>20</v>
      </c>
      <c r="F412" s="350">
        <v>3.0030000000000001</v>
      </c>
      <c r="G412" s="350">
        <v>3.0030000000000001</v>
      </c>
      <c r="H412" s="350">
        <v>1.46</v>
      </c>
      <c r="I412" s="350">
        <v>1.46</v>
      </c>
      <c r="J412" s="350">
        <v>1.46</v>
      </c>
      <c r="K412" s="351"/>
      <c r="L412" s="348">
        <v>2</v>
      </c>
    </row>
    <row r="413" spans="1:12" hidden="1">
      <c r="A413" s="334">
        <v>40435</v>
      </c>
      <c r="B413" s="334" t="s">
        <v>750</v>
      </c>
      <c r="C413" s="335">
        <v>364</v>
      </c>
      <c r="D413" s="334">
        <v>40799</v>
      </c>
      <c r="E413" s="338">
        <v>2</v>
      </c>
      <c r="F413" s="336">
        <v>0</v>
      </c>
      <c r="G413" s="336">
        <v>0</v>
      </c>
      <c r="H413" s="336">
        <v>0</v>
      </c>
      <c r="I413" s="336">
        <v>0</v>
      </c>
      <c r="J413" s="336">
        <v>0</v>
      </c>
      <c r="L413" s="335">
        <v>0</v>
      </c>
    </row>
    <row r="414" spans="1:12" hidden="1">
      <c r="A414" s="347">
        <v>40438</v>
      </c>
      <c r="B414" s="347" t="s">
        <v>751</v>
      </c>
      <c r="C414" s="348">
        <v>91</v>
      </c>
      <c r="D414" s="347">
        <v>40529</v>
      </c>
      <c r="E414" s="349">
        <v>15</v>
      </c>
      <c r="F414" s="350">
        <v>2.3647</v>
      </c>
      <c r="G414" s="350">
        <v>2.3647</v>
      </c>
      <c r="H414" s="350">
        <v>2.5</v>
      </c>
      <c r="I414" s="350">
        <v>2.5</v>
      </c>
      <c r="J414" s="350">
        <v>2.5</v>
      </c>
      <c r="K414" s="351"/>
      <c r="L414" s="348">
        <v>4</v>
      </c>
    </row>
    <row r="415" spans="1:12" hidden="1">
      <c r="A415" s="334">
        <v>40442</v>
      </c>
      <c r="B415" s="334" t="s">
        <v>752</v>
      </c>
      <c r="C415" s="335">
        <v>182</v>
      </c>
      <c r="D415" s="334">
        <v>40624</v>
      </c>
      <c r="E415" s="338">
        <v>8</v>
      </c>
      <c r="F415" s="336">
        <v>1.014</v>
      </c>
      <c r="G415" s="336">
        <v>1.014</v>
      </c>
      <c r="H415" s="336">
        <v>2.9899999999999998</v>
      </c>
      <c r="I415" s="336">
        <v>2.9899999999999998</v>
      </c>
      <c r="J415" s="336">
        <v>2.9899999999999998</v>
      </c>
      <c r="L415" s="335">
        <v>1</v>
      </c>
    </row>
    <row r="416" spans="1:12" hidden="1">
      <c r="A416" s="347">
        <v>40442</v>
      </c>
      <c r="B416" s="347" t="s">
        <v>753</v>
      </c>
      <c r="C416" s="348">
        <v>364</v>
      </c>
      <c r="D416" s="347">
        <v>40806</v>
      </c>
      <c r="E416" s="349">
        <v>4</v>
      </c>
      <c r="F416" s="350">
        <v>4</v>
      </c>
      <c r="G416" s="350">
        <v>4</v>
      </c>
      <c r="H416" s="350">
        <v>4</v>
      </c>
      <c r="I416" s="350">
        <v>4</v>
      </c>
      <c r="J416" s="350">
        <v>4</v>
      </c>
      <c r="K416" s="351"/>
      <c r="L416" s="348">
        <v>1</v>
      </c>
    </row>
    <row r="417" spans="1:12" hidden="1">
      <c r="A417" s="334">
        <v>40445</v>
      </c>
      <c r="B417" s="334" t="s">
        <v>754</v>
      </c>
      <c r="C417" s="335">
        <v>728</v>
      </c>
      <c r="D417" s="334">
        <v>41173</v>
      </c>
      <c r="E417" s="338">
        <v>2</v>
      </c>
      <c r="F417" s="336">
        <v>0</v>
      </c>
      <c r="G417" s="336">
        <v>0</v>
      </c>
      <c r="H417" s="336">
        <v>4.5</v>
      </c>
      <c r="I417" s="336">
        <v>4.5</v>
      </c>
      <c r="J417" s="336">
        <v>0</v>
      </c>
      <c r="L417" s="335">
        <v>0</v>
      </c>
    </row>
    <row r="418" spans="1:12" hidden="1">
      <c r="A418" s="347">
        <v>40445</v>
      </c>
      <c r="B418" s="347" t="s">
        <v>755</v>
      </c>
      <c r="C418" s="348">
        <v>1092</v>
      </c>
      <c r="D418" s="347">
        <v>41537</v>
      </c>
      <c r="E418" s="349">
        <v>3</v>
      </c>
      <c r="F418" s="350">
        <v>0</v>
      </c>
      <c r="G418" s="350">
        <v>0</v>
      </c>
      <c r="H418" s="350">
        <v>5</v>
      </c>
      <c r="I418" s="350">
        <v>5</v>
      </c>
      <c r="J418" s="350">
        <v>0</v>
      </c>
      <c r="K418" s="351"/>
      <c r="L418" s="348">
        <v>0</v>
      </c>
    </row>
    <row r="419" spans="1:12" hidden="1">
      <c r="A419" s="334">
        <v>40456</v>
      </c>
      <c r="B419" s="334" t="s">
        <v>756</v>
      </c>
      <c r="C419" s="335">
        <v>364</v>
      </c>
      <c r="D419" s="334">
        <v>40820</v>
      </c>
      <c r="E419" s="338">
        <v>3</v>
      </c>
      <c r="F419" s="336">
        <v>0</v>
      </c>
      <c r="G419" s="336">
        <v>0</v>
      </c>
      <c r="H419" s="336">
        <v>0</v>
      </c>
      <c r="I419" s="336">
        <v>0</v>
      </c>
      <c r="J419" s="336">
        <v>0</v>
      </c>
      <c r="L419" s="335">
        <v>0</v>
      </c>
    </row>
    <row r="420" spans="1:12" hidden="1">
      <c r="A420" s="347">
        <v>40456</v>
      </c>
      <c r="B420" s="347" t="s">
        <v>757</v>
      </c>
      <c r="C420" s="348">
        <v>35</v>
      </c>
      <c r="D420" s="347">
        <v>40491</v>
      </c>
      <c r="E420" s="349">
        <v>18</v>
      </c>
      <c r="F420" s="350">
        <v>6.0060000000000002</v>
      </c>
      <c r="G420" s="350">
        <v>6.0060000000000002</v>
      </c>
      <c r="H420" s="350">
        <v>1.46</v>
      </c>
      <c r="I420" s="350">
        <v>1.46</v>
      </c>
      <c r="J420" s="350">
        <v>1.46</v>
      </c>
      <c r="K420" s="351"/>
      <c r="L420" s="348">
        <v>2</v>
      </c>
    </row>
    <row r="421" spans="1:12" hidden="1">
      <c r="A421" s="334">
        <v>40459</v>
      </c>
      <c r="B421" s="334" t="s">
        <v>758</v>
      </c>
      <c r="C421" s="335">
        <v>91</v>
      </c>
      <c r="D421" s="334">
        <v>40550</v>
      </c>
      <c r="E421" s="338">
        <v>20</v>
      </c>
      <c r="F421" s="336">
        <v>8.5548999999999999</v>
      </c>
      <c r="G421" s="336">
        <v>8.5548999999999999</v>
      </c>
      <c r="H421" s="336">
        <v>2.5</v>
      </c>
      <c r="I421" s="336">
        <v>2.5</v>
      </c>
      <c r="J421" s="336">
        <v>2.5</v>
      </c>
      <c r="L421" s="335">
        <v>3</v>
      </c>
    </row>
    <row r="422" spans="1:12" hidden="1">
      <c r="A422" s="347">
        <v>40463</v>
      </c>
      <c r="B422" s="347" t="s">
        <v>759</v>
      </c>
      <c r="C422" s="348">
        <v>182</v>
      </c>
      <c r="D422" s="347">
        <v>40645</v>
      </c>
      <c r="E422" s="349">
        <v>7</v>
      </c>
      <c r="F422" s="350">
        <v>0</v>
      </c>
      <c r="G422" s="350">
        <v>0</v>
      </c>
      <c r="H422" s="350">
        <v>0</v>
      </c>
      <c r="I422" s="350">
        <v>0</v>
      </c>
      <c r="J422" s="350">
        <v>0</v>
      </c>
      <c r="K422" s="351"/>
      <c r="L422" s="348">
        <v>0</v>
      </c>
    </row>
    <row r="423" spans="1:12" hidden="1">
      <c r="A423" s="334">
        <v>40463</v>
      </c>
      <c r="B423" s="334" t="s">
        <v>760</v>
      </c>
      <c r="C423" s="335">
        <v>364</v>
      </c>
      <c r="D423" s="334">
        <v>40827</v>
      </c>
      <c r="E423" s="338">
        <v>4</v>
      </c>
      <c r="F423" s="336">
        <v>0</v>
      </c>
      <c r="G423" s="336">
        <v>0</v>
      </c>
      <c r="H423" s="336">
        <v>0</v>
      </c>
      <c r="I423" s="336">
        <v>0</v>
      </c>
      <c r="J423" s="336">
        <v>4</v>
      </c>
      <c r="L423" s="335">
        <v>0</v>
      </c>
    </row>
    <row r="424" spans="1:12" hidden="1">
      <c r="A424" s="347">
        <v>40466</v>
      </c>
      <c r="B424" s="347" t="s">
        <v>761</v>
      </c>
      <c r="C424" s="348">
        <v>1092</v>
      </c>
      <c r="D424" s="347">
        <v>41558</v>
      </c>
      <c r="E424" s="349">
        <v>3</v>
      </c>
      <c r="F424" s="350">
        <v>0</v>
      </c>
      <c r="G424" s="350">
        <v>0</v>
      </c>
      <c r="H424" s="350">
        <v>0</v>
      </c>
      <c r="I424" s="350">
        <v>0</v>
      </c>
      <c r="J424" s="350">
        <v>5</v>
      </c>
      <c r="K424" s="351"/>
      <c r="L424" s="348">
        <v>0</v>
      </c>
    </row>
    <row r="425" spans="1:12" hidden="1">
      <c r="A425" s="334">
        <v>40466</v>
      </c>
      <c r="B425" s="334" t="s">
        <v>762</v>
      </c>
      <c r="C425" s="335">
        <v>728</v>
      </c>
      <c r="D425" s="334">
        <v>41194</v>
      </c>
      <c r="E425" s="338">
        <v>3</v>
      </c>
      <c r="F425" s="336">
        <v>0</v>
      </c>
      <c r="G425" s="336">
        <v>0</v>
      </c>
      <c r="H425" s="336">
        <v>0</v>
      </c>
      <c r="I425" s="336">
        <v>0</v>
      </c>
      <c r="J425" s="336">
        <v>4.5</v>
      </c>
      <c r="L425" s="335">
        <v>0</v>
      </c>
    </row>
    <row r="426" spans="1:12" hidden="1">
      <c r="A426" s="347">
        <v>40470</v>
      </c>
      <c r="B426" s="347" t="s">
        <v>763</v>
      </c>
      <c r="C426" s="348">
        <v>35</v>
      </c>
      <c r="D426" s="347">
        <v>40505</v>
      </c>
      <c r="E426" s="349">
        <v>20</v>
      </c>
      <c r="F426" s="350">
        <v>5.0090000000000003</v>
      </c>
      <c r="G426" s="350">
        <v>5.0090000000000003</v>
      </c>
      <c r="H426" s="350">
        <v>1.46</v>
      </c>
      <c r="I426" s="350">
        <v>1.46</v>
      </c>
      <c r="J426" s="350">
        <v>1.46</v>
      </c>
      <c r="K426" s="351"/>
      <c r="L426" s="348">
        <v>3</v>
      </c>
    </row>
    <row r="427" spans="1:12" hidden="1">
      <c r="A427" s="334">
        <v>40470</v>
      </c>
      <c r="B427" s="334" t="s">
        <v>764</v>
      </c>
      <c r="C427" s="335">
        <v>91</v>
      </c>
      <c r="D427" s="334">
        <v>40561</v>
      </c>
      <c r="E427" s="338">
        <v>15</v>
      </c>
      <c r="F427" s="336">
        <v>3.02</v>
      </c>
      <c r="G427" s="336">
        <v>3.02</v>
      </c>
      <c r="H427" s="336">
        <v>2.5</v>
      </c>
      <c r="I427" s="336">
        <v>2.5</v>
      </c>
      <c r="J427" s="336">
        <v>2.5</v>
      </c>
      <c r="L427" s="335">
        <v>1</v>
      </c>
    </row>
    <row r="428" spans="1:12" hidden="1">
      <c r="A428" s="347">
        <v>40473</v>
      </c>
      <c r="B428" s="347" t="s">
        <v>765</v>
      </c>
      <c r="C428" s="348">
        <v>364</v>
      </c>
      <c r="D428" s="347">
        <v>40837</v>
      </c>
      <c r="E428" s="349">
        <v>2</v>
      </c>
      <c r="F428" s="350">
        <v>0</v>
      </c>
      <c r="G428" s="350">
        <v>0</v>
      </c>
      <c r="H428" s="350">
        <v>0</v>
      </c>
      <c r="I428" s="350">
        <v>0</v>
      </c>
      <c r="J428" s="350">
        <v>0</v>
      </c>
      <c r="K428" s="351"/>
      <c r="L428" s="348">
        <v>0</v>
      </c>
    </row>
    <row r="429" spans="1:12" hidden="1">
      <c r="A429" s="334">
        <v>40477</v>
      </c>
      <c r="B429" s="334" t="s">
        <v>766</v>
      </c>
      <c r="C429" s="335">
        <v>182</v>
      </c>
      <c r="D429" s="334">
        <v>40659</v>
      </c>
      <c r="E429" s="338">
        <v>8</v>
      </c>
      <c r="F429" s="336">
        <v>12.177099999999999</v>
      </c>
      <c r="G429" s="336">
        <v>8</v>
      </c>
      <c r="H429" s="336">
        <v>2.9899999999999998</v>
      </c>
      <c r="I429" s="336">
        <v>2.9899999999999998</v>
      </c>
      <c r="J429" s="336">
        <v>2.9899999999999998</v>
      </c>
      <c r="L429" s="335">
        <v>5</v>
      </c>
    </row>
    <row r="430" spans="1:12" hidden="1">
      <c r="A430" s="347">
        <v>40480</v>
      </c>
      <c r="B430" s="347" t="s">
        <v>767</v>
      </c>
      <c r="C430" s="348">
        <v>364</v>
      </c>
      <c r="D430" s="347">
        <v>40844</v>
      </c>
      <c r="E430" s="349">
        <v>4</v>
      </c>
      <c r="F430" s="350">
        <v>4</v>
      </c>
      <c r="G430" s="350">
        <v>4</v>
      </c>
      <c r="H430" s="350">
        <v>4</v>
      </c>
      <c r="I430" s="350">
        <v>4</v>
      </c>
      <c r="J430" s="350">
        <v>4</v>
      </c>
      <c r="K430" s="351"/>
      <c r="L430" s="348">
        <v>1</v>
      </c>
    </row>
    <row r="431" spans="1:12" hidden="1">
      <c r="A431" s="334">
        <v>40480</v>
      </c>
      <c r="B431" s="334" t="s">
        <v>768</v>
      </c>
      <c r="C431" s="335">
        <v>728</v>
      </c>
      <c r="D431" s="334">
        <v>41208</v>
      </c>
      <c r="E431" s="338">
        <v>2</v>
      </c>
      <c r="F431" s="336">
        <v>0</v>
      </c>
      <c r="G431" s="336">
        <v>0</v>
      </c>
      <c r="H431" s="336">
        <v>4.5</v>
      </c>
      <c r="I431" s="336">
        <v>4.5</v>
      </c>
      <c r="J431" s="336">
        <v>4.5</v>
      </c>
      <c r="L431" s="335">
        <v>0</v>
      </c>
    </row>
    <row r="432" spans="1:12" hidden="1">
      <c r="A432" s="347">
        <v>40480</v>
      </c>
      <c r="B432" s="347" t="s">
        <v>769</v>
      </c>
      <c r="C432" s="348">
        <v>1092</v>
      </c>
      <c r="D432" s="347">
        <v>41572</v>
      </c>
      <c r="E432" s="349">
        <v>3</v>
      </c>
      <c r="F432" s="350">
        <v>2.4937</v>
      </c>
      <c r="G432" s="350">
        <v>2.4937</v>
      </c>
      <c r="H432" s="350">
        <v>5</v>
      </c>
      <c r="I432" s="350">
        <v>5</v>
      </c>
      <c r="J432" s="350">
        <v>5</v>
      </c>
      <c r="K432" s="351"/>
      <c r="L432" s="348">
        <v>1</v>
      </c>
    </row>
    <row r="433" spans="1:12" hidden="1">
      <c r="A433" s="334">
        <v>40484</v>
      </c>
      <c r="B433" s="334" t="s">
        <v>770</v>
      </c>
      <c r="C433" s="335">
        <v>35</v>
      </c>
      <c r="D433" s="334">
        <v>40519</v>
      </c>
      <c r="E433" s="338">
        <v>20</v>
      </c>
      <c r="F433" s="336">
        <v>5.0049999999999999</v>
      </c>
      <c r="G433" s="336">
        <v>5.0049999999999999</v>
      </c>
      <c r="H433" s="336">
        <v>1.46</v>
      </c>
      <c r="I433" s="336">
        <v>1.46</v>
      </c>
      <c r="J433" s="336">
        <v>1.46</v>
      </c>
      <c r="L433" s="335">
        <v>1</v>
      </c>
    </row>
    <row r="434" spans="1:12" hidden="1">
      <c r="A434" s="347">
        <v>40484</v>
      </c>
      <c r="B434" s="347" t="s">
        <v>771</v>
      </c>
      <c r="C434" s="348">
        <v>91</v>
      </c>
      <c r="D434" s="347">
        <v>40575</v>
      </c>
      <c r="E434" s="349">
        <v>20</v>
      </c>
      <c r="F434" s="350">
        <v>8.0436999999999994</v>
      </c>
      <c r="G434" s="350">
        <v>8.0436999999999994</v>
      </c>
      <c r="H434" s="350">
        <v>2.5</v>
      </c>
      <c r="I434" s="350">
        <v>2.5</v>
      </c>
      <c r="J434" s="350">
        <v>2.46</v>
      </c>
      <c r="K434" s="351"/>
      <c r="L434" s="348">
        <v>2</v>
      </c>
    </row>
    <row r="435" spans="1:12" hidden="1">
      <c r="A435" s="334">
        <v>40487</v>
      </c>
      <c r="B435" s="334" t="s">
        <v>772</v>
      </c>
      <c r="C435" s="335">
        <v>364</v>
      </c>
      <c r="D435" s="334">
        <v>40851</v>
      </c>
      <c r="E435" s="338">
        <v>5</v>
      </c>
      <c r="F435" s="336">
        <v>0.51729999999999998</v>
      </c>
      <c r="G435" s="336">
        <v>0</v>
      </c>
      <c r="H435" s="336">
        <v>0</v>
      </c>
      <c r="I435" s="336">
        <v>0</v>
      </c>
      <c r="J435" s="336">
        <v>0</v>
      </c>
      <c r="L435" s="335">
        <v>0</v>
      </c>
    </row>
    <row r="436" spans="1:12" hidden="1">
      <c r="A436" s="347">
        <v>40494</v>
      </c>
      <c r="B436" s="347" t="s">
        <v>773</v>
      </c>
      <c r="C436" s="348">
        <v>364</v>
      </c>
      <c r="D436" s="347">
        <v>40858</v>
      </c>
      <c r="E436" s="349">
        <v>5</v>
      </c>
      <c r="F436" s="350">
        <v>11</v>
      </c>
      <c r="G436" s="350">
        <v>5</v>
      </c>
      <c r="H436" s="350">
        <v>4</v>
      </c>
      <c r="I436" s="350">
        <v>4</v>
      </c>
      <c r="J436" s="350">
        <v>4</v>
      </c>
      <c r="K436" s="351"/>
      <c r="L436" s="348">
        <v>2</v>
      </c>
    </row>
    <row r="437" spans="1:12" hidden="1">
      <c r="A437" s="334">
        <v>40494</v>
      </c>
      <c r="B437" s="334" t="s">
        <v>774</v>
      </c>
      <c r="C437" s="335">
        <v>182</v>
      </c>
      <c r="D437" s="334">
        <v>40676</v>
      </c>
      <c r="E437" s="338">
        <v>7</v>
      </c>
      <c r="F437" s="336">
        <v>10.087300000000001</v>
      </c>
      <c r="G437" s="336">
        <v>7</v>
      </c>
      <c r="H437" s="336">
        <v>2.9899999999999998</v>
      </c>
      <c r="I437" s="336">
        <v>2.9899999999999998</v>
      </c>
      <c r="J437" s="336">
        <v>2.9899999999999998</v>
      </c>
      <c r="L437" s="335">
        <v>2</v>
      </c>
    </row>
    <row r="438" spans="1:12" hidden="1">
      <c r="A438" s="347">
        <v>40494</v>
      </c>
      <c r="B438" s="347" t="s">
        <v>775</v>
      </c>
      <c r="C438" s="348">
        <v>1092</v>
      </c>
      <c r="D438" s="347">
        <v>41586</v>
      </c>
      <c r="E438" s="349">
        <v>3</v>
      </c>
      <c r="F438" s="350">
        <v>0.99750000000000005</v>
      </c>
      <c r="G438" s="350">
        <v>0.99750000000000005</v>
      </c>
      <c r="H438" s="350">
        <v>5</v>
      </c>
      <c r="I438" s="350">
        <v>5</v>
      </c>
      <c r="J438" s="350">
        <v>5</v>
      </c>
      <c r="K438" s="351"/>
      <c r="L438" s="348">
        <v>1</v>
      </c>
    </row>
    <row r="439" spans="1:12" hidden="1">
      <c r="A439" s="334">
        <v>40494</v>
      </c>
      <c r="B439" s="334" t="s">
        <v>776</v>
      </c>
      <c r="C439" s="335">
        <v>728</v>
      </c>
      <c r="D439" s="334">
        <v>41222</v>
      </c>
      <c r="E439" s="338">
        <v>3</v>
      </c>
      <c r="F439" s="336">
        <v>0</v>
      </c>
      <c r="G439" s="336">
        <v>0</v>
      </c>
      <c r="H439" s="336">
        <v>4.5</v>
      </c>
      <c r="I439" s="336">
        <v>4.5</v>
      </c>
      <c r="J439" s="336">
        <v>0</v>
      </c>
      <c r="L439" s="335">
        <v>0</v>
      </c>
    </row>
    <row r="440" spans="1:12" hidden="1">
      <c r="A440" s="347">
        <v>40501</v>
      </c>
      <c r="B440" s="347" t="s">
        <v>777</v>
      </c>
      <c r="C440" s="348">
        <v>35</v>
      </c>
      <c r="D440" s="347">
        <v>40536</v>
      </c>
      <c r="E440" s="349">
        <v>20</v>
      </c>
      <c r="F440" s="350">
        <v>12.0146</v>
      </c>
      <c r="G440" s="350">
        <v>12.0146</v>
      </c>
      <c r="H440" s="350">
        <v>1.46</v>
      </c>
      <c r="I440" s="350">
        <v>1.46</v>
      </c>
      <c r="J440" s="350">
        <v>1.46</v>
      </c>
      <c r="K440" s="351"/>
      <c r="L440" s="348">
        <v>3</v>
      </c>
    </row>
    <row r="441" spans="1:12" hidden="1">
      <c r="A441" s="334">
        <v>40501</v>
      </c>
      <c r="B441" s="334" t="s">
        <v>778</v>
      </c>
      <c r="C441" s="335">
        <v>91</v>
      </c>
      <c r="D441" s="334">
        <v>40592</v>
      </c>
      <c r="E441" s="338">
        <v>15</v>
      </c>
      <c r="F441" s="336">
        <v>22.527200000000001</v>
      </c>
      <c r="G441" s="336">
        <v>15</v>
      </c>
      <c r="H441" s="336">
        <v>2.5</v>
      </c>
      <c r="I441" s="336">
        <v>2.5</v>
      </c>
      <c r="J441" s="336">
        <v>2.46</v>
      </c>
      <c r="L441" s="335">
        <v>4</v>
      </c>
    </row>
    <row r="442" spans="1:12" hidden="1">
      <c r="A442" s="347">
        <v>40501</v>
      </c>
      <c r="B442" s="347" t="s">
        <v>779</v>
      </c>
      <c r="C442" s="348">
        <v>364</v>
      </c>
      <c r="D442" s="347">
        <v>40865</v>
      </c>
      <c r="E442" s="349">
        <v>3</v>
      </c>
      <c r="F442" s="350">
        <v>0</v>
      </c>
      <c r="G442" s="350">
        <v>0</v>
      </c>
      <c r="H442" s="350">
        <v>0</v>
      </c>
      <c r="I442" s="350">
        <v>0</v>
      </c>
      <c r="J442" s="350">
        <v>0</v>
      </c>
      <c r="K442" s="351"/>
      <c r="L442" s="348">
        <v>0</v>
      </c>
    </row>
    <row r="443" spans="1:12" hidden="1">
      <c r="A443" s="334">
        <v>40505</v>
      </c>
      <c r="B443" s="334" t="s">
        <v>780</v>
      </c>
      <c r="C443" s="335">
        <v>182</v>
      </c>
      <c r="D443" s="334">
        <v>40687</v>
      </c>
      <c r="E443" s="338">
        <v>8</v>
      </c>
      <c r="F443" s="336">
        <v>22.416699999999999</v>
      </c>
      <c r="G443" s="336">
        <v>8</v>
      </c>
      <c r="H443" s="336">
        <v>2.91</v>
      </c>
      <c r="I443" s="336">
        <v>2.91</v>
      </c>
      <c r="J443" s="336">
        <v>2.85</v>
      </c>
      <c r="L443" s="335">
        <v>8</v>
      </c>
    </row>
    <row r="444" spans="1:12" hidden="1">
      <c r="A444" s="347">
        <v>40508</v>
      </c>
      <c r="B444" s="347" t="s">
        <v>781</v>
      </c>
      <c r="C444" s="348">
        <v>91</v>
      </c>
      <c r="D444" s="347">
        <v>40599</v>
      </c>
      <c r="E444" s="349">
        <v>20</v>
      </c>
      <c r="F444" s="350">
        <v>15.7201</v>
      </c>
      <c r="G444" s="350">
        <v>15.7201</v>
      </c>
      <c r="H444" s="350">
        <v>2.5</v>
      </c>
      <c r="I444" s="350">
        <v>2.5</v>
      </c>
      <c r="J444" s="350">
        <v>2.2999999999999998</v>
      </c>
      <c r="K444" s="351"/>
      <c r="L444" s="348">
        <v>7</v>
      </c>
    </row>
    <row r="445" spans="1:12" hidden="1">
      <c r="A445" s="334">
        <v>40508</v>
      </c>
      <c r="B445" s="334" t="s">
        <v>782</v>
      </c>
      <c r="C445" s="335">
        <v>364</v>
      </c>
      <c r="D445" s="334">
        <v>40872</v>
      </c>
      <c r="E445" s="338">
        <v>5</v>
      </c>
      <c r="F445" s="336">
        <v>6</v>
      </c>
      <c r="G445" s="336">
        <v>5</v>
      </c>
      <c r="H445" s="336">
        <v>4</v>
      </c>
      <c r="I445" s="336">
        <v>4</v>
      </c>
      <c r="J445" s="336">
        <v>4</v>
      </c>
      <c r="L445" s="335">
        <v>1</v>
      </c>
    </row>
    <row r="446" spans="1:12" hidden="1">
      <c r="A446" s="347">
        <v>40508</v>
      </c>
      <c r="B446" s="347" t="s">
        <v>783</v>
      </c>
      <c r="C446" s="348">
        <v>728</v>
      </c>
      <c r="D446" s="347">
        <v>41236</v>
      </c>
      <c r="E446" s="349">
        <v>2</v>
      </c>
      <c r="F446" s="350">
        <v>0</v>
      </c>
      <c r="G446" s="350">
        <v>0</v>
      </c>
      <c r="H446" s="350">
        <v>4.5</v>
      </c>
      <c r="I446" s="350">
        <v>4.5</v>
      </c>
      <c r="J446" s="350">
        <v>0</v>
      </c>
      <c r="K446" s="351"/>
      <c r="L446" s="348">
        <v>0</v>
      </c>
    </row>
    <row r="447" spans="1:12" hidden="1">
      <c r="A447" s="334">
        <v>40508</v>
      </c>
      <c r="B447" s="334" t="s">
        <v>784</v>
      </c>
      <c r="C447" s="335">
        <v>1092</v>
      </c>
      <c r="D447" s="334">
        <v>41600</v>
      </c>
      <c r="E447" s="338">
        <v>3</v>
      </c>
      <c r="F447" s="336">
        <v>3</v>
      </c>
      <c r="G447" s="336">
        <v>3</v>
      </c>
      <c r="H447" s="336">
        <v>5</v>
      </c>
      <c r="I447" s="336">
        <v>5</v>
      </c>
      <c r="J447" s="336">
        <v>5</v>
      </c>
      <c r="L447" s="335">
        <v>1</v>
      </c>
    </row>
    <row r="448" spans="1:12" hidden="1">
      <c r="A448" s="347">
        <v>40515</v>
      </c>
      <c r="B448" s="347" t="s">
        <v>1068</v>
      </c>
      <c r="C448" s="348">
        <v>91</v>
      </c>
      <c r="D448" s="347">
        <v>40606</v>
      </c>
      <c r="E448" s="349">
        <v>20</v>
      </c>
      <c r="F448" s="350">
        <v>7.8320999999999996</v>
      </c>
      <c r="G448" s="350">
        <v>7.8320999999999996</v>
      </c>
      <c r="H448" s="350">
        <v>2.5</v>
      </c>
      <c r="I448" s="350">
        <v>2.5</v>
      </c>
      <c r="J448" s="350">
        <v>2.5</v>
      </c>
      <c r="K448" s="351"/>
      <c r="L448" s="348">
        <v>3</v>
      </c>
    </row>
    <row r="449" spans="1:12" hidden="1">
      <c r="A449" s="334">
        <v>40515</v>
      </c>
      <c r="B449" s="334" t="s">
        <v>1069</v>
      </c>
      <c r="C449" s="335">
        <v>364</v>
      </c>
      <c r="D449" s="334">
        <v>40879</v>
      </c>
      <c r="E449" s="338">
        <v>3</v>
      </c>
      <c r="F449" s="336">
        <v>0</v>
      </c>
      <c r="G449" s="336">
        <v>0</v>
      </c>
      <c r="H449" s="336">
        <v>0</v>
      </c>
      <c r="I449" s="336">
        <v>0</v>
      </c>
      <c r="J449" s="336">
        <v>0</v>
      </c>
      <c r="L449" s="335">
        <v>0</v>
      </c>
    </row>
    <row r="450" spans="1:12" hidden="1">
      <c r="A450" s="347">
        <v>40515</v>
      </c>
      <c r="B450" s="347" t="s">
        <v>1070</v>
      </c>
      <c r="C450" s="348">
        <v>35</v>
      </c>
      <c r="D450" s="347">
        <v>40550</v>
      </c>
      <c r="E450" s="349">
        <v>20</v>
      </c>
      <c r="F450" s="350">
        <v>6.0103</v>
      </c>
      <c r="G450" s="350">
        <v>6.0103</v>
      </c>
      <c r="H450" s="350">
        <v>1.46</v>
      </c>
      <c r="I450" s="350">
        <v>1.46</v>
      </c>
      <c r="J450" s="350">
        <v>1.46</v>
      </c>
      <c r="K450" s="351"/>
      <c r="L450" s="348">
        <v>2</v>
      </c>
    </row>
    <row r="451" spans="1:12" hidden="1">
      <c r="A451" s="334">
        <v>40519</v>
      </c>
      <c r="B451" s="334" t="s">
        <v>1071</v>
      </c>
      <c r="C451" s="335">
        <v>182</v>
      </c>
      <c r="D451" s="334">
        <v>40701</v>
      </c>
      <c r="E451" s="338">
        <v>7</v>
      </c>
      <c r="F451" s="336">
        <v>3.0421</v>
      </c>
      <c r="G451" s="336">
        <v>3.0421</v>
      </c>
      <c r="H451" s="336">
        <v>2.9899999999999998</v>
      </c>
      <c r="I451" s="336">
        <v>2.9899999999999998</v>
      </c>
      <c r="J451" s="336">
        <v>2.9899999999999998</v>
      </c>
      <c r="L451" s="335">
        <v>3</v>
      </c>
    </row>
    <row r="452" spans="1:12" hidden="1">
      <c r="A452" s="347">
        <v>40522</v>
      </c>
      <c r="B452" s="347" t="s">
        <v>1072</v>
      </c>
      <c r="C452" s="348">
        <v>364</v>
      </c>
      <c r="D452" s="347">
        <v>40886</v>
      </c>
      <c r="E452" s="349">
        <v>5</v>
      </c>
      <c r="F452" s="350">
        <v>6.3860000000000001</v>
      </c>
      <c r="G452" s="350">
        <v>5</v>
      </c>
      <c r="H452" s="350">
        <v>4</v>
      </c>
      <c r="I452" s="350">
        <v>4</v>
      </c>
      <c r="J452" s="350">
        <v>4</v>
      </c>
      <c r="K452" s="351"/>
      <c r="L452" s="348">
        <v>2</v>
      </c>
    </row>
    <row r="453" spans="1:12" hidden="1">
      <c r="A453" s="334">
        <v>40522</v>
      </c>
      <c r="B453" s="334" t="s">
        <v>1073</v>
      </c>
      <c r="C453" s="335">
        <v>728</v>
      </c>
      <c r="D453" s="334">
        <v>41250</v>
      </c>
      <c r="E453" s="338">
        <v>3</v>
      </c>
      <c r="F453" s="336">
        <v>0</v>
      </c>
      <c r="G453" s="336">
        <v>0</v>
      </c>
      <c r="H453" s="336">
        <v>0</v>
      </c>
      <c r="I453" s="336">
        <v>0</v>
      </c>
      <c r="J453" s="336">
        <v>0</v>
      </c>
      <c r="L453" s="335">
        <v>0</v>
      </c>
    </row>
    <row r="454" spans="1:12" hidden="1">
      <c r="A454" s="347">
        <v>40522</v>
      </c>
      <c r="B454" s="347" t="s">
        <v>1074</v>
      </c>
      <c r="C454" s="348">
        <v>1092</v>
      </c>
      <c r="D454" s="347">
        <v>41614</v>
      </c>
      <c r="E454" s="349">
        <v>3</v>
      </c>
      <c r="F454" s="350">
        <v>3</v>
      </c>
      <c r="G454" s="350">
        <v>3</v>
      </c>
      <c r="H454" s="350">
        <v>5</v>
      </c>
      <c r="I454" s="350">
        <v>5</v>
      </c>
      <c r="J454" s="350">
        <v>5</v>
      </c>
      <c r="K454" s="351"/>
      <c r="L454" s="348">
        <v>1</v>
      </c>
    </row>
    <row r="455" spans="1:12" hidden="1">
      <c r="A455" s="334">
        <v>40526</v>
      </c>
      <c r="B455" s="334" t="s">
        <v>1075</v>
      </c>
      <c r="C455" s="335">
        <v>35</v>
      </c>
      <c r="D455" s="334">
        <v>40561</v>
      </c>
      <c r="E455" s="338">
        <v>20</v>
      </c>
      <c r="F455" s="336">
        <v>11.6137</v>
      </c>
      <c r="G455" s="336">
        <v>11.6137</v>
      </c>
      <c r="H455" s="336">
        <v>1.46</v>
      </c>
      <c r="I455" s="336">
        <v>1.46</v>
      </c>
      <c r="J455" s="336">
        <v>1.46</v>
      </c>
      <c r="L455" s="335">
        <v>5</v>
      </c>
    </row>
    <row r="456" spans="1:12" hidden="1">
      <c r="A456" s="347">
        <v>40529</v>
      </c>
      <c r="B456" s="347" t="s">
        <v>1076</v>
      </c>
      <c r="C456" s="348">
        <v>91</v>
      </c>
      <c r="D456" s="347">
        <v>40620</v>
      </c>
      <c r="E456" s="349">
        <v>15</v>
      </c>
      <c r="F456" s="350">
        <v>11.159700000000001</v>
      </c>
      <c r="G456" s="350">
        <v>11.159700000000001</v>
      </c>
      <c r="H456" s="350">
        <v>2.5</v>
      </c>
      <c r="I456" s="350">
        <v>2.5</v>
      </c>
      <c r="J456" s="350">
        <v>2.5</v>
      </c>
      <c r="K456" s="351"/>
      <c r="L456" s="348">
        <v>4</v>
      </c>
    </row>
    <row r="457" spans="1:12" hidden="1">
      <c r="A457" s="334">
        <v>40529</v>
      </c>
      <c r="B457" s="334" t="s">
        <v>1077</v>
      </c>
      <c r="C457" s="335">
        <v>364</v>
      </c>
      <c r="D457" s="334">
        <v>40893</v>
      </c>
      <c r="E457" s="338">
        <v>3</v>
      </c>
      <c r="F457" s="336">
        <v>0</v>
      </c>
      <c r="G457" s="336">
        <v>0</v>
      </c>
      <c r="H457" s="336">
        <v>0</v>
      </c>
      <c r="I457" s="336">
        <v>0</v>
      </c>
      <c r="J457" s="336">
        <v>0</v>
      </c>
      <c r="L457" s="335">
        <v>0</v>
      </c>
    </row>
    <row r="458" spans="1:12" hidden="1">
      <c r="A458" s="347">
        <v>40533</v>
      </c>
      <c r="B458" s="347" t="s">
        <v>1078</v>
      </c>
      <c r="C458" s="348">
        <v>182</v>
      </c>
      <c r="D458" s="347">
        <v>40715</v>
      </c>
      <c r="E458" s="349">
        <v>8</v>
      </c>
      <c r="F458" s="350">
        <v>0</v>
      </c>
      <c r="G458" s="350">
        <v>0</v>
      </c>
      <c r="H458" s="350">
        <v>0</v>
      </c>
      <c r="I458" s="350">
        <v>0</v>
      </c>
      <c r="J458" s="350">
        <v>0</v>
      </c>
      <c r="K458" s="351"/>
      <c r="L458" s="348">
        <v>0</v>
      </c>
    </row>
    <row r="459" spans="1:12" hidden="1">
      <c r="A459" s="334">
        <v>40536</v>
      </c>
      <c r="B459" s="334" t="s">
        <v>1079</v>
      </c>
      <c r="C459" s="335">
        <v>364</v>
      </c>
      <c r="D459" s="334">
        <v>40900</v>
      </c>
      <c r="E459" s="338">
        <v>5</v>
      </c>
      <c r="F459" s="336">
        <v>5.4767999999999999</v>
      </c>
      <c r="G459" s="336">
        <v>5</v>
      </c>
      <c r="H459" s="336">
        <v>4</v>
      </c>
      <c r="I459" s="336">
        <v>4</v>
      </c>
      <c r="J459" s="336">
        <v>4</v>
      </c>
      <c r="L459" s="335">
        <v>3</v>
      </c>
    </row>
    <row r="460" spans="1:12" hidden="1">
      <c r="A460" s="347">
        <v>40536</v>
      </c>
      <c r="B460" s="347" t="s">
        <v>1080</v>
      </c>
      <c r="C460" s="348">
        <v>728</v>
      </c>
      <c r="D460" s="347">
        <v>41264</v>
      </c>
      <c r="E460" s="349">
        <v>2</v>
      </c>
      <c r="F460" s="350">
        <v>0</v>
      </c>
      <c r="G460" s="350">
        <v>0</v>
      </c>
      <c r="H460" s="350">
        <v>4.5</v>
      </c>
      <c r="I460" s="350">
        <v>4.5</v>
      </c>
      <c r="J460" s="350">
        <v>4.5</v>
      </c>
      <c r="K460" s="351"/>
      <c r="L460" s="348">
        <v>0</v>
      </c>
    </row>
    <row r="461" spans="1:12" hidden="1">
      <c r="A461" s="334">
        <v>40536</v>
      </c>
      <c r="B461" s="334" t="s">
        <v>1081</v>
      </c>
      <c r="C461" s="335">
        <v>1092</v>
      </c>
      <c r="D461" s="334">
        <v>41628</v>
      </c>
      <c r="E461" s="338">
        <v>3</v>
      </c>
      <c r="F461" s="336">
        <v>0</v>
      </c>
      <c r="G461" s="336">
        <v>0</v>
      </c>
      <c r="H461" s="336">
        <v>5</v>
      </c>
      <c r="I461" s="336">
        <v>5</v>
      </c>
      <c r="J461" s="336">
        <v>5</v>
      </c>
      <c r="L461" s="335">
        <v>0</v>
      </c>
    </row>
    <row r="462" spans="1:12" hidden="1">
      <c r="A462" s="347">
        <v>40575</v>
      </c>
      <c r="B462" s="347" t="s">
        <v>1082</v>
      </c>
      <c r="C462" s="348">
        <v>35</v>
      </c>
      <c r="D462" s="347">
        <v>40610</v>
      </c>
      <c r="E462" s="349">
        <v>10</v>
      </c>
      <c r="F462" s="350">
        <v>37.786900000000003</v>
      </c>
      <c r="G462" s="350">
        <v>10</v>
      </c>
      <c r="H462" s="350">
        <v>1.46</v>
      </c>
      <c r="I462" s="350">
        <v>1.46</v>
      </c>
      <c r="J462" s="350">
        <v>1.3599999999999999</v>
      </c>
      <c r="K462" s="351"/>
      <c r="L462" s="348">
        <v>5</v>
      </c>
    </row>
    <row r="463" spans="1:12" hidden="1">
      <c r="A463" s="334">
        <v>40578</v>
      </c>
      <c r="B463" s="334" t="s">
        <v>1083</v>
      </c>
      <c r="C463" s="335">
        <v>91</v>
      </c>
      <c r="D463" s="334">
        <v>40669</v>
      </c>
      <c r="E463" s="338">
        <v>4</v>
      </c>
      <c r="F463" s="336">
        <v>25.308399999999999</v>
      </c>
      <c r="G463" s="336">
        <v>4</v>
      </c>
      <c r="H463" s="336">
        <v>1.6099999999999999</v>
      </c>
      <c r="I463" s="336">
        <v>1.6099999999999999</v>
      </c>
      <c r="J463" s="336">
        <v>1.6099999999999999</v>
      </c>
      <c r="L463" s="335">
        <v>6</v>
      </c>
    </row>
    <row r="464" spans="1:12" hidden="1">
      <c r="A464" s="347">
        <v>40582</v>
      </c>
      <c r="B464" s="347" t="s">
        <v>1084</v>
      </c>
      <c r="C464" s="348">
        <v>182</v>
      </c>
      <c r="D464" s="347">
        <v>40764</v>
      </c>
      <c r="E464" s="349">
        <v>3</v>
      </c>
      <c r="F464" s="350">
        <v>12.611599999999999</v>
      </c>
      <c r="G464" s="350">
        <v>3</v>
      </c>
      <c r="H464" s="350">
        <v>2.0099999999999998</v>
      </c>
      <c r="I464" s="350">
        <v>2.0099999999999998</v>
      </c>
      <c r="J464" s="350">
        <v>2.0099999999999998</v>
      </c>
      <c r="K464" s="351"/>
      <c r="L464" s="348">
        <v>4</v>
      </c>
    </row>
    <row r="465" spans="1:12" hidden="1">
      <c r="A465" s="334">
        <v>40585</v>
      </c>
      <c r="B465" s="334" t="s">
        <v>1085</v>
      </c>
      <c r="C465" s="335">
        <v>364</v>
      </c>
      <c r="D465" s="334">
        <v>40949</v>
      </c>
      <c r="E465" s="338">
        <v>3</v>
      </c>
      <c r="F465" s="336">
        <v>10.628500000000001</v>
      </c>
      <c r="G465" s="336">
        <v>3</v>
      </c>
      <c r="H465" s="336">
        <v>4</v>
      </c>
      <c r="I465" s="336">
        <v>4</v>
      </c>
      <c r="J465" s="336">
        <v>4</v>
      </c>
      <c r="L465" s="335">
        <v>5</v>
      </c>
    </row>
    <row r="466" spans="1:12" hidden="1">
      <c r="A466" s="347">
        <v>40589</v>
      </c>
      <c r="B466" s="347" t="s">
        <v>1086</v>
      </c>
      <c r="C466" s="348">
        <v>91</v>
      </c>
      <c r="D466" s="347">
        <v>40680</v>
      </c>
      <c r="E466" s="349">
        <v>7</v>
      </c>
      <c r="F466" s="350">
        <v>17.824400000000001</v>
      </c>
      <c r="G466" s="350">
        <v>7</v>
      </c>
      <c r="H466" s="350">
        <v>1.6099999999999999</v>
      </c>
      <c r="I466" s="350">
        <v>1.6099999999999999</v>
      </c>
      <c r="J466" s="350">
        <v>1.49</v>
      </c>
      <c r="K466" s="351"/>
      <c r="L466" s="348">
        <v>5</v>
      </c>
    </row>
    <row r="467" spans="1:12" hidden="1">
      <c r="A467" s="334">
        <v>40592</v>
      </c>
      <c r="B467" s="334" t="s">
        <v>1087</v>
      </c>
      <c r="C467" s="335">
        <v>35</v>
      </c>
      <c r="D467" s="334">
        <v>40627</v>
      </c>
      <c r="E467" s="338">
        <v>5</v>
      </c>
      <c r="F467" s="336">
        <v>15.105700000000001</v>
      </c>
      <c r="G467" s="336">
        <v>5</v>
      </c>
      <c r="H467" s="336">
        <v>1.1499999999999999</v>
      </c>
      <c r="I467" s="336">
        <v>1.1499999999999999</v>
      </c>
      <c r="J467" s="336">
        <v>1.1499999999999999</v>
      </c>
      <c r="L467" s="335">
        <v>2</v>
      </c>
    </row>
    <row r="468" spans="1:12" hidden="1">
      <c r="A468" s="347">
        <v>40596</v>
      </c>
      <c r="B468" s="347" t="s">
        <v>1088</v>
      </c>
      <c r="C468" s="348">
        <v>182</v>
      </c>
      <c r="D468" s="347">
        <v>40778</v>
      </c>
      <c r="E468" s="349">
        <v>4</v>
      </c>
      <c r="F468" s="350">
        <v>10.5755</v>
      </c>
      <c r="G468" s="350">
        <v>4</v>
      </c>
      <c r="H468" s="350">
        <v>1.7999999999999998</v>
      </c>
      <c r="I468" s="350">
        <v>1.7999999999999998</v>
      </c>
      <c r="J468" s="350">
        <v>1.7999999999999998</v>
      </c>
      <c r="K468" s="351"/>
      <c r="L468" s="348">
        <v>3</v>
      </c>
    </row>
    <row r="469" spans="1:12" hidden="1">
      <c r="A469" s="334">
        <v>40599</v>
      </c>
      <c r="B469" s="334" t="s">
        <v>1089</v>
      </c>
      <c r="C469" s="335">
        <v>1092</v>
      </c>
      <c r="D469" s="334">
        <v>41691</v>
      </c>
      <c r="E469" s="338">
        <v>2</v>
      </c>
      <c r="F469" s="336">
        <v>13.328200000000001</v>
      </c>
      <c r="G469" s="336">
        <v>2</v>
      </c>
      <c r="H469" s="336">
        <v>5</v>
      </c>
      <c r="I469" s="336">
        <v>5</v>
      </c>
      <c r="J469" s="336">
        <v>5</v>
      </c>
      <c r="L469" s="335">
        <v>6</v>
      </c>
    </row>
    <row r="470" spans="1:12" hidden="1">
      <c r="A470" s="347">
        <v>40599</v>
      </c>
      <c r="B470" s="347" t="s">
        <v>1090</v>
      </c>
      <c r="C470" s="348">
        <v>364</v>
      </c>
      <c r="D470" s="347">
        <v>40963</v>
      </c>
      <c r="E470" s="349">
        <v>3</v>
      </c>
      <c r="F470" s="350">
        <v>6.2915000000000001</v>
      </c>
      <c r="G470" s="350">
        <v>3</v>
      </c>
      <c r="H470" s="350">
        <v>4</v>
      </c>
      <c r="I470" s="350">
        <v>4</v>
      </c>
      <c r="J470" s="350">
        <v>4</v>
      </c>
      <c r="K470" s="351"/>
      <c r="L470" s="348">
        <v>3</v>
      </c>
    </row>
    <row r="471" spans="1:12" hidden="1">
      <c r="A471" s="334">
        <v>40603</v>
      </c>
      <c r="B471" s="334" t="s">
        <v>1091</v>
      </c>
      <c r="C471" s="335">
        <v>35</v>
      </c>
      <c r="D471" s="334">
        <v>40638</v>
      </c>
      <c r="E471" s="338">
        <v>5</v>
      </c>
      <c r="F471" s="336">
        <v>18.509799999999998</v>
      </c>
      <c r="G471" s="336">
        <v>5</v>
      </c>
      <c r="H471" s="336">
        <v>1.1499999999999999</v>
      </c>
      <c r="I471" s="336">
        <v>1.1499999999999999</v>
      </c>
      <c r="J471" s="336">
        <v>1.04</v>
      </c>
      <c r="L471" s="335">
        <v>4</v>
      </c>
    </row>
    <row r="472" spans="1:12" hidden="1">
      <c r="A472" s="347">
        <v>40606</v>
      </c>
      <c r="B472" s="347" t="s">
        <v>1092</v>
      </c>
      <c r="C472" s="348">
        <v>91</v>
      </c>
      <c r="D472" s="347">
        <v>40697</v>
      </c>
      <c r="E472" s="349">
        <v>7</v>
      </c>
      <c r="F472" s="350">
        <v>13.283899999999999</v>
      </c>
      <c r="G472" s="350">
        <v>7</v>
      </c>
      <c r="H472" s="350">
        <v>2.42</v>
      </c>
      <c r="I472" s="350">
        <v>2.42</v>
      </c>
      <c r="J472" s="350">
        <v>1.81</v>
      </c>
      <c r="K472" s="351"/>
      <c r="L472" s="348">
        <v>4</v>
      </c>
    </row>
    <row r="473" spans="1:12" hidden="1">
      <c r="A473" s="334">
        <v>40613</v>
      </c>
      <c r="B473" s="334" t="s">
        <v>1093</v>
      </c>
      <c r="C473" s="335">
        <v>364</v>
      </c>
      <c r="D473" s="334">
        <v>40977</v>
      </c>
      <c r="E473" s="338">
        <v>3</v>
      </c>
      <c r="F473" s="336">
        <v>9.1008999999999993</v>
      </c>
      <c r="G473" s="336">
        <v>3</v>
      </c>
      <c r="H473" s="336">
        <v>4</v>
      </c>
      <c r="I473" s="336">
        <v>4</v>
      </c>
      <c r="J473" s="336">
        <v>4</v>
      </c>
      <c r="L473" s="335">
        <v>5</v>
      </c>
    </row>
    <row r="474" spans="1:12" hidden="1">
      <c r="A474" s="347">
        <v>40613</v>
      </c>
      <c r="B474" s="347" t="s">
        <v>1094</v>
      </c>
      <c r="C474" s="348">
        <v>182</v>
      </c>
      <c r="D474" s="347">
        <v>40795</v>
      </c>
      <c r="E474" s="349">
        <v>3</v>
      </c>
      <c r="F474" s="350">
        <v>5.0229999999999997</v>
      </c>
      <c r="G474" s="350">
        <v>3</v>
      </c>
      <c r="H474" s="350">
        <v>1.5</v>
      </c>
      <c r="I474" s="350">
        <v>1.5</v>
      </c>
      <c r="J474" s="350">
        <v>1.5</v>
      </c>
      <c r="K474" s="351"/>
      <c r="L474" s="348">
        <v>2</v>
      </c>
    </row>
    <row r="475" spans="1:12" hidden="1">
      <c r="A475" s="334">
        <v>40620</v>
      </c>
      <c r="B475" s="334" t="s">
        <v>1095</v>
      </c>
      <c r="C475" s="335">
        <v>91</v>
      </c>
      <c r="D475" s="334">
        <v>40711</v>
      </c>
      <c r="E475" s="338">
        <v>5</v>
      </c>
      <c r="F475" s="336">
        <v>10.678000000000001</v>
      </c>
      <c r="G475" s="336">
        <v>5</v>
      </c>
      <c r="H475" s="336">
        <v>1.29</v>
      </c>
      <c r="I475" s="336">
        <v>1.29</v>
      </c>
      <c r="J475" s="336">
        <v>1.25</v>
      </c>
      <c r="L475" s="335">
        <v>4</v>
      </c>
    </row>
    <row r="476" spans="1:12" hidden="1">
      <c r="A476" s="347">
        <v>40631</v>
      </c>
      <c r="B476" s="347" t="s">
        <v>1096</v>
      </c>
      <c r="C476" s="348">
        <v>364</v>
      </c>
      <c r="D476" s="347">
        <v>40995</v>
      </c>
      <c r="E476" s="349">
        <v>3</v>
      </c>
      <c r="F476" s="350">
        <v>8.4283000000000001</v>
      </c>
      <c r="G476" s="350">
        <v>3</v>
      </c>
      <c r="H476" s="350">
        <v>4</v>
      </c>
      <c r="I476" s="350">
        <v>4</v>
      </c>
      <c r="J476" s="350">
        <v>4</v>
      </c>
      <c r="K476" s="351"/>
      <c r="L476" s="348">
        <v>3</v>
      </c>
    </row>
    <row r="477" spans="1:12" hidden="1">
      <c r="A477" s="334">
        <v>40631</v>
      </c>
      <c r="B477" s="334" t="s">
        <v>1097</v>
      </c>
      <c r="C477" s="335">
        <v>182</v>
      </c>
      <c r="D477" s="334">
        <v>40813</v>
      </c>
      <c r="E477" s="338">
        <v>4</v>
      </c>
      <c r="F477" s="336">
        <v>9.8295999999999992</v>
      </c>
      <c r="G477" s="336">
        <v>4</v>
      </c>
      <c r="H477" s="336">
        <v>1.5</v>
      </c>
      <c r="I477" s="336">
        <v>1.5</v>
      </c>
      <c r="J477" s="336">
        <v>1.47</v>
      </c>
      <c r="L477" s="335">
        <v>3</v>
      </c>
    </row>
    <row r="478" spans="1:12" hidden="1">
      <c r="A478" s="347">
        <v>40638</v>
      </c>
      <c r="B478" s="347" t="s">
        <v>1098</v>
      </c>
      <c r="C478" s="348">
        <v>35</v>
      </c>
      <c r="D478" s="347">
        <v>40673</v>
      </c>
      <c r="E478" s="349">
        <v>5</v>
      </c>
      <c r="F478" s="350">
        <v>10.9954</v>
      </c>
      <c r="G478" s="350">
        <v>5</v>
      </c>
      <c r="H478" s="350">
        <v>0.94000000000000006</v>
      </c>
      <c r="I478" s="350">
        <v>0.94000000000000006</v>
      </c>
      <c r="J478" s="350">
        <v>0.94000000000000006</v>
      </c>
      <c r="K478" s="351"/>
      <c r="L478" s="348">
        <v>2</v>
      </c>
    </row>
    <row r="479" spans="1:12" hidden="1">
      <c r="A479" s="334">
        <v>40641</v>
      </c>
      <c r="B479" s="334" t="s">
        <v>1099</v>
      </c>
      <c r="C479" s="335">
        <v>91</v>
      </c>
      <c r="D479" s="334">
        <v>40732</v>
      </c>
      <c r="E479" s="338">
        <v>5</v>
      </c>
      <c r="F479" s="336">
        <v>7.5029000000000003</v>
      </c>
      <c r="G479" s="336">
        <v>5</v>
      </c>
      <c r="H479" s="336">
        <v>1.29</v>
      </c>
      <c r="I479" s="336">
        <v>1.29</v>
      </c>
      <c r="J479" s="336">
        <v>1.29</v>
      </c>
      <c r="L479" s="335">
        <v>2</v>
      </c>
    </row>
    <row r="480" spans="1:12" hidden="1">
      <c r="A480" s="347">
        <v>40645</v>
      </c>
      <c r="B480" s="347" t="s">
        <v>1100</v>
      </c>
      <c r="C480" s="348">
        <v>182</v>
      </c>
      <c r="D480" s="347">
        <v>40827</v>
      </c>
      <c r="E480" s="349">
        <v>3</v>
      </c>
      <c r="F480" s="350">
        <v>5.6193</v>
      </c>
      <c r="G480" s="350">
        <v>3</v>
      </c>
      <c r="H480" s="350">
        <v>1.5599999999999998</v>
      </c>
      <c r="I480" s="350">
        <v>1.5599999999999998</v>
      </c>
      <c r="J480" s="350">
        <v>1.5599999999999998</v>
      </c>
      <c r="K480" s="351"/>
      <c r="L480" s="348">
        <v>2</v>
      </c>
    </row>
    <row r="481" spans="1:12" hidden="1">
      <c r="A481" s="334">
        <v>40648</v>
      </c>
      <c r="B481" s="334" t="s">
        <v>1101</v>
      </c>
      <c r="C481" s="335">
        <v>364</v>
      </c>
      <c r="D481" s="334">
        <v>41012</v>
      </c>
      <c r="E481" s="338">
        <v>2</v>
      </c>
      <c r="F481" s="336">
        <v>4.9882999999999997</v>
      </c>
      <c r="G481" s="336">
        <v>2</v>
      </c>
      <c r="H481" s="336">
        <v>4</v>
      </c>
      <c r="I481" s="336">
        <v>4</v>
      </c>
      <c r="J481" s="336">
        <v>4</v>
      </c>
      <c r="L481" s="335">
        <v>3</v>
      </c>
    </row>
    <row r="482" spans="1:12" hidden="1">
      <c r="A482" s="347">
        <v>40648</v>
      </c>
      <c r="B482" s="347" t="s">
        <v>1102</v>
      </c>
      <c r="C482" s="348">
        <v>728</v>
      </c>
      <c r="D482" s="347">
        <v>41376</v>
      </c>
      <c r="E482" s="349">
        <v>2</v>
      </c>
      <c r="F482" s="350">
        <v>2.9903</v>
      </c>
      <c r="G482" s="350">
        <v>2</v>
      </c>
      <c r="H482" s="350">
        <v>4.5</v>
      </c>
      <c r="I482" s="350">
        <v>4.5</v>
      </c>
      <c r="J482" s="350">
        <v>4.5</v>
      </c>
      <c r="K482" s="351"/>
      <c r="L482" s="348">
        <v>2</v>
      </c>
    </row>
    <row r="483" spans="1:12" hidden="1">
      <c r="A483" s="334">
        <v>40652</v>
      </c>
      <c r="B483" s="334" t="s">
        <v>1103</v>
      </c>
      <c r="C483" s="335">
        <v>35</v>
      </c>
      <c r="D483" s="334">
        <v>40687</v>
      </c>
      <c r="E483" s="338">
        <v>5</v>
      </c>
      <c r="F483" s="336">
        <v>5.9904999999999999</v>
      </c>
      <c r="G483" s="336">
        <v>5</v>
      </c>
      <c r="H483" s="336">
        <v>1.04</v>
      </c>
      <c r="I483" s="336">
        <v>1.04</v>
      </c>
      <c r="J483" s="336">
        <v>1.04</v>
      </c>
      <c r="L483" s="335">
        <v>1</v>
      </c>
    </row>
    <row r="484" spans="1:12" hidden="1">
      <c r="A484" s="347">
        <v>40659</v>
      </c>
      <c r="B484" s="347" t="s">
        <v>1104</v>
      </c>
      <c r="C484" s="348">
        <v>182</v>
      </c>
      <c r="D484" s="347">
        <v>40841</v>
      </c>
      <c r="E484" s="349">
        <v>4</v>
      </c>
      <c r="F484" s="350">
        <v>5.0125000000000002</v>
      </c>
      <c r="G484" s="350">
        <v>4</v>
      </c>
      <c r="H484" s="350">
        <v>2.9899999999999998</v>
      </c>
      <c r="I484" s="350">
        <v>2.9899999999999998</v>
      </c>
      <c r="J484" s="350">
        <v>2.87</v>
      </c>
      <c r="K484" s="351"/>
      <c r="L484" s="348">
        <v>2</v>
      </c>
    </row>
    <row r="485" spans="1:12" hidden="1">
      <c r="A485" s="334">
        <v>40662</v>
      </c>
      <c r="B485" s="334" t="s">
        <v>1105</v>
      </c>
      <c r="C485" s="335">
        <v>364</v>
      </c>
      <c r="D485" s="334">
        <v>41026</v>
      </c>
      <c r="E485" s="338">
        <v>3</v>
      </c>
      <c r="F485" s="336">
        <v>8.0422999999999991</v>
      </c>
      <c r="G485" s="336">
        <v>3</v>
      </c>
      <c r="H485" s="336">
        <v>4</v>
      </c>
      <c r="I485" s="336">
        <v>4</v>
      </c>
      <c r="J485" s="336">
        <v>4</v>
      </c>
      <c r="L485" s="335">
        <v>5</v>
      </c>
    </row>
    <row r="486" spans="1:12" hidden="1">
      <c r="A486" s="347">
        <v>40662</v>
      </c>
      <c r="B486" s="347" t="s">
        <v>1106</v>
      </c>
      <c r="C486" s="348">
        <v>1092</v>
      </c>
      <c r="D486" s="347">
        <v>41754</v>
      </c>
      <c r="E486" s="349">
        <v>2</v>
      </c>
      <c r="F486" s="350">
        <v>2.3403999999999998</v>
      </c>
      <c r="G486" s="350">
        <v>2</v>
      </c>
      <c r="H486" s="350">
        <v>5</v>
      </c>
      <c r="I486" s="350">
        <v>5</v>
      </c>
      <c r="J486" s="350">
        <v>5</v>
      </c>
      <c r="K486" s="351"/>
      <c r="L486" s="348">
        <v>2</v>
      </c>
    </row>
    <row r="487" spans="1:12" hidden="1">
      <c r="A487" s="334">
        <v>40666</v>
      </c>
      <c r="B487" s="334" t="s">
        <v>1773</v>
      </c>
      <c r="C487" s="335">
        <v>35</v>
      </c>
      <c r="D487" s="334">
        <v>40701</v>
      </c>
      <c r="E487" s="338">
        <v>5</v>
      </c>
      <c r="F487" s="336">
        <v>7.0021000000000004</v>
      </c>
      <c r="G487" s="336">
        <v>1.0009999999999999</v>
      </c>
      <c r="H487" s="336">
        <v>1.46</v>
      </c>
      <c r="I487" s="336">
        <v>1.46</v>
      </c>
      <c r="J487" s="336">
        <v>1.46</v>
      </c>
      <c r="L487" s="335">
        <v>2</v>
      </c>
    </row>
    <row r="488" spans="1:12" hidden="1">
      <c r="A488" s="347">
        <v>40669</v>
      </c>
      <c r="B488" s="347" t="s">
        <v>1196</v>
      </c>
      <c r="C488" s="348">
        <v>91</v>
      </c>
      <c r="D488" s="347">
        <v>40760</v>
      </c>
      <c r="E488" s="349">
        <v>5</v>
      </c>
      <c r="F488" s="350">
        <v>5.5058999999999996</v>
      </c>
      <c r="G488" s="350">
        <v>5</v>
      </c>
      <c r="H488" s="350">
        <v>2.2200000000000002</v>
      </c>
      <c r="I488" s="350">
        <v>2.2200000000000002</v>
      </c>
      <c r="J488" s="350">
        <v>2.06</v>
      </c>
      <c r="K488" s="351"/>
      <c r="L488" s="348">
        <v>2</v>
      </c>
    </row>
    <row r="489" spans="1:12" hidden="1">
      <c r="A489" s="334">
        <v>40673</v>
      </c>
      <c r="B489" s="334" t="s">
        <v>1197</v>
      </c>
      <c r="C489" s="335">
        <v>182</v>
      </c>
      <c r="D489" s="334">
        <v>40855</v>
      </c>
      <c r="E489" s="338">
        <v>3</v>
      </c>
      <c r="F489" s="336">
        <v>3</v>
      </c>
      <c r="G489" s="336">
        <v>3</v>
      </c>
      <c r="H489" s="336">
        <v>2.9899999999999998</v>
      </c>
      <c r="I489" s="336">
        <v>2.9899999999999998</v>
      </c>
      <c r="J489" s="336">
        <v>2.9899999999999998</v>
      </c>
      <c r="L489" s="335">
        <v>1</v>
      </c>
    </row>
    <row r="490" spans="1:12" hidden="1">
      <c r="A490" s="347">
        <v>40676</v>
      </c>
      <c r="B490" s="347" t="s">
        <v>1198</v>
      </c>
      <c r="C490" s="348">
        <v>364</v>
      </c>
      <c r="D490" s="347">
        <v>41040</v>
      </c>
      <c r="E490" s="349">
        <v>3</v>
      </c>
      <c r="F490" s="350">
        <v>5.4980000000000002</v>
      </c>
      <c r="G490" s="350">
        <v>3</v>
      </c>
      <c r="H490" s="350">
        <v>4</v>
      </c>
      <c r="I490" s="350">
        <v>4</v>
      </c>
      <c r="J490" s="350">
        <v>4</v>
      </c>
      <c r="K490" s="351"/>
      <c r="L490" s="348">
        <v>3</v>
      </c>
    </row>
    <row r="491" spans="1:12" hidden="1">
      <c r="A491" s="334">
        <v>40680</v>
      </c>
      <c r="B491" s="334" t="s">
        <v>1199</v>
      </c>
      <c r="C491" s="335">
        <v>35</v>
      </c>
      <c r="D491" s="334">
        <v>40715</v>
      </c>
      <c r="E491" s="338">
        <v>8</v>
      </c>
      <c r="F491" s="336">
        <v>4.4595000000000002</v>
      </c>
      <c r="G491" s="336">
        <v>0</v>
      </c>
      <c r="H491" s="336">
        <v>0</v>
      </c>
      <c r="I491" s="336">
        <v>0</v>
      </c>
      <c r="J491" s="336">
        <v>0</v>
      </c>
      <c r="L491" s="335">
        <v>3</v>
      </c>
    </row>
    <row r="492" spans="1:12" hidden="1">
      <c r="A492" s="347">
        <v>40683</v>
      </c>
      <c r="B492" s="347" t="s">
        <v>1200</v>
      </c>
      <c r="C492" s="348">
        <v>91</v>
      </c>
      <c r="D492" s="347">
        <v>40774</v>
      </c>
      <c r="E492" s="349">
        <v>6</v>
      </c>
      <c r="F492" s="350">
        <v>9.0210000000000008</v>
      </c>
      <c r="G492" s="350">
        <v>6</v>
      </c>
      <c r="H492" s="350">
        <v>2.5</v>
      </c>
      <c r="I492" s="350">
        <v>2.5</v>
      </c>
      <c r="J492" s="350">
        <v>2.2599999999999998</v>
      </c>
      <c r="K492" s="351"/>
      <c r="L492" s="348">
        <v>2</v>
      </c>
    </row>
    <row r="493" spans="1:12" hidden="1">
      <c r="A493" s="334">
        <v>40687</v>
      </c>
      <c r="B493" s="334" t="s">
        <v>1201</v>
      </c>
      <c r="C493" s="335">
        <v>182</v>
      </c>
      <c r="D493" s="334">
        <v>40869</v>
      </c>
      <c r="E493" s="338">
        <v>4</v>
      </c>
      <c r="F493" s="336">
        <v>6.4560000000000004</v>
      </c>
      <c r="G493" s="336">
        <v>4</v>
      </c>
      <c r="H493" s="336">
        <v>2.9899999999999998</v>
      </c>
      <c r="I493" s="336">
        <v>2.9899999999999998</v>
      </c>
      <c r="J493" s="336">
        <v>2.9899999999999998</v>
      </c>
      <c r="L493" s="335">
        <v>2</v>
      </c>
    </row>
    <row r="494" spans="1:12" hidden="1">
      <c r="A494" s="347">
        <v>40690</v>
      </c>
      <c r="B494" s="347" t="s">
        <v>1202</v>
      </c>
      <c r="C494" s="348">
        <v>1092</v>
      </c>
      <c r="D494" s="347">
        <v>41782</v>
      </c>
      <c r="E494" s="349">
        <v>2</v>
      </c>
      <c r="F494" s="350">
        <v>2</v>
      </c>
      <c r="G494" s="350">
        <v>2</v>
      </c>
      <c r="H494" s="350">
        <v>5</v>
      </c>
      <c r="I494" s="350">
        <v>5</v>
      </c>
      <c r="J494" s="350">
        <v>5</v>
      </c>
      <c r="K494" s="351"/>
      <c r="L494" s="348">
        <v>1</v>
      </c>
    </row>
    <row r="495" spans="1:12" hidden="1">
      <c r="A495" s="334">
        <v>40690</v>
      </c>
      <c r="B495" s="334" t="s">
        <v>1203</v>
      </c>
      <c r="C495" s="335">
        <v>364</v>
      </c>
      <c r="D495" s="334">
        <v>41054</v>
      </c>
      <c r="E495" s="338">
        <v>4</v>
      </c>
      <c r="F495" s="336">
        <v>4</v>
      </c>
      <c r="G495" s="336">
        <v>4</v>
      </c>
      <c r="H495" s="336">
        <v>4</v>
      </c>
      <c r="I495" s="336">
        <v>4</v>
      </c>
      <c r="J495" s="336">
        <v>4</v>
      </c>
      <c r="L495" s="335">
        <v>1</v>
      </c>
    </row>
    <row r="496" spans="1:12" hidden="1">
      <c r="A496" s="347">
        <v>40697</v>
      </c>
      <c r="B496" s="347" t="s">
        <v>1204</v>
      </c>
      <c r="C496" s="348">
        <v>35</v>
      </c>
      <c r="D496" s="347">
        <v>40732</v>
      </c>
      <c r="E496" s="349">
        <v>7</v>
      </c>
      <c r="F496" s="350">
        <v>8.2035</v>
      </c>
      <c r="G496" s="350">
        <v>7</v>
      </c>
      <c r="H496" s="350">
        <v>1.46</v>
      </c>
      <c r="I496" s="350">
        <v>1.46</v>
      </c>
      <c r="J496" s="350">
        <v>1.46</v>
      </c>
      <c r="K496" s="351"/>
      <c r="L496" s="348">
        <v>3</v>
      </c>
    </row>
    <row r="497" spans="1:12" hidden="1">
      <c r="A497" s="334">
        <v>40697</v>
      </c>
      <c r="B497" s="334" t="s">
        <v>1205</v>
      </c>
      <c r="C497" s="335">
        <v>91</v>
      </c>
      <c r="D497" s="334">
        <v>40788</v>
      </c>
      <c r="E497" s="338">
        <v>6</v>
      </c>
      <c r="F497" s="336">
        <v>9.5174000000000003</v>
      </c>
      <c r="G497" s="336">
        <v>6</v>
      </c>
      <c r="H497" s="336">
        <v>2.5</v>
      </c>
      <c r="I497" s="336">
        <v>2.5</v>
      </c>
      <c r="J497" s="336">
        <v>2.34</v>
      </c>
      <c r="L497" s="335">
        <v>4</v>
      </c>
    </row>
    <row r="498" spans="1:12" hidden="1">
      <c r="A498" s="347">
        <v>40701</v>
      </c>
      <c r="B498" s="347" t="s">
        <v>1206</v>
      </c>
      <c r="C498" s="348">
        <v>182</v>
      </c>
      <c r="D498" s="347">
        <v>40883</v>
      </c>
      <c r="E498" s="349">
        <v>3</v>
      </c>
      <c r="F498" s="350">
        <v>5.4416000000000002</v>
      </c>
      <c r="G498" s="350">
        <v>3</v>
      </c>
      <c r="H498" s="350">
        <v>2.9899999999999998</v>
      </c>
      <c r="I498" s="350">
        <v>2.9899999999999998</v>
      </c>
      <c r="J498" s="350">
        <v>2.77</v>
      </c>
      <c r="K498" s="351"/>
      <c r="L498" s="348">
        <v>4</v>
      </c>
    </row>
    <row r="499" spans="1:12" hidden="1">
      <c r="A499" s="334">
        <v>40704</v>
      </c>
      <c r="B499" s="334" t="s">
        <v>1207</v>
      </c>
      <c r="C499" s="335">
        <v>364</v>
      </c>
      <c r="D499" s="334">
        <v>41068</v>
      </c>
      <c r="E499" s="338">
        <v>3</v>
      </c>
      <c r="F499" s="336">
        <v>2.4952000000000001</v>
      </c>
      <c r="G499" s="336">
        <v>2.4952000000000001</v>
      </c>
      <c r="H499" s="336">
        <v>4</v>
      </c>
      <c r="I499" s="336">
        <v>4</v>
      </c>
      <c r="J499" s="336">
        <v>4</v>
      </c>
      <c r="L499" s="335">
        <v>3</v>
      </c>
    </row>
    <row r="500" spans="1:12" hidden="1">
      <c r="A500" s="347">
        <v>40704</v>
      </c>
      <c r="B500" s="347" t="s">
        <v>1208</v>
      </c>
      <c r="C500" s="348">
        <v>728</v>
      </c>
      <c r="D500" s="347">
        <v>41432</v>
      </c>
      <c r="E500" s="349">
        <v>2</v>
      </c>
      <c r="F500" s="350">
        <v>1</v>
      </c>
      <c r="G500" s="350">
        <v>1</v>
      </c>
      <c r="H500" s="350">
        <v>4.5</v>
      </c>
      <c r="I500" s="350">
        <v>4.5</v>
      </c>
      <c r="J500" s="350">
        <v>4.5</v>
      </c>
      <c r="K500" s="351"/>
      <c r="L500" s="348">
        <v>1</v>
      </c>
    </row>
    <row r="501" spans="1:12" hidden="1">
      <c r="A501" s="334">
        <v>40708</v>
      </c>
      <c r="B501" s="334" t="s">
        <v>1209</v>
      </c>
      <c r="C501" s="335">
        <v>35</v>
      </c>
      <c r="D501" s="334">
        <v>40743</v>
      </c>
      <c r="E501" s="338">
        <v>8</v>
      </c>
      <c r="F501" s="336">
        <v>0</v>
      </c>
      <c r="G501" s="336">
        <v>0</v>
      </c>
      <c r="H501" s="336">
        <v>0</v>
      </c>
      <c r="I501" s="336">
        <v>0</v>
      </c>
      <c r="J501" s="336">
        <v>0</v>
      </c>
      <c r="L501" s="335">
        <v>0</v>
      </c>
    </row>
    <row r="502" spans="1:12" hidden="1">
      <c r="A502" s="347">
        <v>40711</v>
      </c>
      <c r="B502" s="347" t="s">
        <v>1210</v>
      </c>
      <c r="C502" s="348">
        <v>91</v>
      </c>
      <c r="D502" s="347">
        <v>40802</v>
      </c>
      <c r="E502" s="349">
        <v>6</v>
      </c>
      <c r="F502" s="350">
        <v>9.7028999999999996</v>
      </c>
      <c r="G502" s="350">
        <v>6</v>
      </c>
      <c r="H502" s="350">
        <v>2.2999999999999998</v>
      </c>
      <c r="I502" s="350">
        <v>2.2999999999999998</v>
      </c>
      <c r="J502" s="350">
        <v>2.2999999999999998</v>
      </c>
      <c r="K502" s="351"/>
      <c r="L502" s="348">
        <v>3</v>
      </c>
    </row>
    <row r="503" spans="1:12" hidden="1">
      <c r="A503" s="334">
        <v>40715</v>
      </c>
      <c r="B503" s="334" t="s">
        <v>1211</v>
      </c>
      <c r="C503" s="335">
        <v>182</v>
      </c>
      <c r="D503" s="334">
        <v>40897</v>
      </c>
      <c r="E503" s="338">
        <v>4</v>
      </c>
      <c r="F503" s="336">
        <v>4</v>
      </c>
      <c r="G503" s="336">
        <v>4</v>
      </c>
      <c r="H503" s="336">
        <v>2.9899999999999998</v>
      </c>
      <c r="I503" s="336">
        <v>2.9899999999999998</v>
      </c>
      <c r="J503" s="336">
        <v>2.9899999999999998</v>
      </c>
      <c r="L503" s="335">
        <v>1</v>
      </c>
    </row>
    <row r="504" spans="1:12" hidden="1">
      <c r="A504" s="347">
        <v>40718</v>
      </c>
      <c r="B504" s="347" t="s">
        <v>1212</v>
      </c>
      <c r="C504" s="348">
        <v>364</v>
      </c>
      <c r="D504" s="347">
        <v>41082</v>
      </c>
      <c r="E504" s="349">
        <v>3</v>
      </c>
      <c r="F504" s="350">
        <v>1.9950000000000001</v>
      </c>
      <c r="G504" s="350">
        <v>1.9950000000000001</v>
      </c>
      <c r="H504" s="350">
        <v>4</v>
      </c>
      <c r="I504" s="350">
        <v>4</v>
      </c>
      <c r="J504" s="350">
        <v>4</v>
      </c>
      <c r="K504" s="351"/>
      <c r="L504" s="348">
        <v>1</v>
      </c>
    </row>
    <row r="505" spans="1:12" hidden="1">
      <c r="A505" s="334">
        <v>40718</v>
      </c>
      <c r="B505" s="334" t="s">
        <v>1213</v>
      </c>
      <c r="C505" s="335">
        <v>1092</v>
      </c>
      <c r="D505" s="334">
        <v>41810</v>
      </c>
      <c r="E505" s="338">
        <v>2</v>
      </c>
      <c r="F505" s="336">
        <v>2</v>
      </c>
      <c r="G505" s="336">
        <v>2</v>
      </c>
      <c r="H505" s="336">
        <v>5</v>
      </c>
      <c r="I505" s="336">
        <v>5</v>
      </c>
      <c r="J505" s="336">
        <v>5</v>
      </c>
      <c r="L505" s="335">
        <v>1</v>
      </c>
    </row>
    <row r="506" spans="1:12" hidden="1">
      <c r="A506" s="347">
        <v>40729</v>
      </c>
      <c r="B506" s="347" t="s">
        <v>1224</v>
      </c>
      <c r="C506" s="348">
        <v>35</v>
      </c>
      <c r="D506" s="347">
        <v>40764</v>
      </c>
      <c r="E506" s="349">
        <v>7</v>
      </c>
      <c r="F506" s="350">
        <v>1.0009999999999999</v>
      </c>
      <c r="G506" s="350">
        <v>0</v>
      </c>
      <c r="H506" s="350">
        <v>0</v>
      </c>
      <c r="I506" s="350">
        <v>0</v>
      </c>
      <c r="J506" s="350">
        <v>0</v>
      </c>
      <c r="K506" s="351"/>
      <c r="L506" s="348">
        <v>1</v>
      </c>
    </row>
    <row r="507" spans="1:12" hidden="1">
      <c r="A507" s="334">
        <v>40732</v>
      </c>
      <c r="B507" s="334" t="s">
        <v>1225</v>
      </c>
      <c r="C507" s="335">
        <v>91</v>
      </c>
      <c r="D507" s="334">
        <v>40823</v>
      </c>
      <c r="E507" s="338">
        <v>6</v>
      </c>
      <c r="F507" s="336">
        <v>0</v>
      </c>
      <c r="G507" s="336">
        <v>0</v>
      </c>
      <c r="H507" s="336">
        <v>0</v>
      </c>
      <c r="I507" s="336">
        <v>0</v>
      </c>
      <c r="J507" s="336">
        <v>0</v>
      </c>
      <c r="L507" s="335">
        <v>0</v>
      </c>
    </row>
    <row r="508" spans="1:12" hidden="1">
      <c r="A508" s="347">
        <v>40732</v>
      </c>
      <c r="B508" s="347" t="s">
        <v>1226</v>
      </c>
      <c r="C508" s="348">
        <v>364</v>
      </c>
      <c r="D508" s="347">
        <v>41096</v>
      </c>
      <c r="E508" s="349">
        <v>2</v>
      </c>
      <c r="F508" s="350">
        <v>0</v>
      </c>
      <c r="G508" s="350">
        <v>0</v>
      </c>
      <c r="H508" s="350">
        <v>0</v>
      </c>
      <c r="I508" s="350">
        <v>0</v>
      </c>
      <c r="J508" s="350">
        <v>0</v>
      </c>
      <c r="K508" s="351"/>
      <c r="L508" s="348">
        <v>0</v>
      </c>
    </row>
    <row r="509" spans="1:12" hidden="1">
      <c r="A509" s="334">
        <v>40736</v>
      </c>
      <c r="B509" s="334" t="s">
        <v>1227</v>
      </c>
      <c r="C509" s="335">
        <v>182</v>
      </c>
      <c r="D509" s="334">
        <v>40918</v>
      </c>
      <c r="E509" s="338">
        <v>3</v>
      </c>
      <c r="F509" s="336">
        <v>0</v>
      </c>
      <c r="G509" s="336">
        <v>0</v>
      </c>
      <c r="H509" s="336">
        <v>0</v>
      </c>
      <c r="I509" s="336">
        <v>0</v>
      </c>
      <c r="J509" s="336">
        <v>0</v>
      </c>
      <c r="L509" s="335">
        <v>0</v>
      </c>
    </row>
    <row r="510" spans="1:12" hidden="1">
      <c r="A510" s="347">
        <v>40739</v>
      </c>
      <c r="B510" s="347" t="s">
        <v>1228</v>
      </c>
      <c r="C510" s="348">
        <v>364</v>
      </c>
      <c r="D510" s="347">
        <v>41103</v>
      </c>
      <c r="E510" s="349">
        <v>3</v>
      </c>
      <c r="F510" s="350">
        <v>0</v>
      </c>
      <c r="G510" s="350">
        <v>0</v>
      </c>
      <c r="H510" s="350">
        <v>4</v>
      </c>
      <c r="I510" s="350">
        <v>4</v>
      </c>
      <c r="J510" s="350">
        <v>4</v>
      </c>
      <c r="K510" s="351"/>
      <c r="L510" s="348">
        <v>0</v>
      </c>
    </row>
    <row r="511" spans="1:12" hidden="1">
      <c r="A511" s="334">
        <v>40743</v>
      </c>
      <c r="B511" s="334" t="s">
        <v>1229</v>
      </c>
      <c r="C511" s="335">
        <v>35</v>
      </c>
      <c r="D511" s="334">
        <v>40778</v>
      </c>
      <c r="E511" s="338">
        <v>8</v>
      </c>
      <c r="F511" s="336">
        <v>0</v>
      </c>
      <c r="G511" s="336">
        <v>0</v>
      </c>
      <c r="H511" s="336">
        <v>0</v>
      </c>
      <c r="I511" s="336">
        <v>0</v>
      </c>
      <c r="J511" s="336">
        <v>0</v>
      </c>
      <c r="L511" s="335">
        <v>0</v>
      </c>
    </row>
    <row r="512" spans="1:12" hidden="1">
      <c r="A512" s="347">
        <v>40746</v>
      </c>
      <c r="B512" s="347" t="s">
        <v>1230</v>
      </c>
      <c r="C512" s="348">
        <v>91</v>
      </c>
      <c r="D512" s="347">
        <v>40837</v>
      </c>
      <c r="E512" s="349">
        <v>6</v>
      </c>
      <c r="F512" s="350">
        <v>0</v>
      </c>
      <c r="G512" s="350">
        <v>0</v>
      </c>
      <c r="H512" s="350">
        <v>0</v>
      </c>
      <c r="I512" s="350">
        <v>0</v>
      </c>
      <c r="J512" s="350">
        <v>0</v>
      </c>
      <c r="K512" s="351"/>
      <c r="L512" s="348">
        <v>0</v>
      </c>
    </row>
    <row r="513" spans="1:12" hidden="1">
      <c r="A513" s="334">
        <v>40750</v>
      </c>
      <c r="B513" s="334" t="s">
        <v>1231</v>
      </c>
      <c r="C513" s="335">
        <v>182</v>
      </c>
      <c r="D513" s="334">
        <v>40932</v>
      </c>
      <c r="E513" s="338">
        <v>4</v>
      </c>
      <c r="F513" s="336">
        <v>0</v>
      </c>
      <c r="G513" s="336">
        <v>0</v>
      </c>
      <c r="H513" s="336">
        <v>0</v>
      </c>
      <c r="I513" s="336">
        <v>0</v>
      </c>
      <c r="J513" s="336">
        <v>0</v>
      </c>
      <c r="L513" s="335">
        <v>0</v>
      </c>
    </row>
    <row r="514" spans="1:12" hidden="1">
      <c r="A514" s="347">
        <v>40753</v>
      </c>
      <c r="B514" s="347" t="s">
        <v>1222</v>
      </c>
      <c r="C514" s="348">
        <v>364</v>
      </c>
      <c r="D514" s="347">
        <v>41117</v>
      </c>
      <c r="E514" s="349">
        <v>3</v>
      </c>
      <c r="F514" s="350">
        <v>3</v>
      </c>
      <c r="G514" s="350">
        <v>3</v>
      </c>
      <c r="H514" s="350">
        <v>4</v>
      </c>
      <c r="I514" s="350">
        <v>4</v>
      </c>
      <c r="J514" s="350">
        <v>4</v>
      </c>
      <c r="K514" s="351"/>
      <c r="L514" s="348">
        <v>1</v>
      </c>
    </row>
    <row r="515" spans="1:12" hidden="1">
      <c r="A515" s="334">
        <v>40753</v>
      </c>
      <c r="B515" s="334" t="s">
        <v>1223</v>
      </c>
      <c r="C515" s="335">
        <v>1092</v>
      </c>
      <c r="D515" s="334">
        <v>41845</v>
      </c>
      <c r="E515" s="338">
        <v>2</v>
      </c>
      <c r="F515" s="336">
        <v>2</v>
      </c>
      <c r="G515" s="336">
        <v>2</v>
      </c>
      <c r="H515" s="336">
        <v>5</v>
      </c>
      <c r="I515" s="336">
        <v>5</v>
      </c>
      <c r="J515" s="336">
        <v>5</v>
      </c>
      <c r="L515" s="335">
        <v>1</v>
      </c>
    </row>
    <row r="516" spans="1:12" hidden="1">
      <c r="A516" s="347">
        <v>40757</v>
      </c>
      <c r="B516" s="347" t="s">
        <v>1774</v>
      </c>
      <c r="C516" s="348">
        <v>35</v>
      </c>
      <c r="D516" s="347">
        <v>40792</v>
      </c>
      <c r="E516" s="349">
        <v>7</v>
      </c>
      <c r="F516" s="350">
        <v>0</v>
      </c>
      <c r="G516" s="350">
        <v>0</v>
      </c>
      <c r="H516" s="350">
        <v>0</v>
      </c>
      <c r="I516" s="350">
        <v>0</v>
      </c>
      <c r="J516" s="350">
        <v>0</v>
      </c>
      <c r="K516" s="351"/>
      <c r="L516" s="348">
        <v>0</v>
      </c>
    </row>
    <row r="517" spans="1:12" hidden="1">
      <c r="A517" s="334">
        <v>40760</v>
      </c>
      <c r="B517" s="334" t="s">
        <v>1775</v>
      </c>
      <c r="C517" s="335">
        <v>91</v>
      </c>
      <c r="D517" s="334">
        <v>40851</v>
      </c>
      <c r="E517" s="338">
        <v>6</v>
      </c>
      <c r="F517" s="336">
        <v>0</v>
      </c>
      <c r="G517" s="336">
        <v>0</v>
      </c>
      <c r="H517" s="336">
        <v>0</v>
      </c>
      <c r="I517" s="336">
        <v>0</v>
      </c>
      <c r="J517" s="336">
        <v>0</v>
      </c>
      <c r="L517" s="335">
        <v>0</v>
      </c>
    </row>
    <row r="518" spans="1:12" hidden="1">
      <c r="A518" s="347">
        <v>40764</v>
      </c>
      <c r="B518" s="347" t="s">
        <v>1776</v>
      </c>
      <c r="C518" s="348">
        <v>182</v>
      </c>
      <c r="D518" s="347">
        <v>40946</v>
      </c>
      <c r="E518" s="349">
        <v>3</v>
      </c>
      <c r="F518" s="350">
        <v>0</v>
      </c>
      <c r="G518" s="350">
        <v>0</v>
      </c>
      <c r="H518" s="350">
        <v>0</v>
      </c>
      <c r="I518" s="350">
        <v>0</v>
      </c>
      <c r="J518" s="350">
        <v>0</v>
      </c>
      <c r="K518" s="351"/>
      <c r="L518" s="348">
        <v>0</v>
      </c>
    </row>
    <row r="519" spans="1:12" hidden="1">
      <c r="A519" s="334">
        <v>40767</v>
      </c>
      <c r="B519" s="334" t="s">
        <v>1243</v>
      </c>
      <c r="C519" s="335">
        <v>364</v>
      </c>
      <c r="D519" s="334">
        <v>41131</v>
      </c>
      <c r="E519" s="338">
        <v>3</v>
      </c>
      <c r="F519" s="336">
        <v>3</v>
      </c>
      <c r="G519" s="336">
        <v>3</v>
      </c>
      <c r="H519" s="336">
        <v>4</v>
      </c>
      <c r="I519" s="336">
        <v>4</v>
      </c>
      <c r="J519" s="336">
        <v>4</v>
      </c>
      <c r="L519" s="335">
        <v>1</v>
      </c>
    </row>
    <row r="520" spans="1:12" hidden="1">
      <c r="A520" s="347">
        <v>40767</v>
      </c>
      <c r="B520" s="347" t="s">
        <v>1777</v>
      </c>
      <c r="C520" s="348">
        <v>728</v>
      </c>
      <c r="D520" s="347">
        <v>41495</v>
      </c>
      <c r="E520" s="349">
        <v>2</v>
      </c>
      <c r="F520" s="350">
        <v>0</v>
      </c>
      <c r="G520" s="350">
        <v>0</v>
      </c>
      <c r="H520" s="350">
        <v>4.5</v>
      </c>
      <c r="I520" s="350">
        <v>4.5</v>
      </c>
      <c r="J520" s="350">
        <v>0</v>
      </c>
      <c r="K520" s="351"/>
      <c r="L520" s="348">
        <v>0</v>
      </c>
    </row>
    <row r="521" spans="1:12" hidden="1">
      <c r="A521" s="334">
        <v>40771</v>
      </c>
      <c r="B521" s="334" t="s">
        <v>1778</v>
      </c>
      <c r="C521" s="335">
        <v>35</v>
      </c>
      <c r="D521" s="334">
        <v>40806</v>
      </c>
      <c r="E521" s="338">
        <v>10</v>
      </c>
      <c r="F521" s="336">
        <v>0</v>
      </c>
      <c r="G521" s="336">
        <v>0</v>
      </c>
      <c r="H521" s="336">
        <v>0</v>
      </c>
      <c r="I521" s="336">
        <v>0</v>
      </c>
      <c r="J521" s="336">
        <v>0</v>
      </c>
      <c r="L521" s="335">
        <v>0</v>
      </c>
    </row>
    <row r="522" spans="1:12" hidden="1">
      <c r="A522" s="347">
        <v>40774</v>
      </c>
      <c r="B522" s="347" t="s">
        <v>1244</v>
      </c>
      <c r="C522" s="348">
        <v>91</v>
      </c>
      <c r="D522" s="347">
        <v>40865</v>
      </c>
      <c r="E522" s="349">
        <v>8</v>
      </c>
      <c r="F522" s="350">
        <v>8</v>
      </c>
      <c r="G522" s="350">
        <v>8</v>
      </c>
      <c r="H522" s="350">
        <v>2.5</v>
      </c>
      <c r="I522" s="350">
        <v>2.5</v>
      </c>
      <c r="J522" s="350">
        <v>2.5</v>
      </c>
      <c r="K522" s="351"/>
      <c r="L522" s="348">
        <v>1</v>
      </c>
    </row>
    <row r="523" spans="1:12" hidden="1">
      <c r="A523" s="334">
        <v>40778</v>
      </c>
      <c r="B523" s="334" t="s">
        <v>1245</v>
      </c>
      <c r="C523" s="335">
        <v>182</v>
      </c>
      <c r="D523" s="334">
        <v>40960</v>
      </c>
      <c r="E523" s="338">
        <v>4</v>
      </c>
      <c r="F523" s="336">
        <v>4</v>
      </c>
      <c r="G523" s="336">
        <v>4</v>
      </c>
      <c r="H523" s="336">
        <v>2.9899999999999998</v>
      </c>
      <c r="I523" s="336">
        <v>2.9899999999999998</v>
      </c>
      <c r="J523" s="336">
        <v>2.9899999999999998</v>
      </c>
      <c r="L523" s="335">
        <v>1</v>
      </c>
    </row>
    <row r="524" spans="1:12" hidden="1">
      <c r="A524" s="347">
        <v>40781</v>
      </c>
      <c r="B524" s="347" t="s">
        <v>1246</v>
      </c>
      <c r="C524" s="348">
        <v>364</v>
      </c>
      <c r="D524" s="347">
        <v>41145</v>
      </c>
      <c r="E524" s="349">
        <v>3</v>
      </c>
      <c r="F524" s="350">
        <v>3</v>
      </c>
      <c r="G524" s="350">
        <v>3</v>
      </c>
      <c r="H524" s="350">
        <v>4</v>
      </c>
      <c r="I524" s="350">
        <v>4</v>
      </c>
      <c r="J524" s="350">
        <v>4</v>
      </c>
      <c r="K524" s="351"/>
      <c r="L524" s="348">
        <v>1</v>
      </c>
    </row>
    <row r="525" spans="1:12" hidden="1">
      <c r="A525" s="334">
        <v>40781</v>
      </c>
      <c r="B525" s="334" t="s">
        <v>1779</v>
      </c>
      <c r="C525" s="335">
        <v>1092</v>
      </c>
      <c r="D525" s="334">
        <v>41873</v>
      </c>
      <c r="E525" s="338">
        <v>2</v>
      </c>
      <c r="F525" s="336">
        <v>0</v>
      </c>
      <c r="G525" s="336">
        <v>0</v>
      </c>
      <c r="H525" s="336">
        <v>5</v>
      </c>
      <c r="I525" s="336">
        <v>5</v>
      </c>
      <c r="J525" s="336">
        <v>0</v>
      </c>
      <c r="L525" s="335">
        <v>0</v>
      </c>
    </row>
    <row r="526" spans="1:12" hidden="1">
      <c r="A526" s="347">
        <v>40792</v>
      </c>
      <c r="B526" s="347" t="s">
        <v>1780</v>
      </c>
      <c r="C526" s="348">
        <v>35</v>
      </c>
      <c r="D526" s="347">
        <v>40827</v>
      </c>
      <c r="E526" s="349">
        <v>8</v>
      </c>
      <c r="F526" s="350">
        <v>0</v>
      </c>
      <c r="G526" s="350">
        <v>0</v>
      </c>
      <c r="H526" s="350">
        <v>0</v>
      </c>
      <c r="I526" s="350">
        <v>0</v>
      </c>
      <c r="J526" s="350">
        <v>0</v>
      </c>
      <c r="K526" s="351"/>
      <c r="L526" s="348">
        <v>0</v>
      </c>
    </row>
    <row r="527" spans="1:12" hidden="1">
      <c r="A527" s="334">
        <v>40795</v>
      </c>
      <c r="B527" s="334" t="s">
        <v>1781</v>
      </c>
      <c r="C527" s="335">
        <v>91</v>
      </c>
      <c r="D527" s="334">
        <v>40886</v>
      </c>
      <c r="E527" s="338">
        <v>6</v>
      </c>
      <c r="F527" s="336">
        <v>0</v>
      </c>
      <c r="G527" s="336">
        <v>0</v>
      </c>
      <c r="H527" s="336">
        <v>0</v>
      </c>
      <c r="I527" s="336">
        <v>0</v>
      </c>
      <c r="J527" s="336">
        <v>0</v>
      </c>
      <c r="L527" s="335">
        <v>0</v>
      </c>
    </row>
    <row r="528" spans="1:12" hidden="1">
      <c r="A528" s="347">
        <v>40795</v>
      </c>
      <c r="B528" s="347" t="s">
        <v>1782</v>
      </c>
      <c r="C528" s="348">
        <v>364</v>
      </c>
      <c r="D528" s="347">
        <v>41159</v>
      </c>
      <c r="E528" s="349">
        <v>2</v>
      </c>
      <c r="F528" s="350">
        <v>0</v>
      </c>
      <c r="G528" s="350">
        <v>0</v>
      </c>
      <c r="H528" s="350">
        <v>0</v>
      </c>
      <c r="I528" s="350">
        <v>0</v>
      </c>
      <c r="J528" s="350">
        <v>0</v>
      </c>
      <c r="K528" s="351"/>
      <c r="L528" s="348">
        <v>0</v>
      </c>
    </row>
    <row r="529" spans="1:12" hidden="1">
      <c r="A529" s="334">
        <v>40799</v>
      </c>
      <c r="B529" s="334" t="s">
        <v>1783</v>
      </c>
      <c r="C529" s="335">
        <v>182</v>
      </c>
      <c r="D529" s="334">
        <v>40981</v>
      </c>
      <c r="E529" s="338">
        <v>3</v>
      </c>
      <c r="F529" s="336">
        <v>0</v>
      </c>
      <c r="G529" s="336">
        <v>0</v>
      </c>
      <c r="H529" s="336">
        <v>0</v>
      </c>
      <c r="I529" s="336">
        <v>0</v>
      </c>
      <c r="J529" s="336">
        <v>0</v>
      </c>
      <c r="L529" s="335">
        <v>0</v>
      </c>
    </row>
    <row r="530" spans="1:12" hidden="1">
      <c r="A530" s="347">
        <v>40802</v>
      </c>
      <c r="B530" s="347" t="s">
        <v>1252</v>
      </c>
      <c r="C530" s="348">
        <v>364</v>
      </c>
      <c r="D530" s="347">
        <v>41166</v>
      </c>
      <c r="E530" s="349">
        <v>3</v>
      </c>
      <c r="F530" s="350">
        <v>3</v>
      </c>
      <c r="G530" s="350">
        <v>3</v>
      </c>
      <c r="H530" s="350">
        <v>4</v>
      </c>
      <c r="I530" s="350">
        <v>4</v>
      </c>
      <c r="J530" s="350">
        <v>4</v>
      </c>
      <c r="K530" s="351"/>
      <c r="L530" s="348">
        <v>1</v>
      </c>
    </row>
    <row r="531" spans="1:12" hidden="1">
      <c r="A531" s="334">
        <v>40806</v>
      </c>
      <c r="B531" s="334" t="s">
        <v>1784</v>
      </c>
      <c r="C531" s="335">
        <v>35</v>
      </c>
      <c r="D531" s="334">
        <v>40841</v>
      </c>
      <c r="E531" s="338">
        <v>8</v>
      </c>
      <c r="F531" s="336">
        <v>0</v>
      </c>
      <c r="G531" s="336">
        <v>0</v>
      </c>
      <c r="H531" s="336">
        <v>0</v>
      </c>
      <c r="I531" s="336">
        <v>0</v>
      </c>
      <c r="J531" s="336">
        <v>0</v>
      </c>
      <c r="L531" s="335">
        <v>0</v>
      </c>
    </row>
    <row r="532" spans="1:12" hidden="1">
      <c r="A532" s="347">
        <v>40809</v>
      </c>
      <c r="B532" s="347" t="s">
        <v>1785</v>
      </c>
      <c r="C532" s="348">
        <v>91</v>
      </c>
      <c r="D532" s="347">
        <v>40900</v>
      </c>
      <c r="E532" s="349">
        <v>6</v>
      </c>
      <c r="F532" s="350">
        <v>0</v>
      </c>
      <c r="G532" s="350">
        <v>0</v>
      </c>
      <c r="H532" s="350">
        <v>0</v>
      </c>
      <c r="I532" s="350">
        <v>0</v>
      </c>
      <c r="J532" s="350">
        <v>0</v>
      </c>
      <c r="K532" s="351"/>
      <c r="L532" s="348">
        <v>0</v>
      </c>
    </row>
    <row r="533" spans="1:12" hidden="1">
      <c r="A533" s="334">
        <v>40813</v>
      </c>
      <c r="B533" s="334" t="s">
        <v>1786</v>
      </c>
      <c r="C533" s="335">
        <v>182</v>
      </c>
      <c r="D533" s="334">
        <v>40995</v>
      </c>
      <c r="E533" s="338">
        <v>4</v>
      </c>
      <c r="F533" s="336">
        <v>0</v>
      </c>
      <c r="G533" s="336">
        <v>0</v>
      </c>
      <c r="H533" s="336">
        <v>0</v>
      </c>
      <c r="I533" s="336">
        <v>0</v>
      </c>
      <c r="J533" s="336">
        <v>0</v>
      </c>
      <c r="L533" s="335">
        <v>0</v>
      </c>
    </row>
    <row r="534" spans="1:12" hidden="1">
      <c r="A534" s="347">
        <v>40816</v>
      </c>
      <c r="B534" s="347" t="s">
        <v>1253</v>
      </c>
      <c r="C534" s="348">
        <v>364</v>
      </c>
      <c r="D534" s="347">
        <v>41180</v>
      </c>
      <c r="E534" s="349">
        <v>3</v>
      </c>
      <c r="F534" s="350">
        <v>3</v>
      </c>
      <c r="G534" s="350">
        <v>3</v>
      </c>
      <c r="H534" s="350">
        <v>4</v>
      </c>
      <c r="I534" s="350">
        <v>4</v>
      </c>
      <c r="J534" s="350">
        <v>4</v>
      </c>
      <c r="K534" s="351"/>
      <c r="L534" s="348">
        <v>1</v>
      </c>
    </row>
    <row r="535" spans="1:12" hidden="1">
      <c r="A535" s="334">
        <v>40816</v>
      </c>
      <c r="B535" s="334" t="s">
        <v>1787</v>
      </c>
      <c r="C535" s="335">
        <v>1092</v>
      </c>
      <c r="D535" s="334">
        <v>41908</v>
      </c>
      <c r="E535" s="338">
        <v>2</v>
      </c>
      <c r="F535" s="336">
        <v>0</v>
      </c>
      <c r="G535" s="336">
        <v>0</v>
      </c>
      <c r="H535" s="336">
        <v>5</v>
      </c>
      <c r="I535" s="336">
        <v>5</v>
      </c>
      <c r="J535" s="336">
        <v>0</v>
      </c>
      <c r="L535" s="335">
        <v>0</v>
      </c>
    </row>
    <row r="536" spans="1:12" hidden="1">
      <c r="A536" s="347">
        <v>40820</v>
      </c>
      <c r="B536" s="347" t="s">
        <v>1788</v>
      </c>
      <c r="C536" s="348">
        <v>35</v>
      </c>
      <c r="D536" s="347">
        <v>40855</v>
      </c>
      <c r="E536" s="349">
        <v>7</v>
      </c>
      <c r="F536" s="350">
        <v>0</v>
      </c>
      <c r="G536" s="350">
        <v>0</v>
      </c>
      <c r="H536" s="350">
        <v>0</v>
      </c>
      <c r="I536" s="350">
        <v>0</v>
      </c>
      <c r="J536" s="350">
        <v>0</v>
      </c>
      <c r="K536" s="351"/>
      <c r="L536" s="348">
        <v>0</v>
      </c>
    </row>
    <row r="537" spans="1:12" hidden="1">
      <c r="A537" s="334">
        <v>40823</v>
      </c>
      <c r="B537" s="334" t="s">
        <v>1789</v>
      </c>
      <c r="C537" s="335">
        <v>91</v>
      </c>
      <c r="D537" s="334">
        <v>40914</v>
      </c>
      <c r="E537" s="338">
        <v>6</v>
      </c>
      <c r="F537" s="336">
        <v>0</v>
      </c>
      <c r="G537" s="336">
        <v>0</v>
      </c>
      <c r="H537" s="336">
        <v>0</v>
      </c>
      <c r="I537" s="336">
        <v>0</v>
      </c>
      <c r="J537" s="336">
        <v>0</v>
      </c>
      <c r="L537" s="335">
        <v>0</v>
      </c>
    </row>
    <row r="538" spans="1:12" hidden="1">
      <c r="A538" s="347">
        <v>40827</v>
      </c>
      <c r="B538" s="347" t="s">
        <v>1790</v>
      </c>
      <c r="C538" s="348">
        <v>182</v>
      </c>
      <c r="D538" s="347">
        <v>41009</v>
      </c>
      <c r="E538" s="349">
        <v>3</v>
      </c>
      <c r="F538" s="350">
        <v>0</v>
      </c>
      <c r="G538" s="350">
        <v>0</v>
      </c>
      <c r="H538" s="350">
        <v>0</v>
      </c>
      <c r="I538" s="350">
        <v>0</v>
      </c>
      <c r="J538" s="350">
        <v>0</v>
      </c>
      <c r="K538" s="351"/>
      <c r="L538" s="348">
        <v>0</v>
      </c>
    </row>
    <row r="539" spans="1:12" hidden="1">
      <c r="A539" s="334">
        <v>40830</v>
      </c>
      <c r="B539" s="334" t="s">
        <v>1260</v>
      </c>
      <c r="C539" s="335">
        <v>364</v>
      </c>
      <c r="D539" s="334">
        <v>41194</v>
      </c>
      <c r="E539" s="338">
        <v>3</v>
      </c>
      <c r="F539" s="336">
        <v>0.90100000000000002</v>
      </c>
      <c r="G539" s="336">
        <v>0.90100000000000002</v>
      </c>
      <c r="H539" s="336">
        <v>4</v>
      </c>
      <c r="I539" s="336">
        <v>4</v>
      </c>
      <c r="J539" s="336">
        <v>4</v>
      </c>
      <c r="L539" s="335">
        <v>1</v>
      </c>
    </row>
    <row r="540" spans="1:12" hidden="1">
      <c r="A540" s="347">
        <v>40830</v>
      </c>
      <c r="B540" s="347" t="s">
        <v>1261</v>
      </c>
      <c r="C540" s="348">
        <v>728</v>
      </c>
      <c r="D540" s="347">
        <v>41558</v>
      </c>
      <c r="E540" s="349">
        <v>2</v>
      </c>
      <c r="F540" s="350">
        <v>1.7828999999999999</v>
      </c>
      <c r="G540" s="350">
        <v>1.7828999999999999</v>
      </c>
      <c r="H540" s="350">
        <v>4.5</v>
      </c>
      <c r="I540" s="350">
        <v>4.5</v>
      </c>
      <c r="J540" s="350">
        <v>4.5</v>
      </c>
      <c r="K540" s="351"/>
      <c r="L540" s="348">
        <v>1</v>
      </c>
    </row>
    <row r="541" spans="1:12" hidden="1">
      <c r="A541" s="334">
        <v>40837</v>
      </c>
      <c r="B541" s="334" t="s">
        <v>1791</v>
      </c>
      <c r="C541" s="335">
        <v>35</v>
      </c>
      <c r="D541" s="334">
        <v>40872</v>
      </c>
      <c r="E541" s="338">
        <v>8</v>
      </c>
      <c r="F541" s="336">
        <v>0</v>
      </c>
      <c r="G541" s="336">
        <v>0</v>
      </c>
      <c r="H541" s="336">
        <v>0</v>
      </c>
      <c r="I541" s="336">
        <v>0</v>
      </c>
      <c r="J541" s="336">
        <v>0</v>
      </c>
      <c r="L541" s="335">
        <v>0</v>
      </c>
    </row>
    <row r="542" spans="1:12" hidden="1">
      <c r="A542" s="347">
        <v>40837</v>
      </c>
      <c r="B542" s="347" t="s">
        <v>1792</v>
      </c>
      <c r="C542" s="348">
        <v>91</v>
      </c>
      <c r="D542" s="347">
        <v>40928</v>
      </c>
      <c r="E542" s="349">
        <v>6</v>
      </c>
      <c r="F542" s="350">
        <v>0</v>
      </c>
      <c r="G542" s="350">
        <v>0</v>
      </c>
      <c r="H542" s="350">
        <v>0</v>
      </c>
      <c r="I542" s="350">
        <v>0</v>
      </c>
      <c r="J542" s="350">
        <v>0</v>
      </c>
      <c r="K542" s="351"/>
      <c r="L542" s="348">
        <v>0</v>
      </c>
    </row>
    <row r="543" spans="1:12" hidden="1">
      <c r="A543" s="334">
        <v>40841</v>
      </c>
      <c r="B543" s="334" t="s">
        <v>1793</v>
      </c>
      <c r="C543" s="335">
        <v>182</v>
      </c>
      <c r="D543" s="334">
        <v>41023</v>
      </c>
      <c r="E543" s="338">
        <v>4</v>
      </c>
      <c r="F543" s="336">
        <v>0</v>
      </c>
      <c r="G543" s="336">
        <v>0</v>
      </c>
      <c r="H543" s="336">
        <v>0</v>
      </c>
      <c r="I543" s="336">
        <v>0</v>
      </c>
      <c r="J543" s="336">
        <v>0</v>
      </c>
      <c r="L543" s="335">
        <v>0</v>
      </c>
    </row>
    <row r="544" spans="1:12" hidden="1">
      <c r="A544" s="347">
        <v>40844</v>
      </c>
      <c r="B544" s="347" t="s">
        <v>1262</v>
      </c>
      <c r="C544" s="348">
        <v>364</v>
      </c>
      <c r="D544" s="347">
        <v>41208</v>
      </c>
      <c r="E544" s="349">
        <v>3</v>
      </c>
      <c r="F544" s="350">
        <v>3</v>
      </c>
      <c r="G544" s="350">
        <v>3</v>
      </c>
      <c r="H544" s="350">
        <v>4</v>
      </c>
      <c r="I544" s="350">
        <v>4</v>
      </c>
      <c r="J544" s="350">
        <v>4</v>
      </c>
      <c r="K544" s="351"/>
      <c r="L544" s="348">
        <v>1</v>
      </c>
    </row>
    <row r="545" spans="1:12" hidden="1">
      <c r="A545" s="334">
        <v>40844</v>
      </c>
      <c r="B545" s="334" t="s">
        <v>1263</v>
      </c>
      <c r="C545" s="335">
        <v>1092</v>
      </c>
      <c r="D545" s="334">
        <v>41936</v>
      </c>
      <c r="E545" s="338">
        <v>2</v>
      </c>
      <c r="F545" s="336">
        <v>2</v>
      </c>
      <c r="G545" s="336">
        <v>2</v>
      </c>
      <c r="H545" s="336">
        <v>5</v>
      </c>
      <c r="I545" s="336">
        <v>5</v>
      </c>
      <c r="J545" s="336">
        <v>5</v>
      </c>
      <c r="L545" s="335">
        <v>1</v>
      </c>
    </row>
    <row r="546" spans="1:12" hidden="1">
      <c r="A546" s="347">
        <v>40848</v>
      </c>
      <c r="B546" s="347" t="s">
        <v>1265</v>
      </c>
      <c r="C546" s="348">
        <v>35</v>
      </c>
      <c r="D546" s="347">
        <v>40883</v>
      </c>
      <c r="E546" s="349">
        <v>7</v>
      </c>
      <c r="F546" s="350">
        <v>0</v>
      </c>
      <c r="G546" s="350">
        <v>0</v>
      </c>
      <c r="H546" s="350">
        <v>0</v>
      </c>
      <c r="I546" s="350">
        <v>0</v>
      </c>
      <c r="J546" s="350">
        <v>0</v>
      </c>
      <c r="K546" s="351"/>
      <c r="L546" s="348">
        <v>0</v>
      </c>
    </row>
    <row r="547" spans="1:12" hidden="1">
      <c r="A547" s="334">
        <v>40851</v>
      </c>
      <c r="B547" s="334" t="s">
        <v>1266</v>
      </c>
      <c r="C547" s="335">
        <v>91</v>
      </c>
      <c r="D547" s="334">
        <v>40942</v>
      </c>
      <c r="E547" s="338">
        <v>8</v>
      </c>
      <c r="F547" s="336">
        <v>0</v>
      </c>
      <c r="G547" s="336">
        <v>0</v>
      </c>
      <c r="H547" s="336">
        <v>0</v>
      </c>
      <c r="I547" s="336">
        <v>0</v>
      </c>
      <c r="J547" s="336">
        <v>0</v>
      </c>
      <c r="L547" s="335">
        <v>0</v>
      </c>
    </row>
    <row r="548" spans="1:12" hidden="1">
      <c r="A548" s="347">
        <v>40851</v>
      </c>
      <c r="B548" s="347" t="s">
        <v>1267</v>
      </c>
      <c r="C548" s="348">
        <v>364</v>
      </c>
      <c r="D548" s="347">
        <v>41215</v>
      </c>
      <c r="E548" s="349">
        <v>2</v>
      </c>
      <c r="F548" s="350">
        <v>2</v>
      </c>
      <c r="G548" s="350">
        <v>2</v>
      </c>
      <c r="H548" s="350">
        <v>3.5000000000000004</v>
      </c>
      <c r="I548" s="350">
        <v>3.5000000000000004</v>
      </c>
      <c r="J548" s="350">
        <v>3.5000000000000004</v>
      </c>
      <c r="K548" s="351"/>
      <c r="L548" s="348">
        <v>1</v>
      </c>
    </row>
    <row r="549" spans="1:12" hidden="1">
      <c r="A549" s="334">
        <v>40858</v>
      </c>
      <c r="B549" s="334" t="s">
        <v>1268</v>
      </c>
      <c r="C549" s="335">
        <v>182</v>
      </c>
      <c r="D549" s="334">
        <v>41040</v>
      </c>
      <c r="E549" s="338">
        <v>3</v>
      </c>
      <c r="F549" s="336">
        <v>3.5994000000000002</v>
      </c>
      <c r="G549" s="336">
        <v>3</v>
      </c>
      <c r="H549" s="336">
        <v>2.9499999999999997</v>
      </c>
      <c r="I549" s="336">
        <v>2.9499999999999997</v>
      </c>
      <c r="J549" s="336">
        <v>2.9499999999999997</v>
      </c>
      <c r="L549" s="335">
        <v>1</v>
      </c>
    </row>
    <row r="550" spans="1:12" hidden="1">
      <c r="A550" s="347">
        <v>40858</v>
      </c>
      <c r="B550" s="347" t="s">
        <v>1269</v>
      </c>
      <c r="C550" s="348">
        <v>364</v>
      </c>
      <c r="D550" s="347">
        <v>41222</v>
      </c>
      <c r="E550" s="349">
        <v>3</v>
      </c>
      <c r="F550" s="350">
        <v>9.5414999999999992</v>
      </c>
      <c r="G550" s="350">
        <v>3</v>
      </c>
      <c r="H550" s="350">
        <v>4</v>
      </c>
      <c r="I550" s="350">
        <v>4</v>
      </c>
      <c r="J550" s="350">
        <v>4</v>
      </c>
      <c r="K550" s="351"/>
      <c r="L550" s="348">
        <v>3</v>
      </c>
    </row>
    <row r="551" spans="1:12" hidden="1">
      <c r="A551" s="334">
        <v>40862</v>
      </c>
      <c r="B551" s="334" t="s">
        <v>1270</v>
      </c>
      <c r="C551" s="335">
        <v>35</v>
      </c>
      <c r="D551" s="334">
        <v>40897</v>
      </c>
      <c r="E551" s="338">
        <v>8</v>
      </c>
      <c r="F551" s="336">
        <v>0</v>
      </c>
      <c r="G551" s="336">
        <v>0</v>
      </c>
      <c r="H551" s="336">
        <v>0</v>
      </c>
      <c r="I551" s="336">
        <v>0</v>
      </c>
      <c r="J551" s="336">
        <v>0</v>
      </c>
      <c r="L551" s="335">
        <v>0</v>
      </c>
    </row>
    <row r="552" spans="1:12" hidden="1">
      <c r="A552" s="347">
        <v>40865</v>
      </c>
      <c r="B552" s="347" t="s">
        <v>1271</v>
      </c>
      <c r="C552" s="348">
        <v>91</v>
      </c>
      <c r="D552" s="347">
        <v>40956</v>
      </c>
      <c r="E552" s="349">
        <v>7</v>
      </c>
      <c r="F552" s="350">
        <v>7.5026999999999999</v>
      </c>
      <c r="G552" s="350">
        <v>7</v>
      </c>
      <c r="H552" s="350">
        <v>2.5</v>
      </c>
      <c r="I552" s="350">
        <v>2.5</v>
      </c>
      <c r="J552" s="350">
        <v>2.5</v>
      </c>
      <c r="K552" s="351"/>
      <c r="L552" s="348">
        <v>2</v>
      </c>
    </row>
    <row r="553" spans="1:12" hidden="1">
      <c r="A553" s="334">
        <v>40869</v>
      </c>
      <c r="B553" s="334" t="s">
        <v>1272</v>
      </c>
      <c r="C553" s="335">
        <v>182</v>
      </c>
      <c r="D553" s="334">
        <v>41051</v>
      </c>
      <c r="E553" s="338">
        <v>4</v>
      </c>
      <c r="F553" s="336">
        <v>1.8042</v>
      </c>
      <c r="G553" s="336">
        <v>1.8042</v>
      </c>
      <c r="H553" s="336">
        <v>2.9899999999999998</v>
      </c>
      <c r="I553" s="336">
        <v>2.9899999999999998</v>
      </c>
      <c r="J553" s="336">
        <v>2.9499999999999997</v>
      </c>
      <c r="L553" s="335">
        <v>2</v>
      </c>
    </row>
    <row r="554" spans="1:12" hidden="1">
      <c r="A554" s="347">
        <v>40872</v>
      </c>
      <c r="B554" s="347" t="s">
        <v>1273</v>
      </c>
      <c r="C554" s="348">
        <v>364</v>
      </c>
      <c r="D554" s="347">
        <v>41236</v>
      </c>
      <c r="E554" s="349">
        <v>3</v>
      </c>
      <c r="F554" s="350">
        <v>4.8963999999999999</v>
      </c>
      <c r="G554" s="350">
        <v>3</v>
      </c>
      <c r="H554" s="350">
        <v>4</v>
      </c>
      <c r="I554" s="350">
        <v>4</v>
      </c>
      <c r="J554" s="350">
        <v>4</v>
      </c>
      <c r="K554" s="351"/>
      <c r="L554" s="348">
        <v>2</v>
      </c>
    </row>
    <row r="555" spans="1:12" hidden="1">
      <c r="A555" s="334">
        <v>40872</v>
      </c>
      <c r="B555" s="223" t="s">
        <v>1274</v>
      </c>
      <c r="C555" s="335">
        <v>1092</v>
      </c>
      <c r="D555" s="334">
        <v>41964</v>
      </c>
      <c r="E555" s="338">
        <v>2</v>
      </c>
      <c r="F555" s="336">
        <v>2</v>
      </c>
      <c r="G555" s="336">
        <v>2</v>
      </c>
      <c r="H555" s="336">
        <v>5</v>
      </c>
      <c r="I555" s="336">
        <v>5</v>
      </c>
      <c r="J555" s="336">
        <v>5</v>
      </c>
      <c r="L555" s="335">
        <v>1</v>
      </c>
    </row>
    <row r="556" spans="1:12" hidden="1">
      <c r="A556" s="347">
        <v>40886</v>
      </c>
      <c r="B556" s="1604" t="s">
        <v>1284</v>
      </c>
      <c r="C556" s="348">
        <v>364</v>
      </c>
      <c r="D556" s="347">
        <v>41250</v>
      </c>
      <c r="E556" s="349">
        <v>4</v>
      </c>
      <c r="F556" s="350">
        <v>9.2670999999999992</v>
      </c>
      <c r="G556" s="350">
        <v>4</v>
      </c>
      <c r="H556" s="350">
        <v>4</v>
      </c>
      <c r="I556" s="350">
        <v>4</v>
      </c>
      <c r="J556" s="350">
        <v>4</v>
      </c>
      <c r="K556" s="351"/>
      <c r="L556" s="348">
        <v>4</v>
      </c>
    </row>
    <row r="557" spans="1:12" hidden="1">
      <c r="A557" s="334">
        <v>40890</v>
      </c>
      <c r="B557" s="223" t="s">
        <v>1285</v>
      </c>
      <c r="C557" s="335">
        <v>35</v>
      </c>
      <c r="D557" s="334">
        <v>40925</v>
      </c>
      <c r="E557" s="338">
        <v>9</v>
      </c>
      <c r="F557" s="336">
        <v>0</v>
      </c>
      <c r="G557" s="336">
        <v>0</v>
      </c>
      <c r="H557" s="336">
        <v>0</v>
      </c>
      <c r="I557" s="336">
        <v>0</v>
      </c>
      <c r="J557" s="336">
        <v>0</v>
      </c>
      <c r="L557" s="335">
        <v>0</v>
      </c>
    </row>
    <row r="558" spans="1:12" hidden="1">
      <c r="A558" s="347">
        <v>40893</v>
      </c>
      <c r="B558" s="1604" t="s">
        <v>1286</v>
      </c>
      <c r="C558" s="348">
        <v>91</v>
      </c>
      <c r="D558" s="347">
        <v>40984</v>
      </c>
      <c r="E558" s="349">
        <v>7</v>
      </c>
      <c r="F558" s="350">
        <v>0</v>
      </c>
      <c r="G558" s="350">
        <v>0</v>
      </c>
      <c r="H558" s="350">
        <v>0</v>
      </c>
      <c r="I558" s="350">
        <v>0</v>
      </c>
      <c r="J558" s="350">
        <v>0</v>
      </c>
      <c r="K558" s="351"/>
      <c r="L558" s="348">
        <v>0</v>
      </c>
    </row>
    <row r="559" spans="1:12" hidden="1">
      <c r="A559" s="334">
        <v>40900</v>
      </c>
      <c r="B559" s="223" t="s">
        <v>1287</v>
      </c>
      <c r="C559" s="335">
        <v>364</v>
      </c>
      <c r="D559" s="334">
        <v>41264</v>
      </c>
      <c r="E559" s="338">
        <v>3</v>
      </c>
      <c r="F559" s="336">
        <v>3</v>
      </c>
      <c r="G559" s="336">
        <v>3</v>
      </c>
      <c r="H559" s="336">
        <v>4</v>
      </c>
      <c r="I559" s="336">
        <v>4</v>
      </c>
      <c r="J559" s="336">
        <v>4</v>
      </c>
      <c r="L559" s="335">
        <v>1</v>
      </c>
    </row>
    <row r="560" spans="1:12" hidden="1">
      <c r="A560" s="347">
        <v>41068</v>
      </c>
      <c r="B560" s="1604">
        <v>102002364</v>
      </c>
      <c r="C560" s="348">
        <v>91</v>
      </c>
      <c r="D560" s="347">
        <v>41159</v>
      </c>
      <c r="E560" s="349">
        <v>4</v>
      </c>
      <c r="F560" s="350">
        <v>0.50209999999999999</v>
      </c>
      <c r="G560" s="350">
        <v>0</v>
      </c>
      <c r="H560" s="350">
        <v>2.02</v>
      </c>
      <c r="I560" s="350">
        <v>2.02</v>
      </c>
      <c r="J560" s="350">
        <v>2.02</v>
      </c>
      <c r="K560" s="351"/>
      <c r="L560" s="348">
        <v>1</v>
      </c>
    </row>
    <row r="561" spans="1:12" hidden="1">
      <c r="A561" s="334">
        <v>41068</v>
      </c>
      <c r="B561" s="223">
        <v>101001367</v>
      </c>
      <c r="C561" s="335">
        <v>35</v>
      </c>
      <c r="D561" s="334">
        <v>41103</v>
      </c>
      <c r="E561" s="338">
        <v>2</v>
      </c>
      <c r="F561" s="336">
        <v>1.0208999999999999</v>
      </c>
      <c r="G561" s="336">
        <v>0</v>
      </c>
      <c r="H561" s="336">
        <v>1.5699999999999998</v>
      </c>
      <c r="I561" s="336">
        <v>1.5699999999999998</v>
      </c>
      <c r="J561" s="336">
        <v>1.5699999999999998</v>
      </c>
      <c r="L561" s="335">
        <v>1</v>
      </c>
    </row>
    <row r="562" spans="1:12" hidden="1">
      <c r="A562" s="347">
        <v>41068</v>
      </c>
      <c r="B562" s="1604" t="s">
        <v>1318</v>
      </c>
      <c r="C562" s="348">
        <v>91</v>
      </c>
      <c r="D562" s="347">
        <v>41159</v>
      </c>
      <c r="E562" s="349">
        <v>4</v>
      </c>
      <c r="F562" s="350">
        <v>0</v>
      </c>
      <c r="G562" s="350">
        <v>0</v>
      </c>
      <c r="H562" s="350">
        <v>0</v>
      </c>
      <c r="I562" s="350">
        <v>0</v>
      </c>
      <c r="J562" s="350">
        <v>0</v>
      </c>
      <c r="K562" s="351"/>
      <c r="L562" s="348">
        <v>0</v>
      </c>
    </row>
    <row r="563" spans="1:12" hidden="1">
      <c r="A563" s="334">
        <v>41068</v>
      </c>
      <c r="B563" s="223" t="s">
        <v>1319</v>
      </c>
      <c r="C563" s="335">
        <v>35</v>
      </c>
      <c r="D563" s="334">
        <v>41103</v>
      </c>
      <c r="E563" s="338">
        <v>2</v>
      </c>
      <c r="F563" s="336">
        <v>0</v>
      </c>
      <c r="G563" s="336">
        <v>0</v>
      </c>
      <c r="H563" s="336">
        <v>0</v>
      </c>
      <c r="I563" s="336">
        <v>0</v>
      </c>
      <c r="J563" s="336">
        <v>0</v>
      </c>
      <c r="L563" s="335">
        <v>0</v>
      </c>
    </row>
    <row r="564" spans="1:12" hidden="1">
      <c r="A564" s="347">
        <v>41072</v>
      </c>
      <c r="B564" s="347" t="s">
        <v>1320</v>
      </c>
      <c r="C564" s="348">
        <v>364</v>
      </c>
      <c r="D564" s="347">
        <v>41436</v>
      </c>
      <c r="E564" s="349">
        <v>22</v>
      </c>
      <c r="F564" s="350">
        <v>11.749599999999999</v>
      </c>
      <c r="G564" s="350">
        <v>11.749599999999999</v>
      </c>
      <c r="H564" s="350">
        <v>4</v>
      </c>
      <c r="I564" s="350">
        <v>4</v>
      </c>
      <c r="J564" s="350">
        <v>4</v>
      </c>
      <c r="K564" s="351"/>
      <c r="L564" s="348">
        <v>4</v>
      </c>
    </row>
    <row r="565" spans="1:12" hidden="1">
      <c r="A565" s="334">
        <v>41072</v>
      </c>
      <c r="B565" s="334" t="s">
        <v>1794</v>
      </c>
      <c r="C565" s="335">
        <v>182</v>
      </c>
      <c r="D565" s="334">
        <v>41254</v>
      </c>
      <c r="E565" s="338">
        <v>7</v>
      </c>
      <c r="F565" s="336">
        <v>0</v>
      </c>
      <c r="G565" s="336">
        <v>0</v>
      </c>
      <c r="H565" s="336">
        <v>4.5</v>
      </c>
      <c r="I565" s="336">
        <v>4.5</v>
      </c>
      <c r="J565" s="336">
        <v>4.5</v>
      </c>
      <c r="L565" s="335">
        <v>0</v>
      </c>
    </row>
    <row r="566" spans="1:12" hidden="1">
      <c r="A566" s="347">
        <v>41072</v>
      </c>
      <c r="B566" s="347" t="s">
        <v>1795</v>
      </c>
      <c r="C566" s="348">
        <v>728</v>
      </c>
      <c r="D566" s="347">
        <v>41800</v>
      </c>
      <c r="E566" s="349">
        <v>3</v>
      </c>
      <c r="F566" s="350">
        <v>1.0006999999999999</v>
      </c>
      <c r="G566" s="350">
        <v>1</v>
      </c>
      <c r="H566" s="350">
        <v>4.5</v>
      </c>
      <c r="I566" s="350">
        <v>4.5</v>
      </c>
      <c r="J566" s="350">
        <v>4.5</v>
      </c>
      <c r="K566" s="351"/>
      <c r="L566" s="348">
        <v>1</v>
      </c>
    </row>
    <row r="567" spans="1:12" hidden="1">
      <c r="A567" s="334">
        <v>41079</v>
      </c>
      <c r="B567" s="223" t="s">
        <v>1796</v>
      </c>
      <c r="C567" s="335">
        <v>35</v>
      </c>
      <c r="D567" s="334">
        <v>41114</v>
      </c>
      <c r="E567" s="338">
        <v>2</v>
      </c>
      <c r="F567" s="336">
        <v>0</v>
      </c>
      <c r="G567" s="336">
        <v>0</v>
      </c>
      <c r="H567" s="336">
        <v>0</v>
      </c>
      <c r="I567" s="336">
        <v>0</v>
      </c>
      <c r="J567" s="336">
        <v>0</v>
      </c>
      <c r="L567" s="335">
        <v>0</v>
      </c>
    </row>
    <row r="568" spans="1:12" hidden="1">
      <c r="A568" s="347">
        <v>41082</v>
      </c>
      <c r="B568" s="1604" t="s">
        <v>1797</v>
      </c>
      <c r="C568" s="348">
        <v>91</v>
      </c>
      <c r="D568" s="347">
        <v>41173</v>
      </c>
      <c r="E568" s="349">
        <v>3</v>
      </c>
      <c r="F568" s="350">
        <v>1.0055000000000001</v>
      </c>
      <c r="G568" s="350">
        <v>1.0055000000000001</v>
      </c>
      <c r="H568" s="350">
        <v>2.5</v>
      </c>
      <c r="I568" s="350">
        <v>2.5</v>
      </c>
      <c r="J568" s="350">
        <v>2.5</v>
      </c>
      <c r="K568" s="351"/>
      <c r="L568" s="348">
        <v>1</v>
      </c>
    </row>
    <row r="569" spans="1:12" hidden="1">
      <c r="A569" s="334">
        <v>41089</v>
      </c>
      <c r="B569" s="223" t="s">
        <v>1798</v>
      </c>
      <c r="C569" s="335">
        <v>1092</v>
      </c>
      <c r="D569" s="334">
        <v>42181</v>
      </c>
      <c r="E569" s="338">
        <v>2</v>
      </c>
      <c r="F569" s="336">
        <v>6.5</v>
      </c>
      <c r="G569" s="336">
        <v>2</v>
      </c>
      <c r="H569" s="336">
        <v>5</v>
      </c>
      <c r="I569" s="336">
        <v>5</v>
      </c>
      <c r="J569" s="336">
        <v>5</v>
      </c>
      <c r="L569" s="335">
        <v>5</v>
      </c>
    </row>
    <row r="570" spans="1:12" hidden="1">
      <c r="A570" s="347">
        <v>41089</v>
      </c>
      <c r="B570" s="1604" t="s">
        <v>1799</v>
      </c>
      <c r="C570" s="348">
        <v>182</v>
      </c>
      <c r="D570" s="347">
        <v>41271</v>
      </c>
      <c r="E570" s="349">
        <v>6</v>
      </c>
      <c r="F570" s="350">
        <v>0</v>
      </c>
      <c r="G570" s="350">
        <v>0</v>
      </c>
      <c r="H570" s="350">
        <v>0</v>
      </c>
      <c r="I570" s="350">
        <v>0</v>
      </c>
      <c r="J570" s="350">
        <v>0</v>
      </c>
      <c r="K570" s="351"/>
      <c r="L570" s="348">
        <v>0</v>
      </c>
    </row>
    <row r="571" spans="1:12" hidden="1">
      <c r="A571" s="334">
        <v>41089</v>
      </c>
      <c r="B571" s="223" t="s">
        <v>1800</v>
      </c>
      <c r="C571" s="335">
        <v>364</v>
      </c>
      <c r="D571" s="334">
        <v>41453</v>
      </c>
      <c r="E571" s="338">
        <v>20</v>
      </c>
      <c r="F571" s="336">
        <v>20.942</v>
      </c>
      <c r="G571" s="336">
        <v>20</v>
      </c>
      <c r="H571" s="336">
        <v>4</v>
      </c>
      <c r="I571" s="336">
        <v>4</v>
      </c>
      <c r="J571" s="336">
        <v>4</v>
      </c>
      <c r="L571" s="335">
        <v>6</v>
      </c>
    </row>
    <row r="572" spans="1:12" hidden="1">
      <c r="A572" s="347">
        <v>41096</v>
      </c>
      <c r="B572" s="1604" t="s">
        <v>1321</v>
      </c>
      <c r="C572" s="348">
        <v>91</v>
      </c>
      <c r="D572" s="347">
        <v>41187</v>
      </c>
      <c r="E572" s="349">
        <v>4</v>
      </c>
      <c r="F572" s="350">
        <v>2.0106000000000002</v>
      </c>
      <c r="G572" s="350">
        <v>2.0106000000000002</v>
      </c>
      <c r="H572" s="350">
        <v>2.42</v>
      </c>
      <c r="I572" s="350">
        <v>2.42</v>
      </c>
      <c r="J572" s="350">
        <v>2.42</v>
      </c>
      <c r="K572" s="351"/>
      <c r="L572" s="348">
        <v>1</v>
      </c>
    </row>
    <row r="573" spans="1:12" hidden="1">
      <c r="A573" s="334">
        <v>41096</v>
      </c>
      <c r="B573" s="223" t="s">
        <v>1322</v>
      </c>
      <c r="C573" s="335">
        <v>364</v>
      </c>
      <c r="D573" s="334">
        <v>41460</v>
      </c>
      <c r="E573" s="338">
        <v>2</v>
      </c>
      <c r="F573" s="336">
        <v>1.6035999999999999</v>
      </c>
      <c r="G573" s="336">
        <v>1.5519000000000001</v>
      </c>
      <c r="H573" s="336">
        <v>3.73</v>
      </c>
      <c r="I573" s="336">
        <v>3.73</v>
      </c>
      <c r="J573" s="336">
        <v>3.73</v>
      </c>
      <c r="L573" s="335">
        <v>2</v>
      </c>
    </row>
    <row r="574" spans="1:12" hidden="1">
      <c r="A574" s="347">
        <v>41100</v>
      </c>
      <c r="B574" s="1604" t="s">
        <v>1323</v>
      </c>
      <c r="C574" s="348">
        <v>182</v>
      </c>
      <c r="D574" s="347">
        <v>41282</v>
      </c>
      <c r="E574" s="349">
        <v>7</v>
      </c>
      <c r="F574" s="350">
        <v>0</v>
      </c>
      <c r="G574" s="350">
        <v>0</v>
      </c>
      <c r="H574" s="350">
        <v>0</v>
      </c>
      <c r="I574" s="350">
        <v>0</v>
      </c>
      <c r="J574" s="350">
        <v>0</v>
      </c>
      <c r="K574" s="351"/>
      <c r="L574" s="348">
        <v>0</v>
      </c>
    </row>
    <row r="575" spans="1:12" hidden="1">
      <c r="A575" s="334">
        <v>41103</v>
      </c>
      <c r="B575" s="223" t="s">
        <v>1324</v>
      </c>
      <c r="C575" s="335">
        <v>1092</v>
      </c>
      <c r="D575" s="334">
        <v>42195</v>
      </c>
      <c r="E575" s="338">
        <v>2</v>
      </c>
      <c r="F575" s="336">
        <v>4</v>
      </c>
      <c r="G575" s="336">
        <v>2</v>
      </c>
      <c r="H575" s="336">
        <v>5</v>
      </c>
      <c r="I575" s="336">
        <v>5</v>
      </c>
      <c r="J575" s="336">
        <v>5</v>
      </c>
      <c r="L575" s="335">
        <v>2</v>
      </c>
    </row>
    <row r="576" spans="1:12" hidden="1">
      <c r="A576" s="347">
        <v>41103</v>
      </c>
      <c r="B576" s="347" t="s">
        <v>1325</v>
      </c>
      <c r="C576" s="348">
        <v>364</v>
      </c>
      <c r="D576" s="347">
        <v>41467</v>
      </c>
      <c r="E576" s="349">
        <v>22</v>
      </c>
      <c r="F576" s="350">
        <v>17.5061</v>
      </c>
      <c r="G576" s="350">
        <v>17.5061</v>
      </c>
      <c r="H576" s="350">
        <v>4</v>
      </c>
      <c r="I576" s="350">
        <v>4</v>
      </c>
      <c r="J576" s="350">
        <v>4</v>
      </c>
      <c r="K576" s="351"/>
      <c r="L576" s="348">
        <v>4</v>
      </c>
    </row>
    <row r="577" spans="1:12" hidden="1">
      <c r="A577" s="334">
        <v>41107</v>
      </c>
      <c r="B577" s="223" t="s">
        <v>1326</v>
      </c>
      <c r="C577" s="335">
        <v>35</v>
      </c>
      <c r="D577" s="334">
        <v>41142</v>
      </c>
      <c r="E577" s="338">
        <v>2</v>
      </c>
      <c r="F577" s="336">
        <v>0</v>
      </c>
      <c r="G577" s="336">
        <v>0</v>
      </c>
      <c r="H577" s="336">
        <v>0</v>
      </c>
      <c r="I577" s="336">
        <v>0</v>
      </c>
      <c r="J577" s="336">
        <v>0</v>
      </c>
      <c r="L577" s="335">
        <v>0</v>
      </c>
    </row>
    <row r="578" spans="1:12" hidden="1">
      <c r="A578" s="347">
        <v>41110</v>
      </c>
      <c r="B578" s="347" t="s">
        <v>1327</v>
      </c>
      <c r="C578" s="348">
        <v>91</v>
      </c>
      <c r="D578" s="347">
        <v>41201</v>
      </c>
      <c r="E578" s="349">
        <v>3</v>
      </c>
      <c r="F578" s="350">
        <v>0</v>
      </c>
      <c r="G578" s="350">
        <v>0</v>
      </c>
      <c r="H578" s="350">
        <v>0</v>
      </c>
      <c r="I578" s="350">
        <v>0</v>
      </c>
      <c r="J578" s="350">
        <v>0</v>
      </c>
      <c r="K578" s="351"/>
      <c r="L578" s="348">
        <v>0</v>
      </c>
    </row>
    <row r="579" spans="1:12" hidden="1">
      <c r="A579" s="334">
        <v>41114</v>
      </c>
      <c r="B579" s="334" t="s">
        <v>1328</v>
      </c>
      <c r="C579" s="335">
        <v>182</v>
      </c>
      <c r="D579" s="334">
        <v>41296</v>
      </c>
      <c r="E579" s="338">
        <v>6</v>
      </c>
      <c r="F579" s="336">
        <v>0</v>
      </c>
      <c r="G579" s="336">
        <v>0</v>
      </c>
      <c r="H579" s="336">
        <v>0</v>
      </c>
      <c r="I579" s="336">
        <v>0</v>
      </c>
      <c r="J579" s="336">
        <v>0</v>
      </c>
      <c r="L579" s="335">
        <v>0</v>
      </c>
    </row>
    <row r="580" spans="1:12" hidden="1">
      <c r="A580" s="347">
        <v>41117</v>
      </c>
      <c r="B580" s="347" t="s">
        <v>1329</v>
      </c>
      <c r="C580" s="348">
        <v>364</v>
      </c>
      <c r="D580" s="347">
        <v>41481</v>
      </c>
      <c r="E580" s="349">
        <v>20</v>
      </c>
      <c r="F580" s="350">
        <v>0</v>
      </c>
      <c r="G580" s="350">
        <v>0</v>
      </c>
      <c r="H580" s="350">
        <v>4</v>
      </c>
      <c r="I580" s="350">
        <v>4</v>
      </c>
      <c r="J580" s="350">
        <v>0</v>
      </c>
      <c r="K580" s="351"/>
      <c r="L580" s="348">
        <v>0</v>
      </c>
    </row>
    <row r="581" spans="1:12" hidden="1">
      <c r="A581" s="334">
        <v>41117</v>
      </c>
      <c r="B581" s="223" t="s">
        <v>1330</v>
      </c>
      <c r="C581" s="335">
        <v>1092</v>
      </c>
      <c r="D581" s="334">
        <v>42209</v>
      </c>
      <c r="E581" s="338">
        <v>1</v>
      </c>
      <c r="F581" s="336">
        <v>1</v>
      </c>
      <c r="G581" s="336">
        <v>1</v>
      </c>
      <c r="H581" s="336">
        <v>5</v>
      </c>
      <c r="I581" s="336">
        <v>5</v>
      </c>
      <c r="J581" s="336">
        <v>5</v>
      </c>
      <c r="L581" s="335">
        <v>1</v>
      </c>
    </row>
    <row r="582" spans="1:12" hidden="1">
      <c r="A582" s="347">
        <v>41124</v>
      </c>
      <c r="B582" s="1604" t="s">
        <v>1339</v>
      </c>
      <c r="C582" s="348">
        <v>364</v>
      </c>
      <c r="D582" s="347">
        <v>41488</v>
      </c>
      <c r="E582" s="349">
        <v>1</v>
      </c>
      <c r="F582" s="350">
        <v>0</v>
      </c>
      <c r="G582" s="350">
        <v>0</v>
      </c>
      <c r="H582" s="350">
        <v>0</v>
      </c>
      <c r="I582" s="350">
        <v>0</v>
      </c>
      <c r="J582" s="350">
        <v>0</v>
      </c>
      <c r="K582" s="351"/>
      <c r="L582" s="348">
        <v>0</v>
      </c>
    </row>
    <row r="583" spans="1:12" hidden="1">
      <c r="A583" s="334">
        <v>41124</v>
      </c>
      <c r="B583" s="223" t="s">
        <v>1340</v>
      </c>
      <c r="C583" s="335">
        <v>91</v>
      </c>
      <c r="D583" s="334">
        <v>41215</v>
      </c>
      <c r="E583" s="338">
        <v>4</v>
      </c>
      <c r="F583" s="336">
        <v>4</v>
      </c>
      <c r="G583" s="336">
        <v>4</v>
      </c>
      <c r="H583" s="336">
        <v>2.42</v>
      </c>
      <c r="I583" s="336">
        <v>2.42</v>
      </c>
      <c r="J583" s="336">
        <v>2.42</v>
      </c>
      <c r="L583" s="335">
        <v>1</v>
      </c>
    </row>
    <row r="584" spans="1:12" hidden="1">
      <c r="A584" s="347">
        <v>41124</v>
      </c>
      <c r="B584" s="1604" t="s">
        <v>1341</v>
      </c>
      <c r="C584" s="348">
        <v>35</v>
      </c>
      <c r="D584" s="347">
        <v>41159</v>
      </c>
      <c r="E584" s="349">
        <v>2</v>
      </c>
      <c r="F584" s="350">
        <v>1.5</v>
      </c>
      <c r="G584" s="350">
        <v>1.5</v>
      </c>
      <c r="H584" s="350">
        <v>1.46</v>
      </c>
      <c r="I584" s="350">
        <v>1.46</v>
      </c>
      <c r="J584" s="350">
        <v>1.46</v>
      </c>
      <c r="K584" s="351"/>
      <c r="L584" s="348">
        <v>1</v>
      </c>
    </row>
    <row r="585" spans="1:12" hidden="1">
      <c r="A585" s="334">
        <v>41128</v>
      </c>
      <c r="B585" s="223" t="s">
        <v>1342</v>
      </c>
      <c r="C585" s="335">
        <v>182</v>
      </c>
      <c r="D585" s="334">
        <v>41310</v>
      </c>
      <c r="E585" s="338">
        <v>7</v>
      </c>
      <c r="F585" s="336">
        <v>0</v>
      </c>
      <c r="G585" s="336">
        <v>0</v>
      </c>
      <c r="H585" s="336">
        <v>0</v>
      </c>
      <c r="I585" s="336">
        <v>0</v>
      </c>
      <c r="J585" s="336">
        <v>0</v>
      </c>
      <c r="L585" s="335">
        <v>0</v>
      </c>
    </row>
    <row r="586" spans="1:12" hidden="1">
      <c r="A586" s="347">
        <v>41131</v>
      </c>
      <c r="B586" s="1604" t="s">
        <v>1343</v>
      </c>
      <c r="C586" s="348">
        <v>364</v>
      </c>
      <c r="D586" s="347">
        <v>41495</v>
      </c>
      <c r="E586" s="349">
        <v>22</v>
      </c>
      <c r="F586" s="350">
        <v>0</v>
      </c>
      <c r="G586" s="350">
        <v>0</v>
      </c>
      <c r="H586" s="350">
        <v>4</v>
      </c>
      <c r="I586" s="350">
        <v>4</v>
      </c>
      <c r="J586" s="350">
        <v>0</v>
      </c>
      <c r="K586" s="351"/>
      <c r="L586" s="348">
        <v>0</v>
      </c>
    </row>
    <row r="587" spans="1:12" hidden="1">
      <c r="A587" s="334">
        <v>41131</v>
      </c>
      <c r="B587" s="223" t="s">
        <v>1344</v>
      </c>
      <c r="C587" s="335">
        <v>728</v>
      </c>
      <c r="D587" s="334">
        <v>41859</v>
      </c>
      <c r="E587" s="338">
        <v>1</v>
      </c>
      <c r="F587" s="336">
        <v>0.49830000000000002</v>
      </c>
      <c r="G587" s="336">
        <v>0.49830000000000002</v>
      </c>
      <c r="H587" s="336">
        <v>4.5</v>
      </c>
      <c r="I587" s="336">
        <v>4.5</v>
      </c>
      <c r="J587" s="336">
        <v>4.5</v>
      </c>
      <c r="L587" s="335">
        <v>1</v>
      </c>
    </row>
    <row r="588" spans="1:12" hidden="1">
      <c r="A588" s="347">
        <v>41135</v>
      </c>
      <c r="B588" s="1604" t="s">
        <v>1345</v>
      </c>
      <c r="C588" s="348">
        <v>35</v>
      </c>
      <c r="D588" s="347">
        <v>41170</v>
      </c>
      <c r="E588" s="349">
        <v>2</v>
      </c>
      <c r="F588" s="350">
        <v>0</v>
      </c>
      <c r="G588" s="350">
        <v>0</v>
      </c>
      <c r="H588" s="350">
        <v>0</v>
      </c>
      <c r="I588" s="350">
        <v>0</v>
      </c>
      <c r="J588" s="350">
        <v>0</v>
      </c>
      <c r="K588" s="351"/>
      <c r="L588" s="348">
        <v>0</v>
      </c>
    </row>
    <row r="589" spans="1:12" hidden="1">
      <c r="A589" s="334">
        <v>41138</v>
      </c>
      <c r="B589" s="223" t="s">
        <v>1346</v>
      </c>
      <c r="C589" s="335">
        <v>91</v>
      </c>
      <c r="D589" s="334">
        <v>41229</v>
      </c>
      <c r="E589" s="338">
        <v>3</v>
      </c>
      <c r="F589" s="336">
        <v>0</v>
      </c>
      <c r="G589" s="336">
        <v>0</v>
      </c>
      <c r="H589" s="336">
        <v>0</v>
      </c>
      <c r="I589" s="336">
        <v>0</v>
      </c>
      <c r="J589" s="336">
        <v>0</v>
      </c>
      <c r="L589" s="335">
        <v>0</v>
      </c>
    </row>
    <row r="590" spans="1:12" hidden="1">
      <c r="A590" s="347">
        <v>41145</v>
      </c>
      <c r="B590" s="347" t="s">
        <v>1347</v>
      </c>
      <c r="C590" s="348">
        <v>364</v>
      </c>
      <c r="D590" s="347">
        <v>41509</v>
      </c>
      <c r="E590" s="349">
        <v>20</v>
      </c>
      <c r="F590" s="350">
        <v>0</v>
      </c>
      <c r="G590" s="350">
        <v>0</v>
      </c>
      <c r="H590" s="350">
        <v>4</v>
      </c>
      <c r="I590" s="350">
        <v>4</v>
      </c>
      <c r="J590" s="350">
        <v>0</v>
      </c>
      <c r="K590" s="351"/>
      <c r="L590" s="348">
        <v>0</v>
      </c>
    </row>
    <row r="591" spans="1:12" hidden="1">
      <c r="A591" s="334">
        <v>41145</v>
      </c>
      <c r="B591" s="223" t="s">
        <v>1348</v>
      </c>
      <c r="C591" s="335">
        <v>1092</v>
      </c>
      <c r="D591" s="334">
        <v>42237</v>
      </c>
      <c r="E591" s="338">
        <v>2</v>
      </c>
      <c r="F591" s="336">
        <v>2.3982000000000001</v>
      </c>
      <c r="G591" s="336">
        <v>2</v>
      </c>
      <c r="H591" s="336">
        <v>5</v>
      </c>
      <c r="I591" s="336">
        <v>5</v>
      </c>
      <c r="J591" s="336">
        <v>5</v>
      </c>
      <c r="L591" s="335">
        <v>1</v>
      </c>
    </row>
    <row r="592" spans="1:12" hidden="1">
      <c r="A592" s="347">
        <v>41145</v>
      </c>
      <c r="B592" s="347" t="s">
        <v>1348</v>
      </c>
      <c r="C592" s="348">
        <v>1092</v>
      </c>
      <c r="D592" s="347">
        <v>42237</v>
      </c>
      <c r="E592" s="349">
        <v>2</v>
      </c>
      <c r="F592" s="350">
        <v>2.3982000000000001</v>
      </c>
      <c r="G592" s="350">
        <v>2</v>
      </c>
      <c r="H592" s="350">
        <v>5</v>
      </c>
      <c r="I592" s="350">
        <v>5</v>
      </c>
      <c r="J592" s="350">
        <v>5</v>
      </c>
      <c r="K592" s="351"/>
      <c r="L592" s="348">
        <v>1</v>
      </c>
    </row>
    <row r="593" spans="1:12" hidden="1">
      <c r="A593" s="334">
        <v>41156</v>
      </c>
      <c r="B593" s="334" t="s">
        <v>1353</v>
      </c>
      <c r="C593" s="335">
        <v>35</v>
      </c>
      <c r="D593" s="334">
        <v>41191</v>
      </c>
      <c r="E593" s="338">
        <v>2</v>
      </c>
      <c r="F593" s="336">
        <v>1.9999</v>
      </c>
      <c r="G593" s="336">
        <v>1.9999</v>
      </c>
      <c r="H593" s="336">
        <v>1.46</v>
      </c>
      <c r="I593" s="336">
        <v>1.46</v>
      </c>
      <c r="J593" s="336">
        <v>1.46</v>
      </c>
      <c r="L593" s="335">
        <v>1</v>
      </c>
    </row>
    <row r="594" spans="1:12" hidden="1">
      <c r="A594" s="347">
        <v>41159</v>
      </c>
      <c r="B594" s="347" t="s">
        <v>1354</v>
      </c>
      <c r="C594" s="348">
        <v>364</v>
      </c>
      <c r="D594" s="347">
        <v>41523</v>
      </c>
      <c r="E594" s="349">
        <v>1</v>
      </c>
      <c r="F594" s="350">
        <v>1</v>
      </c>
      <c r="G594" s="350">
        <v>1</v>
      </c>
      <c r="H594" s="350">
        <v>3.74</v>
      </c>
      <c r="I594" s="350">
        <v>3.74</v>
      </c>
      <c r="J594" s="350">
        <v>3.74</v>
      </c>
      <c r="K594" s="351"/>
      <c r="L594" s="348">
        <v>1</v>
      </c>
    </row>
    <row r="595" spans="1:12" hidden="1">
      <c r="A595" s="334">
        <v>41159</v>
      </c>
      <c r="B595" s="223" t="s">
        <v>1355</v>
      </c>
      <c r="C595" s="335">
        <v>91</v>
      </c>
      <c r="D595" s="334">
        <v>41250</v>
      </c>
      <c r="E595" s="338">
        <v>4</v>
      </c>
      <c r="F595" s="336">
        <v>0</v>
      </c>
      <c r="G595" s="336">
        <v>0</v>
      </c>
      <c r="H595" s="336">
        <v>0</v>
      </c>
      <c r="I595" s="336">
        <v>0</v>
      </c>
      <c r="J595" s="336">
        <v>0</v>
      </c>
      <c r="L595" s="335">
        <v>0</v>
      </c>
    </row>
    <row r="596" spans="1:12" hidden="1">
      <c r="A596" s="347">
        <v>41163</v>
      </c>
      <c r="B596" s="1604" t="s">
        <v>1356</v>
      </c>
      <c r="C596" s="348">
        <v>182</v>
      </c>
      <c r="D596" s="347">
        <v>41345</v>
      </c>
      <c r="E596" s="349">
        <v>7</v>
      </c>
      <c r="F596" s="350">
        <v>0</v>
      </c>
      <c r="G596" s="350">
        <v>0</v>
      </c>
      <c r="H596" s="350">
        <v>0</v>
      </c>
      <c r="I596" s="350">
        <v>0</v>
      </c>
      <c r="J596" s="350">
        <v>0</v>
      </c>
      <c r="K596" s="351"/>
      <c r="L596" s="348">
        <v>0</v>
      </c>
    </row>
    <row r="597" spans="1:12" hidden="1">
      <c r="A597" s="334">
        <v>41166</v>
      </c>
      <c r="B597" s="223" t="s">
        <v>1357</v>
      </c>
      <c r="C597" s="335">
        <v>364</v>
      </c>
      <c r="D597" s="334">
        <v>41530</v>
      </c>
      <c r="E597" s="338">
        <v>22</v>
      </c>
      <c r="F597" s="336">
        <v>5.7445000000000004</v>
      </c>
      <c r="G597" s="336">
        <v>5.7445000000000004</v>
      </c>
      <c r="H597" s="336">
        <v>4</v>
      </c>
      <c r="I597" s="336">
        <v>4</v>
      </c>
      <c r="J597" s="336">
        <v>4</v>
      </c>
      <c r="L597" s="335">
        <v>3</v>
      </c>
    </row>
    <row r="598" spans="1:12" hidden="1">
      <c r="A598" s="347">
        <v>41166</v>
      </c>
      <c r="B598" s="1604" t="s">
        <v>1358</v>
      </c>
      <c r="C598" s="348">
        <v>1092</v>
      </c>
      <c r="D598" s="347">
        <v>42258</v>
      </c>
      <c r="E598" s="349">
        <v>2</v>
      </c>
      <c r="F598" s="350">
        <v>4.3982000000000001</v>
      </c>
      <c r="G598" s="350">
        <v>2</v>
      </c>
      <c r="H598" s="350">
        <v>5</v>
      </c>
      <c r="I598" s="350">
        <v>5</v>
      </c>
      <c r="J598" s="350">
        <v>5</v>
      </c>
      <c r="K598" s="351"/>
      <c r="L598" s="348">
        <v>2</v>
      </c>
    </row>
    <row r="599" spans="1:12" hidden="1">
      <c r="A599" s="334">
        <v>41170</v>
      </c>
      <c r="B599" s="223" t="s">
        <v>1359</v>
      </c>
      <c r="C599" s="335">
        <v>35</v>
      </c>
      <c r="D599" s="334">
        <v>41205</v>
      </c>
      <c r="E599" s="338">
        <v>2</v>
      </c>
      <c r="F599" s="336">
        <v>0</v>
      </c>
      <c r="G599" s="336">
        <v>0</v>
      </c>
      <c r="H599" s="336">
        <v>0</v>
      </c>
      <c r="I599" s="336">
        <v>0</v>
      </c>
      <c r="J599" s="336">
        <v>0</v>
      </c>
      <c r="L599" s="335">
        <v>0</v>
      </c>
    </row>
    <row r="600" spans="1:12" hidden="1">
      <c r="A600" s="347">
        <v>41173</v>
      </c>
      <c r="B600" s="1604" t="s">
        <v>1360</v>
      </c>
      <c r="C600" s="348">
        <v>91</v>
      </c>
      <c r="D600" s="347">
        <v>41264</v>
      </c>
      <c r="E600" s="349">
        <v>3</v>
      </c>
      <c r="F600" s="350">
        <v>0</v>
      </c>
      <c r="G600" s="350">
        <v>0</v>
      </c>
      <c r="H600" s="350">
        <v>0</v>
      </c>
      <c r="I600" s="350">
        <v>0</v>
      </c>
      <c r="J600" s="350">
        <v>0</v>
      </c>
      <c r="K600" s="351"/>
      <c r="L600" s="348">
        <v>0</v>
      </c>
    </row>
    <row r="601" spans="1:12" hidden="1">
      <c r="A601" s="334">
        <v>41177</v>
      </c>
      <c r="B601" s="223" t="s">
        <v>1361</v>
      </c>
      <c r="C601" s="335">
        <v>182</v>
      </c>
      <c r="D601" s="334">
        <v>41359</v>
      </c>
      <c r="E601" s="338">
        <v>7</v>
      </c>
      <c r="F601" s="336">
        <v>0</v>
      </c>
      <c r="G601" s="336">
        <v>0</v>
      </c>
      <c r="H601" s="336">
        <v>0</v>
      </c>
      <c r="I601" s="336">
        <v>0</v>
      </c>
      <c r="J601" s="336">
        <v>0</v>
      </c>
      <c r="L601" s="335">
        <v>0</v>
      </c>
    </row>
    <row r="602" spans="1:12" hidden="1">
      <c r="A602" s="347">
        <v>41180</v>
      </c>
      <c r="B602" s="1604" t="s">
        <v>1362</v>
      </c>
      <c r="C602" s="348">
        <v>364</v>
      </c>
      <c r="D602" s="347">
        <v>41544</v>
      </c>
      <c r="E602" s="349">
        <v>20</v>
      </c>
      <c r="F602" s="350">
        <v>6.0519999999999996</v>
      </c>
      <c r="G602" s="350">
        <v>6.0519999999999996</v>
      </c>
      <c r="H602" s="350">
        <v>4</v>
      </c>
      <c r="I602" s="350">
        <v>4</v>
      </c>
      <c r="J602" s="350">
        <v>4</v>
      </c>
      <c r="K602" s="351"/>
      <c r="L602" s="348">
        <v>2</v>
      </c>
    </row>
    <row r="603" spans="1:12" hidden="1">
      <c r="A603" s="334">
        <v>41180</v>
      </c>
      <c r="B603" s="223" t="s">
        <v>1363</v>
      </c>
      <c r="C603" s="335">
        <v>1092</v>
      </c>
      <c r="D603" s="334">
        <v>42272</v>
      </c>
      <c r="E603" s="338">
        <v>1</v>
      </c>
      <c r="F603" s="336">
        <v>2.1985000000000001</v>
      </c>
      <c r="G603" s="336">
        <v>1</v>
      </c>
      <c r="H603" s="336">
        <v>5</v>
      </c>
      <c r="I603" s="336">
        <v>5</v>
      </c>
      <c r="J603" s="336">
        <v>5</v>
      </c>
      <c r="L603" s="335">
        <v>2</v>
      </c>
    </row>
    <row r="604" spans="1:12" hidden="1">
      <c r="A604" s="347">
        <v>41184</v>
      </c>
      <c r="B604" s="347" t="s">
        <v>1369</v>
      </c>
      <c r="C604" s="348">
        <v>35</v>
      </c>
      <c r="D604" s="347">
        <v>41219</v>
      </c>
      <c r="E604" s="349">
        <v>2</v>
      </c>
      <c r="F604" s="350">
        <v>0</v>
      </c>
      <c r="G604" s="350">
        <v>0</v>
      </c>
      <c r="H604" s="350">
        <v>0</v>
      </c>
      <c r="I604" s="350">
        <v>0</v>
      </c>
      <c r="J604" s="350">
        <v>0</v>
      </c>
      <c r="K604" s="351"/>
      <c r="L604" s="348">
        <v>0</v>
      </c>
    </row>
    <row r="605" spans="1:12" hidden="1">
      <c r="A605" s="334">
        <v>41187</v>
      </c>
      <c r="B605" s="223" t="s">
        <v>1370</v>
      </c>
      <c r="C605" s="335">
        <v>91</v>
      </c>
      <c r="D605" s="334">
        <v>41278</v>
      </c>
      <c r="E605" s="338">
        <v>4</v>
      </c>
      <c r="F605" s="336">
        <v>2.0217000000000001</v>
      </c>
      <c r="G605" s="336">
        <v>2.0217000000000001</v>
      </c>
      <c r="H605" s="336">
        <v>2.5</v>
      </c>
      <c r="I605" s="336">
        <v>2.5</v>
      </c>
      <c r="J605" s="336">
        <v>2.5</v>
      </c>
      <c r="L605" s="335">
        <v>1</v>
      </c>
    </row>
    <row r="606" spans="1:12" hidden="1">
      <c r="A606" s="347">
        <v>41191</v>
      </c>
      <c r="B606" s="1604" t="s">
        <v>1371</v>
      </c>
      <c r="C606" s="348">
        <v>182</v>
      </c>
      <c r="D606" s="347">
        <v>41373</v>
      </c>
      <c r="E606" s="349">
        <v>7</v>
      </c>
      <c r="F606" s="350">
        <v>0</v>
      </c>
      <c r="G606" s="350">
        <v>0</v>
      </c>
      <c r="H606" s="350">
        <v>0</v>
      </c>
      <c r="I606" s="350">
        <v>0</v>
      </c>
      <c r="J606" s="350">
        <v>0</v>
      </c>
      <c r="K606" s="351"/>
      <c r="L606" s="348">
        <v>0</v>
      </c>
    </row>
    <row r="607" spans="1:12" hidden="1">
      <c r="A607" s="334">
        <v>41194</v>
      </c>
      <c r="B607" s="223" t="s">
        <v>1372</v>
      </c>
      <c r="C607" s="335">
        <v>728</v>
      </c>
      <c r="D607" s="334">
        <v>41922</v>
      </c>
      <c r="E607" s="338">
        <v>1</v>
      </c>
      <c r="F607" s="336">
        <v>1.1991000000000001</v>
      </c>
      <c r="G607" s="336">
        <v>1.1991000000000001</v>
      </c>
      <c r="H607" s="336">
        <v>4.5</v>
      </c>
      <c r="I607" s="336">
        <v>4.5</v>
      </c>
      <c r="J607" s="336">
        <v>4.5</v>
      </c>
      <c r="L607" s="335">
        <v>1</v>
      </c>
    </row>
    <row r="608" spans="1:12" hidden="1">
      <c r="A608" s="347">
        <v>41194</v>
      </c>
      <c r="B608" s="1604" t="s">
        <v>1373</v>
      </c>
      <c r="C608" s="348">
        <v>364</v>
      </c>
      <c r="D608" s="347">
        <v>41558</v>
      </c>
      <c r="E608" s="349">
        <v>22</v>
      </c>
      <c r="F608" s="350">
        <v>0</v>
      </c>
      <c r="G608" s="350">
        <v>0</v>
      </c>
      <c r="H608" s="350">
        <v>4</v>
      </c>
      <c r="I608" s="350">
        <v>4</v>
      </c>
      <c r="J608" s="350">
        <v>0</v>
      </c>
      <c r="K608" s="351"/>
      <c r="L608" s="348">
        <v>0</v>
      </c>
    </row>
    <row r="609" spans="1:12" hidden="1">
      <c r="A609" s="334">
        <v>41198</v>
      </c>
      <c r="B609" s="223" t="s">
        <v>1374</v>
      </c>
      <c r="C609" s="335">
        <v>35</v>
      </c>
      <c r="D609" s="334">
        <v>41233</v>
      </c>
      <c r="E609" s="338">
        <v>2</v>
      </c>
      <c r="F609" s="336">
        <v>0</v>
      </c>
      <c r="G609" s="336">
        <v>0</v>
      </c>
      <c r="H609" s="336">
        <v>0</v>
      </c>
      <c r="I609" s="336">
        <v>0</v>
      </c>
      <c r="J609" s="336">
        <v>0</v>
      </c>
      <c r="L609" s="335">
        <v>0</v>
      </c>
    </row>
    <row r="610" spans="1:12" hidden="1">
      <c r="A610" s="347">
        <v>41201</v>
      </c>
      <c r="B610" s="1604" t="s">
        <v>1375</v>
      </c>
      <c r="C610" s="348">
        <v>91</v>
      </c>
      <c r="D610" s="347">
        <v>41292</v>
      </c>
      <c r="E610" s="349">
        <v>3</v>
      </c>
      <c r="F610" s="350">
        <v>0</v>
      </c>
      <c r="G610" s="350">
        <v>0</v>
      </c>
      <c r="H610" s="350">
        <v>0</v>
      </c>
      <c r="I610" s="350">
        <v>0</v>
      </c>
      <c r="J610" s="350">
        <v>0</v>
      </c>
      <c r="K610" s="351"/>
      <c r="L610" s="348">
        <v>0</v>
      </c>
    </row>
    <row r="611" spans="1:12" hidden="1">
      <c r="A611" s="334">
        <v>41205</v>
      </c>
      <c r="B611" s="223" t="s">
        <v>1376</v>
      </c>
      <c r="C611" s="335">
        <v>182</v>
      </c>
      <c r="D611" s="334">
        <v>41387</v>
      </c>
      <c r="E611" s="338">
        <v>7</v>
      </c>
      <c r="F611" s="336">
        <v>0</v>
      </c>
      <c r="G611" s="336">
        <v>0</v>
      </c>
      <c r="H611" s="336">
        <v>0</v>
      </c>
      <c r="I611" s="336">
        <v>0</v>
      </c>
      <c r="J611" s="336">
        <v>0</v>
      </c>
      <c r="L611" s="335">
        <v>0</v>
      </c>
    </row>
    <row r="612" spans="1:12" hidden="1">
      <c r="A612" s="347">
        <v>41205</v>
      </c>
      <c r="B612" s="1604" t="s">
        <v>1377</v>
      </c>
      <c r="C612" s="348">
        <v>364</v>
      </c>
      <c r="D612" s="347">
        <v>41569</v>
      </c>
      <c r="E612" s="349">
        <v>22</v>
      </c>
      <c r="F612" s="350">
        <v>0</v>
      </c>
      <c r="G612" s="350">
        <v>0</v>
      </c>
      <c r="H612" s="350">
        <v>4</v>
      </c>
      <c r="I612" s="350">
        <v>4</v>
      </c>
      <c r="J612" s="350">
        <v>0</v>
      </c>
      <c r="K612" s="351"/>
      <c r="L612" s="348">
        <v>0</v>
      </c>
    </row>
    <row r="613" spans="1:12" hidden="1">
      <c r="A613" s="334">
        <v>41205</v>
      </c>
      <c r="B613" s="223" t="s">
        <v>1378</v>
      </c>
      <c r="C613" s="335">
        <v>1092</v>
      </c>
      <c r="D613" s="334">
        <v>42297</v>
      </c>
      <c r="E613" s="338">
        <v>2</v>
      </c>
      <c r="F613" s="336">
        <v>2.8969999999999998</v>
      </c>
      <c r="G613" s="336">
        <v>2</v>
      </c>
      <c r="H613" s="336">
        <v>5</v>
      </c>
      <c r="I613" s="336">
        <v>5</v>
      </c>
      <c r="J613" s="336">
        <v>5</v>
      </c>
      <c r="L613" s="335">
        <v>2</v>
      </c>
    </row>
    <row r="614" spans="1:12" hidden="1">
      <c r="A614" s="347">
        <v>41219</v>
      </c>
      <c r="B614" s="1604" t="s">
        <v>1383</v>
      </c>
      <c r="C614" s="348">
        <v>35</v>
      </c>
      <c r="D614" s="347">
        <v>41254</v>
      </c>
      <c r="E614" s="349">
        <v>2</v>
      </c>
      <c r="F614" s="350">
        <v>0</v>
      </c>
      <c r="G614" s="350">
        <v>0</v>
      </c>
      <c r="H614" s="350">
        <v>0</v>
      </c>
      <c r="I614" s="350">
        <v>0</v>
      </c>
      <c r="J614" s="350">
        <v>0</v>
      </c>
      <c r="K614" s="351"/>
      <c r="L614" s="348">
        <v>0</v>
      </c>
    </row>
    <row r="615" spans="1:12" hidden="1">
      <c r="A615" s="334">
        <v>41221</v>
      </c>
      <c r="B615" s="223" t="s">
        <v>1384</v>
      </c>
      <c r="C615" s="335">
        <v>364</v>
      </c>
      <c r="D615" s="334">
        <v>41585</v>
      </c>
      <c r="E615" s="338">
        <v>1</v>
      </c>
      <c r="F615" s="336">
        <v>0</v>
      </c>
      <c r="G615" s="336">
        <v>0</v>
      </c>
      <c r="H615" s="336">
        <v>0</v>
      </c>
      <c r="I615" s="336">
        <v>0</v>
      </c>
      <c r="J615" s="336">
        <v>0</v>
      </c>
      <c r="L615" s="335">
        <v>0</v>
      </c>
    </row>
    <row r="616" spans="1:12" hidden="1">
      <c r="A616" s="347">
        <v>41221</v>
      </c>
      <c r="B616" s="1604" t="s">
        <v>1385</v>
      </c>
      <c r="C616" s="348">
        <v>91</v>
      </c>
      <c r="D616" s="347">
        <v>41312</v>
      </c>
      <c r="E616" s="349">
        <v>4</v>
      </c>
      <c r="F616" s="350">
        <v>0</v>
      </c>
      <c r="G616" s="350">
        <v>0</v>
      </c>
      <c r="H616" s="350">
        <v>0</v>
      </c>
      <c r="I616" s="350">
        <v>0</v>
      </c>
      <c r="J616" s="350">
        <v>0</v>
      </c>
      <c r="K616" s="351"/>
      <c r="L616" s="348">
        <v>0</v>
      </c>
    </row>
    <row r="617" spans="1:12" hidden="1">
      <c r="A617" s="334">
        <v>41226</v>
      </c>
      <c r="B617" s="223" t="s">
        <v>1386</v>
      </c>
      <c r="C617" s="335">
        <v>182</v>
      </c>
      <c r="D617" s="334">
        <v>41408</v>
      </c>
      <c r="E617" s="338">
        <v>7</v>
      </c>
      <c r="F617" s="336">
        <v>0</v>
      </c>
      <c r="G617" s="336">
        <v>0</v>
      </c>
      <c r="H617" s="336">
        <v>0</v>
      </c>
      <c r="I617" s="336">
        <v>0</v>
      </c>
      <c r="J617" s="336">
        <v>0</v>
      </c>
      <c r="L617" s="335">
        <v>0</v>
      </c>
    </row>
    <row r="618" spans="1:12" hidden="1">
      <c r="A618" s="347">
        <v>41229</v>
      </c>
      <c r="B618" s="1604" t="s">
        <v>1387</v>
      </c>
      <c r="C618" s="348">
        <v>364</v>
      </c>
      <c r="D618" s="347">
        <v>41593</v>
      </c>
      <c r="E618" s="349">
        <v>22</v>
      </c>
      <c r="F618" s="350">
        <v>0</v>
      </c>
      <c r="G618" s="350">
        <v>0</v>
      </c>
      <c r="H618" s="350">
        <v>4</v>
      </c>
      <c r="I618" s="350">
        <v>4</v>
      </c>
      <c r="J618" s="350">
        <v>0</v>
      </c>
      <c r="K618" s="351"/>
      <c r="L618" s="348">
        <v>0</v>
      </c>
    </row>
    <row r="619" spans="1:12" hidden="1">
      <c r="A619" s="334">
        <v>41229</v>
      </c>
      <c r="B619" s="223" t="s">
        <v>1388</v>
      </c>
      <c r="C619" s="335">
        <v>1092</v>
      </c>
      <c r="D619" s="334">
        <v>42321</v>
      </c>
      <c r="E619" s="338">
        <v>1</v>
      </c>
      <c r="F619" s="336">
        <v>1.1830000000000001</v>
      </c>
      <c r="G619" s="336">
        <v>1</v>
      </c>
      <c r="H619" s="336">
        <v>5</v>
      </c>
      <c r="I619" s="336">
        <v>5</v>
      </c>
      <c r="J619" s="336">
        <v>5</v>
      </c>
      <c r="L619" s="335">
        <v>1</v>
      </c>
    </row>
    <row r="620" spans="1:12" hidden="1">
      <c r="A620" s="347">
        <v>41229</v>
      </c>
      <c r="B620" s="347" t="s">
        <v>1389</v>
      </c>
      <c r="C620" s="348">
        <v>728</v>
      </c>
      <c r="D620" s="347">
        <v>41957</v>
      </c>
      <c r="E620" s="349">
        <v>1</v>
      </c>
      <c r="F620" s="350">
        <v>1.1991000000000001</v>
      </c>
      <c r="G620" s="350">
        <v>1</v>
      </c>
      <c r="H620" s="350">
        <v>4.5</v>
      </c>
      <c r="I620" s="350">
        <v>4.5</v>
      </c>
      <c r="J620" s="350">
        <v>4.5</v>
      </c>
      <c r="K620" s="351"/>
      <c r="L620" s="348">
        <v>1</v>
      </c>
    </row>
    <row r="621" spans="1:12" hidden="1">
      <c r="A621" s="334">
        <v>41233</v>
      </c>
      <c r="B621" s="223" t="s">
        <v>1390</v>
      </c>
      <c r="C621" s="335">
        <v>35</v>
      </c>
      <c r="D621" s="334">
        <v>41268</v>
      </c>
      <c r="E621" s="338">
        <v>3</v>
      </c>
      <c r="F621" s="336">
        <v>0</v>
      </c>
      <c r="G621" s="336">
        <v>0</v>
      </c>
      <c r="H621" s="336">
        <v>0</v>
      </c>
      <c r="I621" s="336">
        <v>0</v>
      </c>
      <c r="J621" s="336">
        <v>0</v>
      </c>
      <c r="L621" s="335">
        <v>0</v>
      </c>
    </row>
    <row r="622" spans="1:12" hidden="1">
      <c r="A622" s="347">
        <v>41236</v>
      </c>
      <c r="B622" s="1604" t="s">
        <v>1391</v>
      </c>
      <c r="C622" s="348">
        <v>91</v>
      </c>
      <c r="D622" s="347">
        <v>41327</v>
      </c>
      <c r="E622" s="349">
        <v>3</v>
      </c>
      <c r="F622" s="350">
        <v>0</v>
      </c>
      <c r="G622" s="350">
        <v>0</v>
      </c>
      <c r="H622" s="350">
        <v>0</v>
      </c>
      <c r="I622" s="350">
        <v>0</v>
      </c>
      <c r="J622" s="350">
        <v>0</v>
      </c>
      <c r="K622" s="351"/>
      <c r="L622" s="348">
        <v>0</v>
      </c>
    </row>
    <row r="623" spans="1:12" hidden="1">
      <c r="A623" s="334">
        <v>41240</v>
      </c>
      <c r="B623" s="223" t="s">
        <v>1392</v>
      </c>
      <c r="C623" s="335">
        <v>182</v>
      </c>
      <c r="D623" s="334">
        <v>41422</v>
      </c>
      <c r="E623" s="338">
        <v>7</v>
      </c>
      <c r="F623" s="336">
        <v>0</v>
      </c>
      <c r="G623" s="336">
        <v>0</v>
      </c>
      <c r="H623" s="336">
        <v>0</v>
      </c>
      <c r="I623" s="336">
        <v>0</v>
      </c>
      <c r="J623" s="336">
        <v>0</v>
      </c>
      <c r="L623" s="335">
        <v>0</v>
      </c>
    </row>
    <row r="624" spans="1:12" hidden="1">
      <c r="A624" s="347">
        <v>41243</v>
      </c>
      <c r="B624" s="1604" t="s">
        <v>1393</v>
      </c>
      <c r="C624" s="348">
        <v>1092</v>
      </c>
      <c r="D624" s="347">
        <v>42335</v>
      </c>
      <c r="E624" s="349">
        <v>1</v>
      </c>
      <c r="F624" s="350">
        <v>2.6941000000000002</v>
      </c>
      <c r="G624" s="350">
        <v>1</v>
      </c>
      <c r="H624" s="350">
        <v>5</v>
      </c>
      <c r="I624" s="350">
        <v>5</v>
      </c>
      <c r="J624" s="350">
        <v>5</v>
      </c>
      <c r="K624" s="351"/>
      <c r="L624" s="348">
        <v>2</v>
      </c>
    </row>
    <row r="625" spans="1:12" hidden="1">
      <c r="A625" s="334">
        <v>41243</v>
      </c>
      <c r="B625" s="223" t="s">
        <v>1394</v>
      </c>
      <c r="C625" s="335">
        <v>364</v>
      </c>
      <c r="D625" s="334">
        <v>41607</v>
      </c>
      <c r="E625" s="338">
        <v>22</v>
      </c>
      <c r="F625" s="336">
        <v>5</v>
      </c>
      <c r="G625" s="336">
        <v>5</v>
      </c>
      <c r="H625" s="336">
        <v>4</v>
      </c>
      <c r="I625" s="336">
        <v>4</v>
      </c>
      <c r="J625" s="336">
        <v>4</v>
      </c>
      <c r="L625" s="335">
        <v>1</v>
      </c>
    </row>
    <row r="626" spans="1:12" hidden="1">
      <c r="A626" s="347">
        <v>41247</v>
      </c>
      <c r="B626" s="1604" t="s">
        <v>1399</v>
      </c>
      <c r="C626" s="348">
        <v>35</v>
      </c>
      <c r="D626" s="347">
        <v>41282</v>
      </c>
      <c r="E626" s="349">
        <v>2</v>
      </c>
      <c r="F626" s="350">
        <v>0</v>
      </c>
      <c r="G626" s="350">
        <v>0</v>
      </c>
      <c r="H626" s="350">
        <v>0</v>
      </c>
      <c r="I626" s="350">
        <v>0</v>
      </c>
      <c r="J626" s="350">
        <v>0</v>
      </c>
      <c r="K626" s="351"/>
      <c r="L626" s="348">
        <v>0</v>
      </c>
    </row>
    <row r="627" spans="1:12" hidden="1">
      <c r="A627" s="334">
        <v>41250</v>
      </c>
      <c r="B627" s="223" t="s">
        <v>1400</v>
      </c>
      <c r="C627" s="335">
        <v>91</v>
      </c>
      <c r="D627" s="334">
        <v>41341</v>
      </c>
      <c r="E627" s="338">
        <v>4</v>
      </c>
      <c r="F627" s="336">
        <v>4</v>
      </c>
      <c r="G627" s="336">
        <v>4</v>
      </c>
      <c r="H627" s="336">
        <v>2.46</v>
      </c>
      <c r="I627" s="336">
        <v>2.46</v>
      </c>
      <c r="J627" s="336">
        <v>2.46</v>
      </c>
      <c r="L627" s="335">
        <v>2</v>
      </c>
    </row>
    <row r="628" spans="1:12" hidden="1">
      <c r="A628" s="347">
        <v>41257</v>
      </c>
      <c r="B628" s="1604" t="s">
        <v>1401</v>
      </c>
      <c r="C628" s="348">
        <v>364</v>
      </c>
      <c r="D628" s="347">
        <v>41621</v>
      </c>
      <c r="E628" s="349">
        <v>20</v>
      </c>
      <c r="F628" s="350">
        <v>19.805199999999999</v>
      </c>
      <c r="G628" s="350">
        <v>19.805199999999999</v>
      </c>
      <c r="H628" s="350">
        <v>4</v>
      </c>
      <c r="I628" s="350">
        <v>4</v>
      </c>
      <c r="J628" s="350">
        <v>4</v>
      </c>
      <c r="K628" s="351"/>
      <c r="L628" s="348">
        <v>4</v>
      </c>
    </row>
    <row r="629" spans="1:12" hidden="1">
      <c r="A629" s="334">
        <v>41257</v>
      </c>
      <c r="B629" s="223" t="s">
        <v>1402</v>
      </c>
      <c r="C629" s="335">
        <v>728</v>
      </c>
      <c r="D629" s="334">
        <v>41985</v>
      </c>
      <c r="E629" s="338">
        <v>1</v>
      </c>
      <c r="F629" s="336">
        <v>1</v>
      </c>
      <c r="G629" s="336">
        <v>1</v>
      </c>
      <c r="H629" s="336">
        <v>4.5</v>
      </c>
      <c r="I629" s="336">
        <v>4.5</v>
      </c>
      <c r="J629" s="336">
        <v>4.5</v>
      </c>
      <c r="L629" s="335">
        <v>2</v>
      </c>
    </row>
    <row r="630" spans="1:12" hidden="1">
      <c r="A630" s="347">
        <v>41264</v>
      </c>
      <c r="B630" s="1604" t="s">
        <v>1403</v>
      </c>
      <c r="C630" s="348">
        <v>91</v>
      </c>
      <c r="D630" s="347">
        <v>41355</v>
      </c>
      <c r="E630" s="349">
        <v>4</v>
      </c>
      <c r="F630" s="350">
        <v>0.80479999999999996</v>
      </c>
      <c r="G630" s="350">
        <v>0.80479999999999996</v>
      </c>
      <c r="H630" s="350">
        <v>2.5</v>
      </c>
      <c r="I630" s="350">
        <v>2.5</v>
      </c>
      <c r="J630" s="350">
        <v>2.5</v>
      </c>
      <c r="K630" s="351"/>
      <c r="L630" s="348">
        <v>3</v>
      </c>
    </row>
    <row r="631" spans="1:12" hidden="1">
      <c r="A631" s="334">
        <v>41268</v>
      </c>
      <c r="B631" s="223" t="s">
        <v>1404</v>
      </c>
      <c r="C631" s="335">
        <v>1092</v>
      </c>
      <c r="D631" s="334">
        <v>42360</v>
      </c>
      <c r="E631" s="338">
        <v>1</v>
      </c>
      <c r="F631" s="336">
        <v>0.05</v>
      </c>
      <c r="G631" s="336">
        <v>0.5</v>
      </c>
      <c r="H631" s="336">
        <v>5</v>
      </c>
      <c r="I631" s="336">
        <v>5</v>
      </c>
      <c r="J631" s="336">
        <v>5</v>
      </c>
      <c r="L631" s="335">
        <v>1</v>
      </c>
    </row>
    <row r="632" spans="1:12" hidden="1">
      <c r="A632" s="347">
        <v>41268</v>
      </c>
      <c r="B632" s="1604" t="s">
        <v>1405</v>
      </c>
      <c r="C632" s="348">
        <v>364</v>
      </c>
      <c r="D632" s="347">
        <v>41632</v>
      </c>
      <c r="E632" s="349">
        <v>22</v>
      </c>
      <c r="F632" s="350">
        <v>16.121700000000001</v>
      </c>
      <c r="G632" s="350">
        <v>16.121700000000001</v>
      </c>
      <c r="H632" s="350">
        <v>4</v>
      </c>
      <c r="I632" s="350">
        <v>4</v>
      </c>
      <c r="J632" s="350">
        <v>4</v>
      </c>
      <c r="K632" s="351"/>
      <c r="L632" s="348">
        <v>1</v>
      </c>
    </row>
    <row r="633" spans="1:12" hidden="1">
      <c r="A633" s="334">
        <v>41268</v>
      </c>
      <c r="B633" s="223" t="s">
        <v>1406</v>
      </c>
      <c r="C633" s="335">
        <v>182</v>
      </c>
      <c r="D633" s="334">
        <v>41450</v>
      </c>
      <c r="E633" s="338">
        <v>7</v>
      </c>
      <c r="F633" s="336">
        <v>1.0139</v>
      </c>
      <c r="G633" s="336">
        <v>1.0139</v>
      </c>
      <c r="H633" s="336">
        <v>2.97</v>
      </c>
      <c r="I633" s="336">
        <v>2.97</v>
      </c>
      <c r="J633" s="336">
        <v>2.97</v>
      </c>
      <c r="L633" s="335">
        <v>1</v>
      </c>
    </row>
    <row r="634" spans="1:12" hidden="1">
      <c r="A634" s="347"/>
      <c r="B634" s="1604"/>
      <c r="C634" s="348"/>
      <c r="D634" s="347"/>
      <c r="E634" s="349"/>
      <c r="F634" s="350"/>
      <c r="G634" s="350"/>
      <c r="H634" s="350">
        <v>0</v>
      </c>
      <c r="I634" s="350">
        <v>0</v>
      </c>
      <c r="J634" s="350">
        <v>0</v>
      </c>
      <c r="K634" s="351"/>
      <c r="L634" s="348"/>
    </row>
    <row r="635" spans="1:12" hidden="1">
      <c r="A635" s="334">
        <v>41397</v>
      </c>
      <c r="B635" s="223" t="s">
        <v>1427</v>
      </c>
      <c r="C635" s="335">
        <v>364</v>
      </c>
      <c r="D635" s="334">
        <v>41761</v>
      </c>
      <c r="E635" s="338">
        <v>2</v>
      </c>
      <c r="F635" s="336">
        <v>2</v>
      </c>
      <c r="G635" s="336">
        <v>2</v>
      </c>
      <c r="H635" s="336">
        <v>3.25</v>
      </c>
      <c r="I635" s="336">
        <v>3.25</v>
      </c>
      <c r="J635" s="336">
        <v>3.25</v>
      </c>
      <c r="L635" s="335">
        <v>1</v>
      </c>
    </row>
    <row r="636" spans="1:12" hidden="1">
      <c r="A636" s="347">
        <v>41397</v>
      </c>
      <c r="B636" s="1604" t="s">
        <v>1428</v>
      </c>
      <c r="C636" s="348">
        <v>728</v>
      </c>
      <c r="D636" s="347">
        <v>42125</v>
      </c>
      <c r="E636" s="349">
        <v>2</v>
      </c>
      <c r="F636" s="350">
        <v>4.3924000000000003</v>
      </c>
      <c r="G636" s="350">
        <v>2</v>
      </c>
      <c r="H636" s="350">
        <v>3.75</v>
      </c>
      <c r="I636" s="350">
        <v>3.75</v>
      </c>
      <c r="J636" s="350">
        <v>3.75</v>
      </c>
      <c r="K636" s="351"/>
      <c r="L636" s="348">
        <v>2</v>
      </c>
    </row>
    <row r="637" spans="1:12" hidden="1">
      <c r="A637" s="334">
        <v>41397</v>
      </c>
      <c r="B637" s="223" t="s">
        <v>1429</v>
      </c>
      <c r="C637" s="335">
        <v>1092</v>
      </c>
      <c r="D637" s="334">
        <v>42489</v>
      </c>
      <c r="E637" s="338">
        <v>3</v>
      </c>
      <c r="F637" s="336">
        <v>6.5869</v>
      </c>
      <c r="G637" s="336">
        <v>3</v>
      </c>
      <c r="H637" s="336">
        <v>4.25</v>
      </c>
      <c r="I637" s="336">
        <v>4.25</v>
      </c>
      <c r="J637" s="336">
        <v>4.25</v>
      </c>
      <c r="L637" s="335">
        <v>2</v>
      </c>
    </row>
    <row r="638" spans="1:12" hidden="1">
      <c r="A638" s="347">
        <v>41397</v>
      </c>
      <c r="B638" s="1604" t="s">
        <v>1430</v>
      </c>
      <c r="C638" s="348">
        <v>182</v>
      </c>
      <c r="D638" s="347">
        <v>41579</v>
      </c>
      <c r="E638" s="349">
        <v>1</v>
      </c>
      <c r="F638" s="350">
        <v>0.29759999999999998</v>
      </c>
      <c r="G638" s="350">
        <v>0.29759999999999998</v>
      </c>
      <c r="H638" s="350">
        <v>2.0099999999999998</v>
      </c>
      <c r="I638" s="350">
        <v>2.0099999999999998</v>
      </c>
      <c r="J638" s="350">
        <v>2.0099999999999998</v>
      </c>
      <c r="K638" s="351"/>
      <c r="L638" s="348">
        <v>1</v>
      </c>
    </row>
    <row r="639" spans="1:12" hidden="1">
      <c r="A639" s="334">
        <v>41401</v>
      </c>
      <c r="B639" s="223" t="s">
        <v>1431</v>
      </c>
      <c r="C639" s="335">
        <v>91</v>
      </c>
      <c r="D639" s="334">
        <v>41492</v>
      </c>
      <c r="E639" s="338">
        <v>3</v>
      </c>
      <c r="F639" s="336">
        <v>2.5099999999999998</v>
      </c>
      <c r="G639" s="336">
        <v>2.5099999999999998</v>
      </c>
      <c r="H639" s="336">
        <v>1.8900000000000001</v>
      </c>
      <c r="I639" s="336">
        <v>1.8900000000000001</v>
      </c>
      <c r="J639" s="336">
        <v>1.8900000000000001</v>
      </c>
      <c r="L639" s="335">
        <v>1</v>
      </c>
    </row>
    <row r="640" spans="1:12" hidden="1">
      <c r="A640" s="347">
        <v>41401</v>
      </c>
      <c r="B640" s="1604" t="s">
        <v>1432</v>
      </c>
      <c r="C640" s="348">
        <v>35</v>
      </c>
      <c r="D640" s="347">
        <v>41436</v>
      </c>
      <c r="E640" s="349">
        <v>3</v>
      </c>
      <c r="F640" s="350">
        <v>0</v>
      </c>
      <c r="G640" s="350">
        <v>0</v>
      </c>
      <c r="H640" s="350">
        <v>0</v>
      </c>
      <c r="I640" s="350">
        <v>0</v>
      </c>
      <c r="J640" s="350">
        <v>0</v>
      </c>
      <c r="K640" s="351"/>
      <c r="L640" s="348">
        <v>0</v>
      </c>
    </row>
    <row r="641" spans="1:12" hidden="1">
      <c r="A641" s="334">
        <v>41404</v>
      </c>
      <c r="B641" s="223" t="s">
        <v>1433</v>
      </c>
      <c r="C641" s="335">
        <v>364</v>
      </c>
      <c r="D641" s="334">
        <v>41768</v>
      </c>
      <c r="E641" s="338">
        <v>1</v>
      </c>
      <c r="F641" s="336">
        <v>0</v>
      </c>
      <c r="G641" s="336">
        <v>0</v>
      </c>
      <c r="H641" s="336">
        <v>0</v>
      </c>
      <c r="I641" s="336">
        <v>0</v>
      </c>
      <c r="J641" s="336">
        <v>0</v>
      </c>
      <c r="L641" s="335">
        <v>0</v>
      </c>
    </row>
    <row r="642" spans="1:12" hidden="1">
      <c r="A642" s="347">
        <v>41408</v>
      </c>
      <c r="B642" s="1604" t="s">
        <v>1434</v>
      </c>
      <c r="C642" s="348">
        <v>364</v>
      </c>
      <c r="D642" s="347">
        <v>41772</v>
      </c>
      <c r="E642" s="349">
        <v>10</v>
      </c>
      <c r="F642" s="350">
        <v>0</v>
      </c>
      <c r="G642" s="350">
        <v>0</v>
      </c>
      <c r="H642" s="350">
        <v>3.25</v>
      </c>
      <c r="I642" s="350">
        <v>3.25</v>
      </c>
      <c r="J642" s="350">
        <v>0</v>
      </c>
      <c r="K642" s="351"/>
      <c r="L642" s="348">
        <v>0</v>
      </c>
    </row>
    <row r="643" spans="1:12" hidden="1">
      <c r="A643" s="334">
        <v>41408</v>
      </c>
      <c r="B643" s="223" t="s">
        <v>1435</v>
      </c>
      <c r="C643" s="335">
        <v>182</v>
      </c>
      <c r="D643" s="334">
        <v>41590</v>
      </c>
      <c r="E643" s="338">
        <v>3</v>
      </c>
      <c r="F643" s="336">
        <v>0</v>
      </c>
      <c r="G643" s="336">
        <v>0</v>
      </c>
      <c r="H643" s="336">
        <v>0</v>
      </c>
      <c r="I643" s="336">
        <v>0</v>
      </c>
      <c r="J643" s="336">
        <v>0</v>
      </c>
      <c r="L643" s="335">
        <v>0</v>
      </c>
    </row>
    <row r="644" spans="1:12" hidden="1">
      <c r="A644" s="347">
        <v>41411</v>
      </c>
      <c r="B644" s="1604" t="s">
        <v>1436</v>
      </c>
      <c r="C644" s="348">
        <v>728</v>
      </c>
      <c r="D644" s="347">
        <v>42139</v>
      </c>
      <c r="E644" s="349">
        <v>3</v>
      </c>
      <c r="F644" s="350">
        <v>2.399</v>
      </c>
      <c r="G644" s="350">
        <v>2.399</v>
      </c>
      <c r="H644" s="350">
        <v>3.75</v>
      </c>
      <c r="I644" s="350">
        <v>3.75</v>
      </c>
      <c r="J644" s="350">
        <v>3.75</v>
      </c>
      <c r="K644" s="351"/>
      <c r="L644" s="348">
        <v>1</v>
      </c>
    </row>
    <row r="645" spans="1:12" hidden="1">
      <c r="A645" s="334">
        <v>41411</v>
      </c>
      <c r="B645" s="223" t="s">
        <v>1437</v>
      </c>
      <c r="C645" s="335">
        <v>1092</v>
      </c>
      <c r="D645" s="334">
        <v>42503</v>
      </c>
      <c r="E645" s="338">
        <v>8</v>
      </c>
      <c r="F645" s="336">
        <v>9.9964999999999993</v>
      </c>
      <c r="G645" s="336">
        <v>8</v>
      </c>
      <c r="H645" s="336">
        <v>4.25</v>
      </c>
      <c r="I645" s="336">
        <v>4.25</v>
      </c>
      <c r="J645" s="336">
        <v>4.25</v>
      </c>
      <c r="L645" s="335">
        <v>2</v>
      </c>
    </row>
    <row r="646" spans="1:12" hidden="1">
      <c r="A646" s="347">
        <v>41415</v>
      </c>
      <c r="B646" s="1604" t="s">
        <v>1438</v>
      </c>
      <c r="C646" s="348">
        <v>35</v>
      </c>
      <c r="D646" s="347">
        <v>41450</v>
      </c>
      <c r="E646" s="349">
        <v>3</v>
      </c>
      <c r="F646" s="350">
        <v>0</v>
      </c>
      <c r="G646" s="350">
        <v>0</v>
      </c>
      <c r="H646" s="350">
        <v>0</v>
      </c>
      <c r="I646" s="350">
        <v>0</v>
      </c>
      <c r="J646" s="350">
        <v>0</v>
      </c>
      <c r="K646" s="351"/>
      <c r="L646" s="348">
        <v>0</v>
      </c>
    </row>
    <row r="647" spans="1:12" hidden="1">
      <c r="A647" s="334">
        <v>41415</v>
      </c>
      <c r="B647" s="223" t="s">
        <v>1439</v>
      </c>
      <c r="C647" s="335">
        <v>91</v>
      </c>
      <c r="D647" s="334">
        <v>41506</v>
      </c>
      <c r="E647" s="338">
        <v>3</v>
      </c>
      <c r="F647" s="336">
        <v>1.004</v>
      </c>
      <c r="G647" s="336">
        <v>1.004</v>
      </c>
      <c r="H647" s="336">
        <v>1.8900000000000001</v>
      </c>
      <c r="I647" s="336">
        <v>1.8900000000000001</v>
      </c>
      <c r="J647" s="336">
        <v>1.8900000000000001</v>
      </c>
      <c r="L647" s="335">
        <v>1</v>
      </c>
    </row>
    <row r="648" spans="1:12" hidden="1">
      <c r="A648" s="347">
        <v>41418</v>
      </c>
      <c r="B648" s="1604" t="s">
        <v>1440</v>
      </c>
      <c r="C648" s="348">
        <v>364</v>
      </c>
      <c r="D648" s="347">
        <v>41782</v>
      </c>
      <c r="E648" s="349">
        <v>2</v>
      </c>
      <c r="F648" s="350">
        <v>0</v>
      </c>
      <c r="G648" s="350">
        <v>0</v>
      </c>
      <c r="H648" s="350">
        <v>0</v>
      </c>
      <c r="I648" s="350">
        <v>0</v>
      </c>
      <c r="J648" s="350">
        <v>0</v>
      </c>
      <c r="K648" s="351"/>
      <c r="L648" s="348">
        <v>0</v>
      </c>
    </row>
    <row r="649" spans="1:12" hidden="1">
      <c r="A649" s="334">
        <v>41425</v>
      </c>
      <c r="B649" s="223" t="s">
        <v>1441</v>
      </c>
      <c r="C649" s="335">
        <v>1092</v>
      </c>
      <c r="D649" s="334">
        <v>42517</v>
      </c>
      <c r="E649" s="338">
        <v>7</v>
      </c>
      <c r="F649" s="336">
        <v>7.5674999999999999</v>
      </c>
      <c r="G649" s="336">
        <v>7</v>
      </c>
      <c r="H649" s="336">
        <v>4.25</v>
      </c>
      <c r="I649" s="336">
        <v>4.25</v>
      </c>
      <c r="J649" s="336">
        <v>4.25</v>
      </c>
      <c r="L649" s="335">
        <v>2</v>
      </c>
    </row>
    <row r="650" spans="1:12" hidden="1">
      <c r="A650" s="347">
        <v>41425</v>
      </c>
      <c r="B650" s="1604" t="s">
        <v>1442</v>
      </c>
      <c r="C650" s="348">
        <v>728</v>
      </c>
      <c r="D650" s="347">
        <v>42153</v>
      </c>
      <c r="E650" s="349">
        <v>3</v>
      </c>
      <c r="F650" s="350">
        <v>0</v>
      </c>
      <c r="G650" s="350">
        <v>0</v>
      </c>
      <c r="H650" s="350">
        <v>3.75</v>
      </c>
      <c r="I650" s="350">
        <v>3.75</v>
      </c>
      <c r="J650" s="350">
        <v>0</v>
      </c>
      <c r="K650" s="351"/>
      <c r="L650" s="348">
        <v>0</v>
      </c>
    </row>
    <row r="651" spans="1:12" hidden="1">
      <c r="A651" s="334">
        <v>41425</v>
      </c>
      <c r="B651" s="223" t="s">
        <v>1443</v>
      </c>
      <c r="C651" s="335">
        <v>364</v>
      </c>
      <c r="D651" s="334">
        <v>41789</v>
      </c>
      <c r="E651" s="338">
        <v>12</v>
      </c>
      <c r="F651" s="336">
        <v>0.30020000000000002</v>
      </c>
      <c r="G651" s="336">
        <v>0.30020000000000002</v>
      </c>
      <c r="H651" s="336">
        <v>3.25</v>
      </c>
      <c r="I651" s="336">
        <v>3.25</v>
      </c>
      <c r="J651" s="336">
        <v>3.25</v>
      </c>
      <c r="L651" s="335">
        <v>1</v>
      </c>
    </row>
    <row r="652" spans="1:12" hidden="1">
      <c r="A652" s="347">
        <v>41425</v>
      </c>
      <c r="B652" s="1604" t="s">
        <v>1444</v>
      </c>
      <c r="C652" s="348">
        <v>182</v>
      </c>
      <c r="D652" s="347">
        <v>41607</v>
      </c>
      <c r="E652" s="349">
        <v>3</v>
      </c>
      <c r="F652" s="350">
        <v>0</v>
      </c>
      <c r="G652" s="350">
        <v>0</v>
      </c>
      <c r="H652" s="350">
        <v>0</v>
      </c>
      <c r="I652" s="350">
        <v>0</v>
      </c>
      <c r="J652" s="350">
        <v>0</v>
      </c>
      <c r="K652" s="351"/>
      <c r="L652" s="348">
        <v>0</v>
      </c>
    </row>
    <row r="653" spans="1:12" hidden="1">
      <c r="A653" s="334">
        <v>41429</v>
      </c>
      <c r="B653" s="223" t="s">
        <v>1481</v>
      </c>
      <c r="C653" s="335">
        <v>35</v>
      </c>
      <c r="D653" s="334">
        <v>41464</v>
      </c>
      <c r="E653" s="338">
        <v>3</v>
      </c>
      <c r="F653" s="336">
        <v>0</v>
      </c>
      <c r="G653" s="336">
        <v>0</v>
      </c>
      <c r="H653" s="336">
        <v>0</v>
      </c>
      <c r="I653" s="336">
        <v>0</v>
      </c>
      <c r="J653" s="336">
        <v>0</v>
      </c>
      <c r="L653" s="335">
        <v>0</v>
      </c>
    </row>
    <row r="654" spans="1:12" hidden="1">
      <c r="A654" s="347">
        <v>41429</v>
      </c>
      <c r="B654" s="1604" t="s">
        <v>1482</v>
      </c>
      <c r="C654" s="348">
        <v>91</v>
      </c>
      <c r="D654" s="347">
        <v>41520</v>
      </c>
      <c r="E654" s="349">
        <v>3</v>
      </c>
      <c r="F654" s="350">
        <v>0.502</v>
      </c>
      <c r="G654" s="350">
        <v>0.502</v>
      </c>
      <c r="H654" s="350">
        <v>1.8900000000000001</v>
      </c>
      <c r="I654" s="350">
        <v>1.8900000000000001</v>
      </c>
      <c r="J654" s="350">
        <v>1.8900000000000001</v>
      </c>
      <c r="K654" s="351"/>
      <c r="L654" s="348">
        <v>1</v>
      </c>
    </row>
    <row r="655" spans="1:12" hidden="1">
      <c r="A655" s="334">
        <v>41432</v>
      </c>
      <c r="B655" s="223" t="s">
        <v>1483</v>
      </c>
      <c r="C655" s="335">
        <v>364</v>
      </c>
      <c r="D655" s="334">
        <v>41796</v>
      </c>
      <c r="E655" s="338">
        <v>1</v>
      </c>
      <c r="F655" s="336">
        <v>0</v>
      </c>
      <c r="G655" s="336">
        <v>0</v>
      </c>
      <c r="H655" s="336">
        <v>0</v>
      </c>
      <c r="I655" s="336">
        <v>0</v>
      </c>
      <c r="J655" s="336">
        <v>0</v>
      </c>
      <c r="L655" s="335">
        <v>0</v>
      </c>
    </row>
    <row r="656" spans="1:12" hidden="1">
      <c r="A656" s="347">
        <v>41436</v>
      </c>
      <c r="B656" s="1604" t="s">
        <v>1484</v>
      </c>
      <c r="C656" s="348">
        <v>182</v>
      </c>
      <c r="D656" s="347">
        <v>41618</v>
      </c>
      <c r="E656" s="349">
        <v>3</v>
      </c>
      <c r="F656" s="350">
        <v>0</v>
      </c>
      <c r="G656" s="350">
        <v>0</v>
      </c>
      <c r="H656" s="350">
        <v>0</v>
      </c>
      <c r="I656" s="350">
        <v>0</v>
      </c>
      <c r="J656" s="350">
        <v>0</v>
      </c>
      <c r="K656" s="351"/>
      <c r="L656" s="348">
        <v>0</v>
      </c>
    </row>
    <row r="657" spans="1:12" hidden="1">
      <c r="A657" s="334">
        <v>41436</v>
      </c>
      <c r="B657" s="223" t="s">
        <v>1485</v>
      </c>
      <c r="C657" s="335">
        <v>364</v>
      </c>
      <c r="D657" s="334">
        <v>41800</v>
      </c>
      <c r="E657" s="338">
        <v>10</v>
      </c>
      <c r="F657" s="336">
        <v>0.75080000000000002</v>
      </c>
      <c r="G657" s="336">
        <v>0.75080000000000002</v>
      </c>
      <c r="H657" s="336">
        <v>3.25</v>
      </c>
      <c r="I657" s="336">
        <v>3.25</v>
      </c>
      <c r="J657" s="336">
        <v>3.25</v>
      </c>
      <c r="L657" s="335">
        <v>1</v>
      </c>
    </row>
    <row r="658" spans="1:12" hidden="1">
      <c r="A658" s="347">
        <v>41439</v>
      </c>
      <c r="B658" s="1604" t="s">
        <v>1486</v>
      </c>
      <c r="C658" s="348">
        <v>1092</v>
      </c>
      <c r="D658" s="347">
        <v>42531</v>
      </c>
      <c r="E658" s="349">
        <v>8</v>
      </c>
      <c r="F658" s="350">
        <v>9.5000999999999998</v>
      </c>
      <c r="G658" s="350">
        <v>8</v>
      </c>
      <c r="H658" s="350">
        <v>4.25</v>
      </c>
      <c r="I658" s="350">
        <v>4.25</v>
      </c>
      <c r="J658" s="350">
        <v>4.25</v>
      </c>
      <c r="K658" s="351"/>
      <c r="L658" s="348">
        <v>2</v>
      </c>
    </row>
    <row r="659" spans="1:12" hidden="1">
      <c r="A659" s="334">
        <v>41439</v>
      </c>
      <c r="B659" s="223" t="s">
        <v>1487</v>
      </c>
      <c r="C659" s="335">
        <v>728</v>
      </c>
      <c r="D659" s="334">
        <v>42167</v>
      </c>
      <c r="E659" s="338">
        <v>3</v>
      </c>
      <c r="F659" s="336">
        <v>0</v>
      </c>
      <c r="G659" s="336">
        <v>0</v>
      </c>
      <c r="H659" s="336">
        <v>3.75</v>
      </c>
      <c r="I659" s="336">
        <v>3.75</v>
      </c>
      <c r="J659" s="336">
        <v>0</v>
      </c>
      <c r="L659" s="335">
        <v>0</v>
      </c>
    </row>
    <row r="660" spans="1:12" hidden="1">
      <c r="A660" s="347">
        <v>41443</v>
      </c>
      <c r="B660" s="1604" t="s">
        <v>1488</v>
      </c>
      <c r="C660" s="348">
        <v>35</v>
      </c>
      <c r="D660" s="347">
        <v>41478</v>
      </c>
      <c r="E660" s="349">
        <v>3</v>
      </c>
      <c r="F660" s="350">
        <v>0</v>
      </c>
      <c r="G660" s="350">
        <v>0</v>
      </c>
      <c r="H660" s="350">
        <v>0</v>
      </c>
      <c r="I660" s="350">
        <v>0</v>
      </c>
      <c r="J660" s="350">
        <v>0</v>
      </c>
      <c r="K660" s="351"/>
      <c r="L660" s="348">
        <v>0</v>
      </c>
    </row>
    <row r="661" spans="1:12" hidden="1">
      <c r="A661" s="334">
        <v>41446</v>
      </c>
      <c r="B661" s="223" t="s">
        <v>1489</v>
      </c>
      <c r="C661" s="335">
        <v>91</v>
      </c>
      <c r="D661" s="334">
        <v>41537</v>
      </c>
      <c r="E661" s="338">
        <v>3</v>
      </c>
      <c r="F661" s="336">
        <v>0</v>
      </c>
      <c r="G661" s="336">
        <v>0</v>
      </c>
      <c r="H661" s="336">
        <v>0</v>
      </c>
      <c r="I661" s="336">
        <v>0</v>
      </c>
      <c r="J661" s="336">
        <v>0</v>
      </c>
      <c r="L661" s="335">
        <v>0</v>
      </c>
    </row>
    <row r="662" spans="1:12" hidden="1">
      <c r="A662" s="347">
        <v>41446</v>
      </c>
      <c r="B662" s="1604" t="s">
        <v>1490</v>
      </c>
      <c r="C662" s="348">
        <v>364</v>
      </c>
      <c r="D662" s="347">
        <v>41810</v>
      </c>
      <c r="E662" s="349">
        <v>1</v>
      </c>
      <c r="F662" s="350">
        <v>0</v>
      </c>
      <c r="G662" s="350">
        <v>0</v>
      </c>
      <c r="H662" s="350">
        <v>0</v>
      </c>
      <c r="I662" s="350">
        <v>0</v>
      </c>
      <c r="J662" s="350">
        <v>0</v>
      </c>
      <c r="K662" s="351"/>
      <c r="L662" s="348">
        <v>0</v>
      </c>
    </row>
    <row r="663" spans="1:12" hidden="1">
      <c r="A663" s="334">
        <v>41450</v>
      </c>
      <c r="B663" s="223" t="s">
        <v>1491</v>
      </c>
      <c r="C663" s="335">
        <v>364</v>
      </c>
      <c r="D663" s="334">
        <v>41814</v>
      </c>
      <c r="E663" s="338">
        <v>12</v>
      </c>
      <c r="F663" s="336">
        <v>0</v>
      </c>
      <c r="G663" s="336">
        <v>0</v>
      </c>
      <c r="H663" s="336">
        <v>3.25</v>
      </c>
      <c r="I663" s="336">
        <v>3.25</v>
      </c>
      <c r="J663" s="336">
        <v>0</v>
      </c>
      <c r="L663" s="335">
        <v>0</v>
      </c>
    </row>
    <row r="664" spans="1:12" hidden="1">
      <c r="A664" s="347">
        <v>41450</v>
      </c>
      <c r="B664" s="1604" t="s">
        <v>1492</v>
      </c>
      <c r="C664" s="348">
        <v>182</v>
      </c>
      <c r="D664" s="347">
        <v>41632</v>
      </c>
      <c r="E664" s="349">
        <v>3</v>
      </c>
      <c r="F664" s="350">
        <v>0.35420000000000001</v>
      </c>
      <c r="G664" s="350">
        <v>0.35420000000000001</v>
      </c>
      <c r="H664" s="350">
        <v>2</v>
      </c>
      <c r="I664" s="350">
        <v>2</v>
      </c>
      <c r="J664" s="350">
        <v>2</v>
      </c>
      <c r="K664" s="351"/>
      <c r="L664" s="348">
        <v>1</v>
      </c>
    </row>
    <row r="665" spans="1:12" hidden="1">
      <c r="A665" s="334">
        <v>41453</v>
      </c>
      <c r="B665" s="223" t="s">
        <v>1493</v>
      </c>
      <c r="C665" s="335">
        <v>1092</v>
      </c>
      <c r="D665" s="334">
        <v>42545</v>
      </c>
      <c r="E665" s="338">
        <v>7</v>
      </c>
      <c r="F665" s="336">
        <v>6.4809000000000001</v>
      </c>
      <c r="G665" s="336">
        <v>6.4809000000000001</v>
      </c>
      <c r="H665" s="336">
        <v>4.25</v>
      </c>
      <c r="I665" s="336">
        <v>4.25</v>
      </c>
      <c r="J665" s="336">
        <v>4.25</v>
      </c>
      <c r="L665" s="335">
        <v>3</v>
      </c>
    </row>
    <row r="666" spans="1:12" hidden="1">
      <c r="A666" s="347">
        <v>41453</v>
      </c>
      <c r="B666" s="1604" t="s">
        <v>1494</v>
      </c>
      <c r="C666" s="348">
        <v>728</v>
      </c>
      <c r="D666" s="347">
        <v>42181</v>
      </c>
      <c r="E666" s="349">
        <v>3</v>
      </c>
      <c r="F666" s="350">
        <v>2</v>
      </c>
      <c r="G666" s="350">
        <v>2</v>
      </c>
      <c r="H666" s="350">
        <v>3.75</v>
      </c>
      <c r="I666" s="350">
        <v>3.75</v>
      </c>
      <c r="J666" s="350">
        <v>3.75</v>
      </c>
      <c r="K666" s="351"/>
      <c r="L666" s="348">
        <v>1</v>
      </c>
    </row>
    <row r="667" spans="1:12" hidden="1">
      <c r="A667" s="334">
        <v>41457</v>
      </c>
      <c r="B667" s="223" t="s">
        <v>1801</v>
      </c>
      <c r="C667" s="335">
        <v>35</v>
      </c>
      <c r="D667" s="334">
        <v>41492</v>
      </c>
      <c r="E667" s="338">
        <v>3</v>
      </c>
      <c r="F667" s="336">
        <v>0</v>
      </c>
      <c r="G667" s="336">
        <v>0</v>
      </c>
      <c r="H667" s="336">
        <v>0</v>
      </c>
      <c r="I667" s="336">
        <v>0</v>
      </c>
      <c r="J667" s="336">
        <v>0</v>
      </c>
      <c r="L667" s="335">
        <v>0</v>
      </c>
    </row>
    <row r="668" spans="1:12" hidden="1">
      <c r="A668" s="347">
        <v>41457</v>
      </c>
      <c r="B668" s="1604" t="s">
        <v>1802</v>
      </c>
      <c r="C668" s="348">
        <v>91</v>
      </c>
      <c r="D668" s="347">
        <v>41548</v>
      </c>
      <c r="E668" s="349">
        <v>4</v>
      </c>
      <c r="F668" s="350">
        <v>0</v>
      </c>
      <c r="G668" s="350">
        <v>0</v>
      </c>
      <c r="H668" s="350">
        <v>0</v>
      </c>
      <c r="I668" s="350">
        <v>0</v>
      </c>
      <c r="J668" s="350">
        <v>0</v>
      </c>
      <c r="K668" s="351"/>
      <c r="L668" s="348">
        <v>0</v>
      </c>
    </row>
    <row r="669" spans="1:12" hidden="1">
      <c r="A669" s="347">
        <v>41460</v>
      </c>
      <c r="B669" s="1604" t="s">
        <v>1504</v>
      </c>
      <c r="C669" s="348">
        <v>364</v>
      </c>
      <c r="D669" s="347">
        <v>41824</v>
      </c>
      <c r="E669" s="349">
        <v>1</v>
      </c>
      <c r="F669" s="350">
        <v>0.51880000000000004</v>
      </c>
      <c r="G669" s="350">
        <v>0.51880000000000004</v>
      </c>
      <c r="H669" s="350">
        <v>3.7900000000000005</v>
      </c>
      <c r="I669" s="350">
        <v>3.7900000000000005</v>
      </c>
      <c r="J669" s="350">
        <v>3.7900000000000005</v>
      </c>
      <c r="K669" s="351"/>
      <c r="L669" s="348">
        <v>1</v>
      </c>
    </row>
    <row r="670" spans="1:12" hidden="1">
      <c r="A670" s="347">
        <v>41464</v>
      </c>
      <c r="B670" s="1604" t="s">
        <v>1803</v>
      </c>
      <c r="C670" s="348">
        <v>182</v>
      </c>
      <c r="D670" s="347">
        <v>41646</v>
      </c>
      <c r="E670" s="349">
        <v>3</v>
      </c>
      <c r="F670" s="350">
        <v>0</v>
      </c>
      <c r="G670" s="350">
        <v>0</v>
      </c>
      <c r="H670" s="350">
        <v>0</v>
      </c>
      <c r="I670" s="350">
        <v>0</v>
      </c>
      <c r="J670" s="350">
        <v>0</v>
      </c>
      <c r="K670" s="351"/>
      <c r="L670" s="348">
        <v>0</v>
      </c>
    </row>
    <row r="671" spans="1:12" hidden="1">
      <c r="A671" s="347">
        <v>41464</v>
      </c>
      <c r="B671" s="1604" t="s">
        <v>1804</v>
      </c>
      <c r="C671" s="348">
        <v>364</v>
      </c>
      <c r="D671" s="347">
        <v>41828</v>
      </c>
      <c r="E671" s="349">
        <v>0</v>
      </c>
      <c r="F671" s="350">
        <v>0</v>
      </c>
      <c r="G671" s="350">
        <v>0</v>
      </c>
      <c r="H671" s="350">
        <v>3.25</v>
      </c>
      <c r="I671" s="350">
        <v>3.25</v>
      </c>
      <c r="J671" s="350">
        <v>0</v>
      </c>
      <c r="K671" s="351"/>
      <c r="L671" s="348">
        <v>0</v>
      </c>
    </row>
    <row r="672" spans="1:12" hidden="1">
      <c r="A672" s="334">
        <v>41467</v>
      </c>
      <c r="B672" s="223" t="s">
        <v>1505</v>
      </c>
      <c r="C672" s="335">
        <v>1092</v>
      </c>
      <c r="D672" s="334">
        <v>42559</v>
      </c>
      <c r="E672" s="338">
        <v>8</v>
      </c>
      <c r="F672" s="336">
        <v>8</v>
      </c>
      <c r="G672" s="336">
        <v>8</v>
      </c>
      <c r="H672" s="336">
        <v>4.25</v>
      </c>
      <c r="I672" s="336">
        <v>4.25</v>
      </c>
      <c r="J672" s="336">
        <v>4.25</v>
      </c>
      <c r="L672" s="335">
        <v>2</v>
      </c>
    </row>
    <row r="673" spans="1:12" hidden="1">
      <c r="A673" s="347">
        <v>41467</v>
      </c>
      <c r="B673" s="1604" t="s">
        <v>1805</v>
      </c>
      <c r="C673" s="348">
        <v>728</v>
      </c>
      <c r="D673" s="347">
        <v>42195</v>
      </c>
      <c r="E673" s="349">
        <v>4</v>
      </c>
      <c r="F673" s="350">
        <v>0</v>
      </c>
      <c r="G673" s="350">
        <v>0</v>
      </c>
      <c r="H673" s="350">
        <v>3.75</v>
      </c>
      <c r="I673" s="350">
        <v>3.75</v>
      </c>
      <c r="J673" s="350">
        <v>0</v>
      </c>
      <c r="K673" s="351"/>
      <c r="L673" s="348">
        <v>0</v>
      </c>
    </row>
    <row r="674" spans="1:12" hidden="1">
      <c r="A674" s="334">
        <v>41471</v>
      </c>
      <c r="B674" s="223" t="s">
        <v>1806</v>
      </c>
      <c r="C674" s="335">
        <v>35</v>
      </c>
      <c r="D674" s="334">
        <v>41506</v>
      </c>
      <c r="E674" s="338">
        <v>4</v>
      </c>
      <c r="F674" s="336">
        <v>0</v>
      </c>
      <c r="G674" s="336">
        <v>0</v>
      </c>
      <c r="H674" s="336">
        <v>0</v>
      </c>
      <c r="I674" s="336">
        <v>0</v>
      </c>
      <c r="J674" s="336">
        <v>0</v>
      </c>
      <c r="L674" s="335">
        <v>0</v>
      </c>
    </row>
    <row r="675" spans="1:12" hidden="1">
      <c r="A675" s="347">
        <v>41471</v>
      </c>
      <c r="B675" s="1604" t="s">
        <v>1807</v>
      </c>
      <c r="C675" s="348">
        <v>91</v>
      </c>
      <c r="D675" s="347">
        <v>41562</v>
      </c>
      <c r="E675" s="349">
        <v>3</v>
      </c>
      <c r="F675" s="350">
        <v>0</v>
      </c>
      <c r="G675" s="350">
        <v>0</v>
      </c>
      <c r="H675" s="350">
        <v>0</v>
      </c>
      <c r="I675" s="350">
        <v>0</v>
      </c>
      <c r="J675" s="350">
        <v>0</v>
      </c>
      <c r="K675" s="351"/>
      <c r="L675" s="348">
        <v>0</v>
      </c>
    </row>
    <row r="676" spans="1:12" hidden="1">
      <c r="A676" s="334">
        <v>41474</v>
      </c>
      <c r="B676" s="223" t="s">
        <v>1506</v>
      </c>
      <c r="C676" s="335">
        <v>364</v>
      </c>
      <c r="D676" s="334">
        <v>41838</v>
      </c>
      <c r="E676" s="338">
        <v>1</v>
      </c>
      <c r="F676" s="336">
        <v>0.6905</v>
      </c>
      <c r="G676" s="336">
        <v>0.6905</v>
      </c>
      <c r="H676" s="336">
        <v>3.7900000000000005</v>
      </c>
      <c r="I676" s="336">
        <v>3.7900000000000005</v>
      </c>
      <c r="J676" s="336">
        <v>3.7900000000000005</v>
      </c>
      <c r="L676" s="335">
        <v>2</v>
      </c>
    </row>
    <row r="677" spans="1:12" hidden="1">
      <c r="A677" s="347">
        <v>41478</v>
      </c>
      <c r="B677" s="1604" t="s">
        <v>1808</v>
      </c>
      <c r="C677" s="348">
        <v>364</v>
      </c>
      <c r="D677" s="347">
        <v>41842</v>
      </c>
      <c r="E677" s="349">
        <v>12</v>
      </c>
      <c r="F677" s="350">
        <v>0</v>
      </c>
      <c r="G677" s="350">
        <v>0</v>
      </c>
      <c r="H677" s="350">
        <v>3.25</v>
      </c>
      <c r="I677" s="350">
        <v>3.25</v>
      </c>
      <c r="J677" s="350">
        <v>0</v>
      </c>
      <c r="K677" s="351"/>
      <c r="L677" s="348">
        <v>0</v>
      </c>
    </row>
    <row r="678" spans="1:12" hidden="1">
      <c r="A678" s="334">
        <v>41478</v>
      </c>
      <c r="B678" s="223" t="s">
        <v>1804</v>
      </c>
      <c r="C678" s="335">
        <v>182</v>
      </c>
      <c r="D678" s="334">
        <v>41660</v>
      </c>
      <c r="E678" s="338">
        <v>4</v>
      </c>
      <c r="F678" s="336">
        <v>0</v>
      </c>
      <c r="G678" s="336">
        <v>0</v>
      </c>
      <c r="H678" s="336">
        <v>0</v>
      </c>
      <c r="I678" s="336">
        <v>0</v>
      </c>
      <c r="J678" s="336">
        <v>0</v>
      </c>
      <c r="L678" s="335">
        <v>0</v>
      </c>
    </row>
    <row r="679" spans="1:12" hidden="1">
      <c r="A679" s="347">
        <v>41481</v>
      </c>
      <c r="B679" s="1604" t="s">
        <v>1507</v>
      </c>
      <c r="C679" s="348">
        <v>1092</v>
      </c>
      <c r="D679" s="347">
        <v>42573</v>
      </c>
      <c r="E679" s="349">
        <v>7</v>
      </c>
      <c r="F679" s="350">
        <v>4.76</v>
      </c>
      <c r="G679" s="350">
        <v>4.76</v>
      </c>
      <c r="H679" s="350">
        <v>4.25</v>
      </c>
      <c r="I679" s="350">
        <v>4.25</v>
      </c>
      <c r="J679" s="350">
        <v>4.25</v>
      </c>
      <c r="K679" s="351"/>
      <c r="L679" s="348">
        <v>2</v>
      </c>
    </row>
    <row r="680" spans="1:12" hidden="1">
      <c r="A680" s="334">
        <v>41481</v>
      </c>
      <c r="B680" s="223" t="s">
        <v>1809</v>
      </c>
      <c r="C680" s="335">
        <v>728</v>
      </c>
      <c r="D680" s="334">
        <v>42209</v>
      </c>
      <c r="E680" s="338">
        <v>3</v>
      </c>
      <c r="F680" s="336">
        <v>0</v>
      </c>
      <c r="G680" s="336">
        <v>0</v>
      </c>
      <c r="H680" s="336">
        <v>3.75</v>
      </c>
      <c r="I680" s="336">
        <v>3.75</v>
      </c>
      <c r="J680" s="336">
        <v>0</v>
      </c>
      <c r="L680" s="335">
        <v>0</v>
      </c>
    </row>
    <row r="681" spans="1:12" hidden="1">
      <c r="A681" s="347">
        <v>41502</v>
      </c>
      <c r="B681" s="1604" t="s">
        <v>1514</v>
      </c>
      <c r="C681" s="348">
        <v>1092</v>
      </c>
      <c r="D681" s="347">
        <v>42594</v>
      </c>
      <c r="E681" s="349">
        <v>3</v>
      </c>
      <c r="F681" s="350">
        <v>1.25</v>
      </c>
      <c r="G681" s="350">
        <v>1.25</v>
      </c>
      <c r="H681" s="350">
        <v>4.25</v>
      </c>
      <c r="I681" s="350">
        <v>4.25</v>
      </c>
      <c r="J681" s="350">
        <v>4.25</v>
      </c>
      <c r="K681" s="351"/>
      <c r="L681" s="348">
        <v>1</v>
      </c>
    </row>
    <row r="682" spans="1:12" hidden="1">
      <c r="A682" s="334">
        <v>41523</v>
      </c>
      <c r="B682" s="223" t="s">
        <v>1515</v>
      </c>
      <c r="C682" s="335">
        <v>35</v>
      </c>
      <c r="D682" s="334">
        <v>41558</v>
      </c>
      <c r="E682" s="338">
        <v>3</v>
      </c>
      <c r="F682" s="336">
        <v>0</v>
      </c>
      <c r="G682" s="336">
        <v>0</v>
      </c>
      <c r="H682" s="336">
        <v>0</v>
      </c>
      <c r="I682" s="336">
        <v>0</v>
      </c>
      <c r="J682" s="336">
        <v>0</v>
      </c>
      <c r="L682" s="335">
        <v>0</v>
      </c>
    </row>
    <row r="683" spans="1:12" hidden="1">
      <c r="A683" s="347">
        <v>41523</v>
      </c>
      <c r="B683" s="1604" t="s">
        <v>1516</v>
      </c>
      <c r="C683" s="348">
        <v>91</v>
      </c>
      <c r="D683" s="347">
        <v>41614</v>
      </c>
      <c r="E683" s="349">
        <v>4</v>
      </c>
      <c r="F683" s="350">
        <v>0</v>
      </c>
      <c r="G683" s="350">
        <v>0</v>
      </c>
      <c r="H683" s="350">
        <v>0</v>
      </c>
      <c r="I683" s="350">
        <v>0</v>
      </c>
      <c r="J683" s="350">
        <v>0</v>
      </c>
      <c r="K683" s="351"/>
      <c r="L683" s="348">
        <v>0</v>
      </c>
    </row>
    <row r="684" spans="1:12" hidden="1">
      <c r="A684" s="334">
        <v>41523</v>
      </c>
      <c r="B684" s="223" t="s">
        <v>1517</v>
      </c>
      <c r="C684" s="335">
        <v>364</v>
      </c>
      <c r="D684" s="334">
        <v>41887</v>
      </c>
      <c r="E684" s="338">
        <v>1</v>
      </c>
      <c r="F684" s="336">
        <v>0</v>
      </c>
      <c r="G684" s="336">
        <v>0</v>
      </c>
      <c r="H684" s="336">
        <v>0</v>
      </c>
      <c r="I684" s="336">
        <v>0</v>
      </c>
      <c r="J684" s="336">
        <v>0</v>
      </c>
      <c r="L684" s="335">
        <v>0</v>
      </c>
    </row>
    <row r="685" spans="1:12" hidden="1">
      <c r="A685" s="347">
        <v>41526</v>
      </c>
      <c r="B685" s="1604" t="s">
        <v>1518</v>
      </c>
      <c r="C685" s="348">
        <v>364</v>
      </c>
      <c r="D685" s="347">
        <v>41890</v>
      </c>
      <c r="E685" s="349">
        <v>10</v>
      </c>
      <c r="F685" s="350">
        <v>0</v>
      </c>
      <c r="G685" s="350">
        <v>0</v>
      </c>
      <c r="H685" s="350">
        <v>3.25</v>
      </c>
      <c r="I685" s="350">
        <v>3.25</v>
      </c>
      <c r="J685" s="350">
        <v>3.25</v>
      </c>
      <c r="K685" s="351"/>
      <c r="L685" s="348">
        <v>0</v>
      </c>
    </row>
    <row r="686" spans="1:12" hidden="1">
      <c r="A686" s="334">
        <v>41526</v>
      </c>
      <c r="B686" s="223" t="s">
        <v>1519</v>
      </c>
      <c r="C686" s="335">
        <v>182</v>
      </c>
      <c r="D686" s="334">
        <v>41708</v>
      </c>
      <c r="E686" s="338">
        <v>3</v>
      </c>
      <c r="F686" s="336">
        <v>0</v>
      </c>
      <c r="G686" s="336">
        <v>0</v>
      </c>
      <c r="H686" s="336">
        <v>0</v>
      </c>
      <c r="I686" s="336">
        <v>0</v>
      </c>
      <c r="J686" s="336">
        <v>0</v>
      </c>
      <c r="L686" s="335">
        <v>0</v>
      </c>
    </row>
    <row r="687" spans="1:12" hidden="1">
      <c r="A687" s="347">
        <v>41530</v>
      </c>
      <c r="B687" s="1604" t="s">
        <v>1520</v>
      </c>
      <c r="C687" s="348">
        <v>1092</v>
      </c>
      <c r="D687" s="347">
        <v>42622</v>
      </c>
      <c r="E687" s="349">
        <v>8</v>
      </c>
      <c r="F687" s="350">
        <v>0</v>
      </c>
      <c r="G687" s="350">
        <v>0</v>
      </c>
      <c r="H687" s="350">
        <v>4.25</v>
      </c>
      <c r="I687" s="350">
        <v>4.25</v>
      </c>
      <c r="J687" s="350">
        <v>4.25</v>
      </c>
      <c r="K687" s="351"/>
      <c r="L687" s="348">
        <v>0</v>
      </c>
    </row>
    <row r="688" spans="1:12" hidden="1">
      <c r="A688" s="347">
        <v>41530</v>
      </c>
      <c r="B688" s="1604" t="s">
        <v>1521</v>
      </c>
      <c r="C688" s="348">
        <v>728</v>
      </c>
      <c r="D688" s="347">
        <v>42258</v>
      </c>
      <c r="E688" s="349">
        <v>4</v>
      </c>
      <c r="F688" s="350">
        <v>0</v>
      </c>
      <c r="G688" s="350">
        <v>0</v>
      </c>
      <c r="H688" s="350">
        <v>3.75</v>
      </c>
      <c r="I688" s="350">
        <v>3.75</v>
      </c>
      <c r="J688" s="350">
        <v>3.75</v>
      </c>
      <c r="K688" s="351"/>
      <c r="L688" s="348">
        <v>0</v>
      </c>
    </row>
    <row r="689" spans="1:12" hidden="1">
      <c r="A689" s="347">
        <v>41534</v>
      </c>
      <c r="B689" s="1604" t="s">
        <v>1522</v>
      </c>
      <c r="C689" s="348">
        <v>35</v>
      </c>
      <c r="D689" s="347">
        <v>41569</v>
      </c>
      <c r="E689" s="349">
        <v>4</v>
      </c>
      <c r="F689" s="350">
        <v>0</v>
      </c>
      <c r="G689" s="350">
        <v>0</v>
      </c>
      <c r="H689" s="350">
        <v>0</v>
      </c>
      <c r="I689" s="350">
        <v>0</v>
      </c>
      <c r="J689" s="350">
        <v>0</v>
      </c>
      <c r="K689" s="351"/>
      <c r="L689" s="348">
        <v>0</v>
      </c>
    </row>
    <row r="690" spans="1:12" hidden="1">
      <c r="A690" s="334">
        <v>41534</v>
      </c>
      <c r="B690" s="223" t="s">
        <v>1523</v>
      </c>
      <c r="C690" s="335">
        <v>91</v>
      </c>
      <c r="D690" s="334">
        <v>41625</v>
      </c>
      <c r="E690" s="338">
        <v>3</v>
      </c>
      <c r="F690" s="336">
        <v>1.0046999999999999</v>
      </c>
      <c r="G690" s="336">
        <v>1.0046999999999999</v>
      </c>
      <c r="H690" s="336">
        <v>1.8900000000000001</v>
      </c>
      <c r="I690" s="336">
        <v>1.8900000000000001</v>
      </c>
      <c r="J690" s="336">
        <v>1.8900000000000001</v>
      </c>
      <c r="L690" s="335">
        <v>1</v>
      </c>
    </row>
    <row r="691" spans="1:12" hidden="1">
      <c r="A691" s="347">
        <v>41537</v>
      </c>
      <c r="B691" s="1604" t="s">
        <v>1524</v>
      </c>
      <c r="C691" s="348">
        <v>364</v>
      </c>
      <c r="D691" s="347">
        <v>41901</v>
      </c>
      <c r="E691" s="349">
        <v>1</v>
      </c>
      <c r="F691" s="350">
        <v>0</v>
      </c>
      <c r="G691" s="350">
        <v>0</v>
      </c>
      <c r="H691" s="350">
        <v>0</v>
      </c>
      <c r="I691" s="350">
        <v>0</v>
      </c>
      <c r="J691" s="350">
        <v>0</v>
      </c>
      <c r="K691" s="351"/>
      <c r="L691" s="348">
        <v>0</v>
      </c>
    </row>
    <row r="692" spans="1:12" hidden="1">
      <c r="A692" s="334">
        <v>41541</v>
      </c>
      <c r="B692" s="223" t="s">
        <v>1525</v>
      </c>
      <c r="C692" s="335">
        <v>364</v>
      </c>
      <c r="D692" s="334">
        <v>41905</v>
      </c>
      <c r="E692" s="338">
        <v>12</v>
      </c>
      <c r="F692" s="336">
        <v>0</v>
      </c>
      <c r="G692" s="336">
        <v>0</v>
      </c>
      <c r="H692" s="336">
        <v>3.25</v>
      </c>
      <c r="I692" s="336">
        <v>3.25</v>
      </c>
      <c r="J692" s="336">
        <v>3.25</v>
      </c>
      <c r="L692" s="335">
        <v>0</v>
      </c>
    </row>
    <row r="693" spans="1:12" hidden="1">
      <c r="A693" s="347">
        <v>41541</v>
      </c>
      <c r="B693" s="1604" t="s">
        <v>1526</v>
      </c>
      <c r="C693" s="348">
        <v>182</v>
      </c>
      <c r="D693" s="347">
        <v>41723</v>
      </c>
      <c r="E693" s="349">
        <v>4</v>
      </c>
      <c r="F693" s="350">
        <v>0</v>
      </c>
      <c r="G693" s="350">
        <v>0</v>
      </c>
      <c r="H693" s="350">
        <v>0</v>
      </c>
      <c r="I693" s="350">
        <v>0</v>
      </c>
      <c r="J693" s="350">
        <v>0</v>
      </c>
      <c r="K693" s="351"/>
      <c r="L693" s="348">
        <v>0</v>
      </c>
    </row>
    <row r="694" spans="1:12" hidden="1">
      <c r="A694" s="334">
        <v>41544</v>
      </c>
      <c r="B694" s="223" t="s">
        <v>1810</v>
      </c>
      <c r="C694" s="335">
        <v>728</v>
      </c>
      <c r="D694" s="334">
        <v>42272</v>
      </c>
      <c r="E694" s="338">
        <v>3</v>
      </c>
      <c r="F694" s="336">
        <v>0</v>
      </c>
      <c r="G694" s="336">
        <v>0</v>
      </c>
      <c r="H694" s="336">
        <v>3.75</v>
      </c>
      <c r="I694" s="336">
        <v>3.75</v>
      </c>
      <c r="J694" s="336">
        <v>3.75</v>
      </c>
      <c r="L694" s="335">
        <v>0</v>
      </c>
    </row>
    <row r="695" spans="1:12" hidden="1">
      <c r="A695" s="347">
        <v>41544</v>
      </c>
      <c r="B695" s="1604" t="s">
        <v>1811</v>
      </c>
      <c r="C695" s="348">
        <v>1092</v>
      </c>
      <c r="D695" s="347">
        <v>42636</v>
      </c>
      <c r="E695" s="349">
        <v>8</v>
      </c>
      <c r="F695" s="350">
        <v>5</v>
      </c>
      <c r="G695" s="350">
        <v>5</v>
      </c>
      <c r="H695" s="350">
        <v>4.25</v>
      </c>
      <c r="I695" s="350">
        <v>4.25</v>
      </c>
      <c r="J695" s="350">
        <v>4.25</v>
      </c>
      <c r="K695" s="351"/>
      <c r="L695" s="348">
        <v>1</v>
      </c>
    </row>
    <row r="696" spans="1:12" hidden="1">
      <c r="A696" s="334">
        <v>41555</v>
      </c>
      <c r="B696" s="223" t="s">
        <v>1532</v>
      </c>
      <c r="C696" s="335">
        <v>182</v>
      </c>
      <c r="D696" s="334">
        <v>41737</v>
      </c>
      <c r="E696" s="338">
        <v>3</v>
      </c>
      <c r="F696" s="336">
        <v>0</v>
      </c>
      <c r="G696" s="336">
        <v>0</v>
      </c>
      <c r="H696" s="336">
        <v>0</v>
      </c>
      <c r="I696" s="336">
        <v>0</v>
      </c>
      <c r="J696" s="336">
        <v>0</v>
      </c>
      <c r="L696" s="335">
        <v>0</v>
      </c>
    </row>
    <row r="697" spans="1:12" hidden="1">
      <c r="A697" s="347">
        <v>41555</v>
      </c>
      <c r="B697" s="1604" t="s">
        <v>1533</v>
      </c>
      <c r="C697" s="348">
        <v>364</v>
      </c>
      <c r="D697" s="347">
        <v>41919</v>
      </c>
      <c r="E697" s="349">
        <v>10</v>
      </c>
      <c r="F697" s="350">
        <v>0</v>
      </c>
      <c r="G697" s="350">
        <v>0</v>
      </c>
      <c r="H697" s="350">
        <v>3.25</v>
      </c>
      <c r="I697" s="350">
        <v>3.25</v>
      </c>
      <c r="J697" s="350">
        <v>3.25</v>
      </c>
      <c r="K697" s="351"/>
      <c r="L697" s="348">
        <v>0</v>
      </c>
    </row>
    <row r="698" spans="1:12" hidden="1">
      <c r="A698" s="334">
        <v>41558</v>
      </c>
      <c r="B698" s="223" t="s">
        <v>1534</v>
      </c>
      <c r="C698" s="335">
        <v>728</v>
      </c>
      <c r="D698" s="334">
        <v>42286</v>
      </c>
      <c r="E698" s="338">
        <v>4</v>
      </c>
      <c r="F698" s="336">
        <v>0</v>
      </c>
      <c r="G698" s="336">
        <v>0</v>
      </c>
      <c r="H698" s="336">
        <v>3.75</v>
      </c>
      <c r="I698" s="336">
        <v>3.75</v>
      </c>
      <c r="J698" s="336">
        <v>3.75</v>
      </c>
      <c r="L698" s="335">
        <v>0</v>
      </c>
    </row>
    <row r="699" spans="1:12" hidden="1">
      <c r="A699" s="347">
        <v>41558</v>
      </c>
      <c r="B699" s="1604" t="s">
        <v>1535</v>
      </c>
      <c r="C699" s="348">
        <v>1092</v>
      </c>
      <c r="D699" s="347">
        <v>42650</v>
      </c>
      <c r="E699" s="349">
        <v>8</v>
      </c>
      <c r="F699" s="350">
        <v>11</v>
      </c>
      <c r="G699" s="350">
        <v>8</v>
      </c>
      <c r="H699" s="350">
        <v>4.25</v>
      </c>
      <c r="I699" s="350">
        <v>4.25</v>
      </c>
      <c r="J699" s="350">
        <v>4.25</v>
      </c>
      <c r="K699" s="351"/>
      <c r="L699" s="348">
        <v>2</v>
      </c>
    </row>
    <row r="700" spans="1:12" hidden="1">
      <c r="A700" s="334">
        <v>41565</v>
      </c>
      <c r="B700" s="223" t="s">
        <v>1536</v>
      </c>
      <c r="C700" s="335">
        <v>364</v>
      </c>
      <c r="D700" s="334">
        <v>41929</v>
      </c>
      <c r="E700" s="338">
        <v>1</v>
      </c>
      <c r="F700" s="336">
        <v>0</v>
      </c>
      <c r="G700" s="336">
        <v>0</v>
      </c>
      <c r="H700" s="336">
        <v>0</v>
      </c>
      <c r="I700" s="336">
        <v>0</v>
      </c>
      <c r="J700" s="336">
        <v>0</v>
      </c>
      <c r="L700" s="335">
        <v>0</v>
      </c>
    </row>
    <row r="701" spans="1:12" hidden="1">
      <c r="A701" s="347">
        <v>41565</v>
      </c>
      <c r="B701" s="1604" t="s">
        <v>1537</v>
      </c>
      <c r="C701" s="348">
        <v>35</v>
      </c>
      <c r="D701" s="347">
        <v>41600</v>
      </c>
      <c r="E701" s="349">
        <v>4</v>
      </c>
      <c r="F701" s="350">
        <v>0</v>
      </c>
      <c r="G701" s="350">
        <v>0</v>
      </c>
      <c r="H701" s="350">
        <v>0</v>
      </c>
      <c r="I701" s="350">
        <v>0</v>
      </c>
      <c r="J701" s="350">
        <v>0</v>
      </c>
      <c r="K701" s="351"/>
      <c r="L701" s="348">
        <v>0</v>
      </c>
    </row>
    <row r="702" spans="1:12" hidden="1">
      <c r="A702" s="334">
        <v>41565</v>
      </c>
      <c r="B702" s="223" t="s">
        <v>1538</v>
      </c>
      <c r="C702" s="335">
        <v>91</v>
      </c>
      <c r="D702" s="334">
        <v>41656</v>
      </c>
      <c r="E702" s="338">
        <v>3</v>
      </c>
      <c r="F702" s="336">
        <v>0</v>
      </c>
      <c r="G702" s="336">
        <v>0</v>
      </c>
      <c r="H702" s="336">
        <v>0</v>
      </c>
      <c r="I702" s="336">
        <v>0</v>
      </c>
      <c r="J702" s="336">
        <v>0</v>
      </c>
      <c r="L702" s="335">
        <v>0</v>
      </c>
    </row>
    <row r="703" spans="1:12" hidden="1">
      <c r="A703" s="347">
        <v>41569</v>
      </c>
      <c r="B703" s="1604" t="s">
        <v>1539</v>
      </c>
      <c r="C703" s="348">
        <v>182</v>
      </c>
      <c r="D703" s="347">
        <v>41751</v>
      </c>
      <c r="E703" s="349">
        <v>4</v>
      </c>
      <c r="F703" s="350">
        <v>0</v>
      </c>
      <c r="G703" s="350">
        <v>0</v>
      </c>
      <c r="H703" s="350">
        <v>0</v>
      </c>
      <c r="I703" s="350">
        <v>0</v>
      </c>
      <c r="J703" s="350">
        <v>0</v>
      </c>
      <c r="K703" s="351"/>
      <c r="L703" s="348">
        <v>0</v>
      </c>
    </row>
    <row r="704" spans="1:12" hidden="1">
      <c r="A704" s="334">
        <v>41569</v>
      </c>
      <c r="B704" s="223" t="s">
        <v>1540</v>
      </c>
      <c r="C704" s="335">
        <v>364</v>
      </c>
      <c r="D704" s="334">
        <v>41933</v>
      </c>
      <c r="E704" s="338">
        <v>12</v>
      </c>
      <c r="F704" s="336">
        <v>0</v>
      </c>
      <c r="G704" s="336">
        <v>0</v>
      </c>
      <c r="H704" s="336">
        <v>3.25</v>
      </c>
      <c r="I704" s="336">
        <v>3.25</v>
      </c>
      <c r="J704" s="336">
        <v>3.25</v>
      </c>
      <c r="L704" s="335">
        <v>0</v>
      </c>
    </row>
    <row r="705" spans="1:12" hidden="1">
      <c r="A705" s="347">
        <v>41572</v>
      </c>
      <c r="B705" s="1604" t="s">
        <v>1541</v>
      </c>
      <c r="C705" s="348">
        <v>728</v>
      </c>
      <c r="D705" s="347">
        <v>42300</v>
      </c>
      <c r="E705" s="349">
        <v>3</v>
      </c>
      <c r="F705" s="350">
        <v>0</v>
      </c>
      <c r="G705" s="350">
        <v>0</v>
      </c>
      <c r="H705" s="350">
        <v>3.75</v>
      </c>
      <c r="I705" s="350">
        <v>3.75</v>
      </c>
      <c r="J705" s="350">
        <v>3.75</v>
      </c>
      <c r="K705" s="351"/>
      <c r="L705" s="348">
        <v>0</v>
      </c>
    </row>
    <row r="706" spans="1:12" hidden="1">
      <c r="A706" s="334">
        <v>41572</v>
      </c>
      <c r="B706" s="223" t="s">
        <v>1542</v>
      </c>
      <c r="C706" s="335">
        <v>1092</v>
      </c>
      <c r="D706" s="334">
        <v>42664</v>
      </c>
      <c r="E706" s="338">
        <v>8</v>
      </c>
      <c r="F706" s="336">
        <v>5.55</v>
      </c>
      <c r="G706" s="336">
        <v>5.55</v>
      </c>
      <c r="H706" s="336">
        <v>4.2799999999999994</v>
      </c>
      <c r="I706" s="336">
        <v>4.2799999999999994</v>
      </c>
      <c r="J706" s="336">
        <v>4.25</v>
      </c>
      <c r="L706" s="335">
        <v>2</v>
      </c>
    </row>
    <row r="707" spans="1:12" hidden="1">
      <c r="A707" s="347">
        <v>41583</v>
      </c>
      <c r="B707" s="1604" t="s">
        <v>1588</v>
      </c>
      <c r="C707" s="348">
        <v>91</v>
      </c>
      <c r="D707" s="347">
        <v>41674</v>
      </c>
      <c r="E707" s="349">
        <v>4</v>
      </c>
      <c r="F707" s="350">
        <v>0</v>
      </c>
      <c r="G707" s="350">
        <v>0</v>
      </c>
      <c r="H707" s="350">
        <v>0</v>
      </c>
      <c r="I707" s="350">
        <v>0</v>
      </c>
      <c r="J707" s="350">
        <v>0</v>
      </c>
      <c r="K707" s="351"/>
      <c r="L707" s="348">
        <v>0</v>
      </c>
    </row>
    <row r="708" spans="1:12" hidden="1">
      <c r="A708" s="334">
        <v>41583</v>
      </c>
      <c r="B708" s="223" t="s">
        <v>1589</v>
      </c>
      <c r="C708" s="335">
        <v>35</v>
      </c>
      <c r="D708" s="334">
        <v>41618</v>
      </c>
      <c r="E708" s="338">
        <v>3</v>
      </c>
      <c r="F708" s="336">
        <v>0</v>
      </c>
      <c r="G708" s="336">
        <v>0</v>
      </c>
      <c r="H708" s="336">
        <v>0</v>
      </c>
      <c r="I708" s="336">
        <v>0</v>
      </c>
      <c r="J708" s="336">
        <v>0</v>
      </c>
      <c r="L708" s="335">
        <v>0</v>
      </c>
    </row>
    <row r="709" spans="1:12" hidden="1">
      <c r="A709" s="347">
        <v>41586</v>
      </c>
      <c r="B709" s="1604" t="s">
        <v>1590</v>
      </c>
      <c r="C709" s="348">
        <v>364</v>
      </c>
      <c r="D709" s="347">
        <v>41950</v>
      </c>
      <c r="E709" s="349">
        <v>1</v>
      </c>
      <c r="F709" s="350">
        <v>0.30890000000000001</v>
      </c>
      <c r="G709" s="350">
        <v>0.30890000000000001</v>
      </c>
      <c r="H709" s="350">
        <v>3.25</v>
      </c>
      <c r="I709" s="350">
        <v>3.25</v>
      </c>
      <c r="J709" s="350">
        <v>2.9899999999999998</v>
      </c>
      <c r="K709" s="351"/>
      <c r="L709" s="348">
        <v>2</v>
      </c>
    </row>
    <row r="710" spans="1:12" hidden="1">
      <c r="A710" s="334">
        <v>41590</v>
      </c>
      <c r="B710" s="223" t="s">
        <v>1591</v>
      </c>
      <c r="C710" s="335">
        <v>364</v>
      </c>
      <c r="D710" s="334">
        <v>41954</v>
      </c>
      <c r="E710" s="338">
        <v>10</v>
      </c>
      <c r="F710" s="336">
        <v>0</v>
      </c>
      <c r="G710" s="336">
        <v>0</v>
      </c>
      <c r="H710" s="336">
        <v>3.25</v>
      </c>
      <c r="I710" s="336">
        <v>3.25</v>
      </c>
      <c r="J710" s="336">
        <v>3.25</v>
      </c>
      <c r="L710" s="335">
        <v>0</v>
      </c>
    </row>
    <row r="711" spans="1:12" hidden="1">
      <c r="A711" s="347">
        <v>41590</v>
      </c>
      <c r="B711" s="1604" t="s">
        <v>1592</v>
      </c>
      <c r="C711" s="348">
        <v>182</v>
      </c>
      <c r="D711" s="347">
        <v>41772</v>
      </c>
      <c r="E711" s="349">
        <v>3</v>
      </c>
      <c r="F711" s="350">
        <v>0</v>
      </c>
      <c r="G711" s="350">
        <v>0</v>
      </c>
      <c r="H711" s="350">
        <v>0</v>
      </c>
      <c r="I711" s="350">
        <v>0</v>
      </c>
      <c r="J711" s="350">
        <v>0</v>
      </c>
      <c r="K711" s="351"/>
      <c r="L711" s="348">
        <v>0</v>
      </c>
    </row>
    <row r="712" spans="1:12" hidden="1">
      <c r="A712" s="347">
        <v>41593</v>
      </c>
      <c r="B712" s="1604" t="s">
        <v>1593</v>
      </c>
      <c r="C712" s="348">
        <v>728</v>
      </c>
      <c r="D712" s="347">
        <v>42321</v>
      </c>
      <c r="E712" s="349">
        <v>4</v>
      </c>
      <c r="F712" s="350">
        <v>0</v>
      </c>
      <c r="G712" s="350">
        <v>0</v>
      </c>
      <c r="H712" s="350">
        <v>3.75</v>
      </c>
      <c r="I712" s="350">
        <v>3.75</v>
      </c>
      <c r="J712" s="350">
        <v>3.75</v>
      </c>
      <c r="K712" s="351"/>
      <c r="L712" s="348">
        <v>0</v>
      </c>
    </row>
    <row r="713" spans="1:12" hidden="1">
      <c r="A713" s="347">
        <v>41593</v>
      </c>
      <c r="B713" s="1604" t="s">
        <v>1594</v>
      </c>
      <c r="C713" s="348">
        <v>1092</v>
      </c>
      <c r="D713" s="347">
        <v>42685</v>
      </c>
      <c r="E713" s="349">
        <v>8</v>
      </c>
      <c r="F713" s="350">
        <v>0</v>
      </c>
      <c r="G713" s="350">
        <v>0</v>
      </c>
      <c r="H713" s="350">
        <v>4.25</v>
      </c>
      <c r="I713" s="350">
        <v>4.25</v>
      </c>
      <c r="J713" s="350">
        <v>4.25</v>
      </c>
      <c r="K713" s="351"/>
      <c r="L713" s="348">
        <v>0</v>
      </c>
    </row>
    <row r="714" spans="1:12" hidden="1">
      <c r="A714" s="334">
        <v>41597</v>
      </c>
      <c r="B714" s="223" t="s">
        <v>1595</v>
      </c>
      <c r="C714" s="335">
        <v>91</v>
      </c>
      <c r="D714" s="334">
        <v>41688</v>
      </c>
      <c r="E714" s="338">
        <v>3</v>
      </c>
      <c r="F714" s="336">
        <v>0</v>
      </c>
      <c r="G714" s="336">
        <v>0</v>
      </c>
      <c r="H714" s="336">
        <v>0</v>
      </c>
      <c r="I714" s="336">
        <v>0</v>
      </c>
      <c r="J714" s="336">
        <v>0</v>
      </c>
      <c r="L714" s="335">
        <v>0</v>
      </c>
    </row>
    <row r="715" spans="1:12" hidden="1">
      <c r="A715" s="347">
        <v>41597</v>
      </c>
      <c r="B715" s="1604" t="s">
        <v>1596</v>
      </c>
      <c r="C715" s="348">
        <v>35</v>
      </c>
      <c r="D715" s="347">
        <v>41632</v>
      </c>
      <c r="E715" s="349">
        <v>4</v>
      </c>
      <c r="F715" s="350">
        <v>4.0056000000000003</v>
      </c>
      <c r="G715" s="350">
        <v>4</v>
      </c>
      <c r="H715" s="350">
        <v>1.46</v>
      </c>
      <c r="I715" s="350">
        <v>1.46</v>
      </c>
      <c r="J715" s="350">
        <v>1.46</v>
      </c>
      <c r="K715" s="351"/>
      <c r="L715" s="348">
        <v>1</v>
      </c>
    </row>
    <row r="716" spans="1:12" hidden="1">
      <c r="A716" s="334">
        <v>41600</v>
      </c>
      <c r="B716" s="223" t="s">
        <v>1597</v>
      </c>
      <c r="C716" s="335">
        <v>364</v>
      </c>
      <c r="D716" s="334">
        <v>41964</v>
      </c>
      <c r="E716" s="338">
        <v>1</v>
      </c>
      <c r="F716" s="336">
        <v>0</v>
      </c>
      <c r="G716" s="336">
        <v>0</v>
      </c>
      <c r="H716" s="336">
        <v>0</v>
      </c>
      <c r="I716" s="336">
        <v>0</v>
      </c>
      <c r="J716" s="336">
        <v>0</v>
      </c>
      <c r="L716" s="335">
        <v>0</v>
      </c>
    </row>
    <row r="717" spans="1:12" hidden="1">
      <c r="A717" s="347">
        <v>41604</v>
      </c>
      <c r="B717" s="1604" t="s">
        <v>1598</v>
      </c>
      <c r="C717" s="348">
        <v>182</v>
      </c>
      <c r="D717" s="347">
        <v>41786</v>
      </c>
      <c r="E717" s="349">
        <v>4</v>
      </c>
      <c r="F717" s="350">
        <v>0</v>
      </c>
      <c r="G717" s="350">
        <v>0</v>
      </c>
      <c r="H717" s="350">
        <v>0</v>
      </c>
      <c r="I717" s="350">
        <v>0</v>
      </c>
      <c r="J717" s="350">
        <v>0</v>
      </c>
      <c r="K717" s="351"/>
      <c r="L717" s="348">
        <v>0</v>
      </c>
    </row>
    <row r="718" spans="1:12" hidden="1">
      <c r="A718" s="334">
        <v>41604</v>
      </c>
      <c r="B718" s="223" t="s">
        <v>1599</v>
      </c>
      <c r="C718" s="335">
        <v>364</v>
      </c>
      <c r="D718" s="334">
        <v>41968</v>
      </c>
      <c r="E718" s="338">
        <v>12</v>
      </c>
      <c r="F718" s="336">
        <v>0</v>
      </c>
      <c r="G718" s="336">
        <v>0</v>
      </c>
      <c r="H718" s="336">
        <v>3.25</v>
      </c>
      <c r="I718" s="336">
        <v>3.25</v>
      </c>
      <c r="J718" s="336">
        <v>3.25</v>
      </c>
      <c r="L718" s="335">
        <v>0</v>
      </c>
    </row>
    <row r="719" spans="1:12" hidden="1">
      <c r="A719" s="347">
        <v>41607</v>
      </c>
      <c r="B719" s="1604" t="s">
        <v>1600</v>
      </c>
      <c r="C719" s="348">
        <v>1092</v>
      </c>
      <c r="D719" s="347">
        <v>42699</v>
      </c>
      <c r="E719" s="349">
        <v>8</v>
      </c>
      <c r="F719" s="350">
        <v>0</v>
      </c>
      <c r="G719" s="350">
        <v>0</v>
      </c>
      <c r="H719" s="350">
        <v>4.25</v>
      </c>
      <c r="I719" s="350">
        <v>4.25</v>
      </c>
      <c r="J719" s="350">
        <v>4.25</v>
      </c>
      <c r="K719" s="351"/>
      <c r="L719" s="348">
        <v>0</v>
      </c>
    </row>
    <row r="720" spans="1:12" hidden="1">
      <c r="A720" s="334">
        <v>41607</v>
      </c>
      <c r="B720" s="223" t="s">
        <v>1601</v>
      </c>
      <c r="C720" s="335">
        <v>728</v>
      </c>
      <c r="D720" s="334">
        <v>42335</v>
      </c>
      <c r="E720" s="338">
        <v>3</v>
      </c>
      <c r="F720" s="336">
        <v>3</v>
      </c>
      <c r="G720" s="336">
        <v>3</v>
      </c>
      <c r="H720" s="336">
        <v>3.75</v>
      </c>
      <c r="I720" s="336">
        <v>3.75</v>
      </c>
      <c r="J720" s="336">
        <v>3.75</v>
      </c>
      <c r="L720" s="335">
        <v>1</v>
      </c>
    </row>
    <row r="721" spans="1:12" hidden="1">
      <c r="A721" s="347">
        <v>41614</v>
      </c>
      <c r="B721" s="1604" t="s">
        <v>1606</v>
      </c>
      <c r="C721" s="348">
        <v>364</v>
      </c>
      <c r="D721" s="347">
        <v>41978</v>
      </c>
      <c r="E721" s="349">
        <v>1</v>
      </c>
      <c r="F721" s="350">
        <v>0</v>
      </c>
      <c r="G721" s="350">
        <v>0</v>
      </c>
      <c r="H721" s="350">
        <v>0</v>
      </c>
      <c r="I721" s="350">
        <v>0</v>
      </c>
      <c r="J721" s="350">
        <v>0</v>
      </c>
      <c r="K721" s="351"/>
      <c r="L721" s="348">
        <v>0</v>
      </c>
    </row>
    <row r="722" spans="1:12" hidden="1">
      <c r="A722" s="334">
        <v>41618</v>
      </c>
      <c r="B722" s="223" t="s">
        <v>1607</v>
      </c>
      <c r="C722" s="335">
        <v>364</v>
      </c>
      <c r="D722" s="334">
        <v>41982</v>
      </c>
      <c r="E722" s="338">
        <v>12</v>
      </c>
      <c r="F722" s="336">
        <v>0</v>
      </c>
      <c r="G722" s="336">
        <v>0</v>
      </c>
      <c r="H722" s="336">
        <v>0</v>
      </c>
      <c r="I722" s="336">
        <v>0</v>
      </c>
      <c r="J722" s="336">
        <v>0</v>
      </c>
      <c r="L722" s="335">
        <v>0</v>
      </c>
    </row>
    <row r="723" spans="1:12" hidden="1">
      <c r="A723" s="347">
        <v>41618</v>
      </c>
      <c r="B723" s="1604" t="s">
        <v>1608</v>
      </c>
      <c r="C723" s="348">
        <v>182</v>
      </c>
      <c r="D723" s="347">
        <v>41800</v>
      </c>
      <c r="E723" s="349">
        <v>3</v>
      </c>
      <c r="F723" s="350">
        <v>0</v>
      </c>
      <c r="G723" s="350">
        <v>0</v>
      </c>
      <c r="H723" s="350">
        <v>3.25</v>
      </c>
      <c r="I723" s="350">
        <v>3.25</v>
      </c>
      <c r="J723" s="350">
        <v>3.25</v>
      </c>
      <c r="K723" s="351"/>
      <c r="L723" s="348">
        <v>0</v>
      </c>
    </row>
    <row r="724" spans="1:12" hidden="1">
      <c r="A724" s="334">
        <v>41621</v>
      </c>
      <c r="B724" s="223" t="s">
        <v>1609</v>
      </c>
      <c r="C724" s="335">
        <v>728</v>
      </c>
      <c r="D724" s="334">
        <v>42349</v>
      </c>
      <c r="E724" s="338">
        <v>4</v>
      </c>
      <c r="F724" s="336">
        <v>0</v>
      </c>
      <c r="G724" s="336">
        <v>0</v>
      </c>
      <c r="H724" s="336">
        <v>3.75</v>
      </c>
      <c r="I724" s="336">
        <v>3.75</v>
      </c>
      <c r="J724" s="336">
        <v>3.75</v>
      </c>
      <c r="L724" s="335">
        <v>0</v>
      </c>
    </row>
    <row r="725" spans="1:12" hidden="1">
      <c r="A725" s="347">
        <v>41621</v>
      </c>
      <c r="B725" s="1604" t="s">
        <v>1610</v>
      </c>
      <c r="C725" s="348">
        <v>1092</v>
      </c>
      <c r="D725" s="347">
        <v>42713</v>
      </c>
      <c r="E725" s="349">
        <v>8</v>
      </c>
      <c r="F725" s="350">
        <v>1.6001000000000001</v>
      </c>
      <c r="G725" s="350">
        <v>1.6001000000000001</v>
      </c>
      <c r="H725" s="350">
        <v>4.25</v>
      </c>
      <c r="I725" s="350">
        <v>4.25</v>
      </c>
      <c r="J725" s="350">
        <v>4.25</v>
      </c>
      <c r="K725" s="351"/>
      <c r="L725" s="348">
        <v>2</v>
      </c>
    </row>
    <row r="726" spans="1:12" hidden="1">
      <c r="A726" s="334">
        <v>41625</v>
      </c>
      <c r="B726" s="223" t="s">
        <v>1611</v>
      </c>
      <c r="C726" s="335">
        <v>35</v>
      </c>
      <c r="D726" s="334">
        <v>41660</v>
      </c>
      <c r="E726" s="338">
        <v>4</v>
      </c>
      <c r="F726" s="336">
        <v>0</v>
      </c>
      <c r="G726" s="336">
        <v>0</v>
      </c>
      <c r="H726" s="336">
        <v>0</v>
      </c>
      <c r="I726" s="336">
        <v>0</v>
      </c>
      <c r="J726" s="336">
        <v>0</v>
      </c>
      <c r="L726" s="335">
        <v>0</v>
      </c>
    </row>
    <row r="727" spans="1:12" hidden="1">
      <c r="A727" s="347">
        <v>41625</v>
      </c>
      <c r="B727" s="1604" t="s">
        <v>1612</v>
      </c>
      <c r="C727" s="348">
        <v>91</v>
      </c>
      <c r="D727" s="347">
        <v>41716</v>
      </c>
      <c r="E727" s="349">
        <v>3</v>
      </c>
      <c r="F727" s="350">
        <v>0</v>
      </c>
      <c r="G727" s="350">
        <v>0</v>
      </c>
      <c r="H727" s="350">
        <v>0</v>
      </c>
      <c r="I727" s="350">
        <v>0</v>
      </c>
      <c r="J727" s="350">
        <v>0</v>
      </c>
      <c r="K727" s="351"/>
      <c r="L727" s="348">
        <v>0</v>
      </c>
    </row>
    <row r="728" spans="1:12" hidden="1">
      <c r="A728" s="334">
        <v>41628</v>
      </c>
      <c r="B728" s="223" t="s">
        <v>1613</v>
      </c>
      <c r="C728" s="335">
        <v>364</v>
      </c>
      <c r="D728" s="334">
        <v>41992</v>
      </c>
      <c r="E728" s="338">
        <v>1</v>
      </c>
      <c r="F728" s="336">
        <v>0</v>
      </c>
      <c r="G728" s="336">
        <v>0</v>
      </c>
      <c r="H728" s="336">
        <v>0</v>
      </c>
      <c r="I728" s="336">
        <v>0</v>
      </c>
      <c r="J728" s="336">
        <v>0</v>
      </c>
      <c r="L728" s="335">
        <v>0</v>
      </c>
    </row>
    <row r="729" spans="1:12" hidden="1">
      <c r="A729" s="347">
        <v>41632</v>
      </c>
      <c r="B729" s="1604" t="s">
        <v>1614</v>
      </c>
      <c r="C729" s="348">
        <v>364</v>
      </c>
      <c r="D729" s="347">
        <v>41996</v>
      </c>
      <c r="E729" s="349">
        <v>12</v>
      </c>
      <c r="F729" s="350">
        <v>0</v>
      </c>
      <c r="G729" s="350">
        <v>0</v>
      </c>
      <c r="H729" s="350">
        <v>3.25</v>
      </c>
      <c r="I729" s="350">
        <v>3.25</v>
      </c>
      <c r="J729" s="350">
        <v>3.25</v>
      </c>
      <c r="K729" s="351"/>
      <c r="L729" s="348">
        <v>0</v>
      </c>
    </row>
    <row r="730" spans="1:12" hidden="1">
      <c r="A730" s="334">
        <v>41635</v>
      </c>
      <c r="B730" s="223" t="s">
        <v>1615</v>
      </c>
      <c r="C730" s="335">
        <v>1092</v>
      </c>
      <c r="D730" s="334">
        <v>42727</v>
      </c>
      <c r="E730" s="338">
        <v>8</v>
      </c>
      <c r="F730" s="336">
        <v>2</v>
      </c>
      <c r="G730" s="336">
        <v>7.8014000000000001</v>
      </c>
      <c r="H730" s="336">
        <v>4.25</v>
      </c>
      <c r="I730" s="336">
        <v>4.25</v>
      </c>
      <c r="J730" s="336">
        <v>4.25</v>
      </c>
      <c r="L730" s="335">
        <v>2</v>
      </c>
    </row>
    <row r="731" spans="1:12" hidden="1">
      <c r="A731" s="347">
        <v>41635</v>
      </c>
      <c r="B731" s="1604" t="s">
        <v>1616</v>
      </c>
      <c r="C731" s="348">
        <v>728</v>
      </c>
      <c r="D731" s="347">
        <v>42363</v>
      </c>
      <c r="E731" s="349">
        <v>3</v>
      </c>
      <c r="F731" s="350">
        <v>0</v>
      </c>
      <c r="G731" s="350">
        <v>0</v>
      </c>
      <c r="H731" s="350">
        <v>3.75</v>
      </c>
      <c r="I731" s="350">
        <v>3.75</v>
      </c>
      <c r="J731" s="350">
        <v>0</v>
      </c>
      <c r="K731" s="351"/>
      <c r="L731" s="348">
        <v>0</v>
      </c>
    </row>
    <row r="732" spans="1:12" hidden="1">
      <c r="A732" s="334">
        <v>41765</v>
      </c>
      <c r="B732" s="223" t="s">
        <v>1639</v>
      </c>
      <c r="C732" s="335">
        <v>35</v>
      </c>
      <c r="D732" s="334">
        <v>41800</v>
      </c>
      <c r="E732" s="338">
        <v>5</v>
      </c>
      <c r="F732" s="336">
        <v>10.005000000000001</v>
      </c>
      <c r="G732" s="336">
        <v>5</v>
      </c>
      <c r="H732" s="336">
        <v>1.46</v>
      </c>
      <c r="I732" s="336">
        <v>1.46</v>
      </c>
      <c r="J732" s="336">
        <v>1.46</v>
      </c>
      <c r="L732" s="335">
        <v>2</v>
      </c>
    </row>
    <row r="733" spans="1:12" hidden="1">
      <c r="A733" s="347">
        <v>41765</v>
      </c>
      <c r="B733" s="1604" t="s">
        <v>1640</v>
      </c>
      <c r="C733" s="348">
        <v>91</v>
      </c>
      <c r="D733" s="347">
        <v>41856</v>
      </c>
      <c r="E733" s="349">
        <v>5</v>
      </c>
      <c r="F733" s="350">
        <v>5.5023999999999997</v>
      </c>
      <c r="G733" s="350">
        <v>5</v>
      </c>
      <c r="H733" s="350">
        <v>1.8900000000000001</v>
      </c>
      <c r="I733" s="350">
        <v>1.8900000000000001</v>
      </c>
      <c r="J733" s="350">
        <v>1.8900000000000001</v>
      </c>
      <c r="K733" s="351"/>
      <c r="L733" s="348">
        <v>2</v>
      </c>
    </row>
    <row r="734" spans="1:12" hidden="1">
      <c r="A734" s="334">
        <v>41765</v>
      </c>
      <c r="B734" s="223" t="s">
        <v>1641</v>
      </c>
      <c r="C734" s="335">
        <v>364</v>
      </c>
      <c r="D734" s="334">
        <v>42129</v>
      </c>
      <c r="E734" s="338">
        <v>1</v>
      </c>
      <c r="F734" s="336">
        <v>2.0289999999999999</v>
      </c>
      <c r="G734" s="336">
        <v>1</v>
      </c>
      <c r="H734" s="336">
        <v>2.9000000000000004</v>
      </c>
      <c r="I734" s="336">
        <v>2.9000000000000004</v>
      </c>
      <c r="J734" s="336">
        <v>2.9000000000000004</v>
      </c>
      <c r="L734" s="335">
        <v>2</v>
      </c>
    </row>
    <row r="735" spans="1:12" hidden="1">
      <c r="A735" s="347">
        <v>41772</v>
      </c>
      <c r="B735" s="1604" t="s">
        <v>1642</v>
      </c>
      <c r="C735" s="348">
        <v>182</v>
      </c>
      <c r="D735" s="347">
        <v>41954</v>
      </c>
      <c r="E735" s="349">
        <v>3</v>
      </c>
      <c r="F735" s="350">
        <v>3</v>
      </c>
      <c r="G735" s="350">
        <v>3</v>
      </c>
      <c r="H735" s="350">
        <v>1.9800000000000002</v>
      </c>
      <c r="I735" s="350">
        <v>1.9800000000000002</v>
      </c>
      <c r="J735" s="350">
        <v>1.66</v>
      </c>
      <c r="K735" s="351"/>
      <c r="L735" s="348">
        <v>1</v>
      </c>
    </row>
    <row r="736" spans="1:12" hidden="1">
      <c r="A736" s="334">
        <v>41772</v>
      </c>
      <c r="B736" s="223" t="s">
        <v>1643</v>
      </c>
      <c r="C736" s="335">
        <v>364</v>
      </c>
      <c r="D736" s="334">
        <v>42136</v>
      </c>
      <c r="E736" s="338">
        <v>12</v>
      </c>
      <c r="F736" s="336">
        <v>12</v>
      </c>
      <c r="G736" s="336">
        <v>11</v>
      </c>
      <c r="H736" s="336">
        <v>3.25</v>
      </c>
      <c r="I736" s="336">
        <v>3.25</v>
      </c>
      <c r="J736" s="336">
        <v>3.25</v>
      </c>
      <c r="L736" s="335">
        <v>1</v>
      </c>
    </row>
    <row r="737" spans="1:12" hidden="1">
      <c r="A737" s="347">
        <v>41775</v>
      </c>
      <c r="B737" s="1604" t="s">
        <v>1644</v>
      </c>
      <c r="C737" s="348">
        <v>728</v>
      </c>
      <c r="D737" s="347">
        <v>42503</v>
      </c>
      <c r="E737" s="349">
        <v>4</v>
      </c>
      <c r="F737" s="350">
        <v>5</v>
      </c>
      <c r="G737" s="350">
        <v>4</v>
      </c>
      <c r="H737" s="350">
        <v>3.75</v>
      </c>
      <c r="I737" s="350">
        <v>3.75</v>
      </c>
      <c r="J737" s="350">
        <v>3.75</v>
      </c>
      <c r="K737" s="351"/>
      <c r="L737" s="348">
        <v>2</v>
      </c>
    </row>
    <row r="738" spans="1:12" hidden="1">
      <c r="A738" s="334">
        <v>41775</v>
      </c>
      <c r="B738" s="223" t="s">
        <v>1645</v>
      </c>
      <c r="C738" s="335">
        <v>1092</v>
      </c>
      <c r="D738" s="334">
        <v>42867</v>
      </c>
      <c r="E738" s="338">
        <v>9</v>
      </c>
      <c r="F738" s="336">
        <v>9</v>
      </c>
      <c r="G738" s="336">
        <v>9</v>
      </c>
      <c r="H738" s="336">
        <v>4.25</v>
      </c>
      <c r="I738" s="336">
        <v>4.25</v>
      </c>
      <c r="J738" s="336">
        <v>4.25</v>
      </c>
      <c r="L738" s="335">
        <v>3</v>
      </c>
    </row>
    <row r="739" spans="1:12" hidden="1">
      <c r="A739" s="347">
        <v>41779</v>
      </c>
      <c r="B739" s="1604" t="s">
        <v>1646</v>
      </c>
      <c r="C739" s="348">
        <v>35</v>
      </c>
      <c r="D739" s="347">
        <v>41814</v>
      </c>
      <c r="E739" s="349">
        <v>5</v>
      </c>
      <c r="F739" s="350">
        <v>1.502</v>
      </c>
      <c r="G739" s="350">
        <v>1.502</v>
      </c>
      <c r="H739" s="350">
        <v>1.46</v>
      </c>
      <c r="I739" s="350">
        <v>1.46</v>
      </c>
      <c r="J739" s="350">
        <v>1.46</v>
      </c>
      <c r="K739" s="351"/>
      <c r="L739" s="348">
        <v>1</v>
      </c>
    </row>
    <row r="740" spans="1:12" hidden="1">
      <c r="A740" s="334">
        <v>41779</v>
      </c>
      <c r="B740" s="223" t="s">
        <v>1812</v>
      </c>
      <c r="C740" s="335">
        <v>91</v>
      </c>
      <c r="D740" s="334">
        <v>41870</v>
      </c>
      <c r="E740" s="338">
        <v>5</v>
      </c>
      <c r="F740" s="336">
        <v>0</v>
      </c>
      <c r="G740" s="336">
        <v>0</v>
      </c>
      <c r="H740" s="336">
        <v>0</v>
      </c>
      <c r="I740" s="336">
        <v>0</v>
      </c>
      <c r="J740" s="336">
        <v>0</v>
      </c>
      <c r="L740" s="335">
        <v>0</v>
      </c>
    </row>
    <row r="741" spans="1:12" hidden="1">
      <c r="A741" s="347">
        <v>41782</v>
      </c>
      <c r="B741" s="1604" t="s">
        <v>1813</v>
      </c>
      <c r="C741" s="348">
        <v>364</v>
      </c>
      <c r="D741" s="347">
        <v>42146</v>
      </c>
      <c r="E741" s="349">
        <v>1</v>
      </c>
      <c r="F741" s="350">
        <v>0</v>
      </c>
      <c r="G741" s="350">
        <v>0</v>
      </c>
      <c r="H741" s="350">
        <v>0</v>
      </c>
      <c r="I741" s="350">
        <v>0</v>
      </c>
      <c r="J741" s="350">
        <v>0</v>
      </c>
      <c r="K741" s="351"/>
      <c r="L741" s="348">
        <v>0</v>
      </c>
    </row>
    <row r="742" spans="1:12" hidden="1">
      <c r="A742" s="334">
        <v>41786</v>
      </c>
      <c r="B742" s="223" t="s">
        <v>1647</v>
      </c>
      <c r="C742" s="335">
        <v>182</v>
      </c>
      <c r="D742" s="334">
        <v>41968</v>
      </c>
      <c r="E742" s="338">
        <v>3</v>
      </c>
      <c r="F742" s="336">
        <v>2</v>
      </c>
      <c r="G742" s="336">
        <v>2</v>
      </c>
      <c r="H742" s="336">
        <v>1.9800000000000002</v>
      </c>
      <c r="I742" s="336">
        <v>1.9800000000000002</v>
      </c>
      <c r="J742" s="336">
        <v>1.9800000000000002</v>
      </c>
      <c r="L742" s="335">
        <v>1</v>
      </c>
    </row>
    <row r="743" spans="1:12" hidden="1">
      <c r="A743" s="347">
        <v>41786</v>
      </c>
      <c r="B743" s="1604" t="s">
        <v>1814</v>
      </c>
      <c r="C743" s="348">
        <v>364</v>
      </c>
      <c r="D743" s="347">
        <v>42150</v>
      </c>
      <c r="E743" s="349">
        <v>12</v>
      </c>
      <c r="F743" s="350">
        <v>0</v>
      </c>
      <c r="G743" s="350">
        <v>0</v>
      </c>
      <c r="H743" s="350">
        <v>3.25</v>
      </c>
      <c r="I743" s="350">
        <v>3.25</v>
      </c>
      <c r="J743" s="350">
        <v>0</v>
      </c>
      <c r="K743" s="351"/>
      <c r="L743" s="348">
        <v>0</v>
      </c>
    </row>
    <row r="744" spans="1:12" hidden="1">
      <c r="A744" s="334">
        <v>41789</v>
      </c>
      <c r="B744" s="223" t="s">
        <v>1815</v>
      </c>
      <c r="C744" s="335">
        <v>728</v>
      </c>
      <c r="D744" s="334">
        <v>42517</v>
      </c>
      <c r="E744" s="338">
        <v>3</v>
      </c>
      <c r="F744" s="336">
        <v>0</v>
      </c>
      <c r="G744" s="336">
        <v>0</v>
      </c>
      <c r="H744" s="336">
        <v>3.75</v>
      </c>
      <c r="I744" s="336">
        <v>3.75</v>
      </c>
      <c r="J744" s="336">
        <v>0</v>
      </c>
      <c r="L744" s="335">
        <v>0</v>
      </c>
    </row>
    <row r="745" spans="1:12" hidden="1">
      <c r="A745" s="347">
        <v>41789</v>
      </c>
      <c r="B745" s="1604" t="s">
        <v>1648</v>
      </c>
      <c r="C745" s="348">
        <v>1092</v>
      </c>
      <c r="D745" s="347">
        <v>42881</v>
      </c>
      <c r="E745" s="349">
        <v>8</v>
      </c>
      <c r="F745" s="350">
        <v>2.7</v>
      </c>
      <c r="G745" s="350">
        <v>2.7</v>
      </c>
      <c r="H745" s="350">
        <v>4.25</v>
      </c>
      <c r="I745" s="350">
        <v>4.25</v>
      </c>
      <c r="J745" s="350">
        <v>4.25</v>
      </c>
      <c r="K745" s="351"/>
      <c r="L745" s="348">
        <v>1</v>
      </c>
    </row>
    <row r="746" spans="1:12" hidden="1">
      <c r="A746" s="334">
        <v>41793</v>
      </c>
      <c r="B746" s="223" t="s">
        <v>1656</v>
      </c>
      <c r="C746" s="335">
        <v>35</v>
      </c>
      <c r="D746" s="334">
        <v>41828</v>
      </c>
      <c r="E746" s="338">
        <v>3</v>
      </c>
      <c r="F746" s="336">
        <v>0</v>
      </c>
      <c r="G746" s="336">
        <v>0</v>
      </c>
      <c r="H746" s="336">
        <v>0</v>
      </c>
      <c r="I746" s="336">
        <v>0</v>
      </c>
      <c r="J746" s="336">
        <v>0</v>
      </c>
      <c r="L746" s="335">
        <v>0</v>
      </c>
    </row>
    <row r="747" spans="1:12" hidden="1">
      <c r="A747" s="347">
        <v>41793</v>
      </c>
      <c r="B747" s="1604" t="s">
        <v>1657</v>
      </c>
      <c r="C747" s="348">
        <v>91</v>
      </c>
      <c r="D747" s="347">
        <v>41884</v>
      </c>
      <c r="E747" s="349">
        <v>3</v>
      </c>
      <c r="F747" s="350">
        <v>0</v>
      </c>
      <c r="G747" s="350">
        <v>0</v>
      </c>
      <c r="H747" s="350">
        <v>0</v>
      </c>
      <c r="I747" s="350">
        <v>0</v>
      </c>
      <c r="J747" s="350">
        <v>0</v>
      </c>
      <c r="K747" s="351"/>
      <c r="L747" s="348">
        <v>0</v>
      </c>
    </row>
    <row r="748" spans="1:12" hidden="1">
      <c r="A748" s="334">
        <v>41796</v>
      </c>
      <c r="B748" s="223" t="s">
        <v>1658</v>
      </c>
      <c r="C748" s="335">
        <v>364</v>
      </c>
      <c r="D748" s="334">
        <v>42160</v>
      </c>
      <c r="E748" s="338">
        <v>1</v>
      </c>
      <c r="F748" s="336">
        <v>0</v>
      </c>
      <c r="G748" s="336">
        <v>0</v>
      </c>
      <c r="H748" s="336">
        <v>0</v>
      </c>
      <c r="I748" s="336">
        <v>0</v>
      </c>
      <c r="J748" s="336">
        <v>0</v>
      </c>
      <c r="L748" s="335">
        <v>0</v>
      </c>
    </row>
    <row r="749" spans="1:12" hidden="1">
      <c r="A749" s="347">
        <v>41800</v>
      </c>
      <c r="B749" s="1604" t="s">
        <v>1659</v>
      </c>
      <c r="C749" s="348">
        <v>182</v>
      </c>
      <c r="D749" s="347">
        <v>41982</v>
      </c>
      <c r="E749" s="349">
        <v>3</v>
      </c>
      <c r="F749" s="350">
        <v>0</v>
      </c>
      <c r="G749" s="350">
        <v>0</v>
      </c>
      <c r="H749" s="350">
        <v>0</v>
      </c>
      <c r="I749" s="350">
        <v>0</v>
      </c>
      <c r="J749" s="350">
        <v>0</v>
      </c>
      <c r="K749" s="351"/>
      <c r="L749" s="348">
        <v>0</v>
      </c>
    </row>
    <row r="750" spans="1:12" hidden="1">
      <c r="A750" s="334">
        <v>41800</v>
      </c>
      <c r="B750" s="223" t="s">
        <v>1660</v>
      </c>
      <c r="C750" s="335">
        <v>364</v>
      </c>
      <c r="D750" s="334">
        <v>42164</v>
      </c>
      <c r="E750" s="338">
        <v>12</v>
      </c>
      <c r="F750" s="336">
        <v>0</v>
      </c>
      <c r="G750" s="336">
        <v>0</v>
      </c>
      <c r="H750" s="336">
        <v>3.25</v>
      </c>
      <c r="I750" s="336">
        <v>3.25</v>
      </c>
      <c r="J750" s="336">
        <v>0</v>
      </c>
      <c r="L750" s="335">
        <v>0</v>
      </c>
    </row>
    <row r="751" spans="1:12" hidden="1">
      <c r="A751" s="347">
        <v>41803</v>
      </c>
      <c r="B751" s="1604" t="s">
        <v>1661</v>
      </c>
      <c r="C751" s="348">
        <v>1092</v>
      </c>
      <c r="D751" s="347">
        <v>42895</v>
      </c>
      <c r="E751" s="349">
        <v>9</v>
      </c>
      <c r="F751" s="350">
        <v>3.1</v>
      </c>
      <c r="G751" s="350">
        <v>3.1</v>
      </c>
      <c r="H751" s="350">
        <v>4.25</v>
      </c>
      <c r="I751" s="350">
        <v>4.25</v>
      </c>
      <c r="J751" s="350">
        <v>4.25</v>
      </c>
      <c r="K751" s="351"/>
      <c r="L751" s="348">
        <v>2</v>
      </c>
    </row>
    <row r="752" spans="1:12" hidden="1">
      <c r="A752" s="334">
        <v>41803</v>
      </c>
      <c r="B752" s="223" t="s">
        <v>1662</v>
      </c>
      <c r="C752" s="335">
        <v>728</v>
      </c>
      <c r="D752" s="334">
        <v>42531</v>
      </c>
      <c r="E752" s="338">
        <v>4</v>
      </c>
      <c r="F752" s="336">
        <v>0</v>
      </c>
      <c r="G752" s="336">
        <v>0</v>
      </c>
      <c r="H752" s="336">
        <v>3.75</v>
      </c>
      <c r="I752" s="336">
        <v>3.75</v>
      </c>
      <c r="J752" s="336">
        <v>0</v>
      </c>
      <c r="L752" s="335">
        <v>0</v>
      </c>
    </row>
    <row r="753" spans="1:12" hidden="1">
      <c r="A753" s="347">
        <v>41807</v>
      </c>
      <c r="B753" s="1604" t="s">
        <v>1663</v>
      </c>
      <c r="C753" s="348">
        <v>91</v>
      </c>
      <c r="D753" s="347">
        <v>41898</v>
      </c>
      <c r="E753" s="349">
        <v>4</v>
      </c>
      <c r="F753" s="350">
        <v>0</v>
      </c>
      <c r="G753" s="350">
        <v>0</v>
      </c>
      <c r="H753" s="350">
        <v>0</v>
      </c>
      <c r="I753" s="350">
        <v>0</v>
      </c>
      <c r="J753" s="350">
        <v>0</v>
      </c>
      <c r="K753" s="351"/>
      <c r="L753" s="348">
        <v>0</v>
      </c>
    </row>
    <row r="754" spans="1:12" hidden="1">
      <c r="A754" s="334">
        <v>41807</v>
      </c>
      <c r="B754" s="223" t="s">
        <v>1664</v>
      </c>
      <c r="C754" s="335">
        <v>35</v>
      </c>
      <c r="D754" s="334">
        <v>41842</v>
      </c>
      <c r="E754" s="338">
        <v>4</v>
      </c>
      <c r="F754" s="336">
        <v>0</v>
      </c>
      <c r="G754" s="336">
        <v>0</v>
      </c>
      <c r="H754" s="336">
        <v>0</v>
      </c>
      <c r="I754" s="336">
        <v>0</v>
      </c>
      <c r="J754" s="336">
        <v>0</v>
      </c>
      <c r="L754" s="335">
        <v>0</v>
      </c>
    </row>
    <row r="755" spans="1:12" hidden="1">
      <c r="A755" s="347">
        <v>41810</v>
      </c>
      <c r="B755" s="1604" t="s">
        <v>1665</v>
      </c>
      <c r="C755" s="348">
        <v>364</v>
      </c>
      <c r="D755" s="347">
        <v>42174</v>
      </c>
      <c r="E755" s="349">
        <v>1</v>
      </c>
      <c r="F755" s="350">
        <v>0.77239999999999998</v>
      </c>
      <c r="G755" s="350">
        <v>0.77239999999999998</v>
      </c>
      <c r="H755" s="350">
        <v>2.9000000000000004</v>
      </c>
      <c r="I755" s="350">
        <v>2.9000000000000004</v>
      </c>
      <c r="J755" s="350">
        <v>2.9000000000000004</v>
      </c>
      <c r="K755" s="351"/>
      <c r="L755" s="348">
        <v>1</v>
      </c>
    </row>
    <row r="756" spans="1:12" hidden="1">
      <c r="A756" s="334">
        <v>41814</v>
      </c>
      <c r="B756" s="223" t="s">
        <v>1666</v>
      </c>
      <c r="C756" s="335">
        <v>182</v>
      </c>
      <c r="D756" s="334">
        <v>41996</v>
      </c>
      <c r="E756" s="338">
        <v>3</v>
      </c>
      <c r="F756" s="336">
        <v>0</v>
      </c>
      <c r="G756" s="336">
        <v>0</v>
      </c>
      <c r="H756" s="336">
        <v>0</v>
      </c>
      <c r="I756" s="336">
        <v>0</v>
      </c>
      <c r="J756" s="336">
        <v>0</v>
      </c>
      <c r="L756" s="335">
        <v>0</v>
      </c>
    </row>
    <row r="757" spans="1:12" hidden="1">
      <c r="A757" s="347">
        <v>41814</v>
      </c>
      <c r="B757" s="1604" t="s">
        <v>1667</v>
      </c>
      <c r="C757" s="348">
        <v>364</v>
      </c>
      <c r="D757" s="347">
        <v>42178</v>
      </c>
      <c r="E757" s="349">
        <v>12</v>
      </c>
      <c r="F757" s="350">
        <v>0</v>
      </c>
      <c r="G757" s="350">
        <v>0</v>
      </c>
      <c r="H757" s="350">
        <v>3.25</v>
      </c>
      <c r="I757" s="350">
        <v>3.25</v>
      </c>
      <c r="J757" s="350">
        <v>0</v>
      </c>
      <c r="K757" s="351"/>
      <c r="L757" s="348">
        <v>0</v>
      </c>
    </row>
    <row r="758" spans="1:12" hidden="1">
      <c r="A758" s="334">
        <v>41817</v>
      </c>
      <c r="B758" s="223" t="s">
        <v>1668</v>
      </c>
      <c r="C758" s="335">
        <v>1092</v>
      </c>
      <c r="D758" s="334">
        <v>42909</v>
      </c>
      <c r="E758" s="338">
        <v>8</v>
      </c>
      <c r="F758" s="336">
        <v>0</v>
      </c>
      <c r="G758" s="336">
        <v>0</v>
      </c>
      <c r="H758" s="336">
        <v>4.25</v>
      </c>
      <c r="I758" s="336">
        <v>4.25</v>
      </c>
      <c r="J758" s="336">
        <v>0</v>
      </c>
      <c r="L758" s="335">
        <v>0</v>
      </c>
    </row>
    <row r="759" spans="1:12" hidden="1">
      <c r="A759" s="347">
        <v>41817</v>
      </c>
      <c r="B759" s="1604" t="s">
        <v>1669</v>
      </c>
      <c r="C759" s="348">
        <v>728</v>
      </c>
      <c r="D759" s="347">
        <v>42545</v>
      </c>
      <c r="E759" s="349">
        <v>3</v>
      </c>
      <c r="F759" s="350">
        <v>0</v>
      </c>
      <c r="G759" s="350">
        <v>0</v>
      </c>
      <c r="H759" s="350">
        <v>3.75</v>
      </c>
      <c r="I759" s="350">
        <v>3.75</v>
      </c>
      <c r="J759" s="350">
        <v>0</v>
      </c>
      <c r="K759" s="351"/>
      <c r="L759" s="348">
        <v>0</v>
      </c>
    </row>
    <row r="760" spans="1:12" hidden="1">
      <c r="A760" s="334">
        <v>41821</v>
      </c>
      <c r="B760" s="223" t="s">
        <v>1674</v>
      </c>
      <c r="C760" s="335">
        <v>91</v>
      </c>
      <c r="D760" s="334">
        <v>41912</v>
      </c>
      <c r="E760" s="338">
        <v>3</v>
      </c>
      <c r="F760" s="336">
        <v>0</v>
      </c>
      <c r="G760" s="336">
        <v>0</v>
      </c>
      <c r="H760" s="336">
        <v>0</v>
      </c>
      <c r="I760" s="336">
        <v>0</v>
      </c>
      <c r="J760" s="336">
        <v>0</v>
      </c>
      <c r="L760" s="335">
        <v>0</v>
      </c>
    </row>
    <row r="761" spans="1:12" hidden="1">
      <c r="A761" s="347">
        <v>41821</v>
      </c>
      <c r="B761" s="1604" t="s">
        <v>1675</v>
      </c>
      <c r="C761" s="348">
        <v>35</v>
      </c>
      <c r="D761" s="347">
        <v>41856</v>
      </c>
      <c r="E761" s="349">
        <v>3</v>
      </c>
      <c r="F761" s="350">
        <v>0</v>
      </c>
      <c r="G761" s="350">
        <v>0</v>
      </c>
      <c r="H761" s="350">
        <v>0</v>
      </c>
      <c r="I761" s="350">
        <v>0</v>
      </c>
      <c r="J761" s="350">
        <v>0</v>
      </c>
      <c r="K761" s="351"/>
      <c r="L761" s="348">
        <v>0</v>
      </c>
    </row>
    <row r="762" spans="1:12" hidden="1">
      <c r="A762" s="334">
        <v>41824</v>
      </c>
      <c r="B762" s="223" t="s">
        <v>1676</v>
      </c>
      <c r="C762" s="335">
        <v>364</v>
      </c>
      <c r="D762" s="334">
        <v>42188</v>
      </c>
      <c r="E762" s="338">
        <v>1</v>
      </c>
      <c r="F762" s="336">
        <v>0.31919999999999998</v>
      </c>
      <c r="G762" s="336">
        <v>0.31919999999999998</v>
      </c>
      <c r="H762" s="336">
        <v>2.9899999999999998</v>
      </c>
      <c r="I762" s="336">
        <v>2.9899999999999998</v>
      </c>
      <c r="J762" s="336">
        <v>2.9899999999999998</v>
      </c>
      <c r="L762" s="335">
        <v>1</v>
      </c>
    </row>
    <row r="763" spans="1:12" hidden="1">
      <c r="A763" s="347">
        <v>41828</v>
      </c>
      <c r="B763" s="1604" t="s">
        <v>1677</v>
      </c>
      <c r="C763" s="348">
        <v>182</v>
      </c>
      <c r="D763" s="347">
        <v>42010</v>
      </c>
      <c r="E763" s="349">
        <v>4</v>
      </c>
      <c r="F763" s="350">
        <v>0</v>
      </c>
      <c r="G763" s="350">
        <v>0</v>
      </c>
      <c r="H763" s="350">
        <v>0</v>
      </c>
      <c r="I763" s="350">
        <v>0</v>
      </c>
      <c r="J763" s="350">
        <v>0</v>
      </c>
      <c r="K763" s="351"/>
      <c r="L763" s="348">
        <v>0</v>
      </c>
    </row>
    <row r="764" spans="1:12" hidden="1">
      <c r="A764" s="334">
        <v>41828</v>
      </c>
      <c r="B764" s="223" t="s">
        <v>1678</v>
      </c>
      <c r="C764" s="335">
        <v>364</v>
      </c>
      <c r="D764" s="334">
        <v>42192</v>
      </c>
      <c r="E764" s="338">
        <v>12</v>
      </c>
      <c r="F764" s="336">
        <v>0</v>
      </c>
      <c r="G764" s="336">
        <v>0</v>
      </c>
      <c r="H764" s="336">
        <v>0</v>
      </c>
      <c r="I764" s="336">
        <v>0</v>
      </c>
      <c r="J764" s="336">
        <v>0</v>
      </c>
      <c r="L764" s="335">
        <v>0</v>
      </c>
    </row>
    <row r="765" spans="1:12" hidden="1">
      <c r="A765" s="347">
        <v>41831</v>
      </c>
      <c r="B765" s="1604" t="s">
        <v>1679</v>
      </c>
      <c r="C765" s="348">
        <v>728</v>
      </c>
      <c r="D765" s="347">
        <v>42559</v>
      </c>
      <c r="E765" s="349">
        <v>4</v>
      </c>
      <c r="F765" s="350">
        <v>0</v>
      </c>
      <c r="G765" s="350">
        <v>0</v>
      </c>
      <c r="H765" s="350">
        <v>3.75</v>
      </c>
      <c r="I765" s="350">
        <v>3.75</v>
      </c>
      <c r="J765" s="350">
        <v>0</v>
      </c>
      <c r="K765" s="351"/>
      <c r="L765" s="348">
        <v>0</v>
      </c>
    </row>
    <row r="766" spans="1:12" hidden="1">
      <c r="A766" s="334">
        <v>41831</v>
      </c>
      <c r="B766" s="223" t="s">
        <v>1680</v>
      </c>
      <c r="C766" s="335">
        <v>1092</v>
      </c>
      <c r="D766" s="334">
        <v>42923</v>
      </c>
      <c r="E766" s="338">
        <v>9</v>
      </c>
      <c r="F766" s="336">
        <v>6.5</v>
      </c>
      <c r="G766" s="336">
        <v>6.5</v>
      </c>
      <c r="H766" s="336">
        <v>4.25</v>
      </c>
      <c r="I766" s="336">
        <v>4.25</v>
      </c>
      <c r="J766" s="336">
        <v>4.25</v>
      </c>
      <c r="L766" s="335">
        <v>2</v>
      </c>
    </row>
    <row r="767" spans="1:12" hidden="1">
      <c r="A767" s="347">
        <v>41835</v>
      </c>
      <c r="B767" s="1604" t="s">
        <v>1681</v>
      </c>
      <c r="C767" s="348">
        <v>35</v>
      </c>
      <c r="D767" s="347">
        <v>41870</v>
      </c>
      <c r="E767" s="349">
        <v>4</v>
      </c>
      <c r="F767" s="350">
        <v>0</v>
      </c>
      <c r="G767" s="350">
        <v>0</v>
      </c>
      <c r="H767" s="350">
        <v>0</v>
      </c>
      <c r="I767" s="350">
        <v>0</v>
      </c>
      <c r="J767" s="350">
        <v>0</v>
      </c>
      <c r="K767" s="351"/>
      <c r="L767" s="348">
        <v>0</v>
      </c>
    </row>
    <row r="768" spans="1:12" hidden="1">
      <c r="A768" s="334">
        <v>41835</v>
      </c>
      <c r="B768" s="223" t="s">
        <v>1682</v>
      </c>
      <c r="C768" s="335">
        <v>91</v>
      </c>
      <c r="D768" s="334">
        <v>41926</v>
      </c>
      <c r="E768" s="338">
        <v>4</v>
      </c>
      <c r="F768" s="336">
        <v>0</v>
      </c>
      <c r="G768" s="336">
        <v>0</v>
      </c>
      <c r="H768" s="336">
        <v>0</v>
      </c>
      <c r="I768" s="336">
        <v>0</v>
      </c>
      <c r="J768" s="336">
        <v>0</v>
      </c>
      <c r="L768" s="335">
        <v>0</v>
      </c>
    </row>
    <row r="769" spans="1:12" hidden="1">
      <c r="A769" s="347">
        <v>41838</v>
      </c>
      <c r="B769" s="1604" t="s">
        <v>1683</v>
      </c>
      <c r="C769" s="348">
        <v>364</v>
      </c>
      <c r="D769" s="347">
        <v>42202</v>
      </c>
      <c r="E769" s="349">
        <v>1</v>
      </c>
      <c r="F769" s="350">
        <v>0</v>
      </c>
      <c r="G769" s="350">
        <v>0</v>
      </c>
      <c r="H769" s="350">
        <v>0</v>
      </c>
      <c r="I769" s="350">
        <v>0</v>
      </c>
      <c r="J769" s="350">
        <v>0</v>
      </c>
      <c r="K769" s="351"/>
      <c r="L769" s="348">
        <v>0</v>
      </c>
    </row>
    <row r="770" spans="1:12" hidden="1">
      <c r="A770" s="334">
        <v>41842</v>
      </c>
      <c r="B770" s="223" t="s">
        <v>1684</v>
      </c>
      <c r="C770" s="335">
        <v>182</v>
      </c>
      <c r="D770" s="334">
        <v>42024</v>
      </c>
      <c r="E770" s="338">
        <v>4</v>
      </c>
      <c r="F770" s="336">
        <v>0</v>
      </c>
      <c r="G770" s="336">
        <v>0</v>
      </c>
      <c r="H770" s="336">
        <v>0</v>
      </c>
      <c r="I770" s="336">
        <v>0</v>
      </c>
      <c r="J770" s="336">
        <v>0</v>
      </c>
      <c r="L770" s="335">
        <v>0</v>
      </c>
    </row>
    <row r="771" spans="1:12" hidden="1">
      <c r="A771" s="347">
        <v>41842</v>
      </c>
      <c r="B771" s="1604" t="s">
        <v>1685</v>
      </c>
      <c r="C771" s="348">
        <v>364</v>
      </c>
      <c r="D771" s="347">
        <v>42206</v>
      </c>
      <c r="E771" s="349">
        <v>12</v>
      </c>
      <c r="F771" s="350">
        <v>0</v>
      </c>
      <c r="G771" s="350">
        <v>0</v>
      </c>
      <c r="H771" s="350">
        <v>3.25</v>
      </c>
      <c r="I771" s="350">
        <v>3.25</v>
      </c>
      <c r="J771" s="350">
        <v>0</v>
      </c>
      <c r="K771" s="351"/>
      <c r="L771" s="348">
        <v>0</v>
      </c>
    </row>
    <row r="772" spans="1:12" hidden="1">
      <c r="A772" s="334">
        <v>41845</v>
      </c>
      <c r="B772" s="223" t="s">
        <v>1686</v>
      </c>
      <c r="C772" s="335">
        <v>728</v>
      </c>
      <c r="D772" s="334">
        <v>42573</v>
      </c>
      <c r="E772" s="338">
        <v>3</v>
      </c>
      <c r="F772" s="336">
        <v>0</v>
      </c>
      <c r="G772" s="336">
        <v>0</v>
      </c>
      <c r="H772" s="336">
        <v>3.75</v>
      </c>
      <c r="I772" s="336">
        <v>3.75</v>
      </c>
      <c r="J772" s="336">
        <v>0</v>
      </c>
      <c r="L772" s="335">
        <v>0</v>
      </c>
    </row>
    <row r="773" spans="1:12" hidden="1">
      <c r="A773" s="347">
        <v>41845</v>
      </c>
      <c r="B773" s="1604" t="s">
        <v>1687</v>
      </c>
      <c r="C773" s="348">
        <v>1092</v>
      </c>
      <c r="D773" s="347">
        <v>42937</v>
      </c>
      <c r="E773" s="349">
        <v>8</v>
      </c>
      <c r="F773" s="350">
        <v>2</v>
      </c>
      <c r="G773" s="350">
        <v>2</v>
      </c>
      <c r="H773" s="350">
        <v>4.25</v>
      </c>
      <c r="I773" s="350">
        <v>4.25</v>
      </c>
      <c r="J773" s="350">
        <v>4.25</v>
      </c>
      <c r="K773" s="351"/>
      <c r="L773" s="348">
        <v>1</v>
      </c>
    </row>
    <row r="774" spans="1:12" hidden="1">
      <c r="A774" s="334">
        <v>41863</v>
      </c>
      <c r="B774" s="223" t="s">
        <v>1693</v>
      </c>
      <c r="C774" s="335">
        <v>182</v>
      </c>
      <c r="D774" s="334">
        <v>42045</v>
      </c>
      <c r="E774" s="338">
        <v>4</v>
      </c>
      <c r="F774" s="336">
        <v>0</v>
      </c>
      <c r="G774" s="336">
        <v>0</v>
      </c>
      <c r="H774" s="336">
        <v>0</v>
      </c>
      <c r="I774" s="336">
        <v>0</v>
      </c>
      <c r="J774" s="336">
        <v>0</v>
      </c>
      <c r="L774" s="335">
        <v>0</v>
      </c>
    </row>
    <row r="775" spans="1:12" hidden="1">
      <c r="A775" s="347">
        <v>41863</v>
      </c>
      <c r="B775" s="1604" t="s">
        <v>1694</v>
      </c>
      <c r="C775" s="348">
        <v>364</v>
      </c>
      <c r="D775" s="347">
        <v>42227</v>
      </c>
      <c r="E775" s="349">
        <v>12</v>
      </c>
      <c r="F775" s="350">
        <v>0</v>
      </c>
      <c r="G775" s="350">
        <v>0</v>
      </c>
      <c r="H775" s="350">
        <v>3.25</v>
      </c>
      <c r="I775" s="350">
        <v>3.25</v>
      </c>
      <c r="J775" s="350">
        <v>3.25</v>
      </c>
      <c r="K775" s="351"/>
      <c r="L775" s="348">
        <v>0</v>
      </c>
    </row>
    <row r="776" spans="1:12" hidden="1">
      <c r="A776" s="334">
        <v>41866</v>
      </c>
      <c r="B776" s="223" t="s">
        <v>1695</v>
      </c>
      <c r="C776" s="335">
        <v>728</v>
      </c>
      <c r="D776" s="334">
        <v>42594</v>
      </c>
      <c r="E776" s="338">
        <v>4</v>
      </c>
      <c r="F776" s="336">
        <v>0</v>
      </c>
      <c r="G776" s="336">
        <v>0</v>
      </c>
      <c r="H776" s="336">
        <v>3.75</v>
      </c>
      <c r="I776" s="336">
        <v>3.75</v>
      </c>
      <c r="J776" s="336">
        <v>3.75</v>
      </c>
      <c r="L776" s="335">
        <v>0</v>
      </c>
    </row>
    <row r="777" spans="1:12" hidden="1">
      <c r="A777" s="347">
        <v>41866</v>
      </c>
      <c r="B777" s="1604" t="s">
        <v>1696</v>
      </c>
      <c r="C777" s="348">
        <v>1092</v>
      </c>
      <c r="D777" s="347">
        <v>42958</v>
      </c>
      <c r="E777" s="349">
        <v>9</v>
      </c>
      <c r="F777" s="350">
        <v>1.8</v>
      </c>
      <c r="G777" s="350">
        <v>1.8</v>
      </c>
      <c r="H777" s="350">
        <v>4.25</v>
      </c>
      <c r="I777" s="350">
        <v>4.25</v>
      </c>
      <c r="J777" s="350">
        <v>4.25</v>
      </c>
      <c r="K777" s="351"/>
      <c r="L777" s="348">
        <v>1</v>
      </c>
    </row>
    <row r="778" spans="1:12" hidden="1">
      <c r="A778" s="334">
        <v>41884</v>
      </c>
      <c r="B778" s="223" t="s">
        <v>1702</v>
      </c>
      <c r="C778" s="335">
        <v>35</v>
      </c>
      <c r="D778" s="334">
        <v>41919</v>
      </c>
      <c r="E778" s="338">
        <v>3</v>
      </c>
      <c r="F778" s="336">
        <v>0</v>
      </c>
      <c r="G778" s="336">
        <v>0</v>
      </c>
      <c r="H778" s="336">
        <v>0</v>
      </c>
      <c r="I778" s="336">
        <v>0</v>
      </c>
      <c r="J778" s="336">
        <v>0</v>
      </c>
      <c r="L778" s="335">
        <v>0</v>
      </c>
    </row>
    <row r="779" spans="1:12" hidden="1">
      <c r="A779" s="347">
        <v>41884</v>
      </c>
      <c r="B779" s="1604" t="s">
        <v>1703</v>
      </c>
      <c r="C779" s="348">
        <v>91</v>
      </c>
      <c r="D779" s="347">
        <v>41975</v>
      </c>
      <c r="E779" s="349">
        <v>3</v>
      </c>
      <c r="F779" s="350">
        <v>0</v>
      </c>
      <c r="G779" s="350">
        <v>0</v>
      </c>
      <c r="H779" s="350">
        <v>0</v>
      </c>
      <c r="I779" s="350">
        <v>0</v>
      </c>
      <c r="J779" s="350">
        <v>0</v>
      </c>
      <c r="K779" s="351"/>
      <c r="L779" s="348">
        <v>0</v>
      </c>
    </row>
    <row r="780" spans="1:12" hidden="1">
      <c r="A780" s="334">
        <v>41887</v>
      </c>
      <c r="B780" s="223" t="s">
        <v>1704</v>
      </c>
      <c r="C780" s="335">
        <v>364</v>
      </c>
      <c r="D780" s="334">
        <v>42251</v>
      </c>
      <c r="E780" s="338">
        <v>1</v>
      </c>
      <c r="F780" s="336">
        <v>0</v>
      </c>
      <c r="G780" s="336">
        <v>0</v>
      </c>
      <c r="H780" s="336">
        <v>0</v>
      </c>
      <c r="I780" s="336">
        <v>0</v>
      </c>
      <c r="J780" s="336">
        <v>0</v>
      </c>
      <c r="L780" s="335">
        <v>0</v>
      </c>
    </row>
    <row r="781" spans="1:12" hidden="1">
      <c r="A781" s="347">
        <v>41891</v>
      </c>
      <c r="B781" s="1604" t="s">
        <v>1705</v>
      </c>
      <c r="C781" s="348">
        <v>182</v>
      </c>
      <c r="D781" s="347">
        <v>42073</v>
      </c>
      <c r="E781" s="349">
        <v>4</v>
      </c>
      <c r="F781" s="350">
        <v>0</v>
      </c>
      <c r="G781" s="350">
        <v>0</v>
      </c>
      <c r="H781" s="350">
        <v>0</v>
      </c>
      <c r="I781" s="350">
        <v>0</v>
      </c>
      <c r="J781" s="350">
        <v>0</v>
      </c>
      <c r="K781" s="351"/>
      <c r="L781" s="348">
        <v>0</v>
      </c>
    </row>
    <row r="782" spans="1:12" hidden="1">
      <c r="A782" s="334">
        <v>41891</v>
      </c>
      <c r="B782" s="223" t="s">
        <v>1706</v>
      </c>
      <c r="C782" s="335">
        <v>364</v>
      </c>
      <c r="D782" s="334">
        <v>42255</v>
      </c>
      <c r="E782" s="338">
        <v>12</v>
      </c>
      <c r="F782" s="336">
        <v>0</v>
      </c>
      <c r="G782" s="336">
        <v>0</v>
      </c>
      <c r="H782" s="336">
        <v>3.25</v>
      </c>
      <c r="I782" s="336">
        <v>3.25</v>
      </c>
      <c r="J782" s="336">
        <v>3.25</v>
      </c>
      <c r="L782" s="335">
        <v>0</v>
      </c>
    </row>
    <row r="783" spans="1:12" hidden="1">
      <c r="A783" s="347">
        <v>41894</v>
      </c>
      <c r="B783" s="1604" t="s">
        <v>1707</v>
      </c>
      <c r="C783" s="348">
        <v>728</v>
      </c>
      <c r="D783" s="347">
        <v>42622</v>
      </c>
      <c r="E783" s="349">
        <v>4</v>
      </c>
      <c r="F783" s="350">
        <v>0</v>
      </c>
      <c r="G783" s="350">
        <v>0</v>
      </c>
      <c r="H783" s="350">
        <v>3.75</v>
      </c>
      <c r="I783" s="350">
        <v>3.75</v>
      </c>
      <c r="J783" s="350">
        <v>3.75</v>
      </c>
      <c r="K783" s="351"/>
      <c r="L783" s="348">
        <v>0</v>
      </c>
    </row>
    <row r="784" spans="1:12" hidden="1">
      <c r="A784" s="334">
        <v>41894</v>
      </c>
      <c r="B784" s="223" t="s">
        <v>1708</v>
      </c>
      <c r="C784" s="335">
        <v>1092</v>
      </c>
      <c r="D784" s="334">
        <v>42986</v>
      </c>
      <c r="E784" s="338">
        <v>9</v>
      </c>
      <c r="F784" s="336">
        <v>3</v>
      </c>
      <c r="G784" s="336">
        <v>3</v>
      </c>
      <c r="H784" s="336">
        <v>4.25</v>
      </c>
      <c r="I784" s="336">
        <v>4.25</v>
      </c>
      <c r="J784" s="336">
        <v>4.25</v>
      </c>
      <c r="L784" s="335">
        <v>1</v>
      </c>
    </row>
    <row r="785" spans="1:12" hidden="1">
      <c r="A785" s="347">
        <v>41898</v>
      </c>
      <c r="B785" s="1604" t="s">
        <v>1709</v>
      </c>
      <c r="C785" s="348">
        <v>35</v>
      </c>
      <c r="D785" s="347">
        <v>41933</v>
      </c>
      <c r="E785" s="349">
        <v>4</v>
      </c>
      <c r="F785" s="350">
        <v>0</v>
      </c>
      <c r="G785" s="350">
        <v>0</v>
      </c>
      <c r="H785" s="350">
        <v>0</v>
      </c>
      <c r="I785" s="350">
        <v>0</v>
      </c>
      <c r="J785" s="350">
        <v>0</v>
      </c>
      <c r="K785" s="351"/>
      <c r="L785" s="348">
        <v>0</v>
      </c>
    </row>
    <row r="786" spans="1:12" hidden="1">
      <c r="A786" s="334">
        <v>41898</v>
      </c>
      <c r="B786" s="223" t="s">
        <v>1710</v>
      </c>
      <c r="C786" s="335">
        <v>91</v>
      </c>
      <c r="D786" s="334">
        <v>41989</v>
      </c>
      <c r="E786" s="338">
        <v>4</v>
      </c>
      <c r="F786" s="336">
        <v>0</v>
      </c>
      <c r="G786" s="336">
        <v>0</v>
      </c>
      <c r="H786" s="336">
        <v>0</v>
      </c>
      <c r="I786" s="336">
        <v>0</v>
      </c>
      <c r="J786" s="336">
        <v>0</v>
      </c>
      <c r="L786" s="335">
        <v>0</v>
      </c>
    </row>
    <row r="787" spans="1:12" hidden="1">
      <c r="A787" s="347">
        <v>41901</v>
      </c>
      <c r="B787" s="1604" t="s">
        <v>1711</v>
      </c>
      <c r="C787" s="348">
        <v>364</v>
      </c>
      <c r="D787" s="347">
        <v>42265</v>
      </c>
      <c r="E787" s="349">
        <v>2</v>
      </c>
      <c r="F787" s="350">
        <v>0</v>
      </c>
      <c r="G787" s="350">
        <v>0</v>
      </c>
      <c r="H787" s="350">
        <v>0</v>
      </c>
      <c r="I787" s="350">
        <v>0</v>
      </c>
      <c r="J787" s="350">
        <v>0</v>
      </c>
      <c r="K787" s="351"/>
      <c r="L787" s="348">
        <v>0</v>
      </c>
    </row>
    <row r="788" spans="1:12" hidden="1">
      <c r="A788" s="334">
        <v>41905</v>
      </c>
      <c r="B788" s="223" t="s">
        <v>1712</v>
      </c>
      <c r="C788" s="335">
        <v>182</v>
      </c>
      <c r="D788" s="334">
        <v>42087</v>
      </c>
      <c r="E788" s="338">
        <v>4</v>
      </c>
      <c r="F788" s="336">
        <v>0</v>
      </c>
      <c r="G788" s="336">
        <v>0</v>
      </c>
      <c r="H788" s="336">
        <v>0</v>
      </c>
      <c r="I788" s="336">
        <v>0</v>
      </c>
      <c r="J788" s="336">
        <v>0</v>
      </c>
      <c r="L788" s="335">
        <v>0</v>
      </c>
    </row>
    <row r="789" spans="1:12" hidden="1">
      <c r="A789" s="347">
        <v>41905</v>
      </c>
      <c r="B789" s="1604" t="s">
        <v>1713</v>
      </c>
      <c r="C789" s="348">
        <v>364</v>
      </c>
      <c r="D789" s="347">
        <v>42269</v>
      </c>
      <c r="E789" s="349">
        <v>14</v>
      </c>
      <c r="F789" s="350">
        <v>0</v>
      </c>
      <c r="G789" s="350">
        <v>0</v>
      </c>
      <c r="H789" s="350">
        <v>3.25</v>
      </c>
      <c r="I789" s="350">
        <v>3.25</v>
      </c>
      <c r="J789" s="350">
        <v>3.25</v>
      </c>
      <c r="K789" s="351"/>
      <c r="L789" s="348">
        <v>0</v>
      </c>
    </row>
    <row r="790" spans="1:12" hidden="1">
      <c r="A790" s="334">
        <v>41908</v>
      </c>
      <c r="B790" s="223" t="s">
        <v>1714</v>
      </c>
      <c r="C790" s="335">
        <v>728</v>
      </c>
      <c r="D790" s="334">
        <v>42636</v>
      </c>
      <c r="E790" s="338">
        <v>4</v>
      </c>
      <c r="F790" s="336">
        <v>1.0024</v>
      </c>
      <c r="G790" s="336">
        <v>1.0024</v>
      </c>
      <c r="H790" s="336">
        <v>3.75</v>
      </c>
      <c r="I790" s="336">
        <v>3.75</v>
      </c>
      <c r="J790" s="336">
        <v>3.75</v>
      </c>
      <c r="L790" s="335">
        <v>1</v>
      </c>
    </row>
    <row r="791" spans="1:12" hidden="1">
      <c r="A791" s="347">
        <v>41908</v>
      </c>
      <c r="B791" s="1604" t="s">
        <v>1715</v>
      </c>
      <c r="C791" s="348">
        <v>1092</v>
      </c>
      <c r="D791" s="347">
        <v>43000</v>
      </c>
      <c r="E791" s="349">
        <v>9</v>
      </c>
      <c r="F791" s="350">
        <v>0</v>
      </c>
      <c r="G791" s="350">
        <v>0</v>
      </c>
      <c r="H791" s="350">
        <v>4.25</v>
      </c>
      <c r="I791" s="350">
        <v>4.25</v>
      </c>
      <c r="J791" s="350">
        <v>4.25</v>
      </c>
      <c r="K791" s="351"/>
      <c r="L791" s="348">
        <v>0</v>
      </c>
    </row>
    <row r="792" spans="1:12" hidden="1">
      <c r="A792" s="334">
        <v>41915</v>
      </c>
      <c r="B792" s="223" t="s">
        <v>1720</v>
      </c>
      <c r="C792" s="335">
        <v>35</v>
      </c>
      <c r="D792" s="334">
        <v>41950</v>
      </c>
      <c r="E792" s="338">
        <v>3</v>
      </c>
      <c r="F792" s="336">
        <v>2.0028000000000001</v>
      </c>
      <c r="G792" s="336">
        <v>2.0028000000000001</v>
      </c>
      <c r="H792" s="336">
        <v>1.46</v>
      </c>
      <c r="I792" s="336">
        <v>1.46</v>
      </c>
      <c r="J792" s="336">
        <v>1.46</v>
      </c>
      <c r="L792" s="335">
        <v>1</v>
      </c>
    </row>
    <row r="793" spans="1:12" hidden="1">
      <c r="A793" s="347">
        <v>41915</v>
      </c>
      <c r="B793" s="1604" t="s">
        <v>1720</v>
      </c>
      <c r="C793" s="348">
        <v>91</v>
      </c>
      <c r="D793" s="347">
        <v>42006</v>
      </c>
      <c r="E793" s="349">
        <v>3</v>
      </c>
      <c r="F793" s="350">
        <v>0</v>
      </c>
      <c r="G793" s="350">
        <v>0</v>
      </c>
      <c r="H793" s="350">
        <v>0</v>
      </c>
      <c r="I793" s="350">
        <v>0</v>
      </c>
      <c r="J793" s="350">
        <v>0</v>
      </c>
      <c r="K793" s="351"/>
      <c r="L793" s="348">
        <v>0</v>
      </c>
    </row>
    <row r="794" spans="1:12" hidden="1">
      <c r="A794" s="334">
        <v>41922</v>
      </c>
      <c r="B794" s="223" t="s">
        <v>1721</v>
      </c>
      <c r="C794" s="335">
        <v>364</v>
      </c>
      <c r="D794" s="334">
        <v>42286</v>
      </c>
      <c r="E794" s="338">
        <v>1</v>
      </c>
      <c r="F794" s="336">
        <v>0</v>
      </c>
      <c r="G794" s="336">
        <v>0</v>
      </c>
      <c r="H794" s="336">
        <v>0</v>
      </c>
      <c r="I794" s="336">
        <v>0</v>
      </c>
      <c r="J794" s="336">
        <v>0</v>
      </c>
      <c r="L794" s="335">
        <v>0</v>
      </c>
    </row>
    <row r="795" spans="1:12" hidden="1">
      <c r="A795" s="347">
        <v>41926</v>
      </c>
      <c r="B795" s="1604" t="s">
        <v>1722</v>
      </c>
      <c r="C795" s="348">
        <v>182</v>
      </c>
      <c r="D795" s="347">
        <v>42108</v>
      </c>
      <c r="E795" s="349">
        <v>4</v>
      </c>
      <c r="F795" s="350">
        <v>0</v>
      </c>
      <c r="G795" s="350">
        <v>0</v>
      </c>
      <c r="H795" s="350">
        <v>0</v>
      </c>
      <c r="I795" s="350">
        <v>0</v>
      </c>
      <c r="J795" s="350">
        <v>0</v>
      </c>
      <c r="K795" s="351"/>
      <c r="L795" s="348">
        <v>0</v>
      </c>
    </row>
    <row r="796" spans="1:12" hidden="1">
      <c r="A796" s="334">
        <v>41926</v>
      </c>
      <c r="B796" s="223" t="s">
        <v>1723</v>
      </c>
      <c r="C796" s="335">
        <v>364</v>
      </c>
      <c r="D796" s="334">
        <v>42290</v>
      </c>
      <c r="E796" s="338">
        <v>12</v>
      </c>
      <c r="F796" s="336">
        <v>0</v>
      </c>
      <c r="G796" s="336">
        <v>0</v>
      </c>
      <c r="H796" s="336">
        <v>3.25</v>
      </c>
      <c r="I796" s="336">
        <v>3.25</v>
      </c>
      <c r="J796" s="336">
        <v>3.25</v>
      </c>
      <c r="L796" s="335">
        <v>0</v>
      </c>
    </row>
    <row r="797" spans="1:12" hidden="1">
      <c r="A797" s="347">
        <v>41929</v>
      </c>
      <c r="B797" s="1604" t="s">
        <v>1721</v>
      </c>
      <c r="C797" s="348">
        <v>728</v>
      </c>
      <c r="D797" s="347">
        <v>42657</v>
      </c>
      <c r="E797" s="349">
        <v>4</v>
      </c>
      <c r="F797" s="350">
        <v>0</v>
      </c>
      <c r="G797" s="350">
        <v>0</v>
      </c>
      <c r="H797" s="350">
        <v>3.75</v>
      </c>
      <c r="I797" s="350">
        <v>3.75</v>
      </c>
      <c r="J797" s="350">
        <v>3.75</v>
      </c>
      <c r="K797" s="351"/>
      <c r="L797" s="348">
        <v>0</v>
      </c>
    </row>
    <row r="798" spans="1:12" hidden="1">
      <c r="A798" s="334">
        <v>41929</v>
      </c>
      <c r="B798" s="223" t="s">
        <v>1724</v>
      </c>
      <c r="C798" s="335">
        <v>1092</v>
      </c>
      <c r="D798" s="334">
        <v>43021</v>
      </c>
      <c r="E798" s="338">
        <v>9</v>
      </c>
      <c r="F798" s="336">
        <v>5.3</v>
      </c>
      <c r="G798" s="336">
        <v>5.3</v>
      </c>
      <c r="H798" s="336">
        <v>4.25</v>
      </c>
      <c r="I798" s="336">
        <v>4.25</v>
      </c>
      <c r="J798" s="336">
        <v>4.25</v>
      </c>
      <c r="L798" s="335">
        <v>1</v>
      </c>
    </row>
    <row r="799" spans="1:12" hidden="1">
      <c r="A799" s="347">
        <v>41933</v>
      </c>
      <c r="B799" s="1604" t="s">
        <v>1725</v>
      </c>
      <c r="C799" s="348">
        <v>35</v>
      </c>
      <c r="D799" s="347">
        <v>41968</v>
      </c>
      <c r="E799" s="349">
        <v>4</v>
      </c>
      <c r="F799" s="350">
        <v>0</v>
      </c>
      <c r="G799" s="350">
        <v>0</v>
      </c>
      <c r="H799" s="350">
        <v>0</v>
      </c>
      <c r="I799" s="350">
        <v>0</v>
      </c>
      <c r="J799" s="350">
        <v>0</v>
      </c>
      <c r="K799" s="351"/>
      <c r="L799" s="348">
        <v>0</v>
      </c>
    </row>
    <row r="800" spans="1:12" hidden="1">
      <c r="A800" s="334">
        <v>41933</v>
      </c>
      <c r="B800" s="223" t="s">
        <v>1726</v>
      </c>
      <c r="C800" s="335">
        <v>91</v>
      </c>
      <c r="D800" s="334">
        <v>42024</v>
      </c>
      <c r="E800" s="338">
        <v>4</v>
      </c>
      <c r="F800" s="336">
        <v>0</v>
      </c>
      <c r="G800" s="336">
        <v>0</v>
      </c>
      <c r="H800" s="336">
        <v>0</v>
      </c>
      <c r="I800" s="336">
        <v>0</v>
      </c>
      <c r="J800" s="336">
        <v>0</v>
      </c>
      <c r="L800" s="335">
        <v>0</v>
      </c>
    </row>
    <row r="801" spans="1:12" hidden="1">
      <c r="A801" s="347">
        <v>41936</v>
      </c>
      <c r="B801" s="1604" t="s">
        <v>1727</v>
      </c>
      <c r="C801" s="348">
        <v>364</v>
      </c>
      <c r="D801" s="347">
        <v>42300</v>
      </c>
      <c r="E801" s="349">
        <v>2</v>
      </c>
      <c r="F801" s="350">
        <v>0</v>
      </c>
      <c r="G801" s="350">
        <v>0</v>
      </c>
      <c r="H801" s="350">
        <v>0</v>
      </c>
      <c r="I801" s="350">
        <v>0</v>
      </c>
      <c r="J801" s="350">
        <v>0</v>
      </c>
      <c r="K801" s="351"/>
      <c r="L801" s="348">
        <v>0</v>
      </c>
    </row>
    <row r="802" spans="1:12" hidden="1">
      <c r="A802" s="334">
        <v>41940</v>
      </c>
      <c r="B802" s="223" t="s">
        <v>1728</v>
      </c>
      <c r="C802" s="335">
        <v>182</v>
      </c>
      <c r="D802" s="334">
        <v>42122</v>
      </c>
      <c r="E802" s="338">
        <v>4</v>
      </c>
      <c r="F802" s="336">
        <v>0</v>
      </c>
      <c r="G802" s="336">
        <v>0</v>
      </c>
      <c r="H802" s="336">
        <v>0</v>
      </c>
      <c r="I802" s="336">
        <v>0</v>
      </c>
      <c r="J802" s="336">
        <v>0</v>
      </c>
      <c r="L802" s="335">
        <v>0</v>
      </c>
    </row>
    <row r="803" spans="1:12" hidden="1">
      <c r="A803" s="347">
        <v>41940</v>
      </c>
      <c r="B803" s="1604" t="s">
        <v>1729</v>
      </c>
      <c r="C803" s="348">
        <v>364</v>
      </c>
      <c r="D803" s="347">
        <v>42304</v>
      </c>
      <c r="E803" s="349">
        <v>14</v>
      </c>
      <c r="F803" s="350">
        <v>0</v>
      </c>
      <c r="G803" s="350">
        <v>0</v>
      </c>
      <c r="H803" s="350">
        <v>3.25</v>
      </c>
      <c r="I803" s="350">
        <v>3.25</v>
      </c>
      <c r="J803" s="350">
        <v>3.25</v>
      </c>
      <c r="K803" s="351"/>
      <c r="L803" s="348">
        <v>0</v>
      </c>
    </row>
    <row r="804" spans="1:12" hidden="1">
      <c r="A804" s="334">
        <v>41943</v>
      </c>
      <c r="B804" s="223" t="s">
        <v>1730</v>
      </c>
      <c r="C804" s="335">
        <v>728</v>
      </c>
      <c r="D804" s="334">
        <v>42671</v>
      </c>
      <c r="E804" s="338">
        <v>4</v>
      </c>
      <c r="F804" s="336">
        <v>0</v>
      </c>
      <c r="G804" s="336">
        <v>0</v>
      </c>
      <c r="H804" s="336">
        <v>3.75</v>
      </c>
      <c r="I804" s="336">
        <v>3.75</v>
      </c>
      <c r="J804" s="336">
        <v>3.75</v>
      </c>
      <c r="L804" s="335">
        <v>0</v>
      </c>
    </row>
    <row r="805" spans="1:12" hidden="1">
      <c r="A805" s="347">
        <v>41943</v>
      </c>
      <c r="B805" s="1604" t="s">
        <v>1731</v>
      </c>
      <c r="C805" s="348">
        <v>1092</v>
      </c>
      <c r="D805" s="347">
        <v>43035</v>
      </c>
      <c r="E805" s="349">
        <v>9</v>
      </c>
      <c r="F805" s="350">
        <v>0</v>
      </c>
      <c r="G805" s="350">
        <v>0</v>
      </c>
      <c r="H805" s="350">
        <v>4.25</v>
      </c>
      <c r="I805" s="350">
        <v>4.25</v>
      </c>
      <c r="J805" s="350">
        <v>4.25</v>
      </c>
      <c r="K805" s="351"/>
      <c r="L805" s="348">
        <v>0</v>
      </c>
    </row>
    <row r="806" spans="1:12" hidden="1">
      <c r="A806" s="347">
        <v>41957</v>
      </c>
      <c r="B806" s="1604" t="s">
        <v>1738</v>
      </c>
      <c r="C806" s="348">
        <v>728</v>
      </c>
      <c r="D806" s="347">
        <v>42685</v>
      </c>
      <c r="E806" s="349">
        <v>4</v>
      </c>
      <c r="F806" s="350">
        <v>0</v>
      </c>
      <c r="G806" s="350">
        <v>0</v>
      </c>
      <c r="H806" s="350"/>
      <c r="I806" s="350">
        <v>3.75</v>
      </c>
      <c r="J806" s="350">
        <v>3.75</v>
      </c>
      <c r="K806" s="351"/>
      <c r="L806" s="348">
        <v>0</v>
      </c>
    </row>
    <row r="807" spans="1:12" hidden="1">
      <c r="A807" s="334">
        <v>41957</v>
      </c>
      <c r="B807" s="223" t="s">
        <v>1739</v>
      </c>
      <c r="C807" s="335">
        <v>1092</v>
      </c>
      <c r="D807" s="334">
        <v>43049</v>
      </c>
      <c r="E807" s="338">
        <v>9</v>
      </c>
      <c r="F807" s="336">
        <v>0</v>
      </c>
      <c r="G807" s="336">
        <v>0</v>
      </c>
      <c r="H807" s="336"/>
      <c r="I807" s="336">
        <v>4.25</v>
      </c>
      <c r="J807" s="336">
        <v>4.25</v>
      </c>
      <c r="L807" s="335">
        <v>0</v>
      </c>
    </row>
    <row r="808" spans="1:12" hidden="1">
      <c r="A808" s="347">
        <v>41961</v>
      </c>
      <c r="B808" s="1604" t="s">
        <v>1740</v>
      </c>
      <c r="C808" s="348">
        <v>35</v>
      </c>
      <c r="D808" s="347">
        <v>41996</v>
      </c>
      <c r="E808" s="349">
        <v>35</v>
      </c>
      <c r="F808" s="350">
        <v>0</v>
      </c>
      <c r="G808" s="350">
        <v>0</v>
      </c>
      <c r="H808" s="350"/>
      <c r="I808" s="350">
        <v>0</v>
      </c>
      <c r="J808" s="350">
        <v>0</v>
      </c>
      <c r="K808" s="351"/>
      <c r="L808" s="348">
        <v>0</v>
      </c>
    </row>
    <row r="809" spans="1:12" hidden="1">
      <c r="A809" s="328">
        <v>41961</v>
      </c>
      <c r="B809" s="329" t="s">
        <v>1741</v>
      </c>
      <c r="C809" s="330">
        <v>91</v>
      </c>
      <c r="D809" s="328">
        <v>42052</v>
      </c>
      <c r="E809" s="331">
        <v>91</v>
      </c>
      <c r="F809" s="332">
        <v>0</v>
      </c>
      <c r="G809" s="332">
        <v>0</v>
      </c>
      <c r="H809" s="332"/>
      <c r="I809" s="332">
        <v>0</v>
      </c>
      <c r="J809" s="332">
        <v>0</v>
      </c>
      <c r="L809" s="330">
        <v>0</v>
      </c>
    </row>
    <row r="810" spans="1:12" hidden="1">
      <c r="A810" s="1605">
        <v>41964</v>
      </c>
      <c r="B810" s="1606" t="s">
        <v>1742</v>
      </c>
      <c r="C810" s="1607">
        <v>364</v>
      </c>
      <c r="D810" s="1605">
        <v>42328</v>
      </c>
      <c r="E810" s="1608">
        <v>2</v>
      </c>
      <c r="F810" s="1609">
        <v>0</v>
      </c>
      <c r="G810" s="1609">
        <v>0</v>
      </c>
      <c r="H810" s="1609"/>
      <c r="I810" s="1609">
        <v>0</v>
      </c>
      <c r="J810" s="1609">
        <v>0</v>
      </c>
      <c r="K810" s="1610"/>
      <c r="L810" s="1607">
        <v>0</v>
      </c>
    </row>
    <row r="811" spans="1:12" hidden="1">
      <c r="A811" s="1605">
        <v>41968</v>
      </c>
      <c r="B811" s="1606" t="s">
        <v>1743</v>
      </c>
      <c r="C811" s="1607">
        <v>182</v>
      </c>
      <c r="D811" s="1605">
        <v>42150</v>
      </c>
      <c r="E811" s="1608">
        <v>4</v>
      </c>
      <c r="F811" s="1609">
        <v>0</v>
      </c>
      <c r="G811" s="1609">
        <v>0</v>
      </c>
      <c r="H811" s="1609"/>
      <c r="I811" s="1609">
        <v>0</v>
      </c>
      <c r="J811" s="1609">
        <v>0</v>
      </c>
      <c r="K811" s="1610"/>
      <c r="L811" s="1607">
        <v>0</v>
      </c>
    </row>
    <row r="812" spans="1:12" hidden="1">
      <c r="A812" s="1605">
        <v>41968</v>
      </c>
      <c r="B812" s="1606" t="s">
        <v>1744</v>
      </c>
      <c r="C812" s="1607">
        <v>364</v>
      </c>
      <c r="D812" s="1605">
        <v>42332</v>
      </c>
      <c r="E812" s="1608">
        <v>14</v>
      </c>
      <c r="F812" s="1609">
        <v>0</v>
      </c>
      <c r="G812" s="1609">
        <v>0</v>
      </c>
      <c r="H812" s="1609"/>
      <c r="I812" s="1609">
        <v>3.25</v>
      </c>
      <c r="J812" s="1609">
        <v>3.25</v>
      </c>
      <c r="K812" s="1610"/>
      <c r="L812" s="1607">
        <v>0</v>
      </c>
    </row>
    <row r="813" spans="1:12" hidden="1">
      <c r="A813" s="1605">
        <v>41971</v>
      </c>
      <c r="B813" s="1606" t="s">
        <v>1745</v>
      </c>
      <c r="C813" s="1607">
        <v>728</v>
      </c>
      <c r="D813" s="1605">
        <v>42699</v>
      </c>
      <c r="E813" s="1608">
        <v>4</v>
      </c>
      <c r="F813" s="1609">
        <v>0</v>
      </c>
      <c r="G813" s="1609">
        <v>0</v>
      </c>
      <c r="H813" s="1609"/>
      <c r="I813" s="1609">
        <v>3.75</v>
      </c>
      <c r="J813" s="1609">
        <v>3.75</v>
      </c>
      <c r="K813" s="1610"/>
      <c r="L813" s="1607">
        <v>0</v>
      </c>
    </row>
    <row r="814" spans="1:12" hidden="1">
      <c r="A814" s="1605">
        <v>41971</v>
      </c>
      <c r="B814" s="1606" t="s">
        <v>1746</v>
      </c>
      <c r="C814" s="1607">
        <v>1092</v>
      </c>
      <c r="D814" s="1605">
        <v>43063</v>
      </c>
      <c r="E814" s="1608">
        <v>9</v>
      </c>
      <c r="F814" s="1609">
        <v>6.3</v>
      </c>
      <c r="G814" s="1609">
        <v>6.3</v>
      </c>
      <c r="H814" s="1609"/>
      <c r="I814" s="1609">
        <v>4.25</v>
      </c>
      <c r="J814" s="1609">
        <v>4.25</v>
      </c>
      <c r="K814" s="1610"/>
      <c r="L814" s="1607">
        <v>2</v>
      </c>
    </row>
    <row r="815" spans="1:12" hidden="1">
      <c r="A815" s="1605">
        <v>41975</v>
      </c>
      <c r="B815" s="1606" t="s">
        <v>1756</v>
      </c>
      <c r="C815" s="1607">
        <v>35</v>
      </c>
      <c r="D815" s="1605">
        <v>42010</v>
      </c>
      <c r="E815" s="1608">
        <v>4</v>
      </c>
      <c r="F815" s="1609">
        <v>0</v>
      </c>
      <c r="G815" s="1609">
        <v>0</v>
      </c>
      <c r="H815" s="1609"/>
      <c r="I815" s="1609">
        <v>0</v>
      </c>
      <c r="J815" s="1609">
        <v>0</v>
      </c>
      <c r="K815" s="1610"/>
      <c r="L815" s="1607">
        <v>0</v>
      </c>
    </row>
    <row r="816" spans="1:12" hidden="1">
      <c r="A816" s="1605">
        <v>41975</v>
      </c>
      <c r="B816" s="1606" t="s">
        <v>1757</v>
      </c>
      <c r="C816" s="1607">
        <v>91</v>
      </c>
      <c r="D816" s="1605">
        <v>42066</v>
      </c>
      <c r="E816" s="1608">
        <v>4</v>
      </c>
      <c r="F816" s="1609">
        <v>0</v>
      </c>
      <c r="G816" s="1609">
        <v>0</v>
      </c>
      <c r="H816" s="1609"/>
      <c r="I816" s="1609">
        <v>0</v>
      </c>
      <c r="J816" s="1609">
        <v>0</v>
      </c>
      <c r="K816" s="1610"/>
      <c r="L816" s="1607">
        <v>0</v>
      </c>
    </row>
    <row r="817" spans="1:12" hidden="1">
      <c r="A817" s="1605">
        <v>41978</v>
      </c>
      <c r="B817" s="1606" t="s">
        <v>1758</v>
      </c>
      <c r="C817" s="1607">
        <v>364</v>
      </c>
      <c r="D817" s="1605">
        <v>42342</v>
      </c>
      <c r="E817" s="1608">
        <v>1</v>
      </c>
      <c r="F817" s="1609">
        <v>0</v>
      </c>
      <c r="G817" s="1609">
        <v>0</v>
      </c>
      <c r="H817" s="1609"/>
      <c r="I817" s="1609">
        <v>0</v>
      </c>
      <c r="J817" s="1609">
        <v>0</v>
      </c>
      <c r="K817" s="1610"/>
      <c r="L817" s="1607">
        <v>0</v>
      </c>
    </row>
    <row r="818" spans="1:12" hidden="1">
      <c r="A818" s="1605">
        <v>41982</v>
      </c>
      <c r="B818" s="1606" t="s">
        <v>1759</v>
      </c>
      <c r="C818" s="1607">
        <v>182</v>
      </c>
      <c r="D818" s="1605">
        <v>42164</v>
      </c>
      <c r="E818" s="1608">
        <v>4</v>
      </c>
      <c r="F818" s="1609">
        <v>0</v>
      </c>
      <c r="G818" s="1609">
        <v>0</v>
      </c>
      <c r="H818" s="1609"/>
      <c r="I818" s="1609">
        <v>0</v>
      </c>
      <c r="J818" s="1609">
        <v>0</v>
      </c>
      <c r="K818" s="1610"/>
      <c r="L818" s="1607">
        <v>0</v>
      </c>
    </row>
    <row r="819" spans="1:12" hidden="1">
      <c r="A819" s="1605">
        <v>41982</v>
      </c>
      <c r="B819" s="1606" t="s">
        <v>1760</v>
      </c>
      <c r="C819" s="1607">
        <v>364</v>
      </c>
      <c r="D819" s="1605">
        <v>42346</v>
      </c>
      <c r="E819" s="1608">
        <v>12</v>
      </c>
      <c r="F819" s="1609">
        <v>0</v>
      </c>
      <c r="G819" s="1609">
        <v>0</v>
      </c>
      <c r="H819" s="1609"/>
      <c r="I819" s="1609">
        <v>3.25</v>
      </c>
      <c r="J819" s="1609">
        <v>3.25</v>
      </c>
      <c r="K819" s="1610"/>
      <c r="L819" s="1607">
        <v>0</v>
      </c>
    </row>
    <row r="820" spans="1:12" hidden="1">
      <c r="A820" s="1605">
        <v>41985</v>
      </c>
      <c r="B820" s="1606" t="s">
        <v>1761</v>
      </c>
      <c r="C820" s="1607">
        <v>728</v>
      </c>
      <c r="D820" s="1605">
        <v>42713</v>
      </c>
      <c r="E820" s="1608">
        <v>4</v>
      </c>
      <c r="F820" s="1609">
        <v>0</v>
      </c>
      <c r="G820" s="1609">
        <v>0</v>
      </c>
      <c r="H820" s="1609"/>
      <c r="I820" s="1609">
        <v>3.75</v>
      </c>
      <c r="J820" s="1609">
        <v>3.75</v>
      </c>
      <c r="K820" s="1610"/>
      <c r="L820" s="1607">
        <v>0</v>
      </c>
    </row>
    <row r="821" spans="1:12" hidden="1">
      <c r="A821" s="1605">
        <v>41985</v>
      </c>
      <c r="B821" s="1606" t="s">
        <v>1762</v>
      </c>
      <c r="C821" s="1607">
        <v>1092</v>
      </c>
      <c r="D821" s="1605">
        <v>43077</v>
      </c>
      <c r="E821" s="1608">
        <v>9</v>
      </c>
      <c r="F821" s="1609">
        <v>0</v>
      </c>
      <c r="G821" s="1609">
        <v>0</v>
      </c>
      <c r="H821" s="1609"/>
      <c r="I821" s="1609">
        <v>4.25</v>
      </c>
      <c r="J821" s="1609">
        <v>4.25</v>
      </c>
      <c r="K821" s="1610"/>
      <c r="L821" s="1607">
        <v>0</v>
      </c>
    </row>
    <row r="822" spans="1:12" hidden="1">
      <c r="A822" s="1605">
        <v>41989</v>
      </c>
      <c r="B822" s="1606" t="s">
        <v>1763</v>
      </c>
      <c r="C822" s="1607">
        <v>35</v>
      </c>
      <c r="D822" s="1605">
        <v>42024</v>
      </c>
      <c r="E822" s="1608">
        <v>4</v>
      </c>
      <c r="F822" s="1609">
        <v>0.65090000000000003</v>
      </c>
      <c r="G822" s="1609">
        <v>0.65090000000000003</v>
      </c>
      <c r="H822" s="1609"/>
      <c r="I822" s="1609">
        <v>1.44</v>
      </c>
      <c r="J822" s="1609">
        <v>1.44</v>
      </c>
      <c r="K822" s="1610"/>
      <c r="L822" s="1607">
        <v>1</v>
      </c>
    </row>
    <row r="823" spans="1:12" hidden="1">
      <c r="A823" s="1605">
        <v>41989</v>
      </c>
      <c r="B823" s="1606" t="s">
        <v>1764</v>
      </c>
      <c r="C823" s="1607">
        <v>91</v>
      </c>
      <c r="D823" s="1605">
        <v>42080</v>
      </c>
      <c r="E823" s="1608">
        <v>4</v>
      </c>
      <c r="F823" s="1609">
        <v>0</v>
      </c>
      <c r="G823" s="1609">
        <v>0</v>
      </c>
      <c r="H823" s="1609"/>
      <c r="I823" s="1609">
        <v>0</v>
      </c>
      <c r="J823" s="1609">
        <v>0</v>
      </c>
      <c r="K823" s="1610"/>
      <c r="L823" s="1607">
        <v>0</v>
      </c>
    </row>
    <row r="824" spans="1:12" hidden="1">
      <c r="A824" s="1605">
        <v>41992</v>
      </c>
      <c r="B824" s="1606" t="s">
        <v>1765</v>
      </c>
      <c r="C824" s="1607">
        <v>364</v>
      </c>
      <c r="D824" s="1605">
        <v>42356</v>
      </c>
      <c r="E824" s="1608">
        <v>2</v>
      </c>
      <c r="F824" s="1609">
        <v>0</v>
      </c>
      <c r="G824" s="1609">
        <v>0</v>
      </c>
      <c r="H824" s="1609"/>
      <c r="I824" s="1609">
        <v>0</v>
      </c>
      <c r="J824" s="1609">
        <v>0</v>
      </c>
      <c r="K824" s="1610"/>
      <c r="L824" s="1607">
        <v>0</v>
      </c>
    </row>
    <row r="825" spans="1:12" hidden="1">
      <c r="A825" s="1605">
        <v>41996</v>
      </c>
      <c r="B825" s="1606" t="s">
        <v>1766</v>
      </c>
      <c r="C825" s="1607">
        <v>182</v>
      </c>
      <c r="D825" s="1605">
        <v>42178</v>
      </c>
      <c r="E825" s="1608">
        <v>4</v>
      </c>
      <c r="F825" s="1609">
        <v>0</v>
      </c>
      <c r="G825" s="1609">
        <v>0</v>
      </c>
      <c r="H825" s="1609"/>
      <c r="I825" s="1609">
        <v>0</v>
      </c>
      <c r="J825" s="1609">
        <v>0</v>
      </c>
      <c r="K825" s="1610"/>
      <c r="L825" s="1607">
        <v>0</v>
      </c>
    </row>
    <row r="826" spans="1:12" hidden="1">
      <c r="A826" s="1605">
        <v>41996</v>
      </c>
      <c r="B826" s="1606" t="s">
        <v>1767</v>
      </c>
      <c r="C826" s="1607">
        <v>364</v>
      </c>
      <c r="D826" s="1605">
        <v>42360</v>
      </c>
      <c r="E826" s="1608">
        <v>14</v>
      </c>
      <c r="F826" s="1609">
        <v>0</v>
      </c>
      <c r="G826" s="1609">
        <v>0</v>
      </c>
      <c r="H826" s="1609"/>
      <c r="I826" s="1609">
        <v>3.25</v>
      </c>
      <c r="J826" s="1609">
        <v>3.25</v>
      </c>
      <c r="K826" s="1610"/>
      <c r="L826" s="1607">
        <v>0</v>
      </c>
    </row>
    <row r="827" spans="1:12" hidden="1">
      <c r="A827" s="1605">
        <v>41999</v>
      </c>
      <c r="B827" s="1606" t="s">
        <v>1768</v>
      </c>
      <c r="C827" s="1607">
        <v>728</v>
      </c>
      <c r="D827" s="1605">
        <v>42727</v>
      </c>
      <c r="E827" s="1608">
        <v>4</v>
      </c>
      <c r="F827" s="1609">
        <v>0</v>
      </c>
      <c r="G827" s="1609">
        <v>0</v>
      </c>
      <c r="H827" s="1609"/>
      <c r="I827" s="1609">
        <v>3.75</v>
      </c>
      <c r="J827" s="1609">
        <v>3.75</v>
      </c>
      <c r="K827" s="1610"/>
      <c r="L827" s="1607">
        <v>0</v>
      </c>
    </row>
    <row r="828" spans="1:12" hidden="1">
      <c r="A828" s="1605">
        <v>41999</v>
      </c>
      <c r="B828" s="1606" t="s">
        <v>1769</v>
      </c>
      <c r="C828" s="1607">
        <v>1092</v>
      </c>
      <c r="D828" s="1605">
        <v>43091</v>
      </c>
      <c r="E828" s="1608">
        <v>9</v>
      </c>
      <c r="F828" s="1609">
        <v>3.5011000000000001</v>
      </c>
      <c r="G828" s="1609">
        <v>3.5011000000000001</v>
      </c>
      <c r="H828" s="1609"/>
      <c r="I828" s="1609">
        <v>4.25</v>
      </c>
      <c r="J828" s="1609">
        <v>4.25</v>
      </c>
      <c r="K828" s="1610"/>
      <c r="L828" s="1607">
        <v>2</v>
      </c>
    </row>
    <row r="829" spans="1:12" hidden="1">
      <c r="A829" s="1605">
        <v>42405</v>
      </c>
      <c r="B829" s="1606" t="s">
        <v>1840</v>
      </c>
      <c r="C829" s="1607">
        <v>182</v>
      </c>
      <c r="D829" s="1605">
        <v>42587</v>
      </c>
      <c r="E829" s="1608">
        <v>5</v>
      </c>
      <c r="F829" s="1609">
        <v>5</v>
      </c>
      <c r="G829" s="1609">
        <v>5</v>
      </c>
      <c r="H829" s="1609"/>
      <c r="I829" s="1609">
        <v>7.79</v>
      </c>
      <c r="J829" s="1609">
        <v>7.79</v>
      </c>
      <c r="K829" s="1610"/>
      <c r="L829" s="1607">
        <v>1</v>
      </c>
    </row>
    <row r="830" spans="1:12" hidden="1">
      <c r="A830" s="1605">
        <v>42405</v>
      </c>
      <c r="B830" s="1606" t="s">
        <v>1841</v>
      </c>
      <c r="C830" s="1607">
        <v>364</v>
      </c>
      <c r="D830" s="1605">
        <v>42769</v>
      </c>
      <c r="E830" s="1608">
        <v>15</v>
      </c>
      <c r="F830" s="1609">
        <v>15</v>
      </c>
      <c r="G830" s="1609">
        <v>15</v>
      </c>
      <c r="H830" s="1609"/>
      <c r="I830" s="1609">
        <v>8.7999999999999989</v>
      </c>
      <c r="J830" s="1609">
        <v>8.7900000000000009</v>
      </c>
      <c r="K830" s="1610"/>
      <c r="L830" s="1607">
        <v>1</v>
      </c>
    </row>
    <row r="831" spans="1:12" hidden="1">
      <c r="A831" s="1605">
        <v>42412</v>
      </c>
      <c r="B831" s="1606" t="s">
        <v>1842</v>
      </c>
      <c r="C831" s="1607">
        <v>182</v>
      </c>
      <c r="D831" s="1605">
        <v>42594</v>
      </c>
      <c r="E831" s="1608">
        <v>5</v>
      </c>
      <c r="F831" s="1609" t="s">
        <v>93</v>
      </c>
      <c r="G831" s="1609" t="s">
        <v>93</v>
      </c>
      <c r="H831" s="1609"/>
      <c r="I831" s="1609" t="s">
        <v>93</v>
      </c>
      <c r="J831" s="1609" t="s">
        <v>93</v>
      </c>
      <c r="K831" s="1610"/>
      <c r="L831" s="1607" t="s">
        <v>93</v>
      </c>
    </row>
    <row r="832" spans="1:12" hidden="1">
      <c r="A832" s="1605">
        <v>42412</v>
      </c>
      <c r="B832" s="1606" t="s">
        <v>1843</v>
      </c>
      <c r="C832" s="1607">
        <v>364</v>
      </c>
      <c r="D832" s="1605">
        <v>42776</v>
      </c>
      <c r="E832" s="1608">
        <v>15</v>
      </c>
      <c r="F832" s="1609" t="s">
        <v>93</v>
      </c>
      <c r="G832" s="1609" t="s">
        <v>93</v>
      </c>
      <c r="H832" s="1609"/>
      <c r="I832" s="1609" t="s">
        <v>93</v>
      </c>
      <c r="J832" s="1609" t="s">
        <v>93</v>
      </c>
      <c r="K832" s="1610"/>
      <c r="L832" s="1607" t="s">
        <v>93</v>
      </c>
    </row>
    <row r="833" spans="1:12" hidden="1">
      <c r="A833" s="1605">
        <v>42430</v>
      </c>
      <c r="B833" s="1606" t="s">
        <v>1844</v>
      </c>
      <c r="C833" s="1607">
        <v>91</v>
      </c>
      <c r="D833" s="1605">
        <v>42521</v>
      </c>
      <c r="E833" s="1608">
        <v>15</v>
      </c>
      <c r="F833" s="1609">
        <v>39.7455</v>
      </c>
      <c r="G833" s="1609">
        <v>15</v>
      </c>
      <c r="H833" s="1609"/>
      <c r="I833" s="1609">
        <v>17.046400000000002</v>
      </c>
      <c r="J833" s="1609">
        <v>16.6112</v>
      </c>
      <c r="K833" s="1610"/>
      <c r="L833" s="1607">
        <v>6</v>
      </c>
    </row>
    <row r="834" spans="1:12" hidden="1">
      <c r="A834" s="1605">
        <v>42444</v>
      </c>
      <c r="B834" s="1606" t="s">
        <v>1868</v>
      </c>
      <c r="C834" s="1607">
        <v>182</v>
      </c>
      <c r="D834" s="1605">
        <v>42626</v>
      </c>
      <c r="E834" s="1608">
        <v>10</v>
      </c>
      <c r="F834" s="1609">
        <v>35.819200000000002</v>
      </c>
      <c r="G834" s="1609">
        <v>10</v>
      </c>
      <c r="H834" s="1609"/>
      <c r="I834" s="1609">
        <v>15.2201</v>
      </c>
      <c r="J834" s="1609">
        <v>13.801600000000001</v>
      </c>
      <c r="K834" s="1610"/>
      <c r="L834" s="1607">
        <v>10</v>
      </c>
    </row>
    <row r="835" spans="1:12" hidden="1">
      <c r="A835" s="1605">
        <v>42465</v>
      </c>
      <c r="B835" s="1606" t="s">
        <v>1869</v>
      </c>
      <c r="C835" s="1607">
        <v>91</v>
      </c>
      <c r="D835" s="1605">
        <v>42556</v>
      </c>
      <c r="E835" s="1608">
        <v>15</v>
      </c>
      <c r="F835" s="1609">
        <v>56.508499999999998</v>
      </c>
      <c r="G835" s="1609">
        <v>15</v>
      </c>
      <c r="H835" s="1609"/>
      <c r="I835" s="1609">
        <v>12.1455</v>
      </c>
      <c r="J835" s="1609">
        <v>11.136100000000001</v>
      </c>
      <c r="K835" s="1610"/>
      <c r="L835" s="1607">
        <v>9</v>
      </c>
    </row>
    <row r="836" spans="1:12" hidden="1">
      <c r="A836" s="1605">
        <v>42479</v>
      </c>
      <c r="B836" s="1606" t="s">
        <v>1870</v>
      </c>
      <c r="C836" s="1607">
        <v>364</v>
      </c>
      <c r="D836" s="1605">
        <v>42843</v>
      </c>
      <c r="E836" s="1608">
        <v>10</v>
      </c>
      <c r="F836" s="1609">
        <v>12.0497</v>
      </c>
      <c r="G836" s="1609">
        <v>10</v>
      </c>
      <c r="H836" s="1609"/>
      <c r="I836" s="1609">
        <v>15.0115</v>
      </c>
      <c r="J836" s="1609">
        <v>11.3482</v>
      </c>
      <c r="K836" s="1610"/>
      <c r="L836" s="1607">
        <v>6</v>
      </c>
    </row>
    <row r="837" spans="1:12" hidden="1">
      <c r="A837" s="1605">
        <v>42479</v>
      </c>
      <c r="B837" s="1606" t="s">
        <v>1871</v>
      </c>
      <c r="C837" s="1607">
        <v>182</v>
      </c>
      <c r="D837" s="1605">
        <v>42661</v>
      </c>
      <c r="E837" s="1608">
        <v>10</v>
      </c>
      <c r="F837" s="1609">
        <v>26.464300000000001</v>
      </c>
      <c r="G837" s="1609">
        <v>10</v>
      </c>
      <c r="H837" s="1609"/>
      <c r="I837" s="1609">
        <v>13.143599999999999</v>
      </c>
      <c r="J837" s="1609">
        <v>12.1753</v>
      </c>
      <c r="K837" s="1610"/>
      <c r="L837" s="1607">
        <v>6</v>
      </c>
    </row>
    <row r="838" spans="1:12" hidden="1">
      <c r="A838" s="1605">
        <v>42493</v>
      </c>
      <c r="B838" s="1606" t="s">
        <v>1872</v>
      </c>
      <c r="C838" s="1607">
        <v>91</v>
      </c>
      <c r="D838" s="1605">
        <v>42584</v>
      </c>
      <c r="E838" s="1608">
        <v>15</v>
      </c>
      <c r="F838" s="1609">
        <v>44.451099999999997</v>
      </c>
      <c r="G838" s="1609">
        <v>15</v>
      </c>
      <c r="H838" s="1609"/>
      <c r="I838" s="1609">
        <v>12.0075</v>
      </c>
      <c r="J838" s="1609">
        <v>11.5524</v>
      </c>
      <c r="K838" s="1610"/>
      <c r="L838" s="1607">
        <v>7</v>
      </c>
    </row>
    <row r="839" spans="1:12" hidden="1">
      <c r="A839" s="1605">
        <v>42507</v>
      </c>
      <c r="B839" s="1606" t="s">
        <v>1873</v>
      </c>
      <c r="C839" s="1607">
        <v>364</v>
      </c>
      <c r="D839" s="1605">
        <v>42871</v>
      </c>
      <c r="E839" s="1608">
        <v>10</v>
      </c>
      <c r="F839" s="1609">
        <v>20.249199999999998</v>
      </c>
      <c r="G839" s="1609">
        <v>10</v>
      </c>
      <c r="H839" s="1609"/>
      <c r="I839" s="1609">
        <v>20.110199999999999</v>
      </c>
      <c r="J839" s="1609">
        <v>11.9056</v>
      </c>
      <c r="K839" s="1610"/>
      <c r="L839" s="1607">
        <v>6</v>
      </c>
    </row>
    <row r="840" spans="1:12" hidden="1">
      <c r="A840" s="1605">
        <v>42507</v>
      </c>
      <c r="B840" s="1606" t="s">
        <v>1874</v>
      </c>
      <c r="C840" s="1607">
        <v>182</v>
      </c>
      <c r="D840" s="1605">
        <v>42689</v>
      </c>
      <c r="E840" s="1608">
        <v>10</v>
      </c>
      <c r="F840" s="1609">
        <v>26.177700000000002</v>
      </c>
      <c r="G840" s="1609">
        <v>10</v>
      </c>
      <c r="H840" s="1609"/>
      <c r="I840" s="1609">
        <v>12.930300000000001</v>
      </c>
      <c r="J840" s="1609">
        <v>12.0854</v>
      </c>
      <c r="K840" s="1610"/>
      <c r="L840" s="1607">
        <v>6</v>
      </c>
    </row>
    <row r="841" spans="1:12" hidden="1">
      <c r="A841" s="1605">
        <v>42521</v>
      </c>
      <c r="B841" s="1606" t="s">
        <v>1875</v>
      </c>
      <c r="C841" s="1607">
        <v>91</v>
      </c>
      <c r="D841" s="1605">
        <v>42612</v>
      </c>
      <c r="E841" s="1608">
        <v>5</v>
      </c>
      <c r="F841" s="1609">
        <v>25.840699999999998</v>
      </c>
      <c r="G841" s="1609">
        <v>5</v>
      </c>
      <c r="H841" s="1609"/>
      <c r="I841" s="1609">
        <v>10.1387</v>
      </c>
      <c r="J841" s="1609">
        <v>9.0093000000000014</v>
      </c>
      <c r="K841" s="1610"/>
      <c r="L841" s="1607">
        <v>10</v>
      </c>
    </row>
    <row r="842" spans="1:12" hidden="1">
      <c r="A842" s="1605">
        <v>42542</v>
      </c>
      <c r="B842" s="1606" t="s">
        <v>1858</v>
      </c>
      <c r="C842" s="1607">
        <v>182</v>
      </c>
      <c r="D842" s="1605">
        <v>42724</v>
      </c>
      <c r="E842" s="1608">
        <v>10</v>
      </c>
      <c r="F842" s="1609">
        <v>52.814500000000002</v>
      </c>
      <c r="G842" s="1609">
        <v>10</v>
      </c>
      <c r="H842" s="1609"/>
      <c r="I842" s="1609">
        <v>8.5571000000000002</v>
      </c>
      <c r="J842" s="1609">
        <v>8.5571000000000002</v>
      </c>
      <c r="K842" s="1610"/>
      <c r="L842" s="1607">
        <v>12</v>
      </c>
    </row>
    <row r="843" spans="1:12" hidden="1">
      <c r="A843" s="1605">
        <v>42542</v>
      </c>
      <c r="B843" s="1606" t="s">
        <v>1859</v>
      </c>
      <c r="C843" s="1607">
        <v>364</v>
      </c>
      <c r="D843" s="1605">
        <v>42906</v>
      </c>
      <c r="E843" s="1608">
        <v>10</v>
      </c>
      <c r="F843" s="1609">
        <v>36.436999999999998</v>
      </c>
      <c r="G843" s="1609">
        <v>10</v>
      </c>
      <c r="H843" s="1609"/>
      <c r="I843" s="1609">
        <v>9.4970999999999997</v>
      </c>
      <c r="J843" s="1609">
        <v>9.4761000000000006</v>
      </c>
      <c r="K843" s="1610"/>
      <c r="L843" s="1607">
        <v>11</v>
      </c>
    </row>
    <row r="844" spans="1:12" hidden="1">
      <c r="A844" s="1605">
        <v>42556</v>
      </c>
      <c r="B844" s="1606" t="s">
        <v>1860</v>
      </c>
      <c r="C844" s="1607">
        <v>91</v>
      </c>
      <c r="D844" s="1605">
        <v>42647</v>
      </c>
      <c r="E844" s="1608">
        <v>20</v>
      </c>
      <c r="F844" s="1609">
        <v>67.259699999999995</v>
      </c>
      <c r="G844" s="1609">
        <v>20</v>
      </c>
      <c r="H844" s="1609"/>
      <c r="I844" s="1609">
        <v>7.0971999999999991</v>
      </c>
      <c r="J844" s="1609">
        <v>6.8553000000000006</v>
      </c>
      <c r="K844" s="1610"/>
      <c r="L844" s="1607">
        <v>11</v>
      </c>
    </row>
    <row r="845" spans="1:12" hidden="1">
      <c r="A845" s="1605">
        <v>42577</v>
      </c>
      <c r="B845" s="1606" t="s">
        <v>1861</v>
      </c>
      <c r="C845" s="1607">
        <v>91</v>
      </c>
      <c r="D845" s="1605">
        <v>42654</v>
      </c>
      <c r="E845" s="1608">
        <v>10</v>
      </c>
      <c r="F845" s="1609">
        <v>40.993299999999998</v>
      </c>
      <c r="G845" s="1609">
        <v>10</v>
      </c>
      <c r="H845" s="1609"/>
      <c r="I845" s="1609">
        <v>6.0667</v>
      </c>
      <c r="J845" s="1609">
        <v>5.5103</v>
      </c>
      <c r="K845" s="1610"/>
      <c r="L845" s="1607">
        <v>8</v>
      </c>
    </row>
    <row r="846" spans="1:12" hidden="1">
      <c r="A846" s="1605">
        <v>42577</v>
      </c>
      <c r="B846" s="1606" t="s">
        <v>1862</v>
      </c>
      <c r="C846" s="1607">
        <v>182</v>
      </c>
      <c r="D846" s="1605">
        <v>42759</v>
      </c>
      <c r="E846" s="1608">
        <v>15</v>
      </c>
      <c r="F846" s="1609">
        <v>25.240600000000001</v>
      </c>
      <c r="G846" s="1609">
        <v>4.7816000000000001</v>
      </c>
      <c r="H846" s="1609"/>
      <c r="I846" s="1609">
        <v>10.9003</v>
      </c>
      <c r="J846" s="1609">
        <v>7.9070999999999998</v>
      </c>
      <c r="K846" s="1610"/>
      <c r="L846" s="1607">
        <v>7</v>
      </c>
    </row>
    <row r="847" spans="1:12" hidden="1">
      <c r="A847" s="1605">
        <v>42584</v>
      </c>
      <c r="B847" s="1606" t="s">
        <v>1863</v>
      </c>
      <c r="C847" s="1607">
        <v>91</v>
      </c>
      <c r="D847" s="1605">
        <v>42675</v>
      </c>
      <c r="E847" s="1608">
        <v>20</v>
      </c>
      <c r="F847" s="1609">
        <v>35.409999999999997</v>
      </c>
      <c r="G847" s="1609">
        <v>15.186299999999999</v>
      </c>
      <c r="H847" s="1609"/>
      <c r="I847" s="1609">
        <v>11.0108</v>
      </c>
      <c r="J847" s="1609">
        <v>8.4576999999999991</v>
      </c>
      <c r="K847" s="1610"/>
      <c r="L847" s="1607">
        <v>5</v>
      </c>
    </row>
    <row r="848" spans="1:12" hidden="1">
      <c r="A848" s="1605">
        <v>42591</v>
      </c>
      <c r="B848" s="1606" t="s">
        <v>1864</v>
      </c>
      <c r="C848" s="1607">
        <v>91</v>
      </c>
      <c r="D848" s="1605">
        <v>42682</v>
      </c>
      <c r="E848" s="1608">
        <v>10</v>
      </c>
      <c r="F848" s="1609">
        <v>27.419</v>
      </c>
      <c r="G848" s="1609">
        <v>10</v>
      </c>
      <c r="H848" s="1609"/>
      <c r="I848" s="1609">
        <v>10.000399999999999</v>
      </c>
      <c r="J848" s="1609">
        <v>9.8694000000000006</v>
      </c>
      <c r="K848" s="1610"/>
      <c r="L848" s="1607">
        <v>7</v>
      </c>
    </row>
    <row r="849" spans="1:12" hidden="1">
      <c r="A849" s="1605">
        <v>42605</v>
      </c>
      <c r="B849" s="1606" t="s">
        <v>1865</v>
      </c>
      <c r="C849" s="1607">
        <v>182</v>
      </c>
      <c r="D849" s="1605">
        <v>42787</v>
      </c>
      <c r="E849" s="1608">
        <v>10</v>
      </c>
      <c r="F849" s="1609">
        <v>14.005699999999999</v>
      </c>
      <c r="G849" s="1609">
        <v>7.3201999999999998</v>
      </c>
      <c r="H849" s="1609"/>
      <c r="I849" s="1609">
        <v>11.0017</v>
      </c>
      <c r="J849" s="1609">
        <v>9.251199999999999</v>
      </c>
      <c r="K849" s="1610"/>
      <c r="L849" s="1607">
        <v>6</v>
      </c>
    </row>
    <row r="850" spans="1:12" hidden="1">
      <c r="A850" s="1605">
        <v>42605</v>
      </c>
      <c r="B850" s="1606" t="s">
        <v>1866</v>
      </c>
      <c r="C850" s="1607">
        <v>364</v>
      </c>
      <c r="D850" s="1605">
        <v>42969</v>
      </c>
      <c r="E850" s="1608">
        <v>10</v>
      </c>
      <c r="F850" s="1609">
        <v>16.123200000000001</v>
      </c>
      <c r="G850" s="1609">
        <v>5.4733999999999998</v>
      </c>
      <c r="H850" s="1609"/>
      <c r="I850" s="1609">
        <v>9.5212000000000003</v>
      </c>
      <c r="J850" s="1609">
        <v>9.5212000000000003</v>
      </c>
      <c r="K850" s="1610"/>
      <c r="L850" s="1607">
        <v>5</v>
      </c>
    </row>
    <row r="851" spans="1:12" hidden="1">
      <c r="A851" s="1605">
        <v>42612</v>
      </c>
      <c r="B851" s="1606" t="s">
        <v>1867</v>
      </c>
      <c r="C851" s="1607">
        <v>91</v>
      </c>
      <c r="D851" s="1605">
        <v>42703</v>
      </c>
      <c r="E851" s="1608">
        <v>10</v>
      </c>
      <c r="F851" s="1609">
        <v>33.714500000000001</v>
      </c>
      <c r="G851" s="1609">
        <v>10</v>
      </c>
      <c r="H851" s="1609"/>
      <c r="I851" s="1609">
        <v>9.9001000000000001</v>
      </c>
      <c r="J851" s="1609">
        <v>9.3264999999999993</v>
      </c>
      <c r="K851" s="1610"/>
      <c r="L851" s="1607">
        <v>8</v>
      </c>
    </row>
    <row r="852" spans="1:12" hidden="1">
      <c r="A852" s="1605">
        <v>42619</v>
      </c>
      <c r="B852" s="1606" t="s">
        <v>1876</v>
      </c>
      <c r="C852" s="1607">
        <v>364</v>
      </c>
      <c r="D852" s="1605">
        <v>42983</v>
      </c>
      <c r="E852" s="1608">
        <v>10</v>
      </c>
      <c r="F852" s="1609">
        <v>8.1966999999999999</v>
      </c>
      <c r="G852" s="1609">
        <v>5.4733999999999998</v>
      </c>
      <c r="H852" s="1609"/>
      <c r="I852" s="1609">
        <v>9.5212000000000003</v>
      </c>
      <c r="J852" s="1609">
        <v>9.5212000000000003</v>
      </c>
      <c r="K852" s="1610"/>
      <c r="L852" s="1607">
        <v>2</v>
      </c>
    </row>
    <row r="853" spans="1:12" hidden="1">
      <c r="A853" s="1605">
        <v>42619</v>
      </c>
      <c r="B853" s="1606" t="s">
        <v>1877</v>
      </c>
      <c r="C853" s="1607">
        <v>182</v>
      </c>
      <c r="D853" s="1605">
        <v>42801</v>
      </c>
      <c r="E853" s="1608">
        <v>20</v>
      </c>
      <c r="F853" s="1609">
        <v>2.9535</v>
      </c>
      <c r="G853" s="1609">
        <v>1.0535000000000001</v>
      </c>
      <c r="H853" s="1609"/>
      <c r="I853" s="1609">
        <v>10.792400000000001</v>
      </c>
      <c r="J853" s="1609">
        <v>10.792400000000001</v>
      </c>
      <c r="K853" s="1610"/>
      <c r="L853" s="1607">
        <v>2</v>
      </c>
    </row>
    <row r="854" spans="1:12" hidden="1">
      <c r="A854" s="1605">
        <v>42633</v>
      </c>
      <c r="B854" s="1606" t="s">
        <v>1878</v>
      </c>
      <c r="C854" s="1607">
        <v>364</v>
      </c>
      <c r="D854" s="1605">
        <v>42997</v>
      </c>
      <c r="E854" s="1608">
        <v>10</v>
      </c>
      <c r="F854" s="1609">
        <v>19.349499999999999</v>
      </c>
      <c r="G854" s="1609">
        <v>10</v>
      </c>
      <c r="H854" s="1609"/>
      <c r="I854" s="1609">
        <v>16.990600000000001</v>
      </c>
      <c r="J854" s="1609">
        <v>15.380599999999999</v>
      </c>
      <c r="K854" s="1610"/>
      <c r="L854" s="1607">
        <v>6</v>
      </c>
    </row>
    <row r="855" spans="1:12" hidden="1">
      <c r="A855" s="1605">
        <v>42647</v>
      </c>
      <c r="B855" s="1606" t="s">
        <v>1879</v>
      </c>
      <c r="C855" s="1607">
        <v>91</v>
      </c>
      <c r="D855" s="1605">
        <v>42738</v>
      </c>
      <c r="E855" s="1608">
        <v>22</v>
      </c>
      <c r="F855" s="1609">
        <v>5.3319999999999999</v>
      </c>
      <c r="G855" s="1609">
        <v>5.3319999999999999</v>
      </c>
      <c r="H855" s="1609"/>
      <c r="I855" s="1609">
        <v>18.45</v>
      </c>
      <c r="J855" s="1609">
        <v>14.937800000000001</v>
      </c>
      <c r="K855" s="1610"/>
      <c r="L855" s="1607">
        <v>3</v>
      </c>
    </row>
    <row r="856" spans="1:12" hidden="1">
      <c r="A856" s="1605">
        <v>42654</v>
      </c>
      <c r="B856" s="1606" t="s">
        <v>1880</v>
      </c>
      <c r="C856" s="1607">
        <v>364</v>
      </c>
      <c r="D856" s="1605">
        <v>43018</v>
      </c>
      <c r="E856" s="1608">
        <v>15</v>
      </c>
      <c r="F856" s="1609">
        <v>37.543900000000001</v>
      </c>
      <c r="G856" s="1609">
        <v>15</v>
      </c>
      <c r="H856" s="1609"/>
      <c r="I856" s="1609">
        <v>15.0413</v>
      </c>
      <c r="J856" s="1609">
        <v>14.970800000000001</v>
      </c>
      <c r="K856" s="1610"/>
      <c r="L856" s="1607">
        <v>8</v>
      </c>
    </row>
    <row r="857" spans="1:12" hidden="1">
      <c r="A857" s="1605">
        <v>42661</v>
      </c>
      <c r="B857" s="1606" t="s">
        <v>1881</v>
      </c>
      <c r="C857" s="1607">
        <v>182</v>
      </c>
      <c r="D857" s="1605">
        <v>42843</v>
      </c>
      <c r="E857" s="1608">
        <v>20</v>
      </c>
      <c r="F857" s="1609">
        <v>7.1361999999999997</v>
      </c>
      <c r="G857" s="1609">
        <v>7.1361999999999997</v>
      </c>
      <c r="H857" s="1609"/>
      <c r="I857" s="1609">
        <v>19.215900000000001</v>
      </c>
      <c r="J857" s="1609">
        <v>17.160800000000002</v>
      </c>
      <c r="K857" s="1610"/>
      <c r="L857" s="1607">
        <v>4</v>
      </c>
    </row>
    <row r="858" spans="1:12" hidden="1">
      <c r="A858" s="1605">
        <v>42668</v>
      </c>
      <c r="B858" s="1606" t="s">
        <v>1882</v>
      </c>
      <c r="C858" s="1607">
        <v>364</v>
      </c>
      <c r="D858" s="1605">
        <v>43032</v>
      </c>
      <c r="E858" s="1608">
        <v>10</v>
      </c>
      <c r="F858" s="1609">
        <v>17.736799999999999</v>
      </c>
      <c r="G858" s="1609">
        <v>10</v>
      </c>
      <c r="H858" s="1609"/>
      <c r="I858" s="1609">
        <v>15.0413</v>
      </c>
      <c r="J858" s="1609">
        <v>15.035599999999999</v>
      </c>
      <c r="K858" s="1610"/>
      <c r="L858" s="1607">
        <v>4</v>
      </c>
    </row>
    <row r="859" spans="1:12" hidden="1">
      <c r="A859" s="1605">
        <v>42668</v>
      </c>
      <c r="B859" s="1606" t="s">
        <v>1883</v>
      </c>
      <c r="C859" s="1607">
        <v>182</v>
      </c>
      <c r="D859" s="1605">
        <v>42850</v>
      </c>
      <c r="E859" s="1608">
        <v>17</v>
      </c>
      <c r="F859" s="1609">
        <v>23.338100000000001</v>
      </c>
      <c r="G859" s="1609">
        <v>17</v>
      </c>
      <c r="H859" s="1609"/>
      <c r="I859" s="1609">
        <v>19.998899999999999</v>
      </c>
      <c r="J859" s="1609">
        <v>18.574999999999999</v>
      </c>
      <c r="K859" s="1610"/>
      <c r="L859" s="1607">
        <v>6</v>
      </c>
    </row>
    <row r="860" spans="1:12" hidden="1">
      <c r="A860" s="1605">
        <v>42675</v>
      </c>
      <c r="B860" s="1606" t="s">
        <v>1884</v>
      </c>
      <c r="C860" s="1607">
        <v>91</v>
      </c>
      <c r="D860" s="1605">
        <v>42766</v>
      </c>
      <c r="E860" s="1608">
        <v>22</v>
      </c>
      <c r="F860" s="1609">
        <v>63.266100000000002</v>
      </c>
      <c r="G860" s="1609">
        <v>22</v>
      </c>
      <c r="H860" s="1609"/>
      <c r="I860" s="1609">
        <v>18.995100000000001</v>
      </c>
      <c r="J860" s="1609">
        <v>18.442900000000002</v>
      </c>
      <c r="K860" s="1610"/>
      <c r="L860" s="1607">
        <v>8</v>
      </c>
    </row>
    <row r="861" spans="1:12" hidden="1">
      <c r="A861" s="1605">
        <v>42682</v>
      </c>
      <c r="B861" s="1606" t="s">
        <v>1885</v>
      </c>
      <c r="C861" s="1607">
        <v>364</v>
      </c>
      <c r="D861" s="1605">
        <v>43046</v>
      </c>
      <c r="E861" s="1608">
        <v>15</v>
      </c>
      <c r="F861" s="1609">
        <v>34.070999999999998</v>
      </c>
      <c r="G861" s="1609">
        <v>15</v>
      </c>
      <c r="H861" s="1609"/>
      <c r="I861" s="1609">
        <v>15.082799999999999</v>
      </c>
      <c r="J861" s="1609">
        <v>14.971699999999998</v>
      </c>
      <c r="K861" s="1610"/>
      <c r="L861" s="1607">
        <v>6</v>
      </c>
    </row>
    <row r="862" spans="1:12" hidden="1">
      <c r="A862" s="1605">
        <v>42689</v>
      </c>
      <c r="B862" s="1606" t="s">
        <v>1886</v>
      </c>
      <c r="C862" s="1607">
        <v>182</v>
      </c>
      <c r="D862" s="1605">
        <v>42871</v>
      </c>
      <c r="E862" s="1608">
        <v>19</v>
      </c>
      <c r="F862" s="1609">
        <v>33.380299999999998</v>
      </c>
      <c r="G862" s="1609">
        <v>19</v>
      </c>
      <c r="H862" s="1609"/>
      <c r="I862" s="1609">
        <v>17.997399999999999</v>
      </c>
      <c r="J862" s="1609">
        <v>15.8499</v>
      </c>
      <c r="K862" s="1610"/>
      <c r="L862" s="1607">
        <v>6</v>
      </c>
    </row>
    <row r="863" spans="1:12" hidden="1">
      <c r="A863" s="1605">
        <v>42703</v>
      </c>
      <c r="B863" s="1606" t="s">
        <v>1887</v>
      </c>
      <c r="C863" s="1607">
        <v>182</v>
      </c>
      <c r="D863" s="1605">
        <v>42885</v>
      </c>
      <c r="E863" s="1608">
        <v>20</v>
      </c>
      <c r="F863" s="1609">
        <v>35.011499999999998</v>
      </c>
      <c r="G863" s="1609">
        <v>20</v>
      </c>
      <c r="H863" s="1609"/>
      <c r="I863" s="1609">
        <v>18.4998</v>
      </c>
      <c r="J863" s="1609">
        <v>18.1082</v>
      </c>
      <c r="K863" s="1610"/>
      <c r="L863" s="1607">
        <v>7</v>
      </c>
    </row>
    <row r="864" spans="1:12" hidden="1">
      <c r="A864" s="1605">
        <v>42717</v>
      </c>
      <c r="B864" s="1606" t="s">
        <v>1893</v>
      </c>
      <c r="C864" s="1607">
        <v>91</v>
      </c>
      <c r="D864" s="1605">
        <v>42808</v>
      </c>
      <c r="E864" s="1608">
        <v>10</v>
      </c>
      <c r="F864" s="1609">
        <v>25.734000000000002</v>
      </c>
      <c r="G864" s="1609">
        <v>10</v>
      </c>
      <c r="H864" s="1609"/>
      <c r="I864" s="1609">
        <v>18.1494</v>
      </c>
      <c r="J864" s="1609">
        <v>17.872399999999999</v>
      </c>
      <c r="K864" s="1610"/>
      <c r="L864" s="1607">
        <v>7</v>
      </c>
    </row>
    <row r="865" spans="1:12" hidden="1">
      <c r="A865" s="1605">
        <v>42724</v>
      </c>
      <c r="B865" s="1606" t="s">
        <v>1894</v>
      </c>
      <c r="C865" s="1607">
        <v>364</v>
      </c>
      <c r="D865" s="1605">
        <v>43088</v>
      </c>
      <c r="E865" s="1608">
        <v>10</v>
      </c>
      <c r="F865" s="1609">
        <v>11.585800000000001</v>
      </c>
      <c r="G865" s="1609">
        <v>0</v>
      </c>
      <c r="H865" s="1609"/>
      <c r="I865" s="1609">
        <v>0</v>
      </c>
      <c r="J865" s="1609">
        <v>0</v>
      </c>
      <c r="K865" s="1610"/>
      <c r="L865" s="1607">
        <v>0</v>
      </c>
    </row>
    <row r="866" spans="1:12" hidden="1">
      <c r="A866" s="1605">
        <v>42724</v>
      </c>
      <c r="B866" s="1606" t="s">
        <v>1895</v>
      </c>
      <c r="C866" s="1607">
        <v>182</v>
      </c>
      <c r="D866" s="1605">
        <v>42906</v>
      </c>
      <c r="E866" s="1608">
        <v>15</v>
      </c>
      <c r="F866" s="1609">
        <v>23.9602</v>
      </c>
      <c r="G866" s="1609">
        <v>15</v>
      </c>
      <c r="H866" s="1609"/>
      <c r="I866" s="1609">
        <v>18.999600000000001</v>
      </c>
      <c r="J866" s="1609">
        <v>18.2681</v>
      </c>
      <c r="K866" s="1610"/>
      <c r="L866" s="1607">
        <v>8</v>
      </c>
    </row>
    <row r="867" spans="1:12" hidden="1">
      <c r="A867" s="1605">
        <v>42731</v>
      </c>
      <c r="B867" s="1606" t="s">
        <v>1896</v>
      </c>
      <c r="C867" s="1607">
        <v>182</v>
      </c>
      <c r="D867" s="1605">
        <v>42913</v>
      </c>
      <c r="E867" s="1608">
        <v>10</v>
      </c>
      <c r="F867" s="1609">
        <v>18.284400000000002</v>
      </c>
      <c r="G867" s="1609">
        <v>10</v>
      </c>
      <c r="H867" s="1609"/>
      <c r="I867" s="1609">
        <v>18.850000000000001</v>
      </c>
      <c r="J867" s="1609">
        <v>18.224699999999999</v>
      </c>
      <c r="K867" s="1610"/>
      <c r="L867" s="1607">
        <v>6</v>
      </c>
    </row>
    <row r="868" spans="1:12" hidden="1">
      <c r="A868" s="1605">
        <v>42731</v>
      </c>
      <c r="B868" s="1606" t="s">
        <v>1897</v>
      </c>
      <c r="C868" s="1607">
        <v>364</v>
      </c>
      <c r="D868" s="1605">
        <v>43095</v>
      </c>
      <c r="E868" s="1608">
        <v>10</v>
      </c>
      <c r="F868" s="1609">
        <v>14.7433</v>
      </c>
      <c r="G868" s="1609">
        <v>10</v>
      </c>
      <c r="H868" s="1609"/>
      <c r="I868" s="1609">
        <v>20.9999</v>
      </c>
      <c r="J868" s="1609">
        <v>19.471599999999999</v>
      </c>
      <c r="K868" s="1610"/>
      <c r="L868" s="1607">
        <v>3</v>
      </c>
    </row>
    <row r="869" spans="1:12" hidden="1">
      <c r="A869" s="1605">
        <v>42769</v>
      </c>
      <c r="B869" s="1606" t="s">
        <v>1907</v>
      </c>
      <c r="C869" s="1607">
        <v>364</v>
      </c>
      <c r="D869" s="1605">
        <v>43133</v>
      </c>
      <c r="E869" s="1608">
        <v>15</v>
      </c>
      <c r="F869" s="1609">
        <v>41.646999999999998</v>
      </c>
      <c r="G869" s="1609">
        <v>15</v>
      </c>
      <c r="H869" s="1609"/>
      <c r="I869" s="1609">
        <v>18.602499999999999</v>
      </c>
      <c r="J869" s="1609">
        <v>18.3413</v>
      </c>
      <c r="K869" s="1610"/>
      <c r="L869" s="1607">
        <v>9</v>
      </c>
    </row>
    <row r="870" spans="1:12" hidden="1">
      <c r="A870" s="1605">
        <v>42787</v>
      </c>
      <c r="B870" s="1606" t="s">
        <v>1908</v>
      </c>
      <c r="C870" s="1607">
        <v>182</v>
      </c>
      <c r="D870" s="1605">
        <v>42969</v>
      </c>
      <c r="E870" s="1608">
        <v>10</v>
      </c>
      <c r="F870" s="1609">
        <v>36.215299999999999</v>
      </c>
      <c r="G870" s="1609">
        <v>10</v>
      </c>
      <c r="H870" s="1609"/>
      <c r="I870" s="1609">
        <v>16.591200000000001</v>
      </c>
      <c r="J870" s="1609">
        <v>15.7608</v>
      </c>
      <c r="K870" s="1610"/>
      <c r="L870" s="1607">
        <v>9</v>
      </c>
    </row>
    <row r="871" spans="1:12" hidden="1">
      <c r="A871" s="1605">
        <v>42794</v>
      </c>
      <c r="B871" s="1606" t="s">
        <v>1909</v>
      </c>
      <c r="C871" s="1607">
        <v>728</v>
      </c>
      <c r="D871" s="1605">
        <v>43522</v>
      </c>
      <c r="E871" s="1608">
        <v>10</v>
      </c>
      <c r="F871" s="1609">
        <v>23.5442</v>
      </c>
      <c r="G871" s="1609">
        <v>10</v>
      </c>
      <c r="H871" s="1609"/>
      <c r="I871" s="1609">
        <v>15</v>
      </c>
      <c r="J871" s="1609">
        <v>15</v>
      </c>
      <c r="K871" s="1610"/>
      <c r="L871" s="1607">
        <v>7</v>
      </c>
    </row>
    <row r="872" spans="1:12" hidden="1">
      <c r="A872" s="1605">
        <v>42801</v>
      </c>
      <c r="B872" s="1606" t="s">
        <v>1916</v>
      </c>
      <c r="C872" s="1607">
        <v>182</v>
      </c>
      <c r="D872" s="1605">
        <v>42983</v>
      </c>
      <c r="E872" s="1608">
        <v>10</v>
      </c>
      <c r="F872" s="1609">
        <v>42.909799999999997</v>
      </c>
      <c r="G872" s="1609">
        <v>10</v>
      </c>
      <c r="H872" s="1609"/>
      <c r="I872" s="1609">
        <v>15.6722</v>
      </c>
      <c r="J872" s="1609">
        <v>15.560199999999998</v>
      </c>
      <c r="K872" s="1610"/>
      <c r="L872" s="1607">
        <v>11</v>
      </c>
    </row>
    <row r="873" spans="1:12" hidden="1">
      <c r="A873" s="1605">
        <v>42808</v>
      </c>
      <c r="B873" s="1606" t="s">
        <v>1917</v>
      </c>
      <c r="C873" s="1607">
        <v>364</v>
      </c>
      <c r="D873" s="1605">
        <v>43172</v>
      </c>
      <c r="E873" s="1608">
        <v>25</v>
      </c>
      <c r="F873" s="1609">
        <v>56.398800000000001</v>
      </c>
      <c r="G873" s="1609">
        <v>25</v>
      </c>
      <c r="H873" s="1609"/>
      <c r="I873" s="1609">
        <v>17.9999</v>
      </c>
      <c r="J873" s="1609">
        <v>16.357299999999999</v>
      </c>
      <c r="K873" s="1610"/>
      <c r="L873" s="1607">
        <v>9</v>
      </c>
    </row>
    <row r="874" spans="1:12" hidden="1">
      <c r="A874" s="1605">
        <v>42822</v>
      </c>
      <c r="B874" s="1606" t="s">
        <v>1918</v>
      </c>
      <c r="C874" s="1607">
        <v>728</v>
      </c>
      <c r="D874" s="1605">
        <v>43550</v>
      </c>
      <c r="E874" s="1608">
        <v>10</v>
      </c>
      <c r="F874" s="1609">
        <v>26.5505</v>
      </c>
      <c r="G874" s="1609">
        <v>9.4984999999999999</v>
      </c>
      <c r="H874" s="1609"/>
      <c r="I874" s="1609">
        <v>15</v>
      </c>
      <c r="J874" s="1609">
        <v>14.993699999999999</v>
      </c>
      <c r="K874" s="1610"/>
      <c r="L874" s="1607">
        <v>5</v>
      </c>
    </row>
    <row r="875" spans="1:12" hidden="1">
      <c r="A875" s="1605">
        <v>42829</v>
      </c>
      <c r="B875" s="1606" t="s">
        <v>1923</v>
      </c>
      <c r="C875" s="1607">
        <v>91</v>
      </c>
      <c r="D875" s="1605">
        <v>42920</v>
      </c>
      <c r="E875" s="1608">
        <v>20</v>
      </c>
      <c r="F875" s="1609">
        <v>33.554299999999998</v>
      </c>
      <c r="G875" s="1609">
        <v>20</v>
      </c>
      <c r="H875" s="1609"/>
      <c r="I875" s="1609">
        <v>17.9998</v>
      </c>
      <c r="J875" s="1609">
        <v>16.758600000000001</v>
      </c>
      <c r="K875" s="1610"/>
      <c r="L875" s="1607">
        <v>9</v>
      </c>
    </row>
    <row r="876" spans="1:12" hidden="1">
      <c r="A876" s="1605">
        <v>42836</v>
      </c>
      <c r="B876" s="1606" t="s">
        <v>1924</v>
      </c>
      <c r="C876" s="1607">
        <v>728</v>
      </c>
      <c r="D876" s="1605">
        <v>43564</v>
      </c>
      <c r="E876" s="1608">
        <v>35</v>
      </c>
      <c r="F876" s="1609">
        <v>33.738399999999999</v>
      </c>
      <c r="G876" s="1609">
        <v>14.998699999999999</v>
      </c>
      <c r="H876" s="1609"/>
      <c r="I876" s="1609">
        <v>15</v>
      </c>
      <c r="J876" s="1609">
        <v>15</v>
      </c>
      <c r="K876" s="1610"/>
      <c r="L876" s="1607">
        <v>4</v>
      </c>
    </row>
    <row r="877" spans="1:12" hidden="1">
      <c r="A877" s="1605">
        <v>42843</v>
      </c>
      <c r="B877" s="1606" t="s">
        <v>1925</v>
      </c>
      <c r="C877" s="1607">
        <v>364</v>
      </c>
      <c r="D877" s="1605">
        <v>43207</v>
      </c>
      <c r="E877" s="1608">
        <v>60</v>
      </c>
      <c r="F877" s="1609">
        <v>79.046099999999996</v>
      </c>
      <c r="G877" s="1609">
        <v>59.72</v>
      </c>
      <c r="H877" s="1609"/>
      <c r="I877" s="1609">
        <v>18.037200000000002</v>
      </c>
      <c r="J877" s="1609">
        <v>17.3749</v>
      </c>
      <c r="K877" s="1610"/>
      <c r="L877" s="1607">
        <v>7</v>
      </c>
    </row>
    <row r="878" spans="1:12" hidden="1">
      <c r="A878" s="1605">
        <v>42843</v>
      </c>
      <c r="B878" s="1606" t="s">
        <v>1926</v>
      </c>
      <c r="C878" s="1607">
        <v>182</v>
      </c>
      <c r="D878" s="1605">
        <v>43025</v>
      </c>
      <c r="E878" s="1608">
        <v>20</v>
      </c>
      <c r="F878" s="1609">
        <v>41.430799999999998</v>
      </c>
      <c r="G878" s="1609">
        <v>20</v>
      </c>
      <c r="H878" s="1609"/>
      <c r="I878" s="1609">
        <v>16.998999999999999</v>
      </c>
      <c r="J878" s="1609">
        <v>16.547999999999998</v>
      </c>
      <c r="K878" s="1610"/>
      <c r="L878" s="1607">
        <v>6</v>
      </c>
    </row>
    <row r="879" spans="1:12" hidden="1">
      <c r="A879" s="1605">
        <v>42850</v>
      </c>
      <c r="B879" s="1606" t="s">
        <v>1927</v>
      </c>
      <c r="C879" s="1607">
        <v>364</v>
      </c>
      <c r="D879" s="1605">
        <v>43214</v>
      </c>
      <c r="E879" s="1608">
        <v>50</v>
      </c>
      <c r="F879" s="1609">
        <v>45.913200000000003</v>
      </c>
      <c r="G879" s="1609">
        <v>37.599699999999999</v>
      </c>
      <c r="H879" s="1609"/>
      <c r="I879" s="1609">
        <v>18.1632</v>
      </c>
      <c r="J879" s="1609">
        <v>17.0626</v>
      </c>
      <c r="K879" s="1610"/>
      <c r="L879" s="1607">
        <v>10</v>
      </c>
    </row>
    <row r="880" spans="1:12" hidden="1">
      <c r="A880" s="1605">
        <v>42857</v>
      </c>
      <c r="B880" s="1606" t="s">
        <v>1931</v>
      </c>
      <c r="C880" s="1607">
        <v>364</v>
      </c>
      <c r="D880" s="1605">
        <v>43221</v>
      </c>
      <c r="E880" s="1608">
        <v>25</v>
      </c>
      <c r="F880" s="1609">
        <v>50.255600000000001</v>
      </c>
      <c r="G880" s="1609">
        <v>25</v>
      </c>
      <c r="H880" s="1609"/>
      <c r="I880" s="1609">
        <v>18.2727</v>
      </c>
      <c r="J880" s="1609">
        <v>17.947199999999999</v>
      </c>
      <c r="K880" s="1610"/>
      <c r="L880" s="1607">
        <v>9</v>
      </c>
    </row>
    <row r="881" spans="1:12" hidden="1">
      <c r="A881" s="1605">
        <v>42871</v>
      </c>
      <c r="B881" s="1606" t="s">
        <v>1932</v>
      </c>
      <c r="C881" s="1607">
        <v>91</v>
      </c>
      <c r="D881" s="1605">
        <v>42962</v>
      </c>
      <c r="E881" s="1608">
        <v>10</v>
      </c>
      <c r="F881" s="1609">
        <v>39.960389999999997</v>
      </c>
      <c r="G881" s="1609">
        <v>10</v>
      </c>
      <c r="H881" s="1609"/>
      <c r="I881" s="1609">
        <v>14.491599999999998</v>
      </c>
      <c r="J881" s="1609">
        <v>13.7845</v>
      </c>
      <c r="K881" s="1610"/>
      <c r="L881" s="1607">
        <v>9</v>
      </c>
    </row>
    <row r="882" spans="1:12" hidden="1">
      <c r="A882" s="1605">
        <v>42878</v>
      </c>
      <c r="B882" s="1606" t="s">
        <v>1933</v>
      </c>
      <c r="C882" s="1607">
        <v>728</v>
      </c>
      <c r="D882" s="1605">
        <v>43606</v>
      </c>
      <c r="E882" s="1608">
        <v>20</v>
      </c>
      <c r="F882" s="1609">
        <v>3</v>
      </c>
      <c r="G882" s="1609">
        <v>3</v>
      </c>
      <c r="H882" s="1609"/>
      <c r="I882" s="1609">
        <v>15</v>
      </c>
      <c r="J882" s="1609">
        <v>15</v>
      </c>
      <c r="K882" s="1610"/>
      <c r="L882" s="1607">
        <v>1</v>
      </c>
    </row>
    <row r="883" spans="1:12" hidden="1">
      <c r="A883" s="1605">
        <v>42885</v>
      </c>
      <c r="B883" s="1606" t="s">
        <v>1934</v>
      </c>
      <c r="C883" s="1607">
        <v>364</v>
      </c>
      <c r="D883" s="1605">
        <v>43249</v>
      </c>
      <c r="E883" s="1608">
        <v>25</v>
      </c>
      <c r="F883" s="1609">
        <v>62.704799999999999</v>
      </c>
      <c r="G883" s="1609">
        <v>25</v>
      </c>
      <c r="H883" s="1609"/>
      <c r="I883" s="1609">
        <v>15</v>
      </c>
      <c r="J883" s="1609">
        <v>14.763000000000002</v>
      </c>
      <c r="K883" s="1610"/>
      <c r="L883" s="1607">
        <v>9</v>
      </c>
    </row>
    <row r="884" spans="1:12" hidden="1">
      <c r="A884" s="1605">
        <v>42892</v>
      </c>
      <c r="B884" s="1606" t="s">
        <v>1967</v>
      </c>
      <c r="C884" s="1607">
        <v>91</v>
      </c>
      <c r="D884" s="1605">
        <v>42983</v>
      </c>
      <c r="E884" s="1608">
        <v>10</v>
      </c>
      <c r="F884" s="1609">
        <v>51.712200000000003</v>
      </c>
      <c r="G884" s="1609">
        <v>10</v>
      </c>
      <c r="H884" s="1609"/>
      <c r="I884" s="1609">
        <v>12.4998</v>
      </c>
      <c r="J884" s="1609">
        <v>12.4382</v>
      </c>
      <c r="K884" s="1610"/>
      <c r="L884" s="1607">
        <v>14</v>
      </c>
    </row>
    <row r="885" spans="1:12" hidden="1">
      <c r="A885" s="1605">
        <v>42899</v>
      </c>
      <c r="B885" s="1606" t="s">
        <v>1968</v>
      </c>
      <c r="C885" s="1607">
        <v>728</v>
      </c>
      <c r="D885" s="1605">
        <v>43627</v>
      </c>
      <c r="E885" s="1608">
        <v>5</v>
      </c>
      <c r="F885" s="1609">
        <v>5</v>
      </c>
      <c r="G885" s="1609">
        <v>5</v>
      </c>
      <c r="H885" s="1609"/>
      <c r="I885" s="1609">
        <v>14.499999999999998</v>
      </c>
      <c r="J885" s="1609">
        <v>14.37</v>
      </c>
      <c r="K885" s="1610"/>
      <c r="L885" s="1607">
        <v>7</v>
      </c>
    </row>
    <row r="886" spans="1:12" hidden="1">
      <c r="A886" s="1605">
        <v>42906</v>
      </c>
      <c r="B886" s="1606" t="s">
        <v>1969</v>
      </c>
      <c r="C886" s="1607">
        <v>182</v>
      </c>
      <c r="D886" s="1605">
        <v>43088</v>
      </c>
      <c r="E886" s="1608">
        <v>10</v>
      </c>
      <c r="F886" s="1609">
        <v>29.9558</v>
      </c>
      <c r="G886" s="1609">
        <v>10</v>
      </c>
      <c r="H886" s="1609"/>
      <c r="I886" s="1609">
        <v>12.1668</v>
      </c>
      <c r="J886" s="1609">
        <v>12.059100000000001</v>
      </c>
      <c r="K886" s="1610"/>
      <c r="L886" s="1607">
        <v>9</v>
      </c>
    </row>
    <row r="887" spans="1:12" hidden="1">
      <c r="A887" s="1605">
        <v>42906</v>
      </c>
      <c r="B887" s="1606" t="s">
        <v>1970</v>
      </c>
      <c r="C887" s="1607">
        <v>364</v>
      </c>
      <c r="D887" s="1605">
        <v>43270</v>
      </c>
      <c r="E887" s="1608">
        <v>15</v>
      </c>
      <c r="F887" s="1609">
        <v>50.878900000000002</v>
      </c>
      <c r="G887" s="1609">
        <v>15</v>
      </c>
      <c r="H887" s="1609"/>
      <c r="I887" s="1609">
        <v>13.999900000000002</v>
      </c>
      <c r="J887" s="1609">
        <v>13.405800000000001</v>
      </c>
      <c r="K887" s="1610"/>
      <c r="L887" s="1607">
        <v>11</v>
      </c>
    </row>
    <row r="888" spans="1:12" hidden="1">
      <c r="A888" s="1605">
        <v>42920</v>
      </c>
      <c r="B888" s="1606" t="s">
        <v>1976</v>
      </c>
      <c r="C888" s="1607">
        <v>91</v>
      </c>
      <c r="D888" s="1605">
        <v>43011</v>
      </c>
      <c r="E888" s="1608">
        <v>10</v>
      </c>
      <c r="F888" s="1609">
        <v>64.012200000000007</v>
      </c>
      <c r="G888" s="1609">
        <v>10</v>
      </c>
      <c r="H888" s="1609"/>
      <c r="I888" s="1609">
        <v>9</v>
      </c>
      <c r="J888" s="1609">
        <v>9</v>
      </c>
      <c r="K888" s="1610"/>
      <c r="L888" s="1607">
        <v>19</v>
      </c>
    </row>
    <row r="889" spans="1:12" hidden="1">
      <c r="A889" s="1605">
        <v>42927</v>
      </c>
      <c r="B889" s="1606" t="s">
        <v>1977</v>
      </c>
      <c r="C889" s="1607">
        <v>364</v>
      </c>
      <c r="D889" s="1605">
        <v>43291</v>
      </c>
      <c r="E889" s="1608">
        <v>20</v>
      </c>
      <c r="F889" s="1609">
        <v>76.617099999999994</v>
      </c>
      <c r="G889" s="1609">
        <v>20</v>
      </c>
      <c r="H889" s="1609"/>
      <c r="I889" s="1609">
        <v>11</v>
      </c>
      <c r="J889" s="1609">
        <v>10.847199999999999</v>
      </c>
      <c r="K889" s="1610"/>
      <c r="L889" s="1607">
        <v>13</v>
      </c>
    </row>
    <row r="890" spans="1:12" hidden="1">
      <c r="A890" s="1605">
        <v>42934</v>
      </c>
      <c r="B890" s="1606" t="s">
        <v>1978</v>
      </c>
      <c r="C890" s="1607">
        <v>728</v>
      </c>
      <c r="D890" s="1605">
        <v>43662</v>
      </c>
      <c r="E890" s="1608">
        <v>5</v>
      </c>
      <c r="F890" s="1609">
        <v>29.119</v>
      </c>
      <c r="G890" s="1609">
        <v>5</v>
      </c>
      <c r="H890" s="1609"/>
      <c r="I890" s="1609">
        <v>15</v>
      </c>
      <c r="J890" s="1609">
        <v>12.8033</v>
      </c>
      <c r="K890" s="1610"/>
      <c r="L890" s="1607">
        <v>9</v>
      </c>
    </row>
    <row r="891" spans="1:12" hidden="1">
      <c r="A891" s="1605">
        <v>42941</v>
      </c>
      <c r="B891" s="1606" t="s">
        <v>1979</v>
      </c>
      <c r="C891" s="1607">
        <v>182</v>
      </c>
      <c r="D891" s="1605">
        <v>43123</v>
      </c>
      <c r="E891" s="1608">
        <v>20</v>
      </c>
      <c r="F891" s="1609">
        <v>78.979200000000006</v>
      </c>
      <c r="G891" s="1609">
        <v>20</v>
      </c>
      <c r="H891" s="1609"/>
      <c r="I891" s="1609">
        <v>15</v>
      </c>
      <c r="J891" s="1609">
        <v>8.3438999999999997</v>
      </c>
      <c r="K891" s="1610"/>
      <c r="L891" s="1607">
        <v>15</v>
      </c>
    </row>
    <row r="892" spans="1:12" hidden="1">
      <c r="A892" s="1605">
        <v>42962</v>
      </c>
      <c r="B892" s="1606" t="s">
        <v>1986</v>
      </c>
      <c r="C892" s="1607">
        <v>91</v>
      </c>
      <c r="D892" s="1605">
        <v>43053</v>
      </c>
      <c r="E892" s="1608">
        <v>10</v>
      </c>
      <c r="F892" s="1609">
        <v>36.217799999999997</v>
      </c>
      <c r="G892" s="1609">
        <v>10</v>
      </c>
      <c r="H892" s="1609"/>
      <c r="I892" s="1609">
        <v>7.8</v>
      </c>
      <c r="J892" s="1609">
        <v>7.7868999999999993</v>
      </c>
      <c r="K892" s="1610"/>
      <c r="L892" s="1607">
        <v>12</v>
      </c>
    </row>
    <row r="893" spans="1:12" hidden="1">
      <c r="A893" s="1605">
        <v>42969</v>
      </c>
      <c r="B893" s="1606" t="s">
        <v>1987</v>
      </c>
      <c r="C893" s="1607">
        <v>182</v>
      </c>
      <c r="D893" s="1605">
        <v>43151</v>
      </c>
      <c r="E893" s="1608">
        <v>20</v>
      </c>
      <c r="F893" s="1609">
        <v>56.866799999999998</v>
      </c>
      <c r="G893" s="1609">
        <v>20</v>
      </c>
      <c r="H893" s="1609"/>
      <c r="I893" s="1609">
        <v>8.9999990000000007</v>
      </c>
      <c r="J893" s="1609">
        <v>8.8749000000000002</v>
      </c>
      <c r="K893" s="1610"/>
      <c r="L893" s="1607">
        <v>12</v>
      </c>
    </row>
    <row r="894" spans="1:12" hidden="1">
      <c r="A894" s="1605">
        <v>42969</v>
      </c>
      <c r="B894" s="1606" t="s">
        <v>1988</v>
      </c>
      <c r="C894" s="1607">
        <v>364</v>
      </c>
      <c r="D894" s="1605">
        <v>43333</v>
      </c>
      <c r="E894" s="1608">
        <v>25</v>
      </c>
      <c r="F894" s="1609">
        <v>66.177599999999998</v>
      </c>
      <c r="G894" s="1609">
        <v>25</v>
      </c>
      <c r="H894" s="1609"/>
      <c r="I894" s="1609">
        <v>10.8</v>
      </c>
      <c r="J894" s="1609">
        <v>10.775700000000001</v>
      </c>
      <c r="K894" s="1610"/>
      <c r="L894" s="1607">
        <v>7</v>
      </c>
    </row>
    <row r="895" spans="1:12" hidden="1">
      <c r="A895" s="1605">
        <v>42976</v>
      </c>
      <c r="B895" s="1606" t="s">
        <v>1989</v>
      </c>
      <c r="C895" s="1607">
        <v>728</v>
      </c>
      <c r="D895" s="1605">
        <v>43704</v>
      </c>
      <c r="E895" s="1608">
        <v>5</v>
      </c>
      <c r="F895" s="1609">
        <v>80.065799999999996</v>
      </c>
      <c r="G895" s="1609">
        <v>5</v>
      </c>
      <c r="H895" s="1609"/>
      <c r="I895" s="1609">
        <v>11.799999999999999</v>
      </c>
      <c r="J895" s="1609">
        <v>11.3735</v>
      </c>
      <c r="K895" s="1610"/>
      <c r="L895" s="1607">
        <v>8</v>
      </c>
    </row>
    <row r="896" spans="1:12" hidden="1">
      <c r="A896" s="1605">
        <v>42983</v>
      </c>
      <c r="B896" s="1606" t="s">
        <v>1996</v>
      </c>
      <c r="C896" s="1607">
        <v>182</v>
      </c>
      <c r="D896" s="1605">
        <v>43165</v>
      </c>
      <c r="E896" s="1608">
        <v>15</v>
      </c>
      <c r="F896" s="1609">
        <v>33.9694</v>
      </c>
      <c r="G896" s="1609">
        <v>15</v>
      </c>
      <c r="H896" s="1609"/>
      <c r="I896" s="1609">
        <v>8.9999000000000002</v>
      </c>
      <c r="J896" s="1609">
        <v>8.9999000000000002</v>
      </c>
      <c r="K896" s="1610"/>
      <c r="L896" s="1607">
        <v>3</v>
      </c>
    </row>
    <row r="897" spans="1:12" hidden="1">
      <c r="A897" s="1605">
        <v>42983</v>
      </c>
      <c r="B897" s="1606" t="s">
        <v>1997</v>
      </c>
      <c r="C897" s="1607">
        <v>364</v>
      </c>
      <c r="D897" s="1605">
        <v>43347</v>
      </c>
      <c r="E897" s="1608">
        <v>10</v>
      </c>
      <c r="F897" s="1609">
        <v>31.341100000000001</v>
      </c>
      <c r="G897" s="1609">
        <v>10</v>
      </c>
      <c r="H897" s="1609"/>
      <c r="I897" s="1609">
        <v>9.9989999999999988</v>
      </c>
      <c r="J897" s="1609">
        <v>9.9793000000000003</v>
      </c>
      <c r="K897" s="1610"/>
      <c r="L897" s="1607">
        <v>8</v>
      </c>
    </row>
    <row r="898" spans="1:12" hidden="1">
      <c r="A898" s="1605">
        <v>42990</v>
      </c>
      <c r="B898" s="1606" t="s">
        <v>1998</v>
      </c>
      <c r="C898" s="1607">
        <v>182</v>
      </c>
      <c r="D898" s="1605">
        <v>43172</v>
      </c>
      <c r="E898" s="1608">
        <v>20</v>
      </c>
      <c r="F898" s="1609">
        <v>76.618600000000001</v>
      </c>
      <c r="G898" s="1609">
        <v>20</v>
      </c>
      <c r="H898" s="1609"/>
      <c r="I898" s="1609">
        <v>7.4998999999999993</v>
      </c>
      <c r="J898" s="1609">
        <v>7.4998999999999993</v>
      </c>
      <c r="K898" s="1610"/>
      <c r="L898" s="1607">
        <v>11</v>
      </c>
    </row>
    <row r="899" spans="1:12" hidden="1">
      <c r="A899" s="1605">
        <v>42997</v>
      </c>
      <c r="B899" s="1606" t="s">
        <v>1999</v>
      </c>
      <c r="C899" s="1607">
        <v>364</v>
      </c>
      <c r="D899" s="1605">
        <v>43361</v>
      </c>
      <c r="E899" s="1608">
        <v>15</v>
      </c>
      <c r="F899" s="1609">
        <v>69.597200000000001</v>
      </c>
      <c r="G899" s="1609">
        <v>15</v>
      </c>
      <c r="H899" s="1609"/>
      <c r="I899" s="1609">
        <v>7.9</v>
      </c>
      <c r="J899" s="1609">
        <v>7.6696999999999997</v>
      </c>
      <c r="K899" s="1610"/>
      <c r="L899" s="1607">
        <v>12</v>
      </c>
    </row>
    <row r="900" spans="1:12" hidden="1">
      <c r="A900" s="1605">
        <v>43004</v>
      </c>
      <c r="B900" s="1606" t="s">
        <v>2000</v>
      </c>
      <c r="C900" s="1607">
        <v>728</v>
      </c>
      <c r="D900" s="1605">
        <v>43732</v>
      </c>
      <c r="E900" s="1608">
        <v>5</v>
      </c>
      <c r="F900" s="1609">
        <v>17.5274</v>
      </c>
      <c r="G900" s="1609">
        <v>5</v>
      </c>
      <c r="H900" s="1609"/>
      <c r="I900" s="1609">
        <v>9.9758999999999993</v>
      </c>
      <c r="J900" s="1609">
        <v>9.1953999999999994</v>
      </c>
      <c r="K900" s="1610"/>
      <c r="L900" s="1607">
        <v>10</v>
      </c>
    </row>
    <row r="901" spans="1:12" hidden="1">
      <c r="A901" s="1605">
        <v>43011</v>
      </c>
      <c r="B901" s="1606" t="s">
        <v>2009</v>
      </c>
      <c r="C901" s="1607">
        <v>91</v>
      </c>
      <c r="D901" s="1605">
        <v>43102</v>
      </c>
      <c r="E901" s="1608">
        <v>10</v>
      </c>
      <c r="F901" s="1609">
        <v>32.4542</v>
      </c>
      <c r="G901" s="1609">
        <v>10</v>
      </c>
      <c r="H901" s="1609"/>
      <c r="I901" s="1609">
        <v>7.9997999999999996</v>
      </c>
      <c r="J901" s="1609">
        <v>4.5003000000000002</v>
      </c>
      <c r="K901" s="1610"/>
      <c r="L901" s="1607">
        <v>9</v>
      </c>
    </row>
    <row r="902" spans="1:12" hidden="1">
      <c r="A902" s="1605">
        <v>43018</v>
      </c>
      <c r="B902" s="1606" t="s">
        <v>2010</v>
      </c>
      <c r="C902" s="1607">
        <v>364</v>
      </c>
      <c r="D902" s="1605">
        <v>43382</v>
      </c>
      <c r="E902" s="1608">
        <v>25</v>
      </c>
      <c r="F902" s="1609">
        <v>25</v>
      </c>
      <c r="G902" s="1609">
        <v>25</v>
      </c>
      <c r="H902" s="1609"/>
      <c r="I902" s="1609">
        <v>6.5</v>
      </c>
      <c r="J902" s="1609">
        <v>6.2500999999999998</v>
      </c>
      <c r="K902" s="1610"/>
      <c r="L902" s="1607">
        <v>10</v>
      </c>
    </row>
    <row r="903" spans="1:12" hidden="1">
      <c r="A903" s="1605">
        <v>43025</v>
      </c>
      <c r="B903" s="1606" t="s">
        <v>2011</v>
      </c>
      <c r="C903" s="1607">
        <v>182</v>
      </c>
      <c r="D903" s="1605">
        <v>43207</v>
      </c>
      <c r="E903" s="1608">
        <v>20</v>
      </c>
      <c r="F903" s="1609">
        <v>20</v>
      </c>
      <c r="G903" s="1609">
        <v>20</v>
      </c>
      <c r="H903" s="1609"/>
      <c r="I903" s="1609">
        <v>8.5</v>
      </c>
      <c r="J903" s="1609">
        <v>8.101700000000001</v>
      </c>
      <c r="K903" s="1610"/>
      <c r="L903" s="1607">
        <v>7</v>
      </c>
    </row>
    <row r="904" spans="1:12" hidden="1">
      <c r="A904" s="1605">
        <v>43032</v>
      </c>
      <c r="B904" s="1606" t="s">
        <v>2012</v>
      </c>
      <c r="C904" s="1607">
        <v>728</v>
      </c>
      <c r="D904" s="1605">
        <v>43760</v>
      </c>
      <c r="E904" s="1608">
        <v>5</v>
      </c>
      <c r="F904" s="1609">
        <v>13.1518</v>
      </c>
      <c r="G904" s="1609">
        <v>5</v>
      </c>
      <c r="H904" s="1609"/>
      <c r="I904" s="1609">
        <v>9.9</v>
      </c>
      <c r="J904" s="1609">
        <v>9.0785</v>
      </c>
      <c r="K904" s="1610"/>
      <c r="L904" s="1607">
        <v>6</v>
      </c>
    </row>
    <row r="905" spans="1:12" hidden="1">
      <c r="A905" s="1605">
        <v>43039</v>
      </c>
      <c r="B905" s="1606" t="s">
        <v>2013</v>
      </c>
      <c r="C905" s="1607">
        <v>1092</v>
      </c>
      <c r="D905" s="1605">
        <v>44131</v>
      </c>
      <c r="E905" s="1608">
        <v>20</v>
      </c>
      <c r="F905" s="1609">
        <v>59.038800000000002</v>
      </c>
      <c r="G905" s="1609">
        <v>20</v>
      </c>
      <c r="H905" s="1609"/>
      <c r="I905" s="1609">
        <v>12.9</v>
      </c>
      <c r="J905" s="1609">
        <v>10.177999999999999</v>
      </c>
      <c r="K905" s="1610"/>
      <c r="L905" s="1607">
        <v>9</v>
      </c>
    </row>
    <row r="906" spans="1:12" hidden="1">
      <c r="A906" s="1605">
        <v>43046</v>
      </c>
      <c r="B906" s="1606" t="s">
        <v>2020</v>
      </c>
      <c r="C906" s="1607">
        <v>364</v>
      </c>
      <c r="D906" s="1605">
        <v>43410</v>
      </c>
      <c r="E906" s="1608">
        <v>45</v>
      </c>
      <c r="F906" s="1609">
        <v>150.1054</v>
      </c>
      <c r="G906" s="1609">
        <v>45</v>
      </c>
      <c r="H906" s="1609"/>
      <c r="I906" s="1609">
        <v>10.0001</v>
      </c>
      <c r="J906" s="1609">
        <v>8.9701000000000004</v>
      </c>
      <c r="K906" s="1610"/>
      <c r="L906" s="1607">
        <v>15</v>
      </c>
    </row>
    <row r="907" spans="1:12" hidden="1">
      <c r="A907" s="1605">
        <v>43053</v>
      </c>
      <c r="B907" s="1606" t="s">
        <v>2021</v>
      </c>
      <c r="C907" s="1607">
        <v>1092</v>
      </c>
      <c r="D907" s="1605">
        <v>44145</v>
      </c>
      <c r="E907" s="1608">
        <v>10</v>
      </c>
      <c r="F907" s="1609">
        <v>20.213000000000001</v>
      </c>
      <c r="G907" s="1609">
        <v>10</v>
      </c>
      <c r="H907" s="1609"/>
      <c r="I907" s="1609">
        <v>12.5999</v>
      </c>
      <c r="J907" s="1609">
        <v>11.2349</v>
      </c>
      <c r="K907" s="1610"/>
      <c r="L907" s="1607">
        <v>5</v>
      </c>
    </row>
    <row r="908" spans="1:12" hidden="1">
      <c r="A908" s="1605">
        <v>43060</v>
      </c>
      <c r="B908" s="1606" t="s">
        <v>2022</v>
      </c>
      <c r="C908" s="1607">
        <v>728</v>
      </c>
      <c r="D908" s="1605">
        <v>43788</v>
      </c>
      <c r="E908" s="1608">
        <v>30</v>
      </c>
      <c r="F908" s="1609">
        <v>547.87620000000004</v>
      </c>
      <c r="G908" s="1609">
        <v>30</v>
      </c>
      <c r="H908" s="1609"/>
      <c r="I908" s="1609">
        <v>12</v>
      </c>
      <c r="J908" s="1609">
        <v>11.632099999999999</v>
      </c>
      <c r="K908" s="1610"/>
      <c r="L908" s="1607">
        <v>9</v>
      </c>
    </row>
    <row r="909" spans="1:12" hidden="1">
      <c r="A909" s="1605">
        <v>43067</v>
      </c>
      <c r="B909" s="1606" t="s">
        <v>2023</v>
      </c>
      <c r="C909" s="1607">
        <v>182</v>
      </c>
      <c r="D909" s="1605">
        <v>43249</v>
      </c>
      <c r="E909" s="1608">
        <v>30</v>
      </c>
      <c r="F909" s="1609">
        <v>88.262900000000002</v>
      </c>
      <c r="G909" s="1609">
        <v>30</v>
      </c>
      <c r="H909" s="1609"/>
      <c r="I909" s="1609">
        <v>8.5</v>
      </c>
      <c r="J909" s="1609">
        <v>4.0277000000000003</v>
      </c>
      <c r="K909" s="1610"/>
      <c r="L909" s="1607">
        <v>12</v>
      </c>
    </row>
    <row r="910" spans="1:12" hidden="1">
      <c r="A910" s="1605">
        <v>43074</v>
      </c>
      <c r="B910" s="1606" t="s">
        <v>2030</v>
      </c>
      <c r="C910" s="1607">
        <v>1092</v>
      </c>
      <c r="D910" s="1605">
        <v>44166</v>
      </c>
      <c r="E910" s="1608">
        <v>20</v>
      </c>
      <c r="F910" s="1609">
        <v>55.351399999999998</v>
      </c>
      <c r="G910" s="1609">
        <v>20</v>
      </c>
      <c r="H910" s="1609"/>
      <c r="I910" s="1609">
        <v>12</v>
      </c>
      <c r="J910" s="1609">
        <v>11.627700000000001</v>
      </c>
      <c r="K910" s="1610"/>
      <c r="L910" s="1607">
        <v>7</v>
      </c>
    </row>
    <row r="911" spans="1:12" hidden="1">
      <c r="A911" s="1605">
        <v>43081</v>
      </c>
      <c r="B911" s="1606" t="s">
        <v>2031</v>
      </c>
      <c r="C911" s="1607">
        <v>728</v>
      </c>
      <c r="D911" s="1605">
        <v>43809</v>
      </c>
      <c r="E911" s="1608">
        <v>20</v>
      </c>
      <c r="F911" s="1609">
        <v>31.263200000000001</v>
      </c>
      <c r="G911" s="1609">
        <v>20</v>
      </c>
      <c r="H911" s="1609"/>
      <c r="I911" s="1609">
        <v>15</v>
      </c>
      <c r="J911" s="1609">
        <v>13.482800000000001</v>
      </c>
      <c r="K911" s="1610"/>
      <c r="L911" s="1607">
        <v>11</v>
      </c>
    </row>
    <row r="912" spans="1:12" hidden="1">
      <c r="A912" s="1605">
        <v>43088</v>
      </c>
      <c r="B912" s="1606" t="s">
        <v>2032</v>
      </c>
      <c r="C912" s="1607">
        <v>182</v>
      </c>
      <c r="D912" s="1605">
        <v>43270</v>
      </c>
      <c r="E912" s="1608">
        <v>30</v>
      </c>
      <c r="F912" s="1609">
        <v>78.065600000000003</v>
      </c>
      <c r="G912" s="1609">
        <v>30</v>
      </c>
      <c r="H912" s="1609"/>
      <c r="I912" s="1609">
        <v>14.000000000000002</v>
      </c>
      <c r="J912" s="1609">
        <v>12.0861</v>
      </c>
      <c r="K912" s="1610"/>
      <c r="L912" s="1607">
        <v>11</v>
      </c>
    </row>
    <row r="913" spans="1:13" hidden="1">
      <c r="A913" s="1605">
        <v>43095</v>
      </c>
      <c r="B913" s="1606" t="s">
        <v>2033</v>
      </c>
      <c r="C913" s="1607">
        <v>364</v>
      </c>
      <c r="D913" s="1605">
        <v>43459</v>
      </c>
      <c r="E913" s="1608">
        <v>70</v>
      </c>
      <c r="F913" s="1609">
        <v>224.03389999999999</v>
      </c>
      <c r="G913" s="1609">
        <v>70</v>
      </c>
      <c r="H913" s="1609"/>
      <c r="I913" s="1609">
        <v>15</v>
      </c>
      <c r="J913" s="1609">
        <v>14.330000000000002</v>
      </c>
      <c r="K913" s="1610"/>
      <c r="L913" s="1607">
        <v>25</v>
      </c>
    </row>
    <row r="914" spans="1:13">
      <c r="A914" s="897">
        <v>2018</v>
      </c>
      <c r="B914" s="1606"/>
      <c r="C914" s="1607"/>
      <c r="D914" s="1605"/>
      <c r="E914" s="1608"/>
      <c r="F914" s="1609"/>
      <c r="G914" s="1609"/>
      <c r="H914" s="1609"/>
      <c r="I914" s="1609"/>
      <c r="J914" s="1609"/>
      <c r="K914" s="1610"/>
      <c r="L914" s="1607"/>
    </row>
    <row r="915" spans="1:13">
      <c r="A915" s="1605">
        <v>43123</v>
      </c>
      <c r="B915" s="1606" t="s">
        <v>2039</v>
      </c>
      <c r="C915" s="1607">
        <v>364</v>
      </c>
      <c r="D915" s="1605">
        <v>43487</v>
      </c>
      <c r="E915" s="1608">
        <v>35</v>
      </c>
      <c r="F915" s="1609">
        <v>95.291899999999998</v>
      </c>
      <c r="G915" s="1609">
        <v>35</v>
      </c>
      <c r="H915" s="1609"/>
      <c r="I915" s="1609">
        <v>13.99</v>
      </c>
      <c r="J915" s="1609">
        <v>13.7738</v>
      </c>
      <c r="K915" s="1610"/>
      <c r="L915" s="1607">
        <v>18</v>
      </c>
      <c r="M915" s="345"/>
    </row>
    <row r="916" spans="1:13">
      <c r="A916" s="1605">
        <v>43130</v>
      </c>
      <c r="B916" s="1606" t="s">
        <v>2040</v>
      </c>
      <c r="C916" s="1607">
        <v>1092</v>
      </c>
      <c r="D916" s="1605">
        <v>44222</v>
      </c>
      <c r="E916" s="1608">
        <v>15</v>
      </c>
      <c r="F916" s="1609">
        <v>44.811500000000002</v>
      </c>
      <c r="G916" s="1609">
        <v>15</v>
      </c>
      <c r="H916" s="1609"/>
      <c r="I916" s="1609">
        <v>14.899999999999999</v>
      </c>
      <c r="J916" s="1609">
        <v>13.240599999999999</v>
      </c>
      <c r="K916" s="1610"/>
      <c r="L916" s="1607">
        <v>9</v>
      </c>
      <c r="M916" s="345"/>
    </row>
    <row r="917" spans="1:13">
      <c r="A917" s="1605">
        <v>43144</v>
      </c>
      <c r="B917" s="1606" t="s">
        <v>2051</v>
      </c>
      <c r="C917" s="1607">
        <v>728</v>
      </c>
      <c r="D917" s="1605">
        <v>43872</v>
      </c>
      <c r="E917" s="1608">
        <v>30</v>
      </c>
      <c r="F917" s="1609">
        <v>128.2388</v>
      </c>
      <c r="G917" s="1609">
        <v>30</v>
      </c>
      <c r="H917" s="1609"/>
      <c r="I917" s="1609">
        <v>10</v>
      </c>
      <c r="J917" s="1609">
        <v>9.9911999999999992</v>
      </c>
      <c r="K917" s="1610"/>
      <c r="L917" s="1607">
        <v>15</v>
      </c>
      <c r="M917" s="345"/>
    </row>
    <row r="918" spans="1:13">
      <c r="A918" s="1605">
        <v>43151</v>
      </c>
      <c r="B918" s="1606" t="s">
        <v>2052</v>
      </c>
      <c r="C918" s="1607">
        <v>364</v>
      </c>
      <c r="D918" s="1605">
        <v>43515</v>
      </c>
      <c r="E918" s="1608">
        <v>35</v>
      </c>
      <c r="F918" s="1609">
        <v>165.18989999999999</v>
      </c>
      <c r="G918" s="1609">
        <v>35</v>
      </c>
      <c r="H918" s="1609"/>
      <c r="I918" s="1609">
        <v>8.0000999999999998</v>
      </c>
      <c r="J918" s="1609">
        <v>7.9204999999999997</v>
      </c>
      <c r="K918" s="1610"/>
      <c r="L918" s="1607">
        <v>23</v>
      </c>
      <c r="M918" s="345"/>
    </row>
    <row r="919" spans="1:13">
      <c r="A919" s="1605">
        <v>43158</v>
      </c>
      <c r="B919" s="1606" t="s">
        <v>2053</v>
      </c>
      <c r="C919" s="1607">
        <v>1092</v>
      </c>
      <c r="D919" s="1605">
        <v>44250</v>
      </c>
      <c r="E919" s="1608">
        <v>15</v>
      </c>
      <c r="F919" s="1609">
        <v>53.264699999999998</v>
      </c>
      <c r="G919" s="1609">
        <v>35</v>
      </c>
      <c r="H919" s="1609"/>
      <c r="I919" s="1609">
        <v>9.8000000000000007</v>
      </c>
      <c r="J919" s="1609">
        <v>8.9877000000000002</v>
      </c>
      <c r="K919" s="1610"/>
      <c r="L919" s="1607">
        <v>10</v>
      </c>
      <c r="M919" s="345"/>
    </row>
    <row r="920" spans="1:13">
      <c r="A920" s="1605">
        <v>43172</v>
      </c>
      <c r="B920" s="1606" t="s">
        <v>2058</v>
      </c>
      <c r="C920" s="1607">
        <v>728</v>
      </c>
      <c r="D920" s="1605">
        <v>43900</v>
      </c>
      <c r="E920" s="1608">
        <v>30</v>
      </c>
      <c r="F920" s="1609">
        <v>106.5759</v>
      </c>
      <c r="G920" s="1609">
        <v>30</v>
      </c>
      <c r="H920" s="1609"/>
      <c r="I920" s="1609">
        <v>8</v>
      </c>
      <c r="J920" s="1609">
        <v>7.9912000000000001</v>
      </c>
      <c r="K920" s="1610"/>
      <c r="L920" s="1607">
        <v>13</v>
      </c>
      <c r="M920" s="345"/>
    </row>
    <row r="921" spans="1:13">
      <c r="A921" s="1605">
        <v>43186</v>
      </c>
      <c r="B921" s="1606" t="s">
        <v>2059</v>
      </c>
      <c r="C921" s="1607">
        <v>1092</v>
      </c>
      <c r="D921" s="1605">
        <v>44278</v>
      </c>
      <c r="E921" s="1608">
        <v>15</v>
      </c>
      <c r="F921" s="1609">
        <v>50.034300000000002</v>
      </c>
      <c r="G921" s="1609">
        <v>15</v>
      </c>
      <c r="H921" s="1609"/>
      <c r="I921" s="1609">
        <v>10.292199999999999</v>
      </c>
      <c r="J921" s="1609">
        <v>9.6989000000000001</v>
      </c>
      <c r="K921" s="1610"/>
      <c r="L921" s="1607">
        <v>10</v>
      </c>
      <c r="M921" s="345"/>
    </row>
    <row r="922" spans="1:13">
      <c r="A922" s="1605">
        <v>43200</v>
      </c>
      <c r="B922" s="1606" t="s">
        <v>2063</v>
      </c>
      <c r="C922" s="1607">
        <v>728</v>
      </c>
      <c r="D922" s="1605">
        <v>43928</v>
      </c>
      <c r="E922" s="1608">
        <v>30</v>
      </c>
      <c r="F922" s="1609">
        <v>107.74333333600001</v>
      </c>
      <c r="G922" s="1609">
        <v>30</v>
      </c>
      <c r="H922" s="1609"/>
      <c r="I922" s="1609">
        <v>8</v>
      </c>
      <c r="J922" s="1609">
        <v>7.9984000000000002</v>
      </c>
      <c r="K922" s="1610"/>
      <c r="L922" s="1607">
        <v>10</v>
      </c>
      <c r="M922" s="345"/>
    </row>
    <row r="923" spans="1:13">
      <c r="A923" s="1605">
        <v>43207</v>
      </c>
      <c r="B923" s="1606" t="s">
        <v>2064</v>
      </c>
      <c r="C923" s="1607">
        <v>364</v>
      </c>
      <c r="D923" s="1605">
        <v>43571</v>
      </c>
      <c r="E923" s="1608">
        <v>35</v>
      </c>
      <c r="F923" s="1609">
        <v>137.44229999999999</v>
      </c>
      <c r="G923" s="1609">
        <v>35</v>
      </c>
      <c r="H923" s="1609"/>
      <c r="I923" s="1609">
        <v>8.9</v>
      </c>
      <c r="J923" s="1609">
        <v>8.0540000000000003</v>
      </c>
      <c r="K923" s="1610"/>
      <c r="L923" s="1607">
        <v>12</v>
      </c>
      <c r="M923" s="345"/>
    </row>
    <row r="924" spans="1:13">
      <c r="A924" s="1605">
        <v>43214</v>
      </c>
      <c r="B924" s="1606" t="s">
        <v>2065</v>
      </c>
      <c r="C924" s="1607">
        <v>1092</v>
      </c>
      <c r="D924" s="1605">
        <v>44306</v>
      </c>
      <c r="E924" s="1608">
        <v>15</v>
      </c>
      <c r="F924" s="1609">
        <v>56.747</v>
      </c>
      <c r="G924" s="1609">
        <v>15</v>
      </c>
      <c r="H924" s="1609"/>
      <c r="I924" s="1609">
        <v>10.5</v>
      </c>
      <c r="J924" s="1609">
        <v>9.8625000000000007</v>
      </c>
      <c r="K924" s="1610"/>
      <c r="L924" s="1607">
        <v>6</v>
      </c>
      <c r="M924" s="345"/>
    </row>
    <row r="925" spans="1:13">
      <c r="A925" s="1605">
        <v>43235</v>
      </c>
      <c r="B925" s="1606" t="s">
        <v>2065</v>
      </c>
      <c r="C925" s="1607">
        <v>728</v>
      </c>
      <c r="D925" s="1605">
        <v>43963</v>
      </c>
      <c r="E925" s="1608">
        <v>30</v>
      </c>
      <c r="F925" s="1609">
        <v>76.006399999999999</v>
      </c>
      <c r="G925" s="1609">
        <v>30</v>
      </c>
      <c r="H925" s="1609"/>
      <c r="I925" s="1609">
        <v>9.25</v>
      </c>
      <c r="J925" s="1609">
        <v>8.6208000000000009</v>
      </c>
      <c r="K925" s="1610"/>
      <c r="L925" s="1607">
        <v>8</v>
      </c>
      <c r="M925" s="345"/>
    </row>
    <row r="926" spans="1:13">
      <c r="A926" s="1605">
        <v>43242</v>
      </c>
      <c r="B926" s="1606" t="s">
        <v>2071</v>
      </c>
      <c r="C926" s="1607">
        <v>364</v>
      </c>
      <c r="D926" s="1605">
        <v>43606</v>
      </c>
      <c r="E926" s="1608">
        <v>35</v>
      </c>
      <c r="F926" s="1609">
        <v>163.9932</v>
      </c>
      <c r="G926" s="1609">
        <v>35</v>
      </c>
      <c r="H926" s="1609"/>
      <c r="I926" s="1609">
        <v>8.6</v>
      </c>
      <c r="J926" s="1609">
        <v>8.1805000000000003</v>
      </c>
      <c r="K926" s="1610"/>
      <c r="L926" s="1607">
        <v>14</v>
      </c>
      <c r="M926" s="345"/>
    </row>
    <row r="927" spans="1:13">
      <c r="A927" s="1605">
        <v>43249</v>
      </c>
      <c r="B927" s="1606" t="s">
        <v>2072</v>
      </c>
      <c r="C927" s="1607">
        <v>1092</v>
      </c>
      <c r="D927" s="1605">
        <v>44341</v>
      </c>
      <c r="E927" s="1608">
        <v>15</v>
      </c>
      <c r="F927" s="1609">
        <v>41.955800000000004</v>
      </c>
      <c r="G927" s="1609">
        <v>15</v>
      </c>
      <c r="H927" s="1609"/>
      <c r="I927" s="1609">
        <v>9.8000000000000007</v>
      </c>
      <c r="J927" s="1609">
        <v>9.6710000000000012</v>
      </c>
      <c r="K927" s="1610"/>
      <c r="L927" s="1607">
        <v>8</v>
      </c>
      <c r="M927" s="345"/>
    </row>
    <row r="928" spans="1:13">
      <c r="A928" s="1605">
        <v>43256</v>
      </c>
      <c r="B928" s="1606" t="s">
        <v>2080</v>
      </c>
      <c r="C928" s="1607">
        <v>364</v>
      </c>
      <c r="D928" s="1605">
        <v>43620</v>
      </c>
      <c r="E928" s="1608">
        <v>35</v>
      </c>
      <c r="F928" s="1609">
        <v>116.8086</v>
      </c>
      <c r="G928" s="1609">
        <v>35</v>
      </c>
      <c r="H928" s="1609"/>
      <c r="I928" s="1609">
        <v>8.2999000000000009</v>
      </c>
      <c r="J928" s="1609">
        <v>8.1914999999999996</v>
      </c>
      <c r="K928" s="1610"/>
      <c r="L928" s="1607">
        <v>14</v>
      </c>
      <c r="M928" s="345"/>
    </row>
    <row r="929" spans="1:13">
      <c r="A929" s="1605">
        <v>43263</v>
      </c>
      <c r="B929" s="1606" t="s">
        <v>2081</v>
      </c>
      <c r="C929" s="1607">
        <v>728</v>
      </c>
      <c r="D929" s="1605">
        <v>43991</v>
      </c>
      <c r="E929" s="1608">
        <v>30</v>
      </c>
      <c r="F929" s="1609">
        <v>104.482</v>
      </c>
      <c r="G929" s="1609">
        <v>30</v>
      </c>
      <c r="H929" s="1609"/>
      <c r="I929" s="1609">
        <v>8.5</v>
      </c>
      <c r="J929" s="1609">
        <v>8.4034999999999993</v>
      </c>
      <c r="K929" s="1610"/>
      <c r="L929" s="1607">
        <v>13</v>
      </c>
      <c r="M929" s="345"/>
    </row>
    <row r="930" spans="1:13">
      <c r="A930" s="1605">
        <v>43291</v>
      </c>
      <c r="B930" s="1606" t="s">
        <v>2087</v>
      </c>
      <c r="C930" s="1607">
        <v>728</v>
      </c>
      <c r="D930" s="1605">
        <v>44019</v>
      </c>
      <c r="E930" s="1608">
        <v>35</v>
      </c>
      <c r="F930" s="1609">
        <v>76.257099999999994</v>
      </c>
      <c r="G930" s="1609">
        <v>35</v>
      </c>
      <c r="H930" s="1609"/>
      <c r="I930" s="1609">
        <v>8.93</v>
      </c>
      <c r="J930" s="1609">
        <v>8.3224999999999998</v>
      </c>
      <c r="K930" s="1610"/>
      <c r="L930" s="1607">
        <v>10</v>
      </c>
      <c r="M930" s="345"/>
    </row>
    <row r="931" spans="1:13">
      <c r="A931" s="1605">
        <v>43298</v>
      </c>
      <c r="B931" s="1606" t="s">
        <v>2088</v>
      </c>
      <c r="C931" s="1607">
        <v>364</v>
      </c>
      <c r="D931" s="1605">
        <v>43662</v>
      </c>
      <c r="E931" s="1608">
        <v>35</v>
      </c>
      <c r="F931" s="1609">
        <v>92.630099999999999</v>
      </c>
      <c r="G931" s="1609">
        <v>35</v>
      </c>
      <c r="H931" s="1609"/>
      <c r="I931" s="1609">
        <v>8.0000999999999998</v>
      </c>
      <c r="J931" s="1609">
        <v>7.9596</v>
      </c>
      <c r="K931" s="1610"/>
      <c r="L931" s="1607">
        <v>16</v>
      </c>
      <c r="M931" s="345"/>
    </row>
    <row r="932" spans="1:13">
      <c r="A932" s="1605">
        <v>43305</v>
      </c>
      <c r="B932" s="1606" t="s">
        <v>2089</v>
      </c>
      <c r="C932" s="1607">
        <v>1092</v>
      </c>
      <c r="D932" s="1605">
        <v>44397</v>
      </c>
      <c r="E932" s="1608">
        <v>15</v>
      </c>
      <c r="F932" s="1609">
        <v>18.193000000000001</v>
      </c>
      <c r="G932" s="1609">
        <v>15</v>
      </c>
      <c r="H932" s="1609"/>
      <c r="I932" s="1609">
        <v>10.8</v>
      </c>
      <c r="J932" s="1609">
        <v>9.9315999999999995</v>
      </c>
      <c r="K932" s="1610"/>
      <c r="L932" s="1607">
        <v>7</v>
      </c>
      <c r="M932" s="345"/>
    </row>
    <row r="933" spans="1:13">
      <c r="A933" s="1605">
        <v>43326</v>
      </c>
      <c r="B933" s="1606" t="s">
        <v>2094</v>
      </c>
      <c r="C933" s="1607">
        <v>728</v>
      </c>
      <c r="D933" s="1605">
        <v>44054</v>
      </c>
      <c r="E933" s="1608">
        <v>30</v>
      </c>
      <c r="F933" s="1609">
        <v>46.451500000000003</v>
      </c>
      <c r="G933" s="1609">
        <v>30</v>
      </c>
      <c r="H933" s="1609"/>
      <c r="I933" s="1609">
        <v>11</v>
      </c>
      <c r="J933" s="1609">
        <v>10.5867</v>
      </c>
      <c r="K933" s="1610"/>
      <c r="L933" s="1607">
        <v>11</v>
      </c>
      <c r="M933" s="345"/>
    </row>
    <row r="934" spans="1:13">
      <c r="A934" s="1605">
        <v>43333</v>
      </c>
      <c r="B934" s="1606" t="s">
        <v>2095</v>
      </c>
      <c r="C934" s="1607">
        <v>364</v>
      </c>
      <c r="D934" s="1605">
        <v>43697</v>
      </c>
      <c r="E934" s="1608">
        <v>35</v>
      </c>
      <c r="F934" s="1609">
        <v>0</v>
      </c>
      <c r="G934" s="1609">
        <v>0</v>
      </c>
      <c r="H934" s="1609"/>
      <c r="I934" s="1609">
        <v>13.072000000000001</v>
      </c>
      <c r="J934" s="1609">
        <v>0</v>
      </c>
      <c r="K934" s="1610"/>
      <c r="L934" s="1607">
        <v>13</v>
      </c>
      <c r="M934" s="345"/>
    </row>
    <row r="935" spans="1:13">
      <c r="A935" s="1605">
        <v>43340</v>
      </c>
      <c r="B935" s="1606" t="s">
        <v>2096</v>
      </c>
      <c r="C935" s="1607">
        <v>1092</v>
      </c>
      <c r="D935" s="1605">
        <v>44432</v>
      </c>
      <c r="E935" s="1608">
        <v>15</v>
      </c>
      <c r="F935" s="1609">
        <v>0</v>
      </c>
      <c r="G935" s="1609">
        <v>0</v>
      </c>
      <c r="H935" s="1609"/>
      <c r="I935" s="1609">
        <v>14.46</v>
      </c>
      <c r="J935" s="1609">
        <v>0</v>
      </c>
      <c r="K935" s="1610"/>
      <c r="L935" s="1607">
        <v>6</v>
      </c>
      <c r="M935" s="345"/>
    </row>
    <row r="936" spans="1:13">
      <c r="A936" s="1605">
        <v>43354</v>
      </c>
      <c r="B936" s="1606" t="s">
        <v>2102</v>
      </c>
      <c r="C936" s="1607">
        <v>182</v>
      </c>
      <c r="D936" s="1605">
        <v>43536</v>
      </c>
      <c r="E936" s="1608">
        <v>10</v>
      </c>
      <c r="F936" s="1609">
        <v>46.160200000000003</v>
      </c>
      <c r="G936" s="1609">
        <v>10</v>
      </c>
      <c r="H936" s="1609"/>
      <c r="I936" s="1609">
        <v>7.4985999999999997</v>
      </c>
      <c r="J936" s="1609">
        <v>7.3935000000000004</v>
      </c>
      <c r="K936" s="1610"/>
      <c r="L936" s="1607">
        <v>15</v>
      </c>
      <c r="M936" s="345"/>
    </row>
    <row r="937" spans="1:13">
      <c r="A937" s="1605">
        <v>43361</v>
      </c>
      <c r="B937" s="1606" t="s">
        <v>2103</v>
      </c>
      <c r="C937" s="1607">
        <v>182</v>
      </c>
      <c r="D937" s="1605">
        <v>43543</v>
      </c>
      <c r="E937" s="1608">
        <v>10</v>
      </c>
      <c r="F937" s="1609">
        <v>51.428899999999999</v>
      </c>
      <c r="G937" s="1609">
        <v>10</v>
      </c>
      <c r="H937" s="1609"/>
      <c r="I937" s="1609">
        <v>7.3800000000000008</v>
      </c>
      <c r="J937" s="1609">
        <v>7.3616000000000001</v>
      </c>
      <c r="K937" s="1610"/>
      <c r="L937" s="1607">
        <v>15</v>
      </c>
      <c r="M937" s="345"/>
    </row>
    <row r="938" spans="1:13">
      <c r="A938" s="1605">
        <v>43368</v>
      </c>
      <c r="B938" s="1606" t="s">
        <v>2104</v>
      </c>
      <c r="C938" s="1607">
        <v>364</v>
      </c>
      <c r="D938" s="1605">
        <v>43732</v>
      </c>
      <c r="E938" s="1608">
        <v>15</v>
      </c>
      <c r="F938" s="1609">
        <v>44.435699999999997</v>
      </c>
      <c r="G938" s="1609">
        <v>15</v>
      </c>
      <c r="H938" s="1609"/>
      <c r="I938" s="1609">
        <v>7.9699000000000009</v>
      </c>
      <c r="J938" s="1609">
        <v>6.9696999999999996</v>
      </c>
      <c r="K938" s="1610"/>
      <c r="L938" s="1607">
        <v>12</v>
      </c>
      <c r="M938" s="345"/>
    </row>
    <row r="939" spans="1:13">
      <c r="A939" s="1605">
        <v>43382</v>
      </c>
      <c r="B939" s="1606" t="s">
        <v>2108</v>
      </c>
      <c r="C939" s="1607">
        <v>728</v>
      </c>
      <c r="D939" s="1605">
        <v>44110</v>
      </c>
      <c r="E939" s="1608">
        <v>30</v>
      </c>
      <c r="F939" s="1609">
        <v>43.802500000000002</v>
      </c>
      <c r="G939" s="1609">
        <v>30</v>
      </c>
      <c r="H939" s="1609"/>
      <c r="I939" s="1609">
        <v>7.9</v>
      </c>
      <c r="J939" s="1609">
        <v>7.0177000000000005</v>
      </c>
      <c r="K939" s="1610"/>
      <c r="L939" s="1607">
        <v>6</v>
      </c>
      <c r="M939" s="345"/>
    </row>
    <row r="940" spans="1:13">
      <c r="A940" s="1605">
        <v>43389</v>
      </c>
      <c r="B940" s="1606" t="s">
        <v>2109</v>
      </c>
      <c r="C940" s="1607">
        <v>364</v>
      </c>
      <c r="D940" s="1605">
        <v>43753</v>
      </c>
      <c r="E940" s="1608">
        <v>40</v>
      </c>
      <c r="F940" s="1609">
        <v>82.433800000000005</v>
      </c>
      <c r="G940" s="1609">
        <v>40</v>
      </c>
      <c r="H940" s="1609"/>
      <c r="I940" s="1609">
        <v>7.6998999999999995</v>
      </c>
      <c r="J940" s="1609">
        <v>7.1505999999999998</v>
      </c>
      <c r="K940" s="1610"/>
      <c r="L940" s="1607">
        <v>15</v>
      </c>
      <c r="M940" s="345"/>
    </row>
    <row r="941" spans="1:13">
      <c r="A941" s="1605">
        <v>43396</v>
      </c>
      <c r="B941" s="1606" t="s">
        <v>2110</v>
      </c>
      <c r="C941" s="1607">
        <v>1092</v>
      </c>
      <c r="D941" s="1605">
        <v>44488</v>
      </c>
      <c r="E941" s="1608">
        <v>30</v>
      </c>
      <c r="F941" s="1609">
        <v>43.9619</v>
      </c>
      <c r="G941" s="1609">
        <v>30</v>
      </c>
      <c r="H941" s="1609"/>
      <c r="I941" s="1609">
        <v>8.98</v>
      </c>
      <c r="J941" s="1609">
        <v>8.98</v>
      </c>
      <c r="K941" s="1610"/>
      <c r="L941" s="1607">
        <v>5</v>
      </c>
      <c r="M941" s="345"/>
    </row>
    <row r="942" spans="1:13">
      <c r="A942" s="1605">
        <v>43417</v>
      </c>
      <c r="B942" s="1606" t="s">
        <v>2116</v>
      </c>
      <c r="C942" s="1607">
        <v>728</v>
      </c>
      <c r="D942" s="1605">
        <v>44145</v>
      </c>
      <c r="E942" s="1608">
        <v>30</v>
      </c>
      <c r="F942" s="1609">
        <v>28.344200000000001</v>
      </c>
      <c r="G942" s="1609">
        <v>21.0716</v>
      </c>
      <c r="H942" s="1609"/>
      <c r="I942" s="1609">
        <v>8</v>
      </c>
      <c r="J942" s="1609">
        <v>7.9634999999999998</v>
      </c>
      <c r="K942" s="1610"/>
      <c r="L942" s="1607">
        <v>12</v>
      </c>
      <c r="M942" s="345"/>
    </row>
    <row r="943" spans="1:13">
      <c r="A943" s="1605">
        <v>43424</v>
      </c>
      <c r="B943" s="1606" t="s">
        <v>2117</v>
      </c>
      <c r="C943" s="1607">
        <v>364</v>
      </c>
      <c r="D943" s="1605">
        <v>43788</v>
      </c>
      <c r="E943" s="1608">
        <v>40</v>
      </c>
      <c r="F943" s="1609">
        <v>113.3912</v>
      </c>
      <c r="G943" s="1609">
        <v>40</v>
      </c>
      <c r="H943" s="1609"/>
      <c r="I943" s="1609">
        <v>7.7</v>
      </c>
      <c r="J943" s="1609">
        <v>7.5759999999999996</v>
      </c>
      <c r="K943" s="1610"/>
      <c r="L943" s="1607">
        <v>14</v>
      </c>
      <c r="M943" s="345"/>
    </row>
    <row r="944" spans="1:13">
      <c r="A944" s="1605">
        <v>43431</v>
      </c>
      <c r="B944" s="1606" t="s">
        <v>2118</v>
      </c>
      <c r="C944" s="1607">
        <v>1092</v>
      </c>
      <c r="D944" s="1605">
        <v>44523</v>
      </c>
      <c r="E944" s="1608">
        <v>30</v>
      </c>
      <c r="F944" s="1609">
        <v>31.834800000000001</v>
      </c>
      <c r="G944" s="1609">
        <v>20.18</v>
      </c>
      <c r="H944" s="1609"/>
      <c r="I944" s="1609">
        <v>9</v>
      </c>
      <c r="J944" s="1609">
        <v>8.9893000000000001</v>
      </c>
      <c r="K944" s="1610"/>
      <c r="L944" s="1607">
        <v>7</v>
      </c>
      <c r="M944" s="345"/>
    </row>
    <row r="945" spans="1:13">
      <c r="A945" s="1605">
        <v>43445</v>
      </c>
      <c r="B945" s="1606" t="s">
        <v>2124</v>
      </c>
      <c r="C945" s="1607">
        <v>728</v>
      </c>
      <c r="D945" s="1605">
        <v>44173</v>
      </c>
      <c r="E945" s="1608">
        <v>30</v>
      </c>
      <c r="F945" s="1609">
        <v>18.833300000000001</v>
      </c>
      <c r="G945" s="1609">
        <v>13.881</v>
      </c>
      <c r="H945" s="1609"/>
      <c r="I945" s="1609">
        <v>8</v>
      </c>
      <c r="J945" s="1609">
        <v>7.9214999999999991</v>
      </c>
      <c r="K945" s="1610"/>
      <c r="L945" s="1607">
        <v>5</v>
      </c>
      <c r="M945" s="345"/>
    </row>
    <row r="946" spans="1:13">
      <c r="A946" s="1605">
        <v>43452</v>
      </c>
      <c r="B946" s="1606" t="s">
        <v>2125</v>
      </c>
      <c r="C946" s="1607">
        <v>364</v>
      </c>
      <c r="D946" s="1605">
        <v>43816</v>
      </c>
      <c r="E946" s="1608">
        <v>40</v>
      </c>
      <c r="F946" s="1609">
        <v>116.1947</v>
      </c>
      <c r="G946" s="1609">
        <v>40</v>
      </c>
      <c r="H946" s="1609"/>
      <c r="I946" s="1609">
        <v>7.75</v>
      </c>
      <c r="J946" s="1609">
        <v>7.6772000000000009</v>
      </c>
      <c r="K946" s="1610"/>
      <c r="L946" s="1607">
        <v>9</v>
      </c>
      <c r="M946" s="345"/>
    </row>
    <row r="947" spans="1:13">
      <c r="A947" s="1605">
        <v>43459</v>
      </c>
      <c r="B947" s="1606" t="s">
        <v>2126</v>
      </c>
      <c r="C947" s="1607">
        <v>1092</v>
      </c>
      <c r="D947" s="1605">
        <v>44551</v>
      </c>
      <c r="E947" s="1608">
        <v>30</v>
      </c>
      <c r="F947" s="1609">
        <v>17.9375</v>
      </c>
      <c r="G947" s="1609">
        <v>13.298400000000001</v>
      </c>
      <c r="H947" s="1609"/>
      <c r="I947" s="1609">
        <v>9</v>
      </c>
      <c r="J947" s="1609">
        <v>8.9876000000000005</v>
      </c>
      <c r="K947" s="1610"/>
      <c r="L947" s="1607">
        <v>5</v>
      </c>
      <c r="M947" s="345"/>
    </row>
    <row r="948" spans="1:13">
      <c r="A948" s="897">
        <v>2019</v>
      </c>
      <c r="B948" s="1606"/>
      <c r="C948" s="1607"/>
      <c r="D948" s="1605"/>
      <c r="E948" s="1608"/>
      <c r="F948" s="1609"/>
      <c r="G948" s="1609"/>
      <c r="H948" s="1609"/>
      <c r="I948" s="1609"/>
      <c r="J948" s="1609"/>
      <c r="K948" s="1610"/>
      <c r="L948" s="1607"/>
      <c r="M948" s="345"/>
    </row>
    <row r="949" spans="1:13">
      <c r="A949" s="1605">
        <v>43487</v>
      </c>
      <c r="B949" s="1606" t="s">
        <v>2132</v>
      </c>
      <c r="C949" s="1607">
        <v>364</v>
      </c>
      <c r="D949" s="1605">
        <v>43851</v>
      </c>
      <c r="E949" s="1608">
        <v>25</v>
      </c>
      <c r="F949" s="1609">
        <v>75.164199999999994</v>
      </c>
      <c r="G949" s="1609">
        <v>25</v>
      </c>
      <c r="H949" s="1609"/>
      <c r="I949" s="1609">
        <v>7.7398999999999996</v>
      </c>
      <c r="J949" s="1609">
        <v>7.7114000000000003</v>
      </c>
      <c r="K949" s="1610"/>
      <c r="L949" s="1607">
        <v>13</v>
      </c>
      <c r="M949" s="345"/>
    </row>
    <row r="950" spans="1:13">
      <c r="A950" s="1605">
        <v>43494</v>
      </c>
      <c r="B950" s="1606" t="s">
        <v>2133</v>
      </c>
      <c r="C950" s="1607">
        <v>1092</v>
      </c>
      <c r="D950" s="1605">
        <v>44586</v>
      </c>
      <c r="E950" s="1608">
        <v>15</v>
      </c>
      <c r="F950" s="1609">
        <v>12.5678</v>
      </c>
      <c r="G950" s="1609">
        <v>11.549200000000001</v>
      </c>
      <c r="H950" s="1609"/>
      <c r="I950" s="1609">
        <v>9</v>
      </c>
      <c r="J950" s="1609">
        <v>8.9962</v>
      </c>
      <c r="K950" s="1610"/>
      <c r="L950" s="1607">
        <v>4</v>
      </c>
      <c r="M950" s="345"/>
    </row>
    <row r="951" spans="1:13">
      <c r="A951" s="1605">
        <v>43508</v>
      </c>
      <c r="B951" s="1606" t="s">
        <v>2143</v>
      </c>
      <c r="C951" s="1607">
        <v>728</v>
      </c>
      <c r="D951" s="1605">
        <v>44236</v>
      </c>
      <c r="E951" s="1608">
        <v>20</v>
      </c>
      <c r="F951" s="1609">
        <v>43.610399999999998</v>
      </c>
      <c r="G951" s="1609">
        <v>20</v>
      </c>
      <c r="H951" s="1609"/>
      <c r="I951" s="1609">
        <v>7.99</v>
      </c>
      <c r="J951" s="1609">
        <v>7.9755999999999991</v>
      </c>
      <c r="K951" s="1610"/>
      <c r="L951" s="1607">
        <v>7</v>
      </c>
      <c r="M951" s="345"/>
    </row>
    <row r="952" spans="1:13">
      <c r="A952" s="1605">
        <v>43515</v>
      </c>
      <c r="B952" s="1606" t="s">
        <v>2144</v>
      </c>
      <c r="C952" s="1607">
        <v>364</v>
      </c>
      <c r="D952" s="1605">
        <v>43879</v>
      </c>
      <c r="E952" s="1608">
        <v>25</v>
      </c>
      <c r="F952" s="1609">
        <v>114.6379</v>
      </c>
      <c r="G952" s="1609">
        <v>25</v>
      </c>
      <c r="H952" s="1609"/>
      <c r="I952" s="1609">
        <v>7.2487999999999992</v>
      </c>
      <c r="J952" s="1609">
        <v>7.2176</v>
      </c>
      <c r="K952" s="1610"/>
      <c r="L952" s="1607">
        <v>22</v>
      </c>
      <c r="M952" s="345"/>
    </row>
    <row r="953" spans="1:13">
      <c r="A953" s="1605">
        <v>43522</v>
      </c>
      <c r="B953" s="1606" t="s">
        <v>2145</v>
      </c>
      <c r="C953" s="1607">
        <v>1092</v>
      </c>
      <c r="D953" s="1605">
        <v>44614</v>
      </c>
      <c r="E953" s="1608">
        <v>15</v>
      </c>
      <c r="F953" s="1609">
        <v>25.018799999999999</v>
      </c>
      <c r="G953" s="1609">
        <v>15</v>
      </c>
      <c r="H953" s="1609"/>
      <c r="I953" s="1609">
        <v>9</v>
      </c>
      <c r="J953" s="1609">
        <v>8.9699000000000009</v>
      </c>
      <c r="K953" s="1610"/>
      <c r="L953" s="1607">
        <v>5</v>
      </c>
      <c r="M953" s="345"/>
    </row>
    <row r="954" spans="1:13">
      <c r="A954" s="1605">
        <v>43529</v>
      </c>
      <c r="B954" s="1606" t="s">
        <v>2152</v>
      </c>
      <c r="C954" s="1607">
        <v>728</v>
      </c>
      <c r="D954" s="1605">
        <v>44257</v>
      </c>
      <c r="E954" s="1608">
        <v>20</v>
      </c>
      <c r="F954" s="1609">
        <v>64.481499999999997</v>
      </c>
      <c r="G954" s="1609">
        <v>20</v>
      </c>
      <c r="H954" s="1609"/>
      <c r="I954" s="1609">
        <v>7.5</v>
      </c>
      <c r="J954" s="1609">
        <v>7.5</v>
      </c>
      <c r="K954" s="1610"/>
      <c r="L954" s="1607">
        <v>10</v>
      </c>
      <c r="M954" s="345"/>
    </row>
    <row r="955" spans="1:13">
      <c r="A955" s="1605">
        <v>43536</v>
      </c>
      <c r="B955" s="1606" t="s">
        <v>2153</v>
      </c>
      <c r="C955" s="1607">
        <v>364</v>
      </c>
      <c r="D955" s="1605">
        <v>43900</v>
      </c>
      <c r="E955" s="1608">
        <v>25</v>
      </c>
      <c r="F955" s="1609">
        <v>81.202600000000004</v>
      </c>
      <c r="G955" s="1609">
        <v>25</v>
      </c>
      <c r="H955" s="1609"/>
      <c r="I955" s="1609">
        <v>7.1394000000000002</v>
      </c>
      <c r="J955" s="1609">
        <v>7.0727000000000002</v>
      </c>
      <c r="K955" s="1610"/>
      <c r="L955" s="1607">
        <v>14</v>
      </c>
      <c r="M955" s="345"/>
    </row>
    <row r="956" spans="1:13">
      <c r="A956" s="1605">
        <v>43543</v>
      </c>
      <c r="B956" s="1606" t="s">
        <v>2152</v>
      </c>
      <c r="C956" s="1607">
        <v>1092</v>
      </c>
      <c r="D956" s="1605">
        <v>44635</v>
      </c>
      <c r="E956" s="1608">
        <v>15</v>
      </c>
      <c r="F956" s="1609">
        <v>22.842300000000002</v>
      </c>
      <c r="G956" s="1609">
        <v>15</v>
      </c>
      <c r="H956" s="1609"/>
      <c r="I956" s="1609">
        <v>8.9499999999999993</v>
      </c>
      <c r="J956" s="1609">
        <v>8.9130000000000003</v>
      </c>
      <c r="K956" s="1610"/>
      <c r="L956" s="1607">
        <v>8</v>
      </c>
      <c r="M956" s="345"/>
    </row>
    <row r="957" spans="1:13">
      <c r="A957" s="1605">
        <v>43564</v>
      </c>
      <c r="B957" s="1606" t="s">
        <v>2158</v>
      </c>
      <c r="C957" s="1607">
        <v>728</v>
      </c>
      <c r="D957" s="1605">
        <v>44292</v>
      </c>
      <c r="E957" s="1608">
        <v>20</v>
      </c>
      <c r="F957" s="1609">
        <v>29.066600000000001</v>
      </c>
      <c r="G957" s="1609">
        <v>20</v>
      </c>
      <c r="H957" s="1609"/>
      <c r="I957" s="1609">
        <v>8.09</v>
      </c>
      <c r="J957" s="1609">
        <v>8.0782999999999987</v>
      </c>
      <c r="K957" s="1610"/>
      <c r="L957" s="1607">
        <v>6</v>
      </c>
      <c r="M957" s="345"/>
    </row>
    <row r="958" spans="1:13">
      <c r="A958" s="1605">
        <v>43571</v>
      </c>
      <c r="B958" s="1606" t="s">
        <v>2159</v>
      </c>
      <c r="C958" s="1607">
        <v>364</v>
      </c>
      <c r="D958" s="1605">
        <v>43935</v>
      </c>
      <c r="E958" s="1608">
        <v>25</v>
      </c>
      <c r="F958" s="1609">
        <v>83.441299999999998</v>
      </c>
      <c r="G958" s="1609">
        <v>25</v>
      </c>
      <c r="H958" s="1609"/>
      <c r="I958" s="1609">
        <v>8.18</v>
      </c>
      <c r="J958" s="1609">
        <v>7.5167000000000002</v>
      </c>
      <c r="K958" s="1610"/>
      <c r="L958" s="1607">
        <v>18</v>
      </c>
      <c r="M958" s="345"/>
    </row>
    <row r="959" spans="1:13">
      <c r="A959" s="1605">
        <v>43578</v>
      </c>
      <c r="B959" s="1606" t="s">
        <v>2160</v>
      </c>
      <c r="C959" s="1607">
        <v>1092</v>
      </c>
      <c r="D959" s="1605">
        <v>44670</v>
      </c>
      <c r="E959" s="1608">
        <v>15</v>
      </c>
      <c r="F959" s="1609">
        <v>23.290500000000002</v>
      </c>
      <c r="G959" s="1609">
        <v>15</v>
      </c>
      <c r="H959" s="1609"/>
      <c r="I959" s="1609">
        <v>9.9</v>
      </c>
      <c r="J959" s="1609">
        <v>9.7031000000000009</v>
      </c>
      <c r="K959" s="1610"/>
      <c r="L959" s="1607">
        <v>7</v>
      </c>
      <c r="M959" s="345"/>
    </row>
    <row r="960" spans="1:13">
      <c r="A960" s="1605">
        <v>43592</v>
      </c>
      <c r="B960" s="1606" t="s">
        <v>2166</v>
      </c>
      <c r="C960" s="1607">
        <v>728</v>
      </c>
      <c r="D960" s="1605">
        <v>44320</v>
      </c>
      <c r="E960" s="1608">
        <v>20</v>
      </c>
      <c r="F960" s="1609">
        <v>33.010199999999998</v>
      </c>
      <c r="G960" s="1609">
        <v>20</v>
      </c>
      <c r="H960" s="1609"/>
      <c r="I960" s="1609">
        <v>8.8800000000000008</v>
      </c>
      <c r="J960" s="1609">
        <v>8.7800000000000011</v>
      </c>
      <c r="K960" s="1610"/>
      <c r="L960" s="1607">
        <v>17</v>
      </c>
      <c r="M960" s="345"/>
    </row>
    <row r="961" spans="1:13">
      <c r="A961" s="1605">
        <v>43599</v>
      </c>
      <c r="B961" s="1606" t="s">
        <v>2167</v>
      </c>
      <c r="C961" s="1607">
        <v>364</v>
      </c>
      <c r="D961" s="1605">
        <v>43963</v>
      </c>
      <c r="E961" s="1608">
        <v>25</v>
      </c>
      <c r="F961" s="1609">
        <v>75.228499999999997</v>
      </c>
      <c r="G961" s="1609">
        <v>25</v>
      </c>
      <c r="H961" s="1609"/>
      <c r="I961" s="1609">
        <v>7.3999999999999995</v>
      </c>
      <c r="J961" s="1609">
        <v>7.3365</v>
      </c>
      <c r="K961" s="1610"/>
      <c r="L961" s="1607">
        <v>19</v>
      </c>
      <c r="M961" s="345"/>
    </row>
    <row r="962" spans="1:13">
      <c r="A962" s="1605">
        <v>43606</v>
      </c>
      <c r="B962" s="1606" t="s">
        <v>2168</v>
      </c>
      <c r="C962" s="1607">
        <v>1092</v>
      </c>
      <c r="D962" s="1605">
        <v>44698</v>
      </c>
      <c r="E962" s="1608">
        <v>15</v>
      </c>
      <c r="F962" s="1609">
        <v>15.7529</v>
      </c>
      <c r="G962" s="1609">
        <v>14.202</v>
      </c>
      <c r="H962" s="1609"/>
      <c r="I962" s="1609">
        <v>9.9001000000000001</v>
      </c>
      <c r="J962" s="1609">
        <v>9.6974999999999998</v>
      </c>
      <c r="K962" s="1610"/>
      <c r="L962" s="1607">
        <v>7</v>
      </c>
      <c r="M962" s="345"/>
    </row>
    <row r="963" spans="1:13">
      <c r="A963" s="1605">
        <v>43627</v>
      </c>
      <c r="B963" s="1606" t="s">
        <v>2174</v>
      </c>
      <c r="C963" s="1607">
        <v>728</v>
      </c>
      <c r="D963" s="1605">
        <v>44355</v>
      </c>
      <c r="E963" s="1608">
        <v>20</v>
      </c>
      <c r="F963" s="1609">
        <v>96.083299999999994</v>
      </c>
      <c r="G963" s="1609">
        <v>20</v>
      </c>
      <c r="H963" s="1609"/>
      <c r="I963" s="1609">
        <v>7.3</v>
      </c>
      <c r="J963" s="1609">
        <v>7.1637000000000004</v>
      </c>
      <c r="K963" s="1610"/>
      <c r="L963" s="1607">
        <v>11</v>
      </c>
      <c r="M963" s="345"/>
    </row>
    <row r="964" spans="1:13">
      <c r="A964" s="1605">
        <v>43634</v>
      </c>
      <c r="B964" s="1606" t="s">
        <v>2175</v>
      </c>
      <c r="C964" s="1607">
        <v>364</v>
      </c>
      <c r="D964" s="1605">
        <v>43998</v>
      </c>
      <c r="E964" s="1608">
        <v>25</v>
      </c>
      <c r="F964" s="1609">
        <v>116.9628</v>
      </c>
      <c r="G964" s="1609">
        <v>25</v>
      </c>
      <c r="H964" s="1609"/>
      <c r="I964" s="1609">
        <v>6.6999000000000004</v>
      </c>
      <c r="J964" s="1609">
        <v>6.6326000000000001</v>
      </c>
      <c r="K964" s="1610"/>
      <c r="L964" s="1607">
        <v>21</v>
      </c>
      <c r="M964" s="345"/>
    </row>
    <row r="965" spans="1:13">
      <c r="A965" s="1605">
        <v>43641</v>
      </c>
      <c r="B965" s="1606" t="s">
        <v>2176</v>
      </c>
      <c r="C965" s="1607">
        <v>1092</v>
      </c>
      <c r="D965" s="1605">
        <v>44733</v>
      </c>
      <c r="E965" s="1608">
        <v>15</v>
      </c>
      <c r="F965" s="1609">
        <v>26.034300000000002</v>
      </c>
      <c r="G965" s="1609">
        <v>15</v>
      </c>
      <c r="H965" s="1609"/>
      <c r="I965" s="1609">
        <v>9.49</v>
      </c>
      <c r="J965" s="1609">
        <v>8.9143000000000008</v>
      </c>
      <c r="K965" s="1610"/>
      <c r="L965" s="1607">
        <v>8</v>
      </c>
      <c r="M965" s="345"/>
    </row>
    <row r="966" spans="1:13">
      <c r="A966" s="1605">
        <v>43655</v>
      </c>
      <c r="B966" s="1606" t="s">
        <v>2181</v>
      </c>
      <c r="C966" s="1607">
        <v>1092</v>
      </c>
      <c r="D966" s="1605">
        <v>44747</v>
      </c>
      <c r="E966" s="1608">
        <v>15</v>
      </c>
      <c r="F966" s="1609">
        <v>49.6464</v>
      </c>
      <c r="G966" s="1609">
        <v>15</v>
      </c>
      <c r="H966" s="1609"/>
      <c r="I966" s="1609">
        <v>9.9</v>
      </c>
      <c r="J966" s="1609">
        <v>8.6999999999999993</v>
      </c>
      <c r="K966" s="1610"/>
      <c r="L966" s="1607">
        <v>10</v>
      </c>
      <c r="M966" s="345"/>
    </row>
    <row r="967" spans="1:13">
      <c r="A967" s="1605">
        <v>43662</v>
      </c>
      <c r="B967" s="1606" t="s">
        <v>2182</v>
      </c>
      <c r="C967" s="1607">
        <v>728</v>
      </c>
      <c r="D967" s="1605">
        <v>44390</v>
      </c>
      <c r="E967" s="1608">
        <v>20</v>
      </c>
      <c r="F967" s="1609">
        <v>90.161100000000005</v>
      </c>
      <c r="G967" s="1609">
        <v>20</v>
      </c>
      <c r="H967" s="1609"/>
      <c r="I967" s="1609">
        <v>7.6499999999999995</v>
      </c>
      <c r="J967" s="1609">
        <v>7.5446999999999997</v>
      </c>
      <c r="K967" s="1610"/>
      <c r="L967" s="1607">
        <v>18</v>
      </c>
      <c r="M967" s="345"/>
    </row>
    <row r="968" spans="1:13">
      <c r="A968" s="1605">
        <v>43669</v>
      </c>
      <c r="B968" s="1606" t="s">
        <v>2183</v>
      </c>
      <c r="C968" s="1607">
        <v>364</v>
      </c>
      <c r="D968" s="1605">
        <v>44033</v>
      </c>
      <c r="E968" s="1608">
        <v>25</v>
      </c>
      <c r="F968" s="1609">
        <v>106.80289999999999</v>
      </c>
      <c r="G968" s="1609">
        <v>25</v>
      </c>
      <c r="H968" s="1609"/>
      <c r="I968" s="1609">
        <v>6.1</v>
      </c>
      <c r="J968" s="1609">
        <v>6.0257900000000006</v>
      </c>
      <c r="K968" s="1610"/>
      <c r="L968" s="1607">
        <v>18</v>
      </c>
      <c r="M968" s="345"/>
    </row>
    <row r="969" spans="1:13">
      <c r="A969" s="1605">
        <v>43676</v>
      </c>
      <c r="B969" s="1606" t="s">
        <v>2184</v>
      </c>
      <c r="C969" s="1607">
        <v>728</v>
      </c>
      <c r="D969" s="1605">
        <v>44404</v>
      </c>
      <c r="E969" s="1608">
        <v>25</v>
      </c>
      <c r="F969" s="1609">
        <v>79.118499999999997</v>
      </c>
      <c r="G969" s="1609">
        <v>25</v>
      </c>
      <c r="H969" s="1609"/>
      <c r="I969" s="1609">
        <v>10</v>
      </c>
      <c r="J969" s="1609">
        <v>7.3640999999999996</v>
      </c>
      <c r="K969" s="1610"/>
      <c r="L969" s="1607">
        <v>14</v>
      </c>
      <c r="M969" s="345"/>
    </row>
    <row r="970" spans="1:13">
      <c r="A970" s="1605">
        <v>43683</v>
      </c>
      <c r="B970" s="1606" t="s">
        <v>2190</v>
      </c>
      <c r="C970" s="1607">
        <v>728</v>
      </c>
      <c r="D970" s="1605">
        <v>44411</v>
      </c>
      <c r="E970" s="1608">
        <v>25</v>
      </c>
      <c r="F970" s="1609">
        <v>74.144099999999995</v>
      </c>
      <c r="G970" s="1609">
        <v>25</v>
      </c>
      <c r="H970" s="1609"/>
      <c r="I970" s="1609">
        <v>10</v>
      </c>
      <c r="J970" s="1609">
        <v>7.2754000000000003</v>
      </c>
      <c r="K970" s="1610"/>
      <c r="L970" s="1607">
        <v>14</v>
      </c>
      <c r="M970" s="345"/>
    </row>
    <row r="971" spans="1:13">
      <c r="A971" s="1605">
        <v>43697</v>
      </c>
      <c r="B971" s="1606" t="s">
        <v>2191</v>
      </c>
      <c r="C971" s="1607">
        <v>364</v>
      </c>
      <c r="D971" s="1605">
        <v>44061</v>
      </c>
      <c r="E971" s="1608">
        <v>30</v>
      </c>
      <c r="F971" s="1609">
        <v>94.869399999999999</v>
      </c>
      <c r="G971" s="1609">
        <v>30</v>
      </c>
      <c r="H971" s="1609"/>
      <c r="I971" s="1609">
        <v>6.5</v>
      </c>
      <c r="J971" s="1609">
        <v>6.43</v>
      </c>
      <c r="K971" s="1610"/>
      <c r="L971" s="1607">
        <v>10</v>
      </c>
      <c r="M971" s="345"/>
    </row>
    <row r="972" spans="1:13">
      <c r="A972" s="1605">
        <v>43704</v>
      </c>
      <c r="B972" s="1606" t="s">
        <v>2192</v>
      </c>
      <c r="C972" s="1607">
        <v>1092</v>
      </c>
      <c r="D972" s="1605">
        <v>44796</v>
      </c>
      <c r="E972" s="1608">
        <v>20</v>
      </c>
      <c r="F972" s="1609">
        <v>41.091000000000001</v>
      </c>
      <c r="G972" s="1609">
        <v>20</v>
      </c>
      <c r="H972" s="1609"/>
      <c r="I972" s="1609">
        <v>8.57</v>
      </c>
      <c r="J972" s="1609">
        <v>8.5299999999999994</v>
      </c>
      <c r="K972" s="1610"/>
      <c r="L972" s="1607">
        <v>9</v>
      </c>
      <c r="M972" s="345"/>
    </row>
    <row r="973" spans="1:13">
      <c r="A973" s="1605">
        <v>43718</v>
      </c>
      <c r="B973" s="1606" t="s">
        <v>2198</v>
      </c>
      <c r="C973" s="1607">
        <v>728</v>
      </c>
      <c r="D973" s="1605">
        <v>44446</v>
      </c>
      <c r="E973" s="1608">
        <v>15</v>
      </c>
      <c r="F973" s="1609">
        <v>42.665199999999999</v>
      </c>
      <c r="G973" s="1609">
        <v>15</v>
      </c>
      <c r="H973" s="1609"/>
      <c r="I973" s="1609">
        <v>7.3</v>
      </c>
      <c r="J973" s="1609">
        <v>7.23</v>
      </c>
      <c r="K973" s="1610"/>
      <c r="L973" s="1607">
        <v>12</v>
      </c>
      <c r="M973" s="345"/>
    </row>
    <row r="974" spans="1:13">
      <c r="A974" s="1605">
        <v>43725</v>
      </c>
      <c r="B974" s="1606" t="s">
        <v>2199</v>
      </c>
      <c r="C974" s="1607">
        <v>364</v>
      </c>
      <c r="D974" s="1605">
        <v>44089</v>
      </c>
      <c r="E974" s="1608">
        <v>15</v>
      </c>
      <c r="F974" s="1609">
        <v>43.735599999999998</v>
      </c>
      <c r="G974" s="1609">
        <v>15</v>
      </c>
      <c r="H974" s="1609"/>
      <c r="I974" s="1609">
        <v>6.2599</v>
      </c>
      <c r="J974" s="1609">
        <v>6.2241999999999997</v>
      </c>
      <c r="K974" s="1610"/>
      <c r="L974" s="1607">
        <v>10</v>
      </c>
      <c r="M974" s="345"/>
    </row>
    <row r="975" spans="1:13">
      <c r="A975" s="1605">
        <v>43732</v>
      </c>
      <c r="B975" s="1606" t="s">
        <v>2200</v>
      </c>
      <c r="C975" s="1607">
        <v>1092</v>
      </c>
      <c r="D975" s="1605">
        <v>44824</v>
      </c>
      <c r="E975" s="1608">
        <v>15</v>
      </c>
      <c r="F975" s="1609">
        <v>42.529499999999999</v>
      </c>
      <c r="G975" s="1609">
        <v>15</v>
      </c>
      <c r="H975" s="1609"/>
      <c r="I975" s="1609">
        <v>8.4</v>
      </c>
      <c r="J975" s="1609">
        <v>8.3231000000000002</v>
      </c>
      <c r="K975" s="1610"/>
      <c r="L975" s="1607">
        <v>10</v>
      </c>
      <c r="M975" s="345"/>
    </row>
    <row r="976" spans="1:13">
      <c r="A976" s="1605">
        <v>43746</v>
      </c>
      <c r="B976" s="1606" t="s">
        <v>2351</v>
      </c>
      <c r="C976" s="1607">
        <v>728</v>
      </c>
      <c r="D976" s="1605" t="s">
        <v>2352</v>
      </c>
      <c r="E976" s="1608">
        <v>10</v>
      </c>
      <c r="F976" s="1609">
        <v>39.8339</v>
      </c>
      <c r="G976" s="1609">
        <v>10</v>
      </c>
      <c r="H976" s="1609"/>
      <c r="I976" s="1609">
        <v>7.1999999999999993</v>
      </c>
      <c r="J976" s="1609">
        <v>7.1093000000000002</v>
      </c>
      <c r="K976" s="1610"/>
      <c r="L976" s="1607">
        <v>12</v>
      </c>
      <c r="M976" s="345"/>
    </row>
    <row r="977" spans="1:13">
      <c r="A977" s="1605">
        <v>43753</v>
      </c>
      <c r="B977" s="1606" t="s">
        <v>2353</v>
      </c>
      <c r="C977" s="1607">
        <v>364</v>
      </c>
      <c r="D977" s="1605">
        <v>44117</v>
      </c>
      <c r="E977" s="1608">
        <v>25</v>
      </c>
      <c r="F977" s="1609">
        <v>81.854799999999997</v>
      </c>
      <c r="G977" s="1609">
        <v>25</v>
      </c>
      <c r="H977" s="1609"/>
      <c r="I977" s="1609">
        <v>6.45</v>
      </c>
      <c r="J977" s="1609">
        <v>6.3505000000000003</v>
      </c>
      <c r="K977" s="1610"/>
      <c r="L977" s="1607">
        <v>12</v>
      </c>
      <c r="M977" s="345"/>
    </row>
    <row r="978" spans="1:13">
      <c r="A978" s="1605">
        <v>43760</v>
      </c>
      <c r="B978" s="1606" t="s">
        <v>2354</v>
      </c>
      <c r="C978" s="1607">
        <v>1092</v>
      </c>
      <c r="D978" s="1605">
        <v>44852</v>
      </c>
      <c r="E978" s="1608">
        <v>15</v>
      </c>
      <c r="F978" s="1609">
        <v>41.775199999999998</v>
      </c>
      <c r="G978" s="1609">
        <v>15</v>
      </c>
      <c r="H978" s="1609"/>
      <c r="I978" s="1609">
        <v>8.5</v>
      </c>
      <c r="J978" s="1609">
        <v>8.4249000000000009</v>
      </c>
      <c r="K978" s="1610"/>
      <c r="L978" s="1607">
        <v>8</v>
      </c>
      <c r="M978" s="345"/>
    </row>
    <row r="979" spans="1:13">
      <c r="A979" s="1605">
        <v>43781</v>
      </c>
      <c r="B979" s="1606" t="s">
        <v>2355</v>
      </c>
      <c r="C979" s="1607">
        <v>728</v>
      </c>
      <c r="D979" s="1605">
        <v>44509</v>
      </c>
      <c r="E979" s="1608">
        <v>10</v>
      </c>
      <c r="F979" s="1609">
        <v>35.619100000000003</v>
      </c>
      <c r="G979" s="1609">
        <v>10</v>
      </c>
      <c r="H979" s="1609"/>
      <c r="I979" s="1609">
        <v>7.19</v>
      </c>
      <c r="J979" s="1609">
        <v>7.0969000000000007</v>
      </c>
      <c r="K979" s="1610"/>
      <c r="L979" s="1607">
        <v>10</v>
      </c>
      <c r="M979" s="345"/>
    </row>
    <row r="980" spans="1:13">
      <c r="A980" s="1605">
        <v>43788</v>
      </c>
      <c r="B980" s="1606" t="s">
        <v>2356</v>
      </c>
      <c r="C980" s="1607">
        <v>364</v>
      </c>
      <c r="D980" s="1605">
        <v>44152</v>
      </c>
      <c r="E980" s="1608">
        <v>25</v>
      </c>
      <c r="F980" s="1609">
        <v>125.018</v>
      </c>
      <c r="G980" s="1609">
        <v>25</v>
      </c>
      <c r="H980" s="1609"/>
      <c r="I980" s="1609">
        <v>6.05</v>
      </c>
      <c r="J980" s="1609">
        <v>6.0456000000000003</v>
      </c>
      <c r="K980" s="1610"/>
      <c r="L980" s="1607">
        <v>13</v>
      </c>
      <c r="M980" s="345"/>
    </row>
    <row r="981" spans="1:13">
      <c r="A981" s="1605">
        <v>43795</v>
      </c>
      <c r="B981" s="1606" t="s">
        <v>2357</v>
      </c>
      <c r="C981" s="1607">
        <v>1092</v>
      </c>
      <c r="D981" s="1605">
        <v>44887</v>
      </c>
      <c r="E981" s="1608">
        <v>15</v>
      </c>
      <c r="F981" s="1609">
        <v>78.963499999999996</v>
      </c>
      <c r="G981" s="1609">
        <v>15</v>
      </c>
      <c r="H981" s="1609"/>
      <c r="I981" s="1609">
        <v>8.2000000000000011</v>
      </c>
      <c r="J981" s="1609">
        <v>8.1879999999999988</v>
      </c>
      <c r="K981" s="1610"/>
      <c r="L981" s="1607">
        <v>16</v>
      </c>
      <c r="M981" s="345"/>
    </row>
    <row r="982" spans="1:13">
      <c r="A982" s="1605">
        <v>43809</v>
      </c>
      <c r="B982" s="1606" t="s">
        <v>2358</v>
      </c>
      <c r="C982" s="1607">
        <v>728</v>
      </c>
      <c r="D982" s="1605">
        <v>44537</v>
      </c>
      <c r="E982" s="1608">
        <v>10</v>
      </c>
      <c r="F982" s="1609">
        <v>45.445300000000003</v>
      </c>
      <c r="G982" s="1609">
        <v>10</v>
      </c>
      <c r="H982" s="1609"/>
      <c r="I982" s="1609">
        <v>7.0000000000000009</v>
      </c>
      <c r="J982" s="1609">
        <v>6.8900000000000006</v>
      </c>
      <c r="K982" s="1610"/>
      <c r="L982" s="1607">
        <v>11</v>
      </c>
      <c r="M982" s="345"/>
    </row>
    <row r="983" spans="1:13" s="375" customFormat="1">
      <c r="A983" s="1605">
        <v>43816</v>
      </c>
      <c r="B983" s="1606" t="s">
        <v>2359</v>
      </c>
      <c r="C983" s="1607">
        <v>364</v>
      </c>
      <c r="D983" s="1605">
        <v>44180</v>
      </c>
      <c r="E983" s="1608">
        <v>15</v>
      </c>
      <c r="F983" s="1609">
        <v>85.697199999999995</v>
      </c>
      <c r="G983" s="1609">
        <v>15</v>
      </c>
      <c r="H983" s="1609"/>
      <c r="I983" s="1609">
        <v>5.5941000000000001</v>
      </c>
      <c r="J983" s="1609">
        <v>5.5135000000000005</v>
      </c>
      <c r="K983" s="1610"/>
      <c r="L983" s="1607">
        <v>18</v>
      </c>
      <c r="M983" s="345"/>
    </row>
    <row r="984" spans="1:13">
      <c r="A984" s="1605">
        <v>43823</v>
      </c>
      <c r="B984" s="1606" t="s">
        <v>2360</v>
      </c>
      <c r="C984" s="1607">
        <v>1092</v>
      </c>
      <c r="D984" s="1605" t="s">
        <v>2361</v>
      </c>
      <c r="E984" s="1608">
        <v>10</v>
      </c>
      <c r="F984" s="1609">
        <v>40.9129</v>
      </c>
      <c r="G984" s="1609">
        <v>10</v>
      </c>
      <c r="H984" s="1609"/>
      <c r="I984" s="1609">
        <v>7.7999000000000001</v>
      </c>
      <c r="J984" s="1609">
        <v>7.7216000000000005</v>
      </c>
      <c r="K984" s="1610"/>
      <c r="L984" s="1607">
        <v>11</v>
      </c>
      <c r="M984" s="345"/>
    </row>
    <row r="985" spans="1:13">
      <c r="A985" s="897">
        <v>2020</v>
      </c>
      <c r="B985" s="1606"/>
      <c r="C985" s="1607"/>
      <c r="D985" s="1605"/>
      <c r="E985" s="1608"/>
      <c r="F985" s="1609"/>
      <c r="G985" s="1609"/>
      <c r="H985" s="1609"/>
      <c r="I985" s="1609"/>
      <c r="J985" s="1609"/>
      <c r="K985" s="1610"/>
      <c r="L985" s="1607"/>
      <c r="M985" s="345"/>
    </row>
    <row r="986" spans="1:13">
      <c r="A986" s="1605">
        <v>43844</v>
      </c>
      <c r="B986" s="1606" t="s">
        <v>2366</v>
      </c>
      <c r="C986" s="1607">
        <v>728</v>
      </c>
      <c r="D986" s="1605">
        <v>44866</v>
      </c>
      <c r="E986" s="1608">
        <v>15</v>
      </c>
      <c r="F986" s="1609">
        <v>88.415499999999994</v>
      </c>
      <c r="G986" s="1609">
        <v>15</v>
      </c>
      <c r="H986" s="1609"/>
      <c r="I986" s="1609">
        <v>5.98</v>
      </c>
      <c r="J986" s="1609">
        <v>5.9417999999999997</v>
      </c>
      <c r="K986" s="1610"/>
      <c r="L986" s="1607">
        <v>18</v>
      </c>
      <c r="M986" s="345"/>
    </row>
    <row r="987" spans="1:13">
      <c r="A987" s="1605">
        <v>43851</v>
      </c>
      <c r="B987" s="1606" t="s">
        <v>2367</v>
      </c>
      <c r="C987" s="1607">
        <v>364</v>
      </c>
      <c r="D987" s="1605" t="s">
        <v>2368</v>
      </c>
      <c r="E987" s="1608">
        <v>10</v>
      </c>
      <c r="F987" s="1609">
        <v>55.789700000000003</v>
      </c>
      <c r="G987" s="1609">
        <v>10</v>
      </c>
      <c r="H987" s="1609"/>
      <c r="I987" s="1609">
        <v>4.4997999999999996</v>
      </c>
      <c r="J987" s="1609">
        <v>4.4238999999999997</v>
      </c>
      <c r="K987" s="1610"/>
      <c r="L987" s="1607">
        <v>14</v>
      </c>
      <c r="M987" s="345"/>
    </row>
    <row r="988" spans="1:13">
      <c r="A988" s="1605">
        <v>43858</v>
      </c>
      <c r="B988" s="1606" t="s">
        <v>2369</v>
      </c>
      <c r="C988" s="1607">
        <v>1820</v>
      </c>
      <c r="D988" s="1605" t="s">
        <v>2370</v>
      </c>
      <c r="E988" s="1608">
        <v>10</v>
      </c>
      <c r="F988" s="1609">
        <v>50.5396</v>
      </c>
      <c r="G988" s="1609">
        <v>10</v>
      </c>
      <c r="H988" s="1609"/>
      <c r="I988" s="1609">
        <v>8.44</v>
      </c>
      <c r="J988" s="1609">
        <v>8.1622000000000003</v>
      </c>
      <c r="K988" s="1610"/>
      <c r="L988" s="1607">
        <v>16</v>
      </c>
      <c r="M988" s="345"/>
    </row>
    <row r="989" spans="1:13">
      <c r="A989" s="1605">
        <v>43866</v>
      </c>
      <c r="B989" s="1606" t="s">
        <v>2372</v>
      </c>
      <c r="C989" s="1607" t="s">
        <v>2373</v>
      </c>
      <c r="D989" s="1605">
        <v>44593</v>
      </c>
      <c r="E989" s="1608">
        <v>15</v>
      </c>
      <c r="F989" s="1609">
        <v>70.679599999999994</v>
      </c>
      <c r="G989" s="1609">
        <v>15</v>
      </c>
      <c r="H989" s="1609"/>
      <c r="I989" s="1609">
        <v>5.3399000000000001</v>
      </c>
      <c r="J989" s="1609">
        <v>5.2641999999999998</v>
      </c>
      <c r="K989" s="1610"/>
      <c r="L989" s="1607" t="s">
        <v>2374</v>
      </c>
      <c r="M989" s="345"/>
    </row>
    <row r="990" spans="1:13">
      <c r="A990" s="1605">
        <v>43872</v>
      </c>
      <c r="B990" s="1606" t="s">
        <v>2375</v>
      </c>
      <c r="C990" s="1607" t="s">
        <v>2376</v>
      </c>
      <c r="D990" s="1605">
        <v>44236</v>
      </c>
      <c r="E990" s="1608" t="s">
        <v>2377</v>
      </c>
      <c r="F990" s="1609">
        <v>45.7639</v>
      </c>
      <c r="G990" s="1609">
        <v>10</v>
      </c>
      <c r="H990" s="1609"/>
      <c r="I990" s="1609">
        <v>3.9994999999999998</v>
      </c>
      <c r="J990" s="1609">
        <v>3.9618000000000002</v>
      </c>
      <c r="K990" s="1610"/>
      <c r="L990" s="1607" t="s">
        <v>2378</v>
      </c>
      <c r="M990" s="345"/>
    </row>
    <row r="991" spans="1:13">
      <c r="A991" s="1605">
        <v>43879</v>
      </c>
      <c r="B991" s="1606" t="s">
        <v>2369</v>
      </c>
      <c r="C991" s="1607" t="s">
        <v>2379</v>
      </c>
      <c r="D991" s="1605">
        <v>45678</v>
      </c>
      <c r="E991" s="1608" t="s">
        <v>2377</v>
      </c>
      <c r="F991" s="1609">
        <v>55.292299999999997</v>
      </c>
      <c r="G991" s="1609">
        <v>10</v>
      </c>
      <c r="H991" s="1609"/>
      <c r="I991" s="1609">
        <v>8.3874999999999993</v>
      </c>
      <c r="J991" s="1609">
        <v>8.2102000000000004</v>
      </c>
      <c r="K991" s="1610"/>
      <c r="L991" s="1607" t="s">
        <v>2380</v>
      </c>
      <c r="M991" s="345"/>
    </row>
    <row r="992" spans="1:13">
      <c r="A992" s="1605">
        <v>43886</v>
      </c>
      <c r="B992" s="1606" t="s">
        <v>2381</v>
      </c>
      <c r="C992" s="1607" t="s">
        <v>2382</v>
      </c>
      <c r="D992" s="1605">
        <v>44978</v>
      </c>
      <c r="E992" s="1608" t="s">
        <v>2383</v>
      </c>
      <c r="F992" s="1609">
        <v>94.805099999999996</v>
      </c>
      <c r="G992" s="1609">
        <v>25</v>
      </c>
      <c r="H992" s="1609"/>
      <c r="I992" s="1609">
        <v>6.3998999999999997</v>
      </c>
      <c r="J992" s="1609">
        <v>6.3998999999999997</v>
      </c>
      <c r="K992" s="1610"/>
      <c r="L992" s="1607" t="s">
        <v>2374</v>
      </c>
      <c r="M992" s="345"/>
    </row>
    <row r="993" spans="1:13">
      <c r="A993" s="1605">
        <v>43893</v>
      </c>
      <c r="B993" s="1606" t="s">
        <v>2384</v>
      </c>
      <c r="C993" s="1607" t="s">
        <v>2373</v>
      </c>
      <c r="D993" s="1605">
        <v>44621</v>
      </c>
      <c r="E993" s="1608" t="s">
        <v>2385</v>
      </c>
      <c r="F993" s="1609">
        <v>42.299500000000002</v>
      </c>
      <c r="G993" s="1609">
        <v>15</v>
      </c>
      <c r="H993" s="1609"/>
      <c r="I993" s="1609">
        <v>5.1898999999999997</v>
      </c>
      <c r="J993" s="1609">
        <v>5.1898999999999997</v>
      </c>
      <c r="K993" s="1610"/>
      <c r="L993" s="1607" t="s">
        <v>2386</v>
      </c>
      <c r="M993" s="345"/>
    </row>
    <row r="994" spans="1:13">
      <c r="A994" s="1605">
        <v>43900</v>
      </c>
      <c r="B994" s="1606" t="s">
        <v>2387</v>
      </c>
      <c r="C994" s="1607">
        <v>364</v>
      </c>
      <c r="D994" s="1605">
        <v>44264</v>
      </c>
      <c r="E994" s="1608">
        <v>10</v>
      </c>
      <c r="F994" s="1609">
        <v>26.768000000000001</v>
      </c>
      <c r="G994" s="1609">
        <v>10</v>
      </c>
      <c r="H994" s="1609"/>
      <c r="I994" s="1609">
        <v>7.99</v>
      </c>
      <c r="J994" s="1609">
        <v>7.4504999999999999</v>
      </c>
      <c r="K994" s="1610"/>
      <c r="L994" s="1607" t="s">
        <v>2388</v>
      </c>
      <c r="M994" s="345"/>
    </row>
    <row r="995" spans="1:13">
      <c r="A995" s="1605">
        <v>43942</v>
      </c>
      <c r="B995" s="1606" t="s">
        <v>2395</v>
      </c>
      <c r="C995" s="1607">
        <v>364</v>
      </c>
      <c r="D995" s="1605">
        <v>44306</v>
      </c>
      <c r="E995" s="1608">
        <v>20</v>
      </c>
      <c r="F995" s="1609">
        <v>71.099999999999994</v>
      </c>
      <c r="G995" s="1609">
        <v>20</v>
      </c>
      <c r="H995" s="1609"/>
      <c r="I995" s="1609">
        <v>6.99</v>
      </c>
      <c r="J995" s="1609">
        <v>6.99</v>
      </c>
      <c r="K995" s="1610"/>
      <c r="L995" s="1607">
        <v>10</v>
      </c>
      <c r="M995" s="345"/>
    </row>
    <row r="996" spans="1:13">
      <c r="A996" s="1605">
        <v>43949</v>
      </c>
      <c r="B996" s="1606" t="s">
        <v>2396</v>
      </c>
      <c r="C996" s="1607">
        <v>728</v>
      </c>
      <c r="D996" s="1605">
        <v>44677</v>
      </c>
      <c r="E996" s="1608">
        <v>15</v>
      </c>
      <c r="F996" s="1609">
        <v>17.29</v>
      </c>
      <c r="G996" s="1609">
        <v>15</v>
      </c>
      <c r="H996" s="1609"/>
      <c r="I996" s="1609">
        <v>17</v>
      </c>
      <c r="J996" s="1609">
        <v>11.92</v>
      </c>
      <c r="K996" s="1610"/>
      <c r="L996" s="1607">
        <v>6</v>
      </c>
      <c r="M996" s="345"/>
    </row>
    <row r="997" spans="1:13">
      <c r="A997" s="1605">
        <v>43956</v>
      </c>
      <c r="B997" s="1606" t="s">
        <v>2397</v>
      </c>
      <c r="C997" s="1607">
        <v>364</v>
      </c>
      <c r="D997" s="1605">
        <v>44320</v>
      </c>
      <c r="E997" s="1608">
        <v>50</v>
      </c>
      <c r="F997" s="1609">
        <v>93.01</v>
      </c>
      <c r="G997" s="1609">
        <v>16.600000000000001</v>
      </c>
      <c r="H997" s="1609"/>
      <c r="I997" s="1609">
        <v>10.49</v>
      </c>
      <c r="J997" s="1609">
        <v>9.89</v>
      </c>
      <c r="K997" s="1610"/>
      <c r="L997" s="1607">
        <v>23</v>
      </c>
      <c r="M997" s="345"/>
    </row>
    <row r="998" spans="1:13">
      <c r="A998" s="1605">
        <v>43963</v>
      </c>
      <c r="B998" s="1606" t="s">
        <v>2397</v>
      </c>
      <c r="C998" s="1607">
        <v>364</v>
      </c>
      <c r="D998" s="1605">
        <v>44320</v>
      </c>
      <c r="E998" s="1608">
        <v>33.39</v>
      </c>
      <c r="F998" s="1609">
        <v>36.229999999999997</v>
      </c>
      <c r="G998" s="1609">
        <v>25.74</v>
      </c>
      <c r="H998" s="1609"/>
      <c r="I998" s="1609">
        <v>10.49</v>
      </c>
      <c r="J998" s="1609">
        <v>9.89</v>
      </c>
      <c r="K998" s="1610"/>
      <c r="L998" s="1607">
        <v>13</v>
      </c>
      <c r="M998" s="345"/>
    </row>
    <row r="999" spans="1:13">
      <c r="A999" s="1605">
        <v>43970</v>
      </c>
      <c r="B999" s="1606" t="s">
        <v>2407</v>
      </c>
      <c r="C999" s="1607">
        <v>728</v>
      </c>
      <c r="D999" s="1605">
        <v>44698</v>
      </c>
      <c r="E999" s="1608">
        <v>20</v>
      </c>
      <c r="F999" s="1609">
        <v>62.349800000000002</v>
      </c>
      <c r="G999" s="1609">
        <v>20</v>
      </c>
      <c r="H999" s="1609"/>
      <c r="I999" s="1609">
        <v>11</v>
      </c>
      <c r="J999" s="1609">
        <v>10.99</v>
      </c>
      <c r="K999" s="1610"/>
      <c r="L999" s="1607">
        <v>19</v>
      </c>
      <c r="M999" s="345"/>
    </row>
    <row r="1000" spans="1:13">
      <c r="A1000" s="1605">
        <v>43970</v>
      </c>
      <c r="B1000" s="1606" t="s">
        <v>2397</v>
      </c>
      <c r="C1000" s="1607">
        <v>364</v>
      </c>
      <c r="D1000" s="1605">
        <v>44320</v>
      </c>
      <c r="E1000" s="1608">
        <v>7.6607000000000003</v>
      </c>
      <c r="F1000" s="1609">
        <v>19.491199999999999</v>
      </c>
      <c r="G1000" s="1609">
        <v>7.6607000000000003</v>
      </c>
      <c r="H1000" s="1609"/>
      <c r="I1000" s="1609">
        <v>8.4899000000000004</v>
      </c>
      <c r="J1000" s="1609">
        <v>8.4899000000000004</v>
      </c>
      <c r="K1000" s="1610"/>
      <c r="L1000" s="1607">
        <v>6</v>
      </c>
      <c r="M1000" s="345"/>
    </row>
    <row r="1001" spans="1:13">
      <c r="A1001" s="1605">
        <v>43991</v>
      </c>
      <c r="B1001" s="1606" t="s">
        <v>2408</v>
      </c>
      <c r="C1001" s="1607">
        <v>728</v>
      </c>
      <c r="D1001" s="1605">
        <v>44719</v>
      </c>
      <c r="E1001" s="1608">
        <v>25</v>
      </c>
      <c r="F1001" s="1609">
        <v>48.925400000000003</v>
      </c>
      <c r="G1001" s="1609">
        <v>25</v>
      </c>
      <c r="H1001" s="1609"/>
      <c r="I1001" s="1609">
        <v>10</v>
      </c>
      <c r="J1001" s="1609">
        <v>9.7989999999999995</v>
      </c>
      <c r="K1001" s="1610"/>
      <c r="L1001" s="1607">
        <v>14</v>
      </c>
      <c r="M1001" s="345"/>
    </row>
    <row r="1002" spans="1:13">
      <c r="A1002" s="1605">
        <v>43998</v>
      </c>
      <c r="B1002" s="1606" t="s">
        <v>2409</v>
      </c>
      <c r="C1002" s="1607">
        <v>364</v>
      </c>
      <c r="D1002" s="1605">
        <v>44362</v>
      </c>
      <c r="E1002" s="1608">
        <v>30</v>
      </c>
      <c r="F1002" s="1609">
        <v>36.432200000000002</v>
      </c>
      <c r="G1002" s="1609">
        <v>30</v>
      </c>
      <c r="H1002" s="1609"/>
      <c r="I1002" s="1609">
        <v>9</v>
      </c>
      <c r="J1002" s="1609">
        <v>8.4700000000000006</v>
      </c>
      <c r="K1002" s="1610"/>
      <c r="L1002" s="1607">
        <v>16</v>
      </c>
      <c r="M1002" s="345"/>
    </row>
    <row r="1003" spans="1:13">
      <c r="A1003" s="1605">
        <v>44005</v>
      </c>
      <c r="B1003" s="1606" t="s">
        <v>2414</v>
      </c>
      <c r="C1003" s="1607" t="s">
        <v>2382</v>
      </c>
      <c r="D1003" s="1605">
        <v>45097</v>
      </c>
      <c r="E1003" s="1608">
        <v>15</v>
      </c>
      <c r="F1003" s="1609">
        <v>39.375300000000003</v>
      </c>
      <c r="G1003" s="1609">
        <v>15</v>
      </c>
      <c r="H1003" s="1609"/>
      <c r="I1003" s="1609">
        <v>12.99</v>
      </c>
      <c r="J1003" s="1609">
        <v>12.1905</v>
      </c>
      <c r="K1003" s="1610"/>
      <c r="L1003" s="1607" t="s">
        <v>2378</v>
      </c>
      <c r="M1003" s="345"/>
    </row>
    <row r="1004" spans="1:13">
      <c r="A1004" s="1605">
        <v>44019</v>
      </c>
      <c r="B1004" s="1606" t="s">
        <v>2425</v>
      </c>
      <c r="C1004" s="1607">
        <v>728</v>
      </c>
      <c r="D1004" s="1605">
        <v>44747</v>
      </c>
      <c r="E1004" s="1608">
        <v>20</v>
      </c>
      <c r="F1004" s="1609">
        <v>73.02</v>
      </c>
      <c r="G1004" s="1609">
        <v>30</v>
      </c>
      <c r="H1004" s="1609"/>
      <c r="I1004" s="1609">
        <v>12.9</v>
      </c>
      <c r="J1004" s="1609">
        <v>9.4600000000000009</v>
      </c>
      <c r="K1004" s="1610"/>
      <c r="L1004" s="1607">
        <v>14</v>
      </c>
      <c r="M1004" s="345"/>
    </row>
    <row r="1005" spans="1:13">
      <c r="A1005" s="1605">
        <v>44026</v>
      </c>
      <c r="B1005" s="1606" t="s">
        <v>2426</v>
      </c>
      <c r="C1005" s="1607">
        <v>364</v>
      </c>
      <c r="D1005" s="1605">
        <v>44390</v>
      </c>
      <c r="E1005" s="1608">
        <v>30</v>
      </c>
      <c r="F1005" s="1609">
        <v>122.9</v>
      </c>
      <c r="G1005" s="1609">
        <v>45</v>
      </c>
      <c r="H1005" s="1609"/>
      <c r="I1005" s="1609">
        <v>12.06</v>
      </c>
      <c r="J1005" s="1609">
        <v>7.92</v>
      </c>
      <c r="K1005" s="1610"/>
      <c r="L1005" s="1607">
        <v>14</v>
      </c>
      <c r="M1005" s="345"/>
    </row>
    <row r="1006" spans="1:13">
      <c r="A1006" s="1605">
        <v>44033</v>
      </c>
      <c r="B1006" s="1606" t="s">
        <v>2427</v>
      </c>
      <c r="C1006" s="1607">
        <v>1092</v>
      </c>
      <c r="D1006" s="1605">
        <v>45125</v>
      </c>
      <c r="E1006" s="1608">
        <v>20</v>
      </c>
      <c r="F1006" s="1609">
        <v>87.12</v>
      </c>
      <c r="G1006" s="1609">
        <v>30</v>
      </c>
      <c r="H1006" s="1609"/>
      <c r="I1006" s="1609">
        <v>15</v>
      </c>
      <c r="J1006" s="1609">
        <v>11.9</v>
      </c>
      <c r="K1006" s="1610"/>
      <c r="L1006" s="1607">
        <v>16</v>
      </c>
      <c r="M1006" s="345"/>
    </row>
    <row r="1007" spans="1:13">
      <c r="A1007" s="1605">
        <v>44047</v>
      </c>
      <c r="B1007" s="1606" t="s">
        <v>2428</v>
      </c>
      <c r="C1007" s="1607">
        <v>728</v>
      </c>
      <c r="D1007" s="1605">
        <v>44775</v>
      </c>
      <c r="E1007" s="1608">
        <v>20</v>
      </c>
      <c r="F1007" s="1609">
        <v>90.04</v>
      </c>
      <c r="G1007" s="1609">
        <v>30</v>
      </c>
      <c r="H1007" s="1609"/>
      <c r="I1007" s="1609">
        <v>11.49</v>
      </c>
      <c r="J1007" s="1609">
        <v>8.92</v>
      </c>
      <c r="K1007" s="1610"/>
      <c r="L1007" s="1607">
        <v>14</v>
      </c>
      <c r="M1007" s="345"/>
    </row>
    <row r="1008" spans="1:13">
      <c r="A1008" s="1605">
        <v>44061</v>
      </c>
      <c r="B1008" s="1606" t="s">
        <v>2436</v>
      </c>
      <c r="C1008" s="1607" t="s">
        <v>2382</v>
      </c>
      <c r="D1008" s="1605">
        <v>45153</v>
      </c>
      <c r="E1008" s="1608">
        <v>20</v>
      </c>
      <c r="F1008" s="1609">
        <v>87.795000000000002</v>
      </c>
      <c r="G1008" s="1609">
        <v>18.9681</v>
      </c>
      <c r="H1008" s="1609"/>
      <c r="I1008" s="1609">
        <v>9</v>
      </c>
      <c r="J1008" s="1609">
        <v>8.7319999999999993</v>
      </c>
      <c r="K1008" s="1610"/>
      <c r="L1008" s="1607" t="s">
        <v>2374</v>
      </c>
      <c r="M1008" s="345"/>
    </row>
    <row r="1009" spans="1:13">
      <c r="A1009" s="1605">
        <v>44075</v>
      </c>
      <c r="B1009" s="1606" t="s">
        <v>2437</v>
      </c>
      <c r="C1009" s="1607" t="s">
        <v>2379</v>
      </c>
      <c r="D1009" s="1605">
        <v>45678</v>
      </c>
      <c r="E1009" s="1608">
        <v>10</v>
      </c>
      <c r="F1009" s="1609">
        <v>27.2331</v>
      </c>
      <c r="G1009" s="1609">
        <v>2.4163999999999999</v>
      </c>
      <c r="H1009" s="1609"/>
      <c r="I1009" s="1609">
        <v>11.2165</v>
      </c>
      <c r="J1009" s="1609">
        <v>10.952999999999999</v>
      </c>
      <c r="K1009" s="1610"/>
      <c r="L1009" s="1607" t="s">
        <v>2386</v>
      </c>
      <c r="M1009" s="345"/>
    </row>
    <row r="1010" spans="1:13">
      <c r="A1010" s="1605">
        <v>44082</v>
      </c>
      <c r="B1010" s="1606" t="s">
        <v>2438</v>
      </c>
      <c r="C1010" s="1607" t="s">
        <v>2382</v>
      </c>
      <c r="D1010" s="1605">
        <v>45174</v>
      </c>
      <c r="E1010" s="1608">
        <v>20</v>
      </c>
      <c r="F1010" s="1609">
        <v>75.490300000000005</v>
      </c>
      <c r="G1010" s="1609">
        <v>30</v>
      </c>
      <c r="H1010" s="1609"/>
      <c r="I1010" s="1609">
        <v>9.99</v>
      </c>
      <c r="J1010" s="1609">
        <v>9.8847000000000005</v>
      </c>
      <c r="K1010" s="1610"/>
      <c r="L1010" s="1607" t="s">
        <v>2374</v>
      </c>
      <c r="M1010" s="345"/>
    </row>
    <row r="1011" spans="1:13">
      <c r="A1011" s="1605">
        <v>44096</v>
      </c>
      <c r="B1011" s="1606" t="s">
        <v>2478</v>
      </c>
      <c r="C1011" s="1607">
        <v>728</v>
      </c>
      <c r="D1011" s="1605">
        <v>44824</v>
      </c>
      <c r="E1011" s="1608">
        <v>20</v>
      </c>
      <c r="F1011" s="1609">
        <v>83.99</v>
      </c>
      <c r="G1011" s="1609">
        <v>30</v>
      </c>
      <c r="H1011" s="1609"/>
      <c r="I1011" s="1609">
        <v>7.97</v>
      </c>
      <c r="J1011" s="1609">
        <v>7.96</v>
      </c>
      <c r="K1011" s="1610"/>
      <c r="L1011" s="1607">
        <v>10</v>
      </c>
      <c r="M1011" s="345"/>
    </row>
    <row r="1012" spans="1:13">
      <c r="A1012" s="1605">
        <v>44103</v>
      </c>
      <c r="B1012" s="1606" t="s">
        <v>2479</v>
      </c>
      <c r="C1012" s="1607">
        <v>364</v>
      </c>
      <c r="D1012" s="1605">
        <v>44467</v>
      </c>
      <c r="E1012" s="1608">
        <v>30</v>
      </c>
      <c r="F1012" s="1609">
        <v>101.7</v>
      </c>
      <c r="G1012" s="1609">
        <v>45</v>
      </c>
      <c r="H1012" s="1609"/>
      <c r="I1012" s="1609">
        <v>7.4</v>
      </c>
      <c r="J1012" s="1609">
        <v>7.37</v>
      </c>
      <c r="K1012" s="1610"/>
      <c r="L1012" s="1607">
        <v>13</v>
      </c>
      <c r="M1012" s="345"/>
    </row>
    <row r="1013" spans="1:13">
      <c r="A1013" s="1605">
        <v>44110</v>
      </c>
      <c r="B1013" s="1606" t="s">
        <v>2480</v>
      </c>
      <c r="C1013" s="1607">
        <v>728</v>
      </c>
      <c r="D1013" s="1605">
        <v>44838</v>
      </c>
      <c r="E1013" s="1608">
        <v>30</v>
      </c>
      <c r="F1013" s="1609">
        <v>79.69</v>
      </c>
      <c r="G1013" s="1609">
        <v>45</v>
      </c>
      <c r="H1013" s="1609"/>
      <c r="I1013" s="1609">
        <v>8</v>
      </c>
      <c r="J1013" s="1609">
        <v>7.98</v>
      </c>
      <c r="K1013" s="1610"/>
      <c r="L1013" s="1607">
        <v>11</v>
      </c>
      <c r="M1013" s="345"/>
    </row>
    <row r="1014" spans="1:13">
      <c r="A1014" s="1605">
        <v>44117</v>
      </c>
      <c r="B1014" s="1606" t="s">
        <v>2481</v>
      </c>
      <c r="C1014" s="1607">
        <v>364</v>
      </c>
      <c r="D1014" s="1605">
        <v>44481</v>
      </c>
      <c r="E1014" s="1608">
        <v>25</v>
      </c>
      <c r="F1014" s="1609">
        <v>87.89</v>
      </c>
      <c r="G1014" s="1609">
        <v>37.5</v>
      </c>
      <c r="H1014" s="1609"/>
      <c r="I1014" s="1609">
        <v>7.38</v>
      </c>
      <c r="J1014" s="1609">
        <v>7.3</v>
      </c>
      <c r="K1014" s="1610"/>
      <c r="L1014" s="1607">
        <v>14</v>
      </c>
      <c r="M1014" s="345"/>
    </row>
    <row r="1015" spans="1:13">
      <c r="A1015" s="1605">
        <v>44124</v>
      </c>
      <c r="B1015" s="1606" t="s">
        <v>2487</v>
      </c>
      <c r="C1015" s="1607">
        <v>1092</v>
      </c>
      <c r="D1015" s="1605">
        <v>45216</v>
      </c>
      <c r="E1015" s="1608">
        <v>20</v>
      </c>
      <c r="F1015" s="1609">
        <v>84.79</v>
      </c>
      <c r="G1015" s="1609">
        <v>30</v>
      </c>
      <c r="H1015" s="1609"/>
      <c r="I1015" s="1609">
        <v>9.9499999999999993</v>
      </c>
      <c r="J1015" s="1609">
        <v>9.84</v>
      </c>
      <c r="K1015" s="1610"/>
      <c r="L1015" s="1607">
        <v>13</v>
      </c>
      <c r="M1015" s="345"/>
    </row>
    <row r="1016" spans="1:13">
      <c r="A1016" s="1605">
        <v>44131</v>
      </c>
      <c r="B1016" s="1606" t="s">
        <v>2488</v>
      </c>
      <c r="C1016" s="1607">
        <v>364</v>
      </c>
      <c r="D1016" s="1605">
        <v>44495</v>
      </c>
      <c r="E1016" s="1608">
        <v>30</v>
      </c>
      <c r="F1016" s="1609">
        <v>101.82</v>
      </c>
      <c r="G1016" s="1609">
        <v>42.5</v>
      </c>
      <c r="H1016" s="1609"/>
      <c r="I1016" s="1609">
        <v>6.89</v>
      </c>
      <c r="J1016" s="1609">
        <v>6.89</v>
      </c>
      <c r="K1016" s="1610"/>
      <c r="L1016" s="1607">
        <v>16</v>
      </c>
      <c r="M1016" s="345"/>
    </row>
    <row r="1017" spans="1:13">
      <c r="A1017" s="1605">
        <v>44138</v>
      </c>
      <c r="B1017" s="1606" t="s">
        <v>2489</v>
      </c>
      <c r="C1017" s="1607">
        <v>728</v>
      </c>
      <c r="D1017" s="1605">
        <v>44866</v>
      </c>
      <c r="E1017" s="1608">
        <v>100</v>
      </c>
      <c r="F1017" s="1609">
        <v>248</v>
      </c>
      <c r="G1017" s="1609">
        <v>122.02</v>
      </c>
      <c r="H1017" s="1609"/>
      <c r="I1017" s="1609">
        <v>6.85</v>
      </c>
      <c r="J1017" s="1609">
        <v>6.84</v>
      </c>
      <c r="K1017" s="1610"/>
      <c r="L1017" s="1607">
        <v>11</v>
      </c>
      <c r="M1017" s="345"/>
    </row>
    <row r="1018" spans="1:13">
      <c r="A1018" s="1605">
        <v>44145</v>
      </c>
      <c r="B1018" s="1606" t="s">
        <v>2490</v>
      </c>
      <c r="C1018" s="1607">
        <v>1092</v>
      </c>
      <c r="D1018" s="1605">
        <v>45237</v>
      </c>
      <c r="E1018" s="1608">
        <v>15</v>
      </c>
      <c r="F1018" s="1609">
        <v>50.29</v>
      </c>
      <c r="G1018" s="1609">
        <v>8.35</v>
      </c>
      <c r="H1018" s="1609"/>
      <c r="I1018" s="1609">
        <v>7.51</v>
      </c>
      <c r="J1018" s="1609">
        <v>7.49</v>
      </c>
      <c r="K1018" s="1610"/>
      <c r="L1018" s="1607">
        <v>6</v>
      </c>
      <c r="M1018" s="345"/>
    </row>
    <row r="1019" spans="1:13">
      <c r="A1019" s="1605">
        <v>44152</v>
      </c>
      <c r="B1019" s="1606" t="s">
        <v>2500</v>
      </c>
      <c r="C1019" s="1607">
        <v>728</v>
      </c>
      <c r="D1019" s="1605">
        <v>44880</v>
      </c>
      <c r="E1019" s="1608">
        <v>100</v>
      </c>
      <c r="F1019" s="1609">
        <v>238</v>
      </c>
      <c r="G1019" s="1609">
        <v>118</v>
      </c>
      <c r="H1019" s="1609"/>
      <c r="I1019" s="1609">
        <v>14.01</v>
      </c>
      <c r="J1019" s="1609">
        <v>6.83</v>
      </c>
      <c r="K1019" s="1610"/>
      <c r="L1019" s="1607">
        <v>11</v>
      </c>
      <c r="M1019" s="345"/>
    </row>
    <row r="1020" spans="1:13">
      <c r="A1020" s="1605">
        <v>44159</v>
      </c>
      <c r="B1020" s="1606" t="s">
        <v>2501</v>
      </c>
      <c r="C1020" s="1607">
        <v>1092</v>
      </c>
      <c r="D1020" s="1605">
        <v>45251</v>
      </c>
      <c r="E1020" s="1608">
        <v>10</v>
      </c>
      <c r="F1020" s="1609">
        <v>29.8</v>
      </c>
      <c r="G1020" s="1609">
        <v>10</v>
      </c>
      <c r="H1020" s="1609"/>
      <c r="I1020" s="1609">
        <v>9</v>
      </c>
      <c r="J1020" s="1609">
        <v>8</v>
      </c>
      <c r="K1020" s="1610"/>
      <c r="L1020" s="1607">
        <v>5</v>
      </c>
      <c r="M1020" s="345"/>
    </row>
    <row r="1021" spans="1:13">
      <c r="A1021" s="1605">
        <v>44166</v>
      </c>
      <c r="B1021" s="1606" t="s">
        <v>2502</v>
      </c>
      <c r="C1021" s="1607">
        <v>728</v>
      </c>
      <c r="D1021" s="1605">
        <v>44894</v>
      </c>
      <c r="E1021" s="1608">
        <v>10</v>
      </c>
      <c r="F1021" s="1609">
        <v>42.1</v>
      </c>
      <c r="G1021" s="1609">
        <v>6.98</v>
      </c>
      <c r="H1021" s="1609"/>
      <c r="I1021" s="1609">
        <v>8</v>
      </c>
      <c r="J1021" s="1609">
        <v>6.68</v>
      </c>
      <c r="K1021" s="1610"/>
      <c r="L1021" s="1607">
        <v>9</v>
      </c>
      <c r="M1021" s="345"/>
    </row>
    <row r="1022" spans="1:13">
      <c r="A1022" s="1605">
        <v>44173</v>
      </c>
      <c r="B1022" s="1606" t="s">
        <v>2503</v>
      </c>
      <c r="C1022" s="1607">
        <v>1092</v>
      </c>
      <c r="D1022" s="1605">
        <v>45265</v>
      </c>
      <c r="E1022" s="1608">
        <v>10</v>
      </c>
      <c r="F1022" s="1609">
        <v>39.950000000000003</v>
      </c>
      <c r="G1022" s="1609">
        <v>9.1</v>
      </c>
      <c r="H1022" s="1609"/>
      <c r="I1022" s="1609">
        <v>9</v>
      </c>
      <c r="J1022" s="1609">
        <v>7.76</v>
      </c>
      <c r="K1022" s="1610"/>
      <c r="L1022" s="1607">
        <v>8</v>
      </c>
      <c r="M1022" s="345"/>
    </row>
    <row r="1023" spans="1:13">
      <c r="A1023" s="1605">
        <v>44180</v>
      </c>
      <c r="B1023" s="1606" t="s">
        <v>2504</v>
      </c>
      <c r="C1023" s="1607">
        <v>364</v>
      </c>
      <c r="D1023" s="1605">
        <v>44544</v>
      </c>
      <c r="E1023" s="1608">
        <v>20</v>
      </c>
      <c r="F1023" s="1609">
        <v>88.56</v>
      </c>
      <c r="G1023" s="1609">
        <v>30</v>
      </c>
      <c r="H1023" s="1609"/>
      <c r="I1023" s="1609">
        <v>10</v>
      </c>
      <c r="J1023" s="1609">
        <v>5.96</v>
      </c>
      <c r="K1023" s="1610"/>
      <c r="L1023" s="1607">
        <v>17</v>
      </c>
      <c r="M1023" s="345"/>
    </row>
    <row r="1024" spans="1:13">
      <c r="A1024" s="897">
        <v>2021</v>
      </c>
      <c r="B1024" s="1606"/>
      <c r="C1024" s="1607"/>
      <c r="D1024" s="1605"/>
      <c r="E1024" s="1608"/>
      <c r="F1024" s="1609"/>
      <c r="G1024" s="1609"/>
      <c r="H1024" s="1609"/>
      <c r="I1024" s="1609"/>
      <c r="J1024" s="1609"/>
      <c r="K1024" s="1610"/>
      <c r="L1024" s="1607"/>
      <c r="M1024" s="345"/>
    </row>
    <row r="1025" spans="1:13">
      <c r="A1025" s="1605">
        <v>44201</v>
      </c>
      <c r="B1025" s="1606" t="s">
        <v>2531</v>
      </c>
      <c r="C1025" s="1607">
        <v>1092</v>
      </c>
      <c r="D1025" s="1605">
        <v>45293</v>
      </c>
      <c r="E1025" s="1608">
        <v>25</v>
      </c>
      <c r="F1025" s="1609">
        <v>71.47</v>
      </c>
      <c r="G1025" s="1609">
        <v>37.5</v>
      </c>
      <c r="H1025" s="1609"/>
      <c r="I1025" s="1609">
        <v>8.5</v>
      </c>
      <c r="J1025" s="1609">
        <v>8.2899999999999991</v>
      </c>
      <c r="K1025" s="1610"/>
      <c r="L1025" s="1607">
        <v>10</v>
      </c>
      <c r="M1025" s="345"/>
    </row>
    <row r="1026" spans="1:13">
      <c r="A1026" s="1605">
        <v>44208</v>
      </c>
      <c r="B1026" s="1606" t="s">
        <v>2532</v>
      </c>
      <c r="C1026" s="1607">
        <v>364</v>
      </c>
      <c r="D1026" s="1605">
        <v>44572</v>
      </c>
      <c r="E1026" s="1608">
        <v>20</v>
      </c>
      <c r="F1026" s="1609">
        <v>98.04</v>
      </c>
      <c r="G1026" s="1609">
        <v>30</v>
      </c>
      <c r="H1026" s="1609"/>
      <c r="I1026" s="1609">
        <v>5.98</v>
      </c>
      <c r="J1026" s="1609">
        <v>5.94</v>
      </c>
      <c r="K1026" s="1610"/>
      <c r="L1026" s="1607">
        <v>16</v>
      </c>
      <c r="M1026" s="345"/>
    </row>
    <row r="1027" spans="1:13">
      <c r="A1027" s="1605">
        <v>44215</v>
      </c>
      <c r="B1027" s="1606" t="s">
        <v>2533</v>
      </c>
      <c r="C1027" s="1607">
        <v>728</v>
      </c>
      <c r="D1027" s="1605">
        <v>44943</v>
      </c>
      <c r="E1027" s="1608">
        <v>50</v>
      </c>
      <c r="F1027" s="1609">
        <v>172.66</v>
      </c>
      <c r="G1027" s="1609">
        <v>75</v>
      </c>
      <c r="H1027" s="1609"/>
      <c r="I1027" s="1609">
        <v>7.89</v>
      </c>
      <c r="J1027" s="1609">
        <v>7.52</v>
      </c>
      <c r="K1027" s="1610"/>
      <c r="L1027" s="1607">
        <v>16</v>
      </c>
      <c r="M1027" s="345"/>
    </row>
    <row r="1028" spans="1:13">
      <c r="A1028" s="1605">
        <v>44222</v>
      </c>
      <c r="B1028" s="1606" t="s">
        <v>2534</v>
      </c>
      <c r="C1028" s="1607">
        <v>1092</v>
      </c>
      <c r="D1028" s="1605">
        <v>45314</v>
      </c>
      <c r="E1028" s="1608">
        <v>20</v>
      </c>
      <c r="F1028" s="1609">
        <v>62.554000000000002</v>
      </c>
      <c r="G1028" s="1609">
        <v>6.992</v>
      </c>
      <c r="H1028" s="1609"/>
      <c r="I1028" s="1609">
        <v>8.5</v>
      </c>
      <c r="J1028" s="1609">
        <v>8.32</v>
      </c>
      <c r="K1028" s="1610"/>
      <c r="L1028" s="1607">
        <v>15</v>
      </c>
      <c r="M1028" s="345"/>
    </row>
    <row r="1029" spans="1:13">
      <c r="A1029" s="1605">
        <v>44229</v>
      </c>
      <c r="B1029" s="1606" t="s">
        <v>2535</v>
      </c>
      <c r="C1029" s="1607">
        <v>364</v>
      </c>
      <c r="D1029" s="1605">
        <v>44593</v>
      </c>
      <c r="E1029" s="1608">
        <v>20</v>
      </c>
      <c r="F1029" s="1609">
        <v>73.947000000000003</v>
      </c>
      <c r="G1029" s="1609">
        <v>30</v>
      </c>
      <c r="H1029" s="1609"/>
      <c r="I1029" s="1609">
        <v>6.24</v>
      </c>
      <c r="J1029" s="1609">
        <v>6.1985000000000001</v>
      </c>
      <c r="K1029" s="1610"/>
      <c r="L1029" s="1607">
        <v>16</v>
      </c>
      <c r="M1029" s="345"/>
    </row>
    <row r="1030" spans="1:13">
      <c r="A1030" s="1605">
        <v>44236</v>
      </c>
      <c r="B1030" s="1606" t="s">
        <v>2536</v>
      </c>
      <c r="C1030" s="1607">
        <v>1092</v>
      </c>
      <c r="D1030" s="1605">
        <v>45328</v>
      </c>
      <c r="E1030" s="1608">
        <v>35</v>
      </c>
      <c r="F1030" s="1609">
        <v>105.29</v>
      </c>
      <c r="G1030" s="1609">
        <v>25.66</v>
      </c>
      <c r="H1030" s="1609"/>
      <c r="I1030" s="1609">
        <v>8.5</v>
      </c>
      <c r="J1030" s="1609">
        <v>8.3607999999999993</v>
      </c>
      <c r="K1030" s="1610"/>
      <c r="L1030" s="1607">
        <v>17</v>
      </c>
      <c r="M1030" s="345"/>
    </row>
    <row r="1031" spans="1:13">
      <c r="A1031" s="1605">
        <v>44243</v>
      </c>
      <c r="B1031" s="1606" t="s">
        <v>2537</v>
      </c>
      <c r="C1031" s="1607">
        <v>728</v>
      </c>
      <c r="D1031" s="1605">
        <v>44971</v>
      </c>
      <c r="E1031" s="1608">
        <v>45</v>
      </c>
      <c r="F1031" s="1609">
        <v>140.80000000000001</v>
      </c>
      <c r="G1031" s="1609">
        <v>67.5</v>
      </c>
      <c r="H1031" s="1609"/>
      <c r="I1031" s="1609">
        <v>7.89</v>
      </c>
      <c r="J1031" s="1609">
        <v>7.85</v>
      </c>
      <c r="K1031" s="1610"/>
      <c r="L1031" s="1607">
        <v>15</v>
      </c>
      <c r="M1031" s="345"/>
    </row>
    <row r="1032" spans="1:13">
      <c r="A1032" s="1605">
        <v>44250</v>
      </c>
      <c r="B1032" s="1606" t="s">
        <v>3312</v>
      </c>
      <c r="C1032" s="1607">
        <v>1092</v>
      </c>
      <c r="D1032" s="1605">
        <v>45342</v>
      </c>
      <c r="E1032" s="1608">
        <v>20</v>
      </c>
      <c r="F1032" s="1609">
        <v>75.903000000000006</v>
      </c>
      <c r="G1032" s="1609">
        <v>30</v>
      </c>
      <c r="H1032" s="1609"/>
      <c r="I1032" s="1609">
        <v>8.5</v>
      </c>
      <c r="J1032" s="1609">
        <v>8.4671000000000003</v>
      </c>
      <c r="K1032" s="1610"/>
      <c r="L1032" s="1607">
        <v>15</v>
      </c>
      <c r="M1032" s="345"/>
    </row>
    <row r="1033" spans="1:13">
      <c r="A1033" s="1605">
        <v>44257</v>
      </c>
      <c r="B1033" s="1606" t="s">
        <v>2552</v>
      </c>
      <c r="C1033" s="1607">
        <v>1092</v>
      </c>
      <c r="D1033" s="1605">
        <v>45349</v>
      </c>
      <c r="E1033" s="1608">
        <v>30</v>
      </c>
      <c r="F1033" s="1609">
        <v>111.8125</v>
      </c>
      <c r="G1033" s="1609">
        <v>45</v>
      </c>
      <c r="H1033" s="1609"/>
      <c r="I1033" s="1609">
        <v>8.4499999999999993</v>
      </c>
      <c r="J1033" s="1609">
        <v>8.4321000000000002</v>
      </c>
      <c r="K1033" s="1610"/>
      <c r="L1033" s="1607" t="s">
        <v>2385</v>
      </c>
      <c r="M1033" s="345"/>
    </row>
    <row r="1034" spans="1:13">
      <c r="A1034" s="1605">
        <v>44264</v>
      </c>
      <c r="B1034" s="1606" t="s">
        <v>2553</v>
      </c>
      <c r="C1034" s="1607">
        <v>728</v>
      </c>
      <c r="D1034" s="1605">
        <v>44992</v>
      </c>
      <c r="E1034" s="1608">
        <v>50</v>
      </c>
      <c r="F1034" s="1609">
        <v>204.03469999999999</v>
      </c>
      <c r="G1034" s="1609">
        <v>75</v>
      </c>
      <c r="H1034" s="1609"/>
      <c r="I1034" s="1609">
        <v>7.8</v>
      </c>
      <c r="J1034" s="1609">
        <v>7.7771999999999997</v>
      </c>
      <c r="K1034" s="1610"/>
      <c r="L1034" s="1607" t="s">
        <v>3313</v>
      </c>
      <c r="M1034" s="345"/>
    </row>
    <row r="1035" spans="1:13">
      <c r="A1035" s="1605">
        <v>44271</v>
      </c>
      <c r="B1035" s="1606" t="s">
        <v>2554</v>
      </c>
      <c r="C1035" s="1607" t="s">
        <v>2555</v>
      </c>
      <c r="D1035" s="1605">
        <v>45363</v>
      </c>
      <c r="E1035" s="1608">
        <v>20</v>
      </c>
      <c r="F1035" s="1609">
        <v>120.2538</v>
      </c>
      <c r="G1035" s="1609">
        <v>30</v>
      </c>
      <c r="H1035" s="1609"/>
      <c r="I1035" s="1609">
        <v>8.3491</v>
      </c>
      <c r="J1035" s="1609">
        <v>8.3065999999999995</v>
      </c>
      <c r="K1035" s="1610"/>
      <c r="L1035" s="1607">
        <v>22</v>
      </c>
      <c r="M1035" s="345"/>
    </row>
    <row r="1036" spans="1:13">
      <c r="A1036" s="1605">
        <v>44285</v>
      </c>
      <c r="B1036" s="1606" t="s">
        <v>3314</v>
      </c>
      <c r="C1036" s="1607">
        <v>364</v>
      </c>
      <c r="D1036" s="1605">
        <v>44649</v>
      </c>
      <c r="E1036" s="1608">
        <v>10</v>
      </c>
      <c r="F1036" s="1609">
        <v>99.087599999999995</v>
      </c>
      <c r="G1036" s="1609">
        <v>10</v>
      </c>
      <c r="H1036" s="1609"/>
      <c r="I1036" s="1609">
        <v>5.5</v>
      </c>
      <c r="J1036" s="1609">
        <v>5.49</v>
      </c>
      <c r="K1036" s="1610"/>
      <c r="L1036" s="1607">
        <v>19</v>
      </c>
      <c r="M1036" s="345"/>
    </row>
    <row r="1037" spans="1:13">
      <c r="A1037" s="1605">
        <v>44292</v>
      </c>
      <c r="B1037" s="1606" t="s">
        <v>2560</v>
      </c>
      <c r="C1037" s="1607">
        <v>1092</v>
      </c>
      <c r="D1037" s="1605">
        <v>45384</v>
      </c>
      <c r="E1037" s="1608">
        <v>30</v>
      </c>
      <c r="F1037" s="1609">
        <v>170.53399999999999</v>
      </c>
      <c r="G1037" s="1609">
        <v>45</v>
      </c>
      <c r="H1037" s="1609"/>
      <c r="I1037" s="1609">
        <v>7.4749999999999996</v>
      </c>
      <c r="J1037" s="1609">
        <v>7.3963000000000001</v>
      </c>
      <c r="K1037" s="1610"/>
      <c r="L1037" s="1607">
        <v>23</v>
      </c>
      <c r="M1037" s="345"/>
    </row>
    <row r="1038" spans="1:13">
      <c r="A1038" s="1605">
        <v>44299</v>
      </c>
      <c r="B1038" s="1606" t="s">
        <v>2561</v>
      </c>
      <c r="C1038" s="1607">
        <v>364</v>
      </c>
      <c r="D1038" s="1605">
        <v>44663</v>
      </c>
      <c r="E1038" s="1608">
        <v>20</v>
      </c>
      <c r="F1038" s="1609">
        <v>110.6259</v>
      </c>
      <c r="G1038" s="1609">
        <v>30</v>
      </c>
      <c r="H1038" s="1609"/>
      <c r="I1038" s="1609">
        <v>5.2999000000000001</v>
      </c>
      <c r="J1038" s="1609">
        <v>5.2733999999999996</v>
      </c>
      <c r="K1038" s="1610"/>
      <c r="L1038" s="1607">
        <v>17</v>
      </c>
      <c r="M1038" s="345"/>
    </row>
    <row r="1039" spans="1:13">
      <c r="A1039" s="1605">
        <v>44306</v>
      </c>
      <c r="B1039" s="1606" t="s">
        <v>2562</v>
      </c>
      <c r="C1039" s="1607">
        <v>728</v>
      </c>
      <c r="D1039" s="1605">
        <v>45034</v>
      </c>
      <c r="E1039" s="1608">
        <v>40</v>
      </c>
      <c r="F1039" s="1609">
        <v>228.0231</v>
      </c>
      <c r="G1039" s="1609">
        <v>60</v>
      </c>
      <c r="H1039" s="1609"/>
      <c r="I1039" s="1609">
        <v>6.9898999999999996</v>
      </c>
      <c r="J1039" s="1609">
        <v>6.9470999999999998</v>
      </c>
      <c r="K1039" s="1610"/>
      <c r="L1039" s="1607">
        <v>21</v>
      </c>
      <c r="M1039" s="345"/>
    </row>
    <row r="1040" spans="1:13">
      <c r="A1040" s="1605">
        <v>44313</v>
      </c>
      <c r="B1040" s="1606" t="s">
        <v>2563</v>
      </c>
      <c r="C1040" s="1607">
        <v>1092</v>
      </c>
      <c r="D1040" s="1605">
        <v>45405</v>
      </c>
      <c r="E1040" s="1608">
        <v>30</v>
      </c>
      <c r="F1040" s="1609">
        <v>148.6198</v>
      </c>
      <c r="G1040" s="1609">
        <v>45</v>
      </c>
      <c r="H1040" s="1609"/>
      <c r="I1040" s="1609">
        <v>7.9</v>
      </c>
      <c r="J1040" s="1609">
        <v>7.8730000000000002</v>
      </c>
      <c r="K1040" s="1610"/>
      <c r="L1040" s="1607">
        <v>18</v>
      </c>
      <c r="M1040" s="345"/>
    </row>
    <row r="1041" spans="1:13">
      <c r="A1041" s="1605">
        <v>44320</v>
      </c>
      <c r="B1041" s="1606" t="s">
        <v>2571</v>
      </c>
      <c r="C1041" s="1607">
        <v>1092</v>
      </c>
      <c r="D1041" s="1605">
        <v>45412</v>
      </c>
      <c r="E1041" s="1608">
        <v>40</v>
      </c>
      <c r="F1041" s="1609">
        <v>227.4761</v>
      </c>
      <c r="G1041" s="1609">
        <v>60</v>
      </c>
      <c r="H1041" s="1609"/>
      <c r="I1041" s="1609">
        <v>7.9191000000000003</v>
      </c>
      <c r="J1041" s="1609">
        <v>7.7401</v>
      </c>
      <c r="K1041" s="1610"/>
      <c r="L1041" s="1607">
        <v>23</v>
      </c>
      <c r="M1041" s="345"/>
    </row>
    <row r="1042" spans="1:13">
      <c r="A1042" s="1605">
        <v>44324</v>
      </c>
      <c r="B1042" s="1606" t="s">
        <v>2572</v>
      </c>
      <c r="C1042" s="1607">
        <v>360</v>
      </c>
      <c r="D1042" s="1605">
        <v>44684</v>
      </c>
      <c r="E1042" s="1608">
        <v>10</v>
      </c>
      <c r="F1042" s="1609">
        <v>60.5366</v>
      </c>
      <c r="G1042" s="1609">
        <v>15</v>
      </c>
      <c r="H1042" s="1609"/>
      <c r="I1042" s="1609">
        <v>4.4000000000000004</v>
      </c>
      <c r="J1042" s="1609">
        <v>4.4000000000000004</v>
      </c>
      <c r="K1042" s="1610"/>
      <c r="L1042" s="1607">
        <v>13</v>
      </c>
      <c r="M1042" s="345"/>
    </row>
    <row r="1043" spans="1:13">
      <c r="A1043" s="1605">
        <v>44324</v>
      </c>
      <c r="B1043" s="1606" t="s">
        <v>2573</v>
      </c>
      <c r="C1043" s="1607">
        <v>1816</v>
      </c>
      <c r="D1043" s="1605">
        <v>46140</v>
      </c>
      <c r="E1043" s="1608">
        <v>10</v>
      </c>
      <c r="F1043" s="1609">
        <v>56.452599999999997</v>
      </c>
      <c r="G1043" s="1609">
        <v>15</v>
      </c>
      <c r="H1043" s="1609"/>
      <c r="I1043" s="1609">
        <v>9.0140999999999991</v>
      </c>
      <c r="J1043" s="1609">
        <v>8.9176000000000002</v>
      </c>
      <c r="K1043" s="1610"/>
      <c r="L1043" s="1607">
        <v>16</v>
      </c>
      <c r="M1043" s="345"/>
    </row>
    <row r="1044" spans="1:13">
      <c r="A1044" s="1605">
        <v>44334</v>
      </c>
      <c r="B1044" s="1606" t="s">
        <v>2574</v>
      </c>
      <c r="C1044" s="1607">
        <v>728</v>
      </c>
      <c r="D1044" s="1605">
        <v>45062</v>
      </c>
      <c r="E1044" s="1608">
        <v>40</v>
      </c>
      <c r="F1044" s="1609">
        <v>228.73840000000001</v>
      </c>
      <c r="G1044" s="1609">
        <v>60</v>
      </c>
      <c r="H1044" s="1609"/>
      <c r="I1044" s="1609">
        <v>6.5</v>
      </c>
      <c r="J1044" s="1609">
        <v>6.4953000000000003</v>
      </c>
      <c r="K1044" s="1610"/>
      <c r="L1044" s="1607">
        <v>18</v>
      </c>
      <c r="M1044" s="345"/>
    </row>
    <row r="1045" spans="1:13">
      <c r="A1045" s="1605">
        <v>44341</v>
      </c>
      <c r="B1045" s="1606" t="s">
        <v>2575</v>
      </c>
      <c r="C1045" s="1607">
        <v>1092</v>
      </c>
      <c r="D1045" s="1605">
        <v>45433</v>
      </c>
      <c r="E1045" s="1608">
        <v>40</v>
      </c>
      <c r="F1045" s="1609">
        <v>270.82240000000002</v>
      </c>
      <c r="G1045" s="1609">
        <v>60</v>
      </c>
      <c r="H1045" s="1609"/>
      <c r="I1045" s="1609">
        <v>7.39</v>
      </c>
      <c r="J1045" s="1609">
        <v>7.3460999999999999</v>
      </c>
      <c r="K1045" s="1610"/>
      <c r="L1045" s="1607">
        <v>25</v>
      </c>
      <c r="M1045" s="345"/>
    </row>
    <row r="1046" spans="1:13">
      <c r="A1046" s="1605">
        <v>44348</v>
      </c>
      <c r="B1046" s="1606" t="s">
        <v>2582</v>
      </c>
      <c r="C1046" s="1607">
        <v>1092</v>
      </c>
      <c r="D1046" s="1605">
        <v>45440</v>
      </c>
      <c r="E1046" s="1608">
        <v>50</v>
      </c>
      <c r="F1046" s="1609">
        <v>297.24119999999999</v>
      </c>
      <c r="G1046" s="1609">
        <v>75</v>
      </c>
      <c r="H1046" s="1609"/>
      <c r="I1046" s="1609">
        <v>6.95</v>
      </c>
      <c r="J1046" s="1609">
        <v>6.9386000000000001</v>
      </c>
      <c r="K1046" s="1610"/>
      <c r="L1046" s="1607">
        <v>23</v>
      </c>
      <c r="M1046" s="345"/>
    </row>
    <row r="1047" spans="1:13">
      <c r="A1047" s="1605">
        <v>44355</v>
      </c>
      <c r="B1047" s="1606" t="s">
        <v>3315</v>
      </c>
      <c r="C1047" s="1607">
        <v>1820</v>
      </c>
      <c r="D1047" s="1605">
        <v>46205</v>
      </c>
      <c r="E1047" s="1608">
        <v>10</v>
      </c>
      <c r="F1047" s="1609">
        <v>48.600700000000003</v>
      </c>
      <c r="G1047" s="1609">
        <v>15</v>
      </c>
      <c r="H1047" s="1609"/>
      <c r="I1047" s="1609">
        <v>8.6999999999999993</v>
      </c>
      <c r="J1047" s="1609">
        <v>8.6423000000000005</v>
      </c>
      <c r="K1047" s="1610"/>
      <c r="L1047" s="1607">
        <v>17</v>
      </c>
      <c r="M1047" s="345"/>
    </row>
    <row r="1048" spans="1:13">
      <c r="A1048" s="1605">
        <v>44355</v>
      </c>
      <c r="B1048" s="1606" t="s">
        <v>2583</v>
      </c>
      <c r="C1048" s="1607">
        <v>364</v>
      </c>
      <c r="D1048" s="1605">
        <v>44748</v>
      </c>
      <c r="E1048" s="1608">
        <v>20</v>
      </c>
      <c r="F1048" s="1609">
        <v>95.969099999999997</v>
      </c>
      <c r="G1048" s="1609">
        <v>30</v>
      </c>
      <c r="H1048" s="1609"/>
      <c r="I1048" s="1609">
        <v>3.9899</v>
      </c>
      <c r="J1048" s="1609">
        <v>3.9632000000000001</v>
      </c>
      <c r="K1048" s="1610"/>
      <c r="L1048" s="1607">
        <v>9</v>
      </c>
      <c r="M1048" s="345"/>
    </row>
    <row r="1049" spans="1:13">
      <c r="A1049" s="1605">
        <v>44369</v>
      </c>
      <c r="B1049" s="1606" t="s">
        <v>2584</v>
      </c>
      <c r="C1049" s="1607">
        <v>1092</v>
      </c>
      <c r="D1049" s="1605">
        <v>45461</v>
      </c>
      <c r="E1049" s="1608">
        <v>25</v>
      </c>
      <c r="F1049" s="1609">
        <v>110.767</v>
      </c>
      <c r="G1049" s="1609">
        <v>37.5</v>
      </c>
      <c r="H1049" s="1609"/>
      <c r="I1049" s="1609">
        <v>6.4898999999999996</v>
      </c>
      <c r="J1049" s="1609">
        <v>6.4402999999999997</v>
      </c>
      <c r="K1049" s="1610"/>
      <c r="L1049" s="1607">
        <v>16</v>
      </c>
      <c r="M1049" s="345"/>
    </row>
    <row r="1050" spans="1:13">
      <c r="A1050" s="1605">
        <v>44383</v>
      </c>
      <c r="B1050" s="1606" t="s">
        <v>3316</v>
      </c>
      <c r="C1050" s="1607" t="s">
        <v>2373</v>
      </c>
      <c r="D1050" s="1605">
        <v>45111</v>
      </c>
      <c r="E1050" s="1608">
        <v>20</v>
      </c>
      <c r="F1050" s="1609">
        <v>77.666700000000006</v>
      </c>
      <c r="G1050" s="1609">
        <v>30</v>
      </c>
      <c r="H1050" s="1609"/>
      <c r="I1050" s="1609">
        <v>6</v>
      </c>
      <c r="J1050" s="1609">
        <v>5.9135</v>
      </c>
      <c r="K1050" s="1610"/>
      <c r="L1050" s="1607">
        <v>10</v>
      </c>
      <c r="M1050" s="345"/>
    </row>
    <row r="1051" spans="1:13">
      <c r="A1051" s="1605">
        <v>44390</v>
      </c>
      <c r="B1051" s="1606" t="s">
        <v>3317</v>
      </c>
      <c r="C1051" s="1607" t="s">
        <v>2382</v>
      </c>
      <c r="D1051" s="1605">
        <v>45482</v>
      </c>
      <c r="E1051" s="1608">
        <v>40</v>
      </c>
      <c r="F1051" s="1609">
        <v>149.8408</v>
      </c>
      <c r="G1051" s="1609">
        <v>40</v>
      </c>
      <c r="H1051" s="1609"/>
      <c r="I1051" s="1609">
        <v>6.39</v>
      </c>
      <c r="J1051" s="1609">
        <v>6.3722000000000003</v>
      </c>
      <c r="K1051" s="1610"/>
      <c r="L1051" s="1607">
        <v>14</v>
      </c>
      <c r="M1051" s="345"/>
    </row>
    <row r="1052" spans="1:13">
      <c r="A1052" s="1605">
        <v>44404</v>
      </c>
      <c r="B1052" s="1606" t="s">
        <v>3318</v>
      </c>
      <c r="C1052" s="1607">
        <v>1092</v>
      </c>
      <c r="D1052" s="1605">
        <v>45496</v>
      </c>
      <c r="E1052" s="1608">
        <v>20</v>
      </c>
      <c r="F1052" s="1609">
        <v>108.9448</v>
      </c>
      <c r="G1052" s="1609">
        <v>20</v>
      </c>
      <c r="H1052" s="1609"/>
      <c r="I1052" s="1609">
        <v>6.23</v>
      </c>
      <c r="J1052" s="1609">
        <v>6.1966000000000001</v>
      </c>
      <c r="K1052" s="1610"/>
      <c r="L1052" s="1607">
        <v>15</v>
      </c>
      <c r="M1052" s="345"/>
    </row>
    <row r="1053" spans="1:13">
      <c r="A1053" s="1605">
        <v>44411</v>
      </c>
      <c r="B1053" s="1606" t="s">
        <v>2601</v>
      </c>
      <c r="C1053" s="1607">
        <v>1820</v>
      </c>
      <c r="D1053" s="1605">
        <v>46231</v>
      </c>
      <c r="E1053" s="1608">
        <v>10</v>
      </c>
      <c r="F1053" s="1609">
        <v>70.739099999999993</v>
      </c>
      <c r="G1053" s="1609">
        <v>15</v>
      </c>
      <c r="H1053" s="1609"/>
      <c r="I1053" s="1609">
        <v>7.25</v>
      </c>
      <c r="J1053" s="1609">
        <v>7.1993</v>
      </c>
      <c r="K1053" s="1610"/>
      <c r="L1053" s="1607">
        <v>17</v>
      </c>
      <c r="M1053" s="345"/>
    </row>
    <row r="1054" spans="1:13">
      <c r="A1054" s="1605">
        <v>44418</v>
      </c>
      <c r="B1054" s="1606" t="s">
        <v>2602</v>
      </c>
      <c r="C1054" s="1607">
        <v>728</v>
      </c>
      <c r="D1054" s="1605">
        <v>45146</v>
      </c>
      <c r="E1054" s="1608">
        <v>10</v>
      </c>
      <c r="F1054" s="1609">
        <v>64.704800000000006</v>
      </c>
      <c r="G1054" s="1609">
        <v>10</v>
      </c>
      <c r="H1054" s="1609"/>
      <c r="I1054" s="1609">
        <v>5.4450000000000003</v>
      </c>
      <c r="J1054" s="1609">
        <v>5.2659000000000002</v>
      </c>
      <c r="K1054" s="1610"/>
      <c r="L1054" s="1607">
        <v>10</v>
      </c>
      <c r="M1054" s="345"/>
    </row>
    <row r="1055" spans="1:13">
      <c r="A1055" s="1605">
        <v>44425</v>
      </c>
      <c r="B1055" s="1606" t="s">
        <v>3319</v>
      </c>
      <c r="C1055" s="1607">
        <v>1092</v>
      </c>
      <c r="D1055" s="1605">
        <v>45517</v>
      </c>
      <c r="E1055" s="1608">
        <v>10</v>
      </c>
      <c r="F1055" s="1609">
        <v>64.626800000000003</v>
      </c>
      <c r="G1055" s="1609">
        <v>15</v>
      </c>
      <c r="H1055" s="1609"/>
      <c r="I1055" s="1609">
        <v>5.7899000000000003</v>
      </c>
      <c r="J1055" s="1609">
        <v>5.7877999999999998</v>
      </c>
      <c r="K1055" s="1610"/>
      <c r="L1055" s="1607">
        <v>12</v>
      </c>
      <c r="M1055" s="345"/>
    </row>
    <row r="1056" spans="1:13">
      <c r="A1056" s="1605">
        <v>44432</v>
      </c>
      <c r="B1056" s="1606" t="s">
        <v>3320</v>
      </c>
      <c r="C1056" s="1607">
        <v>2548</v>
      </c>
      <c r="D1056" s="1605">
        <v>46980</v>
      </c>
      <c r="E1056" s="1608">
        <v>10</v>
      </c>
      <c r="F1056" s="1609">
        <v>54.5015</v>
      </c>
      <c r="G1056" s="1609">
        <v>15</v>
      </c>
      <c r="H1056" s="1609"/>
      <c r="I1056" s="1609">
        <v>8.4699000000000009</v>
      </c>
      <c r="J1056" s="1609">
        <v>8.4123000000000001</v>
      </c>
      <c r="K1056" s="1610"/>
      <c r="L1056" s="1607">
        <v>15</v>
      </c>
      <c r="M1056" s="345"/>
    </row>
    <row r="1057" spans="1:13">
      <c r="A1057" s="1605">
        <v>44439</v>
      </c>
      <c r="B1057" s="1606" t="s">
        <v>2603</v>
      </c>
      <c r="C1057" s="1607">
        <v>1092</v>
      </c>
      <c r="D1057" s="1605">
        <v>45531</v>
      </c>
      <c r="E1057" s="1608">
        <v>10</v>
      </c>
      <c r="F1057" s="1609">
        <v>71.341999999999999</v>
      </c>
      <c r="G1057" s="1609">
        <v>15</v>
      </c>
      <c r="H1057" s="1609"/>
      <c r="I1057" s="1609">
        <v>5.3498000000000001</v>
      </c>
      <c r="J1057" s="1609">
        <v>5.3150000000000004</v>
      </c>
      <c r="K1057" s="1610"/>
      <c r="L1057" s="1607">
        <v>13</v>
      </c>
      <c r="M1057" s="345"/>
    </row>
    <row r="1058" spans="1:13">
      <c r="A1058" s="1605">
        <v>44446</v>
      </c>
      <c r="B1058" s="1606" t="s">
        <v>2651</v>
      </c>
      <c r="C1058" s="1607">
        <v>1820</v>
      </c>
      <c r="D1058" s="1605">
        <v>46266</v>
      </c>
      <c r="E1058" s="1608">
        <v>10</v>
      </c>
      <c r="F1058" s="1609">
        <v>64.472399999999993</v>
      </c>
      <c r="G1058" s="1609">
        <v>15</v>
      </c>
      <c r="H1058" s="1609"/>
      <c r="I1058" s="1609">
        <v>5.9699</v>
      </c>
      <c r="J1058" s="1609">
        <v>5.9699</v>
      </c>
      <c r="K1058" s="1610"/>
      <c r="L1058" s="1607">
        <v>12</v>
      </c>
      <c r="M1058" s="345"/>
    </row>
    <row r="1059" spans="1:13">
      <c r="A1059" s="1605">
        <v>44453</v>
      </c>
      <c r="B1059" s="1606" t="s">
        <v>2652</v>
      </c>
      <c r="C1059" s="1607">
        <v>1092</v>
      </c>
      <c r="D1059" s="1605">
        <v>45545</v>
      </c>
      <c r="E1059" s="1608">
        <v>10</v>
      </c>
      <c r="F1059" s="1609">
        <v>72.928299999999993</v>
      </c>
      <c r="G1059" s="1609">
        <v>15</v>
      </c>
      <c r="H1059" s="1609"/>
      <c r="I1059" s="1609">
        <v>4.88</v>
      </c>
      <c r="J1059" s="1609">
        <v>4.6919000000000004</v>
      </c>
      <c r="K1059" s="1610"/>
      <c r="L1059" s="1607">
        <v>12</v>
      </c>
      <c r="M1059" s="345"/>
    </row>
    <row r="1060" spans="1:13">
      <c r="A1060" s="1605">
        <v>44460</v>
      </c>
      <c r="B1060" s="1606" t="s">
        <v>2653</v>
      </c>
      <c r="C1060" s="1607">
        <v>2548</v>
      </c>
      <c r="D1060" s="1605">
        <v>47008</v>
      </c>
      <c r="E1060" s="1608">
        <v>10</v>
      </c>
      <c r="F1060" s="1609">
        <v>54.265999999999998</v>
      </c>
      <c r="G1060" s="1609">
        <v>9.9080999999999992</v>
      </c>
      <c r="H1060" s="1609"/>
      <c r="I1060" s="1609">
        <v>8.0998999999999999</v>
      </c>
      <c r="J1060" s="1609">
        <v>7.3301999999999996</v>
      </c>
      <c r="K1060" s="1610"/>
      <c r="L1060" s="1607">
        <v>12</v>
      </c>
      <c r="M1060" s="345"/>
    </row>
    <row r="1061" spans="1:13">
      <c r="A1061" s="1605">
        <v>44467</v>
      </c>
      <c r="B1061" s="1606" t="s">
        <v>2654</v>
      </c>
      <c r="C1061" s="1607">
        <v>1820</v>
      </c>
      <c r="D1061" s="1605">
        <v>46287</v>
      </c>
      <c r="E1061" s="1608">
        <v>10</v>
      </c>
      <c r="F1061" s="1609">
        <v>75.366900000000001</v>
      </c>
      <c r="G1061" s="1609">
        <v>15</v>
      </c>
      <c r="H1061" s="1609"/>
      <c r="I1061" s="1609">
        <v>5.8998999999999997</v>
      </c>
      <c r="J1061" s="1609">
        <v>5.8960999999999997</v>
      </c>
      <c r="K1061" s="1610"/>
      <c r="L1061" s="1607">
        <v>17</v>
      </c>
      <c r="M1061" s="345"/>
    </row>
    <row r="1062" spans="1:13">
      <c r="A1062" s="1605">
        <v>44474</v>
      </c>
      <c r="B1062" s="1606" t="s">
        <v>2667</v>
      </c>
      <c r="C1062" s="1607">
        <v>1820</v>
      </c>
      <c r="D1062" s="1605">
        <v>46294</v>
      </c>
      <c r="E1062" s="1608">
        <v>25</v>
      </c>
      <c r="F1062" s="1609">
        <v>118.914</v>
      </c>
      <c r="G1062" s="1609">
        <v>37.5</v>
      </c>
      <c r="H1062" s="1609"/>
      <c r="I1062" s="1609">
        <v>5.7899000000000003</v>
      </c>
      <c r="J1062" s="1609">
        <v>5.7851999999999997</v>
      </c>
      <c r="K1062" s="1610"/>
      <c r="L1062" s="1607">
        <v>12</v>
      </c>
      <c r="M1062" s="345"/>
    </row>
    <row r="1063" spans="1:13">
      <c r="A1063" s="1605">
        <v>44481</v>
      </c>
      <c r="B1063" s="1606" t="s">
        <v>2668</v>
      </c>
      <c r="C1063" s="1607">
        <v>1092</v>
      </c>
      <c r="D1063" s="1605">
        <v>45573</v>
      </c>
      <c r="E1063" s="1608">
        <v>10</v>
      </c>
      <c r="F1063" s="1609">
        <v>59.766300000000001</v>
      </c>
      <c r="G1063" s="1609">
        <v>15</v>
      </c>
      <c r="H1063" s="1609"/>
      <c r="I1063" s="1609">
        <v>4.5499000000000001</v>
      </c>
      <c r="J1063" s="1609">
        <v>4.5130999999999997</v>
      </c>
      <c r="K1063" s="1610"/>
      <c r="L1063" s="1607">
        <v>12</v>
      </c>
      <c r="M1063" s="345"/>
    </row>
    <row r="1064" spans="1:13">
      <c r="A1064" s="1605">
        <v>44488</v>
      </c>
      <c r="B1064" s="1606" t="s">
        <v>2669</v>
      </c>
      <c r="C1064" s="1607">
        <v>2548</v>
      </c>
      <c r="D1064" s="1605">
        <v>47036</v>
      </c>
      <c r="E1064" s="1608">
        <v>10</v>
      </c>
      <c r="F1064" s="1609">
        <v>33.218499999999999</v>
      </c>
      <c r="G1064" s="1609">
        <v>9.5790000000000006</v>
      </c>
      <c r="H1064" s="1609"/>
      <c r="I1064" s="1609">
        <v>7.5</v>
      </c>
      <c r="J1064" s="1609">
        <v>7.2664999999999997</v>
      </c>
      <c r="K1064" s="1610"/>
      <c r="L1064" s="1607">
        <v>11</v>
      </c>
      <c r="M1064" s="345"/>
    </row>
    <row r="1065" spans="1:13">
      <c r="A1065" s="1605">
        <v>44495</v>
      </c>
      <c r="B1065" s="1606" t="s">
        <v>2670</v>
      </c>
      <c r="C1065" s="1607">
        <v>1820</v>
      </c>
      <c r="D1065" s="1605">
        <v>46315</v>
      </c>
      <c r="E1065" s="1608">
        <v>20</v>
      </c>
      <c r="F1065" s="1609">
        <v>87.937600000000003</v>
      </c>
      <c r="G1065" s="1609">
        <v>30</v>
      </c>
      <c r="H1065" s="1609"/>
      <c r="I1065" s="1609">
        <v>5.6999000000000004</v>
      </c>
      <c r="J1065" s="1609">
        <v>5.6731999999999996</v>
      </c>
      <c r="K1065" s="1610"/>
      <c r="L1065" s="1607">
        <v>12</v>
      </c>
      <c r="M1065" s="345"/>
    </row>
    <row r="1066" spans="1:13">
      <c r="A1066" s="1605">
        <v>44502</v>
      </c>
      <c r="B1066" s="1606" t="s">
        <v>2790</v>
      </c>
      <c r="C1066" s="1607">
        <v>1820</v>
      </c>
      <c r="D1066" s="1605">
        <v>46322</v>
      </c>
      <c r="E1066" s="1608">
        <v>10</v>
      </c>
      <c r="F1066" s="1609">
        <v>51.928100000000001</v>
      </c>
      <c r="G1066" s="1609">
        <v>10</v>
      </c>
      <c r="H1066" s="1609"/>
      <c r="I1066" s="1609">
        <v>5.6498999999999997</v>
      </c>
      <c r="J1066" s="1609">
        <v>5.6363000000000003</v>
      </c>
      <c r="K1066" s="1610"/>
      <c r="L1066" s="1607">
        <v>13</v>
      </c>
      <c r="M1066" s="345"/>
    </row>
    <row r="1067" spans="1:13">
      <c r="A1067" s="1605">
        <v>44516</v>
      </c>
      <c r="B1067" s="1606" t="s">
        <v>3321</v>
      </c>
      <c r="C1067" s="1607">
        <v>1092</v>
      </c>
      <c r="D1067" s="1605">
        <v>45608</v>
      </c>
      <c r="E1067" s="1608">
        <v>10</v>
      </c>
      <c r="F1067" s="1609">
        <v>63.238700000000001</v>
      </c>
      <c r="G1067" s="1609">
        <v>10</v>
      </c>
      <c r="H1067" s="1609"/>
      <c r="I1067" s="1609">
        <v>4.4000000000000004</v>
      </c>
      <c r="J1067" s="1609">
        <v>4.3000999999999996</v>
      </c>
      <c r="K1067" s="1610"/>
      <c r="L1067" s="1607">
        <v>13</v>
      </c>
      <c r="M1067" s="345"/>
    </row>
    <row r="1068" spans="1:13">
      <c r="A1068" s="1605">
        <v>44523</v>
      </c>
      <c r="B1068" s="1606" t="s">
        <v>3322</v>
      </c>
      <c r="C1068" s="1607">
        <v>2548</v>
      </c>
      <c r="D1068" s="1605">
        <v>47071</v>
      </c>
      <c r="E1068" s="1608">
        <v>10</v>
      </c>
      <c r="F1068" s="1609">
        <v>31.409400000000002</v>
      </c>
      <c r="G1068" s="1609">
        <v>6.1</v>
      </c>
      <c r="H1068" s="1609"/>
      <c r="I1068" s="1609">
        <v>7</v>
      </c>
      <c r="J1068" s="1609">
        <v>7</v>
      </c>
      <c r="K1068" s="1610"/>
      <c r="L1068" s="1607">
        <v>11</v>
      </c>
      <c r="M1068" s="345"/>
    </row>
    <row r="1069" spans="1:13">
      <c r="A1069" s="1605">
        <v>44537</v>
      </c>
      <c r="B1069" s="1606" t="s">
        <v>2797</v>
      </c>
      <c r="C1069" s="1607">
        <v>1820</v>
      </c>
      <c r="D1069" s="1605">
        <v>46357</v>
      </c>
      <c r="E1069" s="1608">
        <v>20</v>
      </c>
      <c r="F1069" s="1609">
        <v>90.423500000000004</v>
      </c>
      <c r="G1069" s="1609">
        <v>30</v>
      </c>
      <c r="H1069" s="1609"/>
      <c r="I1069" s="1609">
        <v>5.56</v>
      </c>
      <c r="J1069" s="1609">
        <v>5.5151000000000003</v>
      </c>
      <c r="K1069" s="1610"/>
      <c r="L1069" s="1607">
        <v>14</v>
      </c>
      <c r="M1069" s="345"/>
    </row>
    <row r="1070" spans="1:13">
      <c r="A1070" s="1605">
        <v>44544</v>
      </c>
      <c r="B1070" s="1606" t="s">
        <v>3323</v>
      </c>
      <c r="C1070" s="1607">
        <v>1820</v>
      </c>
      <c r="D1070" s="1605">
        <v>46364</v>
      </c>
      <c r="E1070" s="1608">
        <v>20</v>
      </c>
      <c r="F1070" s="1609">
        <v>100.9204</v>
      </c>
      <c r="G1070" s="1609">
        <v>20</v>
      </c>
      <c r="H1070" s="1609"/>
      <c r="I1070" s="1609">
        <v>5.7</v>
      </c>
      <c r="J1070" s="1609">
        <v>5.6661000000000001</v>
      </c>
      <c r="K1070" s="1610"/>
      <c r="L1070" s="1607">
        <v>12</v>
      </c>
      <c r="M1070" s="345"/>
    </row>
    <row r="1071" spans="1:13">
      <c r="A1071" s="1605">
        <v>44551</v>
      </c>
      <c r="B1071" s="1606" t="s">
        <v>2798</v>
      </c>
      <c r="C1071" s="1607">
        <v>2548</v>
      </c>
      <c r="D1071" s="1605">
        <v>47099</v>
      </c>
      <c r="E1071" s="1608">
        <v>10</v>
      </c>
      <c r="F1071" s="1609">
        <v>21.78</v>
      </c>
      <c r="G1071" s="1609">
        <v>0.25</v>
      </c>
      <c r="H1071" s="1609"/>
      <c r="I1071" s="1609">
        <v>7</v>
      </c>
      <c r="J1071" s="1609">
        <v>7</v>
      </c>
      <c r="K1071" s="1610"/>
      <c r="L1071" s="1607">
        <v>5</v>
      </c>
      <c r="M1071" s="345"/>
    </row>
    <row r="1072" spans="1:13">
      <c r="A1072" s="897">
        <v>2022</v>
      </c>
      <c r="B1072" s="1606"/>
      <c r="C1072" s="1607"/>
      <c r="D1072" s="1605"/>
      <c r="E1072" s="1608"/>
      <c r="F1072" s="1609"/>
      <c r="G1072" s="1609"/>
      <c r="H1072" s="1609"/>
      <c r="I1072" s="1609"/>
      <c r="J1072" s="1609"/>
      <c r="K1072" s="1610"/>
      <c r="L1072" s="1607"/>
      <c r="M1072" s="345"/>
    </row>
    <row r="1073" spans="1:13">
      <c r="A1073" s="1605">
        <v>44572</v>
      </c>
      <c r="B1073" s="1606" t="s">
        <v>2816</v>
      </c>
      <c r="C1073" s="1607">
        <v>1092</v>
      </c>
      <c r="D1073" s="1605">
        <v>45664</v>
      </c>
      <c r="E1073" s="1608">
        <v>40</v>
      </c>
      <c r="F1073" s="1609">
        <v>204.64410000000001</v>
      </c>
      <c r="G1073" s="1609">
        <v>60</v>
      </c>
      <c r="H1073" s="1609"/>
      <c r="I1073" s="1609">
        <v>4.3499999999999996</v>
      </c>
      <c r="J1073" s="1609">
        <v>4.2404000000000002</v>
      </c>
      <c r="K1073" s="1610"/>
      <c r="L1073" s="1607">
        <v>16</v>
      </c>
      <c r="M1073" s="345"/>
    </row>
    <row r="1074" spans="1:13">
      <c r="A1074" s="1605">
        <v>44579</v>
      </c>
      <c r="B1074" s="1606" t="s">
        <v>3324</v>
      </c>
      <c r="C1074" s="1607">
        <v>728</v>
      </c>
      <c r="D1074" s="1605">
        <v>45307</v>
      </c>
      <c r="E1074" s="1608">
        <v>5</v>
      </c>
      <c r="F1074" s="1609">
        <v>29.962</v>
      </c>
      <c r="G1074" s="1609">
        <v>7.5</v>
      </c>
      <c r="H1074" s="1609"/>
      <c r="I1074" s="1609">
        <v>3.5</v>
      </c>
      <c r="J1074" s="1609">
        <v>3.5</v>
      </c>
      <c r="K1074" s="1610"/>
      <c r="L1074" s="1607">
        <v>8</v>
      </c>
      <c r="M1074" s="345"/>
    </row>
    <row r="1075" spans="1:13">
      <c r="A1075" s="1605">
        <v>44586</v>
      </c>
      <c r="B1075" s="1606" t="s">
        <v>2817</v>
      </c>
      <c r="C1075" s="1607">
        <v>1820</v>
      </c>
      <c r="D1075" s="1605">
        <v>46406</v>
      </c>
      <c r="E1075" s="1608">
        <v>35</v>
      </c>
      <c r="F1075" s="1609">
        <v>136.024</v>
      </c>
      <c r="G1075" s="1609">
        <v>52.5</v>
      </c>
      <c r="H1075" s="1609"/>
      <c r="I1075" s="1609">
        <v>5.65</v>
      </c>
      <c r="J1075" s="1609">
        <v>5.6173999999999999</v>
      </c>
      <c r="K1075" s="1610"/>
      <c r="L1075" s="1607">
        <v>12</v>
      </c>
      <c r="M1075" s="345"/>
    </row>
    <row r="1076" spans="1:13">
      <c r="A1076" s="1605">
        <v>44593</v>
      </c>
      <c r="B1076" s="1606" t="s">
        <v>2823</v>
      </c>
      <c r="C1076" s="1607">
        <v>1092</v>
      </c>
      <c r="D1076" s="1605">
        <v>45685</v>
      </c>
      <c r="E1076" s="1608">
        <v>35</v>
      </c>
      <c r="F1076" s="1609">
        <v>127.61879999999999</v>
      </c>
      <c r="G1076" s="1609">
        <v>52.5</v>
      </c>
      <c r="H1076" s="1609"/>
      <c r="I1076" s="1609">
        <v>4.7489999999999997</v>
      </c>
      <c r="J1076" s="1609">
        <v>4.1192000000000002</v>
      </c>
      <c r="K1076" s="1610"/>
      <c r="L1076" s="1607">
        <v>9</v>
      </c>
      <c r="M1076" s="345"/>
    </row>
    <row r="1077" spans="1:13">
      <c r="A1077" s="1605">
        <v>44600</v>
      </c>
      <c r="B1077" s="1606" t="s">
        <v>2824</v>
      </c>
      <c r="C1077" s="1607">
        <v>2548</v>
      </c>
      <c r="D1077" s="1605">
        <v>47148</v>
      </c>
      <c r="E1077" s="1608">
        <v>20</v>
      </c>
      <c r="F1077" s="1609">
        <v>55.893500000000003</v>
      </c>
      <c r="G1077" s="1609">
        <v>1.1499999999999999</v>
      </c>
      <c r="H1077" s="1609"/>
      <c r="I1077" s="1609">
        <v>6.4733999999999998</v>
      </c>
      <c r="J1077" s="1609">
        <v>6.4733000000000001</v>
      </c>
      <c r="K1077" s="1610"/>
      <c r="L1077" s="1607">
        <v>9</v>
      </c>
      <c r="M1077" s="345"/>
    </row>
    <row r="1078" spans="1:13">
      <c r="A1078" s="1605">
        <v>44607</v>
      </c>
      <c r="B1078" s="1606" t="s">
        <v>2825</v>
      </c>
      <c r="C1078" s="1607">
        <v>1820</v>
      </c>
      <c r="D1078" s="1605">
        <v>46427</v>
      </c>
      <c r="E1078" s="1608">
        <v>25</v>
      </c>
      <c r="F1078" s="1609">
        <v>103.38209999999999</v>
      </c>
      <c r="G1078" s="1609">
        <v>37.5</v>
      </c>
      <c r="H1078" s="1609"/>
      <c r="I1078" s="1609">
        <v>5.5</v>
      </c>
      <c r="J1078" s="1609">
        <v>5.4759000000000002</v>
      </c>
      <c r="K1078" s="1610"/>
      <c r="L1078" s="1607">
        <v>14</v>
      </c>
      <c r="M1078" s="345"/>
    </row>
    <row r="1079" spans="1:13">
      <c r="A1079" s="1605">
        <v>44614</v>
      </c>
      <c r="B1079" s="1606" t="s">
        <v>2826</v>
      </c>
      <c r="C1079" s="1607">
        <v>1092</v>
      </c>
      <c r="D1079" s="1605">
        <v>45706</v>
      </c>
      <c r="E1079" s="1608">
        <v>30</v>
      </c>
      <c r="F1079" s="1609">
        <v>120.15349999999999</v>
      </c>
      <c r="G1079" s="1609">
        <v>45</v>
      </c>
      <c r="H1079" s="1609"/>
      <c r="I1079" s="1609">
        <v>4.4398</v>
      </c>
      <c r="J1079" s="1609">
        <v>4.2199</v>
      </c>
      <c r="K1079" s="1610"/>
      <c r="L1079" s="1607">
        <v>9</v>
      </c>
      <c r="M1079" s="345"/>
    </row>
    <row r="1080" spans="1:13">
      <c r="A1080" s="1605">
        <v>44621</v>
      </c>
      <c r="B1080" s="1606" t="s">
        <v>2829</v>
      </c>
      <c r="C1080" s="1607">
        <v>1092</v>
      </c>
      <c r="D1080" s="1605">
        <v>45713</v>
      </c>
      <c r="E1080" s="1608">
        <v>60</v>
      </c>
      <c r="F1080" s="1609">
        <v>209.77619999999999</v>
      </c>
      <c r="G1080" s="1609">
        <v>60</v>
      </c>
      <c r="H1080" s="1609"/>
      <c r="I1080" s="1609">
        <v>4.5</v>
      </c>
      <c r="J1080" s="1609">
        <v>4.484</v>
      </c>
      <c r="K1080" s="1610"/>
      <c r="L1080" s="1607">
        <v>11</v>
      </c>
      <c r="M1080" s="345"/>
    </row>
    <row r="1081" spans="1:13">
      <c r="A1081" s="1605">
        <v>44635</v>
      </c>
      <c r="B1081" s="1606" t="s">
        <v>2830</v>
      </c>
      <c r="C1081" s="1607">
        <v>1820</v>
      </c>
      <c r="D1081" s="1605">
        <v>46455</v>
      </c>
      <c r="E1081" s="1608">
        <v>50</v>
      </c>
      <c r="F1081" s="1609">
        <v>166.51599999999999</v>
      </c>
      <c r="G1081" s="1609">
        <v>31.9907</v>
      </c>
      <c r="H1081" s="1609"/>
      <c r="I1081" s="1609">
        <v>5.5</v>
      </c>
      <c r="J1081" s="1609">
        <v>5.5</v>
      </c>
      <c r="K1081" s="1610"/>
      <c r="L1081" s="1607">
        <v>11</v>
      </c>
      <c r="M1081" s="345"/>
    </row>
    <row r="1082" spans="1:13">
      <c r="A1082" s="1605">
        <v>44656</v>
      </c>
      <c r="B1082" s="1606" t="s">
        <v>3325</v>
      </c>
      <c r="C1082" s="1607">
        <v>728</v>
      </c>
      <c r="D1082" s="1605">
        <v>45384</v>
      </c>
      <c r="E1082" s="1608">
        <v>10</v>
      </c>
      <c r="F1082" s="1609">
        <v>35.599499999999999</v>
      </c>
      <c r="G1082" s="1609">
        <v>15</v>
      </c>
      <c r="H1082" s="1609"/>
      <c r="I1082" s="1609">
        <v>4</v>
      </c>
      <c r="J1082" s="1609">
        <v>3.8355000000000001</v>
      </c>
      <c r="K1082" s="1610"/>
      <c r="L1082" s="1607">
        <v>5</v>
      </c>
      <c r="M1082" s="345"/>
    </row>
    <row r="1083" spans="1:13">
      <c r="A1083" s="1605">
        <v>44663</v>
      </c>
      <c r="B1083" s="1606" t="s">
        <v>2836</v>
      </c>
      <c r="C1083" s="1607">
        <v>1092</v>
      </c>
      <c r="D1083" s="1605">
        <v>45755</v>
      </c>
      <c r="E1083" s="1608">
        <v>60</v>
      </c>
      <c r="F1083" s="1609">
        <v>198.68889999999999</v>
      </c>
      <c r="G1083" s="1609">
        <v>21.3596</v>
      </c>
      <c r="H1083" s="1609"/>
      <c r="I1083" s="1609">
        <v>4.5</v>
      </c>
      <c r="J1083" s="1609">
        <v>4.3015999999999996</v>
      </c>
      <c r="K1083" s="1610"/>
      <c r="L1083" s="1607">
        <v>11</v>
      </c>
      <c r="M1083" s="345"/>
    </row>
    <row r="1084" spans="1:13">
      <c r="A1084" s="1605">
        <v>44670</v>
      </c>
      <c r="B1084" s="1606" t="s">
        <v>3326</v>
      </c>
      <c r="C1084" s="1607">
        <v>1820</v>
      </c>
      <c r="D1084" s="1605">
        <v>46490</v>
      </c>
      <c r="E1084" s="1608">
        <v>30</v>
      </c>
      <c r="F1084" s="1609">
        <v>109.0372</v>
      </c>
      <c r="G1084" s="1609">
        <v>30.4785</v>
      </c>
      <c r="H1084" s="1609"/>
      <c r="I1084" s="1609">
        <v>6</v>
      </c>
      <c r="J1084" s="1609">
        <v>5.9215999999999998</v>
      </c>
      <c r="K1084" s="1610"/>
      <c r="L1084" s="1607">
        <v>10</v>
      </c>
      <c r="M1084" s="345"/>
    </row>
    <row r="1085" spans="1:13">
      <c r="A1085" s="1605">
        <v>44691</v>
      </c>
      <c r="B1085" s="1606" t="s">
        <v>3327</v>
      </c>
      <c r="C1085" s="1607">
        <v>364</v>
      </c>
      <c r="D1085" s="1605">
        <v>45055</v>
      </c>
      <c r="E1085" s="1608">
        <v>15</v>
      </c>
      <c r="F1085" s="1609">
        <v>95.346500000000006</v>
      </c>
      <c r="G1085" s="1609">
        <v>22.5</v>
      </c>
      <c r="H1085" s="1609"/>
      <c r="I1085" s="1609">
        <v>3.0998999999999999</v>
      </c>
      <c r="J1085" s="1609">
        <v>3.0428999999999999</v>
      </c>
      <c r="K1085" s="1610"/>
      <c r="L1085" s="1607">
        <v>11</v>
      </c>
      <c r="M1085" s="345"/>
    </row>
    <row r="1086" spans="1:13">
      <c r="A1086" s="1605">
        <v>44698</v>
      </c>
      <c r="B1086" s="1606" t="s">
        <v>2860</v>
      </c>
      <c r="C1086" s="1607">
        <v>1820</v>
      </c>
      <c r="D1086" s="1605">
        <v>46518</v>
      </c>
      <c r="E1086" s="1608">
        <v>40</v>
      </c>
      <c r="F1086" s="1609">
        <v>101.7466</v>
      </c>
      <c r="G1086" s="1609">
        <v>39.137599999999999</v>
      </c>
      <c r="H1086" s="1609"/>
      <c r="I1086" s="1609">
        <v>6.49</v>
      </c>
      <c r="J1086" s="1609">
        <v>6.1</v>
      </c>
      <c r="K1086" s="1610"/>
      <c r="L1086" s="1607">
        <v>11</v>
      </c>
      <c r="M1086" s="345"/>
    </row>
    <row r="1087" spans="1:13">
      <c r="A1087" s="1605">
        <v>44705</v>
      </c>
      <c r="B1087" s="1606" t="s">
        <v>2824</v>
      </c>
      <c r="C1087" s="1607">
        <v>2548</v>
      </c>
      <c r="D1087" s="1605">
        <v>47148</v>
      </c>
      <c r="E1087" s="1608">
        <v>10</v>
      </c>
      <c r="F1087" s="1609">
        <v>25.021100000000001</v>
      </c>
      <c r="G1087" s="1609">
        <v>10</v>
      </c>
      <c r="H1087" s="1609"/>
      <c r="I1087" s="1609">
        <v>7.6924000000000001</v>
      </c>
      <c r="J1087" s="1609">
        <v>7.5697999999999999</v>
      </c>
      <c r="K1087" s="1610"/>
      <c r="L1087" s="1607">
        <v>7</v>
      </c>
      <c r="M1087" s="345"/>
    </row>
    <row r="1088" spans="1:13">
      <c r="A1088" s="1605">
        <v>44712</v>
      </c>
      <c r="B1088" s="1606" t="s">
        <v>2861</v>
      </c>
      <c r="C1088" s="1607">
        <v>1092</v>
      </c>
      <c r="D1088" s="1605">
        <v>45804</v>
      </c>
      <c r="E1088" s="1608">
        <v>40</v>
      </c>
      <c r="F1088" s="1609">
        <v>163.90899999999999</v>
      </c>
      <c r="G1088" s="1609">
        <v>60</v>
      </c>
      <c r="H1088" s="1609"/>
      <c r="I1088" s="1609">
        <v>5</v>
      </c>
      <c r="J1088" s="1609">
        <v>4.9325999999999999</v>
      </c>
      <c r="K1088" s="1610"/>
      <c r="L1088" s="1607">
        <v>11</v>
      </c>
      <c r="M1088" s="345"/>
    </row>
    <row r="1089" spans="1:13">
      <c r="A1089" s="1605">
        <v>44719</v>
      </c>
      <c r="B1089" s="1606" t="s">
        <v>2869</v>
      </c>
      <c r="C1089" s="1607">
        <v>1820</v>
      </c>
      <c r="D1089" s="1605">
        <v>46539</v>
      </c>
      <c r="E1089" s="1608">
        <v>40</v>
      </c>
      <c r="F1089" s="1609">
        <v>104.2903</v>
      </c>
      <c r="G1089" s="1609">
        <v>56.532299999999999</v>
      </c>
      <c r="H1089" s="1609"/>
      <c r="I1089" s="1609">
        <v>7</v>
      </c>
      <c r="J1089" s="1609">
        <v>6.7335000000000003</v>
      </c>
      <c r="K1089" s="1610"/>
      <c r="L1089" s="1607">
        <v>12</v>
      </c>
      <c r="M1089" s="345"/>
    </row>
    <row r="1090" spans="1:13">
      <c r="A1090" s="1605">
        <v>44726</v>
      </c>
      <c r="B1090" s="1606" t="s">
        <v>2870</v>
      </c>
      <c r="C1090" s="1607">
        <v>728</v>
      </c>
      <c r="D1090" s="1605">
        <v>45454</v>
      </c>
      <c r="E1090" s="1608">
        <v>20</v>
      </c>
      <c r="F1090" s="1609">
        <v>101.1116</v>
      </c>
      <c r="G1090" s="1609">
        <v>20</v>
      </c>
      <c r="H1090" s="1609"/>
      <c r="I1090" s="1609">
        <v>5.15</v>
      </c>
      <c r="J1090" s="1609">
        <v>5.0292000000000003</v>
      </c>
      <c r="K1090" s="1610"/>
      <c r="L1090" s="1607">
        <v>14</v>
      </c>
      <c r="M1090" s="345"/>
    </row>
    <row r="1091" spans="1:13">
      <c r="A1091" s="1605">
        <v>44740</v>
      </c>
      <c r="B1091" s="1606" t="s">
        <v>2871</v>
      </c>
      <c r="C1091" s="1607">
        <v>1092</v>
      </c>
      <c r="D1091" s="1605">
        <v>45832</v>
      </c>
      <c r="E1091" s="1608">
        <v>40</v>
      </c>
      <c r="F1091" s="1609">
        <v>141.6678</v>
      </c>
      <c r="G1091" s="1609">
        <v>40.312399999999997</v>
      </c>
      <c r="H1091" s="1609"/>
      <c r="I1091" s="1609">
        <v>5.9</v>
      </c>
      <c r="J1091" s="1609">
        <v>5.4961000000000002</v>
      </c>
      <c r="K1091" s="1610"/>
      <c r="L1091" s="1607">
        <v>12</v>
      </c>
      <c r="M1091" s="345"/>
    </row>
    <row r="1092" spans="1:13">
      <c r="A1092" s="1605">
        <v>44747</v>
      </c>
      <c r="B1092" s="1606" t="s">
        <v>2873</v>
      </c>
      <c r="C1092" s="1607">
        <v>1820</v>
      </c>
      <c r="D1092" s="1605">
        <v>46567</v>
      </c>
      <c r="E1092" s="1608">
        <v>30</v>
      </c>
      <c r="F1092" s="1609">
        <v>46.2498</v>
      </c>
      <c r="G1092" s="1609">
        <v>12.4435</v>
      </c>
      <c r="H1092" s="1609"/>
      <c r="I1092" s="1609">
        <v>7.5</v>
      </c>
      <c r="J1092" s="1609">
        <v>7.3449</v>
      </c>
      <c r="K1092" s="1610"/>
      <c r="L1092" s="1607">
        <v>3</v>
      </c>
      <c r="M1092" s="345"/>
    </row>
    <row r="1093" spans="1:13">
      <c r="A1093" s="1605">
        <v>44761</v>
      </c>
      <c r="B1093" s="1606" t="s">
        <v>2874</v>
      </c>
      <c r="C1093" s="1607">
        <v>728</v>
      </c>
      <c r="D1093" s="1605">
        <v>45489</v>
      </c>
      <c r="E1093" s="1608">
        <v>20</v>
      </c>
      <c r="F1093" s="1609">
        <v>78.843599999999995</v>
      </c>
      <c r="G1093" s="1609">
        <v>20</v>
      </c>
      <c r="H1093" s="1609"/>
      <c r="I1093" s="1609">
        <v>5.4497999999999998</v>
      </c>
      <c r="J1093" s="1609">
        <v>5.1420000000000003</v>
      </c>
      <c r="K1093" s="1610"/>
      <c r="L1093" s="1607">
        <v>15</v>
      </c>
      <c r="M1093" s="345"/>
    </row>
    <row r="1094" spans="1:13">
      <c r="A1094" s="1605">
        <v>44768</v>
      </c>
      <c r="B1094" s="1606" t="s">
        <v>2871</v>
      </c>
      <c r="C1094" s="1607">
        <v>1092</v>
      </c>
      <c r="D1094" s="1605">
        <v>45832</v>
      </c>
      <c r="E1094" s="1608">
        <v>40</v>
      </c>
      <c r="F1094" s="1609">
        <v>131.4623</v>
      </c>
      <c r="G1094" s="1609">
        <v>40</v>
      </c>
      <c r="H1094" s="1609"/>
      <c r="I1094" s="1609">
        <v>5.9751000000000003</v>
      </c>
      <c r="J1094" s="1609">
        <v>5.8766999999999996</v>
      </c>
      <c r="K1094" s="1610"/>
      <c r="L1094" s="1607">
        <v>17</v>
      </c>
      <c r="M1094" s="345"/>
    </row>
    <row r="1095" spans="1:13">
      <c r="A1095" s="1605">
        <v>44775</v>
      </c>
      <c r="B1095" s="1606" t="s">
        <v>2876</v>
      </c>
      <c r="C1095" s="1607">
        <v>1820</v>
      </c>
      <c r="D1095" s="1605">
        <v>46595</v>
      </c>
      <c r="E1095" s="1608">
        <v>20</v>
      </c>
      <c r="F1095" s="1609">
        <v>31.1873</v>
      </c>
      <c r="G1095" s="1609">
        <v>18.874500000000001</v>
      </c>
      <c r="H1095" s="1609"/>
      <c r="I1095" s="1609">
        <v>8</v>
      </c>
      <c r="J1095" s="1609">
        <v>7.8482000000000003</v>
      </c>
      <c r="K1095" s="1610"/>
      <c r="L1095" s="1607">
        <v>4</v>
      </c>
      <c r="M1095" s="345"/>
    </row>
    <row r="1096" spans="1:13">
      <c r="A1096" s="1605">
        <v>44782</v>
      </c>
      <c r="B1096" s="1606" t="s">
        <v>2877</v>
      </c>
      <c r="C1096" s="1607">
        <v>1092</v>
      </c>
      <c r="D1096" s="1605">
        <v>45874</v>
      </c>
      <c r="E1096" s="1608">
        <v>30</v>
      </c>
      <c r="F1096" s="1609">
        <v>108.2783</v>
      </c>
      <c r="G1096" s="1609">
        <v>39.500399999999999</v>
      </c>
      <c r="H1096" s="1609"/>
      <c r="I1096" s="1609">
        <v>6.3898999999999999</v>
      </c>
      <c r="J1096" s="1609">
        <v>5.9783999999999997</v>
      </c>
      <c r="K1096" s="1610"/>
      <c r="L1096" s="1607">
        <v>19</v>
      </c>
      <c r="M1096" s="345"/>
    </row>
    <row r="1097" spans="1:13">
      <c r="A1097" s="1605">
        <v>44789</v>
      </c>
      <c r="B1097" s="1606" t="s">
        <v>2878</v>
      </c>
      <c r="C1097" s="1607">
        <v>728</v>
      </c>
      <c r="D1097" s="1605">
        <v>45517</v>
      </c>
      <c r="E1097" s="1608">
        <v>10</v>
      </c>
      <c r="F1097" s="1609">
        <v>66.422799999999995</v>
      </c>
      <c r="G1097" s="1609">
        <v>15</v>
      </c>
      <c r="H1097" s="1609"/>
      <c r="I1097" s="1609">
        <v>5.49</v>
      </c>
      <c r="J1097" s="1609">
        <v>5.3747999999999996</v>
      </c>
      <c r="K1097" s="1610"/>
      <c r="L1097" s="1607">
        <v>15</v>
      </c>
      <c r="M1097" s="345"/>
    </row>
    <row r="1098" spans="1:13">
      <c r="A1098" s="1605">
        <v>44796</v>
      </c>
      <c r="B1098" s="1606" t="s">
        <v>2871</v>
      </c>
      <c r="C1098" s="1607">
        <v>1092</v>
      </c>
      <c r="D1098" s="1605">
        <v>45832</v>
      </c>
      <c r="E1098" s="1608">
        <v>30</v>
      </c>
      <c r="F1098" s="1609">
        <v>105.6091</v>
      </c>
      <c r="G1098" s="1609">
        <v>45</v>
      </c>
      <c r="H1098" s="1609"/>
      <c r="I1098" s="1609">
        <v>6.4272999999999998</v>
      </c>
      <c r="J1098" s="1609">
        <v>6.1252000000000004</v>
      </c>
      <c r="K1098" s="1610"/>
      <c r="L1098" s="1607">
        <v>18</v>
      </c>
      <c r="M1098" s="345"/>
    </row>
    <row r="1099" spans="1:13">
      <c r="A1099" s="1605">
        <v>44810</v>
      </c>
      <c r="B1099" s="1606" t="s">
        <v>3336</v>
      </c>
      <c r="C1099" s="1607">
        <v>1820</v>
      </c>
      <c r="D1099" s="1605">
        <v>46630</v>
      </c>
      <c r="E1099" s="1608">
        <v>10</v>
      </c>
      <c r="F1099" s="1609">
        <v>30.698499999999999</v>
      </c>
      <c r="G1099" s="1609">
        <v>10</v>
      </c>
      <c r="H1099" s="1609"/>
      <c r="I1099" s="1609">
        <v>7.99</v>
      </c>
      <c r="J1099" s="1609">
        <v>7.7446999999999999</v>
      </c>
      <c r="K1099" s="1610"/>
      <c r="L1099" s="1607">
        <v>10</v>
      </c>
      <c r="M1099" s="345"/>
    </row>
    <row r="1100" spans="1:13">
      <c r="A1100" s="1605">
        <v>44817</v>
      </c>
      <c r="B1100" s="1606" t="s">
        <v>3337</v>
      </c>
      <c r="C1100" s="1607">
        <v>1092</v>
      </c>
      <c r="D1100" s="1605">
        <v>45909</v>
      </c>
      <c r="E1100" s="1608">
        <v>20</v>
      </c>
      <c r="F1100" s="1609">
        <v>57.448700000000002</v>
      </c>
      <c r="G1100" s="1609">
        <v>20</v>
      </c>
      <c r="H1100" s="1609"/>
      <c r="I1100" s="1609">
        <v>6.4</v>
      </c>
      <c r="J1100" s="1609">
        <v>6.218</v>
      </c>
      <c r="K1100" s="1610"/>
      <c r="L1100" s="1607">
        <v>14</v>
      </c>
      <c r="M1100" s="345"/>
    </row>
    <row r="1101" spans="1:13">
      <c r="A1101" s="1605">
        <v>44824</v>
      </c>
      <c r="B1101" s="1606" t="s">
        <v>3338</v>
      </c>
      <c r="C1101" s="1607">
        <v>728</v>
      </c>
      <c r="D1101" s="1605">
        <v>45552</v>
      </c>
      <c r="E1101" s="1608">
        <v>10</v>
      </c>
      <c r="F1101" s="1609">
        <v>52.043500000000002</v>
      </c>
      <c r="G1101" s="1609">
        <v>15</v>
      </c>
      <c r="H1101" s="1609"/>
      <c r="I1101" s="1609">
        <v>5.49</v>
      </c>
      <c r="J1101" s="1609">
        <v>5.3440000000000003</v>
      </c>
      <c r="K1101" s="1610"/>
      <c r="L1101" s="1607">
        <v>16</v>
      </c>
      <c r="M1101" s="345"/>
    </row>
    <row r="1102" spans="1:13">
      <c r="A1102" s="1605">
        <v>44831</v>
      </c>
      <c r="B1102" s="1606" t="s">
        <v>2871</v>
      </c>
      <c r="C1102" s="1607">
        <v>1092</v>
      </c>
      <c r="D1102" s="1605">
        <v>45832</v>
      </c>
      <c r="E1102" s="1608">
        <v>30</v>
      </c>
      <c r="F1102" s="1609">
        <v>87.384399999999999</v>
      </c>
      <c r="G1102" s="1609">
        <v>45</v>
      </c>
      <c r="H1102" s="1609"/>
      <c r="I1102" s="1609">
        <v>6.5670999999999999</v>
      </c>
      <c r="J1102" s="1609">
        <v>6.2248999999999999</v>
      </c>
      <c r="K1102" s="1610"/>
      <c r="L1102" s="1607">
        <v>16</v>
      </c>
      <c r="M1102" s="345"/>
    </row>
    <row r="1103" spans="1:13">
      <c r="A1103" s="1605">
        <v>44838</v>
      </c>
      <c r="B1103" s="1606" t="s">
        <v>3378</v>
      </c>
      <c r="C1103" s="1607">
        <v>1820</v>
      </c>
      <c r="D1103" s="1605">
        <v>46658</v>
      </c>
      <c r="E1103" s="1608">
        <v>20</v>
      </c>
      <c r="F1103" s="1609">
        <v>32.749000000000002</v>
      </c>
      <c r="G1103" s="1609">
        <v>14.4209</v>
      </c>
      <c r="H1103" s="1609"/>
      <c r="I1103" s="1609">
        <v>9</v>
      </c>
      <c r="J1103" s="1609">
        <v>8.7613000000000003</v>
      </c>
      <c r="K1103" s="1610"/>
      <c r="L1103" s="1607">
        <v>7</v>
      </c>
      <c r="M1103" s="345"/>
    </row>
    <row r="1104" spans="1:13">
      <c r="A1104" s="1605">
        <v>44845</v>
      </c>
      <c r="B1104" s="1606" t="s">
        <v>3379</v>
      </c>
      <c r="C1104" s="1607">
        <v>1092</v>
      </c>
      <c r="D1104" s="1605">
        <v>45937</v>
      </c>
      <c r="E1104" s="1608">
        <v>50</v>
      </c>
      <c r="F1104" s="1609">
        <v>171.1713</v>
      </c>
      <c r="G1104" s="1609">
        <v>50</v>
      </c>
      <c r="H1104" s="1609"/>
      <c r="I1104" s="1609">
        <v>7.5</v>
      </c>
      <c r="J1104" s="1609">
        <v>7.4141000000000004</v>
      </c>
      <c r="K1104" s="1610"/>
      <c r="L1104" s="1607">
        <v>19</v>
      </c>
      <c r="M1104" s="345"/>
    </row>
    <row r="1105" spans="1:13">
      <c r="A1105" s="1605">
        <v>44852</v>
      </c>
      <c r="B1105" s="1606" t="s">
        <v>3380</v>
      </c>
      <c r="C1105" s="1607">
        <v>728</v>
      </c>
      <c r="D1105" s="1605">
        <v>45580</v>
      </c>
      <c r="E1105" s="1608">
        <v>15</v>
      </c>
      <c r="F1105" s="1609">
        <v>106.12009999999999</v>
      </c>
      <c r="G1105" s="1609">
        <v>15</v>
      </c>
      <c r="H1105" s="1609"/>
      <c r="I1105" s="1609">
        <v>5.49</v>
      </c>
      <c r="J1105" s="1609">
        <v>5.49</v>
      </c>
      <c r="K1105" s="1610"/>
      <c r="L1105" s="1607">
        <v>16</v>
      </c>
      <c r="M1105" s="345"/>
    </row>
    <row r="1106" spans="1:13">
      <c r="A1106" s="1605">
        <v>44859</v>
      </c>
      <c r="B1106" s="1606" t="s">
        <v>2871</v>
      </c>
      <c r="C1106" s="1607">
        <v>1092</v>
      </c>
      <c r="D1106" s="1605">
        <v>45832</v>
      </c>
      <c r="E1106" s="1608">
        <v>30</v>
      </c>
      <c r="F1106" s="1609">
        <v>109.6512</v>
      </c>
      <c r="G1106" s="1609">
        <v>45</v>
      </c>
      <c r="H1106" s="1609"/>
      <c r="I1106" s="1609">
        <v>7.7994000000000003</v>
      </c>
      <c r="J1106" s="1609">
        <v>7.4866999999999999</v>
      </c>
      <c r="K1106" s="1610"/>
      <c r="L1106" s="1607">
        <v>19</v>
      </c>
      <c r="M1106" s="345"/>
    </row>
    <row r="1107" spans="1:13">
      <c r="A1107" s="1605">
        <v>44866</v>
      </c>
      <c r="B1107" s="1606" t="s">
        <v>3400</v>
      </c>
      <c r="C1107" s="1607">
        <v>1820</v>
      </c>
      <c r="D1107" s="1605">
        <v>46686</v>
      </c>
      <c r="E1107" s="1608">
        <v>20</v>
      </c>
      <c r="F1107" s="1609">
        <v>48.350999999999999</v>
      </c>
      <c r="G1107" s="1609">
        <v>20</v>
      </c>
      <c r="H1107" s="1609"/>
      <c r="I1107" s="1609">
        <v>9.5</v>
      </c>
      <c r="J1107" s="1609">
        <v>9.3191000000000006</v>
      </c>
      <c r="K1107" s="1610"/>
      <c r="L1107" s="1607">
        <v>10</v>
      </c>
      <c r="M1107" s="345"/>
    </row>
    <row r="1108" spans="1:13">
      <c r="A1108" s="1605">
        <v>44880</v>
      </c>
      <c r="B1108" s="1606" t="s">
        <v>3401</v>
      </c>
      <c r="C1108" s="1607">
        <v>1092</v>
      </c>
      <c r="D1108" s="1605">
        <v>45972</v>
      </c>
      <c r="E1108" s="1608">
        <v>50</v>
      </c>
      <c r="F1108" s="1609">
        <v>204.679</v>
      </c>
      <c r="G1108" s="1609">
        <v>75</v>
      </c>
      <c r="H1108" s="1609"/>
      <c r="I1108" s="1609">
        <v>8.25</v>
      </c>
      <c r="J1108" s="1609">
        <v>8.0477000000000007</v>
      </c>
      <c r="K1108" s="1610"/>
      <c r="L1108" s="1607">
        <v>16</v>
      </c>
      <c r="M1108" s="345"/>
    </row>
    <row r="1109" spans="1:13">
      <c r="A1109" s="1605">
        <v>44887</v>
      </c>
      <c r="B1109" s="1606" t="s">
        <v>3402</v>
      </c>
      <c r="C1109" s="1607">
        <v>728</v>
      </c>
      <c r="D1109" s="1605">
        <v>45615</v>
      </c>
      <c r="E1109" s="1608">
        <v>30</v>
      </c>
      <c r="F1109" s="1609">
        <v>138.054</v>
      </c>
      <c r="G1109" s="1609">
        <v>45</v>
      </c>
      <c r="H1109" s="1609"/>
      <c r="I1109" s="1609">
        <v>6</v>
      </c>
      <c r="J1109" s="1609">
        <v>5.9532999999999996</v>
      </c>
      <c r="K1109" s="1610"/>
      <c r="L1109" s="1607">
        <v>17</v>
      </c>
      <c r="M1109" s="345"/>
    </row>
    <row r="1110" spans="1:13">
      <c r="A1110" s="1605">
        <v>44887</v>
      </c>
      <c r="B1110" s="1606" t="s">
        <v>3403</v>
      </c>
      <c r="C1110" s="1607">
        <v>364</v>
      </c>
      <c r="D1110" s="1605">
        <v>45251</v>
      </c>
      <c r="E1110" s="1608">
        <v>100</v>
      </c>
      <c r="F1110" s="1609">
        <v>436.03250000000003</v>
      </c>
      <c r="G1110" s="1609">
        <v>93.453199999999995</v>
      </c>
      <c r="H1110" s="1609"/>
      <c r="I1110" s="1609">
        <v>4.8998999999999997</v>
      </c>
      <c r="J1110" s="1609">
        <v>4.2451999999999996</v>
      </c>
      <c r="K1110" s="1610"/>
      <c r="L1110" s="1607">
        <v>16</v>
      </c>
      <c r="M1110" s="345"/>
    </row>
    <row r="1111" spans="1:13">
      <c r="A1111" s="1605">
        <v>44894</v>
      </c>
      <c r="B1111" s="1606" t="s">
        <v>3404</v>
      </c>
      <c r="C1111" s="1607">
        <v>364</v>
      </c>
      <c r="D1111" s="1605">
        <v>45258</v>
      </c>
      <c r="E1111" s="1608">
        <v>100</v>
      </c>
      <c r="F1111" s="1609">
        <v>466.3963</v>
      </c>
      <c r="G1111" s="1609">
        <v>150</v>
      </c>
      <c r="H1111" s="1609"/>
      <c r="I1111" s="1609">
        <v>4.4999000000000002</v>
      </c>
      <c r="J1111" s="1609">
        <v>4.3697999999999997</v>
      </c>
      <c r="K1111" s="1610"/>
      <c r="L1111" s="1607">
        <v>15</v>
      </c>
      <c r="M1111" s="345"/>
    </row>
    <row r="1112" spans="1:13">
      <c r="A1112" s="1605">
        <v>44901</v>
      </c>
      <c r="B1112" s="1606" t="s">
        <v>2871</v>
      </c>
      <c r="C1112" s="1607">
        <v>1092</v>
      </c>
      <c r="D1112" s="1605">
        <v>45832</v>
      </c>
      <c r="E1112" s="1608">
        <v>25</v>
      </c>
      <c r="F1112" s="1609">
        <v>162.9376</v>
      </c>
      <c r="G1112" s="1609">
        <v>25</v>
      </c>
      <c r="H1112" s="1609"/>
      <c r="I1112" s="1609">
        <v>7.6036000000000001</v>
      </c>
      <c r="J1112" s="1609">
        <v>7.5606999999999998</v>
      </c>
      <c r="K1112" s="1610"/>
      <c r="L1112" s="1607">
        <v>22</v>
      </c>
      <c r="M1112" s="345"/>
    </row>
    <row r="1113" spans="1:13">
      <c r="A1113" s="1605">
        <v>44915</v>
      </c>
      <c r="B1113" s="1606" t="s">
        <v>3440</v>
      </c>
      <c r="C1113" s="1607">
        <v>364</v>
      </c>
      <c r="D1113" s="1605">
        <v>45279</v>
      </c>
      <c r="E1113" s="1608">
        <v>200</v>
      </c>
      <c r="F1113" s="1609">
        <v>213.41550000000001</v>
      </c>
      <c r="G1113" s="1609">
        <v>200</v>
      </c>
      <c r="H1113" s="1609"/>
      <c r="I1113" s="1609">
        <v>7.25</v>
      </c>
      <c r="J1113" s="1609">
        <v>6.0297999999999998</v>
      </c>
      <c r="K1113" s="1610"/>
      <c r="L1113" s="1607">
        <v>14</v>
      </c>
      <c r="M1113" s="345"/>
    </row>
    <row r="1114" spans="1:13">
      <c r="A1114" s="1605">
        <v>44915</v>
      </c>
      <c r="B1114" s="1606" t="s">
        <v>3441</v>
      </c>
      <c r="C1114" s="1607">
        <v>1092</v>
      </c>
      <c r="D1114" s="1605">
        <v>46007</v>
      </c>
      <c r="E1114" s="1608">
        <v>150</v>
      </c>
      <c r="F1114" s="1609">
        <v>166.4282</v>
      </c>
      <c r="G1114" s="1609">
        <v>150</v>
      </c>
      <c r="H1114" s="1609"/>
      <c r="I1114" s="1609">
        <v>10</v>
      </c>
      <c r="J1114" s="1609">
        <v>8.8177000000000003</v>
      </c>
      <c r="K1114" s="1610"/>
      <c r="L1114" s="1607">
        <v>22</v>
      </c>
      <c r="M1114" s="345"/>
    </row>
    <row r="1115" spans="1:13">
      <c r="A1115" s="1605">
        <v>44922</v>
      </c>
      <c r="B1115" s="1606" t="s">
        <v>3442</v>
      </c>
      <c r="C1115" s="1607">
        <v>364</v>
      </c>
      <c r="D1115" s="1605">
        <v>45286</v>
      </c>
      <c r="E1115" s="1608">
        <v>150</v>
      </c>
      <c r="F1115" s="1609">
        <v>280.50049999999999</v>
      </c>
      <c r="G1115" s="1609">
        <v>120</v>
      </c>
      <c r="H1115" s="1609"/>
      <c r="I1115" s="1609">
        <v>8.49</v>
      </c>
      <c r="J1115" s="1609">
        <v>8.0086999999999993</v>
      </c>
      <c r="K1115" s="1610"/>
      <c r="L1115" s="1607">
        <v>23</v>
      </c>
      <c r="M1115" s="345"/>
    </row>
    <row r="1116" spans="1:13">
      <c r="A1116" s="1605">
        <v>44922</v>
      </c>
      <c r="B1116" s="1606" t="s">
        <v>3443</v>
      </c>
      <c r="C1116" s="1607">
        <v>728</v>
      </c>
      <c r="D1116" s="1605">
        <v>45650</v>
      </c>
      <c r="E1116" s="1608">
        <v>150</v>
      </c>
      <c r="F1116" s="1609">
        <v>137.46209999999999</v>
      </c>
      <c r="G1116" s="1609">
        <v>60</v>
      </c>
      <c r="H1116" s="1609"/>
      <c r="I1116" s="1609">
        <v>9.99</v>
      </c>
      <c r="J1116" s="1609">
        <v>9.2604000000000006</v>
      </c>
      <c r="K1116" s="1610"/>
      <c r="L1116" s="1607">
        <v>23</v>
      </c>
      <c r="M1116" s="345"/>
    </row>
    <row r="1117" spans="1:13">
      <c r="A1117" s="1605">
        <v>44924</v>
      </c>
      <c r="B1117" s="1606" t="s">
        <v>3444</v>
      </c>
      <c r="C1117" s="1607">
        <v>306</v>
      </c>
      <c r="D1117" s="1605">
        <v>45230</v>
      </c>
      <c r="E1117" s="1608">
        <v>500</v>
      </c>
      <c r="F1117" s="1609">
        <v>683.12710000000004</v>
      </c>
      <c r="G1117" s="1609">
        <v>500</v>
      </c>
      <c r="H1117" s="1609"/>
      <c r="I1117" s="1609">
        <v>4.4999000000000002</v>
      </c>
      <c r="J1117" s="1609">
        <v>4.4999000000000002</v>
      </c>
      <c r="K1117" s="1610"/>
      <c r="L1117" s="1607">
        <v>24</v>
      </c>
      <c r="M1117" s="345"/>
    </row>
    <row r="1118" spans="1:13">
      <c r="A1118" s="1255">
        <v>2023</v>
      </c>
      <c r="B1118" s="1611"/>
      <c r="C1118" s="1607"/>
      <c r="D1118" s="1605"/>
      <c r="E1118" s="1608"/>
      <c r="F1118" s="1609"/>
      <c r="G1118" s="1609"/>
      <c r="H1118" s="1609"/>
      <c r="I1118" s="1609"/>
      <c r="J1118" s="1609"/>
      <c r="K1118" s="1610"/>
      <c r="L1118" s="1607"/>
      <c r="M1118" s="345"/>
    </row>
    <row r="1119" spans="1:13">
      <c r="A1119" s="1605">
        <v>44943</v>
      </c>
      <c r="B1119" s="1606" t="s">
        <v>3513</v>
      </c>
      <c r="C1119" s="1607">
        <v>728</v>
      </c>
      <c r="D1119" s="1605">
        <v>45671</v>
      </c>
      <c r="E1119" s="1608">
        <v>50</v>
      </c>
      <c r="F1119" s="1609">
        <v>136.2852</v>
      </c>
      <c r="G1119" s="1609">
        <v>50</v>
      </c>
      <c r="H1119" s="1609"/>
      <c r="I1119" s="1609">
        <v>9.27</v>
      </c>
      <c r="J1119" s="1609">
        <v>9.1536000000000008</v>
      </c>
      <c r="K1119" s="1610"/>
      <c r="L1119" s="1607">
        <v>17</v>
      </c>
      <c r="M1119" s="345"/>
    </row>
    <row r="1120" spans="1:13">
      <c r="A1120" s="1605">
        <v>44950</v>
      </c>
      <c r="B1120" s="1606" t="s">
        <v>3514</v>
      </c>
      <c r="C1120" s="1607">
        <v>364</v>
      </c>
      <c r="D1120" s="1605">
        <v>45314</v>
      </c>
      <c r="E1120" s="1608">
        <v>50</v>
      </c>
      <c r="F1120" s="1609">
        <v>167.43299999999999</v>
      </c>
      <c r="G1120" s="1609">
        <v>50</v>
      </c>
      <c r="H1120" s="1609"/>
      <c r="I1120" s="1609">
        <v>7.92</v>
      </c>
      <c r="J1120" s="1609">
        <v>7.5391000000000004</v>
      </c>
      <c r="K1120" s="1610"/>
      <c r="L1120" s="1607">
        <v>20</v>
      </c>
      <c r="M1120" s="345"/>
    </row>
    <row r="1121" spans="1:13">
      <c r="A1121" s="1605">
        <v>44957</v>
      </c>
      <c r="B1121" s="1606" t="s">
        <v>3515</v>
      </c>
      <c r="C1121" s="1607">
        <v>1092</v>
      </c>
      <c r="D1121" s="1605">
        <v>46049</v>
      </c>
      <c r="E1121" s="1608">
        <v>50</v>
      </c>
      <c r="F1121" s="1609">
        <v>149.78469999999999</v>
      </c>
      <c r="G1121" s="1609">
        <v>50</v>
      </c>
      <c r="H1121" s="1609"/>
      <c r="I1121" s="1609">
        <v>9.99</v>
      </c>
      <c r="J1121" s="1609">
        <v>9.7223000000000006</v>
      </c>
      <c r="K1121" s="1610"/>
      <c r="L1121" s="1607">
        <v>22</v>
      </c>
      <c r="M1121" s="345"/>
    </row>
    <row r="1122" spans="1:13">
      <c r="A1122" s="1605">
        <v>44964</v>
      </c>
      <c r="B1122" s="1606" t="s">
        <v>3521</v>
      </c>
      <c r="C1122" s="1607">
        <v>364</v>
      </c>
      <c r="D1122" s="1605">
        <v>45445</v>
      </c>
      <c r="E1122" s="1608">
        <v>50</v>
      </c>
      <c r="F1122" s="1609">
        <v>199.9074</v>
      </c>
      <c r="G1122" s="1609">
        <v>50</v>
      </c>
      <c r="H1122" s="1609"/>
      <c r="I1122" s="1609">
        <v>7.75</v>
      </c>
      <c r="J1122" s="1609">
        <v>6.9678000000000004</v>
      </c>
      <c r="K1122" s="1610"/>
      <c r="L1122" s="1607">
        <v>25</v>
      </c>
      <c r="M1122" s="345"/>
    </row>
    <row r="1123" spans="1:13">
      <c r="A1123" s="1605">
        <v>44971</v>
      </c>
      <c r="B1123" s="1606" t="s">
        <v>3522</v>
      </c>
      <c r="C1123" s="1607">
        <v>1092</v>
      </c>
      <c r="D1123" s="1605">
        <v>46297</v>
      </c>
      <c r="E1123" s="1608">
        <v>40</v>
      </c>
      <c r="F1123" s="1609">
        <v>120.73050000000001</v>
      </c>
      <c r="G1123" s="1609">
        <v>60</v>
      </c>
      <c r="H1123" s="1609"/>
      <c r="I1123" s="1609">
        <v>9.99</v>
      </c>
      <c r="J1123" s="1609">
        <v>9.8650000000000002</v>
      </c>
      <c r="K1123" s="1610"/>
      <c r="L1123" s="1607">
        <v>17</v>
      </c>
      <c r="M1123" s="345"/>
    </row>
    <row r="1124" spans="1:13">
      <c r="A1124" s="1605">
        <v>44978</v>
      </c>
      <c r="B1124" s="1606" t="s">
        <v>3523</v>
      </c>
      <c r="C1124" s="1607">
        <v>728</v>
      </c>
      <c r="D1124" s="1605">
        <v>45706</v>
      </c>
      <c r="E1124" s="1608">
        <v>40</v>
      </c>
      <c r="F1124" s="1609">
        <v>144.64429999999999</v>
      </c>
      <c r="G1124" s="1609">
        <v>47.051499999999997</v>
      </c>
      <c r="H1124" s="1609"/>
      <c r="I1124" s="1609">
        <v>9.15</v>
      </c>
      <c r="J1124" s="1609">
        <v>9.0353999999999992</v>
      </c>
      <c r="K1124" s="1610"/>
      <c r="L1124" s="1607">
        <v>26</v>
      </c>
      <c r="M1124" s="345"/>
    </row>
    <row r="1125" spans="1:13">
      <c r="A1125" s="1605">
        <v>44985</v>
      </c>
      <c r="B1125" s="1606" t="s">
        <v>3524</v>
      </c>
      <c r="C1125" s="1607">
        <v>1092</v>
      </c>
      <c r="D1125" s="1605">
        <v>46077</v>
      </c>
      <c r="E1125" s="1608">
        <v>40</v>
      </c>
      <c r="F1125" s="1609">
        <v>116.758</v>
      </c>
      <c r="G1125" s="1609">
        <v>40</v>
      </c>
      <c r="H1125" s="1609"/>
      <c r="I1125" s="1609">
        <v>9.6896000000000004</v>
      </c>
      <c r="J1125" s="1609">
        <v>9.5000999999999998</v>
      </c>
      <c r="K1125" s="1610"/>
      <c r="L1125" s="1607">
        <v>22</v>
      </c>
      <c r="M1125" s="345"/>
    </row>
    <row r="1126" spans="1:13">
      <c r="A1126" s="1605">
        <v>44992</v>
      </c>
      <c r="B1126" s="1606" t="s">
        <v>3528</v>
      </c>
      <c r="C1126" s="1607">
        <v>364</v>
      </c>
      <c r="D1126" s="1605">
        <v>45415</v>
      </c>
      <c r="E1126" s="1608">
        <v>70</v>
      </c>
      <c r="F1126" s="1609">
        <v>273.95330000000001</v>
      </c>
      <c r="G1126" s="1609">
        <v>70</v>
      </c>
      <c r="H1126" s="1609"/>
      <c r="I1126" s="1609">
        <v>6.5580999999999996</v>
      </c>
      <c r="J1126" s="1609">
        <v>6.5155000000000003</v>
      </c>
      <c r="K1126" s="1610"/>
      <c r="L1126" s="1607">
        <v>27</v>
      </c>
      <c r="M1126" s="345"/>
    </row>
    <row r="1127" spans="1:13">
      <c r="A1127" s="1605">
        <v>44999</v>
      </c>
      <c r="B1127" s="1606" t="s">
        <v>3529</v>
      </c>
      <c r="C1127" s="1607">
        <v>1092</v>
      </c>
      <c r="D1127" s="1605">
        <v>46298</v>
      </c>
      <c r="E1127" s="1608">
        <v>40</v>
      </c>
      <c r="F1127" s="1609">
        <v>142.22649999999999</v>
      </c>
      <c r="G1127" s="1609">
        <v>40</v>
      </c>
      <c r="H1127" s="1609"/>
      <c r="I1127" s="1609">
        <v>9.34</v>
      </c>
      <c r="J1127" s="1609">
        <v>9.1082999999999998</v>
      </c>
      <c r="K1127" s="1610"/>
      <c r="L1127" s="1607">
        <v>28</v>
      </c>
      <c r="M1127" s="345"/>
    </row>
    <row r="1128" spans="1:13">
      <c r="A1128" s="1605">
        <v>45020</v>
      </c>
      <c r="B1128" s="1606" t="s">
        <v>3637</v>
      </c>
      <c r="C1128" s="1607" t="s">
        <v>2376</v>
      </c>
      <c r="D1128" s="1605">
        <v>45326</v>
      </c>
      <c r="E1128" s="1608">
        <v>50</v>
      </c>
      <c r="F1128" s="1609">
        <v>219.36371700000001</v>
      </c>
      <c r="G1128" s="1609">
        <v>75</v>
      </c>
      <c r="H1128" s="1609"/>
      <c r="I1128" s="1609">
        <v>5.9999000000000002</v>
      </c>
      <c r="J1128" s="1609">
        <v>5.7028999999999996</v>
      </c>
      <c r="K1128" s="1610"/>
      <c r="L1128" s="1607">
        <v>17</v>
      </c>
      <c r="M1128" s="345"/>
    </row>
    <row r="1129" spans="1:13">
      <c r="A1129" s="1605">
        <v>45027</v>
      </c>
      <c r="B1129" s="1606" t="s">
        <v>3638</v>
      </c>
      <c r="C1129" s="1607">
        <v>1092</v>
      </c>
      <c r="D1129" s="1605">
        <v>46207</v>
      </c>
      <c r="E1129" s="1608">
        <v>40</v>
      </c>
      <c r="F1129" s="1609">
        <v>181.7193</v>
      </c>
      <c r="G1129" s="1609">
        <v>60</v>
      </c>
      <c r="H1129" s="1609"/>
      <c r="I1129" s="1609">
        <v>8.75</v>
      </c>
      <c r="J1129" s="1609">
        <v>8.3712999999999997</v>
      </c>
      <c r="K1129" s="1610"/>
      <c r="L1129" s="1607">
        <v>25</v>
      </c>
      <c r="M1129" s="345"/>
    </row>
    <row r="1130" spans="1:13">
      <c r="A1130" s="1605">
        <v>45034</v>
      </c>
      <c r="B1130" s="1606" t="s">
        <v>3639</v>
      </c>
      <c r="C1130" s="1607" t="s">
        <v>3715</v>
      </c>
      <c r="D1130" s="1605">
        <v>45762</v>
      </c>
      <c r="E1130" s="1608">
        <v>30</v>
      </c>
      <c r="F1130" s="1609">
        <v>137.9145</v>
      </c>
      <c r="G1130" s="1609">
        <v>45</v>
      </c>
      <c r="H1130" s="1609"/>
      <c r="I1130" s="1609">
        <v>7.24</v>
      </c>
      <c r="J1130" s="1609">
        <v>7.1605999999999996</v>
      </c>
      <c r="K1130" s="1610"/>
      <c r="L1130" s="1607" t="s">
        <v>3716</v>
      </c>
      <c r="M1130" s="345"/>
    </row>
    <row r="1131" spans="1:13">
      <c r="A1131" s="1605">
        <v>45041</v>
      </c>
      <c r="B1131" s="1606" t="s">
        <v>3640</v>
      </c>
      <c r="C1131" s="1607" t="s">
        <v>2555</v>
      </c>
      <c r="D1131" s="1605">
        <v>46133</v>
      </c>
      <c r="E1131" s="1608">
        <v>50</v>
      </c>
      <c r="F1131" s="1609">
        <v>153.4674</v>
      </c>
      <c r="G1131" s="1609">
        <v>50</v>
      </c>
      <c r="H1131" s="1609"/>
      <c r="I1131" s="1609">
        <v>8.1999999999999993</v>
      </c>
      <c r="J1131" s="1609">
        <v>8.0004000000000008</v>
      </c>
      <c r="K1131" s="1610"/>
      <c r="L1131" s="1607" t="s">
        <v>3717</v>
      </c>
      <c r="M1131" s="345"/>
    </row>
    <row r="1132" spans="1:13">
      <c r="A1132" s="1605">
        <v>45048</v>
      </c>
      <c r="B1132" s="1606" t="s">
        <v>3718</v>
      </c>
      <c r="C1132" s="1607">
        <v>728</v>
      </c>
      <c r="D1132" s="1605">
        <v>45776</v>
      </c>
      <c r="E1132" s="1608">
        <v>30</v>
      </c>
      <c r="F1132" s="1609">
        <v>131.1354</v>
      </c>
      <c r="G1132" s="1609">
        <v>45</v>
      </c>
      <c r="H1132" s="1609"/>
      <c r="I1132" s="1609">
        <v>7.07</v>
      </c>
      <c r="J1132" s="1609">
        <v>6.9782999999999999</v>
      </c>
      <c r="K1132" s="1610"/>
      <c r="L1132" s="1607">
        <v>18</v>
      </c>
      <c r="M1132" s="345"/>
    </row>
    <row r="1133" spans="1:13">
      <c r="A1133" s="1605">
        <v>45062</v>
      </c>
      <c r="B1133" s="1606" t="s">
        <v>3719</v>
      </c>
      <c r="C1133" s="1607">
        <v>1820</v>
      </c>
      <c r="D1133" s="1605">
        <v>47001</v>
      </c>
      <c r="E1133" s="1608">
        <v>20</v>
      </c>
      <c r="F1133" s="1609">
        <v>90.863399999999999</v>
      </c>
      <c r="G1133" s="1609">
        <v>20</v>
      </c>
      <c r="H1133" s="1609"/>
      <c r="I1133" s="1609">
        <v>9.15</v>
      </c>
      <c r="J1133" s="1609">
        <v>8.7135999999999996</v>
      </c>
      <c r="K1133" s="1610"/>
      <c r="L1133" s="1607">
        <v>20</v>
      </c>
      <c r="M1133" s="345"/>
    </row>
    <row r="1134" spans="1:13">
      <c r="A1134" s="1605">
        <v>45069</v>
      </c>
      <c r="B1134" s="1606" t="s">
        <v>3720</v>
      </c>
      <c r="C1134" s="1607">
        <v>728</v>
      </c>
      <c r="D1134" s="1605">
        <v>45797</v>
      </c>
      <c r="E1134" s="1608">
        <v>30</v>
      </c>
      <c r="F1134" s="1609">
        <v>133.66120000000001</v>
      </c>
      <c r="G1134" s="1609">
        <v>45</v>
      </c>
      <c r="H1134" s="1609"/>
      <c r="I1134" s="1609">
        <v>7.3</v>
      </c>
      <c r="J1134" s="1609">
        <v>7.1890999999999998</v>
      </c>
      <c r="K1134" s="1610"/>
      <c r="L1134" s="1607">
        <v>14</v>
      </c>
      <c r="M1134" s="345"/>
    </row>
    <row r="1135" spans="1:13">
      <c r="A1135" s="1605">
        <v>45076</v>
      </c>
      <c r="B1135" s="1606" t="s">
        <v>3640</v>
      </c>
      <c r="C1135" s="1607">
        <v>1092</v>
      </c>
      <c r="D1135" s="1605">
        <v>46133</v>
      </c>
      <c r="E1135" s="1608">
        <v>50</v>
      </c>
      <c r="F1135" s="1609">
        <v>82.994399999999999</v>
      </c>
      <c r="G1135" s="1609">
        <v>45.262999999999998</v>
      </c>
      <c r="H1135" s="1609"/>
      <c r="I1135" s="1609">
        <v>9.3188999999999993</v>
      </c>
      <c r="J1135" s="1609">
        <v>8.4411000000000005</v>
      </c>
      <c r="K1135" s="1610"/>
      <c r="L1135" s="1607">
        <v>16</v>
      </c>
      <c r="M1135" s="345"/>
    </row>
    <row r="1136" spans="1:13">
      <c r="A1136" s="1605">
        <v>45083</v>
      </c>
      <c r="B1136" s="1606" t="s">
        <v>3786</v>
      </c>
      <c r="C1136" s="1607">
        <v>364</v>
      </c>
      <c r="D1136" s="1605">
        <v>45388</v>
      </c>
      <c r="E1136" s="1608">
        <v>40</v>
      </c>
      <c r="F1136" s="1609">
        <v>164.1739</v>
      </c>
      <c r="G1136" s="1609">
        <v>60</v>
      </c>
      <c r="H1136" s="1609"/>
      <c r="I1136" s="1609">
        <v>6.49</v>
      </c>
      <c r="J1136" s="1609">
        <v>6.218</v>
      </c>
      <c r="K1136" s="1610"/>
      <c r="L1136" s="1607">
        <v>15</v>
      </c>
      <c r="M1136" s="345"/>
    </row>
    <row r="1137" spans="1:13">
      <c r="A1137" s="1605">
        <v>45090</v>
      </c>
      <c r="B1137" s="1606" t="s">
        <v>3787</v>
      </c>
      <c r="C1137" s="1607">
        <v>1820</v>
      </c>
      <c r="D1137" s="1605">
        <v>46910</v>
      </c>
      <c r="E1137" s="1608">
        <v>50</v>
      </c>
      <c r="F1137" s="1609">
        <v>118.0829</v>
      </c>
      <c r="G1137" s="1609">
        <v>50</v>
      </c>
      <c r="H1137" s="1609"/>
      <c r="I1137" s="1609">
        <v>10.15</v>
      </c>
      <c r="J1137" s="1609">
        <v>9.6854999999999993</v>
      </c>
      <c r="K1137" s="1610"/>
      <c r="L1137" s="1607">
        <v>21</v>
      </c>
      <c r="M1137" s="345"/>
    </row>
    <row r="1138" spans="1:13">
      <c r="A1138" s="1605">
        <v>45097</v>
      </c>
      <c r="B1138" s="1606" t="s">
        <v>3788</v>
      </c>
      <c r="C1138" s="1607">
        <v>728</v>
      </c>
      <c r="D1138" s="1605">
        <v>45825</v>
      </c>
      <c r="E1138" s="1608">
        <v>60</v>
      </c>
      <c r="F1138" s="1609">
        <v>209.33609999999999</v>
      </c>
      <c r="G1138" s="1609">
        <v>60</v>
      </c>
      <c r="H1138" s="1609"/>
      <c r="I1138" s="1609">
        <v>8.25</v>
      </c>
      <c r="J1138" s="1609">
        <v>7.7954999999999997</v>
      </c>
      <c r="K1138" s="1610"/>
      <c r="L1138" s="1607">
        <v>20</v>
      </c>
      <c r="M1138" s="345"/>
    </row>
    <row r="1139" spans="1:13">
      <c r="A1139" s="1605">
        <v>45101</v>
      </c>
      <c r="B1139" s="1606" t="s">
        <v>3640</v>
      </c>
      <c r="C1139" s="1607">
        <v>1092</v>
      </c>
      <c r="D1139" s="1605">
        <v>46133</v>
      </c>
      <c r="E1139" s="1608">
        <v>55</v>
      </c>
      <c r="F1139" s="1609">
        <v>186.63800000000001</v>
      </c>
      <c r="G1139" s="1609">
        <v>55</v>
      </c>
      <c r="H1139" s="1609"/>
      <c r="I1139" s="1609">
        <v>9.1608999999999998</v>
      </c>
      <c r="J1139" s="1609">
        <v>8.8239999999999998</v>
      </c>
      <c r="K1139" s="1610"/>
      <c r="L1139" s="1607">
        <v>23</v>
      </c>
      <c r="M1139" s="345"/>
    </row>
    <row r="1140" spans="1:13">
      <c r="A1140" s="1605">
        <v>45111</v>
      </c>
      <c r="B1140" s="1606" t="s">
        <v>3823</v>
      </c>
      <c r="C1140" s="1607">
        <v>1092</v>
      </c>
      <c r="D1140" s="1605">
        <v>46203</v>
      </c>
      <c r="E1140" s="1608">
        <v>60</v>
      </c>
      <c r="F1140" s="1609">
        <v>177.92410000000001</v>
      </c>
      <c r="G1140" s="1609">
        <v>90</v>
      </c>
      <c r="H1140" s="1609"/>
      <c r="I1140" s="1609">
        <v>9.9</v>
      </c>
      <c r="J1140" s="1609">
        <v>9.2235999999999994</v>
      </c>
      <c r="K1140" s="1610"/>
      <c r="L1140" s="1607">
        <v>24</v>
      </c>
      <c r="M1140" s="345"/>
    </row>
    <row r="1141" spans="1:13">
      <c r="A1141" s="1605">
        <v>45125</v>
      </c>
      <c r="B1141" s="1606" t="s">
        <v>3824</v>
      </c>
      <c r="C1141" s="1607">
        <v>728</v>
      </c>
      <c r="D1141" s="1605">
        <v>45853</v>
      </c>
      <c r="E1141" s="1608">
        <v>60</v>
      </c>
      <c r="F1141" s="1609">
        <v>195.858923</v>
      </c>
      <c r="G1141" s="1609">
        <v>90</v>
      </c>
      <c r="H1141" s="1609"/>
      <c r="I1141" s="1609">
        <v>8.98</v>
      </c>
      <c r="J1141" s="1609">
        <v>8.3820999999999994</v>
      </c>
      <c r="K1141" s="1610"/>
      <c r="L1141" s="1607">
        <v>25</v>
      </c>
      <c r="M1141" s="345"/>
    </row>
    <row r="1142" spans="1:13">
      <c r="A1142" s="1605">
        <v>45132</v>
      </c>
      <c r="B1142" s="1606" t="s">
        <v>3640</v>
      </c>
      <c r="C1142" s="1607">
        <v>1092</v>
      </c>
      <c r="D1142" s="1605">
        <v>46133</v>
      </c>
      <c r="E1142" s="1608">
        <v>55</v>
      </c>
      <c r="F1142" s="1609">
        <v>191.02549999999999</v>
      </c>
      <c r="G1142" s="1609">
        <v>82.5</v>
      </c>
      <c r="H1142" s="1609"/>
      <c r="I1142" s="1609">
        <v>9.7545000000000002</v>
      </c>
      <c r="J1142" s="1609">
        <v>9.4183000000000003</v>
      </c>
      <c r="K1142" s="1610"/>
      <c r="L1142" s="1607">
        <v>32</v>
      </c>
      <c r="M1142" s="345"/>
    </row>
    <row r="1143" spans="1:13">
      <c r="A1143" s="1605">
        <v>45139</v>
      </c>
      <c r="B1143" s="1606" t="s">
        <v>3859</v>
      </c>
      <c r="C1143" s="1607">
        <v>364</v>
      </c>
      <c r="D1143" s="1605">
        <v>45503</v>
      </c>
      <c r="E1143" s="1608">
        <v>50</v>
      </c>
      <c r="F1143" s="1609">
        <v>143.4872</v>
      </c>
      <c r="G1143" s="1609">
        <v>75</v>
      </c>
      <c r="H1143" s="1609"/>
      <c r="I1143" s="1609">
        <v>6.98</v>
      </c>
      <c r="J1143" s="1609">
        <v>6.5026000000000002</v>
      </c>
      <c r="K1143" s="1610"/>
      <c r="L1143" s="1607">
        <v>13</v>
      </c>
      <c r="M1143" s="345"/>
    </row>
    <row r="1144" spans="1:13">
      <c r="A1144" s="1605">
        <v>45146</v>
      </c>
      <c r="B1144" s="1606" t="s">
        <v>3860</v>
      </c>
      <c r="C1144" s="1607">
        <v>1092</v>
      </c>
      <c r="D1144" s="1605">
        <v>46120</v>
      </c>
      <c r="E1144" s="1608">
        <v>90</v>
      </c>
      <c r="F1144" s="1609">
        <v>399.42250000000001</v>
      </c>
      <c r="G1144" s="1609">
        <v>135</v>
      </c>
      <c r="H1144" s="1609"/>
      <c r="I1144" s="1609">
        <v>9</v>
      </c>
      <c r="J1144" s="1609">
        <v>8.7661999999999995</v>
      </c>
      <c r="K1144" s="1610"/>
      <c r="L1144" s="1607">
        <v>36</v>
      </c>
      <c r="M1144" s="345"/>
    </row>
    <row r="1145" spans="1:13">
      <c r="A1145" s="1605">
        <v>45153</v>
      </c>
      <c r="B1145" s="1606" t="s">
        <v>3861</v>
      </c>
      <c r="C1145" s="1607">
        <v>728</v>
      </c>
      <c r="D1145" s="1605">
        <v>45999</v>
      </c>
      <c r="E1145" s="1608">
        <v>80</v>
      </c>
      <c r="F1145" s="1609">
        <v>345.30540000000002</v>
      </c>
      <c r="G1145" s="1609">
        <v>120</v>
      </c>
      <c r="H1145" s="1609"/>
      <c r="I1145" s="1609">
        <v>8.2499000000000002</v>
      </c>
      <c r="J1145" s="1609">
        <v>8.0507000000000009</v>
      </c>
      <c r="K1145" s="1610"/>
      <c r="L1145" s="1607">
        <v>30</v>
      </c>
      <c r="M1145" s="345"/>
    </row>
    <row r="1146" spans="1:13">
      <c r="A1146" s="1605">
        <v>45160</v>
      </c>
      <c r="B1146" s="1606" t="s">
        <v>3862</v>
      </c>
      <c r="C1146" s="1607">
        <v>1092</v>
      </c>
      <c r="D1146" s="1605">
        <v>46133</v>
      </c>
      <c r="E1146" s="1608">
        <v>55</v>
      </c>
      <c r="F1146" s="1609">
        <v>216.2337</v>
      </c>
      <c r="G1146" s="1609">
        <v>82.5</v>
      </c>
      <c r="H1146" s="1609"/>
      <c r="I1146" s="1609">
        <v>8.48</v>
      </c>
      <c r="J1146" s="1609">
        <v>8.2745999999999995</v>
      </c>
      <c r="K1146" s="1610"/>
      <c r="L1146" s="1607">
        <v>31</v>
      </c>
      <c r="M1146" s="345"/>
    </row>
    <row r="1147" spans="1:13">
      <c r="A1147" s="1605">
        <v>45167</v>
      </c>
      <c r="B1147" s="1606" t="s">
        <v>3863</v>
      </c>
      <c r="C1147" s="1607">
        <v>1092</v>
      </c>
      <c r="D1147" s="1605">
        <v>46259</v>
      </c>
      <c r="E1147" s="1608">
        <v>40</v>
      </c>
      <c r="F1147" s="1609">
        <v>198.84049999999999</v>
      </c>
      <c r="G1147" s="1609">
        <v>60</v>
      </c>
      <c r="H1147" s="1609"/>
      <c r="I1147" s="1609">
        <v>8.3800000000000008</v>
      </c>
      <c r="J1147" s="1609">
        <v>8.2582000000000004</v>
      </c>
      <c r="K1147" s="1610"/>
      <c r="L1147" s="1607">
        <v>33</v>
      </c>
      <c r="M1147" s="345"/>
    </row>
    <row r="1148" spans="1:13">
      <c r="A1148" s="1605">
        <v>45174</v>
      </c>
      <c r="B1148" s="1606" t="s">
        <v>3864</v>
      </c>
      <c r="C1148" s="1607">
        <v>364</v>
      </c>
      <c r="D1148" s="1605">
        <v>45360</v>
      </c>
      <c r="E1148" s="1608">
        <v>70</v>
      </c>
      <c r="F1148" s="1609">
        <v>226.5812</v>
      </c>
      <c r="G1148" s="1609">
        <v>105</v>
      </c>
      <c r="H1148" s="1609"/>
      <c r="I1148" s="1609">
        <v>7.2</v>
      </c>
      <c r="J1148" s="1609">
        <v>6.2614000000000001</v>
      </c>
      <c r="K1148" s="1610"/>
      <c r="L1148" s="1607">
        <v>12</v>
      </c>
      <c r="M1148" s="345"/>
    </row>
    <row r="1149" spans="1:13">
      <c r="A1149" s="1605">
        <v>45174</v>
      </c>
      <c r="B1149" s="1606" t="s">
        <v>3865</v>
      </c>
      <c r="C1149" s="1607">
        <v>728</v>
      </c>
      <c r="D1149" s="1605">
        <v>45697</v>
      </c>
      <c r="E1149" s="1608">
        <v>65</v>
      </c>
      <c r="F1149" s="1609">
        <v>224.33539999999999</v>
      </c>
      <c r="G1149" s="1609">
        <v>97.5</v>
      </c>
      <c r="H1149" s="1609"/>
      <c r="I1149" s="1609">
        <v>7.9999000000000002</v>
      </c>
      <c r="J1149" s="1609">
        <v>7.4821999999999997</v>
      </c>
      <c r="K1149" s="1610"/>
      <c r="L1149" s="1607">
        <v>25</v>
      </c>
      <c r="M1149" s="345"/>
    </row>
    <row r="1150" spans="1:13">
      <c r="A1150" s="1605">
        <v>45181</v>
      </c>
      <c r="B1150" s="1606" t="s">
        <v>3866</v>
      </c>
      <c r="C1150" s="1607">
        <v>1092</v>
      </c>
      <c r="D1150" s="1605">
        <v>46243</v>
      </c>
      <c r="E1150" s="1608">
        <v>80</v>
      </c>
      <c r="F1150" s="1609">
        <v>212.25030000000001</v>
      </c>
      <c r="G1150" s="1609">
        <v>120</v>
      </c>
      <c r="H1150" s="1609"/>
      <c r="I1150" s="1609">
        <v>8.3797999999999995</v>
      </c>
      <c r="J1150" s="1609">
        <v>8.1574000000000009</v>
      </c>
      <c r="K1150" s="1610"/>
      <c r="L1150" s="1607">
        <v>26</v>
      </c>
      <c r="M1150" s="345"/>
    </row>
    <row r="1151" spans="1:13">
      <c r="A1151" s="1605">
        <v>45188</v>
      </c>
      <c r="B1151" s="1606" t="s">
        <v>3867</v>
      </c>
      <c r="C1151" s="1607">
        <v>728</v>
      </c>
      <c r="D1151" s="1605">
        <v>45916</v>
      </c>
      <c r="E1151" s="1608">
        <v>90</v>
      </c>
      <c r="F1151" s="1609">
        <v>198.07329999999999</v>
      </c>
      <c r="G1151" s="1609">
        <v>135</v>
      </c>
      <c r="H1151" s="1609"/>
      <c r="I1151" s="1609">
        <v>8.1898</v>
      </c>
      <c r="J1151" s="1609">
        <v>8.0391999999999992</v>
      </c>
      <c r="K1151" s="1610"/>
      <c r="L1151" s="1607">
        <v>24</v>
      </c>
      <c r="M1151" s="345"/>
    </row>
    <row r="1152" spans="1:13">
      <c r="A1152" s="1605">
        <v>45195</v>
      </c>
      <c r="B1152" s="1606" t="s">
        <v>3640</v>
      </c>
      <c r="C1152" s="1607">
        <v>1092</v>
      </c>
      <c r="D1152" s="1605">
        <v>46133</v>
      </c>
      <c r="E1152" s="1608">
        <v>55</v>
      </c>
      <c r="F1152" s="1609">
        <v>141.63239999999999</v>
      </c>
      <c r="G1152" s="1609">
        <v>55</v>
      </c>
      <c r="H1152" s="1609"/>
      <c r="I1152" s="1609">
        <v>8.0436999999999994</v>
      </c>
      <c r="J1152" s="1609">
        <v>7.8663999999999996</v>
      </c>
      <c r="K1152" s="1610"/>
      <c r="L1152" s="1607">
        <v>23</v>
      </c>
      <c r="M1152" s="345"/>
    </row>
    <row r="1153" spans="1:13">
      <c r="A1153" s="1605">
        <v>45202</v>
      </c>
      <c r="B1153" s="1606" t="s">
        <v>3889</v>
      </c>
      <c r="C1153" s="1607">
        <v>364</v>
      </c>
      <c r="D1153" s="1605">
        <v>45301</v>
      </c>
      <c r="E1153" s="1608">
        <v>80</v>
      </c>
      <c r="F1153" s="1609">
        <v>247.8956</v>
      </c>
      <c r="G1153" s="1609">
        <v>80</v>
      </c>
      <c r="H1153" s="1609"/>
      <c r="I1153" s="1609">
        <v>7.99</v>
      </c>
      <c r="J1153" s="1609">
        <v>7.6108000000000002</v>
      </c>
      <c r="K1153" s="1610"/>
      <c r="L1153" s="1607">
        <v>13</v>
      </c>
      <c r="M1153" s="345"/>
    </row>
    <row r="1154" spans="1:13">
      <c r="A1154" s="1605">
        <v>45209</v>
      </c>
      <c r="B1154" s="1606" t="s">
        <v>3890</v>
      </c>
      <c r="C1154" s="1607">
        <v>1092</v>
      </c>
      <c r="D1154" s="1605">
        <v>46183</v>
      </c>
      <c r="E1154" s="1608">
        <v>90</v>
      </c>
      <c r="F1154" s="1609">
        <v>170.6583</v>
      </c>
      <c r="G1154" s="1609">
        <v>90</v>
      </c>
      <c r="H1154" s="1609"/>
      <c r="I1154" s="1609">
        <v>8.59</v>
      </c>
      <c r="J1154" s="1609">
        <v>8.2245000000000008</v>
      </c>
      <c r="K1154" s="1610"/>
      <c r="L1154" s="1607">
        <v>25</v>
      </c>
      <c r="M1154" s="345"/>
    </row>
    <row r="1155" spans="1:13">
      <c r="A1155" s="1605">
        <v>45216</v>
      </c>
      <c r="B1155" s="1606" t="s">
        <v>3891</v>
      </c>
      <c r="C1155" s="1607">
        <v>728</v>
      </c>
      <c r="D1155" s="1605">
        <v>45944</v>
      </c>
      <c r="E1155" s="1608">
        <v>90</v>
      </c>
      <c r="F1155" s="1609">
        <v>211.43430000000001</v>
      </c>
      <c r="G1155" s="1609">
        <v>135</v>
      </c>
      <c r="H1155" s="1609"/>
      <c r="I1155" s="1609">
        <v>8.4</v>
      </c>
      <c r="J1155" s="1609">
        <v>8.2215000000000007</v>
      </c>
      <c r="K1155" s="1610"/>
      <c r="L1155" s="1607">
        <v>25</v>
      </c>
      <c r="M1155" s="345"/>
    </row>
    <row r="1156" spans="1:13">
      <c r="A1156" s="1605">
        <v>45223</v>
      </c>
      <c r="B1156" s="1606" t="s">
        <v>3892</v>
      </c>
      <c r="C1156" s="1607">
        <v>364</v>
      </c>
      <c r="D1156" s="1605">
        <v>45587</v>
      </c>
      <c r="E1156" s="1608">
        <v>80</v>
      </c>
      <c r="F1156" s="1609">
        <v>227.84639999999999</v>
      </c>
      <c r="G1156" s="1609">
        <v>120</v>
      </c>
      <c r="H1156" s="1609"/>
      <c r="I1156" s="1609">
        <v>7.9999000000000002</v>
      </c>
      <c r="J1156" s="1609">
        <v>7.9039999999999999</v>
      </c>
      <c r="K1156" s="1610"/>
      <c r="L1156" s="1607">
        <v>19</v>
      </c>
      <c r="M1156" s="345"/>
    </row>
    <row r="1157" spans="1:13">
      <c r="A1157" s="1605">
        <v>45230</v>
      </c>
      <c r="B1157" s="1606" t="s">
        <v>3862</v>
      </c>
      <c r="C1157" s="1607">
        <v>1092</v>
      </c>
      <c r="D1157" s="1605">
        <v>46133</v>
      </c>
      <c r="E1157" s="1608">
        <v>55</v>
      </c>
      <c r="F1157" s="1609">
        <v>110.2243</v>
      </c>
      <c r="G1157" s="1609">
        <v>82.5</v>
      </c>
      <c r="H1157" s="1609"/>
      <c r="I1157" s="1609">
        <v>8.9764999999999997</v>
      </c>
      <c r="J1157" s="1609">
        <v>8.3127999999999993</v>
      </c>
      <c r="K1157" s="1610"/>
      <c r="L1157" s="1607">
        <v>14</v>
      </c>
      <c r="M1157" s="345"/>
    </row>
    <row r="1158" spans="1:13">
      <c r="A1158" s="1605">
        <v>45237</v>
      </c>
      <c r="B1158" s="1606" t="s">
        <v>3918</v>
      </c>
      <c r="C1158" s="1607">
        <v>1092</v>
      </c>
      <c r="D1158" s="1605">
        <v>46092</v>
      </c>
      <c r="E1158" s="1608">
        <v>90</v>
      </c>
      <c r="F1158" s="1609">
        <v>216.7783</v>
      </c>
      <c r="G1158" s="1609">
        <v>90</v>
      </c>
      <c r="H1158" s="1609"/>
      <c r="I1158" s="1609">
        <v>8.4499999999999993</v>
      </c>
      <c r="J1158" s="1609">
        <v>8.3475999999999999</v>
      </c>
      <c r="K1158" s="1610"/>
      <c r="L1158" s="1607">
        <v>22</v>
      </c>
      <c r="M1158" s="345"/>
    </row>
    <row r="1159" spans="1:13">
      <c r="A1159" s="1605">
        <v>45244</v>
      </c>
      <c r="B1159" s="1606" t="s">
        <v>3919</v>
      </c>
      <c r="C1159" s="1607">
        <v>728</v>
      </c>
      <c r="D1159" s="1605">
        <v>45972</v>
      </c>
      <c r="E1159" s="1608">
        <v>90</v>
      </c>
      <c r="F1159" s="1609">
        <v>247.30869999999999</v>
      </c>
      <c r="G1159" s="1609">
        <v>90</v>
      </c>
      <c r="H1159" s="1609"/>
      <c r="I1159" s="1609">
        <v>8.1999999999999993</v>
      </c>
      <c r="J1159" s="1609">
        <v>8.0229999999999997</v>
      </c>
      <c r="K1159" s="1610"/>
      <c r="L1159" s="1607">
        <v>26</v>
      </c>
      <c r="M1159" s="345"/>
    </row>
    <row r="1160" spans="1:13">
      <c r="A1160" s="1605">
        <v>45251</v>
      </c>
      <c r="B1160" s="1606" t="s">
        <v>3920</v>
      </c>
      <c r="C1160" s="1607">
        <v>364</v>
      </c>
      <c r="D1160" s="1605">
        <v>45615</v>
      </c>
      <c r="E1160" s="1608">
        <v>90</v>
      </c>
      <c r="F1160" s="1609">
        <v>240.32169999999999</v>
      </c>
      <c r="G1160" s="1609">
        <v>135</v>
      </c>
      <c r="H1160" s="1609"/>
      <c r="I1160" s="1609">
        <v>8.0500000000000007</v>
      </c>
      <c r="J1160" s="1609">
        <v>7.9333999999999998</v>
      </c>
      <c r="K1160" s="1610"/>
      <c r="L1160" s="1607">
        <v>20</v>
      </c>
      <c r="M1160" s="345"/>
    </row>
    <row r="1161" spans="1:13">
      <c r="A1161" s="1605">
        <v>45272</v>
      </c>
      <c r="B1161" s="1606" t="s">
        <v>3954</v>
      </c>
      <c r="C1161" s="1607">
        <v>1092</v>
      </c>
      <c r="D1161" s="1605">
        <v>46246</v>
      </c>
      <c r="E1161" s="1608">
        <v>100</v>
      </c>
      <c r="F1161" s="1609">
        <v>362.52019999999999</v>
      </c>
      <c r="G1161" s="1609">
        <v>150</v>
      </c>
      <c r="H1161" s="1609"/>
      <c r="I1161" s="1609">
        <v>6.2</v>
      </c>
      <c r="J1161" s="1609">
        <v>6.2</v>
      </c>
      <c r="K1161" s="1610"/>
      <c r="L1161" s="1607">
        <v>21</v>
      </c>
      <c r="M1161" s="345"/>
    </row>
    <row r="1162" spans="1:13">
      <c r="A1162" s="1605">
        <v>45279</v>
      </c>
      <c r="B1162" s="1606" t="s">
        <v>3955</v>
      </c>
      <c r="C1162" s="1607">
        <v>364</v>
      </c>
      <c r="D1162" s="1605" t="s">
        <v>3956</v>
      </c>
      <c r="E1162" s="1608">
        <v>150</v>
      </c>
      <c r="F1162" s="1609">
        <v>350.98509999999999</v>
      </c>
      <c r="G1162" s="1609">
        <v>161.9134</v>
      </c>
      <c r="H1162" s="1609"/>
      <c r="I1162" s="1609">
        <v>5.9999000000000002</v>
      </c>
      <c r="J1162" s="1609">
        <v>5.9972000000000003</v>
      </c>
      <c r="K1162" s="1610"/>
      <c r="L1162" s="1607">
        <v>13</v>
      </c>
      <c r="M1162" s="345"/>
    </row>
    <row r="1163" spans="1:13">
      <c r="A1163" s="1605">
        <v>45279</v>
      </c>
      <c r="B1163" s="1606" t="s">
        <v>3957</v>
      </c>
      <c r="C1163" s="1607">
        <v>728</v>
      </c>
      <c r="D1163" s="1605" t="s">
        <v>3958</v>
      </c>
      <c r="E1163" s="1608">
        <v>100</v>
      </c>
      <c r="F1163" s="1609">
        <v>166.4101</v>
      </c>
      <c r="G1163" s="1609">
        <v>100.67270000000001</v>
      </c>
      <c r="H1163" s="1609"/>
      <c r="I1163" s="1609">
        <v>6.11</v>
      </c>
      <c r="J1163" s="1609">
        <v>6.11</v>
      </c>
      <c r="K1163" s="1610"/>
      <c r="L1163" s="1607">
        <v>18</v>
      </c>
      <c r="M1163" s="345"/>
    </row>
    <row r="1164" spans="1:13">
      <c r="A1164" s="1605">
        <v>45281</v>
      </c>
      <c r="B1164" s="1606" t="s">
        <v>3959</v>
      </c>
      <c r="C1164" s="1607">
        <v>1092</v>
      </c>
      <c r="D1164" s="1605" t="s">
        <v>3960</v>
      </c>
      <c r="E1164" s="1608">
        <v>150</v>
      </c>
      <c r="F1164" s="1609">
        <v>258.03039999999999</v>
      </c>
      <c r="G1164" s="1609">
        <v>207.19390000000001</v>
      </c>
      <c r="H1164" s="1609"/>
      <c r="I1164" s="1609">
        <v>6.3</v>
      </c>
      <c r="J1164" s="1609">
        <v>6.3</v>
      </c>
      <c r="K1164" s="1610"/>
      <c r="L1164" s="1607">
        <v>10</v>
      </c>
      <c r="M1164" s="345"/>
    </row>
    <row r="1165" spans="1:13">
      <c r="A1165" s="1605">
        <v>45288</v>
      </c>
      <c r="B1165" s="1606" t="s">
        <v>3961</v>
      </c>
      <c r="C1165" s="1607">
        <v>364</v>
      </c>
      <c r="D1165" s="1605" t="s">
        <v>3962</v>
      </c>
      <c r="E1165" s="1608">
        <v>150</v>
      </c>
      <c r="F1165" s="1609">
        <v>335.29520000000002</v>
      </c>
      <c r="G1165" s="1609">
        <v>137.69999999999999</v>
      </c>
      <c r="H1165" s="1609"/>
      <c r="I1165" s="1609">
        <v>5.9999000000000002</v>
      </c>
      <c r="J1165" s="1609">
        <v>5.9898999999999996</v>
      </c>
      <c r="K1165" s="1610"/>
      <c r="L1165" s="1607">
        <v>19</v>
      </c>
      <c r="M1165" s="345"/>
    </row>
    <row r="1166" spans="1:13">
      <c r="A1166" s="1662">
        <v>2024</v>
      </c>
      <c r="B1166" s="1606"/>
      <c r="C1166" s="1607"/>
      <c r="D1166" s="1605"/>
      <c r="E1166" s="1608"/>
      <c r="F1166" s="1609"/>
      <c r="G1166" s="1609"/>
      <c r="H1166" s="1609"/>
      <c r="I1166" s="1609"/>
      <c r="J1166" s="1609"/>
      <c r="K1166" s="1610"/>
      <c r="L1166" s="1607"/>
      <c r="M1166" s="345"/>
    </row>
    <row r="1167" spans="1:13">
      <c r="A1167" s="1605">
        <v>45306</v>
      </c>
      <c r="B1167" s="1606" t="s">
        <v>3980</v>
      </c>
      <c r="C1167" s="1607">
        <v>364</v>
      </c>
      <c r="D1167" s="1605" t="s">
        <v>3981</v>
      </c>
      <c r="E1167" s="1608">
        <v>100</v>
      </c>
      <c r="F1167" s="1609">
        <v>148.5395</v>
      </c>
      <c r="G1167" s="1609">
        <v>89.024900000000002</v>
      </c>
      <c r="H1167" s="1609"/>
      <c r="I1167" s="1609">
        <v>7.0799000000000003</v>
      </c>
      <c r="J1167" s="1609">
        <v>6.7826000000000004</v>
      </c>
      <c r="K1167" s="1610"/>
      <c r="L1167" s="1607">
        <v>12</v>
      </c>
      <c r="M1167" s="345"/>
    </row>
    <row r="1168" spans="1:13">
      <c r="A1168" s="1605">
        <v>45321</v>
      </c>
      <c r="B1168" s="1606" t="s">
        <v>3982</v>
      </c>
      <c r="C1168" s="1607">
        <v>1092</v>
      </c>
      <c r="D1168" s="1605" t="s">
        <v>3983</v>
      </c>
      <c r="E1168" s="1608">
        <v>100</v>
      </c>
      <c r="F1168" s="1609">
        <v>107.87869999999999</v>
      </c>
      <c r="G1168" s="1609">
        <v>100</v>
      </c>
      <c r="H1168" s="1609"/>
      <c r="I1168" s="1609">
        <v>8.6999999999999993</v>
      </c>
      <c r="J1168" s="1609">
        <v>7.8986999999999998</v>
      </c>
      <c r="K1168" s="1610"/>
      <c r="L1168" s="1607">
        <v>24</v>
      </c>
      <c r="M1168" s="345"/>
    </row>
    <row r="1169" spans="1:13">
      <c r="A1169" s="1605">
        <v>45328</v>
      </c>
      <c r="B1169" s="1606" t="s">
        <v>4001</v>
      </c>
      <c r="C1169" s="1607">
        <v>364</v>
      </c>
      <c r="D1169" s="1605">
        <v>45749</v>
      </c>
      <c r="E1169" s="1608">
        <v>90</v>
      </c>
      <c r="F1169" s="1609">
        <v>151.74449999999999</v>
      </c>
      <c r="G1169" s="1609">
        <v>90</v>
      </c>
      <c r="H1169" s="1609"/>
      <c r="I1169" s="1609">
        <v>7.2398999999999996</v>
      </c>
      <c r="J1169" s="1609">
        <v>7.0471000000000004</v>
      </c>
      <c r="K1169" s="1610"/>
      <c r="L1169" s="1607">
        <v>20</v>
      </c>
      <c r="M1169" s="345"/>
    </row>
    <row r="1170" spans="1:13">
      <c r="A1170" s="1605">
        <v>45342</v>
      </c>
      <c r="B1170" s="1606" t="s">
        <v>4002</v>
      </c>
      <c r="C1170" s="1607">
        <v>728</v>
      </c>
      <c r="D1170" s="1605" t="s">
        <v>4003</v>
      </c>
      <c r="E1170" s="1608">
        <v>90</v>
      </c>
      <c r="F1170" s="1609">
        <v>269.81119999999999</v>
      </c>
      <c r="G1170" s="1609">
        <v>90</v>
      </c>
      <c r="H1170" s="1609"/>
      <c r="I1170" s="1609">
        <v>7.8398000000000003</v>
      </c>
      <c r="J1170" s="1609">
        <v>7.1089000000000002</v>
      </c>
      <c r="K1170" s="1610"/>
      <c r="L1170" s="1607">
        <v>23</v>
      </c>
      <c r="M1170" s="345"/>
    </row>
    <row r="1171" spans="1:13">
      <c r="A1171" s="1605">
        <v>45349</v>
      </c>
      <c r="B1171" s="1606" t="s">
        <v>4004</v>
      </c>
      <c r="C1171" s="1607">
        <v>1092</v>
      </c>
      <c r="D1171" s="1605" t="s">
        <v>4005</v>
      </c>
      <c r="E1171" s="1608">
        <v>100</v>
      </c>
      <c r="F1171" s="1609">
        <v>276.26560000000001</v>
      </c>
      <c r="G1171" s="1609">
        <v>150</v>
      </c>
      <c r="H1171" s="1609"/>
      <c r="I1171" s="1609">
        <v>8.2288999999999994</v>
      </c>
      <c r="J1171" s="1609">
        <v>8.0381</v>
      </c>
      <c r="K1171" s="1610"/>
      <c r="L1171" s="1607">
        <v>29</v>
      </c>
      <c r="M1171" s="345"/>
    </row>
    <row r="1172" spans="1:13">
      <c r="A1172" s="1605">
        <v>45356</v>
      </c>
      <c r="B1172" s="1606" t="s">
        <v>4007</v>
      </c>
      <c r="C1172" s="1607">
        <v>728</v>
      </c>
      <c r="D1172" s="1605">
        <v>46084</v>
      </c>
      <c r="E1172" s="1608">
        <v>150</v>
      </c>
      <c r="F1172" s="1609">
        <v>385.12119999999999</v>
      </c>
      <c r="G1172" s="1609">
        <v>225</v>
      </c>
      <c r="H1172" s="1609"/>
      <c r="I1172" s="1609">
        <v>8</v>
      </c>
      <c r="J1172" s="1609">
        <v>7.859</v>
      </c>
      <c r="K1172" s="1610"/>
      <c r="L1172" s="1607">
        <v>25</v>
      </c>
      <c r="M1172" s="345"/>
    </row>
    <row r="1173" spans="1:13">
      <c r="A1173" s="1605">
        <v>45370</v>
      </c>
      <c r="B1173" s="1606" t="s">
        <v>4008</v>
      </c>
      <c r="C1173" s="1607">
        <v>364</v>
      </c>
      <c r="D1173" s="1605" t="s">
        <v>4009</v>
      </c>
      <c r="E1173" s="1608">
        <v>150</v>
      </c>
      <c r="F1173" s="1609">
        <v>366.02449999999999</v>
      </c>
      <c r="G1173" s="1609">
        <v>68.452200000000005</v>
      </c>
      <c r="H1173" s="1609"/>
      <c r="I1173" s="1609">
        <v>7.1898999999999997</v>
      </c>
      <c r="J1173" s="1609">
        <v>6.9958</v>
      </c>
      <c r="K1173" s="1610"/>
      <c r="L1173" s="1607">
        <v>21</v>
      </c>
      <c r="M1173" s="345"/>
    </row>
    <row r="1174" spans="1:13">
      <c r="A1174" s="1605">
        <v>45380</v>
      </c>
      <c r="B1174" s="1606" t="s">
        <v>4010</v>
      </c>
      <c r="C1174" s="1607">
        <v>728</v>
      </c>
      <c r="D1174" s="1605" t="s">
        <v>4011</v>
      </c>
      <c r="E1174" s="1608">
        <v>150</v>
      </c>
      <c r="F1174" s="1609">
        <v>221.37309999999999</v>
      </c>
      <c r="G1174" s="1609">
        <v>86.078000000000003</v>
      </c>
      <c r="H1174" s="1609"/>
      <c r="I1174" s="1609">
        <v>8</v>
      </c>
      <c r="J1174" s="1609">
        <v>7.9241999999999999</v>
      </c>
      <c r="K1174" s="1610"/>
      <c r="L1174" s="1607">
        <v>21</v>
      </c>
      <c r="M1174" s="345"/>
    </row>
    <row r="1175" spans="1:13">
      <c r="A1175" s="1605">
        <v>45384</v>
      </c>
      <c r="B1175" s="1606" t="s">
        <v>4023</v>
      </c>
      <c r="C1175" s="1607">
        <v>364</v>
      </c>
      <c r="D1175" s="1605">
        <v>45748</v>
      </c>
      <c r="E1175" s="1608">
        <v>120</v>
      </c>
      <c r="F1175" s="1609">
        <v>166.61009999999999</v>
      </c>
      <c r="G1175" s="1609">
        <v>78.066400000000002</v>
      </c>
      <c r="H1175" s="1609"/>
      <c r="I1175" s="1609">
        <v>7.99</v>
      </c>
      <c r="J1175" s="1609">
        <v>7.2687999999999997</v>
      </c>
      <c r="K1175" s="1610"/>
      <c r="L1175" s="1607">
        <v>18</v>
      </c>
      <c r="M1175" s="345"/>
    </row>
    <row r="1176" spans="1:13">
      <c r="A1176" s="1605">
        <v>45391</v>
      </c>
      <c r="B1176" s="1606" t="s">
        <v>4024</v>
      </c>
      <c r="C1176" s="1607">
        <v>1092</v>
      </c>
      <c r="D1176" s="1605">
        <v>46483</v>
      </c>
      <c r="E1176" s="1608">
        <v>120</v>
      </c>
      <c r="F1176" s="1609">
        <v>194.91550000000001</v>
      </c>
      <c r="G1176" s="1609">
        <v>91.2834</v>
      </c>
      <c r="H1176" s="1609"/>
      <c r="I1176" s="1609">
        <v>8.0500000000000007</v>
      </c>
      <c r="J1176" s="1609">
        <v>8.0084</v>
      </c>
      <c r="K1176" s="1610"/>
      <c r="L1176" s="1607">
        <v>24</v>
      </c>
      <c r="M1176" s="345"/>
    </row>
    <row r="1177" spans="1:13">
      <c r="A1177" s="1605">
        <v>45398</v>
      </c>
      <c r="B1177" s="1606" t="s">
        <v>4025</v>
      </c>
      <c r="C1177" s="1607">
        <v>728</v>
      </c>
      <c r="D1177" s="1605">
        <v>46126</v>
      </c>
      <c r="E1177" s="1608">
        <v>90</v>
      </c>
      <c r="F1177" s="1609">
        <v>93.582999999999998</v>
      </c>
      <c r="G1177" s="1609">
        <v>45.452800000000003</v>
      </c>
      <c r="H1177" s="1609"/>
      <c r="I1177" s="1609">
        <v>8.4499999999999993</v>
      </c>
      <c r="J1177" s="1609">
        <v>8.0661000000000005</v>
      </c>
      <c r="K1177" s="1610"/>
      <c r="L1177" s="1607">
        <v>18</v>
      </c>
      <c r="M1177" s="345"/>
    </row>
    <row r="1178" spans="1:13">
      <c r="A1178" s="1605">
        <v>45405</v>
      </c>
      <c r="B1178" s="1606" t="s">
        <v>4026</v>
      </c>
      <c r="C1178" s="1607">
        <v>364</v>
      </c>
      <c r="D1178" s="1605">
        <v>45769</v>
      </c>
      <c r="E1178" s="1608">
        <v>120</v>
      </c>
      <c r="F1178" s="1609">
        <v>72.14</v>
      </c>
      <c r="G1178" s="1609">
        <v>53.868600000000001</v>
      </c>
      <c r="H1178" s="1609"/>
      <c r="I1178" s="1609">
        <v>8.24</v>
      </c>
      <c r="J1178" s="1609">
        <v>7.8891999999999998</v>
      </c>
      <c r="K1178" s="1610"/>
      <c r="L1178" s="1607">
        <v>16</v>
      </c>
      <c r="M1178" s="345"/>
    </row>
    <row r="1179" spans="1:13">
      <c r="A1179" s="1605">
        <v>45412</v>
      </c>
      <c r="B1179" s="1606" t="s">
        <v>4027</v>
      </c>
      <c r="C1179" s="1607">
        <v>1092</v>
      </c>
      <c r="D1179" s="1605">
        <v>46504</v>
      </c>
      <c r="E1179" s="1608">
        <v>120</v>
      </c>
      <c r="F1179" s="1609">
        <v>111.38890000000001</v>
      </c>
      <c r="G1179" s="1609">
        <v>81.883300000000006</v>
      </c>
      <c r="H1179" s="1609"/>
      <c r="I1179" s="1609">
        <v>8.8999000000000006</v>
      </c>
      <c r="J1179" s="1609">
        <v>8.4989000000000008</v>
      </c>
      <c r="K1179" s="1610"/>
      <c r="L1179" s="1607">
        <v>20</v>
      </c>
      <c r="M1179" s="345"/>
    </row>
    <row r="1180" spans="1:13">
      <c r="A1180" s="1605">
        <v>45419</v>
      </c>
      <c r="B1180" s="1606" t="s">
        <v>4052</v>
      </c>
      <c r="C1180" s="1607">
        <v>364</v>
      </c>
      <c r="D1180" s="1605">
        <v>45813</v>
      </c>
      <c r="E1180" s="1608">
        <v>90</v>
      </c>
      <c r="F1180" s="1609">
        <v>107.425</v>
      </c>
      <c r="G1180" s="1609">
        <v>79.712199999999996</v>
      </c>
      <c r="H1180" s="1609"/>
      <c r="I1180" s="1609">
        <v>8.3988999999999994</v>
      </c>
      <c r="J1180" s="1609">
        <v>8.2019000000000002</v>
      </c>
      <c r="K1180" s="1610"/>
      <c r="L1180" s="1607">
        <v>18</v>
      </c>
      <c r="M1180" s="345"/>
    </row>
    <row r="1181" spans="1:13">
      <c r="A1181" s="1605">
        <v>45426</v>
      </c>
      <c r="B1181" s="1606" t="s">
        <v>4053</v>
      </c>
      <c r="C1181" s="1607">
        <v>1092</v>
      </c>
      <c r="D1181" s="1605">
        <v>46696</v>
      </c>
      <c r="E1181" s="1608">
        <v>90</v>
      </c>
      <c r="F1181" s="1609">
        <v>110.3322</v>
      </c>
      <c r="G1181" s="1609">
        <v>50.000700000000002</v>
      </c>
      <c r="H1181" s="1609"/>
      <c r="I1181" s="1609">
        <v>9.0500000000000007</v>
      </c>
      <c r="J1181" s="1609">
        <v>8.7068999999999992</v>
      </c>
      <c r="K1181" s="1610"/>
      <c r="L1181" s="1607">
        <v>23</v>
      </c>
      <c r="M1181" s="345"/>
    </row>
    <row r="1182" spans="1:13">
      <c r="A1182" s="1605">
        <v>45433</v>
      </c>
      <c r="B1182" s="1606" t="s">
        <v>4054</v>
      </c>
      <c r="C1182" s="1607">
        <v>728</v>
      </c>
      <c r="D1182" s="1605">
        <v>46161</v>
      </c>
      <c r="E1182" s="1608">
        <v>50</v>
      </c>
      <c r="F1182" s="1609">
        <v>71.350399999999993</v>
      </c>
      <c r="G1182" s="1609">
        <v>42.201500000000003</v>
      </c>
      <c r="H1182" s="1609"/>
      <c r="I1182" s="1609">
        <v>8.98</v>
      </c>
      <c r="J1182" s="1609">
        <v>8.5888000000000009</v>
      </c>
      <c r="K1182" s="1610"/>
      <c r="L1182" s="1607">
        <v>17</v>
      </c>
      <c r="M1182" s="345"/>
    </row>
    <row r="1183" spans="1:13">
      <c r="A1183" s="1605">
        <v>45447</v>
      </c>
      <c r="B1183" s="1606" t="s">
        <v>4075</v>
      </c>
      <c r="C1183" s="1607">
        <v>364</v>
      </c>
      <c r="D1183" s="1605">
        <v>45811</v>
      </c>
      <c r="E1183" s="1608">
        <v>50</v>
      </c>
      <c r="F1183" s="1609">
        <v>103.99120000000001</v>
      </c>
      <c r="G1183" s="1609">
        <v>65.902799999999999</v>
      </c>
      <c r="H1183" s="1609"/>
      <c r="I1183" s="1609">
        <v>8.4801000000000002</v>
      </c>
      <c r="J1183" s="1609">
        <v>8.2611000000000008</v>
      </c>
      <c r="K1183" s="1610"/>
      <c r="L1183" s="1607">
        <v>17</v>
      </c>
      <c r="M1183" s="345"/>
    </row>
    <row r="1184" spans="1:13">
      <c r="A1184" s="1605">
        <v>45454</v>
      </c>
      <c r="B1184" s="1606" t="s">
        <v>4076</v>
      </c>
      <c r="C1184" s="1607">
        <v>1092</v>
      </c>
      <c r="D1184" s="1605">
        <v>46546</v>
      </c>
      <c r="E1184" s="1608">
        <v>70</v>
      </c>
      <c r="F1184" s="1609">
        <v>151.35830000000001</v>
      </c>
      <c r="G1184" s="1609">
        <v>70</v>
      </c>
      <c r="H1184" s="1609"/>
      <c r="I1184" s="1609">
        <v>9.23</v>
      </c>
      <c r="J1184" s="1609">
        <v>8.9869000000000003</v>
      </c>
      <c r="K1184" s="1610"/>
      <c r="L1184" s="1607">
        <v>28</v>
      </c>
      <c r="M1184" s="345"/>
    </row>
    <row r="1185" spans="1:13">
      <c r="A1185" s="1605">
        <v>45468</v>
      </c>
      <c r="B1185" s="1606" t="s">
        <v>4077</v>
      </c>
      <c r="C1185" s="1607">
        <v>1092</v>
      </c>
      <c r="D1185" s="1605">
        <v>46560</v>
      </c>
      <c r="E1185" s="1608">
        <v>50</v>
      </c>
      <c r="F1185" s="1609">
        <v>126.7675</v>
      </c>
      <c r="G1185" s="1609">
        <v>50</v>
      </c>
      <c r="H1185" s="1609"/>
      <c r="I1185" s="1609">
        <v>9.2398000000000007</v>
      </c>
      <c r="J1185" s="1609">
        <v>9.0132999999999992</v>
      </c>
      <c r="K1185" s="1610"/>
      <c r="L1185" s="1607">
        <v>24</v>
      </c>
      <c r="M1185" s="345"/>
    </row>
    <row r="1186" spans="1:13">
      <c r="A1186" s="1605">
        <v>45475</v>
      </c>
      <c r="B1186" s="1606" t="s">
        <v>4096</v>
      </c>
      <c r="C1186" s="1607">
        <v>364</v>
      </c>
      <c r="D1186" s="1605">
        <v>45839</v>
      </c>
      <c r="E1186" s="1608">
        <v>50</v>
      </c>
      <c r="F1186" s="1609">
        <v>197.8991</v>
      </c>
      <c r="G1186" s="1609">
        <v>75</v>
      </c>
      <c r="H1186" s="1609"/>
      <c r="I1186" s="1609">
        <v>8.3498999999999999</v>
      </c>
      <c r="J1186" s="1609">
        <v>8.2758000000000003</v>
      </c>
      <c r="K1186" s="1610"/>
      <c r="L1186" s="1607">
        <v>16</v>
      </c>
      <c r="M1186" s="345"/>
    </row>
    <row r="1187" spans="1:13">
      <c r="A1187" s="1605">
        <v>45482</v>
      </c>
      <c r="B1187" s="1606" t="s">
        <v>4097</v>
      </c>
      <c r="C1187" s="1607">
        <v>1092</v>
      </c>
      <c r="D1187" s="1605">
        <v>46574</v>
      </c>
      <c r="E1187" s="1608">
        <v>70</v>
      </c>
      <c r="F1187" s="1609">
        <v>155.80170000000001</v>
      </c>
      <c r="G1187" s="1609">
        <v>70</v>
      </c>
      <c r="H1187" s="1609"/>
      <c r="I1187" s="1609">
        <v>9.2495999999999992</v>
      </c>
      <c r="J1187" s="1609">
        <v>9.1509999999999998</v>
      </c>
      <c r="K1187" s="1610"/>
      <c r="L1187" s="1607">
        <v>25</v>
      </c>
      <c r="M1187" s="345"/>
    </row>
    <row r="1188" spans="1:13">
      <c r="A1188" s="1605">
        <v>45489</v>
      </c>
      <c r="B1188" s="1606" t="s">
        <v>4098</v>
      </c>
      <c r="C1188" s="1607">
        <v>728</v>
      </c>
      <c r="D1188" s="1605">
        <v>46217</v>
      </c>
      <c r="E1188" s="1608">
        <v>60</v>
      </c>
      <c r="F1188" s="1609">
        <v>139.82130000000001</v>
      </c>
      <c r="G1188" s="1609">
        <v>60</v>
      </c>
      <c r="H1188" s="1609"/>
      <c r="I1188" s="1609">
        <v>9.1999999999999993</v>
      </c>
      <c r="J1188" s="1609">
        <v>9.0570000000000004</v>
      </c>
      <c r="K1188" s="1610"/>
      <c r="L1188" s="1607">
        <v>15</v>
      </c>
      <c r="M1188" s="345"/>
    </row>
    <row r="1189" spans="1:13">
      <c r="A1189" s="1605">
        <v>45496</v>
      </c>
      <c r="B1189" s="1606" t="s">
        <v>4099</v>
      </c>
      <c r="C1189" s="1612">
        <v>1092</v>
      </c>
      <c r="D1189" s="1605">
        <v>46588</v>
      </c>
      <c r="E1189" s="1613">
        <v>70</v>
      </c>
      <c r="F1189" s="1609">
        <v>114.4679</v>
      </c>
      <c r="G1189" s="1609">
        <v>70</v>
      </c>
      <c r="H1189" s="1609"/>
      <c r="I1189" s="1609">
        <v>9.4396000000000004</v>
      </c>
      <c r="J1189" s="1609">
        <v>9.4396000000000004</v>
      </c>
      <c r="K1189" s="1610"/>
      <c r="L1189" s="1607">
        <v>18</v>
      </c>
      <c r="M1189" s="345"/>
    </row>
    <row r="1190" spans="1:13">
      <c r="A1190" s="1605">
        <v>45503</v>
      </c>
      <c r="B1190" s="1606" t="s">
        <v>4100</v>
      </c>
      <c r="C1190" s="1612">
        <v>728</v>
      </c>
      <c r="D1190" s="1605">
        <v>46231</v>
      </c>
      <c r="E1190" s="1613">
        <v>60</v>
      </c>
      <c r="F1190" s="1609">
        <v>132.71119999999999</v>
      </c>
      <c r="G1190" s="1609">
        <v>60</v>
      </c>
      <c r="H1190" s="1609"/>
      <c r="I1190" s="1609">
        <v>9.27</v>
      </c>
      <c r="J1190" s="1609">
        <v>9.1996000000000002</v>
      </c>
      <c r="K1190" s="1610"/>
      <c r="L1190" s="1607">
        <v>14</v>
      </c>
      <c r="M1190" s="345"/>
    </row>
    <row r="1191" spans="1:13">
      <c r="A1191" s="1605">
        <v>45510</v>
      </c>
      <c r="B1191" s="1606" t="s">
        <v>4112</v>
      </c>
      <c r="C1191" s="1612">
        <v>364</v>
      </c>
      <c r="D1191" s="1605">
        <v>45874</v>
      </c>
      <c r="E1191" s="1613">
        <v>50</v>
      </c>
      <c r="F1191" s="1609">
        <v>173.88550000000001</v>
      </c>
      <c r="G1191" s="1609">
        <v>75</v>
      </c>
      <c r="H1191" s="1609"/>
      <c r="I1191" s="1609">
        <v>8.3498999999999999</v>
      </c>
      <c r="J1191" s="1609">
        <v>8.2257999999999996</v>
      </c>
      <c r="K1191" s="1610"/>
      <c r="L1191" s="1607">
        <v>14</v>
      </c>
      <c r="M1191" s="345"/>
    </row>
    <row r="1192" spans="1:13">
      <c r="A1192" s="1605">
        <v>45517</v>
      </c>
      <c r="B1192" s="1606" t="s">
        <v>4113</v>
      </c>
      <c r="C1192" s="1612">
        <v>1092</v>
      </c>
      <c r="D1192" s="1605">
        <v>46609</v>
      </c>
      <c r="E1192" s="1613">
        <v>70</v>
      </c>
      <c r="F1192" s="1609">
        <v>178.97069999999999</v>
      </c>
      <c r="G1192" s="1609">
        <v>105</v>
      </c>
      <c r="H1192" s="1609"/>
      <c r="I1192" s="1609">
        <v>9.49</v>
      </c>
      <c r="J1192" s="1609">
        <v>9.4001999999999999</v>
      </c>
      <c r="K1192" s="1610"/>
      <c r="L1192" s="1607">
        <v>20</v>
      </c>
      <c r="M1192" s="345"/>
    </row>
    <row r="1193" spans="1:13">
      <c r="A1193" s="1605">
        <v>45524</v>
      </c>
      <c r="B1193" s="1606" t="s">
        <v>4114</v>
      </c>
      <c r="C1193" s="1612">
        <v>728</v>
      </c>
      <c r="D1193" s="1605">
        <v>46252</v>
      </c>
      <c r="E1193" s="1613">
        <v>60</v>
      </c>
      <c r="F1193" s="1609">
        <v>142.53620000000001</v>
      </c>
      <c r="G1193" s="1609">
        <v>90</v>
      </c>
      <c r="H1193" s="1609"/>
      <c r="I1193" s="1609">
        <v>9.34</v>
      </c>
      <c r="J1193" s="1609">
        <v>9.2759999999999998</v>
      </c>
      <c r="K1193" s="1610"/>
      <c r="L1193" s="1607">
        <v>10</v>
      </c>
      <c r="M1193" s="345"/>
    </row>
    <row r="1194" spans="1:13">
      <c r="A1194" s="1605">
        <v>45531</v>
      </c>
      <c r="B1194" s="1606" t="s">
        <v>4115</v>
      </c>
      <c r="C1194" s="1612">
        <v>1092</v>
      </c>
      <c r="D1194" s="1605">
        <v>46623</v>
      </c>
      <c r="E1194" s="1613">
        <v>70</v>
      </c>
      <c r="F1194" s="1609">
        <v>192.52170000000001</v>
      </c>
      <c r="G1194" s="1609">
        <v>105</v>
      </c>
      <c r="H1194" s="1609"/>
      <c r="I1194" s="1609">
        <v>9.49</v>
      </c>
      <c r="J1194" s="1609">
        <v>9.4618000000000002</v>
      </c>
      <c r="K1194" s="1610"/>
      <c r="L1194" s="1607">
        <v>23</v>
      </c>
      <c r="M1194" s="345"/>
    </row>
    <row r="1195" spans="1:13">
      <c r="A1195" s="1605">
        <v>45545</v>
      </c>
      <c r="B1195" s="1606" t="s">
        <v>4127</v>
      </c>
      <c r="C1195" s="1612">
        <v>1092</v>
      </c>
      <c r="D1195" s="1605">
        <v>46637</v>
      </c>
      <c r="E1195" s="1613">
        <v>120</v>
      </c>
      <c r="F1195" s="1609">
        <v>238.7098</v>
      </c>
      <c r="G1195" s="1609">
        <v>180</v>
      </c>
      <c r="H1195" s="1609"/>
      <c r="I1195" s="1609">
        <v>9.59</v>
      </c>
      <c r="J1195" s="1609">
        <v>9.2809000000000008</v>
      </c>
      <c r="K1195" s="1610"/>
      <c r="L1195" s="1607">
        <v>23</v>
      </c>
      <c r="M1195" s="345"/>
    </row>
    <row r="1196" spans="1:13">
      <c r="A1196" s="1605">
        <v>45559</v>
      </c>
      <c r="B1196" s="1606" t="s">
        <v>4128</v>
      </c>
      <c r="C1196" s="1612">
        <v>1092</v>
      </c>
      <c r="D1196" s="1605">
        <v>46651</v>
      </c>
      <c r="E1196" s="1613">
        <v>140</v>
      </c>
      <c r="F1196" s="1609">
        <v>169.0333</v>
      </c>
      <c r="G1196" s="1609">
        <v>168.75700000000001</v>
      </c>
      <c r="H1196" s="1609"/>
      <c r="I1196" s="1609">
        <v>10.5</v>
      </c>
      <c r="J1196" s="1609">
        <v>9.5654000000000003</v>
      </c>
      <c r="K1196" s="1610"/>
      <c r="L1196" s="1607">
        <v>25</v>
      </c>
      <c r="M1196" s="345"/>
    </row>
    <row r="1197" spans="1:13">
      <c r="A1197" s="1605">
        <v>45566</v>
      </c>
      <c r="B1197" s="1606" t="s">
        <v>4130</v>
      </c>
      <c r="C1197" s="1612">
        <v>1092</v>
      </c>
      <c r="D1197" s="1605">
        <v>46658</v>
      </c>
      <c r="E1197" s="1613">
        <v>150</v>
      </c>
      <c r="F1197" s="1609">
        <v>128.49879999999999</v>
      </c>
      <c r="G1197" s="1609">
        <v>100.2736</v>
      </c>
      <c r="H1197" s="1609"/>
      <c r="I1197" s="1609">
        <v>10.57</v>
      </c>
      <c r="J1197" s="1609">
        <v>10.2515</v>
      </c>
      <c r="K1197" s="1610"/>
      <c r="L1197" s="1607">
        <v>20</v>
      </c>
      <c r="M1197" s="345"/>
    </row>
    <row r="1198" spans="1:13">
      <c r="A1198" s="1605">
        <v>45573</v>
      </c>
      <c r="B1198" s="1606" t="s">
        <v>4131</v>
      </c>
      <c r="C1198" s="1612">
        <v>1092</v>
      </c>
      <c r="D1198" s="1605">
        <v>46665</v>
      </c>
      <c r="E1198" s="1613">
        <v>150</v>
      </c>
      <c r="F1198" s="1609">
        <v>134.17339999999999</v>
      </c>
      <c r="G1198" s="1609">
        <v>52.073700000000002</v>
      </c>
      <c r="H1198" s="1609"/>
      <c r="I1198" s="1609">
        <v>10.5</v>
      </c>
      <c r="J1198" s="1609">
        <v>9.5429999999999993</v>
      </c>
      <c r="K1198" s="1610"/>
      <c r="L1198" s="1607">
        <v>27</v>
      </c>
      <c r="M1198" s="345"/>
    </row>
    <row r="1199" spans="1:13">
      <c r="A1199" s="1605">
        <v>45580</v>
      </c>
      <c r="B1199" s="1606" t="s">
        <v>4132</v>
      </c>
      <c r="C1199" s="1612">
        <v>728</v>
      </c>
      <c r="D1199" s="1605">
        <v>46308</v>
      </c>
      <c r="E1199" s="1613">
        <v>120</v>
      </c>
      <c r="F1199" s="1609">
        <v>46.244700000000002</v>
      </c>
      <c r="G1199" s="1609">
        <v>29.618099999999998</v>
      </c>
      <c r="H1199" s="1609"/>
      <c r="I1199" s="1609">
        <v>10</v>
      </c>
      <c r="J1199" s="1609">
        <v>9.4671000000000003</v>
      </c>
      <c r="K1199" s="1610"/>
      <c r="L1199" s="1607">
        <v>16</v>
      </c>
      <c r="M1199" s="345"/>
    </row>
    <row r="1200" spans="1:13">
      <c r="A1200" s="1605">
        <v>45594</v>
      </c>
      <c r="B1200" s="1606" t="s">
        <v>4133</v>
      </c>
      <c r="C1200" s="1612">
        <v>1092</v>
      </c>
      <c r="D1200" s="1605">
        <v>46686</v>
      </c>
      <c r="E1200" s="1613">
        <v>50</v>
      </c>
      <c r="F1200" s="1609">
        <v>67.4285</v>
      </c>
      <c r="G1200" s="1609">
        <v>56.564999999999998</v>
      </c>
      <c r="H1200" s="1609"/>
      <c r="I1200" s="1609">
        <v>10.5</v>
      </c>
      <c r="J1200" s="1609">
        <v>10.1707</v>
      </c>
      <c r="K1200" s="1610"/>
      <c r="L1200" s="1607">
        <v>21</v>
      </c>
      <c r="M1200" s="345"/>
    </row>
    <row r="1201" spans="1:13">
      <c r="A1201" s="1605">
        <v>45601</v>
      </c>
      <c r="B1201" s="1606" t="s">
        <v>4156</v>
      </c>
      <c r="C1201" s="1612">
        <v>728</v>
      </c>
      <c r="D1201" s="1605">
        <v>46329</v>
      </c>
      <c r="E1201" s="1613">
        <v>40</v>
      </c>
      <c r="F1201" s="1609">
        <v>28.6828</v>
      </c>
      <c r="G1201" s="1609">
        <v>19.483499999999999</v>
      </c>
      <c r="H1201" s="1609"/>
      <c r="I1201" s="1609">
        <v>10</v>
      </c>
      <c r="J1201" s="1609">
        <v>9.9177999999999997</v>
      </c>
      <c r="K1201" s="1610"/>
      <c r="L1201" s="1607">
        <v>12</v>
      </c>
      <c r="M1201" s="345"/>
    </row>
    <row r="1202" spans="1:13">
      <c r="A1202" s="1605">
        <v>45603</v>
      </c>
      <c r="B1202" s="1606" t="s">
        <v>4157</v>
      </c>
      <c r="C1202" s="1612">
        <v>1092</v>
      </c>
      <c r="D1202" s="1605">
        <v>46695</v>
      </c>
      <c r="E1202" s="1613">
        <v>50</v>
      </c>
      <c r="F1202" s="1609">
        <v>64.778400000000005</v>
      </c>
      <c r="G1202" s="1609">
        <v>50</v>
      </c>
      <c r="H1202" s="1609"/>
      <c r="I1202" s="1609">
        <v>10.7</v>
      </c>
      <c r="J1202" s="1609">
        <v>10.4017</v>
      </c>
      <c r="K1202" s="1610"/>
      <c r="L1202" s="1607">
        <v>15</v>
      </c>
      <c r="M1202" s="345"/>
    </row>
    <row r="1203" spans="1:13">
      <c r="A1203" s="1605">
        <v>45617</v>
      </c>
      <c r="B1203" s="1606" t="s">
        <v>4158</v>
      </c>
      <c r="C1203" s="1612">
        <v>1092</v>
      </c>
      <c r="D1203" s="1605">
        <v>46709</v>
      </c>
      <c r="E1203" s="1613">
        <v>60</v>
      </c>
      <c r="F1203" s="1609">
        <v>88.180499999999995</v>
      </c>
      <c r="G1203" s="1609">
        <v>76.787499999999994</v>
      </c>
      <c r="H1203" s="1609"/>
      <c r="I1203" s="1609">
        <v>10.7</v>
      </c>
      <c r="J1203" s="1609">
        <v>10.2323</v>
      </c>
      <c r="K1203" s="1610"/>
      <c r="L1203" s="1607">
        <v>17</v>
      </c>
      <c r="M1203" s="345"/>
    </row>
    <row r="1204" spans="1:13">
      <c r="A1204" s="1605">
        <v>45622</v>
      </c>
      <c r="B1204" s="1606" t="s">
        <v>4159</v>
      </c>
      <c r="C1204" s="1612">
        <v>364</v>
      </c>
      <c r="D1204" s="1605">
        <v>45986</v>
      </c>
      <c r="E1204" s="1613">
        <v>50</v>
      </c>
      <c r="F1204" s="1609">
        <v>41.347900000000003</v>
      </c>
      <c r="G1204" s="1609">
        <v>35.307400000000001</v>
      </c>
      <c r="H1204" s="1609"/>
      <c r="I1204" s="1609">
        <v>9.5</v>
      </c>
      <c r="J1204" s="1609">
        <v>9.0272000000000006</v>
      </c>
      <c r="K1204" s="1610"/>
      <c r="L1204" s="1607">
        <v>8</v>
      </c>
      <c r="M1204" s="345"/>
    </row>
    <row r="1205" spans="1:13">
      <c r="A1205" s="1605">
        <v>45624</v>
      </c>
      <c r="B1205" s="1606" t="s">
        <v>4160</v>
      </c>
      <c r="C1205" s="1612">
        <v>1092</v>
      </c>
      <c r="D1205" s="1605">
        <v>46716</v>
      </c>
      <c r="E1205" s="1613">
        <v>80</v>
      </c>
      <c r="F1205" s="1609">
        <v>28.193300000000001</v>
      </c>
      <c r="G1205" s="1609">
        <v>22.4316</v>
      </c>
      <c r="H1205" s="1609"/>
      <c r="I1205" s="1609">
        <v>10.7</v>
      </c>
      <c r="J1205" s="1609">
        <v>10.5816</v>
      </c>
      <c r="K1205" s="1610"/>
      <c r="L1205" s="1607">
        <v>12</v>
      </c>
      <c r="M1205" s="345"/>
    </row>
    <row r="1206" spans="1:13">
      <c r="A1206" s="1605">
        <v>45629</v>
      </c>
      <c r="B1206" s="1606" t="s">
        <v>4188</v>
      </c>
      <c r="C1206" s="1612">
        <v>728</v>
      </c>
      <c r="D1206" s="1605">
        <v>46357</v>
      </c>
      <c r="E1206" s="1613">
        <v>70</v>
      </c>
      <c r="F1206" s="1609">
        <v>15.583299999999999</v>
      </c>
      <c r="G1206" s="1609">
        <v>15.583299999999999</v>
      </c>
      <c r="H1206" s="1609"/>
      <c r="I1206" s="1609">
        <v>10.5</v>
      </c>
      <c r="J1206" s="1609">
        <v>10.118</v>
      </c>
      <c r="K1206" s="1610"/>
      <c r="L1206" s="1607">
        <v>7</v>
      </c>
      <c r="M1206" s="345"/>
    </row>
    <row r="1207" spans="1:13">
      <c r="A1207" s="1605">
        <v>45631</v>
      </c>
      <c r="B1207" s="1606" t="s">
        <v>4189</v>
      </c>
      <c r="C1207" s="1612">
        <v>1092</v>
      </c>
      <c r="D1207" s="1605">
        <v>46723</v>
      </c>
      <c r="E1207" s="1613">
        <v>70</v>
      </c>
      <c r="F1207" s="1609">
        <v>68.448700000000002</v>
      </c>
      <c r="G1207" s="1609">
        <v>65.0548</v>
      </c>
      <c r="H1207" s="1609"/>
      <c r="I1207" s="1609">
        <v>10.99</v>
      </c>
      <c r="J1207" s="1609">
        <v>10.499000000000001</v>
      </c>
      <c r="K1207" s="1610"/>
      <c r="L1207" s="1607">
        <v>12</v>
      </c>
      <c r="M1207" s="345"/>
    </row>
    <row r="1208" spans="1:13">
      <c r="A1208" s="1605">
        <v>45636</v>
      </c>
      <c r="B1208" s="1606" t="s">
        <v>4190</v>
      </c>
      <c r="C1208" s="1612">
        <v>728</v>
      </c>
      <c r="D1208" s="1605">
        <v>46364</v>
      </c>
      <c r="E1208" s="1613">
        <v>80</v>
      </c>
      <c r="F1208" s="1609">
        <v>38.471400000000003</v>
      </c>
      <c r="G1208" s="1609">
        <v>23.679099999999998</v>
      </c>
      <c r="H1208" s="1609"/>
      <c r="I1208" s="1609">
        <v>10.7</v>
      </c>
      <c r="J1208" s="1609">
        <v>10.5098</v>
      </c>
      <c r="K1208" s="1610"/>
      <c r="L1208" s="1607">
        <v>13</v>
      </c>
      <c r="M1208" s="345"/>
    </row>
    <row r="1209" spans="1:13">
      <c r="A1209" s="1605">
        <v>45638</v>
      </c>
      <c r="B1209" s="1606" t="s">
        <v>4191</v>
      </c>
      <c r="C1209" s="1612">
        <v>1092</v>
      </c>
      <c r="D1209" s="1605">
        <v>46730</v>
      </c>
      <c r="E1209" s="1613">
        <v>100</v>
      </c>
      <c r="F1209" s="1609">
        <v>53.600499999999997</v>
      </c>
      <c r="G1209" s="1609">
        <v>53.600499999999997</v>
      </c>
      <c r="H1209" s="1609"/>
      <c r="I1209" s="1609">
        <v>11</v>
      </c>
      <c r="J1209" s="1609">
        <v>10.901999999999999</v>
      </c>
      <c r="K1209" s="1610"/>
      <c r="L1209" s="1607">
        <v>11</v>
      </c>
      <c r="M1209" s="345"/>
    </row>
    <row r="1210" spans="1:13">
      <c r="A1210" s="1605">
        <v>45645</v>
      </c>
      <c r="B1210" s="1606" t="s">
        <v>4192</v>
      </c>
      <c r="C1210" s="1612">
        <v>1092</v>
      </c>
      <c r="D1210" s="1605">
        <v>46737</v>
      </c>
      <c r="E1210" s="1613">
        <v>100</v>
      </c>
      <c r="F1210" s="1609">
        <v>49.447000000000003</v>
      </c>
      <c r="G1210" s="1609">
        <v>46.152900000000002</v>
      </c>
      <c r="H1210" s="1609"/>
      <c r="I1210" s="1609">
        <v>11</v>
      </c>
      <c r="J1210" s="1609">
        <v>10.904299999999999</v>
      </c>
      <c r="K1210" s="1610"/>
      <c r="L1210" s="1607">
        <v>13</v>
      </c>
      <c r="M1210" s="345"/>
    </row>
    <row r="1211" spans="1:13">
      <c r="A1211" s="1605">
        <v>45650</v>
      </c>
      <c r="B1211" s="1606" t="s">
        <v>4193</v>
      </c>
      <c r="C1211" s="1612">
        <v>364</v>
      </c>
      <c r="D1211" s="1605">
        <v>46014</v>
      </c>
      <c r="E1211" s="1613">
        <v>100</v>
      </c>
      <c r="F1211" s="1609">
        <v>65.068399999999997</v>
      </c>
      <c r="G1211" s="1609">
        <v>64.957700000000003</v>
      </c>
      <c r="H1211" s="1609"/>
      <c r="I1211" s="1609">
        <v>9.9870999999999999</v>
      </c>
      <c r="J1211" s="1609">
        <v>9.1687999999999992</v>
      </c>
      <c r="K1211" s="1610"/>
      <c r="L1211" s="1607">
        <v>17</v>
      </c>
      <c r="M1211" s="345"/>
    </row>
    <row r="1212" spans="1:13">
      <c r="A1212" s="1605">
        <v>45652</v>
      </c>
      <c r="B1212" s="1606" t="s">
        <v>4194</v>
      </c>
      <c r="C1212" s="1612">
        <v>1092</v>
      </c>
      <c r="D1212" s="1605">
        <v>46744</v>
      </c>
      <c r="E1212" s="1613">
        <v>50</v>
      </c>
      <c r="F1212" s="1609">
        <v>34.522799999999997</v>
      </c>
      <c r="G1212" s="1609">
        <v>32.337400000000002</v>
      </c>
      <c r="H1212" s="1609"/>
      <c r="I1212" s="1609">
        <v>11</v>
      </c>
      <c r="J1212" s="1609">
        <v>10.647399999999999</v>
      </c>
      <c r="K1212" s="1610"/>
      <c r="L1212" s="1607">
        <v>10</v>
      </c>
      <c r="M1212" s="345"/>
    </row>
    <row r="1213" spans="1:13">
      <c r="A1213" s="1605">
        <v>45654</v>
      </c>
      <c r="B1213" s="1606" t="s">
        <v>4195</v>
      </c>
      <c r="C1213" s="1612">
        <v>364</v>
      </c>
      <c r="D1213" s="1605">
        <v>46018</v>
      </c>
      <c r="E1213" s="1613">
        <v>60</v>
      </c>
      <c r="F1213" s="1609">
        <v>84.940399999999997</v>
      </c>
      <c r="G1213" s="1609">
        <v>60</v>
      </c>
      <c r="H1213" s="1609"/>
      <c r="I1213" s="1609">
        <v>9.6499000000000006</v>
      </c>
      <c r="J1213" s="1609">
        <v>9.2317999999999998</v>
      </c>
      <c r="K1213" s="1610"/>
      <c r="L1213" s="1607">
        <v>17</v>
      </c>
      <c r="M1213" s="345"/>
    </row>
    <row r="1214" spans="1:13">
      <c r="A1214" s="1605">
        <v>45654</v>
      </c>
      <c r="B1214" s="1606" t="s">
        <v>4200</v>
      </c>
      <c r="C1214" s="1612">
        <v>720</v>
      </c>
      <c r="D1214" s="1605">
        <v>46384</v>
      </c>
      <c r="E1214" s="1613">
        <v>750</v>
      </c>
      <c r="F1214" s="1609">
        <v>750</v>
      </c>
      <c r="G1214" s="1609">
        <v>750</v>
      </c>
      <c r="H1214" s="1609"/>
      <c r="I1214" s="1609">
        <v>8</v>
      </c>
      <c r="J1214" s="1609">
        <v>8</v>
      </c>
      <c r="K1214" s="1610"/>
      <c r="L1214" s="1607">
        <v>1</v>
      </c>
      <c r="M1214" s="345"/>
    </row>
    <row r="1215" spans="1:13">
      <c r="A1215" s="1605">
        <v>45654</v>
      </c>
      <c r="B1215" s="1606" t="s">
        <v>4201</v>
      </c>
      <c r="C1215" s="1612">
        <v>360</v>
      </c>
      <c r="D1215" s="1605">
        <v>46019</v>
      </c>
      <c r="E1215" s="1613">
        <v>750</v>
      </c>
      <c r="F1215" s="1609">
        <v>750</v>
      </c>
      <c r="G1215" s="1609">
        <v>750</v>
      </c>
      <c r="H1215" s="1609"/>
      <c r="I1215" s="1609">
        <v>6</v>
      </c>
      <c r="J1215" s="1609">
        <v>6</v>
      </c>
      <c r="K1215" s="1610"/>
      <c r="L1215" s="1607">
        <v>2</v>
      </c>
      <c r="M1215" s="345"/>
    </row>
    <row r="1216" spans="1:13">
      <c r="A1216" s="1662">
        <v>2025</v>
      </c>
      <c r="B1216" s="1606"/>
      <c r="C1216" s="1612"/>
      <c r="D1216" s="1605"/>
      <c r="E1216" s="1613"/>
      <c r="F1216" s="1609"/>
      <c r="G1216" s="1609"/>
      <c r="H1216" s="1609"/>
      <c r="I1216" s="1609"/>
      <c r="J1216" s="1609"/>
      <c r="K1216" s="1610"/>
      <c r="L1216" s="1607"/>
      <c r="M1216" s="345"/>
    </row>
    <row r="1217" spans="1:13">
      <c r="A1217" s="1605">
        <v>45909</v>
      </c>
      <c r="B1217" s="1606" t="s">
        <v>4402</v>
      </c>
      <c r="C1217" s="1612">
        <v>1080</v>
      </c>
      <c r="D1217" s="1605">
        <v>47005</v>
      </c>
      <c r="E1217" s="1613">
        <v>20</v>
      </c>
      <c r="F1217" s="1609">
        <v>140.86410000000001</v>
      </c>
      <c r="G1217" s="1609">
        <v>9.8748000000000005</v>
      </c>
      <c r="H1217" s="1609"/>
      <c r="I1217" s="1609">
        <v>7.7</v>
      </c>
      <c r="J1217" s="1609">
        <v>7.5202</v>
      </c>
      <c r="K1217" s="1610"/>
      <c r="L1217" s="1607">
        <v>26</v>
      </c>
      <c r="M1217" s="345"/>
    </row>
    <row r="1218" spans="1:13">
      <c r="A1218" s="1605">
        <v>45916</v>
      </c>
      <c r="B1218" s="1606" t="s">
        <v>4403</v>
      </c>
      <c r="C1218" s="1612">
        <v>720</v>
      </c>
      <c r="D1218" s="1605">
        <v>46646</v>
      </c>
      <c r="E1218" s="1613">
        <v>20</v>
      </c>
      <c r="F1218" s="1609">
        <v>86.152100000000004</v>
      </c>
      <c r="G1218" s="1609">
        <v>20</v>
      </c>
      <c r="H1218" s="1609"/>
      <c r="I1218" s="1609">
        <v>6.85</v>
      </c>
      <c r="J1218" s="1609">
        <v>6.7281000000000004</v>
      </c>
      <c r="K1218" s="1610"/>
      <c r="L1218" s="1607">
        <v>18</v>
      </c>
      <c r="M1218" s="345"/>
    </row>
    <row r="1219" spans="1:13">
      <c r="A1219" s="1605">
        <v>45923</v>
      </c>
      <c r="B1219" s="1606" t="s">
        <v>4402</v>
      </c>
      <c r="C1219" s="1612">
        <v>1066</v>
      </c>
      <c r="D1219" s="1605">
        <v>47005</v>
      </c>
      <c r="E1219" s="1613">
        <v>20</v>
      </c>
      <c r="F1219" s="1609">
        <v>99.770099999999999</v>
      </c>
      <c r="G1219" s="1609">
        <v>5.9423000000000004</v>
      </c>
      <c r="H1219" s="1609"/>
      <c r="I1219" s="1609">
        <v>7.8</v>
      </c>
      <c r="J1219" s="1609">
        <v>7.75</v>
      </c>
      <c r="K1219" s="1610"/>
      <c r="L1219" s="1607">
        <v>17</v>
      </c>
      <c r="M1219" s="345"/>
    </row>
    <row r="1220" spans="1:13">
      <c r="A1220" s="1605">
        <v>45930</v>
      </c>
      <c r="B1220" s="1606" t="s">
        <v>4404</v>
      </c>
      <c r="C1220" s="1612">
        <v>720</v>
      </c>
      <c r="D1220" s="1605">
        <v>46660</v>
      </c>
      <c r="E1220" s="1613">
        <v>20</v>
      </c>
      <c r="F1220" s="1609">
        <v>58.940300000000001</v>
      </c>
      <c r="G1220" s="1609">
        <v>20</v>
      </c>
      <c r="H1220" s="1609"/>
      <c r="I1220" s="1609">
        <v>7</v>
      </c>
      <c r="J1220" s="1609">
        <v>6.9637000000000002</v>
      </c>
      <c r="K1220" s="1610"/>
      <c r="L1220" s="1607">
        <v>7</v>
      </c>
      <c r="M1220" s="345"/>
    </row>
    <row r="1221" spans="1:13">
      <c r="A1221" s="1605">
        <v>45937</v>
      </c>
      <c r="B1221" s="1606" t="s">
        <v>4425</v>
      </c>
      <c r="C1221" s="1612">
        <v>1080</v>
      </c>
      <c r="D1221" s="1605">
        <v>47033</v>
      </c>
      <c r="E1221" s="1613">
        <v>20</v>
      </c>
      <c r="F1221" s="1609">
        <v>86.457800000000006</v>
      </c>
      <c r="G1221" s="1609">
        <v>19.2638</v>
      </c>
      <c r="H1221" s="1609"/>
      <c r="I1221" s="1609">
        <v>7.7798999999999996</v>
      </c>
      <c r="J1221" s="1609">
        <v>7.6258999999999997</v>
      </c>
      <c r="K1221" s="1610"/>
      <c r="L1221" s="1607">
        <v>14</v>
      </c>
      <c r="M1221" s="345"/>
    </row>
    <row r="1222" spans="1:13">
      <c r="A1222" s="1605">
        <v>45944</v>
      </c>
      <c r="B1222" s="1606" t="s">
        <v>4404</v>
      </c>
      <c r="C1222" s="1612">
        <v>706</v>
      </c>
      <c r="D1222" s="1605">
        <v>46660</v>
      </c>
      <c r="E1222" s="1613">
        <v>20</v>
      </c>
      <c r="F1222" s="1609">
        <v>65.366500000000002</v>
      </c>
      <c r="G1222" s="1609">
        <v>19.931100000000001</v>
      </c>
      <c r="H1222" s="1609"/>
      <c r="I1222" s="1609">
        <v>6.5</v>
      </c>
      <c r="J1222" s="1609">
        <v>6.45</v>
      </c>
      <c r="K1222" s="1610"/>
      <c r="L1222" s="1607">
        <v>6</v>
      </c>
      <c r="M1222" s="345"/>
    </row>
    <row r="1223" spans="1:13">
      <c r="A1223" s="1605">
        <v>45951</v>
      </c>
      <c r="B1223" s="1606" t="s">
        <v>4425</v>
      </c>
      <c r="C1223" s="1612">
        <v>1066</v>
      </c>
      <c r="D1223" s="1605">
        <v>47033</v>
      </c>
      <c r="E1223" s="1613">
        <v>20</v>
      </c>
      <c r="F1223" s="1609">
        <v>74.794899999999998</v>
      </c>
      <c r="G1223" s="1609">
        <v>20</v>
      </c>
      <c r="H1223" s="1609"/>
      <c r="I1223" s="1609">
        <v>7.5</v>
      </c>
      <c r="J1223" s="1609">
        <v>7.4008000000000003</v>
      </c>
      <c r="K1223" s="1610"/>
      <c r="L1223" s="1607">
        <v>9</v>
      </c>
      <c r="M1223" s="345"/>
    </row>
    <row r="1224" spans="1:13">
      <c r="A1224" s="1605">
        <v>45958</v>
      </c>
      <c r="B1224" s="1606" t="s">
        <v>4404</v>
      </c>
      <c r="C1224" s="1612">
        <v>692</v>
      </c>
      <c r="D1224" s="1605">
        <v>46660</v>
      </c>
      <c r="E1224" s="1613">
        <v>20</v>
      </c>
      <c r="F1224" s="1609">
        <v>74.716399999999993</v>
      </c>
      <c r="G1224" s="1609">
        <v>19.8811</v>
      </c>
      <c r="H1224" s="1609"/>
      <c r="I1224" s="1609">
        <v>6.5</v>
      </c>
      <c r="J1224" s="1609">
        <v>6.45</v>
      </c>
      <c r="K1224" s="1610"/>
      <c r="L1224" s="1607">
        <v>6</v>
      </c>
      <c r="M1224" s="345"/>
    </row>
    <row r="1225" spans="1:13">
      <c r="A1225" s="1605">
        <v>45967</v>
      </c>
      <c r="B1225" s="1606" t="s">
        <v>4425</v>
      </c>
      <c r="C1225" s="1612">
        <v>1051</v>
      </c>
      <c r="D1225" s="1605">
        <v>47033</v>
      </c>
      <c r="E1225" s="1613">
        <v>50</v>
      </c>
      <c r="F1225" s="1609">
        <v>142.69749999999999</v>
      </c>
      <c r="G1225" s="1609">
        <v>50</v>
      </c>
      <c r="H1225" s="1609"/>
      <c r="I1225" s="1609">
        <v>7.6</v>
      </c>
      <c r="J1225" s="1609">
        <v>7.5388000000000002</v>
      </c>
      <c r="K1225" s="1610"/>
      <c r="L1225" s="1607">
        <v>9</v>
      </c>
      <c r="M1225" s="345"/>
    </row>
    <row r="1226" spans="1:13">
      <c r="A1226" s="1605">
        <v>45974</v>
      </c>
      <c r="B1226" s="1606" t="s">
        <v>4404</v>
      </c>
      <c r="C1226" s="1612">
        <v>677</v>
      </c>
      <c r="D1226" s="1605">
        <v>46660</v>
      </c>
      <c r="E1226" s="1613">
        <v>50</v>
      </c>
      <c r="F1226" s="1609">
        <v>129.7655</v>
      </c>
      <c r="G1226" s="1609">
        <v>44.725999999999999</v>
      </c>
      <c r="H1226" s="1609"/>
      <c r="I1226" s="1609">
        <v>6.6999000000000004</v>
      </c>
      <c r="J1226" s="1609">
        <v>6.5888999999999998</v>
      </c>
      <c r="K1226" s="1610"/>
      <c r="L1226" s="1607">
        <v>9</v>
      </c>
      <c r="M1226" s="345"/>
    </row>
    <row r="1227" spans="1:13">
      <c r="A1227" s="1605">
        <v>45979</v>
      </c>
      <c r="B1227" s="1606" t="s">
        <v>4425</v>
      </c>
      <c r="C1227" s="1612">
        <v>1039</v>
      </c>
      <c r="D1227" s="1605">
        <v>47033</v>
      </c>
      <c r="E1227" s="1613">
        <v>50</v>
      </c>
      <c r="F1227" s="1609">
        <v>94.761799999999994</v>
      </c>
      <c r="G1227" s="1609">
        <v>35.957000000000001</v>
      </c>
      <c r="H1227" s="1609"/>
      <c r="I1227" s="1609">
        <v>7.7</v>
      </c>
      <c r="J1227" s="1609">
        <v>7.6736000000000004</v>
      </c>
      <c r="K1227" s="1610"/>
      <c r="L1227" s="1607">
        <v>11</v>
      </c>
      <c r="M1227" s="345"/>
    </row>
    <row r="1228" spans="1:13">
      <c r="A1228" s="1605">
        <v>45986</v>
      </c>
      <c r="B1228" s="1606" t="s">
        <v>4404</v>
      </c>
      <c r="C1228" s="1612">
        <v>665</v>
      </c>
      <c r="D1228" s="1605">
        <v>46660</v>
      </c>
      <c r="E1228" s="1613">
        <v>50</v>
      </c>
      <c r="F1228" s="1609">
        <v>62.413699999999999</v>
      </c>
      <c r="G1228" s="1609">
        <v>25.7182</v>
      </c>
      <c r="H1228" s="1609"/>
      <c r="I1228" s="1609">
        <v>6.8</v>
      </c>
      <c r="J1228" s="1609">
        <v>6.7397999999999998</v>
      </c>
      <c r="K1228" s="1610"/>
      <c r="L1228" s="1607">
        <v>5</v>
      </c>
      <c r="M1228" s="345"/>
    </row>
    <row r="1229" spans="1:13">
      <c r="A1229" s="1605">
        <v>45993</v>
      </c>
      <c r="B1229" s="1606" t="s">
        <v>4425</v>
      </c>
      <c r="C1229" s="1612">
        <v>1025</v>
      </c>
      <c r="D1229" s="1605">
        <v>47033</v>
      </c>
      <c r="E1229" s="1613">
        <v>50</v>
      </c>
      <c r="F1229" s="1609">
        <v>151.99770000000001</v>
      </c>
      <c r="G1229" s="1609">
        <v>53.537599999999998</v>
      </c>
      <c r="H1229" s="1609"/>
      <c r="I1229" s="1609">
        <v>7.7698999999999998</v>
      </c>
      <c r="J1229" s="1609">
        <v>7.7239000000000004</v>
      </c>
      <c r="K1229" s="1610"/>
      <c r="L1229" s="1607">
        <v>15</v>
      </c>
      <c r="M1229" s="345"/>
    </row>
    <row r="1230" spans="1:13">
      <c r="A1230" s="1605">
        <v>46007</v>
      </c>
      <c r="B1230" s="1606" t="s">
        <v>4425</v>
      </c>
      <c r="C1230" s="1612">
        <v>1011</v>
      </c>
      <c r="D1230" s="1605">
        <v>47033</v>
      </c>
      <c r="E1230" s="1613">
        <v>60</v>
      </c>
      <c r="F1230" s="1609">
        <v>135.73840000000001</v>
      </c>
      <c r="G1230" s="1609">
        <v>78.707099999999997</v>
      </c>
      <c r="H1230" s="1609"/>
      <c r="I1230" s="1609">
        <v>7.7</v>
      </c>
      <c r="J1230" s="1609">
        <v>7.2484999999999999</v>
      </c>
      <c r="K1230" s="1610"/>
      <c r="L1230" s="1607">
        <v>12</v>
      </c>
      <c r="M1230" s="345"/>
    </row>
    <row r="1231" spans="1:13">
      <c r="A1231" s="1605">
        <v>46009</v>
      </c>
      <c r="B1231" s="1606" t="s">
        <v>4404</v>
      </c>
      <c r="C1231" s="1612">
        <v>642</v>
      </c>
      <c r="D1231" s="1605">
        <v>46660</v>
      </c>
      <c r="E1231" s="1613">
        <v>50</v>
      </c>
      <c r="F1231" s="1609">
        <v>88.419200000000004</v>
      </c>
      <c r="G1231" s="1609">
        <v>11.8955</v>
      </c>
      <c r="H1231" s="1609"/>
      <c r="I1231" s="1609">
        <v>6.8</v>
      </c>
      <c r="J1231" s="1609">
        <v>6.7889999999999997</v>
      </c>
      <c r="K1231" s="1610"/>
      <c r="L1231" s="1607">
        <v>11</v>
      </c>
      <c r="M1231" s="345"/>
    </row>
    <row r="1232" spans="1:13">
      <c r="A1232" s="1605">
        <v>46014</v>
      </c>
      <c r="B1232" s="1606" t="s">
        <v>4464</v>
      </c>
      <c r="C1232" s="1612">
        <v>30</v>
      </c>
      <c r="D1232" s="1605">
        <v>46045</v>
      </c>
      <c r="E1232" s="1613">
        <v>50</v>
      </c>
      <c r="F1232" s="1609">
        <v>31.041699999999999</v>
      </c>
      <c r="G1232" s="1609">
        <v>29.2</v>
      </c>
      <c r="H1232" s="1609"/>
      <c r="I1232" s="1609">
        <v>6.7497999999999996</v>
      </c>
      <c r="J1232" s="1609">
        <v>6.5880000000000001</v>
      </c>
      <c r="K1232" s="1610"/>
      <c r="L1232" s="1607">
        <v>9</v>
      </c>
      <c r="M1232" s="345"/>
    </row>
    <row r="1233" spans="1:13">
      <c r="A1233" s="1614">
        <v>46168</v>
      </c>
      <c r="B1233" s="1615" t="s">
        <v>4547</v>
      </c>
      <c r="C1233" s="1884">
        <v>3600</v>
      </c>
      <c r="D1233" s="1614">
        <v>49821</v>
      </c>
      <c r="E1233" s="1885">
        <v>200</v>
      </c>
      <c r="F1233" s="1617">
        <v>265.30290000000002</v>
      </c>
      <c r="G1233" s="1617">
        <v>200</v>
      </c>
      <c r="H1233" s="1617"/>
      <c r="I1233" s="1617">
        <v>7</v>
      </c>
      <c r="J1233" s="1617">
        <v>6.9992999999999999</v>
      </c>
      <c r="K1233" s="1618"/>
      <c r="L1233" s="1616">
        <v>12</v>
      </c>
      <c r="M1233" s="345"/>
    </row>
    <row r="1234" spans="1:13" s="466" customFormat="1" ht="25.5" customHeight="1">
      <c r="A1234" s="2501" t="s">
        <v>2694</v>
      </c>
      <c r="B1234" s="2502"/>
      <c r="C1234" s="2502"/>
      <c r="D1234" s="2502"/>
      <c r="E1234" s="2502"/>
      <c r="F1234" s="2502"/>
      <c r="G1234" s="2502"/>
      <c r="H1234" s="2502"/>
      <c r="I1234" s="2502"/>
      <c r="J1234" s="2502"/>
      <c r="K1234" s="2502"/>
      <c r="L1234" s="2502"/>
      <c r="M1234" s="345"/>
    </row>
  </sheetData>
  <mergeCells count="23">
    <mergeCell ref="A1234:L1234"/>
    <mergeCell ref="A10:A11"/>
    <mergeCell ref="B10:B11"/>
    <mergeCell ref="C10:C11"/>
    <mergeCell ref="D10:D11"/>
    <mergeCell ref="K10:K11"/>
    <mergeCell ref="L10:L11"/>
    <mergeCell ref="J7:J9"/>
    <mergeCell ref="A2:L2"/>
    <mergeCell ref="A3:L3"/>
    <mergeCell ref="A6:A9"/>
    <mergeCell ref="B6:B9"/>
    <mergeCell ref="C6:C9"/>
    <mergeCell ref="D6:D9"/>
    <mergeCell ref="E6:G6"/>
    <mergeCell ref="H6:J6"/>
    <mergeCell ref="K6:K9"/>
    <mergeCell ref="L6:L9"/>
    <mergeCell ref="E7:E9"/>
    <mergeCell ref="F7:F9"/>
    <mergeCell ref="G7:G9"/>
    <mergeCell ref="H7:H9"/>
    <mergeCell ref="I7:I9"/>
  </mergeCells>
  <pageMargins left="0.17" right="0.17" top="0.37" bottom="0.23" header="0.17" footer="0.17"/>
  <pageSetup scale="16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8">
    <tabColor rgb="FF92D050"/>
  </sheetPr>
  <dimension ref="A1:CI1254"/>
  <sheetViews>
    <sheetView showGridLines="0" view="pageBreakPreview" zoomScale="115" zoomScaleNormal="130" zoomScaleSheetLayoutView="115" workbookViewId="0">
      <pane ySplit="9" topLeftCell="A1237" activePane="bottomLeft" state="frozen"/>
      <selection activeCell="F40" sqref="F40"/>
      <selection pane="bottomLeft" activeCell="F40" sqref="F40"/>
    </sheetView>
  </sheetViews>
  <sheetFormatPr defaultColWidth="9.140625" defaultRowHeight="12.75"/>
  <cols>
    <col min="1" max="1" width="11" style="158" customWidth="1"/>
    <col min="2" max="2" width="12.28515625" style="158" customWidth="1"/>
    <col min="3" max="3" width="5.5703125" style="158" customWidth="1"/>
    <col min="4" max="4" width="10.85546875" style="438" customWidth="1"/>
    <col min="5" max="5" width="8.140625" style="158" customWidth="1"/>
    <col min="6" max="6" width="8.85546875" style="158" customWidth="1"/>
    <col min="7" max="7" width="8.28515625" style="158" customWidth="1"/>
    <col min="8" max="8" width="7.5703125" style="158" customWidth="1"/>
    <col min="9" max="9" width="9" style="158" customWidth="1"/>
    <col min="10" max="10" width="8.7109375" style="158" customWidth="1"/>
    <col min="11" max="11" width="8.140625" style="158" customWidth="1"/>
    <col min="12" max="12" width="7.140625" style="158" customWidth="1"/>
    <col min="13" max="16384" width="9.140625" style="158"/>
  </cols>
  <sheetData>
    <row r="1" spans="1:87" ht="7.5" customHeight="1"/>
    <row r="2" spans="1:87" s="452" customFormat="1" ht="15" customHeight="1">
      <c r="A2" s="2511" t="s">
        <v>2700</v>
      </c>
      <c r="B2" s="2511"/>
      <c r="C2" s="2511"/>
      <c r="D2" s="2511"/>
      <c r="E2" s="2511"/>
      <c r="F2" s="2511"/>
      <c r="G2" s="2511"/>
      <c r="H2" s="2511"/>
      <c r="I2" s="2511"/>
      <c r="J2" s="2511"/>
      <c r="K2" s="2511"/>
      <c r="L2" s="2511"/>
    </row>
    <row r="3" spans="1:87" s="452" customFormat="1" ht="21" customHeight="1">
      <c r="A3" s="2522" t="s">
        <v>3527</v>
      </c>
      <c r="B3" s="2522"/>
      <c r="C3" s="2522"/>
      <c r="D3" s="2522"/>
      <c r="E3" s="2522"/>
      <c r="F3" s="2522"/>
      <c r="G3" s="2522"/>
      <c r="H3" s="2522"/>
      <c r="I3" s="2522"/>
      <c r="J3" s="2522"/>
      <c r="K3" s="2522"/>
      <c r="L3" s="2522"/>
    </row>
    <row r="4" spans="1:87" s="452" customFormat="1" ht="12" customHeight="1">
      <c r="A4" s="499"/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</row>
    <row r="5" spans="1:87" ht="12" customHeight="1">
      <c r="A5" s="2514"/>
      <c r="B5" s="2514"/>
      <c r="C5" s="2514"/>
      <c r="D5" s="2514"/>
      <c r="E5" s="2514"/>
      <c r="F5" s="2514"/>
      <c r="G5" s="2514"/>
      <c r="H5" s="2514"/>
      <c r="I5" s="2514"/>
      <c r="J5" s="2514"/>
      <c r="K5" s="2514"/>
      <c r="L5" s="2514"/>
    </row>
    <row r="6" spans="1:87" s="264" customFormat="1" ht="15" customHeight="1">
      <c r="A6" s="2513" t="s">
        <v>368</v>
      </c>
      <c r="B6" s="2515" t="s">
        <v>785</v>
      </c>
      <c r="C6" s="2519" t="s">
        <v>369</v>
      </c>
      <c r="D6" s="2518" t="s">
        <v>370</v>
      </c>
      <c r="E6" s="2513" t="s">
        <v>371</v>
      </c>
      <c r="F6" s="2513"/>
      <c r="G6" s="2513"/>
      <c r="H6" s="2513"/>
      <c r="I6" s="2513" t="s">
        <v>372</v>
      </c>
      <c r="J6" s="2513"/>
      <c r="K6" s="2513"/>
      <c r="L6" s="2520" t="s">
        <v>2638</v>
      </c>
    </row>
    <row r="7" spans="1:87" s="264" customFormat="1" ht="39.75" customHeight="1">
      <c r="A7" s="2513"/>
      <c r="B7" s="2516"/>
      <c r="C7" s="2519"/>
      <c r="D7" s="2518"/>
      <c r="E7" s="2512" t="s">
        <v>374</v>
      </c>
      <c r="F7" s="2521" t="s">
        <v>2637</v>
      </c>
      <c r="G7" s="2512" t="s">
        <v>2636</v>
      </c>
      <c r="H7" s="2512" t="s">
        <v>2405</v>
      </c>
      <c r="I7" s="2512" t="s">
        <v>376</v>
      </c>
      <c r="J7" s="2512" t="s">
        <v>377</v>
      </c>
      <c r="K7" s="2512" t="s">
        <v>378</v>
      </c>
      <c r="L7" s="2512"/>
    </row>
    <row r="8" spans="1:87" s="264" customFormat="1" ht="40.5" customHeight="1">
      <c r="A8" s="2513"/>
      <c r="B8" s="2516"/>
      <c r="C8" s="2519"/>
      <c r="D8" s="2518"/>
      <c r="E8" s="2512"/>
      <c r="F8" s="2521"/>
      <c r="G8" s="2512"/>
      <c r="H8" s="2512"/>
      <c r="I8" s="2512"/>
      <c r="J8" s="2512"/>
      <c r="K8" s="2512"/>
      <c r="L8" s="2512"/>
    </row>
    <row r="9" spans="1:87" s="264" customFormat="1" ht="69.75" customHeight="1">
      <c r="A9" s="2513"/>
      <c r="B9" s="2517"/>
      <c r="C9" s="2519"/>
      <c r="D9" s="2518"/>
      <c r="E9" s="2512"/>
      <c r="F9" s="2521"/>
      <c r="G9" s="2512"/>
      <c r="H9" s="2512"/>
      <c r="I9" s="2512"/>
      <c r="J9" s="2512"/>
      <c r="K9" s="2512"/>
      <c r="L9" s="2512"/>
    </row>
    <row r="10" spans="1:87" ht="13.5" customHeight="1">
      <c r="A10" s="2524"/>
      <c r="B10" s="2525"/>
      <c r="C10" s="2525"/>
      <c r="D10" s="2525"/>
      <c r="E10" s="2525"/>
      <c r="F10" s="2525"/>
      <c r="G10" s="2525"/>
      <c r="H10" s="2525"/>
      <c r="I10" s="2525"/>
      <c r="J10" s="2525"/>
      <c r="K10" s="2525"/>
      <c r="L10" s="2525"/>
    </row>
    <row r="11" spans="1:87" ht="12.75" customHeight="1">
      <c r="A11" s="2526" t="s">
        <v>379</v>
      </c>
      <c r="B11" s="2528" t="s">
        <v>786</v>
      </c>
      <c r="C11" s="2528" t="s">
        <v>787</v>
      </c>
      <c r="D11" s="2530" t="s">
        <v>381</v>
      </c>
      <c r="E11" s="450" t="s">
        <v>382</v>
      </c>
      <c r="F11" s="449" t="s">
        <v>2635</v>
      </c>
      <c r="G11" s="451"/>
      <c r="H11" s="448"/>
      <c r="I11" s="450"/>
      <c r="J11" s="449" t="s">
        <v>383</v>
      </c>
      <c r="K11" s="448"/>
      <c r="L11" s="2528" t="s">
        <v>384</v>
      </c>
    </row>
    <row r="12" spans="1:87" ht="65.25" customHeight="1">
      <c r="A12" s="2527"/>
      <c r="B12" s="2529"/>
      <c r="C12" s="2529"/>
      <c r="D12" s="2531"/>
      <c r="E12" s="447" t="s">
        <v>1770</v>
      </c>
      <c r="F12" s="447" t="s">
        <v>385</v>
      </c>
      <c r="G12" s="447" t="s">
        <v>788</v>
      </c>
      <c r="H12" s="447" t="s">
        <v>789</v>
      </c>
      <c r="I12" s="898" t="s">
        <v>376</v>
      </c>
      <c r="J12" s="898" t="s">
        <v>386</v>
      </c>
      <c r="K12" s="447" t="s">
        <v>790</v>
      </c>
      <c r="L12" s="2529"/>
    </row>
    <row r="13" spans="1:87" s="441" customFormat="1" ht="12" hidden="1" customHeight="1">
      <c r="A13" s="690">
        <v>39232</v>
      </c>
      <c r="B13" s="691" t="s">
        <v>791</v>
      </c>
      <c r="C13" s="692">
        <v>28</v>
      </c>
      <c r="D13" s="690">
        <v>39260</v>
      </c>
      <c r="E13" s="693">
        <v>80</v>
      </c>
      <c r="F13" s="693">
        <v>43.883400000000002</v>
      </c>
      <c r="G13" s="693">
        <v>43.833399999999997</v>
      </c>
      <c r="H13" s="693">
        <v>-5.1843999999999992</v>
      </c>
      <c r="I13" s="694">
        <v>0.11020000000000001</v>
      </c>
      <c r="J13" s="694">
        <v>0.1168</v>
      </c>
      <c r="K13" s="694">
        <v>0.11409999999999999</v>
      </c>
      <c r="L13" s="692">
        <v>11</v>
      </c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8"/>
      <c r="BY13" s="158"/>
      <c r="BZ13" s="158"/>
      <c r="CA13" s="158"/>
      <c r="CB13" s="158"/>
      <c r="CC13" s="158"/>
      <c r="CD13" s="158"/>
      <c r="CE13" s="158"/>
      <c r="CF13" s="158"/>
      <c r="CG13" s="158"/>
      <c r="CH13" s="158"/>
      <c r="CI13" s="158"/>
    </row>
    <row r="14" spans="1:87" s="441" customFormat="1" ht="12" hidden="1" customHeight="1">
      <c r="A14" s="690">
        <v>39239</v>
      </c>
      <c r="B14" s="691" t="s">
        <v>792</v>
      </c>
      <c r="C14" s="692">
        <v>28</v>
      </c>
      <c r="D14" s="690">
        <v>39267</v>
      </c>
      <c r="E14" s="693">
        <v>60</v>
      </c>
      <c r="F14" s="693">
        <v>27.360399999999998</v>
      </c>
      <c r="G14" s="693">
        <v>27.360399999999998</v>
      </c>
      <c r="H14" s="693">
        <v>-1.1000000000000001</v>
      </c>
      <c r="I14" s="694">
        <v>0.11409999999999999</v>
      </c>
      <c r="J14" s="694">
        <v>0.11940000000000001</v>
      </c>
      <c r="K14" s="694">
        <v>0.11550000000000001</v>
      </c>
      <c r="L14" s="692">
        <v>11</v>
      </c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  <c r="BV14" s="158"/>
      <c r="BW14" s="158"/>
      <c r="BX14" s="158"/>
      <c r="BY14" s="158"/>
      <c r="BZ14" s="158"/>
      <c r="CA14" s="158"/>
      <c r="CB14" s="158"/>
      <c r="CC14" s="158"/>
      <c r="CD14" s="158"/>
      <c r="CE14" s="158"/>
      <c r="CF14" s="158"/>
      <c r="CG14" s="158"/>
      <c r="CH14" s="158"/>
      <c r="CI14" s="158"/>
    </row>
    <row r="15" spans="1:87" s="441" customFormat="1" ht="12" hidden="1" customHeight="1">
      <c r="A15" s="690">
        <v>39246</v>
      </c>
      <c r="B15" s="691" t="s">
        <v>793</v>
      </c>
      <c r="C15" s="692">
        <v>28</v>
      </c>
      <c r="D15" s="690">
        <v>39274</v>
      </c>
      <c r="E15" s="693">
        <v>60</v>
      </c>
      <c r="F15" s="693">
        <v>21.664999999999999</v>
      </c>
      <c r="G15" s="693">
        <v>21.664999999999999</v>
      </c>
      <c r="H15" s="693">
        <v>6.9011999999999993</v>
      </c>
      <c r="I15" s="694">
        <v>0.11550000000000001</v>
      </c>
      <c r="J15" s="694">
        <v>0.11550000000000001</v>
      </c>
      <c r="K15" s="694">
        <v>0.11550000000000001</v>
      </c>
      <c r="L15" s="692">
        <v>8</v>
      </c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158"/>
      <c r="CH15" s="158"/>
      <c r="CI15" s="158"/>
    </row>
    <row r="16" spans="1:87" s="441" customFormat="1" ht="12" hidden="1" customHeight="1">
      <c r="A16" s="690">
        <v>39253</v>
      </c>
      <c r="B16" s="691" t="s">
        <v>794</v>
      </c>
      <c r="C16" s="692">
        <v>28</v>
      </c>
      <c r="D16" s="690">
        <v>39281</v>
      </c>
      <c r="E16" s="693">
        <v>60</v>
      </c>
      <c r="F16" s="693">
        <v>42.177399999999999</v>
      </c>
      <c r="G16" s="693">
        <v>42.177399999999999</v>
      </c>
      <c r="H16" s="693">
        <v>-1.2931999999999999</v>
      </c>
      <c r="I16" s="694">
        <v>0.11409999999999999</v>
      </c>
      <c r="J16" s="694">
        <v>0.1181</v>
      </c>
      <c r="K16" s="694">
        <v>0.11550000000000001</v>
      </c>
      <c r="L16" s="692">
        <v>9</v>
      </c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158"/>
      <c r="CH16" s="158"/>
      <c r="CI16" s="158"/>
    </row>
    <row r="17" spans="1:87" s="441" customFormat="1" ht="12" hidden="1" customHeight="1">
      <c r="A17" s="690">
        <v>39260</v>
      </c>
      <c r="B17" s="691" t="s">
        <v>795</v>
      </c>
      <c r="C17" s="692">
        <v>28</v>
      </c>
      <c r="D17" s="690">
        <v>39288</v>
      </c>
      <c r="E17" s="693">
        <v>60</v>
      </c>
      <c r="F17" s="693">
        <v>31.546600000000002</v>
      </c>
      <c r="G17" s="693">
        <v>31.546599999999998</v>
      </c>
      <c r="H17" s="693">
        <v>-1.5131999999999999</v>
      </c>
      <c r="I17" s="694">
        <v>0.11550000000000001</v>
      </c>
      <c r="J17" s="694">
        <v>0.11940000000000001</v>
      </c>
      <c r="K17" s="694">
        <v>0.1168</v>
      </c>
      <c r="L17" s="692">
        <v>11</v>
      </c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158"/>
      <c r="BQ17" s="158"/>
      <c r="BR17" s="158"/>
      <c r="BS17" s="158"/>
      <c r="BT17" s="158"/>
      <c r="BU17" s="158"/>
      <c r="BV17" s="158"/>
      <c r="BW17" s="158"/>
      <c r="BX17" s="158"/>
      <c r="BY17" s="158"/>
      <c r="BZ17" s="158"/>
      <c r="CA17" s="158"/>
      <c r="CB17" s="158"/>
      <c r="CC17" s="158"/>
      <c r="CD17" s="158"/>
      <c r="CE17" s="158"/>
      <c r="CF17" s="158"/>
      <c r="CG17" s="158"/>
      <c r="CH17" s="158"/>
      <c r="CI17" s="158"/>
    </row>
    <row r="18" spans="1:87" s="441" customFormat="1" ht="12" hidden="1" customHeight="1">
      <c r="A18" s="690">
        <v>39267</v>
      </c>
      <c r="B18" s="691" t="s">
        <v>796</v>
      </c>
      <c r="C18" s="692">
        <v>28</v>
      </c>
      <c r="D18" s="690">
        <v>39295</v>
      </c>
      <c r="E18" s="693">
        <v>60</v>
      </c>
      <c r="F18" s="693">
        <v>43.3322</v>
      </c>
      <c r="G18" s="693">
        <v>43.3322</v>
      </c>
      <c r="H18" s="693">
        <v>9.3163999999999998</v>
      </c>
      <c r="I18" s="694">
        <v>0.11550000000000001</v>
      </c>
      <c r="J18" s="694">
        <v>0.1207</v>
      </c>
      <c r="K18" s="694">
        <v>0.1181</v>
      </c>
      <c r="L18" s="692">
        <v>10</v>
      </c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/>
      <c r="CH18" s="158"/>
      <c r="CI18" s="158"/>
    </row>
    <row r="19" spans="1:87" s="441" customFormat="1" ht="12" hidden="1" customHeight="1">
      <c r="A19" s="690">
        <v>39274</v>
      </c>
      <c r="B19" s="691" t="s">
        <v>797</v>
      </c>
      <c r="C19" s="692">
        <v>28</v>
      </c>
      <c r="D19" s="690">
        <v>39302</v>
      </c>
      <c r="E19" s="693">
        <v>60</v>
      </c>
      <c r="F19" s="693">
        <v>52.108600000000003</v>
      </c>
      <c r="G19" s="693">
        <v>30.816400000000002</v>
      </c>
      <c r="H19" s="693">
        <v>7.0094000000000003</v>
      </c>
      <c r="I19" s="694">
        <v>0.1168</v>
      </c>
      <c r="J19" s="694">
        <v>0.11940000000000001</v>
      </c>
      <c r="K19" s="694">
        <v>0.1181</v>
      </c>
      <c r="L19" s="692">
        <v>12</v>
      </c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  <c r="BV19" s="158"/>
      <c r="BW19" s="158"/>
      <c r="BX19" s="158"/>
      <c r="BY19" s="158"/>
      <c r="BZ19" s="158"/>
      <c r="CA19" s="158"/>
      <c r="CB19" s="158"/>
      <c r="CC19" s="158"/>
      <c r="CD19" s="158"/>
      <c r="CE19" s="158"/>
      <c r="CF19" s="158"/>
      <c r="CG19" s="158"/>
      <c r="CH19" s="158"/>
      <c r="CI19" s="158"/>
    </row>
    <row r="20" spans="1:87" s="441" customFormat="1" ht="12" hidden="1" customHeight="1">
      <c r="A20" s="690">
        <v>39281</v>
      </c>
      <c r="B20" s="691" t="s">
        <v>798</v>
      </c>
      <c r="C20" s="692">
        <v>28</v>
      </c>
      <c r="D20" s="690">
        <v>39309</v>
      </c>
      <c r="E20" s="693">
        <v>60</v>
      </c>
      <c r="F20" s="693">
        <v>77.185000000000002</v>
      </c>
      <c r="G20" s="693">
        <v>52.193600000000004</v>
      </c>
      <c r="H20" s="693">
        <v>7.8064</v>
      </c>
      <c r="I20" s="694">
        <v>0.11550000000000001</v>
      </c>
      <c r="J20" s="694">
        <v>0.1168</v>
      </c>
      <c r="K20" s="694">
        <v>0.11550000000000001</v>
      </c>
      <c r="L20" s="692">
        <v>4</v>
      </c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8"/>
      <c r="CG20" s="158"/>
      <c r="CH20" s="158"/>
      <c r="CI20" s="158"/>
    </row>
    <row r="21" spans="1:87" s="441" customFormat="1" ht="12" hidden="1" customHeight="1">
      <c r="A21" s="690">
        <v>39288</v>
      </c>
      <c r="B21" s="691" t="s">
        <v>799</v>
      </c>
      <c r="C21" s="692">
        <v>28</v>
      </c>
      <c r="D21" s="690">
        <v>39316</v>
      </c>
      <c r="E21" s="693">
        <v>30</v>
      </c>
      <c r="F21" s="693">
        <v>58.820599999999999</v>
      </c>
      <c r="G21" s="693">
        <v>30</v>
      </c>
      <c r="H21" s="693">
        <v>0</v>
      </c>
      <c r="I21" s="694">
        <v>0.11020000000000001</v>
      </c>
      <c r="J21" s="694">
        <v>0.1128</v>
      </c>
      <c r="K21" s="694">
        <v>0.1115</v>
      </c>
      <c r="L21" s="692">
        <v>8</v>
      </c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  <c r="BV21" s="158"/>
      <c r="BW21" s="158"/>
      <c r="BX21" s="158"/>
      <c r="BY21" s="158"/>
      <c r="BZ21" s="158"/>
      <c r="CA21" s="158"/>
      <c r="CB21" s="158"/>
      <c r="CC21" s="158"/>
      <c r="CD21" s="158"/>
      <c r="CE21" s="158"/>
      <c r="CF21" s="158"/>
      <c r="CG21" s="158"/>
      <c r="CH21" s="158"/>
      <c r="CI21" s="158"/>
    </row>
    <row r="22" spans="1:87" s="441" customFormat="1" ht="12" hidden="1" customHeight="1">
      <c r="A22" s="690">
        <v>39295</v>
      </c>
      <c r="B22" s="691" t="s">
        <v>800</v>
      </c>
      <c r="C22" s="692">
        <v>28</v>
      </c>
      <c r="D22" s="690">
        <v>39323</v>
      </c>
      <c r="E22" s="693">
        <v>50</v>
      </c>
      <c r="F22" s="693">
        <v>81.2</v>
      </c>
      <c r="G22" s="693">
        <v>40.612000000000002</v>
      </c>
      <c r="H22" s="693">
        <v>3.8</v>
      </c>
      <c r="I22" s="694">
        <v>0.1037</v>
      </c>
      <c r="J22" s="694">
        <v>0.105</v>
      </c>
      <c r="K22" s="694">
        <v>0.105</v>
      </c>
      <c r="L22" s="692">
        <v>16</v>
      </c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8"/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</row>
    <row r="23" spans="1:87" s="441" customFormat="1" ht="12" hidden="1" customHeight="1">
      <c r="A23" s="690">
        <v>39302</v>
      </c>
      <c r="B23" s="691" t="s">
        <v>801</v>
      </c>
      <c r="C23" s="692">
        <v>28</v>
      </c>
      <c r="D23" s="690">
        <v>39330</v>
      </c>
      <c r="E23" s="693">
        <v>40</v>
      </c>
      <c r="F23" s="693">
        <v>74.994200000000006</v>
      </c>
      <c r="G23" s="693">
        <v>30</v>
      </c>
      <c r="H23" s="693">
        <v>0</v>
      </c>
      <c r="I23" s="694">
        <v>9.06E-2</v>
      </c>
      <c r="J23" s="694">
        <v>9.4500000000000001E-2</v>
      </c>
      <c r="K23" s="694">
        <v>9.06E-2</v>
      </c>
      <c r="L23" s="692">
        <v>17</v>
      </c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  <c r="BV23" s="158"/>
      <c r="BW23" s="158"/>
      <c r="BX23" s="158"/>
      <c r="BY23" s="158"/>
      <c r="BZ23" s="158"/>
      <c r="CA23" s="158"/>
      <c r="CB23" s="158"/>
      <c r="CC23" s="158"/>
      <c r="CD23" s="158"/>
      <c r="CE23" s="158"/>
      <c r="CF23" s="158"/>
      <c r="CG23" s="158"/>
      <c r="CH23" s="158"/>
      <c r="CI23" s="158"/>
    </row>
    <row r="24" spans="1:87" s="441" customFormat="1" ht="12" hidden="1" customHeight="1">
      <c r="A24" s="690">
        <v>39309</v>
      </c>
      <c r="B24" s="691" t="s">
        <v>802</v>
      </c>
      <c r="C24" s="692">
        <v>28</v>
      </c>
      <c r="D24" s="690">
        <v>39337</v>
      </c>
      <c r="E24" s="693">
        <v>65</v>
      </c>
      <c r="F24" s="693">
        <v>86.950400000000002</v>
      </c>
      <c r="G24" s="693">
        <v>60</v>
      </c>
      <c r="H24" s="693">
        <v>0</v>
      </c>
      <c r="I24" s="694">
        <v>6.9800000000000001E-2</v>
      </c>
      <c r="J24" s="694">
        <v>8.0199999999999994E-2</v>
      </c>
      <c r="K24" s="694">
        <v>7.8899999999999998E-2</v>
      </c>
      <c r="L24" s="692">
        <v>13</v>
      </c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  <c r="BV24" s="158"/>
      <c r="BW24" s="158"/>
      <c r="BX24" s="158"/>
      <c r="BY24" s="158"/>
      <c r="BZ24" s="158"/>
      <c r="CA24" s="158"/>
      <c r="CB24" s="158"/>
      <c r="CC24" s="158"/>
      <c r="CD24" s="158"/>
      <c r="CE24" s="158"/>
      <c r="CF24" s="158"/>
      <c r="CG24" s="158"/>
      <c r="CH24" s="158"/>
      <c r="CI24" s="158"/>
    </row>
    <row r="25" spans="1:87" s="441" customFormat="1" ht="12" hidden="1" customHeight="1">
      <c r="A25" s="690">
        <v>39316</v>
      </c>
      <c r="B25" s="691" t="s">
        <v>803</v>
      </c>
      <c r="C25" s="692">
        <v>28</v>
      </c>
      <c r="D25" s="690">
        <v>39344</v>
      </c>
      <c r="E25" s="693">
        <v>30</v>
      </c>
      <c r="F25" s="693">
        <v>42.607799999999997</v>
      </c>
      <c r="G25" s="693">
        <v>30</v>
      </c>
      <c r="H25" s="693">
        <v>0</v>
      </c>
      <c r="I25" s="694">
        <v>5.9400000000000001E-2</v>
      </c>
      <c r="J25" s="694">
        <v>6.8500000000000005E-2</v>
      </c>
      <c r="K25" s="694">
        <v>6.4600000000000005E-2</v>
      </c>
      <c r="L25" s="692">
        <v>10</v>
      </c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158"/>
      <c r="BV25" s="158"/>
      <c r="BW25" s="158"/>
      <c r="BX25" s="158"/>
      <c r="BY25" s="158"/>
      <c r="BZ25" s="158"/>
      <c r="CA25" s="158"/>
      <c r="CB25" s="158"/>
      <c r="CC25" s="158"/>
      <c r="CD25" s="158"/>
      <c r="CE25" s="158"/>
      <c r="CF25" s="158"/>
      <c r="CG25" s="158"/>
      <c r="CH25" s="158"/>
      <c r="CI25" s="158"/>
    </row>
    <row r="26" spans="1:87" s="441" customFormat="1" ht="12" hidden="1" customHeight="1">
      <c r="A26" s="690">
        <v>39323</v>
      </c>
      <c r="B26" s="691" t="s">
        <v>804</v>
      </c>
      <c r="C26" s="692">
        <v>28</v>
      </c>
      <c r="D26" s="690">
        <v>39351</v>
      </c>
      <c r="E26" s="693">
        <v>60</v>
      </c>
      <c r="F26" s="693">
        <v>42.072800000000001</v>
      </c>
      <c r="G26" s="693">
        <v>42.072800000000001</v>
      </c>
      <c r="H26" s="693">
        <v>0</v>
      </c>
      <c r="I26" s="694">
        <v>5.5500000000000001E-2</v>
      </c>
      <c r="J26" s="694">
        <v>6.4600000000000005E-2</v>
      </c>
      <c r="K26" s="694">
        <v>6.3299999999999995E-2</v>
      </c>
      <c r="L26" s="692">
        <v>8</v>
      </c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  <c r="BV26" s="158"/>
      <c r="BW26" s="158"/>
      <c r="BX26" s="158"/>
      <c r="BY26" s="158"/>
      <c r="BZ26" s="158"/>
      <c r="CA26" s="158"/>
      <c r="CB26" s="158"/>
      <c r="CC26" s="158"/>
      <c r="CD26" s="158"/>
      <c r="CE26" s="158"/>
      <c r="CF26" s="158"/>
      <c r="CG26" s="158"/>
      <c r="CH26" s="158"/>
      <c r="CI26" s="158"/>
    </row>
    <row r="27" spans="1:87" s="441" customFormat="1" ht="12" hidden="1" customHeight="1">
      <c r="A27" s="690">
        <v>39330</v>
      </c>
      <c r="B27" s="691" t="s">
        <v>805</v>
      </c>
      <c r="C27" s="692">
        <v>28</v>
      </c>
      <c r="D27" s="690">
        <v>39358</v>
      </c>
      <c r="E27" s="693">
        <v>50</v>
      </c>
      <c r="F27" s="693">
        <v>46.704999999999998</v>
      </c>
      <c r="G27" s="693">
        <v>35</v>
      </c>
      <c r="H27" s="693">
        <v>0</v>
      </c>
      <c r="I27" s="694">
        <v>5.8099999999999999E-2</v>
      </c>
      <c r="J27" s="694">
        <v>6.3299999999999995E-2</v>
      </c>
      <c r="K27" s="694">
        <v>6.2E-2</v>
      </c>
      <c r="L27" s="692">
        <v>8</v>
      </c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8"/>
      <c r="BN27" s="158"/>
      <c r="BO27" s="158"/>
      <c r="BP27" s="158"/>
      <c r="BQ27" s="158"/>
      <c r="BR27" s="158"/>
      <c r="BS27" s="158"/>
      <c r="BT27" s="158"/>
      <c r="BU27" s="158"/>
      <c r="BV27" s="158"/>
      <c r="BW27" s="158"/>
      <c r="BX27" s="158"/>
      <c r="BY27" s="158"/>
      <c r="BZ27" s="158"/>
      <c r="CA27" s="158"/>
      <c r="CB27" s="158"/>
      <c r="CC27" s="158"/>
      <c r="CD27" s="158"/>
      <c r="CE27" s="158"/>
      <c r="CF27" s="158"/>
      <c r="CG27" s="158"/>
      <c r="CH27" s="158"/>
      <c r="CI27" s="158"/>
    </row>
    <row r="28" spans="1:87" s="441" customFormat="1" ht="12" hidden="1" customHeight="1">
      <c r="A28" s="690">
        <v>39337</v>
      </c>
      <c r="B28" s="691" t="s">
        <v>806</v>
      </c>
      <c r="C28" s="692">
        <v>28</v>
      </c>
      <c r="D28" s="690">
        <v>39365</v>
      </c>
      <c r="E28" s="693">
        <v>75</v>
      </c>
      <c r="F28" s="693">
        <v>76.924499999999995</v>
      </c>
      <c r="G28" s="693">
        <v>65</v>
      </c>
      <c r="H28" s="693">
        <v>-3.6614</v>
      </c>
      <c r="I28" s="694">
        <v>5.5500000000000001E-2</v>
      </c>
      <c r="J28" s="694">
        <v>6.3299999999999995E-2</v>
      </c>
      <c r="K28" s="694">
        <v>6.0699999999999997E-2</v>
      </c>
      <c r="L28" s="692">
        <v>10</v>
      </c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  <c r="BV28" s="158"/>
      <c r="BW28" s="158"/>
      <c r="BX28" s="158"/>
      <c r="BY28" s="158"/>
      <c r="BZ28" s="158"/>
      <c r="CA28" s="158"/>
      <c r="CB28" s="158"/>
      <c r="CC28" s="158"/>
      <c r="CD28" s="158"/>
      <c r="CE28" s="158"/>
      <c r="CF28" s="158"/>
      <c r="CG28" s="158"/>
      <c r="CH28" s="158"/>
      <c r="CI28" s="158"/>
    </row>
    <row r="29" spans="1:87" s="441" customFormat="1" ht="12" hidden="1" customHeight="1">
      <c r="A29" s="690">
        <v>39344</v>
      </c>
      <c r="B29" s="691" t="s">
        <v>807</v>
      </c>
      <c r="C29" s="692">
        <v>28</v>
      </c>
      <c r="D29" s="690">
        <v>39372</v>
      </c>
      <c r="E29" s="693">
        <v>40</v>
      </c>
      <c r="F29" s="693">
        <v>43.058300000000003</v>
      </c>
      <c r="G29" s="693">
        <v>35</v>
      </c>
      <c r="H29" s="693">
        <v>0</v>
      </c>
      <c r="I29" s="694">
        <v>5.0299999999999997E-2</v>
      </c>
      <c r="J29" s="694">
        <v>6.3299999999999995E-2</v>
      </c>
      <c r="K29" s="694">
        <v>6.2E-2</v>
      </c>
      <c r="L29" s="692">
        <v>7</v>
      </c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58"/>
      <c r="BP29" s="158"/>
      <c r="BQ29" s="158"/>
      <c r="BR29" s="158"/>
      <c r="BS29" s="158"/>
      <c r="BT29" s="158"/>
      <c r="BU29" s="158"/>
      <c r="BV29" s="158"/>
      <c r="BW29" s="158"/>
      <c r="BX29" s="158"/>
      <c r="BY29" s="158"/>
      <c r="BZ29" s="158"/>
      <c r="CA29" s="158"/>
      <c r="CB29" s="158"/>
      <c r="CC29" s="158"/>
      <c r="CD29" s="158"/>
      <c r="CE29" s="158"/>
      <c r="CF29" s="158"/>
      <c r="CG29" s="158"/>
      <c r="CH29" s="158"/>
      <c r="CI29" s="158"/>
    </row>
    <row r="30" spans="1:87" s="441" customFormat="1" ht="12" hidden="1" customHeight="1">
      <c r="A30" s="690">
        <v>39351</v>
      </c>
      <c r="B30" s="691" t="s">
        <v>808</v>
      </c>
      <c r="C30" s="692">
        <v>28</v>
      </c>
      <c r="D30" s="690">
        <v>39379</v>
      </c>
      <c r="E30" s="693">
        <v>55</v>
      </c>
      <c r="F30" s="693">
        <v>49.092300000000002</v>
      </c>
      <c r="G30" s="693">
        <v>45</v>
      </c>
      <c r="H30" s="693">
        <v>0</v>
      </c>
      <c r="I30" s="694">
        <v>5.9400000000000001E-2</v>
      </c>
      <c r="J30" s="694">
        <v>6.9800000000000001E-2</v>
      </c>
      <c r="K30" s="694">
        <v>6.2E-2</v>
      </c>
      <c r="L30" s="692">
        <v>9</v>
      </c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8"/>
      <c r="CG30" s="158"/>
      <c r="CH30" s="158"/>
      <c r="CI30" s="158"/>
    </row>
    <row r="31" spans="1:87" s="441" customFormat="1" ht="12" hidden="1" customHeight="1">
      <c r="A31" s="690">
        <v>39358</v>
      </c>
      <c r="B31" s="691" t="s">
        <v>809</v>
      </c>
      <c r="C31" s="692">
        <v>28</v>
      </c>
      <c r="D31" s="690">
        <v>39386</v>
      </c>
      <c r="E31" s="693">
        <v>45</v>
      </c>
      <c r="F31" s="693">
        <v>45</v>
      </c>
      <c r="G31" s="693">
        <v>40</v>
      </c>
      <c r="H31" s="693">
        <v>-1.002</v>
      </c>
      <c r="I31" s="694">
        <v>6.2E-2</v>
      </c>
      <c r="J31" s="694">
        <v>6.3299999999999995E-2</v>
      </c>
      <c r="K31" s="694">
        <v>6.3299999999999995E-2</v>
      </c>
      <c r="L31" s="692">
        <v>10</v>
      </c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58"/>
      <c r="BZ31" s="158"/>
      <c r="CA31" s="158"/>
      <c r="CB31" s="158"/>
      <c r="CC31" s="158"/>
      <c r="CD31" s="158"/>
      <c r="CE31" s="158"/>
      <c r="CF31" s="158"/>
      <c r="CG31" s="158"/>
      <c r="CH31" s="158"/>
      <c r="CI31" s="158"/>
    </row>
    <row r="32" spans="1:87" s="441" customFormat="1" ht="12" hidden="1" customHeight="1">
      <c r="A32" s="690">
        <v>39365</v>
      </c>
      <c r="B32" s="691" t="s">
        <v>810</v>
      </c>
      <c r="C32" s="692">
        <v>28</v>
      </c>
      <c r="D32" s="690">
        <v>39393</v>
      </c>
      <c r="E32" s="693">
        <v>80</v>
      </c>
      <c r="F32" s="693">
        <v>95.164000000000001</v>
      </c>
      <c r="G32" s="693">
        <v>70</v>
      </c>
      <c r="H32" s="693">
        <v>0</v>
      </c>
      <c r="I32" s="694">
        <v>6.0699999999999997E-2</v>
      </c>
      <c r="J32" s="694">
        <v>6.3299999999999995E-2</v>
      </c>
      <c r="K32" s="694">
        <v>6.0699999999999997E-2</v>
      </c>
      <c r="L32" s="692">
        <v>6</v>
      </c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  <c r="BO32" s="158"/>
      <c r="BP32" s="158"/>
      <c r="BQ32" s="158"/>
      <c r="BR32" s="158"/>
      <c r="BS32" s="158"/>
      <c r="BT32" s="158"/>
      <c r="BU32" s="158"/>
      <c r="BV32" s="158"/>
      <c r="BW32" s="158"/>
      <c r="BX32" s="158"/>
      <c r="BY32" s="158"/>
      <c r="BZ32" s="158"/>
      <c r="CA32" s="158"/>
      <c r="CB32" s="158"/>
      <c r="CC32" s="158"/>
      <c r="CD32" s="158"/>
      <c r="CE32" s="158"/>
      <c r="CF32" s="158"/>
      <c r="CG32" s="158"/>
      <c r="CH32" s="158"/>
      <c r="CI32" s="158"/>
    </row>
    <row r="33" spans="1:87" s="441" customFormat="1" ht="12" hidden="1" customHeight="1">
      <c r="A33" s="690">
        <v>39372</v>
      </c>
      <c r="B33" s="691" t="s">
        <v>811</v>
      </c>
      <c r="C33" s="692">
        <v>28</v>
      </c>
      <c r="D33" s="690">
        <v>39400</v>
      </c>
      <c r="E33" s="693">
        <v>60</v>
      </c>
      <c r="F33" s="693">
        <v>35.612000000000002</v>
      </c>
      <c r="G33" s="693">
        <v>35.611999999999995</v>
      </c>
      <c r="H33" s="693">
        <v>-1.9060000000000001</v>
      </c>
      <c r="I33" s="694">
        <v>6.0699999999999997E-2</v>
      </c>
      <c r="J33" s="694">
        <v>6.4600000000000005E-2</v>
      </c>
      <c r="K33" s="694">
        <v>6.2E-2</v>
      </c>
      <c r="L33" s="692">
        <v>9</v>
      </c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</row>
    <row r="34" spans="1:87" s="441" customFormat="1" ht="12" hidden="1" customHeight="1">
      <c r="A34" s="690">
        <v>39379</v>
      </c>
      <c r="B34" s="691" t="s">
        <v>812</v>
      </c>
      <c r="C34" s="692">
        <v>28</v>
      </c>
      <c r="D34" s="690">
        <v>39407</v>
      </c>
      <c r="E34" s="693">
        <v>60</v>
      </c>
      <c r="F34" s="693">
        <v>39.518799999999999</v>
      </c>
      <c r="G34" s="693">
        <v>39.518799999999999</v>
      </c>
      <c r="H34" s="693">
        <v>0</v>
      </c>
      <c r="I34" s="694">
        <v>6.0699999999999997E-2</v>
      </c>
      <c r="J34" s="694">
        <v>6.59E-2</v>
      </c>
      <c r="K34" s="694">
        <v>6.3299999999999995E-2</v>
      </c>
      <c r="L34" s="692">
        <v>10</v>
      </c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  <c r="BV34" s="158"/>
      <c r="BW34" s="158"/>
      <c r="BX34" s="158"/>
      <c r="BY34" s="158"/>
      <c r="BZ34" s="158"/>
      <c r="CA34" s="158"/>
      <c r="CB34" s="158"/>
      <c r="CC34" s="158"/>
      <c r="CD34" s="158"/>
      <c r="CE34" s="158"/>
      <c r="CF34" s="158"/>
      <c r="CG34" s="158"/>
      <c r="CH34" s="158"/>
      <c r="CI34" s="158"/>
    </row>
    <row r="35" spans="1:87" s="441" customFormat="1" ht="12" hidden="1" customHeight="1">
      <c r="A35" s="690">
        <v>39386</v>
      </c>
      <c r="B35" s="691" t="s">
        <v>813</v>
      </c>
      <c r="C35" s="692">
        <v>28</v>
      </c>
      <c r="D35" s="690">
        <v>39414</v>
      </c>
      <c r="E35" s="693">
        <v>50</v>
      </c>
      <c r="F35" s="693">
        <v>43.074599999999997</v>
      </c>
      <c r="G35" s="693">
        <v>43.074600000000004</v>
      </c>
      <c r="H35" s="693">
        <v>0</v>
      </c>
      <c r="I35" s="694">
        <v>6.3299999999999995E-2</v>
      </c>
      <c r="J35" s="694">
        <v>7.8899999999999998E-2</v>
      </c>
      <c r="K35" s="694">
        <v>6.59E-2</v>
      </c>
      <c r="L35" s="692">
        <v>7</v>
      </c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  <c r="BV35" s="158"/>
      <c r="BW35" s="158"/>
      <c r="BX35" s="158"/>
      <c r="BY35" s="158"/>
      <c r="BZ35" s="158"/>
      <c r="CA35" s="158"/>
      <c r="CB35" s="158"/>
      <c r="CC35" s="158"/>
      <c r="CD35" s="158"/>
      <c r="CE35" s="158"/>
      <c r="CF35" s="158"/>
      <c r="CG35" s="158"/>
      <c r="CH35" s="158"/>
      <c r="CI35" s="158"/>
    </row>
    <row r="36" spans="1:87" s="441" customFormat="1" ht="12" hidden="1" customHeight="1">
      <c r="A36" s="690">
        <v>39393</v>
      </c>
      <c r="B36" s="691" t="s">
        <v>814</v>
      </c>
      <c r="C36" s="692">
        <v>28</v>
      </c>
      <c r="D36" s="690">
        <v>39421</v>
      </c>
      <c r="E36" s="693">
        <v>80</v>
      </c>
      <c r="F36" s="693">
        <v>62.8048</v>
      </c>
      <c r="G36" s="693">
        <v>62.8048</v>
      </c>
      <c r="H36" s="693">
        <v>0</v>
      </c>
      <c r="I36" s="694">
        <v>7.1099999999999997E-2</v>
      </c>
      <c r="J36" s="694">
        <v>8.5400000000000004E-2</v>
      </c>
      <c r="K36" s="694">
        <v>7.8899999999999998E-2</v>
      </c>
      <c r="L36" s="692">
        <v>6</v>
      </c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  <c r="BV36" s="158"/>
      <c r="BW36" s="158"/>
      <c r="BX36" s="158"/>
      <c r="BY36" s="158"/>
      <c r="BZ36" s="158"/>
      <c r="CA36" s="158"/>
      <c r="CB36" s="158"/>
      <c r="CC36" s="158"/>
      <c r="CD36" s="158"/>
      <c r="CE36" s="158"/>
      <c r="CF36" s="158"/>
      <c r="CG36" s="158"/>
      <c r="CH36" s="158"/>
      <c r="CI36" s="158"/>
    </row>
    <row r="37" spans="1:87" s="441" customFormat="1" ht="12" hidden="1" customHeight="1">
      <c r="A37" s="690">
        <v>39400</v>
      </c>
      <c r="B37" s="691" t="s">
        <v>815</v>
      </c>
      <c r="C37" s="692">
        <v>28</v>
      </c>
      <c r="D37" s="690">
        <v>39428</v>
      </c>
      <c r="E37" s="693">
        <v>50</v>
      </c>
      <c r="F37" s="693">
        <v>36.760800000000003</v>
      </c>
      <c r="G37" s="693">
        <v>36.760799999999996</v>
      </c>
      <c r="H37" s="693">
        <v>0</v>
      </c>
      <c r="I37" s="694">
        <v>7.4999999999999997E-2</v>
      </c>
      <c r="J37" s="694">
        <v>8.7999999999999995E-2</v>
      </c>
      <c r="K37" s="694">
        <v>8.1500000000000003E-2</v>
      </c>
      <c r="L37" s="692">
        <v>8</v>
      </c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8"/>
      <c r="BM37" s="158"/>
      <c r="BN37" s="158"/>
      <c r="BO37" s="158"/>
      <c r="BP37" s="158"/>
      <c r="BQ37" s="158"/>
      <c r="BR37" s="158"/>
      <c r="BS37" s="158"/>
      <c r="BT37" s="158"/>
      <c r="BU37" s="158"/>
      <c r="BV37" s="158"/>
      <c r="BW37" s="158"/>
      <c r="BX37" s="158"/>
      <c r="BY37" s="158"/>
      <c r="BZ37" s="158"/>
      <c r="CA37" s="158"/>
      <c r="CB37" s="158"/>
      <c r="CC37" s="158"/>
      <c r="CD37" s="158"/>
      <c r="CE37" s="158"/>
      <c r="CF37" s="158"/>
      <c r="CG37" s="158"/>
      <c r="CH37" s="158"/>
      <c r="CI37" s="158"/>
    </row>
    <row r="38" spans="1:87" s="441" customFormat="1" ht="12" hidden="1" customHeight="1">
      <c r="A38" s="690">
        <v>39407</v>
      </c>
      <c r="B38" s="691" t="s">
        <v>816</v>
      </c>
      <c r="C38" s="692">
        <v>28</v>
      </c>
      <c r="D38" s="690">
        <v>39435</v>
      </c>
      <c r="E38" s="693">
        <v>40</v>
      </c>
      <c r="F38" s="693">
        <v>29.311</v>
      </c>
      <c r="G38" s="693">
        <v>29.311</v>
      </c>
      <c r="H38" s="693">
        <v>0</v>
      </c>
      <c r="I38" s="694">
        <v>8.0199999999999994E-2</v>
      </c>
      <c r="J38" s="694">
        <v>9.98E-2</v>
      </c>
      <c r="K38" s="694">
        <v>8.9300000000000004E-2</v>
      </c>
      <c r="L38" s="692">
        <v>7</v>
      </c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8"/>
      <c r="BM38" s="158"/>
      <c r="BN38" s="158"/>
      <c r="BO38" s="158"/>
      <c r="BP38" s="158"/>
      <c r="BQ38" s="158"/>
      <c r="BR38" s="158"/>
      <c r="BS38" s="158"/>
      <c r="BT38" s="158"/>
      <c r="BU38" s="158"/>
      <c r="BV38" s="158"/>
      <c r="BW38" s="158"/>
      <c r="BX38" s="158"/>
      <c r="BY38" s="158"/>
      <c r="BZ38" s="158"/>
      <c r="CA38" s="158"/>
      <c r="CB38" s="158"/>
      <c r="CC38" s="158"/>
      <c r="CD38" s="158"/>
      <c r="CE38" s="158"/>
      <c r="CF38" s="158"/>
      <c r="CG38" s="158"/>
      <c r="CH38" s="158"/>
      <c r="CI38" s="158"/>
    </row>
    <row r="39" spans="1:87" s="441" customFormat="1" ht="12" hidden="1" customHeight="1">
      <c r="A39" s="690">
        <v>39414</v>
      </c>
      <c r="B39" s="691" t="s">
        <v>817</v>
      </c>
      <c r="C39" s="692">
        <v>28</v>
      </c>
      <c r="D39" s="690">
        <v>39442</v>
      </c>
      <c r="E39" s="693">
        <v>50</v>
      </c>
      <c r="F39" s="693">
        <v>42.091200000000001</v>
      </c>
      <c r="G39" s="693">
        <v>42.091200000000001</v>
      </c>
      <c r="H39" s="693">
        <v>-5.0430000000000001</v>
      </c>
      <c r="I39" s="694">
        <v>8.9300000000000004E-2</v>
      </c>
      <c r="J39" s="694">
        <v>0.11940000000000001</v>
      </c>
      <c r="K39" s="694">
        <v>0.105</v>
      </c>
      <c r="L39" s="692">
        <v>7</v>
      </c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8"/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8"/>
      <c r="BM39" s="158"/>
      <c r="BN39" s="158"/>
      <c r="BO39" s="158"/>
      <c r="BP39" s="158"/>
      <c r="BQ39" s="158"/>
      <c r="BR39" s="158"/>
      <c r="BS39" s="158"/>
      <c r="BT39" s="158"/>
      <c r="BU39" s="158"/>
      <c r="BV39" s="158"/>
      <c r="BW39" s="158"/>
      <c r="BX39" s="158"/>
      <c r="BY39" s="158"/>
      <c r="BZ39" s="158"/>
      <c r="CA39" s="158"/>
      <c r="CB39" s="158"/>
      <c r="CC39" s="158"/>
      <c r="CD39" s="158"/>
      <c r="CE39" s="158"/>
      <c r="CF39" s="158"/>
      <c r="CG39" s="158"/>
      <c r="CH39" s="158"/>
      <c r="CI39" s="158"/>
    </row>
    <row r="40" spans="1:87" s="441" customFormat="1" ht="12" hidden="1" customHeight="1">
      <c r="A40" s="690">
        <v>39421</v>
      </c>
      <c r="B40" s="691" t="s">
        <v>818</v>
      </c>
      <c r="C40" s="692">
        <v>29</v>
      </c>
      <c r="D40" s="690">
        <v>39450</v>
      </c>
      <c r="E40" s="693">
        <v>70</v>
      </c>
      <c r="F40" s="693">
        <v>67.5535</v>
      </c>
      <c r="G40" s="693">
        <v>61.107600000000005</v>
      </c>
      <c r="H40" s="693">
        <v>0</v>
      </c>
      <c r="I40" s="694">
        <v>0.11020000000000001</v>
      </c>
      <c r="J40" s="694">
        <v>0.12790000000000001</v>
      </c>
      <c r="K40" s="694">
        <v>0.1191</v>
      </c>
      <c r="L40" s="692">
        <v>6</v>
      </c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8"/>
      <c r="BX40" s="158"/>
      <c r="BY40" s="158"/>
      <c r="BZ40" s="158"/>
      <c r="CA40" s="158"/>
      <c r="CB40" s="158"/>
      <c r="CC40" s="158"/>
      <c r="CD40" s="158"/>
      <c r="CE40" s="158"/>
      <c r="CF40" s="158"/>
      <c r="CG40" s="158"/>
      <c r="CH40" s="158"/>
      <c r="CI40" s="158"/>
    </row>
    <row r="41" spans="1:87" s="441" customFormat="1" ht="12" hidden="1" customHeight="1">
      <c r="A41" s="690">
        <v>39428</v>
      </c>
      <c r="B41" s="691" t="s">
        <v>819</v>
      </c>
      <c r="C41" s="692">
        <v>28</v>
      </c>
      <c r="D41" s="690">
        <v>39456</v>
      </c>
      <c r="E41" s="693">
        <v>70</v>
      </c>
      <c r="F41" s="693">
        <v>73.377600000000001</v>
      </c>
      <c r="G41" s="693">
        <v>70</v>
      </c>
      <c r="H41" s="693">
        <v>0</v>
      </c>
      <c r="I41" s="694">
        <v>0.1128</v>
      </c>
      <c r="J41" s="694">
        <v>0.1128</v>
      </c>
      <c r="K41" s="694">
        <v>0.1128</v>
      </c>
      <c r="L41" s="692">
        <v>10</v>
      </c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  <c r="BV41" s="158"/>
      <c r="BW41" s="158"/>
      <c r="BX41" s="158"/>
      <c r="BY41" s="158"/>
      <c r="BZ41" s="158"/>
      <c r="CA41" s="158"/>
      <c r="CB41" s="158"/>
      <c r="CC41" s="158"/>
      <c r="CD41" s="158"/>
      <c r="CE41" s="158"/>
      <c r="CF41" s="158"/>
      <c r="CG41" s="158"/>
      <c r="CH41" s="158"/>
      <c r="CI41" s="158"/>
    </row>
    <row r="42" spans="1:87" s="441" customFormat="1" ht="12" hidden="1" customHeight="1">
      <c r="A42" s="690">
        <v>39435</v>
      </c>
      <c r="B42" s="691" t="s">
        <v>820</v>
      </c>
      <c r="C42" s="692">
        <v>28</v>
      </c>
      <c r="D42" s="690">
        <v>39463</v>
      </c>
      <c r="E42" s="693">
        <v>80</v>
      </c>
      <c r="F42" s="693">
        <v>54.659199999999998</v>
      </c>
      <c r="G42" s="693">
        <v>50</v>
      </c>
      <c r="H42" s="693">
        <v>28.401399999999995</v>
      </c>
      <c r="I42" s="694">
        <v>0.1115</v>
      </c>
      <c r="J42" s="694">
        <v>0.1115</v>
      </c>
      <c r="K42" s="694">
        <v>0.1115</v>
      </c>
      <c r="L42" s="692">
        <v>13</v>
      </c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8"/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</row>
    <row r="43" spans="1:87" s="441" customFormat="1" ht="12" hidden="1" customHeight="1">
      <c r="A43" s="690">
        <v>39442</v>
      </c>
      <c r="B43" s="691" t="s">
        <v>821</v>
      </c>
      <c r="C43" s="692">
        <v>28</v>
      </c>
      <c r="D43" s="690">
        <v>39470</v>
      </c>
      <c r="E43" s="693">
        <v>70</v>
      </c>
      <c r="F43" s="693">
        <v>36.127200000000002</v>
      </c>
      <c r="G43" s="693">
        <v>36.127200000000002</v>
      </c>
      <c r="H43" s="693">
        <v>0.502</v>
      </c>
      <c r="I43" s="694">
        <v>0.1089</v>
      </c>
      <c r="J43" s="694">
        <v>0.1089</v>
      </c>
      <c r="K43" s="694">
        <v>0.1089</v>
      </c>
      <c r="L43" s="692">
        <v>5</v>
      </c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  <c r="BV43" s="158"/>
      <c r="BW43" s="158"/>
      <c r="BX43" s="158"/>
      <c r="BY43" s="158"/>
      <c r="BZ43" s="158"/>
      <c r="CA43" s="158"/>
      <c r="CB43" s="158"/>
      <c r="CC43" s="158"/>
      <c r="CD43" s="158"/>
      <c r="CE43" s="158"/>
      <c r="CF43" s="158"/>
      <c r="CG43" s="158"/>
      <c r="CH43" s="158"/>
      <c r="CI43" s="158"/>
    </row>
    <row r="44" spans="1:87" s="441" customFormat="1" ht="12" hidden="1" customHeight="1">
      <c r="A44" s="690">
        <v>39445</v>
      </c>
      <c r="B44" s="691" t="s">
        <v>822</v>
      </c>
      <c r="C44" s="692">
        <v>32</v>
      </c>
      <c r="D44" s="690">
        <v>39477</v>
      </c>
      <c r="E44" s="693">
        <v>100</v>
      </c>
      <c r="F44" s="693">
        <v>68.132999999999996</v>
      </c>
      <c r="G44" s="693">
        <v>68.132999999999996</v>
      </c>
      <c r="H44" s="693">
        <v>-5.7696000000000005</v>
      </c>
      <c r="I44" s="694">
        <v>9.9900000000000003E-2</v>
      </c>
      <c r="J44" s="694">
        <v>0.1113</v>
      </c>
      <c r="K44" s="694">
        <v>0.1056</v>
      </c>
      <c r="L44" s="692">
        <v>11</v>
      </c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8"/>
      <c r="BN44" s="158"/>
      <c r="BO44" s="158"/>
      <c r="BP44" s="158"/>
      <c r="BQ44" s="158"/>
      <c r="BR44" s="158"/>
      <c r="BS44" s="158"/>
      <c r="BT44" s="158"/>
      <c r="BU44" s="158"/>
      <c r="BV44" s="158"/>
      <c r="BW44" s="158"/>
      <c r="BX44" s="158"/>
      <c r="BY44" s="158"/>
      <c r="BZ44" s="158"/>
      <c r="CA44" s="158"/>
      <c r="CB44" s="158"/>
      <c r="CC44" s="158"/>
      <c r="CD44" s="158"/>
      <c r="CE44" s="158"/>
      <c r="CF44" s="158"/>
      <c r="CG44" s="158"/>
      <c r="CH44" s="158"/>
      <c r="CI44" s="158"/>
    </row>
    <row r="45" spans="1:87" s="441" customFormat="1" ht="12" hidden="1" customHeight="1">
      <c r="A45" s="690">
        <v>39456</v>
      </c>
      <c r="B45" s="691" t="s">
        <v>823</v>
      </c>
      <c r="C45" s="692">
        <v>28</v>
      </c>
      <c r="D45" s="690">
        <v>39484</v>
      </c>
      <c r="E45" s="693">
        <v>100</v>
      </c>
      <c r="F45" s="693">
        <v>70</v>
      </c>
      <c r="G45" s="693">
        <v>70</v>
      </c>
      <c r="H45" s="693">
        <v>-1.004</v>
      </c>
      <c r="I45" s="694">
        <v>0.105</v>
      </c>
      <c r="J45" s="694">
        <v>0.1115</v>
      </c>
      <c r="K45" s="694">
        <v>0.1089</v>
      </c>
      <c r="L45" s="692">
        <v>13</v>
      </c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58"/>
      <c r="BO45" s="158"/>
      <c r="BP45" s="158"/>
      <c r="BQ45" s="158"/>
      <c r="BR45" s="158"/>
      <c r="BS45" s="158"/>
      <c r="BT45" s="158"/>
      <c r="BU45" s="158"/>
      <c r="BV45" s="158"/>
      <c r="BW45" s="158"/>
      <c r="BX45" s="158"/>
      <c r="BY45" s="158"/>
      <c r="BZ45" s="158"/>
      <c r="CA45" s="158"/>
      <c r="CB45" s="158"/>
      <c r="CC45" s="158"/>
      <c r="CD45" s="158"/>
      <c r="CE45" s="158"/>
      <c r="CF45" s="158"/>
      <c r="CG45" s="158"/>
      <c r="CH45" s="158"/>
      <c r="CI45" s="158"/>
    </row>
    <row r="46" spans="1:87" s="441" customFormat="1" ht="12" hidden="1" customHeight="1">
      <c r="A46" s="690">
        <v>39463</v>
      </c>
      <c r="B46" s="691" t="s">
        <v>824</v>
      </c>
      <c r="C46" s="692">
        <v>28</v>
      </c>
      <c r="D46" s="690">
        <v>39491</v>
      </c>
      <c r="E46" s="693">
        <v>100</v>
      </c>
      <c r="F46" s="693">
        <v>70.409800000000004</v>
      </c>
      <c r="G46" s="693">
        <v>70.409800000000004</v>
      </c>
      <c r="H46" s="693">
        <v>-0.20119999999999999</v>
      </c>
      <c r="I46" s="694">
        <v>0.105</v>
      </c>
      <c r="J46" s="694">
        <v>0.1115</v>
      </c>
      <c r="K46" s="694">
        <v>0.1089</v>
      </c>
      <c r="L46" s="692">
        <v>10</v>
      </c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8"/>
      <c r="BN46" s="158"/>
      <c r="BO46" s="158"/>
      <c r="BP46" s="158"/>
      <c r="BQ46" s="158"/>
      <c r="BR46" s="158"/>
      <c r="BS46" s="158"/>
      <c r="BT46" s="158"/>
      <c r="BU46" s="158"/>
      <c r="BV46" s="158"/>
      <c r="BW46" s="158"/>
      <c r="BX46" s="158"/>
      <c r="BY46" s="158"/>
      <c r="BZ46" s="158"/>
      <c r="CA46" s="158"/>
      <c r="CB46" s="158"/>
      <c r="CC46" s="158"/>
      <c r="CD46" s="158"/>
      <c r="CE46" s="158"/>
      <c r="CF46" s="158"/>
      <c r="CG46" s="158"/>
      <c r="CH46" s="158"/>
      <c r="CI46" s="158"/>
    </row>
    <row r="47" spans="1:87" s="441" customFormat="1" ht="12" hidden="1" customHeight="1">
      <c r="A47" s="690">
        <v>39470</v>
      </c>
      <c r="B47" s="691" t="s">
        <v>825</v>
      </c>
      <c r="C47" s="692">
        <v>28</v>
      </c>
      <c r="D47" s="690">
        <v>39498</v>
      </c>
      <c r="E47" s="693">
        <v>50</v>
      </c>
      <c r="F47" s="693">
        <v>59.509399999999999</v>
      </c>
      <c r="G47" s="693">
        <v>32</v>
      </c>
      <c r="H47" s="693">
        <v>0</v>
      </c>
      <c r="I47" s="694">
        <v>0.10630000000000001</v>
      </c>
      <c r="J47" s="694">
        <v>0.1089</v>
      </c>
      <c r="K47" s="694">
        <v>0.10630000000000001</v>
      </c>
      <c r="L47" s="692">
        <v>8</v>
      </c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8"/>
      <c r="BU47" s="158"/>
      <c r="BV47" s="158"/>
      <c r="BW47" s="158"/>
      <c r="BX47" s="158"/>
      <c r="BY47" s="158"/>
      <c r="BZ47" s="158"/>
      <c r="CA47" s="158"/>
      <c r="CB47" s="158"/>
      <c r="CC47" s="158"/>
      <c r="CD47" s="158"/>
      <c r="CE47" s="158"/>
      <c r="CF47" s="158"/>
      <c r="CG47" s="158"/>
      <c r="CH47" s="158"/>
      <c r="CI47" s="158"/>
    </row>
    <row r="48" spans="1:87" s="441" customFormat="1" ht="12" hidden="1" customHeight="1">
      <c r="A48" s="690">
        <v>39477</v>
      </c>
      <c r="B48" s="691" t="s">
        <v>826</v>
      </c>
      <c r="C48" s="692">
        <v>28</v>
      </c>
      <c r="D48" s="690">
        <v>39505</v>
      </c>
      <c r="E48" s="693">
        <v>65</v>
      </c>
      <c r="F48" s="693">
        <v>41.542999999999999</v>
      </c>
      <c r="G48" s="693">
        <v>41.542999999999999</v>
      </c>
      <c r="H48" s="693">
        <v>0</v>
      </c>
      <c r="I48" s="694">
        <v>0.1024</v>
      </c>
      <c r="J48" s="694">
        <v>0.11020000000000001</v>
      </c>
      <c r="K48" s="694">
        <v>0.1076</v>
      </c>
      <c r="L48" s="692">
        <v>11</v>
      </c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58"/>
      <c r="BN48" s="158"/>
      <c r="BO48" s="158"/>
      <c r="BP48" s="158"/>
      <c r="BQ48" s="158"/>
      <c r="BR48" s="158"/>
      <c r="BS48" s="158"/>
      <c r="BT48" s="158"/>
      <c r="BU48" s="158"/>
      <c r="BV48" s="158"/>
      <c r="BW48" s="158"/>
      <c r="BX48" s="158"/>
      <c r="BY48" s="158"/>
      <c r="BZ48" s="158"/>
      <c r="CA48" s="158"/>
      <c r="CB48" s="158"/>
      <c r="CC48" s="158"/>
      <c r="CD48" s="158"/>
      <c r="CE48" s="158"/>
      <c r="CF48" s="158"/>
      <c r="CG48" s="158"/>
      <c r="CH48" s="158"/>
      <c r="CI48" s="158"/>
    </row>
    <row r="49" spans="1:87" s="441" customFormat="1" ht="12" hidden="1" customHeight="1">
      <c r="A49" s="690">
        <v>39484</v>
      </c>
      <c r="B49" s="691" t="s">
        <v>827</v>
      </c>
      <c r="C49" s="692">
        <v>28</v>
      </c>
      <c r="D49" s="690">
        <v>39512</v>
      </c>
      <c r="E49" s="693">
        <v>60</v>
      </c>
      <c r="F49" s="693">
        <v>48.953400000000002</v>
      </c>
      <c r="G49" s="693">
        <v>48.953400000000002</v>
      </c>
      <c r="H49" s="693">
        <v>0</v>
      </c>
      <c r="I49" s="694">
        <v>0.10630000000000001</v>
      </c>
      <c r="J49" s="694">
        <v>0.11020000000000001</v>
      </c>
      <c r="K49" s="694">
        <v>0.1076</v>
      </c>
      <c r="L49" s="692">
        <v>11</v>
      </c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  <c r="BV49" s="158"/>
      <c r="BW49" s="158"/>
      <c r="BX49" s="158"/>
      <c r="BY49" s="158"/>
      <c r="BZ49" s="158"/>
      <c r="CA49" s="158"/>
      <c r="CB49" s="158"/>
      <c r="CC49" s="158"/>
      <c r="CD49" s="158"/>
      <c r="CE49" s="158"/>
      <c r="CF49" s="158"/>
      <c r="CG49" s="158"/>
      <c r="CH49" s="158"/>
      <c r="CI49" s="158"/>
    </row>
    <row r="50" spans="1:87" s="441" customFormat="1" ht="12" hidden="1" customHeight="1">
      <c r="A50" s="690">
        <v>39491</v>
      </c>
      <c r="B50" s="691" t="s">
        <v>828</v>
      </c>
      <c r="C50" s="692">
        <v>28</v>
      </c>
      <c r="D50" s="690">
        <v>39519</v>
      </c>
      <c r="E50" s="693">
        <v>80</v>
      </c>
      <c r="F50" s="693">
        <v>45.758600000000001</v>
      </c>
      <c r="G50" s="693">
        <v>41.7196</v>
      </c>
      <c r="H50" s="693">
        <v>0</v>
      </c>
      <c r="I50" s="694">
        <v>0.10630000000000001</v>
      </c>
      <c r="J50" s="694">
        <v>0.11020000000000001</v>
      </c>
      <c r="K50" s="694">
        <v>0.1089</v>
      </c>
      <c r="L50" s="692">
        <v>15</v>
      </c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58"/>
      <c r="BN50" s="158"/>
      <c r="BO50" s="158"/>
      <c r="BP50" s="158"/>
      <c r="BQ50" s="158"/>
      <c r="BR50" s="158"/>
      <c r="BS50" s="158"/>
      <c r="BT50" s="158"/>
      <c r="BU50" s="158"/>
      <c r="BV50" s="158"/>
      <c r="BW50" s="158"/>
      <c r="BX50" s="158"/>
      <c r="BY50" s="158"/>
      <c r="BZ50" s="158"/>
      <c r="CA50" s="158"/>
      <c r="CB50" s="158"/>
      <c r="CC50" s="158"/>
      <c r="CD50" s="158"/>
      <c r="CE50" s="158"/>
      <c r="CF50" s="158"/>
      <c r="CG50" s="158"/>
      <c r="CH50" s="158"/>
      <c r="CI50" s="158"/>
    </row>
    <row r="51" spans="1:87" s="441" customFormat="1" ht="12" hidden="1" customHeight="1">
      <c r="A51" s="690">
        <v>39498</v>
      </c>
      <c r="B51" s="691" t="s">
        <v>829</v>
      </c>
      <c r="C51" s="692">
        <v>28</v>
      </c>
      <c r="D51" s="690">
        <v>39526</v>
      </c>
      <c r="E51" s="693">
        <v>40</v>
      </c>
      <c r="F51" s="693">
        <v>59.083599999999997</v>
      </c>
      <c r="G51" s="693">
        <v>25</v>
      </c>
      <c r="H51" s="693">
        <v>0</v>
      </c>
      <c r="I51" s="694">
        <v>0.105</v>
      </c>
      <c r="J51" s="694">
        <v>0.105</v>
      </c>
      <c r="K51" s="694">
        <v>0.105</v>
      </c>
      <c r="L51" s="692">
        <v>6</v>
      </c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158"/>
      <c r="AX51" s="158"/>
      <c r="AY51" s="158"/>
      <c r="AZ51" s="158"/>
      <c r="BA51" s="158"/>
      <c r="BB51" s="158"/>
      <c r="BC51" s="158"/>
      <c r="BD51" s="158"/>
      <c r="BE51" s="158"/>
      <c r="BF51" s="158"/>
      <c r="BG51" s="158"/>
      <c r="BH51" s="158"/>
      <c r="BI51" s="158"/>
      <c r="BJ51" s="158"/>
      <c r="BK51" s="158"/>
      <c r="BL51" s="158"/>
      <c r="BM51" s="158"/>
      <c r="BN51" s="158"/>
      <c r="BO51" s="158"/>
      <c r="BP51" s="158"/>
      <c r="BQ51" s="158"/>
      <c r="BR51" s="158"/>
      <c r="BS51" s="158"/>
      <c r="BT51" s="158"/>
      <c r="BU51" s="158"/>
      <c r="BV51" s="158"/>
      <c r="BW51" s="158"/>
      <c r="BX51" s="158"/>
      <c r="BY51" s="158"/>
      <c r="BZ51" s="158"/>
      <c r="CA51" s="158"/>
      <c r="CB51" s="158"/>
      <c r="CC51" s="158"/>
      <c r="CD51" s="158"/>
      <c r="CE51" s="158"/>
      <c r="CF51" s="158"/>
      <c r="CG51" s="158"/>
      <c r="CH51" s="158"/>
      <c r="CI51" s="158"/>
    </row>
    <row r="52" spans="1:87" s="441" customFormat="1" ht="12" hidden="1" customHeight="1">
      <c r="A52" s="690">
        <v>39505</v>
      </c>
      <c r="B52" s="691" t="s">
        <v>830</v>
      </c>
      <c r="C52" s="692">
        <v>29</v>
      </c>
      <c r="D52" s="690">
        <v>39534</v>
      </c>
      <c r="E52" s="693">
        <v>40</v>
      </c>
      <c r="F52" s="693">
        <v>103.55549999999999</v>
      </c>
      <c r="G52" s="693">
        <v>35</v>
      </c>
      <c r="H52" s="693">
        <v>-0.58160000000000001</v>
      </c>
      <c r="I52" s="694">
        <v>9.1899999999999996E-2</v>
      </c>
      <c r="J52" s="694">
        <v>9.3200000000000005E-2</v>
      </c>
      <c r="K52" s="694">
        <v>9.3200000000000005E-2</v>
      </c>
      <c r="L52" s="692">
        <v>12</v>
      </c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  <c r="AX52" s="158"/>
      <c r="AY52" s="158"/>
      <c r="AZ52" s="158"/>
      <c r="BA52" s="158"/>
      <c r="BB52" s="158"/>
      <c r="BC52" s="158"/>
      <c r="BD52" s="158"/>
      <c r="BE52" s="158"/>
      <c r="BF52" s="158"/>
      <c r="BG52" s="158"/>
      <c r="BH52" s="158"/>
      <c r="BI52" s="158"/>
      <c r="BJ52" s="158"/>
      <c r="BK52" s="158"/>
      <c r="BL52" s="158"/>
      <c r="BM52" s="158"/>
      <c r="BN52" s="158"/>
      <c r="BO52" s="158"/>
      <c r="BP52" s="158"/>
      <c r="BQ52" s="158"/>
      <c r="BR52" s="158"/>
      <c r="BS52" s="158"/>
      <c r="BT52" s="158"/>
      <c r="BU52" s="158"/>
      <c r="BV52" s="158"/>
      <c r="BW52" s="158"/>
      <c r="BX52" s="158"/>
      <c r="BY52" s="158"/>
      <c r="BZ52" s="158"/>
      <c r="CA52" s="158"/>
      <c r="CB52" s="158"/>
      <c r="CC52" s="158"/>
      <c r="CD52" s="158"/>
      <c r="CE52" s="158"/>
      <c r="CF52" s="158"/>
      <c r="CG52" s="158"/>
      <c r="CH52" s="158"/>
      <c r="CI52" s="158"/>
    </row>
    <row r="53" spans="1:87" s="441" customFormat="1" ht="12" hidden="1" customHeight="1">
      <c r="A53" s="690">
        <v>39512</v>
      </c>
      <c r="B53" s="691" t="s">
        <v>831</v>
      </c>
      <c r="C53" s="692">
        <v>28</v>
      </c>
      <c r="D53" s="690">
        <v>39540</v>
      </c>
      <c r="E53" s="693">
        <v>60</v>
      </c>
      <c r="F53" s="693">
        <v>87.842700000000008</v>
      </c>
      <c r="G53" s="693">
        <v>50</v>
      </c>
      <c r="H53" s="693">
        <v>-2.4176000000000002</v>
      </c>
      <c r="I53" s="694">
        <v>7.8899999999999998E-2</v>
      </c>
      <c r="J53" s="694">
        <v>9.4500000000000001E-2</v>
      </c>
      <c r="K53" s="694">
        <v>8.6699999999999999E-2</v>
      </c>
      <c r="L53" s="692">
        <v>11</v>
      </c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158"/>
      <c r="BL53" s="158"/>
      <c r="BM53" s="158"/>
      <c r="BN53" s="158"/>
      <c r="BO53" s="158"/>
      <c r="BP53" s="158"/>
      <c r="BQ53" s="158"/>
      <c r="BR53" s="158"/>
      <c r="BS53" s="158"/>
      <c r="BT53" s="158"/>
      <c r="BU53" s="158"/>
      <c r="BV53" s="158"/>
      <c r="BW53" s="158"/>
      <c r="BX53" s="158"/>
      <c r="BY53" s="158"/>
      <c r="BZ53" s="158"/>
      <c r="CA53" s="158"/>
      <c r="CB53" s="158"/>
      <c r="CC53" s="158"/>
      <c r="CD53" s="158"/>
      <c r="CE53" s="158"/>
      <c r="CF53" s="158"/>
      <c r="CG53" s="158"/>
      <c r="CH53" s="158"/>
      <c r="CI53" s="158"/>
    </row>
    <row r="54" spans="1:87" s="441" customFormat="1" ht="12" hidden="1" customHeight="1">
      <c r="A54" s="690">
        <v>39519</v>
      </c>
      <c r="B54" s="691" t="s">
        <v>832</v>
      </c>
      <c r="C54" s="692">
        <v>28</v>
      </c>
      <c r="D54" s="690">
        <v>39547</v>
      </c>
      <c r="E54" s="693">
        <v>55</v>
      </c>
      <c r="F54" s="693">
        <v>92.868800000000007</v>
      </c>
      <c r="G54" s="693">
        <v>50</v>
      </c>
      <c r="H54" s="693">
        <v>-0.40100000000000008</v>
      </c>
      <c r="I54" s="694">
        <v>8.5400000000000004E-2</v>
      </c>
      <c r="J54" s="694">
        <v>9.3200000000000005E-2</v>
      </c>
      <c r="K54" s="694">
        <v>9.06E-2</v>
      </c>
      <c r="L54" s="692">
        <v>13</v>
      </c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  <c r="BB54" s="158"/>
      <c r="BC54" s="158"/>
      <c r="BD54" s="158"/>
      <c r="BE54" s="158"/>
      <c r="BF54" s="158"/>
      <c r="BG54" s="158"/>
      <c r="BH54" s="158"/>
      <c r="BI54" s="158"/>
      <c r="BJ54" s="158"/>
      <c r="BK54" s="158"/>
      <c r="BL54" s="158"/>
      <c r="BM54" s="158"/>
      <c r="BN54" s="158"/>
      <c r="BO54" s="158"/>
      <c r="BP54" s="158"/>
      <c r="BQ54" s="158"/>
      <c r="BR54" s="158"/>
      <c r="BS54" s="158"/>
      <c r="BT54" s="158"/>
      <c r="BU54" s="158"/>
      <c r="BV54" s="158"/>
      <c r="BW54" s="158"/>
      <c r="BX54" s="158"/>
      <c r="BY54" s="158"/>
      <c r="BZ54" s="158"/>
      <c r="CA54" s="158"/>
      <c r="CB54" s="158"/>
      <c r="CC54" s="158"/>
      <c r="CD54" s="158"/>
      <c r="CE54" s="158"/>
      <c r="CF54" s="158"/>
      <c r="CG54" s="158"/>
      <c r="CH54" s="158"/>
      <c r="CI54" s="158"/>
    </row>
    <row r="55" spans="1:87" s="441" customFormat="1" ht="12" hidden="1" customHeight="1">
      <c r="A55" s="690">
        <v>39526</v>
      </c>
      <c r="B55" s="691" t="s">
        <v>833</v>
      </c>
      <c r="C55" s="692">
        <v>28</v>
      </c>
      <c r="D55" s="690">
        <v>39554</v>
      </c>
      <c r="E55" s="693">
        <v>35</v>
      </c>
      <c r="F55" s="693">
        <v>54.475999999999999</v>
      </c>
      <c r="G55" s="693">
        <v>35</v>
      </c>
      <c r="H55" s="693">
        <v>0</v>
      </c>
      <c r="I55" s="694">
        <v>7.4999999999999997E-2</v>
      </c>
      <c r="J55" s="694">
        <v>9.3200000000000005E-2</v>
      </c>
      <c r="K55" s="694">
        <v>8.9300000000000004E-2</v>
      </c>
      <c r="L55" s="692">
        <v>8</v>
      </c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  <c r="BB55" s="158"/>
      <c r="BC55" s="158"/>
      <c r="BD55" s="158"/>
      <c r="BE55" s="158"/>
      <c r="BF55" s="158"/>
      <c r="BG55" s="158"/>
      <c r="BH55" s="158"/>
      <c r="BI55" s="158"/>
      <c r="BJ55" s="158"/>
      <c r="BK55" s="158"/>
      <c r="BL55" s="158"/>
      <c r="BM55" s="158"/>
      <c r="BN55" s="158"/>
      <c r="BO55" s="158"/>
      <c r="BP55" s="158"/>
      <c r="BQ55" s="158"/>
      <c r="BR55" s="158"/>
      <c r="BS55" s="158"/>
      <c r="BT55" s="158"/>
      <c r="BU55" s="158"/>
      <c r="BV55" s="158"/>
      <c r="BW55" s="158"/>
      <c r="BX55" s="158"/>
      <c r="BY55" s="158"/>
      <c r="BZ55" s="158"/>
      <c r="CA55" s="158"/>
      <c r="CB55" s="158"/>
      <c r="CC55" s="158"/>
      <c r="CD55" s="158"/>
      <c r="CE55" s="158"/>
      <c r="CF55" s="158"/>
      <c r="CG55" s="158"/>
      <c r="CH55" s="158"/>
      <c r="CI55" s="158"/>
    </row>
    <row r="56" spans="1:87" s="441" customFormat="1" ht="12" hidden="1" customHeight="1">
      <c r="A56" s="690">
        <v>39536</v>
      </c>
      <c r="B56" s="691" t="s">
        <v>834</v>
      </c>
      <c r="C56" s="692">
        <v>25</v>
      </c>
      <c r="D56" s="690">
        <v>39561</v>
      </c>
      <c r="E56" s="693">
        <v>50</v>
      </c>
      <c r="F56" s="693">
        <v>35.657600000000002</v>
      </c>
      <c r="G56" s="693">
        <v>35.657600000000002</v>
      </c>
      <c r="H56" s="693">
        <v>-2.5069999999999997</v>
      </c>
      <c r="I56" s="694">
        <v>8.5500000000000007E-2</v>
      </c>
      <c r="J56" s="694">
        <v>0.1103</v>
      </c>
      <c r="K56" s="694">
        <v>9.2799999999999994E-2</v>
      </c>
      <c r="L56" s="692">
        <v>5</v>
      </c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  <c r="BH56" s="158"/>
      <c r="BI56" s="158"/>
      <c r="BJ56" s="158"/>
      <c r="BK56" s="158"/>
      <c r="BL56" s="158"/>
      <c r="BM56" s="158"/>
      <c r="BN56" s="158"/>
      <c r="BO56" s="158"/>
      <c r="BP56" s="158"/>
      <c r="BQ56" s="158"/>
      <c r="BR56" s="158"/>
      <c r="BS56" s="158"/>
      <c r="BT56" s="158"/>
      <c r="BU56" s="158"/>
      <c r="BV56" s="158"/>
      <c r="BW56" s="158"/>
      <c r="BX56" s="158"/>
      <c r="BY56" s="158"/>
      <c r="BZ56" s="158"/>
      <c r="CA56" s="158"/>
      <c r="CB56" s="158"/>
      <c r="CC56" s="158"/>
      <c r="CD56" s="158"/>
      <c r="CE56" s="158"/>
      <c r="CF56" s="158"/>
      <c r="CG56" s="158"/>
      <c r="CH56" s="158"/>
      <c r="CI56" s="158"/>
    </row>
    <row r="57" spans="1:87" s="441" customFormat="1" ht="12" hidden="1" customHeight="1">
      <c r="A57" s="690">
        <v>39540</v>
      </c>
      <c r="B57" s="691" t="s">
        <v>835</v>
      </c>
      <c r="C57" s="692">
        <v>28</v>
      </c>
      <c r="D57" s="690">
        <v>39568</v>
      </c>
      <c r="E57" s="693">
        <v>55</v>
      </c>
      <c r="F57" s="693">
        <v>70.306600000000003</v>
      </c>
      <c r="G57" s="693">
        <v>50</v>
      </c>
      <c r="H57" s="693">
        <v>-15.0052</v>
      </c>
      <c r="I57" s="694">
        <v>9.1899999999999996E-2</v>
      </c>
      <c r="J57" s="694">
        <v>0.1037</v>
      </c>
      <c r="K57" s="694">
        <v>0.1024</v>
      </c>
      <c r="L57" s="692">
        <v>13</v>
      </c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8"/>
      <c r="AV57" s="158"/>
      <c r="AW57" s="158"/>
      <c r="AX57" s="158"/>
      <c r="AY57" s="158"/>
      <c r="AZ57" s="158"/>
      <c r="BA57" s="158"/>
      <c r="BB57" s="158"/>
      <c r="BC57" s="158"/>
      <c r="BD57" s="158"/>
      <c r="BE57" s="158"/>
      <c r="BF57" s="158"/>
      <c r="BG57" s="158"/>
      <c r="BH57" s="158"/>
      <c r="BI57" s="158"/>
      <c r="BJ57" s="158"/>
      <c r="BK57" s="158"/>
      <c r="BL57" s="158"/>
      <c r="BM57" s="158"/>
      <c r="BN57" s="158"/>
      <c r="BO57" s="158"/>
      <c r="BP57" s="158"/>
      <c r="BQ57" s="158"/>
      <c r="BR57" s="158"/>
      <c r="BS57" s="158"/>
      <c r="BT57" s="158"/>
      <c r="BU57" s="158"/>
      <c r="BV57" s="158"/>
      <c r="BW57" s="158"/>
      <c r="BX57" s="158"/>
      <c r="BY57" s="158"/>
      <c r="BZ57" s="158"/>
      <c r="CA57" s="158"/>
      <c r="CB57" s="158"/>
      <c r="CC57" s="158"/>
      <c r="CD57" s="158"/>
      <c r="CE57" s="158"/>
      <c r="CF57" s="158"/>
      <c r="CG57" s="158"/>
      <c r="CH57" s="158"/>
      <c r="CI57" s="158"/>
    </row>
    <row r="58" spans="1:87" s="441" customFormat="1" ht="12" hidden="1" customHeight="1">
      <c r="A58" s="690">
        <v>39547</v>
      </c>
      <c r="B58" s="691" t="s">
        <v>836</v>
      </c>
      <c r="C58" s="692">
        <v>28</v>
      </c>
      <c r="D58" s="690">
        <v>39575</v>
      </c>
      <c r="E58" s="693">
        <v>60</v>
      </c>
      <c r="F58" s="693">
        <v>68.849000000000004</v>
      </c>
      <c r="G58" s="693">
        <v>50</v>
      </c>
      <c r="H58" s="693">
        <v>-1.9104000000000001</v>
      </c>
      <c r="I58" s="694">
        <v>9.4500000000000001E-2</v>
      </c>
      <c r="J58" s="694">
        <v>0.1024</v>
      </c>
      <c r="K58" s="694">
        <v>9.98E-2</v>
      </c>
      <c r="L58" s="692">
        <v>12</v>
      </c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58"/>
      <c r="AZ58" s="158"/>
      <c r="BA58" s="158"/>
      <c r="BB58" s="158"/>
      <c r="BC58" s="158"/>
      <c r="BD58" s="158"/>
      <c r="BE58" s="158"/>
      <c r="BF58" s="158"/>
      <c r="BG58" s="158"/>
      <c r="BH58" s="158"/>
      <c r="BI58" s="158"/>
      <c r="BJ58" s="158"/>
      <c r="BK58" s="158"/>
      <c r="BL58" s="158"/>
      <c r="BM58" s="158"/>
      <c r="BN58" s="158"/>
      <c r="BO58" s="158"/>
      <c r="BP58" s="158"/>
      <c r="BQ58" s="158"/>
      <c r="BR58" s="158"/>
      <c r="BS58" s="158"/>
      <c r="BT58" s="158"/>
      <c r="BU58" s="158"/>
      <c r="BV58" s="158"/>
      <c r="BW58" s="158"/>
      <c r="BX58" s="158"/>
      <c r="BY58" s="158"/>
      <c r="BZ58" s="158"/>
      <c r="CA58" s="158"/>
      <c r="CB58" s="158"/>
      <c r="CC58" s="158"/>
      <c r="CD58" s="158"/>
      <c r="CE58" s="158"/>
      <c r="CF58" s="158"/>
      <c r="CG58" s="158"/>
      <c r="CH58" s="158"/>
      <c r="CI58" s="158"/>
    </row>
    <row r="59" spans="1:87" s="441" customFormat="1" ht="12" hidden="1" customHeight="1">
      <c r="A59" s="690">
        <v>39554</v>
      </c>
      <c r="B59" s="691" t="s">
        <v>837</v>
      </c>
      <c r="C59" s="692">
        <v>28</v>
      </c>
      <c r="D59" s="690">
        <v>39582</v>
      </c>
      <c r="E59" s="693">
        <v>50</v>
      </c>
      <c r="F59" s="693">
        <v>32.110999999999997</v>
      </c>
      <c r="G59" s="693">
        <v>32.110999999999997</v>
      </c>
      <c r="H59" s="693">
        <v>0</v>
      </c>
      <c r="I59" s="694">
        <v>9.1899999999999996E-2</v>
      </c>
      <c r="J59" s="694">
        <v>0.1024</v>
      </c>
      <c r="K59" s="694">
        <v>0.1011</v>
      </c>
      <c r="L59" s="692">
        <v>7</v>
      </c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  <c r="BJ59" s="158"/>
      <c r="BK59" s="158"/>
      <c r="BL59" s="158"/>
      <c r="BM59" s="158"/>
      <c r="BN59" s="158"/>
      <c r="BO59" s="158"/>
      <c r="BP59" s="158"/>
      <c r="BQ59" s="158"/>
      <c r="BR59" s="158"/>
      <c r="BS59" s="158"/>
      <c r="BT59" s="158"/>
      <c r="BU59" s="158"/>
      <c r="BV59" s="158"/>
      <c r="BW59" s="158"/>
      <c r="BX59" s="158"/>
      <c r="BY59" s="158"/>
      <c r="BZ59" s="158"/>
      <c r="CA59" s="158"/>
      <c r="CB59" s="158"/>
      <c r="CC59" s="158"/>
      <c r="CD59" s="158"/>
      <c r="CE59" s="158"/>
      <c r="CF59" s="158"/>
      <c r="CG59" s="158"/>
      <c r="CH59" s="158"/>
      <c r="CI59" s="158"/>
    </row>
    <row r="60" spans="1:87" s="441" customFormat="1" ht="12" hidden="1" customHeight="1">
      <c r="A60" s="690">
        <v>39561</v>
      </c>
      <c r="B60" s="691" t="s">
        <v>838</v>
      </c>
      <c r="C60" s="692">
        <v>28</v>
      </c>
      <c r="D60" s="690">
        <v>39589</v>
      </c>
      <c r="E60" s="693">
        <v>50</v>
      </c>
      <c r="F60" s="693">
        <v>24.9084</v>
      </c>
      <c r="G60" s="693">
        <v>24.9084</v>
      </c>
      <c r="H60" s="693">
        <v>-0.60499999999999998</v>
      </c>
      <c r="I60" s="694">
        <v>9.8500000000000004E-2</v>
      </c>
      <c r="J60" s="694">
        <v>0.105</v>
      </c>
      <c r="K60" s="694">
        <v>0.1024</v>
      </c>
      <c r="L60" s="692">
        <v>7</v>
      </c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8"/>
      <c r="BN60" s="158"/>
      <c r="BO60" s="158"/>
      <c r="BP60" s="158"/>
      <c r="BQ60" s="158"/>
      <c r="BR60" s="158"/>
      <c r="BS60" s="158"/>
      <c r="BT60" s="158"/>
      <c r="BU60" s="158"/>
      <c r="BV60" s="158"/>
      <c r="BW60" s="158"/>
      <c r="BX60" s="158"/>
      <c r="BY60" s="158"/>
      <c r="BZ60" s="158"/>
      <c r="CA60" s="158"/>
      <c r="CB60" s="158"/>
      <c r="CC60" s="158"/>
      <c r="CD60" s="158"/>
      <c r="CE60" s="158"/>
      <c r="CF60" s="158"/>
      <c r="CG60" s="158"/>
      <c r="CH60" s="158"/>
      <c r="CI60" s="158"/>
    </row>
    <row r="61" spans="1:87" s="441" customFormat="1" ht="12" hidden="1" customHeight="1">
      <c r="A61" s="690">
        <v>39568</v>
      </c>
      <c r="B61" s="691" t="s">
        <v>839</v>
      </c>
      <c r="C61" s="692">
        <v>29</v>
      </c>
      <c r="D61" s="690">
        <v>39597</v>
      </c>
      <c r="E61" s="693">
        <v>50</v>
      </c>
      <c r="F61" s="693">
        <v>37.738399999999999</v>
      </c>
      <c r="G61" s="693">
        <v>37.738399999999999</v>
      </c>
      <c r="H61" s="693">
        <v>-9.7103999999999999</v>
      </c>
      <c r="I61" s="694">
        <v>9.5100000000000004E-2</v>
      </c>
      <c r="J61" s="694">
        <v>0.1052</v>
      </c>
      <c r="K61" s="694">
        <v>0.1026</v>
      </c>
      <c r="L61" s="692">
        <v>9</v>
      </c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8"/>
      <c r="BN61" s="158"/>
      <c r="BO61" s="158"/>
      <c r="BP61" s="158"/>
      <c r="BQ61" s="158"/>
      <c r="BR61" s="158"/>
      <c r="BS61" s="158"/>
      <c r="BT61" s="158"/>
      <c r="BU61" s="158"/>
      <c r="BV61" s="158"/>
      <c r="BW61" s="158"/>
      <c r="BX61" s="158"/>
      <c r="BY61" s="158"/>
      <c r="BZ61" s="158"/>
      <c r="CA61" s="158"/>
      <c r="CB61" s="158"/>
      <c r="CC61" s="158"/>
      <c r="CD61" s="158"/>
      <c r="CE61" s="158"/>
      <c r="CF61" s="158"/>
      <c r="CG61" s="158"/>
      <c r="CH61" s="158"/>
      <c r="CI61" s="158"/>
    </row>
    <row r="62" spans="1:87" s="441" customFormat="1" ht="12" hidden="1" customHeight="1">
      <c r="A62" s="690">
        <v>39575</v>
      </c>
      <c r="B62" s="691" t="s">
        <v>840</v>
      </c>
      <c r="C62" s="692">
        <v>28</v>
      </c>
      <c r="D62" s="690">
        <v>39603</v>
      </c>
      <c r="E62" s="693">
        <v>60</v>
      </c>
      <c r="F62" s="693">
        <v>63.486600000000003</v>
      </c>
      <c r="G62" s="693">
        <v>50</v>
      </c>
      <c r="H62" s="693">
        <v>0</v>
      </c>
      <c r="I62" s="694">
        <v>9.8500000000000004E-2</v>
      </c>
      <c r="J62" s="694">
        <v>0.1011</v>
      </c>
      <c r="K62" s="694">
        <v>9.98E-2</v>
      </c>
      <c r="L62" s="692">
        <v>12</v>
      </c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8"/>
      <c r="BN62" s="158"/>
      <c r="BO62" s="158"/>
      <c r="BP62" s="158"/>
      <c r="BQ62" s="158"/>
      <c r="BR62" s="158"/>
      <c r="BS62" s="158"/>
      <c r="BT62" s="158"/>
      <c r="BU62" s="158"/>
      <c r="BV62" s="158"/>
      <c r="BW62" s="158"/>
      <c r="BX62" s="158"/>
      <c r="BY62" s="158"/>
      <c r="BZ62" s="158"/>
      <c r="CA62" s="158"/>
      <c r="CB62" s="158"/>
      <c r="CC62" s="158"/>
      <c r="CD62" s="158"/>
      <c r="CE62" s="158"/>
      <c r="CF62" s="158"/>
      <c r="CG62" s="158"/>
      <c r="CH62" s="158"/>
      <c r="CI62" s="158"/>
    </row>
    <row r="63" spans="1:87" s="441" customFormat="1" ht="12" hidden="1" customHeight="1">
      <c r="A63" s="690">
        <v>39582</v>
      </c>
      <c r="B63" s="691" t="s">
        <v>841</v>
      </c>
      <c r="C63" s="692">
        <v>28</v>
      </c>
      <c r="D63" s="690">
        <v>39610</v>
      </c>
      <c r="E63" s="693">
        <v>50</v>
      </c>
      <c r="F63" s="693">
        <v>27.9376</v>
      </c>
      <c r="G63" s="693">
        <v>27.9376</v>
      </c>
      <c r="H63" s="693">
        <v>-22.972000000000001</v>
      </c>
      <c r="I63" s="694">
        <v>9.8500000000000004E-2</v>
      </c>
      <c r="J63" s="694">
        <v>0.1024</v>
      </c>
      <c r="K63" s="694">
        <v>0.1011</v>
      </c>
      <c r="L63" s="692">
        <v>4</v>
      </c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8"/>
      <c r="BN63" s="158"/>
      <c r="BO63" s="158"/>
      <c r="BP63" s="158"/>
      <c r="BQ63" s="158"/>
      <c r="BR63" s="158"/>
      <c r="BS63" s="158"/>
      <c r="BT63" s="158"/>
      <c r="BU63" s="158"/>
      <c r="BV63" s="158"/>
      <c r="BW63" s="158"/>
      <c r="BX63" s="158"/>
      <c r="BY63" s="158"/>
      <c r="BZ63" s="158"/>
      <c r="CA63" s="158"/>
      <c r="CB63" s="158"/>
      <c r="CC63" s="158"/>
      <c r="CD63" s="158"/>
      <c r="CE63" s="158"/>
      <c r="CF63" s="158"/>
      <c r="CG63" s="158"/>
      <c r="CH63" s="158"/>
      <c r="CI63" s="158"/>
    </row>
    <row r="64" spans="1:87" ht="12" hidden="1" customHeight="1">
      <c r="A64" s="445"/>
      <c r="B64" s="446"/>
      <c r="C64" s="442"/>
      <c r="D64" s="445"/>
      <c r="E64" s="444"/>
      <c r="F64" s="444"/>
      <c r="G64" s="444"/>
      <c r="H64" s="444"/>
      <c r="I64" s="443"/>
      <c r="J64" s="443"/>
      <c r="K64" s="443"/>
      <c r="L64" s="442"/>
    </row>
    <row r="65" spans="1:87" ht="12" hidden="1" customHeight="1">
      <c r="A65" s="442">
        <v>2008</v>
      </c>
      <c r="B65" s="446"/>
      <c r="C65" s="442"/>
      <c r="D65" s="445"/>
      <c r="E65" s="444"/>
      <c r="F65" s="444"/>
      <c r="G65" s="444"/>
      <c r="H65" s="444"/>
      <c r="I65" s="443"/>
      <c r="J65" s="443"/>
      <c r="K65" s="443"/>
      <c r="L65" s="442"/>
    </row>
    <row r="66" spans="1:87" s="441" customFormat="1" ht="12" hidden="1" customHeight="1">
      <c r="A66" s="690">
        <v>39597</v>
      </c>
      <c r="B66" s="691" t="s">
        <v>842</v>
      </c>
      <c r="C66" s="692">
        <v>27</v>
      </c>
      <c r="D66" s="690">
        <v>39624</v>
      </c>
      <c r="E66" s="693">
        <v>40</v>
      </c>
      <c r="F66" s="693">
        <v>34.417499999999997</v>
      </c>
      <c r="G66" s="693">
        <v>30</v>
      </c>
      <c r="H66" s="693">
        <v>-3.7113999999999998</v>
      </c>
      <c r="I66" s="694">
        <v>9.8000000000000004E-2</v>
      </c>
      <c r="J66" s="694">
        <v>0.1008</v>
      </c>
      <c r="K66" s="694">
        <v>0.1008</v>
      </c>
      <c r="L66" s="692">
        <v>9</v>
      </c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58"/>
      <c r="BN66" s="158"/>
      <c r="BO66" s="158"/>
      <c r="BP66" s="158"/>
      <c r="BQ66" s="158"/>
      <c r="BR66" s="158"/>
      <c r="BS66" s="158"/>
      <c r="BT66" s="158"/>
      <c r="BU66" s="158"/>
      <c r="BV66" s="158"/>
      <c r="BW66" s="158"/>
      <c r="BX66" s="158"/>
      <c r="BY66" s="158"/>
      <c r="BZ66" s="158"/>
      <c r="CA66" s="158"/>
      <c r="CB66" s="158"/>
      <c r="CC66" s="158"/>
      <c r="CD66" s="158"/>
      <c r="CE66" s="158"/>
      <c r="CF66" s="158"/>
      <c r="CG66" s="158"/>
      <c r="CH66" s="158"/>
      <c r="CI66" s="158"/>
    </row>
    <row r="67" spans="1:87" ht="12" hidden="1" customHeight="1">
      <c r="A67" s="695">
        <v>39603</v>
      </c>
      <c r="B67" s="696" t="s">
        <v>843</v>
      </c>
      <c r="C67" s="697">
        <v>28</v>
      </c>
      <c r="D67" s="695">
        <v>39631</v>
      </c>
      <c r="E67" s="698">
        <v>60</v>
      </c>
      <c r="F67" s="698">
        <v>30.401800000000001</v>
      </c>
      <c r="G67" s="698">
        <v>30.401800000000001</v>
      </c>
      <c r="H67" s="698">
        <v>-2.0217999999999998</v>
      </c>
      <c r="I67" s="699">
        <v>9.7199999999999995E-2</v>
      </c>
      <c r="J67" s="699">
        <v>0.1024</v>
      </c>
      <c r="K67" s="699">
        <v>0.1011</v>
      </c>
      <c r="L67" s="697">
        <v>8</v>
      </c>
    </row>
    <row r="68" spans="1:87" s="441" customFormat="1" ht="12" hidden="1" customHeight="1">
      <c r="A68" s="695">
        <v>39610</v>
      </c>
      <c r="B68" s="696" t="s">
        <v>844</v>
      </c>
      <c r="C68" s="697">
        <v>28</v>
      </c>
      <c r="D68" s="695">
        <v>39638</v>
      </c>
      <c r="E68" s="698">
        <v>20</v>
      </c>
      <c r="F68" s="698">
        <v>13.8094</v>
      </c>
      <c r="G68" s="698">
        <v>13.8094</v>
      </c>
      <c r="H68" s="698">
        <v>-2.0142000000000002</v>
      </c>
      <c r="I68" s="699">
        <v>9.98E-2</v>
      </c>
      <c r="J68" s="699">
        <v>0.1115</v>
      </c>
      <c r="K68" s="699">
        <v>0.10630000000000001</v>
      </c>
      <c r="L68" s="697">
        <v>7</v>
      </c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58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</row>
    <row r="69" spans="1:87" ht="12" hidden="1" customHeight="1">
      <c r="A69" s="695">
        <v>39617</v>
      </c>
      <c r="B69" s="696" t="s">
        <v>845</v>
      </c>
      <c r="C69" s="697">
        <v>28</v>
      </c>
      <c r="D69" s="695">
        <v>39645</v>
      </c>
      <c r="E69" s="698">
        <v>20</v>
      </c>
      <c r="F69" s="698">
        <v>43.156199999999998</v>
      </c>
      <c r="G69" s="698">
        <v>20</v>
      </c>
      <c r="H69" s="698">
        <v>-1.3557999999999999</v>
      </c>
      <c r="I69" s="699">
        <v>9.8500000000000004E-2</v>
      </c>
      <c r="J69" s="699">
        <v>0.1076</v>
      </c>
      <c r="K69" s="699">
        <v>0.1037</v>
      </c>
      <c r="L69" s="697">
        <v>11</v>
      </c>
    </row>
    <row r="70" spans="1:87" s="441" customFormat="1" ht="12" hidden="1" customHeight="1">
      <c r="A70" s="695">
        <v>39624</v>
      </c>
      <c r="B70" s="696" t="s">
        <v>846</v>
      </c>
      <c r="C70" s="697">
        <v>28</v>
      </c>
      <c r="D70" s="695">
        <v>39652</v>
      </c>
      <c r="E70" s="698">
        <v>60</v>
      </c>
      <c r="F70" s="698">
        <v>85.871799999999993</v>
      </c>
      <c r="G70" s="698">
        <v>40</v>
      </c>
      <c r="H70" s="698">
        <v>-10.710599999999999</v>
      </c>
      <c r="I70" s="699">
        <v>8.9300000000000004E-2</v>
      </c>
      <c r="J70" s="699">
        <v>9.7199999999999995E-2</v>
      </c>
      <c r="K70" s="699">
        <v>9.4500000000000001E-2</v>
      </c>
      <c r="L70" s="697">
        <v>18</v>
      </c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158"/>
      <c r="BN70" s="158"/>
      <c r="BO70" s="158"/>
      <c r="BP70" s="158"/>
      <c r="BQ70" s="158"/>
      <c r="BR70" s="158"/>
      <c r="BS70" s="158"/>
      <c r="BT70" s="158"/>
      <c r="BU70" s="158"/>
      <c r="BV70" s="158"/>
      <c r="BW70" s="158"/>
      <c r="BX70" s="158"/>
      <c r="BY70" s="158"/>
      <c r="BZ70" s="158"/>
      <c r="CA70" s="158"/>
      <c r="CB70" s="158"/>
      <c r="CC70" s="158"/>
      <c r="CD70" s="158"/>
      <c r="CE70" s="158"/>
      <c r="CF70" s="158"/>
      <c r="CG70" s="158"/>
      <c r="CH70" s="158"/>
      <c r="CI70" s="158"/>
    </row>
    <row r="71" spans="1:87" ht="12" hidden="1" customHeight="1">
      <c r="A71" s="695">
        <v>39631</v>
      </c>
      <c r="B71" s="696" t="s">
        <v>847</v>
      </c>
      <c r="C71" s="697">
        <v>28</v>
      </c>
      <c r="D71" s="695">
        <v>39659</v>
      </c>
      <c r="E71" s="698">
        <v>60</v>
      </c>
      <c r="F71" s="698">
        <v>37.665399999999998</v>
      </c>
      <c r="G71" s="698">
        <v>37.665399999999998</v>
      </c>
      <c r="H71" s="698">
        <v>-10.7</v>
      </c>
      <c r="I71" s="699">
        <v>9.06E-2</v>
      </c>
      <c r="J71" s="699">
        <v>0.1076</v>
      </c>
      <c r="K71" s="699">
        <v>9.8500000000000004E-2</v>
      </c>
      <c r="L71" s="697">
        <v>10</v>
      </c>
    </row>
    <row r="72" spans="1:87" s="441" customFormat="1" ht="12" hidden="1" customHeight="1">
      <c r="A72" s="695">
        <v>39638</v>
      </c>
      <c r="B72" s="696" t="s">
        <v>848</v>
      </c>
      <c r="C72" s="697">
        <v>28</v>
      </c>
      <c r="D72" s="695">
        <v>39666</v>
      </c>
      <c r="E72" s="698">
        <v>30</v>
      </c>
      <c r="F72" s="698">
        <v>20.498999999999999</v>
      </c>
      <c r="G72" s="698">
        <v>20</v>
      </c>
      <c r="H72" s="698">
        <v>-5.8402000000000003</v>
      </c>
      <c r="I72" s="699">
        <v>9.4500000000000001E-2</v>
      </c>
      <c r="J72" s="699">
        <v>0.1089</v>
      </c>
      <c r="K72" s="699">
        <v>9.8500000000000004E-2</v>
      </c>
      <c r="L72" s="697">
        <v>11</v>
      </c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158"/>
      <c r="BN72" s="158"/>
      <c r="BO72" s="158"/>
      <c r="BP72" s="158"/>
      <c r="BQ72" s="158"/>
      <c r="BR72" s="158"/>
      <c r="BS72" s="158"/>
      <c r="BT72" s="158"/>
      <c r="BU72" s="158"/>
      <c r="BV72" s="158"/>
      <c r="BW72" s="158"/>
      <c r="BX72" s="158"/>
      <c r="BY72" s="158"/>
      <c r="BZ72" s="158"/>
      <c r="CA72" s="158"/>
      <c r="CB72" s="158"/>
      <c r="CC72" s="158"/>
      <c r="CD72" s="158"/>
      <c r="CE72" s="158"/>
      <c r="CF72" s="158"/>
      <c r="CG72" s="158"/>
      <c r="CH72" s="158"/>
      <c r="CI72" s="158"/>
    </row>
    <row r="73" spans="1:87" ht="12" hidden="1" customHeight="1">
      <c r="A73" s="695">
        <v>39645</v>
      </c>
      <c r="B73" s="696" t="s">
        <v>849</v>
      </c>
      <c r="C73" s="697">
        <v>28</v>
      </c>
      <c r="D73" s="695">
        <v>39673</v>
      </c>
      <c r="E73" s="698">
        <v>50</v>
      </c>
      <c r="F73" s="698">
        <v>21.052800000000001</v>
      </c>
      <c r="G73" s="698">
        <v>21.052800000000001</v>
      </c>
      <c r="H73" s="698">
        <v>-4.5286</v>
      </c>
      <c r="I73" s="699">
        <v>9.98E-2</v>
      </c>
      <c r="J73" s="699">
        <v>0.1128</v>
      </c>
      <c r="K73" s="699">
        <v>0.10630000000000001</v>
      </c>
      <c r="L73" s="697">
        <v>8</v>
      </c>
    </row>
    <row r="74" spans="1:87" s="441" customFormat="1" ht="12" hidden="1" customHeight="1">
      <c r="A74" s="695">
        <v>39652</v>
      </c>
      <c r="B74" s="696" t="s">
        <v>850</v>
      </c>
      <c r="C74" s="697">
        <v>28</v>
      </c>
      <c r="D74" s="695">
        <v>39680</v>
      </c>
      <c r="E74" s="698">
        <v>60</v>
      </c>
      <c r="F74" s="698">
        <v>32.717199999999998</v>
      </c>
      <c r="G74" s="698">
        <v>31.197199999999999</v>
      </c>
      <c r="H74" s="698">
        <v>-4.6349999999999998</v>
      </c>
      <c r="I74" s="699">
        <v>9.98E-2</v>
      </c>
      <c r="J74" s="699">
        <v>0.1168</v>
      </c>
      <c r="K74" s="699">
        <v>0.11020000000000001</v>
      </c>
      <c r="L74" s="697">
        <v>14</v>
      </c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158"/>
      <c r="BN74" s="158"/>
      <c r="BO74" s="158"/>
      <c r="BP74" s="158"/>
      <c r="BQ74" s="158"/>
      <c r="BR74" s="158"/>
      <c r="BS74" s="158"/>
      <c r="BT74" s="158"/>
      <c r="BU74" s="158"/>
      <c r="BV74" s="158"/>
      <c r="BW74" s="158"/>
      <c r="BX74" s="158"/>
      <c r="BY74" s="158"/>
      <c r="BZ74" s="158"/>
      <c r="CA74" s="158"/>
      <c r="CB74" s="158"/>
      <c r="CC74" s="158"/>
      <c r="CD74" s="158"/>
      <c r="CE74" s="158"/>
      <c r="CF74" s="158"/>
      <c r="CG74" s="158"/>
      <c r="CH74" s="158"/>
      <c r="CI74" s="158"/>
    </row>
    <row r="75" spans="1:87" ht="12" hidden="1" customHeight="1">
      <c r="A75" s="695">
        <v>39659</v>
      </c>
      <c r="B75" s="696" t="s">
        <v>851</v>
      </c>
      <c r="C75" s="697">
        <v>28</v>
      </c>
      <c r="D75" s="695">
        <v>39687</v>
      </c>
      <c r="E75" s="698">
        <v>40</v>
      </c>
      <c r="F75" s="698">
        <v>28.450199999999999</v>
      </c>
      <c r="G75" s="698">
        <v>28.450199999999999</v>
      </c>
      <c r="H75" s="698">
        <v>-10.951599999999999</v>
      </c>
      <c r="I75" s="699">
        <v>0.1011</v>
      </c>
      <c r="J75" s="699">
        <v>0.1168</v>
      </c>
      <c r="K75" s="699">
        <v>0.1089</v>
      </c>
      <c r="L75" s="697">
        <v>10</v>
      </c>
    </row>
    <row r="76" spans="1:87" s="441" customFormat="1" ht="12" hidden="1" customHeight="1">
      <c r="A76" s="695">
        <v>39666</v>
      </c>
      <c r="B76" s="696" t="s">
        <v>852</v>
      </c>
      <c r="C76" s="697">
        <v>28</v>
      </c>
      <c r="D76" s="695">
        <v>39694</v>
      </c>
      <c r="E76" s="698">
        <v>40</v>
      </c>
      <c r="F76" s="698">
        <v>6.3785999999999996</v>
      </c>
      <c r="G76" s="698">
        <v>6.3785999999999996</v>
      </c>
      <c r="H76" s="698">
        <v>-3.8540000000000001</v>
      </c>
      <c r="I76" s="699">
        <v>0.1089</v>
      </c>
      <c r="J76" s="699">
        <v>0.1207</v>
      </c>
      <c r="K76" s="699">
        <v>0.1168</v>
      </c>
      <c r="L76" s="697">
        <v>4</v>
      </c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158"/>
      <c r="BN76" s="158"/>
      <c r="BO76" s="158"/>
      <c r="BP76" s="158"/>
      <c r="BQ76" s="158"/>
      <c r="BR76" s="158"/>
      <c r="BS76" s="158"/>
      <c r="BT76" s="158"/>
      <c r="BU76" s="158"/>
      <c r="BV76" s="158"/>
      <c r="BW76" s="158"/>
      <c r="BX76" s="158"/>
      <c r="BY76" s="158"/>
      <c r="BZ76" s="158"/>
      <c r="CA76" s="158"/>
      <c r="CB76" s="158"/>
      <c r="CC76" s="158"/>
      <c r="CD76" s="158"/>
      <c r="CE76" s="158"/>
      <c r="CF76" s="158"/>
      <c r="CG76" s="158"/>
      <c r="CH76" s="158"/>
      <c r="CI76" s="158"/>
    </row>
    <row r="77" spans="1:87" ht="12" hidden="1" customHeight="1">
      <c r="A77" s="695">
        <v>39673</v>
      </c>
      <c r="B77" s="696" t="s">
        <v>853</v>
      </c>
      <c r="C77" s="697">
        <v>28</v>
      </c>
      <c r="D77" s="695">
        <v>39701</v>
      </c>
      <c r="E77" s="698">
        <v>30</v>
      </c>
      <c r="F77" s="698">
        <v>12.202400000000001</v>
      </c>
      <c r="G77" s="698">
        <v>11.6944</v>
      </c>
      <c r="H77" s="698">
        <v>-1.732</v>
      </c>
      <c r="I77" s="699">
        <v>0.1076</v>
      </c>
      <c r="J77" s="699">
        <v>0.11940000000000001</v>
      </c>
      <c r="K77" s="699">
        <v>0.1128</v>
      </c>
      <c r="L77" s="697">
        <v>6</v>
      </c>
    </row>
    <row r="78" spans="1:87" s="441" customFormat="1" ht="12" hidden="1" customHeight="1">
      <c r="A78" s="695">
        <v>39680</v>
      </c>
      <c r="B78" s="696" t="s">
        <v>854</v>
      </c>
      <c r="C78" s="697">
        <v>28</v>
      </c>
      <c r="D78" s="695">
        <v>39708</v>
      </c>
      <c r="E78" s="698">
        <v>35</v>
      </c>
      <c r="F78" s="698">
        <v>12.664400000000001</v>
      </c>
      <c r="G78" s="698">
        <v>12.664400000000001</v>
      </c>
      <c r="H78" s="698">
        <v>-2.032</v>
      </c>
      <c r="I78" s="699">
        <v>0.1089</v>
      </c>
      <c r="J78" s="699">
        <v>0.11940000000000001</v>
      </c>
      <c r="K78" s="699">
        <v>0.11409999999999999</v>
      </c>
      <c r="L78" s="697">
        <v>8</v>
      </c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158"/>
      <c r="BN78" s="158"/>
      <c r="BO78" s="158"/>
      <c r="BP78" s="158"/>
      <c r="BQ78" s="158"/>
      <c r="BR78" s="158"/>
      <c r="BS78" s="158"/>
      <c r="BT78" s="158"/>
      <c r="BU78" s="158"/>
      <c r="BV78" s="158"/>
      <c r="BW78" s="158"/>
      <c r="BX78" s="158"/>
      <c r="BY78" s="158"/>
      <c r="BZ78" s="158"/>
      <c r="CA78" s="158"/>
      <c r="CB78" s="158"/>
      <c r="CC78" s="158"/>
      <c r="CD78" s="158"/>
      <c r="CE78" s="158"/>
      <c r="CF78" s="158"/>
      <c r="CG78" s="158"/>
      <c r="CH78" s="158"/>
      <c r="CI78" s="158"/>
    </row>
    <row r="79" spans="1:87" ht="12" hidden="1" customHeight="1">
      <c r="A79" s="695">
        <v>39687</v>
      </c>
      <c r="B79" s="696" t="s">
        <v>855</v>
      </c>
      <c r="C79" s="697">
        <v>28</v>
      </c>
      <c r="D79" s="695">
        <v>39715</v>
      </c>
      <c r="E79" s="698">
        <v>30</v>
      </c>
      <c r="F79" s="698">
        <v>12.6472</v>
      </c>
      <c r="G79" s="698">
        <v>12.6472</v>
      </c>
      <c r="H79" s="698">
        <v>-0.25219999999999998</v>
      </c>
      <c r="I79" s="699">
        <v>0.11020000000000001</v>
      </c>
      <c r="J79" s="699">
        <v>0.11940000000000001</v>
      </c>
      <c r="K79" s="699">
        <v>0.11409999999999999</v>
      </c>
      <c r="L79" s="697">
        <v>8</v>
      </c>
    </row>
    <row r="80" spans="1:87" s="441" customFormat="1" ht="12" hidden="1" customHeight="1">
      <c r="A80" s="695">
        <v>39694</v>
      </c>
      <c r="B80" s="696" t="s">
        <v>856</v>
      </c>
      <c r="C80" s="697">
        <v>29</v>
      </c>
      <c r="D80" s="695">
        <v>39723</v>
      </c>
      <c r="E80" s="698">
        <v>30</v>
      </c>
      <c r="F80" s="698">
        <v>0.504</v>
      </c>
      <c r="G80" s="698">
        <v>0.504</v>
      </c>
      <c r="H80" s="698">
        <v>0</v>
      </c>
      <c r="I80" s="699">
        <v>0.11020000000000001</v>
      </c>
      <c r="J80" s="699">
        <v>0.11020000000000001</v>
      </c>
      <c r="K80" s="699">
        <v>0.11020000000000001</v>
      </c>
      <c r="L80" s="697">
        <v>1</v>
      </c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158"/>
      <c r="BN80" s="158"/>
      <c r="BO80" s="158"/>
      <c r="BP80" s="158"/>
      <c r="BQ80" s="158"/>
      <c r="BR80" s="158"/>
      <c r="BS80" s="158"/>
      <c r="BT80" s="158"/>
      <c r="BU80" s="158"/>
      <c r="BV80" s="158"/>
      <c r="BW80" s="158"/>
      <c r="BX80" s="158"/>
      <c r="BY80" s="158"/>
      <c r="BZ80" s="158"/>
      <c r="CA80" s="158"/>
      <c r="CB80" s="158"/>
      <c r="CC80" s="158"/>
      <c r="CD80" s="158"/>
      <c r="CE80" s="158"/>
      <c r="CF80" s="158"/>
      <c r="CG80" s="158"/>
      <c r="CH80" s="158"/>
      <c r="CI80" s="158"/>
    </row>
    <row r="81" spans="1:87" ht="12" hidden="1" customHeight="1">
      <c r="A81" s="695">
        <v>39701</v>
      </c>
      <c r="B81" s="696" t="s">
        <v>857</v>
      </c>
      <c r="C81" s="697">
        <v>28</v>
      </c>
      <c r="D81" s="695">
        <v>39729</v>
      </c>
      <c r="E81" s="698">
        <v>30</v>
      </c>
      <c r="F81" s="698">
        <v>45.877200000000002</v>
      </c>
      <c r="G81" s="698">
        <v>30</v>
      </c>
      <c r="H81" s="698">
        <v>0</v>
      </c>
      <c r="I81" s="699">
        <v>0.11020000000000001</v>
      </c>
      <c r="J81" s="699">
        <v>0.11020000000000001</v>
      </c>
      <c r="K81" s="699">
        <v>0.11020000000000001</v>
      </c>
      <c r="L81" s="697">
        <v>8</v>
      </c>
    </row>
    <row r="82" spans="1:87" s="441" customFormat="1" ht="12" hidden="1" customHeight="1">
      <c r="A82" s="695">
        <v>39708</v>
      </c>
      <c r="B82" s="696" t="s">
        <v>858</v>
      </c>
      <c r="C82" s="697">
        <v>28</v>
      </c>
      <c r="D82" s="695">
        <v>39736</v>
      </c>
      <c r="E82" s="698">
        <v>30</v>
      </c>
      <c r="F82" s="698">
        <v>29.015599999999999</v>
      </c>
      <c r="G82" s="698">
        <v>20</v>
      </c>
      <c r="H82" s="698">
        <v>0</v>
      </c>
      <c r="I82" s="699">
        <v>0.1011</v>
      </c>
      <c r="J82" s="699">
        <v>0.10630000000000001</v>
      </c>
      <c r="K82" s="699">
        <v>0.1024</v>
      </c>
      <c r="L82" s="697">
        <v>8</v>
      </c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158"/>
      <c r="BN82" s="158"/>
      <c r="BO82" s="158"/>
      <c r="BP82" s="158"/>
      <c r="BQ82" s="158"/>
      <c r="BR82" s="158"/>
      <c r="BS82" s="158"/>
      <c r="BT82" s="158"/>
      <c r="BU82" s="158"/>
      <c r="BV82" s="158"/>
      <c r="BW82" s="158"/>
      <c r="BX82" s="158"/>
      <c r="BY82" s="158"/>
      <c r="BZ82" s="158"/>
      <c r="CA82" s="158"/>
      <c r="CB82" s="158"/>
      <c r="CC82" s="158"/>
      <c r="CD82" s="158"/>
      <c r="CE82" s="158"/>
      <c r="CF82" s="158"/>
      <c r="CG82" s="158"/>
      <c r="CH82" s="158"/>
      <c r="CI82" s="158"/>
    </row>
    <row r="83" spans="1:87" ht="12" hidden="1" customHeight="1">
      <c r="A83" s="695">
        <v>39715</v>
      </c>
      <c r="B83" s="696" t="s">
        <v>859</v>
      </c>
      <c r="C83" s="697">
        <v>28</v>
      </c>
      <c r="D83" s="695">
        <v>39743</v>
      </c>
      <c r="E83" s="698">
        <v>40</v>
      </c>
      <c r="F83" s="698">
        <v>33.222200000000001</v>
      </c>
      <c r="G83" s="698">
        <v>30</v>
      </c>
      <c r="H83" s="698">
        <v>0</v>
      </c>
      <c r="I83" s="699">
        <v>9.3200000000000005E-2</v>
      </c>
      <c r="J83" s="699">
        <v>0.105</v>
      </c>
      <c r="K83" s="699">
        <v>9.4500000000000001E-2</v>
      </c>
      <c r="L83" s="697">
        <v>9</v>
      </c>
    </row>
    <row r="84" spans="1:87" s="441" customFormat="1" ht="12" hidden="1" customHeight="1">
      <c r="A84" s="695">
        <v>39723</v>
      </c>
      <c r="B84" s="696" t="s">
        <v>860</v>
      </c>
      <c r="C84" s="697">
        <v>27</v>
      </c>
      <c r="D84" s="695">
        <v>39750</v>
      </c>
      <c r="E84" s="698">
        <v>50</v>
      </c>
      <c r="F84" s="698">
        <v>21.464600000000001</v>
      </c>
      <c r="G84" s="698">
        <v>20.759399999999999</v>
      </c>
      <c r="H84" s="698">
        <v>0</v>
      </c>
      <c r="I84" s="699">
        <v>9.6699999999999994E-2</v>
      </c>
      <c r="J84" s="699">
        <v>0.1062</v>
      </c>
      <c r="K84" s="699">
        <v>0.1021</v>
      </c>
      <c r="L84" s="697">
        <v>9</v>
      </c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58"/>
      <c r="BN84" s="158"/>
      <c r="BO84" s="158"/>
      <c r="BP84" s="158"/>
      <c r="BQ84" s="158"/>
      <c r="BR84" s="158"/>
      <c r="BS84" s="158"/>
      <c r="BT84" s="158"/>
      <c r="BU84" s="158"/>
      <c r="BV84" s="158"/>
      <c r="BW84" s="158"/>
      <c r="BX84" s="158"/>
      <c r="BY84" s="158"/>
      <c r="BZ84" s="158"/>
      <c r="CA84" s="158"/>
      <c r="CB84" s="158"/>
      <c r="CC84" s="158"/>
      <c r="CD84" s="158"/>
      <c r="CE84" s="158"/>
      <c r="CF84" s="158"/>
      <c r="CG84" s="158"/>
      <c r="CH84" s="158"/>
      <c r="CI84" s="158"/>
    </row>
    <row r="85" spans="1:87" ht="12" hidden="1" customHeight="1">
      <c r="A85" s="695">
        <v>39729</v>
      </c>
      <c r="B85" s="696" t="s">
        <v>861</v>
      </c>
      <c r="C85" s="697">
        <v>28</v>
      </c>
      <c r="D85" s="695">
        <v>39757</v>
      </c>
      <c r="E85" s="698">
        <v>50</v>
      </c>
      <c r="F85" s="698">
        <v>48.946199999999997</v>
      </c>
      <c r="G85" s="698">
        <v>30</v>
      </c>
      <c r="H85" s="698">
        <v>0</v>
      </c>
      <c r="I85" s="699">
        <v>9.4500000000000001E-2</v>
      </c>
      <c r="J85" s="699">
        <v>0.10630000000000001</v>
      </c>
      <c r="K85" s="699">
        <v>9.8500000000000004E-2</v>
      </c>
      <c r="L85" s="697">
        <v>9</v>
      </c>
    </row>
    <row r="86" spans="1:87" s="441" customFormat="1" ht="12" hidden="1" customHeight="1">
      <c r="A86" s="695">
        <v>39737</v>
      </c>
      <c r="B86" s="696" t="s">
        <v>862</v>
      </c>
      <c r="C86" s="697">
        <v>27</v>
      </c>
      <c r="D86" s="695">
        <v>39764</v>
      </c>
      <c r="E86" s="698">
        <v>50</v>
      </c>
      <c r="F86" s="698">
        <v>28.395600000000002</v>
      </c>
      <c r="G86" s="698">
        <v>20</v>
      </c>
      <c r="H86" s="698">
        <v>0</v>
      </c>
      <c r="I86" s="699">
        <v>9.1300000000000006E-2</v>
      </c>
      <c r="J86" s="699">
        <v>9.6699999999999994E-2</v>
      </c>
      <c r="K86" s="699">
        <v>9.4E-2</v>
      </c>
      <c r="L86" s="697">
        <v>8</v>
      </c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58"/>
      <c r="BN86" s="158"/>
      <c r="BO86" s="158"/>
      <c r="BP86" s="158"/>
      <c r="BQ86" s="158"/>
      <c r="BR86" s="158"/>
      <c r="BS86" s="158"/>
      <c r="BT86" s="158"/>
      <c r="BU86" s="158"/>
      <c r="BV86" s="158"/>
      <c r="BW86" s="158"/>
      <c r="BX86" s="158"/>
      <c r="BY86" s="158"/>
      <c r="BZ86" s="158"/>
      <c r="CA86" s="158"/>
      <c r="CB86" s="158"/>
      <c r="CC86" s="158"/>
      <c r="CD86" s="158"/>
      <c r="CE86" s="158"/>
      <c r="CF86" s="158"/>
      <c r="CG86" s="158"/>
      <c r="CH86" s="158"/>
      <c r="CI86" s="158"/>
    </row>
    <row r="87" spans="1:87" ht="12" hidden="1" customHeight="1">
      <c r="A87" s="695">
        <v>39743</v>
      </c>
      <c r="B87" s="696" t="s">
        <v>863</v>
      </c>
      <c r="C87" s="697">
        <v>28</v>
      </c>
      <c r="D87" s="695">
        <v>39771</v>
      </c>
      <c r="E87" s="698">
        <v>50</v>
      </c>
      <c r="F87" s="698">
        <v>73.463999999999999</v>
      </c>
      <c r="G87" s="698">
        <v>25</v>
      </c>
      <c r="H87" s="698">
        <v>0</v>
      </c>
      <c r="I87" s="699">
        <v>8.2799999999999999E-2</v>
      </c>
      <c r="J87" s="699">
        <v>9.7199999999999995E-2</v>
      </c>
      <c r="K87" s="699">
        <v>8.4099999999999994E-2</v>
      </c>
      <c r="L87" s="697">
        <v>13</v>
      </c>
    </row>
    <row r="88" spans="1:87" ht="12.75" hidden="1" customHeight="1">
      <c r="A88" s="695">
        <v>39750</v>
      </c>
      <c r="B88" s="696" t="s">
        <v>864</v>
      </c>
      <c r="C88" s="697">
        <v>28</v>
      </c>
      <c r="D88" s="695">
        <v>39778</v>
      </c>
      <c r="E88" s="698">
        <v>30</v>
      </c>
      <c r="F88" s="698">
        <v>63.082500000000003</v>
      </c>
      <c r="G88" s="698">
        <v>25</v>
      </c>
      <c r="H88" s="698">
        <v>0</v>
      </c>
      <c r="I88" s="699">
        <v>6.2E-2</v>
      </c>
      <c r="J88" s="699">
        <v>9.5899999999999999E-2</v>
      </c>
      <c r="K88" s="699">
        <v>6.3299999999999995E-2</v>
      </c>
      <c r="L88" s="697">
        <v>7</v>
      </c>
    </row>
    <row r="89" spans="1:87" ht="12.75" hidden="1" customHeight="1">
      <c r="A89" s="695">
        <v>39757</v>
      </c>
      <c r="B89" s="696" t="s">
        <v>865</v>
      </c>
      <c r="C89" s="697">
        <v>28</v>
      </c>
      <c r="D89" s="695">
        <v>39785</v>
      </c>
      <c r="E89" s="698">
        <v>50</v>
      </c>
      <c r="F89" s="698">
        <v>45.357799999999997</v>
      </c>
      <c r="G89" s="698">
        <v>35</v>
      </c>
      <c r="H89" s="698">
        <v>0</v>
      </c>
      <c r="I89" s="699">
        <v>0.04</v>
      </c>
      <c r="J89" s="699">
        <v>8.0199999999999994E-2</v>
      </c>
      <c r="K89" s="699">
        <v>5.8099999999999999E-2</v>
      </c>
      <c r="L89" s="697">
        <v>9</v>
      </c>
    </row>
    <row r="90" spans="1:87" ht="12" hidden="1" customHeight="1">
      <c r="A90" s="695">
        <v>39764</v>
      </c>
      <c r="B90" s="696" t="s">
        <v>866</v>
      </c>
      <c r="C90" s="697">
        <v>28</v>
      </c>
      <c r="D90" s="695">
        <v>39792</v>
      </c>
      <c r="E90" s="698">
        <v>50</v>
      </c>
      <c r="F90" s="698">
        <v>40.959400000000002</v>
      </c>
      <c r="G90" s="698">
        <v>30</v>
      </c>
      <c r="H90" s="698">
        <v>0</v>
      </c>
      <c r="I90" s="699">
        <v>0.04</v>
      </c>
      <c r="J90" s="699">
        <v>8.1500000000000003E-2</v>
      </c>
      <c r="K90" s="699">
        <v>7.6300000000000007E-2</v>
      </c>
      <c r="L90" s="697">
        <v>10</v>
      </c>
    </row>
    <row r="91" spans="1:87" ht="12.75" hidden="1" customHeight="1">
      <c r="A91" s="695">
        <v>39771</v>
      </c>
      <c r="B91" s="696" t="s">
        <v>867</v>
      </c>
      <c r="C91" s="697">
        <v>28</v>
      </c>
      <c r="D91" s="695">
        <v>39799</v>
      </c>
      <c r="E91" s="698">
        <v>50</v>
      </c>
      <c r="F91" s="698">
        <v>79.031400000000005</v>
      </c>
      <c r="G91" s="698">
        <v>30</v>
      </c>
      <c r="H91" s="698">
        <v>0</v>
      </c>
      <c r="I91" s="699">
        <v>5.9400000000000001E-2</v>
      </c>
      <c r="J91" s="699">
        <v>6.0699999999999997E-2</v>
      </c>
      <c r="K91" s="699">
        <v>5.9400000000000001E-2</v>
      </c>
      <c r="L91" s="697">
        <v>10</v>
      </c>
    </row>
    <row r="92" spans="1:87" ht="12" hidden="1" customHeight="1">
      <c r="A92" s="695">
        <v>39778</v>
      </c>
      <c r="B92" s="696" t="s">
        <v>868</v>
      </c>
      <c r="C92" s="697">
        <v>28</v>
      </c>
      <c r="D92" s="695">
        <v>39806</v>
      </c>
      <c r="E92" s="698">
        <v>50</v>
      </c>
      <c r="F92" s="698">
        <v>49.840800000000002</v>
      </c>
      <c r="G92" s="698">
        <v>30</v>
      </c>
      <c r="H92" s="698">
        <v>0</v>
      </c>
      <c r="I92" s="699">
        <v>5.0299999999999997E-2</v>
      </c>
      <c r="J92" s="699">
        <v>5.5500000000000001E-2</v>
      </c>
      <c r="K92" s="699">
        <v>5.4199999999999998E-2</v>
      </c>
      <c r="L92" s="697">
        <v>10</v>
      </c>
    </row>
    <row r="93" spans="1:87" ht="12.75" hidden="1" customHeight="1">
      <c r="A93" s="695">
        <v>39785</v>
      </c>
      <c r="B93" s="696" t="s">
        <v>869</v>
      </c>
      <c r="C93" s="697">
        <v>27</v>
      </c>
      <c r="D93" s="695">
        <v>39812</v>
      </c>
      <c r="E93" s="698">
        <v>50</v>
      </c>
      <c r="F93" s="698">
        <v>56.777200000000001</v>
      </c>
      <c r="G93" s="698">
        <v>40</v>
      </c>
      <c r="H93" s="698">
        <v>0</v>
      </c>
      <c r="I93" s="699">
        <v>4.0099999999999997E-2</v>
      </c>
      <c r="J93" s="699">
        <v>4.82E-2</v>
      </c>
      <c r="K93" s="699">
        <v>4.41E-2</v>
      </c>
      <c r="L93" s="697">
        <v>8</v>
      </c>
    </row>
    <row r="94" spans="1:87" ht="12" hidden="1" customHeight="1">
      <c r="A94" s="695">
        <v>39792</v>
      </c>
      <c r="B94" s="696" t="s">
        <v>870</v>
      </c>
      <c r="C94" s="697">
        <v>28</v>
      </c>
      <c r="D94" s="695">
        <v>39820</v>
      </c>
      <c r="E94" s="698">
        <v>50</v>
      </c>
      <c r="F94" s="698">
        <v>43.443199999999997</v>
      </c>
      <c r="G94" s="698">
        <v>38</v>
      </c>
      <c r="H94" s="698">
        <v>0</v>
      </c>
      <c r="I94" s="699">
        <v>0.04</v>
      </c>
      <c r="J94" s="699">
        <v>4.65E-2</v>
      </c>
      <c r="K94" s="699">
        <v>4.2599999999999999E-2</v>
      </c>
      <c r="L94" s="697">
        <v>8</v>
      </c>
    </row>
    <row r="95" spans="1:87" ht="12.75" hidden="1" customHeight="1">
      <c r="A95" s="695">
        <v>39799</v>
      </c>
      <c r="B95" s="696" t="s">
        <v>871</v>
      </c>
      <c r="C95" s="697">
        <v>28</v>
      </c>
      <c r="D95" s="695">
        <v>39827</v>
      </c>
      <c r="E95" s="698">
        <v>50</v>
      </c>
      <c r="F95" s="698">
        <v>42.690399999999997</v>
      </c>
      <c r="G95" s="698">
        <v>40</v>
      </c>
      <c r="H95" s="698">
        <v>0</v>
      </c>
      <c r="I95" s="699">
        <v>0.04</v>
      </c>
      <c r="J95" s="699">
        <v>4.2599999999999999E-2</v>
      </c>
      <c r="K95" s="699">
        <v>4.1300000000000003E-2</v>
      </c>
      <c r="L95" s="697">
        <v>6</v>
      </c>
    </row>
    <row r="96" spans="1:87" ht="12" hidden="1" customHeight="1">
      <c r="A96" s="695">
        <v>39806</v>
      </c>
      <c r="B96" s="696" t="s">
        <v>872</v>
      </c>
      <c r="C96" s="697">
        <v>28</v>
      </c>
      <c r="D96" s="695">
        <v>39834</v>
      </c>
      <c r="E96" s="698">
        <v>50</v>
      </c>
      <c r="F96" s="698">
        <v>57.232599999999998</v>
      </c>
      <c r="G96" s="698">
        <v>40</v>
      </c>
      <c r="H96" s="698">
        <v>0</v>
      </c>
      <c r="I96" s="699">
        <v>3.7400000000000003E-2</v>
      </c>
      <c r="J96" s="699">
        <v>5.5500000000000001E-2</v>
      </c>
      <c r="K96" s="699">
        <v>5.16E-2</v>
      </c>
      <c r="L96" s="697">
        <v>8</v>
      </c>
    </row>
    <row r="97" spans="1:12" ht="12.75" hidden="1" customHeight="1">
      <c r="A97" s="695">
        <v>39812</v>
      </c>
      <c r="B97" s="696" t="s">
        <v>873</v>
      </c>
      <c r="C97" s="697">
        <v>29</v>
      </c>
      <c r="D97" s="695">
        <v>39841</v>
      </c>
      <c r="E97" s="698">
        <v>50</v>
      </c>
      <c r="F97" s="698">
        <v>31.8766</v>
      </c>
      <c r="G97" s="698">
        <v>31.8766</v>
      </c>
      <c r="H97" s="698">
        <v>0</v>
      </c>
      <c r="I97" s="699">
        <v>4.1099999999999998E-2</v>
      </c>
      <c r="J97" s="699">
        <v>5.4899999999999997E-2</v>
      </c>
      <c r="K97" s="699">
        <v>4.7399999999999998E-2</v>
      </c>
      <c r="L97" s="697">
        <v>6</v>
      </c>
    </row>
    <row r="98" spans="1:12" ht="12.75" hidden="1" customHeight="1">
      <c r="A98" s="695">
        <v>39820</v>
      </c>
      <c r="B98" s="696" t="s">
        <v>874</v>
      </c>
      <c r="C98" s="697">
        <v>28</v>
      </c>
      <c r="D98" s="695">
        <v>39848</v>
      </c>
      <c r="E98" s="698">
        <v>50</v>
      </c>
      <c r="F98" s="698">
        <v>66.069999999999993</v>
      </c>
      <c r="G98" s="698">
        <v>40</v>
      </c>
      <c r="H98" s="698">
        <v>0</v>
      </c>
      <c r="I98" s="699">
        <v>4.1300000000000003E-2</v>
      </c>
      <c r="J98" s="699">
        <v>4.2599999999999999E-2</v>
      </c>
      <c r="K98" s="699">
        <v>4.2599999999999999E-2</v>
      </c>
      <c r="L98" s="697">
        <v>10</v>
      </c>
    </row>
    <row r="99" spans="1:12" ht="12" hidden="1" customHeight="1">
      <c r="A99" s="695">
        <v>39827</v>
      </c>
      <c r="B99" s="696" t="s">
        <v>875</v>
      </c>
      <c r="C99" s="697">
        <v>28</v>
      </c>
      <c r="D99" s="695">
        <v>39855</v>
      </c>
      <c r="E99" s="698">
        <v>60</v>
      </c>
      <c r="F99" s="698">
        <v>18.383600000000001</v>
      </c>
      <c r="G99" s="698">
        <v>18.383600000000001</v>
      </c>
      <c r="H99" s="698">
        <v>0</v>
      </c>
      <c r="I99" s="699">
        <v>0.04</v>
      </c>
      <c r="J99" s="699">
        <v>5.9400000000000001E-2</v>
      </c>
      <c r="K99" s="699">
        <v>4.5199999999999997E-2</v>
      </c>
      <c r="L99" s="697">
        <v>6</v>
      </c>
    </row>
    <row r="100" spans="1:12" ht="12.75" hidden="1" customHeight="1">
      <c r="A100" s="695">
        <v>39834</v>
      </c>
      <c r="B100" s="696" t="s">
        <v>876</v>
      </c>
      <c r="C100" s="697">
        <v>28</v>
      </c>
      <c r="D100" s="695">
        <v>39862</v>
      </c>
      <c r="E100" s="698">
        <v>60</v>
      </c>
      <c r="F100" s="698">
        <v>31.502310000000001</v>
      </c>
      <c r="G100" s="698">
        <v>22.69</v>
      </c>
      <c r="H100" s="698">
        <v>-16.034199999999998</v>
      </c>
      <c r="I100" s="699">
        <v>4.3900000000000002E-2</v>
      </c>
      <c r="J100" s="699">
        <v>4.65E-2</v>
      </c>
      <c r="K100" s="699">
        <v>4.5199999999999997E-2</v>
      </c>
      <c r="L100" s="697">
        <v>6</v>
      </c>
    </row>
    <row r="101" spans="1:12" ht="12" hidden="1" customHeight="1">
      <c r="A101" s="695">
        <v>39841</v>
      </c>
      <c r="B101" s="696" t="s">
        <v>877</v>
      </c>
      <c r="C101" s="697">
        <v>28</v>
      </c>
      <c r="D101" s="695">
        <v>39869</v>
      </c>
      <c r="E101" s="698">
        <v>30</v>
      </c>
      <c r="F101" s="698">
        <v>35.134234999999997</v>
      </c>
      <c r="G101" s="698">
        <v>20</v>
      </c>
      <c r="H101" s="698">
        <v>-2.4868000000000001</v>
      </c>
      <c r="I101" s="699">
        <v>3.8699999999999998E-2</v>
      </c>
      <c r="J101" s="699">
        <v>0.04</v>
      </c>
      <c r="K101" s="699">
        <v>3.8699999999999998E-2</v>
      </c>
      <c r="L101" s="697">
        <v>8</v>
      </c>
    </row>
    <row r="102" spans="1:12" ht="12" hidden="1" customHeight="1">
      <c r="A102" s="695">
        <v>39848</v>
      </c>
      <c r="B102" s="696" t="s">
        <v>878</v>
      </c>
      <c r="C102" s="697">
        <v>28</v>
      </c>
      <c r="D102" s="695">
        <v>39876</v>
      </c>
      <c r="E102" s="698">
        <v>50</v>
      </c>
      <c r="F102" s="698">
        <v>47.456000000000003</v>
      </c>
      <c r="G102" s="698">
        <v>30</v>
      </c>
      <c r="H102" s="698">
        <v>-5.7148000000000003</v>
      </c>
      <c r="I102" s="699">
        <v>2.58E-2</v>
      </c>
      <c r="J102" s="699">
        <v>3.2199999999999999E-2</v>
      </c>
      <c r="K102" s="699">
        <v>3.09E-2</v>
      </c>
      <c r="L102" s="697">
        <v>6</v>
      </c>
    </row>
    <row r="103" spans="1:12" ht="12" hidden="1" customHeight="1">
      <c r="A103" s="695">
        <v>39855</v>
      </c>
      <c r="B103" s="696" t="s">
        <v>879</v>
      </c>
      <c r="C103" s="697">
        <v>28</v>
      </c>
      <c r="D103" s="695">
        <v>39883</v>
      </c>
      <c r="E103" s="698">
        <v>40</v>
      </c>
      <c r="F103" s="698">
        <v>2.0036</v>
      </c>
      <c r="G103" s="698">
        <v>2.0036</v>
      </c>
      <c r="H103" s="698">
        <v>0</v>
      </c>
      <c r="I103" s="699">
        <v>2.9600000000000001E-2</v>
      </c>
      <c r="J103" s="699">
        <v>2.9600000000000001E-2</v>
      </c>
      <c r="K103" s="699">
        <v>2.9600000000000001E-2</v>
      </c>
      <c r="L103" s="697">
        <v>1</v>
      </c>
    </row>
    <row r="104" spans="1:12" ht="12" hidden="1" customHeight="1">
      <c r="A104" s="695">
        <v>39862</v>
      </c>
      <c r="B104" s="696" t="s">
        <v>520</v>
      </c>
      <c r="C104" s="697">
        <v>27</v>
      </c>
      <c r="D104" s="695">
        <v>39889</v>
      </c>
      <c r="E104" s="698">
        <v>20</v>
      </c>
      <c r="F104" s="698">
        <v>8.3133999999999997</v>
      </c>
      <c r="G104" s="698">
        <v>8.3133999999999997</v>
      </c>
      <c r="H104" s="698">
        <v>0</v>
      </c>
      <c r="I104" s="699">
        <v>4.0099999999999997E-2</v>
      </c>
      <c r="J104" s="699">
        <v>4.82E-2</v>
      </c>
      <c r="K104" s="699">
        <v>4.5499999999999999E-2</v>
      </c>
      <c r="L104" s="697">
        <v>3</v>
      </c>
    </row>
    <row r="105" spans="1:12" ht="12" hidden="1" customHeight="1">
      <c r="A105" s="695">
        <v>39869</v>
      </c>
      <c r="B105" s="696" t="s">
        <v>880</v>
      </c>
      <c r="C105" s="697">
        <v>28</v>
      </c>
      <c r="D105" s="695">
        <v>39897</v>
      </c>
      <c r="E105" s="698">
        <v>20</v>
      </c>
      <c r="F105" s="698">
        <v>3.0095999999999998</v>
      </c>
      <c r="G105" s="698">
        <v>3.0096000000000003</v>
      </c>
      <c r="H105" s="698">
        <v>0</v>
      </c>
      <c r="I105" s="699">
        <v>4.1300000000000003E-2</v>
      </c>
      <c r="J105" s="699">
        <v>4.9000000000000002E-2</v>
      </c>
      <c r="K105" s="699">
        <v>4.5199999999999997E-2</v>
      </c>
      <c r="L105" s="697">
        <v>3</v>
      </c>
    </row>
    <row r="106" spans="1:12" ht="12" hidden="1" customHeight="1">
      <c r="A106" s="695">
        <v>39876</v>
      </c>
      <c r="B106" s="696" t="s">
        <v>881</v>
      </c>
      <c r="C106" s="697">
        <v>28</v>
      </c>
      <c r="D106" s="695">
        <v>39904</v>
      </c>
      <c r="E106" s="698">
        <v>20</v>
      </c>
      <c r="F106" s="698">
        <v>20.960999999999999</v>
      </c>
      <c r="G106" s="698">
        <v>10</v>
      </c>
      <c r="H106" s="698">
        <v>-3.1859999999999999</v>
      </c>
      <c r="I106" s="699">
        <v>2.7099999999999999E-2</v>
      </c>
      <c r="J106" s="699">
        <v>2.9600000000000001E-2</v>
      </c>
      <c r="K106" s="699">
        <v>2.8299999999999999E-2</v>
      </c>
      <c r="L106" s="697">
        <v>4</v>
      </c>
    </row>
    <row r="107" spans="1:12" ht="12" hidden="1" customHeight="1">
      <c r="A107" s="695">
        <v>39883</v>
      </c>
      <c r="B107" s="696" t="s">
        <v>882</v>
      </c>
      <c r="C107" s="697">
        <v>28</v>
      </c>
      <c r="D107" s="695">
        <v>39911</v>
      </c>
      <c r="E107" s="698">
        <v>10</v>
      </c>
      <c r="F107" s="698">
        <v>11.014799999999999</v>
      </c>
      <c r="G107" s="698">
        <v>5</v>
      </c>
      <c r="H107" s="698">
        <v>0</v>
      </c>
      <c r="I107" s="699">
        <v>2.8299999999999999E-2</v>
      </c>
      <c r="J107" s="699">
        <v>2.8299999999999999E-2</v>
      </c>
      <c r="K107" s="699">
        <v>2.8299999999999999E-2</v>
      </c>
      <c r="L107" s="697">
        <v>2</v>
      </c>
    </row>
    <row r="108" spans="1:12" ht="12" hidden="1" customHeight="1">
      <c r="A108" s="695">
        <v>39889</v>
      </c>
      <c r="B108" s="696" t="s">
        <v>883</v>
      </c>
      <c r="C108" s="697">
        <v>29</v>
      </c>
      <c r="D108" s="695">
        <v>39918</v>
      </c>
      <c r="E108" s="698">
        <v>15</v>
      </c>
      <c r="F108" s="698">
        <v>3.0392000000000001</v>
      </c>
      <c r="G108" s="698">
        <v>3.0392000000000001</v>
      </c>
      <c r="H108" s="698">
        <v>0</v>
      </c>
      <c r="I108" s="699">
        <v>2.6100000000000002E-2</v>
      </c>
      <c r="J108" s="699">
        <v>2.7400000000000001E-2</v>
      </c>
      <c r="K108" s="699">
        <v>2.6100000000000002E-2</v>
      </c>
      <c r="L108" s="697">
        <v>2</v>
      </c>
    </row>
    <row r="109" spans="1:12" ht="12" hidden="1" customHeight="1">
      <c r="A109" s="695">
        <v>39904</v>
      </c>
      <c r="B109" s="696" t="s">
        <v>884</v>
      </c>
      <c r="C109" s="697">
        <v>28</v>
      </c>
      <c r="D109" s="695">
        <v>39932</v>
      </c>
      <c r="E109" s="698">
        <v>20</v>
      </c>
      <c r="F109" s="698">
        <v>16.745000000000001</v>
      </c>
      <c r="G109" s="698">
        <v>5</v>
      </c>
      <c r="H109" s="698">
        <v>0</v>
      </c>
      <c r="I109" s="699">
        <v>2.4500000000000001E-2</v>
      </c>
      <c r="J109" s="699">
        <v>2.4500000000000001E-2</v>
      </c>
      <c r="K109" s="699">
        <v>2.4500000000000001E-2</v>
      </c>
      <c r="L109" s="697">
        <v>3</v>
      </c>
    </row>
    <row r="110" spans="1:12" ht="12" hidden="1" customHeight="1">
      <c r="A110" s="695">
        <v>39911</v>
      </c>
      <c r="B110" s="696" t="s">
        <v>885</v>
      </c>
      <c r="C110" s="697">
        <v>28</v>
      </c>
      <c r="D110" s="695">
        <v>39939</v>
      </c>
      <c r="E110" s="698">
        <v>5</v>
      </c>
      <c r="F110" s="698">
        <v>9.0175999999999998</v>
      </c>
      <c r="G110" s="698">
        <v>5</v>
      </c>
      <c r="H110" s="698">
        <v>0</v>
      </c>
      <c r="I110" s="699">
        <v>2.06E-2</v>
      </c>
      <c r="J110" s="699">
        <v>2.4500000000000001E-2</v>
      </c>
      <c r="K110" s="699">
        <v>2.1899999999999999E-2</v>
      </c>
      <c r="L110" s="697">
        <v>3</v>
      </c>
    </row>
    <row r="111" spans="1:12" ht="12" hidden="1" customHeight="1">
      <c r="A111" s="695">
        <v>39918</v>
      </c>
      <c r="B111" s="696" t="s">
        <v>886</v>
      </c>
      <c r="C111" s="697">
        <v>28</v>
      </c>
      <c r="D111" s="695">
        <v>39946</v>
      </c>
      <c r="E111" s="698">
        <v>5</v>
      </c>
      <c r="F111" s="698">
        <v>8.7363999999999997</v>
      </c>
      <c r="G111" s="698">
        <v>5</v>
      </c>
      <c r="H111" s="698">
        <v>0</v>
      </c>
      <c r="I111" s="699">
        <v>2.3199999999999998E-2</v>
      </c>
      <c r="J111" s="699">
        <v>2.7099999999999999E-2</v>
      </c>
      <c r="K111" s="699">
        <v>2.58E-2</v>
      </c>
      <c r="L111" s="697">
        <v>4</v>
      </c>
    </row>
    <row r="112" spans="1:12" ht="12" hidden="1" customHeight="1">
      <c r="A112" s="695">
        <v>39925</v>
      </c>
      <c r="B112" s="696" t="s">
        <v>887</v>
      </c>
      <c r="C112" s="697">
        <v>28</v>
      </c>
      <c r="D112" s="695">
        <v>39953</v>
      </c>
      <c r="E112" s="698">
        <v>5</v>
      </c>
      <c r="F112" s="698">
        <v>9.0117999999999991</v>
      </c>
      <c r="G112" s="698">
        <v>5</v>
      </c>
      <c r="H112" s="698">
        <v>0</v>
      </c>
      <c r="I112" s="699">
        <v>2.4500000000000001E-2</v>
      </c>
      <c r="J112" s="699">
        <v>2.7099999999999999E-2</v>
      </c>
      <c r="K112" s="699">
        <v>2.58E-2</v>
      </c>
      <c r="L112" s="697">
        <v>4</v>
      </c>
    </row>
    <row r="113" spans="1:12" ht="12" hidden="1" customHeight="1">
      <c r="A113" s="695">
        <v>39932</v>
      </c>
      <c r="B113" s="696" t="s">
        <v>888</v>
      </c>
      <c r="C113" s="697">
        <v>28</v>
      </c>
      <c r="D113" s="695">
        <v>39960</v>
      </c>
      <c r="E113" s="698">
        <v>4</v>
      </c>
      <c r="F113" s="698">
        <v>10.016</v>
      </c>
      <c r="G113" s="698">
        <v>4</v>
      </c>
      <c r="H113" s="698">
        <v>0</v>
      </c>
      <c r="I113" s="699">
        <v>2.3199999999999998E-2</v>
      </c>
      <c r="J113" s="699">
        <v>2.4500000000000001E-2</v>
      </c>
      <c r="K113" s="699">
        <v>2.3199999999999998E-2</v>
      </c>
      <c r="L113" s="697">
        <v>5</v>
      </c>
    </row>
    <row r="114" spans="1:12" ht="12" hidden="1" customHeight="1">
      <c r="A114" s="695">
        <v>39939</v>
      </c>
      <c r="B114" s="696" t="s">
        <v>889</v>
      </c>
      <c r="C114" s="697">
        <v>28</v>
      </c>
      <c r="D114" s="695">
        <v>39967</v>
      </c>
      <c r="E114" s="698">
        <v>5</v>
      </c>
      <c r="F114" s="698">
        <v>9.3989999999999991</v>
      </c>
      <c r="G114" s="698">
        <v>4</v>
      </c>
      <c r="H114" s="698">
        <v>0</v>
      </c>
      <c r="I114" s="699">
        <v>2.06E-2</v>
      </c>
      <c r="J114" s="699">
        <v>2.06E-2</v>
      </c>
      <c r="K114" s="699">
        <v>2.06E-2</v>
      </c>
      <c r="L114" s="697">
        <v>3</v>
      </c>
    </row>
    <row r="115" spans="1:12" ht="12" hidden="1" customHeight="1">
      <c r="A115" s="695">
        <v>39946</v>
      </c>
      <c r="B115" s="696" t="s">
        <v>890</v>
      </c>
      <c r="C115" s="697">
        <v>28</v>
      </c>
      <c r="D115" s="695">
        <v>39974</v>
      </c>
      <c r="E115" s="698">
        <v>5</v>
      </c>
      <c r="F115" s="698">
        <v>9.8331999999999997</v>
      </c>
      <c r="G115" s="698">
        <v>4</v>
      </c>
      <c r="H115" s="698">
        <v>0</v>
      </c>
      <c r="I115" s="699">
        <v>1.7999999999999999E-2</v>
      </c>
      <c r="J115" s="699">
        <v>1.9300000000000001E-2</v>
      </c>
      <c r="K115" s="699">
        <v>1.9300000000000001E-2</v>
      </c>
      <c r="L115" s="697">
        <v>4</v>
      </c>
    </row>
    <row r="116" spans="1:12" ht="12" hidden="1" customHeight="1">
      <c r="A116" s="695">
        <v>39953</v>
      </c>
      <c r="B116" s="696" t="s">
        <v>891</v>
      </c>
      <c r="C116" s="697">
        <v>28</v>
      </c>
      <c r="D116" s="695">
        <v>39981</v>
      </c>
      <c r="E116" s="698">
        <v>5</v>
      </c>
      <c r="F116" s="698">
        <v>14.9474</v>
      </c>
      <c r="G116" s="698">
        <v>4</v>
      </c>
      <c r="H116" s="698">
        <v>0</v>
      </c>
      <c r="I116" s="699">
        <v>1.4200000000000001E-2</v>
      </c>
      <c r="J116" s="699">
        <v>1.67E-2</v>
      </c>
      <c r="K116" s="699">
        <v>1.4200000000000001E-2</v>
      </c>
      <c r="L116" s="697">
        <v>5</v>
      </c>
    </row>
    <row r="117" spans="1:12" ht="12" hidden="1" customHeight="1">
      <c r="A117" s="695">
        <v>39967</v>
      </c>
      <c r="B117" s="696" t="s">
        <v>892</v>
      </c>
      <c r="C117" s="697">
        <v>28</v>
      </c>
      <c r="D117" s="695">
        <v>39995</v>
      </c>
      <c r="E117" s="698">
        <v>5</v>
      </c>
      <c r="F117" s="698">
        <v>9.8274000000000008</v>
      </c>
      <c r="G117" s="698">
        <v>4</v>
      </c>
      <c r="H117" s="698">
        <v>0</v>
      </c>
      <c r="I117" s="699">
        <v>1.03E-2</v>
      </c>
      <c r="J117" s="699">
        <v>1.1599999999999999E-2</v>
      </c>
      <c r="K117" s="699">
        <v>1.03E-2</v>
      </c>
      <c r="L117" s="697">
        <v>3</v>
      </c>
    </row>
    <row r="118" spans="1:12" ht="12" hidden="1" customHeight="1">
      <c r="A118" s="695">
        <v>39974</v>
      </c>
      <c r="B118" s="696" t="s">
        <v>893</v>
      </c>
      <c r="C118" s="697">
        <v>28</v>
      </c>
      <c r="D118" s="695">
        <v>40002</v>
      </c>
      <c r="E118" s="698">
        <v>5</v>
      </c>
      <c r="F118" s="698">
        <v>6.6021999999999998</v>
      </c>
      <c r="G118" s="698">
        <v>4</v>
      </c>
      <c r="H118" s="698">
        <v>0</v>
      </c>
      <c r="I118" s="699">
        <v>1.1599999999999999E-2</v>
      </c>
      <c r="J118" s="699">
        <v>1.1599999999999999E-2</v>
      </c>
      <c r="K118" s="699">
        <v>1.1599999999999999E-2</v>
      </c>
      <c r="L118" s="697">
        <v>2</v>
      </c>
    </row>
    <row r="119" spans="1:12" ht="12" hidden="1" customHeight="1">
      <c r="A119" s="695">
        <v>39981</v>
      </c>
      <c r="B119" s="696" t="s">
        <v>894</v>
      </c>
      <c r="C119" s="697">
        <v>28</v>
      </c>
      <c r="D119" s="695">
        <v>40009</v>
      </c>
      <c r="E119" s="698">
        <v>5</v>
      </c>
      <c r="F119" s="698">
        <v>4.0128000000000004</v>
      </c>
      <c r="G119" s="698">
        <v>4</v>
      </c>
      <c r="H119" s="698">
        <v>0</v>
      </c>
      <c r="I119" s="699">
        <v>1.03E-2</v>
      </c>
      <c r="J119" s="699">
        <v>1.1599999999999999E-2</v>
      </c>
      <c r="K119" s="699">
        <v>1.03E-2</v>
      </c>
      <c r="L119" s="697">
        <v>2</v>
      </c>
    </row>
    <row r="120" spans="1:12" ht="12" hidden="1" customHeight="1">
      <c r="A120" s="695">
        <v>39988</v>
      </c>
      <c r="B120" s="696" t="s">
        <v>895</v>
      </c>
      <c r="C120" s="697">
        <v>28</v>
      </c>
      <c r="D120" s="695">
        <v>40016</v>
      </c>
      <c r="E120" s="698">
        <v>5</v>
      </c>
      <c r="F120" s="698">
        <v>5.8</v>
      </c>
      <c r="G120" s="698">
        <v>4</v>
      </c>
      <c r="H120" s="698">
        <v>0</v>
      </c>
      <c r="I120" s="699">
        <v>1.03E-2</v>
      </c>
      <c r="J120" s="699">
        <v>1.4200000000000001E-2</v>
      </c>
      <c r="K120" s="699">
        <v>1.1599999999999999E-2</v>
      </c>
      <c r="L120" s="697">
        <v>2</v>
      </c>
    </row>
    <row r="121" spans="1:12" ht="12" hidden="1" customHeight="1">
      <c r="A121" s="695">
        <v>39995</v>
      </c>
      <c r="B121" s="696" t="s">
        <v>896</v>
      </c>
      <c r="C121" s="697">
        <v>28</v>
      </c>
      <c r="D121" s="695">
        <v>40023</v>
      </c>
      <c r="E121" s="698">
        <v>5</v>
      </c>
      <c r="F121" s="698">
        <v>9.2256</v>
      </c>
      <c r="G121" s="698">
        <v>4</v>
      </c>
      <c r="H121" s="698">
        <v>0</v>
      </c>
      <c r="I121" s="699">
        <v>1.29E-2</v>
      </c>
      <c r="J121" s="699">
        <v>1.4200000000000001E-2</v>
      </c>
      <c r="K121" s="699">
        <v>1.29E-2</v>
      </c>
      <c r="L121" s="697">
        <v>3</v>
      </c>
    </row>
    <row r="122" spans="1:12" ht="12" hidden="1" customHeight="1">
      <c r="A122" s="695">
        <v>40002</v>
      </c>
      <c r="B122" s="696" t="s">
        <v>897</v>
      </c>
      <c r="C122" s="697">
        <v>28</v>
      </c>
      <c r="D122" s="695">
        <v>40030</v>
      </c>
      <c r="E122" s="698">
        <v>5</v>
      </c>
      <c r="F122" s="698">
        <v>10.004200000000001</v>
      </c>
      <c r="G122" s="698">
        <v>4</v>
      </c>
      <c r="H122" s="698">
        <v>0</v>
      </c>
      <c r="I122" s="699">
        <v>1.03E-2</v>
      </c>
      <c r="J122" s="699">
        <v>1.1599999999999999E-2</v>
      </c>
      <c r="K122" s="699">
        <v>1.03E-2</v>
      </c>
      <c r="L122" s="697">
        <v>3</v>
      </c>
    </row>
    <row r="123" spans="1:12" ht="12" hidden="1" customHeight="1">
      <c r="A123" s="695">
        <v>40009</v>
      </c>
      <c r="B123" s="696" t="s">
        <v>898</v>
      </c>
      <c r="C123" s="697">
        <v>28</v>
      </c>
      <c r="D123" s="695">
        <v>40037</v>
      </c>
      <c r="E123" s="698">
        <v>5</v>
      </c>
      <c r="F123" s="698">
        <v>3.9054000000000002</v>
      </c>
      <c r="G123" s="698">
        <v>3.9054000000000002</v>
      </c>
      <c r="H123" s="698">
        <v>0</v>
      </c>
      <c r="I123" s="699">
        <v>1.03E-2</v>
      </c>
      <c r="J123" s="699">
        <v>1.03E-2</v>
      </c>
      <c r="K123" s="699">
        <v>1.03E-2</v>
      </c>
      <c r="L123" s="697">
        <v>1</v>
      </c>
    </row>
    <row r="124" spans="1:12" ht="12" hidden="1" customHeight="1">
      <c r="A124" s="695">
        <v>40016</v>
      </c>
      <c r="B124" s="696" t="s">
        <v>899</v>
      </c>
      <c r="C124" s="697">
        <v>28</v>
      </c>
      <c r="D124" s="695">
        <v>40044</v>
      </c>
      <c r="E124" s="698">
        <v>5</v>
      </c>
      <c r="F124" s="698">
        <v>8.5508000000000006</v>
      </c>
      <c r="G124" s="698">
        <v>4</v>
      </c>
      <c r="H124" s="698">
        <v>0</v>
      </c>
      <c r="I124" s="699">
        <v>1.03E-2</v>
      </c>
      <c r="J124" s="699">
        <v>1.03E-2</v>
      </c>
      <c r="K124" s="699">
        <v>1.03E-2</v>
      </c>
      <c r="L124" s="697">
        <v>2</v>
      </c>
    </row>
    <row r="125" spans="1:12" ht="12" hidden="1" customHeight="1">
      <c r="A125" s="695">
        <v>40023</v>
      </c>
      <c r="B125" s="696" t="s">
        <v>900</v>
      </c>
      <c r="C125" s="697">
        <v>28</v>
      </c>
      <c r="D125" s="695">
        <v>40051</v>
      </c>
      <c r="E125" s="698">
        <v>5</v>
      </c>
      <c r="F125" s="698">
        <v>10.012</v>
      </c>
      <c r="G125" s="698">
        <v>0</v>
      </c>
      <c r="H125" s="698">
        <v>0</v>
      </c>
      <c r="I125" s="699">
        <v>0</v>
      </c>
      <c r="J125" s="699">
        <v>0</v>
      </c>
      <c r="K125" s="699">
        <v>0</v>
      </c>
      <c r="L125" s="697">
        <v>3</v>
      </c>
    </row>
    <row r="126" spans="1:12" ht="12" hidden="1" customHeight="1">
      <c r="A126" s="695">
        <v>40030</v>
      </c>
      <c r="B126" s="696" t="s">
        <v>901</v>
      </c>
      <c r="C126" s="697">
        <v>28</v>
      </c>
      <c r="D126" s="695">
        <v>40058</v>
      </c>
      <c r="E126" s="698">
        <v>5</v>
      </c>
      <c r="F126" s="698">
        <v>6.4020000000000001</v>
      </c>
      <c r="G126" s="698">
        <v>4</v>
      </c>
      <c r="H126" s="698">
        <v>0</v>
      </c>
      <c r="I126" s="699">
        <v>1.0500000000000001E-2</v>
      </c>
      <c r="J126" s="699">
        <v>1.0500000000000001E-2</v>
      </c>
      <c r="K126" s="699">
        <v>1.0500000000000001E-2</v>
      </c>
      <c r="L126" s="697">
        <v>5</v>
      </c>
    </row>
    <row r="127" spans="1:12" ht="12" hidden="1" customHeight="1">
      <c r="A127" s="695">
        <v>40037</v>
      </c>
      <c r="B127" s="696" t="s">
        <v>902</v>
      </c>
      <c r="C127" s="697">
        <v>28</v>
      </c>
      <c r="D127" s="695">
        <v>40065</v>
      </c>
      <c r="E127" s="698">
        <v>5</v>
      </c>
      <c r="F127" s="698">
        <v>7.8011999999999997</v>
      </c>
      <c r="G127" s="698">
        <v>4</v>
      </c>
      <c r="H127" s="698">
        <v>0</v>
      </c>
      <c r="I127" s="699">
        <v>1.0500000000000001E-2</v>
      </c>
      <c r="J127" s="699">
        <v>1.0500000000000001E-2</v>
      </c>
      <c r="K127" s="699">
        <v>1.0500000000000001E-2</v>
      </c>
      <c r="L127" s="697">
        <v>3</v>
      </c>
    </row>
    <row r="128" spans="1:12" ht="12" hidden="1" customHeight="1">
      <c r="A128" s="695">
        <v>40044</v>
      </c>
      <c r="B128" s="696" t="s">
        <v>903</v>
      </c>
      <c r="C128" s="697">
        <v>28</v>
      </c>
      <c r="D128" s="695">
        <v>40072</v>
      </c>
      <c r="E128" s="698">
        <v>5</v>
      </c>
      <c r="F128" s="698">
        <v>11.0038</v>
      </c>
      <c r="G128" s="698">
        <v>4</v>
      </c>
      <c r="H128" s="698">
        <v>0</v>
      </c>
      <c r="I128" s="699">
        <v>1.0500000000000001E-2</v>
      </c>
      <c r="J128" s="699">
        <v>1.0500000000000001E-2</v>
      </c>
      <c r="K128" s="699">
        <v>1.0500000000000001E-2</v>
      </c>
      <c r="L128" s="697">
        <v>4</v>
      </c>
    </row>
    <row r="129" spans="1:12" ht="12" hidden="1" customHeight="1">
      <c r="A129" s="695">
        <v>40051</v>
      </c>
      <c r="B129" s="696" t="s">
        <v>904</v>
      </c>
      <c r="C129" s="697">
        <v>28</v>
      </c>
      <c r="D129" s="695">
        <v>40079</v>
      </c>
      <c r="E129" s="698">
        <v>5</v>
      </c>
      <c r="F129" s="698">
        <v>6.3655999999999997</v>
      </c>
      <c r="G129" s="698">
        <v>0</v>
      </c>
      <c r="H129" s="698">
        <v>0</v>
      </c>
      <c r="I129" s="699">
        <v>0</v>
      </c>
      <c r="J129" s="699">
        <v>0</v>
      </c>
      <c r="K129" s="699">
        <v>0</v>
      </c>
      <c r="L129" s="697">
        <v>1</v>
      </c>
    </row>
    <row r="130" spans="1:12" ht="12" hidden="1" customHeight="1">
      <c r="A130" s="695">
        <v>40058</v>
      </c>
      <c r="B130" s="696" t="s">
        <v>905</v>
      </c>
      <c r="C130" s="697">
        <v>28</v>
      </c>
      <c r="D130" s="695">
        <v>40086</v>
      </c>
      <c r="E130" s="698">
        <v>5</v>
      </c>
      <c r="F130" s="698">
        <v>11.0938</v>
      </c>
      <c r="G130" s="698">
        <v>4</v>
      </c>
      <c r="H130" s="698">
        <v>0</v>
      </c>
      <c r="I130" s="699">
        <v>0.01</v>
      </c>
      <c r="J130" s="699">
        <v>0.01</v>
      </c>
      <c r="K130" s="699">
        <v>0.01</v>
      </c>
      <c r="L130" s="697">
        <v>3</v>
      </c>
    </row>
    <row r="131" spans="1:12" ht="12" hidden="1" customHeight="1">
      <c r="A131" s="695">
        <v>40065</v>
      </c>
      <c r="B131" s="696" t="s">
        <v>906</v>
      </c>
      <c r="C131" s="697">
        <v>28</v>
      </c>
      <c r="D131" s="695">
        <v>40093</v>
      </c>
      <c r="E131" s="698">
        <v>5</v>
      </c>
      <c r="F131" s="698">
        <v>4.8726000000000003</v>
      </c>
      <c r="G131" s="698">
        <v>4</v>
      </c>
      <c r="H131" s="698">
        <v>0</v>
      </c>
      <c r="I131" s="699">
        <v>0.01</v>
      </c>
      <c r="J131" s="699">
        <v>0.01</v>
      </c>
      <c r="K131" s="699">
        <v>0.01</v>
      </c>
      <c r="L131" s="697">
        <v>3</v>
      </c>
    </row>
    <row r="132" spans="1:12" ht="12" hidden="1" customHeight="1">
      <c r="A132" s="695">
        <v>40072</v>
      </c>
      <c r="B132" s="696" t="s">
        <v>907</v>
      </c>
      <c r="C132" s="697">
        <v>28</v>
      </c>
      <c r="D132" s="695">
        <v>40100</v>
      </c>
      <c r="E132" s="698">
        <v>5</v>
      </c>
      <c r="F132" s="698">
        <v>8.4725000000000001</v>
      </c>
      <c r="G132" s="698">
        <v>4</v>
      </c>
      <c r="H132" s="698">
        <v>0</v>
      </c>
      <c r="I132" s="699">
        <v>0.01</v>
      </c>
      <c r="J132" s="699">
        <v>0.01</v>
      </c>
      <c r="K132" s="699">
        <v>0.01</v>
      </c>
      <c r="L132" s="697">
        <v>3</v>
      </c>
    </row>
    <row r="133" spans="1:12" ht="12" hidden="1" customHeight="1">
      <c r="A133" s="695">
        <v>40079</v>
      </c>
      <c r="B133" s="696" t="s">
        <v>908</v>
      </c>
      <c r="C133" s="697">
        <v>28</v>
      </c>
      <c r="D133" s="695">
        <v>40107</v>
      </c>
      <c r="E133" s="698">
        <v>5</v>
      </c>
      <c r="F133" s="698">
        <v>4.8529999999999998</v>
      </c>
      <c r="G133" s="698">
        <v>4</v>
      </c>
      <c r="H133" s="698">
        <v>0</v>
      </c>
      <c r="I133" s="699">
        <v>0.01</v>
      </c>
      <c r="J133" s="699">
        <v>0.01</v>
      </c>
      <c r="K133" s="699">
        <v>0.01</v>
      </c>
      <c r="L133" s="697">
        <v>2</v>
      </c>
    </row>
    <row r="134" spans="1:12" ht="12" hidden="1" customHeight="1">
      <c r="A134" s="695">
        <v>40086</v>
      </c>
      <c r="B134" s="696" t="s">
        <v>909</v>
      </c>
      <c r="C134" s="697">
        <v>28</v>
      </c>
      <c r="D134" s="695">
        <v>40114</v>
      </c>
      <c r="E134" s="698">
        <v>5</v>
      </c>
      <c r="F134" s="698">
        <v>12.0016</v>
      </c>
      <c r="G134" s="698">
        <v>3</v>
      </c>
      <c r="H134" s="698">
        <v>0</v>
      </c>
      <c r="I134" s="699">
        <v>0.01</v>
      </c>
      <c r="J134" s="699">
        <v>0.01</v>
      </c>
      <c r="K134" s="699">
        <v>0.01</v>
      </c>
      <c r="L134" s="697">
        <v>2</v>
      </c>
    </row>
    <row r="135" spans="1:12" ht="12" hidden="1" customHeight="1">
      <c r="A135" s="695">
        <v>40093</v>
      </c>
      <c r="B135" s="696" t="s">
        <v>910</v>
      </c>
      <c r="C135" s="697">
        <v>28</v>
      </c>
      <c r="D135" s="695">
        <v>40121</v>
      </c>
      <c r="E135" s="698">
        <v>4</v>
      </c>
      <c r="F135" s="698">
        <v>3.548</v>
      </c>
      <c r="G135" s="698">
        <v>3</v>
      </c>
      <c r="H135" s="698">
        <v>0</v>
      </c>
      <c r="I135" s="699">
        <v>0.01</v>
      </c>
      <c r="J135" s="699">
        <v>0.01</v>
      </c>
      <c r="K135" s="699">
        <v>0.01</v>
      </c>
      <c r="L135" s="697">
        <v>2</v>
      </c>
    </row>
    <row r="136" spans="1:12" ht="12" hidden="1" customHeight="1">
      <c r="A136" s="695">
        <v>40100</v>
      </c>
      <c r="B136" s="696" t="s">
        <v>911</v>
      </c>
      <c r="C136" s="697">
        <v>28</v>
      </c>
      <c r="D136" s="695">
        <v>40128</v>
      </c>
      <c r="E136" s="698">
        <v>4</v>
      </c>
      <c r="F136" s="698">
        <v>2.907</v>
      </c>
      <c r="G136" s="698">
        <v>0</v>
      </c>
      <c r="H136" s="698">
        <v>0</v>
      </c>
      <c r="I136" s="699">
        <v>0</v>
      </c>
      <c r="J136" s="699">
        <v>0</v>
      </c>
      <c r="K136" s="699">
        <v>0</v>
      </c>
      <c r="L136" s="697">
        <v>1</v>
      </c>
    </row>
    <row r="137" spans="1:12" ht="12" hidden="1" customHeight="1">
      <c r="A137" s="695">
        <v>40107</v>
      </c>
      <c r="B137" s="696" t="s">
        <v>912</v>
      </c>
      <c r="C137" s="697">
        <v>28</v>
      </c>
      <c r="D137" s="695">
        <v>40135</v>
      </c>
      <c r="E137" s="698">
        <v>4</v>
      </c>
      <c r="F137" s="698">
        <v>3</v>
      </c>
      <c r="G137" s="698">
        <v>0</v>
      </c>
      <c r="H137" s="698">
        <v>0</v>
      </c>
      <c r="I137" s="699">
        <v>0</v>
      </c>
      <c r="J137" s="699">
        <v>0</v>
      </c>
      <c r="K137" s="699">
        <v>0</v>
      </c>
      <c r="L137" s="697">
        <v>1</v>
      </c>
    </row>
    <row r="138" spans="1:12" ht="12" hidden="1" customHeight="1">
      <c r="A138" s="695">
        <v>40114</v>
      </c>
      <c r="B138" s="696" t="s">
        <v>1107</v>
      </c>
      <c r="C138" s="697">
        <v>28</v>
      </c>
      <c r="D138" s="695">
        <v>40142</v>
      </c>
      <c r="E138" s="698">
        <v>4</v>
      </c>
      <c r="F138" s="698">
        <v>14.003399999999999</v>
      </c>
      <c r="G138" s="698">
        <v>3</v>
      </c>
      <c r="H138" s="698">
        <v>0</v>
      </c>
      <c r="I138" s="699">
        <v>0.01</v>
      </c>
      <c r="J138" s="699">
        <v>0.01</v>
      </c>
      <c r="K138" s="699">
        <v>0.01</v>
      </c>
      <c r="L138" s="697">
        <v>3</v>
      </c>
    </row>
    <row r="139" spans="1:12" ht="12" hidden="1" customHeight="1">
      <c r="A139" s="695">
        <v>40121</v>
      </c>
      <c r="B139" s="696" t="s">
        <v>913</v>
      </c>
      <c r="C139" s="697">
        <v>28</v>
      </c>
      <c r="D139" s="695">
        <v>40149</v>
      </c>
      <c r="E139" s="698">
        <v>4</v>
      </c>
      <c r="F139" s="698">
        <v>22.956600000000002</v>
      </c>
      <c r="G139" s="698">
        <v>3</v>
      </c>
      <c r="H139" s="698">
        <v>0</v>
      </c>
      <c r="I139" s="699">
        <v>0.01</v>
      </c>
      <c r="J139" s="699">
        <v>0.01</v>
      </c>
      <c r="K139" s="699">
        <v>0.01</v>
      </c>
      <c r="L139" s="697">
        <v>2</v>
      </c>
    </row>
    <row r="140" spans="1:12" ht="12" hidden="1" customHeight="1">
      <c r="A140" s="695">
        <v>40128</v>
      </c>
      <c r="B140" s="696" t="s">
        <v>914</v>
      </c>
      <c r="C140" s="697">
        <v>28</v>
      </c>
      <c r="D140" s="695">
        <v>40156</v>
      </c>
      <c r="E140" s="698">
        <v>4</v>
      </c>
      <c r="F140" s="698">
        <v>9.0022000000000002</v>
      </c>
      <c r="G140" s="698">
        <v>3</v>
      </c>
      <c r="H140" s="698">
        <v>0</v>
      </c>
      <c r="I140" s="699">
        <v>0.01</v>
      </c>
      <c r="J140" s="699">
        <v>0.01</v>
      </c>
      <c r="K140" s="699">
        <v>0.01</v>
      </c>
      <c r="L140" s="697">
        <v>2</v>
      </c>
    </row>
    <row r="141" spans="1:12" ht="12" hidden="1" customHeight="1">
      <c r="A141" s="695">
        <v>40135</v>
      </c>
      <c r="B141" s="696" t="s">
        <v>915</v>
      </c>
      <c r="C141" s="697">
        <v>28</v>
      </c>
      <c r="D141" s="695">
        <v>40163</v>
      </c>
      <c r="E141" s="698">
        <v>4</v>
      </c>
      <c r="F141" s="698">
        <v>1.4979</v>
      </c>
      <c r="G141" s="698">
        <v>0</v>
      </c>
      <c r="H141" s="698">
        <v>0</v>
      </c>
      <c r="I141" s="699">
        <v>0</v>
      </c>
      <c r="J141" s="699">
        <v>0</v>
      </c>
      <c r="K141" s="699">
        <v>0</v>
      </c>
      <c r="L141" s="697">
        <v>1</v>
      </c>
    </row>
    <row r="142" spans="1:12" ht="12" hidden="1" customHeight="1">
      <c r="A142" s="695">
        <v>40142</v>
      </c>
      <c r="B142" s="696" t="s">
        <v>916</v>
      </c>
      <c r="C142" s="697">
        <v>28</v>
      </c>
      <c r="D142" s="695">
        <v>40170</v>
      </c>
      <c r="E142" s="698">
        <v>4</v>
      </c>
      <c r="F142" s="698">
        <v>2.5007999999999999</v>
      </c>
      <c r="G142" s="698">
        <v>2.5007999999999999</v>
      </c>
      <c r="H142" s="698">
        <v>0</v>
      </c>
      <c r="I142" s="699">
        <v>0.01</v>
      </c>
      <c r="J142" s="699">
        <v>0.01</v>
      </c>
      <c r="K142" s="699">
        <v>0.01</v>
      </c>
      <c r="L142" s="697">
        <v>2</v>
      </c>
    </row>
    <row r="143" spans="1:12" ht="12" hidden="1" customHeight="1">
      <c r="A143" s="695">
        <v>40149</v>
      </c>
      <c r="B143" s="696" t="s">
        <v>917</v>
      </c>
      <c r="C143" s="697">
        <v>28</v>
      </c>
      <c r="D143" s="695">
        <v>40177</v>
      </c>
      <c r="E143" s="698">
        <v>4</v>
      </c>
      <c r="F143" s="698">
        <v>0</v>
      </c>
      <c r="G143" s="698">
        <v>0</v>
      </c>
      <c r="H143" s="698">
        <v>0</v>
      </c>
      <c r="I143" s="699">
        <v>0</v>
      </c>
      <c r="J143" s="699">
        <v>0</v>
      </c>
      <c r="K143" s="699">
        <v>0</v>
      </c>
      <c r="L143" s="697">
        <v>0</v>
      </c>
    </row>
    <row r="144" spans="1:12" ht="12" hidden="1" customHeight="1">
      <c r="A144" s="695">
        <v>40156</v>
      </c>
      <c r="B144" s="696" t="s">
        <v>918</v>
      </c>
      <c r="C144" s="697">
        <v>28</v>
      </c>
      <c r="D144" s="695">
        <v>40184</v>
      </c>
      <c r="E144" s="698">
        <v>4</v>
      </c>
      <c r="F144" s="698">
        <v>3.5644</v>
      </c>
      <c r="G144" s="698">
        <v>0</v>
      </c>
      <c r="H144" s="698">
        <v>0</v>
      </c>
      <c r="I144" s="699">
        <v>0</v>
      </c>
      <c r="J144" s="699">
        <v>0</v>
      </c>
      <c r="K144" s="699">
        <v>0</v>
      </c>
      <c r="L144" s="697">
        <v>1</v>
      </c>
    </row>
    <row r="145" spans="1:12" ht="12" hidden="1" customHeight="1">
      <c r="A145" s="695">
        <v>40163</v>
      </c>
      <c r="B145" s="696" t="s">
        <v>919</v>
      </c>
      <c r="C145" s="697">
        <v>28</v>
      </c>
      <c r="D145" s="695">
        <v>40191</v>
      </c>
      <c r="E145" s="698">
        <v>5</v>
      </c>
      <c r="F145" s="698">
        <v>4.0477999999999996</v>
      </c>
      <c r="G145" s="698">
        <v>4</v>
      </c>
      <c r="H145" s="698">
        <v>0</v>
      </c>
      <c r="I145" s="699">
        <v>0.01</v>
      </c>
      <c r="J145" s="699">
        <v>0.01</v>
      </c>
      <c r="K145" s="699">
        <v>0.01</v>
      </c>
      <c r="L145" s="697">
        <v>2</v>
      </c>
    </row>
    <row r="146" spans="1:12" ht="12" hidden="1" customHeight="1">
      <c r="A146" s="695">
        <v>40171</v>
      </c>
      <c r="B146" s="696" t="s">
        <v>920</v>
      </c>
      <c r="C146" s="697">
        <v>28</v>
      </c>
      <c r="D146" s="695">
        <v>40199</v>
      </c>
      <c r="E146" s="698">
        <v>5</v>
      </c>
      <c r="F146" s="698">
        <v>0</v>
      </c>
      <c r="G146" s="698">
        <v>0</v>
      </c>
      <c r="H146" s="698">
        <v>0</v>
      </c>
      <c r="I146" s="699">
        <v>0</v>
      </c>
      <c r="J146" s="699">
        <v>0</v>
      </c>
      <c r="K146" s="699">
        <v>0</v>
      </c>
      <c r="L146" s="697">
        <v>0</v>
      </c>
    </row>
    <row r="147" spans="1:12" ht="12" hidden="1" customHeight="1">
      <c r="A147" s="695">
        <v>40177</v>
      </c>
      <c r="B147" s="696" t="s">
        <v>921</v>
      </c>
      <c r="C147" s="697">
        <v>28</v>
      </c>
      <c r="D147" s="695">
        <v>40205</v>
      </c>
      <c r="E147" s="698">
        <v>5</v>
      </c>
      <c r="F147" s="698">
        <v>4.9957000000000003</v>
      </c>
      <c r="G147" s="698">
        <v>4</v>
      </c>
      <c r="H147" s="698">
        <v>0</v>
      </c>
      <c r="I147" s="699">
        <v>0.01</v>
      </c>
      <c r="J147" s="699">
        <v>0.01</v>
      </c>
      <c r="K147" s="699">
        <v>0.01</v>
      </c>
      <c r="L147" s="697">
        <v>3</v>
      </c>
    </row>
    <row r="148" spans="1:12" ht="12" hidden="1" customHeight="1">
      <c r="A148" s="695">
        <v>40184</v>
      </c>
      <c r="B148" s="696" t="s">
        <v>922</v>
      </c>
      <c r="C148" s="697">
        <v>28</v>
      </c>
      <c r="D148" s="695">
        <v>40212</v>
      </c>
      <c r="E148" s="698">
        <v>5</v>
      </c>
      <c r="F148" s="698">
        <v>1.6003000000000001</v>
      </c>
      <c r="G148" s="698">
        <v>1.6003000000000001</v>
      </c>
      <c r="H148" s="698">
        <v>0</v>
      </c>
      <c r="I148" s="699">
        <v>0.01</v>
      </c>
      <c r="J148" s="699">
        <v>0.01</v>
      </c>
      <c r="K148" s="699">
        <v>0.01</v>
      </c>
      <c r="L148" s="697">
        <v>2</v>
      </c>
    </row>
    <row r="149" spans="1:12" ht="12" hidden="1" customHeight="1">
      <c r="A149" s="695">
        <v>40191</v>
      </c>
      <c r="B149" s="696" t="s">
        <v>923</v>
      </c>
      <c r="C149" s="697">
        <v>28</v>
      </c>
      <c r="D149" s="695">
        <v>40219</v>
      </c>
      <c r="E149" s="698">
        <v>5</v>
      </c>
      <c r="F149" s="698">
        <v>6.9625000000000004</v>
      </c>
      <c r="G149" s="698">
        <v>4</v>
      </c>
      <c r="H149" s="698">
        <v>0</v>
      </c>
      <c r="I149" s="699">
        <v>0.01</v>
      </c>
      <c r="J149" s="699">
        <v>0.01</v>
      </c>
      <c r="K149" s="699">
        <v>0.01</v>
      </c>
      <c r="L149" s="697">
        <v>3</v>
      </c>
    </row>
    <row r="150" spans="1:12" ht="12" hidden="1" customHeight="1">
      <c r="A150" s="695">
        <v>40199</v>
      </c>
      <c r="B150" s="696" t="s">
        <v>924</v>
      </c>
      <c r="C150" s="697">
        <v>27</v>
      </c>
      <c r="D150" s="695">
        <v>40226</v>
      </c>
      <c r="E150" s="698">
        <v>5</v>
      </c>
      <c r="F150" s="698">
        <v>6.5008999999999997</v>
      </c>
      <c r="G150" s="698">
        <v>4</v>
      </c>
      <c r="H150" s="698">
        <v>0</v>
      </c>
      <c r="I150" s="699">
        <v>0.01</v>
      </c>
      <c r="J150" s="699">
        <v>0.01</v>
      </c>
      <c r="K150" s="699">
        <v>0.01</v>
      </c>
      <c r="L150" s="697">
        <v>2</v>
      </c>
    </row>
    <row r="151" spans="1:12" ht="12" hidden="1" customHeight="1">
      <c r="A151" s="695">
        <v>40205</v>
      </c>
      <c r="B151" s="696" t="s">
        <v>925</v>
      </c>
      <c r="C151" s="697">
        <v>28</v>
      </c>
      <c r="D151" s="695">
        <v>40233</v>
      </c>
      <c r="E151" s="698">
        <v>5</v>
      </c>
      <c r="F151" s="698">
        <v>8.0024999999999995</v>
      </c>
      <c r="G151" s="698">
        <v>4</v>
      </c>
      <c r="H151" s="698">
        <v>0</v>
      </c>
      <c r="I151" s="699">
        <v>0.01</v>
      </c>
      <c r="J151" s="699">
        <v>0.01</v>
      </c>
      <c r="K151" s="699">
        <v>0.01</v>
      </c>
      <c r="L151" s="697">
        <v>2</v>
      </c>
    </row>
    <row r="152" spans="1:12" ht="12" hidden="1" customHeight="1">
      <c r="A152" s="695">
        <v>40212</v>
      </c>
      <c r="B152" s="696" t="s">
        <v>926</v>
      </c>
      <c r="C152" s="697">
        <v>28</v>
      </c>
      <c r="D152" s="695">
        <v>40240</v>
      </c>
      <c r="E152" s="698">
        <v>5</v>
      </c>
      <c r="F152" s="698">
        <v>27.0062</v>
      </c>
      <c r="G152" s="698">
        <v>4</v>
      </c>
      <c r="H152" s="698">
        <v>0</v>
      </c>
      <c r="I152" s="699">
        <v>0.01</v>
      </c>
      <c r="J152" s="699">
        <v>0.01</v>
      </c>
      <c r="K152" s="699">
        <v>0.01</v>
      </c>
      <c r="L152" s="697">
        <v>2</v>
      </c>
    </row>
    <row r="153" spans="1:12" ht="12" hidden="1" customHeight="1">
      <c r="A153" s="695">
        <v>40219</v>
      </c>
      <c r="B153" s="696" t="s">
        <v>927</v>
      </c>
      <c r="C153" s="697">
        <v>28</v>
      </c>
      <c r="D153" s="695">
        <v>40247</v>
      </c>
      <c r="E153" s="698">
        <v>5</v>
      </c>
      <c r="F153" s="698">
        <v>11.6073</v>
      </c>
      <c r="G153" s="698">
        <v>4</v>
      </c>
      <c r="H153" s="698">
        <v>0</v>
      </c>
      <c r="I153" s="699">
        <v>0.01</v>
      </c>
      <c r="J153" s="699">
        <v>0.01</v>
      </c>
      <c r="K153" s="699">
        <v>0.01</v>
      </c>
      <c r="L153" s="697">
        <v>2</v>
      </c>
    </row>
    <row r="154" spans="1:12" ht="12" hidden="1" customHeight="1">
      <c r="A154" s="695">
        <v>40226</v>
      </c>
      <c r="B154" s="696" t="s">
        <v>928</v>
      </c>
      <c r="C154" s="697">
        <v>28</v>
      </c>
      <c r="D154" s="695">
        <v>40254</v>
      </c>
      <c r="E154" s="698">
        <v>5</v>
      </c>
      <c r="F154" s="698">
        <v>52.011699999999998</v>
      </c>
      <c r="G154" s="698">
        <v>4</v>
      </c>
      <c r="H154" s="698">
        <v>0</v>
      </c>
      <c r="I154" s="699">
        <v>0.01</v>
      </c>
      <c r="J154" s="699">
        <v>0.01</v>
      </c>
      <c r="K154" s="699">
        <v>0.01</v>
      </c>
      <c r="L154" s="697">
        <v>5</v>
      </c>
    </row>
    <row r="155" spans="1:12" ht="12" hidden="1" customHeight="1">
      <c r="A155" s="695">
        <v>40233</v>
      </c>
      <c r="B155" s="696" t="s">
        <v>929</v>
      </c>
      <c r="C155" s="697">
        <v>33</v>
      </c>
      <c r="D155" s="695">
        <v>40266</v>
      </c>
      <c r="E155" s="698">
        <v>5</v>
      </c>
      <c r="F155" s="698">
        <v>38.916200000000003</v>
      </c>
      <c r="G155" s="698">
        <v>4</v>
      </c>
      <c r="H155" s="698">
        <v>0</v>
      </c>
      <c r="I155" s="699">
        <v>0.01</v>
      </c>
      <c r="J155" s="699">
        <v>0.01</v>
      </c>
      <c r="K155" s="699">
        <v>0.01</v>
      </c>
      <c r="L155" s="697">
        <v>3</v>
      </c>
    </row>
    <row r="156" spans="1:12" ht="12" hidden="1" customHeight="1">
      <c r="A156" s="695">
        <v>40240</v>
      </c>
      <c r="B156" s="696" t="s">
        <v>930</v>
      </c>
      <c r="C156" s="697">
        <v>28</v>
      </c>
      <c r="D156" s="695">
        <v>40268</v>
      </c>
      <c r="E156" s="698">
        <v>5</v>
      </c>
      <c r="F156" s="698">
        <v>37.018225700000002</v>
      </c>
      <c r="G156" s="698">
        <v>4</v>
      </c>
      <c r="H156" s="698">
        <v>0</v>
      </c>
      <c r="I156" s="699">
        <v>0.01</v>
      </c>
      <c r="J156" s="699">
        <v>0.01</v>
      </c>
      <c r="K156" s="699">
        <v>0.01</v>
      </c>
      <c r="L156" s="697">
        <v>3</v>
      </c>
    </row>
    <row r="157" spans="1:12" ht="12" hidden="1" customHeight="1">
      <c r="A157" s="695">
        <v>40247</v>
      </c>
      <c r="B157" s="696" t="s">
        <v>931</v>
      </c>
      <c r="C157" s="697">
        <v>28</v>
      </c>
      <c r="D157" s="695">
        <v>40275</v>
      </c>
      <c r="E157" s="698">
        <v>5</v>
      </c>
      <c r="F157" s="698">
        <v>60.016100000000002</v>
      </c>
      <c r="G157" s="698">
        <v>4</v>
      </c>
      <c r="H157" s="698">
        <v>0</v>
      </c>
      <c r="I157" s="699">
        <v>0.01</v>
      </c>
      <c r="J157" s="699">
        <v>0.01</v>
      </c>
      <c r="K157" s="699">
        <v>0.01</v>
      </c>
      <c r="L157" s="697">
        <v>4</v>
      </c>
    </row>
    <row r="158" spans="1:12" ht="12" hidden="1" customHeight="1">
      <c r="A158" s="695">
        <v>40254</v>
      </c>
      <c r="B158" s="696" t="s">
        <v>932</v>
      </c>
      <c r="C158" s="697">
        <v>28</v>
      </c>
      <c r="D158" s="695">
        <v>40282</v>
      </c>
      <c r="E158" s="698">
        <v>5</v>
      </c>
      <c r="F158" s="698">
        <v>17.712800000000001</v>
      </c>
      <c r="G158" s="698">
        <v>4</v>
      </c>
      <c r="H158" s="698">
        <v>0</v>
      </c>
      <c r="I158" s="699">
        <v>0.01</v>
      </c>
      <c r="J158" s="699">
        <v>0.01</v>
      </c>
      <c r="K158" s="699">
        <v>0.01</v>
      </c>
      <c r="L158" s="697">
        <v>4</v>
      </c>
    </row>
    <row r="159" spans="1:12" ht="12" hidden="1" customHeight="1">
      <c r="A159" s="695">
        <v>40268</v>
      </c>
      <c r="B159" s="696" t="s">
        <v>933</v>
      </c>
      <c r="C159" s="697">
        <v>28</v>
      </c>
      <c r="D159" s="695">
        <v>40296</v>
      </c>
      <c r="E159" s="698">
        <v>5</v>
      </c>
      <c r="F159" s="698">
        <v>44.011000000000003</v>
      </c>
      <c r="G159" s="698">
        <v>4</v>
      </c>
      <c r="H159" s="698">
        <v>0</v>
      </c>
      <c r="I159" s="699">
        <v>0.01</v>
      </c>
      <c r="J159" s="699">
        <v>0.01</v>
      </c>
      <c r="K159" s="699">
        <v>0.01</v>
      </c>
      <c r="L159" s="697">
        <v>5</v>
      </c>
    </row>
    <row r="160" spans="1:12" ht="12" hidden="1" customHeight="1">
      <c r="A160" s="695">
        <v>40275</v>
      </c>
      <c r="B160" s="696" t="s">
        <v>934</v>
      </c>
      <c r="C160" s="697">
        <v>28</v>
      </c>
      <c r="D160" s="695">
        <v>40303</v>
      </c>
      <c r="E160" s="698">
        <v>5</v>
      </c>
      <c r="F160" s="698">
        <v>42.011000000000003</v>
      </c>
      <c r="G160" s="698">
        <v>4</v>
      </c>
      <c r="H160" s="698">
        <v>0</v>
      </c>
      <c r="I160" s="699">
        <v>0.01</v>
      </c>
      <c r="J160" s="699">
        <v>0.01</v>
      </c>
      <c r="K160" s="699">
        <v>0.01</v>
      </c>
      <c r="L160" s="697">
        <v>4</v>
      </c>
    </row>
    <row r="161" spans="1:12" ht="12" hidden="1" customHeight="1">
      <c r="A161" s="695">
        <v>40282</v>
      </c>
      <c r="B161" s="696" t="s">
        <v>935</v>
      </c>
      <c r="C161" s="697">
        <v>28</v>
      </c>
      <c r="D161" s="695">
        <v>40310</v>
      </c>
      <c r="E161" s="698">
        <v>5</v>
      </c>
      <c r="F161" s="698">
        <v>31.6921</v>
      </c>
      <c r="G161" s="698">
        <v>4</v>
      </c>
      <c r="H161" s="698">
        <v>0</v>
      </c>
      <c r="I161" s="699">
        <v>0.01</v>
      </c>
      <c r="J161" s="699">
        <v>0.01</v>
      </c>
      <c r="K161" s="699">
        <v>0.01</v>
      </c>
      <c r="L161" s="697">
        <v>3</v>
      </c>
    </row>
    <row r="162" spans="1:12" ht="12" hidden="1" customHeight="1">
      <c r="A162" s="695">
        <v>40289</v>
      </c>
      <c r="B162" s="696" t="s">
        <v>936</v>
      </c>
      <c r="C162" s="697">
        <v>28</v>
      </c>
      <c r="D162" s="695">
        <v>40317</v>
      </c>
      <c r="E162" s="698">
        <v>5</v>
      </c>
      <c r="F162" s="698">
        <v>24.0002</v>
      </c>
      <c r="G162" s="698">
        <v>4</v>
      </c>
      <c r="H162" s="698">
        <v>0</v>
      </c>
      <c r="I162" s="699">
        <v>0.01</v>
      </c>
      <c r="J162" s="699">
        <v>0.01</v>
      </c>
      <c r="K162" s="699">
        <v>0.01</v>
      </c>
      <c r="L162" s="697">
        <v>2</v>
      </c>
    </row>
    <row r="163" spans="1:12" ht="12" hidden="1" customHeight="1">
      <c r="A163" s="695">
        <v>40296</v>
      </c>
      <c r="B163" s="696" t="s">
        <v>937</v>
      </c>
      <c r="C163" s="697">
        <v>28</v>
      </c>
      <c r="D163" s="695">
        <v>40324</v>
      </c>
      <c r="E163" s="698">
        <v>5</v>
      </c>
      <c r="F163" s="698">
        <v>24.299800000000001</v>
      </c>
      <c r="G163" s="698">
        <v>4</v>
      </c>
      <c r="H163" s="698">
        <v>0</v>
      </c>
      <c r="I163" s="699">
        <v>0.01</v>
      </c>
      <c r="J163" s="699">
        <v>0.01</v>
      </c>
      <c r="K163" s="699">
        <v>0.01</v>
      </c>
      <c r="L163" s="697">
        <v>2</v>
      </c>
    </row>
    <row r="164" spans="1:12" ht="12" hidden="1" customHeight="1">
      <c r="A164" s="695">
        <v>40303</v>
      </c>
      <c r="B164" s="696" t="s">
        <v>938</v>
      </c>
      <c r="C164" s="697">
        <v>28</v>
      </c>
      <c r="D164" s="695">
        <v>40331</v>
      </c>
      <c r="E164" s="698">
        <v>5</v>
      </c>
      <c r="F164" s="698">
        <v>26.717500000000001</v>
      </c>
      <c r="G164" s="698">
        <v>4</v>
      </c>
      <c r="H164" s="698">
        <v>0</v>
      </c>
      <c r="I164" s="699">
        <v>0.01</v>
      </c>
      <c r="J164" s="699">
        <v>0.01</v>
      </c>
      <c r="K164" s="699">
        <v>0.01</v>
      </c>
      <c r="L164" s="697">
        <v>2</v>
      </c>
    </row>
    <row r="165" spans="1:12" ht="12" hidden="1" customHeight="1">
      <c r="A165" s="695">
        <v>40310</v>
      </c>
      <c r="B165" s="696" t="s">
        <v>939</v>
      </c>
      <c r="C165" s="697">
        <v>28</v>
      </c>
      <c r="D165" s="695">
        <v>40338</v>
      </c>
      <c r="E165" s="698">
        <v>5</v>
      </c>
      <c r="F165" s="698">
        <v>28.006599999999999</v>
      </c>
      <c r="G165" s="698">
        <v>4</v>
      </c>
      <c r="H165" s="698">
        <v>0</v>
      </c>
      <c r="I165" s="699">
        <v>0.01</v>
      </c>
      <c r="J165" s="699">
        <v>0.01</v>
      </c>
      <c r="K165" s="699">
        <v>0.01</v>
      </c>
      <c r="L165" s="697">
        <v>2</v>
      </c>
    </row>
    <row r="166" spans="1:12" ht="12" hidden="1" customHeight="1">
      <c r="A166" s="695">
        <v>40317</v>
      </c>
      <c r="B166" s="696" t="s">
        <v>940</v>
      </c>
      <c r="C166" s="697">
        <v>28</v>
      </c>
      <c r="D166" s="695">
        <v>40345</v>
      </c>
      <c r="E166" s="698">
        <v>5</v>
      </c>
      <c r="F166" s="698">
        <v>28.984400000000001</v>
      </c>
      <c r="G166" s="698">
        <v>4</v>
      </c>
      <c r="H166" s="698">
        <v>0</v>
      </c>
      <c r="I166" s="699">
        <v>0.01</v>
      </c>
      <c r="J166" s="699">
        <v>0.01</v>
      </c>
      <c r="K166" s="699">
        <v>0.01</v>
      </c>
      <c r="L166" s="697">
        <v>3</v>
      </c>
    </row>
    <row r="167" spans="1:12" ht="12" hidden="1" customHeight="1">
      <c r="A167" s="695">
        <v>40331</v>
      </c>
      <c r="B167" s="696" t="s">
        <v>941</v>
      </c>
      <c r="C167" s="697">
        <v>28</v>
      </c>
      <c r="D167" s="695">
        <v>40359</v>
      </c>
      <c r="E167" s="698">
        <v>6</v>
      </c>
      <c r="F167" s="698">
        <v>16.003299999999999</v>
      </c>
      <c r="G167" s="698">
        <v>6</v>
      </c>
      <c r="H167" s="698">
        <v>0</v>
      </c>
      <c r="I167" s="699">
        <v>0.01</v>
      </c>
      <c r="J167" s="699">
        <v>0.01</v>
      </c>
      <c r="K167" s="699">
        <v>0.01</v>
      </c>
      <c r="L167" s="697">
        <v>2</v>
      </c>
    </row>
    <row r="168" spans="1:12" ht="12" hidden="1" customHeight="1">
      <c r="A168" s="695">
        <v>40338</v>
      </c>
      <c r="B168" s="696" t="s">
        <v>942</v>
      </c>
      <c r="C168" s="697">
        <v>28</v>
      </c>
      <c r="D168" s="695">
        <v>40366</v>
      </c>
      <c r="E168" s="698">
        <v>6</v>
      </c>
      <c r="F168" s="698">
        <v>24.006</v>
      </c>
      <c r="G168" s="698">
        <v>6</v>
      </c>
      <c r="H168" s="698">
        <v>0</v>
      </c>
      <c r="I168" s="699">
        <v>0.01</v>
      </c>
      <c r="J168" s="699">
        <v>0.01</v>
      </c>
      <c r="K168" s="699">
        <v>0.01</v>
      </c>
      <c r="L168" s="697">
        <v>3</v>
      </c>
    </row>
    <row r="169" spans="1:12" ht="12" hidden="1" customHeight="1">
      <c r="A169" s="695">
        <v>40345</v>
      </c>
      <c r="B169" s="696" t="s">
        <v>943</v>
      </c>
      <c r="C169" s="697">
        <v>28</v>
      </c>
      <c r="D169" s="695">
        <v>40373</v>
      </c>
      <c r="E169" s="698">
        <v>6</v>
      </c>
      <c r="F169" s="698">
        <v>12.003</v>
      </c>
      <c r="G169" s="698">
        <v>6</v>
      </c>
      <c r="H169" s="698">
        <v>0</v>
      </c>
      <c r="I169" s="699">
        <v>0.01</v>
      </c>
      <c r="J169" s="699">
        <v>0.01</v>
      </c>
      <c r="K169" s="699">
        <v>0.01</v>
      </c>
      <c r="L169" s="697">
        <v>3</v>
      </c>
    </row>
    <row r="170" spans="1:12" ht="12" hidden="1" customHeight="1">
      <c r="A170" s="695">
        <v>40352</v>
      </c>
      <c r="B170" s="696" t="s">
        <v>944</v>
      </c>
      <c r="C170" s="697">
        <v>28</v>
      </c>
      <c r="D170" s="695">
        <v>40380</v>
      </c>
      <c r="E170" s="698">
        <v>7</v>
      </c>
      <c r="F170" s="698">
        <v>9.3459000000000003</v>
      </c>
      <c r="G170" s="698">
        <v>6</v>
      </c>
      <c r="H170" s="698">
        <v>0</v>
      </c>
      <c r="I170" s="699">
        <v>0.01</v>
      </c>
      <c r="J170" s="699">
        <v>0.01</v>
      </c>
      <c r="K170" s="699">
        <v>0.01</v>
      </c>
      <c r="L170" s="697">
        <v>2</v>
      </c>
    </row>
    <row r="171" spans="1:12" ht="12" hidden="1" customHeight="1">
      <c r="A171" s="695">
        <v>40359</v>
      </c>
      <c r="B171" s="696" t="s">
        <v>945</v>
      </c>
      <c r="C171" s="697">
        <v>28</v>
      </c>
      <c r="D171" s="695">
        <v>40387</v>
      </c>
      <c r="E171" s="698">
        <v>7</v>
      </c>
      <c r="F171" s="698">
        <v>9.1273999999999997</v>
      </c>
      <c r="G171" s="698">
        <v>6</v>
      </c>
      <c r="H171" s="698">
        <v>0</v>
      </c>
      <c r="I171" s="699">
        <v>0.01</v>
      </c>
      <c r="J171" s="699">
        <v>0.01</v>
      </c>
      <c r="K171" s="699">
        <v>0.01</v>
      </c>
      <c r="L171" s="697">
        <v>2</v>
      </c>
    </row>
    <row r="172" spans="1:12" ht="12" hidden="1" customHeight="1">
      <c r="A172" s="695">
        <v>40366</v>
      </c>
      <c r="B172" s="696" t="s">
        <v>946</v>
      </c>
      <c r="C172" s="697">
        <v>28</v>
      </c>
      <c r="D172" s="695">
        <v>40394</v>
      </c>
      <c r="E172" s="698">
        <v>6</v>
      </c>
      <c r="F172" s="698">
        <v>7.9946999999999999</v>
      </c>
      <c r="G172" s="698">
        <v>5</v>
      </c>
      <c r="H172" s="698">
        <v>0</v>
      </c>
      <c r="I172" s="699">
        <v>0.01</v>
      </c>
      <c r="J172" s="699">
        <v>0.01</v>
      </c>
      <c r="K172" s="699">
        <v>0.01</v>
      </c>
      <c r="L172" s="697">
        <v>2</v>
      </c>
    </row>
    <row r="173" spans="1:12" ht="12" hidden="1" customHeight="1">
      <c r="A173" s="695">
        <v>40373</v>
      </c>
      <c r="B173" s="696" t="s">
        <v>947</v>
      </c>
      <c r="C173" s="697">
        <v>28</v>
      </c>
      <c r="D173" s="695">
        <v>40401</v>
      </c>
      <c r="E173" s="698">
        <v>6</v>
      </c>
      <c r="F173" s="698">
        <v>10.918200000000001</v>
      </c>
      <c r="G173" s="698">
        <v>5</v>
      </c>
      <c r="H173" s="698">
        <v>-0.20930000000000001</v>
      </c>
      <c r="I173" s="699">
        <v>0.01</v>
      </c>
      <c r="J173" s="699">
        <v>0.01</v>
      </c>
      <c r="K173" s="699">
        <v>0.01</v>
      </c>
      <c r="L173" s="697">
        <v>2</v>
      </c>
    </row>
    <row r="174" spans="1:12" ht="12" hidden="1" customHeight="1">
      <c r="A174" s="695">
        <v>40380</v>
      </c>
      <c r="B174" s="696" t="s">
        <v>948</v>
      </c>
      <c r="C174" s="697">
        <v>28</v>
      </c>
      <c r="D174" s="695">
        <v>40408</v>
      </c>
      <c r="E174" s="698">
        <v>6</v>
      </c>
      <c r="F174" s="698">
        <v>0</v>
      </c>
      <c r="G174" s="698">
        <v>0</v>
      </c>
      <c r="H174" s="698">
        <v>0</v>
      </c>
      <c r="I174" s="699">
        <v>0</v>
      </c>
      <c r="J174" s="699">
        <v>0</v>
      </c>
      <c r="K174" s="699">
        <v>0</v>
      </c>
      <c r="L174" s="697">
        <v>0</v>
      </c>
    </row>
    <row r="175" spans="1:12" ht="12" hidden="1" customHeight="1">
      <c r="A175" s="695">
        <v>40387</v>
      </c>
      <c r="B175" s="696" t="s">
        <v>949</v>
      </c>
      <c r="C175" s="697">
        <v>28</v>
      </c>
      <c r="D175" s="695">
        <v>40415</v>
      </c>
      <c r="E175" s="698">
        <v>6</v>
      </c>
      <c r="F175" s="698">
        <v>2.0230999999999999</v>
      </c>
      <c r="G175" s="698">
        <v>1.9731000000000001</v>
      </c>
      <c r="H175" s="698">
        <v>0</v>
      </c>
      <c r="I175" s="699">
        <v>0.01</v>
      </c>
      <c r="J175" s="699">
        <v>0.01</v>
      </c>
      <c r="K175" s="699">
        <v>0.01</v>
      </c>
      <c r="L175" s="697">
        <v>2</v>
      </c>
    </row>
    <row r="176" spans="1:12" ht="12" hidden="1" customHeight="1">
      <c r="A176" s="695">
        <v>40394</v>
      </c>
      <c r="B176" s="696" t="s">
        <v>950</v>
      </c>
      <c r="C176" s="697">
        <v>28</v>
      </c>
      <c r="D176" s="695">
        <v>40422</v>
      </c>
      <c r="E176" s="698">
        <v>5</v>
      </c>
      <c r="F176" s="698">
        <v>13.290324999999999</v>
      </c>
      <c r="G176" s="698">
        <v>4</v>
      </c>
      <c r="H176" s="698">
        <v>0</v>
      </c>
      <c r="I176" s="699">
        <v>0.01</v>
      </c>
      <c r="J176" s="699">
        <v>0.01</v>
      </c>
      <c r="K176" s="699">
        <v>0.01</v>
      </c>
      <c r="L176" s="697">
        <v>2</v>
      </c>
    </row>
    <row r="177" spans="1:12" ht="12" hidden="1" customHeight="1">
      <c r="A177" s="695">
        <v>40401</v>
      </c>
      <c r="B177" s="696" t="s">
        <v>951</v>
      </c>
      <c r="C177" s="697">
        <v>28</v>
      </c>
      <c r="D177" s="695">
        <v>40429</v>
      </c>
      <c r="E177" s="698">
        <v>6</v>
      </c>
      <c r="F177" s="698">
        <v>15.89756036</v>
      </c>
      <c r="G177" s="698">
        <v>5</v>
      </c>
      <c r="H177" s="698">
        <v>0</v>
      </c>
      <c r="I177" s="699">
        <v>0.01</v>
      </c>
      <c r="J177" s="699">
        <v>0.01</v>
      </c>
      <c r="K177" s="699">
        <v>0.01</v>
      </c>
      <c r="L177" s="697">
        <v>2</v>
      </c>
    </row>
    <row r="178" spans="1:12" ht="12" hidden="1" customHeight="1">
      <c r="A178" s="695">
        <v>40408</v>
      </c>
      <c r="B178" s="696" t="s">
        <v>952</v>
      </c>
      <c r="C178" s="697">
        <v>28</v>
      </c>
      <c r="D178" s="695">
        <v>40436</v>
      </c>
      <c r="E178" s="698">
        <v>5</v>
      </c>
      <c r="F178" s="698">
        <v>9.4017999999999997</v>
      </c>
      <c r="G178" s="698">
        <v>4</v>
      </c>
      <c r="H178" s="698">
        <v>0</v>
      </c>
      <c r="I178" s="699">
        <v>0.01</v>
      </c>
      <c r="J178" s="699">
        <v>0.01</v>
      </c>
      <c r="K178" s="699">
        <v>0.01</v>
      </c>
      <c r="L178" s="697">
        <v>2</v>
      </c>
    </row>
    <row r="179" spans="1:12" ht="12" hidden="1" customHeight="1">
      <c r="A179" s="695">
        <v>40415</v>
      </c>
      <c r="B179" s="696" t="s">
        <v>953</v>
      </c>
      <c r="C179" s="697">
        <v>28</v>
      </c>
      <c r="D179" s="695">
        <v>40443</v>
      </c>
      <c r="E179" s="698">
        <v>5</v>
      </c>
      <c r="F179" s="698">
        <v>15.9764</v>
      </c>
      <c r="G179" s="698">
        <v>4</v>
      </c>
      <c r="H179" s="698">
        <v>0</v>
      </c>
      <c r="I179" s="699">
        <v>0.01</v>
      </c>
      <c r="J179" s="699">
        <v>0.01</v>
      </c>
      <c r="K179" s="699">
        <v>0.01</v>
      </c>
      <c r="L179" s="697">
        <v>2</v>
      </c>
    </row>
    <row r="180" spans="1:12" ht="12" hidden="1" customHeight="1">
      <c r="A180" s="695">
        <v>40422</v>
      </c>
      <c r="B180" s="696" t="s">
        <v>954</v>
      </c>
      <c r="C180" s="697">
        <v>28</v>
      </c>
      <c r="D180" s="695">
        <v>40450</v>
      </c>
      <c r="E180" s="698">
        <v>5</v>
      </c>
      <c r="F180" s="698">
        <v>12.3727</v>
      </c>
      <c r="G180" s="698">
        <v>4</v>
      </c>
      <c r="H180" s="698">
        <v>0</v>
      </c>
      <c r="I180" s="699">
        <v>0.01</v>
      </c>
      <c r="J180" s="699">
        <v>0.01</v>
      </c>
      <c r="K180" s="699">
        <v>0.01</v>
      </c>
      <c r="L180" s="697">
        <v>2</v>
      </c>
    </row>
    <row r="181" spans="1:12" ht="12" hidden="1" customHeight="1">
      <c r="A181" s="695">
        <v>40429</v>
      </c>
      <c r="B181" s="696" t="s">
        <v>955</v>
      </c>
      <c r="C181" s="697">
        <v>28</v>
      </c>
      <c r="D181" s="695">
        <v>40457</v>
      </c>
      <c r="E181" s="698">
        <v>6</v>
      </c>
      <c r="F181" s="698">
        <v>12</v>
      </c>
      <c r="G181" s="698">
        <v>5</v>
      </c>
      <c r="H181" s="698">
        <v>0</v>
      </c>
      <c r="I181" s="699">
        <v>0.01</v>
      </c>
      <c r="J181" s="699">
        <v>0.01</v>
      </c>
      <c r="K181" s="699">
        <v>0.01</v>
      </c>
      <c r="L181" s="697">
        <v>2</v>
      </c>
    </row>
    <row r="182" spans="1:12" ht="12" hidden="1" customHeight="1">
      <c r="A182" s="695">
        <v>40436</v>
      </c>
      <c r="B182" s="696" t="s">
        <v>956</v>
      </c>
      <c r="C182" s="697">
        <v>28</v>
      </c>
      <c r="D182" s="695">
        <v>40464</v>
      </c>
      <c r="E182" s="698">
        <v>6</v>
      </c>
      <c r="F182" s="698">
        <v>11.5039</v>
      </c>
      <c r="G182" s="698">
        <v>4</v>
      </c>
      <c r="H182" s="698">
        <v>0</v>
      </c>
      <c r="I182" s="699">
        <v>0.01</v>
      </c>
      <c r="J182" s="699">
        <v>0.01</v>
      </c>
      <c r="K182" s="699">
        <v>0.01</v>
      </c>
      <c r="L182" s="697">
        <v>3</v>
      </c>
    </row>
    <row r="183" spans="1:12" ht="12" hidden="1" customHeight="1">
      <c r="A183" s="695">
        <v>40443</v>
      </c>
      <c r="B183" s="696" t="s">
        <v>957</v>
      </c>
      <c r="C183" s="697">
        <v>28</v>
      </c>
      <c r="D183" s="695">
        <v>40471</v>
      </c>
      <c r="E183" s="698">
        <v>6</v>
      </c>
      <c r="F183" s="698">
        <v>13.0007</v>
      </c>
      <c r="G183" s="698">
        <v>5</v>
      </c>
      <c r="H183" s="698">
        <v>0</v>
      </c>
      <c r="I183" s="699">
        <v>0.01</v>
      </c>
      <c r="J183" s="699">
        <v>0.01</v>
      </c>
      <c r="K183" s="699">
        <v>0.01</v>
      </c>
      <c r="L183" s="697">
        <v>2</v>
      </c>
    </row>
    <row r="184" spans="1:12" ht="12" hidden="1" customHeight="1">
      <c r="A184" s="695">
        <v>40450</v>
      </c>
      <c r="B184" s="696" t="s">
        <v>958</v>
      </c>
      <c r="C184" s="697">
        <v>28</v>
      </c>
      <c r="D184" s="695">
        <v>40478</v>
      </c>
      <c r="E184" s="698">
        <v>6</v>
      </c>
      <c r="F184" s="698">
        <v>15.003299999999999</v>
      </c>
      <c r="G184" s="698">
        <v>4</v>
      </c>
      <c r="H184" s="698">
        <v>0</v>
      </c>
      <c r="I184" s="699">
        <v>0.01</v>
      </c>
      <c r="J184" s="699">
        <v>0.01</v>
      </c>
      <c r="K184" s="699">
        <v>0.01</v>
      </c>
      <c r="L184" s="697">
        <v>2</v>
      </c>
    </row>
    <row r="185" spans="1:12" ht="12" hidden="1" customHeight="1">
      <c r="A185" s="695">
        <v>40457</v>
      </c>
      <c r="B185" s="696" t="s">
        <v>959</v>
      </c>
      <c r="C185" s="697">
        <v>28</v>
      </c>
      <c r="D185" s="695">
        <v>40485</v>
      </c>
      <c r="E185" s="698">
        <v>6</v>
      </c>
      <c r="F185" s="698">
        <v>10.2502</v>
      </c>
      <c r="G185" s="698">
        <v>6</v>
      </c>
      <c r="H185" s="698">
        <v>0</v>
      </c>
      <c r="I185" s="699">
        <v>0.01</v>
      </c>
      <c r="J185" s="699">
        <v>0.01</v>
      </c>
      <c r="K185" s="699">
        <v>0.01</v>
      </c>
      <c r="L185" s="697">
        <v>2</v>
      </c>
    </row>
    <row r="186" spans="1:12" ht="12" hidden="1" customHeight="1">
      <c r="A186" s="695">
        <v>40464</v>
      </c>
      <c r="B186" s="696" t="s">
        <v>960</v>
      </c>
      <c r="C186" s="697">
        <v>28</v>
      </c>
      <c r="D186" s="695">
        <v>40492</v>
      </c>
      <c r="E186" s="698">
        <v>6</v>
      </c>
      <c r="F186" s="698">
        <v>7.7526000000000002</v>
      </c>
      <c r="G186" s="698">
        <v>5</v>
      </c>
      <c r="H186" s="698">
        <v>0</v>
      </c>
      <c r="I186" s="699">
        <v>0.01</v>
      </c>
      <c r="J186" s="699">
        <v>0.01</v>
      </c>
      <c r="K186" s="699">
        <v>0.01</v>
      </c>
      <c r="L186" s="697">
        <v>2</v>
      </c>
    </row>
    <row r="187" spans="1:12" ht="12" hidden="1" customHeight="1">
      <c r="A187" s="695">
        <v>40471</v>
      </c>
      <c r="B187" s="696" t="s">
        <v>961</v>
      </c>
      <c r="C187" s="697">
        <v>29</v>
      </c>
      <c r="D187" s="695">
        <v>40500</v>
      </c>
      <c r="E187" s="698">
        <v>7</v>
      </c>
      <c r="F187" s="698">
        <v>3.8170000000000002</v>
      </c>
      <c r="G187" s="698">
        <v>0</v>
      </c>
      <c r="H187" s="698">
        <v>0</v>
      </c>
      <c r="I187" s="699">
        <v>0</v>
      </c>
      <c r="J187" s="699">
        <v>0</v>
      </c>
      <c r="K187" s="699">
        <v>0</v>
      </c>
      <c r="L187" s="697">
        <v>1</v>
      </c>
    </row>
    <row r="188" spans="1:12" ht="12" hidden="1" customHeight="1">
      <c r="A188" s="695">
        <v>40478</v>
      </c>
      <c r="B188" s="696" t="s">
        <v>962</v>
      </c>
      <c r="C188" s="697">
        <v>28</v>
      </c>
      <c r="D188" s="695">
        <v>40506</v>
      </c>
      <c r="E188" s="698">
        <v>10</v>
      </c>
      <c r="F188" s="698">
        <v>7</v>
      </c>
      <c r="G188" s="698">
        <v>0</v>
      </c>
      <c r="H188" s="698">
        <v>0</v>
      </c>
      <c r="I188" s="699">
        <v>0</v>
      </c>
      <c r="J188" s="699">
        <v>0</v>
      </c>
      <c r="K188" s="699">
        <v>0</v>
      </c>
      <c r="L188" s="697">
        <v>1</v>
      </c>
    </row>
    <row r="189" spans="1:12" ht="12" hidden="1" customHeight="1">
      <c r="A189" s="695">
        <v>40485</v>
      </c>
      <c r="B189" s="696" t="s">
        <v>963</v>
      </c>
      <c r="C189" s="697">
        <v>28</v>
      </c>
      <c r="D189" s="695">
        <v>40513</v>
      </c>
      <c r="E189" s="698">
        <v>7</v>
      </c>
      <c r="F189" s="698">
        <v>7</v>
      </c>
      <c r="G189" s="698">
        <v>7</v>
      </c>
      <c r="H189" s="698">
        <v>0</v>
      </c>
      <c r="I189" s="699">
        <v>1.29E-2</v>
      </c>
      <c r="J189" s="699">
        <v>1.4200000000000001E-2</v>
      </c>
      <c r="K189" s="699">
        <v>1.3100000000000001E-2</v>
      </c>
      <c r="L189" s="697">
        <v>2</v>
      </c>
    </row>
    <row r="190" spans="1:12" ht="12" hidden="1" customHeight="1">
      <c r="A190" s="695">
        <v>40492</v>
      </c>
      <c r="B190" s="696" t="s">
        <v>964</v>
      </c>
      <c r="C190" s="697">
        <v>28</v>
      </c>
      <c r="D190" s="695">
        <v>40520</v>
      </c>
      <c r="E190" s="698">
        <v>7</v>
      </c>
      <c r="F190" s="698">
        <v>7.8986999999999998</v>
      </c>
      <c r="G190" s="698">
        <v>7</v>
      </c>
      <c r="H190" s="698">
        <v>0</v>
      </c>
      <c r="I190" s="699">
        <v>1.29E-2</v>
      </c>
      <c r="J190" s="699">
        <v>1.95E-2</v>
      </c>
      <c r="K190" s="699">
        <v>1.8700000000000001E-2</v>
      </c>
      <c r="L190" s="697">
        <v>2</v>
      </c>
    </row>
    <row r="191" spans="1:12" ht="12" hidden="1" customHeight="1">
      <c r="A191" s="695">
        <v>40500</v>
      </c>
      <c r="B191" s="696" t="s">
        <v>965</v>
      </c>
      <c r="C191" s="697">
        <v>27</v>
      </c>
      <c r="D191" s="695">
        <v>40527</v>
      </c>
      <c r="E191" s="698">
        <v>5</v>
      </c>
      <c r="F191" s="698">
        <v>12.6069</v>
      </c>
      <c r="G191" s="698">
        <v>2</v>
      </c>
      <c r="H191" s="698">
        <v>0</v>
      </c>
      <c r="I191" s="699">
        <v>1.29E-2</v>
      </c>
      <c r="J191" s="699">
        <v>1.29E-2</v>
      </c>
      <c r="K191" s="699">
        <v>1.29E-2</v>
      </c>
      <c r="L191" s="697">
        <v>3</v>
      </c>
    </row>
    <row r="192" spans="1:12" ht="12" hidden="1" customHeight="1">
      <c r="A192" s="695">
        <v>40506</v>
      </c>
      <c r="B192" s="696" t="s">
        <v>966</v>
      </c>
      <c r="C192" s="697">
        <v>28</v>
      </c>
      <c r="D192" s="695">
        <v>40534</v>
      </c>
      <c r="E192" s="698">
        <v>10</v>
      </c>
      <c r="F192" s="698">
        <v>17.488900000000001</v>
      </c>
      <c r="G192" s="698">
        <v>3</v>
      </c>
      <c r="H192" s="698">
        <v>0</v>
      </c>
      <c r="I192" s="699">
        <v>1.29E-2</v>
      </c>
      <c r="J192" s="699">
        <v>1.29E-2</v>
      </c>
      <c r="K192" s="699">
        <v>1.29E-2</v>
      </c>
      <c r="L192" s="697">
        <v>4</v>
      </c>
    </row>
    <row r="193" spans="1:12" ht="12" hidden="1" customHeight="1">
      <c r="A193" s="695">
        <v>40513</v>
      </c>
      <c r="B193" s="696" t="s">
        <v>1108</v>
      </c>
      <c r="C193" s="697">
        <v>28</v>
      </c>
      <c r="D193" s="695">
        <v>40541</v>
      </c>
      <c r="E193" s="698">
        <v>7</v>
      </c>
      <c r="F193" s="698">
        <v>0.99870000000000003</v>
      </c>
      <c r="G193" s="698">
        <v>0</v>
      </c>
      <c r="H193" s="698">
        <v>0</v>
      </c>
      <c r="I193" s="699">
        <v>0</v>
      </c>
      <c r="J193" s="699">
        <v>0</v>
      </c>
      <c r="K193" s="699">
        <v>0</v>
      </c>
      <c r="L193" s="697">
        <v>1</v>
      </c>
    </row>
    <row r="194" spans="1:12" ht="12" hidden="1" customHeight="1">
      <c r="A194" s="695">
        <v>40520</v>
      </c>
      <c r="B194" s="696" t="s">
        <v>1109</v>
      </c>
      <c r="C194" s="697">
        <v>28</v>
      </c>
      <c r="D194" s="695">
        <v>40548</v>
      </c>
      <c r="E194" s="698">
        <v>10</v>
      </c>
      <c r="F194" s="698">
        <v>14.9053</v>
      </c>
      <c r="G194" s="698">
        <v>10</v>
      </c>
      <c r="H194" s="698">
        <v>0</v>
      </c>
      <c r="I194" s="699">
        <v>1.2E-2</v>
      </c>
      <c r="J194" s="699">
        <v>1.9900000000000001E-2</v>
      </c>
      <c r="K194" s="699">
        <v>1.4E-2</v>
      </c>
      <c r="L194" s="697">
        <v>4</v>
      </c>
    </row>
    <row r="195" spans="1:12" ht="12" hidden="1" customHeight="1">
      <c r="A195" s="695">
        <v>40527</v>
      </c>
      <c r="B195" s="696" t="s">
        <v>1110</v>
      </c>
      <c r="C195" s="697">
        <v>28</v>
      </c>
      <c r="D195" s="695">
        <v>40555</v>
      </c>
      <c r="E195" s="698">
        <v>10</v>
      </c>
      <c r="F195" s="698">
        <v>15.111000000000001</v>
      </c>
      <c r="G195" s="698">
        <v>10</v>
      </c>
      <c r="H195" s="698">
        <v>0</v>
      </c>
      <c r="I195" s="699">
        <v>1.2200000000000001E-2</v>
      </c>
      <c r="J195" s="699">
        <v>2.0199999999999999E-2</v>
      </c>
      <c r="K195" s="699">
        <v>1.7299999999999999E-2</v>
      </c>
      <c r="L195" s="697">
        <v>5</v>
      </c>
    </row>
    <row r="196" spans="1:12" ht="12" hidden="1" customHeight="1">
      <c r="A196" s="695">
        <v>40534</v>
      </c>
      <c r="B196" s="696" t="s">
        <v>1111</v>
      </c>
      <c r="C196" s="697">
        <v>28</v>
      </c>
      <c r="D196" s="695">
        <v>40562</v>
      </c>
      <c r="E196" s="698">
        <v>10</v>
      </c>
      <c r="F196" s="698">
        <v>4.218</v>
      </c>
      <c r="G196" s="698">
        <v>4.218</v>
      </c>
      <c r="H196" s="698">
        <v>0</v>
      </c>
      <c r="I196" s="699">
        <v>1.9800000000000002E-2</v>
      </c>
      <c r="J196" s="699">
        <v>2.1999999999999999E-2</v>
      </c>
      <c r="K196" s="699">
        <v>2.1399999999999999E-2</v>
      </c>
      <c r="L196" s="697">
        <v>2</v>
      </c>
    </row>
    <row r="197" spans="1:12" ht="12" hidden="1" customHeight="1">
      <c r="A197" s="695">
        <v>40541</v>
      </c>
      <c r="B197" s="696" t="s">
        <v>1112</v>
      </c>
      <c r="C197" s="697">
        <v>28</v>
      </c>
      <c r="D197" s="695">
        <v>40569</v>
      </c>
      <c r="E197" s="698">
        <v>10</v>
      </c>
      <c r="F197" s="698">
        <v>20</v>
      </c>
      <c r="G197" s="698">
        <v>10</v>
      </c>
      <c r="H197" s="698">
        <v>0</v>
      </c>
      <c r="I197" s="699">
        <v>0.02</v>
      </c>
      <c r="J197" s="699">
        <v>2.1999999999999999E-2</v>
      </c>
      <c r="K197" s="699">
        <v>2.0799999999999999E-2</v>
      </c>
      <c r="L197" s="697">
        <v>3</v>
      </c>
    </row>
    <row r="198" spans="1:12" ht="12" hidden="1" customHeight="1">
      <c r="A198" s="695">
        <v>40548</v>
      </c>
      <c r="B198" s="696" t="s">
        <v>1113</v>
      </c>
      <c r="C198" s="697">
        <v>28</v>
      </c>
      <c r="D198" s="695">
        <v>40576</v>
      </c>
      <c r="E198" s="698">
        <v>10</v>
      </c>
      <c r="F198" s="698">
        <v>13.396699999999999</v>
      </c>
      <c r="G198" s="698">
        <v>10</v>
      </c>
      <c r="H198" s="698">
        <v>0</v>
      </c>
      <c r="I198" s="699">
        <v>2.1999999999999999E-2</v>
      </c>
      <c r="J198" s="699">
        <v>2.1999999999999999E-2</v>
      </c>
      <c r="K198" s="699">
        <v>2.1999999999999999E-2</v>
      </c>
      <c r="L198" s="697">
        <v>3</v>
      </c>
    </row>
    <row r="199" spans="1:12" ht="12" hidden="1" customHeight="1">
      <c r="A199" s="695">
        <v>40555</v>
      </c>
      <c r="B199" s="696" t="s">
        <v>1114</v>
      </c>
      <c r="C199" s="697">
        <v>28</v>
      </c>
      <c r="D199" s="695">
        <v>40583</v>
      </c>
      <c r="E199" s="698">
        <v>12</v>
      </c>
      <c r="F199" s="698">
        <v>40.637700000000002</v>
      </c>
      <c r="G199" s="698">
        <v>12</v>
      </c>
      <c r="H199" s="698">
        <v>0</v>
      </c>
      <c r="I199" s="699">
        <v>0.02</v>
      </c>
      <c r="J199" s="699">
        <v>0.02</v>
      </c>
      <c r="K199" s="699">
        <v>0.02</v>
      </c>
      <c r="L199" s="697">
        <v>6</v>
      </c>
    </row>
    <row r="200" spans="1:12" ht="12" hidden="1" customHeight="1">
      <c r="A200" s="695">
        <v>40562</v>
      </c>
      <c r="B200" s="696" t="s">
        <v>1115</v>
      </c>
      <c r="C200" s="697">
        <v>28</v>
      </c>
      <c r="D200" s="695">
        <v>40590</v>
      </c>
      <c r="E200" s="698">
        <v>15</v>
      </c>
      <c r="F200" s="698">
        <v>48.584400000000002</v>
      </c>
      <c r="G200" s="698">
        <v>12</v>
      </c>
      <c r="H200" s="698">
        <v>0</v>
      </c>
      <c r="I200" s="699">
        <v>1.7999999999999999E-2</v>
      </c>
      <c r="J200" s="699">
        <v>1.8800000000000001E-2</v>
      </c>
      <c r="K200" s="699">
        <v>1.9E-2</v>
      </c>
      <c r="L200" s="697">
        <v>9</v>
      </c>
    </row>
    <row r="201" spans="1:12" ht="12" hidden="1" customHeight="1">
      <c r="A201" s="695">
        <v>40569</v>
      </c>
      <c r="B201" s="696" t="s">
        <v>1116</v>
      </c>
      <c r="C201" s="697">
        <v>28</v>
      </c>
      <c r="D201" s="695">
        <v>40597</v>
      </c>
      <c r="E201" s="698">
        <v>20</v>
      </c>
      <c r="F201" s="698">
        <v>51.126399999999997</v>
      </c>
      <c r="G201" s="698">
        <v>15</v>
      </c>
      <c r="H201" s="698">
        <v>0</v>
      </c>
      <c r="I201" s="699">
        <v>1.61E-2</v>
      </c>
      <c r="J201" s="699">
        <v>1.6500000000000001E-2</v>
      </c>
      <c r="K201" s="699">
        <v>1.6500000000000001E-2</v>
      </c>
      <c r="L201" s="697">
        <v>6</v>
      </c>
    </row>
    <row r="202" spans="1:12" ht="12" hidden="1" customHeight="1">
      <c r="A202" s="695">
        <v>40576</v>
      </c>
      <c r="B202" s="696" t="s">
        <v>1117</v>
      </c>
      <c r="C202" s="697">
        <v>28</v>
      </c>
      <c r="D202" s="695">
        <v>40604</v>
      </c>
      <c r="E202" s="698">
        <v>30</v>
      </c>
      <c r="F202" s="698">
        <v>54.067399999999999</v>
      </c>
      <c r="G202" s="698">
        <v>20</v>
      </c>
      <c r="H202" s="698">
        <v>0</v>
      </c>
      <c r="I202" s="699">
        <v>1.35E-2</v>
      </c>
      <c r="J202" s="699">
        <v>1.5800000000000002E-2</v>
      </c>
      <c r="K202" s="699">
        <v>1.4200000000000001E-2</v>
      </c>
      <c r="L202" s="697">
        <v>6</v>
      </c>
    </row>
    <row r="203" spans="1:12" ht="12" hidden="1" customHeight="1">
      <c r="A203" s="695">
        <v>40583</v>
      </c>
      <c r="B203" s="696" t="s">
        <v>1118</v>
      </c>
      <c r="C203" s="697">
        <v>28</v>
      </c>
      <c r="D203" s="695">
        <v>40611</v>
      </c>
      <c r="E203" s="698">
        <v>30</v>
      </c>
      <c r="F203" s="698">
        <v>57.121699999999997</v>
      </c>
      <c r="G203" s="698">
        <v>20</v>
      </c>
      <c r="H203" s="698">
        <v>0</v>
      </c>
      <c r="I203" s="699">
        <v>1.29E-2</v>
      </c>
      <c r="J203" s="699">
        <v>1.4800000000000001E-2</v>
      </c>
      <c r="K203" s="699">
        <v>1.32E-2</v>
      </c>
      <c r="L203" s="697">
        <v>7</v>
      </c>
    </row>
    <row r="204" spans="1:12" ht="12" hidden="1" customHeight="1">
      <c r="A204" s="695">
        <v>40590</v>
      </c>
      <c r="B204" s="696" t="s">
        <v>1119</v>
      </c>
      <c r="C204" s="697">
        <v>28</v>
      </c>
      <c r="D204" s="695">
        <v>40618</v>
      </c>
      <c r="E204" s="698">
        <v>30</v>
      </c>
      <c r="F204" s="698">
        <v>46.122799999999998</v>
      </c>
      <c r="G204" s="698">
        <v>15</v>
      </c>
      <c r="H204" s="698">
        <v>0</v>
      </c>
      <c r="I204" s="699">
        <v>1.2500000000000001E-2</v>
      </c>
      <c r="J204" s="699">
        <v>1.26E-2</v>
      </c>
      <c r="K204" s="699">
        <v>1.2500000000000001E-2</v>
      </c>
      <c r="L204" s="697">
        <v>6</v>
      </c>
    </row>
    <row r="205" spans="1:12" ht="12" hidden="1" customHeight="1">
      <c r="A205" s="695">
        <v>40597</v>
      </c>
      <c r="B205" s="696" t="s">
        <v>1120</v>
      </c>
      <c r="C205" s="697">
        <v>28</v>
      </c>
      <c r="D205" s="695">
        <v>40625</v>
      </c>
      <c r="E205" s="698">
        <v>20</v>
      </c>
      <c r="F205" s="698">
        <v>35.390500000000003</v>
      </c>
      <c r="G205" s="698">
        <v>15</v>
      </c>
      <c r="H205" s="698">
        <v>0</v>
      </c>
      <c r="I205" s="699">
        <v>1.1599999999999999E-2</v>
      </c>
      <c r="J205" s="699">
        <v>1.1599999999999999E-2</v>
      </c>
      <c r="K205" s="699">
        <v>1.1599999999999999E-2</v>
      </c>
      <c r="L205" s="697">
        <v>7</v>
      </c>
    </row>
    <row r="206" spans="1:12" ht="12" hidden="1" customHeight="1">
      <c r="A206" s="695">
        <v>40604</v>
      </c>
      <c r="B206" s="696" t="s">
        <v>1121</v>
      </c>
      <c r="C206" s="697">
        <v>28</v>
      </c>
      <c r="D206" s="695">
        <v>40632</v>
      </c>
      <c r="E206" s="698">
        <v>30</v>
      </c>
      <c r="F206" s="698">
        <v>36.023699999999998</v>
      </c>
      <c r="G206" s="698">
        <v>20</v>
      </c>
      <c r="H206" s="698">
        <v>0</v>
      </c>
      <c r="I206" s="699">
        <v>0.01</v>
      </c>
      <c r="J206" s="699">
        <v>1.26E-2</v>
      </c>
      <c r="K206" s="699">
        <v>1.14E-2</v>
      </c>
      <c r="L206" s="697">
        <v>6</v>
      </c>
    </row>
    <row r="207" spans="1:12" ht="12" hidden="1" customHeight="1">
      <c r="A207" s="695">
        <v>40611</v>
      </c>
      <c r="B207" s="696" t="s">
        <v>1122</v>
      </c>
      <c r="C207" s="697">
        <v>28</v>
      </c>
      <c r="D207" s="695">
        <v>40639</v>
      </c>
      <c r="E207" s="698">
        <v>30</v>
      </c>
      <c r="F207" s="698">
        <v>40.1995</v>
      </c>
      <c r="G207" s="698">
        <v>20</v>
      </c>
      <c r="H207" s="698">
        <v>0</v>
      </c>
      <c r="I207" s="699">
        <v>0.01</v>
      </c>
      <c r="J207" s="699">
        <v>1.06E-2</v>
      </c>
      <c r="K207" s="699">
        <v>1.04E-2</v>
      </c>
      <c r="L207" s="697">
        <v>7</v>
      </c>
    </row>
    <row r="208" spans="1:12" ht="12" hidden="1" customHeight="1">
      <c r="A208" s="695">
        <v>40618</v>
      </c>
      <c r="B208" s="696" t="s">
        <v>1123</v>
      </c>
      <c r="C208" s="697">
        <v>28</v>
      </c>
      <c r="D208" s="695">
        <v>40646</v>
      </c>
      <c r="E208" s="698">
        <v>30</v>
      </c>
      <c r="F208" s="698">
        <v>31.979299999999999</v>
      </c>
      <c r="G208" s="698">
        <v>15</v>
      </c>
      <c r="H208" s="698">
        <v>0</v>
      </c>
      <c r="I208" s="699">
        <v>0.01</v>
      </c>
      <c r="J208" s="699">
        <v>1.01E-2</v>
      </c>
      <c r="K208" s="699">
        <v>0.01</v>
      </c>
      <c r="L208" s="697">
        <v>6</v>
      </c>
    </row>
    <row r="209" spans="1:12" ht="12" hidden="1" customHeight="1">
      <c r="A209" s="695">
        <v>40632</v>
      </c>
      <c r="B209" s="696" t="s">
        <v>1124</v>
      </c>
      <c r="C209" s="697">
        <v>28</v>
      </c>
      <c r="D209" s="695">
        <v>40660</v>
      </c>
      <c r="E209" s="698">
        <v>50</v>
      </c>
      <c r="F209" s="698">
        <v>61.913699999999999</v>
      </c>
      <c r="G209" s="698">
        <v>35</v>
      </c>
      <c r="H209" s="698">
        <v>0</v>
      </c>
      <c r="I209" s="699">
        <v>0.01</v>
      </c>
      <c r="J209" s="699">
        <v>1.3100000000000001E-2</v>
      </c>
      <c r="K209" s="699">
        <v>1.21E-2</v>
      </c>
      <c r="L209" s="697">
        <v>5</v>
      </c>
    </row>
    <row r="210" spans="1:12" ht="12" hidden="1" customHeight="1">
      <c r="A210" s="695">
        <v>40639</v>
      </c>
      <c r="B210" s="696" t="s">
        <v>1125</v>
      </c>
      <c r="C210" s="697">
        <v>28</v>
      </c>
      <c r="D210" s="695">
        <v>40667</v>
      </c>
      <c r="E210" s="698">
        <v>30</v>
      </c>
      <c r="F210" s="698">
        <v>52.511899999999997</v>
      </c>
      <c r="G210" s="698">
        <v>20</v>
      </c>
      <c r="H210" s="698">
        <v>0</v>
      </c>
      <c r="I210" s="699">
        <v>0.01</v>
      </c>
      <c r="J210" s="699">
        <v>1.03E-2</v>
      </c>
      <c r="K210" s="699">
        <v>0.01</v>
      </c>
      <c r="L210" s="697">
        <v>7</v>
      </c>
    </row>
    <row r="211" spans="1:12" ht="12" hidden="1" customHeight="1">
      <c r="A211" s="695">
        <v>40646</v>
      </c>
      <c r="B211" s="696" t="s">
        <v>1126</v>
      </c>
      <c r="C211" s="697">
        <v>28</v>
      </c>
      <c r="D211" s="695">
        <v>40674</v>
      </c>
      <c r="E211" s="698">
        <v>30</v>
      </c>
      <c r="F211" s="698">
        <v>49.2164</v>
      </c>
      <c r="G211" s="698">
        <v>20</v>
      </c>
      <c r="H211" s="698">
        <v>0</v>
      </c>
      <c r="I211" s="699">
        <v>0.01</v>
      </c>
      <c r="J211" s="699">
        <v>0.01</v>
      </c>
      <c r="K211" s="699">
        <v>0.01</v>
      </c>
      <c r="L211" s="697">
        <v>6</v>
      </c>
    </row>
    <row r="212" spans="1:12" ht="12" hidden="1" customHeight="1">
      <c r="A212" s="695">
        <v>40653</v>
      </c>
      <c r="B212" s="696" t="s">
        <v>1127</v>
      </c>
      <c r="C212" s="697">
        <v>28</v>
      </c>
      <c r="D212" s="695">
        <v>40681</v>
      </c>
      <c r="E212" s="698">
        <v>30</v>
      </c>
      <c r="F212" s="698">
        <v>33.004399999999997</v>
      </c>
      <c r="G212" s="698">
        <v>20</v>
      </c>
      <c r="H212" s="698">
        <v>0</v>
      </c>
      <c r="I212" s="699">
        <v>0.01</v>
      </c>
      <c r="J212" s="699">
        <v>1.66E-2</v>
      </c>
      <c r="K212" s="699">
        <v>1.29E-2</v>
      </c>
      <c r="L212" s="697">
        <v>6</v>
      </c>
    </row>
    <row r="213" spans="1:12" ht="12" hidden="1" customHeight="1">
      <c r="A213" s="695">
        <v>40660</v>
      </c>
      <c r="B213" s="696" t="s">
        <v>1128</v>
      </c>
      <c r="C213" s="697">
        <v>28</v>
      </c>
      <c r="D213" s="695">
        <v>40688</v>
      </c>
      <c r="E213" s="698">
        <v>50</v>
      </c>
      <c r="F213" s="698">
        <v>71.380799999999994</v>
      </c>
      <c r="G213" s="698">
        <v>35</v>
      </c>
      <c r="H213" s="698">
        <v>0</v>
      </c>
      <c r="I213" s="699">
        <v>0.01</v>
      </c>
      <c r="J213" s="699">
        <v>0.02</v>
      </c>
      <c r="K213" s="699">
        <v>1.5100000000000001E-2</v>
      </c>
      <c r="L213" s="697">
        <v>5</v>
      </c>
    </row>
    <row r="214" spans="1:12" ht="12" hidden="1" customHeight="1">
      <c r="A214" s="695">
        <v>40667</v>
      </c>
      <c r="B214" s="696" t="s">
        <v>2634</v>
      </c>
      <c r="C214" s="697">
        <v>28</v>
      </c>
      <c r="D214" s="695">
        <v>40695</v>
      </c>
      <c r="E214" s="698">
        <v>35</v>
      </c>
      <c r="F214" s="698">
        <v>27.723600000000001</v>
      </c>
      <c r="G214" s="698">
        <v>25</v>
      </c>
      <c r="H214" s="698">
        <v>0</v>
      </c>
      <c r="I214" s="699">
        <v>1.29E-2</v>
      </c>
      <c r="J214" s="699">
        <v>2.1999999999999999E-2</v>
      </c>
      <c r="K214" s="699">
        <v>1.8100000000000002E-2</v>
      </c>
      <c r="L214" s="697">
        <v>5</v>
      </c>
    </row>
    <row r="215" spans="1:12" ht="12" hidden="1" customHeight="1">
      <c r="A215" s="695">
        <v>40674</v>
      </c>
      <c r="B215" s="696" t="s">
        <v>2633</v>
      </c>
      <c r="C215" s="697">
        <v>28</v>
      </c>
      <c r="D215" s="695">
        <v>40702</v>
      </c>
      <c r="E215" s="698">
        <v>30</v>
      </c>
      <c r="F215" s="698">
        <v>17.803999999999998</v>
      </c>
      <c r="G215" s="698">
        <v>17.803999999999998</v>
      </c>
      <c r="H215" s="698">
        <v>0</v>
      </c>
      <c r="I215" s="699">
        <v>1.4800000000000001E-2</v>
      </c>
      <c r="J215" s="699">
        <v>2.5000000000000001E-2</v>
      </c>
      <c r="K215" s="699">
        <v>2.0400000000000001E-2</v>
      </c>
      <c r="L215" s="697">
        <v>6</v>
      </c>
    </row>
    <row r="216" spans="1:12" ht="12" hidden="1" customHeight="1">
      <c r="A216" s="695">
        <v>40681</v>
      </c>
      <c r="B216" s="696" t="s">
        <v>2632</v>
      </c>
      <c r="C216" s="697">
        <v>29</v>
      </c>
      <c r="D216" s="695">
        <v>40710</v>
      </c>
      <c r="E216" s="698">
        <v>30</v>
      </c>
      <c r="F216" s="698">
        <v>31.025300000000001</v>
      </c>
      <c r="G216" s="698">
        <v>15</v>
      </c>
      <c r="H216" s="698">
        <v>0</v>
      </c>
      <c r="I216" s="699">
        <v>1.9300000000000001E-2</v>
      </c>
      <c r="J216" s="699">
        <v>2.3E-2</v>
      </c>
      <c r="K216" s="699">
        <v>2.0799999999999999E-2</v>
      </c>
      <c r="L216" s="697">
        <v>6</v>
      </c>
    </row>
    <row r="217" spans="1:12" ht="12" hidden="1" customHeight="1">
      <c r="A217" s="695">
        <v>40695</v>
      </c>
      <c r="B217" s="696" t="s">
        <v>2631</v>
      </c>
      <c r="C217" s="697">
        <v>28</v>
      </c>
      <c r="D217" s="695">
        <v>40723</v>
      </c>
      <c r="E217" s="698">
        <v>35</v>
      </c>
      <c r="F217" s="698">
        <v>42.0441</v>
      </c>
      <c r="G217" s="698">
        <v>20</v>
      </c>
      <c r="H217" s="698">
        <v>0</v>
      </c>
      <c r="I217" s="699">
        <v>1.4999999999999999E-2</v>
      </c>
      <c r="J217" s="699">
        <v>2.1999999999999999E-2</v>
      </c>
      <c r="K217" s="699">
        <v>1.9E-2</v>
      </c>
      <c r="L217" s="697">
        <v>5</v>
      </c>
    </row>
    <row r="218" spans="1:12" ht="12" hidden="1" customHeight="1">
      <c r="A218" s="695">
        <v>40702</v>
      </c>
      <c r="B218" s="696" t="s">
        <v>2630</v>
      </c>
      <c r="C218" s="697">
        <v>28</v>
      </c>
      <c r="D218" s="695">
        <v>40730</v>
      </c>
      <c r="E218" s="698">
        <v>30</v>
      </c>
      <c r="F218" s="698">
        <v>24.659099999999999</v>
      </c>
      <c r="G218" s="698">
        <v>20</v>
      </c>
      <c r="H218" s="698">
        <v>0</v>
      </c>
      <c r="I218" s="699">
        <v>1.54E-2</v>
      </c>
      <c r="J218" s="699">
        <v>2.1000000000000001E-2</v>
      </c>
      <c r="K218" s="699">
        <v>1.8499999999999999E-2</v>
      </c>
      <c r="L218" s="697">
        <v>6</v>
      </c>
    </row>
    <row r="219" spans="1:12" ht="12" hidden="1" customHeight="1">
      <c r="A219" s="695">
        <v>40710</v>
      </c>
      <c r="B219" s="696" t="s">
        <v>2629</v>
      </c>
      <c r="C219" s="697">
        <v>27</v>
      </c>
      <c r="D219" s="695">
        <v>40737</v>
      </c>
      <c r="E219" s="698">
        <v>30</v>
      </c>
      <c r="F219" s="698">
        <v>13.748799999999999</v>
      </c>
      <c r="G219" s="698">
        <v>11.748800000000001</v>
      </c>
      <c r="H219" s="698">
        <v>0</v>
      </c>
      <c r="I219" s="699">
        <v>1.6E-2</v>
      </c>
      <c r="J219" s="699">
        <v>2.5000000000000001E-2</v>
      </c>
      <c r="K219" s="699">
        <v>1.9599999999999999E-2</v>
      </c>
      <c r="L219" s="697">
        <v>5</v>
      </c>
    </row>
    <row r="220" spans="1:12" ht="12" hidden="1" customHeight="1">
      <c r="A220" s="695">
        <v>40716</v>
      </c>
      <c r="B220" s="696" t="s">
        <v>2628</v>
      </c>
      <c r="C220" s="697">
        <v>28</v>
      </c>
      <c r="D220" s="695">
        <v>40744</v>
      </c>
      <c r="E220" s="698">
        <v>50</v>
      </c>
      <c r="F220" s="698">
        <v>19.507100000000001</v>
      </c>
      <c r="G220" s="698">
        <v>19.507100000000001</v>
      </c>
      <c r="H220" s="698">
        <v>0</v>
      </c>
      <c r="I220" s="699">
        <v>0.02</v>
      </c>
      <c r="J220" s="699">
        <v>3.5000000000000003E-2</v>
      </c>
      <c r="K220" s="699">
        <v>2.5600000000000001E-2</v>
      </c>
      <c r="L220" s="697">
        <v>5</v>
      </c>
    </row>
    <row r="221" spans="1:12" ht="12" hidden="1" customHeight="1">
      <c r="A221" s="695">
        <v>40723</v>
      </c>
      <c r="B221" s="696" t="s">
        <v>2627</v>
      </c>
      <c r="C221" s="697">
        <v>28</v>
      </c>
      <c r="D221" s="695">
        <v>40751</v>
      </c>
      <c r="E221" s="698">
        <v>35</v>
      </c>
      <c r="F221" s="698">
        <v>39.027500000000003</v>
      </c>
      <c r="G221" s="698">
        <v>15</v>
      </c>
      <c r="H221" s="698">
        <v>0</v>
      </c>
      <c r="I221" s="699">
        <v>2.5000000000000001E-2</v>
      </c>
      <c r="J221" s="699">
        <v>2.5000000000000001E-2</v>
      </c>
      <c r="K221" s="699">
        <v>2.5000000000000001E-2</v>
      </c>
      <c r="L221" s="697">
        <v>6</v>
      </c>
    </row>
    <row r="222" spans="1:12" ht="12" hidden="1" customHeight="1">
      <c r="A222" s="695">
        <v>40730</v>
      </c>
      <c r="B222" s="696" t="s">
        <v>1232</v>
      </c>
      <c r="C222" s="697">
        <v>28</v>
      </c>
      <c r="D222" s="695">
        <v>40758</v>
      </c>
      <c r="E222" s="698">
        <v>30</v>
      </c>
      <c r="F222" s="698">
        <v>11.1031</v>
      </c>
      <c r="G222" s="698">
        <v>9.0977999999999994</v>
      </c>
      <c r="H222" s="698">
        <v>0</v>
      </c>
      <c r="I222" s="699">
        <v>0.02</v>
      </c>
      <c r="J222" s="699">
        <v>2.8299999999999999E-2</v>
      </c>
      <c r="K222" s="699">
        <v>2.2100000000000002E-2</v>
      </c>
      <c r="L222" s="697">
        <v>4</v>
      </c>
    </row>
    <row r="223" spans="1:12" ht="12" hidden="1" customHeight="1">
      <c r="A223" s="695">
        <v>40737</v>
      </c>
      <c r="B223" s="696" t="s">
        <v>1233</v>
      </c>
      <c r="C223" s="697">
        <v>28</v>
      </c>
      <c r="D223" s="695">
        <v>40765</v>
      </c>
      <c r="E223" s="698">
        <v>20</v>
      </c>
      <c r="F223" s="698">
        <v>7.1147999999999998</v>
      </c>
      <c r="G223" s="698">
        <v>5.1081000000000003</v>
      </c>
      <c r="H223" s="698">
        <v>0</v>
      </c>
      <c r="I223" s="699">
        <v>2.3E-2</v>
      </c>
      <c r="J223" s="699">
        <v>3.1600000000000003E-2</v>
      </c>
      <c r="K223" s="699">
        <v>2.7300000000000001E-2</v>
      </c>
      <c r="L223" s="697">
        <v>3</v>
      </c>
    </row>
    <row r="224" spans="1:12" ht="12" hidden="1" customHeight="1">
      <c r="A224" s="695">
        <v>40744</v>
      </c>
      <c r="B224" s="696" t="s">
        <v>1234</v>
      </c>
      <c r="C224" s="697">
        <v>28</v>
      </c>
      <c r="D224" s="695">
        <v>40772</v>
      </c>
      <c r="E224" s="698">
        <v>20</v>
      </c>
      <c r="F224" s="698">
        <v>5.5124000000000004</v>
      </c>
      <c r="G224" s="698">
        <v>0.502</v>
      </c>
      <c r="H224" s="698">
        <v>0</v>
      </c>
      <c r="I224" s="699">
        <v>2.98E-2</v>
      </c>
      <c r="J224" s="699">
        <v>2.98E-2</v>
      </c>
      <c r="K224" s="699">
        <v>2.98E-2</v>
      </c>
      <c r="L224" s="697">
        <v>2</v>
      </c>
    </row>
    <row r="225" spans="1:12" ht="12" hidden="1" customHeight="1">
      <c r="A225" s="695">
        <v>40751</v>
      </c>
      <c r="B225" s="696" t="s">
        <v>1235</v>
      </c>
      <c r="C225" s="697">
        <v>28</v>
      </c>
      <c r="D225" s="695">
        <v>40779</v>
      </c>
      <c r="E225" s="698">
        <v>15</v>
      </c>
      <c r="F225" s="698">
        <v>21.163</v>
      </c>
      <c r="G225" s="698">
        <v>5</v>
      </c>
      <c r="H225" s="698">
        <v>0</v>
      </c>
      <c r="I225" s="699">
        <v>2.4E-2</v>
      </c>
      <c r="J225" s="699">
        <v>0.03</v>
      </c>
      <c r="K225" s="699">
        <v>2.8199999999999999E-2</v>
      </c>
      <c r="L225" s="697">
        <v>4</v>
      </c>
    </row>
    <row r="226" spans="1:12" ht="12" hidden="1" customHeight="1">
      <c r="A226" s="695">
        <v>40758</v>
      </c>
      <c r="B226" s="696" t="s">
        <v>1239</v>
      </c>
      <c r="C226" s="697">
        <v>28</v>
      </c>
      <c r="D226" s="695">
        <v>40786</v>
      </c>
      <c r="E226" s="698">
        <v>15</v>
      </c>
      <c r="F226" s="698">
        <v>19.427199999999999</v>
      </c>
      <c r="G226" s="698">
        <v>10</v>
      </c>
      <c r="H226" s="698">
        <v>0</v>
      </c>
      <c r="I226" s="699">
        <v>2.5000000000000001E-2</v>
      </c>
      <c r="J226" s="699">
        <v>0.03</v>
      </c>
      <c r="K226" s="699">
        <v>2.8500000000000001E-2</v>
      </c>
      <c r="L226" s="697">
        <v>5</v>
      </c>
    </row>
    <row r="227" spans="1:12" ht="12" hidden="1" customHeight="1">
      <c r="A227" s="695">
        <v>40765</v>
      </c>
      <c r="B227" s="696" t="s">
        <v>1240</v>
      </c>
      <c r="C227" s="697">
        <v>28</v>
      </c>
      <c r="D227" s="695">
        <v>40793</v>
      </c>
      <c r="E227" s="698">
        <v>15</v>
      </c>
      <c r="F227" s="698">
        <v>21.0303</v>
      </c>
      <c r="G227" s="698">
        <v>5</v>
      </c>
      <c r="H227" s="698">
        <v>0</v>
      </c>
      <c r="I227" s="699">
        <v>2.5000000000000001E-2</v>
      </c>
      <c r="J227" s="699">
        <v>2.9000000000000001E-2</v>
      </c>
      <c r="K227" s="699">
        <v>2.7E-2</v>
      </c>
      <c r="L227" s="697">
        <v>5</v>
      </c>
    </row>
    <row r="228" spans="1:12" ht="12" hidden="1" customHeight="1">
      <c r="A228" s="695">
        <v>40772</v>
      </c>
      <c r="B228" s="696" t="s">
        <v>1241</v>
      </c>
      <c r="C228" s="697">
        <v>28</v>
      </c>
      <c r="D228" s="695">
        <v>40800</v>
      </c>
      <c r="E228" s="698">
        <v>10</v>
      </c>
      <c r="F228" s="698">
        <v>16.514299999999999</v>
      </c>
      <c r="G228" s="698">
        <v>5</v>
      </c>
      <c r="H228" s="698">
        <v>0</v>
      </c>
      <c r="I228" s="699">
        <v>2.3199999999999998E-2</v>
      </c>
      <c r="J228" s="699">
        <v>2.4799999999999999E-2</v>
      </c>
      <c r="K228" s="699">
        <v>2.35E-2</v>
      </c>
      <c r="L228" s="697">
        <v>5</v>
      </c>
    </row>
    <row r="229" spans="1:12" ht="12" hidden="1" customHeight="1">
      <c r="A229" s="695">
        <v>40779</v>
      </c>
      <c r="B229" s="696" t="s">
        <v>1242</v>
      </c>
      <c r="C229" s="697">
        <v>28</v>
      </c>
      <c r="D229" s="695">
        <v>40807</v>
      </c>
      <c r="E229" s="698">
        <v>15</v>
      </c>
      <c r="F229" s="698">
        <v>9</v>
      </c>
      <c r="G229" s="698">
        <v>5</v>
      </c>
      <c r="H229" s="698">
        <v>0</v>
      </c>
      <c r="I229" s="699">
        <v>2.06E-2</v>
      </c>
      <c r="J229" s="699">
        <v>2.4E-2</v>
      </c>
      <c r="K229" s="699">
        <v>2.1299999999999999E-2</v>
      </c>
      <c r="L229" s="697">
        <v>2</v>
      </c>
    </row>
    <row r="230" spans="1:12" ht="12" hidden="1" customHeight="1">
      <c r="A230" s="695">
        <v>40787</v>
      </c>
      <c r="B230" s="696" t="s">
        <v>1247</v>
      </c>
      <c r="C230" s="697">
        <v>27</v>
      </c>
      <c r="D230" s="695">
        <v>40814</v>
      </c>
      <c r="E230" s="698">
        <v>15</v>
      </c>
      <c r="F230" s="698">
        <v>6.9165999999999999</v>
      </c>
      <c r="G230" s="698">
        <v>2.9066999999999998</v>
      </c>
      <c r="H230" s="698">
        <v>0</v>
      </c>
      <c r="I230" s="699">
        <v>0.02</v>
      </c>
      <c r="J230" s="699">
        <v>2.3E-2</v>
      </c>
      <c r="K230" s="699">
        <v>2.2100000000000002E-2</v>
      </c>
      <c r="L230" s="697">
        <v>2</v>
      </c>
    </row>
    <row r="231" spans="1:12" ht="12" hidden="1" customHeight="1">
      <c r="A231" s="695">
        <v>40793</v>
      </c>
      <c r="B231" s="696" t="s">
        <v>1248</v>
      </c>
      <c r="C231" s="697">
        <v>28</v>
      </c>
      <c r="D231" s="695">
        <v>40821</v>
      </c>
      <c r="E231" s="698">
        <v>15</v>
      </c>
      <c r="F231" s="698">
        <v>2.5072999999999999</v>
      </c>
      <c r="G231" s="698">
        <v>1.5055000000000001</v>
      </c>
      <c r="H231" s="698">
        <v>0</v>
      </c>
      <c r="I231" s="699">
        <v>2.1499999999999998E-2</v>
      </c>
      <c r="J231" s="699">
        <v>2.4E-2</v>
      </c>
      <c r="K231" s="699">
        <v>2.23E-2</v>
      </c>
      <c r="L231" s="697">
        <v>3</v>
      </c>
    </row>
    <row r="232" spans="1:12" ht="12" hidden="1" customHeight="1">
      <c r="A232" s="695">
        <v>40800</v>
      </c>
      <c r="B232" s="696" t="s">
        <v>1249</v>
      </c>
      <c r="C232" s="697">
        <v>28</v>
      </c>
      <c r="D232" s="695">
        <v>40828</v>
      </c>
      <c r="E232" s="698">
        <v>15</v>
      </c>
      <c r="F232" s="698">
        <v>3.0032999999999999</v>
      </c>
      <c r="G232" s="698">
        <v>3.0032999999999999</v>
      </c>
      <c r="H232" s="698">
        <v>0</v>
      </c>
      <c r="I232" s="699">
        <v>2.4E-2</v>
      </c>
      <c r="J232" s="699">
        <v>2.9000000000000001E-2</v>
      </c>
      <c r="K232" s="699">
        <v>2.6700000000000002E-2</v>
      </c>
      <c r="L232" s="697">
        <v>2</v>
      </c>
    </row>
    <row r="233" spans="1:12" ht="12" hidden="1" customHeight="1">
      <c r="A233" s="695">
        <v>40807</v>
      </c>
      <c r="B233" s="696" t="s">
        <v>1250</v>
      </c>
      <c r="C233" s="697">
        <v>28</v>
      </c>
      <c r="D233" s="695">
        <v>40835</v>
      </c>
      <c r="E233" s="698">
        <v>15</v>
      </c>
      <c r="F233" s="698">
        <v>4.5026000000000002</v>
      </c>
      <c r="G233" s="698">
        <v>4.5026000000000002</v>
      </c>
      <c r="H233" s="698">
        <v>0</v>
      </c>
      <c r="I233" s="699">
        <v>2.58E-2</v>
      </c>
      <c r="J233" s="699">
        <v>2.9499999999999998E-2</v>
      </c>
      <c r="K233" s="699">
        <v>2.7E-2</v>
      </c>
      <c r="L233" s="697">
        <v>2</v>
      </c>
    </row>
    <row r="234" spans="1:12" ht="12" hidden="1" customHeight="1">
      <c r="A234" s="695">
        <v>40814</v>
      </c>
      <c r="B234" s="696" t="s">
        <v>1251</v>
      </c>
      <c r="C234" s="697">
        <v>28</v>
      </c>
      <c r="D234" s="695">
        <v>40842</v>
      </c>
      <c r="E234" s="698">
        <v>15</v>
      </c>
      <c r="F234" s="698">
        <v>5.1094999999999997</v>
      </c>
      <c r="G234" s="698">
        <v>5</v>
      </c>
      <c r="H234" s="698">
        <v>0</v>
      </c>
      <c r="I234" s="699">
        <v>2.58E-2</v>
      </c>
      <c r="J234" s="699">
        <v>2.9399999999999999E-2</v>
      </c>
      <c r="K234" s="699">
        <v>2.7199999999999998E-2</v>
      </c>
      <c r="L234" s="697">
        <v>3</v>
      </c>
    </row>
    <row r="235" spans="1:12" ht="12" hidden="1" customHeight="1">
      <c r="A235" s="695">
        <v>40821</v>
      </c>
      <c r="B235" s="696" t="s">
        <v>1256</v>
      </c>
      <c r="C235" s="697">
        <v>28</v>
      </c>
      <c r="D235" s="695">
        <v>40849</v>
      </c>
      <c r="E235" s="698">
        <v>20</v>
      </c>
      <c r="F235" s="698">
        <v>2.5034999999999998</v>
      </c>
      <c r="G235" s="698">
        <v>2.5034999999999998</v>
      </c>
      <c r="H235" s="698">
        <v>0</v>
      </c>
      <c r="I235" s="699">
        <v>2.7E-2</v>
      </c>
      <c r="J235" s="699">
        <v>2.9399999999999999E-2</v>
      </c>
      <c r="K235" s="699">
        <v>2.87E-2</v>
      </c>
      <c r="L235" s="697">
        <v>2</v>
      </c>
    </row>
    <row r="236" spans="1:12" ht="12" hidden="1" customHeight="1">
      <c r="A236" s="695">
        <v>40828</v>
      </c>
      <c r="B236" s="696" t="s">
        <v>1257</v>
      </c>
      <c r="C236" s="697">
        <v>29</v>
      </c>
      <c r="D236" s="695">
        <v>40857</v>
      </c>
      <c r="E236" s="698">
        <v>15</v>
      </c>
      <c r="F236" s="698">
        <v>4.5091000000000001</v>
      </c>
      <c r="G236" s="698">
        <v>4.5091000000000001</v>
      </c>
      <c r="H236" s="698">
        <v>0</v>
      </c>
      <c r="I236" s="699">
        <v>2.7400000000000001E-2</v>
      </c>
      <c r="J236" s="699">
        <v>2.8400000000000002E-2</v>
      </c>
      <c r="K236" s="699">
        <v>2.8000000000000001E-2</v>
      </c>
      <c r="L236" s="697">
        <v>3</v>
      </c>
    </row>
    <row r="237" spans="1:12" ht="12" hidden="1" customHeight="1">
      <c r="A237" s="695">
        <v>40835</v>
      </c>
      <c r="B237" s="696" t="s">
        <v>1258</v>
      </c>
      <c r="C237" s="697">
        <v>28</v>
      </c>
      <c r="D237" s="695">
        <v>40863</v>
      </c>
      <c r="E237" s="698">
        <v>20</v>
      </c>
      <c r="F237" s="698">
        <v>5.5045999999999999</v>
      </c>
      <c r="G237" s="698">
        <v>5.5045999999999999</v>
      </c>
      <c r="H237" s="698">
        <v>0</v>
      </c>
      <c r="I237" s="699">
        <v>2.8299999999999999E-2</v>
      </c>
      <c r="J237" s="699">
        <v>2.9399999999999999E-2</v>
      </c>
      <c r="K237" s="699">
        <v>2.87E-2</v>
      </c>
      <c r="L237" s="697">
        <v>2</v>
      </c>
    </row>
    <row r="238" spans="1:12" ht="12" hidden="1" customHeight="1">
      <c r="A238" s="695">
        <v>40842</v>
      </c>
      <c r="B238" s="696" t="s">
        <v>1259</v>
      </c>
      <c r="C238" s="697">
        <v>28</v>
      </c>
      <c r="D238" s="695">
        <v>40870</v>
      </c>
      <c r="E238" s="698">
        <v>20</v>
      </c>
      <c r="F238" s="698">
        <v>4.0050999999999997</v>
      </c>
      <c r="G238" s="698">
        <v>4.0050999999999997</v>
      </c>
      <c r="H238" s="698">
        <v>0</v>
      </c>
      <c r="I238" s="699">
        <v>2.8299999999999999E-2</v>
      </c>
      <c r="J238" s="699" t="s">
        <v>2626</v>
      </c>
      <c r="K238" s="699">
        <v>2.8799999999999999E-2</v>
      </c>
      <c r="L238" s="697">
        <v>3</v>
      </c>
    </row>
    <row r="239" spans="1:12" ht="12" hidden="1" customHeight="1">
      <c r="A239" s="695">
        <v>40849</v>
      </c>
      <c r="B239" s="696" t="s">
        <v>1275</v>
      </c>
      <c r="C239" s="697">
        <v>28</v>
      </c>
      <c r="D239" s="695">
        <v>40877</v>
      </c>
      <c r="E239" s="698">
        <v>25</v>
      </c>
      <c r="F239" s="698">
        <v>1.8021</v>
      </c>
      <c r="G239" s="698">
        <v>1.8021</v>
      </c>
      <c r="H239" s="698">
        <v>0</v>
      </c>
      <c r="I239" s="699">
        <v>2.9000000000000001E-2</v>
      </c>
      <c r="J239" s="699">
        <v>0.03</v>
      </c>
      <c r="K239" s="699">
        <v>2.9499999999999998E-2</v>
      </c>
      <c r="L239" s="697">
        <v>2</v>
      </c>
    </row>
    <row r="240" spans="1:12" ht="12" hidden="1" customHeight="1">
      <c r="A240" s="695">
        <v>40857</v>
      </c>
      <c r="B240" s="696" t="s">
        <v>1276</v>
      </c>
      <c r="C240" s="697">
        <v>27</v>
      </c>
      <c r="D240" s="695">
        <v>40884</v>
      </c>
      <c r="E240" s="698">
        <v>20</v>
      </c>
      <c r="F240" s="698">
        <v>3.5104000000000002</v>
      </c>
      <c r="G240" s="698">
        <v>3.5104000000000002</v>
      </c>
      <c r="H240" s="698">
        <v>0</v>
      </c>
      <c r="I240" s="699">
        <v>3.0599999999999999E-2</v>
      </c>
      <c r="J240" s="699">
        <v>3.1099999999999999E-2</v>
      </c>
      <c r="K240" s="699">
        <v>3.09E-2</v>
      </c>
      <c r="L240" s="697">
        <v>2</v>
      </c>
    </row>
    <row r="241" spans="1:12" ht="12" hidden="1" customHeight="1">
      <c r="A241" s="695">
        <v>40863</v>
      </c>
      <c r="B241" s="696" t="s">
        <v>1277</v>
      </c>
      <c r="C241" s="697">
        <v>28</v>
      </c>
      <c r="D241" s="695">
        <v>40891</v>
      </c>
      <c r="E241" s="698">
        <v>25</v>
      </c>
      <c r="F241" s="698">
        <v>8.7095000000000002</v>
      </c>
      <c r="G241" s="698">
        <v>8.7095000000000002</v>
      </c>
      <c r="H241" s="698">
        <v>0</v>
      </c>
      <c r="I241" s="699">
        <v>2.9100000000000001E-2</v>
      </c>
      <c r="J241" s="699">
        <v>3.1300000000000001E-2</v>
      </c>
      <c r="K241" s="699">
        <v>2.9100000000000001E-2</v>
      </c>
      <c r="L241" s="697">
        <v>3</v>
      </c>
    </row>
    <row r="242" spans="1:12" ht="12" hidden="1" customHeight="1">
      <c r="A242" s="695">
        <v>40870</v>
      </c>
      <c r="B242" s="696" t="s">
        <v>1278</v>
      </c>
      <c r="C242" s="697">
        <v>28</v>
      </c>
      <c r="D242" s="695">
        <v>40898</v>
      </c>
      <c r="E242" s="698">
        <v>25</v>
      </c>
      <c r="F242" s="698">
        <v>16.633900000000001</v>
      </c>
      <c r="G242" s="698">
        <v>10</v>
      </c>
      <c r="H242" s="698">
        <v>0</v>
      </c>
      <c r="I242" s="699">
        <v>2.8299999999999999E-2</v>
      </c>
      <c r="J242" s="699">
        <v>2.98E-2</v>
      </c>
      <c r="K242" s="699">
        <v>2.9100000000000001E-2</v>
      </c>
      <c r="L242" s="697">
        <v>3</v>
      </c>
    </row>
    <row r="243" spans="1:12" ht="12" hidden="1" customHeight="1">
      <c r="A243" s="695">
        <v>40877</v>
      </c>
      <c r="B243" s="696" t="s">
        <v>1279</v>
      </c>
      <c r="C243" s="697">
        <v>28</v>
      </c>
      <c r="D243" s="695">
        <v>40905</v>
      </c>
      <c r="E243" s="698">
        <v>30</v>
      </c>
      <c r="F243" s="698">
        <v>8.0053999999999998</v>
      </c>
      <c r="G243" s="698">
        <v>8.0053999999999998</v>
      </c>
      <c r="H243" s="698">
        <v>0</v>
      </c>
      <c r="I243" s="699">
        <v>2.58E-2</v>
      </c>
      <c r="J243" s="699">
        <v>3.0499999999999999E-2</v>
      </c>
      <c r="K243" s="699">
        <v>2.8400000000000002E-2</v>
      </c>
      <c r="L243" s="697">
        <v>3</v>
      </c>
    </row>
    <row r="244" spans="1:12" ht="12" hidden="1" customHeight="1">
      <c r="A244" s="695">
        <v>40884</v>
      </c>
      <c r="B244" s="696" t="s">
        <v>1280</v>
      </c>
      <c r="C244" s="697">
        <v>29</v>
      </c>
      <c r="D244" s="695">
        <v>40913</v>
      </c>
      <c r="E244" s="698">
        <v>25</v>
      </c>
      <c r="F244" s="698">
        <v>21.5321</v>
      </c>
      <c r="G244" s="698">
        <v>15</v>
      </c>
      <c r="H244" s="698">
        <v>0</v>
      </c>
      <c r="I244" s="699">
        <v>2.4899999999999999E-2</v>
      </c>
      <c r="J244" s="699">
        <v>2.9700000000000001E-2</v>
      </c>
      <c r="K244" s="699">
        <v>2.8500000000000001E-2</v>
      </c>
      <c r="L244" s="697">
        <v>5</v>
      </c>
    </row>
    <row r="245" spans="1:12" ht="12" hidden="1" customHeight="1">
      <c r="A245" s="695">
        <v>40891</v>
      </c>
      <c r="B245" s="696" t="s">
        <v>1281</v>
      </c>
      <c r="C245" s="697">
        <v>28</v>
      </c>
      <c r="D245" s="695">
        <v>40919</v>
      </c>
      <c r="E245" s="698">
        <v>30</v>
      </c>
      <c r="F245" s="698">
        <v>11.222200000000001</v>
      </c>
      <c r="G245" s="698">
        <v>11.222200000000001</v>
      </c>
      <c r="H245" s="698">
        <v>0</v>
      </c>
      <c r="I245" s="699">
        <v>2.5999999999999999E-2</v>
      </c>
      <c r="J245" s="699">
        <v>0.03</v>
      </c>
      <c r="K245" s="699">
        <v>2.7699999999999999E-2</v>
      </c>
      <c r="L245" s="697">
        <v>4</v>
      </c>
    </row>
    <row r="246" spans="1:12" ht="12" hidden="1" customHeight="1">
      <c r="A246" s="695">
        <v>40898</v>
      </c>
      <c r="B246" s="696" t="s">
        <v>1282</v>
      </c>
      <c r="C246" s="697">
        <v>28</v>
      </c>
      <c r="D246" s="695">
        <v>40926</v>
      </c>
      <c r="E246" s="698">
        <v>30</v>
      </c>
      <c r="F246" s="698">
        <v>19.366</v>
      </c>
      <c r="G246" s="698">
        <v>15</v>
      </c>
      <c r="H246" s="698">
        <v>0</v>
      </c>
      <c r="I246" s="699">
        <v>2.6800000000000001E-2</v>
      </c>
      <c r="J246" s="699">
        <v>0.03</v>
      </c>
      <c r="K246" s="699">
        <v>2.76E-2</v>
      </c>
      <c r="L246" s="697">
        <v>4</v>
      </c>
    </row>
    <row r="247" spans="1:12" ht="12" hidden="1" customHeight="1">
      <c r="A247" s="695">
        <v>40905</v>
      </c>
      <c r="B247" s="696" t="s">
        <v>1283</v>
      </c>
      <c r="C247" s="697">
        <v>28</v>
      </c>
      <c r="D247" s="695">
        <v>40933</v>
      </c>
      <c r="E247" s="698">
        <v>35</v>
      </c>
      <c r="F247" s="698">
        <v>9.0113000000000003</v>
      </c>
      <c r="G247" s="698">
        <v>9.0113000000000003</v>
      </c>
      <c r="H247" s="698">
        <v>0</v>
      </c>
      <c r="I247" s="699">
        <v>2.6499999999999999E-2</v>
      </c>
      <c r="J247" s="699">
        <v>0.03</v>
      </c>
      <c r="K247" s="699">
        <v>2.7699999999999999E-2</v>
      </c>
      <c r="L247" s="697">
        <v>3</v>
      </c>
    </row>
    <row r="248" spans="1:12" ht="12" hidden="1" customHeight="1">
      <c r="A248" s="695">
        <v>40913</v>
      </c>
      <c r="B248" s="696" t="s">
        <v>1289</v>
      </c>
      <c r="C248" s="697">
        <v>27</v>
      </c>
      <c r="D248" s="695">
        <v>40940</v>
      </c>
      <c r="E248" s="698">
        <v>30</v>
      </c>
      <c r="F248" s="698">
        <v>47.409100000000002</v>
      </c>
      <c r="G248" s="698">
        <v>20</v>
      </c>
      <c r="H248" s="698">
        <v>0</v>
      </c>
      <c r="I248" s="699">
        <v>2.7E-2</v>
      </c>
      <c r="J248" s="699">
        <v>2.9700000000000001E-2</v>
      </c>
      <c r="K248" s="699">
        <v>2.8400000000000002E-2</v>
      </c>
      <c r="L248" s="697">
        <v>3</v>
      </c>
    </row>
    <row r="249" spans="1:12" ht="12" hidden="1" customHeight="1">
      <c r="A249" s="695">
        <v>40919</v>
      </c>
      <c r="B249" s="696" t="s">
        <v>1290</v>
      </c>
      <c r="C249" s="697">
        <v>28</v>
      </c>
      <c r="D249" s="695">
        <v>40947</v>
      </c>
      <c r="E249" s="698">
        <v>40</v>
      </c>
      <c r="F249" s="698">
        <v>70.286100000000005</v>
      </c>
      <c r="G249" s="698">
        <v>30</v>
      </c>
      <c r="H249" s="698">
        <v>0</v>
      </c>
      <c r="I249" s="699">
        <v>2.5999999999999999E-2</v>
      </c>
      <c r="J249" s="699">
        <v>2.8000000000000001E-2</v>
      </c>
      <c r="K249" s="699">
        <v>2.76E-2</v>
      </c>
      <c r="L249" s="697">
        <v>8</v>
      </c>
    </row>
    <row r="250" spans="1:12" ht="12" hidden="1" customHeight="1">
      <c r="A250" s="695">
        <v>40926</v>
      </c>
      <c r="B250" s="696" t="s">
        <v>1291</v>
      </c>
      <c r="C250" s="697">
        <v>28</v>
      </c>
      <c r="D250" s="695">
        <v>40954</v>
      </c>
      <c r="E250" s="698">
        <v>30</v>
      </c>
      <c r="F250" s="698">
        <v>40.888300000000001</v>
      </c>
      <c r="G250" s="698">
        <v>15</v>
      </c>
      <c r="H250" s="698">
        <v>0</v>
      </c>
      <c r="I250" s="699">
        <v>2.0199999999999999E-2</v>
      </c>
      <c r="J250" s="699">
        <v>2.7E-2</v>
      </c>
      <c r="K250" s="699">
        <v>2.1899999999999999E-2</v>
      </c>
      <c r="L250" s="697">
        <v>6</v>
      </c>
    </row>
    <row r="251" spans="1:12" ht="12" hidden="1" customHeight="1">
      <c r="A251" s="695">
        <v>40933</v>
      </c>
      <c r="B251" s="696" t="s">
        <v>1292</v>
      </c>
      <c r="C251" s="697">
        <v>28</v>
      </c>
      <c r="D251" s="695">
        <v>40961</v>
      </c>
      <c r="E251" s="698">
        <v>35</v>
      </c>
      <c r="F251" s="698">
        <v>33.4604</v>
      </c>
      <c r="G251" s="698">
        <v>20</v>
      </c>
      <c r="H251" s="698">
        <v>0</v>
      </c>
      <c r="I251" s="699">
        <v>0.02</v>
      </c>
      <c r="J251" s="699">
        <v>2.1000000000000001E-2</v>
      </c>
      <c r="K251" s="699">
        <v>2.0199999999999999E-2</v>
      </c>
      <c r="L251" s="697">
        <v>5</v>
      </c>
    </row>
    <row r="252" spans="1:12" ht="12" hidden="1" customHeight="1">
      <c r="A252" s="695">
        <v>40940</v>
      </c>
      <c r="B252" s="696" t="s">
        <v>1293</v>
      </c>
      <c r="C252" s="697">
        <v>28</v>
      </c>
      <c r="D252" s="695">
        <v>40968</v>
      </c>
      <c r="E252" s="698">
        <v>30</v>
      </c>
      <c r="F252" s="698">
        <v>36.435899999999997</v>
      </c>
      <c r="G252" s="698">
        <v>20</v>
      </c>
      <c r="H252" s="698">
        <v>0</v>
      </c>
      <c r="I252" s="699">
        <v>1.7399999999999999E-2</v>
      </c>
      <c r="J252" s="699">
        <v>0.02</v>
      </c>
      <c r="K252" s="699">
        <v>1.9900000000000001E-2</v>
      </c>
      <c r="L252" s="697">
        <v>4</v>
      </c>
    </row>
    <row r="253" spans="1:12" ht="12" hidden="1" customHeight="1">
      <c r="A253" s="695">
        <v>40947</v>
      </c>
      <c r="B253" s="696" t="s">
        <v>1294</v>
      </c>
      <c r="C253" s="697">
        <v>28</v>
      </c>
      <c r="D253" s="695">
        <v>40975</v>
      </c>
      <c r="E253" s="698">
        <v>45</v>
      </c>
      <c r="F253" s="698">
        <v>70.038799999999995</v>
      </c>
      <c r="G253" s="698">
        <v>35</v>
      </c>
      <c r="H253" s="698">
        <v>0</v>
      </c>
      <c r="I253" s="699">
        <v>1.7999999999999999E-2</v>
      </c>
      <c r="J253" s="699">
        <v>2.0799999999999999E-2</v>
      </c>
      <c r="K253" s="699">
        <v>1.9599999999999999E-2</v>
      </c>
      <c r="L253" s="697">
        <v>7</v>
      </c>
    </row>
    <row r="254" spans="1:12" ht="12" hidden="1" customHeight="1">
      <c r="A254" s="695">
        <v>40954</v>
      </c>
      <c r="B254" s="696" t="s">
        <v>1295</v>
      </c>
      <c r="C254" s="697">
        <v>28</v>
      </c>
      <c r="D254" s="695">
        <v>40982</v>
      </c>
      <c r="E254" s="698">
        <v>35</v>
      </c>
      <c r="F254" s="698">
        <v>49.061100000000003</v>
      </c>
      <c r="G254" s="698">
        <v>20</v>
      </c>
      <c r="H254" s="698">
        <v>0</v>
      </c>
      <c r="I254" s="699">
        <v>1.7999999999999999E-2</v>
      </c>
      <c r="J254" s="699">
        <v>1.95E-2</v>
      </c>
      <c r="K254" s="699">
        <v>1.9E-2</v>
      </c>
      <c r="L254" s="697">
        <v>7</v>
      </c>
    </row>
    <row r="255" spans="1:12" ht="12" hidden="1" customHeight="1">
      <c r="A255" s="695">
        <v>40961</v>
      </c>
      <c r="B255" s="696" t="s">
        <v>1296</v>
      </c>
      <c r="C255" s="697">
        <v>26</v>
      </c>
      <c r="D255" s="695">
        <v>40987</v>
      </c>
      <c r="E255" s="698">
        <v>35</v>
      </c>
      <c r="F255" s="698">
        <v>54.948300000000003</v>
      </c>
      <c r="G255" s="698">
        <v>20</v>
      </c>
      <c r="H255" s="698">
        <v>0</v>
      </c>
      <c r="I255" s="699">
        <v>1.61E-2</v>
      </c>
      <c r="J255" s="699">
        <v>1.7899999999999999E-2</v>
      </c>
      <c r="K255" s="699">
        <v>1.7399999999999999E-2</v>
      </c>
      <c r="L255" s="697">
        <v>8</v>
      </c>
    </row>
    <row r="256" spans="1:12" ht="12" hidden="1" customHeight="1">
      <c r="A256" s="695">
        <v>40968</v>
      </c>
      <c r="B256" s="696" t="s">
        <v>1297</v>
      </c>
      <c r="C256" s="697">
        <v>28</v>
      </c>
      <c r="D256" s="695">
        <v>40996</v>
      </c>
      <c r="E256" s="698">
        <v>30</v>
      </c>
      <c r="F256" s="698">
        <v>40.298299999999998</v>
      </c>
      <c r="G256" s="698">
        <v>20</v>
      </c>
      <c r="H256" s="698">
        <v>0</v>
      </c>
      <c r="I256" s="699">
        <v>1.54E-2</v>
      </c>
      <c r="J256" s="699">
        <v>1.7000000000000001E-2</v>
      </c>
      <c r="K256" s="699">
        <v>1.66E-2</v>
      </c>
      <c r="L256" s="697">
        <v>5</v>
      </c>
    </row>
    <row r="257" spans="1:12" ht="12" hidden="1" customHeight="1">
      <c r="A257" s="695">
        <v>40968</v>
      </c>
      <c r="B257" s="696" t="s">
        <v>1297</v>
      </c>
      <c r="C257" s="697">
        <v>28</v>
      </c>
      <c r="D257" s="695">
        <v>40996</v>
      </c>
      <c r="E257" s="698">
        <v>30</v>
      </c>
      <c r="F257" s="698">
        <v>40.298299999999998</v>
      </c>
      <c r="G257" s="698">
        <v>20</v>
      </c>
      <c r="H257" s="698">
        <v>0</v>
      </c>
      <c r="I257" s="699">
        <v>1.54E-2</v>
      </c>
      <c r="J257" s="699">
        <v>1.7000000000000001E-2</v>
      </c>
      <c r="K257" s="699">
        <v>1.66E-2</v>
      </c>
      <c r="L257" s="697">
        <v>5</v>
      </c>
    </row>
    <row r="258" spans="1:12" ht="12" hidden="1" customHeight="1">
      <c r="A258" s="695">
        <v>40975</v>
      </c>
      <c r="B258" s="696" t="s">
        <v>1299</v>
      </c>
      <c r="C258" s="697">
        <v>28</v>
      </c>
      <c r="D258" s="695">
        <v>41003</v>
      </c>
      <c r="E258" s="698">
        <v>50</v>
      </c>
      <c r="F258" s="698">
        <v>78.960800000000006</v>
      </c>
      <c r="G258" s="698">
        <v>35</v>
      </c>
      <c r="H258" s="698">
        <v>0</v>
      </c>
      <c r="I258" s="699">
        <v>1.0999999999999999E-2</v>
      </c>
      <c r="J258" s="699">
        <v>1.6799999999999999E-2</v>
      </c>
      <c r="K258" s="699">
        <v>1.5599999999999999E-2</v>
      </c>
      <c r="L258" s="697">
        <v>8</v>
      </c>
    </row>
    <row r="259" spans="1:12" ht="12" hidden="1" customHeight="1">
      <c r="A259" s="695">
        <v>40982</v>
      </c>
      <c r="B259" s="696" t="s">
        <v>1300</v>
      </c>
      <c r="C259" s="697">
        <v>28</v>
      </c>
      <c r="D259" s="695">
        <v>41010</v>
      </c>
      <c r="E259" s="698">
        <v>35</v>
      </c>
      <c r="F259" s="698">
        <v>41.396500000000003</v>
      </c>
      <c r="G259" s="698">
        <v>20</v>
      </c>
      <c r="H259" s="698">
        <v>0</v>
      </c>
      <c r="I259" s="699">
        <v>1.4500000000000001E-2</v>
      </c>
      <c r="J259" s="699">
        <v>1.6E-2</v>
      </c>
      <c r="K259" s="699">
        <v>1.4800000000000001E-2</v>
      </c>
      <c r="L259" s="697">
        <v>6</v>
      </c>
    </row>
    <row r="260" spans="1:12" ht="12" hidden="1" customHeight="1">
      <c r="A260" s="695">
        <v>40987</v>
      </c>
      <c r="B260" s="696" t="s">
        <v>1301</v>
      </c>
      <c r="C260" s="697">
        <v>30</v>
      </c>
      <c r="D260" s="695">
        <v>41017</v>
      </c>
      <c r="E260" s="698">
        <v>35</v>
      </c>
      <c r="F260" s="698">
        <v>41.713299999999997</v>
      </c>
      <c r="G260" s="698">
        <v>20</v>
      </c>
      <c r="H260" s="698">
        <v>0</v>
      </c>
      <c r="I260" s="699">
        <v>0.01</v>
      </c>
      <c r="J260" s="699">
        <v>1.4999999999999999E-2</v>
      </c>
      <c r="K260" s="699">
        <v>1.32E-2</v>
      </c>
      <c r="L260" s="697">
        <v>5</v>
      </c>
    </row>
    <row r="261" spans="1:12" ht="12" hidden="1" customHeight="1">
      <c r="A261" s="695">
        <v>40996</v>
      </c>
      <c r="B261" s="696" t="s">
        <v>1302</v>
      </c>
      <c r="C261" s="697">
        <v>28</v>
      </c>
      <c r="D261" s="695">
        <v>41024</v>
      </c>
      <c r="E261" s="698">
        <v>35</v>
      </c>
      <c r="F261" s="698">
        <v>46.808300000000003</v>
      </c>
      <c r="G261" s="698">
        <v>20</v>
      </c>
      <c r="H261" s="698">
        <v>0</v>
      </c>
      <c r="I261" s="699">
        <v>1.2800000000000001E-2</v>
      </c>
      <c r="J261" s="699">
        <v>1.29E-2</v>
      </c>
      <c r="K261" s="699">
        <v>1.2800000000000001E-2</v>
      </c>
      <c r="L261" s="697">
        <v>4</v>
      </c>
    </row>
    <row r="262" spans="1:12" ht="12" hidden="1" customHeight="1">
      <c r="A262" s="695">
        <v>41003</v>
      </c>
      <c r="B262" s="696" t="s">
        <v>1303</v>
      </c>
      <c r="C262" s="697">
        <v>28</v>
      </c>
      <c r="D262" s="695">
        <v>41031</v>
      </c>
      <c r="E262" s="698">
        <v>40</v>
      </c>
      <c r="F262" s="698">
        <v>50.090800000000002</v>
      </c>
      <c r="G262" s="698">
        <v>35</v>
      </c>
      <c r="H262" s="698">
        <v>0</v>
      </c>
      <c r="I262" s="699">
        <v>0.01</v>
      </c>
      <c r="J262" s="699">
        <v>1.15E-2</v>
      </c>
      <c r="K262" s="699">
        <v>1.0800000000000001E-2</v>
      </c>
      <c r="L262" s="697">
        <v>5</v>
      </c>
    </row>
    <row r="263" spans="1:12" ht="12" hidden="1" customHeight="1">
      <c r="A263" s="695">
        <v>41010</v>
      </c>
      <c r="B263" s="696" t="s">
        <v>1304</v>
      </c>
      <c r="C263" s="697">
        <v>29</v>
      </c>
      <c r="D263" s="695">
        <v>41039</v>
      </c>
      <c r="E263" s="698">
        <v>35</v>
      </c>
      <c r="F263" s="698">
        <v>61.238999999999997</v>
      </c>
      <c r="G263" s="698">
        <v>20</v>
      </c>
      <c r="H263" s="698">
        <v>0</v>
      </c>
      <c r="I263" s="699">
        <v>9.7000000000000003E-3</v>
      </c>
      <c r="J263" s="699">
        <v>1.2500000000000001E-2</v>
      </c>
      <c r="K263" s="699">
        <v>1.12E-2</v>
      </c>
      <c r="L263" s="697">
        <v>5</v>
      </c>
    </row>
    <row r="264" spans="1:12" ht="12" hidden="1" customHeight="1">
      <c r="A264" s="695">
        <v>41017</v>
      </c>
      <c r="B264" s="696" t="s">
        <v>1305</v>
      </c>
      <c r="C264" s="697">
        <v>28</v>
      </c>
      <c r="D264" s="695">
        <v>41045</v>
      </c>
      <c r="E264" s="698">
        <v>35</v>
      </c>
      <c r="F264" s="698">
        <v>40.2057</v>
      </c>
      <c r="G264" s="698">
        <v>20</v>
      </c>
      <c r="H264" s="698">
        <v>0</v>
      </c>
      <c r="I264" s="699">
        <v>1.2E-2</v>
      </c>
      <c r="J264" s="699">
        <v>1.3100000000000001E-2</v>
      </c>
      <c r="K264" s="699">
        <v>1.2699999999999999E-2</v>
      </c>
      <c r="L264" s="697">
        <v>3</v>
      </c>
    </row>
    <row r="265" spans="1:12" ht="12" hidden="1" customHeight="1">
      <c r="A265" s="695">
        <v>41024</v>
      </c>
      <c r="B265" s="696" t="s">
        <v>1306</v>
      </c>
      <c r="C265" s="697">
        <v>28</v>
      </c>
      <c r="D265" s="695">
        <v>41052</v>
      </c>
      <c r="E265" s="698">
        <v>35</v>
      </c>
      <c r="F265" s="698">
        <v>30.318000000000001</v>
      </c>
      <c r="G265" s="698">
        <v>20</v>
      </c>
      <c r="H265" s="698">
        <v>0</v>
      </c>
      <c r="I265" s="699">
        <v>1.3100000000000001E-2</v>
      </c>
      <c r="J265" s="699">
        <v>1.34E-2</v>
      </c>
      <c r="K265" s="699">
        <v>1.34E-2</v>
      </c>
      <c r="L265" s="697">
        <v>2</v>
      </c>
    </row>
    <row r="266" spans="1:12" ht="12" hidden="1" customHeight="1">
      <c r="A266" s="695">
        <v>41031</v>
      </c>
      <c r="B266" s="696" t="s">
        <v>1309</v>
      </c>
      <c r="C266" s="697">
        <v>28</v>
      </c>
      <c r="D266" s="695">
        <v>41059</v>
      </c>
      <c r="E266" s="698">
        <v>40</v>
      </c>
      <c r="F266" s="698">
        <v>42.525300000000001</v>
      </c>
      <c r="G266" s="698">
        <v>35</v>
      </c>
      <c r="H266" s="698">
        <v>0</v>
      </c>
      <c r="I266" s="699">
        <v>1.15E-2</v>
      </c>
      <c r="J266" s="699">
        <v>1.4200000000000001E-2</v>
      </c>
      <c r="K266" s="699">
        <v>1.35E-2</v>
      </c>
      <c r="L266" s="697">
        <v>4</v>
      </c>
    </row>
    <row r="267" spans="1:12" ht="12" hidden="1" customHeight="1">
      <c r="A267" s="695">
        <v>41039</v>
      </c>
      <c r="B267" s="696" t="s">
        <v>1310</v>
      </c>
      <c r="C267" s="697">
        <v>27</v>
      </c>
      <c r="D267" s="695">
        <v>41066</v>
      </c>
      <c r="E267" s="698">
        <v>35</v>
      </c>
      <c r="F267" s="698">
        <v>35.733699999999999</v>
      </c>
      <c r="G267" s="698">
        <v>20</v>
      </c>
      <c r="H267" s="698">
        <v>0</v>
      </c>
      <c r="I267" s="699">
        <v>1.15E-2</v>
      </c>
      <c r="J267" s="699">
        <v>1.4800000000000001E-2</v>
      </c>
      <c r="K267" s="699">
        <v>1.3899999999999999E-2</v>
      </c>
      <c r="L267" s="697">
        <v>5</v>
      </c>
    </row>
    <row r="268" spans="1:12" ht="12" hidden="1" customHeight="1">
      <c r="A268" s="695">
        <v>41045</v>
      </c>
      <c r="B268" s="696" t="s">
        <v>1311</v>
      </c>
      <c r="C268" s="697">
        <v>28</v>
      </c>
      <c r="D268" s="695">
        <v>41073</v>
      </c>
      <c r="E268" s="698">
        <v>35</v>
      </c>
      <c r="F268" s="698">
        <v>48.054600000000001</v>
      </c>
      <c r="G268" s="698">
        <v>15</v>
      </c>
      <c r="H268" s="698">
        <v>0</v>
      </c>
      <c r="I268" s="699">
        <v>1.35E-2</v>
      </c>
      <c r="J268" s="699">
        <v>1.4E-2</v>
      </c>
      <c r="K268" s="699">
        <v>1.37E-2</v>
      </c>
      <c r="L268" s="697">
        <v>2</v>
      </c>
    </row>
    <row r="269" spans="1:12" ht="12" hidden="1" customHeight="1">
      <c r="A269" s="695">
        <v>41052</v>
      </c>
      <c r="B269" s="696" t="s">
        <v>1312</v>
      </c>
      <c r="C269" s="697">
        <v>28</v>
      </c>
      <c r="D269" s="695">
        <v>41080</v>
      </c>
      <c r="E269" s="698">
        <v>35</v>
      </c>
      <c r="F269" s="698">
        <v>55.060400000000001</v>
      </c>
      <c r="G269" s="698">
        <v>20</v>
      </c>
      <c r="H269" s="698">
        <v>0</v>
      </c>
      <c r="I269" s="699">
        <v>1.35E-2</v>
      </c>
      <c r="J269" s="699">
        <v>1.3899999999999999E-2</v>
      </c>
      <c r="K269" s="699">
        <v>1.3599999999999999E-2</v>
      </c>
      <c r="L269" s="697">
        <v>2</v>
      </c>
    </row>
    <row r="270" spans="1:12" ht="12" hidden="1" customHeight="1">
      <c r="A270" s="695">
        <v>41059</v>
      </c>
      <c r="B270" s="696" t="s">
        <v>1313</v>
      </c>
      <c r="C270" s="697">
        <v>28</v>
      </c>
      <c r="D270" s="695">
        <v>41087</v>
      </c>
      <c r="E270" s="698">
        <v>40</v>
      </c>
      <c r="F270" s="698">
        <v>73.561000000000007</v>
      </c>
      <c r="G270" s="698">
        <v>35</v>
      </c>
      <c r="H270" s="698">
        <v>0</v>
      </c>
      <c r="I270" s="699">
        <v>1.26E-2</v>
      </c>
      <c r="J270" s="699">
        <v>1.4E-2</v>
      </c>
      <c r="K270" s="699">
        <v>1.3599999999999999E-2</v>
      </c>
      <c r="L270" s="697">
        <v>4</v>
      </c>
    </row>
    <row r="271" spans="1:12" ht="12" hidden="1" customHeight="1">
      <c r="A271" s="695">
        <v>41066</v>
      </c>
      <c r="B271" s="696" t="s">
        <v>1314</v>
      </c>
      <c r="C271" s="697">
        <v>28</v>
      </c>
      <c r="D271" s="695">
        <v>41094</v>
      </c>
      <c r="E271" s="698">
        <v>35</v>
      </c>
      <c r="F271" s="698">
        <v>40.300600000000003</v>
      </c>
      <c r="G271" s="698">
        <v>20</v>
      </c>
      <c r="H271" s="698">
        <v>0</v>
      </c>
      <c r="I271" s="699">
        <v>1.26E-2</v>
      </c>
      <c r="J271" s="699">
        <v>1.4E-2</v>
      </c>
      <c r="K271" s="699">
        <v>1.37E-2</v>
      </c>
      <c r="L271" s="697">
        <v>3</v>
      </c>
    </row>
    <row r="272" spans="1:12" ht="12" hidden="1" customHeight="1">
      <c r="A272" s="695">
        <v>41073</v>
      </c>
      <c r="B272" s="696" t="s">
        <v>1315</v>
      </c>
      <c r="C272" s="697">
        <v>28</v>
      </c>
      <c r="D272" s="695">
        <v>41101</v>
      </c>
      <c r="E272" s="698">
        <v>35</v>
      </c>
      <c r="F272" s="698">
        <v>42.043799999999997</v>
      </c>
      <c r="G272" s="698">
        <v>15</v>
      </c>
      <c r="H272" s="698">
        <v>0</v>
      </c>
      <c r="I272" s="699">
        <v>1.35E-2</v>
      </c>
      <c r="J272" s="699">
        <v>1.37E-2</v>
      </c>
      <c r="K272" s="699">
        <v>1.3599999999999999E-2</v>
      </c>
      <c r="L272" s="697">
        <v>3</v>
      </c>
    </row>
    <row r="273" spans="1:12" ht="12" hidden="1" customHeight="1">
      <c r="A273" s="695">
        <v>41080</v>
      </c>
      <c r="B273" s="696" t="s">
        <v>1316</v>
      </c>
      <c r="C273" s="697">
        <v>28</v>
      </c>
      <c r="D273" s="695">
        <v>41108</v>
      </c>
      <c r="E273" s="698">
        <v>35</v>
      </c>
      <c r="F273" s="698">
        <v>38.033700000000003</v>
      </c>
      <c r="G273" s="698">
        <v>20</v>
      </c>
      <c r="H273" s="698">
        <v>0</v>
      </c>
      <c r="I273" s="699">
        <v>1.2999999999999999E-2</v>
      </c>
      <c r="J273" s="699">
        <v>1.4E-2</v>
      </c>
      <c r="K273" s="699">
        <v>1.3599999999999999E-2</v>
      </c>
      <c r="L273" s="697">
        <v>3</v>
      </c>
    </row>
    <row r="274" spans="1:12" ht="12" hidden="1" customHeight="1">
      <c r="A274" s="695">
        <v>41087</v>
      </c>
      <c r="B274" s="696" t="s">
        <v>1317</v>
      </c>
      <c r="C274" s="697">
        <v>28</v>
      </c>
      <c r="D274" s="695">
        <v>41115</v>
      </c>
      <c r="E274" s="698">
        <v>40</v>
      </c>
      <c r="F274" s="698">
        <v>47.604100000000003</v>
      </c>
      <c r="G274" s="698">
        <v>35</v>
      </c>
      <c r="H274" s="698">
        <v>0</v>
      </c>
      <c r="I274" s="699">
        <v>1.32E-2</v>
      </c>
      <c r="J274" s="699">
        <v>1.41E-2</v>
      </c>
      <c r="K274" s="699">
        <v>1.38E-2</v>
      </c>
      <c r="L274" s="697">
        <v>4</v>
      </c>
    </row>
    <row r="275" spans="1:12" ht="12" hidden="1" customHeight="1">
      <c r="A275" s="695">
        <v>41101</v>
      </c>
      <c r="B275" s="696" t="s">
        <v>1331</v>
      </c>
      <c r="C275" s="697">
        <v>28</v>
      </c>
      <c r="D275" s="695">
        <v>41129</v>
      </c>
      <c r="E275" s="698">
        <v>35</v>
      </c>
      <c r="F275" s="698">
        <v>24.0245</v>
      </c>
      <c r="G275" s="698">
        <v>10</v>
      </c>
      <c r="H275" s="698">
        <v>0</v>
      </c>
      <c r="I275" s="699">
        <v>1.2999999999999999E-2</v>
      </c>
      <c r="J275" s="699">
        <v>1.43E-2</v>
      </c>
      <c r="K275" s="699">
        <v>1.4E-2</v>
      </c>
      <c r="L275" s="697">
        <v>2</v>
      </c>
    </row>
    <row r="276" spans="1:12" ht="12" hidden="1" customHeight="1">
      <c r="A276" s="695">
        <v>41108</v>
      </c>
      <c r="B276" s="696" t="s">
        <v>1332</v>
      </c>
      <c r="C276" s="697">
        <v>28</v>
      </c>
      <c r="D276" s="695">
        <v>41136</v>
      </c>
      <c r="E276" s="698">
        <v>35</v>
      </c>
      <c r="F276" s="698">
        <v>28.523399999999999</v>
      </c>
      <c r="G276" s="698">
        <v>20</v>
      </c>
      <c r="H276" s="698">
        <v>0</v>
      </c>
      <c r="I276" s="699">
        <v>1.2999999999999999E-2</v>
      </c>
      <c r="J276" s="699">
        <v>1.46E-2</v>
      </c>
      <c r="K276" s="699">
        <v>1.3899999999999999E-2</v>
      </c>
      <c r="L276" s="697">
        <v>3</v>
      </c>
    </row>
    <row r="277" spans="1:12" ht="12" hidden="1" customHeight="1">
      <c r="A277" s="695">
        <v>41115</v>
      </c>
      <c r="B277" s="696" t="s">
        <v>1333</v>
      </c>
      <c r="C277" s="697">
        <v>28</v>
      </c>
      <c r="D277" s="695">
        <v>41143</v>
      </c>
      <c r="E277" s="698">
        <v>40</v>
      </c>
      <c r="F277" s="698">
        <v>46.553956319999998</v>
      </c>
      <c r="G277" s="698">
        <v>35</v>
      </c>
      <c r="H277" s="698">
        <v>0</v>
      </c>
      <c r="I277" s="699">
        <v>1.29E-2</v>
      </c>
      <c r="J277" s="699">
        <v>1.47E-2</v>
      </c>
      <c r="K277" s="699">
        <v>1.4500000000000001E-2</v>
      </c>
      <c r="L277" s="697">
        <v>2</v>
      </c>
    </row>
    <row r="278" spans="1:12" ht="12" hidden="1" customHeight="1">
      <c r="A278" s="695">
        <v>41122</v>
      </c>
      <c r="B278" s="696" t="s">
        <v>1334</v>
      </c>
      <c r="C278" s="697">
        <v>28</v>
      </c>
      <c r="D278" s="695">
        <v>41150</v>
      </c>
      <c r="E278" s="698">
        <v>35</v>
      </c>
      <c r="F278" s="698">
        <v>16.99997308</v>
      </c>
      <c r="G278" s="698">
        <v>10</v>
      </c>
      <c r="H278" s="698">
        <v>0</v>
      </c>
      <c r="I278" s="699">
        <v>1.4200000000000001E-2</v>
      </c>
      <c r="J278" s="699">
        <v>1.47E-2</v>
      </c>
      <c r="K278" s="699">
        <v>1.4500000000000001E-2</v>
      </c>
      <c r="L278" s="697">
        <v>2</v>
      </c>
    </row>
    <row r="279" spans="1:12" ht="12" hidden="1" customHeight="1">
      <c r="A279" s="695">
        <v>41129</v>
      </c>
      <c r="B279" s="696" t="s">
        <v>1335</v>
      </c>
      <c r="C279" s="697">
        <v>28</v>
      </c>
      <c r="D279" s="695">
        <v>41157</v>
      </c>
      <c r="E279" s="698">
        <v>35</v>
      </c>
      <c r="F279" s="698">
        <v>4.0011999999999999</v>
      </c>
      <c r="G279" s="698">
        <v>4.0011999999999999</v>
      </c>
      <c r="H279" s="698">
        <v>0</v>
      </c>
      <c r="I279" s="699">
        <v>1.4E-2</v>
      </c>
      <c r="J279" s="699">
        <v>1.4500000000000001E-2</v>
      </c>
      <c r="K279" s="699">
        <v>1.43E-2</v>
      </c>
      <c r="L279" s="697">
        <v>2</v>
      </c>
    </row>
    <row r="280" spans="1:12" ht="12" hidden="1" customHeight="1">
      <c r="A280" s="695">
        <v>41136</v>
      </c>
      <c r="B280" s="696" t="s">
        <v>1336</v>
      </c>
      <c r="C280" s="697">
        <v>28</v>
      </c>
      <c r="D280" s="695">
        <v>41164</v>
      </c>
      <c r="E280" s="698">
        <v>35</v>
      </c>
      <c r="F280" s="698">
        <v>8.5008999999999997</v>
      </c>
      <c r="G280" s="698">
        <v>8.5008999999999997</v>
      </c>
      <c r="H280" s="698">
        <v>0</v>
      </c>
      <c r="I280" s="699">
        <v>1.4200000000000001E-2</v>
      </c>
      <c r="J280" s="699">
        <v>1.4999999999999999E-2</v>
      </c>
      <c r="K280" s="699">
        <v>1.43E-2</v>
      </c>
      <c r="L280" s="697">
        <v>2</v>
      </c>
    </row>
    <row r="281" spans="1:12" ht="12" hidden="1" customHeight="1">
      <c r="A281" s="695">
        <v>41143</v>
      </c>
      <c r="B281" s="696" t="s">
        <v>1337</v>
      </c>
      <c r="C281" s="697">
        <v>28</v>
      </c>
      <c r="D281" s="695">
        <v>41171</v>
      </c>
      <c r="E281" s="698">
        <v>40</v>
      </c>
      <c r="F281" s="698">
        <v>0</v>
      </c>
      <c r="G281" s="698">
        <v>0</v>
      </c>
      <c r="H281" s="698">
        <v>0</v>
      </c>
      <c r="I281" s="699">
        <v>0</v>
      </c>
      <c r="J281" s="699">
        <v>0</v>
      </c>
      <c r="K281" s="699">
        <v>0</v>
      </c>
      <c r="L281" s="697">
        <v>0</v>
      </c>
    </row>
    <row r="282" spans="1:12" ht="12" hidden="1" customHeight="1">
      <c r="A282" s="695">
        <v>41150</v>
      </c>
      <c r="B282" s="696" t="s">
        <v>1338</v>
      </c>
      <c r="C282" s="697">
        <v>28</v>
      </c>
      <c r="D282" s="695">
        <v>41178</v>
      </c>
      <c r="E282" s="698">
        <v>35</v>
      </c>
      <c r="F282" s="698">
        <v>3.5507</v>
      </c>
      <c r="G282" s="698">
        <v>3.5507</v>
      </c>
      <c r="H282" s="698">
        <v>0</v>
      </c>
      <c r="I282" s="699">
        <v>1.4E-2</v>
      </c>
      <c r="J282" s="699">
        <v>1.54E-2</v>
      </c>
      <c r="K282" s="699">
        <v>1.49E-2</v>
      </c>
      <c r="L282" s="697">
        <v>3</v>
      </c>
    </row>
    <row r="283" spans="1:12" ht="12" hidden="1" customHeight="1">
      <c r="A283" s="695">
        <v>41157</v>
      </c>
      <c r="B283" s="696" t="s">
        <v>1349</v>
      </c>
      <c r="C283" s="697">
        <v>28</v>
      </c>
      <c r="D283" s="695">
        <v>41185</v>
      </c>
      <c r="E283" s="698">
        <v>35</v>
      </c>
      <c r="F283" s="698">
        <v>0</v>
      </c>
      <c r="G283" s="698">
        <v>0</v>
      </c>
      <c r="H283" s="698">
        <v>0</v>
      </c>
      <c r="I283" s="699">
        <v>0</v>
      </c>
      <c r="J283" s="699">
        <v>0</v>
      </c>
      <c r="K283" s="699">
        <v>0</v>
      </c>
      <c r="L283" s="697">
        <v>1</v>
      </c>
    </row>
    <row r="284" spans="1:12" ht="12" hidden="1" customHeight="1">
      <c r="A284" s="695">
        <v>41164</v>
      </c>
      <c r="B284" s="696" t="s">
        <v>1350</v>
      </c>
      <c r="C284" s="697">
        <v>28</v>
      </c>
      <c r="D284" s="695">
        <v>41192</v>
      </c>
      <c r="E284" s="698">
        <v>35</v>
      </c>
      <c r="F284" s="698">
        <v>8.0007000000000001</v>
      </c>
      <c r="G284" s="698">
        <v>8.0007000000000001</v>
      </c>
      <c r="H284" s="698">
        <v>0</v>
      </c>
      <c r="I284" s="699">
        <v>1.4E-2</v>
      </c>
      <c r="J284" s="699">
        <v>1.61E-2</v>
      </c>
      <c r="K284" s="699">
        <v>1.43E-2</v>
      </c>
      <c r="L284" s="697">
        <v>2</v>
      </c>
    </row>
    <row r="285" spans="1:12" ht="12" hidden="1" customHeight="1">
      <c r="A285" s="695">
        <v>41171</v>
      </c>
      <c r="B285" s="696" t="s">
        <v>1351</v>
      </c>
      <c r="C285" s="697">
        <v>28</v>
      </c>
      <c r="D285" s="695">
        <v>41199</v>
      </c>
      <c r="E285" s="698">
        <v>35</v>
      </c>
      <c r="F285" s="698">
        <v>0</v>
      </c>
      <c r="G285" s="698">
        <v>0</v>
      </c>
      <c r="H285" s="698">
        <v>0</v>
      </c>
      <c r="I285" s="699">
        <v>0</v>
      </c>
      <c r="J285" s="699">
        <v>0</v>
      </c>
      <c r="K285" s="699">
        <v>0</v>
      </c>
      <c r="L285" s="697">
        <v>0</v>
      </c>
    </row>
    <row r="286" spans="1:12" ht="12" hidden="1" customHeight="1">
      <c r="A286" s="695">
        <v>41178</v>
      </c>
      <c r="B286" s="696" t="s">
        <v>1352</v>
      </c>
      <c r="C286" s="697">
        <v>28</v>
      </c>
      <c r="D286" s="695">
        <v>41206</v>
      </c>
      <c r="E286" s="698">
        <v>35</v>
      </c>
      <c r="F286" s="698">
        <v>3.7551000000000001</v>
      </c>
      <c r="G286" s="698">
        <v>3.7550999999999997</v>
      </c>
      <c r="H286" s="698">
        <v>0</v>
      </c>
      <c r="I286" s="699">
        <v>1.5100000000000001E-2</v>
      </c>
      <c r="J286" s="699">
        <v>3.5000000000000003E-2</v>
      </c>
      <c r="K286" s="699">
        <v>2.1999999999999999E-2</v>
      </c>
      <c r="L286" s="697">
        <v>3</v>
      </c>
    </row>
    <row r="287" spans="1:12" ht="12" hidden="1" customHeight="1">
      <c r="A287" s="695">
        <v>41185</v>
      </c>
      <c r="B287" s="696" t="s">
        <v>1364</v>
      </c>
      <c r="C287" s="697">
        <v>28</v>
      </c>
      <c r="D287" s="695">
        <v>41213</v>
      </c>
      <c r="E287" s="698">
        <v>35</v>
      </c>
      <c r="F287" s="698">
        <v>7.0034000000000001</v>
      </c>
      <c r="G287" s="698">
        <v>5</v>
      </c>
      <c r="H287" s="698">
        <v>0</v>
      </c>
      <c r="I287" s="699">
        <v>2.8000000000000001E-2</v>
      </c>
      <c r="J287" s="699">
        <v>2.8000000000000001E-2</v>
      </c>
      <c r="K287" s="699">
        <v>2.8000000000000001E-2</v>
      </c>
      <c r="L287" s="697">
        <v>2</v>
      </c>
    </row>
    <row r="288" spans="1:12" ht="12" hidden="1" customHeight="1">
      <c r="A288" s="695">
        <v>41192</v>
      </c>
      <c r="B288" s="696" t="s">
        <v>1365</v>
      </c>
      <c r="C288" s="697">
        <v>28</v>
      </c>
      <c r="D288" s="695">
        <v>41220</v>
      </c>
      <c r="E288" s="698">
        <v>35</v>
      </c>
      <c r="F288" s="698">
        <v>16.003</v>
      </c>
      <c r="G288" s="698">
        <v>10</v>
      </c>
      <c r="H288" s="698">
        <v>0</v>
      </c>
      <c r="I288" s="699">
        <v>2.7E-2</v>
      </c>
      <c r="J288" s="699">
        <v>2.7E-2</v>
      </c>
      <c r="K288" s="699">
        <v>2.7E-2</v>
      </c>
      <c r="L288" s="697">
        <v>3</v>
      </c>
    </row>
    <row r="289" spans="1:12" ht="12" hidden="1" customHeight="1">
      <c r="A289" s="695">
        <v>41199</v>
      </c>
      <c r="B289" s="696" t="s">
        <v>1366</v>
      </c>
      <c r="C289" s="697">
        <v>28</v>
      </c>
      <c r="D289" s="695">
        <v>41227</v>
      </c>
      <c r="E289" s="698">
        <v>35</v>
      </c>
      <c r="F289" s="698">
        <v>14</v>
      </c>
      <c r="G289" s="698">
        <v>10</v>
      </c>
      <c r="H289" s="698">
        <v>0</v>
      </c>
      <c r="I289" s="699">
        <v>2.5999999999999999E-2</v>
      </c>
      <c r="J289" s="699">
        <v>2.7E-2</v>
      </c>
      <c r="K289" s="699">
        <v>2.6700000000000002E-2</v>
      </c>
      <c r="L289" s="697">
        <v>2</v>
      </c>
    </row>
    <row r="290" spans="1:12" ht="12" hidden="1" customHeight="1">
      <c r="A290" s="695">
        <v>41206</v>
      </c>
      <c r="B290" s="696" t="s">
        <v>1367</v>
      </c>
      <c r="C290" s="697">
        <v>28</v>
      </c>
      <c r="D290" s="695">
        <v>41234</v>
      </c>
      <c r="E290" s="698">
        <v>35</v>
      </c>
      <c r="F290" s="698">
        <v>19.557500000000001</v>
      </c>
      <c r="G290" s="698">
        <v>10</v>
      </c>
      <c r="H290" s="698">
        <v>4.4528999999999996</v>
      </c>
      <c r="I290" s="699">
        <v>2.5700000000000001E-2</v>
      </c>
      <c r="J290" s="699">
        <v>2.8000000000000001E-2</v>
      </c>
      <c r="K290" s="699">
        <v>2.75E-2</v>
      </c>
      <c r="L290" s="697">
        <v>5</v>
      </c>
    </row>
    <row r="291" spans="1:12" ht="12" hidden="1" customHeight="1">
      <c r="A291" s="695">
        <v>41213</v>
      </c>
      <c r="B291" s="696" t="s">
        <v>1368</v>
      </c>
      <c r="C291" s="697">
        <v>28</v>
      </c>
      <c r="D291" s="695">
        <v>41241</v>
      </c>
      <c r="E291" s="698">
        <v>35</v>
      </c>
      <c r="F291" s="698">
        <v>13.5151</v>
      </c>
      <c r="G291" s="698">
        <v>10</v>
      </c>
      <c r="H291" s="698">
        <v>24.999600000000001</v>
      </c>
      <c r="I291" s="699">
        <v>2.5700000000000001E-2</v>
      </c>
      <c r="J291" s="699">
        <v>2.75E-2</v>
      </c>
      <c r="K291" s="699">
        <v>2.7099999999999999E-2</v>
      </c>
      <c r="L291" s="697">
        <v>3</v>
      </c>
    </row>
    <row r="292" spans="1:12" ht="12" hidden="1" customHeight="1">
      <c r="A292" s="695">
        <v>41220</v>
      </c>
      <c r="B292" s="696" t="s">
        <v>1379</v>
      </c>
      <c r="C292" s="697">
        <v>28</v>
      </c>
      <c r="D292" s="695">
        <v>41248</v>
      </c>
      <c r="E292" s="698">
        <v>35</v>
      </c>
      <c r="F292" s="698">
        <v>11.009</v>
      </c>
      <c r="G292" s="698">
        <v>10</v>
      </c>
      <c r="H292" s="698">
        <v>21.492999999999999</v>
      </c>
      <c r="I292" s="699">
        <v>2.58E-2</v>
      </c>
      <c r="J292" s="699">
        <v>3.1600000000000003E-2</v>
      </c>
      <c r="K292" s="699">
        <v>2.7300000000000001E-2</v>
      </c>
      <c r="L292" s="697">
        <v>4</v>
      </c>
    </row>
    <row r="293" spans="1:12" ht="12" hidden="1" customHeight="1">
      <c r="A293" s="695">
        <v>41227</v>
      </c>
      <c r="B293" s="696" t="s">
        <v>1380</v>
      </c>
      <c r="C293" s="697">
        <v>28</v>
      </c>
      <c r="D293" s="695">
        <v>41255</v>
      </c>
      <c r="E293" s="698">
        <v>35</v>
      </c>
      <c r="F293" s="698">
        <v>16.576499999999999</v>
      </c>
      <c r="G293" s="698">
        <v>10</v>
      </c>
      <c r="H293" s="698">
        <v>25</v>
      </c>
      <c r="I293" s="699">
        <v>2.5999999999999999E-2</v>
      </c>
      <c r="J293" s="699">
        <v>0.03</v>
      </c>
      <c r="K293" s="699">
        <v>2.8500000000000001E-2</v>
      </c>
      <c r="L293" s="697">
        <v>4</v>
      </c>
    </row>
    <row r="294" spans="1:12" ht="12" hidden="1" customHeight="1">
      <c r="A294" s="695">
        <v>41234</v>
      </c>
      <c r="B294" s="696" t="s">
        <v>1381</v>
      </c>
      <c r="C294" s="697">
        <v>28</v>
      </c>
      <c r="D294" s="695">
        <v>41262</v>
      </c>
      <c r="E294" s="698">
        <v>35</v>
      </c>
      <c r="F294" s="698">
        <v>21.950406990000001</v>
      </c>
      <c r="G294" s="698">
        <v>10</v>
      </c>
      <c r="H294" s="698">
        <v>24.9999</v>
      </c>
      <c r="I294" s="699">
        <v>2.9499999999999998E-2</v>
      </c>
      <c r="J294" s="699">
        <v>3.1E-2</v>
      </c>
      <c r="K294" s="699">
        <v>3.0700000000000002E-2</v>
      </c>
      <c r="L294" s="697">
        <v>3</v>
      </c>
    </row>
    <row r="295" spans="1:12" ht="12" hidden="1" customHeight="1">
      <c r="A295" s="695">
        <v>41241</v>
      </c>
      <c r="B295" s="696" t="s">
        <v>1382</v>
      </c>
      <c r="C295" s="697">
        <v>28</v>
      </c>
      <c r="D295" s="695">
        <v>41269</v>
      </c>
      <c r="E295" s="698">
        <v>35</v>
      </c>
      <c r="F295" s="698">
        <v>17.17124797</v>
      </c>
      <c r="G295" s="698">
        <v>10</v>
      </c>
      <c r="H295" s="698">
        <v>24.999600000000001</v>
      </c>
      <c r="I295" s="699">
        <v>2.7400000000000001E-2</v>
      </c>
      <c r="J295" s="699">
        <v>3.4200000000000001E-2</v>
      </c>
      <c r="K295" s="699">
        <v>3.1699999999999999E-2</v>
      </c>
      <c r="L295" s="697">
        <v>5</v>
      </c>
    </row>
    <row r="296" spans="1:12" ht="12" hidden="1" customHeight="1">
      <c r="A296" s="695">
        <v>41248</v>
      </c>
      <c r="B296" s="696" t="s">
        <v>1395</v>
      </c>
      <c r="C296" s="697">
        <v>29</v>
      </c>
      <c r="D296" s="695">
        <v>41277</v>
      </c>
      <c r="E296" s="698">
        <v>30</v>
      </c>
      <c r="F296" s="698">
        <v>21.0732</v>
      </c>
      <c r="G296" s="698">
        <v>8</v>
      </c>
      <c r="H296" s="698">
        <v>22</v>
      </c>
      <c r="I296" s="699">
        <v>2.5100000000000001E-2</v>
      </c>
      <c r="J296" s="699">
        <v>2.7400000000000001E-2</v>
      </c>
      <c r="K296" s="699">
        <v>2.5600000000000001E-2</v>
      </c>
      <c r="L296" s="697">
        <v>4</v>
      </c>
    </row>
    <row r="297" spans="1:12" ht="12" hidden="1" customHeight="1">
      <c r="A297" s="695">
        <v>41255</v>
      </c>
      <c r="B297" s="696" t="s">
        <v>1396</v>
      </c>
      <c r="C297" s="697">
        <v>28</v>
      </c>
      <c r="D297" s="695">
        <v>41283</v>
      </c>
      <c r="E297" s="698">
        <v>30</v>
      </c>
      <c r="F297" s="698">
        <v>38.4542</v>
      </c>
      <c r="G297" s="698">
        <v>10</v>
      </c>
      <c r="H297" s="698">
        <v>20</v>
      </c>
      <c r="I297" s="699">
        <v>2.1499999999999998E-2</v>
      </c>
      <c r="J297" s="699">
        <v>2.1999999999999999E-2</v>
      </c>
      <c r="K297" s="699">
        <v>2.1999999999999999E-2</v>
      </c>
      <c r="L297" s="697">
        <v>6</v>
      </c>
    </row>
    <row r="298" spans="1:12" ht="12" hidden="1" customHeight="1">
      <c r="A298" s="695">
        <v>41262</v>
      </c>
      <c r="B298" s="696" t="s">
        <v>1397</v>
      </c>
      <c r="C298" s="697">
        <v>28</v>
      </c>
      <c r="D298" s="695">
        <v>41290</v>
      </c>
      <c r="E298" s="698">
        <v>30</v>
      </c>
      <c r="F298" s="698">
        <v>23.9633</v>
      </c>
      <c r="G298" s="698">
        <v>10</v>
      </c>
      <c r="H298" s="698">
        <v>20</v>
      </c>
      <c r="I298" s="699">
        <v>1.4200000000000001E-2</v>
      </c>
      <c r="J298" s="699">
        <v>1.4200000000000001E-2</v>
      </c>
      <c r="K298" s="699">
        <v>1.4200000000000001E-2</v>
      </c>
      <c r="L298" s="697">
        <v>2</v>
      </c>
    </row>
    <row r="299" spans="1:12" ht="12" hidden="1" customHeight="1">
      <c r="A299" s="695">
        <v>41269</v>
      </c>
      <c r="B299" s="696" t="s">
        <v>1398</v>
      </c>
      <c r="C299" s="697">
        <v>28</v>
      </c>
      <c r="D299" s="695">
        <v>41297</v>
      </c>
      <c r="E299" s="698">
        <v>30</v>
      </c>
      <c r="F299" s="698">
        <v>19.483839669999998</v>
      </c>
      <c r="G299" s="698">
        <v>10</v>
      </c>
      <c r="H299" s="698">
        <v>20</v>
      </c>
      <c r="I299" s="699">
        <v>1.2E-2</v>
      </c>
      <c r="J299" s="699">
        <v>2.6499999999999999E-2</v>
      </c>
      <c r="K299" s="699">
        <v>1.8700000000000001E-2</v>
      </c>
      <c r="L299" s="697">
        <v>5</v>
      </c>
    </row>
    <row r="300" spans="1:12" ht="11.25" hidden="1" customHeight="1">
      <c r="A300" s="695">
        <v>41283</v>
      </c>
      <c r="B300" s="696" t="s">
        <v>1411</v>
      </c>
      <c r="C300" s="697">
        <v>28</v>
      </c>
      <c r="D300" s="695">
        <v>41311</v>
      </c>
      <c r="E300" s="698">
        <v>30</v>
      </c>
      <c r="F300" s="698">
        <v>17.003399999999999</v>
      </c>
      <c r="G300" s="698">
        <v>10</v>
      </c>
      <c r="H300" s="698">
        <v>20</v>
      </c>
      <c r="I300" s="699">
        <v>1.2999999999999999E-2</v>
      </c>
      <c r="J300" s="699">
        <v>2.2200000000000001E-2</v>
      </c>
      <c r="K300" s="699">
        <v>1.7600000000000001E-2</v>
      </c>
      <c r="L300" s="697">
        <v>3</v>
      </c>
    </row>
    <row r="301" spans="1:12" ht="12" hidden="1" customHeight="1">
      <c r="A301" s="695">
        <v>41290</v>
      </c>
      <c r="B301" s="696" t="s">
        <v>1412</v>
      </c>
      <c r="C301" s="697">
        <v>28</v>
      </c>
      <c r="D301" s="695">
        <v>41318</v>
      </c>
      <c r="E301" s="698">
        <v>30</v>
      </c>
      <c r="F301" s="698">
        <v>16.978899999999999</v>
      </c>
      <c r="G301" s="698">
        <v>10</v>
      </c>
      <c r="H301" s="698">
        <v>20</v>
      </c>
      <c r="I301" s="699">
        <v>1.61E-2</v>
      </c>
      <c r="J301" s="699">
        <v>1.9800000000000002E-2</v>
      </c>
      <c r="K301" s="699">
        <v>1.7500000000000002E-2</v>
      </c>
      <c r="L301" s="697">
        <v>2</v>
      </c>
    </row>
    <row r="302" spans="1:12" ht="11.25" hidden="1" customHeight="1">
      <c r="A302" s="695">
        <v>41297</v>
      </c>
      <c r="B302" s="696" t="s">
        <v>1413</v>
      </c>
      <c r="C302" s="697">
        <v>28</v>
      </c>
      <c r="D302" s="695">
        <v>41325</v>
      </c>
      <c r="E302" s="698">
        <v>30</v>
      </c>
      <c r="F302" s="698">
        <v>25.226300000000002</v>
      </c>
      <c r="G302" s="698">
        <v>10</v>
      </c>
      <c r="H302" s="698">
        <v>0</v>
      </c>
      <c r="I302" s="699">
        <v>1.54E-2</v>
      </c>
      <c r="J302" s="699">
        <v>1.95E-2</v>
      </c>
      <c r="K302" s="699">
        <v>1.7600000000000001E-2</v>
      </c>
      <c r="L302" s="697">
        <v>6</v>
      </c>
    </row>
    <row r="303" spans="1:12" ht="12" hidden="1" customHeight="1">
      <c r="A303" s="695">
        <v>41304</v>
      </c>
      <c r="B303" s="696" t="s">
        <v>1414</v>
      </c>
      <c r="C303" s="697">
        <v>28</v>
      </c>
      <c r="D303" s="695">
        <v>41332</v>
      </c>
      <c r="E303" s="698">
        <v>30</v>
      </c>
      <c r="F303" s="698">
        <v>18.002700000000001</v>
      </c>
      <c r="G303" s="698">
        <v>10</v>
      </c>
      <c r="H303" s="698">
        <v>0</v>
      </c>
      <c r="I303" s="699">
        <v>1.46E-2</v>
      </c>
      <c r="J303" s="699">
        <v>1.46E-2</v>
      </c>
      <c r="K303" s="699">
        <v>1.46E-2</v>
      </c>
      <c r="L303" s="697">
        <v>4</v>
      </c>
    </row>
    <row r="304" spans="1:12" ht="12" hidden="1" customHeight="1">
      <c r="A304" s="695">
        <v>41311</v>
      </c>
      <c r="B304" s="696" t="s">
        <v>1415</v>
      </c>
      <c r="C304" s="697">
        <v>28</v>
      </c>
      <c r="D304" s="695">
        <v>41339</v>
      </c>
      <c r="E304" s="698">
        <v>30</v>
      </c>
      <c r="F304" s="698">
        <v>20.979299999999999</v>
      </c>
      <c r="G304" s="698">
        <v>10</v>
      </c>
      <c r="H304" s="698">
        <v>0</v>
      </c>
      <c r="I304" s="699">
        <v>1.2999999999999999E-2</v>
      </c>
      <c r="J304" s="699">
        <v>1.35E-2</v>
      </c>
      <c r="K304" s="699">
        <v>1.32E-2</v>
      </c>
      <c r="L304" s="697">
        <v>3</v>
      </c>
    </row>
    <row r="305" spans="1:12" ht="12" hidden="1" customHeight="1">
      <c r="A305" s="695">
        <v>41318</v>
      </c>
      <c r="B305" s="696" t="s">
        <v>1416</v>
      </c>
      <c r="C305" s="697">
        <v>28</v>
      </c>
      <c r="D305" s="695">
        <v>41346</v>
      </c>
      <c r="E305" s="698">
        <v>30</v>
      </c>
      <c r="F305" s="698">
        <v>23.976611999999999</v>
      </c>
      <c r="G305" s="698">
        <v>10</v>
      </c>
      <c r="H305" s="698">
        <v>0</v>
      </c>
      <c r="I305" s="699">
        <v>1.21E-2</v>
      </c>
      <c r="J305" s="699">
        <v>1.21E-2</v>
      </c>
      <c r="K305" s="699">
        <v>1.21E-2</v>
      </c>
      <c r="L305" s="697">
        <v>2</v>
      </c>
    </row>
    <row r="306" spans="1:12" ht="12" hidden="1" customHeight="1">
      <c r="A306" s="695">
        <v>41325</v>
      </c>
      <c r="B306" s="696" t="s">
        <v>1417</v>
      </c>
      <c r="C306" s="697">
        <v>27</v>
      </c>
      <c r="D306" s="695">
        <v>41352</v>
      </c>
      <c r="E306" s="698">
        <v>30</v>
      </c>
      <c r="F306" s="698">
        <v>29.2182</v>
      </c>
      <c r="G306" s="698">
        <v>10</v>
      </c>
      <c r="H306" s="698">
        <v>0</v>
      </c>
      <c r="I306" s="699">
        <v>1.2E-2</v>
      </c>
      <c r="J306" s="699">
        <v>1.3299999999999999E-2</v>
      </c>
      <c r="K306" s="699">
        <v>1.2E-2</v>
      </c>
      <c r="L306" s="697">
        <v>4</v>
      </c>
    </row>
    <row r="307" spans="1:12" ht="12" hidden="1" customHeight="1">
      <c r="A307" s="695">
        <v>41332</v>
      </c>
      <c r="B307" s="696" t="s">
        <v>1418</v>
      </c>
      <c r="C307" s="697">
        <v>28</v>
      </c>
      <c r="D307" s="695">
        <v>41360</v>
      </c>
      <c r="E307" s="698">
        <v>30</v>
      </c>
      <c r="F307" s="698">
        <v>18.002800000000001</v>
      </c>
      <c r="G307" s="698">
        <v>10</v>
      </c>
      <c r="H307" s="698">
        <v>0</v>
      </c>
      <c r="I307" s="699">
        <v>1.2E-2</v>
      </c>
      <c r="J307" s="699">
        <v>1.3100000000000001E-2</v>
      </c>
      <c r="K307" s="699">
        <v>1.2500000000000001E-2</v>
      </c>
      <c r="L307" s="697">
        <v>3</v>
      </c>
    </row>
    <row r="308" spans="1:12" ht="12" hidden="1" customHeight="1">
      <c r="A308" s="695">
        <v>41339</v>
      </c>
      <c r="B308" s="696" t="s">
        <v>1419</v>
      </c>
      <c r="C308" s="697">
        <v>28</v>
      </c>
      <c r="D308" s="695">
        <v>41367</v>
      </c>
      <c r="E308" s="698">
        <v>30</v>
      </c>
      <c r="F308" s="698">
        <v>25.008500000000002</v>
      </c>
      <c r="G308" s="698">
        <v>10</v>
      </c>
      <c r="H308" s="698">
        <v>0</v>
      </c>
      <c r="I308" s="699">
        <v>1.2E-2</v>
      </c>
      <c r="J308" s="699">
        <v>1.2699999999999999E-2</v>
      </c>
      <c r="K308" s="699">
        <v>1.24E-2</v>
      </c>
      <c r="L308" s="697">
        <v>5</v>
      </c>
    </row>
    <row r="309" spans="1:12" ht="12" hidden="1" customHeight="1">
      <c r="A309" s="695">
        <v>41346</v>
      </c>
      <c r="B309" s="696" t="s">
        <v>1420</v>
      </c>
      <c r="C309" s="697">
        <v>28</v>
      </c>
      <c r="D309" s="695">
        <v>41374</v>
      </c>
      <c r="E309" s="698">
        <v>30</v>
      </c>
      <c r="F309" s="698">
        <v>21.004000000000001</v>
      </c>
      <c r="G309" s="698">
        <v>10</v>
      </c>
      <c r="H309" s="698">
        <v>4.0095000000000001</v>
      </c>
      <c r="I309" s="699">
        <v>1.2E-2</v>
      </c>
      <c r="J309" s="699">
        <v>1.21E-2</v>
      </c>
      <c r="K309" s="699">
        <v>1.21E-2</v>
      </c>
      <c r="L309" s="697">
        <v>3</v>
      </c>
    </row>
    <row r="310" spans="1:12" ht="12" hidden="1" customHeight="1">
      <c r="A310" s="695">
        <v>41352</v>
      </c>
      <c r="B310" s="696" t="s">
        <v>1421</v>
      </c>
      <c r="C310" s="697">
        <v>29</v>
      </c>
      <c r="D310" s="695">
        <v>41381</v>
      </c>
      <c r="E310" s="698">
        <v>30</v>
      </c>
      <c r="F310" s="698">
        <v>27.2164</v>
      </c>
      <c r="G310" s="698">
        <v>10</v>
      </c>
      <c r="H310" s="698">
        <v>0</v>
      </c>
      <c r="I310" s="699">
        <v>1.14E-2</v>
      </c>
      <c r="J310" s="699">
        <v>1.21E-2</v>
      </c>
      <c r="K310" s="699">
        <v>1.18E-2</v>
      </c>
      <c r="L310" s="697">
        <v>6</v>
      </c>
    </row>
    <row r="311" spans="1:12" ht="12" hidden="1" customHeight="1">
      <c r="A311" s="695">
        <v>41360</v>
      </c>
      <c r="B311" s="696" t="s">
        <v>1422</v>
      </c>
      <c r="C311" s="697">
        <v>28</v>
      </c>
      <c r="D311" s="695">
        <v>41388</v>
      </c>
      <c r="E311" s="698">
        <v>30</v>
      </c>
      <c r="F311" s="698">
        <v>10.002800000000001</v>
      </c>
      <c r="G311" s="698">
        <v>10</v>
      </c>
      <c r="H311" s="698">
        <v>0</v>
      </c>
      <c r="I311" s="699">
        <v>1.2E-2</v>
      </c>
      <c r="J311" s="699">
        <v>1.2500000000000001E-2</v>
      </c>
      <c r="K311" s="699">
        <v>1.2200000000000001E-2</v>
      </c>
      <c r="L311" s="697">
        <v>3</v>
      </c>
    </row>
    <row r="312" spans="1:12" ht="12" hidden="1" customHeight="1">
      <c r="A312" s="695">
        <v>41367</v>
      </c>
      <c r="B312" s="696" t="s">
        <v>1423</v>
      </c>
      <c r="C312" s="697">
        <v>28</v>
      </c>
      <c r="D312" s="695">
        <v>41395</v>
      </c>
      <c r="E312" s="698">
        <v>30</v>
      </c>
      <c r="F312" s="698">
        <v>10.506600000000001</v>
      </c>
      <c r="G312" s="698">
        <v>10</v>
      </c>
      <c r="H312" s="698">
        <v>0</v>
      </c>
      <c r="I312" s="699">
        <v>1.2E-2</v>
      </c>
      <c r="J312" s="699">
        <v>1.35E-2</v>
      </c>
      <c r="K312" s="699">
        <v>1.23E-2</v>
      </c>
      <c r="L312" s="697">
        <v>4</v>
      </c>
    </row>
    <row r="313" spans="1:12" ht="12" hidden="1" customHeight="1">
      <c r="A313" s="695">
        <v>41374</v>
      </c>
      <c r="B313" s="696" t="s">
        <v>1424</v>
      </c>
      <c r="C313" s="697">
        <v>28</v>
      </c>
      <c r="D313" s="695">
        <v>41402</v>
      </c>
      <c r="E313" s="698">
        <v>30</v>
      </c>
      <c r="F313" s="698">
        <v>14.5046</v>
      </c>
      <c r="G313" s="698">
        <v>10</v>
      </c>
      <c r="H313" s="698">
        <v>0</v>
      </c>
      <c r="I313" s="699">
        <v>1.0999999999999999E-2</v>
      </c>
      <c r="J313" s="699">
        <v>1.2E-2</v>
      </c>
      <c r="K313" s="699">
        <v>1.12E-2</v>
      </c>
      <c r="L313" s="697">
        <v>3</v>
      </c>
    </row>
    <row r="314" spans="1:12" ht="12" hidden="1" customHeight="1">
      <c r="A314" s="695">
        <v>41381</v>
      </c>
      <c r="B314" s="696" t="s">
        <v>1425</v>
      </c>
      <c r="C314" s="697">
        <v>28</v>
      </c>
      <c r="D314" s="695">
        <v>41409</v>
      </c>
      <c r="E314" s="698">
        <v>30</v>
      </c>
      <c r="F314" s="698">
        <v>8.2124000000000006</v>
      </c>
      <c r="G314" s="698">
        <v>8.2124000000000006</v>
      </c>
      <c r="H314" s="698">
        <v>0</v>
      </c>
      <c r="I314" s="699">
        <v>1.0999999999999999E-2</v>
      </c>
      <c r="J314" s="699">
        <v>1.21E-2</v>
      </c>
      <c r="K314" s="699">
        <v>1.1599999999999999E-2</v>
      </c>
      <c r="L314" s="697">
        <v>4</v>
      </c>
    </row>
    <row r="315" spans="1:12" ht="12" hidden="1" customHeight="1">
      <c r="A315" s="695">
        <v>41388</v>
      </c>
      <c r="B315" s="696" t="s">
        <v>1426</v>
      </c>
      <c r="C315" s="697">
        <v>28</v>
      </c>
      <c r="D315" s="695">
        <v>41416</v>
      </c>
      <c r="E315" s="698">
        <v>30</v>
      </c>
      <c r="F315" s="698">
        <v>5.0027999999999997</v>
      </c>
      <c r="G315" s="698">
        <v>3.9028</v>
      </c>
      <c r="H315" s="698">
        <v>0</v>
      </c>
      <c r="I315" s="699">
        <v>1.2E-2</v>
      </c>
      <c r="J315" s="699">
        <v>1.35E-2</v>
      </c>
      <c r="K315" s="699">
        <v>1.24E-2</v>
      </c>
      <c r="L315" s="697">
        <v>2</v>
      </c>
    </row>
    <row r="316" spans="1:12" ht="12" hidden="1" customHeight="1">
      <c r="A316" s="695">
        <v>41395</v>
      </c>
      <c r="B316" s="696" t="s">
        <v>1445</v>
      </c>
      <c r="C316" s="697">
        <v>28</v>
      </c>
      <c r="D316" s="695">
        <v>41423</v>
      </c>
      <c r="E316" s="698">
        <v>30</v>
      </c>
      <c r="F316" s="698">
        <v>7.5060000000000002</v>
      </c>
      <c r="G316" s="698">
        <v>5</v>
      </c>
      <c r="H316" s="698">
        <v>0</v>
      </c>
      <c r="I316" s="699">
        <v>1.2E-2</v>
      </c>
      <c r="J316" s="699">
        <v>1.2E-2</v>
      </c>
      <c r="K316" s="699">
        <v>1.2E-2</v>
      </c>
      <c r="L316" s="697">
        <v>2</v>
      </c>
    </row>
    <row r="317" spans="1:12" ht="12" hidden="1" customHeight="1">
      <c r="A317" s="695">
        <v>41402</v>
      </c>
      <c r="B317" s="696" t="s">
        <v>1446</v>
      </c>
      <c r="C317" s="697">
        <v>28</v>
      </c>
      <c r="D317" s="695">
        <v>41430</v>
      </c>
      <c r="E317" s="698">
        <v>30</v>
      </c>
      <c r="F317" s="698">
        <v>0</v>
      </c>
      <c r="G317" s="698">
        <v>0</v>
      </c>
      <c r="H317" s="698">
        <v>0</v>
      </c>
      <c r="I317" s="699">
        <v>0</v>
      </c>
      <c r="J317" s="699">
        <v>0</v>
      </c>
      <c r="K317" s="699">
        <v>0</v>
      </c>
      <c r="L317" s="697">
        <v>0</v>
      </c>
    </row>
    <row r="318" spans="1:12" ht="12" hidden="1" customHeight="1">
      <c r="A318" s="695">
        <v>41409</v>
      </c>
      <c r="B318" s="696" t="s">
        <v>1447</v>
      </c>
      <c r="C318" s="697">
        <v>28</v>
      </c>
      <c r="D318" s="695">
        <v>41437</v>
      </c>
      <c r="E318" s="698">
        <v>30</v>
      </c>
      <c r="F318" s="698">
        <v>6.2118000000000002</v>
      </c>
      <c r="G318" s="698">
        <v>5</v>
      </c>
      <c r="H318" s="698">
        <v>0</v>
      </c>
      <c r="I318" s="699">
        <v>1.2E-2</v>
      </c>
      <c r="J318" s="699">
        <v>1.21E-2</v>
      </c>
      <c r="K318" s="699">
        <v>1.2E-2</v>
      </c>
      <c r="L318" s="697">
        <v>4</v>
      </c>
    </row>
    <row r="319" spans="1:12" ht="12" hidden="1" customHeight="1">
      <c r="A319" s="695">
        <v>41416</v>
      </c>
      <c r="B319" s="696" t="s">
        <v>1448</v>
      </c>
      <c r="C319" s="697">
        <v>28</v>
      </c>
      <c r="D319" s="695">
        <v>41444</v>
      </c>
      <c r="E319" s="698">
        <v>30</v>
      </c>
      <c r="F319" s="698">
        <v>3.1027999999999998</v>
      </c>
      <c r="G319" s="698">
        <v>3.0028000000000001</v>
      </c>
      <c r="H319" s="698">
        <v>0</v>
      </c>
      <c r="I319" s="699">
        <v>1.2E-2</v>
      </c>
      <c r="J319" s="699">
        <v>1.2E-2</v>
      </c>
      <c r="K319" s="699">
        <v>1.2E-2</v>
      </c>
      <c r="L319" s="697">
        <v>2</v>
      </c>
    </row>
    <row r="320" spans="1:12" ht="12" hidden="1" customHeight="1">
      <c r="A320" s="695">
        <v>41423</v>
      </c>
      <c r="B320" s="696" t="s">
        <v>1449</v>
      </c>
      <c r="C320" s="697">
        <v>29</v>
      </c>
      <c r="D320" s="695">
        <v>41452</v>
      </c>
      <c r="E320" s="698">
        <v>30</v>
      </c>
      <c r="F320" s="698">
        <v>0</v>
      </c>
      <c r="G320" s="698">
        <v>0</v>
      </c>
      <c r="H320" s="698">
        <v>0</v>
      </c>
      <c r="I320" s="699">
        <v>0</v>
      </c>
      <c r="J320" s="699">
        <v>0</v>
      </c>
      <c r="K320" s="699">
        <v>0</v>
      </c>
      <c r="L320" s="697">
        <v>0</v>
      </c>
    </row>
    <row r="321" spans="1:12" ht="12" hidden="1" customHeight="1">
      <c r="A321" s="695">
        <v>41430</v>
      </c>
      <c r="B321" s="696" t="s">
        <v>1495</v>
      </c>
      <c r="C321" s="697">
        <v>28</v>
      </c>
      <c r="D321" s="695">
        <v>41458</v>
      </c>
      <c r="E321" s="698">
        <v>30</v>
      </c>
      <c r="F321" s="698">
        <v>8.5</v>
      </c>
      <c r="G321" s="698">
        <v>5</v>
      </c>
      <c r="H321" s="698">
        <v>0</v>
      </c>
      <c r="I321" s="699">
        <v>1.2E-2</v>
      </c>
      <c r="J321" s="699">
        <v>1.2E-2</v>
      </c>
      <c r="K321" s="699">
        <v>1.2E-2</v>
      </c>
      <c r="L321" s="697">
        <v>2</v>
      </c>
    </row>
    <row r="322" spans="1:12" ht="12" hidden="1" customHeight="1">
      <c r="A322" s="695">
        <v>41437</v>
      </c>
      <c r="B322" s="696" t="s">
        <v>1496</v>
      </c>
      <c r="C322" s="697">
        <v>28</v>
      </c>
      <c r="D322" s="695">
        <v>41465</v>
      </c>
      <c r="E322" s="698">
        <v>30</v>
      </c>
      <c r="F322" s="698">
        <v>10.203200000000001</v>
      </c>
      <c r="G322" s="698">
        <v>5</v>
      </c>
      <c r="H322" s="698">
        <v>0</v>
      </c>
      <c r="I322" s="699">
        <v>1.2E-2</v>
      </c>
      <c r="J322" s="699">
        <v>1.2E-2</v>
      </c>
      <c r="K322" s="699">
        <v>1.2E-2</v>
      </c>
      <c r="L322" s="697">
        <v>3</v>
      </c>
    </row>
    <row r="323" spans="1:12" ht="12" hidden="1" customHeight="1">
      <c r="A323" s="695">
        <v>41444</v>
      </c>
      <c r="B323" s="696" t="s">
        <v>1497</v>
      </c>
      <c r="C323" s="697">
        <v>28</v>
      </c>
      <c r="D323" s="695">
        <v>41472</v>
      </c>
      <c r="E323" s="698">
        <v>30</v>
      </c>
      <c r="F323" s="698">
        <v>8.0045000000000002</v>
      </c>
      <c r="G323" s="698">
        <v>5</v>
      </c>
      <c r="H323" s="698">
        <v>0</v>
      </c>
      <c r="I323" s="699">
        <v>1.2E-2</v>
      </c>
      <c r="J323" s="699">
        <v>1.2E-2</v>
      </c>
      <c r="K323" s="699">
        <v>1.2E-2</v>
      </c>
      <c r="L323" s="697">
        <v>2</v>
      </c>
    </row>
    <row r="324" spans="1:12" ht="12" hidden="1" customHeight="1">
      <c r="A324" s="695">
        <v>41450</v>
      </c>
      <c r="B324" s="696" t="s">
        <v>1498</v>
      </c>
      <c r="C324" s="697">
        <v>29</v>
      </c>
      <c r="D324" s="695">
        <v>41479</v>
      </c>
      <c r="E324" s="698">
        <v>30</v>
      </c>
      <c r="F324" s="698">
        <v>0</v>
      </c>
      <c r="G324" s="698">
        <v>0</v>
      </c>
      <c r="H324" s="698">
        <v>0</v>
      </c>
      <c r="I324" s="699">
        <v>0</v>
      </c>
      <c r="J324" s="699">
        <v>0</v>
      </c>
      <c r="K324" s="699">
        <v>0</v>
      </c>
      <c r="L324" s="697">
        <v>0</v>
      </c>
    </row>
    <row r="325" spans="1:12" ht="12" hidden="1" customHeight="1">
      <c r="A325" s="695">
        <v>41458</v>
      </c>
      <c r="B325" s="696" t="s">
        <v>1499</v>
      </c>
      <c r="C325" s="697">
        <v>28</v>
      </c>
      <c r="D325" s="695">
        <v>41486</v>
      </c>
      <c r="E325" s="698">
        <v>30</v>
      </c>
      <c r="F325" s="698">
        <v>8.5060000000000002</v>
      </c>
      <c r="G325" s="698">
        <v>5</v>
      </c>
      <c r="H325" s="698">
        <v>0</v>
      </c>
      <c r="I325" s="699">
        <v>1.2E-2</v>
      </c>
      <c r="J325" s="699">
        <v>1.2E-2</v>
      </c>
      <c r="K325" s="699">
        <v>1.2E-2</v>
      </c>
      <c r="L325" s="697">
        <v>3</v>
      </c>
    </row>
    <row r="326" spans="1:12" ht="12" hidden="1" customHeight="1">
      <c r="A326" s="695">
        <v>41465</v>
      </c>
      <c r="B326" s="696" t="s">
        <v>1500</v>
      </c>
      <c r="C326" s="697">
        <v>28</v>
      </c>
      <c r="D326" s="695">
        <v>41493</v>
      </c>
      <c r="E326" s="698">
        <v>30</v>
      </c>
      <c r="F326" s="698">
        <v>6.3009000000000004</v>
      </c>
      <c r="G326" s="698">
        <v>5</v>
      </c>
      <c r="H326" s="698">
        <v>0</v>
      </c>
      <c r="I326" s="699">
        <v>1.2E-2</v>
      </c>
      <c r="J326" s="699">
        <v>1.2E-2</v>
      </c>
      <c r="K326" s="699">
        <v>1.2E-2</v>
      </c>
      <c r="L326" s="697">
        <v>2</v>
      </c>
    </row>
    <row r="327" spans="1:12" ht="12" hidden="1" customHeight="1">
      <c r="A327" s="695">
        <v>41472</v>
      </c>
      <c r="B327" s="696" t="s">
        <v>1501</v>
      </c>
      <c r="C327" s="697">
        <v>28</v>
      </c>
      <c r="D327" s="695">
        <v>41500</v>
      </c>
      <c r="E327" s="698">
        <v>30</v>
      </c>
      <c r="F327" s="698">
        <v>8.004543</v>
      </c>
      <c r="G327" s="698">
        <v>5</v>
      </c>
      <c r="H327" s="698">
        <v>0</v>
      </c>
      <c r="I327" s="699">
        <v>1.2E-2</v>
      </c>
      <c r="J327" s="699">
        <v>1.2E-2</v>
      </c>
      <c r="K327" s="699">
        <v>1.2E-2</v>
      </c>
      <c r="L327" s="697">
        <v>2</v>
      </c>
    </row>
    <row r="328" spans="1:12" ht="12" hidden="1" customHeight="1">
      <c r="A328" s="695">
        <v>41479</v>
      </c>
      <c r="B328" s="696" t="s">
        <v>1502</v>
      </c>
      <c r="C328" s="697">
        <v>28</v>
      </c>
      <c r="D328" s="695">
        <v>41507</v>
      </c>
      <c r="E328" s="698">
        <v>30</v>
      </c>
      <c r="F328" s="698">
        <v>0</v>
      </c>
      <c r="G328" s="698">
        <v>0</v>
      </c>
      <c r="H328" s="698">
        <v>0</v>
      </c>
      <c r="I328" s="699">
        <v>0</v>
      </c>
      <c r="J328" s="699">
        <v>0</v>
      </c>
      <c r="K328" s="699">
        <v>0</v>
      </c>
      <c r="L328" s="697">
        <v>0</v>
      </c>
    </row>
    <row r="329" spans="1:12" ht="12" hidden="1" customHeight="1">
      <c r="A329" s="695">
        <v>41486</v>
      </c>
      <c r="B329" s="696" t="s">
        <v>1503</v>
      </c>
      <c r="C329" s="697">
        <v>28</v>
      </c>
      <c r="D329" s="695">
        <v>41514</v>
      </c>
      <c r="E329" s="698">
        <v>30</v>
      </c>
      <c r="F329" s="698">
        <v>7.9929800000000002</v>
      </c>
      <c r="G329" s="698">
        <v>5</v>
      </c>
      <c r="H329" s="698">
        <v>0</v>
      </c>
      <c r="I329" s="699">
        <v>1.2E-2</v>
      </c>
      <c r="J329" s="699">
        <v>1.2E-2</v>
      </c>
      <c r="K329" s="699">
        <v>1.2E-2</v>
      </c>
      <c r="L329" s="697">
        <v>2</v>
      </c>
    </row>
    <row r="330" spans="1:12" ht="12" hidden="1" customHeight="1">
      <c r="A330" s="695">
        <v>41493</v>
      </c>
      <c r="B330" s="696" t="s">
        <v>1508</v>
      </c>
      <c r="C330" s="697">
        <v>28</v>
      </c>
      <c r="D330" s="695">
        <v>41521</v>
      </c>
      <c r="E330" s="698">
        <v>30</v>
      </c>
      <c r="F330" s="698">
        <v>12.007199999999999</v>
      </c>
      <c r="G330" s="698">
        <v>5</v>
      </c>
      <c r="H330" s="698">
        <v>0</v>
      </c>
      <c r="I330" s="699">
        <v>1.15E-2</v>
      </c>
      <c r="J330" s="699">
        <v>1.2E-2</v>
      </c>
      <c r="K330" s="699">
        <v>1.1599999999999999E-2</v>
      </c>
      <c r="L330" s="697">
        <v>3</v>
      </c>
    </row>
    <row r="331" spans="1:12" ht="12" hidden="1" customHeight="1">
      <c r="A331" s="695">
        <v>41500</v>
      </c>
      <c r="B331" s="696" t="s">
        <v>1509</v>
      </c>
      <c r="C331" s="697">
        <v>28</v>
      </c>
      <c r="D331" s="695">
        <v>41528</v>
      </c>
      <c r="E331" s="698">
        <v>30</v>
      </c>
      <c r="F331" s="698">
        <v>10.0052</v>
      </c>
      <c r="G331" s="698">
        <v>5</v>
      </c>
      <c r="H331" s="698">
        <v>0</v>
      </c>
      <c r="I331" s="699">
        <v>1.15E-2</v>
      </c>
      <c r="J331" s="699">
        <v>1.18E-2</v>
      </c>
      <c r="K331" s="699">
        <v>1.15E-2</v>
      </c>
      <c r="L331" s="697">
        <v>2</v>
      </c>
    </row>
    <row r="332" spans="1:12" ht="12" hidden="1" customHeight="1">
      <c r="A332" s="695">
        <v>41507</v>
      </c>
      <c r="B332" s="696" t="s">
        <v>1510</v>
      </c>
      <c r="C332" s="697">
        <v>28</v>
      </c>
      <c r="D332" s="695">
        <v>41535</v>
      </c>
      <c r="E332" s="698">
        <v>30</v>
      </c>
      <c r="F332" s="698">
        <v>8.0054999999999996</v>
      </c>
      <c r="G332" s="698">
        <v>5</v>
      </c>
      <c r="H332" s="698">
        <v>0</v>
      </c>
      <c r="I332" s="699">
        <v>1.1299999999999999E-2</v>
      </c>
      <c r="J332" s="699">
        <v>1.15E-2</v>
      </c>
      <c r="K332" s="699">
        <v>1.14E-2</v>
      </c>
      <c r="L332" s="697">
        <v>2</v>
      </c>
    </row>
    <row r="333" spans="1:12" ht="12" hidden="1" customHeight="1">
      <c r="A333" s="695">
        <v>41514</v>
      </c>
      <c r="B333" s="696" t="s">
        <v>1511</v>
      </c>
      <c r="C333" s="697">
        <v>28</v>
      </c>
      <c r="D333" s="695">
        <v>41542</v>
      </c>
      <c r="E333" s="698">
        <v>30</v>
      </c>
      <c r="F333" s="698">
        <v>11.006399999999999</v>
      </c>
      <c r="G333" s="698">
        <v>5</v>
      </c>
      <c r="H333" s="698">
        <v>0</v>
      </c>
      <c r="I333" s="699">
        <v>1.1299999999999999E-2</v>
      </c>
      <c r="J333" s="699">
        <v>1.15E-2</v>
      </c>
      <c r="K333" s="699">
        <v>1.15E-2</v>
      </c>
      <c r="L333" s="697">
        <v>2</v>
      </c>
    </row>
    <row r="334" spans="1:12" ht="12" hidden="1" customHeight="1">
      <c r="A334" s="695">
        <v>41521</v>
      </c>
      <c r="B334" s="696" t="s">
        <v>1527</v>
      </c>
      <c r="C334" s="697">
        <v>28</v>
      </c>
      <c r="D334" s="695">
        <v>41549</v>
      </c>
      <c r="E334" s="698">
        <v>30</v>
      </c>
      <c r="F334" s="698">
        <v>0</v>
      </c>
      <c r="G334" s="698">
        <v>0</v>
      </c>
      <c r="H334" s="698">
        <v>0</v>
      </c>
      <c r="I334" s="699">
        <v>0</v>
      </c>
      <c r="J334" s="699">
        <v>0</v>
      </c>
      <c r="K334" s="699">
        <v>0</v>
      </c>
      <c r="L334" s="697">
        <v>0</v>
      </c>
    </row>
    <row r="335" spans="1:12" ht="12" hidden="1" customHeight="1">
      <c r="A335" s="695">
        <v>41528</v>
      </c>
      <c r="B335" s="696" t="s">
        <v>1528</v>
      </c>
      <c r="C335" s="697">
        <v>28</v>
      </c>
      <c r="D335" s="695">
        <v>41556</v>
      </c>
      <c r="E335" s="698">
        <v>30</v>
      </c>
      <c r="F335" s="698">
        <v>7.9930000000000003</v>
      </c>
      <c r="G335" s="698">
        <v>5</v>
      </c>
      <c r="H335" s="698">
        <v>0</v>
      </c>
      <c r="I335" s="699">
        <v>1.0999999999999999E-2</v>
      </c>
      <c r="J335" s="699">
        <v>1.15E-2</v>
      </c>
      <c r="K335" s="699">
        <v>1.11E-2</v>
      </c>
      <c r="L335" s="697">
        <v>2</v>
      </c>
    </row>
    <row r="336" spans="1:12" ht="12" hidden="1" customHeight="1">
      <c r="A336" s="695">
        <v>41535</v>
      </c>
      <c r="B336" s="696" t="s">
        <v>1529</v>
      </c>
      <c r="C336" s="697">
        <v>28</v>
      </c>
      <c r="D336" s="695">
        <v>41563</v>
      </c>
      <c r="E336" s="698">
        <v>30</v>
      </c>
      <c r="F336" s="698">
        <v>13.0016</v>
      </c>
      <c r="G336" s="698">
        <v>5</v>
      </c>
      <c r="H336" s="698">
        <v>0</v>
      </c>
      <c r="I336" s="699">
        <v>1.1299999999999999E-2</v>
      </c>
      <c r="J336" s="699">
        <v>1.1299999999999999E-2</v>
      </c>
      <c r="K336" s="699">
        <v>1.1299999999999999E-2</v>
      </c>
      <c r="L336" s="697">
        <v>2</v>
      </c>
    </row>
    <row r="337" spans="1:12" ht="12" hidden="1" customHeight="1">
      <c r="A337" s="695">
        <v>41542</v>
      </c>
      <c r="B337" s="696" t="s">
        <v>1530</v>
      </c>
      <c r="C337" s="697">
        <v>28</v>
      </c>
      <c r="D337" s="695">
        <v>41570</v>
      </c>
      <c r="E337" s="698">
        <v>30</v>
      </c>
      <c r="F337" s="698">
        <v>15.003500000000001</v>
      </c>
      <c r="G337" s="698">
        <v>5</v>
      </c>
      <c r="H337" s="698">
        <v>0</v>
      </c>
      <c r="I337" s="699">
        <v>1.1299999999999999E-2</v>
      </c>
      <c r="J337" s="699">
        <v>1.1299999999999999E-2</v>
      </c>
      <c r="K337" s="699">
        <v>1.1299999999999999E-2</v>
      </c>
      <c r="L337" s="697">
        <v>2</v>
      </c>
    </row>
    <row r="338" spans="1:12" ht="12" hidden="1" customHeight="1">
      <c r="A338" s="695">
        <v>41549</v>
      </c>
      <c r="B338" s="696" t="s">
        <v>1543</v>
      </c>
      <c r="C338" s="697">
        <v>28</v>
      </c>
      <c r="D338" s="695">
        <v>41577</v>
      </c>
      <c r="E338" s="698">
        <v>30</v>
      </c>
      <c r="F338" s="698">
        <v>10.001799999999999</v>
      </c>
      <c r="G338" s="698">
        <v>5</v>
      </c>
      <c r="H338" s="698">
        <v>0</v>
      </c>
      <c r="I338" s="699">
        <v>1.1299999999999999E-2</v>
      </c>
      <c r="J338" s="699">
        <v>1.1299999999999999E-2</v>
      </c>
      <c r="K338" s="699">
        <v>1.1299999999999999E-2</v>
      </c>
      <c r="L338" s="697">
        <v>2</v>
      </c>
    </row>
    <row r="339" spans="1:12" ht="12" hidden="1" customHeight="1">
      <c r="A339" s="695">
        <v>41557</v>
      </c>
      <c r="B339" s="696" t="s">
        <v>1544</v>
      </c>
      <c r="C339" s="697">
        <v>27</v>
      </c>
      <c r="D339" s="695">
        <v>41584</v>
      </c>
      <c r="E339" s="698">
        <v>30</v>
      </c>
      <c r="F339" s="698">
        <v>15.005800000000001</v>
      </c>
      <c r="G339" s="698">
        <v>5</v>
      </c>
      <c r="H339" s="698">
        <v>0</v>
      </c>
      <c r="I339" s="699">
        <v>1.17E-2</v>
      </c>
      <c r="J339" s="699">
        <v>1.17E-2</v>
      </c>
      <c r="K339" s="699">
        <v>1.17E-2</v>
      </c>
      <c r="L339" s="697">
        <v>3</v>
      </c>
    </row>
    <row r="340" spans="1:12" ht="12" hidden="1" customHeight="1">
      <c r="A340" s="695">
        <v>41564</v>
      </c>
      <c r="B340" s="696" t="s">
        <v>1545</v>
      </c>
      <c r="C340" s="697">
        <v>27</v>
      </c>
      <c r="D340" s="695">
        <v>41591</v>
      </c>
      <c r="E340" s="698">
        <v>30</v>
      </c>
      <c r="F340" s="698">
        <v>10.001799999999999</v>
      </c>
      <c r="G340" s="698">
        <v>5</v>
      </c>
      <c r="H340" s="698">
        <v>0</v>
      </c>
      <c r="I340" s="699">
        <v>1.1599999999999999E-2</v>
      </c>
      <c r="J340" s="699">
        <v>1.1599999999999999E-2</v>
      </c>
      <c r="K340" s="699">
        <v>1.1599999999999999E-2</v>
      </c>
      <c r="L340" s="697">
        <v>2</v>
      </c>
    </row>
    <row r="341" spans="1:12" ht="12" hidden="1" customHeight="1">
      <c r="A341" s="695">
        <v>41570</v>
      </c>
      <c r="B341" s="696" t="s">
        <v>1546</v>
      </c>
      <c r="C341" s="697">
        <v>28</v>
      </c>
      <c r="D341" s="695">
        <v>41598</v>
      </c>
      <c r="E341" s="698">
        <v>30</v>
      </c>
      <c r="F341" s="698">
        <v>10.001799999999999</v>
      </c>
      <c r="G341" s="698">
        <v>5</v>
      </c>
      <c r="H341" s="698">
        <v>0</v>
      </c>
      <c r="I341" s="699">
        <v>1.1299999999999999E-2</v>
      </c>
      <c r="J341" s="699">
        <v>1.1299999999999999E-2</v>
      </c>
      <c r="K341" s="699">
        <v>1.1299999999999999E-2</v>
      </c>
      <c r="L341" s="697">
        <v>2</v>
      </c>
    </row>
    <row r="342" spans="1:12" ht="12" hidden="1" customHeight="1">
      <c r="A342" s="695">
        <v>41577</v>
      </c>
      <c r="B342" s="696" t="s">
        <v>1547</v>
      </c>
      <c r="C342" s="697">
        <v>28</v>
      </c>
      <c r="D342" s="695">
        <v>41605</v>
      </c>
      <c r="E342" s="698">
        <v>30</v>
      </c>
      <c r="F342" s="698">
        <v>10.0022</v>
      </c>
      <c r="G342" s="698">
        <v>5</v>
      </c>
      <c r="H342" s="698">
        <v>0</v>
      </c>
      <c r="I342" s="699">
        <v>1.09E-2</v>
      </c>
      <c r="J342" s="699">
        <v>1.09E-2</v>
      </c>
      <c r="K342" s="699">
        <v>1.09E-2</v>
      </c>
      <c r="L342" s="697">
        <v>2</v>
      </c>
    </row>
    <row r="343" spans="1:12" ht="12" hidden="1" customHeight="1">
      <c r="A343" s="695">
        <v>41584</v>
      </c>
      <c r="B343" s="696" t="s">
        <v>1602</v>
      </c>
      <c r="C343" s="697">
        <v>28</v>
      </c>
      <c r="D343" s="695">
        <v>41612</v>
      </c>
      <c r="E343" s="698">
        <v>30</v>
      </c>
      <c r="F343" s="698">
        <v>10.2987</v>
      </c>
      <c r="G343" s="698">
        <v>5</v>
      </c>
      <c r="H343" s="698">
        <v>0</v>
      </c>
      <c r="I343" s="699">
        <v>1.0999999999999999E-2</v>
      </c>
      <c r="J343" s="699">
        <v>1.0999999999999999E-2</v>
      </c>
      <c r="K343" s="699">
        <v>1.0999999999999999E-2</v>
      </c>
      <c r="L343" s="697">
        <v>2</v>
      </c>
    </row>
    <row r="344" spans="1:12" ht="12" hidden="1" customHeight="1">
      <c r="A344" s="695">
        <v>41591</v>
      </c>
      <c r="B344" s="696" t="s">
        <v>1603</v>
      </c>
      <c r="C344" s="697">
        <v>28</v>
      </c>
      <c r="D344" s="695">
        <v>41619</v>
      </c>
      <c r="E344" s="698">
        <v>30</v>
      </c>
      <c r="F344" s="698">
        <v>10.0017</v>
      </c>
      <c r="G344" s="698">
        <v>5</v>
      </c>
      <c r="H344" s="698">
        <v>0</v>
      </c>
      <c r="I344" s="699">
        <v>1.09E-2</v>
      </c>
      <c r="J344" s="699">
        <v>1.09E-2</v>
      </c>
      <c r="K344" s="699">
        <v>1.09E-2</v>
      </c>
      <c r="L344" s="697">
        <v>2</v>
      </c>
    </row>
    <row r="345" spans="1:12" ht="12" hidden="1" customHeight="1">
      <c r="A345" s="695">
        <v>41598</v>
      </c>
      <c r="B345" s="696" t="s">
        <v>1604</v>
      </c>
      <c r="C345" s="697">
        <v>28</v>
      </c>
      <c r="D345" s="695">
        <v>41626</v>
      </c>
      <c r="E345" s="698">
        <v>30</v>
      </c>
      <c r="F345" s="698">
        <v>10.0021</v>
      </c>
      <c r="G345" s="698">
        <v>5</v>
      </c>
      <c r="H345" s="698">
        <v>0</v>
      </c>
      <c r="I345" s="699">
        <v>1.09E-2</v>
      </c>
      <c r="J345" s="699">
        <v>1.09E-2</v>
      </c>
      <c r="K345" s="699">
        <v>1.09E-2</v>
      </c>
      <c r="L345" s="697">
        <v>2</v>
      </c>
    </row>
    <row r="346" spans="1:12" ht="12" hidden="1" customHeight="1">
      <c r="A346" s="695">
        <v>41605</v>
      </c>
      <c r="B346" s="696" t="s">
        <v>1605</v>
      </c>
      <c r="C346" s="697">
        <v>28</v>
      </c>
      <c r="D346" s="695">
        <v>41633</v>
      </c>
      <c r="E346" s="698">
        <v>30</v>
      </c>
      <c r="F346" s="698">
        <v>10.0017</v>
      </c>
      <c r="G346" s="698">
        <v>5</v>
      </c>
      <c r="H346" s="698">
        <v>0</v>
      </c>
      <c r="I346" s="699">
        <v>1.0800000000000001E-2</v>
      </c>
      <c r="J346" s="699">
        <v>1.0800000000000001E-2</v>
      </c>
      <c r="K346" s="699">
        <v>1.0800000000000001E-2</v>
      </c>
      <c r="L346" s="697">
        <v>2</v>
      </c>
    </row>
    <row r="347" spans="1:12" ht="12" hidden="1" customHeight="1">
      <c r="A347" s="695">
        <v>41612</v>
      </c>
      <c r="B347" s="696" t="s">
        <v>1617</v>
      </c>
      <c r="C347" s="697">
        <v>30</v>
      </c>
      <c r="D347" s="695">
        <v>41642</v>
      </c>
      <c r="E347" s="698">
        <v>30</v>
      </c>
      <c r="F347" s="698">
        <v>10.001899999999999</v>
      </c>
      <c r="G347" s="698">
        <v>5</v>
      </c>
      <c r="H347" s="698">
        <v>0</v>
      </c>
      <c r="I347" s="699">
        <v>0.01</v>
      </c>
      <c r="J347" s="699">
        <v>0.01</v>
      </c>
      <c r="K347" s="699">
        <v>0.01</v>
      </c>
      <c r="L347" s="697">
        <v>2</v>
      </c>
    </row>
    <row r="348" spans="1:12" ht="12" hidden="1" customHeight="1">
      <c r="A348" s="695">
        <v>41619</v>
      </c>
      <c r="B348" s="696" t="s">
        <v>1618</v>
      </c>
      <c r="C348" s="697">
        <v>28</v>
      </c>
      <c r="D348" s="695">
        <v>41647</v>
      </c>
      <c r="E348" s="698">
        <v>30</v>
      </c>
      <c r="F348" s="698">
        <v>10.0016</v>
      </c>
      <c r="G348" s="698">
        <v>5</v>
      </c>
      <c r="H348" s="698">
        <v>0</v>
      </c>
      <c r="I348" s="699">
        <v>1.0699999999999999E-2</v>
      </c>
      <c r="J348" s="699">
        <v>1.0699999999999999E-2</v>
      </c>
      <c r="K348" s="699">
        <v>1.0699999999999999E-2</v>
      </c>
      <c r="L348" s="697">
        <v>2</v>
      </c>
    </row>
    <row r="349" spans="1:12" ht="12" hidden="1" customHeight="1">
      <c r="A349" s="695">
        <v>41626</v>
      </c>
      <c r="B349" s="696" t="s">
        <v>1619</v>
      </c>
      <c r="C349" s="697">
        <v>28</v>
      </c>
      <c r="D349" s="695">
        <v>41654</v>
      </c>
      <c r="E349" s="698">
        <v>30</v>
      </c>
      <c r="F349" s="698">
        <v>10.0016</v>
      </c>
      <c r="G349" s="698">
        <v>5</v>
      </c>
      <c r="H349" s="698">
        <v>0</v>
      </c>
      <c r="I349" s="699">
        <v>1.0699999999999999E-2</v>
      </c>
      <c r="J349" s="699">
        <v>1.0699999999999999E-2</v>
      </c>
      <c r="K349" s="699">
        <v>1.0699999999999999E-2</v>
      </c>
      <c r="L349" s="697">
        <v>2</v>
      </c>
    </row>
    <row r="350" spans="1:12" ht="12" hidden="1" customHeight="1">
      <c r="A350" s="695">
        <v>41633</v>
      </c>
      <c r="B350" s="696" t="s">
        <v>1620</v>
      </c>
      <c r="C350" s="697">
        <v>28</v>
      </c>
      <c r="D350" s="695">
        <v>41661</v>
      </c>
      <c r="E350" s="698">
        <v>30</v>
      </c>
      <c r="F350" s="698">
        <v>7.0033000000000003</v>
      </c>
      <c r="G350" s="698">
        <v>5</v>
      </c>
      <c r="H350" s="698">
        <v>0</v>
      </c>
      <c r="I350" s="699">
        <v>1.0500000000000001E-2</v>
      </c>
      <c r="J350" s="699">
        <v>1.0699999999999999E-2</v>
      </c>
      <c r="K350" s="699">
        <v>1.06E-2</v>
      </c>
      <c r="L350" s="697">
        <v>2</v>
      </c>
    </row>
    <row r="351" spans="1:12" ht="12" hidden="1" customHeight="1">
      <c r="A351" s="695">
        <v>41647</v>
      </c>
      <c r="B351" s="696" t="s">
        <v>1623</v>
      </c>
      <c r="C351" s="697">
        <v>28</v>
      </c>
      <c r="D351" s="695">
        <v>41675</v>
      </c>
      <c r="E351" s="698">
        <v>30</v>
      </c>
      <c r="F351" s="698">
        <v>10.002000000000001</v>
      </c>
      <c r="G351" s="698">
        <v>5</v>
      </c>
      <c r="H351" s="698">
        <v>0</v>
      </c>
      <c r="I351" s="699">
        <v>1.0699999999999999E-2</v>
      </c>
      <c r="J351" s="699">
        <v>1.0699999999999999E-2</v>
      </c>
      <c r="K351" s="699">
        <v>1.0699999999999999E-2</v>
      </c>
      <c r="L351" s="697">
        <v>2</v>
      </c>
    </row>
    <row r="352" spans="1:12" ht="12" hidden="1" customHeight="1">
      <c r="A352" s="695">
        <v>41654</v>
      </c>
      <c r="B352" s="696" t="s">
        <v>1624</v>
      </c>
      <c r="C352" s="697">
        <v>28</v>
      </c>
      <c r="D352" s="695">
        <v>41682</v>
      </c>
      <c r="E352" s="698">
        <v>30</v>
      </c>
      <c r="F352" s="698">
        <v>10.0016</v>
      </c>
      <c r="G352" s="698">
        <v>5</v>
      </c>
      <c r="H352" s="698">
        <v>0</v>
      </c>
      <c r="I352" s="699">
        <v>1.0699999999999999E-2</v>
      </c>
      <c r="J352" s="699">
        <v>1.0699999999999999E-2</v>
      </c>
      <c r="K352" s="699">
        <v>1.0699999999999999E-2</v>
      </c>
      <c r="L352" s="697">
        <v>2</v>
      </c>
    </row>
    <row r="353" spans="1:12" ht="12" hidden="1" customHeight="1">
      <c r="A353" s="695">
        <v>41661</v>
      </c>
      <c r="B353" s="696" t="s">
        <v>1625</v>
      </c>
      <c r="C353" s="697">
        <v>28</v>
      </c>
      <c r="D353" s="695">
        <v>41689</v>
      </c>
      <c r="E353" s="698">
        <v>30</v>
      </c>
      <c r="F353" s="698">
        <v>9.0039999999999996</v>
      </c>
      <c r="G353" s="698">
        <v>8</v>
      </c>
      <c r="H353" s="698">
        <v>0</v>
      </c>
      <c r="I353" s="699">
        <v>1.0500000000000001E-2</v>
      </c>
      <c r="J353" s="699">
        <v>1.0699999999999999E-2</v>
      </c>
      <c r="K353" s="699">
        <v>1.06E-2</v>
      </c>
      <c r="L353" s="697">
        <v>3</v>
      </c>
    </row>
    <row r="354" spans="1:12" ht="12" hidden="1" customHeight="1">
      <c r="A354" s="695">
        <v>41668</v>
      </c>
      <c r="B354" s="696" t="s">
        <v>1626</v>
      </c>
      <c r="C354" s="697">
        <v>28</v>
      </c>
      <c r="D354" s="695">
        <v>41696</v>
      </c>
      <c r="E354" s="698">
        <v>30</v>
      </c>
      <c r="F354" s="698">
        <v>7.0030999999999999</v>
      </c>
      <c r="G354" s="698">
        <v>7.0030999999999999</v>
      </c>
      <c r="H354" s="698">
        <v>0</v>
      </c>
      <c r="I354" s="699">
        <v>1.06E-2</v>
      </c>
      <c r="J354" s="699">
        <v>1.0699999999999999E-2</v>
      </c>
      <c r="K354" s="699">
        <v>1.0699999999999999E-2</v>
      </c>
      <c r="L354" s="697">
        <v>2</v>
      </c>
    </row>
    <row r="355" spans="1:12" ht="12" hidden="1" customHeight="1">
      <c r="A355" s="695">
        <v>41675</v>
      </c>
      <c r="B355" s="696" t="s">
        <v>1627</v>
      </c>
      <c r="C355" s="697">
        <v>28</v>
      </c>
      <c r="D355" s="695">
        <v>41703</v>
      </c>
      <c r="E355" s="698">
        <v>30</v>
      </c>
      <c r="F355" s="698">
        <v>7.0030999999999999</v>
      </c>
      <c r="G355" s="698">
        <v>5</v>
      </c>
      <c r="H355" s="698">
        <v>0</v>
      </c>
      <c r="I355" s="699">
        <v>1.06E-2</v>
      </c>
      <c r="J355" s="699">
        <v>1.0699999999999999E-2</v>
      </c>
      <c r="K355" s="699">
        <v>1.0699999999999999E-2</v>
      </c>
      <c r="L355" s="697">
        <v>2</v>
      </c>
    </row>
    <row r="356" spans="1:12" ht="12" hidden="1" customHeight="1">
      <c r="A356" s="695">
        <v>41682</v>
      </c>
      <c r="B356" s="696" t="s">
        <v>1628</v>
      </c>
      <c r="C356" s="697">
        <v>28</v>
      </c>
      <c r="D356" s="695">
        <v>41710</v>
      </c>
      <c r="E356" s="698">
        <v>30</v>
      </c>
      <c r="F356" s="698">
        <v>12.007199999999999</v>
      </c>
      <c r="G356" s="698">
        <v>5</v>
      </c>
      <c r="H356" s="698">
        <v>0</v>
      </c>
      <c r="I356" s="699">
        <v>0.01</v>
      </c>
      <c r="J356" s="699">
        <v>1.04E-2</v>
      </c>
      <c r="K356" s="699">
        <v>4.0399299999997022E-3</v>
      </c>
      <c r="L356" s="697">
        <v>2</v>
      </c>
    </row>
    <row r="357" spans="1:12" ht="12" hidden="1" customHeight="1">
      <c r="A357" s="695">
        <v>41689</v>
      </c>
      <c r="B357" s="696" t="s">
        <v>1629</v>
      </c>
      <c r="C357" s="697">
        <v>28</v>
      </c>
      <c r="D357" s="695">
        <v>41717</v>
      </c>
      <c r="E357" s="698">
        <v>30</v>
      </c>
      <c r="F357" s="698">
        <v>25.009699999999999</v>
      </c>
      <c r="G357" s="698">
        <v>5</v>
      </c>
      <c r="H357" s="698">
        <v>4.9992999999999999</v>
      </c>
      <c r="I357" s="699">
        <v>0.01</v>
      </c>
      <c r="J357" s="699">
        <v>0.01</v>
      </c>
      <c r="K357" s="699">
        <v>0.01</v>
      </c>
      <c r="L357" s="697">
        <v>3</v>
      </c>
    </row>
    <row r="358" spans="1:12" ht="12" hidden="1" customHeight="1">
      <c r="A358" s="695">
        <v>41696</v>
      </c>
      <c r="B358" s="696" t="s">
        <v>1630</v>
      </c>
      <c r="C358" s="697">
        <v>29</v>
      </c>
      <c r="D358" s="695">
        <v>41725</v>
      </c>
      <c r="E358" s="698">
        <v>30</v>
      </c>
      <c r="F358" s="698">
        <v>14.010400000000001</v>
      </c>
      <c r="G358" s="698">
        <v>5</v>
      </c>
      <c r="H358" s="698">
        <v>5.0049999999999999</v>
      </c>
      <c r="I358" s="699">
        <v>0.01</v>
      </c>
      <c r="J358" s="699">
        <v>0.01</v>
      </c>
      <c r="K358" s="699">
        <v>0.01</v>
      </c>
      <c r="L358" s="697">
        <v>3</v>
      </c>
    </row>
    <row r="359" spans="1:12" ht="12" hidden="1" customHeight="1">
      <c r="A359" s="695">
        <v>41703</v>
      </c>
      <c r="B359" s="696" t="s">
        <v>1632</v>
      </c>
      <c r="C359" s="697">
        <v>28</v>
      </c>
      <c r="D359" s="695">
        <v>41731</v>
      </c>
      <c r="E359" s="698">
        <v>30</v>
      </c>
      <c r="F359" s="698">
        <v>0</v>
      </c>
      <c r="G359" s="698">
        <v>0</v>
      </c>
      <c r="H359" s="698">
        <v>0</v>
      </c>
      <c r="I359" s="699">
        <v>0</v>
      </c>
      <c r="J359" s="699">
        <v>0</v>
      </c>
      <c r="K359" s="699">
        <v>0</v>
      </c>
      <c r="L359" s="697">
        <v>0</v>
      </c>
    </row>
    <row r="360" spans="1:12" ht="12" hidden="1" customHeight="1">
      <c r="A360" s="695">
        <v>41710</v>
      </c>
      <c r="B360" s="696" t="s">
        <v>1633</v>
      </c>
      <c r="C360" s="697">
        <v>28</v>
      </c>
      <c r="D360" s="695">
        <v>41738</v>
      </c>
      <c r="E360" s="698">
        <v>30</v>
      </c>
      <c r="F360" s="698">
        <v>12.506500000000001</v>
      </c>
      <c r="G360" s="698">
        <v>5</v>
      </c>
      <c r="H360" s="698">
        <v>25</v>
      </c>
      <c r="I360" s="699">
        <v>0.01</v>
      </c>
      <c r="J360" s="699">
        <v>0.01</v>
      </c>
      <c r="K360" s="699">
        <v>0.01</v>
      </c>
      <c r="L360" s="697">
        <v>3</v>
      </c>
    </row>
    <row r="361" spans="1:12" ht="12" hidden="1" customHeight="1">
      <c r="A361" s="695">
        <v>41717</v>
      </c>
      <c r="B361" s="696" t="s">
        <v>1634</v>
      </c>
      <c r="C361" s="697">
        <v>28</v>
      </c>
      <c r="D361" s="695">
        <v>41745</v>
      </c>
      <c r="E361" s="698">
        <v>30</v>
      </c>
      <c r="F361" s="698">
        <v>10.7019</v>
      </c>
      <c r="G361" s="698">
        <v>5</v>
      </c>
      <c r="H361" s="698">
        <v>25</v>
      </c>
      <c r="I361" s="699">
        <v>0.01</v>
      </c>
      <c r="J361" s="699">
        <v>0.01</v>
      </c>
      <c r="K361" s="699">
        <v>0.01</v>
      </c>
      <c r="L361" s="697">
        <v>3</v>
      </c>
    </row>
    <row r="362" spans="1:12" ht="12" hidden="1" customHeight="1">
      <c r="A362" s="695">
        <v>41725</v>
      </c>
      <c r="B362" s="696" t="s">
        <v>1635</v>
      </c>
      <c r="C362" s="697">
        <v>27</v>
      </c>
      <c r="D362" s="695">
        <v>41752</v>
      </c>
      <c r="E362" s="698">
        <v>30</v>
      </c>
      <c r="F362" s="698">
        <v>10.0017</v>
      </c>
      <c r="G362" s="698">
        <v>5</v>
      </c>
      <c r="H362" s="698">
        <v>25</v>
      </c>
      <c r="I362" s="699">
        <v>0.01</v>
      </c>
      <c r="J362" s="699">
        <v>0.01</v>
      </c>
      <c r="K362" s="699">
        <v>0.01</v>
      </c>
      <c r="L362" s="697">
        <v>3</v>
      </c>
    </row>
    <row r="363" spans="1:12" ht="12" hidden="1" customHeight="1">
      <c r="A363" s="695">
        <v>41731</v>
      </c>
      <c r="B363" s="696" t="s">
        <v>1636</v>
      </c>
      <c r="C363" s="697">
        <v>28</v>
      </c>
      <c r="D363" s="695">
        <v>41759</v>
      </c>
      <c r="E363" s="698">
        <v>30</v>
      </c>
      <c r="F363" s="698">
        <v>8.0013000000000005</v>
      </c>
      <c r="G363" s="698">
        <v>5</v>
      </c>
      <c r="H363" s="698">
        <v>25</v>
      </c>
      <c r="I363" s="699">
        <v>0.01</v>
      </c>
      <c r="J363" s="699">
        <v>0.01</v>
      </c>
      <c r="K363" s="699">
        <v>0.01</v>
      </c>
      <c r="L363" s="697">
        <v>2</v>
      </c>
    </row>
    <row r="364" spans="1:12" ht="12" hidden="1" customHeight="1">
      <c r="A364" s="695">
        <v>41738</v>
      </c>
      <c r="B364" s="696" t="s">
        <v>1637</v>
      </c>
      <c r="C364" s="697">
        <v>28</v>
      </c>
      <c r="D364" s="695">
        <v>41766</v>
      </c>
      <c r="E364" s="698">
        <v>30</v>
      </c>
      <c r="F364" s="698">
        <v>11.002800000000001</v>
      </c>
      <c r="G364" s="698">
        <v>5</v>
      </c>
      <c r="H364" s="698">
        <v>25</v>
      </c>
      <c r="I364" s="699">
        <v>0.01</v>
      </c>
      <c r="J364" s="699">
        <v>0.01</v>
      </c>
      <c r="K364" s="699">
        <v>0.01</v>
      </c>
      <c r="L364" s="697">
        <v>4</v>
      </c>
    </row>
    <row r="365" spans="1:12" ht="12" hidden="1" customHeight="1">
      <c r="A365" s="695">
        <v>41745</v>
      </c>
      <c r="B365" s="696" t="s">
        <v>1638</v>
      </c>
      <c r="C365" s="697">
        <v>28</v>
      </c>
      <c r="D365" s="695">
        <v>41773</v>
      </c>
      <c r="E365" s="698">
        <v>30</v>
      </c>
      <c r="F365" s="698">
        <v>8.5027000000000008</v>
      </c>
      <c r="G365" s="698">
        <v>5</v>
      </c>
      <c r="H365" s="698">
        <v>25</v>
      </c>
      <c r="I365" s="699">
        <v>0.01</v>
      </c>
      <c r="J365" s="699">
        <v>0.01</v>
      </c>
      <c r="K365" s="699">
        <v>0.01</v>
      </c>
      <c r="L365" s="697">
        <v>2</v>
      </c>
    </row>
    <row r="366" spans="1:12" ht="12" hidden="1" customHeight="1">
      <c r="A366" s="695">
        <v>41752</v>
      </c>
      <c r="B366" s="696" t="s">
        <v>1649</v>
      </c>
      <c r="C366" s="697">
        <v>28</v>
      </c>
      <c r="D366" s="695">
        <v>41780</v>
      </c>
      <c r="E366" s="698">
        <v>30</v>
      </c>
      <c r="F366" s="698">
        <v>9.3168600000000001</v>
      </c>
      <c r="G366" s="698">
        <v>5</v>
      </c>
      <c r="H366" s="698">
        <v>25</v>
      </c>
      <c r="I366" s="699">
        <v>0.01</v>
      </c>
      <c r="J366" s="699">
        <v>1.09E-2</v>
      </c>
      <c r="K366" s="699">
        <v>4.2200899999998509E-3</v>
      </c>
      <c r="L366" s="697">
        <v>2</v>
      </c>
    </row>
    <row r="367" spans="1:12" ht="12" hidden="1" customHeight="1">
      <c r="A367" s="695">
        <v>41759</v>
      </c>
      <c r="B367" s="696" t="s">
        <v>1650</v>
      </c>
      <c r="C367" s="697">
        <v>28</v>
      </c>
      <c r="D367" s="695">
        <v>41787</v>
      </c>
      <c r="E367" s="698">
        <v>30</v>
      </c>
      <c r="F367" s="698">
        <v>10</v>
      </c>
      <c r="G367" s="698">
        <v>5</v>
      </c>
      <c r="H367" s="698">
        <v>25</v>
      </c>
      <c r="I367" s="699">
        <v>1.06E-2</v>
      </c>
      <c r="J367" s="699">
        <v>1.06E-2</v>
      </c>
      <c r="K367" s="699">
        <v>4.1000000000000003E-3</v>
      </c>
      <c r="L367" s="697">
        <v>2</v>
      </c>
    </row>
    <row r="368" spans="1:12" ht="12" hidden="1" customHeight="1">
      <c r="A368" s="695">
        <v>41773</v>
      </c>
      <c r="B368" s="696" t="s">
        <v>1651</v>
      </c>
      <c r="C368" s="697">
        <v>28</v>
      </c>
      <c r="D368" s="695">
        <v>41801</v>
      </c>
      <c r="E368" s="698">
        <v>30</v>
      </c>
      <c r="F368" s="698">
        <v>10.001300000000001</v>
      </c>
      <c r="G368" s="698">
        <v>5</v>
      </c>
      <c r="H368" s="698">
        <v>15</v>
      </c>
      <c r="I368" s="699">
        <v>9.9000000000000008E-3</v>
      </c>
      <c r="J368" s="699">
        <v>9.9000000000000008E-3</v>
      </c>
      <c r="K368" s="699">
        <v>9.9000000000000008E-3</v>
      </c>
      <c r="L368" s="697">
        <v>2</v>
      </c>
    </row>
    <row r="369" spans="1:15" ht="12" hidden="1" customHeight="1">
      <c r="A369" s="695">
        <v>41780</v>
      </c>
      <c r="B369" s="696" t="s">
        <v>1652</v>
      </c>
      <c r="C369" s="697">
        <v>28</v>
      </c>
      <c r="D369" s="695">
        <v>41808</v>
      </c>
      <c r="E369" s="698">
        <v>30</v>
      </c>
      <c r="F369" s="698">
        <v>9.1697000000000006</v>
      </c>
      <c r="G369" s="698">
        <v>5</v>
      </c>
      <c r="H369" s="698">
        <v>25</v>
      </c>
      <c r="I369" s="699">
        <v>9.9000000000000008E-3</v>
      </c>
      <c r="J369" s="699">
        <v>1.0999999999999999E-2</v>
      </c>
      <c r="K369" s="699">
        <v>9.9000000000000008E-3</v>
      </c>
      <c r="L369" s="697">
        <v>2</v>
      </c>
    </row>
    <row r="370" spans="1:15" ht="12" hidden="1" customHeight="1">
      <c r="A370" s="695">
        <v>41788</v>
      </c>
      <c r="B370" s="696" t="s">
        <v>1653</v>
      </c>
      <c r="C370" s="697">
        <v>27</v>
      </c>
      <c r="D370" s="695">
        <v>41815</v>
      </c>
      <c r="E370" s="698">
        <v>30</v>
      </c>
      <c r="F370" s="698">
        <v>10.001200000000001</v>
      </c>
      <c r="G370" s="698">
        <v>5</v>
      </c>
      <c r="H370" s="698">
        <v>25</v>
      </c>
      <c r="I370" s="699">
        <v>9.9000000000000008E-3</v>
      </c>
      <c r="J370" s="699">
        <v>9.9000000000000008E-3</v>
      </c>
      <c r="K370" s="699">
        <v>9.9000000000000008E-3</v>
      </c>
      <c r="L370" s="697">
        <v>2</v>
      </c>
    </row>
    <row r="371" spans="1:15" ht="12" hidden="1" customHeight="1">
      <c r="A371" s="695">
        <v>41794</v>
      </c>
      <c r="B371" s="696" t="s">
        <v>1670</v>
      </c>
      <c r="C371" s="697">
        <v>28</v>
      </c>
      <c r="D371" s="695">
        <v>41822</v>
      </c>
      <c r="E371" s="698">
        <v>30</v>
      </c>
      <c r="F371" s="698">
        <v>0</v>
      </c>
      <c r="G371" s="698">
        <v>0</v>
      </c>
      <c r="H371" s="698">
        <v>0</v>
      </c>
      <c r="I371" s="699">
        <v>0</v>
      </c>
      <c r="J371" s="699">
        <v>0</v>
      </c>
      <c r="K371" s="699">
        <v>0</v>
      </c>
      <c r="L371" s="697">
        <v>0</v>
      </c>
    </row>
    <row r="372" spans="1:15" ht="12.75" hidden="1" customHeight="1">
      <c r="A372" s="695">
        <v>41801</v>
      </c>
      <c r="B372" s="696" t="s">
        <v>1671</v>
      </c>
      <c r="C372" s="697">
        <v>28</v>
      </c>
      <c r="D372" s="695">
        <v>41829</v>
      </c>
      <c r="E372" s="698">
        <v>30</v>
      </c>
      <c r="F372" s="698">
        <v>0</v>
      </c>
      <c r="G372" s="698">
        <v>0</v>
      </c>
      <c r="H372" s="698">
        <v>0</v>
      </c>
      <c r="I372" s="699">
        <v>0</v>
      </c>
      <c r="J372" s="699">
        <v>0</v>
      </c>
      <c r="K372" s="699">
        <v>0</v>
      </c>
      <c r="L372" s="697">
        <v>0</v>
      </c>
      <c r="M372" s="440"/>
      <c r="N372" s="440"/>
      <c r="O372" s="440"/>
    </row>
    <row r="373" spans="1:15" hidden="1">
      <c r="A373" s="695">
        <v>41808</v>
      </c>
      <c r="B373" s="696" t="s">
        <v>1672</v>
      </c>
      <c r="C373" s="697">
        <v>28</v>
      </c>
      <c r="D373" s="695">
        <v>41836</v>
      </c>
      <c r="E373" s="698">
        <v>30</v>
      </c>
      <c r="F373" s="698">
        <v>5.1729000000000003</v>
      </c>
      <c r="G373" s="698">
        <v>4.1729000000000003</v>
      </c>
      <c r="H373" s="698">
        <v>0</v>
      </c>
      <c r="I373" s="699">
        <v>9.9000000000000008E-3</v>
      </c>
      <c r="J373" s="699">
        <v>9.9000000000000008E-3</v>
      </c>
      <c r="K373" s="699">
        <v>9.9000000000000008E-3</v>
      </c>
      <c r="L373" s="697">
        <v>2</v>
      </c>
    </row>
    <row r="374" spans="1:15" hidden="1">
      <c r="A374" s="695">
        <v>41815</v>
      </c>
      <c r="B374" s="696" t="s">
        <v>1673</v>
      </c>
      <c r="C374" s="697">
        <v>28</v>
      </c>
      <c r="D374" s="695">
        <v>41843</v>
      </c>
      <c r="E374" s="698">
        <v>30</v>
      </c>
      <c r="F374" s="698">
        <v>6.0012999999999996</v>
      </c>
      <c r="G374" s="698">
        <v>5</v>
      </c>
      <c r="H374" s="698">
        <v>0</v>
      </c>
      <c r="I374" s="699">
        <v>9.9000000000000008E-3</v>
      </c>
      <c r="J374" s="699">
        <v>9.9000000000000008E-3</v>
      </c>
      <c r="K374" s="699">
        <v>9.9000000000000008E-3</v>
      </c>
      <c r="L374" s="697">
        <v>2</v>
      </c>
    </row>
    <row r="375" spans="1:15" ht="12" hidden="1" customHeight="1">
      <c r="A375" s="695">
        <v>41822</v>
      </c>
      <c r="B375" s="696" t="s">
        <v>1688</v>
      </c>
      <c r="C375" s="697">
        <v>28</v>
      </c>
      <c r="D375" s="695">
        <v>41850</v>
      </c>
      <c r="E375" s="698">
        <v>30</v>
      </c>
      <c r="F375" s="698">
        <v>7.0023999999999997</v>
      </c>
      <c r="G375" s="698">
        <v>5</v>
      </c>
      <c r="H375" s="698">
        <v>0</v>
      </c>
      <c r="I375" s="699">
        <v>9.9000000000000008E-3</v>
      </c>
      <c r="J375" s="699">
        <v>9.9000000000000008E-3</v>
      </c>
      <c r="K375" s="699">
        <v>9.8818749942820618E-3</v>
      </c>
      <c r="L375" s="697">
        <v>3</v>
      </c>
    </row>
    <row r="376" spans="1:15" ht="12" hidden="1" customHeight="1">
      <c r="A376" s="695">
        <v>41836</v>
      </c>
      <c r="B376" s="696" t="s">
        <v>1689</v>
      </c>
      <c r="C376" s="697">
        <v>28</v>
      </c>
      <c r="D376" s="695">
        <v>41864</v>
      </c>
      <c r="E376" s="698">
        <v>30</v>
      </c>
      <c r="F376" s="698">
        <v>0</v>
      </c>
      <c r="G376" s="698">
        <v>0</v>
      </c>
      <c r="H376" s="698">
        <v>0</v>
      </c>
      <c r="I376" s="699">
        <v>0</v>
      </c>
      <c r="J376" s="699">
        <v>0</v>
      </c>
      <c r="K376" s="699">
        <v>0</v>
      </c>
      <c r="L376" s="697">
        <v>0</v>
      </c>
    </row>
    <row r="377" spans="1:15" ht="12" hidden="1" customHeight="1">
      <c r="A377" s="695">
        <v>41843</v>
      </c>
      <c r="B377" s="696" t="s">
        <v>1690</v>
      </c>
      <c r="C377" s="697">
        <v>28</v>
      </c>
      <c r="D377" s="695">
        <v>41871</v>
      </c>
      <c r="E377" s="698">
        <v>30</v>
      </c>
      <c r="F377" s="698">
        <v>0</v>
      </c>
      <c r="G377" s="698">
        <v>0</v>
      </c>
      <c r="H377" s="698">
        <v>0</v>
      </c>
      <c r="I377" s="699">
        <v>0</v>
      </c>
      <c r="J377" s="699">
        <v>0</v>
      </c>
      <c r="K377" s="699">
        <v>0</v>
      </c>
      <c r="L377" s="697">
        <v>0</v>
      </c>
    </row>
    <row r="378" spans="1:15" ht="12" hidden="1" customHeight="1">
      <c r="A378" s="695">
        <v>41850</v>
      </c>
      <c r="B378" s="696" t="s">
        <v>1691</v>
      </c>
      <c r="C378" s="697">
        <v>28</v>
      </c>
      <c r="D378" s="695">
        <v>41878</v>
      </c>
      <c r="E378" s="698">
        <v>30</v>
      </c>
      <c r="F378" s="698">
        <v>0</v>
      </c>
      <c r="G378" s="698">
        <v>0</v>
      </c>
      <c r="H378" s="698">
        <v>0</v>
      </c>
      <c r="I378" s="699">
        <v>0</v>
      </c>
      <c r="J378" s="699">
        <v>0</v>
      </c>
      <c r="K378" s="699">
        <v>0</v>
      </c>
      <c r="L378" s="697">
        <v>0</v>
      </c>
    </row>
    <row r="379" spans="1:15" ht="12" hidden="1" customHeight="1">
      <c r="A379" s="695">
        <v>41857</v>
      </c>
      <c r="B379" s="696" t="s">
        <v>1697</v>
      </c>
      <c r="C379" s="697">
        <v>28</v>
      </c>
      <c r="D379" s="695">
        <v>41885</v>
      </c>
      <c r="E379" s="698">
        <v>30</v>
      </c>
      <c r="F379" s="698">
        <v>5.1379999999999999</v>
      </c>
      <c r="G379" s="698">
        <v>5</v>
      </c>
      <c r="H379" s="698">
        <v>0</v>
      </c>
      <c r="I379" s="699">
        <v>9.9000000000000008E-3</v>
      </c>
      <c r="J379" s="699">
        <v>9.9000000000000008E-3</v>
      </c>
      <c r="K379" s="699">
        <v>9.9000000000000008E-3</v>
      </c>
      <c r="L379" s="697">
        <v>2</v>
      </c>
    </row>
    <row r="380" spans="1:15" ht="12.75" hidden="1" customHeight="1">
      <c r="A380" s="695">
        <v>41864</v>
      </c>
      <c r="B380" s="696" t="s">
        <v>1698</v>
      </c>
      <c r="C380" s="697">
        <v>28</v>
      </c>
      <c r="D380" s="695">
        <v>41892</v>
      </c>
      <c r="E380" s="698">
        <v>30</v>
      </c>
      <c r="F380" s="698">
        <v>4.0998447000000002</v>
      </c>
      <c r="G380" s="698">
        <v>4.0034000000000001</v>
      </c>
      <c r="H380" s="698">
        <v>0</v>
      </c>
      <c r="I380" s="699">
        <v>1.0999999999999999E-2</v>
      </c>
      <c r="J380" s="699">
        <v>1.0999999999999999E-2</v>
      </c>
      <c r="K380" s="699">
        <v>1.0999999999999999E-2</v>
      </c>
      <c r="L380" s="697">
        <v>2</v>
      </c>
      <c r="M380" s="440"/>
      <c r="N380" s="440"/>
      <c r="O380" s="440"/>
    </row>
    <row r="381" spans="1:15" hidden="1">
      <c r="A381" s="695">
        <v>41871</v>
      </c>
      <c r="B381" s="696" t="s">
        <v>1699</v>
      </c>
      <c r="C381" s="697">
        <v>28</v>
      </c>
      <c r="D381" s="695">
        <v>41899</v>
      </c>
      <c r="E381" s="698">
        <v>30</v>
      </c>
      <c r="F381" s="698">
        <v>0</v>
      </c>
      <c r="G381" s="698">
        <v>0</v>
      </c>
      <c r="H381" s="698">
        <v>0</v>
      </c>
      <c r="I381" s="699">
        <v>0</v>
      </c>
      <c r="J381" s="699">
        <v>0</v>
      </c>
      <c r="K381" s="699">
        <v>0</v>
      </c>
      <c r="L381" s="697">
        <v>0</v>
      </c>
    </row>
    <row r="382" spans="1:15" hidden="1">
      <c r="A382" s="695">
        <v>41878</v>
      </c>
      <c r="B382" s="696" t="s">
        <v>1700</v>
      </c>
      <c r="C382" s="697">
        <v>28</v>
      </c>
      <c r="D382" s="695">
        <v>41906</v>
      </c>
      <c r="E382" s="698">
        <v>30</v>
      </c>
      <c r="F382" s="698">
        <v>0</v>
      </c>
      <c r="G382" s="698">
        <v>0</v>
      </c>
      <c r="H382" s="698">
        <v>0</v>
      </c>
      <c r="I382" s="699">
        <v>0</v>
      </c>
      <c r="J382" s="699">
        <v>0</v>
      </c>
      <c r="K382" s="699">
        <v>0</v>
      </c>
      <c r="L382" s="697">
        <v>0</v>
      </c>
    </row>
    <row r="383" spans="1:15" ht="12" hidden="1" customHeight="1">
      <c r="A383" s="695">
        <v>41885</v>
      </c>
      <c r="B383" s="696" t="s">
        <v>1716</v>
      </c>
      <c r="C383" s="697">
        <v>28</v>
      </c>
      <c r="D383" s="695">
        <v>41913</v>
      </c>
      <c r="E383" s="698">
        <v>30</v>
      </c>
      <c r="F383" s="698">
        <v>0</v>
      </c>
      <c r="G383" s="698">
        <v>0</v>
      </c>
      <c r="H383" s="698">
        <v>0</v>
      </c>
      <c r="I383" s="699">
        <v>0</v>
      </c>
      <c r="J383" s="699">
        <v>0</v>
      </c>
      <c r="K383" s="699">
        <v>0</v>
      </c>
      <c r="L383" s="697">
        <v>0</v>
      </c>
    </row>
    <row r="384" spans="1:15" ht="12.75" hidden="1" customHeight="1">
      <c r="A384" s="695">
        <v>41892</v>
      </c>
      <c r="B384" s="696" t="s">
        <v>1717</v>
      </c>
      <c r="C384" s="697">
        <v>28</v>
      </c>
      <c r="D384" s="695">
        <v>41920</v>
      </c>
      <c r="E384" s="698">
        <v>30</v>
      </c>
      <c r="F384" s="698">
        <v>14.0137</v>
      </c>
      <c r="G384" s="698">
        <v>5</v>
      </c>
      <c r="H384" s="698">
        <v>5.0019999999999998</v>
      </c>
      <c r="I384" s="699">
        <v>1.0500000000000001E-2</v>
      </c>
      <c r="J384" s="699">
        <v>1.0500000000000001E-2</v>
      </c>
      <c r="K384" s="699">
        <v>1.0500000000000001E-2</v>
      </c>
      <c r="L384" s="697">
        <v>3</v>
      </c>
      <c r="M384" s="440"/>
      <c r="N384" s="440"/>
      <c r="O384" s="440"/>
    </row>
    <row r="385" spans="1:15" hidden="1">
      <c r="A385" s="695">
        <v>41899</v>
      </c>
      <c r="B385" s="696" t="s">
        <v>1718</v>
      </c>
      <c r="C385" s="697">
        <v>28</v>
      </c>
      <c r="D385" s="695">
        <v>41927</v>
      </c>
      <c r="E385" s="698">
        <v>30</v>
      </c>
      <c r="F385" s="698">
        <v>6.5026999999999999</v>
      </c>
      <c r="G385" s="698">
        <v>5</v>
      </c>
      <c r="H385" s="698">
        <v>0</v>
      </c>
      <c r="I385" s="699">
        <v>1.0500000000000001E-2</v>
      </c>
      <c r="J385" s="699">
        <v>1.0500000000000001E-2</v>
      </c>
      <c r="K385" s="699">
        <v>1.0500000000000001E-2</v>
      </c>
      <c r="L385" s="697">
        <v>2</v>
      </c>
    </row>
    <row r="386" spans="1:15" hidden="1">
      <c r="A386" s="695">
        <v>41906</v>
      </c>
      <c r="B386" s="696" t="s">
        <v>1719</v>
      </c>
      <c r="C386" s="697">
        <v>28</v>
      </c>
      <c r="D386" s="695">
        <v>41934</v>
      </c>
      <c r="E386" s="698">
        <v>30</v>
      </c>
      <c r="F386" s="698">
        <v>0</v>
      </c>
      <c r="G386" s="698">
        <v>0</v>
      </c>
      <c r="H386" s="698">
        <v>0</v>
      </c>
      <c r="I386" s="699">
        <v>0</v>
      </c>
      <c r="J386" s="699">
        <v>0</v>
      </c>
      <c r="K386" s="699">
        <v>0</v>
      </c>
      <c r="L386" s="697">
        <v>0</v>
      </c>
    </row>
    <row r="387" spans="1:15" ht="12" hidden="1" customHeight="1">
      <c r="A387" s="695">
        <v>41913</v>
      </c>
      <c r="B387" s="696" t="s">
        <v>1732</v>
      </c>
      <c r="C387" s="697">
        <v>28</v>
      </c>
      <c r="D387" s="695">
        <v>41941</v>
      </c>
      <c r="E387" s="698">
        <v>30</v>
      </c>
      <c r="F387" s="698">
        <v>0</v>
      </c>
      <c r="G387" s="698">
        <v>0</v>
      </c>
      <c r="H387" s="698">
        <v>0</v>
      </c>
      <c r="I387" s="699">
        <v>0</v>
      </c>
      <c r="J387" s="699">
        <v>0</v>
      </c>
      <c r="K387" s="699">
        <v>0</v>
      </c>
      <c r="L387" s="697">
        <v>0</v>
      </c>
    </row>
    <row r="388" spans="1:15" ht="12.75" hidden="1" customHeight="1">
      <c r="A388" s="695">
        <v>41920</v>
      </c>
      <c r="B388" s="696" t="s">
        <v>1733</v>
      </c>
      <c r="C388" s="697">
        <v>28</v>
      </c>
      <c r="D388" s="695">
        <v>41948</v>
      </c>
      <c r="E388" s="698">
        <v>30</v>
      </c>
      <c r="F388" s="698">
        <v>0</v>
      </c>
      <c r="G388" s="698">
        <v>0</v>
      </c>
      <c r="H388" s="698">
        <v>0</v>
      </c>
      <c r="I388" s="699">
        <v>0</v>
      </c>
      <c r="J388" s="699">
        <v>0</v>
      </c>
      <c r="K388" s="699">
        <v>0</v>
      </c>
      <c r="L388" s="697">
        <v>0</v>
      </c>
      <c r="M388" s="440"/>
      <c r="N388" s="440"/>
      <c r="O388" s="440"/>
    </row>
    <row r="389" spans="1:15" hidden="1">
      <c r="A389" s="695">
        <v>41927</v>
      </c>
      <c r="B389" s="696" t="s">
        <v>1734</v>
      </c>
      <c r="C389" s="697">
        <v>28</v>
      </c>
      <c r="D389" s="695">
        <v>41955</v>
      </c>
      <c r="E389" s="698">
        <v>30</v>
      </c>
      <c r="F389" s="698">
        <v>0</v>
      </c>
      <c r="G389" s="698">
        <v>0</v>
      </c>
      <c r="H389" s="698">
        <v>0</v>
      </c>
      <c r="I389" s="699">
        <v>0</v>
      </c>
      <c r="J389" s="699">
        <v>0</v>
      </c>
      <c r="K389" s="699">
        <v>0</v>
      </c>
      <c r="L389" s="697">
        <v>0</v>
      </c>
    </row>
    <row r="390" spans="1:15" hidden="1">
      <c r="A390" s="695">
        <v>41934</v>
      </c>
      <c r="B390" s="696" t="s">
        <v>1735</v>
      </c>
      <c r="C390" s="697">
        <v>28</v>
      </c>
      <c r="D390" s="695">
        <v>41962</v>
      </c>
      <c r="E390" s="698">
        <v>30</v>
      </c>
      <c r="F390" s="698">
        <v>0</v>
      </c>
      <c r="G390" s="698">
        <v>0</v>
      </c>
      <c r="H390" s="698">
        <v>0</v>
      </c>
      <c r="I390" s="699">
        <v>0</v>
      </c>
      <c r="J390" s="699">
        <v>0</v>
      </c>
      <c r="K390" s="699">
        <v>0</v>
      </c>
      <c r="L390" s="697">
        <v>0</v>
      </c>
    </row>
    <row r="391" spans="1:15" hidden="1">
      <c r="A391" s="695">
        <v>41941</v>
      </c>
      <c r="B391" s="696" t="s">
        <v>1736</v>
      </c>
      <c r="C391" s="697">
        <v>28</v>
      </c>
      <c r="D391" s="695">
        <v>41969</v>
      </c>
      <c r="E391" s="698">
        <v>30</v>
      </c>
      <c r="F391" s="698">
        <v>10.0015</v>
      </c>
      <c r="G391" s="698">
        <v>5</v>
      </c>
      <c r="H391" s="698">
        <v>5</v>
      </c>
      <c r="I391" s="699">
        <v>9.7000000000000003E-3</v>
      </c>
      <c r="J391" s="699">
        <v>9.7000000000000003E-3</v>
      </c>
      <c r="K391" s="699">
        <v>9.7000000000000003E-3</v>
      </c>
      <c r="L391" s="697">
        <v>2</v>
      </c>
    </row>
    <row r="392" spans="1:15" ht="12.75" hidden="1" customHeight="1">
      <c r="A392" s="695">
        <v>41948</v>
      </c>
      <c r="B392" s="696" t="s">
        <v>1747</v>
      </c>
      <c r="C392" s="697">
        <v>28</v>
      </c>
      <c r="D392" s="695">
        <v>41976</v>
      </c>
      <c r="E392" s="698">
        <v>30</v>
      </c>
      <c r="F392" s="698">
        <v>5.0999999999999996</v>
      </c>
      <c r="G392" s="698">
        <v>5</v>
      </c>
      <c r="H392" s="698">
        <v>5.0030000000000001</v>
      </c>
      <c r="I392" s="699">
        <v>9.7000000000000003E-3</v>
      </c>
      <c r="J392" s="699">
        <v>9.7000000000000003E-3</v>
      </c>
      <c r="K392" s="699">
        <v>9.7000000000000003E-3</v>
      </c>
      <c r="L392" s="697">
        <v>2</v>
      </c>
      <c r="M392" s="440"/>
      <c r="N392" s="440"/>
      <c r="O392" s="440"/>
    </row>
    <row r="393" spans="1:15" hidden="1">
      <c r="A393" s="695">
        <v>41955</v>
      </c>
      <c r="B393" s="696" t="s">
        <v>1748</v>
      </c>
      <c r="C393" s="697">
        <v>28</v>
      </c>
      <c r="D393" s="695">
        <v>41983</v>
      </c>
      <c r="E393" s="698">
        <v>30</v>
      </c>
      <c r="F393" s="698">
        <v>10.001200000000001</v>
      </c>
      <c r="G393" s="698">
        <v>5</v>
      </c>
      <c r="H393" s="698">
        <v>15.0032</v>
      </c>
      <c r="I393" s="699">
        <v>9.5999999999999992E-3</v>
      </c>
      <c r="J393" s="699">
        <v>9.5999999999999992E-3</v>
      </c>
      <c r="K393" s="699">
        <v>9.5999999999999992E-3</v>
      </c>
      <c r="L393" s="697">
        <v>2</v>
      </c>
    </row>
    <row r="394" spans="1:15" hidden="1">
      <c r="A394" s="695">
        <v>41962</v>
      </c>
      <c r="B394" s="696" t="s">
        <v>1749</v>
      </c>
      <c r="C394" s="697">
        <v>28</v>
      </c>
      <c r="D394" s="695">
        <v>41990</v>
      </c>
      <c r="E394" s="698">
        <v>30</v>
      </c>
      <c r="F394" s="698">
        <v>0</v>
      </c>
      <c r="G394" s="698">
        <v>0</v>
      </c>
      <c r="H394" s="698">
        <v>0</v>
      </c>
      <c r="I394" s="699">
        <v>0</v>
      </c>
      <c r="J394" s="699">
        <v>0</v>
      </c>
      <c r="K394" s="699">
        <v>0</v>
      </c>
      <c r="L394" s="697">
        <v>0</v>
      </c>
    </row>
    <row r="395" spans="1:15" hidden="1">
      <c r="A395" s="695">
        <v>41969</v>
      </c>
      <c r="B395" s="696" t="s">
        <v>1750</v>
      </c>
      <c r="C395" s="697">
        <v>28</v>
      </c>
      <c r="D395" s="695">
        <v>41997</v>
      </c>
      <c r="E395" s="698">
        <v>30</v>
      </c>
      <c r="F395" s="698">
        <v>0</v>
      </c>
      <c r="G395" s="698">
        <v>0</v>
      </c>
      <c r="H395" s="698">
        <v>0</v>
      </c>
      <c r="I395" s="699">
        <v>0</v>
      </c>
      <c r="J395" s="699">
        <v>0</v>
      </c>
      <c r="K395" s="699">
        <v>0</v>
      </c>
      <c r="L395" s="697">
        <v>0</v>
      </c>
    </row>
    <row r="396" spans="1:15" hidden="1">
      <c r="A396" s="695">
        <v>41976</v>
      </c>
      <c r="B396" s="696" t="s">
        <v>1751</v>
      </c>
      <c r="C396" s="697">
        <v>27</v>
      </c>
      <c r="D396" s="695">
        <v>42003</v>
      </c>
      <c r="E396" s="698">
        <v>30</v>
      </c>
      <c r="F396" s="698">
        <v>0</v>
      </c>
      <c r="G396" s="698">
        <v>0</v>
      </c>
      <c r="H396" s="698">
        <v>0</v>
      </c>
      <c r="I396" s="699">
        <v>0</v>
      </c>
      <c r="J396" s="699">
        <v>0</v>
      </c>
      <c r="K396" s="699">
        <v>0</v>
      </c>
      <c r="L396" s="697">
        <v>0</v>
      </c>
    </row>
    <row r="397" spans="1:15" hidden="1">
      <c r="A397" s="695">
        <v>41983</v>
      </c>
      <c r="B397" s="696" t="s">
        <v>1752</v>
      </c>
      <c r="C397" s="697">
        <v>28</v>
      </c>
      <c r="D397" s="695">
        <v>42011</v>
      </c>
      <c r="E397" s="698">
        <v>30</v>
      </c>
      <c r="F397" s="698">
        <v>0</v>
      </c>
      <c r="G397" s="698">
        <v>0</v>
      </c>
      <c r="H397" s="698">
        <v>0</v>
      </c>
      <c r="I397" s="699">
        <v>0</v>
      </c>
      <c r="J397" s="699">
        <v>0</v>
      </c>
      <c r="K397" s="699">
        <v>0</v>
      </c>
      <c r="L397" s="697">
        <v>0</v>
      </c>
    </row>
    <row r="398" spans="1:15" ht="12.75" hidden="1" customHeight="1">
      <c r="A398" s="695">
        <v>41990</v>
      </c>
      <c r="B398" s="696" t="s">
        <v>1753</v>
      </c>
      <c r="C398" s="697">
        <v>28</v>
      </c>
      <c r="D398" s="695">
        <v>42018</v>
      </c>
      <c r="E398" s="698">
        <v>30</v>
      </c>
      <c r="F398" s="698">
        <v>5.0999999999999996</v>
      </c>
      <c r="G398" s="698">
        <v>5</v>
      </c>
      <c r="H398" s="698">
        <v>15.013999999999999</v>
      </c>
      <c r="I398" s="699">
        <v>9.7000000000000003E-3</v>
      </c>
      <c r="J398" s="699">
        <v>9.7000000000000003E-3</v>
      </c>
      <c r="K398" s="699">
        <v>9.6500947138926964E-3</v>
      </c>
      <c r="L398" s="697">
        <v>2</v>
      </c>
      <c r="M398" s="440"/>
      <c r="N398" s="440"/>
      <c r="O398" s="440"/>
    </row>
    <row r="399" spans="1:15" hidden="1">
      <c r="A399" s="695">
        <v>41997</v>
      </c>
      <c r="B399" s="696" t="s">
        <v>1754</v>
      </c>
      <c r="C399" s="697">
        <v>28</v>
      </c>
      <c r="D399" s="695">
        <v>42025</v>
      </c>
      <c r="E399" s="698">
        <v>30</v>
      </c>
      <c r="F399" s="698">
        <v>6.9961052500000003</v>
      </c>
      <c r="G399" s="698">
        <v>5</v>
      </c>
      <c r="H399" s="698">
        <v>2.0034999999999998</v>
      </c>
      <c r="I399" s="699">
        <v>8.0000000000000002E-3</v>
      </c>
      <c r="J399" s="699">
        <v>9.14793275161482E-3</v>
      </c>
      <c r="K399" s="699">
        <v>3.5538300000000746E-3</v>
      </c>
      <c r="L399" s="697">
        <v>2</v>
      </c>
    </row>
    <row r="400" spans="1:15" hidden="1">
      <c r="A400" s="695">
        <v>42003</v>
      </c>
      <c r="B400" s="696" t="s">
        <v>1755</v>
      </c>
      <c r="C400" s="697">
        <v>29</v>
      </c>
      <c r="D400" s="695">
        <v>42032</v>
      </c>
      <c r="E400" s="698">
        <v>30</v>
      </c>
      <c r="F400" s="698">
        <v>0</v>
      </c>
      <c r="G400" s="698">
        <v>0</v>
      </c>
      <c r="H400" s="698">
        <v>0</v>
      </c>
      <c r="I400" s="699">
        <v>0</v>
      </c>
      <c r="J400" s="699">
        <v>0</v>
      </c>
      <c r="K400" s="699">
        <v>0</v>
      </c>
      <c r="L400" s="697">
        <v>0</v>
      </c>
    </row>
    <row r="401" spans="1:15" hidden="1">
      <c r="A401" s="695">
        <v>42025</v>
      </c>
      <c r="B401" s="696" t="s">
        <v>1817</v>
      </c>
      <c r="C401" s="697">
        <v>28</v>
      </c>
      <c r="D401" s="695">
        <v>42053</v>
      </c>
      <c r="E401" s="698">
        <v>30</v>
      </c>
      <c r="F401" s="698">
        <v>0</v>
      </c>
      <c r="G401" s="698">
        <v>0</v>
      </c>
      <c r="H401" s="698">
        <v>0</v>
      </c>
      <c r="I401" s="699">
        <v>0</v>
      </c>
      <c r="J401" s="699">
        <v>0</v>
      </c>
      <c r="K401" s="699">
        <v>0</v>
      </c>
      <c r="L401" s="697">
        <v>0</v>
      </c>
    </row>
    <row r="402" spans="1:15" hidden="1">
      <c r="A402" s="695">
        <v>42032</v>
      </c>
      <c r="B402" s="696" t="s">
        <v>1818</v>
      </c>
      <c r="C402" s="697">
        <v>28</v>
      </c>
      <c r="D402" s="695">
        <v>42060</v>
      </c>
      <c r="E402" s="698">
        <v>30</v>
      </c>
      <c r="F402" s="698">
        <v>0</v>
      </c>
      <c r="G402" s="698">
        <v>0</v>
      </c>
      <c r="H402" s="698">
        <v>0</v>
      </c>
      <c r="I402" s="699">
        <v>0</v>
      </c>
      <c r="J402" s="699">
        <v>0</v>
      </c>
      <c r="K402" s="699">
        <v>0</v>
      </c>
      <c r="L402" s="697">
        <v>0</v>
      </c>
    </row>
    <row r="403" spans="1:15" hidden="1">
      <c r="A403" s="695">
        <v>42039</v>
      </c>
      <c r="B403" s="696" t="s">
        <v>1820</v>
      </c>
      <c r="C403" s="697">
        <v>28</v>
      </c>
      <c r="D403" s="695">
        <v>42067</v>
      </c>
      <c r="E403" s="698">
        <v>30</v>
      </c>
      <c r="F403" s="698">
        <v>0</v>
      </c>
      <c r="G403" s="698">
        <v>0</v>
      </c>
      <c r="H403" s="698">
        <v>0</v>
      </c>
      <c r="I403" s="699">
        <v>0</v>
      </c>
      <c r="J403" s="699">
        <v>0</v>
      </c>
      <c r="K403" s="699">
        <v>0</v>
      </c>
      <c r="L403" s="697">
        <v>0</v>
      </c>
    </row>
    <row r="404" spans="1:15" ht="12.75" hidden="1" customHeight="1">
      <c r="A404" s="695">
        <v>42046</v>
      </c>
      <c r="B404" s="696" t="s">
        <v>1821</v>
      </c>
      <c r="C404" s="697">
        <v>28</v>
      </c>
      <c r="D404" s="695">
        <v>42074</v>
      </c>
      <c r="E404" s="698">
        <v>30</v>
      </c>
      <c r="F404" s="698">
        <v>0</v>
      </c>
      <c r="G404" s="698">
        <v>0</v>
      </c>
      <c r="H404" s="698">
        <v>0</v>
      </c>
      <c r="I404" s="699">
        <v>0</v>
      </c>
      <c r="J404" s="699">
        <v>0</v>
      </c>
      <c r="K404" s="699">
        <v>0</v>
      </c>
      <c r="L404" s="697">
        <v>0</v>
      </c>
      <c r="M404" s="440"/>
      <c r="N404" s="440"/>
      <c r="O404" s="440"/>
    </row>
    <row r="405" spans="1:15" hidden="1">
      <c r="A405" s="695">
        <v>42053</v>
      </c>
      <c r="B405" s="696" t="s">
        <v>1822</v>
      </c>
      <c r="C405" s="697">
        <v>28</v>
      </c>
      <c r="D405" s="695">
        <v>42081</v>
      </c>
      <c r="E405" s="698">
        <v>30</v>
      </c>
      <c r="F405" s="698">
        <v>0</v>
      </c>
      <c r="G405" s="698">
        <v>0</v>
      </c>
      <c r="H405" s="698">
        <v>0</v>
      </c>
      <c r="I405" s="699">
        <v>0</v>
      </c>
      <c r="J405" s="699">
        <v>0</v>
      </c>
      <c r="K405" s="699">
        <v>0</v>
      </c>
      <c r="L405" s="697">
        <v>0</v>
      </c>
    </row>
    <row r="406" spans="1:15" hidden="1">
      <c r="A406" s="695">
        <v>42060</v>
      </c>
      <c r="B406" s="696" t="s">
        <v>1823</v>
      </c>
      <c r="C406" s="697">
        <v>32</v>
      </c>
      <c r="D406" s="695">
        <v>42092</v>
      </c>
      <c r="E406" s="698">
        <v>30</v>
      </c>
      <c r="F406" s="698">
        <v>0</v>
      </c>
      <c r="G406" s="698">
        <v>0</v>
      </c>
      <c r="H406" s="698">
        <v>0</v>
      </c>
      <c r="I406" s="699">
        <v>0</v>
      </c>
      <c r="J406" s="699">
        <v>0</v>
      </c>
      <c r="K406" s="699">
        <v>0</v>
      </c>
      <c r="L406" s="697">
        <v>0</v>
      </c>
    </row>
    <row r="407" spans="1:15" hidden="1">
      <c r="A407" s="695">
        <v>42067</v>
      </c>
      <c r="B407" s="696" t="s">
        <v>1828</v>
      </c>
      <c r="C407" s="697">
        <v>28</v>
      </c>
      <c r="D407" s="695">
        <v>42095</v>
      </c>
      <c r="E407" s="698">
        <v>30</v>
      </c>
      <c r="F407" s="698">
        <v>0</v>
      </c>
      <c r="G407" s="698">
        <v>0</v>
      </c>
      <c r="H407" s="698">
        <v>0</v>
      </c>
      <c r="I407" s="699">
        <v>0</v>
      </c>
      <c r="J407" s="699">
        <v>0</v>
      </c>
      <c r="K407" s="699">
        <v>0</v>
      </c>
      <c r="L407" s="697">
        <v>0</v>
      </c>
    </row>
    <row r="408" spans="1:15" hidden="1">
      <c r="A408" s="695">
        <v>42074</v>
      </c>
      <c r="B408" s="696" t="s">
        <v>1829</v>
      </c>
      <c r="C408" s="697">
        <v>28</v>
      </c>
      <c r="D408" s="695">
        <v>42102</v>
      </c>
      <c r="E408" s="698">
        <v>30</v>
      </c>
      <c r="F408" s="698">
        <v>0</v>
      </c>
      <c r="G408" s="698">
        <v>0</v>
      </c>
      <c r="H408" s="698">
        <v>0</v>
      </c>
      <c r="I408" s="699">
        <v>0</v>
      </c>
      <c r="J408" s="699">
        <v>0</v>
      </c>
      <c r="K408" s="699">
        <v>0</v>
      </c>
      <c r="L408" s="697">
        <v>0</v>
      </c>
    </row>
    <row r="409" spans="1:15" hidden="1">
      <c r="A409" s="695">
        <v>42081</v>
      </c>
      <c r="B409" s="696" t="s">
        <v>1830</v>
      </c>
      <c r="C409" s="697">
        <v>28</v>
      </c>
      <c r="D409" s="695">
        <v>42109</v>
      </c>
      <c r="E409" s="698">
        <v>30</v>
      </c>
      <c r="F409" s="698">
        <v>0</v>
      </c>
      <c r="G409" s="698">
        <v>0</v>
      </c>
      <c r="H409" s="698">
        <v>0</v>
      </c>
      <c r="I409" s="699">
        <v>0</v>
      </c>
      <c r="J409" s="699">
        <v>0</v>
      </c>
      <c r="K409" s="699">
        <v>0</v>
      </c>
      <c r="L409" s="697">
        <v>0</v>
      </c>
    </row>
    <row r="410" spans="1:15" hidden="1">
      <c r="A410" s="695">
        <v>42095</v>
      </c>
      <c r="B410" s="696" t="s">
        <v>1847</v>
      </c>
      <c r="C410" s="697">
        <v>28</v>
      </c>
      <c r="D410" s="695">
        <v>42123</v>
      </c>
      <c r="E410" s="698">
        <v>30</v>
      </c>
      <c r="F410" s="698">
        <v>0</v>
      </c>
      <c r="G410" s="698">
        <v>0</v>
      </c>
      <c r="H410" s="698">
        <v>0</v>
      </c>
      <c r="I410" s="699">
        <v>0</v>
      </c>
      <c r="J410" s="699">
        <v>0</v>
      </c>
      <c r="K410" s="699">
        <v>0</v>
      </c>
      <c r="L410" s="697">
        <v>0</v>
      </c>
    </row>
    <row r="411" spans="1:15" hidden="1">
      <c r="A411" s="695">
        <v>42102</v>
      </c>
      <c r="B411" s="696" t="s">
        <v>1848</v>
      </c>
      <c r="C411" s="697">
        <v>28</v>
      </c>
      <c r="D411" s="695">
        <v>42130</v>
      </c>
      <c r="E411" s="698">
        <v>30</v>
      </c>
      <c r="F411" s="698">
        <v>0</v>
      </c>
      <c r="G411" s="698">
        <v>0</v>
      </c>
      <c r="H411" s="698">
        <v>0</v>
      </c>
      <c r="I411" s="699">
        <v>0</v>
      </c>
      <c r="J411" s="699">
        <v>0</v>
      </c>
      <c r="K411" s="699">
        <v>0</v>
      </c>
      <c r="L411" s="697">
        <v>0</v>
      </c>
    </row>
    <row r="412" spans="1:15" hidden="1">
      <c r="A412" s="695">
        <v>42109</v>
      </c>
      <c r="B412" s="696" t="s">
        <v>1849</v>
      </c>
      <c r="C412" s="697">
        <v>28</v>
      </c>
      <c r="D412" s="695">
        <v>42137</v>
      </c>
      <c r="E412" s="698">
        <v>30</v>
      </c>
      <c r="F412" s="698">
        <v>0</v>
      </c>
      <c r="G412" s="698">
        <v>0</v>
      </c>
      <c r="H412" s="698">
        <v>0</v>
      </c>
      <c r="I412" s="699">
        <v>0</v>
      </c>
      <c r="J412" s="699">
        <v>0</v>
      </c>
      <c r="K412" s="699">
        <v>0</v>
      </c>
      <c r="L412" s="697">
        <v>0</v>
      </c>
    </row>
    <row r="413" spans="1:15" hidden="1">
      <c r="A413" s="695">
        <v>42116</v>
      </c>
      <c r="B413" s="696" t="s">
        <v>1850</v>
      </c>
      <c r="C413" s="697">
        <v>28</v>
      </c>
      <c r="D413" s="695">
        <v>42144</v>
      </c>
      <c r="E413" s="698">
        <v>30</v>
      </c>
      <c r="F413" s="698">
        <v>0</v>
      </c>
      <c r="G413" s="698">
        <v>0</v>
      </c>
      <c r="H413" s="698">
        <v>0</v>
      </c>
      <c r="I413" s="699">
        <v>0</v>
      </c>
      <c r="J413" s="699">
        <v>0</v>
      </c>
      <c r="K413" s="699">
        <v>0</v>
      </c>
      <c r="L413" s="697">
        <v>0</v>
      </c>
    </row>
    <row r="414" spans="1:15" hidden="1">
      <c r="A414" s="695">
        <v>42123</v>
      </c>
      <c r="B414" s="696" t="s">
        <v>1851</v>
      </c>
      <c r="C414" s="697">
        <v>28</v>
      </c>
      <c r="D414" s="695">
        <v>42151</v>
      </c>
      <c r="E414" s="698">
        <v>30</v>
      </c>
      <c r="F414" s="698">
        <v>0</v>
      </c>
      <c r="G414" s="698">
        <v>0</v>
      </c>
      <c r="H414" s="698">
        <v>0</v>
      </c>
      <c r="I414" s="699">
        <v>0</v>
      </c>
      <c r="J414" s="699">
        <v>0</v>
      </c>
      <c r="K414" s="699">
        <v>0</v>
      </c>
      <c r="L414" s="697">
        <v>0</v>
      </c>
    </row>
    <row r="415" spans="1:15" hidden="1">
      <c r="A415" s="695">
        <v>42676</v>
      </c>
      <c r="B415" s="696" t="s">
        <v>1888</v>
      </c>
      <c r="C415" s="697">
        <v>28</v>
      </c>
      <c r="D415" s="695">
        <v>42704</v>
      </c>
      <c r="E415" s="698">
        <v>50</v>
      </c>
      <c r="F415" s="698">
        <v>64.2363</v>
      </c>
      <c r="G415" s="698">
        <v>50</v>
      </c>
      <c r="H415" s="698">
        <v>0</v>
      </c>
      <c r="I415" s="699">
        <v>0.14000000000000001</v>
      </c>
      <c r="J415" s="699">
        <v>0.14979999999999999</v>
      </c>
      <c r="K415" s="699">
        <v>0.14710000000000001</v>
      </c>
      <c r="L415" s="697">
        <v>3</v>
      </c>
    </row>
    <row r="416" spans="1:15" hidden="1">
      <c r="A416" s="695">
        <v>42684</v>
      </c>
      <c r="B416" s="696" t="s">
        <v>1889</v>
      </c>
      <c r="C416" s="697">
        <v>27</v>
      </c>
      <c r="D416" s="695">
        <v>42711</v>
      </c>
      <c r="E416" s="698">
        <v>75</v>
      </c>
      <c r="F416" s="698">
        <v>26.718499999999999</v>
      </c>
      <c r="G416" s="698">
        <v>26.718499999999999</v>
      </c>
      <c r="H416" s="698">
        <v>0</v>
      </c>
      <c r="I416" s="699">
        <v>0.14269999999999999</v>
      </c>
      <c r="J416" s="699">
        <v>0.14990000000000001</v>
      </c>
      <c r="K416" s="699">
        <v>0.14949999999999999</v>
      </c>
      <c r="L416" s="697">
        <v>3</v>
      </c>
    </row>
    <row r="417" spans="1:12" hidden="1">
      <c r="A417" s="695">
        <v>42690</v>
      </c>
      <c r="B417" s="696" t="s">
        <v>1890</v>
      </c>
      <c r="C417" s="697">
        <v>28</v>
      </c>
      <c r="D417" s="695">
        <v>42718</v>
      </c>
      <c r="E417" s="698">
        <v>75</v>
      </c>
      <c r="F417" s="698">
        <v>30.338200000000001</v>
      </c>
      <c r="G417" s="698">
        <v>30.338200000000001</v>
      </c>
      <c r="H417" s="698">
        <v>0</v>
      </c>
      <c r="I417" s="699">
        <v>0.14499999999999999</v>
      </c>
      <c r="J417" s="699">
        <v>0.14499999999999999</v>
      </c>
      <c r="K417" s="699">
        <v>0.14499999999999999</v>
      </c>
      <c r="L417" s="697">
        <v>1</v>
      </c>
    </row>
    <row r="418" spans="1:12" hidden="1">
      <c r="A418" s="695">
        <v>42697</v>
      </c>
      <c r="B418" s="696" t="s">
        <v>1891</v>
      </c>
      <c r="C418" s="697">
        <v>28</v>
      </c>
      <c r="D418" s="695">
        <v>42725</v>
      </c>
      <c r="E418" s="698">
        <v>75</v>
      </c>
      <c r="F418" s="698">
        <v>5.0583</v>
      </c>
      <c r="G418" s="698">
        <v>5.0583</v>
      </c>
      <c r="H418" s="698">
        <v>0</v>
      </c>
      <c r="I418" s="699">
        <v>0.14990000000000001</v>
      </c>
      <c r="J418" s="699">
        <v>0.14990000000000001</v>
      </c>
      <c r="K418" s="699">
        <v>0.14990000000000001</v>
      </c>
      <c r="L418" s="697">
        <v>1</v>
      </c>
    </row>
    <row r="419" spans="1:12" hidden="1">
      <c r="A419" s="695">
        <v>42704</v>
      </c>
      <c r="B419" s="696" t="s">
        <v>1892</v>
      </c>
      <c r="C419" s="697">
        <v>28</v>
      </c>
      <c r="D419" s="695">
        <v>42732</v>
      </c>
      <c r="E419" s="698">
        <v>75</v>
      </c>
      <c r="F419" s="698">
        <v>50.116599999999998</v>
      </c>
      <c r="G419" s="698">
        <v>50.116599999999998</v>
      </c>
      <c r="H419" s="698">
        <v>0</v>
      </c>
      <c r="I419" s="699">
        <v>0.14990000000000001</v>
      </c>
      <c r="J419" s="699">
        <v>0.14990000000000001</v>
      </c>
      <c r="K419" s="699">
        <v>0.14990000000000001</v>
      </c>
      <c r="L419" s="697">
        <v>1</v>
      </c>
    </row>
    <row r="420" spans="1:12" hidden="1">
      <c r="A420" s="695">
        <v>42711</v>
      </c>
      <c r="B420" s="696" t="s">
        <v>1898</v>
      </c>
      <c r="C420" s="697">
        <v>29</v>
      </c>
      <c r="D420" s="695">
        <v>42740</v>
      </c>
      <c r="E420" s="698">
        <v>75</v>
      </c>
      <c r="F420" s="698">
        <v>3.2370000000000001</v>
      </c>
      <c r="G420" s="698">
        <v>3.2370000000000001</v>
      </c>
      <c r="H420" s="698">
        <v>0</v>
      </c>
      <c r="I420" s="699">
        <v>0.1406</v>
      </c>
      <c r="J420" s="699">
        <v>0.1457</v>
      </c>
      <c r="K420" s="699">
        <v>0.14249999999999999</v>
      </c>
      <c r="L420" s="697">
        <v>2</v>
      </c>
    </row>
    <row r="421" spans="1:12" hidden="1">
      <c r="A421" s="695">
        <v>42718</v>
      </c>
      <c r="B421" s="696" t="s">
        <v>1899</v>
      </c>
      <c r="C421" s="697">
        <v>28</v>
      </c>
      <c r="D421" s="695">
        <v>42746</v>
      </c>
      <c r="E421" s="698">
        <v>75</v>
      </c>
      <c r="F421" s="698">
        <v>50.583100000000002</v>
      </c>
      <c r="G421" s="698">
        <v>50.583100000000002</v>
      </c>
      <c r="H421" s="698">
        <v>0</v>
      </c>
      <c r="I421" s="699">
        <v>0.14990000000000001</v>
      </c>
      <c r="J421" s="699">
        <v>0.14990000000000001</v>
      </c>
      <c r="K421" s="699">
        <v>0.14990000000000001</v>
      </c>
      <c r="L421" s="697">
        <v>2</v>
      </c>
    </row>
    <row r="422" spans="1:12" hidden="1">
      <c r="A422" s="695">
        <v>42725</v>
      </c>
      <c r="B422" s="696" t="s">
        <v>1900</v>
      </c>
      <c r="C422" s="697">
        <v>28</v>
      </c>
      <c r="D422" s="695">
        <v>42753</v>
      </c>
      <c r="E422" s="698">
        <v>50</v>
      </c>
      <c r="F422" s="698">
        <v>45.5777</v>
      </c>
      <c r="G422" s="698">
        <v>45.5777</v>
      </c>
      <c r="H422" s="698">
        <v>0</v>
      </c>
      <c r="I422" s="699">
        <v>0.14990000000000001</v>
      </c>
      <c r="J422" s="699">
        <v>0.14990000000000001</v>
      </c>
      <c r="K422" s="699">
        <v>0.14990000000000001</v>
      </c>
      <c r="L422" s="697">
        <v>2</v>
      </c>
    </row>
    <row r="423" spans="1:12" hidden="1">
      <c r="A423" s="695">
        <v>42732</v>
      </c>
      <c r="B423" s="696" t="s">
        <v>1901</v>
      </c>
      <c r="C423" s="697">
        <v>28</v>
      </c>
      <c r="D423" s="695">
        <v>42760</v>
      </c>
      <c r="E423" s="698">
        <v>50</v>
      </c>
      <c r="F423" s="698">
        <v>10.2227</v>
      </c>
      <c r="G423" s="698">
        <v>10.2227</v>
      </c>
      <c r="H423" s="698">
        <v>0</v>
      </c>
      <c r="I423" s="699">
        <v>0.14990000000000001</v>
      </c>
      <c r="J423" s="699">
        <v>0.14990000000000001</v>
      </c>
      <c r="K423" s="699">
        <v>0.14990000000000001</v>
      </c>
      <c r="L423" s="697">
        <v>1</v>
      </c>
    </row>
    <row r="424" spans="1:12">
      <c r="A424" s="897">
        <v>2017</v>
      </c>
      <c r="B424" s="696"/>
      <c r="C424" s="697"/>
      <c r="D424" s="695"/>
      <c r="E424" s="698"/>
      <c r="F424" s="698"/>
      <c r="G424" s="698"/>
      <c r="H424" s="698"/>
      <c r="I424" s="699"/>
      <c r="J424" s="699"/>
      <c r="K424" s="699"/>
      <c r="L424" s="697"/>
    </row>
    <row r="425" spans="1:12">
      <c r="A425" s="695">
        <v>42740</v>
      </c>
      <c r="B425" s="696" t="s">
        <v>1903</v>
      </c>
      <c r="C425" s="697">
        <v>27</v>
      </c>
      <c r="D425" s="695">
        <v>42767</v>
      </c>
      <c r="E425" s="698">
        <v>5</v>
      </c>
      <c r="F425" s="698">
        <v>3.5074999999999998</v>
      </c>
      <c r="G425" s="698">
        <v>3.5074999999999998</v>
      </c>
      <c r="H425" s="698">
        <v>0</v>
      </c>
      <c r="I425" s="699">
        <v>0.14990000000000001</v>
      </c>
      <c r="J425" s="699">
        <v>0.14990000000000001</v>
      </c>
      <c r="K425" s="699">
        <v>0.14990000000000001</v>
      </c>
      <c r="L425" s="697">
        <v>2</v>
      </c>
    </row>
    <row r="426" spans="1:12">
      <c r="A426" s="695">
        <v>42746</v>
      </c>
      <c r="B426" s="696" t="s">
        <v>1904</v>
      </c>
      <c r="C426" s="697">
        <v>28</v>
      </c>
      <c r="D426" s="695">
        <v>42774</v>
      </c>
      <c r="E426" s="698">
        <v>5</v>
      </c>
      <c r="F426" s="698">
        <v>10</v>
      </c>
      <c r="G426" s="698">
        <v>5</v>
      </c>
      <c r="H426" s="698">
        <v>0</v>
      </c>
      <c r="I426" s="699">
        <v>0.14280000000000001</v>
      </c>
      <c r="J426" s="699">
        <v>0.14560000000000001</v>
      </c>
      <c r="K426" s="699">
        <v>0.14399999999999999</v>
      </c>
      <c r="L426" s="697">
        <v>2</v>
      </c>
    </row>
    <row r="427" spans="1:12">
      <c r="A427" s="695">
        <v>42753</v>
      </c>
      <c r="B427" s="696" t="s">
        <v>1905</v>
      </c>
      <c r="C427" s="697">
        <v>28</v>
      </c>
      <c r="D427" s="695">
        <v>42781</v>
      </c>
      <c r="E427" s="698">
        <v>5</v>
      </c>
      <c r="F427" s="698">
        <v>10</v>
      </c>
      <c r="G427" s="698">
        <v>5</v>
      </c>
      <c r="H427" s="698">
        <v>0</v>
      </c>
      <c r="I427" s="699">
        <v>0.1201</v>
      </c>
      <c r="J427" s="699">
        <v>0.1201</v>
      </c>
      <c r="K427" s="699">
        <v>0.1201</v>
      </c>
      <c r="L427" s="697">
        <v>2</v>
      </c>
    </row>
    <row r="428" spans="1:12">
      <c r="A428" s="695">
        <v>42761</v>
      </c>
      <c r="B428" s="696" t="s">
        <v>1906</v>
      </c>
      <c r="C428" s="697">
        <v>28</v>
      </c>
      <c r="D428" s="695">
        <v>42789</v>
      </c>
      <c r="E428" s="698">
        <v>25</v>
      </c>
      <c r="F428" s="698">
        <v>53.033900000000003</v>
      </c>
      <c r="G428" s="698">
        <v>25</v>
      </c>
      <c r="H428" s="698">
        <v>0</v>
      </c>
      <c r="I428" s="699">
        <v>0.125</v>
      </c>
      <c r="J428" s="699">
        <v>0.125</v>
      </c>
      <c r="K428" s="699">
        <v>0.125</v>
      </c>
      <c r="L428" s="697">
        <v>4</v>
      </c>
    </row>
    <row r="429" spans="1:12">
      <c r="A429" s="695">
        <v>42767</v>
      </c>
      <c r="B429" s="696" t="s">
        <v>1910</v>
      </c>
      <c r="C429" s="697">
        <v>28</v>
      </c>
      <c r="D429" s="695">
        <v>42795</v>
      </c>
      <c r="E429" s="698">
        <v>50</v>
      </c>
      <c r="F429" s="698">
        <v>29.616</v>
      </c>
      <c r="G429" s="698">
        <v>29.616</v>
      </c>
      <c r="H429" s="698">
        <v>0</v>
      </c>
      <c r="I429" s="699">
        <v>0.13</v>
      </c>
      <c r="J429" s="699">
        <v>0.13</v>
      </c>
      <c r="K429" s="699">
        <v>0.13</v>
      </c>
      <c r="L429" s="697">
        <v>5</v>
      </c>
    </row>
    <row r="430" spans="1:12">
      <c r="A430" s="695">
        <v>42774</v>
      </c>
      <c r="B430" s="696" t="s">
        <v>1911</v>
      </c>
      <c r="C430" s="697">
        <v>29</v>
      </c>
      <c r="D430" s="695">
        <v>42803</v>
      </c>
      <c r="E430" s="698">
        <v>50</v>
      </c>
      <c r="F430" s="698">
        <v>22.759</v>
      </c>
      <c r="G430" s="698">
        <v>22.759</v>
      </c>
      <c r="H430" s="698">
        <v>0</v>
      </c>
      <c r="I430" s="699">
        <v>0.12989999999999999</v>
      </c>
      <c r="J430" s="699">
        <v>0.14499999999999999</v>
      </c>
      <c r="K430" s="699">
        <v>0.13880000000000001</v>
      </c>
      <c r="L430" s="697">
        <v>3</v>
      </c>
    </row>
    <row r="431" spans="1:12">
      <c r="A431" s="695">
        <v>42781</v>
      </c>
      <c r="B431" s="696" t="s">
        <v>1912</v>
      </c>
      <c r="C431" s="697">
        <v>28</v>
      </c>
      <c r="D431" s="695">
        <v>42809</v>
      </c>
      <c r="E431" s="698">
        <v>50</v>
      </c>
      <c r="F431" s="698">
        <v>25.291499999999999</v>
      </c>
      <c r="G431" s="698">
        <v>25.291499999999999</v>
      </c>
      <c r="H431" s="698">
        <v>0</v>
      </c>
      <c r="I431" s="699">
        <v>0.1305</v>
      </c>
      <c r="J431" s="699">
        <v>0.14990000000000001</v>
      </c>
      <c r="K431" s="699">
        <v>0.14560000000000001</v>
      </c>
      <c r="L431" s="697">
        <v>1</v>
      </c>
    </row>
    <row r="432" spans="1:12">
      <c r="A432" s="695">
        <v>42788</v>
      </c>
      <c r="B432" s="696" t="s">
        <v>1913</v>
      </c>
      <c r="C432" s="697">
        <v>35</v>
      </c>
      <c r="D432" s="695">
        <v>42823</v>
      </c>
      <c r="E432" s="698">
        <v>50</v>
      </c>
      <c r="F432" s="698">
        <v>12.3756</v>
      </c>
      <c r="G432" s="698">
        <v>12.3756</v>
      </c>
      <c r="H432" s="698">
        <v>0</v>
      </c>
      <c r="I432" s="699">
        <v>0.14180000000000001</v>
      </c>
      <c r="J432" s="699">
        <v>0.14480000000000001</v>
      </c>
      <c r="K432" s="699">
        <v>0.14480000000000001</v>
      </c>
      <c r="L432" s="697">
        <v>4</v>
      </c>
    </row>
    <row r="433" spans="1:12">
      <c r="A433" s="695">
        <v>42795</v>
      </c>
      <c r="B433" s="696" t="s">
        <v>1919</v>
      </c>
      <c r="C433" s="697">
        <v>28</v>
      </c>
      <c r="D433" s="695">
        <v>42823</v>
      </c>
      <c r="E433" s="698">
        <v>50</v>
      </c>
      <c r="F433" s="698">
        <v>11.7456</v>
      </c>
      <c r="G433" s="698">
        <v>11.7456</v>
      </c>
      <c r="H433" s="698">
        <v>0</v>
      </c>
      <c r="I433" s="699">
        <v>0.13020000000000001</v>
      </c>
      <c r="J433" s="699">
        <v>0.14990000000000001</v>
      </c>
      <c r="K433" s="699">
        <v>0.14829999999999999</v>
      </c>
      <c r="L433" s="697">
        <v>2</v>
      </c>
    </row>
    <row r="434" spans="1:12">
      <c r="A434" s="695">
        <v>42803</v>
      </c>
      <c r="B434" s="696" t="s">
        <v>1920</v>
      </c>
      <c r="C434" s="697">
        <v>27</v>
      </c>
      <c r="D434" s="695">
        <v>42830</v>
      </c>
      <c r="E434" s="698">
        <v>50</v>
      </c>
      <c r="F434" s="698">
        <v>9.3712999999999997</v>
      </c>
      <c r="G434" s="698">
        <v>9.3712999999999997</v>
      </c>
      <c r="H434" s="698">
        <v>0</v>
      </c>
      <c r="I434" s="699">
        <v>0.14430000000000001</v>
      </c>
      <c r="J434" s="699">
        <v>0.14990000000000001</v>
      </c>
      <c r="K434" s="699">
        <v>0.1492</v>
      </c>
      <c r="L434" s="697">
        <v>3</v>
      </c>
    </row>
    <row r="435" spans="1:12">
      <c r="A435" s="695">
        <v>42809</v>
      </c>
      <c r="B435" s="696" t="s">
        <v>1921</v>
      </c>
      <c r="C435" s="697">
        <v>28</v>
      </c>
      <c r="D435" s="695">
        <v>42837</v>
      </c>
      <c r="E435" s="698">
        <v>50</v>
      </c>
      <c r="F435" s="698">
        <v>26.303100000000001</v>
      </c>
      <c r="G435" s="698">
        <v>26.303100000000001</v>
      </c>
      <c r="H435" s="698">
        <v>0</v>
      </c>
      <c r="I435" s="699">
        <v>0.14560000000000001</v>
      </c>
      <c r="J435" s="699">
        <v>0.14990000000000001</v>
      </c>
      <c r="K435" s="699">
        <v>0.14799999999999999</v>
      </c>
      <c r="L435" s="697">
        <v>2</v>
      </c>
    </row>
    <row r="436" spans="1:12">
      <c r="A436" s="695">
        <v>42823</v>
      </c>
      <c r="B436" s="696" t="s">
        <v>1922</v>
      </c>
      <c r="C436" s="697">
        <v>28</v>
      </c>
      <c r="D436" s="695">
        <v>42851</v>
      </c>
      <c r="E436" s="698">
        <v>50</v>
      </c>
      <c r="F436" s="698">
        <v>33.423999999999999</v>
      </c>
      <c r="G436" s="698">
        <v>33.423999999999999</v>
      </c>
      <c r="H436" s="698">
        <v>0</v>
      </c>
      <c r="I436" s="699">
        <v>0.14990000000000001</v>
      </c>
      <c r="J436" s="699">
        <v>0.14990000000000001</v>
      </c>
      <c r="K436" s="699">
        <v>0.14990000000000001</v>
      </c>
      <c r="L436" s="697">
        <v>4</v>
      </c>
    </row>
    <row r="437" spans="1:12">
      <c r="A437" s="695">
        <v>42830</v>
      </c>
      <c r="B437" s="696" t="s">
        <v>1928</v>
      </c>
      <c r="C437" s="697">
        <v>28</v>
      </c>
      <c r="D437" s="695">
        <v>42858</v>
      </c>
      <c r="E437" s="698">
        <v>50</v>
      </c>
      <c r="F437" s="698">
        <v>27.867999999999999</v>
      </c>
      <c r="G437" s="698">
        <v>27.867999999999999</v>
      </c>
      <c r="H437" s="698">
        <v>0</v>
      </c>
      <c r="I437" s="699">
        <v>0.14599999999999999</v>
      </c>
      <c r="J437" s="699">
        <v>0.14990000000000001</v>
      </c>
      <c r="K437" s="699">
        <v>0.1497</v>
      </c>
      <c r="L437" s="697">
        <v>2</v>
      </c>
    </row>
    <row r="438" spans="1:12">
      <c r="A438" s="695">
        <v>42837</v>
      </c>
      <c r="B438" s="696" t="s">
        <v>1929</v>
      </c>
      <c r="C438" s="697">
        <v>28</v>
      </c>
      <c r="D438" s="695">
        <v>42865</v>
      </c>
      <c r="E438" s="698">
        <v>25</v>
      </c>
      <c r="F438" s="698">
        <v>60.112699999999997</v>
      </c>
      <c r="G438" s="698">
        <v>25</v>
      </c>
      <c r="H438" s="698">
        <v>0</v>
      </c>
      <c r="I438" s="699">
        <v>0.14799999999999999</v>
      </c>
      <c r="J438" s="699">
        <v>0.14990000000000001</v>
      </c>
      <c r="K438" s="699">
        <v>0.14979999999999999</v>
      </c>
      <c r="L438" s="697">
        <v>3</v>
      </c>
    </row>
    <row r="439" spans="1:12">
      <c r="A439" s="695">
        <v>42851</v>
      </c>
      <c r="B439" s="696" t="s">
        <v>1930</v>
      </c>
      <c r="C439" s="697">
        <v>28</v>
      </c>
      <c r="D439" s="695">
        <v>42879</v>
      </c>
      <c r="E439" s="698">
        <v>25</v>
      </c>
      <c r="F439" s="698">
        <v>21.81</v>
      </c>
      <c r="G439" s="698">
        <v>21.81</v>
      </c>
      <c r="H439" s="698">
        <v>0</v>
      </c>
      <c r="I439" s="699">
        <v>0.1389</v>
      </c>
      <c r="J439" s="699">
        <v>0.1389</v>
      </c>
      <c r="K439" s="699">
        <v>0.1389</v>
      </c>
      <c r="L439" s="697">
        <v>3</v>
      </c>
    </row>
    <row r="440" spans="1:12">
      <c r="A440" s="695">
        <v>42858</v>
      </c>
      <c r="B440" s="696" t="s">
        <v>1935</v>
      </c>
      <c r="C440" s="697">
        <v>28</v>
      </c>
      <c r="D440" s="695">
        <v>42886</v>
      </c>
      <c r="E440" s="698">
        <v>25</v>
      </c>
      <c r="F440" s="698">
        <v>52.18</v>
      </c>
      <c r="G440" s="698">
        <v>25</v>
      </c>
      <c r="H440" s="698">
        <v>0</v>
      </c>
      <c r="I440" s="699">
        <v>0.129</v>
      </c>
      <c r="J440" s="699">
        <v>0.14990000000000001</v>
      </c>
      <c r="K440" s="699">
        <v>0.14580000000000001</v>
      </c>
      <c r="L440" s="697">
        <v>3</v>
      </c>
    </row>
    <row r="441" spans="1:12">
      <c r="A441" s="695">
        <v>42865</v>
      </c>
      <c r="B441" s="696" t="s">
        <v>1936</v>
      </c>
      <c r="C441" s="697">
        <v>28</v>
      </c>
      <c r="D441" s="695">
        <v>42893</v>
      </c>
      <c r="E441" s="698">
        <v>25</v>
      </c>
      <c r="F441" s="698">
        <v>75.253699999999995</v>
      </c>
      <c r="G441" s="698">
        <v>25</v>
      </c>
      <c r="H441" s="698">
        <v>0</v>
      </c>
      <c r="I441" s="699">
        <v>0.14560000000000001</v>
      </c>
      <c r="J441" s="699">
        <v>0.14799999999999999</v>
      </c>
      <c r="K441" s="699">
        <v>0.1479</v>
      </c>
      <c r="L441" s="697">
        <v>5</v>
      </c>
    </row>
    <row r="442" spans="1:12">
      <c r="A442" s="695">
        <v>42872</v>
      </c>
      <c r="B442" s="696" t="s">
        <v>1937</v>
      </c>
      <c r="C442" s="697">
        <v>28</v>
      </c>
      <c r="D442" s="695">
        <v>42900</v>
      </c>
      <c r="E442" s="698">
        <v>25</v>
      </c>
      <c r="F442" s="698">
        <v>117.6808</v>
      </c>
      <c r="G442" s="698">
        <v>25</v>
      </c>
      <c r="H442" s="698">
        <v>0</v>
      </c>
      <c r="I442" s="699">
        <v>0.124</v>
      </c>
      <c r="J442" s="699">
        <v>0.13900000000000001</v>
      </c>
      <c r="K442" s="699">
        <v>0.13059999999999999</v>
      </c>
      <c r="L442" s="697">
        <v>8</v>
      </c>
    </row>
    <row r="443" spans="1:12">
      <c r="A443" s="695">
        <v>42879</v>
      </c>
      <c r="B443" s="696" t="s">
        <v>1938</v>
      </c>
      <c r="C443" s="697">
        <v>28</v>
      </c>
      <c r="D443" s="695">
        <v>42907</v>
      </c>
      <c r="E443" s="698">
        <v>25</v>
      </c>
      <c r="F443" s="698">
        <v>115.1399</v>
      </c>
      <c r="G443" s="698">
        <v>25</v>
      </c>
      <c r="H443" s="698">
        <v>0</v>
      </c>
      <c r="I443" s="699">
        <v>0.1201</v>
      </c>
      <c r="J443" s="699">
        <v>0.1201</v>
      </c>
      <c r="K443" s="699">
        <v>0.1201</v>
      </c>
      <c r="L443" s="697">
        <v>6</v>
      </c>
    </row>
    <row r="444" spans="1:12">
      <c r="A444" s="695">
        <v>42886</v>
      </c>
      <c r="B444" s="696" t="s">
        <v>1939</v>
      </c>
      <c r="C444" s="697">
        <v>29</v>
      </c>
      <c r="D444" s="695">
        <v>42915</v>
      </c>
      <c r="E444" s="698">
        <v>50</v>
      </c>
      <c r="F444" s="698">
        <v>108.6514</v>
      </c>
      <c r="G444" s="698">
        <v>50</v>
      </c>
      <c r="H444" s="698">
        <v>0</v>
      </c>
      <c r="I444" s="699">
        <v>0.1201</v>
      </c>
      <c r="J444" s="699">
        <v>0.1201</v>
      </c>
      <c r="K444" s="699">
        <v>0.1201</v>
      </c>
      <c r="L444" s="697">
        <v>5</v>
      </c>
    </row>
    <row r="445" spans="1:12">
      <c r="A445" s="695">
        <v>42893</v>
      </c>
      <c r="B445" s="696" t="s">
        <v>1971</v>
      </c>
      <c r="C445" s="697">
        <v>28</v>
      </c>
      <c r="D445" s="695">
        <v>42921</v>
      </c>
      <c r="E445" s="698">
        <v>50</v>
      </c>
      <c r="F445" s="698">
        <v>179.98589999999999</v>
      </c>
      <c r="G445" s="698">
        <v>50</v>
      </c>
      <c r="H445" s="698">
        <v>0</v>
      </c>
      <c r="I445" s="699">
        <v>0.1201</v>
      </c>
      <c r="J445" s="699">
        <v>0.1201</v>
      </c>
      <c r="K445" s="699">
        <v>0.1201</v>
      </c>
      <c r="L445" s="697">
        <v>10</v>
      </c>
    </row>
    <row r="446" spans="1:12">
      <c r="A446" s="695">
        <v>42900</v>
      </c>
      <c r="B446" s="696" t="s">
        <v>1972</v>
      </c>
      <c r="C446" s="697">
        <v>28</v>
      </c>
      <c r="D446" s="695">
        <v>42928</v>
      </c>
      <c r="E446" s="698">
        <v>100</v>
      </c>
      <c r="F446" s="698">
        <v>245.763091</v>
      </c>
      <c r="G446" s="698">
        <v>100</v>
      </c>
      <c r="H446" s="698">
        <v>0</v>
      </c>
      <c r="I446" s="699">
        <v>0.1201</v>
      </c>
      <c r="J446" s="699">
        <v>0.1201</v>
      </c>
      <c r="K446" s="699">
        <v>0.1201</v>
      </c>
      <c r="L446" s="697">
        <v>10</v>
      </c>
    </row>
    <row r="447" spans="1:12">
      <c r="A447" s="695">
        <v>42907</v>
      </c>
      <c r="B447" s="696" t="s">
        <v>1973</v>
      </c>
      <c r="C447" s="697">
        <v>28</v>
      </c>
      <c r="D447" s="695">
        <v>42935</v>
      </c>
      <c r="E447" s="698">
        <v>150</v>
      </c>
      <c r="F447" s="698">
        <v>171.840182</v>
      </c>
      <c r="G447" s="698">
        <v>150</v>
      </c>
      <c r="H447" s="698">
        <v>0</v>
      </c>
      <c r="I447" s="699">
        <v>0.1201</v>
      </c>
      <c r="J447" s="699">
        <v>0.1201</v>
      </c>
      <c r="K447" s="699">
        <v>0.1201</v>
      </c>
      <c r="L447" s="697">
        <v>8</v>
      </c>
    </row>
    <row r="448" spans="1:12">
      <c r="A448" s="695">
        <v>42915</v>
      </c>
      <c r="B448" s="696" t="s">
        <v>1974</v>
      </c>
      <c r="C448" s="697">
        <v>27</v>
      </c>
      <c r="D448" s="695">
        <v>42942</v>
      </c>
      <c r="E448" s="698">
        <v>150</v>
      </c>
      <c r="F448" s="698">
        <v>163.619</v>
      </c>
      <c r="G448" s="698">
        <v>50</v>
      </c>
      <c r="H448" s="698">
        <v>0</v>
      </c>
      <c r="I448" s="699">
        <v>0.1201</v>
      </c>
      <c r="J448" s="699">
        <v>0.13500000000000001</v>
      </c>
      <c r="K448" s="699">
        <v>0.123852</v>
      </c>
      <c r="L448" s="697">
        <v>7</v>
      </c>
    </row>
    <row r="449" spans="1:12">
      <c r="A449" s="695">
        <v>42921</v>
      </c>
      <c r="B449" s="696" t="s">
        <v>1980</v>
      </c>
      <c r="C449" s="697">
        <v>28</v>
      </c>
      <c r="D449" s="695">
        <v>42949</v>
      </c>
      <c r="E449" s="698">
        <v>100</v>
      </c>
      <c r="F449" s="698">
        <v>320.27398499999998</v>
      </c>
      <c r="G449" s="698">
        <v>100</v>
      </c>
      <c r="H449" s="698">
        <v>0</v>
      </c>
      <c r="I449" s="699">
        <v>0.10009999999999999</v>
      </c>
      <c r="J449" s="699">
        <v>0.10009999999999999</v>
      </c>
      <c r="K449" s="699">
        <v>0.10009999999999999</v>
      </c>
      <c r="L449" s="697">
        <v>7</v>
      </c>
    </row>
    <row r="450" spans="1:12">
      <c r="A450" s="695">
        <v>42928</v>
      </c>
      <c r="B450" s="696" t="s">
        <v>1981</v>
      </c>
      <c r="C450" s="697">
        <v>28</v>
      </c>
      <c r="D450" s="695">
        <v>42956</v>
      </c>
      <c r="E450" s="698">
        <v>100</v>
      </c>
      <c r="F450" s="698">
        <v>417.2346</v>
      </c>
      <c r="G450" s="698">
        <v>100</v>
      </c>
      <c r="H450" s="698">
        <v>0</v>
      </c>
      <c r="I450" s="699">
        <v>0.10009999999999999</v>
      </c>
      <c r="J450" s="699">
        <v>0.10009999999999999</v>
      </c>
      <c r="K450" s="699">
        <v>0.10009999999999999</v>
      </c>
      <c r="L450" s="697">
        <v>15</v>
      </c>
    </row>
    <row r="451" spans="1:12">
      <c r="A451" s="695">
        <v>42935</v>
      </c>
      <c r="B451" s="696" t="s">
        <v>1982</v>
      </c>
      <c r="C451" s="697">
        <v>28</v>
      </c>
      <c r="D451" s="695">
        <v>42963</v>
      </c>
      <c r="E451" s="698">
        <v>200</v>
      </c>
      <c r="F451" s="698">
        <v>431.46600000000001</v>
      </c>
      <c r="G451" s="698">
        <v>200</v>
      </c>
      <c r="H451" s="698">
        <v>0</v>
      </c>
      <c r="I451" s="699">
        <v>0.10009999999999999</v>
      </c>
      <c r="J451" s="699">
        <v>0.10009999999999999</v>
      </c>
      <c r="K451" s="699">
        <v>0.10009999999999999</v>
      </c>
      <c r="L451" s="697">
        <v>15</v>
      </c>
    </row>
    <row r="452" spans="1:12">
      <c r="A452" s="695">
        <v>42942</v>
      </c>
      <c r="B452" s="696" t="s">
        <v>1983</v>
      </c>
      <c r="C452" s="697">
        <v>28</v>
      </c>
      <c r="D452" s="695">
        <v>42970</v>
      </c>
      <c r="E452" s="698">
        <v>150</v>
      </c>
      <c r="F452" s="698">
        <v>127.648</v>
      </c>
      <c r="G452" s="698">
        <v>50</v>
      </c>
      <c r="H452" s="698">
        <v>0</v>
      </c>
      <c r="I452" s="699">
        <v>0.10009999999999999</v>
      </c>
      <c r="J452" s="699">
        <v>0.10009999999999999</v>
      </c>
      <c r="K452" s="699">
        <v>0.10009999999999999</v>
      </c>
      <c r="L452" s="697">
        <v>7</v>
      </c>
    </row>
    <row r="453" spans="1:12">
      <c r="A453" s="695">
        <v>42949</v>
      </c>
      <c r="B453" s="696" t="s">
        <v>1990</v>
      </c>
      <c r="C453" s="697">
        <v>28</v>
      </c>
      <c r="D453" s="695">
        <v>42977</v>
      </c>
      <c r="E453" s="698">
        <v>150</v>
      </c>
      <c r="F453" s="698">
        <v>337.19</v>
      </c>
      <c r="G453" s="698">
        <v>149.999</v>
      </c>
      <c r="H453" s="698">
        <v>0</v>
      </c>
      <c r="I453" s="699">
        <v>0.10009999999999999</v>
      </c>
      <c r="J453" s="699">
        <v>0.10009999999999999</v>
      </c>
      <c r="K453" s="699">
        <v>0.10009999999999999</v>
      </c>
      <c r="L453" s="700">
        <v>10</v>
      </c>
    </row>
    <row r="454" spans="1:12">
      <c r="A454" s="695">
        <v>42956</v>
      </c>
      <c r="B454" s="696" t="s">
        <v>1991</v>
      </c>
      <c r="C454" s="697">
        <v>28</v>
      </c>
      <c r="D454" s="695">
        <v>42984</v>
      </c>
      <c r="E454" s="698">
        <v>100</v>
      </c>
      <c r="F454" s="698">
        <v>260.41059999999999</v>
      </c>
      <c r="G454" s="698">
        <v>100</v>
      </c>
      <c r="H454" s="698">
        <v>0</v>
      </c>
      <c r="I454" s="699">
        <v>0.10009999999999999</v>
      </c>
      <c r="J454" s="699">
        <v>0.10009999999999999</v>
      </c>
      <c r="K454" s="699">
        <v>0.10009999999999999</v>
      </c>
      <c r="L454" s="700">
        <v>13</v>
      </c>
    </row>
    <row r="455" spans="1:12">
      <c r="A455" s="695">
        <v>42963</v>
      </c>
      <c r="B455" s="696" t="s">
        <v>1992</v>
      </c>
      <c r="C455" s="697">
        <v>28</v>
      </c>
      <c r="D455" s="695">
        <v>42991</v>
      </c>
      <c r="E455" s="698">
        <v>200</v>
      </c>
      <c r="F455" s="698">
        <v>541.378063</v>
      </c>
      <c r="G455" s="698">
        <v>200</v>
      </c>
      <c r="H455" s="698">
        <v>0</v>
      </c>
      <c r="I455" s="699">
        <v>0.10009999999999999</v>
      </c>
      <c r="J455" s="699">
        <v>0.10009999999999999</v>
      </c>
      <c r="K455" s="699">
        <v>0.10009999999999999</v>
      </c>
      <c r="L455" s="697">
        <v>15</v>
      </c>
    </row>
    <row r="456" spans="1:12">
      <c r="A456" s="695">
        <v>42970</v>
      </c>
      <c r="B456" s="696" t="s">
        <v>1993</v>
      </c>
      <c r="C456" s="697">
        <v>28</v>
      </c>
      <c r="D456" s="695">
        <v>42998</v>
      </c>
      <c r="E456" s="698">
        <v>100</v>
      </c>
      <c r="F456" s="698">
        <v>421.09892600000001</v>
      </c>
      <c r="G456" s="698">
        <v>100</v>
      </c>
      <c r="H456" s="698">
        <v>0</v>
      </c>
      <c r="I456" s="699">
        <v>0.10009999999999999</v>
      </c>
      <c r="J456" s="699">
        <v>0.10009999999999999</v>
      </c>
      <c r="K456" s="699">
        <v>0.10009999999999999</v>
      </c>
      <c r="L456" s="697">
        <v>15</v>
      </c>
    </row>
    <row r="457" spans="1:12">
      <c r="A457" s="695">
        <v>42977</v>
      </c>
      <c r="B457" s="696" t="s">
        <v>1994</v>
      </c>
      <c r="C457" s="697">
        <v>28</v>
      </c>
      <c r="D457" s="695">
        <v>43005</v>
      </c>
      <c r="E457" s="698">
        <v>150</v>
      </c>
      <c r="F457" s="698">
        <v>463.04234300000002</v>
      </c>
      <c r="G457" s="698">
        <v>150</v>
      </c>
      <c r="H457" s="698">
        <v>0</v>
      </c>
      <c r="I457" s="699">
        <v>0.10009999999999999</v>
      </c>
      <c r="J457" s="699">
        <v>0.10009999999999999</v>
      </c>
      <c r="K457" s="699">
        <v>0.10009999999999999</v>
      </c>
      <c r="L457" s="697">
        <v>15</v>
      </c>
    </row>
    <row r="458" spans="1:12">
      <c r="A458" s="695">
        <v>42984</v>
      </c>
      <c r="B458" s="696" t="s">
        <v>2001</v>
      </c>
      <c r="C458" s="697">
        <v>28</v>
      </c>
      <c r="D458" s="695">
        <v>43012</v>
      </c>
      <c r="E458" s="698">
        <v>150</v>
      </c>
      <c r="F458" s="698">
        <v>452.77697999999998</v>
      </c>
      <c r="G458" s="698">
        <v>150</v>
      </c>
      <c r="H458" s="698">
        <v>0</v>
      </c>
      <c r="I458" s="699">
        <v>0.10009999999999999</v>
      </c>
      <c r="J458" s="699">
        <v>0.10009999999999999</v>
      </c>
      <c r="K458" s="699">
        <v>0.10009999999999999</v>
      </c>
      <c r="L458" s="700">
        <v>17</v>
      </c>
    </row>
    <row r="459" spans="1:12">
      <c r="A459" s="695">
        <v>42991</v>
      </c>
      <c r="B459" s="696" t="s">
        <v>2002</v>
      </c>
      <c r="C459" s="697">
        <v>28</v>
      </c>
      <c r="D459" s="695">
        <v>43019</v>
      </c>
      <c r="E459" s="698">
        <v>150</v>
      </c>
      <c r="F459" s="698">
        <v>492.54790000000003</v>
      </c>
      <c r="G459" s="698">
        <v>150</v>
      </c>
      <c r="H459" s="698">
        <v>0</v>
      </c>
      <c r="I459" s="699">
        <v>0.10009999999999999</v>
      </c>
      <c r="J459" s="699">
        <v>0.10009999999999999</v>
      </c>
      <c r="K459" s="699">
        <v>0.10009999999999999</v>
      </c>
      <c r="L459" s="697">
        <v>17</v>
      </c>
    </row>
    <row r="460" spans="1:12">
      <c r="A460" s="695">
        <v>42998</v>
      </c>
      <c r="B460" s="696" t="s">
        <v>2003</v>
      </c>
      <c r="C460" s="697">
        <v>28</v>
      </c>
      <c r="D460" s="695">
        <v>43026</v>
      </c>
      <c r="E460" s="698">
        <v>100</v>
      </c>
      <c r="F460" s="698">
        <v>380.82170000000002</v>
      </c>
      <c r="G460" s="698">
        <v>100</v>
      </c>
      <c r="H460" s="698">
        <v>0</v>
      </c>
      <c r="I460" s="699">
        <v>0.10009999999999999</v>
      </c>
      <c r="J460" s="699">
        <v>0.10009999999999999</v>
      </c>
      <c r="K460" s="699">
        <v>0.10009999999999999</v>
      </c>
      <c r="L460" s="697">
        <v>17</v>
      </c>
    </row>
    <row r="461" spans="1:12">
      <c r="A461" s="695">
        <v>43005</v>
      </c>
      <c r="B461" s="696" t="s">
        <v>2004</v>
      </c>
      <c r="C461" s="697">
        <v>28</v>
      </c>
      <c r="D461" s="695">
        <v>43033</v>
      </c>
      <c r="E461" s="698">
        <v>200</v>
      </c>
      <c r="F461" s="698">
        <v>550.31979999999999</v>
      </c>
      <c r="G461" s="698">
        <v>200</v>
      </c>
      <c r="H461" s="698">
        <v>0</v>
      </c>
      <c r="I461" s="699">
        <v>0.10009999999999999</v>
      </c>
      <c r="J461" s="699">
        <v>0.10009999999999999</v>
      </c>
      <c r="K461" s="699">
        <v>0.10009999999999999</v>
      </c>
      <c r="L461" s="697">
        <v>18</v>
      </c>
    </row>
    <row r="462" spans="1:12">
      <c r="A462" s="695">
        <v>43012</v>
      </c>
      <c r="B462" s="696" t="s">
        <v>2014</v>
      </c>
      <c r="C462" s="697">
        <v>28</v>
      </c>
      <c r="D462" s="695">
        <v>43040</v>
      </c>
      <c r="E462" s="698">
        <v>250</v>
      </c>
      <c r="F462" s="698">
        <v>445.61673300000001</v>
      </c>
      <c r="G462" s="698">
        <v>250</v>
      </c>
      <c r="H462" s="698">
        <v>0</v>
      </c>
      <c r="I462" s="699">
        <v>0.10009999999999999</v>
      </c>
      <c r="J462" s="699">
        <v>0.10009999999999999</v>
      </c>
      <c r="K462" s="699">
        <v>0.10009999999999999</v>
      </c>
      <c r="L462" s="700">
        <v>17</v>
      </c>
    </row>
    <row r="463" spans="1:12">
      <c r="A463" s="695">
        <v>43019</v>
      </c>
      <c r="B463" s="696" t="s">
        <v>2015</v>
      </c>
      <c r="C463" s="697">
        <v>28</v>
      </c>
      <c r="D463" s="695">
        <v>43047</v>
      </c>
      <c r="E463" s="698">
        <v>150</v>
      </c>
      <c r="F463" s="698">
        <v>443.73849999999999</v>
      </c>
      <c r="G463" s="698">
        <v>150</v>
      </c>
      <c r="H463" s="698">
        <v>0</v>
      </c>
      <c r="I463" s="699">
        <v>0.10009999999999999</v>
      </c>
      <c r="J463" s="699">
        <v>0.10009999999999999</v>
      </c>
      <c r="K463" s="699">
        <v>0.10009999999999999</v>
      </c>
      <c r="L463" s="697">
        <v>15</v>
      </c>
    </row>
    <row r="464" spans="1:12">
      <c r="A464" s="695">
        <v>43026</v>
      </c>
      <c r="B464" s="696" t="s">
        <v>2016</v>
      </c>
      <c r="C464" s="697">
        <v>28</v>
      </c>
      <c r="D464" s="695">
        <v>43054</v>
      </c>
      <c r="E464" s="698">
        <v>100</v>
      </c>
      <c r="F464" s="698">
        <v>422.48970000000003</v>
      </c>
      <c r="G464" s="698">
        <v>100</v>
      </c>
      <c r="H464" s="698">
        <v>0</v>
      </c>
      <c r="I464" s="699">
        <v>0.10009999999999999</v>
      </c>
      <c r="J464" s="699">
        <v>0.10009999999999999</v>
      </c>
      <c r="K464" s="699">
        <v>0.10009999999999999</v>
      </c>
      <c r="L464" s="697">
        <v>15</v>
      </c>
    </row>
    <row r="465" spans="1:12">
      <c r="A465" s="695">
        <v>43033</v>
      </c>
      <c r="B465" s="696" t="s">
        <v>2017</v>
      </c>
      <c r="C465" s="697">
        <v>28</v>
      </c>
      <c r="D465" s="695">
        <v>43061</v>
      </c>
      <c r="E465" s="698">
        <v>200</v>
      </c>
      <c r="F465" s="698">
        <v>540.47249999999997</v>
      </c>
      <c r="G465" s="698">
        <v>200</v>
      </c>
      <c r="H465" s="698">
        <v>0</v>
      </c>
      <c r="I465" s="699">
        <v>0.10009999999999999</v>
      </c>
      <c r="J465" s="699">
        <v>0.10009999999999999</v>
      </c>
      <c r="K465" s="699">
        <v>0.10009999999999999</v>
      </c>
      <c r="L465" s="697">
        <v>16</v>
      </c>
    </row>
    <row r="466" spans="1:12">
      <c r="A466" s="695">
        <v>43040</v>
      </c>
      <c r="B466" s="696" t="s">
        <v>2024</v>
      </c>
      <c r="C466" s="697">
        <v>28</v>
      </c>
      <c r="D466" s="695">
        <v>43068</v>
      </c>
      <c r="E466" s="698">
        <v>250</v>
      </c>
      <c r="F466" s="698">
        <v>539.56550000000004</v>
      </c>
      <c r="G466" s="698">
        <v>250</v>
      </c>
      <c r="H466" s="698">
        <v>0</v>
      </c>
      <c r="I466" s="699">
        <v>0.10009999999999999</v>
      </c>
      <c r="J466" s="699">
        <v>0.10009999999999999</v>
      </c>
      <c r="K466" s="699">
        <v>0.10009999999999999</v>
      </c>
      <c r="L466" s="697">
        <v>15</v>
      </c>
    </row>
    <row r="467" spans="1:12">
      <c r="A467" s="695">
        <v>43047</v>
      </c>
      <c r="B467" s="696" t="s">
        <v>2025</v>
      </c>
      <c r="C467" s="697">
        <v>28</v>
      </c>
      <c r="D467" s="695">
        <v>43075</v>
      </c>
      <c r="E467" s="698">
        <v>150</v>
      </c>
      <c r="F467" s="698">
        <v>544.50350000000003</v>
      </c>
      <c r="G467" s="698">
        <v>150</v>
      </c>
      <c r="H467" s="698">
        <v>0</v>
      </c>
      <c r="I467" s="699">
        <v>0.10009999999999999</v>
      </c>
      <c r="J467" s="699">
        <v>0.10009999999999999</v>
      </c>
      <c r="K467" s="699">
        <v>0.10009999999999999</v>
      </c>
      <c r="L467" s="697">
        <v>16</v>
      </c>
    </row>
    <row r="468" spans="1:12">
      <c r="A468" s="695">
        <v>43054</v>
      </c>
      <c r="B468" s="696" t="s">
        <v>2026</v>
      </c>
      <c r="C468" s="697">
        <v>28</v>
      </c>
      <c r="D468" s="695">
        <v>43082</v>
      </c>
      <c r="E468" s="698">
        <v>100</v>
      </c>
      <c r="F468" s="698">
        <v>499.39429999999999</v>
      </c>
      <c r="G468" s="698">
        <v>100</v>
      </c>
      <c r="H468" s="698">
        <v>0</v>
      </c>
      <c r="I468" s="699">
        <v>0.10009999999999999</v>
      </c>
      <c r="J468" s="699">
        <v>0.10009999999999999</v>
      </c>
      <c r="K468" s="699">
        <v>0.10009999999999999</v>
      </c>
      <c r="L468" s="700">
        <v>14</v>
      </c>
    </row>
    <row r="469" spans="1:12">
      <c r="A469" s="695">
        <v>43061</v>
      </c>
      <c r="B469" s="696" t="s">
        <v>2027</v>
      </c>
      <c r="C469" s="697">
        <v>28</v>
      </c>
      <c r="D469" s="695">
        <v>43089</v>
      </c>
      <c r="E469" s="698">
        <v>200</v>
      </c>
      <c r="F469" s="698">
        <v>763.66089999999997</v>
      </c>
      <c r="G469" s="698">
        <v>200</v>
      </c>
      <c r="H469" s="698">
        <v>0</v>
      </c>
      <c r="I469" s="699">
        <v>0.10009999999999999</v>
      </c>
      <c r="J469" s="699">
        <v>0.10009999999999999</v>
      </c>
      <c r="K469" s="699">
        <v>0.10009999999999999</v>
      </c>
      <c r="L469" s="697">
        <v>17</v>
      </c>
    </row>
    <row r="470" spans="1:12">
      <c r="A470" s="695">
        <v>43068</v>
      </c>
      <c r="B470" s="696" t="s">
        <v>2028</v>
      </c>
      <c r="C470" s="697">
        <v>28</v>
      </c>
      <c r="D470" s="695">
        <v>43096</v>
      </c>
      <c r="E470" s="698">
        <v>350</v>
      </c>
      <c r="F470" s="698">
        <v>701.22460000000001</v>
      </c>
      <c r="G470" s="698">
        <v>350</v>
      </c>
      <c r="H470" s="698">
        <v>0</v>
      </c>
      <c r="I470" s="699">
        <v>0.10009999999999999</v>
      </c>
      <c r="J470" s="699">
        <v>0.10009999999999999</v>
      </c>
      <c r="K470" s="699">
        <v>0.10009999999999999</v>
      </c>
      <c r="L470" s="697">
        <v>18</v>
      </c>
    </row>
    <row r="471" spans="1:12">
      <c r="A471" s="695">
        <v>43075</v>
      </c>
      <c r="B471" s="696" t="s">
        <v>2034</v>
      </c>
      <c r="C471" s="697">
        <v>29</v>
      </c>
      <c r="D471" s="695">
        <v>43104</v>
      </c>
      <c r="E471" s="698">
        <v>250</v>
      </c>
      <c r="F471" s="698">
        <v>464.83139999999997</v>
      </c>
      <c r="G471" s="698">
        <v>250</v>
      </c>
      <c r="H471" s="698">
        <v>0</v>
      </c>
      <c r="I471" s="699">
        <v>0.10009999999999999</v>
      </c>
      <c r="J471" s="699">
        <v>0.10009999999999999</v>
      </c>
      <c r="K471" s="699">
        <v>0.10009999999999999</v>
      </c>
      <c r="L471" s="697">
        <v>16</v>
      </c>
    </row>
    <row r="472" spans="1:12">
      <c r="A472" s="695">
        <v>43082</v>
      </c>
      <c r="B472" s="696" t="s">
        <v>2035</v>
      </c>
      <c r="C472" s="697">
        <v>28</v>
      </c>
      <c r="D472" s="695">
        <v>43110</v>
      </c>
      <c r="E472" s="698">
        <v>300</v>
      </c>
      <c r="F472" s="698">
        <v>147.35759999999999</v>
      </c>
      <c r="G472" s="698">
        <v>147.35759999999999</v>
      </c>
      <c r="H472" s="698">
        <v>-20.084900000000001</v>
      </c>
      <c r="I472" s="699">
        <v>0.10009999999999999</v>
      </c>
      <c r="J472" s="699">
        <v>0.10009999999999999</v>
      </c>
      <c r="K472" s="699">
        <v>0.10009999999999999</v>
      </c>
      <c r="L472" s="697">
        <v>11</v>
      </c>
    </row>
    <row r="473" spans="1:12">
      <c r="A473" s="695">
        <v>43089</v>
      </c>
      <c r="B473" s="696" t="s">
        <v>2036</v>
      </c>
      <c r="C473" s="697">
        <v>28</v>
      </c>
      <c r="D473" s="695">
        <v>43117</v>
      </c>
      <c r="E473" s="698">
        <v>200</v>
      </c>
      <c r="F473" s="698">
        <v>206.83330000000001</v>
      </c>
      <c r="G473" s="698">
        <v>200</v>
      </c>
      <c r="H473" s="698">
        <v>0</v>
      </c>
      <c r="I473" s="699">
        <v>0.10009999999999999</v>
      </c>
      <c r="J473" s="699">
        <v>0.149946</v>
      </c>
      <c r="K473" s="699">
        <v>0.124061</v>
      </c>
      <c r="L473" s="697">
        <v>10</v>
      </c>
    </row>
    <row r="474" spans="1:12">
      <c r="A474" s="695">
        <v>43096</v>
      </c>
      <c r="B474" s="696" t="s">
        <v>2037</v>
      </c>
      <c r="C474" s="697">
        <v>28</v>
      </c>
      <c r="D474" s="695">
        <v>43124</v>
      </c>
      <c r="E474" s="698">
        <v>350</v>
      </c>
      <c r="F474" s="698">
        <v>348.33879999999999</v>
      </c>
      <c r="G474" s="698">
        <v>348.33879999999999</v>
      </c>
      <c r="H474" s="698">
        <v>0</v>
      </c>
      <c r="I474" s="699">
        <v>0.10009999999999999</v>
      </c>
      <c r="J474" s="699">
        <v>0.14990000000000001</v>
      </c>
      <c r="K474" s="699">
        <v>0.12609999999999999</v>
      </c>
      <c r="L474" s="700">
        <v>14</v>
      </c>
    </row>
    <row r="475" spans="1:12">
      <c r="A475" s="897">
        <v>2018</v>
      </c>
      <c r="B475" s="696"/>
      <c r="C475" s="697"/>
      <c r="D475" s="695"/>
      <c r="E475" s="698"/>
      <c r="F475" s="698"/>
      <c r="G475" s="698"/>
      <c r="H475" s="698"/>
      <c r="I475" s="699"/>
      <c r="J475" s="699"/>
      <c r="K475" s="699"/>
      <c r="L475" s="700"/>
    </row>
    <row r="476" spans="1:12">
      <c r="A476" s="695">
        <v>43104</v>
      </c>
      <c r="B476" s="696" t="s">
        <v>2041</v>
      </c>
      <c r="C476" s="697">
        <v>27</v>
      </c>
      <c r="D476" s="695">
        <v>43131</v>
      </c>
      <c r="E476" s="698">
        <v>250</v>
      </c>
      <c r="F476" s="698">
        <v>80.062299999999993</v>
      </c>
      <c r="G476" s="698">
        <v>80.062299999999993</v>
      </c>
      <c r="H476" s="698">
        <v>0</v>
      </c>
      <c r="I476" s="699">
        <v>0.10536124695995054</v>
      </c>
      <c r="J476" s="699">
        <v>0.11154774471780478</v>
      </c>
      <c r="K476" s="699">
        <v>0.10899901952106085</v>
      </c>
      <c r="L476" s="697">
        <v>7</v>
      </c>
    </row>
    <row r="477" spans="1:12">
      <c r="A477" s="695">
        <v>43110</v>
      </c>
      <c r="B477" s="696" t="s">
        <v>2042</v>
      </c>
      <c r="C477" s="697">
        <v>28</v>
      </c>
      <c r="D477" s="695">
        <v>43138</v>
      </c>
      <c r="E477" s="698">
        <v>150</v>
      </c>
      <c r="F477" s="698">
        <v>150.68620000000001</v>
      </c>
      <c r="G477" s="698">
        <v>150</v>
      </c>
      <c r="H477" s="698">
        <v>0</v>
      </c>
      <c r="I477" s="699">
        <v>0.13009999999999999</v>
      </c>
      <c r="J477" s="699">
        <v>0.14460000000000001</v>
      </c>
      <c r="K477" s="699">
        <v>0.1401</v>
      </c>
      <c r="L477" s="700">
        <v>15</v>
      </c>
    </row>
    <row r="478" spans="1:12">
      <c r="A478" s="695">
        <v>43117</v>
      </c>
      <c r="B478" s="696" t="s">
        <v>2043</v>
      </c>
      <c r="C478" s="697">
        <v>28</v>
      </c>
      <c r="D478" s="695">
        <v>43145</v>
      </c>
      <c r="E478" s="698">
        <v>250</v>
      </c>
      <c r="F478" s="698">
        <v>290.96170000000001</v>
      </c>
      <c r="G478" s="698">
        <v>250</v>
      </c>
      <c r="H478" s="698">
        <v>0</v>
      </c>
      <c r="I478" s="699">
        <v>0.12</v>
      </c>
      <c r="J478" s="699">
        <v>0.14990000000000001</v>
      </c>
      <c r="K478" s="699">
        <v>0.14660000000000001</v>
      </c>
      <c r="L478" s="697">
        <v>13</v>
      </c>
    </row>
    <row r="479" spans="1:12">
      <c r="A479" s="695">
        <v>43124</v>
      </c>
      <c r="B479" s="696" t="s">
        <v>2044</v>
      </c>
      <c r="C479" s="697">
        <v>28</v>
      </c>
      <c r="D479" s="695">
        <v>43152</v>
      </c>
      <c r="E479" s="698">
        <v>250</v>
      </c>
      <c r="F479" s="698">
        <v>381.62139999999999</v>
      </c>
      <c r="G479" s="698">
        <v>250</v>
      </c>
      <c r="H479" s="698">
        <v>0</v>
      </c>
      <c r="I479" s="699">
        <v>0.1391</v>
      </c>
      <c r="J479" s="699">
        <v>0.14499999999999999</v>
      </c>
      <c r="K479" s="699">
        <v>0.1444</v>
      </c>
      <c r="L479" s="700">
        <v>14</v>
      </c>
    </row>
    <row r="480" spans="1:12">
      <c r="A480" s="695">
        <v>43131</v>
      </c>
      <c r="B480" s="696" t="s">
        <v>2045</v>
      </c>
      <c r="C480" s="697">
        <v>28</v>
      </c>
      <c r="D480" s="695">
        <v>43159</v>
      </c>
      <c r="E480" s="698">
        <v>250</v>
      </c>
      <c r="F480" s="698">
        <v>416.7901</v>
      </c>
      <c r="G480" s="698">
        <v>250</v>
      </c>
      <c r="H480" s="698">
        <v>0</v>
      </c>
      <c r="I480" s="699">
        <v>0.12989999999999999</v>
      </c>
      <c r="J480" s="699">
        <v>0.14180000000000001</v>
      </c>
      <c r="K480" s="699">
        <v>0.1401</v>
      </c>
      <c r="L480" s="697">
        <v>15</v>
      </c>
    </row>
    <row r="481" spans="1:12">
      <c r="A481" s="695">
        <v>43138</v>
      </c>
      <c r="B481" s="696" t="s">
        <v>2054</v>
      </c>
      <c r="C481" s="697">
        <v>28</v>
      </c>
      <c r="D481" s="695">
        <v>43166</v>
      </c>
      <c r="E481" s="698">
        <v>150</v>
      </c>
      <c r="F481" s="698">
        <v>414.0215</v>
      </c>
      <c r="G481" s="698">
        <v>150</v>
      </c>
      <c r="H481" s="698">
        <v>0</v>
      </c>
      <c r="I481" s="699">
        <v>0.10009999999999999</v>
      </c>
      <c r="J481" s="699">
        <v>0.10009999999999999</v>
      </c>
      <c r="K481" s="699">
        <v>0.10009999999999999</v>
      </c>
      <c r="L481" s="697">
        <v>17</v>
      </c>
    </row>
    <row r="482" spans="1:12">
      <c r="A482" s="695">
        <v>43145</v>
      </c>
      <c r="B482" s="696" t="s">
        <v>2055</v>
      </c>
      <c r="C482" s="697">
        <v>28</v>
      </c>
      <c r="D482" s="695">
        <v>43173</v>
      </c>
      <c r="E482" s="698">
        <v>200</v>
      </c>
      <c r="F482" s="698">
        <v>704.23979999999995</v>
      </c>
      <c r="G482" s="698">
        <v>200</v>
      </c>
      <c r="H482" s="698">
        <v>0</v>
      </c>
      <c r="I482" s="699">
        <v>0.10009999999999999</v>
      </c>
      <c r="J482" s="699">
        <v>0.10009999999999999</v>
      </c>
      <c r="K482" s="699">
        <v>0.10009999999999999</v>
      </c>
      <c r="L482" s="697">
        <v>18</v>
      </c>
    </row>
    <row r="483" spans="1:12">
      <c r="A483" s="695">
        <v>43152</v>
      </c>
      <c r="B483" s="696" t="s">
        <v>2056</v>
      </c>
      <c r="C483" s="697">
        <v>28</v>
      </c>
      <c r="D483" s="695">
        <v>43180</v>
      </c>
      <c r="E483" s="698">
        <v>250</v>
      </c>
      <c r="F483" s="698">
        <v>819.26819999999998</v>
      </c>
      <c r="G483" s="698">
        <v>250</v>
      </c>
      <c r="H483" s="698">
        <v>0</v>
      </c>
      <c r="I483" s="699">
        <v>8.0100000000000005E-2</v>
      </c>
      <c r="J483" s="699">
        <v>8.0100000000000005E-2</v>
      </c>
      <c r="K483" s="699">
        <v>8.0100000000000005E-2</v>
      </c>
      <c r="L483" s="697">
        <v>19</v>
      </c>
    </row>
    <row r="484" spans="1:12">
      <c r="A484" s="695">
        <v>43159</v>
      </c>
      <c r="B484" s="696" t="s">
        <v>2057</v>
      </c>
      <c r="C484" s="697">
        <v>28</v>
      </c>
      <c r="D484" s="695">
        <v>43187</v>
      </c>
      <c r="E484" s="698">
        <v>250</v>
      </c>
      <c r="F484" s="698">
        <v>942.3741</v>
      </c>
      <c r="G484" s="698">
        <v>250</v>
      </c>
      <c r="H484" s="698">
        <v>0</v>
      </c>
      <c r="I484" s="699">
        <v>8.0100000000000005E-2</v>
      </c>
      <c r="J484" s="699">
        <v>8.0100000000000005E-2</v>
      </c>
      <c r="K484" s="699">
        <v>8.0100000000000005E-2</v>
      </c>
      <c r="L484" s="697">
        <v>20</v>
      </c>
    </row>
    <row r="485" spans="1:12">
      <c r="A485" s="695">
        <v>43166</v>
      </c>
      <c r="B485" s="696" t="s">
        <v>2060</v>
      </c>
      <c r="C485" s="697">
        <v>28</v>
      </c>
      <c r="D485" s="695">
        <v>43194</v>
      </c>
      <c r="E485" s="698">
        <v>150</v>
      </c>
      <c r="F485" s="698">
        <v>830.86469999999997</v>
      </c>
      <c r="G485" s="698">
        <v>150</v>
      </c>
      <c r="H485" s="698">
        <v>0</v>
      </c>
      <c r="I485" s="699">
        <v>8.0100000000000005E-2</v>
      </c>
      <c r="J485" s="699">
        <v>8.0100000000000005E-2</v>
      </c>
      <c r="K485" s="699">
        <v>8.0100000000000005E-2</v>
      </c>
      <c r="L485" s="697">
        <v>20</v>
      </c>
    </row>
    <row r="486" spans="1:12">
      <c r="A486" s="695">
        <v>43173</v>
      </c>
      <c r="B486" s="696" t="s">
        <v>2061</v>
      </c>
      <c r="C486" s="697">
        <v>28</v>
      </c>
      <c r="D486" s="695">
        <v>43201</v>
      </c>
      <c r="E486" s="698">
        <v>200</v>
      </c>
      <c r="F486" s="698">
        <v>1039.2405000000001</v>
      </c>
      <c r="G486" s="698">
        <v>200</v>
      </c>
      <c r="H486" s="698">
        <v>0</v>
      </c>
      <c r="I486" s="699">
        <v>8.0100000000000005E-2</v>
      </c>
      <c r="J486" s="699">
        <v>8.0100000000000005E-2</v>
      </c>
      <c r="K486" s="699">
        <v>8.0100000000000005E-2</v>
      </c>
      <c r="L486" s="697">
        <v>22</v>
      </c>
    </row>
    <row r="487" spans="1:12">
      <c r="A487" s="695">
        <v>43187</v>
      </c>
      <c r="B487" s="696" t="s">
        <v>2062</v>
      </c>
      <c r="C487" s="697">
        <v>28</v>
      </c>
      <c r="D487" s="695">
        <v>43215</v>
      </c>
      <c r="E487" s="698">
        <v>250</v>
      </c>
      <c r="F487" s="698">
        <v>822.428</v>
      </c>
      <c r="G487" s="698">
        <v>250</v>
      </c>
      <c r="H487" s="698">
        <v>0</v>
      </c>
      <c r="I487" s="699">
        <v>8.0100000000000005E-2</v>
      </c>
      <c r="J487" s="699">
        <v>8.0100000000000005E-2</v>
      </c>
      <c r="K487" s="699">
        <v>8.0100000000000005E-2</v>
      </c>
      <c r="L487" s="697">
        <v>18</v>
      </c>
    </row>
    <row r="488" spans="1:12">
      <c r="A488" s="695">
        <v>43194</v>
      </c>
      <c r="B488" s="696" t="s">
        <v>2066</v>
      </c>
      <c r="C488" s="697">
        <v>28</v>
      </c>
      <c r="D488" s="695">
        <v>43222</v>
      </c>
      <c r="E488" s="698">
        <v>150</v>
      </c>
      <c r="F488" s="698">
        <v>788.035347</v>
      </c>
      <c r="G488" s="698">
        <v>150</v>
      </c>
      <c r="H488" s="698">
        <v>0</v>
      </c>
      <c r="I488" s="699">
        <v>8.0100000000000005E-2</v>
      </c>
      <c r="J488" s="699">
        <v>8.0100000000000005E-2</v>
      </c>
      <c r="K488" s="699">
        <v>8.0100000000000005E-2</v>
      </c>
      <c r="L488" s="697">
        <v>18</v>
      </c>
    </row>
    <row r="489" spans="1:12">
      <c r="A489" s="695">
        <v>43202</v>
      </c>
      <c r="B489" s="696" t="s">
        <v>2067</v>
      </c>
      <c r="C489" s="697">
        <v>28</v>
      </c>
      <c r="D489" s="695">
        <v>43230</v>
      </c>
      <c r="E489" s="698">
        <v>200</v>
      </c>
      <c r="F489" s="698">
        <v>591.72659999999996</v>
      </c>
      <c r="G489" s="698">
        <v>200</v>
      </c>
      <c r="H489" s="698">
        <v>0</v>
      </c>
      <c r="I489" s="699">
        <v>8.0100000000000005E-2</v>
      </c>
      <c r="J489" s="699">
        <v>8.0100000000000005E-2</v>
      </c>
      <c r="K489" s="699">
        <v>8.0100000000000005E-2</v>
      </c>
      <c r="L489" s="697">
        <v>13</v>
      </c>
    </row>
    <row r="490" spans="1:12">
      <c r="A490" s="695">
        <v>43208</v>
      </c>
      <c r="B490" s="696" t="s">
        <v>2068</v>
      </c>
      <c r="C490" s="697">
        <v>28</v>
      </c>
      <c r="D490" s="695">
        <v>43236</v>
      </c>
      <c r="E490" s="698">
        <v>250</v>
      </c>
      <c r="F490" s="698">
        <v>718.9479</v>
      </c>
      <c r="G490" s="698">
        <v>250</v>
      </c>
      <c r="H490" s="698">
        <v>0</v>
      </c>
      <c r="I490" s="699">
        <v>8.0100000000000005E-2</v>
      </c>
      <c r="J490" s="699">
        <v>8.0100000000000005E-2</v>
      </c>
      <c r="K490" s="699">
        <v>8.0100000000000005E-2</v>
      </c>
      <c r="L490" s="697">
        <v>17</v>
      </c>
    </row>
    <row r="491" spans="1:12">
      <c r="A491" s="695">
        <v>43215</v>
      </c>
      <c r="B491" s="696" t="s">
        <v>2069</v>
      </c>
      <c r="C491" s="697">
        <v>28</v>
      </c>
      <c r="D491" s="695">
        <v>43243</v>
      </c>
      <c r="E491" s="698">
        <v>300</v>
      </c>
      <c r="F491" s="698">
        <v>681.86839999999995</v>
      </c>
      <c r="G491" s="698">
        <v>300</v>
      </c>
      <c r="H491" s="698">
        <v>0</v>
      </c>
      <c r="I491" s="699">
        <v>8.0100000000000005E-2</v>
      </c>
      <c r="J491" s="699">
        <v>8.0100000000000005E-2</v>
      </c>
      <c r="K491" s="699">
        <v>8.0100000000000005E-2</v>
      </c>
      <c r="L491" s="697">
        <v>13</v>
      </c>
    </row>
    <row r="492" spans="1:12">
      <c r="A492" s="695">
        <v>43222</v>
      </c>
      <c r="B492" s="696" t="s">
        <v>2073</v>
      </c>
      <c r="C492" s="697">
        <v>28</v>
      </c>
      <c r="D492" s="695">
        <v>43250</v>
      </c>
      <c r="E492" s="698">
        <v>250</v>
      </c>
      <c r="F492" s="698">
        <v>630.97239999999999</v>
      </c>
      <c r="G492" s="698">
        <v>250</v>
      </c>
      <c r="H492" s="698">
        <v>0</v>
      </c>
      <c r="I492" s="699">
        <v>8.0100000000000005E-2</v>
      </c>
      <c r="J492" s="699">
        <v>8.0100000000000005E-2</v>
      </c>
      <c r="K492" s="699">
        <v>8.0100000000000005E-2</v>
      </c>
      <c r="L492" s="697">
        <v>14</v>
      </c>
    </row>
    <row r="493" spans="1:12">
      <c r="A493" s="695">
        <v>43230</v>
      </c>
      <c r="B493" s="696" t="s">
        <v>2074</v>
      </c>
      <c r="C493" s="697">
        <v>27</v>
      </c>
      <c r="D493" s="695">
        <v>43257</v>
      </c>
      <c r="E493" s="698">
        <v>200</v>
      </c>
      <c r="F493" s="698">
        <v>527.66869999999994</v>
      </c>
      <c r="G493" s="698">
        <v>200</v>
      </c>
      <c r="H493" s="698">
        <v>0</v>
      </c>
      <c r="I493" s="699">
        <v>8.0100000000000005E-2</v>
      </c>
      <c r="J493" s="699">
        <v>8.0100000000000005E-2</v>
      </c>
      <c r="K493" s="699">
        <v>8.0100000000000005E-2</v>
      </c>
      <c r="L493" s="697">
        <v>13</v>
      </c>
    </row>
    <row r="494" spans="1:12">
      <c r="A494" s="695">
        <v>43236</v>
      </c>
      <c r="B494" s="696" t="s">
        <v>2075</v>
      </c>
      <c r="C494" s="697">
        <v>28</v>
      </c>
      <c r="D494" s="695">
        <v>43264</v>
      </c>
      <c r="E494" s="698">
        <v>250</v>
      </c>
      <c r="F494" s="698">
        <v>626.17340000000002</v>
      </c>
      <c r="G494" s="698">
        <v>250</v>
      </c>
      <c r="H494" s="698">
        <v>0</v>
      </c>
      <c r="I494" s="699">
        <v>8.0100000000000005E-2</v>
      </c>
      <c r="J494" s="699">
        <v>8.0100000000000005E-2</v>
      </c>
      <c r="K494" s="699">
        <v>8.0100000000000005E-2</v>
      </c>
      <c r="L494" s="697">
        <v>15</v>
      </c>
    </row>
    <row r="495" spans="1:12">
      <c r="A495" s="695">
        <v>43243</v>
      </c>
      <c r="B495" s="696" t="s">
        <v>2076</v>
      </c>
      <c r="C495" s="697">
        <v>28</v>
      </c>
      <c r="D495" s="695">
        <v>43271</v>
      </c>
      <c r="E495" s="698">
        <v>300</v>
      </c>
      <c r="F495" s="698">
        <v>535.66340000000002</v>
      </c>
      <c r="G495" s="698">
        <v>300</v>
      </c>
      <c r="H495" s="698">
        <v>0</v>
      </c>
      <c r="I495" s="699">
        <v>8.0100000000000005E-2</v>
      </c>
      <c r="J495" s="699">
        <v>8.0100000000000005E-2</v>
      </c>
      <c r="K495" s="699">
        <v>8.0100000000000005E-2</v>
      </c>
      <c r="L495" s="697">
        <v>17</v>
      </c>
    </row>
    <row r="496" spans="1:12">
      <c r="A496" s="695">
        <v>43250</v>
      </c>
      <c r="B496" s="696" t="s">
        <v>2077</v>
      </c>
      <c r="C496" s="697">
        <v>28</v>
      </c>
      <c r="D496" s="695">
        <v>43278</v>
      </c>
      <c r="E496" s="698">
        <v>250</v>
      </c>
      <c r="F496" s="698">
        <v>621.38520000000005</v>
      </c>
      <c r="G496" s="698">
        <v>250</v>
      </c>
      <c r="H496" s="698">
        <v>0</v>
      </c>
      <c r="I496" s="699">
        <v>8.0100000000000005E-2</v>
      </c>
      <c r="J496" s="699">
        <v>8.0100000000000005E-2</v>
      </c>
      <c r="K496" s="699">
        <v>8.0100000000000005E-2</v>
      </c>
      <c r="L496" s="697">
        <v>15</v>
      </c>
    </row>
    <row r="497" spans="1:12">
      <c r="A497" s="695">
        <v>43257</v>
      </c>
      <c r="B497" s="696" t="s">
        <v>2082</v>
      </c>
      <c r="C497" s="697">
        <v>28</v>
      </c>
      <c r="D497" s="695">
        <v>43285</v>
      </c>
      <c r="E497" s="698">
        <v>200</v>
      </c>
      <c r="F497" s="698">
        <v>531.09789999999998</v>
      </c>
      <c r="G497" s="698">
        <v>200</v>
      </c>
      <c r="H497" s="698">
        <v>0</v>
      </c>
      <c r="I497" s="699">
        <v>8.0100000000000005E-2</v>
      </c>
      <c r="J497" s="699">
        <v>8.0100000000000005E-2</v>
      </c>
      <c r="K497" s="699">
        <v>8.0100000000000005E-2</v>
      </c>
      <c r="L497" s="697">
        <v>13</v>
      </c>
    </row>
    <row r="498" spans="1:12">
      <c r="A498" s="695">
        <v>43264</v>
      </c>
      <c r="B498" s="696" t="s">
        <v>2083</v>
      </c>
      <c r="C498" s="697">
        <v>28</v>
      </c>
      <c r="D498" s="695">
        <v>43292</v>
      </c>
      <c r="E498" s="698">
        <v>250</v>
      </c>
      <c r="F498" s="698">
        <v>564.99490000000003</v>
      </c>
      <c r="G498" s="698">
        <v>250</v>
      </c>
      <c r="H498" s="698">
        <v>0</v>
      </c>
      <c r="I498" s="699">
        <v>8.0100000000000005E-2</v>
      </c>
      <c r="J498" s="699">
        <v>8.0100000000000005E-2</v>
      </c>
      <c r="K498" s="699">
        <v>8.0100000000000005E-2</v>
      </c>
      <c r="L498" s="697">
        <v>15</v>
      </c>
    </row>
    <row r="499" spans="1:12">
      <c r="A499" s="695">
        <v>43271</v>
      </c>
      <c r="B499" s="696" t="s">
        <v>2084</v>
      </c>
      <c r="C499" s="697">
        <v>28</v>
      </c>
      <c r="D499" s="695">
        <v>43299</v>
      </c>
      <c r="E499" s="698">
        <v>300</v>
      </c>
      <c r="F499" s="698">
        <v>431.36799999999999</v>
      </c>
      <c r="G499" s="698">
        <v>300</v>
      </c>
      <c r="H499" s="698">
        <v>0</v>
      </c>
      <c r="I499" s="699">
        <v>8.0100000000000005E-2</v>
      </c>
      <c r="J499" s="699">
        <v>8.0100000000000005E-2</v>
      </c>
      <c r="K499" s="699">
        <v>8.0100000000000005E-2</v>
      </c>
      <c r="L499" s="697">
        <v>13</v>
      </c>
    </row>
    <row r="500" spans="1:12">
      <c r="A500" s="695">
        <v>43278</v>
      </c>
      <c r="B500" s="696" t="s">
        <v>2085</v>
      </c>
      <c r="C500" s="697">
        <v>28</v>
      </c>
      <c r="D500" s="695">
        <v>43306</v>
      </c>
      <c r="E500" s="698">
        <v>250</v>
      </c>
      <c r="F500" s="698">
        <v>603.52750000000003</v>
      </c>
      <c r="G500" s="698">
        <v>250</v>
      </c>
      <c r="H500" s="698">
        <v>0</v>
      </c>
      <c r="I500" s="699">
        <v>8.0100000000000005E-2</v>
      </c>
      <c r="J500" s="699">
        <v>8.0100000000000005E-2</v>
      </c>
      <c r="K500" s="699">
        <v>8.0100000000000005E-2</v>
      </c>
      <c r="L500" s="697">
        <v>15</v>
      </c>
    </row>
    <row r="501" spans="1:12">
      <c r="A501" s="695">
        <v>43285</v>
      </c>
      <c r="B501" s="696" t="s">
        <v>2090</v>
      </c>
      <c r="C501" s="697">
        <v>28</v>
      </c>
      <c r="D501" s="695">
        <v>43313</v>
      </c>
      <c r="E501" s="698">
        <v>200</v>
      </c>
      <c r="F501" s="698">
        <v>578.62940000000003</v>
      </c>
      <c r="G501" s="698">
        <v>200</v>
      </c>
      <c r="H501" s="698">
        <v>0</v>
      </c>
      <c r="I501" s="699">
        <v>8.0100000000000005E-2</v>
      </c>
      <c r="J501" s="699">
        <v>8.0100000000000005E-2</v>
      </c>
      <c r="K501" s="699">
        <v>8.0100000000000005E-2</v>
      </c>
      <c r="L501" s="697">
        <v>16</v>
      </c>
    </row>
    <row r="502" spans="1:12">
      <c r="A502" s="695">
        <v>43292</v>
      </c>
      <c r="B502" s="696" t="s">
        <v>2091</v>
      </c>
      <c r="C502" s="697">
        <v>28</v>
      </c>
      <c r="D502" s="695">
        <v>43320</v>
      </c>
      <c r="E502" s="698">
        <v>250</v>
      </c>
      <c r="F502" s="698">
        <v>658.68499999999995</v>
      </c>
      <c r="G502" s="698">
        <v>250</v>
      </c>
      <c r="H502" s="698">
        <v>0</v>
      </c>
      <c r="I502" s="699">
        <v>8.0100000000000005E-2</v>
      </c>
      <c r="J502" s="699">
        <v>8.0100000000000005E-2</v>
      </c>
      <c r="K502" s="699">
        <v>8.0100000000000005E-2</v>
      </c>
      <c r="L502" s="697">
        <v>16</v>
      </c>
    </row>
    <row r="503" spans="1:12">
      <c r="A503" s="695">
        <v>43299</v>
      </c>
      <c r="B503" s="696" t="s">
        <v>2625</v>
      </c>
      <c r="C503" s="697">
        <v>28</v>
      </c>
      <c r="D503" s="695">
        <v>43327</v>
      </c>
      <c r="E503" s="698">
        <v>300</v>
      </c>
      <c r="F503" s="698">
        <v>720.4325</v>
      </c>
      <c r="G503" s="698">
        <v>300</v>
      </c>
      <c r="H503" s="698">
        <v>0</v>
      </c>
      <c r="I503" s="699">
        <v>8.0100000000000005E-2</v>
      </c>
      <c r="J503" s="699">
        <v>8.0100000000000005E-2</v>
      </c>
      <c r="K503" s="699">
        <v>8.0100000000000005E-2</v>
      </c>
      <c r="L503" s="697">
        <v>14</v>
      </c>
    </row>
    <row r="504" spans="1:12">
      <c r="A504" s="695">
        <v>43306</v>
      </c>
      <c r="B504" s="696" t="s">
        <v>2092</v>
      </c>
      <c r="C504" s="697">
        <v>28</v>
      </c>
      <c r="D504" s="695">
        <v>43334</v>
      </c>
      <c r="E504" s="698">
        <v>250</v>
      </c>
      <c r="F504" s="698">
        <v>466.26600000000002</v>
      </c>
      <c r="G504" s="698">
        <v>250</v>
      </c>
      <c r="H504" s="698">
        <v>0</v>
      </c>
      <c r="I504" s="699">
        <v>8.0100000000000005E-2</v>
      </c>
      <c r="J504" s="699">
        <v>8.0100000000000005E-2</v>
      </c>
      <c r="K504" s="699">
        <v>8.0100000000000005E-2</v>
      </c>
      <c r="L504" s="697">
        <v>14</v>
      </c>
    </row>
    <row r="505" spans="1:12">
      <c r="A505" s="695">
        <v>43313</v>
      </c>
      <c r="B505" s="696" t="s">
        <v>2097</v>
      </c>
      <c r="C505" s="697">
        <v>28</v>
      </c>
      <c r="D505" s="695">
        <v>43341</v>
      </c>
      <c r="E505" s="698">
        <v>200</v>
      </c>
      <c r="F505" s="698">
        <v>583.85739999999998</v>
      </c>
      <c r="G505" s="698">
        <v>200</v>
      </c>
      <c r="H505" s="698">
        <v>0</v>
      </c>
      <c r="I505" s="699">
        <v>8.0100000000000005E-2</v>
      </c>
      <c r="J505" s="699">
        <v>8.0100000000000005E-2</v>
      </c>
      <c r="K505" s="699">
        <v>8.0100000000000005E-2</v>
      </c>
      <c r="L505" s="697">
        <v>16</v>
      </c>
    </row>
    <row r="506" spans="1:12">
      <c r="A506" s="695">
        <v>43320</v>
      </c>
      <c r="B506" s="696" t="s">
        <v>2098</v>
      </c>
      <c r="C506" s="697">
        <v>28</v>
      </c>
      <c r="D506" s="695">
        <v>43348</v>
      </c>
      <c r="E506" s="698">
        <v>300</v>
      </c>
      <c r="F506" s="698">
        <v>704.69780000000003</v>
      </c>
      <c r="G506" s="698">
        <v>300</v>
      </c>
      <c r="H506" s="698">
        <v>0</v>
      </c>
      <c r="I506" s="699">
        <v>8.0100000000000005E-2</v>
      </c>
      <c r="J506" s="699">
        <v>8.0100000000000005E-2</v>
      </c>
      <c r="K506" s="699">
        <v>8.0100000000000005E-2</v>
      </c>
      <c r="L506" s="697">
        <v>15</v>
      </c>
    </row>
    <row r="507" spans="1:12">
      <c r="A507" s="695">
        <v>43327</v>
      </c>
      <c r="B507" s="696" t="s">
        <v>2099</v>
      </c>
      <c r="C507" s="697">
        <v>28</v>
      </c>
      <c r="D507" s="695">
        <v>43355</v>
      </c>
      <c r="E507" s="698">
        <v>300</v>
      </c>
      <c r="F507" s="698">
        <v>383.62299999999999</v>
      </c>
      <c r="G507" s="698">
        <v>300</v>
      </c>
      <c r="H507" s="698">
        <v>0</v>
      </c>
      <c r="I507" s="699">
        <v>8.0100000000000005E-2</v>
      </c>
      <c r="J507" s="699">
        <v>8.9899999999999994E-2</v>
      </c>
      <c r="K507" s="699">
        <v>8.3699999999999997E-2</v>
      </c>
      <c r="L507" s="697">
        <v>12</v>
      </c>
    </row>
    <row r="508" spans="1:12">
      <c r="A508" s="695">
        <v>43336</v>
      </c>
      <c r="B508" s="696" t="s">
        <v>2100</v>
      </c>
      <c r="C508" s="697">
        <v>26</v>
      </c>
      <c r="D508" s="695">
        <v>43362</v>
      </c>
      <c r="E508" s="698">
        <v>250</v>
      </c>
      <c r="F508" s="698">
        <v>368.11590000000001</v>
      </c>
      <c r="G508" s="698">
        <v>250</v>
      </c>
      <c r="H508" s="698">
        <v>0</v>
      </c>
      <c r="I508" s="699">
        <v>8.0100000000000005E-2</v>
      </c>
      <c r="J508" s="699">
        <v>8.0100000000000005E-2</v>
      </c>
      <c r="K508" s="699">
        <v>8.0100000000000005E-2</v>
      </c>
      <c r="L508" s="697">
        <v>11</v>
      </c>
    </row>
    <row r="509" spans="1:12">
      <c r="A509" s="695">
        <v>43341</v>
      </c>
      <c r="B509" s="696" t="s">
        <v>2101</v>
      </c>
      <c r="C509" s="697">
        <v>28</v>
      </c>
      <c r="D509" s="695">
        <v>43369</v>
      </c>
      <c r="E509" s="698">
        <v>200</v>
      </c>
      <c r="F509" s="698">
        <v>347.4606</v>
      </c>
      <c r="G509" s="698">
        <v>200</v>
      </c>
      <c r="H509" s="698">
        <v>0</v>
      </c>
      <c r="I509" s="699">
        <v>8.0100000000000005E-2</v>
      </c>
      <c r="J509" s="699">
        <v>8.0100000000000005E-2</v>
      </c>
      <c r="K509" s="699">
        <v>8.0100000000000005E-2</v>
      </c>
      <c r="L509" s="697">
        <v>9</v>
      </c>
    </row>
    <row r="510" spans="1:12">
      <c r="A510" s="695">
        <v>43348</v>
      </c>
      <c r="B510" s="696" t="s">
        <v>2105</v>
      </c>
      <c r="C510" s="697">
        <v>28</v>
      </c>
      <c r="D510" s="695">
        <v>43376</v>
      </c>
      <c r="E510" s="698">
        <v>300</v>
      </c>
      <c r="F510" s="698">
        <v>463.61219999999997</v>
      </c>
      <c r="G510" s="698">
        <v>300</v>
      </c>
      <c r="H510" s="698">
        <v>0</v>
      </c>
      <c r="I510" s="699">
        <v>8.0100000000000005E-2</v>
      </c>
      <c r="J510" s="699">
        <v>8.0100000000000005E-2</v>
      </c>
      <c r="K510" s="699">
        <v>8.0100000000000005E-2</v>
      </c>
      <c r="L510" s="697">
        <v>13</v>
      </c>
    </row>
    <row r="511" spans="1:12">
      <c r="A511" s="695">
        <v>43355</v>
      </c>
      <c r="B511" s="696" t="s">
        <v>2106</v>
      </c>
      <c r="C511" s="697">
        <v>28</v>
      </c>
      <c r="D511" s="695">
        <v>43383</v>
      </c>
      <c r="E511" s="698">
        <v>300</v>
      </c>
      <c r="F511" s="698">
        <v>512.6816</v>
      </c>
      <c r="G511" s="698">
        <v>300</v>
      </c>
      <c r="H511" s="698">
        <v>0</v>
      </c>
      <c r="I511" s="699">
        <v>8.0100000000000005E-2</v>
      </c>
      <c r="J511" s="699">
        <v>8.0100000000000005E-2</v>
      </c>
      <c r="K511" s="699">
        <v>8.0100000000000005E-2</v>
      </c>
      <c r="L511" s="697">
        <v>14</v>
      </c>
    </row>
    <row r="512" spans="1:12">
      <c r="A512" s="695">
        <v>43362</v>
      </c>
      <c r="B512" s="696" t="s">
        <v>2107</v>
      </c>
      <c r="C512" s="697">
        <v>28</v>
      </c>
      <c r="D512" s="695">
        <v>43390</v>
      </c>
      <c r="E512" s="698">
        <v>250</v>
      </c>
      <c r="F512" s="698">
        <v>426.14569999999998</v>
      </c>
      <c r="G512" s="698">
        <v>250</v>
      </c>
      <c r="H512" s="698">
        <v>0</v>
      </c>
      <c r="I512" s="699">
        <v>8.0100000000000005E-2</v>
      </c>
      <c r="J512" s="699">
        <v>8.0100000000000005E-2</v>
      </c>
      <c r="K512" s="699">
        <v>8.0100000000000005E-2</v>
      </c>
      <c r="L512" s="697">
        <v>15</v>
      </c>
    </row>
    <row r="513" spans="1:12">
      <c r="A513" s="695">
        <v>43369</v>
      </c>
      <c r="B513" s="696" t="s">
        <v>2624</v>
      </c>
      <c r="C513" s="697">
        <v>28</v>
      </c>
      <c r="D513" s="695">
        <v>43397</v>
      </c>
      <c r="E513" s="698">
        <v>200</v>
      </c>
      <c r="F513" s="698">
        <v>504.98360000000002</v>
      </c>
      <c r="G513" s="698">
        <v>200</v>
      </c>
      <c r="H513" s="698">
        <v>0</v>
      </c>
      <c r="I513" s="699">
        <v>8.0100000000000005E-2</v>
      </c>
      <c r="J513" s="699">
        <v>8.0100000000000005E-2</v>
      </c>
      <c r="K513" s="699">
        <v>8.0100000000000005E-2</v>
      </c>
      <c r="L513" s="697">
        <v>13</v>
      </c>
    </row>
    <row r="514" spans="1:12">
      <c r="A514" s="695">
        <v>43376</v>
      </c>
      <c r="B514" s="696" t="s">
        <v>2111</v>
      </c>
      <c r="C514" s="697">
        <v>28</v>
      </c>
      <c r="D514" s="695">
        <v>43404</v>
      </c>
      <c r="E514" s="698">
        <v>300</v>
      </c>
      <c r="F514" s="698">
        <v>984.60289999999998</v>
      </c>
      <c r="G514" s="698">
        <v>300</v>
      </c>
      <c r="H514" s="698">
        <v>0</v>
      </c>
      <c r="I514" s="699">
        <v>8.0100000000000005E-2</v>
      </c>
      <c r="J514" s="699">
        <v>8.0100000000000005E-2</v>
      </c>
      <c r="K514" s="699">
        <v>8.0100000000000005E-2</v>
      </c>
      <c r="L514" s="697">
        <v>17</v>
      </c>
    </row>
    <row r="515" spans="1:12">
      <c r="A515" s="695">
        <v>43383</v>
      </c>
      <c r="B515" s="696" t="s">
        <v>2112</v>
      </c>
      <c r="C515" s="697">
        <v>28</v>
      </c>
      <c r="D515" s="695">
        <v>43411</v>
      </c>
      <c r="E515" s="698">
        <v>300</v>
      </c>
      <c r="F515" s="698">
        <v>996.65009999999995</v>
      </c>
      <c r="G515" s="698">
        <v>300</v>
      </c>
      <c r="H515" s="698">
        <v>0</v>
      </c>
      <c r="I515" s="699">
        <v>8.0100000000000005E-2</v>
      </c>
      <c r="J515" s="699">
        <v>8.0100000000000005E-2</v>
      </c>
      <c r="K515" s="699">
        <v>8.0100000000000005E-2</v>
      </c>
      <c r="L515" s="697">
        <v>15</v>
      </c>
    </row>
    <row r="516" spans="1:12">
      <c r="A516" s="695">
        <v>43390</v>
      </c>
      <c r="B516" s="696" t="s">
        <v>2113</v>
      </c>
      <c r="C516" s="697">
        <v>28</v>
      </c>
      <c r="D516" s="695">
        <v>43418</v>
      </c>
      <c r="E516" s="698">
        <v>250</v>
      </c>
      <c r="F516" s="698">
        <v>845.47730000000001</v>
      </c>
      <c r="G516" s="698">
        <v>250</v>
      </c>
      <c r="H516" s="698">
        <v>0</v>
      </c>
      <c r="I516" s="699">
        <v>8.0100000000000005E-2</v>
      </c>
      <c r="J516" s="699">
        <v>8.0100000000000005E-2</v>
      </c>
      <c r="K516" s="699">
        <v>8.0100000000000005E-2</v>
      </c>
      <c r="L516" s="697">
        <v>15</v>
      </c>
    </row>
    <row r="517" spans="1:12">
      <c r="A517" s="695">
        <v>43397</v>
      </c>
      <c r="B517" s="696" t="s">
        <v>2114</v>
      </c>
      <c r="C517" s="697">
        <v>28</v>
      </c>
      <c r="D517" s="695">
        <v>43425</v>
      </c>
      <c r="E517" s="698">
        <v>200</v>
      </c>
      <c r="F517" s="698">
        <v>758.32370000000003</v>
      </c>
      <c r="G517" s="698">
        <v>200</v>
      </c>
      <c r="H517" s="698">
        <v>0</v>
      </c>
      <c r="I517" s="699">
        <v>8.0100000000000005E-2</v>
      </c>
      <c r="J517" s="699">
        <v>8.0100000000000005E-2</v>
      </c>
      <c r="K517" s="699">
        <v>8.0100000000000005E-2</v>
      </c>
      <c r="L517" s="697">
        <v>15</v>
      </c>
    </row>
    <row r="518" spans="1:12">
      <c r="A518" s="695">
        <v>43404</v>
      </c>
      <c r="B518" s="696" t="s">
        <v>2115</v>
      </c>
      <c r="C518" s="697">
        <v>28</v>
      </c>
      <c r="D518" s="695">
        <v>43432</v>
      </c>
      <c r="E518" s="698">
        <v>400</v>
      </c>
      <c r="F518" s="698">
        <v>1123.0248999999999</v>
      </c>
      <c r="G518" s="698">
        <v>300</v>
      </c>
      <c r="H518" s="698">
        <v>0</v>
      </c>
      <c r="I518" s="699">
        <v>7.7600000000000002E-2</v>
      </c>
      <c r="J518" s="699">
        <v>7.7600000000000002E-2</v>
      </c>
      <c r="K518" s="699">
        <v>7.7600000000000002E-2</v>
      </c>
      <c r="L518" s="697">
        <v>16</v>
      </c>
    </row>
    <row r="519" spans="1:12">
      <c r="A519" s="695">
        <v>43411</v>
      </c>
      <c r="B519" s="696" t="s">
        <v>2119</v>
      </c>
      <c r="C519" s="697">
        <v>28</v>
      </c>
      <c r="D519" s="695">
        <v>43439</v>
      </c>
      <c r="E519" s="698">
        <v>300</v>
      </c>
      <c r="F519" s="698">
        <v>1214.7958000000001</v>
      </c>
      <c r="G519" s="698">
        <v>300</v>
      </c>
      <c r="H519" s="698">
        <v>0</v>
      </c>
      <c r="I519" s="699">
        <v>7.7600000000000002E-2</v>
      </c>
      <c r="J519" s="699">
        <v>7.7600000000000002E-2</v>
      </c>
      <c r="K519" s="699">
        <v>7.7600000000000002E-2</v>
      </c>
      <c r="L519" s="697">
        <v>16</v>
      </c>
    </row>
    <row r="520" spans="1:12">
      <c r="A520" s="695">
        <v>43418</v>
      </c>
      <c r="B520" s="696" t="s">
        <v>2120</v>
      </c>
      <c r="C520" s="697">
        <v>28</v>
      </c>
      <c r="D520" s="695">
        <v>43446</v>
      </c>
      <c r="E520" s="698">
        <v>250</v>
      </c>
      <c r="F520" s="698">
        <v>858.99400000000003</v>
      </c>
      <c r="G520" s="698">
        <v>250</v>
      </c>
      <c r="H520" s="698">
        <v>0</v>
      </c>
      <c r="I520" s="699">
        <v>7.7600000000000002E-2</v>
      </c>
      <c r="J520" s="699">
        <v>7.7600000000000002E-2</v>
      </c>
      <c r="K520" s="699">
        <v>7.7600000000000002E-2</v>
      </c>
      <c r="L520" s="697">
        <v>15</v>
      </c>
    </row>
    <row r="521" spans="1:12">
      <c r="A521" s="695">
        <v>43425</v>
      </c>
      <c r="B521" s="696" t="s">
        <v>2121</v>
      </c>
      <c r="C521" s="697">
        <v>28</v>
      </c>
      <c r="D521" s="695">
        <v>43453</v>
      </c>
      <c r="E521" s="698">
        <v>200</v>
      </c>
      <c r="F521" s="698">
        <v>834.36540000000002</v>
      </c>
      <c r="G521" s="698">
        <v>200</v>
      </c>
      <c r="H521" s="698">
        <v>0</v>
      </c>
      <c r="I521" s="699">
        <v>7.7600000000000002E-2</v>
      </c>
      <c r="J521" s="699">
        <v>7.7600000000000002E-2</v>
      </c>
      <c r="K521" s="699">
        <v>7.7600000000000002E-2</v>
      </c>
      <c r="L521" s="697">
        <v>16</v>
      </c>
    </row>
    <row r="522" spans="1:12">
      <c r="A522" s="695">
        <v>43432</v>
      </c>
      <c r="B522" s="696" t="s">
        <v>2122</v>
      </c>
      <c r="C522" s="697">
        <v>28</v>
      </c>
      <c r="D522" s="695">
        <v>43460</v>
      </c>
      <c r="E522" s="698">
        <v>400</v>
      </c>
      <c r="F522" s="698">
        <v>787.63459999999998</v>
      </c>
      <c r="G522" s="698">
        <v>300</v>
      </c>
      <c r="H522" s="698">
        <v>0</v>
      </c>
      <c r="I522" s="699">
        <v>7.7600000000000002E-2</v>
      </c>
      <c r="J522" s="699">
        <v>7.7600000000000002E-2</v>
      </c>
      <c r="K522" s="699">
        <v>7.7600000000000002E-2</v>
      </c>
      <c r="L522" s="697">
        <v>14</v>
      </c>
    </row>
    <row r="523" spans="1:12">
      <c r="A523" s="695">
        <v>43439</v>
      </c>
      <c r="B523" s="696" t="s">
        <v>2127</v>
      </c>
      <c r="C523" s="697">
        <v>28</v>
      </c>
      <c r="D523" s="695">
        <v>43467</v>
      </c>
      <c r="E523" s="698">
        <v>300</v>
      </c>
      <c r="F523" s="698">
        <v>747.30349999999999</v>
      </c>
      <c r="G523" s="698">
        <v>300</v>
      </c>
      <c r="H523" s="698">
        <v>0</v>
      </c>
      <c r="I523" s="699">
        <v>7.7600000000000002E-2</v>
      </c>
      <c r="J523" s="699">
        <v>7.7600000000000002E-2</v>
      </c>
      <c r="K523" s="699">
        <v>7.7600000000000002E-2</v>
      </c>
      <c r="L523" s="697">
        <v>13</v>
      </c>
    </row>
    <row r="524" spans="1:12">
      <c r="A524" s="695">
        <v>43446</v>
      </c>
      <c r="B524" s="696" t="s">
        <v>2128</v>
      </c>
      <c r="C524" s="697">
        <v>28</v>
      </c>
      <c r="D524" s="695">
        <v>43474</v>
      </c>
      <c r="E524" s="698">
        <v>250</v>
      </c>
      <c r="F524" s="698">
        <v>499.29910000000001</v>
      </c>
      <c r="G524" s="698">
        <v>250</v>
      </c>
      <c r="H524" s="698">
        <v>0</v>
      </c>
      <c r="I524" s="699">
        <v>7.7600000000000002E-2</v>
      </c>
      <c r="J524" s="699">
        <v>7.7600000000000002E-2</v>
      </c>
      <c r="K524" s="699">
        <v>7.7600000000000002E-2</v>
      </c>
      <c r="L524" s="697">
        <v>12</v>
      </c>
    </row>
    <row r="525" spans="1:12">
      <c r="A525" s="695">
        <v>43453</v>
      </c>
      <c r="B525" s="696" t="s">
        <v>2129</v>
      </c>
      <c r="C525" s="697">
        <v>28</v>
      </c>
      <c r="D525" s="695">
        <v>43481</v>
      </c>
      <c r="E525" s="698">
        <v>200</v>
      </c>
      <c r="F525" s="698">
        <v>158.2679</v>
      </c>
      <c r="G525" s="698">
        <v>158.2679</v>
      </c>
      <c r="H525" s="698">
        <v>0</v>
      </c>
      <c r="I525" s="699">
        <v>7.7600000000000002E-2</v>
      </c>
      <c r="J525" s="699">
        <v>7.7600000000000002E-2</v>
      </c>
      <c r="K525" s="699">
        <v>8.7415000000000007E-2</v>
      </c>
      <c r="L525" s="697">
        <v>8</v>
      </c>
    </row>
    <row r="526" spans="1:12">
      <c r="A526" s="695">
        <v>43460</v>
      </c>
      <c r="B526" s="696" t="s">
        <v>2130</v>
      </c>
      <c r="C526" s="697">
        <v>28</v>
      </c>
      <c r="D526" s="695">
        <v>43488</v>
      </c>
      <c r="E526" s="698">
        <v>400</v>
      </c>
      <c r="F526" s="698">
        <v>498.94409999999999</v>
      </c>
      <c r="G526" s="698">
        <v>300</v>
      </c>
      <c r="H526" s="698">
        <v>0</v>
      </c>
      <c r="I526" s="699">
        <v>7.7600000000000002E-2</v>
      </c>
      <c r="J526" s="699">
        <v>9.4E-2</v>
      </c>
      <c r="K526" s="699">
        <v>9.3359999999999999E-2</v>
      </c>
      <c r="L526" s="697">
        <v>12</v>
      </c>
    </row>
    <row r="527" spans="1:12">
      <c r="A527" s="897">
        <v>2019</v>
      </c>
      <c r="B527" s="696"/>
      <c r="C527" s="697"/>
      <c r="D527" s="695"/>
      <c r="E527" s="698"/>
      <c r="F527" s="698"/>
      <c r="G527" s="698"/>
      <c r="H527" s="698"/>
      <c r="I527" s="699"/>
      <c r="J527" s="699"/>
      <c r="K527" s="699"/>
      <c r="L527" s="697"/>
    </row>
    <row r="528" spans="1:12">
      <c r="A528" s="695">
        <v>43468</v>
      </c>
      <c r="B528" s="696" t="s">
        <v>2134</v>
      </c>
      <c r="C528" s="697">
        <v>27</v>
      </c>
      <c r="D528" s="695">
        <v>43495</v>
      </c>
      <c r="E528" s="698">
        <v>300</v>
      </c>
      <c r="F528" s="698">
        <v>475.8646</v>
      </c>
      <c r="G528" s="698">
        <v>300</v>
      </c>
      <c r="H528" s="698">
        <v>0</v>
      </c>
      <c r="I528" s="699">
        <v>7.7600000000000002E-2</v>
      </c>
      <c r="J528" s="699">
        <v>9.7000000000000003E-2</v>
      </c>
      <c r="K528" s="699">
        <v>8.6900000000000005E-2</v>
      </c>
      <c r="L528" s="697">
        <v>10</v>
      </c>
    </row>
    <row r="529" spans="1:12">
      <c r="A529" s="695">
        <v>43474</v>
      </c>
      <c r="B529" s="696" t="s">
        <v>2135</v>
      </c>
      <c r="C529" s="697">
        <v>28</v>
      </c>
      <c r="D529" s="695">
        <v>43502</v>
      </c>
      <c r="E529" s="698">
        <v>250</v>
      </c>
      <c r="F529" s="698">
        <v>534.04639999999995</v>
      </c>
      <c r="G529" s="698">
        <v>250</v>
      </c>
      <c r="H529" s="698">
        <v>0</v>
      </c>
      <c r="I529" s="699">
        <v>7.7600000000000002E-2</v>
      </c>
      <c r="J529" s="699">
        <v>7.7600000000000002E-2</v>
      </c>
      <c r="K529" s="699">
        <v>7.7600000000000002E-2</v>
      </c>
      <c r="L529" s="697">
        <v>13</v>
      </c>
    </row>
    <row r="530" spans="1:12">
      <c r="A530" s="695">
        <v>43481</v>
      </c>
      <c r="B530" s="696" t="s">
        <v>2136</v>
      </c>
      <c r="C530" s="697">
        <v>28</v>
      </c>
      <c r="D530" s="695">
        <v>43509</v>
      </c>
      <c r="E530" s="698">
        <v>200</v>
      </c>
      <c r="F530" s="698">
        <v>483.61399999999998</v>
      </c>
      <c r="G530" s="698">
        <v>200</v>
      </c>
      <c r="H530" s="698">
        <v>0</v>
      </c>
      <c r="I530" s="699">
        <v>7.7600000000000002E-2</v>
      </c>
      <c r="J530" s="699">
        <v>7.7600000000000002E-2</v>
      </c>
      <c r="K530" s="699">
        <v>7.7600000000000002E-2</v>
      </c>
      <c r="L530" s="697">
        <v>12</v>
      </c>
    </row>
    <row r="531" spans="1:12">
      <c r="A531" s="695">
        <v>43488</v>
      </c>
      <c r="B531" s="696" t="s">
        <v>2137</v>
      </c>
      <c r="C531" s="697">
        <v>28</v>
      </c>
      <c r="D531" s="695">
        <v>43516</v>
      </c>
      <c r="E531" s="698">
        <v>400</v>
      </c>
      <c r="F531" s="698">
        <v>618.12310000000002</v>
      </c>
      <c r="G531" s="698">
        <v>300</v>
      </c>
      <c r="H531" s="698">
        <v>0</v>
      </c>
      <c r="I531" s="699">
        <v>7.7600000000000002E-2</v>
      </c>
      <c r="J531" s="699">
        <v>7.7600000000000002E-2</v>
      </c>
      <c r="K531" s="699">
        <v>7.7600000000000002E-2</v>
      </c>
      <c r="L531" s="697">
        <v>15</v>
      </c>
    </row>
    <row r="532" spans="1:12">
      <c r="A532" s="695">
        <v>43495</v>
      </c>
      <c r="B532" s="696" t="s">
        <v>2138</v>
      </c>
      <c r="C532" s="697">
        <v>28</v>
      </c>
      <c r="D532" s="695">
        <v>43523</v>
      </c>
      <c r="E532" s="698">
        <v>300</v>
      </c>
      <c r="F532" s="698">
        <v>660.08050000000003</v>
      </c>
      <c r="G532" s="698">
        <v>300</v>
      </c>
      <c r="H532" s="698">
        <v>0</v>
      </c>
      <c r="I532" s="699">
        <v>7.7600000000000002E-2</v>
      </c>
      <c r="J532" s="699">
        <v>7.7600000000000002E-2</v>
      </c>
      <c r="K532" s="699">
        <v>7.7600000000000002E-2</v>
      </c>
      <c r="L532" s="697">
        <v>14</v>
      </c>
    </row>
    <row r="533" spans="1:12">
      <c r="A533" s="695">
        <v>43502</v>
      </c>
      <c r="B533" s="696" t="s">
        <v>2146</v>
      </c>
      <c r="C533" s="697">
        <v>28</v>
      </c>
      <c r="D533" s="695">
        <v>43530</v>
      </c>
      <c r="E533" s="698">
        <v>250</v>
      </c>
      <c r="F533" s="698">
        <v>576.86149999999998</v>
      </c>
      <c r="G533" s="698">
        <v>250</v>
      </c>
      <c r="H533" s="698">
        <v>0</v>
      </c>
      <c r="I533" s="699">
        <v>7.2599999999999998E-2</v>
      </c>
      <c r="J533" s="699">
        <v>7.2599999999999998E-2</v>
      </c>
      <c r="K533" s="699">
        <v>7.2599999999999998E-2</v>
      </c>
      <c r="L533" s="697">
        <v>12</v>
      </c>
    </row>
    <row r="534" spans="1:12">
      <c r="A534" s="695">
        <v>43509</v>
      </c>
      <c r="B534" s="696" t="s">
        <v>2147</v>
      </c>
      <c r="C534" s="697">
        <v>28</v>
      </c>
      <c r="D534" s="695">
        <v>43537</v>
      </c>
      <c r="E534" s="698">
        <v>200</v>
      </c>
      <c r="F534" s="698">
        <v>515.57169999999996</v>
      </c>
      <c r="G534" s="698">
        <v>200</v>
      </c>
      <c r="H534" s="698">
        <v>0</v>
      </c>
      <c r="I534" s="699">
        <v>7.2599999999999998E-2</v>
      </c>
      <c r="J534" s="699">
        <v>7.2599999999999998E-2</v>
      </c>
      <c r="K534" s="699">
        <v>7.2599999999999998E-2</v>
      </c>
      <c r="L534" s="697">
        <v>13</v>
      </c>
    </row>
    <row r="535" spans="1:12">
      <c r="A535" s="695">
        <v>43516</v>
      </c>
      <c r="B535" s="696" t="s">
        <v>2148</v>
      </c>
      <c r="C535" s="697">
        <v>27</v>
      </c>
      <c r="D535" s="695">
        <v>43543</v>
      </c>
      <c r="E535" s="698">
        <v>400</v>
      </c>
      <c r="F535" s="698">
        <v>757.3075</v>
      </c>
      <c r="G535" s="698">
        <v>300</v>
      </c>
      <c r="H535" s="698">
        <v>0</v>
      </c>
      <c r="I535" s="699">
        <v>7.2599999999999998E-2</v>
      </c>
      <c r="J535" s="699">
        <v>7.2599999999999998E-2</v>
      </c>
      <c r="K535" s="699">
        <v>7.2599999999999998E-2</v>
      </c>
      <c r="L535" s="697">
        <v>15</v>
      </c>
    </row>
    <row r="536" spans="1:12">
      <c r="A536" s="695">
        <v>43523</v>
      </c>
      <c r="B536" s="696" t="s">
        <v>2149</v>
      </c>
      <c r="C536" s="697">
        <v>28</v>
      </c>
      <c r="D536" s="695">
        <v>43551</v>
      </c>
      <c r="E536" s="698">
        <v>300</v>
      </c>
      <c r="F536" s="698">
        <v>853.51009999999997</v>
      </c>
      <c r="G536" s="698">
        <v>300</v>
      </c>
      <c r="H536" s="698">
        <v>0</v>
      </c>
      <c r="I536" s="699">
        <v>7.2599999999999998E-2</v>
      </c>
      <c r="J536" s="699">
        <v>7.2599999999999998E-2</v>
      </c>
      <c r="K536" s="699">
        <v>7.2599999999999998E-2</v>
      </c>
      <c r="L536" s="697">
        <v>14</v>
      </c>
    </row>
    <row r="537" spans="1:12">
      <c r="A537" s="695">
        <v>43530</v>
      </c>
      <c r="B537" s="696" t="s">
        <v>2154</v>
      </c>
      <c r="C537" s="697">
        <v>28</v>
      </c>
      <c r="D537" s="695">
        <v>43558</v>
      </c>
      <c r="E537" s="698">
        <v>250</v>
      </c>
      <c r="F537" s="698">
        <v>673.95299999999997</v>
      </c>
      <c r="G537" s="698">
        <v>250</v>
      </c>
      <c r="H537" s="698">
        <v>0</v>
      </c>
      <c r="I537" s="699">
        <v>7.2599999999999998E-2</v>
      </c>
      <c r="J537" s="699">
        <v>7.2599999999999998E-2</v>
      </c>
      <c r="K537" s="699">
        <v>7.2599999999999998E-2</v>
      </c>
      <c r="L537" s="697">
        <v>13</v>
      </c>
    </row>
    <row r="538" spans="1:12">
      <c r="A538" s="695">
        <v>43537</v>
      </c>
      <c r="B538" s="696" t="s">
        <v>2155</v>
      </c>
      <c r="C538" s="697">
        <v>28</v>
      </c>
      <c r="D538" s="695">
        <v>43565</v>
      </c>
      <c r="E538" s="698">
        <v>200</v>
      </c>
      <c r="F538" s="698">
        <v>340.63780000000003</v>
      </c>
      <c r="G538" s="698">
        <v>200</v>
      </c>
      <c r="H538" s="698">
        <v>0</v>
      </c>
      <c r="I538" s="699">
        <v>7.2599999999999998E-2</v>
      </c>
      <c r="J538" s="699">
        <v>7.2599999999999998E-2</v>
      </c>
      <c r="K538" s="699">
        <v>7.2599999999999998E-2</v>
      </c>
      <c r="L538" s="697">
        <v>12</v>
      </c>
    </row>
    <row r="539" spans="1:12">
      <c r="A539" s="695">
        <v>43543</v>
      </c>
      <c r="B539" s="696" t="s">
        <v>2156</v>
      </c>
      <c r="C539" s="697">
        <v>29</v>
      </c>
      <c r="D539" s="695">
        <v>43572</v>
      </c>
      <c r="E539" s="698">
        <v>400</v>
      </c>
      <c r="F539" s="698">
        <v>233.32900000000001</v>
      </c>
      <c r="G539" s="698">
        <v>233.32900000000001</v>
      </c>
      <c r="H539" s="698">
        <v>0</v>
      </c>
      <c r="I539" s="699">
        <v>7.0099999999999996E-2</v>
      </c>
      <c r="J539" s="699">
        <v>8.9899999999999994E-2</v>
      </c>
      <c r="K539" s="699">
        <v>8.7400000000000005E-2</v>
      </c>
      <c r="L539" s="697">
        <v>12</v>
      </c>
    </row>
    <row r="540" spans="1:12">
      <c r="A540" s="695">
        <v>43551</v>
      </c>
      <c r="B540" s="696" t="s">
        <v>2157</v>
      </c>
      <c r="C540" s="697">
        <v>28</v>
      </c>
      <c r="D540" s="695">
        <v>43579</v>
      </c>
      <c r="E540" s="698">
        <v>300</v>
      </c>
      <c r="F540" s="698">
        <v>359.43599999999998</v>
      </c>
      <c r="G540" s="698">
        <v>300</v>
      </c>
      <c r="H540" s="698">
        <v>0</v>
      </c>
      <c r="I540" s="699">
        <v>7.0099999999999996E-2</v>
      </c>
      <c r="J540" s="699">
        <v>8.9800000000000005E-2</v>
      </c>
      <c r="K540" s="699">
        <v>8.7800000000000003E-2</v>
      </c>
      <c r="L540" s="697">
        <v>10</v>
      </c>
    </row>
    <row r="541" spans="1:12">
      <c r="A541" s="695">
        <v>43558</v>
      </c>
      <c r="B541" s="696" t="s">
        <v>2161</v>
      </c>
      <c r="C541" s="697">
        <v>28</v>
      </c>
      <c r="D541" s="695">
        <v>43586</v>
      </c>
      <c r="E541" s="698">
        <v>250</v>
      </c>
      <c r="F541" s="698">
        <v>371.30720000000002</v>
      </c>
      <c r="G541" s="698">
        <v>250</v>
      </c>
      <c r="H541" s="698">
        <v>-28.062799999999999</v>
      </c>
      <c r="I541" s="699">
        <v>7.0099999999999996E-2</v>
      </c>
      <c r="J541" s="699">
        <v>7.0099999999999996E-2</v>
      </c>
      <c r="K541" s="699">
        <v>7.0099999999999996E-2</v>
      </c>
      <c r="L541" s="697">
        <v>10</v>
      </c>
    </row>
    <row r="542" spans="1:12">
      <c r="A542" s="695">
        <v>43565</v>
      </c>
      <c r="B542" s="696" t="s">
        <v>2162</v>
      </c>
      <c r="C542" s="697">
        <v>28</v>
      </c>
      <c r="D542" s="695">
        <v>43593</v>
      </c>
      <c r="E542" s="698">
        <v>200</v>
      </c>
      <c r="F542" s="698">
        <v>167.27760000000001</v>
      </c>
      <c r="G542" s="698">
        <v>167.27760000000001</v>
      </c>
      <c r="H542" s="698">
        <v>0</v>
      </c>
      <c r="I542" s="699">
        <v>7.0099999999999996E-2</v>
      </c>
      <c r="J542" s="699">
        <v>8.9899999999999994E-2</v>
      </c>
      <c r="K542" s="699">
        <v>7.9500000000000001E-2</v>
      </c>
      <c r="L542" s="697">
        <v>10</v>
      </c>
    </row>
    <row r="543" spans="1:12">
      <c r="A543" s="695">
        <v>43572</v>
      </c>
      <c r="B543" s="696" t="s">
        <v>2163</v>
      </c>
      <c r="C543" s="697">
        <v>28</v>
      </c>
      <c r="D543" s="695">
        <v>43600</v>
      </c>
      <c r="E543" s="698">
        <v>400</v>
      </c>
      <c r="F543" s="698">
        <v>199.5264</v>
      </c>
      <c r="G543" s="698">
        <v>199.5264</v>
      </c>
      <c r="H543" s="698">
        <v>0</v>
      </c>
      <c r="I543" s="699">
        <v>7.0099999999999996E-2</v>
      </c>
      <c r="J543" s="699">
        <v>8.9899999999999994E-2</v>
      </c>
      <c r="K543" s="699">
        <v>8.7999999999999995E-2</v>
      </c>
      <c r="L543" s="697">
        <v>11</v>
      </c>
    </row>
    <row r="544" spans="1:12">
      <c r="A544" s="695">
        <v>43579</v>
      </c>
      <c r="B544" s="696" t="s">
        <v>2164</v>
      </c>
      <c r="C544" s="697">
        <v>28</v>
      </c>
      <c r="D544" s="695">
        <v>43607</v>
      </c>
      <c r="E544" s="698">
        <v>300</v>
      </c>
      <c r="F544" s="698">
        <v>285.62459999999999</v>
      </c>
      <c r="G544" s="698">
        <v>285.62459999999999</v>
      </c>
      <c r="H544" s="698">
        <v>0</v>
      </c>
      <c r="I544" s="699">
        <v>8.2500000000000004E-2</v>
      </c>
      <c r="J544" s="699">
        <v>8.9899999999999994E-2</v>
      </c>
      <c r="K544" s="699">
        <v>8.9099999999999999E-2</v>
      </c>
      <c r="L544" s="697">
        <v>12</v>
      </c>
    </row>
    <row r="545" spans="1:12">
      <c r="A545" s="695">
        <v>43586</v>
      </c>
      <c r="B545" s="696" t="s">
        <v>2169</v>
      </c>
      <c r="C545" s="697">
        <v>28</v>
      </c>
      <c r="D545" s="695">
        <v>43614</v>
      </c>
      <c r="E545" s="698">
        <v>200</v>
      </c>
      <c r="F545" s="698">
        <v>525.74710000000005</v>
      </c>
      <c r="G545" s="698">
        <v>200</v>
      </c>
      <c r="H545" s="698">
        <v>0</v>
      </c>
      <c r="I545" s="699">
        <v>6.7599999999999993E-2</v>
      </c>
      <c r="J545" s="699">
        <v>6.7599999999999993E-2</v>
      </c>
      <c r="K545" s="699">
        <v>6.7599999999999993E-2</v>
      </c>
      <c r="L545" s="697">
        <v>12</v>
      </c>
    </row>
    <row r="546" spans="1:12">
      <c r="A546" s="695">
        <v>43593</v>
      </c>
      <c r="B546" s="696" t="s">
        <v>2170</v>
      </c>
      <c r="C546" s="697">
        <v>27</v>
      </c>
      <c r="D546" s="695">
        <v>43620</v>
      </c>
      <c r="E546" s="698">
        <v>200</v>
      </c>
      <c r="F546" s="698">
        <v>552.8845</v>
      </c>
      <c r="G546" s="698">
        <v>200</v>
      </c>
      <c r="H546" s="698">
        <v>0</v>
      </c>
      <c r="I546" s="699">
        <v>6.7599999999999993E-2</v>
      </c>
      <c r="J546" s="699">
        <v>6.7599999999999993E-2</v>
      </c>
      <c r="K546" s="699">
        <v>6.7599999999999993E-2</v>
      </c>
      <c r="L546" s="697">
        <v>14</v>
      </c>
    </row>
    <row r="547" spans="1:12">
      <c r="A547" s="695">
        <v>43600</v>
      </c>
      <c r="B547" s="696" t="s">
        <v>2171</v>
      </c>
      <c r="C547" s="697">
        <v>28</v>
      </c>
      <c r="D547" s="695">
        <v>43628</v>
      </c>
      <c r="E547" s="698">
        <v>200</v>
      </c>
      <c r="F547" s="698">
        <v>720.09839999999997</v>
      </c>
      <c r="G547" s="698">
        <v>200</v>
      </c>
      <c r="H547" s="698">
        <v>0</v>
      </c>
      <c r="I547" s="699">
        <v>6.7599999999999993E-2</v>
      </c>
      <c r="J547" s="699">
        <v>6.7599999999999993E-2</v>
      </c>
      <c r="K547" s="699">
        <v>6.7599999999999993E-2</v>
      </c>
      <c r="L547" s="697">
        <v>15</v>
      </c>
    </row>
    <row r="548" spans="1:12">
      <c r="A548" s="695">
        <v>43607</v>
      </c>
      <c r="B548" s="696" t="s">
        <v>2172</v>
      </c>
      <c r="C548" s="697">
        <v>28</v>
      </c>
      <c r="D548" s="695">
        <v>43635</v>
      </c>
      <c r="E548" s="698">
        <v>200</v>
      </c>
      <c r="F548" s="698">
        <v>785.59249999999997</v>
      </c>
      <c r="G548" s="698">
        <v>200</v>
      </c>
      <c r="H548" s="698">
        <v>0</v>
      </c>
      <c r="I548" s="699">
        <v>6.7599999999999993E-2</v>
      </c>
      <c r="J548" s="699">
        <v>6.7599999999999993E-2</v>
      </c>
      <c r="K548" s="699">
        <v>6.7599999999999993E-2</v>
      </c>
      <c r="L548" s="697">
        <v>18</v>
      </c>
    </row>
    <row r="549" spans="1:12">
      <c r="A549" s="695">
        <v>43614</v>
      </c>
      <c r="B549" s="696" t="s">
        <v>2173</v>
      </c>
      <c r="C549" s="697">
        <v>27</v>
      </c>
      <c r="D549" s="695">
        <v>43641</v>
      </c>
      <c r="E549" s="698">
        <v>200</v>
      </c>
      <c r="F549" s="698">
        <v>875.1019</v>
      </c>
      <c r="G549" s="698">
        <v>200</v>
      </c>
      <c r="H549" s="698">
        <v>0</v>
      </c>
      <c r="I549" s="699">
        <v>6.7599999999999993E-2</v>
      </c>
      <c r="J549" s="699">
        <v>6.7599999999999993E-2</v>
      </c>
      <c r="K549" s="699">
        <v>6.7599999999999993E-2</v>
      </c>
      <c r="L549" s="697">
        <v>19</v>
      </c>
    </row>
    <row r="550" spans="1:12">
      <c r="A550" s="695">
        <v>43620</v>
      </c>
      <c r="B550" s="696" t="s">
        <v>2177</v>
      </c>
      <c r="C550" s="697">
        <v>29</v>
      </c>
      <c r="D550" s="695">
        <v>43649</v>
      </c>
      <c r="E550" s="698">
        <v>200</v>
      </c>
      <c r="F550" s="698">
        <v>571.46479999999997</v>
      </c>
      <c r="G550" s="698">
        <v>100</v>
      </c>
      <c r="H550" s="698">
        <v>0</v>
      </c>
      <c r="I550" s="699">
        <v>6.7599999999999993E-2</v>
      </c>
      <c r="J550" s="699">
        <v>6.7599999999999993E-2</v>
      </c>
      <c r="K550" s="699">
        <v>6.7599999999999993E-2</v>
      </c>
      <c r="L550" s="697">
        <v>15</v>
      </c>
    </row>
    <row r="551" spans="1:12">
      <c r="A551" s="695">
        <v>43628</v>
      </c>
      <c r="B551" s="696" t="s">
        <v>2178</v>
      </c>
      <c r="C551" s="697">
        <v>28</v>
      </c>
      <c r="D551" s="695">
        <v>43656</v>
      </c>
      <c r="E551" s="698">
        <v>200</v>
      </c>
      <c r="F551" s="698">
        <v>936.81719999999996</v>
      </c>
      <c r="G551" s="698">
        <v>200</v>
      </c>
      <c r="H551" s="698">
        <v>0</v>
      </c>
      <c r="I551" s="699">
        <v>6.5100000000000005E-2</v>
      </c>
      <c r="J551" s="699">
        <v>6.5100000000000005E-2</v>
      </c>
      <c r="K551" s="699">
        <v>6.5100000000000005E-2</v>
      </c>
      <c r="L551" s="697">
        <v>17</v>
      </c>
    </row>
    <row r="552" spans="1:12">
      <c r="A552" s="695">
        <v>43635</v>
      </c>
      <c r="B552" s="696" t="s">
        <v>2179</v>
      </c>
      <c r="C552" s="697">
        <v>28</v>
      </c>
      <c r="D552" s="695">
        <v>43663</v>
      </c>
      <c r="E552" s="698">
        <v>200</v>
      </c>
      <c r="F552" s="698">
        <v>799.00139999999999</v>
      </c>
      <c r="G552" s="698">
        <v>200</v>
      </c>
      <c r="H552" s="698">
        <v>0</v>
      </c>
      <c r="I552" s="699">
        <v>6.5100000000000005E-2</v>
      </c>
      <c r="J552" s="699">
        <v>6.5100000000000005E-2</v>
      </c>
      <c r="K552" s="699">
        <v>6.5100000000000005E-2</v>
      </c>
      <c r="L552" s="697">
        <v>17</v>
      </c>
    </row>
    <row r="553" spans="1:12">
      <c r="A553" s="695">
        <v>43641</v>
      </c>
      <c r="B553" s="696" t="s">
        <v>2180</v>
      </c>
      <c r="C553" s="697">
        <v>29</v>
      </c>
      <c r="D553" s="695">
        <v>43670</v>
      </c>
      <c r="E553" s="698">
        <v>200</v>
      </c>
      <c r="F553" s="698">
        <v>727.69269999999995</v>
      </c>
      <c r="G553" s="698">
        <v>200</v>
      </c>
      <c r="H553" s="698">
        <v>0</v>
      </c>
      <c r="I553" s="699">
        <v>6.5100000000000005E-2</v>
      </c>
      <c r="J553" s="699">
        <v>6.5100000000000005E-2</v>
      </c>
      <c r="K553" s="699">
        <v>6.5100000000000005E-2</v>
      </c>
      <c r="L553" s="697">
        <v>16</v>
      </c>
    </row>
    <row r="554" spans="1:12">
      <c r="A554" s="695">
        <v>43649</v>
      </c>
      <c r="B554" s="696" t="s">
        <v>2185</v>
      </c>
      <c r="C554" s="697">
        <v>28</v>
      </c>
      <c r="D554" s="695">
        <v>43677</v>
      </c>
      <c r="E554" s="698">
        <v>100</v>
      </c>
      <c r="F554" s="698">
        <v>629.43439999999998</v>
      </c>
      <c r="G554" s="698">
        <v>100</v>
      </c>
      <c r="H554" s="698">
        <v>0</v>
      </c>
      <c r="I554" s="699">
        <v>6.5100000000000005E-2</v>
      </c>
      <c r="J554" s="699">
        <v>6.5100000000000005E-2</v>
      </c>
      <c r="K554" s="699">
        <v>6.5100000000000005E-2</v>
      </c>
      <c r="L554" s="697">
        <v>17</v>
      </c>
    </row>
    <row r="555" spans="1:12">
      <c r="A555" s="695">
        <v>43656</v>
      </c>
      <c r="B555" s="696" t="s">
        <v>2186</v>
      </c>
      <c r="C555" s="697">
        <v>28</v>
      </c>
      <c r="D555" s="695">
        <v>43684</v>
      </c>
      <c r="E555" s="698">
        <v>200</v>
      </c>
      <c r="F555" s="698">
        <v>939.91139999999996</v>
      </c>
      <c r="G555" s="698">
        <v>200</v>
      </c>
      <c r="H555" s="698">
        <v>0</v>
      </c>
      <c r="I555" s="699">
        <v>6.5100000000000005E-2</v>
      </c>
      <c r="J555" s="699">
        <v>6.5100000000000005E-2</v>
      </c>
      <c r="K555" s="699">
        <v>6.5100000000000005E-2</v>
      </c>
      <c r="L555" s="697">
        <v>16</v>
      </c>
    </row>
    <row r="556" spans="1:12">
      <c r="A556" s="695">
        <v>43663</v>
      </c>
      <c r="B556" s="696" t="s">
        <v>2187</v>
      </c>
      <c r="C556" s="697">
        <v>28</v>
      </c>
      <c r="D556" s="695">
        <v>43691</v>
      </c>
      <c r="E556" s="698">
        <v>200</v>
      </c>
      <c r="F556" s="698">
        <v>975.16899999999998</v>
      </c>
      <c r="G556" s="698">
        <v>200</v>
      </c>
      <c r="H556" s="698">
        <v>0</v>
      </c>
      <c r="I556" s="699">
        <v>6.5100000000000005E-2</v>
      </c>
      <c r="J556" s="699">
        <v>6.5100000000000005E-2</v>
      </c>
      <c r="K556" s="699">
        <v>6.5100000000000005E-2</v>
      </c>
      <c r="L556" s="697">
        <v>20</v>
      </c>
    </row>
    <row r="557" spans="1:12">
      <c r="A557" s="695">
        <v>43670</v>
      </c>
      <c r="B557" s="696" t="s">
        <v>2188</v>
      </c>
      <c r="C557" s="697">
        <v>28</v>
      </c>
      <c r="D557" s="695">
        <v>43698</v>
      </c>
      <c r="E557" s="698">
        <v>200</v>
      </c>
      <c r="F557" s="698">
        <v>729.7944</v>
      </c>
      <c r="G557" s="698">
        <v>200</v>
      </c>
      <c r="H557" s="698">
        <v>0</v>
      </c>
      <c r="I557" s="699">
        <v>6.5100000000000005E-2</v>
      </c>
      <c r="J557" s="699">
        <v>6.5100000000000005E-2</v>
      </c>
      <c r="K557" s="699">
        <v>6.5100000000000005E-2</v>
      </c>
      <c r="L557" s="697">
        <v>17</v>
      </c>
    </row>
    <row r="558" spans="1:12">
      <c r="A558" s="695">
        <v>43677</v>
      </c>
      <c r="B558" s="696" t="s">
        <v>2189</v>
      </c>
      <c r="C558" s="697">
        <v>28</v>
      </c>
      <c r="D558" s="695">
        <v>43705</v>
      </c>
      <c r="E558" s="698">
        <v>100</v>
      </c>
      <c r="F558" s="698">
        <v>652.99199999999996</v>
      </c>
      <c r="G558" s="698">
        <v>100</v>
      </c>
      <c r="H558" s="698">
        <v>0</v>
      </c>
      <c r="I558" s="699">
        <v>6.2600000000000003E-2</v>
      </c>
      <c r="J558" s="699">
        <v>6.2600000000000003E-2</v>
      </c>
      <c r="K558" s="699">
        <v>6.2600000000000003E-2</v>
      </c>
      <c r="L558" s="697">
        <v>16</v>
      </c>
    </row>
    <row r="559" spans="1:12">
      <c r="A559" s="695">
        <v>43684</v>
      </c>
      <c r="B559" s="696" t="s">
        <v>2193</v>
      </c>
      <c r="C559" s="697">
        <v>28</v>
      </c>
      <c r="D559" s="695">
        <v>43712</v>
      </c>
      <c r="E559" s="698">
        <v>200</v>
      </c>
      <c r="F559" s="698">
        <v>656.72450000000003</v>
      </c>
      <c r="G559" s="698">
        <v>200</v>
      </c>
      <c r="H559" s="698">
        <v>0</v>
      </c>
      <c r="I559" s="699">
        <v>6.2600000000000003E-2</v>
      </c>
      <c r="J559" s="699">
        <v>6.2600000000000003E-2</v>
      </c>
      <c r="K559" s="699">
        <v>6.2600000000000003E-2</v>
      </c>
      <c r="L559" s="697">
        <v>14</v>
      </c>
    </row>
    <row r="560" spans="1:12">
      <c r="A560" s="695">
        <v>43691</v>
      </c>
      <c r="B560" s="696" t="s">
        <v>2194</v>
      </c>
      <c r="C560" s="697">
        <v>28</v>
      </c>
      <c r="D560" s="695">
        <v>43719</v>
      </c>
      <c r="E560" s="698">
        <v>200</v>
      </c>
      <c r="F560" s="698">
        <v>585.66920000000005</v>
      </c>
      <c r="G560" s="698">
        <v>200</v>
      </c>
      <c r="H560" s="698">
        <v>0</v>
      </c>
      <c r="I560" s="699">
        <v>6.2600000000000003E-2</v>
      </c>
      <c r="J560" s="699">
        <v>6.2600000000000003E-2</v>
      </c>
      <c r="K560" s="699">
        <v>6.2600000000000003E-2</v>
      </c>
      <c r="L560" s="697">
        <v>14</v>
      </c>
    </row>
    <row r="561" spans="1:12">
      <c r="A561" s="695">
        <v>43698</v>
      </c>
      <c r="B561" s="696" t="s">
        <v>2195</v>
      </c>
      <c r="C561" s="697">
        <v>28</v>
      </c>
      <c r="D561" s="695">
        <v>43726</v>
      </c>
      <c r="E561" s="698">
        <v>200</v>
      </c>
      <c r="F561" s="698">
        <v>617.58889999999997</v>
      </c>
      <c r="G561" s="698">
        <v>200</v>
      </c>
      <c r="H561" s="698">
        <v>0</v>
      </c>
      <c r="I561" s="699">
        <v>6.2600000000000003E-2</v>
      </c>
      <c r="J561" s="699">
        <v>6.2600000000000003E-2</v>
      </c>
      <c r="K561" s="699">
        <v>6.2600000000000003E-2</v>
      </c>
      <c r="L561" s="697">
        <v>16</v>
      </c>
    </row>
    <row r="562" spans="1:12">
      <c r="A562" s="695">
        <v>43705</v>
      </c>
      <c r="B562" s="696" t="s">
        <v>2196</v>
      </c>
      <c r="C562" s="697">
        <v>28</v>
      </c>
      <c r="D562" s="695">
        <v>43733</v>
      </c>
      <c r="E562" s="698">
        <v>100</v>
      </c>
      <c r="F562" s="698">
        <v>595.09360000000004</v>
      </c>
      <c r="G562" s="698">
        <v>100</v>
      </c>
      <c r="H562" s="698">
        <v>0</v>
      </c>
      <c r="I562" s="699">
        <v>6.2600000000000003E-2</v>
      </c>
      <c r="J562" s="699">
        <v>6.2600000000000003E-2</v>
      </c>
      <c r="K562" s="699">
        <v>6.2600000000000003E-2</v>
      </c>
      <c r="L562" s="697">
        <v>17</v>
      </c>
    </row>
    <row r="563" spans="1:12">
      <c r="A563" s="695">
        <v>43712</v>
      </c>
      <c r="B563" s="696" t="s">
        <v>2201</v>
      </c>
      <c r="C563" s="697">
        <v>28</v>
      </c>
      <c r="D563" s="695">
        <v>43740</v>
      </c>
      <c r="E563" s="698">
        <v>200</v>
      </c>
      <c r="F563" s="698">
        <v>595.60919999999999</v>
      </c>
      <c r="G563" s="698">
        <v>200</v>
      </c>
      <c r="H563" s="698">
        <v>0</v>
      </c>
      <c r="I563" s="699">
        <v>6.2600000000000003E-2</v>
      </c>
      <c r="J563" s="699">
        <v>6.2600000000000003E-2</v>
      </c>
      <c r="K563" s="699">
        <v>6.2600000000000003E-2</v>
      </c>
      <c r="L563" s="697">
        <v>16</v>
      </c>
    </row>
    <row r="564" spans="1:12">
      <c r="A564" s="695">
        <v>43719</v>
      </c>
      <c r="B564" s="696" t="s">
        <v>2202</v>
      </c>
      <c r="C564" s="697">
        <v>28</v>
      </c>
      <c r="D564" s="695">
        <v>43747</v>
      </c>
      <c r="E564" s="698">
        <v>200</v>
      </c>
      <c r="F564" s="698">
        <v>710.03660000000002</v>
      </c>
      <c r="G564" s="698">
        <v>200</v>
      </c>
      <c r="H564" s="698">
        <v>0</v>
      </c>
      <c r="I564" s="699">
        <v>6.2600000000000003E-2</v>
      </c>
      <c r="J564" s="699">
        <v>6.2600000000000003E-2</v>
      </c>
      <c r="K564" s="699">
        <v>6.2600000000000003E-2</v>
      </c>
      <c r="L564" s="697">
        <v>16</v>
      </c>
    </row>
    <row r="565" spans="1:12">
      <c r="A565" s="695">
        <v>43726</v>
      </c>
      <c r="B565" s="696" t="s">
        <v>2203</v>
      </c>
      <c r="C565" s="697">
        <v>28</v>
      </c>
      <c r="D565" s="695">
        <v>43755</v>
      </c>
      <c r="E565" s="698">
        <v>200</v>
      </c>
      <c r="F565" s="698">
        <v>676.77589999999998</v>
      </c>
      <c r="G565" s="698">
        <v>170</v>
      </c>
      <c r="H565" s="698">
        <v>0</v>
      </c>
      <c r="I565" s="699">
        <v>6.2600000000000003E-2</v>
      </c>
      <c r="J565" s="699">
        <v>6.2600000000000003E-2</v>
      </c>
      <c r="K565" s="699">
        <v>6.2600000000000003E-2</v>
      </c>
      <c r="L565" s="697">
        <v>16</v>
      </c>
    </row>
    <row r="566" spans="1:12">
      <c r="A566" s="695">
        <v>43728</v>
      </c>
      <c r="B566" s="696" t="s">
        <v>2204</v>
      </c>
      <c r="C566" s="697">
        <v>84</v>
      </c>
      <c r="D566" s="695">
        <v>43815</v>
      </c>
      <c r="E566" s="698">
        <v>30</v>
      </c>
      <c r="F566" s="698">
        <v>147.59219999999999</v>
      </c>
      <c r="G566" s="698">
        <v>30</v>
      </c>
      <c r="H566" s="698">
        <v>0</v>
      </c>
      <c r="I566" s="699">
        <v>0.06</v>
      </c>
      <c r="J566" s="699">
        <v>6.0400000000000002E-2</v>
      </c>
      <c r="K566" s="699">
        <v>6.0299999999999999E-2</v>
      </c>
      <c r="L566" s="697">
        <v>10</v>
      </c>
    </row>
    <row r="567" spans="1:12">
      <c r="A567" s="695">
        <v>43733</v>
      </c>
      <c r="B567" s="696" t="s">
        <v>2205</v>
      </c>
      <c r="C567" s="697">
        <v>28</v>
      </c>
      <c r="D567" s="695">
        <v>43762</v>
      </c>
      <c r="E567" s="698">
        <v>100</v>
      </c>
      <c r="F567" s="698">
        <v>521.02120000000002</v>
      </c>
      <c r="G567" s="698">
        <v>100</v>
      </c>
      <c r="H567" s="698">
        <v>0</v>
      </c>
      <c r="I567" s="699">
        <v>6.2600000000000003E-2</v>
      </c>
      <c r="J567" s="699">
        <v>6.2600000000000003E-2</v>
      </c>
      <c r="K567" s="699">
        <v>6.2600000000000003E-2</v>
      </c>
      <c r="L567" s="697">
        <v>16</v>
      </c>
    </row>
    <row r="568" spans="1:12">
      <c r="A568" s="695">
        <v>43740</v>
      </c>
      <c r="B568" s="696" t="s">
        <v>2206</v>
      </c>
      <c r="C568" s="697">
        <v>28</v>
      </c>
      <c r="D568" s="695">
        <v>43769</v>
      </c>
      <c r="E568" s="698">
        <v>170</v>
      </c>
      <c r="F568" s="698">
        <v>515.09320000000002</v>
      </c>
      <c r="G568" s="698">
        <v>170</v>
      </c>
      <c r="H568" s="698">
        <v>0</v>
      </c>
      <c r="I568" s="699">
        <v>6.2600000000000003E-2</v>
      </c>
      <c r="J568" s="699">
        <v>6.2600000000000003E-2</v>
      </c>
      <c r="K568" s="699">
        <v>6.2600000000000003E-2</v>
      </c>
      <c r="L568" s="697">
        <v>15</v>
      </c>
    </row>
    <row r="569" spans="1:12">
      <c r="A569" s="695">
        <v>43742</v>
      </c>
      <c r="B569" s="696" t="s">
        <v>2207</v>
      </c>
      <c r="C569" s="697">
        <v>168</v>
      </c>
      <c r="D569" s="695">
        <v>43913</v>
      </c>
      <c r="E569" s="698">
        <v>30</v>
      </c>
      <c r="F569" s="698">
        <v>117.325</v>
      </c>
      <c r="G569" s="698">
        <v>30</v>
      </c>
      <c r="H569" s="698">
        <v>0</v>
      </c>
      <c r="I569" s="699">
        <v>5.8000000000000003E-2</v>
      </c>
      <c r="J569" s="699">
        <v>6.1400000000000003E-2</v>
      </c>
      <c r="K569" s="699">
        <v>6.0600000000000001E-2</v>
      </c>
      <c r="L569" s="697">
        <v>9</v>
      </c>
    </row>
    <row r="570" spans="1:12">
      <c r="A570" s="695">
        <v>43747</v>
      </c>
      <c r="B570" s="696" t="s">
        <v>2208</v>
      </c>
      <c r="C570" s="697">
        <v>28</v>
      </c>
      <c r="D570" s="695">
        <v>43776</v>
      </c>
      <c r="E570" s="698">
        <v>170</v>
      </c>
      <c r="F570" s="698">
        <v>647.71220000000005</v>
      </c>
      <c r="G570" s="698">
        <v>170</v>
      </c>
      <c r="H570" s="698">
        <v>0</v>
      </c>
      <c r="I570" s="699">
        <v>6.2600000000000003E-2</v>
      </c>
      <c r="J570" s="699">
        <v>6.2600000000000003E-2</v>
      </c>
      <c r="K570" s="699">
        <v>6.2600000000000003E-2</v>
      </c>
      <c r="L570" s="697">
        <v>14</v>
      </c>
    </row>
    <row r="571" spans="1:12">
      <c r="A571" s="695">
        <v>43749</v>
      </c>
      <c r="B571" s="696" t="s">
        <v>2209</v>
      </c>
      <c r="C571" s="697">
        <v>252</v>
      </c>
      <c r="D571" s="695">
        <v>44004</v>
      </c>
      <c r="E571" s="698">
        <v>30</v>
      </c>
      <c r="F571" s="698">
        <v>116.8794</v>
      </c>
      <c r="G571" s="698">
        <v>30</v>
      </c>
      <c r="H571" s="698">
        <v>0</v>
      </c>
      <c r="I571" s="699">
        <v>0.06</v>
      </c>
      <c r="J571" s="699">
        <v>6.1499999999999999E-2</v>
      </c>
      <c r="K571" s="699">
        <v>6.1400000000000003E-2</v>
      </c>
      <c r="L571" s="697">
        <v>7</v>
      </c>
    </row>
    <row r="572" spans="1:12">
      <c r="A572" s="695">
        <v>43754</v>
      </c>
      <c r="B572" s="696" t="s">
        <v>2210</v>
      </c>
      <c r="C572" s="697">
        <v>28</v>
      </c>
      <c r="D572" s="695">
        <v>43783</v>
      </c>
      <c r="E572" s="698">
        <v>170</v>
      </c>
      <c r="F572" s="698">
        <v>547.24869999999999</v>
      </c>
      <c r="G572" s="698">
        <v>170</v>
      </c>
      <c r="H572" s="698">
        <v>0</v>
      </c>
      <c r="I572" s="699">
        <v>6.2600000000000003E-2</v>
      </c>
      <c r="J572" s="699">
        <v>6.2600000000000003E-2</v>
      </c>
      <c r="K572" s="699">
        <v>6.2600000000000003E-2</v>
      </c>
      <c r="L572" s="697">
        <v>14</v>
      </c>
    </row>
    <row r="573" spans="1:12">
      <c r="A573" s="695">
        <v>43761</v>
      </c>
      <c r="B573" s="696" t="s">
        <v>2211</v>
      </c>
      <c r="C573" s="697">
        <v>28</v>
      </c>
      <c r="D573" s="695">
        <v>43790</v>
      </c>
      <c r="E573" s="698">
        <v>100</v>
      </c>
      <c r="F573" s="698">
        <v>470.81040000000002</v>
      </c>
      <c r="G573" s="698">
        <v>100</v>
      </c>
      <c r="H573" s="698">
        <v>0</v>
      </c>
      <c r="I573" s="699">
        <v>6.2600000000000003E-2</v>
      </c>
      <c r="J573" s="699">
        <v>6.2600000000000003E-2</v>
      </c>
      <c r="K573" s="699">
        <v>6.2600000000000003E-2</v>
      </c>
      <c r="L573" s="697">
        <v>13</v>
      </c>
    </row>
    <row r="574" spans="1:12">
      <c r="A574" s="695">
        <v>43768</v>
      </c>
      <c r="B574" s="696" t="s">
        <v>2212</v>
      </c>
      <c r="C574" s="697">
        <v>28</v>
      </c>
      <c r="D574" s="695">
        <v>43797</v>
      </c>
      <c r="E574" s="698">
        <v>170</v>
      </c>
      <c r="F574" s="698">
        <v>665.99120000000005</v>
      </c>
      <c r="G574" s="698">
        <v>170</v>
      </c>
      <c r="H574" s="698">
        <v>0</v>
      </c>
      <c r="I574" s="699">
        <v>6.0100000000000001E-2</v>
      </c>
      <c r="J574" s="699">
        <v>6.0100000000000001E-2</v>
      </c>
      <c r="K574" s="699">
        <v>6.0100000000000001E-2</v>
      </c>
      <c r="L574" s="697">
        <v>14</v>
      </c>
    </row>
    <row r="575" spans="1:12">
      <c r="A575" s="695">
        <v>43775</v>
      </c>
      <c r="B575" s="696" t="s">
        <v>2214</v>
      </c>
      <c r="C575" s="697">
        <v>28</v>
      </c>
      <c r="D575" s="695">
        <v>43804</v>
      </c>
      <c r="E575" s="698">
        <v>170</v>
      </c>
      <c r="F575" s="698">
        <v>664.08630000000005</v>
      </c>
      <c r="G575" s="698">
        <v>170</v>
      </c>
      <c r="H575" s="698">
        <v>0</v>
      </c>
      <c r="I575" s="699">
        <v>6.0100000000000001E-2</v>
      </c>
      <c r="J575" s="699">
        <v>6.0100000000000001E-2</v>
      </c>
      <c r="K575" s="699">
        <v>6.0100000000000001E-2</v>
      </c>
      <c r="L575" s="697">
        <v>14</v>
      </c>
    </row>
    <row r="576" spans="1:12">
      <c r="A576" s="695">
        <v>43782</v>
      </c>
      <c r="B576" s="696" t="s">
        <v>2215</v>
      </c>
      <c r="C576" s="697">
        <v>28</v>
      </c>
      <c r="D576" s="695">
        <v>43811</v>
      </c>
      <c r="E576" s="698">
        <v>170</v>
      </c>
      <c r="F576" s="698">
        <v>773.34690000000001</v>
      </c>
      <c r="G576" s="698">
        <v>170</v>
      </c>
      <c r="H576" s="698">
        <v>0</v>
      </c>
      <c r="I576" s="699">
        <v>6.0100000000000001E-2</v>
      </c>
      <c r="J576" s="699">
        <v>6.0100000000000001E-2</v>
      </c>
      <c r="K576" s="699">
        <v>6.0100000000000001E-2</v>
      </c>
      <c r="L576" s="697">
        <v>14</v>
      </c>
    </row>
    <row r="577" spans="1:12">
      <c r="A577" s="695">
        <v>43789</v>
      </c>
      <c r="B577" s="696" t="s">
        <v>2216</v>
      </c>
      <c r="C577" s="697">
        <v>28</v>
      </c>
      <c r="D577" s="695">
        <v>43818</v>
      </c>
      <c r="E577" s="698">
        <v>100</v>
      </c>
      <c r="F577" s="698">
        <v>661.61</v>
      </c>
      <c r="G577" s="698">
        <v>100</v>
      </c>
      <c r="H577" s="698">
        <v>0</v>
      </c>
      <c r="I577" s="699">
        <v>6.0100000000000001E-2</v>
      </c>
      <c r="J577" s="699">
        <v>6.0100000000000001E-2</v>
      </c>
      <c r="K577" s="699">
        <v>6.0100000000000001E-2</v>
      </c>
      <c r="L577" s="697">
        <v>15</v>
      </c>
    </row>
    <row r="578" spans="1:12">
      <c r="A578" s="695">
        <v>43796</v>
      </c>
      <c r="B578" s="696" t="s">
        <v>2217</v>
      </c>
      <c r="C578" s="697">
        <v>28</v>
      </c>
      <c r="D578" s="695">
        <v>43825</v>
      </c>
      <c r="E578" s="698">
        <v>170</v>
      </c>
      <c r="F578" s="698">
        <v>858.91160000000002</v>
      </c>
      <c r="G578" s="698">
        <v>170</v>
      </c>
      <c r="H578" s="698">
        <v>0</v>
      </c>
      <c r="I578" s="699">
        <v>6.0100000000000001E-2</v>
      </c>
      <c r="J578" s="699">
        <v>6.0100000000000001E-2</v>
      </c>
      <c r="K578" s="699">
        <v>6.0100000000000001E-2</v>
      </c>
      <c r="L578" s="697">
        <v>15</v>
      </c>
    </row>
    <row r="579" spans="1:12">
      <c r="A579" s="695">
        <v>43803</v>
      </c>
      <c r="B579" s="696" t="s">
        <v>2346</v>
      </c>
      <c r="C579" s="697">
        <v>29</v>
      </c>
      <c r="D579" s="695">
        <v>43833</v>
      </c>
      <c r="E579" s="698">
        <v>170</v>
      </c>
      <c r="F579" s="698">
        <v>879.09469999999999</v>
      </c>
      <c r="G579" s="698">
        <v>170</v>
      </c>
      <c r="H579" s="698">
        <v>0</v>
      </c>
      <c r="I579" s="699">
        <v>6.0100000000000001E-2</v>
      </c>
      <c r="J579" s="699">
        <v>6.0100000000000001E-2</v>
      </c>
      <c r="K579" s="699">
        <v>6.0100000000000001E-2</v>
      </c>
      <c r="L579" s="697">
        <v>16</v>
      </c>
    </row>
    <row r="580" spans="1:12">
      <c r="A580" s="695">
        <v>43810</v>
      </c>
      <c r="B580" s="696" t="s">
        <v>2347</v>
      </c>
      <c r="C580" s="697">
        <v>28</v>
      </c>
      <c r="D580" s="695">
        <v>43839</v>
      </c>
      <c r="E580" s="698">
        <v>170</v>
      </c>
      <c r="F580" s="698">
        <v>991.84730000000002</v>
      </c>
      <c r="G580" s="698">
        <v>170</v>
      </c>
      <c r="H580" s="698">
        <v>0</v>
      </c>
      <c r="I580" s="699">
        <v>6.0100000000000001E-2</v>
      </c>
      <c r="J580" s="699">
        <v>6.0100000000000001E-2</v>
      </c>
      <c r="K580" s="699">
        <v>6.0100000000000001E-2</v>
      </c>
      <c r="L580" s="697">
        <v>17</v>
      </c>
    </row>
    <row r="581" spans="1:12">
      <c r="A581" s="695">
        <v>43812</v>
      </c>
      <c r="B581" s="696" t="s">
        <v>2348</v>
      </c>
      <c r="C581" s="697">
        <v>84</v>
      </c>
      <c r="D581" s="695">
        <v>43899</v>
      </c>
      <c r="E581" s="698">
        <v>50</v>
      </c>
      <c r="F581" s="698">
        <v>162.3313</v>
      </c>
      <c r="G581" s="698">
        <v>30</v>
      </c>
      <c r="H581" s="698">
        <v>0</v>
      </c>
      <c r="I581" s="699">
        <v>5.5E-2</v>
      </c>
      <c r="J581" s="699">
        <v>5.5E-2</v>
      </c>
      <c r="K581" s="699">
        <v>5.5E-2</v>
      </c>
      <c r="L581" s="697">
        <v>12</v>
      </c>
    </row>
    <row r="582" spans="1:12">
      <c r="A582" s="695">
        <v>43817</v>
      </c>
      <c r="B582" s="696" t="s">
        <v>2349</v>
      </c>
      <c r="C582" s="697">
        <v>28</v>
      </c>
      <c r="D582" s="695">
        <v>43846</v>
      </c>
      <c r="E582" s="698">
        <v>100</v>
      </c>
      <c r="F582" s="698">
        <v>779.08900000000006</v>
      </c>
      <c r="G582" s="698">
        <v>100</v>
      </c>
      <c r="H582" s="698">
        <v>0</v>
      </c>
      <c r="I582" s="699">
        <v>5.7599999999999998E-2</v>
      </c>
      <c r="J582" s="699">
        <v>5.7599999999999998E-2</v>
      </c>
      <c r="K582" s="699">
        <v>5.7599999999999998E-2</v>
      </c>
      <c r="L582" s="697">
        <v>15</v>
      </c>
    </row>
    <row r="583" spans="1:12" s="439" customFormat="1">
      <c r="A583" s="695">
        <v>43824</v>
      </c>
      <c r="B583" s="696" t="s">
        <v>2350</v>
      </c>
      <c r="C583" s="697">
        <v>28</v>
      </c>
      <c r="D583" s="695">
        <v>43853</v>
      </c>
      <c r="E583" s="698">
        <v>170</v>
      </c>
      <c r="F583" s="698">
        <v>940.89739999999995</v>
      </c>
      <c r="G583" s="698">
        <v>170</v>
      </c>
      <c r="H583" s="698">
        <v>0</v>
      </c>
      <c r="I583" s="699">
        <v>5.7599999999999998E-2</v>
      </c>
      <c r="J583" s="699">
        <v>5.7599999999999998E-2</v>
      </c>
      <c r="K583" s="699">
        <v>5.7599999999999998E-2</v>
      </c>
      <c r="L583" s="697">
        <v>13</v>
      </c>
    </row>
    <row r="584" spans="1:12" s="439" customFormat="1">
      <c r="A584" s="897">
        <v>2020</v>
      </c>
      <c r="B584" s="696"/>
      <c r="C584" s="697"/>
      <c r="D584" s="695"/>
      <c r="E584" s="698"/>
      <c r="F584" s="698"/>
      <c r="G584" s="698"/>
      <c r="H584" s="698"/>
      <c r="I584" s="699"/>
      <c r="J584" s="699"/>
      <c r="K584" s="699"/>
      <c r="L584" s="697"/>
    </row>
    <row r="585" spans="1:12">
      <c r="A585" s="695">
        <v>43840</v>
      </c>
      <c r="B585" s="696" t="s">
        <v>2363</v>
      </c>
      <c r="C585" s="697">
        <v>84</v>
      </c>
      <c r="D585" s="695">
        <v>43927</v>
      </c>
      <c r="E585" s="698">
        <v>50</v>
      </c>
      <c r="F585" s="698">
        <v>371.39929999999998</v>
      </c>
      <c r="G585" s="698">
        <v>50</v>
      </c>
      <c r="H585" s="698">
        <v>0</v>
      </c>
      <c r="I585" s="699">
        <v>4.7500000000000001E-2</v>
      </c>
      <c r="J585" s="699">
        <v>0.05</v>
      </c>
      <c r="K585" s="699">
        <v>4.9299999999999997E-2</v>
      </c>
      <c r="L585" s="697">
        <v>16</v>
      </c>
    </row>
    <row r="586" spans="1:12" s="439" customFormat="1">
      <c r="A586" s="695">
        <v>43847</v>
      </c>
      <c r="B586" s="696" t="s">
        <v>2364</v>
      </c>
      <c r="C586" s="697">
        <v>168</v>
      </c>
      <c r="D586" s="695">
        <v>44018</v>
      </c>
      <c r="E586" s="698">
        <v>50</v>
      </c>
      <c r="F586" s="698">
        <v>269.2527</v>
      </c>
      <c r="G586" s="698">
        <v>50</v>
      </c>
      <c r="H586" s="698">
        <v>0</v>
      </c>
      <c r="I586" s="699">
        <v>4.48E-2</v>
      </c>
      <c r="J586" s="699">
        <v>4.4999999999999998E-2</v>
      </c>
      <c r="K586" s="699">
        <v>4.48E-2</v>
      </c>
      <c r="L586" s="697">
        <v>15</v>
      </c>
    </row>
    <row r="587" spans="1:12">
      <c r="A587" s="695">
        <v>43854</v>
      </c>
      <c r="B587" s="696" t="s">
        <v>2365</v>
      </c>
      <c r="C587" s="697">
        <v>252</v>
      </c>
      <c r="D587" s="695">
        <v>44109</v>
      </c>
      <c r="E587" s="698">
        <v>30</v>
      </c>
      <c r="F587" s="698">
        <v>151.86660000000001</v>
      </c>
      <c r="G587" s="698">
        <v>30</v>
      </c>
      <c r="H587" s="698">
        <v>0</v>
      </c>
      <c r="I587" s="699">
        <v>4.1000000000000002E-2</v>
      </c>
      <c r="J587" s="699">
        <v>4.1000000000000002E-2</v>
      </c>
      <c r="K587" s="699">
        <v>4.1000000000000002E-2</v>
      </c>
      <c r="L587" s="697">
        <v>15</v>
      </c>
    </row>
    <row r="588" spans="1:12" s="439" customFormat="1">
      <c r="A588" s="695">
        <v>43868</v>
      </c>
      <c r="B588" s="696" t="s">
        <v>2623</v>
      </c>
      <c r="C588" s="697">
        <v>84</v>
      </c>
      <c r="D588" s="695">
        <v>43955</v>
      </c>
      <c r="E588" s="698">
        <v>50</v>
      </c>
      <c r="F588" s="698">
        <v>265.37180000000001</v>
      </c>
      <c r="G588" s="698">
        <v>50</v>
      </c>
      <c r="H588" s="698">
        <v>-6.6306000000000003</v>
      </c>
      <c r="I588" s="699">
        <v>3.6900000000000002E-2</v>
      </c>
      <c r="J588" s="699">
        <v>3.6999999999999998E-2</v>
      </c>
      <c r="K588" s="699">
        <v>3.6900000000000002E-2</v>
      </c>
      <c r="L588" s="697">
        <v>15</v>
      </c>
    </row>
    <row r="589" spans="1:12">
      <c r="A589" s="695">
        <v>43875</v>
      </c>
      <c r="B589" s="696" t="s">
        <v>2622</v>
      </c>
      <c r="C589" s="697">
        <v>168</v>
      </c>
      <c r="D589" s="695">
        <v>44046</v>
      </c>
      <c r="E589" s="698">
        <v>50</v>
      </c>
      <c r="F589" s="698">
        <v>193.89320000000001</v>
      </c>
      <c r="G589" s="698">
        <v>50</v>
      </c>
      <c r="H589" s="698">
        <v>-1.0177</v>
      </c>
      <c r="I589" s="699">
        <v>3.5000000000000003E-2</v>
      </c>
      <c r="J589" s="699">
        <v>3.7999999999999999E-2</v>
      </c>
      <c r="K589" s="699">
        <v>3.7900000000000003E-2</v>
      </c>
      <c r="L589" s="697">
        <v>12</v>
      </c>
    </row>
    <row r="590" spans="1:12" s="439" customFormat="1">
      <c r="A590" s="695">
        <v>43882</v>
      </c>
      <c r="B590" s="696" t="s">
        <v>2621</v>
      </c>
      <c r="C590" s="697">
        <v>252</v>
      </c>
      <c r="D590" s="695">
        <v>44137</v>
      </c>
      <c r="E590" s="698">
        <v>30</v>
      </c>
      <c r="F590" s="698">
        <v>101.6311</v>
      </c>
      <c r="G590" s="698">
        <v>30</v>
      </c>
      <c r="H590" s="698">
        <v>-1.0270999999999999</v>
      </c>
      <c r="I590" s="699">
        <v>3.6999999999999998E-2</v>
      </c>
      <c r="J590" s="699">
        <v>3.8899999999999997E-2</v>
      </c>
      <c r="K590" s="699">
        <v>3.85E-2</v>
      </c>
      <c r="L590" s="697">
        <v>8</v>
      </c>
    </row>
    <row r="591" spans="1:12">
      <c r="A591" s="695">
        <v>43896</v>
      </c>
      <c r="B591" s="696" t="s">
        <v>2392</v>
      </c>
      <c r="C591" s="697">
        <v>84</v>
      </c>
      <c r="D591" s="695">
        <v>43983</v>
      </c>
      <c r="E591" s="698">
        <v>50</v>
      </c>
      <c r="F591" s="698">
        <v>217.51920000000001</v>
      </c>
      <c r="G591" s="698">
        <v>50</v>
      </c>
      <c r="H591" s="698">
        <v>-9.0625</v>
      </c>
      <c r="I591" s="699">
        <v>2.9100000000000001E-2</v>
      </c>
      <c r="J591" s="699">
        <v>3.5400000000000001E-2</v>
      </c>
      <c r="K591" s="699">
        <v>3.4299999999999997E-2</v>
      </c>
      <c r="L591" s="697">
        <v>11</v>
      </c>
    </row>
    <row r="592" spans="1:12">
      <c r="A592" s="695">
        <v>43922</v>
      </c>
      <c r="B592" s="696" t="s">
        <v>2400</v>
      </c>
      <c r="C592" s="697">
        <v>28</v>
      </c>
      <c r="D592" s="695">
        <v>43950</v>
      </c>
      <c r="E592" s="698">
        <v>200</v>
      </c>
      <c r="F592" s="698">
        <v>37.701500000000003</v>
      </c>
      <c r="G592" s="698">
        <v>37.701500000000003</v>
      </c>
      <c r="H592" s="698">
        <v>0</v>
      </c>
      <c r="I592" s="699">
        <v>6.7599999999999993E-2</v>
      </c>
      <c r="J592" s="699">
        <v>7.22E-2</v>
      </c>
      <c r="K592" s="699">
        <v>6.9099999999999995E-2</v>
      </c>
      <c r="L592" s="697">
        <v>3</v>
      </c>
    </row>
    <row r="593" spans="1:12">
      <c r="A593" s="695">
        <v>43929</v>
      </c>
      <c r="B593" s="696" t="s">
        <v>2401</v>
      </c>
      <c r="C593" s="697">
        <v>28</v>
      </c>
      <c r="D593" s="695">
        <v>43957</v>
      </c>
      <c r="E593" s="698">
        <v>100</v>
      </c>
      <c r="F593" s="698">
        <v>104.5647</v>
      </c>
      <c r="G593" s="698">
        <v>100</v>
      </c>
      <c r="H593" s="698">
        <v>0</v>
      </c>
      <c r="I593" s="699">
        <v>6.7599999999999993E-2</v>
      </c>
      <c r="J593" s="699">
        <v>7.2400000000000006E-2</v>
      </c>
      <c r="K593" s="699">
        <v>6.9699999999999998E-2</v>
      </c>
      <c r="L593" s="697">
        <v>5</v>
      </c>
    </row>
    <row r="594" spans="1:12">
      <c r="A594" s="695">
        <v>43936</v>
      </c>
      <c r="B594" s="696" t="s">
        <v>2402</v>
      </c>
      <c r="C594" s="697">
        <v>28</v>
      </c>
      <c r="D594" s="695">
        <v>43964</v>
      </c>
      <c r="E594" s="698">
        <v>200</v>
      </c>
      <c r="F594" s="698">
        <v>253.87129999999999</v>
      </c>
      <c r="G594" s="698">
        <v>200</v>
      </c>
      <c r="H594" s="698">
        <v>0</v>
      </c>
      <c r="I594" s="699">
        <v>6.7599999999999993E-2</v>
      </c>
      <c r="J594" s="699">
        <v>6.9800000000000001E-2</v>
      </c>
      <c r="K594" s="699">
        <v>6.9500000000000006E-2</v>
      </c>
      <c r="L594" s="697">
        <v>8</v>
      </c>
    </row>
    <row r="595" spans="1:12">
      <c r="A595" s="695">
        <v>43943</v>
      </c>
      <c r="B595" s="696" t="s">
        <v>2403</v>
      </c>
      <c r="C595" s="697">
        <v>28</v>
      </c>
      <c r="D595" s="695">
        <v>43971</v>
      </c>
      <c r="E595" s="698">
        <v>200</v>
      </c>
      <c r="F595" s="698">
        <v>308.02629999999999</v>
      </c>
      <c r="G595" s="698">
        <v>200</v>
      </c>
      <c r="H595" s="698">
        <v>0</v>
      </c>
      <c r="I595" s="699">
        <v>6.7599999999999993E-2</v>
      </c>
      <c r="J595" s="699">
        <v>6.7599999999999993E-2</v>
      </c>
      <c r="K595" s="699">
        <v>6.7599999999999993E-2</v>
      </c>
      <c r="L595" s="697">
        <v>10</v>
      </c>
    </row>
    <row r="596" spans="1:12">
      <c r="A596" s="695">
        <v>43950</v>
      </c>
      <c r="B596" s="696" t="s">
        <v>2404</v>
      </c>
      <c r="C596" s="697">
        <v>28</v>
      </c>
      <c r="D596" s="695">
        <v>43978</v>
      </c>
      <c r="E596" s="698">
        <v>200</v>
      </c>
      <c r="F596" s="698">
        <v>333.09539999999998</v>
      </c>
      <c r="G596" s="698">
        <v>100</v>
      </c>
      <c r="H596" s="698">
        <v>0</v>
      </c>
      <c r="I596" s="699">
        <v>6.7599999999999993E-2</v>
      </c>
      <c r="J596" s="699">
        <v>6.7599999999999993E-2</v>
      </c>
      <c r="K596" s="699">
        <v>6.7599999999999993E-2</v>
      </c>
      <c r="L596" s="697">
        <v>11</v>
      </c>
    </row>
    <row r="597" spans="1:12">
      <c r="A597" s="695">
        <v>43957</v>
      </c>
      <c r="B597" s="696" t="s">
        <v>2410</v>
      </c>
      <c r="C597" s="697">
        <v>28</v>
      </c>
      <c r="D597" s="695">
        <v>43985</v>
      </c>
      <c r="E597" s="698">
        <v>150</v>
      </c>
      <c r="F597" s="698">
        <v>224.55719999999999</v>
      </c>
      <c r="G597" s="698">
        <v>150</v>
      </c>
      <c r="H597" s="698">
        <v>0</v>
      </c>
      <c r="I597" s="699">
        <v>6.7599999999999993E-2</v>
      </c>
      <c r="J597" s="699">
        <v>6.7599999999999993E-2</v>
      </c>
      <c r="K597" s="699">
        <v>6.7599999999999993E-2</v>
      </c>
      <c r="L597" s="697">
        <v>7</v>
      </c>
    </row>
    <row r="598" spans="1:12">
      <c r="A598" s="695">
        <v>43964</v>
      </c>
      <c r="B598" s="696" t="s">
        <v>2411</v>
      </c>
      <c r="C598" s="697">
        <v>28</v>
      </c>
      <c r="D598" s="695">
        <v>43992</v>
      </c>
      <c r="E598" s="698">
        <v>200</v>
      </c>
      <c r="F598" s="698">
        <v>136.53059999999999</v>
      </c>
      <c r="G598" s="698">
        <v>136.53059999999999</v>
      </c>
      <c r="H598" s="698">
        <v>0</v>
      </c>
      <c r="I598" s="699">
        <v>6.7599999999999993E-2</v>
      </c>
      <c r="J598" s="699">
        <v>7.0000000000000007E-2</v>
      </c>
      <c r="K598" s="699">
        <v>6.9199999999999998E-2</v>
      </c>
      <c r="L598" s="697">
        <v>4</v>
      </c>
    </row>
    <row r="599" spans="1:12">
      <c r="A599" s="695">
        <v>43971</v>
      </c>
      <c r="B599" s="696" t="s">
        <v>2412</v>
      </c>
      <c r="C599" s="697">
        <v>28</v>
      </c>
      <c r="D599" s="695">
        <v>43999</v>
      </c>
      <c r="E599" s="698">
        <v>200</v>
      </c>
      <c r="F599" s="698">
        <v>337.66469999999998</v>
      </c>
      <c r="G599" s="698">
        <v>200</v>
      </c>
      <c r="H599" s="698">
        <v>0</v>
      </c>
      <c r="I599" s="699">
        <v>6.7599999999999993E-2</v>
      </c>
      <c r="J599" s="699">
        <v>6.7599999999999993E-2</v>
      </c>
      <c r="K599" s="699">
        <v>6.7599999999999993E-2</v>
      </c>
      <c r="L599" s="697">
        <v>10</v>
      </c>
    </row>
    <row r="600" spans="1:12">
      <c r="A600" s="695">
        <v>43985</v>
      </c>
      <c r="B600" s="696" t="s">
        <v>2415</v>
      </c>
      <c r="C600" s="697">
        <v>28</v>
      </c>
      <c r="D600" s="695">
        <v>44013</v>
      </c>
      <c r="E600" s="698">
        <v>250</v>
      </c>
      <c r="F600" s="698">
        <v>539.31880000000001</v>
      </c>
      <c r="G600" s="698">
        <v>250</v>
      </c>
      <c r="H600" s="698">
        <v>0</v>
      </c>
      <c r="I600" s="699">
        <v>6.7599999999999993E-2</v>
      </c>
      <c r="J600" s="699">
        <v>6.7599999999999993E-2</v>
      </c>
      <c r="K600" s="699">
        <v>6.7599999999999993E-2</v>
      </c>
      <c r="L600" s="697">
        <v>12</v>
      </c>
    </row>
    <row r="601" spans="1:12">
      <c r="A601" s="695">
        <v>43992</v>
      </c>
      <c r="B601" s="696" t="s">
        <v>2416</v>
      </c>
      <c r="C601" s="697">
        <v>28</v>
      </c>
      <c r="D601" s="695">
        <v>44020</v>
      </c>
      <c r="E601" s="698">
        <v>100</v>
      </c>
      <c r="F601" s="698">
        <v>98.266199999999998</v>
      </c>
      <c r="G601" s="698">
        <v>98.266199999999998</v>
      </c>
      <c r="H601" s="698">
        <v>0</v>
      </c>
      <c r="I601" s="699">
        <v>6.7599999999999993E-2</v>
      </c>
      <c r="J601" s="699">
        <v>6.7599999999999993E-2</v>
      </c>
      <c r="K601" s="699">
        <v>6.7599999999999993E-2</v>
      </c>
      <c r="L601" s="697">
        <v>8</v>
      </c>
    </row>
    <row r="602" spans="1:12">
      <c r="A602" s="695">
        <v>43999</v>
      </c>
      <c r="B602" s="696" t="s">
        <v>2417</v>
      </c>
      <c r="C602" s="697">
        <v>28</v>
      </c>
      <c r="D602" s="695">
        <v>44027</v>
      </c>
      <c r="E602" s="698">
        <v>200</v>
      </c>
      <c r="F602" s="698">
        <v>408.54129999999998</v>
      </c>
      <c r="G602" s="698">
        <v>200</v>
      </c>
      <c r="H602" s="698">
        <v>0</v>
      </c>
      <c r="I602" s="699">
        <v>6.7599999999999993E-2</v>
      </c>
      <c r="J602" s="699">
        <v>6.7599999999999993E-2</v>
      </c>
      <c r="K602" s="699">
        <v>6.7599999999999993E-2</v>
      </c>
      <c r="L602" s="697">
        <v>12</v>
      </c>
    </row>
    <row r="603" spans="1:12">
      <c r="A603" s="695">
        <v>44006</v>
      </c>
      <c r="B603" s="696" t="s">
        <v>2418</v>
      </c>
      <c r="C603" s="697">
        <v>28</v>
      </c>
      <c r="D603" s="695">
        <v>44034</v>
      </c>
      <c r="E603" s="698">
        <v>100</v>
      </c>
      <c r="F603" s="698">
        <v>314.21390000000002</v>
      </c>
      <c r="G603" s="698">
        <v>100</v>
      </c>
      <c r="H603" s="698">
        <v>0</v>
      </c>
      <c r="I603" s="699">
        <v>6.5100000000000005E-2</v>
      </c>
      <c r="J603" s="699">
        <v>6.5100000000000005E-2</v>
      </c>
      <c r="K603" s="699">
        <v>6.5100000000000005E-2</v>
      </c>
      <c r="L603" s="697">
        <v>12</v>
      </c>
    </row>
    <row r="604" spans="1:12">
      <c r="A604" s="695">
        <v>44013</v>
      </c>
      <c r="B604" s="696" t="s">
        <v>2420</v>
      </c>
      <c r="C604" s="697">
        <v>28</v>
      </c>
      <c r="D604" s="695">
        <v>44041</v>
      </c>
      <c r="E604" s="698">
        <v>200</v>
      </c>
      <c r="F604" s="698">
        <v>525.94150000000002</v>
      </c>
      <c r="G604" s="698">
        <v>200</v>
      </c>
      <c r="H604" s="698">
        <v>0</v>
      </c>
      <c r="I604" s="699">
        <v>6.5100000000000005E-2</v>
      </c>
      <c r="J604" s="699">
        <v>6.5100000000000005E-2</v>
      </c>
      <c r="K604" s="699">
        <v>6.5100000000000005E-2</v>
      </c>
      <c r="L604" s="697">
        <v>11</v>
      </c>
    </row>
    <row r="605" spans="1:12">
      <c r="A605" s="695">
        <v>44020</v>
      </c>
      <c r="B605" s="696" t="s">
        <v>2421</v>
      </c>
      <c r="C605" s="697">
        <v>28</v>
      </c>
      <c r="D605" s="695">
        <v>44048</v>
      </c>
      <c r="E605" s="698">
        <v>100</v>
      </c>
      <c r="F605" s="698">
        <v>435.98399999999998</v>
      </c>
      <c r="G605" s="698">
        <v>100</v>
      </c>
      <c r="H605" s="698">
        <v>0</v>
      </c>
      <c r="I605" s="699">
        <v>6.5100000000000005E-2</v>
      </c>
      <c r="J605" s="699">
        <v>6.5100000000000005E-2</v>
      </c>
      <c r="K605" s="699">
        <v>6.5100000000000005E-2</v>
      </c>
      <c r="L605" s="697">
        <v>15</v>
      </c>
    </row>
    <row r="606" spans="1:12">
      <c r="A606" s="695">
        <v>44027</v>
      </c>
      <c r="B606" s="696" t="s">
        <v>2422</v>
      </c>
      <c r="C606" s="697">
        <v>28</v>
      </c>
      <c r="D606" s="695">
        <v>44055</v>
      </c>
      <c r="E606" s="698">
        <v>200</v>
      </c>
      <c r="F606" s="698">
        <v>554.49069999999995</v>
      </c>
      <c r="G606" s="698">
        <v>200</v>
      </c>
      <c r="H606" s="698">
        <v>0</v>
      </c>
      <c r="I606" s="699">
        <v>6.5100000000000005E-2</v>
      </c>
      <c r="J606" s="699">
        <v>6.5100000000000005E-2</v>
      </c>
      <c r="K606" s="699">
        <v>6.5100000000000005E-2</v>
      </c>
      <c r="L606" s="697">
        <v>11</v>
      </c>
    </row>
    <row r="607" spans="1:12">
      <c r="A607" s="695">
        <v>44034</v>
      </c>
      <c r="B607" s="696" t="s">
        <v>2423</v>
      </c>
      <c r="C607" s="697">
        <v>28</v>
      </c>
      <c r="D607" s="695">
        <v>44062</v>
      </c>
      <c r="E607" s="698">
        <v>100</v>
      </c>
      <c r="F607" s="698">
        <v>407.75229999999999</v>
      </c>
      <c r="G607" s="698">
        <v>100</v>
      </c>
      <c r="H607" s="698">
        <v>0</v>
      </c>
      <c r="I607" s="699">
        <v>6.5100000000000005E-2</v>
      </c>
      <c r="J607" s="699">
        <v>6.5100000000000005E-2</v>
      </c>
      <c r="K607" s="699">
        <v>6.5100000000000005E-2</v>
      </c>
      <c r="L607" s="697">
        <v>15</v>
      </c>
    </row>
    <row r="608" spans="1:12">
      <c r="A608" s="695">
        <v>44041</v>
      </c>
      <c r="B608" s="696" t="s">
        <v>2424</v>
      </c>
      <c r="C608" s="697">
        <v>28</v>
      </c>
      <c r="D608" s="695">
        <v>44069</v>
      </c>
      <c r="E608" s="698">
        <v>200</v>
      </c>
      <c r="F608" s="698">
        <v>623.6454</v>
      </c>
      <c r="G608" s="698">
        <v>200</v>
      </c>
      <c r="H608" s="698">
        <v>0</v>
      </c>
      <c r="I608" s="699">
        <v>6.5100000000000005E-2</v>
      </c>
      <c r="J608" s="699">
        <v>6.5100000000000005E-2</v>
      </c>
      <c r="K608" s="699">
        <v>6.5100000000000005E-2</v>
      </c>
      <c r="L608" s="697">
        <v>14</v>
      </c>
    </row>
    <row r="609" spans="1:12">
      <c r="A609" s="695">
        <v>44048</v>
      </c>
      <c r="B609" s="696" t="s">
        <v>2432</v>
      </c>
      <c r="C609" s="697">
        <v>28</v>
      </c>
      <c r="D609" s="695">
        <v>44076</v>
      </c>
      <c r="E609" s="698">
        <v>150</v>
      </c>
      <c r="F609" s="698">
        <v>556.17259999999999</v>
      </c>
      <c r="G609" s="698">
        <v>150</v>
      </c>
      <c r="H609" s="698">
        <v>0</v>
      </c>
      <c r="I609" s="699">
        <v>6.2600000000000003E-2</v>
      </c>
      <c r="J609" s="699">
        <v>6.2600000000000003E-2</v>
      </c>
      <c r="K609" s="699">
        <v>6.2600000000000003E-2</v>
      </c>
      <c r="L609" s="697">
        <v>15</v>
      </c>
    </row>
    <row r="610" spans="1:12">
      <c r="A610" s="695">
        <v>44055</v>
      </c>
      <c r="B610" s="696" t="s">
        <v>2433</v>
      </c>
      <c r="C610" s="697">
        <v>28</v>
      </c>
      <c r="D610" s="695">
        <v>44083</v>
      </c>
      <c r="E610" s="698">
        <v>200</v>
      </c>
      <c r="F610" s="698">
        <v>629.35329999999999</v>
      </c>
      <c r="G610" s="698">
        <v>200</v>
      </c>
      <c r="H610" s="698">
        <v>0</v>
      </c>
      <c r="I610" s="699">
        <v>6.2600000000000003E-2</v>
      </c>
      <c r="J610" s="699">
        <v>6.2600000000000003E-2</v>
      </c>
      <c r="K610" s="699">
        <v>6.2600000000000003E-2</v>
      </c>
      <c r="L610" s="697">
        <v>14</v>
      </c>
    </row>
    <row r="611" spans="1:12">
      <c r="A611" s="695">
        <v>44062</v>
      </c>
      <c r="B611" s="696" t="s">
        <v>2434</v>
      </c>
      <c r="C611" s="697">
        <v>28</v>
      </c>
      <c r="D611" s="695">
        <v>44090</v>
      </c>
      <c r="E611" s="698">
        <v>100</v>
      </c>
      <c r="F611" s="698">
        <v>468.09730000000002</v>
      </c>
      <c r="G611" s="698">
        <v>100</v>
      </c>
      <c r="H611" s="698">
        <v>0</v>
      </c>
      <c r="I611" s="699">
        <v>6.2600000000000003E-2</v>
      </c>
      <c r="J611" s="699">
        <v>6.2600000000000003E-2</v>
      </c>
      <c r="K611" s="699">
        <v>6.2600000000000003E-2</v>
      </c>
      <c r="L611" s="697">
        <v>14</v>
      </c>
    </row>
    <row r="612" spans="1:12">
      <c r="A612" s="695">
        <v>44069</v>
      </c>
      <c r="B612" s="696" t="s">
        <v>2435</v>
      </c>
      <c r="C612" s="697">
        <v>28</v>
      </c>
      <c r="D612" s="695">
        <v>44097</v>
      </c>
      <c r="E612" s="698">
        <v>200</v>
      </c>
      <c r="F612" s="698">
        <v>693.35670000000005</v>
      </c>
      <c r="G612" s="698">
        <v>200</v>
      </c>
      <c r="H612" s="698">
        <v>0</v>
      </c>
      <c r="I612" s="699">
        <v>6.2600000000000003E-2</v>
      </c>
      <c r="J612" s="699">
        <v>6.2600000000000003E-2</v>
      </c>
      <c r="K612" s="699">
        <v>6.2600000000000003E-2</v>
      </c>
      <c r="L612" s="697">
        <v>14</v>
      </c>
    </row>
    <row r="613" spans="1:12">
      <c r="A613" s="695">
        <v>44076</v>
      </c>
      <c r="B613" s="696" t="s">
        <v>2482</v>
      </c>
      <c r="C613" s="697">
        <v>28</v>
      </c>
      <c r="D613" s="695">
        <v>44104</v>
      </c>
      <c r="E613" s="698">
        <v>150</v>
      </c>
      <c r="F613" s="698">
        <v>590.35720000000003</v>
      </c>
      <c r="G613" s="698">
        <v>150</v>
      </c>
      <c r="H613" s="698">
        <v>0</v>
      </c>
      <c r="I613" s="699">
        <v>6.2600000000000003E-2</v>
      </c>
      <c r="J613" s="699">
        <v>6.2600000000000003E-2</v>
      </c>
      <c r="K613" s="699">
        <v>6.2600000000000003E-2</v>
      </c>
      <c r="L613" s="697">
        <v>15</v>
      </c>
    </row>
    <row r="614" spans="1:12">
      <c r="A614" s="695">
        <v>44083</v>
      </c>
      <c r="B614" s="696" t="s">
        <v>2483</v>
      </c>
      <c r="C614" s="697">
        <v>28</v>
      </c>
      <c r="D614" s="695">
        <v>44111</v>
      </c>
      <c r="E614" s="698">
        <v>200</v>
      </c>
      <c r="F614" s="698">
        <v>806.90599999999995</v>
      </c>
      <c r="G614" s="698">
        <v>200</v>
      </c>
      <c r="H614" s="698">
        <v>0</v>
      </c>
      <c r="I614" s="699">
        <v>6.2600000000000003E-2</v>
      </c>
      <c r="J614" s="699">
        <v>6.2600000000000003E-2</v>
      </c>
      <c r="K614" s="699">
        <v>6.2600000000000003E-2</v>
      </c>
      <c r="L614" s="697">
        <v>15</v>
      </c>
    </row>
    <row r="615" spans="1:12">
      <c r="A615" s="695">
        <v>44090</v>
      </c>
      <c r="B615" s="696" t="s">
        <v>2484</v>
      </c>
      <c r="C615" s="697">
        <v>28</v>
      </c>
      <c r="D615" s="695">
        <v>44118</v>
      </c>
      <c r="E615" s="698">
        <v>100</v>
      </c>
      <c r="F615" s="698">
        <v>643.61530000000005</v>
      </c>
      <c r="G615" s="698">
        <v>100</v>
      </c>
      <c r="H615" s="698">
        <v>0</v>
      </c>
      <c r="I615" s="699">
        <v>6.2600000000000003E-2</v>
      </c>
      <c r="J615" s="699">
        <v>6.2600000000000003E-2</v>
      </c>
      <c r="K615" s="699">
        <v>6.2600000000000003E-2</v>
      </c>
      <c r="L615" s="697">
        <v>18</v>
      </c>
    </row>
    <row r="616" spans="1:12">
      <c r="A616" s="695">
        <v>44097</v>
      </c>
      <c r="B616" s="696" t="s">
        <v>2485</v>
      </c>
      <c r="C616" s="697">
        <v>28</v>
      </c>
      <c r="D616" s="695">
        <v>44125</v>
      </c>
      <c r="E616" s="698">
        <v>200</v>
      </c>
      <c r="F616" s="698">
        <v>947.58100000000002</v>
      </c>
      <c r="G616" s="698">
        <v>200</v>
      </c>
      <c r="H616" s="698">
        <v>0</v>
      </c>
      <c r="I616" s="699">
        <v>6.0100000000000001E-2</v>
      </c>
      <c r="J616" s="699">
        <v>6.0100000000000001E-2</v>
      </c>
      <c r="K616" s="699">
        <v>6.0100000000000001E-2</v>
      </c>
      <c r="L616" s="697">
        <v>15</v>
      </c>
    </row>
    <row r="617" spans="1:12">
      <c r="A617" s="695">
        <v>44104</v>
      </c>
      <c r="B617" s="696" t="s">
        <v>2486</v>
      </c>
      <c r="C617" s="697">
        <v>28</v>
      </c>
      <c r="D617" s="695">
        <v>44132</v>
      </c>
      <c r="E617" s="698">
        <v>150</v>
      </c>
      <c r="F617" s="698">
        <v>693.92550000000006</v>
      </c>
      <c r="G617" s="698">
        <v>150</v>
      </c>
      <c r="H617" s="698">
        <v>0</v>
      </c>
      <c r="I617" s="699">
        <v>6.0100000000000001E-2</v>
      </c>
      <c r="J617" s="699">
        <v>6.0100000000000001E-2</v>
      </c>
      <c r="K617" s="699">
        <v>6.0100000000000001E-2</v>
      </c>
      <c r="L617" s="697">
        <v>14</v>
      </c>
    </row>
    <row r="618" spans="1:12">
      <c r="A618" s="695">
        <v>44111</v>
      </c>
      <c r="B618" s="696" t="s">
        <v>2491</v>
      </c>
      <c r="C618" s="697">
        <v>28</v>
      </c>
      <c r="D618" s="695">
        <v>44111</v>
      </c>
      <c r="E618" s="698">
        <v>250</v>
      </c>
      <c r="F618" s="698">
        <v>725.88810000000001</v>
      </c>
      <c r="G618" s="698">
        <v>200</v>
      </c>
      <c r="H618" s="698">
        <v>0</v>
      </c>
      <c r="I618" s="699">
        <v>6.0100000000000001E-2</v>
      </c>
      <c r="J618" s="699">
        <v>6.0100000000000001E-2</v>
      </c>
      <c r="K618" s="699">
        <v>6.0100000000000001E-2</v>
      </c>
      <c r="L618" s="697">
        <v>14</v>
      </c>
    </row>
    <row r="619" spans="1:12">
      <c r="A619" s="695">
        <v>44118</v>
      </c>
      <c r="B619" s="696" t="s">
        <v>2492</v>
      </c>
      <c r="C619" s="697">
        <v>28</v>
      </c>
      <c r="D619" s="695">
        <v>44118</v>
      </c>
      <c r="E619" s="698">
        <v>100</v>
      </c>
      <c r="F619" s="698">
        <v>582.49390000000005</v>
      </c>
      <c r="G619" s="698">
        <v>100</v>
      </c>
      <c r="H619" s="698">
        <v>0</v>
      </c>
      <c r="I619" s="699">
        <v>6.0100000000000001E-2</v>
      </c>
      <c r="J619" s="699">
        <v>6.0100000000000001E-2</v>
      </c>
      <c r="K619" s="699">
        <v>6.0100000000000001E-2</v>
      </c>
      <c r="L619" s="697">
        <v>16</v>
      </c>
    </row>
    <row r="620" spans="1:12">
      <c r="A620" s="695">
        <v>44125</v>
      </c>
      <c r="B620" s="696" t="s">
        <v>2493</v>
      </c>
      <c r="C620" s="697">
        <v>28</v>
      </c>
      <c r="D620" s="695">
        <v>44125</v>
      </c>
      <c r="E620" s="698">
        <v>200</v>
      </c>
      <c r="F620" s="698">
        <v>898.54859999999996</v>
      </c>
      <c r="G620" s="698">
        <v>200</v>
      </c>
      <c r="H620" s="698">
        <v>0</v>
      </c>
      <c r="I620" s="699">
        <v>6.0100000000000001E-2</v>
      </c>
      <c r="J620" s="699">
        <v>6.0100000000000001E-2</v>
      </c>
      <c r="K620" s="699">
        <v>6.0100000000000001E-2</v>
      </c>
      <c r="L620" s="697">
        <v>16</v>
      </c>
    </row>
    <row r="621" spans="1:12">
      <c r="A621" s="695">
        <v>44132</v>
      </c>
      <c r="B621" s="696" t="s">
        <v>2494</v>
      </c>
      <c r="C621" s="697">
        <v>28</v>
      </c>
      <c r="D621" s="695">
        <v>44132</v>
      </c>
      <c r="E621" s="698">
        <v>150</v>
      </c>
      <c r="F621" s="698">
        <v>740.21569999999997</v>
      </c>
      <c r="G621" s="698">
        <v>150</v>
      </c>
      <c r="H621" s="698">
        <v>0</v>
      </c>
      <c r="I621" s="699">
        <v>6.0100000000000001E-2</v>
      </c>
      <c r="J621" s="699">
        <v>6.0100000000000001E-2</v>
      </c>
      <c r="K621" s="699">
        <v>6.0100000000000001E-2</v>
      </c>
      <c r="L621" s="697">
        <v>13</v>
      </c>
    </row>
    <row r="622" spans="1:12">
      <c r="A622" s="695">
        <v>44139</v>
      </c>
      <c r="B622" s="696" t="s">
        <v>2496</v>
      </c>
      <c r="C622" s="697">
        <v>28</v>
      </c>
      <c r="D622" s="695">
        <v>44167</v>
      </c>
      <c r="E622" s="698">
        <v>200</v>
      </c>
      <c r="F622" s="698">
        <v>877.27869999999996</v>
      </c>
      <c r="G622" s="698">
        <v>200</v>
      </c>
      <c r="H622" s="698">
        <v>0</v>
      </c>
      <c r="I622" s="699">
        <v>6.0100000000000001E-2</v>
      </c>
      <c r="J622" s="699">
        <v>6.0100000000000001E-2</v>
      </c>
      <c r="K622" s="699">
        <v>6.0100000000000001E-2</v>
      </c>
      <c r="L622" s="697">
        <v>14</v>
      </c>
    </row>
    <row r="623" spans="1:12">
      <c r="A623" s="695">
        <v>44146</v>
      </c>
      <c r="B623" s="696" t="s">
        <v>2497</v>
      </c>
      <c r="C623" s="697">
        <v>28</v>
      </c>
      <c r="D623" s="695">
        <v>44174</v>
      </c>
      <c r="E623" s="698">
        <v>100</v>
      </c>
      <c r="F623" s="698">
        <v>462.07459999999998</v>
      </c>
      <c r="G623" s="698">
        <v>100</v>
      </c>
      <c r="H623" s="698">
        <v>0</v>
      </c>
      <c r="I623" s="699">
        <v>6.0100000000000001E-2</v>
      </c>
      <c r="J623" s="699">
        <v>6.0100000000000001E-2</v>
      </c>
      <c r="K623" s="699">
        <v>6.0100000000000001E-2</v>
      </c>
      <c r="L623" s="697">
        <v>13</v>
      </c>
    </row>
    <row r="624" spans="1:12">
      <c r="A624" s="695">
        <v>44153</v>
      </c>
      <c r="B624" s="696" t="s">
        <v>2498</v>
      </c>
      <c r="C624" s="697">
        <v>28</v>
      </c>
      <c r="D624" s="695">
        <v>44181</v>
      </c>
      <c r="E624" s="698">
        <v>200</v>
      </c>
      <c r="F624" s="698">
        <v>693.95519999999999</v>
      </c>
      <c r="G624" s="698">
        <v>200</v>
      </c>
      <c r="H624" s="698">
        <v>0</v>
      </c>
      <c r="I624" s="699">
        <v>6.0100000000000001E-2</v>
      </c>
      <c r="J624" s="699">
        <v>6.0100000000000001E-2</v>
      </c>
      <c r="K624" s="699">
        <v>6.0100000000000001E-2</v>
      </c>
      <c r="L624" s="697">
        <v>14</v>
      </c>
    </row>
    <row r="625" spans="1:12">
      <c r="A625" s="695">
        <v>44160</v>
      </c>
      <c r="B625" s="696" t="s">
        <v>2499</v>
      </c>
      <c r="C625" s="697">
        <v>28</v>
      </c>
      <c r="D625" s="695">
        <v>44188</v>
      </c>
      <c r="E625" s="698">
        <v>150</v>
      </c>
      <c r="F625" s="698">
        <v>805.29200000000003</v>
      </c>
      <c r="G625" s="698">
        <v>150</v>
      </c>
      <c r="H625" s="698">
        <v>0</v>
      </c>
      <c r="I625" s="699">
        <v>6.0100000000000001E-2</v>
      </c>
      <c r="J625" s="699">
        <v>6.0100000000000001E-2</v>
      </c>
      <c r="K625" s="699">
        <v>6.0100000000000001E-2</v>
      </c>
      <c r="L625" s="697">
        <v>14</v>
      </c>
    </row>
    <row r="626" spans="1:12">
      <c r="A626" s="695">
        <v>44167</v>
      </c>
      <c r="B626" s="696" t="s">
        <v>2518</v>
      </c>
      <c r="C626" s="697">
        <v>28</v>
      </c>
      <c r="D626" s="695">
        <v>44195</v>
      </c>
      <c r="E626" s="698">
        <v>200</v>
      </c>
      <c r="F626" s="698">
        <v>728.73919999999998</v>
      </c>
      <c r="G626" s="698">
        <v>200</v>
      </c>
      <c r="H626" s="698">
        <v>0</v>
      </c>
      <c r="I626" s="699">
        <v>6.0100000000000001E-2</v>
      </c>
      <c r="J626" s="699">
        <v>6.0100000000000001E-2</v>
      </c>
      <c r="K626" s="699">
        <v>6.0100000000000001E-2</v>
      </c>
      <c r="L626" s="697">
        <v>17</v>
      </c>
    </row>
    <row r="627" spans="1:12">
      <c r="A627" s="695">
        <v>44174</v>
      </c>
      <c r="B627" s="696" t="s">
        <v>2519</v>
      </c>
      <c r="C627" s="697">
        <v>28</v>
      </c>
      <c r="D627" s="695">
        <v>44202</v>
      </c>
      <c r="E627" s="698">
        <v>100</v>
      </c>
      <c r="F627" s="698">
        <v>438.7799</v>
      </c>
      <c r="G627" s="698">
        <v>100</v>
      </c>
      <c r="H627" s="698">
        <v>0</v>
      </c>
      <c r="I627" s="699">
        <v>6.0100000000000001E-2</v>
      </c>
      <c r="J627" s="699">
        <v>6.0100000000000001E-2</v>
      </c>
      <c r="K627" s="699">
        <v>6.0100000000000001E-2</v>
      </c>
      <c r="L627" s="697">
        <v>10</v>
      </c>
    </row>
    <row r="628" spans="1:12">
      <c r="A628" s="695">
        <v>44181</v>
      </c>
      <c r="B628" s="696" t="s">
        <v>2520</v>
      </c>
      <c r="C628" s="697">
        <v>28</v>
      </c>
      <c r="D628" s="695">
        <v>44209</v>
      </c>
      <c r="E628" s="698">
        <v>200</v>
      </c>
      <c r="F628" s="698">
        <v>895.50750000000005</v>
      </c>
      <c r="G628" s="698">
        <v>200</v>
      </c>
      <c r="H628" s="698">
        <v>0</v>
      </c>
      <c r="I628" s="699">
        <v>6.0100000000000001E-2</v>
      </c>
      <c r="J628" s="699">
        <v>6.0100000000000001E-2</v>
      </c>
      <c r="K628" s="699">
        <v>6.0100000000000001E-2</v>
      </c>
      <c r="L628" s="697">
        <v>15</v>
      </c>
    </row>
    <row r="629" spans="1:12">
      <c r="A629" s="695">
        <v>44188</v>
      </c>
      <c r="B629" s="696" t="s">
        <v>2521</v>
      </c>
      <c r="C629" s="697">
        <v>28</v>
      </c>
      <c r="D629" s="695">
        <v>44216</v>
      </c>
      <c r="E629" s="698">
        <v>150</v>
      </c>
      <c r="F629" s="698">
        <v>841.46510000000001</v>
      </c>
      <c r="G629" s="698">
        <v>150</v>
      </c>
      <c r="H629" s="698">
        <v>0</v>
      </c>
      <c r="I629" s="699">
        <v>5.7599999999999998E-2</v>
      </c>
      <c r="J629" s="699">
        <v>5.7599999999999998E-2</v>
      </c>
      <c r="K629" s="699">
        <v>5.7599999999999998E-2</v>
      </c>
      <c r="L629" s="697">
        <v>16</v>
      </c>
    </row>
    <row r="630" spans="1:12">
      <c r="A630" s="695">
        <v>44195</v>
      </c>
      <c r="B630" s="696" t="s">
        <v>2522</v>
      </c>
      <c r="C630" s="697">
        <v>28</v>
      </c>
      <c r="D630" s="695">
        <v>44223</v>
      </c>
      <c r="E630" s="698">
        <v>200</v>
      </c>
      <c r="F630" s="698">
        <v>847.33600000000001</v>
      </c>
      <c r="G630" s="698">
        <v>150</v>
      </c>
      <c r="H630" s="698">
        <v>0</v>
      </c>
      <c r="I630" s="699">
        <v>5.7599999999999998E-2</v>
      </c>
      <c r="J630" s="699">
        <v>5.7599999999999998E-2</v>
      </c>
      <c r="K630" s="699">
        <v>5.7599999999999998E-2</v>
      </c>
      <c r="L630" s="697">
        <v>16</v>
      </c>
    </row>
    <row r="631" spans="1:12">
      <c r="A631" s="897">
        <v>2021</v>
      </c>
      <c r="B631" s="696"/>
      <c r="C631" s="697"/>
      <c r="D631" s="695"/>
      <c r="E631" s="698"/>
      <c r="F631" s="698"/>
      <c r="G631" s="698"/>
      <c r="H631" s="698"/>
      <c r="I631" s="699"/>
      <c r="J631" s="699"/>
      <c r="K631" s="699"/>
      <c r="L631" s="697"/>
    </row>
    <row r="632" spans="1:12">
      <c r="A632" s="695">
        <v>44202</v>
      </c>
      <c r="B632" s="696" t="s">
        <v>2524</v>
      </c>
      <c r="C632" s="697">
        <v>28</v>
      </c>
      <c r="D632" s="695">
        <v>44230</v>
      </c>
      <c r="E632" s="698">
        <v>250</v>
      </c>
      <c r="F632" s="698">
        <v>1000.3454</v>
      </c>
      <c r="G632" s="698">
        <v>250</v>
      </c>
      <c r="H632" s="698">
        <v>0</v>
      </c>
      <c r="I632" s="699">
        <v>5.7599999999999998E-2</v>
      </c>
      <c r="J632" s="699">
        <v>5.7599999999999998E-2</v>
      </c>
      <c r="K632" s="699">
        <v>5.7599999999999998E-2</v>
      </c>
      <c r="L632" s="697">
        <v>16</v>
      </c>
    </row>
    <row r="633" spans="1:12">
      <c r="A633" s="695">
        <v>44204</v>
      </c>
      <c r="B633" s="696" t="s">
        <v>2525</v>
      </c>
      <c r="C633" s="697">
        <v>84</v>
      </c>
      <c r="D633" s="695">
        <v>44288</v>
      </c>
      <c r="E633" s="698">
        <v>150</v>
      </c>
      <c r="F633" s="698">
        <v>442.50869999999998</v>
      </c>
      <c r="G633" s="698">
        <v>150</v>
      </c>
      <c r="H633" s="698">
        <v>0</v>
      </c>
      <c r="I633" s="699">
        <v>4.9000000000000002E-2</v>
      </c>
      <c r="J633" s="699">
        <v>0.06</v>
      </c>
      <c r="K633" s="699">
        <v>5.6800000000000003E-2</v>
      </c>
      <c r="L633" s="697">
        <v>13</v>
      </c>
    </row>
    <row r="634" spans="1:12">
      <c r="A634" s="695">
        <v>44211</v>
      </c>
      <c r="B634" s="696" t="s">
        <v>2526</v>
      </c>
      <c r="C634" s="697">
        <v>168</v>
      </c>
      <c r="D634" s="695">
        <v>44379</v>
      </c>
      <c r="E634" s="698">
        <v>120</v>
      </c>
      <c r="F634" s="698">
        <v>293.08080000000001</v>
      </c>
      <c r="G634" s="698">
        <v>120</v>
      </c>
      <c r="H634" s="698">
        <v>0</v>
      </c>
      <c r="I634" s="699">
        <v>5.74E-2</v>
      </c>
      <c r="J634" s="699">
        <v>5.7500000000000002E-2</v>
      </c>
      <c r="K634" s="699">
        <v>5.7500000000000002E-2</v>
      </c>
      <c r="L634" s="697">
        <v>10</v>
      </c>
    </row>
    <row r="635" spans="1:12">
      <c r="A635" s="695">
        <v>44217</v>
      </c>
      <c r="B635" s="696" t="s">
        <v>2527</v>
      </c>
      <c r="C635" s="697">
        <v>28</v>
      </c>
      <c r="D635" s="695">
        <v>44244</v>
      </c>
      <c r="E635" s="698">
        <v>200</v>
      </c>
      <c r="F635" s="698">
        <v>864.18939999999998</v>
      </c>
      <c r="G635" s="698">
        <v>200</v>
      </c>
      <c r="H635" s="698">
        <v>0</v>
      </c>
      <c r="I635" s="699">
        <v>5.7599999999999998E-2</v>
      </c>
      <c r="J635" s="699">
        <v>5.7599999999999998E-2</v>
      </c>
      <c r="K635" s="699">
        <v>5.7599999999999998E-2</v>
      </c>
      <c r="L635" s="697">
        <v>17</v>
      </c>
    </row>
    <row r="636" spans="1:12">
      <c r="A636" s="695">
        <v>44218</v>
      </c>
      <c r="B636" s="696" t="s">
        <v>2528</v>
      </c>
      <c r="C636" s="697">
        <v>252</v>
      </c>
      <c r="D636" s="695">
        <v>44470</v>
      </c>
      <c r="E636" s="698">
        <v>100</v>
      </c>
      <c r="F636" s="698">
        <v>222.11670000000001</v>
      </c>
      <c r="G636" s="698">
        <v>100</v>
      </c>
      <c r="H636" s="698">
        <v>0</v>
      </c>
      <c r="I636" s="699">
        <v>5.7500000000000002E-2</v>
      </c>
      <c r="J636" s="699">
        <v>6.2399999999999997E-2</v>
      </c>
      <c r="K636" s="699">
        <v>6.2100000000000002E-2</v>
      </c>
      <c r="L636" s="697">
        <v>7</v>
      </c>
    </row>
    <row r="637" spans="1:12">
      <c r="A637" s="695">
        <v>44223</v>
      </c>
      <c r="B637" s="696" t="s">
        <v>2529</v>
      </c>
      <c r="C637" s="697">
        <v>28</v>
      </c>
      <c r="D637" s="695">
        <v>44251</v>
      </c>
      <c r="E637" s="698">
        <v>200</v>
      </c>
      <c r="F637" s="698">
        <v>760.46770000000004</v>
      </c>
      <c r="G637" s="698">
        <v>200</v>
      </c>
      <c r="H637" s="698">
        <v>0</v>
      </c>
      <c r="I637" s="699">
        <v>5.7599999999999998E-2</v>
      </c>
      <c r="J637" s="699">
        <v>5.7599999999999998E-2</v>
      </c>
      <c r="K637" s="699">
        <v>5.7599999999999998E-2</v>
      </c>
      <c r="L637" s="697">
        <v>16</v>
      </c>
    </row>
    <row r="638" spans="1:12">
      <c r="A638" s="695">
        <v>44230</v>
      </c>
      <c r="B638" s="696" t="s">
        <v>2538</v>
      </c>
      <c r="C638" s="697">
        <v>28</v>
      </c>
      <c r="D638" s="695">
        <v>44258</v>
      </c>
      <c r="E638" s="698">
        <v>150</v>
      </c>
      <c r="F638" s="698">
        <v>573.31010000000003</v>
      </c>
      <c r="G638" s="698">
        <v>150</v>
      </c>
      <c r="H638" s="698">
        <v>0</v>
      </c>
      <c r="I638" s="699">
        <v>5.7599999999999998E-2</v>
      </c>
      <c r="J638" s="699">
        <v>5.7599999999999998E-2</v>
      </c>
      <c r="K638" s="699">
        <v>5.7599999999999998E-2</v>
      </c>
      <c r="L638" s="697">
        <v>14</v>
      </c>
    </row>
    <row r="639" spans="1:12">
      <c r="A639" s="695">
        <v>44237</v>
      </c>
      <c r="B639" s="696" t="s">
        <v>2539</v>
      </c>
      <c r="C639" s="697">
        <v>28</v>
      </c>
      <c r="D639" s="695">
        <v>44265</v>
      </c>
      <c r="E639" s="698">
        <v>100</v>
      </c>
      <c r="F639" s="698">
        <v>371.10320000000002</v>
      </c>
      <c r="G639" s="698">
        <v>100</v>
      </c>
      <c r="H639" s="698">
        <v>0</v>
      </c>
      <c r="I639" s="699">
        <v>5.7599999999999998E-2</v>
      </c>
      <c r="J639" s="699">
        <v>5.7599999999999998E-2</v>
      </c>
      <c r="K639" s="699">
        <v>5.7599999999999998E-2</v>
      </c>
      <c r="L639" s="697">
        <v>13</v>
      </c>
    </row>
    <row r="640" spans="1:12">
      <c r="A640" s="695">
        <v>44244</v>
      </c>
      <c r="B640" s="696" t="s">
        <v>2540</v>
      </c>
      <c r="C640" s="697">
        <v>28</v>
      </c>
      <c r="D640" s="695">
        <v>44272</v>
      </c>
      <c r="E640" s="698">
        <v>200</v>
      </c>
      <c r="F640" s="698">
        <v>597.19470000000001</v>
      </c>
      <c r="G640" s="698">
        <v>200</v>
      </c>
      <c r="H640" s="698">
        <v>0</v>
      </c>
      <c r="I640" s="699">
        <v>5.7599999999999998E-2</v>
      </c>
      <c r="J640" s="699">
        <v>5.7599999999999998E-2</v>
      </c>
      <c r="K640" s="699">
        <v>5.7599999999999998E-2</v>
      </c>
      <c r="L640" s="697">
        <v>11</v>
      </c>
    </row>
    <row r="641" spans="1:12">
      <c r="A641" s="695">
        <v>44251</v>
      </c>
      <c r="B641" s="696" t="s">
        <v>2541</v>
      </c>
      <c r="C641" s="697">
        <v>28</v>
      </c>
      <c r="D641" s="695">
        <v>44279</v>
      </c>
      <c r="E641" s="698">
        <v>200</v>
      </c>
      <c r="F641" s="698">
        <v>642.31910000000005</v>
      </c>
      <c r="G641" s="698">
        <v>200</v>
      </c>
      <c r="H641" s="698">
        <v>0</v>
      </c>
      <c r="I641" s="699">
        <v>5.7599999999999998E-2</v>
      </c>
      <c r="J641" s="699">
        <v>5.7599999999999998E-2</v>
      </c>
      <c r="K641" s="699">
        <v>5.7599999999999998E-2</v>
      </c>
      <c r="L641" s="697">
        <v>14</v>
      </c>
    </row>
    <row r="642" spans="1:12">
      <c r="A642" s="695">
        <v>44258</v>
      </c>
      <c r="B642" s="696" t="s">
        <v>2547</v>
      </c>
      <c r="C642" s="697">
        <v>28</v>
      </c>
      <c r="D642" s="695">
        <v>44286</v>
      </c>
      <c r="E642" s="698">
        <v>150</v>
      </c>
      <c r="F642" s="698">
        <v>572.28800000000001</v>
      </c>
      <c r="G642" s="698">
        <v>150</v>
      </c>
      <c r="H642" s="698">
        <v>0</v>
      </c>
      <c r="I642" s="699">
        <v>5.7599999999999998E-2</v>
      </c>
      <c r="J642" s="699">
        <v>5.7599999999999998E-2</v>
      </c>
      <c r="K642" s="699">
        <v>5.7599999999999998E-2</v>
      </c>
      <c r="L642" s="697">
        <v>14</v>
      </c>
    </row>
    <row r="643" spans="1:12">
      <c r="A643" s="695">
        <v>44265</v>
      </c>
      <c r="B643" s="696" t="s">
        <v>2548</v>
      </c>
      <c r="C643" s="697">
        <v>28</v>
      </c>
      <c r="D643" s="695">
        <v>44293</v>
      </c>
      <c r="E643" s="698">
        <v>150</v>
      </c>
      <c r="F643" s="698">
        <v>501.697</v>
      </c>
      <c r="G643" s="698">
        <v>100</v>
      </c>
      <c r="H643" s="698">
        <v>0</v>
      </c>
      <c r="I643" s="699">
        <v>5.7599999999999998E-2</v>
      </c>
      <c r="J643" s="699">
        <v>5.7599999999999998E-2</v>
      </c>
      <c r="K643" s="699">
        <v>5.7599999999999998E-2</v>
      </c>
      <c r="L643" s="697">
        <v>13</v>
      </c>
    </row>
    <row r="644" spans="1:12">
      <c r="A644" s="695">
        <v>44272</v>
      </c>
      <c r="B644" s="696" t="s">
        <v>2549</v>
      </c>
      <c r="C644" s="697">
        <v>28</v>
      </c>
      <c r="D644" s="695">
        <v>44300</v>
      </c>
      <c r="E644" s="698">
        <v>200</v>
      </c>
      <c r="F644" s="698">
        <v>801.89469999999994</v>
      </c>
      <c r="G644" s="698">
        <v>200</v>
      </c>
      <c r="H644" s="698">
        <v>0</v>
      </c>
      <c r="I644" s="699">
        <v>5.7599999999999998E-2</v>
      </c>
      <c r="J644" s="699">
        <v>5.7599999999999998E-2</v>
      </c>
      <c r="K644" s="699">
        <v>5.7599999999999998E-2</v>
      </c>
      <c r="L644" s="697">
        <v>13</v>
      </c>
    </row>
    <row r="645" spans="1:12">
      <c r="A645" s="695">
        <v>44286</v>
      </c>
      <c r="B645" s="696" t="s">
        <v>2550</v>
      </c>
      <c r="C645" s="697">
        <v>28</v>
      </c>
      <c r="D645" s="695">
        <v>44314</v>
      </c>
      <c r="E645" s="698">
        <v>150</v>
      </c>
      <c r="F645" s="698">
        <v>860.72400000000005</v>
      </c>
      <c r="G645" s="698">
        <v>150</v>
      </c>
      <c r="H645" s="698">
        <v>0</v>
      </c>
      <c r="I645" s="699">
        <v>5.7599999999999998E-2</v>
      </c>
      <c r="J645" s="699">
        <v>5.7599999999999998E-2</v>
      </c>
      <c r="K645" s="699">
        <v>5.7599999999999998E-2</v>
      </c>
      <c r="L645" s="697">
        <v>16</v>
      </c>
    </row>
    <row r="646" spans="1:12">
      <c r="A646" s="695">
        <v>44293</v>
      </c>
      <c r="B646" s="696" t="s">
        <v>2556</v>
      </c>
      <c r="C646" s="697">
        <v>28</v>
      </c>
      <c r="D646" s="695">
        <v>44321</v>
      </c>
      <c r="E646" s="698">
        <v>100</v>
      </c>
      <c r="F646" s="698">
        <v>1000.4962</v>
      </c>
      <c r="G646" s="698">
        <v>100</v>
      </c>
      <c r="H646" s="698">
        <v>0</v>
      </c>
      <c r="I646" s="699">
        <v>5.7599999999999998E-2</v>
      </c>
      <c r="J646" s="699">
        <v>5.7599999999999998E-2</v>
      </c>
      <c r="K646" s="699">
        <v>5.7599999999999998E-2</v>
      </c>
      <c r="L646" s="697">
        <v>19</v>
      </c>
    </row>
    <row r="647" spans="1:12">
      <c r="A647" s="695">
        <v>44300</v>
      </c>
      <c r="B647" s="696" t="s">
        <v>2557</v>
      </c>
      <c r="C647" s="697">
        <v>28</v>
      </c>
      <c r="D647" s="695">
        <v>44328</v>
      </c>
      <c r="E647" s="698">
        <v>100</v>
      </c>
      <c r="F647" s="698">
        <v>842.42719999999997</v>
      </c>
      <c r="G647" s="698">
        <v>100</v>
      </c>
      <c r="H647" s="698">
        <v>0</v>
      </c>
      <c r="I647" s="699">
        <v>5.7599999999999998E-2</v>
      </c>
      <c r="J647" s="699">
        <v>5.7599999999999998E-2</v>
      </c>
      <c r="K647" s="699">
        <v>5.7599999999999998E-2</v>
      </c>
      <c r="L647" s="697">
        <v>17</v>
      </c>
    </row>
    <row r="648" spans="1:12">
      <c r="A648" s="695">
        <v>44307</v>
      </c>
      <c r="B648" s="696" t="s">
        <v>2558</v>
      </c>
      <c r="C648" s="697">
        <v>28</v>
      </c>
      <c r="D648" s="695">
        <v>44335</v>
      </c>
      <c r="E648" s="698">
        <v>100</v>
      </c>
      <c r="F648" s="698">
        <v>859.13070000000005</v>
      </c>
      <c r="G648" s="698">
        <v>100</v>
      </c>
      <c r="H648" s="698">
        <v>0</v>
      </c>
      <c r="I648" s="699">
        <v>5.7599999999999998E-2</v>
      </c>
      <c r="J648" s="699">
        <v>5.7599999999999998E-2</v>
      </c>
      <c r="K648" s="699">
        <v>5.7599999999999998E-2</v>
      </c>
      <c r="L648" s="697">
        <v>18</v>
      </c>
    </row>
    <row r="649" spans="1:12">
      <c r="A649" s="695">
        <v>44314</v>
      </c>
      <c r="B649" s="696" t="s">
        <v>2559</v>
      </c>
      <c r="C649" s="697">
        <v>28</v>
      </c>
      <c r="D649" s="695">
        <v>44342</v>
      </c>
      <c r="E649" s="698">
        <v>150</v>
      </c>
      <c r="F649" s="698">
        <v>915.27850000000001</v>
      </c>
      <c r="G649" s="698">
        <v>150</v>
      </c>
      <c r="H649" s="698">
        <v>0</v>
      </c>
      <c r="I649" s="699">
        <v>5.7599999999999998E-2</v>
      </c>
      <c r="J649" s="699">
        <v>5.7599999999999998E-2</v>
      </c>
      <c r="K649" s="699">
        <v>5.7599999999999998E-2</v>
      </c>
      <c r="L649" s="697">
        <v>19</v>
      </c>
    </row>
    <row r="650" spans="1:12">
      <c r="A650" s="695">
        <v>44321</v>
      </c>
      <c r="B650" s="696" t="s">
        <v>2567</v>
      </c>
      <c r="C650" s="697">
        <v>28</v>
      </c>
      <c r="D650" s="695">
        <v>44349</v>
      </c>
      <c r="E650" s="698">
        <v>100</v>
      </c>
      <c r="F650" s="698">
        <v>632.81920000000002</v>
      </c>
      <c r="G650" s="698">
        <v>100</v>
      </c>
      <c r="H650" s="698">
        <v>0</v>
      </c>
      <c r="I650" s="699">
        <v>5.7599999999999998E-2</v>
      </c>
      <c r="J650" s="699">
        <v>5.7599999999999998E-2</v>
      </c>
      <c r="K650" s="699">
        <v>5.7599999999999998E-2</v>
      </c>
      <c r="L650" s="697">
        <v>19</v>
      </c>
    </row>
    <row r="651" spans="1:12">
      <c r="A651" s="695">
        <v>44335</v>
      </c>
      <c r="B651" s="696" t="s">
        <v>2568</v>
      </c>
      <c r="C651" s="697">
        <v>28</v>
      </c>
      <c r="D651" s="695">
        <v>44363</v>
      </c>
      <c r="E651" s="698">
        <v>100</v>
      </c>
      <c r="F651" s="698">
        <v>738.75670000000002</v>
      </c>
      <c r="G651" s="698">
        <v>100</v>
      </c>
      <c r="H651" s="698">
        <v>0</v>
      </c>
      <c r="I651" s="699">
        <v>5.7599999999999998E-2</v>
      </c>
      <c r="J651" s="699">
        <v>5.7599999999999998E-2</v>
      </c>
      <c r="K651" s="699">
        <v>5.7599999999999998E-2</v>
      </c>
      <c r="L651" s="697">
        <v>18</v>
      </c>
    </row>
    <row r="652" spans="1:12">
      <c r="A652" s="695">
        <v>44342</v>
      </c>
      <c r="B652" s="696" t="s">
        <v>2569</v>
      </c>
      <c r="C652" s="697">
        <v>28</v>
      </c>
      <c r="D652" s="695">
        <v>44370</v>
      </c>
      <c r="E652" s="698">
        <v>100</v>
      </c>
      <c r="F652" s="698">
        <v>782.72220000000004</v>
      </c>
      <c r="G652" s="698">
        <v>100</v>
      </c>
      <c r="H652" s="698">
        <v>0</v>
      </c>
      <c r="I652" s="699">
        <v>5.7599999999999998E-2</v>
      </c>
      <c r="J652" s="699">
        <v>5.7599999999999998E-2</v>
      </c>
      <c r="K652" s="699">
        <v>5.7599999999999998E-2</v>
      </c>
      <c r="L652" s="697">
        <v>18</v>
      </c>
    </row>
    <row r="653" spans="1:12">
      <c r="A653" s="695">
        <v>44349</v>
      </c>
      <c r="B653" s="696" t="s">
        <v>2578</v>
      </c>
      <c r="C653" s="697">
        <v>28</v>
      </c>
      <c r="D653" s="695">
        <v>44377</v>
      </c>
      <c r="E653" s="698">
        <v>100</v>
      </c>
      <c r="F653" s="698">
        <v>776.37699999999995</v>
      </c>
      <c r="G653" s="698">
        <v>100</v>
      </c>
      <c r="H653" s="698">
        <v>0</v>
      </c>
      <c r="I653" s="699">
        <v>5.7599999999999998E-2</v>
      </c>
      <c r="J653" s="699">
        <v>5.7599999999999998E-2</v>
      </c>
      <c r="K653" s="699">
        <v>5.7599999999999998E-2</v>
      </c>
      <c r="L653" s="697">
        <v>17</v>
      </c>
    </row>
    <row r="654" spans="1:12">
      <c r="A654" s="695">
        <v>44363</v>
      </c>
      <c r="B654" s="696" t="s">
        <v>2579</v>
      </c>
      <c r="C654" s="697">
        <v>28</v>
      </c>
      <c r="D654" s="695">
        <v>44391</v>
      </c>
      <c r="E654" s="698">
        <v>100</v>
      </c>
      <c r="F654" s="698">
        <v>812.37139999999999</v>
      </c>
      <c r="G654" s="698">
        <v>100</v>
      </c>
      <c r="H654" s="698">
        <v>0</v>
      </c>
      <c r="I654" s="699">
        <v>5.7599999999999998E-2</v>
      </c>
      <c r="J654" s="699">
        <v>5.7599999999999998E-2</v>
      </c>
      <c r="K654" s="699">
        <v>5.7599999999999998E-2</v>
      </c>
      <c r="L654" s="697">
        <v>19</v>
      </c>
    </row>
    <row r="655" spans="1:12">
      <c r="A655" s="695">
        <v>44370</v>
      </c>
      <c r="B655" s="696" t="s">
        <v>2580</v>
      </c>
      <c r="C655" s="697">
        <v>28</v>
      </c>
      <c r="D655" s="695">
        <v>44398</v>
      </c>
      <c r="E655" s="698">
        <v>100</v>
      </c>
      <c r="F655" s="698">
        <v>868.29589999999996</v>
      </c>
      <c r="G655" s="698">
        <v>100</v>
      </c>
      <c r="H655" s="698">
        <v>0</v>
      </c>
      <c r="I655" s="699">
        <v>5.7599999999999998E-2</v>
      </c>
      <c r="J655" s="699">
        <v>5.7599999999999998E-2</v>
      </c>
      <c r="K655" s="699">
        <v>5.7599999999999998E-2</v>
      </c>
      <c r="L655" s="697">
        <v>19</v>
      </c>
    </row>
    <row r="656" spans="1:12">
      <c r="A656" s="695">
        <v>44377</v>
      </c>
      <c r="B656" s="696" t="s">
        <v>2581</v>
      </c>
      <c r="C656" s="697">
        <v>28</v>
      </c>
      <c r="D656" s="695">
        <v>44405</v>
      </c>
      <c r="E656" s="698">
        <v>100</v>
      </c>
      <c r="F656" s="698">
        <v>830.46119999999996</v>
      </c>
      <c r="G656" s="698">
        <v>100</v>
      </c>
      <c r="H656" s="698">
        <v>0</v>
      </c>
      <c r="I656" s="699">
        <v>5.7599999999999998E-2</v>
      </c>
      <c r="J656" s="699">
        <v>5.7599999999999998E-2</v>
      </c>
      <c r="K656" s="699">
        <v>5.7599999999999998E-2</v>
      </c>
      <c r="L656" s="697">
        <v>19</v>
      </c>
    </row>
    <row r="657" spans="1:12">
      <c r="A657" s="695">
        <v>44391</v>
      </c>
      <c r="B657" s="696" t="s">
        <v>2586</v>
      </c>
      <c r="C657" s="697">
        <v>28</v>
      </c>
      <c r="D657" s="695">
        <v>44419</v>
      </c>
      <c r="E657" s="698">
        <v>100</v>
      </c>
      <c r="F657" s="698">
        <v>805.73559999999998</v>
      </c>
      <c r="G657" s="698">
        <v>100</v>
      </c>
      <c r="H657" s="698">
        <v>0</v>
      </c>
      <c r="I657" s="699">
        <v>5.7599999999999998E-2</v>
      </c>
      <c r="J657" s="699">
        <v>5.7599999999999998E-2</v>
      </c>
      <c r="K657" s="699">
        <v>5.7599999999999998E-2</v>
      </c>
      <c r="L657" s="697">
        <v>17</v>
      </c>
    </row>
    <row r="658" spans="1:12">
      <c r="A658" s="695">
        <v>44405</v>
      </c>
      <c r="B658" s="696" t="s">
        <v>2587</v>
      </c>
      <c r="C658" s="697">
        <v>28</v>
      </c>
      <c r="D658" s="695">
        <v>44433</v>
      </c>
      <c r="E658" s="698">
        <v>100</v>
      </c>
      <c r="F658" s="698">
        <v>954.41859999999997</v>
      </c>
      <c r="G658" s="698">
        <v>100</v>
      </c>
      <c r="H658" s="698">
        <v>0</v>
      </c>
      <c r="I658" s="699">
        <v>5.7599999999999998E-2</v>
      </c>
      <c r="J658" s="699">
        <v>5.7599999999999998E-2</v>
      </c>
      <c r="K658" s="699">
        <v>5.7599999999999998E-2</v>
      </c>
      <c r="L658" s="697">
        <v>20</v>
      </c>
    </row>
    <row r="659" spans="1:12">
      <c r="A659" s="695">
        <v>44419</v>
      </c>
      <c r="B659" s="696" t="s">
        <v>2588</v>
      </c>
      <c r="C659" s="697">
        <v>28</v>
      </c>
      <c r="D659" s="695">
        <v>44447</v>
      </c>
      <c r="E659" s="698">
        <v>100</v>
      </c>
      <c r="F659" s="698">
        <v>1013.4641</v>
      </c>
      <c r="G659" s="698">
        <v>100</v>
      </c>
      <c r="H659" s="698">
        <v>0</v>
      </c>
      <c r="I659" s="699">
        <v>5.7599999999999998E-2</v>
      </c>
      <c r="J659" s="699">
        <v>5.7599999999999998E-2</v>
      </c>
      <c r="K659" s="699">
        <v>5.7599999999999998E-2</v>
      </c>
      <c r="L659" s="697">
        <v>19</v>
      </c>
    </row>
    <row r="660" spans="1:12">
      <c r="A660" s="695">
        <v>44433</v>
      </c>
      <c r="B660" s="696" t="s">
        <v>2589</v>
      </c>
      <c r="C660" s="697">
        <v>28</v>
      </c>
      <c r="D660" s="695">
        <v>44461</v>
      </c>
      <c r="E660" s="698">
        <v>100</v>
      </c>
      <c r="F660" s="698">
        <v>1066.8135</v>
      </c>
      <c r="G660" s="698">
        <v>100</v>
      </c>
      <c r="H660" s="698">
        <v>0</v>
      </c>
      <c r="I660" s="699">
        <v>5.7599999999999998E-2</v>
      </c>
      <c r="J660" s="699">
        <v>5.7599999999999998E-2</v>
      </c>
      <c r="K660" s="699">
        <v>5.7599999999999998E-2</v>
      </c>
      <c r="L660" s="697">
        <v>20</v>
      </c>
    </row>
    <row r="661" spans="1:12">
      <c r="A661" s="695">
        <v>44447</v>
      </c>
      <c r="B661" s="696" t="s">
        <v>2620</v>
      </c>
      <c r="C661" s="697">
        <v>28</v>
      </c>
      <c r="D661" s="695">
        <v>44475</v>
      </c>
      <c r="E661" s="698">
        <v>100</v>
      </c>
      <c r="F661" s="698">
        <v>1120.4809</v>
      </c>
      <c r="G661" s="698">
        <v>100</v>
      </c>
      <c r="H661" s="698">
        <v>0</v>
      </c>
      <c r="I661" s="699">
        <v>5.7599999999999998E-2</v>
      </c>
      <c r="J661" s="699">
        <v>5.7599999999999998E-2</v>
      </c>
      <c r="K661" s="699">
        <v>5.7599999999999998E-2</v>
      </c>
      <c r="L661" s="697">
        <v>21</v>
      </c>
    </row>
    <row r="662" spans="1:12">
      <c r="A662" s="695">
        <v>44461</v>
      </c>
      <c r="B662" s="696" t="s">
        <v>2619</v>
      </c>
      <c r="C662" s="697">
        <v>28</v>
      </c>
      <c r="D662" s="695">
        <v>44489</v>
      </c>
      <c r="E662" s="698">
        <v>100</v>
      </c>
      <c r="F662" s="698">
        <v>1178.633</v>
      </c>
      <c r="G662" s="698">
        <v>100</v>
      </c>
      <c r="H662" s="698">
        <v>0</v>
      </c>
      <c r="I662" s="699">
        <v>6.0100000000000001E-2</v>
      </c>
      <c r="J662" s="699">
        <v>6.0100000000000001E-2</v>
      </c>
      <c r="K662" s="699">
        <v>6.0100000000000001E-2</v>
      </c>
      <c r="L662" s="697">
        <v>22</v>
      </c>
    </row>
    <row r="663" spans="1:12">
      <c r="A663" s="695">
        <v>44475</v>
      </c>
      <c r="B663" s="696" t="s">
        <v>2665</v>
      </c>
      <c r="C663" s="697">
        <v>28</v>
      </c>
      <c r="D663" s="695">
        <v>44503</v>
      </c>
      <c r="E663" s="698">
        <v>100</v>
      </c>
      <c r="F663" s="698">
        <v>1129.2218</v>
      </c>
      <c r="G663" s="698">
        <v>100</v>
      </c>
      <c r="H663" s="698">
        <v>0</v>
      </c>
      <c r="I663" s="699">
        <v>6.0100000000000001E-2</v>
      </c>
      <c r="J663" s="699">
        <v>6.0100000000000001E-2</v>
      </c>
      <c r="K663" s="699">
        <v>6.0100000000000001E-2</v>
      </c>
      <c r="L663" s="697">
        <v>19</v>
      </c>
    </row>
    <row r="664" spans="1:12">
      <c r="A664" s="695">
        <v>44489</v>
      </c>
      <c r="B664" s="696" t="s">
        <v>2666</v>
      </c>
      <c r="C664" s="697">
        <v>28</v>
      </c>
      <c r="D664" s="695">
        <v>44517</v>
      </c>
      <c r="E664" s="698">
        <v>100</v>
      </c>
      <c r="F664" s="698">
        <v>1136.8507</v>
      </c>
      <c r="G664" s="698">
        <v>100</v>
      </c>
      <c r="H664" s="698">
        <v>0</v>
      </c>
      <c r="I664" s="699">
        <v>6.0100000000000001E-2</v>
      </c>
      <c r="J664" s="699">
        <v>6.0100000000000001E-2</v>
      </c>
      <c r="K664" s="699">
        <v>6.0100000000000001E-2</v>
      </c>
      <c r="L664" s="697">
        <v>20</v>
      </c>
    </row>
    <row r="665" spans="1:12">
      <c r="A665" s="695">
        <v>44503</v>
      </c>
      <c r="B665" s="696" t="s">
        <v>2788</v>
      </c>
      <c r="C665" s="697">
        <v>28</v>
      </c>
      <c r="D665" s="695">
        <v>44531</v>
      </c>
      <c r="E665" s="698">
        <v>100</v>
      </c>
      <c r="F665" s="698">
        <v>1067.5462</v>
      </c>
      <c r="G665" s="698">
        <v>100</v>
      </c>
      <c r="H665" s="698">
        <v>0</v>
      </c>
      <c r="I665" s="699">
        <v>6.0100000000000001E-2</v>
      </c>
      <c r="J665" s="699">
        <v>6.0100000000000001E-2</v>
      </c>
      <c r="K665" s="699">
        <v>6.0100000000000001E-2</v>
      </c>
      <c r="L665" s="697">
        <v>20</v>
      </c>
    </row>
    <row r="666" spans="1:12">
      <c r="A666" s="695">
        <v>44517</v>
      </c>
      <c r="B666" s="696" t="s">
        <v>2789</v>
      </c>
      <c r="C666" s="697">
        <v>28</v>
      </c>
      <c r="D666" s="695">
        <v>44545</v>
      </c>
      <c r="E666" s="698">
        <v>100</v>
      </c>
      <c r="F666" s="698">
        <v>1126.5908999999999</v>
      </c>
      <c r="G666" s="698">
        <v>100</v>
      </c>
      <c r="H666" s="698">
        <v>0</v>
      </c>
      <c r="I666" s="699">
        <v>6.0100000000000001E-2</v>
      </c>
      <c r="J666" s="699">
        <v>6.0100000000000001E-2</v>
      </c>
      <c r="K666" s="699">
        <v>6.0100000000000001E-2</v>
      </c>
      <c r="L666" s="697">
        <v>19</v>
      </c>
    </row>
    <row r="667" spans="1:12">
      <c r="A667" s="695">
        <v>44531</v>
      </c>
      <c r="B667" s="696" t="s">
        <v>2799</v>
      </c>
      <c r="C667" s="697">
        <v>28</v>
      </c>
      <c r="D667" s="695">
        <v>44559</v>
      </c>
      <c r="E667" s="698">
        <v>100</v>
      </c>
      <c r="F667" s="698">
        <v>1037.4885999999999</v>
      </c>
      <c r="G667" s="698">
        <v>100</v>
      </c>
      <c r="H667" s="698">
        <v>0</v>
      </c>
      <c r="I667" s="699">
        <v>6.0100000000000001E-2</v>
      </c>
      <c r="J667" s="699">
        <v>6.0100000000000001E-2</v>
      </c>
      <c r="K667" s="699">
        <v>6.0100000000000001E-2</v>
      </c>
      <c r="L667" s="697">
        <v>19</v>
      </c>
    </row>
    <row r="668" spans="1:12">
      <c r="A668" s="695">
        <v>44545</v>
      </c>
      <c r="B668" s="696" t="s">
        <v>2800</v>
      </c>
      <c r="C668" s="697">
        <v>28</v>
      </c>
      <c r="D668" s="695">
        <v>44573</v>
      </c>
      <c r="E668" s="698">
        <v>100</v>
      </c>
      <c r="F668" s="698">
        <v>1058.0833</v>
      </c>
      <c r="G668" s="698">
        <v>100</v>
      </c>
      <c r="H668" s="698">
        <v>0</v>
      </c>
      <c r="I668" s="699">
        <v>6.0100000000000001E-2</v>
      </c>
      <c r="J668" s="699">
        <v>6.0100000000000001E-2</v>
      </c>
      <c r="K668" s="699">
        <v>6.0100000000000001E-2</v>
      </c>
      <c r="L668" s="697">
        <v>19</v>
      </c>
    </row>
    <row r="669" spans="1:12">
      <c r="A669" s="695">
        <v>44559</v>
      </c>
      <c r="B669" s="696" t="s">
        <v>2801</v>
      </c>
      <c r="C669" s="697">
        <v>28</v>
      </c>
      <c r="D669" s="695">
        <v>44587</v>
      </c>
      <c r="E669" s="698">
        <v>100</v>
      </c>
      <c r="F669" s="698">
        <v>1153.3874000000001</v>
      </c>
      <c r="G669" s="698">
        <v>100</v>
      </c>
      <c r="H669" s="698">
        <v>0</v>
      </c>
      <c r="I669" s="699">
        <v>6.0100000000000001E-2</v>
      </c>
      <c r="J669" s="699">
        <v>6.0100000000000001E-2</v>
      </c>
      <c r="K669" s="699">
        <v>6.0100000000000001E-2</v>
      </c>
      <c r="L669" s="697">
        <v>19</v>
      </c>
    </row>
    <row r="670" spans="1:12">
      <c r="A670" s="897">
        <v>2022</v>
      </c>
      <c r="B670" s="696"/>
      <c r="C670" s="697"/>
      <c r="D670" s="695"/>
      <c r="E670" s="698"/>
      <c r="F670" s="698"/>
      <c r="G670" s="698"/>
      <c r="H670" s="698"/>
      <c r="I670" s="699"/>
      <c r="J670" s="699"/>
      <c r="K670" s="699"/>
      <c r="L670" s="697"/>
    </row>
    <row r="671" spans="1:12">
      <c r="A671" s="695">
        <v>44573</v>
      </c>
      <c r="B671" s="696" t="s">
        <v>2813</v>
      </c>
      <c r="C671" s="697">
        <v>28</v>
      </c>
      <c r="D671" s="695">
        <v>44601</v>
      </c>
      <c r="E671" s="698">
        <v>100</v>
      </c>
      <c r="F671" s="698">
        <v>1072.6333999999999</v>
      </c>
      <c r="G671" s="698">
        <v>100</v>
      </c>
      <c r="H671" s="698">
        <v>0</v>
      </c>
      <c r="I671" s="699">
        <v>6.0100000000000001E-2</v>
      </c>
      <c r="J671" s="699">
        <v>6.0100000000000001E-2</v>
      </c>
      <c r="K671" s="699">
        <v>6.0100000000000001E-2</v>
      </c>
      <c r="L671" s="697">
        <v>20</v>
      </c>
    </row>
    <row r="672" spans="1:12">
      <c r="A672" s="695">
        <v>44587</v>
      </c>
      <c r="B672" s="696" t="s">
        <v>2814</v>
      </c>
      <c r="C672" s="697">
        <v>28</v>
      </c>
      <c r="D672" s="695">
        <v>44615</v>
      </c>
      <c r="E672" s="698">
        <v>250</v>
      </c>
      <c r="F672" s="698">
        <v>1730.5652</v>
      </c>
      <c r="G672" s="698">
        <v>300</v>
      </c>
      <c r="H672" s="698">
        <v>0</v>
      </c>
      <c r="I672" s="699">
        <v>6.0100000000000001E-2</v>
      </c>
      <c r="J672" s="699">
        <v>6.0100000000000001E-2</v>
      </c>
      <c r="K672" s="699">
        <v>6.0100000000000001E-2</v>
      </c>
      <c r="L672" s="697">
        <v>18</v>
      </c>
    </row>
    <row r="673" spans="1:12">
      <c r="A673" s="695">
        <v>44589</v>
      </c>
      <c r="B673" s="696" t="s">
        <v>2815</v>
      </c>
      <c r="C673" s="697">
        <v>84</v>
      </c>
      <c r="D673" s="695">
        <v>44673</v>
      </c>
      <c r="E673" s="698">
        <v>30</v>
      </c>
      <c r="F673" s="698">
        <v>279.7638</v>
      </c>
      <c r="G673" s="698">
        <v>30</v>
      </c>
      <c r="H673" s="698">
        <v>0</v>
      </c>
      <c r="I673" s="699">
        <v>3.4000000000000002E-2</v>
      </c>
      <c r="J673" s="699">
        <v>3.4000000000000002E-2</v>
      </c>
      <c r="K673" s="699">
        <v>3.4000000000000002E-2</v>
      </c>
      <c r="L673" s="697">
        <v>17</v>
      </c>
    </row>
    <row r="674" spans="1:12">
      <c r="A674" s="695">
        <v>44594</v>
      </c>
      <c r="B674" s="696" t="s">
        <v>2818</v>
      </c>
      <c r="C674" s="697">
        <v>28</v>
      </c>
      <c r="D674" s="695">
        <v>44622</v>
      </c>
      <c r="E674" s="698">
        <v>250</v>
      </c>
      <c r="F674" s="698">
        <v>1483.0735999999999</v>
      </c>
      <c r="G674" s="698">
        <v>240</v>
      </c>
      <c r="H674" s="698">
        <v>0</v>
      </c>
      <c r="I674" s="699">
        <v>6.0100000000000001E-2</v>
      </c>
      <c r="J674" s="699">
        <v>6.0100000000000001E-2</v>
      </c>
      <c r="K674" s="699">
        <v>6.0100000000000001E-2</v>
      </c>
      <c r="L674" s="697">
        <v>19</v>
      </c>
    </row>
    <row r="675" spans="1:12">
      <c r="A675" s="695">
        <v>44596</v>
      </c>
      <c r="B675" s="696" t="s">
        <v>2819</v>
      </c>
      <c r="C675" s="697">
        <v>168</v>
      </c>
      <c r="D675" s="695">
        <v>44764</v>
      </c>
      <c r="E675" s="698">
        <v>50</v>
      </c>
      <c r="F675" s="698">
        <v>156.29640000000001</v>
      </c>
      <c r="G675" s="698">
        <v>30</v>
      </c>
      <c r="H675" s="698">
        <v>0</v>
      </c>
      <c r="I675" s="699">
        <v>3.9899999999999998E-2</v>
      </c>
      <c r="J675" s="699">
        <v>0.04</v>
      </c>
      <c r="K675" s="699">
        <v>0.04</v>
      </c>
      <c r="L675" s="697">
        <v>9</v>
      </c>
    </row>
    <row r="676" spans="1:12">
      <c r="A676" s="695">
        <v>44601</v>
      </c>
      <c r="B676" s="696" t="s">
        <v>2820</v>
      </c>
      <c r="C676" s="697">
        <v>28</v>
      </c>
      <c r="D676" s="695">
        <v>44629</v>
      </c>
      <c r="E676" s="698">
        <v>150</v>
      </c>
      <c r="F676" s="698">
        <v>1060.6493</v>
      </c>
      <c r="G676" s="698">
        <v>100</v>
      </c>
      <c r="H676" s="698">
        <v>0</v>
      </c>
      <c r="I676" s="699">
        <v>6.0100000000000001E-2</v>
      </c>
      <c r="J676" s="699">
        <v>6.0100000000000001E-2</v>
      </c>
      <c r="K676" s="699">
        <v>6.0100000000000001E-2</v>
      </c>
      <c r="L676" s="697">
        <v>18</v>
      </c>
    </row>
    <row r="677" spans="1:12">
      <c r="A677" s="695">
        <v>44608</v>
      </c>
      <c r="B677" s="696" t="s">
        <v>2821</v>
      </c>
      <c r="C677" s="697">
        <v>28</v>
      </c>
      <c r="D677" s="695">
        <v>44636</v>
      </c>
      <c r="E677" s="698">
        <v>150</v>
      </c>
      <c r="F677" s="698">
        <v>1243.289</v>
      </c>
      <c r="G677" s="698">
        <v>150</v>
      </c>
      <c r="H677" s="698">
        <v>0</v>
      </c>
      <c r="I677" s="699">
        <v>6.0100000000000001E-2</v>
      </c>
      <c r="J677" s="699">
        <v>6.0100000000000001E-2</v>
      </c>
      <c r="K677" s="699">
        <v>6.0100000000000001E-2</v>
      </c>
      <c r="L677" s="697">
        <v>17</v>
      </c>
    </row>
    <row r="678" spans="1:12">
      <c r="A678" s="695">
        <v>44615</v>
      </c>
      <c r="B678" s="696" t="s">
        <v>2822</v>
      </c>
      <c r="C678" s="697">
        <v>28</v>
      </c>
      <c r="D678" s="695">
        <v>44643</v>
      </c>
      <c r="E678" s="698">
        <v>300</v>
      </c>
      <c r="F678" s="698">
        <v>1934.6605</v>
      </c>
      <c r="G678" s="698">
        <v>300</v>
      </c>
      <c r="H678" s="698">
        <v>0</v>
      </c>
      <c r="I678" s="699">
        <v>6.0100000000000001E-2</v>
      </c>
      <c r="J678" s="699">
        <v>6.0100000000000001E-2</v>
      </c>
      <c r="K678" s="699">
        <v>6.0100000000000001E-2</v>
      </c>
      <c r="L678" s="697">
        <v>20</v>
      </c>
    </row>
    <row r="679" spans="1:12">
      <c r="A679" s="695">
        <v>44622</v>
      </c>
      <c r="B679" s="696" t="s">
        <v>2831</v>
      </c>
      <c r="C679" s="697">
        <v>28</v>
      </c>
      <c r="D679" s="695">
        <v>44650</v>
      </c>
      <c r="E679" s="698">
        <v>240</v>
      </c>
      <c r="F679" s="698">
        <v>1728.6329000000001</v>
      </c>
      <c r="G679" s="698">
        <v>240</v>
      </c>
      <c r="H679" s="698">
        <v>0</v>
      </c>
      <c r="I679" s="699">
        <v>6.0100000000000001E-2</v>
      </c>
      <c r="J679" s="699">
        <v>6.0100000000000001E-2</v>
      </c>
      <c r="K679" s="699">
        <v>6.0100000000000001E-2</v>
      </c>
      <c r="L679" s="697">
        <v>19</v>
      </c>
    </row>
    <row r="680" spans="1:12">
      <c r="A680" s="695">
        <v>44629</v>
      </c>
      <c r="B680" s="696" t="s">
        <v>2832</v>
      </c>
      <c r="C680" s="697">
        <v>28</v>
      </c>
      <c r="D680" s="695">
        <v>44657</v>
      </c>
      <c r="E680" s="698">
        <v>100</v>
      </c>
      <c r="F680" s="698">
        <v>967.80449999999996</v>
      </c>
      <c r="G680" s="698">
        <v>100</v>
      </c>
      <c r="H680" s="698">
        <v>0</v>
      </c>
      <c r="I680" s="699">
        <v>6.0100000000000001E-2</v>
      </c>
      <c r="J680" s="699">
        <v>6.0100000000000001E-2</v>
      </c>
      <c r="K680" s="699">
        <v>6.0100000000000001E-2</v>
      </c>
      <c r="L680" s="697">
        <v>19</v>
      </c>
    </row>
    <row r="681" spans="1:12">
      <c r="A681" s="695">
        <v>44636</v>
      </c>
      <c r="B681" s="696" t="s">
        <v>2833</v>
      </c>
      <c r="C681" s="697">
        <v>28</v>
      </c>
      <c r="D681" s="695">
        <v>44664</v>
      </c>
      <c r="E681" s="698">
        <v>150</v>
      </c>
      <c r="F681" s="698">
        <v>1015.0217</v>
      </c>
      <c r="G681" s="698">
        <v>150</v>
      </c>
      <c r="H681" s="698">
        <v>0</v>
      </c>
      <c r="I681" s="699">
        <v>6.0100000000000001E-2</v>
      </c>
      <c r="J681" s="699">
        <v>6.0100000000000001E-2</v>
      </c>
      <c r="K681" s="699">
        <v>6.0100000000000001E-2</v>
      </c>
      <c r="L681" s="697">
        <v>16</v>
      </c>
    </row>
    <row r="682" spans="1:12">
      <c r="A682" s="695">
        <v>44648</v>
      </c>
      <c r="B682" s="696" t="s">
        <v>2834</v>
      </c>
      <c r="C682" s="697">
        <v>23</v>
      </c>
      <c r="D682" s="695">
        <v>44671</v>
      </c>
      <c r="E682" s="698">
        <v>300</v>
      </c>
      <c r="F682" s="698">
        <v>1617.7414000000001</v>
      </c>
      <c r="G682" s="698">
        <v>300</v>
      </c>
      <c r="H682" s="698">
        <v>0</v>
      </c>
      <c r="I682" s="699">
        <v>6.2600000000000003E-2</v>
      </c>
      <c r="J682" s="699">
        <v>6.2600000000000003E-2</v>
      </c>
      <c r="K682" s="699">
        <v>6.2600000000000003E-2</v>
      </c>
      <c r="L682" s="697">
        <v>17</v>
      </c>
    </row>
    <row r="683" spans="1:12">
      <c r="A683" s="695">
        <v>44650</v>
      </c>
      <c r="B683" s="696" t="s">
        <v>2835</v>
      </c>
      <c r="C683" s="697">
        <v>28</v>
      </c>
      <c r="D683" s="695">
        <v>44678</v>
      </c>
      <c r="E683" s="698">
        <v>200</v>
      </c>
      <c r="F683" s="698">
        <v>1404.4349999999999</v>
      </c>
      <c r="G683" s="698">
        <v>200</v>
      </c>
      <c r="H683" s="698">
        <v>0</v>
      </c>
      <c r="I683" s="699">
        <v>6.2600000000000003E-2</v>
      </c>
      <c r="J683" s="699">
        <v>6.2600000000000003E-2</v>
      </c>
      <c r="K683" s="699">
        <v>6.2600000000000003E-2</v>
      </c>
      <c r="L683" s="697">
        <v>17</v>
      </c>
    </row>
    <row r="684" spans="1:12">
      <c r="A684" s="695">
        <v>44652</v>
      </c>
      <c r="B684" s="696" t="s">
        <v>2837</v>
      </c>
      <c r="C684" s="697">
        <v>84</v>
      </c>
      <c r="D684" s="695">
        <v>44736</v>
      </c>
      <c r="E684" s="698">
        <v>50</v>
      </c>
      <c r="F684" s="698">
        <v>125.4376</v>
      </c>
      <c r="G684" s="698">
        <v>30</v>
      </c>
      <c r="H684" s="698">
        <v>0</v>
      </c>
      <c r="I684" s="699">
        <v>3.3000000000000002E-2</v>
      </c>
      <c r="J684" s="699">
        <v>3.3000000000000002E-2</v>
      </c>
      <c r="K684" s="699">
        <v>3.3000000000000002E-2</v>
      </c>
      <c r="L684" s="697">
        <v>8</v>
      </c>
    </row>
    <row r="685" spans="1:12">
      <c r="A685" s="695">
        <v>44655</v>
      </c>
      <c r="B685" s="696" t="s">
        <v>2838</v>
      </c>
      <c r="C685" s="697">
        <v>84</v>
      </c>
      <c r="D685" s="695">
        <v>44739</v>
      </c>
      <c r="E685" s="698">
        <v>30</v>
      </c>
      <c r="F685" s="698">
        <v>80.214299999999994</v>
      </c>
      <c r="G685" s="698">
        <v>30</v>
      </c>
      <c r="H685" s="698">
        <v>0</v>
      </c>
      <c r="I685" s="699">
        <v>3.27E-2</v>
      </c>
      <c r="J685" s="699">
        <v>3.27E-2</v>
      </c>
      <c r="K685" s="699">
        <v>3.27E-2</v>
      </c>
      <c r="L685" s="697">
        <v>4</v>
      </c>
    </row>
    <row r="686" spans="1:12">
      <c r="A686" s="695">
        <v>44657</v>
      </c>
      <c r="B686" s="696" t="s">
        <v>2839</v>
      </c>
      <c r="C686" s="697">
        <v>168</v>
      </c>
      <c r="D686" s="695">
        <v>44825</v>
      </c>
      <c r="E686" s="698">
        <v>30</v>
      </c>
      <c r="F686" s="698">
        <v>197.54390000000001</v>
      </c>
      <c r="G686" s="698">
        <v>30</v>
      </c>
      <c r="H686" s="698">
        <v>0</v>
      </c>
      <c r="I686" s="699">
        <v>3.7999999999999999E-2</v>
      </c>
      <c r="J686" s="699">
        <v>3.85E-2</v>
      </c>
      <c r="K686" s="699">
        <v>3.8399999999999997E-2</v>
      </c>
      <c r="L686" s="697">
        <v>11</v>
      </c>
    </row>
    <row r="687" spans="1:12">
      <c r="A687" s="695">
        <v>44659</v>
      </c>
      <c r="B687" s="696" t="s">
        <v>2840</v>
      </c>
      <c r="C687" s="697">
        <v>252</v>
      </c>
      <c r="D687" s="695">
        <v>44911</v>
      </c>
      <c r="E687" s="698">
        <v>30</v>
      </c>
      <c r="F687" s="698">
        <v>154.96440000000001</v>
      </c>
      <c r="G687" s="698">
        <v>30</v>
      </c>
      <c r="H687" s="698">
        <v>0</v>
      </c>
      <c r="I687" s="699">
        <v>3.7999999999999999E-2</v>
      </c>
      <c r="J687" s="699">
        <v>3.7999999999999999E-2</v>
      </c>
      <c r="K687" s="699">
        <v>3.7999999999999999E-2</v>
      </c>
      <c r="L687" s="697">
        <v>8</v>
      </c>
    </row>
    <row r="688" spans="1:12">
      <c r="A688" s="695">
        <v>44662</v>
      </c>
      <c r="B688" s="696" t="s">
        <v>2841</v>
      </c>
      <c r="C688" s="697">
        <v>84</v>
      </c>
      <c r="D688" s="695">
        <v>44746</v>
      </c>
      <c r="E688" s="698">
        <v>30</v>
      </c>
      <c r="F688" s="698">
        <v>117.1713</v>
      </c>
      <c r="G688" s="698">
        <v>30</v>
      </c>
      <c r="H688" s="698">
        <v>0</v>
      </c>
      <c r="I688" s="699">
        <v>3.15E-2</v>
      </c>
      <c r="J688" s="699">
        <v>3.15E-2</v>
      </c>
      <c r="K688" s="699">
        <v>3.15E-2</v>
      </c>
      <c r="L688" s="697">
        <v>6</v>
      </c>
    </row>
    <row r="689" spans="1:12">
      <c r="A689" s="695">
        <v>44664</v>
      </c>
      <c r="B689" s="696" t="s">
        <v>2842</v>
      </c>
      <c r="C689" s="697">
        <v>168</v>
      </c>
      <c r="D689" s="695">
        <v>44832</v>
      </c>
      <c r="E689" s="698">
        <v>30</v>
      </c>
      <c r="F689" s="698">
        <v>189.41419999999999</v>
      </c>
      <c r="G689" s="698">
        <v>30</v>
      </c>
      <c r="H689" s="698">
        <v>0</v>
      </c>
      <c r="I689" s="699">
        <v>3.4500000000000003E-2</v>
      </c>
      <c r="J689" s="699">
        <v>3.49E-2</v>
      </c>
      <c r="K689" s="699">
        <v>3.49E-2</v>
      </c>
      <c r="L689" s="697">
        <v>11</v>
      </c>
    </row>
    <row r="690" spans="1:12">
      <c r="A690" s="695">
        <v>44666</v>
      </c>
      <c r="B690" s="696" t="s">
        <v>2843</v>
      </c>
      <c r="C690" s="697">
        <v>252</v>
      </c>
      <c r="D690" s="695">
        <v>44918</v>
      </c>
      <c r="E690" s="698">
        <v>30</v>
      </c>
      <c r="F690" s="698">
        <v>177.66890000000001</v>
      </c>
      <c r="G690" s="698">
        <v>30</v>
      </c>
      <c r="H690" s="698">
        <v>0</v>
      </c>
      <c r="I690" s="699">
        <v>3.2000000000000001E-2</v>
      </c>
      <c r="J690" s="699">
        <v>3.2500000000000001E-2</v>
      </c>
      <c r="K690" s="699">
        <v>3.2199999999999999E-2</v>
      </c>
      <c r="L690" s="697">
        <v>8</v>
      </c>
    </row>
    <row r="691" spans="1:12">
      <c r="A691" s="695">
        <v>44669</v>
      </c>
      <c r="B691" s="696" t="s">
        <v>2844</v>
      </c>
      <c r="C691" s="697">
        <v>84</v>
      </c>
      <c r="D691" s="695">
        <v>44753</v>
      </c>
      <c r="E691" s="698">
        <v>30</v>
      </c>
      <c r="F691" s="698">
        <v>165.68119999999999</v>
      </c>
      <c r="G691" s="698">
        <v>30</v>
      </c>
      <c r="H691" s="698">
        <v>0</v>
      </c>
      <c r="I691" s="699">
        <v>2.9499999999999998E-2</v>
      </c>
      <c r="J691" s="699">
        <v>0.03</v>
      </c>
      <c r="K691" s="699">
        <v>2.98E-2</v>
      </c>
      <c r="L691" s="697">
        <v>9</v>
      </c>
    </row>
    <row r="692" spans="1:12">
      <c r="A692" s="695">
        <v>44671</v>
      </c>
      <c r="B692" s="696" t="s">
        <v>2845</v>
      </c>
      <c r="C692" s="697">
        <v>28</v>
      </c>
      <c r="D692" s="695">
        <v>44699</v>
      </c>
      <c r="E692" s="698">
        <v>250</v>
      </c>
      <c r="F692" s="698">
        <v>1667.6235999999999</v>
      </c>
      <c r="G692" s="698">
        <v>250</v>
      </c>
      <c r="H692" s="698">
        <v>0</v>
      </c>
      <c r="I692" s="699">
        <v>6.2600000000000003E-2</v>
      </c>
      <c r="J692" s="699">
        <v>6.2600000000000003E-2</v>
      </c>
      <c r="K692" s="699">
        <v>6.2600000000000003E-2</v>
      </c>
      <c r="L692" s="697">
        <v>20</v>
      </c>
    </row>
    <row r="693" spans="1:12">
      <c r="A693" s="695">
        <v>44673</v>
      </c>
      <c r="B693" s="696" t="s">
        <v>2846</v>
      </c>
      <c r="C693" s="697">
        <v>252</v>
      </c>
      <c r="D693" s="695">
        <v>44925</v>
      </c>
      <c r="E693" s="698">
        <v>30</v>
      </c>
      <c r="F693" s="698">
        <v>106.30200000000001</v>
      </c>
      <c r="G693" s="698">
        <v>30</v>
      </c>
      <c r="H693" s="698">
        <v>0</v>
      </c>
      <c r="I693" s="699">
        <v>0.03</v>
      </c>
      <c r="J693" s="699">
        <v>0.03</v>
      </c>
      <c r="K693" s="699">
        <v>0.03</v>
      </c>
      <c r="L693" s="697">
        <v>6</v>
      </c>
    </row>
    <row r="694" spans="1:12">
      <c r="A694" s="695">
        <v>44676</v>
      </c>
      <c r="B694" s="696" t="s">
        <v>2847</v>
      </c>
      <c r="C694" s="697">
        <v>84</v>
      </c>
      <c r="D694" s="695">
        <v>44760</v>
      </c>
      <c r="E694" s="698">
        <v>30</v>
      </c>
      <c r="F694" s="698">
        <v>123.8061</v>
      </c>
      <c r="G694" s="698">
        <v>30</v>
      </c>
      <c r="H694" s="698">
        <v>0</v>
      </c>
      <c r="I694" s="699">
        <v>2.9499999999999998E-2</v>
      </c>
      <c r="J694" s="699">
        <v>2.9499999999999998E-2</v>
      </c>
      <c r="K694" s="699">
        <v>2.9499999999999998E-2</v>
      </c>
      <c r="L694" s="697">
        <v>7</v>
      </c>
    </row>
    <row r="695" spans="1:12">
      <c r="A695" s="695">
        <v>44678</v>
      </c>
      <c r="B695" s="696" t="s">
        <v>2848</v>
      </c>
      <c r="C695" s="697">
        <v>28</v>
      </c>
      <c r="D695" s="695">
        <v>44706</v>
      </c>
      <c r="E695" s="698">
        <v>100</v>
      </c>
      <c r="F695" s="698">
        <v>999.71199999999999</v>
      </c>
      <c r="G695" s="698">
        <v>100</v>
      </c>
      <c r="H695" s="698">
        <v>0</v>
      </c>
      <c r="I695" s="699">
        <v>6.2600000000000003E-2</v>
      </c>
      <c r="J695" s="699">
        <v>6.2600000000000003E-2</v>
      </c>
      <c r="K695" s="699">
        <v>6.2600000000000003E-2</v>
      </c>
      <c r="L695" s="697">
        <v>19</v>
      </c>
    </row>
    <row r="696" spans="1:12">
      <c r="A696" s="695">
        <v>44680</v>
      </c>
      <c r="B696" s="696" t="s">
        <v>2849</v>
      </c>
      <c r="C696" s="697">
        <v>168</v>
      </c>
      <c r="D696" s="695">
        <v>44848</v>
      </c>
      <c r="E696" s="698">
        <v>30</v>
      </c>
      <c r="F696" s="698">
        <v>150.54849999999999</v>
      </c>
      <c r="G696" s="698">
        <v>30</v>
      </c>
      <c r="H696" s="698">
        <v>0</v>
      </c>
      <c r="I696" s="699">
        <v>2.98E-2</v>
      </c>
      <c r="J696" s="699">
        <v>2.98E-2</v>
      </c>
      <c r="K696" s="699">
        <v>2.98E-2</v>
      </c>
      <c r="L696" s="697">
        <v>7</v>
      </c>
    </row>
    <row r="697" spans="1:12">
      <c r="A697" s="695">
        <v>44685</v>
      </c>
      <c r="B697" s="696" t="s">
        <v>2850</v>
      </c>
      <c r="C697" s="697">
        <v>252</v>
      </c>
      <c r="D697" s="695">
        <v>44937</v>
      </c>
      <c r="E697" s="698">
        <v>30</v>
      </c>
      <c r="F697" s="698">
        <v>124.98399999999999</v>
      </c>
      <c r="G697" s="698">
        <v>30</v>
      </c>
      <c r="H697" s="698">
        <v>0</v>
      </c>
      <c r="I697" s="699">
        <v>2.9399999999999999E-2</v>
      </c>
      <c r="J697" s="699">
        <v>0.03</v>
      </c>
      <c r="K697" s="699">
        <v>2.98E-2</v>
      </c>
      <c r="L697" s="697">
        <v>9</v>
      </c>
    </row>
    <row r="698" spans="1:12">
      <c r="A698" s="695">
        <v>44687</v>
      </c>
      <c r="B698" s="696" t="s">
        <v>2851</v>
      </c>
      <c r="C698" s="697">
        <v>168</v>
      </c>
      <c r="D698" s="695">
        <v>44855</v>
      </c>
      <c r="E698" s="698">
        <v>30</v>
      </c>
      <c r="F698" s="698">
        <v>85.515600000000006</v>
      </c>
      <c r="G698" s="698">
        <v>30</v>
      </c>
      <c r="H698" s="698">
        <v>0</v>
      </c>
      <c r="I698" s="699">
        <v>2.9499999999999998E-2</v>
      </c>
      <c r="J698" s="699">
        <v>2.9499999999999998E-2</v>
      </c>
      <c r="K698" s="699">
        <v>2.9499999999999998E-2</v>
      </c>
      <c r="L698" s="697">
        <v>6</v>
      </c>
    </row>
    <row r="699" spans="1:12">
      <c r="A699" s="695">
        <v>44692</v>
      </c>
      <c r="B699" s="696" t="s">
        <v>2852</v>
      </c>
      <c r="C699" s="697">
        <v>168</v>
      </c>
      <c r="D699" s="695">
        <v>44860</v>
      </c>
      <c r="E699" s="698">
        <v>30</v>
      </c>
      <c r="F699" s="698">
        <v>114.5397</v>
      </c>
      <c r="G699" s="698">
        <v>30</v>
      </c>
      <c r="H699" s="698">
        <v>0</v>
      </c>
      <c r="I699" s="699">
        <v>2.9000000000000001E-2</v>
      </c>
      <c r="J699" s="699">
        <v>2.9000000000000001E-2</v>
      </c>
      <c r="K699" s="699">
        <v>2.9000000000000001E-2</v>
      </c>
      <c r="L699" s="697">
        <v>6</v>
      </c>
    </row>
    <row r="700" spans="1:12">
      <c r="A700" s="695">
        <v>44694</v>
      </c>
      <c r="B700" s="696" t="s">
        <v>2853</v>
      </c>
      <c r="C700" s="697">
        <v>252</v>
      </c>
      <c r="D700" s="695">
        <v>44946</v>
      </c>
      <c r="E700" s="698">
        <v>30</v>
      </c>
      <c r="F700" s="698">
        <v>84.726200000000006</v>
      </c>
      <c r="G700" s="698">
        <v>30</v>
      </c>
      <c r="H700" s="698">
        <v>0</v>
      </c>
      <c r="I700" s="699">
        <v>2.9000000000000001E-2</v>
      </c>
      <c r="J700" s="699">
        <v>2.9399999999999999E-2</v>
      </c>
      <c r="K700" s="699">
        <v>2.9399999999999999E-2</v>
      </c>
      <c r="L700" s="697">
        <v>9</v>
      </c>
    </row>
    <row r="701" spans="1:12">
      <c r="A701" s="695">
        <v>44697</v>
      </c>
      <c r="B701" s="696" t="s">
        <v>2854</v>
      </c>
      <c r="C701" s="697">
        <v>84</v>
      </c>
      <c r="D701" s="695">
        <v>44781</v>
      </c>
      <c r="E701" s="698">
        <v>30</v>
      </c>
      <c r="F701" s="698">
        <v>112.6061</v>
      </c>
      <c r="G701" s="698">
        <v>30</v>
      </c>
      <c r="H701" s="698">
        <v>0</v>
      </c>
      <c r="I701" s="699">
        <v>2.8500000000000001E-2</v>
      </c>
      <c r="J701" s="699">
        <v>2.8500000000000001E-2</v>
      </c>
      <c r="K701" s="699">
        <v>2.8500000000000001E-2</v>
      </c>
      <c r="L701" s="697">
        <v>3</v>
      </c>
    </row>
    <row r="702" spans="1:12">
      <c r="A702" s="695">
        <v>44699</v>
      </c>
      <c r="B702" s="696" t="s">
        <v>2855</v>
      </c>
      <c r="C702" s="697">
        <v>28</v>
      </c>
      <c r="D702" s="695">
        <v>44727</v>
      </c>
      <c r="E702" s="698">
        <v>150</v>
      </c>
      <c r="F702" s="698">
        <v>1364.3885</v>
      </c>
      <c r="G702" s="698">
        <v>150</v>
      </c>
      <c r="H702" s="698">
        <v>0</v>
      </c>
      <c r="I702" s="699">
        <v>6.2600000000000003E-2</v>
      </c>
      <c r="J702" s="699">
        <v>6.2600000000000003E-2</v>
      </c>
      <c r="K702" s="699">
        <v>6.2600000000000003E-2</v>
      </c>
      <c r="L702" s="697">
        <v>1</v>
      </c>
    </row>
    <row r="703" spans="1:12">
      <c r="A703" s="695">
        <v>44701</v>
      </c>
      <c r="B703" s="696" t="s">
        <v>2856</v>
      </c>
      <c r="C703" s="697">
        <v>252</v>
      </c>
      <c r="D703" s="695">
        <v>44953</v>
      </c>
      <c r="E703" s="698">
        <v>30</v>
      </c>
      <c r="F703" s="698">
        <v>87.762200000000007</v>
      </c>
      <c r="G703" s="698">
        <v>30</v>
      </c>
      <c r="H703" s="698">
        <v>0</v>
      </c>
      <c r="I703" s="699">
        <v>2.9000000000000001E-2</v>
      </c>
      <c r="J703" s="699">
        <v>2.9000000000000001E-2</v>
      </c>
      <c r="K703" s="699">
        <v>2.9000000000000001E-2</v>
      </c>
      <c r="L703" s="697">
        <v>9</v>
      </c>
    </row>
    <row r="704" spans="1:12">
      <c r="A704" s="695">
        <v>44704</v>
      </c>
      <c r="B704" s="696" t="s">
        <v>2857</v>
      </c>
      <c r="C704" s="697">
        <v>84</v>
      </c>
      <c r="D704" s="695">
        <v>44788</v>
      </c>
      <c r="E704" s="698">
        <v>30</v>
      </c>
      <c r="F704" s="698">
        <v>121.7445</v>
      </c>
      <c r="G704" s="698">
        <v>30</v>
      </c>
      <c r="H704" s="698">
        <v>0</v>
      </c>
      <c r="I704" s="699">
        <v>2.8199999999999999E-2</v>
      </c>
      <c r="J704" s="699">
        <v>2.9499999999999998E-2</v>
      </c>
      <c r="K704" s="699">
        <v>2.92E-2</v>
      </c>
      <c r="L704" s="697">
        <v>3</v>
      </c>
    </row>
    <row r="705" spans="1:12">
      <c r="A705" s="695">
        <v>44706</v>
      </c>
      <c r="B705" s="696" t="s">
        <v>2858</v>
      </c>
      <c r="C705" s="697">
        <v>168</v>
      </c>
      <c r="D705" s="695">
        <v>44874</v>
      </c>
      <c r="E705" s="698">
        <v>30</v>
      </c>
      <c r="F705" s="698">
        <v>89.530299999999997</v>
      </c>
      <c r="G705" s="698">
        <v>30</v>
      </c>
      <c r="H705" s="698">
        <v>0</v>
      </c>
      <c r="I705" s="699">
        <v>2.9000000000000001E-2</v>
      </c>
      <c r="J705" s="699">
        <v>2.9899999999999999E-2</v>
      </c>
      <c r="K705" s="699">
        <v>2.98E-2</v>
      </c>
      <c r="L705" s="697">
        <v>6</v>
      </c>
    </row>
    <row r="706" spans="1:12">
      <c r="A706" s="695">
        <v>44708</v>
      </c>
      <c r="B706" s="696" t="s">
        <v>2859</v>
      </c>
      <c r="C706" s="697">
        <v>252</v>
      </c>
      <c r="D706" s="695">
        <v>44960</v>
      </c>
      <c r="E706" s="698">
        <v>30</v>
      </c>
      <c r="F706" s="698">
        <v>89.7577</v>
      </c>
      <c r="G706" s="698">
        <v>30</v>
      </c>
      <c r="H706" s="698">
        <v>0</v>
      </c>
      <c r="I706" s="699">
        <v>2.9899999999999999E-2</v>
      </c>
      <c r="J706" s="699">
        <v>3.0499999999999999E-2</v>
      </c>
      <c r="K706" s="699">
        <v>3.0300000000000001E-2</v>
      </c>
      <c r="L706" s="697">
        <v>9</v>
      </c>
    </row>
    <row r="707" spans="1:12">
      <c r="A707" s="695">
        <v>44713</v>
      </c>
      <c r="B707" s="696" t="s">
        <v>2863</v>
      </c>
      <c r="C707" s="697">
        <v>168</v>
      </c>
      <c r="D707" s="695">
        <v>44881</v>
      </c>
      <c r="E707" s="698">
        <v>30</v>
      </c>
      <c r="F707" s="698">
        <v>75.878100000000003</v>
      </c>
      <c r="G707" s="698">
        <v>30</v>
      </c>
      <c r="H707" s="698">
        <v>0</v>
      </c>
      <c r="I707" s="699">
        <v>0.03</v>
      </c>
      <c r="J707" s="699">
        <v>0.03</v>
      </c>
      <c r="K707" s="699">
        <v>0.03</v>
      </c>
      <c r="L707" s="697">
        <v>6</v>
      </c>
    </row>
    <row r="708" spans="1:12">
      <c r="A708" s="695">
        <v>44715</v>
      </c>
      <c r="B708" s="696" t="s">
        <v>2864</v>
      </c>
      <c r="C708" s="697">
        <v>252</v>
      </c>
      <c r="D708" s="695">
        <v>44967</v>
      </c>
      <c r="E708" s="698">
        <v>30</v>
      </c>
      <c r="F708" s="698">
        <v>81.626499999999993</v>
      </c>
      <c r="G708" s="698">
        <v>30</v>
      </c>
      <c r="H708" s="698">
        <v>0</v>
      </c>
      <c r="I708" s="699">
        <v>0.03</v>
      </c>
      <c r="J708" s="699">
        <v>3.1899999999999998E-2</v>
      </c>
      <c r="K708" s="699">
        <v>3.1699999999999999E-2</v>
      </c>
      <c r="L708" s="697">
        <v>4</v>
      </c>
    </row>
    <row r="709" spans="1:12">
      <c r="A709" s="695">
        <v>44718</v>
      </c>
      <c r="B709" s="696" t="s">
        <v>2865</v>
      </c>
      <c r="C709" s="697">
        <v>168</v>
      </c>
      <c r="D709" s="695">
        <v>44886</v>
      </c>
      <c r="E709" s="698">
        <v>30</v>
      </c>
      <c r="F709" s="698">
        <v>79.354500000000002</v>
      </c>
      <c r="G709" s="698">
        <v>30</v>
      </c>
      <c r="H709" s="698">
        <v>0</v>
      </c>
      <c r="I709" s="699">
        <v>3.1E-2</v>
      </c>
      <c r="J709" s="699">
        <v>3.4000000000000002E-2</v>
      </c>
      <c r="K709" s="699">
        <v>3.39E-2</v>
      </c>
      <c r="L709" s="697">
        <v>4</v>
      </c>
    </row>
    <row r="710" spans="1:12">
      <c r="A710" s="695">
        <v>44720</v>
      </c>
      <c r="B710" s="696" t="s">
        <v>2866</v>
      </c>
      <c r="C710" s="697">
        <v>252</v>
      </c>
      <c r="D710" s="695">
        <v>44972</v>
      </c>
      <c r="E710" s="698">
        <v>30</v>
      </c>
      <c r="F710" s="698">
        <v>86.967500000000001</v>
      </c>
      <c r="G710" s="698">
        <v>30</v>
      </c>
      <c r="H710" s="698">
        <v>0</v>
      </c>
      <c r="I710" s="699">
        <v>3.4000000000000002E-2</v>
      </c>
      <c r="J710" s="699">
        <v>3.5999999999999997E-2</v>
      </c>
      <c r="K710" s="699">
        <v>3.5700000000000003E-2</v>
      </c>
      <c r="L710" s="697">
        <v>6</v>
      </c>
    </row>
    <row r="711" spans="1:12">
      <c r="A711" s="695">
        <v>44722</v>
      </c>
      <c r="B711" s="696" t="s">
        <v>2867</v>
      </c>
      <c r="C711" s="697">
        <v>252</v>
      </c>
      <c r="D711" s="695">
        <v>44974</v>
      </c>
      <c r="E711" s="698">
        <v>30</v>
      </c>
      <c r="F711" s="698">
        <v>116.8228</v>
      </c>
      <c r="G711" s="698">
        <v>30</v>
      </c>
      <c r="H711" s="698">
        <v>0</v>
      </c>
      <c r="I711" s="699">
        <v>3.6999999999999998E-2</v>
      </c>
      <c r="J711" s="699">
        <v>3.7999999999999999E-2</v>
      </c>
      <c r="K711" s="699">
        <v>3.78E-2</v>
      </c>
      <c r="L711" s="697">
        <v>7</v>
      </c>
    </row>
    <row r="712" spans="1:12">
      <c r="A712" s="695">
        <v>44725</v>
      </c>
      <c r="B712" s="696" t="s">
        <v>2868</v>
      </c>
      <c r="C712" s="697">
        <v>168</v>
      </c>
      <c r="D712" s="695">
        <v>44893</v>
      </c>
      <c r="E712" s="698">
        <v>30</v>
      </c>
      <c r="F712" s="698">
        <v>89.581699999999998</v>
      </c>
      <c r="G712" s="698">
        <v>30</v>
      </c>
      <c r="H712" s="698">
        <v>0</v>
      </c>
      <c r="I712" s="699">
        <v>3.5000000000000003E-2</v>
      </c>
      <c r="J712" s="699">
        <v>3.5000000000000003E-2</v>
      </c>
      <c r="K712" s="699">
        <v>3.5000000000000003E-2</v>
      </c>
      <c r="L712" s="697">
        <v>7</v>
      </c>
    </row>
    <row r="713" spans="1:12">
      <c r="A713" s="695">
        <v>44713</v>
      </c>
      <c r="B713" s="696" t="s">
        <v>2863</v>
      </c>
      <c r="C713" s="697">
        <v>168</v>
      </c>
      <c r="D713" s="695">
        <v>44881</v>
      </c>
      <c r="E713" s="698">
        <v>30</v>
      </c>
      <c r="F713" s="698">
        <v>75.878100000000003</v>
      </c>
      <c r="G713" s="698">
        <v>30</v>
      </c>
      <c r="H713" s="698">
        <v>0</v>
      </c>
      <c r="I713" s="699">
        <v>0.03</v>
      </c>
      <c r="J713" s="699">
        <v>0.03</v>
      </c>
      <c r="K713" s="699">
        <v>0.03</v>
      </c>
      <c r="L713" s="697">
        <v>6</v>
      </c>
    </row>
    <row r="714" spans="1:12">
      <c r="A714" s="695">
        <v>44715</v>
      </c>
      <c r="B714" s="696" t="s">
        <v>2864</v>
      </c>
      <c r="C714" s="697">
        <v>252</v>
      </c>
      <c r="D714" s="695">
        <v>44967</v>
      </c>
      <c r="E714" s="698">
        <v>30</v>
      </c>
      <c r="F714" s="698">
        <v>81.626499999999993</v>
      </c>
      <c r="G714" s="698">
        <v>30</v>
      </c>
      <c r="H714" s="698">
        <v>0</v>
      </c>
      <c r="I714" s="699">
        <v>0.03</v>
      </c>
      <c r="J714" s="699">
        <v>3.1899999999999998E-2</v>
      </c>
      <c r="K714" s="699">
        <v>3.1699999999999999E-2</v>
      </c>
      <c r="L714" s="697">
        <v>4</v>
      </c>
    </row>
    <row r="715" spans="1:12">
      <c r="A715" s="695">
        <v>44718</v>
      </c>
      <c r="B715" s="696" t="s">
        <v>2865</v>
      </c>
      <c r="C715" s="697">
        <v>168</v>
      </c>
      <c r="D715" s="695">
        <v>44886</v>
      </c>
      <c r="E715" s="698">
        <v>30</v>
      </c>
      <c r="F715" s="698">
        <v>79.354500000000002</v>
      </c>
      <c r="G715" s="698">
        <v>30</v>
      </c>
      <c r="H715" s="698">
        <v>0</v>
      </c>
      <c r="I715" s="699">
        <v>3.1E-2</v>
      </c>
      <c r="J715" s="699">
        <v>3.4000000000000002E-2</v>
      </c>
      <c r="K715" s="699">
        <v>3.39E-2</v>
      </c>
      <c r="L715" s="697">
        <v>4</v>
      </c>
    </row>
    <row r="716" spans="1:12">
      <c r="A716" s="695">
        <v>44720</v>
      </c>
      <c r="B716" s="696" t="s">
        <v>2866</v>
      </c>
      <c r="C716" s="697">
        <v>252</v>
      </c>
      <c r="D716" s="695">
        <v>44972</v>
      </c>
      <c r="E716" s="698">
        <v>30</v>
      </c>
      <c r="F716" s="698">
        <v>86.967500000000001</v>
      </c>
      <c r="G716" s="698">
        <v>30</v>
      </c>
      <c r="H716" s="698">
        <v>0</v>
      </c>
      <c r="I716" s="699">
        <v>3.4000000000000002E-2</v>
      </c>
      <c r="J716" s="699">
        <v>3.5999999999999997E-2</v>
      </c>
      <c r="K716" s="699">
        <v>3.5700000000000003E-2</v>
      </c>
      <c r="L716" s="697">
        <v>6</v>
      </c>
    </row>
    <row r="717" spans="1:12">
      <c r="A717" s="695">
        <v>44722</v>
      </c>
      <c r="B717" s="696" t="s">
        <v>2867</v>
      </c>
      <c r="C717" s="697">
        <v>252</v>
      </c>
      <c r="D717" s="695">
        <v>44974</v>
      </c>
      <c r="E717" s="698">
        <v>30</v>
      </c>
      <c r="F717" s="698">
        <v>116.8228</v>
      </c>
      <c r="G717" s="698">
        <v>30</v>
      </c>
      <c r="H717" s="698">
        <v>0</v>
      </c>
      <c r="I717" s="699">
        <v>3.6999999999999998E-2</v>
      </c>
      <c r="J717" s="699">
        <v>3.7999999999999999E-2</v>
      </c>
      <c r="K717" s="699">
        <v>3.78E-2</v>
      </c>
      <c r="L717" s="697">
        <v>7</v>
      </c>
    </row>
    <row r="718" spans="1:12">
      <c r="A718" s="695">
        <v>44725</v>
      </c>
      <c r="B718" s="696" t="s">
        <v>2868</v>
      </c>
      <c r="C718" s="697">
        <v>168</v>
      </c>
      <c r="D718" s="695">
        <v>44893</v>
      </c>
      <c r="E718" s="698">
        <v>30</v>
      </c>
      <c r="F718" s="698">
        <v>89.581699999999998</v>
      </c>
      <c r="G718" s="698">
        <v>30</v>
      </c>
      <c r="H718" s="698">
        <v>0</v>
      </c>
      <c r="I718" s="699">
        <v>3.5000000000000003E-2</v>
      </c>
      <c r="J718" s="699">
        <v>3.5000000000000003E-2</v>
      </c>
      <c r="K718" s="699">
        <v>3.5000000000000003E-2</v>
      </c>
      <c r="L718" s="697">
        <v>7</v>
      </c>
    </row>
    <row r="719" spans="1:12">
      <c r="A719" s="695">
        <v>44839</v>
      </c>
      <c r="B719" s="696" t="s">
        <v>3360</v>
      </c>
      <c r="C719" s="697">
        <v>28</v>
      </c>
      <c r="D719" s="695">
        <v>44867</v>
      </c>
      <c r="E719" s="698">
        <v>30</v>
      </c>
      <c r="F719" s="698">
        <v>72.1434</v>
      </c>
      <c r="G719" s="698">
        <v>30</v>
      </c>
      <c r="H719" s="698">
        <v>0</v>
      </c>
      <c r="I719" s="699">
        <v>2.9700000000000001E-2</v>
      </c>
      <c r="J719" s="699">
        <v>0.04</v>
      </c>
      <c r="K719" s="699">
        <v>3.4799999999999998E-2</v>
      </c>
      <c r="L719" s="697">
        <v>14</v>
      </c>
    </row>
    <row r="720" spans="1:12">
      <c r="A720" s="695">
        <v>44839</v>
      </c>
      <c r="B720" s="696" t="s">
        <v>3361</v>
      </c>
      <c r="C720" s="697">
        <v>84</v>
      </c>
      <c r="D720" s="695">
        <v>44923</v>
      </c>
      <c r="E720" s="698">
        <v>30</v>
      </c>
      <c r="F720" s="698">
        <v>42.291499999999999</v>
      </c>
      <c r="G720" s="698">
        <v>30</v>
      </c>
      <c r="H720" s="698">
        <v>0</v>
      </c>
      <c r="I720" s="699">
        <v>3.2500000000000001E-2</v>
      </c>
      <c r="J720" s="699">
        <v>4.4499999999999998E-2</v>
      </c>
      <c r="K720" s="699">
        <v>4.1300000000000003E-2</v>
      </c>
      <c r="L720" s="697">
        <v>7</v>
      </c>
    </row>
    <row r="721" spans="1:12">
      <c r="A721" s="695">
        <v>44840</v>
      </c>
      <c r="B721" s="696" t="s">
        <v>3362</v>
      </c>
      <c r="C721" s="697">
        <v>168</v>
      </c>
      <c r="D721" s="695">
        <v>45008</v>
      </c>
      <c r="E721" s="698">
        <v>30</v>
      </c>
      <c r="F721" s="698">
        <v>52.304900000000004</v>
      </c>
      <c r="G721" s="698">
        <v>30</v>
      </c>
      <c r="H721" s="698">
        <v>0</v>
      </c>
      <c r="I721" s="699">
        <v>4.5999999999999999E-2</v>
      </c>
      <c r="J721" s="699">
        <v>4.9200000000000001E-2</v>
      </c>
      <c r="K721" s="699">
        <v>4.8099999999999997E-2</v>
      </c>
      <c r="L721" s="697">
        <v>12</v>
      </c>
    </row>
    <row r="722" spans="1:12">
      <c r="A722" s="695">
        <v>44840</v>
      </c>
      <c r="B722" s="696" t="s">
        <v>3363</v>
      </c>
      <c r="C722" s="697">
        <v>252</v>
      </c>
      <c r="D722" s="695">
        <v>45092</v>
      </c>
      <c r="E722" s="698">
        <v>30</v>
      </c>
      <c r="F722" s="698">
        <v>50.221800000000002</v>
      </c>
      <c r="G722" s="698">
        <v>30</v>
      </c>
      <c r="H722" s="698">
        <v>0</v>
      </c>
      <c r="I722" s="699">
        <v>4.7E-2</v>
      </c>
      <c r="J722" s="699">
        <v>5.2999999999999999E-2</v>
      </c>
      <c r="K722" s="699">
        <v>5.1999999999999998E-2</v>
      </c>
      <c r="L722" s="697">
        <v>11</v>
      </c>
    </row>
    <row r="723" spans="1:12">
      <c r="A723" s="695">
        <v>44846</v>
      </c>
      <c r="B723" s="696" t="s">
        <v>3364</v>
      </c>
      <c r="C723" s="697">
        <v>28</v>
      </c>
      <c r="D723" s="695">
        <v>44874</v>
      </c>
      <c r="E723" s="698">
        <v>30</v>
      </c>
      <c r="F723" s="698">
        <v>53.516599999999997</v>
      </c>
      <c r="G723" s="698">
        <v>30</v>
      </c>
      <c r="H723" s="698">
        <v>0</v>
      </c>
      <c r="I723" s="699">
        <v>3.3000000000000002E-2</v>
      </c>
      <c r="J723" s="699">
        <v>0.04</v>
      </c>
      <c r="K723" s="699">
        <v>3.78E-2</v>
      </c>
      <c r="L723" s="697">
        <v>10</v>
      </c>
    </row>
    <row r="724" spans="1:12">
      <c r="A724" s="695">
        <v>44846</v>
      </c>
      <c r="B724" s="696" t="s">
        <v>3365</v>
      </c>
      <c r="C724" s="697">
        <v>84</v>
      </c>
      <c r="D724" s="695">
        <v>44930</v>
      </c>
      <c r="E724" s="698">
        <v>30</v>
      </c>
      <c r="F724" s="698">
        <v>60.1616</v>
      </c>
      <c r="G724" s="698">
        <v>30</v>
      </c>
      <c r="H724" s="698">
        <v>0</v>
      </c>
      <c r="I724" s="699">
        <v>0.04</v>
      </c>
      <c r="J724" s="699">
        <v>4.3999999999999997E-2</v>
      </c>
      <c r="K724" s="699">
        <v>4.3099999999999999E-2</v>
      </c>
      <c r="L724" s="697">
        <v>11</v>
      </c>
    </row>
    <row r="725" spans="1:12">
      <c r="A725" s="695">
        <v>44847</v>
      </c>
      <c r="B725" s="696" t="s">
        <v>3366</v>
      </c>
      <c r="C725" s="697">
        <v>168</v>
      </c>
      <c r="D725" s="695">
        <v>45015</v>
      </c>
      <c r="E725" s="698">
        <v>30</v>
      </c>
      <c r="F725" s="698">
        <v>59.381900000000002</v>
      </c>
      <c r="G725" s="698">
        <v>30</v>
      </c>
      <c r="H725" s="698">
        <v>0</v>
      </c>
      <c r="I725" s="699">
        <v>0.04</v>
      </c>
      <c r="J725" s="699">
        <v>4.9099999999999998E-2</v>
      </c>
      <c r="K725" s="699">
        <v>4.6699999999999998E-2</v>
      </c>
      <c r="L725" s="697">
        <v>11</v>
      </c>
    </row>
    <row r="726" spans="1:12">
      <c r="A726" s="695">
        <v>44847</v>
      </c>
      <c r="B726" s="696" t="s">
        <v>3367</v>
      </c>
      <c r="C726" s="697">
        <v>252</v>
      </c>
      <c r="D726" s="695">
        <v>45099</v>
      </c>
      <c r="E726" s="698">
        <v>30</v>
      </c>
      <c r="F726" s="698">
        <v>47.948399999999999</v>
      </c>
      <c r="G726" s="698">
        <v>30</v>
      </c>
      <c r="H726" s="698">
        <v>0</v>
      </c>
      <c r="I726" s="699">
        <v>4.2000000000000003E-2</v>
      </c>
      <c r="J726" s="699">
        <v>5.2900000000000003E-2</v>
      </c>
      <c r="K726" s="699">
        <v>5.0200000000000002E-2</v>
      </c>
      <c r="L726" s="697">
        <v>9</v>
      </c>
    </row>
    <row r="727" spans="1:12">
      <c r="A727" s="695">
        <v>44853</v>
      </c>
      <c r="B727" s="696" t="s">
        <v>3368</v>
      </c>
      <c r="C727" s="697">
        <v>28</v>
      </c>
      <c r="D727" s="695">
        <v>44881</v>
      </c>
      <c r="E727" s="698">
        <v>30</v>
      </c>
      <c r="F727" s="698">
        <v>66.016099999999994</v>
      </c>
      <c r="G727" s="698">
        <v>30</v>
      </c>
      <c r="H727" s="698">
        <v>0</v>
      </c>
      <c r="I727" s="699">
        <v>3.5000000000000003E-2</v>
      </c>
      <c r="J727" s="699">
        <v>3.5000000000000003E-2</v>
      </c>
      <c r="K727" s="699">
        <v>3.5000000000000003E-2</v>
      </c>
      <c r="L727" s="697">
        <v>10</v>
      </c>
    </row>
    <row r="728" spans="1:12">
      <c r="A728" s="695">
        <v>44853</v>
      </c>
      <c r="B728" s="696" t="s">
        <v>3369</v>
      </c>
      <c r="C728" s="697">
        <v>84</v>
      </c>
      <c r="D728" s="695">
        <v>44937</v>
      </c>
      <c r="E728" s="698">
        <v>30</v>
      </c>
      <c r="F728" s="698">
        <v>69.653099999999995</v>
      </c>
      <c r="G728" s="698">
        <v>30</v>
      </c>
      <c r="H728" s="698">
        <v>0</v>
      </c>
      <c r="I728" s="699">
        <v>4.1000000000000002E-2</v>
      </c>
      <c r="J728" s="699">
        <v>4.1000000000000002E-2</v>
      </c>
      <c r="K728" s="699">
        <v>4.1000000000000002E-2</v>
      </c>
      <c r="L728" s="697">
        <v>12</v>
      </c>
    </row>
    <row r="729" spans="1:12">
      <c r="A729" s="695">
        <v>44854</v>
      </c>
      <c r="B729" s="696" t="s">
        <v>3370</v>
      </c>
      <c r="C729" s="697">
        <v>168</v>
      </c>
      <c r="D729" s="695">
        <v>45022</v>
      </c>
      <c r="E729" s="698">
        <v>30</v>
      </c>
      <c r="F729" s="698">
        <v>65.529499999999999</v>
      </c>
      <c r="G729" s="698">
        <v>30</v>
      </c>
      <c r="H729" s="698">
        <v>0</v>
      </c>
      <c r="I729" s="699">
        <v>4.1000000000000002E-2</v>
      </c>
      <c r="J729" s="699">
        <v>4.4900000000000002E-2</v>
      </c>
      <c r="K729" s="699">
        <v>4.3900000000000002E-2</v>
      </c>
      <c r="L729" s="697">
        <v>12</v>
      </c>
    </row>
    <row r="730" spans="1:12">
      <c r="A730" s="695">
        <v>44854</v>
      </c>
      <c r="B730" s="696" t="s">
        <v>3371</v>
      </c>
      <c r="C730" s="697">
        <v>252</v>
      </c>
      <c r="D730" s="695">
        <v>45106</v>
      </c>
      <c r="E730" s="698">
        <v>30</v>
      </c>
      <c r="F730" s="698">
        <v>67.272599999999997</v>
      </c>
      <c r="G730" s="698">
        <v>30</v>
      </c>
      <c r="H730" s="698">
        <v>0</v>
      </c>
      <c r="I730" s="699">
        <v>4.2000000000000003E-2</v>
      </c>
      <c r="J730" s="699">
        <v>4.9000000000000002E-2</v>
      </c>
      <c r="K730" s="699">
        <v>4.6899999999999997E-2</v>
      </c>
      <c r="L730" s="697">
        <v>12</v>
      </c>
    </row>
    <row r="731" spans="1:12">
      <c r="A731" s="695">
        <v>44860</v>
      </c>
      <c r="B731" s="696" t="s">
        <v>3372</v>
      </c>
      <c r="C731" s="697">
        <v>28</v>
      </c>
      <c r="D731" s="695">
        <v>44888</v>
      </c>
      <c r="E731" s="698">
        <v>30</v>
      </c>
      <c r="F731" s="698">
        <v>46.026200000000003</v>
      </c>
      <c r="G731" s="698">
        <v>30</v>
      </c>
      <c r="H731" s="698">
        <v>0</v>
      </c>
      <c r="I731" s="699">
        <v>3.1E-2</v>
      </c>
      <c r="J731" s="699">
        <v>3.5000000000000003E-2</v>
      </c>
      <c r="K731" s="699">
        <v>3.39E-2</v>
      </c>
      <c r="L731" s="697">
        <v>8</v>
      </c>
    </row>
    <row r="732" spans="1:12">
      <c r="A732" s="695">
        <v>44860</v>
      </c>
      <c r="B732" s="696" t="s">
        <v>3373</v>
      </c>
      <c r="C732" s="697">
        <v>84</v>
      </c>
      <c r="D732" s="695">
        <v>44944</v>
      </c>
      <c r="E732" s="698">
        <v>30</v>
      </c>
      <c r="F732" s="698">
        <v>60.174599999999998</v>
      </c>
      <c r="G732" s="698">
        <v>30</v>
      </c>
      <c r="H732" s="698">
        <v>0</v>
      </c>
      <c r="I732" s="699">
        <v>0.04</v>
      </c>
      <c r="J732" s="699">
        <v>4.0500000000000001E-2</v>
      </c>
      <c r="K732" s="699">
        <v>4.0099999999999997E-2</v>
      </c>
      <c r="L732" s="697">
        <v>11</v>
      </c>
    </row>
    <row r="733" spans="1:12">
      <c r="A733" s="695">
        <v>44861</v>
      </c>
      <c r="B733" s="696" t="s">
        <v>3374</v>
      </c>
      <c r="C733" s="697">
        <v>168</v>
      </c>
      <c r="D733" s="695">
        <v>45029</v>
      </c>
      <c r="E733" s="698">
        <v>30</v>
      </c>
      <c r="F733" s="698">
        <v>64.841999999999999</v>
      </c>
      <c r="G733" s="698">
        <v>30</v>
      </c>
      <c r="H733" s="698">
        <v>0</v>
      </c>
      <c r="I733" s="699">
        <v>4.2500000000000003E-2</v>
      </c>
      <c r="J733" s="699">
        <v>4.3499999999999997E-2</v>
      </c>
      <c r="K733" s="699">
        <v>4.3200000000000002E-2</v>
      </c>
      <c r="L733" s="697">
        <v>13</v>
      </c>
    </row>
    <row r="734" spans="1:12">
      <c r="A734" s="695">
        <v>44861</v>
      </c>
      <c r="B734" s="696" t="s">
        <v>3375</v>
      </c>
      <c r="C734" s="697">
        <v>252</v>
      </c>
      <c r="D734" s="695">
        <v>45113</v>
      </c>
      <c r="E734" s="698">
        <v>30</v>
      </c>
      <c r="F734" s="698">
        <v>63.841799999999999</v>
      </c>
      <c r="G734" s="698">
        <v>30</v>
      </c>
      <c r="H734" s="698">
        <v>0</v>
      </c>
      <c r="I734" s="699">
        <v>4.58E-2</v>
      </c>
      <c r="J734" s="699">
        <v>4.65E-2</v>
      </c>
      <c r="K734" s="699">
        <v>4.6300000000000001E-2</v>
      </c>
      <c r="L734" s="697">
        <v>13</v>
      </c>
    </row>
    <row r="735" spans="1:12">
      <c r="A735" s="695">
        <v>44867</v>
      </c>
      <c r="B735" s="696" t="s">
        <v>3382</v>
      </c>
      <c r="C735" s="697">
        <v>28</v>
      </c>
      <c r="D735" s="695">
        <v>44895</v>
      </c>
      <c r="E735" s="698">
        <v>30</v>
      </c>
      <c r="F735" s="698">
        <v>41.501600000000003</v>
      </c>
      <c r="G735" s="698">
        <v>30</v>
      </c>
      <c r="H735" s="698">
        <v>0</v>
      </c>
      <c r="I735" s="699">
        <v>3.6999999999999998E-2</v>
      </c>
      <c r="J735" s="699">
        <v>0.04</v>
      </c>
      <c r="K735" s="699">
        <v>3.8540055318366608E-2</v>
      </c>
      <c r="L735" s="697">
        <v>7</v>
      </c>
    </row>
    <row r="736" spans="1:12">
      <c r="A736" s="695">
        <v>44867</v>
      </c>
      <c r="B736" s="696" t="s">
        <v>3383</v>
      </c>
      <c r="C736" s="697">
        <v>84</v>
      </c>
      <c r="D736" s="695">
        <v>44951</v>
      </c>
      <c r="E736" s="698">
        <v>30</v>
      </c>
      <c r="F736" s="698">
        <v>54.505099999999999</v>
      </c>
      <c r="G736" s="698">
        <v>30</v>
      </c>
      <c r="H736" s="698">
        <v>0</v>
      </c>
      <c r="I736" s="699">
        <v>0.04</v>
      </c>
      <c r="J736" s="699">
        <v>4.4999999999999998E-2</v>
      </c>
      <c r="K736" s="699">
        <v>4.3434E-2</v>
      </c>
      <c r="L736" s="697">
        <v>9</v>
      </c>
    </row>
    <row r="737" spans="1:12">
      <c r="A737" s="695">
        <v>44868</v>
      </c>
      <c r="B737" s="696" t="s">
        <v>3384</v>
      </c>
      <c r="C737" s="697">
        <v>168</v>
      </c>
      <c r="D737" s="695">
        <v>45036</v>
      </c>
      <c r="E737" s="698">
        <v>30</v>
      </c>
      <c r="F737" s="698">
        <v>75.257400000000004</v>
      </c>
      <c r="G737" s="698">
        <v>30</v>
      </c>
      <c r="H737" s="698">
        <v>0</v>
      </c>
      <c r="I737" s="699">
        <v>4.58E-2</v>
      </c>
      <c r="J737" s="699">
        <v>4.9500000000000002E-2</v>
      </c>
      <c r="K737" s="699">
        <v>4.7800000000000002E-2</v>
      </c>
      <c r="L737" s="697">
        <v>14</v>
      </c>
    </row>
    <row r="738" spans="1:12">
      <c r="A738" s="695">
        <v>44868</v>
      </c>
      <c r="B738" s="696" t="s">
        <v>3385</v>
      </c>
      <c r="C738" s="697">
        <v>252</v>
      </c>
      <c r="D738" s="695">
        <v>45120</v>
      </c>
      <c r="E738" s="698">
        <v>30</v>
      </c>
      <c r="F738" s="698">
        <v>72.5839</v>
      </c>
      <c r="G738" s="698">
        <v>30</v>
      </c>
      <c r="H738" s="698">
        <v>0</v>
      </c>
      <c r="I738" s="699">
        <v>4.8800000000000003E-2</v>
      </c>
      <c r="J738" s="699">
        <v>5.2499999999999998E-2</v>
      </c>
      <c r="K738" s="699">
        <v>5.11E-2</v>
      </c>
      <c r="L738" s="697">
        <v>14</v>
      </c>
    </row>
    <row r="739" spans="1:12">
      <c r="A739" s="695">
        <v>44875</v>
      </c>
      <c r="B739" s="696" t="s">
        <v>3386</v>
      </c>
      <c r="C739" s="697">
        <v>27</v>
      </c>
      <c r="D739" s="695">
        <v>44902</v>
      </c>
      <c r="E739" s="698">
        <v>30</v>
      </c>
      <c r="F739" s="698">
        <v>71.719099999999997</v>
      </c>
      <c r="G739" s="698">
        <v>30</v>
      </c>
      <c r="H739" s="698">
        <v>0</v>
      </c>
      <c r="I739" s="699">
        <v>3.7699999999999997E-2</v>
      </c>
      <c r="J739" s="699">
        <v>3.7999999999999999E-2</v>
      </c>
      <c r="K739" s="699">
        <v>3.7900000000000003E-2</v>
      </c>
      <c r="L739" s="697">
        <v>14</v>
      </c>
    </row>
    <row r="740" spans="1:12">
      <c r="A740" s="695">
        <v>44875</v>
      </c>
      <c r="B740" s="696" t="s">
        <v>3387</v>
      </c>
      <c r="C740" s="697">
        <v>83</v>
      </c>
      <c r="D740" s="695">
        <v>44958</v>
      </c>
      <c r="E740" s="698">
        <v>30</v>
      </c>
      <c r="F740" s="698">
        <v>66.793099999999995</v>
      </c>
      <c r="G740" s="698">
        <v>30</v>
      </c>
      <c r="H740" s="698">
        <v>0</v>
      </c>
      <c r="I740" s="699">
        <v>4.1500000000000002E-2</v>
      </c>
      <c r="J740" s="699">
        <v>4.2000000000000003E-2</v>
      </c>
      <c r="K740" s="699">
        <v>4.19E-2</v>
      </c>
      <c r="L740" s="697">
        <v>13</v>
      </c>
    </row>
    <row r="741" spans="1:12">
      <c r="A741" s="695">
        <v>44876</v>
      </c>
      <c r="B741" s="696" t="s">
        <v>3388</v>
      </c>
      <c r="C741" s="697">
        <v>167</v>
      </c>
      <c r="D741" s="695">
        <v>45043</v>
      </c>
      <c r="E741" s="698">
        <v>30</v>
      </c>
      <c r="F741" s="698">
        <v>48.932299999999998</v>
      </c>
      <c r="G741" s="698">
        <v>30</v>
      </c>
      <c r="H741" s="698">
        <v>0</v>
      </c>
      <c r="I741" s="699">
        <v>4.3999999999999997E-2</v>
      </c>
      <c r="J741" s="699">
        <v>4.4200000000000003E-2</v>
      </c>
      <c r="K741" s="699">
        <v>4.41E-2</v>
      </c>
      <c r="L741" s="697">
        <v>9</v>
      </c>
    </row>
    <row r="742" spans="1:12">
      <c r="A742" s="695">
        <v>44876</v>
      </c>
      <c r="B742" s="696" t="s">
        <v>3389</v>
      </c>
      <c r="C742" s="697">
        <v>251</v>
      </c>
      <c r="D742" s="695">
        <v>45127</v>
      </c>
      <c r="E742" s="698">
        <v>30</v>
      </c>
      <c r="F742" s="698">
        <v>54.165300000000002</v>
      </c>
      <c r="G742" s="698">
        <v>30</v>
      </c>
      <c r="H742" s="698">
        <v>0</v>
      </c>
      <c r="I742" s="699">
        <v>4.7500000000000001E-2</v>
      </c>
      <c r="J742" s="699">
        <v>4.8000000000000001E-2</v>
      </c>
      <c r="K742" s="699">
        <v>4.7800000000000002E-2</v>
      </c>
      <c r="L742" s="697">
        <v>10</v>
      </c>
    </row>
    <row r="743" spans="1:12">
      <c r="A743" s="695">
        <v>44881</v>
      </c>
      <c r="B743" s="696" t="s">
        <v>3390</v>
      </c>
      <c r="C743" s="697">
        <v>28</v>
      </c>
      <c r="D743" s="695">
        <v>44909</v>
      </c>
      <c r="E743" s="698">
        <v>30</v>
      </c>
      <c r="F743" s="698">
        <v>59.017800000000001</v>
      </c>
      <c r="G743" s="698">
        <v>30</v>
      </c>
      <c r="H743" s="698">
        <v>0</v>
      </c>
      <c r="I743" s="699">
        <v>3.4000000000000002E-2</v>
      </c>
      <c r="J743" s="699">
        <v>3.7999999999999999E-2</v>
      </c>
      <c r="K743" s="699">
        <v>3.5900000000000001E-2</v>
      </c>
      <c r="L743" s="697">
        <v>10</v>
      </c>
    </row>
    <row r="744" spans="1:12">
      <c r="A744" s="695">
        <v>44881</v>
      </c>
      <c r="B744" s="696" t="s">
        <v>3391</v>
      </c>
      <c r="C744" s="697">
        <v>84</v>
      </c>
      <c r="D744" s="695">
        <v>44965</v>
      </c>
      <c r="E744" s="698">
        <v>30</v>
      </c>
      <c r="F744" s="698">
        <v>68.771000000000001</v>
      </c>
      <c r="G744" s="698">
        <v>30</v>
      </c>
      <c r="H744" s="698">
        <v>0</v>
      </c>
      <c r="I744" s="699">
        <v>3.9800000000000002E-2</v>
      </c>
      <c r="J744" s="699">
        <v>4.2000000000000003E-2</v>
      </c>
      <c r="K744" s="699">
        <v>4.0500000000000001E-2</v>
      </c>
      <c r="L744" s="697">
        <v>12</v>
      </c>
    </row>
    <row r="745" spans="1:12">
      <c r="A745" s="695">
        <v>44882</v>
      </c>
      <c r="B745" s="696" t="s">
        <v>3392</v>
      </c>
      <c r="C745" s="697">
        <v>168</v>
      </c>
      <c r="D745" s="695">
        <v>45050</v>
      </c>
      <c r="E745" s="698">
        <v>30</v>
      </c>
      <c r="F745" s="698">
        <v>40.367400000000004</v>
      </c>
      <c r="G745" s="698">
        <v>30</v>
      </c>
      <c r="H745" s="698">
        <v>0</v>
      </c>
      <c r="I745" s="699">
        <v>4.1700000000000001E-2</v>
      </c>
      <c r="J745" s="699">
        <v>4.2500000000000003E-2</v>
      </c>
      <c r="K745" s="699">
        <v>4.2299999999999997E-2</v>
      </c>
      <c r="L745" s="697">
        <v>7</v>
      </c>
    </row>
    <row r="746" spans="1:12">
      <c r="A746" s="695">
        <v>44882</v>
      </c>
      <c r="B746" s="696" t="s">
        <v>3393</v>
      </c>
      <c r="C746" s="697">
        <v>252</v>
      </c>
      <c r="D746" s="695">
        <v>45134</v>
      </c>
      <c r="E746" s="698">
        <v>30</v>
      </c>
      <c r="F746" s="698">
        <v>40.5807</v>
      </c>
      <c r="G746" s="698">
        <v>30</v>
      </c>
      <c r="H746" s="698">
        <v>0</v>
      </c>
      <c r="I746" s="699">
        <v>4.4499999999999998E-2</v>
      </c>
      <c r="J746" s="699">
        <v>4.7500000000000001E-2</v>
      </c>
      <c r="K746" s="699">
        <v>4.6699999999999998E-2</v>
      </c>
      <c r="L746" s="697">
        <v>7</v>
      </c>
    </row>
    <row r="747" spans="1:12">
      <c r="A747" s="695">
        <v>44888</v>
      </c>
      <c r="B747" s="696" t="s">
        <v>3394</v>
      </c>
      <c r="C747" s="697">
        <v>28</v>
      </c>
      <c r="D747" s="695">
        <v>44916</v>
      </c>
      <c r="E747" s="698">
        <v>30</v>
      </c>
      <c r="F747" s="698">
        <v>52.811300000000003</v>
      </c>
      <c r="G747" s="698">
        <v>30</v>
      </c>
      <c r="H747" s="698">
        <v>0</v>
      </c>
      <c r="I747" s="699">
        <v>3.4000000000000002E-2</v>
      </c>
      <c r="J747" s="699">
        <v>3.5000000000000003E-2</v>
      </c>
      <c r="K747" s="699">
        <v>3.4599999999999999E-2</v>
      </c>
      <c r="L747" s="697">
        <v>8</v>
      </c>
    </row>
    <row r="748" spans="1:12">
      <c r="A748" s="695">
        <v>44888</v>
      </c>
      <c r="B748" s="696" t="s">
        <v>3395</v>
      </c>
      <c r="C748" s="697">
        <v>84</v>
      </c>
      <c r="D748" s="695">
        <v>44972</v>
      </c>
      <c r="E748" s="698">
        <v>30</v>
      </c>
      <c r="F748" s="698">
        <v>44.901400000000002</v>
      </c>
      <c r="G748" s="698">
        <v>30</v>
      </c>
      <c r="H748" s="698">
        <v>0</v>
      </c>
      <c r="I748" s="699">
        <v>3.8699999999999998E-2</v>
      </c>
      <c r="J748" s="699">
        <v>4.1000000000000002E-2</v>
      </c>
      <c r="K748" s="699">
        <v>3.9899999999999998E-2</v>
      </c>
      <c r="L748" s="697">
        <v>7</v>
      </c>
    </row>
    <row r="749" spans="1:12">
      <c r="A749" s="695">
        <v>44889</v>
      </c>
      <c r="B749" s="696" t="s">
        <v>3396</v>
      </c>
      <c r="C749" s="697">
        <v>168</v>
      </c>
      <c r="D749" s="695">
        <v>45057</v>
      </c>
      <c r="E749" s="698">
        <v>30</v>
      </c>
      <c r="F749" s="698">
        <v>37.841799999999999</v>
      </c>
      <c r="G749" s="698">
        <v>30</v>
      </c>
      <c r="H749" s="698">
        <v>0</v>
      </c>
      <c r="I749" s="699">
        <v>4.1000000000000002E-2</v>
      </c>
      <c r="J749" s="699">
        <v>4.2000000000000003E-2</v>
      </c>
      <c r="K749" s="699">
        <v>4.1200000000000001E-2</v>
      </c>
      <c r="L749" s="697">
        <v>6</v>
      </c>
    </row>
    <row r="750" spans="1:12">
      <c r="A750" s="695">
        <v>44889</v>
      </c>
      <c r="B750" s="696" t="s">
        <v>3397</v>
      </c>
      <c r="C750" s="697">
        <v>252</v>
      </c>
      <c r="D750" s="695">
        <v>45141</v>
      </c>
      <c r="E750" s="698">
        <v>30</v>
      </c>
      <c r="F750" s="698">
        <v>49.133600000000001</v>
      </c>
      <c r="G750" s="698">
        <v>30</v>
      </c>
      <c r="H750" s="698">
        <v>0</v>
      </c>
      <c r="I750" s="699">
        <v>4.4699999999999997E-2</v>
      </c>
      <c r="J750" s="699">
        <v>4.5999999999999999E-2</v>
      </c>
      <c r="K750" s="699">
        <v>4.5699999999999998E-2</v>
      </c>
      <c r="L750" s="697">
        <v>8</v>
      </c>
    </row>
    <row r="751" spans="1:12">
      <c r="A751" s="695">
        <v>44895</v>
      </c>
      <c r="B751" s="696" t="s">
        <v>3398</v>
      </c>
      <c r="C751" s="697">
        <v>28</v>
      </c>
      <c r="D751" s="695">
        <v>44923</v>
      </c>
      <c r="E751" s="698">
        <v>30</v>
      </c>
      <c r="F751" s="698">
        <v>49.503700000000002</v>
      </c>
      <c r="G751" s="698">
        <v>30</v>
      </c>
      <c r="H751" s="698">
        <v>0</v>
      </c>
      <c r="I751" s="699">
        <v>3.2399999999999998E-2</v>
      </c>
      <c r="J751" s="699">
        <v>3.5000000000000003E-2</v>
      </c>
      <c r="K751" s="699">
        <v>3.4200000000000001E-2</v>
      </c>
      <c r="L751" s="697">
        <v>9</v>
      </c>
    </row>
    <row r="752" spans="1:12">
      <c r="A752" s="695">
        <v>44895</v>
      </c>
      <c r="B752" s="696" t="s">
        <v>3399</v>
      </c>
      <c r="C752" s="697">
        <v>84</v>
      </c>
      <c r="D752" s="695">
        <v>44979</v>
      </c>
      <c r="E752" s="698">
        <v>30</v>
      </c>
      <c r="F752" s="698">
        <v>34.538600000000002</v>
      </c>
      <c r="G752" s="698">
        <v>30</v>
      </c>
      <c r="H752" s="698">
        <v>0</v>
      </c>
      <c r="I752" s="699">
        <v>3.6799999999999999E-2</v>
      </c>
      <c r="J752" s="699">
        <v>0.05</v>
      </c>
      <c r="K752" s="699">
        <v>4.02E-2</v>
      </c>
      <c r="L752" s="697">
        <v>6</v>
      </c>
    </row>
    <row r="753" spans="1:12">
      <c r="A753" s="695">
        <v>44896</v>
      </c>
      <c r="B753" s="696" t="s">
        <v>3445</v>
      </c>
      <c r="C753" s="697">
        <v>168</v>
      </c>
      <c r="D753" s="695">
        <v>45064</v>
      </c>
      <c r="E753" s="698">
        <v>30</v>
      </c>
      <c r="F753" s="698">
        <v>44.740200000000002</v>
      </c>
      <c r="G753" s="698">
        <v>30</v>
      </c>
      <c r="H753" s="698">
        <v>0</v>
      </c>
      <c r="I753" s="699">
        <v>4.4900000000000002E-2</v>
      </c>
      <c r="J753" s="699">
        <v>0.05</v>
      </c>
      <c r="K753" s="699">
        <v>4.8300000000000003E-2</v>
      </c>
      <c r="L753" s="697">
        <v>11</v>
      </c>
    </row>
    <row r="754" spans="1:12">
      <c r="A754" s="695">
        <v>44896</v>
      </c>
      <c r="B754" s="696" t="s">
        <v>3446</v>
      </c>
      <c r="C754" s="697">
        <v>252</v>
      </c>
      <c r="D754" s="695">
        <v>45148</v>
      </c>
      <c r="E754" s="698">
        <v>30</v>
      </c>
      <c r="F754" s="698">
        <v>35.761499999999998</v>
      </c>
      <c r="G754" s="698">
        <v>30</v>
      </c>
      <c r="H754" s="698">
        <v>0</v>
      </c>
      <c r="I754" s="699">
        <v>5.2900000000000003E-2</v>
      </c>
      <c r="J754" s="699">
        <v>0.06</v>
      </c>
      <c r="K754" s="699">
        <v>5.5E-2</v>
      </c>
      <c r="L754" s="697">
        <v>8</v>
      </c>
    </row>
    <row r="755" spans="1:12">
      <c r="A755" s="695">
        <v>44902</v>
      </c>
      <c r="B755" s="696" t="s">
        <v>3447</v>
      </c>
      <c r="C755" s="697">
        <v>28</v>
      </c>
      <c r="D755" s="695">
        <v>44930</v>
      </c>
      <c r="E755" s="698">
        <v>30</v>
      </c>
      <c r="F755" s="698">
        <v>41.514600000000002</v>
      </c>
      <c r="G755" s="698">
        <v>30</v>
      </c>
      <c r="H755" s="698">
        <v>0</v>
      </c>
      <c r="I755" s="699">
        <v>3.3799999999999997E-2</v>
      </c>
      <c r="J755" s="699">
        <v>4.3999999999999997E-2</v>
      </c>
      <c r="K755" s="699">
        <v>3.78E-2</v>
      </c>
      <c r="L755" s="697">
        <v>8</v>
      </c>
    </row>
    <row r="756" spans="1:12">
      <c r="A756" s="695">
        <v>44902</v>
      </c>
      <c r="B756" s="696" t="s">
        <v>3448</v>
      </c>
      <c r="C756" s="697">
        <v>84</v>
      </c>
      <c r="D756" s="695">
        <v>44986</v>
      </c>
      <c r="E756" s="698">
        <v>30</v>
      </c>
      <c r="F756" s="698">
        <v>38.034700000000001</v>
      </c>
      <c r="G756" s="698">
        <v>30</v>
      </c>
      <c r="H756" s="698">
        <v>0</v>
      </c>
      <c r="I756" s="699">
        <v>3.8800000000000001E-2</v>
      </c>
      <c r="J756" s="699">
        <v>4.9000000000000002E-2</v>
      </c>
      <c r="K756" s="699">
        <v>4.5100000000000001E-2</v>
      </c>
      <c r="L756" s="697">
        <v>8</v>
      </c>
    </row>
    <row r="757" spans="1:12">
      <c r="A757" s="695">
        <v>44903</v>
      </c>
      <c r="B757" s="696" t="s">
        <v>3449</v>
      </c>
      <c r="C757" s="697">
        <v>168</v>
      </c>
      <c r="D757" s="695">
        <v>45071</v>
      </c>
      <c r="E757" s="698">
        <v>30</v>
      </c>
      <c r="F757" s="698">
        <v>42.512700000000002</v>
      </c>
      <c r="G757" s="698">
        <v>30</v>
      </c>
      <c r="H757" s="698">
        <v>0</v>
      </c>
      <c r="I757" s="699">
        <v>0.05</v>
      </c>
      <c r="J757" s="699">
        <v>5.5E-2</v>
      </c>
      <c r="K757" s="699">
        <v>5.28E-2</v>
      </c>
      <c r="L757" s="697">
        <v>8</v>
      </c>
    </row>
    <row r="758" spans="1:12">
      <c r="A758" s="695">
        <v>44903</v>
      </c>
      <c r="B758" s="696" t="s">
        <v>3450</v>
      </c>
      <c r="C758" s="697">
        <v>252</v>
      </c>
      <c r="D758" s="695">
        <v>45155</v>
      </c>
      <c r="E758" s="698">
        <v>30</v>
      </c>
      <c r="F758" s="698">
        <v>37.080100000000002</v>
      </c>
      <c r="G758" s="698">
        <v>30</v>
      </c>
      <c r="H758" s="698">
        <v>0</v>
      </c>
      <c r="I758" s="699">
        <v>5.6500000000000002E-2</v>
      </c>
      <c r="J758" s="699">
        <v>0.06</v>
      </c>
      <c r="K758" s="699">
        <v>5.9400000000000001E-2</v>
      </c>
      <c r="L758" s="697">
        <v>8</v>
      </c>
    </row>
    <row r="759" spans="1:12">
      <c r="A759" s="695">
        <v>44909</v>
      </c>
      <c r="B759" s="696" t="s">
        <v>3451</v>
      </c>
      <c r="C759" s="697">
        <v>28</v>
      </c>
      <c r="D759" s="695">
        <v>44937</v>
      </c>
      <c r="E759" s="698">
        <v>30</v>
      </c>
      <c r="F759" s="698">
        <v>40.514000000000003</v>
      </c>
      <c r="G759" s="698">
        <v>30</v>
      </c>
      <c r="H759" s="698">
        <v>0</v>
      </c>
      <c r="I759" s="699">
        <v>3.85E-2</v>
      </c>
      <c r="J759" s="699">
        <v>4.9500000000000002E-2</v>
      </c>
      <c r="K759" s="699">
        <v>4.1200000000000001E-2</v>
      </c>
      <c r="L759" s="697">
        <v>7</v>
      </c>
    </row>
    <row r="760" spans="1:12">
      <c r="A760" s="695">
        <v>44909</v>
      </c>
      <c r="B760" s="696" t="s">
        <v>3452</v>
      </c>
      <c r="C760" s="697">
        <v>84</v>
      </c>
      <c r="D760" s="695">
        <v>44993</v>
      </c>
      <c r="E760" s="698">
        <v>30</v>
      </c>
      <c r="F760" s="698">
        <v>26.021100000000001</v>
      </c>
      <c r="G760" s="698">
        <v>26.021100000000001</v>
      </c>
      <c r="H760" s="698">
        <v>0</v>
      </c>
      <c r="I760" s="699">
        <v>4.5999999999999999E-2</v>
      </c>
      <c r="J760" s="699">
        <v>5.8500000000000003E-2</v>
      </c>
      <c r="K760" s="699">
        <v>5.1799999999999999E-2</v>
      </c>
      <c r="L760" s="697">
        <v>6</v>
      </c>
    </row>
    <row r="761" spans="1:12">
      <c r="A761" s="695">
        <v>44910</v>
      </c>
      <c r="B761" s="696" t="s">
        <v>3453</v>
      </c>
      <c r="C761" s="697">
        <v>168</v>
      </c>
      <c r="D761" s="695">
        <v>45078</v>
      </c>
      <c r="E761" s="698">
        <v>30</v>
      </c>
      <c r="F761" s="698">
        <v>43.1678</v>
      </c>
      <c r="G761" s="698">
        <v>30</v>
      </c>
      <c r="H761" s="698">
        <v>0</v>
      </c>
      <c r="I761" s="699">
        <v>5.5E-2</v>
      </c>
      <c r="J761" s="699">
        <v>6.5500000000000003E-2</v>
      </c>
      <c r="K761" s="699">
        <v>6.1400000000000003E-2</v>
      </c>
      <c r="L761" s="697">
        <v>10</v>
      </c>
    </row>
    <row r="762" spans="1:12">
      <c r="A762" s="695">
        <v>44910</v>
      </c>
      <c r="B762" s="696" t="s">
        <v>3454</v>
      </c>
      <c r="C762" s="697">
        <v>252</v>
      </c>
      <c r="D762" s="695">
        <v>45162</v>
      </c>
      <c r="E762" s="698">
        <v>30</v>
      </c>
      <c r="F762" s="698">
        <v>38.567300000000003</v>
      </c>
      <c r="G762" s="698">
        <v>30</v>
      </c>
      <c r="H762" s="698">
        <v>0</v>
      </c>
      <c r="I762" s="699">
        <v>0.06</v>
      </c>
      <c r="J762" s="699">
        <v>7.3499999999999996E-2</v>
      </c>
      <c r="K762" s="699">
        <v>6.6900000000000001E-2</v>
      </c>
      <c r="L762" s="697">
        <v>9</v>
      </c>
    </row>
    <row r="763" spans="1:12">
      <c r="A763" s="695">
        <v>44916</v>
      </c>
      <c r="B763" s="696" t="s">
        <v>3455</v>
      </c>
      <c r="C763" s="697">
        <v>28</v>
      </c>
      <c r="D763" s="695">
        <v>44944</v>
      </c>
      <c r="E763" s="698">
        <v>30</v>
      </c>
      <c r="F763" s="698">
        <v>27.417000000000002</v>
      </c>
      <c r="G763" s="698">
        <v>27.417000000000002</v>
      </c>
      <c r="H763" s="698">
        <v>0</v>
      </c>
      <c r="I763" s="699">
        <v>5.2499999999999998E-2</v>
      </c>
      <c r="J763" s="699">
        <v>7.4800000000000005E-2</v>
      </c>
      <c r="K763" s="699">
        <v>6.1699999999999998E-2</v>
      </c>
      <c r="L763" s="697">
        <v>8</v>
      </c>
    </row>
    <row r="764" spans="1:12">
      <c r="A764" s="695">
        <v>44916</v>
      </c>
      <c r="B764" s="696" t="s">
        <v>3456</v>
      </c>
      <c r="C764" s="697">
        <v>84</v>
      </c>
      <c r="D764" s="695">
        <v>45000</v>
      </c>
      <c r="E764" s="698">
        <v>30</v>
      </c>
      <c r="F764" s="698">
        <v>25.117599999999999</v>
      </c>
      <c r="G764" s="698">
        <v>25.117599999999999</v>
      </c>
      <c r="H764" s="698">
        <v>0</v>
      </c>
      <c r="I764" s="699">
        <v>3.5499999999999997E-2</v>
      </c>
      <c r="J764" s="699">
        <v>7.5999999999999998E-2</v>
      </c>
      <c r="K764" s="699">
        <v>6.2399999999999997E-2</v>
      </c>
      <c r="L764" s="697">
        <v>5</v>
      </c>
    </row>
    <row r="765" spans="1:12">
      <c r="A765" s="695">
        <v>44917</v>
      </c>
      <c r="B765" s="696" t="s">
        <v>3457</v>
      </c>
      <c r="C765" s="697">
        <v>168</v>
      </c>
      <c r="D765" s="695">
        <v>45085</v>
      </c>
      <c r="E765" s="698">
        <v>30</v>
      </c>
      <c r="F765" s="698">
        <v>39.658999999999999</v>
      </c>
      <c r="G765" s="698">
        <v>30</v>
      </c>
      <c r="H765" s="698">
        <v>0</v>
      </c>
      <c r="I765" s="699">
        <v>7.4999999999999997E-2</v>
      </c>
      <c r="J765" s="699">
        <v>8.5000000000000006E-2</v>
      </c>
      <c r="K765" s="699">
        <v>0.08</v>
      </c>
      <c r="L765" s="697">
        <v>8</v>
      </c>
    </row>
    <row r="766" spans="1:12">
      <c r="A766" s="695">
        <v>44917</v>
      </c>
      <c r="B766" s="696" t="s">
        <v>3458</v>
      </c>
      <c r="C766" s="697">
        <v>252</v>
      </c>
      <c r="D766" s="695">
        <v>45169</v>
      </c>
      <c r="E766" s="698">
        <v>30</v>
      </c>
      <c r="F766" s="698">
        <v>37.261400000000002</v>
      </c>
      <c r="G766" s="698">
        <v>30</v>
      </c>
      <c r="H766" s="698">
        <v>0</v>
      </c>
      <c r="I766" s="699">
        <v>0.08</v>
      </c>
      <c r="J766" s="699">
        <v>0.09</v>
      </c>
      <c r="K766" s="699">
        <v>8.4400000000000003E-2</v>
      </c>
      <c r="L766" s="697">
        <v>7</v>
      </c>
    </row>
    <row r="767" spans="1:12">
      <c r="A767" s="1257">
        <v>2023</v>
      </c>
      <c r="B767" s="1256"/>
      <c r="C767" s="697"/>
      <c r="D767" s="695"/>
      <c r="E767" s="698"/>
      <c r="F767" s="698"/>
      <c r="G767" s="698"/>
      <c r="H767" s="698"/>
      <c r="I767" s="699"/>
      <c r="J767" s="699"/>
      <c r="K767" s="699"/>
      <c r="L767" s="697"/>
    </row>
    <row r="768" spans="1:12">
      <c r="A768" s="695">
        <v>44937</v>
      </c>
      <c r="B768" s="696" t="s">
        <v>3501</v>
      </c>
      <c r="C768" s="697">
        <v>28</v>
      </c>
      <c r="D768" s="695">
        <v>44965</v>
      </c>
      <c r="E768" s="698">
        <v>45</v>
      </c>
      <c r="F768" s="698">
        <v>70.56</v>
      </c>
      <c r="G768" s="698">
        <v>45</v>
      </c>
      <c r="H768" s="698">
        <v>0</v>
      </c>
      <c r="I768" s="699">
        <v>5.5E-2</v>
      </c>
      <c r="J768" s="699">
        <v>6.8000000000000005E-2</v>
      </c>
      <c r="K768" s="699">
        <v>6.3212222222222225E-2</v>
      </c>
      <c r="L768" s="697">
        <v>10</v>
      </c>
    </row>
    <row r="769" spans="1:12">
      <c r="A769" s="695">
        <v>44937</v>
      </c>
      <c r="B769" s="696" t="s">
        <v>3502</v>
      </c>
      <c r="C769" s="697">
        <v>84</v>
      </c>
      <c r="D769" s="695">
        <v>45021</v>
      </c>
      <c r="E769" s="698">
        <v>45</v>
      </c>
      <c r="F769" s="698">
        <v>53.26</v>
      </c>
      <c r="G769" s="698">
        <v>45</v>
      </c>
      <c r="H769" s="698">
        <v>0</v>
      </c>
      <c r="I769" s="699">
        <v>6.0999999999999999E-2</v>
      </c>
      <c r="J769" s="699">
        <v>7.6999999999999999E-2</v>
      </c>
      <c r="K769" s="699">
        <v>7.3828444444444447E-2</v>
      </c>
      <c r="L769" s="697">
        <v>7</v>
      </c>
    </row>
    <row r="770" spans="1:12">
      <c r="A770" s="695">
        <v>44938</v>
      </c>
      <c r="B770" s="696" t="s">
        <v>3503</v>
      </c>
      <c r="C770" s="697">
        <v>168</v>
      </c>
      <c r="D770" s="695">
        <v>45106</v>
      </c>
      <c r="E770" s="698">
        <v>15</v>
      </c>
      <c r="F770" s="698">
        <v>23.19</v>
      </c>
      <c r="G770" s="698">
        <v>15</v>
      </c>
      <c r="H770" s="698">
        <v>0</v>
      </c>
      <c r="I770" s="699">
        <v>7.6499999999999999E-2</v>
      </c>
      <c r="J770" s="699">
        <v>8.4000000000000005E-2</v>
      </c>
      <c r="K770" s="699">
        <v>8.1600000000000006E-2</v>
      </c>
      <c r="L770" s="697">
        <v>13</v>
      </c>
    </row>
    <row r="771" spans="1:12">
      <c r="A771" s="695">
        <v>44938</v>
      </c>
      <c r="B771" s="696" t="s">
        <v>3504</v>
      </c>
      <c r="C771" s="697">
        <v>252</v>
      </c>
      <c r="D771" s="695">
        <v>45190</v>
      </c>
      <c r="E771" s="698">
        <v>15</v>
      </c>
      <c r="F771" s="698">
        <v>19.89</v>
      </c>
      <c r="G771" s="698">
        <v>15</v>
      </c>
      <c r="H771" s="698">
        <v>0</v>
      </c>
      <c r="I771" s="699">
        <v>0.08</v>
      </c>
      <c r="J771" s="699">
        <v>9.1999999999999998E-2</v>
      </c>
      <c r="K771" s="699">
        <v>8.9099999999999999E-2</v>
      </c>
      <c r="L771" s="697">
        <v>12</v>
      </c>
    </row>
    <row r="772" spans="1:12">
      <c r="A772" s="695">
        <v>44944</v>
      </c>
      <c r="B772" s="696" t="s">
        <v>3505</v>
      </c>
      <c r="C772" s="697">
        <v>28</v>
      </c>
      <c r="D772" s="695">
        <v>44972</v>
      </c>
      <c r="E772" s="698">
        <v>45</v>
      </c>
      <c r="F772" s="698">
        <v>54.37</v>
      </c>
      <c r="G772" s="698">
        <v>45</v>
      </c>
      <c r="H772" s="698">
        <v>0</v>
      </c>
      <c r="I772" s="699">
        <v>6.3E-2</v>
      </c>
      <c r="J772" s="699">
        <v>6.9900000000000004E-2</v>
      </c>
      <c r="K772" s="699">
        <v>6.7000000000000004E-2</v>
      </c>
      <c r="L772" s="697">
        <v>10</v>
      </c>
    </row>
    <row r="773" spans="1:12">
      <c r="A773" s="695">
        <v>44944</v>
      </c>
      <c r="B773" s="696" t="s">
        <v>3506</v>
      </c>
      <c r="C773" s="697">
        <v>84</v>
      </c>
      <c r="D773" s="695">
        <v>45028</v>
      </c>
      <c r="E773" s="698">
        <v>45</v>
      </c>
      <c r="F773" s="698">
        <v>59.08</v>
      </c>
      <c r="G773" s="698">
        <v>45</v>
      </c>
      <c r="H773" s="698">
        <v>0</v>
      </c>
      <c r="I773" s="699">
        <v>7.4899999999999994E-2</v>
      </c>
      <c r="J773" s="699">
        <v>7.8899999999999998E-2</v>
      </c>
      <c r="K773" s="699">
        <v>7.6899999999999996E-2</v>
      </c>
      <c r="L773" s="697">
        <v>11</v>
      </c>
    </row>
    <row r="774" spans="1:12">
      <c r="A774" s="695">
        <v>44945</v>
      </c>
      <c r="B774" s="696" t="s">
        <v>3507</v>
      </c>
      <c r="C774" s="697">
        <v>168</v>
      </c>
      <c r="D774" s="695">
        <v>45113</v>
      </c>
      <c r="E774" s="698">
        <v>15</v>
      </c>
      <c r="F774" s="698">
        <v>18</v>
      </c>
      <c r="G774" s="698">
        <v>15</v>
      </c>
      <c r="H774" s="698">
        <v>0</v>
      </c>
      <c r="I774" s="699">
        <v>7.8E-2</v>
      </c>
      <c r="J774" s="699">
        <v>8.4500000000000006E-2</v>
      </c>
      <c r="K774" s="699">
        <v>8.2199999999999995E-2</v>
      </c>
      <c r="L774" s="697">
        <v>6</v>
      </c>
    </row>
    <row r="775" spans="1:12">
      <c r="A775" s="695">
        <v>44945</v>
      </c>
      <c r="B775" s="696" t="s">
        <v>3508</v>
      </c>
      <c r="C775" s="697">
        <v>252</v>
      </c>
      <c r="D775" s="695">
        <v>45197</v>
      </c>
      <c r="E775" s="698">
        <v>15</v>
      </c>
      <c r="F775" s="698">
        <v>20.32</v>
      </c>
      <c r="G775" s="698">
        <v>15</v>
      </c>
      <c r="H775" s="698">
        <v>0</v>
      </c>
      <c r="I775" s="699">
        <v>8.3000000000000004E-2</v>
      </c>
      <c r="J775" s="699">
        <v>9.2499999999999999E-2</v>
      </c>
      <c r="K775" s="699">
        <v>8.9399999999999993E-2</v>
      </c>
      <c r="L775" s="697">
        <v>8</v>
      </c>
    </row>
    <row r="776" spans="1:12">
      <c r="A776" s="695">
        <v>44951</v>
      </c>
      <c r="B776" s="696" t="s">
        <v>3509</v>
      </c>
      <c r="C776" s="697">
        <v>28</v>
      </c>
      <c r="D776" s="695">
        <v>44979</v>
      </c>
      <c r="E776" s="698">
        <v>45</v>
      </c>
      <c r="F776" s="698">
        <v>63.04</v>
      </c>
      <c r="G776" s="698">
        <v>45</v>
      </c>
      <c r="H776" s="698">
        <v>0</v>
      </c>
      <c r="I776" s="699">
        <v>6.3E-2</v>
      </c>
      <c r="J776" s="699">
        <v>6.9800000000000001E-2</v>
      </c>
      <c r="K776" s="699">
        <v>6.7100000000000007E-2</v>
      </c>
      <c r="L776" s="697">
        <v>9</v>
      </c>
    </row>
    <row r="777" spans="1:12">
      <c r="A777" s="695">
        <v>44951</v>
      </c>
      <c r="B777" s="696" t="s">
        <v>3510</v>
      </c>
      <c r="C777" s="697">
        <v>84</v>
      </c>
      <c r="D777" s="695">
        <v>45035</v>
      </c>
      <c r="E777" s="698">
        <v>45</v>
      </c>
      <c r="F777" s="698">
        <v>56.12</v>
      </c>
      <c r="G777" s="698">
        <v>45</v>
      </c>
      <c r="H777" s="698">
        <v>0</v>
      </c>
      <c r="I777" s="699">
        <v>7.7899999999999997E-2</v>
      </c>
      <c r="J777" s="699">
        <v>8.1000000000000003E-2</v>
      </c>
      <c r="K777" s="699">
        <v>7.9500000000000001E-2</v>
      </c>
      <c r="L777" s="697">
        <v>9</v>
      </c>
    </row>
    <row r="778" spans="1:12">
      <c r="A778" s="695">
        <v>44952</v>
      </c>
      <c r="B778" s="696" t="s">
        <v>3511</v>
      </c>
      <c r="C778" s="697">
        <v>168</v>
      </c>
      <c r="D778" s="695">
        <v>45120</v>
      </c>
      <c r="E778" s="698">
        <v>15</v>
      </c>
      <c r="F778" s="698">
        <v>18</v>
      </c>
      <c r="G778" s="698">
        <v>15</v>
      </c>
      <c r="H778" s="698">
        <v>0</v>
      </c>
      <c r="I778" s="699">
        <v>8.3900000000000002E-2</v>
      </c>
      <c r="J778" s="699">
        <v>8.7999999999999995E-2</v>
      </c>
      <c r="K778" s="699">
        <v>8.5699999999999998E-2</v>
      </c>
      <c r="L778" s="697">
        <v>6</v>
      </c>
    </row>
    <row r="779" spans="1:12">
      <c r="A779" s="695">
        <v>44952</v>
      </c>
      <c r="B779" s="696" t="s">
        <v>3512</v>
      </c>
      <c r="C779" s="697">
        <v>252</v>
      </c>
      <c r="D779" s="695">
        <v>45204</v>
      </c>
      <c r="E779" s="698">
        <v>15</v>
      </c>
      <c r="F779" s="698">
        <v>22.06</v>
      </c>
      <c r="G779" s="698">
        <v>15</v>
      </c>
      <c r="H779" s="698">
        <v>0</v>
      </c>
      <c r="I779" s="699">
        <v>9.0499999999999997E-2</v>
      </c>
      <c r="J779" s="699">
        <v>9.5899999999999999E-2</v>
      </c>
      <c r="K779" s="699">
        <v>9.2899999999999996E-2</v>
      </c>
      <c r="L779" s="697">
        <v>8</v>
      </c>
    </row>
    <row r="780" spans="1:12">
      <c r="A780" s="695">
        <v>45035</v>
      </c>
      <c r="B780" s="696" t="s">
        <v>3641</v>
      </c>
      <c r="C780" s="697">
        <v>28</v>
      </c>
      <c r="D780" s="695">
        <v>45063</v>
      </c>
      <c r="E780" s="698">
        <v>30</v>
      </c>
      <c r="F780" s="698">
        <v>34.840615999999997</v>
      </c>
      <c r="G780" s="698">
        <v>30</v>
      </c>
      <c r="H780" s="698">
        <v>0</v>
      </c>
      <c r="I780" s="699">
        <v>3.9899999999999998E-2</v>
      </c>
      <c r="J780" s="699">
        <v>7.0000000000000007E-2</v>
      </c>
      <c r="K780" s="699">
        <v>6.2399999999999997E-2</v>
      </c>
      <c r="L780" s="697">
        <v>14</v>
      </c>
    </row>
    <row r="781" spans="1:12">
      <c r="A781" s="695">
        <v>45035</v>
      </c>
      <c r="B781" s="696" t="s">
        <v>3642</v>
      </c>
      <c r="C781" s="697">
        <v>84</v>
      </c>
      <c r="D781" s="695">
        <v>45119</v>
      </c>
      <c r="E781" s="698">
        <v>30</v>
      </c>
      <c r="F781" s="698">
        <v>35.429493000000001</v>
      </c>
      <c r="G781" s="698">
        <v>30</v>
      </c>
      <c r="H781" s="698">
        <v>0</v>
      </c>
      <c r="I781" s="699">
        <v>4.9399999999999999E-2</v>
      </c>
      <c r="J781" s="699">
        <v>0.08</v>
      </c>
      <c r="K781" s="699">
        <v>6.9000000000000006E-2</v>
      </c>
      <c r="L781" s="697">
        <v>12</v>
      </c>
    </row>
    <row r="782" spans="1:12">
      <c r="A782" s="695">
        <v>45036</v>
      </c>
      <c r="B782" s="696" t="s">
        <v>3643</v>
      </c>
      <c r="C782" s="697">
        <v>168</v>
      </c>
      <c r="D782" s="695">
        <v>45204</v>
      </c>
      <c r="E782" s="698">
        <v>30</v>
      </c>
      <c r="F782" s="698">
        <v>36.808</v>
      </c>
      <c r="G782" s="698">
        <v>30</v>
      </c>
      <c r="H782" s="698">
        <v>0</v>
      </c>
      <c r="I782" s="699">
        <v>6.9900000000000004E-2</v>
      </c>
      <c r="J782" s="699">
        <v>8.3900000000000002E-2</v>
      </c>
      <c r="K782" s="699">
        <v>7.8E-2</v>
      </c>
      <c r="L782" s="697">
        <v>14</v>
      </c>
    </row>
    <row r="783" spans="1:12">
      <c r="A783" s="695">
        <v>45036</v>
      </c>
      <c r="B783" s="696" t="s">
        <v>3644</v>
      </c>
      <c r="C783" s="697">
        <v>252</v>
      </c>
      <c r="D783" s="695">
        <v>45288</v>
      </c>
      <c r="E783" s="698">
        <v>30</v>
      </c>
      <c r="F783" s="698">
        <v>34.21</v>
      </c>
      <c r="G783" s="698">
        <v>30</v>
      </c>
      <c r="H783" s="698">
        <v>0</v>
      </c>
      <c r="I783" s="699">
        <v>7.8E-2</v>
      </c>
      <c r="J783" s="699">
        <v>0.09</v>
      </c>
      <c r="K783" s="699">
        <v>8.4900000000000003E-2</v>
      </c>
      <c r="L783" s="697">
        <v>12</v>
      </c>
    </row>
    <row r="784" spans="1:12">
      <c r="A784" s="695">
        <v>45042</v>
      </c>
      <c r="B784" s="696" t="s">
        <v>3645</v>
      </c>
      <c r="C784" s="697">
        <v>28</v>
      </c>
      <c r="D784" s="695">
        <v>45070</v>
      </c>
      <c r="E784" s="698">
        <v>30</v>
      </c>
      <c r="F784" s="698">
        <v>37.169902</v>
      </c>
      <c r="G784" s="698">
        <v>30</v>
      </c>
      <c r="H784" s="698">
        <v>0</v>
      </c>
      <c r="I784" s="699">
        <v>5.9499999999999997E-2</v>
      </c>
      <c r="J784" s="699">
        <v>7.0000000000000007E-2</v>
      </c>
      <c r="K784" s="699">
        <v>6.6000000000000003E-2</v>
      </c>
      <c r="L784" s="697">
        <v>15</v>
      </c>
    </row>
    <row r="785" spans="1:12">
      <c r="A785" s="695">
        <v>45042</v>
      </c>
      <c r="B785" s="696" t="s">
        <v>3646</v>
      </c>
      <c r="C785" s="697">
        <v>84</v>
      </c>
      <c r="D785" s="695">
        <v>45126</v>
      </c>
      <c r="E785" s="698">
        <v>30</v>
      </c>
      <c r="F785" s="698">
        <v>38.781224999999999</v>
      </c>
      <c r="G785" s="698">
        <v>30</v>
      </c>
      <c r="H785" s="698">
        <v>0</v>
      </c>
      <c r="I785" s="699">
        <v>6.6699999999999995E-2</v>
      </c>
      <c r="J785" s="699">
        <v>7.7600000000000002E-2</v>
      </c>
      <c r="K785" s="699">
        <v>7.2700000000000001E-2</v>
      </c>
      <c r="L785" s="697">
        <v>14</v>
      </c>
    </row>
    <row r="786" spans="1:12">
      <c r="A786" s="695">
        <v>45043</v>
      </c>
      <c r="B786" s="696" t="s">
        <v>3647</v>
      </c>
      <c r="C786" s="697">
        <v>168</v>
      </c>
      <c r="D786" s="695">
        <v>45211</v>
      </c>
      <c r="E786" s="698">
        <v>30</v>
      </c>
      <c r="F786" s="698">
        <v>35.409999999999997</v>
      </c>
      <c r="G786" s="698">
        <v>30</v>
      </c>
      <c r="H786" s="698">
        <v>0</v>
      </c>
      <c r="I786" s="699">
        <v>7.5999999999999998E-2</v>
      </c>
      <c r="J786" s="699">
        <v>8.3699999999999997E-2</v>
      </c>
      <c r="K786" s="699">
        <v>8.0699999999999994E-2</v>
      </c>
      <c r="L786" s="697">
        <v>13</v>
      </c>
    </row>
    <row r="787" spans="1:12">
      <c r="A787" s="695">
        <v>45043</v>
      </c>
      <c r="B787" s="696" t="s">
        <v>3648</v>
      </c>
      <c r="C787" s="697">
        <v>252</v>
      </c>
      <c r="D787" s="695">
        <v>45295</v>
      </c>
      <c r="E787" s="698">
        <v>30</v>
      </c>
      <c r="F787" s="698">
        <v>36.628439</v>
      </c>
      <c r="G787" s="698">
        <v>30</v>
      </c>
      <c r="H787" s="698">
        <v>0</v>
      </c>
      <c r="I787" s="699">
        <v>8.3500000000000005E-2</v>
      </c>
      <c r="J787" s="699">
        <v>8.9800000000000005E-2</v>
      </c>
      <c r="K787" s="699">
        <v>8.77E-2</v>
      </c>
      <c r="L787" s="697">
        <v>14</v>
      </c>
    </row>
    <row r="788" spans="1:12">
      <c r="A788" s="695">
        <v>45049</v>
      </c>
      <c r="B788" s="696" t="s">
        <v>3721</v>
      </c>
      <c r="C788" s="697">
        <v>28</v>
      </c>
      <c r="D788" s="695">
        <v>45077</v>
      </c>
      <c r="E788" s="698">
        <v>30</v>
      </c>
      <c r="F788" s="698">
        <v>40.130000000000003</v>
      </c>
      <c r="G788" s="698">
        <v>30</v>
      </c>
      <c r="H788" s="698">
        <v>0</v>
      </c>
      <c r="I788" s="699">
        <v>6.1899999999999997E-2</v>
      </c>
      <c r="J788" s="699">
        <v>7.3999999999999996E-2</v>
      </c>
      <c r="K788" s="699">
        <v>6.8900000000000003E-2</v>
      </c>
      <c r="L788" s="697">
        <v>15</v>
      </c>
    </row>
    <row r="789" spans="1:12">
      <c r="A789" s="695">
        <v>45049</v>
      </c>
      <c r="B789" s="696" t="s">
        <v>3722</v>
      </c>
      <c r="C789" s="697">
        <v>84</v>
      </c>
      <c r="D789" s="695">
        <v>45133</v>
      </c>
      <c r="E789" s="698">
        <v>30</v>
      </c>
      <c r="F789" s="698">
        <v>41.72</v>
      </c>
      <c r="G789" s="698">
        <v>30</v>
      </c>
      <c r="H789" s="698">
        <v>0</v>
      </c>
      <c r="I789" s="699">
        <v>6.8900000000000003E-2</v>
      </c>
      <c r="J789" s="699">
        <v>7.7499999999999999E-2</v>
      </c>
      <c r="K789" s="699">
        <v>7.5200000000000003E-2</v>
      </c>
      <c r="L789" s="697">
        <v>17</v>
      </c>
    </row>
    <row r="790" spans="1:12">
      <c r="A790" s="695">
        <v>45050</v>
      </c>
      <c r="B790" s="696" t="s">
        <v>3723</v>
      </c>
      <c r="C790" s="697">
        <v>168</v>
      </c>
      <c r="D790" s="695">
        <v>45218</v>
      </c>
      <c r="E790" s="698">
        <v>30</v>
      </c>
      <c r="F790" s="698">
        <v>41.43</v>
      </c>
      <c r="G790" s="698">
        <v>30</v>
      </c>
      <c r="H790" s="698">
        <v>0</v>
      </c>
      <c r="I790" s="699">
        <v>7.7899999999999997E-2</v>
      </c>
      <c r="J790" s="699">
        <v>8.5800000000000001E-2</v>
      </c>
      <c r="K790" s="699">
        <v>8.2600000000000007E-2</v>
      </c>
      <c r="L790" s="697">
        <v>15</v>
      </c>
    </row>
    <row r="791" spans="1:12">
      <c r="A791" s="695">
        <v>45050</v>
      </c>
      <c r="B791" s="696" t="s">
        <v>3724</v>
      </c>
      <c r="C791" s="697">
        <v>252</v>
      </c>
      <c r="D791" s="695">
        <v>45302</v>
      </c>
      <c r="E791" s="698">
        <v>30</v>
      </c>
      <c r="F791" s="698">
        <v>38.049999999999997</v>
      </c>
      <c r="G791" s="698">
        <v>30</v>
      </c>
      <c r="H791" s="698">
        <v>0</v>
      </c>
      <c r="I791" s="699">
        <v>8.4900000000000003E-2</v>
      </c>
      <c r="J791" s="699">
        <v>0.09</v>
      </c>
      <c r="K791" s="699">
        <v>8.8999999999999996E-2</v>
      </c>
      <c r="L791" s="697">
        <v>14</v>
      </c>
    </row>
    <row r="792" spans="1:12">
      <c r="A792" s="695">
        <v>45056</v>
      </c>
      <c r="B792" s="696" t="s">
        <v>3725</v>
      </c>
      <c r="C792" s="697">
        <v>28</v>
      </c>
      <c r="D792" s="695">
        <v>45084</v>
      </c>
      <c r="E792" s="698">
        <v>30</v>
      </c>
      <c r="F792" s="698">
        <v>33.4</v>
      </c>
      <c r="G792" s="698">
        <v>30</v>
      </c>
      <c r="H792" s="698">
        <v>0</v>
      </c>
      <c r="I792" s="699">
        <v>6.8500000000000005E-2</v>
      </c>
      <c r="J792" s="699">
        <v>7.6999999999999999E-2</v>
      </c>
      <c r="K792" s="699">
        <v>7.3800000000000004E-2</v>
      </c>
      <c r="L792" s="697">
        <v>12</v>
      </c>
    </row>
    <row r="793" spans="1:12">
      <c r="A793" s="695">
        <v>45056</v>
      </c>
      <c r="B793" s="696" t="s">
        <v>3726</v>
      </c>
      <c r="C793" s="697">
        <v>84</v>
      </c>
      <c r="D793" s="695">
        <v>45140</v>
      </c>
      <c r="E793" s="698">
        <v>30</v>
      </c>
      <c r="F793" s="698">
        <v>40.53</v>
      </c>
      <c r="G793" s="698">
        <v>30</v>
      </c>
      <c r="H793" s="698">
        <v>0</v>
      </c>
      <c r="I793" s="699">
        <v>7.4899999999999994E-2</v>
      </c>
      <c r="J793" s="699">
        <v>7.9899999999999999E-2</v>
      </c>
      <c r="K793" s="699">
        <v>7.7399999999999997E-2</v>
      </c>
      <c r="L793" s="697">
        <v>15</v>
      </c>
    </row>
    <row r="794" spans="1:12">
      <c r="A794" s="695">
        <v>45057</v>
      </c>
      <c r="B794" s="696" t="s">
        <v>3727</v>
      </c>
      <c r="C794" s="697">
        <v>168</v>
      </c>
      <c r="D794" s="695">
        <v>45225</v>
      </c>
      <c r="E794" s="698">
        <v>30</v>
      </c>
      <c r="F794" s="698">
        <v>38.79</v>
      </c>
      <c r="G794" s="698">
        <v>30</v>
      </c>
      <c r="H794" s="698">
        <v>0</v>
      </c>
      <c r="I794" s="699">
        <v>8.3900000000000002E-2</v>
      </c>
      <c r="J794" s="699">
        <v>8.9599999999999999E-2</v>
      </c>
      <c r="K794" s="699">
        <v>8.6199999999999999E-2</v>
      </c>
      <c r="L794" s="697">
        <v>14</v>
      </c>
    </row>
    <row r="795" spans="1:12">
      <c r="A795" s="695">
        <v>45057</v>
      </c>
      <c r="B795" s="696" t="s">
        <v>3728</v>
      </c>
      <c r="C795" s="697">
        <v>252</v>
      </c>
      <c r="D795" s="695">
        <v>45309</v>
      </c>
      <c r="E795" s="698">
        <v>30</v>
      </c>
      <c r="F795" s="698">
        <v>39.99</v>
      </c>
      <c r="G795" s="698">
        <v>30</v>
      </c>
      <c r="H795" s="698">
        <v>0</v>
      </c>
      <c r="I795" s="699">
        <v>8.7400000000000005E-2</v>
      </c>
      <c r="J795" s="699">
        <v>9.3899999999999997E-2</v>
      </c>
      <c r="K795" s="699">
        <v>9.0499999999999997E-2</v>
      </c>
      <c r="L795" s="697">
        <v>14</v>
      </c>
    </row>
    <row r="796" spans="1:12">
      <c r="A796" s="695">
        <v>45063</v>
      </c>
      <c r="B796" s="696" t="s">
        <v>3729</v>
      </c>
      <c r="C796" s="697">
        <v>28</v>
      </c>
      <c r="D796" s="695">
        <v>45091</v>
      </c>
      <c r="E796" s="698">
        <v>30</v>
      </c>
      <c r="F796" s="698">
        <v>36.54</v>
      </c>
      <c r="G796" s="698">
        <v>30</v>
      </c>
      <c r="H796" s="698">
        <v>0</v>
      </c>
      <c r="I796" s="699">
        <v>7.1999999999999995E-2</v>
      </c>
      <c r="J796" s="699">
        <v>7.8700000000000006E-2</v>
      </c>
      <c r="K796" s="699">
        <v>7.5499999999999998E-2</v>
      </c>
      <c r="L796" s="697">
        <v>15</v>
      </c>
    </row>
    <row r="797" spans="1:12">
      <c r="A797" s="695">
        <v>45063</v>
      </c>
      <c r="B797" s="696" t="s">
        <v>3730</v>
      </c>
      <c r="C797" s="697">
        <v>84</v>
      </c>
      <c r="D797" s="695">
        <v>45147</v>
      </c>
      <c r="E797" s="698">
        <v>30</v>
      </c>
      <c r="F797" s="698">
        <v>39.81</v>
      </c>
      <c r="G797" s="698">
        <v>30</v>
      </c>
      <c r="H797" s="698">
        <v>0</v>
      </c>
      <c r="I797" s="699">
        <v>7.5999999999999998E-2</v>
      </c>
      <c r="J797" s="699">
        <v>8.1699999999999995E-2</v>
      </c>
      <c r="K797" s="699">
        <v>7.8600000000000003E-2</v>
      </c>
      <c r="L797" s="697">
        <v>15</v>
      </c>
    </row>
    <row r="798" spans="1:12">
      <c r="A798" s="695">
        <v>45064</v>
      </c>
      <c r="B798" s="696" t="s">
        <v>3731</v>
      </c>
      <c r="C798" s="697">
        <v>168</v>
      </c>
      <c r="D798" s="695">
        <v>45232</v>
      </c>
      <c r="E798" s="698">
        <v>30</v>
      </c>
      <c r="F798" s="698">
        <v>36.28</v>
      </c>
      <c r="G798" s="698">
        <v>30</v>
      </c>
      <c r="H798" s="698">
        <v>0</v>
      </c>
      <c r="I798" s="699">
        <v>4.4400000000000002E-2</v>
      </c>
      <c r="J798" s="699">
        <v>0.09</v>
      </c>
      <c r="K798" s="699">
        <v>8.43E-2</v>
      </c>
      <c r="L798" s="697">
        <v>13</v>
      </c>
    </row>
    <row r="799" spans="1:12">
      <c r="A799" s="695">
        <v>45064</v>
      </c>
      <c r="B799" s="696" t="s">
        <v>3732</v>
      </c>
      <c r="C799" s="697">
        <v>252</v>
      </c>
      <c r="D799" s="695">
        <v>45316</v>
      </c>
      <c r="E799" s="698">
        <v>30</v>
      </c>
      <c r="F799" s="698">
        <v>40.35</v>
      </c>
      <c r="G799" s="698">
        <v>30</v>
      </c>
      <c r="H799" s="698">
        <v>0</v>
      </c>
      <c r="I799" s="699">
        <v>8.9899999999999994E-2</v>
      </c>
      <c r="J799" s="699">
        <v>9.5000000000000001E-2</v>
      </c>
      <c r="K799" s="699">
        <v>9.3100000000000002E-2</v>
      </c>
      <c r="L799" s="697">
        <v>14</v>
      </c>
    </row>
    <row r="800" spans="1:12">
      <c r="A800" s="695">
        <v>45070</v>
      </c>
      <c r="B800" s="696" t="s">
        <v>3733</v>
      </c>
      <c r="C800" s="697">
        <v>28</v>
      </c>
      <c r="D800" s="695">
        <v>45098</v>
      </c>
      <c r="E800" s="698">
        <v>30</v>
      </c>
      <c r="F800" s="698">
        <v>32.799999999999997</v>
      </c>
      <c r="G800" s="698">
        <v>30</v>
      </c>
      <c r="H800" s="698">
        <v>0</v>
      </c>
      <c r="I800" s="699">
        <v>7.2900000000000006E-2</v>
      </c>
      <c r="J800" s="699">
        <v>7.9899999999999999E-2</v>
      </c>
      <c r="K800" s="699">
        <v>7.7399999999999997E-2</v>
      </c>
      <c r="L800" s="697">
        <v>13</v>
      </c>
    </row>
    <row r="801" spans="1:12">
      <c r="A801" s="695">
        <v>45070</v>
      </c>
      <c r="B801" s="696" t="s">
        <v>3734</v>
      </c>
      <c r="C801" s="697">
        <v>84</v>
      </c>
      <c r="D801" s="695">
        <v>45154</v>
      </c>
      <c r="E801" s="698">
        <v>30</v>
      </c>
      <c r="F801" s="698">
        <v>35.880000000000003</v>
      </c>
      <c r="G801" s="698">
        <v>30</v>
      </c>
      <c r="H801" s="698">
        <v>0</v>
      </c>
      <c r="I801" s="699">
        <v>7.6899999999999996E-2</v>
      </c>
      <c r="J801" s="699">
        <v>8.2799999999999999E-2</v>
      </c>
      <c r="K801" s="699">
        <v>0.08</v>
      </c>
      <c r="L801" s="697">
        <v>14</v>
      </c>
    </row>
    <row r="802" spans="1:12">
      <c r="A802" s="695">
        <v>45071</v>
      </c>
      <c r="B802" s="696" t="s">
        <v>3735</v>
      </c>
      <c r="C802" s="697">
        <v>168</v>
      </c>
      <c r="D802" s="695">
        <v>45239</v>
      </c>
      <c r="E802" s="698">
        <v>30</v>
      </c>
      <c r="F802" s="698">
        <v>29.87</v>
      </c>
      <c r="G802" s="698">
        <v>29.87</v>
      </c>
      <c r="H802" s="698">
        <v>0</v>
      </c>
      <c r="I802" s="699">
        <v>8.3900000000000002E-2</v>
      </c>
      <c r="J802" s="699">
        <v>9.2700000000000005E-2</v>
      </c>
      <c r="K802" s="699">
        <v>8.9099999999999999E-2</v>
      </c>
      <c r="L802" s="697">
        <v>13</v>
      </c>
    </row>
    <row r="803" spans="1:12">
      <c r="A803" s="695">
        <v>45071</v>
      </c>
      <c r="B803" s="696" t="s">
        <v>3736</v>
      </c>
      <c r="C803" s="697">
        <v>252</v>
      </c>
      <c r="D803" s="695">
        <v>45323</v>
      </c>
      <c r="E803" s="698">
        <v>30</v>
      </c>
      <c r="F803" s="698">
        <v>30.01</v>
      </c>
      <c r="G803" s="698">
        <v>30</v>
      </c>
      <c r="H803" s="698">
        <v>0</v>
      </c>
      <c r="I803" s="699">
        <v>9.1899999999999996E-2</v>
      </c>
      <c r="J803" s="699">
        <v>9.7799999999999998E-2</v>
      </c>
      <c r="K803" s="699">
        <v>9.4200000000000006E-2</v>
      </c>
      <c r="L803" s="697">
        <v>11</v>
      </c>
    </row>
    <row r="804" spans="1:12">
      <c r="A804" s="695">
        <v>45077</v>
      </c>
      <c r="B804" s="696" t="s">
        <v>3737</v>
      </c>
      <c r="C804" s="697">
        <v>28</v>
      </c>
      <c r="D804" s="695">
        <v>45105</v>
      </c>
      <c r="E804" s="698">
        <v>30</v>
      </c>
      <c r="F804" s="698">
        <v>32.75</v>
      </c>
      <c r="G804" s="698">
        <v>30</v>
      </c>
      <c r="H804" s="698">
        <v>0</v>
      </c>
      <c r="I804" s="699">
        <v>7.3200000000000001E-2</v>
      </c>
      <c r="J804" s="699">
        <v>0.09</v>
      </c>
      <c r="K804" s="699">
        <v>7.9299999999999995E-2</v>
      </c>
      <c r="L804" s="697">
        <v>13</v>
      </c>
    </row>
    <row r="805" spans="1:12">
      <c r="A805" s="695">
        <v>45077</v>
      </c>
      <c r="B805" s="696" t="s">
        <v>3738</v>
      </c>
      <c r="C805" s="697">
        <v>84</v>
      </c>
      <c r="D805" s="695">
        <v>45161</v>
      </c>
      <c r="E805" s="698">
        <v>30</v>
      </c>
      <c r="F805" s="698">
        <v>36.130000000000003</v>
      </c>
      <c r="G805" s="698">
        <v>30</v>
      </c>
      <c r="H805" s="698">
        <v>0</v>
      </c>
      <c r="I805" s="699">
        <v>7.7799999999999994E-2</v>
      </c>
      <c r="J805" s="699">
        <v>8.5800000000000001E-2</v>
      </c>
      <c r="K805" s="699">
        <v>8.1799999999999998E-2</v>
      </c>
      <c r="L805" s="697">
        <v>15</v>
      </c>
    </row>
    <row r="806" spans="1:12">
      <c r="A806" s="695">
        <v>45078</v>
      </c>
      <c r="B806" s="696" t="s">
        <v>3772</v>
      </c>
      <c r="C806" s="697">
        <v>168</v>
      </c>
      <c r="D806" s="695">
        <v>45246</v>
      </c>
      <c r="E806" s="698">
        <v>30</v>
      </c>
      <c r="F806" s="698">
        <v>33.14</v>
      </c>
      <c r="G806" s="698">
        <v>30</v>
      </c>
      <c r="H806" s="698">
        <v>0</v>
      </c>
      <c r="I806" s="699">
        <v>8.7499999999999994E-2</v>
      </c>
      <c r="J806" s="699">
        <v>9.8799999999999999E-2</v>
      </c>
      <c r="K806" s="699">
        <v>9.3200000000000005E-2</v>
      </c>
      <c r="L806" s="697">
        <v>14</v>
      </c>
    </row>
    <row r="807" spans="1:12">
      <c r="A807" s="695">
        <v>45078</v>
      </c>
      <c r="B807" s="696" t="s">
        <v>3773</v>
      </c>
      <c r="C807" s="697">
        <v>252</v>
      </c>
      <c r="D807" s="695">
        <v>45330</v>
      </c>
      <c r="E807" s="698">
        <v>30</v>
      </c>
      <c r="F807" s="698">
        <v>34.89</v>
      </c>
      <c r="G807" s="698">
        <v>30</v>
      </c>
      <c r="H807" s="698">
        <v>0</v>
      </c>
      <c r="I807" s="699">
        <v>9.2999999999999999E-2</v>
      </c>
      <c r="J807" s="699">
        <v>0.1028</v>
      </c>
      <c r="K807" s="699">
        <v>9.74E-2</v>
      </c>
      <c r="L807" s="697">
        <v>14</v>
      </c>
    </row>
    <row r="808" spans="1:12">
      <c r="A808" s="695">
        <v>45084</v>
      </c>
      <c r="B808" s="696" t="s">
        <v>3774</v>
      </c>
      <c r="C808" s="697">
        <v>28</v>
      </c>
      <c r="D808" s="695">
        <v>45112</v>
      </c>
      <c r="E808" s="698">
        <v>30</v>
      </c>
      <c r="F808" s="698">
        <v>74.67</v>
      </c>
      <c r="G808" s="698">
        <v>30</v>
      </c>
      <c r="H808" s="698">
        <v>0</v>
      </c>
      <c r="I808" s="699">
        <v>6.8000000000000005E-2</v>
      </c>
      <c r="J808" s="699">
        <v>7.6899999999999996E-2</v>
      </c>
      <c r="K808" s="699">
        <v>7.5600000000000001E-2</v>
      </c>
      <c r="L808" s="697">
        <v>12</v>
      </c>
    </row>
    <row r="809" spans="1:12">
      <c r="A809" s="695">
        <v>45084</v>
      </c>
      <c r="B809" s="696" t="s">
        <v>3775</v>
      </c>
      <c r="C809" s="697">
        <v>84</v>
      </c>
      <c r="D809" s="695">
        <v>45168</v>
      </c>
      <c r="E809" s="698">
        <v>30</v>
      </c>
      <c r="F809" s="698">
        <v>77.709999999999994</v>
      </c>
      <c r="G809" s="698">
        <v>30</v>
      </c>
      <c r="H809" s="698">
        <v>0</v>
      </c>
      <c r="I809" s="699">
        <v>7.4999999999999997E-2</v>
      </c>
      <c r="J809" s="699">
        <v>7.9899999999999999E-2</v>
      </c>
      <c r="K809" s="699">
        <v>7.9399999999999998E-2</v>
      </c>
      <c r="L809" s="697">
        <v>12</v>
      </c>
    </row>
    <row r="810" spans="1:12">
      <c r="A810" s="695">
        <v>45085</v>
      </c>
      <c r="B810" s="696" t="s">
        <v>3776</v>
      </c>
      <c r="C810" s="697">
        <v>168</v>
      </c>
      <c r="D810" s="695">
        <v>45253</v>
      </c>
      <c r="E810" s="698">
        <v>30</v>
      </c>
      <c r="F810" s="698">
        <v>82.26</v>
      </c>
      <c r="G810" s="698">
        <v>30</v>
      </c>
      <c r="H810" s="698">
        <v>0</v>
      </c>
      <c r="I810" s="699">
        <v>8.4000000000000005E-2</v>
      </c>
      <c r="J810" s="699">
        <v>8.7900000000000006E-2</v>
      </c>
      <c r="K810" s="699">
        <v>8.7499999999999994E-2</v>
      </c>
      <c r="L810" s="697">
        <v>13</v>
      </c>
    </row>
    <row r="811" spans="1:12">
      <c r="A811" s="695">
        <v>45085</v>
      </c>
      <c r="B811" s="696" t="s">
        <v>3777</v>
      </c>
      <c r="C811" s="697">
        <v>252</v>
      </c>
      <c r="D811" s="695">
        <v>45337</v>
      </c>
      <c r="E811" s="698">
        <v>30</v>
      </c>
      <c r="F811" s="698">
        <v>89.53</v>
      </c>
      <c r="G811" s="698">
        <v>30</v>
      </c>
      <c r="H811" s="698">
        <v>0</v>
      </c>
      <c r="I811" s="699">
        <v>8.8999999999999996E-2</v>
      </c>
      <c r="J811" s="699">
        <v>9.4799999999999995E-2</v>
      </c>
      <c r="K811" s="699">
        <v>9.3899999999999997E-2</v>
      </c>
      <c r="L811" s="697">
        <v>15</v>
      </c>
    </row>
    <row r="812" spans="1:12">
      <c r="A812" s="695">
        <v>45091</v>
      </c>
      <c r="B812" s="696" t="s">
        <v>3778</v>
      </c>
      <c r="C812" s="697">
        <v>28</v>
      </c>
      <c r="D812" s="695">
        <v>45119</v>
      </c>
      <c r="E812" s="698">
        <v>15</v>
      </c>
      <c r="F812" s="698">
        <v>41.85</v>
      </c>
      <c r="G812" s="698">
        <v>15</v>
      </c>
      <c r="H812" s="698">
        <v>0</v>
      </c>
      <c r="I812" s="699">
        <v>6.1499999999999999E-2</v>
      </c>
      <c r="J812" s="699">
        <v>6.1899999999999997E-2</v>
      </c>
      <c r="K812" s="699">
        <v>6.1899999999999997E-2</v>
      </c>
      <c r="L812" s="697">
        <v>7</v>
      </c>
    </row>
    <row r="813" spans="1:12">
      <c r="A813" s="695">
        <v>45091</v>
      </c>
      <c r="B813" s="696" t="s">
        <v>3779</v>
      </c>
      <c r="C813" s="697">
        <v>84</v>
      </c>
      <c r="D813" s="695">
        <v>45175</v>
      </c>
      <c r="E813" s="698">
        <v>30</v>
      </c>
      <c r="F813" s="698">
        <v>74.62</v>
      </c>
      <c r="G813" s="698">
        <v>30</v>
      </c>
      <c r="H813" s="698">
        <v>0</v>
      </c>
      <c r="I813" s="699">
        <v>7.3800000000000004E-2</v>
      </c>
      <c r="J813" s="699">
        <v>7.4899999999999994E-2</v>
      </c>
      <c r="K813" s="699">
        <v>7.4700000000000003E-2</v>
      </c>
      <c r="L813" s="697">
        <v>12</v>
      </c>
    </row>
    <row r="814" spans="1:12">
      <c r="A814" s="695">
        <v>45093</v>
      </c>
      <c r="B814" s="696" t="s">
        <v>3780</v>
      </c>
      <c r="C814" s="697">
        <v>167</v>
      </c>
      <c r="D814" s="695">
        <v>45260</v>
      </c>
      <c r="E814" s="698">
        <v>35</v>
      </c>
      <c r="F814" s="698">
        <v>77.599999999999994</v>
      </c>
      <c r="G814" s="698">
        <v>35</v>
      </c>
      <c r="H814" s="698">
        <v>0</v>
      </c>
      <c r="I814" s="699">
        <v>7.9899999999999999E-2</v>
      </c>
      <c r="J814" s="699">
        <v>8.5999999999999993E-2</v>
      </c>
      <c r="K814" s="699">
        <v>8.4000000000000005E-2</v>
      </c>
      <c r="L814" s="697">
        <v>12</v>
      </c>
    </row>
    <row r="815" spans="1:12">
      <c r="A815" s="695">
        <v>45093</v>
      </c>
      <c r="B815" s="696" t="s">
        <v>3781</v>
      </c>
      <c r="C815" s="697">
        <v>251</v>
      </c>
      <c r="D815" s="695">
        <v>45344</v>
      </c>
      <c r="E815" s="698">
        <v>40</v>
      </c>
      <c r="F815" s="698">
        <v>75.37</v>
      </c>
      <c r="G815" s="698">
        <v>40</v>
      </c>
      <c r="H815" s="698">
        <v>0</v>
      </c>
      <c r="I815" s="699">
        <v>8.4900000000000003E-2</v>
      </c>
      <c r="J815" s="699">
        <v>9.1999999999999998E-2</v>
      </c>
      <c r="K815" s="699">
        <v>9.0200000000000002E-2</v>
      </c>
      <c r="L815" s="697">
        <v>14</v>
      </c>
    </row>
    <row r="816" spans="1:12">
      <c r="A816" s="695">
        <v>45098</v>
      </c>
      <c r="B816" s="696" t="s">
        <v>3782</v>
      </c>
      <c r="C816" s="697">
        <v>28</v>
      </c>
      <c r="D816" s="695">
        <v>45126</v>
      </c>
      <c r="E816" s="698">
        <v>15</v>
      </c>
      <c r="F816" s="698">
        <v>33.43</v>
      </c>
      <c r="G816" s="698">
        <v>15</v>
      </c>
      <c r="H816" s="698">
        <v>0</v>
      </c>
      <c r="I816" s="699">
        <v>5.8900000000000001E-2</v>
      </c>
      <c r="J816" s="699">
        <v>5.8900000000000001E-2</v>
      </c>
      <c r="K816" s="699">
        <v>5.8900000000000001E-2</v>
      </c>
      <c r="L816" s="697">
        <v>7</v>
      </c>
    </row>
    <row r="817" spans="1:12">
      <c r="A817" s="695">
        <v>45098</v>
      </c>
      <c r="B817" s="696" t="s">
        <v>3783</v>
      </c>
      <c r="C817" s="697">
        <v>84</v>
      </c>
      <c r="D817" s="695">
        <v>45182</v>
      </c>
      <c r="E817" s="698">
        <v>30</v>
      </c>
      <c r="F817" s="698">
        <v>66.680000000000007</v>
      </c>
      <c r="G817" s="698">
        <v>30</v>
      </c>
      <c r="H817" s="698">
        <v>0</v>
      </c>
      <c r="I817" s="699">
        <v>7.3400000000000007E-2</v>
      </c>
      <c r="J817" s="699">
        <v>7.3400000000000007E-2</v>
      </c>
      <c r="K817" s="699">
        <v>7.3400000000000007E-2</v>
      </c>
      <c r="L817" s="697">
        <v>6</v>
      </c>
    </row>
    <row r="818" spans="1:12">
      <c r="A818" s="695">
        <v>45099</v>
      </c>
      <c r="B818" s="696" t="s">
        <v>3784</v>
      </c>
      <c r="C818" s="697">
        <v>168</v>
      </c>
      <c r="D818" s="695">
        <v>45267</v>
      </c>
      <c r="E818" s="698">
        <v>35</v>
      </c>
      <c r="F818" s="698">
        <v>81.22</v>
      </c>
      <c r="G818" s="698">
        <v>15</v>
      </c>
      <c r="H818" s="698">
        <v>0</v>
      </c>
      <c r="I818" s="699">
        <v>7.9000000000000001E-2</v>
      </c>
      <c r="J818" s="699">
        <v>8.3699999999999997E-2</v>
      </c>
      <c r="K818" s="699">
        <v>8.3099999999999993E-2</v>
      </c>
      <c r="L818" s="697">
        <v>13</v>
      </c>
    </row>
    <row r="819" spans="1:12">
      <c r="A819" s="695">
        <v>45099</v>
      </c>
      <c r="B819" s="696" t="s">
        <v>3785</v>
      </c>
      <c r="C819" s="697">
        <v>252</v>
      </c>
      <c r="D819" s="695">
        <v>45351</v>
      </c>
      <c r="E819" s="698">
        <v>40</v>
      </c>
      <c r="F819" s="698">
        <v>87.33</v>
      </c>
      <c r="G819" s="698">
        <v>30</v>
      </c>
      <c r="H819" s="698">
        <v>0</v>
      </c>
      <c r="I819" s="699">
        <v>8.3000000000000004E-2</v>
      </c>
      <c r="J819" s="699">
        <v>9.0999999999999998E-2</v>
      </c>
      <c r="K819" s="699">
        <v>8.8499999999999995E-2</v>
      </c>
      <c r="L819" s="697">
        <v>14</v>
      </c>
    </row>
    <row r="820" spans="1:12">
      <c r="A820" s="695">
        <v>45112</v>
      </c>
      <c r="B820" s="696" t="s">
        <v>3808</v>
      </c>
      <c r="C820" s="697">
        <v>28</v>
      </c>
      <c r="D820" s="695">
        <v>45140</v>
      </c>
      <c r="E820" s="698">
        <v>30</v>
      </c>
      <c r="F820" s="698">
        <v>48.08</v>
      </c>
      <c r="G820" s="698">
        <v>30</v>
      </c>
      <c r="H820" s="698">
        <v>0</v>
      </c>
      <c r="I820" s="699">
        <v>5.8700000000000002E-2</v>
      </c>
      <c r="J820" s="699">
        <v>5.8700000000000002E-2</v>
      </c>
      <c r="K820" s="699">
        <v>5.8700000000000002E-2</v>
      </c>
      <c r="L820" s="697">
        <v>6</v>
      </c>
    </row>
    <row r="821" spans="1:12">
      <c r="A821" s="695">
        <v>45113</v>
      </c>
      <c r="B821" s="696" t="s">
        <v>3809</v>
      </c>
      <c r="C821" s="697">
        <v>84</v>
      </c>
      <c r="D821" s="695">
        <v>45197</v>
      </c>
      <c r="E821" s="698">
        <v>40</v>
      </c>
      <c r="F821" s="698">
        <v>56.2</v>
      </c>
      <c r="G821" s="698">
        <v>40</v>
      </c>
      <c r="H821" s="698">
        <v>0</v>
      </c>
      <c r="I821" s="699">
        <v>7.3300000000000004E-2</v>
      </c>
      <c r="J821" s="699">
        <v>7.3300000000000004E-2</v>
      </c>
      <c r="K821" s="699">
        <v>7.3300000000000004E-2</v>
      </c>
      <c r="L821" s="697">
        <v>5</v>
      </c>
    </row>
    <row r="822" spans="1:12">
      <c r="A822" s="695">
        <v>45113</v>
      </c>
      <c r="B822" s="696" t="s">
        <v>3810</v>
      </c>
      <c r="C822" s="697">
        <v>252</v>
      </c>
      <c r="D822" s="695">
        <v>45365</v>
      </c>
      <c r="E822" s="698">
        <v>46.84</v>
      </c>
      <c r="F822" s="698">
        <v>46.84</v>
      </c>
      <c r="G822" s="698">
        <v>46.84</v>
      </c>
      <c r="H822" s="698">
        <v>0</v>
      </c>
      <c r="I822" s="699">
        <v>8.7499999999999994E-2</v>
      </c>
      <c r="J822" s="699">
        <v>9.9900000000000003E-2</v>
      </c>
      <c r="K822" s="699">
        <v>9.1399999999999995E-2</v>
      </c>
      <c r="L822" s="697">
        <v>11</v>
      </c>
    </row>
    <row r="823" spans="1:12">
      <c r="A823" s="695">
        <v>45112</v>
      </c>
      <c r="B823" s="696" t="s">
        <v>3811</v>
      </c>
      <c r="C823" s="697">
        <v>168</v>
      </c>
      <c r="D823" s="695">
        <v>45280</v>
      </c>
      <c r="E823" s="698">
        <v>50</v>
      </c>
      <c r="F823" s="698">
        <v>67.760000000000005</v>
      </c>
      <c r="G823" s="698">
        <v>50</v>
      </c>
      <c r="H823" s="698">
        <v>0</v>
      </c>
      <c r="I823" s="699">
        <v>8.2000000000000003E-2</v>
      </c>
      <c r="J823" s="699">
        <v>8.4900000000000003E-2</v>
      </c>
      <c r="K823" s="699">
        <v>8.3799999999999999E-2</v>
      </c>
      <c r="L823" s="697">
        <v>9</v>
      </c>
    </row>
    <row r="824" spans="1:12">
      <c r="A824" s="695">
        <v>45119</v>
      </c>
      <c r="B824" s="696" t="s">
        <v>3812</v>
      </c>
      <c r="C824" s="697">
        <v>168</v>
      </c>
      <c r="D824" s="695">
        <v>45287</v>
      </c>
      <c r="E824" s="698">
        <v>28.35</v>
      </c>
      <c r="F824" s="698">
        <v>28.35</v>
      </c>
      <c r="G824" s="698">
        <v>28.35</v>
      </c>
      <c r="H824" s="698">
        <v>0</v>
      </c>
      <c r="I824" s="699">
        <v>8.2799999999999999E-2</v>
      </c>
      <c r="J824" s="699">
        <v>0.09</v>
      </c>
      <c r="K824" s="699">
        <v>8.7099999999999997E-2</v>
      </c>
      <c r="L824" s="697">
        <v>8</v>
      </c>
    </row>
    <row r="825" spans="1:12">
      <c r="A825" s="695">
        <v>45120</v>
      </c>
      <c r="B825" s="696" t="s">
        <v>3813</v>
      </c>
      <c r="C825" s="697">
        <v>84</v>
      </c>
      <c r="D825" s="695">
        <v>45204</v>
      </c>
      <c r="E825" s="698">
        <v>40</v>
      </c>
      <c r="F825" s="698">
        <v>54.82</v>
      </c>
      <c r="G825" s="698">
        <v>40</v>
      </c>
      <c r="H825" s="698">
        <v>0</v>
      </c>
      <c r="I825" s="699">
        <v>7.8E-2</v>
      </c>
      <c r="J825" s="699">
        <v>8.6499999999999994E-2</v>
      </c>
      <c r="K825" s="699">
        <v>8.1500000000000003E-2</v>
      </c>
      <c r="L825" s="697">
        <v>7</v>
      </c>
    </row>
    <row r="826" spans="1:12">
      <c r="A826" s="695">
        <v>45120</v>
      </c>
      <c r="B826" s="696" t="s">
        <v>3814</v>
      </c>
      <c r="C826" s="697">
        <v>252</v>
      </c>
      <c r="D826" s="695">
        <v>45372</v>
      </c>
      <c r="E826" s="698">
        <v>48.25</v>
      </c>
      <c r="F826" s="698">
        <v>48.25</v>
      </c>
      <c r="G826" s="698">
        <v>48.25</v>
      </c>
      <c r="H826" s="698">
        <v>0</v>
      </c>
      <c r="I826" s="699">
        <v>0.09</v>
      </c>
      <c r="J826" s="699">
        <v>0.11</v>
      </c>
      <c r="K826" s="699">
        <v>9.9500000000000005E-2</v>
      </c>
      <c r="L826" s="697">
        <v>12</v>
      </c>
    </row>
    <row r="827" spans="1:12">
      <c r="A827" s="695">
        <v>45126</v>
      </c>
      <c r="B827" s="696" t="s">
        <v>3815</v>
      </c>
      <c r="C827" s="697">
        <v>28</v>
      </c>
      <c r="D827" s="695">
        <v>45154</v>
      </c>
      <c r="E827" s="698">
        <v>30</v>
      </c>
      <c r="F827" s="698">
        <v>65.41</v>
      </c>
      <c r="G827" s="698">
        <v>30</v>
      </c>
      <c r="H827" s="698">
        <v>0</v>
      </c>
      <c r="I827" s="699">
        <v>6.4500000000000002E-2</v>
      </c>
      <c r="J827" s="699">
        <v>6.9699999999999998E-2</v>
      </c>
      <c r="K827" s="699">
        <v>6.88E-2</v>
      </c>
      <c r="L827" s="697">
        <v>12</v>
      </c>
    </row>
    <row r="828" spans="1:12">
      <c r="A828" s="695">
        <v>45126</v>
      </c>
      <c r="B828" s="696" t="s">
        <v>3816</v>
      </c>
      <c r="C828" s="697">
        <v>168</v>
      </c>
      <c r="D828" s="695">
        <v>45294</v>
      </c>
      <c r="E828" s="698">
        <v>37.83</v>
      </c>
      <c r="F828" s="698">
        <v>37.83</v>
      </c>
      <c r="G828" s="698">
        <v>37.83</v>
      </c>
      <c r="H828" s="698">
        <v>0</v>
      </c>
      <c r="I828" s="699">
        <v>8.7400000000000005E-2</v>
      </c>
      <c r="J828" s="699">
        <v>9.9900000000000003E-2</v>
      </c>
      <c r="K828" s="699">
        <v>9.1700000000000004E-2</v>
      </c>
      <c r="L828" s="697">
        <v>7</v>
      </c>
    </row>
    <row r="829" spans="1:12">
      <c r="A829" s="695">
        <v>45127</v>
      </c>
      <c r="B829" s="696" t="s">
        <v>3817</v>
      </c>
      <c r="C829" s="697">
        <v>84</v>
      </c>
      <c r="D829" s="695">
        <v>45211</v>
      </c>
      <c r="E829" s="698">
        <v>40</v>
      </c>
      <c r="F829" s="698">
        <v>60.24</v>
      </c>
      <c r="G829" s="698">
        <v>40</v>
      </c>
      <c r="H829" s="698">
        <v>0</v>
      </c>
      <c r="I829" s="699">
        <v>8.4900000000000003E-2</v>
      </c>
      <c r="J829" s="699">
        <v>9.5000000000000001E-2</v>
      </c>
      <c r="K829" s="699">
        <v>8.8800000000000004E-2</v>
      </c>
      <c r="L829" s="697">
        <v>8</v>
      </c>
    </row>
    <row r="830" spans="1:12">
      <c r="A830" s="695">
        <v>45127</v>
      </c>
      <c r="B830" s="696" t="s">
        <v>3818</v>
      </c>
      <c r="C830" s="697">
        <v>252</v>
      </c>
      <c r="D830" s="695">
        <v>45379</v>
      </c>
      <c r="E830" s="698">
        <v>57.21</v>
      </c>
      <c r="F830" s="698">
        <v>57.21</v>
      </c>
      <c r="G830" s="698">
        <v>57.21</v>
      </c>
      <c r="H830" s="698">
        <v>0</v>
      </c>
      <c r="I830" s="699">
        <v>9.2999999999999999E-2</v>
      </c>
      <c r="J830" s="699">
        <v>0.1399</v>
      </c>
      <c r="K830" s="699">
        <v>0.1082</v>
      </c>
      <c r="L830" s="697">
        <v>11</v>
      </c>
    </row>
    <row r="831" spans="1:12">
      <c r="A831" s="695">
        <v>45133</v>
      </c>
      <c r="B831" s="696" t="s">
        <v>3819</v>
      </c>
      <c r="C831" s="697">
        <v>28</v>
      </c>
      <c r="D831" s="695">
        <v>45161</v>
      </c>
      <c r="E831" s="698">
        <v>20</v>
      </c>
      <c r="F831" s="698">
        <v>76.19</v>
      </c>
      <c r="G831" s="698">
        <v>20</v>
      </c>
      <c r="H831" s="698">
        <v>0</v>
      </c>
      <c r="I831" s="699">
        <v>6.93E-2</v>
      </c>
      <c r="J831" s="699">
        <v>6.9500000000000006E-2</v>
      </c>
      <c r="K831" s="699">
        <v>6.9500000000000006E-2</v>
      </c>
      <c r="L831" s="697">
        <v>7</v>
      </c>
    </row>
    <row r="832" spans="1:12">
      <c r="A832" s="695">
        <v>45133</v>
      </c>
      <c r="B832" s="696" t="s">
        <v>3820</v>
      </c>
      <c r="C832" s="697">
        <v>168</v>
      </c>
      <c r="D832" s="695">
        <v>45301</v>
      </c>
      <c r="E832" s="698">
        <v>20</v>
      </c>
      <c r="F832" s="698">
        <v>62.81</v>
      </c>
      <c r="G832" s="698">
        <v>20</v>
      </c>
      <c r="H832" s="698">
        <v>0</v>
      </c>
      <c r="I832" s="699">
        <v>9.1600000000000001E-2</v>
      </c>
      <c r="J832" s="699">
        <v>9.1600000000000001E-2</v>
      </c>
      <c r="K832" s="699">
        <v>9.1600000000000001E-2</v>
      </c>
      <c r="L832" s="697">
        <v>8</v>
      </c>
    </row>
    <row r="833" spans="1:12">
      <c r="A833" s="695">
        <v>45134</v>
      </c>
      <c r="B833" s="696" t="s">
        <v>3821</v>
      </c>
      <c r="C833" s="697">
        <v>84</v>
      </c>
      <c r="D833" s="695">
        <v>45218</v>
      </c>
      <c r="E833" s="698">
        <v>20</v>
      </c>
      <c r="F833" s="698">
        <v>80.81</v>
      </c>
      <c r="G833" s="698">
        <v>20</v>
      </c>
      <c r="H833" s="698">
        <v>0</v>
      </c>
      <c r="I833" s="699">
        <v>8.4500000000000006E-2</v>
      </c>
      <c r="J833" s="699">
        <v>8.7900000000000006E-2</v>
      </c>
      <c r="K833" s="699">
        <v>8.6900000000000005E-2</v>
      </c>
      <c r="L833" s="697">
        <v>8</v>
      </c>
    </row>
    <row r="834" spans="1:12">
      <c r="A834" s="695">
        <v>45134</v>
      </c>
      <c r="B834" s="696" t="s">
        <v>3822</v>
      </c>
      <c r="C834" s="697">
        <v>252</v>
      </c>
      <c r="D834" s="695">
        <v>45386</v>
      </c>
      <c r="E834" s="698">
        <v>20</v>
      </c>
      <c r="F834" s="698">
        <v>88.16</v>
      </c>
      <c r="G834" s="698">
        <v>20</v>
      </c>
      <c r="H834" s="698">
        <v>0</v>
      </c>
      <c r="I834" s="699">
        <v>9.1999999999999998E-2</v>
      </c>
      <c r="J834" s="699">
        <v>9.9900000000000003E-2</v>
      </c>
      <c r="K834" s="699">
        <v>9.8500000000000004E-2</v>
      </c>
      <c r="L834" s="697">
        <v>11</v>
      </c>
    </row>
    <row r="835" spans="1:12">
      <c r="A835" s="695">
        <v>45140</v>
      </c>
      <c r="B835" s="696" t="s">
        <v>3839</v>
      </c>
      <c r="C835" s="697">
        <v>28</v>
      </c>
      <c r="D835" s="695">
        <v>45168</v>
      </c>
      <c r="E835" s="698">
        <v>20</v>
      </c>
      <c r="F835" s="698">
        <v>81.7</v>
      </c>
      <c r="G835" s="698">
        <v>20</v>
      </c>
      <c r="H835" s="698">
        <v>0</v>
      </c>
      <c r="I835" s="699">
        <v>6.6900000000000001E-2</v>
      </c>
      <c r="J835" s="699">
        <v>6.7799999999999999E-2</v>
      </c>
      <c r="K835" s="699">
        <v>6.7699999999999996E-2</v>
      </c>
      <c r="L835" s="697">
        <v>4</v>
      </c>
    </row>
    <row r="836" spans="1:12">
      <c r="A836" s="695">
        <v>45140</v>
      </c>
      <c r="B836" s="696" t="s">
        <v>3840</v>
      </c>
      <c r="C836" s="697">
        <v>168</v>
      </c>
      <c r="D836" s="695">
        <v>45308</v>
      </c>
      <c r="E836" s="698">
        <v>20</v>
      </c>
      <c r="F836" s="698">
        <v>88.96</v>
      </c>
      <c r="G836" s="698">
        <v>20</v>
      </c>
      <c r="H836" s="698">
        <v>0</v>
      </c>
      <c r="I836" s="699">
        <v>8.5000000000000006E-2</v>
      </c>
      <c r="J836" s="699">
        <v>8.9800000000000005E-2</v>
      </c>
      <c r="K836" s="699">
        <v>8.8599999999999998E-2</v>
      </c>
      <c r="L836" s="697">
        <v>3</v>
      </c>
    </row>
    <row r="837" spans="1:12">
      <c r="A837" s="695">
        <v>45141</v>
      </c>
      <c r="B837" s="696" t="s">
        <v>3841</v>
      </c>
      <c r="C837" s="697">
        <v>84</v>
      </c>
      <c r="D837" s="695">
        <v>45225</v>
      </c>
      <c r="E837" s="698">
        <v>20</v>
      </c>
      <c r="F837" s="698">
        <v>87.99</v>
      </c>
      <c r="G837" s="698">
        <v>20</v>
      </c>
      <c r="H837" s="698">
        <v>0</v>
      </c>
      <c r="I837" s="699">
        <v>7.9000000000000001E-2</v>
      </c>
      <c r="J837" s="699">
        <v>7.9299999999999995E-2</v>
      </c>
      <c r="K837" s="699">
        <v>7.9200000000000007E-2</v>
      </c>
      <c r="L837" s="697">
        <v>3</v>
      </c>
    </row>
    <row r="838" spans="1:12">
      <c r="A838" s="695">
        <v>45141</v>
      </c>
      <c r="B838" s="696" t="s">
        <v>3842</v>
      </c>
      <c r="C838" s="697">
        <v>252</v>
      </c>
      <c r="D838" s="695">
        <v>45393</v>
      </c>
      <c r="E838" s="698">
        <v>20</v>
      </c>
      <c r="F838" s="698">
        <v>84</v>
      </c>
      <c r="G838" s="698">
        <v>20</v>
      </c>
      <c r="H838" s="698">
        <v>0</v>
      </c>
      <c r="I838" s="699">
        <v>8.9800000000000005E-2</v>
      </c>
      <c r="J838" s="699">
        <v>9.1700000000000004E-2</v>
      </c>
      <c r="K838" s="699">
        <v>9.1300000000000006E-2</v>
      </c>
      <c r="L838" s="697">
        <v>3</v>
      </c>
    </row>
    <row r="839" spans="1:12">
      <c r="A839" s="695">
        <v>45147</v>
      </c>
      <c r="B839" s="696" t="s">
        <v>3843</v>
      </c>
      <c r="C839" s="697">
        <v>168</v>
      </c>
      <c r="D839" s="695">
        <v>45315</v>
      </c>
      <c r="E839" s="698">
        <v>20</v>
      </c>
      <c r="F839" s="698">
        <v>23.73</v>
      </c>
      <c r="G839" s="698">
        <v>20</v>
      </c>
      <c r="H839" s="698">
        <v>0</v>
      </c>
      <c r="I839" s="699">
        <v>8.4900000000000003E-2</v>
      </c>
      <c r="J839" s="699">
        <v>8.7999999999999995E-2</v>
      </c>
      <c r="K839" s="699">
        <v>8.7099999999999997E-2</v>
      </c>
      <c r="L839" s="697">
        <v>6</v>
      </c>
    </row>
    <row r="840" spans="1:12">
      <c r="A840" s="695">
        <v>45148</v>
      </c>
      <c r="B840" s="696" t="s">
        <v>3844</v>
      </c>
      <c r="C840" s="697">
        <v>84</v>
      </c>
      <c r="D840" s="695">
        <v>45232</v>
      </c>
      <c r="E840" s="698">
        <v>20</v>
      </c>
      <c r="F840" s="698">
        <v>27.97</v>
      </c>
      <c r="G840" s="698">
        <v>20</v>
      </c>
      <c r="H840" s="698">
        <v>0</v>
      </c>
      <c r="I840" s="699">
        <v>7.4999999999999997E-2</v>
      </c>
      <c r="J840" s="699">
        <v>7.8799999999999995E-2</v>
      </c>
      <c r="K840" s="699">
        <v>7.7700000000000005E-2</v>
      </c>
      <c r="L840" s="697">
        <v>4</v>
      </c>
    </row>
    <row r="841" spans="1:12">
      <c r="A841" s="695">
        <v>45148</v>
      </c>
      <c r="B841" s="696" t="s">
        <v>3845</v>
      </c>
      <c r="C841" s="697">
        <v>252</v>
      </c>
      <c r="D841" s="695">
        <v>45400</v>
      </c>
      <c r="E841" s="698">
        <v>20</v>
      </c>
      <c r="F841" s="698">
        <v>25.83</v>
      </c>
      <c r="G841" s="698">
        <v>20</v>
      </c>
      <c r="H841" s="698">
        <v>0</v>
      </c>
      <c r="I841" s="699">
        <v>8.9899999999999994E-2</v>
      </c>
      <c r="J841" s="699">
        <v>9.2700000000000005E-2</v>
      </c>
      <c r="K841" s="699">
        <v>9.0800000000000006E-2</v>
      </c>
      <c r="L841" s="697">
        <v>6</v>
      </c>
    </row>
    <row r="842" spans="1:12">
      <c r="A842" s="695">
        <v>45149</v>
      </c>
      <c r="B842" s="696" t="s">
        <v>3846</v>
      </c>
      <c r="C842" s="697">
        <v>7</v>
      </c>
      <c r="D842" s="695">
        <v>45156</v>
      </c>
      <c r="E842" s="698">
        <v>30</v>
      </c>
      <c r="F842" s="698">
        <v>38.03</v>
      </c>
      <c r="G842" s="698">
        <v>30</v>
      </c>
      <c r="H842" s="698">
        <v>0</v>
      </c>
      <c r="I842" s="699">
        <v>7.51E-2</v>
      </c>
      <c r="J842" s="699">
        <v>7.8E-2</v>
      </c>
      <c r="K842" s="699">
        <v>7.6200000000000004E-2</v>
      </c>
      <c r="L842" s="697">
        <v>4</v>
      </c>
    </row>
    <row r="843" spans="1:12">
      <c r="A843" s="695">
        <v>45154</v>
      </c>
      <c r="B843" s="696" t="s">
        <v>3847</v>
      </c>
      <c r="C843" s="697">
        <v>28</v>
      </c>
      <c r="D843" s="695">
        <v>45182</v>
      </c>
      <c r="E843" s="698">
        <v>20</v>
      </c>
      <c r="F843" s="698">
        <v>23.13</v>
      </c>
      <c r="G843" s="698">
        <v>20</v>
      </c>
      <c r="H843" s="698">
        <v>0</v>
      </c>
      <c r="I843" s="699">
        <v>7.4800000000000005E-2</v>
      </c>
      <c r="J843" s="699">
        <v>8.5000000000000006E-2</v>
      </c>
      <c r="K843" s="699">
        <v>8.0600000000000005E-2</v>
      </c>
      <c r="L843" s="697">
        <v>5</v>
      </c>
    </row>
    <row r="844" spans="1:12">
      <c r="A844" s="695">
        <v>45154</v>
      </c>
      <c r="B844" s="696" t="s">
        <v>3848</v>
      </c>
      <c r="C844" s="697">
        <v>168</v>
      </c>
      <c r="D844" s="695">
        <v>45322</v>
      </c>
      <c r="E844" s="698">
        <v>20</v>
      </c>
      <c r="F844" s="698">
        <v>31.53</v>
      </c>
      <c r="G844" s="698">
        <v>20</v>
      </c>
      <c r="H844" s="698">
        <v>0</v>
      </c>
      <c r="I844" s="699">
        <v>8.5500000000000007E-2</v>
      </c>
      <c r="J844" s="699">
        <v>8.7999999999999995E-2</v>
      </c>
      <c r="K844" s="699">
        <v>8.6599999999999996E-2</v>
      </c>
      <c r="L844" s="697">
        <v>6</v>
      </c>
    </row>
    <row r="845" spans="1:12">
      <c r="A845" s="695">
        <v>45155</v>
      </c>
      <c r="B845" s="696" t="s">
        <v>3849</v>
      </c>
      <c r="C845" s="697">
        <v>84</v>
      </c>
      <c r="D845" s="695">
        <v>45239</v>
      </c>
      <c r="E845" s="698">
        <v>20</v>
      </c>
      <c r="F845" s="698">
        <v>21.35</v>
      </c>
      <c r="G845" s="698">
        <v>20</v>
      </c>
      <c r="H845" s="698">
        <v>0</v>
      </c>
      <c r="I845" s="699">
        <v>7.8E-2</v>
      </c>
      <c r="J845" s="699">
        <v>8.7999999999999995E-2</v>
      </c>
      <c r="K845" s="699">
        <v>8.5599999999999996E-2</v>
      </c>
      <c r="L845" s="697">
        <v>7</v>
      </c>
    </row>
    <row r="846" spans="1:12">
      <c r="A846" s="695">
        <v>45155</v>
      </c>
      <c r="B846" s="696" t="s">
        <v>3850</v>
      </c>
      <c r="C846" s="697">
        <v>252</v>
      </c>
      <c r="D846" s="695">
        <v>45407</v>
      </c>
      <c r="E846" s="698">
        <v>20</v>
      </c>
      <c r="F846" s="698">
        <v>25.43</v>
      </c>
      <c r="G846" s="698">
        <v>20</v>
      </c>
      <c r="H846" s="698">
        <v>0</v>
      </c>
      <c r="I846" s="699">
        <v>9.0999999999999998E-2</v>
      </c>
      <c r="J846" s="699">
        <v>9.2999999999999999E-2</v>
      </c>
      <c r="K846" s="699">
        <v>9.2299999999999993E-2</v>
      </c>
      <c r="L846" s="697">
        <v>5</v>
      </c>
    </row>
    <row r="847" spans="1:12">
      <c r="A847" s="695">
        <v>45161</v>
      </c>
      <c r="B847" s="696" t="s">
        <v>3851</v>
      </c>
      <c r="C847" s="697">
        <v>28</v>
      </c>
      <c r="D847" s="695">
        <v>45189</v>
      </c>
      <c r="E847" s="698">
        <v>20</v>
      </c>
      <c r="F847" s="698">
        <v>25.43</v>
      </c>
      <c r="G847" s="698">
        <v>20</v>
      </c>
      <c r="H847" s="698">
        <v>0</v>
      </c>
      <c r="I847" s="699">
        <v>8.2699999999999996E-2</v>
      </c>
      <c r="J847" s="699">
        <v>8.3000000000000004E-2</v>
      </c>
      <c r="K847" s="699">
        <v>8.2900000000000001E-2</v>
      </c>
      <c r="L847" s="697">
        <v>2</v>
      </c>
    </row>
    <row r="848" spans="1:12">
      <c r="A848" s="695">
        <v>45161</v>
      </c>
      <c r="B848" s="696" t="s">
        <v>3852</v>
      </c>
      <c r="C848" s="697">
        <v>168</v>
      </c>
      <c r="D848" s="695">
        <v>45329</v>
      </c>
      <c r="E848" s="698">
        <v>20</v>
      </c>
      <c r="F848" s="698">
        <v>5.5</v>
      </c>
      <c r="G848" s="698">
        <v>20</v>
      </c>
      <c r="H848" s="698">
        <v>0</v>
      </c>
      <c r="I848" s="699">
        <v>8.5500000000000007E-2</v>
      </c>
      <c r="J848" s="699">
        <v>8.6499999999999994E-2</v>
      </c>
      <c r="K848" s="699">
        <v>8.5900000000000004E-2</v>
      </c>
      <c r="L848" s="697">
        <v>4</v>
      </c>
    </row>
    <row r="849" spans="1:12">
      <c r="A849" s="695">
        <v>45162</v>
      </c>
      <c r="B849" s="696" t="s">
        <v>3853</v>
      </c>
      <c r="C849" s="697">
        <v>84</v>
      </c>
      <c r="D849" s="695">
        <v>45246</v>
      </c>
      <c r="E849" s="698">
        <v>20</v>
      </c>
      <c r="F849" s="698">
        <v>24.45</v>
      </c>
      <c r="G849" s="698">
        <v>20</v>
      </c>
      <c r="H849" s="698">
        <v>0</v>
      </c>
      <c r="I849" s="699">
        <v>8.4699999999999998E-2</v>
      </c>
      <c r="J849" s="699">
        <v>8.5000000000000006E-2</v>
      </c>
      <c r="K849" s="699">
        <v>8.48E-2</v>
      </c>
      <c r="L849" s="697">
        <v>4</v>
      </c>
    </row>
    <row r="850" spans="1:12">
      <c r="A850" s="695">
        <v>45162</v>
      </c>
      <c r="B850" s="696" t="s">
        <v>3854</v>
      </c>
      <c r="C850" s="697">
        <v>252</v>
      </c>
      <c r="D850" s="695">
        <v>45414</v>
      </c>
      <c r="E850" s="698">
        <v>20</v>
      </c>
      <c r="F850" s="698">
        <v>37.229999999999997</v>
      </c>
      <c r="G850" s="698">
        <v>20</v>
      </c>
      <c r="H850" s="698">
        <v>0</v>
      </c>
      <c r="I850" s="699">
        <v>9.1499999999999998E-2</v>
      </c>
      <c r="J850" s="699">
        <v>9.1999999999999998E-2</v>
      </c>
      <c r="K850" s="699">
        <v>9.1800000000000007E-2</v>
      </c>
      <c r="L850" s="697">
        <v>5</v>
      </c>
    </row>
    <row r="851" spans="1:12">
      <c r="A851" s="695">
        <v>45168</v>
      </c>
      <c r="B851" s="696" t="s">
        <v>3855</v>
      </c>
      <c r="C851" s="697">
        <v>28</v>
      </c>
      <c r="D851" s="695">
        <v>45196</v>
      </c>
      <c r="E851" s="698">
        <v>20</v>
      </c>
      <c r="F851" s="698">
        <v>27.67</v>
      </c>
      <c r="G851" s="698">
        <v>20</v>
      </c>
      <c r="H851" s="698">
        <v>0</v>
      </c>
      <c r="I851" s="699">
        <v>8.1000000000000003E-2</v>
      </c>
      <c r="J851" s="699">
        <v>8.2900000000000001E-2</v>
      </c>
      <c r="K851" s="699">
        <v>8.2000000000000003E-2</v>
      </c>
      <c r="L851" s="697">
        <v>4</v>
      </c>
    </row>
    <row r="852" spans="1:12">
      <c r="A852" s="695">
        <v>45168</v>
      </c>
      <c r="B852" s="696" t="s">
        <v>3856</v>
      </c>
      <c r="C852" s="697">
        <v>168</v>
      </c>
      <c r="D852" s="695">
        <v>45336</v>
      </c>
      <c r="E852" s="698">
        <v>20</v>
      </c>
      <c r="F852" s="698">
        <v>38.44</v>
      </c>
      <c r="G852" s="698">
        <v>20</v>
      </c>
      <c r="H852" s="698">
        <v>0</v>
      </c>
      <c r="I852" s="699">
        <v>8.3000000000000004E-2</v>
      </c>
      <c r="J852" s="699">
        <v>8.5199999999999998E-2</v>
      </c>
      <c r="K852" s="699">
        <v>8.4599999999999995E-2</v>
      </c>
      <c r="L852" s="697">
        <v>3</v>
      </c>
    </row>
    <row r="853" spans="1:12">
      <c r="A853" s="695">
        <v>45169</v>
      </c>
      <c r="B853" s="696" t="s">
        <v>3857</v>
      </c>
      <c r="C853" s="697">
        <v>84</v>
      </c>
      <c r="D853" s="695">
        <v>45253</v>
      </c>
      <c r="E853" s="698">
        <v>20</v>
      </c>
      <c r="F853" s="698">
        <v>50.05</v>
      </c>
      <c r="G853" s="698">
        <v>20</v>
      </c>
      <c r="H853" s="698">
        <v>0</v>
      </c>
      <c r="I853" s="699">
        <v>0.08</v>
      </c>
      <c r="J853" s="699">
        <v>0.08</v>
      </c>
      <c r="K853" s="699">
        <v>0.08</v>
      </c>
      <c r="L853" s="697">
        <v>1</v>
      </c>
    </row>
    <row r="854" spans="1:12">
      <c r="A854" s="695">
        <v>45169</v>
      </c>
      <c r="B854" s="696" t="s">
        <v>3858</v>
      </c>
      <c r="C854" s="697">
        <v>252</v>
      </c>
      <c r="D854" s="695">
        <v>45421</v>
      </c>
      <c r="E854" s="698">
        <v>20</v>
      </c>
      <c r="F854" s="698">
        <v>54.31</v>
      </c>
      <c r="G854" s="698">
        <v>20</v>
      </c>
      <c r="H854" s="698">
        <v>0</v>
      </c>
      <c r="I854" s="699">
        <v>0.09</v>
      </c>
      <c r="J854" s="699">
        <v>0.09</v>
      </c>
      <c r="K854" s="699">
        <v>0.09</v>
      </c>
      <c r="L854" s="697">
        <v>2</v>
      </c>
    </row>
    <row r="855" spans="1:12">
      <c r="A855" s="695">
        <v>45170</v>
      </c>
      <c r="B855" s="696" t="s">
        <v>3872</v>
      </c>
      <c r="C855" s="697">
        <v>7</v>
      </c>
      <c r="D855" s="695">
        <v>45177</v>
      </c>
      <c r="E855" s="698">
        <v>30</v>
      </c>
      <c r="F855" s="698">
        <v>12.5</v>
      </c>
      <c r="G855" s="698">
        <v>12.5</v>
      </c>
      <c r="H855" s="698">
        <v>0</v>
      </c>
      <c r="I855" s="699">
        <v>7.9000000000000001E-2</v>
      </c>
      <c r="J855" s="699">
        <v>8.5000000000000006E-2</v>
      </c>
      <c r="K855" s="699">
        <v>8.2100000000000006E-2</v>
      </c>
      <c r="L855" s="697">
        <v>5</v>
      </c>
    </row>
    <row r="856" spans="1:12">
      <c r="A856" s="695">
        <v>45175</v>
      </c>
      <c r="B856" s="696" t="s">
        <v>3873</v>
      </c>
      <c r="C856" s="697">
        <v>28</v>
      </c>
      <c r="D856" s="695">
        <v>45203</v>
      </c>
      <c r="E856" s="698">
        <v>20</v>
      </c>
      <c r="F856" s="698">
        <v>17.07</v>
      </c>
      <c r="G856" s="698">
        <v>17.07</v>
      </c>
      <c r="H856" s="698">
        <v>0</v>
      </c>
      <c r="I856" s="699">
        <v>0.08</v>
      </c>
      <c r="J856" s="699">
        <v>8.5000000000000006E-2</v>
      </c>
      <c r="K856" s="699">
        <v>8.1600000000000006E-2</v>
      </c>
      <c r="L856" s="697">
        <v>5</v>
      </c>
    </row>
    <row r="857" spans="1:12">
      <c r="A857" s="695">
        <v>45175</v>
      </c>
      <c r="B857" s="696" t="s">
        <v>3874</v>
      </c>
      <c r="C857" s="697">
        <v>168</v>
      </c>
      <c r="D857" s="695">
        <v>45343</v>
      </c>
      <c r="E857" s="698">
        <v>20</v>
      </c>
      <c r="F857" s="698">
        <v>31.15</v>
      </c>
      <c r="G857" s="698">
        <v>20</v>
      </c>
      <c r="H857" s="698">
        <v>0</v>
      </c>
      <c r="I857" s="699">
        <v>8.2500000000000004E-2</v>
      </c>
      <c r="J857" s="699">
        <v>8.3000000000000004E-2</v>
      </c>
      <c r="K857" s="699">
        <v>8.2900000000000001E-2</v>
      </c>
      <c r="L857" s="697">
        <v>4</v>
      </c>
    </row>
    <row r="858" spans="1:12">
      <c r="A858" s="695">
        <v>45176</v>
      </c>
      <c r="B858" s="696" t="s">
        <v>3875</v>
      </c>
      <c r="C858" s="697">
        <v>84</v>
      </c>
      <c r="D858" s="695">
        <v>45260</v>
      </c>
      <c r="E858" s="698">
        <v>20</v>
      </c>
      <c r="F858" s="698">
        <v>21.36</v>
      </c>
      <c r="G858" s="698">
        <v>20</v>
      </c>
      <c r="H858" s="698">
        <v>0</v>
      </c>
      <c r="I858" s="699">
        <v>7.9500000000000001E-2</v>
      </c>
      <c r="J858" s="699">
        <v>8.3699999999999997E-2</v>
      </c>
      <c r="K858" s="699">
        <v>8.2400000000000001E-2</v>
      </c>
      <c r="L858" s="697">
        <v>6</v>
      </c>
    </row>
    <row r="859" spans="1:12">
      <c r="A859" s="695">
        <v>45176</v>
      </c>
      <c r="B859" s="696" t="s">
        <v>3876</v>
      </c>
      <c r="C859" s="697">
        <v>252</v>
      </c>
      <c r="D859" s="695">
        <v>45428</v>
      </c>
      <c r="E859" s="698">
        <v>20</v>
      </c>
      <c r="F859" s="698">
        <v>39.270000000000003</v>
      </c>
      <c r="G859" s="698">
        <v>20</v>
      </c>
      <c r="H859" s="698">
        <v>0</v>
      </c>
      <c r="I859" s="699">
        <v>8.7900000000000006E-2</v>
      </c>
      <c r="J859" s="699">
        <v>8.8999999999999996E-2</v>
      </c>
      <c r="K859" s="699">
        <v>8.8599999999999998E-2</v>
      </c>
      <c r="L859" s="697">
        <v>4</v>
      </c>
    </row>
    <row r="860" spans="1:12">
      <c r="A860" s="695">
        <v>45177</v>
      </c>
      <c r="B860" s="696" t="s">
        <v>3877</v>
      </c>
      <c r="C860" s="697">
        <v>7</v>
      </c>
      <c r="D860" s="695">
        <v>45184</v>
      </c>
      <c r="E860" s="698">
        <v>20</v>
      </c>
      <c r="F860" s="698">
        <v>20.11</v>
      </c>
      <c r="G860" s="698">
        <v>20</v>
      </c>
      <c r="H860" s="698">
        <v>0</v>
      </c>
      <c r="I860" s="699">
        <v>0.08</v>
      </c>
      <c r="J860" s="699">
        <v>8.7999999999999995E-2</v>
      </c>
      <c r="K860" s="699">
        <v>8.3299999999999999E-2</v>
      </c>
      <c r="L860" s="697">
        <v>5</v>
      </c>
    </row>
    <row r="861" spans="1:12">
      <c r="A861" s="695">
        <v>45182</v>
      </c>
      <c r="B861" s="696" t="s">
        <v>3878</v>
      </c>
      <c r="C861" s="697">
        <v>28</v>
      </c>
      <c r="D861" s="695">
        <v>45210</v>
      </c>
      <c r="E861" s="698">
        <v>20</v>
      </c>
      <c r="F861" s="698">
        <v>38.29</v>
      </c>
      <c r="G861" s="698">
        <v>20</v>
      </c>
      <c r="H861" s="698">
        <v>0</v>
      </c>
      <c r="I861" s="699">
        <v>8.0299999999999996E-2</v>
      </c>
      <c r="J861" s="699">
        <v>8.0299999999999996E-2</v>
      </c>
      <c r="K861" s="699">
        <v>8.0299999999999996E-2</v>
      </c>
      <c r="L861" s="697">
        <v>1</v>
      </c>
    </row>
    <row r="862" spans="1:12">
      <c r="A862" s="695">
        <v>45182</v>
      </c>
      <c r="B862" s="696" t="s">
        <v>3879</v>
      </c>
      <c r="C862" s="697">
        <v>168</v>
      </c>
      <c r="D862" s="695">
        <v>45350</v>
      </c>
      <c r="E862" s="698">
        <v>20</v>
      </c>
      <c r="F862" s="698">
        <v>74.25</v>
      </c>
      <c r="G862" s="698">
        <v>20</v>
      </c>
      <c r="H862" s="698">
        <v>0</v>
      </c>
      <c r="I862" s="699">
        <v>8.1699999999999995E-2</v>
      </c>
      <c r="J862" s="699">
        <v>8.2000000000000003E-2</v>
      </c>
      <c r="K862" s="699">
        <v>8.2000000000000003E-2</v>
      </c>
      <c r="L862" s="697">
        <v>3</v>
      </c>
    </row>
    <row r="863" spans="1:12">
      <c r="A863" s="695">
        <v>45183</v>
      </c>
      <c r="B863" s="696" t="s">
        <v>3880</v>
      </c>
      <c r="C863" s="697">
        <v>84</v>
      </c>
      <c r="D863" s="695">
        <v>45267</v>
      </c>
      <c r="E863" s="698">
        <v>20</v>
      </c>
      <c r="F863" s="698">
        <v>30.77</v>
      </c>
      <c r="G863" s="698">
        <v>20</v>
      </c>
      <c r="H863" s="698">
        <v>0</v>
      </c>
      <c r="I863" s="699">
        <v>8.2000000000000003E-2</v>
      </c>
      <c r="J863" s="699">
        <v>8.2100000000000006E-2</v>
      </c>
      <c r="K863" s="699">
        <v>8.2100000000000006E-2</v>
      </c>
      <c r="L863" s="697">
        <v>2</v>
      </c>
    </row>
    <row r="864" spans="1:12">
      <c r="A864" s="695">
        <v>45183</v>
      </c>
      <c r="B864" s="696" t="s">
        <v>3881</v>
      </c>
      <c r="C864" s="697">
        <v>252</v>
      </c>
      <c r="D864" s="695">
        <v>45435</v>
      </c>
      <c r="E864" s="698">
        <v>20</v>
      </c>
      <c r="F864" s="698">
        <v>57.24</v>
      </c>
      <c r="G864" s="698">
        <v>20</v>
      </c>
      <c r="H864" s="698">
        <v>0</v>
      </c>
      <c r="I864" s="699">
        <v>8.5599999999999996E-2</v>
      </c>
      <c r="J864" s="699">
        <v>8.6499999999999994E-2</v>
      </c>
      <c r="K864" s="699">
        <v>8.5699999999999998E-2</v>
      </c>
      <c r="L864" s="697">
        <v>3</v>
      </c>
    </row>
    <row r="865" spans="1:12">
      <c r="A865" s="695">
        <v>45189</v>
      </c>
      <c r="B865" s="696" t="s">
        <v>3882</v>
      </c>
      <c r="C865" s="697">
        <v>168</v>
      </c>
      <c r="D865" s="695">
        <v>45357</v>
      </c>
      <c r="E865" s="698">
        <v>20</v>
      </c>
      <c r="F865" s="698">
        <v>56.16</v>
      </c>
      <c r="G865" s="698">
        <v>20</v>
      </c>
      <c r="H865" s="698">
        <v>0</v>
      </c>
      <c r="I865" s="699">
        <v>8.0500000000000002E-2</v>
      </c>
      <c r="J865" s="699">
        <v>8.0500000000000002E-2</v>
      </c>
      <c r="K865" s="699">
        <v>8.0500000000000002E-2</v>
      </c>
      <c r="L865" s="697">
        <v>2</v>
      </c>
    </row>
    <row r="866" spans="1:12">
      <c r="A866" s="695">
        <v>45190</v>
      </c>
      <c r="B866" s="696" t="s">
        <v>3883</v>
      </c>
      <c r="C866" s="697">
        <v>252</v>
      </c>
      <c r="D866" s="695">
        <v>45442</v>
      </c>
      <c r="E866" s="698">
        <v>20</v>
      </c>
      <c r="F866" s="698">
        <v>59.06</v>
      </c>
      <c r="G866" s="698">
        <v>20</v>
      </c>
      <c r="H866" s="698">
        <v>0</v>
      </c>
      <c r="I866" s="699">
        <v>8.4500000000000006E-2</v>
      </c>
      <c r="J866" s="699">
        <v>8.4900000000000003E-2</v>
      </c>
      <c r="K866" s="699">
        <v>8.4900000000000003E-2</v>
      </c>
      <c r="L866" s="697">
        <v>4</v>
      </c>
    </row>
    <row r="867" spans="1:12">
      <c r="A867" s="695">
        <v>45196</v>
      </c>
      <c r="B867" s="696" t="s">
        <v>3884</v>
      </c>
      <c r="C867" s="697">
        <v>168</v>
      </c>
      <c r="D867" s="695">
        <v>45364</v>
      </c>
      <c r="E867" s="698">
        <v>20</v>
      </c>
      <c r="F867" s="698">
        <v>43.06</v>
      </c>
      <c r="G867" s="698">
        <v>20</v>
      </c>
      <c r="H867" s="698">
        <v>0</v>
      </c>
      <c r="I867" s="699">
        <v>8.0500000000000002E-2</v>
      </c>
      <c r="J867" s="699">
        <v>8.0500000000000002E-2</v>
      </c>
      <c r="K867" s="699">
        <v>8.0500000000000002E-2</v>
      </c>
      <c r="L867" s="697">
        <v>2</v>
      </c>
    </row>
    <row r="868" spans="1:12">
      <c r="A868" s="695">
        <v>45197</v>
      </c>
      <c r="B868" s="696" t="s">
        <v>3885</v>
      </c>
      <c r="C868" s="697">
        <v>84</v>
      </c>
      <c r="D868" s="695">
        <v>45281</v>
      </c>
      <c r="E868" s="698">
        <v>20</v>
      </c>
      <c r="F868" s="698">
        <v>32.51</v>
      </c>
      <c r="G868" s="698">
        <v>20</v>
      </c>
      <c r="H868" s="698">
        <v>0</v>
      </c>
      <c r="I868" s="699">
        <v>8.1000000000000003E-2</v>
      </c>
      <c r="J868" s="699">
        <v>8.1500000000000003E-2</v>
      </c>
      <c r="K868" s="699">
        <v>8.1299999999999997E-2</v>
      </c>
      <c r="L868" s="697">
        <v>2</v>
      </c>
    </row>
    <row r="869" spans="1:12">
      <c r="A869" s="695">
        <v>45197</v>
      </c>
      <c r="B869" s="696" t="s">
        <v>3886</v>
      </c>
      <c r="C869" s="697">
        <v>252</v>
      </c>
      <c r="D869" s="695">
        <v>45449</v>
      </c>
      <c r="E869" s="698">
        <v>20</v>
      </c>
      <c r="F869" s="698">
        <v>43.06</v>
      </c>
      <c r="G869" s="698">
        <v>20</v>
      </c>
      <c r="H869" s="698">
        <v>0</v>
      </c>
      <c r="I869" s="699">
        <v>8.3900000000000002E-2</v>
      </c>
      <c r="J869" s="699">
        <v>8.48E-2</v>
      </c>
      <c r="K869" s="699">
        <v>8.4599999999999995E-2</v>
      </c>
      <c r="L869" s="697">
        <v>6</v>
      </c>
    </row>
    <row r="870" spans="1:12">
      <c r="A870" s="695">
        <v>45203</v>
      </c>
      <c r="B870" s="696" t="s">
        <v>3893</v>
      </c>
      <c r="C870" s="697">
        <v>168</v>
      </c>
      <c r="D870" s="695">
        <v>45371</v>
      </c>
      <c r="E870" s="698">
        <v>20</v>
      </c>
      <c r="F870" s="698">
        <v>55.13</v>
      </c>
      <c r="G870" s="698">
        <v>20</v>
      </c>
      <c r="H870" s="698">
        <v>0</v>
      </c>
      <c r="I870" s="699">
        <v>0.08</v>
      </c>
      <c r="J870" s="699">
        <v>8.1900000000000001E-2</v>
      </c>
      <c r="K870" s="699">
        <v>8.1600000000000006E-2</v>
      </c>
      <c r="L870" s="697">
        <v>5</v>
      </c>
    </row>
    <row r="871" spans="1:12">
      <c r="A871" s="695">
        <v>45204</v>
      </c>
      <c r="B871" s="696" t="s">
        <v>3894</v>
      </c>
      <c r="C871" s="697">
        <v>84</v>
      </c>
      <c r="D871" s="695">
        <v>45288</v>
      </c>
      <c r="E871" s="698">
        <v>20</v>
      </c>
      <c r="F871" s="698">
        <v>33.590000000000003</v>
      </c>
      <c r="G871" s="698">
        <v>20</v>
      </c>
      <c r="H871" s="698">
        <v>0</v>
      </c>
      <c r="I871" s="699">
        <v>8.1000000000000003E-2</v>
      </c>
      <c r="J871" s="699">
        <v>8.1299999999999997E-2</v>
      </c>
      <c r="K871" s="699">
        <v>8.1100000000000005E-2</v>
      </c>
      <c r="L871" s="697">
        <v>3</v>
      </c>
    </row>
    <row r="872" spans="1:12">
      <c r="A872" s="695">
        <v>45204</v>
      </c>
      <c r="B872" s="696" t="s">
        <v>3895</v>
      </c>
      <c r="C872" s="697">
        <v>252</v>
      </c>
      <c r="D872" s="695">
        <v>45456</v>
      </c>
      <c r="E872" s="698">
        <v>20</v>
      </c>
      <c r="F872" s="698">
        <v>43.16</v>
      </c>
      <c r="G872" s="698">
        <v>20</v>
      </c>
      <c r="H872" s="698">
        <v>0</v>
      </c>
      <c r="I872" s="699">
        <v>8.3500000000000005E-2</v>
      </c>
      <c r="J872" s="699">
        <v>8.3799999999999999E-2</v>
      </c>
      <c r="K872" s="699">
        <v>8.3599999999999994E-2</v>
      </c>
      <c r="L872" s="697">
        <v>2</v>
      </c>
    </row>
    <row r="873" spans="1:12">
      <c r="A873" s="695">
        <v>45210</v>
      </c>
      <c r="B873" s="696" t="s">
        <v>3896</v>
      </c>
      <c r="C873" s="697">
        <v>168</v>
      </c>
      <c r="D873" s="695">
        <v>45378</v>
      </c>
      <c r="E873" s="698">
        <v>20</v>
      </c>
      <c r="F873" s="698">
        <v>55.47</v>
      </c>
      <c r="G873" s="698">
        <v>20</v>
      </c>
      <c r="H873" s="698">
        <v>0</v>
      </c>
      <c r="I873" s="699">
        <v>8.0500000000000002E-2</v>
      </c>
      <c r="J873" s="699">
        <v>8.2000000000000003E-2</v>
      </c>
      <c r="K873" s="699">
        <v>8.1699999999999995E-2</v>
      </c>
      <c r="L873" s="697">
        <v>4</v>
      </c>
    </row>
    <row r="874" spans="1:12">
      <c r="A874" s="695">
        <v>45211</v>
      </c>
      <c r="B874" s="696" t="s">
        <v>3897</v>
      </c>
      <c r="C874" s="697">
        <v>84</v>
      </c>
      <c r="D874" s="695">
        <v>45295</v>
      </c>
      <c r="E874" s="698">
        <v>20</v>
      </c>
      <c r="F874" s="698">
        <v>25.03</v>
      </c>
      <c r="G874" s="698">
        <v>20</v>
      </c>
      <c r="H874" s="698">
        <v>0</v>
      </c>
      <c r="I874" s="699">
        <v>8.1000000000000003E-2</v>
      </c>
      <c r="J874" s="699">
        <v>8.1900000000000001E-2</v>
      </c>
      <c r="K874" s="699">
        <v>8.1699999999999995E-2</v>
      </c>
      <c r="L874" s="697">
        <v>4</v>
      </c>
    </row>
    <row r="875" spans="1:12">
      <c r="A875" s="695">
        <v>45211</v>
      </c>
      <c r="B875" s="696" t="s">
        <v>3898</v>
      </c>
      <c r="C875" s="697">
        <v>252</v>
      </c>
      <c r="D875" s="695">
        <v>45463</v>
      </c>
      <c r="E875" s="698">
        <v>20</v>
      </c>
      <c r="F875" s="698">
        <v>55.47</v>
      </c>
      <c r="G875" s="698">
        <v>20</v>
      </c>
      <c r="H875" s="698">
        <v>0</v>
      </c>
      <c r="I875" s="699">
        <v>8.3000000000000004E-2</v>
      </c>
      <c r="J875" s="699">
        <v>8.3500000000000005E-2</v>
      </c>
      <c r="K875" s="699">
        <v>8.3400000000000002E-2</v>
      </c>
      <c r="L875" s="697">
        <v>6</v>
      </c>
    </row>
    <row r="876" spans="1:12">
      <c r="A876" s="695">
        <v>45218</v>
      </c>
      <c r="B876" s="696" t="s">
        <v>3899</v>
      </c>
      <c r="C876" s="697">
        <v>84</v>
      </c>
      <c r="D876" s="695">
        <v>45302</v>
      </c>
      <c r="E876" s="698">
        <v>20</v>
      </c>
      <c r="F876" s="698">
        <v>42.39</v>
      </c>
      <c r="G876" s="698">
        <v>20</v>
      </c>
      <c r="H876" s="698">
        <v>0</v>
      </c>
      <c r="I876" s="699">
        <v>8.1500000000000003E-2</v>
      </c>
      <c r="J876" s="699">
        <v>8.1500000000000003E-2</v>
      </c>
      <c r="K876" s="699">
        <v>8.1500000000000003E-2</v>
      </c>
      <c r="L876" s="697">
        <v>3</v>
      </c>
    </row>
    <row r="877" spans="1:12">
      <c r="A877" s="695">
        <v>45218</v>
      </c>
      <c r="B877" s="696" t="s">
        <v>3900</v>
      </c>
      <c r="C877" s="697">
        <v>252</v>
      </c>
      <c r="D877" s="695">
        <v>45470</v>
      </c>
      <c r="E877" s="698">
        <v>20</v>
      </c>
      <c r="F877" s="698">
        <v>36.61</v>
      </c>
      <c r="G877" s="698">
        <v>20</v>
      </c>
      <c r="H877" s="698">
        <v>0</v>
      </c>
      <c r="I877" s="699">
        <v>8.2799999999999999E-2</v>
      </c>
      <c r="J877" s="699">
        <v>8.2799999999999999E-2</v>
      </c>
      <c r="K877" s="699">
        <v>8.2799999999999999E-2</v>
      </c>
      <c r="L877" s="697">
        <v>1</v>
      </c>
    </row>
    <row r="878" spans="1:12">
      <c r="A878" s="695">
        <v>45224</v>
      </c>
      <c r="B878" s="696" t="s">
        <v>3901</v>
      </c>
      <c r="C878" s="697">
        <v>168</v>
      </c>
      <c r="D878" s="695">
        <v>45392</v>
      </c>
      <c r="E878" s="698">
        <v>20</v>
      </c>
      <c r="F878" s="698">
        <v>33.19</v>
      </c>
      <c r="G878" s="698">
        <v>20</v>
      </c>
      <c r="H878" s="698">
        <v>0</v>
      </c>
      <c r="I878" s="699">
        <v>8.0500000000000002E-2</v>
      </c>
      <c r="J878" s="699">
        <v>8.1500000000000003E-2</v>
      </c>
      <c r="K878" s="699">
        <v>8.09E-2</v>
      </c>
      <c r="L878" s="697">
        <v>4</v>
      </c>
    </row>
    <row r="879" spans="1:12">
      <c r="A879" s="695">
        <v>45225</v>
      </c>
      <c r="B879" s="696" t="s">
        <v>3902</v>
      </c>
      <c r="C879" s="697">
        <v>252</v>
      </c>
      <c r="D879" s="695">
        <v>45477</v>
      </c>
      <c r="E879" s="698">
        <v>20</v>
      </c>
      <c r="F879" s="698">
        <v>41.21</v>
      </c>
      <c r="G879" s="698">
        <v>20</v>
      </c>
      <c r="H879" s="698">
        <v>0</v>
      </c>
      <c r="I879" s="699">
        <v>8.1900000000000001E-2</v>
      </c>
      <c r="J879" s="699">
        <v>8.2299999999999998E-2</v>
      </c>
      <c r="K879" s="699">
        <v>8.2100000000000006E-2</v>
      </c>
      <c r="L879" s="697">
        <v>4</v>
      </c>
    </row>
    <row r="880" spans="1:12">
      <c r="A880" s="695">
        <v>45232</v>
      </c>
      <c r="B880" s="696" t="s">
        <v>3912</v>
      </c>
      <c r="C880" s="697">
        <v>252</v>
      </c>
      <c r="D880" s="695">
        <v>45484</v>
      </c>
      <c r="E880" s="698">
        <v>20</v>
      </c>
      <c r="F880" s="698">
        <v>32.71</v>
      </c>
      <c r="G880" s="698">
        <v>20</v>
      </c>
      <c r="H880" s="698">
        <v>0</v>
      </c>
      <c r="I880" s="699">
        <v>7.8E-2</v>
      </c>
      <c r="J880" s="699">
        <v>8.1000000000000003E-2</v>
      </c>
      <c r="K880" s="699">
        <v>8.0199999999999994E-2</v>
      </c>
      <c r="L880" s="697">
        <v>6</v>
      </c>
    </row>
    <row r="881" spans="1:12">
      <c r="A881" s="695">
        <v>45245</v>
      </c>
      <c r="B881" s="696" t="s">
        <v>3913</v>
      </c>
      <c r="C881" s="697">
        <v>168</v>
      </c>
      <c r="D881" s="695">
        <v>45413</v>
      </c>
      <c r="E881" s="698">
        <v>20</v>
      </c>
      <c r="F881" s="698">
        <v>50.36</v>
      </c>
      <c r="G881" s="698">
        <v>20</v>
      </c>
      <c r="H881" s="698">
        <v>0</v>
      </c>
      <c r="I881" s="699">
        <v>7.6799999999999993E-2</v>
      </c>
      <c r="J881" s="699">
        <v>7.6799999999999993E-2</v>
      </c>
      <c r="K881" s="699">
        <v>7.6799999999999993E-2</v>
      </c>
      <c r="L881" s="697">
        <v>5</v>
      </c>
    </row>
    <row r="882" spans="1:12">
      <c r="A882" s="695">
        <v>45246</v>
      </c>
      <c r="B882" s="696" t="s">
        <v>3914</v>
      </c>
      <c r="C882" s="697">
        <v>252</v>
      </c>
      <c r="D882" s="695">
        <v>45498</v>
      </c>
      <c r="E882" s="698">
        <v>20</v>
      </c>
      <c r="F882" s="698">
        <v>57.27</v>
      </c>
      <c r="G882" s="698">
        <v>20</v>
      </c>
      <c r="H882" s="698">
        <v>0</v>
      </c>
      <c r="I882" s="699">
        <v>7.7499999999999999E-2</v>
      </c>
      <c r="J882" s="699">
        <v>7.85E-2</v>
      </c>
      <c r="K882" s="699">
        <v>7.8399999999999997E-2</v>
      </c>
      <c r="L882" s="697">
        <v>7</v>
      </c>
    </row>
    <row r="883" spans="1:12">
      <c r="A883" s="695">
        <v>45252</v>
      </c>
      <c r="B883" s="696" t="s">
        <v>3915</v>
      </c>
      <c r="C883" s="697">
        <v>168</v>
      </c>
      <c r="D883" s="695">
        <v>45420</v>
      </c>
      <c r="E883" s="698">
        <v>20</v>
      </c>
      <c r="F883" s="698">
        <v>28.44</v>
      </c>
      <c r="G883" s="698">
        <v>20</v>
      </c>
      <c r="H883" s="698">
        <v>0</v>
      </c>
      <c r="I883" s="699">
        <v>7.5999999999999998E-2</v>
      </c>
      <c r="J883" s="699">
        <v>7.6999999999999999E-2</v>
      </c>
      <c r="K883" s="699">
        <v>7.6700000000000004E-2</v>
      </c>
      <c r="L883" s="697">
        <v>7</v>
      </c>
    </row>
    <row r="884" spans="1:12">
      <c r="A884" s="695">
        <v>45253</v>
      </c>
      <c r="B884" s="696" t="s">
        <v>3916</v>
      </c>
      <c r="C884" s="697">
        <v>252</v>
      </c>
      <c r="D884" s="695">
        <v>45505</v>
      </c>
      <c r="E884" s="698">
        <v>20</v>
      </c>
      <c r="F884" s="698">
        <v>33.07</v>
      </c>
      <c r="G884" s="698">
        <v>20</v>
      </c>
      <c r="H884" s="698">
        <v>0</v>
      </c>
      <c r="I884" s="699">
        <v>7.8E-2</v>
      </c>
      <c r="J884" s="699">
        <v>7.8399999999999997E-2</v>
      </c>
      <c r="K884" s="699">
        <v>7.8200000000000006E-2</v>
      </c>
      <c r="L884" s="697">
        <v>8</v>
      </c>
    </row>
    <row r="885" spans="1:12">
      <c r="A885" s="695">
        <v>45259</v>
      </c>
      <c r="B885" s="696" t="s">
        <v>3917</v>
      </c>
      <c r="C885" s="697">
        <v>28</v>
      </c>
      <c r="D885" s="695">
        <v>45287</v>
      </c>
      <c r="E885" s="698">
        <v>20</v>
      </c>
      <c r="F885" s="698">
        <v>38.090000000000003</v>
      </c>
      <c r="G885" s="698">
        <v>20</v>
      </c>
      <c r="H885" s="698">
        <v>0</v>
      </c>
      <c r="I885" s="699">
        <v>7.3999999999999996E-2</v>
      </c>
      <c r="J885" s="699">
        <v>7.9799999999999996E-2</v>
      </c>
      <c r="K885" s="699">
        <v>7.8600000000000003E-2</v>
      </c>
      <c r="L885" s="697">
        <v>6</v>
      </c>
    </row>
    <row r="886" spans="1:12">
      <c r="A886" s="695">
        <v>45266</v>
      </c>
      <c r="B886" s="696" t="s">
        <v>3963</v>
      </c>
      <c r="C886" s="697">
        <v>168</v>
      </c>
      <c r="D886" s="695">
        <v>45434</v>
      </c>
      <c r="E886" s="698">
        <v>20</v>
      </c>
      <c r="F886" s="698">
        <v>28.45</v>
      </c>
      <c r="G886" s="698">
        <v>20</v>
      </c>
      <c r="H886" s="698">
        <v>0</v>
      </c>
      <c r="I886" s="699">
        <v>7.5999999999999998E-2</v>
      </c>
      <c r="J886" s="699">
        <v>7.8E-2</v>
      </c>
      <c r="K886" s="699">
        <v>7.7200000000000005E-2</v>
      </c>
      <c r="L886" s="697">
        <v>7</v>
      </c>
    </row>
    <row r="887" spans="1:12">
      <c r="A887" s="695">
        <v>45267</v>
      </c>
      <c r="B887" s="696" t="s">
        <v>3964</v>
      </c>
      <c r="C887" s="697">
        <v>252</v>
      </c>
      <c r="D887" s="695">
        <v>45519</v>
      </c>
      <c r="E887" s="698">
        <v>20</v>
      </c>
      <c r="F887" s="698">
        <v>23.49</v>
      </c>
      <c r="G887" s="698">
        <v>20</v>
      </c>
      <c r="H887" s="698">
        <v>0</v>
      </c>
      <c r="I887" s="699">
        <v>7.5999999999999998E-2</v>
      </c>
      <c r="J887" s="699">
        <v>7.9000000000000001E-2</v>
      </c>
      <c r="K887" s="699">
        <v>7.8200000000000006E-2</v>
      </c>
      <c r="L887" s="697">
        <v>7</v>
      </c>
    </row>
    <row r="888" spans="1:12">
      <c r="A888" s="695">
        <v>45273</v>
      </c>
      <c r="B888" s="696" t="s">
        <v>3965</v>
      </c>
      <c r="C888" s="697">
        <v>28</v>
      </c>
      <c r="D888" s="695">
        <v>45301</v>
      </c>
      <c r="E888" s="698">
        <v>20</v>
      </c>
      <c r="F888" s="698">
        <v>41.6</v>
      </c>
      <c r="G888" s="698">
        <v>20</v>
      </c>
      <c r="H888" s="698">
        <v>0</v>
      </c>
      <c r="I888" s="699">
        <v>7.0000000000000007E-2</v>
      </c>
      <c r="J888" s="699">
        <v>7.85E-2</v>
      </c>
      <c r="K888" s="699">
        <v>7.7600000000000002E-2</v>
      </c>
      <c r="L888" s="697">
        <v>6</v>
      </c>
    </row>
    <row r="889" spans="1:12">
      <c r="A889" s="695">
        <v>45274</v>
      </c>
      <c r="B889" s="696" t="s">
        <v>3966</v>
      </c>
      <c r="C889" s="697">
        <v>84</v>
      </c>
      <c r="D889" s="695">
        <v>45358</v>
      </c>
      <c r="E889" s="698">
        <v>20</v>
      </c>
      <c r="F889" s="698">
        <v>36.770000000000003</v>
      </c>
      <c r="G889" s="698">
        <v>20</v>
      </c>
      <c r="H889" s="698">
        <v>0</v>
      </c>
      <c r="I889" s="699">
        <v>7.4999999999999997E-2</v>
      </c>
      <c r="J889" s="699">
        <v>0.08</v>
      </c>
      <c r="K889" s="699">
        <v>7.8700000000000006E-2</v>
      </c>
      <c r="L889" s="697">
        <v>6</v>
      </c>
    </row>
    <row r="890" spans="1:12">
      <c r="A890" s="695">
        <v>45280</v>
      </c>
      <c r="B890" s="696" t="s">
        <v>3967</v>
      </c>
      <c r="C890" s="697">
        <v>168</v>
      </c>
      <c r="D890" s="695">
        <v>45448</v>
      </c>
      <c r="E890" s="698">
        <v>20</v>
      </c>
      <c r="F890" s="698">
        <v>37.619999999999997</v>
      </c>
      <c r="G890" s="698">
        <v>20</v>
      </c>
      <c r="H890" s="698">
        <v>0</v>
      </c>
      <c r="I890" s="699">
        <v>7.0000000000000007E-2</v>
      </c>
      <c r="J890" s="699">
        <v>7.6499999999999999E-2</v>
      </c>
      <c r="K890" s="699">
        <v>7.5399999999999995E-2</v>
      </c>
      <c r="L890" s="697">
        <v>8</v>
      </c>
    </row>
    <row r="891" spans="1:12">
      <c r="A891" s="695">
        <v>45281</v>
      </c>
      <c r="B891" s="696" t="s">
        <v>3968</v>
      </c>
      <c r="C891" s="697">
        <v>252</v>
      </c>
      <c r="D891" s="695">
        <v>45533</v>
      </c>
      <c r="E891" s="698">
        <v>20</v>
      </c>
      <c r="F891" s="698">
        <v>37.67</v>
      </c>
      <c r="G891" s="698">
        <v>20</v>
      </c>
      <c r="H891" s="698">
        <v>0</v>
      </c>
      <c r="I891" s="699">
        <v>7.4999999999999997E-2</v>
      </c>
      <c r="J891" s="699">
        <v>7.4999999999999997E-2</v>
      </c>
      <c r="K891" s="699">
        <v>7.4999999999999997E-2</v>
      </c>
      <c r="L891" s="697">
        <v>7</v>
      </c>
    </row>
    <row r="892" spans="1:12">
      <c r="A892" s="695">
        <v>45287</v>
      </c>
      <c r="B892" s="696" t="s">
        <v>3969</v>
      </c>
      <c r="C892" s="697">
        <v>28</v>
      </c>
      <c r="D892" s="695">
        <v>45315</v>
      </c>
      <c r="E892" s="698">
        <v>20</v>
      </c>
      <c r="F892" s="698">
        <v>55.16</v>
      </c>
      <c r="G892" s="698">
        <v>20</v>
      </c>
      <c r="H892" s="698">
        <v>0</v>
      </c>
      <c r="I892" s="699">
        <v>7.0999999999999994E-2</v>
      </c>
      <c r="J892" s="699">
        <v>7.1099999999999997E-2</v>
      </c>
      <c r="K892" s="699">
        <v>7.1099999999999997E-2</v>
      </c>
      <c r="L892" s="697">
        <v>6</v>
      </c>
    </row>
    <row r="893" spans="1:12">
      <c r="A893" s="695">
        <v>45288</v>
      </c>
      <c r="B893" s="696" t="s">
        <v>3970</v>
      </c>
      <c r="C893" s="697">
        <v>84</v>
      </c>
      <c r="D893" s="695">
        <v>45372</v>
      </c>
      <c r="E893" s="698">
        <v>20</v>
      </c>
      <c r="F893" s="698">
        <v>43.27</v>
      </c>
      <c r="G893" s="698">
        <v>20</v>
      </c>
      <c r="H893" s="698">
        <v>0</v>
      </c>
      <c r="I893" s="699">
        <v>7.0000000000000007E-2</v>
      </c>
      <c r="J893" s="699">
        <v>7.3899999999999993E-2</v>
      </c>
      <c r="K893" s="699">
        <v>7.2300000000000003E-2</v>
      </c>
      <c r="L893" s="697">
        <v>6</v>
      </c>
    </row>
    <row r="894" spans="1:12">
      <c r="A894" s="1661">
        <v>2024</v>
      </c>
      <c r="B894" s="696"/>
      <c r="C894" s="697"/>
      <c r="D894" s="695"/>
      <c r="E894" s="698"/>
      <c r="F894" s="698"/>
      <c r="G894" s="698"/>
      <c r="H894" s="698"/>
      <c r="I894" s="699"/>
      <c r="J894" s="699"/>
      <c r="K894" s="699"/>
      <c r="L894" s="697"/>
    </row>
    <row r="895" spans="1:12">
      <c r="A895" s="695">
        <v>45301</v>
      </c>
      <c r="B895" s="696" t="s">
        <v>3972</v>
      </c>
      <c r="C895" s="697">
        <v>28</v>
      </c>
      <c r="D895" s="695">
        <v>45329</v>
      </c>
      <c r="E895" s="698">
        <v>20</v>
      </c>
      <c r="F895" s="698">
        <v>69</v>
      </c>
      <c r="G895" s="698">
        <v>20</v>
      </c>
      <c r="H895" s="698">
        <v>0</v>
      </c>
      <c r="I895" s="699">
        <v>6.9000000000000006E-2</v>
      </c>
      <c r="J895" s="699">
        <v>6.9699999999999998E-2</v>
      </c>
      <c r="K895" s="699">
        <v>6.9400000000000003E-2</v>
      </c>
      <c r="L895" s="697">
        <v>8</v>
      </c>
    </row>
    <row r="896" spans="1:12">
      <c r="A896" s="695">
        <v>45302</v>
      </c>
      <c r="B896" s="696" t="s">
        <v>3973</v>
      </c>
      <c r="C896" s="697">
        <v>84</v>
      </c>
      <c r="D896" s="695">
        <v>45386</v>
      </c>
      <c r="E896" s="698">
        <v>20</v>
      </c>
      <c r="F896" s="698">
        <v>47.2</v>
      </c>
      <c r="G896" s="698">
        <v>20</v>
      </c>
      <c r="H896" s="698">
        <v>0</v>
      </c>
      <c r="I896" s="699">
        <v>6.9500000000000006E-2</v>
      </c>
      <c r="J896" s="699">
        <v>7.0000000000000007E-2</v>
      </c>
      <c r="K896" s="699">
        <v>6.9699999999999998E-2</v>
      </c>
      <c r="L896" s="697">
        <v>6</v>
      </c>
    </row>
    <row r="897" spans="1:12">
      <c r="A897" s="695">
        <v>45308</v>
      </c>
      <c r="B897" s="696" t="s">
        <v>3974</v>
      </c>
      <c r="C897" s="697">
        <v>168</v>
      </c>
      <c r="D897" s="695">
        <v>45476</v>
      </c>
      <c r="E897" s="698">
        <v>20</v>
      </c>
      <c r="F897" s="698">
        <v>70.2</v>
      </c>
      <c r="G897" s="698">
        <v>20</v>
      </c>
      <c r="H897" s="698">
        <v>0</v>
      </c>
      <c r="I897" s="699">
        <v>6.9500000000000006E-2</v>
      </c>
      <c r="J897" s="699">
        <v>7.1900000000000006E-2</v>
      </c>
      <c r="K897" s="699">
        <v>7.1099999999999997E-2</v>
      </c>
      <c r="L897" s="697">
        <v>10</v>
      </c>
    </row>
    <row r="898" spans="1:12">
      <c r="A898" s="695">
        <v>45309</v>
      </c>
      <c r="B898" s="696" t="s">
        <v>3975</v>
      </c>
      <c r="C898" s="697">
        <v>252</v>
      </c>
      <c r="D898" s="695">
        <v>45561</v>
      </c>
      <c r="E898" s="698">
        <v>20</v>
      </c>
      <c r="F898" s="698">
        <v>88.7</v>
      </c>
      <c r="G898" s="698">
        <v>20</v>
      </c>
      <c r="H898" s="698">
        <v>0</v>
      </c>
      <c r="I898" s="699">
        <v>7.0699999999999999E-2</v>
      </c>
      <c r="J898" s="699">
        <v>7.1300000000000002E-2</v>
      </c>
      <c r="K898" s="699">
        <v>7.0800000000000002E-2</v>
      </c>
      <c r="L898" s="697">
        <v>9</v>
      </c>
    </row>
    <row r="899" spans="1:12">
      <c r="A899" s="695">
        <v>45315</v>
      </c>
      <c r="B899" s="696" t="s">
        <v>3976</v>
      </c>
      <c r="C899" s="697">
        <v>28</v>
      </c>
      <c r="D899" s="695">
        <v>45343</v>
      </c>
      <c r="E899" s="698">
        <v>20</v>
      </c>
      <c r="F899" s="698">
        <v>45.5</v>
      </c>
      <c r="G899" s="698">
        <v>20</v>
      </c>
      <c r="H899" s="698">
        <v>0</v>
      </c>
      <c r="I899" s="699">
        <v>6.8000000000000005E-2</v>
      </c>
      <c r="J899" s="699">
        <v>6.8000000000000005E-2</v>
      </c>
      <c r="K899" s="699">
        <v>6.8000000000000005E-2</v>
      </c>
      <c r="L899" s="697">
        <v>8</v>
      </c>
    </row>
    <row r="900" spans="1:12">
      <c r="A900" s="695">
        <v>45316</v>
      </c>
      <c r="B900" s="696" t="s">
        <v>3977</v>
      </c>
      <c r="C900" s="697">
        <v>84</v>
      </c>
      <c r="D900" s="695">
        <v>45400</v>
      </c>
      <c r="E900" s="698">
        <v>20</v>
      </c>
      <c r="F900" s="698">
        <v>83.4</v>
      </c>
      <c r="G900" s="698">
        <v>20</v>
      </c>
      <c r="H900" s="698">
        <v>0</v>
      </c>
      <c r="I900" s="699">
        <v>6.7799999999999999E-2</v>
      </c>
      <c r="J900" s="699">
        <v>6.8000000000000005E-2</v>
      </c>
      <c r="K900" s="699">
        <v>6.8000000000000005E-2</v>
      </c>
      <c r="L900" s="697">
        <v>10</v>
      </c>
    </row>
    <row r="901" spans="1:12">
      <c r="A901" s="695">
        <v>45322</v>
      </c>
      <c r="B901" s="696" t="s">
        <v>3978</v>
      </c>
      <c r="C901" s="697">
        <v>28</v>
      </c>
      <c r="D901" s="695">
        <v>45350</v>
      </c>
      <c r="E901" s="698">
        <v>30</v>
      </c>
      <c r="F901" s="698">
        <v>40.5</v>
      </c>
      <c r="G901" s="698">
        <v>30</v>
      </c>
      <c r="H901" s="698">
        <v>0</v>
      </c>
      <c r="I901" s="699">
        <v>6.6000000000000003E-2</v>
      </c>
      <c r="J901" s="699">
        <v>6.6000000000000003E-2</v>
      </c>
      <c r="K901" s="699">
        <v>6.6000000000000003E-2</v>
      </c>
      <c r="L901" s="697">
        <v>6</v>
      </c>
    </row>
    <row r="902" spans="1:12">
      <c r="A902" s="695">
        <v>45322</v>
      </c>
      <c r="B902" s="696" t="s">
        <v>3979</v>
      </c>
      <c r="C902" s="697">
        <v>168</v>
      </c>
      <c r="D902" s="695">
        <v>45490</v>
      </c>
      <c r="E902" s="698">
        <v>30</v>
      </c>
      <c r="F902" s="698">
        <v>70.400000000000006</v>
      </c>
      <c r="G902" s="698">
        <v>30</v>
      </c>
      <c r="H902" s="698">
        <v>0</v>
      </c>
      <c r="I902" s="699">
        <v>6.7000000000000004E-2</v>
      </c>
      <c r="J902" s="699">
        <v>6.7900000000000002E-2</v>
      </c>
      <c r="K902" s="699">
        <v>6.7100000000000007E-2</v>
      </c>
      <c r="L902" s="697">
        <v>9</v>
      </c>
    </row>
    <row r="903" spans="1:12">
      <c r="A903" s="695">
        <v>45323</v>
      </c>
      <c r="B903" s="696" t="s">
        <v>3989</v>
      </c>
      <c r="C903" s="697">
        <v>84</v>
      </c>
      <c r="D903" s="695">
        <v>45407</v>
      </c>
      <c r="E903" s="698">
        <v>30</v>
      </c>
      <c r="F903" s="698">
        <v>44</v>
      </c>
      <c r="G903" s="698">
        <v>30</v>
      </c>
      <c r="H903" s="698">
        <v>0</v>
      </c>
      <c r="I903" s="699">
        <v>6.6000000000000003E-2</v>
      </c>
      <c r="J903" s="699">
        <v>6.7000000000000004E-2</v>
      </c>
      <c r="K903" s="699">
        <v>6.6500000000000004E-2</v>
      </c>
      <c r="L903" s="697">
        <v>5</v>
      </c>
    </row>
    <row r="904" spans="1:12">
      <c r="A904" s="695">
        <v>45323</v>
      </c>
      <c r="B904" s="696" t="s">
        <v>3990</v>
      </c>
      <c r="C904" s="697">
        <v>252</v>
      </c>
      <c r="D904" s="695">
        <v>45575</v>
      </c>
      <c r="E904" s="698">
        <v>30</v>
      </c>
      <c r="F904" s="698">
        <v>71.900000000000006</v>
      </c>
      <c r="G904" s="698">
        <v>30</v>
      </c>
      <c r="H904" s="698">
        <v>0</v>
      </c>
      <c r="I904" s="699">
        <v>6.7000000000000004E-2</v>
      </c>
      <c r="J904" s="699">
        <v>6.7799999999999999E-2</v>
      </c>
      <c r="K904" s="699">
        <v>6.7199999999999996E-2</v>
      </c>
      <c r="L904" s="697">
        <v>8</v>
      </c>
    </row>
    <row r="905" spans="1:12">
      <c r="A905" s="695">
        <v>45330</v>
      </c>
      <c r="B905" s="696" t="s">
        <v>3991</v>
      </c>
      <c r="C905" s="697">
        <v>28</v>
      </c>
      <c r="D905" s="695">
        <v>45358</v>
      </c>
      <c r="E905" s="698">
        <v>30</v>
      </c>
      <c r="F905" s="698">
        <v>34</v>
      </c>
      <c r="G905" s="698">
        <v>30</v>
      </c>
      <c r="H905" s="698">
        <v>0</v>
      </c>
      <c r="I905" s="699">
        <v>6.25E-2</v>
      </c>
      <c r="J905" s="699">
        <v>6.4000000000000001E-2</v>
      </c>
      <c r="K905" s="699">
        <v>6.3899999999999998E-2</v>
      </c>
      <c r="L905" s="697">
        <v>5</v>
      </c>
    </row>
    <row r="906" spans="1:12">
      <c r="A906" s="695">
        <v>45330</v>
      </c>
      <c r="B906" s="696" t="s">
        <v>3992</v>
      </c>
      <c r="C906" s="697">
        <v>168</v>
      </c>
      <c r="D906" s="695">
        <v>45498</v>
      </c>
      <c r="E906" s="698">
        <v>30</v>
      </c>
      <c r="F906" s="698">
        <v>35.799999999999997</v>
      </c>
      <c r="G906" s="698">
        <v>30</v>
      </c>
      <c r="H906" s="698">
        <v>0</v>
      </c>
      <c r="I906" s="699">
        <v>6.6000000000000003E-2</v>
      </c>
      <c r="J906" s="699">
        <v>6.7000000000000004E-2</v>
      </c>
      <c r="K906" s="699">
        <v>6.6199999999999995E-2</v>
      </c>
      <c r="L906" s="697">
        <v>7</v>
      </c>
    </row>
    <row r="907" spans="1:12">
      <c r="A907" s="695">
        <v>45330</v>
      </c>
      <c r="B907" s="696" t="s">
        <v>3993</v>
      </c>
      <c r="C907" s="697">
        <v>252</v>
      </c>
      <c r="D907" s="695">
        <v>45582</v>
      </c>
      <c r="E907" s="698">
        <v>30</v>
      </c>
      <c r="F907" s="698">
        <v>37.299999999999997</v>
      </c>
      <c r="G907" s="698">
        <v>30</v>
      </c>
      <c r="H907" s="698">
        <v>0</v>
      </c>
      <c r="I907" s="699">
        <v>6.6500000000000004E-2</v>
      </c>
      <c r="J907" s="699">
        <v>6.7000000000000004E-2</v>
      </c>
      <c r="K907" s="699">
        <v>6.6600000000000006E-2</v>
      </c>
      <c r="L907" s="697">
        <v>8</v>
      </c>
    </row>
    <row r="908" spans="1:12">
      <c r="A908" s="695">
        <v>45336</v>
      </c>
      <c r="B908" s="696" t="s">
        <v>3994</v>
      </c>
      <c r="C908" s="697">
        <v>168</v>
      </c>
      <c r="D908" s="695">
        <v>45504</v>
      </c>
      <c r="E908" s="698">
        <v>30</v>
      </c>
      <c r="F908" s="698">
        <v>32.700000000000003</v>
      </c>
      <c r="G908" s="698">
        <v>30</v>
      </c>
      <c r="H908" s="698">
        <v>0</v>
      </c>
      <c r="I908" s="699">
        <v>6.6500000000000004E-2</v>
      </c>
      <c r="J908" s="699">
        <v>6.83E-2</v>
      </c>
      <c r="K908" s="699">
        <v>6.7100000000000007E-2</v>
      </c>
      <c r="L908" s="697">
        <v>6</v>
      </c>
    </row>
    <row r="909" spans="1:12">
      <c r="A909" s="695">
        <v>45337</v>
      </c>
      <c r="B909" s="696" t="s">
        <v>3995</v>
      </c>
      <c r="C909" s="697">
        <v>84</v>
      </c>
      <c r="D909" s="695">
        <v>45421</v>
      </c>
      <c r="E909" s="698">
        <v>30</v>
      </c>
      <c r="F909" s="698">
        <v>29.9</v>
      </c>
      <c r="G909" s="698">
        <v>29.9</v>
      </c>
      <c r="H909" s="698">
        <v>0</v>
      </c>
      <c r="I909" s="699">
        <v>6.2E-2</v>
      </c>
      <c r="J909" s="699">
        <v>6.7799999999999999E-2</v>
      </c>
      <c r="K909" s="699">
        <v>6.6400000000000001E-2</v>
      </c>
      <c r="L909" s="697">
        <v>5</v>
      </c>
    </row>
    <row r="910" spans="1:12">
      <c r="A910" s="695">
        <v>45337</v>
      </c>
      <c r="B910" s="696" t="s">
        <v>3996</v>
      </c>
      <c r="C910" s="697">
        <v>252</v>
      </c>
      <c r="D910" s="695">
        <v>45589</v>
      </c>
      <c r="E910" s="698">
        <v>30</v>
      </c>
      <c r="F910" s="698">
        <v>41</v>
      </c>
      <c r="G910" s="698">
        <v>30</v>
      </c>
      <c r="H910" s="698">
        <v>0</v>
      </c>
      <c r="I910" s="699">
        <v>6.3E-2</v>
      </c>
      <c r="J910" s="699">
        <v>6.7000000000000004E-2</v>
      </c>
      <c r="K910" s="699">
        <v>6.6600000000000006E-2</v>
      </c>
      <c r="L910" s="697">
        <v>7</v>
      </c>
    </row>
    <row r="911" spans="1:12">
      <c r="A911" s="695">
        <v>45343</v>
      </c>
      <c r="B911" s="696" t="s">
        <v>3997</v>
      </c>
      <c r="C911" s="697">
        <v>168</v>
      </c>
      <c r="D911" s="695">
        <v>45511</v>
      </c>
      <c r="E911" s="698">
        <v>30</v>
      </c>
      <c r="F911" s="698">
        <v>42.7</v>
      </c>
      <c r="G911" s="698">
        <v>30</v>
      </c>
      <c r="H911" s="698">
        <v>0</v>
      </c>
      <c r="I911" s="699">
        <v>6.7000000000000004E-2</v>
      </c>
      <c r="J911" s="699">
        <v>6.7900000000000002E-2</v>
      </c>
      <c r="K911" s="699">
        <v>6.7699999999999996E-2</v>
      </c>
      <c r="L911" s="697">
        <v>8</v>
      </c>
    </row>
    <row r="912" spans="1:12">
      <c r="A912" s="695">
        <v>45344</v>
      </c>
      <c r="B912" s="696" t="s">
        <v>3998</v>
      </c>
      <c r="C912" s="697">
        <v>84</v>
      </c>
      <c r="D912" s="695">
        <v>45428</v>
      </c>
      <c r="E912" s="698">
        <v>30</v>
      </c>
      <c r="F912" s="698">
        <v>31.8</v>
      </c>
      <c r="G912" s="698">
        <v>30</v>
      </c>
      <c r="H912" s="698">
        <v>0</v>
      </c>
      <c r="I912" s="699">
        <v>6.7400000000000002E-2</v>
      </c>
      <c r="J912" s="699">
        <v>6.8000000000000005E-2</v>
      </c>
      <c r="K912" s="699">
        <v>6.7500000000000004E-2</v>
      </c>
      <c r="L912" s="697">
        <v>5</v>
      </c>
    </row>
    <row r="913" spans="1:12">
      <c r="A913" s="695">
        <v>45344</v>
      </c>
      <c r="B913" s="696" t="s">
        <v>3999</v>
      </c>
      <c r="C913" s="697">
        <v>252</v>
      </c>
      <c r="D913" s="695">
        <v>45596</v>
      </c>
      <c r="E913" s="698">
        <v>30</v>
      </c>
      <c r="F913" s="698">
        <v>45.5</v>
      </c>
      <c r="G913" s="698">
        <v>30</v>
      </c>
      <c r="H913" s="698">
        <v>0</v>
      </c>
      <c r="I913" s="699">
        <v>6.7000000000000004E-2</v>
      </c>
      <c r="J913" s="699">
        <v>6.8000000000000005E-2</v>
      </c>
      <c r="K913" s="699">
        <v>6.8000000000000005E-2</v>
      </c>
      <c r="L913" s="697">
        <v>8</v>
      </c>
    </row>
    <row r="914" spans="1:12">
      <c r="A914" s="695">
        <v>45350</v>
      </c>
      <c r="B914" s="696" t="s">
        <v>4000</v>
      </c>
      <c r="C914" s="697">
        <v>168</v>
      </c>
      <c r="D914" s="695">
        <v>45518</v>
      </c>
      <c r="E914" s="698">
        <v>30</v>
      </c>
      <c r="F914" s="698">
        <v>36.299999999999997</v>
      </c>
      <c r="G914" s="698">
        <v>30</v>
      </c>
      <c r="H914" s="698">
        <v>0</v>
      </c>
      <c r="I914" s="699">
        <v>6.7699999999999996E-2</v>
      </c>
      <c r="J914" s="699">
        <v>6.8000000000000005E-2</v>
      </c>
      <c r="K914" s="699">
        <v>6.7900000000000002E-2</v>
      </c>
      <c r="L914" s="697">
        <v>5</v>
      </c>
    </row>
    <row r="915" spans="1:12">
      <c r="A915" s="695">
        <v>45357</v>
      </c>
      <c r="B915" s="696" t="s">
        <v>4012</v>
      </c>
      <c r="C915" s="697">
        <v>28</v>
      </c>
      <c r="D915" s="695">
        <v>45385</v>
      </c>
      <c r="E915" s="698">
        <v>30</v>
      </c>
      <c r="F915" s="698">
        <v>45.6</v>
      </c>
      <c r="G915" s="698">
        <v>30</v>
      </c>
      <c r="H915" s="698">
        <v>0</v>
      </c>
      <c r="I915" s="699">
        <v>6.4500000000000002E-2</v>
      </c>
      <c r="J915" s="699">
        <v>7.1499999999999994E-2</v>
      </c>
      <c r="K915" s="699">
        <v>6.6799999999999998E-2</v>
      </c>
      <c r="L915" s="697">
        <v>5</v>
      </c>
    </row>
    <row r="916" spans="1:12">
      <c r="A916" s="695">
        <v>45358</v>
      </c>
      <c r="B916" s="696" t="s">
        <v>4013</v>
      </c>
      <c r="C916" s="697">
        <v>84</v>
      </c>
      <c r="D916" s="695">
        <v>45442</v>
      </c>
      <c r="E916" s="698">
        <v>30</v>
      </c>
      <c r="F916" s="698">
        <v>37.9</v>
      </c>
      <c r="G916" s="698">
        <v>30</v>
      </c>
      <c r="H916" s="698">
        <v>0</v>
      </c>
      <c r="I916" s="699">
        <v>6.6900000000000001E-2</v>
      </c>
      <c r="J916" s="699">
        <v>7.0999999999999994E-2</v>
      </c>
      <c r="K916" s="699">
        <v>6.83E-2</v>
      </c>
      <c r="L916" s="697">
        <v>5</v>
      </c>
    </row>
    <row r="917" spans="1:12">
      <c r="A917" s="695">
        <v>45358</v>
      </c>
      <c r="B917" s="696" t="s">
        <v>4014</v>
      </c>
      <c r="C917" s="697">
        <v>252</v>
      </c>
      <c r="D917" s="695">
        <v>45610</v>
      </c>
      <c r="E917" s="698">
        <v>30</v>
      </c>
      <c r="F917" s="698">
        <v>41</v>
      </c>
      <c r="G917" s="698">
        <v>30</v>
      </c>
      <c r="H917" s="698">
        <v>0</v>
      </c>
      <c r="I917" s="699">
        <v>6.88E-2</v>
      </c>
      <c r="J917" s="699">
        <v>6.9500000000000006E-2</v>
      </c>
      <c r="K917" s="699">
        <v>6.8900000000000003E-2</v>
      </c>
      <c r="L917" s="697">
        <v>5</v>
      </c>
    </row>
    <row r="918" spans="1:12">
      <c r="A918" s="695">
        <v>45364</v>
      </c>
      <c r="B918" s="696" t="s">
        <v>4015</v>
      </c>
      <c r="C918" s="697">
        <v>28</v>
      </c>
      <c r="D918" s="695">
        <v>45392</v>
      </c>
      <c r="E918" s="698">
        <v>30</v>
      </c>
      <c r="F918" s="698">
        <v>58.1</v>
      </c>
      <c r="G918" s="698">
        <v>30</v>
      </c>
      <c r="H918" s="698">
        <v>0</v>
      </c>
      <c r="I918" s="699">
        <v>6.5000000000000002E-2</v>
      </c>
      <c r="J918" s="699">
        <v>6.8900000000000003E-2</v>
      </c>
      <c r="K918" s="699">
        <v>6.8000000000000005E-2</v>
      </c>
      <c r="L918" s="697">
        <v>3</v>
      </c>
    </row>
    <row r="919" spans="1:12">
      <c r="A919" s="695">
        <v>45364</v>
      </c>
      <c r="B919" s="696" t="s">
        <v>4016</v>
      </c>
      <c r="C919" s="697">
        <v>168</v>
      </c>
      <c r="D919" s="695">
        <v>45532</v>
      </c>
      <c r="E919" s="698">
        <v>30</v>
      </c>
      <c r="F919" s="698">
        <v>54.2</v>
      </c>
      <c r="G919" s="698">
        <v>30</v>
      </c>
      <c r="H919" s="698">
        <v>0</v>
      </c>
      <c r="I919" s="699">
        <v>6.8000000000000005E-2</v>
      </c>
      <c r="J919" s="699">
        <v>6.8900000000000003E-2</v>
      </c>
      <c r="K919" s="699">
        <v>6.8500000000000005E-2</v>
      </c>
      <c r="L919" s="697">
        <v>2</v>
      </c>
    </row>
    <row r="920" spans="1:12">
      <c r="A920" s="695">
        <v>45365</v>
      </c>
      <c r="B920" s="696" t="s">
        <v>4017</v>
      </c>
      <c r="C920" s="697">
        <v>84</v>
      </c>
      <c r="D920" s="695">
        <v>45449</v>
      </c>
      <c r="E920" s="698">
        <v>30</v>
      </c>
      <c r="F920" s="698">
        <v>54.1</v>
      </c>
      <c r="G920" s="698">
        <v>30</v>
      </c>
      <c r="H920" s="698">
        <v>0</v>
      </c>
      <c r="I920" s="699">
        <v>6.8000000000000005E-2</v>
      </c>
      <c r="J920" s="699">
        <v>6.8900000000000003E-2</v>
      </c>
      <c r="K920" s="699">
        <v>6.8500000000000005E-2</v>
      </c>
      <c r="L920" s="697">
        <v>3</v>
      </c>
    </row>
    <row r="921" spans="1:12">
      <c r="A921" s="695">
        <v>45365</v>
      </c>
      <c r="B921" s="696" t="s">
        <v>4018</v>
      </c>
      <c r="C921" s="697">
        <v>252</v>
      </c>
      <c r="D921" s="695">
        <v>45617</v>
      </c>
      <c r="E921" s="698">
        <v>30</v>
      </c>
      <c r="F921" s="698">
        <v>60.8</v>
      </c>
      <c r="G921" s="698">
        <v>30</v>
      </c>
      <c r="H921" s="698">
        <v>0</v>
      </c>
      <c r="I921" s="699">
        <v>6.8900000000000003E-2</v>
      </c>
      <c r="J921" s="699">
        <v>6.9800000000000001E-2</v>
      </c>
      <c r="K921" s="699">
        <v>6.9500000000000006E-2</v>
      </c>
      <c r="L921" s="697">
        <v>7</v>
      </c>
    </row>
    <row r="922" spans="1:12">
      <c r="A922" s="695">
        <v>45378</v>
      </c>
      <c r="B922" s="696" t="s">
        <v>4019</v>
      </c>
      <c r="C922" s="697">
        <v>28</v>
      </c>
      <c r="D922" s="695">
        <v>45406</v>
      </c>
      <c r="E922" s="698">
        <v>40</v>
      </c>
      <c r="F922" s="698">
        <v>65.099999999999994</v>
      </c>
      <c r="G922" s="698">
        <v>40</v>
      </c>
      <c r="H922" s="698">
        <v>0</v>
      </c>
      <c r="I922" s="699">
        <v>6.7500000000000004E-2</v>
      </c>
      <c r="J922" s="699">
        <v>6.8900000000000003E-2</v>
      </c>
      <c r="K922" s="699">
        <v>6.8400000000000002E-2</v>
      </c>
      <c r="L922" s="697">
        <v>3</v>
      </c>
    </row>
    <row r="923" spans="1:12">
      <c r="A923" s="695">
        <v>45379</v>
      </c>
      <c r="B923" s="696" t="s">
        <v>4020</v>
      </c>
      <c r="C923" s="697">
        <v>252</v>
      </c>
      <c r="D923" s="695">
        <v>45631</v>
      </c>
      <c r="E923" s="698">
        <v>40</v>
      </c>
      <c r="F923" s="698">
        <v>13.6</v>
      </c>
      <c r="G923" s="698">
        <v>40</v>
      </c>
      <c r="H923" s="698">
        <v>0</v>
      </c>
      <c r="I923" s="699">
        <v>6.9000000000000006E-2</v>
      </c>
      <c r="J923" s="699">
        <v>0.08</v>
      </c>
      <c r="K923" s="699">
        <v>7.3899999999999993E-2</v>
      </c>
      <c r="L923" s="697">
        <v>5</v>
      </c>
    </row>
    <row r="924" spans="1:12">
      <c r="A924" s="695">
        <v>45385</v>
      </c>
      <c r="B924" s="696" t="s">
        <v>4028</v>
      </c>
      <c r="C924" s="697">
        <v>28</v>
      </c>
      <c r="D924" s="695">
        <v>45413</v>
      </c>
      <c r="E924" s="698">
        <v>30</v>
      </c>
      <c r="F924" s="698">
        <v>43.1</v>
      </c>
      <c r="G924" s="698">
        <v>30</v>
      </c>
      <c r="H924" s="698">
        <v>0</v>
      </c>
      <c r="I924" s="699">
        <v>6.25E-2</v>
      </c>
      <c r="J924" s="699">
        <v>7.0499999999999993E-2</v>
      </c>
      <c r="K924" s="699">
        <v>6.8400000000000002E-2</v>
      </c>
      <c r="L924" s="697">
        <v>6</v>
      </c>
    </row>
    <row r="925" spans="1:12">
      <c r="A925" s="695">
        <v>45385</v>
      </c>
      <c r="B925" s="696" t="s">
        <v>4029</v>
      </c>
      <c r="C925" s="697">
        <v>168</v>
      </c>
      <c r="D925" s="695">
        <v>45553</v>
      </c>
      <c r="E925" s="698">
        <v>30</v>
      </c>
      <c r="F925" s="698">
        <v>26.5</v>
      </c>
      <c r="G925" s="698">
        <v>26.5</v>
      </c>
      <c r="H925" s="698">
        <v>0</v>
      </c>
      <c r="I925" s="699">
        <v>6.5000000000000002E-2</v>
      </c>
      <c r="J925" s="699">
        <v>7.9699999999999993E-2</v>
      </c>
      <c r="K925" s="699">
        <v>7.0199999999999999E-2</v>
      </c>
      <c r="L925" s="697">
        <v>6</v>
      </c>
    </row>
    <row r="926" spans="1:12">
      <c r="A926" s="695">
        <v>45386</v>
      </c>
      <c r="B926" s="696" t="s">
        <v>4030</v>
      </c>
      <c r="C926" s="697">
        <v>84</v>
      </c>
      <c r="D926" s="695">
        <v>45470</v>
      </c>
      <c r="E926" s="698">
        <v>30</v>
      </c>
      <c r="F926" s="698">
        <v>18.8</v>
      </c>
      <c r="G926" s="698">
        <v>18.8</v>
      </c>
      <c r="H926" s="698">
        <v>0</v>
      </c>
      <c r="I926" s="699">
        <v>7.1900000000000006E-2</v>
      </c>
      <c r="J926" s="699">
        <v>7.9000000000000001E-2</v>
      </c>
      <c r="K926" s="699">
        <v>7.4200000000000002E-2</v>
      </c>
      <c r="L926" s="697">
        <v>5</v>
      </c>
    </row>
    <row r="927" spans="1:12">
      <c r="A927" s="695">
        <v>45386</v>
      </c>
      <c r="B927" s="696" t="s">
        <v>4031</v>
      </c>
      <c r="C927" s="697">
        <v>252</v>
      </c>
      <c r="D927" s="695">
        <v>45638</v>
      </c>
      <c r="E927" s="698">
        <v>30</v>
      </c>
      <c r="F927" s="698">
        <v>28.3</v>
      </c>
      <c r="G927" s="698">
        <v>28.3</v>
      </c>
      <c r="H927" s="698">
        <v>0</v>
      </c>
      <c r="I927" s="699">
        <v>7.6999999999999999E-2</v>
      </c>
      <c r="J927" s="699">
        <v>8.3000000000000004E-2</v>
      </c>
      <c r="K927" s="699">
        <v>8.0100000000000005E-2</v>
      </c>
      <c r="L927" s="697">
        <v>5</v>
      </c>
    </row>
    <row r="928" spans="1:12">
      <c r="A928" s="695">
        <v>45399</v>
      </c>
      <c r="B928" s="696" t="s">
        <v>4032</v>
      </c>
      <c r="C928" s="697">
        <v>28</v>
      </c>
      <c r="D928" s="695">
        <v>45427</v>
      </c>
      <c r="E928" s="698">
        <v>20</v>
      </c>
      <c r="F928" s="698">
        <v>40.200000000000003</v>
      </c>
      <c r="G928" s="698">
        <v>20</v>
      </c>
      <c r="H928" s="698">
        <v>0</v>
      </c>
      <c r="I928" s="699">
        <v>6.3E-2</v>
      </c>
      <c r="J928" s="699">
        <v>7.2300000000000003E-2</v>
      </c>
      <c r="K928" s="699">
        <v>7.1400000000000005E-2</v>
      </c>
      <c r="L928" s="697">
        <v>5</v>
      </c>
    </row>
    <row r="929" spans="1:12">
      <c r="A929" s="695">
        <v>45400</v>
      </c>
      <c r="B929" s="696" t="s">
        <v>4033</v>
      </c>
      <c r="C929" s="697">
        <v>252</v>
      </c>
      <c r="D929" s="695">
        <v>45652</v>
      </c>
      <c r="E929" s="698">
        <v>15</v>
      </c>
      <c r="F929" s="698">
        <v>28.9</v>
      </c>
      <c r="G929" s="698">
        <v>15</v>
      </c>
      <c r="H929" s="698">
        <v>0</v>
      </c>
      <c r="I929" s="699">
        <v>7.1999999999999995E-2</v>
      </c>
      <c r="J929" s="699">
        <v>7.8899999999999998E-2</v>
      </c>
      <c r="K929" s="699">
        <v>7.7399999999999997E-2</v>
      </c>
      <c r="L929" s="697">
        <v>2</v>
      </c>
    </row>
    <row r="930" spans="1:12">
      <c r="A930" s="695">
        <v>45406</v>
      </c>
      <c r="B930" s="696" t="s">
        <v>4034</v>
      </c>
      <c r="C930" s="697">
        <v>28</v>
      </c>
      <c r="D930" s="695">
        <v>45434</v>
      </c>
      <c r="E930" s="698">
        <v>20</v>
      </c>
      <c r="F930" s="698">
        <v>28.5</v>
      </c>
      <c r="G930" s="698">
        <v>20</v>
      </c>
      <c r="H930" s="698">
        <v>0</v>
      </c>
      <c r="I930" s="699">
        <v>6.3E-2</v>
      </c>
      <c r="J930" s="699">
        <v>7.2300000000000003E-2</v>
      </c>
      <c r="K930" s="699">
        <v>7.1499999999999994E-2</v>
      </c>
      <c r="L930" s="697">
        <v>4</v>
      </c>
    </row>
    <row r="931" spans="1:12">
      <c r="A931" s="695">
        <v>45406</v>
      </c>
      <c r="B931" s="696" t="s">
        <v>4035</v>
      </c>
      <c r="C931" s="697">
        <v>168</v>
      </c>
      <c r="D931" s="695">
        <v>45574</v>
      </c>
      <c r="E931" s="698">
        <v>15</v>
      </c>
      <c r="F931" s="698">
        <v>26.2</v>
      </c>
      <c r="G931" s="698">
        <v>15</v>
      </c>
      <c r="H931" s="698">
        <v>0</v>
      </c>
      <c r="I931" s="699">
        <v>7.4899999999999994E-2</v>
      </c>
      <c r="J931" s="699">
        <v>7.4899999999999994E-2</v>
      </c>
      <c r="K931" s="699">
        <v>7.4899999999999994E-2</v>
      </c>
      <c r="L931" s="697">
        <v>1</v>
      </c>
    </row>
    <row r="932" spans="1:12">
      <c r="A932" s="695">
        <v>45407</v>
      </c>
      <c r="B932" s="696" t="s">
        <v>4036</v>
      </c>
      <c r="C932" s="697">
        <v>84</v>
      </c>
      <c r="D932" s="695">
        <v>45491</v>
      </c>
      <c r="E932" s="698">
        <v>15</v>
      </c>
      <c r="F932" s="698">
        <v>24.1</v>
      </c>
      <c r="G932" s="698">
        <v>15</v>
      </c>
      <c r="H932" s="698">
        <v>0</v>
      </c>
      <c r="I932" s="699">
        <v>7.2900000000000006E-2</v>
      </c>
      <c r="J932" s="699">
        <v>7.3999999999999996E-2</v>
      </c>
      <c r="K932" s="699">
        <v>7.3700000000000002E-2</v>
      </c>
      <c r="L932" s="697">
        <v>2</v>
      </c>
    </row>
    <row r="933" spans="1:12">
      <c r="A933" s="695">
        <v>45407</v>
      </c>
      <c r="B933" s="696" t="s">
        <v>4037</v>
      </c>
      <c r="C933" s="697">
        <v>252</v>
      </c>
      <c r="D933" s="695">
        <v>45659</v>
      </c>
      <c r="E933" s="698">
        <v>15</v>
      </c>
      <c r="F933" s="698">
        <v>35.9</v>
      </c>
      <c r="G933" s="698">
        <v>15</v>
      </c>
      <c r="H933" s="698">
        <v>0</v>
      </c>
      <c r="I933" s="699">
        <v>7.7899999999999997E-2</v>
      </c>
      <c r="J933" s="699">
        <v>7.7899999999999997E-2</v>
      </c>
      <c r="K933" s="699">
        <v>7.7899999999999997E-2</v>
      </c>
      <c r="L933" s="697">
        <v>1</v>
      </c>
    </row>
    <row r="934" spans="1:12">
      <c r="A934" s="695">
        <v>45413</v>
      </c>
      <c r="B934" s="696" t="s">
        <v>4039</v>
      </c>
      <c r="C934" s="697">
        <v>168</v>
      </c>
      <c r="D934" s="695">
        <v>45581</v>
      </c>
      <c r="E934" s="698">
        <v>15</v>
      </c>
      <c r="F934" s="698">
        <v>23.5</v>
      </c>
      <c r="G934" s="698">
        <v>15</v>
      </c>
      <c r="H934" s="698">
        <v>0</v>
      </c>
      <c r="I934" s="699">
        <v>7.1999999999999995E-2</v>
      </c>
      <c r="J934" s="699">
        <v>7.4899999999999994E-2</v>
      </c>
      <c r="K934" s="699">
        <v>7.3899999999999993E-2</v>
      </c>
      <c r="L934" s="697">
        <v>5</v>
      </c>
    </row>
    <row r="935" spans="1:12">
      <c r="A935" s="695">
        <v>45414</v>
      </c>
      <c r="B935" s="696" t="s">
        <v>4040</v>
      </c>
      <c r="C935" s="697">
        <v>84</v>
      </c>
      <c r="D935" s="695">
        <v>45498</v>
      </c>
      <c r="E935" s="698">
        <v>15</v>
      </c>
      <c r="F935" s="698">
        <v>27.5</v>
      </c>
      <c r="G935" s="698">
        <v>15</v>
      </c>
      <c r="H935" s="698">
        <v>0</v>
      </c>
      <c r="I935" s="699">
        <v>7.2499999999999995E-2</v>
      </c>
      <c r="J935" s="699">
        <v>7.3700000000000002E-2</v>
      </c>
      <c r="K935" s="699">
        <v>7.3400000000000007E-2</v>
      </c>
      <c r="L935" s="697">
        <v>5</v>
      </c>
    </row>
    <row r="936" spans="1:12">
      <c r="A936" s="695">
        <v>45414</v>
      </c>
      <c r="B936" s="696" t="s">
        <v>4041</v>
      </c>
      <c r="C936" s="697">
        <v>252</v>
      </c>
      <c r="D936" s="695">
        <v>45666</v>
      </c>
      <c r="E936" s="698">
        <v>15</v>
      </c>
      <c r="F936" s="698">
        <v>22.4</v>
      </c>
      <c r="G936" s="698">
        <v>15</v>
      </c>
      <c r="H936" s="698">
        <v>0</v>
      </c>
      <c r="I936" s="699">
        <v>7.5499999999999998E-2</v>
      </c>
      <c r="J936" s="699">
        <v>7.7899999999999997E-2</v>
      </c>
      <c r="K936" s="699">
        <v>7.6300000000000007E-2</v>
      </c>
      <c r="L936" s="697">
        <v>5</v>
      </c>
    </row>
    <row r="937" spans="1:12">
      <c r="A937" s="695">
        <v>45420</v>
      </c>
      <c r="B937" s="696" t="s">
        <v>4042</v>
      </c>
      <c r="C937" s="697">
        <v>28</v>
      </c>
      <c r="D937" s="695">
        <v>45448</v>
      </c>
      <c r="E937" s="698">
        <v>15</v>
      </c>
      <c r="F937" s="698">
        <v>23.5</v>
      </c>
      <c r="G937" s="698">
        <v>15</v>
      </c>
      <c r="H937" s="698">
        <v>0</v>
      </c>
      <c r="I937" s="699">
        <v>6.3E-2</v>
      </c>
      <c r="J937" s="699">
        <v>7.2300000000000003E-2</v>
      </c>
      <c r="K937" s="699">
        <v>7.1099999999999997E-2</v>
      </c>
      <c r="L937" s="697">
        <v>5</v>
      </c>
    </row>
    <row r="938" spans="1:12">
      <c r="A938" s="695">
        <v>45427</v>
      </c>
      <c r="B938" s="696" t="s">
        <v>4043</v>
      </c>
      <c r="C938" s="697">
        <v>28</v>
      </c>
      <c r="D938" s="695">
        <v>45455</v>
      </c>
      <c r="E938" s="698">
        <v>15</v>
      </c>
      <c r="F938" s="698">
        <v>36</v>
      </c>
      <c r="G938" s="698">
        <v>15</v>
      </c>
      <c r="H938" s="698">
        <v>0</v>
      </c>
      <c r="I938" s="699">
        <v>6.3E-2</v>
      </c>
      <c r="J938" s="699">
        <v>7.1499999999999994E-2</v>
      </c>
      <c r="K938" s="699">
        <v>6.9000000000000006E-2</v>
      </c>
      <c r="L938" s="697">
        <v>6</v>
      </c>
    </row>
    <row r="939" spans="1:12">
      <c r="A939" s="695">
        <v>45427</v>
      </c>
      <c r="B939" s="696" t="s">
        <v>4044</v>
      </c>
      <c r="C939" s="697">
        <v>168</v>
      </c>
      <c r="D939" s="695">
        <v>45595</v>
      </c>
      <c r="E939" s="698">
        <v>15</v>
      </c>
      <c r="F939" s="698">
        <v>27.1</v>
      </c>
      <c r="G939" s="698">
        <v>15</v>
      </c>
      <c r="H939" s="698">
        <v>0</v>
      </c>
      <c r="I939" s="699">
        <v>7.2999999999999995E-2</v>
      </c>
      <c r="J939" s="699">
        <v>7.4899999999999994E-2</v>
      </c>
      <c r="K939" s="699">
        <v>7.4800000000000005E-2</v>
      </c>
      <c r="L939" s="697">
        <v>6</v>
      </c>
    </row>
    <row r="940" spans="1:12">
      <c r="A940" s="695">
        <v>45434</v>
      </c>
      <c r="B940" s="696" t="s">
        <v>4045</v>
      </c>
      <c r="C940" s="697">
        <v>28</v>
      </c>
      <c r="D940" s="695">
        <v>45462</v>
      </c>
      <c r="E940" s="698">
        <v>15</v>
      </c>
      <c r="F940" s="698">
        <v>30</v>
      </c>
      <c r="G940" s="698">
        <v>15</v>
      </c>
      <c r="H940" s="698">
        <v>0</v>
      </c>
      <c r="I940" s="699">
        <v>6.3E-2</v>
      </c>
      <c r="J940" s="699">
        <v>7.3899999999999993E-2</v>
      </c>
      <c r="K940" s="699">
        <v>7.1999999999999995E-2</v>
      </c>
      <c r="L940" s="697">
        <v>6</v>
      </c>
    </row>
    <row r="941" spans="1:12">
      <c r="A941" s="695">
        <v>45435</v>
      </c>
      <c r="B941" s="696" t="s">
        <v>4046</v>
      </c>
      <c r="C941" s="697">
        <v>84</v>
      </c>
      <c r="D941" s="695">
        <v>45519</v>
      </c>
      <c r="E941" s="698">
        <v>15</v>
      </c>
      <c r="F941" s="698">
        <v>25</v>
      </c>
      <c r="G941" s="698">
        <v>15</v>
      </c>
      <c r="H941" s="698">
        <v>0</v>
      </c>
      <c r="I941" s="699">
        <v>7.2800000000000004E-2</v>
      </c>
      <c r="J941" s="699">
        <v>7.3400000000000007E-2</v>
      </c>
      <c r="K941" s="699">
        <v>7.3300000000000004E-2</v>
      </c>
      <c r="L941" s="697">
        <v>6</v>
      </c>
    </row>
    <row r="942" spans="1:12">
      <c r="A942" s="695">
        <v>45435</v>
      </c>
      <c r="B942" s="696" t="s">
        <v>4047</v>
      </c>
      <c r="C942" s="697">
        <v>252</v>
      </c>
      <c r="D942" s="695">
        <v>45687</v>
      </c>
      <c r="E942" s="698">
        <v>15</v>
      </c>
      <c r="F942" s="698">
        <v>23.8</v>
      </c>
      <c r="G942" s="698">
        <v>15</v>
      </c>
      <c r="H942" s="698">
        <v>0</v>
      </c>
      <c r="I942" s="699">
        <v>7.4999999999999997E-2</v>
      </c>
      <c r="J942" s="699">
        <v>7.85E-2</v>
      </c>
      <c r="K942" s="699">
        <v>7.7600000000000002E-2</v>
      </c>
      <c r="L942" s="697">
        <v>7</v>
      </c>
    </row>
    <row r="943" spans="1:12">
      <c r="A943" s="695">
        <v>45441</v>
      </c>
      <c r="B943" s="696" t="s">
        <v>4048</v>
      </c>
      <c r="C943" s="697">
        <v>28</v>
      </c>
      <c r="D943" s="695">
        <v>45469</v>
      </c>
      <c r="E943" s="698">
        <v>15</v>
      </c>
      <c r="F943" s="698">
        <v>33</v>
      </c>
      <c r="G943" s="698">
        <v>15</v>
      </c>
      <c r="H943" s="698">
        <v>0</v>
      </c>
      <c r="I943" s="699">
        <v>6.9800000000000001E-2</v>
      </c>
      <c r="J943" s="699">
        <v>7.1499999999999994E-2</v>
      </c>
      <c r="K943" s="699">
        <v>7.1099999999999997E-2</v>
      </c>
      <c r="L943" s="697">
        <v>6</v>
      </c>
    </row>
    <row r="944" spans="1:12">
      <c r="A944" s="695">
        <v>45442</v>
      </c>
      <c r="B944" s="696" t="s">
        <v>4049</v>
      </c>
      <c r="C944" s="697">
        <v>84</v>
      </c>
      <c r="D944" s="695">
        <v>45526</v>
      </c>
      <c r="E944" s="698">
        <v>15</v>
      </c>
      <c r="F944" s="698">
        <v>25.5</v>
      </c>
      <c r="G944" s="698">
        <v>15</v>
      </c>
      <c r="H944" s="698">
        <v>0</v>
      </c>
      <c r="I944" s="699">
        <v>7.2300000000000003E-2</v>
      </c>
      <c r="J944" s="699">
        <v>7.3400000000000007E-2</v>
      </c>
      <c r="K944" s="699">
        <v>7.3099999999999998E-2</v>
      </c>
      <c r="L944" s="697">
        <v>5</v>
      </c>
    </row>
    <row r="945" spans="1:12">
      <c r="A945" s="695">
        <v>45442</v>
      </c>
      <c r="B945" s="696" t="s">
        <v>4050</v>
      </c>
      <c r="C945" s="697">
        <v>252</v>
      </c>
      <c r="D945" s="695">
        <v>45694</v>
      </c>
      <c r="E945" s="698">
        <v>15</v>
      </c>
      <c r="F945" s="698">
        <v>28.9</v>
      </c>
      <c r="G945" s="698">
        <v>15</v>
      </c>
      <c r="H945" s="698">
        <v>0</v>
      </c>
      <c r="I945" s="699">
        <v>7.6499999999999999E-2</v>
      </c>
      <c r="J945" s="699">
        <v>7.6999999999999999E-2</v>
      </c>
      <c r="K945" s="699">
        <v>7.6899999999999996E-2</v>
      </c>
      <c r="L945" s="697">
        <v>7</v>
      </c>
    </row>
    <row r="946" spans="1:12">
      <c r="A946" s="695">
        <v>45448</v>
      </c>
      <c r="B946" s="696" t="s">
        <v>4055</v>
      </c>
      <c r="C946" s="697">
        <v>28</v>
      </c>
      <c r="D946" s="695">
        <v>45476</v>
      </c>
      <c r="E946" s="698">
        <v>20</v>
      </c>
      <c r="F946" s="698">
        <v>37.5</v>
      </c>
      <c r="G946" s="698">
        <v>20</v>
      </c>
      <c r="H946" s="698">
        <v>0</v>
      </c>
      <c r="I946" s="699">
        <v>6.3E-2</v>
      </c>
      <c r="J946" s="699">
        <v>7.0900000000000005E-2</v>
      </c>
      <c r="K946" s="699">
        <v>7.0199999999999999E-2</v>
      </c>
      <c r="L946" s="697">
        <v>8</v>
      </c>
    </row>
    <row r="947" spans="1:12">
      <c r="A947" s="695">
        <v>45448</v>
      </c>
      <c r="B947" s="696" t="s">
        <v>4056</v>
      </c>
      <c r="C947" s="697">
        <v>168</v>
      </c>
      <c r="D947" s="695">
        <v>45616</v>
      </c>
      <c r="E947" s="698">
        <v>20</v>
      </c>
      <c r="F947" s="698">
        <v>26.2</v>
      </c>
      <c r="G947" s="698">
        <v>20</v>
      </c>
      <c r="H947" s="698">
        <v>0</v>
      </c>
      <c r="I947" s="699">
        <v>7.3999999999999996E-2</v>
      </c>
      <c r="J947" s="699">
        <v>7.4999999999999997E-2</v>
      </c>
      <c r="K947" s="699">
        <v>7.4399999999999994E-2</v>
      </c>
      <c r="L947" s="697">
        <v>6</v>
      </c>
    </row>
    <row r="948" spans="1:12">
      <c r="A948" s="695">
        <v>45449</v>
      </c>
      <c r="B948" s="696" t="s">
        <v>4057</v>
      </c>
      <c r="C948" s="697">
        <v>84</v>
      </c>
      <c r="D948" s="695">
        <v>45533</v>
      </c>
      <c r="E948" s="698">
        <v>20</v>
      </c>
      <c r="F948" s="698">
        <v>28.5</v>
      </c>
      <c r="G948" s="698">
        <v>20</v>
      </c>
      <c r="H948" s="698">
        <v>0</v>
      </c>
      <c r="I948" s="699">
        <v>7.2499999999999995E-2</v>
      </c>
      <c r="J948" s="699">
        <v>7.2999999999999995E-2</v>
      </c>
      <c r="K948" s="699">
        <v>7.2900000000000006E-2</v>
      </c>
      <c r="L948" s="697">
        <v>6</v>
      </c>
    </row>
    <row r="949" spans="1:12">
      <c r="A949" s="695">
        <v>45449</v>
      </c>
      <c r="B949" s="696" t="s">
        <v>4058</v>
      </c>
      <c r="C949" s="697">
        <v>252</v>
      </c>
      <c r="D949" s="695">
        <v>45701</v>
      </c>
      <c r="E949" s="698">
        <v>20</v>
      </c>
      <c r="F949" s="698">
        <v>29.6</v>
      </c>
      <c r="G949" s="698">
        <v>20</v>
      </c>
      <c r="H949" s="698">
        <v>0</v>
      </c>
      <c r="I949" s="699">
        <v>7.4999999999999997E-2</v>
      </c>
      <c r="J949" s="699">
        <v>7.6499999999999999E-2</v>
      </c>
      <c r="K949" s="699">
        <v>7.6300000000000007E-2</v>
      </c>
      <c r="L949" s="697">
        <v>7</v>
      </c>
    </row>
    <row r="950" spans="1:12">
      <c r="A950" s="695">
        <v>45455</v>
      </c>
      <c r="B950" s="696" t="s">
        <v>4059</v>
      </c>
      <c r="C950" s="697">
        <v>28</v>
      </c>
      <c r="D950" s="695">
        <v>45483</v>
      </c>
      <c r="E950" s="698">
        <v>25</v>
      </c>
      <c r="F950" s="698">
        <v>70</v>
      </c>
      <c r="G950" s="698">
        <v>25</v>
      </c>
      <c r="H950" s="698">
        <v>0</v>
      </c>
      <c r="I950" s="699">
        <v>6.7000000000000004E-2</v>
      </c>
      <c r="J950" s="699">
        <v>7.0000000000000007E-2</v>
      </c>
      <c r="K950" s="699">
        <v>6.9800000000000001E-2</v>
      </c>
      <c r="L950" s="697">
        <v>8</v>
      </c>
    </row>
    <row r="951" spans="1:12">
      <c r="A951" s="695">
        <v>45455</v>
      </c>
      <c r="B951" s="696" t="s">
        <v>4060</v>
      </c>
      <c r="C951" s="697">
        <v>168</v>
      </c>
      <c r="D951" s="695">
        <v>45623</v>
      </c>
      <c r="E951" s="698">
        <v>25</v>
      </c>
      <c r="F951" s="698">
        <v>44.1</v>
      </c>
      <c r="G951" s="698">
        <v>25</v>
      </c>
      <c r="H951" s="698">
        <v>0</v>
      </c>
      <c r="I951" s="699">
        <v>7.3899999999999993E-2</v>
      </c>
      <c r="J951" s="699">
        <v>7.3999999999999996E-2</v>
      </c>
      <c r="K951" s="699">
        <v>7.3999999999999996E-2</v>
      </c>
      <c r="L951" s="697">
        <v>7</v>
      </c>
    </row>
    <row r="952" spans="1:12">
      <c r="A952" s="695">
        <v>45456</v>
      </c>
      <c r="B952" s="696" t="s">
        <v>4061</v>
      </c>
      <c r="C952" s="697">
        <v>84</v>
      </c>
      <c r="D952" s="695">
        <v>45540</v>
      </c>
      <c r="E952" s="698">
        <v>25</v>
      </c>
      <c r="F952" s="698">
        <v>58</v>
      </c>
      <c r="G952" s="698">
        <v>25</v>
      </c>
      <c r="H952" s="698">
        <v>0</v>
      </c>
      <c r="I952" s="699">
        <v>7.17E-2</v>
      </c>
      <c r="J952" s="699">
        <v>7.1999999999999995E-2</v>
      </c>
      <c r="K952" s="699">
        <v>7.1999999999999995E-2</v>
      </c>
      <c r="L952" s="697">
        <v>7</v>
      </c>
    </row>
    <row r="953" spans="1:12">
      <c r="A953" s="695">
        <v>45456</v>
      </c>
      <c r="B953" s="696" t="s">
        <v>4062</v>
      </c>
      <c r="C953" s="697">
        <v>252</v>
      </c>
      <c r="D953" s="695">
        <v>45708</v>
      </c>
      <c r="E953" s="698">
        <v>25</v>
      </c>
      <c r="F953" s="698">
        <v>30.9</v>
      </c>
      <c r="G953" s="698">
        <v>25</v>
      </c>
      <c r="H953" s="698">
        <v>0</v>
      </c>
      <c r="I953" s="699">
        <v>7.4999999999999997E-2</v>
      </c>
      <c r="J953" s="699">
        <v>7.5499999999999998E-2</v>
      </c>
      <c r="K953" s="699">
        <v>7.5200000000000003E-2</v>
      </c>
      <c r="L953" s="697">
        <v>5</v>
      </c>
    </row>
    <row r="954" spans="1:12">
      <c r="A954" s="695">
        <v>45476</v>
      </c>
      <c r="B954" s="696" t="s">
        <v>4083</v>
      </c>
      <c r="C954" s="697">
        <v>28</v>
      </c>
      <c r="D954" s="695">
        <v>45504</v>
      </c>
      <c r="E954" s="698">
        <v>30</v>
      </c>
      <c r="F954" s="698">
        <v>50.5</v>
      </c>
      <c r="G954" s="698">
        <v>30</v>
      </c>
      <c r="H954" s="698">
        <v>0</v>
      </c>
      <c r="I954" s="699">
        <v>6.7000000000000004E-2</v>
      </c>
      <c r="J954" s="699">
        <v>6.9000000000000006E-2</v>
      </c>
      <c r="K954" s="699">
        <v>6.8900000000000003E-2</v>
      </c>
      <c r="L954" s="697">
        <v>8</v>
      </c>
    </row>
    <row r="955" spans="1:12">
      <c r="A955" s="695">
        <v>45476</v>
      </c>
      <c r="B955" s="696" t="s">
        <v>4084</v>
      </c>
      <c r="C955" s="697">
        <v>168</v>
      </c>
      <c r="D955" s="695">
        <v>45644</v>
      </c>
      <c r="E955" s="698">
        <v>30</v>
      </c>
      <c r="F955" s="698">
        <v>39.6</v>
      </c>
      <c r="G955" s="698">
        <v>30</v>
      </c>
      <c r="H955" s="698">
        <v>0</v>
      </c>
      <c r="I955" s="699">
        <v>7.2499999999999995E-2</v>
      </c>
      <c r="J955" s="699">
        <v>7.3999999999999996E-2</v>
      </c>
      <c r="K955" s="699">
        <v>7.3099999999999998E-2</v>
      </c>
      <c r="L955" s="697">
        <v>10</v>
      </c>
    </row>
    <row r="956" spans="1:12">
      <c r="A956" s="695">
        <v>45477</v>
      </c>
      <c r="B956" s="696" t="s">
        <v>4085</v>
      </c>
      <c r="C956" s="697">
        <v>84</v>
      </c>
      <c r="D956" s="695">
        <v>45561</v>
      </c>
      <c r="E956" s="698">
        <v>30</v>
      </c>
      <c r="F956" s="698">
        <v>33.799999999999997</v>
      </c>
      <c r="G956" s="698">
        <v>30</v>
      </c>
      <c r="H956" s="698">
        <v>0</v>
      </c>
      <c r="I956" s="699">
        <v>7.1300000000000002E-2</v>
      </c>
      <c r="J956" s="699">
        <v>7.1999999999999995E-2</v>
      </c>
      <c r="K956" s="699">
        <v>7.17E-2</v>
      </c>
      <c r="L956" s="697">
        <v>6</v>
      </c>
    </row>
    <row r="957" spans="1:12">
      <c r="A957" s="695">
        <v>45477</v>
      </c>
      <c r="B957" s="696" t="s">
        <v>4086</v>
      </c>
      <c r="C957" s="697">
        <v>252</v>
      </c>
      <c r="D957" s="695">
        <v>45729</v>
      </c>
      <c r="E957" s="698">
        <v>30</v>
      </c>
      <c r="F957" s="698">
        <v>27.8</v>
      </c>
      <c r="G957" s="698">
        <v>27.8</v>
      </c>
      <c r="H957" s="698">
        <v>0</v>
      </c>
      <c r="I957" s="699">
        <v>7.3999999999999996E-2</v>
      </c>
      <c r="J957" s="699">
        <v>7.5700000000000003E-2</v>
      </c>
      <c r="K957" s="699">
        <v>7.4300000000000005E-2</v>
      </c>
      <c r="L957" s="697">
        <v>5</v>
      </c>
    </row>
    <row r="958" spans="1:12">
      <c r="A958" s="695">
        <v>45483</v>
      </c>
      <c r="B958" s="696" t="s">
        <v>4087</v>
      </c>
      <c r="C958" s="697">
        <v>28</v>
      </c>
      <c r="D958" s="695">
        <v>45511</v>
      </c>
      <c r="E958" s="698">
        <v>30</v>
      </c>
      <c r="F958" s="698">
        <v>47.5</v>
      </c>
      <c r="G958" s="698">
        <v>30</v>
      </c>
      <c r="H958" s="698">
        <v>0</v>
      </c>
      <c r="I958" s="699">
        <v>6.7000000000000004E-2</v>
      </c>
      <c r="J958" s="699">
        <v>7.2499999999999995E-2</v>
      </c>
      <c r="K958" s="699">
        <v>7.1400000000000005E-2</v>
      </c>
      <c r="L958" s="697">
        <v>7</v>
      </c>
    </row>
    <row r="959" spans="1:12">
      <c r="A959" s="695">
        <v>45484</v>
      </c>
      <c r="B959" s="696" t="s">
        <v>4088</v>
      </c>
      <c r="C959" s="697">
        <v>84</v>
      </c>
      <c r="D959" s="695">
        <v>45568</v>
      </c>
      <c r="E959" s="698">
        <v>30</v>
      </c>
      <c r="F959" s="698">
        <v>28.8</v>
      </c>
      <c r="G959" s="698">
        <v>28.8</v>
      </c>
      <c r="H959" s="698">
        <v>0</v>
      </c>
      <c r="I959" s="699">
        <v>7.1999999999999995E-2</v>
      </c>
      <c r="J959" s="699">
        <v>7.4899999999999994E-2</v>
      </c>
      <c r="K959" s="699">
        <v>7.4399999999999994E-2</v>
      </c>
      <c r="L959" s="697">
        <v>5</v>
      </c>
    </row>
    <row r="960" spans="1:12">
      <c r="A960" s="695">
        <v>45484</v>
      </c>
      <c r="B960" s="696" t="s">
        <v>4089</v>
      </c>
      <c r="C960" s="697">
        <v>252</v>
      </c>
      <c r="D960" s="695">
        <v>45736</v>
      </c>
      <c r="E960" s="698">
        <v>20</v>
      </c>
      <c r="F960" s="698">
        <v>18.399999999999999</v>
      </c>
      <c r="G960" s="698">
        <v>18.399999999999999</v>
      </c>
      <c r="H960" s="698">
        <v>0</v>
      </c>
      <c r="I960" s="699">
        <v>7.4999999999999997E-2</v>
      </c>
      <c r="J960" s="699">
        <v>7.8899999999999998E-2</v>
      </c>
      <c r="K960" s="699">
        <v>7.7799999999999994E-2</v>
      </c>
      <c r="L960" s="697">
        <v>5</v>
      </c>
    </row>
    <row r="961" spans="1:12">
      <c r="A961" s="695">
        <v>45490</v>
      </c>
      <c r="B961" s="696" t="s">
        <v>4090</v>
      </c>
      <c r="C961" s="697">
        <v>28</v>
      </c>
      <c r="D961" s="695">
        <v>45518</v>
      </c>
      <c r="E961" s="698">
        <v>15</v>
      </c>
      <c r="F961" s="698">
        <v>29</v>
      </c>
      <c r="G961" s="698">
        <v>15</v>
      </c>
      <c r="H961" s="698">
        <v>0</v>
      </c>
      <c r="I961" s="699">
        <v>6.7000000000000004E-2</v>
      </c>
      <c r="J961" s="699">
        <v>7.7899999999999997E-2</v>
      </c>
      <c r="K961" s="699">
        <v>7.4700000000000003E-2</v>
      </c>
      <c r="L961" s="697">
        <v>7</v>
      </c>
    </row>
    <row r="962" spans="1:12">
      <c r="A962" s="695">
        <v>45491</v>
      </c>
      <c r="B962" s="696" t="s">
        <v>4091</v>
      </c>
      <c r="C962" s="697">
        <v>84</v>
      </c>
      <c r="D962" s="695">
        <v>45575</v>
      </c>
      <c r="E962" s="698">
        <v>15</v>
      </c>
      <c r="F962" s="698">
        <v>22</v>
      </c>
      <c r="G962" s="698">
        <v>15</v>
      </c>
      <c r="H962" s="698">
        <v>0</v>
      </c>
      <c r="I962" s="699">
        <v>7.4899999999999994E-2</v>
      </c>
      <c r="J962" s="699">
        <v>7.8399999999999997E-2</v>
      </c>
      <c r="K962" s="699">
        <v>7.7499999999999999E-2</v>
      </c>
      <c r="L962" s="697">
        <v>5</v>
      </c>
    </row>
    <row r="963" spans="1:12">
      <c r="A963" s="695">
        <v>45491</v>
      </c>
      <c r="B963" s="696" t="s">
        <v>4092</v>
      </c>
      <c r="C963" s="697">
        <v>252</v>
      </c>
      <c r="D963" s="695">
        <v>45743</v>
      </c>
      <c r="E963" s="698">
        <v>15</v>
      </c>
      <c r="F963" s="698">
        <v>20.100000000000001</v>
      </c>
      <c r="G963" s="698">
        <v>15</v>
      </c>
      <c r="H963" s="698">
        <v>0</v>
      </c>
      <c r="I963" s="699">
        <v>7.8899999999999998E-2</v>
      </c>
      <c r="J963" s="699">
        <v>8.09E-2</v>
      </c>
      <c r="K963" s="699">
        <v>8.0500000000000002E-2</v>
      </c>
      <c r="L963" s="697">
        <v>5</v>
      </c>
    </row>
    <row r="964" spans="1:12">
      <c r="A964" s="695">
        <v>45497</v>
      </c>
      <c r="B964" s="696" t="s">
        <v>4093</v>
      </c>
      <c r="C964" s="697">
        <v>28</v>
      </c>
      <c r="D964" s="695">
        <v>45525</v>
      </c>
      <c r="E964" s="698">
        <v>10</v>
      </c>
      <c r="F964" s="698">
        <v>20</v>
      </c>
      <c r="G964" s="698">
        <v>10</v>
      </c>
      <c r="H964" s="698">
        <v>0</v>
      </c>
      <c r="I964" s="699">
        <v>6.7000000000000004E-2</v>
      </c>
      <c r="J964" s="699">
        <v>0.08</v>
      </c>
      <c r="K964" s="699">
        <v>7.46E-2</v>
      </c>
      <c r="L964" s="697">
        <v>5</v>
      </c>
    </row>
    <row r="965" spans="1:12">
      <c r="A965" s="695">
        <v>45504</v>
      </c>
      <c r="B965" s="696" t="s">
        <v>4094</v>
      </c>
      <c r="C965" s="697">
        <v>28</v>
      </c>
      <c r="D965" s="695">
        <v>45532</v>
      </c>
      <c r="E965" s="698">
        <v>5</v>
      </c>
      <c r="F965" s="698">
        <v>19.100000000000001</v>
      </c>
      <c r="G965" s="698">
        <v>5</v>
      </c>
      <c r="H965" s="698">
        <v>0</v>
      </c>
      <c r="I965" s="699">
        <v>6.5000000000000002E-2</v>
      </c>
      <c r="J965" s="699">
        <v>7.1999999999999995E-2</v>
      </c>
      <c r="K965" s="699">
        <v>7.0000000000000007E-2</v>
      </c>
      <c r="L965" s="697">
        <v>7</v>
      </c>
    </row>
    <row r="966" spans="1:12">
      <c r="A966" s="695">
        <v>45504</v>
      </c>
      <c r="B966" s="696" t="s">
        <v>4095</v>
      </c>
      <c r="C966" s="697">
        <v>168</v>
      </c>
      <c r="D966" s="695">
        <v>45672</v>
      </c>
      <c r="E966" s="698">
        <v>5</v>
      </c>
      <c r="F966" s="698">
        <v>9.3000000000000007</v>
      </c>
      <c r="G966" s="698">
        <v>5</v>
      </c>
      <c r="H966" s="698">
        <v>0</v>
      </c>
      <c r="I966" s="699">
        <v>7.9500000000000001E-2</v>
      </c>
      <c r="J966" s="699">
        <v>8.2500000000000004E-2</v>
      </c>
      <c r="K966" s="699">
        <v>8.2000000000000003E-2</v>
      </c>
      <c r="L966" s="697">
        <v>5</v>
      </c>
    </row>
    <row r="967" spans="1:12">
      <c r="A967" s="695">
        <v>45511</v>
      </c>
      <c r="B967" s="696" t="s">
        <v>4101</v>
      </c>
      <c r="C967" s="697">
        <v>28</v>
      </c>
      <c r="D967" s="695">
        <v>45539</v>
      </c>
      <c r="E967" s="698">
        <v>5</v>
      </c>
      <c r="F967" s="698">
        <v>16.5</v>
      </c>
      <c r="G967" s="698">
        <v>5</v>
      </c>
      <c r="H967" s="698">
        <v>0</v>
      </c>
      <c r="I967" s="699">
        <v>6.7000000000000004E-2</v>
      </c>
      <c r="J967" s="699">
        <v>6.9800000000000001E-2</v>
      </c>
      <c r="K967" s="699">
        <v>6.9000000000000006E-2</v>
      </c>
      <c r="L967" s="697">
        <v>7</v>
      </c>
    </row>
    <row r="968" spans="1:12">
      <c r="A968" s="695">
        <v>45511</v>
      </c>
      <c r="B968" s="696" t="s">
        <v>4102</v>
      </c>
      <c r="C968" s="697">
        <v>168</v>
      </c>
      <c r="D968" s="695">
        <v>45679</v>
      </c>
      <c r="E968" s="698">
        <v>5</v>
      </c>
      <c r="F968" s="698">
        <v>11.1</v>
      </c>
      <c r="G968" s="698">
        <v>5</v>
      </c>
      <c r="H968" s="698">
        <v>0</v>
      </c>
      <c r="I968" s="699">
        <v>7.4999999999999997E-2</v>
      </c>
      <c r="J968" s="699">
        <v>8.1500000000000003E-2</v>
      </c>
      <c r="K968" s="699">
        <v>7.7499999999999999E-2</v>
      </c>
      <c r="L968" s="697">
        <v>5</v>
      </c>
    </row>
    <row r="969" spans="1:12">
      <c r="A969" s="695">
        <v>45512</v>
      </c>
      <c r="B969" s="696" t="s">
        <v>4103</v>
      </c>
      <c r="C969" s="697">
        <v>84</v>
      </c>
      <c r="D969" s="695">
        <v>45596</v>
      </c>
      <c r="E969" s="698">
        <v>5</v>
      </c>
      <c r="F969" s="698">
        <v>11.8</v>
      </c>
      <c r="G969" s="698">
        <v>5</v>
      </c>
      <c r="H969" s="698">
        <v>0</v>
      </c>
      <c r="I969" s="699">
        <v>7.4999999999999997E-2</v>
      </c>
      <c r="J969" s="699">
        <v>8.0500000000000002E-2</v>
      </c>
      <c r="K969" s="699">
        <v>7.8899999999999998E-2</v>
      </c>
      <c r="L969" s="697">
        <v>7</v>
      </c>
    </row>
    <row r="970" spans="1:12">
      <c r="A970" s="695">
        <v>45512</v>
      </c>
      <c r="B970" s="696" t="s">
        <v>4104</v>
      </c>
      <c r="C970" s="697">
        <v>252</v>
      </c>
      <c r="D970" s="695">
        <v>45764</v>
      </c>
      <c r="E970" s="698">
        <v>5</v>
      </c>
      <c r="F970" s="698">
        <v>10</v>
      </c>
      <c r="G970" s="698">
        <v>5</v>
      </c>
      <c r="H970" s="698">
        <v>0</v>
      </c>
      <c r="I970" s="699">
        <v>8.0500000000000002E-2</v>
      </c>
      <c r="J970" s="699">
        <v>8.2400000000000001E-2</v>
      </c>
      <c r="K970" s="699">
        <v>8.2199999999999995E-2</v>
      </c>
      <c r="L970" s="697">
        <v>6</v>
      </c>
    </row>
    <row r="971" spans="1:12">
      <c r="A971" s="695">
        <v>45525</v>
      </c>
      <c r="B971" s="696" t="s">
        <v>4105</v>
      </c>
      <c r="C971" s="697">
        <v>28</v>
      </c>
      <c r="D971" s="695">
        <v>45553</v>
      </c>
      <c r="E971" s="698">
        <v>5</v>
      </c>
      <c r="F971" s="698">
        <v>26.9</v>
      </c>
      <c r="G971" s="698">
        <v>5</v>
      </c>
      <c r="H971" s="698">
        <v>0</v>
      </c>
      <c r="I971" s="699">
        <v>6.7000000000000004E-2</v>
      </c>
      <c r="J971" s="699">
        <v>6.8000000000000005E-2</v>
      </c>
      <c r="K971" s="699">
        <v>6.7699999999999996E-2</v>
      </c>
      <c r="L971" s="697">
        <v>9</v>
      </c>
    </row>
    <row r="972" spans="1:12">
      <c r="A972" s="695">
        <v>45525</v>
      </c>
      <c r="B972" s="696" t="s">
        <v>4106</v>
      </c>
      <c r="C972" s="697">
        <v>168</v>
      </c>
      <c r="D972" s="695">
        <v>45693</v>
      </c>
      <c r="E972" s="698">
        <v>5</v>
      </c>
      <c r="F972" s="698">
        <v>7.6</v>
      </c>
      <c r="G972" s="698">
        <v>5</v>
      </c>
      <c r="H972" s="698">
        <v>0</v>
      </c>
      <c r="I972" s="699">
        <v>0.08</v>
      </c>
      <c r="J972" s="699">
        <v>8.0399999999999999E-2</v>
      </c>
      <c r="K972" s="699">
        <v>8.0399999999999999E-2</v>
      </c>
      <c r="L972" s="697">
        <v>6</v>
      </c>
    </row>
    <row r="973" spans="1:12">
      <c r="A973" s="695">
        <v>45532</v>
      </c>
      <c r="B973" s="696" t="s">
        <v>4107</v>
      </c>
      <c r="C973" s="697">
        <v>28</v>
      </c>
      <c r="D973" s="695">
        <v>45560</v>
      </c>
      <c r="E973" s="698">
        <v>5</v>
      </c>
      <c r="F973" s="698">
        <v>18</v>
      </c>
      <c r="G973" s="698">
        <v>5</v>
      </c>
      <c r="H973" s="698">
        <v>0</v>
      </c>
      <c r="I973" s="699">
        <v>6.6000000000000003E-2</v>
      </c>
      <c r="J973" s="699">
        <v>6.6000000000000003E-2</v>
      </c>
      <c r="K973" s="699">
        <v>6.6000000000000003E-2</v>
      </c>
      <c r="L973" s="697">
        <v>5</v>
      </c>
    </row>
    <row r="974" spans="1:12">
      <c r="A974" s="695">
        <v>45533</v>
      </c>
      <c r="B974" s="696" t="s">
        <v>4108</v>
      </c>
      <c r="C974" s="697">
        <v>84</v>
      </c>
      <c r="D974" s="695">
        <v>45617</v>
      </c>
      <c r="E974" s="698">
        <v>5</v>
      </c>
      <c r="F974" s="698">
        <v>13.2</v>
      </c>
      <c r="G974" s="698">
        <v>5</v>
      </c>
      <c r="H974" s="698">
        <v>0</v>
      </c>
      <c r="I974" s="699">
        <v>7.5499999999999998E-2</v>
      </c>
      <c r="J974" s="699">
        <v>7.5499999999999998E-2</v>
      </c>
      <c r="K974" s="699">
        <v>7.5499999999999998E-2</v>
      </c>
      <c r="L974" s="697">
        <v>6</v>
      </c>
    </row>
    <row r="975" spans="1:12">
      <c r="A975" s="695">
        <v>45533</v>
      </c>
      <c r="B975" s="696" t="s">
        <v>4109</v>
      </c>
      <c r="C975" s="697">
        <v>252</v>
      </c>
      <c r="D975" s="695">
        <v>45785</v>
      </c>
      <c r="E975" s="698">
        <v>5</v>
      </c>
      <c r="F975" s="698">
        <v>7.1</v>
      </c>
      <c r="G975" s="698">
        <v>5</v>
      </c>
      <c r="H975" s="698">
        <v>0</v>
      </c>
      <c r="I975" s="699">
        <v>8.2000000000000003E-2</v>
      </c>
      <c r="J975" s="699">
        <v>8.4900000000000003E-2</v>
      </c>
      <c r="K975" s="699">
        <v>8.4400000000000003E-2</v>
      </c>
      <c r="L975" s="697">
        <v>5</v>
      </c>
    </row>
    <row r="976" spans="1:12">
      <c r="A976" s="695">
        <v>45546</v>
      </c>
      <c r="B976" s="696" t="s">
        <v>4116</v>
      </c>
      <c r="C976" s="697">
        <v>28</v>
      </c>
      <c r="D976" s="695">
        <v>45574</v>
      </c>
      <c r="E976" s="698">
        <v>10</v>
      </c>
      <c r="F976" s="698">
        <v>20.5</v>
      </c>
      <c r="G976" s="698">
        <v>10</v>
      </c>
      <c r="H976" s="698">
        <v>0</v>
      </c>
      <c r="I976" s="699">
        <v>6.5000000000000002E-2</v>
      </c>
      <c r="J976" s="699">
        <v>7.85E-2</v>
      </c>
      <c r="K976" s="699">
        <v>7.4200000000000002E-2</v>
      </c>
      <c r="L976" s="697">
        <v>5</v>
      </c>
    </row>
    <row r="977" spans="1:12">
      <c r="A977" s="695">
        <v>45546</v>
      </c>
      <c r="B977" s="696" t="s">
        <v>4117</v>
      </c>
      <c r="C977" s="697">
        <v>168</v>
      </c>
      <c r="D977" s="695">
        <v>45714</v>
      </c>
      <c r="E977" s="698">
        <v>2.5</v>
      </c>
      <c r="F977" s="698">
        <v>10</v>
      </c>
      <c r="G977" s="698">
        <v>2.5</v>
      </c>
      <c r="H977" s="698">
        <v>0</v>
      </c>
      <c r="I977" s="699">
        <v>7.9500000000000001E-2</v>
      </c>
      <c r="J977" s="699">
        <v>7.9500000000000001E-2</v>
      </c>
      <c r="K977" s="699">
        <v>7.9500000000000001E-2</v>
      </c>
      <c r="L977" s="697">
        <v>6</v>
      </c>
    </row>
    <row r="978" spans="1:12">
      <c r="A978" s="695">
        <v>45547</v>
      </c>
      <c r="B978" s="696" t="s">
        <v>4118</v>
      </c>
      <c r="C978" s="697">
        <v>252</v>
      </c>
      <c r="D978" s="695">
        <v>45799</v>
      </c>
      <c r="E978" s="698">
        <v>2.5</v>
      </c>
      <c r="F978" s="698">
        <v>6.8</v>
      </c>
      <c r="G978" s="698">
        <v>2.5</v>
      </c>
      <c r="H978" s="698">
        <v>0</v>
      </c>
      <c r="I978" s="699">
        <v>8.14E-2</v>
      </c>
      <c r="J978" s="699">
        <v>8.14E-2</v>
      </c>
      <c r="K978" s="699">
        <v>8.14E-2</v>
      </c>
      <c r="L978" s="697">
        <v>5</v>
      </c>
    </row>
    <row r="979" spans="1:12">
      <c r="A979" s="695">
        <v>45553</v>
      </c>
      <c r="B979" s="696" t="s">
        <v>4119</v>
      </c>
      <c r="C979" s="697">
        <v>28</v>
      </c>
      <c r="D979" s="695">
        <v>45581</v>
      </c>
      <c r="E979" s="698">
        <v>2.5</v>
      </c>
      <c r="F979" s="698">
        <v>11.5</v>
      </c>
      <c r="G979" s="698">
        <v>2.5</v>
      </c>
      <c r="H979" s="698">
        <v>0</v>
      </c>
      <c r="I979" s="699">
        <v>6.3E-2</v>
      </c>
      <c r="J979" s="699">
        <v>6.6000000000000003E-2</v>
      </c>
      <c r="K979" s="699">
        <v>6.4699999999999994E-2</v>
      </c>
      <c r="L979" s="697">
        <v>7</v>
      </c>
    </row>
    <row r="980" spans="1:12">
      <c r="A980" s="695">
        <v>45553</v>
      </c>
      <c r="B980" s="696" t="s">
        <v>4120</v>
      </c>
      <c r="C980" s="697">
        <v>168</v>
      </c>
      <c r="D980" s="695">
        <v>45721</v>
      </c>
      <c r="E980" s="698">
        <v>2.5</v>
      </c>
      <c r="F980" s="698">
        <v>11.7</v>
      </c>
      <c r="G980" s="698">
        <v>2.5</v>
      </c>
      <c r="H980" s="698">
        <v>0</v>
      </c>
      <c r="I980" s="699">
        <v>7.7899999999999997E-2</v>
      </c>
      <c r="J980" s="699">
        <v>7.7899999999999997E-2</v>
      </c>
      <c r="K980" s="699">
        <v>7.7899999999999997E-2</v>
      </c>
      <c r="L980" s="697">
        <v>7</v>
      </c>
    </row>
    <row r="981" spans="1:12">
      <c r="A981" s="695">
        <v>45554</v>
      </c>
      <c r="B981" s="696" t="s">
        <v>4121</v>
      </c>
      <c r="C981" s="697">
        <v>84</v>
      </c>
      <c r="D981" s="695">
        <v>45638</v>
      </c>
      <c r="E981" s="698">
        <v>2.5</v>
      </c>
      <c r="F981" s="698">
        <v>10.1</v>
      </c>
      <c r="G981" s="698">
        <v>2.5</v>
      </c>
      <c r="H981" s="698">
        <v>0</v>
      </c>
      <c r="I981" s="699">
        <v>7.0000000000000007E-2</v>
      </c>
      <c r="J981" s="699">
        <v>7.0000000000000007E-2</v>
      </c>
      <c r="K981" s="699">
        <v>7.0000000000000007E-2</v>
      </c>
      <c r="L981" s="697">
        <v>6</v>
      </c>
    </row>
    <row r="982" spans="1:12">
      <c r="A982" s="695">
        <v>45554</v>
      </c>
      <c r="B982" s="696" t="s">
        <v>4122</v>
      </c>
      <c r="C982" s="697">
        <v>252</v>
      </c>
      <c r="D982" s="695">
        <v>45806</v>
      </c>
      <c r="E982" s="698">
        <v>2.5</v>
      </c>
      <c r="F982" s="698">
        <v>10</v>
      </c>
      <c r="G982" s="698">
        <v>2.5</v>
      </c>
      <c r="H982" s="698">
        <v>0</v>
      </c>
      <c r="I982" s="699">
        <v>7.4899999999999994E-2</v>
      </c>
      <c r="J982" s="699">
        <v>7.4899999999999994E-2</v>
      </c>
      <c r="K982" s="699">
        <v>7.4899999999999994E-2</v>
      </c>
      <c r="L982" s="697">
        <v>6</v>
      </c>
    </row>
    <row r="983" spans="1:12">
      <c r="A983" s="695">
        <v>45560</v>
      </c>
      <c r="B983" s="696" t="s">
        <v>4123</v>
      </c>
      <c r="C983" s="697">
        <v>28</v>
      </c>
      <c r="D983" s="695">
        <v>45588</v>
      </c>
      <c r="E983" s="698">
        <v>2.5</v>
      </c>
      <c r="F983" s="698">
        <v>10</v>
      </c>
      <c r="G983" s="698">
        <v>2.5</v>
      </c>
      <c r="H983" s="698">
        <v>0</v>
      </c>
      <c r="I983" s="699">
        <v>6.0999999999999999E-2</v>
      </c>
      <c r="J983" s="699">
        <v>6.0999999999999999E-2</v>
      </c>
      <c r="K983" s="699">
        <v>6.0999999999999999E-2</v>
      </c>
      <c r="L983" s="697">
        <v>5</v>
      </c>
    </row>
    <row r="984" spans="1:12">
      <c r="A984" s="695">
        <v>45560</v>
      </c>
      <c r="B984" s="696" t="s">
        <v>4124</v>
      </c>
      <c r="C984" s="697">
        <v>168</v>
      </c>
      <c r="D984" s="695">
        <v>45728</v>
      </c>
      <c r="E984" s="698">
        <v>2.5</v>
      </c>
      <c r="F984" s="698">
        <v>12</v>
      </c>
      <c r="G984" s="698">
        <v>2.5</v>
      </c>
      <c r="H984" s="698">
        <v>0</v>
      </c>
      <c r="I984" s="699">
        <v>7.4899999999999994E-2</v>
      </c>
      <c r="J984" s="699">
        <v>7.4899999999999994E-2</v>
      </c>
      <c r="K984" s="699">
        <v>7.4899999999999994E-2</v>
      </c>
      <c r="L984" s="697">
        <v>6</v>
      </c>
    </row>
    <row r="985" spans="1:12">
      <c r="A985" s="695">
        <v>45561</v>
      </c>
      <c r="B985" s="696" t="s">
        <v>4125</v>
      </c>
      <c r="C985" s="697">
        <v>84</v>
      </c>
      <c r="D985" s="695">
        <v>45645</v>
      </c>
      <c r="E985" s="698">
        <v>2.5</v>
      </c>
      <c r="F985" s="698">
        <v>10.5</v>
      </c>
      <c r="G985" s="698">
        <v>2.5</v>
      </c>
      <c r="H985" s="698">
        <v>0</v>
      </c>
      <c r="I985" s="699">
        <v>7.0900000000000005E-2</v>
      </c>
      <c r="J985" s="699">
        <v>7.0900000000000005E-2</v>
      </c>
      <c r="K985" s="699">
        <v>7.0900000000000005E-2</v>
      </c>
      <c r="L985" s="697">
        <v>5</v>
      </c>
    </row>
    <row r="986" spans="1:12">
      <c r="A986" s="695">
        <v>45561</v>
      </c>
      <c r="B986" s="696" t="s">
        <v>4126</v>
      </c>
      <c r="C986" s="697">
        <v>252</v>
      </c>
      <c r="D986" s="695">
        <v>45813</v>
      </c>
      <c r="E986" s="698">
        <v>2.5</v>
      </c>
      <c r="F986" s="698">
        <v>10.6</v>
      </c>
      <c r="G986" s="698">
        <v>2.5</v>
      </c>
      <c r="H986" s="698">
        <v>0</v>
      </c>
      <c r="I986" s="699">
        <v>7.4499999999999997E-2</v>
      </c>
      <c r="J986" s="699">
        <v>7.4499999999999997E-2</v>
      </c>
      <c r="K986" s="699">
        <v>7.4499999999999997E-2</v>
      </c>
      <c r="L986" s="697">
        <v>5</v>
      </c>
    </row>
    <row r="987" spans="1:12">
      <c r="A987" s="695">
        <v>45561</v>
      </c>
      <c r="B987" s="696" t="s">
        <v>4126</v>
      </c>
      <c r="C987" s="697">
        <v>252</v>
      </c>
      <c r="D987" s="695">
        <v>45813</v>
      </c>
      <c r="E987" s="698">
        <v>2.5</v>
      </c>
      <c r="F987" s="698">
        <v>10.6</v>
      </c>
      <c r="G987" s="698">
        <v>2.5</v>
      </c>
      <c r="H987" s="698">
        <v>0</v>
      </c>
      <c r="I987" s="699">
        <v>7.4499999999999997E-2</v>
      </c>
      <c r="J987" s="699">
        <v>7.4499999999999997E-2</v>
      </c>
      <c r="K987" s="699">
        <v>7.4499999999999997E-2</v>
      </c>
      <c r="L987" s="697">
        <v>5</v>
      </c>
    </row>
    <row r="988" spans="1:12">
      <c r="A988" s="695">
        <v>45588</v>
      </c>
      <c r="B988" s="696" t="s">
        <v>4129</v>
      </c>
      <c r="C988" s="697">
        <v>168</v>
      </c>
      <c r="D988" s="695">
        <v>45756</v>
      </c>
      <c r="E988" s="698">
        <v>2</v>
      </c>
      <c r="F988" s="698">
        <v>6.6</v>
      </c>
      <c r="G988" s="698">
        <v>2</v>
      </c>
      <c r="H988" s="698">
        <v>0</v>
      </c>
      <c r="I988" s="699">
        <v>7.2499999999999995E-2</v>
      </c>
      <c r="J988" s="699">
        <v>7.2499999999999995E-2</v>
      </c>
      <c r="K988" s="699">
        <v>7.2499999999999995E-2</v>
      </c>
      <c r="L988" s="697">
        <v>5</v>
      </c>
    </row>
    <row r="989" spans="1:12">
      <c r="A989" s="897">
        <v>2025</v>
      </c>
      <c r="B989" s="696"/>
      <c r="C989" s="697"/>
      <c r="D989" s="695"/>
      <c r="E989" s="698"/>
      <c r="F989" s="698"/>
      <c r="G989" s="698"/>
      <c r="H989" s="698"/>
      <c r="I989" s="699"/>
      <c r="J989" s="699"/>
      <c r="K989" s="699"/>
      <c r="L989" s="697"/>
    </row>
    <row r="990" spans="1:12">
      <c r="A990" s="695">
        <v>45707</v>
      </c>
      <c r="B990" s="696" t="s">
        <v>4205</v>
      </c>
      <c r="C990" s="697">
        <v>28</v>
      </c>
      <c r="D990" s="695">
        <v>45735</v>
      </c>
      <c r="E990" s="698">
        <v>2</v>
      </c>
      <c r="F990" s="698">
        <v>3</v>
      </c>
      <c r="G990" s="698">
        <v>2</v>
      </c>
      <c r="H990" s="698">
        <v>0</v>
      </c>
      <c r="I990" s="699">
        <v>6.7500000000000004E-2</v>
      </c>
      <c r="J990" s="699">
        <v>7.9799999999999996E-2</v>
      </c>
      <c r="K990" s="699">
        <v>7.6100000000000001E-2</v>
      </c>
      <c r="L990" s="697">
        <v>3</v>
      </c>
    </row>
    <row r="991" spans="1:12">
      <c r="A991" s="695">
        <v>45707</v>
      </c>
      <c r="B991" s="696" t="s">
        <v>4206</v>
      </c>
      <c r="C991" s="697">
        <v>168</v>
      </c>
      <c r="D991" s="695">
        <v>45875</v>
      </c>
      <c r="E991" s="698">
        <v>2</v>
      </c>
      <c r="F991" s="698">
        <v>2.7</v>
      </c>
      <c r="G991" s="698">
        <v>2</v>
      </c>
      <c r="H991" s="698">
        <v>0</v>
      </c>
      <c r="I991" s="699">
        <v>7.0000000000000007E-2</v>
      </c>
      <c r="J991" s="699">
        <v>8.5000000000000006E-2</v>
      </c>
      <c r="K991" s="699">
        <v>7.8700000000000006E-2</v>
      </c>
      <c r="L991" s="697">
        <v>3</v>
      </c>
    </row>
    <row r="992" spans="1:12">
      <c r="A992" s="695">
        <v>45708</v>
      </c>
      <c r="B992" s="696" t="s">
        <v>4207</v>
      </c>
      <c r="C992" s="697">
        <v>84</v>
      </c>
      <c r="D992" s="695">
        <v>45792</v>
      </c>
      <c r="E992" s="698">
        <v>2</v>
      </c>
      <c r="F992" s="698">
        <v>4.8</v>
      </c>
      <c r="G992" s="698">
        <v>2</v>
      </c>
      <c r="H992" s="698">
        <v>0</v>
      </c>
      <c r="I992" s="699">
        <v>6.9000000000000006E-2</v>
      </c>
      <c r="J992" s="699">
        <v>8.2400000000000001E-2</v>
      </c>
      <c r="K992" s="699">
        <v>7.8899999999999998E-2</v>
      </c>
      <c r="L992" s="697">
        <v>4</v>
      </c>
    </row>
    <row r="993" spans="1:12">
      <c r="A993" s="695">
        <v>45708</v>
      </c>
      <c r="B993" s="696" t="s">
        <v>4208</v>
      </c>
      <c r="C993" s="697">
        <v>252</v>
      </c>
      <c r="D993" s="695">
        <v>45960</v>
      </c>
      <c r="E993" s="698">
        <v>2</v>
      </c>
      <c r="F993" s="698">
        <v>4.8</v>
      </c>
      <c r="G993" s="698">
        <v>2</v>
      </c>
      <c r="H993" s="698">
        <v>0</v>
      </c>
      <c r="I993" s="699">
        <v>7.2499999999999995E-2</v>
      </c>
      <c r="J993" s="699">
        <v>8.7499999999999994E-2</v>
      </c>
      <c r="K993" s="699">
        <v>8.14E-2</v>
      </c>
      <c r="L993" s="697">
        <v>4</v>
      </c>
    </row>
    <row r="994" spans="1:12">
      <c r="A994" s="695">
        <v>45714</v>
      </c>
      <c r="B994" s="696" t="s">
        <v>4209</v>
      </c>
      <c r="C994" s="697">
        <v>28</v>
      </c>
      <c r="D994" s="695">
        <v>45742</v>
      </c>
      <c r="E994" s="698">
        <v>2</v>
      </c>
      <c r="F994" s="698">
        <v>1.5</v>
      </c>
      <c r="G994" s="698">
        <v>1.5</v>
      </c>
      <c r="H994" s="698">
        <v>0</v>
      </c>
      <c r="I994" s="699">
        <v>7.0000000000000007E-2</v>
      </c>
      <c r="J994" s="699">
        <v>7.3999999999999996E-2</v>
      </c>
      <c r="K994" s="699">
        <v>7.2700000000000001E-2</v>
      </c>
      <c r="L994" s="697">
        <v>2</v>
      </c>
    </row>
    <row r="995" spans="1:12">
      <c r="A995" s="695">
        <v>45714</v>
      </c>
      <c r="B995" s="696" t="s">
        <v>4210</v>
      </c>
      <c r="C995" s="697">
        <v>168</v>
      </c>
      <c r="D995" s="695">
        <v>45882</v>
      </c>
      <c r="E995" s="698">
        <v>2</v>
      </c>
      <c r="F995" s="698">
        <v>5.5</v>
      </c>
      <c r="G995" s="698">
        <v>2</v>
      </c>
      <c r="H995" s="698">
        <v>0</v>
      </c>
      <c r="I995" s="699">
        <v>7.4999999999999997E-2</v>
      </c>
      <c r="J995" s="699">
        <v>8.4900000000000003E-2</v>
      </c>
      <c r="K995" s="699">
        <v>8.0399999999999999E-2</v>
      </c>
      <c r="L995" s="697">
        <v>5</v>
      </c>
    </row>
    <row r="996" spans="1:12">
      <c r="A996" s="695">
        <v>45715</v>
      </c>
      <c r="B996" s="696" t="s">
        <v>4211</v>
      </c>
      <c r="C996" s="697">
        <v>84</v>
      </c>
      <c r="D996" s="695">
        <v>45799</v>
      </c>
      <c r="E996" s="698">
        <v>2</v>
      </c>
      <c r="F996" s="698">
        <v>5.8</v>
      </c>
      <c r="G996" s="698">
        <v>2</v>
      </c>
      <c r="H996" s="698">
        <v>0</v>
      </c>
      <c r="I996" s="699">
        <v>7.2499999999999995E-2</v>
      </c>
      <c r="J996" s="699">
        <v>7.9799999999999996E-2</v>
      </c>
      <c r="K996" s="699">
        <v>7.8E-2</v>
      </c>
      <c r="L996" s="697">
        <v>5</v>
      </c>
    </row>
    <row r="997" spans="1:12">
      <c r="A997" s="695">
        <v>45715</v>
      </c>
      <c r="B997" s="696" t="s">
        <v>4212</v>
      </c>
      <c r="C997" s="697">
        <v>252</v>
      </c>
      <c r="D997" s="695">
        <v>45967</v>
      </c>
      <c r="E997" s="698">
        <v>2</v>
      </c>
      <c r="F997" s="698">
        <v>5.2</v>
      </c>
      <c r="G997" s="698">
        <v>2</v>
      </c>
      <c r="H997" s="698">
        <v>0</v>
      </c>
      <c r="I997" s="699">
        <v>7.7499999999999999E-2</v>
      </c>
      <c r="J997" s="699">
        <v>8.4900000000000003E-2</v>
      </c>
      <c r="K997" s="699">
        <v>8.2299999999999998E-2</v>
      </c>
      <c r="L997" s="697">
        <v>5</v>
      </c>
    </row>
    <row r="998" spans="1:12">
      <c r="A998" s="695">
        <v>45721</v>
      </c>
      <c r="B998" s="696" t="s">
        <v>4219</v>
      </c>
      <c r="C998" s="697">
        <v>28</v>
      </c>
      <c r="D998" s="695">
        <v>45749</v>
      </c>
      <c r="E998" s="698">
        <v>2</v>
      </c>
      <c r="F998" s="698">
        <v>7</v>
      </c>
      <c r="G998" s="698">
        <v>2</v>
      </c>
      <c r="H998" s="698">
        <v>0</v>
      </c>
      <c r="I998" s="699">
        <v>7.0000000000000007E-2</v>
      </c>
      <c r="J998" s="699">
        <v>7.1999999999999995E-2</v>
      </c>
      <c r="K998" s="699">
        <v>7.1199999999999999E-2</v>
      </c>
      <c r="L998" s="697">
        <v>6</v>
      </c>
    </row>
    <row r="999" spans="1:12">
      <c r="A999" s="695">
        <v>45721</v>
      </c>
      <c r="B999" s="696" t="s">
        <v>4220</v>
      </c>
      <c r="C999" s="697">
        <v>168</v>
      </c>
      <c r="D999" s="695">
        <v>45889</v>
      </c>
      <c r="E999" s="698">
        <v>2</v>
      </c>
      <c r="F999" s="698">
        <v>6.2</v>
      </c>
      <c r="G999" s="698">
        <v>2</v>
      </c>
      <c r="H999" s="698">
        <v>0</v>
      </c>
      <c r="I999" s="699">
        <v>7.4999999999999997E-2</v>
      </c>
      <c r="J999" s="699">
        <v>0.08</v>
      </c>
      <c r="K999" s="699">
        <v>7.8100000000000003E-2</v>
      </c>
      <c r="L999" s="697">
        <v>6</v>
      </c>
    </row>
    <row r="1000" spans="1:12">
      <c r="A1000" s="695">
        <v>45722</v>
      </c>
      <c r="B1000" s="696" t="s">
        <v>4221</v>
      </c>
      <c r="C1000" s="697">
        <v>84</v>
      </c>
      <c r="D1000" s="695">
        <v>45806</v>
      </c>
      <c r="E1000" s="698">
        <v>2</v>
      </c>
      <c r="F1000" s="698">
        <v>5.8</v>
      </c>
      <c r="G1000" s="698">
        <v>2</v>
      </c>
      <c r="H1000" s="698">
        <v>0</v>
      </c>
      <c r="I1000" s="699">
        <v>7.2499999999999995E-2</v>
      </c>
      <c r="J1000" s="699">
        <v>7.2499999999999995E-2</v>
      </c>
      <c r="K1000" s="699">
        <v>7.2499999999999995E-2</v>
      </c>
      <c r="L1000" s="697">
        <v>5</v>
      </c>
    </row>
    <row r="1001" spans="1:12">
      <c r="A1001" s="695">
        <v>45722</v>
      </c>
      <c r="B1001" s="696" t="s">
        <v>4222</v>
      </c>
      <c r="C1001" s="697">
        <v>252</v>
      </c>
      <c r="D1001" s="695">
        <v>45974</v>
      </c>
      <c r="E1001" s="698">
        <v>2</v>
      </c>
      <c r="F1001" s="698">
        <v>7.2</v>
      </c>
      <c r="G1001" s="698">
        <v>2</v>
      </c>
      <c r="H1001" s="698">
        <v>0</v>
      </c>
      <c r="I1001" s="699">
        <v>7.7499999999999999E-2</v>
      </c>
      <c r="J1001" s="699">
        <v>7.7499999999999999E-2</v>
      </c>
      <c r="K1001" s="699">
        <v>7.7499999999999999E-2</v>
      </c>
      <c r="L1001" s="697">
        <v>6</v>
      </c>
    </row>
    <row r="1002" spans="1:12">
      <c r="A1002" s="695">
        <v>45728</v>
      </c>
      <c r="B1002" s="696" t="s">
        <v>4223</v>
      </c>
      <c r="C1002" s="697">
        <v>28</v>
      </c>
      <c r="D1002" s="695">
        <v>45756</v>
      </c>
      <c r="E1002" s="698">
        <v>2</v>
      </c>
      <c r="F1002" s="698">
        <v>7.5</v>
      </c>
      <c r="G1002" s="698">
        <v>2</v>
      </c>
      <c r="H1002" s="698">
        <v>0</v>
      </c>
      <c r="I1002" s="699">
        <v>7.0000000000000007E-2</v>
      </c>
      <c r="J1002" s="699">
        <v>7.0000000000000007E-2</v>
      </c>
      <c r="K1002" s="699">
        <v>7.0000000000000007E-2</v>
      </c>
      <c r="L1002" s="697">
        <v>5</v>
      </c>
    </row>
    <row r="1003" spans="1:12">
      <c r="A1003" s="695">
        <v>45728</v>
      </c>
      <c r="B1003" s="696" t="s">
        <v>4224</v>
      </c>
      <c r="C1003" s="697">
        <v>168</v>
      </c>
      <c r="D1003" s="695">
        <v>45896</v>
      </c>
      <c r="E1003" s="698">
        <v>2</v>
      </c>
      <c r="F1003" s="698">
        <v>6.8</v>
      </c>
      <c r="G1003" s="698">
        <v>2</v>
      </c>
      <c r="H1003" s="698">
        <v>0</v>
      </c>
      <c r="I1003" s="699">
        <v>7.6999999999999999E-2</v>
      </c>
      <c r="J1003" s="699">
        <v>7.6999999999999999E-2</v>
      </c>
      <c r="K1003" s="699">
        <v>7.6999999999999999E-2</v>
      </c>
      <c r="L1003" s="697">
        <v>5</v>
      </c>
    </row>
    <row r="1004" spans="1:12">
      <c r="A1004" s="695">
        <v>45729</v>
      </c>
      <c r="B1004" s="696" t="s">
        <v>4225</v>
      </c>
      <c r="C1004" s="697">
        <v>84</v>
      </c>
      <c r="D1004" s="695">
        <v>45813</v>
      </c>
      <c r="E1004" s="698">
        <v>2</v>
      </c>
      <c r="F1004" s="698">
        <v>7</v>
      </c>
      <c r="G1004" s="698">
        <v>2</v>
      </c>
      <c r="H1004" s="698">
        <v>0</v>
      </c>
      <c r="I1004" s="699">
        <v>7.1499999999999994E-2</v>
      </c>
      <c r="J1004" s="699">
        <v>7.2400000000000006E-2</v>
      </c>
      <c r="K1004" s="699">
        <v>7.1599999999999997E-2</v>
      </c>
      <c r="L1004" s="697">
        <v>6</v>
      </c>
    </row>
    <row r="1005" spans="1:12">
      <c r="A1005" s="695">
        <v>45729</v>
      </c>
      <c r="B1005" s="696" t="s">
        <v>4226</v>
      </c>
      <c r="C1005" s="697">
        <v>252</v>
      </c>
      <c r="D1005" s="695">
        <v>45981</v>
      </c>
      <c r="E1005" s="698">
        <v>2</v>
      </c>
      <c r="F1005" s="698">
        <v>5.2</v>
      </c>
      <c r="G1005" s="698">
        <v>2</v>
      </c>
      <c r="H1005" s="698">
        <v>0</v>
      </c>
      <c r="I1005" s="699">
        <v>7.6999999999999999E-2</v>
      </c>
      <c r="J1005" s="699">
        <v>7.8E-2</v>
      </c>
      <c r="K1005" s="699">
        <v>7.7100000000000002E-2</v>
      </c>
      <c r="L1005" s="697">
        <v>5</v>
      </c>
    </row>
    <row r="1006" spans="1:12">
      <c r="A1006" s="695">
        <v>45735</v>
      </c>
      <c r="B1006" s="696" t="s">
        <v>4227</v>
      </c>
      <c r="C1006" s="697">
        <v>28</v>
      </c>
      <c r="D1006" s="695">
        <v>45763</v>
      </c>
      <c r="E1006" s="698">
        <v>2</v>
      </c>
      <c r="F1006" s="698">
        <v>0.5</v>
      </c>
      <c r="G1006" s="698">
        <v>0.5</v>
      </c>
      <c r="H1006" s="698">
        <v>0</v>
      </c>
      <c r="I1006" s="699">
        <v>7.0000000000000007E-2</v>
      </c>
      <c r="J1006" s="699">
        <v>7.0000000000000007E-2</v>
      </c>
      <c r="K1006" s="699">
        <v>7.0000000000000007E-2</v>
      </c>
      <c r="L1006" s="697">
        <v>1</v>
      </c>
    </row>
    <row r="1007" spans="1:12">
      <c r="A1007" s="695">
        <v>45735</v>
      </c>
      <c r="B1007" s="696" t="s">
        <v>4228</v>
      </c>
      <c r="C1007" s="697">
        <v>168</v>
      </c>
      <c r="D1007" s="695">
        <v>45903</v>
      </c>
      <c r="E1007" s="698">
        <v>2</v>
      </c>
      <c r="F1007" s="698">
        <v>0.2</v>
      </c>
      <c r="G1007" s="698">
        <v>0.2</v>
      </c>
      <c r="H1007" s="698">
        <v>0</v>
      </c>
      <c r="I1007" s="699">
        <v>7.4999999999999997E-2</v>
      </c>
      <c r="J1007" s="699">
        <v>7.4999999999999997E-2</v>
      </c>
      <c r="K1007" s="699">
        <v>7.4999999999999997E-2</v>
      </c>
      <c r="L1007" s="697">
        <v>1</v>
      </c>
    </row>
    <row r="1008" spans="1:12">
      <c r="A1008" s="695">
        <v>45749</v>
      </c>
      <c r="B1008" s="696" t="s">
        <v>4229</v>
      </c>
      <c r="C1008" s="697">
        <v>28</v>
      </c>
      <c r="D1008" s="695">
        <v>45777</v>
      </c>
      <c r="E1008" s="698">
        <v>2</v>
      </c>
      <c r="F1008" s="698">
        <v>1</v>
      </c>
      <c r="G1008" s="698">
        <v>1</v>
      </c>
      <c r="H1008" s="698">
        <v>0</v>
      </c>
      <c r="I1008" s="699">
        <v>6.9000000000000006E-2</v>
      </c>
      <c r="J1008" s="699">
        <v>6.9000000000000006E-2</v>
      </c>
      <c r="K1008" s="699">
        <v>6.9000000000000006E-2</v>
      </c>
      <c r="L1008" s="697">
        <v>1</v>
      </c>
    </row>
    <row r="1009" spans="1:12">
      <c r="A1009" s="695">
        <v>45749</v>
      </c>
      <c r="B1009" s="696" t="s">
        <v>4230</v>
      </c>
      <c r="C1009" s="697">
        <v>168</v>
      </c>
      <c r="D1009" s="695">
        <v>45917</v>
      </c>
      <c r="E1009" s="698">
        <v>2</v>
      </c>
      <c r="F1009" s="698">
        <v>2</v>
      </c>
      <c r="G1009" s="698">
        <v>2</v>
      </c>
      <c r="H1009" s="698">
        <v>0</v>
      </c>
      <c r="I1009" s="699">
        <v>7.3999999999999996E-2</v>
      </c>
      <c r="J1009" s="699">
        <v>7.3999999999999996E-2</v>
      </c>
      <c r="K1009" s="699">
        <v>7.3999999999999996E-2</v>
      </c>
      <c r="L1009" s="697">
        <v>1</v>
      </c>
    </row>
    <row r="1010" spans="1:12">
      <c r="A1010" s="695">
        <v>45750</v>
      </c>
      <c r="B1010" s="696" t="s">
        <v>4231</v>
      </c>
      <c r="C1010" s="697">
        <v>84</v>
      </c>
      <c r="D1010" s="695">
        <v>45834</v>
      </c>
      <c r="E1010" s="698">
        <v>2</v>
      </c>
      <c r="F1010" s="698">
        <v>4.3</v>
      </c>
      <c r="G1010" s="698">
        <v>2</v>
      </c>
      <c r="H1010" s="698">
        <v>0</v>
      </c>
      <c r="I1010" s="699">
        <v>7.0999999999999994E-2</v>
      </c>
      <c r="J1010" s="699">
        <v>7.0999999999999994E-2</v>
      </c>
      <c r="K1010" s="699">
        <v>7.0999999999999994E-2</v>
      </c>
      <c r="L1010" s="697">
        <v>3</v>
      </c>
    </row>
    <row r="1011" spans="1:12">
      <c r="A1011" s="695">
        <v>45750</v>
      </c>
      <c r="B1011" s="696" t="s">
        <v>4232</v>
      </c>
      <c r="C1011" s="697">
        <v>252</v>
      </c>
      <c r="D1011" s="695">
        <v>46002</v>
      </c>
      <c r="E1011" s="698">
        <v>2</v>
      </c>
      <c r="F1011" s="698">
        <v>4.2</v>
      </c>
      <c r="G1011" s="698">
        <v>2</v>
      </c>
      <c r="H1011" s="698">
        <v>0</v>
      </c>
      <c r="I1011" s="699">
        <v>7.6999999999999999E-2</v>
      </c>
      <c r="J1011" s="699">
        <v>7.6999999999999999E-2</v>
      </c>
      <c r="K1011" s="699">
        <v>7.6999999999999999E-2</v>
      </c>
      <c r="L1011" s="697">
        <v>3</v>
      </c>
    </row>
    <row r="1012" spans="1:12">
      <c r="A1012" s="695">
        <v>45756</v>
      </c>
      <c r="B1012" s="696" t="s">
        <v>4233</v>
      </c>
      <c r="C1012" s="697">
        <v>28</v>
      </c>
      <c r="D1012" s="695">
        <v>45784</v>
      </c>
      <c r="E1012" s="698">
        <v>2</v>
      </c>
      <c r="F1012" s="698">
        <v>4.5</v>
      </c>
      <c r="G1012" s="698">
        <v>2</v>
      </c>
      <c r="H1012" s="698">
        <v>0</v>
      </c>
      <c r="I1012" s="699">
        <v>6.9000000000000006E-2</v>
      </c>
      <c r="J1012" s="699">
        <v>6.9800000000000001E-2</v>
      </c>
      <c r="K1012" s="699">
        <v>6.9400000000000003E-2</v>
      </c>
      <c r="L1012" s="697">
        <v>4</v>
      </c>
    </row>
    <row r="1013" spans="1:12">
      <c r="A1013" s="695">
        <v>45756</v>
      </c>
      <c r="B1013" s="696" t="s">
        <v>4234</v>
      </c>
      <c r="C1013" s="697">
        <v>168</v>
      </c>
      <c r="D1013" s="695">
        <v>45924</v>
      </c>
      <c r="E1013" s="698">
        <v>2</v>
      </c>
      <c r="F1013" s="698">
        <v>3.2</v>
      </c>
      <c r="G1013" s="698">
        <v>2</v>
      </c>
      <c r="H1013" s="698">
        <v>0</v>
      </c>
      <c r="I1013" s="699">
        <v>7.3999999999999996E-2</v>
      </c>
      <c r="J1013" s="699">
        <v>7.3999999999999996E-2</v>
      </c>
      <c r="K1013" s="699">
        <v>7.3999999999999996E-2</v>
      </c>
      <c r="L1013" s="697">
        <v>3</v>
      </c>
    </row>
    <row r="1014" spans="1:12">
      <c r="A1014" s="695">
        <v>45757</v>
      </c>
      <c r="B1014" s="696" t="s">
        <v>4235</v>
      </c>
      <c r="C1014" s="697">
        <v>84</v>
      </c>
      <c r="D1014" s="695">
        <v>45841</v>
      </c>
      <c r="E1014" s="698">
        <v>2</v>
      </c>
      <c r="F1014" s="698">
        <v>2.2999999999999998</v>
      </c>
      <c r="G1014" s="698">
        <v>2</v>
      </c>
      <c r="H1014" s="698">
        <v>0</v>
      </c>
      <c r="I1014" s="699">
        <v>7.0999999999999994E-2</v>
      </c>
      <c r="J1014" s="699">
        <v>7.0999999999999994E-2</v>
      </c>
      <c r="K1014" s="699">
        <v>7.0999999999999994E-2</v>
      </c>
      <c r="L1014" s="697">
        <v>2</v>
      </c>
    </row>
    <row r="1015" spans="1:12">
      <c r="A1015" s="695">
        <v>45757</v>
      </c>
      <c r="B1015" s="696" t="s">
        <v>4236</v>
      </c>
      <c r="C1015" s="697">
        <v>252</v>
      </c>
      <c r="D1015" s="695">
        <v>46009</v>
      </c>
      <c r="E1015" s="698">
        <v>2</v>
      </c>
      <c r="F1015" s="698">
        <v>2.2000000000000002</v>
      </c>
      <c r="G1015" s="698">
        <v>2</v>
      </c>
      <c r="H1015" s="698">
        <v>0</v>
      </c>
      <c r="I1015" s="699">
        <v>7.6999999999999999E-2</v>
      </c>
      <c r="J1015" s="699">
        <v>7.6999999999999999E-2</v>
      </c>
      <c r="K1015" s="699">
        <v>7.6999999999999999E-2</v>
      </c>
      <c r="L1015" s="697">
        <v>2</v>
      </c>
    </row>
    <row r="1016" spans="1:12">
      <c r="A1016" s="695">
        <v>45763</v>
      </c>
      <c r="B1016" s="696" t="s">
        <v>4237</v>
      </c>
      <c r="C1016" s="697">
        <v>28</v>
      </c>
      <c r="D1016" s="695">
        <v>45791</v>
      </c>
      <c r="E1016" s="698">
        <v>2</v>
      </c>
      <c r="F1016" s="698">
        <v>3.5</v>
      </c>
      <c r="G1016" s="698">
        <v>2</v>
      </c>
      <c r="H1016" s="698">
        <v>0</v>
      </c>
      <c r="I1016" s="699">
        <v>6.9000000000000006E-2</v>
      </c>
      <c r="J1016" s="699">
        <v>6.9699999999999998E-2</v>
      </c>
      <c r="K1016" s="699">
        <v>6.93E-2</v>
      </c>
      <c r="L1016" s="697">
        <v>3</v>
      </c>
    </row>
    <row r="1017" spans="1:12">
      <c r="A1017" s="695">
        <v>45763</v>
      </c>
      <c r="B1017" s="696" t="s">
        <v>4238</v>
      </c>
      <c r="C1017" s="697">
        <v>168</v>
      </c>
      <c r="D1017" s="695">
        <v>45931</v>
      </c>
      <c r="E1017" s="698">
        <v>2</v>
      </c>
      <c r="F1017" s="698">
        <v>2.2000000000000002</v>
      </c>
      <c r="G1017" s="698">
        <v>2</v>
      </c>
      <c r="H1017" s="698">
        <v>0</v>
      </c>
      <c r="I1017" s="699">
        <v>7.3999999999999996E-2</v>
      </c>
      <c r="J1017" s="699">
        <v>7.3999999999999996E-2</v>
      </c>
      <c r="K1017" s="699">
        <v>7.3999999999999996E-2</v>
      </c>
      <c r="L1017" s="697">
        <v>2</v>
      </c>
    </row>
    <row r="1018" spans="1:12">
      <c r="A1018" s="695">
        <v>45764</v>
      </c>
      <c r="B1018" s="696" t="s">
        <v>4239</v>
      </c>
      <c r="C1018" s="697">
        <v>84</v>
      </c>
      <c r="D1018" s="695">
        <v>45848</v>
      </c>
      <c r="E1018" s="698">
        <v>2</v>
      </c>
      <c r="F1018" s="698">
        <v>4.3</v>
      </c>
      <c r="G1018" s="698">
        <v>2</v>
      </c>
      <c r="H1018" s="698">
        <v>0</v>
      </c>
      <c r="I1018" s="699">
        <v>7.0800000000000002E-2</v>
      </c>
      <c r="J1018" s="699">
        <v>7.0800000000000002E-2</v>
      </c>
      <c r="K1018" s="699">
        <v>7.0800000000000002E-2</v>
      </c>
      <c r="L1018" s="697">
        <v>3</v>
      </c>
    </row>
    <row r="1019" spans="1:12">
      <c r="A1019" s="695">
        <v>45764</v>
      </c>
      <c r="B1019" s="696" t="s">
        <v>4240</v>
      </c>
      <c r="C1019" s="697">
        <v>252</v>
      </c>
      <c r="D1019" s="695">
        <v>46016</v>
      </c>
      <c r="E1019" s="698">
        <v>2</v>
      </c>
      <c r="F1019" s="698">
        <v>2.2000000000000002</v>
      </c>
      <c r="G1019" s="698">
        <v>2</v>
      </c>
      <c r="H1019" s="698">
        <v>0</v>
      </c>
      <c r="I1019" s="699">
        <v>7.6999999999999999E-2</v>
      </c>
      <c r="J1019" s="699">
        <v>7.6999999999999999E-2</v>
      </c>
      <c r="K1019" s="699">
        <v>7.6999999999999999E-2</v>
      </c>
      <c r="L1019" s="697">
        <v>2</v>
      </c>
    </row>
    <row r="1020" spans="1:12">
      <c r="A1020" s="695">
        <v>45770</v>
      </c>
      <c r="B1020" s="696" t="s">
        <v>4241</v>
      </c>
      <c r="C1020" s="697">
        <v>28</v>
      </c>
      <c r="D1020" s="695">
        <v>45798</v>
      </c>
      <c r="E1020" s="698">
        <v>2</v>
      </c>
      <c r="F1020" s="698">
        <v>3.5</v>
      </c>
      <c r="G1020" s="698">
        <v>2</v>
      </c>
      <c r="H1020" s="698">
        <v>0</v>
      </c>
      <c r="I1020" s="699">
        <v>6.9000000000000006E-2</v>
      </c>
      <c r="J1020" s="699">
        <v>6.9599999999999995E-2</v>
      </c>
      <c r="K1020" s="699">
        <v>6.93E-2</v>
      </c>
      <c r="L1020" s="697">
        <v>3</v>
      </c>
    </row>
    <row r="1021" spans="1:12">
      <c r="A1021" s="695">
        <v>45770</v>
      </c>
      <c r="B1021" s="696" t="s">
        <v>4242</v>
      </c>
      <c r="C1021" s="697">
        <v>168</v>
      </c>
      <c r="D1021" s="695">
        <v>45938</v>
      </c>
      <c r="E1021" s="698">
        <v>2</v>
      </c>
      <c r="F1021" s="698">
        <v>2.2000000000000002</v>
      </c>
      <c r="G1021" s="698">
        <v>2</v>
      </c>
      <c r="H1021" s="698">
        <v>0</v>
      </c>
      <c r="I1021" s="699">
        <v>7.3999999999999996E-2</v>
      </c>
      <c r="J1021" s="699">
        <v>7.3999999999999996E-2</v>
      </c>
      <c r="K1021" s="699">
        <v>7.3999999999999996E-2</v>
      </c>
      <c r="L1021" s="697">
        <v>2</v>
      </c>
    </row>
    <row r="1022" spans="1:12">
      <c r="A1022" s="695">
        <v>45771</v>
      </c>
      <c r="B1022" s="696" t="s">
        <v>4243</v>
      </c>
      <c r="C1022" s="697">
        <v>84</v>
      </c>
      <c r="D1022" s="695">
        <v>45855</v>
      </c>
      <c r="E1022" s="698">
        <v>2</v>
      </c>
      <c r="F1022" s="698">
        <v>2.2999999999999998</v>
      </c>
      <c r="G1022" s="698">
        <v>2</v>
      </c>
      <c r="H1022" s="698">
        <v>0</v>
      </c>
      <c r="I1022" s="699">
        <v>7.0999999999999994E-2</v>
      </c>
      <c r="J1022" s="699">
        <v>7.0999999999999994E-2</v>
      </c>
      <c r="K1022" s="699">
        <v>7.0999999999999994E-2</v>
      </c>
      <c r="L1022" s="697">
        <v>2</v>
      </c>
    </row>
    <row r="1023" spans="1:12">
      <c r="A1023" s="695">
        <v>45771</v>
      </c>
      <c r="B1023" s="696" t="s">
        <v>4244</v>
      </c>
      <c r="C1023" s="697">
        <v>252</v>
      </c>
      <c r="D1023" s="695">
        <v>46023</v>
      </c>
      <c r="E1023" s="698">
        <v>2</v>
      </c>
      <c r="F1023" s="698">
        <v>2.2000000000000002</v>
      </c>
      <c r="G1023" s="698">
        <v>2</v>
      </c>
      <c r="H1023" s="698">
        <v>0</v>
      </c>
      <c r="I1023" s="699">
        <v>7.6999999999999999E-2</v>
      </c>
      <c r="J1023" s="699">
        <v>7.6999999999999999E-2</v>
      </c>
      <c r="K1023" s="699">
        <v>7.6999999999999999E-2</v>
      </c>
      <c r="L1023" s="697">
        <v>2</v>
      </c>
    </row>
    <row r="1024" spans="1:12">
      <c r="A1024" s="695">
        <v>45777</v>
      </c>
      <c r="B1024" s="696" t="s">
        <v>4245</v>
      </c>
      <c r="C1024" s="697">
        <v>28</v>
      </c>
      <c r="D1024" s="695">
        <v>45805</v>
      </c>
      <c r="E1024" s="698">
        <v>2</v>
      </c>
      <c r="F1024" s="698">
        <v>2.5</v>
      </c>
      <c r="G1024" s="698">
        <v>2</v>
      </c>
      <c r="H1024" s="698">
        <v>0</v>
      </c>
      <c r="I1024" s="699">
        <v>6.9000000000000006E-2</v>
      </c>
      <c r="J1024" s="699">
        <v>7.17E-2</v>
      </c>
      <c r="K1024" s="699">
        <v>6.9900000000000004E-2</v>
      </c>
      <c r="L1024" s="697">
        <v>3</v>
      </c>
    </row>
    <row r="1025" spans="1:12">
      <c r="A1025" s="695">
        <v>45777</v>
      </c>
      <c r="B1025" s="696" t="s">
        <v>4246</v>
      </c>
      <c r="C1025" s="697">
        <v>168</v>
      </c>
      <c r="D1025" s="695">
        <v>45945</v>
      </c>
      <c r="E1025" s="698">
        <v>2</v>
      </c>
      <c r="F1025" s="698">
        <v>4.2</v>
      </c>
      <c r="G1025" s="698">
        <v>2</v>
      </c>
      <c r="H1025" s="698">
        <v>0</v>
      </c>
      <c r="I1025" s="699">
        <v>7.3800000000000004E-2</v>
      </c>
      <c r="J1025" s="699">
        <v>7.3800000000000004E-2</v>
      </c>
      <c r="K1025" s="699">
        <v>7.3800000000000004E-2</v>
      </c>
      <c r="L1025" s="697">
        <v>3</v>
      </c>
    </row>
    <row r="1026" spans="1:12">
      <c r="A1026" s="695">
        <v>45778</v>
      </c>
      <c r="B1026" s="696" t="s">
        <v>4261</v>
      </c>
      <c r="C1026" s="697">
        <v>84</v>
      </c>
      <c r="D1026" s="695">
        <v>45862</v>
      </c>
      <c r="E1026" s="698">
        <v>2</v>
      </c>
      <c r="F1026" s="698">
        <v>3.3</v>
      </c>
      <c r="G1026" s="698">
        <v>2</v>
      </c>
      <c r="H1026" s="698">
        <v>0</v>
      </c>
      <c r="I1026" s="699">
        <v>7.0699999999999999E-2</v>
      </c>
      <c r="J1026" s="699">
        <v>7.0699999999999999E-2</v>
      </c>
      <c r="K1026" s="699">
        <v>7.0699999999999999E-2</v>
      </c>
      <c r="L1026" s="697">
        <v>3</v>
      </c>
    </row>
    <row r="1027" spans="1:12">
      <c r="A1027" s="695">
        <v>45778</v>
      </c>
      <c r="B1027" s="696" t="s">
        <v>4262</v>
      </c>
      <c r="C1027" s="697">
        <v>252</v>
      </c>
      <c r="D1027" s="695">
        <v>46030</v>
      </c>
      <c r="E1027" s="698">
        <v>2</v>
      </c>
      <c r="F1027" s="698">
        <v>4.2</v>
      </c>
      <c r="G1027" s="698">
        <v>2</v>
      </c>
      <c r="H1027" s="698">
        <v>0</v>
      </c>
      <c r="I1027" s="699">
        <v>7.6499999999999999E-2</v>
      </c>
      <c r="J1027" s="699">
        <v>7.6499999999999999E-2</v>
      </c>
      <c r="K1027" s="699">
        <v>7.6499999999999999E-2</v>
      </c>
      <c r="L1027" s="697">
        <v>3</v>
      </c>
    </row>
    <row r="1028" spans="1:12">
      <c r="A1028" s="695">
        <v>45784</v>
      </c>
      <c r="B1028" s="696" t="s">
        <v>4263</v>
      </c>
      <c r="C1028" s="697">
        <v>28</v>
      </c>
      <c r="D1028" s="695">
        <v>45812</v>
      </c>
      <c r="E1028" s="698">
        <v>10</v>
      </c>
      <c r="F1028" s="698">
        <v>14.5</v>
      </c>
      <c r="G1028" s="698">
        <v>10</v>
      </c>
      <c r="H1028" s="698">
        <v>0</v>
      </c>
      <c r="I1028" s="699">
        <v>7.0999999999999994E-2</v>
      </c>
      <c r="J1028" s="699">
        <v>7.1499999999999994E-2</v>
      </c>
      <c r="K1028" s="699">
        <v>7.1400000000000005E-2</v>
      </c>
      <c r="L1028" s="697">
        <v>5</v>
      </c>
    </row>
    <row r="1029" spans="1:12">
      <c r="A1029" s="695">
        <v>45784</v>
      </c>
      <c r="B1029" s="696" t="s">
        <v>4264</v>
      </c>
      <c r="C1029" s="697">
        <v>168</v>
      </c>
      <c r="D1029" s="695">
        <v>45952</v>
      </c>
      <c r="E1029" s="698">
        <v>5</v>
      </c>
      <c r="F1029" s="698">
        <v>10.1</v>
      </c>
      <c r="G1029" s="698">
        <v>5</v>
      </c>
      <c r="H1029" s="698">
        <v>0</v>
      </c>
      <c r="I1029" s="699">
        <v>7.3499999999999996E-2</v>
      </c>
      <c r="J1029" s="699">
        <v>7.3800000000000004E-2</v>
      </c>
      <c r="K1029" s="699">
        <v>7.3800000000000004E-2</v>
      </c>
      <c r="L1029" s="697">
        <v>5</v>
      </c>
    </row>
    <row r="1030" spans="1:12">
      <c r="A1030" s="695">
        <v>45785</v>
      </c>
      <c r="B1030" s="696" t="s">
        <v>4265</v>
      </c>
      <c r="C1030" s="697">
        <v>84</v>
      </c>
      <c r="D1030" s="695">
        <v>45869</v>
      </c>
      <c r="E1030" s="698">
        <v>10</v>
      </c>
      <c r="F1030" s="698">
        <v>12.1</v>
      </c>
      <c r="G1030" s="698">
        <v>10</v>
      </c>
      <c r="H1030" s="698">
        <v>0</v>
      </c>
      <c r="I1030" s="699">
        <v>7.0699999999999999E-2</v>
      </c>
      <c r="J1030" s="699">
        <v>7.1999999999999995E-2</v>
      </c>
      <c r="K1030" s="699">
        <v>7.17E-2</v>
      </c>
      <c r="L1030" s="697">
        <v>4</v>
      </c>
    </row>
    <row r="1031" spans="1:12">
      <c r="A1031" s="695">
        <v>45785</v>
      </c>
      <c r="B1031" s="696" t="s">
        <v>4266</v>
      </c>
      <c r="C1031" s="697">
        <v>252</v>
      </c>
      <c r="D1031" s="695">
        <v>46037</v>
      </c>
      <c r="E1031" s="698">
        <v>5</v>
      </c>
      <c r="F1031" s="698">
        <v>11.2</v>
      </c>
      <c r="G1031" s="698">
        <v>5</v>
      </c>
      <c r="H1031" s="698">
        <v>0</v>
      </c>
      <c r="I1031" s="699">
        <v>7.6399999999999996E-2</v>
      </c>
      <c r="J1031" s="699">
        <v>7.6399999999999996E-2</v>
      </c>
      <c r="K1031" s="699">
        <v>7.6399999999999996E-2</v>
      </c>
      <c r="L1031" s="697">
        <v>4</v>
      </c>
    </row>
    <row r="1032" spans="1:12">
      <c r="A1032" s="695">
        <v>45791</v>
      </c>
      <c r="B1032" s="696" t="s">
        <v>4267</v>
      </c>
      <c r="C1032" s="697">
        <v>28</v>
      </c>
      <c r="D1032" s="695">
        <v>45819</v>
      </c>
      <c r="E1032" s="698">
        <v>10</v>
      </c>
      <c r="F1032" s="698">
        <v>12.6</v>
      </c>
      <c r="G1032" s="698">
        <v>10</v>
      </c>
      <c r="H1032" s="698">
        <v>0</v>
      </c>
      <c r="I1032" s="699">
        <v>7.0999999999999994E-2</v>
      </c>
      <c r="J1032" s="699">
        <v>7.1499999999999994E-2</v>
      </c>
      <c r="K1032" s="699">
        <v>7.1400000000000005E-2</v>
      </c>
      <c r="L1032" s="697">
        <v>4</v>
      </c>
    </row>
    <row r="1033" spans="1:12">
      <c r="A1033" s="695">
        <v>45791</v>
      </c>
      <c r="B1033" s="696" t="s">
        <v>4268</v>
      </c>
      <c r="C1033" s="697">
        <v>168</v>
      </c>
      <c r="D1033" s="695">
        <v>45959</v>
      </c>
      <c r="E1033" s="698">
        <v>5</v>
      </c>
      <c r="F1033" s="698">
        <v>11.3</v>
      </c>
      <c r="G1033" s="698">
        <v>5</v>
      </c>
      <c r="H1033" s="698">
        <v>0</v>
      </c>
      <c r="I1033" s="699">
        <v>7.3400000000000007E-2</v>
      </c>
      <c r="J1033" s="699">
        <v>7.3499999999999996E-2</v>
      </c>
      <c r="K1033" s="699">
        <v>7.3400000000000007E-2</v>
      </c>
      <c r="L1033" s="697">
        <v>4</v>
      </c>
    </row>
    <row r="1034" spans="1:12">
      <c r="A1034" s="695">
        <v>45792</v>
      </c>
      <c r="B1034" s="696" t="s">
        <v>4269</v>
      </c>
      <c r="C1034" s="697">
        <v>84</v>
      </c>
      <c r="D1034" s="695">
        <v>45876</v>
      </c>
      <c r="E1034" s="698">
        <v>10</v>
      </c>
      <c r="F1034" s="698">
        <v>11.1</v>
      </c>
      <c r="G1034" s="698">
        <v>10</v>
      </c>
      <c r="H1034" s="698">
        <v>0</v>
      </c>
      <c r="I1034" s="699">
        <v>7.17E-2</v>
      </c>
      <c r="J1034" s="699">
        <v>7.2499999999999995E-2</v>
      </c>
      <c r="K1034" s="699">
        <v>7.1800000000000003E-2</v>
      </c>
      <c r="L1034" s="697">
        <v>3</v>
      </c>
    </row>
    <row r="1035" spans="1:12">
      <c r="A1035" s="695">
        <v>45792</v>
      </c>
      <c r="B1035" s="696" t="s">
        <v>4270</v>
      </c>
      <c r="C1035" s="697">
        <v>252</v>
      </c>
      <c r="D1035" s="695">
        <v>46044</v>
      </c>
      <c r="E1035" s="698">
        <v>5</v>
      </c>
      <c r="F1035" s="698">
        <v>10.199999999999999</v>
      </c>
      <c r="G1035" s="698">
        <v>5</v>
      </c>
      <c r="H1035" s="698">
        <v>0</v>
      </c>
      <c r="I1035" s="699">
        <v>7.5899999999999995E-2</v>
      </c>
      <c r="J1035" s="699">
        <v>7.6200000000000004E-2</v>
      </c>
      <c r="K1035" s="699">
        <v>7.5899999999999995E-2</v>
      </c>
      <c r="L1035" s="697">
        <v>3</v>
      </c>
    </row>
    <row r="1036" spans="1:12">
      <c r="A1036" s="695">
        <v>45798</v>
      </c>
      <c r="B1036" s="696" t="s">
        <v>4271</v>
      </c>
      <c r="C1036" s="697">
        <v>28</v>
      </c>
      <c r="D1036" s="695">
        <v>45826</v>
      </c>
      <c r="E1036" s="698">
        <v>15</v>
      </c>
      <c r="F1036" s="698">
        <v>18</v>
      </c>
      <c r="G1036" s="698">
        <v>15</v>
      </c>
      <c r="H1036" s="698">
        <v>0</v>
      </c>
      <c r="I1036" s="699">
        <v>7.0000000000000007E-2</v>
      </c>
      <c r="J1036" s="699">
        <v>7.1400000000000005E-2</v>
      </c>
      <c r="K1036" s="699">
        <v>7.0900000000000005E-2</v>
      </c>
      <c r="L1036" s="697">
        <v>4</v>
      </c>
    </row>
    <row r="1037" spans="1:12">
      <c r="A1037" s="695">
        <v>45798</v>
      </c>
      <c r="B1037" s="696" t="s">
        <v>4272</v>
      </c>
      <c r="C1037" s="697">
        <v>168</v>
      </c>
      <c r="D1037" s="695">
        <v>45966</v>
      </c>
      <c r="E1037" s="698">
        <v>10</v>
      </c>
      <c r="F1037" s="698">
        <v>11.2</v>
      </c>
      <c r="G1037" s="698">
        <v>10</v>
      </c>
      <c r="H1037" s="698">
        <v>0</v>
      </c>
      <c r="I1037" s="699">
        <v>7.3400000000000007E-2</v>
      </c>
      <c r="J1037" s="699">
        <v>7.4499999999999997E-2</v>
      </c>
      <c r="K1037" s="699">
        <v>7.3499999999999996E-2</v>
      </c>
      <c r="L1037" s="697">
        <v>3</v>
      </c>
    </row>
    <row r="1038" spans="1:12">
      <c r="A1038" s="695">
        <v>45799</v>
      </c>
      <c r="B1038" s="696" t="s">
        <v>4273</v>
      </c>
      <c r="C1038" s="697">
        <v>84</v>
      </c>
      <c r="D1038" s="695">
        <v>45883</v>
      </c>
      <c r="E1038" s="698">
        <v>15</v>
      </c>
      <c r="F1038" s="698">
        <v>13.1</v>
      </c>
      <c r="G1038" s="698">
        <v>13.1</v>
      </c>
      <c r="H1038" s="698">
        <v>0</v>
      </c>
      <c r="I1038" s="699">
        <v>7.1400000000000005E-2</v>
      </c>
      <c r="J1038" s="699">
        <v>7.2700000000000001E-2</v>
      </c>
      <c r="K1038" s="699">
        <v>7.17E-2</v>
      </c>
      <c r="L1038" s="697">
        <v>3</v>
      </c>
    </row>
    <row r="1039" spans="1:12">
      <c r="A1039" s="695">
        <v>45799</v>
      </c>
      <c r="B1039" s="696" t="s">
        <v>4274</v>
      </c>
      <c r="C1039" s="697">
        <v>252</v>
      </c>
      <c r="D1039" s="695">
        <v>46051</v>
      </c>
      <c r="E1039" s="698">
        <v>10</v>
      </c>
      <c r="F1039" s="698">
        <v>13.8</v>
      </c>
      <c r="G1039" s="698">
        <v>10</v>
      </c>
      <c r="H1039" s="698">
        <v>0</v>
      </c>
      <c r="I1039" s="699">
        <v>7.5899999999999995E-2</v>
      </c>
      <c r="J1039" s="699">
        <v>7.5999999999999998E-2</v>
      </c>
      <c r="K1039" s="699">
        <v>7.5899999999999995E-2</v>
      </c>
      <c r="L1039" s="697">
        <v>3</v>
      </c>
    </row>
    <row r="1040" spans="1:12">
      <c r="A1040" s="695">
        <v>45806</v>
      </c>
      <c r="B1040" s="696" t="s">
        <v>4275</v>
      </c>
      <c r="C1040" s="697">
        <v>84</v>
      </c>
      <c r="D1040" s="695">
        <v>45890</v>
      </c>
      <c r="E1040" s="698">
        <v>15</v>
      </c>
      <c r="F1040" s="698">
        <v>14.1</v>
      </c>
      <c r="G1040" s="698">
        <v>14.1</v>
      </c>
      <c r="H1040" s="698">
        <v>0</v>
      </c>
      <c r="I1040" s="699">
        <v>7.1599999999999997E-2</v>
      </c>
      <c r="J1040" s="699">
        <v>7.2700000000000001E-2</v>
      </c>
      <c r="K1040" s="699">
        <v>7.1800000000000003E-2</v>
      </c>
      <c r="L1040" s="697">
        <v>4</v>
      </c>
    </row>
    <row r="1041" spans="1:12">
      <c r="A1041" s="695">
        <v>45806</v>
      </c>
      <c r="B1041" s="696" t="s">
        <v>4276</v>
      </c>
      <c r="C1041" s="697">
        <v>252</v>
      </c>
      <c r="D1041" s="695">
        <v>46058</v>
      </c>
      <c r="E1041" s="698">
        <v>15</v>
      </c>
      <c r="F1041" s="698">
        <v>14.6</v>
      </c>
      <c r="G1041" s="698">
        <v>14.6</v>
      </c>
      <c r="H1041" s="698">
        <v>0</v>
      </c>
      <c r="I1041" s="699">
        <v>7.5800000000000006E-2</v>
      </c>
      <c r="J1041" s="699">
        <v>7.5999999999999998E-2</v>
      </c>
      <c r="K1041" s="699">
        <v>7.5800000000000006E-2</v>
      </c>
      <c r="L1041" s="697">
        <v>3</v>
      </c>
    </row>
    <row r="1042" spans="1:12">
      <c r="A1042" s="695">
        <v>45812</v>
      </c>
      <c r="B1042" s="696" t="s">
        <v>4299</v>
      </c>
      <c r="C1042" s="697">
        <v>28</v>
      </c>
      <c r="D1042" s="695">
        <v>45840</v>
      </c>
      <c r="E1042" s="698">
        <v>20</v>
      </c>
      <c r="F1042" s="698">
        <v>33</v>
      </c>
      <c r="G1042" s="698">
        <v>20</v>
      </c>
      <c r="H1042" s="698">
        <v>0</v>
      </c>
      <c r="I1042" s="699">
        <v>7.0900000000000005E-2</v>
      </c>
      <c r="J1042" s="699">
        <v>7.22E-2</v>
      </c>
      <c r="K1042" s="699">
        <v>7.1499999999999994E-2</v>
      </c>
      <c r="L1042" s="697">
        <v>4</v>
      </c>
    </row>
    <row r="1043" spans="1:12">
      <c r="A1043" s="695">
        <v>45812</v>
      </c>
      <c r="B1043" s="696" t="s">
        <v>4300</v>
      </c>
      <c r="C1043" s="697">
        <v>168</v>
      </c>
      <c r="D1043" s="695">
        <v>45980</v>
      </c>
      <c r="E1043" s="698">
        <v>15</v>
      </c>
      <c r="F1043" s="698">
        <v>15.3</v>
      </c>
      <c r="G1043" s="698">
        <v>15</v>
      </c>
      <c r="H1043" s="698">
        <v>0</v>
      </c>
      <c r="I1043" s="699">
        <v>7.3400000000000007E-2</v>
      </c>
      <c r="J1043" s="699">
        <v>7.4499999999999997E-2</v>
      </c>
      <c r="K1043" s="699">
        <v>7.3800000000000004E-2</v>
      </c>
      <c r="L1043" s="697">
        <v>4</v>
      </c>
    </row>
    <row r="1044" spans="1:12">
      <c r="A1044" s="695">
        <v>45813</v>
      </c>
      <c r="B1044" s="696" t="s">
        <v>4301</v>
      </c>
      <c r="C1044" s="697">
        <v>84</v>
      </c>
      <c r="D1044" s="695">
        <v>45897</v>
      </c>
      <c r="E1044" s="698">
        <v>20</v>
      </c>
      <c r="F1044" s="698">
        <v>19</v>
      </c>
      <c r="G1044" s="698">
        <v>19</v>
      </c>
      <c r="H1044" s="698">
        <v>0</v>
      </c>
      <c r="I1044" s="699">
        <v>7.1800000000000003E-2</v>
      </c>
      <c r="J1044" s="699">
        <v>7.3300000000000004E-2</v>
      </c>
      <c r="K1044" s="699">
        <v>7.1999999999999995E-2</v>
      </c>
      <c r="L1044" s="697">
        <v>3</v>
      </c>
    </row>
    <row r="1045" spans="1:12">
      <c r="A1045" s="695">
        <v>45813</v>
      </c>
      <c r="B1045" s="696" t="s">
        <v>4302</v>
      </c>
      <c r="C1045" s="697">
        <v>252</v>
      </c>
      <c r="D1045" s="695">
        <v>46065</v>
      </c>
      <c r="E1045" s="698">
        <v>15</v>
      </c>
      <c r="F1045" s="698">
        <v>18</v>
      </c>
      <c r="G1045" s="698">
        <v>15</v>
      </c>
      <c r="H1045" s="698">
        <v>0</v>
      </c>
      <c r="I1045" s="699">
        <v>7.5800000000000006E-2</v>
      </c>
      <c r="J1045" s="699">
        <v>7.5999999999999998E-2</v>
      </c>
      <c r="K1045" s="699">
        <v>7.5800000000000006E-2</v>
      </c>
      <c r="L1045" s="697">
        <v>4</v>
      </c>
    </row>
    <row r="1046" spans="1:12">
      <c r="A1046" s="695">
        <v>45819</v>
      </c>
      <c r="B1046" s="696" t="s">
        <v>4303</v>
      </c>
      <c r="C1046" s="697">
        <v>28</v>
      </c>
      <c r="D1046" s="695">
        <v>45847</v>
      </c>
      <c r="E1046" s="698">
        <v>50</v>
      </c>
      <c r="F1046" s="698">
        <v>53.2</v>
      </c>
      <c r="G1046" s="698">
        <v>50</v>
      </c>
      <c r="H1046" s="698">
        <v>0</v>
      </c>
      <c r="I1046" s="699">
        <v>7.1499999999999994E-2</v>
      </c>
      <c r="J1046" s="699">
        <v>7.2999999999999995E-2</v>
      </c>
      <c r="K1046" s="699">
        <v>7.1599999999999997E-2</v>
      </c>
      <c r="L1046" s="697">
        <v>5</v>
      </c>
    </row>
    <row r="1047" spans="1:12">
      <c r="A1047" s="695">
        <v>45819</v>
      </c>
      <c r="B1047" s="696" t="s">
        <v>4304</v>
      </c>
      <c r="C1047" s="697">
        <v>168</v>
      </c>
      <c r="D1047" s="695">
        <v>45987</v>
      </c>
      <c r="E1047" s="698">
        <v>50</v>
      </c>
      <c r="F1047" s="698">
        <v>65.400000000000006</v>
      </c>
      <c r="G1047" s="698">
        <v>50</v>
      </c>
      <c r="H1047" s="698">
        <v>0</v>
      </c>
      <c r="I1047" s="699">
        <v>7.1999999999999995E-2</v>
      </c>
      <c r="J1047" s="699">
        <v>7.3800000000000004E-2</v>
      </c>
      <c r="K1047" s="699">
        <v>7.3200000000000001E-2</v>
      </c>
      <c r="L1047" s="697">
        <v>7</v>
      </c>
    </row>
    <row r="1048" spans="1:12">
      <c r="A1048" s="695">
        <v>45820</v>
      </c>
      <c r="B1048" s="696" t="s">
        <v>4305</v>
      </c>
      <c r="C1048" s="697">
        <v>84</v>
      </c>
      <c r="D1048" s="695">
        <v>45904</v>
      </c>
      <c r="E1048" s="698">
        <v>50</v>
      </c>
      <c r="F1048" s="698">
        <v>37.5</v>
      </c>
      <c r="G1048" s="698">
        <v>37.5</v>
      </c>
      <c r="H1048" s="698">
        <v>0</v>
      </c>
      <c r="I1048" s="699">
        <v>7.1900000000000006E-2</v>
      </c>
      <c r="J1048" s="699">
        <v>7.2999999999999995E-2</v>
      </c>
      <c r="K1048" s="699">
        <v>7.2099999999999997E-2</v>
      </c>
      <c r="L1048" s="697">
        <v>5</v>
      </c>
    </row>
    <row r="1049" spans="1:12">
      <c r="A1049" s="695">
        <v>45820</v>
      </c>
      <c r="B1049" s="696" t="s">
        <v>4306</v>
      </c>
      <c r="C1049" s="697">
        <v>252</v>
      </c>
      <c r="D1049" s="695">
        <v>46072</v>
      </c>
      <c r="E1049" s="698">
        <v>50</v>
      </c>
      <c r="F1049" s="698">
        <v>56.5</v>
      </c>
      <c r="G1049" s="698">
        <v>50</v>
      </c>
      <c r="H1049" s="698">
        <v>0</v>
      </c>
      <c r="I1049" s="699">
        <v>7.3899999999999993E-2</v>
      </c>
      <c r="J1049" s="699">
        <v>7.5800000000000006E-2</v>
      </c>
      <c r="K1049" s="699">
        <v>7.5200000000000003E-2</v>
      </c>
      <c r="L1049" s="697">
        <v>6</v>
      </c>
    </row>
    <row r="1050" spans="1:12">
      <c r="A1050" s="695">
        <v>45826</v>
      </c>
      <c r="B1050" s="696" t="s">
        <v>4307</v>
      </c>
      <c r="C1050" s="697">
        <v>28</v>
      </c>
      <c r="D1050" s="695">
        <v>45854</v>
      </c>
      <c r="E1050" s="698">
        <v>50</v>
      </c>
      <c r="F1050" s="698">
        <v>70.2</v>
      </c>
      <c r="G1050" s="698">
        <v>50</v>
      </c>
      <c r="H1050" s="698">
        <v>0</v>
      </c>
      <c r="I1050" s="699">
        <v>7.1499999999999994E-2</v>
      </c>
      <c r="J1050" s="699">
        <v>7.3700000000000002E-2</v>
      </c>
      <c r="K1050" s="699">
        <v>7.2499999999999995E-2</v>
      </c>
      <c r="L1050" s="697">
        <v>7</v>
      </c>
    </row>
    <row r="1051" spans="1:12">
      <c r="A1051" s="695">
        <v>45826</v>
      </c>
      <c r="B1051" s="696" t="s">
        <v>4308</v>
      </c>
      <c r="C1051" s="697">
        <v>168</v>
      </c>
      <c r="D1051" s="695">
        <v>45994</v>
      </c>
      <c r="E1051" s="698">
        <v>50</v>
      </c>
      <c r="F1051" s="698">
        <v>54.6</v>
      </c>
      <c r="G1051" s="698">
        <v>50</v>
      </c>
      <c r="H1051" s="698">
        <v>0</v>
      </c>
      <c r="I1051" s="699">
        <v>7.3200000000000001E-2</v>
      </c>
      <c r="J1051" s="699">
        <v>7.6700000000000004E-2</v>
      </c>
      <c r="K1051" s="699">
        <v>7.51E-2</v>
      </c>
      <c r="L1051" s="697">
        <v>4</v>
      </c>
    </row>
    <row r="1052" spans="1:12">
      <c r="A1052" s="695">
        <v>45827</v>
      </c>
      <c r="B1052" s="696" t="s">
        <v>4309</v>
      </c>
      <c r="C1052" s="697">
        <v>84</v>
      </c>
      <c r="D1052" s="695">
        <v>45911</v>
      </c>
      <c r="E1052" s="698">
        <v>50</v>
      </c>
      <c r="F1052" s="698">
        <v>24</v>
      </c>
      <c r="G1052" s="698">
        <v>24</v>
      </c>
      <c r="H1052" s="698">
        <v>0</v>
      </c>
      <c r="I1052" s="699">
        <v>7.2099999999999997E-2</v>
      </c>
      <c r="J1052" s="699">
        <v>7.9000000000000001E-2</v>
      </c>
      <c r="K1052" s="699">
        <v>7.5399999999999995E-2</v>
      </c>
      <c r="L1052" s="697">
        <v>5</v>
      </c>
    </row>
    <row r="1053" spans="1:12">
      <c r="A1053" s="695">
        <v>45827</v>
      </c>
      <c r="B1053" s="696" t="s">
        <v>4310</v>
      </c>
      <c r="C1053" s="697">
        <v>252</v>
      </c>
      <c r="D1053" s="695">
        <v>46079</v>
      </c>
      <c r="E1053" s="698">
        <v>50</v>
      </c>
      <c r="F1053" s="698">
        <v>12.8</v>
      </c>
      <c r="G1053" s="698">
        <v>12.8</v>
      </c>
      <c r="H1053" s="698">
        <v>0</v>
      </c>
      <c r="I1053" s="699">
        <v>7.5200000000000003E-2</v>
      </c>
      <c r="J1053" s="699">
        <v>8.2500000000000004E-2</v>
      </c>
      <c r="K1053" s="699">
        <v>7.5600000000000001E-2</v>
      </c>
      <c r="L1053" s="697">
        <v>3</v>
      </c>
    </row>
    <row r="1054" spans="1:12">
      <c r="A1054" s="695">
        <v>45833</v>
      </c>
      <c r="B1054" s="696" t="s">
        <v>4311</v>
      </c>
      <c r="C1054" s="697">
        <v>28</v>
      </c>
      <c r="D1054" s="695">
        <v>45861</v>
      </c>
      <c r="E1054" s="698">
        <v>30</v>
      </c>
      <c r="F1054" s="698">
        <v>69</v>
      </c>
      <c r="G1054" s="698">
        <v>30</v>
      </c>
      <c r="H1054" s="698">
        <v>0</v>
      </c>
      <c r="I1054" s="699">
        <v>7.2400000000000006E-2</v>
      </c>
      <c r="J1054" s="699">
        <v>7.2499999999999995E-2</v>
      </c>
      <c r="K1054" s="699">
        <v>7.2400000000000006E-2</v>
      </c>
      <c r="L1054" s="697">
        <v>7</v>
      </c>
    </row>
    <row r="1055" spans="1:12">
      <c r="A1055" s="695">
        <v>45833</v>
      </c>
      <c r="B1055" s="696" t="s">
        <v>4312</v>
      </c>
      <c r="C1055" s="697">
        <v>168</v>
      </c>
      <c r="D1055" s="695">
        <v>46001</v>
      </c>
      <c r="E1055" s="698">
        <v>30</v>
      </c>
      <c r="F1055" s="698">
        <v>43.2</v>
      </c>
      <c r="G1055" s="698">
        <v>30</v>
      </c>
      <c r="H1055" s="698">
        <v>0</v>
      </c>
      <c r="I1055" s="699">
        <v>7.4999999999999997E-2</v>
      </c>
      <c r="J1055" s="699">
        <v>7.51E-2</v>
      </c>
      <c r="K1055" s="699">
        <v>7.4999999999999997E-2</v>
      </c>
      <c r="L1055" s="697">
        <v>7</v>
      </c>
    </row>
    <row r="1056" spans="1:12">
      <c r="A1056" s="695">
        <v>45840</v>
      </c>
      <c r="B1056" s="696" t="s">
        <v>4332</v>
      </c>
      <c r="C1056" s="697">
        <v>28</v>
      </c>
      <c r="D1056" s="695">
        <v>45868</v>
      </c>
      <c r="E1056" s="698">
        <v>20</v>
      </c>
      <c r="F1056" s="698">
        <v>98</v>
      </c>
      <c r="G1056" s="698">
        <v>20</v>
      </c>
      <c r="H1056" s="698">
        <v>0</v>
      </c>
      <c r="I1056" s="699">
        <v>7.0999999999999994E-2</v>
      </c>
      <c r="J1056" s="699">
        <v>7.0999999999999994E-2</v>
      </c>
      <c r="K1056" s="699">
        <v>7.0999999999999994E-2</v>
      </c>
      <c r="L1056" s="697">
        <v>8</v>
      </c>
    </row>
    <row r="1057" spans="1:12">
      <c r="A1057" s="695">
        <v>45840</v>
      </c>
      <c r="B1057" s="696" t="s">
        <v>4333</v>
      </c>
      <c r="C1057" s="697">
        <v>168</v>
      </c>
      <c r="D1057" s="695">
        <v>46008</v>
      </c>
      <c r="E1057" s="698">
        <v>20</v>
      </c>
      <c r="F1057" s="698">
        <v>55.6</v>
      </c>
      <c r="G1057" s="698">
        <v>20</v>
      </c>
      <c r="H1057" s="698">
        <v>0</v>
      </c>
      <c r="I1057" s="699">
        <v>7.4499999999999997E-2</v>
      </c>
      <c r="J1057" s="699">
        <v>7.4999999999999997E-2</v>
      </c>
      <c r="K1057" s="699">
        <v>7.4899999999999994E-2</v>
      </c>
      <c r="L1057" s="697">
        <v>9</v>
      </c>
    </row>
    <row r="1058" spans="1:12">
      <c r="A1058" s="695">
        <v>45841</v>
      </c>
      <c r="B1058" s="696" t="s">
        <v>4334</v>
      </c>
      <c r="C1058" s="697">
        <v>84</v>
      </c>
      <c r="D1058" s="695">
        <v>45925</v>
      </c>
      <c r="E1058" s="698">
        <v>20</v>
      </c>
      <c r="F1058" s="698">
        <v>41.2</v>
      </c>
      <c r="G1058" s="698">
        <v>20</v>
      </c>
      <c r="H1058" s="698">
        <v>0</v>
      </c>
      <c r="I1058" s="699">
        <v>7.3999999999999996E-2</v>
      </c>
      <c r="J1058" s="699">
        <v>7.6999999999999999E-2</v>
      </c>
      <c r="K1058" s="699">
        <v>7.4399999999999994E-2</v>
      </c>
      <c r="L1058" s="697">
        <v>5</v>
      </c>
    </row>
    <row r="1059" spans="1:12">
      <c r="A1059" s="695">
        <v>45841</v>
      </c>
      <c r="B1059" s="696" t="s">
        <v>4335</v>
      </c>
      <c r="C1059" s="697">
        <v>252</v>
      </c>
      <c r="D1059" s="695">
        <v>46093</v>
      </c>
      <c r="E1059" s="698">
        <v>20</v>
      </c>
      <c r="F1059" s="698">
        <v>54.7</v>
      </c>
      <c r="G1059" s="698">
        <v>20</v>
      </c>
      <c r="H1059" s="698">
        <v>0</v>
      </c>
      <c r="I1059" s="699">
        <v>7.5600000000000001E-2</v>
      </c>
      <c r="J1059" s="699">
        <v>7.8899999999999998E-2</v>
      </c>
      <c r="K1059" s="699">
        <v>7.5800000000000006E-2</v>
      </c>
      <c r="L1059" s="697">
        <v>7</v>
      </c>
    </row>
    <row r="1060" spans="1:12">
      <c r="A1060" s="695">
        <v>45847</v>
      </c>
      <c r="B1060" s="696" t="s">
        <v>4336</v>
      </c>
      <c r="C1060" s="697">
        <v>28</v>
      </c>
      <c r="D1060" s="695">
        <v>45875</v>
      </c>
      <c r="E1060" s="698">
        <v>20</v>
      </c>
      <c r="F1060" s="698">
        <v>49.5</v>
      </c>
      <c r="G1060" s="698">
        <v>20</v>
      </c>
      <c r="H1060" s="698">
        <v>0</v>
      </c>
      <c r="I1060" s="699">
        <v>7.0999999999999994E-2</v>
      </c>
      <c r="J1060" s="699">
        <v>7.2999999999999995E-2</v>
      </c>
      <c r="K1060" s="699">
        <v>7.22E-2</v>
      </c>
      <c r="L1060" s="697">
        <v>6</v>
      </c>
    </row>
    <row r="1061" spans="1:12">
      <c r="A1061" s="695">
        <v>45847</v>
      </c>
      <c r="B1061" s="696" t="s">
        <v>4337</v>
      </c>
      <c r="C1061" s="697">
        <v>168</v>
      </c>
      <c r="D1061" s="695">
        <v>46015</v>
      </c>
      <c r="E1061" s="698">
        <v>20</v>
      </c>
      <c r="F1061" s="698">
        <v>50.1</v>
      </c>
      <c r="G1061" s="698">
        <v>20</v>
      </c>
      <c r="H1061" s="698">
        <v>0</v>
      </c>
      <c r="I1061" s="699">
        <v>7.4899999999999994E-2</v>
      </c>
      <c r="J1061" s="699">
        <v>7.4999999999999997E-2</v>
      </c>
      <c r="K1061" s="699">
        <v>7.4899999999999994E-2</v>
      </c>
      <c r="L1061" s="697">
        <v>8</v>
      </c>
    </row>
    <row r="1062" spans="1:12">
      <c r="A1062" s="695">
        <v>45848</v>
      </c>
      <c r="B1062" s="696" t="s">
        <v>4338</v>
      </c>
      <c r="C1062" s="697">
        <v>84</v>
      </c>
      <c r="D1062" s="695">
        <v>45932</v>
      </c>
      <c r="E1062" s="698">
        <v>20</v>
      </c>
      <c r="F1062" s="698">
        <v>53.1</v>
      </c>
      <c r="G1062" s="698">
        <v>20</v>
      </c>
      <c r="H1062" s="698">
        <v>0</v>
      </c>
      <c r="I1062" s="699">
        <v>7.4399999999999994E-2</v>
      </c>
      <c r="J1062" s="699">
        <v>7.51E-2</v>
      </c>
      <c r="K1062" s="699">
        <v>7.4700000000000003E-2</v>
      </c>
      <c r="L1062" s="697">
        <v>6</v>
      </c>
    </row>
    <row r="1063" spans="1:12">
      <c r="A1063" s="695">
        <v>45848</v>
      </c>
      <c r="B1063" s="696" t="s">
        <v>4339</v>
      </c>
      <c r="C1063" s="697">
        <v>252</v>
      </c>
      <c r="D1063" s="695">
        <v>46100</v>
      </c>
      <c r="E1063" s="698">
        <v>20</v>
      </c>
      <c r="F1063" s="698">
        <v>46.3</v>
      </c>
      <c r="G1063" s="698">
        <v>20</v>
      </c>
      <c r="H1063" s="698">
        <v>0</v>
      </c>
      <c r="I1063" s="699">
        <v>7.5800000000000006E-2</v>
      </c>
      <c r="J1063" s="699">
        <v>7.6799999999999993E-2</v>
      </c>
      <c r="K1063" s="699">
        <v>7.6300000000000007E-2</v>
      </c>
      <c r="L1063" s="697">
        <v>6</v>
      </c>
    </row>
    <row r="1064" spans="1:12">
      <c r="A1064" s="695">
        <v>45854</v>
      </c>
      <c r="B1064" s="696" t="s">
        <v>4340</v>
      </c>
      <c r="C1064" s="697">
        <v>28</v>
      </c>
      <c r="D1064" s="695">
        <v>45882</v>
      </c>
      <c r="E1064" s="698">
        <v>20</v>
      </c>
      <c r="F1064" s="698">
        <v>44.5</v>
      </c>
      <c r="G1064" s="698">
        <v>20</v>
      </c>
      <c r="H1064" s="698">
        <v>0</v>
      </c>
      <c r="I1064" s="699">
        <v>7.22E-2</v>
      </c>
      <c r="J1064" s="699">
        <v>7.2499999999999995E-2</v>
      </c>
      <c r="K1064" s="699">
        <v>7.2400000000000006E-2</v>
      </c>
      <c r="L1064" s="697">
        <v>5</v>
      </c>
    </row>
    <row r="1065" spans="1:12">
      <c r="A1065" s="695">
        <v>45854</v>
      </c>
      <c r="B1065" s="696" t="s">
        <v>4341</v>
      </c>
      <c r="C1065" s="697">
        <v>168</v>
      </c>
      <c r="D1065" s="695">
        <v>46022</v>
      </c>
      <c r="E1065" s="698">
        <v>10</v>
      </c>
      <c r="F1065" s="698">
        <v>25.6</v>
      </c>
      <c r="G1065" s="698">
        <v>10</v>
      </c>
      <c r="H1065" s="698">
        <v>0</v>
      </c>
      <c r="I1065" s="699">
        <v>7.4899999999999994E-2</v>
      </c>
      <c r="J1065" s="699">
        <v>7.4899999999999994E-2</v>
      </c>
      <c r="K1065" s="699">
        <v>7.4899999999999994E-2</v>
      </c>
      <c r="L1065" s="697">
        <v>5</v>
      </c>
    </row>
    <row r="1066" spans="1:12">
      <c r="A1066" s="695">
        <v>45855</v>
      </c>
      <c r="B1066" s="696" t="s">
        <v>4342</v>
      </c>
      <c r="C1066" s="697">
        <v>84</v>
      </c>
      <c r="D1066" s="695">
        <v>45939</v>
      </c>
      <c r="E1066" s="698">
        <v>20</v>
      </c>
      <c r="F1066" s="698">
        <v>34.5</v>
      </c>
      <c r="G1066" s="698">
        <v>20</v>
      </c>
      <c r="H1066" s="698">
        <v>0</v>
      </c>
      <c r="I1066" s="699">
        <v>7.3899999999999993E-2</v>
      </c>
      <c r="J1066" s="699">
        <v>7.4700000000000003E-2</v>
      </c>
      <c r="K1066" s="699">
        <v>7.46E-2</v>
      </c>
      <c r="L1066" s="697">
        <v>5</v>
      </c>
    </row>
    <row r="1067" spans="1:12">
      <c r="A1067" s="695">
        <v>45855</v>
      </c>
      <c r="B1067" s="696" t="s">
        <v>4343</v>
      </c>
      <c r="C1067" s="697">
        <v>252</v>
      </c>
      <c r="D1067" s="695">
        <v>46107</v>
      </c>
      <c r="E1067" s="698">
        <v>10</v>
      </c>
      <c r="F1067" s="698">
        <v>24.1</v>
      </c>
      <c r="G1067" s="698">
        <v>10</v>
      </c>
      <c r="H1067" s="698">
        <v>0</v>
      </c>
      <c r="I1067" s="699">
        <v>7.6300000000000007E-2</v>
      </c>
      <c r="J1067" s="699">
        <v>7.6499999999999999E-2</v>
      </c>
      <c r="K1067" s="699">
        <v>7.6300000000000007E-2</v>
      </c>
      <c r="L1067" s="697">
        <v>6</v>
      </c>
    </row>
    <row r="1068" spans="1:12">
      <c r="A1068" s="695">
        <v>45861</v>
      </c>
      <c r="B1068" s="696" t="s">
        <v>4344</v>
      </c>
      <c r="C1068" s="697">
        <v>28</v>
      </c>
      <c r="D1068" s="695">
        <v>45889</v>
      </c>
      <c r="E1068" s="698">
        <v>30</v>
      </c>
      <c r="F1068" s="698">
        <v>35.9</v>
      </c>
      <c r="G1068" s="698">
        <v>30</v>
      </c>
      <c r="H1068" s="698">
        <v>0</v>
      </c>
      <c r="I1068" s="699">
        <v>7.1999999999999995E-2</v>
      </c>
      <c r="J1068" s="699">
        <v>7.2400000000000006E-2</v>
      </c>
      <c r="K1068" s="699">
        <v>7.2099999999999997E-2</v>
      </c>
      <c r="L1068" s="697">
        <v>5</v>
      </c>
    </row>
    <row r="1069" spans="1:12">
      <c r="A1069" s="695">
        <v>45861</v>
      </c>
      <c r="B1069" s="696" t="s">
        <v>4345</v>
      </c>
      <c r="C1069" s="697">
        <v>168</v>
      </c>
      <c r="D1069" s="695">
        <v>46029</v>
      </c>
      <c r="E1069" s="698">
        <v>5</v>
      </c>
      <c r="F1069" s="698">
        <v>17.600000000000001</v>
      </c>
      <c r="G1069" s="698">
        <v>5</v>
      </c>
      <c r="H1069" s="698">
        <v>0</v>
      </c>
      <c r="I1069" s="699">
        <v>7.4700000000000003E-2</v>
      </c>
      <c r="J1069" s="699">
        <v>7.4700000000000003E-2</v>
      </c>
      <c r="K1069" s="699">
        <v>7.4700000000000003E-2</v>
      </c>
      <c r="L1069" s="697">
        <v>8</v>
      </c>
    </row>
    <row r="1070" spans="1:12">
      <c r="A1070" s="695">
        <v>45862</v>
      </c>
      <c r="B1070" s="696" t="s">
        <v>4346</v>
      </c>
      <c r="C1070" s="697">
        <v>84</v>
      </c>
      <c r="D1070" s="695">
        <v>45946</v>
      </c>
      <c r="E1070" s="698">
        <v>10</v>
      </c>
      <c r="F1070" s="698">
        <v>22.7</v>
      </c>
      <c r="G1070" s="698">
        <v>10</v>
      </c>
      <c r="H1070" s="698">
        <v>0</v>
      </c>
      <c r="I1070" s="699">
        <v>7.3800000000000004E-2</v>
      </c>
      <c r="J1070" s="699">
        <v>7.4300000000000005E-2</v>
      </c>
      <c r="K1070" s="699">
        <v>7.3999999999999996E-2</v>
      </c>
      <c r="L1070" s="697">
        <v>6</v>
      </c>
    </row>
    <row r="1071" spans="1:12">
      <c r="A1071" s="695">
        <v>45862</v>
      </c>
      <c r="B1071" s="696" t="s">
        <v>4347</v>
      </c>
      <c r="C1071" s="697">
        <v>252</v>
      </c>
      <c r="D1071" s="695">
        <v>46114</v>
      </c>
      <c r="E1071" s="698">
        <v>5</v>
      </c>
      <c r="F1071" s="698">
        <v>13.4</v>
      </c>
      <c r="G1071" s="698">
        <v>5</v>
      </c>
      <c r="H1071" s="698">
        <v>0</v>
      </c>
      <c r="I1071" s="699">
        <v>7.5899999999999995E-2</v>
      </c>
      <c r="J1071" s="699">
        <v>7.5899999999999995E-2</v>
      </c>
      <c r="K1071" s="699">
        <v>7.5899999999999995E-2</v>
      </c>
      <c r="L1071" s="697">
        <v>5</v>
      </c>
    </row>
    <row r="1072" spans="1:12">
      <c r="A1072" s="695">
        <v>45868</v>
      </c>
      <c r="B1072" s="696" t="s">
        <v>4348</v>
      </c>
      <c r="C1072" s="697">
        <v>28</v>
      </c>
      <c r="D1072" s="695">
        <v>45896</v>
      </c>
      <c r="E1072" s="698">
        <v>30</v>
      </c>
      <c r="F1072" s="698">
        <v>33.9</v>
      </c>
      <c r="G1072" s="698">
        <v>30</v>
      </c>
      <c r="H1072" s="698">
        <v>0</v>
      </c>
      <c r="I1072" s="699">
        <v>6.9800000000000001E-2</v>
      </c>
      <c r="J1072" s="699">
        <v>7.2099999999999997E-2</v>
      </c>
      <c r="K1072" s="699">
        <v>7.0099999999999996E-2</v>
      </c>
      <c r="L1072" s="697">
        <v>5</v>
      </c>
    </row>
    <row r="1073" spans="1:12">
      <c r="A1073" s="695">
        <v>45868</v>
      </c>
      <c r="B1073" s="696" t="s">
        <v>4349</v>
      </c>
      <c r="C1073" s="697">
        <v>168</v>
      </c>
      <c r="D1073" s="695">
        <v>46036</v>
      </c>
      <c r="E1073" s="698">
        <v>5</v>
      </c>
      <c r="F1073" s="698">
        <v>17</v>
      </c>
      <c r="G1073" s="698">
        <v>5</v>
      </c>
      <c r="H1073" s="698">
        <v>0</v>
      </c>
      <c r="I1073" s="699">
        <v>7.1999999999999995E-2</v>
      </c>
      <c r="J1073" s="699">
        <v>7.4399999999999994E-2</v>
      </c>
      <c r="K1073" s="699">
        <v>7.3899999999999993E-2</v>
      </c>
      <c r="L1073" s="697">
        <v>7</v>
      </c>
    </row>
    <row r="1074" spans="1:12">
      <c r="A1074" s="695">
        <v>45869</v>
      </c>
      <c r="B1074" s="696" t="s">
        <v>4350</v>
      </c>
      <c r="C1074" s="697">
        <v>84</v>
      </c>
      <c r="D1074" s="695">
        <v>45953</v>
      </c>
      <c r="E1074" s="698">
        <v>10</v>
      </c>
      <c r="F1074" s="698">
        <v>23.8</v>
      </c>
      <c r="G1074" s="698">
        <v>10</v>
      </c>
      <c r="H1074" s="698">
        <v>0</v>
      </c>
      <c r="I1074" s="699">
        <v>7.1999999999999995E-2</v>
      </c>
      <c r="J1074" s="699">
        <v>7.2700000000000001E-2</v>
      </c>
      <c r="K1074" s="699">
        <v>7.2400000000000006E-2</v>
      </c>
      <c r="L1074" s="697">
        <v>6</v>
      </c>
    </row>
    <row r="1075" spans="1:12">
      <c r="A1075" s="695">
        <v>45869</v>
      </c>
      <c r="B1075" s="696" t="s">
        <v>4351</v>
      </c>
      <c r="C1075" s="697">
        <v>252</v>
      </c>
      <c r="D1075" s="695">
        <v>46121</v>
      </c>
      <c r="E1075" s="698">
        <v>5</v>
      </c>
      <c r="F1075" s="698">
        <v>12</v>
      </c>
      <c r="G1075" s="698">
        <v>5</v>
      </c>
      <c r="H1075" s="698">
        <v>0</v>
      </c>
      <c r="I1075" s="699">
        <v>7.4499999999999997E-2</v>
      </c>
      <c r="J1075" s="699">
        <v>7.4800000000000005E-2</v>
      </c>
      <c r="K1075" s="699">
        <v>7.4800000000000005E-2</v>
      </c>
      <c r="L1075" s="697">
        <v>5</v>
      </c>
    </row>
    <row r="1076" spans="1:12">
      <c r="A1076" s="695">
        <v>45875</v>
      </c>
      <c r="B1076" s="696" t="s">
        <v>4367</v>
      </c>
      <c r="C1076" s="697">
        <v>28</v>
      </c>
      <c r="D1076" s="695">
        <v>45903</v>
      </c>
      <c r="E1076" s="698">
        <v>20</v>
      </c>
      <c r="F1076" s="698">
        <v>56</v>
      </c>
      <c r="G1076" s="698">
        <v>20</v>
      </c>
      <c r="H1076" s="698">
        <v>0</v>
      </c>
      <c r="I1076" s="699">
        <v>6.9699999999999998E-2</v>
      </c>
      <c r="J1076" s="699">
        <v>7.0000000000000007E-2</v>
      </c>
      <c r="K1076" s="699">
        <v>6.9900000000000004E-2</v>
      </c>
      <c r="L1076" s="697">
        <v>7</v>
      </c>
    </row>
    <row r="1077" spans="1:12">
      <c r="A1077" s="695">
        <v>45875</v>
      </c>
      <c r="B1077" s="696" t="s">
        <v>4368</v>
      </c>
      <c r="C1077" s="697">
        <v>168</v>
      </c>
      <c r="D1077" s="695">
        <v>46043</v>
      </c>
      <c r="E1077" s="698">
        <v>5</v>
      </c>
      <c r="F1077" s="698">
        <v>27.8</v>
      </c>
      <c r="G1077" s="698">
        <v>5</v>
      </c>
      <c r="H1077" s="698">
        <v>0</v>
      </c>
      <c r="I1077" s="699">
        <v>7.1999999999999995E-2</v>
      </c>
      <c r="J1077" s="699">
        <v>7.1999999999999995E-2</v>
      </c>
      <c r="K1077" s="699">
        <v>7.1999999999999995E-2</v>
      </c>
      <c r="L1077" s="697">
        <v>10</v>
      </c>
    </row>
    <row r="1078" spans="1:12">
      <c r="A1078" s="695">
        <v>45876</v>
      </c>
      <c r="B1078" s="696" t="s">
        <v>4369</v>
      </c>
      <c r="C1078" s="697">
        <v>84</v>
      </c>
      <c r="D1078" s="695">
        <v>45960</v>
      </c>
      <c r="E1078" s="698">
        <v>10</v>
      </c>
      <c r="F1078" s="698">
        <v>38</v>
      </c>
      <c r="G1078" s="698">
        <v>10</v>
      </c>
      <c r="H1078" s="698">
        <v>0</v>
      </c>
      <c r="I1078" s="699">
        <v>7.0499999999999993E-2</v>
      </c>
      <c r="J1078" s="699">
        <v>7.0900000000000005E-2</v>
      </c>
      <c r="K1078" s="699">
        <v>7.0900000000000005E-2</v>
      </c>
      <c r="L1078" s="697">
        <v>8</v>
      </c>
    </row>
    <row r="1079" spans="1:12">
      <c r="A1079" s="695">
        <v>45876</v>
      </c>
      <c r="B1079" s="696" t="s">
        <v>4370</v>
      </c>
      <c r="C1079" s="697">
        <v>252</v>
      </c>
      <c r="D1079" s="695">
        <v>46128</v>
      </c>
      <c r="E1079" s="698">
        <v>5</v>
      </c>
      <c r="F1079" s="698">
        <v>15</v>
      </c>
      <c r="G1079" s="698">
        <v>5</v>
      </c>
      <c r="H1079" s="698">
        <v>0</v>
      </c>
      <c r="I1079" s="699">
        <v>7.2900000000000006E-2</v>
      </c>
      <c r="J1079" s="699">
        <v>7.2900000000000006E-2</v>
      </c>
      <c r="K1079" s="699">
        <v>7.2900000000000006E-2</v>
      </c>
      <c r="L1079" s="697">
        <v>6</v>
      </c>
    </row>
    <row r="1080" spans="1:12">
      <c r="A1080" s="695">
        <v>45882</v>
      </c>
      <c r="B1080" s="696" t="s">
        <v>4371</v>
      </c>
      <c r="C1080" s="697">
        <v>28</v>
      </c>
      <c r="D1080" s="695">
        <v>45910</v>
      </c>
      <c r="E1080" s="698">
        <v>20</v>
      </c>
      <c r="F1080" s="698">
        <v>36</v>
      </c>
      <c r="G1080" s="698">
        <v>20</v>
      </c>
      <c r="H1080" s="698">
        <v>0</v>
      </c>
      <c r="I1080" s="699">
        <v>6.9900000000000004E-2</v>
      </c>
      <c r="J1080" s="699">
        <v>6.9900000000000004E-2</v>
      </c>
      <c r="K1080" s="699">
        <v>6.9900000000000004E-2</v>
      </c>
      <c r="L1080" s="697">
        <v>5</v>
      </c>
    </row>
    <row r="1081" spans="1:12">
      <c r="A1081" s="695">
        <v>45882</v>
      </c>
      <c r="B1081" s="696" t="s">
        <v>4372</v>
      </c>
      <c r="C1081" s="697">
        <v>168</v>
      </c>
      <c r="D1081" s="695">
        <v>46050</v>
      </c>
      <c r="E1081" s="698">
        <v>5</v>
      </c>
      <c r="F1081" s="698">
        <v>20.9</v>
      </c>
      <c r="G1081" s="698">
        <v>5</v>
      </c>
      <c r="H1081" s="698">
        <v>0</v>
      </c>
      <c r="I1081" s="699">
        <v>7.1499999999999994E-2</v>
      </c>
      <c r="J1081" s="699">
        <v>7.1499999999999994E-2</v>
      </c>
      <c r="K1081" s="699">
        <v>7.1499999999999994E-2</v>
      </c>
      <c r="L1081" s="697">
        <v>8</v>
      </c>
    </row>
    <row r="1082" spans="1:12">
      <c r="A1082" s="695">
        <v>45883</v>
      </c>
      <c r="B1082" s="696" t="s">
        <v>4373</v>
      </c>
      <c r="C1082" s="697">
        <v>84</v>
      </c>
      <c r="D1082" s="695">
        <v>45967</v>
      </c>
      <c r="E1082" s="698">
        <v>10</v>
      </c>
      <c r="F1082" s="698">
        <v>25.6</v>
      </c>
      <c r="G1082" s="698">
        <v>10</v>
      </c>
      <c r="H1082" s="698">
        <v>0</v>
      </c>
      <c r="I1082" s="699">
        <v>7.0499999999999993E-2</v>
      </c>
      <c r="J1082" s="699">
        <v>7.0900000000000005E-2</v>
      </c>
      <c r="K1082" s="699">
        <v>7.0599999999999996E-2</v>
      </c>
      <c r="L1082" s="697">
        <v>6</v>
      </c>
    </row>
    <row r="1083" spans="1:12">
      <c r="A1083" s="695">
        <v>45883</v>
      </c>
      <c r="B1083" s="696" t="s">
        <v>4374</v>
      </c>
      <c r="C1083" s="697">
        <v>252</v>
      </c>
      <c r="D1083" s="695">
        <v>46135</v>
      </c>
      <c r="E1083" s="698">
        <v>5</v>
      </c>
      <c r="F1083" s="698">
        <v>10.1</v>
      </c>
      <c r="G1083" s="698">
        <v>5</v>
      </c>
      <c r="H1083" s="698">
        <v>0</v>
      </c>
      <c r="I1083" s="699">
        <v>7.1999999999999995E-2</v>
      </c>
      <c r="J1083" s="699">
        <v>7.2400000000000006E-2</v>
      </c>
      <c r="K1083" s="699">
        <v>7.2099999999999997E-2</v>
      </c>
      <c r="L1083" s="697">
        <v>4</v>
      </c>
    </row>
    <row r="1084" spans="1:12">
      <c r="A1084" s="695">
        <v>45889</v>
      </c>
      <c r="B1084" s="696" t="s">
        <v>4375</v>
      </c>
      <c r="C1084" s="697">
        <v>28</v>
      </c>
      <c r="D1084" s="695">
        <v>45917</v>
      </c>
      <c r="E1084" s="698">
        <v>20</v>
      </c>
      <c r="F1084" s="698">
        <v>19</v>
      </c>
      <c r="G1084" s="698">
        <v>19</v>
      </c>
      <c r="H1084" s="698">
        <v>0</v>
      </c>
      <c r="I1084" s="699">
        <v>6.9599999999999995E-2</v>
      </c>
      <c r="J1084" s="699">
        <v>7.3700000000000002E-2</v>
      </c>
      <c r="K1084" s="699">
        <v>7.0900000000000005E-2</v>
      </c>
      <c r="L1084" s="697">
        <v>5</v>
      </c>
    </row>
    <row r="1085" spans="1:12">
      <c r="A1085" s="695">
        <v>45889</v>
      </c>
      <c r="B1085" s="696" t="s">
        <v>4376</v>
      </c>
      <c r="C1085" s="697">
        <v>168</v>
      </c>
      <c r="D1085" s="695">
        <v>46057</v>
      </c>
      <c r="E1085" s="698">
        <v>5</v>
      </c>
      <c r="F1085" s="698">
        <v>16.100000000000001</v>
      </c>
      <c r="G1085" s="698">
        <v>5</v>
      </c>
      <c r="H1085" s="698">
        <v>0</v>
      </c>
      <c r="I1085" s="699">
        <v>7.1199999999999999E-2</v>
      </c>
      <c r="J1085" s="699">
        <v>7.1199999999999999E-2</v>
      </c>
      <c r="K1085" s="699">
        <v>7.1199999999999999E-2</v>
      </c>
      <c r="L1085" s="697">
        <v>5</v>
      </c>
    </row>
    <row r="1086" spans="1:12">
      <c r="A1086" s="695">
        <v>45890</v>
      </c>
      <c r="B1086" s="696" t="s">
        <v>4377</v>
      </c>
      <c r="C1086" s="697">
        <v>84</v>
      </c>
      <c r="D1086" s="695">
        <v>45974</v>
      </c>
      <c r="E1086" s="698">
        <v>10</v>
      </c>
      <c r="F1086" s="698">
        <v>17</v>
      </c>
      <c r="G1086" s="698">
        <v>10</v>
      </c>
      <c r="H1086" s="698">
        <v>0</v>
      </c>
      <c r="I1086" s="699">
        <v>7.0000000000000007E-2</v>
      </c>
      <c r="J1086" s="699">
        <v>7.0699999999999999E-2</v>
      </c>
      <c r="K1086" s="699">
        <v>7.0400000000000004E-2</v>
      </c>
      <c r="L1086" s="697">
        <v>6</v>
      </c>
    </row>
    <row r="1087" spans="1:12">
      <c r="A1087" s="695">
        <v>45890</v>
      </c>
      <c r="B1087" s="696" t="s">
        <v>4378</v>
      </c>
      <c r="C1087" s="697">
        <v>252</v>
      </c>
      <c r="D1087" s="695">
        <v>46142</v>
      </c>
      <c r="E1087" s="698">
        <v>5</v>
      </c>
      <c r="F1087" s="698">
        <v>14.1</v>
      </c>
      <c r="G1087" s="698">
        <v>5</v>
      </c>
      <c r="H1087" s="698">
        <v>0</v>
      </c>
      <c r="I1087" s="699">
        <v>7.1499999999999994E-2</v>
      </c>
      <c r="J1087" s="699">
        <v>7.1900000000000006E-2</v>
      </c>
      <c r="K1087" s="699">
        <v>7.17E-2</v>
      </c>
      <c r="L1087" s="697">
        <v>4</v>
      </c>
    </row>
    <row r="1088" spans="1:12">
      <c r="A1088" s="695">
        <v>45896</v>
      </c>
      <c r="B1088" s="696" t="s">
        <v>4379</v>
      </c>
      <c r="C1088" s="697">
        <v>28</v>
      </c>
      <c r="D1088" s="695">
        <v>45924</v>
      </c>
      <c r="E1088" s="698">
        <v>15</v>
      </c>
      <c r="F1088" s="698">
        <v>32.5</v>
      </c>
      <c r="G1088" s="698">
        <v>15</v>
      </c>
      <c r="H1088" s="698">
        <v>0</v>
      </c>
      <c r="I1088" s="699">
        <v>6.9000000000000006E-2</v>
      </c>
      <c r="J1088" s="699">
        <v>6.9000000000000006E-2</v>
      </c>
      <c r="K1088" s="699">
        <v>6.9000000000000006E-2</v>
      </c>
      <c r="L1088" s="697">
        <v>6</v>
      </c>
    </row>
    <row r="1089" spans="1:12">
      <c r="A1089" s="695">
        <v>45896</v>
      </c>
      <c r="B1089" s="696" t="s">
        <v>4380</v>
      </c>
      <c r="C1089" s="697">
        <v>168</v>
      </c>
      <c r="D1089" s="695">
        <v>46064</v>
      </c>
      <c r="E1089" s="698">
        <v>2.5</v>
      </c>
      <c r="F1089" s="698">
        <v>8</v>
      </c>
      <c r="G1089" s="698">
        <v>2.5</v>
      </c>
      <c r="H1089" s="698">
        <v>0</v>
      </c>
      <c r="I1089" s="699">
        <v>7.0999999999999994E-2</v>
      </c>
      <c r="J1089" s="699">
        <v>7.0999999999999994E-2</v>
      </c>
      <c r="K1089" s="699">
        <v>7.0999999999999994E-2</v>
      </c>
      <c r="L1089" s="697">
        <v>5</v>
      </c>
    </row>
    <row r="1090" spans="1:12">
      <c r="A1090" s="695">
        <v>45897</v>
      </c>
      <c r="B1090" s="696" t="s">
        <v>4381</v>
      </c>
      <c r="C1090" s="697">
        <v>84</v>
      </c>
      <c r="D1090" s="695">
        <v>45981</v>
      </c>
      <c r="E1090" s="698">
        <v>10</v>
      </c>
      <c r="F1090" s="698">
        <v>13.5</v>
      </c>
      <c r="G1090" s="698">
        <v>10</v>
      </c>
      <c r="H1090" s="698">
        <v>0</v>
      </c>
      <c r="I1090" s="699">
        <v>7.0000000000000007E-2</v>
      </c>
      <c r="J1090" s="699">
        <v>7.0400000000000004E-2</v>
      </c>
      <c r="K1090" s="699">
        <v>7.0199999999999999E-2</v>
      </c>
      <c r="L1090" s="697">
        <v>5</v>
      </c>
    </row>
    <row r="1091" spans="1:12">
      <c r="A1091" s="695">
        <v>45897</v>
      </c>
      <c r="B1091" s="696" t="s">
        <v>4382</v>
      </c>
      <c r="C1091" s="697">
        <v>252</v>
      </c>
      <c r="D1091" s="695">
        <v>46149</v>
      </c>
      <c r="E1091" s="698">
        <v>2.5</v>
      </c>
      <c r="F1091" s="698">
        <v>6</v>
      </c>
      <c r="G1091" s="698">
        <v>2.5</v>
      </c>
      <c r="H1091" s="698">
        <v>0</v>
      </c>
      <c r="I1091" s="699">
        <v>7.1599999999999997E-2</v>
      </c>
      <c r="J1091" s="699">
        <v>7.1599999999999997E-2</v>
      </c>
      <c r="K1091" s="699">
        <v>7.1599999999999997E-2</v>
      </c>
      <c r="L1091" s="697">
        <v>3</v>
      </c>
    </row>
    <row r="1092" spans="1:12">
      <c r="A1092" s="695">
        <v>45903</v>
      </c>
      <c r="B1092" s="696" t="s">
        <v>4386</v>
      </c>
      <c r="C1092" s="697">
        <v>28</v>
      </c>
      <c r="D1092" s="695">
        <v>45931</v>
      </c>
      <c r="E1092" s="698">
        <v>15</v>
      </c>
      <c r="F1092" s="698">
        <v>1</v>
      </c>
      <c r="G1092" s="698">
        <v>1</v>
      </c>
      <c r="H1092" s="698">
        <v>0</v>
      </c>
      <c r="I1092" s="699">
        <v>6.9500000000000006E-2</v>
      </c>
      <c r="J1092" s="699">
        <v>6.9500000000000006E-2</v>
      </c>
      <c r="K1092" s="699">
        <v>6.9500000000000006E-2</v>
      </c>
      <c r="L1092" s="697">
        <v>1</v>
      </c>
    </row>
    <row r="1093" spans="1:12">
      <c r="A1093" s="695">
        <v>45903</v>
      </c>
      <c r="B1093" s="696" t="s">
        <v>4387</v>
      </c>
      <c r="C1093" s="697">
        <v>168</v>
      </c>
      <c r="D1093" s="695">
        <v>46071</v>
      </c>
      <c r="E1093" s="698">
        <v>2.5</v>
      </c>
      <c r="F1093" s="698">
        <v>6</v>
      </c>
      <c r="G1093" s="698">
        <v>2.5</v>
      </c>
      <c r="H1093" s="698">
        <v>0</v>
      </c>
      <c r="I1093" s="699">
        <v>7.0499999999999993E-2</v>
      </c>
      <c r="J1093" s="699">
        <v>7.0499999999999993E-2</v>
      </c>
      <c r="K1093" s="699">
        <v>7.0499999999999993E-2</v>
      </c>
      <c r="L1093" s="697">
        <v>3</v>
      </c>
    </row>
    <row r="1094" spans="1:12">
      <c r="A1094" s="695">
        <v>45904</v>
      </c>
      <c r="B1094" s="696" t="s">
        <v>4388</v>
      </c>
      <c r="C1094" s="697">
        <v>84</v>
      </c>
      <c r="D1094" s="695">
        <v>45988</v>
      </c>
      <c r="E1094" s="698">
        <v>10</v>
      </c>
      <c r="F1094" s="698">
        <v>10.5</v>
      </c>
      <c r="G1094" s="698">
        <v>10</v>
      </c>
      <c r="H1094" s="698">
        <v>0</v>
      </c>
      <c r="I1094" s="699">
        <v>7.0000000000000007E-2</v>
      </c>
      <c r="J1094" s="699">
        <v>7.0499999999999993E-2</v>
      </c>
      <c r="K1094" s="699">
        <v>7.0099999999999996E-2</v>
      </c>
      <c r="L1094" s="697">
        <v>5</v>
      </c>
    </row>
    <row r="1095" spans="1:12">
      <c r="A1095" s="695">
        <v>45904</v>
      </c>
      <c r="B1095" s="696" t="s">
        <v>4389</v>
      </c>
      <c r="C1095" s="697">
        <v>252</v>
      </c>
      <c r="D1095" s="695">
        <v>46156</v>
      </c>
      <c r="E1095" s="698">
        <v>2.5</v>
      </c>
      <c r="F1095" s="698">
        <v>6.5</v>
      </c>
      <c r="G1095" s="698">
        <v>2.5</v>
      </c>
      <c r="H1095" s="698">
        <v>0</v>
      </c>
      <c r="I1095" s="699">
        <v>7.1199999999999999E-2</v>
      </c>
      <c r="J1095" s="699">
        <v>7.1499999999999994E-2</v>
      </c>
      <c r="K1095" s="699">
        <v>7.1400000000000005E-2</v>
      </c>
      <c r="L1095" s="697">
        <v>5</v>
      </c>
    </row>
    <row r="1096" spans="1:12">
      <c r="A1096" s="695">
        <v>45910</v>
      </c>
      <c r="B1096" s="696" t="s">
        <v>4390</v>
      </c>
      <c r="C1096" s="697">
        <v>28</v>
      </c>
      <c r="D1096" s="695">
        <v>45938</v>
      </c>
      <c r="E1096" s="698">
        <v>10</v>
      </c>
      <c r="F1096" s="698">
        <v>11</v>
      </c>
      <c r="G1096" s="698">
        <v>10</v>
      </c>
      <c r="H1096" s="698">
        <v>0</v>
      </c>
      <c r="I1096" s="699">
        <v>6.9500000000000006E-2</v>
      </c>
      <c r="J1096" s="699">
        <v>7.0000000000000007E-2</v>
      </c>
      <c r="K1096" s="699">
        <v>6.9699999999999998E-2</v>
      </c>
      <c r="L1096" s="697">
        <v>4</v>
      </c>
    </row>
    <row r="1097" spans="1:12">
      <c r="A1097" s="695">
        <v>45910</v>
      </c>
      <c r="B1097" s="696" t="s">
        <v>4391</v>
      </c>
      <c r="C1097" s="697">
        <v>168</v>
      </c>
      <c r="D1097" s="695">
        <v>46078</v>
      </c>
      <c r="E1097" s="698">
        <v>2.5</v>
      </c>
      <c r="F1097" s="698">
        <v>6.5</v>
      </c>
      <c r="G1097" s="698">
        <v>2.5</v>
      </c>
      <c r="H1097" s="698">
        <v>0</v>
      </c>
      <c r="I1097" s="699">
        <v>7.0300000000000001E-2</v>
      </c>
      <c r="J1097" s="699">
        <v>7.0499999999999993E-2</v>
      </c>
      <c r="K1097" s="699">
        <v>7.0400000000000004E-2</v>
      </c>
      <c r="L1097" s="697">
        <v>4</v>
      </c>
    </row>
    <row r="1098" spans="1:12">
      <c r="A1098" s="695">
        <v>45911</v>
      </c>
      <c r="B1098" s="696" t="s">
        <v>4392</v>
      </c>
      <c r="C1098" s="697">
        <v>84</v>
      </c>
      <c r="D1098" s="695">
        <v>45995</v>
      </c>
      <c r="E1098" s="698">
        <v>5</v>
      </c>
      <c r="F1098" s="698">
        <v>12</v>
      </c>
      <c r="G1098" s="698">
        <v>5</v>
      </c>
      <c r="H1098" s="698">
        <v>0</v>
      </c>
      <c r="I1098" s="699">
        <v>7.0000000000000007E-2</v>
      </c>
      <c r="J1098" s="699">
        <v>7.0099999999999996E-2</v>
      </c>
      <c r="K1098" s="699">
        <v>7.0000000000000007E-2</v>
      </c>
      <c r="L1098" s="697">
        <v>6</v>
      </c>
    </row>
    <row r="1099" spans="1:12">
      <c r="A1099" s="695">
        <v>45911</v>
      </c>
      <c r="B1099" s="696" t="s">
        <v>4393</v>
      </c>
      <c r="C1099" s="697">
        <v>252</v>
      </c>
      <c r="D1099" s="695">
        <v>46163</v>
      </c>
      <c r="E1099" s="698">
        <v>2.5</v>
      </c>
      <c r="F1099" s="698">
        <v>5.5</v>
      </c>
      <c r="G1099" s="698">
        <v>2.5</v>
      </c>
      <c r="H1099" s="698">
        <v>0</v>
      </c>
      <c r="I1099" s="699">
        <v>7.0999999999999994E-2</v>
      </c>
      <c r="J1099" s="699">
        <v>7.1300000000000002E-2</v>
      </c>
      <c r="K1099" s="699">
        <v>7.1199999999999999E-2</v>
      </c>
      <c r="L1099" s="697">
        <v>4</v>
      </c>
    </row>
    <row r="1100" spans="1:12">
      <c r="A1100" s="695">
        <v>45917</v>
      </c>
      <c r="B1100" s="696" t="s">
        <v>4394</v>
      </c>
      <c r="C1100" s="697">
        <v>28</v>
      </c>
      <c r="D1100" s="695">
        <v>45945</v>
      </c>
      <c r="E1100" s="698">
        <v>10</v>
      </c>
      <c r="F1100" s="698">
        <v>11.8</v>
      </c>
      <c r="G1100" s="698">
        <v>10</v>
      </c>
      <c r="H1100" s="698">
        <v>0</v>
      </c>
      <c r="I1100" s="699">
        <v>6.93E-2</v>
      </c>
      <c r="J1100" s="699">
        <v>6.9900000000000004E-2</v>
      </c>
      <c r="K1100" s="699">
        <v>6.9500000000000006E-2</v>
      </c>
      <c r="L1100" s="697">
        <v>4</v>
      </c>
    </row>
    <row r="1101" spans="1:12">
      <c r="A1101" s="695">
        <v>45917</v>
      </c>
      <c r="B1101" s="696" t="s">
        <v>4395</v>
      </c>
      <c r="C1101" s="697">
        <v>168</v>
      </c>
      <c r="D1101" s="695">
        <v>46085</v>
      </c>
      <c r="E1101" s="698">
        <v>2.5</v>
      </c>
      <c r="F1101" s="698">
        <v>5.5</v>
      </c>
      <c r="G1101" s="698">
        <v>2.5</v>
      </c>
      <c r="H1101" s="698">
        <v>0</v>
      </c>
      <c r="I1101" s="699">
        <v>7.0199999999999999E-2</v>
      </c>
      <c r="J1101" s="699">
        <v>7.0400000000000004E-2</v>
      </c>
      <c r="K1101" s="699">
        <v>7.0300000000000001E-2</v>
      </c>
      <c r="L1101" s="697">
        <v>4</v>
      </c>
    </row>
    <row r="1102" spans="1:12">
      <c r="A1102" s="695">
        <v>45918</v>
      </c>
      <c r="B1102" s="696" t="s">
        <v>4396</v>
      </c>
      <c r="C1102" s="697">
        <v>84</v>
      </c>
      <c r="D1102" s="695">
        <v>46002</v>
      </c>
      <c r="E1102" s="698">
        <v>2.5</v>
      </c>
      <c r="F1102" s="698">
        <v>14.5</v>
      </c>
      <c r="G1102" s="698">
        <v>2.5</v>
      </c>
      <c r="H1102" s="698">
        <v>0</v>
      </c>
      <c r="I1102" s="699">
        <v>6.9500000000000006E-2</v>
      </c>
      <c r="J1102" s="699">
        <v>6.9500000000000006E-2</v>
      </c>
      <c r="K1102" s="699">
        <v>6.9500000000000006E-2</v>
      </c>
      <c r="L1102" s="697">
        <v>6</v>
      </c>
    </row>
    <row r="1103" spans="1:12">
      <c r="A1103" s="695">
        <v>45918</v>
      </c>
      <c r="B1103" s="696" t="s">
        <v>4397</v>
      </c>
      <c r="C1103" s="697">
        <v>252</v>
      </c>
      <c r="D1103" s="695">
        <v>46170</v>
      </c>
      <c r="E1103" s="698">
        <v>2.5</v>
      </c>
      <c r="F1103" s="698">
        <v>8</v>
      </c>
      <c r="G1103" s="698">
        <v>2.5</v>
      </c>
      <c r="H1103" s="698">
        <v>0</v>
      </c>
      <c r="I1103" s="699">
        <v>7.0499999999999993E-2</v>
      </c>
      <c r="J1103" s="699">
        <v>7.0800000000000002E-2</v>
      </c>
      <c r="K1103" s="699">
        <v>7.0699999999999999E-2</v>
      </c>
      <c r="L1103" s="697">
        <v>5</v>
      </c>
    </row>
    <row r="1104" spans="1:12">
      <c r="A1104" s="695">
        <v>45924</v>
      </c>
      <c r="B1104" s="696" t="s">
        <v>4398</v>
      </c>
      <c r="C1104" s="697">
        <v>28</v>
      </c>
      <c r="D1104" s="695">
        <v>45952</v>
      </c>
      <c r="E1104" s="698">
        <v>5</v>
      </c>
      <c r="F1104" s="698">
        <v>19</v>
      </c>
      <c r="G1104" s="698">
        <v>5</v>
      </c>
      <c r="H1104" s="698">
        <v>0</v>
      </c>
      <c r="I1104" s="699">
        <v>6.9199999999999998E-2</v>
      </c>
      <c r="J1104" s="699">
        <v>6.9199999999999998E-2</v>
      </c>
      <c r="K1104" s="699">
        <v>6.9199999999999998E-2</v>
      </c>
      <c r="L1104" s="697">
        <v>5</v>
      </c>
    </row>
    <row r="1105" spans="1:12">
      <c r="A1105" s="695">
        <v>45924</v>
      </c>
      <c r="B1105" s="696" t="s">
        <v>4399</v>
      </c>
      <c r="C1105" s="697">
        <v>168</v>
      </c>
      <c r="D1105" s="695">
        <v>46092</v>
      </c>
      <c r="E1105" s="698">
        <v>2.5</v>
      </c>
      <c r="F1105" s="698">
        <v>9.6</v>
      </c>
      <c r="G1105" s="698">
        <v>2.5</v>
      </c>
      <c r="H1105" s="698">
        <v>0</v>
      </c>
      <c r="I1105" s="699">
        <v>6.9900000000000004E-2</v>
      </c>
      <c r="J1105" s="699">
        <v>6.9900000000000004E-2</v>
      </c>
      <c r="K1105" s="699">
        <v>6.9900000000000004E-2</v>
      </c>
      <c r="L1105" s="697">
        <v>6</v>
      </c>
    </row>
    <row r="1106" spans="1:12">
      <c r="A1106" s="695">
        <v>45925</v>
      </c>
      <c r="B1106" s="696" t="s">
        <v>4400</v>
      </c>
      <c r="C1106" s="697">
        <v>84</v>
      </c>
      <c r="D1106" s="695">
        <v>46009</v>
      </c>
      <c r="E1106" s="698">
        <v>2.5</v>
      </c>
      <c r="F1106" s="698">
        <v>4</v>
      </c>
      <c r="G1106" s="698">
        <v>2.5</v>
      </c>
      <c r="H1106" s="698">
        <v>0</v>
      </c>
      <c r="I1106" s="699">
        <v>6.93E-2</v>
      </c>
      <c r="J1106" s="699">
        <v>6.9500000000000006E-2</v>
      </c>
      <c r="K1106" s="699">
        <v>6.9400000000000003E-2</v>
      </c>
      <c r="L1106" s="697">
        <v>3</v>
      </c>
    </row>
    <row r="1107" spans="1:12">
      <c r="A1107" s="695">
        <v>45925</v>
      </c>
      <c r="B1107" s="696" t="s">
        <v>4401</v>
      </c>
      <c r="C1107" s="697">
        <v>252</v>
      </c>
      <c r="D1107" s="695">
        <v>46177</v>
      </c>
      <c r="E1107" s="698">
        <v>2.5</v>
      </c>
      <c r="F1107" s="698">
        <v>3</v>
      </c>
      <c r="G1107" s="698">
        <v>2.5</v>
      </c>
      <c r="H1107" s="698">
        <v>0</v>
      </c>
      <c r="I1107" s="699">
        <v>7.0499999999999993E-2</v>
      </c>
      <c r="J1107" s="699">
        <v>7.0699999999999999E-2</v>
      </c>
      <c r="K1107" s="699">
        <v>7.0599999999999996E-2</v>
      </c>
      <c r="L1107" s="697">
        <v>2</v>
      </c>
    </row>
    <row r="1108" spans="1:12">
      <c r="A1108" s="695">
        <v>45931</v>
      </c>
      <c r="B1108" s="696" t="s">
        <v>4405</v>
      </c>
      <c r="C1108" s="697">
        <v>28</v>
      </c>
      <c r="D1108" s="695">
        <v>45959</v>
      </c>
      <c r="E1108" s="698">
        <v>5</v>
      </c>
      <c r="F1108" s="698">
        <v>13.1</v>
      </c>
      <c r="G1108" s="698">
        <v>5</v>
      </c>
      <c r="H1108" s="698">
        <v>0</v>
      </c>
      <c r="I1108" s="699">
        <v>6.8900000000000003E-2</v>
      </c>
      <c r="J1108" s="699">
        <v>6.8900000000000003E-2</v>
      </c>
      <c r="K1108" s="699">
        <v>6.8900000000000003E-2</v>
      </c>
      <c r="L1108" s="697">
        <v>4</v>
      </c>
    </row>
    <row r="1109" spans="1:12">
      <c r="A1109" s="695">
        <v>45931</v>
      </c>
      <c r="B1109" s="696" t="s">
        <v>4406</v>
      </c>
      <c r="C1109" s="697">
        <v>168</v>
      </c>
      <c r="D1109" s="695">
        <v>46099</v>
      </c>
      <c r="E1109" s="698">
        <v>2.5</v>
      </c>
      <c r="F1109" s="698">
        <v>4.0999999999999996</v>
      </c>
      <c r="G1109" s="698">
        <v>2.5</v>
      </c>
      <c r="H1109" s="698">
        <v>0</v>
      </c>
      <c r="I1109" s="699">
        <v>6.9400000000000003E-2</v>
      </c>
      <c r="J1109" s="699">
        <v>6.9500000000000006E-2</v>
      </c>
      <c r="K1109" s="699">
        <v>6.9400000000000003E-2</v>
      </c>
      <c r="L1109" s="697">
        <v>3</v>
      </c>
    </row>
    <row r="1110" spans="1:12">
      <c r="A1110" s="695">
        <v>45932</v>
      </c>
      <c r="B1110" s="696" t="s">
        <v>4407</v>
      </c>
      <c r="C1110" s="697">
        <v>84</v>
      </c>
      <c r="D1110" s="695">
        <v>46016</v>
      </c>
      <c r="E1110" s="698">
        <v>2.5</v>
      </c>
      <c r="F1110" s="698">
        <v>6.1</v>
      </c>
      <c r="G1110" s="698">
        <v>2.5</v>
      </c>
      <c r="H1110" s="698">
        <v>0</v>
      </c>
      <c r="I1110" s="699">
        <v>6.9000000000000006E-2</v>
      </c>
      <c r="J1110" s="699">
        <v>6.9000000000000006E-2</v>
      </c>
      <c r="K1110" s="699">
        <v>6.9000000000000006E-2</v>
      </c>
      <c r="L1110" s="697">
        <v>3</v>
      </c>
    </row>
    <row r="1111" spans="1:12">
      <c r="A1111" s="695">
        <v>45932</v>
      </c>
      <c r="B1111" s="696" t="s">
        <v>4408</v>
      </c>
      <c r="C1111" s="697">
        <v>252</v>
      </c>
      <c r="D1111" s="695">
        <v>46184</v>
      </c>
      <c r="E1111" s="698">
        <v>2.5</v>
      </c>
      <c r="F1111" s="698">
        <v>3.1</v>
      </c>
      <c r="G1111" s="698">
        <v>2.5</v>
      </c>
      <c r="H1111" s="698">
        <v>0</v>
      </c>
      <c r="I1111" s="699">
        <v>7.0099999999999996E-2</v>
      </c>
      <c r="J1111" s="699">
        <v>7.0699999999999999E-2</v>
      </c>
      <c r="K1111" s="699">
        <v>7.0400000000000004E-2</v>
      </c>
      <c r="L1111" s="697">
        <v>2</v>
      </c>
    </row>
    <row r="1112" spans="1:12">
      <c r="A1112" s="695">
        <v>45938</v>
      </c>
      <c r="B1112" s="696" t="s">
        <v>4409</v>
      </c>
      <c r="C1112" s="697">
        <v>28</v>
      </c>
      <c r="D1112" s="695">
        <v>45966</v>
      </c>
      <c r="E1112" s="698">
        <v>5</v>
      </c>
      <c r="F1112" s="698">
        <v>14.1</v>
      </c>
      <c r="G1112" s="698">
        <v>5</v>
      </c>
      <c r="H1112" s="698">
        <v>0</v>
      </c>
      <c r="I1112" s="699">
        <v>6.8000000000000005E-2</v>
      </c>
      <c r="J1112" s="699">
        <v>6.8900000000000003E-2</v>
      </c>
      <c r="K1112" s="699">
        <v>6.83E-2</v>
      </c>
      <c r="L1112" s="697">
        <v>4</v>
      </c>
    </row>
    <row r="1113" spans="1:12">
      <c r="A1113" s="695">
        <v>45938</v>
      </c>
      <c r="B1113" s="696" t="s">
        <v>4410</v>
      </c>
      <c r="C1113" s="697">
        <v>168</v>
      </c>
      <c r="D1113" s="695">
        <v>46106</v>
      </c>
      <c r="E1113" s="698">
        <v>2.5</v>
      </c>
      <c r="F1113" s="698">
        <v>5.0999999999999996</v>
      </c>
      <c r="G1113" s="698">
        <v>2.5</v>
      </c>
      <c r="H1113" s="698">
        <v>0</v>
      </c>
      <c r="I1113" s="699">
        <v>6.9000000000000006E-2</v>
      </c>
      <c r="J1113" s="699">
        <v>6.9500000000000006E-2</v>
      </c>
      <c r="K1113" s="699">
        <v>6.9099999999999995E-2</v>
      </c>
      <c r="L1113" s="697">
        <v>4</v>
      </c>
    </row>
    <row r="1114" spans="1:12">
      <c r="A1114" s="695">
        <v>45939</v>
      </c>
      <c r="B1114" s="696" t="s">
        <v>4411</v>
      </c>
      <c r="C1114" s="697">
        <v>84</v>
      </c>
      <c r="D1114" s="695">
        <v>46023</v>
      </c>
      <c r="E1114" s="698">
        <v>2.5</v>
      </c>
      <c r="F1114" s="698">
        <v>6.1</v>
      </c>
      <c r="G1114" s="698">
        <v>2.5</v>
      </c>
      <c r="H1114" s="698">
        <v>0</v>
      </c>
      <c r="I1114" s="699">
        <v>6.88E-2</v>
      </c>
      <c r="J1114" s="699">
        <v>6.88E-2</v>
      </c>
      <c r="K1114" s="699">
        <v>6.88E-2</v>
      </c>
      <c r="L1114" s="697">
        <v>3</v>
      </c>
    </row>
    <row r="1115" spans="1:12">
      <c r="A1115" s="695">
        <v>45939</v>
      </c>
      <c r="B1115" s="696" t="s">
        <v>4412</v>
      </c>
      <c r="C1115" s="697">
        <v>252</v>
      </c>
      <c r="D1115" s="695">
        <v>46191</v>
      </c>
      <c r="E1115" s="698">
        <v>2.5</v>
      </c>
      <c r="F1115" s="698">
        <v>3.1</v>
      </c>
      <c r="G1115" s="698">
        <v>2.5</v>
      </c>
      <c r="H1115" s="698">
        <v>0</v>
      </c>
      <c r="I1115" s="699">
        <v>7.0300000000000001E-2</v>
      </c>
      <c r="J1115" s="699">
        <v>7.0699999999999999E-2</v>
      </c>
      <c r="K1115" s="699">
        <v>7.0400000000000004E-2</v>
      </c>
      <c r="L1115" s="697">
        <v>3</v>
      </c>
    </row>
    <row r="1116" spans="1:12">
      <c r="A1116" s="695">
        <v>45945</v>
      </c>
      <c r="B1116" s="696" t="s">
        <v>4413</v>
      </c>
      <c r="C1116" s="697">
        <v>28</v>
      </c>
      <c r="D1116" s="695">
        <v>45973</v>
      </c>
      <c r="E1116" s="698">
        <v>5</v>
      </c>
      <c r="F1116" s="698">
        <v>13.1</v>
      </c>
      <c r="G1116" s="698">
        <v>5</v>
      </c>
      <c r="H1116" s="698">
        <v>0</v>
      </c>
      <c r="I1116" s="699">
        <v>6.8699999999999997E-2</v>
      </c>
      <c r="J1116" s="699">
        <v>6.8699999999999997E-2</v>
      </c>
      <c r="K1116" s="699">
        <v>6.8699999999999997E-2</v>
      </c>
      <c r="L1116" s="697">
        <v>4</v>
      </c>
    </row>
    <row r="1117" spans="1:12">
      <c r="A1117" s="695">
        <v>45945</v>
      </c>
      <c r="B1117" s="696" t="s">
        <v>4414</v>
      </c>
      <c r="C1117" s="697">
        <v>168</v>
      </c>
      <c r="D1117" s="695">
        <v>46113</v>
      </c>
      <c r="E1117" s="698">
        <v>2.5</v>
      </c>
      <c r="F1117" s="698">
        <v>3.1</v>
      </c>
      <c r="G1117" s="698">
        <v>2.5</v>
      </c>
      <c r="H1117" s="698">
        <v>0</v>
      </c>
      <c r="I1117" s="699">
        <v>6.93E-2</v>
      </c>
      <c r="J1117" s="699">
        <v>6.9500000000000006E-2</v>
      </c>
      <c r="K1117" s="699">
        <v>6.93E-2</v>
      </c>
      <c r="L1117" s="697">
        <v>2</v>
      </c>
    </row>
    <row r="1118" spans="1:12">
      <c r="A1118" s="695">
        <v>45946</v>
      </c>
      <c r="B1118" s="696" t="s">
        <v>4415</v>
      </c>
      <c r="C1118" s="697">
        <v>84</v>
      </c>
      <c r="D1118" s="695">
        <v>46030</v>
      </c>
      <c r="E1118" s="698">
        <v>2.5</v>
      </c>
      <c r="F1118" s="698">
        <v>4.5999999999999996</v>
      </c>
      <c r="G1118" s="698">
        <v>2.5</v>
      </c>
      <c r="H1118" s="698">
        <v>0</v>
      </c>
      <c r="I1118" s="699">
        <v>6.8599999999999994E-2</v>
      </c>
      <c r="J1118" s="699">
        <v>6.9000000000000006E-2</v>
      </c>
      <c r="K1118" s="699">
        <v>6.88E-2</v>
      </c>
      <c r="L1118" s="697">
        <v>3</v>
      </c>
    </row>
    <row r="1119" spans="1:12">
      <c r="A1119" s="695">
        <v>45946</v>
      </c>
      <c r="B1119" s="696" t="s">
        <v>4416</v>
      </c>
      <c r="C1119" s="697">
        <v>252</v>
      </c>
      <c r="D1119" s="695">
        <v>46198</v>
      </c>
      <c r="E1119" s="698">
        <v>2.5</v>
      </c>
      <c r="F1119" s="698">
        <v>3.1</v>
      </c>
      <c r="G1119" s="698">
        <v>2.5</v>
      </c>
      <c r="H1119" s="698">
        <v>0</v>
      </c>
      <c r="I1119" s="699">
        <v>7.0300000000000001E-2</v>
      </c>
      <c r="J1119" s="699">
        <v>7.0400000000000004E-2</v>
      </c>
      <c r="K1119" s="699">
        <v>7.0400000000000004E-2</v>
      </c>
      <c r="L1119" s="697">
        <v>2</v>
      </c>
    </row>
    <row r="1120" spans="1:12">
      <c r="A1120" s="695">
        <v>45952</v>
      </c>
      <c r="B1120" s="696" t="s">
        <v>4417</v>
      </c>
      <c r="C1120" s="697">
        <v>28</v>
      </c>
      <c r="D1120" s="695">
        <v>45980</v>
      </c>
      <c r="E1120" s="698">
        <v>5</v>
      </c>
      <c r="F1120" s="698">
        <v>12.1</v>
      </c>
      <c r="G1120" s="698">
        <v>5</v>
      </c>
      <c r="H1120" s="698">
        <v>0</v>
      </c>
      <c r="I1120" s="699">
        <v>6.8500000000000005E-2</v>
      </c>
      <c r="J1120" s="699">
        <v>6.8500000000000005E-2</v>
      </c>
      <c r="K1120" s="699">
        <v>6.8500000000000005E-2</v>
      </c>
      <c r="L1120" s="697">
        <v>4</v>
      </c>
    </row>
    <row r="1121" spans="1:12">
      <c r="A1121" s="695">
        <v>45952</v>
      </c>
      <c r="B1121" s="696" t="s">
        <v>4418</v>
      </c>
      <c r="C1121" s="697">
        <v>168</v>
      </c>
      <c r="D1121" s="695">
        <v>46120</v>
      </c>
      <c r="E1121" s="698">
        <v>2.5</v>
      </c>
      <c r="F1121" s="698">
        <v>2.2999999999999998</v>
      </c>
      <c r="G1121" s="698">
        <v>2.2999999999999998</v>
      </c>
      <c r="H1121" s="698">
        <v>0</v>
      </c>
      <c r="I1121" s="699">
        <v>6.93E-2</v>
      </c>
      <c r="J1121" s="699">
        <v>6.9500000000000006E-2</v>
      </c>
      <c r="K1121" s="699">
        <v>6.9400000000000003E-2</v>
      </c>
      <c r="L1121" s="697">
        <v>3</v>
      </c>
    </row>
    <row r="1122" spans="1:12">
      <c r="A1122" s="695">
        <v>45953</v>
      </c>
      <c r="B1122" s="696" t="s">
        <v>4419</v>
      </c>
      <c r="C1122" s="697">
        <v>84</v>
      </c>
      <c r="D1122" s="695">
        <v>46037</v>
      </c>
      <c r="E1122" s="698">
        <v>2.5</v>
      </c>
      <c r="F1122" s="698">
        <v>3.6</v>
      </c>
      <c r="G1122" s="698">
        <v>2.5</v>
      </c>
      <c r="H1122" s="698">
        <v>0</v>
      </c>
      <c r="I1122" s="699">
        <v>6.88E-2</v>
      </c>
      <c r="J1122" s="699">
        <v>6.88E-2</v>
      </c>
      <c r="K1122" s="699">
        <v>6.88E-2</v>
      </c>
      <c r="L1122" s="697">
        <v>3</v>
      </c>
    </row>
    <row r="1123" spans="1:12">
      <c r="A1123" s="695">
        <v>45953</v>
      </c>
      <c r="B1123" s="696" t="s">
        <v>4420</v>
      </c>
      <c r="C1123" s="697">
        <v>252</v>
      </c>
      <c r="D1123" s="695">
        <v>46205</v>
      </c>
      <c r="E1123" s="698">
        <v>2.5</v>
      </c>
      <c r="F1123" s="698">
        <v>5.6</v>
      </c>
      <c r="G1123" s="698">
        <v>2.5</v>
      </c>
      <c r="H1123" s="698">
        <v>0</v>
      </c>
      <c r="I1123" s="699">
        <v>7.0300000000000001E-2</v>
      </c>
      <c r="J1123" s="699">
        <v>7.0400000000000004E-2</v>
      </c>
      <c r="K1123" s="699">
        <v>7.0400000000000004E-2</v>
      </c>
      <c r="L1123" s="697">
        <v>3</v>
      </c>
    </row>
    <row r="1124" spans="1:12">
      <c r="A1124" s="695">
        <v>45959</v>
      </c>
      <c r="B1124" s="696" t="s">
        <v>4421</v>
      </c>
      <c r="C1124" s="697">
        <v>28</v>
      </c>
      <c r="D1124" s="695">
        <v>45987</v>
      </c>
      <c r="E1124" s="698">
        <v>5</v>
      </c>
      <c r="F1124" s="698">
        <v>7.6</v>
      </c>
      <c r="G1124" s="698">
        <v>5</v>
      </c>
      <c r="H1124" s="698">
        <v>0</v>
      </c>
      <c r="I1124" s="699">
        <v>6.7500000000000004E-2</v>
      </c>
      <c r="J1124" s="699">
        <v>6.7500000000000004E-2</v>
      </c>
      <c r="K1124" s="699">
        <v>6.7500000000000004E-2</v>
      </c>
      <c r="L1124" s="697">
        <v>3</v>
      </c>
    </row>
    <row r="1125" spans="1:12">
      <c r="A1125" s="695">
        <v>45959</v>
      </c>
      <c r="B1125" s="696" t="s">
        <v>4422</v>
      </c>
      <c r="C1125" s="697">
        <v>168</v>
      </c>
      <c r="D1125" s="695">
        <v>46127</v>
      </c>
      <c r="E1125" s="698">
        <v>2.5</v>
      </c>
      <c r="F1125" s="698">
        <v>3.1</v>
      </c>
      <c r="G1125" s="698">
        <v>2.5</v>
      </c>
      <c r="H1125" s="698">
        <v>0</v>
      </c>
      <c r="I1125" s="699">
        <v>6.9199999999999998E-2</v>
      </c>
      <c r="J1125" s="699">
        <v>7.0000000000000007E-2</v>
      </c>
      <c r="K1125" s="699">
        <v>6.9400000000000003E-2</v>
      </c>
      <c r="L1125" s="697">
        <v>3</v>
      </c>
    </row>
    <row r="1126" spans="1:12">
      <c r="A1126" s="695">
        <v>45960</v>
      </c>
      <c r="B1126" s="696" t="s">
        <v>4423</v>
      </c>
      <c r="C1126" s="697">
        <v>84</v>
      </c>
      <c r="D1126" s="695">
        <v>46044</v>
      </c>
      <c r="E1126" s="698">
        <v>2.5</v>
      </c>
      <c r="F1126" s="698">
        <v>5.6</v>
      </c>
      <c r="G1126" s="698">
        <v>2.5</v>
      </c>
      <c r="H1126" s="698">
        <v>0</v>
      </c>
      <c r="I1126" s="699">
        <v>6.7799999999999999E-2</v>
      </c>
      <c r="J1126" s="699">
        <v>6.9000000000000006E-2</v>
      </c>
      <c r="K1126" s="699">
        <v>6.8000000000000005E-2</v>
      </c>
      <c r="L1126" s="697">
        <v>3</v>
      </c>
    </row>
    <row r="1127" spans="1:12">
      <c r="A1127" s="695">
        <v>45960</v>
      </c>
      <c r="B1127" s="696" t="s">
        <v>4424</v>
      </c>
      <c r="C1127" s="697">
        <v>252</v>
      </c>
      <c r="D1127" s="695">
        <v>46212</v>
      </c>
      <c r="E1127" s="698">
        <v>2.5</v>
      </c>
      <c r="F1127" s="698">
        <v>4.0999999999999996</v>
      </c>
      <c r="G1127" s="698">
        <v>2.5</v>
      </c>
      <c r="H1127" s="698">
        <v>0</v>
      </c>
      <c r="I1127" s="699">
        <v>7.0400000000000004E-2</v>
      </c>
      <c r="J1127" s="699">
        <v>7.0499999999999993E-2</v>
      </c>
      <c r="K1127" s="699">
        <v>7.0400000000000004E-2</v>
      </c>
      <c r="L1127" s="697">
        <v>2</v>
      </c>
    </row>
    <row r="1128" spans="1:12">
      <c r="A1128" s="695">
        <v>45966</v>
      </c>
      <c r="B1128" s="696" t="s">
        <v>4429</v>
      </c>
      <c r="C1128" s="697">
        <v>28</v>
      </c>
      <c r="D1128" s="695">
        <v>45994</v>
      </c>
      <c r="E1128" s="698">
        <v>5</v>
      </c>
      <c r="F1128" s="698">
        <v>9.5</v>
      </c>
      <c r="G1128" s="698">
        <v>5</v>
      </c>
      <c r="H1128" s="698">
        <v>0</v>
      </c>
      <c r="I1128" s="699">
        <v>6.7000000000000004E-2</v>
      </c>
      <c r="J1128" s="699">
        <v>6.7900000000000002E-2</v>
      </c>
      <c r="K1128" s="699">
        <v>6.7199999999999996E-2</v>
      </c>
      <c r="L1128" s="697">
        <v>3</v>
      </c>
    </row>
    <row r="1129" spans="1:12">
      <c r="A1129" s="695">
        <v>45966</v>
      </c>
      <c r="B1129" s="696" t="s">
        <v>4430</v>
      </c>
      <c r="C1129" s="697">
        <v>168</v>
      </c>
      <c r="D1129" s="695">
        <v>46134</v>
      </c>
      <c r="E1129" s="698">
        <v>2.5</v>
      </c>
      <c r="F1129" s="698">
        <v>2.5</v>
      </c>
      <c r="G1129" s="698">
        <v>2.5</v>
      </c>
      <c r="H1129" s="698">
        <v>0</v>
      </c>
      <c r="I1129" s="699">
        <v>6.9000000000000006E-2</v>
      </c>
      <c r="J1129" s="699">
        <v>6.9000000000000006E-2</v>
      </c>
      <c r="K1129" s="699">
        <v>6.9000000000000006E-2</v>
      </c>
      <c r="L1129" s="697">
        <v>1</v>
      </c>
    </row>
    <row r="1130" spans="1:12">
      <c r="A1130" s="695">
        <v>45967</v>
      </c>
      <c r="B1130" s="696" t="s">
        <v>4431</v>
      </c>
      <c r="C1130" s="697">
        <v>84</v>
      </c>
      <c r="D1130" s="695">
        <v>46051</v>
      </c>
      <c r="E1130" s="698">
        <v>2.5</v>
      </c>
      <c r="F1130" s="698">
        <v>4.0999999999999996</v>
      </c>
      <c r="G1130" s="698">
        <v>2.5</v>
      </c>
      <c r="H1130" s="698">
        <v>0</v>
      </c>
      <c r="I1130" s="699">
        <v>6.8000000000000005E-2</v>
      </c>
      <c r="J1130" s="699">
        <v>6.9000000000000006E-2</v>
      </c>
      <c r="K1130" s="699">
        <v>6.8400000000000002E-2</v>
      </c>
      <c r="L1130" s="697">
        <v>3</v>
      </c>
    </row>
    <row r="1131" spans="1:12">
      <c r="A1131" s="695">
        <v>45967</v>
      </c>
      <c r="B1131" s="696" t="s">
        <v>4432</v>
      </c>
      <c r="C1131" s="697">
        <v>252</v>
      </c>
      <c r="D1131" s="695">
        <v>46219</v>
      </c>
      <c r="E1131" s="698">
        <v>2.5</v>
      </c>
      <c r="F1131" s="698">
        <v>4.0999999999999996</v>
      </c>
      <c r="G1131" s="698">
        <v>2.5</v>
      </c>
      <c r="H1131" s="698">
        <v>0</v>
      </c>
      <c r="I1131" s="699">
        <v>7.0400000000000004E-2</v>
      </c>
      <c r="J1131" s="699">
        <v>7.0499999999999993E-2</v>
      </c>
      <c r="K1131" s="699">
        <v>7.0400000000000004E-2</v>
      </c>
      <c r="L1131" s="697">
        <v>2</v>
      </c>
    </row>
    <row r="1132" spans="1:12">
      <c r="A1132" s="695">
        <v>45973</v>
      </c>
      <c r="B1132" s="696" t="s">
        <v>4433</v>
      </c>
      <c r="C1132" s="697">
        <v>28</v>
      </c>
      <c r="D1132" s="695">
        <v>46001</v>
      </c>
      <c r="E1132" s="698">
        <v>5</v>
      </c>
      <c r="F1132" s="698">
        <v>2.1</v>
      </c>
      <c r="G1132" s="698">
        <v>2.1</v>
      </c>
      <c r="H1132" s="698">
        <v>0</v>
      </c>
      <c r="I1132" s="699">
        <v>6.7100000000000007E-2</v>
      </c>
      <c r="J1132" s="699">
        <v>6.7900000000000002E-2</v>
      </c>
      <c r="K1132" s="699">
        <v>6.7500000000000004E-2</v>
      </c>
      <c r="L1132" s="697">
        <v>2</v>
      </c>
    </row>
    <row r="1133" spans="1:12">
      <c r="A1133" s="695">
        <v>45973</v>
      </c>
      <c r="B1133" s="696" t="s">
        <v>4434</v>
      </c>
      <c r="C1133" s="697">
        <v>168</v>
      </c>
      <c r="D1133" s="695">
        <v>46141</v>
      </c>
      <c r="E1133" s="698">
        <v>2.5</v>
      </c>
      <c r="F1133" s="698">
        <v>2.1</v>
      </c>
      <c r="G1133" s="698">
        <v>2.1</v>
      </c>
      <c r="H1133" s="698">
        <v>0</v>
      </c>
      <c r="I1133" s="699">
        <v>6.9400000000000003E-2</v>
      </c>
      <c r="J1133" s="699">
        <v>6.9400000000000003E-2</v>
      </c>
      <c r="K1133" s="699">
        <v>6.9400000000000003E-2</v>
      </c>
      <c r="L1133" s="697">
        <v>1</v>
      </c>
    </row>
    <row r="1134" spans="1:12">
      <c r="A1134" s="695">
        <v>45974</v>
      </c>
      <c r="B1134" s="696" t="s">
        <v>4435</v>
      </c>
      <c r="C1134" s="697">
        <v>84</v>
      </c>
      <c r="D1134" s="695">
        <v>46058</v>
      </c>
      <c r="E1134" s="698">
        <v>2.5</v>
      </c>
      <c r="F1134" s="698">
        <v>6.5</v>
      </c>
      <c r="G1134" s="698">
        <v>2.5</v>
      </c>
      <c r="H1134" s="698">
        <v>0</v>
      </c>
      <c r="I1134" s="699">
        <v>6.7799999999999999E-2</v>
      </c>
      <c r="J1134" s="699">
        <v>6.7799999999999999E-2</v>
      </c>
      <c r="K1134" s="699">
        <v>6.7799999999999999E-2</v>
      </c>
      <c r="L1134" s="697">
        <v>3</v>
      </c>
    </row>
    <row r="1135" spans="1:12">
      <c r="A1135" s="695">
        <v>45974</v>
      </c>
      <c r="B1135" s="696" t="s">
        <v>4436</v>
      </c>
      <c r="C1135" s="697">
        <v>252</v>
      </c>
      <c r="D1135" s="695">
        <v>46226</v>
      </c>
      <c r="E1135" s="698">
        <v>2.5</v>
      </c>
      <c r="F1135" s="698">
        <v>6</v>
      </c>
      <c r="G1135" s="698">
        <v>2.5</v>
      </c>
      <c r="H1135" s="698">
        <v>0</v>
      </c>
      <c r="I1135" s="699">
        <v>7.0400000000000004E-2</v>
      </c>
      <c r="J1135" s="699">
        <v>7.0400000000000004E-2</v>
      </c>
      <c r="K1135" s="699">
        <v>7.0400000000000004E-2</v>
      </c>
      <c r="L1135" s="697">
        <v>3</v>
      </c>
    </row>
    <row r="1136" spans="1:12">
      <c r="A1136" s="695">
        <v>45980</v>
      </c>
      <c r="B1136" s="696" t="s">
        <v>4437</v>
      </c>
      <c r="C1136" s="697">
        <v>28</v>
      </c>
      <c r="D1136" s="695">
        <v>46008</v>
      </c>
      <c r="E1136" s="698">
        <v>5</v>
      </c>
      <c r="F1136" s="698">
        <v>13.5</v>
      </c>
      <c r="G1136" s="698">
        <v>5</v>
      </c>
      <c r="H1136" s="698">
        <v>0</v>
      </c>
      <c r="I1136" s="699">
        <v>6.7500000000000004E-2</v>
      </c>
      <c r="J1136" s="699">
        <v>6.7500000000000004E-2</v>
      </c>
      <c r="K1136" s="699">
        <v>6.7500000000000004E-2</v>
      </c>
      <c r="L1136" s="697">
        <v>4</v>
      </c>
    </row>
    <row r="1137" spans="1:12">
      <c r="A1137" s="695">
        <v>45980</v>
      </c>
      <c r="B1137" s="696" t="s">
        <v>4438</v>
      </c>
      <c r="C1137" s="697">
        <v>168</v>
      </c>
      <c r="D1137" s="695">
        <v>46148</v>
      </c>
      <c r="E1137" s="698">
        <v>2.5</v>
      </c>
      <c r="F1137" s="698">
        <v>3.5</v>
      </c>
      <c r="G1137" s="698">
        <v>2.5</v>
      </c>
      <c r="H1137" s="698">
        <v>0</v>
      </c>
      <c r="I1137" s="699">
        <v>6.9500000000000006E-2</v>
      </c>
      <c r="J1137" s="699">
        <v>6.9699999999999998E-2</v>
      </c>
      <c r="K1137" s="699">
        <v>6.9599999999999995E-2</v>
      </c>
      <c r="L1137" s="697">
        <v>2</v>
      </c>
    </row>
    <row r="1138" spans="1:12">
      <c r="A1138" s="695">
        <v>45981</v>
      </c>
      <c r="B1138" s="696" t="s">
        <v>4439</v>
      </c>
      <c r="C1138" s="697">
        <v>84</v>
      </c>
      <c r="D1138" s="695">
        <v>46065</v>
      </c>
      <c r="E1138" s="698">
        <v>2.5</v>
      </c>
      <c r="F1138" s="698">
        <v>4.5</v>
      </c>
      <c r="G1138" s="698">
        <v>2.5</v>
      </c>
      <c r="H1138" s="698">
        <v>0</v>
      </c>
      <c r="I1138" s="699">
        <v>6.7699999999999996E-2</v>
      </c>
      <c r="J1138" s="699">
        <v>6.7799999999999999E-2</v>
      </c>
      <c r="K1138" s="699">
        <v>6.7699999999999996E-2</v>
      </c>
      <c r="L1138" s="697">
        <v>3</v>
      </c>
    </row>
    <row r="1139" spans="1:12">
      <c r="A1139" s="695">
        <v>45981</v>
      </c>
      <c r="B1139" s="696" t="s">
        <v>4440</v>
      </c>
      <c r="C1139" s="697">
        <v>252</v>
      </c>
      <c r="D1139" s="695">
        <v>46233</v>
      </c>
      <c r="E1139" s="698">
        <v>2.5</v>
      </c>
      <c r="F1139" s="698">
        <v>6.5</v>
      </c>
      <c r="G1139" s="698">
        <v>2.5</v>
      </c>
      <c r="H1139" s="698">
        <v>0</v>
      </c>
      <c r="I1139" s="699">
        <v>7.0000000000000007E-2</v>
      </c>
      <c r="J1139" s="699">
        <v>7.0400000000000004E-2</v>
      </c>
      <c r="K1139" s="699">
        <v>7.0199999999999999E-2</v>
      </c>
      <c r="L1139" s="697">
        <v>3</v>
      </c>
    </row>
    <row r="1140" spans="1:12">
      <c r="A1140" s="695">
        <v>45987</v>
      </c>
      <c r="B1140" s="696" t="s">
        <v>4441</v>
      </c>
      <c r="C1140" s="697">
        <v>28</v>
      </c>
      <c r="D1140" s="695">
        <v>46015</v>
      </c>
      <c r="E1140" s="698">
        <v>10</v>
      </c>
      <c r="F1140" s="698">
        <v>6</v>
      </c>
      <c r="G1140" s="698">
        <v>6</v>
      </c>
      <c r="H1140" s="698">
        <v>0</v>
      </c>
      <c r="I1140" s="699">
        <v>6.7500000000000004E-2</v>
      </c>
      <c r="J1140" s="699">
        <v>6.7500000000000004E-2</v>
      </c>
      <c r="K1140" s="699">
        <v>6.7500000000000004E-2</v>
      </c>
      <c r="L1140" s="697">
        <v>2</v>
      </c>
    </row>
    <row r="1141" spans="1:12">
      <c r="A1141" s="695">
        <v>45987</v>
      </c>
      <c r="B1141" s="696" t="s">
        <v>4442</v>
      </c>
      <c r="C1141" s="697">
        <v>168</v>
      </c>
      <c r="D1141" s="695">
        <v>46155</v>
      </c>
      <c r="E1141" s="698">
        <v>2.5</v>
      </c>
      <c r="F1141" s="698">
        <v>4</v>
      </c>
      <c r="G1141" s="698">
        <v>2.5</v>
      </c>
      <c r="H1141" s="698">
        <v>0</v>
      </c>
      <c r="I1141" s="699">
        <v>6.9400000000000003E-2</v>
      </c>
      <c r="J1141" s="699">
        <v>6.9699999999999998E-2</v>
      </c>
      <c r="K1141" s="699">
        <v>6.9500000000000006E-2</v>
      </c>
      <c r="L1141" s="697">
        <v>2</v>
      </c>
    </row>
    <row r="1142" spans="1:12">
      <c r="A1142" s="695">
        <v>45988</v>
      </c>
      <c r="B1142" s="696" t="s">
        <v>4443</v>
      </c>
      <c r="C1142" s="697">
        <v>84</v>
      </c>
      <c r="D1142" s="695">
        <v>46072</v>
      </c>
      <c r="E1142" s="698">
        <v>2.5</v>
      </c>
      <c r="F1142" s="698">
        <v>5</v>
      </c>
      <c r="G1142" s="698">
        <v>2.5</v>
      </c>
      <c r="H1142" s="698">
        <v>0</v>
      </c>
      <c r="I1142" s="699">
        <v>6.7799999999999999E-2</v>
      </c>
      <c r="J1142" s="699">
        <v>6.7799999999999999E-2</v>
      </c>
      <c r="K1142" s="699">
        <v>6.7799999999999999E-2</v>
      </c>
      <c r="L1142" s="697">
        <v>3</v>
      </c>
    </row>
    <row r="1143" spans="1:12">
      <c r="A1143" s="695">
        <v>45988</v>
      </c>
      <c r="B1143" s="696" t="s">
        <v>4444</v>
      </c>
      <c r="C1143" s="697">
        <v>252</v>
      </c>
      <c r="D1143" s="695">
        <v>46240</v>
      </c>
      <c r="E1143" s="698">
        <v>2.5</v>
      </c>
      <c r="F1143" s="698">
        <v>7.5</v>
      </c>
      <c r="G1143" s="698">
        <v>2.5</v>
      </c>
      <c r="H1143" s="698">
        <v>0</v>
      </c>
      <c r="I1143" s="699">
        <v>7.0000000000000007E-2</v>
      </c>
      <c r="J1143" s="699">
        <v>7.0000000000000007E-2</v>
      </c>
      <c r="K1143" s="699">
        <v>7.0000000000000007E-2</v>
      </c>
      <c r="L1143" s="697">
        <v>4</v>
      </c>
    </row>
    <row r="1144" spans="1:12">
      <c r="A1144" s="695">
        <v>45994</v>
      </c>
      <c r="B1144" s="696" t="s">
        <v>4445</v>
      </c>
      <c r="C1144" s="697">
        <v>28</v>
      </c>
      <c r="D1144" s="695">
        <v>46022</v>
      </c>
      <c r="E1144" s="698">
        <v>10</v>
      </c>
      <c r="F1144" s="698">
        <v>11</v>
      </c>
      <c r="G1144" s="698">
        <v>10</v>
      </c>
      <c r="H1144" s="698">
        <v>0</v>
      </c>
      <c r="I1144" s="699">
        <v>6.8000000000000005E-2</v>
      </c>
      <c r="J1144" s="699">
        <v>6.8000000000000005E-2</v>
      </c>
      <c r="K1144" s="699">
        <v>6.8000000000000005E-2</v>
      </c>
      <c r="L1144" s="697">
        <v>2</v>
      </c>
    </row>
    <row r="1145" spans="1:12">
      <c r="A1145" s="695">
        <v>45994</v>
      </c>
      <c r="B1145" s="696" t="s">
        <v>4446</v>
      </c>
      <c r="C1145" s="697">
        <v>168</v>
      </c>
      <c r="D1145" s="695">
        <v>46162</v>
      </c>
      <c r="E1145" s="698">
        <v>2.5</v>
      </c>
      <c r="F1145" s="698">
        <v>4.5</v>
      </c>
      <c r="G1145" s="698">
        <v>2.5</v>
      </c>
      <c r="H1145" s="698">
        <v>0</v>
      </c>
      <c r="I1145" s="699">
        <v>6.9400000000000003E-2</v>
      </c>
      <c r="J1145" s="699">
        <v>6.9699999999999998E-2</v>
      </c>
      <c r="K1145" s="699">
        <v>6.9500000000000006E-2</v>
      </c>
      <c r="L1145" s="697">
        <v>2</v>
      </c>
    </row>
    <row r="1146" spans="1:12">
      <c r="A1146" s="695">
        <v>45995</v>
      </c>
      <c r="B1146" s="696" t="s">
        <v>4447</v>
      </c>
      <c r="C1146" s="697">
        <v>84</v>
      </c>
      <c r="D1146" s="695">
        <v>46079</v>
      </c>
      <c r="E1146" s="698">
        <v>2.5</v>
      </c>
      <c r="F1146" s="698">
        <v>5.5</v>
      </c>
      <c r="G1146" s="698">
        <v>2.5</v>
      </c>
      <c r="H1146" s="698">
        <v>0</v>
      </c>
      <c r="I1146" s="699">
        <v>6.7699999999999996E-2</v>
      </c>
      <c r="J1146" s="699">
        <v>6.7799999999999999E-2</v>
      </c>
      <c r="K1146" s="699">
        <v>6.7699999999999996E-2</v>
      </c>
      <c r="L1146" s="697">
        <v>3</v>
      </c>
    </row>
    <row r="1147" spans="1:12">
      <c r="A1147" s="695">
        <v>45995</v>
      </c>
      <c r="B1147" s="696" t="s">
        <v>4448</v>
      </c>
      <c r="C1147" s="697">
        <v>252</v>
      </c>
      <c r="D1147" s="695">
        <v>46247</v>
      </c>
      <c r="E1147" s="698">
        <v>2.5</v>
      </c>
      <c r="F1147" s="698">
        <v>7.5</v>
      </c>
      <c r="G1147" s="698">
        <v>2.5</v>
      </c>
      <c r="H1147" s="698">
        <v>0</v>
      </c>
      <c r="I1147" s="699">
        <v>7.0000000000000007E-2</v>
      </c>
      <c r="J1147" s="699">
        <v>7.0000000000000007E-2</v>
      </c>
      <c r="K1147" s="699">
        <v>7.0000000000000007E-2</v>
      </c>
      <c r="L1147" s="697">
        <v>4</v>
      </c>
    </row>
    <row r="1148" spans="1:12">
      <c r="A1148" s="695">
        <v>46001</v>
      </c>
      <c r="B1148" s="696" t="s">
        <v>4449</v>
      </c>
      <c r="C1148" s="697">
        <v>28</v>
      </c>
      <c r="D1148" s="695">
        <v>46029</v>
      </c>
      <c r="E1148" s="698">
        <v>10</v>
      </c>
      <c r="F1148" s="698">
        <v>12</v>
      </c>
      <c r="G1148" s="698">
        <v>10</v>
      </c>
      <c r="H1148" s="698">
        <v>0</v>
      </c>
      <c r="I1148" s="699">
        <v>6.7500000000000004E-2</v>
      </c>
      <c r="J1148" s="699">
        <v>6.8000000000000005E-2</v>
      </c>
      <c r="K1148" s="699">
        <v>6.7799999999999999E-2</v>
      </c>
      <c r="L1148" s="697">
        <v>3</v>
      </c>
    </row>
    <row r="1149" spans="1:12">
      <c r="A1149" s="695">
        <v>46001</v>
      </c>
      <c r="B1149" s="696" t="s">
        <v>4450</v>
      </c>
      <c r="C1149" s="697">
        <v>168</v>
      </c>
      <c r="D1149" s="695">
        <v>46169</v>
      </c>
      <c r="E1149" s="698">
        <v>2.5</v>
      </c>
      <c r="F1149" s="698">
        <v>5.5</v>
      </c>
      <c r="G1149" s="698">
        <v>2.5</v>
      </c>
      <c r="H1149" s="698">
        <v>0</v>
      </c>
      <c r="I1149" s="699" t="s">
        <v>4451</v>
      </c>
      <c r="J1149" s="699">
        <v>6.9599999999999995E-2</v>
      </c>
      <c r="K1149" s="699">
        <v>6.9500000000000006E-2</v>
      </c>
      <c r="L1149" s="697">
        <v>3</v>
      </c>
    </row>
    <row r="1150" spans="1:12">
      <c r="A1150" s="695">
        <v>46002</v>
      </c>
      <c r="B1150" s="696" t="s">
        <v>4452</v>
      </c>
      <c r="C1150" s="697">
        <v>84</v>
      </c>
      <c r="D1150" s="695">
        <v>46086</v>
      </c>
      <c r="E1150" s="698">
        <v>2.5</v>
      </c>
      <c r="F1150" s="698">
        <v>7</v>
      </c>
      <c r="G1150" s="698">
        <v>2.5</v>
      </c>
      <c r="H1150" s="698">
        <v>0</v>
      </c>
      <c r="I1150" s="699">
        <v>6.7000000000000004E-2</v>
      </c>
      <c r="J1150" s="699">
        <v>6.7599999999999993E-2</v>
      </c>
      <c r="K1150" s="699">
        <v>6.7100000000000007E-2</v>
      </c>
      <c r="L1150" s="697">
        <v>3</v>
      </c>
    </row>
    <row r="1151" spans="1:12">
      <c r="A1151" s="695">
        <v>46002</v>
      </c>
      <c r="B1151" s="696" t="s">
        <v>4453</v>
      </c>
      <c r="C1151" s="697">
        <v>252</v>
      </c>
      <c r="D1151" s="695">
        <v>46254</v>
      </c>
      <c r="E1151" s="698">
        <v>2.5</v>
      </c>
      <c r="F1151" s="698">
        <v>8</v>
      </c>
      <c r="G1151" s="698">
        <v>2.5</v>
      </c>
      <c r="H1151" s="698">
        <v>0</v>
      </c>
      <c r="I1151" s="699">
        <v>6.9000000000000006E-2</v>
      </c>
      <c r="J1151" s="699">
        <v>6.9800000000000001E-2</v>
      </c>
      <c r="K1151" s="699">
        <v>6.9199999999999998E-2</v>
      </c>
      <c r="L1151" s="697">
        <v>4</v>
      </c>
    </row>
    <row r="1152" spans="1:12">
      <c r="A1152" s="695">
        <v>46008</v>
      </c>
      <c r="B1152" s="696" t="s">
        <v>4454</v>
      </c>
      <c r="C1152" s="697">
        <v>28</v>
      </c>
      <c r="D1152" s="695">
        <v>46036</v>
      </c>
      <c r="E1152" s="698">
        <v>10</v>
      </c>
      <c r="F1152" s="698">
        <v>18</v>
      </c>
      <c r="G1152" s="698">
        <v>10</v>
      </c>
      <c r="H1152" s="698">
        <v>0</v>
      </c>
      <c r="I1152" s="699">
        <v>6.7400000000000002E-2</v>
      </c>
      <c r="J1152" s="699">
        <v>6.7799999999999999E-2</v>
      </c>
      <c r="K1152" s="699">
        <v>6.7599999999999993E-2</v>
      </c>
      <c r="L1152" s="697">
        <v>3</v>
      </c>
    </row>
    <row r="1153" spans="1:12">
      <c r="A1153" s="695">
        <v>46008</v>
      </c>
      <c r="B1153" s="696" t="s">
        <v>4455</v>
      </c>
      <c r="C1153" s="697">
        <v>168</v>
      </c>
      <c r="D1153" s="695">
        <v>46176</v>
      </c>
      <c r="E1153" s="698">
        <v>2.5</v>
      </c>
      <c r="F1153" s="698">
        <v>7</v>
      </c>
      <c r="G1153" s="698">
        <v>2.5</v>
      </c>
      <c r="H1153" s="698">
        <v>0</v>
      </c>
      <c r="I1153" s="699">
        <v>6.83E-2</v>
      </c>
      <c r="J1153" s="699">
        <v>6.9400000000000003E-2</v>
      </c>
      <c r="K1153" s="699">
        <v>6.8500000000000005E-2</v>
      </c>
      <c r="L1153" s="697">
        <v>3</v>
      </c>
    </row>
    <row r="1154" spans="1:12">
      <c r="A1154" s="695">
        <v>46009</v>
      </c>
      <c r="B1154" s="696" t="s">
        <v>4456</v>
      </c>
      <c r="C1154" s="697">
        <v>84</v>
      </c>
      <c r="D1154" s="695">
        <v>46093</v>
      </c>
      <c r="E1154" s="698">
        <v>5</v>
      </c>
      <c r="F1154" s="698">
        <v>11</v>
      </c>
      <c r="G1154" s="698">
        <v>5</v>
      </c>
      <c r="H1154" s="698">
        <v>0</v>
      </c>
      <c r="I1154" s="699">
        <v>6.7000000000000004E-2</v>
      </c>
      <c r="J1154" s="699">
        <v>6.7000000000000004E-2</v>
      </c>
      <c r="K1154" s="699">
        <v>6.7000000000000004E-2</v>
      </c>
      <c r="L1154" s="697">
        <v>4</v>
      </c>
    </row>
    <row r="1155" spans="1:12">
      <c r="A1155" s="695">
        <v>46009</v>
      </c>
      <c r="B1155" s="696" t="s">
        <v>4457</v>
      </c>
      <c r="C1155" s="697">
        <v>252</v>
      </c>
      <c r="D1155" s="695">
        <v>46261</v>
      </c>
      <c r="E1155" s="698">
        <v>2.5</v>
      </c>
      <c r="F1155" s="698">
        <v>6.5</v>
      </c>
      <c r="G1155" s="698">
        <v>2.5</v>
      </c>
      <c r="H1155" s="698">
        <v>0</v>
      </c>
      <c r="I1155" s="699">
        <v>6.9099999999999995E-2</v>
      </c>
      <c r="J1155" s="699">
        <v>6.9099999999999995E-2</v>
      </c>
      <c r="K1155" s="699">
        <v>6.9099999999999995E-2</v>
      </c>
      <c r="L1155" s="697">
        <v>3</v>
      </c>
    </row>
    <row r="1156" spans="1:12">
      <c r="A1156" s="695">
        <v>46015</v>
      </c>
      <c r="B1156" s="696" t="s">
        <v>4458</v>
      </c>
      <c r="C1156" s="697">
        <v>28</v>
      </c>
      <c r="D1156" s="695">
        <v>46043</v>
      </c>
      <c r="E1156" s="698">
        <v>10</v>
      </c>
      <c r="F1156" s="698">
        <v>20</v>
      </c>
      <c r="G1156" s="698">
        <v>10</v>
      </c>
      <c r="H1156" s="698">
        <v>0</v>
      </c>
      <c r="I1156" s="699">
        <v>6.7400000000000002E-2</v>
      </c>
      <c r="J1156" s="699">
        <v>6.7500000000000004E-2</v>
      </c>
      <c r="K1156" s="699">
        <v>6.7500000000000004E-2</v>
      </c>
      <c r="L1156" s="697">
        <v>4</v>
      </c>
    </row>
    <row r="1157" spans="1:12">
      <c r="A1157" s="695">
        <v>46015</v>
      </c>
      <c r="B1157" s="696" t="s">
        <v>4459</v>
      </c>
      <c r="C1157" s="697">
        <v>168</v>
      </c>
      <c r="D1157" s="695">
        <v>46183</v>
      </c>
      <c r="E1157" s="698">
        <v>2.5</v>
      </c>
      <c r="F1157" s="698">
        <v>11</v>
      </c>
      <c r="G1157" s="698">
        <v>2.5</v>
      </c>
      <c r="H1157" s="698">
        <v>0</v>
      </c>
      <c r="I1157" s="699">
        <v>6.8000000000000005E-2</v>
      </c>
      <c r="J1157" s="699">
        <v>6.8000000000000005E-2</v>
      </c>
      <c r="K1157" s="699">
        <v>6.8000000000000005E-2</v>
      </c>
      <c r="L1157" s="697">
        <v>5</v>
      </c>
    </row>
    <row r="1158" spans="1:12">
      <c r="A1158" s="695">
        <v>46016</v>
      </c>
      <c r="B1158" s="696" t="s">
        <v>4460</v>
      </c>
      <c r="C1158" s="697">
        <v>84</v>
      </c>
      <c r="D1158" s="695">
        <v>46100</v>
      </c>
      <c r="E1158" s="698">
        <v>5</v>
      </c>
      <c r="F1158" s="698">
        <v>14</v>
      </c>
      <c r="G1158" s="698">
        <v>5</v>
      </c>
      <c r="H1158" s="698">
        <v>0</v>
      </c>
      <c r="I1158" s="699">
        <v>6.6799999999999998E-2</v>
      </c>
      <c r="J1158" s="699">
        <v>6.6900000000000001E-2</v>
      </c>
      <c r="K1158" s="699">
        <v>6.6799999999999998E-2</v>
      </c>
      <c r="L1158" s="697">
        <v>4</v>
      </c>
    </row>
    <row r="1159" spans="1:12">
      <c r="A1159" s="695">
        <v>46016</v>
      </c>
      <c r="B1159" s="696" t="s">
        <v>4461</v>
      </c>
      <c r="C1159" s="697">
        <v>252</v>
      </c>
      <c r="D1159" s="695">
        <v>46268</v>
      </c>
      <c r="E1159" s="698">
        <v>2.5</v>
      </c>
      <c r="F1159" s="698">
        <v>12.3</v>
      </c>
      <c r="G1159" s="698">
        <v>2.5</v>
      </c>
      <c r="H1159" s="698">
        <v>0</v>
      </c>
      <c r="I1159" s="699">
        <v>6.8500000000000005E-2</v>
      </c>
      <c r="J1159" s="699">
        <v>6.8500000000000005E-2</v>
      </c>
      <c r="K1159" s="699">
        <v>6.8500000000000005E-2</v>
      </c>
      <c r="L1159" s="697">
        <v>6</v>
      </c>
    </row>
    <row r="1160" spans="1:12">
      <c r="A1160" s="1993">
        <v>2026</v>
      </c>
      <c r="B1160" s="696"/>
      <c r="C1160" s="697"/>
      <c r="D1160" s="695"/>
      <c r="E1160" s="698"/>
      <c r="F1160" s="698"/>
      <c r="G1160" s="698"/>
      <c r="H1160" s="698"/>
      <c r="I1160" s="699"/>
      <c r="J1160" s="699"/>
      <c r="K1160" s="699"/>
      <c r="L1160" s="697"/>
    </row>
    <row r="1161" spans="1:12">
      <c r="A1161" s="695">
        <v>46029</v>
      </c>
      <c r="B1161" s="696" t="s">
        <v>4466</v>
      </c>
      <c r="C1161" s="697">
        <v>28</v>
      </c>
      <c r="D1161" s="695">
        <v>46057</v>
      </c>
      <c r="E1161" s="698">
        <v>10</v>
      </c>
      <c r="F1161" s="698">
        <v>19</v>
      </c>
      <c r="G1161" s="698">
        <v>10</v>
      </c>
      <c r="H1161" s="698">
        <v>0</v>
      </c>
      <c r="I1161" s="699">
        <v>6.7299999999999999E-2</v>
      </c>
      <c r="J1161" s="699">
        <v>6.7400000000000002E-2</v>
      </c>
      <c r="K1161" s="699">
        <v>6.7299999999999999E-2</v>
      </c>
      <c r="L1161" s="697">
        <v>5</v>
      </c>
    </row>
    <row r="1162" spans="1:12">
      <c r="A1162" s="695">
        <v>46029</v>
      </c>
      <c r="B1162" s="696" t="s">
        <v>4467</v>
      </c>
      <c r="C1162" s="697">
        <v>168</v>
      </c>
      <c r="D1162" s="695">
        <v>46197</v>
      </c>
      <c r="E1162" s="698">
        <v>2.5</v>
      </c>
      <c r="F1162" s="698">
        <v>10</v>
      </c>
      <c r="G1162" s="698">
        <v>2.5</v>
      </c>
      <c r="H1162" s="698">
        <v>0</v>
      </c>
      <c r="I1162" s="699">
        <v>6.7699999999999996E-2</v>
      </c>
      <c r="J1162" s="699">
        <v>6.7699999999999996E-2</v>
      </c>
      <c r="K1162" s="699">
        <v>6.7699999999999996E-2</v>
      </c>
      <c r="L1162" s="697">
        <v>5</v>
      </c>
    </row>
    <row r="1163" spans="1:12">
      <c r="A1163" s="695">
        <v>46030</v>
      </c>
      <c r="B1163" s="696" t="s">
        <v>4468</v>
      </c>
      <c r="C1163" s="697">
        <v>84</v>
      </c>
      <c r="D1163" s="695">
        <v>46114</v>
      </c>
      <c r="E1163" s="698">
        <v>5</v>
      </c>
      <c r="F1163" s="698">
        <v>7.5</v>
      </c>
      <c r="G1163" s="698">
        <v>5</v>
      </c>
      <c r="H1163" s="698">
        <v>0</v>
      </c>
      <c r="I1163" s="699">
        <v>6.6600000000000006E-2</v>
      </c>
      <c r="J1163" s="699">
        <v>6.6799999999999998E-2</v>
      </c>
      <c r="K1163" s="699">
        <v>6.6699999999999995E-2</v>
      </c>
      <c r="L1163" s="697">
        <v>4</v>
      </c>
    </row>
    <row r="1164" spans="1:12">
      <c r="A1164" s="695">
        <v>46030</v>
      </c>
      <c r="B1164" s="696" t="s">
        <v>4469</v>
      </c>
      <c r="C1164" s="697">
        <v>252</v>
      </c>
      <c r="D1164" s="695">
        <v>46282</v>
      </c>
      <c r="E1164" s="698">
        <v>2.5</v>
      </c>
      <c r="F1164" s="698">
        <v>13.4</v>
      </c>
      <c r="G1164" s="698">
        <v>2.5</v>
      </c>
      <c r="H1164" s="698">
        <v>0</v>
      </c>
      <c r="I1164" s="699">
        <v>6.7000000000000004E-2</v>
      </c>
      <c r="J1164" s="699">
        <v>6.7000000000000004E-2</v>
      </c>
      <c r="K1164" s="699">
        <v>6.7000000000000004E-2</v>
      </c>
      <c r="L1164" s="697">
        <v>8</v>
      </c>
    </row>
    <row r="1165" spans="1:12">
      <c r="A1165" s="695">
        <v>46036</v>
      </c>
      <c r="B1165" s="696" t="s">
        <v>4470</v>
      </c>
      <c r="C1165" s="697">
        <v>28</v>
      </c>
      <c r="D1165" s="695">
        <v>46064</v>
      </c>
      <c r="E1165" s="698">
        <v>10</v>
      </c>
      <c r="F1165" s="698">
        <v>22</v>
      </c>
      <c r="G1165" s="698">
        <v>10</v>
      </c>
      <c r="H1165" s="698">
        <v>0</v>
      </c>
      <c r="I1165" s="699">
        <v>6.7000000000000004E-2</v>
      </c>
      <c r="J1165" s="699">
        <v>6.7199999999999996E-2</v>
      </c>
      <c r="K1165" s="699">
        <v>6.7100000000000007E-2</v>
      </c>
      <c r="L1165" s="697">
        <v>5</v>
      </c>
    </row>
    <row r="1166" spans="1:12">
      <c r="A1166" s="695">
        <v>46036</v>
      </c>
      <c r="B1166" s="696" t="s">
        <v>4471</v>
      </c>
      <c r="C1166" s="697">
        <v>168</v>
      </c>
      <c r="D1166" s="695">
        <v>46204</v>
      </c>
      <c r="E1166" s="698">
        <v>2.5</v>
      </c>
      <c r="F1166" s="698">
        <v>8.8000000000000007</v>
      </c>
      <c r="G1166" s="698">
        <v>2.5</v>
      </c>
      <c r="H1166" s="698">
        <v>0</v>
      </c>
      <c r="I1166" s="699">
        <v>6.7400000000000002E-2</v>
      </c>
      <c r="J1166" s="699">
        <v>6.7500000000000004E-2</v>
      </c>
      <c r="K1166" s="699">
        <v>6.7500000000000004E-2</v>
      </c>
      <c r="L1166" s="697">
        <v>5</v>
      </c>
    </row>
    <row r="1167" spans="1:12">
      <c r="A1167" s="695">
        <v>46037</v>
      </c>
      <c r="B1167" s="696" t="s">
        <v>4472</v>
      </c>
      <c r="C1167" s="697">
        <v>84</v>
      </c>
      <c r="D1167" s="695">
        <v>46121</v>
      </c>
      <c r="E1167" s="698">
        <v>5</v>
      </c>
      <c r="F1167" s="698">
        <v>14.5</v>
      </c>
      <c r="G1167" s="698">
        <v>5</v>
      </c>
      <c r="H1167" s="698">
        <v>0</v>
      </c>
      <c r="I1167" s="699">
        <v>6.59E-2</v>
      </c>
      <c r="J1167" s="699">
        <v>6.59E-2</v>
      </c>
      <c r="K1167" s="699">
        <v>6.59E-2</v>
      </c>
      <c r="L1167" s="697">
        <v>5</v>
      </c>
    </row>
    <row r="1168" spans="1:12">
      <c r="A1168" s="695">
        <v>46037</v>
      </c>
      <c r="B1168" s="696" t="s">
        <v>4473</v>
      </c>
      <c r="C1168" s="697">
        <v>252</v>
      </c>
      <c r="D1168" s="695">
        <v>46289</v>
      </c>
      <c r="E1168" s="698">
        <v>2.5</v>
      </c>
      <c r="F1168" s="698">
        <v>5.5</v>
      </c>
      <c r="G1168" s="698">
        <v>2.5</v>
      </c>
      <c r="H1168" s="698">
        <v>0</v>
      </c>
      <c r="I1168" s="699">
        <v>6.6699999999999995E-2</v>
      </c>
      <c r="J1168" s="699">
        <v>6.7400000000000002E-2</v>
      </c>
      <c r="K1168" s="699">
        <v>6.7100000000000007E-2</v>
      </c>
      <c r="L1168" s="697">
        <v>3</v>
      </c>
    </row>
    <row r="1169" spans="1:12">
      <c r="A1169" s="695">
        <v>46043</v>
      </c>
      <c r="B1169" s="696" t="s">
        <v>4474</v>
      </c>
      <c r="C1169" s="697">
        <v>28</v>
      </c>
      <c r="D1169" s="695">
        <v>46071</v>
      </c>
      <c r="E1169" s="698">
        <v>10</v>
      </c>
      <c r="F1169" s="698">
        <v>18</v>
      </c>
      <c r="G1169" s="698">
        <v>10</v>
      </c>
      <c r="H1169" s="698">
        <v>0</v>
      </c>
      <c r="I1169" s="699">
        <v>6.5799999999999997E-2</v>
      </c>
      <c r="J1169" s="699">
        <v>6.59E-2</v>
      </c>
      <c r="K1169" s="699">
        <v>6.59E-2</v>
      </c>
      <c r="L1169" s="697">
        <v>3</v>
      </c>
    </row>
    <row r="1170" spans="1:12">
      <c r="A1170" s="695">
        <v>46043</v>
      </c>
      <c r="B1170" s="696" t="s">
        <v>4475</v>
      </c>
      <c r="C1170" s="697">
        <v>168</v>
      </c>
      <c r="D1170" s="695">
        <v>46211</v>
      </c>
      <c r="E1170" s="698">
        <v>2.5</v>
      </c>
      <c r="F1170" s="698">
        <v>12</v>
      </c>
      <c r="G1170" s="698">
        <v>2.5</v>
      </c>
      <c r="H1170" s="698">
        <v>0</v>
      </c>
      <c r="I1170" s="699">
        <v>6.6799999999999998E-2</v>
      </c>
      <c r="J1170" s="699">
        <v>6.6799999999999998E-2</v>
      </c>
      <c r="K1170" s="699">
        <v>6.6799999999999998E-2</v>
      </c>
      <c r="L1170" s="697">
        <v>5</v>
      </c>
    </row>
    <row r="1171" spans="1:12">
      <c r="A1171" s="695">
        <v>46044</v>
      </c>
      <c r="B1171" s="696" t="s">
        <v>4476</v>
      </c>
      <c r="C1171" s="697">
        <v>84</v>
      </c>
      <c r="D1171" s="695">
        <v>46128</v>
      </c>
      <c r="E1171" s="698">
        <v>10</v>
      </c>
      <c r="F1171" s="698">
        <v>11</v>
      </c>
      <c r="G1171" s="698">
        <v>10</v>
      </c>
      <c r="H1171" s="698">
        <v>0</v>
      </c>
      <c r="I1171" s="699">
        <v>6.5699999999999995E-2</v>
      </c>
      <c r="J1171" s="699">
        <v>6.7000000000000004E-2</v>
      </c>
      <c r="K1171" s="699">
        <v>6.6000000000000003E-2</v>
      </c>
      <c r="L1171" s="697">
        <v>3</v>
      </c>
    </row>
    <row r="1172" spans="1:12">
      <c r="A1172" s="695">
        <v>46044</v>
      </c>
      <c r="B1172" s="696" t="s">
        <v>4477</v>
      </c>
      <c r="C1172" s="697">
        <v>252</v>
      </c>
      <c r="D1172" s="695">
        <v>46296</v>
      </c>
      <c r="E1172" s="698">
        <v>2.5</v>
      </c>
      <c r="F1172" s="698">
        <v>7</v>
      </c>
      <c r="G1172" s="698">
        <v>2.5</v>
      </c>
      <c r="H1172" s="698">
        <v>0</v>
      </c>
      <c r="I1172" s="699">
        <v>6.6900000000000001E-2</v>
      </c>
      <c r="J1172" s="699">
        <v>6.6900000000000001E-2</v>
      </c>
      <c r="K1172" s="699">
        <v>6.6900000000000001E-2</v>
      </c>
      <c r="L1172" s="697">
        <v>3</v>
      </c>
    </row>
    <row r="1173" spans="1:12">
      <c r="A1173" s="695">
        <v>46050</v>
      </c>
      <c r="B1173" s="696" t="s">
        <v>4478</v>
      </c>
      <c r="C1173" s="697">
        <v>28</v>
      </c>
      <c r="D1173" s="695">
        <v>46078</v>
      </c>
      <c r="E1173" s="698">
        <v>10</v>
      </c>
      <c r="F1173" s="698">
        <v>23</v>
      </c>
      <c r="G1173" s="698">
        <v>10</v>
      </c>
      <c r="H1173" s="698">
        <v>0</v>
      </c>
      <c r="I1173" s="699">
        <v>6.5699999999999995E-2</v>
      </c>
      <c r="J1173" s="699">
        <v>6.59E-2</v>
      </c>
      <c r="K1173" s="699">
        <v>6.5799999999999997E-2</v>
      </c>
      <c r="L1173" s="697">
        <v>3</v>
      </c>
    </row>
    <row r="1174" spans="1:12">
      <c r="A1174" s="695">
        <v>46050</v>
      </c>
      <c r="B1174" s="696" t="s">
        <v>4479</v>
      </c>
      <c r="C1174" s="697">
        <v>168</v>
      </c>
      <c r="D1174" s="695">
        <v>46218</v>
      </c>
      <c r="E1174" s="698">
        <v>2.5</v>
      </c>
      <c r="F1174" s="698">
        <v>7.6</v>
      </c>
      <c r="G1174" s="698">
        <v>2.5</v>
      </c>
      <c r="H1174" s="698">
        <v>0</v>
      </c>
      <c r="I1174" s="699">
        <v>6.6600000000000006E-2</v>
      </c>
      <c r="J1174" s="699">
        <v>6.6600000000000006E-2</v>
      </c>
      <c r="K1174" s="699">
        <v>6.6600000000000006E-2</v>
      </c>
      <c r="L1174" s="697">
        <v>4</v>
      </c>
    </row>
    <row r="1175" spans="1:12">
      <c r="A1175" s="695">
        <v>46051</v>
      </c>
      <c r="B1175" s="696" t="s">
        <v>4480</v>
      </c>
      <c r="C1175" s="697">
        <v>84</v>
      </c>
      <c r="D1175" s="695">
        <v>46135</v>
      </c>
      <c r="E1175" s="698">
        <v>10</v>
      </c>
      <c r="F1175" s="698">
        <v>19</v>
      </c>
      <c r="G1175" s="698">
        <v>10</v>
      </c>
      <c r="H1175" s="698">
        <v>0</v>
      </c>
      <c r="I1175" s="699">
        <v>6.59E-2</v>
      </c>
      <c r="J1175" s="699">
        <v>6.6299999999999998E-2</v>
      </c>
      <c r="K1175" s="699">
        <v>6.6100000000000006E-2</v>
      </c>
      <c r="L1175" s="697">
        <v>4</v>
      </c>
    </row>
    <row r="1176" spans="1:12">
      <c r="A1176" s="695">
        <v>46051</v>
      </c>
      <c r="B1176" s="696" t="s">
        <v>4481</v>
      </c>
      <c r="C1176" s="697">
        <v>252</v>
      </c>
      <c r="D1176" s="695">
        <v>46303</v>
      </c>
      <c r="E1176" s="698">
        <v>2.5</v>
      </c>
      <c r="F1176" s="698">
        <v>5</v>
      </c>
      <c r="G1176" s="698">
        <v>2.5</v>
      </c>
      <c r="H1176" s="698">
        <v>0</v>
      </c>
      <c r="I1176" s="699">
        <v>6.6699999999999995E-2</v>
      </c>
      <c r="J1176" s="699">
        <v>6.6799999999999998E-2</v>
      </c>
      <c r="K1176" s="699">
        <v>6.6799999999999998E-2</v>
      </c>
      <c r="L1176" s="697">
        <v>3</v>
      </c>
    </row>
    <row r="1177" spans="1:12">
      <c r="A1177" s="695">
        <v>46057</v>
      </c>
      <c r="B1177" s="696" t="s">
        <v>4482</v>
      </c>
      <c r="C1177" s="697">
        <v>28</v>
      </c>
      <c r="D1177" s="695">
        <v>46085</v>
      </c>
      <c r="E1177" s="698">
        <v>10</v>
      </c>
      <c r="F1177" s="698">
        <v>27</v>
      </c>
      <c r="G1177" s="698">
        <v>10</v>
      </c>
      <c r="H1177" s="698">
        <v>0</v>
      </c>
      <c r="I1177" s="699">
        <v>6.5699999999999995E-2</v>
      </c>
      <c r="J1177" s="699">
        <v>6.5799999999999997E-2</v>
      </c>
      <c r="K1177" s="699">
        <v>6.5699999999999995E-2</v>
      </c>
      <c r="L1177" s="697">
        <v>4</v>
      </c>
    </row>
    <row r="1178" spans="1:12">
      <c r="A1178" s="695">
        <v>46057</v>
      </c>
      <c r="B1178" s="696" t="s">
        <v>4483</v>
      </c>
      <c r="C1178" s="697">
        <v>168</v>
      </c>
      <c r="D1178" s="695">
        <v>46225</v>
      </c>
      <c r="E1178" s="698">
        <v>2.5</v>
      </c>
      <c r="F1178" s="698">
        <v>6.1</v>
      </c>
      <c r="G1178" s="698">
        <v>2.5</v>
      </c>
      <c r="H1178" s="698">
        <v>0</v>
      </c>
      <c r="I1178" s="699">
        <v>6.6400000000000001E-2</v>
      </c>
      <c r="J1178" s="699">
        <v>6.6699999999999995E-2</v>
      </c>
      <c r="K1178" s="699">
        <v>6.6600000000000006E-2</v>
      </c>
      <c r="L1178" s="697">
        <v>4</v>
      </c>
    </row>
    <row r="1179" spans="1:12">
      <c r="A1179" s="695">
        <v>46058</v>
      </c>
      <c r="B1179" s="696" t="s">
        <v>4484</v>
      </c>
      <c r="C1179" s="697">
        <v>84</v>
      </c>
      <c r="D1179" s="695">
        <v>46142</v>
      </c>
      <c r="E1179" s="698">
        <v>10</v>
      </c>
      <c r="F1179" s="698">
        <v>14.5</v>
      </c>
      <c r="G1179" s="698">
        <v>10</v>
      </c>
      <c r="H1179" s="698">
        <v>0</v>
      </c>
      <c r="I1179" s="699">
        <v>6.5500000000000003E-2</v>
      </c>
      <c r="J1179" s="699">
        <v>6.6000000000000003E-2</v>
      </c>
      <c r="K1179" s="699">
        <v>6.59E-2</v>
      </c>
      <c r="L1179" s="697">
        <v>3</v>
      </c>
    </row>
    <row r="1180" spans="1:12">
      <c r="A1180" s="695">
        <v>46058</v>
      </c>
      <c r="B1180" s="696" t="s">
        <v>4485</v>
      </c>
      <c r="C1180" s="697">
        <v>252</v>
      </c>
      <c r="D1180" s="695">
        <v>46310</v>
      </c>
      <c r="E1180" s="698">
        <v>2.5</v>
      </c>
      <c r="F1180" s="698">
        <v>4.5</v>
      </c>
      <c r="G1180" s="698">
        <v>2.5</v>
      </c>
      <c r="H1180" s="698">
        <v>0</v>
      </c>
      <c r="I1180" s="699">
        <v>6.6000000000000003E-2</v>
      </c>
      <c r="J1180" s="699">
        <v>6.6699999999999995E-2</v>
      </c>
      <c r="K1180" s="699">
        <v>6.6100000000000006E-2</v>
      </c>
      <c r="L1180" s="697">
        <v>2</v>
      </c>
    </row>
    <row r="1181" spans="1:12">
      <c r="A1181" s="695">
        <v>46064</v>
      </c>
      <c r="B1181" s="696" t="s">
        <v>4486</v>
      </c>
      <c r="C1181" s="697">
        <v>28</v>
      </c>
      <c r="D1181" s="695">
        <v>46092</v>
      </c>
      <c r="E1181" s="698">
        <v>10</v>
      </c>
      <c r="F1181" s="698">
        <v>17</v>
      </c>
      <c r="G1181" s="698">
        <v>10</v>
      </c>
      <c r="H1181" s="698">
        <v>0</v>
      </c>
      <c r="I1181" s="699">
        <v>6.5000000000000002E-2</v>
      </c>
      <c r="J1181" s="699">
        <v>6.5699999999999995E-2</v>
      </c>
      <c r="K1181" s="699">
        <v>6.5299999999999997E-2</v>
      </c>
      <c r="L1181" s="697">
        <v>4</v>
      </c>
    </row>
    <row r="1182" spans="1:12">
      <c r="A1182" s="695">
        <v>46064</v>
      </c>
      <c r="B1182" s="696" t="s">
        <v>4487</v>
      </c>
      <c r="C1182" s="697">
        <v>168</v>
      </c>
      <c r="D1182" s="695">
        <v>46232</v>
      </c>
      <c r="E1182" s="698">
        <v>2.5</v>
      </c>
      <c r="F1182" s="698">
        <v>6</v>
      </c>
      <c r="G1182" s="698">
        <v>2.5</v>
      </c>
      <c r="H1182" s="698">
        <v>0</v>
      </c>
      <c r="I1182" s="699">
        <v>6.6000000000000003E-2</v>
      </c>
      <c r="J1182" s="699">
        <v>6.6000000000000003E-2</v>
      </c>
      <c r="K1182" s="699">
        <v>6.6000000000000003E-2</v>
      </c>
      <c r="L1182" s="697">
        <v>3</v>
      </c>
    </row>
    <row r="1183" spans="1:12">
      <c r="A1183" s="695">
        <v>46065</v>
      </c>
      <c r="B1183" s="696" t="s">
        <v>4488</v>
      </c>
      <c r="C1183" s="697">
        <v>84</v>
      </c>
      <c r="D1183" s="695">
        <v>46149</v>
      </c>
      <c r="E1183" s="698">
        <v>10</v>
      </c>
      <c r="F1183" s="698">
        <v>23</v>
      </c>
      <c r="G1183" s="698">
        <v>10</v>
      </c>
      <c r="H1183" s="698">
        <v>0</v>
      </c>
      <c r="I1183" s="699">
        <v>6.5000000000000002E-2</v>
      </c>
      <c r="J1183" s="699">
        <v>6.5000000000000002E-2</v>
      </c>
      <c r="K1183" s="699">
        <v>6.5000000000000002E-2</v>
      </c>
      <c r="L1183" s="697">
        <v>4</v>
      </c>
    </row>
    <row r="1184" spans="1:12">
      <c r="A1184" s="695">
        <v>46065</v>
      </c>
      <c r="B1184" s="696" t="s">
        <v>4489</v>
      </c>
      <c r="C1184" s="697">
        <v>252</v>
      </c>
      <c r="D1184" s="695">
        <v>46317</v>
      </c>
      <c r="E1184" s="698">
        <v>2.5</v>
      </c>
      <c r="F1184" s="698">
        <v>7</v>
      </c>
      <c r="G1184" s="698">
        <v>2.5</v>
      </c>
      <c r="H1184" s="698">
        <v>0</v>
      </c>
      <c r="I1184" s="699">
        <v>6.6299999999999998E-2</v>
      </c>
      <c r="J1184" s="699">
        <v>6.6299999999999998E-2</v>
      </c>
      <c r="K1184" s="699">
        <v>6.6299999999999998E-2</v>
      </c>
      <c r="L1184" s="697">
        <v>4</v>
      </c>
    </row>
    <row r="1185" spans="1:12">
      <c r="A1185" s="695">
        <v>46071</v>
      </c>
      <c r="B1185" s="696" t="s">
        <v>4490</v>
      </c>
      <c r="C1185" s="697">
        <v>28</v>
      </c>
      <c r="D1185" s="695">
        <v>46099</v>
      </c>
      <c r="E1185" s="698">
        <v>10</v>
      </c>
      <c r="F1185" s="698">
        <v>26.5</v>
      </c>
      <c r="G1185" s="698">
        <v>10</v>
      </c>
      <c r="H1185" s="698">
        <v>0</v>
      </c>
      <c r="I1185" s="699">
        <v>6.4500000000000002E-2</v>
      </c>
      <c r="J1185" s="699">
        <v>6.4500000000000002E-2</v>
      </c>
      <c r="K1185" s="699">
        <v>6.4500000000000002E-2</v>
      </c>
      <c r="L1185" s="697">
        <v>4</v>
      </c>
    </row>
    <row r="1186" spans="1:12">
      <c r="A1186" s="695">
        <v>46071</v>
      </c>
      <c r="B1186" s="696" t="s">
        <v>4491</v>
      </c>
      <c r="C1186" s="697">
        <v>168</v>
      </c>
      <c r="D1186" s="695">
        <v>46239</v>
      </c>
      <c r="E1186" s="698">
        <v>2.5</v>
      </c>
      <c r="F1186" s="698">
        <v>5</v>
      </c>
      <c r="G1186" s="698">
        <v>2.5</v>
      </c>
      <c r="H1186" s="698">
        <v>0</v>
      </c>
      <c r="I1186" s="699">
        <v>6.5799999999999997E-2</v>
      </c>
      <c r="J1186" s="699">
        <v>6.5799999999999997E-2</v>
      </c>
      <c r="K1186" s="699">
        <v>6.5799999999999997E-2</v>
      </c>
      <c r="L1186" s="697">
        <v>2</v>
      </c>
    </row>
    <row r="1187" spans="1:12">
      <c r="A1187" s="695">
        <v>46072</v>
      </c>
      <c r="B1187" s="696" t="s">
        <v>4492</v>
      </c>
      <c r="C1187" s="697">
        <v>84</v>
      </c>
      <c r="D1187" s="695">
        <v>46156</v>
      </c>
      <c r="E1187" s="698">
        <v>10</v>
      </c>
      <c r="F1187" s="698">
        <v>23</v>
      </c>
      <c r="G1187" s="698">
        <v>10</v>
      </c>
      <c r="H1187" s="698">
        <v>0</v>
      </c>
      <c r="I1187" s="699">
        <v>6.4500000000000002E-2</v>
      </c>
      <c r="J1187" s="699">
        <v>6.4500000000000002E-2</v>
      </c>
      <c r="K1187" s="699">
        <v>6.4500000000000002E-2</v>
      </c>
      <c r="L1187" s="697">
        <v>3</v>
      </c>
    </row>
    <row r="1188" spans="1:12">
      <c r="A1188" s="695">
        <v>46072</v>
      </c>
      <c r="B1188" s="696" t="s">
        <v>4493</v>
      </c>
      <c r="C1188" s="697">
        <v>252</v>
      </c>
      <c r="D1188" s="695">
        <v>46324</v>
      </c>
      <c r="E1188" s="698">
        <v>2.5</v>
      </c>
      <c r="F1188" s="698">
        <v>5</v>
      </c>
      <c r="G1188" s="698">
        <v>2.5</v>
      </c>
      <c r="H1188" s="698">
        <v>0</v>
      </c>
      <c r="I1188" s="699">
        <v>6.5799999999999997E-2</v>
      </c>
      <c r="J1188" s="699">
        <v>6.5799999999999997E-2</v>
      </c>
      <c r="K1188" s="699">
        <v>6.5799999999999997E-2</v>
      </c>
      <c r="L1188" s="697">
        <v>2</v>
      </c>
    </row>
    <row r="1189" spans="1:12">
      <c r="A1189" s="695">
        <v>46078</v>
      </c>
      <c r="B1189" s="696" t="s">
        <v>4494</v>
      </c>
      <c r="C1189" s="697">
        <v>28</v>
      </c>
      <c r="D1189" s="695">
        <v>46106</v>
      </c>
      <c r="E1189" s="698">
        <v>10</v>
      </c>
      <c r="F1189" s="698">
        <v>21</v>
      </c>
      <c r="G1189" s="698">
        <v>10</v>
      </c>
      <c r="H1189" s="698">
        <v>0</v>
      </c>
      <c r="I1189" s="699">
        <v>6.4199999999999993E-2</v>
      </c>
      <c r="J1189" s="699">
        <v>6.4199999999999993E-2</v>
      </c>
      <c r="K1189" s="699">
        <v>6.4199999999999993E-2</v>
      </c>
      <c r="L1189" s="697">
        <v>3</v>
      </c>
    </row>
    <row r="1190" spans="1:12">
      <c r="A1190" s="695">
        <v>46078</v>
      </c>
      <c r="B1190" s="696" t="s">
        <v>4495</v>
      </c>
      <c r="C1190" s="697">
        <v>168</v>
      </c>
      <c r="D1190" s="695">
        <v>46246</v>
      </c>
      <c r="E1190" s="698">
        <v>2.5</v>
      </c>
      <c r="F1190" s="698">
        <v>12.6</v>
      </c>
      <c r="G1190" s="698">
        <v>2.5</v>
      </c>
      <c r="H1190" s="698">
        <v>0</v>
      </c>
      <c r="I1190" s="699">
        <v>6.54E-2</v>
      </c>
      <c r="J1190" s="699">
        <v>6.54E-2</v>
      </c>
      <c r="K1190" s="699">
        <v>6.54E-2</v>
      </c>
      <c r="L1190" s="697">
        <v>6</v>
      </c>
    </row>
    <row r="1191" spans="1:12">
      <c r="A1191" s="695">
        <v>46079</v>
      </c>
      <c r="B1191" s="696" t="s">
        <v>4496</v>
      </c>
      <c r="C1191" s="697">
        <v>84</v>
      </c>
      <c r="D1191" s="695">
        <v>46163</v>
      </c>
      <c r="E1191" s="698">
        <v>10</v>
      </c>
      <c r="F1191" s="698">
        <v>25</v>
      </c>
      <c r="G1191" s="698">
        <v>10</v>
      </c>
      <c r="H1191" s="698">
        <v>0</v>
      </c>
      <c r="I1191" s="699">
        <v>6.4299999999999996E-2</v>
      </c>
      <c r="J1191" s="699">
        <v>6.4299999999999996E-2</v>
      </c>
      <c r="K1191" s="699">
        <v>6.4299999999999996E-2</v>
      </c>
      <c r="L1191" s="697">
        <v>4</v>
      </c>
    </row>
    <row r="1192" spans="1:12">
      <c r="A1192" s="695">
        <v>46079</v>
      </c>
      <c r="B1192" s="696" t="s">
        <v>4497</v>
      </c>
      <c r="C1192" s="697">
        <v>252</v>
      </c>
      <c r="D1192" s="695">
        <v>46331</v>
      </c>
      <c r="E1192" s="698">
        <v>2.5</v>
      </c>
      <c r="F1192" s="698">
        <v>12.1</v>
      </c>
      <c r="G1192" s="698">
        <v>2.5</v>
      </c>
      <c r="H1192" s="698">
        <v>0</v>
      </c>
      <c r="I1192" s="699">
        <v>6.5299999999999997E-2</v>
      </c>
      <c r="J1192" s="699">
        <v>6.5299999999999997E-2</v>
      </c>
      <c r="K1192" s="699">
        <v>6.5299999999999997E-2</v>
      </c>
      <c r="L1192" s="697">
        <v>6</v>
      </c>
    </row>
    <row r="1193" spans="1:12">
      <c r="A1193" s="695">
        <v>46085</v>
      </c>
      <c r="B1193" s="696" t="s">
        <v>4500</v>
      </c>
      <c r="C1193" s="697">
        <v>28</v>
      </c>
      <c r="D1193" s="695">
        <v>46113</v>
      </c>
      <c r="E1193" s="698">
        <v>12.5</v>
      </c>
      <c r="F1193" s="698">
        <v>19</v>
      </c>
      <c r="G1193" s="698">
        <v>12.5</v>
      </c>
      <c r="H1193" s="698">
        <v>0</v>
      </c>
      <c r="I1193" s="699">
        <v>6.3899999999999998E-2</v>
      </c>
      <c r="J1193" s="699">
        <v>6.4199999999999993E-2</v>
      </c>
      <c r="K1193" s="699">
        <v>6.4000000000000001E-2</v>
      </c>
      <c r="L1193" s="697">
        <v>4</v>
      </c>
    </row>
    <row r="1194" spans="1:12">
      <c r="A1194" s="695">
        <v>46085</v>
      </c>
      <c r="B1194" s="696" t="s">
        <v>4501</v>
      </c>
      <c r="C1194" s="697">
        <v>168</v>
      </c>
      <c r="D1194" s="695">
        <v>46253</v>
      </c>
      <c r="E1194" s="698">
        <v>2.5</v>
      </c>
      <c r="F1194" s="698">
        <v>8.4</v>
      </c>
      <c r="G1194" s="698">
        <v>2.5</v>
      </c>
      <c r="H1194" s="698">
        <v>0</v>
      </c>
      <c r="I1194" s="699">
        <v>6.4899999999999999E-2</v>
      </c>
      <c r="J1194" s="699">
        <v>6.5000000000000002E-2</v>
      </c>
      <c r="K1194" s="699">
        <v>6.5000000000000002E-2</v>
      </c>
      <c r="L1194" s="697">
        <v>4</v>
      </c>
    </row>
    <row r="1195" spans="1:12">
      <c r="A1195" s="695">
        <v>46086</v>
      </c>
      <c r="B1195" s="696" t="s">
        <v>4502</v>
      </c>
      <c r="C1195" s="697">
        <v>84</v>
      </c>
      <c r="D1195" s="695">
        <v>46170</v>
      </c>
      <c r="E1195" s="698">
        <v>12.5</v>
      </c>
      <c r="F1195" s="698">
        <v>24.5</v>
      </c>
      <c r="G1195" s="698">
        <v>12.5</v>
      </c>
      <c r="H1195" s="698">
        <v>0</v>
      </c>
      <c r="I1195" s="699">
        <v>6.4000000000000001E-2</v>
      </c>
      <c r="J1195" s="699">
        <v>6.4000000000000001E-2</v>
      </c>
      <c r="K1195" s="699">
        <v>6.4000000000000001E-2</v>
      </c>
      <c r="L1195" s="697">
        <v>4</v>
      </c>
    </row>
    <row r="1196" spans="1:12">
      <c r="A1196" s="695">
        <v>46086</v>
      </c>
      <c r="B1196" s="696" t="s">
        <v>4503</v>
      </c>
      <c r="C1196" s="697">
        <v>252</v>
      </c>
      <c r="D1196" s="695">
        <v>46338</v>
      </c>
      <c r="E1196" s="698">
        <v>2.5</v>
      </c>
      <c r="F1196" s="698">
        <v>10</v>
      </c>
      <c r="G1196" s="698">
        <v>2.5</v>
      </c>
      <c r="H1196" s="698">
        <v>0</v>
      </c>
      <c r="I1196" s="699">
        <v>6.4899999999999999E-2</v>
      </c>
      <c r="J1196" s="699">
        <v>6.5000000000000002E-2</v>
      </c>
      <c r="K1196" s="699">
        <v>6.5000000000000002E-2</v>
      </c>
      <c r="L1196" s="697">
        <v>5</v>
      </c>
    </row>
    <row r="1197" spans="1:12">
      <c r="A1197" s="695">
        <v>46092</v>
      </c>
      <c r="B1197" s="696" t="s">
        <v>4504</v>
      </c>
      <c r="C1197" s="697">
        <v>28</v>
      </c>
      <c r="D1197" s="695">
        <v>46120</v>
      </c>
      <c r="E1197" s="698">
        <v>12.5</v>
      </c>
      <c r="F1197" s="698">
        <v>30</v>
      </c>
      <c r="G1197" s="698">
        <v>12.5</v>
      </c>
      <c r="H1197" s="698">
        <v>0</v>
      </c>
      <c r="I1197" s="699">
        <v>6.2799999999999995E-2</v>
      </c>
      <c r="J1197" s="699">
        <v>6.2799999999999995E-2</v>
      </c>
      <c r="K1197" s="699">
        <v>6.2799999999999995E-2</v>
      </c>
      <c r="L1197" s="697">
        <v>4</v>
      </c>
    </row>
    <row r="1198" spans="1:12">
      <c r="A1198" s="695">
        <v>46092</v>
      </c>
      <c r="B1198" s="696" t="s">
        <v>4505</v>
      </c>
      <c r="C1198" s="697">
        <v>168</v>
      </c>
      <c r="D1198" s="695">
        <v>46260</v>
      </c>
      <c r="E1198" s="698">
        <v>2.5</v>
      </c>
      <c r="F1198" s="698">
        <v>11.2</v>
      </c>
      <c r="G1198" s="698">
        <v>2.5</v>
      </c>
      <c r="H1198" s="698">
        <v>0</v>
      </c>
      <c r="I1198" s="699">
        <v>6.3399999999999998E-2</v>
      </c>
      <c r="J1198" s="699">
        <v>6.3399999999999998E-2</v>
      </c>
      <c r="K1198" s="699">
        <v>6.3399999999999998E-2</v>
      </c>
      <c r="L1198" s="697">
        <v>6</v>
      </c>
    </row>
    <row r="1199" spans="1:12">
      <c r="A1199" s="695">
        <v>46093</v>
      </c>
      <c r="B1199" s="696" t="s">
        <v>4506</v>
      </c>
      <c r="C1199" s="697">
        <v>84</v>
      </c>
      <c r="D1199" s="695">
        <v>46177</v>
      </c>
      <c r="E1199" s="698">
        <v>12.5</v>
      </c>
      <c r="F1199" s="698">
        <v>32.200000000000003</v>
      </c>
      <c r="G1199" s="698">
        <v>12.5</v>
      </c>
      <c r="H1199" s="698">
        <v>0</v>
      </c>
      <c r="I1199" s="699">
        <v>6.2799999999999995E-2</v>
      </c>
      <c r="J1199" s="699">
        <v>6.3500000000000001E-2</v>
      </c>
      <c r="K1199" s="699">
        <v>6.3200000000000006E-2</v>
      </c>
      <c r="L1199" s="697">
        <v>7</v>
      </c>
    </row>
    <row r="1200" spans="1:12">
      <c r="A1200" s="695">
        <v>46093</v>
      </c>
      <c r="B1200" s="696" t="s">
        <v>4507</v>
      </c>
      <c r="C1200" s="697">
        <v>252</v>
      </c>
      <c r="D1200" s="695">
        <v>46345</v>
      </c>
      <c r="E1200" s="698">
        <v>2.5</v>
      </c>
      <c r="F1200" s="698">
        <v>12.5</v>
      </c>
      <c r="G1200" s="698">
        <v>2.5</v>
      </c>
      <c r="H1200" s="698">
        <v>0</v>
      </c>
      <c r="I1200" s="699">
        <v>6.3500000000000001E-2</v>
      </c>
      <c r="J1200" s="699">
        <v>6.4000000000000001E-2</v>
      </c>
      <c r="K1200" s="699">
        <v>6.3799999999999996E-2</v>
      </c>
      <c r="L1200" s="697">
        <v>7</v>
      </c>
    </row>
    <row r="1201" spans="1:12">
      <c r="A1201" s="695">
        <v>46099</v>
      </c>
      <c r="B1201" s="696" t="s">
        <v>4508</v>
      </c>
      <c r="C1201" s="697">
        <v>28</v>
      </c>
      <c r="D1201" s="695">
        <v>46127</v>
      </c>
      <c r="E1201" s="698">
        <v>20</v>
      </c>
      <c r="F1201" s="698">
        <v>41</v>
      </c>
      <c r="G1201" s="698">
        <v>20</v>
      </c>
      <c r="H1201" s="698">
        <v>0</v>
      </c>
      <c r="I1201" s="699">
        <v>6.25E-2</v>
      </c>
      <c r="J1201" s="699">
        <v>6.25E-2</v>
      </c>
      <c r="K1201" s="699">
        <v>6.25E-2</v>
      </c>
      <c r="L1201" s="697">
        <v>4</v>
      </c>
    </row>
    <row r="1202" spans="1:12">
      <c r="A1202" s="695">
        <v>46099</v>
      </c>
      <c r="B1202" s="696" t="s">
        <v>4509</v>
      </c>
      <c r="C1202" s="697">
        <v>168</v>
      </c>
      <c r="D1202" s="695">
        <v>46267</v>
      </c>
      <c r="E1202" s="698">
        <v>2.5</v>
      </c>
      <c r="F1202" s="698">
        <v>9</v>
      </c>
      <c r="G1202" s="698">
        <v>2.5</v>
      </c>
      <c r="H1202" s="698">
        <v>0</v>
      </c>
      <c r="I1202" s="699">
        <v>6.3200000000000006E-2</v>
      </c>
      <c r="J1202" s="699">
        <v>6.3299999999999995E-2</v>
      </c>
      <c r="K1202" s="699">
        <v>6.3200000000000006E-2</v>
      </c>
      <c r="L1202" s="697">
        <v>4</v>
      </c>
    </row>
    <row r="1203" spans="1:12">
      <c r="A1203" s="695">
        <v>46100</v>
      </c>
      <c r="B1203" s="696" t="s">
        <v>4510</v>
      </c>
      <c r="C1203" s="697">
        <v>84</v>
      </c>
      <c r="D1203" s="695">
        <v>46184</v>
      </c>
      <c r="E1203" s="698">
        <v>15</v>
      </c>
      <c r="F1203" s="698">
        <v>31.4</v>
      </c>
      <c r="G1203" s="698">
        <v>15</v>
      </c>
      <c r="H1203" s="698">
        <v>0</v>
      </c>
      <c r="I1203" s="699">
        <v>6.2E-2</v>
      </c>
      <c r="J1203" s="699">
        <v>6.3E-2</v>
      </c>
      <c r="K1203" s="699">
        <v>6.2199999999999998E-2</v>
      </c>
      <c r="L1203" s="697">
        <v>4</v>
      </c>
    </row>
    <row r="1204" spans="1:12">
      <c r="A1204" s="695">
        <v>46100</v>
      </c>
      <c r="B1204" s="696" t="s">
        <v>4511</v>
      </c>
      <c r="C1204" s="697">
        <v>252</v>
      </c>
      <c r="D1204" s="695">
        <v>46352</v>
      </c>
      <c r="E1204" s="698">
        <v>2.5</v>
      </c>
      <c r="F1204" s="698">
        <v>9</v>
      </c>
      <c r="G1204" s="698">
        <v>2.5</v>
      </c>
      <c r="H1204" s="698">
        <v>0</v>
      </c>
      <c r="I1204" s="699">
        <v>6.3500000000000001E-2</v>
      </c>
      <c r="J1204" s="699">
        <v>6.3500000000000001E-2</v>
      </c>
      <c r="K1204" s="699">
        <v>6.3500000000000001E-2</v>
      </c>
      <c r="L1204" s="697">
        <v>4</v>
      </c>
    </row>
    <row r="1205" spans="1:12">
      <c r="A1205" s="695">
        <v>46113</v>
      </c>
      <c r="B1205" s="696" t="s">
        <v>4512</v>
      </c>
      <c r="C1205" s="697">
        <v>28</v>
      </c>
      <c r="D1205" s="695">
        <v>46141</v>
      </c>
      <c r="E1205" s="698">
        <v>20</v>
      </c>
      <c r="F1205" s="698">
        <v>2</v>
      </c>
      <c r="G1205" s="698">
        <v>2</v>
      </c>
      <c r="H1205" s="698">
        <v>0</v>
      </c>
      <c r="I1205" s="699">
        <v>6.2E-2</v>
      </c>
      <c r="J1205" s="699">
        <v>6.2E-2</v>
      </c>
      <c r="K1205" s="699">
        <v>6.2E-2</v>
      </c>
      <c r="L1205" s="697">
        <v>1</v>
      </c>
    </row>
    <row r="1206" spans="1:12">
      <c r="A1206" s="695">
        <v>46113</v>
      </c>
      <c r="B1206" s="696" t="s">
        <v>4513</v>
      </c>
      <c r="C1206" s="697">
        <v>168</v>
      </c>
      <c r="D1206" s="695">
        <v>46281</v>
      </c>
      <c r="E1206" s="698">
        <v>2.5</v>
      </c>
      <c r="F1206" s="698">
        <v>7</v>
      </c>
      <c r="G1206" s="698">
        <v>2.5</v>
      </c>
      <c r="H1206" s="698">
        <v>0</v>
      </c>
      <c r="I1206" s="699">
        <v>6.3E-2</v>
      </c>
      <c r="J1206" s="699">
        <v>6.3E-2</v>
      </c>
      <c r="K1206" s="699">
        <v>6.3E-2</v>
      </c>
      <c r="L1206" s="697">
        <v>3</v>
      </c>
    </row>
    <row r="1207" spans="1:12">
      <c r="A1207" s="695">
        <v>46114</v>
      </c>
      <c r="B1207" s="696" t="s">
        <v>4514</v>
      </c>
      <c r="C1207" s="697">
        <v>84</v>
      </c>
      <c r="D1207" s="695">
        <v>46198</v>
      </c>
      <c r="E1207" s="698">
        <v>15</v>
      </c>
      <c r="F1207" s="698">
        <v>19</v>
      </c>
      <c r="G1207" s="698">
        <v>15</v>
      </c>
      <c r="H1207" s="698">
        <v>0</v>
      </c>
      <c r="I1207" s="699">
        <v>6.25E-2</v>
      </c>
      <c r="J1207" s="699">
        <v>6.3E-2</v>
      </c>
      <c r="K1207" s="699">
        <v>6.2899999999999998E-2</v>
      </c>
      <c r="L1207" s="697">
        <v>3</v>
      </c>
    </row>
    <row r="1208" spans="1:12">
      <c r="A1208" s="695">
        <v>46114</v>
      </c>
      <c r="B1208" s="696" t="s">
        <v>4515</v>
      </c>
      <c r="C1208" s="697">
        <v>252</v>
      </c>
      <c r="D1208" s="695">
        <v>46366</v>
      </c>
      <c r="E1208" s="698">
        <v>2.5</v>
      </c>
      <c r="F1208" s="698">
        <v>6</v>
      </c>
      <c r="G1208" s="698">
        <v>2.5</v>
      </c>
      <c r="H1208" s="698">
        <v>0</v>
      </c>
      <c r="I1208" s="699">
        <v>6.3299999999999995E-2</v>
      </c>
      <c r="J1208" s="699">
        <v>6.3299999999999995E-2</v>
      </c>
      <c r="K1208" s="699">
        <v>6.3299999999999995E-2</v>
      </c>
      <c r="L1208" s="697">
        <v>3</v>
      </c>
    </row>
    <row r="1209" spans="1:12">
      <c r="A1209" s="695">
        <v>46120</v>
      </c>
      <c r="B1209" s="696" t="s">
        <v>4516</v>
      </c>
      <c r="C1209" s="697">
        <v>28</v>
      </c>
      <c r="D1209" s="695">
        <v>46148</v>
      </c>
      <c r="E1209" s="698">
        <v>20</v>
      </c>
      <c r="F1209" s="698">
        <v>22</v>
      </c>
      <c r="G1209" s="698">
        <v>20</v>
      </c>
      <c r="H1209" s="698">
        <v>0</v>
      </c>
      <c r="I1209" s="699">
        <v>6.1899999999999997E-2</v>
      </c>
      <c r="J1209" s="699">
        <v>6.1899999999999997E-2</v>
      </c>
      <c r="K1209" s="699">
        <v>6.1899999999999997E-2</v>
      </c>
      <c r="L1209" s="697">
        <v>2</v>
      </c>
    </row>
    <row r="1210" spans="1:12">
      <c r="A1210" s="695">
        <v>46120</v>
      </c>
      <c r="B1210" s="696" t="s">
        <v>4517</v>
      </c>
      <c r="C1210" s="697">
        <v>168</v>
      </c>
      <c r="D1210" s="695">
        <v>46288</v>
      </c>
      <c r="E1210" s="698">
        <v>2.5</v>
      </c>
      <c r="F1210" s="698">
        <v>11</v>
      </c>
      <c r="G1210" s="698">
        <v>2.5</v>
      </c>
      <c r="H1210" s="698">
        <v>0</v>
      </c>
      <c r="I1210" s="699">
        <v>6.2399999999999997E-2</v>
      </c>
      <c r="J1210" s="699">
        <v>6.2700000000000006E-2</v>
      </c>
      <c r="K1210" s="699">
        <v>6.25E-2</v>
      </c>
      <c r="L1210" s="697">
        <v>6</v>
      </c>
    </row>
    <row r="1211" spans="1:12">
      <c r="A1211" s="695">
        <v>46121</v>
      </c>
      <c r="B1211" s="696" t="s">
        <v>4518</v>
      </c>
      <c r="C1211" s="697">
        <v>84</v>
      </c>
      <c r="D1211" s="695">
        <v>46205</v>
      </c>
      <c r="E1211" s="698">
        <v>15</v>
      </c>
      <c r="F1211" s="698">
        <v>34.200000000000003</v>
      </c>
      <c r="G1211" s="698">
        <v>15</v>
      </c>
      <c r="H1211" s="698">
        <v>0</v>
      </c>
      <c r="I1211" s="699">
        <v>6.2300000000000001E-2</v>
      </c>
      <c r="J1211" s="699">
        <v>6.25E-2</v>
      </c>
      <c r="K1211" s="699">
        <v>6.2399999999999997E-2</v>
      </c>
      <c r="L1211" s="697">
        <v>6</v>
      </c>
    </row>
    <row r="1212" spans="1:12">
      <c r="A1212" s="695">
        <v>46121</v>
      </c>
      <c r="B1212" s="696" t="s">
        <v>4519</v>
      </c>
      <c r="C1212" s="697">
        <v>252</v>
      </c>
      <c r="D1212" s="695">
        <v>46373</v>
      </c>
      <c r="E1212" s="698">
        <v>2.5</v>
      </c>
      <c r="F1212" s="698">
        <v>7.5</v>
      </c>
      <c r="G1212" s="698">
        <v>2.5</v>
      </c>
      <c r="H1212" s="698">
        <v>0</v>
      </c>
      <c r="I1212" s="699">
        <v>6.3100000000000003E-2</v>
      </c>
      <c r="J1212" s="699">
        <v>6.3100000000000003E-2</v>
      </c>
      <c r="K1212" s="699">
        <v>6.3100000000000003E-2</v>
      </c>
      <c r="L1212" s="697">
        <v>4</v>
      </c>
    </row>
    <row r="1213" spans="1:12">
      <c r="A1213" s="695">
        <v>46127</v>
      </c>
      <c r="B1213" s="696" t="s">
        <v>4520</v>
      </c>
      <c r="C1213" s="697">
        <v>28</v>
      </c>
      <c r="D1213" s="695">
        <v>46155</v>
      </c>
      <c r="E1213" s="698">
        <v>25</v>
      </c>
      <c r="F1213" s="698">
        <v>38</v>
      </c>
      <c r="G1213" s="698">
        <v>25</v>
      </c>
      <c r="H1213" s="698">
        <v>0</v>
      </c>
      <c r="I1213" s="699">
        <v>6.1899999999999997E-2</v>
      </c>
      <c r="J1213" s="699">
        <v>6.2300000000000001E-2</v>
      </c>
      <c r="K1213" s="699">
        <v>6.2100000000000002E-2</v>
      </c>
      <c r="L1213" s="697">
        <v>3</v>
      </c>
    </row>
    <row r="1214" spans="1:12">
      <c r="A1214" s="695">
        <v>46127</v>
      </c>
      <c r="B1214" s="696" t="s">
        <v>4521</v>
      </c>
      <c r="C1214" s="697">
        <v>168</v>
      </c>
      <c r="D1214" s="695">
        <v>46295</v>
      </c>
      <c r="E1214" s="698">
        <v>7.5</v>
      </c>
      <c r="F1214" s="698">
        <v>7</v>
      </c>
      <c r="G1214" s="698">
        <v>7</v>
      </c>
      <c r="H1214" s="698">
        <v>0</v>
      </c>
      <c r="I1214" s="699">
        <v>6.2E-2</v>
      </c>
      <c r="J1214" s="699">
        <v>6.2700000000000006E-2</v>
      </c>
      <c r="K1214" s="699">
        <v>6.2399999999999997E-2</v>
      </c>
      <c r="L1214" s="697">
        <v>3</v>
      </c>
    </row>
    <row r="1215" spans="1:12">
      <c r="A1215" s="695">
        <v>46128</v>
      </c>
      <c r="B1215" s="696" t="s">
        <v>4522</v>
      </c>
      <c r="C1215" s="697">
        <v>84</v>
      </c>
      <c r="D1215" s="695">
        <v>46212</v>
      </c>
      <c r="E1215" s="698">
        <v>20</v>
      </c>
      <c r="F1215" s="698">
        <v>22.6</v>
      </c>
      <c r="G1215" s="698">
        <v>20</v>
      </c>
      <c r="H1215" s="698">
        <v>0</v>
      </c>
      <c r="I1215" s="699">
        <v>6.1899999999999997E-2</v>
      </c>
      <c r="J1215" s="699">
        <v>6.2899999999999998E-2</v>
      </c>
      <c r="K1215" s="699">
        <v>6.2100000000000002E-2</v>
      </c>
      <c r="L1215" s="697">
        <v>4</v>
      </c>
    </row>
    <row r="1216" spans="1:12">
      <c r="A1216" s="695">
        <v>46128</v>
      </c>
      <c r="B1216" s="696" t="s">
        <v>4523</v>
      </c>
      <c r="C1216" s="697">
        <v>252</v>
      </c>
      <c r="D1216" s="695">
        <v>46380</v>
      </c>
      <c r="E1216" s="698">
        <v>5</v>
      </c>
      <c r="F1216" s="698">
        <v>7.5</v>
      </c>
      <c r="G1216" s="698">
        <v>5</v>
      </c>
      <c r="H1216" s="698">
        <v>0</v>
      </c>
      <c r="I1216" s="699">
        <v>6.2899999999999998E-2</v>
      </c>
      <c r="J1216" s="699">
        <v>6.3100000000000003E-2</v>
      </c>
      <c r="K1216" s="699">
        <v>6.3100000000000003E-2</v>
      </c>
      <c r="L1216" s="697">
        <v>3</v>
      </c>
    </row>
    <row r="1217" spans="1:12">
      <c r="A1217" s="695">
        <v>46134</v>
      </c>
      <c r="B1217" s="696" t="s">
        <v>4524</v>
      </c>
      <c r="C1217" s="697">
        <v>28</v>
      </c>
      <c r="D1217" s="695">
        <v>46162</v>
      </c>
      <c r="E1217" s="698">
        <v>25</v>
      </c>
      <c r="F1217" s="698">
        <v>2</v>
      </c>
      <c r="G1217" s="698">
        <v>2</v>
      </c>
      <c r="H1217" s="698">
        <v>0</v>
      </c>
      <c r="I1217" s="699">
        <v>6.2100000000000002E-2</v>
      </c>
      <c r="J1217" s="699">
        <v>6.2100000000000002E-2</v>
      </c>
      <c r="K1217" s="699">
        <v>6.2100000000000002E-2</v>
      </c>
      <c r="L1217" s="697">
        <v>1</v>
      </c>
    </row>
    <row r="1218" spans="1:12">
      <c r="A1218" s="695">
        <v>46134</v>
      </c>
      <c r="B1218" s="696" t="s">
        <v>4525</v>
      </c>
      <c r="C1218" s="697">
        <v>168</v>
      </c>
      <c r="D1218" s="695">
        <v>46302</v>
      </c>
      <c r="E1218" s="698">
        <v>7.5</v>
      </c>
      <c r="F1218" s="698">
        <v>8.5</v>
      </c>
      <c r="G1218" s="698">
        <v>7.5</v>
      </c>
      <c r="H1218" s="698">
        <v>0</v>
      </c>
      <c r="I1218" s="699">
        <v>6.25E-2</v>
      </c>
      <c r="J1218" s="699">
        <v>6.2700000000000006E-2</v>
      </c>
      <c r="K1218" s="699">
        <v>6.2700000000000006E-2</v>
      </c>
      <c r="L1218" s="697">
        <v>2</v>
      </c>
    </row>
    <row r="1219" spans="1:12">
      <c r="A1219" s="695">
        <v>46135</v>
      </c>
      <c r="B1219" s="696" t="s">
        <v>4526</v>
      </c>
      <c r="C1219" s="697">
        <v>84</v>
      </c>
      <c r="D1219" s="695">
        <v>46219</v>
      </c>
      <c r="E1219" s="698">
        <v>20</v>
      </c>
      <c r="F1219" s="698">
        <v>5.8</v>
      </c>
      <c r="G1219" s="698">
        <v>5.8</v>
      </c>
      <c r="H1219" s="698">
        <v>0</v>
      </c>
      <c r="I1219" s="699">
        <v>6.2E-2</v>
      </c>
      <c r="J1219" s="699">
        <v>6.4799999999999996E-2</v>
      </c>
      <c r="K1219" s="699">
        <v>6.25E-2</v>
      </c>
      <c r="L1219" s="697">
        <v>2</v>
      </c>
    </row>
    <row r="1220" spans="1:12">
      <c r="A1220" s="695">
        <v>46135</v>
      </c>
      <c r="B1220" s="696" t="s">
        <v>4527</v>
      </c>
      <c r="C1220" s="697">
        <v>252</v>
      </c>
      <c r="D1220" s="695">
        <v>46387</v>
      </c>
      <c r="E1220" s="698">
        <v>5</v>
      </c>
      <c r="F1220" s="698">
        <v>3</v>
      </c>
      <c r="G1220" s="698">
        <v>3</v>
      </c>
      <c r="H1220" s="698">
        <v>0</v>
      </c>
      <c r="I1220" s="699">
        <v>6.2899999999999998E-2</v>
      </c>
      <c r="J1220" s="699">
        <v>6.4000000000000001E-2</v>
      </c>
      <c r="K1220" s="699">
        <v>6.3600000000000004E-2</v>
      </c>
      <c r="L1220" s="697">
        <v>2</v>
      </c>
    </row>
    <row r="1221" spans="1:12">
      <c r="A1221" s="695">
        <v>46141</v>
      </c>
      <c r="B1221" s="696" t="s">
        <v>4528</v>
      </c>
      <c r="C1221" s="697">
        <v>28</v>
      </c>
      <c r="D1221" s="695">
        <v>46169</v>
      </c>
      <c r="E1221" s="698">
        <v>25</v>
      </c>
      <c r="F1221" s="698">
        <v>2</v>
      </c>
      <c r="G1221" s="698">
        <v>2</v>
      </c>
      <c r="H1221" s="698">
        <v>0</v>
      </c>
      <c r="I1221" s="699">
        <v>6.9900000000000004E-2</v>
      </c>
      <c r="J1221" s="699">
        <v>6.9900000000000004E-2</v>
      </c>
      <c r="K1221" s="699">
        <v>6.9900000000000004E-2</v>
      </c>
      <c r="L1221" s="697">
        <v>1</v>
      </c>
    </row>
    <row r="1222" spans="1:12">
      <c r="A1222" s="695">
        <v>46141</v>
      </c>
      <c r="B1222" s="696" t="s">
        <v>4529</v>
      </c>
      <c r="C1222" s="697">
        <v>168</v>
      </c>
      <c r="D1222" s="695">
        <v>46309</v>
      </c>
      <c r="E1222" s="698">
        <v>7.5</v>
      </c>
      <c r="F1222" s="698">
        <v>9.5</v>
      </c>
      <c r="G1222" s="698">
        <v>7.5</v>
      </c>
      <c r="H1222" s="698">
        <v>0</v>
      </c>
      <c r="I1222" s="699">
        <v>6.3500000000000001E-2</v>
      </c>
      <c r="J1222" s="699">
        <v>6.3500000000000001E-2</v>
      </c>
      <c r="K1222" s="699">
        <v>6.3500000000000001E-2</v>
      </c>
      <c r="L1222" s="697">
        <v>3</v>
      </c>
    </row>
    <row r="1223" spans="1:12">
      <c r="A1223" s="695">
        <v>46142</v>
      </c>
      <c r="B1223" s="696" t="s">
        <v>4530</v>
      </c>
      <c r="C1223" s="697">
        <v>84</v>
      </c>
      <c r="D1223" s="695">
        <v>46226</v>
      </c>
      <c r="E1223" s="698">
        <v>20</v>
      </c>
      <c r="F1223" s="698">
        <v>24.9</v>
      </c>
      <c r="G1223" s="698">
        <v>20</v>
      </c>
      <c r="H1223" s="698">
        <v>0</v>
      </c>
      <c r="I1223" s="699">
        <v>6.25E-2</v>
      </c>
      <c r="J1223" s="699">
        <v>6.5000000000000002E-2</v>
      </c>
      <c r="K1223" s="699">
        <v>6.4699999999999994E-2</v>
      </c>
      <c r="L1223" s="697">
        <v>4</v>
      </c>
    </row>
    <row r="1224" spans="1:12">
      <c r="A1224" s="695">
        <v>46142</v>
      </c>
      <c r="B1224" s="696" t="s">
        <v>4531</v>
      </c>
      <c r="C1224" s="697">
        <v>252</v>
      </c>
      <c r="D1224" s="695">
        <v>46394</v>
      </c>
      <c r="E1224" s="698">
        <v>5</v>
      </c>
      <c r="F1224" s="698">
        <v>9.1</v>
      </c>
      <c r="G1224" s="698">
        <v>5</v>
      </c>
      <c r="H1224" s="698">
        <v>0</v>
      </c>
      <c r="I1224" s="699">
        <v>6.3500000000000001E-2</v>
      </c>
      <c r="J1224" s="699">
        <v>6.6600000000000006E-2</v>
      </c>
      <c r="K1224" s="699">
        <v>6.4699999999999994E-2</v>
      </c>
      <c r="L1224" s="697">
        <v>4</v>
      </c>
    </row>
    <row r="1225" spans="1:12">
      <c r="A1225" s="695">
        <v>46148</v>
      </c>
      <c r="B1225" s="696" t="s">
        <v>4533</v>
      </c>
      <c r="C1225" s="697">
        <v>28</v>
      </c>
      <c r="D1225" s="695">
        <v>46176</v>
      </c>
      <c r="E1225" s="698">
        <v>20</v>
      </c>
      <c r="F1225" s="698">
        <v>32.9</v>
      </c>
      <c r="G1225" s="698">
        <v>20</v>
      </c>
      <c r="H1225" s="698">
        <v>0</v>
      </c>
      <c r="I1225" s="699">
        <v>6.8500000000000005E-2</v>
      </c>
      <c r="J1225" s="699">
        <v>6.9900000000000004E-2</v>
      </c>
      <c r="K1225" s="699">
        <v>6.9099999999999995E-2</v>
      </c>
      <c r="L1225" s="697">
        <v>5</v>
      </c>
    </row>
    <row r="1226" spans="1:12">
      <c r="A1226" s="695">
        <v>46148</v>
      </c>
      <c r="B1226" s="696" t="s">
        <v>4534</v>
      </c>
      <c r="C1226" s="697">
        <v>168</v>
      </c>
      <c r="D1226" s="695">
        <v>46316</v>
      </c>
      <c r="E1226" s="698">
        <v>7.5</v>
      </c>
      <c r="F1226" s="698">
        <v>9.5</v>
      </c>
      <c r="G1226" s="698">
        <v>7.5</v>
      </c>
      <c r="H1226" s="698">
        <v>0</v>
      </c>
      <c r="I1226" s="699">
        <v>6.3200000000000006E-2</v>
      </c>
      <c r="J1226" s="699">
        <v>6.5000000000000002E-2</v>
      </c>
      <c r="K1226" s="699">
        <v>6.4699999999999994E-2</v>
      </c>
      <c r="L1226" s="697">
        <v>3</v>
      </c>
    </row>
    <row r="1227" spans="1:12">
      <c r="A1227" s="695">
        <v>46149</v>
      </c>
      <c r="B1227" s="696" t="s">
        <v>4535</v>
      </c>
      <c r="C1227" s="697">
        <v>84</v>
      </c>
      <c r="D1227" s="695">
        <v>46233</v>
      </c>
      <c r="E1227" s="698">
        <v>20</v>
      </c>
      <c r="F1227" s="698">
        <v>13</v>
      </c>
      <c r="G1227" s="698">
        <v>13</v>
      </c>
      <c r="H1227" s="698">
        <v>0</v>
      </c>
      <c r="I1227" s="699">
        <v>6.5000000000000002E-2</v>
      </c>
      <c r="J1227" s="699">
        <v>6.7000000000000004E-2</v>
      </c>
      <c r="K1227" s="699">
        <v>6.54E-2</v>
      </c>
      <c r="L1227" s="697">
        <v>3</v>
      </c>
    </row>
    <row r="1228" spans="1:12">
      <c r="A1228" s="695">
        <v>46149</v>
      </c>
      <c r="B1228" s="696" t="s">
        <v>4536</v>
      </c>
      <c r="C1228" s="697">
        <v>252</v>
      </c>
      <c r="D1228" s="695">
        <v>46401</v>
      </c>
      <c r="E1228" s="698">
        <v>5</v>
      </c>
      <c r="F1228" s="698">
        <v>5.5</v>
      </c>
      <c r="G1228" s="698">
        <v>5</v>
      </c>
      <c r="H1228" s="698">
        <v>0</v>
      </c>
      <c r="I1228" s="699">
        <v>6.4699999999999994E-2</v>
      </c>
      <c r="J1228" s="699">
        <v>7.0999999999999994E-2</v>
      </c>
      <c r="K1228" s="699">
        <v>6.6299999999999998E-2</v>
      </c>
      <c r="L1228" s="697">
        <v>3</v>
      </c>
    </row>
    <row r="1229" spans="1:12">
      <c r="A1229" s="695">
        <v>46155</v>
      </c>
      <c r="B1229" s="696" t="s">
        <v>4537</v>
      </c>
      <c r="C1229" s="697">
        <v>28</v>
      </c>
      <c r="D1229" s="695">
        <v>46183</v>
      </c>
      <c r="E1229" s="698">
        <v>20</v>
      </c>
      <c r="F1229" s="698">
        <v>50</v>
      </c>
      <c r="G1229" s="698">
        <v>20</v>
      </c>
      <c r="H1229" s="698">
        <v>0</v>
      </c>
      <c r="I1229" s="699">
        <v>6.8500000000000005E-2</v>
      </c>
      <c r="J1229" s="699">
        <v>6.8699999999999997E-2</v>
      </c>
      <c r="K1229" s="699">
        <v>6.8599999999999994E-2</v>
      </c>
      <c r="L1229" s="697">
        <v>5</v>
      </c>
    </row>
    <row r="1230" spans="1:12">
      <c r="A1230" s="695">
        <v>46155</v>
      </c>
      <c r="B1230" s="696" t="s">
        <v>4538</v>
      </c>
      <c r="C1230" s="697">
        <v>168</v>
      </c>
      <c r="D1230" s="695">
        <v>46323</v>
      </c>
      <c r="E1230" s="698">
        <v>7.5</v>
      </c>
      <c r="F1230" s="698">
        <v>16.2</v>
      </c>
      <c r="G1230" s="698">
        <v>7.5</v>
      </c>
      <c r="H1230" s="698">
        <v>0</v>
      </c>
      <c r="I1230" s="699">
        <v>6.4799999999999996E-2</v>
      </c>
      <c r="J1230" s="699">
        <v>6.4799999999999996E-2</v>
      </c>
      <c r="K1230" s="699">
        <v>6.4799999999999996E-2</v>
      </c>
      <c r="L1230" s="697">
        <v>4</v>
      </c>
    </row>
    <row r="1231" spans="1:12">
      <c r="A1231" s="695">
        <v>46156</v>
      </c>
      <c r="B1231" s="696" t="s">
        <v>4539</v>
      </c>
      <c r="C1231" s="697">
        <v>84</v>
      </c>
      <c r="D1231" s="695">
        <v>46240</v>
      </c>
      <c r="E1231" s="698">
        <v>20</v>
      </c>
      <c r="F1231" s="698">
        <v>25.6</v>
      </c>
      <c r="G1231" s="698">
        <v>20</v>
      </c>
      <c r="H1231" s="698">
        <v>0</v>
      </c>
      <c r="I1231" s="699">
        <v>6.4500000000000002E-2</v>
      </c>
      <c r="J1231" s="699">
        <v>6.4799999999999996E-2</v>
      </c>
      <c r="K1231" s="699">
        <v>6.4799999999999996E-2</v>
      </c>
      <c r="L1231" s="697">
        <v>4</v>
      </c>
    </row>
    <row r="1232" spans="1:12">
      <c r="A1232" s="695">
        <v>46156</v>
      </c>
      <c r="B1232" s="696" t="s">
        <v>4540</v>
      </c>
      <c r="C1232" s="697">
        <v>252</v>
      </c>
      <c r="D1232" s="695">
        <v>46408</v>
      </c>
      <c r="E1232" s="698">
        <v>5</v>
      </c>
      <c r="F1232" s="698">
        <v>16.5</v>
      </c>
      <c r="G1232" s="698">
        <v>5</v>
      </c>
      <c r="H1232" s="698">
        <v>0</v>
      </c>
      <c r="I1232" s="699">
        <v>6.6000000000000003E-2</v>
      </c>
      <c r="J1232" s="699">
        <v>6.7500000000000004E-2</v>
      </c>
      <c r="K1232" s="699">
        <v>6.6900000000000001E-2</v>
      </c>
      <c r="L1232" s="697">
        <v>6</v>
      </c>
    </row>
    <row r="1233" spans="1:12">
      <c r="A1233" s="695">
        <v>46162</v>
      </c>
      <c r="B1233" s="696" t="s">
        <v>4541</v>
      </c>
      <c r="C1233" s="697">
        <v>28</v>
      </c>
      <c r="D1233" s="695">
        <v>46190</v>
      </c>
      <c r="E1233" s="698">
        <v>20</v>
      </c>
      <c r="F1233" s="698">
        <v>49.1</v>
      </c>
      <c r="G1233" s="698">
        <v>20</v>
      </c>
      <c r="H1233" s="698">
        <v>0</v>
      </c>
      <c r="I1233" s="699">
        <v>6.8000000000000005E-2</v>
      </c>
      <c r="J1233" s="699">
        <v>6.8400000000000002E-2</v>
      </c>
      <c r="K1233" s="699">
        <v>6.8000000000000005E-2</v>
      </c>
      <c r="L1233" s="697">
        <v>6</v>
      </c>
    </row>
    <row r="1234" spans="1:12">
      <c r="A1234" s="695">
        <v>46162</v>
      </c>
      <c r="B1234" s="696" t="s">
        <v>4542</v>
      </c>
      <c r="C1234" s="697">
        <v>168</v>
      </c>
      <c r="D1234" s="695">
        <v>46330</v>
      </c>
      <c r="E1234" s="698">
        <v>7.5</v>
      </c>
      <c r="F1234" s="698">
        <v>18.5</v>
      </c>
      <c r="G1234" s="698">
        <v>7.5</v>
      </c>
      <c r="H1234" s="698">
        <v>0</v>
      </c>
      <c r="I1234" s="699">
        <v>6.4600000000000005E-2</v>
      </c>
      <c r="J1234" s="699">
        <v>6.4699999999999994E-2</v>
      </c>
      <c r="K1234" s="699">
        <v>6.4699999999999994E-2</v>
      </c>
      <c r="L1234" s="697">
        <v>5</v>
      </c>
    </row>
    <row r="1235" spans="1:12">
      <c r="A1235" s="695">
        <v>46163</v>
      </c>
      <c r="B1235" s="696" t="s">
        <v>4543</v>
      </c>
      <c r="C1235" s="697">
        <v>84</v>
      </c>
      <c r="D1235" s="695">
        <v>46247</v>
      </c>
      <c r="E1235" s="698">
        <v>20</v>
      </c>
      <c r="F1235" s="698">
        <v>29.1</v>
      </c>
      <c r="G1235" s="698">
        <v>20</v>
      </c>
      <c r="H1235" s="698">
        <v>0</v>
      </c>
      <c r="I1235" s="699">
        <v>6.4299999999999996E-2</v>
      </c>
      <c r="J1235" s="699">
        <v>6.4699999999999994E-2</v>
      </c>
      <c r="K1235" s="699">
        <v>6.4500000000000002E-2</v>
      </c>
      <c r="L1235" s="697">
        <v>4</v>
      </c>
    </row>
    <row r="1236" spans="1:12">
      <c r="A1236" s="695">
        <v>46163</v>
      </c>
      <c r="B1236" s="696" t="s">
        <v>4544</v>
      </c>
      <c r="C1236" s="697">
        <v>252</v>
      </c>
      <c r="D1236" s="695">
        <v>46415</v>
      </c>
      <c r="E1236" s="698">
        <v>5</v>
      </c>
      <c r="F1236" s="698">
        <v>13.7</v>
      </c>
      <c r="G1236" s="698">
        <v>5</v>
      </c>
      <c r="H1236" s="698">
        <v>0</v>
      </c>
      <c r="I1236" s="699">
        <v>6.6400000000000001E-2</v>
      </c>
      <c r="J1236" s="699">
        <v>6.6900000000000001E-2</v>
      </c>
      <c r="K1236" s="699">
        <v>6.6500000000000004E-2</v>
      </c>
      <c r="L1236" s="697">
        <v>6</v>
      </c>
    </row>
    <row r="1237" spans="1:12">
      <c r="A1237" s="695">
        <v>46176</v>
      </c>
      <c r="B1237" s="696" t="s">
        <v>4550</v>
      </c>
      <c r="C1237" s="697">
        <v>28</v>
      </c>
      <c r="D1237" s="695">
        <v>46204</v>
      </c>
      <c r="E1237" s="698">
        <v>20</v>
      </c>
      <c r="F1237" s="698">
        <v>53</v>
      </c>
      <c r="G1237" s="698">
        <v>20</v>
      </c>
      <c r="H1237" s="698">
        <v>0</v>
      </c>
      <c r="I1237" s="699">
        <v>6.7000000000000004E-2</v>
      </c>
      <c r="J1237" s="699">
        <v>6.7799999999999999E-2</v>
      </c>
      <c r="K1237" s="699">
        <v>6.7400000000000002E-2</v>
      </c>
      <c r="L1237" s="697">
        <v>5</v>
      </c>
    </row>
    <row r="1238" spans="1:12">
      <c r="A1238" s="695">
        <v>46176</v>
      </c>
      <c r="B1238" s="696" t="s">
        <v>4551</v>
      </c>
      <c r="C1238" s="697">
        <v>168</v>
      </c>
      <c r="D1238" s="695">
        <v>46344</v>
      </c>
      <c r="E1238" s="698">
        <v>7.5</v>
      </c>
      <c r="F1238" s="698">
        <v>14.6</v>
      </c>
      <c r="G1238" s="698">
        <v>7.5</v>
      </c>
      <c r="H1238" s="698">
        <v>0</v>
      </c>
      <c r="I1238" s="699">
        <v>6.4399999999999999E-2</v>
      </c>
      <c r="J1238" s="699">
        <v>6.4600000000000005E-2</v>
      </c>
      <c r="K1238" s="699">
        <v>6.4500000000000002E-2</v>
      </c>
      <c r="L1238" s="697">
        <v>4</v>
      </c>
    </row>
    <row r="1239" spans="1:12">
      <c r="A1239" s="695">
        <v>46177</v>
      </c>
      <c r="B1239" s="696" t="s">
        <v>4552</v>
      </c>
      <c r="C1239" s="697">
        <v>84</v>
      </c>
      <c r="D1239" s="695">
        <v>46261</v>
      </c>
      <c r="E1239" s="698">
        <v>20</v>
      </c>
      <c r="F1239" s="698">
        <v>34.6</v>
      </c>
      <c r="G1239" s="698">
        <v>20</v>
      </c>
      <c r="H1239" s="698">
        <v>0</v>
      </c>
      <c r="I1239" s="699">
        <v>6.3799999999999996E-2</v>
      </c>
      <c r="J1239" s="699">
        <v>6.4299999999999996E-2</v>
      </c>
      <c r="K1239" s="699">
        <v>6.4199999999999993E-2</v>
      </c>
      <c r="L1239" s="697">
        <v>4</v>
      </c>
    </row>
    <row r="1240" spans="1:12">
      <c r="A1240" s="695">
        <v>46177</v>
      </c>
      <c r="B1240" s="696" t="s">
        <v>4553</v>
      </c>
      <c r="C1240" s="697">
        <v>252</v>
      </c>
      <c r="D1240" s="695">
        <v>46429</v>
      </c>
      <c r="E1240" s="698">
        <v>5</v>
      </c>
      <c r="F1240" s="698">
        <v>11.1</v>
      </c>
      <c r="G1240" s="698">
        <v>5</v>
      </c>
      <c r="H1240" s="698">
        <v>0</v>
      </c>
      <c r="I1240" s="699">
        <v>6.6000000000000003E-2</v>
      </c>
      <c r="J1240" s="699">
        <v>6.6299999999999998E-2</v>
      </c>
      <c r="K1240" s="699">
        <v>6.6100000000000006E-2</v>
      </c>
      <c r="L1240" s="697">
        <v>5</v>
      </c>
    </row>
    <row r="1241" spans="1:12">
      <c r="A1241" s="695">
        <v>46183</v>
      </c>
      <c r="B1241" s="696" t="s">
        <v>4554</v>
      </c>
      <c r="C1241" s="697">
        <v>28</v>
      </c>
      <c r="D1241" s="695">
        <v>46211</v>
      </c>
      <c r="E1241" s="698">
        <v>20</v>
      </c>
      <c r="F1241" s="698">
        <v>82</v>
      </c>
      <c r="G1241" s="698">
        <v>20</v>
      </c>
      <c r="H1241" s="698">
        <v>0</v>
      </c>
      <c r="I1241" s="699">
        <v>6.6699999999999995E-2</v>
      </c>
      <c r="J1241" s="699">
        <v>6.6699999999999995E-2</v>
      </c>
      <c r="K1241" s="699">
        <v>6.6699999999999995E-2</v>
      </c>
      <c r="L1241" s="697">
        <v>8</v>
      </c>
    </row>
    <row r="1242" spans="1:12">
      <c r="A1242" s="695">
        <v>46183</v>
      </c>
      <c r="B1242" s="696" t="s">
        <v>4555</v>
      </c>
      <c r="C1242" s="697">
        <v>168</v>
      </c>
      <c r="D1242" s="695">
        <v>46351</v>
      </c>
      <c r="E1242" s="698">
        <v>7.5</v>
      </c>
      <c r="F1242" s="698">
        <v>13.6</v>
      </c>
      <c r="G1242" s="698">
        <v>7.5</v>
      </c>
      <c r="H1242" s="698">
        <v>0</v>
      </c>
      <c r="I1242" s="699">
        <v>6.4399999999999999E-2</v>
      </c>
      <c r="J1242" s="699">
        <v>6.4399999999999999E-2</v>
      </c>
      <c r="K1242" s="699">
        <v>6.4399999999999999E-2</v>
      </c>
      <c r="L1242" s="697">
        <v>3</v>
      </c>
    </row>
    <row r="1243" spans="1:12">
      <c r="A1243" s="695">
        <v>46184</v>
      </c>
      <c r="B1243" s="696" t="s">
        <v>4556</v>
      </c>
      <c r="C1243" s="697">
        <v>84</v>
      </c>
      <c r="D1243" s="695">
        <v>46268</v>
      </c>
      <c r="E1243" s="698">
        <v>20</v>
      </c>
      <c r="F1243" s="698">
        <v>35.6</v>
      </c>
      <c r="G1243" s="698">
        <v>20</v>
      </c>
      <c r="H1243" s="698">
        <v>0</v>
      </c>
      <c r="I1243" s="699">
        <v>6.3399999999999998E-2</v>
      </c>
      <c r="J1243" s="699">
        <v>6.5000000000000002E-2</v>
      </c>
      <c r="K1243" s="699">
        <v>6.4199999999999993E-2</v>
      </c>
      <c r="L1243" s="697">
        <v>4</v>
      </c>
    </row>
    <row r="1244" spans="1:12">
      <c r="A1244" s="695">
        <v>46184</v>
      </c>
      <c r="B1244" s="696" t="s">
        <v>4557</v>
      </c>
      <c r="C1244" s="697">
        <v>252</v>
      </c>
      <c r="D1244" s="695">
        <v>46436</v>
      </c>
      <c r="E1244" s="698">
        <v>5</v>
      </c>
      <c r="F1244" s="698">
        <v>12.6</v>
      </c>
      <c r="G1244" s="698">
        <v>5</v>
      </c>
      <c r="H1244" s="698">
        <v>0</v>
      </c>
      <c r="I1244" s="699">
        <v>6.5500000000000003E-2</v>
      </c>
      <c r="J1244" s="699">
        <v>6.5500000000000003E-2</v>
      </c>
      <c r="K1244" s="699">
        <v>6.5500000000000003E-2</v>
      </c>
      <c r="L1244" s="697">
        <v>5</v>
      </c>
    </row>
    <row r="1245" spans="1:12">
      <c r="A1245" s="695">
        <v>46190</v>
      </c>
      <c r="B1245" s="696" t="s">
        <v>4558</v>
      </c>
      <c r="C1245" s="697">
        <v>28</v>
      </c>
      <c r="D1245" s="695">
        <v>46218</v>
      </c>
      <c r="E1245" s="698">
        <v>20</v>
      </c>
      <c r="F1245" s="698">
        <v>63</v>
      </c>
      <c r="G1245" s="698">
        <v>20</v>
      </c>
      <c r="H1245" s="698">
        <v>0</v>
      </c>
      <c r="I1245" s="699">
        <v>6.54E-2</v>
      </c>
      <c r="J1245" s="699">
        <v>6.6500000000000004E-2</v>
      </c>
      <c r="K1245" s="699">
        <v>6.6100000000000006E-2</v>
      </c>
      <c r="L1245" s="697">
        <v>7</v>
      </c>
    </row>
    <row r="1246" spans="1:12">
      <c r="A1246" s="695">
        <v>46190</v>
      </c>
      <c r="B1246" s="696" t="s">
        <v>4559</v>
      </c>
      <c r="C1246" s="697">
        <v>168</v>
      </c>
      <c r="D1246" s="695">
        <v>46358</v>
      </c>
      <c r="E1246" s="698">
        <v>7.5</v>
      </c>
      <c r="F1246" s="698">
        <v>8.1</v>
      </c>
      <c r="G1246" s="698">
        <v>7.5</v>
      </c>
      <c r="H1246" s="698">
        <v>0</v>
      </c>
      <c r="I1246" s="699">
        <v>6.4000000000000001E-2</v>
      </c>
      <c r="J1246" s="699">
        <v>6.5000000000000002E-2</v>
      </c>
      <c r="K1246" s="699">
        <v>6.4399999999999999E-2</v>
      </c>
      <c r="L1246" s="697">
        <v>4</v>
      </c>
    </row>
    <row r="1247" spans="1:12">
      <c r="A1247" s="695">
        <v>46191</v>
      </c>
      <c r="B1247" s="696" t="s">
        <v>4560</v>
      </c>
      <c r="C1247" s="697">
        <v>84</v>
      </c>
      <c r="D1247" s="695">
        <v>46275</v>
      </c>
      <c r="E1247" s="698">
        <v>20</v>
      </c>
      <c r="F1247" s="698">
        <v>23.7</v>
      </c>
      <c r="G1247" s="698">
        <v>20</v>
      </c>
      <c r="H1247" s="698">
        <v>0</v>
      </c>
      <c r="I1247" s="699">
        <v>6.4699999999999994E-2</v>
      </c>
      <c r="J1247" s="699">
        <v>6.4899999999999999E-2</v>
      </c>
      <c r="K1247" s="699">
        <v>6.4799999999999996E-2</v>
      </c>
      <c r="L1247" s="697">
        <v>4</v>
      </c>
    </row>
    <row r="1248" spans="1:12">
      <c r="A1248" s="695">
        <v>46191</v>
      </c>
      <c r="B1248" s="696" t="s">
        <v>4561</v>
      </c>
      <c r="C1248" s="697">
        <v>252</v>
      </c>
      <c r="D1248" s="695">
        <v>46443</v>
      </c>
      <c r="E1248" s="698">
        <v>5</v>
      </c>
      <c r="F1248" s="698">
        <v>13.3</v>
      </c>
      <c r="G1248" s="698">
        <v>5</v>
      </c>
      <c r="H1248" s="698">
        <v>0</v>
      </c>
      <c r="I1248" s="699">
        <v>6.5000000000000002E-2</v>
      </c>
      <c r="J1248" s="699">
        <v>6.5000000000000002E-2</v>
      </c>
      <c r="K1248" s="699">
        <v>6.5000000000000002E-2</v>
      </c>
      <c r="L1248" s="697">
        <v>5</v>
      </c>
    </row>
    <row r="1249" spans="1:12">
      <c r="A1249" s="695">
        <v>46197</v>
      </c>
      <c r="B1249" s="696" t="s">
        <v>4562</v>
      </c>
      <c r="C1249" s="697">
        <v>28</v>
      </c>
      <c r="D1249" s="695">
        <v>46225</v>
      </c>
      <c r="E1249" s="698">
        <v>20</v>
      </c>
      <c r="F1249" s="698">
        <v>78</v>
      </c>
      <c r="G1249" s="698">
        <v>20</v>
      </c>
      <c r="H1249" s="698">
        <v>0</v>
      </c>
      <c r="I1249" s="699">
        <v>6.5000000000000002E-2</v>
      </c>
      <c r="J1249" s="699">
        <v>6.5699999999999995E-2</v>
      </c>
      <c r="K1249" s="699">
        <v>6.54E-2</v>
      </c>
      <c r="L1249" s="697">
        <v>10</v>
      </c>
    </row>
    <row r="1250" spans="1:12">
      <c r="A1250" s="695">
        <v>46197</v>
      </c>
      <c r="B1250" s="696" t="s">
        <v>4563</v>
      </c>
      <c r="C1250" s="697">
        <v>168</v>
      </c>
      <c r="D1250" s="695">
        <v>46365</v>
      </c>
      <c r="E1250" s="698">
        <v>7.5</v>
      </c>
      <c r="F1250" s="698">
        <v>14.6</v>
      </c>
      <c r="G1250" s="698">
        <v>7.5</v>
      </c>
      <c r="H1250" s="698">
        <v>0</v>
      </c>
      <c r="I1250" s="699">
        <v>6.4799999999999996E-2</v>
      </c>
      <c r="J1250" s="699">
        <v>6.4799999999999996E-2</v>
      </c>
      <c r="K1250" s="699">
        <v>6.4799999999999996E-2</v>
      </c>
      <c r="L1250" s="697">
        <v>4</v>
      </c>
    </row>
    <row r="1251" spans="1:12">
      <c r="A1251" s="695">
        <v>46198</v>
      </c>
      <c r="B1251" s="696" t="s">
        <v>4564</v>
      </c>
      <c r="C1251" s="697">
        <v>84</v>
      </c>
      <c r="D1251" s="695">
        <v>46282</v>
      </c>
      <c r="E1251" s="698">
        <v>20</v>
      </c>
      <c r="F1251" s="698">
        <v>23.6</v>
      </c>
      <c r="G1251" s="698">
        <v>20</v>
      </c>
      <c r="H1251" s="698">
        <v>0</v>
      </c>
      <c r="I1251" s="699">
        <v>6.4299999999999996E-2</v>
      </c>
      <c r="J1251" s="699">
        <v>6.5199999999999994E-2</v>
      </c>
      <c r="K1251" s="699">
        <v>6.4899999999999999E-2</v>
      </c>
      <c r="L1251" s="697">
        <v>4</v>
      </c>
    </row>
    <row r="1252" spans="1:12">
      <c r="A1252" s="695">
        <v>46198</v>
      </c>
      <c r="B1252" s="696" t="s">
        <v>4565</v>
      </c>
      <c r="C1252" s="697">
        <v>252</v>
      </c>
      <c r="D1252" s="695">
        <v>46450</v>
      </c>
      <c r="E1252" s="698">
        <v>5</v>
      </c>
      <c r="F1252" s="698">
        <v>13.6</v>
      </c>
      <c r="G1252" s="698">
        <v>5</v>
      </c>
      <c r="H1252" s="698">
        <v>0</v>
      </c>
      <c r="I1252" s="699">
        <v>6.5000000000000002E-2</v>
      </c>
      <c r="J1252" s="699">
        <v>6.5000000000000002E-2</v>
      </c>
      <c r="K1252" s="699">
        <v>6.5000000000000002E-2</v>
      </c>
      <c r="L1252" s="697">
        <v>4</v>
      </c>
    </row>
    <row r="1253" spans="1:12" ht="12.6" customHeight="1">
      <c r="A1253" s="2523" t="s">
        <v>2695</v>
      </c>
      <c r="B1253" s="2523"/>
      <c r="C1253" s="2523"/>
      <c r="D1253" s="2523"/>
      <c r="E1253" s="2523"/>
      <c r="F1253" s="2523"/>
      <c r="G1253" s="2523"/>
      <c r="H1253" s="2523"/>
      <c r="I1253" s="2523"/>
      <c r="J1253" s="2523"/>
      <c r="K1253" s="2523"/>
      <c r="L1253" s="2523"/>
    </row>
    <row r="1254" spans="1:12" s="747" customFormat="1" ht="24.75" customHeight="1">
      <c r="A1254" s="158"/>
      <c r="B1254" s="158"/>
      <c r="C1254" s="158"/>
      <c r="D1254" s="438"/>
      <c r="E1254" s="158"/>
      <c r="F1254" s="158"/>
      <c r="G1254" s="158"/>
      <c r="H1254" s="158"/>
      <c r="I1254" s="158"/>
      <c r="J1254" s="158"/>
      <c r="K1254" s="158"/>
      <c r="L1254" s="158"/>
    </row>
  </sheetData>
  <mergeCells count="24">
    <mergeCell ref="A3:L3"/>
    <mergeCell ref="A1253:L1253"/>
    <mergeCell ref="A10:L10"/>
    <mergeCell ref="A11:A12"/>
    <mergeCell ref="B11:B12"/>
    <mergeCell ref="D11:D12"/>
    <mergeCell ref="L11:L12"/>
    <mergeCell ref="C11:C12"/>
    <mergeCell ref="A2:L2"/>
    <mergeCell ref="H7:H9"/>
    <mergeCell ref="I7:I9"/>
    <mergeCell ref="J7:J9"/>
    <mergeCell ref="K7:K9"/>
    <mergeCell ref="I6:K6"/>
    <mergeCell ref="A5:L5"/>
    <mergeCell ref="A6:A9"/>
    <mergeCell ref="B6:B9"/>
    <mergeCell ref="D6:D9"/>
    <mergeCell ref="E6:H6"/>
    <mergeCell ref="C6:C9"/>
    <mergeCell ref="L6:L9"/>
    <mergeCell ref="E7:E9"/>
    <mergeCell ref="F7:F9"/>
    <mergeCell ref="G7:G9"/>
  </mergeCells>
  <printOptions horizontalCentered="1"/>
  <pageMargins left="0.23622047244094491" right="0.15748031496062992" top="0.15748031496062992" bottom="0.15748031496062992" header="0.15748031496062992" footer="0.15748031496062992"/>
  <pageSetup paperSize="9" scale="10" orientation="portrait" r:id="rId1"/>
  <headerFooter alignWithMargins="0"/>
  <rowBreaks count="1" manualBreakCount="1">
    <brk id="988" max="11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9">
    <tabColor rgb="FF92D050"/>
  </sheetPr>
  <dimension ref="A1:CD309"/>
  <sheetViews>
    <sheetView showGridLines="0" view="pageBreakPreview" zoomScale="115" zoomScaleSheetLayoutView="115" workbookViewId="0">
      <pane ySplit="60" topLeftCell="A289" activePane="bottomLeft" state="frozen"/>
      <selection activeCell="F40" sqref="F40"/>
      <selection pane="bottomLeft" activeCell="F40" sqref="F40"/>
    </sheetView>
  </sheetViews>
  <sheetFormatPr defaultColWidth="9.140625" defaultRowHeight="12.75"/>
  <cols>
    <col min="1" max="1" width="8.42578125" style="90" customWidth="1"/>
    <col min="2" max="3" width="15.85546875" style="12" customWidth="1"/>
    <col min="4" max="4" width="15.85546875" style="160" customWidth="1"/>
    <col min="5" max="6" width="15.85546875" style="12" customWidth="1"/>
    <col min="7" max="7" width="15.85546875" style="4" customWidth="1"/>
    <col min="8" max="9" width="15.85546875" style="12" customWidth="1"/>
    <col min="10" max="11" width="10" style="12" customWidth="1"/>
    <col min="12" max="16" width="9.140625" style="12" customWidth="1"/>
    <col min="17" max="79" width="9.140625" style="12"/>
    <col min="80" max="80" width="0" style="12" hidden="1" customWidth="1"/>
    <col min="81" max="16384" width="9.140625" style="12"/>
  </cols>
  <sheetData>
    <row r="1" spans="1:82" ht="7.5" customHeight="1"/>
    <row r="2" spans="1:82" s="134" customFormat="1" ht="19.5" customHeight="1">
      <c r="A2" s="2447" t="s">
        <v>2701</v>
      </c>
      <c r="B2" s="2447"/>
      <c r="C2" s="2447"/>
      <c r="D2" s="2447"/>
      <c r="E2" s="2447"/>
      <c r="F2" s="2447"/>
      <c r="G2" s="2447"/>
      <c r="H2" s="2447"/>
      <c r="I2" s="2447"/>
    </row>
    <row r="3" spans="1:82" s="134" customFormat="1" ht="22.5" customHeight="1">
      <c r="A3" s="2205" t="s">
        <v>2702</v>
      </c>
      <c r="B3" s="2205"/>
      <c r="C3" s="2205"/>
      <c r="D3" s="2205"/>
      <c r="E3" s="2205"/>
      <c r="F3" s="2205"/>
      <c r="G3" s="2205"/>
      <c r="H3" s="2205"/>
      <c r="I3" s="2205"/>
    </row>
    <row r="4" spans="1:82" s="134" customFormat="1" ht="12" customHeight="1">
      <c r="A4" s="500"/>
      <c r="B4" s="500"/>
      <c r="C4" s="500"/>
      <c r="D4" s="500"/>
      <c r="E4" s="500"/>
      <c r="F4" s="500"/>
      <c r="G4" s="500"/>
      <c r="H4" s="500"/>
      <c r="I4" s="500"/>
    </row>
    <row r="5" spans="1:82" s="134" customFormat="1" ht="12" customHeight="1">
      <c r="A5" s="478"/>
      <c r="B5" s="478"/>
      <c r="C5" s="478"/>
      <c r="D5" s="478"/>
      <c r="E5" s="478"/>
      <c r="F5" s="478"/>
      <c r="G5" s="478"/>
      <c r="H5" s="478"/>
      <c r="I5" s="478"/>
    </row>
    <row r="6" spans="1:82" ht="16.5" customHeight="1">
      <c r="A6" s="2168" t="s">
        <v>182</v>
      </c>
      <c r="B6" s="2166" t="s">
        <v>2761</v>
      </c>
      <c r="C6" s="2532"/>
      <c r="D6" s="2167"/>
      <c r="E6" s="2166" t="s">
        <v>2760</v>
      </c>
      <c r="F6" s="2532"/>
      <c r="G6" s="2167"/>
      <c r="H6" s="2166" t="s">
        <v>2763</v>
      </c>
      <c r="I6" s="2167"/>
    </row>
    <row r="7" spans="1:82" ht="15" customHeight="1">
      <c r="A7" s="2169"/>
      <c r="B7" s="512" t="s">
        <v>155</v>
      </c>
      <c r="C7" s="512" t="s">
        <v>2398</v>
      </c>
      <c r="D7" s="548" t="s">
        <v>967</v>
      </c>
      <c r="E7" s="512" t="s">
        <v>155</v>
      </c>
      <c r="F7" s="512" t="s">
        <v>2398</v>
      </c>
      <c r="G7" s="512" t="s">
        <v>967</v>
      </c>
      <c r="H7" s="512" t="s">
        <v>2398</v>
      </c>
      <c r="I7" s="512" t="s">
        <v>967</v>
      </c>
      <c r="CC7" s="90" t="s">
        <v>2049</v>
      </c>
      <c r="CD7" s="291" t="s">
        <v>2050</v>
      </c>
    </row>
    <row r="8" spans="1:82" ht="16.5" customHeight="1">
      <c r="A8" s="2198" t="s">
        <v>283</v>
      </c>
      <c r="B8" s="2198" t="s">
        <v>2762</v>
      </c>
      <c r="C8" s="2198"/>
      <c r="D8" s="2198"/>
      <c r="E8" s="2198" t="s">
        <v>380</v>
      </c>
      <c r="F8" s="2198"/>
      <c r="G8" s="2198"/>
      <c r="H8" s="2198" t="s">
        <v>2764</v>
      </c>
      <c r="I8" s="2198"/>
      <c r="BY8" s="12">
        <f>BY10+BY22+BY32+BY40</f>
        <v>0</v>
      </c>
      <c r="CC8" s="12">
        <f>CC10+CC22+CC32+CC40</f>
        <v>622</v>
      </c>
      <c r="CD8" s="215">
        <f>BY8+BZ8+CA8+CC8</f>
        <v>622</v>
      </c>
    </row>
    <row r="9" spans="1:82" ht="15" customHeight="1">
      <c r="A9" s="2198"/>
      <c r="B9" s="513" t="s">
        <v>105</v>
      </c>
      <c r="C9" s="513" t="s">
        <v>2399</v>
      </c>
      <c r="D9" s="549" t="s">
        <v>968</v>
      </c>
      <c r="E9" s="513" t="s">
        <v>105</v>
      </c>
      <c r="F9" s="513" t="s">
        <v>2399</v>
      </c>
      <c r="G9" s="513" t="s">
        <v>968</v>
      </c>
      <c r="H9" s="513" t="s">
        <v>2399</v>
      </c>
      <c r="I9" s="513" t="s">
        <v>968</v>
      </c>
      <c r="CD9" s="215"/>
    </row>
    <row r="10" spans="1:82" ht="15" hidden="1">
      <c r="A10" s="150">
        <v>1996</v>
      </c>
      <c r="B10" s="151">
        <v>3</v>
      </c>
      <c r="C10" s="151">
        <v>3</v>
      </c>
      <c r="D10" s="152" t="s">
        <v>93</v>
      </c>
      <c r="E10" s="153" t="s">
        <v>93</v>
      </c>
      <c r="F10" s="153" t="s">
        <v>93</v>
      </c>
      <c r="G10" s="153" t="s">
        <v>93</v>
      </c>
      <c r="H10" s="82">
        <v>100</v>
      </c>
      <c r="I10" s="154" t="s">
        <v>93</v>
      </c>
      <c r="CC10" s="12">
        <f>CC12+CC17</f>
        <v>1713</v>
      </c>
      <c r="CD10" s="215">
        <f>BY10+BZ10+CA10+CC10</f>
        <v>1713</v>
      </c>
    </row>
    <row r="11" spans="1:82" ht="15" hidden="1">
      <c r="A11" s="150">
        <v>1997</v>
      </c>
      <c r="B11" s="151">
        <v>6.3</v>
      </c>
      <c r="C11" s="151">
        <v>6.3</v>
      </c>
      <c r="D11" s="152" t="s">
        <v>93</v>
      </c>
      <c r="E11" s="153" t="s">
        <v>93</v>
      </c>
      <c r="F11" s="153" t="s">
        <v>93</v>
      </c>
      <c r="G11" s="153" t="s">
        <v>93</v>
      </c>
      <c r="H11" s="82">
        <v>100</v>
      </c>
      <c r="I11" s="154" t="s">
        <v>93</v>
      </c>
      <c r="CD11" s="215"/>
    </row>
    <row r="12" spans="1:82" ht="15" hidden="1">
      <c r="A12" s="150">
        <v>1998</v>
      </c>
      <c r="B12" s="151">
        <v>7.6</v>
      </c>
      <c r="C12" s="151">
        <v>7.6</v>
      </c>
      <c r="D12" s="152" t="s">
        <v>93</v>
      </c>
      <c r="E12" s="153" t="s">
        <v>93</v>
      </c>
      <c r="F12" s="153" t="s">
        <v>93</v>
      </c>
      <c r="G12" s="153" t="s">
        <v>93</v>
      </c>
      <c r="H12" s="82">
        <v>100</v>
      </c>
      <c r="I12" s="154" t="s">
        <v>93</v>
      </c>
      <c r="CC12" s="12">
        <f>CC14+CC15</f>
        <v>4361</v>
      </c>
      <c r="CD12" s="215">
        <f>BY12+BZ12+CA12+CC12</f>
        <v>4361</v>
      </c>
    </row>
    <row r="13" spans="1:82" ht="15" hidden="1">
      <c r="A13" s="150">
        <v>1999</v>
      </c>
      <c r="B13" s="153" t="s">
        <v>93</v>
      </c>
      <c r="C13" s="151" t="s">
        <v>93</v>
      </c>
      <c r="D13" s="152" t="s">
        <v>93</v>
      </c>
      <c r="E13" s="153" t="s">
        <v>93</v>
      </c>
      <c r="F13" s="153" t="s">
        <v>93</v>
      </c>
      <c r="G13" s="153" t="s">
        <v>93</v>
      </c>
      <c r="H13" s="82"/>
      <c r="I13" s="154" t="s">
        <v>93</v>
      </c>
      <c r="CD13" s="215"/>
    </row>
    <row r="14" spans="1:82" ht="15" hidden="1">
      <c r="A14" s="150">
        <v>2000</v>
      </c>
      <c r="B14" s="151">
        <v>25.6</v>
      </c>
      <c r="C14" s="151">
        <v>25.6</v>
      </c>
      <c r="D14" s="152" t="s">
        <v>93</v>
      </c>
      <c r="E14" s="153">
        <v>46</v>
      </c>
      <c r="F14" s="153">
        <v>46</v>
      </c>
      <c r="G14" s="153" t="s">
        <v>93</v>
      </c>
      <c r="H14" s="82">
        <v>100</v>
      </c>
      <c r="I14" s="154" t="s">
        <v>93</v>
      </c>
      <c r="CC14" s="12">
        <v>3917</v>
      </c>
      <c r="CD14" s="215">
        <f>BY14+BZ14+CA14+CC14</f>
        <v>3917</v>
      </c>
    </row>
    <row r="15" spans="1:82" ht="15" hidden="1">
      <c r="A15" s="150">
        <v>2001</v>
      </c>
      <c r="B15" s="151">
        <v>38.1</v>
      </c>
      <c r="C15" s="151">
        <v>38.1</v>
      </c>
      <c r="D15" s="152" t="s">
        <v>93</v>
      </c>
      <c r="E15" s="153">
        <v>48</v>
      </c>
      <c r="F15" s="153">
        <v>48</v>
      </c>
      <c r="G15" s="153" t="s">
        <v>93</v>
      </c>
      <c r="H15" s="82">
        <v>100</v>
      </c>
      <c r="I15" s="154" t="s">
        <v>93</v>
      </c>
      <c r="CC15" s="12">
        <v>444</v>
      </c>
      <c r="CD15" s="215">
        <f t="shared" ref="CD15:CD56" si="0">BY15+BZ15+CA15+CC15</f>
        <v>444</v>
      </c>
    </row>
    <row r="16" spans="1:82" ht="15" hidden="1">
      <c r="A16" s="150">
        <v>2002</v>
      </c>
      <c r="B16" s="151">
        <v>28</v>
      </c>
      <c r="C16" s="151">
        <v>28</v>
      </c>
      <c r="D16" s="152" t="s">
        <v>93</v>
      </c>
      <c r="E16" s="153">
        <v>57</v>
      </c>
      <c r="F16" s="153">
        <v>57</v>
      </c>
      <c r="G16" s="153" t="s">
        <v>93</v>
      </c>
      <c r="H16" s="82">
        <v>100</v>
      </c>
      <c r="I16" s="154" t="s">
        <v>93</v>
      </c>
      <c r="CD16" s="215"/>
    </row>
    <row r="17" spans="1:82" ht="15" hidden="1">
      <c r="A17" s="150">
        <v>2003</v>
      </c>
      <c r="B17" s="151">
        <v>13</v>
      </c>
      <c r="C17" s="151">
        <v>13</v>
      </c>
      <c r="D17" s="152" t="s">
        <v>93</v>
      </c>
      <c r="E17" s="153">
        <v>50</v>
      </c>
      <c r="F17" s="153">
        <v>50</v>
      </c>
      <c r="G17" s="153" t="s">
        <v>93</v>
      </c>
      <c r="H17" s="82">
        <v>100</v>
      </c>
      <c r="I17" s="154" t="s">
        <v>93</v>
      </c>
      <c r="CC17" s="12">
        <f>CC19+CC20</f>
        <v>-2648</v>
      </c>
      <c r="CD17" s="215">
        <f t="shared" si="0"/>
        <v>-2648</v>
      </c>
    </row>
    <row r="18" spans="1:82" ht="15" hidden="1">
      <c r="A18" s="150">
        <v>2004</v>
      </c>
      <c r="B18" s="151">
        <v>20.2958</v>
      </c>
      <c r="C18" s="151" t="s">
        <v>93</v>
      </c>
      <c r="D18" s="151">
        <v>20.2958</v>
      </c>
      <c r="E18" s="153">
        <v>52</v>
      </c>
      <c r="F18" s="153">
        <v>52</v>
      </c>
      <c r="G18" s="153" t="s">
        <v>93</v>
      </c>
      <c r="H18" s="82" t="s">
        <v>93</v>
      </c>
      <c r="I18" s="154">
        <v>100</v>
      </c>
      <c r="CD18" s="215"/>
    </row>
    <row r="19" spans="1:82" ht="15" hidden="1">
      <c r="A19" s="150">
        <v>2005</v>
      </c>
      <c r="B19" s="87">
        <v>39.377200000000002</v>
      </c>
      <c r="C19" s="87">
        <v>15.1</v>
      </c>
      <c r="D19" s="87">
        <v>24.277200000000001</v>
      </c>
      <c r="E19" s="88">
        <v>26.083528345663993</v>
      </c>
      <c r="F19" s="88">
        <v>46</v>
      </c>
      <c r="G19" s="88">
        <v>13.695826222664898</v>
      </c>
      <c r="H19" s="87">
        <v>38.347063783102911</v>
      </c>
      <c r="I19" s="2">
        <v>61.652936216897082</v>
      </c>
      <c r="CC19" s="12">
        <v>-367</v>
      </c>
      <c r="CD19" s="215">
        <f t="shared" si="0"/>
        <v>-367</v>
      </c>
    </row>
    <row r="20" spans="1:82" ht="15" hidden="1">
      <c r="A20" s="155" t="s">
        <v>18</v>
      </c>
      <c r="B20" s="87">
        <v>21.1936</v>
      </c>
      <c r="C20" s="87" t="s">
        <v>93</v>
      </c>
      <c r="D20" s="87">
        <v>21.1936</v>
      </c>
      <c r="E20" s="88">
        <v>26.945903255760523</v>
      </c>
      <c r="F20" s="88" t="s">
        <v>93</v>
      </c>
      <c r="G20" s="88">
        <v>26.945903255760523</v>
      </c>
      <c r="H20" s="87" t="s">
        <v>93</v>
      </c>
      <c r="I20" s="2">
        <v>100</v>
      </c>
      <c r="J20" s="12">
        <v>105968000</v>
      </c>
      <c r="CC20" s="12">
        <v>-2281</v>
      </c>
      <c r="CD20" s="215">
        <f t="shared" si="0"/>
        <v>-2281</v>
      </c>
    </row>
    <row r="21" spans="1:82" ht="15" hidden="1">
      <c r="A21" s="155" t="s">
        <v>19</v>
      </c>
      <c r="B21" s="87">
        <v>20.020199999999999</v>
      </c>
      <c r="C21" s="87" t="s">
        <v>93</v>
      </c>
      <c r="D21" s="87">
        <v>20.020199999999999</v>
      </c>
      <c r="E21" s="88">
        <v>50.862668704608346</v>
      </c>
      <c r="F21" s="88" t="s">
        <v>93</v>
      </c>
      <c r="G21" s="88">
        <v>50.862668704608346</v>
      </c>
      <c r="H21" s="87" t="s">
        <v>93</v>
      </c>
      <c r="I21" s="2">
        <v>100</v>
      </c>
      <c r="J21" s="12">
        <v>100101000</v>
      </c>
      <c r="CD21" s="215"/>
    </row>
    <row r="22" spans="1:82" ht="15" hidden="1">
      <c r="A22" s="155" t="s">
        <v>20</v>
      </c>
      <c r="B22" s="87">
        <v>23.833200000000001</v>
      </c>
      <c r="C22" s="87" t="s">
        <v>93</v>
      </c>
      <c r="D22" s="87">
        <v>23.833200000000001</v>
      </c>
      <c r="E22" s="88">
        <v>41.06294640932412</v>
      </c>
      <c r="F22" s="88" t="s">
        <v>93</v>
      </c>
      <c r="G22" s="88">
        <v>41.06294640932412</v>
      </c>
      <c r="H22" s="87" t="s">
        <v>93</v>
      </c>
      <c r="I22" s="2">
        <v>100</v>
      </c>
      <c r="J22" s="12">
        <v>119166000</v>
      </c>
      <c r="CC22" s="12">
        <f>CC24+CC25</f>
        <v>-797</v>
      </c>
      <c r="CD22" s="215">
        <f t="shared" si="0"/>
        <v>-797</v>
      </c>
    </row>
    <row r="23" spans="1:82" ht="15" hidden="1">
      <c r="A23" s="155" t="s">
        <v>21</v>
      </c>
      <c r="B23" s="87">
        <v>20.297599999999999</v>
      </c>
      <c r="C23" s="87" t="s">
        <v>93</v>
      </c>
      <c r="D23" s="87">
        <v>20.297599999999999</v>
      </c>
      <c r="E23" s="88">
        <v>26.862742393189343</v>
      </c>
      <c r="F23" s="88" t="s">
        <v>93</v>
      </c>
      <c r="G23" s="88">
        <v>26.862742393189343</v>
      </c>
      <c r="H23" s="87" t="s">
        <v>93</v>
      </c>
      <c r="I23" s="2">
        <v>100</v>
      </c>
      <c r="J23" s="12">
        <v>101488000</v>
      </c>
      <c r="CD23" s="215"/>
    </row>
    <row r="24" spans="1:82" ht="15" hidden="1">
      <c r="A24" s="155" t="s">
        <v>22</v>
      </c>
      <c r="B24" s="87">
        <v>18.457799999999999</v>
      </c>
      <c r="C24" s="87">
        <v>5.6</v>
      </c>
      <c r="D24" s="87">
        <v>12.857799999999999</v>
      </c>
      <c r="E24" s="88">
        <v>40.580137162640142</v>
      </c>
      <c r="F24" s="88">
        <v>81</v>
      </c>
      <c r="G24" s="88">
        <v>22.975941119054529</v>
      </c>
      <c r="H24" s="87">
        <v>30.339477077441519</v>
      </c>
      <c r="I24" s="2">
        <v>69.660522922558485</v>
      </c>
      <c r="J24" s="12">
        <v>64289000</v>
      </c>
      <c r="L24" s="12">
        <v>40.580137162640142</v>
      </c>
      <c r="M24" s="12">
        <v>57.730723231768955</v>
      </c>
      <c r="CC24" s="12">
        <v>-644</v>
      </c>
      <c r="CD24" s="215">
        <f t="shared" si="0"/>
        <v>-644</v>
      </c>
    </row>
    <row r="25" spans="1:82" ht="15" hidden="1">
      <c r="A25" s="155" t="s">
        <v>23</v>
      </c>
      <c r="B25" s="87">
        <v>14.7904</v>
      </c>
      <c r="C25" s="87">
        <v>7.6</v>
      </c>
      <c r="D25" s="87">
        <v>7.1904000000000003</v>
      </c>
      <c r="E25" s="88">
        <v>33.981019636073398</v>
      </c>
      <c r="F25" s="88">
        <v>42</v>
      </c>
      <c r="G25" s="88">
        <v>25.505239322621829</v>
      </c>
      <c r="H25" s="87">
        <v>51.384681955863265</v>
      </c>
      <c r="I25" s="2">
        <v>48.615318044136743</v>
      </c>
      <c r="J25" s="12">
        <v>35952000</v>
      </c>
      <c r="L25" s="12">
        <v>33.981019636073398</v>
      </c>
      <c r="M25" s="12">
        <v>50.038346882377866</v>
      </c>
      <c r="CC25" s="12">
        <v>-153</v>
      </c>
      <c r="CD25" s="215">
        <f t="shared" si="0"/>
        <v>-153</v>
      </c>
    </row>
    <row r="26" spans="1:82" ht="15" hidden="1">
      <c r="A26" s="155" t="s">
        <v>24</v>
      </c>
      <c r="B26" s="87">
        <v>24.886800000000001</v>
      </c>
      <c r="C26" s="87">
        <v>10.9</v>
      </c>
      <c r="D26" s="87">
        <v>13.986800000000001</v>
      </c>
      <c r="E26" s="88">
        <v>34.279613159357176</v>
      </c>
      <c r="F26" s="88">
        <v>42</v>
      </c>
      <c r="G26" s="88">
        <v>28.26306780495111</v>
      </c>
      <c r="H26" s="87">
        <v>43.798318787469661</v>
      </c>
      <c r="I26" s="2">
        <v>56.201681212530339</v>
      </c>
      <c r="J26" s="12">
        <v>69934000</v>
      </c>
      <c r="L26" s="12">
        <v>34.279613159357176</v>
      </c>
      <c r="M26" s="12">
        <v>50.769216997237038</v>
      </c>
      <c r="CD26" s="215"/>
    </row>
    <row r="27" spans="1:82" ht="15" hidden="1">
      <c r="A27" s="155" t="s">
        <v>25</v>
      </c>
      <c r="B27" s="87">
        <v>40.938600000000001</v>
      </c>
      <c r="C27" s="87">
        <v>15.2</v>
      </c>
      <c r="D27" s="87">
        <v>25.738600000000002</v>
      </c>
      <c r="E27" s="88">
        <v>30.144516637181443</v>
      </c>
      <c r="F27" s="88">
        <v>35</v>
      </c>
      <c r="G27" s="88">
        <v>27.277097775439078</v>
      </c>
      <c r="H27" s="87">
        <v>37.128773333724155</v>
      </c>
      <c r="I27" s="2">
        <v>62.871226666275838</v>
      </c>
      <c r="J27" s="12">
        <v>128693000</v>
      </c>
      <c r="L27" s="12">
        <v>30.144516637181443</v>
      </c>
      <c r="M27" s="12">
        <v>53.313369517893001</v>
      </c>
      <c r="CD27" s="215"/>
    </row>
    <row r="28" spans="1:82" ht="15" hidden="1">
      <c r="A28" s="155" t="s">
        <v>26</v>
      </c>
      <c r="B28" s="87">
        <v>47.3386</v>
      </c>
      <c r="C28" s="87">
        <v>15.7</v>
      </c>
      <c r="D28" s="87">
        <v>31.6386</v>
      </c>
      <c r="E28" s="88">
        <v>26.278620023367314</v>
      </c>
      <c r="F28" s="88">
        <v>47</v>
      </c>
      <c r="G28" s="88">
        <v>15.996064359300846</v>
      </c>
      <c r="H28" s="87">
        <v>33.165323858331256</v>
      </c>
      <c r="I28" s="2">
        <v>66.834676141668751</v>
      </c>
      <c r="J28" s="12">
        <v>158193000</v>
      </c>
      <c r="L28" s="12">
        <v>26.278620023367314</v>
      </c>
      <c r="M28" s="12">
        <v>55.668126415897419</v>
      </c>
      <c r="CD28" s="215"/>
    </row>
    <row r="29" spans="1:82" ht="15" hidden="1">
      <c r="A29" s="155" t="s">
        <v>27</v>
      </c>
      <c r="B29" s="87">
        <v>34.392000000000003</v>
      </c>
      <c r="C29" s="87">
        <v>9.9</v>
      </c>
      <c r="D29" s="87">
        <v>24.492000000000001</v>
      </c>
      <c r="E29" s="88">
        <v>25.97002367405209</v>
      </c>
      <c r="F29" s="88">
        <v>65</v>
      </c>
      <c r="G29" s="88">
        <v>10.193575624612098</v>
      </c>
      <c r="H29" s="87">
        <v>28.785764131193297</v>
      </c>
      <c r="I29" s="2">
        <v>71.214235868806696</v>
      </c>
      <c r="J29" s="12">
        <v>122460000</v>
      </c>
      <c r="L29" s="12">
        <v>25.97002367405209</v>
      </c>
      <c r="M29" s="12">
        <v>59.000876069947289</v>
      </c>
      <c r="CC29" s="12">
        <v>-31</v>
      </c>
      <c r="CD29" s="215">
        <f t="shared" si="0"/>
        <v>-31</v>
      </c>
    </row>
    <row r="30" spans="1:82" ht="15" hidden="1">
      <c r="A30" s="155" t="s">
        <v>28</v>
      </c>
      <c r="B30" s="87">
        <v>37.616399999999999</v>
      </c>
      <c r="C30" s="87">
        <v>11.6</v>
      </c>
      <c r="D30" s="87">
        <v>26.016400000000001</v>
      </c>
      <c r="E30" s="88">
        <v>35.839493875991792</v>
      </c>
      <c r="F30" s="88">
        <v>79</v>
      </c>
      <c r="G30" s="88">
        <v>16.595406644918505</v>
      </c>
      <c r="H30" s="87">
        <v>30.837613381397478</v>
      </c>
      <c r="I30" s="2">
        <v>69.16238661860254</v>
      </c>
      <c r="J30" s="12">
        <v>130082000</v>
      </c>
      <c r="L30" s="12">
        <v>35.839493875991792</v>
      </c>
      <c r="M30" s="12">
        <v>57.343941218415956</v>
      </c>
      <c r="CC30" s="12">
        <v>-440</v>
      </c>
      <c r="CD30" s="215">
        <f t="shared" si="0"/>
        <v>-440</v>
      </c>
    </row>
    <row r="31" spans="1:82" ht="15" hidden="1">
      <c r="A31" s="155" t="s">
        <v>29</v>
      </c>
      <c r="B31" s="87">
        <v>39.377200000000002</v>
      </c>
      <c r="C31" s="87">
        <v>15.1</v>
      </c>
      <c r="D31" s="87">
        <v>24.277200000000001</v>
      </c>
      <c r="E31" s="88">
        <v>26.083528345663993</v>
      </c>
      <c r="F31" s="88">
        <v>46</v>
      </c>
      <c r="G31" s="88">
        <v>13.695826222664898</v>
      </c>
      <c r="H31" s="87">
        <v>38.347063783102911</v>
      </c>
      <c r="I31" s="2">
        <v>61.652936216897082</v>
      </c>
      <c r="J31" s="12">
        <v>121386000</v>
      </c>
      <c r="M31" s="12">
        <v>52.715818449501434</v>
      </c>
      <c r="CD31" s="215"/>
    </row>
    <row r="32" spans="1:82" ht="15" hidden="1">
      <c r="A32" s="155"/>
      <c r="B32" s="87"/>
      <c r="C32" s="87"/>
      <c r="D32" s="87"/>
      <c r="E32" s="88"/>
      <c r="F32" s="88"/>
      <c r="G32" s="88"/>
      <c r="H32" s="87"/>
      <c r="I32" s="2"/>
      <c r="L32" s="12">
        <v>26.083528345663993</v>
      </c>
      <c r="M32" s="12" t="e">
        <v>#DIV/0!</v>
      </c>
      <c r="CC32" s="12">
        <f>CC34+CC35</f>
        <v>-498</v>
      </c>
      <c r="CD32" s="215">
        <f>BY32+BZ32+CA32+CC32</f>
        <v>-498</v>
      </c>
    </row>
    <row r="33" spans="1:82" ht="15" hidden="1">
      <c r="A33" s="150">
        <v>2006</v>
      </c>
      <c r="B33" s="87">
        <f>+B45</f>
        <v>176.66</v>
      </c>
      <c r="C33" s="87">
        <f t="shared" ref="C33:I33" si="1">+C45</f>
        <v>63.02</v>
      </c>
      <c r="D33" s="87">
        <f t="shared" si="1"/>
        <v>113.64</v>
      </c>
      <c r="E33" s="88">
        <f t="shared" si="1"/>
        <v>42.678818068606368</v>
      </c>
      <c r="F33" s="88">
        <f t="shared" si="1"/>
        <v>98</v>
      </c>
      <c r="G33" s="88">
        <f t="shared" si="1"/>
        <v>12</v>
      </c>
      <c r="H33" s="87">
        <f t="shared" si="1"/>
        <v>35.673044265821353</v>
      </c>
      <c r="I33" s="2">
        <f t="shared" si="1"/>
        <v>64.326955734178654</v>
      </c>
      <c r="CD33" s="215"/>
    </row>
    <row r="34" spans="1:82" ht="15" hidden="1">
      <c r="A34" s="155" t="s">
        <v>18</v>
      </c>
      <c r="B34" s="87">
        <v>45.261600000000001</v>
      </c>
      <c r="C34" s="87">
        <v>18.8</v>
      </c>
      <c r="D34" s="87">
        <v>26.461600000000001</v>
      </c>
      <c r="E34" s="88">
        <v>23.497433807024056</v>
      </c>
      <c r="F34" s="88">
        <v>41</v>
      </c>
      <c r="G34" s="88">
        <v>11.0625</v>
      </c>
      <c r="H34" s="87">
        <v>41.536313342877854</v>
      </c>
      <c r="I34" s="2">
        <v>58.463686657122146</v>
      </c>
      <c r="L34" s="12">
        <v>23.497433807024056</v>
      </c>
      <c r="M34" s="12">
        <v>51.432679836598943</v>
      </c>
      <c r="CC34" s="12">
        <v>-521</v>
      </c>
      <c r="CD34" s="215">
        <f>BY34+BZ34+CA34+CC34</f>
        <v>-521</v>
      </c>
    </row>
    <row r="35" spans="1:82" ht="15" hidden="1">
      <c r="A35" s="155" t="s">
        <v>19</v>
      </c>
      <c r="B35" s="87">
        <v>51.3</v>
      </c>
      <c r="C35" s="87">
        <v>15.3</v>
      </c>
      <c r="D35" s="87">
        <v>36</v>
      </c>
      <c r="E35" s="88">
        <v>21.686159844054583</v>
      </c>
      <c r="F35" s="88">
        <v>45</v>
      </c>
      <c r="G35" s="88">
        <v>11.777777777777779</v>
      </c>
      <c r="H35" s="87">
        <v>29.824561403508774</v>
      </c>
      <c r="I35" s="2">
        <v>70.175438596491233</v>
      </c>
      <c r="L35" s="12">
        <v>21.686159844054583</v>
      </c>
      <c r="M35" s="12">
        <v>58.14096645121576</v>
      </c>
      <c r="CC35" s="12">
        <v>23</v>
      </c>
      <c r="CD35" s="215">
        <f>BY35+BZ35+CA35+CC35</f>
        <v>23</v>
      </c>
    </row>
    <row r="36" spans="1:82" ht="15" hidden="1">
      <c r="A36" s="155" t="s">
        <v>20</v>
      </c>
      <c r="B36" s="87">
        <v>62.5</v>
      </c>
      <c r="C36" s="87">
        <v>18.5</v>
      </c>
      <c r="D36" s="87">
        <v>44</v>
      </c>
      <c r="E36" s="88">
        <v>29.445256005893722</v>
      </c>
      <c r="F36" s="88">
        <v>63</v>
      </c>
      <c r="G36" s="88">
        <v>15.33701137200813</v>
      </c>
      <c r="H36" s="87">
        <v>29.599999999999998</v>
      </c>
      <c r="I36" s="2">
        <v>70.399999999999991</v>
      </c>
      <c r="L36" s="12">
        <v>29.445256005893722</v>
      </c>
      <c r="M36" s="12">
        <v>58.323199999999993</v>
      </c>
      <c r="CD36" s="215"/>
    </row>
    <row r="37" spans="1:82" ht="15" hidden="1">
      <c r="A37" s="155" t="s">
        <v>21</v>
      </c>
      <c r="B37" s="87">
        <v>52.400000000000006</v>
      </c>
      <c r="C37" s="87">
        <v>14.8</v>
      </c>
      <c r="D37" s="87">
        <v>37.6</v>
      </c>
      <c r="E37" s="88">
        <v>33.180630941171628</v>
      </c>
      <c r="F37" s="88">
        <v>83</v>
      </c>
      <c r="G37" s="88">
        <v>13.570879290356203</v>
      </c>
      <c r="H37" s="87">
        <v>28.244274809160302</v>
      </c>
      <c r="I37" s="2">
        <v>71.755725190839698</v>
      </c>
      <c r="L37" s="12">
        <v>33.180630941171628</v>
      </c>
      <c r="M37" s="12">
        <v>59.466231571586739</v>
      </c>
      <c r="CC37" s="12">
        <v>433</v>
      </c>
      <c r="CD37" s="215">
        <f t="shared" si="0"/>
        <v>433</v>
      </c>
    </row>
    <row r="38" spans="1:82" ht="15" hidden="1">
      <c r="A38" s="155" t="s">
        <v>22</v>
      </c>
      <c r="B38" s="87">
        <v>67.460000000000008</v>
      </c>
      <c r="C38" s="87">
        <v>16.28</v>
      </c>
      <c r="D38" s="87">
        <v>51.18</v>
      </c>
      <c r="E38" s="88">
        <v>27.503202107322856</v>
      </c>
      <c r="F38" s="88">
        <v>62</v>
      </c>
      <c r="G38" s="88">
        <v>16.530011999999999</v>
      </c>
      <c r="H38" s="87">
        <v>24.13281944856211</v>
      </c>
      <c r="I38" s="2">
        <v>75.867180551437883</v>
      </c>
      <c r="L38" s="12">
        <v>27.503202107322856</v>
      </c>
      <c r="M38" s="12">
        <v>63.382220593613724</v>
      </c>
      <c r="CC38" s="12">
        <v>-931</v>
      </c>
      <c r="CD38" s="215">
        <f t="shared" si="0"/>
        <v>-931</v>
      </c>
    </row>
    <row r="39" spans="1:82" ht="15" hidden="1">
      <c r="A39" s="155" t="s">
        <v>23</v>
      </c>
      <c r="B39" s="87">
        <v>75.16</v>
      </c>
      <c r="C39" s="87">
        <v>23.03</v>
      </c>
      <c r="D39" s="87">
        <v>52.13</v>
      </c>
      <c r="E39" s="88">
        <v>49.54429047486547</v>
      </c>
      <c r="F39" s="88">
        <v>126.85402397260276</v>
      </c>
      <c r="G39" s="88">
        <v>15.390383656279438</v>
      </c>
      <c r="H39" s="87">
        <v>30.641298563065462</v>
      </c>
      <c r="I39" s="2">
        <v>69.358701436934538</v>
      </c>
      <c r="L39" s="12">
        <v>49.54429047486547</v>
      </c>
      <c r="CD39" s="215"/>
    </row>
    <row r="40" spans="1:82" ht="15" hidden="1">
      <c r="A40" s="155" t="s">
        <v>24</v>
      </c>
      <c r="B40" s="87">
        <v>86.54</v>
      </c>
      <c r="C40" s="87">
        <v>26.73</v>
      </c>
      <c r="D40" s="87">
        <v>59.81</v>
      </c>
      <c r="E40" s="88">
        <v>43.008437716662812</v>
      </c>
      <c r="F40" s="88">
        <v>118.77403666292557</v>
      </c>
      <c r="G40" s="88">
        <v>9.147637518809562</v>
      </c>
      <c r="H40" s="87">
        <v>30.887450889761958</v>
      </c>
      <c r="I40" s="2">
        <v>69.112549110238035</v>
      </c>
      <c r="L40" s="12">
        <v>43.008437716662812</v>
      </c>
      <c r="CC40" s="12">
        <v>204</v>
      </c>
      <c r="CD40" s="215">
        <f t="shared" si="0"/>
        <v>204</v>
      </c>
    </row>
    <row r="41" spans="1:82" ht="15" hidden="1">
      <c r="A41" s="155" t="s">
        <v>25</v>
      </c>
      <c r="B41" s="87">
        <v>114.2466</v>
      </c>
      <c r="C41" s="87">
        <v>30.09</v>
      </c>
      <c r="D41" s="87">
        <v>84.156599999999997</v>
      </c>
      <c r="E41" s="88">
        <v>37.806833638812883</v>
      </c>
      <c r="F41" s="88">
        <v>96</v>
      </c>
      <c r="G41" s="88">
        <v>17</v>
      </c>
      <c r="H41" s="87">
        <v>26.337764099763145</v>
      </c>
      <c r="I41" s="2">
        <v>73.662235900236851</v>
      </c>
      <c r="L41" s="12">
        <v>37.806833638812883</v>
      </c>
      <c r="CC41" s="12">
        <v>200</v>
      </c>
      <c r="CD41" s="215">
        <f t="shared" si="0"/>
        <v>200</v>
      </c>
    </row>
    <row r="42" spans="1:82" ht="15" hidden="1">
      <c r="A42" s="155" t="s">
        <v>26</v>
      </c>
      <c r="B42" s="87">
        <v>104.042</v>
      </c>
      <c r="C42" s="87">
        <v>31.14</v>
      </c>
      <c r="D42" s="87">
        <v>72.902000000000001</v>
      </c>
      <c r="E42" s="88">
        <v>39.535802848849499</v>
      </c>
      <c r="F42" s="88">
        <v>104</v>
      </c>
      <c r="G42" s="88">
        <v>12</v>
      </c>
      <c r="H42" s="87">
        <v>29.930220487879893</v>
      </c>
      <c r="I42" s="2">
        <v>70.069779512120107</v>
      </c>
      <c r="L42" s="12">
        <v>39.535802848849499</v>
      </c>
      <c r="CD42" s="215"/>
    </row>
    <row r="43" spans="1:82" ht="15" hidden="1">
      <c r="A43" s="155" t="s">
        <v>27</v>
      </c>
      <c r="B43" s="87">
        <v>104.31</v>
      </c>
      <c r="C43" s="87">
        <v>32.270000000000003</v>
      </c>
      <c r="D43" s="87">
        <v>72.040000000000006</v>
      </c>
      <c r="E43" s="88">
        <v>48.649026938932039</v>
      </c>
      <c r="F43" s="88">
        <v>126</v>
      </c>
      <c r="G43" s="88">
        <v>14</v>
      </c>
      <c r="H43" s="87">
        <v>30.93663119547503</v>
      </c>
      <c r="I43" s="2">
        <v>69.063368804524984</v>
      </c>
      <c r="L43" s="12">
        <v>48.649026938932039</v>
      </c>
      <c r="CC43" s="12">
        <v>295</v>
      </c>
      <c r="CD43" s="215">
        <f t="shared" si="0"/>
        <v>295</v>
      </c>
    </row>
    <row r="44" spans="1:82" ht="15" hidden="1">
      <c r="A44" s="155" t="s">
        <v>28</v>
      </c>
      <c r="B44" s="87">
        <v>134.69999999999999</v>
      </c>
      <c r="C44" s="87">
        <v>59.2</v>
      </c>
      <c r="D44" s="87">
        <v>75.5</v>
      </c>
      <c r="E44" s="88">
        <v>59.510022271714924</v>
      </c>
      <c r="F44" s="88">
        <v>115</v>
      </c>
      <c r="G44" s="88">
        <v>16</v>
      </c>
      <c r="H44" s="87">
        <v>43.949517446176692</v>
      </c>
      <c r="I44" s="2">
        <v>56.050482553823308</v>
      </c>
      <c r="L44" s="12">
        <v>59.510022271714924</v>
      </c>
      <c r="CC44" s="12">
        <v>-95</v>
      </c>
      <c r="CD44" s="215">
        <f t="shared" si="0"/>
        <v>-95</v>
      </c>
    </row>
    <row r="45" spans="1:82" ht="15" hidden="1">
      <c r="A45" s="155" t="s">
        <v>29</v>
      </c>
      <c r="B45" s="87">
        <v>176.66</v>
      </c>
      <c r="C45" s="87">
        <v>63.02</v>
      </c>
      <c r="D45" s="87">
        <v>113.64</v>
      </c>
      <c r="E45" s="88">
        <v>42.678818068606368</v>
      </c>
      <c r="F45" s="88">
        <v>98</v>
      </c>
      <c r="G45" s="88">
        <v>12</v>
      </c>
      <c r="H45" s="87">
        <v>35.673044265821353</v>
      </c>
      <c r="I45" s="2">
        <v>64.326955734178654</v>
      </c>
      <c r="L45" s="12">
        <v>42.678818068606368</v>
      </c>
      <c r="CD45" s="215"/>
    </row>
    <row r="46" spans="1:82" ht="15" hidden="1">
      <c r="A46" s="155"/>
      <c r="B46" s="87"/>
      <c r="C46" s="87"/>
      <c r="D46" s="87"/>
      <c r="E46" s="88"/>
      <c r="F46" s="88"/>
      <c r="G46" s="88"/>
      <c r="H46" s="87"/>
      <c r="I46" s="2"/>
      <c r="CC46" s="12">
        <v>0</v>
      </c>
      <c r="CD46" s="215">
        <f t="shared" si="0"/>
        <v>0</v>
      </c>
    </row>
    <row r="47" spans="1:82" ht="15" hidden="1">
      <c r="A47" s="89" t="s">
        <v>121</v>
      </c>
      <c r="B47" s="87">
        <f>+B59</f>
        <v>406.69</v>
      </c>
      <c r="C47" s="87">
        <f t="shared" ref="C47:I47" si="2">+C59</f>
        <v>153.53</v>
      </c>
      <c r="D47" s="87">
        <f t="shared" si="2"/>
        <v>253.16</v>
      </c>
      <c r="E47" s="88">
        <f t="shared" si="2"/>
        <v>63.392517642430363</v>
      </c>
      <c r="F47" s="88">
        <f t="shared" si="2"/>
        <v>148.30000000000001</v>
      </c>
      <c r="G47" s="88">
        <f t="shared" si="2"/>
        <v>11.9</v>
      </c>
      <c r="H47" s="87">
        <f t="shared" si="2"/>
        <v>37.751112641077974</v>
      </c>
      <c r="I47" s="2">
        <f t="shared" si="2"/>
        <v>62.248887358922033</v>
      </c>
      <c r="CD47" s="215"/>
    </row>
    <row r="48" spans="1:82" ht="15" hidden="1">
      <c r="A48" s="89" t="s">
        <v>18</v>
      </c>
      <c r="B48" s="87">
        <v>150.6574</v>
      </c>
      <c r="C48" s="87">
        <v>43.72</v>
      </c>
      <c r="D48" s="87">
        <v>106.9374</v>
      </c>
      <c r="E48" s="88">
        <v>31.152859401529557</v>
      </c>
      <c r="F48" s="88">
        <v>78</v>
      </c>
      <c r="G48" s="88">
        <v>12</v>
      </c>
      <c r="H48" s="87">
        <v>29.01948394171146</v>
      </c>
      <c r="I48" s="2">
        <v>70.980516058288543</v>
      </c>
      <c r="L48" s="12">
        <v>31.152859401529557</v>
      </c>
      <c r="CC48" s="12">
        <f>CC49-CC53</f>
        <v>481</v>
      </c>
      <c r="CD48" s="215">
        <f t="shared" si="0"/>
        <v>481</v>
      </c>
    </row>
    <row r="49" spans="1:82" ht="15" hidden="1">
      <c r="A49" s="89" t="s">
        <v>19</v>
      </c>
      <c r="B49" s="87">
        <v>148.35</v>
      </c>
      <c r="C49" s="87">
        <v>60.16</v>
      </c>
      <c r="D49" s="87">
        <v>88.19</v>
      </c>
      <c r="E49" s="88">
        <v>44.575867880013483</v>
      </c>
      <c r="F49" s="88">
        <v>85</v>
      </c>
      <c r="G49" s="88">
        <v>17</v>
      </c>
      <c r="H49" s="87">
        <v>40.552746882372766</v>
      </c>
      <c r="I49" s="2">
        <v>59.447253117627227</v>
      </c>
      <c r="L49" s="12">
        <v>44.575867880013483</v>
      </c>
      <c r="CC49" s="12">
        <f>CC51+CC52</f>
        <v>965</v>
      </c>
      <c r="CD49" s="215">
        <f t="shared" si="0"/>
        <v>965</v>
      </c>
    </row>
    <row r="50" spans="1:82" ht="15" hidden="1">
      <c r="A50" s="89" t="s">
        <v>20</v>
      </c>
      <c r="B50" s="87">
        <v>138.91</v>
      </c>
      <c r="C50" s="87">
        <v>53.44</v>
      </c>
      <c r="D50" s="87">
        <v>85.47</v>
      </c>
      <c r="E50" s="88">
        <v>31.543733352530413</v>
      </c>
      <c r="F50" s="88">
        <v>66</v>
      </c>
      <c r="G50" s="88">
        <v>10</v>
      </c>
      <c r="H50" s="87">
        <v>38.470952415232887</v>
      </c>
      <c r="I50" s="2">
        <v>61.529047584767113</v>
      </c>
      <c r="L50" s="12">
        <v>31.543733352530413</v>
      </c>
      <c r="CD50" s="215"/>
    </row>
    <row r="51" spans="1:82" ht="15" hidden="1">
      <c r="A51" s="89" t="s">
        <v>21</v>
      </c>
      <c r="B51" s="87">
        <v>153.14060000000001</v>
      </c>
      <c r="C51" s="87">
        <v>49.85</v>
      </c>
      <c r="D51" s="87">
        <v>103.2906</v>
      </c>
      <c r="E51" s="88">
        <v>26.571750012733396</v>
      </c>
      <c r="F51" s="88">
        <v>54.9</v>
      </c>
      <c r="G51" s="88">
        <v>12.9</v>
      </c>
      <c r="H51" s="87">
        <v>32.551785744603322</v>
      </c>
      <c r="I51" s="2">
        <v>67.448214255396664</v>
      </c>
      <c r="L51" s="12">
        <v>26.571750012733396</v>
      </c>
      <c r="CC51" s="12">
        <v>954</v>
      </c>
      <c r="CD51" s="215">
        <f t="shared" si="0"/>
        <v>954</v>
      </c>
    </row>
    <row r="52" spans="1:82" ht="15" hidden="1">
      <c r="A52" s="89" t="s">
        <v>22</v>
      </c>
      <c r="B52" s="87">
        <v>203.43</v>
      </c>
      <c r="C52" s="87">
        <v>49.15</v>
      </c>
      <c r="D52" s="87">
        <v>154.28</v>
      </c>
      <c r="E52" s="88">
        <v>31.737993412967604</v>
      </c>
      <c r="F52" s="88">
        <v>78</v>
      </c>
      <c r="G52" s="88">
        <v>17</v>
      </c>
      <c r="H52" s="87">
        <v>24.160644939291156</v>
      </c>
      <c r="I52" s="2">
        <v>75.83935506070884</v>
      </c>
      <c r="L52" s="12">
        <v>31.737993412967604</v>
      </c>
      <c r="CC52" s="12">
        <v>11</v>
      </c>
      <c r="CD52" s="215">
        <f t="shared" si="0"/>
        <v>11</v>
      </c>
    </row>
    <row r="53" spans="1:82" ht="15" hidden="1">
      <c r="A53" s="89" t="s">
        <v>23</v>
      </c>
      <c r="B53" s="87">
        <v>197.18</v>
      </c>
      <c r="C53" s="87">
        <v>71.44</v>
      </c>
      <c r="D53" s="87">
        <v>125.74</v>
      </c>
      <c r="E53" s="88">
        <v>60.394340196774515</v>
      </c>
      <c r="F53" s="88">
        <v>141.69999999999999</v>
      </c>
      <c r="G53" s="88">
        <v>14.2</v>
      </c>
      <c r="H53" s="87">
        <v>36.230855056293734</v>
      </c>
      <c r="I53" s="2">
        <v>63.769144943706259</v>
      </c>
      <c r="L53" s="12">
        <v>60.394340196774515</v>
      </c>
      <c r="CC53" s="12">
        <f>CC55+CC56+CC57+CC58</f>
        <v>484</v>
      </c>
      <c r="CD53" s="215">
        <f t="shared" si="0"/>
        <v>484</v>
      </c>
    </row>
    <row r="54" spans="1:82" ht="15" hidden="1">
      <c r="A54" s="89" t="s">
        <v>24</v>
      </c>
      <c r="B54" s="87">
        <v>279.62</v>
      </c>
      <c r="C54" s="87">
        <v>99.15</v>
      </c>
      <c r="D54" s="87">
        <v>180.47</v>
      </c>
      <c r="E54" s="88">
        <v>69.854516844288682</v>
      </c>
      <c r="F54" s="88">
        <v>178.8</v>
      </c>
      <c r="G54" s="88">
        <v>10</v>
      </c>
      <c r="H54" s="87">
        <v>35.458836993062015</v>
      </c>
      <c r="I54" s="2">
        <v>64.541163006937978</v>
      </c>
      <c r="L54" s="12">
        <v>69.854516844288682</v>
      </c>
      <c r="CD54" s="215"/>
    </row>
    <row r="55" spans="1:82" ht="15" hidden="1">
      <c r="A55" s="89" t="s">
        <v>25</v>
      </c>
      <c r="B55" s="87">
        <v>274.07</v>
      </c>
      <c r="C55" s="87">
        <v>111.97</v>
      </c>
      <c r="D55" s="87">
        <v>162.1</v>
      </c>
      <c r="E55" s="88">
        <v>91.365654759732919</v>
      </c>
      <c r="F55" s="88">
        <v>202.5</v>
      </c>
      <c r="G55" s="88">
        <v>14.6</v>
      </c>
      <c r="H55" s="87">
        <v>40.854526215930235</v>
      </c>
      <c r="I55" s="2">
        <v>59.145473784069758</v>
      </c>
      <c r="L55" s="156">
        <v>91.365654759732919</v>
      </c>
      <c r="CC55" s="12">
        <v>1214</v>
      </c>
      <c r="CD55" s="215">
        <f t="shared" si="0"/>
        <v>1214</v>
      </c>
    </row>
    <row r="56" spans="1:82" ht="15" hidden="1">
      <c r="A56" s="89" t="s">
        <v>26</v>
      </c>
      <c r="B56" s="87">
        <v>291.32</v>
      </c>
      <c r="C56" s="87">
        <v>114.98</v>
      </c>
      <c r="D56" s="87">
        <v>176.34</v>
      </c>
      <c r="E56" s="88">
        <v>87.309178909789921</v>
      </c>
      <c r="F56" s="88">
        <v>197.9</v>
      </c>
      <c r="G56" s="88">
        <v>15.2</v>
      </c>
      <c r="H56" s="87">
        <v>39.46862556638748</v>
      </c>
      <c r="I56" s="2">
        <v>60.531374433612527</v>
      </c>
      <c r="L56" s="156">
        <v>87.309178909789921</v>
      </c>
      <c r="CC56" s="12">
        <v>-745</v>
      </c>
      <c r="CD56" s="215">
        <f t="shared" si="0"/>
        <v>-745</v>
      </c>
    </row>
    <row r="57" spans="1:82" ht="15" hidden="1">
      <c r="A57" s="89" t="s">
        <v>27</v>
      </c>
      <c r="B57" s="87">
        <v>320.9828</v>
      </c>
      <c r="C57" s="87">
        <v>133.28</v>
      </c>
      <c r="D57" s="87">
        <v>187.7028</v>
      </c>
      <c r="E57" s="88">
        <v>81.660525984569901</v>
      </c>
      <c r="F57" s="88">
        <v>175.4</v>
      </c>
      <c r="G57" s="88">
        <v>15.1</v>
      </c>
      <c r="H57" s="87">
        <v>41.52247410141603</v>
      </c>
      <c r="I57" s="2">
        <v>58.47752589858397</v>
      </c>
      <c r="L57" s="156">
        <v>81.660525984569901</v>
      </c>
      <c r="CC57" s="12">
        <v>0</v>
      </c>
      <c r="CD57" s="215">
        <f>BY57+BZ57+CA57+CC57</f>
        <v>0</v>
      </c>
    </row>
    <row r="58" spans="1:82" ht="15" hidden="1">
      <c r="A58" s="89" t="s">
        <v>28</v>
      </c>
      <c r="B58" s="87">
        <v>307.82</v>
      </c>
      <c r="C58" s="87">
        <v>141.9</v>
      </c>
      <c r="D58" s="87">
        <v>165.92</v>
      </c>
      <c r="E58" s="88">
        <v>78.159684231044125</v>
      </c>
      <c r="F58" s="88">
        <v>154.69999999999999</v>
      </c>
      <c r="G58" s="88">
        <v>12.7</v>
      </c>
      <c r="H58" s="87">
        <v>46.098369176791635</v>
      </c>
      <c r="I58" s="2">
        <v>53.901630823208372</v>
      </c>
      <c r="L58" s="156">
        <v>78.159684231044125</v>
      </c>
      <c r="CC58" s="12">
        <v>15</v>
      </c>
      <c r="CD58" s="215">
        <f>BY58+BZ58+CA58+CC58</f>
        <v>15</v>
      </c>
    </row>
    <row r="59" spans="1:82" ht="15" hidden="1">
      <c r="A59" s="89" t="s">
        <v>29</v>
      </c>
      <c r="B59" s="87">
        <v>406.69</v>
      </c>
      <c r="C59" s="87">
        <v>153.53</v>
      </c>
      <c r="D59" s="87">
        <v>253.16</v>
      </c>
      <c r="E59" s="88">
        <v>63.392517642430363</v>
      </c>
      <c r="F59" s="88">
        <v>148.30000000000001</v>
      </c>
      <c r="G59" s="88">
        <v>11.9</v>
      </c>
      <c r="H59" s="87">
        <v>37.751112641077974</v>
      </c>
      <c r="I59" s="2">
        <v>62.248887358922033</v>
      </c>
      <c r="L59" s="156">
        <v>63.392517642430363</v>
      </c>
      <c r="CC59" s="12">
        <v>-372</v>
      </c>
      <c r="CD59" s="215">
        <f>BY59+BZ59+CA59+CC59</f>
        <v>-372</v>
      </c>
    </row>
    <row r="60" spans="1:82" ht="15" hidden="1">
      <c r="A60" s="89"/>
      <c r="B60" s="87"/>
      <c r="C60" s="87"/>
      <c r="D60" s="87"/>
      <c r="E60" s="88"/>
      <c r="F60" s="88"/>
      <c r="G60" s="88"/>
      <c r="H60" s="87"/>
      <c r="I60" s="2"/>
      <c r="L60" s="156"/>
      <c r="CC60" s="12">
        <v>-231</v>
      </c>
      <c r="CD60" s="215">
        <f>BY60+BZ60+CA60+CC60</f>
        <v>-231</v>
      </c>
    </row>
    <row r="61" spans="1:82" ht="15">
      <c r="A61" s="266" t="s">
        <v>114</v>
      </c>
      <c r="B61" s="269">
        <f>+B73</f>
        <v>410.65499999999997</v>
      </c>
      <c r="C61" s="269">
        <f t="shared" ref="C61:I61" si="3">+C73</f>
        <v>230.64500000000001</v>
      </c>
      <c r="D61" s="269">
        <f t="shared" si="3"/>
        <v>180.01</v>
      </c>
      <c r="E61" s="701">
        <f t="shared" si="3"/>
        <v>40.141455723173962</v>
      </c>
      <c r="F61" s="701">
        <f t="shared" si="3"/>
        <v>60.7</v>
      </c>
      <c r="G61" s="701">
        <f t="shared" si="3"/>
        <v>13.8</v>
      </c>
      <c r="H61" s="269">
        <f t="shared" si="3"/>
        <v>56.165150795680077</v>
      </c>
      <c r="I61" s="269">
        <f t="shared" si="3"/>
        <v>43.83484920431993</v>
      </c>
      <c r="L61" s="156"/>
      <c r="CD61" s="215"/>
    </row>
    <row r="62" spans="1:82" ht="15" hidden="1">
      <c r="A62" s="266" t="s">
        <v>18</v>
      </c>
      <c r="B62" s="269">
        <v>353.16999999999996</v>
      </c>
      <c r="C62" s="269">
        <v>140.41999999999999</v>
      </c>
      <c r="D62" s="269">
        <v>212.75</v>
      </c>
      <c r="E62" s="701">
        <v>83.052093892459723</v>
      </c>
      <c r="F62" s="701">
        <v>188.4</v>
      </c>
      <c r="G62" s="701">
        <v>13.52</v>
      </c>
      <c r="H62" s="269">
        <v>39.759889005294902</v>
      </c>
      <c r="I62" s="269">
        <v>60.240110994705113</v>
      </c>
      <c r="L62" s="156">
        <v>83.052093892459723</v>
      </c>
      <c r="CC62" s="12">
        <f>CC8+CC46-CC48+CC59-CC60</f>
        <v>0</v>
      </c>
      <c r="CD62" s="215">
        <f>BY62+BZ62+CA62+CC62</f>
        <v>0</v>
      </c>
    </row>
    <row r="63" spans="1:82" ht="15" hidden="1">
      <c r="A63" s="266" t="s">
        <v>19</v>
      </c>
      <c r="B63" s="269">
        <v>302.24</v>
      </c>
      <c r="C63" s="269">
        <v>151.57</v>
      </c>
      <c r="D63" s="269">
        <v>150.66999999999999</v>
      </c>
      <c r="E63" s="701">
        <v>93.874010389094764</v>
      </c>
      <c r="F63" s="701">
        <v>173.9</v>
      </c>
      <c r="G63" s="701">
        <v>13.37</v>
      </c>
      <c r="H63" s="269">
        <v>50.148888300688185</v>
      </c>
      <c r="I63" s="269">
        <v>49.851111699311801</v>
      </c>
      <c r="L63" s="156">
        <v>93.874010389094764</v>
      </c>
    </row>
    <row r="64" spans="1:82" ht="15" hidden="1">
      <c r="A64" s="266" t="s">
        <v>20</v>
      </c>
      <c r="B64" s="269">
        <v>339.54999999999995</v>
      </c>
      <c r="C64" s="269">
        <v>171.41</v>
      </c>
      <c r="D64" s="269">
        <v>168.14</v>
      </c>
      <c r="E64" s="701">
        <v>87.23383595935799</v>
      </c>
      <c r="F64" s="701">
        <v>162.69999999999999</v>
      </c>
      <c r="G64" s="701">
        <v>10.3</v>
      </c>
      <c r="H64" s="269">
        <v>50.481519658371376</v>
      </c>
      <c r="I64" s="269">
        <v>49.518480341628631</v>
      </c>
      <c r="L64" s="156">
        <v>87.23383595935799</v>
      </c>
    </row>
    <row r="65" spans="1:40" ht="15" hidden="1">
      <c r="A65" s="266" t="s">
        <v>21</v>
      </c>
      <c r="B65" s="269">
        <v>324.08</v>
      </c>
      <c r="C65" s="269">
        <v>181.23</v>
      </c>
      <c r="D65" s="269">
        <v>142.85</v>
      </c>
      <c r="E65" s="701">
        <v>92.424129844482849</v>
      </c>
      <c r="F65" s="701">
        <v>152.9</v>
      </c>
      <c r="G65" s="701">
        <v>15.7</v>
      </c>
      <c r="H65" s="269">
        <v>55.921377437669705</v>
      </c>
      <c r="I65" s="269">
        <v>44.078622562330288</v>
      </c>
      <c r="L65" s="156">
        <v>92.424129844482849</v>
      </c>
    </row>
    <row r="66" spans="1:40" ht="15" hidden="1">
      <c r="A66" s="266" t="s">
        <v>22</v>
      </c>
      <c r="B66" s="269">
        <v>311.74</v>
      </c>
      <c r="C66" s="269">
        <v>215.21</v>
      </c>
      <c r="D66" s="269">
        <v>96.53</v>
      </c>
      <c r="E66" s="701">
        <v>118.87799127478027</v>
      </c>
      <c r="F66" s="701">
        <v>167.4</v>
      </c>
      <c r="G66" s="701">
        <v>10.7</v>
      </c>
      <c r="H66" s="269">
        <v>69.035093347019952</v>
      </c>
      <c r="I66" s="269">
        <v>30.964906652980044</v>
      </c>
      <c r="L66" s="156">
        <v>118.87799127478027</v>
      </c>
    </row>
    <row r="67" spans="1:40" ht="15" hidden="1">
      <c r="A67" s="266" t="s">
        <v>23</v>
      </c>
      <c r="B67" s="269">
        <v>300.72000000000003</v>
      </c>
      <c r="C67" s="269">
        <v>200.54</v>
      </c>
      <c r="D67" s="269">
        <v>100.18</v>
      </c>
      <c r="E67" s="701">
        <v>87.582410215482838</v>
      </c>
      <c r="F67" s="701">
        <v>125</v>
      </c>
      <c r="G67" s="701">
        <v>12.68</v>
      </c>
      <c r="H67" s="269">
        <v>66.686618781590852</v>
      </c>
      <c r="I67" s="269">
        <v>33.313381218409148</v>
      </c>
      <c r="L67" s="156">
        <v>87.582410215482838</v>
      </c>
    </row>
    <row r="68" spans="1:40" ht="15" hidden="1">
      <c r="A68" s="266" t="s">
        <v>24</v>
      </c>
      <c r="B68" s="269">
        <v>319.42</v>
      </c>
      <c r="C68" s="269">
        <v>224.06</v>
      </c>
      <c r="D68" s="269">
        <v>95.36</v>
      </c>
      <c r="E68" s="701">
        <v>78.781053784985289</v>
      </c>
      <c r="F68" s="701">
        <v>105.19</v>
      </c>
      <c r="G68" s="701">
        <v>16.73</v>
      </c>
      <c r="H68" s="269">
        <v>70.145889424582052</v>
      </c>
      <c r="I68" s="269">
        <v>29.854110575417941</v>
      </c>
      <c r="L68" s="156">
        <v>78.781053784985289</v>
      </c>
    </row>
    <row r="69" spans="1:40" ht="15" hidden="1">
      <c r="A69" s="266" t="s">
        <v>25</v>
      </c>
      <c r="B69" s="269">
        <v>271.56</v>
      </c>
      <c r="C69" s="269">
        <v>235.79</v>
      </c>
      <c r="D69" s="269">
        <v>35.770000000000003</v>
      </c>
      <c r="E69" s="701">
        <v>118.3252688172043</v>
      </c>
      <c r="F69" s="701">
        <v>134</v>
      </c>
      <c r="G69" s="701">
        <v>15</v>
      </c>
      <c r="H69" s="269">
        <v>86.827956989247312</v>
      </c>
      <c r="I69" s="269">
        <v>13.17204301075269</v>
      </c>
      <c r="L69" s="156">
        <v>118.3252688172043</v>
      </c>
    </row>
    <row r="70" spans="1:40" ht="15" hidden="1">
      <c r="A70" s="266" t="s">
        <v>26</v>
      </c>
      <c r="B70" s="269">
        <v>311.02999999999997</v>
      </c>
      <c r="C70" s="269">
        <v>230.53</v>
      </c>
      <c r="D70" s="269">
        <v>80.5</v>
      </c>
      <c r="E70" s="701">
        <v>86.635887213452094</v>
      </c>
      <c r="F70" s="701">
        <v>112</v>
      </c>
      <c r="G70" s="701">
        <v>14</v>
      </c>
      <c r="H70" s="269">
        <v>74.11825225862458</v>
      </c>
      <c r="I70" s="269">
        <v>25.881747741375431</v>
      </c>
      <c r="L70" s="156">
        <v>86.635887213452094</v>
      </c>
    </row>
    <row r="71" spans="1:40" ht="15" hidden="1">
      <c r="A71" s="266" t="s">
        <v>27</v>
      </c>
      <c r="B71" s="269">
        <v>308.82</v>
      </c>
      <c r="C71" s="269">
        <v>208.82</v>
      </c>
      <c r="D71" s="269">
        <v>100</v>
      </c>
      <c r="E71" s="701">
        <v>72.301580208535711</v>
      </c>
      <c r="F71" s="701">
        <v>100.7</v>
      </c>
      <c r="G71" s="701">
        <v>13</v>
      </c>
      <c r="H71" s="269">
        <v>67.618677546791005</v>
      </c>
      <c r="I71" s="269">
        <v>32.381322453208988</v>
      </c>
      <c r="L71" s="156">
        <v>72.301580208535711</v>
      </c>
    </row>
    <row r="72" spans="1:40" ht="15" hidden="1">
      <c r="A72" s="266" t="s">
        <v>28</v>
      </c>
      <c r="B72" s="269">
        <v>346.7</v>
      </c>
      <c r="C72" s="269">
        <v>221.7</v>
      </c>
      <c r="D72" s="269">
        <v>125</v>
      </c>
      <c r="E72" s="701">
        <v>55.838909720219206</v>
      </c>
      <c r="F72" s="701">
        <v>80.5</v>
      </c>
      <c r="G72" s="701">
        <v>12.1</v>
      </c>
      <c r="H72" s="269">
        <v>63.945774444764922</v>
      </c>
      <c r="I72" s="269">
        <v>36.054225555235078</v>
      </c>
      <c r="L72" s="156">
        <v>55.838909720219206</v>
      </c>
      <c r="AK72" s="157"/>
      <c r="AL72" s="158"/>
    </row>
    <row r="73" spans="1:40" ht="15" hidden="1">
      <c r="A73" s="266" t="s">
        <v>29</v>
      </c>
      <c r="B73" s="269">
        <v>410.65499999999997</v>
      </c>
      <c r="C73" s="269">
        <v>230.64500000000001</v>
      </c>
      <c r="D73" s="269">
        <v>180.01</v>
      </c>
      <c r="E73" s="701">
        <v>40.141455723173962</v>
      </c>
      <c r="F73" s="701">
        <v>60.7</v>
      </c>
      <c r="G73" s="701">
        <v>13.8</v>
      </c>
      <c r="H73" s="269">
        <v>56.165150795680077</v>
      </c>
      <c r="I73" s="269">
        <v>43.83484920431993</v>
      </c>
      <c r="L73" s="156">
        <v>40.141455723173962</v>
      </c>
    </row>
    <row r="74" spans="1:40" ht="15">
      <c r="A74" s="266" t="s">
        <v>43</v>
      </c>
      <c r="B74" s="269">
        <f>+B86</f>
        <v>173.9</v>
      </c>
      <c r="C74" s="269">
        <f t="shared" ref="C74:I74" si="4">+C86</f>
        <v>164.9</v>
      </c>
      <c r="D74" s="269">
        <f t="shared" si="4"/>
        <v>9</v>
      </c>
      <c r="E74" s="701">
        <f t="shared" si="4"/>
        <v>202</v>
      </c>
      <c r="F74" s="701">
        <f>+F86</f>
        <v>212</v>
      </c>
      <c r="G74" s="701">
        <f t="shared" si="4"/>
        <v>19</v>
      </c>
      <c r="H74" s="269">
        <f t="shared" si="4"/>
        <v>94.824611845888441</v>
      </c>
      <c r="I74" s="269">
        <f t="shared" si="4"/>
        <v>5.1753881541115581</v>
      </c>
      <c r="J74" s="157"/>
      <c r="K74" s="158"/>
      <c r="L74" s="156"/>
      <c r="M74" s="159"/>
      <c r="O74" s="123"/>
      <c r="P74" s="4"/>
      <c r="S74" s="157"/>
      <c r="T74" s="158"/>
      <c r="U74" s="158"/>
      <c r="V74" s="159"/>
      <c r="X74" s="123"/>
      <c r="Y74" s="4"/>
      <c r="AB74" s="157"/>
      <c r="AC74" s="158"/>
      <c r="AD74" s="158"/>
      <c r="AE74" s="159"/>
      <c r="AG74" s="123"/>
      <c r="AH74" s="4"/>
      <c r="AK74" s="157"/>
      <c r="AL74" s="158"/>
    </row>
    <row r="75" spans="1:40" ht="15" hidden="1">
      <c r="A75" s="266" t="s">
        <v>18</v>
      </c>
      <c r="B75" s="269">
        <v>351.27019999999999</v>
      </c>
      <c r="C75" s="269">
        <v>217.6942</v>
      </c>
      <c r="D75" s="269">
        <v>133.57599999999999</v>
      </c>
      <c r="E75" s="701">
        <v>34.904583594053804</v>
      </c>
      <c r="F75" s="701">
        <v>50.1</v>
      </c>
      <c r="G75" s="701">
        <v>10.14</v>
      </c>
      <c r="H75" s="269">
        <v>61.973432417552075</v>
      </c>
      <c r="I75" s="269">
        <v>38.026567582447932</v>
      </c>
      <c r="L75" s="156">
        <v>34.904583594053804</v>
      </c>
    </row>
    <row r="76" spans="1:40" ht="15" hidden="1">
      <c r="A76" s="266" t="s">
        <v>19</v>
      </c>
      <c r="B76" s="269">
        <v>215.11</v>
      </c>
      <c r="C76" s="269">
        <v>177.5</v>
      </c>
      <c r="D76" s="269">
        <v>37.61</v>
      </c>
      <c r="E76" s="701">
        <v>70.823635814234592</v>
      </c>
      <c r="F76" s="701">
        <v>84.15</v>
      </c>
      <c r="G76" s="701">
        <v>7.93</v>
      </c>
      <c r="H76" s="269">
        <v>82.515922086374403</v>
      </c>
      <c r="I76" s="269">
        <v>17.484077913625583</v>
      </c>
      <c r="L76" s="156">
        <v>70.823635814234592</v>
      </c>
    </row>
    <row r="77" spans="1:40" ht="15" hidden="1">
      <c r="A77" s="266" t="s">
        <v>20</v>
      </c>
      <c r="B77" s="269">
        <v>149.28</v>
      </c>
      <c r="C77" s="269">
        <v>134.43</v>
      </c>
      <c r="D77" s="269">
        <v>14.85</v>
      </c>
      <c r="E77" s="701">
        <v>87.23001406752411</v>
      </c>
      <c r="F77" s="701">
        <v>95.8</v>
      </c>
      <c r="G77" s="701">
        <v>9.65</v>
      </c>
      <c r="H77" s="269">
        <v>90.052250803858527</v>
      </c>
      <c r="I77" s="269">
        <v>9.9477491961414781</v>
      </c>
      <c r="L77" s="156">
        <v>87.23001406752411</v>
      </c>
    </row>
    <row r="78" spans="1:40" ht="15" hidden="1">
      <c r="A78" s="266" t="s">
        <v>21</v>
      </c>
      <c r="B78" s="269">
        <v>176.79</v>
      </c>
      <c r="C78" s="269">
        <v>157.79</v>
      </c>
      <c r="D78" s="269">
        <v>19</v>
      </c>
      <c r="E78" s="701">
        <v>101.56982861021551</v>
      </c>
      <c r="F78" s="701">
        <v>112</v>
      </c>
      <c r="G78" s="701">
        <v>14.95</v>
      </c>
      <c r="H78" s="269">
        <v>89.252785791051522</v>
      </c>
      <c r="I78" s="269">
        <v>10.747214208948471</v>
      </c>
      <c r="L78" s="156">
        <v>101.56982861021551</v>
      </c>
    </row>
    <row r="79" spans="1:40" ht="15" hidden="1">
      <c r="A79" s="266" t="s">
        <v>22</v>
      </c>
      <c r="B79" s="269">
        <v>156.56</v>
      </c>
      <c r="C79" s="269">
        <v>140.56</v>
      </c>
      <c r="D79" s="269">
        <v>16</v>
      </c>
      <c r="E79" s="701">
        <v>126.88007153806848</v>
      </c>
      <c r="F79" s="701">
        <v>139.9</v>
      </c>
      <c r="G79" s="701">
        <v>12.5</v>
      </c>
      <c r="H79" s="269">
        <v>89.780275932549827</v>
      </c>
      <c r="I79" s="269">
        <v>10.219724067450178</v>
      </c>
      <c r="L79" s="156">
        <v>126.88007153806848</v>
      </c>
    </row>
    <row r="80" spans="1:40" ht="14.25" hidden="1">
      <c r="A80" s="266" t="s">
        <v>23</v>
      </c>
      <c r="B80" s="269">
        <v>175.77</v>
      </c>
      <c r="C80" s="269">
        <v>159.77000000000001</v>
      </c>
      <c r="D80" s="269">
        <v>16</v>
      </c>
      <c r="E80" s="701">
        <v>140.35573306024921</v>
      </c>
      <c r="F80" s="701">
        <v>153.36000000000001</v>
      </c>
      <c r="G80" s="702">
        <v>10.5</v>
      </c>
      <c r="H80" s="269">
        <v>90.897195198270467</v>
      </c>
      <c r="I80" s="269">
        <v>9.1028048017295315</v>
      </c>
      <c r="J80" s="157"/>
      <c r="K80" s="158"/>
      <c r="L80" s="158">
        <v>140.35573306024921</v>
      </c>
      <c r="M80" s="159"/>
      <c r="O80" s="123"/>
      <c r="P80" s="4"/>
      <c r="S80" s="157"/>
      <c r="T80" s="158"/>
      <c r="U80" s="158"/>
      <c r="V80" s="159"/>
      <c r="X80" s="123"/>
      <c r="Y80" s="4"/>
      <c r="AB80" s="157"/>
      <c r="AC80" s="158"/>
      <c r="AD80" s="158"/>
      <c r="AE80" s="159"/>
      <c r="AG80" s="123"/>
      <c r="AH80" s="4"/>
      <c r="AK80" s="157"/>
      <c r="AL80" s="158"/>
      <c r="AM80" s="158"/>
      <c r="AN80" s="159"/>
    </row>
    <row r="81" spans="1:40" ht="15" hidden="1">
      <c r="A81" s="266" t="s">
        <v>24</v>
      </c>
      <c r="B81" s="269">
        <v>149.18</v>
      </c>
      <c r="C81" s="269">
        <v>135.18</v>
      </c>
      <c r="D81" s="269">
        <v>14</v>
      </c>
      <c r="E81" s="701">
        <v>183.65439066899</v>
      </c>
      <c r="F81" s="701">
        <v>201.9</v>
      </c>
      <c r="G81" s="701">
        <v>7.48</v>
      </c>
      <c r="H81" s="269">
        <v>90.615363989810973</v>
      </c>
      <c r="I81" s="269">
        <v>9.384636010189034</v>
      </c>
      <c r="L81" s="156">
        <v>183.65439066899049</v>
      </c>
      <c r="AH81" s="4"/>
      <c r="AK81" s="157"/>
      <c r="AL81" s="158"/>
      <c r="AM81" s="158"/>
      <c r="AN81" s="159"/>
    </row>
    <row r="82" spans="1:40" ht="15" hidden="1">
      <c r="A82" s="266" t="s">
        <v>25</v>
      </c>
      <c r="B82" s="269">
        <v>161.4</v>
      </c>
      <c r="C82" s="269">
        <v>147.4</v>
      </c>
      <c r="D82" s="269">
        <v>14</v>
      </c>
      <c r="E82" s="701">
        <v>141</v>
      </c>
      <c r="F82" s="701">
        <v>153.9</v>
      </c>
      <c r="G82" s="701">
        <v>8</v>
      </c>
      <c r="H82" s="269">
        <v>91.325898389095414</v>
      </c>
      <c r="I82" s="269">
        <v>8.6741016109045841</v>
      </c>
      <c r="L82" s="156">
        <v>183.65439066899049</v>
      </c>
      <c r="AH82" s="4"/>
      <c r="AK82" s="157"/>
      <c r="AL82" s="158"/>
      <c r="AM82" s="158"/>
      <c r="AN82" s="159"/>
    </row>
    <row r="83" spans="1:40" ht="15" hidden="1">
      <c r="A83" s="266" t="s">
        <v>26</v>
      </c>
      <c r="B83" s="269">
        <v>161.80000000000001</v>
      </c>
      <c r="C83" s="269">
        <v>146.80000000000001</v>
      </c>
      <c r="D83" s="269">
        <v>15</v>
      </c>
      <c r="E83" s="701">
        <v>163</v>
      </c>
      <c r="F83" s="701">
        <v>178</v>
      </c>
      <c r="G83" s="701">
        <v>15.8</v>
      </c>
      <c r="H83" s="269">
        <v>90.72929542645241</v>
      </c>
      <c r="I83" s="269">
        <v>9.2707045735475884</v>
      </c>
      <c r="L83" s="156">
        <v>183.65439066899049</v>
      </c>
      <c r="AH83" s="4"/>
      <c r="AK83" s="157"/>
      <c r="AL83" s="158"/>
      <c r="AM83" s="158"/>
      <c r="AN83" s="159"/>
    </row>
    <row r="84" spans="1:40" ht="15" hidden="1">
      <c r="A84" s="266" t="s">
        <v>27</v>
      </c>
      <c r="B84" s="269">
        <v>171.2</v>
      </c>
      <c r="C84" s="269">
        <v>165.2</v>
      </c>
      <c r="D84" s="269">
        <v>6</v>
      </c>
      <c r="E84" s="701">
        <v>79.792289719626169</v>
      </c>
      <c r="F84" s="701">
        <v>82.2</v>
      </c>
      <c r="G84" s="701">
        <v>13.5</v>
      </c>
      <c r="H84" s="269">
        <v>96.495327102803742</v>
      </c>
      <c r="I84" s="269">
        <v>3.504672897196262</v>
      </c>
      <c r="L84" s="156"/>
      <c r="AH84" s="4"/>
      <c r="AK84" s="157"/>
      <c r="AL84" s="158"/>
      <c r="AM84" s="158"/>
      <c r="AN84" s="159"/>
    </row>
    <row r="85" spans="1:40" ht="14.25" hidden="1">
      <c r="A85" s="266" t="s">
        <v>28</v>
      </c>
      <c r="B85" s="269">
        <v>168.9</v>
      </c>
      <c r="C85" s="269">
        <v>160.4</v>
      </c>
      <c r="D85" s="269">
        <v>8.5</v>
      </c>
      <c r="E85" s="701">
        <v>200.9</v>
      </c>
      <c r="F85" s="701">
        <v>211</v>
      </c>
      <c r="G85" s="701">
        <v>9.65</v>
      </c>
      <c r="H85" s="269">
        <v>94.96743635287153</v>
      </c>
      <c r="I85" s="269">
        <v>5.0325636471284785</v>
      </c>
    </row>
    <row r="86" spans="1:40" ht="14.25" hidden="1">
      <c r="A86" s="266" t="s">
        <v>29</v>
      </c>
      <c r="B86" s="269">
        <v>173.9</v>
      </c>
      <c r="C86" s="269">
        <v>164.9</v>
      </c>
      <c r="D86" s="269">
        <v>9</v>
      </c>
      <c r="E86" s="701">
        <v>202</v>
      </c>
      <c r="F86" s="701">
        <v>212</v>
      </c>
      <c r="G86" s="701">
        <v>19</v>
      </c>
      <c r="H86" s="269">
        <v>94.824611845888441</v>
      </c>
      <c r="I86" s="269">
        <v>5.1753881541115581</v>
      </c>
    </row>
    <row r="87" spans="1:40" ht="14.25">
      <c r="A87" s="266" t="s">
        <v>48</v>
      </c>
      <c r="B87" s="269">
        <v>309.7</v>
      </c>
      <c r="C87" s="269">
        <v>269.7</v>
      </c>
      <c r="D87" s="269">
        <v>40</v>
      </c>
      <c r="E87" s="701">
        <v>433.6</v>
      </c>
      <c r="F87" s="701">
        <v>495.9</v>
      </c>
      <c r="G87" s="701">
        <v>13.9</v>
      </c>
      <c r="H87" s="269">
        <v>87.084275104940261</v>
      </c>
      <c r="I87" s="269">
        <v>12.915724895059736</v>
      </c>
    </row>
    <row r="88" spans="1:40" ht="14.25" hidden="1">
      <c r="A88" s="266" t="s">
        <v>18</v>
      </c>
      <c r="B88" s="269">
        <v>159.61799999999999</v>
      </c>
      <c r="C88" s="269">
        <v>146.018</v>
      </c>
      <c r="D88" s="269">
        <v>13.6</v>
      </c>
      <c r="E88" s="701">
        <v>210.5</v>
      </c>
      <c r="F88" s="701">
        <v>228.8</v>
      </c>
      <c r="G88" s="701">
        <v>14.4</v>
      </c>
      <c r="H88" s="269">
        <v>91.479657682717502</v>
      </c>
      <c r="I88" s="269">
        <v>8.5203423172825108</v>
      </c>
    </row>
    <row r="89" spans="1:40" ht="14.25" hidden="1">
      <c r="A89" s="266" t="s">
        <v>19</v>
      </c>
      <c r="B89" s="269">
        <v>141.94939999999997</v>
      </c>
      <c r="C89" s="269">
        <v>125.94939999999995</v>
      </c>
      <c r="D89" s="269">
        <v>16</v>
      </c>
      <c r="E89" s="701">
        <v>244.31068986554362</v>
      </c>
      <c r="F89" s="701">
        <v>273.60000000000002</v>
      </c>
      <c r="G89" s="701">
        <v>13.75</v>
      </c>
      <c r="H89" s="269">
        <v>88.728377858589042</v>
      </c>
      <c r="I89" s="269">
        <v>11.271622141410957</v>
      </c>
    </row>
    <row r="90" spans="1:40" ht="14.25" hidden="1">
      <c r="A90" s="266" t="s">
        <v>20</v>
      </c>
      <c r="B90" s="269">
        <v>137</v>
      </c>
      <c r="C90" s="269">
        <v>122</v>
      </c>
      <c r="D90" s="269">
        <v>15</v>
      </c>
      <c r="E90" s="701">
        <v>324</v>
      </c>
      <c r="F90" s="701">
        <v>361.5</v>
      </c>
      <c r="G90" s="701">
        <v>15.3</v>
      </c>
      <c r="H90" s="269">
        <v>89.051094890510953</v>
      </c>
      <c r="I90" s="269">
        <v>10.948905109489052</v>
      </c>
    </row>
    <row r="91" spans="1:40" ht="14.25" hidden="1">
      <c r="A91" s="266" t="s">
        <v>21</v>
      </c>
      <c r="B91" s="269">
        <v>194.5</v>
      </c>
      <c r="C91" s="269">
        <v>175.5</v>
      </c>
      <c r="D91" s="269">
        <v>19</v>
      </c>
      <c r="E91" s="701">
        <v>502.47120822622105</v>
      </c>
      <c r="F91" s="701">
        <v>555.29999999999995</v>
      </c>
      <c r="G91" s="701">
        <v>14.5</v>
      </c>
      <c r="H91" s="269">
        <v>90.231362467866333</v>
      </c>
      <c r="I91" s="269">
        <v>9.7686375321336758</v>
      </c>
    </row>
    <row r="92" spans="1:40" ht="14.25" hidden="1">
      <c r="A92" s="266" t="s">
        <v>22</v>
      </c>
      <c r="B92" s="269">
        <v>183</v>
      </c>
      <c r="C92" s="269">
        <v>164</v>
      </c>
      <c r="D92" s="269">
        <v>19</v>
      </c>
      <c r="E92" s="701">
        <v>645.87693989071033</v>
      </c>
      <c r="F92" s="701">
        <v>719.3</v>
      </c>
      <c r="G92" s="701">
        <v>12.12</v>
      </c>
      <c r="H92" s="269">
        <v>89.617486338797818</v>
      </c>
      <c r="I92" s="269">
        <v>10.382513661202186</v>
      </c>
    </row>
    <row r="93" spans="1:40" ht="14.25" hidden="1">
      <c r="A93" s="266" t="s">
        <v>23</v>
      </c>
      <c r="B93" s="269">
        <v>190.6</v>
      </c>
      <c r="C93" s="269">
        <v>164.6</v>
      </c>
      <c r="D93" s="269">
        <v>26</v>
      </c>
      <c r="E93" s="701">
        <v>608.40367261280164</v>
      </c>
      <c r="F93" s="701">
        <v>701.9</v>
      </c>
      <c r="G93" s="701">
        <v>16.5</v>
      </c>
      <c r="H93" s="269">
        <v>86.358866736621195</v>
      </c>
      <c r="I93" s="269">
        <v>13.641133263378805</v>
      </c>
    </row>
    <row r="94" spans="1:40" ht="14.25" hidden="1">
      <c r="A94" s="266" t="s">
        <v>24</v>
      </c>
      <c r="B94" s="269">
        <v>174.4</v>
      </c>
      <c r="C94" s="269">
        <v>162.6</v>
      </c>
      <c r="D94" s="269">
        <v>11.8</v>
      </c>
      <c r="E94" s="701">
        <v>679.37912844036691</v>
      </c>
      <c r="F94" s="701">
        <v>728</v>
      </c>
      <c r="G94" s="701">
        <v>9.4</v>
      </c>
      <c r="H94" s="269">
        <v>93.233944954128432</v>
      </c>
      <c r="I94" s="269">
        <v>6.7660550458715596</v>
      </c>
    </row>
    <row r="95" spans="1:40" ht="14.25" hidden="1">
      <c r="A95" s="266" t="s">
        <v>25</v>
      </c>
      <c r="B95" s="269">
        <v>194.78639999999996</v>
      </c>
      <c r="C95" s="269">
        <v>174.78639999999996</v>
      </c>
      <c r="D95" s="269">
        <v>20</v>
      </c>
      <c r="E95" s="701">
        <v>536.75965467815001</v>
      </c>
      <c r="F95" s="701">
        <v>597</v>
      </c>
      <c r="G95" s="701">
        <v>10.3</v>
      </c>
      <c r="H95" s="269">
        <v>89.732342709757972</v>
      </c>
      <c r="I95" s="269">
        <v>10.267657290242031</v>
      </c>
    </row>
    <row r="96" spans="1:40" ht="14.25" hidden="1">
      <c r="A96" s="266" t="s">
        <v>26</v>
      </c>
      <c r="B96" s="269">
        <v>220.91</v>
      </c>
      <c r="C96" s="269">
        <v>196.91</v>
      </c>
      <c r="D96" s="269">
        <v>24</v>
      </c>
      <c r="E96" s="701">
        <v>472.27776017382638</v>
      </c>
      <c r="F96" s="701">
        <v>528</v>
      </c>
      <c r="G96" s="701">
        <v>15.1</v>
      </c>
      <c r="H96" s="269">
        <v>89.135847177583628</v>
      </c>
      <c r="I96" s="269">
        <v>10.864152822416369</v>
      </c>
    </row>
    <row r="97" spans="1:9" ht="14.25" hidden="1">
      <c r="A97" s="266" t="s">
        <v>27</v>
      </c>
      <c r="B97" s="269">
        <v>215.46</v>
      </c>
      <c r="C97" s="269">
        <v>200.46</v>
      </c>
      <c r="D97" s="269">
        <v>15</v>
      </c>
      <c r="E97" s="701">
        <v>541.4</v>
      </c>
      <c r="F97" s="701">
        <v>581.5</v>
      </c>
      <c r="G97" s="701">
        <v>5.18</v>
      </c>
      <c r="H97" s="269">
        <v>93.038150932887774</v>
      </c>
      <c r="I97" s="269">
        <v>6.9618490671122242</v>
      </c>
    </row>
    <row r="98" spans="1:9" ht="14.25" hidden="1">
      <c r="A98" s="266" t="s">
        <v>28</v>
      </c>
      <c r="B98" s="269">
        <v>285.613</v>
      </c>
      <c r="C98" s="269">
        <v>258</v>
      </c>
      <c r="D98" s="269">
        <v>27.613</v>
      </c>
      <c r="E98" s="701">
        <v>461</v>
      </c>
      <c r="F98" s="701">
        <v>510</v>
      </c>
      <c r="G98" s="701">
        <v>7</v>
      </c>
      <c r="H98" s="269">
        <v>90.33202270204788</v>
      </c>
      <c r="I98" s="269">
        <v>9.6679772979521239</v>
      </c>
    </row>
    <row r="99" spans="1:9" ht="14.25" hidden="1">
      <c r="A99" s="266" t="s">
        <v>29</v>
      </c>
      <c r="B99" s="269">
        <v>309.7</v>
      </c>
      <c r="C99" s="269">
        <v>269.7</v>
      </c>
      <c r="D99" s="269">
        <v>40</v>
      </c>
      <c r="E99" s="701">
        <v>433.6</v>
      </c>
      <c r="F99" s="701">
        <v>495.9</v>
      </c>
      <c r="G99" s="701">
        <v>13.9</v>
      </c>
      <c r="H99" s="269">
        <v>87.084275104940261</v>
      </c>
      <c r="I99" s="269">
        <v>12.915724895059736</v>
      </c>
    </row>
    <row r="100" spans="1:9" ht="14.25">
      <c r="A100" s="266" t="s">
        <v>1024</v>
      </c>
      <c r="B100" s="269">
        <v>250.64</v>
      </c>
      <c r="C100" s="269">
        <v>159.44</v>
      </c>
      <c r="D100" s="269">
        <v>91.2</v>
      </c>
      <c r="E100" s="701">
        <v>487.86322249862133</v>
      </c>
      <c r="F100" s="701">
        <v>759.02259369043225</v>
      </c>
      <c r="G100" s="701">
        <v>13.810041108025523</v>
      </c>
      <c r="H100" s="269">
        <v>63.613150335142045</v>
      </c>
      <c r="I100" s="269">
        <v>36.386849664857969</v>
      </c>
    </row>
    <row r="101" spans="1:9" ht="14.25" hidden="1">
      <c r="A101" s="266" t="s">
        <v>18</v>
      </c>
      <c r="B101" s="269">
        <v>284.8</v>
      </c>
      <c r="C101" s="269">
        <v>227.8</v>
      </c>
      <c r="D101" s="269">
        <v>57</v>
      </c>
      <c r="E101" s="701">
        <v>461</v>
      </c>
      <c r="F101" s="701">
        <v>573</v>
      </c>
      <c r="G101" s="701">
        <v>12.6</v>
      </c>
      <c r="H101" s="269">
        <v>79.985955056179776</v>
      </c>
      <c r="I101" s="269">
        <v>20.014044943820224</v>
      </c>
    </row>
    <row r="102" spans="1:9" ht="14.25" hidden="1">
      <c r="A102" s="266" t="s">
        <v>19</v>
      </c>
      <c r="B102" s="269">
        <v>319.3</v>
      </c>
      <c r="C102" s="269">
        <v>219.3</v>
      </c>
      <c r="D102" s="269">
        <v>100</v>
      </c>
      <c r="E102" s="701">
        <v>356.3</v>
      </c>
      <c r="F102" s="701">
        <v>514</v>
      </c>
      <c r="G102" s="701">
        <v>10.5</v>
      </c>
      <c r="H102" s="269">
        <v>68.681490761039782</v>
      </c>
      <c r="I102" s="269">
        <v>31.318509238960225</v>
      </c>
    </row>
    <row r="103" spans="1:9" ht="14.25" hidden="1">
      <c r="A103" s="266" t="s">
        <v>20</v>
      </c>
      <c r="B103" s="269">
        <v>313.39999999999998</v>
      </c>
      <c r="C103" s="269">
        <v>203.4</v>
      </c>
      <c r="D103" s="269">
        <v>110</v>
      </c>
      <c r="E103" s="701">
        <v>396.24090619017238</v>
      </c>
      <c r="F103" s="701">
        <v>603.5</v>
      </c>
      <c r="G103" s="701">
        <v>13</v>
      </c>
      <c r="H103" s="269">
        <v>64.901084875558396</v>
      </c>
      <c r="I103" s="269">
        <v>35.098915124441611</v>
      </c>
    </row>
    <row r="104" spans="1:9" ht="14.25" hidden="1">
      <c r="A104" s="266" t="s">
        <v>21</v>
      </c>
      <c r="B104" s="269">
        <v>308.49</v>
      </c>
      <c r="C104" s="269">
        <v>213.49</v>
      </c>
      <c r="D104" s="269">
        <v>95</v>
      </c>
      <c r="E104" s="701">
        <v>414</v>
      </c>
      <c r="F104" s="701">
        <v>592</v>
      </c>
      <c r="G104" s="701">
        <v>15.6</v>
      </c>
      <c r="H104" s="269">
        <v>69.204836461473633</v>
      </c>
      <c r="I104" s="269">
        <v>30.795163538526371</v>
      </c>
    </row>
    <row r="105" spans="1:9" ht="14.25" hidden="1">
      <c r="A105" s="266" t="s">
        <v>22</v>
      </c>
      <c r="B105" s="269">
        <v>336.49</v>
      </c>
      <c r="C105" s="269">
        <v>201.49</v>
      </c>
      <c r="D105" s="269">
        <v>135</v>
      </c>
      <c r="E105" s="701">
        <v>390.23790669789537</v>
      </c>
      <c r="F105" s="701">
        <v>643.20000000000005</v>
      </c>
      <c r="G105" s="701">
        <v>12.687297961294771</v>
      </c>
      <c r="H105" s="269">
        <v>59.879936996641803</v>
      </c>
      <c r="I105" s="269">
        <v>40.120063003358197</v>
      </c>
    </row>
    <row r="106" spans="1:9" ht="14.25" hidden="1">
      <c r="A106" s="266" t="s">
        <v>23</v>
      </c>
      <c r="B106" s="269">
        <v>289.01</v>
      </c>
      <c r="C106" s="269">
        <v>214.94</v>
      </c>
      <c r="D106" s="269">
        <v>74.069999999999993</v>
      </c>
      <c r="E106" s="701">
        <v>459.25192899899656</v>
      </c>
      <c r="F106" s="701">
        <v>612</v>
      </c>
      <c r="G106" s="701">
        <v>16</v>
      </c>
      <c r="H106" s="269">
        <v>74.371129026677281</v>
      </c>
      <c r="I106" s="269">
        <v>25.628870973322719</v>
      </c>
    </row>
    <row r="107" spans="1:9" ht="14.25" hidden="1">
      <c r="A107" s="266" t="s">
        <v>24</v>
      </c>
      <c r="B107" s="269">
        <v>220.64780000000002</v>
      </c>
      <c r="C107" s="269">
        <v>200.93989999999997</v>
      </c>
      <c r="D107" s="269">
        <v>19.707900000000066</v>
      </c>
      <c r="E107" s="701">
        <v>593.4</v>
      </c>
      <c r="F107" s="701">
        <v>650.59444012038057</v>
      </c>
      <c r="G107" s="701">
        <v>10.498754306648603</v>
      </c>
      <c r="H107" s="269">
        <v>91.068163833947111</v>
      </c>
      <c r="I107" s="269">
        <v>8.9318361660528982</v>
      </c>
    </row>
    <row r="108" spans="1:9" ht="14.25" hidden="1">
      <c r="A108" s="266" t="s">
        <v>25</v>
      </c>
      <c r="B108" s="269">
        <f>D108+C108</f>
        <v>245.95</v>
      </c>
      <c r="C108" s="269">
        <v>195.95</v>
      </c>
      <c r="D108" s="269">
        <v>50</v>
      </c>
      <c r="E108" s="701">
        <f t="shared" ref="E108:E113" si="5">(G108*D108+F108*C108)/(C108+D108)</f>
        <v>575.97818666504349</v>
      </c>
      <c r="F108" s="701">
        <v>719.12138305826716</v>
      </c>
      <c r="G108" s="701">
        <v>15</v>
      </c>
      <c r="H108" s="269">
        <f t="shared" ref="H108:H113" si="6">C108/B108*100</f>
        <v>79.670664769262046</v>
      </c>
      <c r="I108" s="269">
        <f t="shared" ref="I108:I113" si="7">D108/B108*100</f>
        <v>20.329335230737954</v>
      </c>
    </row>
    <row r="109" spans="1:9" ht="14.25" hidden="1">
      <c r="A109" s="266" t="s">
        <v>26</v>
      </c>
      <c r="B109" s="269">
        <f>D109+C109</f>
        <v>197.78</v>
      </c>
      <c r="C109" s="269">
        <v>175.96</v>
      </c>
      <c r="D109" s="269">
        <v>21.82</v>
      </c>
      <c r="E109" s="701">
        <f t="shared" si="5"/>
        <v>644.54937720592727</v>
      </c>
      <c r="F109" s="701">
        <v>722.74094012155206</v>
      </c>
      <c r="G109" s="701">
        <v>14</v>
      </c>
      <c r="H109" s="269">
        <f t="shared" si="6"/>
        <v>88.967539690565275</v>
      </c>
      <c r="I109" s="269">
        <f t="shared" si="7"/>
        <v>11.032460309434725</v>
      </c>
    </row>
    <row r="110" spans="1:9" ht="14.25" hidden="1">
      <c r="A110" s="266" t="s">
        <v>27</v>
      </c>
      <c r="B110" s="269">
        <v>213.33999999999997</v>
      </c>
      <c r="C110" s="269">
        <v>172.64</v>
      </c>
      <c r="D110" s="269">
        <v>40.700000000000003</v>
      </c>
      <c r="E110" s="701">
        <f t="shared" si="5"/>
        <v>591.34290770678047</v>
      </c>
      <c r="F110" s="701">
        <v>727.70225129376411</v>
      </c>
      <c r="G110" s="701">
        <v>12.938065523565122</v>
      </c>
      <c r="H110" s="269">
        <f t="shared" si="6"/>
        <v>80.922471172775857</v>
      </c>
      <c r="I110" s="269">
        <f t="shared" si="7"/>
        <v>19.077528827224153</v>
      </c>
    </row>
    <row r="111" spans="1:9" ht="14.25" hidden="1">
      <c r="A111" s="266" t="s">
        <v>28</v>
      </c>
      <c r="B111" s="269">
        <v>204.28</v>
      </c>
      <c r="C111" s="269">
        <v>169.44</v>
      </c>
      <c r="D111" s="269">
        <v>34.840000000000003</v>
      </c>
      <c r="E111" s="701">
        <f t="shared" si="5"/>
        <v>608.69188519878401</v>
      </c>
      <c r="F111" s="701">
        <v>730.14906933668317</v>
      </c>
      <c r="G111" s="701">
        <v>18</v>
      </c>
      <c r="H111" s="269">
        <f t="shared" si="6"/>
        <v>82.944977481887605</v>
      </c>
      <c r="I111" s="269">
        <f t="shared" si="7"/>
        <v>17.055022518112398</v>
      </c>
    </row>
    <row r="112" spans="1:9" ht="14.25" hidden="1">
      <c r="A112" s="266" t="s">
        <v>29</v>
      </c>
      <c r="B112" s="269">
        <v>250.64</v>
      </c>
      <c r="C112" s="269">
        <v>159.44</v>
      </c>
      <c r="D112" s="269">
        <v>91.2</v>
      </c>
      <c r="E112" s="701">
        <f t="shared" si="5"/>
        <v>487.86322249862133</v>
      </c>
      <c r="F112" s="701">
        <v>759.02259369043225</v>
      </c>
      <c r="G112" s="701">
        <v>13.810041108025523</v>
      </c>
      <c r="H112" s="269">
        <f t="shared" si="6"/>
        <v>63.613150335142045</v>
      </c>
      <c r="I112" s="269">
        <f t="shared" si="7"/>
        <v>36.386849664857969</v>
      </c>
    </row>
    <row r="113" spans="1:16" ht="14.25">
      <c r="A113" s="266" t="s">
        <v>1288</v>
      </c>
      <c r="B113" s="269">
        <f>D113+C113</f>
        <v>324.64</v>
      </c>
      <c r="C113" s="269">
        <v>204.64</v>
      </c>
      <c r="D113" s="269">
        <v>120</v>
      </c>
      <c r="E113" s="701">
        <f t="shared" si="5"/>
        <v>464.84398426582675</v>
      </c>
      <c r="F113" s="701">
        <v>729.94991718167512</v>
      </c>
      <c r="G113" s="701">
        <v>12.75</v>
      </c>
      <c r="H113" s="269">
        <f t="shared" si="6"/>
        <v>63.035978314440612</v>
      </c>
      <c r="I113" s="269">
        <f t="shared" si="7"/>
        <v>36.964021685559388</v>
      </c>
    </row>
    <row r="114" spans="1:16" ht="15" hidden="1">
      <c r="A114" s="266" t="s">
        <v>18</v>
      </c>
      <c r="B114" s="3">
        <f>+C114+D114</f>
        <v>284.44450000000001</v>
      </c>
      <c r="C114" s="3">
        <v>159.44450000000001</v>
      </c>
      <c r="D114" s="3">
        <v>125</v>
      </c>
      <c r="E114" s="703">
        <f t="shared" ref="E114:E119" si="8">(G114*D114+F114*C114)/(C114+D114)</f>
        <v>429.8863272276825</v>
      </c>
      <c r="F114" s="703">
        <v>755.92950152005574</v>
      </c>
      <c r="G114" s="703">
        <v>14</v>
      </c>
      <c r="H114" s="3">
        <f t="shared" ref="H114:H119" si="9">C114/B114*100</f>
        <v>56.054696083067171</v>
      </c>
      <c r="I114" s="3">
        <f t="shared" ref="I114:I119" si="10">D114/B114*100</f>
        <v>43.945303916932829</v>
      </c>
    </row>
    <row r="115" spans="1:16" ht="15" hidden="1">
      <c r="A115" s="266" t="s">
        <v>19</v>
      </c>
      <c r="B115" s="3">
        <f t="shared" ref="B115:B120" si="11">D115+C115</f>
        <v>287.44450000000001</v>
      </c>
      <c r="C115" s="3">
        <v>142.44450000000001</v>
      </c>
      <c r="D115" s="3">
        <v>145</v>
      </c>
      <c r="E115" s="703">
        <f t="shared" si="8"/>
        <v>404.40791697401494</v>
      </c>
      <c r="F115" s="703">
        <v>800.37333037820542</v>
      </c>
      <c r="G115" s="703">
        <v>15.421052631578947</v>
      </c>
      <c r="H115" s="3">
        <f t="shared" si="9"/>
        <v>49.555479405589601</v>
      </c>
      <c r="I115" s="3">
        <f t="shared" si="10"/>
        <v>50.444520594410406</v>
      </c>
    </row>
    <row r="116" spans="1:16" ht="15" hidden="1">
      <c r="A116" s="266" t="s">
        <v>20</v>
      </c>
      <c r="B116" s="3">
        <f t="shared" si="11"/>
        <v>276.44450000000006</v>
      </c>
      <c r="C116" s="3">
        <v>136.44449999999998</v>
      </c>
      <c r="D116" s="3">
        <v>140.00000000000006</v>
      </c>
      <c r="E116" s="703">
        <f t="shared" si="8"/>
        <v>400.95049911128575</v>
      </c>
      <c r="F116" s="703">
        <v>799.01029540633647</v>
      </c>
      <c r="G116" s="703">
        <v>13</v>
      </c>
      <c r="H116" s="3">
        <f t="shared" si="9"/>
        <v>49.356923360746897</v>
      </c>
      <c r="I116" s="3">
        <f t="shared" si="10"/>
        <v>50.643076639253096</v>
      </c>
    </row>
    <row r="117" spans="1:16" ht="15" hidden="1">
      <c r="A117" s="266" t="s">
        <v>21</v>
      </c>
      <c r="B117" s="3">
        <f t="shared" si="11"/>
        <v>271.44050000000004</v>
      </c>
      <c r="C117" s="3">
        <v>131.44449999999998</v>
      </c>
      <c r="D117" s="3">
        <v>139.99600000000007</v>
      </c>
      <c r="E117" s="703">
        <f t="shared" si="8"/>
        <v>399.040111921397</v>
      </c>
      <c r="F117" s="703">
        <v>807</v>
      </c>
      <c r="G117" s="703">
        <v>16</v>
      </c>
      <c r="H117" s="3">
        <f t="shared" si="9"/>
        <v>48.424792910416812</v>
      </c>
      <c r="I117" s="3">
        <f t="shared" si="10"/>
        <v>51.575207089583188</v>
      </c>
      <c r="J117" s="36"/>
      <c r="K117" s="36"/>
      <c r="L117" s="36"/>
      <c r="M117" s="36"/>
      <c r="N117" s="36"/>
      <c r="O117" s="36"/>
      <c r="P117" s="36"/>
    </row>
    <row r="118" spans="1:16" ht="15" hidden="1">
      <c r="A118" s="266" t="s">
        <v>22</v>
      </c>
      <c r="B118" s="3">
        <f t="shared" si="11"/>
        <v>263.14999999999998</v>
      </c>
      <c r="C118" s="3">
        <v>119.64</v>
      </c>
      <c r="D118" s="3">
        <v>143.51</v>
      </c>
      <c r="E118" s="703">
        <f t="shared" si="8"/>
        <v>387.00192049828354</v>
      </c>
      <c r="F118" s="703">
        <v>829.09221963307493</v>
      </c>
      <c r="G118" s="703">
        <v>18.444444444444443</v>
      </c>
      <c r="H118" s="3">
        <f t="shared" si="9"/>
        <v>45.464563936918111</v>
      </c>
      <c r="I118" s="3">
        <f t="shared" si="10"/>
        <v>54.535436063081896</v>
      </c>
      <c r="J118" s="36"/>
      <c r="K118" s="36"/>
      <c r="L118" s="36"/>
      <c r="M118" s="36"/>
      <c r="N118" s="36"/>
      <c r="O118" s="36"/>
      <c r="P118" s="36"/>
    </row>
    <row r="119" spans="1:16" ht="15" hidden="1">
      <c r="A119" s="266" t="s">
        <v>23</v>
      </c>
      <c r="B119" s="3">
        <f t="shared" si="11"/>
        <v>273.52</v>
      </c>
      <c r="C119" s="3">
        <v>145.93</v>
      </c>
      <c r="D119" s="3">
        <v>127.59</v>
      </c>
      <c r="E119" s="703">
        <f t="shared" si="8"/>
        <v>449.91933652975712</v>
      </c>
      <c r="F119" s="703">
        <v>828.91653711335903</v>
      </c>
      <c r="G119" s="703">
        <v>16.444444444444443</v>
      </c>
      <c r="H119" s="3">
        <f t="shared" si="9"/>
        <v>53.352588476162623</v>
      </c>
      <c r="I119" s="3">
        <f t="shared" si="10"/>
        <v>46.647411523837384</v>
      </c>
      <c r="J119" s="36"/>
      <c r="K119" s="36"/>
      <c r="L119" s="36"/>
      <c r="M119" s="36"/>
      <c r="N119" s="36"/>
      <c r="O119" s="36"/>
      <c r="P119" s="36"/>
    </row>
    <row r="120" spans="1:16" ht="15" hidden="1">
      <c r="A120" s="266" t="s">
        <v>24</v>
      </c>
      <c r="B120" s="3">
        <f t="shared" si="11"/>
        <v>185.99</v>
      </c>
      <c r="C120" s="3">
        <v>165.99</v>
      </c>
      <c r="D120" s="3">
        <v>20</v>
      </c>
      <c r="E120" s="703">
        <f t="shared" ref="E120:E126" si="12">(G120*D120+F120*C120)/(C120+D120)</f>
        <v>643.10850126834157</v>
      </c>
      <c r="F120" s="703">
        <v>719.33589162409714</v>
      </c>
      <c r="G120" s="703">
        <v>10.459275010747406</v>
      </c>
      <c r="H120" s="3">
        <f t="shared" ref="H120:H126" si="13">C120/B120*100</f>
        <v>89.246733695359964</v>
      </c>
      <c r="I120" s="3">
        <f t="shared" ref="I120:I126" si="14">D120/B120*100</f>
        <v>10.753266304640034</v>
      </c>
      <c r="J120" s="36"/>
      <c r="K120" s="36"/>
      <c r="L120" s="36"/>
      <c r="M120" s="36"/>
      <c r="N120" s="36"/>
      <c r="O120" s="36"/>
      <c r="P120" s="36"/>
    </row>
    <row r="121" spans="1:16" ht="15" hidden="1">
      <c r="A121" s="266" t="s">
        <v>25</v>
      </c>
      <c r="B121" s="3">
        <f>D121+C121</f>
        <v>185.99</v>
      </c>
      <c r="C121" s="3">
        <v>165.99</v>
      </c>
      <c r="D121" s="3">
        <v>20</v>
      </c>
      <c r="E121" s="703">
        <f t="shared" si="12"/>
        <v>631.40663894142062</v>
      </c>
      <c r="F121" s="703">
        <v>705.87555425357641</v>
      </c>
      <c r="G121" s="703">
        <v>13.351876308182996</v>
      </c>
      <c r="H121" s="3">
        <f t="shared" si="13"/>
        <v>89.246733695359964</v>
      </c>
      <c r="I121" s="3">
        <f t="shared" si="14"/>
        <v>10.753266304640034</v>
      </c>
      <c r="J121" s="36"/>
      <c r="K121" s="36"/>
      <c r="L121" s="36"/>
      <c r="M121" s="36"/>
      <c r="N121" s="36"/>
      <c r="O121" s="36"/>
      <c r="P121" s="36"/>
    </row>
    <row r="122" spans="1:16" ht="15" hidden="1">
      <c r="A122" s="266" t="s">
        <v>26</v>
      </c>
      <c r="B122" s="3">
        <f>D122+C122</f>
        <v>180.04000000000002</v>
      </c>
      <c r="C122" s="3">
        <v>168.24</v>
      </c>
      <c r="D122" s="3">
        <v>11.8</v>
      </c>
      <c r="E122" s="703">
        <f t="shared" si="12"/>
        <v>666.87435097387811</v>
      </c>
      <c r="F122" s="703">
        <v>712.34606867440243</v>
      </c>
      <c r="G122" s="703">
        <v>18.555555555555557</v>
      </c>
      <c r="H122" s="3">
        <f t="shared" si="13"/>
        <v>93.445900910908691</v>
      </c>
      <c r="I122" s="3">
        <f t="shared" si="14"/>
        <v>6.5540990890913129</v>
      </c>
      <c r="J122" s="36"/>
      <c r="K122" s="36"/>
      <c r="L122" s="36"/>
      <c r="M122" s="36"/>
      <c r="N122" s="36"/>
      <c r="O122" s="36"/>
      <c r="P122" s="36"/>
    </row>
    <row r="123" spans="1:16" ht="15" hidden="1">
      <c r="A123" s="266" t="s">
        <v>27</v>
      </c>
      <c r="B123" s="3">
        <f>D123+C123</f>
        <v>220.91720000000001</v>
      </c>
      <c r="C123" s="3">
        <v>172.3982</v>
      </c>
      <c r="D123" s="3">
        <v>48.518999999999998</v>
      </c>
      <c r="E123" s="703">
        <f t="shared" si="12"/>
        <v>564.0269200152062</v>
      </c>
      <c r="F123" s="703">
        <v>717.76316318414467</v>
      </c>
      <c r="G123" s="703">
        <v>17.769750718903968</v>
      </c>
      <c r="H123" s="3">
        <f t="shared" si="13"/>
        <v>78.037472863136045</v>
      </c>
      <c r="I123" s="3">
        <f t="shared" si="14"/>
        <v>21.962527136863947</v>
      </c>
      <c r="J123" s="36"/>
      <c r="K123" s="36"/>
      <c r="L123" s="36"/>
      <c r="M123" s="36"/>
      <c r="N123" s="36"/>
      <c r="O123" s="36"/>
      <c r="P123" s="36"/>
    </row>
    <row r="124" spans="1:16" ht="15" hidden="1">
      <c r="A124" s="266" t="s">
        <v>28</v>
      </c>
      <c r="B124" s="3">
        <f>D124+C124</f>
        <v>298.89</v>
      </c>
      <c r="C124" s="3">
        <v>162.4</v>
      </c>
      <c r="D124" s="3">
        <v>136.49</v>
      </c>
      <c r="E124" s="703">
        <f t="shared" si="12"/>
        <v>403.88811813750362</v>
      </c>
      <c r="F124" s="703">
        <v>730.08439873457667</v>
      </c>
      <c r="G124" s="703">
        <v>15.769750718903968</v>
      </c>
      <c r="H124" s="3">
        <f t="shared" si="13"/>
        <v>54.334370504198873</v>
      </c>
      <c r="I124" s="3">
        <f t="shared" si="14"/>
        <v>45.665629495801134</v>
      </c>
      <c r="J124" s="36"/>
      <c r="K124" s="36"/>
      <c r="L124" s="36"/>
      <c r="M124" s="36"/>
      <c r="N124" s="36"/>
      <c r="O124" s="36"/>
      <c r="P124" s="36"/>
    </row>
    <row r="125" spans="1:16" ht="15" hidden="1">
      <c r="A125" s="266" t="s">
        <v>29</v>
      </c>
      <c r="B125" s="3">
        <f>D125+C125</f>
        <v>324.64</v>
      </c>
      <c r="C125" s="3">
        <v>204.64</v>
      </c>
      <c r="D125" s="3">
        <v>120</v>
      </c>
      <c r="E125" s="703">
        <f t="shared" si="12"/>
        <v>464.84398426582675</v>
      </c>
      <c r="F125" s="703">
        <v>729.94991718167512</v>
      </c>
      <c r="G125" s="703">
        <v>12.75</v>
      </c>
      <c r="H125" s="3">
        <f t="shared" si="13"/>
        <v>63.035978314440612</v>
      </c>
      <c r="I125" s="3">
        <f t="shared" si="14"/>
        <v>36.964021685559388</v>
      </c>
      <c r="J125" s="36"/>
      <c r="K125" s="36"/>
      <c r="L125" s="36"/>
      <c r="M125" s="36"/>
      <c r="N125" s="36"/>
      <c r="O125" s="36"/>
      <c r="P125" s="36"/>
    </row>
    <row r="126" spans="1:16" ht="14.25">
      <c r="A126" s="266" t="s">
        <v>1410</v>
      </c>
      <c r="B126" s="269">
        <f>+C126+D126</f>
        <v>181.40889999999999</v>
      </c>
      <c r="C126" s="269">
        <v>161.40889999999999</v>
      </c>
      <c r="D126" s="269">
        <v>20</v>
      </c>
      <c r="E126" s="701">
        <f t="shared" si="12"/>
        <v>659.0160461647796</v>
      </c>
      <c r="F126" s="701">
        <v>738.81536902303333</v>
      </c>
      <c r="G126" s="701">
        <v>15</v>
      </c>
      <c r="H126" s="269">
        <f t="shared" si="13"/>
        <v>88.97518258475742</v>
      </c>
      <c r="I126" s="269">
        <f t="shared" si="14"/>
        <v>11.024817415242582</v>
      </c>
    </row>
    <row r="127" spans="1:16" ht="15">
      <c r="A127" s="266" t="s">
        <v>18</v>
      </c>
      <c r="B127" s="3">
        <f t="shared" ref="B127:B132" si="15">+C127+D127</f>
        <v>305.6241</v>
      </c>
      <c r="C127" s="3">
        <v>202.62209999999999</v>
      </c>
      <c r="D127" s="3">
        <v>103.002</v>
      </c>
      <c r="E127" s="703">
        <f t="shared" ref="E127:E132" si="16">(G127*D127+F127*C127)/(C127+D127)</f>
        <v>488.23297043497854</v>
      </c>
      <c r="F127" s="703">
        <v>729.81543562877357</v>
      </c>
      <c r="G127" s="703">
        <v>13</v>
      </c>
      <c r="H127" s="3">
        <f t="shared" ref="H127:H153" si="17">C127/B127*100</f>
        <v>66.297814864730881</v>
      </c>
      <c r="I127" s="3">
        <f t="shared" ref="I127:I153" si="18">D127/B127*100</f>
        <v>33.702185135269112</v>
      </c>
    </row>
    <row r="128" spans="1:16" ht="15">
      <c r="A128" s="266" t="s">
        <v>19</v>
      </c>
      <c r="B128" s="3">
        <f t="shared" si="15"/>
        <v>283.13409999999999</v>
      </c>
      <c r="C128" s="3">
        <v>202.62209999999999</v>
      </c>
      <c r="D128" s="3">
        <v>80.512</v>
      </c>
      <c r="E128" s="703">
        <f t="shared" si="16"/>
        <v>526.81907350097913</v>
      </c>
      <c r="F128" s="703">
        <v>729.69396841970126</v>
      </c>
      <c r="G128" s="703">
        <v>16.25</v>
      </c>
      <c r="H128" s="3">
        <f t="shared" si="17"/>
        <v>71.564004477030494</v>
      </c>
      <c r="I128" s="3">
        <f t="shared" si="18"/>
        <v>28.435995522969503</v>
      </c>
    </row>
    <row r="129" spans="1:9" ht="15">
      <c r="A129" s="266" t="s">
        <v>20</v>
      </c>
      <c r="B129" s="3">
        <f t="shared" si="15"/>
        <v>241.82729999999998</v>
      </c>
      <c r="C129" s="3">
        <v>197.81729999999999</v>
      </c>
      <c r="D129" s="3">
        <v>44.01</v>
      </c>
      <c r="E129" s="703">
        <f t="shared" si="16"/>
        <v>599.18623526765361</v>
      </c>
      <c r="F129" s="703">
        <v>729.55948686679972</v>
      </c>
      <c r="G129" s="703">
        <v>13.181131346641067</v>
      </c>
      <c r="H129" s="3">
        <f t="shared" si="17"/>
        <v>81.801062162956796</v>
      </c>
      <c r="I129" s="3">
        <f t="shared" si="18"/>
        <v>18.198937837043214</v>
      </c>
    </row>
    <row r="130" spans="1:9" ht="15">
      <c r="A130" s="266" t="s">
        <v>21</v>
      </c>
      <c r="B130" s="3">
        <f t="shared" si="15"/>
        <v>251.93529999999998</v>
      </c>
      <c r="C130" s="3">
        <v>193.81729999999999</v>
      </c>
      <c r="D130" s="3">
        <v>58.118000000000002</v>
      </c>
      <c r="E130" s="703">
        <f t="shared" si="16"/>
        <v>510.23932204105967</v>
      </c>
      <c r="F130" s="703">
        <v>659.65200634131008</v>
      </c>
      <c r="G130" s="703">
        <v>11.964036297797128</v>
      </c>
      <c r="H130" s="3">
        <f t="shared" si="17"/>
        <v>76.931378810353294</v>
      </c>
      <c r="I130" s="3">
        <f t="shared" si="18"/>
        <v>23.068621189646709</v>
      </c>
    </row>
    <row r="131" spans="1:9" ht="15">
      <c r="A131" s="266" t="s">
        <v>22</v>
      </c>
      <c r="B131" s="3">
        <f t="shared" si="15"/>
        <v>243.84</v>
      </c>
      <c r="C131" s="3">
        <v>222.33</v>
      </c>
      <c r="D131" s="3">
        <v>21.51</v>
      </c>
      <c r="E131" s="703">
        <f t="shared" si="16"/>
        <v>600.66963116993213</v>
      </c>
      <c r="F131" s="703">
        <v>657.36817428512904</v>
      </c>
      <c r="G131" s="703">
        <v>14.626530714250013</v>
      </c>
      <c r="H131" s="3">
        <f t="shared" si="17"/>
        <v>91.178641732283467</v>
      </c>
      <c r="I131" s="3">
        <f t="shared" si="18"/>
        <v>8.821358267716537</v>
      </c>
    </row>
    <row r="132" spans="1:9" ht="15">
      <c r="A132" s="266" t="s">
        <v>23</v>
      </c>
      <c r="B132" s="3">
        <f t="shared" si="15"/>
        <v>218.6525</v>
      </c>
      <c r="C132" s="3">
        <v>203.6525</v>
      </c>
      <c r="D132" s="3">
        <v>15</v>
      </c>
      <c r="E132" s="703">
        <f t="shared" si="16"/>
        <v>643.97489320133889</v>
      </c>
      <c r="F132" s="703">
        <v>690.6702364847265</v>
      </c>
      <c r="G132" s="703">
        <v>10</v>
      </c>
      <c r="H132" s="3">
        <f t="shared" si="17"/>
        <v>93.139799453470701</v>
      </c>
      <c r="I132" s="3">
        <f t="shared" si="18"/>
        <v>6.8602005465293106</v>
      </c>
    </row>
    <row r="133" spans="1:9" ht="15">
      <c r="A133" s="266" t="s">
        <v>24</v>
      </c>
      <c r="B133" s="3">
        <f t="shared" ref="B133:B139" si="19">+C133+D133</f>
        <v>213.56379999999999</v>
      </c>
      <c r="C133" s="3">
        <v>198.56379999999999</v>
      </c>
      <c r="D133" s="3">
        <v>15</v>
      </c>
      <c r="E133" s="703">
        <f t="shared" ref="E133:E138" si="20">(G133*D133+F133*C133)/(C133+D133)</f>
        <v>642.27266902106419</v>
      </c>
      <c r="F133" s="703">
        <v>689.5576728098514</v>
      </c>
      <c r="G133" s="703">
        <v>16.333333333333332</v>
      </c>
      <c r="H133" s="3">
        <f>C133/B133*100</f>
        <v>92.976337750124316</v>
      </c>
      <c r="I133" s="3">
        <f>D133/B133*100</f>
        <v>7.0236622498756809</v>
      </c>
    </row>
    <row r="134" spans="1:9" ht="15">
      <c r="A134" s="266" t="s">
        <v>25</v>
      </c>
      <c r="B134" s="3">
        <f t="shared" si="19"/>
        <v>216.2998</v>
      </c>
      <c r="C134" s="3">
        <v>196.2998</v>
      </c>
      <c r="D134" s="3">
        <v>20</v>
      </c>
      <c r="E134" s="703">
        <f t="shared" si="20"/>
        <v>624.00645669238691</v>
      </c>
      <c r="F134" s="703">
        <v>686.10600612569112</v>
      </c>
      <c r="G134" s="703">
        <v>14.5</v>
      </c>
      <c r="H134" s="3">
        <f>C134/B134*100</f>
        <v>90.75357443696204</v>
      </c>
      <c r="I134" s="3">
        <f>D134/B134*100</f>
        <v>9.2464255630379686</v>
      </c>
    </row>
    <row r="135" spans="1:9" ht="15">
      <c r="A135" s="266" t="s">
        <v>26</v>
      </c>
      <c r="B135" s="3">
        <f t="shared" si="19"/>
        <v>241.03300000000002</v>
      </c>
      <c r="C135" s="3">
        <v>184.006</v>
      </c>
      <c r="D135" s="3">
        <v>57.027000000000001</v>
      </c>
      <c r="E135" s="703">
        <f t="shared" si="20"/>
        <v>541.56185775192773</v>
      </c>
      <c r="F135" s="703">
        <v>703.35887286023501</v>
      </c>
      <c r="G135" s="703">
        <v>19.5</v>
      </c>
      <c r="H135" s="3">
        <f>C135/B135*100</f>
        <v>76.340584069401288</v>
      </c>
      <c r="I135" s="3">
        <f>D135/B135*100</f>
        <v>23.659415930598712</v>
      </c>
    </row>
    <row r="136" spans="1:9" ht="15">
      <c r="A136" s="266" t="s">
        <v>27</v>
      </c>
      <c r="B136" s="3">
        <f t="shared" si="19"/>
        <v>251.30440000000002</v>
      </c>
      <c r="C136" s="3">
        <v>198.27940000000001</v>
      </c>
      <c r="D136" s="3">
        <v>53.024999999999999</v>
      </c>
      <c r="E136" s="703">
        <f t="shared" si="20"/>
        <v>554.44363040463475</v>
      </c>
      <c r="F136" s="703">
        <v>699.23955223113683</v>
      </c>
      <c r="G136" s="703">
        <v>13</v>
      </c>
      <c r="H136" s="3">
        <f>C136/B136*100</f>
        <v>78.900090885794285</v>
      </c>
      <c r="I136" s="3">
        <f>D136/B136*100</f>
        <v>21.099909114205715</v>
      </c>
    </row>
    <row r="137" spans="1:9" ht="15">
      <c r="A137" s="266" t="s">
        <v>28</v>
      </c>
      <c r="B137" s="3">
        <f t="shared" si="19"/>
        <v>284.80020000000002</v>
      </c>
      <c r="C137" s="3">
        <v>196.29320000000001</v>
      </c>
      <c r="D137" s="3">
        <v>88.507000000000005</v>
      </c>
      <c r="E137" s="703">
        <f t="shared" si="20"/>
        <v>488.15663379488853</v>
      </c>
      <c r="F137" s="703">
        <v>701.72453980123123</v>
      </c>
      <c r="G137" s="703">
        <v>14.5</v>
      </c>
      <c r="H137" s="3">
        <f t="shared" si="17"/>
        <v>68.923125756231912</v>
      </c>
      <c r="I137" s="3">
        <f t="shared" si="18"/>
        <v>31.076874243768088</v>
      </c>
    </row>
    <row r="138" spans="1:9" ht="15">
      <c r="A138" s="266" t="s">
        <v>29</v>
      </c>
      <c r="B138" s="3">
        <f t="shared" si="19"/>
        <v>181.40889999999999</v>
      </c>
      <c r="C138" s="3">
        <v>161.40889999999999</v>
      </c>
      <c r="D138" s="3">
        <v>20</v>
      </c>
      <c r="E138" s="703">
        <f t="shared" si="20"/>
        <v>659.0160461647796</v>
      </c>
      <c r="F138" s="703">
        <v>738.81536902303333</v>
      </c>
      <c r="G138" s="703">
        <v>15</v>
      </c>
      <c r="H138" s="3">
        <f t="shared" si="17"/>
        <v>88.97518258475742</v>
      </c>
      <c r="I138" s="3">
        <f t="shared" si="18"/>
        <v>11.024817415242582</v>
      </c>
    </row>
    <row r="139" spans="1:9" ht="14.25">
      <c r="A139" s="266" t="s">
        <v>1621</v>
      </c>
      <c r="B139" s="269">
        <f t="shared" si="19"/>
        <v>227.29</v>
      </c>
      <c r="C139" s="269">
        <v>200.29</v>
      </c>
      <c r="D139" s="269">
        <v>27</v>
      </c>
      <c r="E139" s="701">
        <f>(G139*D139+F139*C139)/(C139+D139)</f>
        <v>644.25489167277988</v>
      </c>
      <c r="F139" s="701">
        <v>728.27247655053236</v>
      </c>
      <c r="G139" s="701">
        <v>21</v>
      </c>
      <c r="H139" s="269">
        <f>C139/B139*100</f>
        <v>88.120902811386344</v>
      </c>
      <c r="I139" s="269">
        <f>D139/B139*100</f>
        <v>11.879097188613667</v>
      </c>
    </row>
    <row r="140" spans="1:9" ht="15">
      <c r="A140" s="266" t="s">
        <v>18</v>
      </c>
      <c r="B140" s="3">
        <f t="shared" ref="B140:B151" si="21">+C140+D140</f>
        <v>256.40390000000002</v>
      </c>
      <c r="C140" s="3">
        <v>161.40889999999999</v>
      </c>
      <c r="D140" s="3">
        <v>94.995000000000005</v>
      </c>
      <c r="E140" s="703">
        <f t="shared" ref="E140:E146" si="22">(G140*D140+F140*C140)/(C140+D140)</f>
        <v>471.30172764563412</v>
      </c>
      <c r="F140" s="703">
        <v>738.81536902303333</v>
      </c>
      <c r="G140" s="703">
        <v>16.761145617943374</v>
      </c>
      <c r="H140" s="3">
        <f>C140/B140*100</f>
        <v>62.951031556072266</v>
      </c>
      <c r="I140" s="3">
        <f>D140/B140*100</f>
        <v>37.04896844392772</v>
      </c>
    </row>
    <row r="141" spans="1:9" ht="15">
      <c r="A141" s="266" t="s">
        <v>19</v>
      </c>
      <c r="B141" s="3">
        <f t="shared" si="21"/>
        <v>254.405</v>
      </c>
      <c r="C141" s="3">
        <v>159.41</v>
      </c>
      <c r="D141" s="3">
        <v>94.995000000000005</v>
      </c>
      <c r="E141" s="703">
        <f t="shared" si="22"/>
        <v>469.72519589948558</v>
      </c>
      <c r="F141" s="703">
        <v>738.81536902303333</v>
      </c>
      <c r="G141" s="703">
        <v>18.168119236242806</v>
      </c>
      <c r="H141" s="3">
        <f>C141/B141*100</f>
        <v>62.659931998191851</v>
      </c>
      <c r="I141" s="3">
        <f>D141/B141*100</f>
        <v>37.340068001808142</v>
      </c>
    </row>
    <row r="142" spans="1:9" ht="15">
      <c r="A142" s="266" t="s">
        <v>20</v>
      </c>
      <c r="B142" s="3">
        <f t="shared" si="21"/>
        <v>249.41</v>
      </c>
      <c r="C142" s="3">
        <v>159.41</v>
      </c>
      <c r="D142" s="3">
        <v>90</v>
      </c>
      <c r="E142" s="703">
        <f t="shared" si="22"/>
        <v>475.31173229795246</v>
      </c>
      <c r="F142" s="703">
        <v>738.81536902303333</v>
      </c>
      <c r="G142" s="703">
        <v>8.5882352941176467</v>
      </c>
      <c r="H142" s="3">
        <f>C142/B142*100</f>
        <v>63.914839020087413</v>
      </c>
      <c r="I142" s="3">
        <f>D142/B142*100</f>
        <v>36.085160979912594</v>
      </c>
    </row>
    <row r="143" spans="1:9" ht="15">
      <c r="A143" s="266" t="s">
        <v>21</v>
      </c>
      <c r="B143" s="3">
        <f t="shared" si="21"/>
        <v>277.40890000000002</v>
      </c>
      <c r="C143" s="3">
        <v>157.40889999999999</v>
      </c>
      <c r="D143" s="3">
        <v>120</v>
      </c>
      <c r="E143" s="703">
        <f t="shared" si="22"/>
        <v>412.26513499277246</v>
      </c>
      <c r="F143" s="703">
        <v>713.21264303795101</v>
      </c>
      <c r="G143" s="703">
        <v>17.5</v>
      </c>
      <c r="H143" s="3">
        <f t="shared" si="17"/>
        <v>56.742555844459197</v>
      </c>
      <c r="I143" s="3">
        <f t="shared" si="18"/>
        <v>43.257444155540789</v>
      </c>
    </row>
    <row r="144" spans="1:9" ht="15">
      <c r="A144" s="266" t="s">
        <v>22</v>
      </c>
      <c r="B144" s="3">
        <f t="shared" si="21"/>
        <v>287.3107</v>
      </c>
      <c r="C144" s="3">
        <v>197.3107</v>
      </c>
      <c r="D144" s="3">
        <v>90</v>
      </c>
      <c r="E144" s="703">
        <f t="shared" si="22"/>
        <v>495.71156189681852</v>
      </c>
      <c r="F144" s="703">
        <v>713.21264303795101</v>
      </c>
      <c r="G144" s="703">
        <v>18.875</v>
      </c>
      <c r="H144" s="3">
        <f t="shared" si="17"/>
        <v>68.675026721942473</v>
      </c>
      <c r="I144" s="3">
        <f t="shared" si="18"/>
        <v>31.324973278057517</v>
      </c>
    </row>
    <row r="145" spans="1:9" ht="15">
      <c r="A145" s="266" t="s">
        <v>23</v>
      </c>
      <c r="B145" s="3">
        <f t="shared" si="21"/>
        <v>200.93</v>
      </c>
      <c r="C145" s="3">
        <v>190.93</v>
      </c>
      <c r="D145" s="3">
        <v>10</v>
      </c>
      <c r="E145" s="703">
        <f t="shared" si="22"/>
        <v>684.28637858775176</v>
      </c>
      <c r="F145" s="703">
        <v>718.9</v>
      </c>
      <c r="G145" s="703">
        <v>23.408504963698324</v>
      </c>
      <c r="H145" s="3">
        <f t="shared" si="17"/>
        <v>95.023142387896286</v>
      </c>
      <c r="I145" s="3">
        <f t="shared" si="18"/>
        <v>4.9768576121037178</v>
      </c>
    </row>
    <row r="146" spans="1:9" ht="15">
      <c r="A146" s="266" t="s">
        <v>24</v>
      </c>
      <c r="B146" s="3">
        <f t="shared" si="21"/>
        <v>194.54</v>
      </c>
      <c r="C146" s="3">
        <v>194.54</v>
      </c>
      <c r="D146" s="3">
        <v>0</v>
      </c>
      <c r="E146" s="703">
        <f t="shared" si="22"/>
        <v>722.14333779937874</v>
      </c>
      <c r="F146" s="703">
        <v>722.14333779937874</v>
      </c>
      <c r="G146" s="703">
        <v>37.11257969211632</v>
      </c>
      <c r="H146" s="3">
        <f t="shared" si="17"/>
        <v>100</v>
      </c>
      <c r="I146" s="3">
        <f t="shared" si="18"/>
        <v>0</v>
      </c>
    </row>
    <row r="147" spans="1:9" ht="15">
      <c r="A147" s="266" t="s">
        <v>25</v>
      </c>
      <c r="B147" s="3">
        <f t="shared" si="21"/>
        <v>201.84</v>
      </c>
      <c r="C147" s="3">
        <v>192.84</v>
      </c>
      <c r="D147" s="3">
        <v>9</v>
      </c>
      <c r="E147" s="703">
        <v>694</v>
      </c>
      <c r="F147" s="703">
        <v>724.26268963128268</v>
      </c>
      <c r="G147" s="703">
        <v>40.333022263698176</v>
      </c>
      <c r="H147" s="3">
        <f t="shared" si="17"/>
        <v>95.541022592152203</v>
      </c>
      <c r="I147" s="3">
        <f t="shared" si="18"/>
        <v>4.4589774078477999</v>
      </c>
    </row>
    <row r="148" spans="1:9" ht="15">
      <c r="A148" s="266" t="s">
        <v>26</v>
      </c>
      <c r="B148" s="3">
        <f t="shared" si="21"/>
        <v>211.84</v>
      </c>
      <c r="C148" s="3">
        <v>196.84</v>
      </c>
      <c r="D148" s="3">
        <v>15</v>
      </c>
      <c r="E148" s="703">
        <v>670.52307359252507</v>
      </c>
      <c r="F148" s="703">
        <v>721.61962969843785</v>
      </c>
      <c r="G148" s="704">
        <v>0</v>
      </c>
      <c r="H148" s="3">
        <f t="shared" si="17"/>
        <v>92.919184290030216</v>
      </c>
      <c r="I148" s="3">
        <f t="shared" si="18"/>
        <v>7.0808157099697882</v>
      </c>
    </row>
    <row r="149" spans="1:9" ht="15">
      <c r="A149" s="266" t="s">
        <v>27</v>
      </c>
      <c r="B149" s="3">
        <f t="shared" si="21"/>
        <v>211.15</v>
      </c>
      <c r="C149" s="3">
        <v>201.15</v>
      </c>
      <c r="D149" s="3">
        <v>10</v>
      </c>
      <c r="E149" s="703">
        <f>(G149*D149+F149*C149)/(C149+D149)</f>
        <v>688.9405171377656</v>
      </c>
      <c r="F149" s="703">
        <v>721.61962969843785</v>
      </c>
      <c r="G149" s="703">
        <v>31.600167979842418</v>
      </c>
      <c r="H149" s="3">
        <f t="shared" si="17"/>
        <v>95.26403031020601</v>
      </c>
      <c r="I149" s="3">
        <f t="shared" si="18"/>
        <v>4.7359696897939854</v>
      </c>
    </row>
    <row r="150" spans="1:9" ht="15">
      <c r="A150" s="266" t="s">
        <v>28</v>
      </c>
      <c r="B150" s="3">
        <f t="shared" si="21"/>
        <v>227.14</v>
      </c>
      <c r="C150" s="3">
        <v>197.14</v>
      </c>
      <c r="D150" s="3">
        <v>30</v>
      </c>
      <c r="E150" s="703">
        <f>(G150*D150+F150*C150)/(C150+D150)</f>
        <v>631.87428898476708</v>
      </c>
      <c r="F150" s="703">
        <v>725.9</v>
      </c>
      <c r="G150" s="703">
        <v>14</v>
      </c>
      <c r="H150" s="3">
        <f t="shared" si="17"/>
        <v>86.792286695430136</v>
      </c>
      <c r="I150" s="3">
        <f t="shared" si="18"/>
        <v>13.207713304569872</v>
      </c>
    </row>
    <row r="151" spans="1:9" ht="15">
      <c r="A151" s="266" t="s">
        <v>29</v>
      </c>
      <c r="B151" s="3">
        <f t="shared" si="21"/>
        <v>227.29</v>
      </c>
      <c r="C151" s="3">
        <v>200.29</v>
      </c>
      <c r="D151" s="3">
        <v>27</v>
      </c>
      <c r="E151" s="703">
        <f>(G151*D151+F151*C151)/(C151+D151)</f>
        <v>644.25489167277988</v>
      </c>
      <c r="F151" s="703">
        <v>728.27247655053236</v>
      </c>
      <c r="G151" s="703">
        <v>21</v>
      </c>
      <c r="H151" s="3">
        <f t="shared" si="17"/>
        <v>88.120902811386344</v>
      </c>
      <c r="I151" s="3">
        <f t="shared" si="18"/>
        <v>11.879097188613667</v>
      </c>
    </row>
    <row r="152" spans="1:9" ht="14.25">
      <c r="A152" s="266" t="s">
        <v>1816</v>
      </c>
      <c r="B152" s="269">
        <v>122.6459</v>
      </c>
      <c r="C152" s="269">
        <v>122.6459</v>
      </c>
      <c r="D152" s="269">
        <v>0</v>
      </c>
      <c r="E152" s="269">
        <v>1021.5</v>
      </c>
      <c r="F152" s="269">
        <v>1021.5</v>
      </c>
      <c r="G152" s="705">
        <v>0</v>
      </c>
      <c r="H152" s="269">
        <v>100</v>
      </c>
      <c r="I152" s="269">
        <v>0</v>
      </c>
    </row>
    <row r="153" spans="1:9" ht="15">
      <c r="A153" s="266" t="s">
        <v>18</v>
      </c>
      <c r="B153" s="3">
        <v>199.64</v>
      </c>
      <c r="C153" s="3">
        <v>199.64</v>
      </c>
      <c r="D153" s="3">
        <v>0</v>
      </c>
      <c r="E153" s="3">
        <f>(G153*D153+F153*C153)/(C153+D153)</f>
        <v>965</v>
      </c>
      <c r="F153" s="3">
        <v>965</v>
      </c>
      <c r="G153" s="704">
        <v>0</v>
      </c>
      <c r="H153" s="3">
        <f t="shared" si="17"/>
        <v>100</v>
      </c>
      <c r="I153" s="3">
        <f t="shared" si="18"/>
        <v>0</v>
      </c>
    </row>
    <row r="154" spans="1:9" ht="15">
      <c r="A154" s="266" t="s">
        <v>19</v>
      </c>
      <c r="B154" s="3">
        <v>199.64</v>
      </c>
      <c r="C154" s="3">
        <v>199.64</v>
      </c>
      <c r="D154" s="3">
        <v>0</v>
      </c>
      <c r="E154" s="3">
        <f>(G154*D154+F154*C154)/(C154+D154)</f>
        <v>1090.5</v>
      </c>
      <c r="F154" s="3">
        <v>1090.5</v>
      </c>
      <c r="G154" s="704">
        <v>0</v>
      </c>
      <c r="H154" s="3">
        <f>C154/B154*100</f>
        <v>100</v>
      </c>
      <c r="I154" s="3">
        <f>D154/B154*100</f>
        <v>0</v>
      </c>
    </row>
    <row r="155" spans="1:9" ht="15">
      <c r="A155" s="266" t="s">
        <v>20</v>
      </c>
      <c r="B155" s="3">
        <v>199.64</v>
      </c>
      <c r="C155" s="3">
        <v>199.64</v>
      </c>
      <c r="D155" s="3">
        <v>0</v>
      </c>
      <c r="E155" s="3">
        <f>(G155*D155+F155*C155)/(C155+D155)</f>
        <v>1090.5</v>
      </c>
      <c r="F155" s="3">
        <v>1090.5</v>
      </c>
      <c r="G155" s="704">
        <v>0</v>
      </c>
      <c r="H155" s="3">
        <f>C155/B155*100</f>
        <v>100</v>
      </c>
      <c r="I155" s="3">
        <f>D155/B155*100</f>
        <v>0</v>
      </c>
    </row>
    <row r="156" spans="1:9" ht="15">
      <c r="A156" s="266" t="s">
        <v>21</v>
      </c>
      <c r="B156" s="3">
        <v>159.63999999999999</v>
      </c>
      <c r="C156" s="3">
        <v>159.63999999999999</v>
      </c>
      <c r="D156" s="3">
        <v>0</v>
      </c>
      <c r="E156" s="3">
        <v>935.89999999999986</v>
      </c>
      <c r="F156" s="3">
        <v>935.89999999999986</v>
      </c>
      <c r="G156" s="704">
        <v>0</v>
      </c>
      <c r="H156" s="3">
        <v>100</v>
      </c>
      <c r="I156" s="3">
        <v>0</v>
      </c>
    </row>
    <row r="157" spans="1:9" ht="15">
      <c r="A157" s="266" t="s">
        <v>22</v>
      </c>
      <c r="B157" s="3">
        <v>143.24</v>
      </c>
      <c r="C157" s="3">
        <v>143.24</v>
      </c>
      <c r="D157" s="3">
        <v>0</v>
      </c>
      <c r="E157" s="3">
        <v>996.30000000000007</v>
      </c>
      <c r="F157" s="3">
        <v>996.30000000000007</v>
      </c>
      <c r="G157" s="704">
        <v>0</v>
      </c>
      <c r="H157" s="3">
        <v>100</v>
      </c>
      <c r="I157" s="3">
        <v>0</v>
      </c>
    </row>
    <row r="158" spans="1:9" ht="15">
      <c r="A158" s="266" t="s">
        <v>23</v>
      </c>
      <c r="B158" s="3">
        <v>138.47</v>
      </c>
      <c r="C158" s="3">
        <v>138.47</v>
      </c>
      <c r="D158" s="3">
        <v>0</v>
      </c>
      <c r="E158" s="3">
        <v>1003.23</v>
      </c>
      <c r="F158" s="3">
        <v>1003.23</v>
      </c>
      <c r="G158" s="704">
        <v>0</v>
      </c>
      <c r="H158" s="3">
        <v>100</v>
      </c>
      <c r="I158" s="3">
        <v>0</v>
      </c>
    </row>
    <row r="159" spans="1:9" ht="15">
      <c r="A159" s="266" t="s">
        <v>24</v>
      </c>
      <c r="B159" s="3">
        <v>135.15</v>
      </c>
      <c r="C159" s="3">
        <v>135.15</v>
      </c>
      <c r="D159" s="3">
        <v>0</v>
      </c>
      <c r="E159" s="3">
        <v>1002.713099904969</v>
      </c>
      <c r="F159" s="3">
        <v>1002.713099904969</v>
      </c>
      <c r="G159" s="704">
        <v>0</v>
      </c>
      <c r="H159" s="3">
        <v>100</v>
      </c>
      <c r="I159" s="3">
        <v>0</v>
      </c>
    </row>
    <row r="160" spans="1:9" ht="15">
      <c r="A160" s="266" t="s">
        <v>25</v>
      </c>
      <c r="B160" s="3">
        <v>133.15</v>
      </c>
      <c r="C160" s="3">
        <v>133.15</v>
      </c>
      <c r="D160" s="3">
        <v>0</v>
      </c>
      <c r="E160" s="3">
        <v>1002.3537740778889</v>
      </c>
      <c r="F160" s="3">
        <v>1002.3537740778889</v>
      </c>
      <c r="G160" s="704">
        <v>0</v>
      </c>
      <c r="H160" s="3">
        <v>100</v>
      </c>
      <c r="I160" s="3">
        <v>0</v>
      </c>
    </row>
    <row r="161" spans="1:9" ht="15">
      <c r="A161" s="266" t="s">
        <v>26</v>
      </c>
      <c r="B161" s="3">
        <v>130.15</v>
      </c>
      <c r="C161" s="3">
        <v>130.15</v>
      </c>
      <c r="D161" s="3">
        <v>0</v>
      </c>
      <c r="E161" s="3">
        <v>1003.3</v>
      </c>
      <c r="F161" s="3">
        <v>1003.3</v>
      </c>
      <c r="G161" s="704">
        <v>0</v>
      </c>
      <c r="H161" s="3">
        <v>100</v>
      </c>
      <c r="I161" s="3">
        <v>0</v>
      </c>
    </row>
    <row r="162" spans="1:9" ht="15">
      <c r="A162" s="266" t="s">
        <v>27</v>
      </c>
      <c r="B162" s="3">
        <v>128.15</v>
      </c>
      <c r="C162" s="3">
        <v>128.15</v>
      </c>
      <c r="D162" s="3">
        <v>0</v>
      </c>
      <c r="E162" s="3">
        <v>1002.8</v>
      </c>
      <c r="F162" s="3">
        <v>1002.8</v>
      </c>
      <c r="G162" s="704">
        <v>0</v>
      </c>
      <c r="H162" s="3">
        <v>100</v>
      </c>
      <c r="I162" s="3">
        <v>0</v>
      </c>
    </row>
    <row r="163" spans="1:9" ht="15">
      <c r="A163" s="266" t="s">
        <v>28</v>
      </c>
      <c r="B163" s="3">
        <v>123.15</v>
      </c>
      <c r="C163" s="3">
        <v>123.15</v>
      </c>
      <c r="D163" s="3">
        <v>0</v>
      </c>
      <c r="E163" s="3">
        <v>1002.4</v>
      </c>
      <c r="F163" s="3">
        <v>1002.4</v>
      </c>
      <c r="G163" s="704">
        <v>0</v>
      </c>
      <c r="H163" s="3">
        <v>100</v>
      </c>
      <c r="I163" s="3">
        <v>0</v>
      </c>
    </row>
    <row r="164" spans="1:9" ht="15">
      <c r="A164" s="266" t="s">
        <v>29</v>
      </c>
      <c r="B164" s="3">
        <v>122.6459</v>
      </c>
      <c r="C164" s="3">
        <v>122.6459</v>
      </c>
      <c r="D164" s="3">
        <v>0</v>
      </c>
      <c r="E164" s="3">
        <v>1021.5</v>
      </c>
      <c r="F164" s="3">
        <v>1021.5</v>
      </c>
      <c r="G164" s="704">
        <v>0</v>
      </c>
      <c r="H164" s="3">
        <v>100</v>
      </c>
      <c r="I164" s="3">
        <v>0</v>
      </c>
    </row>
    <row r="165" spans="1:9" ht="14.25">
      <c r="A165" s="266" t="s">
        <v>1839</v>
      </c>
      <c r="B165" s="269">
        <v>387.06049999999999</v>
      </c>
      <c r="C165" s="269">
        <v>277.44</v>
      </c>
      <c r="D165" s="269">
        <v>109.62049999999999</v>
      </c>
      <c r="E165" s="269">
        <f>(G165*D165+F165*C165)/(C165+D165)</f>
        <v>289.77129200997837</v>
      </c>
      <c r="F165" s="269">
        <v>398.3220010489772</v>
      </c>
      <c r="G165" s="269">
        <v>15.038840362888328</v>
      </c>
      <c r="H165" s="269">
        <v>71.678716893095526</v>
      </c>
      <c r="I165" s="269">
        <v>28.321283106904477</v>
      </c>
    </row>
    <row r="166" spans="1:9" ht="15">
      <c r="A166" s="266" t="s">
        <v>18</v>
      </c>
      <c r="B166" s="3">
        <v>122.6459</v>
      </c>
      <c r="C166" s="3">
        <v>122.6459</v>
      </c>
      <c r="D166" s="3">
        <v>0</v>
      </c>
      <c r="E166" s="3">
        <v>920.7</v>
      </c>
      <c r="F166" s="3">
        <v>920.7</v>
      </c>
      <c r="G166" s="704">
        <v>0</v>
      </c>
      <c r="H166" s="3">
        <v>100</v>
      </c>
      <c r="I166" s="3">
        <v>0</v>
      </c>
    </row>
    <row r="167" spans="1:9" ht="15">
      <c r="A167" s="266" t="s">
        <v>19</v>
      </c>
      <c r="B167" s="3">
        <v>142.64590000000001</v>
      </c>
      <c r="C167" s="3">
        <v>142.64590000000001</v>
      </c>
      <c r="D167" s="3">
        <v>0</v>
      </c>
      <c r="E167" s="3">
        <f>(G167*D167+F167*C167)/(C167+D167)</f>
        <v>800.88920632049633</v>
      </c>
      <c r="F167" s="3">
        <v>800.88920632049633</v>
      </c>
      <c r="G167" s="704">
        <v>0</v>
      </c>
      <c r="H167" s="3">
        <v>100</v>
      </c>
      <c r="I167" s="3">
        <v>0</v>
      </c>
    </row>
    <row r="168" spans="1:9" ht="15">
      <c r="A168" s="266" t="s">
        <v>20</v>
      </c>
      <c r="B168" s="3">
        <v>167.64590000000001</v>
      </c>
      <c r="C168" s="3">
        <v>167.64590000000001</v>
      </c>
      <c r="D168" s="3">
        <v>0</v>
      </c>
      <c r="E168" s="3">
        <f>(G168*D168+F168*C168)/(C168+D168)</f>
        <v>798.89999999999986</v>
      </c>
      <c r="F168" s="3">
        <v>798.9</v>
      </c>
      <c r="G168" s="704">
        <v>0</v>
      </c>
      <c r="H168" s="3">
        <v>100</v>
      </c>
      <c r="I168" s="3">
        <v>0</v>
      </c>
    </row>
    <row r="169" spans="1:9" ht="15">
      <c r="A169" s="266" t="s">
        <v>21</v>
      </c>
      <c r="B169" s="3">
        <v>199.64590000000001</v>
      </c>
      <c r="C169" s="3">
        <v>199.64590000000001</v>
      </c>
      <c r="D169" s="3">
        <v>0</v>
      </c>
      <c r="E169" s="3">
        <v>684.49408609980139</v>
      </c>
      <c r="F169" s="3">
        <v>684.49408609980139</v>
      </c>
      <c r="G169" s="704">
        <v>0</v>
      </c>
      <c r="H169" s="3">
        <v>100</v>
      </c>
      <c r="I169" s="3">
        <v>0</v>
      </c>
    </row>
    <row r="170" spans="1:9" ht="15">
      <c r="A170" s="266" t="s">
        <v>22</v>
      </c>
      <c r="B170" s="3">
        <v>205.64590000000001</v>
      </c>
      <c r="C170" s="3">
        <v>205.64590000000001</v>
      </c>
      <c r="D170" s="3">
        <v>0</v>
      </c>
      <c r="E170" s="3">
        <v>606.34748870832959</v>
      </c>
      <c r="F170" s="3">
        <v>606.34748870832959</v>
      </c>
      <c r="G170" s="704">
        <v>0</v>
      </c>
      <c r="H170" s="3">
        <v>100</v>
      </c>
      <c r="I170" s="3">
        <v>0</v>
      </c>
    </row>
    <row r="171" spans="1:9" ht="15">
      <c r="A171" s="266" t="s">
        <v>23</v>
      </c>
      <c r="B171" s="3">
        <v>211.16499999999999</v>
      </c>
      <c r="C171" s="3">
        <v>211.16499999999999</v>
      </c>
      <c r="D171" s="3">
        <v>0</v>
      </c>
      <c r="E171" s="3">
        <v>545.98127016778255</v>
      </c>
      <c r="F171" s="3">
        <v>545.98127016778255</v>
      </c>
      <c r="G171" s="704">
        <v>0</v>
      </c>
      <c r="H171" s="3">
        <v>100</v>
      </c>
      <c r="I171" s="3">
        <v>0</v>
      </c>
    </row>
    <row r="172" spans="1:9" ht="15">
      <c r="A172" s="266" t="s">
        <v>24</v>
      </c>
      <c r="B172" s="3">
        <v>218.1866</v>
      </c>
      <c r="C172" s="3">
        <v>218.1866</v>
      </c>
      <c r="D172" s="3">
        <v>0</v>
      </c>
      <c r="E172" s="3">
        <v>479.47305852768625</v>
      </c>
      <c r="F172" s="3">
        <v>479.47305852768625</v>
      </c>
      <c r="G172" s="704">
        <v>0</v>
      </c>
      <c r="H172" s="3">
        <v>100</v>
      </c>
      <c r="I172" s="3">
        <v>0</v>
      </c>
    </row>
    <row r="173" spans="1:9" ht="15">
      <c r="A173" s="266" t="s">
        <v>25</v>
      </c>
      <c r="B173" s="3">
        <v>239.91650000000001</v>
      </c>
      <c r="C173" s="3">
        <v>239.91650000000001</v>
      </c>
      <c r="D173" s="3">
        <v>0</v>
      </c>
      <c r="E173" s="3">
        <v>445.40296533638661</v>
      </c>
      <c r="F173" s="3">
        <v>445.40296533638661</v>
      </c>
      <c r="G173" s="704">
        <v>0</v>
      </c>
      <c r="H173" s="3">
        <v>100</v>
      </c>
      <c r="I173" s="3">
        <v>0</v>
      </c>
    </row>
    <row r="174" spans="1:9" ht="15">
      <c r="A174" s="266" t="s">
        <v>26</v>
      </c>
      <c r="B174" s="3">
        <v>240.441</v>
      </c>
      <c r="C174" s="3">
        <v>240.441</v>
      </c>
      <c r="D174" s="3">
        <v>0</v>
      </c>
      <c r="E174" s="3">
        <v>445.91780547047631</v>
      </c>
      <c r="F174" s="3">
        <v>445.91780547047631</v>
      </c>
      <c r="G174" s="704">
        <v>0</v>
      </c>
      <c r="H174" s="3">
        <v>100</v>
      </c>
      <c r="I174" s="3">
        <v>0</v>
      </c>
    </row>
    <row r="175" spans="1:9" ht="15">
      <c r="A175" s="266" t="s">
        <v>27</v>
      </c>
      <c r="B175" s="3">
        <v>241.36299999999997</v>
      </c>
      <c r="C175" s="3">
        <v>241.36299999999997</v>
      </c>
      <c r="D175" s="3">
        <v>0</v>
      </c>
      <c r="E175" s="3">
        <v>425.21765776872121</v>
      </c>
      <c r="F175" s="3">
        <v>425.21765776872121</v>
      </c>
      <c r="G175" s="704">
        <v>0</v>
      </c>
      <c r="H175" s="3">
        <v>100</v>
      </c>
      <c r="I175" s="3">
        <v>0</v>
      </c>
    </row>
    <row r="176" spans="1:9" ht="15">
      <c r="A176" s="266" t="s">
        <v>28</v>
      </c>
      <c r="B176" s="3">
        <v>385.08219999999994</v>
      </c>
      <c r="C176" s="3">
        <v>272.85019999999997</v>
      </c>
      <c r="D176" s="3">
        <v>112.232</v>
      </c>
      <c r="E176" s="3">
        <v>293.61676833337185</v>
      </c>
      <c r="F176" s="3">
        <v>409.45473782575624</v>
      </c>
      <c r="G176" s="3">
        <v>12</v>
      </c>
      <c r="H176" s="3">
        <v>70.855053804096883</v>
      </c>
      <c r="I176" s="3">
        <v>29.144946195903117</v>
      </c>
    </row>
    <row r="177" spans="1:12" ht="15">
      <c r="A177" s="266" t="s">
        <v>29</v>
      </c>
      <c r="B177" s="3">
        <v>387.06049999999999</v>
      </c>
      <c r="C177" s="3">
        <v>277.44</v>
      </c>
      <c r="D177" s="3">
        <v>109.62049999999999</v>
      </c>
      <c r="E177" s="3">
        <f>(G177*D177+F177*C177)/(C177+D177)</f>
        <v>289.77129200997837</v>
      </c>
      <c r="F177" s="3">
        <v>398.3220010489772</v>
      </c>
      <c r="G177" s="3">
        <v>15.038840362888328</v>
      </c>
      <c r="H177" s="3">
        <v>71.678716893095526</v>
      </c>
      <c r="I177" s="3">
        <v>28.321283106904477</v>
      </c>
    </row>
    <row r="178" spans="1:12" ht="14.25">
      <c r="A178" s="266" t="s">
        <v>1902</v>
      </c>
      <c r="B178" s="269">
        <v>1665.4284000000002</v>
      </c>
      <c r="C178" s="269">
        <v>739.81690000000015</v>
      </c>
      <c r="D178" s="269">
        <v>925.61150000000009</v>
      </c>
      <c r="E178" s="269">
        <f>(G178*D178+F178*C178)/(C178+D178)</f>
        <v>184.374909428378</v>
      </c>
      <c r="F178" s="269">
        <v>398.75230587423817</v>
      </c>
      <c r="G178" s="269">
        <v>13.028701144829991</v>
      </c>
      <c r="H178" s="269">
        <f>C178/B178*100</f>
        <v>44.422017782331565</v>
      </c>
      <c r="I178" s="269">
        <f>D178/B178*100</f>
        <v>55.577982217668435</v>
      </c>
    </row>
    <row r="179" spans="1:12" ht="15">
      <c r="A179" s="266" t="s">
        <v>18</v>
      </c>
      <c r="B179" s="3">
        <v>238.64999999999998</v>
      </c>
      <c r="C179" s="3">
        <v>200.14</v>
      </c>
      <c r="D179" s="3">
        <v>38.51</v>
      </c>
      <c r="E179" s="3">
        <v>346.36150902136643</v>
      </c>
      <c r="F179" s="3">
        <v>409.54142901851458</v>
      </c>
      <c r="G179" s="3">
        <v>18.009673440238913</v>
      </c>
      <c r="H179" s="3">
        <v>83.863398282002933</v>
      </c>
      <c r="I179" s="3">
        <v>16.136601717997067</v>
      </c>
    </row>
    <row r="180" spans="1:12" ht="15">
      <c r="A180" s="266" t="s">
        <v>19</v>
      </c>
      <c r="B180" s="3">
        <v>368.37399999999997</v>
      </c>
      <c r="C180" s="3">
        <v>278.33</v>
      </c>
      <c r="D180" s="3">
        <v>90.043999999999997</v>
      </c>
      <c r="E180" s="3">
        <v>309.66234012493805</v>
      </c>
      <c r="F180" s="3">
        <v>406.34794113374869</v>
      </c>
      <c r="G180" s="3">
        <v>10.802856663716195</v>
      </c>
      <c r="H180" s="3">
        <v>75.556363912762578</v>
      </c>
      <c r="I180" s="3">
        <v>24.443636087237426</v>
      </c>
    </row>
    <row r="181" spans="1:12" ht="15">
      <c r="A181" s="266" t="s">
        <v>20</v>
      </c>
      <c r="B181" s="3">
        <v>380.87799999999999</v>
      </c>
      <c r="C181" s="3">
        <v>311.77999999999997</v>
      </c>
      <c r="D181" s="3">
        <v>69.097999999999999</v>
      </c>
      <c r="E181" s="3">
        <v>348.68001443260209</v>
      </c>
      <c r="F181" s="3">
        <v>412.89618571903327</v>
      </c>
      <c r="G181" s="3">
        <v>14.942685913611401</v>
      </c>
      <c r="H181" s="3">
        <v>53.89118364577331</v>
      </c>
      <c r="I181" s="3">
        <v>10.369488768855453</v>
      </c>
    </row>
    <row r="182" spans="1:12" ht="15">
      <c r="A182" s="266" t="s">
        <v>21</v>
      </c>
      <c r="B182" s="3">
        <v>504.64</v>
      </c>
      <c r="C182" s="3">
        <v>429.96</v>
      </c>
      <c r="D182" s="3">
        <v>74.680000000000007</v>
      </c>
      <c r="E182" s="3">
        <v>338.72354310440875</v>
      </c>
      <c r="F182" s="3">
        <v>395.64528526367951</v>
      </c>
      <c r="G182" s="3">
        <v>11.00431092979642</v>
      </c>
      <c r="H182" s="3">
        <v>85.201331642358909</v>
      </c>
      <c r="I182" s="3">
        <v>14.798668357641093</v>
      </c>
    </row>
    <row r="183" spans="1:12" ht="15">
      <c r="A183" s="266" t="s">
        <v>22</v>
      </c>
      <c r="B183" s="3">
        <v>557.26479999999992</v>
      </c>
      <c r="C183" s="3">
        <v>432.26479999999998</v>
      </c>
      <c r="D183" s="3">
        <v>125</v>
      </c>
      <c r="E183" s="3">
        <v>308.30094436055197</v>
      </c>
      <c r="F183" s="3">
        <v>392.67854798109983</v>
      </c>
      <c r="G183" s="3">
        <v>16.513200732428558</v>
      </c>
      <c r="H183" s="3">
        <v>77.569012074690534</v>
      </c>
      <c r="I183" s="3">
        <v>22.430987925309477</v>
      </c>
    </row>
    <row r="184" spans="1:12" ht="15">
      <c r="A184" s="266" t="s">
        <v>23</v>
      </c>
      <c r="B184" s="3">
        <v>784.16480000000001</v>
      </c>
      <c r="C184" s="3">
        <v>434.16480000000001</v>
      </c>
      <c r="D184" s="3">
        <v>350</v>
      </c>
      <c r="E184" s="3">
        <v>223.05830953676343</v>
      </c>
      <c r="F184" s="3">
        <v>390.8365086028345</v>
      </c>
      <c r="G184" s="3">
        <v>14.934343131389367</v>
      </c>
      <c r="H184" s="3">
        <v>55.366524995766198</v>
      </c>
      <c r="I184" s="3">
        <v>44.633475004233802</v>
      </c>
    </row>
    <row r="185" spans="1:12" ht="15">
      <c r="A185" s="266" t="s">
        <v>24</v>
      </c>
      <c r="B185" s="3">
        <v>910.66480000000001</v>
      </c>
      <c r="C185" s="3">
        <v>460.66480000000001</v>
      </c>
      <c r="D185" s="3">
        <v>450</v>
      </c>
      <c r="E185" s="3">
        <v>196.51012681493063</v>
      </c>
      <c r="F185" s="3">
        <v>377.74649498718207</v>
      </c>
      <c r="G185" s="3">
        <v>10.978537266493783</v>
      </c>
      <c r="H185" s="3">
        <v>50.585550248565667</v>
      </c>
      <c r="I185" s="3">
        <v>49.414449751434333</v>
      </c>
    </row>
    <row r="186" spans="1:12" ht="15">
      <c r="A186" s="266" t="s">
        <v>25</v>
      </c>
      <c r="B186" s="3">
        <v>1043.3899999999999</v>
      </c>
      <c r="C186" s="3">
        <v>493.39</v>
      </c>
      <c r="D186" s="3">
        <v>550</v>
      </c>
      <c r="E186" s="3">
        <v>184.30443109442612</v>
      </c>
      <c r="F186" s="3">
        <v>373.67319137652078</v>
      </c>
      <c r="G186" s="3">
        <v>14.426880847912086</v>
      </c>
      <c r="H186" s="3">
        <v>47.287208043013642</v>
      </c>
      <c r="I186" s="3">
        <v>52.712791956986372</v>
      </c>
      <c r="L186" s="12" t="s">
        <v>2018</v>
      </c>
    </row>
    <row r="187" spans="1:12" ht="15">
      <c r="A187" s="266" t="s">
        <v>26</v>
      </c>
      <c r="B187" s="3">
        <v>1119.9180000000001</v>
      </c>
      <c r="C187" s="3">
        <v>519.91800000000001</v>
      </c>
      <c r="D187" s="3">
        <v>600</v>
      </c>
      <c r="E187" s="3">
        <v>178.93819264227591</v>
      </c>
      <c r="F187" s="3">
        <v>368.3151008966974</v>
      </c>
      <c r="G187" s="3">
        <v>14.837420332572119</v>
      </c>
      <c r="H187" s="3">
        <v>46.424648947512225</v>
      </c>
      <c r="I187" s="3">
        <v>53.575351052487761</v>
      </c>
    </row>
    <row r="188" spans="1:12" ht="15">
      <c r="A188" s="266" t="s">
        <v>27</v>
      </c>
      <c r="B188" s="3">
        <v>1239.6179999999999</v>
      </c>
      <c r="C188" s="3">
        <v>539.61800000000005</v>
      </c>
      <c r="D188" s="3">
        <v>700</v>
      </c>
      <c r="E188" s="3">
        <v>147.65660794526283</v>
      </c>
      <c r="F188" s="3">
        <v>323.63543509330754</v>
      </c>
      <c r="G188" s="3">
        <v>11.997546876729091</v>
      </c>
      <c r="H188" s="3">
        <v>43.530990998839968</v>
      </c>
      <c r="I188" s="3">
        <v>56.469009001160039</v>
      </c>
    </row>
    <row r="189" spans="1:12" ht="15">
      <c r="A189" s="266" t="s">
        <v>28</v>
      </c>
      <c r="B189" s="3">
        <v>1423.318</v>
      </c>
      <c r="C189" s="3">
        <v>623.31799999999998</v>
      </c>
      <c r="D189" s="3">
        <v>800</v>
      </c>
      <c r="E189" s="3">
        <f>(G189*D189+F189*C189)/(C189+D189)</f>
        <v>182.25574943121583</v>
      </c>
      <c r="F189" s="3">
        <v>397.88892424139902</v>
      </c>
      <c r="G189" s="3">
        <v>14.245700360798606</v>
      </c>
      <c r="H189" s="3">
        <v>43.793305501651773</v>
      </c>
      <c r="I189" s="3">
        <v>56.206694498348227</v>
      </c>
    </row>
    <row r="190" spans="1:12" ht="15">
      <c r="A190" s="266" t="s">
        <v>29</v>
      </c>
      <c r="B190" s="3">
        <v>1665.4284000000002</v>
      </c>
      <c r="C190" s="3">
        <v>739.81690000000015</v>
      </c>
      <c r="D190" s="3">
        <v>925.61150000000009</v>
      </c>
      <c r="E190" s="3">
        <f>(G190*D190+F190*C190)/(C190+D190)</f>
        <v>184.374909428378</v>
      </c>
      <c r="F190" s="3">
        <v>398.75230587423817</v>
      </c>
      <c r="G190" s="3">
        <v>13.028701144829991</v>
      </c>
      <c r="H190" s="3">
        <f>C190/B190*100</f>
        <v>44.422017782331565</v>
      </c>
      <c r="I190" s="3">
        <f>D190/B190*100</f>
        <v>55.577982217668435</v>
      </c>
    </row>
    <row r="191" spans="1:12" ht="14.25">
      <c r="A191" s="266" t="s">
        <v>2038</v>
      </c>
      <c r="B191" s="269">
        <v>1989.1999999999998</v>
      </c>
      <c r="C191" s="269">
        <v>980.93</v>
      </c>
      <c r="D191" s="269">
        <v>1008.27</v>
      </c>
      <c r="E191" s="269">
        <v>308.0544098010327</v>
      </c>
      <c r="F191" s="269">
        <v>613.89873783411758</v>
      </c>
      <c r="G191" s="269">
        <v>10.50328093922591</v>
      </c>
      <c r="H191" s="269">
        <v>49.31278906092902</v>
      </c>
      <c r="I191" s="269">
        <v>50.687210939070994</v>
      </c>
    </row>
    <row r="192" spans="1:12" ht="15">
      <c r="A192" s="266" t="s">
        <v>18</v>
      </c>
      <c r="B192" s="3">
        <v>1659.8169000000003</v>
      </c>
      <c r="C192" s="3">
        <v>759.81690000000015</v>
      </c>
      <c r="D192" s="3">
        <v>900</v>
      </c>
      <c r="E192" s="3">
        <v>200.93613231854388</v>
      </c>
      <c r="F192" s="3">
        <v>416.68088131480755</v>
      </c>
      <c r="G192" s="3">
        <v>18.795569681189242</v>
      </c>
      <c r="H192" s="3">
        <v>45.777151684622567</v>
      </c>
      <c r="I192" s="3">
        <v>54.222848315377426</v>
      </c>
    </row>
    <row r="193" spans="1:9" ht="15">
      <c r="A193" s="266" t="s">
        <v>19</v>
      </c>
      <c r="B193" s="3">
        <v>1674.8169000000003</v>
      </c>
      <c r="C193" s="3">
        <v>824.81690000000015</v>
      </c>
      <c r="D193" s="3">
        <v>850</v>
      </c>
      <c r="E193" s="3">
        <v>233.5722052667582</v>
      </c>
      <c r="F193" s="3">
        <v>454.11224301298478</v>
      </c>
      <c r="G193" s="3">
        <v>19.566146137669332</v>
      </c>
      <c r="H193" s="3">
        <v>49.248183487998006</v>
      </c>
      <c r="I193" s="3">
        <v>50.751816512001987</v>
      </c>
    </row>
    <row r="194" spans="1:9" ht="15">
      <c r="A194" s="266" t="s">
        <v>20</v>
      </c>
      <c r="B194" s="3">
        <v>1409.8200000000002</v>
      </c>
      <c r="C194" s="3">
        <v>809.82</v>
      </c>
      <c r="D194" s="3">
        <v>600</v>
      </c>
      <c r="E194" s="3">
        <v>285.66400202743756</v>
      </c>
      <c r="F194" s="3">
        <v>487.59613650203215</v>
      </c>
      <c r="G194" s="3">
        <v>13.116200127077358</v>
      </c>
      <c r="H194" s="3">
        <v>57.441375494744008</v>
      </c>
      <c r="I194" s="3">
        <v>42.558624505255985</v>
      </c>
    </row>
    <row r="195" spans="1:9" ht="15">
      <c r="A195" s="266" t="s">
        <v>21</v>
      </c>
      <c r="B195" s="3">
        <v>1672.5</v>
      </c>
      <c r="C195" s="3">
        <v>772.5</v>
      </c>
      <c r="D195" s="3">
        <v>900</v>
      </c>
      <c r="E195" s="3">
        <v>248.74356585124332</v>
      </c>
      <c r="F195" s="3">
        <v>524.01136581942831</v>
      </c>
      <c r="G195" s="3">
        <v>12.472037545217839</v>
      </c>
      <c r="H195" s="3">
        <v>46.188340807174889</v>
      </c>
      <c r="I195" s="3">
        <v>53.811659192825111</v>
      </c>
    </row>
    <row r="196" spans="1:9" ht="15">
      <c r="A196" s="266" t="s">
        <v>22</v>
      </c>
      <c r="B196" s="3">
        <v>1772.5</v>
      </c>
      <c r="C196" s="3">
        <v>772.5</v>
      </c>
      <c r="D196" s="3">
        <v>1000</v>
      </c>
      <c r="E196" s="3">
        <v>249.65153777990602</v>
      </c>
      <c r="F196" s="3">
        <v>556.03100607205499</v>
      </c>
      <c r="G196" s="3">
        <v>12.973398524220928</v>
      </c>
      <c r="H196" s="3">
        <v>43.582510578279269</v>
      </c>
      <c r="I196" s="3">
        <v>56.417489421720731</v>
      </c>
    </row>
    <row r="197" spans="1:9" ht="15">
      <c r="A197" s="266" t="s">
        <v>23</v>
      </c>
      <c r="B197" s="3">
        <v>1792.5</v>
      </c>
      <c r="C197" s="3">
        <v>792.5</v>
      </c>
      <c r="D197" s="3">
        <v>1000</v>
      </c>
      <c r="E197" s="3">
        <v>260.19875713798154</v>
      </c>
      <c r="F197" s="3">
        <v>570.05534803862963</v>
      </c>
      <c r="G197" s="3">
        <v>14.637408849217991</v>
      </c>
      <c r="H197" s="3">
        <v>44.211994421199442</v>
      </c>
      <c r="I197" s="3">
        <v>55.788005578800558</v>
      </c>
    </row>
    <row r="198" spans="1:9" ht="15">
      <c r="A198" s="266" t="s">
        <v>24</v>
      </c>
      <c r="B198" s="3">
        <v>1857.5</v>
      </c>
      <c r="C198" s="3">
        <v>857.5</v>
      </c>
      <c r="D198" s="3">
        <v>1000</v>
      </c>
      <c r="E198" s="3">
        <v>272.69238964676521</v>
      </c>
      <c r="F198" s="3">
        <v>577.75355968842234</v>
      </c>
      <c r="G198" s="3">
        <v>11.102436336044249</v>
      </c>
      <c r="H198" s="3">
        <v>46.164199192462988</v>
      </c>
      <c r="I198" s="3">
        <v>53.835800807537012</v>
      </c>
    </row>
    <row r="199" spans="1:9" ht="15">
      <c r="A199" s="266" t="s">
        <v>25</v>
      </c>
      <c r="B199" s="3">
        <v>1912.5</v>
      </c>
      <c r="C199" s="3">
        <v>862.5</v>
      </c>
      <c r="D199" s="3">
        <v>1050</v>
      </c>
      <c r="E199" s="3">
        <v>268.65444230247209</v>
      </c>
      <c r="F199" s="3">
        <v>583.99193639155669</v>
      </c>
      <c r="G199" s="3">
        <v>9.6272150150097087</v>
      </c>
      <c r="H199" s="3">
        <v>45.098039215686278</v>
      </c>
      <c r="I199" s="3">
        <v>54.901960784313729</v>
      </c>
    </row>
    <row r="200" spans="1:9" ht="15">
      <c r="A200" s="266" t="s">
        <v>26</v>
      </c>
      <c r="B200" s="3">
        <v>1922.5</v>
      </c>
      <c r="C200" s="3">
        <v>872.5</v>
      </c>
      <c r="D200" s="3">
        <v>1050</v>
      </c>
      <c r="E200" s="3">
        <v>269.527466413632</v>
      </c>
      <c r="F200" s="3">
        <v>577.55776813953196</v>
      </c>
      <c r="G200" s="3">
        <v>13.568953789015138</v>
      </c>
      <c r="H200" s="3">
        <v>45.38361508452536</v>
      </c>
      <c r="I200" s="3">
        <v>54.616384915474647</v>
      </c>
    </row>
    <row r="201" spans="1:9" ht="15">
      <c r="A201" s="266" t="s">
        <v>27</v>
      </c>
      <c r="B201" s="3">
        <v>1997.5</v>
      </c>
      <c r="C201" s="3">
        <v>947.5</v>
      </c>
      <c r="D201" s="3">
        <v>1050</v>
      </c>
      <c r="E201" s="3">
        <v>287.0575475242444</v>
      </c>
      <c r="F201" s="3">
        <v>589.59083859692225</v>
      </c>
      <c r="G201" s="3">
        <v>14.057268199137441</v>
      </c>
      <c r="H201" s="3">
        <v>47.434292866082608</v>
      </c>
      <c r="I201" s="3">
        <v>52.565707133917392</v>
      </c>
    </row>
    <row r="202" spans="1:9" ht="15">
      <c r="A202" s="266" t="s">
        <v>28</v>
      </c>
      <c r="B202" s="3">
        <v>2033.85</v>
      </c>
      <c r="C202" s="3">
        <v>983.85</v>
      </c>
      <c r="D202" s="3">
        <v>1050</v>
      </c>
      <c r="E202" s="3">
        <v>297.78787676913629</v>
      </c>
      <c r="F202" s="3">
        <v>600.3757057870672</v>
      </c>
      <c r="G202" s="3">
        <v>14.263080979334918</v>
      </c>
      <c r="H202" s="3">
        <v>48.373773877129587</v>
      </c>
      <c r="I202" s="3">
        <v>51.62622612287042</v>
      </c>
    </row>
    <row r="203" spans="1:9" ht="15">
      <c r="A203" s="266" t="s">
        <v>29</v>
      </c>
      <c r="B203" s="3">
        <v>1989.1999999999998</v>
      </c>
      <c r="C203" s="3">
        <v>980.93</v>
      </c>
      <c r="D203" s="3">
        <v>1008.27</v>
      </c>
      <c r="E203" s="3">
        <v>308.0544098010327</v>
      </c>
      <c r="F203" s="3">
        <v>613.89873783411758</v>
      </c>
      <c r="G203" s="3">
        <v>10.50328093922591</v>
      </c>
      <c r="H203" s="3">
        <v>49.31278906092902</v>
      </c>
      <c r="I203" s="3">
        <v>50.687210939070994</v>
      </c>
    </row>
    <row r="204" spans="1:9" ht="14.25">
      <c r="A204" s="266" t="s">
        <v>2131</v>
      </c>
      <c r="B204" s="269">
        <v>1841.33</v>
      </c>
      <c r="C204" s="269">
        <v>1141.33</v>
      </c>
      <c r="D204" s="269">
        <v>700</v>
      </c>
      <c r="E204" s="269">
        <v>443.81936480696021</v>
      </c>
      <c r="F204" s="269">
        <v>706.7</v>
      </c>
      <c r="G204" s="269">
        <v>15.2</v>
      </c>
      <c r="H204" s="269">
        <v>61.984000695149696</v>
      </c>
      <c r="I204" s="269">
        <v>38.015999304850304</v>
      </c>
    </row>
    <row r="205" spans="1:9" ht="15">
      <c r="A205" s="266" t="s">
        <v>18</v>
      </c>
      <c r="B205" s="3">
        <f>SUM(C205:D205)</f>
        <v>2032.48</v>
      </c>
      <c r="C205" s="3">
        <v>982.48</v>
      </c>
      <c r="D205" s="3">
        <v>1050</v>
      </c>
      <c r="E205" s="3">
        <f t="shared" ref="E205:E232" si="23">(G205*D205+F205*C205)/(C205+D205)</f>
        <v>307.41084194294217</v>
      </c>
      <c r="F205" s="3">
        <v>620.64995522731419</v>
      </c>
      <c r="G205" s="3">
        <v>14.314495257580415</v>
      </c>
      <c r="H205" s="3">
        <v>47.073678480157675</v>
      </c>
      <c r="I205" s="3">
        <v>52.926321519842332</v>
      </c>
    </row>
    <row r="206" spans="1:9" ht="15">
      <c r="A206" s="266" t="s">
        <v>19</v>
      </c>
      <c r="B206" s="3">
        <f>SUM(C206:D206)</f>
        <v>2047.48</v>
      </c>
      <c r="C206" s="3">
        <v>997.48</v>
      </c>
      <c r="D206" s="3">
        <v>1050</v>
      </c>
      <c r="E206" s="3">
        <f t="shared" si="23"/>
        <v>315.57983383750559</v>
      </c>
      <c r="F206" s="3">
        <v>629.24131701761053</v>
      </c>
      <c r="G206" s="3">
        <v>17.607399320847332</v>
      </c>
      <c r="H206" s="3">
        <v>47.380026460329553</v>
      </c>
      <c r="I206" s="3">
        <v>52.619973539670454</v>
      </c>
    </row>
    <row r="207" spans="1:9" ht="15">
      <c r="A207" s="266" t="s">
        <v>20</v>
      </c>
      <c r="B207" s="3">
        <f t="shared" ref="B207:B216" si="24">SUM(C207:D207)</f>
        <v>2011.31</v>
      </c>
      <c r="C207" s="3">
        <v>1027.98</v>
      </c>
      <c r="D207" s="3">
        <v>983.33</v>
      </c>
      <c r="E207" s="3">
        <f t="shared" si="23"/>
        <v>331.1227219988545</v>
      </c>
      <c r="F207" s="3">
        <v>637.1384443513715</v>
      </c>
      <c r="G207" s="3">
        <v>11.211764066176265</v>
      </c>
      <c r="H207" s="3">
        <v>50.192729464561594</v>
      </c>
      <c r="I207" s="3">
        <v>49.80727053543842</v>
      </c>
    </row>
    <row r="208" spans="1:9" ht="15">
      <c r="A208" s="266" t="s">
        <v>21</v>
      </c>
      <c r="B208" s="3">
        <f t="shared" si="24"/>
        <v>1912.35</v>
      </c>
      <c r="C208" s="3">
        <v>1037.98</v>
      </c>
      <c r="D208" s="3">
        <v>874.37</v>
      </c>
      <c r="E208" s="3">
        <f t="shared" si="23"/>
        <v>354.96387844947316</v>
      </c>
      <c r="F208" s="3">
        <v>644.93720373461008</v>
      </c>
      <c r="G208" s="3">
        <v>10.731445749967911</v>
      </c>
      <c r="H208" s="3">
        <v>53.354494531875162</v>
      </c>
      <c r="I208" s="3">
        <v>46.645505468124831</v>
      </c>
    </row>
    <row r="209" spans="1:9" ht="15">
      <c r="A209" s="266" t="s">
        <v>22</v>
      </c>
      <c r="B209" s="3">
        <f t="shared" si="24"/>
        <v>1859.18</v>
      </c>
      <c r="C209" s="3">
        <v>1059.18</v>
      </c>
      <c r="D209" s="3">
        <v>800</v>
      </c>
      <c r="E209" s="3">
        <f t="shared" si="23"/>
        <v>377.43200438979363</v>
      </c>
      <c r="F209" s="3">
        <v>652.33153156494996</v>
      </c>
      <c r="G209" s="3">
        <v>13.471902898065931</v>
      </c>
      <c r="H209" s="3">
        <v>56.31590155788416</v>
      </c>
      <c r="I209" s="3">
        <v>43.68409844211584</v>
      </c>
    </row>
    <row r="210" spans="1:9" ht="15">
      <c r="A210" s="266" t="s">
        <v>23</v>
      </c>
      <c r="B210" s="3">
        <f t="shared" si="24"/>
        <v>1779.18</v>
      </c>
      <c r="C210" s="3">
        <v>1079.18</v>
      </c>
      <c r="D210" s="3">
        <v>700</v>
      </c>
      <c r="E210" s="3">
        <f t="shared" si="23"/>
        <v>392.89916642765309</v>
      </c>
      <c r="F210" s="3">
        <v>638.74538456789003</v>
      </c>
      <c r="G210" s="3">
        <v>13.881564009680339</v>
      </c>
      <c r="H210" s="3">
        <v>59.800841885225665</v>
      </c>
      <c r="I210" s="3">
        <v>40.199158114774342</v>
      </c>
    </row>
    <row r="211" spans="1:9" ht="15">
      <c r="A211" s="266" t="s">
        <v>24</v>
      </c>
      <c r="B211" s="3">
        <f t="shared" si="24"/>
        <v>1824.18</v>
      </c>
      <c r="C211" s="3">
        <v>1124.18</v>
      </c>
      <c r="D211" s="3">
        <v>700</v>
      </c>
      <c r="E211" s="3">
        <f t="shared" si="23"/>
        <v>396.3519735289812</v>
      </c>
      <c r="F211" s="3">
        <v>634.61431134574343</v>
      </c>
      <c r="G211" s="3">
        <v>13.709466490627202</v>
      </c>
      <c r="H211" s="3">
        <v>60.813511501234373</v>
      </c>
      <c r="I211" s="3">
        <v>39.186488498765627</v>
      </c>
    </row>
    <row r="212" spans="1:9" ht="15">
      <c r="A212" s="266" t="s">
        <v>25</v>
      </c>
      <c r="B212" s="3">
        <f t="shared" si="24"/>
        <v>1894.18</v>
      </c>
      <c r="C212" s="3">
        <v>1194.18</v>
      </c>
      <c r="D212" s="3">
        <v>700</v>
      </c>
      <c r="E212" s="3">
        <f t="shared" si="23"/>
        <v>430.63191428666653</v>
      </c>
      <c r="F212" s="3">
        <v>674.10023367250608</v>
      </c>
      <c r="G212" s="3">
        <v>15.281917652121079</v>
      </c>
      <c r="H212" s="3">
        <v>62.291187450507181</v>
      </c>
      <c r="I212" s="3">
        <v>37.708812549492819</v>
      </c>
    </row>
    <row r="213" spans="1:9" ht="15">
      <c r="A213" s="266" t="s">
        <v>26</v>
      </c>
      <c r="B213" s="3">
        <f t="shared" si="24"/>
        <v>1881.3</v>
      </c>
      <c r="C213" s="3">
        <v>1181.3</v>
      </c>
      <c r="D213" s="3">
        <v>700</v>
      </c>
      <c r="E213" s="3">
        <f t="shared" si="23"/>
        <v>416.28450192820139</v>
      </c>
      <c r="F213" s="3">
        <v>653.36157917338971</v>
      </c>
      <c r="G213" s="3">
        <v>16.2</v>
      </c>
      <c r="H213" s="3">
        <v>62.79227992962425</v>
      </c>
      <c r="I213" s="3">
        <v>37.207720070375743</v>
      </c>
    </row>
    <row r="214" spans="1:9" ht="15">
      <c r="A214" s="266" t="s">
        <v>27</v>
      </c>
      <c r="B214" s="3">
        <f t="shared" si="24"/>
        <v>1886.33</v>
      </c>
      <c r="C214" s="3">
        <v>1186.33</v>
      </c>
      <c r="D214" s="3">
        <v>700</v>
      </c>
      <c r="E214" s="3">
        <f t="shared" si="23"/>
        <v>441.86238834138243</v>
      </c>
      <c r="F214" s="3">
        <v>686.3</v>
      </c>
      <c r="G214" s="3">
        <v>27.6</v>
      </c>
      <c r="H214" s="3">
        <v>62.890904560707824</v>
      </c>
      <c r="I214" s="3">
        <v>37.109095439292176</v>
      </c>
    </row>
    <row r="215" spans="1:9" ht="15">
      <c r="A215" s="266" t="s">
        <v>28</v>
      </c>
      <c r="B215" s="3">
        <f t="shared" si="24"/>
        <v>1866.33</v>
      </c>
      <c r="C215" s="3">
        <v>1166.33</v>
      </c>
      <c r="D215" s="3">
        <v>700</v>
      </c>
      <c r="E215" s="3">
        <f t="shared" si="23"/>
        <v>449.05313476180527</v>
      </c>
      <c r="F215" s="3">
        <v>708.9</v>
      </c>
      <c r="G215" s="3">
        <v>16.100000000000001</v>
      </c>
      <c r="H215" s="3">
        <v>62.493235387096604</v>
      </c>
      <c r="I215" s="3">
        <v>37.506764612903396</v>
      </c>
    </row>
    <row r="216" spans="1:9" ht="15">
      <c r="A216" s="266" t="s">
        <v>29</v>
      </c>
      <c r="B216" s="3">
        <f t="shared" si="24"/>
        <v>1841.33</v>
      </c>
      <c r="C216" s="3">
        <v>1141.33</v>
      </c>
      <c r="D216" s="3">
        <v>700</v>
      </c>
      <c r="E216" s="3">
        <f t="shared" si="23"/>
        <v>443.81936480696021</v>
      </c>
      <c r="F216" s="3">
        <v>706.7</v>
      </c>
      <c r="G216" s="3">
        <v>15.2</v>
      </c>
      <c r="H216" s="3">
        <v>61.984000695149696</v>
      </c>
      <c r="I216" s="3">
        <v>38.015999304850304</v>
      </c>
    </row>
    <row r="217" spans="1:9" ht="14.25">
      <c r="A217" s="266" t="s">
        <v>2362</v>
      </c>
      <c r="B217" s="269">
        <v>2362.1800000000003</v>
      </c>
      <c r="C217" s="269">
        <v>1712.18</v>
      </c>
      <c r="D217" s="269">
        <v>650</v>
      </c>
      <c r="E217" s="269">
        <v>521.81941080388196</v>
      </c>
      <c r="F217" s="269">
        <v>713.43387327620178</v>
      </c>
      <c r="G217" s="269">
        <v>17.0833333333333</v>
      </c>
      <c r="H217" s="269">
        <v>72.483045322541045</v>
      </c>
      <c r="I217" s="269">
        <v>27.516954677458955</v>
      </c>
    </row>
    <row r="218" spans="1:9" ht="15">
      <c r="A218" s="266" t="s">
        <v>18</v>
      </c>
      <c r="B218" s="3">
        <v>1427.96</v>
      </c>
      <c r="C218" s="3">
        <v>1207.96</v>
      </c>
      <c r="D218" s="3">
        <v>220</v>
      </c>
      <c r="E218" s="3">
        <f t="shared" si="23"/>
        <v>641.75743610322854</v>
      </c>
      <c r="F218" s="3">
        <v>734.6335544703187</v>
      </c>
      <c r="G218" s="3">
        <v>131.80000000000001</v>
      </c>
      <c r="H218" s="3">
        <v>84.593405977758479</v>
      </c>
      <c r="I218" s="3">
        <v>15.406594022241519</v>
      </c>
    </row>
    <row r="219" spans="1:9" ht="15">
      <c r="A219" s="266" t="s">
        <v>19</v>
      </c>
      <c r="B219" s="3">
        <v>1506.33</v>
      </c>
      <c r="C219" s="3">
        <v>1156.33</v>
      </c>
      <c r="D219" s="3">
        <v>350</v>
      </c>
      <c r="E219" s="3">
        <f t="shared" si="23"/>
        <v>612.81886032265709</v>
      </c>
      <c r="F219" s="3">
        <v>760.038490676111</v>
      </c>
      <c r="G219" s="3">
        <v>126.43464556091585</v>
      </c>
      <c r="H219" s="3">
        <v>76.764719550164969</v>
      </c>
      <c r="I219" s="3">
        <v>23.235280449835031</v>
      </c>
    </row>
    <row r="220" spans="1:9" ht="15">
      <c r="A220" s="266" t="s">
        <v>20</v>
      </c>
      <c r="B220" s="3">
        <v>1618.59</v>
      </c>
      <c r="C220" s="3">
        <v>1296.33</v>
      </c>
      <c r="D220" s="3">
        <v>322.60000000000002</v>
      </c>
      <c r="E220" s="3">
        <f t="shared" si="23"/>
        <v>617.15517794028199</v>
      </c>
      <c r="F220" s="3">
        <v>756.05565883907695</v>
      </c>
      <c r="G220" s="3">
        <v>59</v>
      </c>
      <c r="H220" s="3">
        <v>80.090078401571745</v>
      </c>
      <c r="I220" s="3">
        <v>19.909921598428262</v>
      </c>
    </row>
    <row r="221" spans="1:9" ht="15">
      <c r="A221" s="266" t="s">
        <v>21</v>
      </c>
      <c r="B221" s="3">
        <v>2148.56</v>
      </c>
      <c r="C221" s="3">
        <v>1276.3</v>
      </c>
      <c r="D221" s="3">
        <v>872.26</v>
      </c>
      <c r="E221" s="3">
        <f t="shared" si="23"/>
        <v>463.05681380740759</v>
      </c>
      <c r="F221" s="3">
        <v>768.92996777720259</v>
      </c>
      <c r="G221" s="3">
        <v>15.5</v>
      </c>
      <c r="H221" s="3">
        <v>59.4</v>
      </c>
      <c r="I221" s="3">
        <v>40.6</v>
      </c>
    </row>
    <row r="222" spans="1:9" ht="15">
      <c r="A222" s="266" t="s">
        <v>22</v>
      </c>
      <c r="B222" s="3">
        <v>2006.7199999999998</v>
      </c>
      <c r="C222" s="3">
        <v>1291.3</v>
      </c>
      <c r="D222" s="3">
        <v>715.42</v>
      </c>
      <c r="E222" s="3">
        <f t="shared" si="23"/>
        <v>484.33628211521432</v>
      </c>
      <c r="F222" s="3">
        <v>746.73464397883311</v>
      </c>
      <c r="G222" s="3">
        <v>10.719379212736055</v>
      </c>
      <c r="H222" s="3">
        <v>64.3</v>
      </c>
      <c r="I222" s="3">
        <v>35.700000000000003</v>
      </c>
    </row>
    <row r="223" spans="1:9" ht="15">
      <c r="A223" s="266" t="s">
        <v>23</v>
      </c>
      <c r="B223" s="3">
        <v>2112.52</v>
      </c>
      <c r="C223" s="3">
        <v>1306.3</v>
      </c>
      <c r="D223" s="3">
        <v>806.22</v>
      </c>
      <c r="E223" s="3">
        <f t="shared" si="23"/>
        <v>466.0273483996167</v>
      </c>
      <c r="F223" s="3">
        <v>747.7243987148114</v>
      </c>
      <c r="G223" s="3">
        <v>9.6</v>
      </c>
      <c r="H223" s="3">
        <v>61.836100959990915</v>
      </c>
      <c r="I223" s="3">
        <v>38.163899040009092</v>
      </c>
    </row>
    <row r="224" spans="1:9" ht="15">
      <c r="A224" s="266" t="s">
        <v>24</v>
      </c>
      <c r="B224" s="3">
        <v>2059.25</v>
      </c>
      <c r="C224" s="3">
        <v>1351.3</v>
      </c>
      <c r="D224" s="3">
        <v>707.95</v>
      </c>
      <c r="E224" s="3">
        <f t="shared" si="23"/>
        <v>494.02058540747754</v>
      </c>
      <c r="F224" s="3">
        <v>746.55257196799244</v>
      </c>
      <c r="G224" s="3">
        <v>12</v>
      </c>
      <c r="H224" s="3">
        <v>65.620978511594032</v>
      </c>
      <c r="I224" s="3">
        <v>34.379021488405975</v>
      </c>
    </row>
    <row r="225" spans="1:9" ht="15">
      <c r="A225" s="266" t="s">
        <v>25</v>
      </c>
      <c r="B225" s="3">
        <v>2049.27</v>
      </c>
      <c r="C225" s="3">
        <v>1340.3</v>
      </c>
      <c r="D225" s="3">
        <v>708.97</v>
      </c>
      <c r="E225" s="3">
        <f t="shared" si="23"/>
        <v>505.07831618764885</v>
      </c>
      <c r="F225" s="3">
        <v>765.49193425009446</v>
      </c>
      <c r="G225" s="3">
        <v>12.76923076923077</v>
      </c>
      <c r="H225" s="3">
        <v>65.403777930677748</v>
      </c>
      <c r="I225" s="3">
        <v>34.596222069322245</v>
      </c>
    </row>
    <row r="226" spans="1:9" ht="15">
      <c r="A226" s="266" t="s">
        <v>26</v>
      </c>
      <c r="B226" s="3">
        <v>2141.67</v>
      </c>
      <c r="C226" s="3">
        <v>1432.7</v>
      </c>
      <c r="D226" s="3">
        <v>708.97</v>
      </c>
      <c r="E226" s="3">
        <f t="shared" si="23"/>
        <v>501.1866249088049</v>
      </c>
      <c r="F226" s="3">
        <v>742.27038386852803</v>
      </c>
      <c r="G226" s="3">
        <v>14</v>
      </c>
      <c r="H226" s="3">
        <v>66.896393935573641</v>
      </c>
      <c r="I226" s="3">
        <v>33.103606064426359</v>
      </c>
    </row>
    <row r="227" spans="1:9" ht="15">
      <c r="A227" s="266" t="s">
        <v>27</v>
      </c>
      <c r="B227" s="3">
        <v>2162.6999999999998</v>
      </c>
      <c r="C227" s="3">
        <v>1512.7</v>
      </c>
      <c r="D227" s="3">
        <v>650</v>
      </c>
      <c r="E227" s="3">
        <f t="shared" si="23"/>
        <v>504.83518484640223</v>
      </c>
      <c r="F227" s="3">
        <v>715.95957841430163</v>
      </c>
      <c r="G227" s="3">
        <v>13.5</v>
      </c>
      <c r="H227" s="3">
        <v>69.900000000000006</v>
      </c>
      <c r="I227" s="3">
        <v>30.1</v>
      </c>
    </row>
    <row r="228" spans="1:9" ht="15">
      <c r="A228" s="266" t="s">
        <v>28</v>
      </c>
      <c r="B228" s="3">
        <v>2364.9700000000003</v>
      </c>
      <c r="C228" s="3">
        <v>1714.97</v>
      </c>
      <c r="D228" s="3">
        <v>650</v>
      </c>
      <c r="E228" s="3">
        <f t="shared" ref="E228:E229" si="25">(G228*D228+F228*C228)/(C228+D228)</f>
        <v>520.27915325710239</v>
      </c>
      <c r="F228" s="3">
        <v>712.83730273908554</v>
      </c>
      <c r="G228" s="3">
        <v>12.23076923076923</v>
      </c>
      <c r="H228" s="3">
        <v>72.5</v>
      </c>
      <c r="I228" s="3">
        <v>27.5</v>
      </c>
    </row>
    <row r="229" spans="1:9" ht="15">
      <c r="A229" s="266" t="s">
        <v>29</v>
      </c>
      <c r="B229" s="3">
        <v>2362.1800000000003</v>
      </c>
      <c r="C229" s="3">
        <v>1712.18</v>
      </c>
      <c r="D229" s="3">
        <v>650</v>
      </c>
      <c r="E229" s="3">
        <f t="shared" si="25"/>
        <v>521.81941080388196</v>
      </c>
      <c r="F229" s="3">
        <v>713.43387327620178</v>
      </c>
      <c r="G229" s="3">
        <v>17.0833333333333</v>
      </c>
      <c r="H229" s="3">
        <v>72.483045322541045</v>
      </c>
      <c r="I229" s="3">
        <v>27.516954677458955</v>
      </c>
    </row>
    <row r="230" spans="1:9" ht="14.25">
      <c r="A230" s="266" t="s">
        <v>2523</v>
      </c>
      <c r="B230" s="269">
        <v>2700.192</v>
      </c>
      <c r="C230" s="269">
        <v>2500.192</v>
      </c>
      <c r="D230" s="269">
        <v>200</v>
      </c>
      <c r="E230" s="269">
        <v>840.42767576245421</v>
      </c>
      <c r="F230" s="269">
        <v>906.69680035468173</v>
      </c>
      <c r="G230" s="269">
        <v>12</v>
      </c>
      <c r="H230" s="269">
        <v>92.59311930410874</v>
      </c>
      <c r="I230" s="269">
        <v>7.406880695891255</v>
      </c>
    </row>
    <row r="231" spans="1:9" ht="15">
      <c r="A231" s="266" t="s">
        <v>18</v>
      </c>
      <c r="B231" s="3">
        <v>2856.7</v>
      </c>
      <c r="C231" s="3">
        <v>1836.7</v>
      </c>
      <c r="D231" s="3">
        <v>1020</v>
      </c>
      <c r="E231" s="3">
        <f t="shared" si="23"/>
        <v>478.24002774315079</v>
      </c>
      <c r="F231" s="3">
        <v>710.81193839704838</v>
      </c>
      <c r="G231" s="3">
        <v>59.450980392156865</v>
      </c>
      <c r="H231" s="3">
        <v>64.3</v>
      </c>
      <c r="I231" s="3">
        <v>35.700000000000003</v>
      </c>
    </row>
    <row r="232" spans="1:9" ht="15">
      <c r="A232" s="266" t="s">
        <v>19</v>
      </c>
      <c r="B232" s="3">
        <v>2964.83</v>
      </c>
      <c r="C232" s="3">
        <v>1944.83</v>
      </c>
      <c r="D232" s="3">
        <v>1020</v>
      </c>
      <c r="E232" s="3">
        <f t="shared" si="23"/>
        <v>469.5817712988603</v>
      </c>
      <c r="F232" s="3">
        <v>708.1</v>
      </c>
      <c r="G232" s="3">
        <v>14.8</v>
      </c>
      <c r="H232" s="3">
        <v>65.599999999999994</v>
      </c>
      <c r="I232" s="3">
        <v>34.4</v>
      </c>
    </row>
    <row r="233" spans="1:9" ht="15">
      <c r="A233" s="266" t="s">
        <v>20</v>
      </c>
      <c r="B233" s="3">
        <v>2850.83</v>
      </c>
      <c r="C233" s="3">
        <v>2030.83</v>
      </c>
      <c r="D233" s="3">
        <v>820</v>
      </c>
      <c r="E233" s="3">
        <f t="shared" ref="E233" si="26">(G233*D233+F233*C233)/(C233+D233)</f>
        <v>460.65478549857806</v>
      </c>
      <c r="F233" s="3">
        <v>641.47424885863325</v>
      </c>
      <c r="G233" s="3">
        <v>12.833333333333334</v>
      </c>
      <c r="H233" s="3">
        <v>71.236446929490711</v>
      </c>
      <c r="I233" s="3">
        <v>28.763553070509289</v>
      </c>
    </row>
    <row r="234" spans="1:9" ht="15">
      <c r="A234" s="266" t="s">
        <v>21</v>
      </c>
      <c r="B234" s="3">
        <v>2825.83</v>
      </c>
      <c r="C234" s="3">
        <v>2155.83</v>
      </c>
      <c r="D234" s="3">
        <v>670</v>
      </c>
      <c r="E234" s="3">
        <f t="shared" ref="E234:E240" si="27">(G234*D234+F234*C234)/(C234+D234)</f>
        <v>493.32082267632398</v>
      </c>
      <c r="F234" s="3">
        <v>641.45786712160509</v>
      </c>
      <c r="G234" s="3">
        <v>16.666666666666668</v>
      </c>
      <c r="H234" s="3">
        <v>76.290151919966874</v>
      </c>
      <c r="I234" s="3">
        <v>23.709848080033126</v>
      </c>
    </row>
    <row r="235" spans="1:9" ht="15">
      <c r="A235" s="266" t="s">
        <v>22</v>
      </c>
      <c r="B235" s="3">
        <v>2800.83</v>
      </c>
      <c r="C235" s="3">
        <v>2280.83</v>
      </c>
      <c r="D235" s="3">
        <v>520</v>
      </c>
      <c r="E235" s="3">
        <f t="shared" si="27"/>
        <v>534.06664309294217</v>
      </c>
      <c r="F235" s="3">
        <v>652.71116624533101</v>
      </c>
      <c r="G235" s="3">
        <v>13.666666666666666</v>
      </c>
      <c r="H235" s="3">
        <v>81.434074899226303</v>
      </c>
      <c r="I235" s="3">
        <v>18.565925100773701</v>
      </c>
    </row>
    <row r="236" spans="1:9" ht="15">
      <c r="A236" s="266" t="s">
        <v>23</v>
      </c>
      <c r="B236" s="3">
        <v>3008.3</v>
      </c>
      <c r="C236" s="3">
        <v>2488.3000000000002</v>
      </c>
      <c r="D236" s="3">
        <v>520</v>
      </c>
      <c r="E236" s="3">
        <f t="shared" si="27"/>
        <v>546.38984320716088</v>
      </c>
      <c r="F236" s="3">
        <v>657.27145654466983</v>
      </c>
      <c r="G236" s="3">
        <v>15.8</v>
      </c>
      <c r="H236" s="3">
        <v>82.714489911245565</v>
      </c>
      <c r="I236" s="3">
        <v>17.285510088754442</v>
      </c>
    </row>
    <row r="237" spans="1:9" ht="15">
      <c r="A237" s="266" t="s">
        <v>24</v>
      </c>
      <c r="B237" s="3">
        <v>2773.317</v>
      </c>
      <c r="C237" s="3">
        <v>2473.317</v>
      </c>
      <c r="D237" s="3">
        <v>300</v>
      </c>
      <c r="E237" s="3">
        <f t="shared" si="27"/>
        <v>706.07946035506382</v>
      </c>
      <c r="F237" s="3">
        <v>789.53978432749409</v>
      </c>
      <c r="G237" s="3">
        <v>18</v>
      </c>
      <c r="H237" s="3">
        <v>89.182628599615555</v>
      </c>
      <c r="I237" s="3">
        <v>10.817371400384451</v>
      </c>
    </row>
    <row r="238" spans="1:9" ht="15">
      <c r="A238" s="266" t="s">
        <v>25</v>
      </c>
      <c r="B238" s="3">
        <v>2808.3317000000002</v>
      </c>
      <c r="C238" s="3">
        <v>2508.3317000000002</v>
      </c>
      <c r="D238" s="3">
        <v>300</v>
      </c>
      <c r="E238" s="3">
        <f t="shared" si="27"/>
        <v>716.72369515564151</v>
      </c>
      <c r="F238" s="3">
        <v>800.65083626967066</v>
      </c>
      <c r="G238" s="3">
        <v>15</v>
      </c>
      <c r="H238" s="3">
        <v>89.317501205430972</v>
      </c>
      <c r="I238" s="3">
        <v>10.682498794569032</v>
      </c>
    </row>
    <row r="239" spans="1:9" ht="15">
      <c r="A239" s="266" t="s">
        <v>26</v>
      </c>
      <c r="B239" s="3">
        <f>C239+D239</f>
        <v>2818.2397999999998</v>
      </c>
      <c r="C239" s="3">
        <v>2518.2397999999998</v>
      </c>
      <c r="D239" s="3">
        <v>300</v>
      </c>
      <c r="E239" s="3">
        <f t="shared" si="27"/>
        <v>745.63294505444503</v>
      </c>
      <c r="F239" s="3">
        <v>832.91211660765987</v>
      </c>
      <c r="G239" s="3">
        <v>13</v>
      </c>
      <c r="H239" s="3">
        <f>C239/B239*100</f>
        <v>89.355057720780181</v>
      </c>
      <c r="I239" s="706">
        <f>D239/B239*100</f>
        <v>10.644942279219817</v>
      </c>
    </row>
    <row r="240" spans="1:9" ht="15">
      <c r="A240" s="266" t="s">
        <v>27</v>
      </c>
      <c r="B240" s="3">
        <f>SUM(C240:D240)</f>
        <v>2707.3204000000001</v>
      </c>
      <c r="C240" s="3">
        <v>2507.3204000000001</v>
      </c>
      <c r="D240" s="3">
        <v>200</v>
      </c>
      <c r="E240" s="3">
        <f t="shared" si="27"/>
        <v>812.57113256377147</v>
      </c>
      <c r="F240" s="3">
        <v>876.58936753396279</v>
      </c>
      <c r="G240" s="3">
        <v>10</v>
      </c>
      <c r="H240" s="3">
        <f>C240/B240*100</f>
        <v>92.612621690436043</v>
      </c>
      <c r="I240" s="706">
        <f>D240/B240*100</f>
        <v>7.3873783095639505</v>
      </c>
    </row>
    <row r="241" spans="1:9" ht="15">
      <c r="A241" s="266" t="s">
        <v>28</v>
      </c>
      <c r="B241" s="3">
        <f>SUM(C241:D241)</f>
        <v>2703.2404000000001</v>
      </c>
      <c r="C241" s="3">
        <v>2503.2404000000001</v>
      </c>
      <c r="D241" s="3">
        <v>200</v>
      </c>
      <c r="E241" s="3">
        <f t="shared" ref="E241:E255" si="28">(G241*D241+F241*C241)/(C241+D241)</f>
        <v>818.73962407895817</v>
      </c>
      <c r="F241" s="3">
        <v>883.51483496792889</v>
      </c>
      <c r="G241" s="3">
        <v>8</v>
      </c>
      <c r="H241" s="3">
        <f>C241/B241*100</f>
        <v>92.601471922363984</v>
      </c>
      <c r="I241" s="706">
        <f>D241/B241*100</f>
        <v>7.3985280776360103</v>
      </c>
    </row>
    <row r="242" spans="1:9" ht="15">
      <c r="A242" s="266" t="s">
        <v>29</v>
      </c>
      <c r="B242" s="3">
        <f>SUM(C242:D242)</f>
        <v>2700.192</v>
      </c>
      <c r="C242" s="3">
        <v>2500.192</v>
      </c>
      <c r="D242" s="3">
        <v>200</v>
      </c>
      <c r="E242" s="3">
        <f t="shared" si="28"/>
        <v>840.42767576245421</v>
      </c>
      <c r="F242" s="3">
        <v>906.69680035468173</v>
      </c>
      <c r="G242" s="3">
        <v>12</v>
      </c>
      <c r="H242" s="3">
        <f>C242/B242*100</f>
        <v>92.59311930410874</v>
      </c>
      <c r="I242" s="3">
        <f>D242/B242*100</f>
        <v>7.406880695891255</v>
      </c>
    </row>
    <row r="243" spans="1:9" ht="14.25">
      <c r="A243" s="266" t="s">
        <v>2812</v>
      </c>
      <c r="B243" s="269">
        <v>5500.0535</v>
      </c>
      <c r="C243" s="269">
        <v>4161.4934999999996</v>
      </c>
      <c r="D243" s="269">
        <v>1338.56</v>
      </c>
      <c r="E243" s="269">
        <v>679.78167229750068</v>
      </c>
      <c r="F243" s="269">
        <v>857.44500776255734</v>
      </c>
      <c r="G243" s="269">
        <v>127.43824673110672</v>
      </c>
      <c r="H243" s="269">
        <v>75.662782189300515</v>
      </c>
      <c r="I243" s="269">
        <v>24.337217810699478</v>
      </c>
    </row>
    <row r="244" spans="1:9" ht="15">
      <c r="A244" s="266" t="s">
        <v>18</v>
      </c>
      <c r="B244" s="3">
        <v>2993.6428000000001</v>
      </c>
      <c r="C244" s="3">
        <v>2563.6428000000001</v>
      </c>
      <c r="D244" s="3">
        <v>430</v>
      </c>
      <c r="E244" s="3">
        <f t="shared" si="28"/>
        <v>801.82025991750857</v>
      </c>
      <c r="F244" s="3">
        <v>932.31765673290295</v>
      </c>
      <c r="G244" s="3">
        <v>23.8</v>
      </c>
      <c r="H244" s="3">
        <v>85.636228878074562</v>
      </c>
      <c r="I244" s="3">
        <v>14.363771121925433</v>
      </c>
    </row>
    <row r="245" spans="1:9" ht="15">
      <c r="A245" s="266" t="s">
        <v>19</v>
      </c>
      <c r="B245" s="3">
        <f>SUM(C245:D245)</f>
        <v>3489.7928000000002</v>
      </c>
      <c r="C245" s="3">
        <v>2639.7928000000002</v>
      </c>
      <c r="D245" s="3">
        <v>850</v>
      </c>
      <c r="E245" s="3">
        <f t="shared" si="28"/>
        <v>728.92999660556643</v>
      </c>
      <c r="F245" s="3">
        <v>955.59191382677079</v>
      </c>
      <c r="G245" s="3">
        <v>25</v>
      </c>
      <c r="H245" s="3">
        <f>C245/B245*100</f>
        <v>75.643253089409782</v>
      </c>
      <c r="I245" s="3">
        <f>D245/B245*100</f>
        <v>24.356746910590221</v>
      </c>
    </row>
    <row r="246" spans="1:9" ht="15">
      <c r="A246" s="266" t="s">
        <v>20</v>
      </c>
      <c r="B246" s="3">
        <v>3462.7835</v>
      </c>
      <c r="C246" s="3">
        <v>2652.7835</v>
      </c>
      <c r="D246" s="3">
        <v>810</v>
      </c>
      <c r="E246" s="3">
        <f t="shared" si="28"/>
        <v>747.24870270886834</v>
      </c>
      <c r="F246" s="3">
        <v>969.73404657284493</v>
      </c>
      <c r="G246" s="3">
        <v>18.600000000000001</v>
      </c>
      <c r="H246" s="3">
        <v>76.608413433874802</v>
      </c>
      <c r="I246" s="3">
        <v>23.391586566125198</v>
      </c>
    </row>
    <row r="247" spans="1:9" ht="15">
      <c r="A247" s="266" t="s">
        <v>21</v>
      </c>
      <c r="B247" s="3">
        <v>3370.4</v>
      </c>
      <c r="C247" s="3">
        <v>2660.4</v>
      </c>
      <c r="D247" s="3">
        <v>710</v>
      </c>
      <c r="E247" s="3">
        <v>794.05868049181242</v>
      </c>
      <c r="F247" s="3">
        <v>985.54300557199008</v>
      </c>
      <c r="G247" s="3">
        <v>76.558823529411768</v>
      </c>
      <c r="H247" s="3">
        <v>78.934251127462616</v>
      </c>
      <c r="I247" s="3">
        <v>21.065748872537384</v>
      </c>
    </row>
    <row r="248" spans="1:9" ht="15">
      <c r="A248" s="266" t="s">
        <v>22</v>
      </c>
      <c r="B248" s="3">
        <v>3462.8674999999998</v>
      </c>
      <c r="C248" s="3">
        <v>2682.8674999999998</v>
      </c>
      <c r="D248" s="3">
        <v>780</v>
      </c>
      <c r="E248" s="3">
        <v>800.73766171750128</v>
      </c>
      <c r="F248" s="3">
        <v>999.87627702250381</v>
      </c>
      <c r="G248" s="3">
        <v>115.78571428571429</v>
      </c>
      <c r="H248" s="3">
        <v>77.475314894375842</v>
      </c>
      <c r="I248" s="3">
        <v>22.524685105624169</v>
      </c>
    </row>
    <row r="249" spans="1:9" ht="15">
      <c r="A249" s="266" t="s">
        <v>23</v>
      </c>
      <c r="B249" s="3">
        <v>3539.7121999999999</v>
      </c>
      <c r="C249" s="3">
        <v>2789.7121999999999</v>
      </c>
      <c r="D249" s="3">
        <v>750</v>
      </c>
      <c r="E249" s="3">
        <v>838.02174910868405</v>
      </c>
      <c r="F249" s="3">
        <v>1013.0904575695472</v>
      </c>
      <c r="G249" s="3">
        <v>186.83333333333334</v>
      </c>
      <c r="H249" s="3">
        <v>78.811836736331273</v>
      </c>
      <c r="I249" s="3">
        <v>21.188163263668724</v>
      </c>
    </row>
    <row r="250" spans="1:9" ht="15">
      <c r="A250" s="266" t="s">
        <v>24</v>
      </c>
      <c r="B250" s="3">
        <v>3447.1550000000002</v>
      </c>
      <c r="C250" s="3">
        <v>2817.1550000000002</v>
      </c>
      <c r="D250" s="3">
        <v>630</v>
      </c>
      <c r="E250" s="3">
        <v>836.86175998182671</v>
      </c>
      <c r="F250" s="3">
        <v>1024.0090446674585</v>
      </c>
      <c r="G250" s="3" t="s">
        <v>93</v>
      </c>
      <c r="H250" s="3">
        <v>81.724059405509763</v>
      </c>
      <c r="I250" s="3">
        <v>18.27594059449024</v>
      </c>
    </row>
    <row r="251" spans="1:9" ht="15">
      <c r="A251" s="266" t="s">
        <v>25</v>
      </c>
      <c r="B251" s="3">
        <v>3455.5306</v>
      </c>
      <c r="C251" s="3">
        <v>2885.5306</v>
      </c>
      <c r="D251" s="3">
        <v>570</v>
      </c>
      <c r="E251" s="3">
        <v>858.77958009217389</v>
      </c>
      <c r="F251" s="3">
        <v>1028.4206023196073</v>
      </c>
      <c r="G251" s="3" t="s">
        <v>93</v>
      </c>
      <c r="H251" s="3">
        <v>83.50470402432552</v>
      </c>
      <c r="I251" s="3">
        <v>16.495295975674473</v>
      </c>
    </row>
    <row r="252" spans="1:9" ht="15">
      <c r="A252" s="266" t="s">
        <v>26</v>
      </c>
      <c r="B252" s="3">
        <v>3440.5306</v>
      </c>
      <c r="C252" s="3">
        <v>2930.5306</v>
      </c>
      <c r="D252" s="3">
        <v>510</v>
      </c>
      <c r="E252" s="3">
        <v>883.07465377455662</v>
      </c>
      <c r="F252" s="3">
        <v>1036.7560633544545</v>
      </c>
      <c r="G252" s="3" t="s">
        <v>93</v>
      </c>
      <c r="H252" s="3">
        <v>85.176705011721154</v>
      </c>
      <c r="I252" s="3">
        <v>14.823294988278843</v>
      </c>
    </row>
    <row r="253" spans="1:9" ht="15">
      <c r="A253" s="266" t="s">
        <v>27</v>
      </c>
      <c r="B253" s="3">
        <v>3894.9515000000001</v>
      </c>
      <c r="C253" s="3">
        <v>2994.9515000000001</v>
      </c>
      <c r="D253" s="3">
        <v>900</v>
      </c>
      <c r="E253" s="3">
        <v>826.66769045054036</v>
      </c>
      <c r="F253" s="3">
        <v>1039.6263715528842</v>
      </c>
      <c r="G253" s="3">
        <v>118</v>
      </c>
      <c r="H253" s="3">
        <v>76.893165421957121</v>
      </c>
      <c r="I253" s="3">
        <v>23.106834578042886</v>
      </c>
    </row>
    <row r="254" spans="1:9" ht="15">
      <c r="A254" s="266" t="s">
        <v>28</v>
      </c>
      <c r="B254" s="3">
        <v>4286.4935000000005</v>
      </c>
      <c r="C254" s="3">
        <v>3116.4935</v>
      </c>
      <c r="D254" s="3">
        <v>1170</v>
      </c>
      <c r="E254" s="3">
        <v>763.09725668029625</v>
      </c>
      <c r="F254" s="3">
        <v>1008.5345695821031</v>
      </c>
      <c r="G254" s="3">
        <v>109.33333333333333</v>
      </c>
      <c r="H254" s="3">
        <v>72.704962692699752</v>
      </c>
      <c r="I254" s="3">
        <v>27.295037307300241</v>
      </c>
    </row>
    <row r="255" spans="1:9" ht="15">
      <c r="A255" s="266" t="s">
        <v>29</v>
      </c>
      <c r="B255" s="3">
        <v>5500.0535</v>
      </c>
      <c r="C255" s="3">
        <v>4161.4934999999996</v>
      </c>
      <c r="D255" s="3">
        <v>1338.56</v>
      </c>
      <c r="E255" s="3">
        <f t="shared" si="28"/>
        <v>679.78167229750068</v>
      </c>
      <c r="F255" s="3">
        <v>857.44500776255734</v>
      </c>
      <c r="G255" s="3">
        <v>127.43824673110672</v>
      </c>
      <c r="H255" s="3">
        <v>75.662782189300515</v>
      </c>
      <c r="I255" s="3">
        <v>24.337217810699478</v>
      </c>
    </row>
    <row r="256" spans="1:9" ht="14.25">
      <c r="A256" s="266" t="s">
        <v>3500</v>
      </c>
      <c r="B256" s="269">
        <v>7697.5300999999999</v>
      </c>
      <c r="C256" s="269">
        <v>6377.4000999999998</v>
      </c>
      <c r="D256" s="269">
        <v>1320.13</v>
      </c>
      <c r="E256" s="269">
        <v>728.84709822844866</v>
      </c>
      <c r="F256" s="269">
        <v>855.0862297178345</v>
      </c>
      <c r="G256" s="269">
        <v>119</v>
      </c>
      <c r="H256" s="269">
        <v>82.849953389594404</v>
      </c>
      <c r="I256" s="269">
        <v>17.150046610405592</v>
      </c>
    </row>
    <row r="257" spans="1:9" ht="15">
      <c r="A257" s="266" t="s">
        <v>18</v>
      </c>
      <c r="B257" s="3">
        <f>SUM(C257:D257)</f>
        <v>5587.6322</v>
      </c>
      <c r="C257" s="3">
        <v>4186.4934999999996</v>
      </c>
      <c r="D257" s="3">
        <v>1401.1387</v>
      </c>
      <c r="E257" s="3">
        <v>663.89840606220605</v>
      </c>
      <c r="F257" s="3">
        <v>853.54316934114661</v>
      </c>
      <c r="G257" s="3">
        <v>81.75</v>
      </c>
      <c r="H257" s="3">
        <f>C257/B257*100</f>
        <v>74.924285460306422</v>
      </c>
      <c r="I257" s="3">
        <f>D257/B257*100</f>
        <v>25.075714539693571</v>
      </c>
    </row>
    <row r="258" spans="1:9" ht="15">
      <c r="A258" s="266" t="s">
        <v>19</v>
      </c>
      <c r="B258" s="3">
        <f t="shared" ref="B258:B259" si="29">SUM(C258:D258)</f>
        <v>5327.1836999999996</v>
      </c>
      <c r="C258" s="3">
        <v>4301.0450000000001</v>
      </c>
      <c r="D258" s="3">
        <v>1026.1386999999997</v>
      </c>
      <c r="E258" s="3">
        <v>688.95311412009869</v>
      </c>
      <c r="F258" s="3">
        <v>853.32280866738881</v>
      </c>
      <c r="G258" s="3" t="s">
        <v>93</v>
      </c>
      <c r="H258" s="3">
        <f t="shared" ref="H258:H259" si="30">C258/B258*100</f>
        <v>80.737688846735296</v>
      </c>
      <c r="I258" s="3">
        <f t="shared" ref="I258:I259" si="31">D258/B258*100</f>
        <v>19.262311153264715</v>
      </c>
    </row>
    <row r="259" spans="1:9" ht="15">
      <c r="A259" s="266" t="s">
        <v>20</v>
      </c>
      <c r="B259" s="3">
        <f t="shared" si="29"/>
        <v>5227.0450000000001</v>
      </c>
      <c r="C259" s="3">
        <v>4342.0450000000001</v>
      </c>
      <c r="D259" s="3">
        <v>884.99999999999977</v>
      </c>
      <c r="E259" s="3">
        <v>706.90515904387951</v>
      </c>
      <c r="F259" s="3">
        <v>850.98728296333059</v>
      </c>
      <c r="G259" s="3" t="s">
        <v>93</v>
      </c>
      <c r="H259" s="3">
        <f t="shared" si="30"/>
        <v>83.068827607185327</v>
      </c>
      <c r="I259" s="3">
        <f t="shared" si="31"/>
        <v>16.931172392814673</v>
      </c>
    </row>
    <row r="260" spans="1:9" ht="15">
      <c r="A260" s="266" t="s">
        <v>21</v>
      </c>
      <c r="B260" s="3">
        <v>5382.0450000000001</v>
      </c>
      <c r="C260" s="3">
        <v>4512.0450000000001</v>
      </c>
      <c r="D260" s="3">
        <v>870</v>
      </c>
      <c r="E260" s="3">
        <f t="shared" ref="E260" si="32">(G260*D260+F260*C260)/(C260+D260)</f>
        <v>729.03470525866078</v>
      </c>
      <c r="F260" s="3">
        <v>845.31018424325316</v>
      </c>
      <c r="G260" s="3">
        <v>126</v>
      </c>
      <c r="H260" s="3">
        <f>C260/B260*100</f>
        <v>83.835140731822193</v>
      </c>
      <c r="I260" s="3">
        <f>D260/B260*100</f>
        <v>16.164859268177803</v>
      </c>
    </row>
    <row r="261" spans="1:9" ht="15">
      <c r="A261" s="266" t="s">
        <v>22</v>
      </c>
      <c r="B261" s="3">
        <v>5784.6779999999999</v>
      </c>
      <c r="C261" s="3">
        <v>4584.808</v>
      </c>
      <c r="D261" s="3">
        <v>1199.8699999999999</v>
      </c>
      <c r="E261" s="3">
        <v>695.88691128529535</v>
      </c>
      <c r="F261" s="3">
        <v>849.4</v>
      </c>
      <c r="G261" s="3">
        <v>109.3</v>
      </c>
      <c r="H261" s="3">
        <f>C261/B261*100</f>
        <v>79.257791012740896</v>
      </c>
      <c r="I261" s="3">
        <f>D261/B261*100</f>
        <v>20.742208987259101</v>
      </c>
    </row>
    <row r="262" spans="1:9" ht="15">
      <c r="A262" s="266" t="s">
        <v>23</v>
      </c>
      <c r="B262" s="3">
        <f t="shared" ref="B262" si="33">SUM(C262:D262)</f>
        <v>6129.6779999999999</v>
      </c>
      <c r="C262" s="3">
        <v>4794.808</v>
      </c>
      <c r="D262" s="3">
        <v>1334.87</v>
      </c>
      <c r="E262" s="3">
        <f t="shared" ref="E262" si="34">(G262*D262+F262*C262)/(C262+D262)</f>
        <v>694.19420987236015</v>
      </c>
      <c r="F262" s="3">
        <v>849.31654948060248</v>
      </c>
      <c r="G262" s="3">
        <v>137</v>
      </c>
      <c r="H262" s="3">
        <f>C262/B262*100</f>
        <v>78.222836501362707</v>
      </c>
      <c r="I262" s="3">
        <f>D262/B262*100</f>
        <v>21.777163498637282</v>
      </c>
    </row>
    <row r="263" spans="1:9" ht="15">
      <c r="A263" s="266" t="s">
        <v>24</v>
      </c>
      <c r="B263" s="3">
        <v>6560.6579999999994</v>
      </c>
      <c r="C263" s="3">
        <v>4997.308</v>
      </c>
      <c r="D263" s="3">
        <v>1563.35</v>
      </c>
      <c r="E263" s="3">
        <v>679.20835870216877</v>
      </c>
      <c r="F263" s="3">
        <v>849.26134302930575</v>
      </c>
      <c r="G263" s="3">
        <v>135.62749772933697</v>
      </c>
      <c r="H263" s="3">
        <v>76.170835303410129</v>
      </c>
      <c r="I263" s="3">
        <v>23.829164696589885</v>
      </c>
    </row>
    <row r="264" spans="1:9" ht="15">
      <c r="A264" s="266" t="s">
        <v>25</v>
      </c>
      <c r="B264" s="3">
        <v>6979.1898999999994</v>
      </c>
      <c r="C264" s="3">
        <v>5435.8398999999999</v>
      </c>
      <c r="D264" s="3">
        <v>1543.35</v>
      </c>
      <c r="E264" s="3">
        <v>681.38651673859817</v>
      </c>
      <c r="F264" s="3">
        <v>842.37568427545159</v>
      </c>
      <c r="G264" s="3">
        <v>114.36585365853658</v>
      </c>
      <c r="H264" s="3">
        <v>77.886401973386626</v>
      </c>
      <c r="I264" s="3">
        <v>22.113598026613378</v>
      </c>
    </row>
    <row r="265" spans="1:9" ht="15">
      <c r="A265" s="266" t="s">
        <v>26</v>
      </c>
      <c r="B265" s="3">
        <v>7528.7598999999991</v>
      </c>
      <c r="C265" s="3">
        <v>5918.3398999999999</v>
      </c>
      <c r="D265" s="3">
        <v>1610.4199999999996</v>
      </c>
      <c r="E265" s="3">
        <v>671.14966420861469</v>
      </c>
      <c r="F265" s="3">
        <v>822.98204495334789</v>
      </c>
      <c r="G265" s="3">
        <v>113.16129032258064</v>
      </c>
      <c r="H265" s="3">
        <v>78.609757498044274</v>
      </c>
      <c r="I265" s="3">
        <v>21.390242501955729</v>
      </c>
    </row>
    <row r="266" spans="1:9" ht="15">
      <c r="A266" s="266" t="s">
        <v>27</v>
      </c>
      <c r="B266" s="3">
        <v>7331.6898999999994</v>
      </c>
      <c r="C266" s="3">
        <v>5813.3398999999999</v>
      </c>
      <c r="D266" s="3">
        <v>1518.35</v>
      </c>
      <c r="E266" s="3">
        <v>667.88410689390923</v>
      </c>
      <c r="F266" s="3">
        <v>800.74413692627786</v>
      </c>
      <c r="G266" s="3">
        <v>159.19999999999999</v>
      </c>
      <c r="H266" s="3">
        <v>79.290586198960767</v>
      </c>
      <c r="I266" s="3">
        <v>20.70941380103924</v>
      </c>
    </row>
    <row r="267" spans="1:9" ht="15">
      <c r="A267" s="266" t="s">
        <v>28</v>
      </c>
      <c r="B267" s="3">
        <v>7332.5069000000003</v>
      </c>
      <c r="C267" s="3">
        <v>5949.0268999999998</v>
      </c>
      <c r="D267" s="3">
        <v>1383.48</v>
      </c>
      <c r="E267" s="3">
        <v>722.33782077366448</v>
      </c>
      <c r="F267" s="3">
        <v>849.74061807551391</v>
      </c>
      <c r="G267" s="3">
        <v>174.5</v>
      </c>
      <c r="H267" s="3">
        <v>81.132237325272754</v>
      </c>
      <c r="I267" s="3">
        <v>18.867762674727249</v>
      </c>
    </row>
    <row r="268" spans="1:9" ht="15">
      <c r="A268" s="266" t="s">
        <v>29</v>
      </c>
      <c r="B268" s="3">
        <v>7697.5300999999999</v>
      </c>
      <c r="C268" s="3">
        <v>6377.4000999999998</v>
      </c>
      <c r="D268" s="3">
        <v>1320.13</v>
      </c>
      <c r="E268" s="3">
        <v>728.84709822844866</v>
      </c>
      <c r="F268" s="3">
        <v>855.0862297178345</v>
      </c>
      <c r="G268" s="3">
        <v>119</v>
      </c>
      <c r="H268" s="3">
        <v>82.849953389594404</v>
      </c>
      <c r="I268" s="3">
        <v>17.150046610405592</v>
      </c>
    </row>
    <row r="269" spans="1:9" ht="14.25">
      <c r="A269" s="266" t="s">
        <v>3971</v>
      </c>
      <c r="B269" s="269">
        <v>9561.4249</v>
      </c>
      <c r="C269" s="269">
        <v>9353.2248999999993</v>
      </c>
      <c r="D269" s="269">
        <v>208.2</v>
      </c>
      <c r="E269" s="269">
        <v>808.21473181272665</v>
      </c>
      <c r="F269" s="269">
        <v>826.2053509801766</v>
      </c>
      <c r="G269" s="269" t="s">
        <v>93</v>
      </c>
      <c r="H269" s="269">
        <v>97.822500284450271</v>
      </c>
      <c r="I269" s="269">
        <v>2.1774997155497191</v>
      </c>
    </row>
    <row r="270" spans="1:9" ht="15">
      <c r="A270" s="266" t="s">
        <v>18</v>
      </c>
      <c r="B270" s="3">
        <f t="shared" ref="B270" si="35">SUM(C270:D270)</f>
        <v>7646.7326000000003</v>
      </c>
      <c r="C270" s="3">
        <v>6464.4326000000001</v>
      </c>
      <c r="D270" s="3">
        <v>1182.3</v>
      </c>
      <c r="E270" s="3">
        <f t="shared" ref="E270" si="36">(G270*D270+F270*C270)/(C270+D270)</f>
        <v>744.33944986759025</v>
      </c>
      <c r="F270" s="3">
        <v>863.05850005076002</v>
      </c>
      <c r="G270" s="3">
        <v>95.222222222222229</v>
      </c>
      <c r="H270" s="3">
        <f>C270/B270*100</f>
        <v>84.538494258318906</v>
      </c>
      <c r="I270" s="3">
        <f>D270/B270*100</f>
        <v>15.461505741681092</v>
      </c>
    </row>
    <row r="271" spans="1:9" ht="15">
      <c r="A271" s="266" t="s">
        <v>19</v>
      </c>
      <c r="B271" s="3">
        <v>7865.98</v>
      </c>
      <c r="C271" s="3">
        <v>6643.78</v>
      </c>
      <c r="D271" s="3">
        <v>1222.1999999999998</v>
      </c>
      <c r="E271" s="3">
        <v>750.74973423627648</v>
      </c>
      <c r="F271" s="3">
        <v>861.64385100793766</v>
      </c>
      <c r="G271" s="3">
        <v>147.93831619894416</v>
      </c>
      <c r="H271" s="3">
        <v>84.462203056707494</v>
      </c>
      <c r="I271" s="3">
        <v>15.537796943292506</v>
      </c>
    </row>
    <row r="272" spans="1:9" ht="15">
      <c r="A272" s="266" t="s">
        <v>20</v>
      </c>
      <c r="B272" s="3">
        <v>8072.8035</v>
      </c>
      <c r="C272" s="3">
        <v>6889.3035</v>
      </c>
      <c r="D272" s="3">
        <v>1183.5</v>
      </c>
      <c r="E272" s="3">
        <v>740.44352578948804</v>
      </c>
      <c r="F272" s="3">
        <v>847.79246857515818</v>
      </c>
      <c r="G272" s="3">
        <v>115.55172413793103</v>
      </c>
      <c r="H272" s="3">
        <v>85.339665458226506</v>
      </c>
      <c r="I272" s="3">
        <v>14.660334541773498</v>
      </c>
    </row>
    <row r="273" spans="1:9" ht="15">
      <c r="A273" s="266" t="s">
        <v>21</v>
      </c>
      <c r="B273" s="3">
        <v>8035.0746999999992</v>
      </c>
      <c r="C273" s="3">
        <v>6917.9746999999998</v>
      </c>
      <c r="D273" s="3">
        <v>1117.0999999999999</v>
      </c>
      <c r="E273" s="3">
        <v>752.02794056918935</v>
      </c>
      <c r="F273" s="3">
        <v>855.29145995179499</v>
      </c>
      <c r="G273" s="3">
        <v>112.53781925343812</v>
      </c>
      <c r="H273" s="3">
        <v>86.097204547457423</v>
      </c>
      <c r="I273" s="3">
        <v>13.902795452542588</v>
      </c>
    </row>
    <row r="274" spans="1:9" ht="15">
      <c r="A274" s="266" t="s">
        <v>22</v>
      </c>
      <c r="B274" s="3">
        <v>8013.9723999999997</v>
      </c>
      <c r="C274" s="3">
        <v>7036.7723999999998</v>
      </c>
      <c r="D274" s="3">
        <v>977.2</v>
      </c>
      <c r="E274" s="3">
        <v>759.34449264342447</v>
      </c>
      <c r="F274" s="3">
        <v>849.93588909261962</v>
      </c>
      <c r="G274" s="3">
        <v>107</v>
      </c>
      <c r="H274" s="3">
        <v>87.806296912128118</v>
      </c>
      <c r="I274" s="3">
        <v>12.193703087871878</v>
      </c>
    </row>
    <row r="275" spans="1:9" ht="15">
      <c r="A275" s="266" t="s">
        <v>23</v>
      </c>
      <c r="B275" s="3">
        <v>8053.5751999999993</v>
      </c>
      <c r="C275" s="3">
        <v>7105.1751999999997</v>
      </c>
      <c r="D275" s="3">
        <v>948.4</v>
      </c>
      <c r="E275" s="3">
        <v>760.87626965045615</v>
      </c>
      <c r="F275" s="3">
        <v>847.43647606370121</v>
      </c>
      <c r="G275" s="3">
        <v>112.38888888888889</v>
      </c>
      <c r="H275" s="3">
        <v>88.223863607804901</v>
      </c>
      <c r="I275" s="3">
        <v>11.776136392195109</v>
      </c>
    </row>
    <row r="276" spans="1:9" ht="15">
      <c r="A276" s="266" t="s">
        <v>24</v>
      </c>
      <c r="B276" s="3">
        <v>8218.5751999999993</v>
      </c>
      <c r="C276" s="3">
        <v>7285.1751999999997</v>
      </c>
      <c r="D276" s="3">
        <v>933.4</v>
      </c>
      <c r="E276" s="3">
        <v>764.80935507997697</v>
      </c>
      <c r="F276" s="3">
        <v>850.32195222817609</v>
      </c>
      <c r="G276" s="3">
        <v>97.384615384615387</v>
      </c>
      <c r="H276" s="3">
        <v>88.642800275162045</v>
      </c>
      <c r="I276" s="3">
        <v>11.357199724837951</v>
      </c>
    </row>
    <row r="277" spans="1:9" ht="15">
      <c r="A277" s="266" t="s">
        <v>25</v>
      </c>
      <c r="B277" s="3">
        <v>8333.5751999999993</v>
      </c>
      <c r="C277" s="3">
        <v>7615.1751999999997</v>
      </c>
      <c r="D277" s="3">
        <v>718.39999999999964</v>
      </c>
      <c r="E277" s="3">
        <v>785.94845791780631</v>
      </c>
      <c r="F277" s="3">
        <v>849.91520610114083</v>
      </c>
      <c r="G277" s="3">
        <v>107.88888888888889</v>
      </c>
      <c r="H277" s="3">
        <v>91.379450202837319</v>
      </c>
      <c r="I277" s="3">
        <v>8.6205497971626848</v>
      </c>
    </row>
    <row r="278" spans="1:9" ht="15">
      <c r="A278" s="266" t="s">
        <v>26</v>
      </c>
      <c r="B278" s="3">
        <v>8465.8322000000007</v>
      </c>
      <c r="C278" s="3">
        <v>7828.9322000000002</v>
      </c>
      <c r="D278" s="3">
        <v>636.89999999999964</v>
      </c>
      <c r="E278" s="3">
        <v>797.36864146389917</v>
      </c>
      <c r="F278" s="3">
        <v>851.94151000251782</v>
      </c>
      <c r="G278" s="3">
        <v>126.54545454545455</v>
      </c>
      <c r="H278" s="3">
        <v>92.476817577367044</v>
      </c>
      <c r="I278" s="3">
        <v>7.5231824226329405</v>
      </c>
    </row>
    <row r="279" spans="1:9" ht="15">
      <c r="A279" s="266" t="s">
        <v>27</v>
      </c>
      <c r="B279" s="3">
        <v>8247.5625999999993</v>
      </c>
      <c r="C279" s="3">
        <v>7837.4625999999998</v>
      </c>
      <c r="D279" s="3">
        <v>410.1</v>
      </c>
      <c r="E279" s="3">
        <f>(G279*D279+F279*C279)/(C279+D279)</f>
        <v>827.14844564523526</v>
      </c>
      <c r="F279" s="3">
        <v>862.05739405401107</v>
      </c>
      <c r="G279" s="3">
        <v>160</v>
      </c>
      <c r="H279" s="3">
        <v>95.027621857638295</v>
      </c>
      <c r="I279" s="3">
        <v>4.9723781423617215</v>
      </c>
    </row>
    <row r="280" spans="1:9" ht="15">
      <c r="A280" s="266" t="s">
        <v>28</v>
      </c>
      <c r="B280" s="3">
        <v>8151.5726000000004</v>
      </c>
      <c r="C280" s="3">
        <v>7851.4726000000001</v>
      </c>
      <c r="D280" s="3">
        <v>300.10000000000002</v>
      </c>
      <c r="E280" s="3">
        <v>837.8297659216621</v>
      </c>
      <c r="F280" s="3">
        <v>869.85340346872442</v>
      </c>
      <c r="G280" s="3" t="s">
        <v>93</v>
      </c>
      <c r="H280" s="3">
        <v>96.31850178209784</v>
      </c>
      <c r="I280" s="3">
        <v>3.6814982179021509</v>
      </c>
    </row>
    <row r="281" spans="1:9" ht="15">
      <c r="A281" s="266" t="s">
        <v>29</v>
      </c>
      <c r="B281" s="3">
        <v>9561.4249</v>
      </c>
      <c r="C281" s="3">
        <v>9353.2248999999993</v>
      </c>
      <c r="D281" s="3">
        <v>208.2</v>
      </c>
      <c r="E281" s="3">
        <v>808.21473181272665</v>
      </c>
      <c r="F281" s="3">
        <v>826.2053509801766</v>
      </c>
      <c r="G281" s="3" t="s">
        <v>93</v>
      </c>
      <c r="H281" s="3">
        <v>97.822500284450271</v>
      </c>
      <c r="I281" s="3">
        <v>2.1774997155497191</v>
      </c>
    </row>
    <row r="282" spans="1:9" ht="14.25">
      <c r="A282" s="266" t="s">
        <v>4202</v>
      </c>
      <c r="B282" s="269">
        <v>9346.1170999999995</v>
      </c>
      <c r="C282" s="269">
        <v>8975.3171000000002</v>
      </c>
      <c r="D282" s="269">
        <v>370.8</v>
      </c>
      <c r="E282" s="269">
        <v>909.81478674912705</v>
      </c>
      <c r="F282" s="269">
        <v>944.46761956397825</v>
      </c>
      <c r="G282" s="269">
        <v>71.033333333333331</v>
      </c>
      <c r="H282" s="269">
        <v>96.03257699392617</v>
      </c>
      <c r="I282" s="269">
        <v>3.9674230060738274</v>
      </c>
    </row>
    <row r="283" spans="1:9" ht="15">
      <c r="A283" s="266" t="s">
        <v>18</v>
      </c>
      <c r="B283" s="3">
        <v>9232.4836000000014</v>
      </c>
      <c r="C283" s="3">
        <v>9079.2836000000007</v>
      </c>
      <c r="D283" s="3">
        <v>153.19999999999999</v>
      </c>
      <c r="E283" s="3">
        <v>813.73129236896546</v>
      </c>
      <c r="F283" s="3">
        <v>827.46185080101247</v>
      </c>
      <c r="G283" s="3" t="s">
        <v>93</v>
      </c>
      <c r="H283" s="3">
        <v>98.340641514922368</v>
      </c>
      <c r="I283" s="3">
        <v>1.6593584850776228</v>
      </c>
    </row>
    <row r="284" spans="1:9" ht="15">
      <c r="A284" s="266" t="s">
        <v>19</v>
      </c>
      <c r="B284" s="3">
        <v>8898.4472000000005</v>
      </c>
      <c r="C284" s="3">
        <v>8797.2471999999998</v>
      </c>
      <c r="D284" s="3">
        <v>101.2</v>
      </c>
      <c r="E284" s="3">
        <v>821.5309223735286</v>
      </c>
      <c r="F284" s="3">
        <v>829.47117312595026</v>
      </c>
      <c r="G284" s="3">
        <v>131.29032258064515</v>
      </c>
      <c r="H284" s="3">
        <v>98.862722925411077</v>
      </c>
      <c r="I284" s="3">
        <v>1.1372770745889238</v>
      </c>
    </row>
    <row r="285" spans="1:9" ht="15">
      <c r="A285" s="266" t="s">
        <v>20</v>
      </c>
      <c r="B285" s="3">
        <v>8742.9950000000008</v>
      </c>
      <c r="C285" s="3">
        <v>8694.7950000000001</v>
      </c>
      <c r="D285" s="3">
        <v>48.2</v>
      </c>
      <c r="E285" s="3">
        <v>829.24631342991961</v>
      </c>
      <c r="F285" s="3">
        <v>833.24072526686359</v>
      </c>
      <c r="G285" s="3">
        <v>108.69461077844312</v>
      </c>
      <c r="H285" s="3">
        <v>99.448701503317793</v>
      </c>
      <c r="I285" s="3">
        <v>0.55129849668220099</v>
      </c>
    </row>
    <row r="286" spans="1:9" ht="15">
      <c r="A286" s="266" t="s">
        <v>21</v>
      </c>
      <c r="B286" s="3">
        <v>8565.6106</v>
      </c>
      <c r="C286" s="3">
        <v>8494.9105999999992</v>
      </c>
      <c r="D286" s="3">
        <v>70.7</v>
      </c>
      <c r="E286" s="3">
        <v>840.63820347557157</v>
      </c>
      <c r="F286" s="3">
        <v>846.65863657886086</v>
      </c>
      <c r="G286" s="3">
        <v>117.25714285714285</v>
      </c>
      <c r="H286" s="3">
        <v>99.174606419768836</v>
      </c>
      <c r="I286" s="3">
        <v>0.82539358023116305</v>
      </c>
    </row>
    <row r="287" spans="1:9" ht="15">
      <c r="A287" s="266" t="s">
        <v>22</v>
      </c>
      <c r="B287" s="3">
        <v>8497.6983999999993</v>
      </c>
      <c r="C287" s="3">
        <v>8310.1983999999993</v>
      </c>
      <c r="D287" s="3">
        <v>187.5</v>
      </c>
      <c r="E287" s="3">
        <v>830.29885387956699</v>
      </c>
      <c r="F287" s="3">
        <v>846.20379576427797</v>
      </c>
      <c r="G287" s="3">
        <v>125.375</v>
      </c>
      <c r="H287" s="3">
        <v>97.793520184241885</v>
      </c>
      <c r="I287" s="3">
        <f>D287/B287*100</f>
        <v>2.206479815758112</v>
      </c>
    </row>
    <row r="288" spans="1:9" ht="15">
      <c r="A288" s="266" t="s">
        <v>23</v>
      </c>
      <c r="B288" s="3">
        <v>8548.2831999999999</v>
      </c>
      <c r="C288" s="3">
        <v>7948.9831999999997</v>
      </c>
      <c r="D288" s="3">
        <v>599.29999999999995</v>
      </c>
      <c r="E288" s="3">
        <f>(G288*D288+F288*C288)/(C288+D288)</f>
        <v>801.80746564236472</v>
      </c>
      <c r="F288" s="3">
        <v>853.85740220561308</v>
      </c>
      <c r="G288" s="3">
        <v>111.42857142857143</v>
      </c>
      <c r="H288" s="3">
        <f>C288/B288*100</f>
        <v>92.989235546150368</v>
      </c>
      <c r="I288" s="3">
        <f>D288/B288*100</f>
        <v>7.0107644538496325</v>
      </c>
    </row>
    <row r="289" spans="1:9" ht="15">
      <c r="A289" s="266" t="s">
        <v>24</v>
      </c>
      <c r="B289" s="3">
        <v>8615.2831999999999</v>
      </c>
      <c r="C289" s="3">
        <v>7883.9831999999997</v>
      </c>
      <c r="D289" s="3">
        <v>731.3</v>
      </c>
      <c r="E289" s="3">
        <v>792.31387997231514</v>
      </c>
      <c r="F289" s="3">
        <v>857.11394430385178</v>
      </c>
      <c r="G289" s="3">
        <v>93.71875</v>
      </c>
      <c r="H289" s="3">
        <v>91.511596507936034</v>
      </c>
      <c r="I289" s="3">
        <v>8.4884034920639628</v>
      </c>
    </row>
    <row r="290" spans="1:9" ht="15">
      <c r="A290" s="266" t="s">
        <v>25</v>
      </c>
      <c r="B290" s="3">
        <v>8478.3415999999997</v>
      </c>
      <c r="C290" s="3">
        <v>7762.2416000000003</v>
      </c>
      <c r="D290" s="3">
        <v>716.1</v>
      </c>
      <c r="E290" s="3">
        <v>791.90841825596658</v>
      </c>
      <c r="F290" s="3">
        <v>858.42056722790517</v>
      </c>
      <c r="G290" s="3">
        <v>70.942953020134226</v>
      </c>
      <c r="H290" s="3">
        <v>91.553772733101496</v>
      </c>
      <c r="I290" s="3">
        <v>8.4462272668985179</v>
      </c>
    </row>
    <row r="291" spans="1:9" ht="15">
      <c r="A291" s="266" t="s">
        <v>26</v>
      </c>
      <c r="B291" s="3">
        <v>8409.3305999999993</v>
      </c>
      <c r="C291" s="3">
        <v>7786.9305999999997</v>
      </c>
      <c r="D291" s="3">
        <v>622.4</v>
      </c>
      <c r="E291" s="3">
        <v>806.37978856763789</v>
      </c>
      <c r="F291" s="3">
        <v>864.16778370878183</v>
      </c>
      <c r="G291" s="3">
        <v>83.38636363636364</v>
      </c>
      <c r="H291" s="3">
        <v>92.598697451614044</v>
      </c>
      <c r="I291" s="3">
        <v>7.4013025483859556</v>
      </c>
    </row>
    <row r="292" spans="1:9" ht="15">
      <c r="A292" s="266" t="s">
        <v>27</v>
      </c>
      <c r="B292" s="3">
        <f t="shared" ref="B292" si="37">SUM(C292:D292)</f>
        <v>8364.0755000000008</v>
      </c>
      <c r="C292" s="3">
        <v>7798.3755000000001</v>
      </c>
      <c r="D292" s="3">
        <v>565.70000000000005</v>
      </c>
      <c r="E292" s="3">
        <f>(G292*D292+F292*C292)/(C292+D292)</f>
        <v>819.67353151073542</v>
      </c>
      <c r="F292" s="3">
        <v>870.60972543671699</v>
      </c>
      <c r="G292" s="3">
        <v>117.5</v>
      </c>
      <c r="H292" s="3">
        <f>C292/B292*100</f>
        <v>93.23655077001635</v>
      </c>
      <c r="I292" s="3">
        <f>D292/B292*100</f>
        <v>6.7634492299836371</v>
      </c>
    </row>
    <row r="293" spans="1:9" ht="15">
      <c r="A293" s="266" t="s">
        <v>28</v>
      </c>
      <c r="B293" s="3">
        <v>8310.3426999999992</v>
      </c>
      <c r="C293" s="3">
        <v>7837.9426999999996</v>
      </c>
      <c r="D293" s="3">
        <v>472.4</v>
      </c>
      <c r="E293" s="3">
        <f t="shared" ref="E293:E294" si="38">(G293*D293+F293*C293)/(C293+D293)</f>
        <v>829.22746777136251</v>
      </c>
      <c r="F293" s="3">
        <v>872.03352908324121</v>
      </c>
      <c r="G293" s="3">
        <v>119</v>
      </c>
      <c r="H293" s="3">
        <f t="shared" ref="H293:H294" si="39">C293/B293*100</f>
        <v>94.315517216877225</v>
      </c>
      <c r="I293" s="3">
        <f t="shared" ref="I293:I294" si="40">D293/B293*100</f>
        <v>5.6844827831227702</v>
      </c>
    </row>
    <row r="294" spans="1:9" ht="15">
      <c r="A294" s="266" t="s">
        <v>29</v>
      </c>
      <c r="B294" s="3">
        <v>9346.1170999999995</v>
      </c>
      <c r="C294" s="3">
        <v>8975.3171000000002</v>
      </c>
      <c r="D294" s="3">
        <v>370.8</v>
      </c>
      <c r="E294" s="3">
        <f t="shared" si="38"/>
        <v>909.81478674912705</v>
      </c>
      <c r="F294" s="3">
        <v>944.46761956397825</v>
      </c>
      <c r="G294" s="3">
        <v>71.033333333333331</v>
      </c>
      <c r="H294" s="3">
        <f t="shared" si="39"/>
        <v>96.03257699392617</v>
      </c>
      <c r="I294" s="3">
        <f t="shared" si="40"/>
        <v>3.9674230060738274</v>
      </c>
    </row>
    <row r="295" spans="1:9" ht="15">
      <c r="A295" s="266" t="s">
        <v>4465</v>
      </c>
      <c r="B295" s="3"/>
      <c r="C295" s="3"/>
      <c r="D295" s="3"/>
      <c r="E295" s="3"/>
      <c r="F295" s="3"/>
      <c r="G295" s="3"/>
      <c r="H295" s="3"/>
      <c r="I295" s="3"/>
    </row>
    <row r="296" spans="1:9" ht="15">
      <c r="A296" s="266" t="s">
        <v>18</v>
      </c>
      <c r="B296" s="3">
        <v>8470.4171000000006</v>
      </c>
      <c r="C296" s="3">
        <v>8096.1171000000004</v>
      </c>
      <c r="D296" s="3">
        <v>374.3</v>
      </c>
      <c r="E296" s="3">
        <v>910.0729228776479</v>
      </c>
      <c r="F296" s="3">
        <v>948.68775199942991</v>
      </c>
      <c r="G296" s="3">
        <v>74.833333333333329</v>
      </c>
      <c r="H296" s="3">
        <v>95.58109127825594</v>
      </c>
      <c r="I296" s="3">
        <v>4.4189087217440566</v>
      </c>
    </row>
    <row r="297" spans="1:9" ht="15">
      <c r="A297" s="266" t="s">
        <v>19</v>
      </c>
      <c r="B297" s="3">
        <f t="shared" ref="B297" si="41">SUM(C297:D297)</f>
        <v>8225.5171000000009</v>
      </c>
      <c r="C297" s="3">
        <v>7906.1171000000004</v>
      </c>
      <c r="D297" s="3">
        <v>319.39999999999998</v>
      </c>
      <c r="E297" s="3">
        <f>(G297*D297+F297*C297)/(C297+D297)</f>
        <v>918.37586025557471</v>
      </c>
      <c r="F297" s="3">
        <v>952.45421751883407</v>
      </c>
      <c r="G297" s="3">
        <v>74.833333333333329</v>
      </c>
      <c r="H297" s="3">
        <f t="shared" ref="H297" si="42">C297/B297*100</f>
        <v>96.11696144914707</v>
      </c>
      <c r="I297" s="3">
        <f t="shared" ref="I297" si="43">D297/B297*100</f>
        <v>3.8830385508529295</v>
      </c>
    </row>
    <row r="298" spans="1:9" ht="15">
      <c r="A298" s="266" t="s">
        <v>20</v>
      </c>
      <c r="B298" s="3">
        <v>7971.1337999999996</v>
      </c>
      <c r="C298" s="3">
        <v>7664.2338</v>
      </c>
      <c r="D298" s="3">
        <v>306.89999999999998</v>
      </c>
      <c r="E298" s="3">
        <v>935.38708545502573</v>
      </c>
      <c r="F298" s="3">
        <v>970.11228881395482</v>
      </c>
      <c r="G298" s="3">
        <v>68.192307692307693</v>
      </c>
      <c r="H298" s="3">
        <v>96.149857627530992</v>
      </c>
      <c r="I298" s="3">
        <v>3.8501423724690205</v>
      </c>
    </row>
    <row r="299" spans="1:9" ht="15">
      <c r="A299" s="266" t="s">
        <v>21</v>
      </c>
      <c r="B299" s="3">
        <f t="shared" ref="B299" si="44">SUM(C299:D299)</f>
        <v>7605.3049000000001</v>
      </c>
      <c r="C299" s="3">
        <v>7250.5048999999999</v>
      </c>
      <c r="D299" s="3">
        <v>354.8</v>
      </c>
      <c r="E299" s="3">
        <f>(G299*D299+F299*C299)/(C299+D299)</f>
        <v>940.21982410787973</v>
      </c>
      <c r="F299" s="3">
        <v>982.12539743184175</v>
      </c>
      <c r="G299" s="3">
        <v>83.859720605355065</v>
      </c>
      <c r="H299" s="3">
        <f t="shared" ref="H299" si="45">C299/B299*100</f>
        <v>95.334835293717148</v>
      </c>
      <c r="I299" s="3">
        <f t="shared" ref="I299" si="46">D299/B299*100</f>
        <v>4.6651647062828472</v>
      </c>
    </row>
    <row r="300" spans="1:9" ht="15">
      <c r="A300" s="266" t="s">
        <v>22</v>
      </c>
      <c r="B300" s="3">
        <v>7602.1034</v>
      </c>
      <c r="C300" s="3">
        <v>7208.3033999999998</v>
      </c>
      <c r="D300" s="3">
        <v>393.8</v>
      </c>
      <c r="E300" s="3">
        <v>1001.5339887621537</v>
      </c>
      <c r="F300" s="3">
        <v>1052.2199378847276</v>
      </c>
      <c r="G300" s="3">
        <v>73.754152823920265</v>
      </c>
      <c r="H300" s="3">
        <v>94.819854725995967</v>
      </c>
      <c r="I300" s="3">
        <v>5.180145274004035</v>
      </c>
    </row>
    <row r="301" spans="1:9" ht="15">
      <c r="A301" s="707" t="s">
        <v>23</v>
      </c>
      <c r="B301" s="3">
        <f t="shared" ref="B301" si="47">SUM(C301:D301)</f>
        <v>7687.1034</v>
      </c>
      <c r="C301" s="708">
        <v>7203.3033999999998</v>
      </c>
      <c r="D301" s="708">
        <v>483.8</v>
      </c>
      <c r="E301" s="3">
        <f>(G301*D301+F301*C301)/(C301+D301)</f>
        <v>990.69457949512719</v>
      </c>
      <c r="F301" s="708">
        <v>1052.2199378847276</v>
      </c>
      <c r="G301" s="708">
        <v>74.642857142857139</v>
      </c>
      <c r="H301" s="3">
        <f>C301/B301*100</f>
        <v>93.706341975314132</v>
      </c>
      <c r="I301" s="3">
        <f>D301/B301*100</f>
        <v>6.2936580246858647</v>
      </c>
    </row>
    <row r="302" spans="1:9" s="464" customFormat="1" ht="27.75" customHeight="1">
      <c r="A302" s="2533" t="s">
        <v>2692</v>
      </c>
      <c r="B302" s="2534"/>
      <c r="C302" s="2534"/>
      <c r="D302" s="2534"/>
      <c r="E302" s="2534"/>
      <c r="F302" s="2534"/>
      <c r="G302" s="2534"/>
      <c r="H302" s="2534"/>
      <c r="I302" s="2535"/>
    </row>
    <row r="303" spans="1:9">
      <c r="D303" s="12"/>
    </row>
    <row r="304" spans="1:9">
      <c r="D304" s="12"/>
    </row>
    <row r="305" spans="4:9">
      <c r="D305" s="12"/>
    </row>
    <row r="306" spans="4:9" ht="15">
      <c r="D306" s="12"/>
      <c r="I306" s="156"/>
    </row>
    <row r="309" spans="4:9">
      <c r="G309" s="1989"/>
    </row>
  </sheetData>
  <mergeCells count="11">
    <mergeCell ref="A302:I302"/>
    <mergeCell ref="A8:A9"/>
    <mergeCell ref="B8:D8"/>
    <mergeCell ref="E8:G8"/>
    <mergeCell ref="H8:I8"/>
    <mergeCell ref="A2:I2"/>
    <mergeCell ref="A3:I3"/>
    <mergeCell ref="E6:G6"/>
    <mergeCell ref="B6:D6"/>
    <mergeCell ref="H6:I6"/>
    <mergeCell ref="A6:A7"/>
  </mergeCells>
  <pageMargins left="0.17" right="0.17" top="0.53" bottom="0.23" header="0.17" footer="0.17"/>
  <pageSetup scale="21" orientation="landscape" r:id="rId1"/>
  <ignoredErrors>
    <ignoredError sqref="A174:A240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30">
    <tabColor rgb="FF92D050"/>
  </sheetPr>
  <dimension ref="A1:CD582"/>
  <sheetViews>
    <sheetView showGridLines="0" view="pageBreakPreview" zoomScaleNormal="100" zoomScaleSheetLayoutView="100" workbookViewId="0">
      <pane ySplit="19" topLeftCell="A291" activePane="bottomLeft" state="frozen"/>
      <selection activeCell="F40" sqref="F40"/>
      <selection pane="bottomLeft" activeCell="F40" sqref="F40"/>
    </sheetView>
  </sheetViews>
  <sheetFormatPr defaultColWidth="9.140625" defaultRowHeight="15"/>
  <cols>
    <col min="1" max="1" width="8.42578125" style="67" customWidth="1"/>
    <col min="2" max="13" width="14.140625" style="76" customWidth="1"/>
    <col min="14" max="14" width="10.7109375" style="76" bestFit="1" customWidth="1"/>
    <col min="15" max="15" width="9.140625" style="76" customWidth="1"/>
    <col min="16" max="79" width="9.140625" style="76"/>
    <col min="80" max="80" width="0" style="76" hidden="1" customWidth="1"/>
    <col min="81" max="16384" width="9.140625" style="76"/>
  </cols>
  <sheetData>
    <row r="1" spans="1:82" ht="9" customHeight="1"/>
    <row r="2" spans="1:82" s="317" customFormat="1" ht="25.5" customHeight="1">
      <c r="A2" s="2415" t="s">
        <v>969</v>
      </c>
      <c r="B2" s="2415"/>
      <c r="C2" s="2415"/>
      <c r="D2" s="2415"/>
      <c r="E2" s="2415"/>
      <c r="F2" s="2415"/>
      <c r="G2" s="2415"/>
      <c r="H2" s="2415"/>
      <c r="I2" s="2415"/>
      <c r="J2" s="2415"/>
      <c r="K2" s="2415"/>
      <c r="L2" s="2415"/>
      <c r="M2" s="2415"/>
      <c r="N2" s="136"/>
      <c r="O2" s="136"/>
    </row>
    <row r="3" spans="1:82" s="318" customFormat="1" ht="30" customHeight="1">
      <c r="A3" s="2416" t="s">
        <v>2703</v>
      </c>
      <c r="B3" s="2416"/>
      <c r="C3" s="2416"/>
      <c r="D3" s="2416"/>
      <c r="E3" s="2416"/>
      <c r="F3" s="2416"/>
      <c r="G3" s="2416"/>
      <c r="H3" s="2416"/>
      <c r="I3" s="2416"/>
      <c r="J3" s="2416"/>
      <c r="K3" s="2416"/>
      <c r="L3" s="2416"/>
      <c r="M3" s="2416"/>
      <c r="N3" s="55"/>
      <c r="O3" s="55"/>
    </row>
    <row r="4" spans="1:82" s="318" customFormat="1" ht="13.5" customHeight="1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5"/>
      <c r="O4" s="55"/>
    </row>
    <row r="5" spans="1:82" s="318" customFormat="1" ht="13.5" customHeight="1">
      <c r="A5" s="479"/>
      <c r="B5" s="479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55"/>
      <c r="O5" s="55"/>
    </row>
    <row r="6" spans="1:82" s="161" customFormat="1" ht="30" customHeight="1">
      <c r="A6" s="2541" t="s">
        <v>182</v>
      </c>
      <c r="B6" s="550" t="s">
        <v>1215</v>
      </c>
      <c r="C6" s="552" t="s">
        <v>237</v>
      </c>
      <c r="D6" s="551" t="s">
        <v>243</v>
      </c>
      <c r="E6" s="552" t="s">
        <v>258</v>
      </c>
      <c r="F6" s="550" t="s">
        <v>1215</v>
      </c>
      <c r="G6" s="552" t="s">
        <v>237</v>
      </c>
      <c r="H6" s="551" t="s">
        <v>243</v>
      </c>
      <c r="I6" s="552" t="s">
        <v>258</v>
      </c>
      <c r="J6" s="550" t="s">
        <v>1215</v>
      </c>
      <c r="K6" s="552" t="s">
        <v>237</v>
      </c>
      <c r="L6" s="551" t="s">
        <v>243</v>
      </c>
      <c r="M6" s="552" t="s">
        <v>258</v>
      </c>
    </row>
    <row r="7" spans="1:82" s="161" customFormat="1" ht="21" customHeight="1">
      <c r="A7" s="2541"/>
      <c r="B7" s="2541" t="s">
        <v>973</v>
      </c>
      <c r="C7" s="2541"/>
      <c r="D7" s="2541"/>
      <c r="E7" s="2541"/>
      <c r="F7" s="2541" t="s">
        <v>974</v>
      </c>
      <c r="G7" s="2541"/>
      <c r="H7" s="2541"/>
      <c r="I7" s="2541"/>
      <c r="J7" s="2541" t="s">
        <v>975</v>
      </c>
      <c r="K7" s="2541"/>
      <c r="L7" s="2541"/>
      <c r="M7" s="2541"/>
      <c r="CC7" s="90" t="s">
        <v>2049</v>
      </c>
      <c r="CD7" s="291" t="s">
        <v>2050</v>
      </c>
    </row>
    <row r="8" spans="1:82" ht="27.6" customHeight="1">
      <c r="A8" s="2539" t="s">
        <v>283</v>
      </c>
      <c r="B8" s="553" t="s">
        <v>970</v>
      </c>
      <c r="C8" s="555" t="s">
        <v>972</v>
      </c>
      <c r="D8" s="554" t="s">
        <v>971</v>
      </c>
      <c r="E8" s="555" t="s">
        <v>2604</v>
      </c>
      <c r="F8" s="553" t="s">
        <v>970</v>
      </c>
      <c r="G8" s="555" t="s">
        <v>972</v>
      </c>
      <c r="H8" s="554" t="s">
        <v>971</v>
      </c>
      <c r="I8" s="555" t="s">
        <v>2604</v>
      </c>
      <c r="J8" s="553" t="s">
        <v>970</v>
      </c>
      <c r="K8" s="555" t="s">
        <v>972</v>
      </c>
      <c r="L8" s="554" t="s">
        <v>971</v>
      </c>
      <c r="M8" s="555" t="s">
        <v>2604</v>
      </c>
      <c r="N8" s="162"/>
      <c r="O8" s="162"/>
      <c r="BY8" s="76">
        <f>BY10+BY22+BY32+BY40</f>
        <v>0</v>
      </c>
      <c r="CC8" s="76">
        <f>CC10+CC22+CC32+CC40</f>
        <v>622</v>
      </c>
      <c r="CD8" s="292">
        <f>BY8+BZ8+CA8+CC8</f>
        <v>622</v>
      </c>
    </row>
    <row r="9" spans="1:82" ht="21" customHeight="1">
      <c r="A9" s="2540"/>
      <c r="B9" s="2542" t="s">
        <v>976</v>
      </c>
      <c r="C9" s="2543"/>
      <c r="D9" s="2543"/>
      <c r="E9" s="2544"/>
      <c r="F9" s="2542" t="s">
        <v>977</v>
      </c>
      <c r="G9" s="2543"/>
      <c r="H9" s="2543"/>
      <c r="I9" s="2544"/>
      <c r="J9" s="2542" t="s">
        <v>978</v>
      </c>
      <c r="K9" s="2543"/>
      <c r="L9" s="2543"/>
      <c r="M9" s="2544"/>
      <c r="N9" s="162"/>
      <c r="O9" s="162"/>
      <c r="CD9" s="292"/>
    </row>
    <row r="10" spans="1:82" hidden="1">
      <c r="A10" s="68">
        <v>1995</v>
      </c>
      <c r="B10" s="163">
        <v>49372.4</v>
      </c>
      <c r="C10" s="106" t="s">
        <v>93</v>
      </c>
      <c r="D10" s="106" t="s">
        <v>93</v>
      </c>
      <c r="E10" s="106" t="s">
        <v>93</v>
      </c>
      <c r="F10" s="163">
        <v>80414.899999999994</v>
      </c>
      <c r="G10" s="106" t="s">
        <v>93</v>
      </c>
      <c r="H10" s="106" t="s">
        <v>93</v>
      </c>
      <c r="I10" s="106" t="s">
        <v>93</v>
      </c>
      <c r="J10" s="164">
        <v>0.90393999999999997</v>
      </c>
      <c r="K10" s="106" t="s">
        <v>93</v>
      </c>
      <c r="L10" s="106" t="s">
        <v>93</v>
      </c>
      <c r="M10" s="106" t="s">
        <v>93</v>
      </c>
      <c r="N10" s="165"/>
      <c r="O10" s="162"/>
      <c r="CC10" s="76">
        <f>CC12+CC17</f>
        <v>1713</v>
      </c>
      <c r="CD10" s="292">
        <f>BY10+BZ10+CA10+CC10</f>
        <v>1713</v>
      </c>
    </row>
    <row r="11" spans="1:82" hidden="1">
      <c r="A11" s="68">
        <v>1996</v>
      </c>
      <c r="B11" s="163">
        <v>113097.9</v>
      </c>
      <c r="C11" s="106" t="s">
        <v>93</v>
      </c>
      <c r="D11" s="106" t="s">
        <v>93</v>
      </c>
      <c r="E11" s="106" t="s">
        <v>93</v>
      </c>
      <c r="F11" s="163">
        <v>156395.79999999999</v>
      </c>
      <c r="G11" s="106" t="s">
        <v>93</v>
      </c>
      <c r="H11" s="106" t="s">
        <v>93</v>
      </c>
      <c r="I11" s="106" t="s">
        <v>93</v>
      </c>
      <c r="J11" s="164">
        <v>0.86632000000000009</v>
      </c>
      <c r="K11" s="106" t="s">
        <v>93</v>
      </c>
      <c r="L11" s="106" t="s">
        <v>93</v>
      </c>
      <c r="M11" s="106" t="s">
        <v>93</v>
      </c>
      <c r="N11" s="165"/>
      <c r="O11" s="162"/>
      <c r="CD11" s="292"/>
    </row>
    <row r="12" spans="1:82" hidden="1">
      <c r="A12" s="68">
        <v>1997</v>
      </c>
      <c r="B12" s="163">
        <v>200454.2</v>
      </c>
      <c r="C12" s="106" t="s">
        <v>93</v>
      </c>
      <c r="D12" s="106" t="s">
        <v>93</v>
      </c>
      <c r="E12" s="106" t="s">
        <v>93</v>
      </c>
      <c r="F12" s="163">
        <v>327116.90000000002</v>
      </c>
      <c r="G12" s="106" t="s">
        <v>93</v>
      </c>
      <c r="H12" s="106" t="s">
        <v>93</v>
      </c>
      <c r="I12" s="106" t="s">
        <v>93</v>
      </c>
      <c r="J12" s="164">
        <v>0.80468000000000006</v>
      </c>
      <c r="K12" s="106" t="s">
        <v>93</v>
      </c>
      <c r="L12" s="106" t="s">
        <v>93</v>
      </c>
      <c r="M12" s="106" t="s">
        <v>93</v>
      </c>
      <c r="N12" s="165"/>
      <c r="O12" s="162"/>
      <c r="CC12" s="76">
        <f>CC14+CC15</f>
        <v>4361</v>
      </c>
      <c r="CD12" s="292">
        <f>BY12+BZ12+CA12+CC12</f>
        <v>4361</v>
      </c>
    </row>
    <row r="13" spans="1:82" hidden="1">
      <c r="A13" s="68">
        <v>1998</v>
      </c>
      <c r="B13" s="163">
        <v>138687.29999999999</v>
      </c>
      <c r="C13" s="106" t="s">
        <v>93</v>
      </c>
      <c r="D13" s="106" t="s">
        <v>93</v>
      </c>
      <c r="E13" s="106" t="s">
        <v>93</v>
      </c>
      <c r="F13" s="163">
        <v>240716</v>
      </c>
      <c r="G13" s="106" t="s">
        <v>93</v>
      </c>
      <c r="H13" s="106" t="s">
        <v>93</v>
      </c>
      <c r="I13" s="106" t="s">
        <v>93</v>
      </c>
      <c r="J13" s="164">
        <v>0.77733999999999992</v>
      </c>
      <c r="K13" s="106" t="s">
        <v>93</v>
      </c>
      <c r="L13" s="106" t="s">
        <v>93</v>
      </c>
      <c r="M13" s="106" t="s">
        <v>93</v>
      </c>
      <c r="N13" s="165"/>
      <c r="O13" s="162"/>
      <c r="CD13" s="292"/>
    </row>
    <row r="14" spans="1:82" hidden="1">
      <c r="A14" s="68">
        <v>1999</v>
      </c>
      <c r="B14" s="163">
        <v>244953.3</v>
      </c>
      <c r="C14" s="106" t="s">
        <v>93</v>
      </c>
      <c r="D14" s="106" t="s">
        <v>93</v>
      </c>
      <c r="E14" s="106" t="s">
        <v>93</v>
      </c>
      <c r="F14" s="163">
        <v>654596.4</v>
      </c>
      <c r="G14" s="106" t="s">
        <v>93</v>
      </c>
      <c r="H14" s="106" t="s">
        <v>93</v>
      </c>
      <c r="I14" s="106" t="s">
        <v>93</v>
      </c>
      <c r="J14" s="164">
        <v>0.83356000000000008</v>
      </c>
      <c r="K14" s="106" t="s">
        <v>93</v>
      </c>
      <c r="L14" s="106" t="s">
        <v>93</v>
      </c>
      <c r="M14" s="106" t="s">
        <v>93</v>
      </c>
      <c r="N14" s="165"/>
      <c r="O14" s="162"/>
      <c r="CC14" s="76">
        <v>3917</v>
      </c>
      <c r="CD14" s="292">
        <f>BY14+BZ14+CA14+CC14</f>
        <v>3917</v>
      </c>
    </row>
    <row r="15" spans="1:82" hidden="1">
      <c r="A15" s="68">
        <v>2000</v>
      </c>
      <c r="B15" s="163">
        <v>211600</v>
      </c>
      <c r="C15" s="106" t="s">
        <v>93</v>
      </c>
      <c r="D15" s="106" t="s">
        <v>93</v>
      </c>
      <c r="E15" s="106" t="s">
        <v>93</v>
      </c>
      <c r="F15" s="163">
        <v>538200</v>
      </c>
      <c r="G15" s="106" t="s">
        <v>93</v>
      </c>
      <c r="H15" s="106" t="s">
        <v>93</v>
      </c>
      <c r="I15" s="106" t="s">
        <v>93</v>
      </c>
      <c r="J15" s="164">
        <v>0.89713999999999994</v>
      </c>
      <c r="K15" s="106" t="s">
        <v>93</v>
      </c>
      <c r="L15" s="106" t="s">
        <v>93</v>
      </c>
      <c r="M15" s="106" t="s">
        <v>93</v>
      </c>
      <c r="N15" s="165"/>
      <c r="O15" s="162"/>
      <c r="CC15" s="76">
        <v>444</v>
      </c>
      <c r="CD15" s="292">
        <f t="shared" ref="CD15:CD56" si="0">BY15+BZ15+CA15+CC15</f>
        <v>444</v>
      </c>
    </row>
    <row r="16" spans="1:82" hidden="1">
      <c r="A16" s="68">
        <v>2001</v>
      </c>
      <c r="B16" s="163">
        <v>292820.90000000002</v>
      </c>
      <c r="C16" s="106" t="s">
        <v>93</v>
      </c>
      <c r="D16" s="106" t="s">
        <v>93</v>
      </c>
      <c r="E16" s="106" t="s">
        <v>93</v>
      </c>
      <c r="F16" s="163">
        <v>554903.9</v>
      </c>
      <c r="G16" s="106" t="s">
        <v>93</v>
      </c>
      <c r="H16" s="166" t="s">
        <v>93</v>
      </c>
      <c r="I16" s="106" t="s">
        <v>93</v>
      </c>
      <c r="J16" s="164">
        <v>0.93406</v>
      </c>
      <c r="K16" s="106" t="s">
        <v>93</v>
      </c>
      <c r="L16" s="106" t="s">
        <v>93</v>
      </c>
      <c r="M16" s="106" t="s">
        <v>93</v>
      </c>
      <c r="N16" s="165"/>
      <c r="O16" s="162"/>
      <c r="CD16" s="292"/>
    </row>
    <row r="17" spans="1:82" hidden="1">
      <c r="A17" s="68">
        <v>2002</v>
      </c>
      <c r="B17" s="163">
        <v>403822.8</v>
      </c>
      <c r="C17" s="106" t="s">
        <v>93</v>
      </c>
      <c r="D17" s="106" t="s">
        <v>93</v>
      </c>
      <c r="E17" s="106" t="s">
        <v>93</v>
      </c>
      <c r="F17" s="163">
        <v>787168</v>
      </c>
      <c r="G17" s="106" t="s">
        <v>93</v>
      </c>
      <c r="H17" s="106" t="s">
        <v>93</v>
      </c>
      <c r="I17" s="106" t="s">
        <v>93</v>
      </c>
      <c r="J17" s="164">
        <v>0.97309999999999997</v>
      </c>
      <c r="K17" s="106" t="s">
        <v>93</v>
      </c>
      <c r="L17" s="106" t="s">
        <v>93</v>
      </c>
      <c r="M17" s="106" t="s">
        <v>93</v>
      </c>
      <c r="N17" s="165"/>
      <c r="O17" s="162"/>
      <c r="CC17" s="76">
        <f>CC19+CC20</f>
        <v>-2648</v>
      </c>
      <c r="CD17" s="292">
        <f t="shared" si="0"/>
        <v>-2648</v>
      </c>
    </row>
    <row r="18" spans="1:82" hidden="1">
      <c r="A18" s="68">
        <v>2003</v>
      </c>
      <c r="B18" s="163">
        <v>720831.3</v>
      </c>
      <c r="C18" s="106" t="s">
        <v>93</v>
      </c>
      <c r="D18" s="106" t="s">
        <v>93</v>
      </c>
      <c r="E18" s="106" t="s">
        <v>93</v>
      </c>
      <c r="F18" s="163">
        <v>940550.3</v>
      </c>
      <c r="G18" s="106" t="s">
        <v>93</v>
      </c>
      <c r="H18" s="106" t="s">
        <v>93</v>
      </c>
      <c r="I18" s="106" t="s">
        <v>93</v>
      </c>
      <c r="J18" s="164">
        <v>0.98307999999999995</v>
      </c>
      <c r="K18" s="106" t="s">
        <v>93</v>
      </c>
      <c r="L18" s="106" t="s">
        <v>93</v>
      </c>
      <c r="M18" s="106" t="s">
        <v>93</v>
      </c>
      <c r="N18" s="165"/>
      <c r="O18" s="162"/>
      <c r="CD18" s="292"/>
    </row>
    <row r="19" spans="1:82" hidden="1">
      <c r="A19" s="68">
        <v>2004</v>
      </c>
      <c r="B19" s="163">
        <v>855671.4</v>
      </c>
      <c r="C19" s="106" t="s">
        <v>93</v>
      </c>
      <c r="D19" s="106" t="s">
        <v>93</v>
      </c>
      <c r="E19" s="106" t="s">
        <v>93</v>
      </c>
      <c r="F19" s="163">
        <v>1173998.3</v>
      </c>
      <c r="G19" s="106" t="s">
        <v>93</v>
      </c>
      <c r="H19" s="106" t="s">
        <v>93</v>
      </c>
      <c r="I19" s="106" t="s">
        <v>93</v>
      </c>
      <c r="J19" s="164">
        <v>0.9835799999999999</v>
      </c>
      <c r="K19" s="106" t="s">
        <v>93</v>
      </c>
      <c r="L19" s="106" t="s">
        <v>93</v>
      </c>
      <c r="M19" s="106" t="s">
        <v>93</v>
      </c>
      <c r="N19" s="165"/>
      <c r="O19" s="162"/>
      <c r="CC19" s="76">
        <v>-367</v>
      </c>
      <c r="CD19" s="292">
        <f t="shared" si="0"/>
        <v>-367</v>
      </c>
    </row>
    <row r="20" spans="1:82" s="112" customFormat="1" ht="14.25">
      <c r="A20" s="70">
        <v>2005</v>
      </c>
      <c r="B20" s="709">
        <v>945168.9</v>
      </c>
      <c r="C20" s="710">
        <v>10991.4</v>
      </c>
      <c r="D20" s="710">
        <v>511.5</v>
      </c>
      <c r="E20" s="710">
        <v>123013.1</v>
      </c>
      <c r="F20" s="710">
        <v>1363845</v>
      </c>
      <c r="G20" s="710">
        <v>86946.8</v>
      </c>
      <c r="H20" s="710">
        <v>1086.4000000000001</v>
      </c>
      <c r="I20" s="710">
        <v>133123.79999999999</v>
      </c>
      <c r="J20" s="710">
        <v>0.94689999999999996</v>
      </c>
      <c r="K20" s="711">
        <v>1.1835</v>
      </c>
      <c r="L20" s="711">
        <v>1.7343999999999999</v>
      </c>
      <c r="M20" s="711">
        <v>3.2800000000000003E-2</v>
      </c>
      <c r="N20" s="167"/>
      <c r="O20" s="161"/>
      <c r="CC20" s="112">
        <v>-2281</v>
      </c>
      <c r="CD20" s="220">
        <f t="shared" si="0"/>
        <v>-2281</v>
      </c>
    </row>
    <row r="21" spans="1:82" s="112" customFormat="1" ht="14.25" hidden="1">
      <c r="A21" s="71" t="s">
        <v>18</v>
      </c>
      <c r="B21" s="709">
        <v>65243.5</v>
      </c>
      <c r="C21" s="710">
        <v>1073.5</v>
      </c>
      <c r="D21" s="710">
        <v>99.4</v>
      </c>
      <c r="E21" s="710">
        <v>10655.7</v>
      </c>
      <c r="F21" s="710">
        <v>81170.899999999994</v>
      </c>
      <c r="G21" s="710">
        <v>6637.6</v>
      </c>
      <c r="H21" s="710">
        <v>122.4</v>
      </c>
      <c r="I21" s="710">
        <v>12362</v>
      </c>
      <c r="J21" s="710">
        <v>0.98198200000000002</v>
      </c>
      <c r="K21" s="711">
        <v>1.300764</v>
      </c>
      <c r="L21" s="711">
        <v>1.8438540000000001</v>
      </c>
      <c r="M21" s="711">
        <v>3.3862240000000002E-2</v>
      </c>
      <c r="N21" s="167"/>
      <c r="O21" s="161"/>
      <c r="CD21" s="220"/>
    </row>
    <row r="22" spans="1:82" s="112" customFormat="1" ht="14.25" hidden="1">
      <c r="A22" s="71" t="s">
        <v>19</v>
      </c>
      <c r="B22" s="709">
        <v>62929.3</v>
      </c>
      <c r="C22" s="710">
        <v>790.6</v>
      </c>
      <c r="D22" s="710">
        <v>33.6</v>
      </c>
      <c r="E22" s="710">
        <v>9767.7999999999993</v>
      </c>
      <c r="F22" s="710">
        <v>91276.1</v>
      </c>
      <c r="G22" s="710">
        <v>4084.9</v>
      </c>
      <c r="H22" s="710">
        <v>43</v>
      </c>
      <c r="I22" s="710">
        <v>11891</v>
      </c>
      <c r="J22" s="710">
        <v>0.98125799999999996</v>
      </c>
      <c r="K22" s="711">
        <v>1.274912</v>
      </c>
      <c r="L22" s="711">
        <v>1.8333840000000001</v>
      </c>
      <c r="M22" s="711">
        <v>3.4174000000000003E-2</v>
      </c>
      <c r="N22" s="167"/>
      <c r="O22" s="161"/>
      <c r="CC22" s="112">
        <f>CC24+CC25</f>
        <v>-797</v>
      </c>
      <c r="CD22" s="220">
        <f t="shared" si="0"/>
        <v>-797</v>
      </c>
    </row>
    <row r="23" spans="1:82" s="112" customFormat="1" ht="14.25" hidden="1">
      <c r="A23" s="71" t="s">
        <v>20</v>
      </c>
      <c r="B23" s="709">
        <v>78218.899999999994</v>
      </c>
      <c r="C23" s="710">
        <v>898.6</v>
      </c>
      <c r="D23" s="710">
        <v>55.4</v>
      </c>
      <c r="E23" s="710">
        <v>11385.4</v>
      </c>
      <c r="F23" s="710">
        <v>112266.6</v>
      </c>
      <c r="G23" s="710">
        <v>7220.6</v>
      </c>
      <c r="H23" s="710">
        <v>52.7</v>
      </c>
      <c r="I23" s="710">
        <v>12052.2</v>
      </c>
      <c r="J23" s="710">
        <v>0.97741800000000001</v>
      </c>
      <c r="K23" s="711">
        <v>1.2812620000000001</v>
      </c>
      <c r="L23" s="711">
        <v>1.8467099999999999</v>
      </c>
      <c r="M23" s="711">
        <v>3.4683120000000005E-2</v>
      </c>
      <c r="N23" s="167"/>
      <c r="O23" s="161"/>
      <c r="CD23" s="220"/>
    </row>
    <row r="24" spans="1:82" s="112" customFormat="1" ht="14.25" hidden="1">
      <c r="A24" s="71" t="s">
        <v>21</v>
      </c>
      <c r="B24" s="709">
        <v>86914.9</v>
      </c>
      <c r="C24" s="710">
        <v>1069</v>
      </c>
      <c r="D24" s="710">
        <v>43.2</v>
      </c>
      <c r="E24" s="710">
        <v>9900.6</v>
      </c>
      <c r="F24" s="710">
        <v>90769.8</v>
      </c>
      <c r="G24" s="710">
        <v>9622</v>
      </c>
      <c r="H24" s="710">
        <v>50.8</v>
      </c>
      <c r="I24" s="710">
        <v>10957.2</v>
      </c>
      <c r="J24" s="710">
        <v>0.96686200000000011</v>
      </c>
      <c r="K24" s="711">
        <v>1.2555620000000001</v>
      </c>
      <c r="L24" s="711">
        <v>1.8246819999999999</v>
      </c>
      <c r="M24" s="711">
        <v>3.425044E-2</v>
      </c>
      <c r="N24" s="167"/>
      <c r="O24" s="161"/>
      <c r="CC24" s="112">
        <v>-644</v>
      </c>
      <c r="CD24" s="220">
        <f t="shared" si="0"/>
        <v>-644</v>
      </c>
    </row>
    <row r="25" spans="1:82" s="112" customFormat="1" ht="14.25" hidden="1">
      <c r="A25" s="71" t="s">
        <v>22</v>
      </c>
      <c r="B25" s="709">
        <v>81552.2</v>
      </c>
      <c r="C25" s="710">
        <v>1972.4</v>
      </c>
      <c r="D25" s="710">
        <v>26.7</v>
      </c>
      <c r="E25" s="710">
        <v>15387.2</v>
      </c>
      <c r="F25" s="710">
        <v>99121.1</v>
      </c>
      <c r="G25" s="710">
        <v>7897.7</v>
      </c>
      <c r="H25" s="710">
        <v>64</v>
      </c>
      <c r="I25" s="710">
        <v>18224.2</v>
      </c>
      <c r="J25" s="710">
        <v>0.95774599999999988</v>
      </c>
      <c r="K25" s="711">
        <v>1.226864</v>
      </c>
      <c r="L25" s="711">
        <v>1.800584</v>
      </c>
      <c r="M25" s="711">
        <v>3.3863940000000002E-2</v>
      </c>
      <c r="N25" s="167"/>
      <c r="O25" s="161"/>
      <c r="CC25" s="112">
        <v>-153</v>
      </c>
      <c r="CD25" s="220">
        <f t="shared" si="0"/>
        <v>-153</v>
      </c>
    </row>
    <row r="26" spans="1:82" s="112" customFormat="1" ht="14.25" hidden="1">
      <c r="A26" s="71" t="s">
        <v>23</v>
      </c>
      <c r="B26" s="709">
        <v>83202.100000000006</v>
      </c>
      <c r="C26" s="710">
        <v>707.5</v>
      </c>
      <c r="D26" s="710">
        <v>16.600000000000001</v>
      </c>
      <c r="E26" s="710">
        <v>11221</v>
      </c>
      <c r="F26" s="710">
        <v>99832.2</v>
      </c>
      <c r="G26" s="710">
        <v>2072.3000000000002</v>
      </c>
      <c r="H26" s="710">
        <v>50.8</v>
      </c>
      <c r="I26" s="710">
        <v>15110.7</v>
      </c>
      <c r="J26" s="710">
        <v>0.94742199999999999</v>
      </c>
      <c r="K26" s="711">
        <v>1.15526</v>
      </c>
      <c r="L26" s="711">
        <v>1.8207439999999999</v>
      </c>
      <c r="M26" s="711">
        <v>3.2473639999999998E-2</v>
      </c>
      <c r="N26" s="167"/>
      <c r="O26" s="161"/>
      <c r="CD26" s="220"/>
    </row>
    <row r="27" spans="1:82" s="112" customFormat="1" ht="14.25" hidden="1">
      <c r="A27" s="71" t="s">
        <v>24</v>
      </c>
      <c r="B27" s="709">
        <v>85813</v>
      </c>
      <c r="C27" s="710">
        <v>675.8</v>
      </c>
      <c r="D27" s="710">
        <v>30</v>
      </c>
      <c r="E27" s="710">
        <v>10451</v>
      </c>
      <c r="F27" s="710">
        <v>100099.6</v>
      </c>
      <c r="G27" s="710">
        <v>3576.5</v>
      </c>
      <c r="H27" s="710">
        <v>101.9</v>
      </c>
      <c r="I27" s="710">
        <v>10955.4</v>
      </c>
      <c r="J27" s="710">
        <v>0.94170200000000004</v>
      </c>
      <c r="K27" s="711">
        <v>1.1333500000000001</v>
      </c>
      <c r="L27" s="711">
        <v>1.6512279999999999</v>
      </c>
      <c r="M27" s="711">
        <v>3.2087020000000001E-2</v>
      </c>
      <c r="N27" s="167"/>
      <c r="O27" s="161"/>
      <c r="CD27" s="220"/>
    </row>
    <row r="28" spans="1:82" s="112" customFormat="1" ht="14.25" hidden="1">
      <c r="A28" s="71" t="s">
        <v>25</v>
      </c>
      <c r="B28" s="709">
        <v>114705.7</v>
      </c>
      <c r="C28" s="710">
        <v>824.6</v>
      </c>
      <c r="D28" s="710">
        <v>34.299999999999997</v>
      </c>
      <c r="E28" s="710">
        <v>12022.7</v>
      </c>
      <c r="F28" s="710">
        <v>111673.3</v>
      </c>
      <c r="G28" s="710">
        <v>6329.6</v>
      </c>
      <c r="H28" s="710">
        <v>75.5</v>
      </c>
      <c r="I28" s="710">
        <v>12705.3</v>
      </c>
      <c r="J28" s="710">
        <v>0.932334</v>
      </c>
      <c r="K28" s="711">
        <v>1.1466180000000001</v>
      </c>
      <c r="L28" s="711">
        <v>1.668066</v>
      </c>
      <c r="M28" s="711">
        <v>3.2009719999999998E-2</v>
      </c>
      <c r="N28" s="167"/>
      <c r="O28" s="161"/>
      <c r="CD28" s="220"/>
    </row>
    <row r="29" spans="1:82" s="112" customFormat="1" ht="14.25" hidden="1">
      <c r="A29" s="71" t="s">
        <v>26</v>
      </c>
      <c r="B29" s="709">
        <v>96408.8</v>
      </c>
      <c r="C29" s="710">
        <v>935.1</v>
      </c>
      <c r="D29" s="710">
        <v>41.4</v>
      </c>
      <c r="E29" s="710">
        <v>11576.1</v>
      </c>
      <c r="F29" s="710">
        <v>96899</v>
      </c>
      <c r="G29" s="710">
        <v>10227.6</v>
      </c>
      <c r="H29" s="710">
        <v>140.19999999999999</v>
      </c>
      <c r="I29" s="710">
        <v>10946.4</v>
      </c>
      <c r="J29" s="710">
        <v>0.91676200000000008</v>
      </c>
      <c r="K29" s="711">
        <v>1.1343700000000001</v>
      </c>
      <c r="L29" s="711">
        <v>1.6809939999999999</v>
      </c>
      <c r="M29" s="711">
        <v>3.1678160000000004E-2</v>
      </c>
      <c r="N29" s="167"/>
      <c r="O29" s="161"/>
      <c r="CC29" s="112">
        <v>-31</v>
      </c>
      <c r="CD29" s="220">
        <f t="shared" si="0"/>
        <v>-31</v>
      </c>
    </row>
    <row r="30" spans="1:82" s="112" customFormat="1" ht="14.25" hidden="1">
      <c r="A30" s="71" t="s">
        <v>27</v>
      </c>
      <c r="B30" s="709">
        <v>64481.7</v>
      </c>
      <c r="C30" s="710">
        <v>437.6</v>
      </c>
      <c r="D30" s="710">
        <v>52.7</v>
      </c>
      <c r="E30" s="710">
        <v>8422.4</v>
      </c>
      <c r="F30" s="710">
        <v>141455.20000000001</v>
      </c>
      <c r="G30" s="710">
        <v>11182.8</v>
      </c>
      <c r="H30" s="710">
        <v>132.4</v>
      </c>
      <c r="I30" s="710">
        <v>6265</v>
      </c>
      <c r="J30" s="710">
        <v>0.91771200000000008</v>
      </c>
      <c r="K30" s="711">
        <v>1.110832</v>
      </c>
      <c r="L30" s="711">
        <v>1.6287339999999999</v>
      </c>
      <c r="M30" s="711">
        <v>3.1554220000000001E-2</v>
      </c>
      <c r="N30" s="167"/>
      <c r="O30" s="161"/>
      <c r="CC30" s="112">
        <v>-440</v>
      </c>
      <c r="CD30" s="220">
        <f t="shared" si="0"/>
        <v>-440</v>
      </c>
    </row>
    <row r="31" spans="1:82" s="112" customFormat="1" ht="14.25" hidden="1">
      <c r="A31" s="71" t="s">
        <v>28</v>
      </c>
      <c r="B31" s="709">
        <v>65710.8</v>
      </c>
      <c r="C31" s="710">
        <v>497.2</v>
      </c>
      <c r="D31" s="710">
        <v>8.6999999999999993</v>
      </c>
      <c r="E31" s="710">
        <v>5739.3</v>
      </c>
      <c r="F31" s="710">
        <v>152310.79999999999</v>
      </c>
      <c r="G31" s="710">
        <v>10438</v>
      </c>
      <c r="H31" s="710">
        <v>155.69999999999999</v>
      </c>
      <c r="I31" s="710">
        <v>4702.6000000000004</v>
      </c>
      <c r="J31" s="710">
        <v>0.92074599999999995</v>
      </c>
      <c r="K31" s="711">
        <v>1.08806</v>
      </c>
      <c r="L31" s="711">
        <v>1.611578</v>
      </c>
      <c r="M31" s="711">
        <v>3.1539959999999999E-2</v>
      </c>
      <c r="N31" s="167"/>
      <c r="O31" s="161"/>
      <c r="CD31" s="220"/>
    </row>
    <row r="32" spans="1:82" s="112" customFormat="1" ht="14.25" hidden="1">
      <c r="A32" s="71" t="s">
        <v>29</v>
      </c>
      <c r="B32" s="709">
        <v>59988</v>
      </c>
      <c r="C32" s="710">
        <v>1109.5</v>
      </c>
      <c r="D32" s="710">
        <v>69.5</v>
      </c>
      <c r="E32" s="710">
        <v>6483.9</v>
      </c>
      <c r="F32" s="710">
        <v>186970.4</v>
      </c>
      <c r="G32" s="710">
        <v>7657.2</v>
      </c>
      <c r="H32" s="710">
        <v>97</v>
      </c>
      <c r="I32" s="710">
        <v>6951.8</v>
      </c>
      <c r="J32" s="710">
        <v>0.92060599999999992</v>
      </c>
      <c r="K32" s="711">
        <v>1.0939099999999999</v>
      </c>
      <c r="L32" s="711">
        <v>1.6019079999999999</v>
      </c>
      <c r="M32" s="711">
        <v>3.1464800000000001E-2</v>
      </c>
      <c r="N32" s="167"/>
      <c r="O32" s="161"/>
      <c r="CC32" s="112">
        <f>CC34+CC35</f>
        <v>-498</v>
      </c>
      <c r="CD32" s="220">
        <f>BY32+BZ32+CA32+CC32</f>
        <v>-498</v>
      </c>
    </row>
    <row r="33" spans="1:82" s="112" customFormat="1" ht="14.25">
      <c r="A33" s="72">
        <v>2006</v>
      </c>
      <c r="B33" s="709">
        <f t="shared" ref="B33:I33" si="1">B34+B35+B36+B37+B38+B39+B40+B41+B42+B43+B44+B45</f>
        <v>979089.6</v>
      </c>
      <c r="C33" s="710">
        <f t="shared" ref="C33:D33" si="2">C34+C35+C36+C37+C38+C39+C40+C41+C42+C43+C44+C45</f>
        <v>7733.3499999999995</v>
      </c>
      <c r="D33" s="710">
        <f t="shared" si="2"/>
        <v>514.95000000000005</v>
      </c>
      <c r="E33" s="710">
        <f t="shared" si="1"/>
        <v>75393.61</v>
      </c>
      <c r="F33" s="710">
        <f t="shared" si="1"/>
        <v>1734462.63</v>
      </c>
      <c r="G33" s="710">
        <f t="shared" ref="G33" si="3">G34+G35+G36+G37+G38+G39+G40+G41+G42+G43+G44+G45</f>
        <v>179299.1</v>
      </c>
      <c r="H33" s="710">
        <f t="shared" si="1"/>
        <v>1288.1499999999999</v>
      </c>
      <c r="I33" s="710">
        <f t="shared" si="1"/>
        <v>61279.960000000006</v>
      </c>
      <c r="J33" s="710">
        <v>0.89029999999999998</v>
      </c>
      <c r="K33" s="711">
        <v>1.1318999999999999</v>
      </c>
      <c r="L33" s="711">
        <v>1.6573</v>
      </c>
      <c r="M33" s="711">
        <v>3.27E-2</v>
      </c>
      <c r="N33" s="167"/>
      <c r="O33" s="161"/>
      <c r="CD33" s="220"/>
    </row>
    <row r="34" spans="1:82" s="112" customFormat="1" ht="14.25" hidden="1">
      <c r="A34" s="71" t="s">
        <v>18</v>
      </c>
      <c r="B34" s="709">
        <v>42151.26</v>
      </c>
      <c r="C34" s="710">
        <v>503</v>
      </c>
      <c r="D34" s="710">
        <v>49</v>
      </c>
      <c r="E34" s="710">
        <v>1508</v>
      </c>
      <c r="F34" s="710">
        <v>78155.600000000006</v>
      </c>
      <c r="G34" s="710">
        <v>5526.3</v>
      </c>
      <c r="H34" s="710">
        <v>77.400000000000006</v>
      </c>
      <c r="I34" s="710">
        <v>1220.0999999999999</v>
      </c>
      <c r="J34" s="710">
        <v>0.92079999999999995</v>
      </c>
      <c r="K34" s="711">
        <v>1.1183000000000001</v>
      </c>
      <c r="L34" s="711">
        <v>1.6284000000000001</v>
      </c>
      <c r="M34" s="711">
        <v>0.03</v>
      </c>
      <c r="N34" s="167"/>
      <c r="O34" s="161"/>
      <c r="CC34" s="112">
        <v>-521</v>
      </c>
      <c r="CD34" s="220">
        <f>BY34+BZ34+CA34+CC34</f>
        <v>-521</v>
      </c>
    </row>
    <row r="35" spans="1:82" s="112" customFormat="1" ht="14.25" hidden="1">
      <c r="A35" s="71" t="s">
        <v>19</v>
      </c>
      <c r="B35" s="709">
        <v>49697.89</v>
      </c>
      <c r="C35" s="710">
        <v>351</v>
      </c>
      <c r="D35" s="710">
        <v>32</v>
      </c>
      <c r="E35" s="710">
        <v>3605</v>
      </c>
      <c r="F35" s="710">
        <v>93053.82</v>
      </c>
      <c r="G35" s="710">
        <v>7415.4</v>
      </c>
      <c r="H35" s="710">
        <v>87.5</v>
      </c>
      <c r="I35" s="710">
        <v>2266.9</v>
      </c>
      <c r="J35" s="710">
        <v>0.91579999999999995</v>
      </c>
      <c r="K35" s="711">
        <v>1.1414</v>
      </c>
      <c r="L35" s="711">
        <v>1.6126</v>
      </c>
      <c r="M35" s="711">
        <v>3.1800000000000002E-2</v>
      </c>
      <c r="N35" s="161"/>
      <c r="O35" s="161"/>
      <c r="CC35" s="112">
        <v>23</v>
      </c>
      <c r="CD35" s="220">
        <f>BY35+BZ35+CA35+CC35</f>
        <v>23</v>
      </c>
    </row>
    <row r="36" spans="1:82" s="112" customFormat="1" ht="14.25" hidden="1">
      <c r="A36" s="71" t="s">
        <v>20</v>
      </c>
      <c r="B36" s="709">
        <v>52694</v>
      </c>
      <c r="C36" s="710">
        <v>1054.2</v>
      </c>
      <c r="D36" s="710">
        <v>44.97</v>
      </c>
      <c r="E36" s="710">
        <v>2687.24</v>
      </c>
      <c r="F36" s="710">
        <v>98165.6</v>
      </c>
      <c r="G36" s="710">
        <v>9158.1</v>
      </c>
      <c r="H36" s="710">
        <v>91</v>
      </c>
      <c r="I36" s="710">
        <v>3338.3</v>
      </c>
      <c r="J36" s="710">
        <v>0.91279999999999994</v>
      </c>
      <c r="K36" s="711">
        <v>1.0982000000000001</v>
      </c>
      <c r="L36" s="711">
        <v>1.5946</v>
      </c>
      <c r="M36" s="711">
        <v>3.2199999999999999E-2</v>
      </c>
      <c r="N36" s="161"/>
      <c r="O36" s="161"/>
      <c r="CD36" s="220"/>
    </row>
    <row r="37" spans="1:82" s="112" customFormat="1" ht="14.25" hidden="1">
      <c r="A37" s="71" t="s">
        <v>21</v>
      </c>
      <c r="B37" s="709">
        <v>52933.8</v>
      </c>
      <c r="C37" s="710">
        <v>632.5</v>
      </c>
      <c r="D37" s="710">
        <v>58.5</v>
      </c>
      <c r="E37" s="710">
        <v>2586.6</v>
      </c>
      <c r="F37" s="710">
        <v>102975.4</v>
      </c>
      <c r="G37" s="710">
        <v>8835.7000000000007</v>
      </c>
      <c r="H37" s="710">
        <v>87.1</v>
      </c>
      <c r="I37" s="710">
        <v>7029.2</v>
      </c>
      <c r="J37" s="710">
        <v>0.90790000000000004</v>
      </c>
      <c r="K37" s="711">
        <v>1.1145</v>
      </c>
      <c r="L37" s="711">
        <v>1.6751</v>
      </c>
      <c r="M37" s="711">
        <v>3.2500000000000001E-2</v>
      </c>
      <c r="N37" s="161"/>
      <c r="O37" s="161"/>
      <c r="CC37" s="112">
        <v>433</v>
      </c>
      <c r="CD37" s="220">
        <f t="shared" si="0"/>
        <v>433</v>
      </c>
    </row>
    <row r="38" spans="1:82" s="112" customFormat="1" ht="14.25" hidden="1">
      <c r="A38" s="71" t="s">
        <v>22</v>
      </c>
      <c r="B38" s="709">
        <v>94700.3</v>
      </c>
      <c r="C38" s="710">
        <v>660.7</v>
      </c>
      <c r="D38" s="710">
        <v>69.2</v>
      </c>
      <c r="E38" s="710">
        <v>3850.9</v>
      </c>
      <c r="F38" s="710">
        <v>131233.20000000001</v>
      </c>
      <c r="G38" s="710">
        <v>11574.9</v>
      </c>
      <c r="H38" s="710">
        <v>73.099999999999994</v>
      </c>
      <c r="I38" s="710">
        <v>7205.9</v>
      </c>
      <c r="J38" s="710">
        <v>0.90310000000000001</v>
      </c>
      <c r="K38" s="711">
        <v>1.157</v>
      </c>
      <c r="L38" s="711">
        <v>1.6882999999999999</v>
      </c>
      <c r="M38" s="711">
        <v>3.3099999999999997E-2</v>
      </c>
      <c r="N38" s="161"/>
      <c r="O38" s="161"/>
      <c r="CC38" s="112">
        <v>-931</v>
      </c>
      <c r="CD38" s="220">
        <f t="shared" si="0"/>
        <v>-931</v>
      </c>
    </row>
    <row r="39" spans="1:82" s="112" customFormat="1" ht="14.25" hidden="1">
      <c r="A39" s="71" t="s">
        <v>23</v>
      </c>
      <c r="B39" s="709">
        <v>106381.5</v>
      </c>
      <c r="C39" s="710">
        <v>664.2</v>
      </c>
      <c r="D39" s="710">
        <v>14.3</v>
      </c>
      <c r="E39" s="710">
        <v>5879.5</v>
      </c>
      <c r="F39" s="710">
        <v>121214.2</v>
      </c>
      <c r="G39" s="710">
        <v>11452.9</v>
      </c>
      <c r="H39" s="710">
        <v>130.4</v>
      </c>
      <c r="I39" s="710">
        <v>7633.3</v>
      </c>
      <c r="J39" s="710">
        <v>0.89839999999999998</v>
      </c>
      <c r="K39" s="711">
        <v>1.1404000000000001</v>
      </c>
      <c r="L39" s="711">
        <v>1.6628000000000001</v>
      </c>
      <c r="M39" s="711">
        <v>3.3099999999999997E-2</v>
      </c>
      <c r="N39" s="161"/>
      <c r="O39" s="161"/>
      <c r="CD39" s="220"/>
    </row>
    <row r="40" spans="1:82" s="112" customFormat="1" ht="14.25" hidden="1">
      <c r="A40" s="71" t="s">
        <v>24</v>
      </c>
      <c r="B40" s="709">
        <v>95690.6</v>
      </c>
      <c r="C40" s="710">
        <v>604.20000000000005</v>
      </c>
      <c r="D40" s="710">
        <v>41.4</v>
      </c>
      <c r="E40" s="710">
        <v>5940.5</v>
      </c>
      <c r="F40" s="710">
        <v>121957.7</v>
      </c>
      <c r="G40" s="710">
        <v>15048.9</v>
      </c>
      <c r="H40" s="710">
        <v>192.4</v>
      </c>
      <c r="I40" s="710">
        <v>2914.3</v>
      </c>
      <c r="J40" s="710">
        <v>0.8931</v>
      </c>
      <c r="K40" s="711">
        <v>1.1337999999999999</v>
      </c>
      <c r="L40" s="711">
        <v>1.6546000000000001</v>
      </c>
      <c r="M40" s="711">
        <v>3.32E-2</v>
      </c>
      <c r="N40" s="161"/>
      <c r="O40" s="161"/>
      <c r="CC40" s="112">
        <v>204</v>
      </c>
      <c r="CD40" s="220">
        <f t="shared" si="0"/>
        <v>204</v>
      </c>
    </row>
    <row r="41" spans="1:82" s="112" customFormat="1" ht="14.25" hidden="1">
      <c r="A41" s="71" t="s">
        <v>25</v>
      </c>
      <c r="B41" s="709">
        <v>128861.4</v>
      </c>
      <c r="C41" s="710">
        <v>1083.3</v>
      </c>
      <c r="D41" s="710">
        <v>46.8</v>
      </c>
      <c r="E41" s="710">
        <v>7053.6</v>
      </c>
      <c r="F41" s="710">
        <v>130842.5</v>
      </c>
      <c r="G41" s="710">
        <v>22042.5</v>
      </c>
      <c r="H41" s="710">
        <v>102</v>
      </c>
      <c r="I41" s="710">
        <v>3248.9</v>
      </c>
      <c r="J41" s="710">
        <v>0.88700000000000001</v>
      </c>
      <c r="K41" s="711">
        <v>1.1383000000000001</v>
      </c>
      <c r="L41" s="711">
        <v>1.6859</v>
      </c>
      <c r="M41" s="711">
        <v>3.2800000000000003E-2</v>
      </c>
      <c r="N41" s="161"/>
      <c r="O41" s="161"/>
      <c r="CC41" s="112">
        <v>200</v>
      </c>
      <c r="CD41" s="220">
        <f t="shared" si="0"/>
        <v>200</v>
      </c>
    </row>
    <row r="42" spans="1:82" s="112" customFormat="1" ht="14.25" hidden="1">
      <c r="A42" s="71" t="s">
        <v>26</v>
      </c>
      <c r="B42" s="709">
        <v>83737.3</v>
      </c>
      <c r="C42" s="710">
        <v>332.56</v>
      </c>
      <c r="D42" s="710">
        <v>16.09</v>
      </c>
      <c r="E42" s="710">
        <v>4475.6000000000004</v>
      </c>
      <c r="F42" s="710">
        <v>132443.9</v>
      </c>
      <c r="G42" s="710">
        <v>18483.400000000001</v>
      </c>
      <c r="H42" s="710">
        <v>149.9</v>
      </c>
      <c r="I42" s="710">
        <v>5998.12</v>
      </c>
      <c r="J42" s="710">
        <v>0.87970000000000004</v>
      </c>
      <c r="K42" s="711">
        <v>1.1228</v>
      </c>
      <c r="L42" s="711">
        <v>1.6702999999999999</v>
      </c>
      <c r="M42" s="711">
        <v>3.27E-2</v>
      </c>
      <c r="N42" s="161"/>
      <c r="O42" s="161"/>
      <c r="CD42" s="220"/>
    </row>
    <row r="43" spans="1:82" s="112" customFormat="1" ht="14.25" hidden="1">
      <c r="A43" s="71" t="s">
        <v>27</v>
      </c>
      <c r="B43" s="709">
        <v>94240.69</v>
      </c>
      <c r="C43" s="710">
        <v>755.13</v>
      </c>
      <c r="D43" s="710">
        <v>20.73</v>
      </c>
      <c r="E43" s="710">
        <v>12917.33</v>
      </c>
      <c r="F43" s="710">
        <v>189673.07</v>
      </c>
      <c r="G43" s="710">
        <v>21117.22</v>
      </c>
      <c r="H43" s="710">
        <v>94.56</v>
      </c>
      <c r="I43" s="710">
        <v>3141.65</v>
      </c>
      <c r="J43" s="710">
        <v>0.87529999999999997</v>
      </c>
      <c r="K43" s="711">
        <v>1.1079000000000001</v>
      </c>
      <c r="L43" s="711">
        <v>1.6473</v>
      </c>
      <c r="M43" s="711">
        <v>3.2300000000000002E-2</v>
      </c>
      <c r="N43" s="161"/>
      <c r="O43" s="161"/>
      <c r="CC43" s="112">
        <v>295</v>
      </c>
      <c r="CD43" s="220">
        <f t="shared" si="0"/>
        <v>295</v>
      </c>
    </row>
    <row r="44" spans="1:82" s="112" customFormat="1" ht="14.25" hidden="1">
      <c r="A44" s="71" t="s">
        <v>28</v>
      </c>
      <c r="B44" s="709">
        <v>82183.66</v>
      </c>
      <c r="C44" s="710">
        <v>536.66</v>
      </c>
      <c r="D44" s="710">
        <v>44</v>
      </c>
      <c r="E44" s="710">
        <v>11474.44</v>
      </c>
      <c r="F44" s="710">
        <v>231805.64</v>
      </c>
      <c r="G44" s="710">
        <v>22853.68</v>
      </c>
      <c r="H44" s="710">
        <v>78.489999999999995</v>
      </c>
      <c r="I44" s="710">
        <v>8887.52</v>
      </c>
      <c r="J44" s="710">
        <v>0.87470000000000003</v>
      </c>
      <c r="K44" s="711">
        <v>1.1291</v>
      </c>
      <c r="L44" s="711">
        <v>1.6727000000000001</v>
      </c>
      <c r="M44" s="711">
        <v>3.2599999999999997E-2</v>
      </c>
      <c r="N44" s="161"/>
      <c r="O44" s="161"/>
      <c r="CC44" s="112">
        <v>-95</v>
      </c>
      <c r="CD44" s="220">
        <f t="shared" si="0"/>
        <v>-95</v>
      </c>
    </row>
    <row r="45" spans="1:82" s="112" customFormat="1" ht="14.25" hidden="1">
      <c r="A45" s="71" t="s">
        <v>29</v>
      </c>
      <c r="B45" s="709">
        <v>95817.2</v>
      </c>
      <c r="C45" s="710">
        <v>555.9</v>
      </c>
      <c r="D45" s="710">
        <v>77.959999999999994</v>
      </c>
      <c r="E45" s="710">
        <v>13414.9</v>
      </c>
      <c r="F45" s="710">
        <v>302942</v>
      </c>
      <c r="G45" s="710">
        <v>25790.1</v>
      </c>
      <c r="H45" s="710">
        <v>124.3</v>
      </c>
      <c r="I45" s="710">
        <v>8395.77</v>
      </c>
      <c r="J45" s="710">
        <v>0.87419999999999998</v>
      </c>
      <c r="K45" s="711">
        <v>1.1577999999999999</v>
      </c>
      <c r="L45" s="711">
        <v>1.718</v>
      </c>
      <c r="M45" s="711">
        <v>3.3000000000000002E-2</v>
      </c>
      <c r="N45" s="161"/>
      <c r="O45" s="161"/>
      <c r="CD45" s="220"/>
    </row>
    <row r="46" spans="1:82" s="112" customFormat="1" ht="13.5" customHeight="1">
      <c r="A46" s="71" t="s">
        <v>121</v>
      </c>
      <c r="B46" s="709">
        <f t="shared" ref="B46:I46" si="4">B47+B48+B49+B50+B51+B52+B53+B54+B55+B56+B57+B58</f>
        <v>1335173.3459999999</v>
      </c>
      <c r="C46" s="710">
        <f t="shared" ref="C46:D46" si="5">C47+C48+C49+C50+C51+C52+C53+C54+C55+C56+C57+C58</f>
        <v>15033.433000000001</v>
      </c>
      <c r="D46" s="710">
        <f t="shared" si="5"/>
        <v>633.07999999999993</v>
      </c>
      <c r="E46" s="710">
        <f t="shared" si="4"/>
        <v>300246.12099999998</v>
      </c>
      <c r="F46" s="710">
        <f t="shared" si="4"/>
        <v>3177929.7379999999</v>
      </c>
      <c r="G46" s="710">
        <f t="shared" ref="G46" si="6">G47+G48+G49+G50+G51+G52+G53+G54+G55+G56+G57+G58</f>
        <v>532869.77500000002</v>
      </c>
      <c r="H46" s="710">
        <f t="shared" si="4"/>
        <v>4543.0119999999997</v>
      </c>
      <c r="I46" s="710">
        <f t="shared" si="4"/>
        <v>530307.03700000001</v>
      </c>
      <c r="J46" s="710">
        <v>0.85960000000000003</v>
      </c>
      <c r="K46" s="711">
        <v>1.1934</v>
      </c>
      <c r="L46" s="711">
        <v>1.7339</v>
      </c>
      <c r="M46" s="711">
        <v>3.3799999999999997E-2</v>
      </c>
      <c r="N46" s="161"/>
      <c r="O46" s="161"/>
      <c r="CC46" s="112">
        <v>0</v>
      </c>
      <c r="CD46" s="220">
        <f t="shared" si="0"/>
        <v>0</v>
      </c>
    </row>
    <row r="47" spans="1:82" s="112" customFormat="1" ht="14.25" hidden="1">
      <c r="A47" s="71" t="s">
        <v>18</v>
      </c>
      <c r="B47" s="709">
        <v>77372.59</v>
      </c>
      <c r="C47" s="710">
        <v>679.83</v>
      </c>
      <c r="D47" s="710">
        <v>54.49</v>
      </c>
      <c r="E47" s="710">
        <v>13251.69</v>
      </c>
      <c r="F47" s="710">
        <v>181932.94</v>
      </c>
      <c r="G47" s="710">
        <v>20365.47</v>
      </c>
      <c r="H47" s="710">
        <v>214.9</v>
      </c>
      <c r="I47" s="710">
        <v>7935.94</v>
      </c>
      <c r="J47" s="710">
        <v>0.87339999999999995</v>
      </c>
      <c r="K47" s="711">
        <v>1.1334</v>
      </c>
      <c r="L47" s="711">
        <v>1.7034</v>
      </c>
      <c r="M47" s="711">
        <v>3.27E-2</v>
      </c>
      <c r="N47" s="161"/>
      <c r="O47" s="161"/>
      <c r="CD47" s="220"/>
    </row>
    <row r="48" spans="1:82" s="112" customFormat="1" ht="14.25" hidden="1">
      <c r="A48" s="71" t="s">
        <v>19</v>
      </c>
      <c r="B48" s="709">
        <v>71851.8</v>
      </c>
      <c r="C48" s="710">
        <v>1559.9</v>
      </c>
      <c r="D48" s="710">
        <v>60.8</v>
      </c>
      <c r="E48" s="710">
        <v>6318</v>
      </c>
      <c r="F48" s="710">
        <v>178883.6</v>
      </c>
      <c r="G48" s="710">
        <v>17613.7</v>
      </c>
      <c r="H48" s="710">
        <v>122.8</v>
      </c>
      <c r="I48" s="710">
        <v>12808.6</v>
      </c>
      <c r="J48" s="710">
        <v>0.87129999999999996</v>
      </c>
      <c r="K48" s="711">
        <v>1.1409</v>
      </c>
      <c r="L48" s="711">
        <v>1.7097</v>
      </c>
      <c r="M48" s="711">
        <v>3.2800000000000003E-2</v>
      </c>
      <c r="N48" s="168"/>
      <c r="O48" s="168"/>
      <c r="P48" s="168"/>
      <c r="CC48" s="112">
        <f>CC49-CC53</f>
        <v>481</v>
      </c>
      <c r="CD48" s="220">
        <f t="shared" si="0"/>
        <v>481</v>
      </c>
    </row>
    <row r="49" spans="1:82" s="112" customFormat="1" ht="14.25" hidden="1">
      <c r="A49" s="71" t="s">
        <v>20</v>
      </c>
      <c r="B49" s="709">
        <v>75118.86</v>
      </c>
      <c r="C49" s="710">
        <v>559.1</v>
      </c>
      <c r="D49" s="710">
        <v>36.409999999999997</v>
      </c>
      <c r="E49" s="710">
        <v>6767.65</v>
      </c>
      <c r="F49" s="710">
        <v>227288.62</v>
      </c>
      <c r="G49" s="710">
        <v>16340.15</v>
      </c>
      <c r="H49" s="710">
        <v>171.87</v>
      </c>
      <c r="I49" s="710">
        <v>12029.95</v>
      </c>
      <c r="J49" s="710">
        <v>0.87009999999999998</v>
      </c>
      <c r="K49" s="711">
        <v>1.1507000000000001</v>
      </c>
      <c r="L49" s="711">
        <v>1.6937</v>
      </c>
      <c r="M49" s="711">
        <v>3.32E-2</v>
      </c>
      <c r="N49" s="168"/>
      <c r="O49" s="168"/>
      <c r="P49" s="168"/>
      <c r="CC49" s="112">
        <f>CC51+CC52</f>
        <v>965</v>
      </c>
      <c r="CD49" s="220">
        <f t="shared" si="0"/>
        <v>965</v>
      </c>
    </row>
    <row r="50" spans="1:82" s="112" customFormat="1" ht="14.25" hidden="1">
      <c r="A50" s="71" t="s">
        <v>21</v>
      </c>
      <c r="B50" s="709">
        <v>91846.9</v>
      </c>
      <c r="C50" s="710">
        <v>1815.8</v>
      </c>
      <c r="D50" s="710">
        <v>19.8</v>
      </c>
      <c r="E50" s="710">
        <v>12104.2</v>
      </c>
      <c r="F50" s="710">
        <v>263995.06</v>
      </c>
      <c r="G50" s="710">
        <v>21237.47</v>
      </c>
      <c r="H50" s="710">
        <v>138.80000000000001</v>
      </c>
      <c r="I50" s="710">
        <v>15253.83</v>
      </c>
      <c r="J50" s="710">
        <v>0.86809999999999998</v>
      </c>
      <c r="K50" s="711">
        <v>1.1718999999999999</v>
      </c>
      <c r="L50" s="711">
        <v>1.7315</v>
      </c>
      <c r="M50" s="711">
        <v>3.3500000000000002E-2</v>
      </c>
      <c r="N50" s="168"/>
      <c r="O50" s="168"/>
      <c r="P50" s="168"/>
      <c r="CD50" s="220"/>
    </row>
    <row r="51" spans="1:82" s="112" customFormat="1" ht="14.25" hidden="1">
      <c r="A51" s="71" t="s">
        <v>22</v>
      </c>
      <c r="B51" s="709">
        <v>98452.51</v>
      </c>
      <c r="C51" s="710">
        <v>1277.79</v>
      </c>
      <c r="D51" s="710">
        <v>25.4</v>
      </c>
      <c r="E51" s="710">
        <v>17673.876</v>
      </c>
      <c r="F51" s="710">
        <v>281881.21899999998</v>
      </c>
      <c r="G51" s="710">
        <v>26418.045999999998</v>
      </c>
      <c r="H51" s="710">
        <v>406.91699999999997</v>
      </c>
      <c r="I51" s="710">
        <v>9520.7080000000005</v>
      </c>
      <c r="J51" s="710">
        <v>0.86450000000000005</v>
      </c>
      <c r="K51" s="711">
        <v>1.17</v>
      </c>
      <c r="L51" s="711">
        <v>1.7206999999999999</v>
      </c>
      <c r="M51" s="711">
        <v>3.3300000000000003E-2</v>
      </c>
      <c r="N51" s="168"/>
      <c r="O51" s="168"/>
      <c r="P51" s="168"/>
      <c r="CC51" s="112">
        <v>954</v>
      </c>
      <c r="CD51" s="220">
        <f t="shared" si="0"/>
        <v>954</v>
      </c>
    </row>
    <row r="52" spans="1:82" s="112" customFormat="1" ht="14.25" hidden="1">
      <c r="A52" s="71" t="s">
        <v>23</v>
      </c>
      <c r="B52" s="709">
        <v>127627.9</v>
      </c>
      <c r="C52" s="710">
        <v>1110</v>
      </c>
      <c r="D52" s="710">
        <v>43.4</v>
      </c>
      <c r="E52" s="710">
        <v>18737.099999999999</v>
      </c>
      <c r="F52" s="710">
        <v>206862.9</v>
      </c>
      <c r="G52" s="710">
        <v>35092.6</v>
      </c>
      <c r="H52" s="710">
        <v>311.10000000000002</v>
      </c>
      <c r="I52" s="710">
        <v>9353.6</v>
      </c>
      <c r="J52" s="710">
        <v>0.85699999999999998</v>
      </c>
      <c r="K52" s="711">
        <v>1.1551</v>
      </c>
      <c r="L52" s="711">
        <v>1.7124999999999999</v>
      </c>
      <c r="M52" s="711">
        <v>3.2800000000000003E-2</v>
      </c>
      <c r="N52" s="168"/>
      <c r="O52" s="168"/>
      <c r="P52" s="168"/>
      <c r="CC52" s="112">
        <v>11</v>
      </c>
      <c r="CD52" s="220">
        <f t="shared" si="0"/>
        <v>11</v>
      </c>
    </row>
    <row r="53" spans="1:82" s="112" customFormat="1" ht="14.25" hidden="1">
      <c r="A53" s="71" t="s">
        <v>24</v>
      </c>
      <c r="B53" s="709">
        <v>109580.3</v>
      </c>
      <c r="C53" s="710">
        <v>910.6</v>
      </c>
      <c r="D53" s="710">
        <v>82.6</v>
      </c>
      <c r="E53" s="710">
        <v>31846.9</v>
      </c>
      <c r="F53" s="710">
        <v>282529.59999999998</v>
      </c>
      <c r="G53" s="710">
        <v>37230.6</v>
      </c>
      <c r="H53" s="710">
        <v>410.9</v>
      </c>
      <c r="I53" s="710">
        <v>11092.5</v>
      </c>
      <c r="J53" s="710">
        <v>0.85629999999999995</v>
      </c>
      <c r="K53" s="711">
        <v>1.1773</v>
      </c>
      <c r="L53" s="711">
        <v>1.7503</v>
      </c>
      <c r="M53" s="711">
        <v>3.3500000000000002E-2</v>
      </c>
      <c r="N53" s="168"/>
      <c r="O53" s="168"/>
      <c r="P53" s="168"/>
      <c r="CC53" s="112">
        <f>CC55+CC56+CC57+CC58</f>
        <v>484</v>
      </c>
      <c r="CD53" s="220">
        <f t="shared" si="0"/>
        <v>484</v>
      </c>
    </row>
    <row r="54" spans="1:82" s="112" customFormat="1" ht="14.25" hidden="1">
      <c r="A54" s="71" t="s">
        <v>25</v>
      </c>
      <c r="B54" s="709">
        <v>102668.5</v>
      </c>
      <c r="C54" s="710">
        <v>1071.9000000000001</v>
      </c>
      <c r="D54" s="710">
        <v>57.9</v>
      </c>
      <c r="E54" s="710">
        <v>34269.89</v>
      </c>
      <c r="F54" s="710">
        <v>299930.15999999997</v>
      </c>
      <c r="G54" s="710">
        <v>43635.9</v>
      </c>
      <c r="H54" s="710">
        <v>562.70000000000005</v>
      </c>
      <c r="I54" s="710">
        <v>14435.509</v>
      </c>
      <c r="J54" s="710">
        <v>0.85489999999999999</v>
      </c>
      <c r="K54" s="711">
        <v>1.1678999999999999</v>
      </c>
      <c r="L54" s="711">
        <v>1.7255</v>
      </c>
      <c r="M54" s="711">
        <v>3.3099999999999997E-2</v>
      </c>
      <c r="N54" s="168"/>
      <c r="O54" s="168"/>
      <c r="P54" s="168"/>
      <c r="CD54" s="220"/>
    </row>
    <row r="55" spans="1:82" s="112" customFormat="1" ht="14.25" hidden="1">
      <c r="A55" s="71" t="s">
        <v>26</v>
      </c>
      <c r="B55" s="709">
        <v>118285.336</v>
      </c>
      <c r="C55" s="710">
        <v>1246.356</v>
      </c>
      <c r="D55" s="710">
        <v>45.61</v>
      </c>
      <c r="E55" s="710">
        <v>27820.027999999998</v>
      </c>
      <c r="F55" s="710">
        <v>335207.16899999999</v>
      </c>
      <c r="G55" s="710">
        <v>36559.56</v>
      </c>
      <c r="H55" s="710">
        <v>345.99900000000002</v>
      </c>
      <c r="I55" s="710">
        <v>64452.542000000001</v>
      </c>
      <c r="J55" s="710">
        <v>0.85370000000000001</v>
      </c>
      <c r="K55" s="711">
        <v>1.1869000000000001</v>
      </c>
      <c r="L55" s="711">
        <v>1.7292000000000001</v>
      </c>
      <c r="M55" s="711">
        <v>3.39E-2</v>
      </c>
      <c r="N55" s="168"/>
      <c r="O55" s="168"/>
      <c r="P55" s="168"/>
      <c r="CC55" s="112">
        <v>1214</v>
      </c>
      <c r="CD55" s="220">
        <f t="shared" si="0"/>
        <v>1214</v>
      </c>
    </row>
    <row r="56" spans="1:82" s="112" customFormat="1" ht="14.25" hidden="1">
      <c r="A56" s="71" t="s">
        <v>27</v>
      </c>
      <c r="B56" s="709">
        <v>136492.89000000001</v>
      </c>
      <c r="C56" s="710">
        <v>1105.057</v>
      </c>
      <c r="D56" s="710">
        <v>25.07</v>
      </c>
      <c r="E56" s="710">
        <v>31914.560000000001</v>
      </c>
      <c r="F56" s="710">
        <v>336551.54</v>
      </c>
      <c r="G56" s="710">
        <v>73544.379000000001</v>
      </c>
      <c r="H56" s="710">
        <v>206.86600000000001</v>
      </c>
      <c r="I56" s="710">
        <v>211431.878</v>
      </c>
      <c r="J56" s="710">
        <v>0.85189999999999999</v>
      </c>
      <c r="K56" s="711">
        <v>1.2121999999999999</v>
      </c>
      <c r="L56" s="711">
        <v>1.7501</v>
      </c>
      <c r="M56" s="711">
        <v>3.4099999999999998E-2</v>
      </c>
      <c r="N56" s="168"/>
      <c r="O56" s="168"/>
      <c r="P56" s="168"/>
      <c r="CC56" s="112">
        <v>-745</v>
      </c>
      <c r="CD56" s="220">
        <f t="shared" si="0"/>
        <v>-745</v>
      </c>
    </row>
    <row r="57" spans="1:82" s="112" customFormat="1" ht="14.25" hidden="1">
      <c r="A57" s="71" t="s">
        <v>28</v>
      </c>
      <c r="B57" s="709">
        <v>179172.38</v>
      </c>
      <c r="C57" s="710">
        <v>1668.2</v>
      </c>
      <c r="D57" s="710">
        <v>70.37</v>
      </c>
      <c r="E57" s="710">
        <v>44709.726999999999</v>
      </c>
      <c r="F57" s="710">
        <v>218720.93</v>
      </c>
      <c r="G57" s="710">
        <v>115915.76</v>
      </c>
      <c r="H57" s="710">
        <v>769.25</v>
      </c>
      <c r="I57" s="710">
        <v>86719.02</v>
      </c>
      <c r="J57" s="710">
        <v>0.84919999999999995</v>
      </c>
      <c r="K57" s="711">
        <v>1.2452000000000001</v>
      </c>
      <c r="L57" s="711">
        <v>1.7693000000000001</v>
      </c>
      <c r="M57" s="711">
        <v>3.44E-2</v>
      </c>
      <c r="N57" s="168"/>
      <c r="O57" s="168"/>
      <c r="P57" s="168"/>
      <c r="CC57" s="112">
        <v>0</v>
      </c>
      <c r="CD57" s="220">
        <f>BY57+BZ57+CA57+CC57</f>
        <v>0</v>
      </c>
    </row>
    <row r="58" spans="1:82" s="112" customFormat="1" ht="14.25" hidden="1">
      <c r="A58" s="71" t="s">
        <v>29</v>
      </c>
      <c r="B58" s="709">
        <v>146703.38</v>
      </c>
      <c r="C58" s="710">
        <v>2028.9</v>
      </c>
      <c r="D58" s="710">
        <v>111.23</v>
      </c>
      <c r="E58" s="710">
        <v>54832.5</v>
      </c>
      <c r="F58" s="710">
        <v>364146</v>
      </c>
      <c r="G58" s="710">
        <v>88916.14</v>
      </c>
      <c r="H58" s="710">
        <v>880.91</v>
      </c>
      <c r="I58" s="710">
        <v>75272.960000000006</v>
      </c>
      <c r="J58" s="710">
        <v>0.8226</v>
      </c>
      <c r="K58" s="711">
        <v>1.2267999999999999</v>
      </c>
      <c r="L58" s="711">
        <v>1.5295000000000001</v>
      </c>
      <c r="M58" s="711">
        <v>3.3099999999999997E-2</v>
      </c>
      <c r="N58" s="168"/>
      <c r="O58" s="168"/>
      <c r="P58" s="168"/>
      <c r="CC58" s="112">
        <v>15</v>
      </c>
      <c r="CD58" s="220">
        <f>BY58+BZ58+CA58+CC58</f>
        <v>15</v>
      </c>
    </row>
    <row r="59" spans="1:82" s="112" customFormat="1" ht="14.25">
      <c r="A59" s="71" t="s">
        <v>114</v>
      </c>
      <c r="B59" s="709">
        <f>SUM(B60:B80)</f>
        <v>1455170.83</v>
      </c>
      <c r="C59" s="710">
        <f t="shared" ref="C59:D59" si="7">C60+C61+C62+C63+C64+C65+C66+C67+C68+C69+C70+C71+C72+C73+C74+C75+C76+C77+C78+C79+C80</f>
        <v>58940.614000000001</v>
      </c>
      <c r="D59" s="710">
        <f t="shared" si="7"/>
        <v>883.79099999999994</v>
      </c>
      <c r="E59" s="710">
        <f t="shared" ref="E59:I59" si="8">E60+E61+E62+E63+E64+E65+E66+E67+E68+E69+E70+E71+E72+E73+E74+E75+E76+E77+E78+E79+E80</f>
        <v>1141209.3570000001</v>
      </c>
      <c r="F59" s="710">
        <f t="shared" si="8"/>
        <v>4967710.6739999996</v>
      </c>
      <c r="G59" s="710">
        <f t="shared" ref="G59" si="9">G60+G61+G62+G63+G64+G65+G66+G67+G68+G69+G70+G71+G72+G73+G74+G75+G76+G77+G78+G79+G80</f>
        <v>767561.88100000005</v>
      </c>
      <c r="H59" s="710">
        <f t="shared" si="8"/>
        <v>8674.0249999999996</v>
      </c>
      <c r="I59" s="710">
        <f t="shared" si="8"/>
        <v>146587.22</v>
      </c>
      <c r="J59" s="710">
        <v>0.82069999999999999</v>
      </c>
      <c r="K59" s="711">
        <v>1.2130000000000001</v>
      </c>
      <c r="L59" s="711">
        <v>1.4906999999999999</v>
      </c>
      <c r="M59" s="711">
        <v>3.2800000000000003E-2</v>
      </c>
      <c r="N59" s="168"/>
      <c r="O59" s="168"/>
      <c r="P59" s="168"/>
      <c r="CC59" s="112">
        <v>-372</v>
      </c>
      <c r="CD59" s="220">
        <f>BY59+BZ59+CA59+CC59</f>
        <v>-372</v>
      </c>
    </row>
    <row r="60" spans="1:82" s="112" customFormat="1" ht="14.25" hidden="1">
      <c r="A60" s="71" t="s">
        <v>18</v>
      </c>
      <c r="B60" s="73">
        <v>114326</v>
      </c>
      <c r="C60" s="73">
        <v>2646.44</v>
      </c>
      <c r="D60" s="73">
        <v>19.899999999999999</v>
      </c>
      <c r="E60" s="73">
        <v>36446.699999999997</v>
      </c>
      <c r="F60" s="73">
        <v>298300.40000000002</v>
      </c>
      <c r="G60" s="73">
        <v>53841.27</v>
      </c>
      <c r="H60" s="73">
        <v>677</v>
      </c>
      <c r="I60" s="73">
        <v>7989.317</v>
      </c>
      <c r="J60" s="74">
        <v>0.84709999999999996</v>
      </c>
      <c r="K60" s="74">
        <v>1.2427999999999999</v>
      </c>
      <c r="L60" s="74">
        <v>1.6911</v>
      </c>
      <c r="M60" s="75">
        <v>3.4200000000000001E-2</v>
      </c>
      <c r="N60" s="168"/>
      <c r="O60" s="168"/>
      <c r="P60" s="168"/>
      <c r="CC60" s="112">
        <v>-231</v>
      </c>
      <c r="CD60" s="220">
        <f>BY60+BZ60+CA60+CC60</f>
        <v>-231</v>
      </c>
    </row>
    <row r="61" spans="1:82" s="112" customFormat="1" ht="14.25" hidden="1">
      <c r="A61" s="71" t="s">
        <v>19</v>
      </c>
      <c r="B61" s="73">
        <v>110390.86</v>
      </c>
      <c r="C61" s="73">
        <v>1620.53</v>
      </c>
      <c r="D61" s="73">
        <v>65.159000000000006</v>
      </c>
      <c r="E61" s="73">
        <v>33889.949000000001</v>
      </c>
      <c r="F61" s="73">
        <v>272181.37900000002</v>
      </c>
      <c r="G61" s="73">
        <v>47472.290999999997</v>
      </c>
      <c r="H61" s="73">
        <v>346.702</v>
      </c>
      <c r="I61" s="73">
        <v>8508.2309999999998</v>
      </c>
      <c r="J61" s="74">
        <v>0.84570000000000001</v>
      </c>
      <c r="K61" s="74">
        <v>1.2392000000000001</v>
      </c>
      <c r="L61" s="74">
        <v>1.6644000000000001</v>
      </c>
      <c r="M61" s="75">
        <v>3.4200000000000001E-2</v>
      </c>
      <c r="N61" s="168"/>
      <c r="O61" s="168"/>
      <c r="P61" s="168"/>
      <c r="CD61" s="220"/>
    </row>
    <row r="62" spans="1:82" s="112" customFormat="1" ht="14.25" hidden="1">
      <c r="A62" s="71" t="s">
        <v>20</v>
      </c>
      <c r="B62" s="73">
        <v>141419.70000000001</v>
      </c>
      <c r="C62" s="73">
        <v>1366.7</v>
      </c>
      <c r="D62" s="73">
        <v>29.8</v>
      </c>
      <c r="E62" s="73">
        <v>51622.3</v>
      </c>
      <c r="F62" s="73">
        <v>275518.09999999998</v>
      </c>
      <c r="G62" s="73">
        <v>43351.3</v>
      </c>
      <c r="H62" s="73">
        <v>543.5</v>
      </c>
      <c r="I62" s="73">
        <v>15488.9</v>
      </c>
      <c r="J62" s="74">
        <v>0.84099999999999997</v>
      </c>
      <c r="K62" s="74">
        <v>1.302</v>
      </c>
      <c r="L62" s="74">
        <v>1.6975</v>
      </c>
      <c r="M62" s="75">
        <v>3.5200000000000002E-2</v>
      </c>
      <c r="N62" s="168"/>
      <c r="O62" s="168"/>
      <c r="P62" s="168"/>
      <c r="CC62" s="112">
        <f>CC8+CC46-CC48+CC59-CC60</f>
        <v>0</v>
      </c>
      <c r="CD62" s="220">
        <f>BY62+BZ62+CA62+CC62</f>
        <v>0</v>
      </c>
    </row>
    <row r="63" spans="1:82" s="112" customFormat="1" ht="10.5" hidden="1" customHeight="1">
      <c r="A63" s="71" t="s">
        <v>21</v>
      </c>
      <c r="B63" s="73"/>
      <c r="C63" s="73"/>
      <c r="D63" s="73"/>
      <c r="E63" s="73"/>
      <c r="F63" s="73"/>
      <c r="G63" s="73"/>
      <c r="H63" s="73"/>
      <c r="I63" s="73"/>
      <c r="J63" s="74"/>
      <c r="K63" s="74"/>
      <c r="L63" s="74"/>
      <c r="M63" s="75"/>
      <c r="N63" s="168"/>
      <c r="O63" s="168"/>
      <c r="P63" s="168"/>
    </row>
    <row r="64" spans="1:82" s="112" customFormat="1" ht="10.5" hidden="1" customHeight="1">
      <c r="A64" s="71"/>
      <c r="B64" s="73"/>
      <c r="C64" s="73"/>
      <c r="D64" s="73"/>
      <c r="E64" s="73"/>
      <c r="F64" s="73"/>
      <c r="G64" s="73"/>
      <c r="H64" s="73"/>
      <c r="I64" s="73"/>
      <c r="J64" s="74"/>
      <c r="K64" s="74"/>
      <c r="L64" s="74"/>
      <c r="M64" s="75"/>
      <c r="N64" s="168"/>
      <c r="O64" s="168"/>
      <c r="P64" s="168"/>
    </row>
    <row r="65" spans="1:16" s="112" customFormat="1" ht="10.5" hidden="1" customHeight="1">
      <c r="A65" s="71"/>
      <c r="B65" s="73"/>
      <c r="C65" s="73"/>
      <c r="D65" s="73"/>
      <c r="E65" s="73"/>
      <c r="F65" s="73"/>
      <c r="G65" s="73"/>
      <c r="H65" s="73"/>
      <c r="I65" s="73"/>
      <c r="J65" s="74"/>
      <c r="K65" s="74"/>
      <c r="L65" s="74"/>
      <c r="M65" s="75"/>
      <c r="N65" s="168"/>
      <c r="O65" s="168"/>
      <c r="P65" s="168"/>
    </row>
    <row r="66" spans="1:16" s="112" customFormat="1" ht="10.5" hidden="1" customHeight="1">
      <c r="A66" s="71"/>
      <c r="B66" s="73"/>
      <c r="C66" s="73"/>
      <c r="D66" s="73"/>
      <c r="E66" s="73"/>
      <c r="F66" s="73"/>
      <c r="G66" s="73"/>
      <c r="H66" s="73"/>
      <c r="I66" s="73"/>
      <c r="J66" s="74"/>
      <c r="K66" s="74"/>
      <c r="L66" s="74"/>
      <c r="M66" s="75"/>
      <c r="N66" s="168"/>
      <c r="O66" s="168"/>
      <c r="P66" s="168"/>
    </row>
    <row r="67" spans="1:16" s="112" customFormat="1" ht="10.5" hidden="1" customHeight="1">
      <c r="A67" s="71"/>
      <c r="B67" s="73"/>
      <c r="C67" s="73"/>
      <c r="D67" s="73"/>
      <c r="E67" s="73"/>
      <c r="F67" s="73"/>
      <c r="G67" s="73"/>
      <c r="H67" s="73"/>
      <c r="I67" s="73"/>
      <c r="J67" s="74"/>
      <c r="K67" s="74"/>
      <c r="L67" s="74"/>
      <c r="M67" s="75"/>
      <c r="N67" s="168"/>
      <c r="O67" s="168"/>
      <c r="P67" s="168"/>
    </row>
    <row r="68" spans="1:16" s="112" customFormat="1" ht="10.5" hidden="1" customHeight="1">
      <c r="A68" s="71"/>
      <c r="B68" s="73"/>
      <c r="C68" s="73"/>
      <c r="D68" s="73"/>
      <c r="E68" s="73"/>
      <c r="F68" s="73"/>
      <c r="G68" s="73"/>
      <c r="H68" s="73"/>
      <c r="I68" s="73"/>
      <c r="J68" s="74"/>
      <c r="K68" s="74"/>
      <c r="L68" s="74"/>
      <c r="M68" s="75"/>
      <c r="N68" s="168"/>
      <c r="O68" s="168"/>
      <c r="P68" s="168"/>
    </row>
    <row r="69" spans="1:16" s="112" customFormat="1" ht="10.5" hidden="1" customHeight="1">
      <c r="A69" s="71"/>
      <c r="B69" s="73"/>
      <c r="C69" s="73"/>
      <c r="D69" s="73"/>
      <c r="E69" s="73"/>
      <c r="F69" s="73"/>
      <c r="G69" s="73"/>
      <c r="H69" s="73"/>
      <c r="I69" s="73"/>
      <c r="J69" s="74"/>
      <c r="K69" s="74"/>
      <c r="L69" s="74"/>
      <c r="M69" s="75"/>
      <c r="N69" s="168"/>
      <c r="O69" s="168"/>
      <c r="P69" s="168"/>
    </row>
    <row r="70" spans="1:16" s="112" customFormat="1" ht="10.5" hidden="1" customHeight="1">
      <c r="A70" s="71"/>
      <c r="B70" s="73"/>
      <c r="C70" s="73"/>
      <c r="D70" s="73"/>
      <c r="E70" s="73"/>
      <c r="F70" s="73"/>
      <c r="G70" s="73"/>
      <c r="H70" s="73"/>
      <c r="I70" s="73"/>
      <c r="J70" s="74"/>
      <c r="K70" s="74"/>
      <c r="L70" s="74"/>
      <c r="M70" s="75"/>
      <c r="N70" s="168"/>
      <c r="O70" s="168"/>
      <c r="P70" s="168"/>
    </row>
    <row r="71" spans="1:16" s="112" customFormat="1" ht="10.5" hidden="1" customHeight="1">
      <c r="A71" s="71"/>
      <c r="B71" s="254"/>
      <c r="C71" s="254"/>
      <c r="D71" s="254"/>
      <c r="E71" s="254"/>
      <c r="F71" s="254"/>
      <c r="G71" s="254"/>
      <c r="H71" s="254"/>
      <c r="I71" s="254"/>
      <c r="J71" s="255"/>
      <c r="K71" s="255"/>
      <c r="L71" s="255"/>
      <c r="M71" s="256"/>
      <c r="N71" s="168"/>
      <c r="O71" s="168"/>
      <c r="P71" s="168"/>
    </row>
    <row r="72" spans="1:16" s="112" customFormat="1" ht="14.25" hidden="1">
      <c r="A72" s="71" t="s">
        <v>21</v>
      </c>
      <c r="B72" s="254">
        <v>148547.6</v>
      </c>
      <c r="C72" s="254">
        <v>5118.1000000000004</v>
      </c>
      <c r="D72" s="254">
        <v>44.7</v>
      </c>
      <c r="E72" s="254">
        <v>69771.8</v>
      </c>
      <c r="F72" s="254">
        <v>331803.5</v>
      </c>
      <c r="G72" s="254">
        <v>101694.1</v>
      </c>
      <c r="H72" s="254">
        <v>575.4</v>
      </c>
      <c r="I72" s="254">
        <v>12447.7</v>
      </c>
      <c r="J72" s="255">
        <v>0.83150000000000002</v>
      </c>
      <c r="K72" s="255">
        <v>1.2967</v>
      </c>
      <c r="L72" s="255">
        <v>1.6576</v>
      </c>
      <c r="M72" s="256">
        <v>3.5200000000000002E-2</v>
      </c>
      <c r="N72" s="168"/>
      <c r="O72" s="168"/>
      <c r="P72" s="168"/>
    </row>
    <row r="73" spans="1:16" s="112" customFormat="1" ht="14.25" hidden="1">
      <c r="A73" s="71" t="s">
        <v>22</v>
      </c>
      <c r="B73" s="254">
        <v>128611.7</v>
      </c>
      <c r="C73" s="254">
        <v>10007.6</v>
      </c>
      <c r="D73" s="254">
        <v>66.400000000000006</v>
      </c>
      <c r="E73" s="254">
        <v>85675.5</v>
      </c>
      <c r="F73" s="254">
        <v>393745.2</v>
      </c>
      <c r="G73" s="254">
        <v>51055.3</v>
      </c>
      <c r="H73" s="254">
        <v>617.6</v>
      </c>
      <c r="I73" s="254">
        <v>15538.98</v>
      </c>
      <c r="J73" s="255">
        <v>0.82789999999999997</v>
      </c>
      <c r="K73" s="255">
        <v>1.2845</v>
      </c>
      <c r="L73" s="255">
        <v>1.6312</v>
      </c>
      <c r="M73" s="256">
        <v>3.4700000000000002E-2</v>
      </c>
      <c r="N73" s="168"/>
      <c r="O73" s="168"/>
      <c r="P73" s="168"/>
    </row>
    <row r="74" spans="1:16" s="112" customFormat="1" ht="14.25" hidden="1">
      <c r="A74" s="71" t="s">
        <v>23</v>
      </c>
      <c r="B74" s="254">
        <v>133764.20000000001</v>
      </c>
      <c r="C74" s="254">
        <v>4777.6000000000004</v>
      </c>
      <c r="D74" s="254">
        <v>78.900000000000006</v>
      </c>
      <c r="E74" s="254">
        <v>112736.2</v>
      </c>
      <c r="F74" s="254">
        <v>338647.8</v>
      </c>
      <c r="G74" s="254">
        <v>47116.9</v>
      </c>
      <c r="H74" s="254">
        <v>494.9</v>
      </c>
      <c r="I74" s="254">
        <v>10026.6</v>
      </c>
      <c r="J74" s="255">
        <v>0.81850000000000001</v>
      </c>
      <c r="K74" s="255">
        <v>1.2710999999999999</v>
      </c>
      <c r="L74" s="255">
        <v>1.6187</v>
      </c>
      <c r="M74" s="256">
        <v>3.44E-2</v>
      </c>
      <c r="N74" s="168"/>
      <c r="O74" s="168"/>
      <c r="P74" s="168"/>
    </row>
    <row r="75" spans="1:16" s="112" customFormat="1" ht="14.25" hidden="1">
      <c r="A75" s="71" t="s">
        <v>24</v>
      </c>
      <c r="B75" s="254">
        <v>133779.4</v>
      </c>
      <c r="C75" s="254">
        <v>2812.377</v>
      </c>
      <c r="D75" s="254">
        <v>87.366</v>
      </c>
      <c r="E75" s="254">
        <v>135343.84400000001</v>
      </c>
      <c r="F75" s="254">
        <v>362114.45600000001</v>
      </c>
      <c r="G75" s="254">
        <v>83859.09</v>
      </c>
      <c r="H75" s="254">
        <v>594.22699999999998</v>
      </c>
      <c r="I75" s="254">
        <v>9169.2810000000009</v>
      </c>
      <c r="J75" s="255">
        <v>0.80930000000000002</v>
      </c>
      <c r="K75" s="255">
        <v>1.2737000000000001</v>
      </c>
      <c r="L75" s="255">
        <v>1.6187</v>
      </c>
      <c r="M75" s="256">
        <v>3.44E-2</v>
      </c>
      <c r="N75" s="168"/>
      <c r="O75" s="168"/>
      <c r="P75" s="168"/>
    </row>
    <row r="76" spans="1:16" s="112" customFormat="1" ht="12.75" hidden="1" customHeight="1">
      <c r="A76" s="71" t="s">
        <v>25</v>
      </c>
      <c r="B76" s="254">
        <v>121449</v>
      </c>
      <c r="C76" s="254">
        <v>3345</v>
      </c>
      <c r="D76" s="254">
        <v>139.69999999999999</v>
      </c>
      <c r="E76" s="254">
        <v>188384</v>
      </c>
      <c r="F76" s="254">
        <v>317341.76899999997</v>
      </c>
      <c r="G76" s="254">
        <v>96501.4</v>
      </c>
      <c r="H76" s="254">
        <v>787.52</v>
      </c>
      <c r="I76" s="254">
        <v>13843.8</v>
      </c>
      <c r="J76" s="255">
        <v>0.81330000000000002</v>
      </c>
      <c r="K76" s="255">
        <v>1.2211000000000001</v>
      </c>
      <c r="L76" s="255">
        <v>1.5548999999999999</v>
      </c>
      <c r="M76" s="256">
        <v>3.3500000000000002E-2</v>
      </c>
      <c r="N76" s="168"/>
      <c r="O76" s="168"/>
      <c r="P76" s="168"/>
    </row>
    <row r="77" spans="1:16" s="112" customFormat="1" ht="12.75" hidden="1" customHeight="1">
      <c r="A77" s="71" t="s">
        <v>26</v>
      </c>
      <c r="B77" s="254">
        <v>99534.39</v>
      </c>
      <c r="C77" s="254">
        <v>14500.356</v>
      </c>
      <c r="D77" s="254">
        <v>78.897000000000006</v>
      </c>
      <c r="E77" s="254">
        <v>147863.04000000001</v>
      </c>
      <c r="F77" s="254">
        <v>542622.40300000005</v>
      </c>
      <c r="G77" s="254">
        <v>43888.544000000002</v>
      </c>
      <c r="H77" s="254">
        <v>840.03499999999997</v>
      </c>
      <c r="I77" s="254">
        <v>12113.353999999999</v>
      </c>
      <c r="J77" s="255">
        <v>0.81440000000000001</v>
      </c>
      <c r="K77" s="255">
        <v>1.1627000000000001</v>
      </c>
      <c r="L77" s="255">
        <v>1.4691000000000001</v>
      </c>
      <c r="M77" s="256">
        <v>3.1899999999999998E-2</v>
      </c>
      <c r="N77" s="168"/>
      <c r="O77" s="168"/>
      <c r="P77" s="168"/>
    </row>
    <row r="78" spans="1:16" s="112" customFormat="1" ht="12.75" hidden="1" customHeight="1">
      <c r="A78" s="709" t="s">
        <v>27</v>
      </c>
      <c r="B78" s="710">
        <v>129474.78</v>
      </c>
      <c r="C78" s="710">
        <v>5582.66</v>
      </c>
      <c r="D78" s="710">
        <v>123.569</v>
      </c>
      <c r="E78" s="710">
        <v>158265.28</v>
      </c>
      <c r="F78" s="710">
        <v>651990.73</v>
      </c>
      <c r="G78" s="710">
        <v>71236.463000000003</v>
      </c>
      <c r="H78" s="710">
        <v>1009.753</v>
      </c>
      <c r="I78" s="710">
        <v>22000.208999999999</v>
      </c>
      <c r="J78" s="711">
        <v>0.81169999999999998</v>
      </c>
      <c r="K78" s="711">
        <v>1.0841000000000001</v>
      </c>
      <c r="L78" s="711">
        <v>1.3745000000000001</v>
      </c>
      <c r="M78" s="711">
        <v>3.0200000000000001E-2</v>
      </c>
      <c r="N78" s="168"/>
      <c r="O78" s="168"/>
      <c r="P78" s="168"/>
    </row>
    <row r="79" spans="1:16" s="112" customFormat="1" ht="12.75" hidden="1" customHeight="1">
      <c r="A79" s="709" t="s">
        <v>28</v>
      </c>
      <c r="B79" s="710">
        <v>99693.4</v>
      </c>
      <c r="C79" s="710">
        <v>3182.951</v>
      </c>
      <c r="D79" s="710">
        <v>72.599999999999994</v>
      </c>
      <c r="E79" s="710">
        <v>59215.444000000003</v>
      </c>
      <c r="F79" s="710">
        <v>507441.36700000003</v>
      </c>
      <c r="G79" s="710">
        <v>38072.523000000001</v>
      </c>
      <c r="H79" s="710">
        <v>1098.2180000000001</v>
      </c>
      <c r="I79" s="710">
        <v>12393.928</v>
      </c>
      <c r="J79" s="711">
        <v>0.8105</v>
      </c>
      <c r="K79" s="711">
        <v>1.0286</v>
      </c>
      <c r="L79" s="711">
        <v>1.258</v>
      </c>
      <c r="M79" s="711">
        <v>2.9100000000000001E-2</v>
      </c>
      <c r="N79" s="168"/>
      <c r="O79" s="168"/>
      <c r="P79" s="168"/>
    </row>
    <row r="80" spans="1:16" s="112" customFormat="1" ht="12.75" hidden="1" customHeight="1">
      <c r="A80" s="709" t="s">
        <v>29</v>
      </c>
      <c r="B80" s="710">
        <v>94179.8</v>
      </c>
      <c r="C80" s="710">
        <v>3980.3</v>
      </c>
      <c r="D80" s="710">
        <v>76.8</v>
      </c>
      <c r="E80" s="710">
        <v>61995.3</v>
      </c>
      <c r="F80" s="710">
        <v>676003.57</v>
      </c>
      <c r="G80" s="710">
        <v>89472.7</v>
      </c>
      <c r="H80" s="710">
        <v>1089.17</v>
      </c>
      <c r="I80" s="710">
        <v>7066.92</v>
      </c>
      <c r="J80" s="711">
        <v>0.80679999999999996</v>
      </c>
      <c r="K80" s="711">
        <v>1.1040000000000001</v>
      </c>
      <c r="L80" s="711">
        <v>1.2115</v>
      </c>
      <c r="M80" s="711">
        <v>2.8000000000000001E-2</v>
      </c>
      <c r="N80" s="168"/>
      <c r="O80" s="168"/>
      <c r="P80" s="168"/>
    </row>
    <row r="81" spans="1:16" s="112" customFormat="1" ht="12.75" customHeight="1">
      <c r="A81" s="709" t="s">
        <v>43</v>
      </c>
      <c r="B81" s="710">
        <f t="shared" ref="B81:I81" si="10">B82+B83+B84+B85+B86+B87+B88+B89+B90+B91+B92+B93</f>
        <v>1418760.0009999999</v>
      </c>
      <c r="C81" s="710">
        <f t="shared" ref="C81:D81" si="11">C82+C83+C84+C85+C86+C87+C88+C89+C90+C91+C92+C93</f>
        <v>63662.319000000003</v>
      </c>
      <c r="D81" s="710">
        <f t="shared" si="11"/>
        <v>1584.3679999999999</v>
      </c>
      <c r="E81" s="710">
        <f t="shared" si="10"/>
        <v>1078013.5</v>
      </c>
      <c r="F81" s="710">
        <f t="shared" si="10"/>
        <v>5807164.1509999996</v>
      </c>
      <c r="G81" s="710">
        <f t="shared" ref="G81" si="12">G82+G83+G84+G85+G86+G87+G88+G89+G90+G91+G92+G93</f>
        <v>737470.09399999992</v>
      </c>
      <c r="H81" s="710">
        <f t="shared" si="10"/>
        <v>15185.648999999998</v>
      </c>
      <c r="I81" s="710">
        <f t="shared" si="10"/>
        <v>197965.24299999999</v>
      </c>
      <c r="J81" s="711">
        <v>0.80549999999999999</v>
      </c>
      <c r="K81" s="711">
        <v>1.121</v>
      </c>
      <c r="L81" s="711">
        <v>1.2474000000000001</v>
      </c>
      <c r="M81" s="711">
        <v>2.5700000000000001E-2</v>
      </c>
      <c r="N81" s="168"/>
      <c r="O81" s="168"/>
      <c r="P81" s="168"/>
    </row>
    <row r="82" spans="1:16" ht="12.75" hidden="1" customHeight="1">
      <c r="A82" s="709" t="s">
        <v>18</v>
      </c>
      <c r="B82" s="712">
        <v>127613.2</v>
      </c>
      <c r="C82" s="712">
        <v>6642.7</v>
      </c>
      <c r="D82" s="712">
        <v>311.06</v>
      </c>
      <c r="E82" s="712">
        <v>60494.355000000003</v>
      </c>
      <c r="F82" s="712">
        <v>497242.59600000002</v>
      </c>
      <c r="G82" s="712">
        <v>90252.994000000006</v>
      </c>
      <c r="H82" s="712">
        <v>1862.597</v>
      </c>
      <c r="I82" s="712">
        <v>19994.536</v>
      </c>
      <c r="J82" s="713">
        <v>0.80549999999999999</v>
      </c>
      <c r="K82" s="713">
        <v>1.0593999999999999</v>
      </c>
      <c r="L82" s="713">
        <v>1.1737</v>
      </c>
      <c r="M82" s="713">
        <v>2.5600000000000001E-2</v>
      </c>
      <c r="N82" s="169"/>
      <c r="O82" s="169"/>
      <c r="P82" s="169"/>
    </row>
    <row r="83" spans="1:16" ht="12.75" hidden="1" customHeight="1">
      <c r="A83" s="709" t="s">
        <v>19</v>
      </c>
      <c r="B83" s="712">
        <v>89245.513999999996</v>
      </c>
      <c r="C83" s="712">
        <v>4415.7070000000003</v>
      </c>
      <c r="D83" s="712">
        <v>77.177999999999997</v>
      </c>
      <c r="E83" s="712">
        <v>33870.766000000003</v>
      </c>
      <c r="F83" s="712">
        <v>805322.74800000002</v>
      </c>
      <c r="G83" s="712">
        <v>85507.425000000003</v>
      </c>
      <c r="H83" s="712">
        <v>1439.5609999999999</v>
      </c>
      <c r="I83" s="712">
        <v>12538.040999999999</v>
      </c>
      <c r="J83" s="713">
        <v>0.80910000000000004</v>
      </c>
      <c r="K83" s="713">
        <v>1.0331999999999999</v>
      </c>
      <c r="L83" s="713">
        <v>1.1709000000000001</v>
      </c>
      <c r="M83" s="713">
        <v>2.23E-2</v>
      </c>
      <c r="N83" s="169"/>
      <c r="O83" s="169"/>
      <c r="P83" s="169"/>
    </row>
    <row r="84" spans="1:16" ht="12.75" hidden="1" customHeight="1">
      <c r="A84" s="709" t="s">
        <v>20</v>
      </c>
      <c r="B84" s="712">
        <v>67302.2</v>
      </c>
      <c r="C84" s="712">
        <v>3184.6120000000001</v>
      </c>
      <c r="D84" s="712">
        <v>54.683</v>
      </c>
      <c r="E84" s="712">
        <v>53268.557999999997</v>
      </c>
      <c r="F84" s="712">
        <v>963833.95400000003</v>
      </c>
      <c r="G84" s="712">
        <v>62010.495000000003</v>
      </c>
      <c r="H84" s="712">
        <v>2021.748</v>
      </c>
      <c r="I84" s="712">
        <v>8456.2440000000006</v>
      </c>
      <c r="J84" s="713">
        <v>0.8075</v>
      </c>
      <c r="K84" s="713">
        <v>1.0303</v>
      </c>
      <c r="L84" s="713">
        <v>1.1388</v>
      </c>
      <c r="M84" s="713">
        <v>2.29E-2</v>
      </c>
      <c r="N84" s="169"/>
      <c r="O84" s="169"/>
      <c r="P84" s="169"/>
    </row>
    <row r="85" spans="1:16" hidden="1">
      <c r="A85" s="709" t="s">
        <v>21</v>
      </c>
      <c r="B85" s="712">
        <v>104601.81</v>
      </c>
      <c r="C85" s="712">
        <v>3872.5039999999999</v>
      </c>
      <c r="D85" s="712">
        <v>41.692999999999998</v>
      </c>
      <c r="E85" s="712">
        <v>50387.968000000001</v>
      </c>
      <c r="F85" s="712">
        <v>342633.908</v>
      </c>
      <c r="G85" s="712">
        <v>35341.786999999997</v>
      </c>
      <c r="H85" s="712">
        <v>1447.91</v>
      </c>
      <c r="I85" s="712">
        <v>7598.1729999999998</v>
      </c>
      <c r="J85" s="713">
        <v>0.80449999999999999</v>
      </c>
      <c r="K85" s="713">
        <v>1.0587</v>
      </c>
      <c r="L85" s="713">
        <v>1.1899</v>
      </c>
      <c r="M85" s="713">
        <v>2.3800000000000002E-2</v>
      </c>
      <c r="N85" s="162"/>
      <c r="O85" s="162"/>
    </row>
    <row r="86" spans="1:16" ht="12.75" hidden="1" customHeight="1">
      <c r="A86" s="709" t="s">
        <v>22</v>
      </c>
      <c r="B86" s="712">
        <v>89778.13</v>
      </c>
      <c r="C86" s="712">
        <v>7380.616</v>
      </c>
      <c r="D86" s="712">
        <v>276.33</v>
      </c>
      <c r="E86" s="712">
        <v>66654.218999999997</v>
      </c>
      <c r="F86" s="712">
        <v>351219.16600000003</v>
      </c>
      <c r="G86" s="712">
        <v>16883.54</v>
      </c>
      <c r="H86" s="712">
        <v>818.12699999999995</v>
      </c>
      <c r="I86" s="712">
        <v>18898.669999999998</v>
      </c>
      <c r="J86" s="713">
        <v>0.80459999999999998</v>
      </c>
      <c r="K86" s="713">
        <v>1.0927</v>
      </c>
      <c r="L86" s="713">
        <v>1.2485999999999999</v>
      </c>
      <c r="M86" s="713">
        <v>2.4899999999999999E-2</v>
      </c>
      <c r="N86" s="169"/>
      <c r="O86" s="169"/>
      <c r="P86" s="169"/>
    </row>
    <row r="87" spans="1:16" hidden="1">
      <c r="A87" s="709" t="s">
        <v>23</v>
      </c>
      <c r="B87" s="712">
        <v>125890.3</v>
      </c>
      <c r="C87" s="712">
        <v>4438.5950000000003</v>
      </c>
      <c r="D87" s="712">
        <v>196.3</v>
      </c>
      <c r="E87" s="712">
        <v>95925.4</v>
      </c>
      <c r="F87" s="712">
        <v>347832.87</v>
      </c>
      <c r="G87" s="712">
        <v>26721.576000000001</v>
      </c>
      <c r="H87" s="712">
        <v>805.81700000000001</v>
      </c>
      <c r="I87" s="712">
        <v>12861.246999999999</v>
      </c>
      <c r="J87" s="713">
        <v>0.80459999999999998</v>
      </c>
      <c r="K87" s="713">
        <v>1.1271</v>
      </c>
      <c r="L87" s="713">
        <v>1.32</v>
      </c>
      <c r="M87" s="713">
        <v>2.5700000000000001E-2</v>
      </c>
      <c r="N87" s="162"/>
      <c r="O87" s="162"/>
    </row>
    <row r="88" spans="1:16" hidden="1">
      <c r="A88" s="709" t="s">
        <v>24</v>
      </c>
      <c r="B88" s="712">
        <v>153666.67800000001</v>
      </c>
      <c r="C88" s="712">
        <v>7071.8149999999996</v>
      </c>
      <c r="D88" s="712">
        <v>92.5</v>
      </c>
      <c r="E88" s="712">
        <v>103872.001</v>
      </c>
      <c r="F88" s="712">
        <v>399246.61200000002</v>
      </c>
      <c r="G88" s="712">
        <v>32988.644999999997</v>
      </c>
      <c r="H88" s="712">
        <v>855.3</v>
      </c>
      <c r="I88" s="712">
        <v>27334.931</v>
      </c>
      <c r="J88" s="713">
        <v>0.80459999999999998</v>
      </c>
      <c r="K88" s="713">
        <v>1.1334</v>
      </c>
      <c r="L88" s="713">
        <v>1.3150999999999999</v>
      </c>
      <c r="M88" s="713">
        <v>2.53E-2</v>
      </c>
      <c r="N88" s="162"/>
      <c r="O88" s="162"/>
    </row>
    <row r="89" spans="1:16" ht="11.25" hidden="1" customHeight="1">
      <c r="A89" s="709" t="s">
        <v>25</v>
      </c>
      <c r="B89" s="712">
        <v>129606.1</v>
      </c>
      <c r="C89" s="712">
        <v>9482.2999999999993</v>
      </c>
      <c r="D89" s="712">
        <v>95.4</v>
      </c>
      <c r="E89" s="712">
        <v>124049.18</v>
      </c>
      <c r="F89" s="712">
        <v>400098.04200000002</v>
      </c>
      <c r="G89" s="712">
        <v>61858.14</v>
      </c>
      <c r="H89" s="712">
        <v>904.375</v>
      </c>
      <c r="I89" s="712">
        <v>14389.619000000001</v>
      </c>
      <c r="J89" s="713">
        <v>0.8044</v>
      </c>
      <c r="K89" s="713">
        <v>1.1455</v>
      </c>
      <c r="L89" s="713">
        <v>1.3315999999999999</v>
      </c>
      <c r="M89" s="713">
        <v>2.52E-2</v>
      </c>
      <c r="N89" s="162"/>
      <c r="O89" s="162"/>
    </row>
    <row r="90" spans="1:16" ht="13.5" hidden="1" customHeight="1">
      <c r="A90" s="709" t="s">
        <v>26</v>
      </c>
      <c r="B90" s="712">
        <v>138024.03</v>
      </c>
      <c r="C90" s="712">
        <v>7647.7780000000002</v>
      </c>
      <c r="D90" s="712">
        <v>201.39400000000001</v>
      </c>
      <c r="E90" s="712">
        <v>128940.895</v>
      </c>
      <c r="F90" s="712">
        <v>368227.48499999999</v>
      </c>
      <c r="G90" s="712">
        <v>62951.86</v>
      </c>
      <c r="H90" s="712">
        <v>1629.4259999999999</v>
      </c>
      <c r="I90" s="712">
        <v>25265.383000000002</v>
      </c>
      <c r="J90" s="713">
        <v>0.80430000000000001</v>
      </c>
      <c r="K90" s="713">
        <v>1.1692</v>
      </c>
      <c r="L90" s="713">
        <v>1.3147</v>
      </c>
      <c r="M90" s="713">
        <v>2.5899999999999999E-2</v>
      </c>
      <c r="N90" s="162"/>
      <c r="O90" s="162"/>
    </row>
    <row r="91" spans="1:16" ht="12" hidden="1" customHeight="1">
      <c r="A91" s="709" t="s">
        <v>27</v>
      </c>
      <c r="B91" s="712">
        <v>116729.776</v>
      </c>
      <c r="C91" s="712">
        <v>2985.4369999999999</v>
      </c>
      <c r="D91" s="712">
        <v>127.51</v>
      </c>
      <c r="E91" s="712">
        <v>101737.54300000001</v>
      </c>
      <c r="F91" s="712">
        <v>384185.47499999998</v>
      </c>
      <c r="G91" s="712">
        <v>93434.091</v>
      </c>
      <c r="H91" s="712">
        <v>1195.933</v>
      </c>
      <c r="I91" s="712">
        <v>20610.071</v>
      </c>
      <c r="J91" s="713">
        <v>0.80410000000000004</v>
      </c>
      <c r="K91" s="713">
        <v>1.1897</v>
      </c>
      <c r="L91" s="713">
        <v>1.3037000000000001</v>
      </c>
      <c r="M91" s="713">
        <v>2.7099999999999999E-2</v>
      </c>
      <c r="N91" s="162"/>
      <c r="O91" s="162"/>
    </row>
    <row r="92" spans="1:16" ht="12" hidden="1" customHeight="1">
      <c r="A92" s="709" t="s">
        <v>28</v>
      </c>
      <c r="B92" s="712">
        <v>109206.54</v>
      </c>
      <c r="C92" s="712">
        <v>2056.6030000000001</v>
      </c>
      <c r="D92" s="712">
        <v>45.061999999999998</v>
      </c>
      <c r="E92" s="712">
        <v>116572.2</v>
      </c>
      <c r="F92" s="712">
        <v>405544.68300000002</v>
      </c>
      <c r="G92" s="712">
        <v>54104.040999999997</v>
      </c>
      <c r="H92" s="712">
        <v>658.23</v>
      </c>
      <c r="I92" s="712">
        <v>9988.2579999999998</v>
      </c>
      <c r="J92" s="713">
        <v>0.80389999999999995</v>
      </c>
      <c r="K92" s="713">
        <v>1.1948000000000001</v>
      </c>
      <c r="L92" s="713">
        <v>1.3434999999999999</v>
      </c>
      <c r="M92" s="713">
        <v>2.76E-2</v>
      </c>
      <c r="N92" s="162"/>
      <c r="O92" s="162"/>
    </row>
    <row r="93" spans="1:16" ht="15" hidden="1" customHeight="1">
      <c r="A93" s="709" t="s">
        <v>29</v>
      </c>
      <c r="B93" s="712">
        <v>167095.723</v>
      </c>
      <c r="C93" s="712">
        <v>4483.652</v>
      </c>
      <c r="D93" s="712">
        <v>65.257999999999996</v>
      </c>
      <c r="E93" s="712">
        <v>142240.41500000001</v>
      </c>
      <c r="F93" s="712">
        <v>541776.61199999996</v>
      </c>
      <c r="G93" s="712">
        <v>115415.5</v>
      </c>
      <c r="H93" s="712">
        <v>1546.625</v>
      </c>
      <c r="I93" s="712">
        <v>20030.07</v>
      </c>
      <c r="J93" s="713">
        <v>0.80400000000000005</v>
      </c>
      <c r="K93" s="713">
        <v>1.1736</v>
      </c>
      <c r="L93" s="713">
        <v>1.3087</v>
      </c>
      <c r="M93" s="713">
        <v>2.6599999999999999E-2</v>
      </c>
      <c r="N93" s="162"/>
      <c r="O93" s="162"/>
    </row>
    <row r="94" spans="1:16" s="112" customFormat="1" ht="13.5" customHeight="1">
      <c r="A94" s="709" t="s">
        <v>48</v>
      </c>
      <c r="B94" s="710">
        <f t="shared" ref="B94:I94" si="13">SUM(B95:B106)</f>
        <v>1241631.5319999997</v>
      </c>
      <c r="C94" s="710">
        <f t="shared" ref="C94:D94" si="14">SUM(C95:C106)</f>
        <v>105070.36199999999</v>
      </c>
      <c r="D94" s="710">
        <f t="shared" si="14"/>
        <v>1921.5920000000001</v>
      </c>
      <c r="E94" s="710">
        <f t="shared" si="13"/>
        <v>2109420.1829999997</v>
      </c>
      <c r="F94" s="710">
        <f t="shared" si="13"/>
        <v>5201586.341</v>
      </c>
      <c r="G94" s="710">
        <f t="shared" ref="G94" si="15">SUM(G95:G106)</f>
        <v>1017936.0349999999</v>
      </c>
      <c r="H94" s="710">
        <f t="shared" si="13"/>
        <v>18321.652000000002</v>
      </c>
      <c r="I94" s="710">
        <f t="shared" si="13"/>
        <v>517596.31599999999</v>
      </c>
      <c r="J94" s="711">
        <v>0.8034</v>
      </c>
      <c r="K94" s="711">
        <v>1.0676000000000001</v>
      </c>
      <c r="L94" s="711">
        <v>1.2455000000000001</v>
      </c>
      <c r="M94" s="711">
        <v>2.6200000000000001E-2</v>
      </c>
      <c r="N94" s="161"/>
      <c r="O94" s="161"/>
    </row>
    <row r="95" spans="1:16" ht="12.75" hidden="1" customHeight="1">
      <c r="A95" s="709" t="s">
        <v>18</v>
      </c>
      <c r="B95" s="712">
        <v>77426.370999999999</v>
      </c>
      <c r="C95" s="712">
        <v>3719.2829999999999</v>
      </c>
      <c r="D95" s="712">
        <v>62.127000000000002</v>
      </c>
      <c r="E95" s="712">
        <v>91648.387000000002</v>
      </c>
      <c r="F95" s="712">
        <v>359476.80200000003</v>
      </c>
      <c r="G95" s="712">
        <v>101446.54700000001</v>
      </c>
      <c r="H95" s="712">
        <v>829.33600000000001</v>
      </c>
      <c r="I95" s="712">
        <v>15197.787</v>
      </c>
      <c r="J95" s="713">
        <v>0.80449999999999999</v>
      </c>
      <c r="K95" s="713">
        <v>1.1448</v>
      </c>
      <c r="L95" s="713">
        <v>1.304</v>
      </c>
      <c r="M95" s="713">
        <v>2.6700000000000002E-2</v>
      </c>
      <c r="N95" s="162"/>
      <c r="O95" s="162"/>
    </row>
    <row r="96" spans="1:16" ht="12.75" hidden="1" customHeight="1">
      <c r="A96" s="709" t="s">
        <v>19</v>
      </c>
      <c r="B96" s="712">
        <v>75556.016000000003</v>
      </c>
      <c r="C96" s="712">
        <v>4323.2510000000002</v>
      </c>
      <c r="D96" s="712">
        <v>61.027999999999999</v>
      </c>
      <c r="E96" s="712">
        <v>76400.320000000007</v>
      </c>
      <c r="F96" s="712">
        <v>397641.61499999999</v>
      </c>
      <c r="G96" s="712">
        <v>67210.979000000007</v>
      </c>
      <c r="H96" s="712">
        <v>2011.867</v>
      </c>
      <c r="I96" s="712">
        <v>99625.23</v>
      </c>
      <c r="J96" s="713">
        <v>0.80449999999999999</v>
      </c>
      <c r="K96" s="713">
        <v>1.0973999999999999</v>
      </c>
      <c r="L96" s="713">
        <v>1.2656000000000001</v>
      </c>
      <c r="M96" s="713">
        <v>2.6499999999999999E-2</v>
      </c>
      <c r="N96" s="162"/>
      <c r="O96" s="162"/>
    </row>
    <row r="97" spans="1:15" ht="12.75" hidden="1" customHeight="1">
      <c r="A97" s="709" t="s">
        <v>20</v>
      </c>
      <c r="B97" s="712">
        <v>99003.093999999997</v>
      </c>
      <c r="C97" s="712">
        <v>3604.174</v>
      </c>
      <c r="D97" s="712">
        <v>106.89100000000001</v>
      </c>
      <c r="E97" s="712">
        <v>115358.989</v>
      </c>
      <c r="F97" s="712">
        <v>390132.01500000001</v>
      </c>
      <c r="G97" s="712">
        <v>82315.119000000006</v>
      </c>
      <c r="H97" s="712">
        <v>1727.749</v>
      </c>
      <c r="I97" s="712">
        <v>24437.504000000001</v>
      </c>
      <c r="J97" s="713">
        <v>0.80430000000000001</v>
      </c>
      <c r="K97" s="713">
        <v>1.0931999999999999</v>
      </c>
      <c r="L97" s="713">
        <v>1.216</v>
      </c>
      <c r="M97" s="713">
        <v>2.7099999999999999E-2</v>
      </c>
      <c r="N97" s="162"/>
      <c r="O97" s="162"/>
    </row>
    <row r="98" spans="1:15" ht="12.75" hidden="1" customHeight="1">
      <c r="A98" s="709" t="s">
        <v>21</v>
      </c>
      <c r="B98" s="712">
        <v>91281.262000000002</v>
      </c>
      <c r="C98" s="712">
        <v>4569.3379999999997</v>
      </c>
      <c r="D98" s="712">
        <v>90.417000000000002</v>
      </c>
      <c r="E98" s="712">
        <v>124566.735</v>
      </c>
      <c r="F98" s="712">
        <v>426253.25</v>
      </c>
      <c r="G98" s="712">
        <v>93613.751000000004</v>
      </c>
      <c r="H98" s="712">
        <v>1569.9770000000001</v>
      </c>
      <c r="I98" s="712">
        <v>182130.79699999999</v>
      </c>
      <c r="J98" s="713">
        <v>0.8044</v>
      </c>
      <c r="K98" s="713">
        <v>1.0790999999999999</v>
      </c>
      <c r="L98" s="713">
        <v>1.2343999999999999</v>
      </c>
      <c r="M98" s="713">
        <v>2.75E-2</v>
      </c>
      <c r="N98" s="169"/>
      <c r="O98" s="169"/>
    </row>
    <row r="99" spans="1:15" ht="12.75" hidden="1" customHeight="1">
      <c r="A99" s="709" t="s">
        <v>22</v>
      </c>
      <c r="B99" s="712">
        <v>88176.316000000006</v>
      </c>
      <c r="C99" s="712">
        <v>13312.352000000001</v>
      </c>
      <c r="D99" s="712">
        <v>257.06599999999997</v>
      </c>
      <c r="E99" s="712">
        <v>146380.83300000001</v>
      </c>
      <c r="F99" s="712">
        <v>434590.25</v>
      </c>
      <c r="G99" s="712">
        <v>69953.478000000003</v>
      </c>
      <c r="H99" s="712">
        <v>1410.204</v>
      </c>
      <c r="I99" s="712">
        <v>15094.53</v>
      </c>
      <c r="J99" s="713">
        <v>0.8044</v>
      </c>
      <c r="K99" s="713">
        <v>1.0117</v>
      </c>
      <c r="L99" s="713">
        <v>1.1760999999999999</v>
      </c>
      <c r="M99" s="713">
        <v>2.6200000000000001E-2</v>
      </c>
      <c r="N99" s="162"/>
      <c r="O99" s="162"/>
    </row>
    <row r="100" spans="1:15" hidden="1">
      <c r="A100" s="709" t="s">
        <v>23</v>
      </c>
      <c r="B100" s="712">
        <v>144593.58499999999</v>
      </c>
      <c r="C100" s="712">
        <v>10995.01</v>
      </c>
      <c r="D100" s="712">
        <v>267.90800000000002</v>
      </c>
      <c r="E100" s="712">
        <v>161146.663</v>
      </c>
      <c r="F100" s="712">
        <v>406866.23700000002</v>
      </c>
      <c r="G100" s="714">
        <v>62255.271999999997</v>
      </c>
      <c r="H100" s="712">
        <v>926.11699999999996</v>
      </c>
      <c r="I100" s="714">
        <v>23772.27</v>
      </c>
      <c r="J100" s="715">
        <v>0.80430000000000001</v>
      </c>
      <c r="K100" s="715">
        <v>0.98209999999999997</v>
      </c>
      <c r="L100" s="715">
        <v>1.1907000000000001</v>
      </c>
      <c r="M100" s="715">
        <v>2.5600000000000001E-2</v>
      </c>
    </row>
    <row r="101" spans="1:15" ht="12.75" hidden="1" customHeight="1">
      <c r="A101" s="709" t="s">
        <v>24</v>
      </c>
      <c r="B101" s="712">
        <v>115104.59</v>
      </c>
      <c r="C101" s="712">
        <v>8155.8890000000001</v>
      </c>
      <c r="D101" s="712">
        <v>160.465</v>
      </c>
      <c r="E101" s="712">
        <v>180300.98800000001</v>
      </c>
      <c r="F101" s="712">
        <v>435664.891</v>
      </c>
      <c r="G101" s="712">
        <v>74029.982000000004</v>
      </c>
      <c r="H101" s="712">
        <v>1295.519</v>
      </c>
      <c r="I101" s="712">
        <v>27969.449000000001</v>
      </c>
      <c r="J101" s="713">
        <v>0.80420000000000003</v>
      </c>
      <c r="K101" s="713">
        <v>1.0230999999999999</v>
      </c>
      <c r="L101" s="713">
        <v>1.2334000000000001</v>
      </c>
      <c r="M101" s="713">
        <v>2.5999999999999999E-2</v>
      </c>
    </row>
    <row r="102" spans="1:15" ht="12.75" hidden="1" customHeight="1">
      <c r="A102" s="709" t="s">
        <v>25</v>
      </c>
      <c r="B102" s="712">
        <v>98571.346999999994</v>
      </c>
      <c r="C102" s="712">
        <v>6999.2839999999997</v>
      </c>
      <c r="D102" s="712">
        <v>117.05200000000001</v>
      </c>
      <c r="E102" s="712">
        <v>187933.35200000001</v>
      </c>
      <c r="F102" s="712">
        <v>366248.24300000002</v>
      </c>
      <c r="G102" s="712">
        <v>84301.71</v>
      </c>
      <c r="H102" s="712">
        <v>3114.7</v>
      </c>
      <c r="I102" s="712">
        <v>22731.232</v>
      </c>
      <c r="J102" s="713">
        <v>0.80420000000000003</v>
      </c>
      <c r="K102" s="713">
        <v>1.0369999999999999</v>
      </c>
      <c r="L102" s="713">
        <v>1.2616000000000001</v>
      </c>
      <c r="M102" s="713">
        <v>2.6200000000000001E-2</v>
      </c>
      <c r="N102" s="162"/>
    </row>
    <row r="103" spans="1:15" hidden="1">
      <c r="A103" s="709" t="s">
        <v>26</v>
      </c>
      <c r="B103" s="712">
        <v>107756.766</v>
      </c>
      <c r="C103" s="712">
        <v>6877.8389999999999</v>
      </c>
      <c r="D103" s="712">
        <v>123.053</v>
      </c>
      <c r="E103" s="712">
        <v>241194.72399999999</v>
      </c>
      <c r="F103" s="712">
        <v>423028.20500000002</v>
      </c>
      <c r="G103" s="712">
        <v>72178.25</v>
      </c>
      <c r="H103" s="712">
        <v>1763.8420000000001</v>
      </c>
      <c r="I103" s="712">
        <v>30545.037</v>
      </c>
      <c r="J103" s="713">
        <v>0.80400000000000005</v>
      </c>
      <c r="K103" s="713">
        <v>1.0452999999999999</v>
      </c>
      <c r="L103" s="713">
        <v>1.2569999999999999</v>
      </c>
      <c r="M103" s="713">
        <v>2.58E-2</v>
      </c>
    </row>
    <row r="104" spans="1:15" ht="12.75" hidden="1" customHeight="1">
      <c r="A104" s="709" t="s">
        <v>27</v>
      </c>
      <c r="B104" s="712">
        <v>99728.346999999994</v>
      </c>
      <c r="C104" s="712">
        <v>13908.259</v>
      </c>
      <c r="D104" s="712">
        <v>151.364</v>
      </c>
      <c r="E104" s="712">
        <v>224867.20000000001</v>
      </c>
      <c r="F104" s="712">
        <v>453385.39399999997</v>
      </c>
      <c r="G104" s="712">
        <v>102043.88800000001</v>
      </c>
      <c r="H104" s="712">
        <v>1240.463</v>
      </c>
      <c r="I104" s="712">
        <v>19539.486000000001</v>
      </c>
      <c r="J104" s="713">
        <v>0.80259999999999998</v>
      </c>
      <c r="K104" s="713">
        <v>1.1100000000000001</v>
      </c>
      <c r="L104" s="713">
        <v>1.2803</v>
      </c>
      <c r="M104" s="713">
        <v>2.6100000000000002E-2</v>
      </c>
    </row>
    <row r="105" spans="1:15" hidden="1">
      <c r="A105" s="709" t="s">
        <v>28</v>
      </c>
      <c r="B105" s="712">
        <v>119419.003</v>
      </c>
      <c r="C105" s="712">
        <v>14378.62</v>
      </c>
      <c r="D105" s="712">
        <v>222.76400000000001</v>
      </c>
      <c r="E105" s="712">
        <v>257273.60500000001</v>
      </c>
      <c r="F105" s="712">
        <v>475721.62400000001</v>
      </c>
      <c r="G105" s="712">
        <v>82694.2</v>
      </c>
      <c r="H105" s="712">
        <v>1156.7180000000001</v>
      </c>
      <c r="I105" s="712">
        <v>32290.899000000001</v>
      </c>
      <c r="J105" s="713">
        <v>0.80110000000000003</v>
      </c>
      <c r="K105" s="713">
        <v>1.0908</v>
      </c>
      <c r="L105" s="713">
        <v>1.2818000000000001</v>
      </c>
      <c r="M105" s="713">
        <v>2.5499999999999998E-2</v>
      </c>
    </row>
    <row r="106" spans="1:15" ht="12.75" hidden="1" customHeight="1">
      <c r="A106" s="709" t="s">
        <v>29</v>
      </c>
      <c r="B106" s="712">
        <v>125014.83500000001</v>
      </c>
      <c r="C106" s="712">
        <v>14227.063</v>
      </c>
      <c r="D106" s="712">
        <v>301.45699999999999</v>
      </c>
      <c r="E106" s="712">
        <v>302348.38699999999</v>
      </c>
      <c r="F106" s="712">
        <v>632577.81499999994</v>
      </c>
      <c r="G106" s="712">
        <v>125892.859</v>
      </c>
      <c r="H106" s="712">
        <v>1275.1600000000001</v>
      </c>
      <c r="I106" s="712">
        <v>24262.095000000001</v>
      </c>
      <c r="J106" s="713">
        <v>0.8</v>
      </c>
      <c r="K106" s="713">
        <v>1.0559000000000001</v>
      </c>
      <c r="L106" s="713">
        <v>1.2490000000000001</v>
      </c>
      <c r="M106" s="713">
        <v>2.5700000000000001E-2</v>
      </c>
    </row>
    <row r="107" spans="1:15" s="112" customFormat="1" ht="12.75" customHeight="1">
      <c r="A107" s="709" t="s">
        <v>1024</v>
      </c>
      <c r="B107" s="710">
        <v>1945544.7090000003</v>
      </c>
      <c r="C107" s="710">
        <v>238170.62299999996</v>
      </c>
      <c r="D107" s="710">
        <v>2787.7400000000002</v>
      </c>
      <c r="E107" s="710">
        <v>5184421.6159999995</v>
      </c>
      <c r="F107" s="710">
        <v>6441962.9060000004</v>
      </c>
      <c r="G107" s="710">
        <v>1361852.9269999999</v>
      </c>
      <c r="H107" s="710">
        <v>23984.766999999996</v>
      </c>
      <c r="I107" s="710">
        <v>392508.76299999998</v>
      </c>
      <c r="J107" s="711">
        <v>0.78990000000000005</v>
      </c>
      <c r="K107" s="711">
        <v>1.0938000000000001</v>
      </c>
      <c r="L107" s="711">
        <v>1.2679</v>
      </c>
      <c r="M107" s="711">
        <v>2.6800000000000001E-2</v>
      </c>
    </row>
    <row r="108" spans="1:15" hidden="1">
      <c r="A108" s="709" t="s">
        <v>18</v>
      </c>
      <c r="B108" s="712">
        <v>102105.66899999999</v>
      </c>
      <c r="C108" s="712">
        <v>14213.53</v>
      </c>
      <c r="D108" s="712">
        <v>89.983999999999995</v>
      </c>
      <c r="E108" s="712">
        <v>241208.18</v>
      </c>
      <c r="F108" s="712">
        <v>419804.50400000002</v>
      </c>
      <c r="G108" s="712">
        <v>74566.534</v>
      </c>
      <c r="H108" s="712">
        <v>1386.6679999999999</v>
      </c>
      <c r="I108" s="712">
        <v>17052.978999999999</v>
      </c>
      <c r="J108" s="713">
        <v>0.79859999999999998</v>
      </c>
      <c r="K108" s="713">
        <v>1.0570999999999999</v>
      </c>
      <c r="L108" s="713">
        <v>1.2639</v>
      </c>
      <c r="M108" s="713">
        <v>2.6100000000000002E-2</v>
      </c>
    </row>
    <row r="109" spans="1:15" ht="12.75" hidden="1" customHeight="1">
      <c r="A109" s="709" t="s">
        <v>19</v>
      </c>
      <c r="B109" s="712">
        <v>104361.966</v>
      </c>
      <c r="C109" s="712">
        <v>13739.593999999999</v>
      </c>
      <c r="D109" s="712">
        <v>141.119</v>
      </c>
      <c r="E109" s="712">
        <v>173760.56299999999</v>
      </c>
      <c r="F109" s="712">
        <v>457206.04</v>
      </c>
      <c r="G109" s="712">
        <v>64136.527999999998</v>
      </c>
      <c r="H109" s="712">
        <v>1539.3610000000001</v>
      </c>
      <c r="I109" s="712">
        <v>29913.798999999999</v>
      </c>
      <c r="J109" s="713">
        <v>0.79630000000000001</v>
      </c>
      <c r="K109" s="713">
        <v>1.0857000000000001</v>
      </c>
      <c r="L109" s="713">
        <v>1.2896000000000001</v>
      </c>
      <c r="M109" s="713">
        <v>2.6800000000000001E-2</v>
      </c>
    </row>
    <row r="110" spans="1:15" ht="12.75" hidden="1" customHeight="1">
      <c r="A110" s="709" t="s">
        <v>20</v>
      </c>
      <c r="B110" s="712">
        <v>119967.808</v>
      </c>
      <c r="C110" s="712">
        <v>10416.371999999999</v>
      </c>
      <c r="D110" s="712">
        <v>290.12799999999999</v>
      </c>
      <c r="E110" s="712">
        <v>229525.18900000001</v>
      </c>
      <c r="F110" s="712">
        <v>526040.696</v>
      </c>
      <c r="G110" s="716">
        <v>75044.502999999997</v>
      </c>
      <c r="H110" s="712">
        <v>1615.5609999999999</v>
      </c>
      <c r="I110" s="716">
        <v>25673.571</v>
      </c>
      <c r="J110" s="717">
        <v>0.79769999999999996</v>
      </c>
      <c r="K110" s="717">
        <v>1.1073</v>
      </c>
      <c r="L110" s="717">
        <v>1.2908999999999999</v>
      </c>
      <c r="M110" s="717">
        <v>2.76E-2</v>
      </c>
    </row>
    <row r="111" spans="1:15" ht="12.75" hidden="1" customHeight="1">
      <c r="A111" s="709" t="s">
        <v>21</v>
      </c>
      <c r="B111" s="712">
        <v>120598.04</v>
      </c>
      <c r="C111" s="712">
        <v>17601.834999999999</v>
      </c>
      <c r="D111" s="712">
        <v>360.85199999999998</v>
      </c>
      <c r="E111" s="712">
        <v>316054.02600000001</v>
      </c>
      <c r="F111" s="712">
        <v>425727.57500000001</v>
      </c>
      <c r="G111" s="712">
        <v>103693.11</v>
      </c>
      <c r="H111" s="712">
        <v>934.75300000000004</v>
      </c>
      <c r="I111" s="712">
        <v>30545.616000000002</v>
      </c>
      <c r="J111" s="713">
        <v>0.79279999999999995</v>
      </c>
      <c r="K111" s="713">
        <v>1.1408</v>
      </c>
      <c r="L111" s="713">
        <v>1.2996000000000001</v>
      </c>
      <c r="M111" s="713">
        <v>2.8000000000000001E-2</v>
      </c>
    </row>
    <row r="112" spans="1:15" ht="12.75" hidden="1" customHeight="1">
      <c r="A112" s="709" t="s">
        <v>22</v>
      </c>
      <c r="B112" s="712">
        <v>155228.37100000001</v>
      </c>
      <c r="C112" s="712">
        <v>18775.87</v>
      </c>
      <c r="D112" s="712">
        <v>159.87200000000001</v>
      </c>
      <c r="E112" s="712">
        <v>314987.408</v>
      </c>
      <c r="F112" s="712">
        <v>441117.43599999999</v>
      </c>
      <c r="G112" s="712">
        <v>99765.827000000005</v>
      </c>
      <c r="H112" s="712">
        <v>1067.088</v>
      </c>
      <c r="I112" s="712">
        <v>27836.190999999999</v>
      </c>
      <c r="J112" s="713">
        <v>0.79120000000000001</v>
      </c>
      <c r="K112" s="713">
        <v>1.1369</v>
      </c>
      <c r="L112" s="713">
        <v>1.2979000000000001</v>
      </c>
      <c r="M112" s="713">
        <v>2.8000000000000001E-2</v>
      </c>
    </row>
    <row r="113" spans="1:13" ht="12.75" hidden="1" customHeight="1">
      <c r="A113" s="709" t="s">
        <v>23</v>
      </c>
      <c r="B113" s="712">
        <v>174809.37400000001</v>
      </c>
      <c r="C113" s="712">
        <v>18366.603999999999</v>
      </c>
      <c r="D113" s="712">
        <v>104.58799999999999</v>
      </c>
      <c r="E113" s="712">
        <v>453633.92</v>
      </c>
      <c r="F113" s="712">
        <v>321162.185</v>
      </c>
      <c r="G113" s="712">
        <v>101415.985</v>
      </c>
      <c r="H113" s="712">
        <v>2120.5650000000001</v>
      </c>
      <c r="I113" s="712">
        <v>24714.348999999998</v>
      </c>
      <c r="J113" s="713">
        <v>0.78820000000000001</v>
      </c>
      <c r="K113" s="713">
        <v>1.1318999999999999</v>
      </c>
      <c r="L113" s="713">
        <v>1.2943</v>
      </c>
      <c r="M113" s="713">
        <v>2.7799999999999998E-2</v>
      </c>
    </row>
    <row r="114" spans="1:13" ht="12.75" hidden="1" customHeight="1">
      <c r="A114" s="709" t="s">
        <v>24</v>
      </c>
      <c r="B114" s="712">
        <v>176602.405</v>
      </c>
      <c r="C114" s="712">
        <v>24064.444</v>
      </c>
      <c r="D114" s="712">
        <v>110.44199999999999</v>
      </c>
      <c r="E114" s="712">
        <v>522556.935</v>
      </c>
      <c r="F114" s="712">
        <v>432046.348</v>
      </c>
      <c r="G114" s="712">
        <v>140954.94</v>
      </c>
      <c r="H114" s="712">
        <v>2754.6529999999998</v>
      </c>
      <c r="I114" s="712">
        <v>39824.404000000002</v>
      </c>
      <c r="J114" s="713">
        <v>0.78710000000000002</v>
      </c>
      <c r="K114" s="713">
        <v>1.1227</v>
      </c>
      <c r="L114" s="713">
        <v>1.278</v>
      </c>
      <c r="M114" s="713">
        <v>2.7900000000000001E-2</v>
      </c>
    </row>
    <row r="115" spans="1:13" ht="12.75" hidden="1" customHeight="1">
      <c r="A115" s="709" t="s">
        <v>25</v>
      </c>
      <c r="B115" s="712">
        <v>186949.98199999999</v>
      </c>
      <c r="C115" s="712">
        <v>23056.333999999999</v>
      </c>
      <c r="D115" s="712">
        <v>295.16399999999999</v>
      </c>
      <c r="E115" s="712">
        <v>556885.94299999997</v>
      </c>
      <c r="F115" s="712">
        <v>484931.98300000001</v>
      </c>
      <c r="G115" s="712">
        <v>96046.164000000004</v>
      </c>
      <c r="H115" s="712">
        <v>1775.5050000000001</v>
      </c>
      <c r="I115" s="712">
        <v>45618.358999999997</v>
      </c>
      <c r="J115" s="713">
        <v>0.78669999999999995</v>
      </c>
      <c r="K115" s="713">
        <v>1.1237999999999999</v>
      </c>
      <c r="L115" s="713">
        <v>1.2939000000000001</v>
      </c>
      <c r="M115" s="713">
        <v>2.7099999999999999E-2</v>
      </c>
    </row>
    <row r="116" spans="1:13" ht="12.75" hidden="1" customHeight="1">
      <c r="A116" s="709" t="s">
        <v>26</v>
      </c>
      <c r="B116" s="712">
        <v>211066.53599999999</v>
      </c>
      <c r="C116" s="712">
        <v>15479.164000000001</v>
      </c>
      <c r="D116" s="712">
        <v>427.95299999999997</v>
      </c>
      <c r="E116" s="712">
        <v>703701.245</v>
      </c>
      <c r="F116" s="712">
        <v>624028.995</v>
      </c>
      <c r="G116" s="712">
        <v>167597.087</v>
      </c>
      <c r="H116" s="712">
        <v>3195.2939999999999</v>
      </c>
      <c r="I116" s="712">
        <v>33920.669000000002</v>
      </c>
      <c r="J116" s="713">
        <v>0.78690000000000004</v>
      </c>
      <c r="K116" s="713">
        <v>1.0815999999999999</v>
      </c>
      <c r="L116" s="713">
        <v>1.2537</v>
      </c>
      <c r="M116" s="713">
        <v>2.5399999999999999E-2</v>
      </c>
    </row>
    <row r="117" spans="1:13" ht="12.75" hidden="1" customHeight="1">
      <c r="A117" s="709" t="s">
        <v>27</v>
      </c>
      <c r="B117" s="712">
        <v>179368.802</v>
      </c>
      <c r="C117" s="712">
        <v>22496.028999999999</v>
      </c>
      <c r="D117" s="712">
        <v>142.84700000000001</v>
      </c>
      <c r="E117" s="712">
        <v>636698.73699999996</v>
      </c>
      <c r="F117" s="712">
        <v>723172.57900000003</v>
      </c>
      <c r="G117" s="712">
        <v>149176.42600000001</v>
      </c>
      <c r="H117" s="712">
        <v>2664.7060000000001</v>
      </c>
      <c r="I117" s="712">
        <v>54416.038</v>
      </c>
      <c r="J117" s="713">
        <v>0.78720000000000001</v>
      </c>
      <c r="K117" s="713">
        <v>1.0786</v>
      </c>
      <c r="L117" s="713">
        <v>1.2399</v>
      </c>
      <c r="M117" s="713">
        <v>2.81E-2</v>
      </c>
    </row>
    <row r="118" spans="1:13" ht="12.75" hidden="1" customHeight="1">
      <c r="A118" s="709" t="s">
        <v>28</v>
      </c>
      <c r="B118" s="712">
        <v>142439.95000000001</v>
      </c>
      <c r="C118" s="712">
        <v>18304.253000000001</v>
      </c>
      <c r="D118" s="712">
        <v>241.34399999999999</v>
      </c>
      <c r="E118" s="712">
        <v>482529.54</v>
      </c>
      <c r="F118" s="712">
        <v>702252.83600000001</v>
      </c>
      <c r="G118" s="712">
        <v>125263.439</v>
      </c>
      <c r="H118" s="712">
        <v>2083.5030000000002</v>
      </c>
      <c r="I118" s="712">
        <v>29960.663</v>
      </c>
      <c r="J118" s="713">
        <v>0.78720000000000001</v>
      </c>
      <c r="K118" s="713">
        <v>1.0649</v>
      </c>
      <c r="L118" s="713">
        <v>1.2497</v>
      </c>
      <c r="M118" s="713">
        <v>2.5100000000000001E-2</v>
      </c>
    </row>
    <row r="119" spans="1:13" ht="12.75" hidden="1" customHeight="1">
      <c r="A119" s="709" t="s">
        <v>29</v>
      </c>
      <c r="B119" s="712">
        <v>272045.80599999998</v>
      </c>
      <c r="C119" s="712">
        <v>41656.593999999997</v>
      </c>
      <c r="D119" s="712">
        <v>423.447</v>
      </c>
      <c r="E119" s="712">
        <v>552879.93000000005</v>
      </c>
      <c r="F119" s="712">
        <v>884471.72900000005</v>
      </c>
      <c r="G119" s="712">
        <v>164192.38399999999</v>
      </c>
      <c r="H119" s="712">
        <v>2847.11</v>
      </c>
      <c r="I119" s="712">
        <v>33032.125</v>
      </c>
      <c r="J119" s="713">
        <v>0.78690000000000004</v>
      </c>
      <c r="K119" s="713">
        <v>1.0357000000000001</v>
      </c>
      <c r="L119" s="713">
        <v>1.2305999999999999</v>
      </c>
      <c r="M119" s="713">
        <v>2.47E-2</v>
      </c>
    </row>
    <row r="120" spans="1:13" s="112" customFormat="1" ht="12.75" customHeight="1">
      <c r="A120" s="709" t="s">
        <v>1288</v>
      </c>
      <c r="B120" s="710">
        <v>2596120.3679999998</v>
      </c>
      <c r="C120" s="710">
        <v>406868.22400000005</v>
      </c>
      <c r="D120" s="710">
        <v>3475.4500000000003</v>
      </c>
      <c r="E120" s="710">
        <v>9467063.0490000024</v>
      </c>
      <c r="F120" s="710">
        <v>9169283.307</v>
      </c>
      <c r="G120" s="710">
        <v>2433322.5110000004</v>
      </c>
      <c r="H120" s="710">
        <v>27890.050000000003</v>
      </c>
      <c r="I120" s="710">
        <v>444433.15500000003</v>
      </c>
      <c r="J120" s="711">
        <v>0.78600000000000003</v>
      </c>
      <c r="K120" s="711">
        <v>1.01</v>
      </c>
      <c r="L120" s="711">
        <v>1.2448999999999999</v>
      </c>
      <c r="M120" s="711">
        <v>2.4899999999999999E-2</v>
      </c>
    </row>
    <row r="121" spans="1:13" ht="13.5" hidden="1" customHeight="1">
      <c r="A121" s="709" t="s">
        <v>18</v>
      </c>
      <c r="B121" s="712">
        <v>188875.149</v>
      </c>
      <c r="C121" s="712">
        <v>9932.3989999999994</v>
      </c>
      <c r="D121" s="712">
        <v>120.51</v>
      </c>
      <c r="E121" s="712">
        <v>454940.08899999998</v>
      </c>
      <c r="F121" s="712">
        <v>697651.94799999997</v>
      </c>
      <c r="G121" s="712">
        <v>120687.685</v>
      </c>
      <c r="H121" s="712">
        <v>2445.569</v>
      </c>
      <c r="I121" s="712">
        <v>57771.040999999997</v>
      </c>
      <c r="J121" s="713">
        <v>0.78649999999999998</v>
      </c>
      <c r="K121" s="713">
        <v>1.0145999999999999</v>
      </c>
      <c r="L121" s="713">
        <v>1.2249000000000001</v>
      </c>
      <c r="M121" s="713">
        <v>2.4799999999999999E-2</v>
      </c>
    </row>
    <row r="122" spans="1:13" ht="13.5" hidden="1" customHeight="1">
      <c r="A122" s="709" t="s">
        <v>19</v>
      </c>
      <c r="B122" s="712">
        <v>150125.43799999999</v>
      </c>
      <c r="C122" s="712">
        <v>9469.9060000000009</v>
      </c>
      <c r="D122" s="712">
        <v>99.608999999999995</v>
      </c>
      <c r="E122" s="712">
        <v>366928.54700000002</v>
      </c>
      <c r="F122" s="712">
        <v>585760.84499999997</v>
      </c>
      <c r="G122" s="712">
        <v>98782.164000000004</v>
      </c>
      <c r="H122" s="712">
        <v>1635.848</v>
      </c>
      <c r="I122" s="712">
        <v>27187.47</v>
      </c>
      <c r="J122" s="713">
        <v>0.78639999999999999</v>
      </c>
      <c r="K122" s="713">
        <v>1.0370999999999999</v>
      </c>
      <c r="L122" s="713">
        <v>1.2503</v>
      </c>
      <c r="M122" s="713">
        <v>2.6100000000000002E-2</v>
      </c>
    </row>
    <row r="123" spans="1:13" ht="13.5" hidden="1" customHeight="1">
      <c r="A123" s="709" t="s">
        <v>20</v>
      </c>
      <c r="B123" s="712">
        <v>171240.826</v>
      </c>
      <c r="C123" s="712">
        <v>18623.062999999998</v>
      </c>
      <c r="D123" s="712">
        <v>218.58500000000001</v>
      </c>
      <c r="E123" s="712">
        <v>596729.56599999999</v>
      </c>
      <c r="F123" s="712">
        <v>648097.14399999997</v>
      </c>
      <c r="G123" s="712">
        <v>126926.586</v>
      </c>
      <c r="H123" s="712">
        <v>1389.0429999999999</v>
      </c>
      <c r="I123" s="712">
        <v>22559.976999999999</v>
      </c>
      <c r="J123" s="713">
        <v>0.78649999999999998</v>
      </c>
      <c r="K123" s="713">
        <v>1.0388999999999999</v>
      </c>
      <c r="L123" s="713">
        <v>1.2507999999999999</v>
      </c>
      <c r="M123" s="713">
        <v>2.6499999999999999E-2</v>
      </c>
    </row>
    <row r="124" spans="1:13" ht="13.5" hidden="1" customHeight="1">
      <c r="A124" s="709" t="s">
        <v>21</v>
      </c>
      <c r="B124" s="712">
        <v>275401.56699999998</v>
      </c>
      <c r="C124" s="712">
        <v>10931.317999999999</v>
      </c>
      <c r="D124" s="712">
        <v>445.12599999999998</v>
      </c>
      <c r="E124" s="712">
        <v>631144.38199999998</v>
      </c>
      <c r="F124" s="712">
        <v>812713.15300000005</v>
      </c>
      <c r="G124" s="712">
        <v>210462.747</v>
      </c>
      <c r="H124" s="712">
        <v>1242.808</v>
      </c>
      <c r="I124" s="712">
        <v>25089.445</v>
      </c>
      <c r="J124" s="713">
        <v>0.7863</v>
      </c>
      <c r="K124" s="713">
        <v>1.0370999999999999</v>
      </c>
      <c r="L124" s="713">
        <v>1.2675000000000001</v>
      </c>
      <c r="M124" s="713">
        <v>2.64E-2</v>
      </c>
    </row>
    <row r="125" spans="1:13" ht="13.5" hidden="1" customHeight="1">
      <c r="A125" s="709" t="s">
        <v>22</v>
      </c>
      <c r="B125" s="712">
        <v>347696.91800000001</v>
      </c>
      <c r="C125" s="712">
        <v>18204.582999999999</v>
      </c>
      <c r="D125" s="712">
        <v>168.67099999999999</v>
      </c>
      <c r="E125" s="712">
        <v>675118.56099999999</v>
      </c>
      <c r="F125" s="712">
        <v>842957.81900000002</v>
      </c>
      <c r="G125" s="712">
        <v>169382.215</v>
      </c>
      <c r="H125" s="712">
        <v>1968.91</v>
      </c>
      <c r="I125" s="712">
        <v>30323.19</v>
      </c>
      <c r="J125" s="713">
        <v>0.78620000000000001</v>
      </c>
      <c r="K125" s="713">
        <v>1.0034000000000001</v>
      </c>
      <c r="L125" s="713">
        <v>1.2581</v>
      </c>
      <c r="M125" s="713">
        <v>2.52E-2</v>
      </c>
    </row>
    <row r="126" spans="1:13" ht="13.5" hidden="1" customHeight="1">
      <c r="A126" s="709" t="s">
        <v>23</v>
      </c>
      <c r="B126" s="712">
        <v>309461.5</v>
      </c>
      <c r="C126" s="712">
        <v>12291.9</v>
      </c>
      <c r="D126" s="712">
        <v>140</v>
      </c>
      <c r="E126" s="712">
        <v>964333.73</v>
      </c>
      <c r="F126" s="712">
        <v>765656.4</v>
      </c>
      <c r="G126" s="712">
        <v>170412.7</v>
      </c>
      <c r="H126" s="712">
        <v>2265.1999999999998</v>
      </c>
      <c r="I126" s="712">
        <v>40203.339999999997</v>
      </c>
      <c r="J126" s="713">
        <v>0.78610000000000002</v>
      </c>
      <c r="K126" s="713">
        <v>0.98570000000000002</v>
      </c>
      <c r="L126" s="713">
        <v>1.2287999999999999</v>
      </c>
      <c r="M126" s="713">
        <v>2.3599999999999999E-2</v>
      </c>
    </row>
    <row r="127" spans="1:13" ht="13.5" hidden="1" customHeight="1">
      <c r="A127" s="709" t="s">
        <v>24</v>
      </c>
      <c r="B127" s="712">
        <v>153447.61300000001</v>
      </c>
      <c r="C127" s="712">
        <v>8108.7889999999998</v>
      </c>
      <c r="D127" s="712">
        <v>220.642</v>
      </c>
      <c r="E127" s="712">
        <v>944177.29700000002</v>
      </c>
      <c r="F127" s="712">
        <v>760358.10699999996</v>
      </c>
      <c r="G127" s="712">
        <v>169015.84299999999</v>
      </c>
      <c r="H127" s="712">
        <v>2835.3389999999999</v>
      </c>
      <c r="I127" s="712">
        <v>34301.241000000002</v>
      </c>
      <c r="J127" s="713">
        <v>0.78610000000000002</v>
      </c>
      <c r="K127" s="713">
        <v>0.97040000000000004</v>
      </c>
      <c r="L127" s="713">
        <v>1.2254</v>
      </c>
      <c r="M127" s="713">
        <v>2.3900000000000001E-2</v>
      </c>
    </row>
    <row r="128" spans="1:13" ht="13.5" hidden="1" customHeight="1">
      <c r="A128" s="709" t="s">
        <v>25</v>
      </c>
      <c r="B128" s="712">
        <v>215959.745</v>
      </c>
      <c r="C128" s="712">
        <v>8848.2860000000001</v>
      </c>
      <c r="D128" s="712">
        <v>203.512</v>
      </c>
      <c r="E128" s="712">
        <v>1018703.581</v>
      </c>
      <c r="F128" s="712">
        <v>818420.39099999995</v>
      </c>
      <c r="G128" s="712">
        <v>145540.77600000001</v>
      </c>
      <c r="H128" s="712">
        <v>2690.2040000000002</v>
      </c>
      <c r="I128" s="712">
        <v>40730.294999999998</v>
      </c>
      <c r="J128" s="713">
        <v>0.78590000000000004</v>
      </c>
      <c r="K128" s="713">
        <v>0.97470000000000001</v>
      </c>
      <c r="L128" s="713">
        <v>1.2331000000000001</v>
      </c>
      <c r="M128" s="713">
        <v>2.4400000000000002E-2</v>
      </c>
    </row>
    <row r="129" spans="1:13" ht="13.5" hidden="1" customHeight="1">
      <c r="A129" s="709" t="s">
        <v>26</v>
      </c>
      <c r="B129" s="712">
        <v>221369.36799999999</v>
      </c>
      <c r="C129" s="712">
        <v>154569.48800000001</v>
      </c>
      <c r="D129" s="712">
        <v>193.57300000000001</v>
      </c>
      <c r="E129" s="712">
        <v>928460.745</v>
      </c>
      <c r="F129" s="712">
        <v>726864.353</v>
      </c>
      <c r="G129" s="712">
        <v>380900.91100000002</v>
      </c>
      <c r="H129" s="712">
        <v>3056.4119999999998</v>
      </c>
      <c r="I129" s="712">
        <v>25320.044999999998</v>
      </c>
      <c r="J129" s="713">
        <v>0.78569999999999995</v>
      </c>
      <c r="K129" s="713">
        <v>1.016</v>
      </c>
      <c r="L129" s="713">
        <v>1.2601</v>
      </c>
      <c r="M129" s="713">
        <v>2.47E-2</v>
      </c>
    </row>
    <row r="130" spans="1:13" ht="13.5" hidden="1" customHeight="1">
      <c r="A130" s="709" t="s">
        <v>27</v>
      </c>
      <c r="B130" s="712">
        <v>185606.728</v>
      </c>
      <c r="C130" s="712">
        <v>8159.9579999999996</v>
      </c>
      <c r="D130" s="712">
        <v>280.18799999999999</v>
      </c>
      <c r="E130" s="712">
        <v>968597.87199999997</v>
      </c>
      <c r="F130" s="712">
        <v>835113.58299999998</v>
      </c>
      <c r="G130" s="712">
        <v>245161.00399999999</v>
      </c>
      <c r="H130" s="712">
        <v>2984.3649999999998</v>
      </c>
      <c r="I130" s="712">
        <v>35844.612999999998</v>
      </c>
      <c r="J130" s="713">
        <v>0.7853</v>
      </c>
      <c r="K130" s="713">
        <v>1.0183</v>
      </c>
      <c r="L130" s="713">
        <v>1.2565999999999999</v>
      </c>
      <c r="M130" s="713">
        <v>2.5000000000000001E-2</v>
      </c>
    </row>
    <row r="131" spans="1:13" ht="13.5" hidden="1" customHeight="1">
      <c r="A131" s="709" t="s">
        <v>28</v>
      </c>
      <c r="B131" s="712">
        <v>193798.889</v>
      </c>
      <c r="C131" s="712">
        <v>13056.227999999999</v>
      </c>
      <c r="D131" s="712">
        <v>703.80799999999999</v>
      </c>
      <c r="E131" s="712">
        <v>966367.25600000005</v>
      </c>
      <c r="F131" s="712">
        <v>827654.54299999995</v>
      </c>
      <c r="G131" s="712">
        <v>261540.43900000001</v>
      </c>
      <c r="H131" s="712">
        <v>2338.9760000000001</v>
      </c>
      <c r="I131" s="712">
        <v>47542.836000000003</v>
      </c>
      <c r="J131" s="713">
        <v>0.78510000000000002</v>
      </c>
      <c r="K131" s="713">
        <v>1.0068999999999999</v>
      </c>
      <c r="L131" s="713">
        <v>1.2482</v>
      </c>
      <c r="M131" s="713">
        <v>2.4799999999999999E-2</v>
      </c>
    </row>
    <row r="132" spans="1:13" ht="13.5" hidden="1" customHeight="1">
      <c r="A132" s="709" t="s">
        <v>29</v>
      </c>
      <c r="B132" s="712">
        <v>183136.62700000001</v>
      </c>
      <c r="C132" s="712">
        <v>134672.30600000001</v>
      </c>
      <c r="D132" s="712">
        <v>681.226</v>
      </c>
      <c r="E132" s="712">
        <v>951561.42299999995</v>
      </c>
      <c r="F132" s="712">
        <v>848035.02099999995</v>
      </c>
      <c r="G132" s="712">
        <v>334509.44099999999</v>
      </c>
      <c r="H132" s="712">
        <v>3037.3760000000002</v>
      </c>
      <c r="I132" s="712">
        <v>57559.661999999997</v>
      </c>
      <c r="J132" s="713">
        <v>0.78490000000000004</v>
      </c>
      <c r="K132" s="713">
        <v>1.0322</v>
      </c>
      <c r="L132" s="713">
        <v>1.2635000000000001</v>
      </c>
      <c r="M132" s="713">
        <v>2.53E-2</v>
      </c>
    </row>
    <row r="133" spans="1:13" s="112" customFormat="1" ht="12.75" customHeight="1">
      <c r="A133" s="709" t="s">
        <v>1410</v>
      </c>
      <c r="B133" s="710">
        <v>3006761.0300000003</v>
      </c>
      <c r="C133" s="710">
        <v>507209.4800000001</v>
      </c>
      <c r="D133" s="710">
        <v>8380.06</v>
      </c>
      <c r="E133" s="710">
        <v>16275711.970000001</v>
      </c>
      <c r="F133" s="710">
        <v>9308270.8499999996</v>
      </c>
      <c r="G133" s="710">
        <v>2757325.97</v>
      </c>
      <c r="H133" s="710">
        <v>70686.720000000001</v>
      </c>
      <c r="I133" s="710">
        <v>997427.58000000007</v>
      </c>
      <c r="J133" s="711">
        <v>0.78449999999999998</v>
      </c>
      <c r="K133" s="711">
        <v>1.0417000000000001</v>
      </c>
      <c r="L133" s="711">
        <v>1.2395</v>
      </c>
      <c r="M133" s="711">
        <v>2.4299999999999999E-2</v>
      </c>
    </row>
    <row r="134" spans="1:13" ht="13.5" hidden="1" customHeight="1">
      <c r="A134" s="709" t="s">
        <v>18</v>
      </c>
      <c r="B134" s="712">
        <v>154059.85999999999</v>
      </c>
      <c r="C134" s="712">
        <v>50317.46</v>
      </c>
      <c r="D134" s="712">
        <v>116.96</v>
      </c>
      <c r="E134" s="712">
        <v>670159.82999999996</v>
      </c>
      <c r="F134" s="712">
        <v>780573.94</v>
      </c>
      <c r="G134" s="712">
        <v>208689.61</v>
      </c>
      <c r="H134" s="712">
        <v>2666.06</v>
      </c>
      <c r="I134" s="712">
        <v>48787.77</v>
      </c>
      <c r="J134" s="713">
        <v>0.7853</v>
      </c>
      <c r="K134" s="713">
        <v>1.0484</v>
      </c>
      <c r="L134" s="713">
        <v>1.2562</v>
      </c>
      <c r="M134" s="713">
        <v>2.5600000000000001E-2</v>
      </c>
    </row>
    <row r="135" spans="1:13" hidden="1">
      <c r="A135" s="709" t="s">
        <v>19</v>
      </c>
      <c r="B135" s="712">
        <v>231813.22</v>
      </c>
      <c r="C135" s="712">
        <v>85883.87</v>
      </c>
      <c r="D135" s="712">
        <v>777.13</v>
      </c>
      <c r="E135" s="712">
        <v>688716.98</v>
      </c>
      <c r="F135" s="712">
        <v>809729.15</v>
      </c>
      <c r="G135" s="712">
        <v>384772.63</v>
      </c>
      <c r="H135" s="712">
        <v>4970.5200000000004</v>
      </c>
      <c r="I135" s="712">
        <v>80156.350000000006</v>
      </c>
      <c r="J135" s="713">
        <v>0.7843</v>
      </c>
      <c r="K135" s="713">
        <v>1.0506</v>
      </c>
      <c r="L135" s="713">
        <v>1.2136</v>
      </c>
      <c r="M135" s="713">
        <v>2.58E-2</v>
      </c>
    </row>
    <row r="136" spans="1:13" hidden="1">
      <c r="A136" s="709" t="s">
        <v>20</v>
      </c>
      <c r="B136" s="712">
        <v>182265.58</v>
      </c>
      <c r="C136" s="712">
        <v>42705.31</v>
      </c>
      <c r="D136" s="712">
        <v>1311.51</v>
      </c>
      <c r="E136" s="712">
        <v>895901.88</v>
      </c>
      <c r="F136" s="712">
        <v>809962.51</v>
      </c>
      <c r="G136" s="712">
        <v>252156.08</v>
      </c>
      <c r="H136" s="712">
        <v>5300.11</v>
      </c>
      <c r="I136" s="712">
        <v>165650.03</v>
      </c>
      <c r="J136" s="713">
        <v>0.78480000000000005</v>
      </c>
      <c r="K136" s="713">
        <v>1.0179</v>
      </c>
      <c r="L136" s="713">
        <v>1.1823999999999999</v>
      </c>
      <c r="M136" s="713">
        <v>2.53E-2</v>
      </c>
    </row>
    <row r="137" spans="1:13" hidden="1">
      <c r="A137" s="709" t="s">
        <v>21</v>
      </c>
      <c r="B137" s="712">
        <v>239389.6</v>
      </c>
      <c r="C137" s="712">
        <v>84467.73</v>
      </c>
      <c r="D137" s="712">
        <v>538.35</v>
      </c>
      <c r="E137" s="712">
        <v>1482153.12</v>
      </c>
      <c r="F137" s="712">
        <v>832420.01</v>
      </c>
      <c r="G137" s="712">
        <v>308468.34999999998</v>
      </c>
      <c r="H137" s="712">
        <v>3038.75</v>
      </c>
      <c r="I137" s="712">
        <v>71897.929999999993</v>
      </c>
      <c r="J137" s="713">
        <v>0.78510000000000002</v>
      </c>
      <c r="K137" s="713">
        <v>1.0235000000000001</v>
      </c>
      <c r="L137" s="713">
        <v>1.2038</v>
      </c>
      <c r="M137" s="713">
        <v>2.4799999999999999E-2</v>
      </c>
    </row>
    <row r="138" spans="1:13" hidden="1">
      <c r="A138" s="709" t="s">
        <v>22</v>
      </c>
      <c r="B138" s="712">
        <v>280436.71000000002</v>
      </c>
      <c r="C138" s="712">
        <v>25867.69</v>
      </c>
      <c r="D138" s="712">
        <v>554.34</v>
      </c>
      <c r="E138" s="712">
        <v>1738237.02</v>
      </c>
      <c r="F138" s="712">
        <v>707833.4</v>
      </c>
      <c r="G138" s="712">
        <v>271679.32</v>
      </c>
      <c r="H138" s="712">
        <v>5859.07</v>
      </c>
      <c r="I138" s="712">
        <v>254480.7</v>
      </c>
      <c r="J138" s="713">
        <v>0.78480000000000005</v>
      </c>
      <c r="K138" s="713">
        <v>1.0206999999999999</v>
      </c>
      <c r="L138" s="713">
        <v>1.1963999999999999</v>
      </c>
      <c r="M138" s="713">
        <v>2.47E-2</v>
      </c>
    </row>
    <row r="139" spans="1:13" hidden="1">
      <c r="A139" s="709" t="s">
        <v>23</v>
      </c>
      <c r="B139" s="712">
        <v>274763.13</v>
      </c>
      <c r="C139" s="712">
        <v>31459.09</v>
      </c>
      <c r="D139" s="712">
        <v>234.66</v>
      </c>
      <c r="E139" s="712">
        <v>1318882.5900000001</v>
      </c>
      <c r="F139" s="712">
        <v>664847.42000000004</v>
      </c>
      <c r="G139" s="712">
        <v>215997.43</v>
      </c>
      <c r="H139" s="712">
        <v>2498.35</v>
      </c>
      <c r="I139" s="712">
        <v>75280.899999999994</v>
      </c>
      <c r="J139" s="713">
        <v>0.78459999999999996</v>
      </c>
      <c r="K139" s="713">
        <v>1.0331999999999999</v>
      </c>
      <c r="L139" s="713">
        <v>1.2198</v>
      </c>
      <c r="M139" s="713">
        <v>2.41E-2</v>
      </c>
    </row>
    <row r="140" spans="1:13" hidden="1">
      <c r="A140" s="709" t="s">
        <v>24</v>
      </c>
      <c r="B140" s="712">
        <v>307940.46000000002</v>
      </c>
      <c r="C140" s="712">
        <v>14197.76</v>
      </c>
      <c r="D140" s="712">
        <v>290.92</v>
      </c>
      <c r="E140" s="712">
        <v>1659447.44</v>
      </c>
      <c r="F140" s="712">
        <v>722440.95</v>
      </c>
      <c r="G140" s="712">
        <v>194114.24</v>
      </c>
      <c r="H140" s="712">
        <v>4759.78</v>
      </c>
      <c r="I140" s="712">
        <v>53548.25</v>
      </c>
      <c r="J140" s="713">
        <v>0.78439999999999999</v>
      </c>
      <c r="K140" s="713">
        <v>1.0228999999999999</v>
      </c>
      <c r="L140" s="713">
        <v>1.1914</v>
      </c>
      <c r="M140" s="713">
        <v>2.3699999999999999E-2</v>
      </c>
    </row>
    <row r="141" spans="1:13" hidden="1">
      <c r="A141" s="709" t="s">
        <v>25</v>
      </c>
      <c r="B141" s="712">
        <v>231930.12</v>
      </c>
      <c r="C141" s="712">
        <v>28374.77</v>
      </c>
      <c r="D141" s="712">
        <v>364.82</v>
      </c>
      <c r="E141" s="712">
        <v>1705776</v>
      </c>
      <c r="F141" s="712">
        <v>738474.28</v>
      </c>
      <c r="G141" s="712">
        <v>154019.01999999999</v>
      </c>
      <c r="H141" s="712">
        <v>3177.66</v>
      </c>
      <c r="I141" s="712">
        <v>47348.68</v>
      </c>
      <c r="J141" s="713">
        <v>0.78449999999999998</v>
      </c>
      <c r="K141" s="713">
        <v>1.0444</v>
      </c>
      <c r="L141" s="713">
        <v>1.2173</v>
      </c>
      <c r="M141" s="713">
        <v>2.3800000000000002E-2</v>
      </c>
    </row>
    <row r="142" spans="1:13" hidden="1">
      <c r="A142" s="709" t="s">
        <v>26</v>
      </c>
      <c r="B142" s="712">
        <v>300054.19</v>
      </c>
      <c r="C142" s="712">
        <v>43270.58</v>
      </c>
      <c r="D142" s="712">
        <v>1121.47</v>
      </c>
      <c r="E142" s="712">
        <v>1568429.41</v>
      </c>
      <c r="F142" s="712">
        <v>736958.85</v>
      </c>
      <c r="G142" s="712">
        <v>151850.48000000001</v>
      </c>
      <c r="H142" s="712">
        <v>12433.51</v>
      </c>
      <c r="I142" s="712">
        <v>41021.01</v>
      </c>
      <c r="J142" s="713">
        <v>0.78439999999999999</v>
      </c>
      <c r="K142" s="713">
        <v>1.0449999999999999</v>
      </c>
      <c r="L142" s="713">
        <v>1.2565999999999999</v>
      </c>
      <c r="M142" s="713">
        <v>2.3800000000000002E-2</v>
      </c>
    </row>
    <row r="143" spans="1:13" hidden="1">
      <c r="A143" s="709" t="s">
        <v>27</v>
      </c>
      <c r="B143" s="712">
        <v>311021.7</v>
      </c>
      <c r="C143" s="712">
        <v>43101</v>
      </c>
      <c r="D143" s="712">
        <v>1455.65</v>
      </c>
      <c r="E143" s="712">
        <v>1604443.32</v>
      </c>
      <c r="F143" s="712">
        <v>756961.68</v>
      </c>
      <c r="G143" s="712">
        <v>223094.35</v>
      </c>
      <c r="H143" s="712">
        <v>2662.54</v>
      </c>
      <c r="I143" s="712">
        <v>56115.87</v>
      </c>
      <c r="J143" s="713">
        <v>0.7843</v>
      </c>
      <c r="K143" s="713">
        <v>1.0714999999999999</v>
      </c>
      <c r="L143" s="713">
        <v>1.2698</v>
      </c>
      <c r="M143" s="713">
        <v>2.4199999999999999E-2</v>
      </c>
    </row>
    <row r="144" spans="1:13" hidden="1">
      <c r="A144" s="709" t="s">
        <v>28</v>
      </c>
      <c r="B144" s="712">
        <v>258648.4</v>
      </c>
      <c r="C144" s="712">
        <v>28139.33</v>
      </c>
      <c r="D144" s="712">
        <v>733.24</v>
      </c>
      <c r="E144" s="712">
        <v>1362613.73</v>
      </c>
      <c r="F144" s="712">
        <v>852981.15</v>
      </c>
      <c r="G144" s="712">
        <v>185231.35</v>
      </c>
      <c r="H144" s="712">
        <v>8241.26</v>
      </c>
      <c r="I144" s="712">
        <v>48834.03</v>
      </c>
      <c r="J144" s="713">
        <v>0.78410000000000002</v>
      </c>
      <c r="K144" s="713">
        <v>1.0579000000000001</v>
      </c>
      <c r="L144" s="713">
        <v>1.2584</v>
      </c>
      <c r="M144" s="713">
        <v>2.3900000000000001E-2</v>
      </c>
    </row>
    <row r="145" spans="1:14" hidden="1">
      <c r="A145" s="709" t="s">
        <v>29</v>
      </c>
      <c r="B145" s="712">
        <v>234438.06</v>
      </c>
      <c r="C145" s="712">
        <v>29424.89</v>
      </c>
      <c r="D145" s="712">
        <v>881.01</v>
      </c>
      <c r="E145" s="712">
        <v>1580950.65</v>
      </c>
      <c r="F145" s="712">
        <v>895087.51</v>
      </c>
      <c r="G145" s="712">
        <v>207253.11</v>
      </c>
      <c r="H145" s="712">
        <v>15079.11</v>
      </c>
      <c r="I145" s="712">
        <v>54306.06</v>
      </c>
      <c r="J145" s="713">
        <v>0.78420000000000001</v>
      </c>
      <c r="K145" s="713">
        <v>1.0751999999999999</v>
      </c>
      <c r="L145" s="713">
        <v>1.2853000000000001</v>
      </c>
      <c r="M145" s="713">
        <v>2.3699999999999999E-2</v>
      </c>
    </row>
    <row r="146" spans="1:14" s="112" customFormat="1" ht="12.75" customHeight="1">
      <c r="A146" s="709" t="s">
        <v>1621</v>
      </c>
      <c r="B146" s="710">
        <f>B147+B148+B149+B150+B151+B152+B153+B154+B155+B156+B157+B158</f>
        <v>3376358.2600000002</v>
      </c>
      <c r="C146" s="710">
        <f t="shared" ref="C146:D146" si="16">C147+C148+C149+C150+C151+C152+C153+C154+C155+C156+C157+C158</f>
        <v>361737.64000000007</v>
      </c>
      <c r="D146" s="710">
        <f t="shared" si="16"/>
        <v>9672.8399999999983</v>
      </c>
      <c r="E146" s="710">
        <f t="shared" ref="E146:I146" si="17">E147+E148+E149+E150+E151+E152+E153+E154+E155+E156+E157+E158</f>
        <v>12514466.42</v>
      </c>
      <c r="F146" s="710">
        <f t="shared" si="17"/>
        <v>9373100.2999999989</v>
      </c>
      <c r="G146" s="710">
        <f t="shared" ref="G146" si="18">G147+G148+G149+G150+G151+G152+G153+G154+G155+G156+G157+G158</f>
        <v>2087446.9899999998</v>
      </c>
      <c r="H146" s="710">
        <f t="shared" si="17"/>
        <v>73825.34</v>
      </c>
      <c r="I146" s="710">
        <f t="shared" si="17"/>
        <v>2407109.2599999998</v>
      </c>
      <c r="J146" s="711">
        <v>0.78459999999999996</v>
      </c>
      <c r="K146" s="711">
        <v>1.0442</v>
      </c>
      <c r="L146" s="711">
        <v>1.2977000000000001</v>
      </c>
      <c r="M146" s="711">
        <v>2.0500000000000001E-2</v>
      </c>
      <c r="N146" s="220"/>
    </row>
    <row r="147" spans="1:14">
      <c r="A147" s="709" t="s">
        <v>18</v>
      </c>
      <c r="B147" s="712">
        <v>211269.85</v>
      </c>
      <c r="C147" s="712">
        <v>19945.919999999998</v>
      </c>
      <c r="D147" s="712">
        <v>929.24</v>
      </c>
      <c r="E147" s="712">
        <v>903530.66</v>
      </c>
      <c r="F147" s="712">
        <v>694903.44</v>
      </c>
      <c r="G147" s="712">
        <v>175069.2</v>
      </c>
      <c r="H147" s="712">
        <v>3929.49</v>
      </c>
      <c r="I147" s="712">
        <v>134699.26999999999</v>
      </c>
      <c r="J147" s="713">
        <v>0.78459999999999996</v>
      </c>
      <c r="K147" s="713">
        <v>1.071</v>
      </c>
      <c r="L147" s="713">
        <v>1.2969999999999999</v>
      </c>
      <c r="M147" s="713">
        <v>2.3E-2</v>
      </c>
    </row>
    <row r="148" spans="1:14">
      <c r="A148" s="709" t="s">
        <v>19</v>
      </c>
      <c r="B148" s="712">
        <v>242814.39</v>
      </c>
      <c r="C148" s="712">
        <v>24107.41</v>
      </c>
      <c r="D148" s="712">
        <v>1687.23</v>
      </c>
      <c r="E148" s="712">
        <v>592426.06000000006</v>
      </c>
      <c r="F148" s="712">
        <v>828668.29</v>
      </c>
      <c r="G148" s="712">
        <v>132657.16</v>
      </c>
      <c r="H148" s="712">
        <v>3731.77</v>
      </c>
      <c r="I148" s="712">
        <v>64984.3</v>
      </c>
      <c r="J148" s="713">
        <v>0.78439999999999999</v>
      </c>
      <c r="K148" s="713">
        <v>1.0699000000000001</v>
      </c>
      <c r="L148" s="713">
        <v>1.3039000000000001</v>
      </c>
      <c r="M148" s="713">
        <v>2.1899999999999999E-2</v>
      </c>
    </row>
    <row r="149" spans="1:14">
      <c r="A149" s="709" t="s">
        <v>20</v>
      </c>
      <c r="B149" s="712">
        <v>200943.3</v>
      </c>
      <c r="C149" s="712">
        <v>23069.97</v>
      </c>
      <c r="D149" s="712">
        <v>169.95</v>
      </c>
      <c r="E149" s="712">
        <v>820299.59</v>
      </c>
      <c r="F149" s="712">
        <v>874946.3</v>
      </c>
      <c r="G149" s="712">
        <v>115327.9</v>
      </c>
      <c r="H149" s="712">
        <v>5369.67</v>
      </c>
      <c r="I149" s="712">
        <v>146753.07</v>
      </c>
      <c r="J149" s="713">
        <v>0.78449999999999998</v>
      </c>
      <c r="K149" s="713">
        <v>1.0845</v>
      </c>
      <c r="L149" s="713">
        <v>1.3108</v>
      </c>
      <c r="M149" s="713">
        <v>2.12E-2</v>
      </c>
    </row>
    <row r="150" spans="1:14">
      <c r="A150" s="709" t="s">
        <v>21</v>
      </c>
      <c r="B150" s="712">
        <v>282769.48</v>
      </c>
      <c r="C150" s="712">
        <v>58518.15</v>
      </c>
      <c r="D150" s="712">
        <v>1290.19</v>
      </c>
      <c r="E150" s="712">
        <v>853574.35</v>
      </c>
      <c r="F150" s="712">
        <v>844768.22</v>
      </c>
      <c r="G150" s="712">
        <v>170769.2</v>
      </c>
      <c r="H150" s="712">
        <v>8809.7800000000007</v>
      </c>
      <c r="I150" s="712">
        <v>129102.13</v>
      </c>
      <c r="J150" s="713">
        <v>0.78439999999999999</v>
      </c>
      <c r="K150" s="713">
        <v>1.0857000000000001</v>
      </c>
      <c r="L150" s="713">
        <v>1.3124</v>
      </c>
      <c r="M150" s="713">
        <v>2.1600000000000001E-2</v>
      </c>
    </row>
    <row r="151" spans="1:14">
      <c r="A151" s="709" t="s">
        <v>22</v>
      </c>
      <c r="B151" s="712">
        <v>295198.11</v>
      </c>
      <c r="C151" s="712">
        <v>34442.17</v>
      </c>
      <c r="D151" s="712">
        <v>1575.59</v>
      </c>
      <c r="E151" s="712">
        <v>904788.05</v>
      </c>
      <c r="F151" s="712">
        <v>652863.82999999996</v>
      </c>
      <c r="G151" s="712">
        <v>233731.79</v>
      </c>
      <c r="H151" s="712">
        <v>5092.78</v>
      </c>
      <c r="I151" s="712">
        <v>276887.02</v>
      </c>
      <c r="J151" s="713">
        <v>0.78420000000000001</v>
      </c>
      <c r="K151" s="713">
        <v>1.0793999999999999</v>
      </c>
      <c r="L151" s="713">
        <v>1.3221000000000001</v>
      </c>
      <c r="M151" s="713">
        <v>2.2200000000000001E-2</v>
      </c>
    </row>
    <row r="152" spans="1:14">
      <c r="A152" s="709" t="s">
        <v>23</v>
      </c>
      <c r="B152" s="712">
        <v>355788.1</v>
      </c>
      <c r="C152" s="712">
        <v>35676.54</v>
      </c>
      <c r="D152" s="712">
        <v>303.67</v>
      </c>
      <c r="E152" s="712">
        <v>1092296.56</v>
      </c>
      <c r="F152" s="712">
        <v>671158.76</v>
      </c>
      <c r="G152" s="712">
        <v>229945.75</v>
      </c>
      <c r="H152" s="712">
        <v>3586.9</v>
      </c>
      <c r="I152" s="712">
        <v>101562.7</v>
      </c>
      <c r="J152" s="713">
        <v>0.78410000000000002</v>
      </c>
      <c r="K152" s="713">
        <v>1.0682</v>
      </c>
      <c r="L152" s="713">
        <v>1.3286</v>
      </c>
      <c r="M152" s="713">
        <v>2.2499999999999999E-2</v>
      </c>
    </row>
    <row r="153" spans="1:14" s="112" customFormat="1" ht="15" customHeight="1">
      <c r="A153" s="709" t="s">
        <v>24</v>
      </c>
      <c r="B153" s="712">
        <v>285872.68</v>
      </c>
      <c r="C153" s="712">
        <v>19260.349999999999</v>
      </c>
      <c r="D153" s="712">
        <v>387.23</v>
      </c>
      <c r="E153" s="712">
        <v>1219600.3700000001</v>
      </c>
      <c r="F153" s="712">
        <v>729744.75</v>
      </c>
      <c r="G153" s="712">
        <v>170153.26</v>
      </c>
      <c r="H153" s="712">
        <v>5333.09</v>
      </c>
      <c r="I153" s="712">
        <v>110470.53</v>
      </c>
      <c r="J153" s="713">
        <v>0.78449999999999998</v>
      </c>
      <c r="K153" s="713">
        <v>1.0651999999999999</v>
      </c>
      <c r="L153" s="713">
        <v>1.3425</v>
      </c>
      <c r="M153" s="713">
        <v>2.24E-2</v>
      </c>
    </row>
    <row r="154" spans="1:14" s="112" customFormat="1" ht="15" customHeight="1">
      <c r="A154" s="709" t="s">
        <v>25</v>
      </c>
      <c r="B154" s="712">
        <v>262614.34000000003</v>
      </c>
      <c r="C154" s="712">
        <v>20769.34</v>
      </c>
      <c r="D154" s="712">
        <v>2477.1999999999998</v>
      </c>
      <c r="E154" s="712">
        <v>1518451.95</v>
      </c>
      <c r="F154" s="712">
        <v>737597.1</v>
      </c>
      <c r="G154" s="712">
        <v>121061.51</v>
      </c>
      <c r="H154" s="712">
        <v>15064.31</v>
      </c>
      <c r="I154" s="712">
        <v>115832.9</v>
      </c>
      <c r="J154" s="713">
        <v>0.78449999999999998</v>
      </c>
      <c r="K154" s="713">
        <v>1.0451999999999999</v>
      </c>
      <c r="L154" s="713">
        <v>1.3110999999999999</v>
      </c>
      <c r="M154" s="713">
        <v>2.1499999999999998E-2</v>
      </c>
    </row>
    <row r="155" spans="1:14" s="112" customFormat="1" ht="15" customHeight="1">
      <c r="A155" s="709" t="s">
        <v>26</v>
      </c>
      <c r="B155" s="712">
        <v>317678.12</v>
      </c>
      <c r="C155" s="712">
        <v>30754.3</v>
      </c>
      <c r="D155" s="712">
        <v>258.08</v>
      </c>
      <c r="E155" s="712">
        <v>1806774.46</v>
      </c>
      <c r="F155" s="712">
        <v>702360.44</v>
      </c>
      <c r="G155" s="712">
        <v>214490.86</v>
      </c>
      <c r="H155" s="712">
        <v>5810.51</v>
      </c>
      <c r="I155" s="712">
        <v>535625.46</v>
      </c>
      <c r="J155" s="713">
        <v>0.78449999999999998</v>
      </c>
      <c r="K155" s="713">
        <v>1.0154000000000001</v>
      </c>
      <c r="L155" s="713">
        <v>1.2846</v>
      </c>
      <c r="M155" s="713">
        <v>2.0400000000000001E-2</v>
      </c>
    </row>
    <row r="156" spans="1:14" s="112" customFormat="1" ht="15" customHeight="1">
      <c r="A156" s="709" t="s">
        <v>27</v>
      </c>
      <c r="B156" s="712">
        <v>330219.7</v>
      </c>
      <c r="C156" s="712">
        <v>27154.28</v>
      </c>
      <c r="D156" s="712">
        <v>192.96</v>
      </c>
      <c r="E156" s="712">
        <v>1338000.78</v>
      </c>
      <c r="F156" s="712">
        <v>679066.17</v>
      </c>
      <c r="G156" s="712">
        <v>189949.86</v>
      </c>
      <c r="H156" s="712">
        <v>5085.4399999999996</v>
      </c>
      <c r="I156" s="712">
        <v>131986.04</v>
      </c>
      <c r="J156" s="713">
        <v>0.78439999999999999</v>
      </c>
      <c r="K156" s="713">
        <v>1.0008999999999999</v>
      </c>
      <c r="L156" s="713">
        <v>1.2632000000000001</v>
      </c>
      <c r="M156" s="713">
        <v>1.9E-2</v>
      </c>
    </row>
    <row r="157" spans="1:14" s="112" customFormat="1" ht="15" customHeight="1">
      <c r="A157" s="709" t="s">
        <v>28</v>
      </c>
      <c r="B157" s="712">
        <v>277790</v>
      </c>
      <c r="C157" s="712">
        <v>28843.26</v>
      </c>
      <c r="D157" s="712">
        <v>198.38</v>
      </c>
      <c r="E157" s="712">
        <v>751670.01</v>
      </c>
      <c r="F157" s="712">
        <v>565625.14</v>
      </c>
      <c r="G157" s="712">
        <v>127310.08</v>
      </c>
      <c r="H157" s="712">
        <v>5097.21</v>
      </c>
      <c r="I157" s="712">
        <v>219976.84</v>
      </c>
      <c r="J157" s="713">
        <v>0.78439999999999999</v>
      </c>
      <c r="K157" s="713">
        <v>0.98109999999999997</v>
      </c>
      <c r="L157" s="713">
        <v>1.242</v>
      </c>
      <c r="M157" s="713">
        <v>1.6799999999999999E-2</v>
      </c>
    </row>
    <row r="158" spans="1:14" s="112" customFormat="1" ht="15" customHeight="1">
      <c r="A158" s="709" t="s">
        <v>29</v>
      </c>
      <c r="B158" s="712">
        <v>313400.19</v>
      </c>
      <c r="C158" s="712">
        <v>39195.949999999997</v>
      </c>
      <c r="D158" s="712">
        <v>203.12</v>
      </c>
      <c r="E158" s="712">
        <v>713053.58</v>
      </c>
      <c r="F158" s="712">
        <v>1391397.86</v>
      </c>
      <c r="G158" s="712">
        <v>206980.42</v>
      </c>
      <c r="H158" s="712">
        <v>6914.39</v>
      </c>
      <c r="I158" s="712">
        <v>439229</v>
      </c>
      <c r="J158" s="713">
        <v>0.78580000000000005</v>
      </c>
      <c r="K158" s="713">
        <v>0.97119999999999995</v>
      </c>
      <c r="L158" s="713">
        <v>1.2314000000000001</v>
      </c>
      <c r="M158" s="713">
        <v>1.38E-2</v>
      </c>
    </row>
    <row r="159" spans="1:14" s="112" customFormat="1" ht="15" customHeight="1">
      <c r="A159" s="709" t="s">
        <v>1816</v>
      </c>
      <c r="B159" s="269">
        <v>3478205.91</v>
      </c>
      <c r="C159" s="269">
        <v>245264.35000000003</v>
      </c>
      <c r="D159" s="269">
        <v>3890.2099999999996</v>
      </c>
      <c r="E159" s="269">
        <v>9551580.1900000013</v>
      </c>
      <c r="F159" s="269">
        <v>12317396.410000002</v>
      </c>
      <c r="G159" s="269">
        <v>1074476.9400000002</v>
      </c>
      <c r="H159" s="269">
        <v>64102.560000000005</v>
      </c>
      <c r="I159" s="269">
        <v>2385745.84</v>
      </c>
      <c r="J159" s="718">
        <v>1.0047999999999999</v>
      </c>
      <c r="K159" s="718">
        <v>1.1132</v>
      </c>
      <c r="L159" s="718">
        <v>1.5544</v>
      </c>
      <c r="M159" s="718">
        <v>1.72E-2</v>
      </c>
    </row>
    <row r="160" spans="1:14" s="112" customFormat="1" ht="15" customHeight="1">
      <c r="A160" s="709" t="s">
        <v>18</v>
      </c>
      <c r="B160" s="712">
        <v>199954.33</v>
      </c>
      <c r="C160" s="712">
        <v>35731.629999999997</v>
      </c>
      <c r="D160" s="712">
        <v>160.76</v>
      </c>
      <c r="E160" s="712">
        <v>518655.68</v>
      </c>
      <c r="F160" s="712">
        <v>1118655.3700000001</v>
      </c>
      <c r="G160" s="712">
        <v>131417.79</v>
      </c>
      <c r="H160" s="712">
        <v>6398.99</v>
      </c>
      <c r="I160" s="712">
        <v>264105.65000000002</v>
      </c>
      <c r="J160" s="713">
        <v>0.78610000000000002</v>
      </c>
      <c r="K160" s="713">
        <v>0.92869999999999997</v>
      </c>
      <c r="L160" s="713">
        <v>1.2009000000000001</v>
      </c>
      <c r="M160" s="713">
        <v>1.2E-2</v>
      </c>
    </row>
    <row r="161" spans="1:13" s="112" customFormat="1" ht="15" customHeight="1">
      <c r="A161" s="709" t="s">
        <v>19</v>
      </c>
      <c r="B161" s="712">
        <v>384827.58</v>
      </c>
      <c r="C161" s="712">
        <v>42739.51</v>
      </c>
      <c r="D161" s="712">
        <v>444.62</v>
      </c>
      <c r="E161" s="712">
        <v>484710.79</v>
      </c>
      <c r="F161" s="712">
        <v>2885466.98</v>
      </c>
      <c r="G161" s="712">
        <v>147049.85</v>
      </c>
      <c r="H161" s="712">
        <v>7139.79</v>
      </c>
      <c r="I161" s="712">
        <v>287760.15000000002</v>
      </c>
      <c r="J161" s="713">
        <v>0.82609999999999995</v>
      </c>
      <c r="K161" s="713">
        <v>0.96179999999999999</v>
      </c>
      <c r="L161" s="713">
        <v>1.2569999999999999</v>
      </c>
      <c r="M161" s="713">
        <v>1.3299999999999999E-2</v>
      </c>
    </row>
    <row r="162" spans="1:13" s="112" customFormat="1" ht="15" customHeight="1">
      <c r="A162" s="709" t="s">
        <v>20</v>
      </c>
      <c r="B162" s="712">
        <v>153504.01</v>
      </c>
      <c r="C162" s="712">
        <v>32461.69</v>
      </c>
      <c r="D162" s="712">
        <v>217.48</v>
      </c>
      <c r="E162" s="712">
        <v>549774.85</v>
      </c>
      <c r="F162" s="712">
        <v>1066513.45</v>
      </c>
      <c r="G162" s="712">
        <v>76582.05</v>
      </c>
      <c r="H162" s="712">
        <v>4900.08</v>
      </c>
      <c r="I162" s="712">
        <v>136035.41</v>
      </c>
      <c r="J162" s="713">
        <v>1.0512999999999999</v>
      </c>
      <c r="K162" s="713">
        <v>1.1468</v>
      </c>
      <c r="L162" s="713">
        <v>1.5841000000000001</v>
      </c>
      <c r="M162" s="713">
        <v>1.72E-2</v>
      </c>
    </row>
    <row r="163" spans="1:13" s="112" customFormat="1" ht="15" customHeight="1">
      <c r="A163" s="709" t="s">
        <v>21</v>
      </c>
      <c r="B163" s="712">
        <v>265232.14</v>
      </c>
      <c r="C163" s="712">
        <v>17106.810000000001</v>
      </c>
      <c r="D163" s="712">
        <v>131.61000000000001</v>
      </c>
      <c r="E163" s="712">
        <v>927288.01</v>
      </c>
      <c r="F163" s="712">
        <v>1407963.1</v>
      </c>
      <c r="G163" s="712">
        <v>75671.44</v>
      </c>
      <c r="H163" s="712">
        <v>4959.6400000000003</v>
      </c>
      <c r="I163" s="712">
        <v>318736.92</v>
      </c>
      <c r="J163" s="713">
        <v>1.0568</v>
      </c>
      <c r="K163" s="713">
        <v>1.1335999999999999</v>
      </c>
      <c r="L163" s="713">
        <v>1.5707</v>
      </c>
      <c r="M163" s="713">
        <v>1.9800000000000002E-2</v>
      </c>
    </row>
    <row r="164" spans="1:13" s="112" customFormat="1" ht="15" customHeight="1">
      <c r="A164" s="709" t="s">
        <v>22</v>
      </c>
      <c r="B164" s="712">
        <v>366336.03</v>
      </c>
      <c r="C164" s="712">
        <v>13471.18</v>
      </c>
      <c r="D164" s="712">
        <v>1365.67</v>
      </c>
      <c r="E164" s="712">
        <v>938184.87</v>
      </c>
      <c r="F164" s="712">
        <v>450048.8</v>
      </c>
      <c r="G164" s="712">
        <v>69540.460000000006</v>
      </c>
      <c r="H164" s="712">
        <v>4435.75</v>
      </c>
      <c r="I164" s="712">
        <v>248201</v>
      </c>
      <c r="J164" s="713">
        <v>1.0349999999999999</v>
      </c>
      <c r="K164" s="713">
        <v>1.1545000000000001</v>
      </c>
      <c r="L164" s="713">
        <v>1.6313</v>
      </c>
      <c r="M164" s="713">
        <v>2.0500000000000001E-2</v>
      </c>
    </row>
    <row r="165" spans="1:13" s="112" customFormat="1" ht="15" customHeight="1">
      <c r="A165" s="709" t="s">
        <v>23</v>
      </c>
      <c r="B165" s="712">
        <v>364407.38</v>
      </c>
      <c r="C165" s="712">
        <v>10488.9</v>
      </c>
      <c r="D165" s="712">
        <v>265.06</v>
      </c>
      <c r="E165" s="712">
        <v>1003256.04</v>
      </c>
      <c r="F165" s="712">
        <v>511258.36</v>
      </c>
      <c r="G165" s="712">
        <v>87733.22</v>
      </c>
      <c r="H165" s="712">
        <v>5889.57</v>
      </c>
      <c r="I165" s="712">
        <v>89636.37</v>
      </c>
      <c r="J165" s="713">
        <v>1.0499000000000001</v>
      </c>
      <c r="K165" s="713">
        <v>1.1761999999999999</v>
      </c>
      <c r="L165" s="713">
        <v>1.6365000000000001</v>
      </c>
      <c r="M165" s="713">
        <v>1.9E-2</v>
      </c>
    </row>
    <row r="166" spans="1:13" s="112" customFormat="1" ht="15" customHeight="1">
      <c r="A166" s="709" t="s">
        <v>24</v>
      </c>
      <c r="B166" s="712">
        <v>353442.14</v>
      </c>
      <c r="C166" s="712">
        <v>20053.95</v>
      </c>
      <c r="D166" s="712">
        <v>192.45</v>
      </c>
      <c r="E166" s="712">
        <v>1079796.99</v>
      </c>
      <c r="F166" s="712">
        <v>519284.09</v>
      </c>
      <c r="G166" s="712">
        <v>105822.65</v>
      </c>
      <c r="H166" s="712">
        <v>4918.54</v>
      </c>
      <c r="I166" s="712">
        <v>207991.69</v>
      </c>
      <c r="J166" s="713">
        <v>1.0504</v>
      </c>
      <c r="K166" s="713">
        <v>1.1599999999999999</v>
      </c>
      <c r="L166" s="713">
        <v>1.6351</v>
      </c>
      <c r="M166" s="713">
        <v>1.8100000000000002E-2</v>
      </c>
    </row>
    <row r="167" spans="1:13" s="112" customFormat="1" ht="15" customHeight="1">
      <c r="A167" s="709" t="s">
        <v>25</v>
      </c>
      <c r="B167" s="712">
        <v>345113.51</v>
      </c>
      <c r="C167" s="712">
        <v>16243.92</v>
      </c>
      <c r="D167" s="712">
        <v>254.1</v>
      </c>
      <c r="E167" s="712">
        <v>789063.2</v>
      </c>
      <c r="F167" s="712">
        <v>1305175.98</v>
      </c>
      <c r="G167" s="712">
        <v>68505.39</v>
      </c>
      <c r="H167" s="712">
        <v>5315.79</v>
      </c>
      <c r="I167" s="712">
        <v>254664.85</v>
      </c>
      <c r="J167" s="713">
        <v>1.0516000000000001</v>
      </c>
      <c r="K167" s="713">
        <v>1.1783999999999999</v>
      </c>
      <c r="L167" s="713">
        <v>1.6394</v>
      </c>
      <c r="M167" s="713">
        <v>1.5800000000000002E-2</v>
      </c>
    </row>
    <row r="168" spans="1:13" s="112" customFormat="1" ht="15" customHeight="1">
      <c r="A168" s="709" t="s">
        <v>26</v>
      </c>
      <c r="B168" s="712">
        <v>352776.18</v>
      </c>
      <c r="C168" s="712">
        <v>9927.7199999999993</v>
      </c>
      <c r="D168" s="712">
        <v>291.2</v>
      </c>
      <c r="E168" s="712">
        <v>817574.91</v>
      </c>
      <c r="F168" s="712">
        <v>446300.65</v>
      </c>
      <c r="G168" s="712">
        <v>80557.320000000007</v>
      </c>
      <c r="H168" s="712">
        <v>6564.69</v>
      </c>
      <c r="I168" s="712">
        <v>130144.65</v>
      </c>
      <c r="J168" s="713">
        <v>1.0502</v>
      </c>
      <c r="K168" s="713">
        <v>1.1808000000000001</v>
      </c>
      <c r="L168" s="713">
        <v>1.6144000000000001</v>
      </c>
      <c r="M168" s="713">
        <v>1.55E-2</v>
      </c>
    </row>
    <row r="169" spans="1:13" s="112" customFormat="1" ht="15" customHeight="1">
      <c r="A169" s="709" t="s">
        <v>27</v>
      </c>
      <c r="B169" s="712">
        <v>290761.42</v>
      </c>
      <c r="C169" s="712">
        <v>12392.94</v>
      </c>
      <c r="D169" s="712">
        <v>220.21</v>
      </c>
      <c r="E169" s="712">
        <v>822327.91</v>
      </c>
      <c r="F169" s="712">
        <v>618756.9</v>
      </c>
      <c r="G169" s="712">
        <v>78410.42</v>
      </c>
      <c r="H169" s="712">
        <v>5722.29</v>
      </c>
      <c r="I169" s="712">
        <v>87422</v>
      </c>
      <c r="J169" s="713">
        <v>1.0503</v>
      </c>
      <c r="K169" s="713">
        <v>1.1747000000000001</v>
      </c>
      <c r="L169" s="713">
        <v>1.6083000000000001</v>
      </c>
      <c r="M169" s="713">
        <v>1.6400000000000001E-2</v>
      </c>
    </row>
    <row r="170" spans="1:13" s="112" customFormat="1" ht="15" customHeight="1">
      <c r="A170" s="709" t="s">
        <v>28</v>
      </c>
      <c r="B170" s="712">
        <v>207650.38</v>
      </c>
      <c r="C170" s="712">
        <v>23906.19</v>
      </c>
      <c r="D170" s="712">
        <v>94.18</v>
      </c>
      <c r="E170" s="712">
        <v>697977.47</v>
      </c>
      <c r="F170" s="712">
        <v>585534.18000000005</v>
      </c>
      <c r="G170" s="712">
        <v>89661.18</v>
      </c>
      <c r="H170" s="712">
        <v>3906.57</v>
      </c>
      <c r="I170" s="712">
        <v>170192.49</v>
      </c>
      <c r="J170" s="713">
        <v>1.0524</v>
      </c>
      <c r="K170" s="713">
        <v>1.1456999999999999</v>
      </c>
      <c r="L170" s="713">
        <v>1.6032999999999999</v>
      </c>
      <c r="M170" s="713">
        <v>1.6E-2</v>
      </c>
    </row>
    <row r="171" spans="1:13" s="112" customFormat="1" ht="15" customHeight="1">
      <c r="A171" s="709" t="s">
        <v>29</v>
      </c>
      <c r="B171" s="712">
        <v>194200.81</v>
      </c>
      <c r="C171" s="712">
        <v>10739.91</v>
      </c>
      <c r="D171" s="712">
        <v>252.87</v>
      </c>
      <c r="E171" s="712">
        <v>922969.47</v>
      </c>
      <c r="F171" s="712">
        <v>1402438.55</v>
      </c>
      <c r="G171" s="712">
        <v>63525.17</v>
      </c>
      <c r="H171" s="712">
        <v>3950.86</v>
      </c>
      <c r="I171" s="712">
        <v>190854.66</v>
      </c>
      <c r="J171" s="713">
        <v>1.2753000000000001</v>
      </c>
      <c r="K171" s="713">
        <v>1.3508</v>
      </c>
      <c r="L171" s="713">
        <v>1.9288000000000001</v>
      </c>
      <c r="M171" s="713">
        <v>1.8200000000000001E-2</v>
      </c>
    </row>
    <row r="172" spans="1:13" s="112" customFormat="1" ht="15" customHeight="1">
      <c r="A172" s="709" t="s">
        <v>1839</v>
      </c>
      <c r="B172" s="269">
        <v>2559517.0099999998</v>
      </c>
      <c r="C172" s="269">
        <v>292381.03000000003</v>
      </c>
      <c r="D172" s="269">
        <v>6785.0400000000009</v>
      </c>
      <c r="E172" s="269">
        <v>11379905.82</v>
      </c>
      <c r="F172" s="269">
        <v>3004956.6600000006</v>
      </c>
      <c r="G172" s="269">
        <v>559028.56000000006</v>
      </c>
      <c r="H172" s="269">
        <v>41226.520000000004</v>
      </c>
      <c r="I172" s="269">
        <v>2214718.56</v>
      </c>
      <c r="J172" s="718">
        <v>1.6026</v>
      </c>
      <c r="K172" s="718">
        <v>1.7775000000000001</v>
      </c>
      <c r="L172" s="718">
        <v>2.1777000000000002</v>
      </c>
      <c r="M172" s="718">
        <v>2.4E-2</v>
      </c>
    </row>
    <row r="173" spans="1:13" s="112" customFormat="1" ht="15" customHeight="1">
      <c r="A173" s="709" t="s">
        <v>18</v>
      </c>
      <c r="B173" s="712">
        <v>219527.13</v>
      </c>
      <c r="C173" s="712">
        <v>7470.78</v>
      </c>
      <c r="D173" s="712">
        <v>258.26</v>
      </c>
      <c r="E173" s="712">
        <v>578885.69999999995</v>
      </c>
      <c r="F173" s="712">
        <v>392967.63</v>
      </c>
      <c r="G173" s="712">
        <v>27828.07</v>
      </c>
      <c r="H173" s="712">
        <v>2868.06</v>
      </c>
      <c r="I173" s="712">
        <v>185829.25</v>
      </c>
      <c r="J173" s="713">
        <v>1.6221000000000001</v>
      </c>
      <c r="K173" s="713">
        <v>1.7528999999999999</v>
      </c>
      <c r="L173" s="713">
        <v>2.3119000000000001</v>
      </c>
      <c r="M173" s="713">
        <v>2.0299999999999999E-2</v>
      </c>
    </row>
    <row r="174" spans="1:13" s="112" customFormat="1" ht="15" customHeight="1">
      <c r="A174" s="709" t="s">
        <v>19</v>
      </c>
      <c r="B174" s="712">
        <v>468677.07</v>
      </c>
      <c r="C174" s="712">
        <v>45031.199999999997</v>
      </c>
      <c r="D174" s="712">
        <v>394.68</v>
      </c>
      <c r="E174" s="712">
        <v>732419.68</v>
      </c>
      <c r="F174" s="712">
        <v>327786.18</v>
      </c>
      <c r="G174" s="712">
        <v>71435.86</v>
      </c>
      <c r="H174" s="712">
        <v>4623.28</v>
      </c>
      <c r="I174" s="712">
        <v>171342.29</v>
      </c>
      <c r="J174" s="713">
        <v>1.5892999999999999</v>
      </c>
      <c r="K174" s="713">
        <v>1.7465999999999999</v>
      </c>
      <c r="L174" s="713">
        <v>2.2241</v>
      </c>
      <c r="M174" s="713">
        <v>2.01E-2</v>
      </c>
    </row>
    <row r="175" spans="1:13" s="112" customFormat="1" ht="15" customHeight="1">
      <c r="A175" s="709" t="s">
        <v>20</v>
      </c>
      <c r="B175" s="712">
        <v>241444.7</v>
      </c>
      <c r="C175" s="712">
        <v>36490.339999999997</v>
      </c>
      <c r="D175" s="712">
        <v>425.88</v>
      </c>
      <c r="E175" s="712">
        <v>797804.01</v>
      </c>
      <c r="F175" s="712">
        <v>288050.82</v>
      </c>
      <c r="G175" s="712">
        <v>58881.32</v>
      </c>
      <c r="H175" s="712">
        <v>2800.43</v>
      </c>
      <c r="I175" s="712">
        <v>157156.60999999999</v>
      </c>
      <c r="J175" s="713">
        <v>1.6080000000000001</v>
      </c>
      <c r="K175" s="713">
        <v>1.7967</v>
      </c>
      <c r="L175" s="713">
        <v>2.2854999999999999</v>
      </c>
      <c r="M175" s="713">
        <v>2.24E-2</v>
      </c>
    </row>
    <row r="176" spans="1:13" s="112" customFormat="1" ht="15" customHeight="1">
      <c r="A176" s="709" t="s">
        <v>21</v>
      </c>
      <c r="B176" s="712">
        <v>272352.03999999998</v>
      </c>
      <c r="C176" s="712">
        <v>28791.49</v>
      </c>
      <c r="D176" s="712">
        <v>626.85</v>
      </c>
      <c r="E176" s="712">
        <v>853017.92</v>
      </c>
      <c r="F176" s="712">
        <v>190905.23</v>
      </c>
      <c r="G176" s="712">
        <v>33374.629999999997</v>
      </c>
      <c r="H176" s="712">
        <v>2177.9699999999998</v>
      </c>
      <c r="I176" s="712">
        <v>201900.16</v>
      </c>
      <c r="J176" s="713">
        <v>1.5134000000000001</v>
      </c>
      <c r="K176" s="713">
        <v>1.7307999999999999</v>
      </c>
      <c r="L176" s="713">
        <v>2.1812</v>
      </c>
      <c r="M176" s="713">
        <v>2.23E-2</v>
      </c>
    </row>
    <row r="177" spans="1:13" s="112" customFormat="1" ht="15" customHeight="1">
      <c r="A177" s="709" t="s">
        <v>22</v>
      </c>
      <c r="B177" s="712">
        <v>212994.01</v>
      </c>
      <c r="C177" s="712">
        <v>23323.62</v>
      </c>
      <c r="D177" s="712">
        <v>862.47</v>
      </c>
      <c r="E177" s="712">
        <v>942201.32</v>
      </c>
      <c r="F177" s="712">
        <v>177554.04</v>
      </c>
      <c r="G177" s="712">
        <v>30424.89</v>
      </c>
      <c r="H177" s="712">
        <v>1489.76</v>
      </c>
      <c r="I177" s="712">
        <v>143621.79999999999</v>
      </c>
      <c r="J177" s="713">
        <v>1.4974000000000001</v>
      </c>
      <c r="K177" s="713">
        <v>1.6957</v>
      </c>
      <c r="L177" s="713">
        <v>2.1913999999999998</v>
      </c>
      <c r="M177" s="713">
        <v>2.24E-2</v>
      </c>
    </row>
    <row r="178" spans="1:13" s="112" customFormat="1" ht="15" customHeight="1">
      <c r="A178" s="709" t="s">
        <v>23</v>
      </c>
      <c r="B178" s="712">
        <v>206207.87</v>
      </c>
      <c r="C178" s="712">
        <v>40437.129999999997</v>
      </c>
      <c r="D178" s="712">
        <v>352.78</v>
      </c>
      <c r="E178" s="712">
        <v>1196976.06</v>
      </c>
      <c r="F178" s="712">
        <v>321915.83</v>
      </c>
      <c r="G178" s="712">
        <v>59158.49</v>
      </c>
      <c r="H178" s="712">
        <v>3097.25</v>
      </c>
      <c r="I178" s="712">
        <v>240188.65</v>
      </c>
      <c r="J178" s="713">
        <v>1.5258</v>
      </c>
      <c r="K178" s="713">
        <v>1.7154</v>
      </c>
      <c r="L178" s="713">
        <v>2.1762999999999999</v>
      </c>
      <c r="M178" s="713">
        <v>2.3E-2</v>
      </c>
    </row>
    <row r="179" spans="1:13" s="112" customFormat="1" ht="15" customHeight="1">
      <c r="A179" s="709" t="s">
        <v>24</v>
      </c>
      <c r="B179" s="712">
        <v>178822.51</v>
      </c>
      <c r="C179" s="712">
        <v>28288.71</v>
      </c>
      <c r="D179" s="712">
        <v>213.34</v>
      </c>
      <c r="E179" s="712">
        <v>1148281.8799999999</v>
      </c>
      <c r="F179" s="712">
        <v>276607.78999999998</v>
      </c>
      <c r="G179" s="712">
        <v>60647.62</v>
      </c>
      <c r="H179" s="712">
        <v>2616.1</v>
      </c>
      <c r="I179" s="712">
        <v>160320.82999999999</v>
      </c>
      <c r="J179" s="713">
        <v>1.5769</v>
      </c>
      <c r="K179" s="713">
        <v>1.7390000000000001</v>
      </c>
      <c r="L179" s="713">
        <v>2.0790000000000002</v>
      </c>
      <c r="M179" s="713">
        <v>2.41E-2</v>
      </c>
    </row>
    <row r="180" spans="1:13" s="112" customFormat="1" ht="15" customHeight="1">
      <c r="A180" s="709" t="s">
        <v>25</v>
      </c>
      <c r="B180" s="712">
        <v>203868.69</v>
      </c>
      <c r="C180" s="712">
        <v>21755.48</v>
      </c>
      <c r="D180" s="712">
        <v>772.08</v>
      </c>
      <c r="E180" s="712">
        <v>1216270.8999999999</v>
      </c>
      <c r="F180" s="712">
        <v>243437.46</v>
      </c>
      <c r="G180" s="712">
        <v>47714.51</v>
      </c>
      <c r="H180" s="712">
        <v>5332.08</v>
      </c>
      <c r="I180" s="712">
        <v>201372.54</v>
      </c>
      <c r="J180" s="713">
        <v>1.6476999999999999</v>
      </c>
      <c r="K180" s="713">
        <v>1.8533999999999999</v>
      </c>
      <c r="L180" s="713">
        <v>2.1703000000000001</v>
      </c>
      <c r="M180" s="713">
        <v>2.4799999999999999E-2</v>
      </c>
    </row>
    <row r="181" spans="1:13" s="112" customFormat="1" ht="15" customHeight="1">
      <c r="A181" s="709" t="s">
        <v>26</v>
      </c>
      <c r="B181" s="712">
        <v>156993.18</v>
      </c>
      <c r="C181" s="712">
        <v>23076.97</v>
      </c>
      <c r="D181" s="712">
        <v>670.28</v>
      </c>
      <c r="E181" s="712">
        <v>1076646.57</v>
      </c>
      <c r="F181" s="712">
        <v>222661.08</v>
      </c>
      <c r="G181" s="712">
        <v>58342.06</v>
      </c>
      <c r="H181" s="712">
        <v>4346.79</v>
      </c>
      <c r="I181" s="712">
        <v>172974.99</v>
      </c>
      <c r="J181" s="713">
        <v>1.6503000000000001</v>
      </c>
      <c r="K181" s="713">
        <v>1.8472999999999999</v>
      </c>
      <c r="L181" s="713">
        <v>2.1867999999999999</v>
      </c>
      <c r="M181" s="713">
        <v>2.53E-2</v>
      </c>
    </row>
    <row r="182" spans="1:13" s="112" customFormat="1" ht="15" customHeight="1">
      <c r="A182" s="709" t="s">
        <v>27</v>
      </c>
      <c r="B182" s="712">
        <v>159267.79999999999</v>
      </c>
      <c r="C182" s="712">
        <v>8609.32</v>
      </c>
      <c r="D182" s="712">
        <v>635.05999999999995</v>
      </c>
      <c r="E182" s="712">
        <v>1045584.38</v>
      </c>
      <c r="F182" s="712">
        <v>253808.06</v>
      </c>
      <c r="G182" s="712">
        <v>47863.7</v>
      </c>
      <c r="H182" s="712">
        <v>4141.08</v>
      </c>
      <c r="I182" s="712">
        <v>196448.75</v>
      </c>
      <c r="J182" s="713">
        <v>1.6214999999999999</v>
      </c>
      <c r="K182" s="713">
        <v>1.7805</v>
      </c>
      <c r="L182" s="713">
        <v>2.0066000000000002</v>
      </c>
      <c r="M182" s="713">
        <v>2.5499999999999998E-2</v>
      </c>
    </row>
    <row r="183" spans="1:13" s="112" customFormat="1" ht="15" customHeight="1">
      <c r="A183" s="709" t="s">
        <v>28</v>
      </c>
      <c r="B183" s="712">
        <v>122071.79</v>
      </c>
      <c r="C183" s="712">
        <v>16734.46</v>
      </c>
      <c r="D183" s="712">
        <v>257.95999999999998</v>
      </c>
      <c r="E183" s="712">
        <v>938029.74</v>
      </c>
      <c r="F183" s="712">
        <v>171613.88</v>
      </c>
      <c r="G183" s="712">
        <v>41857</v>
      </c>
      <c r="H183" s="712">
        <v>5531.38</v>
      </c>
      <c r="I183" s="712">
        <v>169692.04</v>
      </c>
      <c r="J183" s="713">
        <v>1.726</v>
      </c>
      <c r="K183" s="713">
        <v>1.8607</v>
      </c>
      <c r="L183" s="713">
        <v>2.1572</v>
      </c>
      <c r="M183" s="713">
        <v>2.6499999999999999E-2</v>
      </c>
    </row>
    <row r="184" spans="1:13" s="112" customFormat="1" ht="15" customHeight="1">
      <c r="A184" s="709" t="s">
        <v>29</v>
      </c>
      <c r="B184" s="712">
        <v>117290.22</v>
      </c>
      <c r="C184" s="712">
        <v>12371.53</v>
      </c>
      <c r="D184" s="712">
        <v>1315.4</v>
      </c>
      <c r="E184" s="712">
        <v>853787.66</v>
      </c>
      <c r="F184" s="712">
        <v>137648.66</v>
      </c>
      <c r="G184" s="712">
        <v>21500.41</v>
      </c>
      <c r="H184" s="712">
        <v>2202.34</v>
      </c>
      <c r="I184" s="712">
        <v>213870.65</v>
      </c>
      <c r="J184" s="713">
        <v>1.7904</v>
      </c>
      <c r="K184" s="713">
        <v>1.883</v>
      </c>
      <c r="L184" s="713">
        <v>2.2275</v>
      </c>
      <c r="M184" s="713">
        <v>2.87E-2</v>
      </c>
    </row>
    <row r="185" spans="1:13" s="112" customFormat="1" ht="15" customHeight="1">
      <c r="A185" s="709" t="s">
        <v>1902</v>
      </c>
      <c r="B185" s="269">
        <v>1733190.68</v>
      </c>
      <c r="C185" s="269">
        <v>204188.99000000002</v>
      </c>
      <c r="D185" s="269">
        <v>7789.9</v>
      </c>
      <c r="E185" s="269">
        <v>14023485.4</v>
      </c>
      <c r="F185" s="269">
        <v>1759735.06</v>
      </c>
      <c r="G185" s="269">
        <v>526781.87</v>
      </c>
      <c r="H185" s="269">
        <v>32701.649999999998</v>
      </c>
      <c r="I185" s="269">
        <v>2941783.31</v>
      </c>
      <c r="J185" s="718">
        <v>1.7144999999999999</v>
      </c>
      <c r="K185" s="718">
        <v>1.9672000000000001</v>
      </c>
      <c r="L185" s="718">
        <v>2.2366999999999999</v>
      </c>
      <c r="M185" s="718">
        <v>2.8899999999999999E-2</v>
      </c>
    </row>
    <row r="186" spans="1:13" s="112" customFormat="1" ht="15" customHeight="1">
      <c r="A186" s="32" t="s">
        <v>18</v>
      </c>
      <c r="B186" s="3">
        <v>62842.42</v>
      </c>
      <c r="C186" s="3">
        <v>5985</v>
      </c>
      <c r="D186" s="3">
        <v>340.41</v>
      </c>
      <c r="E186" s="3">
        <v>798648.36</v>
      </c>
      <c r="F186" s="3">
        <v>130355.55</v>
      </c>
      <c r="G186" s="3">
        <v>14733.11</v>
      </c>
      <c r="H186" s="3">
        <v>1928.85</v>
      </c>
      <c r="I186" s="3">
        <v>142974.44</v>
      </c>
      <c r="J186" s="719">
        <v>1.8628</v>
      </c>
      <c r="K186" s="719">
        <v>1.9897</v>
      </c>
      <c r="L186" s="719">
        <v>2.2841999999999998</v>
      </c>
      <c r="M186" s="719">
        <v>3.0700000000000002E-2</v>
      </c>
    </row>
    <row r="187" spans="1:13" s="112" customFormat="1" ht="15" customHeight="1">
      <c r="A187" s="32" t="s">
        <v>19</v>
      </c>
      <c r="B187" s="3">
        <v>122732.34</v>
      </c>
      <c r="C187" s="3">
        <v>11696.06</v>
      </c>
      <c r="D187" s="3">
        <v>313.26</v>
      </c>
      <c r="E187" s="3">
        <v>812766.91</v>
      </c>
      <c r="F187" s="3">
        <v>125003.98</v>
      </c>
      <c r="G187" s="3">
        <v>18125.25</v>
      </c>
      <c r="H187" s="3">
        <v>1617.45</v>
      </c>
      <c r="I187" s="3">
        <v>187281.7</v>
      </c>
      <c r="J187" s="719">
        <v>1.7967</v>
      </c>
      <c r="K187" s="719">
        <v>1.92</v>
      </c>
      <c r="L187" s="719">
        <v>2.2425000000000002</v>
      </c>
      <c r="M187" s="719">
        <v>3.0200000000000001E-2</v>
      </c>
    </row>
    <row r="188" spans="1:13" s="112" customFormat="1" ht="15" customHeight="1">
      <c r="A188" s="32" t="s">
        <v>20</v>
      </c>
      <c r="B188" s="3">
        <v>91887.39</v>
      </c>
      <c r="C188" s="3">
        <v>16214.76</v>
      </c>
      <c r="D188" s="3">
        <v>610.32000000000005</v>
      </c>
      <c r="E188" s="3">
        <v>958407.44</v>
      </c>
      <c r="F188" s="3">
        <v>109682.87</v>
      </c>
      <c r="G188" s="3">
        <v>19762.59</v>
      </c>
      <c r="H188" s="3">
        <v>1541.05</v>
      </c>
      <c r="I188" s="3">
        <v>146529.17000000001</v>
      </c>
      <c r="J188" s="719">
        <v>1.7313000000000001</v>
      </c>
      <c r="K188" s="719">
        <v>1.8564000000000001</v>
      </c>
      <c r="L188" s="719">
        <v>2.1448</v>
      </c>
      <c r="M188" s="719">
        <v>2.9399999999999999E-2</v>
      </c>
    </row>
    <row r="189" spans="1:13" s="112" customFormat="1" ht="15" customHeight="1">
      <c r="A189" s="32" t="s">
        <v>21</v>
      </c>
      <c r="B189" s="3">
        <v>142898.20000000001</v>
      </c>
      <c r="C189" s="3">
        <v>23856.05</v>
      </c>
      <c r="D189" s="3">
        <v>768.21</v>
      </c>
      <c r="E189" s="3">
        <v>949362.15</v>
      </c>
      <c r="F189" s="3">
        <v>65670.81</v>
      </c>
      <c r="G189" s="3">
        <v>18510.39</v>
      </c>
      <c r="H189" s="3">
        <v>1842.79</v>
      </c>
      <c r="I189" s="3">
        <v>153252.25</v>
      </c>
      <c r="J189" s="719">
        <v>1.6843999999999999</v>
      </c>
      <c r="K189" s="719">
        <v>1.8208</v>
      </c>
      <c r="L189" s="719">
        <v>2.1533000000000002</v>
      </c>
      <c r="M189" s="719">
        <v>2.9399999999999999E-2</v>
      </c>
    </row>
    <row r="190" spans="1:13" s="112" customFormat="1" ht="15" customHeight="1">
      <c r="A190" s="32" t="s">
        <v>22</v>
      </c>
      <c r="B190" s="3">
        <v>138842.09</v>
      </c>
      <c r="C190" s="3">
        <v>24470.89</v>
      </c>
      <c r="D190" s="3">
        <v>574.91</v>
      </c>
      <c r="E190" s="3">
        <v>1216578.8700000001</v>
      </c>
      <c r="F190" s="3">
        <v>96469.41</v>
      </c>
      <c r="G190" s="3">
        <v>35033.120000000003</v>
      </c>
      <c r="H190" s="3">
        <v>1837.69</v>
      </c>
      <c r="I190" s="3">
        <v>222628.4</v>
      </c>
      <c r="J190" s="719">
        <v>1.6911</v>
      </c>
      <c r="K190" s="719">
        <v>1.8807</v>
      </c>
      <c r="L190" s="719">
        <v>2.1985999999999999</v>
      </c>
      <c r="M190" s="719">
        <v>2.9100000000000001E-2</v>
      </c>
    </row>
    <row r="191" spans="1:13" s="112" customFormat="1" ht="15" customHeight="1">
      <c r="A191" s="32" t="s">
        <v>23</v>
      </c>
      <c r="B191" s="3">
        <v>122047.06</v>
      </c>
      <c r="C191" s="3">
        <v>12156.14</v>
      </c>
      <c r="D191" s="3">
        <v>544.13</v>
      </c>
      <c r="E191" s="3">
        <v>1296177.24</v>
      </c>
      <c r="F191" s="3">
        <v>94486.79</v>
      </c>
      <c r="G191" s="3">
        <v>20418.05</v>
      </c>
      <c r="H191" s="3">
        <v>1582.24</v>
      </c>
      <c r="I191" s="3">
        <v>241799.37</v>
      </c>
      <c r="J191" s="719">
        <v>1.6924999999999999</v>
      </c>
      <c r="K191" s="719">
        <v>1.9021999999999999</v>
      </c>
      <c r="L191" s="719">
        <v>2.1812</v>
      </c>
      <c r="M191" s="719">
        <v>2.8799999999999999E-2</v>
      </c>
    </row>
    <row r="192" spans="1:13" s="112" customFormat="1" ht="15" customHeight="1">
      <c r="A192" s="32" t="s">
        <v>24</v>
      </c>
      <c r="B192" s="3">
        <v>147862.72</v>
      </c>
      <c r="C192" s="3">
        <v>20548.03</v>
      </c>
      <c r="D192" s="3">
        <v>593.85</v>
      </c>
      <c r="E192" s="3">
        <v>1449789.84</v>
      </c>
      <c r="F192" s="3">
        <v>143030.79999999999</v>
      </c>
      <c r="G192" s="3">
        <v>32051.58</v>
      </c>
      <c r="H192" s="3">
        <v>1743.31</v>
      </c>
      <c r="I192" s="3">
        <v>271438.15000000002</v>
      </c>
      <c r="J192" s="719">
        <v>1.6961999999999999</v>
      </c>
      <c r="K192" s="719">
        <v>1.9568000000000001</v>
      </c>
      <c r="L192" s="719">
        <v>2.2155999999999998</v>
      </c>
      <c r="M192" s="719">
        <v>2.8000000000000001E-2</v>
      </c>
    </row>
    <row r="193" spans="1:13" s="112" customFormat="1" ht="15" customHeight="1">
      <c r="A193" s="32" t="s">
        <v>25</v>
      </c>
      <c r="B193" s="3">
        <v>197293.82</v>
      </c>
      <c r="C193" s="3">
        <v>16163.04</v>
      </c>
      <c r="D193" s="3">
        <v>682.37</v>
      </c>
      <c r="E193" s="3">
        <v>1538892.56</v>
      </c>
      <c r="F193" s="3">
        <v>137491.47</v>
      </c>
      <c r="G193" s="3">
        <v>60947.93</v>
      </c>
      <c r="H193" s="3">
        <v>3615.68</v>
      </c>
      <c r="I193" s="3">
        <v>302818.53999999998</v>
      </c>
      <c r="J193" s="719">
        <v>1.6966000000000001</v>
      </c>
      <c r="K193" s="719">
        <v>2.0064000000000002</v>
      </c>
      <c r="L193" s="719">
        <v>2.2166000000000001</v>
      </c>
      <c r="M193" s="719">
        <v>2.81E-2</v>
      </c>
    </row>
    <row r="194" spans="1:13" s="112" customFormat="1" ht="15" customHeight="1">
      <c r="A194" s="32" t="s">
        <v>26</v>
      </c>
      <c r="B194" s="3">
        <v>164254.47</v>
      </c>
      <c r="C194" s="3">
        <v>20587.87</v>
      </c>
      <c r="D194" s="3">
        <v>594.13</v>
      </c>
      <c r="E194" s="3">
        <v>1310970.77</v>
      </c>
      <c r="F194" s="3">
        <v>171422.22</v>
      </c>
      <c r="G194" s="3">
        <v>48431.96</v>
      </c>
      <c r="H194" s="3">
        <v>3777.28</v>
      </c>
      <c r="I194" s="3">
        <v>272346.37</v>
      </c>
      <c r="J194" s="719">
        <v>1.6967000000000001</v>
      </c>
      <c r="K194" s="719">
        <v>2.0259</v>
      </c>
      <c r="L194" s="719">
        <v>2.2751000000000001</v>
      </c>
      <c r="M194" s="719">
        <v>2.9000000000000001E-2</v>
      </c>
    </row>
    <row r="195" spans="1:13" s="112" customFormat="1" ht="15" customHeight="1">
      <c r="A195" s="32" t="s">
        <v>27</v>
      </c>
      <c r="B195" s="3">
        <v>165139.29</v>
      </c>
      <c r="C195" s="3">
        <v>22282.76</v>
      </c>
      <c r="D195" s="3">
        <v>818.83</v>
      </c>
      <c r="E195" s="3">
        <v>1330458.68</v>
      </c>
      <c r="F195" s="3">
        <v>202513.87</v>
      </c>
      <c r="G195" s="3">
        <v>96796.37</v>
      </c>
      <c r="H195" s="3">
        <v>3671.19</v>
      </c>
      <c r="I195" s="3">
        <v>298248.17</v>
      </c>
      <c r="J195" s="719">
        <v>1.6994</v>
      </c>
      <c r="K195" s="719">
        <v>2.0024000000000002</v>
      </c>
      <c r="L195" s="719">
        <v>2.2534000000000001</v>
      </c>
      <c r="M195" s="719">
        <v>2.9000000000000001E-2</v>
      </c>
    </row>
    <row r="196" spans="1:13" s="112" customFormat="1" ht="15" customHeight="1">
      <c r="A196" s="32" t="s">
        <v>28</v>
      </c>
      <c r="B196" s="3">
        <v>182484.23</v>
      </c>
      <c r="C196" s="3">
        <v>15297.29</v>
      </c>
      <c r="D196" s="3">
        <v>1133.6600000000001</v>
      </c>
      <c r="E196" s="3">
        <v>1159648.08</v>
      </c>
      <c r="F196" s="3">
        <v>172735.33</v>
      </c>
      <c r="G196" s="3">
        <v>80931.009999999995</v>
      </c>
      <c r="H196" s="3">
        <v>1755.25</v>
      </c>
      <c r="I196" s="3">
        <v>372702.11</v>
      </c>
      <c r="J196" s="719">
        <v>1.6983999999999999</v>
      </c>
      <c r="K196" s="719">
        <v>1.9981</v>
      </c>
      <c r="L196" s="719">
        <v>2.2532000000000001</v>
      </c>
      <c r="M196" s="719">
        <v>2.8500000000000001E-2</v>
      </c>
    </row>
    <row r="197" spans="1:13" s="112" customFormat="1" ht="15" customHeight="1">
      <c r="A197" s="32" t="s">
        <v>29</v>
      </c>
      <c r="B197" s="3">
        <v>194906.65</v>
      </c>
      <c r="C197" s="3">
        <v>14931.1</v>
      </c>
      <c r="D197" s="3">
        <v>815.82</v>
      </c>
      <c r="E197" s="3">
        <v>1201784.5</v>
      </c>
      <c r="F197" s="3">
        <v>310871.96000000002</v>
      </c>
      <c r="G197" s="3">
        <v>81040.509999999995</v>
      </c>
      <c r="H197" s="3">
        <v>7788.87</v>
      </c>
      <c r="I197" s="3">
        <v>329764.64</v>
      </c>
      <c r="J197" s="719">
        <v>1.6998</v>
      </c>
      <c r="K197" s="719">
        <v>2.0162</v>
      </c>
      <c r="L197" s="719">
        <v>2.2776999999999998</v>
      </c>
      <c r="M197" s="719">
        <v>2.86E-2</v>
      </c>
    </row>
    <row r="198" spans="1:13" s="112" customFormat="1" ht="15" customHeight="1">
      <c r="A198" s="32" t="s">
        <v>2038</v>
      </c>
      <c r="B198" s="269">
        <v>2037197.1199999999</v>
      </c>
      <c r="C198" s="269">
        <v>302501.38</v>
      </c>
      <c r="D198" s="269">
        <v>9536.760000000002</v>
      </c>
      <c r="E198" s="269">
        <v>16291552.940000001</v>
      </c>
      <c r="F198" s="269">
        <v>3406108.65</v>
      </c>
      <c r="G198" s="269">
        <v>661712.14</v>
      </c>
      <c r="H198" s="269">
        <v>51206.71</v>
      </c>
      <c r="I198" s="269">
        <v>3575379.6100000003</v>
      </c>
      <c r="J198" s="718">
        <v>1.6999</v>
      </c>
      <c r="K198" s="718">
        <v>2.0004</v>
      </c>
      <c r="L198" s="718">
        <v>2.2749999999999999</v>
      </c>
      <c r="M198" s="718">
        <v>2.6599999999999999E-2</v>
      </c>
    </row>
    <row r="199" spans="1:13" s="112" customFormat="1" ht="15" customHeight="1">
      <c r="A199" s="32" t="s">
        <v>18</v>
      </c>
      <c r="B199" s="3">
        <v>195667.42</v>
      </c>
      <c r="C199" s="3">
        <v>12100.32</v>
      </c>
      <c r="D199" s="3">
        <v>1221.78</v>
      </c>
      <c r="E199" s="3">
        <v>1098682.3400000001</v>
      </c>
      <c r="F199" s="3">
        <v>162487.28</v>
      </c>
      <c r="G199" s="3">
        <v>45609.38</v>
      </c>
      <c r="H199" s="3">
        <v>3532.87</v>
      </c>
      <c r="I199" s="3">
        <v>289266.25</v>
      </c>
      <c r="J199" s="719">
        <v>1.6992</v>
      </c>
      <c r="K199" s="719">
        <v>2.0701999999999998</v>
      </c>
      <c r="L199" s="719">
        <v>2.3412000000000002</v>
      </c>
      <c r="M199" s="719">
        <v>2.9499999999999998E-2</v>
      </c>
    </row>
    <row r="200" spans="1:13" s="112" customFormat="1" ht="15" customHeight="1">
      <c r="A200" s="32" t="s">
        <v>19</v>
      </c>
      <c r="B200" s="3">
        <v>222427.25</v>
      </c>
      <c r="C200" s="3">
        <v>9055.61</v>
      </c>
      <c r="D200" s="3">
        <v>1089.18</v>
      </c>
      <c r="E200" s="3">
        <v>976085.65</v>
      </c>
      <c r="F200" s="3">
        <v>151155.29</v>
      </c>
      <c r="G200" s="3">
        <v>53160.66</v>
      </c>
      <c r="H200" s="3">
        <v>1743.77</v>
      </c>
      <c r="I200" s="3">
        <v>254511.3</v>
      </c>
      <c r="J200" s="719">
        <v>1.698</v>
      </c>
      <c r="K200" s="719">
        <v>2.0994000000000002</v>
      </c>
      <c r="L200" s="719">
        <v>2.3795000000000002</v>
      </c>
      <c r="M200" s="719">
        <v>2.9499999999999998E-2</v>
      </c>
    </row>
    <row r="201" spans="1:13" s="112" customFormat="1" ht="15" customHeight="1">
      <c r="A201" s="32" t="s">
        <v>20</v>
      </c>
      <c r="B201" s="3">
        <v>176131.9</v>
      </c>
      <c r="C201" s="3">
        <v>21939.17</v>
      </c>
      <c r="D201" s="3">
        <v>595.36</v>
      </c>
      <c r="E201" s="3">
        <v>1198349.4099999999</v>
      </c>
      <c r="F201" s="3">
        <v>204205.7</v>
      </c>
      <c r="G201" s="3">
        <v>48249.98</v>
      </c>
      <c r="H201" s="3">
        <v>2613.2800000000002</v>
      </c>
      <c r="I201" s="3">
        <v>247568.32</v>
      </c>
      <c r="J201" s="719">
        <v>1.6980999999999999</v>
      </c>
      <c r="K201" s="719">
        <v>2.0973000000000002</v>
      </c>
      <c r="L201" s="719">
        <v>2.3742999999999999</v>
      </c>
      <c r="M201" s="719">
        <v>2.93E-2</v>
      </c>
    </row>
    <row r="202" spans="1:13" s="112" customFormat="1" ht="15" customHeight="1">
      <c r="A202" s="32" t="s">
        <v>21</v>
      </c>
      <c r="B202" s="3">
        <v>133927.66</v>
      </c>
      <c r="C202" s="3">
        <v>19997.78</v>
      </c>
      <c r="D202" s="3">
        <v>1253.55</v>
      </c>
      <c r="E202" s="3">
        <v>1132335.8500000001</v>
      </c>
      <c r="F202" s="3">
        <v>545659.4</v>
      </c>
      <c r="G202" s="3">
        <v>62967.16</v>
      </c>
      <c r="H202" s="3">
        <v>2512.7199999999998</v>
      </c>
      <c r="I202" s="3">
        <v>341940.35</v>
      </c>
      <c r="J202" s="719">
        <v>1.7015</v>
      </c>
      <c r="K202" s="719">
        <v>2.0924</v>
      </c>
      <c r="L202" s="719">
        <v>2.4</v>
      </c>
      <c r="M202" s="719">
        <v>2.7699999999999999E-2</v>
      </c>
    </row>
    <row r="203" spans="1:13" s="112" customFormat="1" ht="15" customHeight="1">
      <c r="A203" s="32" t="s">
        <v>22</v>
      </c>
      <c r="B203" s="3">
        <v>160394.47</v>
      </c>
      <c r="C203" s="3">
        <v>22053.75</v>
      </c>
      <c r="D203" s="3">
        <v>764.29</v>
      </c>
      <c r="E203" s="3">
        <v>1375849.55</v>
      </c>
      <c r="F203" s="3">
        <v>187494.72</v>
      </c>
      <c r="G203" s="3">
        <v>67460.59</v>
      </c>
      <c r="H203" s="3">
        <v>8808.51</v>
      </c>
      <c r="I203" s="3">
        <v>306396.61</v>
      </c>
      <c r="J203" s="719">
        <v>1.6993</v>
      </c>
      <c r="K203" s="719">
        <v>2.0179</v>
      </c>
      <c r="L203" s="719">
        <v>2.2850000000000001</v>
      </c>
      <c r="M203" s="719">
        <v>2.69E-2</v>
      </c>
    </row>
    <row r="204" spans="1:13" s="112" customFormat="1" ht="15" customHeight="1">
      <c r="A204" s="32" t="s">
        <v>23</v>
      </c>
      <c r="B204" s="3">
        <v>148522.57</v>
      </c>
      <c r="C204" s="3">
        <v>30190.31</v>
      </c>
      <c r="D204" s="3">
        <v>676.62</v>
      </c>
      <c r="E204" s="3">
        <v>1504810.33</v>
      </c>
      <c r="F204" s="3">
        <v>167596.51999999999</v>
      </c>
      <c r="G204" s="3">
        <v>47547.61</v>
      </c>
      <c r="H204" s="3">
        <v>11095.53</v>
      </c>
      <c r="I204" s="3">
        <v>292937.33</v>
      </c>
      <c r="J204" s="719">
        <v>1.6984999999999999</v>
      </c>
      <c r="K204" s="719">
        <v>1.9883999999999999</v>
      </c>
      <c r="L204" s="719">
        <v>2.2772999999999999</v>
      </c>
      <c r="M204" s="719">
        <v>2.6700000000000002E-2</v>
      </c>
    </row>
    <row r="205" spans="1:13" s="112" customFormat="1" ht="15" customHeight="1">
      <c r="A205" s="32" t="s">
        <v>24</v>
      </c>
      <c r="B205" s="3">
        <v>175341.6</v>
      </c>
      <c r="C205" s="3">
        <v>21361.439999999999</v>
      </c>
      <c r="D205" s="3">
        <v>835.85</v>
      </c>
      <c r="E205" s="3">
        <v>1786008.18</v>
      </c>
      <c r="F205" s="3">
        <v>189306.63</v>
      </c>
      <c r="G205" s="3">
        <v>47152.61</v>
      </c>
      <c r="H205" s="3">
        <v>5419.93</v>
      </c>
      <c r="I205" s="3">
        <v>326867.93</v>
      </c>
      <c r="J205" s="719">
        <v>1.6983999999999999</v>
      </c>
      <c r="K205" s="719">
        <v>1.9858</v>
      </c>
      <c r="L205" s="719">
        <v>2.2503000000000002</v>
      </c>
      <c r="M205" s="719">
        <v>2.6599999999999999E-2</v>
      </c>
    </row>
    <row r="206" spans="1:13" s="112" customFormat="1" ht="15" customHeight="1">
      <c r="A206" s="32" t="s">
        <v>25</v>
      </c>
      <c r="B206" s="3">
        <v>157376.26</v>
      </c>
      <c r="C206" s="3">
        <v>28945.43</v>
      </c>
      <c r="D206" s="3">
        <v>790.56</v>
      </c>
      <c r="E206" s="3">
        <v>1628741.04</v>
      </c>
      <c r="F206" s="3">
        <v>542748.68999999994</v>
      </c>
      <c r="G206" s="3">
        <v>67401.259999999995</v>
      </c>
      <c r="H206" s="3">
        <v>3763.59</v>
      </c>
      <c r="I206" s="3">
        <v>358701.88</v>
      </c>
      <c r="J206" s="719">
        <v>1.7010000000000001</v>
      </c>
      <c r="K206" s="719">
        <v>1.9632000000000001</v>
      </c>
      <c r="L206" s="719">
        <v>2.1976</v>
      </c>
      <c r="M206" s="719">
        <v>2.52E-2</v>
      </c>
    </row>
    <row r="207" spans="1:13" s="112" customFormat="1" ht="15" customHeight="1">
      <c r="A207" s="32" t="s">
        <v>26</v>
      </c>
      <c r="B207" s="3">
        <v>154252.64000000001</v>
      </c>
      <c r="C207" s="3">
        <v>14973.34</v>
      </c>
      <c r="D207" s="3">
        <v>558.79999999999995</v>
      </c>
      <c r="E207" s="3">
        <v>1292759.26</v>
      </c>
      <c r="F207" s="3">
        <v>237262.07</v>
      </c>
      <c r="G207" s="3">
        <v>39015.050000000003</v>
      </c>
      <c r="H207" s="3">
        <v>3361.19</v>
      </c>
      <c r="I207" s="3">
        <v>276697.44</v>
      </c>
      <c r="J207" s="719">
        <v>1.7002999999999999</v>
      </c>
      <c r="K207" s="719">
        <v>1.9815</v>
      </c>
      <c r="L207" s="719">
        <v>2.2269999999999999</v>
      </c>
      <c r="M207" s="719">
        <v>2.47E-2</v>
      </c>
    </row>
    <row r="208" spans="1:13" s="112" customFormat="1" ht="15" customHeight="1">
      <c r="A208" s="32" t="s">
        <v>27</v>
      </c>
      <c r="B208" s="3">
        <v>176984.63</v>
      </c>
      <c r="C208" s="3">
        <v>16423.3</v>
      </c>
      <c r="D208" s="3">
        <v>606.91</v>
      </c>
      <c r="E208" s="3">
        <v>1541629.5</v>
      </c>
      <c r="F208" s="3">
        <v>217610.09</v>
      </c>
      <c r="G208" s="3">
        <v>76658.63</v>
      </c>
      <c r="H208" s="3">
        <v>3014.29</v>
      </c>
      <c r="I208" s="3">
        <v>279952.24</v>
      </c>
      <c r="J208" s="719">
        <v>1.7000999999999999</v>
      </c>
      <c r="K208" s="719">
        <v>1.9555</v>
      </c>
      <c r="L208" s="719">
        <v>2.2210000000000001</v>
      </c>
      <c r="M208" s="719">
        <v>2.5399999999999999E-2</v>
      </c>
    </row>
    <row r="209" spans="1:17" s="112" customFormat="1" ht="15" customHeight="1">
      <c r="A209" s="32" t="s">
        <v>28</v>
      </c>
      <c r="B209" s="3">
        <v>162842.26999999999</v>
      </c>
      <c r="C209" s="3">
        <v>15685.47</v>
      </c>
      <c r="D209" s="3">
        <v>593.69000000000005</v>
      </c>
      <c r="E209" s="3">
        <v>1434311.31</v>
      </c>
      <c r="F209" s="3">
        <v>216363.66</v>
      </c>
      <c r="G209" s="3">
        <v>70005.66</v>
      </c>
      <c r="H209" s="3">
        <v>1896.6</v>
      </c>
      <c r="I209" s="3">
        <v>282196.53999999998</v>
      </c>
      <c r="J209" s="719">
        <v>1.7</v>
      </c>
      <c r="K209" s="719">
        <v>1.9312</v>
      </c>
      <c r="L209" s="719">
        <v>2.2002000000000002</v>
      </c>
      <c r="M209" s="719">
        <v>2.52E-2</v>
      </c>
    </row>
    <row r="210" spans="1:17" s="112" customFormat="1" ht="15" customHeight="1">
      <c r="A210" s="32" t="s">
        <v>29</v>
      </c>
      <c r="B210" s="3">
        <v>173328.45</v>
      </c>
      <c r="C210" s="3">
        <v>89775.46</v>
      </c>
      <c r="D210" s="3">
        <v>550.16999999999996</v>
      </c>
      <c r="E210" s="3">
        <v>1321990.52</v>
      </c>
      <c r="F210" s="3">
        <v>584218.6</v>
      </c>
      <c r="G210" s="3">
        <v>36483.550000000003</v>
      </c>
      <c r="H210" s="3">
        <v>3444.43</v>
      </c>
      <c r="I210" s="3">
        <v>318343.42</v>
      </c>
      <c r="J210" s="719">
        <v>1.7012</v>
      </c>
      <c r="K210" s="719">
        <v>1.9248000000000001</v>
      </c>
      <c r="L210" s="719">
        <v>2.1631999999999998</v>
      </c>
      <c r="M210" s="719">
        <v>2.4899999999999999E-2</v>
      </c>
    </row>
    <row r="211" spans="1:17" s="112" customFormat="1" ht="15" customHeight="1">
      <c r="A211" s="32" t="s">
        <v>2131</v>
      </c>
      <c r="B211" s="269">
        <v>1828960.4804770001</v>
      </c>
      <c r="C211" s="269">
        <v>217814.84504000001</v>
      </c>
      <c r="D211" s="269">
        <v>10095.49706</v>
      </c>
      <c r="E211" s="269">
        <v>15021377.109969998</v>
      </c>
      <c r="F211" s="269">
        <v>2680553.323593</v>
      </c>
      <c r="G211" s="269">
        <v>578721.41978000011</v>
      </c>
      <c r="H211" s="269">
        <v>30265.910189999999</v>
      </c>
      <c r="I211" s="269">
        <v>3663539.2229619999</v>
      </c>
      <c r="J211" s="718">
        <v>1.7</v>
      </c>
      <c r="K211" s="718">
        <v>1.9004000000000001</v>
      </c>
      <c r="L211" s="718">
        <v>2.1688999999999998</v>
      </c>
      <c r="M211" s="718">
        <v>2.5899999999999999E-2</v>
      </c>
    </row>
    <row r="212" spans="1:17" s="112" customFormat="1" ht="15" customHeight="1">
      <c r="A212" s="32" t="s">
        <v>18</v>
      </c>
      <c r="B212" s="3">
        <v>163671.29999999999</v>
      </c>
      <c r="C212" s="3">
        <v>29674.720000000001</v>
      </c>
      <c r="D212" s="3">
        <v>719.04</v>
      </c>
      <c r="E212" s="3">
        <v>1253181.31</v>
      </c>
      <c r="F212" s="3">
        <v>299627.44</v>
      </c>
      <c r="G212" s="3">
        <v>59407.77</v>
      </c>
      <c r="H212" s="3">
        <v>2098.61</v>
      </c>
      <c r="I212" s="3">
        <v>252096.33</v>
      </c>
      <c r="J212" s="719">
        <v>1.7008000000000001</v>
      </c>
      <c r="K212" s="719">
        <v>1.9401999999999999</v>
      </c>
      <c r="L212" s="719">
        <v>2.1959</v>
      </c>
      <c r="M212" s="719">
        <v>2.5000000000000001E-2</v>
      </c>
    </row>
    <row r="213" spans="1:17" s="112" customFormat="1" ht="15" customHeight="1">
      <c r="A213" s="32" t="s">
        <v>19</v>
      </c>
      <c r="B213" s="3">
        <v>153717.03</v>
      </c>
      <c r="C213" s="3">
        <v>14180.08</v>
      </c>
      <c r="D213" s="3">
        <v>855.9</v>
      </c>
      <c r="E213" s="3">
        <v>978256.06</v>
      </c>
      <c r="F213" s="3">
        <v>170810.26</v>
      </c>
      <c r="G213" s="3">
        <v>53225.52</v>
      </c>
      <c r="H213" s="3">
        <v>1502.91</v>
      </c>
      <c r="I213" s="3">
        <v>267426.05</v>
      </c>
      <c r="J213" s="719">
        <v>1.6997</v>
      </c>
      <c r="K213" s="719">
        <v>1.9303999999999999</v>
      </c>
      <c r="L213" s="719">
        <v>2.2223000000000002</v>
      </c>
      <c r="M213" s="719">
        <v>2.5499999999999998E-2</v>
      </c>
    </row>
    <row r="214" spans="1:17" s="112" customFormat="1" ht="15" customHeight="1">
      <c r="A214" s="32" t="s">
        <v>20</v>
      </c>
      <c r="B214" s="3">
        <v>143899.39000000001</v>
      </c>
      <c r="C214" s="3">
        <v>8583.4699999999993</v>
      </c>
      <c r="D214" s="3">
        <v>706.6</v>
      </c>
      <c r="E214" s="3">
        <v>1053355.1499999999</v>
      </c>
      <c r="F214" s="3">
        <v>137994.79</v>
      </c>
      <c r="G214" s="3">
        <v>45580.77</v>
      </c>
      <c r="H214" s="3">
        <v>1391.54</v>
      </c>
      <c r="I214" s="3">
        <v>235847</v>
      </c>
      <c r="J214" s="719">
        <v>1.6990000000000001</v>
      </c>
      <c r="K214" s="719">
        <v>1.9195</v>
      </c>
      <c r="L214" s="719">
        <v>2.2496</v>
      </c>
      <c r="M214" s="719">
        <v>2.5700000000000001E-2</v>
      </c>
    </row>
    <row r="215" spans="1:17" s="112" customFormat="1" ht="15" customHeight="1">
      <c r="A215" s="32" t="s">
        <v>21</v>
      </c>
      <c r="B215" s="3">
        <v>163948.28</v>
      </c>
      <c r="C215" s="3">
        <v>15770.41</v>
      </c>
      <c r="D215" s="3">
        <v>591.64</v>
      </c>
      <c r="E215" s="3">
        <v>1243431.07</v>
      </c>
      <c r="F215" s="3">
        <v>164159.31</v>
      </c>
      <c r="G215" s="3">
        <v>55456.17</v>
      </c>
      <c r="H215" s="3">
        <v>1950.85</v>
      </c>
      <c r="I215" s="3">
        <v>302853.06</v>
      </c>
      <c r="J215" s="719">
        <v>1.6991000000000001</v>
      </c>
      <c r="K215" s="719">
        <v>1.9087000000000001</v>
      </c>
      <c r="L215" s="719">
        <v>2.2185000000000001</v>
      </c>
      <c r="M215" s="719">
        <v>2.5999999999999999E-2</v>
      </c>
    </row>
    <row r="216" spans="1:17" s="112" customFormat="1" ht="15" customHeight="1">
      <c r="A216" s="32" t="s">
        <v>22</v>
      </c>
      <c r="B216" s="3">
        <v>170757.32</v>
      </c>
      <c r="C216" s="3">
        <v>24247.919999999998</v>
      </c>
      <c r="D216" s="3">
        <v>660.48</v>
      </c>
      <c r="E216" s="3">
        <v>1348330.39</v>
      </c>
      <c r="F216" s="3">
        <v>173384.03</v>
      </c>
      <c r="G216" s="3">
        <v>56702.51</v>
      </c>
      <c r="H216" s="3">
        <v>2440.86</v>
      </c>
      <c r="I216" s="3">
        <v>298320.86</v>
      </c>
      <c r="J216" s="719">
        <v>1.6996</v>
      </c>
      <c r="K216" s="719">
        <v>1.8996</v>
      </c>
      <c r="L216" s="719">
        <v>2.1897000000000002</v>
      </c>
      <c r="M216" s="719">
        <v>2.5899999999999999E-2</v>
      </c>
    </row>
    <row r="217" spans="1:17" s="112" customFormat="1" ht="15" customHeight="1">
      <c r="A217" s="32" t="s">
        <v>23</v>
      </c>
      <c r="B217" s="3">
        <v>141842.62047699999</v>
      </c>
      <c r="C217" s="3">
        <v>17042.233990000001</v>
      </c>
      <c r="D217" s="3">
        <v>419.98964999999998</v>
      </c>
      <c r="E217" s="3">
        <v>1366787.6459900001</v>
      </c>
      <c r="F217" s="3">
        <v>179432.99728000001</v>
      </c>
      <c r="G217" s="3">
        <v>28292.613860000001</v>
      </c>
      <c r="H217" s="3">
        <v>2114.1963500000002</v>
      </c>
      <c r="I217" s="3">
        <v>250478.33849200001</v>
      </c>
      <c r="J217" s="719">
        <v>1.69914393814586</v>
      </c>
      <c r="K217" s="719">
        <v>1.9147219396094799</v>
      </c>
      <c r="L217" s="719">
        <v>2.1663093210845599</v>
      </c>
      <c r="M217" s="719">
        <v>2.6091196139589001E-2</v>
      </c>
    </row>
    <row r="218" spans="1:17" s="112" customFormat="1" ht="15" customHeight="1">
      <c r="A218" s="32" t="s">
        <v>24</v>
      </c>
      <c r="B218" s="3">
        <v>165505.99</v>
      </c>
      <c r="C218" s="3">
        <v>13732.61</v>
      </c>
      <c r="D218" s="3">
        <v>886.98</v>
      </c>
      <c r="E218" s="3">
        <v>1595208.94</v>
      </c>
      <c r="F218" s="3">
        <v>238970.48</v>
      </c>
      <c r="G218" s="3">
        <v>50172.72</v>
      </c>
      <c r="H218" s="3">
        <v>2907.9</v>
      </c>
      <c r="I218" s="3">
        <v>343017.39</v>
      </c>
      <c r="J218" s="719">
        <v>1.6996</v>
      </c>
      <c r="K218" s="719">
        <v>1.9052</v>
      </c>
      <c r="L218" s="719">
        <v>2.1328</v>
      </c>
      <c r="M218" s="719">
        <v>2.6499999999999999E-2</v>
      </c>
    </row>
    <row r="219" spans="1:17" s="112" customFormat="1" ht="15" customHeight="1">
      <c r="A219" s="709" t="s">
        <v>25</v>
      </c>
      <c r="B219" s="3">
        <v>141382.65</v>
      </c>
      <c r="C219" s="3">
        <v>12413.47</v>
      </c>
      <c r="D219" s="3">
        <v>887.27</v>
      </c>
      <c r="E219" s="3">
        <v>1354019</v>
      </c>
      <c r="F219" s="3">
        <v>226497.79</v>
      </c>
      <c r="G219" s="3">
        <v>40066.78</v>
      </c>
      <c r="H219" s="3">
        <v>3599.73</v>
      </c>
      <c r="I219" s="3">
        <v>396096.25</v>
      </c>
      <c r="J219" s="719">
        <v>1.7</v>
      </c>
      <c r="K219" s="719">
        <v>1.8851</v>
      </c>
      <c r="L219" s="719">
        <v>2.0779000000000001</v>
      </c>
      <c r="M219" s="719">
        <v>2.5499999999999998E-2</v>
      </c>
    </row>
    <row r="220" spans="1:17" s="112" customFormat="1" ht="15" customHeight="1">
      <c r="A220" s="709" t="s">
        <v>26</v>
      </c>
      <c r="B220" s="3">
        <v>135983.56</v>
      </c>
      <c r="C220" s="3">
        <v>16589.509999999998</v>
      </c>
      <c r="D220" s="3">
        <v>981.03</v>
      </c>
      <c r="E220" s="3">
        <v>1276902.01</v>
      </c>
      <c r="F220" s="3">
        <v>247068.7</v>
      </c>
      <c r="G220" s="3">
        <v>39163.83</v>
      </c>
      <c r="H220" s="3">
        <v>4028.82</v>
      </c>
      <c r="I220" s="3">
        <v>320206.2</v>
      </c>
      <c r="J220" s="719">
        <v>1.7003999999999999</v>
      </c>
      <c r="K220" s="719">
        <v>1.8651</v>
      </c>
      <c r="L220" s="719">
        <v>2.1082999999999998</v>
      </c>
      <c r="M220" s="719">
        <v>2.58E-2</v>
      </c>
    </row>
    <row r="221" spans="1:17" s="112" customFormat="1" ht="15" customHeight="1">
      <c r="A221" s="709" t="s">
        <v>27</v>
      </c>
      <c r="B221" s="3">
        <v>150120.32000000001</v>
      </c>
      <c r="C221" s="3">
        <v>23984.101050000001</v>
      </c>
      <c r="D221" s="3">
        <v>1055.2574099999999</v>
      </c>
      <c r="E221" s="3">
        <v>1287556.93398</v>
      </c>
      <c r="F221" s="3">
        <v>252325.93631300001</v>
      </c>
      <c r="G221" s="3">
        <v>58955.785920000002</v>
      </c>
      <c r="H221" s="3">
        <v>2492.0838399999998</v>
      </c>
      <c r="I221" s="3">
        <v>332290.18446999998</v>
      </c>
      <c r="J221" s="719">
        <v>1.7004547484122501</v>
      </c>
      <c r="K221" s="719">
        <v>1.8681562358683701</v>
      </c>
      <c r="L221" s="719">
        <v>2.1486281325494101</v>
      </c>
      <c r="M221" s="719">
        <v>2.6083952729924999E-2</v>
      </c>
    </row>
    <row r="222" spans="1:17" s="112" customFormat="1" ht="15" customHeight="1">
      <c r="A222" s="709" t="s">
        <v>28</v>
      </c>
      <c r="B222" s="3">
        <v>128239.08</v>
      </c>
      <c r="C222" s="3">
        <v>24934.48</v>
      </c>
      <c r="D222" s="3">
        <v>795.47</v>
      </c>
      <c r="E222" s="3">
        <v>1104245.4099999999</v>
      </c>
      <c r="F222" s="3">
        <v>237888.59</v>
      </c>
      <c r="G222" s="3">
        <v>43671.69</v>
      </c>
      <c r="H222" s="3">
        <v>1775.39</v>
      </c>
      <c r="I222" s="3">
        <v>312350.67</v>
      </c>
      <c r="J222" s="719">
        <v>1.7005999999999999</v>
      </c>
      <c r="K222" s="719">
        <v>1.8749</v>
      </c>
      <c r="L222" s="719">
        <v>2.1951999999999998</v>
      </c>
      <c r="M222" s="719">
        <v>2.63E-2</v>
      </c>
    </row>
    <row r="223" spans="1:17" s="112" customFormat="1" ht="15" customHeight="1">
      <c r="A223" s="709" t="s">
        <v>29</v>
      </c>
      <c r="B223" s="3">
        <v>169892.94</v>
      </c>
      <c r="C223" s="3">
        <v>16661.84</v>
      </c>
      <c r="D223" s="3">
        <v>1535.84</v>
      </c>
      <c r="E223" s="3">
        <v>1160103.19</v>
      </c>
      <c r="F223" s="3">
        <v>352393</v>
      </c>
      <c r="G223" s="3">
        <v>48025.26</v>
      </c>
      <c r="H223" s="3">
        <v>3963.02</v>
      </c>
      <c r="I223" s="3">
        <v>352556.89</v>
      </c>
      <c r="J223" s="719">
        <v>1.7009000000000001</v>
      </c>
      <c r="K223" s="719">
        <v>1.887</v>
      </c>
      <c r="L223" s="719">
        <v>2.2229000000000001</v>
      </c>
      <c r="M223" s="719">
        <v>2.6700000000000002E-2</v>
      </c>
    </row>
    <row r="224" spans="1:17" s="112" customFormat="1" ht="15" customHeight="1">
      <c r="A224" s="709" t="s">
        <v>2362</v>
      </c>
      <c r="B224" s="269">
        <v>1139348.2049699996</v>
      </c>
      <c r="C224" s="269">
        <v>76886.735909999989</v>
      </c>
      <c r="D224" s="269">
        <v>10786.069230000001</v>
      </c>
      <c r="E224" s="269">
        <v>14034223.376790002</v>
      </c>
      <c r="F224" s="269">
        <v>3374083.5499700001</v>
      </c>
      <c r="G224" s="269">
        <v>234422.74963999999</v>
      </c>
      <c r="H224" s="269">
        <v>19037.578869999998</v>
      </c>
      <c r="I224" s="269">
        <v>2675165.6641500001</v>
      </c>
      <c r="J224" s="718">
        <v>1.70127280633745</v>
      </c>
      <c r="K224" s="718">
        <v>1.9406890299955299</v>
      </c>
      <c r="L224" s="718">
        <v>2.1996674197356101</v>
      </c>
      <c r="M224" s="718">
        <v>2.35124039440513E-2</v>
      </c>
      <c r="N224" s="390"/>
      <c r="O224" s="390"/>
      <c r="P224" s="390"/>
      <c r="Q224" s="390"/>
    </row>
    <row r="225" spans="1:15" s="112" customFormat="1" ht="15" customHeight="1">
      <c r="A225" s="709" t="s">
        <v>18</v>
      </c>
      <c r="B225" s="3">
        <v>129177.8</v>
      </c>
      <c r="C225" s="3">
        <v>11673.33</v>
      </c>
      <c r="D225" s="3">
        <v>2579.29</v>
      </c>
      <c r="E225" s="3">
        <v>1335231.01</v>
      </c>
      <c r="F225" s="3">
        <v>220195.56</v>
      </c>
      <c r="G225" s="3">
        <v>30801.74</v>
      </c>
      <c r="H225" s="3">
        <v>3611.22</v>
      </c>
      <c r="I225" s="3">
        <v>326309.58</v>
      </c>
      <c r="J225" s="719">
        <v>1.7004999999999999</v>
      </c>
      <c r="K225" s="719">
        <v>1.8842000000000001</v>
      </c>
      <c r="L225" s="719">
        <v>2.2168999999999999</v>
      </c>
      <c r="M225" s="719">
        <v>2.7099999999999999E-2</v>
      </c>
    </row>
    <row r="226" spans="1:15" s="112" customFormat="1" ht="15" customHeight="1">
      <c r="A226" s="709" t="s">
        <v>19</v>
      </c>
      <c r="B226" s="3">
        <v>127873.7</v>
      </c>
      <c r="C226" s="3">
        <v>10275.43</v>
      </c>
      <c r="D226" s="3">
        <v>2906.6</v>
      </c>
      <c r="E226" s="3">
        <v>1143897.71</v>
      </c>
      <c r="F226" s="3">
        <v>263471.68</v>
      </c>
      <c r="G226" s="3">
        <v>42940.639999999999</v>
      </c>
      <c r="H226" s="3">
        <v>4692.2299999999996</v>
      </c>
      <c r="I226" s="3">
        <v>378284.27</v>
      </c>
      <c r="J226" s="719">
        <v>1.7007000000000001</v>
      </c>
      <c r="K226" s="719">
        <v>1.8519000000000001</v>
      </c>
      <c r="L226" s="719">
        <v>2.2050999999999998</v>
      </c>
      <c r="M226" s="719">
        <v>2.63E-2</v>
      </c>
    </row>
    <row r="227" spans="1:15" s="112" customFormat="1" ht="15" customHeight="1">
      <c r="A227" s="709" t="s">
        <v>20</v>
      </c>
      <c r="B227" s="3">
        <v>86101.55</v>
      </c>
      <c r="C227" s="3">
        <v>7556.77</v>
      </c>
      <c r="D227" s="3">
        <v>1267.6600000000001</v>
      </c>
      <c r="E227" s="3">
        <v>953358.86</v>
      </c>
      <c r="F227" s="3">
        <v>1163372.99</v>
      </c>
      <c r="G227" s="3">
        <v>19766.89</v>
      </c>
      <c r="H227" s="3">
        <v>3242.84</v>
      </c>
      <c r="I227" s="3">
        <v>430584.58</v>
      </c>
      <c r="J227" s="719">
        <v>1.702</v>
      </c>
      <c r="K227" s="719">
        <v>1.9077999999999999</v>
      </c>
      <c r="L227" s="719">
        <v>2.1509999999999998</v>
      </c>
      <c r="M227" s="719">
        <v>2.3199999999999998E-2</v>
      </c>
    </row>
    <row r="228" spans="1:15" s="112" customFormat="1" ht="15" customHeight="1">
      <c r="A228" s="709" t="s">
        <v>21</v>
      </c>
      <c r="B228" s="3">
        <v>41973.75</v>
      </c>
      <c r="C228" s="3">
        <v>3993.54</v>
      </c>
      <c r="D228" s="3">
        <v>156.29</v>
      </c>
      <c r="E228" s="3">
        <v>545192</v>
      </c>
      <c r="F228" s="3">
        <v>304070.59000000003</v>
      </c>
      <c r="G228" s="3">
        <v>5250.26</v>
      </c>
      <c r="H228" s="3">
        <v>674.85</v>
      </c>
      <c r="I228" s="3">
        <v>169439.44</v>
      </c>
      <c r="J228" s="719">
        <v>1.7019</v>
      </c>
      <c r="K228" s="719">
        <v>1.8504</v>
      </c>
      <c r="L228" s="719">
        <v>2.1248999999999998</v>
      </c>
      <c r="M228" s="719">
        <v>2.24E-2</v>
      </c>
    </row>
    <row r="229" spans="1:15" s="112" customFormat="1" ht="15" customHeight="1">
      <c r="A229" s="709" t="s">
        <v>22</v>
      </c>
      <c r="B229" s="3">
        <v>71194.2</v>
      </c>
      <c r="C229" s="3">
        <v>4732.96</v>
      </c>
      <c r="D229" s="3">
        <v>189.26</v>
      </c>
      <c r="E229" s="3">
        <v>874265.88</v>
      </c>
      <c r="F229" s="3">
        <v>227815.41</v>
      </c>
      <c r="G229" s="3">
        <v>16002.63</v>
      </c>
      <c r="H229" s="3">
        <v>540.11</v>
      </c>
      <c r="I229" s="3">
        <v>167926.13</v>
      </c>
      <c r="J229" s="719">
        <v>1.7014</v>
      </c>
      <c r="K229" s="719">
        <v>1.8619000000000001</v>
      </c>
      <c r="L229" s="719">
        <v>2.1025999999999998</v>
      </c>
      <c r="M229" s="719">
        <v>2.3E-2</v>
      </c>
    </row>
    <row r="230" spans="1:15" s="112" customFormat="1" ht="15" customHeight="1">
      <c r="A230" s="709" t="s">
        <v>23</v>
      </c>
      <c r="B230" s="3">
        <v>103487.93</v>
      </c>
      <c r="C230" s="3">
        <v>6425.45</v>
      </c>
      <c r="D230" s="3">
        <v>359.96</v>
      </c>
      <c r="E230" s="3">
        <v>1347580.82</v>
      </c>
      <c r="F230" s="3">
        <v>144686.88</v>
      </c>
      <c r="G230" s="3">
        <v>14051.01</v>
      </c>
      <c r="H230" s="3">
        <v>521.04999999999995</v>
      </c>
      <c r="I230" s="3">
        <v>168672.46</v>
      </c>
      <c r="J230" s="719">
        <v>1.7007000000000001</v>
      </c>
      <c r="K230" s="719">
        <v>1.9225000000000001</v>
      </c>
      <c r="L230" s="719">
        <v>2.1309999999999998</v>
      </c>
      <c r="M230" s="719">
        <v>2.4199999999999999E-2</v>
      </c>
    </row>
    <row r="231" spans="1:15" s="112" customFormat="1" ht="15" customHeight="1">
      <c r="A231" s="709" t="s">
        <v>24</v>
      </c>
      <c r="B231" s="3">
        <v>95934.71</v>
      </c>
      <c r="C231" s="3">
        <v>4874.34</v>
      </c>
      <c r="D231" s="3">
        <v>397.44</v>
      </c>
      <c r="E231" s="3">
        <v>1360945.32</v>
      </c>
      <c r="F231" s="3">
        <v>149677.46</v>
      </c>
      <c r="G231" s="3">
        <v>20996.16</v>
      </c>
      <c r="H231" s="3">
        <v>889.8</v>
      </c>
      <c r="I231" s="3">
        <v>170105.36</v>
      </c>
      <c r="J231" s="719">
        <v>1.7008000000000001</v>
      </c>
      <c r="K231" s="719">
        <v>1.9711000000000001</v>
      </c>
      <c r="L231" s="719">
        <v>2.1596000000000002</v>
      </c>
      <c r="M231" s="719">
        <v>2.35E-2</v>
      </c>
    </row>
    <row r="232" spans="1:15" s="112" customFormat="1" ht="15" customHeight="1">
      <c r="A232" s="709" t="s">
        <v>25</v>
      </c>
      <c r="B232" s="3">
        <v>91321.804940000002</v>
      </c>
      <c r="C232" s="3">
        <v>6080.9369999999999</v>
      </c>
      <c r="D232" s="3">
        <v>1411.0861299999999</v>
      </c>
      <c r="E232" s="3">
        <v>1259726.9445400001</v>
      </c>
      <c r="F232" s="3">
        <v>151834.47021999999</v>
      </c>
      <c r="G232" s="3">
        <v>10569.656499999999</v>
      </c>
      <c r="H232" s="3">
        <v>1187.7083</v>
      </c>
      <c r="I232" s="3">
        <v>190683.82297000001</v>
      </c>
      <c r="J232" s="719">
        <v>1.7009596729938501</v>
      </c>
      <c r="K232" s="719">
        <v>2.0151601531455299</v>
      </c>
      <c r="L232" s="719">
        <v>2.2399348930434599</v>
      </c>
      <c r="M232" s="719">
        <v>2.2792466209623E-2</v>
      </c>
    </row>
    <row r="233" spans="1:15" s="112" customFormat="1" ht="15" customHeight="1">
      <c r="A233" s="709" t="s">
        <v>26</v>
      </c>
      <c r="B233" s="3">
        <v>118460.06071999999</v>
      </c>
      <c r="C233" s="3">
        <v>4950.3394099999996</v>
      </c>
      <c r="D233" s="3">
        <v>380.99586000000102</v>
      </c>
      <c r="E233" s="3">
        <v>1334354.3741299999</v>
      </c>
      <c r="F233" s="3">
        <v>170637.43161999999</v>
      </c>
      <c r="G233" s="3">
        <v>27461.13651</v>
      </c>
      <c r="H233" s="3">
        <v>1311.46108</v>
      </c>
      <c r="I233" s="3">
        <v>190143.28438</v>
      </c>
      <c r="J233" s="719">
        <v>1.7007467077412599</v>
      </c>
      <c r="K233" s="719">
        <v>2.0262512814904898</v>
      </c>
      <c r="L233" s="719">
        <v>2.2184442689058899</v>
      </c>
      <c r="M233" s="719">
        <v>2.2212882609727501E-2</v>
      </c>
    </row>
    <row r="234" spans="1:15" s="112" customFormat="1" ht="15" customHeight="1">
      <c r="A234" s="709">
        <v>10</v>
      </c>
      <c r="B234" s="3">
        <v>85358.221879999895</v>
      </c>
      <c r="C234" s="3">
        <v>4405.9574400000001</v>
      </c>
      <c r="D234" s="3">
        <v>394.78100999999998</v>
      </c>
      <c r="E234" s="3">
        <v>1251718.2069300001</v>
      </c>
      <c r="F234" s="3">
        <v>199928.80455</v>
      </c>
      <c r="G234" s="3">
        <v>15453.68547</v>
      </c>
      <c r="H234" s="3">
        <v>948.12987999999996</v>
      </c>
      <c r="I234" s="3">
        <v>162924.0814</v>
      </c>
      <c r="J234" s="719">
        <v>1.7011971586435699</v>
      </c>
      <c r="K234" s="719">
        <v>2.0121586894857701</v>
      </c>
      <c r="L234" s="719">
        <v>2.2154206564711099</v>
      </c>
      <c r="M234" s="719">
        <v>2.1659466473280199E-2</v>
      </c>
      <c r="O234" s="412"/>
    </row>
    <row r="235" spans="1:15" s="112" customFormat="1" ht="15" customHeight="1">
      <c r="A235" s="709">
        <v>11</v>
      </c>
      <c r="B235" s="3">
        <v>90890.522409999903</v>
      </c>
      <c r="C235" s="3">
        <v>5121.3349900000003</v>
      </c>
      <c r="D235" s="3">
        <v>299.57458000000003</v>
      </c>
      <c r="E235" s="3">
        <v>1257233.53095</v>
      </c>
      <c r="F235" s="3">
        <v>139180.67468</v>
      </c>
      <c r="G235" s="3">
        <v>15679.763430000001</v>
      </c>
      <c r="H235" s="3">
        <v>701.14634000000001</v>
      </c>
      <c r="I235" s="3">
        <v>150818.10268000001</v>
      </c>
      <c r="J235" s="719">
        <v>1.70086774119414</v>
      </c>
      <c r="K235" s="719">
        <v>2.0185519590410199</v>
      </c>
      <c r="L235" s="719">
        <v>2.2548534779097098</v>
      </c>
      <c r="M235" s="719">
        <v>2.1809931004134399E-2</v>
      </c>
    </row>
    <row r="236" spans="1:15" s="112" customFormat="1" ht="15" customHeight="1">
      <c r="A236" s="709" t="s">
        <v>29</v>
      </c>
      <c r="B236" s="3">
        <v>97573.955020000096</v>
      </c>
      <c r="C236" s="3">
        <v>6796.3470699999998</v>
      </c>
      <c r="D236" s="3">
        <v>443.13164999999998</v>
      </c>
      <c r="E236" s="3">
        <v>1370718.7202399999</v>
      </c>
      <c r="F236" s="3">
        <v>239211.59890000001</v>
      </c>
      <c r="G236" s="3">
        <v>15449.177729999999</v>
      </c>
      <c r="H236" s="3">
        <v>717.03327000000002</v>
      </c>
      <c r="I236" s="3">
        <v>169274.55272000001</v>
      </c>
      <c r="J236" s="719">
        <v>1.70114060086293</v>
      </c>
      <c r="K236" s="719">
        <v>2.07665091398415</v>
      </c>
      <c r="L236" s="719">
        <v>2.28917834094915</v>
      </c>
      <c r="M236" s="719">
        <v>2.2629359433129301E-2</v>
      </c>
    </row>
    <row r="237" spans="1:15" s="413" customFormat="1" ht="15" customHeight="1">
      <c r="A237" s="32">
        <v>2021</v>
      </c>
      <c r="B237" s="269">
        <v>1353122.6939949999</v>
      </c>
      <c r="C237" s="269">
        <v>68723.30432999997</v>
      </c>
      <c r="D237" s="269">
        <v>7064.6906999999992</v>
      </c>
      <c r="E237" s="269">
        <v>17728430.71342</v>
      </c>
      <c r="F237" s="269">
        <v>2095909.0901850001</v>
      </c>
      <c r="G237" s="269">
        <v>176417.93155000001</v>
      </c>
      <c r="H237" s="269">
        <v>10534.389369999999</v>
      </c>
      <c r="I237" s="269">
        <v>2244494.2087519998</v>
      </c>
      <c r="J237" s="718">
        <v>1.6998789203820801</v>
      </c>
      <c r="K237" s="718">
        <v>2.0172060047374898</v>
      </c>
      <c r="L237" s="718">
        <v>2.3345170676293798</v>
      </c>
      <c r="M237" s="718">
        <v>2.2781804962029702E-2</v>
      </c>
    </row>
    <row r="238" spans="1:15" s="112" customFormat="1" ht="15" customHeight="1">
      <c r="A238" s="709" t="s">
        <v>18</v>
      </c>
      <c r="B238" s="3">
        <v>67729.017049999995</v>
      </c>
      <c r="C238" s="3">
        <v>3962.5109699999998</v>
      </c>
      <c r="D238" s="3">
        <v>302.34048999999999</v>
      </c>
      <c r="E238" s="3">
        <v>1008943.29963</v>
      </c>
      <c r="F238" s="3">
        <v>325402.07</v>
      </c>
      <c r="G238" s="3">
        <v>10554.11938</v>
      </c>
      <c r="H238" s="3">
        <v>668.99947999999995</v>
      </c>
      <c r="I238" s="3">
        <v>139390.29785999999</v>
      </c>
      <c r="J238" s="719">
        <v>1.7015515922023201</v>
      </c>
      <c r="K238" s="719">
        <v>2.07675894562218</v>
      </c>
      <c r="L238" s="719">
        <v>2.3302072623769399</v>
      </c>
      <c r="M238" s="719">
        <v>2.25168693848724E-2</v>
      </c>
    </row>
    <row r="239" spans="1:15" s="112" customFormat="1" ht="15" customHeight="1">
      <c r="A239" s="709" t="s">
        <v>19</v>
      </c>
      <c r="B239" s="3">
        <v>142398.47443</v>
      </c>
      <c r="C239" s="3">
        <v>4953.9741899999999</v>
      </c>
      <c r="D239" s="3">
        <v>341.63711999999998</v>
      </c>
      <c r="E239" s="3">
        <v>1074123.13377</v>
      </c>
      <c r="F239" s="3">
        <v>167397.70026000001</v>
      </c>
      <c r="G239" s="3">
        <v>16124.94174</v>
      </c>
      <c r="H239" s="3">
        <v>683.98611000000005</v>
      </c>
      <c r="I239" s="3">
        <v>163330.4804</v>
      </c>
      <c r="J239" s="719">
        <v>1.7005499733452201</v>
      </c>
      <c r="K239" s="719">
        <v>2.0721963456861698</v>
      </c>
      <c r="L239" s="719">
        <v>2.3611649871737002</v>
      </c>
      <c r="M239" s="719">
        <v>2.2534712288879499E-2</v>
      </c>
    </row>
    <row r="240" spans="1:15" s="112" customFormat="1" ht="15" customHeight="1">
      <c r="A240" s="709" t="s">
        <v>20</v>
      </c>
      <c r="B240" s="3">
        <v>120584.33186999999</v>
      </c>
      <c r="C240" s="3">
        <v>4981.7416799999901</v>
      </c>
      <c r="D240" s="3">
        <v>792.71668999999895</v>
      </c>
      <c r="E240" s="3">
        <v>1234576.9984500001</v>
      </c>
      <c r="F240" s="3">
        <v>133451.87679000001</v>
      </c>
      <c r="G240" s="3">
        <v>11226.961310000001</v>
      </c>
      <c r="H240" s="3">
        <v>545.61159999999995</v>
      </c>
      <c r="I240" s="3">
        <v>182529.32957</v>
      </c>
      <c r="J240" s="719">
        <v>1.7005982680607901</v>
      </c>
      <c r="K240" s="719">
        <v>2.0328994257456601</v>
      </c>
      <c r="L240" s="719">
        <v>2.3595357803599901</v>
      </c>
      <c r="M240" s="719">
        <v>2.2599999999999999E-2</v>
      </c>
    </row>
    <row r="241" spans="1:13" s="112" customFormat="1" ht="15" customHeight="1">
      <c r="A241" s="709" t="s">
        <v>21</v>
      </c>
      <c r="B241" s="3">
        <v>130628.26105</v>
      </c>
      <c r="C241" s="3">
        <v>5667.4075899999998</v>
      </c>
      <c r="D241" s="3">
        <v>543.68498</v>
      </c>
      <c r="E241" s="3">
        <v>1264842.3358</v>
      </c>
      <c r="F241" s="3">
        <v>129963.82618</v>
      </c>
      <c r="G241" s="3">
        <v>18577.615590000001</v>
      </c>
      <c r="H241" s="3">
        <v>777.03611999999998</v>
      </c>
      <c r="I241" s="3">
        <v>187533.87695000001</v>
      </c>
      <c r="J241" s="719">
        <v>1.7001506529248001</v>
      </c>
      <c r="K241" s="719">
        <v>2.03890281178065</v>
      </c>
      <c r="L241" s="719">
        <v>2.3586997673006098</v>
      </c>
      <c r="M241" s="719">
        <v>2.2046631410570099E-2</v>
      </c>
    </row>
    <row r="242" spans="1:13" s="112" customFormat="1" ht="15" customHeight="1">
      <c r="A242" s="709" t="s">
        <v>22</v>
      </c>
      <c r="B242" s="3">
        <v>99009.420870000002</v>
      </c>
      <c r="C242" s="3">
        <v>5828.3640999999998</v>
      </c>
      <c r="D242" s="3">
        <v>343.02161000000001</v>
      </c>
      <c r="E242" s="3">
        <v>1365262.41928</v>
      </c>
      <c r="F242" s="3">
        <v>80063.657070000103</v>
      </c>
      <c r="G242" s="3">
        <v>7447.8089200000004</v>
      </c>
      <c r="H242" s="3">
        <v>492.90359000000001</v>
      </c>
      <c r="I242" s="3">
        <v>145804.62443</v>
      </c>
      <c r="J242" s="719">
        <v>1.6987438809212301</v>
      </c>
      <c r="K242" s="719">
        <v>2.06216494221322</v>
      </c>
      <c r="L242" s="719">
        <v>2.3888681795667801</v>
      </c>
      <c r="M242" s="719">
        <v>2.2669888875182301E-2</v>
      </c>
    </row>
    <row r="243" spans="1:13" s="112" customFormat="1" ht="15" customHeight="1">
      <c r="A243" s="709" t="s">
        <v>23</v>
      </c>
      <c r="B243" s="3">
        <v>128456.81660999999</v>
      </c>
      <c r="C243" s="3">
        <v>6224.9764599999999</v>
      </c>
      <c r="D243" s="3">
        <v>504.78735999999998</v>
      </c>
      <c r="E243" s="3">
        <v>1671321.07895</v>
      </c>
      <c r="F243" s="3">
        <v>76731.979974999995</v>
      </c>
      <c r="G243" s="3">
        <v>18642.350729999998</v>
      </c>
      <c r="H243" s="3">
        <v>640.92808000000002</v>
      </c>
      <c r="I243" s="3">
        <v>170743.14816000001</v>
      </c>
      <c r="J243" s="719">
        <v>1.6977147905575301</v>
      </c>
      <c r="K243" s="719">
        <v>2.0584825298948801</v>
      </c>
      <c r="L243" s="719">
        <v>2.3881673090676001</v>
      </c>
      <c r="M243" s="719">
        <v>2.3046396678137598E-2</v>
      </c>
    </row>
    <row r="244" spans="1:13" s="112" customFormat="1" ht="15" customHeight="1">
      <c r="A244" s="709" t="s">
        <v>24</v>
      </c>
      <c r="B244" s="3">
        <v>119105.17561000001</v>
      </c>
      <c r="C244" s="3">
        <v>6219.4241499999998</v>
      </c>
      <c r="D244" s="3">
        <v>548.88593000000003</v>
      </c>
      <c r="E244" s="3">
        <v>1751527.3602799999</v>
      </c>
      <c r="F244" s="3">
        <v>94189.031239999997</v>
      </c>
      <c r="G244" s="3">
        <v>17442.229240000001</v>
      </c>
      <c r="H244" s="3">
        <v>878.55136000000005</v>
      </c>
      <c r="I244" s="3">
        <v>182588.02163999999</v>
      </c>
      <c r="J244" s="719">
        <v>1.69740943825329</v>
      </c>
      <c r="K244" s="719">
        <v>2.0176691678589398</v>
      </c>
      <c r="L244" s="719">
        <v>2.3503277469695401</v>
      </c>
      <c r="M244" s="719">
        <v>2.26298352942567E-2</v>
      </c>
    </row>
    <row r="245" spans="1:13" s="112" customFormat="1" ht="15" customHeight="1">
      <c r="A245" s="709" t="s">
        <v>25</v>
      </c>
      <c r="B245" s="3">
        <v>124014.81999</v>
      </c>
      <c r="C245" s="3">
        <v>7392.7703299999903</v>
      </c>
      <c r="D245" s="3">
        <v>792.72496000000001</v>
      </c>
      <c r="E245" s="3">
        <v>1810859.44619</v>
      </c>
      <c r="F245" s="3">
        <v>95337.597274999905</v>
      </c>
      <c r="G245" s="3">
        <v>16897.801589999999</v>
      </c>
      <c r="H245" s="3">
        <v>1095.69084</v>
      </c>
      <c r="I245" s="3">
        <v>202109.438012</v>
      </c>
      <c r="J245" s="719">
        <v>1.69763117378291</v>
      </c>
      <c r="K245" s="719">
        <v>2.0117672904672399</v>
      </c>
      <c r="L245" s="719">
        <v>2.3442796461070698</v>
      </c>
      <c r="M245" s="719">
        <v>2.2736026562882702E-2</v>
      </c>
    </row>
    <row r="246" spans="1:13" s="112" customFormat="1" ht="15" customHeight="1">
      <c r="A246" s="709" t="s">
        <v>26</v>
      </c>
      <c r="B246" s="3">
        <v>120596.05506</v>
      </c>
      <c r="C246" s="3">
        <v>6788.9341700000004</v>
      </c>
      <c r="D246" s="3">
        <v>665.55245000000002</v>
      </c>
      <c r="E246" s="3">
        <v>1842645.3886200001</v>
      </c>
      <c r="F246" s="3">
        <v>95398.858565000002</v>
      </c>
      <c r="G246" s="3">
        <v>12099.25347</v>
      </c>
      <c r="H246" s="3">
        <v>1702.20946</v>
      </c>
      <c r="I246" s="3">
        <v>222636.88178</v>
      </c>
      <c r="J246" s="719">
        <v>1.6977464394589199</v>
      </c>
      <c r="K246" s="719">
        <v>2.0087012202564098</v>
      </c>
      <c r="L246" s="719">
        <v>2.3452832903583598</v>
      </c>
      <c r="M246" s="719">
        <v>2.2986620556220302E-2</v>
      </c>
    </row>
    <row r="247" spans="1:13" s="112" customFormat="1" ht="15" customHeight="1">
      <c r="A247" s="709" t="s">
        <v>27</v>
      </c>
      <c r="B247" s="3">
        <v>100211.977925</v>
      </c>
      <c r="C247" s="3">
        <v>5369.59105</v>
      </c>
      <c r="D247" s="3">
        <v>732.63178000000005</v>
      </c>
      <c r="E247" s="3">
        <v>1740455.36259</v>
      </c>
      <c r="F247" s="3">
        <v>159261.63738</v>
      </c>
      <c r="G247" s="3">
        <v>16386.29492</v>
      </c>
      <c r="H247" s="3">
        <v>952.33226000000002</v>
      </c>
      <c r="I247" s="3">
        <v>204872.45767</v>
      </c>
      <c r="J247" s="719">
        <v>1.69906832113912</v>
      </c>
      <c r="K247" s="719">
        <v>1.98095284915046</v>
      </c>
      <c r="L247" s="719">
        <v>2.3205355018348</v>
      </c>
      <c r="M247" s="719">
        <v>2.3469729099764702E-2</v>
      </c>
    </row>
    <row r="248" spans="1:13" s="112" customFormat="1" ht="15" customHeight="1">
      <c r="A248" s="709" t="s">
        <v>28</v>
      </c>
      <c r="B248" s="3">
        <v>96302.142829999997</v>
      </c>
      <c r="C248" s="3">
        <v>5009.7479000000003</v>
      </c>
      <c r="D248" s="3">
        <v>969.44595000000004</v>
      </c>
      <c r="E248" s="3">
        <v>1484149.9929800001</v>
      </c>
      <c r="F248" s="3">
        <v>316819.46917</v>
      </c>
      <c r="G248" s="3">
        <v>14297.829890000001</v>
      </c>
      <c r="H248" s="3">
        <v>1111.2802099999999</v>
      </c>
      <c r="I248" s="3">
        <v>211532.69815000001</v>
      </c>
      <c r="J248" s="719">
        <v>1.7010016732536799</v>
      </c>
      <c r="K248" s="719">
        <v>1.9469072292099801</v>
      </c>
      <c r="L248" s="719">
        <v>2.2740438163040202</v>
      </c>
      <c r="M248" s="719">
        <v>2.30369196506525E-2</v>
      </c>
    </row>
    <row r="249" spans="1:13" s="112" customFormat="1" ht="15" customHeight="1">
      <c r="A249" s="709" t="s">
        <v>29</v>
      </c>
      <c r="B249" s="3">
        <v>104086.2007</v>
      </c>
      <c r="C249" s="3">
        <v>6323.8617399999903</v>
      </c>
      <c r="D249" s="3">
        <v>527.26138000000003</v>
      </c>
      <c r="E249" s="3">
        <v>1479723.8968799999</v>
      </c>
      <c r="F249" s="3">
        <v>421891.38627999998</v>
      </c>
      <c r="G249" s="3">
        <v>16720.724770000001</v>
      </c>
      <c r="H249" s="3">
        <v>984.86026000000004</v>
      </c>
      <c r="I249" s="3">
        <v>231422.95413</v>
      </c>
      <c r="J249" s="719">
        <v>1.7013146566986601</v>
      </c>
      <c r="K249" s="719">
        <v>1.93043660035829</v>
      </c>
      <c r="L249" s="719">
        <v>2.26006712638674</v>
      </c>
      <c r="M249" s="719">
        <v>2.2691987383099299E-2</v>
      </c>
    </row>
    <row r="250" spans="1:13" s="112" customFormat="1" ht="15" customHeight="1">
      <c r="A250" s="709" t="s">
        <v>2812</v>
      </c>
      <c r="B250" s="1168">
        <f t="shared" ref="B250:I250" si="19">SUM(B251:B262)</f>
        <v>2039781.2306270003</v>
      </c>
      <c r="C250" s="1168">
        <f t="shared" si="19"/>
        <v>106464.40857999999</v>
      </c>
      <c r="D250" s="1168">
        <f t="shared" si="19"/>
        <v>27197.063939999996</v>
      </c>
      <c r="E250" s="1168">
        <f t="shared" si="19"/>
        <v>19625687.260160003</v>
      </c>
      <c r="F250" s="1168">
        <f t="shared" si="19"/>
        <v>2357481.0512707322</v>
      </c>
      <c r="G250" s="1168">
        <f t="shared" si="19"/>
        <v>209755.82923533241</v>
      </c>
      <c r="H250" s="1168">
        <f t="shared" si="19"/>
        <v>21922.647159999997</v>
      </c>
      <c r="I250" s="1168">
        <f t="shared" si="19"/>
        <v>2160071.7349300003</v>
      </c>
      <c r="J250" s="718">
        <v>1.6992927928927299</v>
      </c>
      <c r="K250" s="718">
        <v>1.7799052970734901</v>
      </c>
      <c r="L250" s="718">
        <v>2.1397872759107899</v>
      </c>
      <c r="M250" s="718">
        <v>2.5667444638245902E-2</v>
      </c>
    </row>
    <row r="251" spans="1:13" s="112" customFormat="1" ht="15" customHeight="1">
      <c r="A251" s="709" t="s">
        <v>18</v>
      </c>
      <c r="B251" s="3">
        <v>79767.976580000002</v>
      </c>
      <c r="C251" s="3">
        <v>6711.8629199999996</v>
      </c>
      <c r="D251" s="3">
        <v>494.68227000000002</v>
      </c>
      <c r="E251" s="3">
        <v>1036887.5374199999</v>
      </c>
      <c r="F251" s="3">
        <v>367495.68203000003</v>
      </c>
      <c r="G251" s="3">
        <v>11570.17002</v>
      </c>
      <c r="H251" s="3">
        <v>957.08267999999998</v>
      </c>
      <c r="I251" s="3">
        <v>197539.07641000001</v>
      </c>
      <c r="J251" s="719">
        <v>1.70143628841539</v>
      </c>
      <c r="K251" s="719">
        <v>1.92626419566527</v>
      </c>
      <c r="L251" s="719">
        <v>2.3091156259951</v>
      </c>
      <c r="M251" s="719">
        <v>2.1827692376326001E-2</v>
      </c>
    </row>
    <row r="252" spans="1:13" s="112" customFormat="1" ht="15" customHeight="1">
      <c r="A252" s="709" t="s">
        <v>19</v>
      </c>
      <c r="B252" s="3">
        <v>111278.07506</v>
      </c>
      <c r="C252" s="3">
        <v>5319.8158400000002</v>
      </c>
      <c r="D252" s="3">
        <v>10765.518539999999</v>
      </c>
      <c r="E252" s="3">
        <v>875655.74954999995</v>
      </c>
      <c r="F252" s="3">
        <v>165936.02158999999</v>
      </c>
      <c r="G252" s="3">
        <v>9030.3417499999996</v>
      </c>
      <c r="H252" s="3">
        <v>1153.8331900000001</v>
      </c>
      <c r="I252" s="3">
        <v>220288.46427999999</v>
      </c>
      <c r="J252" s="719">
        <v>1.7002977686696401</v>
      </c>
      <c r="K252" s="719">
        <v>1.93090351547345</v>
      </c>
      <c r="L252" s="719">
        <v>2.2742784701214598</v>
      </c>
      <c r="M252" s="719">
        <v>2.14307583731531E-2</v>
      </c>
    </row>
    <row r="253" spans="1:13" s="112" customFormat="1" ht="15" customHeight="1">
      <c r="A253" s="709" t="s">
        <v>20</v>
      </c>
      <c r="B253" s="3">
        <v>100495.87489000001</v>
      </c>
      <c r="C253" s="3">
        <v>5895.8181299999997</v>
      </c>
      <c r="D253" s="3">
        <v>9512.8963299999996</v>
      </c>
      <c r="E253" s="3">
        <v>222799.02682</v>
      </c>
      <c r="F253" s="3">
        <v>259620.68756270001</v>
      </c>
      <c r="G253" s="3">
        <v>13326.25065</v>
      </c>
      <c r="H253" s="3">
        <v>1137.9955600000001</v>
      </c>
      <c r="I253" s="3">
        <v>250100.17415000001</v>
      </c>
      <c r="J253" s="719">
        <v>1.7007579943326001</v>
      </c>
      <c r="K253" s="719">
        <v>1.8814847125554801</v>
      </c>
      <c r="L253" s="719">
        <v>2.2176287543941999</v>
      </c>
      <c r="M253" s="719">
        <v>1.6140436628659501E-2</v>
      </c>
    </row>
    <row r="254" spans="1:13" s="112" customFormat="1" ht="15" customHeight="1">
      <c r="A254" s="709" t="s">
        <v>21</v>
      </c>
      <c r="B254" s="3">
        <v>167801.65492999999</v>
      </c>
      <c r="C254" s="3">
        <v>6412.6617399999996</v>
      </c>
      <c r="D254" s="3">
        <v>665.85440000000006</v>
      </c>
      <c r="E254" s="3">
        <v>1309399.76856</v>
      </c>
      <c r="F254" s="3">
        <v>164158.22644</v>
      </c>
      <c r="G254" s="3">
        <v>16466.357739999999</v>
      </c>
      <c r="H254" s="3">
        <v>1702.01586</v>
      </c>
      <c r="I254" s="3">
        <v>158990.39824000001</v>
      </c>
      <c r="J254" s="719">
        <v>1.6999159299765201</v>
      </c>
      <c r="K254" s="719">
        <v>1.84406617635547</v>
      </c>
      <c r="L254" s="719">
        <v>2.2051003163082901</v>
      </c>
      <c r="M254" s="719">
        <v>2.05821631135258E-2</v>
      </c>
    </row>
    <row r="255" spans="1:13" s="112" customFormat="1" ht="15" customHeight="1">
      <c r="A255" s="709" t="s">
        <v>22</v>
      </c>
      <c r="B255" s="3">
        <v>241616.31179000001</v>
      </c>
      <c r="C255" s="3">
        <v>7284.7448700000004</v>
      </c>
      <c r="D255" s="3">
        <v>568.92831999999999</v>
      </c>
      <c r="E255" s="3">
        <v>2055594.32088</v>
      </c>
      <c r="F255" s="3">
        <v>172997.50782999999</v>
      </c>
      <c r="G255" s="3">
        <v>18774.294860000002</v>
      </c>
      <c r="H255" s="3">
        <v>2080.9482499999999</v>
      </c>
      <c r="I255" s="3">
        <v>137257.35441</v>
      </c>
      <c r="J255" s="719">
        <v>1.6991233851999401</v>
      </c>
      <c r="K255" s="719">
        <v>1.80330734093359</v>
      </c>
      <c r="L255" s="719">
        <v>2.1176997624715801</v>
      </c>
      <c r="M255" s="719">
        <v>2.4795055638869599E-2</v>
      </c>
    </row>
    <row r="256" spans="1:13" s="112" customFormat="1" ht="15" customHeight="1">
      <c r="A256" s="709" t="s">
        <v>23</v>
      </c>
      <c r="B256" s="3">
        <v>249565.66114000001</v>
      </c>
      <c r="C256" s="3">
        <v>8773.3104399999993</v>
      </c>
      <c r="D256" s="3">
        <v>566.03688999999997</v>
      </c>
      <c r="E256" s="3">
        <v>2900083.6452299999</v>
      </c>
      <c r="F256" s="3">
        <v>177216.71184999999</v>
      </c>
      <c r="G256" s="3">
        <v>18393.169529999999</v>
      </c>
      <c r="H256" s="3">
        <v>1352.0593200000001</v>
      </c>
      <c r="I256" s="3">
        <v>142821.48081000001</v>
      </c>
      <c r="J256" s="719">
        <v>1.6982536868626701</v>
      </c>
      <c r="K256" s="719">
        <v>1.8019559638129301</v>
      </c>
      <c r="L256" s="719">
        <v>2.1007773448621698</v>
      </c>
      <c r="M256" s="719">
        <v>2.7940687443653599E-2</v>
      </c>
    </row>
    <row r="257" spans="1:13" s="112" customFormat="1" ht="15" customHeight="1">
      <c r="A257" s="709" t="s">
        <v>24</v>
      </c>
      <c r="B257" s="3">
        <v>175299.18594699999</v>
      </c>
      <c r="C257" s="3">
        <v>7885.0856800000001</v>
      </c>
      <c r="D257" s="3">
        <v>803.44087999999897</v>
      </c>
      <c r="E257" s="3">
        <v>2183258.5451199999</v>
      </c>
      <c r="F257" s="3">
        <v>166591.94654</v>
      </c>
      <c r="G257" s="3">
        <v>32256.900539999999</v>
      </c>
      <c r="H257" s="3">
        <v>1785.40995</v>
      </c>
      <c r="I257" s="3">
        <v>145181.40654</v>
      </c>
      <c r="J257" s="719">
        <v>1.6982066025712299</v>
      </c>
      <c r="K257" s="719">
        <v>1.74182332600136</v>
      </c>
      <c r="L257" s="719">
        <v>2.0456249335640599</v>
      </c>
      <c r="M257" s="719">
        <v>2.7402098568085301E-2</v>
      </c>
    </row>
    <row r="258" spans="1:13" s="112" customFormat="1" ht="15" customHeight="1">
      <c r="A258" s="709" t="s">
        <v>25</v>
      </c>
      <c r="B258" s="3">
        <v>203301.01108</v>
      </c>
      <c r="C258" s="3">
        <v>8336.1966499999999</v>
      </c>
      <c r="D258" s="3">
        <v>914.40819999999997</v>
      </c>
      <c r="E258" s="3">
        <v>1909202.4330899999</v>
      </c>
      <c r="F258" s="3">
        <v>141468.67830999999</v>
      </c>
      <c r="G258" s="3">
        <v>26862.269850000001</v>
      </c>
      <c r="H258" s="3">
        <v>2648.6566800000001</v>
      </c>
      <c r="I258" s="3">
        <v>189040.40215000001</v>
      </c>
      <c r="J258" s="719">
        <v>1.6983790681267901</v>
      </c>
      <c r="K258" s="719">
        <v>1.73139012734149</v>
      </c>
      <c r="L258" s="719">
        <v>2.0461697368715899</v>
      </c>
      <c r="M258" s="719">
        <v>2.6838746936962001E-2</v>
      </c>
    </row>
    <row r="259" spans="1:13" s="112" customFormat="1" ht="15" customHeight="1">
      <c r="A259" s="709" t="s">
        <v>26</v>
      </c>
      <c r="B259" s="3">
        <v>248028.82936</v>
      </c>
      <c r="C259" s="3">
        <v>9157.9624399999993</v>
      </c>
      <c r="D259" s="3">
        <v>920.11158</v>
      </c>
      <c r="E259" s="3">
        <v>1942601.3314400001</v>
      </c>
      <c r="F259" s="3">
        <v>199169.22588000001</v>
      </c>
      <c r="G259" s="3">
        <v>20200.271990000001</v>
      </c>
      <c r="H259" s="3">
        <v>3676.9202700000001</v>
      </c>
      <c r="I259" s="3">
        <v>201790.70877</v>
      </c>
      <c r="J259" s="719">
        <v>1.69849474149774</v>
      </c>
      <c r="K259" s="719">
        <v>1.6901593376160999</v>
      </c>
      <c r="L259" s="719">
        <v>1.9239996996683799</v>
      </c>
      <c r="M259" s="719">
        <v>2.7758013428584999E-2</v>
      </c>
    </row>
    <row r="260" spans="1:13" s="112" customFormat="1" ht="15" customHeight="1">
      <c r="A260" s="709" t="s">
        <v>27</v>
      </c>
      <c r="B260" s="3">
        <v>182267.96075</v>
      </c>
      <c r="C260" s="3">
        <v>10582.75561</v>
      </c>
      <c r="D260" s="3">
        <v>752.75405999999998</v>
      </c>
      <c r="E260" s="3">
        <v>1602442.7235099999</v>
      </c>
      <c r="F260" s="3">
        <v>183453.20077803201</v>
      </c>
      <c r="G260" s="3">
        <v>14461.764965332401</v>
      </c>
      <c r="H260" s="3">
        <v>2895.39732</v>
      </c>
      <c r="I260" s="3">
        <v>188157.59538000001</v>
      </c>
      <c r="J260" s="719">
        <v>1.69814262753553</v>
      </c>
      <c r="K260" s="719">
        <v>1.67548894692279</v>
      </c>
      <c r="L260" s="719">
        <v>1.9283321810620699</v>
      </c>
      <c r="M260" s="719">
        <v>2.69988472960296E-2</v>
      </c>
    </row>
    <row r="261" spans="1:13" s="112" customFormat="1" ht="15" customHeight="1">
      <c r="A261" s="709" t="s">
        <v>28</v>
      </c>
      <c r="B261" s="3">
        <v>140776.17980000001</v>
      </c>
      <c r="C261" s="3">
        <v>21696.383450000001</v>
      </c>
      <c r="D261" s="3">
        <v>583.24298999999996</v>
      </c>
      <c r="E261" s="3">
        <v>1852265.83189</v>
      </c>
      <c r="F261" s="3">
        <v>151506.30786</v>
      </c>
      <c r="G261" s="3">
        <v>12799.82804</v>
      </c>
      <c r="H261" s="3">
        <v>1247.4179200000001</v>
      </c>
      <c r="I261" s="3">
        <v>146155.12409</v>
      </c>
      <c r="J261" s="719">
        <v>1.6989519619592699</v>
      </c>
      <c r="K261" s="719">
        <v>1.7345190127084</v>
      </c>
      <c r="L261" s="719">
        <v>2.0126074786313102</v>
      </c>
      <c r="M261" s="719">
        <v>2.7353532404339499E-2</v>
      </c>
    </row>
    <row r="262" spans="1:13" s="112" customFormat="1" ht="15" customHeight="1">
      <c r="A262" s="709" t="s">
        <v>29</v>
      </c>
      <c r="B262" s="3">
        <v>139582.50930000001</v>
      </c>
      <c r="C262" s="3">
        <v>8407.8108100000009</v>
      </c>
      <c r="D262" s="3">
        <v>649.18948</v>
      </c>
      <c r="E262" s="3">
        <v>1735496.34665</v>
      </c>
      <c r="F262" s="3">
        <v>207866.85459999999</v>
      </c>
      <c r="G262" s="3">
        <v>15614.2093</v>
      </c>
      <c r="H262" s="3">
        <v>1284.9101599999999</v>
      </c>
      <c r="I262" s="3">
        <v>182749.5497</v>
      </c>
      <c r="J262" s="719">
        <v>1.6995961659257599</v>
      </c>
      <c r="K262" s="719">
        <v>1.80404464933445</v>
      </c>
      <c r="L262" s="719">
        <v>2.0748012027539602</v>
      </c>
      <c r="M262" s="719">
        <v>2.5468344587454301E-2</v>
      </c>
    </row>
    <row r="263" spans="1:13" s="112" customFormat="1" ht="15" customHeight="1">
      <c r="A263" s="709" t="s">
        <v>3500</v>
      </c>
      <c r="B263" s="269">
        <f>SUM(B264:B275)</f>
        <v>1637434.3672999998</v>
      </c>
      <c r="C263" s="269">
        <f t="shared" ref="C263:I263" si="20">SUM(C264:C275)</f>
        <v>126784.60733</v>
      </c>
      <c r="D263" s="269">
        <f t="shared" si="20"/>
        <v>8667.5953200000004</v>
      </c>
      <c r="E263" s="269">
        <f t="shared" si="20"/>
        <v>14962342.02153</v>
      </c>
      <c r="F263" s="269">
        <f t="shared" si="20"/>
        <v>1518750.6129699999</v>
      </c>
      <c r="G263" s="269">
        <f t="shared" si="20"/>
        <v>206027.59574999998</v>
      </c>
      <c r="H263" s="269">
        <f t="shared" si="20"/>
        <v>26918.349770000001</v>
      </c>
      <c r="I263" s="269">
        <f t="shared" si="20"/>
        <v>2460839.1592899999</v>
      </c>
      <c r="J263" s="718">
        <v>1.69861674804172</v>
      </c>
      <c r="K263" s="718">
        <v>1.8413758709992001</v>
      </c>
      <c r="L263" s="718">
        <v>2.1153457747362299</v>
      </c>
      <c r="M263" s="718">
        <v>1.9698912917667899E-2</v>
      </c>
    </row>
    <row r="264" spans="1:13" s="112" customFormat="1" ht="15" customHeight="1">
      <c r="A264" s="32" t="s">
        <v>18</v>
      </c>
      <c r="B264" s="3">
        <v>139841.64524000001</v>
      </c>
      <c r="C264" s="3">
        <v>7501.4387999999999</v>
      </c>
      <c r="D264" s="3">
        <v>910.99112000000002</v>
      </c>
      <c r="E264" s="3">
        <v>1312285.9455500001</v>
      </c>
      <c r="F264" s="3">
        <v>152334.44063999999</v>
      </c>
      <c r="G264" s="3">
        <v>32063.23475</v>
      </c>
      <c r="H264" s="3">
        <v>1266.40517</v>
      </c>
      <c r="I264" s="3">
        <v>136862.55519000001</v>
      </c>
      <c r="J264" s="719">
        <v>1.69966344472764</v>
      </c>
      <c r="K264" s="719">
        <v>1.8422982013614</v>
      </c>
      <c r="L264" s="719">
        <v>2.0875373515273101</v>
      </c>
      <c r="M264" s="719">
        <v>2.4022366685210999E-2</v>
      </c>
    </row>
    <row r="265" spans="1:13" s="112" customFormat="1" ht="15" customHeight="1">
      <c r="A265" s="32" t="s">
        <v>19</v>
      </c>
      <c r="B265" s="3">
        <v>112214.77334</v>
      </c>
      <c r="C265" s="3">
        <v>9299.7583400000003</v>
      </c>
      <c r="D265" s="3">
        <v>750.12090999999998</v>
      </c>
      <c r="E265" s="3">
        <v>1113488.7002099999</v>
      </c>
      <c r="F265" s="3">
        <v>139332.46526</v>
      </c>
      <c r="G265" s="3">
        <v>17278.95217</v>
      </c>
      <c r="H265" s="3">
        <v>1179.98404</v>
      </c>
      <c r="I265" s="3">
        <v>208449.88411000001</v>
      </c>
      <c r="J265" s="719">
        <v>1.6995061208659801</v>
      </c>
      <c r="K265" s="719">
        <v>1.82848060813775</v>
      </c>
      <c r="L265" s="719">
        <v>2.06293869954377</v>
      </c>
      <c r="M265" s="719">
        <v>2.2933101066742401E-2</v>
      </c>
    </row>
    <row r="266" spans="1:13" s="112" customFormat="1" ht="15" customHeight="1">
      <c r="A266" s="32" t="s">
        <v>20</v>
      </c>
      <c r="B266" s="3">
        <v>115902.63029</v>
      </c>
      <c r="C266" s="3">
        <v>7823.3827199999996</v>
      </c>
      <c r="D266" s="3">
        <v>700.12442999999996</v>
      </c>
      <c r="E266" s="3">
        <v>1067064.432</v>
      </c>
      <c r="F266" s="3">
        <v>148116.2812</v>
      </c>
      <c r="G266" s="3">
        <v>14546.67367</v>
      </c>
      <c r="H266" s="3">
        <v>6569.2936799999998</v>
      </c>
      <c r="I266" s="3">
        <v>172903.23293999999</v>
      </c>
      <c r="J266" s="719">
        <v>1.6995701136830501</v>
      </c>
      <c r="K266" s="719">
        <v>1.82282429060761</v>
      </c>
      <c r="L266" s="719">
        <v>2.0713412688353401</v>
      </c>
      <c r="M266" s="719">
        <v>2.1959064517627198E-2</v>
      </c>
    </row>
    <row r="267" spans="1:13" s="112" customFormat="1" ht="15" customHeight="1">
      <c r="A267" s="32" t="s">
        <v>21</v>
      </c>
      <c r="B267" s="3">
        <v>114574.84828000001</v>
      </c>
      <c r="C267" s="3">
        <v>8739.27556</v>
      </c>
      <c r="D267" s="3">
        <v>716.62121999999999</v>
      </c>
      <c r="E267" s="3">
        <v>980137.99415000004</v>
      </c>
      <c r="F267" s="3">
        <v>116139.75559</v>
      </c>
      <c r="G267" s="3">
        <v>12104.85405</v>
      </c>
      <c r="H267" s="3">
        <v>966.05413999999996</v>
      </c>
      <c r="I267" s="3">
        <v>204550.98180000001</v>
      </c>
      <c r="J267" s="719">
        <v>1.6991805172638199</v>
      </c>
      <c r="K267" s="719">
        <v>1.8644886762967099</v>
      </c>
      <c r="L267" s="719">
        <v>2.1210678894299599</v>
      </c>
      <c r="M267" s="719">
        <v>2.06830784672252E-2</v>
      </c>
    </row>
    <row r="268" spans="1:13" s="112" customFormat="1" ht="15" customHeight="1">
      <c r="A268" s="32" t="s">
        <v>22</v>
      </c>
      <c r="B268" s="3">
        <v>156381.78260999999</v>
      </c>
      <c r="C268" s="3">
        <v>8590.0970199999992</v>
      </c>
      <c r="D268" s="3">
        <v>661.85456999999997</v>
      </c>
      <c r="E268" s="3">
        <v>1207400.4267599999</v>
      </c>
      <c r="F268" s="3">
        <v>105240.98538</v>
      </c>
      <c r="G268" s="3">
        <v>16130.43029</v>
      </c>
      <c r="H268" s="3">
        <v>969.28949</v>
      </c>
      <c r="I268" s="3">
        <v>193056.15934000001</v>
      </c>
      <c r="J268" s="719">
        <v>1.69800310599011</v>
      </c>
      <c r="K268" s="719">
        <v>1.85223387522008</v>
      </c>
      <c r="L268" s="719">
        <v>2.1291539283483001</v>
      </c>
      <c r="M268" s="719">
        <v>2.1071389359892601E-2</v>
      </c>
    </row>
    <row r="269" spans="1:13" s="112" customFormat="1" ht="15" customHeight="1">
      <c r="A269" s="32" t="s">
        <v>23</v>
      </c>
      <c r="B269" s="3">
        <v>158475.96583999999</v>
      </c>
      <c r="C269" s="3">
        <v>10410.826520000001</v>
      </c>
      <c r="D269" s="3">
        <v>570.98334999999997</v>
      </c>
      <c r="E269" s="3">
        <v>1130898.0063799999</v>
      </c>
      <c r="F269" s="3">
        <v>88440.463300000003</v>
      </c>
      <c r="G269" s="3">
        <v>13775.38733</v>
      </c>
      <c r="H269" s="3">
        <v>1215.3527899999999</v>
      </c>
      <c r="I269" s="3">
        <v>170428.39911</v>
      </c>
      <c r="J269" s="719">
        <v>1.6974402653765199</v>
      </c>
      <c r="K269" s="719">
        <v>1.8438419039154801</v>
      </c>
      <c r="L269" s="719">
        <v>2.1590881362322998</v>
      </c>
      <c r="M269" s="719">
        <v>2.0077323254355298E-2</v>
      </c>
    </row>
    <row r="270" spans="1:13" s="112" customFormat="1" ht="15" customHeight="1">
      <c r="A270" s="32" t="s">
        <v>24</v>
      </c>
      <c r="B270" s="3">
        <v>157416.54053999999</v>
      </c>
      <c r="C270" s="3">
        <v>13084.686369999999</v>
      </c>
      <c r="D270" s="3">
        <v>682.69253000000003</v>
      </c>
      <c r="E270" s="3">
        <v>1081844.39748</v>
      </c>
      <c r="F270" s="3">
        <v>122714.04261999999</v>
      </c>
      <c r="G270" s="3">
        <v>20411.492880000002</v>
      </c>
      <c r="H270" s="3">
        <v>2856.4580599999999</v>
      </c>
      <c r="I270" s="3">
        <v>212491.38097999999</v>
      </c>
      <c r="J270" s="719">
        <v>1.6979346523580601</v>
      </c>
      <c r="K270" s="719">
        <v>1.8803797239942499</v>
      </c>
      <c r="L270" s="719">
        <v>2.19424375764723</v>
      </c>
      <c r="M270" s="719">
        <v>1.8354504480094E-2</v>
      </c>
    </row>
    <row r="271" spans="1:13" s="112" customFormat="1" ht="15" customHeight="1">
      <c r="A271" s="32" t="s">
        <v>25</v>
      </c>
      <c r="B271" s="3">
        <v>139547.00390000001</v>
      </c>
      <c r="C271" s="3">
        <v>11037.727650000001</v>
      </c>
      <c r="D271" s="3">
        <v>929.9443</v>
      </c>
      <c r="E271" s="3">
        <v>1279708.79416</v>
      </c>
      <c r="F271" s="3">
        <v>114282.77791999999</v>
      </c>
      <c r="G271" s="3">
        <v>19908.614519999999</v>
      </c>
      <c r="H271" s="3">
        <v>1811.1410000000001</v>
      </c>
      <c r="I271" s="3">
        <v>248313.28890000001</v>
      </c>
      <c r="J271" s="719">
        <v>1.69817359377278</v>
      </c>
      <c r="K271" s="719">
        <v>1.8559047522535701</v>
      </c>
      <c r="L271" s="719">
        <v>2.1646931832063001</v>
      </c>
      <c r="M271" s="719">
        <v>1.7533707504290001E-2</v>
      </c>
    </row>
    <row r="272" spans="1:13" s="112" customFormat="1" ht="15" customHeight="1">
      <c r="A272" s="32" t="s">
        <v>26</v>
      </c>
      <c r="B272" s="3">
        <v>132946.52601</v>
      </c>
      <c r="C272" s="3">
        <v>10699.72386</v>
      </c>
      <c r="D272" s="3">
        <v>624.16979000000003</v>
      </c>
      <c r="E272" s="3">
        <v>1495608.6382800001</v>
      </c>
      <c r="F272" s="3">
        <v>116412.44319999999</v>
      </c>
      <c r="G272" s="3">
        <v>18801.446019999999</v>
      </c>
      <c r="H272" s="3">
        <v>3118.2843899999998</v>
      </c>
      <c r="I272" s="3">
        <v>243122.33071000001</v>
      </c>
      <c r="J272" s="719">
        <v>1.69819106114547</v>
      </c>
      <c r="K272" s="719">
        <v>1.8180954391767701</v>
      </c>
      <c r="L272" s="719">
        <v>2.1199124463044199</v>
      </c>
      <c r="M272" s="719">
        <v>1.7348317781128501E-2</v>
      </c>
    </row>
    <row r="273" spans="1:13" s="112" customFormat="1" ht="15" customHeight="1">
      <c r="A273" s="32" t="s">
        <v>27</v>
      </c>
      <c r="B273" s="3">
        <v>137520.95334000001</v>
      </c>
      <c r="C273" s="3">
        <v>12507.41519</v>
      </c>
      <c r="D273" s="3">
        <v>628.23625000000004</v>
      </c>
      <c r="E273" s="3">
        <v>1250007.48303</v>
      </c>
      <c r="F273" s="3">
        <v>113840.82193999999</v>
      </c>
      <c r="G273" s="3">
        <v>16477.154139999999</v>
      </c>
      <c r="H273" s="3">
        <v>2439.6967399999999</v>
      </c>
      <c r="I273" s="3">
        <v>254226.06456999999</v>
      </c>
      <c r="J273" s="719">
        <v>1.69828261157641</v>
      </c>
      <c r="K273" s="719">
        <v>1.79504155185369</v>
      </c>
      <c r="L273" s="719">
        <v>2.0732388692928998</v>
      </c>
      <c r="M273" s="719">
        <v>1.72513724693471E-2</v>
      </c>
    </row>
    <row r="274" spans="1:13" s="112" customFormat="1" ht="15" customHeight="1">
      <c r="A274" s="32" t="s">
        <v>28</v>
      </c>
      <c r="B274" s="3">
        <v>130436.40629</v>
      </c>
      <c r="C274" s="3">
        <v>14519.354149999999</v>
      </c>
      <c r="D274" s="3">
        <v>692.66254000000004</v>
      </c>
      <c r="E274" s="3">
        <v>1496225.7261600001</v>
      </c>
      <c r="F274" s="3">
        <v>120341.09527000001</v>
      </c>
      <c r="G274" s="3">
        <v>10504.45285</v>
      </c>
      <c r="H274" s="3">
        <v>2912.7094400000001</v>
      </c>
      <c r="I274" s="3">
        <v>194268.82646000001</v>
      </c>
      <c r="J274" s="719">
        <v>1.6981932181691499</v>
      </c>
      <c r="K274" s="719">
        <v>1.83404411192825</v>
      </c>
      <c r="L274" s="719">
        <v>2.1051086909725698</v>
      </c>
      <c r="M274" s="719">
        <v>1.85542281140628E-2</v>
      </c>
    </row>
    <row r="275" spans="1:13" s="112" customFormat="1" ht="15" customHeight="1">
      <c r="A275" s="32" t="s">
        <v>29</v>
      </c>
      <c r="B275" s="3">
        <v>142175.29162</v>
      </c>
      <c r="C275" s="3">
        <v>12570.92115</v>
      </c>
      <c r="D275" s="3">
        <v>799.19430999999997</v>
      </c>
      <c r="E275" s="3">
        <v>1547671.47737</v>
      </c>
      <c r="F275" s="3">
        <v>181555.04065000001</v>
      </c>
      <c r="G275" s="3">
        <v>14024.90308</v>
      </c>
      <c r="H275" s="3">
        <v>1613.68083</v>
      </c>
      <c r="I275" s="3">
        <v>222166.05518</v>
      </c>
      <c r="J275" s="719">
        <v>1.69904806881532</v>
      </c>
      <c r="K275" s="719">
        <v>1.85523424057612</v>
      </c>
      <c r="L275" s="719">
        <v>2.15919386047179</v>
      </c>
      <c r="M275" s="719">
        <v>1.8472081324412699E-2</v>
      </c>
    </row>
    <row r="276" spans="1:13" s="112" customFormat="1" ht="15" customHeight="1">
      <c r="A276" s="32" t="s">
        <v>3971</v>
      </c>
      <c r="B276" s="269">
        <f>SUM(B277:B288)</f>
        <v>1621567.9304200001</v>
      </c>
      <c r="C276" s="269">
        <f t="shared" ref="C276:I276" si="21">SUM(C277:C288)</f>
        <v>131093.80455</v>
      </c>
      <c r="D276" s="269">
        <f t="shared" si="21"/>
        <v>7470.918560000001</v>
      </c>
      <c r="E276" s="269">
        <f t="shared" si="21"/>
        <v>5712045.1956100008</v>
      </c>
      <c r="F276" s="269">
        <f t="shared" si="21"/>
        <v>2924344.2658777004</v>
      </c>
      <c r="G276" s="269">
        <f t="shared" si="21"/>
        <v>202722.10431999998</v>
      </c>
      <c r="H276" s="269">
        <f t="shared" si="21"/>
        <v>20097.92037</v>
      </c>
      <c r="I276" s="269">
        <f t="shared" si="21"/>
        <v>2664921.8281435003</v>
      </c>
      <c r="J276" s="718">
        <v>1.6997968553335701</v>
      </c>
      <c r="K276" s="718">
        <v>1.83911235102675</v>
      </c>
      <c r="L276" s="718">
        <v>2.1873953717201799</v>
      </c>
      <c r="M276" s="718">
        <v>1.8223217895887201E-2</v>
      </c>
    </row>
    <row r="277" spans="1:13" s="112" customFormat="1" ht="15" customHeight="1">
      <c r="A277" s="32" t="s">
        <v>18</v>
      </c>
      <c r="B277" s="3">
        <v>119468.72044</v>
      </c>
      <c r="C277" s="3">
        <v>8736.1418900000008</v>
      </c>
      <c r="D277" s="3">
        <v>615.79881999999998</v>
      </c>
      <c r="E277" s="3">
        <v>1342333.8208900001</v>
      </c>
      <c r="F277" s="3">
        <v>211501.58937999999</v>
      </c>
      <c r="G277" s="3">
        <v>11163.804319999999</v>
      </c>
      <c r="H277" s="3">
        <v>1619.41848</v>
      </c>
      <c r="I277" s="3">
        <v>171931.70298999999</v>
      </c>
      <c r="J277" s="719">
        <v>1.6995962046001001</v>
      </c>
      <c r="K277" s="719">
        <v>1.85214597497246</v>
      </c>
      <c r="L277" s="719">
        <v>2.1735849314426798</v>
      </c>
      <c r="M277" s="719">
        <v>1.8814416630577702E-2</v>
      </c>
    </row>
    <row r="278" spans="1:13" s="112" customFormat="1" ht="15" customHeight="1">
      <c r="A278" s="32" t="s">
        <v>19</v>
      </c>
      <c r="B278" s="3">
        <v>125486.94164999999</v>
      </c>
      <c r="C278" s="3">
        <v>7458.3174799999997</v>
      </c>
      <c r="D278" s="3">
        <v>459.99027000000001</v>
      </c>
      <c r="E278" s="3">
        <v>933556.73667000001</v>
      </c>
      <c r="F278" s="3">
        <v>499583.52162999997</v>
      </c>
      <c r="G278" s="3">
        <v>20114.812519999999</v>
      </c>
      <c r="H278" s="3">
        <v>1525.2843800000001</v>
      </c>
      <c r="I278" s="3">
        <v>203441.38058999999</v>
      </c>
      <c r="J278" s="719">
        <v>1.7008710009402399</v>
      </c>
      <c r="K278" s="719">
        <v>1.8426071546192999</v>
      </c>
      <c r="L278" s="719">
        <v>2.1655469478427101</v>
      </c>
      <c r="M278" s="719">
        <v>1.8345119555053999E-2</v>
      </c>
    </row>
    <row r="279" spans="1:13" s="112" customFormat="1" ht="15" customHeight="1">
      <c r="A279" s="32" t="s">
        <v>20</v>
      </c>
      <c r="B279" s="3">
        <v>106317.4246</v>
      </c>
      <c r="C279" s="3">
        <v>9113.72631</v>
      </c>
      <c r="D279" s="3">
        <v>433.87599</v>
      </c>
      <c r="E279" s="3">
        <v>802211.82622000005</v>
      </c>
      <c r="F279" s="3">
        <v>220212.89361</v>
      </c>
      <c r="G279" s="3">
        <v>13703.52327</v>
      </c>
      <c r="H279" s="3">
        <v>1096.9648400000001</v>
      </c>
      <c r="I279" s="3">
        <v>194506.68148</v>
      </c>
      <c r="J279" s="719">
        <v>1.7002023837748399</v>
      </c>
      <c r="K279" s="719">
        <v>1.85135173548419</v>
      </c>
      <c r="L279" s="719">
        <v>2.1759356482822598</v>
      </c>
      <c r="M279" s="719">
        <v>1.8285053477894799E-2</v>
      </c>
    </row>
    <row r="280" spans="1:13" s="112" customFormat="1" ht="15" customHeight="1">
      <c r="A280" s="32" t="s">
        <v>21</v>
      </c>
      <c r="B280" s="3">
        <v>129466.95879999999</v>
      </c>
      <c r="C280" s="3">
        <v>9756.3780000000006</v>
      </c>
      <c r="D280" s="3">
        <v>642.67867999999999</v>
      </c>
      <c r="E280" s="3">
        <v>216289.08259000001</v>
      </c>
      <c r="F280" s="3">
        <v>166924.85433999999</v>
      </c>
      <c r="G280" s="3">
        <v>16240.215169999999</v>
      </c>
      <c r="H280" s="3">
        <v>1524.6803299999999</v>
      </c>
      <c r="I280" s="3">
        <v>182811.17546</v>
      </c>
      <c r="J280" s="719">
        <v>1.6994170634166801</v>
      </c>
      <c r="K280" s="719">
        <v>1.8261667075369701</v>
      </c>
      <c r="L280" s="719">
        <v>2.14271501105025</v>
      </c>
      <c r="M280" s="719">
        <v>1.7819288410668099E-2</v>
      </c>
    </row>
    <row r="281" spans="1:13" s="112" customFormat="1" ht="15" customHeight="1">
      <c r="A281" s="32" t="s">
        <v>22</v>
      </c>
      <c r="B281" s="3">
        <v>156182.01341000001</v>
      </c>
      <c r="C281" s="3">
        <v>10933.23035</v>
      </c>
      <c r="D281" s="3">
        <v>773.54673000000003</v>
      </c>
      <c r="E281" s="3">
        <v>298430.63393000001</v>
      </c>
      <c r="F281" s="3">
        <v>154091.49825999999</v>
      </c>
      <c r="G281" s="3">
        <v>16838.8616</v>
      </c>
      <c r="H281" s="3">
        <v>1455.66553</v>
      </c>
      <c r="I281" s="3">
        <v>230195.79511070001</v>
      </c>
      <c r="J281" s="719">
        <v>1.6989968070627399</v>
      </c>
      <c r="K281" s="719">
        <v>1.8381634148343999</v>
      </c>
      <c r="L281" s="719">
        <v>2.1563240493836999</v>
      </c>
      <c r="M281" s="719">
        <v>1.8235787224247499E-2</v>
      </c>
    </row>
    <row r="282" spans="1:13" s="112" customFormat="1" ht="15" customHeight="1">
      <c r="A282" s="32" t="s">
        <v>23</v>
      </c>
      <c r="B282" s="3">
        <v>148950.5914</v>
      </c>
      <c r="C282" s="3">
        <v>8775.9336500000009</v>
      </c>
      <c r="D282" s="3">
        <v>486.40917000000002</v>
      </c>
      <c r="E282" s="3">
        <v>273645.33818000002</v>
      </c>
      <c r="F282" s="3">
        <v>109295.98013</v>
      </c>
      <c r="G282" s="3">
        <v>15893.23518</v>
      </c>
      <c r="H282" s="3">
        <v>1463.7701199999999</v>
      </c>
      <c r="I282" s="3">
        <v>194781.85083760001</v>
      </c>
      <c r="J282" s="719">
        <v>1.6981999275142501</v>
      </c>
      <c r="K282" s="719">
        <v>1.83523604075456</v>
      </c>
      <c r="L282" s="719">
        <v>2.1772666396242002</v>
      </c>
      <c r="M282" s="719">
        <v>1.8687820267561599E-2</v>
      </c>
    </row>
    <row r="283" spans="1:13" s="112" customFormat="1" ht="15" customHeight="1">
      <c r="A283" s="32" t="s">
        <v>24</v>
      </c>
      <c r="B283" s="3">
        <v>179307.38149999999</v>
      </c>
      <c r="C283" s="3">
        <v>14134.48286</v>
      </c>
      <c r="D283" s="3">
        <v>945.88503000000003</v>
      </c>
      <c r="E283" s="3">
        <v>528379.47210999997</v>
      </c>
      <c r="F283" s="3">
        <v>155076.09237999999</v>
      </c>
      <c r="G283" s="3">
        <v>18044.50071</v>
      </c>
      <c r="H283" s="3">
        <v>1716.96298</v>
      </c>
      <c r="I283" s="3">
        <v>252837.50169500001</v>
      </c>
      <c r="J283" s="719">
        <v>1.6982928788051099</v>
      </c>
      <c r="K283" s="719">
        <v>1.84326326883634</v>
      </c>
      <c r="L283" s="719">
        <v>2.1854459098557402</v>
      </c>
      <c r="M283" s="719">
        <v>1.8817176015647301E-2</v>
      </c>
    </row>
    <row r="284" spans="1:13" s="112" customFormat="1" ht="15" customHeight="1">
      <c r="A284" s="32" t="s">
        <v>25</v>
      </c>
      <c r="B284" s="3">
        <v>156277.85365999999</v>
      </c>
      <c r="C284" s="3">
        <v>15781.05847</v>
      </c>
      <c r="D284" s="3">
        <v>928.93277</v>
      </c>
      <c r="E284" s="3">
        <v>263186.32364999998</v>
      </c>
      <c r="F284" s="3">
        <v>195096.5450101</v>
      </c>
      <c r="G284" s="3">
        <v>16613.993470000001</v>
      </c>
      <c r="H284" s="3">
        <v>2212.9610699999998</v>
      </c>
      <c r="I284" s="3">
        <v>248740.78061019999</v>
      </c>
      <c r="J284" s="719">
        <v>1.6988601157560499</v>
      </c>
      <c r="K284" s="719">
        <v>1.86772864101341</v>
      </c>
      <c r="L284" s="719">
        <v>2.2061397868347501</v>
      </c>
      <c r="M284" s="719">
        <v>1.8609622631853801E-2</v>
      </c>
    </row>
    <row r="285" spans="1:13" s="112" customFormat="1" ht="15" customHeight="1">
      <c r="A285" s="32" t="s">
        <v>26</v>
      </c>
      <c r="B285" s="3">
        <v>135173.72472</v>
      </c>
      <c r="C285" s="3">
        <v>14198.295539999999</v>
      </c>
      <c r="D285" s="3">
        <v>675.54295999999999</v>
      </c>
      <c r="E285" s="3">
        <v>421903.49709999998</v>
      </c>
      <c r="F285" s="3">
        <v>253505.8694423</v>
      </c>
      <c r="G285" s="3">
        <v>14049.29146</v>
      </c>
      <c r="H285" s="3">
        <v>2444.6120999999998</v>
      </c>
      <c r="I285" s="3">
        <v>241313.01206000001</v>
      </c>
      <c r="J285" s="719">
        <v>1.69981470472786</v>
      </c>
      <c r="K285" s="719">
        <v>1.8829514579811</v>
      </c>
      <c r="L285" s="719">
        <v>2.2472557572988099</v>
      </c>
      <c r="M285" s="719">
        <v>1.8301332805742601E-2</v>
      </c>
    </row>
    <row r="286" spans="1:13" s="112" customFormat="1" ht="15" customHeight="1">
      <c r="A286" s="32" t="s">
        <v>27</v>
      </c>
      <c r="B286" s="3">
        <v>133143.54889000001</v>
      </c>
      <c r="C286" s="3">
        <v>14210.519850000001</v>
      </c>
      <c r="D286" s="3">
        <v>444.84071</v>
      </c>
      <c r="E286" s="3">
        <v>269163.88618999999</v>
      </c>
      <c r="F286" s="3">
        <v>217580.2944903</v>
      </c>
      <c r="G286" s="3">
        <v>14179.285819999999</v>
      </c>
      <c r="H286" s="3">
        <v>1765.2563399999999</v>
      </c>
      <c r="I286" s="3">
        <v>265667.06471000001</v>
      </c>
      <c r="J286" s="719">
        <v>1.6996941719832901</v>
      </c>
      <c r="K286" s="719">
        <v>1.85173209150072</v>
      </c>
      <c r="L286" s="719">
        <v>2.2385777875148101</v>
      </c>
      <c r="M286" s="719">
        <v>1.7416180540552901E-2</v>
      </c>
    </row>
    <row r="287" spans="1:13" s="112" customFormat="1" ht="15" customHeight="1">
      <c r="A287" s="32" t="s">
        <v>28</v>
      </c>
      <c r="B287" s="3">
        <v>107893.66559</v>
      </c>
      <c r="C287" s="3">
        <v>7811.8729400000002</v>
      </c>
      <c r="D287" s="3">
        <v>289.76182999999997</v>
      </c>
      <c r="E287" s="3">
        <v>172479.22764</v>
      </c>
      <c r="F287" s="3">
        <v>248111.13518499999</v>
      </c>
      <c r="G287" s="3">
        <v>22555.714929999998</v>
      </c>
      <c r="H287" s="3">
        <v>1420.6803</v>
      </c>
      <c r="I287" s="3">
        <v>249991.26248999999</v>
      </c>
      <c r="J287" s="719">
        <v>1.70021056287459</v>
      </c>
      <c r="K287" s="719">
        <v>1.8073259028475499</v>
      </c>
      <c r="L287" s="719">
        <v>2.1900708930737101</v>
      </c>
      <c r="M287" s="719">
        <v>1.6746091129164999E-2</v>
      </c>
    </row>
    <row r="288" spans="1:13" s="112" customFormat="1" ht="15" customHeight="1">
      <c r="A288" s="32" t="s">
        <v>29</v>
      </c>
      <c r="B288" s="3">
        <v>123899.10576000001</v>
      </c>
      <c r="C288" s="3">
        <v>10183.84721</v>
      </c>
      <c r="D288" s="3">
        <v>773.65560000000005</v>
      </c>
      <c r="E288" s="3">
        <v>190465.35044000001</v>
      </c>
      <c r="F288" s="3">
        <v>493363.99202000001</v>
      </c>
      <c r="G288" s="3">
        <v>23324.865870000001</v>
      </c>
      <c r="H288" s="3">
        <v>1851.6639</v>
      </c>
      <c r="I288" s="3">
        <v>228703.62010999999</v>
      </c>
      <c r="J288" s="719">
        <v>1.70101128510594</v>
      </c>
      <c r="K288" s="719">
        <v>1.7833531227502499</v>
      </c>
      <c r="L288" s="719">
        <v>2.1567222711171001</v>
      </c>
      <c r="M288" s="719">
        <v>1.6275334487542301E-2</v>
      </c>
    </row>
    <row r="289" spans="1:18" s="112" customFormat="1" ht="15" customHeight="1">
      <c r="A289" s="69" t="s">
        <v>4202</v>
      </c>
      <c r="B289" s="269">
        <f>+SUM(B290:B301)</f>
        <v>2085215.5453250001</v>
      </c>
      <c r="C289" s="269">
        <f t="shared" ref="C289:I289" si="22">+SUM(C290:C301)</f>
        <v>178871.04235000003</v>
      </c>
      <c r="D289" s="269">
        <f t="shared" si="22"/>
        <v>7908.8846699999995</v>
      </c>
      <c r="E289" s="269">
        <f t="shared" si="22"/>
        <v>9876982.8288500011</v>
      </c>
      <c r="F289" s="269">
        <f t="shared" si="22"/>
        <v>1767049.3853950999</v>
      </c>
      <c r="G289" s="269">
        <f t="shared" si="22"/>
        <v>160367.00360999999</v>
      </c>
      <c r="H289" s="269">
        <f t="shared" si="22"/>
        <v>17107.876329999999</v>
      </c>
      <c r="I289" s="269">
        <f t="shared" si="22"/>
        <v>2182726.8942099996</v>
      </c>
      <c r="J289" s="718">
        <v>1.6985188225205301</v>
      </c>
      <c r="K289" s="718">
        <v>1.9062268817990899</v>
      </c>
      <c r="L289" s="718">
        <v>2.2471069600867599</v>
      </c>
      <c r="M289" s="718">
        <v>2.0497358753460902E-2</v>
      </c>
    </row>
    <row r="290" spans="1:18" s="112" customFormat="1" ht="15" customHeight="1">
      <c r="A290" s="69" t="s">
        <v>18</v>
      </c>
      <c r="B290" s="3">
        <v>116106.05559</v>
      </c>
      <c r="C290" s="3">
        <v>9782.2515199999998</v>
      </c>
      <c r="D290" s="3">
        <v>622.57025999999996</v>
      </c>
      <c r="E290" s="3">
        <v>213738.20881000001</v>
      </c>
      <c r="F290" s="3">
        <v>294173.179901</v>
      </c>
      <c r="G290" s="3">
        <v>17134.230490000002</v>
      </c>
      <c r="H290" s="3">
        <v>2691.32881</v>
      </c>
      <c r="I290" s="3">
        <v>176399.70301999999</v>
      </c>
      <c r="J290" s="719">
        <v>1.7005902148443</v>
      </c>
      <c r="K290" s="719">
        <v>1.76070250755061</v>
      </c>
      <c r="L290" s="719">
        <v>2.1112577946222699</v>
      </c>
      <c r="M290" s="719">
        <v>1.6447551907736901E-2</v>
      </c>
    </row>
    <row r="291" spans="1:18" s="112" customFormat="1" ht="15" customHeight="1">
      <c r="A291" s="69" t="s">
        <v>19</v>
      </c>
      <c r="B291" s="3">
        <v>144446.69794000001</v>
      </c>
      <c r="C291" s="3">
        <v>11757.965980000001</v>
      </c>
      <c r="D291" s="3">
        <v>374.54595999999998</v>
      </c>
      <c r="E291" s="3">
        <v>386639.37488000002</v>
      </c>
      <c r="F291" s="3">
        <v>177703.92530100001</v>
      </c>
      <c r="G291" s="3">
        <v>23732.310969999999</v>
      </c>
      <c r="H291" s="3">
        <v>1262.61176</v>
      </c>
      <c r="I291" s="3">
        <v>183628.23034000001</v>
      </c>
      <c r="J291" s="719">
        <v>1.69969220177758</v>
      </c>
      <c r="K291" s="719">
        <v>1.77589183978571</v>
      </c>
      <c r="L291" s="719">
        <v>2.1422850013723802</v>
      </c>
      <c r="M291" s="719">
        <v>1.8098674324788799E-2</v>
      </c>
    </row>
    <row r="292" spans="1:18" s="112" customFormat="1" ht="15" customHeight="1">
      <c r="A292" s="69" t="s">
        <v>20</v>
      </c>
      <c r="B292" s="3">
        <v>112733.50808</v>
      </c>
      <c r="C292" s="3">
        <v>31440.44283</v>
      </c>
      <c r="D292" s="3">
        <v>410.54079999999999</v>
      </c>
      <c r="E292" s="3">
        <v>435379.88799999998</v>
      </c>
      <c r="F292" s="3">
        <v>120054.55005000001</v>
      </c>
      <c r="G292" s="3">
        <v>9282.3112500000007</v>
      </c>
      <c r="H292" s="3">
        <v>733.99190999999996</v>
      </c>
      <c r="I292" s="3">
        <v>124492.06061</v>
      </c>
      <c r="J292" s="719">
        <v>1.69910007434716</v>
      </c>
      <c r="K292" s="719">
        <v>1.8372472517264999</v>
      </c>
      <c r="L292" s="719">
        <v>2.20463258026937</v>
      </c>
      <c r="M292" s="719">
        <v>1.9320717293046699E-2</v>
      </c>
    </row>
    <row r="293" spans="1:18" s="112" customFormat="1" ht="15" customHeight="1">
      <c r="A293" s="69" t="s">
        <v>21</v>
      </c>
      <c r="B293" s="3">
        <v>191126.91922000001</v>
      </c>
      <c r="C293" s="3">
        <v>25309.11017</v>
      </c>
      <c r="D293" s="3">
        <v>1092.5673999999999</v>
      </c>
      <c r="E293" s="3">
        <v>884299.03312000004</v>
      </c>
      <c r="F293" s="3">
        <v>173471.91686999999</v>
      </c>
      <c r="G293" s="3">
        <v>11923.718349999999</v>
      </c>
      <c r="H293" s="3">
        <v>1327.5884599999999</v>
      </c>
      <c r="I293" s="3">
        <v>182998.93216</v>
      </c>
      <c r="J293" s="719">
        <v>1.6988254420265501</v>
      </c>
      <c r="K293" s="719">
        <v>1.89249185590904</v>
      </c>
      <c r="L293" s="719">
        <v>2.2422261780177202</v>
      </c>
      <c r="M293" s="719">
        <v>2.0112190500633099E-2</v>
      </c>
    </row>
    <row r="294" spans="1:18" s="112" customFormat="1" ht="15" customHeight="1">
      <c r="A294" s="69" t="s">
        <v>22</v>
      </c>
      <c r="B294" s="3">
        <v>186132.16797499999</v>
      </c>
      <c r="C294" s="3">
        <v>11906.352010000001</v>
      </c>
      <c r="D294" s="3">
        <v>495.31398999999999</v>
      </c>
      <c r="E294" s="3">
        <v>970760.10267000005</v>
      </c>
      <c r="F294" s="3">
        <v>123142.52185999999</v>
      </c>
      <c r="G294" s="3">
        <v>10838.82942</v>
      </c>
      <c r="H294" s="3">
        <v>1328.3937900000001</v>
      </c>
      <c r="I294" s="3">
        <v>160027.18948</v>
      </c>
      <c r="J294" s="719">
        <v>1.69792132474725</v>
      </c>
      <c r="K294" s="719">
        <v>1.9104565152522901</v>
      </c>
      <c r="L294" s="719">
        <v>2.2792796287944799</v>
      </c>
      <c r="M294" s="719">
        <v>2.0746527125556899E-2</v>
      </c>
    </row>
    <row r="295" spans="1:18" s="112" customFormat="1" ht="15" customHeight="1">
      <c r="A295" s="69" t="s">
        <v>23</v>
      </c>
      <c r="B295" s="3">
        <v>230069.05014000001</v>
      </c>
      <c r="C295" s="3">
        <v>15199.965630000001</v>
      </c>
      <c r="D295" s="3">
        <v>722.26862000000006</v>
      </c>
      <c r="E295" s="3">
        <v>1023684.63696</v>
      </c>
      <c r="F295" s="3">
        <v>108745.57888</v>
      </c>
      <c r="G295" s="3">
        <v>12050.722100000001</v>
      </c>
      <c r="H295" s="3">
        <v>1314.22344</v>
      </c>
      <c r="I295" s="3">
        <v>167669.49763999999</v>
      </c>
      <c r="J295" s="719">
        <v>1.69776491758393</v>
      </c>
      <c r="K295" s="719">
        <v>1.94852699886452</v>
      </c>
      <c r="L295" s="719">
        <v>2.3086237415347401</v>
      </c>
      <c r="M295" s="719">
        <v>2.11841433385411E-2</v>
      </c>
    </row>
    <row r="296" spans="1:18" s="112" customFormat="1" ht="15" customHeight="1">
      <c r="A296" s="69" t="s">
        <v>24</v>
      </c>
      <c r="B296" s="3">
        <v>197227.69368999999</v>
      </c>
      <c r="C296" s="3">
        <v>14520.12687</v>
      </c>
      <c r="D296" s="3">
        <v>529.77020000000005</v>
      </c>
      <c r="E296" s="3">
        <v>1934855.6513199999</v>
      </c>
      <c r="F296" s="3">
        <v>159441.93849299999</v>
      </c>
      <c r="G296" s="3">
        <v>16388.161530000001</v>
      </c>
      <c r="H296" s="3">
        <v>1512.7699700000001</v>
      </c>
      <c r="I296" s="3">
        <v>243224.3512</v>
      </c>
      <c r="J296" s="719">
        <v>1.69803798427774</v>
      </c>
      <c r="K296" s="719">
        <v>1.98324112713187</v>
      </c>
      <c r="L296" s="719">
        <v>2.30932574043868</v>
      </c>
      <c r="M296" s="719">
        <v>2.12244826135938E-2</v>
      </c>
    </row>
    <row r="297" spans="1:18" s="112" customFormat="1" ht="15" customHeight="1">
      <c r="A297" s="69" t="s">
        <v>25</v>
      </c>
      <c r="B297" s="3">
        <v>191602.69175999999</v>
      </c>
      <c r="C297" s="3">
        <v>13225.66462</v>
      </c>
      <c r="D297" s="3">
        <v>995.41067999999996</v>
      </c>
      <c r="E297" s="3">
        <v>683950.81229999999</v>
      </c>
      <c r="F297" s="3">
        <v>104746.83016</v>
      </c>
      <c r="G297" s="3">
        <v>13358.521500000001</v>
      </c>
      <c r="H297" s="3">
        <v>1347.0408399999999</v>
      </c>
      <c r="I297" s="3">
        <v>180103.46497</v>
      </c>
      <c r="J297" s="719">
        <v>1.6975431261521099</v>
      </c>
      <c r="K297" s="719">
        <v>1.9707719441729099</v>
      </c>
      <c r="L297" s="719">
        <v>2.2835963410043201</v>
      </c>
      <c r="M297" s="719">
        <v>2.06805353749973E-2</v>
      </c>
    </row>
    <row r="298" spans="1:18" s="112" customFormat="1" ht="15" customHeight="1">
      <c r="A298" s="69" t="s">
        <v>26</v>
      </c>
      <c r="B298" s="3">
        <v>209232.21614</v>
      </c>
      <c r="C298" s="3">
        <v>14251.440710000001</v>
      </c>
      <c r="D298" s="3">
        <v>1021.43877</v>
      </c>
      <c r="E298" s="3">
        <v>371405.99264999997</v>
      </c>
      <c r="F298" s="3">
        <v>115932.87734010001</v>
      </c>
      <c r="G298" s="3">
        <v>13963.54905</v>
      </c>
      <c r="H298" s="3">
        <v>2430.1267699999999</v>
      </c>
      <c r="I298" s="3">
        <v>206207.53875000001</v>
      </c>
      <c r="J298" s="719">
        <v>1.6978014386431199</v>
      </c>
      <c r="K298" s="719">
        <v>1.9862972433580599</v>
      </c>
      <c r="L298" s="719">
        <v>2.30451878495519</v>
      </c>
      <c r="M298" s="719">
        <v>2.0084342303030699E-2</v>
      </c>
    </row>
    <row r="299" spans="1:18" s="112" customFormat="1" ht="15" customHeight="1">
      <c r="A299" s="69" t="s">
        <v>27</v>
      </c>
      <c r="B299" s="3">
        <v>174490.82407999999</v>
      </c>
      <c r="C299" s="3">
        <v>11902.11485</v>
      </c>
      <c r="D299" s="3">
        <v>715.02520000000004</v>
      </c>
      <c r="E299" s="3">
        <v>1072757.2592800001</v>
      </c>
      <c r="F299" s="3">
        <v>132023.04383000001</v>
      </c>
      <c r="G299" s="3">
        <v>10804.57727</v>
      </c>
      <c r="H299" s="3">
        <v>1319.9917</v>
      </c>
      <c r="I299" s="3">
        <v>195318.28766</v>
      </c>
      <c r="J299" s="719">
        <v>1.69798406343151</v>
      </c>
      <c r="K299" s="719">
        <v>1.9722066564434499</v>
      </c>
      <c r="L299" s="719">
        <v>2.2736142678471101</v>
      </c>
      <c r="M299" s="719">
        <v>2.0572629522706502E-2</v>
      </c>
    </row>
    <row r="300" spans="1:18" s="112" customFormat="1" ht="15" customHeight="1">
      <c r="A300" s="69" t="s">
        <v>28</v>
      </c>
      <c r="B300" s="3">
        <v>149625.39076000001</v>
      </c>
      <c r="C300" s="3">
        <v>8442.1435299999994</v>
      </c>
      <c r="D300" s="3">
        <v>339.64805000000001</v>
      </c>
      <c r="E300" s="3">
        <v>764683.34031</v>
      </c>
      <c r="F300" s="3">
        <v>94306.071209999995</v>
      </c>
      <c r="G300" s="3">
        <v>9201.6311800000003</v>
      </c>
      <c r="H300" s="3">
        <v>797.26441999999997</v>
      </c>
      <c r="I300" s="3">
        <v>167401.72805999999</v>
      </c>
      <c r="J300" s="719">
        <v>1.6976710918106599</v>
      </c>
      <c r="K300" s="719">
        <v>1.9589630704860701</v>
      </c>
      <c r="L300" s="719">
        <v>2.23812367859946</v>
      </c>
      <c r="M300" s="719">
        <v>2.0732000157231499E-2</v>
      </c>
    </row>
    <row r="301" spans="1:18" s="112" customFormat="1" ht="15" customHeight="1">
      <c r="A301" s="69" t="s">
        <v>29</v>
      </c>
      <c r="B301" s="3">
        <v>182422.32995000001</v>
      </c>
      <c r="C301" s="3">
        <v>11133.46363</v>
      </c>
      <c r="D301" s="3">
        <v>589.78474000000006</v>
      </c>
      <c r="E301" s="3">
        <v>1134828.5285499999</v>
      </c>
      <c r="F301" s="3">
        <v>163306.9515</v>
      </c>
      <c r="G301" s="3">
        <v>11688.440500000001</v>
      </c>
      <c r="H301" s="3">
        <v>1042.5444600000001</v>
      </c>
      <c r="I301" s="3">
        <v>195255.91032</v>
      </c>
      <c r="J301" s="719">
        <v>1.6985668873670701</v>
      </c>
      <c r="K301" s="719">
        <v>1.98586858501105</v>
      </c>
      <c r="L301" s="719">
        <v>2.2739549968511299</v>
      </c>
      <c r="M301" s="719">
        <v>2.1324504438377401E-2</v>
      </c>
    </row>
    <row r="302" spans="1:18" s="112" customFormat="1" ht="15" customHeight="1">
      <c r="A302" s="69" t="s">
        <v>4465</v>
      </c>
      <c r="B302" s="269">
        <f>SUM(B303:B308)</f>
        <v>949667.05631000001</v>
      </c>
      <c r="C302" s="269">
        <f t="shared" ref="C302:I302" si="23">SUM(C303:C308)</f>
        <v>62225.051140000003</v>
      </c>
      <c r="D302" s="269">
        <f t="shared" si="23"/>
        <v>2790.1871799999999</v>
      </c>
      <c r="E302" s="269">
        <f t="shared" si="23"/>
        <v>9645756.4168200009</v>
      </c>
      <c r="F302" s="269">
        <f t="shared" si="23"/>
        <v>569047.10058109998</v>
      </c>
      <c r="G302" s="269">
        <f t="shared" si="23"/>
        <v>69803.915789999999</v>
      </c>
      <c r="H302" s="269">
        <f t="shared" si="23"/>
        <v>8356.7053500000002</v>
      </c>
      <c r="I302" s="269">
        <f t="shared" si="23"/>
        <v>886917.70405000006</v>
      </c>
      <c r="J302" s="718">
        <v>1.6976888562140799</v>
      </c>
      <c r="K302" s="718">
        <v>1.98000422973751</v>
      </c>
      <c r="L302" s="718">
        <v>2.2951692759888802</v>
      </c>
      <c r="M302" s="718">
        <v>2.2125034161466401E-2</v>
      </c>
      <c r="N302" s="2023"/>
      <c r="O302" s="2023"/>
      <c r="P302" s="2023"/>
      <c r="Q302" s="2023"/>
      <c r="R302" s="2023"/>
    </row>
    <row r="303" spans="1:18" s="112" customFormat="1" ht="15" customHeight="1">
      <c r="A303" s="2003" t="s">
        <v>18</v>
      </c>
      <c r="B303" s="3">
        <v>124869.11847</v>
      </c>
      <c r="C303" s="3">
        <v>9521.0211500000005</v>
      </c>
      <c r="D303" s="3">
        <v>362.76958000000002</v>
      </c>
      <c r="E303" s="3">
        <v>1182168.0536700001</v>
      </c>
      <c r="F303" s="3">
        <v>135554.69779000001</v>
      </c>
      <c r="G303" s="3">
        <v>8086.91489</v>
      </c>
      <c r="H303" s="3">
        <v>1683.53872</v>
      </c>
      <c r="I303" s="3">
        <v>129343.68442000001</v>
      </c>
      <c r="J303" s="719">
        <v>1.69879005275022</v>
      </c>
      <c r="K303" s="719">
        <v>1.9912754856458501</v>
      </c>
      <c r="L303" s="719">
        <v>2.3122845646807</v>
      </c>
      <c r="M303" s="719">
        <v>2.15098171347782E-2</v>
      </c>
    </row>
    <row r="304" spans="1:18" s="112" customFormat="1" ht="15" customHeight="1">
      <c r="A304" s="2003" t="s">
        <v>19</v>
      </c>
      <c r="B304" s="3">
        <v>145160.91949</v>
      </c>
      <c r="C304" s="3">
        <v>8932.1870299999991</v>
      </c>
      <c r="D304" s="3">
        <v>317.57236999999998</v>
      </c>
      <c r="E304" s="3">
        <v>438456.21503999998</v>
      </c>
      <c r="F304" s="3">
        <v>98676.471990999999</v>
      </c>
      <c r="G304" s="3">
        <v>9755.5278699999999</v>
      </c>
      <c r="H304" s="3">
        <v>1134.4492700000001</v>
      </c>
      <c r="I304" s="3">
        <v>141037.07053</v>
      </c>
      <c r="J304" s="719">
        <v>1.6982467303589599</v>
      </c>
      <c r="K304" s="719">
        <v>2.0075192123952998</v>
      </c>
      <c r="L304" s="719">
        <v>2.3253196526843798</v>
      </c>
      <c r="M304" s="719">
        <v>2.17872079228844E-2</v>
      </c>
    </row>
    <row r="305" spans="1:13" s="112" customFormat="1" ht="15" customHeight="1">
      <c r="A305" s="2003" t="s">
        <v>20</v>
      </c>
      <c r="B305" s="3">
        <v>121347.69689000001</v>
      </c>
      <c r="C305" s="3">
        <v>6386.5351700000001</v>
      </c>
      <c r="D305" s="3">
        <v>296.68362999999999</v>
      </c>
      <c r="E305" s="3">
        <v>416672.78162999998</v>
      </c>
      <c r="F305" s="3">
        <v>87773.194140099993</v>
      </c>
      <c r="G305" s="3">
        <v>12166.41684</v>
      </c>
      <c r="H305" s="3">
        <v>1319.42887</v>
      </c>
      <c r="I305" s="3">
        <v>137323.304</v>
      </c>
      <c r="J305" s="719">
        <v>1.6981418264928401</v>
      </c>
      <c r="K305" s="719">
        <v>1.9667644059868901</v>
      </c>
      <c r="L305" s="719">
        <v>2.2800193341366999</v>
      </c>
      <c r="M305" s="719">
        <v>2.1049355117321599E-2</v>
      </c>
    </row>
    <row r="306" spans="1:13" s="112" customFormat="1" ht="15" customHeight="1">
      <c r="A306" s="2003" t="s">
        <v>21</v>
      </c>
      <c r="B306" s="3">
        <v>191246.08749999999</v>
      </c>
      <c r="C306" s="3">
        <v>12607.539210000001</v>
      </c>
      <c r="D306" s="3">
        <v>760.36797999999999</v>
      </c>
      <c r="E306" s="3">
        <v>1151142.9454999999</v>
      </c>
      <c r="F306" s="3">
        <v>95887.748789999998</v>
      </c>
      <c r="G306" s="3">
        <v>9861.9822800000002</v>
      </c>
      <c r="H306" s="3">
        <v>1673.69292</v>
      </c>
      <c r="I306" s="3">
        <v>172792.45446000001</v>
      </c>
      <c r="J306" s="719">
        <v>1.69772918681943</v>
      </c>
      <c r="K306" s="719">
        <v>1.97852121863397</v>
      </c>
      <c r="L306" s="719">
        <v>2.2839195500482301</v>
      </c>
      <c r="M306" s="719">
        <v>2.1761851899979801E-2</v>
      </c>
    </row>
    <row r="307" spans="1:13" s="112" customFormat="1" ht="15" customHeight="1">
      <c r="A307" s="2003" t="s">
        <v>22</v>
      </c>
      <c r="B307" s="3">
        <v>180604.31339</v>
      </c>
      <c r="C307" s="3">
        <v>7860.4926999999998</v>
      </c>
      <c r="D307" s="3">
        <v>508.00366000000002</v>
      </c>
      <c r="E307" s="3">
        <v>1670474.8679500001</v>
      </c>
      <c r="F307" s="3">
        <v>71436.38046</v>
      </c>
      <c r="G307" s="3">
        <v>14874.58697</v>
      </c>
      <c r="H307" s="3">
        <v>875.66432999999995</v>
      </c>
      <c r="I307" s="3">
        <v>143394.21476</v>
      </c>
      <c r="J307" s="719">
        <v>1.69697541895237</v>
      </c>
      <c r="K307" s="719">
        <v>1.98816835540893</v>
      </c>
      <c r="L307" s="719">
        <v>2.29843106594307</v>
      </c>
      <c r="M307" s="719">
        <v>2.2697842273428501E-2</v>
      </c>
    </row>
    <row r="308" spans="1:13" s="112" customFormat="1" ht="14.45" customHeight="1">
      <c r="A308" s="69" t="s">
        <v>23</v>
      </c>
      <c r="B308" s="3">
        <v>186438.92056999999</v>
      </c>
      <c r="C308" s="3">
        <v>16917.275880000001</v>
      </c>
      <c r="D308" s="3">
        <v>544.78995999999995</v>
      </c>
      <c r="E308" s="3">
        <v>4786841.5530300001</v>
      </c>
      <c r="F308" s="3">
        <v>79718.607409999997</v>
      </c>
      <c r="G308" s="3">
        <v>15058.486940000001</v>
      </c>
      <c r="H308" s="3">
        <v>1669.9312399999999</v>
      </c>
      <c r="I308" s="3">
        <v>163026.97588000001</v>
      </c>
      <c r="J308" s="719">
        <v>1.69639312892673</v>
      </c>
      <c r="K308" s="719">
        <v>1.9606362043037899</v>
      </c>
      <c r="L308" s="719">
        <v>2.2809693565483502</v>
      </c>
      <c r="M308" s="719">
        <v>2.2336946831682299E-2</v>
      </c>
    </row>
    <row r="309" spans="1:13" s="465" customFormat="1" ht="33.75" customHeight="1">
      <c r="A309" s="2536" t="s">
        <v>2690</v>
      </c>
      <c r="B309" s="2537"/>
      <c r="C309" s="2537"/>
      <c r="D309" s="2537"/>
      <c r="E309" s="2537"/>
      <c r="F309" s="2537"/>
      <c r="G309" s="2537"/>
      <c r="H309" s="2537"/>
      <c r="I309" s="2537"/>
      <c r="J309" s="2537"/>
      <c r="K309" s="2537"/>
      <c r="L309" s="2537"/>
      <c r="M309" s="2538"/>
    </row>
    <row r="310" spans="1:13">
      <c r="B310" s="170"/>
      <c r="C310" s="171"/>
      <c r="D310" s="162"/>
      <c r="E310" s="162"/>
      <c r="F310" s="162"/>
      <c r="G310" s="162"/>
      <c r="H310" s="162"/>
      <c r="I310" s="162"/>
      <c r="J310" s="162"/>
      <c r="K310" s="162"/>
      <c r="L310" s="162"/>
      <c r="M310" s="162"/>
    </row>
    <row r="311" spans="1:13">
      <c r="B311" s="170"/>
      <c r="C311" s="171"/>
      <c r="D311" s="162"/>
      <c r="E311" s="162"/>
      <c r="F311" s="162"/>
      <c r="G311" s="162"/>
      <c r="H311" s="162"/>
      <c r="I311" s="162"/>
      <c r="J311" s="162"/>
      <c r="K311" s="162"/>
      <c r="L311" s="162"/>
      <c r="M311" s="162"/>
    </row>
    <row r="312" spans="1:13">
      <c r="A312" s="69"/>
      <c r="B312" s="169"/>
      <c r="C312" s="169"/>
      <c r="D312" s="169"/>
      <c r="E312" s="169"/>
      <c r="F312" s="905"/>
      <c r="G312" s="169"/>
      <c r="H312" s="169"/>
      <c r="I312" s="162"/>
      <c r="J312" s="162"/>
      <c r="K312" s="162"/>
      <c r="L312" s="162"/>
      <c r="M312" s="162"/>
    </row>
    <row r="313" spans="1:13">
      <c r="A313" s="69"/>
      <c r="B313" s="169"/>
      <c r="C313" s="162"/>
      <c r="D313" s="171"/>
      <c r="E313" s="162"/>
      <c r="F313" s="162"/>
      <c r="G313" s="162"/>
      <c r="H313" s="106"/>
      <c r="I313" s="162"/>
      <c r="J313" s="162"/>
      <c r="K313" s="162"/>
      <c r="L313" s="162"/>
      <c r="M313" s="162"/>
    </row>
    <row r="314" spans="1:13">
      <c r="A314" s="69"/>
      <c r="B314" s="169"/>
      <c r="C314" s="162"/>
      <c r="D314" s="162"/>
      <c r="E314" s="162"/>
      <c r="F314" s="162"/>
      <c r="G314" s="162"/>
      <c r="H314" s="162"/>
      <c r="I314" s="162"/>
      <c r="J314" s="162"/>
      <c r="K314" s="162"/>
      <c r="L314" s="162"/>
      <c r="M314" s="162"/>
    </row>
    <row r="315" spans="1:13">
      <c r="A315" s="69"/>
      <c r="B315" s="162"/>
      <c r="C315" s="171"/>
      <c r="D315" s="171"/>
      <c r="E315" s="171"/>
      <c r="F315" s="162"/>
      <c r="G315" s="162"/>
      <c r="H315" s="171"/>
      <c r="I315" s="162"/>
      <c r="J315" s="162"/>
      <c r="K315" s="162"/>
      <c r="L315" s="162"/>
      <c r="M315" s="162"/>
    </row>
    <row r="316" spans="1:13">
      <c r="A316" s="68"/>
      <c r="B316" s="162"/>
      <c r="C316" s="171"/>
      <c r="D316" s="171"/>
      <c r="E316" s="171"/>
      <c r="F316" s="162"/>
      <c r="G316" s="162"/>
      <c r="H316" s="171"/>
      <c r="I316" s="162"/>
      <c r="J316" s="162"/>
      <c r="K316" s="162"/>
      <c r="L316" s="162"/>
      <c r="M316" s="162"/>
    </row>
    <row r="317" spans="1:13">
      <c r="A317" s="68"/>
      <c r="B317" s="171"/>
      <c r="C317" s="171"/>
      <c r="D317" s="171"/>
      <c r="E317" s="171"/>
      <c r="F317" s="162"/>
      <c r="G317" s="162"/>
      <c r="H317" s="171"/>
      <c r="I317" s="162"/>
      <c r="J317" s="162"/>
      <c r="K317" s="162"/>
      <c r="L317" s="162"/>
      <c r="M317" s="162"/>
    </row>
    <row r="318" spans="1:13">
      <c r="A318" s="69"/>
      <c r="B318" s="171"/>
      <c r="C318" s="171"/>
      <c r="D318" s="171"/>
      <c r="E318" s="171"/>
      <c r="F318" s="162"/>
      <c r="G318" s="162"/>
      <c r="H318" s="171"/>
      <c r="I318" s="162"/>
      <c r="J318" s="162"/>
      <c r="K318" s="162"/>
      <c r="L318" s="162"/>
      <c r="M318" s="162"/>
    </row>
    <row r="319" spans="1:13">
      <c r="A319" s="68"/>
      <c r="B319" s="171"/>
      <c r="C319" s="171"/>
      <c r="D319" s="171"/>
      <c r="E319" s="171"/>
      <c r="F319" s="162"/>
      <c r="G319" s="162"/>
      <c r="H319" s="171"/>
      <c r="I319" s="162"/>
      <c r="J319" s="162"/>
      <c r="K319" s="162"/>
      <c r="L319" s="162"/>
      <c r="M319" s="162"/>
    </row>
    <row r="320" spans="1:13">
      <c r="A320" s="68"/>
      <c r="B320" s="171"/>
      <c r="C320" s="162"/>
      <c r="D320" s="171"/>
      <c r="E320" s="162"/>
      <c r="F320" s="162"/>
      <c r="G320" s="162"/>
      <c r="H320" s="162"/>
      <c r="I320" s="162"/>
      <c r="J320" s="162"/>
      <c r="K320" s="162"/>
      <c r="L320" s="162"/>
      <c r="M320" s="162"/>
    </row>
    <row r="321" spans="1:13">
      <c r="A321" s="69"/>
      <c r="B321" s="171"/>
      <c r="C321" s="162"/>
      <c r="D321" s="162"/>
      <c r="E321" s="162"/>
      <c r="F321" s="162"/>
      <c r="G321" s="162"/>
      <c r="H321" s="171"/>
      <c r="I321" s="162"/>
      <c r="J321" s="162"/>
      <c r="K321" s="162"/>
      <c r="L321" s="162"/>
      <c r="M321" s="162"/>
    </row>
    <row r="322" spans="1:13">
      <c r="A322" s="69"/>
      <c r="B322" s="162" t="s">
        <v>115</v>
      </c>
      <c r="C322" s="171"/>
      <c r="D322" s="171"/>
      <c r="E322" s="171"/>
      <c r="F322" s="162"/>
      <c r="G322" s="162"/>
      <c r="H322" s="171"/>
      <c r="I322" s="162"/>
      <c r="J322" s="162"/>
      <c r="K322" s="162"/>
      <c r="L322" s="162"/>
      <c r="M322" s="162"/>
    </row>
    <row r="323" spans="1:13">
      <c r="A323" s="69"/>
      <c r="B323" s="162"/>
      <c r="C323" s="171"/>
      <c r="D323" s="171"/>
      <c r="E323" s="171"/>
      <c r="F323" s="162"/>
      <c r="G323" s="162"/>
      <c r="H323" s="171"/>
      <c r="I323" s="162"/>
      <c r="J323" s="162"/>
      <c r="K323" s="162"/>
      <c r="L323" s="162"/>
      <c r="M323" s="162"/>
    </row>
    <row r="324" spans="1:13">
      <c r="A324" s="69"/>
      <c r="B324" s="171"/>
      <c r="C324" s="169"/>
      <c r="D324" s="169"/>
      <c r="E324" s="169"/>
      <c r="F324" s="169"/>
      <c r="G324" s="169"/>
      <c r="H324" s="169"/>
      <c r="I324" s="162"/>
      <c r="J324" s="162"/>
      <c r="K324" s="162"/>
      <c r="L324" s="162"/>
      <c r="M324" s="162"/>
    </row>
    <row r="325" spans="1:13">
      <c r="A325" s="69"/>
      <c r="B325" s="171"/>
      <c r="C325" s="162"/>
      <c r="D325" s="162"/>
      <c r="E325" s="162"/>
      <c r="F325" s="162"/>
      <c r="G325" s="162"/>
      <c r="H325" s="162"/>
      <c r="I325" s="162"/>
      <c r="J325" s="162"/>
      <c r="K325" s="162"/>
      <c r="L325" s="162"/>
      <c r="M325" s="162"/>
    </row>
    <row r="326" spans="1:13">
      <c r="A326" s="68"/>
      <c r="B326" s="169"/>
      <c r="C326" s="162"/>
      <c r="D326" s="162"/>
      <c r="E326" s="162"/>
      <c r="F326" s="162"/>
      <c r="G326" s="162"/>
      <c r="H326" s="162"/>
      <c r="I326" s="162"/>
      <c r="J326" s="162"/>
      <c r="K326" s="162"/>
      <c r="L326" s="162"/>
      <c r="M326" s="162"/>
    </row>
    <row r="327" spans="1:13">
      <c r="A327" s="68"/>
      <c r="B327" s="162"/>
      <c r="C327" s="162"/>
      <c r="D327" s="162"/>
      <c r="E327" s="162"/>
      <c r="F327" s="162"/>
      <c r="G327" s="162"/>
      <c r="H327" s="162"/>
      <c r="I327" s="162"/>
      <c r="J327" s="162"/>
      <c r="K327" s="162"/>
      <c r="L327" s="162"/>
      <c r="M327" s="162"/>
    </row>
    <row r="328" spans="1:13">
      <c r="A328" s="69"/>
      <c r="B328" s="162"/>
      <c r="C328" s="162"/>
      <c r="D328" s="162"/>
      <c r="E328" s="162"/>
      <c r="F328" s="162"/>
      <c r="G328" s="162"/>
      <c r="H328" s="162"/>
      <c r="I328" s="162"/>
      <c r="J328" s="162"/>
      <c r="K328" s="162"/>
      <c r="L328" s="162"/>
      <c r="M328" s="162"/>
    </row>
    <row r="329" spans="1:13">
      <c r="A329" s="69"/>
      <c r="B329" s="162"/>
      <c r="C329" s="162"/>
      <c r="D329" s="162"/>
      <c r="E329" s="162"/>
      <c r="F329" s="162"/>
      <c r="G329" s="162"/>
      <c r="H329" s="162"/>
      <c r="I329" s="162"/>
      <c r="J329" s="162"/>
      <c r="K329" s="162"/>
      <c r="L329" s="162"/>
      <c r="M329" s="162"/>
    </row>
    <row r="330" spans="1:13">
      <c r="A330" s="68"/>
      <c r="B330" s="162"/>
      <c r="C330" s="162"/>
      <c r="D330" s="162"/>
      <c r="E330" s="162"/>
      <c r="F330" s="162"/>
      <c r="G330" s="162"/>
      <c r="H330" s="162"/>
      <c r="I330" s="162"/>
      <c r="J330" s="162"/>
      <c r="K330" s="162"/>
      <c r="L330" s="162"/>
      <c r="M330" s="162"/>
    </row>
    <row r="331" spans="1:13">
      <c r="A331" s="68"/>
      <c r="B331" s="162"/>
      <c r="C331" s="162"/>
      <c r="D331" s="162"/>
      <c r="E331" s="162"/>
      <c r="F331" s="162"/>
      <c r="G331" s="162"/>
      <c r="H331" s="162"/>
      <c r="I331" s="162"/>
      <c r="J331" s="162"/>
      <c r="K331" s="162"/>
      <c r="L331" s="162"/>
      <c r="M331" s="162"/>
    </row>
    <row r="332" spans="1:13">
      <c r="A332" s="68"/>
      <c r="B332" s="162"/>
      <c r="C332" s="162"/>
      <c r="D332" s="162"/>
      <c r="E332" s="162"/>
      <c r="F332" s="162"/>
      <c r="G332" s="162"/>
      <c r="H332" s="162"/>
      <c r="I332" s="162"/>
      <c r="J332" s="162"/>
      <c r="K332" s="162"/>
      <c r="L332" s="162"/>
      <c r="M332" s="162"/>
    </row>
    <row r="333" spans="1:13">
      <c r="A333" s="68"/>
      <c r="B333" s="162"/>
      <c r="C333" s="162"/>
      <c r="D333" s="162"/>
      <c r="E333" s="162"/>
      <c r="F333" s="162"/>
      <c r="G333" s="162"/>
      <c r="H333" s="162"/>
      <c r="I333" s="162"/>
      <c r="J333" s="162"/>
      <c r="K333" s="162"/>
      <c r="L333" s="162"/>
      <c r="M333" s="162"/>
    </row>
    <row r="334" spans="1:13">
      <c r="A334" s="68"/>
      <c r="B334" s="162"/>
      <c r="C334" s="162"/>
      <c r="D334" s="162"/>
      <c r="E334" s="162"/>
      <c r="F334" s="162"/>
      <c r="G334" s="162"/>
      <c r="H334" s="162"/>
      <c r="I334" s="162"/>
      <c r="J334" s="162"/>
      <c r="K334" s="162"/>
      <c r="L334" s="162"/>
      <c r="M334" s="162"/>
    </row>
    <row r="335" spans="1:13">
      <c r="A335" s="68"/>
      <c r="B335" s="162"/>
      <c r="C335" s="162"/>
      <c r="D335" s="162"/>
      <c r="E335" s="162"/>
      <c r="F335" s="162"/>
      <c r="G335" s="162"/>
      <c r="H335" s="162"/>
      <c r="I335" s="162"/>
      <c r="J335" s="162"/>
      <c r="K335" s="162"/>
      <c r="L335" s="162"/>
      <c r="M335" s="162"/>
    </row>
    <row r="336" spans="1:13">
      <c r="A336" s="68"/>
      <c r="B336" s="162"/>
      <c r="C336" s="162"/>
      <c r="D336" s="162"/>
      <c r="E336" s="162"/>
      <c r="F336" s="162"/>
      <c r="G336" s="162"/>
      <c r="H336" s="162"/>
      <c r="I336" s="162"/>
      <c r="J336" s="162"/>
      <c r="K336" s="162"/>
      <c r="L336" s="162"/>
      <c r="M336" s="162"/>
    </row>
    <row r="337" spans="1:13">
      <c r="A337" s="68"/>
      <c r="B337" s="162"/>
      <c r="C337" s="162"/>
      <c r="D337" s="162"/>
      <c r="E337" s="162"/>
      <c r="F337" s="162"/>
      <c r="G337" s="162"/>
      <c r="H337" s="162"/>
      <c r="I337" s="162"/>
      <c r="J337" s="162"/>
      <c r="K337" s="162"/>
      <c r="L337" s="162"/>
      <c r="M337" s="162"/>
    </row>
    <row r="338" spans="1:13">
      <c r="A338" s="68"/>
      <c r="B338" s="162"/>
      <c r="C338" s="162"/>
      <c r="D338" s="162"/>
      <c r="E338" s="162"/>
      <c r="F338" s="162"/>
      <c r="G338" s="162"/>
      <c r="H338" s="162"/>
      <c r="I338" s="162"/>
      <c r="J338" s="162"/>
      <c r="K338" s="162"/>
      <c r="L338" s="162"/>
      <c r="M338" s="162"/>
    </row>
    <row r="339" spans="1:13">
      <c r="A339" s="68"/>
      <c r="B339" s="162"/>
      <c r="C339" s="162"/>
      <c r="D339" s="162"/>
      <c r="E339" s="162"/>
      <c r="F339" s="162"/>
      <c r="G339" s="162"/>
      <c r="H339" s="162"/>
      <c r="I339" s="162"/>
      <c r="J339" s="162"/>
      <c r="K339" s="162"/>
      <c r="L339" s="162"/>
      <c r="M339" s="162"/>
    </row>
    <row r="340" spans="1:13">
      <c r="A340" s="68"/>
      <c r="B340" s="162"/>
      <c r="C340" s="162"/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</row>
    <row r="341" spans="1:13">
      <c r="A341" s="68"/>
      <c r="B341" s="162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</row>
    <row r="342" spans="1:13">
      <c r="A342" s="68"/>
      <c r="B342" s="162"/>
      <c r="C342" s="162"/>
      <c r="D342" s="162"/>
      <c r="E342" s="162"/>
      <c r="F342" s="162"/>
      <c r="G342" s="162"/>
      <c r="H342" s="162"/>
      <c r="I342" s="162"/>
      <c r="J342" s="162"/>
      <c r="K342" s="162"/>
      <c r="L342" s="162"/>
      <c r="M342" s="162"/>
    </row>
    <row r="343" spans="1:13">
      <c r="A343" s="68"/>
      <c r="B343" s="162"/>
      <c r="C343" s="162"/>
      <c r="D343" s="162"/>
      <c r="E343" s="162"/>
      <c r="F343" s="162"/>
      <c r="G343" s="162"/>
      <c r="H343" s="162"/>
      <c r="I343" s="162"/>
      <c r="J343" s="162"/>
      <c r="K343" s="162"/>
      <c r="L343" s="162"/>
      <c r="M343" s="162"/>
    </row>
    <row r="344" spans="1:13">
      <c r="A344" s="68"/>
      <c r="B344" s="162"/>
      <c r="C344" s="162"/>
      <c r="D344" s="162"/>
      <c r="E344" s="162"/>
      <c r="F344" s="162"/>
      <c r="G344" s="162"/>
      <c r="H344" s="162"/>
      <c r="I344" s="162"/>
      <c r="J344" s="162"/>
      <c r="K344" s="162"/>
      <c r="L344" s="162"/>
      <c r="M344" s="162"/>
    </row>
    <row r="345" spans="1:13">
      <c r="A345" s="68"/>
      <c r="B345" s="162"/>
      <c r="C345" s="162"/>
      <c r="D345" s="162"/>
      <c r="E345" s="162"/>
      <c r="F345" s="162"/>
      <c r="G345" s="162"/>
      <c r="H345" s="162"/>
      <c r="I345" s="162"/>
      <c r="J345" s="162"/>
      <c r="K345" s="162"/>
      <c r="L345" s="162"/>
      <c r="M345" s="162"/>
    </row>
    <row r="346" spans="1:13">
      <c r="A346" s="68"/>
      <c r="B346" s="162"/>
      <c r="C346" s="162"/>
      <c r="D346" s="162"/>
      <c r="E346" s="162"/>
      <c r="F346" s="162"/>
      <c r="G346" s="162"/>
      <c r="H346" s="162"/>
      <c r="I346" s="162"/>
      <c r="J346" s="162"/>
      <c r="K346" s="162"/>
      <c r="L346" s="162"/>
      <c r="M346" s="162"/>
    </row>
    <row r="347" spans="1:13">
      <c r="A347" s="68"/>
      <c r="B347" s="162"/>
      <c r="C347" s="162"/>
      <c r="D347" s="162"/>
      <c r="E347" s="162"/>
      <c r="F347" s="162"/>
      <c r="G347" s="162"/>
      <c r="H347" s="162"/>
      <c r="I347" s="162"/>
      <c r="J347" s="162"/>
      <c r="K347" s="162"/>
      <c r="L347" s="162"/>
      <c r="M347" s="162"/>
    </row>
    <row r="348" spans="1:13">
      <c r="A348" s="68"/>
      <c r="B348" s="162"/>
      <c r="C348" s="162"/>
      <c r="D348" s="162"/>
      <c r="E348" s="162"/>
      <c r="F348" s="162"/>
      <c r="G348" s="162"/>
      <c r="H348" s="162"/>
      <c r="I348" s="162"/>
      <c r="J348" s="162"/>
      <c r="K348" s="162"/>
      <c r="L348" s="162"/>
      <c r="M348" s="162"/>
    </row>
    <row r="349" spans="1:13">
      <c r="A349" s="68"/>
      <c r="B349" s="162"/>
      <c r="C349" s="162"/>
      <c r="D349" s="162"/>
      <c r="E349" s="162"/>
      <c r="F349" s="162"/>
      <c r="G349" s="162"/>
      <c r="H349" s="162"/>
      <c r="I349" s="162"/>
      <c r="J349" s="162"/>
      <c r="K349" s="162"/>
      <c r="L349" s="162"/>
      <c r="M349" s="162"/>
    </row>
    <row r="350" spans="1:13">
      <c r="A350" s="68"/>
      <c r="B350" s="162"/>
      <c r="C350" s="162"/>
      <c r="D350" s="162"/>
      <c r="E350" s="162"/>
      <c r="F350" s="162"/>
      <c r="G350" s="162"/>
      <c r="H350" s="162"/>
      <c r="I350" s="162"/>
      <c r="J350" s="162"/>
      <c r="K350" s="162"/>
      <c r="L350" s="162"/>
      <c r="M350" s="162"/>
    </row>
    <row r="351" spans="1:13">
      <c r="A351" s="68"/>
      <c r="B351" s="162"/>
      <c r="C351" s="162"/>
      <c r="D351" s="162"/>
      <c r="E351" s="162"/>
      <c r="F351" s="162"/>
      <c r="G351" s="162"/>
      <c r="H351" s="162"/>
      <c r="I351" s="162"/>
      <c r="J351" s="162"/>
      <c r="K351" s="162"/>
      <c r="L351" s="162"/>
      <c r="M351" s="162"/>
    </row>
    <row r="352" spans="1:13">
      <c r="A352" s="68"/>
      <c r="B352" s="162"/>
      <c r="C352" s="162"/>
      <c r="D352" s="162"/>
      <c r="E352" s="162"/>
      <c r="F352" s="162"/>
      <c r="G352" s="162"/>
      <c r="H352" s="162"/>
      <c r="I352" s="162"/>
      <c r="J352" s="162"/>
      <c r="K352" s="162"/>
      <c r="L352" s="162"/>
      <c r="M352" s="162"/>
    </row>
    <row r="353" spans="1:13">
      <c r="A353" s="68"/>
      <c r="B353" s="162"/>
      <c r="C353" s="162"/>
      <c r="D353" s="162"/>
      <c r="E353" s="162"/>
      <c r="F353" s="162"/>
      <c r="G353" s="162"/>
      <c r="H353" s="162"/>
      <c r="I353" s="162"/>
      <c r="J353" s="162"/>
      <c r="K353" s="162"/>
      <c r="L353" s="162"/>
      <c r="M353" s="162"/>
    </row>
    <row r="354" spans="1:13">
      <c r="A354" s="68"/>
      <c r="B354" s="162"/>
      <c r="C354" s="162"/>
      <c r="D354" s="162"/>
      <c r="E354" s="162"/>
      <c r="F354" s="162"/>
      <c r="G354" s="162"/>
      <c r="H354" s="162"/>
      <c r="I354" s="162"/>
      <c r="J354" s="162"/>
      <c r="K354" s="162"/>
      <c r="L354" s="162"/>
      <c r="M354" s="162"/>
    </row>
    <row r="355" spans="1:13">
      <c r="A355" s="68"/>
      <c r="B355" s="162"/>
      <c r="C355" s="162"/>
      <c r="D355" s="162"/>
      <c r="E355" s="162"/>
      <c r="F355" s="162"/>
      <c r="G355" s="162"/>
      <c r="H355" s="162"/>
      <c r="I355" s="162"/>
      <c r="J355" s="162"/>
      <c r="K355" s="162"/>
      <c r="L355" s="162"/>
      <c r="M355" s="162"/>
    </row>
    <row r="356" spans="1:13">
      <c r="A356" s="68"/>
      <c r="B356" s="162"/>
      <c r="C356" s="162"/>
      <c r="D356" s="162"/>
      <c r="E356" s="162"/>
      <c r="F356" s="162"/>
      <c r="G356" s="162"/>
      <c r="H356" s="162"/>
      <c r="I356" s="162"/>
      <c r="J356" s="162"/>
      <c r="K356" s="162"/>
      <c r="L356" s="162"/>
      <c r="M356" s="162"/>
    </row>
    <row r="357" spans="1:13">
      <c r="A357" s="68"/>
      <c r="B357" s="162"/>
      <c r="C357" s="162"/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</row>
    <row r="358" spans="1:13">
      <c r="A358" s="68"/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</row>
    <row r="359" spans="1:13">
      <c r="A359" s="68"/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</row>
    <row r="360" spans="1:13">
      <c r="A360" s="68"/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</row>
    <row r="361" spans="1:13">
      <c r="A361" s="68"/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</row>
    <row r="362" spans="1:13">
      <c r="A362" s="68"/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</row>
    <row r="363" spans="1:13">
      <c r="A363" s="68"/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</row>
    <row r="364" spans="1:13">
      <c r="A364" s="68"/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</row>
    <row r="365" spans="1:13">
      <c r="A365" s="68"/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</row>
    <row r="366" spans="1:13">
      <c r="A366" s="68"/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</row>
    <row r="367" spans="1:13">
      <c r="A367" s="68"/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</row>
    <row r="368" spans="1:13">
      <c r="A368" s="68"/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</row>
    <row r="369" spans="1:13">
      <c r="A369" s="68"/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</row>
    <row r="370" spans="1:13">
      <c r="A370" s="68"/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</row>
    <row r="371" spans="1:13">
      <c r="A371" s="68"/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</row>
    <row r="372" spans="1:13">
      <c r="A372" s="68"/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</row>
    <row r="373" spans="1:13">
      <c r="A373" s="68"/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</row>
    <row r="374" spans="1:13">
      <c r="A374" s="68"/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</row>
    <row r="375" spans="1:13">
      <c r="A375" s="68"/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</row>
    <row r="376" spans="1:13">
      <c r="A376" s="68"/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</row>
    <row r="377" spans="1:13">
      <c r="A377" s="68"/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</row>
    <row r="378" spans="1:13">
      <c r="A378" s="68"/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</row>
    <row r="379" spans="1:13">
      <c r="A379" s="68"/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</row>
    <row r="380" spans="1:13">
      <c r="A380" s="68"/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</row>
    <row r="381" spans="1:13">
      <c r="A381" s="68"/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</row>
    <row r="382" spans="1:13">
      <c r="A382" s="68"/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</row>
    <row r="383" spans="1:13">
      <c r="A383" s="68"/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</row>
    <row r="384" spans="1:13">
      <c r="A384" s="68"/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</row>
    <row r="385" spans="1:13">
      <c r="A385" s="68"/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</row>
    <row r="386" spans="1:13">
      <c r="A386" s="68"/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</row>
    <row r="387" spans="1:13">
      <c r="A387" s="68"/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</row>
    <row r="388" spans="1:13">
      <c r="A388" s="68"/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</row>
    <row r="389" spans="1:13">
      <c r="A389" s="68"/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</row>
    <row r="390" spans="1:13">
      <c r="A390" s="68"/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</row>
    <row r="391" spans="1:13">
      <c r="A391" s="68"/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</row>
    <row r="392" spans="1:13">
      <c r="A392" s="68"/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</row>
    <row r="393" spans="1:13">
      <c r="A393" s="68"/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</row>
    <row r="394" spans="1:13">
      <c r="A394" s="68"/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</row>
    <row r="395" spans="1:13">
      <c r="A395" s="68"/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</row>
    <row r="396" spans="1:13">
      <c r="A396" s="68"/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</row>
    <row r="397" spans="1:13">
      <c r="A397" s="68"/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</row>
    <row r="398" spans="1:13">
      <c r="A398" s="68"/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</row>
    <row r="399" spans="1:13">
      <c r="A399" s="68"/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</row>
    <row r="400" spans="1:13">
      <c r="A400" s="68"/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</row>
    <row r="401" spans="1:13">
      <c r="A401" s="68"/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</row>
    <row r="402" spans="1:13">
      <c r="A402" s="68"/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</row>
    <row r="403" spans="1:13">
      <c r="A403" s="68"/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</row>
    <row r="404" spans="1:13">
      <c r="A404" s="68"/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</row>
    <row r="405" spans="1:13">
      <c r="A405" s="68"/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</row>
    <row r="406" spans="1:13">
      <c r="A406" s="68"/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</row>
    <row r="407" spans="1:13">
      <c r="A407" s="68"/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</row>
    <row r="408" spans="1:13">
      <c r="A408" s="68"/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</row>
    <row r="409" spans="1:13">
      <c r="A409" s="68"/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</row>
    <row r="410" spans="1:13">
      <c r="A410" s="68"/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</row>
    <row r="411" spans="1:13">
      <c r="A411" s="68"/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</row>
    <row r="412" spans="1:13">
      <c r="A412" s="68"/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</row>
    <row r="413" spans="1:13">
      <c r="A413" s="68"/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</row>
    <row r="414" spans="1:13">
      <c r="A414" s="68"/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</row>
    <row r="415" spans="1:13">
      <c r="A415" s="68"/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</row>
    <row r="416" spans="1:13">
      <c r="A416" s="68"/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</row>
    <row r="417" spans="1:13">
      <c r="A417" s="68"/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</row>
    <row r="418" spans="1:13">
      <c r="A418" s="68"/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</row>
    <row r="419" spans="1:13">
      <c r="A419" s="68"/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</row>
    <row r="420" spans="1:13">
      <c r="A420" s="68"/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</row>
    <row r="421" spans="1:13">
      <c r="A421" s="68"/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</row>
    <row r="422" spans="1:13">
      <c r="A422" s="68"/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</row>
    <row r="423" spans="1:13">
      <c r="A423" s="68"/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</row>
    <row r="424" spans="1:13">
      <c r="A424" s="68"/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</row>
    <row r="425" spans="1:13">
      <c r="A425" s="68"/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</row>
    <row r="426" spans="1:13">
      <c r="A426" s="68"/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</row>
    <row r="427" spans="1:13">
      <c r="A427" s="68"/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</row>
    <row r="428" spans="1:13">
      <c r="A428" s="68"/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</row>
    <row r="429" spans="1:13">
      <c r="A429" s="68"/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</row>
    <row r="430" spans="1:13">
      <c r="A430" s="68"/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</row>
    <row r="431" spans="1:13">
      <c r="A431" s="68"/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</row>
    <row r="432" spans="1:13">
      <c r="A432" s="68"/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</row>
    <row r="433" spans="1:13">
      <c r="A433" s="68"/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</row>
    <row r="434" spans="1:13">
      <c r="A434" s="68"/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</row>
    <row r="435" spans="1:13">
      <c r="A435" s="68"/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</row>
    <row r="436" spans="1:13">
      <c r="A436" s="68"/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</row>
    <row r="437" spans="1:13">
      <c r="A437" s="68"/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</row>
    <row r="438" spans="1:13">
      <c r="A438" s="68"/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</row>
    <row r="439" spans="1:13">
      <c r="A439" s="68"/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</row>
    <row r="440" spans="1:13">
      <c r="A440" s="68"/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</row>
    <row r="441" spans="1:13">
      <c r="A441" s="68"/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</row>
    <row r="442" spans="1:13">
      <c r="A442" s="68"/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</row>
    <row r="443" spans="1:13">
      <c r="A443" s="68"/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</row>
    <row r="444" spans="1:13">
      <c r="A444" s="68"/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</row>
    <row r="445" spans="1:13">
      <c r="A445" s="68"/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</row>
    <row r="446" spans="1:13">
      <c r="A446" s="68"/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</row>
    <row r="447" spans="1:13">
      <c r="A447" s="68"/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</row>
    <row r="448" spans="1:13">
      <c r="A448" s="68"/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</row>
    <row r="449" spans="1:13">
      <c r="A449" s="68"/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</row>
    <row r="450" spans="1:13">
      <c r="A450" s="68"/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</row>
    <row r="451" spans="1:13">
      <c r="A451" s="68"/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</row>
    <row r="452" spans="1:13">
      <c r="A452" s="68"/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</row>
    <row r="453" spans="1:13">
      <c r="A453" s="68"/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</row>
    <row r="454" spans="1:13">
      <c r="A454" s="68"/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</row>
    <row r="455" spans="1:13">
      <c r="A455" s="68"/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</row>
    <row r="456" spans="1:13">
      <c r="A456" s="68"/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</row>
    <row r="457" spans="1:13">
      <c r="A457" s="68"/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</row>
    <row r="458" spans="1:13">
      <c r="A458" s="68"/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</row>
    <row r="459" spans="1:13">
      <c r="A459" s="68"/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</row>
    <row r="460" spans="1:13">
      <c r="A460" s="68"/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</row>
    <row r="461" spans="1:13">
      <c r="A461" s="68"/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</row>
    <row r="462" spans="1:13">
      <c r="A462" s="68"/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</row>
    <row r="463" spans="1:13">
      <c r="A463" s="68"/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</row>
    <row r="464" spans="1:13">
      <c r="A464" s="68"/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</row>
    <row r="465" spans="1:13">
      <c r="A465" s="68"/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</row>
    <row r="466" spans="1:13">
      <c r="A466" s="68"/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</row>
    <row r="467" spans="1:13">
      <c r="A467" s="68"/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</row>
    <row r="468" spans="1:13">
      <c r="A468" s="68"/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</row>
    <row r="469" spans="1:13">
      <c r="A469" s="68"/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</row>
    <row r="470" spans="1:13">
      <c r="A470" s="68"/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</row>
    <row r="471" spans="1:13">
      <c r="A471" s="68"/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</row>
    <row r="472" spans="1:13">
      <c r="A472" s="68"/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</row>
    <row r="473" spans="1:13">
      <c r="A473" s="68"/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</row>
    <row r="474" spans="1:13">
      <c r="A474" s="68"/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</row>
    <row r="475" spans="1:13">
      <c r="A475" s="68"/>
      <c r="B475" s="162"/>
      <c r="C475" s="162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</row>
    <row r="476" spans="1:13">
      <c r="A476" s="68"/>
      <c r="B476" s="162"/>
      <c r="C476" s="162"/>
      <c r="D476" s="162"/>
      <c r="E476" s="162"/>
      <c r="F476" s="162"/>
      <c r="G476" s="162"/>
      <c r="H476" s="162"/>
      <c r="I476" s="162"/>
      <c r="J476" s="162"/>
      <c r="K476" s="162"/>
      <c r="L476" s="162"/>
      <c r="M476" s="162"/>
    </row>
    <row r="477" spans="1:13">
      <c r="A477" s="68"/>
      <c r="B477" s="162"/>
      <c r="C477" s="162"/>
      <c r="D477" s="162"/>
      <c r="E477" s="162"/>
      <c r="F477" s="162"/>
      <c r="G477" s="162"/>
      <c r="H477" s="162"/>
      <c r="I477" s="162"/>
      <c r="J477" s="162"/>
      <c r="K477" s="162"/>
      <c r="L477" s="162"/>
      <c r="M477" s="162"/>
    </row>
    <row r="478" spans="1:13">
      <c r="A478" s="68"/>
      <c r="B478" s="162"/>
      <c r="C478" s="162"/>
      <c r="D478" s="162"/>
      <c r="E478" s="162"/>
      <c r="F478" s="162"/>
      <c r="G478" s="162"/>
      <c r="H478" s="162"/>
      <c r="I478" s="162"/>
      <c r="J478" s="162"/>
      <c r="K478" s="162"/>
      <c r="L478" s="162"/>
      <c r="M478" s="162"/>
    </row>
    <row r="479" spans="1:13">
      <c r="A479" s="68"/>
      <c r="B479" s="162"/>
      <c r="C479" s="162"/>
      <c r="D479" s="162"/>
      <c r="E479" s="162"/>
      <c r="F479" s="162"/>
      <c r="G479" s="162"/>
      <c r="H479" s="162"/>
      <c r="I479" s="162"/>
      <c r="J479" s="162"/>
      <c r="K479" s="162"/>
      <c r="L479" s="162"/>
      <c r="M479" s="162"/>
    </row>
    <row r="480" spans="1:13">
      <c r="A480" s="68"/>
      <c r="B480" s="162"/>
      <c r="C480" s="162"/>
      <c r="D480" s="162"/>
      <c r="E480" s="162"/>
      <c r="F480" s="162"/>
      <c r="G480" s="162"/>
      <c r="H480" s="162"/>
      <c r="I480" s="162"/>
      <c r="J480" s="162"/>
      <c r="K480" s="162"/>
      <c r="L480" s="162"/>
      <c r="M480" s="162"/>
    </row>
    <row r="481" spans="1:13">
      <c r="A481" s="68"/>
      <c r="B481" s="162"/>
      <c r="C481" s="162"/>
      <c r="D481" s="162"/>
      <c r="E481" s="162"/>
      <c r="F481" s="162"/>
      <c r="G481" s="162"/>
      <c r="H481" s="162"/>
      <c r="I481" s="162"/>
      <c r="J481" s="162"/>
      <c r="K481" s="162"/>
      <c r="L481" s="162"/>
      <c r="M481" s="162"/>
    </row>
    <row r="482" spans="1:13">
      <c r="A482" s="68"/>
      <c r="B482" s="162"/>
      <c r="C482" s="162"/>
      <c r="D482" s="162"/>
      <c r="E482" s="162"/>
      <c r="F482" s="162"/>
      <c r="G482" s="162"/>
      <c r="H482" s="162"/>
      <c r="I482" s="162"/>
      <c r="J482" s="162"/>
      <c r="K482" s="162"/>
      <c r="L482" s="162"/>
      <c r="M482" s="162"/>
    </row>
    <row r="483" spans="1:13">
      <c r="A483" s="68"/>
      <c r="B483" s="162"/>
      <c r="C483" s="162"/>
      <c r="D483" s="162"/>
      <c r="E483" s="162"/>
      <c r="F483" s="162"/>
      <c r="G483" s="162"/>
      <c r="H483" s="162"/>
      <c r="I483" s="162"/>
      <c r="J483" s="162"/>
      <c r="K483" s="162"/>
      <c r="L483" s="162"/>
      <c r="M483" s="162"/>
    </row>
    <row r="484" spans="1:13">
      <c r="A484" s="68"/>
      <c r="B484" s="162"/>
      <c r="C484" s="162"/>
      <c r="D484" s="162"/>
      <c r="E484" s="162"/>
      <c r="F484" s="162"/>
      <c r="G484" s="162"/>
      <c r="H484" s="162"/>
      <c r="I484" s="162"/>
      <c r="J484" s="162"/>
      <c r="K484" s="162"/>
      <c r="L484" s="162"/>
      <c r="M484" s="162"/>
    </row>
    <row r="485" spans="1:13">
      <c r="A485" s="68"/>
      <c r="B485" s="162"/>
      <c r="C485" s="162"/>
      <c r="D485" s="162"/>
      <c r="E485" s="162"/>
      <c r="F485" s="162"/>
      <c r="G485" s="162"/>
      <c r="H485" s="162"/>
      <c r="I485" s="162"/>
      <c r="J485" s="162"/>
      <c r="K485" s="162"/>
      <c r="L485" s="162"/>
      <c r="M485" s="162"/>
    </row>
    <row r="486" spans="1:13">
      <c r="A486" s="68"/>
      <c r="B486" s="162"/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/>
    </row>
    <row r="487" spans="1:13">
      <c r="A487" s="68"/>
      <c r="B487" s="162"/>
      <c r="C487" s="162"/>
      <c r="D487" s="162"/>
      <c r="E487" s="162"/>
      <c r="F487" s="162"/>
      <c r="G487" s="162"/>
      <c r="H487" s="162"/>
      <c r="I487" s="162"/>
      <c r="J487" s="162"/>
      <c r="K487" s="162"/>
      <c r="L487" s="162"/>
      <c r="M487" s="162"/>
    </row>
    <row r="488" spans="1:13">
      <c r="A488" s="68"/>
      <c r="B488" s="162"/>
      <c r="C488" s="162"/>
      <c r="D488" s="162"/>
      <c r="E488" s="162"/>
      <c r="F488" s="162"/>
      <c r="G488" s="162"/>
      <c r="H488" s="162"/>
      <c r="I488" s="162"/>
      <c r="J488" s="162"/>
      <c r="K488" s="162"/>
      <c r="L488" s="162"/>
      <c r="M488" s="162"/>
    </row>
    <row r="489" spans="1:13">
      <c r="A489" s="68"/>
      <c r="B489" s="162"/>
      <c r="C489" s="162"/>
      <c r="D489" s="162"/>
      <c r="E489" s="162"/>
      <c r="F489" s="162"/>
      <c r="G489" s="162"/>
      <c r="H489" s="162"/>
      <c r="I489" s="162"/>
      <c r="J489" s="162"/>
      <c r="K489" s="162"/>
      <c r="L489" s="162"/>
      <c r="M489" s="162"/>
    </row>
    <row r="490" spans="1:13">
      <c r="A490" s="68"/>
      <c r="B490" s="162"/>
      <c r="C490" s="162"/>
      <c r="D490" s="162"/>
      <c r="E490" s="162"/>
      <c r="F490" s="162"/>
      <c r="G490" s="162"/>
      <c r="H490" s="162"/>
      <c r="I490" s="162"/>
      <c r="J490" s="162"/>
      <c r="K490" s="162"/>
      <c r="L490" s="162"/>
      <c r="M490" s="162"/>
    </row>
    <row r="491" spans="1:13">
      <c r="A491" s="68"/>
      <c r="B491" s="162"/>
      <c r="C491" s="162"/>
      <c r="D491" s="162"/>
      <c r="E491" s="162"/>
      <c r="F491" s="162"/>
      <c r="G491" s="162"/>
      <c r="H491" s="162"/>
      <c r="I491" s="162"/>
      <c r="J491" s="162"/>
      <c r="K491" s="162"/>
      <c r="L491" s="162"/>
      <c r="M491" s="162"/>
    </row>
    <row r="492" spans="1:13">
      <c r="A492" s="68"/>
      <c r="B492" s="162"/>
      <c r="C492" s="162"/>
      <c r="D492" s="162"/>
      <c r="E492" s="162"/>
      <c r="F492" s="162"/>
      <c r="G492" s="162"/>
      <c r="H492" s="162"/>
      <c r="I492" s="162"/>
      <c r="J492" s="162"/>
      <c r="K492" s="162"/>
      <c r="L492" s="162"/>
      <c r="M492" s="162"/>
    </row>
    <row r="493" spans="1:13">
      <c r="A493" s="68"/>
      <c r="B493" s="162"/>
      <c r="C493" s="162"/>
      <c r="D493" s="162"/>
      <c r="E493" s="162"/>
      <c r="F493" s="162"/>
      <c r="G493" s="162"/>
      <c r="H493" s="162"/>
      <c r="I493" s="162"/>
      <c r="J493" s="162"/>
      <c r="K493" s="162"/>
      <c r="L493" s="162"/>
      <c r="M493" s="162"/>
    </row>
    <row r="494" spans="1:13">
      <c r="A494" s="68"/>
      <c r="B494" s="162"/>
      <c r="C494" s="162"/>
      <c r="D494" s="162"/>
      <c r="E494" s="162"/>
      <c r="F494" s="162"/>
      <c r="G494" s="162"/>
      <c r="H494" s="162"/>
      <c r="I494" s="162"/>
      <c r="J494" s="162"/>
      <c r="K494" s="162"/>
      <c r="L494" s="162"/>
      <c r="M494" s="162"/>
    </row>
    <row r="495" spans="1:13">
      <c r="A495" s="68"/>
      <c r="B495" s="162"/>
      <c r="C495" s="162"/>
      <c r="D495" s="162"/>
      <c r="E495" s="162"/>
      <c r="F495" s="162"/>
      <c r="G495" s="162"/>
      <c r="H495" s="162"/>
      <c r="I495" s="162"/>
      <c r="J495" s="162"/>
      <c r="K495" s="162"/>
      <c r="L495" s="162"/>
      <c r="M495" s="162"/>
    </row>
    <row r="496" spans="1:13">
      <c r="A496" s="68"/>
      <c r="B496" s="162"/>
      <c r="C496" s="162"/>
      <c r="D496" s="162"/>
      <c r="E496" s="162"/>
      <c r="F496" s="162"/>
      <c r="G496" s="162"/>
      <c r="H496" s="162"/>
      <c r="I496" s="162"/>
      <c r="J496" s="162"/>
      <c r="K496" s="162"/>
      <c r="L496" s="162"/>
      <c r="M496" s="162"/>
    </row>
    <row r="497" spans="1:13">
      <c r="A497" s="68"/>
      <c r="B497" s="162"/>
      <c r="C497" s="162"/>
      <c r="D497" s="162"/>
      <c r="E497" s="162"/>
      <c r="F497" s="162"/>
      <c r="G497" s="162"/>
      <c r="H497" s="162"/>
      <c r="I497" s="162"/>
      <c r="J497" s="162"/>
      <c r="K497" s="162"/>
      <c r="L497" s="162"/>
      <c r="M497" s="162"/>
    </row>
    <row r="498" spans="1:13">
      <c r="A498" s="68"/>
      <c r="B498" s="162"/>
      <c r="C498" s="162"/>
      <c r="D498" s="162"/>
      <c r="E498" s="162"/>
      <c r="F498" s="162"/>
      <c r="G498" s="162"/>
      <c r="H498" s="162"/>
      <c r="I498" s="162"/>
      <c r="J498" s="162"/>
      <c r="K498" s="162"/>
      <c r="L498" s="162"/>
      <c r="M498" s="162"/>
    </row>
    <row r="499" spans="1:13">
      <c r="A499" s="68"/>
      <c r="B499" s="162"/>
      <c r="C499" s="162"/>
      <c r="D499" s="162"/>
      <c r="E499" s="162"/>
      <c r="F499" s="162"/>
      <c r="G499" s="162"/>
      <c r="H499" s="162"/>
      <c r="I499" s="162"/>
      <c r="J499" s="162"/>
      <c r="K499" s="162"/>
      <c r="L499" s="162"/>
      <c r="M499" s="162"/>
    </row>
    <row r="500" spans="1:13">
      <c r="A500" s="68"/>
      <c r="B500" s="162"/>
      <c r="C500" s="162"/>
      <c r="D500" s="162"/>
      <c r="E500" s="162"/>
      <c r="F500" s="162"/>
      <c r="G500" s="162"/>
      <c r="H500" s="162"/>
      <c r="I500" s="162"/>
      <c r="J500" s="162"/>
      <c r="K500" s="162"/>
      <c r="L500" s="162"/>
      <c r="M500" s="162"/>
    </row>
    <row r="501" spans="1:13">
      <c r="A501" s="68"/>
      <c r="B501" s="162"/>
      <c r="C501" s="162"/>
      <c r="D501" s="162"/>
      <c r="E501" s="162"/>
      <c r="F501" s="162"/>
      <c r="G501" s="162"/>
      <c r="H501" s="162"/>
      <c r="I501" s="162"/>
      <c r="J501" s="162"/>
      <c r="K501" s="162"/>
      <c r="L501" s="162"/>
      <c r="M501" s="162"/>
    </row>
    <row r="502" spans="1:13">
      <c r="A502" s="68"/>
      <c r="B502" s="162"/>
      <c r="C502" s="162"/>
      <c r="D502" s="162"/>
      <c r="E502" s="162"/>
      <c r="F502" s="162"/>
      <c r="G502" s="162"/>
      <c r="H502" s="162"/>
      <c r="I502" s="162"/>
      <c r="J502" s="162"/>
      <c r="K502" s="162"/>
      <c r="L502" s="162"/>
      <c r="M502" s="162"/>
    </row>
    <row r="503" spans="1:13">
      <c r="A503" s="68"/>
      <c r="B503" s="162"/>
      <c r="C503" s="162"/>
      <c r="D503" s="162"/>
      <c r="E503" s="162"/>
      <c r="F503" s="162"/>
      <c r="G503" s="162"/>
      <c r="H503" s="162"/>
      <c r="I503" s="162"/>
      <c r="J503" s="162"/>
      <c r="K503" s="162"/>
      <c r="L503" s="162"/>
      <c r="M503" s="162"/>
    </row>
    <row r="504" spans="1:13">
      <c r="A504" s="68"/>
      <c r="B504" s="162"/>
      <c r="C504" s="162"/>
      <c r="D504" s="162"/>
      <c r="E504" s="162"/>
      <c r="F504" s="162"/>
      <c r="G504" s="162"/>
      <c r="H504" s="162"/>
      <c r="I504" s="162"/>
      <c r="J504" s="162"/>
      <c r="K504" s="162"/>
      <c r="L504" s="162"/>
      <c r="M504" s="162"/>
    </row>
    <row r="505" spans="1:13">
      <c r="A505" s="68"/>
      <c r="B505" s="162"/>
      <c r="C505" s="162"/>
      <c r="D505" s="162"/>
      <c r="E505" s="162"/>
      <c r="F505" s="162"/>
      <c r="G505" s="162"/>
      <c r="H505" s="162"/>
      <c r="I505" s="162"/>
      <c r="J505" s="162"/>
      <c r="K505" s="162"/>
      <c r="L505" s="162"/>
      <c r="M505" s="162"/>
    </row>
    <row r="506" spans="1:13">
      <c r="A506" s="68"/>
      <c r="B506" s="162"/>
      <c r="C506" s="162"/>
      <c r="D506" s="162"/>
      <c r="E506" s="162"/>
      <c r="F506" s="162"/>
      <c r="G506" s="162"/>
      <c r="H506" s="162"/>
      <c r="I506" s="162"/>
      <c r="J506" s="162"/>
      <c r="K506" s="162"/>
      <c r="L506" s="162"/>
      <c r="M506" s="162"/>
    </row>
    <row r="507" spans="1:13">
      <c r="A507" s="68"/>
      <c r="B507" s="162"/>
      <c r="C507" s="162"/>
      <c r="D507" s="162"/>
      <c r="E507" s="162"/>
      <c r="F507" s="162"/>
      <c r="G507" s="162"/>
      <c r="H507" s="162"/>
      <c r="I507" s="162"/>
      <c r="J507" s="162"/>
      <c r="K507" s="162"/>
      <c r="L507" s="162"/>
      <c r="M507" s="162"/>
    </row>
    <row r="508" spans="1:13">
      <c r="A508" s="68"/>
      <c r="B508" s="162"/>
      <c r="C508" s="162"/>
      <c r="D508" s="162"/>
      <c r="E508" s="162"/>
      <c r="F508" s="162"/>
      <c r="G508" s="162"/>
      <c r="H508" s="162"/>
      <c r="I508" s="162"/>
      <c r="J508" s="162"/>
      <c r="K508" s="162"/>
      <c r="L508" s="162"/>
      <c r="M508" s="162"/>
    </row>
    <row r="509" spans="1:13">
      <c r="A509" s="68"/>
      <c r="B509" s="162"/>
      <c r="C509" s="162"/>
      <c r="D509" s="162"/>
      <c r="E509" s="162"/>
      <c r="F509" s="162"/>
      <c r="G509" s="162"/>
      <c r="H509" s="162"/>
      <c r="I509" s="162"/>
      <c r="J509" s="162"/>
      <c r="K509" s="162"/>
      <c r="L509" s="162"/>
      <c r="M509" s="162"/>
    </row>
    <row r="510" spans="1:13">
      <c r="A510" s="68"/>
      <c r="B510" s="162"/>
      <c r="C510" s="162"/>
      <c r="D510" s="162"/>
      <c r="E510" s="162"/>
      <c r="F510" s="162"/>
      <c r="G510" s="162"/>
      <c r="H510" s="162"/>
      <c r="I510" s="162"/>
      <c r="J510" s="162"/>
      <c r="K510" s="162"/>
      <c r="L510" s="162"/>
      <c r="M510" s="162"/>
    </row>
    <row r="511" spans="1:13">
      <c r="A511" s="68"/>
      <c r="B511" s="162"/>
      <c r="C511" s="162"/>
      <c r="D511" s="162"/>
      <c r="E511" s="162"/>
      <c r="F511" s="162"/>
      <c r="G511" s="162"/>
      <c r="H511" s="162"/>
      <c r="I511" s="162"/>
      <c r="J511" s="162"/>
      <c r="K511" s="162"/>
      <c r="L511" s="162"/>
      <c r="M511" s="162"/>
    </row>
    <row r="512" spans="1:13">
      <c r="A512" s="68"/>
      <c r="B512" s="162"/>
      <c r="C512" s="162"/>
      <c r="D512" s="162"/>
      <c r="E512" s="162"/>
      <c r="F512" s="162"/>
      <c r="G512" s="162"/>
      <c r="H512" s="162"/>
      <c r="I512" s="162"/>
      <c r="J512" s="162"/>
      <c r="K512" s="162"/>
      <c r="L512" s="162"/>
      <c r="M512" s="162"/>
    </row>
    <row r="513" spans="1:13">
      <c r="A513" s="68"/>
      <c r="B513" s="162"/>
      <c r="C513" s="162"/>
      <c r="D513" s="162"/>
      <c r="E513" s="162"/>
      <c r="F513" s="162"/>
      <c r="G513" s="162"/>
      <c r="H513" s="162"/>
      <c r="I513" s="162"/>
      <c r="J513" s="162"/>
      <c r="K513" s="162"/>
      <c r="L513" s="162"/>
      <c r="M513" s="162"/>
    </row>
    <row r="514" spans="1:13">
      <c r="A514" s="68"/>
      <c r="B514" s="162"/>
      <c r="C514" s="162"/>
      <c r="D514" s="162"/>
      <c r="E514" s="162"/>
      <c r="F514" s="162"/>
      <c r="G514" s="162"/>
      <c r="H514" s="162"/>
      <c r="I514" s="162"/>
      <c r="J514" s="162"/>
      <c r="K514" s="162"/>
      <c r="L514" s="162"/>
      <c r="M514" s="162"/>
    </row>
    <row r="515" spans="1:13">
      <c r="A515" s="68"/>
      <c r="B515" s="162"/>
      <c r="C515" s="162"/>
      <c r="D515" s="162"/>
      <c r="E515" s="162"/>
      <c r="F515" s="162"/>
      <c r="G515" s="162"/>
      <c r="H515" s="162"/>
      <c r="I515" s="162"/>
      <c r="J515" s="162"/>
      <c r="K515" s="162"/>
      <c r="L515" s="162"/>
      <c r="M515" s="162"/>
    </row>
    <row r="516" spans="1:13">
      <c r="A516" s="68"/>
      <c r="B516" s="162"/>
      <c r="C516" s="162"/>
      <c r="D516" s="162"/>
      <c r="E516" s="162"/>
      <c r="F516" s="162"/>
      <c r="G516" s="162"/>
      <c r="H516" s="162"/>
      <c r="I516" s="162"/>
      <c r="J516" s="162"/>
      <c r="K516" s="162"/>
      <c r="L516" s="162"/>
      <c r="M516" s="162"/>
    </row>
    <row r="517" spans="1:13">
      <c r="A517" s="68"/>
      <c r="B517" s="162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</row>
    <row r="518" spans="1:13">
      <c r="A518" s="68"/>
      <c r="B518" s="162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</row>
    <row r="519" spans="1:13">
      <c r="A519" s="68"/>
      <c r="B519" s="162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</row>
    <row r="520" spans="1:13">
      <c r="A520" s="68"/>
      <c r="B520" s="162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</row>
    <row r="521" spans="1:13">
      <c r="A521" s="68"/>
      <c r="B521" s="162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</row>
    <row r="522" spans="1:13">
      <c r="A522" s="68"/>
      <c r="B522" s="162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</row>
    <row r="523" spans="1:13">
      <c r="A523" s="68"/>
      <c r="B523" s="162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</row>
    <row r="524" spans="1:13">
      <c r="A524" s="68"/>
      <c r="B524" s="162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</row>
    <row r="525" spans="1:13">
      <c r="A525" s="68"/>
      <c r="B525" s="162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</row>
    <row r="526" spans="1:13">
      <c r="A526" s="68"/>
      <c r="B526" s="162"/>
      <c r="C526" s="162"/>
      <c r="D526" s="162"/>
      <c r="E526" s="162"/>
      <c r="F526" s="162"/>
      <c r="G526" s="162"/>
      <c r="H526" s="162"/>
      <c r="I526" s="162"/>
      <c r="J526" s="162"/>
      <c r="K526" s="162"/>
      <c r="L526" s="162"/>
      <c r="M526" s="162"/>
    </row>
    <row r="527" spans="1:13">
      <c r="A527" s="68"/>
      <c r="B527" s="162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</row>
    <row r="528" spans="1:13">
      <c r="A528" s="68"/>
      <c r="B528" s="162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</row>
    <row r="529" spans="1:13">
      <c r="A529" s="68"/>
      <c r="B529" s="162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</row>
    <row r="530" spans="1:13">
      <c r="A530" s="68"/>
      <c r="B530" s="162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</row>
    <row r="531" spans="1:13">
      <c r="A531" s="68"/>
      <c r="B531" s="162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</row>
    <row r="532" spans="1:13">
      <c r="A532" s="68"/>
      <c r="B532" s="162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</row>
    <row r="533" spans="1:13">
      <c r="A533" s="68"/>
      <c r="B533" s="162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</row>
    <row r="534" spans="1:13">
      <c r="A534" s="68"/>
      <c r="B534" s="162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</row>
    <row r="535" spans="1:13">
      <c r="A535" s="68"/>
      <c r="B535" s="162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</row>
    <row r="536" spans="1:13">
      <c r="A536" s="68"/>
      <c r="B536" s="162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</row>
    <row r="537" spans="1:13">
      <c r="A537" s="68"/>
      <c r="B537" s="162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</row>
    <row r="538" spans="1:13">
      <c r="A538" s="68"/>
      <c r="B538" s="162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</row>
    <row r="539" spans="1:13">
      <c r="A539" s="68"/>
      <c r="B539" s="162"/>
      <c r="C539" s="162"/>
      <c r="D539" s="162"/>
      <c r="E539" s="162"/>
      <c r="F539" s="162"/>
      <c r="G539" s="162"/>
      <c r="H539" s="162"/>
      <c r="I539" s="162"/>
      <c r="J539" s="162"/>
      <c r="K539" s="162"/>
      <c r="L539" s="162"/>
      <c r="M539" s="162"/>
    </row>
    <row r="540" spans="1:13">
      <c r="A540" s="68"/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</row>
    <row r="541" spans="1:13">
      <c r="A541" s="68"/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</row>
    <row r="542" spans="1:13">
      <c r="A542" s="68"/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</row>
    <row r="543" spans="1:13">
      <c r="A543" s="68"/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</row>
    <row r="544" spans="1:13">
      <c r="A544" s="68"/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</row>
    <row r="545" spans="1:13">
      <c r="A545" s="68"/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</row>
    <row r="546" spans="1:13">
      <c r="A546" s="68"/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</row>
    <row r="547" spans="1:13">
      <c r="A547" s="68"/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</row>
    <row r="548" spans="1:13">
      <c r="A548" s="68"/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</row>
    <row r="549" spans="1:13">
      <c r="A549" s="68"/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</row>
    <row r="550" spans="1:13">
      <c r="A550" s="68"/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</row>
    <row r="551" spans="1:13">
      <c r="A551" s="68"/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</row>
    <row r="552" spans="1:13">
      <c r="A552" s="68"/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</row>
    <row r="553" spans="1:13">
      <c r="A553" s="68"/>
      <c r="B553" s="162"/>
      <c r="C553" s="162"/>
      <c r="D553" s="162"/>
      <c r="E553" s="162"/>
      <c r="F553" s="162"/>
      <c r="G553" s="162"/>
      <c r="H553" s="162"/>
    </row>
    <row r="554" spans="1:13">
      <c r="A554" s="68"/>
      <c r="B554" s="162"/>
      <c r="C554" s="162"/>
      <c r="D554" s="162"/>
      <c r="E554" s="162"/>
      <c r="F554" s="162"/>
      <c r="G554" s="162"/>
      <c r="H554" s="162"/>
    </row>
    <row r="555" spans="1:13">
      <c r="A555" s="68"/>
      <c r="B555" s="162"/>
      <c r="C555" s="162"/>
      <c r="D555" s="162"/>
      <c r="E555" s="162"/>
      <c r="F555" s="162"/>
      <c r="G555" s="162"/>
      <c r="H555" s="162"/>
    </row>
    <row r="556" spans="1:13">
      <c r="A556" s="68"/>
      <c r="B556" s="162"/>
      <c r="C556" s="162"/>
      <c r="D556" s="162"/>
      <c r="E556" s="162"/>
      <c r="F556" s="162"/>
      <c r="G556" s="162"/>
      <c r="H556" s="162"/>
    </row>
    <row r="557" spans="1:13">
      <c r="A557" s="68"/>
      <c r="B557" s="162"/>
      <c r="C557" s="162"/>
      <c r="D557" s="162"/>
      <c r="E557" s="162"/>
      <c r="F557" s="162"/>
      <c r="G557" s="162"/>
      <c r="H557" s="162"/>
    </row>
    <row r="558" spans="1:13">
      <c r="A558" s="68"/>
      <c r="B558" s="162"/>
      <c r="C558" s="162"/>
      <c r="D558" s="162"/>
      <c r="E558" s="162"/>
      <c r="F558" s="162"/>
      <c r="G558" s="162"/>
      <c r="H558" s="162"/>
    </row>
    <row r="559" spans="1:13">
      <c r="A559" s="68"/>
      <c r="B559" s="162"/>
      <c r="C559" s="162"/>
      <c r="D559" s="162"/>
      <c r="E559" s="162"/>
      <c r="F559" s="162"/>
      <c r="G559" s="162"/>
      <c r="H559" s="162"/>
    </row>
    <row r="560" spans="1:13">
      <c r="A560" s="68"/>
      <c r="B560" s="162"/>
      <c r="C560" s="162"/>
      <c r="D560" s="162"/>
      <c r="E560" s="162"/>
      <c r="F560" s="162"/>
      <c r="G560" s="162"/>
      <c r="H560" s="162"/>
    </row>
    <row r="561" spans="1:8">
      <c r="A561" s="68"/>
      <c r="B561" s="162"/>
      <c r="C561" s="162"/>
      <c r="D561" s="162"/>
      <c r="E561" s="162"/>
      <c r="F561" s="162"/>
      <c r="G561" s="162"/>
      <c r="H561" s="162"/>
    </row>
    <row r="562" spans="1:8">
      <c r="A562" s="68"/>
      <c r="B562" s="162"/>
      <c r="C562" s="162"/>
      <c r="D562" s="162"/>
      <c r="E562" s="162"/>
      <c r="F562" s="162"/>
      <c r="G562" s="162"/>
      <c r="H562" s="162"/>
    </row>
    <row r="563" spans="1:8">
      <c r="A563" s="68"/>
      <c r="B563" s="162"/>
      <c r="C563" s="162"/>
      <c r="D563" s="162"/>
      <c r="E563" s="162"/>
      <c r="F563" s="162"/>
      <c r="G563" s="162"/>
      <c r="H563" s="162"/>
    </row>
    <row r="564" spans="1:8">
      <c r="A564" s="68"/>
      <c r="B564" s="162"/>
      <c r="C564" s="162"/>
      <c r="D564" s="162"/>
      <c r="E564" s="162"/>
      <c r="F564" s="162"/>
      <c r="G564" s="162"/>
      <c r="H564" s="162"/>
    </row>
    <row r="565" spans="1:8">
      <c r="A565" s="68"/>
      <c r="B565" s="162"/>
      <c r="C565" s="162"/>
      <c r="D565" s="162"/>
      <c r="E565" s="162"/>
      <c r="F565" s="162"/>
      <c r="G565" s="162"/>
      <c r="H565" s="162"/>
    </row>
    <row r="566" spans="1:8">
      <c r="A566" s="68"/>
      <c r="B566" s="162"/>
      <c r="C566" s="162"/>
      <c r="D566" s="162"/>
      <c r="E566" s="162"/>
      <c r="F566" s="162"/>
      <c r="G566" s="162"/>
      <c r="H566" s="162"/>
    </row>
    <row r="567" spans="1:8">
      <c r="A567" s="68"/>
      <c r="B567" s="162"/>
      <c r="C567" s="162"/>
      <c r="D567" s="162"/>
      <c r="E567" s="162"/>
      <c r="F567" s="162"/>
      <c r="G567" s="162"/>
      <c r="H567" s="162"/>
    </row>
    <row r="568" spans="1:8">
      <c r="A568" s="68"/>
      <c r="B568" s="162"/>
      <c r="C568" s="162"/>
      <c r="D568" s="162"/>
      <c r="E568" s="162"/>
      <c r="F568" s="162"/>
      <c r="G568" s="162"/>
      <c r="H568" s="162"/>
    </row>
    <row r="569" spans="1:8">
      <c r="A569" s="68"/>
      <c r="B569" s="162"/>
      <c r="C569" s="162"/>
      <c r="D569" s="162"/>
      <c r="E569" s="162"/>
      <c r="F569" s="162"/>
      <c r="G569" s="162"/>
      <c r="H569" s="162"/>
    </row>
    <row r="570" spans="1:8">
      <c r="A570" s="68"/>
      <c r="B570" s="162"/>
      <c r="C570" s="162"/>
      <c r="D570" s="162"/>
      <c r="E570" s="162"/>
      <c r="F570" s="162"/>
      <c r="G570" s="162"/>
      <c r="H570" s="162"/>
    </row>
    <row r="571" spans="1:8">
      <c r="A571" s="68"/>
      <c r="B571" s="162"/>
      <c r="C571" s="162"/>
      <c r="D571" s="162"/>
      <c r="E571" s="162"/>
      <c r="F571" s="162"/>
      <c r="G571" s="162"/>
      <c r="H571" s="162"/>
    </row>
    <row r="572" spans="1:8">
      <c r="A572" s="68"/>
      <c r="B572" s="162"/>
      <c r="C572" s="162"/>
      <c r="D572" s="162"/>
      <c r="E572" s="162"/>
      <c r="F572" s="162"/>
      <c r="G572" s="162"/>
      <c r="H572" s="162"/>
    </row>
    <row r="573" spans="1:8">
      <c r="A573" s="68"/>
      <c r="B573" s="162"/>
      <c r="C573" s="162"/>
      <c r="D573" s="162"/>
      <c r="E573" s="162"/>
      <c r="F573" s="162"/>
      <c r="G573" s="162"/>
      <c r="H573" s="162"/>
    </row>
    <row r="574" spans="1:8">
      <c r="A574" s="68"/>
      <c r="B574" s="162"/>
      <c r="C574" s="162"/>
      <c r="D574" s="162"/>
      <c r="E574" s="162"/>
      <c r="F574" s="162"/>
      <c r="G574" s="162"/>
      <c r="H574" s="162"/>
    </row>
    <row r="575" spans="1:8">
      <c r="A575" s="68"/>
      <c r="B575" s="162"/>
      <c r="C575" s="162"/>
      <c r="D575" s="162"/>
      <c r="E575" s="162"/>
      <c r="F575" s="162"/>
      <c r="G575" s="162"/>
      <c r="H575" s="162"/>
    </row>
    <row r="576" spans="1:8">
      <c r="A576" s="68"/>
      <c r="B576" s="162"/>
      <c r="C576" s="162"/>
      <c r="D576" s="162"/>
      <c r="E576" s="162"/>
      <c r="F576" s="162"/>
      <c r="G576" s="162"/>
      <c r="H576" s="162"/>
    </row>
    <row r="577" spans="1:8">
      <c r="A577" s="68"/>
      <c r="B577" s="162"/>
      <c r="C577" s="162"/>
      <c r="D577" s="162"/>
      <c r="E577" s="162"/>
      <c r="F577" s="162"/>
      <c r="G577" s="162"/>
      <c r="H577" s="162"/>
    </row>
    <row r="578" spans="1:8">
      <c r="A578" s="68"/>
      <c r="B578" s="162"/>
      <c r="C578" s="162"/>
      <c r="D578" s="162"/>
      <c r="E578" s="162"/>
      <c r="F578" s="162"/>
      <c r="G578" s="162"/>
      <c r="H578" s="162"/>
    </row>
    <row r="579" spans="1:8">
      <c r="A579" s="68"/>
      <c r="B579" s="162"/>
      <c r="C579" s="162"/>
      <c r="D579" s="162"/>
      <c r="E579" s="162"/>
      <c r="F579" s="162"/>
      <c r="G579" s="162"/>
      <c r="H579" s="162"/>
    </row>
    <row r="580" spans="1:8">
      <c r="A580" s="68"/>
      <c r="B580" s="162"/>
      <c r="C580" s="162"/>
      <c r="D580" s="162"/>
      <c r="E580" s="162"/>
      <c r="F580" s="162"/>
      <c r="G580" s="162"/>
      <c r="H580" s="162"/>
    </row>
    <row r="581" spans="1:8">
      <c r="A581" s="68"/>
      <c r="B581" s="162"/>
    </row>
    <row r="582" spans="1:8">
      <c r="A582" s="68"/>
      <c r="B582" s="162"/>
    </row>
  </sheetData>
  <mergeCells count="11">
    <mergeCell ref="A2:M2"/>
    <mergeCell ref="A3:M3"/>
    <mergeCell ref="B7:E7"/>
    <mergeCell ref="F7:I7"/>
    <mergeCell ref="J7:M7"/>
    <mergeCell ref="A309:M309"/>
    <mergeCell ref="A8:A9"/>
    <mergeCell ref="A6:A7"/>
    <mergeCell ref="B9:E9"/>
    <mergeCell ref="F9:I9"/>
    <mergeCell ref="J9:M9"/>
  </mergeCells>
  <pageMargins left="0.22" right="0.18" top="0.75" bottom="0.75" header="0.3" footer="0.3"/>
  <pageSetup scale="17" orientation="landscape" r:id="rId1"/>
  <ignoredErrors>
    <ignoredError sqref="A192:A247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1186-6395-43D4-8E10-3978EE8A3E99}">
  <sheetPr codeName="Sheet46">
    <tabColor rgb="FF92D050"/>
  </sheetPr>
  <dimension ref="A1:CA300"/>
  <sheetViews>
    <sheetView showGridLines="0" view="pageBreakPreview" zoomScaleNormal="100" zoomScaleSheetLayoutView="100" workbookViewId="0">
      <pane ySplit="67" topLeftCell="A282" activePane="bottomLeft" state="frozen"/>
      <selection activeCell="F40" sqref="F40"/>
      <selection pane="bottomLeft" activeCell="O299" sqref="O299"/>
    </sheetView>
  </sheetViews>
  <sheetFormatPr defaultColWidth="8.85546875" defaultRowHeight="12.75"/>
  <cols>
    <col min="1" max="1" width="7.7109375" style="1432" customWidth="1"/>
    <col min="2" max="2" width="11.28515625" style="1431" customWidth="1"/>
    <col min="3" max="3" width="11.85546875" style="1431" customWidth="1"/>
    <col min="4" max="4" width="11.5703125" style="1431" customWidth="1"/>
    <col min="5" max="5" width="11.28515625" style="1431" customWidth="1"/>
    <col min="6" max="6" width="11.85546875" style="1431" customWidth="1"/>
    <col min="7" max="9" width="11.5703125" style="1431" customWidth="1"/>
    <col min="10" max="10" width="14.28515625" style="1431" customWidth="1"/>
    <col min="11" max="12" width="8.85546875" style="1431"/>
    <col min="13" max="13" width="9.140625" style="1431" bestFit="1" customWidth="1"/>
    <col min="14" max="76" width="8.85546875" style="1431"/>
    <col min="77" max="77" width="0" style="1431" hidden="1" customWidth="1"/>
    <col min="78" max="16384" width="8.85546875" style="1431"/>
  </cols>
  <sheetData>
    <row r="1" spans="1:79" ht="10.5" customHeight="1"/>
    <row r="2" spans="1:79" s="1449" customFormat="1" ht="13.5" customHeight="1">
      <c r="A2" s="2185" t="s">
        <v>3339</v>
      </c>
      <c r="B2" s="2185"/>
      <c r="C2" s="2185"/>
      <c r="D2" s="2185"/>
      <c r="E2" s="2185"/>
      <c r="F2" s="2185"/>
      <c r="G2" s="2185"/>
      <c r="H2" s="2185"/>
      <c r="I2" s="2185"/>
      <c r="J2" s="2185"/>
    </row>
    <row r="3" spans="1:79" ht="22.5" customHeight="1">
      <c r="A3" s="2186" t="s">
        <v>3340</v>
      </c>
      <c r="B3" s="2186"/>
      <c r="C3" s="2186"/>
      <c r="D3" s="2186"/>
      <c r="E3" s="2186"/>
      <c r="F3" s="2186"/>
      <c r="G3" s="2186"/>
      <c r="H3" s="2186"/>
      <c r="I3" s="2186"/>
      <c r="J3" s="2186"/>
    </row>
    <row r="4" spans="1:79" ht="10.5" customHeight="1">
      <c r="A4" s="488"/>
      <c r="B4" s="488"/>
      <c r="C4" s="488"/>
      <c r="D4" s="488"/>
      <c r="E4" s="488"/>
      <c r="F4" s="488"/>
      <c r="G4" s="488"/>
      <c r="H4" s="488"/>
      <c r="I4" s="488"/>
      <c r="J4" s="488"/>
    </row>
    <row r="5" spans="1:79" ht="10.5" customHeight="1">
      <c r="A5" s="1448"/>
      <c r="B5" s="1448"/>
      <c r="C5" s="1448"/>
      <c r="D5" s="1448"/>
      <c r="E5" s="1448"/>
      <c r="F5" s="1448"/>
      <c r="G5" s="1448"/>
      <c r="H5" s="1448"/>
      <c r="I5" s="1448"/>
      <c r="J5" s="1448"/>
    </row>
    <row r="6" spans="1:79">
      <c r="A6" s="2145" t="s">
        <v>182</v>
      </c>
      <c r="B6" s="2145" t="s">
        <v>2804</v>
      </c>
      <c r="C6" s="2145"/>
      <c r="D6" s="2145"/>
      <c r="E6" s="2145" t="s">
        <v>2805</v>
      </c>
      <c r="F6" s="2145"/>
      <c r="G6" s="2145"/>
      <c r="H6" s="2145" t="s">
        <v>2806</v>
      </c>
      <c r="I6" s="2145"/>
      <c r="J6" s="2145"/>
    </row>
    <row r="7" spans="1:79" ht="11.25" customHeight="1">
      <c r="A7" s="2145"/>
      <c r="B7" s="2145"/>
      <c r="C7" s="2145"/>
      <c r="D7" s="2145"/>
      <c r="E7" s="2145"/>
      <c r="F7" s="2145"/>
      <c r="G7" s="2145"/>
      <c r="H7" s="2145"/>
      <c r="I7" s="2145"/>
      <c r="J7" s="2145"/>
    </row>
    <row r="8" spans="1:79" ht="52.5" customHeight="1">
      <c r="A8" s="2145"/>
      <c r="B8" s="1231" t="s">
        <v>2766</v>
      </c>
      <c r="C8" s="1231" t="s">
        <v>1188</v>
      </c>
      <c r="D8" s="1231" t="s">
        <v>2765</v>
      </c>
      <c r="E8" s="1231" t="s">
        <v>2766</v>
      </c>
      <c r="F8" s="1231" t="s">
        <v>2767</v>
      </c>
      <c r="G8" s="1231" t="s">
        <v>2768</v>
      </c>
      <c r="H8" s="1231" t="s">
        <v>2766</v>
      </c>
      <c r="I8" s="1231" t="s">
        <v>2767</v>
      </c>
      <c r="J8" s="1231" t="s">
        <v>2765</v>
      </c>
      <c r="BZ8" s="90" t="s">
        <v>2049</v>
      </c>
      <c r="CA8" s="291" t="s">
        <v>2050</v>
      </c>
    </row>
    <row r="9" spans="1:79">
      <c r="A9" s="2546" t="s">
        <v>283</v>
      </c>
      <c r="B9" s="2546" t="s">
        <v>2807</v>
      </c>
      <c r="C9" s="2546"/>
      <c r="D9" s="2546"/>
      <c r="E9" s="2546" t="s">
        <v>2808</v>
      </c>
      <c r="F9" s="2546"/>
      <c r="G9" s="2546"/>
      <c r="H9" s="2546" t="s">
        <v>2809</v>
      </c>
      <c r="I9" s="2546"/>
      <c r="J9" s="2546"/>
      <c r="BV9" s="1431">
        <f>BV11+BV23+BV33+BV41</f>
        <v>0</v>
      </c>
      <c r="BZ9" s="1431">
        <f>BZ11+BZ23+BZ33+BZ41</f>
        <v>622</v>
      </c>
      <c r="CA9" s="1441">
        <f>BV9+BW9+BX9+BZ9</f>
        <v>622</v>
      </c>
    </row>
    <row r="10" spans="1:79" ht="8.25" customHeight="1">
      <c r="A10" s="2546"/>
      <c r="B10" s="2546"/>
      <c r="C10" s="2546"/>
      <c r="D10" s="2546"/>
      <c r="E10" s="2546"/>
      <c r="F10" s="2546"/>
      <c r="G10" s="2546"/>
      <c r="H10" s="2546"/>
      <c r="I10" s="2546"/>
      <c r="J10" s="2546"/>
      <c r="CA10" s="1441"/>
    </row>
    <row r="11" spans="1:79" ht="57" customHeight="1">
      <c r="A11" s="2546"/>
      <c r="B11" s="1423" t="s">
        <v>988</v>
      </c>
      <c r="C11" s="1423" t="s">
        <v>989</v>
      </c>
      <c r="D11" s="1423" t="s">
        <v>1006</v>
      </c>
      <c r="E11" s="1423" t="s">
        <v>988</v>
      </c>
      <c r="F11" s="1423" t="s">
        <v>989</v>
      </c>
      <c r="G11" s="1423" t="s">
        <v>1007</v>
      </c>
      <c r="H11" s="1423" t="s">
        <v>988</v>
      </c>
      <c r="I11" s="1423" t="s">
        <v>989</v>
      </c>
      <c r="J11" s="1423" t="s">
        <v>1007</v>
      </c>
      <c r="BZ11" s="1431">
        <f>BZ13+BZ18</f>
        <v>1713</v>
      </c>
      <c r="CA11" s="1441">
        <f>BV11+BW11+BX11+BZ11</f>
        <v>1713</v>
      </c>
    </row>
    <row r="12" spans="1:79" hidden="1">
      <c r="A12" s="1447">
        <v>2001</v>
      </c>
      <c r="B12" s="1446">
        <v>341.66199999999998</v>
      </c>
      <c r="C12" s="1445">
        <v>2762.056</v>
      </c>
      <c r="D12" s="1445">
        <f t="shared" ref="D12:D59" si="0">C12/B12</f>
        <v>8.0841767594874465</v>
      </c>
      <c r="E12" s="1444"/>
      <c r="F12" s="1444"/>
      <c r="G12" s="1444"/>
      <c r="H12" s="1444"/>
      <c r="I12" s="1444"/>
      <c r="J12" s="1444"/>
      <c r="CA12" s="1441"/>
    </row>
    <row r="13" spans="1:79" hidden="1">
      <c r="A13" s="1443">
        <v>2002</v>
      </c>
      <c r="B13" s="1442">
        <v>387.5</v>
      </c>
      <c r="C13" s="117">
        <v>5408.6329999999998</v>
      </c>
      <c r="D13" s="117">
        <f t="shared" si="0"/>
        <v>13.957762580645161</v>
      </c>
      <c r="E13" s="1442">
        <v>20.158000000000001</v>
      </c>
      <c r="F13" s="117">
        <v>8.6880000000000006</v>
      </c>
      <c r="G13" s="117">
        <f t="shared" ref="G13:G44" si="1">F13/E13*1000</f>
        <v>430.99513840658801</v>
      </c>
      <c r="H13" s="117"/>
      <c r="I13" s="117"/>
      <c r="J13" s="117"/>
      <c r="BZ13" s="1431">
        <f>BZ15+BZ16</f>
        <v>4361</v>
      </c>
      <c r="CA13" s="1441">
        <f>BV13+BW13+BX13+BZ13</f>
        <v>4361</v>
      </c>
    </row>
    <row r="14" spans="1:79" hidden="1">
      <c r="A14" s="1443">
        <f>A13+1</f>
        <v>2003</v>
      </c>
      <c r="B14" s="1442">
        <v>368.286</v>
      </c>
      <c r="C14" s="117">
        <v>7819.88</v>
      </c>
      <c r="D14" s="117">
        <f t="shared" si="0"/>
        <v>21.233172045638444</v>
      </c>
      <c r="E14" s="1442">
        <v>338.44400000000002</v>
      </c>
      <c r="F14" s="117">
        <v>278.09500000000003</v>
      </c>
      <c r="G14" s="117">
        <f t="shared" si="1"/>
        <v>821.68689650281874</v>
      </c>
      <c r="H14" s="117"/>
      <c r="I14" s="117"/>
      <c r="J14" s="117"/>
      <c r="CA14" s="1441"/>
    </row>
    <row r="15" spans="1:79" hidden="1">
      <c r="A15" s="1443">
        <f>A14+1</f>
        <v>2004</v>
      </c>
      <c r="B15" s="1442">
        <v>369.69499999999999</v>
      </c>
      <c r="C15" s="117">
        <v>10164.429</v>
      </c>
      <c r="D15" s="117">
        <f t="shared" si="0"/>
        <v>27.494093780007844</v>
      </c>
      <c r="E15" s="1442">
        <v>538.37400000000002</v>
      </c>
      <c r="F15" s="117">
        <v>679.36800000000005</v>
      </c>
      <c r="G15" s="117">
        <f t="shared" si="1"/>
        <v>1261.888575599862</v>
      </c>
      <c r="H15" s="117"/>
      <c r="I15" s="117"/>
      <c r="J15" s="117"/>
      <c r="BZ15" s="1431">
        <v>3917</v>
      </c>
      <c r="CA15" s="1441">
        <f>BV15+BW15+BX15+BZ15</f>
        <v>3917</v>
      </c>
    </row>
    <row r="16" spans="1:79" hidden="1">
      <c r="A16" s="113">
        <v>2005</v>
      </c>
      <c r="B16" s="1440">
        <v>316.06099999999998</v>
      </c>
      <c r="C16" s="1440">
        <v>13484.718000000001</v>
      </c>
      <c r="D16" s="1440">
        <f t="shared" si="0"/>
        <v>42.664922277661596</v>
      </c>
      <c r="E16" s="1440">
        <v>754.49</v>
      </c>
      <c r="F16" s="1440">
        <v>1213.663</v>
      </c>
      <c r="G16" s="1440">
        <f t="shared" si="1"/>
        <v>1608.5872576177285</v>
      </c>
      <c r="H16" s="1440"/>
      <c r="I16" s="1440"/>
      <c r="J16" s="1440"/>
      <c r="BZ16" s="1431">
        <v>444</v>
      </c>
      <c r="CA16" s="1441">
        <f>BV16+BW16+BX16+BZ16</f>
        <v>444</v>
      </c>
    </row>
    <row r="17" spans="1:79" ht="1.5" hidden="1" customHeight="1">
      <c r="A17" s="111" t="s">
        <v>18</v>
      </c>
      <c r="B17" s="1440">
        <v>21.706</v>
      </c>
      <c r="C17" s="1440">
        <v>806.18799999999999</v>
      </c>
      <c r="D17" s="1440">
        <f t="shared" si="0"/>
        <v>37.141251266930801</v>
      </c>
      <c r="E17" s="1440">
        <v>41.203000000000003</v>
      </c>
      <c r="F17" s="1440">
        <v>64.037999999999997</v>
      </c>
      <c r="G17" s="1440">
        <f t="shared" si="1"/>
        <v>1554.2072179210249</v>
      </c>
      <c r="H17" s="1440"/>
      <c r="I17" s="1440"/>
      <c r="J17" s="1440"/>
      <c r="CA17" s="1441"/>
    </row>
    <row r="18" spans="1:79" hidden="1">
      <c r="A18" s="111" t="s">
        <v>19</v>
      </c>
      <c r="B18" s="1440">
        <v>23.890999999999998</v>
      </c>
      <c r="C18" s="1440">
        <v>965.53800000000001</v>
      </c>
      <c r="D18" s="1440">
        <f t="shared" si="0"/>
        <v>40.414298271315559</v>
      </c>
      <c r="E18" s="1440">
        <v>47.811999999999998</v>
      </c>
      <c r="F18" s="1440">
        <v>74.843999999999994</v>
      </c>
      <c r="G18" s="1440">
        <f t="shared" si="1"/>
        <v>1565.3810758805321</v>
      </c>
      <c r="H18" s="1440"/>
      <c r="I18" s="1440"/>
      <c r="J18" s="1440"/>
      <c r="BZ18" s="1431">
        <f>BZ20+BZ21</f>
        <v>-2648</v>
      </c>
      <c r="CA18" s="1441">
        <f>BV18+BW18+BX18+BZ18</f>
        <v>-2648</v>
      </c>
    </row>
    <row r="19" spans="1:79" hidden="1">
      <c r="A19" s="111" t="s">
        <v>20</v>
      </c>
      <c r="B19" s="1440">
        <v>26.603000000000002</v>
      </c>
      <c r="C19" s="1440">
        <v>1211.0550000000001</v>
      </c>
      <c r="D19" s="1440">
        <f t="shared" si="0"/>
        <v>45.523249257602522</v>
      </c>
      <c r="E19" s="1440">
        <v>61.055999999999997</v>
      </c>
      <c r="F19" s="1440">
        <v>94.076999999999998</v>
      </c>
      <c r="G19" s="1440">
        <f t="shared" si="1"/>
        <v>1540.8313679245282</v>
      </c>
      <c r="H19" s="1440"/>
      <c r="I19" s="1440"/>
      <c r="J19" s="1440"/>
      <c r="CA19" s="1441"/>
    </row>
    <row r="20" spans="1:79" hidden="1">
      <c r="A20" s="111" t="s">
        <v>21</v>
      </c>
      <c r="B20" s="1440">
        <v>25.190999999999999</v>
      </c>
      <c r="C20" s="1440">
        <v>1039.665</v>
      </c>
      <c r="D20" s="1440">
        <f t="shared" si="0"/>
        <v>41.271287364534956</v>
      </c>
      <c r="E20" s="1440">
        <v>59.524999999999999</v>
      </c>
      <c r="F20" s="1440">
        <v>92.593000000000004</v>
      </c>
      <c r="G20" s="1440">
        <f t="shared" si="1"/>
        <v>1555.5312893742125</v>
      </c>
      <c r="H20" s="1440"/>
      <c r="I20" s="1440"/>
      <c r="J20" s="1440"/>
      <c r="BZ20" s="1431">
        <v>-367</v>
      </c>
      <c r="CA20" s="1441">
        <f>BV20+BW20+BX20+BZ20</f>
        <v>-367</v>
      </c>
    </row>
    <row r="21" spans="1:79" hidden="1">
      <c r="A21" s="111" t="s">
        <v>22</v>
      </c>
      <c r="B21" s="1440">
        <v>25.114999999999998</v>
      </c>
      <c r="C21" s="1440">
        <v>1010.268</v>
      </c>
      <c r="D21" s="1440">
        <f t="shared" si="0"/>
        <v>40.225681863428235</v>
      </c>
      <c r="E21" s="1440">
        <v>64.224999999999994</v>
      </c>
      <c r="F21" s="1440">
        <v>103.105</v>
      </c>
      <c r="G21" s="1440">
        <f t="shared" si="1"/>
        <v>1605.3717399766447</v>
      </c>
      <c r="H21" s="1440"/>
      <c r="I21" s="1440"/>
      <c r="J21" s="1440"/>
      <c r="BZ21" s="1431">
        <v>-2281</v>
      </c>
      <c r="CA21" s="1441">
        <f>BV21+BW21+BX21+BZ21</f>
        <v>-2281</v>
      </c>
    </row>
    <row r="22" spans="1:79" hidden="1">
      <c r="A22" s="111" t="s">
        <v>23</v>
      </c>
      <c r="B22" s="1440">
        <v>26.45</v>
      </c>
      <c r="C22" s="1440">
        <v>1034.73</v>
      </c>
      <c r="D22" s="1440">
        <f t="shared" si="0"/>
        <v>39.120226843100191</v>
      </c>
      <c r="E22" s="1440">
        <v>64.108999999999995</v>
      </c>
      <c r="F22" s="1440">
        <v>106.193</v>
      </c>
      <c r="G22" s="1440">
        <f t="shared" si="1"/>
        <v>1656.4444929729057</v>
      </c>
      <c r="H22" s="1440"/>
      <c r="I22" s="1440"/>
      <c r="J22" s="1440"/>
      <c r="CA22" s="1441"/>
    </row>
    <row r="23" spans="1:79" hidden="1">
      <c r="A23" s="111" t="s">
        <v>24</v>
      </c>
      <c r="B23" s="1440">
        <v>26.242999999999999</v>
      </c>
      <c r="C23" s="1440">
        <v>1084.7950000000001</v>
      </c>
      <c r="D23" s="1440">
        <f t="shared" si="0"/>
        <v>41.33654688869413</v>
      </c>
      <c r="E23" s="1440">
        <v>61.966000000000001</v>
      </c>
      <c r="F23" s="1440">
        <v>104.377</v>
      </c>
      <c r="G23" s="1440">
        <f t="shared" si="1"/>
        <v>1684.4237162314816</v>
      </c>
      <c r="H23" s="1440"/>
      <c r="I23" s="1440"/>
      <c r="J23" s="1440"/>
      <c r="BZ23" s="1431">
        <f>BZ25+BZ26</f>
        <v>-797</v>
      </c>
      <c r="CA23" s="1441">
        <f>BV23+BW23+BX23+BZ23</f>
        <v>-797</v>
      </c>
    </row>
    <row r="24" spans="1:79" hidden="1">
      <c r="A24" s="111" t="s">
        <v>25</v>
      </c>
      <c r="B24" s="1440">
        <v>27.58</v>
      </c>
      <c r="C24" s="1440">
        <v>1079.365</v>
      </c>
      <c r="D24" s="1440">
        <f t="shared" si="0"/>
        <v>39.135786802030459</v>
      </c>
      <c r="E24" s="1440">
        <v>65.072000000000003</v>
      </c>
      <c r="F24" s="1440">
        <v>110.322</v>
      </c>
      <c r="G24" s="1440">
        <f t="shared" si="1"/>
        <v>1695.3835751167935</v>
      </c>
      <c r="H24" s="1440"/>
      <c r="I24" s="1440"/>
      <c r="J24" s="1440"/>
      <c r="CA24" s="1441"/>
    </row>
    <row r="25" spans="1:79" hidden="1">
      <c r="A25" s="111" t="s">
        <v>26</v>
      </c>
      <c r="B25" s="1440">
        <v>27.497</v>
      </c>
      <c r="C25" s="1440">
        <v>1344.5989999999999</v>
      </c>
      <c r="D25" s="1440">
        <f t="shared" si="0"/>
        <v>48.899843619303923</v>
      </c>
      <c r="E25" s="1440">
        <v>67.997</v>
      </c>
      <c r="F25" s="1440">
        <v>112.30200000000001</v>
      </c>
      <c r="G25" s="1440">
        <f t="shared" si="1"/>
        <v>1651.5728635086843</v>
      </c>
      <c r="H25" s="1440"/>
      <c r="I25" s="1440"/>
      <c r="J25" s="1440"/>
      <c r="BZ25" s="1431">
        <v>-644</v>
      </c>
      <c r="CA25" s="1441">
        <f>BV25+BW25+BX25+BZ25</f>
        <v>-644</v>
      </c>
    </row>
    <row r="26" spans="1:79" hidden="1">
      <c r="A26" s="111" t="s">
        <v>27</v>
      </c>
      <c r="B26" s="1440">
        <v>26.995999999999999</v>
      </c>
      <c r="C26" s="1440">
        <v>1251.231</v>
      </c>
      <c r="D26" s="1440">
        <f t="shared" si="0"/>
        <v>46.348755371166099</v>
      </c>
      <c r="E26" s="1440">
        <v>67.158000000000001</v>
      </c>
      <c r="F26" s="1440">
        <v>106.295</v>
      </c>
      <c r="G26" s="1440">
        <f t="shared" si="1"/>
        <v>1582.7600583698145</v>
      </c>
      <c r="H26" s="1440"/>
      <c r="I26" s="1440"/>
      <c r="J26" s="1440"/>
      <c r="BZ26" s="1431">
        <v>-153</v>
      </c>
      <c r="CA26" s="1441">
        <f>BV26+BW26+BX26+BZ26</f>
        <v>-153</v>
      </c>
    </row>
    <row r="27" spans="1:79" hidden="1">
      <c r="A27" s="111" t="s">
        <v>28</v>
      </c>
      <c r="B27" s="1440">
        <v>25.972999999999999</v>
      </c>
      <c r="C27" s="1440">
        <v>1130.0029999999999</v>
      </c>
      <c r="D27" s="1440">
        <f t="shared" si="0"/>
        <v>43.506834019943788</v>
      </c>
      <c r="E27" s="1440">
        <v>67.811000000000007</v>
      </c>
      <c r="F27" s="1440">
        <v>109.121</v>
      </c>
      <c r="G27" s="1440">
        <f t="shared" si="1"/>
        <v>1609.1931987435664</v>
      </c>
      <c r="H27" s="1440"/>
      <c r="I27" s="1440"/>
      <c r="J27" s="1440"/>
      <c r="CA27" s="1441"/>
    </row>
    <row r="28" spans="1:79" hidden="1">
      <c r="A28" s="111" t="s">
        <v>29</v>
      </c>
      <c r="B28" s="1440">
        <v>32.816000000000003</v>
      </c>
      <c r="C28" s="1440">
        <v>1527.2760000000001</v>
      </c>
      <c r="D28" s="1440">
        <f t="shared" si="0"/>
        <v>46.540589956118964</v>
      </c>
      <c r="E28" s="1440">
        <v>86.555999999999997</v>
      </c>
      <c r="F28" s="1440">
        <v>136.39099999999999</v>
      </c>
      <c r="G28" s="1440">
        <f t="shared" si="1"/>
        <v>1575.7544248810018</v>
      </c>
      <c r="H28" s="1440"/>
      <c r="I28" s="1440"/>
      <c r="J28" s="1440"/>
      <c r="CA28" s="1441"/>
    </row>
    <row r="29" spans="1:79" hidden="1">
      <c r="A29" s="113">
        <v>2006</v>
      </c>
      <c r="B29" s="1440">
        <v>370</v>
      </c>
      <c r="C29" s="1440">
        <v>23847</v>
      </c>
      <c r="D29" s="1440">
        <f t="shared" si="0"/>
        <v>64.451351351351349</v>
      </c>
      <c r="E29" s="1440">
        <v>842</v>
      </c>
      <c r="F29" s="1440">
        <v>1443</v>
      </c>
      <c r="G29" s="1440">
        <f t="shared" si="1"/>
        <v>1713.7767220902613</v>
      </c>
      <c r="H29" s="1440"/>
      <c r="I29" s="1440"/>
      <c r="J29" s="1440"/>
      <c r="CA29" s="1441"/>
    </row>
    <row r="30" spans="1:79" ht="0.75" hidden="1" customHeight="1">
      <c r="A30" s="111" t="s">
        <v>18</v>
      </c>
      <c r="B30" s="1440">
        <v>20.87</v>
      </c>
      <c r="C30" s="1440">
        <v>1190.432</v>
      </c>
      <c r="D30" s="1440">
        <f t="shared" si="0"/>
        <v>57.040344992812649</v>
      </c>
      <c r="E30" s="1440">
        <v>41</v>
      </c>
      <c r="F30" s="1440">
        <v>71.622</v>
      </c>
      <c r="G30" s="1440">
        <f t="shared" si="1"/>
        <v>1746.8780487804879</v>
      </c>
      <c r="H30" s="1440"/>
      <c r="I30" s="1440"/>
      <c r="J30" s="1440"/>
      <c r="BZ30" s="1431">
        <v>-31</v>
      </c>
      <c r="CA30" s="1441">
        <f>BV30+BW30+BX30+BZ30</f>
        <v>-31</v>
      </c>
    </row>
    <row r="31" spans="1:79" hidden="1">
      <c r="A31" s="111" t="s">
        <v>19</v>
      </c>
      <c r="B31" s="1440">
        <v>23.992999999999999</v>
      </c>
      <c r="C31" s="1440">
        <v>1551.856</v>
      </c>
      <c r="D31" s="1440">
        <f t="shared" si="0"/>
        <v>64.679531530029593</v>
      </c>
      <c r="E31" s="1440">
        <v>58.497</v>
      </c>
      <c r="F31" s="1440">
        <v>90.730999999999995</v>
      </c>
      <c r="G31" s="1440">
        <f t="shared" si="1"/>
        <v>1551.0368053062548</v>
      </c>
      <c r="H31" s="1440"/>
      <c r="I31" s="1440"/>
      <c r="J31" s="1440"/>
      <c r="BZ31" s="1431">
        <v>-440</v>
      </c>
      <c r="CA31" s="1441">
        <f>BV31+BW31+BX31+BZ31</f>
        <v>-440</v>
      </c>
    </row>
    <row r="32" spans="1:79" hidden="1">
      <c r="A32" s="111" t="s">
        <v>20</v>
      </c>
      <c r="B32" s="1440">
        <v>27.138999999999999</v>
      </c>
      <c r="C32" s="1440">
        <v>1468.7719999999999</v>
      </c>
      <c r="D32" s="1440">
        <f t="shared" si="0"/>
        <v>54.120343417222443</v>
      </c>
      <c r="E32" s="1440">
        <v>71.475999999999999</v>
      </c>
      <c r="F32" s="1440">
        <v>115.672</v>
      </c>
      <c r="G32" s="1440">
        <f t="shared" si="1"/>
        <v>1618.3334266047345</v>
      </c>
      <c r="H32" s="1440"/>
      <c r="I32" s="1440"/>
      <c r="J32" s="1440"/>
      <c r="CA32" s="1441"/>
    </row>
    <row r="33" spans="1:79" hidden="1">
      <c r="A33" s="111" t="s">
        <v>21</v>
      </c>
      <c r="B33" s="1440">
        <v>27.151</v>
      </c>
      <c r="C33" s="1440">
        <v>1558.7650000000001</v>
      </c>
      <c r="D33" s="1440">
        <f t="shared" si="0"/>
        <v>57.410960922249643</v>
      </c>
      <c r="E33" s="1440">
        <v>67.92</v>
      </c>
      <c r="F33" s="1440">
        <v>112.73699999999999</v>
      </c>
      <c r="G33" s="1440">
        <f t="shared" si="1"/>
        <v>1659.8498233215546</v>
      </c>
      <c r="H33" s="1440"/>
      <c r="I33" s="1440"/>
      <c r="J33" s="1440"/>
      <c r="BZ33" s="1431">
        <f>BZ35+BZ36</f>
        <v>-498</v>
      </c>
      <c r="CA33" s="1441">
        <f>BV33+BW33+BX33+BZ33</f>
        <v>-498</v>
      </c>
    </row>
    <row r="34" spans="1:79" hidden="1">
      <c r="A34" s="111" t="s">
        <v>22</v>
      </c>
      <c r="B34" s="1440">
        <v>31</v>
      </c>
      <c r="C34" s="1440">
        <v>1719</v>
      </c>
      <c r="D34" s="1440">
        <f t="shared" si="0"/>
        <v>55.451612903225808</v>
      </c>
      <c r="E34" s="1440">
        <v>72</v>
      </c>
      <c r="F34" s="1440">
        <v>124</v>
      </c>
      <c r="G34" s="1440">
        <f t="shared" si="1"/>
        <v>1722.2222222222224</v>
      </c>
      <c r="H34" s="1440"/>
      <c r="I34" s="1440"/>
      <c r="J34" s="1440"/>
      <c r="CA34" s="1441"/>
    </row>
    <row r="35" spans="1:79" hidden="1">
      <c r="A35" s="111" t="s">
        <v>23</v>
      </c>
      <c r="B35" s="1440">
        <v>30</v>
      </c>
      <c r="C35" s="1440">
        <v>2036</v>
      </c>
      <c r="D35" s="1440">
        <f t="shared" si="0"/>
        <v>67.86666666666666</v>
      </c>
      <c r="E35" s="1440">
        <v>73</v>
      </c>
      <c r="F35" s="1440">
        <v>129</v>
      </c>
      <c r="G35" s="1440">
        <f t="shared" si="1"/>
        <v>1767.1232876712329</v>
      </c>
      <c r="H35" s="1440"/>
      <c r="I35" s="1440"/>
      <c r="J35" s="1440"/>
      <c r="BZ35" s="1431">
        <v>-521</v>
      </c>
      <c r="CA35" s="1441">
        <f>BV35+BW35+BX35+BZ35</f>
        <v>-521</v>
      </c>
    </row>
    <row r="36" spans="1:79" hidden="1">
      <c r="A36" s="111" t="s">
        <v>24</v>
      </c>
      <c r="B36" s="1440">
        <v>32</v>
      </c>
      <c r="C36" s="1440">
        <v>1977</v>
      </c>
      <c r="D36" s="1440">
        <f t="shared" si="0"/>
        <v>61.78125</v>
      </c>
      <c r="E36" s="1440">
        <v>73</v>
      </c>
      <c r="F36" s="1440">
        <v>126</v>
      </c>
      <c r="G36" s="1440">
        <f t="shared" si="1"/>
        <v>1726.027397260274</v>
      </c>
      <c r="H36" s="1440"/>
      <c r="I36" s="1440"/>
      <c r="J36" s="1440"/>
      <c r="BZ36" s="1431">
        <v>23</v>
      </c>
      <c r="CA36" s="1441">
        <f>BV36+BW36+BX36+BZ36</f>
        <v>23</v>
      </c>
    </row>
    <row r="37" spans="1:79" hidden="1">
      <c r="A37" s="111" t="s">
        <v>25</v>
      </c>
      <c r="B37" s="1440">
        <v>34</v>
      </c>
      <c r="C37" s="1440">
        <v>2518</v>
      </c>
      <c r="D37" s="1440">
        <f t="shared" si="0"/>
        <v>74.058823529411768</v>
      </c>
      <c r="E37" s="1440">
        <v>72</v>
      </c>
      <c r="F37" s="1440">
        <v>129</v>
      </c>
      <c r="G37" s="1440">
        <f t="shared" si="1"/>
        <v>1791.6666666666667</v>
      </c>
      <c r="H37" s="1440"/>
      <c r="I37" s="1440"/>
      <c r="J37" s="1440"/>
      <c r="CA37" s="1441"/>
    </row>
    <row r="38" spans="1:79" hidden="1">
      <c r="A38" s="111" t="s">
        <v>26</v>
      </c>
      <c r="B38" s="1440">
        <v>32</v>
      </c>
      <c r="C38" s="1440">
        <v>1877</v>
      </c>
      <c r="D38" s="1440">
        <f t="shared" si="0"/>
        <v>58.65625</v>
      </c>
      <c r="E38" s="1440">
        <v>69</v>
      </c>
      <c r="F38" s="1440">
        <v>119</v>
      </c>
      <c r="G38" s="1440">
        <f t="shared" si="1"/>
        <v>1724.6376811594205</v>
      </c>
      <c r="H38" s="1440"/>
      <c r="I38" s="1440"/>
      <c r="J38" s="1440"/>
      <c r="BZ38" s="1431">
        <v>433</v>
      </c>
      <c r="CA38" s="1441">
        <f>BV38+BW38+BX38+BZ38</f>
        <v>433</v>
      </c>
    </row>
    <row r="39" spans="1:79" hidden="1">
      <c r="A39" s="111" t="s">
        <v>27</v>
      </c>
      <c r="B39" s="1440">
        <v>33</v>
      </c>
      <c r="C39" s="1440">
        <v>1990</v>
      </c>
      <c r="D39" s="1440">
        <f t="shared" si="0"/>
        <v>60.303030303030305</v>
      </c>
      <c r="E39" s="1440">
        <v>71</v>
      </c>
      <c r="F39" s="1440">
        <v>123</v>
      </c>
      <c r="G39" s="1440">
        <f t="shared" si="1"/>
        <v>1732.394366197183</v>
      </c>
      <c r="H39" s="1440"/>
      <c r="I39" s="1440"/>
      <c r="J39" s="1440"/>
      <c r="BZ39" s="1431">
        <v>-931</v>
      </c>
      <c r="CA39" s="1441">
        <f>BV39+BW39+BX39+BZ39</f>
        <v>-931</v>
      </c>
    </row>
    <row r="40" spans="1:79" hidden="1">
      <c r="A40" s="111" t="s">
        <v>28</v>
      </c>
      <c r="B40" s="1440">
        <v>34</v>
      </c>
      <c r="C40" s="1440">
        <v>2367</v>
      </c>
      <c r="D40" s="1440">
        <f t="shared" si="0"/>
        <v>69.617647058823536</v>
      </c>
      <c r="E40" s="1440">
        <v>75</v>
      </c>
      <c r="F40" s="1440">
        <v>133</v>
      </c>
      <c r="G40" s="1440">
        <f t="shared" si="1"/>
        <v>1773.3333333333335</v>
      </c>
      <c r="H40" s="1440"/>
      <c r="I40" s="1440"/>
      <c r="J40" s="1440"/>
      <c r="CA40" s="1441"/>
    </row>
    <row r="41" spans="1:79" hidden="1">
      <c r="A41" s="111" t="s">
        <v>29</v>
      </c>
      <c r="B41" s="1440">
        <v>45</v>
      </c>
      <c r="C41" s="1440">
        <v>3593</v>
      </c>
      <c r="D41" s="1440">
        <f t="shared" si="0"/>
        <v>79.844444444444449</v>
      </c>
      <c r="E41" s="1440">
        <v>98</v>
      </c>
      <c r="F41" s="1440">
        <v>169</v>
      </c>
      <c r="G41" s="1440">
        <f t="shared" si="1"/>
        <v>1724.4897959183675</v>
      </c>
      <c r="H41" s="1440"/>
      <c r="I41" s="1440"/>
      <c r="J41" s="1440"/>
      <c r="BZ41" s="1431">
        <v>204</v>
      </c>
      <c r="CA41" s="1441">
        <f>BV41+BW41+BX41+BZ41</f>
        <v>204</v>
      </c>
    </row>
    <row r="42" spans="1:79" hidden="1">
      <c r="A42" s="111" t="s">
        <v>121</v>
      </c>
      <c r="B42" s="1440">
        <f>SUM(B43:B54)</f>
        <v>433</v>
      </c>
      <c r="C42" s="1440">
        <f>SUM(C43:C54)</f>
        <v>38727</v>
      </c>
      <c r="D42" s="1440">
        <f t="shared" si="0"/>
        <v>89.438799076212476</v>
      </c>
      <c r="E42" s="1440">
        <f>SUM(E43:E54)</f>
        <v>1040</v>
      </c>
      <c r="F42" s="1440">
        <f>SUM(F43:F54)</f>
        <v>2138</v>
      </c>
      <c r="G42" s="1440">
        <f t="shared" si="1"/>
        <v>2055.7692307692305</v>
      </c>
      <c r="H42" s="1440"/>
      <c r="I42" s="1440"/>
      <c r="J42" s="1440"/>
      <c r="BZ42" s="1431">
        <v>200</v>
      </c>
      <c r="CA42" s="1441">
        <f>BV42+BW42+BX42+BZ42</f>
        <v>200</v>
      </c>
    </row>
    <row r="43" spans="1:79" hidden="1">
      <c r="A43" s="111" t="s">
        <v>18</v>
      </c>
      <c r="B43" s="1440">
        <v>26</v>
      </c>
      <c r="C43" s="1440">
        <v>1938</v>
      </c>
      <c r="D43" s="1440">
        <f t="shared" si="0"/>
        <v>74.538461538461533</v>
      </c>
      <c r="E43" s="1440">
        <v>57</v>
      </c>
      <c r="F43" s="1440">
        <v>97</v>
      </c>
      <c r="G43" s="1440">
        <f t="shared" si="1"/>
        <v>1701.7543859649122</v>
      </c>
      <c r="H43" s="1440"/>
      <c r="I43" s="1440"/>
      <c r="J43" s="1440"/>
      <c r="CA43" s="1441"/>
    </row>
    <row r="44" spans="1:79" hidden="1">
      <c r="A44" s="111" t="s">
        <v>19</v>
      </c>
      <c r="B44" s="1440">
        <v>30</v>
      </c>
      <c r="C44" s="1440">
        <v>2271</v>
      </c>
      <c r="D44" s="1440">
        <f t="shared" si="0"/>
        <v>75.7</v>
      </c>
      <c r="E44" s="1440">
        <v>72</v>
      </c>
      <c r="F44" s="1440">
        <v>125</v>
      </c>
      <c r="G44" s="1440">
        <f t="shared" si="1"/>
        <v>1736.1111111111111</v>
      </c>
      <c r="H44" s="1440"/>
      <c r="I44" s="1440"/>
      <c r="J44" s="1440"/>
      <c r="BZ44" s="1431">
        <v>295</v>
      </c>
      <c r="CA44" s="1441">
        <f>BV44+BW44+BX44+BZ44</f>
        <v>295</v>
      </c>
    </row>
    <row r="45" spans="1:79" hidden="1">
      <c r="A45" s="111" t="s">
        <v>20</v>
      </c>
      <c r="B45" s="1440">
        <v>31</v>
      </c>
      <c r="C45" s="1440">
        <v>2306</v>
      </c>
      <c r="D45" s="1440">
        <f t="shared" si="0"/>
        <v>74.387096774193552</v>
      </c>
      <c r="E45" s="1440">
        <v>75</v>
      </c>
      <c r="F45" s="1440">
        <v>141</v>
      </c>
      <c r="G45" s="1440">
        <f t="shared" ref="G45:G76" si="2">F45/E45*1000</f>
        <v>1880</v>
      </c>
      <c r="H45" s="1440"/>
      <c r="I45" s="1440"/>
      <c r="J45" s="1440"/>
      <c r="BZ45" s="1431">
        <v>-95</v>
      </c>
      <c r="CA45" s="1441">
        <f>BV45+BW45+BX45+BZ45</f>
        <v>-95</v>
      </c>
    </row>
    <row r="46" spans="1:79" hidden="1">
      <c r="A46" s="111" t="s">
        <v>21</v>
      </c>
      <c r="B46" s="1440">
        <v>35</v>
      </c>
      <c r="C46" s="1440">
        <v>2794</v>
      </c>
      <c r="D46" s="1440">
        <f t="shared" si="0"/>
        <v>79.828571428571422</v>
      </c>
      <c r="E46" s="1440">
        <v>87</v>
      </c>
      <c r="F46" s="1440">
        <v>178</v>
      </c>
      <c r="G46" s="1440">
        <f t="shared" si="2"/>
        <v>2045.9770114942528</v>
      </c>
      <c r="H46" s="1440"/>
      <c r="I46" s="1440"/>
      <c r="J46" s="1440"/>
      <c r="CA46" s="1441"/>
    </row>
    <row r="47" spans="1:79" hidden="1">
      <c r="A47" s="111" t="s">
        <v>22</v>
      </c>
      <c r="B47" s="1440">
        <v>37</v>
      </c>
      <c r="C47" s="1440">
        <v>2931</v>
      </c>
      <c r="D47" s="1440">
        <f t="shared" si="0"/>
        <v>79.21621621621621</v>
      </c>
      <c r="E47" s="1440">
        <v>89</v>
      </c>
      <c r="F47" s="1440">
        <v>192</v>
      </c>
      <c r="G47" s="1440">
        <f t="shared" si="2"/>
        <v>2157.303370786517</v>
      </c>
      <c r="H47" s="1440"/>
      <c r="I47" s="1440"/>
      <c r="J47" s="1440"/>
      <c r="BZ47" s="1431">
        <v>0</v>
      </c>
      <c r="CA47" s="1441">
        <f>BV47+BW47+BX47+BZ47</f>
        <v>0</v>
      </c>
    </row>
    <row r="48" spans="1:79" hidden="1">
      <c r="A48" s="111" t="s">
        <v>23</v>
      </c>
      <c r="B48" s="1440">
        <v>35</v>
      </c>
      <c r="C48" s="1440">
        <v>2959</v>
      </c>
      <c r="D48" s="1440">
        <f t="shared" si="0"/>
        <v>84.542857142857144</v>
      </c>
      <c r="E48" s="1440">
        <v>85</v>
      </c>
      <c r="F48" s="1440">
        <v>185</v>
      </c>
      <c r="G48" s="1440">
        <f t="shared" si="2"/>
        <v>2176.4705882352941</v>
      </c>
      <c r="H48" s="1440"/>
      <c r="I48" s="1440"/>
      <c r="J48" s="1440"/>
      <c r="CA48" s="1441"/>
    </row>
    <row r="49" spans="1:79" hidden="1">
      <c r="A49" s="111" t="s">
        <v>24</v>
      </c>
      <c r="B49" s="1440">
        <v>38</v>
      </c>
      <c r="C49" s="1440">
        <v>3817</v>
      </c>
      <c r="D49" s="1440">
        <f t="shared" si="0"/>
        <v>100.44736842105263</v>
      </c>
      <c r="E49" s="1440">
        <v>97</v>
      </c>
      <c r="F49" s="1440">
        <v>211</v>
      </c>
      <c r="G49" s="1440">
        <f t="shared" si="2"/>
        <v>2175.2577319587626</v>
      </c>
      <c r="H49" s="1440"/>
      <c r="I49" s="1440"/>
      <c r="J49" s="1440"/>
      <c r="BZ49" s="1431">
        <f>BZ50-BZ54</f>
        <v>481</v>
      </c>
      <c r="CA49" s="1441">
        <f>BV49+BW49+BX49+BZ49</f>
        <v>481</v>
      </c>
    </row>
    <row r="50" spans="1:79" hidden="1">
      <c r="A50" s="111" t="s">
        <v>25</v>
      </c>
      <c r="B50" s="1440">
        <v>38</v>
      </c>
      <c r="C50" s="1440">
        <v>3619</v>
      </c>
      <c r="D50" s="1440">
        <f t="shared" si="0"/>
        <v>95.236842105263165</v>
      </c>
      <c r="E50" s="1440">
        <v>88</v>
      </c>
      <c r="F50" s="1440">
        <v>194</v>
      </c>
      <c r="G50" s="1440">
        <f t="shared" si="2"/>
        <v>2204.5454545454545</v>
      </c>
      <c r="H50" s="1440"/>
      <c r="I50" s="1440"/>
      <c r="J50" s="1440"/>
      <c r="BZ50" s="1431">
        <f>BZ52+BZ53</f>
        <v>965</v>
      </c>
      <c r="CA50" s="1441">
        <f>BV50+BW50+BX50+BZ50</f>
        <v>965</v>
      </c>
    </row>
    <row r="51" spans="1:79" hidden="1">
      <c r="A51" s="111" t="s">
        <v>26</v>
      </c>
      <c r="B51" s="1440">
        <v>35</v>
      </c>
      <c r="C51" s="1440">
        <v>3208</v>
      </c>
      <c r="D51" s="1440">
        <f t="shared" si="0"/>
        <v>91.657142857142858</v>
      </c>
      <c r="E51" s="1440">
        <v>85</v>
      </c>
      <c r="F51" s="1440">
        <v>183</v>
      </c>
      <c r="G51" s="1440">
        <f t="shared" si="2"/>
        <v>2152.9411764705883</v>
      </c>
      <c r="H51" s="1440"/>
      <c r="I51" s="1440"/>
      <c r="J51" s="1440"/>
      <c r="CA51" s="1441"/>
    </row>
    <row r="52" spans="1:79" hidden="1">
      <c r="A52" s="111" t="s">
        <v>27</v>
      </c>
      <c r="B52" s="1440">
        <v>40</v>
      </c>
      <c r="C52" s="1440">
        <v>3424</v>
      </c>
      <c r="D52" s="1440">
        <f t="shared" si="0"/>
        <v>85.6</v>
      </c>
      <c r="E52" s="1440">
        <v>96</v>
      </c>
      <c r="F52" s="1440">
        <v>189</v>
      </c>
      <c r="G52" s="1440">
        <f t="shared" si="2"/>
        <v>1968.75</v>
      </c>
      <c r="H52" s="1440"/>
      <c r="I52" s="1440"/>
      <c r="J52" s="1440"/>
      <c r="BZ52" s="1431">
        <v>954</v>
      </c>
      <c r="CA52" s="1441">
        <f>BV52+BW52+BX52+BZ52</f>
        <v>954</v>
      </c>
    </row>
    <row r="53" spans="1:79" hidden="1">
      <c r="A53" s="111" t="s">
        <v>28</v>
      </c>
      <c r="B53" s="1440">
        <v>39</v>
      </c>
      <c r="C53" s="1440">
        <v>3771</v>
      </c>
      <c r="D53" s="1440">
        <f t="shared" si="0"/>
        <v>96.692307692307693</v>
      </c>
      <c r="E53" s="1440">
        <v>94</v>
      </c>
      <c r="F53" s="1440">
        <v>194</v>
      </c>
      <c r="G53" s="1440">
        <f t="shared" si="2"/>
        <v>2063.8297872340427</v>
      </c>
      <c r="H53" s="1440"/>
      <c r="I53" s="1440"/>
      <c r="J53" s="1440"/>
      <c r="BZ53" s="1431">
        <v>11</v>
      </c>
      <c r="CA53" s="1441">
        <f>BV53+BW53+BX53+BZ53</f>
        <v>11</v>
      </c>
    </row>
    <row r="54" spans="1:79" hidden="1">
      <c r="A54" s="111" t="s">
        <v>29</v>
      </c>
      <c r="B54" s="1440">
        <v>49</v>
      </c>
      <c r="C54" s="1440">
        <v>5689</v>
      </c>
      <c r="D54" s="1440">
        <f t="shared" si="0"/>
        <v>116.10204081632654</v>
      </c>
      <c r="E54" s="1440">
        <v>115</v>
      </c>
      <c r="F54" s="1440">
        <v>249</v>
      </c>
      <c r="G54" s="1440">
        <f t="shared" si="2"/>
        <v>2165.217391304348</v>
      </c>
      <c r="H54" s="1440"/>
      <c r="I54" s="1440"/>
      <c r="J54" s="1440"/>
      <c r="BZ54" s="1431">
        <f>BZ56+BZ57+BZ58+BZ59</f>
        <v>484</v>
      </c>
      <c r="CA54" s="1441">
        <f>BV54+BW54+BX54+BZ54</f>
        <v>484</v>
      </c>
    </row>
    <row r="55" spans="1:79" hidden="1">
      <c r="A55" s="111" t="s">
        <v>114</v>
      </c>
      <c r="B55" s="1440">
        <v>457</v>
      </c>
      <c r="C55" s="1440">
        <v>71425</v>
      </c>
      <c r="D55" s="1440">
        <f t="shared" si="0"/>
        <v>156.2910284463895</v>
      </c>
      <c r="E55" s="1440">
        <v>1943</v>
      </c>
      <c r="F55" s="1440">
        <v>5364</v>
      </c>
      <c r="G55" s="1440">
        <f t="shared" si="2"/>
        <v>2760.6793618116312</v>
      </c>
      <c r="H55" s="1440"/>
      <c r="I55" s="1440"/>
      <c r="J55" s="1440"/>
      <c r="CA55" s="1441"/>
    </row>
    <row r="56" spans="1:79" hidden="1">
      <c r="A56" s="111" t="s">
        <v>18</v>
      </c>
      <c r="B56" s="1440">
        <v>26</v>
      </c>
      <c r="C56" s="1440">
        <v>3108</v>
      </c>
      <c r="D56" s="1440">
        <f t="shared" si="0"/>
        <v>119.53846153846153</v>
      </c>
      <c r="E56" s="1440">
        <v>96</v>
      </c>
      <c r="F56" s="1440">
        <v>196</v>
      </c>
      <c r="G56" s="1440">
        <f t="shared" si="2"/>
        <v>2041.6666666666665</v>
      </c>
      <c r="H56" s="1440"/>
      <c r="I56" s="1440"/>
      <c r="J56" s="1440"/>
      <c r="BZ56" s="1431">
        <v>1214</v>
      </c>
      <c r="CA56" s="1441">
        <f t="shared" ref="CA56:CA61" si="3">BV56+BW56+BX56+BZ56</f>
        <v>1214</v>
      </c>
    </row>
    <row r="57" spans="1:79" hidden="1">
      <c r="A57" s="111" t="s">
        <v>19</v>
      </c>
      <c r="B57" s="1440">
        <v>34</v>
      </c>
      <c r="C57" s="1440">
        <v>3843</v>
      </c>
      <c r="D57" s="1440">
        <f t="shared" si="0"/>
        <v>113.02941176470588</v>
      </c>
      <c r="E57" s="1440">
        <v>132</v>
      </c>
      <c r="F57" s="1440">
        <v>294</v>
      </c>
      <c r="G57" s="1440">
        <f t="shared" si="2"/>
        <v>2227.272727272727</v>
      </c>
      <c r="H57" s="1440"/>
      <c r="I57" s="1440"/>
      <c r="J57" s="1440"/>
      <c r="BZ57" s="1431">
        <v>-745</v>
      </c>
      <c r="CA57" s="1441">
        <f t="shared" si="3"/>
        <v>-745</v>
      </c>
    </row>
    <row r="58" spans="1:79" hidden="1">
      <c r="A58" s="111" t="s">
        <v>20</v>
      </c>
      <c r="B58" s="1440">
        <v>33</v>
      </c>
      <c r="C58" s="1440">
        <v>4326</v>
      </c>
      <c r="D58" s="1440">
        <f t="shared" si="0"/>
        <v>131.09090909090909</v>
      </c>
      <c r="E58" s="1440">
        <v>128</v>
      </c>
      <c r="F58" s="1440">
        <v>349</v>
      </c>
      <c r="G58" s="1440">
        <f t="shared" si="2"/>
        <v>2726.5625</v>
      </c>
      <c r="H58" s="1440"/>
      <c r="I58" s="1440"/>
      <c r="J58" s="1440"/>
      <c r="BZ58" s="1431">
        <v>0</v>
      </c>
      <c r="CA58" s="1441">
        <f t="shared" si="3"/>
        <v>0</v>
      </c>
    </row>
    <row r="59" spans="1:79" hidden="1">
      <c r="A59" s="111" t="s">
        <v>21</v>
      </c>
      <c r="B59" s="1440">
        <v>42</v>
      </c>
      <c r="C59" s="1440">
        <v>5748</v>
      </c>
      <c r="D59" s="1440">
        <f t="shared" si="0"/>
        <v>136.85714285714286</v>
      </c>
      <c r="E59" s="1440">
        <v>162</v>
      </c>
      <c r="F59" s="1440">
        <v>450</v>
      </c>
      <c r="G59" s="1440">
        <f t="shared" si="2"/>
        <v>2777.7777777777778</v>
      </c>
      <c r="H59" s="1440"/>
      <c r="I59" s="1440"/>
      <c r="J59" s="1440"/>
      <c r="BZ59" s="1431">
        <v>15</v>
      </c>
      <c r="CA59" s="1441">
        <f t="shared" si="3"/>
        <v>15</v>
      </c>
    </row>
    <row r="60" spans="1:79" hidden="1">
      <c r="A60" s="111" t="s">
        <v>22</v>
      </c>
      <c r="B60" s="1440">
        <v>39</v>
      </c>
      <c r="C60" s="1440">
        <v>5390</v>
      </c>
      <c r="D60" s="1440">
        <v>138.2051282051282</v>
      </c>
      <c r="E60" s="1440">
        <v>146</v>
      </c>
      <c r="F60" s="1440">
        <v>446</v>
      </c>
      <c r="G60" s="1440">
        <f t="shared" si="2"/>
        <v>3054.7945205479455</v>
      </c>
      <c r="H60" s="1440"/>
      <c r="I60" s="1440"/>
      <c r="J60" s="1440"/>
      <c r="BZ60" s="1431">
        <v>-372</v>
      </c>
      <c r="CA60" s="1441">
        <f t="shared" si="3"/>
        <v>-372</v>
      </c>
    </row>
    <row r="61" spans="1:79" hidden="1">
      <c r="A61" s="111" t="s">
        <v>23</v>
      </c>
      <c r="B61" s="1440">
        <v>38</v>
      </c>
      <c r="C61" s="1440">
        <v>6268</v>
      </c>
      <c r="D61" s="1440">
        <f t="shared" ref="D61:D81" si="4">C61/B61</f>
        <v>164.94736842105263</v>
      </c>
      <c r="E61" s="1440">
        <v>151</v>
      </c>
      <c r="F61" s="1440">
        <v>483</v>
      </c>
      <c r="G61" s="1440">
        <f t="shared" si="2"/>
        <v>3198.675496688742</v>
      </c>
      <c r="H61" s="1440"/>
      <c r="I61" s="1440"/>
      <c r="J61" s="1440"/>
      <c r="BZ61" s="1431">
        <v>-231</v>
      </c>
      <c r="CA61" s="1441">
        <f t="shared" si="3"/>
        <v>-231</v>
      </c>
    </row>
    <row r="62" spans="1:79" hidden="1">
      <c r="A62" s="111" t="s">
        <v>24</v>
      </c>
      <c r="B62" s="1440">
        <v>46</v>
      </c>
      <c r="C62" s="1440">
        <v>6698</v>
      </c>
      <c r="D62" s="1440">
        <f t="shared" si="4"/>
        <v>145.60869565217391</v>
      </c>
      <c r="E62" s="1440">
        <v>173</v>
      </c>
      <c r="F62" s="1440">
        <v>533</v>
      </c>
      <c r="G62" s="1440">
        <f t="shared" si="2"/>
        <v>3080.9248554913293</v>
      </c>
      <c r="H62" s="1440"/>
      <c r="I62" s="1440"/>
      <c r="J62" s="1440"/>
      <c r="CA62" s="1441"/>
    </row>
    <row r="63" spans="1:79" hidden="1">
      <c r="A63" s="111" t="s">
        <v>25</v>
      </c>
      <c r="B63" s="1440">
        <v>37</v>
      </c>
      <c r="C63" s="1440">
        <v>5416</v>
      </c>
      <c r="D63" s="1440">
        <f t="shared" si="4"/>
        <v>146.37837837837839</v>
      </c>
      <c r="E63" s="1440">
        <v>160</v>
      </c>
      <c r="F63" s="1440">
        <v>469</v>
      </c>
      <c r="G63" s="1440">
        <f t="shared" si="2"/>
        <v>2931.25</v>
      </c>
      <c r="H63" s="1440"/>
      <c r="I63" s="1440"/>
      <c r="J63" s="1440"/>
      <c r="BZ63" s="1431">
        <f>BZ9+BZ47-BZ49+BZ60-BZ61</f>
        <v>0</v>
      </c>
      <c r="CA63" s="1441">
        <f>BV63+BW63+BX63+BZ63</f>
        <v>0</v>
      </c>
    </row>
    <row r="64" spans="1:79" hidden="1">
      <c r="A64" s="111" t="s">
        <v>26</v>
      </c>
      <c r="B64" s="1440">
        <v>39</v>
      </c>
      <c r="C64" s="1440">
        <v>6662</v>
      </c>
      <c r="D64" s="1440">
        <f t="shared" si="4"/>
        <v>170.82051282051282</v>
      </c>
      <c r="E64" s="1440">
        <v>176</v>
      </c>
      <c r="F64" s="1440">
        <v>519</v>
      </c>
      <c r="G64" s="1440">
        <f t="shared" si="2"/>
        <v>2948.863636363636</v>
      </c>
      <c r="H64" s="1440"/>
      <c r="I64" s="1440"/>
      <c r="J64" s="1440"/>
    </row>
    <row r="65" spans="1:10" hidden="1">
      <c r="A65" s="111" t="s">
        <v>27</v>
      </c>
      <c r="B65" s="1440">
        <v>40</v>
      </c>
      <c r="C65" s="1440">
        <v>6873</v>
      </c>
      <c r="D65" s="1440">
        <f t="shared" si="4"/>
        <v>171.82499999999999</v>
      </c>
      <c r="E65" s="1440">
        <v>178</v>
      </c>
      <c r="F65" s="1440">
        <v>497</v>
      </c>
      <c r="G65" s="1440">
        <f t="shared" si="2"/>
        <v>2792.1348314606739</v>
      </c>
      <c r="H65" s="1440"/>
      <c r="I65" s="1440"/>
      <c r="J65" s="1440"/>
    </row>
    <row r="66" spans="1:10" hidden="1">
      <c r="A66" s="111" t="s">
        <v>28</v>
      </c>
      <c r="B66" s="1440">
        <v>36</v>
      </c>
      <c r="C66" s="1440">
        <v>6399</v>
      </c>
      <c r="D66" s="1440">
        <f t="shared" si="4"/>
        <v>177.75</v>
      </c>
      <c r="E66" s="1440">
        <v>172</v>
      </c>
      <c r="F66" s="1440">
        <v>436</v>
      </c>
      <c r="G66" s="1440">
        <f t="shared" si="2"/>
        <v>2534.8837209302328</v>
      </c>
      <c r="H66" s="1440"/>
      <c r="I66" s="1440"/>
      <c r="J66" s="1440"/>
    </row>
    <row r="67" spans="1:10" hidden="1">
      <c r="A67" s="111" t="s">
        <v>29</v>
      </c>
      <c r="B67" s="1440">
        <v>47</v>
      </c>
      <c r="C67" s="1440">
        <v>10694</v>
      </c>
      <c r="D67" s="1440">
        <f t="shared" si="4"/>
        <v>227.53191489361703</v>
      </c>
      <c r="E67" s="1440">
        <v>269</v>
      </c>
      <c r="F67" s="1440">
        <v>692</v>
      </c>
      <c r="G67" s="1440">
        <f t="shared" si="2"/>
        <v>2572.4907063197024</v>
      </c>
      <c r="H67" s="1440"/>
      <c r="I67" s="1440"/>
      <c r="J67" s="1440"/>
    </row>
    <row r="68" spans="1:10">
      <c r="A68" s="1439" t="s">
        <v>43</v>
      </c>
      <c r="B68" s="258">
        <f>SUM(B69:B80)</f>
        <v>393</v>
      </c>
      <c r="C68" s="258">
        <f>SUM(C69:C80)</f>
        <v>72856</v>
      </c>
      <c r="D68" s="258">
        <f t="shared" si="4"/>
        <v>185.38422391857506</v>
      </c>
      <c r="E68" s="258">
        <f>SUM(E69:E80)</f>
        <v>6302</v>
      </c>
      <c r="F68" s="258">
        <f>SUM(F69:F80)</f>
        <v>5455</v>
      </c>
      <c r="G68" s="258">
        <f t="shared" si="2"/>
        <v>865.59822278641695</v>
      </c>
      <c r="H68" s="258"/>
      <c r="I68" s="258"/>
      <c r="J68" s="258"/>
    </row>
    <row r="69" spans="1:10" hidden="1">
      <c r="A69" s="37" t="s">
        <v>18</v>
      </c>
      <c r="B69" s="614">
        <v>27</v>
      </c>
      <c r="C69" s="614">
        <v>5003</v>
      </c>
      <c r="D69" s="614">
        <f t="shared" si="4"/>
        <v>185.2962962962963</v>
      </c>
      <c r="E69" s="614">
        <v>232</v>
      </c>
      <c r="F69" s="614">
        <v>534</v>
      </c>
      <c r="G69" s="614">
        <f t="shared" si="2"/>
        <v>2301.7241379310349</v>
      </c>
      <c r="H69" s="614"/>
      <c r="I69" s="614"/>
      <c r="J69" s="614"/>
    </row>
    <row r="70" spans="1:10" hidden="1">
      <c r="A70" s="37" t="s">
        <v>19</v>
      </c>
      <c r="B70" s="614">
        <v>30</v>
      </c>
      <c r="C70" s="614">
        <v>6181</v>
      </c>
      <c r="D70" s="614">
        <f t="shared" si="4"/>
        <v>206.03333333333333</v>
      </c>
      <c r="E70" s="614">
        <v>368</v>
      </c>
      <c r="F70" s="614">
        <v>347</v>
      </c>
      <c r="G70" s="614">
        <f t="shared" si="2"/>
        <v>942.93478260869563</v>
      </c>
      <c r="H70" s="614"/>
      <c r="I70" s="614"/>
      <c r="J70" s="614"/>
    </row>
    <row r="71" spans="1:10" hidden="1">
      <c r="A71" s="37" t="s">
        <v>20</v>
      </c>
      <c r="B71" s="614">
        <v>30</v>
      </c>
      <c r="C71" s="614">
        <v>6986</v>
      </c>
      <c r="D71" s="614">
        <f t="shared" si="4"/>
        <v>232.86666666666667</v>
      </c>
      <c r="E71" s="614">
        <v>423</v>
      </c>
      <c r="F71" s="614">
        <v>386</v>
      </c>
      <c r="G71" s="614">
        <f t="shared" si="2"/>
        <v>912.52955082742312</v>
      </c>
      <c r="H71" s="614"/>
      <c r="I71" s="614"/>
      <c r="J71" s="614"/>
    </row>
    <row r="72" spans="1:10" hidden="1">
      <c r="A72" s="37" t="s">
        <v>21</v>
      </c>
      <c r="B72" s="614">
        <v>36</v>
      </c>
      <c r="C72" s="614">
        <v>5197</v>
      </c>
      <c r="D72" s="614">
        <f t="shared" si="4"/>
        <v>144.36111111111111</v>
      </c>
      <c r="E72" s="614">
        <v>431</v>
      </c>
      <c r="F72" s="614">
        <v>439</v>
      </c>
      <c r="G72" s="614">
        <f t="shared" si="2"/>
        <v>1018.5614849187937</v>
      </c>
      <c r="H72" s="614"/>
      <c r="I72" s="614"/>
      <c r="J72" s="614"/>
    </row>
    <row r="73" spans="1:10" hidden="1">
      <c r="A73" s="37" t="s">
        <v>22</v>
      </c>
      <c r="B73" s="614">
        <v>33</v>
      </c>
      <c r="C73" s="614">
        <v>5963</v>
      </c>
      <c r="D73" s="614">
        <f t="shared" si="4"/>
        <v>180.69696969696969</v>
      </c>
      <c r="E73" s="614">
        <v>407</v>
      </c>
      <c r="F73" s="614">
        <v>375</v>
      </c>
      <c r="G73" s="614">
        <f t="shared" si="2"/>
        <v>921.37592137592139</v>
      </c>
      <c r="H73" s="614"/>
      <c r="I73" s="614"/>
      <c r="J73" s="614"/>
    </row>
    <row r="74" spans="1:10" hidden="1">
      <c r="A74" s="37" t="s">
        <v>23</v>
      </c>
      <c r="B74" s="614">
        <v>34</v>
      </c>
      <c r="C74" s="614">
        <v>5492</v>
      </c>
      <c r="D74" s="614">
        <f t="shared" si="4"/>
        <v>161.52941176470588</v>
      </c>
      <c r="E74" s="614">
        <v>475</v>
      </c>
      <c r="F74" s="614">
        <v>411</v>
      </c>
      <c r="G74" s="614">
        <f t="shared" si="2"/>
        <v>865.26315789473688</v>
      </c>
      <c r="H74" s="614"/>
      <c r="I74" s="614"/>
      <c r="J74" s="614"/>
    </row>
    <row r="75" spans="1:10" hidden="1">
      <c r="A75" s="37" t="s">
        <v>24</v>
      </c>
      <c r="B75" s="614">
        <v>36</v>
      </c>
      <c r="C75" s="614">
        <v>6084</v>
      </c>
      <c r="D75" s="614">
        <f t="shared" si="4"/>
        <v>169</v>
      </c>
      <c r="E75" s="614">
        <v>557</v>
      </c>
      <c r="F75" s="614">
        <v>466</v>
      </c>
      <c r="G75" s="614">
        <f t="shared" si="2"/>
        <v>836.62477558348291</v>
      </c>
      <c r="H75" s="614"/>
      <c r="I75" s="614"/>
      <c r="J75" s="614"/>
    </row>
    <row r="76" spans="1:10" hidden="1">
      <c r="A76" s="37" t="s">
        <v>25</v>
      </c>
      <c r="B76" s="614">
        <v>31</v>
      </c>
      <c r="C76" s="614">
        <v>5910</v>
      </c>
      <c r="D76" s="614">
        <f t="shared" si="4"/>
        <v>190.64516129032259</v>
      </c>
      <c r="E76" s="614">
        <v>571</v>
      </c>
      <c r="F76" s="614">
        <v>416</v>
      </c>
      <c r="G76" s="614">
        <f t="shared" si="2"/>
        <v>728.54640980735553</v>
      </c>
      <c r="H76" s="614"/>
      <c r="I76" s="614"/>
      <c r="J76" s="614"/>
    </row>
    <row r="77" spans="1:10" hidden="1">
      <c r="A77" s="37" t="s">
        <v>26</v>
      </c>
      <c r="B77" s="614">
        <v>31</v>
      </c>
      <c r="C77" s="614">
        <v>4481</v>
      </c>
      <c r="D77" s="614">
        <f t="shared" si="4"/>
        <v>144.54838709677421</v>
      </c>
      <c r="E77" s="614">
        <v>579</v>
      </c>
      <c r="F77" s="614">
        <v>407</v>
      </c>
      <c r="G77" s="614">
        <f t="shared" ref="G77:G81" si="5">F77/E77*1000</f>
        <v>702.93609671848014</v>
      </c>
      <c r="H77" s="614"/>
      <c r="I77" s="614"/>
      <c r="J77" s="614"/>
    </row>
    <row r="78" spans="1:10" hidden="1">
      <c r="A78" s="37" t="s">
        <v>27</v>
      </c>
      <c r="B78" s="614">
        <v>34</v>
      </c>
      <c r="C78" s="614">
        <v>5762</v>
      </c>
      <c r="D78" s="614">
        <f t="shared" si="4"/>
        <v>169.47058823529412</v>
      </c>
      <c r="E78" s="614">
        <v>698</v>
      </c>
      <c r="F78" s="614">
        <v>521</v>
      </c>
      <c r="G78" s="614">
        <f t="shared" si="5"/>
        <v>746.41833810888249</v>
      </c>
      <c r="H78" s="614"/>
      <c r="I78" s="614"/>
      <c r="J78" s="614"/>
    </row>
    <row r="79" spans="1:10" hidden="1">
      <c r="A79" s="37" t="s">
        <v>28</v>
      </c>
      <c r="B79" s="614">
        <v>31</v>
      </c>
      <c r="C79" s="614">
        <v>5049</v>
      </c>
      <c r="D79" s="614">
        <f t="shared" si="4"/>
        <v>162.87096774193549</v>
      </c>
      <c r="E79" s="614">
        <v>672</v>
      </c>
      <c r="F79" s="614">
        <v>467</v>
      </c>
      <c r="G79" s="614">
        <f t="shared" si="5"/>
        <v>694.94047619047615</v>
      </c>
      <c r="H79" s="614"/>
      <c r="I79" s="614"/>
      <c r="J79" s="614"/>
    </row>
    <row r="80" spans="1:10" hidden="1">
      <c r="A80" s="37" t="s">
        <v>29</v>
      </c>
      <c r="B80" s="614">
        <v>40</v>
      </c>
      <c r="C80" s="614">
        <v>10748</v>
      </c>
      <c r="D80" s="614">
        <f t="shared" si="4"/>
        <v>268.7</v>
      </c>
      <c r="E80" s="614">
        <v>889</v>
      </c>
      <c r="F80" s="614">
        <v>686</v>
      </c>
      <c r="G80" s="614">
        <f t="shared" si="5"/>
        <v>771.65354330708658</v>
      </c>
      <c r="H80" s="614"/>
      <c r="I80" s="614"/>
      <c r="J80" s="614"/>
    </row>
    <row r="81" spans="1:10">
      <c r="A81" s="37" t="s">
        <v>48</v>
      </c>
      <c r="B81" s="257">
        <f>SUM(B82:B93)</f>
        <v>362</v>
      </c>
      <c r="C81" s="257">
        <f>SUM(C82:C93)</f>
        <v>78425</v>
      </c>
      <c r="D81" s="257">
        <f t="shared" si="4"/>
        <v>216.64364640883977</v>
      </c>
      <c r="E81" s="257">
        <f>SUM(E82:E93)</f>
        <v>9786</v>
      </c>
      <c r="F81" s="257">
        <f>SUM(F82:F93)</f>
        <v>6409</v>
      </c>
      <c r="G81" s="257">
        <f t="shared" si="5"/>
        <v>654.9151849581034</v>
      </c>
      <c r="H81" s="257"/>
      <c r="I81" s="257"/>
      <c r="J81" s="257"/>
    </row>
    <row r="82" spans="1:10" hidden="1">
      <c r="A82" s="37" t="s">
        <v>1009</v>
      </c>
      <c r="B82" s="456">
        <v>24</v>
      </c>
      <c r="C82" s="456">
        <v>4420</v>
      </c>
      <c r="D82" s="456">
        <v>184.166666666667</v>
      </c>
      <c r="E82" s="456">
        <v>618</v>
      </c>
      <c r="F82" s="456">
        <v>379</v>
      </c>
      <c r="G82" s="456">
        <v>613.26860841423945</v>
      </c>
      <c r="H82" s="456"/>
      <c r="I82" s="456"/>
      <c r="J82" s="456"/>
    </row>
    <row r="83" spans="1:10" hidden="1">
      <c r="A83" s="37" t="s">
        <v>290</v>
      </c>
      <c r="B83" s="456">
        <v>28</v>
      </c>
      <c r="C83" s="456">
        <v>5520</v>
      </c>
      <c r="D83" s="456">
        <v>197.14285714285714</v>
      </c>
      <c r="E83" s="456">
        <v>774</v>
      </c>
      <c r="F83" s="456">
        <v>395</v>
      </c>
      <c r="G83" s="456">
        <v>510.33591731266148</v>
      </c>
      <c r="H83" s="456"/>
      <c r="I83" s="456"/>
      <c r="J83" s="456"/>
    </row>
    <row r="84" spans="1:10" hidden="1">
      <c r="A84" s="37" t="s">
        <v>289</v>
      </c>
      <c r="B84" s="1436">
        <v>29</v>
      </c>
      <c r="C84" s="456">
        <v>6395</v>
      </c>
      <c r="D84" s="456">
        <v>220.51724137931035</v>
      </c>
      <c r="E84" s="456">
        <v>886</v>
      </c>
      <c r="F84" s="456">
        <v>462</v>
      </c>
      <c r="G84" s="456">
        <v>521.44469525959369</v>
      </c>
      <c r="H84" s="456"/>
      <c r="I84" s="456"/>
      <c r="J84" s="456"/>
    </row>
    <row r="85" spans="1:10" hidden="1">
      <c r="A85" s="37" t="s">
        <v>1010</v>
      </c>
      <c r="B85" s="1436">
        <v>34</v>
      </c>
      <c r="C85" s="456">
        <v>6195</v>
      </c>
      <c r="D85" s="456">
        <v>182.20588235294119</v>
      </c>
      <c r="E85" s="456">
        <v>889</v>
      </c>
      <c r="F85" s="456">
        <v>510</v>
      </c>
      <c r="G85" s="456">
        <v>573.67829021372324</v>
      </c>
      <c r="H85" s="456"/>
      <c r="I85" s="456"/>
      <c r="J85" s="456"/>
    </row>
    <row r="86" spans="1:10" hidden="1">
      <c r="A86" s="37" t="s">
        <v>288</v>
      </c>
      <c r="B86" s="1436">
        <v>30</v>
      </c>
      <c r="C86" s="456">
        <v>6686</v>
      </c>
      <c r="D86" s="456">
        <v>222.86666666666667</v>
      </c>
      <c r="E86" s="456">
        <v>891</v>
      </c>
      <c r="F86" s="456">
        <v>505</v>
      </c>
      <c r="G86" s="456">
        <v>566.77890011223337</v>
      </c>
      <c r="H86" s="456"/>
      <c r="I86" s="456"/>
      <c r="J86" s="456"/>
    </row>
    <row r="87" spans="1:10" hidden="1">
      <c r="A87" s="37" t="s">
        <v>1011</v>
      </c>
      <c r="B87" s="1436">
        <v>29</v>
      </c>
      <c r="C87" s="456">
        <v>5889</v>
      </c>
      <c r="D87" s="456">
        <v>203.06896551724137</v>
      </c>
      <c r="E87" s="456">
        <v>889</v>
      </c>
      <c r="F87" s="456">
        <v>527</v>
      </c>
      <c r="G87" s="456">
        <v>592.80089988751411</v>
      </c>
      <c r="H87" s="456"/>
      <c r="I87" s="456"/>
      <c r="J87" s="456"/>
    </row>
    <row r="88" spans="1:10" hidden="1">
      <c r="A88" s="37" t="s">
        <v>286</v>
      </c>
      <c r="B88" s="1436">
        <v>33</v>
      </c>
      <c r="C88" s="456">
        <v>6782</v>
      </c>
      <c r="D88" s="456">
        <v>205.5151515151515</v>
      </c>
      <c r="E88" s="456">
        <v>913</v>
      </c>
      <c r="F88" s="456">
        <v>630</v>
      </c>
      <c r="G88" s="456">
        <v>690.03285870755747</v>
      </c>
      <c r="H88" s="456"/>
      <c r="I88" s="456"/>
      <c r="J88" s="456"/>
    </row>
    <row r="89" spans="1:10" hidden="1">
      <c r="A89" s="37" t="s">
        <v>287</v>
      </c>
      <c r="B89" s="1436">
        <v>30</v>
      </c>
      <c r="C89" s="456">
        <v>6824</v>
      </c>
      <c r="D89" s="456">
        <v>227.46666666666667</v>
      </c>
      <c r="E89" s="456">
        <v>701</v>
      </c>
      <c r="F89" s="456">
        <v>581</v>
      </c>
      <c r="G89" s="456">
        <v>828.81597717546367</v>
      </c>
      <c r="H89" s="456"/>
      <c r="I89" s="456"/>
      <c r="J89" s="456"/>
    </row>
    <row r="90" spans="1:10" hidden="1">
      <c r="A90" s="37" t="s">
        <v>285</v>
      </c>
      <c r="B90" s="1436">
        <v>29</v>
      </c>
      <c r="C90" s="456">
        <v>5971</v>
      </c>
      <c r="D90" s="456">
        <v>205.89655172413794</v>
      </c>
      <c r="E90" s="456">
        <v>681</v>
      </c>
      <c r="F90" s="456">
        <v>562</v>
      </c>
      <c r="G90" s="456">
        <v>825.25697503671074</v>
      </c>
      <c r="H90" s="456"/>
      <c r="I90" s="456"/>
      <c r="J90" s="456"/>
    </row>
    <row r="91" spans="1:10" hidden="1">
      <c r="A91" s="37" t="s">
        <v>27</v>
      </c>
      <c r="B91" s="1436">
        <v>29</v>
      </c>
      <c r="C91" s="456">
        <v>6420</v>
      </c>
      <c r="D91" s="456">
        <v>221.37931034482759</v>
      </c>
      <c r="E91" s="456">
        <v>735</v>
      </c>
      <c r="F91" s="456">
        <v>552</v>
      </c>
      <c r="G91" s="456">
        <v>751.0204081632653</v>
      </c>
      <c r="H91" s="456"/>
      <c r="I91" s="456"/>
      <c r="J91" s="456"/>
    </row>
    <row r="92" spans="1:10" hidden="1">
      <c r="A92" s="37" t="s">
        <v>28</v>
      </c>
      <c r="B92" s="1436">
        <v>29</v>
      </c>
      <c r="C92" s="456">
        <v>6033</v>
      </c>
      <c r="D92" s="456">
        <v>208.0344827586207</v>
      </c>
      <c r="E92" s="456">
        <v>820</v>
      </c>
      <c r="F92" s="456">
        <v>510</v>
      </c>
      <c r="G92" s="456">
        <v>621.95121951219517</v>
      </c>
      <c r="H92" s="456"/>
      <c r="I92" s="456"/>
      <c r="J92" s="456"/>
    </row>
    <row r="93" spans="1:10" hidden="1">
      <c r="A93" s="37" t="s">
        <v>29</v>
      </c>
      <c r="B93" s="1436">
        <v>38</v>
      </c>
      <c r="C93" s="456">
        <v>11290</v>
      </c>
      <c r="D93" s="456">
        <v>297.10526315789474</v>
      </c>
      <c r="E93" s="456">
        <v>989</v>
      </c>
      <c r="F93" s="456">
        <v>796</v>
      </c>
      <c r="G93" s="456">
        <v>804.85338725985844</v>
      </c>
      <c r="H93" s="456"/>
      <c r="I93" s="456"/>
      <c r="J93" s="456"/>
    </row>
    <row r="94" spans="1:10">
      <c r="A94" s="37" t="s">
        <v>1024</v>
      </c>
      <c r="B94" s="257">
        <f>SUM(B95:B106)</f>
        <v>398</v>
      </c>
      <c r="C94" s="257">
        <f>SUM(C95:C106)</f>
        <v>99279</v>
      </c>
      <c r="D94" s="257">
        <f>C94/B94</f>
        <v>249.44472361809045</v>
      </c>
      <c r="E94" s="257">
        <f>SUM(E95:E106)</f>
        <v>19163</v>
      </c>
      <c r="F94" s="257">
        <f>SUM(F95:F106)</f>
        <v>8569</v>
      </c>
      <c r="G94" s="257">
        <f>F94/E94*1000</f>
        <v>447.16380524969998</v>
      </c>
      <c r="H94" s="257"/>
      <c r="I94" s="257"/>
      <c r="J94" s="257"/>
    </row>
    <row r="95" spans="1:10" hidden="1">
      <c r="A95" s="37" t="s">
        <v>18</v>
      </c>
      <c r="B95" s="1436">
        <v>20</v>
      </c>
      <c r="C95" s="456">
        <v>5459</v>
      </c>
      <c r="D95" s="456">
        <v>272.95</v>
      </c>
      <c r="E95" s="456">
        <v>852</v>
      </c>
      <c r="F95" s="456">
        <v>430</v>
      </c>
      <c r="G95" s="456">
        <v>504.69483568075111</v>
      </c>
      <c r="H95" s="456"/>
      <c r="I95" s="456"/>
      <c r="J95" s="456"/>
    </row>
    <row r="96" spans="1:10" hidden="1">
      <c r="A96" s="37" t="s">
        <v>19</v>
      </c>
      <c r="B96" s="1436">
        <v>25</v>
      </c>
      <c r="C96" s="456">
        <v>6742</v>
      </c>
      <c r="D96" s="456">
        <v>269.68</v>
      </c>
      <c r="E96" s="456">
        <v>919</v>
      </c>
      <c r="F96" s="456">
        <v>461</v>
      </c>
      <c r="G96" s="456">
        <v>501.63220892274205</v>
      </c>
      <c r="H96" s="456"/>
      <c r="I96" s="456"/>
      <c r="J96" s="456"/>
    </row>
    <row r="97" spans="1:10" hidden="1">
      <c r="A97" s="37" t="s">
        <v>20</v>
      </c>
      <c r="B97" s="1436">
        <v>27</v>
      </c>
      <c r="C97" s="456">
        <v>7966</v>
      </c>
      <c r="D97" s="456">
        <v>295.03703703703701</v>
      </c>
      <c r="E97" s="456">
        <v>1082</v>
      </c>
      <c r="F97" s="456">
        <v>540</v>
      </c>
      <c r="G97" s="456">
        <v>499.07578558225509</v>
      </c>
      <c r="H97" s="456"/>
      <c r="I97" s="456"/>
      <c r="J97" s="456"/>
    </row>
    <row r="98" spans="1:10" hidden="1">
      <c r="A98" s="37" t="s">
        <v>21</v>
      </c>
      <c r="B98" s="1436">
        <v>32</v>
      </c>
      <c r="C98" s="456">
        <v>6498</v>
      </c>
      <c r="D98" s="456">
        <v>203.0625</v>
      </c>
      <c r="E98" s="456">
        <v>1297</v>
      </c>
      <c r="F98" s="456">
        <v>530</v>
      </c>
      <c r="G98" s="456">
        <v>408.63531225905933</v>
      </c>
      <c r="H98" s="456"/>
      <c r="I98" s="456"/>
      <c r="J98" s="456"/>
    </row>
    <row r="99" spans="1:10" hidden="1">
      <c r="A99" s="37" t="s">
        <v>22</v>
      </c>
      <c r="B99" s="1436">
        <v>33</v>
      </c>
      <c r="C99" s="456">
        <v>7638</v>
      </c>
      <c r="D99" s="456">
        <v>231.45454545454547</v>
      </c>
      <c r="E99" s="456">
        <v>1757</v>
      </c>
      <c r="F99" s="456">
        <v>603</v>
      </c>
      <c r="G99" s="456">
        <v>343.19863403528745</v>
      </c>
      <c r="H99" s="456"/>
      <c r="I99" s="456"/>
      <c r="J99" s="456"/>
    </row>
    <row r="100" spans="1:10" hidden="1">
      <c r="A100" s="37" t="s">
        <v>23</v>
      </c>
      <c r="B100" s="1436">
        <v>33</v>
      </c>
      <c r="C100" s="456">
        <v>7341</v>
      </c>
      <c r="D100" s="456">
        <v>222.45454545454547</v>
      </c>
      <c r="E100" s="456">
        <v>1660</v>
      </c>
      <c r="F100" s="456">
        <v>607</v>
      </c>
      <c r="G100" s="456">
        <v>365.66265060240966</v>
      </c>
      <c r="H100" s="456"/>
      <c r="I100" s="456"/>
      <c r="J100" s="456"/>
    </row>
    <row r="101" spans="1:10" hidden="1">
      <c r="A101" s="37" t="s">
        <v>24</v>
      </c>
      <c r="B101" s="1436">
        <v>34</v>
      </c>
      <c r="C101" s="456">
        <v>8048</v>
      </c>
      <c r="D101" s="456">
        <v>236.70588235294119</v>
      </c>
      <c r="E101" s="456">
        <v>1740</v>
      </c>
      <c r="F101" s="456">
        <v>861</v>
      </c>
      <c r="G101" s="456">
        <v>494.82758620689657</v>
      </c>
      <c r="H101" s="456"/>
      <c r="I101" s="456"/>
      <c r="J101" s="456"/>
    </row>
    <row r="102" spans="1:10" hidden="1">
      <c r="A102" s="37" t="s">
        <v>25</v>
      </c>
      <c r="B102" s="1436">
        <v>32</v>
      </c>
      <c r="C102" s="456">
        <v>8162</v>
      </c>
      <c r="D102" s="456">
        <v>255.0625</v>
      </c>
      <c r="E102" s="456">
        <v>1842</v>
      </c>
      <c r="F102" s="456">
        <v>831</v>
      </c>
      <c r="G102" s="456">
        <v>451.14006514657979</v>
      </c>
      <c r="H102" s="456"/>
      <c r="I102" s="456"/>
      <c r="J102" s="456"/>
    </row>
    <row r="103" spans="1:10" hidden="1">
      <c r="A103" s="37" t="s">
        <v>26</v>
      </c>
      <c r="B103" s="1436">
        <v>35</v>
      </c>
      <c r="C103" s="456">
        <v>9155</v>
      </c>
      <c r="D103" s="456">
        <v>261.57142857142856</v>
      </c>
      <c r="E103" s="456">
        <v>1973</v>
      </c>
      <c r="F103" s="456">
        <v>899</v>
      </c>
      <c r="G103" s="456">
        <v>455.65129244804865</v>
      </c>
      <c r="H103" s="456"/>
      <c r="I103" s="456"/>
      <c r="J103" s="456"/>
    </row>
    <row r="104" spans="1:10" hidden="1">
      <c r="A104" s="37" t="s">
        <v>27</v>
      </c>
      <c r="B104" s="1436">
        <v>36</v>
      </c>
      <c r="C104" s="456">
        <v>7297</v>
      </c>
      <c r="D104" s="456">
        <v>202.69444444444446</v>
      </c>
      <c r="E104" s="456">
        <v>1838</v>
      </c>
      <c r="F104" s="456">
        <v>857</v>
      </c>
      <c r="G104" s="456">
        <v>466.26768226332973</v>
      </c>
      <c r="H104" s="456"/>
      <c r="I104" s="456"/>
      <c r="J104" s="456"/>
    </row>
    <row r="105" spans="1:10" hidden="1">
      <c r="A105" s="37" t="s">
        <v>28</v>
      </c>
      <c r="B105" s="1436">
        <v>37</v>
      </c>
      <c r="C105" s="456">
        <v>7906</v>
      </c>
      <c r="D105" s="456">
        <v>213.67567567567568</v>
      </c>
      <c r="E105" s="456">
        <v>1957</v>
      </c>
      <c r="F105" s="456">
        <v>835</v>
      </c>
      <c r="G105" s="456">
        <v>426.67347981604496</v>
      </c>
      <c r="H105" s="456"/>
      <c r="I105" s="456"/>
      <c r="J105" s="456"/>
    </row>
    <row r="106" spans="1:10" hidden="1">
      <c r="A106" s="37" t="s">
        <v>29</v>
      </c>
      <c r="B106" s="1436">
        <v>54</v>
      </c>
      <c r="C106" s="456">
        <v>17067</v>
      </c>
      <c r="D106" s="456">
        <v>316.05555555555554</v>
      </c>
      <c r="E106" s="456">
        <v>2246</v>
      </c>
      <c r="F106" s="456">
        <v>1115</v>
      </c>
      <c r="G106" s="456">
        <v>496.43811219946571</v>
      </c>
      <c r="H106" s="456"/>
      <c r="I106" s="456"/>
      <c r="J106" s="456"/>
    </row>
    <row r="107" spans="1:10">
      <c r="A107" s="37" t="s">
        <v>1288</v>
      </c>
      <c r="B107" s="257">
        <f>SUM(B108:B119)</f>
        <v>495</v>
      </c>
      <c r="C107" s="257">
        <f>SUM(C108:C119)</f>
        <v>106985</v>
      </c>
      <c r="D107" s="257">
        <f>C107/B107</f>
        <v>216.13131313131314</v>
      </c>
      <c r="E107" s="257">
        <f>SUM(E108:E119)</f>
        <v>25631</v>
      </c>
      <c r="F107" s="257">
        <f>SUM(F108:F119)</f>
        <v>11846</v>
      </c>
      <c r="G107" s="257">
        <f>F107/E107*1000</f>
        <v>462.17471031173193</v>
      </c>
      <c r="H107" s="257"/>
      <c r="I107" s="257"/>
      <c r="J107" s="257"/>
    </row>
    <row r="108" spans="1:10" hidden="1">
      <c r="A108" s="37" t="s">
        <v>18</v>
      </c>
      <c r="B108" s="1435">
        <v>23</v>
      </c>
      <c r="C108" s="614">
        <v>7292</v>
      </c>
      <c r="D108" s="614">
        <v>317.04347826086956</v>
      </c>
      <c r="E108" s="614">
        <v>2033</v>
      </c>
      <c r="F108" s="614">
        <v>747</v>
      </c>
      <c r="G108" s="614">
        <v>367.43728480078704</v>
      </c>
      <c r="H108" s="614"/>
      <c r="I108" s="614"/>
      <c r="J108" s="614"/>
    </row>
    <row r="109" spans="1:10" hidden="1">
      <c r="A109" s="37" t="s">
        <v>19</v>
      </c>
      <c r="B109" s="1435">
        <v>31</v>
      </c>
      <c r="C109" s="614">
        <v>7836</v>
      </c>
      <c r="D109" s="614">
        <v>252.7741935483871</v>
      </c>
      <c r="E109" s="614">
        <v>2082</v>
      </c>
      <c r="F109" s="614">
        <v>669</v>
      </c>
      <c r="G109" s="614">
        <v>321.32564841498555</v>
      </c>
      <c r="H109" s="614"/>
      <c r="I109" s="614"/>
      <c r="J109" s="614"/>
    </row>
    <row r="110" spans="1:10" hidden="1">
      <c r="A110" s="37" t="s">
        <v>20</v>
      </c>
      <c r="B110" s="1435">
        <v>34</v>
      </c>
      <c r="C110" s="614">
        <v>8378</v>
      </c>
      <c r="D110" s="614">
        <v>246.41176470588235</v>
      </c>
      <c r="E110" s="614">
        <v>1995</v>
      </c>
      <c r="F110" s="614">
        <v>785</v>
      </c>
      <c r="G110" s="614">
        <v>393.48370927318291</v>
      </c>
      <c r="H110" s="614"/>
      <c r="I110" s="614"/>
      <c r="J110" s="614"/>
    </row>
    <row r="111" spans="1:10" hidden="1">
      <c r="A111" s="37" t="s">
        <v>21</v>
      </c>
      <c r="B111" s="1435">
        <v>41</v>
      </c>
      <c r="C111" s="614">
        <v>8739</v>
      </c>
      <c r="D111" s="614">
        <v>213.14634146341464</v>
      </c>
      <c r="E111" s="614">
        <v>1955</v>
      </c>
      <c r="F111" s="614">
        <v>873</v>
      </c>
      <c r="G111" s="614">
        <v>446.54731457800511</v>
      </c>
      <c r="H111" s="614"/>
      <c r="I111" s="614"/>
      <c r="J111" s="614"/>
    </row>
    <row r="112" spans="1:10" hidden="1">
      <c r="A112" s="37" t="s">
        <v>22</v>
      </c>
      <c r="B112" s="1435">
        <v>46</v>
      </c>
      <c r="C112" s="614">
        <v>9024</v>
      </c>
      <c r="D112" s="614">
        <v>196.17391304347825</v>
      </c>
      <c r="E112" s="614">
        <v>2093</v>
      </c>
      <c r="F112" s="614">
        <v>871</v>
      </c>
      <c r="G112" s="614">
        <v>416.14906832298135</v>
      </c>
      <c r="H112" s="614"/>
      <c r="I112" s="614"/>
      <c r="J112" s="614"/>
    </row>
    <row r="113" spans="1:10" hidden="1">
      <c r="A113" s="37" t="s">
        <v>23</v>
      </c>
      <c r="B113" s="1435">
        <v>42</v>
      </c>
      <c r="C113" s="614">
        <v>9208</v>
      </c>
      <c r="D113" s="614">
        <v>219.23809523809524</v>
      </c>
      <c r="E113" s="614">
        <v>1834</v>
      </c>
      <c r="F113" s="614">
        <v>959</v>
      </c>
      <c r="G113" s="614">
        <v>522.9007633587787</v>
      </c>
      <c r="H113" s="614"/>
      <c r="I113" s="614"/>
      <c r="J113" s="614"/>
    </row>
    <row r="114" spans="1:10" hidden="1">
      <c r="A114" s="37" t="s">
        <v>24</v>
      </c>
      <c r="B114" s="1435">
        <v>46</v>
      </c>
      <c r="C114" s="614">
        <v>8856</v>
      </c>
      <c r="D114" s="614">
        <v>192.52173913043478</v>
      </c>
      <c r="E114" s="614">
        <v>2780</v>
      </c>
      <c r="F114" s="614">
        <v>1044</v>
      </c>
      <c r="G114" s="614">
        <v>375.53956834532374</v>
      </c>
      <c r="H114" s="614"/>
      <c r="I114" s="614"/>
      <c r="J114" s="614"/>
    </row>
    <row r="115" spans="1:10" hidden="1">
      <c r="A115" s="37" t="s">
        <v>25</v>
      </c>
      <c r="B115" s="1435">
        <v>41</v>
      </c>
      <c r="C115" s="614">
        <v>8157</v>
      </c>
      <c r="D115" s="614">
        <v>198.95121951219511</v>
      </c>
      <c r="E115" s="614">
        <v>2098</v>
      </c>
      <c r="F115" s="614">
        <v>1023</v>
      </c>
      <c r="G115" s="614">
        <v>487.60724499523354</v>
      </c>
      <c r="H115" s="614"/>
      <c r="I115" s="614"/>
      <c r="J115" s="614"/>
    </row>
    <row r="116" spans="1:10" hidden="1">
      <c r="A116" s="37" t="s">
        <v>26</v>
      </c>
      <c r="B116" s="1435">
        <v>39</v>
      </c>
      <c r="C116" s="614">
        <v>8996</v>
      </c>
      <c r="D116" s="614">
        <v>230.66666666666666</v>
      </c>
      <c r="E116" s="614">
        <v>1794</v>
      </c>
      <c r="F116" s="614">
        <v>1046</v>
      </c>
      <c r="G116" s="614">
        <v>583.05462653288737</v>
      </c>
      <c r="H116" s="614"/>
      <c r="I116" s="614"/>
      <c r="J116" s="614"/>
    </row>
    <row r="117" spans="1:10" hidden="1">
      <c r="A117" s="37" t="s">
        <v>27</v>
      </c>
      <c r="B117" s="1435">
        <v>43</v>
      </c>
      <c r="C117" s="614">
        <v>8706</v>
      </c>
      <c r="D117" s="614">
        <v>202.46511627906978</v>
      </c>
      <c r="E117" s="614">
        <v>2301</v>
      </c>
      <c r="F117" s="614">
        <v>1155</v>
      </c>
      <c r="G117" s="614">
        <v>501.95567144719689</v>
      </c>
      <c r="H117" s="614"/>
      <c r="I117" s="614"/>
      <c r="J117" s="614"/>
    </row>
    <row r="118" spans="1:10" hidden="1">
      <c r="A118" s="37" t="s">
        <v>28</v>
      </c>
      <c r="B118" s="1435">
        <v>46</v>
      </c>
      <c r="C118" s="614">
        <v>9264</v>
      </c>
      <c r="D118" s="614">
        <v>201.39130434782609</v>
      </c>
      <c r="E118" s="614">
        <v>2218</v>
      </c>
      <c r="F118" s="614">
        <v>1144</v>
      </c>
      <c r="G118" s="614">
        <v>515.77998196573492</v>
      </c>
      <c r="H118" s="614"/>
      <c r="I118" s="614"/>
      <c r="J118" s="614"/>
    </row>
    <row r="119" spans="1:10" hidden="1">
      <c r="A119" s="37" t="s">
        <v>29</v>
      </c>
      <c r="B119" s="1435">
        <v>63</v>
      </c>
      <c r="C119" s="614">
        <v>12529</v>
      </c>
      <c r="D119" s="614">
        <v>198.87301587301587</v>
      </c>
      <c r="E119" s="614">
        <v>2448</v>
      </c>
      <c r="F119" s="614">
        <v>1530</v>
      </c>
      <c r="G119" s="614">
        <v>625</v>
      </c>
      <c r="H119" s="614"/>
      <c r="I119" s="614"/>
      <c r="J119" s="614"/>
    </row>
    <row r="120" spans="1:10">
      <c r="A120" s="37">
        <v>2013</v>
      </c>
      <c r="B120" s="257">
        <f>SUM(B121:B132)</f>
        <v>522</v>
      </c>
      <c r="C120" s="257">
        <f>SUM(C121:C132)</f>
        <v>113189</v>
      </c>
      <c r="D120" s="257">
        <f>C120/B120</f>
        <v>216.83716475095787</v>
      </c>
      <c r="E120" s="257">
        <f>SUM(E121:E132)</f>
        <v>26735</v>
      </c>
      <c r="F120" s="257">
        <f>SUM(F121:F132)</f>
        <v>14973</v>
      </c>
      <c r="G120" s="257">
        <f>F120/E120*1000</f>
        <v>560.05236581260522</v>
      </c>
      <c r="H120" s="257"/>
      <c r="I120" s="257"/>
      <c r="J120" s="257"/>
    </row>
    <row r="121" spans="1:10" hidden="1">
      <c r="A121" s="37">
        <v>1</v>
      </c>
      <c r="B121" s="1435">
        <v>24</v>
      </c>
      <c r="C121" s="614">
        <v>7594</v>
      </c>
      <c r="D121" s="720">
        <v>316.41666666666669</v>
      </c>
      <c r="E121" s="614">
        <v>2169</v>
      </c>
      <c r="F121" s="614">
        <v>922</v>
      </c>
      <c r="G121" s="614">
        <v>425.0806823420931</v>
      </c>
      <c r="H121" s="614"/>
      <c r="I121" s="614"/>
      <c r="J121" s="614"/>
    </row>
    <row r="122" spans="1:10" hidden="1">
      <c r="A122" s="37">
        <v>2</v>
      </c>
      <c r="B122" s="1435">
        <v>40</v>
      </c>
      <c r="C122" s="614">
        <v>10197</v>
      </c>
      <c r="D122" s="720">
        <v>254.92500000000001</v>
      </c>
      <c r="E122" s="614">
        <v>2204</v>
      </c>
      <c r="F122" s="614">
        <v>1074</v>
      </c>
      <c r="G122" s="614">
        <v>487.29582577132487</v>
      </c>
      <c r="H122" s="614"/>
      <c r="I122" s="614"/>
      <c r="J122" s="614"/>
    </row>
    <row r="123" spans="1:10" hidden="1">
      <c r="A123" s="37">
        <v>3</v>
      </c>
      <c r="B123" s="1435">
        <v>39</v>
      </c>
      <c r="C123" s="614">
        <v>8747</v>
      </c>
      <c r="D123" s="614">
        <v>224.28205128205127</v>
      </c>
      <c r="E123" s="614">
        <v>1989</v>
      </c>
      <c r="F123" s="614">
        <v>1113</v>
      </c>
      <c r="G123" s="614">
        <v>559.57767722473602</v>
      </c>
      <c r="H123" s="614"/>
      <c r="I123" s="614"/>
      <c r="J123" s="614"/>
    </row>
    <row r="124" spans="1:10" hidden="1">
      <c r="A124" s="37">
        <v>4</v>
      </c>
      <c r="B124" s="1435">
        <v>45</v>
      </c>
      <c r="C124" s="614">
        <v>9423</v>
      </c>
      <c r="D124" s="614">
        <v>209.4</v>
      </c>
      <c r="E124" s="614">
        <v>2402</v>
      </c>
      <c r="F124" s="614">
        <v>1338</v>
      </c>
      <c r="G124" s="614">
        <v>557.03580349708579</v>
      </c>
      <c r="H124" s="614"/>
      <c r="I124" s="614"/>
      <c r="J124" s="614"/>
    </row>
    <row r="125" spans="1:10" hidden="1">
      <c r="A125" s="37">
        <v>5</v>
      </c>
      <c r="B125" s="1435">
        <v>45</v>
      </c>
      <c r="C125" s="614">
        <v>9344</v>
      </c>
      <c r="D125" s="614">
        <v>207.64444444444445</v>
      </c>
      <c r="E125" s="614">
        <v>2214</v>
      </c>
      <c r="F125" s="614">
        <v>1216</v>
      </c>
      <c r="G125" s="614">
        <v>549.23215898825651</v>
      </c>
      <c r="H125" s="614"/>
      <c r="I125" s="614"/>
      <c r="J125" s="614"/>
    </row>
    <row r="126" spans="1:10" hidden="1">
      <c r="A126" s="37">
        <v>6</v>
      </c>
      <c r="B126" s="1435">
        <v>40</v>
      </c>
      <c r="C126" s="614">
        <v>8423</v>
      </c>
      <c r="D126" s="614">
        <v>210.57499999999999</v>
      </c>
      <c r="E126" s="614">
        <v>1839</v>
      </c>
      <c r="F126" s="614">
        <v>1168</v>
      </c>
      <c r="G126" s="614">
        <v>635.12778684067428</v>
      </c>
      <c r="H126" s="614"/>
      <c r="I126" s="614"/>
      <c r="J126" s="614"/>
    </row>
    <row r="127" spans="1:10" hidden="1">
      <c r="A127" s="37">
        <v>7</v>
      </c>
      <c r="B127" s="1435">
        <v>49</v>
      </c>
      <c r="C127" s="614">
        <v>10457</v>
      </c>
      <c r="D127" s="614">
        <v>213.40816326530611</v>
      </c>
      <c r="E127" s="614">
        <v>2475</v>
      </c>
      <c r="F127" s="614">
        <v>1397</v>
      </c>
      <c r="G127" s="614">
        <v>564.44444444444446</v>
      </c>
      <c r="H127" s="614"/>
      <c r="I127" s="614"/>
      <c r="J127" s="614"/>
    </row>
    <row r="128" spans="1:10" hidden="1">
      <c r="A128" s="37">
        <v>8</v>
      </c>
      <c r="B128" s="1435">
        <v>41</v>
      </c>
      <c r="C128" s="614">
        <v>9799</v>
      </c>
      <c r="D128" s="614">
        <v>239</v>
      </c>
      <c r="E128" s="614">
        <v>2017</v>
      </c>
      <c r="F128" s="614">
        <v>1194</v>
      </c>
      <c r="G128" s="614">
        <v>591.96826970748634</v>
      </c>
      <c r="H128" s="614"/>
      <c r="I128" s="614"/>
      <c r="J128" s="614"/>
    </row>
    <row r="129" spans="1:10" hidden="1">
      <c r="A129" s="37">
        <v>9</v>
      </c>
      <c r="B129" s="1435">
        <v>42</v>
      </c>
      <c r="C129" s="614">
        <v>9316</v>
      </c>
      <c r="D129" s="614">
        <v>221.8095238095238</v>
      </c>
      <c r="E129" s="614">
        <v>2130</v>
      </c>
      <c r="F129" s="614">
        <v>1204</v>
      </c>
      <c r="G129" s="614">
        <v>565.25821596244134</v>
      </c>
      <c r="H129" s="614"/>
      <c r="I129" s="614"/>
      <c r="J129" s="614"/>
    </row>
    <row r="130" spans="1:10" hidden="1">
      <c r="A130" s="37">
        <v>10</v>
      </c>
      <c r="B130" s="1435">
        <v>46</v>
      </c>
      <c r="C130" s="614">
        <v>9044</v>
      </c>
      <c r="D130" s="614">
        <v>196.60869565217391</v>
      </c>
      <c r="E130" s="614">
        <v>2313</v>
      </c>
      <c r="F130" s="614">
        <v>1278</v>
      </c>
      <c r="G130" s="614">
        <v>552.52918287937746</v>
      </c>
      <c r="H130" s="614"/>
      <c r="I130" s="614"/>
      <c r="J130" s="614"/>
    </row>
    <row r="131" spans="1:10" hidden="1">
      <c r="A131" s="37">
        <v>11</v>
      </c>
      <c r="B131" s="1435">
        <v>45</v>
      </c>
      <c r="C131" s="614">
        <v>8548</v>
      </c>
      <c r="D131" s="614">
        <v>189.95555555555555</v>
      </c>
      <c r="E131" s="614">
        <v>2268</v>
      </c>
      <c r="F131" s="614">
        <v>1456</v>
      </c>
      <c r="G131" s="614">
        <v>641.97530864197529</v>
      </c>
      <c r="H131" s="614"/>
      <c r="I131" s="614"/>
      <c r="J131" s="614"/>
    </row>
    <row r="132" spans="1:10" hidden="1">
      <c r="A132" s="37">
        <v>12</v>
      </c>
      <c r="B132" s="1435">
        <v>66</v>
      </c>
      <c r="C132" s="614">
        <v>12297</v>
      </c>
      <c r="D132" s="614">
        <v>186.31818181818181</v>
      </c>
      <c r="E132" s="614">
        <v>2715</v>
      </c>
      <c r="F132" s="614">
        <v>1613</v>
      </c>
      <c r="G132" s="614">
        <v>594.10681399631676</v>
      </c>
      <c r="H132" s="614"/>
      <c r="I132" s="614"/>
      <c r="J132" s="614"/>
    </row>
    <row r="133" spans="1:10">
      <c r="A133" s="37">
        <v>2014</v>
      </c>
      <c r="B133" s="257">
        <f>SUM(B134:B145)</f>
        <v>515</v>
      </c>
      <c r="C133" s="257">
        <f>SUM(C134:C145)</f>
        <v>104281</v>
      </c>
      <c r="D133" s="257">
        <f>C133/B133</f>
        <v>202.48737864077671</v>
      </c>
      <c r="E133" s="257">
        <f>SUM(E134:E145)</f>
        <v>28270</v>
      </c>
      <c r="F133" s="257">
        <f>SUM(F134:F145)</f>
        <v>15076</v>
      </c>
      <c r="G133" s="257">
        <f>F133/E133*1000</f>
        <v>533.28616908383447</v>
      </c>
      <c r="H133" s="257"/>
      <c r="I133" s="257"/>
      <c r="J133" s="257"/>
    </row>
    <row r="134" spans="1:10" hidden="1">
      <c r="A134" s="37">
        <v>1</v>
      </c>
      <c r="B134" s="1435">
        <v>25</v>
      </c>
      <c r="C134" s="614">
        <v>7650</v>
      </c>
      <c r="D134" s="614">
        <v>306</v>
      </c>
      <c r="E134" s="614">
        <v>2258</v>
      </c>
      <c r="F134" s="614">
        <v>1053</v>
      </c>
      <c r="G134" s="614">
        <v>466.34189548272809</v>
      </c>
      <c r="H134" s="614"/>
      <c r="I134" s="614"/>
      <c r="J134" s="614"/>
    </row>
    <row r="135" spans="1:10" hidden="1">
      <c r="A135" s="37">
        <v>2</v>
      </c>
      <c r="B135" s="1435">
        <v>41</v>
      </c>
      <c r="C135" s="614">
        <v>9022</v>
      </c>
      <c r="D135" s="614">
        <v>220.04878048780489</v>
      </c>
      <c r="E135" s="614">
        <v>2253</v>
      </c>
      <c r="F135" s="614">
        <v>1128</v>
      </c>
      <c r="G135" s="614">
        <v>500.66577896138489</v>
      </c>
      <c r="H135" s="614"/>
      <c r="I135" s="614"/>
      <c r="J135" s="614"/>
    </row>
    <row r="136" spans="1:10" hidden="1">
      <c r="A136" s="37">
        <v>3</v>
      </c>
      <c r="B136" s="1435">
        <v>39</v>
      </c>
      <c r="C136" s="614">
        <v>8398</v>
      </c>
      <c r="D136" s="614">
        <v>215.33333333333334</v>
      </c>
      <c r="E136" s="614">
        <v>2168</v>
      </c>
      <c r="F136" s="614">
        <v>1191</v>
      </c>
      <c r="G136" s="614">
        <v>549.35424354243548</v>
      </c>
      <c r="H136" s="614"/>
      <c r="I136" s="614"/>
      <c r="J136" s="614"/>
    </row>
    <row r="137" spans="1:10" hidden="1">
      <c r="A137" s="37">
        <v>4</v>
      </c>
      <c r="B137" s="1435">
        <v>45</v>
      </c>
      <c r="C137" s="614">
        <v>8887</v>
      </c>
      <c r="D137" s="614">
        <v>197.48888888888888</v>
      </c>
      <c r="E137" s="614">
        <v>2452</v>
      </c>
      <c r="F137" s="614">
        <v>1351</v>
      </c>
      <c r="G137" s="614">
        <v>550.97879282218594</v>
      </c>
      <c r="H137" s="614"/>
      <c r="I137" s="614"/>
      <c r="J137" s="614"/>
    </row>
    <row r="138" spans="1:10" hidden="1">
      <c r="A138" s="37">
        <v>5</v>
      </c>
      <c r="B138" s="1435">
        <v>44</v>
      </c>
      <c r="C138" s="614">
        <v>8287</v>
      </c>
      <c r="D138" s="614">
        <v>188.34090909090909</v>
      </c>
      <c r="E138" s="614">
        <v>2300</v>
      </c>
      <c r="F138" s="614">
        <v>1207</v>
      </c>
      <c r="G138" s="614">
        <v>524.78260869565224</v>
      </c>
      <c r="H138" s="614"/>
      <c r="I138" s="614"/>
      <c r="J138" s="614"/>
    </row>
    <row r="139" spans="1:10" hidden="1">
      <c r="A139" s="37">
        <v>6</v>
      </c>
      <c r="B139" s="1435">
        <v>42</v>
      </c>
      <c r="C139" s="614">
        <v>10445</v>
      </c>
      <c r="D139" s="614">
        <v>248.6904761904762</v>
      </c>
      <c r="E139" s="614">
        <v>2226</v>
      </c>
      <c r="F139" s="614">
        <v>1228</v>
      </c>
      <c r="G139" s="614">
        <v>551.66217430368374</v>
      </c>
      <c r="H139" s="614"/>
      <c r="I139" s="614"/>
      <c r="J139" s="614"/>
    </row>
    <row r="140" spans="1:10" hidden="1">
      <c r="A140" s="37">
        <v>7</v>
      </c>
      <c r="B140" s="1435">
        <v>47</v>
      </c>
      <c r="C140" s="614">
        <v>8580</v>
      </c>
      <c r="D140" s="614">
        <v>182.55319148936169</v>
      </c>
      <c r="E140" s="614">
        <v>2471</v>
      </c>
      <c r="F140" s="614">
        <v>1344</v>
      </c>
      <c r="G140" s="614">
        <v>543.90934844192645</v>
      </c>
      <c r="H140" s="614"/>
      <c r="I140" s="614"/>
      <c r="J140" s="614"/>
    </row>
    <row r="141" spans="1:10" hidden="1">
      <c r="A141" s="37">
        <v>8</v>
      </c>
      <c r="B141" s="1435">
        <v>40</v>
      </c>
      <c r="C141" s="614">
        <v>7726</v>
      </c>
      <c r="D141" s="614">
        <v>193.15</v>
      </c>
      <c r="E141" s="614">
        <v>2261</v>
      </c>
      <c r="F141" s="614">
        <v>1168</v>
      </c>
      <c r="G141" s="614">
        <v>516.58558160106145</v>
      </c>
      <c r="H141" s="614"/>
      <c r="I141" s="614"/>
      <c r="J141" s="614"/>
    </row>
    <row r="142" spans="1:10" hidden="1">
      <c r="A142" s="37">
        <v>9</v>
      </c>
      <c r="B142" s="1435">
        <v>44</v>
      </c>
      <c r="C142" s="614">
        <v>7739</v>
      </c>
      <c r="D142" s="614">
        <v>175.88636363636363</v>
      </c>
      <c r="E142" s="614">
        <v>2415</v>
      </c>
      <c r="F142" s="614">
        <v>1220</v>
      </c>
      <c r="G142" s="614">
        <v>505.17598343685302</v>
      </c>
      <c r="H142" s="614"/>
      <c r="I142" s="614"/>
      <c r="J142" s="614"/>
    </row>
    <row r="143" spans="1:10" hidden="1">
      <c r="A143" s="37">
        <v>10</v>
      </c>
      <c r="B143" s="1435">
        <v>44</v>
      </c>
      <c r="C143" s="614">
        <v>8123</v>
      </c>
      <c r="D143" s="614">
        <v>184.61363636363637</v>
      </c>
      <c r="E143" s="614">
        <v>2444</v>
      </c>
      <c r="F143" s="614">
        <v>1325</v>
      </c>
      <c r="G143" s="614">
        <v>542.14402618657937</v>
      </c>
      <c r="H143" s="614"/>
      <c r="I143" s="614"/>
      <c r="J143" s="614"/>
    </row>
    <row r="144" spans="1:10" hidden="1">
      <c r="A144" s="37">
        <v>11</v>
      </c>
      <c r="B144" s="1435">
        <v>42</v>
      </c>
      <c r="C144" s="614">
        <v>8254</v>
      </c>
      <c r="D144" s="614">
        <v>196.52380952380952</v>
      </c>
      <c r="E144" s="614">
        <v>2242</v>
      </c>
      <c r="F144" s="614">
        <v>1268</v>
      </c>
      <c r="G144" s="614">
        <v>565.56645851917926</v>
      </c>
      <c r="H144" s="614"/>
      <c r="I144" s="614"/>
      <c r="J144" s="614"/>
    </row>
    <row r="145" spans="1:10" hidden="1">
      <c r="A145" s="37">
        <v>12</v>
      </c>
      <c r="B145" s="1435">
        <v>62</v>
      </c>
      <c r="C145" s="614">
        <v>11170</v>
      </c>
      <c r="D145" s="614">
        <v>180.16129032258064</v>
      </c>
      <c r="E145" s="614">
        <v>2780</v>
      </c>
      <c r="F145" s="614">
        <v>1593</v>
      </c>
      <c r="G145" s="614">
        <v>573.02158273381303</v>
      </c>
      <c r="H145" s="614"/>
      <c r="I145" s="614"/>
      <c r="J145" s="614"/>
    </row>
    <row r="146" spans="1:10">
      <c r="A146" s="37">
        <v>2015</v>
      </c>
      <c r="B146" s="257">
        <f>SUM(B147:B158)</f>
        <v>489</v>
      </c>
      <c r="C146" s="257">
        <f>SUM(C147:C158)</f>
        <v>121624</v>
      </c>
      <c r="D146" s="257">
        <f>C146/B146</f>
        <v>248.719836400818</v>
      </c>
      <c r="E146" s="257">
        <f>SUM(E147:E158)</f>
        <v>29858</v>
      </c>
      <c r="F146" s="257">
        <f>SUM(F147:F158)</f>
        <v>15033</v>
      </c>
      <c r="G146" s="257">
        <f>F146/E146*1000</f>
        <v>503.48315359367678</v>
      </c>
      <c r="H146" s="257"/>
      <c r="I146" s="257"/>
      <c r="J146" s="257"/>
    </row>
    <row r="147" spans="1:10" hidden="1">
      <c r="A147" s="37">
        <v>1</v>
      </c>
      <c r="B147" s="1435">
        <v>21</v>
      </c>
      <c r="C147" s="614">
        <v>7626</v>
      </c>
      <c r="D147" s="614">
        <v>363.14285714285717</v>
      </c>
      <c r="E147" s="614">
        <v>2331</v>
      </c>
      <c r="F147" s="614">
        <v>1041</v>
      </c>
      <c r="G147" s="614">
        <v>446.5894465894466</v>
      </c>
      <c r="H147" s="614"/>
      <c r="I147" s="614"/>
      <c r="J147" s="614"/>
    </row>
    <row r="148" spans="1:10" hidden="1">
      <c r="A148" s="37" t="s">
        <v>290</v>
      </c>
      <c r="B148" s="1435">
        <v>37</v>
      </c>
      <c r="C148" s="614">
        <v>12730</v>
      </c>
      <c r="D148" s="614">
        <v>344.05405405405406</v>
      </c>
      <c r="E148" s="614">
        <v>2324</v>
      </c>
      <c r="F148" s="614">
        <v>1103</v>
      </c>
      <c r="G148" s="614">
        <v>474.61273666092944</v>
      </c>
      <c r="H148" s="614"/>
      <c r="I148" s="614"/>
      <c r="J148" s="614"/>
    </row>
    <row r="149" spans="1:10" hidden="1">
      <c r="A149" s="37" t="s">
        <v>289</v>
      </c>
      <c r="B149" s="1435">
        <v>40</v>
      </c>
      <c r="C149" s="614">
        <v>10629</v>
      </c>
      <c r="D149" s="614">
        <v>265.72500000000002</v>
      </c>
      <c r="E149" s="614">
        <v>2461</v>
      </c>
      <c r="F149" s="614">
        <v>1202</v>
      </c>
      <c r="G149" s="614">
        <v>488.41934173100367</v>
      </c>
      <c r="H149" s="614"/>
      <c r="I149" s="614"/>
      <c r="J149" s="614"/>
    </row>
    <row r="150" spans="1:10" hidden="1">
      <c r="A150" s="37" t="s">
        <v>1010</v>
      </c>
      <c r="B150" s="1435">
        <v>44</v>
      </c>
      <c r="C150" s="614">
        <v>10992</v>
      </c>
      <c r="D150" s="614">
        <v>249.81818181818181</v>
      </c>
      <c r="E150" s="614">
        <v>2595</v>
      </c>
      <c r="F150" s="614">
        <v>1400</v>
      </c>
      <c r="G150" s="614">
        <v>539.49903660886321</v>
      </c>
      <c r="H150" s="614"/>
      <c r="I150" s="614"/>
      <c r="J150" s="614"/>
    </row>
    <row r="151" spans="1:10" hidden="1">
      <c r="A151" s="37" t="s">
        <v>288</v>
      </c>
      <c r="B151" s="1435">
        <v>38</v>
      </c>
      <c r="C151" s="614">
        <v>7371</v>
      </c>
      <c r="D151" s="614">
        <v>193.97368421052633</v>
      </c>
      <c r="E151" s="614">
        <v>2361</v>
      </c>
      <c r="F151" s="614">
        <v>1184</v>
      </c>
      <c r="G151" s="614">
        <v>501</v>
      </c>
      <c r="H151" s="614"/>
      <c r="I151" s="614"/>
      <c r="J151" s="614"/>
    </row>
    <row r="152" spans="1:10" hidden="1">
      <c r="A152" s="37" t="s">
        <v>1011</v>
      </c>
      <c r="B152" s="1435">
        <v>41</v>
      </c>
      <c r="C152" s="614">
        <v>7793</v>
      </c>
      <c r="D152" s="614">
        <v>190.07317073170731</v>
      </c>
      <c r="E152" s="614">
        <v>2559</v>
      </c>
      <c r="F152" s="614">
        <v>1245</v>
      </c>
      <c r="G152" s="614">
        <v>486.5</v>
      </c>
      <c r="H152" s="614"/>
      <c r="I152" s="614"/>
      <c r="J152" s="614"/>
    </row>
    <row r="153" spans="1:10" hidden="1">
      <c r="A153" s="37" t="s">
        <v>286</v>
      </c>
      <c r="B153" s="1435">
        <v>41</v>
      </c>
      <c r="C153" s="614">
        <v>7840</v>
      </c>
      <c r="D153" s="614">
        <v>191.21951219512195</v>
      </c>
      <c r="E153" s="614">
        <v>2693</v>
      </c>
      <c r="F153" s="614">
        <v>1417</v>
      </c>
      <c r="G153" s="614">
        <v>526.20000000000005</v>
      </c>
      <c r="H153" s="614"/>
      <c r="I153" s="614"/>
      <c r="J153" s="614"/>
    </row>
    <row r="154" spans="1:10" hidden="1">
      <c r="A154" s="37">
        <v>8</v>
      </c>
      <c r="B154" s="1435">
        <v>38</v>
      </c>
      <c r="C154" s="614">
        <v>9887</v>
      </c>
      <c r="D154" s="614">
        <v>260</v>
      </c>
      <c r="E154" s="614">
        <v>2471</v>
      </c>
      <c r="F154" s="614">
        <v>1139</v>
      </c>
      <c r="G154" s="614">
        <v>461</v>
      </c>
      <c r="H154" s="614"/>
      <c r="I154" s="614"/>
      <c r="J154" s="614"/>
    </row>
    <row r="155" spans="1:10" hidden="1">
      <c r="A155" s="37">
        <v>9</v>
      </c>
      <c r="B155" s="1435">
        <v>40</v>
      </c>
      <c r="C155" s="614">
        <v>10125</v>
      </c>
      <c r="D155" s="614">
        <v>253.125</v>
      </c>
      <c r="E155" s="614">
        <v>2296</v>
      </c>
      <c r="F155" s="614">
        <v>1165</v>
      </c>
      <c r="G155" s="614">
        <v>507</v>
      </c>
      <c r="H155" s="614"/>
      <c r="I155" s="614"/>
      <c r="J155" s="614"/>
    </row>
    <row r="156" spans="1:10" hidden="1">
      <c r="A156" s="37">
        <v>10</v>
      </c>
      <c r="B156" s="1435">
        <v>46</v>
      </c>
      <c r="C156" s="614">
        <v>12883</v>
      </c>
      <c r="D156" s="614">
        <v>280.06521739130397</v>
      </c>
      <c r="E156" s="614">
        <v>2363</v>
      </c>
      <c r="F156" s="614">
        <v>1434</v>
      </c>
      <c r="G156" s="614">
        <v>606.85569191705463</v>
      </c>
      <c r="H156" s="614"/>
      <c r="I156" s="614"/>
      <c r="J156" s="614"/>
    </row>
    <row r="157" spans="1:10" hidden="1">
      <c r="A157" s="37">
        <v>11</v>
      </c>
      <c r="B157" s="1435">
        <v>42</v>
      </c>
      <c r="C157" s="614">
        <v>8690</v>
      </c>
      <c r="D157" s="614">
        <v>206.90476190476201</v>
      </c>
      <c r="E157" s="614">
        <v>2589</v>
      </c>
      <c r="F157" s="614">
        <v>1248</v>
      </c>
      <c r="G157" s="614">
        <v>482.0393974507532</v>
      </c>
      <c r="H157" s="614"/>
      <c r="I157" s="614"/>
      <c r="J157" s="614"/>
    </row>
    <row r="158" spans="1:10" hidden="1">
      <c r="A158" s="37">
        <v>12</v>
      </c>
      <c r="B158" s="1435">
        <v>61</v>
      </c>
      <c r="C158" s="614">
        <v>15058</v>
      </c>
      <c r="D158" s="614">
        <v>246.852459016393</v>
      </c>
      <c r="E158" s="614">
        <v>2815</v>
      </c>
      <c r="F158" s="614">
        <v>1455</v>
      </c>
      <c r="G158" s="614">
        <v>516.87388987566612</v>
      </c>
      <c r="H158" s="614"/>
      <c r="I158" s="614"/>
      <c r="J158" s="614"/>
    </row>
    <row r="159" spans="1:10">
      <c r="A159" s="37" t="s">
        <v>1839</v>
      </c>
      <c r="B159" s="257">
        <f>SUM(B160:B171)</f>
        <v>574</v>
      </c>
      <c r="C159" s="257">
        <f>SUM(C160:C171)</f>
        <v>131962</v>
      </c>
      <c r="D159" s="257">
        <f>C159/B159</f>
        <v>229.89895470383274</v>
      </c>
      <c r="E159" s="257">
        <f>SUM(E160:E171)</f>
        <v>32628</v>
      </c>
      <c r="F159" s="257">
        <f>SUM(F160:F171)</f>
        <v>16103</v>
      </c>
      <c r="G159" s="257">
        <f>F159/E159*1000</f>
        <v>493.53316170160599</v>
      </c>
      <c r="H159" s="257"/>
      <c r="I159" s="257"/>
      <c r="J159" s="257"/>
    </row>
    <row r="160" spans="1:10" hidden="1">
      <c r="A160" s="37">
        <v>1</v>
      </c>
      <c r="B160" s="1435">
        <v>24</v>
      </c>
      <c r="C160" s="614">
        <v>10478</v>
      </c>
      <c r="D160" s="614">
        <v>436.58333333333331</v>
      </c>
      <c r="E160" s="1435">
        <v>2309</v>
      </c>
      <c r="F160" s="614">
        <v>960</v>
      </c>
      <c r="G160" s="614">
        <v>415.76440017323517</v>
      </c>
      <c r="H160" s="614"/>
      <c r="I160" s="614"/>
      <c r="J160" s="614"/>
    </row>
    <row r="161" spans="1:12" hidden="1">
      <c r="A161" s="37">
        <v>2</v>
      </c>
      <c r="B161" s="1435">
        <v>38</v>
      </c>
      <c r="C161" s="614">
        <v>9202</v>
      </c>
      <c r="D161" s="614">
        <v>242.15789473684211</v>
      </c>
      <c r="E161" s="1435">
        <v>2695</v>
      </c>
      <c r="F161" s="614">
        <v>1124</v>
      </c>
      <c r="G161" s="614">
        <v>417.06864564007424</v>
      </c>
      <c r="H161" s="614"/>
      <c r="I161" s="614"/>
      <c r="J161" s="614"/>
    </row>
    <row r="162" spans="1:12" hidden="1">
      <c r="A162" s="37" t="s">
        <v>289</v>
      </c>
      <c r="B162" s="1435">
        <v>42</v>
      </c>
      <c r="C162" s="614">
        <v>8674</v>
      </c>
      <c r="D162" s="614">
        <v>206.52380952380952</v>
      </c>
      <c r="E162" s="1435">
        <v>2559</v>
      </c>
      <c r="F162" s="614">
        <v>1181</v>
      </c>
      <c r="G162" s="614">
        <v>461.50840171942167</v>
      </c>
      <c r="H162" s="614"/>
      <c r="I162" s="614"/>
      <c r="J162" s="614"/>
    </row>
    <row r="163" spans="1:12" hidden="1">
      <c r="A163" s="37" t="s">
        <v>1010</v>
      </c>
      <c r="B163" s="1435">
        <v>45</v>
      </c>
      <c r="C163" s="614">
        <v>7108</v>
      </c>
      <c r="D163" s="614">
        <v>157.95555555555555</v>
      </c>
      <c r="E163" s="1435">
        <v>2532</v>
      </c>
      <c r="F163" s="614">
        <v>1300</v>
      </c>
      <c r="G163" s="614">
        <v>513.42812006319116</v>
      </c>
      <c r="H163" s="614"/>
      <c r="I163" s="614"/>
      <c r="J163" s="614"/>
    </row>
    <row r="164" spans="1:12" hidden="1">
      <c r="A164" s="37" t="s">
        <v>288</v>
      </c>
      <c r="B164" s="1435">
        <v>50</v>
      </c>
      <c r="C164" s="614">
        <v>16787</v>
      </c>
      <c r="D164" s="614">
        <v>335.74</v>
      </c>
      <c r="E164" s="1435">
        <v>2740</v>
      </c>
      <c r="F164" s="614">
        <v>1230</v>
      </c>
      <c r="G164" s="614">
        <v>448.90510948905109</v>
      </c>
      <c r="H164" s="614"/>
      <c r="I164" s="614"/>
      <c r="J164" s="614"/>
    </row>
    <row r="165" spans="1:12" hidden="1">
      <c r="A165" s="37" t="s">
        <v>1011</v>
      </c>
      <c r="B165" s="1435">
        <v>52</v>
      </c>
      <c r="C165" s="614">
        <v>7661</v>
      </c>
      <c r="D165" s="614">
        <v>147.32692307692307</v>
      </c>
      <c r="E165" s="1435">
        <v>2662</v>
      </c>
      <c r="F165" s="614">
        <v>1325</v>
      </c>
      <c r="G165" s="614">
        <v>497.74605559729531</v>
      </c>
      <c r="H165" s="614"/>
      <c r="I165" s="614"/>
      <c r="J165" s="614"/>
    </row>
    <row r="166" spans="1:12" hidden="1">
      <c r="A166" s="37" t="s">
        <v>286</v>
      </c>
      <c r="B166" s="1435">
        <v>49</v>
      </c>
      <c r="C166" s="614">
        <v>16792</v>
      </c>
      <c r="D166" s="614">
        <v>342.69387755102042</v>
      </c>
      <c r="E166" s="1435">
        <v>2677</v>
      </c>
      <c r="F166" s="614">
        <v>1398</v>
      </c>
      <c r="G166" s="614">
        <v>522.22637280537924</v>
      </c>
      <c r="H166" s="614"/>
      <c r="I166" s="614"/>
      <c r="J166" s="614"/>
    </row>
    <row r="167" spans="1:12" hidden="1">
      <c r="A167" s="37" t="s">
        <v>287</v>
      </c>
      <c r="B167" s="1435">
        <v>48</v>
      </c>
      <c r="C167" s="614">
        <v>8840</v>
      </c>
      <c r="D167" s="614">
        <v>184.16666666666666</v>
      </c>
      <c r="E167" s="1435">
        <v>3005</v>
      </c>
      <c r="F167" s="614">
        <v>1462</v>
      </c>
      <c r="G167" s="614">
        <v>486.52246256239602</v>
      </c>
      <c r="H167" s="614"/>
      <c r="I167" s="614"/>
      <c r="J167" s="614"/>
    </row>
    <row r="168" spans="1:12" s="352" customFormat="1" hidden="1">
      <c r="A168" s="37">
        <v>9</v>
      </c>
      <c r="B168" s="1435">
        <v>47</v>
      </c>
      <c r="C168" s="614">
        <v>11218</v>
      </c>
      <c r="D168" s="614">
        <v>238.68085106382978</v>
      </c>
      <c r="E168" s="1435">
        <v>2557</v>
      </c>
      <c r="F168" s="614">
        <v>1405</v>
      </c>
      <c r="G168" s="614">
        <v>549.47203754399686</v>
      </c>
      <c r="H168" s="614"/>
      <c r="I168" s="614"/>
      <c r="J168" s="614"/>
    </row>
    <row r="169" spans="1:12" s="352" customFormat="1" hidden="1">
      <c r="A169" s="37">
        <v>10</v>
      </c>
      <c r="B169" s="1435">
        <v>52</v>
      </c>
      <c r="C169" s="614">
        <v>9550</v>
      </c>
      <c r="D169" s="614">
        <v>183.65384615384616</v>
      </c>
      <c r="E169" s="1435">
        <v>2872</v>
      </c>
      <c r="F169" s="614">
        <v>1438</v>
      </c>
      <c r="G169" s="614">
        <v>500.69637883008357</v>
      </c>
      <c r="H169" s="614"/>
      <c r="I169" s="614"/>
      <c r="J169" s="614"/>
      <c r="L169" s="353">
        <v>1000</v>
      </c>
    </row>
    <row r="170" spans="1:12" s="352" customFormat="1" hidden="1">
      <c r="A170" s="37">
        <v>11</v>
      </c>
      <c r="B170" s="1435">
        <v>55</v>
      </c>
      <c r="C170" s="614">
        <v>8617</v>
      </c>
      <c r="D170" s="614">
        <v>156.67272727272729</v>
      </c>
      <c r="E170" s="1435">
        <v>2959</v>
      </c>
      <c r="F170" s="614">
        <v>1472</v>
      </c>
      <c r="G170" s="614">
        <v>497.46535991889152</v>
      </c>
      <c r="H170" s="614"/>
      <c r="I170" s="614"/>
      <c r="J170" s="614"/>
      <c r="L170" s="353"/>
    </row>
    <row r="171" spans="1:12" s="352" customFormat="1" hidden="1">
      <c r="A171" s="37" t="s">
        <v>29</v>
      </c>
      <c r="B171" s="1435">
        <v>72</v>
      </c>
      <c r="C171" s="614">
        <v>17035</v>
      </c>
      <c r="D171" s="614">
        <v>236.59722222222223</v>
      </c>
      <c r="E171" s="1435">
        <v>3061</v>
      </c>
      <c r="F171" s="614">
        <v>1808</v>
      </c>
      <c r="G171" s="614">
        <v>590.65664815419791</v>
      </c>
      <c r="H171" s="614"/>
      <c r="I171" s="614"/>
      <c r="J171" s="614"/>
      <c r="L171" s="353"/>
    </row>
    <row r="172" spans="1:12" s="352" customFormat="1">
      <c r="A172" s="37" t="s">
        <v>1902</v>
      </c>
      <c r="B172" s="257">
        <f>SUM(B173:B184)</f>
        <v>747</v>
      </c>
      <c r="C172" s="257">
        <f>SUM(C173:C184)</f>
        <v>191293</v>
      </c>
      <c r="D172" s="257">
        <f t="shared" ref="D172:D203" si="6">C172/B172</f>
        <v>256.08165997322624</v>
      </c>
      <c r="E172" s="257">
        <f>SUM(E173:E184)</f>
        <v>37228</v>
      </c>
      <c r="F172" s="257">
        <f>SUM(F173:F184)</f>
        <v>18883</v>
      </c>
      <c r="G172" s="257">
        <f t="shared" ref="G172:G184" si="7">F172/E172*1000</f>
        <v>507.22574406360798</v>
      </c>
      <c r="H172" s="257"/>
      <c r="I172" s="257"/>
      <c r="J172" s="257"/>
      <c r="L172" s="353"/>
    </row>
    <row r="173" spans="1:12" s="352" customFormat="1">
      <c r="A173" s="37" t="s">
        <v>18</v>
      </c>
      <c r="B173" s="1435">
        <v>34</v>
      </c>
      <c r="C173" s="614">
        <v>13988</v>
      </c>
      <c r="D173" s="457">
        <f t="shared" si="6"/>
        <v>411.41176470588238</v>
      </c>
      <c r="E173" s="614">
        <v>2826</v>
      </c>
      <c r="F173" s="614">
        <v>1056</v>
      </c>
      <c r="G173" s="457">
        <f t="shared" si="7"/>
        <v>373.6730360934182</v>
      </c>
      <c r="H173" s="457"/>
      <c r="I173" s="457"/>
      <c r="J173" s="457"/>
      <c r="L173" s="353"/>
    </row>
    <row r="174" spans="1:12" s="352" customFormat="1">
      <c r="A174" s="37" t="s">
        <v>19</v>
      </c>
      <c r="B174" s="1435">
        <v>54</v>
      </c>
      <c r="C174" s="614">
        <v>9805</v>
      </c>
      <c r="D174" s="457">
        <f t="shared" si="6"/>
        <v>181.57407407407408</v>
      </c>
      <c r="E174" s="614">
        <v>2855</v>
      </c>
      <c r="F174" s="614">
        <v>1258</v>
      </c>
      <c r="G174" s="457">
        <f t="shared" si="7"/>
        <v>440.63047285464097</v>
      </c>
      <c r="H174" s="457"/>
      <c r="I174" s="457"/>
      <c r="J174" s="457"/>
      <c r="L174" s="353"/>
    </row>
    <row r="175" spans="1:12" s="352" customFormat="1">
      <c r="A175" s="37" t="s">
        <v>20</v>
      </c>
      <c r="B175" s="1435">
        <v>59</v>
      </c>
      <c r="C175" s="614">
        <v>11052</v>
      </c>
      <c r="D175" s="457">
        <f t="shared" si="6"/>
        <v>187.32203389830508</v>
      </c>
      <c r="E175" s="614">
        <v>3172</v>
      </c>
      <c r="F175" s="614">
        <v>1341</v>
      </c>
      <c r="G175" s="457">
        <f t="shared" si="7"/>
        <v>422.76166456494326</v>
      </c>
      <c r="H175" s="457"/>
      <c r="I175" s="457"/>
      <c r="J175" s="457"/>
      <c r="L175" s="353"/>
    </row>
    <row r="176" spans="1:12" s="352" customFormat="1">
      <c r="A176" s="37" t="s">
        <v>21</v>
      </c>
      <c r="B176" s="1435">
        <v>58</v>
      </c>
      <c r="C176" s="614">
        <v>10548</v>
      </c>
      <c r="D176" s="457">
        <f t="shared" si="6"/>
        <v>181.86206896551724</v>
      </c>
      <c r="E176" s="614">
        <v>3137</v>
      </c>
      <c r="F176" s="614">
        <v>1442</v>
      </c>
      <c r="G176" s="457">
        <f t="shared" si="7"/>
        <v>459.67484858144724</v>
      </c>
      <c r="H176" s="457"/>
      <c r="I176" s="457"/>
      <c r="J176" s="457"/>
      <c r="L176" s="353"/>
    </row>
    <row r="177" spans="1:13" s="352" customFormat="1">
      <c r="A177" s="37" t="s">
        <v>22</v>
      </c>
      <c r="B177" s="1435">
        <v>63</v>
      </c>
      <c r="C177" s="614">
        <v>15161</v>
      </c>
      <c r="D177" s="457">
        <f t="shared" si="6"/>
        <v>240.65079365079364</v>
      </c>
      <c r="E177" s="614">
        <v>3464</v>
      </c>
      <c r="F177" s="614">
        <v>1596</v>
      </c>
      <c r="G177" s="457">
        <f t="shared" si="7"/>
        <v>460.7390300230947</v>
      </c>
      <c r="H177" s="457"/>
      <c r="I177" s="457"/>
      <c r="J177" s="457"/>
      <c r="L177" s="353"/>
    </row>
    <row r="178" spans="1:13" s="352" customFormat="1">
      <c r="A178" s="37" t="s">
        <v>23</v>
      </c>
      <c r="B178" s="1435">
        <v>62</v>
      </c>
      <c r="C178" s="614">
        <v>12585</v>
      </c>
      <c r="D178" s="457">
        <f t="shared" si="6"/>
        <v>202.98387096774192</v>
      </c>
      <c r="E178" s="614">
        <v>2881</v>
      </c>
      <c r="F178" s="614">
        <v>1507</v>
      </c>
      <c r="G178" s="457">
        <f t="shared" si="7"/>
        <v>523.0822631030893</v>
      </c>
      <c r="H178" s="457"/>
      <c r="I178" s="457"/>
      <c r="J178" s="457"/>
      <c r="L178" s="353"/>
      <c r="M178" s="354"/>
    </row>
    <row r="179" spans="1:13" s="352" customFormat="1">
      <c r="A179" s="37" t="s">
        <v>24</v>
      </c>
      <c r="B179" s="1435">
        <v>67</v>
      </c>
      <c r="C179" s="614">
        <v>20488</v>
      </c>
      <c r="D179" s="457">
        <f t="shared" si="6"/>
        <v>305.79104477611941</v>
      </c>
      <c r="E179" s="614">
        <v>3327</v>
      </c>
      <c r="F179" s="614">
        <v>1994</v>
      </c>
      <c r="G179" s="457">
        <f t="shared" si="7"/>
        <v>599.33874361286439</v>
      </c>
      <c r="H179" s="457"/>
      <c r="I179" s="457"/>
      <c r="J179" s="457"/>
      <c r="L179" s="353"/>
    </row>
    <row r="180" spans="1:13" s="352" customFormat="1">
      <c r="A180" s="37" t="s">
        <v>25</v>
      </c>
      <c r="B180" s="1435">
        <v>64</v>
      </c>
      <c r="C180" s="614">
        <v>16044</v>
      </c>
      <c r="D180" s="457">
        <f t="shared" si="6"/>
        <v>250.6875</v>
      </c>
      <c r="E180" s="614">
        <v>3298</v>
      </c>
      <c r="F180" s="614">
        <v>1743</v>
      </c>
      <c r="G180" s="457">
        <f t="shared" si="7"/>
        <v>528.50212249848391</v>
      </c>
      <c r="H180" s="457"/>
      <c r="I180" s="457"/>
      <c r="J180" s="457"/>
      <c r="L180" s="353"/>
    </row>
    <row r="181" spans="1:13" s="352" customFormat="1">
      <c r="A181" s="37" t="s">
        <v>26</v>
      </c>
      <c r="B181" s="1435">
        <v>60</v>
      </c>
      <c r="C181" s="614">
        <v>14618</v>
      </c>
      <c r="D181" s="457">
        <f t="shared" si="6"/>
        <v>243.63333333333333</v>
      </c>
      <c r="E181" s="614">
        <v>2976</v>
      </c>
      <c r="F181" s="614">
        <v>1604</v>
      </c>
      <c r="G181" s="457">
        <f t="shared" si="7"/>
        <v>538.97849462365593</v>
      </c>
      <c r="H181" s="457"/>
      <c r="I181" s="457"/>
      <c r="J181" s="457"/>
      <c r="L181" s="353"/>
    </row>
    <row r="182" spans="1:13" s="352" customFormat="1">
      <c r="A182" s="37" t="s">
        <v>27</v>
      </c>
      <c r="B182" s="1435">
        <v>68</v>
      </c>
      <c r="C182" s="614">
        <v>18098</v>
      </c>
      <c r="D182" s="457">
        <f t="shared" si="6"/>
        <v>266.14705882352939</v>
      </c>
      <c r="E182" s="614">
        <v>3115</v>
      </c>
      <c r="F182" s="614">
        <v>1730</v>
      </c>
      <c r="G182" s="457">
        <f t="shared" si="7"/>
        <v>555.37720706260029</v>
      </c>
      <c r="H182" s="457"/>
      <c r="I182" s="457"/>
      <c r="J182" s="457"/>
      <c r="L182" s="353"/>
    </row>
    <row r="183" spans="1:13" s="352" customFormat="1">
      <c r="A183" s="37" t="s">
        <v>28</v>
      </c>
      <c r="B183" s="1435">
        <v>70</v>
      </c>
      <c r="C183" s="614">
        <v>19006</v>
      </c>
      <c r="D183" s="457">
        <f t="shared" si="6"/>
        <v>271.51428571428573</v>
      </c>
      <c r="E183" s="614">
        <v>3026</v>
      </c>
      <c r="F183" s="614">
        <v>1689</v>
      </c>
      <c r="G183" s="457">
        <f t="shared" si="7"/>
        <v>558.16259087904825</v>
      </c>
      <c r="H183" s="457"/>
      <c r="I183" s="457"/>
      <c r="J183" s="457"/>
      <c r="L183" s="353"/>
    </row>
    <row r="184" spans="1:13" s="352" customFormat="1">
      <c r="A184" s="37" t="s">
        <v>29</v>
      </c>
      <c r="B184" s="1435">
        <v>88</v>
      </c>
      <c r="C184" s="614">
        <v>29900</v>
      </c>
      <c r="D184" s="457">
        <f t="shared" si="6"/>
        <v>339.77272727272725</v>
      </c>
      <c r="E184" s="614">
        <v>3151</v>
      </c>
      <c r="F184" s="614">
        <v>1923</v>
      </c>
      <c r="G184" s="457">
        <f t="shared" si="7"/>
        <v>610.28245001586799</v>
      </c>
      <c r="H184" s="457"/>
      <c r="I184" s="457"/>
      <c r="J184" s="457"/>
      <c r="L184" s="353"/>
    </row>
    <row r="185" spans="1:13" s="352" customFormat="1">
      <c r="A185" s="37" t="s">
        <v>2038</v>
      </c>
      <c r="B185" s="257">
        <f>SUM(B186:B197)</f>
        <v>820</v>
      </c>
      <c r="C185" s="257">
        <f>SUM(C186:C197)</f>
        <v>252563</v>
      </c>
      <c r="D185" s="257">
        <f t="shared" si="6"/>
        <v>308.00365853658536</v>
      </c>
      <c r="E185" s="257">
        <f>SUM(E186:E197)</f>
        <v>39115</v>
      </c>
      <c r="F185" s="257">
        <f>SUM(F186:F197)</f>
        <v>21848</v>
      </c>
      <c r="G185" s="257">
        <f>F185*1000/E185</f>
        <v>558.55809791640036</v>
      </c>
      <c r="H185" s="257"/>
      <c r="I185" s="257"/>
      <c r="J185" s="257"/>
      <c r="L185" s="353"/>
    </row>
    <row r="186" spans="1:13" s="352" customFormat="1">
      <c r="A186" s="37" t="s">
        <v>18</v>
      </c>
      <c r="B186" s="1435">
        <v>41</v>
      </c>
      <c r="C186" s="614">
        <v>15557</v>
      </c>
      <c r="D186" s="457">
        <f t="shared" si="6"/>
        <v>379.4390243902439</v>
      </c>
      <c r="E186" s="614">
        <v>3037</v>
      </c>
      <c r="F186" s="614">
        <v>1310</v>
      </c>
      <c r="G186" s="457">
        <f t="shared" ref="G186:G197" si="8">F186/E186*1000</f>
        <v>431.34672374053338</v>
      </c>
      <c r="H186" s="457"/>
      <c r="I186" s="457"/>
      <c r="J186" s="457"/>
      <c r="L186" s="353"/>
    </row>
    <row r="187" spans="1:13" s="352" customFormat="1">
      <c r="A187" s="37" t="s">
        <v>19</v>
      </c>
      <c r="B187" s="1435">
        <v>55</v>
      </c>
      <c r="C187" s="614">
        <v>18479</v>
      </c>
      <c r="D187" s="457">
        <f t="shared" si="6"/>
        <v>335.9818181818182</v>
      </c>
      <c r="E187" s="614">
        <v>2814</v>
      </c>
      <c r="F187" s="614">
        <v>1417</v>
      </c>
      <c r="G187" s="457">
        <f t="shared" si="8"/>
        <v>503.55366027007818</v>
      </c>
      <c r="H187" s="457"/>
      <c r="I187" s="457"/>
      <c r="J187" s="457"/>
      <c r="L187" s="353"/>
    </row>
    <row r="188" spans="1:13" s="352" customFormat="1">
      <c r="A188" s="37" t="s">
        <v>20</v>
      </c>
      <c r="B188" s="1435">
        <v>63</v>
      </c>
      <c r="C188" s="614">
        <v>20123</v>
      </c>
      <c r="D188" s="457">
        <f t="shared" si="6"/>
        <v>319.41269841269843</v>
      </c>
      <c r="E188" s="614">
        <v>2866</v>
      </c>
      <c r="F188" s="614">
        <v>1611</v>
      </c>
      <c r="G188" s="457">
        <f t="shared" si="8"/>
        <v>562.10746685275649</v>
      </c>
      <c r="H188" s="457"/>
      <c r="I188" s="457"/>
      <c r="J188" s="457"/>
      <c r="L188" s="353"/>
    </row>
    <row r="189" spans="1:13" s="352" customFormat="1">
      <c r="A189" s="37" t="s">
        <v>21</v>
      </c>
      <c r="B189" s="1435">
        <v>67</v>
      </c>
      <c r="C189" s="614">
        <v>20627</v>
      </c>
      <c r="D189" s="457">
        <f t="shared" si="6"/>
        <v>307.86567164179104</v>
      </c>
      <c r="E189" s="614">
        <v>2981</v>
      </c>
      <c r="F189" s="614">
        <v>1902</v>
      </c>
      <c r="G189" s="457">
        <f t="shared" si="8"/>
        <v>638.04092586380409</v>
      </c>
      <c r="H189" s="457"/>
      <c r="I189" s="457"/>
      <c r="J189" s="457"/>
      <c r="L189" s="353"/>
    </row>
    <row r="190" spans="1:13" s="352" customFormat="1">
      <c r="A190" s="37" t="s">
        <v>22</v>
      </c>
      <c r="B190" s="1435">
        <v>75</v>
      </c>
      <c r="C190" s="614">
        <v>22288</v>
      </c>
      <c r="D190" s="457">
        <f t="shared" si="6"/>
        <v>297.17333333333335</v>
      </c>
      <c r="E190" s="614">
        <v>3209</v>
      </c>
      <c r="F190" s="614">
        <v>1786</v>
      </c>
      <c r="G190" s="457">
        <f t="shared" si="8"/>
        <v>556.55967591149886</v>
      </c>
      <c r="H190" s="457"/>
      <c r="I190" s="457"/>
      <c r="J190" s="457"/>
      <c r="L190" s="353"/>
    </row>
    <row r="191" spans="1:13" s="352" customFormat="1">
      <c r="A191" s="37" t="s">
        <v>23</v>
      </c>
      <c r="B191" s="1435">
        <v>66</v>
      </c>
      <c r="C191" s="614">
        <v>18201</v>
      </c>
      <c r="D191" s="457">
        <f t="shared" si="6"/>
        <v>275.77272727272725</v>
      </c>
      <c r="E191" s="614">
        <v>2689</v>
      </c>
      <c r="F191" s="614">
        <v>1635</v>
      </c>
      <c r="G191" s="457">
        <f t="shared" si="8"/>
        <v>608.03272592041651</v>
      </c>
      <c r="H191" s="457"/>
      <c r="I191" s="457"/>
      <c r="J191" s="457"/>
      <c r="L191" s="353"/>
    </row>
    <row r="192" spans="1:13" s="352" customFormat="1">
      <c r="A192" s="37" t="s">
        <v>24</v>
      </c>
      <c r="B192" s="1435">
        <v>77</v>
      </c>
      <c r="C192" s="614">
        <v>21448</v>
      </c>
      <c r="D192" s="457">
        <f t="shared" si="6"/>
        <v>278.54545454545456</v>
      </c>
      <c r="E192" s="614">
        <v>3516</v>
      </c>
      <c r="F192" s="614">
        <v>1935</v>
      </c>
      <c r="G192" s="457">
        <f t="shared" si="8"/>
        <v>550.34129692832767</v>
      </c>
      <c r="H192" s="457"/>
      <c r="I192" s="457"/>
      <c r="J192" s="457"/>
      <c r="L192" s="353"/>
    </row>
    <row r="193" spans="1:12" s="352" customFormat="1">
      <c r="A193" s="37" t="s">
        <v>25</v>
      </c>
      <c r="B193" s="1435">
        <v>69</v>
      </c>
      <c r="C193" s="614">
        <v>20962</v>
      </c>
      <c r="D193" s="457">
        <f t="shared" si="6"/>
        <v>303.79710144927537</v>
      </c>
      <c r="E193" s="614">
        <v>3211</v>
      </c>
      <c r="F193" s="614">
        <v>1829</v>
      </c>
      <c r="G193" s="457">
        <f t="shared" si="8"/>
        <v>569.60448458424162</v>
      </c>
      <c r="H193" s="457"/>
      <c r="I193" s="457"/>
      <c r="J193" s="457"/>
      <c r="L193" s="353"/>
    </row>
    <row r="194" spans="1:12" s="352" customFormat="1">
      <c r="A194" s="37" t="s">
        <v>26</v>
      </c>
      <c r="B194" s="1435">
        <v>65</v>
      </c>
      <c r="C194" s="614">
        <v>18700</v>
      </c>
      <c r="D194" s="457">
        <f t="shared" si="6"/>
        <v>287.69230769230768</v>
      </c>
      <c r="E194" s="614">
        <v>3086</v>
      </c>
      <c r="F194" s="614">
        <v>1834</v>
      </c>
      <c r="G194" s="457">
        <f t="shared" si="8"/>
        <v>594.29682436811402</v>
      </c>
      <c r="H194" s="457"/>
      <c r="I194" s="457"/>
      <c r="J194" s="457"/>
      <c r="L194" s="353"/>
    </row>
    <row r="195" spans="1:12" s="352" customFormat="1">
      <c r="A195" s="37" t="s">
        <v>27</v>
      </c>
      <c r="B195" s="1435">
        <v>75</v>
      </c>
      <c r="C195" s="614">
        <v>25815</v>
      </c>
      <c r="D195" s="457">
        <f t="shared" si="6"/>
        <v>344.2</v>
      </c>
      <c r="E195" s="614">
        <v>3983</v>
      </c>
      <c r="F195" s="614">
        <v>2112</v>
      </c>
      <c r="G195" s="457">
        <f t="shared" si="8"/>
        <v>530.25357770524727</v>
      </c>
      <c r="H195" s="457"/>
      <c r="I195" s="457"/>
      <c r="J195" s="457"/>
      <c r="L195" s="353"/>
    </row>
    <row r="196" spans="1:12" s="352" customFormat="1">
      <c r="A196" s="37" t="s">
        <v>28</v>
      </c>
      <c r="B196" s="1435">
        <v>74</v>
      </c>
      <c r="C196" s="614">
        <v>23972</v>
      </c>
      <c r="D196" s="457">
        <f t="shared" si="6"/>
        <v>323.94594594594594</v>
      </c>
      <c r="E196" s="614">
        <v>3787</v>
      </c>
      <c r="F196" s="614">
        <v>2006</v>
      </c>
      <c r="G196" s="457">
        <f t="shared" si="8"/>
        <v>529.70689199894377</v>
      </c>
      <c r="H196" s="457"/>
      <c r="I196" s="457"/>
      <c r="J196" s="457"/>
      <c r="L196" s="353"/>
    </row>
    <row r="197" spans="1:12" s="352" customFormat="1">
      <c r="A197" s="37" t="s">
        <v>29</v>
      </c>
      <c r="B197" s="1435">
        <v>93</v>
      </c>
      <c r="C197" s="614">
        <v>26391</v>
      </c>
      <c r="D197" s="457">
        <f t="shared" si="6"/>
        <v>283.77419354838707</v>
      </c>
      <c r="E197" s="614">
        <v>3936</v>
      </c>
      <c r="F197" s="614">
        <v>2471</v>
      </c>
      <c r="G197" s="457">
        <f t="shared" si="8"/>
        <v>627.79471544715443</v>
      </c>
      <c r="H197" s="457"/>
      <c r="I197" s="457"/>
      <c r="J197" s="457"/>
      <c r="L197" s="353"/>
    </row>
    <row r="198" spans="1:12" s="352" customFormat="1">
      <c r="A198" s="37" t="s">
        <v>2131</v>
      </c>
      <c r="B198" s="1437">
        <f>SUM(B199:B210)</f>
        <v>894</v>
      </c>
      <c r="C198" s="1437">
        <f>SUM(C199:C210)</f>
        <v>232236</v>
      </c>
      <c r="D198" s="257">
        <f t="shared" si="6"/>
        <v>259.7718120805369</v>
      </c>
      <c r="E198" s="1437">
        <f>SUM(E199:E210)</f>
        <v>55721</v>
      </c>
      <c r="F198" s="1437">
        <f>SUM(F199:F210)</f>
        <v>26482</v>
      </c>
      <c r="G198" s="257">
        <f>F198*1000/E198</f>
        <v>475.26067371368066</v>
      </c>
      <c r="H198" s="257"/>
      <c r="I198" s="257"/>
      <c r="J198" s="257"/>
      <c r="L198" s="353"/>
    </row>
    <row r="199" spans="1:12" s="352" customFormat="1">
      <c r="A199" s="311" t="s">
        <v>18</v>
      </c>
      <c r="B199" s="457">
        <v>49</v>
      </c>
      <c r="C199" s="457">
        <v>21759</v>
      </c>
      <c r="D199" s="457">
        <f t="shared" si="6"/>
        <v>444.0612244897959</v>
      </c>
      <c r="E199" s="457">
        <v>4072</v>
      </c>
      <c r="F199" s="457">
        <v>1695</v>
      </c>
      <c r="G199" s="457">
        <f t="shared" ref="G199:G210" si="9">F199/E199*1000</f>
        <v>416.25736738703341</v>
      </c>
      <c r="H199" s="457"/>
      <c r="I199" s="457"/>
      <c r="J199" s="457"/>
      <c r="L199" s="353"/>
    </row>
    <row r="200" spans="1:12" s="352" customFormat="1">
      <c r="A200" s="311" t="s">
        <v>19</v>
      </c>
      <c r="B200" s="457">
        <v>66</v>
      </c>
      <c r="C200" s="457">
        <v>19680</v>
      </c>
      <c r="D200" s="457">
        <f t="shared" si="6"/>
        <v>298.18181818181819</v>
      </c>
      <c r="E200" s="457">
        <v>3913</v>
      </c>
      <c r="F200" s="457">
        <v>1674</v>
      </c>
      <c r="G200" s="457">
        <f t="shared" si="9"/>
        <v>427.80475338614878</v>
      </c>
      <c r="H200" s="457"/>
      <c r="I200" s="457"/>
      <c r="J200" s="457"/>
      <c r="L200" s="353"/>
    </row>
    <row r="201" spans="1:12" s="352" customFormat="1">
      <c r="A201" s="311" t="s">
        <v>20</v>
      </c>
      <c r="B201" s="457">
        <v>64</v>
      </c>
      <c r="C201" s="457">
        <v>18365</v>
      </c>
      <c r="D201" s="457">
        <f t="shared" si="6"/>
        <v>286.953125</v>
      </c>
      <c r="E201" s="457">
        <v>3885</v>
      </c>
      <c r="F201" s="457">
        <v>1753</v>
      </c>
      <c r="G201" s="457">
        <f t="shared" si="9"/>
        <v>451.22265122265122</v>
      </c>
      <c r="H201" s="457"/>
      <c r="I201" s="457"/>
      <c r="J201" s="457"/>
      <c r="L201" s="353"/>
    </row>
    <row r="202" spans="1:12" s="352" customFormat="1">
      <c r="A202" s="311" t="s">
        <v>21</v>
      </c>
      <c r="B202" s="457">
        <v>77</v>
      </c>
      <c r="C202" s="457">
        <v>18921</v>
      </c>
      <c r="D202" s="457">
        <f t="shared" si="6"/>
        <v>245.72727272727272</v>
      </c>
      <c r="E202" s="457">
        <v>4676</v>
      </c>
      <c r="F202" s="457">
        <v>2237</v>
      </c>
      <c r="G202" s="457">
        <f t="shared" si="9"/>
        <v>478.40034217279725</v>
      </c>
      <c r="H202" s="457"/>
      <c r="I202" s="457"/>
      <c r="J202" s="457"/>
      <c r="L202" s="353"/>
    </row>
    <row r="203" spans="1:12" s="352" customFormat="1">
      <c r="A203" s="311" t="s">
        <v>22</v>
      </c>
      <c r="B203" s="457">
        <v>78</v>
      </c>
      <c r="C203" s="457">
        <v>20960</v>
      </c>
      <c r="D203" s="457">
        <f t="shared" si="6"/>
        <v>268.71794871794873</v>
      </c>
      <c r="E203" s="457">
        <v>4583</v>
      </c>
      <c r="F203" s="457">
        <v>2144</v>
      </c>
      <c r="G203" s="457">
        <f t="shared" si="9"/>
        <v>467.81584115208381</v>
      </c>
      <c r="H203" s="457"/>
      <c r="I203" s="457"/>
      <c r="J203" s="457"/>
      <c r="L203" s="353"/>
    </row>
    <row r="204" spans="1:12" s="352" customFormat="1">
      <c r="A204" s="311" t="s">
        <v>23</v>
      </c>
      <c r="B204" s="457">
        <v>65</v>
      </c>
      <c r="C204" s="457">
        <v>20150</v>
      </c>
      <c r="D204" s="457">
        <f t="shared" ref="D204:D235" si="10">C204/B204</f>
        <v>310</v>
      </c>
      <c r="E204" s="457">
        <v>3850</v>
      </c>
      <c r="F204" s="457">
        <v>1979</v>
      </c>
      <c r="G204" s="457">
        <f t="shared" si="9"/>
        <v>514.02597402597405</v>
      </c>
      <c r="H204" s="457"/>
      <c r="I204" s="457"/>
      <c r="J204" s="457"/>
      <c r="L204" s="353"/>
    </row>
    <row r="205" spans="1:12" s="352" customFormat="1">
      <c r="A205" s="311" t="s">
        <v>24</v>
      </c>
      <c r="B205" s="457">
        <v>85</v>
      </c>
      <c r="C205" s="457">
        <v>17768</v>
      </c>
      <c r="D205" s="457">
        <f t="shared" si="10"/>
        <v>209.03529411764706</v>
      </c>
      <c r="E205" s="457">
        <v>5361</v>
      </c>
      <c r="F205" s="457">
        <v>2504</v>
      </c>
      <c r="G205" s="457">
        <f t="shared" si="9"/>
        <v>467.07703786606976</v>
      </c>
      <c r="H205" s="457"/>
      <c r="I205" s="457"/>
      <c r="J205" s="457"/>
      <c r="L205" s="353"/>
    </row>
    <row r="206" spans="1:12">
      <c r="A206" s="37" t="s">
        <v>25</v>
      </c>
      <c r="B206" s="1435">
        <v>71</v>
      </c>
      <c r="C206" s="614">
        <v>17831</v>
      </c>
      <c r="D206" s="457">
        <f t="shared" si="10"/>
        <v>251.14084507042253</v>
      </c>
      <c r="E206" s="614">
        <v>4636</v>
      </c>
      <c r="F206" s="614">
        <v>2210</v>
      </c>
      <c r="G206" s="457">
        <f t="shared" si="9"/>
        <v>476.70405522001727</v>
      </c>
      <c r="H206" s="457"/>
      <c r="I206" s="457"/>
      <c r="J206" s="457"/>
      <c r="K206" s="352"/>
    </row>
    <row r="207" spans="1:12">
      <c r="A207" s="37" t="s">
        <v>26</v>
      </c>
      <c r="B207" s="1435">
        <v>73</v>
      </c>
      <c r="C207" s="614">
        <v>17128</v>
      </c>
      <c r="D207" s="457">
        <f t="shared" si="10"/>
        <v>234.63013698630138</v>
      </c>
      <c r="E207" s="614">
        <v>4789</v>
      </c>
      <c r="F207" s="614">
        <v>2289</v>
      </c>
      <c r="G207" s="457">
        <f t="shared" si="9"/>
        <v>477.97034871580706</v>
      </c>
      <c r="H207" s="457"/>
      <c r="I207" s="457"/>
      <c r="J207" s="457"/>
      <c r="K207" s="352"/>
    </row>
    <row r="208" spans="1:12">
      <c r="A208" s="37" t="s">
        <v>27</v>
      </c>
      <c r="B208" s="1435">
        <v>83</v>
      </c>
      <c r="C208" s="614">
        <v>20557</v>
      </c>
      <c r="D208" s="457">
        <f t="shared" si="10"/>
        <v>247.67469879518072</v>
      </c>
      <c r="E208" s="614">
        <v>5189</v>
      </c>
      <c r="F208" s="614">
        <v>2530</v>
      </c>
      <c r="G208" s="457">
        <f t="shared" si="9"/>
        <v>487.56985931778763</v>
      </c>
      <c r="H208" s="457"/>
      <c r="I208" s="457"/>
      <c r="J208" s="457"/>
      <c r="K208" s="352"/>
    </row>
    <row r="209" spans="1:11">
      <c r="A209" s="37" t="s">
        <v>28</v>
      </c>
      <c r="B209" s="1435">
        <v>74</v>
      </c>
      <c r="C209" s="614">
        <v>17925</v>
      </c>
      <c r="D209" s="457">
        <f t="shared" si="10"/>
        <v>242.22972972972974</v>
      </c>
      <c r="E209" s="614">
        <v>4842</v>
      </c>
      <c r="F209" s="614">
        <v>2300</v>
      </c>
      <c r="G209" s="457">
        <f t="shared" si="9"/>
        <v>475.01032631144159</v>
      </c>
      <c r="H209" s="457"/>
      <c r="I209" s="457"/>
      <c r="J209" s="457"/>
      <c r="K209" s="352"/>
    </row>
    <row r="210" spans="1:11">
      <c r="A210" s="37" t="s">
        <v>29</v>
      </c>
      <c r="B210" s="1435">
        <v>109</v>
      </c>
      <c r="C210" s="614">
        <v>21192</v>
      </c>
      <c r="D210" s="457">
        <f t="shared" si="10"/>
        <v>194.42201834862385</v>
      </c>
      <c r="E210" s="614">
        <v>5925</v>
      </c>
      <c r="F210" s="614">
        <v>3167</v>
      </c>
      <c r="G210" s="457">
        <f t="shared" si="9"/>
        <v>534.51476793248946</v>
      </c>
      <c r="H210" s="457"/>
      <c r="I210" s="457"/>
      <c r="J210" s="457"/>
      <c r="K210" s="352"/>
    </row>
    <row r="211" spans="1:11">
      <c r="A211" s="37" t="s">
        <v>2362</v>
      </c>
      <c r="B211" s="1437">
        <f>SUM(B212:B223)</f>
        <v>908</v>
      </c>
      <c r="C211" s="1437">
        <f>SUM(C212:C223)</f>
        <v>195570</v>
      </c>
      <c r="D211" s="257">
        <f t="shared" si="10"/>
        <v>215.38546255506608</v>
      </c>
      <c r="E211" s="1437">
        <f>SUM(E212:E223)</f>
        <v>58917</v>
      </c>
      <c r="F211" s="1437">
        <f>SUM(F212:F223)</f>
        <v>27831</v>
      </c>
      <c r="G211" s="257">
        <f>F211*1000/E211</f>
        <v>472.3763939100769</v>
      </c>
      <c r="H211" s="257"/>
      <c r="I211" s="257"/>
      <c r="J211" s="257"/>
      <c r="K211" s="352"/>
    </row>
    <row r="212" spans="1:11">
      <c r="A212" s="37" t="s">
        <v>18</v>
      </c>
      <c r="B212" s="1435">
        <v>51</v>
      </c>
      <c r="C212" s="614">
        <v>13109</v>
      </c>
      <c r="D212" s="457">
        <f t="shared" si="10"/>
        <v>257.03921568627453</v>
      </c>
      <c r="E212" s="614">
        <v>5030</v>
      </c>
      <c r="F212" s="614">
        <v>2026</v>
      </c>
      <c r="G212" s="457">
        <f t="shared" ref="G212:G223" si="11">F212/E212*1000</f>
        <v>402.78330019880713</v>
      </c>
      <c r="H212" s="457"/>
      <c r="I212" s="457"/>
      <c r="J212" s="457"/>
      <c r="K212" s="352"/>
    </row>
    <row r="213" spans="1:11">
      <c r="A213" s="37" t="s">
        <v>19</v>
      </c>
      <c r="B213" s="1435">
        <v>70</v>
      </c>
      <c r="C213" s="614">
        <v>13823</v>
      </c>
      <c r="D213" s="457">
        <f t="shared" si="10"/>
        <v>197.47142857142856</v>
      </c>
      <c r="E213" s="614">
        <v>4704</v>
      </c>
      <c r="F213" s="614">
        <v>2132</v>
      </c>
      <c r="G213" s="457">
        <f t="shared" si="11"/>
        <v>453.23129251700675</v>
      </c>
      <c r="H213" s="457"/>
      <c r="I213" s="457"/>
      <c r="J213" s="457"/>
      <c r="K213" s="352"/>
    </row>
    <row r="214" spans="1:11">
      <c r="A214" s="37" t="s">
        <v>20</v>
      </c>
      <c r="B214" s="1435">
        <v>71</v>
      </c>
      <c r="C214" s="614">
        <v>21980</v>
      </c>
      <c r="D214" s="457">
        <f t="shared" si="10"/>
        <v>309.57746478873241</v>
      </c>
      <c r="E214" s="614">
        <v>4586</v>
      </c>
      <c r="F214" s="614">
        <v>2233</v>
      </c>
      <c r="G214" s="457">
        <f t="shared" si="11"/>
        <v>486.91670300915831</v>
      </c>
      <c r="H214" s="457"/>
      <c r="I214" s="457"/>
      <c r="J214" s="457"/>
      <c r="K214" s="352"/>
    </row>
    <row r="215" spans="1:11">
      <c r="A215" s="37" t="s">
        <v>21</v>
      </c>
      <c r="B215" s="1435">
        <v>62</v>
      </c>
      <c r="C215" s="614">
        <v>15118</v>
      </c>
      <c r="D215" s="457">
        <f t="shared" si="10"/>
        <v>243.83870967741936</v>
      </c>
      <c r="E215" s="614">
        <v>3825</v>
      </c>
      <c r="F215" s="614">
        <v>2206</v>
      </c>
      <c r="G215" s="457">
        <f t="shared" si="11"/>
        <v>576.73202614379079</v>
      </c>
      <c r="H215" s="457"/>
      <c r="I215" s="457"/>
      <c r="J215" s="457"/>
      <c r="K215" s="352"/>
    </row>
    <row r="216" spans="1:11">
      <c r="A216" s="37" t="s">
        <v>22</v>
      </c>
      <c r="B216" s="1435">
        <v>58</v>
      </c>
      <c r="C216" s="614">
        <v>14215</v>
      </c>
      <c r="D216" s="457">
        <f t="shared" si="10"/>
        <v>245.08620689655172</v>
      </c>
      <c r="E216" s="614">
        <v>4522</v>
      </c>
      <c r="F216" s="614">
        <v>2134</v>
      </c>
      <c r="G216" s="457">
        <f t="shared" si="11"/>
        <v>471.91508182220252</v>
      </c>
      <c r="H216" s="457"/>
      <c r="I216" s="457"/>
      <c r="J216" s="457"/>
      <c r="K216" s="352"/>
    </row>
    <row r="217" spans="1:11">
      <c r="A217" s="37" t="s">
        <v>23</v>
      </c>
      <c r="B217" s="1435">
        <v>71</v>
      </c>
      <c r="C217" s="614">
        <v>15282</v>
      </c>
      <c r="D217" s="457">
        <f t="shared" si="10"/>
        <v>215.2394366197183</v>
      </c>
      <c r="E217" s="614">
        <v>4617</v>
      </c>
      <c r="F217" s="614">
        <v>2200</v>
      </c>
      <c r="G217" s="457">
        <f t="shared" si="11"/>
        <v>476.49989170457008</v>
      </c>
      <c r="H217" s="457"/>
      <c r="I217" s="457"/>
      <c r="J217" s="457"/>
      <c r="K217" s="352"/>
    </row>
    <row r="218" spans="1:11">
      <c r="A218" s="37" t="s">
        <v>24</v>
      </c>
      <c r="B218" s="1435">
        <v>80</v>
      </c>
      <c r="C218" s="614">
        <v>17417</v>
      </c>
      <c r="D218" s="457">
        <f t="shared" si="10"/>
        <v>217.71250000000001</v>
      </c>
      <c r="E218" s="614">
        <v>4870</v>
      </c>
      <c r="F218" s="614">
        <v>2464</v>
      </c>
      <c r="G218" s="457">
        <f t="shared" si="11"/>
        <v>505.95482546201231</v>
      </c>
      <c r="H218" s="457"/>
      <c r="I218" s="457"/>
      <c r="J218" s="457"/>
      <c r="K218" s="352"/>
    </row>
    <row r="219" spans="1:11">
      <c r="A219" s="37" t="s">
        <v>25</v>
      </c>
      <c r="B219" s="1435">
        <v>77</v>
      </c>
      <c r="C219" s="614">
        <v>14734</v>
      </c>
      <c r="D219" s="457">
        <f t="shared" si="10"/>
        <v>191.35064935064935</v>
      </c>
      <c r="E219" s="614">
        <v>5239</v>
      </c>
      <c r="F219" s="614">
        <v>2260</v>
      </c>
      <c r="G219" s="457">
        <f t="shared" si="11"/>
        <v>431.38003435770185</v>
      </c>
      <c r="H219" s="457"/>
      <c r="I219" s="457"/>
      <c r="J219" s="457"/>
      <c r="K219" s="352"/>
    </row>
    <row r="220" spans="1:11">
      <c r="A220" s="37" t="s">
        <v>26</v>
      </c>
      <c r="B220" s="1435">
        <v>83</v>
      </c>
      <c r="C220" s="614">
        <v>15866</v>
      </c>
      <c r="D220" s="457">
        <f t="shared" si="10"/>
        <v>191.15662650602408</v>
      </c>
      <c r="E220" s="614">
        <v>5277</v>
      </c>
      <c r="F220" s="614">
        <v>2358</v>
      </c>
      <c r="G220" s="457">
        <f t="shared" si="11"/>
        <v>446.84479818078455</v>
      </c>
      <c r="H220" s="457"/>
      <c r="I220" s="457"/>
      <c r="J220" s="457"/>
      <c r="K220" s="352"/>
    </row>
    <row r="221" spans="1:11">
      <c r="A221" s="37" t="s">
        <v>27</v>
      </c>
      <c r="B221" s="1435">
        <v>85</v>
      </c>
      <c r="C221" s="614">
        <v>17037</v>
      </c>
      <c r="D221" s="457">
        <f t="shared" si="10"/>
        <v>200.43529411764706</v>
      </c>
      <c r="E221" s="614">
        <v>5057</v>
      </c>
      <c r="F221" s="614">
        <v>2516</v>
      </c>
      <c r="G221" s="457">
        <f t="shared" si="11"/>
        <v>497.52817876211191</v>
      </c>
      <c r="H221" s="457">
        <v>4.3899999999999997</v>
      </c>
      <c r="I221" s="457">
        <v>13.6</v>
      </c>
      <c r="J221" s="457">
        <f t="shared" ref="J221:J249" si="12">I221/H221</f>
        <v>3.0979498861047836</v>
      </c>
      <c r="K221" s="352"/>
    </row>
    <row r="222" spans="1:11">
      <c r="A222" s="37" t="s">
        <v>28</v>
      </c>
      <c r="B222" s="1435">
        <v>80</v>
      </c>
      <c r="C222" s="614">
        <v>15154</v>
      </c>
      <c r="D222" s="457">
        <f t="shared" si="10"/>
        <v>189.42500000000001</v>
      </c>
      <c r="E222" s="614">
        <v>5244</v>
      </c>
      <c r="F222" s="614">
        <v>2411</v>
      </c>
      <c r="G222" s="457">
        <f t="shared" si="11"/>
        <v>459.76353928299005</v>
      </c>
      <c r="H222" s="457">
        <v>4.3319999999999999</v>
      </c>
      <c r="I222" s="457">
        <v>17</v>
      </c>
      <c r="J222" s="457">
        <f t="shared" si="12"/>
        <v>3.9242843951985229</v>
      </c>
      <c r="K222" s="352"/>
    </row>
    <row r="223" spans="1:11">
      <c r="A223" s="37" t="s">
        <v>29</v>
      </c>
      <c r="B223" s="1435">
        <v>120</v>
      </c>
      <c r="C223" s="614">
        <v>21835</v>
      </c>
      <c r="D223" s="457">
        <f t="shared" si="10"/>
        <v>181.95833333333334</v>
      </c>
      <c r="E223" s="614">
        <v>5946</v>
      </c>
      <c r="F223" s="614">
        <v>2891</v>
      </c>
      <c r="G223" s="457">
        <f t="shared" si="11"/>
        <v>486.209216279852</v>
      </c>
      <c r="H223" s="457">
        <v>4.8929999999999998</v>
      </c>
      <c r="I223" s="457">
        <v>17.3</v>
      </c>
      <c r="J223" s="457">
        <f t="shared" si="12"/>
        <v>3.5356631923155533</v>
      </c>
      <c r="K223" s="352"/>
    </row>
    <row r="224" spans="1:11">
      <c r="A224" s="1438">
        <v>2021</v>
      </c>
      <c r="B224" s="1437">
        <f>SUM(B225:B236)</f>
        <v>1113</v>
      </c>
      <c r="C224" s="1437">
        <f>SUM(C225:C236)</f>
        <v>183756</v>
      </c>
      <c r="D224" s="257">
        <f t="shared" si="10"/>
        <v>165.09973045822102</v>
      </c>
      <c r="E224" s="1437">
        <f>SUM(E225:E236)</f>
        <v>69639</v>
      </c>
      <c r="F224" s="1437">
        <f>SUM(F225:F236)</f>
        <v>33906</v>
      </c>
      <c r="G224" s="257">
        <f>F224*1000/E224</f>
        <v>486.88235040709947</v>
      </c>
      <c r="H224" s="257">
        <f>SUM(H225:H236)</f>
        <v>117</v>
      </c>
      <c r="I224" s="257">
        <f>SUM(I225:I236)</f>
        <v>280</v>
      </c>
      <c r="J224" s="456">
        <f t="shared" si="12"/>
        <v>2.3931623931623931</v>
      </c>
      <c r="K224" s="352"/>
    </row>
    <row r="225" spans="1:11">
      <c r="A225" s="37" t="s">
        <v>18</v>
      </c>
      <c r="B225" s="1435">
        <v>51</v>
      </c>
      <c r="C225" s="614">
        <v>13785</v>
      </c>
      <c r="D225" s="614">
        <f t="shared" si="10"/>
        <v>270.29411764705884</v>
      </c>
      <c r="E225" s="614">
        <v>5415</v>
      </c>
      <c r="F225" s="614">
        <v>2267</v>
      </c>
      <c r="G225" s="457">
        <f t="shared" ref="G225:G249" si="13">F225/E225*1000</f>
        <v>418.65189289012005</v>
      </c>
      <c r="H225" s="457">
        <v>5</v>
      </c>
      <c r="I225" s="457">
        <v>15</v>
      </c>
      <c r="J225" s="457">
        <f t="shared" si="12"/>
        <v>3</v>
      </c>
      <c r="K225" s="352"/>
    </row>
    <row r="226" spans="1:11">
      <c r="A226" s="37" t="s">
        <v>19</v>
      </c>
      <c r="B226" s="1435">
        <v>76</v>
      </c>
      <c r="C226" s="614">
        <v>12400</v>
      </c>
      <c r="D226" s="614">
        <f t="shared" si="10"/>
        <v>163.15789473684211</v>
      </c>
      <c r="E226" s="614">
        <v>5778</v>
      </c>
      <c r="F226" s="614">
        <v>2183</v>
      </c>
      <c r="G226" s="457">
        <f t="shared" si="13"/>
        <v>377.8123918310834</v>
      </c>
      <c r="H226" s="457">
        <v>5</v>
      </c>
      <c r="I226" s="457">
        <v>13</v>
      </c>
      <c r="J226" s="457">
        <f t="shared" si="12"/>
        <v>2.6</v>
      </c>
      <c r="K226" s="352"/>
    </row>
    <row r="227" spans="1:11">
      <c r="A227" s="37" t="s">
        <v>20</v>
      </c>
      <c r="B227" s="1435">
        <v>82</v>
      </c>
      <c r="C227" s="614">
        <v>14508</v>
      </c>
      <c r="D227" s="614">
        <f t="shared" si="10"/>
        <v>176.92682926829269</v>
      </c>
      <c r="E227" s="614">
        <v>6668</v>
      </c>
      <c r="F227" s="614">
        <v>2629</v>
      </c>
      <c r="G227" s="457">
        <f t="shared" si="13"/>
        <v>394.27114577084581</v>
      </c>
      <c r="H227" s="457">
        <v>6</v>
      </c>
      <c r="I227" s="457">
        <v>15</v>
      </c>
      <c r="J227" s="457">
        <f t="shared" si="12"/>
        <v>2.5</v>
      </c>
      <c r="K227" s="352"/>
    </row>
    <row r="228" spans="1:11">
      <c r="A228" s="37" t="s">
        <v>21</v>
      </c>
      <c r="B228" s="1435">
        <v>90</v>
      </c>
      <c r="C228" s="614">
        <v>14052</v>
      </c>
      <c r="D228" s="614">
        <f t="shared" si="10"/>
        <v>156.13333333333333</v>
      </c>
      <c r="E228" s="614">
        <v>6425</v>
      </c>
      <c r="F228" s="614">
        <v>2867</v>
      </c>
      <c r="G228" s="457">
        <f t="shared" si="13"/>
        <v>446.22568093385212</v>
      </c>
      <c r="H228" s="457">
        <v>7</v>
      </c>
      <c r="I228" s="457">
        <v>21</v>
      </c>
      <c r="J228" s="457">
        <f t="shared" si="12"/>
        <v>3</v>
      </c>
      <c r="K228" s="352"/>
    </row>
    <row r="229" spans="1:11">
      <c r="A229" s="37" t="s">
        <v>22</v>
      </c>
      <c r="B229" s="1435">
        <v>79</v>
      </c>
      <c r="C229" s="614">
        <v>12880</v>
      </c>
      <c r="D229" s="614">
        <f t="shared" si="10"/>
        <v>163.03797468354429</v>
      </c>
      <c r="E229" s="614">
        <v>5086</v>
      </c>
      <c r="F229" s="614">
        <v>2551</v>
      </c>
      <c r="G229" s="457">
        <f t="shared" si="13"/>
        <v>501.57294534014937</v>
      </c>
      <c r="H229" s="457">
        <v>7</v>
      </c>
      <c r="I229" s="457">
        <v>15</v>
      </c>
      <c r="J229" s="457">
        <f t="shared" si="12"/>
        <v>2.1428571428571428</v>
      </c>
      <c r="K229" s="352"/>
    </row>
    <row r="230" spans="1:11">
      <c r="A230" s="37" t="s">
        <v>23</v>
      </c>
      <c r="B230" s="1435">
        <v>93</v>
      </c>
      <c r="C230" s="614">
        <v>15547</v>
      </c>
      <c r="D230" s="614">
        <f t="shared" si="10"/>
        <v>167.1720430107527</v>
      </c>
      <c r="E230" s="614">
        <v>5688</v>
      </c>
      <c r="F230" s="614">
        <v>2822</v>
      </c>
      <c r="G230" s="457">
        <f t="shared" si="13"/>
        <v>496.13220815752464</v>
      </c>
      <c r="H230" s="457">
        <v>7</v>
      </c>
      <c r="I230" s="457">
        <v>18</v>
      </c>
      <c r="J230" s="457">
        <f t="shared" si="12"/>
        <v>2.5714285714285716</v>
      </c>
      <c r="K230" s="352"/>
    </row>
    <row r="231" spans="1:11">
      <c r="A231" s="37" t="s">
        <v>24</v>
      </c>
      <c r="B231" s="1435">
        <v>98</v>
      </c>
      <c r="C231" s="614">
        <v>14643</v>
      </c>
      <c r="D231" s="614">
        <f t="shared" si="10"/>
        <v>149.41836734693877</v>
      </c>
      <c r="E231" s="614">
        <v>4956</v>
      </c>
      <c r="F231" s="614">
        <v>2998</v>
      </c>
      <c r="G231" s="457">
        <f t="shared" si="13"/>
        <v>604.92332526230825</v>
      </c>
      <c r="H231" s="457">
        <v>8</v>
      </c>
      <c r="I231" s="457">
        <v>20</v>
      </c>
      <c r="J231" s="457">
        <f t="shared" si="12"/>
        <v>2.5</v>
      </c>
      <c r="K231" s="352"/>
    </row>
    <row r="232" spans="1:11">
      <c r="A232" s="37" t="s">
        <v>25</v>
      </c>
      <c r="B232" s="1435">
        <v>95</v>
      </c>
      <c r="C232" s="614">
        <v>13210</v>
      </c>
      <c r="D232" s="614">
        <f t="shared" si="10"/>
        <v>139.05263157894737</v>
      </c>
      <c r="E232" s="614">
        <v>5761</v>
      </c>
      <c r="F232" s="614">
        <v>2686</v>
      </c>
      <c r="G232" s="457">
        <f t="shared" si="13"/>
        <v>466.23850026037144</v>
      </c>
      <c r="H232" s="457">
        <v>11</v>
      </c>
      <c r="I232" s="457">
        <v>26</v>
      </c>
      <c r="J232" s="457">
        <f t="shared" si="12"/>
        <v>2.3636363636363638</v>
      </c>
      <c r="K232" s="352"/>
    </row>
    <row r="233" spans="1:11">
      <c r="A233" s="37" t="s">
        <v>26</v>
      </c>
      <c r="B233" s="1435">
        <v>99</v>
      </c>
      <c r="C233" s="614">
        <v>14417</v>
      </c>
      <c r="D233" s="614">
        <f t="shared" si="10"/>
        <v>145.62626262626262</v>
      </c>
      <c r="E233" s="614">
        <v>5510</v>
      </c>
      <c r="F233" s="614">
        <v>2848</v>
      </c>
      <c r="G233" s="457">
        <f t="shared" si="13"/>
        <v>516.87840290381121</v>
      </c>
      <c r="H233" s="457">
        <v>11</v>
      </c>
      <c r="I233" s="457">
        <v>26</v>
      </c>
      <c r="J233" s="457">
        <f t="shared" si="12"/>
        <v>2.3636363636363638</v>
      </c>
      <c r="K233" s="352"/>
    </row>
    <row r="234" spans="1:11">
      <c r="A234" s="37" t="s">
        <v>27</v>
      </c>
      <c r="B234" s="1435">
        <v>101</v>
      </c>
      <c r="C234" s="614">
        <v>16235</v>
      </c>
      <c r="D234" s="614">
        <f t="shared" si="10"/>
        <v>160.74257425742573</v>
      </c>
      <c r="E234" s="614">
        <v>5623</v>
      </c>
      <c r="F234" s="614">
        <v>3255</v>
      </c>
      <c r="G234" s="457">
        <f t="shared" si="13"/>
        <v>578.87248799573172</v>
      </c>
      <c r="H234" s="457">
        <v>13</v>
      </c>
      <c r="I234" s="457">
        <v>30</v>
      </c>
      <c r="J234" s="457">
        <f t="shared" si="12"/>
        <v>2.3076923076923075</v>
      </c>
      <c r="K234" s="352"/>
    </row>
    <row r="235" spans="1:11">
      <c r="A235" s="37" t="s">
        <v>28</v>
      </c>
      <c r="B235" s="1435">
        <v>107</v>
      </c>
      <c r="C235" s="614">
        <v>15818</v>
      </c>
      <c r="D235" s="614">
        <f t="shared" si="10"/>
        <v>147.83177570093457</v>
      </c>
      <c r="E235" s="614">
        <v>6119</v>
      </c>
      <c r="F235" s="614">
        <v>2762</v>
      </c>
      <c r="G235" s="457">
        <f t="shared" si="13"/>
        <v>451.38094459879062</v>
      </c>
      <c r="H235" s="457">
        <v>17</v>
      </c>
      <c r="I235" s="457">
        <v>29</v>
      </c>
      <c r="J235" s="457">
        <f t="shared" si="12"/>
        <v>1.7058823529411764</v>
      </c>
      <c r="K235" s="352"/>
    </row>
    <row r="236" spans="1:11">
      <c r="A236" s="37" t="s">
        <v>29</v>
      </c>
      <c r="B236" s="1435">
        <v>142</v>
      </c>
      <c r="C236" s="614">
        <v>26261</v>
      </c>
      <c r="D236" s="614">
        <f t="shared" ref="D236:D249" si="14">C236/B236</f>
        <v>184.93661971830986</v>
      </c>
      <c r="E236" s="614">
        <v>6610</v>
      </c>
      <c r="F236" s="614">
        <v>4038</v>
      </c>
      <c r="G236" s="457">
        <f t="shared" si="13"/>
        <v>610.89258698941001</v>
      </c>
      <c r="H236" s="457">
        <v>20</v>
      </c>
      <c r="I236" s="457">
        <v>52</v>
      </c>
      <c r="J236" s="457">
        <f t="shared" si="12"/>
        <v>2.6</v>
      </c>
      <c r="K236" s="352"/>
    </row>
    <row r="237" spans="1:11">
      <c r="A237" s="37" t="s">
        <v>2812</v>
      </c>
      <c r="B237" s="1436">
        <f>SUM(B238:B249)</f>
        <v>1358.6459999999997</v>
      </c>
      <c r="C237" s="1436">
        <f>SUM(C238:C249)</f>
        <v>300066.268713</v>
      </c>
      <c r="D237" s="456">
        <f t="shared" si="14"/>
        <v>220.85684476530315</v>
      </c>
      <c r="E237" s="1436">
        <f>SUM(E238:E249)</f>
        <v>95896.627999999997</v>
      </c>
      <c r="F237" s="1436">
        <f>SUM(F238:F249)</f>
        <v>41939.117450000005</v>
      </c>
      <c r="G237" s="456">
        <f t="shared" si="13"/>
        <v>437.33672731433279</v>
      </c>
      <c r="H237" s="1436">
        <f>SUM(H238:H249)</f>
        <v>337.32900000000006</v>
      </c>
      <c r="I237" s="1436">
        <f>SUM(I238:I249)</f>
        <v>549.63537599999995</v>
      </c>
      <c r="J237" s="456">
        <f t="shared" si="12"/>
        <v>1.6293748121270328</v>
      </c>
      <c r="K237" s="352"/>
    </row>
    <row r="238" spans="1:11">
      <c r="A238" s="37" t="s">
        <v>18</v>
      </c>
      <c r="B238" s="1435">
        <v>67</v>
      </c>
      <c r="C238" s="614">
        <v>17426</v>
      </c>
      <c r="D238" s="614">
        <f t="shared" si="14"/>
        <v>260.08955223880599</v>
      </c>
      <c r="E238" s="614">
        <v>6018</v>
      </c>
      <c r="F238" s="614">
        <v>2948</v>
      </c>
      <c r="G238" s="457">
        <f t="shared" si="13"/>
        <v>489.86374210701229</v>
      </c>
      <c r="H238" s="457">
        <v>16</v>
      </c>
      <c r="I238" s="457">
        <v>31</v>
      </c>
      <c r="J238" s="457">
        <f t="shared" si="12"/>
        <v>1.9375</v>
      </c>
      <c r="K238" s="352"/>
    </row>
    <row r="239" spans="1:11">
      <c r="A239" s="37" t="s">
        <v>19</v>
      </c>
      <c r="B239" s="1435">
        <v>95</v>
      </c>
      <c r="C239" s="614">
        <v>16543</v>
      </c>
      <c r="D239" s="614">
        <f t="shared" si="14"/>
        <v>174.13684210526316</v>
      </c>
      <c r="E239" s="614">
        <v>5920</v>
      </c>
      <c r="F239" s="614">
        <v>2665</v>
      </c>
      <c r="G239" s="457">
        <f t="shared" si="13"/>
        <v>450.16891891891891</v>
      </c>
      <c r="H239" s="457">
        <v>18</v>
      </c>
      <c r="I239" s="457">
        <v>31</v>
      </c>
      <c r="J239" s="457">
        <f t="shared" si="12"/>
        <v>1.7222222222222223</v>
      </c>
      <c r="K239" s="352"/>
    </row>
    <row r="240" spans="1:11">
      <c r="A240" s="37" t="s">
        <v>20</v>
      </c>
      <c r="B240" s="1435">
        <v>104</v>
      </c>
      <c r="C240" s="614">
        <v>23466</v>
      </c>
      <c r="D240" s="614">
        <f t="shared" si="14"/>
        <v>225.63461538461539</v>
      </c>
      <c r="E240" s="614">
        <v>6286</v>
      </c>
      <c r="F240" s="614">
        <v>3302</v>
      </c>
      <c r="G240" s="457">
        <f t="shared" si="13"/>
        <v>525.294304804327</v>
      </c>
      <c r="H240" s="457">
        <v>22</v>
      </c>
      <c r="I240" s="457">
        <v>35</v>
      </c>
      <c r="J240" s="457">
        <f t="shared" si="12"/>
        <v>1.5909090909090908</v>
      </c>
      <c r="K240" s="352"/>
    </row>
    <row r="241" spans="1:11">
      <c r="A241" s="37" t="s">
        <v>21</v>
      </c>
      <c r="B241" s="1435">
        <v>112.12</v>
      </c>
      <c r="C241" s="614">
        <v>20839.326282999999</v>
      </c>
      <c r="D241" s="614">
        <f t="shared" si="14"/>
        <v>185.86627080806278</v>
      </c>
      <c r="E241" s="614">
        <v>6480.875</v>
      </c>
      <c r="F241" s="614">
        <v>3425.6060149999998</v>
      </c>
      <c r="G241" s="457">
        <f t="shared" si="13"/>
        <v>528.57153007888587</v>
      </c>
      <c r="H241" s="457">
        <v>25.18</v>
      </c>
      <c r="I241" s="457">
        <v>42.958795000000002</v>
      </c>
      <c r="J241" s="457">
        <f t="shared" si="12"/>
        <v>1.7060681096108024</v>
      </c>
      <c r="K241" s="352"/>
    </row>
    <row r="242" spans="1:11">
      <c r="A242" s="37" t="s">
        <v>22</v>
      </c>
      <c r="B242" s="1435">
        <v>103.633</v>
      </c>
      <c r="C242" s="614">
        <v>16256.340834000001</v>
      </c>
      <c r="D242" s="614">
        <f t="shared" si="14"/>
        <v>156.86452031688748</v>
      </c>
      <c r="E242" s="614">
        <v>6720.6639999999998</v>
      </c>
      <c r="F242" s="614">
        <v>3242.397328</v>
      </c>
      <c r="G242" s="457">
        <f t="shared" si="13"/>
        <v>482.45193153533637</v>
      </c>
      <c r="H242" s="457">
        <v>24.11</v>
      </c>
      <c r="I242" s="457">
        <v>39.065193999999998</v>
      </c>
      <c r="J242" s="457">
        <f t="shared" si="12"/>
        <v>1.6202900871007879</v>
      </c>
      <c r="K242" s="352"/>
    </row>
    <row r="243" spans="1:11">
      <c r="A243" s="37" t="s">
        <v>23</v>
      </c>
      <c r="B243" s="1435">
        <v>116.78400000000001</v>
      </c>
      <c r="C243" s="614">
        <v>14850.078052999999</v>
      </c>
      <c r="D243" s="614">
        <f t="shared" si="14"/>
        <v>127.15849819324563</v>
      </c>
      <c r="E243" s="614">
        <v>6751.2380000000003</v>
      </c>
      <c r="F243" s="614">
        <v>3257.9124919999999</v>
      </c>
      <c r="G243" s="457">
        <f t="shared" si="13"/>
        <v>482.56519648692574</v>
      </c>
      <c r="H243" s="457">
        <v>27.385000000000002</v>
      </c>
      <c r="I243" s="457">
        <v>45.560265999999999</v>
      </c>
      <c r="J243" s="457">
        <f t="shared" si="12"/>
        <v>1.6636942121599414</v>
      </c>
      <c r="K243" s="352"/>
    </row>
    <row r="244" spans="1:11">
      <c r="A244" s="37" t="s">
        <v>24</v>
      </c>
      <c r="B244" s="1435">
        <v>110.021</v>
      </c>
      <c r="C244" s="614">
        <v>15694.884866</v>
      </c>
      <c r="D244" s="614">
        <f t="shared" si="14"/>
        <v>142.65353765190281</v>
      </c>
      <c r="E244" s="614">
        <v>6965.4570000000003</v>
      </c>
      <c r="F244" s="614">
        <v>3536.9061550000001</v>
      </c>
      <c r="G244" s="457">
        <f t="shared" si="13"/>
        <v>507.77804744182606</v>
      </c>
      <c r="H244" s="457">
        <v>30.625</v>
      </c>
      <c r="I244" s="457">
        <v>50.419567999999998</v>
      </c>
      <c r="J244" s="457">
        <f t="shared" si="12"/>
        <v>1.6463532408163264</v>
      </c>
      <c r="K244" s="352"/>
    </row>
    <row r="245" spans="1:11">
      <c r="A245" s="37" t="s">
        <v>25</v>
      </c>
      <c r="B245" s="1435">
        <v>121.154</v>
      </c>
      <c r="C245" s="614">
        <v>15361.737681000001</v>
      </c>
      <c r="D245" s="614">
        <f t="shared" si="14"/>
        <v>126.79513413506777</v>
      </c>
      <c r="E245" s="614">
        <v>9746.1890000000003</v>
      </c>
      <c r="F245" s="614">
        <v>3436.945381</v>
      </c>
      <c r="G245" s="457">
        <f t="shared" si="13"/>
        <v>352.64505757070793</v>
      </c>
      <c r="H245" s="457">
        <v>31.245999999999999</v>
      </c>
      <c r="I245" s="457">
        <v>50.178089999999997</v>
      </c>
      <c r="J245" s="457">
        <f t="shared" si="12"/>
        <v>1.6059044357677783</v>
      </c>
      <c r="K245" s="352"/>
    </row>
    <row r="246" spans="1:11">
      <c r="A246" s="37" t="s">
        <v>26</v>
      </c>
      <c r="B246" s="1435">
        <v>118.93899999999999</v>
      </c>
      <c r="C246" s="614">
        <v>33364.511722000003</v>
      </c>
      <c r="D246" s="614">
        <f t="shared" si="14"/>
        <v>280.51784294470281</v>
      </c>
      <c r="E246" s="614">
        <v>9486.7710000000006</v>
      </c>
      <c r="F246" s="614">
        <v>3224.0348319999998</v>
      </c>
      <c r="G246" s="457">
        <f t="shared" si="13"/>
        <v>339.84533114586611</v>
      </c>
      <c r="H246" s="457">
        <v>32.094999999999999</v>
      </c>
      <c r="I246" s="457">
        <v>47.609662</v>
      </c>
      <c r="J246" s="457">
        <f t="shared" si="12"/>
        <v>1.4833980993924287</v>
      </c>
      <c r="K246" s="352"/>
    </row>
    <row r="247" spans="1:11">
      <c r="A247" s="37" t="s">
        <v>27</v>
      </c>
      <c r="B247" s="1435">
        <v>119.46899999999999</v>
      </c>
      <c r="C247" s="614">
        <v>36943.431165000002</v>
      </c>
      <c r="D247" s="614">
        <f t="shared" si="14"/>
        <v>309.23027032117119</v>
      </c>
      <c r="E247" s="614">
        <v>11063.34</v>
      </c>
      <c r="F247" s="614">
        <v>3664.3454000000002</v>
      </c>
      <c r="G247" s="457">
        <f t="shared" si="13"/>
        <v>331.2151122536232</v>
      </c>
      <c r="H247" s="457">
        <v>30.832999999999998</v>
      </c>
      <c r="I247" s="457">
        <v>45.243550999999997</v>
      </c>
      <c r="J247" s="457">
        <f t="shared" si="12"/>
        <v>1.467374274316479</v>
      </c>
      <c r="K247" s="352"/>
    </row>
    <row r="248" spans="1:11">
      <c r="A248" s="37" t="s">
        <v>28</v>
      </c>
      <c r="B248" s="1435">
        <v>125.40600000000001</v>
      </c>
      <c r="C248" s="614">
        <v>39324.417258000001</v>
      </c>
      <c r="D248" s="614">
        <f t="shared" si="14"/>
        <v>313.57684048610116</v>
      </c>
      <c r="E248" s="614">
        <v>9989.2260000000006</v>
      </c>
      <c r="F248" s="614">
        <v>3814.8712759999999</v>
      </c>
      <c r="G248" s="457">
        <f t="shared" si="13"/>
        <v>381.89858513562507</v>
      </c>
      <c r="H248" s="457">
        <v>34.107999999999997</v>
      </c>
      <c r="I248" s="457">
        <v>49.752963000000001</v>
      </c>
      <c r="J248" s="457">
        <f t="shared" si="12"/>
        <v>1.4586889586020877</v>
      </c>
      <c r="K248" s="352"/>
    </row>
    <row r="249" spans="1:11">
      <c r="A249" s="37" t="s">
        <v>29</v>
      </c>
      <c r="B249" s="1435">
        <v>165.12</v>
      </c>
      <c r="C249" s="614">
        <v>49996.540850999998</v>
      </c>
      <c r="D249" s="614">
        <f t="shared" si="14"/>
        <v>302.78912821584299</v>
      </c>
      <c r="E249" s="614">
        <v>10468.868</v>
      </c>
      <c r="F249" s="614">
        <v>5421.0985710000004</v>
      </c>
      <c r="G249" s="457">
        <f t="shared" si="13"/>
        <v>517.83044460967506</v>
      </c>
      <c r="H249" s="457">
        <v>45.747</v>
      </c>
      <c r="I249" s="457">
        <v>81.847286999999994</v>
      </c>
      <c r="J249" s="457">
        <f t="shared" si="12"/>
        <v>1.789129057643124</v>
      </c>
      <c r="K249" s="352"/>
    </row>
    <row r="250" spans="1:11">
      <c r="A250" s="37" t="s">
        <v>3500</v>
      </c>
      <c r="B250" s="1436">
        <f>SUM(B251:B262)</f>
        <v>2119.4009999999998</v>
      </c>
      <c r="C250" s="456">
        <f>SUM(C251:C262)</f>
        <v>716310.87747800001</v>
      </c>
      <c r="D250" s="456">
        <f t="shared" ref="D250" si="15">C250/B250</f>
        <v>337.97798409928089</v>
      </c>
      <c r="E250" s="456">
        <f>SUM(E251:E262)</f>
        <v>145036.74300000002</v>
      </c>
      <c r="F250" s="456">
        <f>SUM(F251:F262)</f>
        <v>49011.95576099999</v>
      </c>
      <c r="G250" s="456">
        <f t="shared" ref="G250" si="16">F250/E250*1000</f>
        <v>337.92785708791035</v>
      </c>
      <c r="H250" s="456">
        <f>SUM(H251:H262)</f>
        <v>587.61799999999994</v>
      </c>
      <c r="I250" s="456">
        <f>SUM(I251:I262)</f>
        <v>1054.408682</v>
      </c>
      <c r="J250" s="456">
        <f t="shared" ref="J250" si="17">I250/H250</f>
        <v>1.7943777794417464</v>
      </c>
      <c r="K250" s="352"/>
    </row>
    <row r="251" spans="1:11">
      <c r="A251" s="37" t="s">
        <v>18</v>
      </c>
      <c r="B251" s="1435">
        <v>91.108000000000004</v>
      </c>
      <c r="C251" s="614">
        <v>36660.706982999996</v>
      </c>
      <c r="D251" s="614">
        <f t="shared" ref="D251:D263" si="18">C251/B251</f>
        <v>402.38735328401452</v>
      </c>
      <c r="E251" s="614">
        <v>10204.352999999999</v>
      </c>
      <c r="F251" s="614">
        <v>3647.5491040000002</v>
      </c>
      <c r="G251" s="457">
        <f t="shared" ref="G251:G263" si="19">F251/E251*1000</f>
        <v>357.45030615855808</v>
      </c>
      <c r="H251" s="457">
        <v>40.293999999999997</v>
      </c>
      <c r="I251" s="457">
        <v>53.433326999999998</v>
      </c>
      <c r="J251" s="457">
        <f t="shared" ref="J251:J263" si="20">I251/H251</f>
        <v>1.3260864396684371</v>
      </c>
      <c r="K251" s="352"/>
    </row>
    <row r="252" spans="1:11">
      <c r="A252" s="37" t="s">
        <v>19</v>
      </c>
      <c r="B252" s="1435">
        <v>160.44499999999999</v>
      </c>
      <c r="C252" s="614">
        <v>37145.696744000001</v>
      </c>
      <c r="D252" s="614">
        <f t="shared" si="18"/>
        <v>231.51669883137527</v>
      </c>
      <c r="E252" s="614">
        <v>10531.706</v>
      </c>
      <c r="F252" s="614">
        <v>3214.1088570000002</v>
      </c>
      <c r="G252" s="457">
        <f t="shared" si="19"/>
        <v>305.18406581042046</v>
      </c>
      <c r="H252" s="457">
        <v>45.042000000000002</v>
      </c>
      <c r="I252" s="457">
        <v>140.54292100000001</v>
      </c>
      <c r="J252" s="457">
        <f t="shared" si="20"/>
        <v>3.1202637760312597</v>
      </c>
      <c r="K252" s="352"/>
    </row>
    <row r="253" spans="1:11">
      <c r="A253" s="37" t="s">
        <v>20</v>
      </c>
      <c r="B253" s="1435">
        <v>178.48400000000001</v>
      </c>
      <c r="C253" s="614">
        <v>41829.277486999999</v>
      </c>
      <c r="D253" s="614">
        <f t="shared" si="18"/>
        <v>234.35869594473454</v>
      </c>
      <c r="E253" s="614">
        <v>11058.906999999999</v>
      </c>
      <c r="F253" s="614">
        <v>3814.5697449999998</v>
      </c>
      <c r="G253" s="457">
        <f t="shared" si="19"/>
        <v>344.93189471617762</v>
      </c>
      <c r="H253" s="457">
        <v>51.276000000000003</v>
      </c>
      <c r="I253" s="457">
        <v>195.251194</v>
      </c>
      <c r="J253" s="457">
        <f t="shared" si="20"/>
        <v>3.8078476090178639</v>
      </c>
      <c r="K253" s="352"/>
    </row>
    <row r="254" spans="1:11">
      <c r="A254" s="37" t="s">
        <v>21</v>
      </c>
      <c r="B254" s="1435">
        <v>162.11699999999999</v>
      </c>
      <c r="C254" s="614">
        <v>40483.132396000001</v>
      </c>
      <c r="D254" s="614">
        <f t="shared" si="18"/>
        <v>249.71552888346073</v>
      </c>
      <c r="E254" s="614">
        <v>10624.512000000001</v>
      </c>
      <c r="F254" s="614">
        <v>3984.703051</v>
      </c>
      <c r="G254" s="457">
        <f t="shared" si="19"/>
        <v>375.04810112690353</v>
      </c>
      <c r="H254" s="457">
        <v>46.591999999999999</v>
      </c>
      <c r="I254" s="457">
        <v>72.627515000000002</v>
      </c>
      <c r="J254" s="457">
        <f t="shared" si="20"/>
        <v>1.5587979696085166</v>
      </c>
      <c r="K254" s="352"/>
    </row>
    <row r="255" spans="1:11">
      <c r="A255" s="37" t="s">
        <v>22</v>
      </c>
      <c r="B255" s="1435">
        <v>181.45500000000001</v>
      </c>
      <c r="C255" s="614">
        <v>45947.633055999999</v>
      </c>
      <c r="D255" s="614">
        <f t="shared" si="18"/>
        <v>253.21778433220356</v>
      </c>
      <c r="E255" s="614">
        <v>12614.641</v>
      </c>
      <c r="F255" s="614">
        <v>3770.7526939999998</v>
      </c>
      <c r="G255" s="457">
        <f t="shared" si="19"/>
        <v>298.91874798498031</v>
      </c>
      <c r="H255" s="457">
        <v>51.448999999999998</v>
      </c>
      <c r="I255" s="457">
        <v>76.014280999999997</v>
      </c>
      <c r="J255" s="457">
        <f t="shared" si="20"/>
        <v>1.4774685805360648</v>
      </c>
      <c r="K255" s="352"/>
    </row>
    <row r="256" spans="1:11">
      <c r="A256" s="37" t="s">
        <v>23</v>
      </c>
      <c r="B256" s="1435">
        <v>178.196</v>
      </c>
      <c r="C256" s="614">
        <v>38896.040908000003</v>
      </c>
      <c r="D256" s="614">
        <f t="shared" si="18"/>
        <v>218.276734090552</v>
      </c>
      <c r="E256" s="614">
        <v>12206.165999999999</v>
      </c>
      <c r="F256" s="614">
        <v>3669.9096650000001</v>
      </c>
      <c r="G256" s="457">
        <f t="shared" si="19"/>
        <v>300.66031094448499</v>
      </c>
      <c r="H256" s="457">
        <v>48.164999999999999</v>
      </c>
      <c r="I256" s="457">
        <v>75.469903000000002</v>
      </c>
      <c r="J256" s="457">
        <f t="shared" si="20"/>
        <v>1.5669034153430916</v>
      </c>
      <c r="K256" s="352"/>
    </row>
    <row r="257" spans="1:11">
      <c r="A257" s="37" t="s">
        <v>24</v>
      </c>
      <c r="B257" s="1435">
        <v>178.06700000000001</v>
      </c>
      <c r="C257" s="614">
        <v>48385.682926000001</v>
      </c>
      <c r="D257" s="614">
        <f t="shared" si="18"/>
        <v>271.72739994496453</v>
      </c>
      <c r="E257" s="614">
        <v>15076.252</v>
      </c>
      <c r="F257" s="614">
        <v>4537.6238460000004</v>
      </c>
      <c r="G257" s="457">
        <f t="shared" si="19"/>
        <v>300.97824353161519</v>
      </c>
      <c r="H257" s="457">
        <v>48.701999999999998</v>
      </c>
      <c r="I257" s="457">
        <v>76.798392000000007</v>
      </c>
      <c r="J257" s="457">
        <f t="shared" si="20"/>
        <v>1.5769042749784405</v>
      </c>
      <c r="K257" s="352"/>
    </row>
    <row r="258" spans="1:11">
      <c r="A258" s="37" t="s">
        <v>25</v>
      </c>
      <c r="B258" s="1435">
        <v>181.15700000000001</v>
      </c>
      <c r="C258" s="614">
        <v>59812.890206999997</v>
      </c>
      <c r="D258" s="614">
        <f t="shared" si="18"/>
        <v>330.17156503474882</v>
      </c>
      <c r="E258" s="614">
        <v>12575.754999999999</v>
      </c>
      <c r="F258" s="614">
        <v>4482.0786699999999</v>
      </c>
      <c r="G258" s="457">
        <f t="shared" si="19"/>
        <v>356.40632868563358</v>
      </c>
      <c r="H258" s="457">
        <v>49.209000000000003</v>
      </c>
      <c r="I258" s="457">
        <v>74.161629000000005</v>
      </c>
      <c r="J258" s="457">
        <f t="shared" si="20"/>
        <v>1.5070744985673352</v>
      </c>
      <c r="K258" s="352"/>
    </row>
    <row r="259" spans="1:11">
      <c r="A259" s="37" t="s">
        <v>26</v>
      </c>
      <c r="B259" s="1435">
        <v>172.11600000000001</v>
      </c>
      <c r="C259" s="614">
        <v>73784.507656999995</v>
      </c>
      <c r="D259" s="614">
        <f t="shared" si="18"/>
        <v>428.69057877826577</v>
      </c>
      <c r="E259" s="614">
        <v>11811.055</v>
      </c>
      <c r="F259" s="614">
        <v>4120.426931</v>
      </c>
      <c r="G259" s="457">
        <f t="shared" si="19"/>
        <v>348.86188668158769</v>
      </c>
      <c r="H259" s="457">
        <v>47.106999999999999</v>
      </c>
      <c r="I259" s="457">
        <v>68.687235999999999</v>
      </c>
      <c r="J259" s="457">
        <f t="shared" si="20"/>
        <v>1.4581110238393444</v>
      </c>
      <c r="K259" s="352"/>
    </row>
    <row r="260" spans="1:11">
      <c r="A260" s="37" t="s">
        <v>27</v>
      </c>
      <c r="B260" s="1435">
        <v>186.50399999999999</v>
      </c>
      <c r="C260" s="614">
        <v>81116.384445999996</v>
      </c>
      <c r="D260" s="614">
        <f t="shared" si="18"/>
        <v>434.93107089392186</v>
      </c>
      <c r="E260" s="614">
        <v>13151.196</v>
      </c>
      <c r="F260" s="614">
        <v>4445.8855469999999</v>
      </c>
      <c r="G260" s="457">
        <f t="shared" si="19"/>
        <v>338.05940896934396</v>
      </c>
      <c r="H260" s="457">
        <v>51.402000000000001</v>
      </c>
      <c r="I260" s="457">
        <v>67.922317000000007</v>
      </c>
      <c r="J260" s="457">
        <f t="shared" si="20"/>
        <v>1.3213944399050621</v>
      </c>
      <c r="K260" s="352"/>
    </row>
    <row r="261" spans="1:11">
      <c r="A261" s="37" t="s">
        <v>28</v>
      </c>
      <c r="B261" s="1435">
        <v>184.05699999999999</v>
      </c>
      <c r="C261" s="614">
        <v>98807.544632999998</v>
      </c>
      <c r="D261" s="614">
        <f t="shared" si="18"/>
        <v>536.83122420228517</v>
      </c>
      <c r="E261" s="614">
        <v>12260.946</v>
      </c>
      <c r="F261" s="614">
        <v>4066.1211969999999</v>
      </c>
      <c r="G261" s="457">
        <f t="shared" si="19"/>
        <v>331.63193092931004</v>
      </c>
      <c r="H261" s="457">
        <v>49.743000000000002</v>
      </c>
      <c r="I261" s="457">
        <v>71.27946</v>
      </c>
      <c r="J261" s="457">
        <f t="shared" si="20"/>
        <v>1.4329545865749955</v>
      </c>
      <c r="K261" s="352"/>
    </row>
    <row r="262" spans="1:11">
      <c r="A262" s="37" t="s">
        <v>29</v>
      </c>
      <c r="B262" s="1435">
        <v>265.69499999999999</v>
      </c>
      <c r="C262" s="614">
        <v>113441.38003499999</v>
      </c>
      <c r="D262" s="614">
        <f t="shared" si="18"/>
        <v>426.96091396149717</v>
      </c>
      <c r="E262" s="614">
        <v>12921.254000000001</v>
      </c>
      <c r="F262" s="614">
        <v>5258.2264539999996</v>
      </c>
      <c r="G262" s="457">
        <f t="shared" si="19"/>
        <v>406.9439741684514</v>
      </c>
      <c r="H262" s="457">
        <v>58.637</v>
      </c>
      <c r="I262" s="457">
        <v>82.220506999999998</v>
      </c>
      <c r="J262" s="457">
        <f t="shared" si="20"/>
        <v>1.4021949792792945</v>
      </c>
      <c r="K262" s="352"/>
    </row>
    <row r="263" spans="1:11">
      <c r="A263" s="37" t="s">
        <v>3971</v>
      </c>
      <c r="B263" s="1436">
        <f>SUM(B264:B275)</f>
        <v>2226.7510000000002</v>
      </c>
      <c r="C263" s="456">
        <f>SUM(C264:C275)</f>
        <v>705835.56848799996</v>
      </c>
      <c r="D263" s="456">
        <f t="shared" si="18"/>
        <v>316.98001639518736</v>
      </c>
      <c r="E263" s="456">
        <f>SUM(E264:E275)</f>
        <v>165537.51300000001</v>
      </c>
      <c r="F263" s="456">
        <f>SUM(F264:F275)</f>
        <v>52952.124958999993</v>
      </c>
      <c r="G263" s="456">
        <f t="shared" si="19"/>
        <v>319.87991120175877</v>
      </c>
      <c r="H263" s="456">
        <f>SUM(H264:H275)</f>
        <v>800.71399999999994</v>
      </c>
      <c r="I263" s="456">
        <f>SUM(I264:I275)</f>
        <v>1372.5862050000001</v>
      </c>
      <c r="J263" s="456">
        <f t="shared" si="20"/>
        <v>1.7142028302240253</v>
      </c>
      <c r="K263" s="352"/>
    </row>
    <row r="264" spans="1:11">
      <c r="A264" s="37" t="s">
        <v>18</v>
      </c>
      <c r="B264" s="1435">
        <v>111.621</v>
      </c>
      <c r="C264" s="614">
        <v>63231.802595000001</v>
      </c>
      <c r="D264" s="614">
        <f t="shared" ref="D264:D291" si="21">C264/B264</f>
        <v>566.48661627292358</v>
      </c>
      <c r="E264" s="614">
        <v>12173.221</v>
      </c>
      <c r="F264" s="614">
        <v>3804.0335439999999</v>
      </c>
      <c r="G264" s="457">
        <f t="shared" ref="G264:G291" si="22">F264/E264*1000</f>
        <v>312.49194802263099</v>
      </c>
      <c r="H264" s="457">
        <v>51.305</v>
      </c>
      <c r="I264" s="457">
        <v>67.108132999999995</v>
      </c>
      <c r="J264" s="457">
        <f t="shared" ref="J264:J291" si="23">I264/H264</f>
        <v>1.3080232530942402</v>
      </c>
      <c r="K264" s="352"/>
    </row>
    <row r="265" spans="1:11">
      <c r="A265" s="37" t="s">
        <v>19</v>
      </c>
      <c r="B265" s="1435">
        <v>176.43299999999999</v>
      </c>
      <c r="C265" s="614">
        <v>72933.747545000006</v>
      </c>
      <c r="D265" s="614">
        <f t="shared" si="21"/>
        <v>413.37928587622503</v>
      </c>
      <c r="E265" s="614">
        <v>12465.625</v>
      </c>
      <c r="F265" s="614">
        <v>3802.1383340000002</v>
      </c>
      <c r="G265" s="457">
        <f t="shared" si="22"/>
        <v>305.0098437904237</v>
      </c>
      <c r="H265" s="457">
        <v>55.773000000000003</v>
      </c>
      <c r="I265" s="457">
        <v>72.082678999999999</v>
      </c>
      <c r="J265" s="457">
        <f t="shared" si="23"/>
        <v>1.2924296523407381</v>
      </c>
      <c r="K265" s="352"/>
    </row>
    <row r="266" spans="1:11">
      <c r="A266" s="37" t="s">
        <v>20</v>
      </c>
      <c r="B266" s="1435">
        <v>167.42500000000001</v>
      </c>
      <c r="C266" s="614">
        <v>58852.146033999998</v>
      </c>
      <c r="D266" s="614">
        <f t="shared" si="21"/>
        <v>351.51348982529487</v>
      </c>
      <c r="E266" s="614">
        <v>12973.259</v>
      </c>
      <c r="F266" s="614">
        <v>4083.212755</v>
      </c>
      <c r="G266" s="457">
        <f t="shared" si="22"/>
        <v>314.74071048762693</v>
      </c>
      <c r="H266" s="457">
        <v>60.451000000000001</v>
      </c>
      <c r="I266" s="457">
        <v>85.879328999999998</v>
      </c>
      <c r="J266" s="457">
        <f t="shared" si="23"/>
        <v>1.4206436452664142</v>
      </c>
      <c r="K266" s="352"/>
    </row>
    <row r="267" spans="1:11">
      <c r="A267" s="37" t="s">
        <v>21</v>
      </c>
      <c r="B267" s="1435">
        <v>179</v>
      </c>
      <c r="C267" s="614">
        <v>48123.378424000002</v>
      </c>
      <c r="D267" s="614">
        <f t="shared" si="21"/>
        <v>268.8456895195531</v>
      </c>
      <c r="E267" s="614">
        <v>14054.401</v>
      </c>
      <c r="F267" s="614">
        <v>4763.3389669999997</v>
      </c>
      <c r="G267" s="457">
        <f t="shared" si="22"/>
        <v>338.92152123736895</v>
      </c>
      <c r="H267" s="457">
        <v>67.671000000000006</v>
      </c>
      <c r="I267" s="457">
        <v>86.477007999999998</v>
      </c>
      <c r="J267" s="457">
        <f t="shared" si="23"/>
        <v>1.2779035037165105</v>
      </c>
      <c r="K267" s="352"/>
    </row>
    <row r="268" spans="1:11">
      <c r="A268" s="37" t="s">
        <v>22</v>
      </c>
      <c r="B268" s="1435">
        <v>194.55</v>
      </c>
      <c r="C268" s="614">
        <v>46584.659470999999</v>
      </c>
      <c r="D268" s="614">
        <f t="shared" si="21"/>
        <v>239.4482625083526</v>
      </c>
      <c r="E268" s="614">
        <v>14006.873</v>
      </c>
      <c r="F268" s="614">
        <v>4032.7997300000002</v>
      </c>
      <c r="G268" s="457">
        <f t="shared" si="22"/>
        <v>287.9157774900936</v>
      </c>
      <c r="H268" s="457">
        <v>64.111999999999995</v>
      </c>
      <c r="I268" s="457">
        <v>86.483063999999999</v>
      </c>
      <c r="J268" s="457">
        <f t="shared" si="23"/>
        <v>1.3489372348390318</v>
      </c>
      <c r="K268" s="352"/>
    </row>
    <row r="269" spans="1:11">
      <c r="A269" s="37" t="s">
        <v>23</v>
      </c>
      <c r="B269" s="1435">
        <v>165.25399999999999</v>
      </c>
      <c r="C269" s="614">
        <v>52842.938095999998</v>
      </c>
      <c r="D269" s="614">
        <f t="shared" si="21"/>
        <v>319.76798199135874</v>
      </c>
      <c r="E269" s="614">
        <v>12766.877</v>
      </c>
      <c r="F269" s="614">
        <v>3930.7540669999998</v>
      </c>
      <c r="G269" s="457">
        <f t="shared" si="22"/>
        <v>307.8868909757648</v>
      </c>
      <c r="H269" s="457">
        <v>59.311999999999998</v>
      </c>
      <c r="I269" s="457">
        <v>78.355957000000004</v>
      </c>
      <c r="J269" s="457">
        <f t="shared" si="23"/>
        <v>1.3210810122740761</v>
      </c>
      <c r="K269" s="352"/>
    </row>
    <row r="270" spans="1:11">
      <c r="A270" s="37" t="s">
        <v>24</v>
      </c>
      <c r="B270" s="1435">
        <v>214.07499999999999</v>
      </c>
      <c r="C270" s="614">
        <v>54122.680694000002</v>
      </c>
      <c r="D270" s="614">
        <f t="shared" si="21"/>
        <v>252.82111733738179</v>
      </c>
      <c r="E270" s="614">
        <v>13623.405000000001</v>
      </c>
      <c r="F270" s="614">
        <v>4909.1215419999999</v>
      </c>
      <c r="G270" s="457">
        <f t="shared" si="22"/>
        <v>360.34468196460426</v>
      </c>
      <c r="H270" s="457">
        <v>65.051000000000002</v>
      </c>
      <c r="I270" s="457">
        <v>98.053759999999997</v>
      </c>
      <c r="J270" s="457">
        <f t="shared" si="23"/>
        <v>1.5073367050468094</v>
      </c>
      <c r="K270" s="352"/>
    </row>
    <row r="271" spans="1:11">
      <c r="A271" s="37" t="s">
        <v>25</v>
      </c>
      <c r="B271" s="1435">
        <v>187.852</v>
      </c>
      <c r="C271" s="614">
        <v>54365.744533999998</v>
      </c>
      <c r="D271" s="614">
        <f t="shared" si="21"/>
        <v>289.40732349935053</v>
      </c>
      <c r="E271" s="614">
        <v>14166.255999999999</v>
      </c>
      <c r="F271" s="614">
        <v>4493.2275980000004</v>
      </c>
      <c r="G271" s="457">
        <f t="shared" si="22"/>
        <v>317.17820135397812</v>
      </c>
      <c r="H271" s="457">
        <v>63.904000000000003</v>
      </c>
      <c r="I271" s="457">
        <v>95.307574000000002</v>
      </c>
      <c r="J271" s="457">
        <f t="shared" si="23"/>
        <v>1.4914179707060591</v>
      </c>
      <c r="K271" s="352"/>
    </row>
    <row r="272" spans="1:11">
      <c r="A272" s="37" t="s">
        <v>26</v>
      </c>
      <c r="B272" s="1435">
        <v>185.47</v>
      </c>
      <c r="C272" s="614">
        <v>49394.279131000003</v>
      </c>
      <c r="D272" s="614">
        <f t="shared" si="21"/>
        <v>266.31950790424327</v>
      </c>
      <c r="E272" s="614">
        <v>14982.645</v>
      </c>
      <c r="F272" s="614">
        <v>4213.7734309999996</v>
      </c>
      <c r="G272" s="457">
        <f t="shared" si="22"/>
        <v>281.2436276104786</v>
      </c>
      <c r="H272" s="457">
        <v>65.370999999999995</v>
      </c>
      <c r="I272" s="457">
        <v>94.116104000000007</v>
      </c>
      <c r="J272" s="457">
        <f t="shared" si="23"/>
        <v>1.4397225681112422</v>
      </c>
      <c r="K272" s="352"/>
    </row>
    <row r="273" spans="1:11">
      <c r="A273" s="37" t="s">
        <v>27</v>
      </c>
      <c r="B273" s="1435">
        <v>208.68299999999999</v>
      </c>
      <c r="C273" s="614">
        <v>61862.597988000001</v>
      </c>
      <c r="D273" s="614">
        <f t="shared" si="21"/>
        <v>296.44292054455804</v>
      </c>
      <c r="E273" s="614">
        <v>15468.522000000001</v>
      </c>
      <c r="F273" s="614">
        <v>4851.2026219999998</v>
      </c>
      <c r="G273" s="457">
        <f t="shared" si="22"/>
        <v>313.61772133110065</v>
      </c>
      <c r="H273" s="457">
        <v>76.762</v>
      </c>
      <c r="I273" s="457">
        <v>414.00317799999999</v>
      </c>
      <c r="J273" s="457">
        <f t="shared" si="23"/>
        <v>5.3933349574007972</v>
      </c>
      <c r="K273" s="352"/>
    </row>
    <row r="274" spans="1:11">
      <c r="A274" s="37" t="s">
        <v>28</v>
      </c>
      <c r="B274" s="1435">
        <v>180.74600000000001</v>
      </c>
      <c r="C274" s="614">
        <v>64108.821402000001</v>
      </c>
      <c r="D274" s="614">
        <f t="shared" si="21"/>
        <v>354.69012538036804</v>
      </c>
      <c r="E274" s="614">
        <v>13963.672</v>
      </c>
      <c r="F274" s="614">
        <v>4028.8756899999998</v>
      </c>
      <c r="G274" s="457">
        <f t="shared" si="22"/>
        <v>288.52551749998133</v>
      </c>
      <c r="H274" s="457">
        <v>71.989999999999995</v>
      </c>
      <c r="I274" s="457">
        <v>84.856795000000005</v>
      </c>
      <c r="J274" s="457">
        <f t="shared" si="23"/>
        <v>1.1787303097652453</v>
      </c>
      <c r="K274" s="352"/>
    </row>
    <row r="275" spans="1:11">
      <c r="A275" s="37" t="s">
        <v>29</v>
      </c>
      <c r="B275" s="1435">
        <v>255.642</v>
      </c>
      <c r="C275" s="614">
        <v>79412.772574000002</v>
      </c>
      <c r="D275" s="614">
        <f t="shared" si="21"/>
        <v>310.64055426729567</v>
      </c>
      <c r="E275" s="614">
        <v>14892.757</v>
      </c>
      <c r="F275" s="614">
        <v>6039.6466790000004</v>
      </c>
      <c r="G275" s="457">
        <f t="shared" si="22"/>
        <v>405.54255192641637</v>
      </c>
      <c r="H275" s="457">
        <v>99.012</v>
      </c>
      <c r="I275" s="457">
        <v>109.862624</v>
      </c>
      <c r="J275" s="457">
        <f t="shared" si="23"/>
        <v>1.1095889791136428</v>
      </c>
      <c r="K275" s="352"/>
    </row>
    <row r="276" spans="1:11">
      <c r="A276" s="37" t="s">
        <v>4202</v>
      </c>
      <c r="B276" s="1436">
        <f>SUM(B277:B288)</f>
        <v>2377.9789999999998</v>
      </c>
      <c r="C276" s="456">
        <f>SUM(C277:C288)</f>
        <v>783978.25678900001</v>
      </c>
      <c r="D276" s="456">
        <f t="shared" si="21"/>
        <v>329.68258205350008</v>
      </c>
      <c r="E276" s="456">
        <f>SUM(E277:E288)</f>
        <v>132821.84</v>
      </c>
      <c r="F276" s="456">
        <f>SUM(F277:F288)</f>
        <v>54276.773393999989</v>
      </c>
      <c r="G276" s="456">
        <f t="shared" si="22"/>
        <v>408.64343841344157</v>
      </c>
      <c r="H276" s="456">
        <f>SUM(H277:H288)</f>
        <v>9992.4459999999999</v>
      </c>
      <c r="I276" s="456">
        <f>SUM(I277:I288)</f>
        <v>2608.885037</v>
      </c>
      <c r="J276" s="456">
        <f>I276/H276</f>
        <v>0.26108572785882456</v>
      </c>
      <c r="K276" s="352"/>
    </row>
    <row r="277" spans="1:11">
      <c r="A277" s="37" t="s">
        <v>18</v>
      </c>
      <c r="B277" s="1896">
        <v>116.986</v>
      </c>
      <c r="C277" s="457">
        <v>66798.366133999996</v>
      </c>
      <c r="D277" s="614">
        <f t="shared" si="21"/>
        <v>570.99453040534763</v>
      </c>
      <c r="E277" s="457">
        <v>14148.753000000001</v>
      </c>
      <c r="F277" s="457">
        <v>4058.9534149999999</v>
      </c>
      <c r="G277" s="457">
        <f t="shared" si="22"/>
        <v>286.87711312792015</v>
      </c>
      <c r="H277" s="457">
        <v>72.164000000000001</v>
      </c>
      <c r="I277" s="457">
        <v>87.914000000000001</v>
      </c>
      <c r="J277" s="457">
        <f t="shared" si="23"/>
        <v>1.2182528684662712</v>
      </c>
      <c r="K277" s="352"/>
    </row>
    <row r="278" spans="1:11">
      <c r="A278" s="37" t="s">
        <v>19</v>
      </c>
      <c r="B278" s="1896">
        <v>169.04900000000001</v>
      </c>
      <c r="C278" s="457">
        <v>42069.517595999998</v>
      </c>
      <c r="D278" s="614">
        <f t="shared" si="21"/>
        <v>248.85990213488395</v>
      </c>
      <c r="E278" s="457">
        <v>13408.712</v>
      </c>
      <c r="F278" s="457">
        <v>3614.2437810000001</v>
      </c>
      <c r="G278" s="457">
        <f t="shared" si="22"/>
        <v>269.5444410320693</v>
      </c>
      <c r="H278" s="457">
        <v>72.382999999999996</v>
      </c>
      <c r="I278" s="457">
        <v>96.041235</v>
      </c>
      <c r="J278" s="457">
        <f t="shared" si="23"/>
        <v>1.3268479477225317</v>
      </c>
      <c r="K278" s="352"/>
    </row>
    <row r="279" spans="1:11">
      <c r="A279" s="37" t="s">
        <v>20</v>
      </c>
      <c r="B279" s="1896">
        <v>160.893</v>
      </c>
      <c r="C279" s="457">
        <v>41999.902264999997</v>
      </c>
      <c r="D279" s="614">
        <f t="shared" si="21"/>
        <v>261.04244600448743</v>
      </c>
      <c r="E279" s="457">
        <v>14940.553</v>
      </c>
      <c r="F279" s="457">
        <v>4456.8135990000001</v>
      </c>
      <c r="G279" s="457">
        <f t="shared" si="22"/>
        <v>298.30312164482802</v>
      </c>
      <c r="H279" s="457">
        <v>74.016999999999996</v>
      </c>
      <c r="I279" s="457">
        <v>93.848224999999999</v>
      </c>
      <c r="J279" s="457">
        <f t="shared" si="23"/>
        <v>1.2679279760055122</v>
      </c>
      <c r="K279" s="352"/>
    </row>
    <row r="280" spans="1:11">
      <c r="A280" s="37" t="s">
        <v>21</v>
      </c>
      <c r="B280" s="1896">
        <v>193.393</v>
      </c>
      <c r="C280" s="457">
        <v>70969.915682999999</v>
      </c>
      <c r="D280" s="614">
        <f t="shared" si="21"/>
        <v>366.97251546333115</v>
      </c>
      <c r="E280" s="457">
        <v>15069.36</v>
      </c>
      <c r="F280" s="457">
        <v>6257.5174610000004</v>
      </c>
      <c r="G280" s="457">
        <f t="shared" si="22"/>
        <v>415.24772525176917</v>
      </c>
      <c r="H280" s="457">
        <v>114.06699999999999</v>
      </c>
      <c r="I280" s="457">
        <v>136.49768599999999</v>
      </c>
      <c r="J280" s="457">
        <f t="shared" si="23"/>
        <v>1.1966448315463718</v>
      </c>
      <c r="K280" s="352"/>
    </row>
    <row r="281" spans="1:11">
      <c r="A281" s="37" t="s">
        <v>22</v>
      </c>
      <c r="B281" s="1896">
        <v>222.107</v>
      </c>
      <c r="C281" s="457">
        <v>55390.565256000002</v>
      </c>
      <c r="D281" s="614">
        <f t="shared" si="21"/>
        <v>249.38685073410565</v>
      </c>
      <c r="E281" s="457">
        <v>9667.607</v>
      </c>
      <c r="F281" s="457">
        <v>3900.1404379999999</v>
      </c>
      <c r="G281" s="457">
        <f t="shared" si="22"/>
        <v>403.42356055640244</v>
      </c>
      <c r="H281" s="457">
        <v>244.99100000000001</v>
      </c>
      <c r="I281" s="457">
        <v>162.99889099999999</v>
      </c>
      <c r="J281" s="457">
        <f t="shared" si="23"/>
        <v>0.66532603646664557</v>
      </c>
      <c r="K281" s="352"/>
    </row>
    <row r="282" spans="1:11">
      <c r="A282" s="37" t="s">
        <v>23</v>
      </c>
      <c r="B282" s="1896">
        <v>186.80199999999999</v>
      </c>
      <c r="C282" s="457">
        <v>57929.657887000001</v>
      </c>
      <c r="D282" s="614">
        <f t="shared" si="21"/>
        <v>310.11262131561762</v>
      </c>
      <c r="E282" s="457">
        <v>9911.6740000000009</v>
      </c>
      <c r="F282" s="457">
        <v>3659.7558009999998</v>
      </c>
      <c r="G282" s="457">
        <f t="shared" si="22"/>
        <v>369.2369019602541</v>
      </c>
      <c r="H282" s="457">
        <v>393.54</v>
      </c>
      <c r="I282" s="457">
        <v>180.54601199999999</v>
      </c>
      <c r="J282" s="457">
        <f t="shared" si="23"/>
        <v>0.45877423387711536</v>
      </c>
      <c r="K282" s="352"/>
    </row>
    <row r="283" spans="1:11">
      <c r="A283" s="37" t="s">
        <v>24</v>
      </c>
      <c r="B283" s="1896">
        <v>218.465</v>
      </c>
      <c r="C283" s="457">
        <v>76407.084398999999</v>
      </c>
      <c r="D283" s="614">
        <f t="shared" si="21"/>
        <v>349.74519670885496</v>
      </c>
      <c r="E283" s="457">
        <v>10390.945</v>
      </c>
      <c r="F283" s="457">
        <v>4668.3774569999996</v>
      </c>
      <c r="G283" s="457">
        <f t="shared" si="22"/>
        <v>449.27361823202796</v>
      </c>
      <c r="H283" s="457">
        <v>766.51599999999996</v>
      </c>
      <c r="I283" s="457">
        <v>243.360522</v>
      </c>
      <c r="J283" s="457">
        <f t="shared" si="23"/>
        <v>0.31748916134823019</v>
      </c>
      <c r="K283" s="352"/>
    </row>
    <row r="284" spans="1:11">
      <c r="A284" s="37" t="s">
        <v>25</v>
      </c>
      <c r="B284" s="1896">
        <v>189.21899999999999</v>
      </c>
      <c r="C284" s="457">
        <v>68290.105106000003</v>
      </c>
      <c r="D284" s="614">
        <f t="shared" si="21"/>
        <v>360.90511579703946</v>
      </c>
      <c r="E284" s="457">
        <v>9395.8179999999993</v>
      </c>
      <c r="F284" s="457">
        <v>3970.6232799999998</v>
      </c>
      <c r="G284" s="457">
        <f t="shared" si="22"/>
        <v>422.59474161802626</v>
      </c>
      <c r="H284" s="457">
        <v>899.93799999999999</v>
      </c>
      <c r="I284" s="457">
        <v>242.16626099999999</v>
      </c>
      <c r="J284" s="457">
        <f t="shared" si="23"/>
        <v>0.26909216079329906</v>
      </c>
      <c r="K284" s="352"/>
    </row>
    <row r="285" spans="1:11">
      <c r="A285" s="37" t="s">
        <v>26</v>
      </c>
      <c r="B285" s="1896">
        <v>203.18199999999999</v>
      </c>
      <c r="C285" s="457">
        <v>69921.167839999995</v>
      </c>
      <c r="D285" s="614">
        <f t="shared" si="21"/>
        <v>344.13071945349486</v>
      </c>
      <c r="E285" s="457">
        <v>9128.7540000000008</v>
      </c>
      <c r="F285" s="457">
        <v>4217.0944740000004</v>
      </c>
      <c r="G285" s="457">
        <f t="shared" si="22"/>
        <v>461.95729165228903</v>
      </c>
      <c r="H285" s="457">
        <v>1424.7170000000001</v>
      </c>
      <c r="I285" s="457">
        <v>296.48957999999999</v>
      </c>
      <c r="J285" s="457">
        <f t="shared" si="23"/>
        <v>0.20810419192021992</v>
      </c>
      <c r="K285" s="352"/>
    </row>
    <row r="286" spans="1:11">
      <c r="A286" s="37" t="s">
        <v>27</v>
      </c>
      <c r="B286" s="1896">
        <v>220.79300000000001</v>
      </c>
      <c r="C286" s="457">
        <v>68528.178841999994</v>
      </c>
      <c r="D286" s="614">
        <f t="shared" si="21"/>
        <v>310.37296853614015</v>
      </c>
      <c r="E286" s="457">
        <v>9160.8649999999998</v>
      </c>
      <c r="F286" s="457">
        <v>4717.2093729999997</v>
      </c>
      <c r="G286" s="457">
        <f t="shared" si="22"/>
        <v>514.93056310730481</v>
      </c>
      <c r="H286" s="457">
        <v>1867.4780000000001</v>
      </c>
      <c r="I286" s="457">
        <v>337.70170300000001</v>
      </c>
      <c r="J286" s="457">
        <f t="shared" si="23"/>
        <v>0.18083302882282951</v>
      </c>
      <c r="K286" s="352"/>
    </row>
    <row r="287" spans="1:11">
      <c r="A287" s="37" t="s">
        <v>28</v>
      </c>
      <c r="B287" s="1896">
        <v>192.82499999999999</v>
      </c>
      <c r="C287" s="457">
        <v>66263.867742000002</v>
      </c>
      <c r="D287" s="614">
        <f t="shared" si="21"/>
        <v>343.64769994554649</v>
      </c>
      <c r="E287" s="457">
        <v>8039.5159999999996</v>
      </c>
      <c r="F287" s="457">
        <v>3989.8519550000001</v>
      </c>
      <c r="G287" s="457">
        <f t="shared" si="22"/>
        <v>496.2801187285404</v>
      </c>
      <c r="H287" s="457">
        <v>2579.3710000000001</v>
      </c>
      <c r="I287" s="457">
        <v>362.48297200000002</v>
      </c>
      <c r="J287" s="457">
        <f t="shared" si="23"/>
        <v>0.14053153733991736</v>
      </c>
      <c r="K287" s="352"/>
    </row>
    <row r="288" spans="1:11">
      <c r="A288" s="37" t="s">
        <v>29</v>
      </c>
      <c r="B288" s="1896">
        <v>304.26499999999999</v>
      </c>
      <c r="C288" s="457">
        <v>99409.928039000006</v>
      </c>
      <c r="D288" s="614">
        <f t="shared" si="21"/>
        <v>326.7215356317684</v>
      </c>
      <c r="E288" s="457">
        <v>9559.2829999999994</v>
      </c>
      <c r="F288" s="457">
        <v>6766.19236</v>
      </c>
      <c r="G288" s="457">
        <f t="shared" si="22"/>
        <v>707.81379314745686</v>
      </c>
      <c r="H288" s="457">
        <v>1483.2639999999999</v>
      </c>
      <c r="I288" s="457">
        <v>368.83794999999998</v>
      </c>
      <c r="J288" s="457">
        <f t="shared" si="23"/>
        <v>0.24866642081247842</v>
      </c>
      <c r="K288" s="352"/>
    </row>
    <row r="289" spans="1:34">
      <c r="A289" s="37" t="s">
        <v>4465</v>
      </c>
      <c r="B289" s="1896"/>
      <c r="C289" s="457"/>
      <c r="D289" s="614"/>
      <c r="E289" s="457"/>
      <c r="F289" s="457"/>
      <c r="G289" s="457"/>
      <c r="H289" s="457"/>
      <c r="I289" s="457"/>
      <c r="J289" s="457"/>
      <c r="K289" s="352"/>
    </row>
    <row r="290" spans="1:34">
      <c r="A290" s="37" t="s">
        <v>18</v>
      </c>
      <c r="B290" s="1896">
        <v>129.79300000000001</v>
      </c>
      <c r="C290" s="457">
        <v>68708.566336000004</v>
      </c>
      <c r="D290" s="614">
        <f t="shared" si="21"/>
        <v>529.37035384034573</v>
      </c>
      <c r="E290" s="457">
        <v>8549.8369999999995</v>
      </c>
      <c r="F290" s="457">
        <v>4212.4427779999996</v>
      </c>
      <c r="G290" s="457">
        <f t="shared" si="22"/>
        <v>492.69275870405482</v>
      </c>
      <c r="H290" s="457">
        <v>2047.232</v>
      </c>
      <c r="I290" s="457">
        <v>311.596881</v>
      </c>
      <c r="J290" s="457">
        <f t="shared" si="23"/>
        <v>0.15220399104742405</v>
      </c>
      <c r="K290" s="352"/>
    </row>
    <row r="291" spans="1:34">
      <c r="A291" s="37" t="s">
        <v>19</v>
      </c>
      <c r="B291" s="1896">
        <v>181.93100000000001</v>
      </c>
      <c r="C291" s="457">
        <v>77400.363257000005</v>
      </c>
      <c r="D291" s="614">
        <f t="shared" si="21"/>
        <v>425.43801362604506</v>
      </c>
      <c r="E291" s="457">
        <v>7821.86</v>
      </c>
      <c r="F291" s="457">
        <v>3824.5371420000001</v>
      </c>
      <c r="G291" s="457">
        <f t="shared" si="22"/>
        <v>488.95494703305872</v>
      </c>
      <c r="H291" s="457">
        <v>2983.7809999999999</v>
      </c>
      <c r="I291" s="457">
        <v>406.15077100000002</v>
      </c>
      <c r="J291" s="457">
        <f t="shared" si="23"/>
        <v>0.13611949771112558</v>
      </c>
      <c r="K291" s="352"/>
    </row>
    <row r="292" spans="1:34">
      <c r="A292" s="37" t="s">
        <v>20</v>
      </c>
      <c r="B292" s="1896">
        <v>175.19900000000001</v>
      </c>
      <c r="C292" s="457">
        <v>64986.617033000002</v>
      </c>
      <c r="D292" s="614">
        <f t="shared" ref="D292" si="24">C292/B292</f>
        <v>370.93029659415862</v>
      </c>
      <c r="E292" s="457">
        <v>7879.2709999999997</v>
      </c>
      <c r="F292" s="457">
        <v>3933.799156</v>
      </c>
      <c r="G292" s="457">
        <f>F292/E292*1000</f>
        <v>499.25927868199994</v>
      </c>
      <c r="H292" s="457">
        <v>5347.3490000000002</v>
      </c>
      <c r="I292" s="457">
        <v>570.01537599999995</v>
      </c>
      <c r="J292" s="457">
        <f t="shared" ref="J292" si="25">I292/H292</f>
        <v>0.1065977507733271</v>
      </c>
      <c r="K292" s="352"/>
    </row>
    <row r="293" spans="1:34">
      <c r="A293" s="37" t="s">
        <v>21</v>
      </c>
      <c r="B293" s="1896">
        <v>201.05799999999999</v>
      </c>
      <c r="C293" s="457">
        <v>75974.319126999995</v>
      </c>
      <c r="D293" s="614">
        <f t="shared" ref="D293" si="26">C293/B293</f>
        <v>377.87264932009668</v>
      </c>
      <c r="E293" s="457">
        <v>8827.2289999999994</v>
      </c>
      <c r="F293" s="457">
        <v>4844.4028319999998</v>
      </c>
      <c r="G293" s="457">
        <f t="shared" ref="G293" si="27">F293/E293*1000</f>
        <v>548.8022155084002</v>
      </c>
      <c r="H293" s="457">
        <v>9833.2549999999992</v>
      </c>
      <c r="I293" s="457">
        <v>940.40605600000004</v>
      </c>
      <c r="J293" s="457">
        <f t="shared" ref="J293" si="28">I293/H293</f>
        <v>9.5635276009825854E-2</v>
      </c>
      <c r="K293" s="352"/>
    </row>
    <row r="294" spans="1:34">
      <c r="A294" s="37" t="s">
        <v>22</v>
      </c>
      <c r="B294" s="1896">
        <v>221.613</v>
      </c>
      <c r="C294" s="457">
        <v>66168.251841999998</v>
      </c>
      <c r="D294" s="614">
        <v>298.57567851163964</v>
      </c>
      <c r="E294" s="457">
        <v>7302.4459999999999</v>
      </c>
      <c r="F294" s="457">
        <v>3734.8612149999999</v>
      </c>
      <c r="G294" s="457">
        <v>511.4534520351126</v>
      </c>
      <c r="H294" s="457">
        <v>8905.3230000000003</v>
      </c>
      <c r="I294" s="457">
        <v>836.45543599999996</v>
      </c>
      <c r="J294" s="457">
        <v>9.3927579718332502E-2</v>
      </c>
      <c r="K294" s="352"/>
    </row>
    <row r="295" spans="1:34">
      <c r="A295" s="37" t="s">
        <v>23</v>
      </c>
      <c r="B295" s="1435">
        <v>218.54400000000001</v>
      </c>
      <c r="C295" s="614">
        <v>91310.252013999998</v>
      </c>
      <c r="D295" s="614">
        <v>417.81175421883</v>
      </c>
      <c r="E295" s="614">
        <v>9082.1970000000001</v>
      </c>
      <c r="F295" s="614">
        <v>4289.4232359999996</v>
      </c>
      <c r="G295" s="457">
        <v>472.28916483533698</v>
      </c>
      <c r="H295" s="457">
        <v>12927.614</v>
      </c>
      <c r="I295" s="457">
        <v>1075.5638650000001</v>
      </c>
      <c r="J295" s="457">
        <v>8.3198946456786202E-2</v>
      </c>
      <c r="K295" s="352"/>
    </row>
    <row r="296" spans="1:34" s="464" customFormat="1" ht="12" customHeight="1">
      <c r="A296" s="2547" t="s">
        <v>3256</v>
      </c>
      <c r="B296" s="2547"/>
      <c r="C296" s="2547"/>
      <c r="D296" s="2547"/>
      <c r="E296" s="2547"/>
      <c r="F296" s="2547"/>
      <c r="G296" s="2547"/>
      <c r="H296" s="2547"/>
      <c r="I296" s="2547"/>
      <c r="J296" s="2547"/>
      <c r="K296" s="1434"/>
      <c r="L296" s="1434"/>
      <c r="M296" s="1434"/>
      <c r="N296" s="1434"/>
      <c r="O296" s="1434"/>
      <c r="P296" s="1434"/>
      <c r="Q296" s="1434"/>
      <c r="R296" s="1434"/>
      <c r="S296" s="1434"/>
      <c r="T296" s="1434"/>
      <c r="U296" s="1434"/>
      <c r="V296" s="1434"/>
      <c r="W296" s="1434"/>
      <c r="X296" s="1434"/>
      <c r="Y296" s="1434"/>
      <c r="Z296" s="1434"/>
      <c r="AA296" s="1434"/>
      <c r="AB296" s="1434"/>
      <c r="AC296" s="1434"/>
      <c r="AD296" s="1434"/>
      <c r="AE296" s="1434"/>
      <c r="AF296" s="1434"/>
      <c r="AG296" s="1434"/>
      <c r="AH296" s="1434"/>
    </row>
    <row r="297" spans="1:34" s="464" customFormat="1" ht="12" customHeight="1">
      <c r="A297" s="2158" t="s">
        <v>3257</v>
      </c>
      <c r="B297" s="2158"/>
      <c r="C297" s="2158"/>
      <c r="D297" s="2158"/>
      <c r="E297" s="2158"/>
      <c r="F297" s="2158"/>
      <c r="G297" s="2158"/>
      <c r="H297" s="2158"/>
      <c r="I297" s="2158"/>
      <c r="J297" s="2158"/>
      <c r="K297" s="1434"/>
      <c r="L297" s="1434"/>
      <c r="M297" s="1434"/>
      <c r="N297" s="1434"/>
      <c r="O297" s="1434"/>
      <c r="P297" s="1434"/>
      <c r="Q297" s="1434"/>
      <c r="R297" s="1434"/>
      <c r="S297" s="1434"/>
      <c r="T297" s="1434"/>
      <c r="U297" s="1434"/>
      <c r="V297" s="1434"/>
      <c r="W297" s="1434"/>
      <c r="X297" s="1434"/>
      <c r="Y297" s="1434"/>
      <c r="Z297" s="1434"/>
      <c r="AA297" s="1434"/>
      <c r="AB297" s="1434"/>
      <c r="AC297" s="1434"/>
      <c r="AD297" s="1434"/>
      <c r="AE297" s="1434"/>
      <c r="AF297" s="1434"/>
      <c r="AG297" s="1434"/>
      <c r="AH297" s="1434"/>
    </row>
    <row r="298" spans="1:34" s="464" customFormat="1" ht="12" customHeight="1">
      <c r="A298" s="2158" t="s">
        <v>3258</v>
      </c>
      <c r="B298" s="2158"/>
      <c r="C298" s="2158"/>
      <c r="D298" s="2158"/>
      <c r="E298" s="2158"/>
      <c r="F298" s="2158"/>
      <c r="G298" s="2158"/>
      <c r="H298" s="2158"/>
      <c r="I298" s="2158"/>
      <c r="J298" s="2158"/>
      <c r="K298" s="1434"/>
      <c r="L298" s="1434"/>
      <c r="M298" s="1434"/>
      <c r="N298" s="1434"/>
      <c r="O298" s="1434"/>
      <c r="P298" s="1434"/>
      <c r="Q298" s="1434"/>
      <c r="R298" s="1434"/>
      <c r="S298" s="1434"/>
      <c r="T298" s="1434"/>
      <c r="U298" s="1434"/>
      <c r="V298" s="1434"/>
      <c r="W298" s="1434"/>
      <c r="X298" s="1434"/>
      <c r="Y298" s="1434"/>
      <c r="Z298" s="1434"/>
      <c r="AA298" s="1434"/>
      <c r="AB298" s="1434"/>
      <c r="AC298" s="1434"/>
      <c r="AD298" s="1434"/>
      <c r="AE298" s="1434"/>
      <c r="AF298" s="1434"/>
      <c r="AG298" s="1434"/>
      <c r="AH298" s="1434"/>
    </row>
    <row r="299" spans="1:34" s="464" customFormat="1" ht="12" customHeight="1">
      <c r="A299" s="2157" t="s">
        <v>3259</v>
      </c>
      <c r="B299" s="2157"/>
      <c r="C299" s="2157"/>
      <c r="D299" s="2157"/>
      <c r="E299" s="2157"/>
      <c r="F299" s="2157"/>
      <c r="G299" s="2157"/>
      <c r="H299" s="2157"/>
      <c r="I299" s="2157"/>
      <c r="J299" s="2157"/>
      <c r="K299" s="1434"/>
      <c r="L299" s="1434"/>
      <c r="M299" s="1434"/>
      <c r="N299" s="1434"/>
      <c r="O299" s="1434"/>
      <c r="P299" s="1434"/>
      <c r="Q299" s="1434"/>
      <c r="R299" s="1434"/>
      <c r="S299" s="1434"/>
      <c r="T299" s="1434"/>
      <c r="U299" s="1434"/>
      <c r="V299" s="1434"/>
      <c r="W299" s="1434"/>
      <c r="X299" s="1434"/>
      <c r="Y299" s="1434"/>
      <c r="Z299" s="1434"/>
      <c r="AA299" s="1434"/>
      <c r="AB299" s="1434"/>
      <c r="AC299" s="1434"/>
      <c r="AD299" s="1434"/>
      <c r="AE299" s="1434"/>
      <c r="AF299" s="1434"/>
      <c r="AG299" s="1434"/>
      <c r="AH299" s="1434"/>
    </row>
    <row r="300" spans="1:34" s="883" customFormat="1" ht="12" customHeight="1">
      <c r="A300" s="2545" t="s">
        <v>2678</v>
      </c>
      <c r="B300" s="2545"/>
      <c r="C300" s="2545"/>
      <c r="D300" s="2545"/>
      <c r="E300" s="2545"/>
      <c r="F300" s="2545"/>
      <c r="G300" s="2545"/>
      <c r="H300" s="2545"/>
      <c r="I300" s="2545"/>
      <c r="J300" s="2545"/>
      <c r="K300" s="1433"/>
      <c r="L300" s="1433"/>
      <c r="M300" s="1433"/>
      <c r="N300" s="1433"/>
      <c r="O300" s="1433"/>
      <c r="P300" s="1433"/>
      <c r="Q300" s="1433"/>
      <c r="R300" s="1433"/>
      <c r="S300" s="1433"/>
      <c r="T300" s="1433"/>
      <c r="U300" s="1433"/>
      <c r="V300" s="1433"/>
      <c r="W300" s="1433"/>
      <c r="X300" s="1433"/>
      <c r="Y300" s="1433"/>
      <c r="Z300" s="1433"/>
      <c r="AA300" s="1433"/>
      <c r="AB300" s="1433"/>
      <c r="AC300" s="1433"/>
      <c r="AD300" s="1433"/>
      <c r="AE300" s="1433"/>
      <c r="AF300" s="1433"/>
      <c r="AG300" s="1433"/>
      <c r="AH300" s="1433"/>
    </row>
  </sheetData>
  <mergeCells count="15">
    <mergeCell ref="A300:J300"/>
    <mergeCell ref="A298:J298"/>
    <mergeCell ref="A299:J299"/>
    <mergeCell ref="A9:A11"/>
    <mergeCell ref="B9:D10"/>
    <mergeCell ref="E9:G10"/>
    <mergeCell ref="H9:J10"/>
    <mergeCell ref="A296:J296"/>
    <mergeCell ref="A297:J297"/>
    <mergeCell ref="A2:J2"/>
    <mergeCell ref="A3:J3"/>
    <mergeCell ref="A6:A8"/>
    <mergeCell ref="B6:D7"/>
    <mergeCell ref="E6:G7"/>
    <mergeCell ref="H6:J7"/>
  </mergeCells>
  <pageMargins left="0.7" right="0.7" top="0.75" bottom="0.75" header="0.3" footer="0.3"/>
  <pageSetup paperSize="9" scale="12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67C82-F2B6-4E6E-A23C-4641EBBAF26A}">
  <sheetPr codeName="Sheet47">
    <tabColor rgb="FF92D050"/>
  </sheetPr>
  <dimension ref="A1:CA32"/>
  <sheetViews>
    <sheetView showGridLines="0" view="pageBreakPreview" zoomScale="85" zoomScaleNormal="90" zoomScaleSheetLayoutView="85" workbookViewId="0">
      <pane xSplit="37" topLeftCell="BJ1" activePane="topRight" state="frozen"/>
      <selection activeCell="F40" sqref="F40"/>
      <selection pane="topRight" activeCell="BZ42" sqref="BZ42"/>
    </sheetView>
  </sheetViews>
  <sheetFormatPr defaultColWidth="9.140625" defaultRowHeight="15"/>
  <cols>
    <col min="1" max="1" width="46" style="907" customWidth="1"/>
    <col min="2" max="10" width="15.42578125" style="907" hidden="1" customWidth="1"/>
    <col min="11" max="11" width="17.42578125" style="907" hidden="1" customWidth="1"/>
    <col min="12" max="12" width="14.42578125" style="907" hidden="1" customWidth="1"/>
    <col min="13" max="21" width="14" style="907" hidden="1" customWidth="1"/>
    <col min="22" max="24" width="13.140625" style="907" hidden="1" customWidth="1"/>
    <col min="25" max="25" width="13.28515625" style="907" hidden="1" customWidth="1"/>
    <col min="26" max="61" width="13.140625" style="907" hidden="1" customWidth="1"/>
    <col min="62" max="79" width="13.140625" style="907" customWidth="1"/>
    <col min="80" max="16384" width="9.140625" style="907"/>
  </cols>
  <sheetData>
    <row r="1" spans="1:79" ht="11.25" customHeight="1"/>
    <row r="2" spans="1:79" ht="20.25" customHeight="1">
      <c r="A2" s="2357" t="s">
        <v>3341</v>
      </c>
      <c r="B2" s="2357"/>
      <c r="C2" s="2357"/>
      <c r="D2" s="2357"/>
      <c r="E2" s="2357"/>
      <c r="F2" s="2357"/>
      <c r="G2" s="2357"/>
      <c r="H2" s="2357"/>
      <c r="I2" s="2357"/>
      <c r="J2" s="2357"/>
      <c r="K2" s="2357"/>
      <c r="L2" s="2357"/>
      <c r="M2" s="2357"/>
      <c r="N2" s="2357"/>
      <c r="O2" s="2357"/>
      <c r="P2" s="2357"/>
      <c r="Q2" s="2357"/>
      <c r="R2" s="2357"/>
      <c r="S2" s="2357"/>
      <c r="T2" s="2357"/>
      <c r="U2" s="2357"/>
      <c r="V2" s="2357"/>
      <c r="W2" s="2357"/>
      <c r="X2" s="2357"/>
      <c r="Y2" s="2357"/>
      <c r="Z2" s="2357"/>
      <c r="AA2" s="2357"/>
      <c r="AB2" s="2357"/>
      <c r="AC2" s="2357"/>
      <c r="AD2" s="2357"/>
      <c r="AE2" s="2357"/>
      <c r="AF2" s="2357"/>
      <c r="AG2" s="2357"/>
      <c r="AH2" s="2357"/>
      <c r="AI2" s="2357"/>
      <c r="AJ2" s="2357"/>
      <c r="AK2" s="2357"/>
      <c r="AL2" s="2357"/>
      <c r="AM2" s="2357"/>
      <c r="AN2" s="2357"/>
      <c r="AO2" s="2357"/>
      <c r="AP2" s="2357"/>
      <c r="AQ2" s="2357"/>
      <c r="AR2" s="2357"/>
      <c r="AS2" s="2357"/>
      <c r="AT2" s="2357"/>
      <c r="AU2" s="2357"/>
      <c r="AV2" s="2357"/>
      <c r="AW2" s="2357"/>
      <c r="AX2" s="2357"/>
      <c r="AY2" s="2357"/>
      <c r="AZ2" s="2357"/>
      <c r="BA2" s="2357"/>
      <c r="BB2" s="2357"/>
      <c r="BC2" s="2357"/>
      <c r="BD2" s="2357"/>
      <c r="BE2" s="2357"/>
      <c r="BF2" s="2357"/>
      <c r="BG2" s="2357"/>
      <c r="BH2" s="2357"/>
      <c r="BI2" s="2357"/>
      <c r="BJ2" s="2357"/>
      <c r="BK2" s="2357"/>
      <c r="BL2" s="2357"/>
      <c r="BM2" s="2357"/>
      <c r="BN2" s="2357"/>
      <c r="BO2" s="2357"/>
      <c r="BP2" s="2357"/>
      <c r="BQ2" s="2357"/>
      <c r="BR2" s="2357"/>
      <c r="BS2" s="2357"/>
      <c r="BT2" s="2357"/>
      <c r="BU2" s="2357"/>
      <c r="BV2" s="2357"/>
      <c r="BW2" s="2357"/>
      <c r="BX2" s="2357"/>
      <c r="BY2" s="2357"/>
      <c r="BZ2" s="2357"/>
      <c r="CA2" s="2357"/>
    </row>
    <row r="3" spans="1:79" ht="29.25" customHeight="1">
      <c r="A3" s="2416" t="s">
        <v>3342</v>
      </c>
      <c r="B3" s="2416"/>
      <c r="C3" s="2416"/>
      <c r="D3" s="2416"/>
      <c r="E3" s="2416"/>
      <c r="F3" s="2416"/>
      <c r="G3" s="2416"/>
      <c r="H3" s="2416"/>
      <c r="I3" s="2416"/>
      <c r="J3" s="2416"/>
      <c r="K3" s="2416"/>
      <c r="L3" s="2416"/>
      <c r="M3" s="2416"/>
      <c r="N3" s="2416"/>
      <c r="O3" s="2416"/>
      <c r="P3" s="2416"/>
      <c r="Q3" s="2416"/>
      <c r="R3" s="2416"/>
      <c r="S3" s="2416"/>
      <c r="T3" s="2416"/>
      <c r="U3" s="2416"/>
      <c r="V3" s="2416"/>
      <c r="W3" s="2416"/>
      <c r="X3" s="2416"/>
      <c r="Y3" s="2416"/>
      <c r="Z3" s="2416"/>
      <c r="AA3" s="2416"/>
      <c r="AB3" s="2416"/>
      <c r="AC3" s="2416"/>
      <c r="AD3" s="2416"/>
      <c r="AE3" s="2416"/>
      <c r="AF3" s="2416"/>
      <c r="AG3" s="2416"/>
      <c r="AH3" s="2416"/>
      <c r="AI3" s="2416"/>
      <c r="AJ3" s="2416"/>
      <c r="AK3" s="2416"/>
      <c r="AL3" s="2416"/>
      <c r="AM3" s="2416"/>
      <c r="AN3" s="2416"/>
      <c r="AO3" s="2416"/>
      <c r="AP3" s="2416"/>
      <c r="AQ3" s="2416"/>
      <c r="AR3" s="2416"/>
      <c r="AS3" s="2416"/>
      <c r="AT3" s="2416"/>
      <c r="AU3" s="2416"/>
      <c r="AV3" s="2416"/>
      <c r="AW3" s="2416"/>
      <c r="AX3" s="2416"/>
      <c r="AY3" s="2416"/>
      <c r="AZ3" s="2416"/>
      <c r="BA3" s="2416"/>
      <c r="BB3" s="2416"/>
      <c r="BC3" s="2416"/>
      <c r="BD3" s="2416"/>
      <c r="BE3" s="2416"/>
      <c r="BF3" s="2416"/>
      <c r="BG3" s="2416"/>
      <c r="BH3" s="2416"/>
      <c r="BI3" s="2416"/>
      <c r="BJ3" s="2416"/>
      <c r="BK3" s="2416"/>
      <c r="BL3" s="2416"/>
      <c r="BM3" s="2416"/>
      <c r="BN3" s="2416"/>
      <c r="BO3" s="2416"/>
      <c r="BP3" s="2416"/>
      <c r="BQ3" s="2416"/>
      <c r="BR3" s="2416"/>
      <c r="BS3" s="2416"/>
      <c r="BT3" s="2416"/>
      <c r="BU3" s="2416"/>
      <c r="BV3" s="2416"/>
      <c r="BW3" s="2416"/>
      <c r="BX3" s="2416"/>
      <c r="BY3" s="2416"/>
      <c r="BZ3" s="2416"/>
      <c r="CA3" s="2416"/>
    </row>
    <row r="4" spans="1:79" ht="15" customHeight="1">
      <c r="A4" s="500"/>
      <c r="B4" s="500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00"/>
      <c r="O4" s="500"/>
      <c r="P4" s="500"/>
      <c r="Q4" s="500"/>
      <c r="R4" s="500"/>
      <c r="S4" s="500"/>
      <c r="T4" s="500"/>
      <c r="U4" s="500"/>
      <c r="V4" s="500"/>
      <c r="W4" s="500"/>
      <c r="X4" s="500"/>
      <c r="Y4" s="500"/>
      <c r="Z4" s="500"/>
      <c r="AA4" s="500"/>
      <c r="AB4" s="500"/>
      <c r="AC4" s="500"/>
      <c r="AD4" s="500"/>
      <c r="AE4" s="500"/>
      <c r="AF4" s="500"/>
      <c r="AG4" s="500"/>
      <c r="AH4" s="500"/>
      <c r="AI4" s="500"/>
      <c r="AJ4" s="500"/>
      <c r="AK4" s="500"/>
      <c r="AL4" s="500"/>
      <c r="AM4" s="500"/>
      <c r="AN4" s="500"/>
      <c r="AO4" s="500"/>
      <c r="AP4" s="500"/>
      <c r="AQ4" s="500"/>
      <c r="AR4" s="500"/>
      <c r="AS4" s="500"/>
      <c r="AT4" s="500"/>
      <c r="AU4" s="500"/>
      <c r="AV4" s="500"/>
      <c r="AW4" s="500"/>
      <c r="AX4" s="500"/>
      <c r="AY4" s="500"/>
      <c r="AZ4" s="500"/>
      <c r="BA4" s="500"/>
      <c r="BB4" s="500"/>
      <c r="BC4" s="500"/>
      <c r="BD4" s="500"/>
      <c r="BE4" s="500"/>
      <c r="BF4" s="500"/>
      <c r="BG4" s="500"/>
      <c r="BH4" s="500"/>
      <c r="BI4" s="500"/>
      <c r="BJ4" s="500"/>
      <c r="BK4" s="500"/>
      <c r="BL4" s="500"/>
      <c r="BM4" s="500"/>
      <c r="BN4" s="500"/>
      <c r="BO4" s="500"/>
      <c r="BP4" s="500"/>
      <c r="BQ4" s="500"/>
      <c r="BR4" s="500"/>
      <c r="BS4" s="500"/>
      <c r="BT4" s="500"/>
      <c r="BU4" s="500"/>
      <c r="BV4" s="500"/>
      <c r="BW4" s="500"/>
      <c r="BX4" s="500"/>
      <c r="BY4" s="500"/>
      <c r="BZ4" s="500"/>
      <c r="CA4" s="500"/>
    </row>
    <row r="5" spans="1:79" ht="15" customHeight="1">
      <c r="A5" s="1134"/>
      <c r="B5" s="1134"/>
      <c r="C5" s="1134"/>
      <c r="D5" s="1134"/>
      <c r="E5" s="1134"/>
      <c r="F5" s="1134"/>
      <c r="G5" s="1134"/>
      <c r="H5" s="1134"/>
      <c r="I5" s="1134"/>
      <c r="J5" s="1134"/>
      <c r="K5" s="1134"/>
      <c r="L5" s="1134"/>
      <c r="M5" s="1134"/>
      <c r="N5" s="1134"/>
      <c r="O5" s="1134"/>
      <c r="P5" s="1134"/>
      <c r="Q5" s="1134"/>
      <c r="R5" s="1134"/>
      <c r="S5" s="1134"/>
      <c r="T5" s="1134"/>
      <c r="U5" s="1134"/>
      <c r="V5" s="1134"/>
      <c r="W5" s="1134"/>
      <c r="X5" s="1134"/>
      <c r="Y5" s="1134"/>
      <c r="Z5" s="1134"/>
      <c r="AA5" s="1134"/>
      <c r="AB5" s="1134"/>
      <c r="AC5" s="1134"/>
      <c r="AD5" s="1134"/>
      <c r="AE5" s="1134"/>
      <c r="AF5" s="1134"/>
      <c r="AG5" s="1134"/>
      <c r="AH5" s="1134"/>
      <c r="AI5" s="1134"/>
      <c r="AJ5" s="1134"/>
      <c r="AK5" s="1134"/>
      <c r="AL5" s="1134"/>
      <c r="AM5" s="1134"/>
      <c r="AN5" s="1134"/>
      <c r="AO5" s="1134"/>
      <c r="AP5" s="1134"/>
      <c r="AQ5" s="1134"/>
      <c r="AR5" s="1134"/>
      <c r="AS5" s="1134"/>
      <c r="AT5" s="1134"/>
      <c r="AU5" s="1134"/>
      <c r="AV5" s="1134"/>
      <c r="AW5" s="1134"/>
      <c r="AX5" s="1134"/>
      <c r="AY5" s="1134"/>
      <c r="AZ5" s="1134"/>
      <c r="BA5" s="1134"/>
      <c r="BB5" s="1134"/>
      <c r="BC5" s="1134"/>
      <c r="BD5" s="1134"/>
      <c r="BE5" s="1134"/>
      <c r="BF5" s="1134"/>
      <c r="BG5" s="1134"/>
      <c r="BH5" s="1134"/>
      <c r="BI5" s="1134"/>
      <c r="BJ5" s="1134"/>
      <c r="BK5" s="1134"/>
      <c r="BL5" s="1134"/>
      <c r="BM5" s="1134"/>
      <c r="BN5" s="1134"/>
      <c r="BO5" s="1134"/>
      <c r="BP5" s="1134"/>
      <c r="BQ5" s="1134"/>
      <c r="BR5" s="1134"/>
      <c r="BS5" s="1134"/>
      <c r="BT5" s="1134"/>
      <c r="BU5" s="1134"/>
      <c r="BV5" s="1134"/>
      <c r="BW5" s="1134"/>
      <c r="BX5" s="1134"/>
      <c r="BY5" s="1134"/>
      <c r="BZ5" s="1134"/>
      <c r="CA5" s="1134"/>
    </row>
    <row r="6" spans="1:79" ht="23.25" customHeight="1">
      <c r="A6" s="2551"/>
      <c r="B6" s="2554">
        <v>2020</v>
      </c>
      <c r="C6" s="2554"/>
      <c r="D6" s="2554"/>
      <c r="E6" s="2554"/>
      <c r="F6" s="2554"/>
      <c r="G6" s="2554"/>
      <c r="H6" s="2554"/>
      <c r="I6" s="2554"/>
      <c r="J6" s="2554"/>
      <c r="K6" s="2554"/>
      <c r="L6" s="2554"/>
      <c r="M6" s="2554"/>
      <c r="N6" s="2554">
        <v>2021</v>
      </c>
      <c r="O6" s="2554"/>
      <c r="P6" s="2554"/>
      <c r="Q6" s="2554"/>
      <c r="R6" s="2554"/>
      <c r="S6" s="2554"/>
      <c r="T6" s="2554"/>
      <c r="U6" s="2554"/>
      <c r="V6" s="2554"/>
      <c r="W6" s="2554"/>
      <c r="X6" s="2554"/>
      <c r="Y6" s="2554"/>
      <c r="Z6" s="2555">
        <v>2022</v>
      </c>
      <c r="AA6" s="2556"/>
      <c r="AB6" s="2556"/>
      <c r="AC6" s="2556"/>
      <c r="AD6" s="2556"/>
      <c r="AE6" s="2556"/>
      <c r="AF6" s="2556"/>
      <c r="AG6" s="2556"/>
      <c r="AH6" s="2556"/>
      <c r="AI6" s="2556"/>
      <c r="AJ6" s="2556"/>
      <c r="AK6" s="2557"/>
      <c r="AL6" s="2558">
        <v>2023</v>
      </c>
      <c r="AM6" s="2556"/>
      <c r="AN6" s="2556"/>
      <c r="AO6" s="2556"/>
      <c r="AP6" s="2556"/>
      <c r="AQ6" s="2556"/>
      <c r="AR6" s="2556"/>
      <c r="AS6" s="2556"/>
      <c r="AT6" s="2556"/>
      <c r="AU6" s="2556"/>
      <c r="AV6" s="2556"/>
      <c r="AW6" s="2557"/>
      <c r="AX6" s="2558">
        <v>2024</v>
      </c>
      <c r="AY6" s="2556"/>
      <c r="AZ6" s="2556"/>
      <c r="BA6" s="2556"/>
      <c r="BB6" s="2556"/>
      <c r="BC6" s="2556"/>
      <c r="BD6" s="2556"/>
      <c r="BE6" s="2556"/>
      <c r="BF6" s="2556"/>
      <c r="BG6" s="2556"/>
      <c r="BH6" s="2556"/>
      <c r="BI6" s="2557"/>
      <c r="BJ6" s="2558">
        <v>2025</v>
      </c>
      <c r="BK6" s="2556"/>
      <c r="BL6" s="2556"/>
      <c r="BM6" s="2556"/>
      <c r="BN6" s="2556"/>
      <c r="BO6" s="2556"/>
      <c r="BP6" s="2556"/>
      <c r="BQ6" s="2556"/>
      <c r="BR6" s="2556"/>
      <c r="BS6" s="2556"/>
      <c r="BT6" s="2556"/>
      <c r="BU6" s="2557"/>
      <c r="BV6" s="2558">
        <v>2026</v>
      </c>
      <c r="BW6" s="2556"/>
      <c r="BX6" s="2556"/>
      <c r="BY6" s="2556"/>
      <c r="BZ6" s="2556"/>
      <c r="CA6" s="2557"/>
    </row>
    <row r="7" spans="1:79" ht="24.75" customHeight="1">
      <c r="A7" s="2552"/>
      <c r="B7" s="1430" t="s">
        <v>1948</v>
      </c>
      <c r="C7" s="1430" t="s">
        <v>1947</v>
      </c>
      <c r="D7" s="1430" t="s">
        <v>1946</v>
      </c>
      <c r="E7" s="1430" t="s">
        <v>1945</v>
      </c>
      <c r="F7" s="1430" t="s">
        <v>1965</v>
      </c>
      <c r="G7" s="1430" t="s">
        <v>1966</v>
      </c>
      <c r="H7" s="1430" t="s">
        <v>1975</v>
      </c>
      <c r="I7" s="1430" t="s">
        <v>1985</v>
      </c>
      <c r="J7" s="1430" t="s">
        <v>1995</v>
      </c>
      <c r="K7" s="1430" t="s">
        <v>2008</v>
      </c>
      <c r="L7" s="1430" t="s">
        <v>2019</v>
      </c>
      <c r="M7" s="1430" t="s">
        <v>1949</v>
      </c>
      <c r="N7" s="1430" t="s">
        <v>1948</v>
      </c>
      <c r="O7" s="1430" t="s">
        <v>1947</v>
      </c>
      <c r="P7" s="1430" t="s">
        <v>1946</v>
      </c>
      <c r="Q7" s="1430" t="s">
        <v>1945</v>
      </c>
      <c r="R7" s="1430" t="s">
        <v>1965</v>
      </c>
      <c r="S7" s="1430" t="s">
        <v>1966</v>
      </c>
      <c r="T7" s="1430" t="s">
        <v>3070</v>
      </c>
      <c r="U7" s="1430" t="s">
        <v>1985</v>
      </c>
      <c r="V7" s="1430" t="s">
        <v>1995</v>
      </c>
      <c r="W7" s="1430" t="s">
        <v>2008</v>
      </c>
      <c r="X7" s="1430" t="s">
        <v>2019</v>
      </c>
      <c r="Y7" s="1430" t="s">
        <v>1949</v>
      </c>
      <c r="Z7" s="1430" t="s">
        <v>1948</v>
      </c>
      <c r="AA7" s="1430" t="s">
        <v>1947</v>
      </c>
      <c r="AB7" s="1430" t="s">
        <v>1946</v>
      </c>
      <c r="AC7" s="1430" t="s">
        <v>1945</v>
      </c>
      <c r="AD7" s="1430" t="s">
        <v>1965</v>
      </c>
      <c r="AE7" s="1430" t="s">
        <v>1966</v>
      </c>
      <c r="AF7" s="1430" t="s">
        <v>3070</v>
      </c>
      <c r="AG7" s="1430" t="s">
        <v>1985</v>
      </c>
      <c r="AH7" s="1221" t="s">
        <v>1995</v>
      </c>
      <c r="AI7" s="1221" t="s">
        <v>2008</v>
      </c>
      <c r="AJ7" s="1221" t="s">
        <v>2019</v>
      </c>
      <c r="AK7" s="1161" t="s">
        <v>1949</v>
      </c>
      <c r="AL7" s="1259" t="s">
        <v>1948</v>
      </c>
      <c r="AM7" s="1221" t="s">
        <v>1947</v>
      </c>
      <c r="AN7" s="1221" t="s">
        <v>1946</v>
      </c>
      <c r="AO7" s="1221" t="s">
        <v>1945</v>
      </c>
      <c r="AP7" s="1221" t="s">
        <v>1965</v>
      </c>
      <c r="AQ7" s="1221" t="s">
        <v>1966</v>
      </c>
      <c r="AR7" s="1221" t="s">
        <v>1975</v>
      </c>
      <c r="AS7" s="1221" t="s">
        <v>1985</v>
      </c>
      <c r="AT7" s="1221" t="s">
        <v>1995</v>
      </c>
      <c r="AU7" s="1221" t="s">
        <v>2008</v>
      </c>
      <c r="AV7" s="1221" t="s">
        <v>2019</v>
      </c>
      <c r="AW7" s="1161" t="s">
        <v>1949</v>
      </c>
      <c r="AX7" s="1221" t="s">
        <v>1948</v>
      </c>
      <c r="AY7" s="1221" t="s">
        <v>1947</v>
      </c>
      <c r="AZ7" s="1221" t="s">
        <v>1946</v>
      </c>
      <c r="BA7" s="1221" t="s">
        <v>1945</v>
      </c>
      <c r="BB7" s="1221" t="s">
        <v>1965</v>
      </c>
      <c r="BC7" s="1221" t="s">
        <v>1966</v>
      </c>
      <c r="BD7" s="1221" t="s">
        <v>1975</v>
      </c>
      <c r="BE7" s="1221" t="s">
        <v>1985</v>
      </c>
      <c r="BF7" s="1221" t="s">
        <v>1995</v>
      </c>
      <c r="BG7" s="1221" t="s">
        <v>2008</v>
      </c>
      <c r="BH7" s="1221" t="s">
        <v>2019</v>
      </c>
      <c r="BI7" s="1161" t="s">
        <v>1949</v>
      </c>
      <c r="BJ7" s="1221" t="s">
        <v>1948</v>
      </c>
      <c r="BK7" s="1221" t="s">
        <v>1947</v>
      </c>
      <c r="BL7" s="1221" t="s">
        <v>1946</v>
      </c>
      <c r="BM7" s="1221" t="s">
        <v>1945</v>
      </c>
      <c r="BN7" s="1221" t="s">
        <v>1965</v>
      </c>
      <c r="BO7" s="1221" t="s">
        <v>1966</v>
      </c>
      <c r="BP7" s="1221" t="s">
        <v>1975</v>
      </c>
      <c r="BQ7" s="1221" t="s">
        <v>1985</v>
      </c>
      <c r="BR7" s="1221" t="s">
        <v>1995</v>
      </c>
      <c r="BS7" s="1221" t="s">
        <v>2008</v>
      </c>
      <c r="BT7" s="1221" t="s">
        <v>2019</v>
      </c>
      <c r="BU7" s="1161" t="s">
        <v>1949</v>
      </c>
      <c r="BV7" s="1221" t="s">
        <v>1948</v>
      </c>
      <c r="BW7" s="1221" t="s">
        <v>1947</v>
      </c>
      <c r="BX7" s="1221" t="s">
        <v>1946</v>
      </c>
      <c r="BY7" s="1221" t="s">
        <v>1945</v>
      </c>
      <c r="BZ7" s="1221" t="s">
        <v>1965</v>
      </c>
      <c r="CA7" s="1221" t="s">
        <v>1966</v>
      </c>
    </row>
    <row r="8" spans="1:79" ht="24.75" customHeight="1">
      <c r="A8" s="2553"/>
      <c r="B8" s="1430" t="s">
        <v>3103</v>
      </c>
      <c r="C8" s="1430" t="s">
        <v>3104</v>
      </c>
      <c r="D8" s="1430" t="s">
        <v>3105</v>
      </c>
      <c r="E8" s="1430" t="s">
        <v>3106</v>
      </c>
      <c r="F8" s="1430" t="s">
        <v>1965</v>
      </c>
      <c r="G8" s="1430" t="s">
        <v>3107</v>
      </c>
      <c r="H8" s="1430" t="s">
        <v>3108</v>
      </c>
      <c r="I8" s="1430" t="s">
        <v>3109</v>
      </c>
      <c r="J8" s="1430" t="s">
        <v>3110</v>
      </c>
      <c r="K8" s="1430" t="s">
        <v>3173</v>
      </c>
      <c r="L8" s="1430" t="s">
        <v>3223</v>
      </c>
      <c r="M8" s="1430" t="s">
        <v>3174</v>
      </c>
      <c r="N8" s="1430" t="s">
        <v>3103</v>
      </c>
      <c r="O8" s="1430" t="s">
        <v>3104</v>
      </c>
      <c r="P8" s="1430" t="s">
        <v>3105</v>
      </c>
      <c r="Q8" s="1430" t="s">
        <v>3106</v>
      </c>
      <c r="R8" s="1430" t="s">
        <v>1965</v>
      </c>
      <c r="S8" s="1430" t="s">
        <v>3107</v>
      </c>
      <c r="T8" s="1430" t="s">
        <v>3108</v>
      </c>
      <c r="U8" s="1430" t="s">
        <v>3109</v>
      </c>
      <c r="V8" s="1430" t="s">
        <v>3110</v>
      </c>
      <c r="W8" s="1430" t="s">
        <v>3173</v>
      </c>
      <c r="X8" s="1430" t="s">
        <v>3223</v>
      </c>
      <c r="Y8" s="1430" t="s">
        <v>3174</v>
      </c>
      <c r="Z8" s="1430" t="s">
        <v>3103</v>
      </c>
      <c r="AA8" s="1430" t="s">
        <v>3104</v>
      </c>
      <c r="AB8" s="1430" t="s">
        <v>3105</v>
      </c>
      <c r="AC8" s="1430" t="s">
        <v>3106</v>
      </c>
      <c r="AD8" s="1430" t="s">
        <v>1965</v>
      </c>
      <c r="AE8" s="1430" t="s">
        <v>3107</v>
      </c>
      <c r="AF8" s="1430" t="s">
        <v>3108</v>
      </c>
      <c r="AG8" s="1430" t="s">
        <v>3109</v>
      </c>
      <c r="AH8" s="1221" t="s">
        <v>3110</v>
      </c>
      <c r="AI8" s="1221" t="s">
        <v>3173</v>
      </c>
      <c r="AJ8" s="1221" t="s">
        <v>3406</v>
      </c>
      <c r="AK8" s="1161" t="s">
        <v>3174</v>
      </c>
      <c r="AL8" s="1259" t="s">
        <v>3103</v>
      </c>
      <c r="AM8" s="1221" t="s">
        <v>3104</v>
      </c>
      <c r="AN8" s="1221" t="s">
        <v>3105</v>
      </c>
      <c r="AO8" s="1221" t="s">
        <v>3106</v>
      </c>
      <c r="AP8" s="1221" t="s">
        <v>1965</v>
      </c>
      <c r="AQ8" s="1221" t="s">
        <v>3107</v>
      </c>
      <c r="AR8" s="1221" t="s">
        <v>3108</v>
      </c>
      <c r="AS8" s="1221" t="s">
        <v>3109</v>
      </c>
      <c r="AT8" s="1221" t="s">
        <v>3110</v>
      </c>
      <c r="AU8" s="1221" t="s">
        <v>3173</v>
      </c>
      <c r="AV8" s="1221" t="s">
        <v>3406</v>
      </c>
      <c r="AW8" s="1161" t="s">
        <v>3174</v>
      </c>
      <c r="AX8" s="1221" t="s">
        <v>3103</v>
      </c>
      <c r="AY8" s="1221" t="s">
        <v>3104</v>
      </c>
      <c r="AZ8" s="1221" t="s">
        <v>3105</v>
      </c>
      <c r="BA8" s="1221" t="s">
        <v>3106</v>
      </c>
      <c r="BB8" s="1221" t="s">
        <v>1965</v>
      </c>
      <c r="BC8" s="1221" t="s">
        <v>3107</v>
      </c>
      <c r="BD8" s="1221" t="s">
        <v>3108</v>
      </c>
      <c r="BE8" s="1221" t="s">
        <v>3109</v>
      </c>
      <c r="BF8" s="1221" t="s">
        <v>3110</v>
      </c>
      <c r="BG8" s="1221" t="s">
        <v>3173</v>
      </c>
      <c r="BH8" s="1221" t="s">
        <v>3406</v>
      </c>
      <c r="BI8" s="1161" t="s">
        <v>3174</v>
      </c>
      <c r="BJ8" s="1221" t="s">
        <v>3103</v>
      </c>
      <c r="BK8" s="1221" t="s">
        <v>3104</v>
      </c>
      <c r="BL8" s="1221" t="s">
        <v>3105</v>
      </c>
      <c r="BM8" s="1221" t="s">
        <v>3106</v>
      </c>
      <c r="BN8" s="1221" t="s">
        <v>1965</v>
      </c>
      <c r="BO8" s="1221" t="s">
        <v>3107</v>
      </c>
      <c r="BP8" s="1221" t="s">
        <v>3108</v>
      </c>
      <c r="BQ8" s="1221" t="s">
        <v>3109</v>
      </c>
      <c r="BR8" s="1221" t="s">
        <v>3110</v>
      </c>
      <c r="BS8" s="1221" t="s">
        <v>3173</v>
      </c>
      <c r="BT8" s="1221" t="s">
        <v>3406</v>
      </c>
      <c r="BU8" s="1161" t="s">
        <v>3174</v>
      </c>
      <c r="BV8" s="1221" t="s">
        <v>3103</v>
      </c>
      <c r="BW8" s="1221" t="s">
        <v>3104</v>
      </c>
      <c r="BX8" s="1221" t="s">
        <v>3105</v>
      </c>
      <c r="BY8" s="1221" t="s">
        <v>3106</v>
      </c>
      <c r="BZ8" s="1221" t="s">
        <v>1965</v>
      </c>
      <c r="CA8" s="1221" t="s">
        <v>3107</v>
      </c>
    </row>
    <row r="9" spans="1:79" ht="23.25" customHeight="1">
      <c r="A9" s="1889"/>
      <c r="B9" s="1890"/>
      <c r="C9" s="1890"/>
      <c r="D9" s="1890"/>
      <c r="E9" s="1890"/>
      <c r="F9" s="1890"/>
      <c r="G9" s="1890"/>
      <c r="H9" s="1890"/>
      <c r="I9" s="1890"/>
      <c r="J9" s="1890"/>
      <c r="K9" s="1890"/>
      <c r="L9" s="1890"/>
      <c r="M9" s="1890"/>
      <c r="N9" s="1890"/>
      <c r="O9" s="1890"/>
      <c r="P9" s="1890"/>
      <c r="Q9" s="1890"/>
      <c r="R9" s="1890"/>
      <c r="S9" s="1890"/>
      <c r="T9" s="1890"/>
      <c r="U9" s="1890"/>
      <c r="V9" s="1890"/>
      <c r="W9" s="1890"/>
      <c r="X9" s="1890"/>
      <c r="Y9" s="1890"/>
      <c r="Z9" s="1890"/>
      <c r="AA9" s="1890"/>
      <c r="AB9" s="1890"/>
      <c r="AC9" s="1890"/>
      <c r="AD9" s="1890"/>
      <c r="AE9" s="1890"/>
      <c r="AF9" s="1890"/>
      <c r="AG9" s="1890"/>
      <c r="AH9" s="1890"/>
      <c r="AI9" s="1890"/>
      <c r="AJ9" s="1890"/>
      <c r="AK9" s="1890"/>
      <c r="AL9" s="2548" t="s">
        <v>4204</v>
      </c>
      <c r="AM9" s="2548"/>
      <c r="AN9" s="2548"/>
      <c r="AO9" s="2548"/>
      <c r="AP9" s="2548"/>
      <c r="AQ9" s="2548"/>
      <c r="AR9" s="2548"/>
      <c r="AS9" s="2548"/>
      <c r="AT9" s="2548"/>
      <c r="AU9" s="2548"/>
      <c r="AV9" s="2548"/>
      <c r="AW9" s="2549"/>
      <c r="AX9" s="2550" t="s">
        <v>4204</v>
      </c>
      <c r="AY9" s="2548"/>
      <c r="AZ9" s="2548"/>
      <c r="BA9" s="2548"/>
      <c r="BB9" s="2548"/>
      <c r="BC9" s="2548"/>
      <c r="BD9" s="2548"/>
      <c r="BE9" s="2548"/>
      <c r="BF9" s="2548"/>
      <c r="BG9" s="2548"/>
      <c r="BH9" s="2548"/>
      <c r="BI9" s="2548"/>
      <c r="BJ9" s="2548"/>
      <c r="BK9" s="2548"/>
      <c r="BL9" s="2548"/>
      <c r="BM9" s="2548"/>
      <c r="BN9" s="2548"/>
      <c r="BO9" s="2548"/>
      <c r="BP9" s="2548"/>
      <c r="BQ9" s="2548"/>
      <c r="BR9" s="2548"/>
      <c r="BS9" s="2548"/>
      <c r="BT9" s="2548"/>
      <c r="BU9" s="2548"/>
      <c r="BV9" s="2548"/>
      <c r="BW9" s="2548"/>
      <c r="BX9" s="2548"/>
      <c r="BY9" s="2548"/>
      <c r="BZ9" s="2548"/>
      <c r="CA9" s="2549"/>
    </row>
    <row r="10" spans="1:79" s="1135" customFormat="1" ht="20.25" customHeight="1">
      <c r="A10" s="1136" t="s">
        <v>3132</v>
      </c>
      <c r="B10" s="1137">
        <f t="shared" ref="B10:I10" si="0">SUM(B11:B13)</f>
        <v>50.792999999999999</v>
      </c>
      <c r="C10" s="1137">
        <f t="shared" si="0"/>
        <v>69.81</v>
      </c>
      <c r="D10" s="1137">
        <f t="shared" si="0"/>
        <v>70.820999999999998</v>
      </c>
      <c r="E10" s="1137">
        <f t="shared" si="0"/>
        <v>61.747</v>
      </c>
      <c r="F10" s="1137">
        <f t="shared" si="0"/>
        <v>58.346000000000004</v>
      </c>
      <c r="G10" s="1137">
        <f t="shared" si="0"/>
        <v>70.740000000000009</v>
      </c>
      <c r="H10" s="1137">
        <f t="shared" si="0"/>
        <v>79.647999999999996</v>
      </c>
      <c r="I10" s="1137">
        <f t="shared" si="0"/>
        <v>76.795999999999992</v>
      </c>
      <c r="J10" s="1137">
        <v>83</v>
      </c>
      <c r="K10" s="1137">
        <v>85</v>
      </c>
      <c r="L10" s="1137">
        <v>80</v>
      </c>
      <c r="M10" s="1137">
        <v>120</v>
      </c>
      <c r="N10" s="1137">
        <f>SUM(N11:N13)</f>
        <v>51.277999999999999</v>
      </c>
      <c r="O10" s="1137">
        <f>SUM(O11:O13)</f>
        <v>75.719000000000008</v>
      </c>
      <c r="P10" s="1137">
        <v>82</v>
      </c>
      <c r="Q10" s="1137">
        <v>90</v>
      </c>
      <c r="R10" s="1137">
        <v>79</v>
      </c>
      <c r="S10" s="1137">
        <v>93</v>
      </c>
      <c r="T10" s="1137">
        <v>98</v>
      </c>
      <c r="U10" s="1137">
        <v>95</v>
      </c>
      <c r="V10" s="1137">
        <v>99</v>
      </c>
      <c r="W10" s="1137">
        <v>101</v>
      </c>
      <c r="X10" s="1137">
        <v>107</v>
      </c>
      <c r="Y10" s="1137">
        <v>142</v>
      </c>
      <c r="Z10" s="1137">
        <v>67</v>
      </c>
      <c r="AA10" s="1137">
        <v>95</v>
      </c>
      <c r="AB10" s="1137">
        <v>103.84</v>
      </c>
      <c r="AC10" s="1137">
        <v>112.12</v>
      </c>
      <c r="AD10" s="1137">
        <v>103.633</v>
      </c>
      <c r="AE10" s="1137">
        <v>116.78400000000001</v>
      </c>
      <c r="AF10" s="1137">
        <v>110.021</v>
      </c>
      <c r="AG10" s="1137">
        <v>121.154</v>
      </c>
      <c r="AH10" s="1222">
        <v>118.93899999999999</v>
      </c>
      <c r="AI10" s="1222">
        <v>119.46899999999999</v>
      </c>
      <c r="AJ10" s="1222">
        <v>125.40600000000001</v>
      </c>
      <c r="AK10" s="1138">
        <v>165.12</v>
      </c>
      <c r="AL10" s="1137">
        <v>91.108000000000004</v>
      </c>
      <c r="AM10" s="1222">
        <v>160.44499999999999</v>
      </c>
      <c r="AN10" s="1222">
        <v>178.48400000000001</v>
      </c>
      <c r="AO10" s="1222">
        <v>162.11699999999999</v>
      </c>
      <c r="AP10" s="1137">
        <v>181.45500000000001</v>
      </c>
      <c r="AQ10" s="1137">
        <v>178.196</v>
      </c>
      <c r="AR10" s="1137">
        <v>178.06700000000001</v>
      </c>
      <c r="AS10" s="1137">
        <v>181.15700000000001</v>
      </c>
      <c r="AT10" s="1137">
        <v>172.11600000000001</v>
      </c>
      <c r="AU10" s="1137">
        <v>186.50399999999999</v>
      </c>
      <c r="AV10" s="1137">
        <v>184.05699999999999</v>
      </c>
      <c r="AW10" s="1138">
        <v>265.69499999999999</v>
      </c>
      <c r="AX10" s="1663">
        <v>111.621</v>
      </c>
      <c r="AY10" s="1663">
        <v>176.43299999999999</v>
      </c>
      <c r="AZ10" s="1663">
        <v>167.42500000000001</v>
      </c>
      <c r="BA10" s="1663">
        <v>179.054</v>
      </c>
      <c r="BB10" s="1663">
        <v>194.55</v>
      </c>
      <c r="BC10" s="1663">
        <v>165.25399999999999</v>
      </c>
      <c r="BD10" s="1663">
        <v>214.07499999999999</v>
      </c>
      <c r="BE10" s="1663">
        <v>187.852</v>
      </c>
      <c r="BF10" s="1663">
        <v>185.47</v>
      </c>
      <c r="BG10" s="1663">
        <v>208.68299999999999</v>
      </c>
      <c r="BH10" s="1663">
        <v>180.74600000000001</v>
      </c>
      <c r="BI10" s="1138">
        <v>255.642</v>
      </c>
      <c r="BJ10" s="1663">
        <v>116.986</v>
      </c>
      <c r="BK10" s="1663">
        <v>169.04900000000001</v>
      </c>
      <c r="BL10" s="1663">
        <v>160.893</v>
      </c>
      <c r="BM10" s="1663">
        <v>193.393</v>
      </c>
      <c r="BN10" s="1663">
        <v>222.107</v>
      </c>
      <c r="BO10" s="1663">
        <v>186.80199999999999</v>
      </c>
      <c r="BP10" s="1663">
        <v>218.465</v>
      </c>
      <c r="BQ10" s="1663">
        <v>189.21899999999999</v>
      </c>
      <c r="BR10" s="1663">
        <v>203.18199999999999</v>
      </c>
      <c r="BS10" s="1663">
        <v>220.79300000000001</v>
      </c>
      <c r="BT10" s="1663">
        <v>192.82499999999999</v>
      </c>
      <c r="BU10" s="1138">
        <v>304.26499999999999</v>
      </c>
      <c r="BV10" s="1663">
        <v>129.79300000000001</v>
      </c>
      <c r="BW10" s="1663">
        <v>181.93100000000001</v>
      </c>
      <c r="BX10" s="1663">
        <v>175.19900000000001</v>
      </c>
      <c r="BY10" s="1663">
        <v>201.05799999999999</v>
      </c>
      <c r="BZ10" s="1663">
        <v>221.613</v>
      </c>
      <c r="CA10" s="1663">
        <v>218.54400000000001</v>
      </c>
    </row>
    <row r="11" spans="1:79" ht="20.25" customHeight="1">
      <c r="A11" s="1450" t="s">
        <v>3133</v>
      </c>
      <c r="B11" s="1139">
        <v>1.0329999999999999</v>
      </c>
      <c r="C11" s="1139">
        <v>1.327</v>
      </c>
      <c r="D11" s="1139">
        <v>1.6</v>
      </c>
      <c r="E11" s="1139">
        <v>1.2110000000000001</v>
      </c>
      <c r="F11" s="1139">
        <v>1.0569999999999999</v>
      </c>
      <c r="G11" s="1139">
        <v>1.1479999999999999</v>
      </c>
      <c r="H11" s="1139">
        <v>1.167</v>
      </c>
      <c r="I11" s="1139">
        <v>1.153</v>
      </c>
      <c r="J11" s="1139">
        <v>1.153</v>
      </c>
      <c r="K11" s="1139">
        <v>1</v>
      </c>
      <c r="L11" s="1139">
        <v>1</v>
      </c>
      <c r="M11" s="1139">
        <v>1</v>
      </c>
      <c r="N11" s="1139">
        <v>0.92500000000000004</v>
      </c>
      <c r="O11" s="1139">
        <v>0.84099999999999997</v>
      </c>
      <c r="P11" s="1139">
        <v>1</v>
      </c>
      <c r="Q11" s="1139">
        <v>1</v>
      </c>
      <c r="R11" s="1139">
        <v>1</v>
      </c>
      <c r="S11" s="1139">
        <v>1</v>
      </c>
      <c r="T11" s="1139">
        <v>1</v>
      </c>
      <c r="U11" s="1139">
        <v>1</v>
      </c>
      <c r="V11" s="1139">
        <v>0.92500000000000004</v>
      </c>
      <c r="W11" s="1139">
        <v>1</v>
      </c>
      <c r="X11" s="1139">
        <v>1</v>
      </c>
      <c r="Y11" s="1139">
        <v>1</v>
      </c>
      <c r="Z11" s="1139">
        <v>1</v>
      </c>
      <c r="AA11" s="1139">
        <v>1</v>
      </c>
      <c r="AB11" s="1139">
        <v>0.96399999999999997</v>
      </c>
      <c r="AC11" s="1139">
        <v>0.94799999999999995</v>
      </c>
      <c r="AD11" s="1139">
        <v>0.78400000000000003</v>
      </c>
      <c r="AE11" s="1139">
        <v>0.83199999999999996</v>
      </c>
      <c r="AF11" s="1139">
        <v>0.80100000000000005</v>
      </c>
      <c r="AG11" s="1139">
        <v>0.96699999999999997</v>
      </c>
      <c r="AH11" s="1223">
        <v>1.335</v>
      </c>
      <c r="AI11" s="1223">
        <v>1.6930000000000001</v>
      </c>
      <c r="AJ11" s="1223">
        <v>1.7509999999999999</v>
      </c>
      <c r="AK11" s="1140">
        <v>1.956</v>
      </c>
      <c r="AL11" s="1139">
        <v>1.4690000000000001</v>
      </c>
      <c r="AM11" s="1223">
        <v>1.6080000000000001</v>
      </c>
      <c r="AN11" s="1223">
        <v>1.6870000000000001</v>
      </c>
      <c r="AO11" s="1223">
        <v>1.518</v>
      </c>
      <c r="AP11" s="1139">
        <v>1.7450000000000001</v>
      </c>
      <c r="AQ11" s="1139">
        <v>1.4379999999999999</v>
      </c>
      <c r="AR11" s="1139">
        <v>1.7729999999999999</v>
      </c>
      <c r="AS11" s="1139">
        <v>1.778</v>
      </c>
      <c r="AT11" s="1139">
        <v>1.5349999999999999</v>
      </c>
      <c r="AU11" s="1139">
        <v>1.641</v>
      </c>
      <c r="AV11" s="1139">
        <v>1.5740000000000001</v>
      </c>
      <c r="AW11" s="1140">
        <v>1.9039999999999999</v>
      </c>
      <c r="AX11" s="1664">
        <v>1.26</v>
      </c>
      <c r="AY11" s="1664">
        <v>1.544</v>
      </c>
      <c r="AZ11" s="1664">
        <v>1.177</v>
      </c>
      <c r="BA11" s="1664">
        <v>1.506</v>
      </c>
      <c r="BB11" s="1664">
        <v>1.5920000000000001</v>
      </c>
      <c r="BC11" s="1664">
        <v>1.2110000000000001</v>
      </c>
      <c r="BD11" s="1664">
        <v>1.5920000000000001</v>
      </c>
      <c r="BE11" s="1664">
        <v>1.2549999999999999</v>
      </c>
      <c r="BF11" s="1664">
        <v>1.119</v>
      </c>
      <c r="BG11" s="1664">
        <v>1.0980000000000001</v>
      </c>
      <c r="BH11" s="1664">
        <v>1.0349999999999999</v>
      </c>
      <c r="BI11" s="1140">
        <v>1.3440000000000001</v>
      </c>
      <c r="BJ11" s="1664">
        <v>1.1040000000000001</v>
      </c>
      <c r="BK11" s="1664">
        <v>1.0820000000000001</v>
      </c>
      <c r="BL11" s="1664">
        <v>0.89400000000000002</v>
      </c>
      <c r="BM11" s="1664">
        <v>1.232</v>
      </c>
      <c r="BN11" s="1664">
        <v>1.39</v>
      </c>
      <c r="BO11" s="1664">
        <v>1.417</v>
      </c>
      <c r="BP11" s="1664">
        <v>1.6759999999999999</v>
      </c>
      <c r="BQ11" s="1664">
        <v>1.5880000000000001</v>
      </c>
      <c r="BR11" s="1664">
        <v>1.548</v>
      </c>
      <c r="BS11" s="1664">
        <v>1.5940000000000001</v>
      </c>
      <c r="BT11" s="1664">
        <v>1.3240000000000001</v>
      </c>
      <c r="BU11" s="1140">
        <v>1.72</v>
      </c>
      <c r="BV11" s="1664">
        <v>1.1479999999999999</v>
      </c>
      <c r="BW11" s="1664">
        <v>1.224</v>
      </c>
      <c r="BX11" s="1664">
        <v>1.1240000000000001</v>
      </c>
      <c r="BY11" s="1664">
        <v>1.605</v>
      </c>
      <c r="BZ11" s="1664">
        <v>1.387</v>
      </c>
      <c r="CA11" s="1664">
        <v>1.6679999999999999</v>
      </c>
    </row>
    <row r="12" spans="1:79" ht="20.25" customHeight="1">
      <c r="A12" s="1450" t="s">
        <v>3134</v>
      </c>
      <c r="B12" s="1139">
        <v>43.232999999999997</v>
      </c>
      <c r="C12" s="1139">
        <v>49.356999999999999</v>
      </c>
      <c r="D12" s="1139">
        <v>47.652000000000001</v>
      </c>
      <c r="E12" s="1139">
        <v>43.192999999999998</v>
      </c>
      <c r="F12" s="1139">
        <v>40.622999999999998</v>
      </c>
      <c r="G12" s="1139">
        <v>48.697000000000003</v>
      </c>
      <c r="H12" s="1139">
        <v>50.662999999999997</v>
      </c>
      <c r="I12" s="1139">
        <v>49.795000000000002</v>
      </c>
      <c r="J12" s="1139">
        <v>55</v>
      </c>
      <c r="K12" s="1139">
        <v>54</v>
      </c>
      <c r="L12" s="1139">
        <v>52</v>
      </c>
      <c r="M12" s="1139">
        <v>67</v>
      </c>
      <c r="N12" s="1139">
        <v>45.372</v>
      </c>
      <c r="O12" s="1139">
        <v>51.709000000000003</v>
      </c>
      <c r="P12" s="1139">
        <v>55</v>
      </c>
      <c r="Q12" s="1139">
        <v>63</v>
      </c>
      <c r="R12" s="1139">
        <v>55</v>
      </c>
      <c r="S12" s="1139">
        <v>66</v>
      </c>
      <c r="T12" s="1139">
        <v>67</v>
      </c>
      <c r="U12" s="1139">
        <v>69</v>
      </c>
      <c r="V12" s="1139">
        <v>70</v>
      </c>
      <c r="W12" s="1139">
        <v>72</v>
      </c>
      <c r="X12" s="1139">
        <v>76</v>
      </c>
      <c r="Y12" s="1139">
        <v>92</v>
      </c>
      <c r="Z12" s="1139">
        <v>60</v>
      </c>
      <c r="AA12" s="1139">
        <v>71</v>
      </c>
      <c r="AB12" s="1139">
        <v>76.17</v>
      </c>
      <c r="AC12" s="1139">
        <v>83.230999999999995</v>
      </c>
      <c r="AD12" s="1139">
        <v>79.584999999999994</v>
      </c>
      <c r="AE12" s="1139">
        <v>87.06</v>
      </c>
      <c r="AF12" s="1139">
        <v>81.540000000000006</v>
      </c>
      <c r="AG12" s="1139">
        <v>93.283000000000001</v>
      </c>
      <c r="AH12" s="1223">
        <v>89.516999999999996</v>
      </c>
      <c r="AI12" s="1223">
        <v>91.67</v>
      </c>
      <c r="AJ12" s="1223">
        <v>93.113</v>
      </c>
      <c r="AK12" s="1140">
        <v>113.456</v>
      </c>
      <c r="AL12" s="1139">
        <v>75.927000000000007</v>
      </c>
      <c r="AM12" s="1223">
        <v>85.444999999999993</v>
      </c>
      <c r="AN12" s="1223">
        <v>95.424000000000007</v>
      </c>
      <c r="AO12" s="1223">
        <v>96.069000000000003</v>
      </c>
      <c r="AP12" s="1139">
        <v>106.56399999999999</v>
      </c>
      <c r="AQ12" s="1139">
        <v>95.251999999999995</v>
      </c>
      <c r="AR12" s="1139">
        <v>107.83199999999999</v>
      </c>
      <c r="AS12" s="1139">
        <v>109.703</v>
      </c>
      <c r="AT12" s="1139">
        <v>101.607</v>
      </c>
      <c r="AU12" s="1139">
        <v>109.68899999999999</v>
      </c>
      <c r="AV12" s="1139">
        <v>107.363</v>
      </c>
      <c r="AW12" s="1140">
        <v>133.97800000000001</v>
      </c>
      <c r="AX12" s="1664">
        <v>91.165999999999997</v>
      </c>
      <c r="AY12" s="1664">
        <v>105.762</v>
      </c>
      <c r="AZ12" s="1664">
        <v>96.478999999999999</v>
      </c>
      <c r="BA12" s="1664">
        <v>115.211</v>
      </c>
      <c r="BB12" s="1664">
        <v>120</v>
      </c>
      <c r="BC12" s="1664">
        <v>103.062</v>
      </c>
      <c r="BD12" s="1664">
        <v>130.65199999999999</v>
      </c>
      <c r="BE12" s="1664">
        <v>121.59399999999999</v>
      </c>
      <c r="BF12" s="1664">
        <v>121.059</v>
      </c>
      <c r="BG12" s="1664">
        <v>130.596</v>
      </c>
      <c r="BH12" s="1664">
        <v>106.492</v>
      </c>
      <c r="BI12" s="1140">
        <v>135.935</v>
      </c>
      <c r="BJ12" s="1664">
        <v>90.712000000000003</v>
      </c>
      <c r="BK12" s="1664">
        <v>100.834</v>
      </c>
      <c r="BL12" s="1664">
        <v>89.442999999999998</v>
      </c>
      <c r="BM12" s="1664">
        <v>123.58199999999999</v>
      </c>
      <c r="BN12" s="1664">
        <v>118.14700000000001</v>
      </c>
      <c r="BO12" s="1664">
        <v>110.336</v>
      </c>
      <c r="BP12" s="1664">
        <v>133.41900000000001</v>
      </c>
      <c r="BQ12" s="1664">
        <v>120.35</v>
      </c>
      <c r="BR12" s="1664">
        <v>125.71599999999999</v>
      </c>
      <c r="BS12" s="1664">
        <v>132.41999999999999</v>
      </c>
      <c r="BT12" s="1664">
        <v>117.642</v>
      </c>
      <c r="BU12" s="1140">
        <v>163.39099999999999</v>
      </c>
      <c r="BV12" s="1664">
        <v>106.657</v>
      </c>
      <c r="BW12" s="1664">
        <v>116.959</v>
      </c>
      <c r="BX12" s="1664">
        <v>107.482</v>
      </c>
      <c r="BY12" s="1664">
        <v>136.58699999999999</v>
      </c>
      <c r="BZ12" s="1664">
        <v>119.842</v>
      </c>
      <c r="CA12" s="1664">
        <v>146.346</v>
      </c>
    </row>
    <row r="13" spans="1:79" ht="20.25" customHeight="1">
      <c r="A13" s="1450" t="s">
        <v>3135</v>
      </c>
      <c r="B13" s="1139">
        <v>6.5270000000000001</v>
      </c>
      <c r="C13" s="1139">
        <v>19.126000000000001</v>
      </c>
      <c r="D13" s="1139">
        <v>21.568999999999999</v>
      </c>
      <c r="E13" s="1139">
        <v>17.343</v>
      </c>
      <c r="F13" s="1139">
        <v>16.666</v>
      </c>
      <c r="G13" s="1139">
        <v>20.895</v>
      </c>
      <c r="H13" s="1139">
        <v>27.818000000000001</v>
      </c>
      <c r="I13" s="1139">
        <v>25.847999999999999</v>
      </c>
      <c r="J13" s="1139">
        <v>27</v>
      </c>
      <c r="K13" s="1139">
        <v>30</v>
      </c>
      <c r="L13" s="1139">
        <v>27</v>
      </c>
      <c r="M13" s="1139">
        <v>52</v>
      </c>
      <c r="N13" s="1139">
        <v>4.9809999999999999</v>
      </c>
      <c r="O13" s="1139">
        <v>23.169</v>
      </c>
      <c r="P13" s="1139">
        <v>26</v>
      </c>
      <c r="Q13" s="1139">
        <v>26</v>
      </c>
      <c r="R13" s="1139">
        <v>23</v>
      </c>
      <c r="S13" s="1139">
        <v>26</v>
      </c>
      <c r="T13" s="1139">
        <v>30</v>
      </c>
      <c r="U13" s="1139">
        <v>25</v>
      </c>
      <c r="V13" s="1139">
        <v>28</v>
      </c>
      <c r="W13" s="1139">
        <v>28</v>
      </c>
      <c r="X13" s="1139">
        <v>30</v>
      </c>
      <c r="Y13" s="1139">
        <v>49</v>
      </c>
      <c r="Z13" s="1139">
        <v>6</v>
      </c>
      <c r="AA13" s="1139">
        <v>23</v>
      </c>
      <c r="AB13" s="1139">
        <v>26.706</v>
      </c>
      <c r="AC13" s="1139">
        <v>27.940999999999999</v>
      </c>
      <c r="AD13" s="1139">
        <v>23.263999999999999</v>
      </c>
      <c r="AE13" s="1139">
        <v>28.891999999999999</v>
      </c>
      <c r="AF13" s="1139">
        <v>27.68</v>
      </c>
      <c r="AG13" s="1139">
        <v>26.904</v>
      </c>
      <c r="AH13" s="1223">
        <v>28.087</v>
      </c>
      <c r="AI13" s="1223">
        <v>26.106000000000002</v>
      </c>
      <c r="AJ13" s="1223">
        <v>30.542000000000002</v>
      </c>
      <c r="AK13" s="1140">
        <v>49.707999999999998</v>
      </c>
      <c r="AL13" s="1139">
        <v>13.712</v>
      </c>
      <c r="AM13" s="1223">
        <v>73.391999999999996</v>
      </c>
      <c r="AN13" s="1223">
        <v>81.373000000000005</v>
      </c>
      <c r="AO13" s="1223">
        <v>64.53</v>
      </c>
      <c r="AP13" s="1139">
        <v>73.146000000000001</v>
      </c>
      <c r="AQ13" s="1139">
        <v>81.506</v>
      </c>
      <c r="AR13" s="1139">
        <v>68.462000000000003</v>
      </c>
      <c r="AS13" s="1139">
        <v>69.676000000000002</v>
      </c>
      <c r="AT13" s="1139">
        <v>68.974000000000004</v>
      </c>
      <c r="AU13" s="1139">
        <v>75.174000000000007</v>
      </c>
      <c r="AV13" s="1139">
        <v>75.12</v>
      </c>
      <c r="AW13" s="1140">
        <v>129.81299999999999</v>
      </c>
      <c r="AX13" s="1664">
        <v>19.195</v>
      </c>
      <c r="AY13" s="1664">
        <v>69.126999999999995</v>
      </c>
      <c r="AZ13" s="1664">
        <v>69.769000000000005</v>
      </c>
      <c r="BA13" s="1664">
        <v>62.337000000000003</v>
      </c>
      <c r="BB13" s="1664">
        <v>72.957999999999998</v>
      </c>
      <c r="BC13" s="1664">
        <v>60.981000000000002</v>
      </c>
      <c r="BD13" s="1664">
        <v>81.831000000000003</v>
      </c>
      <c r="BE13" s="1664">
        <v>65.003</v>
      </c>
      <c r="BF13" s="1664">
        <v>63.292000000000002</v>
      </c>
      <c r="BG13" s="1664">
        <v>76.989000000000004</v>
      </c>
      <c r="BH13" s="1664">
        <v>73.218999999999994</v>
      </c>
      <c r="BI13" s="1140">
        <v>118.363</v>
      </c>
      <c r="BJ13" s="1664">
        <v>25.17</v>
      </c>
      <c r="BK13" s="1664">
        <v>67.132999999999996</v>
      </c>
      <c r="BL13" s="1664">
        <v>70.555999999999997</v>
      </c>
      <c r="BM13" s="1664">
        <v>68.578999999999994</v>
      </c>
      <c r="BN13" s="1664">
        <v>102.57</v>
      </c>
      <c r="BO13" s="1664">
        <v>75.049000000000007</v>
      </c>
      <c r="BP13" s="1664">
        <v>83.37</v>
      </c>
      <c r="BQ13" s="1664">
        <v>67.281000000000006</v>
      </c>
      <c r="BR13" s="1664">
        <v>75.918000000000006</v>
      </c>
      <c r="BS13" s="1664">
        <v>86.778999999999996</v>
      </c>
      <c r="BT13" s="1664">
        <v>73.858999999999995</v>
      </c>
      <c r="BU13" s="1140">
        <v>139.154</v>
      </c>
      <c r="BV13" s="1664">
        <v>21.988</v>
      </c>
      <c r="BW13" s="1664">
        <v>63.747999999999998</v>
      </c>
      <c r="BX13" s="1664">
        <v>66.593000000000004</v>
      </c>
      <c r="BY13" s="1664">
        <v>62.866</v>
      </c>
      <c r="BZ13" s="1664">
        <v>100.384</v>
      </c>
      <c r="CA13" s="1664">
        <v>70.53</v>
      </c>
    </row>
    <row r="14" spans="1:79" s="1135" customFormat="1" ht="20.25" customHeight="1">
      <c r="A14" s="1136" t="s">
        <v>3136</v>
      </c>
      <c r="B14" s="1137">
        <f t="shared" ref="B14:I14" si="1">SUM(B15:B17)</f>
        <v>5029.5210000000006</v>
      </c>
      <c r="C14" s="1137">
        <f t="shared" si="1"/>
        <v>4704.0060000000003</v>
      </c>
      <c r="D14" s="1137">
        <f t="shared" si="1"/>
        <v>4585.58</v>
      </c>
      <c r="E14" s="1137">
        <f t="shared" si="1"/>
        <v>3825.4509999999996</v>
      </c>
      <c r="F14" s="1137">
        <f t="shared" si="1"/>
        <v>4521.5650000000005</v>
      </c>
      <c r="G14" s="1137">
        <f t="shared" si="1"/>
        <v>4616.8650000000007</v>
      </c>
      <c r="H14" s="1137">
        <f t="shared" si="1"/>
        <v>4870.1140000000005</v>
      </c>
      <c r="I14" s="1137">
        <f t="shared" si="1"/>
        <v>5238.8770000000004</v>
      </c>
      <c r="J14" s="1137">
        <v>5277</v>
      </c>
      <c r="K14" s="1137">
        <v>5057</v>
      </c>
      <c r="L14" s="1137">
        <v>5244</v>
      </c>
      <c r="M14" s="1137">
        <v>5946</v>
      </c>
      <c r="N14" s="1137">
        <f>SUM(N15:N17)</f>
        <v>5415.2730000000001</v>
      </c>
      <c r="O14" s="1137">
        <f>SUM(O15:O17)</f>
        <v>5777.7629999999999</v>
      </c>
      <c r="P14" s="1137">
        <v>6668</v>
      </c>
      <c r="Q14" s="1137">
        <v>6425</v>
      </c>
      <c r="R14" s="1137">
        <v>5086</v>
      </c>
      <c r="S14" s="1137">
        <v>5688</v>
      </c>
      <c r="T14" s="1137">
        <v>4956</v>
      </c>
      <c r="U14" s="1137">
        <v>5761</v>
      </c>
      <c r="V14" s="1137">
        <f>SUM(V15:V17)</f>
        <v>5510</v>
      </c>
      <c r="W14" s="1137">
        <v>5623</v>
      </c>
      <c r="X14" s="1137">
        <v>6119</v>
      </c>
      <c r="Y14" s="1137">
        <v>6610</v>
      </c>
      <c r="Z14" s="1137">
        <v>6018</v>
      </c>
      <c r="AA14" s="1137">
        <v>5920</v>
      </c>
      <c r="AB14" s="1137">
        <v>6285.8180000000002</v>
      </c>
      <c r="AC14" s="1137">
        <v>6480.875</v>
      </c>
      <c r="AD14" s="1137">
        <v>6720.6639999999998</v>
      </c>
      <c r="AE14" s="1137">
        <v>6751.2380000000003</v>
      </c>
      <c r="AF14" s="1137">
        <v>6965.4570000000003</v>
      </c>
      <c r="AG14" s="1137">
        <v>9746.1890000000003</v>
      </c>
      <c r="AH14" s="1222">
        <v>9486.7710000000006</v>
      </c>
      <c r="AI14" s="1222">
        <v>11063.34</v>
      </c>
      <c r="AJ14" s="1222">
        <v>9989.2260000000006</v>
      </c>
      <c r="AK14" s="1138">
        <v>10468.868</v>
      </c>
      <c r="AL14" s="1137">
        <v>10204.352999999999</v>
      </c>
      <c r="AM14" s="1222">
        <v>10531.706</v>
      </c>
      <c r="AN14" s="1222">
        <v>11058.906999999999</v>
      </c>
      <c r="AO14" s="1222">
        <v>10624.512000000001</v>
      </c>
      <c r="AP14" s="1137">
        <v>12614.641</v>
      </c>
      <c r="AQ14" s="1137">
        <v>12206.165999999999</v>
      </c>
      <c r="AR14" s="1137">
        <v>15076.252</v>
      </c>
      <c r="AS14" s="1137">
        <v>12575.754999999999</v>
      </c>
      <c r="AT14" s="1137">
        <v>11811.055</v>
      </c>
      <c r="AU14" s="1137">
        <v>13151.196</v>
      </c>
      <c r="AV14" s="1137">
        <v>12260.946</v>
      </c>
      <c r="AW14" s="1138">
        <v>12921.254000000001</v>
      </c>
      <c r="AX14" s="1663">
        <v>12173.221</v>
      </c>
      <c r="AY14" s="1663">
        <v>12465.625</v>
      </c>
      <c r="AZ14" s="1663">
        <v>12973.259</v>
      </c>
      <c r="BA14" s="1663">
        <v>14054.401</v>
      </c>
      <c r="BB14" s="1663">
        <v>14006.873</v>
      </c>
      <c r="BC14" s="1663">
        <v>12766.877</v>
      </c>
      <c r="BD14" s="1663">
        <v>13623.405000000001</v>
      </c>
      <c r="BE14" s="1663">
        <v>14166.255999999999</v>
      </c>
      <c r="BF14" s="1663">
        <v>14982.645</v>
      </c>
      <c r="BG14" s="1663">
        <v>15468.522000000001</v>
      </c>
      <c r="BH14" s="1663">
        <v>13963.672</v>
      </c>
      <c r="BI14" s="1138">
        <v>14892.757</v>
      </c>
      <c r="BJ14" s="1663">
        <v>14148.753000000001</v>
      </c>
      <c r="BK14" s="1663">
        <v>13408.712</v>
      </c>
      <c r="BL14" s="1663">
        <v>14940.553</v>
      </c>
      <c r="BM14" s="1663">
        <v>15069.36</v>
      </c>
      <c r="BN14" s="1663">
        <v>9667.607</v>
      </c>
      <c r="BO14" s="1663">
        <v>9911.6740000000009</v>
      </c>
      <c r="BP14" s="1663">
        <v>10390.945</v>
      </c>
      <c r="BQ14" s="1663">
        <v>9395.8179999999993</v>
      </c>
      <c r="BR14" s="1663">
        <v>9128.7540000000008</v>
      </c>
      <c r="BS14" s="1663">
        <v>9160.8649999999998</v>
      </c>
      <c r="BT14" s="1663">
        <v>8039.5159999999996</v>
      </c>
      <c r="BU14" s="1138">
        <v>9559.2829999999994</v>
      </c>
      <c r="BV14" s="1663">
        <v>8549.8369999999995</v>
      </c>
      <c r="BW14" s="1663">
        <v>7821.86</v>
      </c>
      <c r="BX14" s="1663">
        <v>7879.2709999999997</v>
      </c>
      <c r="BY14" s="1663">
        <v>8827.2289999999994</v>
      </c>
      <c r="BZ14" s="1663">
        <v>7302.4459999999999</v>
      </c>
      <c r="CA14" s="1663">
        <v>9082.1970000000001</v>
      </c>
    </row>
    <row r="15" spans="1:79" ht="20.25" customHeight="1">
      <c r="A15" s="1141" t="s">
        <v>3133</v>
      </c>
      <c r="B15" s="1139">
        <v>3.2320000000000002</v>
      </c>
      <c r="C15" s="1139">
        <v>3.8010000000000002</v>
      </c>
      <c r="D15" s="1139">
        <v>3.8889999999999998</v>
      </c>
      <c r="E15" s="1139">
        <v>3.9119999999999999</v>
      </c>
      <c r="F15" s="1139">
        <v>3.331</v>
      </c>
      <c r="G15" s="1139">
        <v>9.6129999999999995</v>
      </c>
      <c r="H15" s="1139">
        <v>4.915</v>
      </c>
      <c r="I15" s="1139">
        <v>4.4660000000000002</v>
      </c>
      <c r="J15" s="1139">
        <v>7</v>
      </c>
      <c r="K15" s="1139">
        <v>2</v>
      </c>
      <c r="L15" s="1139">
        <v>4</v>
      </c>
      <c r="M15" s="1139">
        <v>2</v>
      </c>
      <c r="N15" s="1139">
        <v>3.4929999999999999</v>
      </c>
      <c r="O15" s="1139">
        <v>4.298</v>
      </c>
      <c r="P15" s="1139">
        <v>4</v>
      </c>
      <c r="Q15" s="1139">
        <v>5</v>
      </c>
      <c r="R15" s="1139">
        <v>4</v>
      </c>
      <c r="S15" s="1139">
        <v>5</v>
      </c>
      <c r="T15" s="1139">
        <v>5</v>
      </c>
      <c r="U15" s="1139">
        <v>4</v>
      </c>
      <c r="V15" s="1139">
        <v>4</v>
      </c>
      <c r="W15" s="1139">
        <v>6</v>
      </c>
      <c r="X15" s="1139">
        <v>5</v>
      </c>
      <c r="Y15" s="1139">
        <v>6</v>
      </c>
      <c r="Z15" s="1139">
        <v>4</v>
      </c>
      <c r="AA15" s="1139">
        <v>5</v>
      </c>
      <c r="AB15" s="1139">
        <v>5.0720000000000001</v>
      </c>
      <c r="AC15" s="1139">
        <v>5.73</v>
      </c>
      <c r="AD15" s="1139">
        <v>4.5380000000000003</v>
      </c>
      <c r="AE15" s="1139">
        <v>4.7229999999999999</v>
      </c>
      <c r="AF15" s="1139">
        <v>5.2859999999999996</v>
      </c>
      <c r="AG15" s="1139">
        <v>4.9240000000000004</v>
      </c>
      <c r="AH15" s="1223">
        <v>4.734</v>
      </c>
      <c r="AI15" s="1223">
        <v>5.4029999999999996</v>
      </c>
      <c r="AJ15" s="1223">
        <v>5.7910000000000004</v>
      </c>
      <c r="AK15" s="1140">
        <v>7.4249999999999998</v>
      </c>
      <c r="AL15" s="1139">
        <v>3.806</v>
      </c>
      <c r="AM15" s="1223">
        <v>5.6159999999999997</v>
      </c>
      <c r="AN15" s="1223">
        <v>5.5309999999999997</v>
      </c>
      <c r="AO15" s="1223">
        <v>5.7619999999999996</v>
      </c>
      <c r="AP15" s="1139">
        <v>5.7050000000000001</v>
      </c>
      <c r="AQ15" s="1139">
        <v>5.101</v>
      </c>
      <c r="AR15" s="1139">
        <v>5.4550000000000001</v>
      </c>
      <c r="AS15" s="1139">
        <v>5.6980000000000004</v>
      </c>
      <c r="AT15" s="1139">
        <v>5.22</v>
      </c>
      <c r="AU15" s="1139">
        <v>6.2560000000000002</v>
      </c>
      <c r="AV15" s="1139">
        <v>5.4450000000000003</v>
      </c>
      <c r="AW15" s="1140">
        <v>8.4540000000000006</v>
      </c>
      <c r="AX15" s="1664">
        <v>2.82</v>
      </c>
      <c r="AY15" s="1664">
        <v>4.2350000000000003</v>
      </c>
      <c r="AZ15" s="1664">
        <v>3.8039999999999998</v>
      </c>
      <c r="BA15" s="1664">
        <v>4.4320000000000004</v>
      </c>
      <c r="BB15" s="1664">
        <v>4.0940000000000003</v>
      </c>
      <c r="BC15" s="1664">
        <v>3.2719999999999998</v>
      </c>
      <c r="BD15" s="1664">
        <v>4.4089999999999998</v>
      </c>
      <c r="BE15" s="1664">
        <v>3.8239999999999998</v>
      </c>
      <c r="BF15" s="1664">
        <v>3.6560000000000001</v>
      </c>
      <c r="BG15" s="1664">
        <v>3.9910000000000001</v>
      </c>
      <c r="BH15" s="1664">
        <v>4.3070000000000004</v>
      </c>
      <c r="BI15" s="1140">
        <v>5.6630000000000003</v>
      </c>
      <c r="BJ15" s="1664">
        <v>1.55</v>
      </c>
      <c r="BK15" s="1664">
        <v>3.9929999999999999</v>
      </c>
      <c r="BL15" s="1664">
        <v>3.94</v>
      </c>
      <c r="BM15" s="1664">
        <v>3.9510000000000001</v>
      </c>
      <c r="BN15" s="1664">
        <v>4.2190000000000003</v>
      </c>
      <c r="BO15" s="1664">
        <v>3.5910000000000002</v>
      </c>
      <c r="BP15" s="1664">
        <v>4.4370000000000003</v>
      </c>
      <c r="BQ15" s="1664">
        <v>4.1040000000000001</v>
      </c>
      <c r="BR15" s="1664">
        <v>3.984</v>
      </c>
      <c r="BS15" s="1664">
        <v>4.532</v>
      </c>
      <c r="BT15" s="1664">
        <v>4.0380000000000003</v>
      </c>
      <c r="BU15" s="1140">
        <v>6.3109999999999999</v>
      </c>
      <c r="BV15" s="1664">
        <v>2.1739999999999999</v>
      </c>
      <c r="BW15" s="1664">
        <v>3.871</v>
      </c>
      <c r="BX15" s="1664">
        <v>3.5070000000000001</v>
      </c>
      <c r="BY15" s="1664">
        <v>4.6260000000000003</v>
      </c>
      <c r="BZ15" s="1664">
        <v>3.3210000000000002</v>
      </c>
      <c r="CA15" s="1664">
        <v>3.714</v>
      </c>
    </row>
    <row r="16" spans="1:79" ht="20.25" customHeight="1">
      <c r="A16" s="1141" t="s">
        <v>3134</v>
      </c>
      <c r="B16" s="1139">
        <v>5017.7030000000004</v>
      </c>
      <c r="C16" s="1139">
        <v>4680.8850000000002</v>
      </c>
      <c r="D16" s="1139">
        <v>4560.9920000000002</v>
      </c>
      <c r="E16" s="1139">
        <v>3802.116</v>
      </c>
      <c r="F16" s="1139">
        <v>4498.9970000000003</v>
      </c>
      <c r="G16" s="1139">
        <v>4583.9250000000002</v>
      </c>
      <c r="H16" s="1139">
        <v>4838.6180000000004</v>
      </c>
      <c r="I16" s="1139">
        <v>5207.83</v>
      </c>
      <c r="J16" s="1139">
        <v>5243</v>
      </c>
      <c r="K16" s="1139">
        <v>5023</v>
      </c>
      <c r="L16" s="1139">
        <v>5214</v>
      </c>
      <c r="M16" s="1139">
        <v>5883</v>
      </c>
      <c r="N16" s="1139">
        <v>5403.1639999999998</v>
      </c>
      <c r="O16" s="1139">
        <v>5750.2830000000004</v>
      </c>
      <c r="P16" s="1139">
        <v>6636</v>
      </c>
      <c r="Q16" s="1139">
        <v>6390</v>
      </c>
      <c r="R16" s="1139">
        <v>5056</v>
      </c>
      <c r="S16" s="1139">
        <v>5654</v>
      </c>
      <c r="T16" s="1139">
        <v>4921</v>
      </c>
      <c r="U16" s="1139">
        <v>5728</v>
      </c>
      <c r="V16" s="1139">
        <v>5474</v>
      </c>
      <c r="W16" s="1139">
        <v>5585</v>
      </c>
      <c r="X16" s="1139">
        <v>6080</v>
      </c>
      <c r="Y16" s="1139">
        <v>6545</v>
      </c>
      <c r="Z16" s="1139">
        <v>6003</v>
      </c>
      <c r="AA16" s="1139">
        <v>5891</v>
      </c>
      <c r="AB16" s="1139">
        <v>6252.9579999999996</v>
      </c>
      <c r="AC16" s="1139">
        <v>6443.2120000000004</v>
      </c>
      <c r="AD16" s="1139">
        <v>6689.6760000000004</v>
      </c>
      <c r="AE16" s="1139">
        <v>6717.6819999999998</v>
      </c>
      <c r="AF16" s="1139">
        <v>6932.9589999999998</v>
      </c>
      <c r="AG16" s="1139">
        <v>9711.94</v>
      </c>
      <c r="AH16" s="1223">
        <v>9452.3179999999993</v>
      </c>
      <c r="AI16" s="1223">
        <v>11029.023999999999</v>
      </c>
      <c r="AJ16" s="1223">
        <v>9949.5640000000003</v>
      </c>
      <c r="AK16" s="1140">
        <v>10402.994000000001</v>
      </c>
      <c r="AL16" s="1139">
        <v>10189.223</v>
      </c>
      <c r="AM16" s="1223">
        <v>10499.553</v>
      </c>
      <c r="AN16" s="1223">
        <v>11024.166999999999</v>
      </c>
      <c r="AO16" s="1223">
        <v>10591.35</v>
      </c>
      <c r="AP16" s="1139">
        <v>12577.487999999999</v>
      </c>
      <c r="AQ16" s="1139">
        <v>12169.825000000001</v>
      </c>
      <c r="AR16" s="1139">
        <v>15041.351000000001</v>
      </c>
      <c r="AS16" s="1139">
        <v>12537.47</v>
      </c>
      <c r="AT16" s="1139">
        <v>11774.727999999999</v>
      </c>
      <c r="AU16" s="1139">
        <v>13111.460999999999</v>
      </c>
      <c r="AV16" s="1139">
        <v>12221.441999999999</v>
      </c>
      <c r="AW16" s="1140">
        <v>12855.27</v>
      </c>
      <c r="AX16" s="1664">
        <v>12158.373</v>
      </c>
      <c r="AY16" s="1664">
        <v>12437.183999999999</v>
      </c>
      <c r="AZ16" s="1664">
        <v>12944.766</v>
      </c>
      <c r="BA16" s="1664">
        <v>14021.444</v>
      </c>
      <c r="BB16" s="1664">
        <v>13970.621999999999</v>
      </c>
      <c r="BC16" s="1664">
        <v>12737.694</v>
      </c>
      <c r="BD16" s="1664">
        <v>13583.692999999999</v>
      </c>
      <c r="BE16" s="1664">
        <v>14130.191999999999</v>
      </c>
      <c r="BF16" s="1664">
        <v>14947.921</v>
      </c>
      <c r="BG16" s="1664">
        <v>15428.236000000001</v>
      </c>
      <c r="BH16" s="1664">
        <v>13925.483</v>
      </c>
      <c r="BI16" s="1140">
        <v>14830.377</v>
      </c>
      <c r="BJ16" s="1664">
        <v>14134.268</v>
      </c>
      <c r="BK16" s="1664">
        <v>13377.217000000001</v>
      </c>
      <c r="BL16" s="1664">
        <v>14908.397999999999</v>
      </c>
      <c r="BM16" s="1664">
        <v>15031.079</v>
      </c>
      <c r="BN16" s="1664">
        <v>9630.9609999999993</v>
      </c>
      <c r="BO16" s="1664">
        <v>9877.0210000000006</v>
      </c>
      <c r="BP16" s="1664">
        <v>10349.200999999999</v>
      </c>
      <c r="BQ16" s="1664">
        <v>9359.3230000000003</v>
      </c>
      <c r="BR16" s="1664">
        <v>9089.607</v>
      </c>
      <c r="BS16" s="1664">
        <v>9117.6260000000002</v>
      </c>
      <c r="BT16" s="1664">
        <v>8002.2960000000003</v>
      </c>
      <c r="BU16" s="1140">
        <v>9490.125</v>
      </c>
      <c r="BV16" s="1664">
        <v>8532.5010000000002</v>
      </c>
      <c r="BW16" s="1664">
        <v>7791.59</v>
      </c>
      <c r="BX16" s="1664">
        <v>7848.4110000000001</v>
      </c>
      <c r="BY16" s="1664">
        <v>8789.8250000000007</v>
      </c>
      <c r="BZ16" s="1664">
        <v>7268.35</v>
      </c>
      <c r="CA16" s="1664">
        <v>9043.848</v>
      </c>
    </row>
    <row r="17" spans="1:79" ht="20.25" customHeight="1">
      <c r="A17" s="1141" t="s">
        <v>3135</v>
      </c>
      <c r="B17" s="1139">
        <v>8.5860000000000003</v>
      </c>
      <c r="C17" s="1139">
        <v>19.32</v>
      </c>
      <c r="D17" s="1139">
        <v>20.699000000000002</v>
      </c>
      <c r="E17" s="1139">
        <v>19.422999999999998</v>
      </c>
      <c r="F17" s="1139">
        <v>19.236999999999998</v>
      </c>
      <c r="G17" s="1139">
        <v>23.327000000000002</v>
      </c>
      <c r="H17" s="1139">
        <v>26.581</v>
      </c>
      <c r="I17" s="1139">
        <v>26.581</v>
      </c>
      <c r="J17" s="1139">
        <v>28</v>
      </c>
      <c r="K17" s="1139">
        <v>32</v>
      </c>
      <c r="L17" s="1139">
        <v>26</v>
      </c>
      <c r="M17" s="1139">
        <v>61</v>
      </c>
      <c r="N17" s="1139">
        <v>8.6159999999999997</v>
      </c>
      <c r="O17" s="1139">
        <v>23.181999999999999</v>
      </c>
      <c r="P17" s="1139">
        <v>28</v>
      </c>
      <c r="Q17" s="1139">
        <v>30</v>
      </c>
      <c r="R17" s="1139">
        <v>26</v>
      </c>
      <c r="S17" s="1139">
        <v>29</v>
      </c>
      <c r="T17" s="1139">
        <v>30</v>
      </c>
      <c r="U17" s="1139">
        <v>29</v>
      </c>
      <c r="V17" s="1139">
        <v>32</v>
      </c>
      <c r="W17" s="1139">
        <v>32</v>
      </c>
      <c r="X17" s="1139">
        <v>34</v>
      </c>
      <c r="Y17" s="1139">
        <v>59</v>
      </c>
      <c r="Z17" s="1139">
        <v>11</v>
      </c>
      <c r="AA17" s="1139">
        <v>24</v>
      </c>
      <c r="AB17" s="1139">
        <v>27.788</v>
      </c>
      <c r="AC17" s="1139">
        <v>31.933</v>
      </c>
      <c r="AD17" s="1139">
        <v>26.45</v>
      </c>
      <c r="AE17" s="1139">
        <v>28.832999999999998</v>
      </c>
      <c r="AF17" s="1139">
        <v>27.212</v>
      </c>
      <c r="AG17" s="1139">
        <v>29.324999999999999</v>
      </c>
      <c r="AH17" s="1223">
        <v>29.719000000000001</v>
      </c>
      <c r="AI17" s="1223">
        <v>28.913</v>
      </c>
      <c r="AJ17" s="1223">
        <v>33.871000000000002</v>
      </c>
      <c r="AK17" s="1140">
        <v>58.448999999999998</v>
      </c>
      <c r="AL17" s="1139">
        <v>11.324</v>
      </c>
      <c r="AM17" s="1223">
        <v>26.536999999999999</v>
      </c>
      <c r="AN17" s="1223">
        <v>29.209</v>
      </c>
      <c r="AO17" s="1223">
        <v>27.4</v>
      </c>
      <c r="AP17" s="1139">
        <v>31.448</v>
      </c>
      <c r="AQ17" s="1139">
        <v>31.24</v>
      </c>
      <c r="AR17" s="1139">
        <v>29.446000000000002</v>
      </c>
      <c r="AS17" s="1139">
        <v>32.587000000000003</v>
      </c>
      <c r="AT17" s="1139">
        <v>31.106999999999999</v>
      </c>
      <c r="AU17" s="1139">
        <v>33.478999999999999</v>
      </c>
      <c r="AV17" s="1139">
        <v>34.058999999999997</v>
      </c>
      <c r="AW17" s="1140">
        <v>57.53</v>
      </c>
      <c r="AX17" s="1664">
        <v>12.028</v>
      </c>
      <c r="AY17" s="1664">
        <v>24.206</v>
      </c>
      <c r="AZ17" s="1664">
        <v>24.689</v>
      </c>
      <c r="BA17" s="1664">
        <v>28.524999999999999</v>
      </c>
      <c r="BB17" s="1664">
        <v>32.156999999999996</v>
      </c>
      <c r="BC17" s="1664">
        <v>25.911000000000001</v>
      </c>
      <c r="BD17" s="1664">
        <v>35.302999999999997</v>
      </c>
      <c r="BE17" s="1664">
        <v>32.24</v>
      </c>
      <c r="BF17" s="1664">
        <v>31.068000000000001</v>
      </c>
      <c r="BG17" s="1664">
        <v>36.295000000000002</v>
      </c>
      <c r="BH17" s="1664">
        <v>33.881999999999998</v>
      </c>
      <c r="BI17" s="1140">
        <v>56.716999999999999</v>
      </c>
      <c r="BJ17" s="1664">
        <v>12.935</v>
      </c>
      <c r="BK17" s="1664">
        <v>27.501999999999999</v>
      </c>
      <c r="BL17" s="1664">
        <v>28.215</v>
      </c>
      <c r="BM17" s="1664">
        <v>34.33</v>
      </c>
      <c r="BN17" s="1664">
        <v>32.427</v>
      </c>
      <c r="BO17" s="1664">
        <v>31.062000000000001</v>
      </c>
      <c r="BP17" s="1664">
        <v>37.307000000000002</v>
      </c>
      <c r="BQ17" s="1664">
        <v>32.390999999999998</v>
      </c>
      <c r="BR17" s="1664">
        <v>35.162999999999997</v>
      </c>
      <c r="BS17" s="1664">
        <v>38.707000000000001</v>
      </c>
      <c r="BT17" s="1664">
        <v>33.182000000000002</v>
      </c>
      <c r="BU17" s="1140">
        <v>62.847000000000001</v>
      </c>
      <c r="BV17" s="1664">
        <v>15.162000000000001</v>
      </c>
      <c r="BW17" s="1664">
        <v>26.399000000000001</v>
      </c>
      <c r="BX17" s="1664">
        <v>27.353000000000002</v>
      </c>
      <c r="BY17" s="1664">
        <v>32.777999999999999</v>
      </c>
      <c r="BZ17" s="1664">
        <v>30.774999999999999</v>
      </c>
      <c r="CA17" s="1664">
        <v>34.634999999999998</v>
      </c>
    </row>
    <row r="18" spans="1:79" s="1135" customFormat="1" ht="20.25" customHeight="1">
      <c r="A18" s="1136" t="s">
        <v>3137</v>
      </c>
      <c r="B18" s="1137">
        <v>0</v>
      </c>
      <c r="C18" s="1137">
        <v>0</v>
      </c>
      <c r="D18" s="1137">
        <v>0</v>
      </c>
      <c r="E18" s="1137">
        <v>0</v>
      </c>
      <c r="F18" s="1137">
        <v>0</v>
      </c>
      <c r="G18" s="1137">
        <v>0</v>
      </c>
      <c r="H18" s="1137">
        <v>0</v>
      </c>
      <c r="I18" s="1137">
        <v>0</v>
      </c>
      <c r="J18" s="1137">
        <v>0</v>
      </c>
      <c r="K18" s="1137">
        <v>4.3899999999999997</v>
      </c>
      <c r="L18" s="1137">
        <v>4.3319999999999999</v>
      </c>
      <c r="M18" s="1137">
        <v>4.8929999999999998</v>
      </c>
      <c r="N18" s="1137">
        <v>5.0090000000000003</v>
      </c>
      <c r="O18" s="1137">
        <v>5.4379999999999997</v>
      </c>
      <c r="P18" s="1137">
        <v>6</v>
      </c>
      <c r="Q18" s="1137">
        <v>7</v>
      </c>
      <c r="R18" s="1137">
        <v>7</v>
      </c>
      <c r="S18" s="1137">
        <v>7</v>
      </c>
      <c r="T18" s="1137">
        <v>8</v>
      </c>
      <c r="U18" s="1137">
        <v>11</v>
      </c>
      <c r="V18" s="1137">
        <v>11</v>
      </c>
      <c r="W18" s="1137">
        <v>13</v>
      </c>
      <c r="X18" s="1137">
        <v>17</v>
      </c>
      <c r="Y18" s="1137">
        <v>20</v>
      </c>
      <c r="Z18" s="1137">
        <v>16</v>
      </c>
      <c r="AA18" s="1137">
        <v>18</v>
      </c>
      <c r="AB18" s="1137">
        <v>21.815999999999999</v>
      </c>
      <c r="AC18" s="1137">
        <v>25.18</v>
      </c>
      <c r="AD18" s="1137">
        <v>24.11</v>
      </c>
      <c r="AE18" s="1137">
        <v>27.385000000000002</v>
      </c>
      <c r="AF18" s="1137">
        <v>30.625</v>
      </c>
      <c r="AG18" s="1137">
        <v>31.245999999999999</v>
      </c>
      <c r="AH18" s="1222">
        <v>32.094999999999999</v>
      </c>
      <c r="AI18" s="1222">
        <v>30.832999999999998</v>
      </c>
      <c r="AJ18" s="1222">
        <v>34.107999999999997</v>
      </c>
      <c r="AK18" s="1138">
        <v>45.747</v>
      </c>
      <c r="AL18" s="1137">
        <v>40.293999999999997</v>
      </c>
      <c r="AM18" s="1222">
        <v>45.042000000000002</v>
      </c>
      <c r="AN18" s="1222">
        <v>51.276000000000003</v>
      </c>
      <c r="AO18" s="1222">
        <v>46.591999999999999</v>
      </c>
      <c r="AP18" s="1137">
        <v>51.448999999999998</v>
      </c>
      <c r="AQ18" s="1137">
        <v>48.164999999999999</v>
      </c>
      <c r="AR18" s="1137">
        <v>48.701999999999998</v>
      </c>
      <c r="AS18" s="1137">
        <v>49.209000000000003</v>
      </c>
      <c r="AT18" s="1137">
        <v>47.106999999999999</v>
      </c>
      <c r="AU18" s="1137">
        <v>51.402000000000001</v>
      </c>
      <c r="AV18" s="1137">
        <v>49.743000000000002</v>
      </c>
      <c r="AW18" s="1138">
        <v>58.637</v>
      </c>
      <c r="AX18" s="1663">
        <v>51.305</v>
      </c>
      <c r="AY18" s="1663">
        <v>55.773000000000003</v>
      </c>
      <c r="AZ18" s="1663">
        <v>60.451000000000001</v>
      </c>
      <c r="BA18" s="1663">
        <v>67.671000000000006</v>
      </c>
      <c r="BB18" s="1663">
        <v>64.111999999999995</v>
      </c>
      <c r="BC18" s="1663">
        <v>59.311999999999998</v>
      </c>
      <c r="BD18" s="1663">
        <v>65.051000000000002</v>
      </c>
      <c r="BE18" s="1663">
        <v>63.904000000000003</v>
      </c>
      <c r="BF18" s="1663">
        <v>65.370999999999995</v>
      </c>
      <c r="BG18" s="1663">
        <v>76.762</v>
      </c>
      <c r="BH18" s="1663">
        <v>71.989999999999995</v>
      </c>
      <c r="BI18" s="1138">
        <v>99.012</v>
      </c>
      <c r="BJ18" s="1663">
        <v>72.164000000000001</v>
      </c>
      <c r="BK18" s="1663">
        <v>72.382999999999996</v>
      </c>
      <c r="BL18" s="1663">
        <v>74.016999999999996</v>
      </c>
      <c r="BM18" s="1663">
        <v>114.06699999999999</v>
      </c>
      <c r="BN18" s="1663">
        <v>244.99100000000001</v>
      </c>
      <c r="BO18" s="1663">
        <v>393.54</v>
      </c>
      <c r="BP18" s="1663">
        <v>766.51599999999996</v>
      </c>
      <c r="BQ18" s="1663">
        <v>899.93799999999999</v>
      </c>
      <c r="BR18" s="1663">
        <v>1424.7170000000001</v>
      </c>
      <c r="BS18" s="1663">
        <v>1867.4780000000001</v>
      </c>
      <c r="BT18" s="1663">
        <v>2579.3710000000001</v>
      </c>
      <c r="BU18" s="1138">
        <v>1483.2639999999999</v>
      </c>
      <c r="BV18" s="1663">
        <v>2047.232</v>
      </c>
      <c r="BW18" s="1663">
        <v>2983.7809999999999</v>
      </c>
      <c r="BX18" s="1663">
        <v>5347.3490000000002</v>
      </c>
      <c r="BY18" s="1663">
        <v>9833.2549999999992</v>
      </c>
      <c r="BZ18" s="1663">
        <v>8905.3230000000003</v>
      </c>
      <c r="CA18" s="1663">
        <v>12927.614</v>
      </c>
    </row>
    <row r="19" spans="1:79" s="1135" customFormat="1" ht="23.25" customHeight="1">
      <c r="A19" s="1889"/>
      <c r="B19" s="1890"/>
      <c r="C19" s="1890"/>
      <c r="D19" s="1890"/>
      <c r="E19" s="1890"/>
      <c r="F19" s="1890"/>
      <c r="G19" s="1890"/>
      <c r="H19" s="1890"/>
      <c r="I19" s="1890"/>
      <c r="J19" s="1890"/>
      <c r="K19" s="1890"/>
      <c r="L19" s="1890"/>
      <c r="M19" s="1890"/>
      <c r="N19" s="1890"/>
      <c r="O19" s="1890"/>
      <c r="P19" s="1890"/>
      <c r="Q19" s="1890"/>
      <c r="R19" s="1890"/>
      <c r="S19" s="1890"/>
      <c r="T19" s="1890"/>
      <c r="U19" s="1890"/>
      <c r="V19" s="1890"/>
      <c r="W19" s="1890"/>
      <c r="X19" s="1890"/>
      <c r="Y19" s="1890"/>
      <c r="Z19" s="1891"/>
      <c r="AA19" s="1891"/>
      <c r="AB19" s="1891"/>
      <c r="AC19" s="1891"/>
      <c r="AD19" s="1891"/>
      <c r="AE19" s="1891"/>
      <c r="AF19" s="1891"/>
      <c r="AG19" s="1891"/>
      <c r="AH19" s="1891"/>
      <c r="AI19" s="1891"/>
      <c r="AJ19" s="1891"/>
      <c r="AK19" s="1891"/>
      <c r="AL19" s="2548" t="s">
        <v>4203</v>
      </c>
      <c r="AM19" s="2548"/>
      <c r="AN19" s="2548"/>
      <c r="AO19" s="2548"/>
      <c r="AP19" s="2548"/>
      <c r="AQ19" s="2548"/>
      <c r="AR19" s="2548"/>
      <c r="AS19" s="2548"/>
      <c r="AT19" s="2548"/>
      <c r="AU19" s="2548"/>
      <c r="AV19" s="2548"/>
      <c r="AW19" s="2549"/>
      <c r="AX19" s="2550" t="s">
        <v>4203</v>
      </c>
      <c r="AY19" s="2548"/>
      <c r="AZ19" s="2548"/>
      <c r="BA19" s="2548"/>
      <c r="BB19" s="2548"/>
      <c r="BC19" s="2548"/>
      <c r="BD19" s="2548"/>
      <c r="BE19" s="2548"/>
      <c r="BF19" s="2548"/>
      <c r="BG19" s="2548"/>
      <c r="BH19" s="2548"/>
      <c r="BI19" s="2548"/>
      <c r="BJ19" s="2548"/>
      <c r="BK19" s="2548"/>
      <c r="BL19" s="2548"/>
      <c r="BM19" s="2548"/>
      <c r="BN19" s="2548"/>
      <c r="BO19" s="2548"/>
      <c r="BP19" s="2548"/>
      <c r="BQ19" s="2548"/>
      <c r="BR19" s="2548"/>
      <c r="BS19" s="2548"/>
      <c r="BT19" s="2548"/>
      <c r="BU19" s="2548"/>
      <c r="BV19" s="2548"/>
      <c r="BW19" s="2548"/>
      <c r="BX19" s="2548"/>
      <c r="BY19" s="2548"/>
      <c r="BZ19" s="2548"/>
      <c r="CA19" s="2549"/>
    </row>
    <row r="20" spans="1:79" s="1135" customFormat="1" ht="20.25" customHeight="1">
      <c r="A20" s="1136" t="s">
        <v>3132</v>
      </c>
      <c r="B20" s="1137">
        <f t="shared" ref="B20:I20" si="2">SUM(B21:B23)</f>
        <v>13109.17628462</v>
      </c>
      <c r="C20" s="1137">
        <f t="shared" si="2"/>
        <v>13823.3142044</v>
      </c>
      <c r="D20" s="1137">
        <f t="shared" si="2"/>
        <v>21979.575576679999</v>
      </c>
      <c r="E20" s="1137">
        <f t="shared" si="2"/>
        <v>15118.103507359998</v>
      </c>
      <c r="F20" s="1137">
        <f t="shared" si="2"/>
        <v>14215.09809489</v>
      </c>
      <c r="G20" s="1137">
        <f t="shared" si="2"/>
        <v>15281.677777639999</v>
      </c>
      <c r="H20" s="1137">
        <f t="shared" si="2"/>
        <v>17417.136135119999</v>
      </c>
      <c r="I20" s="1137">
        <f t="shared" si="2"/>
        <v>14734.028447340002</v>
      </c>
      <c r="J20" s="1137">
        <v>15866</v>
      </c>
      <c r="K20" s="1137">
        <v>17037</v>
      </c>
      <c r="L20" s="1137">
        <v>15154</v>
      </c>
      <c r="M20" s="1137">
        <v>21835</v>
      </c>
      <c r="N20" s="1137">
        <f>SUM(N21:N23)</f>
        <v>13784.85867614</v>
      </c>
      <c r="O20" s="1137">
        <f>SUM(O21:O23)</f>
        <v>12399.762516980001</v>
      </c>
      <c r="P20" s="1137">
        <v>14508</v>
      </c>
      <c r="Q20" s="1137">
        <v>14052</v>
      </c>
      <c r="R20" s="1137">
        <v>12880</v>
      </c>
      <c r="S20" s="1137">
        <v>15547</v>
      </c>
      <c r="T20" s="1137">
        <v>14643</v>
      </c>
      <c r="U20" s="1137">
        <v>13210</v>
      </c>
      <c r="V20" s="1137">
        <f>SUM(V21:V23)</f>
        <v>14417</v>
      </c>
      <c r="W20" s="1137">
        <v>16235</v>
      </c>
      <c r="X20" s="1137">
        <v>15818</v>
      </c>
      <c r="Y20" s="1137">
        <v>26261</v>
      </c>
      <c r="Z20" s="1137">
        <v>17426</v>
      </c>
      <c r="AA20" s="1137">
        <v>16543</v>
      </c>
      <c r="AB20" s="1137">
        <v>23466.437409999999</v>
      </c>
      <c r="AC20" s="1137">
        <v>20839.326282999999</v>
      </c>
      <c r="AD20" s="1137">
        <v>16256.340834000001</v>
      </c>
      <c r="AE20" s="1137">
        <v>14850.078052999999</v>
      </c>
      <c r="AF20" s="1137">
        <v>15694.884866</v>
      </c>
      <c r="AG20" s="1137">
        <v>15361.737681000001</v>
      </c>
      <c r="AH20" s="1222">
        <v>33364.511722000003</v>
      </c>
      <c r="AI20" s="1222">
        <v>36943.431165000002</v>
      </c>
      <c r="AJ20" s="1222">
        <v>39324.417258000001</v>
      </c>
      <c r="AK20" s="1138">
        <v>49996.540850999998</v>
      </c>
      <c r="AL20" s="1137">
        <v>36660.706982999996</v>
      </c>
      <c r="AM20" s="1137">
        <v>37145.696744000001</v>
      </c>
      <c r="AN20" s="1137">
        <v>41829.277486999999</v>
      </c>
      <c r="AO20" s="1137">
        <v>40483.132396000001</v>
      </c>
      <c r="AP20" s="1137">
        <v>45947.633055999999</v>
      </c>
      <c r="AQ20" s="1137">
        <v>38896.040908000003</v>
      </c>
      <c r="AR20" s="1137">
        <v>48385.682926000001</v>
      </c>
      <c r="AS20" s="1137">
        <v>59812.890206999997</v>
      </c>
      <c r="AT20" s="1137">
        <v>73784.507656999995</v>
      </c>
      <c r="AU20" s="1137">
        <v>81116.384445999996</v>
      </c>
      <c r="AV20" s="1137">
        <v>98807.544632999998</v>
      </c>
      <c r="AW20" s="1138">
        <v>113441.38003499999</v>
      </c>
      <c r="AX20" s="1663">
        <v>63231.802595000001</v>
      </c>
      <c r="AY20" s="1663">
        <v>72933.747545000006</v>
      </c>
      <c r="AZ20" s="1663">
        <v>58852.146033999998</v>
      </c>
      <c r="BA20" s="1663">
        <v>48123.378424000002</v>
      </c>
      <c r="BB20" s="1663">
        <v>46584.659470999999</v>
      </c>
      <c r="BC20" s="1663">
        <v>52842.938095999998</v>
      </c>
      <c r="BD20" s="1663">
        <v>54122.680694000002</v>
      </c>
      <c r="BE20" s="1663">
        <v>54365.744533999998</v>
      </c>
      <c r="BF20" s="1663">
        <v>49394.279131000003</v>
      </c>
      <c r="BG20" s="1663">
        <v>61862.597988000001</v>
      </c>
      <c r="BH20" s="1663">
        <v>64108.821402000001</v>
      </c>
      <c r="BI20" s="1138">
        <v>79412.772574000002</v>
      </c>
      <c r="BJ20" s="1663">
        <v>66798.366133999996</v>
      </c>
      <c r="BK20" s="1663">
        <v>42069.517595999998</v>
      </c>
      <c r="BL20" s="1663">
        <v>41999.902264999997</v>
      </c>
      <c r="BM20" s="1663">
        <v>70969.915682999999</v>
      </c>
      <c r="BN20" s="1663">
        <v>55390.565256000002</v>
      </c>
      <c r="BO20" s="1663">
        <v>57929.657887000001</v>
      </c>
      <c r="BP20" s="1663">
        <v>76407.084398999999</v>
      </c>
      <c r="BQ20" s="1663">
        <v>68290.105106000003</v>
      </c>
      <c r="BR20" s="1663">
        <v>69921.167839999995</v>
      </c>
      <c r="BS20" s="1663">
        <v>68528.178841999994</v>
      </c>
      <c r="BT20" s="1663">
        <v>66263.867742000002</v>
      </c>
      <c r="BU20" s="1138">
        <v>99409.928039000006</v>
      </c>
      <c r="BV20" s="1663">
        <v>68708.566336000004</v>
      </c>
      <c r="BW20" s="1663">
        <v>77400.363257000005</v>
      </c>
      <c r="BX20" s="1663">
        <v>64986.617033000002</v>
      </c>
      <c r="BY20" s="1663">
        <v>75974.319126999995</v>
      </c>
      <c r="BZ20" s="1663">
        <v>66168.251841999998</v>
      </c>
      <c r="CA20" s="1663">
        <v>91310.252013999998</v>
      </c>
    </row>
    <row r="21" spans="1:79" ht="20.25" customHeight="1">
      <c r="A21" s="1450" t="s">
        <v>3133</v>
      </c>
      <c r="B21" s="1139">
        <v>3189.83992678</v>
      </c>
      <c r="C21" s="1139">
        <v>2957.0392173200003</v>
      </c>
      <c r="D21" s="1139">
        <v>7074.6712669799999</v>
      </c>
      <c r="E21" s="1139">
        <v>3900.35430417</v>
      </c>
      <c r="F21" s="1139">
        <v>3488.7462736500001</v>
      </c>
      <c r="G21" s="1139">
        <v>3921.2870718499998</v>
      </c>
      <c r="H21" s="1139">
        <v>3977.6125168200001</v>
      </c>
      <c r="I21" s="1139">
        <v>3830.8070858299998</v>
      </c>
      <c r="J21" s="1139">
        <v>4159</v>
      </c>
      <c r="K21" s="1139">
        <v>4675</v>
      </c>
      <c r="L21" s="1139">
        <v>3787</v>
      </c>
      <c r="M21" s="1139">
        <v>4903</v>
      </c>
      <c r="N21" s="1139">
        <v>3358.9982296399999</v>
      </c>
      <c r="O21" s="1139">
        <v>2093.5531968800001</v>
      </c>
      <c r="P21" s="1139">
        <v>2247</v>
      </c>
      <c r="Q21" s="1139">
        <v>2304</v>
      </c>
      <c r="R21" s="1139">
        <v>1866</v>
      </c>
      <c r="S21" s="1139">
        <v>2112</v>
      </c>
      <c r="T21" s="1139">
        <v>2069</v>
      </c>
      <c r="U21" s="1139">
        <v>1644</v>
      </c>
      <c r="V21" s="1139">
        <v>1836</v>
      </c>
      <c r="W21" s="1139">
        <v>2632</v>
      </c>
      <c r="X21" s="1139">
        <v>2724</v>
      </c>
      <c r="Y21" s="1139">
        <v>6326</v>
      </c>
      <c r="Z21" s="1139">
        <v>2897</v>
      </c>
      <c r="AA21" s="1139">
        <v>2392</v>
      </c>
      <c r="AB21" s="1139">
        <v>3161.2980923600003</v>
      </c>
      <c r="AC21" s="1139">
        <v>3053.4401916699999</v>
      </c>
      <c r="AD21" s="1139">
        <v>1956.9263780000001</v>
      </c>
      <c r="AE21" s="1139">
        <v>1902.2117209999999</v>
      </c>
      <c r="AF21" s="1139">
        <v>3026.0499030000001</v>
      </c>
      <c r="AG21" s="1139">
        <v>2080.9855400000001</v>
      </c>
      <c r="AH21" s="1223">
        <v>11182.518738000001</v>
      </c>
      <c r="AI21" s="1223">
        <v>11325.241161</v>
      </c>
      <c r="AJ21" s="1223">
        <v>12360.60001</v>
      </c>
      <c r="AK21" s="1140">
        <v>15645.293276</v>
      </c>
      <c r="AL21" s="1139">
        <v>11754.209552</v>
      </c>
      <c r="AM21" s="1139">
        <v>12266.865846999999</v>
      </c>
      <c r="AN21" s="1139">
        <v>13736.637316</v>
      </c>
      <c r="AO21" s="1139">
        <v>13332.272068</v>
      </c>
      <c r="AP21" s="1139">
        <v>15118.702225000001</v>
      </c>
      <c r="AQ21" s="1139">
        <v>12411.722771000001</v>
      </c>
      <c r="AR21" s="1139">
        <v>15085.268786000001</v>
      </c>
      <c r="AS21" s="1139">
        <v>19910.256552999999</v>
      </c>
      <c r="AT21" s="1139">
        <v>28644.780296000001</v>
      </c>
      <c r="AU21" s="1139">
        <v>31133.742297000001</v>
      </c>
      <c r="AV21" s="1139">
        <v>40870.468216000001</v>
      </c>
      <c r="AW21" s="1140">
        <v>45117.112830999999</v>
      </c>
      <c r="AX21" s="1664">
        <v>20961.657496</v>
      </c>
      <c r="AY21" s="1664">
        <v>26211.026291999999</v>
      </c>
      <c r="AZ21" s="1664">
        <v>20284.364646000002</v>
      </c>
      <c r="BA21" s="1664">
        <v>13736.329761000001</v>
      </c>
      <c r="BB21" s="1664">
        <v>11429.669658999999</v>
      </c>
      <c r="BC21" s="1664">
        <v>13440.963815999999</v>
      </c>
      <c r="BD21" s="1664">
        <v>13148.191616</v>
      </c>
      <c r="BE21" s="1664">
        <v>11597.494873</v>
      </c>
      <c r="BF21" s="1664">
        <v>8628.8840149999996</v>
      </c>
      <c r="BG21" s="1664">
        <v>14618.872375000001</v>
      </c>
      <c r="BH21" s="1664">
        <v>16169.712034</v>
      </c>
      <c r="BI21" s="1140">
        <v>18375.505331</v>
      </c>
      <c r="BJ21" s="1664">
        <v>19943.204209</v>
      </c>
      <c r="BK21" s="1664">
        <v>8462.4487630000003</v>
      </c>
      <c r="BL21" s="1664">
        <v>11825.380367</v>
      </c>
      <c r="BM21" s="1664">
        <v>12557.865108</v>
      </c>
      <c r="BN21" s="1664">
        <v>16095.393592</v>
      </c>
      <c r="BO21" s="1664">
        <v>17566.045814000001</v>
      </c>
      <c r="BP21" s="1664">
        <v>24675.680144999998</v>
      </c>
      <c r="BQ21" s="1664">
        <v>21989.017115999999</v>
      </c>
      <c r="BR21" s="1664">
        <v>20974.181332</v>
      </c>
      <c r="BS21" s="1664">
        <v>20396.661735000001</v>
      </c>
      <c r="BT21" s="1664">
        <v>19788.138835000002</v>
      </c>
      <c r="BU21" s="1140">
        <v>28883.736801999999</v>
      </c>
      <c r="BV21" s="1664">
        <v>15191.269711000001</v>
      </c>
      <c r="BW21" s="1664">
        <v>13462.785683</v>
      </c>
      <c r="BX21" s="1664">
        <v>16176.101583</v>
      </c>
      <c r="BY21" s="1664">
        <v>21102.056625000001</v>
      </c>
      <c r="BZ21" s="1664">
        <v>19520.414713999999</v>
      </c>
      <c r="CA21" s="1664">
        <v>32052.521046999998</v>
      </c>
    </row>
    <row r="22" spans="1:79" ht="20.25" customHeight="1">
      <c r="A22" s="1450" t="s">
        <v>3134</v>
      </c>
      <c r="B22" s="1139">
        <v>7173.6979497899983</v>
      </c>
      <c r="C22" s="1139">
        <v>8360.4144552899998</v>
      </c>
      <c r="D22" s="1139">
        <v>12661.908307109999</v>
      </c>
      <c r="E22" s="1139">
        <v>8921.1775280299989</v>
      </c>
      <c r="F22" s="1139">
        <v>8013.4723969899978</v>
      </c>
      <c r="G22" s="1139">
        <v>8570.5701775199996</v>
      </c>
      <c r="H22" s="1139">
        <v>9886.9040144999981</v>
      </c>
      <c r="I22" s="1139">
        <v>8047.1485804400018</v>
      </c>
      <c r="J22" s="1139">
        <v>8670</v>
      </c>
      <c r="K22" s="1139">
        <v>9249</v>
      </c>
      <c r="L22" s="1139">
        <v>8713</v>
      </c>
      <c r="M22" s="1139">
        <v>11871</v>
      </c>
      <c r="N22" s="1139">
        <v>8018.8894169200003</v>
      </c>
      <c r="O22" s="1139">
        <v>7622.5597480699998</v>
      </c>
      <c r="P22" s="1139">
        <v>8994</v>
      </c>
      <c r="Q22" s="1139">
        <v>8877</v>
      </c>
      <c r="R22" s="1139">
        <v>8293</v>
      </c>
      <c r="S22" s="1139">
        <v>10736</v>
      </c>
      <c r="T22" s="1139">
        <v>9513</v>
      </c>
      <c r="U22" s="1139">
        <v>9227</v>
      </c>
      <c r="V22" s="1139">
        <v>9774</v>
      </c>
      <c r="W22" s="1139">
        <v>10157</v>
      </c>
      <c r="X22" s="1139">
        <v>10388</v>
      </c>
      <c r="Y22" s="1139">
        <v>14817</v>
      </c>
      <c r="Z22" s="1139">
        <v>11993</v>
      </c>
      <c r="AA22" s="1139">
        <v>11580</v>
      </c>
      <c r="AB22" s="1139">
        <v>16162.769898389999</v>
      </c>
      <c r="AC22" s="1139">
        <v>14228.641993179999</v>
      </c>
      <c r="AD22" s="1139">
        <v>11580.135330999999</v>
      </c>
      <c r="AE22" s="1139">
        <v>10105.113971000001</v>
      </c>
      <c r="AF22" s="1139">
        <v>9985.9613210000007</v>
      </c>
      <c r="AG22" s="1139">
        <v>10451.891256999999</v>
      </c>
      <c r="AH22" s="1223">
        <v>19681.369393000001</v>
      </c>
      <c r="AI22" s="1223">
        <v>22450.70794</v>
      </c>
      <c r="AJ22" s="1223">
        <v>23500.190610000001</v>
      </c>
      <c r="AK22" s="1140">
        <v>29350.395285999999</v>
      </c>
      <c r="AL22" s="1139">
        <v>21473.794555</v>
      </c>
      <c r="AM22" s="1139">
        <v>21753.213228000001</v>
      </c>
      <c r="AN22" s="1139">
        <v>24809.44327</v>
      </c>
      <c r="AO22" s="1139">
        <v>24206.471777999999</v>
      </c>
      <c r="AP22" s="1139">
        <v>28260.445844000002</v>
      </c>
      <c r="AQ22" s="1139">
        <v>23491.573249000001</v>
      </c>
      <c r="AR22" s="1139">
        <v>29155.045672</v>
      </c>
      <c r="AS22" s="1139">
        <v>35827.534938999997</v>
      </c>
      <c r="AT22" s="1139">
        <v>42385.637741999999</v>
      </c>
      <c r="AU22" s="1139">
        <v>45317.571064000003</v>
      </c>
      <c r="AV22" s="1139">
        <v>54364.993779999997</v>
      </c>
      <c r="AW22" s="1140">
        <v>61983.870300000002</v>
      </c>
      <c r="AX22" s="1664">
        <v>38161.578029999997</v>
      </c>
      <c r="AY22" s="1664">
        <v>42774.412534000003</v>
      </c>
      <c r="AZ22" s="1664">
        <v>35403.979035999997</v>
      </c>
      <c r="BA22" s="1664">
        <v>31139.241141999999</v>
      </c>
      <c r="BB22" s="1664">
        <v>31748.886620000001</v>
      </c>
      <c r="BC22" s="1664">
        <v>35477.144114000002</v>
      </c>
      <c r="BD22" s="1664">
        <v>36658.738459</v>
      </c>
      <c r="BE22" s="1664">
        <v>39088.025913999998</v>
      </c>
      <c r="BF22" s="1664">
        <v>37037.724221999997</v>
      </c>
      <c r="BG22" s="1664">
        <v>43347.266727000002</v>
      </c>
      <c r="BH22" s="1664">
        <v>43149.442485</v>
      </c>
      <c r="BI22" s="1140">
        <v>52600.161225000003</v>
      </c>
      <c r="BJ22" s="1664">
        <v>42072.378049999999</v>
      </c>
      <c r="BK22" s="1664">
        <v>28988.887882999999</v>
      </c>
      <c r="BL22" s="1664">
        <v>26662.047843</v>
      </c>
      <c r="BM22" s="1664">
        <v>51715.132554999997</v>
      </c>
      <c r="BN22" s="1664">
        <v>34521.442176999997</v>
      </c>
      <c r="BO22" s="1664">
        <v>34446.937042999998</v>
      </c>
      <c r="BP22" s="1664">
        <v>45649.238753999998</v>
      </c>
      <c r="BQ22" s="1664">
        <v>41516.034938999997</v>
      </c>
      <c r="BR22" s="1664">
        <v>43548.498549999997</v>
      </c>
      <c r="BS22" s="1664">
        <v>42376.161404999999</v>
      </c>
      <c r="BT22" s="1664">
        <v>39955.856722999997</v>
      </c>
      <c r="BU22" s="1140">
        <v>61514.420794999998</v>
      </c>
      <c r="BV22" s="1664">
        <v>48957.097565999997</v>
      </c>
      <c r="BW22" s="1664">
        <v>60260.432007000003</v>
      </c>
      <c r="BX22" s="1664">
        <v>44640.136309000001</v>
      </c>
      <c r="BY22" s="1664">
        <v>51228.168799999999</v>
      </c>
      <c r="BZ22" s="1664">
        <v>42957.884342999998</v>
      </c>
      <c r="CA22" s="1664">
        <v>55333.421244999998</v>
      </c>
    </row>
    <row r="23" spans="1:79" ht="20.25" customHeight="1">
      <c r="A23" s="1450" t="s">
        <v>3135</v>
      </c>
      <c r="B23" s="1139">
        <v>2745.6384080500002</v>
      </c>
      <c r="C23" s="1139">
        <v>2505.8605317900001</v>
      </c>
      <c r="D23" s="1139">
        <v>2242.99600259</v>
      </c>
      <c r="E23" s="1139">
        <v>2296.5716751599998</v>
      </c>
      <c r="F23" s="1139">
        <v>2712.8794242499998</v>
      </c>
      <c r="G23" s="1139">
        <v>2789.8205282700001</v>
      </c>
      <c r="H23" s="1139">
        <v>3552.6196038000003</v>
      </c>
      <c r="I23" s="1139">
        <v>2856.07278107</v>
      </c>
      <c r="J23" s="1139">
        <v>3037</v>
      </c>
      <c r="K23" s="1139">
        <v>3113</v>
      </c>
      <c r="L23" s="1139">
        <v>2654</v>
      </c>
      <c r="M23" s="1139">
        <v>5061</v>
      </c>
      <c r="N23" s="1139">
        <v>2406.97102958</v>
      </c>
      <c r="O23" s="1139">
        <v>2683.6495720300004</v>
      </c>
      <c r="P23" s="1139">
        <v>3267</v>
      </c>
      <c r="Q23" s="1139">
        <v>2871</v>
      </c>
      <c r="R23" s="1139">
        <v>2721</v>
      </c>
      <c r="S23" s="1139">
        <v>2699</v>
      </c>
      <c r="T23" s="1139">
        <v>3061</v>
      </c>
      <c r="U23" s="1139">
        <v>2339</v>
      </c>
      <c r="V23" s="1139">
        <v>2807</v>
      </c>
      <c r="W23" s="1139">
        <v>3446</v>
      </c>
      <c r="X23" s="1139">
        <v>2706</v>
      </c>
      <c r="Y23" s="1139">
        <v>5118</v>
      </c>
      <c r="Z23" s="1139">
        <v>2536</v>
      </c>
      <c r="AA23" s="1139">
        <v>2571</v>
      </c>
      <c r="AB23" s="1139">
        <v>4142.3694194599993</v>
      </c>
      <c r="AC23" s="1139">
        <v>3557.2440981999898</v>
      </c>
      <c r="AD23" s="1139">
        <v>2719.279125</v>
      </c>
      <c r="AE23" s="1139">
        <v>2842.7523609999998</v>
      </c>
      <c r="AF23" s="1139">
        <v>2682.873642</v>
      </c>
      <c r="AG23" s="1139">
        <v>2828.8608840000002</v>
      </c>
      <c r="AH23" s="1223">
        <v>2500.623591</v>
      </c>
      <c r="AI23" s="1223">
        <v>3167.4820639999998</v>
      </c>
      <c r="AJ23" s="1223">
        <v>3463.6266380000002</v>
      </c>
      <c r="AK23" s="1140">
        <v>5000.8522890000004</v>
      </c>
      <c r="AL23" s="1139">
        <v>3432.7028759999998</v>
      </c>
      <c r="AM23" s="1139">
        <v>3125.6176690000002</v>
      </c>
      <c r="AN23" s="1139">
        <v>3283.1969009999998</v>
      </c>
      <c r="AO23" s="1139">
        <v>2944.3885500000001</v>
      </c>
      <c r="AP23" s="1139">
        <v>2568.4849869999998</v>
      </c>
      <c r="AQ23" s="1139">
        <v>2992.7448880000002</v>
      </c>
      <c r="AR23" s="1139">
        <v>4145.3684679999997</v>
      </c>
      <c r="AS23" s="1139">
        <v>4075.0987150000001</v>
      </c>
      <c r="AT23" s="1139">
        <v>2754.0896189999999</v>
      </c>
      <c r="AU23" s="1139">
        <v>4665.0710849999996</v>
      </c>
      <c r="AV23" s="1139">
        <v>3572.082637</v>
      </c>
      <c r="AW23" s="1140">
        <v>6340.3969040000002</v>
      </c>
      <c r="AX23" s="1664">
        <v>4108.5670689999997</v>
      </c>
      <c r="AY23" s="1664">
        <v>3948.3087190000001</v>
      </c>
      <c r="AZ23" s="1664">
        <v>3163.8023520000002</v>
      </c>
      <c r="BA23" s="1664">
        <v>3247.8075210000002</v>
      </c>
      <c r="BB23" s="1664">
        <v>3406.103192</v>
      </c>
      <c r="BC23" s="1664">
        <v>3924.8301660000002</v>
      </c>
      <c r="BD23" s="1664">
        <v>4315.7506190000004</v>
      </c>
      <c r="BE23" s="1664">
        <v>3680.223747</v>
      </c>
      <c r="BF23" s="1664">
        <v>3727.6708939999999</v>
      </c>
      <c r="BG23" s="1664">
        <v>3896.4588859999999</v>
      </c>
      <c r="BH23" s="1664">
        <v>4789.6668829999999</v>
      </c>
      <c r="BI23" s="1140">
        <v>8437.1060180000004</v>
      </c>
      <c r="BJ23" s="1664">
        <v>4782.7838750000001</v>
      </c>
      <c r="BK23" s="1664">
        <v>4618.1809499999999</v>
      </c>
      <c r="BL23" s="1664">
        <v>3512.4740550000001</v>
      </c>
      <c r="BM23" s="1664">
        <v>6696.9180200000001</v>
      </c>
      <c r="BN23" s="1664">
        <v>4773.7294869999996</v>
      </c>
      <c r="BO23" s="1664">
        <v>5916.6750300000003</v>
      </c>
      <c r="BP23" s="1664">
        <v>6082.1655000000001</v>
      </c>
      <c r="BQ23" s="1664">
        <v>4785.0530509999999</v>
      </c>
      <c r="BR23" s="1664">
        <v>5398.4879579999997</v>
      </c>
      <c r="BS23" s="1664">
        <v>5755.3557019999998</v>
      </c>
      <c r="BT23" s="1664">
        <v>6519.8721839999998</v>
      </c>
      <c r="BU23" s="1140">
        <v>9011.7704419999991</v>
      </c>
      <c r="BV23" s="1664">
        <v>4560.1990589999996</v>
      </c>
      <c r="BW23" s="1664">
        <v>3677.145567</v>
      </c>
      <c r="BX23" s="1664">
        <v>4170.3791410000003</v>
      </c>
      <c r="BY23" s="1664">
        <v>3644.0937020000001</v>
      </c>
      <c r="BZ23" s="1664">
        <v>3689.9527849999999</v>
      </c>
      <c r="CA23" s="1664">
        <v>3924.309722</v>
      </c>
    </row>
    <row r="24" spans="1:79" s="1135" customFormat="1" ht="20.25" customHeight="1">
      <c r="A24" s="1136" t="s">
        <v>3136</v>
      </c>
      <c r="B24" s="1137">
        <f t="shared" ref="B24:I24" si="3">SUM(B25:B27)</f>
        <v>2026.1181078799998</v>
      </c>
      <c r="C24" s="1137">
        <f t="shared" si="3"/>
        <v>2132.1753476499998</v>
      </c>
      <c r="D24" s="1137">
        <f t="shared" si="3"/>
        <v>2232.6398431600001</v>
      </c>
      <c r="E24" s="1137">
        <f t="shared" si="3"/>
        <v>2206.2707991900006</v>
      </c>
      <c r="F24" s="1137">
        <f t="shared" si="3"/>
        <v>2134.2145637199997</v>
      </c>
      <c r="G24" s="1137">
        <f t="shared" si="3"/>
        <v>2200.4411376000003</v>
      </c>
      <c r="H24" s="1137">
        <f t="shared" si="3"/>
        <v>2464.3330206800001</v>
      </c>
      <c r="I24" s="1137">
        <f t="shared" si="3"/>
        <v>2260.46141119</v>
      </c>
      <c r="J24" s="1137">
        <v>2358</v>
      </c>
      <c r="K24" s="1137">
        <v>2516</v>
      </c>
      <c r="L24" s="1137">
        <v>2411</v>
      </c>
      <c r="M24" s="1137">
        <v>2891</v>
      </c>
      <c r="N24" s="1137">
        <f>SUM(N25:N27)</f>
        <v>2266.8536185800003</v>
      </c>
      <c r="O24" s="1137">
        <f>SUM(O25:O27)</f>
        <v>2183.2391038400001</v>
      </c>
      <c r="P24" s="1137">
        <v>2629</v>
      </c>
      <c r="Q24" s="1137">
        <v>2867</v>
      </c>
      <c r="R24" s="1137">
        <v>2551</v>
      </c>
      <c r="S24" s="1137">
        <v>2822</v>
      </c>
      <c r="T24" s="1137">
        <v>2998</v>
      </c>
      <c r="U24" s="1137">
        <v>2686</v>
      </c>
      <c r="V24" s="1137">
        <f>SUM(V25:V27)</f>
        <v>2848</v>
      </c>
      <c r="W24" s="1137">
        <v>3255</v>
      </c>
      <c r="X24" s="1137">
        <v>2762</v>
      </c>
      <c r="Y24" s="1137">
        <v>4038</v>
      </c>
      <c r="Z24" s="1137">
        <v>2949</v>
      </c>
      <c r="AA24" s="1137">
        <v>2665</v>
      </c>
      <c r="AB24" s="1137">
        <v>3302.4425900000001</v>
      </c>
      <c r="AC24" s="1137">
        <v>3425.6060149999998</v>
      </c>
      <c r="AD24" s="1137">
        <v>3242.397328</v>
      </c>
      <c r="AE24" s="1137">
        <v>3257.9124919999999</v>
      </c>
      <c r="AF24" s="1137">
        <v>3536.9061550000001</v>
      </c>
      <c r="AG24" s="1137">
        <v>3436.945381</v>
      </c>
      <c r="AH24" s="1222">
        <v>3224.0348319999998</v>
      </c>
      <c r="AI24" s="1222">
        <v>3664.3454000000002</v>
      </c>
      <c r="AJ24" s="1222">
        <v>3814.8712759999999</v>
      </c>
      <c r="AK24" s="1138">
        <v>5421.0985710000004</v>
      </c>
      <c r="AL24" s="1137">
        <v>3647.5491040000002</v>
      </c>
      <c r="AM24" s="1137">
        <v>3214.1088570000002</v>
      </c>
      <c r="AN24" s="1137">
        <v>3814.5697449999998</v>
      </c>
      <c r="AO24" s="1137">
        <v>3984.703051</v>
      </c>
      <c r="AP24" s="1137">
        <v>3770.7526939999998</v>
      </c>
      <c r="AQ24" s="1137">
        <v>3669.9096650000001</v>
      </c>
      <c r="AR24" s="1137">
        <v>4537.6238460000004</v>
      </c>
      <c r="AS24" s="1137">
        <v>4482.0786699999999</v>
      </c>
      <c r="AT24" s="1137">
        <v>4120.426931</v>
      </c>
      <c r="AU24" s="1137">
        <v>4445.8855469999999</v>
      </c>
      <c r="AV24" s="1137">
        <v>4066.1211969999999</v>
      </c>
      <c r="AW24" s="1138">
        <v>5258.2264539999996</v>
      </c>
      <c r="AX24" s="1663">
        <v>3804.0335439999999</v>
      </c>
      <c r="AY24" s="1663">
        <v>3802.1383340000002</v>
      </c>
      <c r="AZ24" s="1663">
        <v>4083.212755</v>
      </c>
      <c r="BA24" s="1663">
        <v>4763.3389669999997</v>
      </c>
      <c r="BB24" s="1663">
        <v>4032.7997300000002</v>
      </c>
      <c r="BC24" s="1663">
        <v>3930.7540669999998</v>
      </c>
      <c r="BD24" s="1663">
        <v>4909.1215419999999</v>
      </c>
      <c r="BE24" s="1663">
        <v>4493.2275980000004</v>
      </c>
      <c r="BF24" s="1663">
        <v>4213.7734309999996</v>
      </c>
      <c r="BG24" s="1663">
        <v>4851.2026219999998</v>
      </c>
      <c r="BH24" s="1663">
        <v>4028.8756899999998</v>
      </c>
      <c r="BI24" s="1138">
        <v>6039.6466790000004</v>
      </c>
      <c r="BJ24" s="1663">
        <v>4058.9534149999999</v>
      </c>
      <c r="BK24" s="1663">
        <v>3614.2437810000001</v>
      </c>
      <c r="BL24" s="1663">
        <v>4456.8135990000001</v>
      </c>
      <c r="BM24" s="1663">
        <v>6257.5174610000004</v>
      </c>
      <c r="BN24" s="1663">
        <v>3900.1404379999999</v>
      </c>
      <c r="BO24" s="1663">
        <v>3659.7558009999998</v>
      </c>
      <c r="BP24" s="1663">
        <v>4668.3774569999996</v>
      </c>
      <c r="BQ24" s="1663">
        <v>3970.6232799999998</v>
      </c>
      <c r="BR24" s="1663">
        <v>4217.0944740000004</v>
      </c>
      <c r="BS24" s="1663">
        <v>4717.2093729999997</v>
      </c>
      <c r="BT24" s="1663">
        <v>3989.8519550000001</v>
      </c>
      <c r="BU24" s="1138">
        <v>6766.19236</v>
      </c>
      <c r="BV24" s="1663">
        <v>4212.4427779999996</v>
      </c>
      <c r="BW24" s="1663">
        <v>3824.5371420000001</v>
      </c>
      <c r="BX24" s="1663">
        <v>3933.799156</v>
      </c>
      <c r="BY24" s="1663">
        <v>4844.4028319999998</v>
      </c>
      <c r="BZ24" s="1663">
        <v>3734.8612149999999</v>
      </c>
      <c r="CA24" s="1663">
        <v>4289.4232359999996</v>
      </c>
    </row>
    <row r="25" spans="1:79" ht="20.25" customHeight="1">
      <c r="A25" s="1141" t="s">
        <v>3133</v>
      </c>
      <c r="B25" s="1139">
        <v>57.464669459999996</v>
      </c>
      <c r="C25" s="1139">
        <v>46.795282929999999</v>
      </c>
      <c r="D25" s="1139">
        <v>91.950314760000012</v>
      </c>
      <c r="E25" s="1139">
        <v>113.25461138999999</v>
      </c>
      <c r="F25" s="1139">
        <v>78.069709930000002</v>
      </c>
      <c r="G25" s="1139">
        <v>96.62816196</v>
      </c>
      <c r="H25" s="1139">
        <v>76.225824379999992</v>
      </c>
      <c r="I25" s="1139">
        <v>61.314074140000002</v>
      </c>
      <c r="J25" s="1139">
        <v>75</v>
      </c>
      <c r="K25" s="1139">
        <v>17</v>
      </c>
      <c r="L25" s="1139">
        <v>95</v>
      </c>
      <c r="M25" s="1139">
        <v>10</v>
      </c>
      <c r="N25" s="1139">
        <v>34.046740720000003</v>
      </c>
      <c r="O25" s="1139">
        <v>41.53880307</v>
      </c>
      <c r="P25" s="1139">
        <v>47</v>
      </c>
      <c r="Q25" s="1139">
        <v>45</v>
      </c>
      <c r="R25" s="1139">
        <v>50</v>
      </c>
      <c r="S25" s="1139">
        <v>61</v>
      </c>
      <c r="T25" s="1139">
        <v>83</v>
      </c>
      <c r="U25" s="1139">
        <v>60</v>
      </c>
      <c r="V25" s="1139">
        <v>62</v>
      </c>
      <c r="W25" s="1139">
        <v>66</v>
      </c>
      <c r="X25" s="1139">
        <v>60</v>
      </c>
      <c r="Y25" s="1139">
        <v>368</v>
      </c>
      <c r="Z25" s="1139">
        <v>40</v>
      </c>
      <c r="AA25" s="1139">
        <v>64</v>
      </c>
      <c r="AB25" s="1139">
        <v>50.319934979999999</v>
      </c>
      <c r="AC25" s="1139">
        <v>67.062377769999998</v>
      </c>
      <c r="AD25" s="1139">
        <v>73.419002000000006</v>
      </c>
      <c r="AE25" s="1139">
        <v>74.02073</v>
      </c>
      <c r="AF25" s="1139">
        <v>73.507459999999995</v>
      </c>
      <c r="AG25" s="1139">
        <v>67.513469999999998</v>
      </c>
      <c r="AH25" s="1223">
        <v>59.618533999999997</v>
      </c>
      <c r="AI25" s="1223">
        <v>76.167235000000005</v>
      </c>
      <c r="AJ25" s="1223">
        <v>87.181956</v>
      </c>
      <c r="AK25" s="1140">
        <v>88.209517000000005</v>
      </c>
      <c r="AL25" s="1139">
        <v>41.498192000000003</v>
      </c>
      <c r="AM25" s="1139">
        <v>46.185921</v>
      </c>
      <c r="AN25" s="1139">
        <v>55.228839999999998</v>
      </c>
      <c r="AO25" s="1139">
        <v>49.316626999999997</v>
      </c>
      <c r="AP25" s="1139">
        <v>54.875675999999999</v>
      </c>
      <c r="AQ25" s="1139">
        <v>66.354890999999995</v>
      </c>
      <c r="AR25" s="1139">
        <v>59.491464000000001</v>
      </c>
      <c r="AS25" s="1139">
        <v>71.160809999999998</v>
      </c>
      <c r="AT25" s="1139">
        <v>71.250456</v>
      </c>
      <c r="AU25" s="1139">
        <v>77.364446999999998</v>
      </c>
      <c r="AV25" s="1139">
        <v>101.734385</v>
      </c>
      <c r="AW25" s="1140">
        <v>127.54430000000001</v>
      </c>
      <c r="AX25" s="1664">
        <v>76.925830000000005</v>
      </c>
      <c r="AY25" s="1664">
        <v>38.577013999999998</v>
      </c>
      <c r="AZ25" s="1664">
        <v>45.945666000000003</v>
      </c>
      <c r="BA25" s="1664">
        <v>192.492199</v>
      </c>
      <c r="BB25" s="1664">
        <v>37.097555</v>
      </c>
      <c r="BC25" s="1664">
        <v>26.480352</v>
      </c>
      <c r="BD25" s="1664">
        <v>31.200008</v>
      </c>
      <c r="BE25" s="1664">
        <v>35.137948000000002</v>
      </c>
      <c r="BF25" s="1664">
        <v>30.457293</v>
      </c>
      <c r="BG25" s="1664">
        <v>30.71743</v>
      </c>
      <c r="BH25" s="1664">
        <v>34.945847999999998</v>
      </c>
      <c r="BI25" s="1140">
        <v>67.610761999999994</v>
      </c>
      <c r="BJ25" s="1664">
        <v>21.278796</v>
      </c>
      <c r="BK25" s="1664">
        <v>27.434798000000001</v>
      </c>
      <c r="BL25" s="1664">
        <v>532.90636300000006</v>
      </c>
      <c r="BM25" s="1664">
        <v>30.823090000000001</v>
      </c>
      <c r="BN25" s="1664">
        <v>36.980227999999997</v>
      </c>
      <c r="BO25" s="1664">
        <v>28.564962000000001</v>
      </c>
      <c r="BP25" s="1664">
        <v>35.616681</v>
      </c>
      <c r="BQ25" s="1664">
        <v>29.655576</v>
      </c>
      <c r="BR25" s="1664">
        <v>29.831392000000001</v>
      </c>
      <c r="BS25" s="1664">
        <v>41.525644</v>
      </c>
      <c r="BT25" s="1664">
        <v>40.556041</v>
      </c>
      <c r="BU25" s="1140">
        <v>621.52785800000004</v>
      </c>
      <c r="BV25" s="1664">
        <v>25.669599000000002</v>
      </c>
      <c r="BW25" s="1664">
        <v>27.388708999999999</v>
      </c>
      <c r="BX25" s="1664">
        <v>27.557493999999998</v>
      </c>
      <c r="BY25" s="1664">
        <v>33.729356000000003</v>
      </c>
      <c r="BZ25" s="1664">
        <v>25.579509999999999</v>
      </c>
      <c r="CA25" s="1664">
        <v>27.625336999999998</v>
      </c>
    </row>
    <row r="26" spans="1:79" ht="20.25" customHeight="1">
      <c r="A26" s="1141" t="s">
        <v>3134</v>
      </c>
      <c r="B26" s="1139">
        <v>1629.2661694099997</v>
      </c>
      <c r="C26" s="1139">
        <v>1769.1116515299998</v>
      </c>
      <c r="D26" s="1139">
        <v>1786.0632317999998</v>
      </c>
      <c r="E26" s="1139">
        <v>1744.8637267600006</v>
      </c>
      <c r="F26" s="1139">
        <v>1630.6875993499996</v>
      </c>
      <c r="G26" s="1139">
        <v>1745.9280396600004</v>
      </c>
      <c r="H26" s="1139">
        <v>1965.7530631900004</v>
      </c>
      <c r="I26" s="1139">
        <v>1793.6206506599999</v>
      </c>
      <c r="J26" s="1139">
        <v>1858</v>
      </c>
      <c r="K26" s="1139">
        <v>1988</v>
      </c>
      <c r="L26" s="1139">
        <v>1942</v>
      </c>
      <c r="M26" s="1139">
        <v>2164</v>
      </c>
      <c r="N26" s="1139">
        <v>1843.22844323</v>
      </c>
      <c r="O26" s="1139">
        <v>1815.0778264600001</v>
      </c>
      <c r="P26" s="1139">
        <v>2206</v>
      </c>
      <c r="Q26" s="1139">
        <v>2355</v>
      </c>
      <c r="R26" s="1139">
        <v>2094</v>
      </c>
      <c r="S26" s="1139">
        <v>2335</v>
      </c>
      <c r="T26" s="1139">
        <v>2490</v>
      </c>
      <c r="U26" s="1139">
        <v>2174</v>
      </c>
      <c r="V26" s="1139">
        <v>2249</v>
      </c>
      <c r="W26" s="1139">
        <v>2704</v>
      </c>
      <c r="X26" s="1139">
        <v>2207</v>
      </c>
      <c r="Y26" s="1139">
        <v>2835</v>
      </c>
      <c r="Z26" s="1139">
        <v>2261</v>
      </c>
      <c r="AA26" s="1139">
        <v>2224</v>
      </c>
      <c r="AB26" s="1139">
        <v>2661.0688868400002</v>
      </c>
      <c r="AC26" s="1139">
        <v>2710.3346824</v>
      </c>
      <c r="AD26" s="1139">
        <v>2559.14687</v>
      </c>
      <c r="AE26" s="1139">
        <v>2590.5554390000002</v>
      </c>
      <c r="AF26" s="1139">
        <v>2968.3156210000002</v>
      </c>
      <c r="AG26" s="1139">
        <v>2728.1693970000001</v>
      </c>
      <c r="AH26" s="1223">
        <v>2628.0084449999999</v>
      </c>
      <c r="AI26" s="1223">
        <v>2905.1137640000002</v>
      </c>
      <c r="AJ26" s="1223">
        <v>2996.2233379999998</v>
      </c>
      <c r="AK26" s="1140">
        <v>4366.7226689999998</v>
      </c>
      <c r="AL26" s="1139">
        <v>2875.3374480000002</v>
      </c>
      <c r="AM26" s="1139">
        <v>2667.6779700000002</v>
      </c>
      <c r="AN26" s="1139">
        <v>3078.827256</v>
      </c>
      <c r="AO26" s="1139">
        <v>3211.647868</v>
      </c>
      <c r="AP26" s="1139">
        <v>3069.1167829999999</v>
      </c>
      <c r="AQ26" s="1139">
        <v>2974.3818369999999</v>
      </c>
      <c r="AR26" s="1139">
        <v>3654.8789489999999</v>
      </c>
      <c r="AS26" s="1139">
        <v>3635.5090340000002</v>
      </c>
      <c r="AT26" s="1139">
        <v>3351.4744690000002</v>
      </c>
      <c r="AU26" s="1139">
        <v>3706.7802000000001</v>
      </c>
      <c r="AV26" s="1139">
        <v>3242.136857</v>
      </c>
      <c r="AW26" s="1140">
        <v>4158.2030940000004</v>
      </c>
      <c r="AX26" s="1664">
        <v>2897.899433</v>
      </c>
      <c r="AY26" s="1664">
        <v>3130.8474160000001</v>
      </c>
      <c r="AZ26" s="1664">
        <v>3280.9886470000001</v>
      </c>
      <c r="BA26" s="1664">
        <v>3798.2796109999999</v>
      </c>
      <c r="BB26" s="1664">
        <v>3294.2673989999998</v>
      </c>
      <c r="BC26" s="1664">
        <v>3311.431701</v>
      </c>
      <c r="BD26" s="1664">
        <v>4091.6090960000001</v>
      </c>
      <c r="BE26" s="1664">
        <v>3636.147371</v>
      </c>
      <c r="BF26" s="1664">
        <v>3459.0552250000001</v>
      </c>
      <c r="BG26" s="1664">
        <v>4063.1679429999999</v>
      </c>
      <c r="BH26" s="1664">
        <v>3205.47046</v>
      </c>
      <c r="BI26" s="1140">
        <v>4771.6906419999996</v>
      </c>
      <c r="BJ26" s="1664">
        <v>3071.453203</v>
      </c>
      <c r="BK26" s="1664">
        <v>2922.5798880000002</v>
      </c>
      <c r="BL26" s="1664">
        <v>3237.6531519999999</v>
      </c>
      <c r="BM26" s="1664">
        <v>5347.5586219999996</v>
      </c>
      <c r="BN26" s="1664">
        <v>3149.5825300000001</v>
      </c>
      <c r="BO26" s="1664">
        <v>2948.0839890000002</v>
      </c>
      <c r="BP26" s="1664">
        <v>3804.0428029999998</v>
      </c>
      <c r="BQ26" s="1664">
        <v>3178.5749730000002</v>
      </c>
      <c r="BR26" s="1664">
        <v>3310.9747550000002</v>
      </c>
      <c r="BS26" s="1664">
        <v>3862.4623139999999</v>
      </c>
      <c r="BT26" s="1664">
        <v>3175.109727</v>
      </c>
      <c r="BU26" s="1140">
        <v>4949.1757209999996</v>
      </c>
      <c r="BV26" s="1664">
        <v>3301.5897060000002</v>
      </c>
      <c r="BW26" s="1664">
        <v>2993.9642490000001</v>
      </c>
      <c r="BX26" s="1664">
        <v>3280.4046410000001</v>
      </c>
      <c r="BY26" s="1664">
        <v>3980.144589</v>
      </c>
      <c r="BZ26" s="1664">
        <v>2980.1593800000001</v>
      </c>
      <c r="CA26" s="1664">
        <v>3535.2875199999999</v>
      </c>
    </row>
    <row r="27" spans="1:79" ht="20.25" customHeight="1">
      <c r="A27" s="1141" t="s">
        <v>3135</v>
      </c>
      <c r="B27" s="1139">
        <v>339.38726901000001</v>
      </c>
      <c r="C27" s="1139">
        <v>316.26841318999999</v>
      </c>
      <c r="D27" s="1139">
        <v>354.62629660000005</v>
      </c>
      <c r="E27" s="1139">
        <v>348.15246104000005</v>
      </c>
      <c r="F27" s="1139">
        <v>425.45725443999999</v>
      </c>
      <c r="G27" s="1139">
        <v>357.88493598000002</v>
      </c>
      <c r="H27" s="1139">
        <v>422.35413311000002</v>
      </c>
      <c r="I27" s="1139">
        <v>405.52668639000001</v>
      </c>
      <c r="J27" s="1139">
        <v>425</v>
      </c>
      <c r="K27" s="1139">
        <v>511</v>
      </c>
      <c r="L27" s="1139">
        <v>374</v>
      </c>
      <c r="M27" s="1139">
        <v>717</v>
      </c>
      <c r="N27" s="1139">
        <v>389.57843463</v>
      </c>
      <c r="O27" s="1139">
        <v>326.62247430999997</v>
      </c>
      <c r="P27" s="1139">
        <v>376</v>
      </c>
      <c r="Q27" s="1139">
        <v>467</v>
      </c>
      <c r="R27" s="1139">
        <v>407</v>
      </c>
      <c r="S27" s="1139">
        <v>426</v>
      </c>
      <c r="T27" s="1139">
        <v>425</v>
      </c>
      <c r="U27" s="1139">
        <v>452</v>
      </c>
      <c r="V27" s="1139">
        <v>537</v>
      </c>
      <c r="W27" s="1139">
        <v>485</v>
      </c>
      <c r="X27" s="1139">
        <v>495</v>
      </c>
      <c r="Y27" s="1139">
        <v>835</v>
      </c>
      <c r="Z27" s="1139">
        <v>647</v>
      </c>
      <c r="AA27" s="1139">
        <v>377</v>
      </c>
      <c r="AB27" s="1139">
        <v>591.05376814999966</v>
      </c>
      <c r="AC27" s="1139">
        <v>648.20895498000004</v>
      </c>
      <c r="AD27" s="1139">
        <v>609.831456</v>
      </c>
      <c r="AE27" s="1139">
        <v>593.33632299999999</v>
      </c>
      <c r="AF27" s="1139">
        <v>495.08307400000001</v>
      </c>
      <c r="AG27" s="1139">
        <v>641.26251400000001</v>
      </c>
      <c r="AH27" s="1223">
        <v>536.40785300000005</v>
      </c>
      <c r="AI27" s="1223">
        <v>683.06440099999998</v>
      </c>
      <c r="AJ27" s="1223">
        <v>731.46598200000005</v>
      </c>
      <c r="AK27" s="1140">
        <v>966.16638499999999</v>
      </c>
      <c r="AL27" s="1139">
        <v>730.71346400000004</v>
      </c>
      <c r="AM27" s="1139">
        <v>500.24496599999998</v>
      </c>
      <c r="AN27" s="1139">
        <v>680.51364899999999</v>
      </c>
      <c r="AO27" s="1139">
        <v>723.73855600000002</v>
      </c>
      <c r="AP27" s="1139">
        <v>646.76023499999997</v>
      </c>
      <c r="AQ27" s="1139">
        <v>629.17293700000005</v>
      </c>
      <c r="AR27" s="1139">
        <v>823.25343299999997</v>
      </c>
      <c r="AS27" s="1139">
        <v>775.40882599999998</v>
      </c>
      <c r="AT27" s="1139">
        <v>697.70200599999998</v>
      </c>
      <c r="AU27" s="1139">
        <v>661.74090000000001</v>
      </c>
      <c r="AV27" s="1139">
        <v>722.249955</v>
      </c>
      <c r="AW27" s="1140">
        <v>972.47906</v>
      </c>
      <c r="AX27" s="1664">
        <v>829.20828100000006</v>
      </c>
      <c r="AY27" s="1664">
        <v>632.71390399999996</v>
      </c>
      <c r="AZ27" s="1664">
        <v>756.27844200000004</v>
      </c>
      <c r="BA27" s="1664">
        <v>772.56715699999995</v>
      </c>
      <c r="BB27" s="1664">
        <v>701.43477600000006</v>
      </c>
      <c r="BC27" s="1664">
        <v>592.84201399999995</v>
      </c>
      <c r="BD27" s="1664">
        <v>786.31243800000004</v>
      </c>
      <c r="BE27" s="1664">
        <v>821.94227899999998</v>
      </c>
      <c r="BF27" s="1664">
        <v>724.26091299999996</v>
      </c>
      <c r="BG27" s="1664">
        <v>757.31724899999995</v>
      </c>
      <c r="BH27" s="1664">
        <v>788.45938200000001</v>
      </c>
      <c r="BI27" s="1140">
        <v>1200.3452749999999</v>
      </c>
      <c r="BJ27" s="1664">
        <v>966.22141599999998</v>
      </c>
      <c r="BK27" s="1664">
        <v>664.22909500000003</v>
      </c>
      <c r="BL27" s="1664">
        <v>686.25408400000003</v>
      </c>
      <c r="BM27" s="1664">
        <v>879.13574900000003</v>
      </c>
      <c r="BN27" s="1664">
        <v>713.57767999999999</v>
      </c>
      <c r="BO27" s="1664">
        <v>683.10685000000001</v>
      </c>
      <c r="BP27" s="1664">
        <v>828.71797300000003</v>
      </c>
      <c r="BQ27" s="1664">
        <v>762.39273100000003</v>
      </c>
      <c r="BR27" s="1664">
        <v>876.28832699999998</v>
      </c>
      <c r="BS27" s="1664">
        <v>813.22141499999998</v>
      </c>
      <c r="BT27" s="1664">
        <v>774.18618700000002</v>
      </c>
      <c r="BU27" s="1140">
        <v>1195.488781</v>
      </c>
      <c r="BV27" s="1664">
        <v>885.18347300000005</v>
      </c>
      <c r="BW27" s="1664">
        <v>803.18418399999996</v>
      </c>
      <c r="BX27" s="1664">
        <v>625.83702100000005</v>
      </c>
      <c r="BY27" s="1664">
        <v>830.52888700000005</v>
      </c>
      <c r="BZ27" s="1664">
        <v>729.12232500000005</v>
      </c>
      <c r="CA27" s="1664">
        <v>726.51037899999994</v>
      </c>
    </row>
    <row r="28" spans="1:79" s="1135" customFormat="1" ht="20.25" customHeight="1">
      <c r="A28" s="1142" t="s">
        <v>3137</v>
      </c>
      <c r="B28" s="1143">
        <v>0</v>
      </c>
      <c r="C28" s="1143">
        <v>0</v>
      </c>
      <c r="D28" s="1143">
        <v>0</v>
      </c>
      <c r="E28" s="1143">
        <v>0</v>
      </c>
      <c r="F28" s="1143">
        <v>0</v>
      </c>
      <c r="G28" s="1143">
        <v>0</v>
      </c>
      <c r="H28" s="1143">
        <v>0</v>
      </c>
      <c r="I28" s="1143">
        <v>0</v>
      </c>
      <c r="J28" s="1143">
        <v>0</v>
      </c>
      <c r="K28" s="1143">
        <v>13.647152999999999</v>
      </c>
      <c r="L28" s="1143">
        <v>17.037315</v>
      </c>
      <c r="M28" s="1143">
        <v>17.351372999999999</v>
      </c>
      <c r="N28" s="1143">
        <v>14.797878000000001</v>
      </c>
      <c r="O28" s="1143">
        <v>13.358305</v>
      </c>
      <c r="P28" s="1143">
        <v>15</v>
      </c>
      <c r="Q28" s="1143">
        <v>21</v>
      </c>
      <c r="R28" s="1143">
        <v>15</v>
      </c>
      <c r="S28" s="1143">
        <v>18</v>
      </c>
      <c r="T28" s="1143">
        <v>20</v>
      </c>
      <c r="U28" s="1143">
        <v>26</v>
      </c>
      <c r="V28" s="1143">
        <v>26</v>
      </c>
      <c r="W28" s="1143">
        <v>30</v>
      </c>
      <c r="X28" s="1143">
        <v>29</v>
      </c>
      <c r="Y28" s="1143">
        <v>52</v>
      </c>
      <c r="Z28" s="1143">
        <v>31</v>
      </c>
      <c r="AA28" s="1143">
        <v>31</v>
      </c>
      <c r="AB28" s="1143">
        <v>34.992664910000009</v>
      </c>
      <c r="AC28" s="1143">
        <v>42.958795289999998</v>
      </c>
      <c r="AD28" s="1143">
        <v>39</v>
      </c>
      <c r="AE28" s="1143">
        <v>45.560265999999999</v>
      </c>
      <c r="AF28" s="1143">
        <v>50.419567999999998</v>
      </c>
      <c r="AG28" s="1143">
        <v>50.178089999999997</v>
      </c>
      <c r="AH28" s="1224">
        <v>47.609662</v>
      </c>
      <c r="AI28" s="1224">
        <v>45.243550999999997</v>
      </c>
      <c r="AJ28" s="1224">
        <v>49.752963000000001</v>
      </c>
      <c r="AK28" s="1144">
        <v>81.847286999999994</v>
      </c>
      <c r="AL28" s="1143">
        <v>53.433326999999998</v>
      </c>
      <c r="AM28" s="1143">
        <v>140.54292100000001</v>
      </c>
      <c r="AN28" s="1143">
        <v>195.251194</v>
      </c>
      <c r="AO28" s="1143">
        <v>72.627515000000002</v>
      </c>
      <c r="AP28" s="1143">
        <v>76.014280999999997</v>
      </c>
      <c r="AQ28" s="1143">
        <v>75.469903000000002</v>
      </c>
      <c r="AR28" s="1143">
        <v>76.798392000000007</v>
      </c>
      <c r="AS28" s="1143">
        <v>74.161629000000005</v>
      </c>
      <c r="AT28" s="1143">
        <v>68.687235999999999</v>
      </c>
      <c r="AU28" s="1143">
        <v>67.922317000000007</v>
      </c>
      <c r="AV28" s="1143">
        <v>71.27946</v>
      </c>
      <c r="AW28" s="1144">
        <v>82.220506999999998</v>
      </c>
      <c r="AX28" s="1665">
        <v>67.108132999999995</v>
      </c>
      <c r="AY28" s="1665">
        <v>72.082678999999999</v>
      </c>
      <c r="AZ28" s="1665">
        <v>85.879328999999998</v>
      </c>
      <c r="BA28" s="1665">
        <v>86.477007999999998</v>
      </c>
      <c r="BB28" s="1665">
        <v>86.483063999999999</v>
      </c>
      <c r="BC28" s="1665">
        <v>78.355957000000004</v>
      </c>
      <c r="BD28" s="1665">
        <v>98.053759999999997</v>
      </c>
      <c r="BE28" s="1665">
        <v>95.307574000000002</v>
      </c>
      <c r="BF28" s="1665">
        <v>94.116104000000007</v>
      </c>
      <c r="BG28" s="1665">
        <v>414.00317799999999</v>
      </c>
      <c r="BH28" s="1665">
        <v>84.856795000000005</v>
      </c>
      <c r="BI28" s="1144">
        <v>109.862624</v>
      </c>
      <c r="BJ28" s="1665">
        <v>87.914000000000001</v>
      </c>
      <c r="BK28" s="1665">
        <v>96.041235</v>
      </c>
      <c r="BL28" s="1665">
        <v>93.848224999999999</v>
      </c>
      <c r="BM28" s="1665">
        <v>136.49768599999999</v>
      </c>
      <c r="BN28" s="1665">
        <v>162.99889099999999</v>
      </c>
      <c r="BO28" s="1665">
        <v>180.54601199999999</v>
      </c>
      <c r="BP28" s="1665">
        <v>243.360522</v>
      </c>
      <c r="BQ28" s="1665">
        <v>242.16626099999999</v>
      </c>
      <c r="BR28" s="1665">
        <v>296.48957999999999</v>
      </c>
      <c r="BS28" s="1665">
        <v>337.70170300000001</v>
      </c>
      <c r="BT28" s="1665">
        <v>362.48297200000002</v>
      </c>
      <c r="BU28" s="1144">
        <v>368.83794999999998</v>
      </c>
      <c r="BV28" s="1665">
        <v>311.596881</v>
      </c>
      <c r="BW28" s="1665">
        <v>406.15077100000002</v>
      </c>
      <c r="BX28" s="1665">
        <v>570.01537599999995</v>
      </c>
      <c r="BY28" s="1665">
        <v>940.40605600000004</v>
      </c>
      <c r="BZ28" s="1665">
        <v>836.45543599999996</v>
      </c>
      <c r="CA28" s="1665">
        <v>1075.5638650000001</v>
      </c>
    </row>
    <row r="29" spans="1:79" s="883" customFormat="1" ht="23.25" customHeight="1">
      <c r="A29" s="1944" t="s">
        <v>2681</v>
      </c>
      <c r="B29" s="1944"/>
      <c r="C29" s="1944"/>
      <c r="D29" s="1944"/>
      <c r="E29" s="1944"/>
      <c r="F29" s="1944"/>
      <c r="G29" s="1944"/>
      <c r="H29" s="1944"/>
      <c r="I29" s="1944"/>
      <c r="J29" s="1944"/>
      <c r="K29" s="1944"/>
      <c r="L29" s="1944"/>
      <c r="M29" s="1944"/>
      <c r="N29" s="1944"/>
      <c r="O29" s="1944"/>
      <c r="P29" s="1944"/>
      <c r="Q29" s="1944"/>
      <c r="R29" s="1944"/>
      <c r="S29" s="1944"/>
      <c r="T29" s="1944"/>
      <c r="U29" s="1944"/>
      <c r="V29" s="1944"/>
      <c r="W29" s="1944"/>
      <c r="X29" s="1944"/>
      <c r="Y29" s="1944"/>
      <c r="Z29" s="1944"/>
      <c r="AA29" s="1944"/>
      <c r="AB29" s="1944"/>
      <c r="AC29" s="1944"/>
      <c r="AD29" s="1944"/>
      <c r="AE29" s="1944"/>
      <c r="AF29" s="1944"/>
      <c r="AG29" s="1944"/>
      <c r="AH29" s="1944"/>
      <c r="AI29" s="1944"/>
      <c r="AJ29" s="1944"/>
      <c r="AK29" s="1944"/>
      <c r="AL29" s="1944"/>
      <c r="AM29" s="1944"/>
      <c r="AN29" s="1944"/>
      <c r="AO29" s="1944"/>
      <c r="AP29" s="1944"/>
      <c r="AQ29" s="1944"/>
      <c r="AR29" s="1944"/>
      <c r="AS29" s="1944"/>
      <c r="AT29" s="1944"/>
      <c r="AU29" s="1944"/>
      <c r="AV29" s="1944"/>
      <c r="AW29" s="1944"/>
      <c r="AX29" s="1944"/>
      <c r="AY29" s="1944"/>
      <c r="AZ29" s="1944"/>
      <c r="BA29" s="1944"/>
      <c r="BB29" s="1944"/>
      <c r="BC29" s="1944"/>
      <c r="BD29" s="1944"/>
      <c r="BE29" s="1944"/>
      <c r="BF29" s="1944"/>
      <c r="BG29" s="1944"/>
      <c r="BH29" s="1944"/>
      <c r="BI29" s="1944"/>
      <c r="BJ29" s="1944"/>
      <c r="BK29" s="1944"/>
      <c r="BL29" s="1944"/>
      <c r="BM29" s="1944"/>
      <c r="BN29" s="1944"/>
      <c r="BO29" s="1944"/>
      <c r="BP29" s="1944"/>
      <c r="BQ29" s="1944"/>
      <c r="BR29" s="1944"/>
      <c r="BS29" s="1944"/>
      <c r="BT29" s="1944"/>
      <c r="BU29" s="1944"/>
      <c r="BV29" s="1944"/>
      <c r="BW29" s="1944"/>
      <c r="BX29" s="1944"/>
      <c r="BY29" s="1944"/>
      <c r="BZ29" s="1944"/>
      <c r="CA29" s="1944"/>
    </row>
    <row r="32" spans="1:79" ht="18.75">
      <c r="U32" s="1135"/>
    </row>
  </sheetData>
  <protectedRanges>
    <protectedRange sqref="AB21:AB23" name="Range1_2"/>
    <protectedRange sqref="AB25:AB27" name="Range1_2_1"/>
    <protectedRange sqref="AB28" name="Range1_2_2"/>
  </protectedRanges>
  <mergeCells count="14">
    <mergeCell ref="AL19:AW19"/>
    <mergeCell ref="AX19:CA19"/>
    <mergeCell ref="AL9:AW9"/>
    <mergeCell ref="AX9:CA9"/>
    <mergeCell ref="A2:CA2"/>
    <mergeCell ref="A3:CA3"/>
    <mergeCell ref="A6:A8"/>
    <mergeCell ref="B6:M6"/>
    <mergeCell ref="N6:Y6"/>
    <mergeCell ref="Z6:AK6"/>
    <mergeCell ref="AL6:AW6"/>
    <mergeCell ref="AX6:BI6"/>
    <mergeCell ref="BJ6:BU6"/>
    <mergeCell ref="BV6:CA6"/>
  </mergeCells>
  <dataValidations disablePrompts="1" count="1">
    <dataValidation type="custom" allowBlank="1" showInputMessage="1" showErrorMessage="1" error="&quot;-&quot;  işarəsi qəbul edilmir və vergüldən sonra 2 rəqəm yazıla bilər!" sqref="AB21:AB23 AB25:AB28" xr:uid="{00000000-0002-0000-2E00-000000000000}">
      <formula1>IF(AND(INT(AB21)=AB21,AB21&gt;-1),TRUE,IF(LEN(RIGHT(AB21,LEN(AB21)-FIND(".",AB21)))&lt;=6,TRUE,FALSE))</formula1>
    </dataValidation>
  </dataValidations>
  <pageMargins left="0.7" right="0.7" top="0.75" bottom="0.75" header="0.3" footer="0.3"/>
  <pageSetup scale="17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2C0B-CA96-4F24-8F4F-AB4D325A590A}">
  <sheetPr codeName="Sheet48">
    <tabColor rgb="FF92D050"/>
  </sheetPr>
  <dimension ref="A1:M261"/>
  <sheetViews>
    <sheetView showGridLines="0" view="pageBreakPreview" zoomScaleSheetLayoutView="100" workbookViewId="0">
      <pane ySplit="11" topLeftCell="A241" activePane="bottomLeft" state="frozen"/>
      <selection activeCell="F40" sqref="F40"/>
      <selection pane="bottomLeft" activeCell="Q277" sqref="Q277:Q278"/>
    </sheetView>
  </sheetViews>
  <sheetFormatPr defaultColWidth="8.85546875" defaultRowHeight="12.75"/>
  <cols>
    <col min="1" max="1" width="7.7109375" style="1431" customWidth="1"/>
    <col min="2" max="2" width="13.28515625" style="1431" customWidth="1"/>
    <col min="3" max="3" width="14.5703125" style="1431" customWidth="1"/>
    <col min="4" max="4" width="13.5703125" style="1431" customWidth="1"/>
    <col min="5" max="6" width="13" style="1431" customWidth="1"/>
    <col min="7" max="7" width="14.5703125" style="1431" customWidth="1"/>
    <col min="8" max="8" width="14.7109375" style="1431" customWidth="1"/>
    <col min="9" max="9" width="14.5703125" style="1431" customWidth="1"/>
    <col min="10" max="11" width="13.5703125" style="1431" customWidth="1"/>
    <col min="12" max="12" width="14.5703125" style="1431" customWidth="1"/>
    <col min="13" max="13" width="13.5703125" style="1431" customWidth="1"/>
    <col min="14" max="16384" width="8.85546875" style="1431"/>
  </cols>
  <sheetData>
    <row r="1" spans="1:13" ht="9" customHeight="1"/>
    <row r="2" spans="1:13" ht="15" customHeight="1">
      <c r="A2" s="2163" t="s">
        <v>3903</v>
      </c>
      <c r="B2" s="2163"/>
      <c r="C2" s="2163"/>
      <c r="D2" s="2163"/>
      <c r="E2" s="2163"/>
      <c r="F2" s="2163"/>
      <c r="G2" s="2163"/>
      <c r="H2" s="2163"/>
      <c r="I2" s="2163"/>
      <c r="J2" s="2163"/>
      <c r="K2" s="2163"/>
      <c r="L2" s="2163"/>
      <c r="M2" s="2163"/>
    </row>
    <row r="3" spans="1:13" ht="21" customHeight="1">
      <c r="A3" s="2164" t="s">
        <v>3904</v>
      </c>
      <c r="B3" s="2164"/>
      <c r="C3" s="2164"/>
      <c r="D3" s="2164"/>
      <c r="E3" s="2164"/>
      <c r="F3" s="2164"/>
      <c r="G3" s="2164"/>
      <c r="H3" s="2164"/>
      <c r="I3" s="2164"/>
      <c r="J3" s="2164"/>
      <c r="K3" s="2164"/>
      <c r="L3" s="2164"/>
      <c r="M3" s="2164"/>
    </row>
    <row r="4" spans="1:13" ht="10.5" customHeight="1">
      <c r="A4" s="490"/>
      <c r="B4" s="490"/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</row>
    <row r="5" spans="1:13" ht="10.5" customHeight="1">
      <c r="A5" s="2575" t="s">
        <v>2150</v>
      </c>
      <c r="B5" s="2575"/>
      <c r="C5" s="2575"/>
      <c r="D5" s="2575"/>
      <c r="E5" s="2575"/>
      <c r="F5" s="2575"/>
      <c r="G5" s="2575"/>
      <c r="H5" s="2575"/>
      <c r="I5" s="2575"/>
      <c r="J5" s="2575"/>
      <c r="K5" s="2575"/>
      <c r="L5" s="2575"/>
      <c r="M5" s="2575"/>
    </row>
    <row r="6" spans="1:13" ht="10.5" customHeight="1">
      <c r="A6" s="2142" t="s">
        <v>182</v>
      </c>
      <c r="B6" s="2142" t="s">
        <v>1012</v>
      </c>
      <c r="C6" s="2566" t="s">
        <v>1013</v>
      </c>
      <c r="D6" s="2567"/>
      <c r="E6" s="2142" t="s">
        <v>3290</v>
      </c>
      <c r="F6" s="2570" t="s">
        <v>144</v>
      </c>
      <c r="G6" s="2571"/>
      <c r="H6" s="2572"/>
      <c r="I6" s="2570" t="s">
        <v>3291</v>
      </c>
      <c r="J6" s="2572"/>
      <c r="K6" s="2142" t="s">
        <v>3741</v>
      </c>
      <c r="L6" s="2570" t="s">
        <v>1013</v>
      </c>
      <c r="M6" s="2572"/>
    </row>
    <row r="7" spans="1:13" ht="44.25" customHeight="1">
      <c r="A7" s="2565"/>
      <c r="B7" s="2565"/>
      <c r="C7" s="2568"/>
      <c r="D7" s="2569"/>
      <c r="E7" s="2565"/>
      <c r="F7" s="2142" t="s">
        <v>3739</v>
      </c>
      <c r="G7" s="2145" t="s">
        <v>3740</v>
      </c>
      <c r="H7" s="2145"/>
      <c r="I7" s="2573"/>
      <c r="J7" s="2574"/>
      <c r="K7" s="2565"/>
      <c r="L7" s="2573"/>
      <c r="M7" s="2574"/>
    </row>
    <row r="8" spans="1:13" ht="31.5" customHeight="1">
      <c r="A8" s="2143"/>
      <c r="B8" s="2143"/>
      <c r="C8" s="1231" t="s">
        <v>1014</v>
      </c>
      <c r="D8" s="1231" t="s">
        <v>1015</v>
      </c>
      <c r="E8" s="2143"/>
      <c r="F8" s="2143"/>
      <c r="G8" s="557" t="s">
        <v>155</v>
      </c>
      <c r="H8" s="1231" t="s">
        <v>1016</v>
      </c>
      <c r="I8" s="1231" t="s">
        <v>1014</v>
      </c>
      <c r="J8" s="1231" t="s">
        <v>1015</v>
      </c>
      <c r="K8" s="2143"/>
      <c r="L8" s="1231" t="s">
        <v>1014</v>
      </c>
      <c r="M8" s="1231" t="s">
        <v>1015</v>
      </c>
    </row>
    <row r="9" spans="1:13" ht="31.5" customHeight="1">
      <c r="A9" s="2146" t="s">
        <v>283</v>
      </c>
      <c r="B9" s="2146" t="s">
        <v>3907</v>
      </c>
      <c r="C9" s="2576" t="s">
        <v>1017</v>
      </c>
      <c r="D9" s="2577"/>
      <c r="E9" s="2146" t="s">
        <v>1018</v>
      </c>
      <c r="F9" s="2173" t="s">
        <v>149</v>
      </c>
      <c r="G9" s="2580"/>
      <c r="H9" s="2174"/>
      <c r="I9" s="2561" t="s">
        <v>1019</v>
      </c>
      <c r="J9" s="2562"/>
      <c r="K9" s="2146" t="s">
        <v>3742</v>
      </c>
      <c r="L9" s="2561" t="s">
        <v>149</v>
      </c>
      <c r="M9" s="2562"/>
    </row>
    <row r="10" spans="1:13" ht="30.75" customHeight="1">
      <c r="A10" s="2187"/>
      <c r="B10" s="2187"/>
      <c r="C10" s="2578"/>
      <c r="D10" s="2579"/>
      <c r="E10" s="2187"/>
      <c r="F10" s="2170" t="s">
        <v>3743</v>
      </c>
      <c r="G10" s="2546" t="s">
        <v>3744</v>
      </c>
      <c r="H10" s="2546"/>
      <c r="I10" s="2563"/>
      <c r="J10" s="2564"/>
      <c r="K10" s="2187"/>
      <c r="L10" s="2563"/>
      <c r="M10" s="2564"/>
    </row>
    <row r="11" spans="1:13" ht="24.75" customHeight="1">
      <c r="A11" s="2147"/>
      <c r="B11" s="2147"/>
      <c r="C11" s="1423" t="s">
        <v>1020</v>
      </c>
      <c r="D11" s="1423" t="s">
        <v>1021</v>
      </c>
      <c r="E11" s="2147"/>
      <c r="F11" s="2171"/>
      <c r="G11" s="558" t="s">
        <v>105</v>
      </c>
      <c r="H11" s="1423" t="s">
        <v>1022</v>
      </c>
      <c r="I11" s="1423" t="s">
        <v>1020</v>
      </c>
      <c r="J11" s="1423" t="s">
        <v>1021</v>
      </c>
      <c r="K11" s="2147"/>
      <c r="L11" s="1423" t="s">
        <v>1020</v>
      </c>
      <c r="M11" s="1423" t="s">
        <v>1021</v>
      </c>
    </row>
    <row r="12" spans="1:13">
      <c r="A12" s="461">
        <v>2006</v>
      </c>
      <c r="B12" s="107">
        <v>1080</v>
      </c>
      <c r="C12" s="107">
        <v>655</v>
      </c>
      <c r="D12" s="107">
        <v>425</v>
      </c>
      <c r="E12" s="107">
        <v>2070</v>
      </c>
      <c r="F12" s="107"/>
      <c r="G12" s="107">
        <v>1576</v>
      </c>
      <c r="H12" s="107">
        <v>1436</v>
      </c>
      <c r="I12" s="107">
        <v>1719</v>
      </c>
      <c r="J12" s="107">
        <v>351</v>
      </c>
      <c r="K12" s="108"/>
      <c r="L12" s="108"/>
      <c r="M12" s="108"/>
    </row>
    <row r="13" spans="1:13">
      <c r="A13" s="108">
        <v>2007</v>
      </c>
      <c r="B13" s="108">
        <v>1317</v>
      </c>
      <c r="C13" s="108">
        <v>820</v>
      </c>
      <c r="D13" s="108">
        <v>497</v>
      </c>
      <c r="E13" s="108">
        <v>5309</v>
      </c>
      <c r="F13" s="108"/>
      <c r="G13" s="108">
        <v>4653</v>
      </c>
      <c r="H13" s="108">
        <v>4470</v>
      </c>
      <c r="I13" s="108">
        <v>4871</v>
      </c>
      <c r="J13" s="108">
        <v>438</v>
      </c>
      <c r="K13" s="108"/>
      <c r="L13" s="108"/>
      <c r="M13" s="108"/>
    </row>
    <row r="14" spans="1:13" ht="13.15" hidden="1" customHeight="1">
      <c r="A14" s="37" t="s">
        <v>18</v>
      </c>
      <c r="B14" s="108">
        <v>1080</v>
      </c>
      <c r="C14" s="108">
        <v>655</v>
      </c>
      <c r="D14" s="108">
        <f t="shared" ref="D14:D25" si="0">B14-C14</f>
        <v>425</v>
      </c>
      <c r="E14" s="108">
        <v>2099</v>
      </c>
      <c r="F14" s="108"/>
      <c r="G14" s="108">
        <v>1584</v>
      </c>
      <c r="H14" s="108">
        <v>1437</v>
      </c>
      <c r="I14" s="108">
        <v>1743</v>
      </c>
      <c r="J14" s="108">
        <f t="shared" ref="J14:J25" si="1">E14-I14</f>
        <v>356</v>
      </c>
      <c r="K14" s="108"/>
      <c r="L14" s="108"/>
      <c r="M14" s="108"/>
    </row>
    <row r="15" spans="1:13" ht="13.15" hidden="1" customHeight="1">
      <c r="A15" s="37" t="s">
        <v>19</v>
      </c>
      <c r="B15" s="108">
        <v>1089</v>
      </c>
      <c r="C15" s="108">
        <v>665</v>
      </c>
      <c r="D15" s="108">
        <f t="shared" si="0"/>
        <v>424</v>
      </c>
      <c r="E15" s="108">
        <v>2134</v>
      </c>
      <c r="F15" s="108"/>
      <c r="G15" s="108">
        <v>1607</v>
      </c>
      <c r="H15" s="108">
        <v>1455</v>
      </c>
      <c r="I15" s="108">
        <v>1766</v>
      </c>
      <c r="J15" s="108">
        <f t="shared" si="1"/>
        <v>368</v>
      </c>
      <c r="K15" s="108"/>
      <c r="L15" s="108"/>
      <c r="M15" s="108"/>
    </row>
    <row r="16" spans="1:13" ht="13.15" hidden="1" customHeight="1">
      <c r="A16" s="37" t="s">
        <v>20</v>
      </c>
      <c r="B16" s="108">
        <v>1105</v>
      </c>
      <c r="C16" s="108">
        <v>677</v>
      </c>
      <c r="D16" s="108">
        <f t="shared" si="0"/>
        <v>428</v>
      </c>
      <c r="E16" s="108">
        <v>2234</v>
      </c>
      <c r="F16" s="108"/>
      <c r="G16" s="108">
        <v>1685</v>
      </c>
      <c r="H16" s="108">
        <v>1518</v>
      </c>
      <c r="I16" s="108">
        <v>1852</v>
      </c>
      <c r="J16" s="108">
        <f t="shared" si="1"/>
        <v>382</v>
      </c>
      <c r="K16" s="108"/>
      <c r="L16" s="108"/>
      <c r="M16" s="108"/>
    </row>
    <row r="17" spans="1:13" ht="13.15" hidden="1" customHeight="1">
      <c r="A17" s="37" t="s">
        <v>21</v>
      </c>
      <c r="B17" s="108">
        <v>1122</v>
      </c>
      <c r="C17" s="108">
        <v>695</v>
      </c>
      <c r="D17" s="108">
        <f t="shared" si="0"/>
        <v>427</v>
      </c>
      <c r="E17" s="108">
        <v>2558</v>
      </c>
      <c r="F17" s="108"/>
      <c r="G17" s="108">
        <v>2024</v>
      </c>
      <c r="H17" s="108">
        <v>1856</v>
      </c>
      <c r="I17" s="108">
        <v>2171</v>
      </c>
      <c r="J17" s="108">
        <f t="shared" si="1"/>
        <v>387</v>
      </c>
      <c r="K17" s="108"/>
      <c r="L17" s="108"/>
      <c r="M17" s="108"/>
    </row>
    <row r="18" spans="1:13" ht="13.15" hidden="1" customHeight="1">
      <c r="A18" s="37" t="s">
        <v>22</v>
      </c>
      <c r="B18" s="108">
        <v>1138</v>
      </c>
      <c r="C18" s="108">
        <v>703</v>
      </c>
      <c r="D18" s="108">
        <f t="shared" si="0"/>
        <v>435</v>
      </c>
      <c r="E18" s="108">
        <v>2768</v>
      </c>
      <c r="F18" s="108"/>
      <c r="G18" s="108">
        <v>2227</v>
      </c>
      <c r="H18" s="108">
        <v>2057</v>
      </c>
      <c r="I18" s="108">
        <v>2382</v>
      </c>
      <c r="J18" s="108">
        <f t="shared" si="1"/>
        <v>386</v>
      </c>
      <c r="K18" s="108"/>
      <c r="L18" s="108"/>
      <c r="M18" s="108"/>
    </row>
    <row r="19" spans="1:13" ht="13.15" hidden="1" customHeight="1">
      <c r="A19" s="37" t="s">
        <v>23</v>
      </c>
      <c r="B19" s="108">
        <v>1161</v>
      </c>
      <c r="C19" s="108">
        <v>725</v>
      </c>
      <c r="D19" s="108">
        <f t="shared" si="0"/>
        <v>436</v>
      </c>
      <c r="E19" s="108">
        <v>3119</v>
      </c>
      <c r="F19" s="108"/>
      <c r="G19" s="108">
        <v>2567</v>
      </c>
      <c r="H19" s="108">
        <v>2396</v>
      </c>
      <c r="I19" s="108">
        <v>2728</v>
      </c>
      <c r="J19" s="108">
        <f t="shared" si="1"/>
        <v>391</v>
      </c>
      <c r="K19" s="108"/>
      <c r="L19" s="108"/>
      <c r="M19" s="108"/>
    </row>
    <row r="20" spans="1:13" ht="13.15" hidden="1" customHeight="1">
      <c r="A20" s="37" t="s">
        <v>24</v>
      </c>
      <c r="B20" s="108">
        <v>1186</v>
      </c>
      <c r="C20" s="108">
        <v>735</v>
      </c>
      <c r="D20" s="108">
        <f t="shared" si="0"/>
        <v>451</v>
      </c>
      <c r="E20" s="108">
        <v>3721</v>
      </c>
      <c r="F20" s="108"/>
      <c r="G20" s="108">
        <v>3144</v>
      </c>
      <c r="H20" s="108">
        <v>2971</v>
      </c>
      <c r="I20" s="108">
        <v>3324</v>
      </c>
      <c r="J20" s="108">
        <f t="shared" si="1"/>
        <v>397</v>
      </c>
      <c r="K20" s="108"/>
      <c r="L20" s="108"/>
      <c r="M20" s="108"/>
    </row>
    <row r="21" spans="1:13" ht="13.15" hidden="1" customHeight="1">
      <c r="A21" s="37" t="s">
        <v>25</v>
      </c>
      <c r="B21" s="108">
        <v>1204</v>
      </c>
      <c r="C21" s="108">
        <v>748</v>
      </c>
      <c r="D21" s="108">
        <f t="shared" si="0"/>
        <v>456</v>
      </c>
      <c r="E21" s="108">
        <v>4039</v>
      </c>
      <c r="F21" s="108"/>
      <c r="G21" s="108">
        <v>3470</v>
      </c>
      <c r="H21" s="108">
        <v>3291</v>
      </c>
      <c r="I21" s="108">
        <v>3629</v>
      </c>
      <c r="J21" s="108">
        <f t="shared" si="1"/>
        <v>410</v>
      </c>
      <c r="K21" s="108"/>
      <c r="L21" s="108"/>
      <c r="M21" s="108"/>
    </row>
    <row r="22" spans="1:13" ht="13.15" hidden="1" customHeight="1">
      <c r="A22" s="37" t="s">
        <v>26</v>
      </c>
      <c r="B22" s="108">
        <v>1237</v>
      </c>
      <c r="C22" s="108">
        <v>768</v>
      </c>
      <c r="D22" s="108">
        <f t="shared" si="0"/>
        <v>469</v>
      </c>
      <c r="E22" s="108">
        <v>4262</v>
      </c>
      <c r="F22" s="108"/>
      <c r="G22" s="108">
        <v>3683</v>
      </c>
      <c r="H22" s="108">
        <v>3503</v>
      </c>
      <c r="I22" s="108">
        <v>3844</v>
      </c>
      <c r="J22" s="108">
        <f t="shared" si="1"/>
        <v>418</v>
      </c>
      <c r="K22" s="108"/>
      <c r="L22" s="108"/>
      <c r="M22" s="108"/>
    </row>
    <row r="23" spans="1:13" ht="13.15" hidden="1" customHeight="1">
      <c r="A23" s="37">
        <v>10</v>
      </c>
      <c r="B23" s="108">
        <v>1259</v>
      </c>
      <c r="C23" s="108">
        <v>783</v>
      </c>
      <c r="D23" s="108">
        <f t="shared" si="0"/>
        <v>476</v>
      </c>
      <c r="E23" s="108">
        <v>4494</v>
      </c>
      <c r="F23" s="108"/>
      <c r="G23" s="108">
        <v>3907</v>
      </c>
      <c r="H23" s="108">
        <v>3725</v>
      </c>
      <c r="I23" s="108">
        <v>4078</v>
      </c>
      <c r="J23" s="108">
        <f t="shared" si="1"/>
        <v>416</v>
      </c>
      <c r="K23" s="108"/>
      <c r="L23" s="108"/>
      <c r="M23" s="108"/>
    </row>
    <row r="24" spans="1:13" ht="13.15" hidden="1" customHeight="1">
      <c r="A24" s="37">
        <v>11</v>
      </c>
      <c r="B24" s="108">
        <v>1298</v>
      </c>
      <c r="C24" s="108">
        <v>806</v>
      </c>
      <c r="D24" s="108">
        <f t="shared" si="0"/>
        <v>492</v>
      </c>
      <c r="E24" s="108">
        <v>4776</v>
      </c>
      <c r="F24" s="108"/>
      <c r="G24" s="108">
        <v>4172</v>
      </c>
      <c r="H24" s="108">
        <v>3988</v>
      </c>
      <c r="I24" s="108">
        <v>4353</v>
      </c>
      <c r="J24" s="108">
        <f t="shared" si="1"/>
        <v>423</v>
      </c>
      <c r="K24" s="108"/>
      <c r="L24" s="108"/>
      <c r="M24" s="108"/>
    </row>
    <row r="25" spans="1:13" ht="13.15" hidden="1" customHeight="1">
      <c r="A25" s="37">
        <v>12</v>
      </c>
      <c r="B25" s="108">
        <v>1317</v>
      </c>
      <c r="C25" s="108">
        <v>820</v>
      </c>
      <c r="D25" s="108">
        <f t="shared" si="0"/>
        <v>497</v>
      </c>
      <c r="E25" s="108">
        <v>5309</v>
      </c>
      <c r="F25" s="108"/>
      <c r="G25" s="108">
        <v>4653</v>
      </c>
      <c r="H25" s="108">
        <v>4470</v>
      </c>
      <c r="I25" s="108">
        <v>4871</v>
      </c>
      <c r="J25" s="108">
        <f t="shared" si="1"/>
        <v>438</v>
      </c>
      <c r="K25" s="108"/>
      <c r="L25" s="108"/>
      <c r="M25" s="108"/>
    </row>
    <row r="26" spans="1:13">
      <c r="A26" s="108">
        <v>2008</v>
      </c>
      <c r="B26" s="108">
        <v>1515</v>
      </c>
      <c r="C26" s="108">
        <v>867</v>
      </c>
      <c r="D26" s="108">
        <v>648</v>
      </c>
      <c r="E26" s="108">
        <v>8124</v>
      </c>
      <c r="F26" s="108"/>
      <c r="G26" s="108">
        <v>7367</v>
      </c>
      <c r="H26" s="108">
        <v>6968</v>
      </c>
      <c r="I26" s="108">
        <v>7397</v>
      </c>
      <c r="J26" s="108">
        <v>727</v>
      </c>
      <c r="K26" s="108"/>
      <c r="L26" s="108"/>
      <c r="M26" s="108"/>
    </row>
    <row r="27" spans="1:13">
      <c r="A27" s="37" t="s">
        <v>43</v>
      </c>
      <c r="B27" s="108">
        <v>1694</v>
      </c>
      <c r="C27" s="108">
        <v>959</v>
      </c>
      <c r="D27" s="108">
        <v>735</v>
      </c>
      <c r="E27" s="108">
        <v>8657</v>
      </c>
      <c r="F27" s="108"/>
      <c r="G27" s="108">
        <v>7854</v>
      </c>
      <c r="H27" s="108">
        <v>7429</v>
      </c>
      <c r="I27" s="108">
        <v>7871</v>
      </c>
      <c r="J27" s="108">
        <v>786</v>
      </c>
      <c r="K27" s="1457"/>
      <c r="L27" s="1457"/>
      <c r="M27" s="1457"/>
    </row>
    <row r="28" spans="1:13" hidden="1">
      <c r="A28" s="37" t="s">
        <v>18</v>
      </c>
      <c r="B28" s="1457">
        <v>1545</v>
      </c>
      <c r="C28" s="1457">
        <v>878</v>
      </c>
      <c r="D28" s="1457">
        <v>667</v>
      </c>
      <c r="E28" s="1457">
        <v>8114</v>
      </c>
      <c r="F28" s="1457"/>
      <c r="G28" s="1457">
        <v>7332</v>
      </c>
      <c r="H28" s="1457">
        <v>6910</v>
      </c>
      <c r="I28" s="1457">
        <v>7346</v>
      </c>
      <c r="J28" s="1457">
        <v>768</v>
      </c>
      <c r="K28" s="1457"/>
      <c r="L28" s="1457"/>
      <c r="M28" s="1457"/>
    </row>
    <row r="29" spans="1:13" hidden="1">
      <c r="A29" s="37" t="s">
        <v>19</v>
      </c>
      <c r="B29" s="1457">
        <v>1560</v>
      </c>
      <c r="C29" s="1457">
        <v>887</v>
      </c>
      <c r="D29" s="1457">
        <v>673</v>
      </c>
      <c r="E29" s="1457">
        <v>8237</v>
      </c>
      <c r="F29" s="1457"/>
      <c r="G29" s="1457">
        <v>7446</v>
      </c>
      <c r="H29" s="1457">
        <v>7012</v>
      </c>
      <c r="I29" s="1457">
        <v>7449</v>
      </c>
      <c r="J29" s="1457">
        <v>788</v>
      </c>
      <c r="K29" s="1457"/>
      <c r="L29" s="1457"/>
      <c r="M29" s="1457"/>
    </row>
    <row r="30" spans="1:13" hidden="1">
      <c r="A30" s="37" t="s">
        <v>20</v>
      </c>
      <c r="B30" s="1457">
        <v>1576</v>
      </c>
      <c r="C30" s="1457">
        <v>888</v>
      </c>
      <c r="D30" s="1457">
        <v>688</v>
      </c>
      <c r="E30" s="1457">
        <v>8410</v>
      </c>
      <c r="F30" s="1457"/>
      <c r="G30" s="1457">
        <v>7547</v>
      </c>
      <c r="H30" s="1457">
        <v>7108</v>
      </c>
      <c r="I30" s="1457">
        <v>7608</v>
      </c>
      <c r="J30" s="1457">
        <v>802</v>
      </c>
      <c r="K30" s="1457"/>
      <c r="L30" s="1457"/>
      <c r="M30" s="1457"/>
    </row>
    <row r="31" spans="1:13" hidden="1">
      <c r="A31" s="37" t="s">
        <v>21</v>
      </c>
      <c r="B31" s="1457">
        <v>1572</v>
      </c>
      <c r="C31" s="1457">
        <v>882</v>
      </c>
      <c r="D31" s="1457">
        <v>690</v>
      </c>
      <c r="E31" s="1457">
        <v>8404</v>
      </c>
      <c r="F31" s="1457"/>
      <c r="G31" s="1457">
        <v>7607</v>
      </c>
      <c r="H31" s="1457">
        <v>7164</v>
      </c>
      <c r="I31" s="1457">
        <v>7588</v>
      </c>
      <c r="J31" s="1457">
        <v>816</v>
      </c>
      <c r="K31" s="1457"/>
      <c r="L31" s="1457"/>
      <c r="M31" s="1457"/>
    </row>
    <row r="32" spans="1:13" hidden="1">
      <c r="A32" s="37" t="s">
        <v>22</v>
      </c>
      <c r="B32" s="1457">
        <v>1582</v>
      </c>
      <c r="C32" s="1457">
        <v>895</v>
      </c>
      <c r="D32" s="1457">
        <v>687</v>
      </c>
      <c r="E32" s="1457">
        <v>8521</v>
      </c>
      <c r="F32" s="1457"/>
      <c r="G32" s="1457">
        <v>7796</v>
      </c>
      <c r="H32" s="1457">
        <v>7349</v>
      </c>
      <c r="I32" s="1457">
        <v>7739</v>
      </c>
      <c r="J32" s="1457">
        <v>782</v>
      </c>
      <c r="K32" s="1457"/>
      <c r="L32" s="1457"/>
      <c r="M32" s="1457"/>
    </row>
    <row r="33" spans="1:13" hidden="1">
      <c r="A33" s="37" t="s">
        <v>23</v>
      </c>
      <c r="B33" s="1457">
        <v>1588</v>
      </c>
      <c r="C33" s="1457">
        <v>902</v>
      </c>
      <c r="D33" s="1457">
        <v>686</v>
      </c>
      <c r="E33" s="1457">
        <v>8532</v>
      </c>
      <c r="F33" s="1457"/>
      <c r="G33" s="1457">
        <v>7787</v>
      </c>
      <c r="H33" s="1457">
        <v>7349</v>
      </c>
      <c r="I33" s="1457">
        <v>7753</v>
      </c>
      <c r="J33" s="1457">
        <v>779</v>
      </c>
      <c r="K33" s="1457"/>
      <c r="L33" s="1457"/>
      <c r="M33" s="1457"/>
    </row>
    <row r="34" spans="1:13" hidden="1">
      <c r="A34" s="37" t="s">
        <v>24</v>
      </c>
      <c r="B34" s="1457">
        <v>1600</v>
      </c>
      <c r="C34" s="1457">
        <v>902</v>
      </c>
      <c r="D34" s="1457">
        <v>698</v>
      </c>
      <c r="E34" s="1457">
        <v>8485</v>
      </c>
      <c r="F34" s="1457"/>
      <c r="G34" s="1457">
        <v>7724</v>
      </c>
      <c r="H34" s="1457">
        <v>7287</v>
      </c>
      <c r="I34" s="1457">
        <v>7704</v>
      </c>
      <c r="J34" s="1457">
        <v>781</v>
      </c>
      <c r="K34" s="1457"/>
      <c r="L34" s="1457"/>
      <c r="M34" s="1457"/>
    </row>
    <row r="35" spans="1:13" hidden="1">
      <c r="A35" s="37" t="s">
        <v>25</v>
      </c>
      <c r="B35" s="1457">
        <v>1617</v>
      </c>
      <c r="C35" s="1457">
        <v>915</v>
      </c>
      <c r="D35" s="1457">
        <v>702</v>
      </c>
      <c r="E35" s="1457">
        <v>8481</v>
      </c>
      <c r="F35" s="1457"/>
      <c r="G35" s="1457">
        <v>7726</v>
      </c>
      <c r="H35" s="1457">
        <v>7290</v>
      </c>
      <c r="I35" s="1457">
        <v>7698</v>
      </c>
      <c r="J35" s="1457">
        <v>783</v>
      </c>
      <c r="K35" s="1457"/>
      <c r="L35" s="1457"/>
      <c r="M35" s="1457"/>
    </row>
    <row r="36" spans="1:13" hidden="1">
      <c r="A36" s="37" t="s">
        <v>26</v>
      </c>
      <c r="B36" s="1457">
        <v>1638</v>
      </c>
      <c r="C36" s="1457">
        <v>928</v>
      </c>
      <c r="D36" s="1457">
        <v>710</v>
      </c>
      <c r="E36" s="1457">
        <v>8519</v>
      </c>
      <c r="F36" s="1457"/>
      <c r="G36" s="1457">
        <v>7764</v>
      </c>
      <c r="H36" s="1457">
        <v>7331</v>
      </c>
      <c r="I36" s="1457">
        <v>7737</v>
      </c>
      <c r="J36" s="1457">
        <v>782</v>
      </c>
      <c r="K36" s="1457"/>
      <c r="L36" s="1457"/>
      <c r="M36" s="1457"/>
    </row>
    <row r="37" spans="1:13" hidden="1">
      <c r="A37" s="37" t="s">
        <v>27</v>
      </c>
      <c r="B37" s="1457">
        <v>1657</v>
      </c>
      <c r="C37" s="1457">
        <v>935</v>
      </c>
      <c r="D37" s="1457">
        <v>722</v>
      </c>
      <c r="E37" s="1457">
        <v>8567</v>
      </c>
      <c r="F37" s="1457"/>
      <c r="G37" s="1457">
        <v>7795</v>
      </c>
      <c r="H37" s="1457">
        <v>7361</v>
      </c>
      <c r="I37" s="1457">
        <v>7782</v>
      </c>
      <c r="J37" s="1457">
        <v>785</v>
      </c>
      <c r="K37" s="1457"/>
      <c r="L37" s="1457"/>
      <c r="M37" s="1457"/>
    </row>
    <row r="38" spans="1:13" hidden="1">
      <c r="A38" s="37" t="s">
        <v>28</v>
      </c>
      <c r="B38" s="1457">
        <v>1673</v>
      </c>
      <c r="C38" s="1457">
        <v>943</v>
      </c>
      <c r="D38" s="1457">
        <v>730</v>
      </c>
      <c r="E38" s="1457">
        <v>8613</v>
      </c>
      <c r="F38" s="1457"/>
      <c r="G38" s="1457">
        <v>7830</v>
      </c>
      <c r="H38" s="1457">
        <v>7401</v>
      </c>
      <c r="I38" s="1457">
        <v>7827</v>
      </c>
      <c r="J38" s="1457">
        <v>786</v>
      </c>
      <c r="K38" s="1457"/>
      <c r="L38" s="1457"/>
      <c r="M38" s="1457"/>
    </row>
    <row r="39" spans="1:13" hidden="1">
      <c r="A39" s="37" t="s">
        <v>29</v>
      </c>
      <c r="B39" s="1457">
        <v>1694</v>
      </c>
      <c r="C39" s="1457">
        <v>959</v>
      </c>
      <c r="D39" s="1457">
        <v>735</v>
      </c>
      <c r="E39" s="1457">
        <v>8657</v>
      </c>
      <c r="F39" s="1457"/>
      <c r="G39" s="1457">
        <v>7854</v>
      </c>
      <c r="H39" s="1457">
        <v>7429</v>
      </c>
      <c r="I39" s="1457">
        <v>7871</v>
      </c>
      <c r="J39" s="1457">
        <v>786</v>
      </c>
      <c r="K39" s="355"/>
      <c r="L39" s="355"/>
      <c r="M39" s="355"/>
    </row>
    <row r="40" spans="1:13">
      <c r="A40" s="37" t="s">
        <v>48</v>
      </c>
      <c r="B40" s="355">
        <v>1892</v>
      </c>
      <c r="C40" s="355">
        <v>1053</v>
      </c>
      <c r="D40" s="355">
        <v>839</v>
      </c>
      <c r="E40" s="355">
        <v>7872</v>
      </c>
      <c r="F40" s="355"/>
      <c r="G40" s="355">
        <v>6978</v>
      </c>
      <c r="H40" s="355">
        <v>6554</v>
      </c>
      <c r="I40" s="355">
        <v>7069</v>
      </c>
      <c r="J40" s="355">
        <v>803</v>
      </c>
      <c r="K40" s="355"/>
      <c r="L40" s="355"/>
      <c r="M40" s="355"/>
    </row>
    <row r="41" spans="1:13" hidden="1">
      <c r="A41" s="37" t="s">
        <v>18</v>
      </c>
      <c r="B41" s="355">
        <v>1708</v>
      </c>
      <c r="C41" s="355">
        <v>972</v>
      </c>
      <c r="D41" s="355">
        <v>736</v>
      </c>
      <c r="E41" s="355">
        <v>8657</v>
      </c>
      <c r="F41" s="355"/>
      <c r="G41" s="355">
        <v>7833</v>
      </c>
      <c r="H41" s="355">
        <v>7412</v>
      </c>
      <c r="I41" s="355">
        <v>7873</v>
      </c>
      <c r="J41" s="355">
        <v>784</v>
      </c>
      <c r="K41" s="355"/>
      <c r="L41" s="355"/>
      <c r="M41" s="355"/>
    </row>
    <row r="42" spans="1:13" hidden="1">
      <c r="A42" s="37" t="s">
        <v>19</v>
      </c>
      <c r="B42" s="355">
        <v>1714</v>
      </c>
      <c r="C42" s="355">
        <v>971</v>
      </c>
      <c r="D42" s="355">
        <v>743</v>
      </c>
      <c r="E42" s="355">
        <v>8678</v>
      </c>
      <c r="F42" s="355"/>
      <c r="G42" s="355">
        <v>7847</v>
      </c>
      <c r="H42" s="355">
        <v>7423</v>
      </c>
      <c r="I42" s="355">
        <v>7890</v>
      </c>
      <c r="J42" s="355">
        <v>788</v>
      </c>
      <c r="K42" s="355"/>
      <c r="L42" s="355"/>
      <c r="M42" s="355"/>
    </row>
    <row r="43" spans="1:13" hidden="1">
      <c r="A43" s="37" t="s">
        <v>20</v>
      </c>
      <c r="B43" s="355">
        <v>1715</v>
      </c>
      <c r="C43" s="355">
        <v>967</v>
      </c>
      <c r="D43" s="355">
        <v>748</v>
      </c>
      <c r="E43" s="355">
        <v>8737</v>
      </c>
      <c r="F43" s="355"/>
      <c r="G43" s="355">
        <v>7903</v>
      </c>
      <c r="H43" s="355">
        <v>7480</v>
      </c>
      <c r="I43" s="355">
        <v>7950</v>
      </c>
      <c r="J43" s="355">
        <v>787</v>
      </c>
      <c r="K43" s="355"/>
      <c r="L43" s="355"/>
      <c r="M43" s="355"/>
    </row>
    <row r="44" spans="1:13" hidden="1">
      <c r="A44" s="37" t="s">
        <v>21</v>
      </c>
      <c r="B44" s="355">
        <v>1734</v>
      </c>
      <c r="C44" s="355">
        <v>973</v>
      </c>
      <c r="D44" s="355">
        <v>761</v>
      </c>
      <c r="E44" s="355">
        <v>8716</v>
      </c>
      <c r="F44" s="355"/>
      <c r="G44" s="355">
        <v>7890</v>
      </c>
      <c r="H44" s="355">
        <v>7466</v>
      </c>
      <c r="I44" s="355">
        <v>7933</v>
      </c>
      <c r="J44" s="355">
        <v>783</v>
      </c>
      <c r="K44" s="355"/>
      <c r="L44" s="355"/>
      <c r="M44" s="355"/>
    </row>
    <row r="45" spans="1:13" hidden="1">
      <c r="A45" s="37" t="s">
        <v>22</v>
      </c>
      <c r="B45" s="355">
        <v>1752</v>
      </c>
      <c r="C45" s="355">
        <v>979</v>
      </c>
      <c r="D45" s="355">
        <v>773</v>
      </c>
      <c r="E45" s="355">
        <v>8801</v>
      </c>
      <c r="F45" s="355"/>
      <c r="G45" s="355">
        <v>7966</v>
      </c>
      <c r="H45" s="355">
        <v>7536</v>
      </c>
      <c r="I45" s="355">
        <v>8013</v>
      </c>
      <c r="J45" s="355">
        <v>788</v>
      </c>
      <c r="K45" s="355"/>
      <c r="L45" s="355"/>
      <c r="M45" s="355"/>
    </row>
    <row r="46" spans="1:13" hidden="1">
      <c r="A46" s="37" t="s">
        <v>23</v>
      </c>
      <c r="B46" s="355">
        <v>1777</v>
      </c>
      <c r="C46" s="355">
        <v>995</v>
      </c>
      <c r="D46" s="355">
        <v>782</v>
      </c>
      <c r="E46" s="355">
        <v>8815</v>
      </c>
      <c r="F46" s="355"/>
      <c r="G46" s="355">
        <v>7981</v>
      </c>
      <c r="H46" s="355">
        <v>7555</v>
      </c>
      <c r="I46" s="355">
        <v>8028</v>
      </c>
      <c r="J46" s="355">
        <v>787</v>
      </c>
      <c r="K46" s="355"/>
      <c r="L46" s="355"/>
      <c r="M46" s="355"/>
    </row>
    <row r="47" spans="1:13" hidden="1">
      <c r="A47" s="37" t="s">
        <v>24</v>
      </c>
      <c r="B47" s="355">
        <v>1809</v>
      </c>
      <c r="C47" s="355">
        <v>1014</v>
      </c>
      <c r="D47" s="355">
        <v>795</v>
      </c>
      <c r="E47" s="355">
        <v>8769</v>
      </c>
      <c r="F47" s="355"/>
      <c r="G47" s="355">
        <v>7913</v>
      </c>
      <c r="H47" s="355">
        <v>7842</v>
      </c>
      <c r="I47" s="355">
        <v>7980</v>
      </c>
      <c r="J47" s="355">
        <v>789</v>
      </c>
      <c r="K47" s="355"/>
      <c r="L47" s="355"/>
      <c r="M47" s="355"/>
    </row>
    <row r="48" spans="1:13" hidden="1">
      <c r="A48" s="37" t="s">
        <v>25</v>
      </c>
      <c r="B48" s="355">
        <v>1832</v>
      </c>
      <c r="C48" s="355">
        <v>1025</v>
      </c>
      <c r="D48" s="355">
        <v>807</v>
      </c>
      <c r="E48" s="355">
        <v>8792</v>
      </c>
      <c r="F48" s="355"/>
      <c r="G48" s="355">
        <v>7934</v>
      </c>
      <c r="H48" s="355">
        <v>7503</v>
      </c>
      <c r="I48" s="355">
        <v>7994</v>
      </c>
      <c r="J48" s="355">
        <v>798</v>
      </c>
      <c r="K48" s="355"/>
      <c r="L48" s="355"/>
      <c r="M48" s="355"/>
    </row>
    <row r="49" spans="1:13" hidden="1">
      <c r="A49" s="37" t="s">
        <v>26</v>
      </c>
      <c r="B49" s="355">
        <v>1847</v>
      </c>
      <c r="C49" s="355">
        <v>1028</v>
      </c>
      <c r="D49" s="355">
        <v>819</v>
      </c>
      <c r="E49" s="355">
        <v>8882</v>
      </c>
      <c r="F49" s="355"/>
      <c r="G49" s="355">
        <v>8015</v>
      </c>
      <c r="H49" s="355">
        <v>7581</v>
      </c>
      <c r="I49" s="355">
        <v>8077</v>
      </c>
      <c r="J49" s="355">
        <v>805</v>
      </c>
      <c r="K49" s="355"/>
      <c r="L49" s="355"/>
      <c r="M49" s="355"/>
    </row>
    <row r="50" spans="1:13" hidden="1">
      <c r="A50" s="37">
        <v>10</v>
      </c>
      <c r="B50" s="355">
        <v>1868</v>
      </c>
      <c r="C50" s="355">
        <v>1036</v>
      </c>
      <c r="D50" s="355">
        <v>832</v>
      </c>
      <c r="E50" s="355">
        <v>7878</v>
      </c>
      <c r="F50" s="355"/>
      <c r="G50" s="355">
        <v>7009</v>
      </c>
      <c r="H50" s="355">
        <v>6575</v>
      </c>
      <c r="I50" s="355">
        <v>7068</v>
      </c>
      <c r="J50" s="355">
        <v>810</v>
      </c>
      <c r="K50" s="355"/>
      <c r="L50" s="355"/>
      <c r="M50" s="355"/>
    </row>
    <row r="51" spans="1:13" hidden="1">
      <c r="A51" s="37">
        <v>11</v>
      </c>
      <c r="B51" s="355">
        <v>1879</v>
      </c>
      <c r="C51" s="355">
        <v>1044</v>
      </c>
      <c r="D51" s="355">
        <v>835</v>
      </c>
      <c r="E51" s="355">
        <v>7912</v>
      </c>
      <c r="F51" s="355"/>
      <c r="G51" s="355">
        <v>7012</v>
      </c>
      <c r="H51" s="355">
        <v>6582</v>
      </c>
      <c r="I51" s="355">
        <v>7096</v>
      </c>
      <c r="J51" s="355">
        <v>816</v>
      </c>
      <c r="K51" s="355"/>
      <c r="L51" s="355"/>
      <c r="M51" s="355"/>
    </row>
    <row r="52" spans="1:13" hidden="1">
      <c r="A52" s="37" t="s">
        <v>29</v>
      </c>
      <c r="B52" s="355">
        <v>1892</v>
      </c>
      <c r="C52" s="355">
        <v>1053</v>
      </c>
      <c r="D52" s="355">
        <v>839</v>
      </c>
      <c r="E52" s="355">
        <v>7872</v>
      </c>
      <c r="F52" s="355"/>
      <c r="G52" s="355">
        <v>6978</v>
      </c>
      <c r="H52" s="355">
        <v>6554</v>
      </c>
      <c r="I52" s="355">
        <v>7069</v>
      </c>
      <c r="J52" s="355">
        <v>803</v>
      </c>
      <c r="K52" s="355"/>
      <c r="L52" s="355"/>
      <c r="M52" s="355"/>
    </row>
    <row r="53" spans="1:13">
      <c r="A53" s="37" t="s">
        <v>1024</v>
      </c>
      <c r="B53" s="355">
        <v>2132</v>
      </c>
      <c r="C53" s="355">
        <v>1179</v>
      </c>
      <c r="D53" s="355">
        <v>953</v>
      </c>
      <c r="E53" s="355">
        <v>13220</v>
      </c>
      <c r="F53" s="355"/>
      <c r="G53" s="355">
        <v>11714</v>
      </c>
      <c r="H53" s="355">
        <v>11169</v>
      </c>
      <c r="I53" s="355">
        <v>12153</v>
      </c>
      <c r="J53" s="355">
        <v>1067</v>
      </c>
      <c r="K53" s="355"/>
      <c r="L53" s="355"/>
      <c r="M53" s="355"/>
    </row>
    <row r="54" spans="1:13" hidden="1">
      <c r="A54" s="37" t="s">
        <v>18</v>
      </c>
      <c r="B54" s="355">
        <v>1907</v>
      </c>
      <c r="C54" s="355">
        <v>1063</v>
      </c>
      <c r="D54" s="355">
        <v>844</v>
      </c>
      <c r="E54" s="355">
        <v>7864</v>
      </c>
      <c r="F54" s="355"/>
      <c r="G54" s="355">
        <v>6922</v>
      </c>
      <c r="H54" s="355">
        <v>6494</v>
      </c>
      <c r="I54" s="355">
        <v>7054</v>
      </c>
      <c r="J54" s="355">
        <v>810</v>
      </c>
      <c r="K54" s="355"/>
      <c r="L54" s="355"/>
      <c r="M54" s="355"/>
    </row>
    <row r="55" spans="1:13" hidden="1">
      <c r="A55" s="37" t="s">
        <v>19</v>
      </c>
      <c r="B55" s="355">
        <v>1912</v>
      </c>
      <c r="C55" s="355">
        <v>1065</v>
      </c>
      <c r="D55" s="355">
        <v>847</v>
      </c>
      <c r="E55" s="355">
        <v>7983</v>
      </c>
      <c r="F55" s="355"/>
      <c r="G55" s="355">
        <v>7048</v>
      </c>
      <c r="H55" s="355">
        <v>6620</v>
      </c>
      <c r="I55" s="355">
        <v>7175</v>
      </c>
      <c r="J55" s="355">
        <v>808</v>
      </c>
      <c r="K55" s="355"/>
      <c r="L55" s="355"/>
      <c r="M55" s="355"/>
    </row>
    <row r="56" spans="1:13" hidden="1">
      <c r="A56" s="37" t="s">
        <v>20</v>
      </c>
      <c r="B56" s="355">
        <v>1929</v>
      </c>
      <c r="C56" s="355">
        <v>1071</v>
      </c>
      <c r="D56" s="355">
        <v>848</v>
      </c>
      <c r="E56" s="355">
        <v>8857</v>
      </c>
      <c r="F56" s="355"/>
      <c r="G56" s="355">
        <v>7926</v>
      </c>
      <c r="H56" s="355">
        <v>7497</v>
      </c>
      <c r="I56" s="355">
        <v>8027</v>
      </c>
      <c r="J56" s="355">
        <v>830</v>
      </c>
      <c r="K56" s="355"/>
      <c r="L56" s="355"/>
      <c r="M56" s="355"/>
    </row>
    <row r="57" spans="1:13" hidden="1">
      <c r="A57" s="37" t="s">
        <v>21</v>
      </c>
      <c r="B57" s="355">
        <v>1947</v>
      </c>
      <c r="C57" s="355">
        <v>1078</v>
      </c>
      <c r="D57" s="355">
        <v>869</v>
      </c>
      <c r="E57" s="355">
        <v>9435</v>
      </c>
      <c r="F57" s="355"/>
      <c r="G57" s="355">
        <v>8483</v>
      </c>
      <c r="H57" s="355">
        <v>8040</v>
      </c>
      <c r="I57" s="355">
        <v>8576</v>
      </c>
      <c r="J57" s="355">
        <v>859</v>
      </c>
      <c r="K57" s="355"/>
      <c r="L57" s="355"/>
      <c r="M57" s="355"/>
    </row>
    <row r="58" spans="1:13" hidden="1">
      <c r="A58" s="37" t="s">
        <v>22</v>
      </c>
      <c r="B58" s="355">
        <v>1960</v>
      </c>
      <c r="C58" s="355">
        <v>1086</v>
      </c>
      <c r="D58" s="355">
        <v>874</v>
      </c>
      <c r="E58" s="355">
        <v>10095</v>
      </c>
      <c r="F58" s="355"/>
      <c r="G58" s="355">
        <v>8828</v>
      </c>
      <c r="H58" s="355">
        <v>8380</v>
      </c>
      <c r="I58" s="355">
        <v>9216</v>
      </c>
      <c r="J58" s="355">
        <v>879</v>
      </c>
      <c r="K58" s="355"/>
      <c r="L58" s="355"/>
      <c r="M58" s="355"/>
    </row>
    <row r="59" spans="1:13" hidden="1">
      <c r="A59" s="37" t="s">
        <v>23</v>
      </c>
      <c r="B59" s="355">
        <v>1985</v>
      </c>
      <c r="C59" s="355">
        <v>1101</v>
      </c>
      <c r="D59" s="355">
        <v>884</v>
      </c>
      <c r="E59" s="355">
        <v>10609</v>
      </c>
      <c r="F59" s="355"/>
      <c r="G59" s="355">
        <v>9307</v>
      </c>
      <c r="H59" s="355">
        <v>8851</v>
      </c>
      <c r="I59" s="355">
        <v>9703</v>
      </c>
      <c r="J59" s="355">
        <v>906</v>
      </c>
      <c r="K59" s="355"/>
      <c r="L59" s="355"/>
      <c r="M59" s="355"/>
    </row>
    <row r="60" spans="1:13" hidden="1">
      <c r="A60" s="37" t="s">
        <v>24</v>
      </c>
      <c r="B60" s="355">
        <v>2002</v>
      </c>
      <c r="C60" s="355">
        <v>1112</v>
      </c>
      <c r="D60" s="355">
        <v>890</v>
      </c>
      <c r="E60" s="355">
        <v>11272</v>
      </c>
      <c r="F60" s="355"/>
      <c r="G60" s="355">
        <v>9901</v>
      </c>
      <c r="H60" s="355">
        <v>9442</v>
      </c>
      <c r="I60" s="355">
        <v>10306</v>
      </c>
      <c r="J60" s="355">
        <v>966</v>
      </c>
      <c r="K60" s="355"/>
      <c r="L60" s="355"/>
      <c r="M60" s="355"/>
    </row>
    <row r="61" spans="1:13" hidden="1">
      <c r="A61" s="37" t="s">
        <v>25</v>
      </c>
      <c r="B61" s="355">
        <v>2038</v>
      </c>
      <c r="C61" s="355">
        <v>1115</v>
      </c>
      <c r="D61" s="355">
        <v>923</v>
      </c>
      <c r="E61" s="355">
        <v>11787</v>
      </c>
      <c r="F61" s="355"/>
      <c r="G61" s="355">
        <v>10404</v>
      </c>
      <c r="H61" s="355">
        <v>9939</v>
      </c>
      <c r="I61" s="355">
        <v>10815</v>
      </c>
      <c r="J61" s="355">
        <v>972</v>
      </c>
      <c r="K61" s="355"/>
      <c r="L61" s="355"/>
      <c r="M61" s="355"/>
    </row>
    <row r="62" spans="1:13" hidden="1">
      <c r="A62" s="37" t="s">
        <v>26</v>
      </c>
      <c r="B62" s="355">
        <v>2056</v>
      </c>
      <c r="C62" s="355">
        <v>1144</v>
      </c>
      <c r="D62" s="355">
        <v>912</v>
      </c>
      <c r="E62" s="355">
        <v>12204</v>
      </c>
      <c r="F62" s="355"/>
      <c r="G62" s="355">
        <v>10796</v>
      </c>
      <c r="H62" s="355">
        <v>10319</v>
      </c>
      <c r="I62" s="355">
        <v>11207</v>
      </c>
      <c r="J62" s="355">
        <v>997</v>
      </c>
      <c r="K62" s="355"/>
      <c r="L62" s="355"/>
      <c r="M62" s="355"/>
    </row>
    <row r="63" spans="1:13" hidden="1">
      <c r="A63" s="37" t="s">
        <v>27</v>
      </c>
      <c r="B63" s="355">
        <v>2073</v>
      </c>
      <c r="C63" s="355">
        <v>1154</v>
      </c>
      <c r="D63" s="355">
        <v>919</v>
      </c>
      <c r="E63" s="355">
        <v>12477</v>
      </c>
      <c r="F63" s="355"/>
      <c r="G63" s="355">
        <v>10986</v>
      </c>
      <c r="H63" s="355">
        <v>10487</v>
      </c>
      <c r="I63" s="355">
        <v>11463</v>
      </c>
      <c r="J63" s="355">
        <v>1014</v>
      </c>
      <c r="K63" s="355"/>
      <c r="L63" s="355"/>
      <c r="M63" s="355"/>
    </row>
    <row r="64" spans="1:13" hidden="1">
      <c r="A64" s="37" t="s">
        <v>28</v>
      </c>
      <c r="B64" s="355">
        <v>2104</v>
      </c>
      <c r="C64" s="355">
        <v>1166</v>
      </c>
      <c r="D64" s="355">
        <v>938</v>
      </c>
      <c r="E64" s="355">
        <v>12778</v>
      </c>
      <c r="F64" s="355"/>
      <c r="G64" s="355">
        <v>11289</v>
      </c>
      <c r="H64" s="355">
        <v>10762</v>
      </c>
      <c r="I64" s="355">
        <v>11735</v>
      </c>
      <c r="J64" s="355">
        <v>1043</v>
      </c>
      <c r="K64" s="355"/>
      <c r="L64" s="355"/>
      <c r="M64" s="355"/>
    </row>
    <row r="65" spans="1:13" hidden="1">
      <c r="A65" s="37" t="s">
        <v>29</v>
      </c>
      <c r="B65" s="355">
        <v>2132</v>
      </c>
      <c r="C65" s="355">
        <v>1179</v>
      </c>
      <c r="D65" s="355">
        <v>953</v>
      </c>
      <c r="E65" s="355">
        <v>13220</v>
      </c>
      <c r="F65" s="355"/>
      <c r="G65" s="355">
        <v>11714</v>
      </c>
      <c r="H65" s="355">
        <v>11169</v>
      </c>
      <c r="I65" s="355">
        <v>12153</v>
      </c>
      <c r="J65" s="355">
        <v>1067</v>
      </c>
      <c r="K65" s="355"/>
      <c r="L65" s="355"/>
      <c r="M65" s="355"/>
    </row>
    <row r="66" spans="1:13">
      <c r="A66" s="37" t="s">
        <v>1288</v>
      </c>
      <c r="B66" s="355">
        <v>2260</v>
      </c>
      <c r="C66" s="355">
        <v>1263</v>
      </c>
      <c r="D66" s="355">
        <v>997</v>
      </c>
      <c r="E66" s="355">
        <v>36860</v>
      </c>
      <c r="F66" s="355"/>
      <c r="G66" s="355">
        <v>35035</v>
      </c>
      <c r="H66" s="355">
        <v>32386</v>
      </c>
      <c r="I66" s="355">
        <v>33629</v>
      </c>
      <c r="J66" s="355">
        <v>3231</v>
      </c>
      <c r="K66" s="1457"/>
      <c r="L66" s="1457"/>
      <c r="M66" s="1457"/>
    </row>
    <row r="67" spans="1:13" hidden="1">
      <c r="A67" s="37" t="s">
        <v>18</v>
      </c>
      <c r="B67" s="1457">
        <v>2148</v>
      </c>
      <c r="C67" s="1457">
        <v>1187</v>
      </c>
      <c r="D67" s="1457">
        <v>961</v>
      </c>
      <c r="E67" s="1457">
        <v>13686</v>
      </c>
      <c r="F67" s="1457"/>
      <c r="G67" s="1457">
        <v>12174</v>
      </c>
      <c r="H67" s="1457">
        <v>11618</v>
      </c>
      <c r="I67" s="1457">
        <v>12604</v>
      </c>
      <c r="J67" s="1457">
        <v>1082</v>
      </c>
      <c r="K67" s="1457"/>
      <c r="L67" s="1457"/>
      <c r="M67" s="1457"/>
    </row>
    <row r="68" spans="1:13" hidden="1">
      <c r="A68" s="37" t="s">
        <v>19</v>
      </c>
      <c r="B68" s="1457">
        <v>2157</v>
      </c>
      <c r="C68" s="1457">
        <v>1196</v>
      </c>
      <c r="D68" s="1457">
        <v>961</v>
      </c>
      <c r="E68" s="1457">
        <v>18193</v>
      </c>
      <c r="F68" s="1457"/>
      <c r="G68" s="1457">
        <v>16656</v>
      </c>
      <c r="H68" s="1457">
        <v>16054</v>
      </c>
      <c r="I68" s="1457">
        <v>17057</v>
      </c>
      <c r="J68" s="1457">
        <v>1136</v>
      </c>
      <c r="K68" s="1457"/>
      <c r="L68" s="1457"/>
      <c r="M68" s="1457"/>
    </row>
    <row r="69" spans="1:13" hidden="1">
      <c r="A69" s="37" t="s">
        <v>20</v>
      </c>
      <c r="B69" s="1457">
        <v>2168</v>
      </c>
      <c r="C69" s="1457">
        <v>1198</v>
      </c>
      <c r="D69" s="1457">
        <v>970</v>
      </c>
      <c r="E69" s="1457">
        <v>20994</v>
      </c>
      <c r="F69" s="1457"/>
      <c r="G69" s="1457">
        <v>19447</v>
      </c>
      <c r="H69" s="1457">
        <v>18767</v>
      </c>
      <c r="I69" s="1457">
        <v>19772</v>
      </c>
      <c r="J69" s="1457">
        <v>1222</v>
      </c>
      <c r="K69" s="1457"/>
      <c r="L69" s="1457"/>
      <c r="M69" s="1457"/>
    </row>
    <row r="70" spans="1:13" hidden="1">
      <c r="A70" s="37" t="s">
        <v>21</v>
      </c>
      <c r="B70" s="1457">
        <v>2183</v>
      </c>
      <c r="C70" s="1457">
        <v>1209</v>
      </c>
      <c r="D70" s="1457">
        <v>974</v>
      </c>
      <c r="E70" s="1457">
        <v>28921</v>
      </c>
      <c r="F70" s="1457"/>
      <c r="G70" s="1457">
        <v>27269</v>
      </c>
      <c r="H70" s="1457">
        <v>26443</v>
      </c>
      <c r="I70" s="1457">
        <v>27547</v>
      </c>
      <c r="J70" s="1457">
        <v>1374</v>
      </c>
      <c r="K70" s="1457"/>
      <c r="L70" s="1457"/>
      <c r="M70" s="1457"/>
    </row>
    <row r="71" spans="1:13" hidden="1">
      <c r="A71" s="37" t="s">
        <v>22</v>
      </c>
      <c r="B71" s="1457">
        <v>2216</v>
      </c>
      <c r="C71" s="1457">
        <v>1230</v>
      </c>
      <c r="D71" s="1457">
        <v>986</v>
      </c>
      <c r="E71" s="1457">
        <v>37194</v>
      </c>
      <c r="F71" s="1457"/>
      <c r="G71" s="1457">
        <v>35617</v>
      </c>
      <c r="H71" s="1457">
        <v>33026</v>
      </c>
      <c r="I71" s="1457">
        <v>34038</v>
      </c>
      <c r="J71" s="1457">
        <v>3156</v>
      </c>
      <c r="K71" s="1457"/>
      <c r="L71" s="1457"/>
      <c r="M71" s="1457"/>
    </row>
    <row r="72" spans="1:13" hidden="1">
      <c r="A72" s="37" t="s">
        <v>23</v>
      </c>
      <c r="B72" s="1457">
        <v>2227</v>
      </c>
      <c r="C72" s="1457">
        <v>1235</v>
      </c>
      <c r="D72" s="1457">
        <v>992</v>
      </c>
      <c r="E72" s="1457">
        <v>36310</v>
      </c>
      <c r="F72" s="1457"/>
      <c r="G72" s="1457">
        <v>34740</v>
      </c>
      <c r="H72" s="1457">
        <v>32114</v>
      </c>
      <c r="I72" s="1457">
        <v>33119</v>
      </c>
      <c r="J72" s="1457">
        <v>3191</v>
      </c>
      <c r="K72" s="1457"/>
      <c r="L72" s="1457"/>
      <c r="M72" s="1457"/>
    </row>
    <row r="73" spans="1:13" hidden="1">
      <c r="A73" s="37" t="s">
        <v>24</v>
      </c>
      <c r="B73" s="1457">
        <v>2195</v>
      </c>
      <c r="C73" s="1457">
        <v>1225</v>
      </c>
      <c r="D73" s="1457">
        <v>970</v>
      </c>
      <c r="E73" s="1457">
        <v>36523</v>
      </c>
      <c r="F73" s="1457"/>
      <c r="G73" s="1457">
        <v>34989</v>
      </c>
      <c r="H73" s="1457">
        <v>32463</v>
      </c>
      <c r="I73" s="1457">
        <v>33340</v>
      </c>
      <c r="J73" s="1457">
        <v>3183</v>
      </c>
      <c r="K73" s="1457"/>
      <c r="L73" s="1457"/>
      <c r="M73" s="1457"/>
    </row>
    <row r="74" spans="1:13" hidden="1">
      <c r="A74" s="37" t="s">
        <v>25</v>
      </c>
      <c r="B74" s="1457">
        <v>2214</v>
      </c>
      <c r="C74" s="1457">
        <v>1239</v>
      </c>
      <c r="D74" s="1457">
        <v>975</v>
      </c>
      <c r="E74" s="1457">
        <v>36514</v>
      </c>
      <c r="F74" s="1457"/>
      <c r="G74" s="1457">
        <v>34972</v>
      </c>
      <c r="H74" s="1457">
        <v>32455</v>
      </c>
      <c r="I74" s="1457">
        <v>33340</v>
      </c>
      <c r="J74" s="1457">
        <v>3174</v>
      </c>
      <c r="K74" s="1457"/>
      <c r="L74" s="1457"/>
      <c r="M74" s="1457"/>
    </row>
    <row r="75" spans="1:13" hidden="1">
      <c r="A75" s="37" t="s">
        <v>26</v>
      </c>
      <c r="B75" s="1457">
        <v>2224</v>
      </c>
      <c r="C75" s="1457">
        <v>1224</v>
      </c>
      <c r="D75" s="1457">
        <v>1000</v>
      </c>
      <c r="E75" s="1457">
        <v>36702</v>
      </c>
      <c r="F75" s="1457"/>
      <c r="G75" s="1457">
        <v>35039</v>
      </c>
      <c r="H75" s="1457">
        <v>32453</v>
      </c>
      <c r="I75" s="1457">
        <v>33549</v>
      </c>
      <c r="J75" s="1457">
        <v>3153</v>
      </c>
      <c r="K75" s="1457"/>
      <c r="L75" s="1457"/>
      <c r="M75" s="1457"/>
    </row>
    <row r="76" spans="1:13" hidden="1">
      <c r="A76" s="37" t="s">
        <v>27</v>
      </c>
      <c r="B76" s="1457">
        <v>2226</v>
      </c>
      <c r="C76" s="1457">
        <v>1243</v>
      </c>
      <c r="D76" s="1457">
        <v>983</v>
      </c>
      <c r="E76" s="1457">
        <v>36655</v>
      </c>
      <c r="F76" s="1457"/>
      <c r="G76" s="1457">
        <v>34976</v>
      </c>
      <c r="H76" s="1457">
        <v>32396</v>
      </c>
      <c r="I76" s="1457">
        <v>33506</v>
      </c>
      <c r="J76" s="1457">
        <v>3149</v>
      </c>
      <c r="K76" s="1457"/>
      <c r="L76" s="1457"/>
      <c r="M76" s="1457"/>
    </row>
    <row r="77" spans="1:13" hidden="1">
      <c r="A77" s="37" t="s">
        <v>28</v>
      </c>
      <c r="B77" s="1457">
        <v>2240</v>
      </c>
      <c r="C77" s="1457">
        <v>1249</v>
      </c>
      <c r="D77" s="1457">
        <v>991</v>
      </c>
      <c r="E77" s="1457">
        <v>36482</v>
      </c>
      <c r="F77" s="1457"/>
      <c r="G77" s="1457">
        <v>34781</v>
      </c>
      <c r="H77" s="1457">
        <v>32204</v>
      </c>
      <c r="I77" s="1457">
        <v>33333</v>
      </c>
      <c r="J77" s="1457">
        <v>3149</v>
      </c>
      <c r="K77" s="1457"/>
      <c r="L77" s="1457"/>
      <c r="M77" s="1457"/>
    </row>
    <row r="78" spans="1:13" hidden="1">
      <c r="A78" s="37" t="s">
        <v>29</v>
      </c>
      <c r="B78" s="1457">
        <v>2260</v>
      </c>
      <c r="C78" s="1457">
        <v>1263</v>
      </c>
      <c r="D78" s="1457">
        <v>997</v>
      </c>
      <c r="E78" s="1457">
        <v>36860</v>
      </c>
      <c r="F78" s="1457"/>
      <c r="G78" s="1457">
        <v>35035</v>
      </c>
      <c r="H78" s="1457">
        <v>32386</v>
      </c>
      <c r="I78" s="1457">
        <v>33629</v>
      </c>
      <c r="J78" s="1457">
        <v>3231</v>
      </c>
      <c r="K78" s="355"/>
      <c r="L78" s="355"/>
      <c r="M78" s="355"/>
    </row>
    <row r="79" spans="1:13">
      <c r="A79" s="37" t="s">
        <v>1410</v>
      </c>
      <c r="B79" s="355">
        <v>2422</v>
      </c>
      <c r="C79" s="355">
        <v>1366</v>
      </c>
      <c r="D79" s="355">
        <v>1056</v>
      </c>
      <c r="E79" s="355">
        <v>33285</v>
      </c>
      <c r="F79" s="355"/>
      <c r="G79" s="355">
        <v>31859</v>
      </c>
      <c r="H79" s="355">
        <v>28090</v>
      </c>
      <c r="I79" s="355">
        <v>28940</v>
      </c>
      <c r="J79" s="355">
        <v>4345</v>
      </c>
      <c r="K79" s="1457"/>
      <c r="L79" s="1457"/>
      <c r="M79" s="1457"/>
    </row>
    <row r="80" spans="1:13" hidden="1">
      <c r="A80" s="37" t="s">
        <v>18</v>
      </c>
      <c r="B80" s="1457">
        <v>2261</v>
      </c>
      <c r="C80" s="1457">
        <v>1264</v>
      </c>
      <c r="D80" s="1457">
        <v>997</v>
      </c>
      <c r="E80" s="1457">
        <v>37175</v>
      </c>
      <c r="F80" s="1457"/>
      <c r="G80" s="1457">
        <v>35775</v>
      </c>
      <c r="H80" s="1457">
        <v>33007</v>
      </c>
      <c r="I80" s="1457">
        <v>33816</v>
      </c>
      <c r="J80" s="1457">
        <v>3359</v>
      </c>
      <c r="K80" s="1457"/>
      <c r="L80" s="1457"/>
      <c r="M80" s="1457"/>
    </row>
    <row r="81" spans="1:13" hidden="1">
      <c r="A81" s="37" t="s">
        <v>19</v>
      </c>
      <c r="B81" s="1457">
        <v>2279</v>
      </c>
      <c r="C81" s="1457">
        <v>1273</v>
      </c>
      <c r="D81" s="1457">
        <v>1006</v>
      </c>
      <c r="E81" s="1457">
        <v>36934</v>
      </c>
      <c r="F81" s="1457"/>
      <c r="G81" s="1457">
        <v>35517</v>
      </c>
      <c r="H81" s="1457">
        <v>32494</v>
      </c>
      <c r="I81" s="1457">
        <v>33307</v>
      </c>
      <c r="J81" s="1457">
        <v>3627</v>
      </c>
      <c r="K81" s="1457"/>
      <c r="L81" s="1457"/>
      <c r="M81" s="1457"/>
    </row>
    <row r="82" spans="1:13" hidden="1">
      <c r="A82" s="37" t="s">
        <v>20</v>
      </c>
      <c r="B82" s="1457">
        <v>2295</v>
      </c>
      <c r="C82" s="1457">
        <v>1288</v>
      </c>
      <c r="D82" s="1457">
        <v>1007</v>
      </c>
      <c r="E82" s="1457">
        <v>37266</v>
      </c>
      <c r="F82" s="1457"/>
      <c r="G82" s="1457">
        <v>35850</v>
      </c>
      <c r="H82" s="1457">
        <v>32721</v>
      </c>
      <c r="I82" s="1457">
        <v>33517</v>
      </c>
      <c r="J82" s="1457">
        <v>3749</v>
      </c>
      <c r="K82" s="1457"/>
      <c r="L82" s="1457"/>
      <c r="M82" s="1457"/>
    </row>
    <row r="83" spans="1:13" hidden="1">
      <c r="A83" s="37" t="s">
        <v>21</v>
      </c>
      <c r="B83" s="1457">
        <v>2331</v>
      </c>
      <c r="C83" s="1457">
        <v>1316</v>
      </c>
      <c r="D83" s="1457">
        <v>1015</v>
      </c>
      <c r="E83" s="1457">
        <v>37080</v>
      </c>
      <c r="F83" s="1457"/>
      <c r="G83" s="1457">
        <v>35658</v>
      </c>
      <c r="H83" s="1457">
        <v>32451</v>
      </c>
      <c r="I83" s="1457">
        <v>33268</v>
      </c>
      <c r="J83" s="1457">
        <v>3812</v>
      </c>
      <c r="K83" s="1457"/>
      <c r="L83" s="1457"/>
      <c r="M83" s="1457"/>
    </row>
    <row r="84" spans="1:13" hidden="1">
      <c r="A84" s="37" t="s">
        <v>22</v>
      </c>
      <c r="B84" s="1457">
        <v>2343</v>
      </c>
      <c r="C84" s="1457">
        <v>1324</v>
      </c>
      <c r="D84" s="1457">
        <v>1019</v>
      </c>
      <c r="E84" s="1457">
        <v>37075</v>
      </c>
      <c r="F84" s="1457"/>
      <c r="G84" s="1457">
        <v>35674</v>
      </c>
      <c r="H84" s="1457">
        <v>32481</v>
      </c>
      <c r="I84" s="1457">
        <v>33269</v>
      </c>
      <c r="J84" s="1457">
        <v>3806</v>
      </c>
      <c r="K84" s="1457"/>
      <c r="L84" s="1457"/>
      <c r="M84" s="1457"/>
    </row>
    <row r="85" spans="1:13" hidden="1">
      <c r="A85" s="37" t="s">
        <v>23</v>
      </c>
      <c r="B85" s="1457">
        <v>2351</v>
      </c>
      <c r="C85" s="1457">
        <v>1324</v>
      </c>
      <c r="D85" s="1457">
        <v>1027</v>
      </c>
      <c r="E85" s="1457">
        <v>37166</v>
      </c>
      <c r="F85" s="1457"/>
      <c r="G85" s="1457">
        <v>35758</v>
      </c>
      <c r="H85" s="1457">
        <v>32491</v>
      </c>
      <c r="I85" s="1457">
        <v>33284</v>
      </c>
      <c r="J85" s="1457">
        <v>3882</v>
      </c>
      <c r="K85" s="1457"/>
      <c r="L85" s="1457"/>
      <c r="M85" s="1457"/>
    </row>
    <row r="86" spans="1:13" hidden="1">
      <c r="A86" s="37" t="s">
        <v>24</v>
      </c>
      <c r="B86" s="1457">
        <v>2368</v>
      </c>
      <c r="C86" s="1457">
        <v>1336</v>
      </c>
      <c r="D86" s="1457">
        <v>1032</v>
      </c>
      <c r="E86" s="1457">
        <v>36388</v>
      </c>
      <c r="F86" s="1457"/>
      <c r="G86" s="1457">
        <v>35003</v>
      </c>
      <c r="H86" s="1457">
        <v>31658</v>
      </c>
      <c r="I86" s="1457">
        <v>32470</v>
      </c>
      <c r="J86" s="1457">
        <v>3918</v>
      </c>
      <c r="K86" s="1457"/>
      <c r="L86" s="1457"/>
      <c r="M86" s="1457"/>
    </row>
    <row r="87" spans="1:13" hidden="1">
      <c r="A87" s="37" t="s">
        <v>25</v>
      </c>
      <c r="B87" s="1457">
        <v>2375</v>
      </c>
      <c r="C87" s="1457">
        <v>1341</v>
      </c>
      <c r="D87" s="1457">
        <v>1034</v>
      </c>
      <c r="E87" s="1457">
        <v>35715</v>
      </c>
      <c r="F87" s="1457"/>
      <c r="G87" s="1457">
        <v>34333</v>
      </c>
      <c r="H87" s="1457">
        <v>30918</v>
      </c>
      <c r="I87" s="1457">
        <v>31754</v>
      </c>
      <c r="J87" s="1457">
        <v>3961</v>
      </c>
      <c r="K87" s="1457"/>
      <c r="L87" s="1457"/>
      <c r="M87" s="1457"/>
    </row>
    <row r="88" spans="1:13" hidden="1">
      <c r="A88" s="37" t="s">
        <v>26</v>
      </c>
      <c r="B88" s="1457">
        <v>2396</v>
      </c>
      <c r="C88" s="1457">
        <v>1355</v>
      </c>
      <c r="D88" s="1457">
        <v>1041</v>
      </c>
      <c r="E88" s="1457">
        <v>35152</v>
      </c>
      <c r="F88" s="1457"/>
      <c r="G88" s="1457">
        <v>33752</v>
      </c>
      <c r="H88" s="1457">
        <v>30234</v>
      </c>
      <c r="I88" s="1457">
        <v>31068</v>
      </c>
      <c r="J88" s="1457">
        <v>4084</v>
      </c>
      <c r="K88" s="1457"/>
      <c r="L88" s="1457"/>
      <c r="M88" s="1457"/>
    </row>
    <row r="89" spans="1:13" hidden="1">
      <c r="A89" s="37" t="s">
        <v>27</v>
      </c>
      <c r="B89" s="1457">
        <v>2397</v>
      </c>
      <c r="C89" s="1457">
        <v>1351</v>
      </c>
      <c r="D89" s="1457">
        <v>1046</v>
      </c>
      <c r="E89" s="1457">
        <v>35039</v>
      </c>
      <c r="F89" s="1457"/>
      <c r="G89" s="1457">
        <v>33635</v>
      </c>
      <c r="H89" s="1457">
        <v>30061</v>
      </c>
      <c r="I89" s="1457">
        <v>30897</v>
      </c>
      <c r="J89" s="1457">
        <v>4142</v>
      </c>
      <c r="K89" s="1457"/>
      <c r="L89" s="1457"/>
      <c r="M89" s="1457"/>
    </row>
    <row r="90" spans="1:13" hidden="1">
      <c r="A90" s="37" t="s">
        <v>28</v>
      </c>
      <c r="B90" s="1457">
        <v>2411</v>
      </c>
      <c r="C90" s="1457">
        <v>1360</v>
      </c>
      <c r="D90" s="1457">
        <v>1051</v>
      </c>
      <c r="E90" s="1457">
        <v>33301</v>
      </c>
      <c r="F90" s="1457"/>
      <c r="G90" s="1457">
        <v>31897</v>
      </c>
      <c r="H90" s="1457">
        <v>28265</v>
      </c>
      <c r="I90" s="1457">
        <v>29101</v>
      </c>
      <c r="J90" s="1457">
        <v>4200</v>
      </c>
      <c r="K90" s="1457"/>
      <c r="L90" s="1457"/>
      <c r="M90" s="1457"/>
    </row>
    <row r="91" spans="1:13" hidden="1">
      <c r="A91" s="37" t="s">
        <v>29</v>
      </c>
      <c r="B91" s="1457">
        <v>2422</v>
      </c>
      <c r="C91" s="1457">
        <v>1366</v>
      </c>
      <c r="D91" s="1457">
        <v>1056</v>
      </c>
      <c r="E91" s="1457">
        <v>33285</v>
      </c>
      <c r="F91" s="1457"/>
      <c r="G91" s="1457">
        <v>31859</v>
      </c>
      <c r="H91" s="1457">
        <v>28090</v>
      </c>
      <c r="I91" s="1457">
        <v>28940</v>
      </c>
      <c r="J91" s="1457">
        <v>4345</v>
      </c>
      <c r="K91" s="355"/>
      <c r="L91" s="355"/>
      <c r="M91" s="355"/>
    </row>
    <row r="92" spans="1:13">
      <c r="A92" s="37" t="s">
        <v>1621</v>
      </c>
      <c r="B92" s="355">
        <v>2608</v>
      </c>
      <c r="C92" s="355">
        <v>1471</v>
      </c>
      <c r="D92" s="355">
        <f>B92-C92</f>
        <v>1137</v>
      </c>
      <c r="E92" s="355">
        <v>73013</v>
      </c>
      <c r="F92" s="355"/>
      <c r="G92" s="355">
        <v>71553</v>
      </c>
      <c r="H92" s="355">
        <v>49187</v>
      </c>
      <c r="I92" s="355">
        <v>50050</v>
      </c>
      <c r="J92" s="355">
        <f>E92-I92</f>
        <v>22963</v>
      </c>
      <c r="K92" s="1457"/>
      <c r="L92" s="1457"/>
      <c r="M92" s="1457"/>
    </row>
    <row r="93" spans="1:13">
      <c r="A93" s="37" t="s">
        <v>18</v>
      </c>
      <c r="B93" s="1457">
        <v>2417</v>
      </c>
      <c r="C93" s="1457">
        <v>1358</v>
      </c>
      <c r="D93" s="1457">
        <v>1059</v>
      </c>
      <c r="E93" s="1457">
        <v>33045</v>
      </c>
      <c r="F93" s="1457"/>
      <c r="G93" s="1457">
        <v>33045</v>
      </c>
      <c r="H93" s="1457">
        <v>28650</v>
      </c>
      <c r="I93" s="1457">
        <v>27733</v>
      </c>
      <c r="J93" s="1457">
        <v>5312</v>
      </c>
      <c r="K93" s="1457"/>
      <c r="L93" s="1457"/>
      <c r="M93" s="1457"/>
    </row>
    <row r="94" spans="1:13">
      <c r="A94" s="37" t="s">
        <v>19</v>
      </c>
      <c r="B94" s="1457">
        <v>2427</v>
      </c>
      <c r="C94" s="1457">
        <v>1363</v>
      </c>
      <c r="D94" s="1457">
        <v>1064</v>
      </c>
      <c r="E94" s="1457">
        <v>34141</v>
      </c>
      <c r="F94" s="1457"/>
      <c r="G94" s="1457">
        <v>32699</v>
      </c>
      <c r="H94" s="1457">
        <v>28530</v>
      </c>
      <c r="I94" s="1457">
        <v>29428</v>
      </c>
      <c r="J94" s="1457">
        <v>4713</v>
      </c>
      <c r="K94" s="1457"/>
      <c r="L94" s="1457"/>
      <c r="M94" s="1457"/>
    </row>
    <row r="95" spans="1:13">
      <c r="A95" s="37" t="s">
        <v>20</v>
      </c>
      <c r="B95" s="1457">
        <v>2443</v>
      </c>
      <c r="C95" s="1457">
        <v>1373</v>
      </c>
      <c r="D95" s="1457">
        <v>1070</v>
      </c>
      <c r="E95" s="1457">
        <v>38772</v>
      </c>
      <c r="F95" s="1457"/>
      <c r="G95" s="1457">
        <v>37415</v>
      </c>
      <c r="H95" s="1457">
        <v>29858</v>
      </c>
      <c r="I95" s="1457">
        <v>30675</v>
      </c>
      <c r="J95" s="1457">
        <v>8097</v>
      </c>
      <c r="K95" s="1457"/>
      <c r="L95" s="1457"/>
      <c r="M95" s="1457"/>
    </row>
    <row r="96" spans="1:13">
      <c r="A96" s="37" t="s">
        <v>21</v>
      </c>
      <c r="B96" s="1457">
        <v>2479</v>
      </c>
      <c r="C96" s="1457">
        <v>1395</v>
      </c>
      <c r="D96" s="1457">
        <v>1084</v>
      </c>
      <c r="E96" s="1457">
        <v>42790</v>
      </c>
      <c r="F96" s="1457"/>
      <c r="G96" s="1457">
        <v>41227</v>
      </c>
      <c r="H96" s="1457">
        <v>31696</v>
      </c>
      <c r="I96" s="1457">
        <v>32613</v>
      </c>
      <c r="J96" s="1457">
        <v>10177</v>
      </c>
      <c r="K96" s="1457"/>
      <c r="L96" s="1457"/>
      <c r="M96" s="1457"/>
    </row>
    <row r="97" spans="1:13">
      <c r="A97" s="37" t="s">
        <v>22</v>
      </c>
      <c r="B97" s="1457">
        <v>2462</v>
      </c>
      <c r="C97" s="1457">
        <v>1379</v>
      </c>
      <c r="D97" s="1457">
        <v>1083</v>
      </c>
      <c r="E97" s="1457">
        <v>48582</v>
      </c>
      <c r="F97" s="1457"/>
      <c r="G97" s="1457">
        <v>47120</v>
      </c>
      <c r="H97" s="1457">
        <v>34197</v>
      </c>
      <c r="I97" s="1457">
        <v>35110</v>
      </c>
      <c r="J97" s="1457">
        <v>13472</v>
      </c>
      <c r="K97" s="1457"/>
      <c r="L97" s="1457"/>
      <c r="M97" s="1457"/>
    </row>
    <row r="98" spans="1:13">
      <c r="A98" s="37" t="s">
        <v>23</v>
      </c>
      <c r="B98" s="1457">
        <v>2476</v>
      </c>
      <c r="C98" s="1457">
        <v>1389</v>
      </c>
      <c r="D98" s="1457">
        <v>1087</v>
      </c>
      <c r="E98" s="1457">
        <v>52413</v>
      </c>
      <c r="F98" s="1457"/>
      <c r="G98" s="1457">
        <v>50955</v>
      </c>
      <c r="H98" s="1457">
        <v>36175</v>
      </c>
      <c r="I98" s="1457">
        <v>37079</v>
      </c>
      <c r="J98" s="1457">
        <v>15334</v>
      </c>
      <c r="K98" s="1457"/>
      <c r="L98" s="1457"/>
      <c r="M98" s="1457"/>
    </row>
    <row r="99" spans="1:13" ht="13.5" customHeight="1">
      <c r="A99" s="37" t="s">
        <v>24</v>
      </c>
      <c r="B99" s="1457">
        <v>2493</v>
      </c>
      <c r="C99" s="1457">
        <v>1399</v>
      </c>
      <c r="D99" s="1457">
        <v>1094</v>
      </c>
      <c r="E99" s="1457">
        <v>53988</v>
      </c>
      <c r="F99" s="1457"/>
      <c r="G99" s="1457">
        <v>52533</v>
      </c>
      <c r="H99" s="1457">
        <v>36285</v>
      </c>
      <c r="I99" s="1457">
        <v>37189</v>
      </c>
      <c r="J99" s="1457">
        <v>16799</v>
      </c>
      <c r="K99" s="1457"/>
      <c r="L99" s="1457"/>
      <c r="M99" s="1457"/>
    </row>
    <row r="100" spans="1:13" ht="13.5" customHeight="1">
      <c r="A100" s="37" t="s">
        <v>25</v>
      </c>
      <c r="B100" s="1457">
        <v>2510</v>
      </c>
      <c r="C100" s="1457">
        <v>1413</v>
      </c>
      <c r="D100" s="1457">
        <v>1097</v>
      </c>
      <c r="E100" s="1457">
        <v>56731</v>
      </c>
      <c r="F100" s="1457"/>
      <c r="G100" s="1457">
        <v>55300</v>
      </c>
      <c r="H100" s="1457">
        <v>38102</v>
      </c>
      <c r="I100" s="1457">
        <v>38990</v>
      </c>
      <c r="J100" s="1457">
        <v>17741</v>
      </c>
      <c r="K100" s="1457"/>
      <c r="L100" s="1457"/>
      <c r="M100" s="1457"/>
    </row>
    <row r="101" spans="1:13" ht="13.5" customHeight="1">
      <c r="A101" s="37" t="s">
        <v>26</v>
      </c>
      <c r="B101" s="1457">
        <v>2543</v>
      </c>
      <c r="C101" s="1457">
        <v>1440</v>
      </c>
      <c r="D101" s="1457">
        <v>1103</v>
      </c>
      <c r="E101" s="1457">
        <v>58609</v>
      </c>
      <c r="F101" s="1457"/>
      <c r="G101" s="1457">
        <v>57185</v>
      </c>
      <c r="H101" s="1457">
        <v>39280</v>
      </c>
      <c r="I101" s="1457">
        <v>40165</v>
      </c>
      <c r="J101" s="1457">
        <v>18444</v>
      </c>
      <c r="K101" s="1457"/>
      <c r="L101" s="1457"/>
      <c r="M101" s="1457"/>
    </row>
    <row r="102" spans="1:13" ht="13.5" customHeight="1">
      <c r="A102" s="37" t="s">
        <v>27</v>
      </c>
      <c r="B102" s="1457">
        <v>2556</v>
      </c>
      <c r="C102" s="1457">
        <v>1447</v>
      </c>
      <c r="D102" s="1457">
        <v>1109</v>
      </c>
      <c r="E102" s="1457">
        <v>64297</v>
      </c>
      <c r="F102" s="1457"/>
      <c r="G102" s="1457">
        <v>62876</v>
      </c>
      <c r="H102" s="1457">
        <v>42902</v>
      </c>
      <c r="I102" s="1457">
        <v>43767</v>
      </c>
      <c r="J102" s="1457">
        <v>20530</v>
      </c>
      <c r="K102" s="1457"/>
      <c r="L102" s="1457"/>
      <c r="M102" s="1457"/>
    </row>
    <row r="103" spans="1:13" ht="13.5" customHeight="1">
      <c r="A103" s="37" t="s">
        <v>28</v>
      </c>
      <c r="B103" s="1457">
        <v>2586</v>
      </c>
      <c r="C103" s="1457">
        <v>1460</v>
      </c>
      <c r="D103" s="1457">
        <f>B103-C103</f>
        <v>1126</v>
      </c>
      <c r="E103" s="1457">
        <v>68676</v>
      </c>
      <c r="F103" s="1457"/>
      <c r="G103" s="1457">
        <v>67227</v>
      </c>
      <c r="H103" s="1457">
        <v>46384</v>
      </c>
      <c r="I103" s="1457">
        <v>47250</v>
      </c>
      <c r="J103" s="1457">
        <f>E103-I103</f>
        <v>21426</v>
      </c>
      <c r="K103" s="1457"/>
      <c r="L103" s="1457"/>
      <c r="M103" s="1457"/>
    </row>
    <row r="104" spans="1:13" ht="13.5" customHeight="1">
      <c r="A104" s="111" t="s">
        <v>29</v>
      </c>
      <c r="B104" s="1457">
        <v>2608</v>
      </c>
      <c r="C104" s="1457">
        <v>1471</v>
      </c>
      <c r="D104" s="1457">
        <f>B104-C104</f>
        <v>1137</v>
      </c>
      <c r="E104" s="1457">
        <v>73013</v>
      </c>
      <c r="F104" s="1457"/>
      <c r="G104" s="1457">
        <v>71553</v>
      </c>
      <c r="H104" s="1457">
        <v>49187</v>
      </c>
      <c r="I104" s="1457">
        <v>50050</v>
      </c>
      <c r="J104" s="1457">
        <f>E104-I104</f>
        <v>22963</v>
      </c>
      <c r="K104" s="355"/>
      <c r="L104" s="355"/>
      <c r="M104" s="355"/>
    </row>
    <row r="105" spans="1:13" ht="13.5" customHeight="1">
      <c r="A105" s="111" t="s">
        <v>1816</v>
      </c>
      <c r="B105" s="355">
        <v>2694</v>
      </c>
      <c r="C105" s="355">
        <v>1502</v>
      </c>
      <c r="D105" s="355">
        <v>1192</v>
      </c>
      <c r="E105" s="355">
        <v>80301</v>
      </c>
      <c r="F105" s="355"/>
      <c r="G105" s="355">
        <v>78762</v>
      </c>
      <c r="H105" s="355">
        <v>47985</v>
      </c>
      <c r="I105" s="355">
        <v>48944</v>
      </c>
      <c r="J105" s="355">
        <v>31357</v>
      </c>
      <c r="K105" s="1457"/>
      <c r="L105" s="1457"/>
      <c r="M105" s="1457"/>
    </row>
    <row r="106" spans="1:13" ht="13.5" customHeight="1">
      <c r="A106" s="111" t="s">
        <v>18</v>
      </c>
      <c r="B106" s="1457">
        <v>2618</v>
      </c>
      <c r="C106" s="1457">
        <v>1480</v>
      </c>
      <c r="D106" s="1457">
        <v>1138</v>
      </c>
      <c r="E106" s="1457">
        <v>74584</v>
      </c>
      <c r="F106" s="1457"/>
      <c r="G106" s="1457">
        <v>73159</v>
      </c>
      <c r="H106" s="1457">
        <v>49405</v>
      </c>
      <c r="I106" s="1457">
        <v>50294</v>
      </c>
      <c r="J106" s="1457">
        <v>24290</v>
      </c>
      <c r="K106" s="1457"/>
      <c r="L106" s="1457"/>
      <c r="M106" s="1457"/>
    </row>
    <row r="107" spans="1:13" ht="13.5" customHeight="1">
      <c r="A107" s="111" t="s">
        <v>19</v>
      </c>
      <c r="B107" s="1457">
        <v>2622</v>
      </c>
      <c r="C107" s="1457">
        <v>1477</v>
      </c>
      <c r="D107" s="1457">
        <v>1145</v>
      </c>
      <c r="E107" s="1457">
        <v>77041</v>
      </c>
      <c r="F107" s="1457"/>
      <c r="G107" s="1457">
        <v>75816</v>
      </c>
      <c r="H107" s="1457">
        <v>49699</v>
      </c>
      <c r="I107" s="1457">
        <v>50387</v>
      </c>
      <c r="J107" s="1457">
        <v>26654</v>
      </c>
      <c r="K107" s="1457"/>
      <c r="L107" s="1457"/>
      <c r="M107" s="1457"/>
    </row>
    <row r="108" spans="1:13" ht="13.5" customHeight="1">
      <c r="A108" s="111" t="s">
        <v>20</v>
      </c>
      <c r="B108" s="1457">
        <v>2633</v>
      </c>
      <c r="C108" s="1457">
        <v>1481</v>
      </c>
      <c r="D108" s="1457">
        <f>B108-C108</f>
        <v>1152</v>
      </c>
      <c r="E108" s="1457">
        <v>77631</v>
      </c>
      <c r="F108" s="1457"/>
      <c r="G108" s="1457">
        <v>76219</v>
      </c>
      <c r="H108" s="1457">
        <v>49323</v>
      </c>
      <c r="I108" s="1457">
        <v>50229</v>
      </c>
      <c r="J108" s="1457">
        <f>E108-I108</f>
        <v>27402</v>
      </c>
      <c r="K108" s="1457"/>
      <c r="L108" s="1457"/>
      <c r="M108" s="1457"/>
    </row>
    <row r="109" spans="1:13" ht="13.5" customHeight="1">
      <c r="A109" s="111" t="s">
        <v>21</v>
      </c>
      <c r="B109" s="1457">
        <v>2642</v>
      </c>
      <c r="C109" s="1457">
        <v>1484</v>
      </c>
      <c r="D109" s="1457">
        <v>1158</v>
      </c>
      <c r="E109" s="1457">
        <v>78039</v>
      </c>
      <c r="F109" s="1457"/>
      <c r="G109" s="1457">
        <v>76605</v>
      </c>
      <c r="H109" s="1457">
        <v>48920</v>
      </c>
      <c r="I109" s="1457">
        <v>49824</v>
      </c>
      <c r="J109" s="1457">
        <v>28215</v>
      </c>
      <c r="K109" s="1457"/>
      <c r="L109" s="1457"/>
      <c r="M109" s="1457"/>
    </row>
    <row r="110" spans="1:13" ht="13.5" customHeight="1">
      <c r="A110" s="111" t="s">
        <v>22</v>
      </c>
      <c r="B110" s="1457">
        <v>2670</v>
      </c>
      <c r="C110" s="1457">
        <v>1506</v>
      </c>
      <c r="D110" s="1457">
        <v>1164</v>
      </c>
      <c r="E110" s="1457">
        <v>78324</v>
      </c>
      <c r="F110" s="1457"/>
      <c r="G110" s="1457">
        <v>76892</v>
      </c>
      <c r="H110" s="1457">
        <v>48958</v>
      </c>
      <c r="I110" s="1457">
        <v>49815</v>
      </c>
      <c r="J110" s="1457">
        <v>28509</v>
      </c>
      <c r="K110" s="1457"/>
      <c r="L110" s="1457"/>
      <c r="M110" s="1457"/>
    </row>
    <row r="111" spans="1:13" ht="13.5" customHeight="1">
      <c r="A111" s="111" t="s">
        <v>23</v>
      </c>
      <c r="B111" s="1457">
        <v>2703</v>
      </c>
      <c r="C111" s="1457">
        <v>1530</v>
      </c>
      <c r="D111" s="1457">
        <v>1173</v>
      </c>
      <c r="E111" s="1457">
        <v>78264</v>
      </c>
      <c r="F111" s="1457"/>
      <c r="G111" s="1457">
        <v>76832</v>
      </c>
      <c r="H111" s="1457">
        <v>48584</v>
      </c>
      <c r="I111" s="1457">
        <v>49438</v>
      </c>
      <c r="J111" s="1457">
        <v>28826</v>
      </c>
      <c r="K111" s="1457"/>
      <c r="L111" s="1457"/>
      <c r="M111" s="1457"/>
    </row>
    <row r="112" spans="1:13" ht="13.5" customHeight="1">
      <c r="A112" s="111" t="s">
        <v>24</v>
      </c>
      <c r="B112" s="1457">
        <v>2685</v>
      </c>
      <c r="C112" s="1457">
        <v>1507</v>
      </c>
      <c r="D112" s="1457">
        <v>1178</v>
      </c>
      <c r="E112" s="1457">
        <v>77959</v>
      </c>
      <c r="F112" s="1457"/>
      <c r="G112" s="1457">
        <v>76515</v>
      </c>
      <c r="H112" s="1457">
        <v>48245</v>
      </c>
      <c r="I112" s="1457">
        <v>49110</v>
      </c>
      <c r="J112" s="1457">
        <v>28849</v>
      </c>
      <c r="K112" s="1457"/>
      <c r="L112" s="1457"/>
      <c r="M112" s="1457"/>
    </row>
    <row r="113" spans="1:13" ht="13.5" customHeight="1">
      <c r="A113" s="111" t="s">
        <v>25</v>
      </c>
      <c r="B113" s="1457">
        <v>2702</v>
      </c>
      <c r="C113" s="1457">
        <v>1518</v>
      </c>
      <c r="D113" s="1457">
        <v>1194</v>
      </c>
      <c r="E113" s="1457">
        <v>77913</v>
      </c>
      <c r="F113" s="1457"/>
      <c r="G113" s="1457">
        <v>76438</v>
      </c>
      <c r="H113" s="1457">
        <v>48156</v>
      </c>
      <c r="I113" s="1457">
        <v>49053</v>
      </c>
      <c r="J113" s="1457">
        <v>28860</v>
      </c>
      <c r="K113" s="1457"/>
      <c r="L113" s="1457"/>
      <c r="M113" s="1457"/>
    </row>
    <row r="114" spans="1:13" ht="13.5" customHeight="1">
      <c r="A114" s="111" t="s">
        <v>26</v>
      </c>
      <c r="B114" s="1457">
        <v>2707</v>
      </c>
      <c r="C114" s="1457">
        <v>1522</v>
      </c>
      <c r="D114" s="1457">
        <v>1185</v>
      </c>
      <c r="E114" s="1457">
        <v>77170</v>
      </c>
      <c r="F114" s="1457"/>
      <c r="G114" s="1457">
        <v>75691</v>
      </c>
      <c r="H114" s="1457">
        <v>47587</v>
      </c>
      <c r="I114" s="1457">
        <v>48478</v>
      </c>
      <c r="J114" s="1457">
        <v>28692</v>
      </c>
      <c r="K114" s="1457"/>
      <c r="L114" s="1457"/>
      <c r="M114" s="1457"/>
    </row>
    <row r="115" spans="1:13" ht="13.5" customHeight="1">
      <c r="A115" s="111" t="s">
        <v>27</v>
      </c>
      <c r="B115" s="1457">
        <v>2711</v>
      </c>
      <c r="C115" s="1457">
        <v>1525</v>
      </c>
      <c r="D115" s="1457">
        <v>1186</v>
      </c>
      <c r="E115" s="1457">
        <v>76932</v>
      </c>
      <c r="F115" s="1457"/>
      <c r="G115" s="1457">
        <v>75461</v>
      </c>
      <c r="H115" s="1457">
        <v>47395</v>
      </c>
      <c r="I115" s="1457">
        <v>48278</v>
      </c>
      <c r="J115" s="1457">
        <v>28654</v>
      </c>
      <c r="K115" s="1457"/>
      <c r="L115" s="1457"/>
      <c r="M115" s="1457"/>
    </row>
    <row r="116" spans="1:13" ht="13.5" customHeight="1">
      <c r="A116" s="111" t="s">
        <v>28</v>
      </c>
      <c r="B116" s="1457">
        <v>2695</v>
      </c>
      <c r="C116" s="1457">
        <v>1509</v>
      </c>
      <c r="D116" s="1457">
        <v>1186</v>
      </c>
      <c r="E116" s="1457">
        <v>76210</v>
      </c>
      <c r="F116" s="1457"/>
      <c r="G116" s="1457">
        <v>74733</v>
      </c>
      <c r="H116" s="1457">
        <v>46537</v>
      </c>
      <c r="I116" s="1457">
        <v>47427</v>
      </c>
      <c r="J116" s="1457">
        <v>28783</v>
      </c>
      <c r="K116" s="1457"/>
      <c r="L116" s="1457"/>
      <c r="M116" s="1457"/>
    </row>
    <row r="117" spans="1:13" ht="13.5" customHeight="1">
      <c r="A117" s="111" t="s">
        <v>29</v>
      </c>
      <c r="B117" s="1457">
        <v>2694</v>
      </c>
      <c r="C117" s="1457">
        <v>1502</v>
      </c>
      <c r="D117" s="1457">
        <v>1192</v>
      </c>
      <c r="E117" s="1457">
        <v>80301</v>
      </c>
      <c r="F117" s="1457"/>
      <c r="G117" s="1457">
        <v>78762</v>
      </c>
      <c r="H117" s="1457">
        <v>47985</v>
      </c>
      <c r="I117" s="1457">
        <v>48944</v>
      </c>
      <c r="J117" s="1457">
        <v>31357</v>
      </c>
      <c r="K117" s="355"/>
      <c r="L117" s="355"/>
      <c r="M117" s="355"/>
    </row>
    <row r="118" spans="1:13" ht="13.5" customHeight="1">
      <c r="A118" s="111" t="s">
        <v>1839</v>
      </c>
      <c r="B118" s="355">
        <v>2471</v>
      </c>
      <c r="C118" s="355">
        <v>1332</v>
      </c>
      <c r="D118" s="355">
        <v>1139</v>
      </c>
      <c r="E118" s="355">
        <v>71959</v>
      </c>
      <c r="F118" s="355">
        <v>9763</v>
      </c>
      <c r="G118" s="355">
        <v>70914</v>
      </c>
      <c r="H118" s="355">
        <v>39655</v>
      </c>
      <c r="I118" s="355">
        <v>40534</v>
      </c>
      <c r="J118" s="355">
        <v>31425</v>
      </c>
      <c r="K118" s="355">
        <v>1289</v>
      </c>
      <c r="L118" s="355">
        <v>730</v>
      </c>
      <c r="M118" s="355">
        <v>559</v>
      </c>
    </row>
    <row r="119" spans="1:13" ht="13.5" customHeight="1">
      <c r="A119" s="111" t="s">
        <v>18</v>
      </c>
      <c r="B119" s="1457">
        <v>2588</v>
      </c>
      <c r="C119" s="1457">
        <v>1432</v>
      </c>
      <c r="D119" s="1457">
        <v>1156</v>
      </c>
      <c r="E119" s="1457">
        <v>78579</v>
      </c>
      <c r="F119" s="1457">
        <v>4584</v>
      </c>
      <c r="G119" s="1457">
        <v>77124</v>
      </c>
      <c r="H119" s="1457">
        <v>44808</v>
      </c>
      <c r="I119" s="1457">
        <v>45690</v>
      </c>
      <c r="J119" s="1457">
        <v>32889</v>
      </c>
      <c r="K119" s="1457">
        <v>1021</v>
      </c>
      <c r="L119" s="1457">
        <v>530</v>
      </c>
      <c r="M119" s="1457">
        <v>491</v>
      </c>
    </row>
    <row r="120" spans="1:13" ht="13.5" customHeight="1">
      <c r="A120" s="111" t="s">
        <v>19</v>
      </c>
      <c r="B120" s="1457">
        <v>2577</v>
      </c>
      <c r="C120" s="1457">
        <v>1432</v>
      </c>
      <c r="D120" s="1457">
        <v>1145</v>
      </c>
      <c r="E120" s="1457">
        <v>77377</v>
      </c>
      <c r="F120" s="1457">
        <v>4589</v>
      </c>
      <c r="G120" s="1457">
        <v>75919</v>
      </c>
      <c r="H120" s="1457">
        <v>43837</v>
      </c>
      <c r="I120" s="1457">
        <v>44727</v>
      </c>
      <c r="J120" s="1457">
        <v>32650</v>
      </c>
      <c r="K120" s="1457">
        <v>1057</v>
      </c>
      <c r="L120" s="1457">
        <v>534</v>
      </c>
      <c r="M120" s="1457">
        <v>523</v>
      </c>
    </row>
    <row r="121" spans="1:13" ht="13.5" customHeight="1">
      <c r="A121" s="111" t="s">
        <v>20</v>
      </c>
      <c r="B121" s="1457">
        <v>2575</v>
      </c>
      <c r="C121" s="1457">
        <v>1429</v>
      </c>
      <c r="D121" s="1457">
        <v>1146</v>
      </c>
      <c r="E121" s="1457">
        <v>75690</v>
      </c>
      <c r="F121" s="1457">
        <v>8509</v>
      </c>
      <c r="G121" s="1457">
        <v>74272</v>
      </c>
      <c r="H121" s="1457">
        <v>42675</v>
      </c>
      <c r="I121" s="1457">
        <v>43491</v>
      </c>
      <c r="J121" s="1457">
        <v>32199</v>
      </c>
      <c r="K121" s="1457">
        <v>1187</v>
      </c>
      <c r="L121" s="1457">
        <v>656</v>
      </c>
      <c r="M121" s="1457">
        <v>531</v>
      </c>
    </row>
    <row r="122" spans="1:13" ht="13.5" customHeight="1">
      <c r="A122" s="111" t="s">
        <v>21</v>
      </c>
      <c r="B122" s="1457">
        <v>2568</v>
      </c>
      <c r="C122" s="1457">
        <v>1420</v>
      </c>
      <c r="D122" s="1457">
        <v>1148</v>
      </c>
      <c r="E122" s="1457">
        <v>74088</v>
      </c>
      <c r="F122" s="1457">
        <v>8668</v>
      </c>
      <c r="G122" s="1457">
        <v>72677</v>
      </c>
      <c r="H122" s="1457">
        <v>41974</v>
      </c>
      <c r="I122" s="1457">
        <v>42778</v>
      </c>
      <c r="J122" s="1457">
        <v>31310</v>
      </c>
      <c r="K122" s="1457">
        <v>1216</v>
      </c>
      <c r="L122" s="1457">
        <v>674</v>
      </c>
      <c r="M122" s="1457">
        <v>542</v>
      </c>
    </row>
    <row r="123" spans="1:13" ht="13.5" customHeight="1">
      <c r="A123" s="111" t="s">
        <v>22</v>
      </c>
      <c r="B123" s="1457">
        <v>2588</v>
      </c>
      <c r="C123" s="1457">
        <v>1429</v>
      </c>
      <c r="D123" s="1457">
        <v>1159</v>
      </c>
      <c r="E123" s="1457">
        <v>74073</v>
      </c>
      <c r="F123" s="1457">
        <v>8981</v>
      </c>
      <c r="G123" s="1457">
        <v>72637</v>
      </c>
      <c r="H123" s="1457">
        <v>41893</v>
      </c>
      <c r="I123" s="1457">
        <v>42724</v>
      </c>
      <c r="J123" s="1457">
        <v>31349</v>
      </c>
      <c r="K123" s="1457">
        <v>1250</v>
      </c>
      <c r="L123" s="1457">
        <v>695</v>
      </c>
      <c r="M123" s="1457">
        <v>555</v>
      </c>
    </row>
    <row r="124" spans="1:13" ht="13.5" customHeight="1">
      <c r="A124" s="111" t="s">
        <v>23</v>
      </c>
      <c r="B124" s="1457">
        <v>2609</v>
      </c>
      <c r="C124" s="1457">
        <v>1435</v>
      </c>
      <c r="D124" s="1457">
        <v>1174</v>
      </c>
      <c r="E124" s="1457">
        <v>73350</v>
      </c>
      <c r="F124" s="1457">
        <v>9186</v>
      </c>
      <c r="G124" s="1457">
        <v>71899</v>
      </c>
      <c r="H124" s="1457">
        <v>41232</v>
      </c>
      <c r="I124" s="1457">
        <v>42079</v>
      </c>
      <c r="J124" s="1457">
        <v>31271</v>
      </c>
      <c r="K124" s="1457">
        <v>1304</v>
      </c>
      <c r="L124" s="1457">
        <v>719</v>
      </c>
      <c r="M124" s="1457">
        <v>585</v>
      </c>
    </row>
    <row r="125" spans="1:13" ht="13.5" customHeight="1">
      <c r="A125" s="111" t="s">
        <v>24</v>
      </c>
      <c r="B125" s="1457">
        <v>2552</v>
      </c>
      <c r="C125" s="1457">
        <v>1406</v>
      </c>
      <c r="D125" s="1457">
        <v>1146</v>
      </c>
      <c r="E125" s="1457">
        <v>70620</v>
      </c>
      <c r="F125" s="1457">
        <v>9265</v>
      </c>
      <c r="G125" s="1457">
        <v>69527</v>
      </c>
      <c r="H125" s="1457">
        <v>38998</v>
      </c>
      <c r="I125" s="1457">
        <v>39586</v>
      </c>
      <c r="J125" s="1457">
        <v>31034</v>
      </c>
      <c r="K125" s="1457">
        <v>1330</v>
      </c>
      <c r="L125" s="1457">
        <v>733</v>
      </c>
      <c r="M125" s="1457">
        <v>597</v>
      </c>
    </row>
    <row r="126" spans="1:13" ht="13.5" customHeight="1">
      <c r="A126" s="111" t="s">
        <v>25</v>
      </c>
      <c r="B126" s="1457">
        <v>2563</v>
      </c>
      <c r="C126" s="1457">
        <v>1411</v>
      </c>
      <c r="D126" s="1457">
        <v>1152</v>
      </c>
      <c r="E126" s="1457">
        <v>70446</v>
      </c>
      <c r="F126" s="1457">
        <v>9467</v>
      </c>
      <c r="G126" s="1457">
        <v>69348</v>
      </c>
      <c r="H126" s="1457">
        <v>38933</v>
      </c>
      <c r="I126" s="1457">
        <v>39447</v>
      </c>
      <c r="J126" s="1457">
        <v>30999</v>
      </c>
      <c r="K126" s="1457">
        <v>1357</v>
      </c>
      <c r="L126" s="1457">
        <v>752</v>
      </c>
      <c r="M126" s="1457">
        <v>605</v>
      </c>
    </row>
    <row r="127" spans="1:13" ht="13.5" customHeight="1">
      <c r="A127" s="111" t="s">
        <v>26</v>
      </c>
      <c r="B127" s="1457">
        <v>2562</v>
      </c>
      <c r="C127" s="1457">
        <v>1408</v>
      </c>
      <c r="D127" s="1457">
        <v>1154</v>
      </c>
      <c r="E127" s="1457">
        <v>74527</v>
      </c>
      <c r="F127" s="1457">
        <v>9579</v>
      </c>
      <c r="G127" s="1457">
        <v>73478</v>
      </c>
      <c r="H127" s="1457">
        <v>41173</v>
      </c>
      <c r="I127" s="1457">
        <v>41662</v>
      </c>
      <c r="J127" s="1457">
        <v>32865</v>
      </c>
      <c r="K127" s="1457">
        <v>1356</v>
      </c>
      <c r="L127" s="1457">
        <v>751</v>
      </c>
      <c r="M127" s="1457">
        <v>605</v>
      </c>
    </row>
    <row r="128" spans="1:13" ht="13.5" customHeight="1">
      <c r="A128" s="111" t="s">
        <v>27</v>
      </c>
      <c r="B128" s="1457">
        <v>2459</v>
      </c>
      <c r="C128" s="1457">
        <v>1326</v>
      </c>
      <c r="D128" s="1457">
        <v>1133</v>
      </c>
      <c r="E128" s="1457">
        <v>68295</v>
      </c>
      <c r="F128" s="1457">
        <v>9646</v>
      </c>
      <c r="G128" s="1457">
        <v>67108</v>
      </c>
      <c r="H128" s="1457">
        <v>37648</v>
      </c>
      <c r="I128" s="1457">
        <v>38303</v>
      </c>
      <c r="J128" s="1457">
        <v>29992</v>
      </c>
      <c r="K128" s="1457">
        <v>1341</v>
      </c>
      <c r="L128" s="1457">
        <v>740</v>
      </c>
      <c r="M128" s="1457">
        <v>601</v>
      </c>
    </row>
    <row r="129" spans="1:13" ht="13.5" customHeight="1">
      <c r="A129" s="111" t="s">
        <v>28</v>
      </c>
      <c r="B129" s="1457">
        <v>2467</v>
      </c>
      <c r="C129" s="1457">
        <v>1332</v>
      </c>
      <c r="D129" s="1457">
        <v>1135</v>
      </c>
      <c r="E129" s="1457">
        <v>73318</v>
      </c>
      <c r="F129" s="1457">
        <v>9591</v>
      </c>
      <c r="G129" s="1457">
        <v>72278</v>
      </c>
      <c r="H129" s="1457">
        <v>40051</v>
      </c>
      <c r="I129" s="1457">
        <v>40557</v>
      </c>
      <c r="J129" s="1457">
        <v>32761</v>
      </c>
      <c r="K129" s="1457">
        <v>1348</v>
      </c>
      <c r="L129" s="1457">
        <v>746</v>
      </c>
      <c r="M129" s="1457">
        <v>602</v>
      </c>
    </row>
    <row r="130" spans="1:13" ht="13.5" customHeight="1">
      <c r="A130" s="111" t="s">
        <v>29</v>
      </c>
      <c r="B130" s="1457">
        <v>2471</v>
      </c>
      <c r="C130" s="1457">
        <v>1332</v>
      </c>
      <c r="D130" s="1457">
        <v>1139</v>
      </c>
      <c r="E130" s="1457">
        <v>71959</v>
      </c>
      <c r="F130" s="1457">
        <v>9763</v>
      </c>
      <c r="G130" s="1457">
        <v>70914</v>
      </c>
      <c r="H130" s="1457">
        <v>39655</v>
      </c>
      <c r="I130" s="1457">
        <v>40534</v>
      </c>
      <c r="J130" s="1457">
        <v>31425</v>
      </c>
      <c r="K130" s="1459">
        <v>1289</v>
      </c>
      <c r="L130" s="1459">
        <v>730</v>
      </c>
      <c r="M130" s="1459">
        <v>559</v>
      </c>
    </row>
    <row r="131" spans="1:13" ht="13.5" customHeight="1">
      <c r="A131" s="111" t="s">
        <v>1902</v>
      </c>
      <c r="B131" s="355">
        <v>2461</v>
      </c>
      <c r="C131" s="355">
        <v>1326</v>
      </c>
      <c r="D131" s="355">
        <v>1135</v>
      </c>
      <c r="E131" s="355">
        <v>65637</v>
      </c>
      <c r="F131" s="355">
        <v>19417</v>
      </c>
      <c r="G131" s="355">
        <v>64225</v>
      </c>
      <c r="H131" s="355">
        <v>36415</v>
      </c>
      <c r="I131" s="355">
        <v>37091</v>
      </c>
      <c r="J131" s="355">
        <v>28546</v>
      </c>
      <c r="K131" s="355">
        <v>1460</v>
      </c>
      <c r="L131" s="355">
        <v>819</v>
      </c>
      <c r="M131" s="355">
        <v>641</v>
      </c>
    </row>
    <row r="132" spans="1:13" ht="13.5" customHeight="1">
      <c r="A132" s="111" t="s">
        <v>18</v>
      </c>
      <c r="B132" s="1457">
        <v>2479</v>
      </c>
      <c r="C132" s="1457">
        <v>1343</v>
      </c>
      <c r="D132" s="1457">
        <v>1136</v>
      </c>
      <c r="E132" s="1457">
        <v>71317</v>
      </c>
      <c r="F132" s="1457">
        <v>9834</v>
      </c>
      <c r="G132" s="1457">
        <v>70338</v>
      </c>
      <c r="H132" s="1457">
        <v>39587</v>
      </c>
      <c r="I132" s="1457">
        <v>40019</v>
      </c>
      <c r="J132" s="1457">
        <v>31298</v>
      </c>
      <c r="K132" s="1457">
        <v>1290</v>
      </c>
      <c r="L132" s="1457">
        <v>731</v>
      </c>
      <c r="M132" s="1457">
        <v>559</v>
      </c>
    </row>
    <row r="133" spans="1:13" ht="13.5" customHeight="1">
      <c r="A133" s="111" t="s">
        <v>19</v>
      </c>
      <c r="B133" s="1457">
        <v>2482</v>
      </c>
      <c r="C133" s="1457">
        <v>1345</v>
      </c>
      <c r="D133" s="1457">
        <v>1137</v>
      </c>
      <c r="E133" s="1457">
        <v>71102</v>
      </c>
      <c r="F133" s="1457">
        <v>9752</v>
      </c>
      <c r="G133" s="1457">
        <v>70166</v>
      </c>
      <c r="H133" s="1457">
        <v>39489</v>
      </c>
      <c r="I133" s="1457">
        <v>39863</v>
      </c>
      <c r="J133" s="1457">
        <v>31239</v>
      </c>
      <c r="K133" s="1457">
        <v>1295</v>
      </c>
      <c r="L133" s="1457">
        <v>737</v>
      </c>
      <c r="M133" s="1457">
        <v>558</v>
      </c>
    </row>
    <row r="134" spans="1:13" ht="13.5" customHeight="1">
      <c r="A134" s="111" t="s">
        <v>20</v>
      </c>
      <c r="B134" s="1457">
        <v>2493</v>
      </c>
      <c r="C134" s="1457">
        <v>1352</v>
      </c>
      <c r="D134" s="1457">
        <v>1141</v>
      </c>
      <c r="E134" s="1457">
        <v>70945</v>
      </c>
      <c r="F134" s="1457">
        <v>9808</v>
      </c>
      <c r="G134" s="1457">
        <v>70000</v>
      </c>
      <c r="H134" s="1457">
        <v>39432</v>
      </c>
      <c r="I134" s="1457">
        <v>39852</v>
      </c>
      <c r="J134" s="1457">
        <v>31093</v>
      </c>
      <c r="K134" s="1457">
        <v>1305</v>
      </c>
      <c r="L134" s="1457">
        <v>749</v>
      </c>
      <c r="M134" s="1457">
        <v>556</v>
      </c>
    </row>
    <row r="135" spans="1:13" ht="13.5" customHeight="1">
      <c r="A135" s="111" t="s">
        <v>21</v>
      </c>
      <c r="B135" s="1457">
        <v>2515</v>
      </c>
      <c r="C135" s="1457">
        <v>1370</v>
      </c>
      <c r="D135" s="1457">
        <v>1145</v>
      </c>
      <c r="E135" s="1457">
        <v>70766</v>
      </c>
      <c r="F135" s="1457">
        <v>9968</v>
      </c>
      <c r="G135" s="1457">
        <v>69707</v>
      </c>
      <c r="H135" s="1457">
        <v>39279</v>
      </c>
      <c r="I135" s="1457">
        <v>39855</v>
      </c>
      <c r="J135" s="1457">
        <v>30911</v>
      </c>
      <c r="K135" s="1457">
        <v>1324</v>
      </c>
      <c r="L135" s="1457">
        <v>756</v>
      </c>
      <c r="M135" s="1457">
        <v>568</v>
      </c>
    </row>
    <row r="136" spans="1:13" ht="13.5" customHeight="1">
      <c r="A136" s="111" t="s">
        <v>22</v>
      </c>
      <c r="B136" s="1457">
        <v>2499</v>
      </c>
      <c r="C136" s="1457">
        <v>1359</v>
      </c>
      <c r="D136" s="1457">
        <v>1140</v>
      </c>
      <c r="E136" s="1457">
        <v>70322</v>
      </c>
      <c r="F136" s="1457">
        <v>11086</v>
      </c>
      <c r="G136" s="1457">
        <v>69151</v>
      </c>
      <c r="H136" s="1457">
        <v>39134</v>
      </c>
      <c r="I136" s="1457">
        <v>39727</v>
      </c>
      <c r="J136" s="1457">
        <v>30595</v>
      </c>
      <c r="K136" s="1457">
        <v>1337</v>
      </c>
      <c r="L136" s="1457">
        <v>751</v>
      </c>
      <c r="M136" s="1457">
        <v>586</v>
      </c>
    </row>
    <row r="137" spans="1:13" ht="13.5" customHeight="1">
      <c r="A137" s="111" t="s">
        <v>23</v>
      </c>
      <c r="B137" s="1457">
        <v>2526</v>
      </c>
      <c r="C137" s="1457">
        <v>1373</v>
      </c>
      <c r="D137" s="1457">
        <v>1153</v>
      </c>
      <c r="E137" s="1457">
        <v>70167</v>
      </c>
      <c r="F137" s="1457">
        <v>11238</v>
      </c>
      <c r="G137" s="1457">
        <v>69004</v>
      </c>
      <c r="H137" s="1457">
        <v>39194</v>
      </c>
      <c r="I137" s="1457">
        <v>39778</v>
      </c>
      <c r="J137" s="1457">
        <v>30389</v>
      </c>
      <c r="K137" s="1457">
        <v>1339</v>
      </c>
      <c r="L137" s="1457">
        <v>752</v>
      </c>
      <c r="M137" s="1457">
        <v>587</v>
      </c>
    </row>
    <row r="138" spans="1:13" ht="13.5" customHeight="1">
      <c r="A138" s="111" t="s">
        <v>24</v>
      </c>
      <c r="B138" s="1457">
        <v>2530</v>
      </c>
      <c r="C138" s="1457">
        <v>1370</v>
      </c>
      <c r="D138" s="1457">
        <v>1160</v>
      </c>
      <c r="E138" s="1457">
        <v>69586</v>
      </c>
      <c r="F138" s="1457">
        <v>11204</v>
      </c>
      <c r="G138" s="1457">
        <v>68422</v>
      </c>
      <c r="H138" s="1457">
        <v>39020</v>
      </c>
      <c r="I138" s="1457">
        <v>39604</v>
      </c>
      <c r="J138" s="1457">
        <v>29982</v>
      </c>
      <c r="K138" s="1457">
        <v>1364</v>
      </c>
      <c r="L138" s="1457">
        <v>768</v>
      </c>
      <c r="M138" s="1457">
        <v>596</v>
      </c>
    </row>
    <row r="139" spans="1:13" ht="13.5" customHeight="1">
      <c r="A139" s="111" t="s">
        <v>25</v>
      </c>
      <c r="B139" s="1457">
        <v>2520</v>
      </c>
      <c r="C139" s="1457">
        <v>1368</v>
      </c>
      <c r="D139" s="1457">
        <v>1152</v>
      </c>
      <c r="E139" s="1457">
        <v>68585</v>
      </c>
      <c r="F139" s="1457">
        <v>11264</v>
      </c>
      <c r="G139" s="1457">
        <v>67351</v>
      </c>
      <c r="H139" s="1457">
        <v>38158</v>
      </c>
      <c r="I139" s="1457">
        <v>38803</v>
      </c>
      <c r="J139" s="1457">
        <v>29782</v>
      </c>
      <c r="K139" s="1457">
        <v>1378</v>
      </c>
      <c r="L139" s="1457">
        <v>775</v>
      </c>
      <c r="M139" s="1457">
        <v>603</v>
      </c>
    </row>
    <row r="140" spans="1:13" ht="13.5" customHeight="1">
      <c r="A140" s="111" t="s">
        <v>26</v>
      </c>
      <c r="B140" s="1457">
        <v>2511</v>
      </c>
      <c r="C140" s="1457">
        <v>1363</v>
      </c>
      <c r="D140" s="1457">
        <v>1148</v>
      </c>
      <c r="E140" s="1457">
        <v>67760</v>
      </c>
      <c r="F140" s="1457">
        <v>11002</v>
      </c>
      <c r="G140" s="1457">
        <v>66534</v>
      </c>
      <c r="H140" s="1457">
        <v>37569</v>
      </c>
      <c r="I140" s="1457">
        <v>38146</v>
      </c>
      <c r="J140" s="1457">
        <v>29614</v>
      </c>
      <c r="K140" s="1457">
        <v>1378</v>
      </c>
      <c r="L140" s="1457">
        <v>775</v>
      </c>
      <c r="M140" s="1457">
        <v>603</v>
      </c>
    </row>
    <row r="141" spans="1:13" ht="13.5" customHeight="1">
      <c r="A141" s="111" t="s">
        <v>27</v>
      </c>
      <c r="B141" s="1457">
        <v>2516</v>
      </c>
      <c r="C141" s="1457">
        <v>1371</v>
      </c>
      <c r="D141" s="1457">
        <v>1145</v>
      </c>
      <c r="E141" s="1457">
        <v>66485</v>
      </c>
      <c r="F141" s="1457">
        <v>11081</v>
      </c>
      <c r="G141" s="1457">
        <v>65138</v>
      </c>
      <c r="H141" s="1457">
        <v>37438</v>
      </c>
      <c r="I141" s="1457">
        <v>38044</v>
      </c>
      <c r="J141" s="1457">
        <v>28441</v>
      </c>
      <c r="K141" s="1457">
        <v>1424</v>
      </c>
      <c r="L141" s="1457">
        <v>822</v>
      </c>
      <c r="M141" s="1457">
        <v>602</v>
      </c>
    </row>
    <row r="142" spans="1:13" ht="13.5" customHeight="1">
      <c r="A142" s="111" t="s">
        <v>28</v>
      </c>
      <c r="B142" s="1457">
        <v>2487</v>
      </c>
      <c r="C142" s="1457">
        <v>1343</v>
      </c>
      <c r="D142" s="1457">
        <v>1144</v>
      </c>
      <c r="E142" s="1457">
        <v>66189</v>
      </c>
      <c r="F142" s="1457">
        <v>13903</v>
      </c>
      <c r="G142" s="1457">
        <v>64763</v>
      </c>
      <c r="H142" s="1457">
        <v>37230</v>
      </c>
      <c r="I142" s="1457">
        <v>37876</v>
      </c>
      <c r="J142" s="1457">
        <v>28313</v>
      </c>
      <c r="K142" s="1457">
        <v>1484</v>
      </c>
      <c r="L142" s="1457">
        <v>821</v>
      </c>
      <c r="M142" s="1457">
        <v>663</v>
      </c>
    </row>
    <row r="143" spans="1:13" ht="13.5" customHeight="1">
      <c r="A143" s="111" t="s">
        <v>29</v>
      </c>
      <c r="B143" s="1457">
        <v>2461</v>
      </c>
      <c r="C143" s="1457">
        <v>1326</v>
      </c>
      <c r="D143" s="1457">
        <v>1135</v>
      </c>
      <c r="E143" s="1457">
        <v>65637</v>
      </c>
      <c r="F143" s="1457">
        <v>19417</v>
      </c>
      <c r="G143" s="1457">
        <v>64225</v>
      </c>
      <c r="H143" s="1457">
        <v>36415</v>
      </c>
      <c r="I143" s="1457">
        <v>37091</v>
      </c>
      <c r="J143" s="1457">
        <v>28546</v>
      </c>
      <c r="K143" s="1459">
        <v>1460</v>
      </c>
      <c r="L143" s="1459">
        <v>819</v>
      </c>
      <c r="M143" s="1459">
        <v>641</v>
      </c>
    </row>
    <row r="144" spans="1:13" ht="13.5" customHeight="1">
      <c r="A144" s="111" t="s">
        <v>2038</v>
      </c>
      <c r="B144" s="355">
        <v>2563</v>
      </c>
      <c r="C144" s="355">
        <v>1350</v>
      </c>
      <c r="D144" s="355">
        <v>1213</v>
      </c>
      <c r="E144" s="355">
        <v>66454</v>
      </c>
      <c r="F144" s="355">
        <v>21812</v>
      </c>
      <c r="G144" s="355">
        <v>64813</v>
      </c>
      <c r="H144" s="355">
        <v>38239</v>
      </c>
      <c r="I144" s="355">
        <v>39069</v>
      </c>
      <c r="J144" s="355">
        <v>27385</v>
      </c>
      <c r="K144" s="355">
        <v>1550</v>
      </c>
      <c r="L144" s="355">
        <v>847</v>
      </c>
      <c r="M144" s="355">
        <v>703</v>
      </c>
    </row>
    <row r="145" spans="1:13" ht="13.5" customHeight="1">
      <c r="A145" s="111" t="s">
        <v>18</v>
      </c>
      <c r="B145" s="1457">
        <v>2471</v>
      </c>
      <c r="C145" s="1457">
        <v>1332</v>
      </c>
      <c r="D145" s="1457">
        <v>1139</v>
      </c>
      <c r="E145" s="1457">
        <v>65371</v>
      </c>
      <c r="F145" s="1457">
        <v>18296</v>
      </c>
      <c r="G145" s="1457">
        <v>63907</v>
      </c>
      <c r="H145" s="1457">
        <v>36114</v>
      </c>
      <c r="I145" s="1457">
        <v>36826</v>
      </c>
      <c r="J145" s="1457">
        <v>28545</v>
      </c>
      <c r="K145" s="1457">
        <v>1477</v>
      </c>
      <c r="L145" s="1457">
        <v>827</v>
      </c>
      <c r="M145" s="1457">
        <v>650</v>
      </c>
    </row>
    <row r="146" spans="1:13" ht="13.5" customHeight="1">
      <c r="A146" s="111" t="s">
        <v>19</v>
      </c>
      <c r="B146" s="1457">
        <v>2479</v>
      </c>
      <c r="C146" s="1457">
        <v>1336</v>
      </c>
      <c r="D146" s="1457">
        <v>1143</v>
      </c>
      <c r="E146" s="1457">
        <v>65431</v>
      </c>
      <c r="F146" s="1457">
        <v>19811</v>
      </c>
      <c r="G146" s="1457">
        <v>63966</v>
      </c>
      <c r="H146" s="1457">
        <v>36150</v>
      </c>
      <c r="I146" s="1457">
        <v>36864</v>
      </c>
      <c r="J146" s="1457">
        <v>28567</v>
      </c>
      <c r="K146" s="1457">
        <v>1503</v>
      </c>
      <c r="L146" s="1457">
        <v>842</v>
      </c>
      <c r="M146" s="1457">
        <v>661</v>
      </c>
    </row>
    <row r="147" spans="1:13" ht="13.5" customHeight="1">
      <c r="A147" s="111" t="s">
        <v>20</v>
      </c>
      <c r="B147" s="1457">
        <v>2491</v>
      </c>
      <c r="C147" s="1457">
        <v>1339</v>
      </c>
      <c r="D147" s="1457">
        <v>1152</v>
      </c>
      <c r="E147" s="1457">
        <v>65334</v>
      </c>
      <c r="F147" s="1457">
        <v>19965</v>
      </c>
      <c r="G147" s="1457">
        <v>63864</v>
      </c>
      <c r="H147" s="1457">
        <v>36104</v>
      </c>
      <c r="I147" s="1457">
        <v>36793</v>
      </c>
      <c r="J147" s="1457">
        <v>28541</v>
      </c>
      <c r="K147" s="1457">
        <v>1503</v>
      </c>
      <c r="L147" s="1457">
        <v>842</v>
      </c>
      <c r="M147" s="1457">
        <v>661</v>
      </c>
    </row>
    <row r="148" spans="1:13" ht="13.5" customHeight="1">
      <c r="A148" s="111" t="s">
        <v>21</v>
      </c>
      <c r="B148" s="1457">
        <v>2503</v>
      </c>
      <c r="C148" s="1457">
        <v>1344</v>
      </c>
      <c r="D148" s="1457">
        <v>1159</v>
      </c>
      <c r="E148" s="1457">
        <v>65535</v>
      </c>
      <c r="F148" s="1457">
        <v>20273</v>
      </c>
      <c r="G148" s="1457">
        <v>64026</v>
      </c>
      <c r="H148" s="1457">
        <v>36270</v>
      </c>
      <c r="I148" s="1457">
        <v>36999</v>
      </c>
      <c r="J148" s="1457">
        <v>28536</v>
      </c>
      <c r="K148" s="1457">
        <v>1504</v>
      </c>
      <c r="L148" s="1457">
        <v>842</v>
      </c>
      <c r="M148" s="1457">
        <v>662</v>
      </c>
    </row>
    <row r="149" spans="1:13" ht="13.5" customHeight="1">
      <c r="A149" s="111" t="s">
        <v>22</v>
      </c>
      <c r="B149" s="1457">
        <v>2507</v>
      </c>
      <c r="C149" s="1457">
        <v>1351</v>
      </c>
      <c r="D149" s="1457">
        <v>1156</v>
      </c>
      <c r="E149" s="1457">
        <v>65784</v>
      </c>
      <c r="F149" s="1457">
        <v>20415</v>
      </c>
      <c r="G149" s="1457">
        <v>64254</v>
      </c>
      <c r="H149" s="1457">
        <v>36424</v>
      </c>
      <c r="I149" s="1457">
        <v>37160</v>
      </c>
      <c r="J149" s="1457">
        <v>28624</v>
      </c>
      <c r="K149" s="1457">
        <v>1509</v>
      </c>
      <c r="L149" s="1457">
        <v>846</v>
      </c>
      <c r="M149" s="1457">
        <v>663</v>
      </c>
    </row>
    <row r="150" spans="1:13" ht="13.5" customHeight="1">
      <c r="A150" s="111" t="s">
        <v>23</v>
      </c>
      <c r="B150" s="1457">
        <v>2520</v>
      </c>
      <c r="C150" s="1457">
        <v>1360</v>
      </c>
      <c r="D150" s="1457">
        <v>1160</v>
      </c>
      <c r="E150" s="1457">
        <v>65792</v>
      </c>
      <c r="F150" s="1457">
        <v>20544</v>
      </c>
      <c r="G150" s="1457">
        <v>64240</v>
      </c>
      <c r="H150" s="1457">
        <v>36536</v>
      </c>
      <c r="I150" s="1457">
        <v>37288</v>
      </c>
      <c r="J150" s="1457">
        <v>28504</v>
      </c>
      <c r="K150" s="1457">
        <v>1511</v>
      </c>
      <c r="L150" s="1457">
        <v>843</v>
      </c>
      <c r="M150" s="1457">
        <v>668</v>
      </c>
    </row>
    <row r="151" spans="1:13" ht="13.5" customHeight="1">
      <c r="A151" s="111" t="s">
        <v>24</v>
      </c>
      <c r="B151" s="1457">
        <v>2517</v>
      </c>
      <c r="C151" s="1457">
        <v>1354</v>
      </c>
      <c r="D151" s="1457">
        <v>1163</v>
      </c>
      <c r="E151" s="1457">
        <v>66050</v>
      </c>
      <c r="F151" s="1457">
        <v>20713</v>
      </c>
      <c r="G151" s="1457">
        <v>64502</v>
      </c>
      <c r="H151" s="1457">
        <v>37752</v>
      </c>
      <c r="I151" s="1457">
        <v>38501</v>
      </c>
      <c r="J151" s="1457">
        <v>27549</v>
      </c>
      <c r="K151" s="1457">
        <v>1510</v>
      </c>
      <c r="L151" s="1457">
        <v>843</v>
      </c>
      <c r="M151" s="1457">
        <v>667</v>
      </c>
    </row>
    <row r="152" spans="1:13" ht="13.5" customHeight="1">
      <c r="A152" s="111" t="s">
        <v>25</v>
      </c>
      <c r="B152" s="1457">
        <v>2521</v>
      </c>
      <c r="C152" s="1457">
        <v>1348</v>
      </c>
      <c r="D152" s="1457">
        <v>1173</v>
      </c>
      <c r="E152" s="1457">
        <v>66106</v>
      </c>
      <c r="F152" s="1457">
        <v>20833</v>
      </c>
      <c r="G152" s="1457">
        <v>64508</v>
      </c>
      <c r="H152" s="1457">
        <v>37846</v>
      </c>
      <c r="I152" s="1457">
        <v>38644</v>
      </c>
      <c r="J152" s="1457">
        <v>27462</v>
      </c>
      <c r="K152" s="1457">
        <v>1514</v>
      </c>
      <c r="L152" s="1457">
        <v>847</v>
      </c>
      <c r="M152" s="1457">
        <v>667</v>
      </c>
    </row>
    <row r="153" spans="1:13" ht="13.5" customHeight="1">
      <c r="A153" s="111" t="s">
        <v>26</v>
      </c>
      <c r="B153" s="1457">
        <v>2540</v>
      </c>
      <c r="C153" s="1457">
        <v>1354</v>
      </c>
      <c r="D153" s="1457">
        <v>1186</v>
      </c>
      <c r="E153" s="1457">
        <v>66314</v>
      </c>
      <c r="F153" s="1457">
        <v>21064</v>
      </c>
      <c r="G153" s="1457">
        <v>64713</v>
      </c>
      <c r="H153" s="1457">
        <v>37986</v>
      </c>
      <c r="I153" s="1457">
        <v>38784</v>
      </c>
      <c r="J153" s="1457">
        <v>27530</v>
      </c>
      <c r="K153" s="1457">
        <v>1538</v>
      </c>
      <c r="L153" s="1457">
        <v>849</v>
      </c>
      <c r="M153" s="1457">
        <v>689</v>
      </c>
    </row>
    <row r="154" spans="1:13" ht="13.5" customHeight="1">
      <c r="A154" s="111" t="s">
        <v>27</v>
      </c>
      <c r="B154" s="1457">
        <v>2553</v>
      </c>
      <c r="C154" s="1457">
        <v>1346</v>
      </c>
      <c r="D154" s="1457">
        <v>1207</v>
      </c>
      <c r="E154" s="1457">
        <v>66206</v>
      </c>
      <c r="F154" s="1457">
        <v>21334</v>
      </c>
      <c r="G154" s="1457">
        <v>64577</v>
      </c>
      <c r="H154" s="1457">
        <v>37856</v>
      </c>
      <c r="I154" s="1457">
        <v>38690</v>
      </c>
      <c r="J154" s="1457">
        <v>27516</v>
      </c>
      <c r="K154" s="1457">
        <v>1548</v>
      </c>
      <c r="L154" s="1457">
        <v>850</v>
      </c>
      <c r="M154" s="1457">
        <v>698</v>
      </c>
    </row>
    <row r="155" spans="1:13" ht="13.5" customHeight="1">
      <c r="A155" s="111" t="s">
        <v>28</v>
      </c>
      <c r="B155" s="1457">
        <v>2551</v>
      </c>
      <c r="C155" s="1457">
        <v>1343</v>
      </c>
      <c r="D155" s="1457">
        <v>1208</v>
      </c>
      <c r="E155" s="1457">
        <v>66256</v>
      </c>
      <c r="F155" s="1457">
        <v>21464</v>
      </c>
      <c r="G155" s="1457">
        <v>64615</v>
      </c>
      <c r="H155" s="1457">
        <v>37863</v>
      </c>
      <c r="I155" s="1457">
        <v>38709</v>
      </c>
      <c r="J155" s="1457">
        <v>27547</v>
      </c>
      <c r="K155" s="1457">
        <v>1550</v>
      </c>
      <c r="L155" s="1457">
        <v>848</v>
      </c>
      <c r="M155" s="1457">
        <v>702</v>
      </c>
    </row>
    <row r="156" spans="1:13" ht="13.5" customHeight="1">
      <c r="A156" s="111" t="s">
        <v>29</v>
      </c>
      <c r="B156" s="1457">
        <v>2563</v>
      </c>
      <c r="C156" s="1457">
        <v>1350</v>
      </c>
      <c r="D156" s="1457">
        <v>1213</v>
      </c>
      <c r="E156" s="1457">
        <v>66454</v>
      </c>
      <c r="F156" s="1457">
        <v>21812</v>
      </c>
      <c r="G156" s="1457">
        <v>64813</v>
      </c>
      <c r="H156" s="1457">
        <v>38239</v>
      </c>
      <c r="I156" s="1457">
        <v>39069</v>
      </c>
      <c r="J156" s="1457">
        <v>27385</v>
      </c>
      <c r="K156" s="1459">
        <v>1550</v>
      </c>
      <c r="L156" s="1459">
        <v>847</v>
      </c>
      <c r="M156" s="1459">
        <v>703</v>
      </c>
    </row>
    <row r="157" spans="1:13" ht="13.5" customHeight="1">
      <c r="A157" s="37" t="s">
        <v>2131</v>
      </c>
      <c r="B157" s="1462">
        <v>2712</v>
      </c>
      <c r="C157" s="1462">
        <v>1446</v>
      </c>
      <c r="D157" s="1462">
        <v>1266</v>
      </c>
      <c r="E157" s="1462">
        <v>67681</v>
      </c>
      <c r="F157" s="1462">
        <v>30133</v>
      </c>
      <c r="G157" s="1462">
        <v>65973</v>
      </c>
      <c r="H157" s="1462">
        <v>40097</v>
      </c>
      <c r="I157" s="1462">
        <v>40988</v>
      </c>
      <c r="J157" s="1461">
        <v>26693</v>
      </c>
      <c r="K157" s="355">
        <v>1648</v>
      </c>
      <c r="L157" s="355">
        <v>908</v>
      </c>
      <c r="M157" s="355">
        <v>740</v>
      </c>
    </row>
    <row r="158" spans="1:13" ht="13.5" customHeight="1">
      <c r="A158" s="111" t="s">
        <v>18</v>
      </c>
      <c r="B158" s="1457">
        <v>2572</v>
      </c>
      <c r="C158" s="1457">
        <v>1355</v>
      </c>
      <c r="D158" s="1457">
        <v>1217</v>
      </c>
      <c r="E158" s="1457">
        <v>66353</v>
      </c>
      <c r="F158" s="1457">
        <v>23259</v>
      </c>
      <c r="G158" s="1457">
        <v>64685</v>
      </c>
      <c r="H158" s="1457">
        <v>38195</v>
      </c>
      <c r="I158" s="1457">
        <v>39054</v>
      </c>
      <c r="J158" s="1457">
        <v>27299</v>
      </c>
      <c r="K158" s="1457">
        <v>1591</v>
      </c>
      <c r="L158" s="1457">
        <v>874</v>
      </c>
      <c r="M158" s="1457">
        <v>717</v>
      </c>
    </row>
    <row r="159" spans="1:13" ht="13.5" customHeight="1">
      <c r="A159" s="111" t="s">
        <v>19</v>
      </c>
      <c r="B159" s="1457">
        <v>2585</v>
      </c>
      <c r="C159" s="1457">
        <v>1364</v>
      </c>
      <c r="D159" s="1457">
        <v>1221</v>
      </c>
      <c r="E159" s="1457">
        <v>66397</v>
      </c>
      <c r="F159" s="1457">
        <v>24097</v>
      </c>
      <c r="G159" s="1457">
        <v>64728</v>
      </c>
      <c r="H159" s="1457">
        <v>38371</v>
      </c>
      <c r="I159" s="1457">
        <v>39233</v>
      </c>
      <c r="J159" s="1457">
        <v>27164</v>
      </c>
      <c r="K159" s="1457">
        <v>1596</v>
      </c>
      <c r="L159" s="1457">
        <v>875</v>
      </c>
      <c r="M159" s="1457">
        <v>721</v>
      </c>
    </row>
    <row r="160" spans="1:13" ht="13.5" customHeight="1">
      <c r="A160" s="111" t="s">
        <v>20</v>
      </c>
      <c r="B160" s="1457">
        <v>2595</v>
      </c>
      <c r="C160" s="1457">
        <v>1370</v>
      </c>
      <c r="D160" s="1457">
        <v>1225</v>
      </c>
      <c r="E160" s="1457">
        <v>66779</v>
      </c>
      <c r="F160" s="1457">
        <v>24594</v>
      </c>
      <c r="G160" s="1457">
        <v>65115</v>
      </c>
      <c r="H160" s="1457">
        <v>38987</v>
      </c>
      <c r="I160" s="1457">
        <v>39847</v>
      </c>
      <c r="J160" s="1457">
        <v>26932</v>
      </c>
      <c r="K160" s="1457">
        <v>1601</v>
      </c>
      <c r="L160" s="1457">
        <v>879</v>
      </c>
      <c r="M160" s="1457">
        <v>722</v>
      </c>
    </row>
    <row r="161" spans="1:13" ht="13.5" customHeight="1">
      <c r="A161" s="111" t="s">
        <v>21</v>
      </c>
      <c r="B161" s="1457">
        <v>2605</v>
      </c>
      <c r="C161" s="1457">
        <v>1379</v>
      </c>
      <c r="D161" s="1457">
        <v>1226</v>
      </c>
      <c r="E161" s="1457">
        <v>66640</v>
      </c>
      <c r="F161" s="1457">
        <v>25169</v>
      </c>
      <c r="G161" s="1457">
        <v>65096</v>
      </c>
      <c r="H161" s="1457">
        <v>40043</v>
      </c>
      <c r="I161" s="1457">
        <v>40788</v>
      </c>
      <c r="J161" s="1457">
        <v>25852</v>
      </c>
      <c r="K161" s="1457">
        <v>1607</v>
      </c>
      <c r="L161" s="1457">
        <v>885</v>
      </c>
      <c r="M161" s="1457">
        <v>722</v>
      </c>
    </row>
    <row r="162" spans="1:13" ht="13.5" customHeight="1">
      <c r="A162" s="111" t="s">
        <v>22</v>
      </c>
      <c r="B162" s="1457">
        <v>2629</v>
      </c>
      <c r="C162" s="1457">
        <v>1397</v>
      </c>
      <c r="D162" s="1457">
        <v>1232</v>
      </c>
      <c r="E162" s="1457">
        <v>66804</v>
      </c>
      <c r="F162" s="1457">
        <v>25685</v>
      </c>
      <c r="G162" s="1457">
        <v>65293</v>
      </c>
      <c r="H162" s="1457">
        <v>40467</v>
      </c>
      <c r="I162" s="1457">
        <v>41179</v>
      </c>
      <c r="J162" s="1457">
        <v>25625</v>
      </c>
      <c r="K162" s="1457">
        <v>1611</v>
      </c>
      <c r="L162" s="1457">
        <v>885</v>
      </c>
      <c r="M162" s="1457">
        <v>726</v>
      </c>
    </row>
    <row r="163" spans="1:13" ht="13.5" customHeight="1">
      <c r="A163" s="111" t="s">
        <v>23</v>
      </c>
      <c r="B163" s="1457">
        <v>2632</v>
      </c>
      <c r="C163" s="1457">
        <v>1394</v>
      </c>
      <c r="D163" s="1457">
        <v>1238</v>
      </c>
      <c r="E163" s="1457">
        <v>63774</v>
      </c>
      <c r="F163" s="1457">
        <v>25934</v>
      </c>
      <c r="G163" s="1457">
        <v>62003</v>
      </c>
      <c r="H163" s="1457">
        <v>37269</v>
      </c>
      <c r="I163" s="1457">
        <v>38185</v>
      </c>
      <c r="J163" s="1457">
        <v>25589</v>
      </c>
      <c r="K163" s="1457">
        <v>1613</v>
      </c>
      <c r="L163" s="1457">
        <v>887</v>
      </c>
      <c r="M163" s="1457">
        <v>726</v>
      </c>
    </row>
    <row r="164" spans="1:13" ht="13.5" customHeight="1">
      <c r="A164" s="111" t="s">
        <v>24</v>
      </c>
      <c r="B164" s="1457">
        <v>2644</v>
      </c>
      <c r="C164" s="1457">
        <v>1400</v>
      </c>
      <c r="D164" s="1457">
        <v>1244</v>
      </c>
      <c r="E164" s="1457">
        <v>64160</v>
      </c>
      <c r="F164" s="1457">
        <v>26362</v>
      </c>
      <c r="G164" s="1457">
        <v>62345</v>
      </c>
      <c r="H164" s="1457">
        <v>37322</v>
      </c>
      <c r="I164" s="1457">
        <v>38285</v>
      </c>
      <c r="J164" s="1457">
        <v>25875</v>
      </c>
      <c r="K164" s="1457">
        <v>1622</v>
      </c>
      <c r="L164" s="1457">
        <v>892</v>
      </c>
      <c r="M164" s="1457">
        <v>730</v>
      </c>
    </row>
    <row r="165" spans="1:13" ht="13.5" customHeight="1">
      <c r="A165" s="111" t="s">
        <v>25</v>
      </c>
      <c r="B165" s="1457">
        <v>2650</v>
      </c>
      <c r="C165" s="1457">
        <v>1406</v>
      </c>
      <c r="D165" s="1457">
        <v>1244</v>
      </c>
      <c r="E165" s="1457">
        <v>64511</v>
      </c>
      <c r="F165" s="1457">
        <v>26813</v>
      </c>
      <c r="G165" s="1457">
        <v>62740</v>
      </c>
      <c r="H165" s="1457">
        <v>37681</v>
      </c>
      <c r="I165" s="1457">
        <v>38591</v>
      </c>
      <c r="J165" s="1457">
        <v>25920</v>
      </c>
      <c r="K165" s="1457">
        <v>1627</v>
      </c>
      <c r="L165" s="1457">
        <v>896</v>
      </c>
      <c r="M165" s="1457">
        <v>731</v>
      </c>
    </row>
    <row r="166" spans="1:13" ht="13.5" customHeight="1">
      <c r="A166" s="111" t="s">
        <v>26</v>
      </c>
      <c r="B166" s="1457">
        <v>2654</v>
      </c>
      <c r="C166" s="1457">
        <v>1407</v>
      </c>
      <c r="D166" s="1457">
        <v>1247</v>
      </c>
      <c r="E166" s="1457">
        <v>65153</v>
      </c>
      <c r="F166" s="1457">
        <v>27528</v>
      </c>
      <c r="G166" s="1457">
        <v>63368</v>
      </c>
      <c r="H166" s="1457">
        <v>38305</v>
      </c>
      <c r="I166" s="1457">
        <v>39205</v>
      </c>
      <c r="J166" s="1457">
        <v>25948</v>
      </c>
      <c r="K166" s="1457">
        <v>1633</v>
      </c>
      <c r="L166" s="1457">
        <v>900</v>
      </c>
      <c r="M166" s="1457">
        <v>733</v>
      </c>
    </row>
    <row r="167" spans="1:13" ht="13.5" customHeight="1">
      <c r="A167" s="111" t="s">
        <v>27</v>
      </c>
      <c r="B167" s="1457">
        <v>2675</v>
      </c>
      <c r="C167" s="1457">
        <v>1425</v>
      </c>
      <c r="D167" s="1457">
        <v>1250</v>
      </c>
      <c r="E167" s="1457">
        <v>65819</v>
      </c>
      <c r="F167" s="1457">
        <v>28351</v>
      </c>
      <c r="G167" s="1457">
        <v>64221</v>
      </c>
      <c r="H167" s="1457">
        <v>38903</v>
      </c>
      <c r="I167" s="1457">
        <v>39723</v>
      </c>
      <c r="J167" s="1457">
        <v>26096</v>
      </c>
      <c r="K167" s="1457">
        <v>1640</v>
      </c>
      <c r="L167" s="1457">
        <v>905</v>
      </c>
      <c r="M167" s="1457">
        <v>735</v>
      </c>
    </row>
    <row r="168" spans="1:13" ht="13.5" customHeight="1">
      <c r="A168" s="111" t="s">
        <v>28</v>
      </c>
      <c r="B168" s="1457">
        <v>2692</v>
      </c>
      <c r="C168" s="1457">
        <v>1437</v>
      </c>
      <c r="D168" s="1457">
        <v>1255</v>
      </c>
      <c r="E168" s="1457">
        <v>66503</v>
      </c>
      <c r="F168" s="1457">
        <v>29054</v>
      </c>
      <c r="G168" s="1457">
        <v>64843</v>
      </c>
      <c r="H168" s="1457">
        <v>39531</v>
      </c>
      <c r="I168" s="1457">
        <v>40404</v>
      </c>
      <c r="J168" s="1457">
        <v>26099</v>
      </c>
      <c r="K168" s="1457">
        <v>1645</v>
      </c>
      <c r="L168" s="1457">
        <v>904</v>
      </c>
      <c r="M168" s="1457">
        <v>741</v>
      </c>
    </row>
    <row r="169" spans="1:13" ht="13.5" customHeight="1">
      <c r="A169" s="37" t="s">
        <v>29</v>
      </c>
      <c r="B169" s="1458">
        <v>2712</v>
      </c>
      <c r="C169" s="1457">
        <v>1446</v>
      </c>
      <c r="D169" s="1457">
        <v>1266</v>
      </c>
      <c r="E169" s="1457">
        <v>67681</v>
      </c>
      <c r="F169" s="1457">
        <v>30133</v>
      </c>
      <c r="G169" s="1457">
        <v>65973</v>
      </c>
      <c r="H169" s="1457">
        <v>40097</v>
      </c>
      <c r="I169" s="1457">
        <v>40988</v>
      </c>
      <c r="J169" s="1457">
        <v>26693</v>
      </c>
      <c r="K169" s="1459">
        <v>1648</v>
      </c>
      <c r="L169" s="1459">
        <v>908</v>
      </c>
      <c r="M169" s="1459">
        <v>740</v>
      </c>
    </row>
    <row r="170" spans="1:13" ht="13.5" customHeight="1">
      <c r="A170" s="37" t="s">
        <v>2362</v>
      </c>
      <c r="B170" s="1460">
        <v>2779</v>
      </c>
      <c r="C170" s="355">
        <v>1454</v>
      </c>
      <c r="D170" s="355">
        <v>1325</v>
      </c>
      <c r="E170" s="355">
        <v>57344</v>
      </c>
      <c r="F170" s="355">
        <v>34381</v>
      </c>
      <c r="G170" s="355">
        <v>55798</v>
      </c>
      <c r="H170" s="355">
        <v>36889</v>
      </c>
      <c r="I170" s="355">
        <v>37707</v>
      </c>
      <c r="J170" s="355">
        <v>19637</v>
      </c>
      <c r="K170" s="355">
        <v>1928</v>
      </c>
      <c r="L170" s="355">
        <v>1059</v>
      </c>
      <c r="M170" s="355">
        <v>869</v>
      </c>
    </row>
    <row r="171" spans="1:13" ht="13.5" customHeight="1">
      <c r="A171" s="37" t="s">
        <v>18</v>
      </c>
      <c r="B171" s="1458">
        <v>2724</v>
      </c>
      <c r="C171" s="1457">
        <v>1463</v>
      </c>
      <c r="D171" s="1457">
        <v>1261</v>
      </c>
      <c r="E171" s="1457">
        <v>69026</v>
      </c>
      <c r="F171" s="1457">
        <v>31740</v>
      </c>
      <c r="G171" s="1457">
        <v>67341</v>
      </c>
      <c r="H171" s="1457">
        <v>41143</v>
      </c>
      <c r="I171" s="1457">
        <v>42005</v>
      </c>
      <c r="J171" s="1457">
        <v>27021</v>
      </c>
      <c r="K171" s="1457">
        <v>1652</v>
      </c>
      <c r="L171" s="1457">
        <v>912</v>
      </c>
      <c r="M171" s="1457">
        <v>740</v>
      </c>
    </row>
    <row r="172" spans="1:13" ht="13.5" customHeight="1">
      <c r="A172" s="37" t="s">
        <v>19</v>
      </c>
      <c r="B172" s="1458">
        <v>2723</v>
      </c>
      <c r="C172" s="1457">
        <v>1463</v>
      </c>
      <c r="D172" s="1457">
        <v>1260</v>
      </c>
      <c r="E172" s="1457">
        <v>70312</v>
      </c>
      <c r="F172" s="1457">
        <v>32815</v>
      </c>
      <c r="G172" s="1457">
        <v>68624</v>
      </c>
      <c r="H172" s="1457">
        <v>41903</v>
      </c>
      <c r="I172" s="1457">
        <v>42792</v>
      </c>
      <c r="J172" s="1457">
        <v>27520</v>
      </c>
      <c r="K172" s="1457">
        <v>1667</v>
      </c>
      <c r="L172" s="1457">
        <v>919</v>
      </c>
      <c r="M172" s="1457">
        <v>748</v>
      </c>
    </row>
    <row r="173" spans="1:13" ht="13.5" customHeight="1">
      <c r="A173" s="37" t="s">
        <v>20</v>
      </c>
      <c r="B173" s="1458">
        <v>2742</v>
      </c>
      <c r="C173" s="1457">
        <v>1473</v>
      </c>
      <c r="D173" s="1457">
        <v>1269</v>
      </c>
      <c r="E173" s="1457">
        <v>71349</v>
      </c>
      <c r="F173" s="1457">
        <v>34186</v>
      </c>
      <c r="G173" s="1457">
        <v>69638</v>
      </c>
      <c r="H173" s="1457">
        <v>42513</v>
      </c>
      <c r="I173" s="1457">
        <v>43443</v>
      </c>
      <c r="J173" s="1457">
        <v>27906</v>
      </c>
      <c r="K173" s="1457">
        <v>1684</v>
      </c>
      <c r="L173" s="1457">
        <v>926</v>
      </c>
      <c r="M173" s="1457">
        <v>758</v>
      </c>
    </row>
    <row r="174" spans="1:13" ht="13.5" customHeight="1">
      <c r="A174" s="37" t="s">
        <v>21</v>
      </c>
      <c r="B174" s="1458">
        <v>2701</v>
      </c>
      <c r="C174" s="1457">
        <v>1431</v>
      </c>
      <c r="D174" s="1457">
        <v>1270</v>
      </c>
      <c r="E174" s="1457">
        <v>56891</v>
      </c>
      <c r="F174" s="1457">
        <v>28963</v>
      </c>
      <c r="G174" s="1457">
        <v>55256</v>
      </c>
      <c r="H174" s="1457">
        <v>35552</v>
      </c>
      <c r="I174" s="1457">
        <v>36391</v>
      </c>
      <c r="J174" s="1457">
        <v>20500</v>
      </c>
      <c r="K174" s="1457">
        <v>1660</v>
      </c>
      <c r="L174" s="1457">
        <v>917</v>
      </c>
      <c r="M174" s="1457">
        <v>743</v>
      </c>
    </row>
    <row r="175" spans="1:13" ht="13.5" customHeight="1">
      <c r="A175" s="37" t="s">
        <v>22</v>
      </c>
      <c r="B175" s="1458">
        <v>2618</v>
      </c>
      <c r="C175" s="1457">
        <v>1364</v>
      </c>
      <c r="D175" s="1457">
        <v>1254</v>
      </c>
      <c r="E175" s="1457">
        <v>55250</v>
      </c>
      <c r="F175" s="1457">
        <v>28870</v>
      </c>
      <c r="G175" s="1457">
        <v>53626</v>
      </c>
      <c r="H175" s="1457">
        <v>35301</v>
      </c>
      <c r="I175" s="1457">
        <v>36032</v>
      </c>
      <c r="J175" s="1457">
        <v>19218</v>
      </c>
      <c r="K175" s="1457">
        <v>1670</v>
      </c>
      <c r="L175" s="1457">
        <v>919</v>
      </c>
      <c r="M175" s="1457">
        <v>751</v>
      </c>
    </row>
    <row r="176" spans="1:13" ht="13.5" customHeight="1">
      <c r="A176" s="37" t="s">
        <v>23</v>
      </c>
      <c r="B176" s="1458">
        <v>2633</v>
      </c>
      <c r="C176" s="1457">
        <v>1368</v>
      </c>
      <c r="D176" s="1457">
        <v>1265</v>
      </c>
      <c r="E176" s="1457">
        <v>55854</v>
      </c>
      <c r="F176" s="1457">
        <v>29728</v>
      </c>
      <c r="G176" s="1457">
        <v>54225</v>
      </c>
      <c r="H176" s="1457">
        <v>35547</v>
      </c>
      <c r="I176" s="1457">
        <v>36406</v>
      </c>
      <c r="J176" s="1457">
        <v>19448</v>
      </c>
      <c r="K176" s="1457">
        <v>1673</v>
      </c>
      <c r="L176" s="1457">
        <v>913</v>
      </c>
      <c r="M176" s="1457">
        <v>760</v>
      </c>
    </row>
    <row r="177" spans="1:13" ht="13.5" customHeight="1">
      <c r="A177" s="37" t="s">
        <v>24</v>
      </c>
      <c r="B177" s="1458">
        <v>2649</v>
      </c>
      <c r="C177" s="1457">
        <v>1373</v>
      </c>
      <c r="D177" s="1457">
        <v>1276</v>
      </c>
      <c r="E177" s="1457">
        <v>55710</v>
      </c>
      <c r="F177" s="1457">
        <v>29846</v>
      </c>
      <c r="G177" s="1457">
        <v>54242</v>
      </c>
      <c r="H177" s="1457">
        <v>35599</v>
      </c>
      <c r="I177" s="1457">
        <v>36302</v>
      </c>
      <c r="J177" s="1457">
        <v>19408</v>
      </c>
      <c r="K177" s="1457">
        <v>1677</v>
      </c>
      <c r="L177" s="1457">
        <v>915</v>
      </c>
      <c r="M177" s="1457">
        <v>762</v>
      </c>
    </row>
    <row r="178" spans="1:13" ht="13.5" customHeight="1">
      <c r="A178" s="37" t="s">
        <v>25</v>
      </c>
      <c r="B178" s="1458">
        <v>2672</v>
      </c>
      <c r="C178" s="1457">
        <v>1389</v>
      </c>
      <c r="D178" s="1457">
        <v>1283</v>
      </c>
      <c r="E178" s="1457">
        <v>56770</v>
      </c>
      <c r="F178" s="1457">
        <v>31211</v>
      </c>
      <c r="G178" s="1457">
        <v>55062</v>
      </c>
      <c r="H178" s="1457">
        <v>35966</v>
      </c>
      <c r="I178" s="1457">
        <v>36911</v>
      </c>
      <c r="J178" s="1457">
        <v>19859</v>
      </c>
      <c r="K178" s="1457">
        <v>1679</v>
      </c>
      <c r="L178" s="1457">
        <v>913</v>
      </c>
      <c r="M178" s="1457">
        <v>766</v>
      </c>
    </row>
    <row r="179" spans="1:13" ht="13.5" customHeight="1">
      <c r="A179" s="37" t="s">
        <v>26</v>
      </c>
      <c r="B179" s="1457">
        <v>2704</v>
      </c>
      <c r="C179" s="1457">
        <v>1408</v>
      </c>
      <c r="D179" s="1457">
        <v>1296</v>
      </c>
      <c r="E179" s="1457">
        <v>57263</v>
      </c>
      <c r="F179" s="1457">
        <v>32440</v>
      </c>
      <c r="G179" s="1457">
        <v>55461</v>
      </c>
      <c r="H179" s="1457">
        <v>36339</v>
      </c>
      <c r="I179" s="1457">
        <v>37386</v>
      </c>
      <c r="J179" s="1457">
        <v>19877</v>
      </c>
      <c r="K179" s="1457">
        <v>1681</v>
      </c>
      <c r="L179" s="1457">
        <v>916</v>
      </c>
      <c r="M179" s="1457">
        <v>765</v>
      </c>
    </row>
    <row r="180" spans="1:13" ht="13.5" customHeight="1">
      <c r="A180" s="37" t="s">
        <v>27</v>
      </c>
      <c r="B180" s="1457">
        <v>2719</v>
      </c>
      <c r="C180" s="1457">
        <v>1417</v>
      </c>
      <c r="D180" s="1457">
        <v>1302</v>
      </c>
      <c r="E180" s="1457">
        <v>57226</v>
      </c>
      <c r="F180" s="1457">
        <v>32845</v>
      </c>
      <c r="G180" s="1457">
        <v>55465</v>
      </c>
      <c r="H180" s="1457">
        <v>36319</v>
      </c>
      <c r="I180" s="1457">
        <v>37310</v>
      </c>
      <c r="J180" s="1457">
        <v>19916</v>
      </c>
      <c r="K180" s="1457">
        <v>1688</v>
      </c>
      <c r="L180" s="1457">
        <v>918</v>
      </c>
      <c r="M180" s="1457">
        <v>770</v>
      </c>
    </row>
    <row r="181" spans="1:13" ht="13.5" customHeight="1">
      <c r="A181" s="37" t="s">
        <v>28</v>
      </c>
      <c r="B181" s="1457">
        <v>2752</v>
      </c>
      <c r="C181" s="1457">
        <v>1440</v>
      </c>
      <c r="D181" s="1457">
        <v>1312</v>
      </c>
      <c r="E181" s="1457">
        <v>57180</v>
      </c>
      <c r="F181" s="1457">
        <v>33687</v>
      </c>
      <c r="G181" s="1457">
        <v>55499</v>
      </c>
      <c r="H181" s="1457">
        <v>36577</v>
      </c>
      <c r="I181" s="1457">
        <v>37519</v>
      </c>
      <c r="J181" s="1457">
        <v>19661</v>
      </c>
      <c r="K181" s="1457">
        <v>1893</v>
      </c>
      <c r="L181" s="1457">
        <v>1055</v>
      </c>
      <c r="M181" s="1457">
        <v>838</v>
      </c>
    </row>
    <row r="182" spans="1:13" ht="13.5" customHeight="1">
      <c r="A182" s="37" t="s">
        <v>29</v>
      </c>
      <c r="B182" s="1457">
        <v>2779</v>
      </c>
      <c r="C182" s="1457">
        <v>1454</v>
      </c>
      <c r="D182" s="1457">
        <v>1325</v>
      </c>
      <c r="E182" s="1457">
        <v>57344</v>
      </c>
      <c r="F182" s="1457">
        <v>34381</v>
      </c>
      <c r="G182" s="1457">
        <v>55798</v>
      </c>
      <c r="H182" s="1457">
        <v>36889</v>
      </c>
      <c r="I182" s="1457">
        <v>37707</v>
      </c>
      <c r="J182" s="1457">
        <v>19637</v>
      </c>
      <c r="K182" s="1459">
        <v>1928</v>
      </c>
      <c r="L182" s="1459">
        <v>1059</v>
      </c>
      <c r="M182" s="1459">
        <v>869</v>
      </c>
    </row>
    <row r="183" spans="1:13" ht="13.5" customHeight="1">
      <c r="A183" s="37" t="s">
        <v>2523</v>
      </c>
      <c r="B183" s="355">
        <v>2970</v>
      </c>
      <c r="C183" s="355">
        <v>1585</v>
      </c>
      <c r="D183" s="355">
        <v>1385</v>
      </c>
      <c r="E183" s="355">
        <v>61179</v>
      </c>
      <c r="F183" s="355">
        <v>43920</v>
      </c>
      <c r="G183" s="355">
        <v>59645</v>
      </c>
      <c r="H183" s="355">
        <v>39725</v>
      </c>
      <c r="I183" s="355">
        <v>40672</v>
      </c>
      <c r="J183" s="355">
        <v>20507</v>
      </c>
      <c r="K183" s="355">
        <v>1845</v>
      </c>
      <c r="L183" s="355">
        <v>960</v>
      </c>
      <c r="M183" s="355">
        <v>885</v>
      </c>
    </row>
    <row r="184" spans="1:13" ht="13.5" customHeight="1">
      <c r="A184" s="37" t="s">
        <v>18</v>
      </c>
      <c r="B184" s="312">
        <v>2803</v>
      </c>
      <c r="C184" s="1457">
        <v>1461</v>
      </c>
      <c r="D184" s="1457">
        <v>1342</v>
      </c>
      <c r="E184" s="1457">
        <v>57633</v>
      </c>
      <c r="F184" s="1457">
        <v>34536</v>
      </c>
      <c r="G184" s="1457">
        <v>56099</v>
      </c>
      <c r="H184" s="1457">
        <v>36905</v>
      </c>
      <c r="I184" s="1457">
        <v>37738</v>
      </c>
      <c r="J184" s="1457">
        <v>19895</v>
      </c>
      <c r="K184" s="1457">
        <v>1966</v>
      </c>
      <c r="L184" s="1457">
        <v>1084</v>
      </c>
      <c r="M184" s="1457">
        <v>882</v>
      </c>
    </row>
    <row r="185" spans="1:13" ht="13.5" customHeight="1">
      <c r="A185" s="37" t="s">
        <v>19</v>
      </c>
      <c r="B185" s="312">
        <v>2810</v>
      </c>
      <c r="C185" s="1457">
        <v>1464</v>
      </c>
      <c r="D185" s="1457">
        <v>1346</v>
      </c>
      <c r="E185" s="1457">
        <v>57881</v>
      </c>
      <c r="F185" s="1457">
        <v>35402</v>
      </c>
      <c r="G185" s="1457">
        <v>56354</v>
      </c>
      <c r="H185" s="1457">
        <v>37093</v>
      </c>
      <c r="I185" s="1457">
        <v>37947</v>
      </c>
      <c r="J185" s="1457">
        <v>19934</v>
      </c>
      <c r="K185" s="1457">
        <v>1987</v>
      </c>
      <c r="L185" s="1457">
        <v>1088</v>
      </c>
      <c r="M185" s="1457">
        <v>899</v>
      </c>
    </row>
    <row r="186" spans="1:13" ht="13.5" customHeight="1">
      <c r="A186" s="37" t="s">
        <v>20</v>
      </c>
      <c r="B186" s="312">
        <v>2826</v>
      </c>
      <c r="C186" s="1457">
        <v>1476</v>
      </c>
      <c r="D186" s="1457">
        <v>1350</v>
      </c>
      <c r="E186" s="1457">
        <v>58410</v>
      </c>
      <c r="F186" s="1457">
        <v>35947</v>
      </c>
      <c r="G186" s="1457">
        <v>56553</v>
      </c>
      <c r="H186" s="1457">
        <v>37349</v>
      </c>
      <c r="I186" s="1457">
        <v>38514</v>
      </c>
      <c r="J186" s="1457">
        <v>19896</v>
      </c>
      <c r="K186" s="1457">
        <v>1997</v>
      </c>
      <c r="L186" s="1457">
        <v>1091</v>
      </c>
      <c r="M186" s="1457">
        <v>906</v>
      </c>
    </row>
    <row r="187" spans="1:13" ht="13.5" customHeight="1">
      <c r="A187" s="37" t="s">
        <v>21</v>
      </c>
      <c r="B187" s="312">
        <v>2833</v>
      </c>
      <c r="C187" s="1457">
        <v>1478</v>
      </c>
      <c r="D187" s="1457">
        <v>1355</v>
      </c>
      <c r="E187" s="1457">
        <v>59262</v>
      </c>
      <c r="F187" s="1457">
        <v>37362</v>
      </c>
      <c r="G187" s="1457">
        <v>57598</v>
      </c>
      <c r="H187" s="1457">
        <v>37903</v>
      </c>
      <c r="I187" s="1457">
        <v>38846</v>
      </c>
      <c r="J187" s="1457">
        <v>20416</v>
      </c>
      <c r="K187" s="1457">
        <v>1997</v>
      </c>
      <c r="L187" s="1457">
        <v>1086</v>
      </c>
      <c r="M187" s="1457">
        <v>911</v>
      </c>
    </row>
    <row r="188" spans="1:13" ht="13.5" customHeight="1">
      <c r="A188" s="37" t="s">
        <v>22</v>
      </c>
      <c r="B188" s="312">
        <v>2848</v>
      </c>
      <c r="C188" s="1457">
        <v>1491</v>
      </c>
      <c r="D188" s="1457">
        <v>1357</v>
      </c>
      <c r="E188" s="1457">
        <v>59882</v>
      </c>
      <c r="F188" s="1457">
        <v>38236</v>
      </c>
      <c r="G188" s="1457">
        <v>58245</v>
      </c>
      <c r="H188" s="1457">
        <v>38352</v>
      </c>
      <c r="I188" s="1457">
        <v>39268</v>
      </c>
      <c r="J188" s="1457">
        <v>20614</v>
      </c>
      <c r="K188" s="1457">
        <v>1972</v>
      </c>
      <c r="L188" s="1457">
        <v>1067</v>
      </c>
      <c r="M188" s="1457">
        <v>905</v>
      </c>
    </row>
    <row r="189" spans="1:13" ht="13.5" customHeight="1">
      <c r="A189" s="37" t="s">
        <v>23</v>
      </c>
      <c r="B189" s="312">
        <v>2867</v>
      </c>
      <c r="C189" s="1457">
        <v>1504</v>
      </c>
      <c r="D189" s="1457">
        <v>1363</v>
      </c>
      <c r="E189" s="1457">
        <v>60381</v>
      </c>
      <c r="F189" s="1457">
        <v>39168</v>
      </c>
      <c r="G189" s="1457">
        <v>58436</v>
      </c>
      <c r="H189" s="1457">
        <v>38707</v>
      </c>
      <c r="I189" s="1457">
        <v>39923</v>
      </c>
      <c r="J189" s="1457">
        <v>20458</v>
      </c>
      <c r="K189" s="1457">
        <v>1958</v>
      </c>
      <c r="L189" s="1457">
        <v>1055</v>
      </c>
      <c r="M189" s="1457">
        <v>903</v>
      </c>
    </row>
    <row r="190" spans="1:13" ht="13.5" customHeight="1">
      <c r="A190" s="37" t="s">
        <v>24</v>
      </c>
      <c r="B190" s="312">
        <v>2887</v>
      </c>
      <c r="C190" s="1457">
        <v>1522</v>
      </c>
      <c r="D190" s="1457">
        <v>1365</v>
      </c>
      <c r="E190" s="1457">
        <v>60225</v>
      </c>
      <c r="F190" s="1457">
        <v>39525</v>
      </c>
      <c r="G190" s="1457">
        <v>58268</v>
      </c>
      <c r="H190" s="1457">
        <v>39151</v>
      </c>
      <c r="I190" s="1457">
        <v>40347</v>
      </c>
      <c r="J190" s="1457">
        <v>19878</v>
      </c>
      <c r="K190" s="1457">
        <v>1965</v>
      </c>
      <c r="L190" s="1457">
        <v>1056</v>
      </c>
      <c r="M190" s="1457">
        <v>909</v>
      </c>
    </row>
    <row r="191" spans="1:13" ht="13.5" customHeight="1">
      <c r="A191" s="37" t="s">
        <v>25</v>
      </c>
      <c r="B191" s="312">
        <v>2907</v>
      </c>
      <c r="C191" s="1457">
        <v>1527</v>
      </c>
      <c r="D191" s="1457">
        <v>1380</v>
      </c>
      <c r="E191" s="1457">
        <v>59625</v>
      </c>
      <c r="F191" s="1457">
        <v>40471</v>
      </c>
      <c r="G191" s="1457">
        <v>57987</v>
      </c>
      <c r="H191" s="1457">
        <v>38884</v>
      </c>
      <c r="I191" s="1457">
        <v>39761</v>
      </c>
      <c r="J191" s="1457">
        <v>19864</v>
      </c>
      <c r="K191" s="1457">
        <v>1782</v>
      </c>
      <c r="L191" s="1457">
        <v>876</v>
      </c>
      <c r="M191" s="1457">
        <v>906</v>
      </c>
    </row>
    <row r="192" spans="1:13" ht="13.5" customHeight="1">
      <c r="A192" s="37" t="s">
        <v>26</v>
      </c>
      <c r="B192" s="312">
        <v>2917</v>
      </c>
      <c r="C192" s="1457">
        <v>1535</v>
      </c>
      <c r="D192" s="1457">
        <v>1382</v>
      </c>
      <c r="E192" s="1457">
        <v>61339</v>
      </c>
      <c r="F192" s="1457">
        <v>42454</v>
      </c>
      <c r="G192" s="1457">
        <v>59828</v>
      </c>
      <c r="H192" s="1457">
        <v>39837</v>
      </c>
      <c r="I192" s="1457">
        <v>40661</v>
      </c>
      <c r="J192" s="1457">
        <v>20678</v>
      </c>
      <c r="K192" s="1457">
        <v>1672</v>
      </c>
      <c r="L192" s="1457">
        <v>875</v>
      </c>
      <c r="M192" s="1457">
        <v>797</v>
      </c>
    </row>
    <row r="193" spans="1:13" ht="13.5" customHeight="1">
      <c r="A193" s="37" t="s">
        <v>27</v>
      </c>
      <c r="B193" s="312">
        <v>2933</v>
      </c>
      <c r="C193" s="1457">
        <v>1546</v>
      </c>
      <c r="D193" s="1457">
        <v>1387</v>
      </c>
      <c r="E193" s="1457">
        <v>61301</v>
      </c>
      <c r="F193" s="1457">
        <v>43206</v>
      </c>
      <c r="G193" s="1457">
        <v>59789</v>
      </c>
      <c r="H193" s="1457">
        <v>39279</v>
      </c>
      <c r="I193" s="1457">
        <v>40157</v>
      </c>
      <c r="J193" s="1457">
        <v>21144</v>
      </c>
      <c r="K193" s="1457">
        <v>1672</v>
      </c>
      <c r="L193" s="1457">
        <v>873</v>
      </c>
      <c r="M193" s="1457">
        <v>799</v>
      </c>
    </row>
    <row r="194" spans="1:13" ht="13.5" customHeight="1">
      <c r="A194" s="37" t="s">
        <v>28</v>
      </c>
      <c r="B194" s="312">
        <v>2945</v>
      </c>
      <c r="C194" s="1457">
        <v>1552</v>
      </c>
      <c r="D194" s="1457">
        <v>1393</v>
      </c>
      <c r="E194" s="1457">
        <v>60977</v>
      </c>
      <c r="F194" s="1457">
        <v>43183</v>
      </c>
      <c r="G194" s="1457">
        <v>59433</v>
      </c>
      <c r="H194" s="1457">
        <v>39566</v>
      </c>
      <c r="I194" s="1457">
        <v>40508</v>
      </c>
      <c r="J194" s="1457">
        <v>20469</v>
      </c>
      <c r="K194" s="1457">
        <v>1773</v>
      </c>
      <c r="L194" s="1457">
        <v>917</v>
      </c>
      <c r="M194" s="1457">
        <v>856</v>
      </c>
    </row>
    <row r="195" spans="1:13" ht="13.5" customHeight="1">
      <c r="A195" s="37" t="s">
        <v>29</v>
      </c>
      <c r="B195" s="312">
        <v>2970</v>
      </c>
      <c r="C195" s="1457">
        <v>1585</v>
      </c>
      <c r="D195" s="1457">
        <v>1385</v>
      </c>
      <c r="E195" s="1457">
        <v>61179</v>
      </c>
      <c r="F195" s="1457">
        <v>43920</v>
      </c>
      <c r="G195" s="1457">
        <v>59645</v>
      </c>
      <c r="H195" s="1457">
        <v>39725</v>
      </c>
      <c r="I195" s="1457">
        <v>40672</v>
      </c>
      <c r="J195" s="1457">
        <v>20507</v>
      </c>
      <c r="K195" s="1459">
        <v>1845</v>
      </c>
      <c r="L195" s="1459">
        <v>960</v>
      </c>
      <c r="M195" s="1459">
        <v>885</v>
      </c>
    </row>
    <row r="196" spans="1:13" ht="13.5" customHeight="1">
      <c r="A196" s="37" t="s">
        <v>2812</v>
      </c>
      <c r="B196" s="311">
        <v>3068</v>
      </c>
      <c r="C196" s="355">
        <v>1591</v>
      </c>
      <c r="D196" s="355">
        <v>1477</v>
      </c>
      <c r="E196" s="355">
        <v>79820</v>
      </c>
      <c r="F196" s="355">
        <v>69599</v>
      </c>
      <c r="G196" s="355">
        <v>77551</v>
      </c>
      <c r="H196" s="355">
        <v>52602</v>
      </c>
      <c r="I196" s="355">
        <v>53820</v>
      </c>
      <c r="J196" s="355">
        <v>26000</v>
      </c>
      <c r="K196" s="355">
        <v>2029</v>
      </c>
      <c r="L196" s="355">
        <v>1106</v>
      </c>
      <c r="M196" s="355">
        <v>923</v>
      </c>
    </row>
    <row r="197" spans="1:13" ht="13.5" customHeight="1">
      <c r="A197" s="37" t="s">
        <v>18</v>
      </c>
      <c r="B197" s="312">
        <v>2983</v>
      </c>
      <c r="C197" s="1457">
        <v>1590</v>
      </c>
      <c r="D197" s="1457">
        <v>1393</v>
      </c>
      <c r="E197" s="1457">
        <v>61679</v>
      </c>
      <c r="F197" s="1457">
        <v>44544</v>
      </c>
      <c r="G197" s="1457">
        <v>60165</v>
      </c>
      <c r="H197" s="1457">
        <v>40029</v>
      </c>
      <c r="I197" s="1457">
        <v>40955</v>
      </c>
      <c r="J197" s="1457">
        <v>20724</v>
      </c>
      <c r="K197" s="1457">
        <v>1902</v>
      </c>
      <c r="L197" s="1457">
        <v>1029</v>
      </c>
      <c r="M197" s="1457">
        <v>873</v>
      </c>
    </row>
    <row r="198" spans="1:13" ht="13.5" customHeight="1">
      <c r="A198" s="37" t="s">
        <v>19</v>
      </c>
      <c r="B198" s="312">
        <v>2994</v>
      </c>
      <c r="C198" s="1457">
        <v>1601</v>
      </c>
      <c r="D198" s="1457">
        <v>1393</v>
      </c>
      <c r="E198" s="1457">
        <v>63328</v>
      </c>
      <c r="F198" s="1457">
        <v>46520</v>
      </c>
      <c r="G198" s="1457">
        <v>61801</v>
      </c>
      <c r="H198" s="1457">
        <v>41591</v>
      </c>
      <c r="I198" s="1457">
        <v>42512</v>
      </c>
      <c r="J198" s="1457">
        <v>20816</v>
      </c>
      <c r="K198" s="1457">
        <v>1934</v>
      </c>
      <c r="L198" s="1457">
        <v>1055</v>
      </c>
      <c r="M198" s="1457">
        <v>879</v>
      </c>
    </row>
    <row r="199" spans="1:13" ht="13.5" customHeight="1">
      <c r="A199" s="37" t="s">
        <v>20</v>
      </c>
      <c r="B199" s="312">
        <v>2997</v>
      </c>
      <c r="C199" s="1457">
        <v>1599</v>
      </c>
      <c r="D199" s="1457">
        <v>1398</v>
      </c>
      <c r="E199" s="1457">
        <v>66548</v>
      </c>
      <c r="F199" s="1457">
        <v>49473</v>
      </c>
      <c r="G199" s="1457">
        <v>65042</v>
      </c>
      <c r="H199" s="1457">
        <v>43451</v>
      </c>
      <c r="I199" s="1457">
        <v>44345</v>
      </c>
      <c r="J199" s="1457">
        <v>22203</v>
      </c>
      <c r="K199" s="1457">
        <v>1944</v>
      </c>
      <c r="L199" s="1457">
        <v>1064</v>
      </c>
      <c r="M199" s="1457">
        <v>880</v>
      </c>
    </row>
    <row r="200" spans="1:13" ht="13.5" customHeight="1">
      <c r="A200" s="37" t="s">
        <v>21</v>
      </c>
      <c r="B200" s="312">
        <v>2996</v>
      </c>
      <c r="C200" s="1457">
        <v>1583</v>
      </c>
      <c r="D200" s="1457">
        <v>1413</v>
      </c>
      <c r="E200" s="1457">
        <v>68244</v>
      </c>
      <c r="F200" s="1457">
        <v>50407</v>
      </c>
      <c r="G200" s="1457">
        <v>66764</v>
      </c>
      <c r="H200" s="1457">
        <v>44641</v>
      </c>
      <c r="I200" s="1457">
        <v>45522</v>
      </c>
      <c r="J200" s="1457">
        <v>22722</v>
      </c>
      <c r="K200" s="1457">
        <v>1986</v>
      </c>
      <c r="L200" s="1457">
        <v>1088</v>
      </c>
      <c r="M200" s="1457">
        <v>898</v>
      </c>
    </row>
    <row r="201" spans="1:13" ht="13.5" customHeight="1">
      <c r="A201" s="37" t="s">
        <v>22</v>
      </c>
      <c r="B201" s="312">
        <v>2996</v>
      </c>
      <c r="C201" s="1457">
        <v>1580</v>
      </c>
      <c r="D201" s="1457">
        <v>1416</v>
      </c>
      <c r="E201" s="1457">
        <v>69275</v>
      </c>
      <c r="F201" s="1457">
        <v>57046</v>
      </c>
      <c r="G201" s="1457">
        <v>67322</v>
      </c>
      <c r="H201" s="1457">
        <v>45271</v>
      </c>
      <c r="I201" s="1457">
        <v>46459</v>
      </c>
      <c r="J201" s="1457">
        <v>22816</v>
      </c>
      <c r="K201" s="1457">
        <v>1986</v>
      </c>
      <c r="L201" s="1457">
        <v>1088</v>
      </c>
      <c r="M201" s="1457">
        <v>898</v>
      </c>
    </row>
    <row r="202" spans="1:13" ht="13.5" customHeight="1">
      <c r="A202" s="37" t="s">
        <v>23</v>
      </c>
      <c r="B202" s="312">
        <v>2998</v>
      </c>
      <c r="C202" s="1457">
        <v>1580</v>
      </c>
      <c r="D202" s="1457">
        <v>1418</v>
      </c>
      <c r="E202" s="1457">
        <v>70814</v>
      </c>
      <c r="F202" s="1457">
        <v>58204</v>
      </c>
      <c r="G202" s="1457">
        <v>69005</v>
      </c>
      <c r="H202" s="1457">
        <v>46368</v>
      </c>
      <c r="I202" s="1457">
        <v>47421</v>
      </c>
      <c r="J202" s="1457">
        <v>23393</v>
      </c>
      <c r="K202" s="1457">
        <v>1987</v>
      </c>
      <c r="L202" s="1457">
        <v>1083</v>
      </c>
      <c r="M202" s="1457">
        <v>904</v>
      </c>
    </row>
    <row r="203" spans="1:13" ht="13.5" customHeight="1">
      <c r="A203" s="37" t="s">
        <v>24</v>
      </c>
      <c r="B203" s="312">
        <v>3009</v>
      </c>
      <c r="C203" s="1457">
        <v>1579</v>
      </c>
      <c r="D203" s="1457">
        <v>1430</v>
      </c>
      <c r="E203" s="1457">
        <v>70963</v>
      </c>
      <c r="F203" s="1457">
        <v>58692</v>
      </c>
      <c r="G203" s="1457">
        <v>69148</v>
      </c>
      <c r="H203" s="1457">
        <v>46435</v>
      </c>
      <c r="I203" s="1457">
        <v>47489</v>
      </c>
      <c r="J203" s="1457">
        <v>23474</v>
      </c>
      <c r="K203" s="1457">
        <v>2001</v>
      </c>
      <c r="L203" s="1457">
        <v>1086</v>
      </c>
      <c r="M203" s="1457">
        <v>915</v>
      </c>
    </row>
    <row r="204" spans="1:13" ht="13.5" customHeight="1">
      <c r="A204" s="37" t="s">
        <v>25</v>
      </c>
      <c r="B204" s="312">
        <v>3025</v>
      </c>
      <c r="C204" s="1457">
        <v>1582</v>
      </c>
      <c r="D204" s="1457">
        <v>1443</v>
      </c>
      <c r="E204" s="1457">
        <v>72442</v>
      </c>
      <c r="F204" s="1457">
        <v>60432</v>
      </c>
      <c r="G204" s="1457">
        <v>70515</v>
      </c>
      <c r="H204" s="1457">
        <v>47297</v>
      </c>
      <c r="I204" s="1457">
        <v>48398</v>
      </c>
      <c r="J204" s="1457">
        <v>24044</v>
      </c>
      <c r="K204" s="1457">
        <v>1983</v>
      </c>
      <c r="L204" s="1457">
        <v>1072</v>
      </c>
      <c r="M204" s="1457">
        <v>911</v>
      </c>
    </row>
    <row r="205" spans="1:13" ht="13.5" customHeight="1">
      <c r="A205" s="37" t="s">
        <v>26</v>
      </c>
      <c r="B205" s="312">
        <v>3029</v>
      </c>
      <c r="C205" s="1457">
        <v>1586</v>
      </c>
      <c r="D205" s="1457">
        <v>1443</v>
      </c>
      <c r="E205" s="1457">
        <v>74456</v>
      </c>
      <c r="F205" s="1457">
        <v>62984</v>
      </c>
      <c r="G205" s="1457">
        <v>72470</v>
      </c>
      <c r="H205" s="1457">
        <v>48603</v>
      </c>
      <c r="I205" s="1457">
        <v>49735</v>
      </c>
      <c r="J205" s="1457">
        <v>24721</v>
      </c>
      <c r="K205" s="1457">
        <v>1981</v>
      </c>
      <c r="L205" s="1457">
        <v>1072</v>
      </c>
      <c r="M205" s="1457">
        <v>909</v>
      </c>
    </row>
    <row r="206" spans="1:13" ht="13.5" customHeight="1">
      <c r="A206" s="37" t="s">
        <v>27</v>
      </c>
      <c r="B206" s="312">
        <v>3033</v>
      </c>
      <c r="C206" s="1457">
        <v>1580</v>
      </c>
      <c r="D206" s="1457">
        <v>1453</v>
      </c>
      <c r="E206" s="1457">
        <v>75579</v>
      </c>
      <c r="F206" s="1457">
        <v>64728</v>
      </c>
      <c r="G206" s="1457">
        <v>73537</v>
      </c>
      <c r="H206" s="1457">
        <v>49538</v>
      </c>
      <c r="I206" s="1457">
        <v>50679</v>
      </c>
      <c r="J206" s="1457">
        <v>24900</v>
      </c>
      <c r="K206" s="1457">
        <v>1982</v>
      </c>
      <c r="L206" s="1457">
        <v>1077</v>
      </c>
      <c r="M206" s="1457">
        <v>905</v>
      </c>
    </row>
    <row r="207" spans="1:13" ht="13.5" customHeight="1">
      <c r="A207" s="37" t="s">
        <v>28</v>
      </c>
      <c r="B207" s="312">
        <v>3045</v>
      </c>
      <c r="C207" s="1457">
        <v>1586</v>
      </c>
      <c r="D207" s="1457">
        <v>1459</v>
      </c>
      <c r="E207" s="1457">
        <v>77634</v>
      </c>
      <c r="F207" s="1457">
        <v>67040</v>
      </c>
      <c r="G207" s="1457">
        <v>75586</v>
      </c>
      <c r="H207" s="1457">
        <v>50738</v>
      </c>
      <c r="I207" s="1457">
        <v>51885</v>
      </c>
      <c r="J207" s="1457">
        <v>25749</v>
      </c>
      <c r="K207" s="1457">
        <v>2022</v>
      </c>
      <c r="L207" s="1457">
        <v>1119</v>
      </c>
      <c r="M207" s="1457">
        <v>903</v>
      </c>
    </row>
    <row r="208" spans="1:13" ht="13.5" customHeight="1">
      <c r="A208" s="37" t="s">
        <v>29</v>
      </c>
      <c r="B208" s="312">
        <v>3068</v>
      </c>
      <c r="C208" s="1457">
        <v>1591</v>
      </c>
      <c r="D208" s="1457">
        <v>1477</v>
      </c>
      <c r="E208" s="1457">
        <v>79820</v>
      </c>
      <c r="F208" s="1457">
        <v>69599</v>
      </c>
      <c r="G208" s="1457">
        <v>77551</v>
      </c>
      <c r="H208" s="1457">
        <v>52602</v>
      </c>
      <c r="I208" s="1457">
        <v>53820</v>
      </c>
      <c r="J208" s="1457">
        <v>26000</v>
      </c>
      <c r="K208" s="1457">
        <v>2029</v>
      </c>
      <c r="L208" s="1457">
        <v>1106</v>
      </c>
      <c r="M208" s="1457">
        <v>923</v>
      </c>
    </row>
    <row r="209" spans="1:13" ht="13.5" customHeight="1">
      <c r="A209" s="37" t="s">
        <v>3500</v>
      </c>
      <c r="B209" s="311" t="s">
        <v>3953</v>
      </c>
      <c r="C209" s="355">
        <v>1621</v>
      </c>
      <c r="D209" s="355">
        <v>1491</v>
      </c>
      <c r="E209" s="355">
        <v>86383</v>
      </c>
      <c r="F209" s="355">
        <v>82992</v>
      </c>
      <c r="G209" s="355">
        <v>83584</v>
      </c>
      <c r="H209" s="355">
        <v>55739</v>
      </c>
      <c r="I209" s="355">
        <v>57054</v>
      </c>
      <c r="J209" s="355">
        <v>29329</v>
      </c>
      <c r="K209" s="1460">
        <v>2106</v>
      </c>
      <c r="L209" s="1460">
        <v>1030</v>
      </c>
      <c r="M209" s="1460">
        <v>1076</v>
      </c>
    </row>
    <row r="210" spans="1:13" ht="13.5" customHeight="1">
      <c r="A210" s="37" t="s">
        <v>18</v>
      </c>
      <c r="B210" s="312" t="s">
        <v>3517</v>
      </c>
      <c r="C210" s="1457">
        <v>1618</v>
      </c>
      <c r="D210" s="1457">
        <v>1459</v>
      </c>
      <c r="E210" s="1457">
        <v>79880</v>
      </c>
      <c r="F210" s="1457">
        <v>70608</v>
      </c>
      <c r="G210" s="1457">
        <v>77605</v>
      </c>
      <c r="H210" s="1457">
        <v>52577</v>
      </c>
      <c r="I210" s="1457">
        <v>53799</v>
      </c>
      <c r="J210" s="1457">
        <v>26081</v>
      </c>
      <c r="K210" s="1457">
        <v>2095</v>
      </c>
      <c r="L210" s="1458">
        <v>1101</v>
      </c>
      <c r="M210" s="1458">
        <v>994</v>
      </c>
    </row>
    <row r="211" spans="1:13" ht="13.5" customHeight="1">
      <c r="A211" s="37" t="s">
        <v>19</v>
      </c>
      <c r="B211" s="312">
        <v>3074</v>
      </c>
      <c r="C211" s="1457">
        <v>1607</v>
      </c>
      <c r="D211" s="1457">
        <v>1467</v>
      </c>
      <c r="E211" s="1457">
        <v>79130</v>
      </c>
      <c r="F211" s="1457">
        <v>70754</v>
      </c>
      <c r="G211" s="1457">
        <v>76797</v>
      </c>
      <c r="H211" s="1457">
        <v>52254</v>
      </c>
      <c r="I211" s="1457">
        <v>53489</v>
      </c>
      <c r="J211" s="1457">
        <v>25641</v>
      </c>
      <c r="K211" s="1457">
        <v>2137</v>
      </c>
      <c r="L211" s="1458">
        <v>1091</v>
      </c>
      <c r="M211" s="1458">
        <v>1046</v>
      </c>
    </row>
    <row r="212" spans="1:13" ht="13.5" customHeight="1">
      <c r="A212" s="37" t="s">
        <v>20</v>
      </c>
      <c r="B212" s="312">
        <v>3068</v>
      </c>
      <c r="C212" s="1457">
        <v>1591</v>
      </c>
      <c r="D212" s="1457">
        <v>1477</v>
      </c>
      <c r="E212" s="1457">
        <v>80729</v>
      </c>
      <c r="F212" s="1457">
        <v>71461</v>
      </c>
      <c r="G212" s="1457">
        <v>78385</v>
      </c>
      <c r="H212" s="1457">
        <v>53311</v>
      </c>
      <c r="I212" s="1457">
        <v>54553</v>
      </c>
      <c r="J212" s="1457">
        <v>26176</v>
      </c>
      <c r="K212" s="1457">
        <v>2133</v>
      </c>
      <c r="L212" s="1458">
        <v>1087</v>
      </c>
      <c r="M212" s="1458">
        <v>1046</v>
      </c>
    </row>
    <row r="213" spans="1:13" ht="13.5" customHeight="1">
      <c r="A213" s="37" t="s">
        <v>21</v>
      </c>
      <c r="B213" s="312">
        <v>3075</v>
      </c>
      <c r="C213" s="1457">
        <v>1599</v>
      </c>
      <c r="D213" s="1457">
        <v>1476</v>
      </c>
      <c r="E213" s="1457">
        <v>79118</v>
      </c>
      <c r="F213" s="1457">
        <v>71602</v>
      </c>
      <c r="G213" s="1457">
        <v>76776</v>
      </c>
      <c r="H213" s="1457">
        <v>53407</v>
      </c>
      <c r="I213" s="1457">
        <v>54647</v>
      </c>
      <c r="J213" s="1457">
        <v>24471</v>
      </c>
      <c r="K213" s="1458">
        <v>2131</v>
      </c>
      <c r="L213" s="1458">
        <v>1086</v>
      </c>
      <c r="M213" s="1458">
        <v>1045</v>
      </c>
    </row>
    <row r="214" spans="1:13" ht="13.5" customHeight="1">
      <c r="A214" s="37" t="s">
        <v>22</v>
      </c>
      <c r="B214" s="312">
        <v>3075</v>
      </c>
      <c r="C214" s="1457">
        <v>1602</v>
      </c>
      <c r="D214" s="1457">
        <v>1473</v>
      </c>
      <c r="E214" s="1457">
        <v>80462</v>
      </c>
      <c r="F214" s="1457">
        <v>73151</v>
      </c>
      <c r="G214" s="1457">
        <v>78102</v>
      </c>
      <c r="H214" s="1457">
        <v>54151</v>
      </c>
      <c r="I214" s="1457">
        <v>55404</v>
      </c>
      <c r="J214" s="1457">
        <v>25058</v>
      </c>
      <c r="K214" s="1458">
        <v>2148</v>
      </c>
      <c r="L214" s="1458">
        <v>1098</v>
      </c>
      <c r="M214" s="1458">
        <v>1050</v>
      </c>
    </row>
    <row r="215" spans="1:13" ht="13.5" customHeight="1">
      <c r="A215" s="37" t="s">
        <v>23</v>
      </c>
      <c r="B215" s="312">
        <v>3081</v>
      </c>
      <c r="C215" s="1457">
        <v>1604</v>
      </c>
      <c r="D215" s="1457">
        <v>1477</v>
      </c>
      <c r="E215" s="1457">
        <v>81775</v>
      </c>
      <c r="F215" s="1457">
        <v>74508</v>
      </c>
      <c r="G215" s="1457">
        <v>79300</v>
      </c>
      <c r="H215" s="1457">
        <v>54763</v>
      </c>
      <c r="I215" s="1457">
        <v>56014</v>
      </c>
      <c r="J215" s="1457">
        <v>25761</v>
      </c>
      <c r="K215" s="1458">
        <v>2159</v>
      </c>
      <c r="L215" s="1458">
        <v>1100</v>
      </c>
      <c r="M215" s="1458">
        <v>1059</v>
      </c>
    </row>
    <row r="216" spans="1:13" ht="13.5" customHeight="1">
      <c r="A216" s="37" t="s">
        <v>24</v>
      </c>
      <c r="B216" s="312">
        <v>3087</v>
      </c>
      <c r="C216" s="1457">
        <v>1603</v>
      </c>
      <c r="D216" s="1457">
        <v>1484</v>
      </c>
      <c r="E216" s="1457">
        <v>83080</v>
      </c>
      <c r="F216" s="1457">
        <v>75916</v>
      </c>
      <c r="G216" s="1457">
        <v>80594</v>
      </c>
      <c r="H216" s="1457">
        <v>55379</v>
      </c>
      <c r="I216" s="1457">
        <v>56635</v>
      </c>
      <c r="J216" s="1457">
        <v>26445</v>
      </c>
      <c r="K216" s="1458">
        <v>2156</v>
      </c>
      <c r="L216" s="1458">
        <v>1099</v>
      </c>
      <c r="M216" s="1458">
        <v>1057</v>
      </c>
    </row>
    <row r="217" spans="1:13" ht="13.5" customHeight="1">
      <c r="A217" s="37" t="s">
        <v>25</v>
      </c>
      <c r="B217" s="312">
        <v>3104</v>
      </c>
      <c r="C217" s="1457">
        <v>1612</v>
      </c>
      <c r="D217" s="1457">
        <v>1492</v>
      </c>
      <c r="E217" s="1457">
        <v>81219</v>
      </c>
      <c r="F217" s="1457">
        <v>77087</v>
      </c>
      <c r="G217" s="1457">
        <v>78473</v>
      </c>
      <c r="H217" s="1457">
        <v>53992</v>
      </c>
      <c r="I217" s="1457">
        <v>55263</v>
      </c>
      <c r="J217" s="1457">
        <v>25956</v>
      </c>
      <c r="K217" s="1458">
        <v>2161</v>
      </c>
      <c r="L217" s="1458">
        <v>1101</v>
      </c>
      <c r="M217" s="1458">
        <v>1060</v>
      </c>
    </row>
    <row r="218" spans="1:13" ht="13.5" customHeight="1">
      <c r="A218" s="37" t="s">
        <v>26</v>
      </c>
      <c r="B218" s="312">
        <v>3119</v>
      </c>
      <c r="C218" s="1457">
        <v>1621</v>
      </c>
      <c r="D218" s="1457">
        <v>1498</v>
      </c>
      <c r="E218" s="1457">
        <v>81799</v>
      </c>
      <c r="F218" s="1457">
        <v>77722</v>
      </c>
      <c r="G218" s="1457">
        <v>79009</v>
      </c>
      <c r="H218" s="1457">
        <v>54052</v>
      </c>
      <c r="I218" s="1457">
        <v>55362</v>
      </c>
      <c r="J218" s="1457">
        <v>26437</v>
      </c>
      <c r="K218" s="1458">
        <v>2112</v>
      </c>
      <c r="L218" s="1458">
        <v>1055</v>
      </c>
      <c r="M218" s="1458">
        <v>1057</v>
      </c>
    </row>
    <row r="219" spans="1:13" ht="13.5" customHeight="1">
      <c r="A219" s="37">
        <v>10</v>
      </c>
      <c r="B219" s="312">
        <v>3090</v>
      </c>
      <c r="C219" s="1457">
        <v>1604</v>
      </c>
      <c r="D219" s="1457">
        <v>1486</v>
      </c>
      <c r="E219" s="1457">
        <v>82615</v>
      </c>
      <c r="F219" s="1457">
        <v>78803</v>
      </c>
      <c r="G219" s="1457">
        <v>79852</v>
      </c>
      <c r="H219" s="1457">
        <v>54347</v>
      </c>
      <c r="I219" s="1457">
        <v>55632</v>
      </c>
      <c r="J219" s="1457">
        <v>26983</v>
      </c>
      <c r="K219" s="1458">
        <v>2117</v>
      </c>
      <c r="L219" s="1458">
        <v>1056</v>
      </c>
      <c r="M219" s="1458">
        <v>1061</v>
      </c>
    </row>
    <row r="220" spans="1:13" ht="13.5" customHeight="1">
      <c r="A220" s="37" t="s">
        <v>28</v>
      </c>
      <c r="B220" s="312">
        <v>3114</v>
      </c>
      <c r="C220" s="1457">
        <v>1621</v>
      </c>
      <c r="D220" s="1457">
        <v>1493</v>
      </c>
      <c r="E220" s="1457">
        <v>83428</v>
      </c>
      <c r="F220" s="1457">
        <v>79870</v>
      </c>
      <c r="G220" s="1457">
        <v>80667</v>
      </c>
      <c r="H220" s="1457">
        <v>54507</v>
      </c>
      <c r="I220" s="1457">
        <v>55802</v>
      </c>
      <c r="J220" s="1457">
        <v>27626</v>
      </c>
      <c r="K220" s="1458">
        <v>2102</v>
      </c>
      <c r="L220" s="1458">
        <v>1027</v>
      </c>
      <c r="M220" s="1458">
        <v>1075</v>
      </c>
    </row>
    <row r="221" spans="1:13" ht="13.5" customHeight="1">
      <c r="A221" s="37" t="s">
        <v>29</v>
      </c>
      <c r="B221" s="312">
        <v>3112</v>
      </c>
      <c r="C221" s="1457">
        <v>1621</v>
      </c>
      <c r="D221" s="1457">
        <v>1491</v>
      </c>
      <c r="E221" s="1457">
        <v>86383</v>
      </c>
      <c r="F221" s="1457">
        <v>82992</v>
      </c>
      <c r="G221" s="1457">
        <v>83584</v>
      </c>
      <c r="H221" s="1457">
        <v>55739</v>
      </c>
      <c r="I221" s="1457">
        <v>57054</v>
      </c>
      <c r="J221" s="1457">
        <v>29329</v>
      </c>
      <c r="K221" s="1458">
        <v>2106</v>
      </c>
      <c r="L221" s="1458">
        <v>1030</v>
      </c>
      <c r="M221" s="1458">
        <v>1076</v>
      </c>
    </row>
    <row r="222" spans="1:13" ht="13.5" customHeight="1">
      <c r="A222" s="37" t="s">
        <v>3971</v>
      </c>
      <c r="B222" s="311">
        <v>3304</v>
      </c>
      <c r="C222" s="355">
        <v>1772</v>
      </c>
      <c r="D222" s="355">
        <v>1532</v>
      </c>
      <c r="E222" s="355">
        <v>119540</v>
      </c>
      <c r="F222" s="355">
        <v>117314</v>
      </c>
      <c r="G222" s="355">
        <v>116766</v>
      </c>
      <c r="H222" s="355">
        <v>71773</v>
      </c>
      <c r="I222" s="355">
        <v>73042</v>
      </c>
      <c r="J222" s="355">
        <v>46498</v>
      </c>
      <c r="K222" s="1460">
        <v>2077</v>
      </c>
      <c r="L222" s="1460">
        <v>1044</v>
      </c>
      <c r="M222" s="1460">
        <v>1033</v>
      </c>
    </row>
    <row r="223" spans="1:13" ht="13.5" customHeight="1">
      <c r="A223" s="37" t="s">
        <v>18</v>
      </c>
      <c r="B223" s="312">
        <v>3116</v>
      </c>
      <c r="C223" s="1457">
        <v>1610</v>
      </c>
      <c r="D223" s="1457">
        <v>1506</v>
      </c>
      <c r="E223" s="1457">
        <v>88751</v>
      </c>
      <c r="F223" s="1457">
        <v>85781</v>
      </c>
      <c r="G223" s="1457">
        <v>85936</v>
      </c>
      <c r="H223" s="1457">
        <v>56925</v>
      </c>
      <c r="I223" s="1457">
        <v>58250</v>
      </c>
      <c r="J223" s="1457">
        <v>30501</v>
      </c>
      <c r="K223" s="1458">
        <v>2099</v>
      </c>
      <c r="L223" s="1458">
        <v>1021</v>
      </c>
      <c r="M223" s="1458">
        <v>1078</v>
      </c>
    </row>
    <row r="224" spans="1:13" ht="13.5" customHeight="1">
      <c r="A224" s="37" t="s">
        <v>19</v>
      </c>
      <c r="B224" s="1459">
        <v>3136</v>
      </c>
      <c r="C224" s="1457">
        <v>1626</v>
      </c>
      <c r="D224" s="1457">
        <v>1510</v>
      </c>
      <c r="E224" s="1457">
        <v>90505</v>
      </c>
      <c r="F224" s="1457">
        <v>87579</v>
      </c>
      <c r="G224" s="1457">
        <v>87719</v>
      </c>
      <c r="H224" s="1457">
        <v>57718</v>
      </c>
      <c r="I224" s="1457">
        <v>58997</v>
      </c>
      <c r="J224" s="1457">
        <v>31508</v>
      </c>
      <c r="K224" s="1458">
        <v>2122</v>
      </c>
      <c r="L224" s="1458">
        <v>1034</v>
      </c>
      <c r="M224" s="1458">
        <v>1088</v>
      </c>
    </row>
    <row r="225" spans="1:13" ht="13.5" customHeight="1">
      <c r="A225" s="37" t="s">
        <v>20</v>
      </c>
      <c r="B225" s="1459">
        <v>3152</v>
      </c>
      <c r="C225" s="1457">
        <v>1639</v>
      </c>
      <c r="D225" s="1457">
        <v>1513</v>
      </c>
      <c r="E225" s="1457">
        <v>91755</v>
      </c>
      <c r="F225" s="1457">
        <v>89141</v>
      </c>
      <c r="G225" s="1457">
        <v>88962</v>
      </c>
      <c r="H225" s="1457">
        <v>58375</v>
      </c>
      <c r="I225" s="1457">
        <v>59638</v>
      </c>
      <c r="J225" s="1457">
        <v>32117</v>
      </c>
      <c r="K225" s="1458">
        <v>2123</v>
      </c>
      <c r="L225" s="1458">
        <v>1033</v>
      </c>
      <c r="M225" s="1458">
        <v>1090</v>
      </c>
    </row>
    <row r="226" spans="1:13" ht="13.5" customHeight="1">
      <c r="A226" s="37" t="s">
        <v>21</v>
      </c>
      <c r="B226" s="1459">
        <v>3174</v>
      </c>
      <c r="C226" s="1457">
        <v>1656</v>
      </c>
      <c r="D226" s="1457">
        <v>1518</v>
      </c>
      <c r="E226" s="1457">
        <v>92874</v>
      </c>
      <c r="F226" s="1457">
        <v>90450</v>
      </c>
      <c r="G226" s="1457">
        <v>90257</v>
      </c>
      <c r="H226" s="1457">
        <v>58965</v>
      </c>
      <c r="I226" s="1457">
        <v>60151</v>
      </c>
      <c r="J226" s="1457">
        <v>32723</v>
      </c>
      <c r="K226" s="1458">
        <v>2149</v>
      </c>
      <c r="L226" s="1458">
        <v>1050</v>
      </c>
      <c r="M226" s="1458">
        <v>1099</v>
      </c>
    </row>
    <row r="227" spans="1:13" ht="13.5" customHeight="1">
      <c r="A227" s="37" t="s">
        <v>22</v>
      </c>
      <c r="B227" s="1459">
        <v>3134</v>
      </c>
      <c r="C227" s="1457">
        <v>1648</v>
      </c>
      <c r="D227" s="1457">
        <v>1486</v>
      </c>
      <c r="E227" s="1457">
        <v>94719</v>
      </c>
      <c r="F227" s="1457">
        <v>92362</v>
      </c>
      <c r="G227" s="1457">
        <v>92126</v>
      </c>
      <c r="H227" s="1457">
        <v>59972</v>
      </c>
      <c r="I227" s="1457">
        <v>61136</v>
      </c>
      <c r="J227" s="1457">
        <v>33583</v>
      </c>
      <c r="K227" s="1458">
        <v>2165</v>
      </c>
      <c r="L227" s="1458">
        <v>1064</v>
      </c>
      <c r="M227" s="1458">
        <v>1101</v>
      </c>
    </row>
    <row r="228" spans="1:13" ht="13.5" customHeight="1">
      <c r="A228" s="37" t="s">
        <v>23</v>
      </c>
      <c r="B228" s="1459">
        <v>3159</v>
      </c>
      <c r="C228" s="1457">
        <v>1670</v>
      </c>
      <c r="D228" s="1457">
        <v>1489</v>
      </c>
      <c r="E228" s="1457">
        <v>97718</v>
      </c>
      <c r="F228" s="1457">
        <v>95365</v>
      </c>
      <c r="G228" s="1457">
        <v>94932</v>
      </c>
      <c r="H228" s="1457">
        <v>61335</v>
      </c>
      <c r="I228" s="1457">
        <v>62598</v>
      </c>
      <c r="J228" s="1457">
        <v>35120</v>
      </c>
      <c r="K228" s="1458">
        <v>2054</v>
      </c>
      <c r="L228" s="1458">
        <v>1061</v>
      </c>
      <c r="M228" s="1458">
        <v>993</v>
      </c>
    </row>
    <row r="229" spans="1:13" ht="13.5" customHeight="1">
      <c r="A229" s="37" t="s">
        <v>24</v>
      </c>
      <c r="B229" s="1459">
        <v>3179</v>
      </c>
      <c r="C229" s="1457">
        <v>1685</v>
      </c>
      <c r="D229" s="1457">
        <v>1494</v>
      </c>
      <c r="E229" s="1457">
        <v>99179</v>
      </c>
      <c r="F229" s="1457">
        <v>96866</v>
      </c>
      <c r="G229" s="1457">
        <v>96410</v>
      </c>
      <c r="H229" s="1457">
        <v>61942</v>
      </c>
      <c r="I229" s="1457">
        <v>63190</v>
      </c>
      <c r="J229" s="1457">
        <v>35989</v>
      </c>
      <c r="K229" s="1458">
        <v>2060</v>
      </c>
      <c r="L229" s="1458">
        <v>1056</v>
      </c>
      <c r="M229" s="1458">
        <v>1004</v>
      </c>
    </row>
    <row r="230" spans="1:13" ht="13.5" customHeight="1">
      <c r="A230" s="37" t="s">
        <v>25</v>
      </c>
      <c r="B230" s="1459">
        <v>3198</v>
      </c>
      <c r="C230" s="1457">
        <v>1696</v>
      </c>
      <c r="D230" s="1457">
        <v>1502</v>
      </c>
      <c r="E230" s="1457">
        <v>101066</v>
      </c>
      <c r="F230" s="1457">
        <v>97980</v>
      </c>
      <c r="G230" s="1457">
        <v>98231</v>
      </c>
      <c r="H230" s="1457">
        <v>62814</v>
      </c>
      <c r="I230" s="1457">
        <v>64120</v>
      </c>
      <c r="J230" s="1457">
        <v>36946</v>
      </c>
      <c r="K230" s="1458">
        <v>2046</v>
      </c>
      <c r="L230" s="1458">
        <v>1035</v>
      </c>
      <c r="M230" s="1458">
        <v>1011</v>
      </c>
    </row>
    <row r="231" spans="1:13" ht="13.5" customHeight="1">
      <c r="A231" s="37" t="s">
        <v>26</v>
      </c>
      <c r="B231" s="1459">
        <v>3213</v>
      </c>
      <c r="C231" s="1457">
        <v>1710</v>
      </c>
      <c r="D231" s="1457">
        <v>1503</v>
      </c>
      <c r="E231" s="1457">
        <v>103448</v>
      </c>
      <c r="F231" s="1457">
        <v>101247</v>
      </c>
      <c r="G231" s="1457">
        <v>100579</v>
      </c>
      <c r="H231" s="1457">
        <v>62855</v>
      </c>
      <c r="I231" s="1457">
        <v>64174</v>
      </c>
      <c r="J231" s="1457">
        <v>39274</v>
      </c>
      <c r="K231" s="1458">
        <v>2051</v>
      </c>
      <c r="L231" s="1458">
        <v>1032</v>
      </c>
      <c r="M231" s="1458">
        <v>1019</v>
      </c>
    </row>
    <row r="232" spans="1:13" ht="13.5" customHeight="1">
      <c r="A232" s="37" t="s">
        <v>27</v>
      </c>
      <c r="B232" s="1459">
        <v>3253</v>
      </c>
      <c r="C232" s="1457">
        <v>1741</v>
      </c>
      <c r="D232" s="1457">
        <v>1512</v>
      </c>
      <c r="E232" s="1457">
        <v>107827</v>
      </c>
      <c r="F232" s="1457">
        <v>105548</v>
      </c>
      <c r="G232" s="1457">
        <v>104949</v>
      </c>
      <c r="H232" s="1457">
        <v>65277</v>
      </c>
      <c r="I232" s="1457">
        <v>66609</v>
      </c>
      <c r="J232" s="1457">
        <v>41218</v>
      </c>
      <c r="K232" s="1458">
        <v>2014</v>
      </c>
      <c r="L232" s="1458">
        <v>1030</v>
      </c>
      <c r="M232" s="1458">
        <v>984</v>
      </c>
    </row>
    <row r="233" spans="1:13" ht="13.5" customHeight="1">
      <c r="A233" s="37" t="s">
        <v>28</v>
      </c>
      <c r="B233" s="1459">
        <v>3270</v>
      </c>
      <c r="C233" s="1457">
        <v>1751</v>
      </c>
      <c r="D233" s="1457">
        <v>1519</v>
      </c>
      <c r="E233" s="1457">
        <v>114076</v>
      </c>
      <c r="F233" s="1457">
        <v>111821</v>
      </c>
      <c r="G233" s="1457">
        <v>111219</v>
      </c>
      <c r="H233" s="1457">
        <v>68824</v>
      </c>
      <c r="I233" s="1457">
        <v>70147</v>
      </c>
      <c r="J233" s="1457">
        <v>43929</v>
      </c>
      <c r="K233" s="1458">
        <v>2066</v>
      </c>
      <c r="L233" s="1458">
        <v>1041</v>
      </c>
      <c r="M233" s="1458">
        <v>1025</v>
      </c>
    </row>
    <row r="234" spans="1:13" ht="13.5" customHeight="1">
      <c r="A234" s="37" t="s">
        <v>29</v>
      </c>
      <c r="B234" s="1459">
        <v>3304</v>
      </c>
      <c r="C234" s="1457">
        <v>1772</v>
      </c>
      <c r="D234" s="1457">
        <v>1532</v>
      </c>
      <c r="E234" s="1457">
        <v>119540</v>
      </c>
      <c r="F234" s="1457">
        <v>117314</v>
      </c>
      <c r="G234" s="1457">
        <v>116766</v>
      </c>
      <c r="H234" s="1457">
        <v>71773</v>
      </c>
      <c r="I234" s="1457">
        <v>73042</v>
      </c>
      <c r="J234" s="1457">
        <v>46498</v>
      </c>
      <c r="K234" s="1458">
        <v>2077</v>
      </c>
      <c r="L234" s="1458">
        <v>1044</v>
      </c>
      <c r="M234" s="1458">
        <v>1033</v>
      </c>
    </row>
    <row r="235" spans="1:13" ht="13.5" customHeight="1">
      <c r="A235" s="37" t="s">
        <v>4202</v>
      </c>
      <c r="B235" s="355" t="s">
        <v>4463</v>
      </c>
      <c r="C235" s="355">
        <v>1930</v>
      </c>
      <c r="D235" s="355">
        <v>1642</v>
      </c>
      <c r="E235" s="355">
        <v>184220</v>
      </c>
      <c r="F235" s="355">
        <v>182378</v>
      </c>
      <c r="G235" s="355">
        <v>181262</v>
      </c>
      <c r="H235" s="355">
        <v>113339</v>
      </c>
      <c r="I235" s="355">
        <v>114689</v>
      </c>
      <c r="J235" s="355">
        <v>69531</v>
      </c>
      <c r="K235" s="1460">
        <v>2116</v>
      </c>
      <c r="L235" s="1460">
        <v>1037</v>
      </c>
      <c r="M235" s="1460">
        <v>1079</v>
      </c>
    </row>
    <row r="236" spans="1:13" ht="13.5" customHeight="1">
      <c r="A236" s="37" t="s">
        <v>18</v>
      </c>
      <c r="B236" s="1459">
        <v>3328</v>
      </c>
      <c r="C236" s="1457">
        <v>1785</v>
      </c>
      <c r="D236" s="1457">
        <v>1543</v>
      </c>
      <c r="E236" s="1457">
        <v>121873</v>
      </c>
      <c r="F236" s="1457">
        <v>119681</v>
      </c>
      <c r="G236" s="1457">
        <v>119075</v>
      </c>
      <c r="H236" s="1457">
        <v>72866</v>
      </c>
      <c r="I236" s="1457">
        <v>74133</v>
      </c>
      <c r="J236" s="1457">
        <v>47740</v>
      </c>
      <c r="K236" s="1458">
        <v>2074</v>
      </c>
      <c r="L236" s="1458">
        <v>1036</v>
      </c>
      <c r="M236" s="1458">
        <v>1038</v>
      </c>
    </row>
    <row r="237" spans="1:13" ht="13.5" customHeight="1">
      <c r="A237" s="37" t="s">
        <v>19</v>
      </c>
      <c r="B237" s="1459">
        <v>3358</v>
      </c>
      <c r="C237" s="1457">
        <v>1798</v>
      </c>
      <c r="D237" s="1457">
        <v>1560</v>
      </c>
      <c r="E237" s="1457">
        <v>124339</v>
      </c>
      <c r="F237" s="1457">
        <v>122152</v>
      </c>
      <c r="G237" s="1457">
        <v>121534</v>
      </c>
      <c r="H237" s="1457">
        <v>74131</v>
      </c>
      <c r="I237" s="1457">
        <v>75399</v>
      </c>
      <c r="J237" s="1457">
        <v>48940</v>
      </c>
      <c r="K237" s="1458">
        <v>2074</v>
      </c>
      <c r="L237" s="1458">
        <v>1040</v>
      </c>
      <c r="M237" s="1458">
        <v>1034</v>
      </c>
    </row>
    <row r="238" spans="1:13" ht="13.5" customHeight="1">
      <c r="A238" s="37" t="s">
        <v>20</v>
      </c>
      <c r="B238" s="1459">
        <v>3374</v>
      </c>
      <c r="C238" s="1457">
        <v>1806</v>
      </c>
      <c r="D238" s="1457">
        <v>1568</v>
      </c>
      <c r="E238" s="1457">
        <v>126665</v>
      </c>
      <c r="F238" s="1457">
        <v>124426</v>
      </c>
      <c r="G238" s="1457">
        <v>123803</v>
      </c>
      <c r="H238" s="1457">
        <v>75321</v>
      </c>
      <c r="I238" s="1457">
        <v>76642</v>
      </c>
      <c r="J238" s="1457">
        <v>50023</v>
      </c>
      <c r="K238" s="1458">
        <v>2067</v>
      </c>
      <c r="L238" s="1458">
        <v>1035</v>
      </c>
      <c r="M238" s="1458">
        <v>1032</v>
      </c>
    </row>
    <row r="239" spans="1:13" ht="13.5" customHeight="1">
      <c r="A239" s="37" t="s">
        <v>21</v>
      </c>
      <c r="B239" s="1459">
        <v>3395</v>
      </c>
      <c r="C239" s="1457">
        <v>1816</v>
      </c>
      <c r="D239" s="1457">
        <v>1579</v>
      </c>
      <c r="E239" s="1457">
        <v>129544</v>
      </c>
      <c r="F239" s="1457">
        <v>127626</v>
      </c>
      <c r="G239" s="1457">
        <v>126685</v>
      </c>
      <c r="H239" s="1457">
        <v>76872</v>
      </c>
      <c r="I239" s="1457">
        <v>78188</v>
      </c>
      <c r="J239" s="1457">
        <v>51356</v>
      </c>
      <c r="K239" s="1458">
        <v>2074</v>
      </c>
      <c r="L239" s="1458">
        <v>1036</v>
      </c>
      <c r="M239" s="1458">
        <v>1038</v>
      </c>
    </row>
    <row r="240" spans="1:13" ht="13.5" customHeight="1">
      <c r="A240" s="37" t="s">
        <v>22</v>
      </c>
      <c r="B240" s="1459">
        <v>3416</v>
      </c>
      <c r="C240" s="1457">
        <v>1828</v>
      </c>
      <c r="D240" s="1457">
        <v>1588</v>
      </c>
      <c r="E240" s="1457">
        <v>134852</v>
      </c>
      <c r="F240" s="1457">
        <v>132947</v>
      </c>
      <c r="G240" s="1457">
        <v>131974</v>
      </c>
      <c r="H240" s="1457">
        <v>80774</v>
      </c>
      <c r="I240" s="1457">
        <v>82104</v>
      </c>
      <c r="J240" s="1457">
        <v>52748</v>
      </c>
      <c r="K240" s="1458">
        <v>2096</v>
      </c>
      <c r="L240" s="1458">
        <v>1048</v>
      </c>
      <c r="M240" s="1458">
        <v>1048</v>
      </c>
    </row>
    <row r="241" spans="1:13" ht="13.5" customHeight="1">
      <c r="A241" s="37" t="s">
        <v>23</v>
      </c>
      <c r="B241" s="1459">
        <v>3440</v>
      </c>
      <c r="C241" s="1457">
        <v>1848</v>
      </c>
      <c r="D241" s="1457">
        <v>1592</v>
      </c>
      <c r="E241" s="1457">
        <v>139758</v>
      </c>
      <c r="F241" s="1457">
        <v>137876</v>
      </c>
      <c r="G241" s="1457">
        <v>136886</v>
      </c>
      <c r="H241" s="1457">
        <v>84302</v>
      </c>
      <c r="I241" s="1457">
        <v>85630</v>
      </c>
      <c r="J241" s="1457">
        <v>54128</v>
      </c>
      <c r="K241" s="1458">
        <v>2093</v>
      </c>
      <c r="L241" s="1458">
        <v>1043</v>
      </c>
      <c r="M241" s="1458">
        <v>1050</v>
      </c>
    </row>
    <row r="242" spans="1:13" ht="13.5" customHeight="1">
      <c r="A242" s="37" t="s">
        <v>24</v>
      </c>
      <c r="B242" s="1459">
        <v>3442</v>
      </c>
      <c r="C242" s="1457">
        <v>1847</v>
      </c>
      <c r="D242" s="1457">
        <v>1595</v>
      </c>
      <c r="E242" s="1457">
        <v>147478</v>
      </c>
      <c r="F242" s="1457">
        <v>145588</v>
      </c>
      <c r="G242" s="1457">
        <v>144571</v>
      </c>
      <c r="H242" s="1457">
        <v>89447</v>
      </c>
      <c r="I242" s="1457">
        <v>90791</v>
      </c>
      <c r="J242" s="1457">
        <v>56687</v>
      </c>
      <c r="K242" s="1458">
        <v>2108</v>
      </c>
      <c r="L242" s="1458">
        <v>1055</v>
      </c>
      <c r="M242" s="1458">
        <v>1053</v>
      </c>
    </row>
    <row r="243" spans="1:13" ht="13.5" customHeight="1">
      <c r="A243" s="37" t="s">
        <v>25</v>
      </c>
      <c r="B243" s="1459">
        <v>3465</v>
      </c>
      <c r="C243" s="1457">
        <v>1859</v>
      </c>
      <c r="D243" s="1457">
        <v>1606</v>
      </c>
      <c r="E243" s="1457">
        <v>152348</v>
      </c>
      <c r="F243" s="1457">
        <v>150498</v>
      </c>
      <c r="G243" s="1457">
        <v>149450</v>
      </c>
      <c r="H243" s="1457">
        <v>93044</v>
      </c>
      <c r="I243" s="1457">
        <v>94384</v>
      </c>
      <c r="J243" s="1457">
        <v>57964</v>
      </c>
      <c r="K243" s="1458">
        <v>2093</v>
      </c>
      <c r="L243" s="1458">
        <v>1045</v>
      </c>
      <c r="M243" s="1458">
        <v>1048</v>
      </c>
    </row>
    <row r="244" spans="1:13" ht="13.5" customHeight="1">
      <c r="A244" s="37" t="s">
        <v>26</v>
      </c>
      <c r="B244" s="1459">
        <v>3496</v>
      </c>
      <c r="C244" s="1457">
        <v>1879</v>
      </c>
      <c r="D244" s="1457">
        <v>1617</v>
      </c>
      <c r="E244" s="1457">
        <v>161915</v>
      </c>
      <c r="F244" s="1457">
        <v>160064</v>
      </c>
      <c r="G244" s="1457">
        <v>159285</v>
      </c>
      <c r="H244" s="1457">
        <v>98822</v>
      </c>
      <c r="I244" s="1457">
        <v>100040</v>
      </c>
      <c r="J244" s="1457">
        <v>61875</v>
      </c>
      <c r="K244" s="1458">
        <v>2078</v>
      </c>
      <c r="L244" s="1458">
        <v>1016</v>
      </c>
      <c r="M244" s="1458">
        <v>1062</v>
      </c>
    </row>
    <row r="245" spans="1:13" ht="13.5" customHeight="1">
      <c r="A245" s="37" t="s">
        <v>27</v>
      </c>
      <c r="B245" s="1459">
        <v>3516</v>
      </c>
      <c r="C245" s="1457">
        <v>1894</v>
      </c>
      <c r="D245" s="1457">
        <v>1622</v>
      </c>
      <c r="E245" s="1457">
        <v>172908</v>
      </c>
      <c r="F245" s="1457">
        <v>171050</v>
      </c>
      <c r="G245" s="1457">
        <v>170030</v>
      </c>
      <c r="H245" s="1457">
        <v>105675</v>
      </c>
      <c r="I245" s="1457">
        <v>107000</v>
      </c>
      <c r="J245" s="1457">
        <v>65908</v>
      </c>
      <c r="K245" s="1458">
        <v>2090</v>
      </c>
      <c r="L245" s="1458">
        <v>1022</v>
      </c>
      <c r="M245" s="1458">
        <v>1068</v>
      </c>
    </row>
    <row r="246" spans="1:13" ht="13.5" customHeight="1">
      <c r="A246" s="37" t="s">
        <v>28</v>
      </c>
      <c r="B246" s="1459">
        <v>3548</v>
      </c>
      <c r="C246" s="1457">
        <v>1918</v>
      </c>
      <c r="D246" s="1457">
        <v>1630</v>
      </c>
      <c r="E246" s="1457">
        <v>179162</v>
      </c>
      <c r="F246" s="1457">
        <v>177306</v>
      </c>
      <c r="G246" s="1457">
        <v>176305</v>
      </c>
      <c r="H246" s="1457">
        <v>109947</v>
      </c>
      <c r="I246" s="1457">
        <v>111251</v>
      </c>
      <c r="J246" s="1457">
        <v>67911</v>
      </c>
      <c r="K246" s="1458">
        <v>2107</v>
      </c>
      <c r="L246" s="1458">
        <v>1025</v>
      </c>
      <c r="M246" s="1458">
        <v>1082</v>
      </c>
    </row>
    <row r="247" spans="1:13" ht="13.5" customHeight="1">
      <c r="A247" s="37" t="s">
        <v>29</v>
      </c>
      <c r="B247" s="1459" t="s">
        <v>4463</v>
      </c>
      <c r="C247" s="1457">
        <v>1930</v>
      </c>
      <c r="D247" s="1457">
        <v>1642</v>
      </c>
      <c r="E247" s="1457">
        <v>184220</v>
      </c>
      <c r="F247" s="1457">
        <v>182378</v>
      </c>
      <c r="G247" s="1457">
        <v>181262</v>
      </c>
      <c r="H247" s="1457">
        <v>113339</v>
      </c>
      <c r="I247" s="1457">
        <v>114689</v>
      </c>
      <c r="J247" s="1457">
        <v>69531</v>
      </c>
      <c r="K247" s="1458">
        <v>2116</v>
      </c>
      <c r="L247" s="1458">
        <v>1037</v>
      </c>
      <c r="M247" s="1458">
        <v>1079</v>
      </c>
    </row>
    <row r="248" spans="1:13" ht="13.5" customHeight="1">
      <c r="A248" s="37" t="s">
        <v>4465</v>
      </c>
      <c r="B248" s="1459"/>
      <c r="C248" s="1457"/>
      <c r="D248" s="1457"/>
      <c r="E248" s="1457"/>
      <c r="F248" s="1457"/>
      <c r="G248" s="1457"/>
      <c r="H248" s="1457"/>
      <c r="I248" s="1457"/>
      <c r="J248" s="1457"/>
      <c r="K248" s="1458"/>
      <c r="L248" s="1458"/>
      <c r="M248" s="1458"/>
    </row>
    <row r="249" spans="1:13" ht="13.5" customHeight="1">
      <c r="A249" s="37" t="s">
        <v>18</v>
      </c>
      <c r="B249" s="1459">
        <v>3584</v>
      </c>
      <c r="C249" s="1457">
        <v>1932</v>
      </c>
      <c r="D249" s="1457">
        <v>1652</v>
      </c>
      <c r="E249" s="1457">
        <v>183497</v>
      </c>
      <c r="F249" s="1457">
        <v>181646</v>
      </c>
      <c r="G249" s="1457">
        <v>180532</v>
      </c>
      <c r="H249" s="1457">
        <v>113250</v>
      </c>
      <c r="I249" s="1457">
        <v>114646</v>
      </c>
      <c r="J249" s="1457">
        <v>68851</v>
      </c>
      <c r="K249" s="1458">
        <v>2122</v>
      </c>
      <c r="L249" s="1458">
        <v>1033</v>
      </c>
      <c r="M249" s="1458">
        <v>1089</v>
      </c>
    </row>
    <row r="250" spans="1:13" ht="13.5" customHeight="1">
      <c r="A250" s="37" t="s">
        <v>19</v>
      </c>
      <c r="B250" s="1459">
        <v>3593</v>
      </c>
      <c r="C250" s="1457">
        <v>1935</v>
      </c>
      <c r="D250" s="1457">
        <v>1658</v>
      </c>
      <c r="E250" s="1457">
        <v>185361</v>
      </c>
      <c r="F250" s="1457">
        <v>183602</v>
      </c>
      <c r="G250" s="1457">
        <v>182381</v>
      </c>
      <c r="H250" s="1457">
        <v>114283</v>
      </c>
      <c r="I250" s="1457">
        <v>115670</v>
      </c>
      <c r="J250" s="1457">
        <v>69691</v>
      </c>
      <c r="K250" s="1458">
        <v>2128</v>
      </c>
      <c r="L250" s="1458">
        <v>1034</v>
      </c>
      <c r="M250" s="1458">
        <v>1094</v>
      </c>
    </row>
    <row r="251" spans="1:13" ht="13.5" customHeight="1">
      <c r="A251" s="37" t="s">
        <v>20</v>
      </c>
      <c r="B251" s="1459">
        <v>3586</v>
      </c>
      <c r="C251" s="1457">
        <v>1927</v>
      </c>
      <c r="D251" s="1457">
        <v>1659</v>
      </c>
      <c r="E251" s="1457">
        <v>184391</v>
      </c>
      <c r="F251" s="1457">
        <v>182645</v>
      </c>
      <c r="G251" s="1457">
        <v>181417</v>
      </c>
      <c r="H251" s="1457">
        <v>113041</v>
      </c>
      <c r="I251" s="1457">
        <v>114420</v>
      </c>
      <c r="J251" s="1457">
        <v>69971</v>
      </c>
      <c r="K251" s="1458">
        <v>2110</v>
      </c>
      <c r="L251" s="1458">
        <v>1011</v>
      </c>
      <c r="M251" s="1458">
        <v>1099</v>
      </c>
    </row>
    <row r="252" spans="1:13" ht="13.5" customHeight="1">
      <c r="A252" s="37" t="s">
        <v>21</v>
      </c>
      <c r="B252" s="1459">
        <v>3586</v>
      </c>
      <c r="C252" s="1457">
        <v>1930</v>
      </c>
      <c r="D252" s="1457">
        <v>1656</v>
      </c>
      <c r="E252" s="1457">
        <v>160225</v>
      </c>
      <c r="F252" s="1457">
        <v>158525</v>
      </c>
      <c r="G252" s="1457">
        <v>157276</v>
      </c>
      <c r="H252" s="1457">
        <v>99726</v>
      </c>
      <c r="I252" s="1457">
        <v>101103</v>
      </c>
      <c r="J252" s="1457">
        <v>59122</v>
      </c>
      <c r="K252" s="1458">
        <v>2115</v>
      </c>
      <c r="L252" s="1458">
        <v>1025</v>
      </c>
      <c r="M252" s="1458">
        <v>1090</v>
      </c>
    </row>
    <row r="253" spans="1:13" ht="13.5" customHeight="1">
      <c r="A253" s="37" t="s">
        <v>22</v>
      </c>
      <c r="B253" s="1459" t="s">
        <v>4546</v>
      </c>
      <c r="C253" s="1457">
        <v>1931</v>
      </c>
      <c r="D253" s="1457">
        <v>1659</v>
      </c>
      <c r="E253" s="1457">
        <v>160897</v>
      </c>
      <c r="F253" s="1457">
        <v>159184</v>
      </c>
      <c r="G253" s="1457">
        <v>157940</v>
      </c>
      <c r="H253" s="1457">
        <v>99309</v>
      </c>
      <c r="I253" s="1457">
        <v>100696</v>
      </c>
      <c r="J253" s="1457">
        <v>60201</v>
      </c>
      <c r="K253" s="1458">
        <v>2086</v>
      </c>
      <c r="L253" s="1458">
        <v>1014</v>
      </c>
      <c r="M253" s="1458">
        <v>1072</v>
      </c>
    </row>
    <row r="254" spans="1:13" ht="12.6" customHeight="1">
      <c r="A254" s="37" t="s">
        <v>23</v>
      </c>
      <c r="B254" s="312">
        <v>3591</v>
      </c>
      <c r="C254" s="1457">
        <v>1940</v>
      </c>
      <c r="D254" s="1457">
        <v>1651</v>
      </c>
      <c r="E254" s="1457">
        <v>163341</v>
      </c>
      <c r="F254" s="1457">
        <v>161618</v>
      </c>
      <c r="G254" s="1457">
        <v>160372</v>
      </c>
      <c r="H254" s="1457">
        <v>100709</v>
      </c>
      <c r="I254" s="1457">
        <v>102102</v>
      </c>
      <c r="J254" s="1457">
        <v>61239</v>
      </c>
      <c r="K254" s="1456">
        <v>2085</v>
      </c>
      <c r="L254" s="1455">
        <v>1010</v>
      </c>
      <c r="M254" s="1455">
        <v>1075</v>
      </c>
    </row>
    <row r="255" spans="1:13" s="1451" customFormat="1" ht="15" customHeight="1">
      <c r="A255" s="2559" t="s">
        <v>4258</v>
      </c>
      <c r="B255" s="2559"/>
      <c r="C255" s="2559"/>
      <c r="D255" s="2559"/>
      <c r="E255" s="2559"/>
      <c r="F255" s="2559"/>
      <c r="G255" s="2559"/>
      <c r="H255" s="2559"/>
      <c r="I255" s="2559"/>
      <c r="J255" s="2559"/>
      <c r="K255" s="1454"/>
      <c r="L255" s="1453"/>
      <c r="M255" s="1453"/>
    </row>
    <row r="256" spans="1:13" s="1451" customFormat="1" ht="12.75" customHeight="1">
      <c r="A256" s="2560" t="s">
        <v>3343</v>
      </c>
      <c r="B256" s="2560"/>
      <c r="C256" s="2560"/>
      <c r="D256" s="2560"/>
      <c r="E256" s="2560"/>
      <c r="F256" s="2560"/>
      <c r="G256" s="2560"/>
      <c r="H256" s="2560"/>
      <c r="I256" s="2560"/>
      <c r="J256" s="2560"/>
      <c r="K256" s="1452"/>
      <c r="L256" s="1452"/>
      <c r="M256" s="1452"/>
    </row>
    <row r="260" spans="3:9">
      <c r="C260" s="1956"/>
      <c r="I260" s="1955"/>
    </row>
    <row r="261" spans="3:9">
      <c r="I261" s="1955"/>
    </row>
  </sheetData>
  <mergeCells count="25">
    <mergeCell ref="K9:K11"/>
    <mergeCell ref="L9:M10"/>
    <mergeCell ref="A2:M2"/>
    <mergeCell ref="A3:M3"/>
    <mergeCell ref="K6:K8"/>
    <mergeCell ref="L6:M7"/>
    <mergeCell ref="A5:M5"/>
    <mergeCell ref="I6:J7"/>
    <mergeCell ref="F10:F11"/>
    <mergeCell ref="A9:A11"/>
    <mergeCell ref="B9:B11"/>
    <mergeCell ref="C9:D10"/>
    <mergeCell ref="E9:E11"/>
    <mergeCell ref="F9:H9"/>
    <mergeCell ref="F7:F8"/>
    <mergeCell ref="A255:J255"/>
    <mergeCell ref="A256:J256"/>
    <mergeCell ref="G10:H10"/>
    <mergeCell ref="I9:J10"/>
    <mergeCell ref="G7:H7"/>
    <mergeCell ref="A6:A8"/>
    <mergeCell ref="B6:B8"/>
    <mergeCell ref="C6:D7"/>
    <mergeCell ref="E6:E8"/>
    <mergeCell ref="F6:H6"/>
  </mergeCells>
  <pageMargins left="0.7" right="0.7" top="0.75" bottom="0.75" header="0.3" footer="0.3"/>
  <pageSetup scale="2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11E05-D47A-43DC-95C1-0C59E60E2E56}">
  <sheetPr codeName="Sheet49">
    <tabColor rgb="FF92D050"/>
  </sheetPr>
  <dimension ref="A1:AI29"/>
  <sheetViews>
    <sheetView showGridLines="0" view="pageBreakPreview" zoomScale="85" zoomScaleNormal="100" zoomScaleSheetLayoutView="85" workbookViewId="0">
      <selection activeCell="L41" sqref="L41"/>
    </sheetView>
  </sheetViews>
  <sheetFormatPr defaultColWidth="9.140625" defaultRowHeight="15"/>
  <cols>
    <col min="1" max="1" width="33.5703125" style="907" customWidth="1"/>
    <col min="2" max="5" width="30.140625" style="907" customWidth="1"/>
    <col min="6" max="6" width="35.5703125" style="907" customWidth="1"/>
    <col min="7" max="16384" width="9.140625" style="907"/>
  </cols>
  <sheetData>
    <row r="1" spans="1:6" ht="7.5" customHeight="1">
      <c r="A1" s="2584"/>
      <c r="B1" s="2584"/>
      <c r="C1" s="2584"/>
      <c r="D1" s="2584"/>
      <c r="E1" s="2584"/>
    </row>
    <row r="2" spans="1:6" ht="14.25" customHeight="1">
      <c r="A2" s="2584" t="s">
        <v>3344</v>
      </c>
      <c r="B2" s="2584"/>
      <c r="C2" s="2584"/>
      <c r="D2" s="2584"/>
      <c r="E2" s="2584"/>
      <c r="F2" s="2584"/>
    </row>
    <row r="3" spans="1:6" ht="23.25" customHeight="1">
      <c r="A3" s="2585" t="s">
        <v>3356</v>
      </c>
      <c r="B3" s="2586"/>
      <c r="C3" s="2586"/>
      <c r="D3" s="2586"/>
      <c r="E3" s="2586"/>
      <c r="F3" s="2586"/>
    </row>
    <row r="4" spans="1:6" ht="11.25" customHeight="1">
      <c r="A4" s="1482"/>
      <c r="B4" s="1482"/>
      <c r="C4" s="1482"/>
      <c r="D4" s="1482"/>
      <c r="E4" s="1481"/>
      <c r="F4" s="1481"/>
    </row>
    <row r="5" spans="1:6" ht="13.5" customHeight="1">
      <c r="A5" s="1480"/>
      <c r="B5" s="1479"/>
      <c r="C5" s="1479"/>
      <c r="D5" s="1479"/>
      <c r="E5" s="1478"/>
      <c r="F5" s="1196" t="s">
        <v>3300</v>
      </c>
    </row>
    <row r="6" spans="1:6" ht="15.75">
      <c r="A6" s="2587" t="s">
        <v>3073</v>
      </c>
      <c r="B6" s="2590">
        <v>46203</v>
      </c>
      <c r="C6" s="2591"/>
      <c r="D6" s="2591"/>
      <c r="E6" s="2592"/>
      <c r="F6" s="2593" t="s">
        <v>1190</v>
      </c>
    </row>
    <row r="7" spans="1:6" ht="41.25" customHeight="1">
      <c r="A7" s="2588"/>
      <c r="B7" s="2596" t="s">
        <v>3074</v>
      </c>
      <c r="C7" s="2598" t="s">
        <v>3495</v>
      </c>
      <c r="D7" s="2599"/>
      <c r="E7" s="2596" t="s">
        <v>3496</v>
      </c>
      <c r="F7" s="2594"/>
    </row>
    <row r="8" spans="1:6" ht="41.25" customHeight="1">
      <c r="A8" s="2588"/>
      <c r="B8" s="2597"/>
      <c r="C8" s="1477" t="s">
        <v>155</v>
      </c>
      <c r="D8" s="1477" t="s">
        <v>3745</v>
      </c>
      <c r="E8" s="2597"/>
      <c r="F8" s="2594"/>
    </row>
    <row r="9" spans="1:6" ht="21.75" customHeight="1">
      <c r="A9" s="2588"/>
      <c r="B9" s="2600">
        <v>46203</v>
      </c>
      <c r="C9" s="2601"/>
      <c r="D9" s="2601"/>
      <c r="E9" s="2602"/>
      <c r="F9" s="2594"/>
    </row>
    <row r="10" spans="1:6" ht="21.75" customHeight="1">
      <c r="A10" s="2588"/>
      <c r="B10" s="2603" t="s">
        <v>4038</v>
      </c>
      <c r="C10" s="2605" t="s">
        <v>3128</v>
      </c>
      <c r="D10" s="2606"/>
      <c r="E10" s="2603" t="s">
        <v>3129</v>
      </c>
      <c r="F10" s="2594"/>
    </row>
    <row r="11" spans="1:6" ht="36.75" customHeight="1">
      <c r="A11" s="2589"/>
      <c r="B11" s="2604"/>
      <c r="C11" s="1476" t="s">
        <v>105</v>
      </c>
      <c r="D11" s="1476" t="s">
        <v>3743</v>
      </c>
      <c r="E11" s="2604"/>
      <c r="F11" s="2595"/>
    </row>
    <row r="12" spans="1:6" ht="20.25" customHeight="1">
      <c r="A12" s="1475" t="s">
        <v>3072</v>
      </c>
      <c r="B12" s="1172">
        <v>3591</v>
      </c>
      <c r="C12" s="1172">
        <v>163341</v>
      </c>
      <c r="D12" s="1172">
        <v>161618</v>
      </c>
      <c r="E12" s="1172">
        <v>2085</v>
      </c>
      <c r="F12" s="1474" t="s">
        <v>3126</v>
      </c>
    </row>
    <row r="13" spans="1:6" ht="20.25" customHeight="1">
      <c r="A13" s="1470" t="s">
        <v>2655</v>
      </c>
      <c r="B13" s="1173">
        <v>1940</v>
      </c>
      <c r="C13" s="1173">
        <v>102102</v>
      </c>
      <c r="D13" s="1173">
        <v>101127</v>
      </c>
      <c r="E13" s="1173">
        <v>1010</v>
      </c>
      <c r="F13" s="1469" t="s">
        <v>3112</v>
      </c>
    </row>
    <row r="14" spans="1:6" ht="20.25" customHeight="1">
      <c r="A14" s="1470" t="s">
        <v>195</v>
      </c>
      <c r="B14" s="1173">
        <v>96</v>
      </c>
      <c r="C14" s="1173">
        <v>4226</v>
      </c>
      <c r="D14" s="1173">
        <v>4176</v>
      </c>
      <c r="E14" s="1173">
        <v>46</v>
      </c>
      <c r="F14" s="1469" t="s">
        <v>3113</v>
      </c>
    </row>
    <row r="15" spans="1:6" ht="20.25" customHeight="1">
      <c r="A15" s="1470" t="s">
        <v>2656</v>
      </c>
      <c r="B15" s="1173">
        <v>246</v>
      </c>
      <c r="C15" s="1173">
        <v>10901</v>
      </c>
      <c r="D15" s="1173">
        <v>10820</v>
      </c>
      <c r="E15" s="1173">
        <v>141</v>
      </c>
      <c r="F15" s="1469" t="s">
        <v>3114</v>
      </c>
    </row>
    <row r="16" spans="1:6" ht="36" customHeight="1">
      <c r="A16" s="1472" t="s">
        <v>192</v>
      </c>
      <c r="B16" s="1173">
        <v>61</v>
      </c>
      <c r="C16" s="1173">
        <v>2349</v>
      </c>
      <c r="D16" s="1173">
        <v>2319</v>
      </c>
      <c r="E16" s="1173">
        <v>48</v>
      </c>
      <c r="F16" s="1473" t="s">
        <v>3331</v>
      </c>
    </row>
    <row r="17" spans="1:35" ht="20.25" customHeight="1">
      <c r="A17" s="1470" t="s">
        <v>2657</v>
      </c>
      <c r="B17" s="1173">
        <v>185</v>
      </c>
      <c r="C17" s="1173">
        <v>6679</v>
      </c>
      <c r="D17" s="1173">
        <v>6588</v>
      </c>
      <c r="E17" s="1173">
        <v>104</v>
      </c>
      <c r="F17" s="1469" t="s">
        <v>3115</v>
      </c>
    </row>
    <row r="18" spans="1:35" ht="20.25" customHeight="1">
      <c r="A18" s="1472" t="s">
        <v>2658</v>
      </c>
      <c r="B18" s="1173">
        <v>134</v>
      </c>
      <c r="C18" s="1173">
        <v>4730</v>
      </c>
      <c r="D18" s="1173">
        <v>4676</v>
      </c>
      <c r="E18" s="1173">
        <v>98</v>
      </c>
      <c r="F18" s="1471" t="s">
        <v>3116</v>
      </c>
    </row>
    <row r="19" spans="1:35" ht="20.25" customHeight="1">
      <c r="A19" s="1470" t="s">
        <v>2659</v>
      </c>
      <c r="B19" s="1173">
        <v>141</v>
      </c>
      <c r="C19" s="1173">
        <v>4729</v>
      </c>
      <c r="D19" s="1173">
        <v>4678</v>
      </c>
      <c r="E19" s="1173">
        <v>78</v>
      </c>
      <c r="F19" s="1469" t="s">
        <v>3117</v>
      </c>
    </row>
    <row r="20" spans="1:35" ht="20.25" customHeight="1">
      <c r="A20" s="1470" t="s">
        <v>193</v>
      </c>
      <c r="B20" s="1173">
        <v>135</v>
      </c>
      <c r="C20" s="1173">
        <v>4863</v>
      </c>
      <c r="D20" s="1173">
        <v>4776</v>
      </c>
      <c r="E20" s="1173">
        <v>118</v>
      </c>
      <c r="F20" s="1469" t="s">
        <v>3118</v>
      </c>
    </row>
    <row r="21" spans="1:35" ht="20.25" customHeight="1">
      <c r="A21" s="1472" t="s">
        <v>2660</v>
      </c>
      <c r="B21" s="1173">
        <v>123</v>
      </c>
      <c r="C21" s="1173">
        <v>5261</v>
      </c>
      <c r="D21" s="1173">
        <v>5199</v>
      </c>
      <c r="E21" s="1173">
        <v>94</v>
      </c>
      <c r="F21" s="1471" t="s">
        <v>3119</v>
      </c>
    </row>
    <row r="22" spans="1:35" ht="20.25" customHeight="1">
      <c r="A22" s="1470" t="s">
        <v>2661</v>
      </c>
      <c r="B22" s="1173">
        <v>153</v>
      </c>
      <c r="C22" s="1173">
        <v>5202</v>
      </c>
      <c r="D22" s="1173">
        <v>5148</v>
      </c>
      <c r="E22" s="1173">
        <v>103</v>
      </c>
      <c r="F22" s="1469" t="s">
        <v>3120</v>
      </c>
    </row>
    <row r="23" spans="1:35" ht="20.25" customHeight="1">
      <c r="A23" s="1470" t="s">
        <v>2662</v>
      </c>
      <c r="B23" s="1173">
        <v>92</v>
      </c>
      <c r="C23" s="1173">
        <v>3172</v>
      </c>
      <c r="D23" s="1173">
        <v>3122</v>
      </c>
      <c r="E23" s="1173">
        <v>53</v>
      </c>
      <c r="F23" s="1469" t="s">
        <v>3121</v>
      </c>
    </row>
    <row r="24" spans="1:35" ht="20.25" customHeight="1">
      <c r="A24" s="1470" t="s">
        <v>194</v>
      </c>
      <c r="B24" s="1173">
        <v>152</v>
      </c>
      <c r="C24" s="1173">
        <v>5568</v>
      </c>
      <c r="D24" s="1173">
        <v>5491</v>
      </c>
      <c r="E24" s="1173">
        <v>94</v>
      </c>
      <c r="F24" s="1469" t="s">
        <v>3122</v>
      </c>
    </row>
    <row r="25" spans="1:35" ht="20.25" customHeight="1">
      <c r="A25" s="1470" t="s">
        <v>3075</v>
      </c>
      <c r="B25" s="1173">
        <v>17</v>
      </c>
      <c r="C25" s="1173">
        <v>289</v>
      </c>
      <c r="D25" s="1173">
        <v>274</v>
      </c>
      <c r="E25" s="1173">
        <v>4</v>
      </c>
      <c r="F25" s="1469" t="s">
        <v>3123</v>
      </c>
    </row>
    <row r="26" spans="1:35" ht="20.25" customHeight="1">
      <c r="A26" s="1468" t="s">
        <v>2664</v>
      </c>
      <c r="B26" s="1174">
        <v>116</v>
      </c>
      <c r="C26" s="1174">
        <v>3270</v>
      </c>
      <c r="D26" s="1174">
        <v>3224</v>
      </c>
      <c r="E26" s="1174">
        <v>94</v>
      </c>
      <c r="F26" s="1467" t="s">
        <v>3124</v>
      </c>
    </row>
    <row r="27" spans="1:35">
      <c r="A27" s="2581" t="s">
        <v>4259</v>
      </c>
      <c r="B27" s="2582"/>
      <c r="C27" s="2582"/>
      <c r="D27" s="2582"/>
      <c r="E27" s="2582"/>
    </row>
    <row r="28" spans="1:35" s="883" customFormat="1" ht="16.5" customHeight="1">
      <c r="A28" s="2583" t="s">
        <v>2680</v>
      </c>
      <c r="B28" s="2583"/>
      <c r="C28" s="2583"/>
      <c r="D28" s="2583"/>
      <c r="E28" s="2583"/>
      <c r="F28" s="1466"/>
      <c r="G28" s="1466"/>
      <c r="H28" s="1466"/>
      <c r="I28" s="1466"/>
      <c r="J28" s="1466"/>
      <c r="K28" s="1466"/>
      <c r="L28" s="1466"/>
      <c r="M28" s="1466"/>
      <c r="N28" s="1466"/>
      <c r="O28" s="1466"/>
      <c r="P28" s="1466"/>
      <c r="Q28" s="1466"/>
      <c r="R28" s="1466"/>
      <c r="S28" s="1466"/>
      <c r="T28" s="1466"/>
      <c r="U28" s="1466"/>
      <c r="V28" s="1466"/>
      <c r="W28" s="1466"/>
      <c r="X28" s="1466"/>
      <c r="Y28" s="1466"/>
      <c r="Z28" s="1466"/>
      <c r="AA28" s="1466"/>
      <c r="AB28" s="1466"/>
      <c r="AC28" s="1466"/>
      <c r="AD28" s="1466"/>
      <c r="AE28" s="1466"/>
      <c r="AF28" s="1466"/>
      <c r="AG28" s="1466"/>
      <c r="AH28" s="1466"/>
      <c r="AI28" s="1466"/>
    </row>
    <row r="29" spans="1:35">
      <c r="A29" s="1465"/>
      <c r="B29" s="1464"/>
      <c r="C29" s="1463"/>
      <c r="D29" s="1463"/>
      <c r="E29" s="1463"/>
    </row>
  </sheetData>
  <mergeCells count="15">
    <mergeCell ref="A27:E27"/>
    <mergeCell ref="A28:E28"/>
    <mergeCell ref="A1:E1"/>
    <mergeCell ref="A2:F2"/>
    <mergeCell ref="A3:F3"/>
    <mergeCell ref="A6:A11"/>
    <mergeCell ref="B6:E6"/>
    <mergeCell ref="F6:F11"/>
    <mergeCell ref="B7:B8"/>
    <mergeCell ref="C7:D7"/>
    <mergeCell ref="E7:E8"/>
    <mergeCell ref="B9:E9"/>
    <mergeCell ref="B10:B11"/>
    <mergeCell ref="C10:D10"/>
    <mergeCell ref="E10:E11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rgb="FF92D050"/>
  </sheetPr>
  <dimension ref="A1:IN304"/>
  <sheetViews>
    <sheetView showGridLines="0" view="pageBreakPreview" zoomScale="130" zoomScaleNormal="100" zoomScaleSheetLayoutView="130" workbookViewId="0">
      <pane ySplit="21" topLeftCell="A294" activePane="bottomLeft" state="frozen"/>
      <selection activeCell="F40" sqref="F40"/>
      <selection pane="bottomLeft" activeCell="L305" sqref="L305"/>
    </sheetView>
  </sheetViews>
  <sheetFormatPr defaultColWidth="8.85546875" defaultRowHeight="15.75"/>
  <cols>
    <col min="1" max="1" width="7.7109375" style="27" customWidth="1"/>
    <col min="2" max="2" width="19" style="27" customWidth="1"/>
    <col min="3" max="3" width="17.5703125" style="27" customWidth="1"/>
    <col min="4" max="4" width="19.5703125" style="27" bestFit="1" customWidth="1"/>
    <col min="5" max="5" width="19" style="27" customWidth="1"/>
    <col min="6" max="6" width="17.42578125" style="27" customWidth="1"/>
    <col min="7" max="7" width="21.7109375" style="27" customWidth="1"/>
    <col min="8" max="8" width="15.42578125" style="33" hidden="1" customWidth="1"/>
    <col min="9" max="9" width="8.85546875" style="27" customWidth="1"/>
    <col min="10" max="16384" width="8.85546875" style="27"/>
  </cols>
  <sheetData>
    <row r="1" spans="1:77" ht="6" customHeight="1">
      <c r="A1" s="2078"/>
      <c r="B1" s="2078"/>
      <c r="C1" s="2078"/>
      <c r="D1" s="2078"/>
      <c r="E1" s="2078"/>
      <c r="F1" s="2078"/>
      <c r="G1" s="2078"/>
    </row>
    <row r="2" spans="1:77" ht="16.5" customHeight="1">
      <c r="A2" s="2079" t="s">
        <v>2744</v>
      </c>
      <c r="B2" s="2079"/>
      <c r="C2" s="2079"/>
      <c r="D2" s="2079"/>
      <c r="E2" s="2079"/>
      <c r="F2" s="2079"/>
      <c r="G2" s="2079"/>
    </row>
    <row r="3" spans="1:77" ht="21.75" customHeight="1">
      <c r="A3" s="2080" t="s">
        <v>2745</v>
      </c>
      <c r="B3" s="2080"/>
      <c r="C3" s="2080"/>
      <c r="D3" s="2080"/>
      <c r="E3" s="2080"/>
      <c r="F3" s="2080"/>
      <c r="G3" s="2080"/>
    </row>
    <row r="4" spans="1:77" ht="9.75" customHeight="1">
      <c r="A4" s="484"/>
      <c r="B4" s="484"/>
      <c r="C4" s="484"/>
      <c r="D4" s="484"/>
      <c r="E4" s="484"/>
      <c r="F4" s="484"/>
      <c r="G4" s="484"/>
    </row>
    <row r="5" spans="1:77" ht="9.75" customHeight="1">
      <c r="A5" s="866"/>
      <c r="B5" s="866"/>
      <c r="C5" s="866"/>
      <c r="D5" s="866"/>
      <c r="E5" s="866"/>
      <c r="F5" s="866"/>
      <c r="G5" s="866"/>
    </row>
    <row r="6" spans="1:77">
      <c r="A6" s="2081" t="s">
        <v>182</v>
      </c>
      <c r="B6" s="2084" t="s">
        <v>49</v>
      </c>
      <c r="C6" s="2085"/>
      <c r="D6" s="2085"/>
      <c r="E6" s="2085"/>
      <c r="F6" s="2085"/>
      <c r="G6" s="2086"/>
    </row>
    <row r="7" spans="1:77">
      <c r="A7" s="2082"/>
      <c r="B7" s="851" t="s">
        <v>50</v>
      </c>
      <c r="C7" s="851" t="s">
        <v>51</v>
      </c>
      <c r="D7" s="851" t="s">
        <v>52</v>
      </c>
      <c r="E7" s="851" t="s">
        <v>51</v>
      </c>
      <c r="F7" s="851" t="s">
        <v>53</v>
      </c>
      <c r="G7" s="851" t="s">
        <v>54</v>
      </c>
      <c r="BY7" s="27">
        <f>BY9+BY20+BY29+BY36</f>
        <v>0</v>
      </c>
    </row>
    <row r="8" spans="1:77">
      <c r="A8" s="2083"/>
      <c r="B8" s="502" t="s">
        <v>8</v>
      </c>
      <c r="C8" s="852" t="s">
        <v>55</v>
      </c>
      <c r="D8" s="502" t="s">
        <v>8</v>
      </c>
      <c r="E8" s="852" t="s">
        <v>55</v>
      </c>
      <c r="F8" s="852" t="s">
        <v>56</v>
      </c>
      <c r="G8" s="852" t="s">
        <v>57</v>
      </c>
    </row>
    <row r="9" spans="1:77">
      <c r="A9" s="2090" t="s">
        <v>283</v>
      </c>
      <c r="B9" s="2087" t="s">
        <v>58</v>
      </c>
      <c r="C9" s="2088"/>
      <c r="D9" s="2088"/>
      <c r="E9" s="2088"/>
      <c r="F9" s="2088"/>
      <c r="G9" s="2089"/>
    </row>
    <row r="10" spans="1:77">
      <c r="A10" s="2091"/>
      <c r="B10" s="853" t="s">
        <v>3376</v>
      </c>
      <c r="C10" s="853" t="s">
        <v>59</v>
      </c>
      <c r="D10" s="503" t="s">
        <v>3377</v>
      </c>
      <c r="E10" s="853" t="s">
        <v>59</v>
      </c>
      <c r="F10" s="853" t="s">
        <v>60</v>
      </c>
      <c r="G10" s="853" t="s">
        <v>59</v>
      </c>
    </row>
    <row r="11" spans="1:77">
      <c r="A11" s="2092"/>
      <c r="B11" s="504" t="s">
        <v>8</v>
      </c>
      <c r="C11" s="854" t="s">
        <v>61</v>
      </c>
      <c r="D11" s="505" t="s">
        <v>8</v>
      </c>
      <c r="E11" s="854" t="s">
        <v>61</v>
      </c>
      <c r="F11" s="854" t="s">
        <v>62</v>
      </c>
      <c r="G11" s="854" t="s">
        <v>61</v>
      </c>
    </row>
    <row r="12" spans="1:77" hidden="1">
      <c r="A12" s="21">
        <v>1995</v>
      </c>
      <c r="B12" s="357">
        <v>316.89999999999998</v>
      </c>
      <c r="C12" s="20">
        <v>19.5</v>
      </c>
      <c r="D12" s="357">
        <v>428.4</v>
      </c>
      <c r="E12" s="20">
        <v>20.100000000000001</v>
      </c>
      <c r="F12" s="19">
        <v>-12.8</v>
      </c>
      <c r="G12" s="20">
        <v>0.6</v>
      </c>
    </row>
    <row r="13" spans="1:77" hidden="1">
      <c r="A13" s="21">
        <v>1996</v>
      </c>
      <c r="B13" s="22">
        <v>402.6</v>
      </c>
      <c r="C13" s="20">
        <v>18.2</v>
      </c>
      <c r="D13" s="358">
        <v>481.9</v>
      </c>
      <c r="E13" s="20">
        <v>17.600000000000001</v>
      </c>
      <c r="F13" s="19">
        <v>16.100000000000001</v>
      </c>
      <c r="G13" s="20">
        <v>0.6</v>
      </c>
    </row>
    <row r="14" spans="1:77" hidden="1">
      <c r="A14" s="21">
        <v>1997</v>
      </c>
      <c r="B14" s="22">
        <v>513</v>
      </c>
      <c r="C14" s="23">
        <v>16.2</v>
      </c>
      <c r="D14" s="358">
        <v>588.70000000000005</v>
      </c>
      <c r="E14" s="23">
        <v>18.600000000000001</v>
      </c>
      <c r="F14" s="22">
        <v>-75.7</v>
      </c>
      <c r="G14" s="23">
        <v>2.4</v>
      </c>
    </row>
    <row r="15" spans="1:77" hidden="1">
      <c r="A15" s="21">
        <v>1998</v>
      </c>
      <c r="B15" s="22">
        <v>465.5</v>
      </c>
      <c r="C15" s="23">
        <v>13.5</v>
      </c>
      <c r="D15" s="358">
        <v>528.29999999999995</v>
      </c>
      <c r="E15" s="23">
        <v>15.4</v>
      </c>
      <c r="F15" s="22">
        <v>-62.8</v>
      </c>
      <c r="G15" s="23">
        <v>1.8</v>
      </c>
    </row>
    <row r="16" spans="1:77" hidden="1">
      <c r="A16" s="21">
        <v>1999</v>
      </c>
      <c r="B16" s="22">
        <v>559.5</v>
      </c>
      <c r="C16" s="23">
        <v>14.6</v>
      </c>
      <c r="D16" s="358">
        <v>651.4</v>
      </c>
      <c r="E16" s="23">
        <v>17</v>
      </c>
      <c r="F16" s="22">
        <v>-91.8</v>
      </c>
      <c r="G16" s="23">
        <v>2.4</v>
      </c>
    </row>
    <row r="17" spans="1:7" hidden="1">
      <c r="A17" s="21">
        <v>2000</v>
      </c>
      <c r="B17" s="22">
        <v>714.6</v>
      </c>
      <c r="C17" s="23">
        <v>15.2</v>
      </c>
      <c r="D17" s="358">
        <v>764</v>
      </c>
      <c r="E17" s="23">
        <v>16.2</v>
      </c>
      <c r="F17" s="23">
        <f t="shared" ref="F17:F48" si="0">+B17-D17</f>
        <v>-49.399999999999977</v>
      </c>
      <c r="G17" s="23">
        <f>+E17-C17</f>
        <v>1</v>
      </c>
    </row>
    <row r="18" spans="1:7" hidden="1">
      <c r="A18" s="21">
        <v>2001</v>
      </c>
      <c r="B18" s="22">
        <v>784.8</v>
      </c>
      <c r="C18" s="23">
        <v>14.7</v>
      </c>
      <c r="D18" s="358">
        <v>807.5</v>
      </c>
      <c r="E18" s="23">
        <v>15.2</v>
      </c>
      <c r="F18" s="23">
        <f t="shared" si="0"/>
        <v>-22.700000000000045</v>
      </c>
      <c r="G18" s="23">
        <f>+E18-C18</f>
        <v>0.5</v>
      </c>
    </row>
    <row r="19" spans="1:7" hidden="1">
      <c r="A19" s="21">
        <v>2002</v>
      </c>
      <c r="B19" s="22">
        <v>910.2</v>
      </c>
      <c r="C19" s="23">
        <v>15</v>
      </c>
      <c r="D19" s="358">
        <v>931.8</v>
      </c>
      <c r="E19" s="23">
        <v>15.4</v>
      </c>
      <c r="F19" s="23">
        <f t="shared" si="0"/>
        <v>-21.599999999999909</v>
      </c>
      <c r="G19" s="23">
        <f>+E19-C19</f>
        <v>0.40000000000000036</v>
      </c>
    </row>
    <row r="20" spans="1:7" hidden="1">
      <c r="A20" s="21">
        <v>2003</v>
      </c>
      <c r="B20" s="22">
        <v>1220.9000000000001</v>
      </c>
      <c r="C20" s="23">
        <v>17.100000000000001</v>
      </c>
      <c r="D20" s="358">
        <v>1234.5</v>
      </c>
      <c r="E20" s="23">
        <v>17.3</v>
      </c>
      <c r="F20" s="23">
        <f t="shared" si="0"/>
        <v>-13.599999999999909</v>
      </c>
      <c r="G20" s="23">
        <f>+E20-C20</f>
        <v>0.19999999999999929</v>
      </c>
    </row>
    <row r="21" spans="1:7" hidden="1">
      <c r="A21" s="21">
        <v>2004</v>
      </c>
      <c r="B21" s="22">
        <v>1509.5</v>
      </c>
      <c r="C21" s="23">
        <v>17.399999999999999</v>
      </c>
      <c r="D21" s="358">
        <v>1502.1</v>
      </c>
      <c r="E21" s="23">
        <v>17.600000000000001</v>
      </c>
      <c r="F21" s="23">
        <f t="shared" si="0"/>
        <v>7.4000000000000909</v>
      </c>
      <c r="G21" s="23">
        <f>+E21-C21</f>
        <v>0.20000000000000284</v>
      </c>
    </row>
    <row r="22" spans="1:7">
      <c r="A22" s="559">
        <v>2005</v>
      </c>
      <c r="B22" s="560">
        <v>2055.2141799999999</v>
      </c>
      <c r="C22" s="561">
        <v>17.306072956313784</v>
      </c>
      <c r="D22" s="562">
        <v>2140.6999999999998</v>
      </c>
      <c r="E22" s="563">
        <v>18.026036579204415</v>
      </c>
      <c r="F22" s="865">
        <f t="shared" si="0"/>
        <v>-85.485819999999876</v>
      </c>
      <c r="G22" s="563">
        <v>-0.7</v>
      </c>
    </row>
    <row r="23" spans="1:7" hidden="1">
      <c r="A23" s="564" t="s">
        <v>18</v>
      </c>
      <c r="B23" s="560">
        <v>127.14</v>
      </c>
      <c r="C23" s="561">
        <v>19.37932506173216</v>
      </c>
      <c r="D23" s="562">
        <v>43.32</v>
      </c>
      <c r="E23" s="561">
        <v>6.6030545986647562</v>
      </c>
      <c r="F23" s="860">
        <f t="shared" si="0"/>
        <v>83.82</v>
      </c>
      <c r="G23" s="561">
        <v>12.8</v>
      </c>
    </row>
    <row r="24" spans="1:7" hidden="1">
      <c r="A24" s="564" t="s">
        <v>19</v>
      </c>
      <c r="B24" s="560">
        <v>245.08</v>
      </c>
      <c r="C24" s="561">
        <v>17.426547967803412</v>
      </c>
      <c r="D24" s="565">
        <v>219.14</v>
      </c>
      <c r="E24" s="561">
        <v>15.582070024744732</v>
      </c>
      <c r="F24" s="860">
        <f t="shared" si="0"/>
        <v>25.940000000000026</v>
      </c>
      <c r="G24" s="561">
        <v>1.8</v>
      </c>
    </row>
    <row r="25" spans="1:7" hidden="1">
      <c r="A25" s="564" t="s">
        <v>20</v>
      </c>
      <c r="B25" s="560">
        <v>446.7</v>
      </c>
      <c r="C25" s="561">
        <v>20.957269127554561</v>
      </c>
      <c r="D25" s="562">
        <v>390.36</v>
      </c>
      <c r="E25" s="561">
        <v>18.314035318182672</v>
      </c>
      <c r="F25" s="860">
        <f t="shared" si="0"/>
        <v>56.339999999999975</v>
      </c>
      <c r="G25" s="561">
        <v>2.64</v>
      </c>
    </row>
    <row r="26" spans="1:7" hidden="1">
      <c r="A26" s="564" t="s">
        <v>21</v>
      </c>
      <c r="B26" s="560">
        <v>592.66</v>
      </c>
      <c r="C26" s="561">
        <v>19.186392831244174</v>
      </c>
      <c r="D26" s="562">
        <v>550.96</v>
      </c>
      <c r="E26" s="561">
        <v>17.836423909665388</v>
      </c>
      <c r="F26" s="860">
        <f t="shared" si="0"/>
        <v>41.699999999999932</v>
      </c>
      <c r="G26" s="561">
        <v>1.4</v>
      </c>
    </row>
    <row r="27" spans="1:7" hidden="1">
      <c r="A27" s="564" t="s">
        <v>22</v>
      </c>
      <c r="B27" s="560">
        <v>733.26</v>
      </c>
      <c r="C27" s="561">
        <v>18.480172991718373</v>
      </c>
      <c r="D27" s="562">
        <v>734.44</v>
      </c>
      <c r="E27" s="561">
        <v>18.509912244003004</v>
      </c>
      <c r="F27" s="860">
        <f t="shared" si="0"/>
        <v>-1.1800000000000637</v>
      </c>
      <c r="G27" s="561">
        <v>0.03</v>
      </c>
    </row>
    <row r="28" spans="1:7" hidden="1">
      <c r="A28" s="564" t="s">
        <v>23</v>
      </c>
      <c r="B28" s="560">
        <v>912.54</v>
      </c>
      <c r="C28" s="561">
        <v>18.619389433220022</v>
      </c>
      <c r="D28" s="562">
        <v>904.42</v>
      </c>
      <c r="E28" s="561">
        <v>18.453709635953331</v>
      </c>
      <c r="F28" s="860">
        <f t="shared" si="0"/>
        <v>8.1200000000000045</v>
      </c>
      <c r="G28" s="561">
        <v>0.1</v>
      </c>
    </row>
    <row r="29" spans="1:7" hidden="1">
      <c r="A29" s="564" t="s">
        <v>24</v>
      </c>
      <c r="B29" s="560">
        <v>1102.4000000000001</v>
      </c>
      <c r="C29" s="561">
        <v>18.778766910940544</v>
      </c>
      <c r="D29" s="562">
        <v>1097.52</v>
      </c>
      <c r="E29" s="561">
        <v>18.695638842611991</v>
      </c>
      <c r="F29" s="860">
        <f t="shared" si="0"/>
        <v>4.8800000000001091</v>
      </c>
      <c r="G29" s="561">
        <v>0.1</v>
      </c>
    </row>
    <row r="30" spans="1:7" hidden="1">
      <c r="A30" s="564" t="s">
        <v>25</v>
      </c>
      <c r="B30" s="560">
        <v>1246.96</v>
      </c>
      <c r="C30" s="561">
        <v>17.457579660637286</v>
      </c>
      <c r="D30" s="562">
        <v>1259.48</v>
      </c>
      <c r="E30" s="561">
        <v>17.632861062888502</v>
      </c>
      <c r="F30" s="860">
        <f t="shared" si="0"/>
        <v>-12.519999999999982</v>
      </c>
      <c r="G30" s="561">
        <v>0.1</v>
      </c>
    </row>
    <row r="31" spans="1:7" hidden="1">
      <c r="A31" s="564" t="s">
        <v>26</v>
      </c>
      <c r="B31" s="560">
        <v>1451.68</v>
      </c>
      <c r="C31" s="561">
        <v>17.745441032298444</v>
      </c>
      <c r="D31" s="562">
        <v>1487</v>
      </c>
      <c r="E31" s="561">
        <v>18.177195259993788</v>
      </c>
      <c r="F31" s="860">
        <f t="shared" si="0"/>
        <v>-35.319999999999936</v>
      </c>
      <c r="G31" s="561">
        <v>0.5</v>
      </c>
    </row>
    <row r="32" spans="1:7" hidden="1">
      <c r="A32" s="564" t="s">
        <v>27</v>
      </c>
      <c r="B32" s="560">
        <v>1651.88</v>
      </c>
      <c r="C32" s="561">
        <v>17.802656366528577</v>
      </c>
      <c r="D32" s="562">
        <v>1695.12</v>
      </c>
      <c r="E32" s="561">
        <v>18.268662893206479</v>
      </c>
      <c r="F32" s="860">
        <f t="shared" si="0"/>
        <v>-43.239999999999782</v>
      </c>
      <c r="G32" s="561">
        <v>0.5</v>
      </c>
    </row>
    <row r="33" spans="1:8" hidden="1">
      <c r="A33" s="564" t="s">
        <v>28</v>
      </c>
      <c r="B33" s="560">
        <v>1844.9</v>
      </c>
      <c r="C33" s="561">
        <v>17.627656951979468</v>
      </c>
      <c r="D33" s="562">
        <v>1867.7</v>
      </c>
      <c r="E33" s="561">
        <v>17.845506471468401</v>
      </c>
      <c r="F33" s="860">
        <f t="shared" si="0"/>
        <v>-22.799999999999955</v>
      </c>
      <c r="G33" s="561">
        <v>0.2</v>
      </c>
    </row>
    <row r="34" spans="1:8" hidden="1">
      <c r="A34" s="564" t="s">
        <v>29</v>
      </c>
      <c r="B34" s="560">
        <v>2055.1999999999998</v>
      </c>
      <c r="C34" s="561">
        <v>17.306072956313784</v>
      </c>
      <c r="D34" s="562">
        <v>2140.6999999999998</v>
      </c>
      <c r="E34" s="561">
        <v>18.026036579204415</v>
      </c>
      <c r="F34" s="860">
        <f t="shared" si="0"/>
        <v>-85.5</v>
      </c>
      <c r="G34" s="561">
        <v>0.7</v>
      </c>
    </row>
    <row r="35" spans="1:8">
      <c r="A35" s="559">
        <v>2006</v>
      </c>
      <c r="B35" s="560">
        <v>3868.7730000000001</v>
      </c>
      <c r="C35" s="561">
        <v>21.88342223074234</v>
      </c>
      <c r="D35" s="562">
        <v>3790.1235999999999</v>
      </c>
      <c r="E35" s="561">
        <v>21.367516548450027</v>
      </c>
      <c r="F35" s="860">
        <f t="shared" si="0"/>
        <v>78.649400000000242</v>
      </c>
      <c r="G35" s="561">
        <v>0.51590568229231271</v>
      </c>
    </row>
    <row r="36" spans="1:8" hidden="1">
      <c r="A36" s="564" t="s">
        <v>18</v>
      </c>
      <c r="B36" s="560">
        <v>198.6</v>
      </c>
      <c r="C36" s="561">
        <v>19.600000000000001</v>
      </c>
      <c r="D36" s="562">
        <v>129.4</v>
      </c>
      <c r="E36" s="561">
        <v>12.7</v>
      </c>
      <c r="F36" s="860">
        <f t="shared" si="0"/>
        <v>69.199999999999989</v>
      </c>
      <c r="G36" s="561">
        <v>6.9</v>
      </c>
    </row>
    <row r="37" spans="1:8" hidden="1">
      <c r="A37" s="564" t="s">
        <v>19</v>
      </c>
      <c r="B37" s="560">
        <v>420.2</v>
      </c>
      <c r="C37" s="561">
        <v>18.8</v>
      </c>
      <c r="D37" s="562">
        <v>405.8</v>
      </c>
      <c r="E37" s="561">
        <v>18.2</v>
      </c>
      <c r="F37" s="860">
        <f t="shared" si="0"/>
        <v>14.399999999999977</v>
      </c>
      <c r="G37" s="561">
        <v>0.6</v>
      </c>
    </row>
    <row r="38" spans="1:8" hidden="1">
      <c r="A38" s="564" t="s">
        <v>20</v>
      </c>
      <c r="B38" s="560">
        <v>658.7</v>
      </c>
      <c r="C38" s="561">
        <v>20.399999999999999</v>
      </c>
      <c r="D38" s="562">
        <v>664.4</v>
      </c>
      <c r="E38" s="561">
        <v>20.6</v>
      </c>
      <c r="F38" s="860">
        <f t="shared" si="0"/>
        <v>-5.6999999999999318</v>
      </c>
      <c r="G38" s="561">
        <v>0.2</v>
      </c>
    </row>
    <row r="39" spans="1:8" hidden="1">
      <c r="A39" s="564" t="s">
        <v>21</v>
      </c>
      <c r="B39" s="561">
        <v>1078.5999999999999</v>
      </c>
      <c r="C39" s="561">
        <v>24.087183724513721</v>
      </c>
      <c r="D39" s="562">
        <v>910.6</v>
      </c>
      <c r="E39" s="561">
        <v>20.335425087652698</v>
      </c>
      <c r="F39" s="860">
        <f t="shared" si="0"/>
        <v>167.99999999999989</v>
      </c>
      <c r="G39" s="561">
        <v>3.7517586368610267</v>
      </c>
    </row>
    <row r="40" spans="1:8" hidden="1">
      <c r="A40" s="564" t="s">
        <v>22</v>
      </c>
      <c r="B40" s="561">
        <v>1292.3</v>
      </c>
      <c r="C40" s="561">
        <f t="shared" ref="C40:C47" si="1">B40/H40*100</f>
        <v>22.075881036573907</v>
      </c>
      <c r="D40" s="562">
        <v>1118.0999999999999</v>
      </c>
      <c r="E40" s="561">
        <f t="shared" ref="E40:E47" si="2">D40/H40*100</f>
        <v>19.100087121406244</v>
      </c>
      <c r="F40" s="860">
        <f t="shared" si="0"/>
        <v>174.20000000000005</v>
      </c>
      <c r="G40" s="561">
        <f t="shared" ref="G40:G47" si="3">F40/H40*100</f>
        <v>2.9757939151676669</v>
      </c>
      <c r="H40" s="34">
        <v>5853.9</v>
      </c>
    </row>
    <row r="41" spans="1:8" hidden="1">
      <c r="A41" s="564" t="s">
        <v>23</v>
      </c>
      <c r="B41" s="561">
        <v>1540.6</v>
      </c>
      <c r="C41" s="561">
        <f t="shared" si="1"/>
        <v>21.55770737714094</v>
      </c>
      <c r="D41" s="562">
        <v>1446</v>
      </c>
      <c r="E41" s="561">
        <f t="shared" si="2"/>
        <v>20.233963953878877</v>
      </c>
      <c r="F41" s="860">
        <f t="shared" si="0"/>
        <v>94.599999999999909</v>
      </c>
      <c r="G41" s="561">
        <f t="shared" si="3"/>
        <v>1.3237434232620608</v>
      </c>
      <c r="H41" s="34">
        <v>7146.4</v>
      </c>
    </row>
    <row r="42" spans="1:8" hidden="1">
      <c r="A42" s="564" t="s">
        <v>24</v>
      </c>
      <c r="B42" s="561">
        <v>2077.6999999999998</v>
      </c>
      <c r="C42" s="561">
        <f t="shared" si="1"/>
        <v>23.600840574771397</v>
      </c>
      <c r="D42" s="562">
        <v>1823.9</v>
      </c>
      <c r="E42" s="561">
        <f t="shared" si="2"/>
        <v>20.717896291247801</v>
      </c>
      <c r="F42" s="860">
        <f t="shared" si="0"/>
        <v>253.79999999999973</v>
      </c>
      <c r="G42" s="561">
        <f t="shared" si="3"/>
        <v>2.8829442835235954</v>
      </c>
      <c r="H42" s="34">
        <v>8803.5</v>
      </c>
    </row>
    <row r="43" spans="1:8" hidden="1">
      <c r="A43" s="564" t="s">
        <v>25</v>
      </c>
      <c r="B43" s="561">
        <v>2427.8000000000002</v>
      </c>
      <c r="C43" s="561">
        <f t="shared" si="1"/>
        <v>23.578428040051666</v>
      </c>
      <c r="D43" s="562">
        <v>2155.3000000000002</v>
      </c>
      <c r="E43" s="561">
        <f t="shared" si="2"/>
        <v>20.931949071061602</v>
      </c>
      <c r="F43" s="860">
        <f t="shared" si="0"/>
        <v>272.5</v>
      </c>
      <c r="G43" s="561">
        <f t="shared" si="3"/>
        <v>2.6464789689900647</v>
      </c>
      <c r="H43" s="34">
        <v>10296.700000000001</v>
      </c>
    </row>
    <row r="44" spans="1:8" hidden="1">
      <c r="A44" s="564" t="s">
        <v>26</v>
      </c>
      <c r="B44" s="561">
        <v>2683.6</v>
      </c>
      <c r="C44" s="561">
        <f t="shared" si="1"/>
        <v>21.080580038019825</v>
      </c>
      <c r="D44" s="562">
        <v>2420.9</v>
      </c>
      <c r="E44" s="561">
        <f t="shared" si="2"/>
        <v>19.016983236712697</v>
      </c>
      <c r="F44" s="860">
        <f t="shared" si="0"/>
        <v>262.69999999999982</v>
      </c>
      <c r="G44" s="561">
        <f t="shared" si="3"/>
        <v>2.0635968013071264</v>
      </c>
      <c r="H44" s="34">
        <v>12730.2</v>
      </c>
    </row>
    <row r="45" spans="1:8" hidden="1">
      <c r="A45" s="564" t="s">
        <v>27</v>
      </c>
      <c r="B45" s="561">
        <v>3387.4</v>
      </c>
      <c r="C45" s="561">
        <f t="shared" si="1"/>
        <v>22.947066075952797</v>
      </c>
      <c r="D45" s="562">
        <v>2765.9</v>
      </c>
      <c r="E45" s="561">
        <f t="shared" si="2"/>
        <v>18.73687490685418</v>
      </c>
      <c r="F45" s="860">
        <f t="shared" si="0"/>
        <v>621.5</v>
      </c>
      <c r="G45" s="561">
        <f t="shared" si="3"/>
        <v>4.2101911690986196</v>
      </c>
      <c r="H45" s="34">
        <v>14761.8</v>
      </c>
    </row>
    <row r="46" spans="1:8" hidden="1">
      <c r="A46" s="564" t="s">
        <v>28</v>
      </c>
      <c r="B46" s="561">
        <v>3624.6</v>
      </c>
      <c r="C46" s="561">
        <f t="shared" si="1"/>
        <v>22.196773916984089</v>
      </c>
      <c r="D46" s="562">
        <v>3116.5</v>
      </c>
      <c r="E46" s="561">
        <f t="shared" si="2"/>
        <v>19.085208274645733</v>
      </c>
      <c r="F46" s="860">
        <f t="shared" si="0"/>
        <v>508.09999999999991</v>
      </c>
      <c r="G46" s="561">
        <f t="shared" si="3"/>
        <v>3.1115656423383586</v>
      </c>
      <c r="H46" s="24">
        <v>16329.4</v>
      </c>
    </row>
    <row r="47" spans="1:8" hidden="1">
      <c r="A47" s="564" t="s">
        <v>29</v>
      </c>
      <c r="B47" s="562">
        <v>3881.2</v>
      </c>
      <c r="C47" s="561">
        <f t="shared" si="1"/>
        <v>21.88342223074234</v>
      </c>
      <c r="D47" s="562">
        <v>3789.7</v>
      </c>
      <c r="E47" s="560">
        <f t="shared" si="2"/>
        <v>21.367516548450027</v>
      </c>
      <c r="F47" s="860">
        <f t="shared" si="0"/>
        <v>91.5</v>
      </c>
      <c r="G47" s="561">
        <f t="shared" si="3"/>
        <v>0.51590568229231271</v>
      </c>
      <c r="H47" s="24">
        <v>17735.8</v>
      </c>
    </row>
    <row r="48" spans="1:8" hidden="1">
      <c r="A48" s="564"/>
      <c r="B48" s="565"/>
      <c r="C48" s="561"/>
      <c r="D48" s="565"/>
      <c r="E48" s="561"/>
      <c r="F48" s="860">
        <f t="shared" si="0"/>
        <v>0</v>
      </c>
      <c r="G48" s="561"/>
      <c r="H48" s="24"/>
    </row>
    <row r="49" spans="1:8">
      <c r="A49" s="559">
        <v>2007</v>
      </c>
      <c r="B49" s="565">
        <v>6006.6</v>
      </c>
      <c r="C49" s="561">
        <v>23.809165176925731</v>
      </c>
      <c r="D49" s="565">
        <v>6086.19</v>
      </c>
      <c r="E49" s="561">
        <v>24.018851994403068</v>
      </c>
      <c r="F49" s="860">
        <f t="shared" ref="F49:F75" si="4">+B49-D49</f>
        <v>-79.589999999999236</v>
      </c>
      <c r="G49" s="561">
        <v>-0.209686817477337</v>
      </c>
      <c r="H49" s="24"/>
    </row>
    <row r="50" spans="1:8" hidden="1">
      <c r="A50" s="564" t="s">
        <v>18</v>
      </c>
      <c r="B50" s="565">
        <v>515.29999999999995</v>
      </c>
      <c r="C50" s="561">
        <f t="shared" ref="C50:C61" si="5">B50/H50*100</f>
        <v>31.287188828172429</v>
      </c>
      <c r="D50" s="562">
        <v>92</v>
      </c>
      <c r="E50" s="561">
        <f t="shared" ref="E50:E61" si="6">D50/H50*100</f>
        <v>5.5859137826350942</v>
      </c>
      <c r="F50" s="860">
        <f t="shared" si="4"/>
        <v>423.29999999999995</v>
      </c>
      <c r="G50" s="561">
        <f t="shared" ref="G50:G60" si="7">F50/H50*100</f>
        <v>25.701275045537336</v>
      </c>
      <c r="H50" s="24">
        <v>1647</v>
      </c>
    </row>
    <row r="51" spans="1:8" hidden="1">
      <c r="A51" s="564" t="s">
        <v>19</v>
      </c>
      <c r="B51" s="565">
        <v>777.1</v>
      </c>
      <c r="C51" s="561">
        <f t="shared" si="5"/>
        <v>23.742018270141457</v>
      </c>
      <c r="D51" s="562">
        <v>462.7</v>
      </c>
      <c r="E51" s="561">
        <f t="shared" si="6"/>
        <v>14.136445571476584</v>
      </c>
      <c r="F51" s="860">
        <f t="shared" si="4"/>
        <v>314.40000000000003</v>
      </c>
      <c r="G51" s="561">
        <f t="shared" si="7"/>
        <v>9.6055726986648757</v>
      </c>
      <c r="H51" s="24">
        <v>3273.1</v>
      </c>
    </row>
    <row r="52" spans="1:8" hidden="1">
      <c r="A52" s="564" t="s">
        <v>20</v>
      </c>
      <c r="B52" s="565">
        <v>1086.8</v>
      </c>
      <c r="C52" s="561">
        <f t="shared" si="5"/>
        <v>21.121778676099041</v>
      </c>
      <c r="D52" s="562">
        <v>834.6</v>
      </c>
      <c r="E52" s="561">
        <f t="shared" si="6"/>
        <v>16.220313289540172</v>
      </c>
      <c r="F52" s="860">
        <f t="shared" si="4"/>
        <v>252.19999999999993</v>
      </c>
      <c r="G52" s="561">
        <f t="shared" si="7"/>
        <v>4.9014653865588667</v>
      </c>
      <c r="H52" s="24">
        <v>5145.3999999999996</v>
      </c>
    </row>
    <row r="53" spans="1:8" hidden="1">
      <c r="A53" s="564" t="s">
        <v>21</v>
      </c>
      <c r="B53" s="561">
        <v>1869.1</v>
      </c>
      <c r="C53" s="561">
        <f t="shared" si="5"/>
        <v>27.150576682838963</v>
      </c>
      <c r="D53" s="562">
        <v>1305.7</v>
      </c>
      <c r="E53" s="561">
        <f t="shared" si="6"/>
        <v>18.966619215014092</v>
      </c>
      <c r="F53" s="860">
        <f t="shared" si="4"/>
        <v>563.39999999999986</v>
      </c>
      <c r="G53" s="561">
        <f t="shared" si="7"/>
        <v>8.1839574678248717</v>
      </c>
      <c r="H53" s="24">
        <v>6884.2</v>
      </c>
    </row>
    <row r="54" spans="1:8" hidden="1">
      <c r="A54" s="564" t="s">
        <v>22</v>
      </c>
      <c r="B54" s="561">
        <v>2210.1999999999998</v>
      </c>
      <c r="C54" s="561">
        <f t="shared" si="5"/>
        <v>25.221380317692166</v>
      </c>
      <c r="D54" s="562">
        <v>1731.3</v>
      </c>
      <c r="E54" s="561">
        <f t="shared" si="6"/>
        <v>19.756481650538614</v>
      </c>
      <c r="F54" s="860">
        <f t="shared" si="4"/>
        <v>478.89999999999986</v>
      </c>
      <c r="G54" s="561">
        <f t="shared" si="7"/>
        <v>5.4648986671535491</v>
      </c>
      <c r="H54" s="24">
        <v>8763.2000000000007</v>
      </c>
    </row>
    <row r="55" spans="1:8" hidden="1">
      <c r="A55" s="564" t="s">
        <v>23</v>
      </c>
      <c r="B55" s="561">
        <v>2582.3000000000002</v>
      </c>
      <c r="C55" s="561">
        <f t="shared" si="5"/>
        <v>24.196057119298381</v>
      </c>
      <c r="D55" s="562">
        <v>2284.8000000000002</v>
      </c>
      <c r="E55" s="561">
        <f t="shared" si="6"/>
        <v>21.408492935047416</v>
      </c>
      <c r="F55" s="860">
        <f t="shared" si="4"/>
        <v>297.5</v>
      </c>
      <c r="G55" s="561">
        <f t="shared" si="7"/>
        <v>2.7875641842509653</v>
      </c>
      <c r="H55" s="24">
        <v>10672.4</v>
      </c>
    </row>
    <row r="56" spans="1:8" hidden="1">
      <c r="A56" s="564" t="s">
        <v>24</v>
      </c>
      <c r="B56" s="561">
        <v>3615.6</v>
      </c>
      <c r="C56" s="561">
        <f t="shared" si="5"/>
        <v>28.380574110850333</v>
      </c>
      <c r="D56" s="562">
        <v>2896</v>
      </c>
      <c r="E56" s="561">
        <f t="shared" si="6"/>
        <v>22.73208945265587</v>
      </c>
      <c r="F56" s="860">
        <f t="shared" si="4"/>
        <v>719.59999999999991</v>
      </c>
      <c r="G56" s="561">
        <f t="shared" si="7"/>
        <v>5.6484846581944623</v>
      </c>
      <c r="H56" s="24">
        <v>12739.7</v>
      </c>
    </row>
    <row r="57" spans="1:8" hidden="1">
      <c r="A57" s="564" t="s">
        <v>25</v>
      </c>
      <c r="B57" s="561">
        <v>3963.6</v>
      </c>
      <c r="C57" s="561">
        <f t="shared" si="5"/>
        <v>26.751437596177208</v>
      </c>
      <c r="D57" s="562">
        <v>3388.5</v>
      </c>
      <c r="E57" s="561">
        <f t="shared" si="6"/>
        <v>22.869927917712804</v>
      </c>
      <c r="F57" s="860">
        <f t="shared" si="4"/>
        <v>575.09999999999991</v>
      </c>
      <c r="G57" s="561">
        <f t="shared" si="7"/>
        <v>3.8815096784644036</v>
      </c>
      <c r="H57" s="25">
        <v>14816.4</v>
      </c>
    </row>
    <row r="58" spans="1:8" hidden="1">
      <c r="A58" s="564" t="s">
        <v>26</v>
      </c>
      <c r="B58" s="561">
        <v>4383.3999999999996</v>
      </c>
      <c r="C58" s="561">
        <f t="shared" si="5"/>
        <v>26.39330443159923</v>
      </c>
      <c r="D58" s="562">
        <v>3985.9</v>
      </c>
      <c r="E58" s="561">
        <f t="shared" si="6"/>
        <v>23.999879576107901</v>
      </c>
      <c r="F58" s="860">
        <f t="shared" si="4"/>
        <v>397.49999999999955</v>
      </c>
      <c r="G58" s="561">
        <f t="shared" si="7"/>
        <v>2.3934248554913267</v>
      </c>
      <c r="H58" s="25">
        <v>16608</v>
      </c>
    </row>
    <row r="59" spans="1:8" hidden="1">
      <c r="A59" s="564" t="s">
        <v>27</v>
      </c>
      <c r="B59" s="561">
        <v>5224.1000000000004</v>
      </c>
      <c r="C59" s="561">
        <f t="shared" si="5"/>
        <v>27.877329291980622</v>
      </c>
      <c r="D59" s="562">
        <v>4402.8</v>
      </c>
      <c r="E59" s="561">
        <f t="shared" si="6"/>
        <v>23.494631689043526</v>
      </c>
      <c r="F59" s="860">
        <f t="shared" si="4"/>
        <v>821.30000000000018</v>
      </c>
      <c r="G59" s="561">
        <f t="shared" si="7"/>
        <v>4.382697602937097</v>
      </c>
      <c r="H59" s="25">
        <v>18739.599999999999</v>
      </c>
    </row>
    <row r="60" spans="1:8" hidden="1">
      <c r="A60" s="564" t="s">
        <v>28</v>
      </c>
      <c r="B60" s="561">
        <v>5566.1</v>
      </c>
      <c r="C60" s="561">
        <f t="shared" si="5"/>
        <v>26.736958401383422</v>
      </c>
      <c r="D60" s="562">
        <v>4841.3999999999996</v>
      </c>
      <c r="E60" s="561">
        <f t="shared" si="6"/>
        <v>23.255836295513497</v>
      </c>
      <c r="F60" s="860">
        <f t="shared" si="4"/>
        <v>724.70000000000073</v>
      </c>
      <c r="G60" s="561">
        <f t="shared" si="7"/>
        <v>3.4811221058699235</v>
      </c>
      <c r="H60" s="25">
        <v>20818</v>
      </c>
    </row>
    <row r="61" spans="1:8" hidden="1">
      <c r="A61" s="564" t="s">
        <v>29</v>
      </c>
      <c r="B61" s="561">
        <v>6006.6</v>
      </c>
      <c r="C61" s="561">
        <f t="shared" si="5"/>
        <v>23.809165176925731</v>
      </c>
      <c r="D61" s="562">
        <v>6059.5</v>
      </c>
      <c r="E61" s="561">
        <f t="shared" si="6"/>
        <v>24.018851994403068</v>
      </c>
      <c r="F61" s="860">
        <f t="shared" si="4"/>
        <v>-52.899999999999636</v>
      </c>
      <c r="G61" s="561">
        <f>-F61/H61*100</f>
        <v>0.20968681747733534</v>
      </c>
      <c r="H61" s="25">
        <v>25228.1</v>
      </c>
    </row>
    <row r="62" spans="1:8">
      <c r="A62" s="559">
        <v>2008</v>
      </c>
      <c r="B62" s="561">
        <v>10762</v>
      </c>
      <c r="C62" s="561">
        <v>26.813031302631973</v>
      </c>
      <c r="D62" s="562">
        <v>10774.2341</v>
      </c>
      <c r="E62" s="561">
        <v>26.608732049071687</v>
      </c>
      <c r="F62" s="860">
        <f t="shared" si="4"/>
        <v>-12.234099999999671</v>
      </c>
      <c r="G62" s="561">
        <v>0.20429925356028825</v>
      </c>
      <c r="H62" s="24"/>
    </row>
    <row r="63" spans="1:8" hidden="1">
      <c r="A63" s="564" t="s">
        <v>18</v>
      </c>
      <c r="B63" s="561">
        <v>978.3</v>
      </c>
      <c r="C63" s="561">
        <f t="shared" ref="C63:C73" si="8">B63/H63*100</f>
        <v>42.795275590551178</v>
      </c>
      <c r="D63" s="562">
        <v>179.5</v>
      </c>
      <c r="E63" s="561">
        <f t="shared" ref="E63:E73" si="9">D63/H63*100</f>
        <v>7.8521434820647409</v>
      </c>
      <c r="F63" s="860">
        <f t="shared" si="4"/>
        <v>798.8</v>
      </c>
      <c r="G63" s="561">
        <f t="shared" ref="G63:G73" si="10">F63/H63*100</f>
        <v>34.943132108486438</v>
      </c>
      <c r="H63" s="24">
        <v>2286</v>
      </c>
    </row>
    <row r="64" spans="1:8" hidden="1">
      <c r="A64" s="564" t="s">
        <v>19</v>
      </c>
      <c r="B64" s="561">
        <v>1425.1</v>
      </c>
      <c r="C64" s="561">
        <f t="shared" si="8"/>
        <v>29.895112229913991</v>
      </c>
      <c r="D64" s="562">
        <v>832.6</v>
      </c>
      <c r="E64" s="561">
        <f t="shared" si="9"/>
        <v>17.465911474722049</v>
      </c>
      <c r="F64" s="860">
        <f t="shared" si="4"/>
        <v>592.49999999999989</v>
      </c>
      <c r="G64" s="561">
        <f t="shared" si="10"/>
        <v>12.429200755191943</v>
      </c>
      <c r="H64" s="24">
        <v>4767</v>
      </c>
    </row>
    <row r="65" spans="1:8" hidden="1">
      <c r="A65" s="564" t="s">
        <v>20</v>
      </c>
      <c r="B65" s="561">
        <v>1984.4</v>
      </c>
      <c r="C65" s="561">
        <f t="shared" si="8"/>
        <v>24.171112572778878</v>
      </c>
      <c r="D65" s="562">
        <v>1372.5</v>
      </c>
      <c r="E65" s="561">
        <f t="shared" si="9"/>
        <v>16.71782503836878</v>
      </c>
      <c r="F65" s="860">
        <f t="shared" si="4"/>
        <v>611.90000000000009</v>
      </c>
      <c r="G65" s="561">
        <f t="shared" si="10"/>
        <v>7.4532875344100971</v>
      </c>
      <c r="H65" s="24">
        <v>8209.7999999999993</v>
      </c>
    </row>
    <row r="66" spans="1:8" hidden="1">
      <c r="A66" s="564" t="s">
        <v>21</v>
      </c>
      <c r="B66" s="560">
        <v>3427.5</v>
      </c>
      <c r="C66" s="561">
        <f t="shared" si="8"/>
        <v>30.678278615158781</v>
      </c>
      <c r="D66" s="562">
        <v>2131.1999999999998</v>
      </c>
      <c r="E66" s="561">
        <f t="shared" si="9"/>
        <v>19.075579105653215</v>
      </c>
      <c r="F66" s="860">
        <f t="shared" si="4"/>
        <v>1296.3000000000002</v>
      </c>
      <c r="G66" s="561">
        <f t="shared" si="10"/>
        <v>11.60269950950557</v>
      </c>
      <c r="H66" s="24">
        <v>11172.4</v>
      </c>
    </row>
    <row r="67" spans="1:8" hidden="1">
      <c r="A67" s="564" t="s">
        <v>22</v>
      </c>
      <c r="B67" s="561">
        <v>4070.6</v>
      </c>
      <c r="C67" s="561">
        <f t="shared" si="8"/>
        <v>28.448625302265768</v>
      </c>
      <c r="D67" s="565">
        <v>2972.6</v>
      </c>
      <c r="E67" s="561">
        <f t="shared" si="9"/>
        <v>20.774918580434143</v>
      </c>
      <c r="F67" s="860">
        <f t="shared" si="4"/>
        <v>1098</v>
      </c>
      <c r="G67" s="561">
        <f t="shared" si="10"/>
        <v>7.6737067218316257</v>
      </c>
      <c r="H67" s="24">
        <v>14308.6</v>
      </c>
    </row>
    <row r="68" spans="1:8" hidden="1">
      <c r="A68" s="564" t="s">
        <v>23</v>
      </c>
      <c r="B68" s="561">
        <v>4809.7</v>
      </c>
      <c r="C68" s="561">
        <f t="shared" si="8"/>
        <v>25.990370534483969</v>
      </c>
      <c r="D68" s="562">
        <v>4094.6</v>
      </c>
      <c r="E68" s="561">
        <f t="shared" si="9"/>
        <v>22.126155724992838</v>
      </c>
      <c r="F68" s="860">
        <f t="shared" si="4"/>
        <v>715.09999999999991</v>
      </c>
      <c r="G68" s="561">
        <f t="shared" si="10"/>
        <v>3.8642148094911288</v>
      </c>
      <c r="H68" s="24">
        <v>18505.7</v>
      </c>
    </row>
    <row r="69" spans="1:8" hidden="1">
      <c r="A69" s="564" t="s">
        <v>24</v>
      </c>
      <c r="B69" s="561">
        <v>6038.9</v>
      </c>
      <c r="C69" s="561">
        <f t="shared" si="8"/>
        <v>26.236580629184392</v>
      </c>
      <c r="D69" s="562">
        <v>5106.5</v>
      </c>
      <c r="E69" s="561">
        <f t="shared" si="9"/>
        <v>22.185679342749523</v>
      </c>
      <c r="F69" s="860">
        <f t="shared" si="4"/>
        <v>932.39999999999964</v>
      </c>
      <c r="G69" s="561">
        <f t="shared" si="10"/>
        <v>4.0509012864348666</v>
      </c>
      <c r="H69" s="24">
        <v>23017.1</v>
      </c>
    </row>
    <row r="70" spans="1:8" hidden="1">
      <c r="A70" s="564" t="s">
        <v>25</v>
      </c>
      <c r="B70" s="561">
        <v>6685.7</v>
      </c>
      <c r="C70" s="561">
        <f t="shared" si="8"/>
        <v>25.821588991151671</v>
      </c>
      <c r="D70" s="562">
        <v>5828.2</v>
      </c>
      <c r="E70" s="561">
        <f t="shared" si="9"/>
        <v>22.509742429099447</v>
      </c>
      <c r="F70" s="860">
        <f t="shared" si="4"/>
        <v>857.5</v>
      </c>
      <c r="G70" s="561">
        <f t="shared" si="10"/>
        <v>3.3118465620522244</v>
      </c>
      <c r="H70" s="24">
        <v>25891.9</v>
      </c>
    </row>
    <row r="71" spans="1:8" hidden="1">
      <c r="A71" s="564" t="s">
        <v>26</v>
      </c>
      <c r="B71" s="561">
        <v>7606.5</v>
      </c>
      <c r="C71" s="561">
        <f t="shared" si="8"/>
        <v>25.045768248030974</v>
      </c>
      <c r="D71" s="562">
        <v>6719.1</v>
      </c>
      <c r="E71" s="561">
        <f t="shared" si="9"/>
        <v>22.123844269420225</v>
      </c>
      <c r="F71" s="860">
        <f t="shared" si="4"/>
        <v>887.39999999999964</v>
      </c>
      <c r="G71" s="561">
        <f t="shared" si="10"/>
        <v>2.9219239786107511</v>
      </c>
      <c r="H71" s="24">
        <v>30370.400000000001</v>
      </c>
    </row>
    <row r="72" spans="1:8" hidden="1">
      <c r="A72" s="564" t="s">
        <v>27</v>
      </c>
      <c r="B72" s="561">
        <v>8736.2999999999993</v>
      </c>
      <c r="C72" s="561">
        <f t="shared" si="8"/>
        <v>26.845899503417076</v>
      </c>
      <c r="D72" s="562">
        <v>7598.4</v>
      </c>
      <c r="E72" s="561">
        <f t="shared" si="9"/>
        <v>23.349230542307879</v>
      </c>
      <c r="F72" s="860">
        <f t="shared" si="4"/>
        <v>1137.8999999999996</v>
      </c>
      <c r="G72" s="561">
        <f t="shared" si="10"/>
        <v>3.4966689611091977</v>
      </c>
      <c r="H72" s="24">
        <v>32542.400000000001</v>
      </c>
    </row>
    <row r="73" spans="1:8" hidden="1">
      <c r="A73" s="564" t="s">
        <v>28</v>
      </c>
      <c r="B73" s="561">
        <v>9387.2999999999993</v>
      </c>
      <c r="C73" s="561">
        <f t="shared" si="8"/>
        <v>27.083489610681866</v>
      </c>
      <c r="D73" s="562">
        <v>8280.7999999999993</v>
      </c>
      <c r="E73" s="561">
        <f t="shared" si="9"/>
        <v>23.891104020126598</v>
      </c>
      <c r="F73" s="860">
        <f t="shared" si="4"/>
        <v>1106.5</v>
      </c>
      <c r="G73" s="561">
        <f t="shared" si="10"/>
        <v>3.1923855905552703</v>
      </c>
      <c r="H73" s="24">
        <v>34660.6</v>
      </c>
    </row>
    <row r="74" spans="1:8" hidden="1">
      <c r="A74" s="564" t="s">
        <v>29</v>
      </c>
      <c r="B74" s="561">
        <v>10762</v>
      </c>
      <c r="C74" s="561">
        <v>26.813031302631973</v>
      </c>
      <c r="D74" s="562">
        <v>10680</v>
      </c>
      <c r="E74" s="561">
        <v>26.608732049071687</v>
      </c>
      <c r="F74" s="860">
        <f t="shared" si="4"/>
        <v>82</v>
      </c>
      <c r="G74" s="561">
        <v>0.20429925356028825</v>
      </c>
      <c r="H74" s="26">
        <v>40137.199999999997</v>
      </c>
    </row>
    <row r="75" spans="1:8">
      <c r="A75" s="559">
        <v>2009</v>
      </c>
      <c r="B75" s="561">
        <v>10325.9</v>
      </c>
      <c r="C75" s="561">
        <v>29.862024888153694</v>
      </c>
      <c r="D75" s="565">
        <v>10503.8588</v>
      </c>
      <c r="E75" s="561">
        <v>30.561877687709487</v>
      </c>
      <c r="F75" s="860">
        <f t="shared" si="4"/>
        <v>-177.95880000000034</v>
      </c>
      <c r="G75" s="561">
        <v>-0.69985279955579605</v>
      </c>
      <c r="H75" s="26"/>
    </row>
    <row r="76" spans="1:8" hidden="1">
      <c r="A76" s="564" t="s">
        <v>18</v>
      </c>
      <c r="B76" s="566">
        <v>997.4</v>
      </c>
      <c r="C76" s="566">
        <f t="shared" ref="C76:C86" si="11">B76/H76*100</f>
        <v>53.623655913978496</v>
      </c>
      <c r="D76" s="567">
        <v>241.5</v>
      </c>
      <c r="E76" s="566">
        <v>12.983870967741936</v>
      </c>
      <c r="F76" s="566">
        <v>755.9</v>
      </c>
      <c r="G76" s="566">
        <v>40.63978494623656</v>
      </c>
      <c r="H76" s="26">
        <v>1860</v>
      </c>
    </row>
    <row r="77" spans="1:8" hidden="1">
      <c r="A77" s="564" t="s">
        <v>19</v>
      </c>
      <c r="B77" s="566">
        <v>1799.8</v>
      </c>
      <c r="C77" s="566">
        <f t="shared" si="11"/>
        <v>46.635400202109189</v>
      </c>
      <c r="D77" s="567">
        <v>1440</v>
      </c>
      <c r="E77" s="566">
        <v>37.312465991241936</v>
      </c>
      <c r="F77" s="566">
        <v>359.79999999999995</v>
      </c>
      <c r="G77" s="566">
        <v>9.3229342108672544</v>
      </c>
      <c r="H77" s="26">
        <v>3859.3</v>
      </c>
    </row>
    <row r="78" spans="1:8" hidden="1">
      <c r="A78" s="564" t="s">
        <v>20</v>
      </c>
      <c r="B78" s="566">
        <v>2522.3000000000002</v>
      </c>
      <c r="C78" s="566">
        <f t="shared" si="11"/>
        <v>37.412857100477623</v>
      </c>
      <c r="D78" s="567">
        <v>2347.6999999999998</v>
      </c>
      <c r="E78" s="566">
        <v>34.823044290842205</v>
      </c>
      <c r="F78" s="566">
        <v>174.6</v>
      </c>
      <c r="G78" s="566">
        <v>2.5898128096354087</v>
      </c>
      <c r="H78" s="26">
        <v>6741.8</v>
      </c>
    </row>
    <row r="79" spans="1:8" hidden="1">
      <c r="A79" s="564" t="s">
        <v>21</v>
      </c>
      <c r="B79" s="566">
        <v>3234.2</v>
      </c>
      <c r="C79" s="566">
        <f t="shared" si="11"/>
        <v>35.951534015117829</v>
      </c>
      <c r="D79" s="567">
        <v>2972.4</v>
      </c>
      <c r="E79" s="566">
        <v>33.041351711871947</v>
      </c>
      <c r="F79" s="566">
        <v>261.8</v>
      </c>
      <c r="G79" s="566">
        <v>2.9101823032458873</v>
      </c>
      <c r="H79" s="26">
        <v>8996</v>
      </c>
    </row>
    <row r="80" spans="1:8" hidden="1">
      <c r="A80" s="564" t="s">
        <v>22</v>
      </c>
      <c r="B80" s="566">
        <v>3994.4</v>
      </c>
      <c r="C80" s="566">
        <f t="shared" si="11"/>
        <v>35.143100975708464</v>
      </c>
      <c r="D80" s="567">
        <v>3657.4</v>
      </c>
      <c r="E80" s="566">
        <v>32.178143778428833</v>
      </c>
      <c r="F80" s="566">
        <v>337</v>
      </c>
      <c r="G80" s="566">
        <v>2.9649571972796296</v>
      </c>
      <c r="H80" s="26">
        <v>11366.1</v>
      </c>
    </row>
    <row r="81" spans="1:8" s="858" customFormat="1" hidden="1">
      <c r="A81" s="864" t="s">
        <v>23</v>
      </c>
      <c r="B81" s="859">
        <v>4861.8999999999996</v>
      </c>
      <c r="C81" s="859">
        <f t="shared" si="11"/>
        <v>34.028570028765998</v>
      </c>
      <c r="D81" s="863">
        <v>4437.8999999999996</v>
      </c>
      <c r="E81" s="859">
        <v>31.060982523429239</v>
      </c>
      <c r="F81" s="859">
        <f>+B81-D81</f>
        <v>424</v>
      </c>
      <c r="G81" s="859">
        <v>2.9675875053367582</v>
      </c>
      <c r="H81" s="862">
        <v>14287.7</v>
      </c>
    </row>
    <row r="82" spans="1:8" s="858" customFormat="1" hidden="1">
      <c r="A82" s="864" t="s">
        <v>24</v>
      </c>
      <c r="B82" s="859">
        <v>5708.7</v>
      </c>
      <c r="C82" s="859">
        <f t="shared" si="11"/>
        <v>32.928791855334119</v>
      </c>
      <c r="D82" s="863">
        <v>5276</v>
      </c>
      <c r="E82" s="859">
        <v>30.432901681423587</v>
      </c>
      <c r="F82" s="859">
        <v>432.69999999999982</v>
      </c>
      <c r="G82" s="859">
        <v>2.4958901739105346</v>
      </c>
      <c r="H82" s="862">
        <v>17336.5</v>
      </c>
    </row>
    <row r="83" spans="1:8" s="858" customFormat="1" hidden="1">
      <c r="A83" s="864" t="s">
        <v>25</v>
      </c>
      <c r="B83" s="859">
        <v>6539.1</v>
      </c>
      <c r="C83" s="859">
        <f t="shared" si="11"/>
        <v>31.700116346713209</v>
      </c>
      <c r="D83" s="863">
        <v>5861.4</v>
      </c>
      <c r="E83" s="859">
        <f>D83/H83*100</f>
        <v>28.414776032577077</v>
      </c>
      <c r="F83" s="859">
        <v>677.70000000000073</v>
      </c>
      <c r="G83" s="859">
        <f>F83/H83*100</f>
        <v>3.2853403141361293</v>
      </c>
      <c r="H83" s="862">
        <v>20628</v>
      </c>
    </row>
    <row r="84" spans="1:8" s="858" customFormat="1" hidden="1">
      <c r="A84" s="864" t="s">
        <v>26</v>
      </c>
      <c r="B84" s="859">
        <v>7235</v>
      </c>
      <c r="C84" s="859">
        <f t="shared" si="11"/>
        <v>27.150764612064922</v>
      </c>
      <c r="D84" s="863">
        <v>6456.8</v>
      </c>
      <c r="E84" s="859">
        <f>D84/H84*100</f>
        <v>24.230415611220565</v>
      </c>
      <c r="F84" s="859">
        <v>778.2</v>
      </c>
      <c r="G84" s="859">
        <f>F84/H84*100</f>
        <v>2.9203490008443569</v>
      </c>
      <c r="H84" s="862">
        <v>26647.5</v>
      </c>
    </row>
    <row r="85" spans="1:8" s="858" customFormat="1" hidden="1">
      <c r="A85" s="864" t="s">
        <v>27</v>
      </c>
      <c r="B85" s="859">
        <v>8342.2000000000007</v>
      </c>
      <c r="C85" s="859">
        <f t="shared" si="11"/>
        <v>31.305751008537392</v>
      </c>
      <c r="D85" s="863">
        <v>7178.9</v>
      </c>
      <c r="E85" s="859">
        <f>D85/H85*100</f>
        <v>26.940238296275449</v>
      </c>
      <c r="F85" s="859">
        <v>1163.3000000000011</v>
      </c>
      <c r="G85" s="859">
        <f>F85/H85*100</f>
        <v>4.3655127122619426</v>
      </c>
      <c r="H85" s="862">
        <v>26647.5</v>
      </c>
    </row>
    <row r="86" spans="1:8" s="858" customFormat="1" hidden="1">
      <c r="A86" s="864" t="s">
        <v>28</v>
      </c>
      <c r="B86" s="859">
        <v>8919.1</v>
      </c>
      <c r="C86" s="859">
        <f t="shared" si="11"/>
        <v>30.077021130227759</v>
      </c>
      <c r="D86" s="863">
        <v>7892.2</v>
      </c>
      <c r="E86" s="859">
        <f>D86/H86*100</f>
        <v>26.614105253218767</v>
      </c>
      <c r="F86" s="859">
        <v>1026.9000000000005</v>
      </c>
      <c r="G86" s="859">
        <f>F86/H86*100</f>
        <v>3.4629158770089923</v>
      </c>
      <c r="H86" s="862">
        <v>29654.2</v>
      </c>
    </row>
    <row r="87" spans="1:8" s="858" customFormat="1" hidden="1">
      <c r="A87" s="864" t="s">
        <v>29</v>
      </c>
      <c r="B87" s="859">
        <v>10325.9</v>
      </c>
      <c r="C87" s="859">
        <v>29.862024888153694</v>
      </c>
      <c r="D87" s="863">
        <v>10567.9</v>
      </c>
      <c r="E87" s="859">
        <v>30.561877687709487</v>
      </c>
      <c r="F87" s="859">
        <v>-242</v>
      </c>
      <c r="G87" s="859">
        <v>0.69985279955579593</v>
      </c>
      <c r="H87" s="862">
        <v>34578.699999999997</v>
      </c>
    </row>
    <row r="88" spans="1:8" s="858" customFormat="1">
      <c r="A88" s="559">
        <v>2010</v>
      </c>
      <c r="B88" s="561">
        <v>11403</v>
      </c>
      <c r="C88" s="860">
        <v>27.426535849927962</v>
      </c>
      <c r="D88" s="562">
        <v>11765.9</v>
      </c>
      <c r="E88" s="860">
        <v>28.30086567070839</v>
      </c>
      <c r="F88" s="860">
        <v>-363.5</v>
      </c>
      <c r="G88" s="860">
        <v>0.87432982078042665</v>
      </c>
      <c r="H88" s="26"/>
    </row>
    <row r="89" spans="1:8" s="858" customFormat="1" hidden="1">
      <c r="A89" s="564" t="s">
        <v>18</v>
      </c>
      <c r="B89" s="566">
        <v>973</v>
      </c>
      <c r="C89" s="859">
        <v>30.292652552926526</v>
      </c>
      <c r="D89" s="567">
        <v>320.39999999999998</v>
      </c>
      <c r="E89" s="859">
        <v>9.9750933997509339</v>
      </c>
      <c r="F89" s="859">
        <v>652.6</v>
      </c>
      <c r="G89" s="859">
        <v>20.317559153175594</v>
      </c>
      <c r="H89" s="26">
        <v>3212</v>
      </c>
    </row>
    <row r="90" spans="1:8" s="858" customFormat="1" hidden="1">
      <c r="A90" s="564" t="s">
        <v>19</v>
      </c>
      <c r="B90" s="566">
        <v>1632.3</v>
      </c>
      <c r="C90" s="859">
        <v>26.636749347258487</v>
      </c>
      <c r="D90" s="567">
        <v>1081.5999999999999</v>
      </c>
      <c r="E90" s="859">
        <v>17.650130548302869</v>
      </c>
      <c r="F90" s="859">
        <v>550.70000000000005</v>
      </c>
      <c r="G90" s="859">
        <v>8.9866187989556146</v>
      </c>
      <c r="H90" s="26">
        <v>6128</v>
      </c>
    </row>
    <row r="91" spans="1:8" s="858" customFormat="1" hidden="1">
      <c r="A91" s="564" t="s">
        <v>20</v>
      </c>
      <c r="B91" s="566">
        <v>2446.1999999999998</v>
      </c>
      <c r="C91" s="859">
        <v>25.61036894342309</v>
      </c>
      <c r="D91" s="567">
        <v>1979.1</v>
      </c>
      <c r="E91" s="859">
        <v>20.720088780937225</v>
      </c>
      <c r="F91" s="859">
        <v>467.09999999999991</v>
      </c>
      <c r="G91" s="859">
        <v>4.8902801624858654</v>
      </c>
      <c r="H91" s="26">
        <v>9551.6</v>
      </c>
    </row>
    <row r="92" spans="1:8" s="858" customFormat="1" hidden="1">
      <c r="A92" s="564" t="s">
        <v>21</v>
      </c>
      <c r="B92" s="566">
        <v>3232.6</v>
      </c>
      <c r="C92" s="859">
        <v>24.895070427958629</v>
      </c>
      <c r="D92" s="567">
        <v>2779.9</v>
      </c>
      <c r="E92" s="859">
        <v>21.408713197637258</v>
      </c>
      <c r="F92" s="859">
        <v>452.69999999999982</v>
      </c>
      <c r="G92" s="859">
        <v>3.4863572303213721</v>
      </c>
      <c r="H92" s="26">
        <v>12984.9</v>
      </c>
    </row>
    <row r="93" spans="1:8" s="858" customFormat="1" hidden="1">
      <c r="A93" s="564" t="s">
        <v>22</v>
      </c>
      <c r="B93" s="566">
        <v>4096.2</v>
      </c>
      <c r="C93" s="859">
        <v>24.774554097944222</v>
      </c>
      <c r="D93" s="567">
        <v>3559.1</v>
      </c>
      <c r="E93" s="859">
        <v>21.526076727208945</v>
      </c>
      <c r="F93" s="859">
        <v>537.09999999999991</v>
      </c>
      <c r="G93" s="859">
        <v>3.2484773707352761</v>
      </c>
      <c r="H93" s="26">
        <v>16533.900000000001</v>
      </c>
    </row>
    <row r="94" spans="1:8" s="858" customFormat="1" hidden="1">
      <c r="A94" s="564" t="s">
        <v>23</v>
      </c>
      <c r="B94" s="566">
        <v>4922.7</v>
      </c>
      <c r="C94" s="859">
        <v>25.01371951219512</v>
      </c>
      <c r="D94" s="567">
        <v>4276.7</v>
      </c>
      <c r="E94" s="859">
        <v>21.731199186991869</v>
      </c>
      <c r="F94" s="859">
        <v>646</v>
      </c>
      <c r="G94" s="859">
        <v>3.2825203252032518</v>
      </c>
      <c r="H94" s="26">
        <v>19680</v>
      </c>
    </row>
    <row r="95" spans="1:8" s="858" customFormat="1" hidden="1">
      <c r="A95" s="564" t="s">
        <v>24</v>
      </c>
      <c r="B95" s="566">
        <v>5734.2</v>
      </c>
      <c r="C95" s="859">
        <v>24.76473458952178</v>
      </c>
      <c r="D95" s="567">
        <v>5244.1</v>
      </c>
      <c r="E95" s="859">
        <v>22.648101681300126</v>
      </c>
      <c r="F95" s="859">
        <v>490.09999999999945</v>
      </c>
      <c r="G95" s="859">
        <v>2.1166329082216544</v>
      </c>
      <c r="H95" s="26">
        <v>23154.7</v>
      </c>
    </row>
    <row r="96" spans="1:8" s="858" customFormat="1" hidden="1">
      <c r="A96" s="564" t="s">
        <v>25</v>
      </c>
      <c r="B96" s="566">
        <v>6708.9</v>
      </c>
      <c r="C96" s="859">
        <v>25.616656993615788</v>
      </c>
      <c r="D96" s="567">
        <v>6044.5</v>
      </c>
      <c r="E96" s="859">
        <v>23.079772123285579</v>
      </c>
      <c r="F96" s="859">
        <v>664.39999999999964</v>
      </c>
      <c r="G96" s="859">
        <v>2.5368848703302063</v>
      </c>
      <c r="H96" s="26">
        <v>26189.599999999999</v>
      </c>
    </row>
    <row r="97" spans="1:248" s="858" customFormat="1" hidden="1">
      <c r="A97" s="564" t="s">
        <v>26</v>
      </c>
      <c r="B97" s="566">
        <v>7504.5</v>
      </c>
      <c r="C97" s="859">
        <v>25.605636686229015</v>
      </c>
      <c r="D97" s="567">
        <v>6836.6</v>
      </c>
      <c r="E97" s="859">
        <v>23.326736727173468</v>
      </c>
      <c r="F97" s="859">
        <v>667.89999999999964</v>
      </c>
      <c r="G97" s="859">
        <v>2.2788999590555465</v>
      </c>
      <c r="H97" s="26">
        <v>29308</v>
      </c>
    </row>
    <row r="98" spans="1:248" s="858" customFormat="1" hidden="1">
      <c r="A98" s="564" t="s">
        <v>27</v>
      </c>
      <c r="B98" s="566">
        <v>8418.2999999999993</v>
      </c>
      <c r="C98" s="859">
        <v>25.902860044000676</v>
      </c>
      <c r="D98" s="567">
        <v>7643.8</v>
      </c>
      <c r="E98" s="859">
        <v>23.519746457637812</v>
      </c>
      <c r="F98" s="859">
        <v>774.49999999999909</v>
      </c>
      <c r="G98" s="859">
        <v>2.3831135863628643</v>
      </c>
      <c r="H98" s="26">
        <v>32499.5</v>
      </c>
    </row>
    <row r="99" spans="1:248" hidden="1">
      <c r="A99" s="564" t="s">
        <v>28</v>
      </c>
      <c r="B99" s="566">
        <v>9192</v>
      </c>
      <c r="C99" s="859">
        <v>25.131645860332352</v>
      </c>
      <c r="D99" s="567">
        <v>8421</v>
      </c>
      <c r="E99" s="859">
        <v>23.023671648156956</v>
      </c>
      <c r="F99" s="859">
        <v>771</v>
      </c>
      <c r="G99" s="859">
        <v>2.1079742121753968</v>
      </c>
      <c r="H99" s="26">
        <v>32499.5</v>
      </c>
      <c r="I99" s="858"/>
      <c r="J99" s="858"/>
      <c r="K99" s="858"/>
      <c r="L99" s="858"/>
      <c r="M99" s="858"/>
      <c r="N99" s="858"/>
      <c r="O99" s="858"/>
      <c r="P99" s="858"/>
      <c r="Q99" s="858"/>
      <c r="R99" s="858"/>
      <c r="S99" s="858"/>
      <c r="T99" s="858"/>
      <c r="U99" s="858"/>
      <c r="V99" s="858"/>
      <c r="W99" s="858"/>
      <c r="X99" s="858"/>
      <c r="Y99" s="858"/>
      <c r="Z99" s="858"/>
      <c r="AA99" s="858"/>
      <c r="AB99" s="858"/>
      <c r="AC99" s="858"/>
      <c r="AD99" s="858"/>
      <c r="AE99" s="858"/>
      <c r="AF99" s="858"/>
      <c r="AG99" s="858"/>
      <c r="AH99" s="858"/>
      <c r="AI99" s="858"/>
      <c r="AJ99" s="858"/>
      <c r="AK99" s="858"/>
      <c r="AL99" s="858"/>
      <c r="AM99" s="858"/>
      <c r="AN99" s="858"/>
      <c r="AO99" s="858"/>
      <c r="AP99" s="858"/>
      <c r="AQ99" s="858"/>
      <c r="AR99" s="858"/>
      <c r="AS99" s="858"/>
      <c r="AT99" s="858"/>
      <c r="AU99" s="858"/>
      <c r="AV99" s="858"/>
      <c r="AW99" s="858"/>
      <c r="AX99" s="858"/>
      <c r="AY99" s="858"/>
      <c r="AZ99" s="858"/>
      <c r="BA99" s="858"/>
      <c r="BB99" s="858"/>
      <c r="BC99" s="858"/>
      <c r="BD99" s="858"/>
      <c r="BE99" s="858"/>
      <c r="BF99" s="858"/>
      <c r="BG99" s="858"/>
      <c r="BH99" s="858"/>
      <c r="BI99" s="858"/>
      <c r="BJ99" s="858"/>
      <c r="BK99" s="858"/>
      <c r="BL99" s="858"/>
      <c r="BM99" s="858"/>
      <c r="BN99" s="858"/>
      <c r="BO99" s="858"/>
      <c r="BP99" s="858"/>
      <c r="BQ99" s="858"/>
      <c r="BR99" s="858"/>
      <c r="BS99" s="858"/>
      <c r="BT99" s="858"/>
      <c r="BU99" s="858"/>
      <c r="BV99" s="858"/>
      <c r="BW99" s="858"/>
      <c r="BX99" s="858"/>
      <c r="BY99" s="858"/>
      <c r="BZ99" s="858"/>
      <c r="CA99" s="858"/>
      <c r="CB99" s="858"/>
      <c r="CC99" s="858"/>
      <c r="CD99" s="858"/>
      <c r="CE99" s="858"/>
      <c r="CF99" s="858"/>
      <c r="CG99" s="858"/>
      <c r="CH99" s="858"/>
      <c r="CI99" s="858"/>
      <c r="CJ99" s="858"/>
      <c r="CK99" s="858"/>
      <c r="CL99" s="858"/>
      <c r="CM99" s="858"/>
      <c r="CN99" s="858"/>
      <c r="CO99" s="858"/>
      <c r="CP99" s="858"/>
      <c r="CQ99" s="858"/>
      <c r="CR99" s="858"/>
      <c r="CS99" s="858"/>
      <c r="CT99" s="858"/>
      <c r="CU99" s="858"/>
      <c r="CV99" s="858"/>
      <c r="CW99" s="858"/>
      <c r="CX99" s="858"/>
      <c r="CY99" s="858"/>
      <c r="CZ99" s="858"/>
      <c r="DA99" s="858"/>
      <c r="DB99" s="858"/>
      <c r="DC99" s="858"/>
      <c r="DD99" s="858"/>
      <c r="DE99" s="858"/>
      <c r="DF99" s="858"/>
      <c r="DG99" s="858"/>
      <c r="DH99" s="858"/>
      <c r="DI99" s="858"/>
      <c r="DJ99" s="858"/>
      <c r="DK99" s="858"/>
      <c r="DL99" s="858"/>
      <c r="DM99" s="858"/>
      <c r="DN99" s="858"/>
      <c r="DO99" s="858"/>
      <c r="DP99" s="858"/>
      <c r="DQ99" s="858"/>
      <c r="DR99" s="858"/>
      <c r="DS99" s="858"/>
      <c r="DT99" s="858"/>
      <c r="DU99" s="858"/>
      <c r="DV99" s="858"/>
      <c r="DW99" s="858"/>
      <c r="DX99" s="858"/>
      <c r="DY99" s="858"/>
      <c r="DZ99" s="858"/>
      <c r="EA99" s="858"/>
      <c r="EB99" s="858"/>
      <c r="EC99" s="858"/>
      <c r="ED99" s="858"/>
      <c r="EE99" s="858"/>
      <c r="EF99" s="858"/>
      <c r="EG99" s="858"/>
      <c r="EH99" s="858"/>
      <c r="EI99" s="858"/>
      <c r="EJ99" s="858"/>
      <c r="EK99" s="858"/>
      <c r="EL99" s="858"/>
      <c r="EM99" s="858"/>
      <c r="EN99" s="858"/>
      <c r="EO99" s="858"/>
      <c r="EP99" s="858"/>
      <c r="EQ99" s="858"/>
      <c r="ER99" s="858"/>
      <c r="ES99" s="858"/>
      <c r="ET99" s="858"/>
      <c r="EU99" s="858"/>
      <c r="EV99" s="858"/>
      <c r="EW99" s="858"/>
      <c r="EX99" s="858"/>
      <c r="EY99" s="858"/>
      <c r="EZ99" s="858"/>
      <c r="FA99" s="858"/>
      <c r="FB99" s="858"/>
      <c r="FC99" s="858"/>
      <c r="FD99" s="858"/>
      <c r="FE99" s="858"/>
      <c r="FF99" s="858"/>
      <c r="FG99" s="858"/>
      <c r="FH99" s="858"/>
      <c r="FI99" s="858"/>
      <c r="FJ99" s="858"/>
      <c r="FK99" s="858"/>
      <c r="FL99" s="858"/>
      <c r="FM99" s="858"/>
      <c r="FN99" s="858"/>
      <c r="FO99" s="858"/>
      <c r="FP99" s="858"/>
      <c r="FQ99" s="858"/>
      <c r="FR99" s="858"/>
      <c r="FS99" s="858"/>
      <c r="FT99" s="858"/>
      <c r="FU99" s="858"/>
      <c r="FV99" s="858"/>
      <c r="FW99" s="858"/>
      <c r="FX99" s="858"/>
      <c r="FY99" s="858"/>
      <c r="FZ99" s="858"/>
      <c r="GA99" s="858"/>
      <c r="GB99" s="858"/>
      <c r="GC99" s="858"/>
      <c r="GD99" s="858"/>
      <c r="GE99" s="858"/>
      <c r="GF99" s="858"/>
      <c r="GG99" s="858"/>
      <c r="GH99" s="858"/>
      <c r="GI99" s="858"/>
      <c r="GJ99" s="858"/>
      <c r="GK99" s="858"/>
      <c r="GL99" s="858"/>
      <c r="GM99" s="858"/>
      <c r="GN99" s="858"/>
      <c r="GO99" s="858"/>
      <c r="GP99" s="858"/>
      <c r="GQ99" s="858"/>
      <c r="GR99" s="858"/>
      <c r="GS99" s="858"/>
      <c r="GT99" s="858"/>
      <c r="GU99" s="858"/>
      <c r="GV99" s="858"/>
      <c r="GW99" s="858"/>
      <c r="GX99" s="858"/>
      <c r="GY99" s="858"/>
      <c r="GZ99" s="858"/>
      <c r="HA99" s="858"/>
      <c r="HB99" s="858"/>
      <c r="HC99" s="858"/>
      <c r="HD99" s="858"/>
      <c r="HE99" s="858"/>
      <c r="HF99" s="858"/>
      <c r="HG99" s="858"/>
      <c r="HH99" s="858"/>
      <c r="HI99" s="858"/>
      <c r="HJ99" s="858"/>
      <c r="HK99" s="858"/>
      <c r="HL99" s="858"/>
      <c r="HM99" s="858"/>
      <c r="HN99" s="858"/>
      <c r="HO99" s="858"/>
      <c r="HP99" s="858"/>
      <c r="HQ99" s="858"/>
      <c r="HR99" s="858"/>
      <c r="HS99" s="858"/>
      <c r="HT99" s="858"/>
      <c r="HU99" s="858"/>
      <c r="HV99" s="858"/>
      <c r="HW99" s="858"/>
      <c r="HX99" s="858"/>
      <c r="HY99" s="858"/>
      <c r="HZ99" s="858"/>
      <c r="IA99" s="858"/>
      <c r="IB99" s="858"/>
      <c r="IC99" s="858"/>
      <c r="ID99" s="858"/>
      <c r="IE99" s="858"/>
      <c r="IF99" s="858"/>
      <c r="IG99" s="858"/>
      <c r="IH99" s="858"/>
      <c r="II99" s="858"/>
      <c r="IJ99" s="858"/>
      <c r="IK99" s="858"/>
      <c r="IL99" s="858"/>
      <c r="IM99" s="858"/>
      <c r="IN99" s="858"/>
    </row>
    <row r="100" spans="1:248" hidden="1">
      <c r="A100" s="564" t="s">
        <v>29</v>
      </c>
      <c r="B100" s="566">
        <v>11402.5</v>
      </c>
      <c r="C100" s="859">
        <v>27.426535849927962</v>
      </c>
      <c r="D100" s="567">
        <v>11766</v>
      </c>
      <c r="E100" s="859">
        <v>28.30086567070839</v>
      </c>
      <c r="F100" s="859">
        <v>-363.5</v>
      </c>
      <c r="G100" s="859">
        <v>0.87432982078042665</v>
      </c>
      <c r="H100" s="26"/>
      <c r="I100" s="858"/>
      <c r="J100" s="858"/>
      <c r="K100" s="858"/>
      <c r="L100" s="858"/>
      <c r="M100" s="858"/>
      <c r="N100" s="858"/>
      <c r="O100" s="858"/>
      <c r="P100" s="858"/>
      <c r="Q100" s="858"/>
      <c r="R100" s="858"/>
      <c r="S100" s="858"/>
      <c r="T100" s="858"/>
      <c r="U100" s="858"/>
      <c r="V100" s="858"/>
      <c r="W100" s="858"/>
      <c r="X100" s="858"/>
      <c r="Y100" s="858"/>
      <c r="Z100" s="858"/>
      <c r="AA100" s="858"/>
      <c r="AB100" s="858"/>
      <c r="AC100" s="858"/>
      <c r="AD100" s="858"/>
      <c r="AE100" s="858"/>
      <c r="AF100" s="858"/>
      <c r="AG100" s="858"/>
      <c r="AH100" s="858"/>
      <c r="AI100" s="858"/>
      <c r="AJ100" s="858"/>
      <c r="AK100" s="858"/>
      <c r="AL100" s="858"/>
      <c r="AM100" s="858"/>
      <c r="AN100" s="858"/>
      <c r="AO100" s="858"/>
      <c r="AP100" s="858"/>
      <c r="AQ100" s="858"/>
      <c r="AR100" s="858"/>
      <c r="AS100" s="858"/>
      <c r="AT100" s="858"/>
      <c r="AU100" s="858"/>
      <c r="AV100" s="858"/>
      <c r="AW100" s="858"/>
      <c r="AX100" s="858"/>
      <c r="AY100" s="858"/>
      <c r="AZ100" s="858"/>
      <c r="BA100" s="858"/>
      <c r="BB100" s="858"/>
      <c r="BC100" s="858"/>
      <c r="BD100" s="858"/>
      <c r="BE100" s="858"/>
      <c r="BF100" s="858"/>
      <c r="BG100" s="858"/>
      <c r="BH100" s="858"/>
      <c r="BI100" s="858"/>
      <c r="BJ100" s="858"/>
      <c r="BK100" s="858"/>
      <c r="BL100" s="858"/>
      <c r="BM100" s="858"/>
      <c r="BN100" s="858"/>
      <c r="BO100" s="858"/>
      <c r="BP100" s="858"/>
      <c r="BQ100" s="858"/>
      <c r="BR100" s="858"/>
      <c r="BS100" s="858"/>
      <c r="BT100" s="858"/>
      <c r="BU100" s="858"/>
      <c r="BV100" s="858"/>
      <c r="BW100" s="858"/>
      <c r="BX100" s="858"/>
      <c r="BY100" s="858"/>
      <c r="BZ100" s="858"/>
      <c r="CA100" s="858"/>
      <c r="CB100" s="858"/>
      <c r="CC100" s="858"/>
      <c r="CD100" s="858"/>
      <c r="CE100" s="858"/>
      <c r="CF100" s="858"/>
      <c r="CG100" s="858"/>
      <c r="CH100" s="858"/>
      <c r="CI100" s="858"/>
      <c r="CJ100" s="858"/>
      <c r="CK100" s="858"/>
      <c r="CL100" s="858"/>
      <c r="CM100" s="858"/>
      <c r="CN100" s="858"/>
      <c r="CO100" s="858"/>
      <c r="CP100" s="858"/>
      <c r="CQ100" s="858"/>
      <c r="CR100" s="858"/>
      <c r="CS100" s="858"/>
      <c r="CT100" s="858"/>
      <c r="CU100" s="858"/>
      <c r="CV100" s="858"/>
      <c r="CW100" s="858"/>
      <c r="CX100" s="858"/>
      <c r="CY100" s="858"/>
      <c r="CZ100" s="858"/>
      <c r="DA100" s="858"/>
      <c r="DB100" s="858"/>
      <c r="DC100" s="858"/>
      <c r="DD100" s="858"/>
      <c r="DE100" s="858"/>
      <c r="DF100" s="858"/>
      <c r="DG100" s="858"/>
      <c r="DH100" s="858"/>
      <c r="DI100" s="858"/>
      <c r="DJ100" s="858"/>
      <c r="DK100" s="858"/>
      <c r="DL100" s="858"/>
      <c r="DM100" s="858"/>
      <c r="DN100" s="858"/>
      <c r="DO100" s="858"/>
      <c r="DP100" s="858"/>
      <c r="DQ100" s="858"/>
      <c r="DR100" s="858"/>
      <c r="DS100" s="858"/>
      <c r="DT100" s="858"/>
      <c r="DU100" s="858"/>
      <c r="DV100" s="858"/>
      <c r="DW100" s="858"/>
      <c r="DX100" s="858"/>
      <c r="DY100" s="858"/>
      <c r="DZ100" s="858"/>
      <c r="EA100" s="858"/>
      <c r="EB100" s="858"/>
      <c r="EC100" s="858"/>
      <c r="ED100" s="858"/>
      <c r="EE100" s="858"/>
      <c r="EF100" s="858"/>
      <c r="EG100" s="858"/>
      <c r="EH100" s="858"/>
      <c r="EI100" s="858"/>
      <c r="EJ100" s="858"/>
      <c r="EK100" s="858"/>
      <c r="EL100" s="858"/>
      <c r="EM100" s="858"/>
      <c r="EN100" s="858"/>
      <c r="EO100" s="858"/>
      <c r="EP100" s="858"/>
      <c r="EQ100" s="858"/>
      <c r="ER100" s="858"/>
      <c r="ES100" s="858"/>
      <c r="ET100" s="858"/>
      <c r="EU100" s="858"/>
      <c r="EV100" s="858"/>
      <c r="EW100" s="858"/>
      <c r="EX100" s="858"/>
      <c r="EY100" s="858"/>
      <c r="EZ100" s="858"/>
      <c r="FA100" s="858"/>
      <c r="FB100" s="858"/>
      <c r="FC100" s="858"/>
      <c r="FD100" s="858"/>
      <c r="FE100" s="858"/>
      <c r="FF100" s="858"/>
      <c r="FG100" s="858"/>
      <c r="FH100" s="858"/>
      <c r="FI100" s="858"/>
      <c r="FJ100" s="858"/>
      <c r="FK100" s="858"/>
      <c r="FL100" s="858"/>
      <c r="FM100" s="858"/>
      <c r="FN100" s="858"/>
      <c r="FO100" s="858"/>
      <c r="FP100" s="858"/>
      <c r="FQ100" s="858"/>
      <c r="FR100" s="858"/>
      <c r="FS100" s="858"/>
      <c r="FT100" s="858"/>
      <c r="FU100" s="858"/>
      <c r="FV100" s="858"/>
      <c r="FW100" s="858"/>
      <c r="FX100" s="858"/>
      <c r="FY100" s="858"/>
      <c r="FZ100" s="858"/>
      <c r="GA100" s="858"/>
      <c r="GB100" s="858"/>
      <c r="GC100" s="858"/>
      <c r="GD100" s="858"/>
      <c r="GE100" s="858"/>
      <c r="GF100" s="858"/>
      <c r="GG100" s="858"/>
      <c r="GH100" s="858"/>
      <c r="GI100" s="858"/>
      <c r="GJ100" s="858"/>
      <c r="GK100" s="858"/>
      <c r="GL100" s="858"/>
      <c r="GM100" s="858"/>
      <c r="GN100" s="858"/>
      <c r="GO100" s="858"/>
      <c r="GP100" s="858"/>
      <c r="GQ100" s="858"/>
      <c r="GR100" s="858"/>
      <c r="GS100" s="858"/>
      <c r="GT100" s="858"/>
      <c r="GU100" s="858"/>
      <c r="GV100" s="858"/>
      <c r="GW100" s="858"/>
      <c r="GX100" s="858"/>
      <c r="GY100" s="858"/>
      <c r="GZ100" s="858"/>
      <c r="HA100" s="858"/>
      <c r="HB100" s="858"/>
      <c r="HC100" s="858"/>
      <c r="HD100" s="858"/>
      <c r="HE100" s="858"/>
      <c r="HF100" s="858"/>
      <c r="HG100" s="858"/>
      <c r="HH100" s="858"/>
      <c r="HI100" s="858"/>
      <c r="HJ100" s="858"/>
      <c r="HK100" s="858"/>
      <c r="HL100" s="858"/>
      <c r="HM100" s="858"/>
      <c r="HN100" s="858"/>
      <c r="HO100" s="858"/>
      <c r="HP100" s="858"/>
      <c r="HQ100" s="858"/>
      <c r="HR100" s="858"/>
      <c r="HS100" s="858"/>
      <c r="HT100" s="858"/>
      <c r="HU100" s="858"/>
      <c r="HV100" s="858"/>
      <c r="HW100" s="858"/>
      <c r="HX100" s="858"/>
      <c r="HY100" s="858"/>
      <c r="HZ100" s="858"/>
      <c r="IA100" s="858"/>
      <c r="IB100" s="858"/>
      <c r="IC100" s="858"/>
      <c r="ID100" s="858"/>
      <c r="IE100" s="858"/>
      <c r="IF100" s="858"/>
      <c r="IG100" s="858"/>
      <c r="IH100" s="858"/>
      <c r="II100" s="858"/>
      <c r="IJ100" s="858"/>
      <c r="IK100" s="858"/>
      <c r="IL100" s="858"/>
      <c r="IM100" s="858"/>
      <c r="IN100" s="858"/>
    </row>
    <row r="101" spans="1:248">
      <c r="A101" s="559">
        <v>2011</v>
      </c>
      <c r="B101" s="561">
        <v>15700.7</v>
      </c>
      <c r="C101" s="561">
        <v>31.358125786414746</v>
      </c>
      <c r="D101" s="562">
        <v>15397.5</v>
      </c>
      <c r="E101" s="561">
        <v>30.746969182528112</v>
      </c>
      <c r="F101" s="561">
        <v>306</v>
      </c>
      <c r="G101" s="561">
        <v>0.61115660388663651</v>
      </c>
      <c r="H101" s="26"/>
      <c r="I101" s="858"/>
      <c r="J101" s="858"/>
      <c r="K101" s="858"/>
      <c r="L101" s="858"/>
      <c r="M101" s="858"/>
      <c r="N101" s="858"/>
      <c r="O101" s="858"/>
      <c r="P101" s="858"/>
      <c r="Q101" s="858"/>
      <c r="R101" s="858"/>
      <c r="S101" s="858"/>
      <c r="T101" s="858"/>
      <c r="U101" s="858"/>
      <c r="V101" s="858"/>
      <c r="W101" s="858"/>
      <c r="X101" s="858"/>
      <c r="Y101" s="858"/>
      <c r="Z101" s="858"/>
      <c r="AA101" s="858"/>
      <c r="AB101" s="858"/>
      <c r="AC101" s="858"/>
      <c r="AD101" s="858"/>
      <c r="AE101" s="858"/>
      <c r="AF101" s="858"/>
      <c r="AG101" s="858"/>
      <c r="AH101" s="858"/>
      <c r="AI101" s="858"/>
      <c r="AJ101" s="858"/>
      <c r="AK101" s="858"/>
      <c r="AL101" s="858"/>
      <c r="AM101" s="858"/>
      <c r="AN101" s="858"/>
      <c r="AO101" s="858"/>
      <c r="AP101" s="858"/>
      <c r="AQ101" s="858"/>
      <c r="AR101" s="858"/>
      <c r="AS101" s="858"/>
      <c r="AT101" s="858"/>
      <c r="AU101" s="858"/>
      <c r="AV101" s="858"/>
      <c r="AW101" s="858"/>
      <c r="AX101" s="858"/>
      <c r="AY101" s="858"/>
      <c r="AZ101" s="858"/>
      <c r="BA101" s="858"/>
      <c r="BB101" s="858"/>
      <c r="BC101" s="858"/>
      <c r="BD101" s="858"/>
      <c r="BE101" s="858"/>
      <c r="BF101" s="858"/>
      <c r="BG101" s="858"/>
      <c r="BH101" s="858"/>
      <c r="BI101" s="858"/>
      <c r="BJ101" s="858"/>
      <c r="BK101" s="858"/>
      <c r="BL101" s="858"/>
      <c r="BM101" s="858"/>
      <c r="BN101" s="858"/>
      <c r="BO101" s="858"/>
      <c r="BP101" s="858"/>
      <c r="BQ101" s="858"/>
      <c r="BR101" s="858"/>
      <c r="BS101" s="858"/>
      <c r="BT101" s="858"/>
      <c r="BU101" s="858"/>
      <c r="BV101" s="858"/>
      <c r="BW101" s="858"/>
      <c r="BX101" s="858"/>
      <c r="BY101" s="858"/>
      <c r="BZ101" s="858"/>
      <c r="CA101" s="858"/>
      <c r="CB101" s="858"/>
      <c r="CC101" s="858"/>
      <c r="CD101" s="858"/>
      <c r="CE101" s="858"/>
      <c r="CF101" s="858"/>
      <c r="CG101" s="858"/>
      <c r="CH101" s="858"/>
      <c r="CI101" s="858"/>
      <c r="CJ101" s="858"/>
      <c r="CK101" s="858"/>
      <c r="CL101" s="858"/>
      <c r="CM101" s="858"/>
      <c r="CN101" s="858"/>
      <c r="CO101" s="858"/>
      <c r="CP101" s="858"/>
      <c r="CQ101" s="858"/>
      <c r="CR101" s="858"/>
      <c r="CS101" s="858"/>
      <c r="CT101" s="858"/>
      <c r="CU101" s="858"/>
      <c r="CV101" s="858"/>
      <c r="CW101" s="858"/>
      <c r="CX101" s="858"/>
      <c r="CY101" s="858"/>
      <c r="CZ101" s="858"/>
      <c r="DA101" s="858"/>
      <c r="DB101" s="858"/>
      <c r="DC101" s="858"/>
      <c r="DD101" s="858"/>
      <c r="DE101" s="858"/>
      <c r="DF101" s="858"/>
      <c r="DG101" s="858"/>
      <c r="DH101" s="858"/>
      <c r="DI101" s="858"/>
      <c r="DJ101" s="858"/>
      <c r="DK101" s="858"/>
      <c r="DL101" s="858"/>
      <c r="DM101" s="858"/>
      <c r="DN101" s="858"/>
      <c r="DO101" s="858"/>
      <c r="DP101" s="858"/>
      <c r="DQ101" s="858"/>
      <c r="DR101" s="858"/>
      <c r="DS101" s="858"/>
      <c r="DT101" s="858"/>
      <c r="DU101" s="858"/>
      <c r="DV101" s="858"/>
      <c r="DW101" s="858"/>
      <c r="DX101" s="858"/>
      <c r="DY101" s="858"/>
      <c r="DZ101" s="858"/>
      <c r="EA101" s="858"/>
      <c r="EB101" s="858"/>
      <c r="EC101" s="858"/>
      <c r="ED101" s="858"/>
      <c r="EE101" s="858"/>
      <c r="EF101" s="858"/>
      <c r="EG101" s="858"/>
      <c r="EH101" s="858"/>
      <c r="EI101" s="858"/>
      <c r="EJ101" s="858"/>
      <c r="EK101" s="858"/>
      <c r="EL101" s="858"/>
      <c r="EM101" s="858"/>
      <c r="EN101" s="858"/>
      <c r="EO101" s="858"/>
      <c r="EP101" s="858"/>
      <c r="EQ101" s="858"/>
      <c r="ER101" s="858"/>
      <c r="ES101" s="858"/>
      <c r="ET101" s="858"/>
      <c r="EU101" s="858"/>
      <c r="EV101" s="858"/>
      <c r="EW101" s="858"/>
      <c r="EX101" s="858"/>
      <c r="EY101" s="858"/>
      <c r="EZ101" s="858"/>
      <c r="FA101" s="858"/>
      <c r="FB101" s="858"/>
      <c r="FC101" s="858"/>
      <c r="FD101" s="858"/>
      <c r="FE101" s="858"/>
      <c r="FF101" s="858"/>
      <c r="FG101" s="858"/>
      <c r="FH101" s="858"/>
      <c r="FI101" s="858"/>
      <c r="FJ101" s="858"/>
      <c r="FK101" s="858"/>
      <c r="FL101" s="858"/>
      <c r="FM101" s="858"/>
      <c r="FN101" s="858"/>
      <c r="FO101" s="858"/>
      <c r="FP101" s="858"/>
      <c r="FQ101" s="858"/>
      <c r="FR101" s="858"/>
      <c r="FS101" s="858"/>
      <c r="FT101" s="858"/>
      <c r="FU101" s="858"/>
      <c r="FV101" s="858"/>
      <c r="FW101" s="858"/>
      <c r="FX101" s="858"/>
      <c r="FY101" s="858"/>
      <c r="FZ101" s="858"/>
      <c r="GA101" s="858"/>
      <c r="GB101" s="858"/>
      <c r="GC101" s="858"/>
      <c r="GD101" s="858"/>
      <c r="GE101" s="858"/>
      <c r="GF101" s="858"/>
      <c r="GG101" s="858"/>
      <c r="GH101" s="858"/>
      <c r="GI101" s="858"/>
      <c r="GJ101" s="858"/>
      <c r="GK101" s="858"/>
      <c r="GL101" s="858"/>
      <c r="GM101" s="858"/>
      <c r="GN101" s="858"/>
      <c r="GO101" s="858"/>
      <c r="GP101" s="858"/>
      <c r="GQ101" s="858"/>
      <c r="GR101" s="858"/>
      <c r="GS101" s="858"/>
      <c r="GT101" s="858"/>
      <c r="GU101" s="858"/>
      <c r="GV101" s="858"/>
      <c r="GW101" s="858"/>
      <c r="GX101" s="858"/>
      <c r="GY101" s="858"/>
      <c r="GZ101" s="858"/>
      <c r="HA101" s="858"/>
      <c r="HB101" s="858"/>
      <c r="HC101" s="858"/>
      <c r="HD101" s="858"/>
      <c r="HE101" s="858"/>
      <c r="HF101" s="858"/>
      <c r="HG101" s="858"/>
      <c r="HH101" s="858"/>
      <c r="HI101" s="858"/>
      <c r="HJ101" s="858"/>
      <c r="HK101" s="858"/>
      <c r="HL101" s="858"/>
      <c r="HM101" s="858"/>
      <c r="HN101" s="858"/>
      <c r="HO101" s="858"/>
      <c r="HP101" s="858"/>
      <c r="HQ101" s="858"/>
      <c r="HR101" s="858"/>
      <c r="HS101" s="858"/>
      <c r="HT101" s="858"/>
      <c r="HU101" s="858"/>
      <c r="HV101" s="858"/>
      <c r="HW101" s="858"/>
      <c r="HX101" s="858"/>
      <c r="HY101" s="858"/>
      <c r="HZ101" s="858"/>
      <c r="IA101" s="858"/>
      <c r="IB101" s="858"/>
      <c r="IC101" s="858"/>
      <c r="ID101" s="858"/>
      <c r="IE101" s="858"/>
      <c r="IF101" s="858"/>
      <c r="IG101" s="858"/>
      <c r="IH101" s="858"/>
      <c r="II101" s="858"/>
      <c r="IJ101" s="858"/>
      <c r="IK101" s="858"/>
      <c r="IL101" s="858"/>
      <c r="IM101" s="858"/>
      <c r="IN101" s="858"/>
    </row>
    <row r="102" spans="1:248" hidden="1">
      <c r="A102" s="564" t="s">
        <v>18</v>
      </c>
      <c r="B102" s="566">
        <v>1121.5</v>
      </c>
      <c r="C102" s="859">
        <v>32.578068264342775</v>
      </c>
      <c r="D102" s="567">
        <v>382.9</v>
      </c>
      <c r="E102" s="859">
        <v>11.122730573710966</v>
      </c>
      <c r="F102" s="859">
        <v>738.6</v>
      </c>
      <c r="G102" s="859">
        <v>21.455337690631808</v>
      </c>
      <c r="H102" s="26">
        <v>3212</v>
      </c>
      <c r="I102" s="858"/>
      <c r="J102" s="858"/>
      <c r="K102" s="858"/>
      <c r="L102" s="858"/>
      <c r="M102" s="858"/>
      <c r="N102" s="858"/>
      <c r="O102" s="858"/>
      <c r="P102" s="858"/>
      <c r="Q102" s="858"/>
      <c r="R102" s="858"/>
      <c r="S102" s="858"/>
      <c r="T102" s="858"/>
      <c r="U102" s="858"/>
      <c r="V102" s="858"/>
      <c r="W102" s="858"/>
      <c r="X102" s="858"/>
      <c r="Y102" s="858"/>
      <c r="Z102" s="858"/>
      <c r="AA102" s="858"/>
      <c r="AB102" s="858"/>
      <c r="AC102" s="858"/>
      <c r="AD102" s="858"/>
      <c r="AE102" s="858"/>
      <c r="AF102" s="858"/>
      <c r="AG102" s="858"/>
      <c r="AH102" s="858"/>
      <c r="AI102" s="858"/>
      <c r="AJ102" s="858"/>
      <c r="AK102" s="858"/>
      <c r="AL102" s="858"/>
      <c r="AM102" s="858"/>
      <c r="AN102" s="858"/>
      <c r="AO102" s="858"/>
      <c r="AP102" s="858"/>
      <c r="AQ102" s="858"/>
      <c r="AR102" s="858"/>
      <c r="AS102" s="858"/>
      <c r="AT102" s="858"/>
      <c r="AU102" s="858"/>
      <c r="AV102" s="858"/>
      <c r="AW102" s="858"/>
      <c r="AX102" s="858"/>
      <c r="AY102" s="858"/>
      <c r="AZ102" s="858"/>
      <c r="BA102" s="858"/>
      <c r="BB102" s="858"/>
      <c r="BC102" s="858"/>
      <c r="BD102" s="858"/>
      <c r="BE102" s="858"/>
      <c r="BF102" s="858"/>
      <c r="BG102" s="858"/>
      <c r="BH102" s="858"/>
      <c r="BI102" s="858"/>
      <c r="BJ102" s="858"/>
      <c r="BK102" s="858"/>
      <c r="BL102" s="858"/>
      <c r="BM102" s="858"/>
      <c r="BN102" s="858"/>
      <c r="BO102" s="858"/>
      <c r="BP102" s="858"/>
      <c r="BQ102" s="858"/>
      <c r="BR102" s="858"/>
      <c r="BS102" s="858"/>
      <c r="BT102" s="858"/>
      <c r="BU102" s="858"/>
      <c r="BV102" s="858"/>
      <c r="BW102" s="858"/>
      <c r="BX102" s="858"/>
      <c r="BY102" s="858"/>
      <c r="BZ102" s="858"/>
      <c r="CA102" s="858"/>
      <c r="CB102" s="858"/>
      <c r="CC102" s="858"/>
      <c r="CD102" s="858"/>
      <c r="CE102" s="858"/>
      <c r="CF102" s="858"/>
      <c r="CG102" s="858"/>
      <c r="CH102" s="858"/>
      <c r="CI102" s="858"/>
      <c r="CJ102" s="858"/>
      <c r="CK102" s="858"/>
      <c r="CL102" s="858"/>
      <c r="CM102" s="858"/>
      <c r="CN102" s="858"/>
      <c r="CO102" s="858"/>
      <c r="CP102" s="858"/>
      <c r="CQ102" s="858"/>
      <c r="CR102" s="858"/>
      <c r="CS102" s="858"/>
      <c r="CT102" s="858"/>
      <c r="CU102" s="858"/>
      <c r="CV102" s="858"/>
      <c r="CW102" s="858"/>
      <c r="CX102" s="858"/>
      <c r="CY102" s="858"/>
      <c r="CZ102" s="858"/>
      <c r="DA102" s="858"/>
      <c r="DB102" s="858"/>
      <c r="DC102" s="858"/>
      <c r="DD102" s="858"/>
      <c r="DE102" s="858"/>
      <c r="DF102" s="858"/>
      <c r="DG102" s="858"/>
      <c r="DH102" s="858"/>
      <c r="DI102" s="858"/>
      <c r="DJ102" s="858"/>
      <c r="DK102" s="858"/>
      <c r="DL102" s="858"/>
      <c r="DM102" s="858"/>
      <c r="DN102" s="858"/>
      <c r="DO102" s="858"/>
      <c r="DP102" s="858"/>
      <c r="DQ102" s="858"/>
      <c r="DR102" s="858"/>
      <c r="DS102" s="858"/>
      <c r="DT102" s="858"/>
      <c r="DU102" s="858"/>
      <c r="DV102" s="858"/>
      <c r="DW102" s="858"/>
      <c r="DX102" s="858"/>
      <c r="DY102" s="858"/>
      <c r="DZ102" s="858"/>
      <c r="EA102" s="858"/>
      <c r="EB102" s="858"/>
      <c r="EC102" s="858"/>
      <c r="ED102" s="858"/>
      <c r="EE102" s="858"/>
      <c r="EF102" s="858"/>
      <c r="EG102" s="858"/>
      <c r="EH102" s="858"/>
      <c r="EI102" s="858"/>
      <c r="EJ102" s="858"/>
      <c r="EK102" s="858"/>
      <c r="EL102" s="858"/>
      <c r="EM102" s="858"/>
      <c r="EN102" s="858"/>
      <c r="EO102" s="858"/>
      <c r="EP102" s="858"/>
      <c r="EQ102" s="858"/>
      <c r="ER102" s="858"/>
      <c r="ES102" s="858"/>
      <c r="ET102" s="858"/>
      <c r="EU102" s="858"/>
      <c r="EV102" s="858"/>
      <c r="EW102" s="858"/>
      <c r="EX102" s="858"/>
      <c r="EY102" s="858"/>
      <c r="EZ102" s="858"/>
      <c r="FA102" s="858"/>
      <c r="FB102" s="858"/>
      <c r="FC102" s="858"/>
      <c r="FD102" s="858"/>
      <c r="FE102" s="858"/>
      <c r="FF102" s="858"/>
      <c r="FG102" s="858"/>
      <c r="FH102" s="858"/>
      <c r="FI102" s="858"/>
      <c r="FJ102" s="858"/>
      <c r="FK102" s="858"/>
      <c r="FL102" s="858"/>
      <c r="FM102" s="858"/>
      <c r="FN102" s="858"/>
      <c r="FO102" s="858"/>
      <c r="FP102" s="858"/>
      <c r="FQ102" s="858"/>
      <c r="FR102" s="858"/>
      <c r="FS102" s="858"/>
      <c r="FT102" s="858"/>
      <c r="FU102" s="858"/>
      <c r="FV102" s="858"/>
      <c r="FW102" s="858"/>
      <c r="FX102" s="858"/>
      <c r="FY102" s="858"/>
      <c r="FZ102" s="858"/>
      <c r="GA102" s="858"/>
      <c r="GB102" s="858"/>
      <c r="GC102" s="858"/>
      <c r="GD102" s="858"/>
      <c r="GE102" s="858"/>
      <c r="GF102" s="858"/>
      <c r="GG102" s="858"/>
      <c r="GH102" s="858"/>
      <c r="GI102" s="858"/>
      <c r="GJ102" s="858"/>
      <c r="GK102" s="858"/>
      <c r="GL102" s="858"/>
      <c r="GM102" s="858"/>
      <c r="GN102" s="858"/>
      <c r="GO102" s="858"/>
      <c r="GP102" s="858"/>
      <c r="GQ102" s="858"/>
      <c r="GR102" s="858"/>
      <c r="GS102" s="858"/>
      <c r="GT102" s="858"/>
      <c r="GU102" s="858"/>
      <c r="GV102" s="858"/>
      <c r="GW102" s="858"/>
      <c r="GX102" s="858"/>
      <c r="GY102" s="858"/>
      <c r="GZ102" s="858"/>
      <c r="HA102" s="858"/>
      <c r="HB102" s="858"/>
      <c r="HC102" s="858"/>
      <c r="HD102" s="858"/>
      <c r="HE102" s="858"/>
      <c r="HF102" s="858"/>
      <c r="HG102" s="858"/>
      <c r="HH102" s="858"/>
      <c r="HI102" s="858"/>
      <c r="HJ102" s="858"/>
      <c r="HK102" s="858"/>
      <c r="HL102" s="858"/>
      <c r="HM102" s="858"/>
      <c r="HN102" s="858"/>
      <c r="HO102" s="858"/>
      <c r="HP102" s="858"/>
      <c r="HQ102" s="858"/>
      <c r="HR102" s="858"/>
      <c r="HS102" s="858"/>
      <c r="HT102" s="858"/>
      <c r="HU102" s="858"/>
      <c r="HV102" s="858"/>
      <c r="HW102" s="858"/>
      <c r="HX102" s="858"/>
      <c r="HY102" s="858"/>
      <c r="HZ102" s="858"/>
      <c r="IA102" s="858"/>
      <c r="IB102" s="858"/>
      <c r="IC102" s="858"/>
      <c r="ID102" s="858"/>
      <c r="IE102" s="858"/>
      <c r="IF102" s="858"/>
      <c r="IG102" s="858"/>
      <c r="IH102" s="858"/>
      <c r="II102" s="858"/>
      <c r="IJ102" s="858"/>
      <c r="IK102" s="858"/>
      <c r="IL102" s="858"/>
      <c r="IM102" s="858"/>
      <c r="IN102" s="858"/>
    </row>
    <row r="103" spans="1:248" hidden="1">
      <c r="A103" s="564" t="s">
        <v>19</v>
      </c>
      <c r="B103" s="566">
        <v>1829.3</v>
      </c>
      <c r="C103" s="859">
        <f t="shared" ref="C103:C113" si="12">+B103/H103*100</f>
        <v>27.256202041272442</v>
      </c>
      <c r="D103" s="567">
        <v>1186.4000000000001</v>
      </c>
      <c r="E103" s="859">
        <f t="shared" ref="E103:E113" si="13">+D103/H103*100</f>
        <v>17.677121358861655</v>
      </c>
      <c r="F103" s="859">
        <f t="shared" ref="F103:F113" si="14">+B103-D103</f>
        <v>642.89999999999986</v>
      </c>
      <c r="G103" s="859">
        <f t="shared" ref="G103:G113" si="15">F103/H103*100</f>
        <v>9.579080682410785</v>
      </c>
      <c r="H103" s="26">
        <v>6711.5</v>
      </c>
      <c r="I103" s="858"/>
      <c r="J103" s="858"/>
      <c r="K103" s="858"/>
      <c r="L103" s="858"/>
      <c r="M103" s="858"/>
      <c r="N103" s="858"/>
      <c r="O103" s="858"/>
      <c r="P103" s="858"/>
      <c r="Q103" s="858"/>
      <c r="R103" s="858"/>
      <c r="S103" s="858"/>
      <c r="T103" s="858"/>
      <c r="U103" s="858"/>
      <c r="V103" s="858"/>
      <c r="W103" s="858"/>
      <c r="X103" s="858"/>
      <c r="Y103" s="858"/>
      <c r="Z103" s="858"/>
      <c r="AA103" s="858"/>
      <c r="AB103" s="858"/>
      <c r="AC103" s="858"/>
      <c r="AD103" s="858"/>
      <c r="AE103" s="858"/>
      <c r="AF103" s="858"/>
      <c r="AG103" s="858"/>
      <c r="AH103" s="858"/>
      <c r="AI103" s="858"/>
      <c r="AJ103" s="858"/>
      <c r="AK103" s="858"/>
      <c r="AL103" s="858"/>
      <c r="AM103" s="858"/>
      <c r="AN103" s="858"/>
      <c r="AO103" s="858"/>
      <c r="AP103" s="858"/>
      <c r="AQ103" s="858"/>
      <c r="AR103" s="858"/>
      <c r="AS103" s="858"/>
      <c r="AT103" s="858"/>
      <c r="AU103" s="858"/>
      <c r="AV103" s="858"/>
      <c r="AW103" s="858"/>
      <c r="AX103" s="858"/>
      <c r="AY103" s="858"/>
      <c r="AZ103" s="858"/>
      <c r="BA103" s="858"/>
      <c r="BB103" s="858"/>
      <c r="BC103" s="858"/>
      <c r="BD103" s="858"/>
      <c r="BE103" s="858"/>
      <c r="BF103" s="858"/>
      <c r="BG103" s="858"/>
      <c r="BH103" s="858"/>
      <c r="BI103" s="858"/>
      <c r="BJ103" s="858"/>
      <c r="BK103" s="858"/>
      <c r="BL103" s="858"/>
      <c r="BM103" s="858"/>
      <c r="BN103" s="858"/>
      <c r="BO103" s="858"/>
      <c r="BP103" s="858"/>
      <c r="BQ103" s="858"/>
      <c r="BR103" s="858"/>
      <c r="BS103" s="858"/>
      <c r="BT103" s="858"/>
      <c r="BU103" s="858"/>
      <c r="BV103" s="858"/>
      <c r="BW103" s="858"/>
      <c r="BX103" s="858"/>
      <c r="BY103" s="858"/>
      <c r="BZ103" s="858"/>
      <c r="CA103" s="858"/>
      <c r="CB103" s="858"/>
      <c r="CC103" s="858"/>
      <c r="CD103" s="858"/>
      <c r="CE103" s="858"/>
      <c r="CF103" s="858"/>
      <c r="CG103" s="858"/>
      <c r="CH103" s="858"/>
      <c r="CI103" s="858"/>
      <c r="CJ103" s="858"/>
      <c r="CK103" s="858"/>
      <c r="CL103" s="858"/>
      <c r="CM103" s="858"/>
      <c r="CN103" s="858"/>
      <c r="CO103" s="858"/>
      <c r="CP103" s="858"/>
      <c r="CQ103" s="858"/>
      <c r="CR103" s="858"/>
      <c r="CS103" s="858"/>
      <c r="CT103" s="858"/>
      <c r="CU103" s="858"/>
      <c r="CV103" s="858"/>
      <c r="CW103" s="858"/>
      <c r="CX103" s="858"/>
      <c r="CY103" s="858"/>
      <c r="CZ103" s="858"/>
      <c r="DA103" s="858"/>
      <c r="DB103" s="858"/>
      <c r="DC103" s="858"/>
      <c r="DD103" s="858"/>
      <c r="DE103" s="858"/>
      <c r="DF103" s="858"/>
      <c r="DG103" s="858"/>
      <c r="DH103" s="858"/>
      <c r="DI103" s="858"/>
      <c r="DJ103" s="858"/>
      <c r="DK103" s="858"/>
      <c r="DL103" s="858"/>
      <c r="DM103" s="858"/>
      <c r="DN103" s="858"/>
      <c r="DO103" s="858"/>
      <c r="DP103" s="858"/>
      <c r="DQ103" s="858"/>
      <c r="DR103" s="858"/>
      <c r="DS103" s="858"/>
      <c r="DT103" s="858"/>
      <c r="DU103" s="858"/>
      <c r="DV103" s="858"/>
      <c r="DW103" s="858"/>
      <c r="DX103" s="858"/>
      <c r="DY103" s="858"/>
      <c r="DZ103" s="858"/>
      <c r="EA103" s="858"/>
      <c r="EB103" s="858"/>
      <c r="EC103" s="858"/>
      <c r="ED103" s="858"/>
      <c r="EE103" s="858"/>
      <c r="EF103" s="858"/>
      <c r="EG103" s="858"/>
      <c r="EH103" s="858"/>
      <c r="EI103" s="858"/>
      <c r="EJ103" s="858"/>
      <c r="EK103" s="858"/>
      <c r="EL103" s="858"/>
      <c r="EM103" s="858"/>
      <c r="EN103" s="858"/>
      <c r="EO103" s="858"/>
      <c r="EP103" s="858"/>
      <c r="EQ103" s="858"/>
      <c r="ER103" s="858"/>
      <c r="ES103" s="858"/>
      <c r="ET103" s="858"/>
      <c r="EU103" s="858"/>
      <c r="EV103" s="858"/>
      <c r="EW103" s="858"/>
      <c r="EX103" s="858"/>
      <c r="EY103" s="858"/>
      <c r="EZ103" s="858"/>
      <c r="FA103" s="858"/>
      <c r="FB103" s="858"/>
      <c r="FC103" s="858"/>
      <c r="FD103" s="858"/>
      <c r="FE103" s="858"/>
      <c r="FF103" s="858"/>
      <c r="FG103" s="858"/>
      <c r="FH103" s="858"/>
      <c r="FI103" s="858"/>
      <c r="FJ103" s="858"/>
      <c r="FK103" s="858"/>
      <c r="FL103" s="858"/>
      <c r="FM103" s="858"/>
      <c r="FN103" s="858"/>
      <c r="FO103" s="858"/>
      <c r="FP103" s="858"/>
      <c r="FQ103" s="858"/>
      <c r="FR103" s="858"/>
      <c r="FS103" s="858"/>
      <c r="FT103" s="858"/>
      <c r="FU103" s="858"/>
      <c r="FV103" s="858"/>
      <c r="FW103" s="858"/>
      <c r="FX103" s="858"/>
      <c r="FY103" s="858"/>
      <c r="FZ103" s="858"/>
      <c r="GA103" s="858"/>
      <c r="GB103" s="858"/>
      <c r="GC103" s="858"/>
      <c r="GD103" s="858"/>
      <c r="GE103" s="858"/>
      <c r="GF103" s="858"/>
      <c r="GG103" s="858"/>
      <c r="GH103" s="858"/>
      <c r="GI103" s="858"/>
      <c r="GJ103" s="858"/>
      <c r="GK103" s="858"/>
      <c r="GL103" s="858"/>
      <c r="GM103" s="858"/>
      <c r="GN103" s="858"/>
      <c r="GO103" s="858"/>
      <c r="GP103" s="858"/>
      <c r="GQ103" s="858"/>
      <c r="GR103" s="858"/>
      <c r="GS103" s="858"/>
      <c r="GT103" s="858"/>
      <c r="GU103" s="858"/>
      <c r="GV103" s="858"/>
      <c r="GW103" s="858"/>
      <c r="GX103" s="858"/>
      <c r="GY103" s="858"/>
      <c r="GZ103" s="858"/>
      <c r="HA103" s="858"/>
      <c r="HB103" s="858"/>
      <c r="HC103" s="858"/>
      <c r="HD103" s="858"/>
      <c r="HE103" s="858"/>
      <c r="HF103" s="858"/>
      <c r="HG103" s="858"/>
      <c r="HH103" s="858"/>
      <c r="HI103" s="858"/>
      <c r="HJ103" s="858"/>
      <c r="HK103" s="858"/>
      <c r="HL103" s="858"/>
      <c r="HM103" s="858"/>
      <c r="HN103" s="858"/>
      <c r="HO103" s="858"/>
      <c r="HP103" s="858"/>
      <c r="HQ103" s="858"/>
      <c r="HR103" s="858"/>
      <c r="HS103" s="858"/>
      <c r="HT103" s="858"/>
      <c r="HU103" s="858"/>
      <c r="HV103" s="858"/>
      <c r="HW103" s="858"/>
      <c r="HX103" s="858"/>
      <c r="HY103" s="858"/>
      <c r="HZ103" s="858"/>
      <c r="IA103" s="858"/>
      <c r="IB103" s="858"/>
      <c r="IC103" s="858"/>
      <c r="ID103" s="858"/>
      <c r="IE103" s="858"/>
      <c r="IF103" s="858"/>
      <c r="IG103" s="858"/>
      <c r="IH103" s="858"/>
      <c r="II103" s="858"/>
      <c r="IJ103" s="858"/>
      <c r="IK103" s="858"/>
      <c r="IL103" s="858"/>
      <c r="IM103" s="858"/>
      <c r="IN103" s="858"/>
    </row>
    <row r="104" spans="1:248" hidden="1">
      <c r="A104" s="564" t="s">
        <v>20</v>
      </c>
      <c r="B104" s="566">
        <v>2768.4</v>
      </c>
      <c r="C104" s="859">
        <f t="shared" si="12"/>
        <v>26.565333793937302</v>
      </c>
      <c r="D104" s="567">
        <v>2087.4</v>
      </c>
      <c r="E104" s="859">
        <f t="shared" si="13"/>
        <v>20.03051501281055</v>
      </c>
      <c r="F104" s="859">
        <f t="shared" si="14"/>
        <v>681</v>
      </c>
      <c r="G104" s="859">
        <f t="shared" si="15"/>
        <v>6.5348187811267531</v>
      </c>
      <c r="H104" s="26">
        <v>10421.1</v>
      </c>
      <c r="I104" s="858"/>
      <c r="J104" s="858"/>
      <c r="K104" s="858"/>
      <c r="L104" s="858"/>
      <c r="M104" s="858"/>
      <c r="N104" s="858"/>
      <c r="O104" s="858"/>
      <c r="P104" s="858"/>
      <c r="Q104" s="858"/>
      <c r="R104" s="858"/>
      <c r="S104" s="858"/>
      <c r="T104" s="858"/>
      <c r="U104" s="858"/>
      <c r="V104" s="858"/>
      <c r="W104" s="858"/>
      <c r="X104" s="858"/>
      <c r="Y104" s="858"/>
      <c r="Z104" s="858"/>
      <c r="AA104" s="858"/>
      <c r="AB104" s="858"/>
      <c r="AC104" s="858"/>
      <c r="AD104" s="858"/>
      <c r="AE104" s="858"/>
      <c r="AF104" s="858"/>
      <c r="AG104" s="858"/>
      <c r="AH104" s="858"/>
      <c r="AI104" s="858"/>
      <c r="AJ104" s="858"/>
      <c r="AK104" s="858"/>
      <c r="AL104" s="858"/>
      <c r="AM104" s="858"/>
      <c r="AN104" s="858"/>
      <c r="AO104" s="858"/>
      <c r="AP104" s="858"/>
      <c r="AQ104" s="858"/>
      <c r="AR104" s="858"/>
      <c r="AS104" s="858"/>
      <c r="AT104" s="858"/>
      <c r="AU104" s="858"/>
      <c r="AV104" s="858"/>
      <c r="AW104" s="858"/>
      <c r="AX104" s="858"/>
      <c r="AY104" s="858"/>
      <c r="AZ104" s="858"/>
      <c r="BA104" s="858"/>
      <c r="BB104" s="858"/>
      <c r="BC104" s="858"/>
      <c r="BD104" s="858"/>
      <c r="BE104" s="858"/>
      <c r="BF104" s="858"/>
      <c r="BG104" s="858"/>
      <c r="BH104" s="858"/>
      <c r="BI104" s="858"/>
      <c r="BJ104" s="858"/>
      <c r="BK104" s="858"/>
      <c r="BL104" s="858"/>
      <c r="BM104" s="858"/>
      <c r="BN104" s="858"/>
      <c r="BO104" s="858"/>
      <c r="BP104" s="858"/>
      <c r="BQ104" s="858"/>
      <c r="BR104" s="858"/>
      <c r="BS104" s="858"/>
      <c r="BT104" s="858"/>
      <c r="BU104" s="858"/>
      <c r="BV104" s="858"/>
      <c r="BW104" s="858"/>
      <c r="BX104" s="858"/>
      <c r="BY104" s="858"/>
      <c r="BZ104" s="858"/>
      <c r="CA104" s="858"/>
      <c r="CB104" s="858"/>
      <c r="CC104" s="858"/>
      <c r="CD104" s="858"/>
      <c r="CE104" s="858"/>
      <c r="CF104" s="858"/>
      <c r="CG104" s="858"/>
      <c r="CH104" s="858"/>
      <c r="CI104" s="858"/>
      <c r="CJ104" s="858"/>
      <c r="CK104" s="858"/>
      <c r="CL104" s="858"/>
      <c r="CM104" s="858"/>
      <c r="CN104" s="858"/>
      <c r="CO104" s="858"/>
      <c r="CP104" s="858"/>
      <c r="CQ104" s="858"/>
      <c r="CR104" s="858"/>
      <c r="CS104" s="858"/>
      <c r="CT104" s="858"/>
      <c r="CU104" s="858"/>
      <c r="CV104" s="858"/>
      <c r="CW104" s="858"/>
      <c r="CX104" s="858"/>
      <c r="CY104" s="858"/>
      <c r="CZ104" s="858"/>
      <c r="DA104" s="858"/>
      <c r="DB104" s="858"/>
      <c r="DC104" s="858"/>
      <c r="DD104" s="858"/>
      <c r="DE104" s="858"/>
      <c r="DF104" s="858"/>
      <c r="DG104" s="858"/>
      <c r="DH104" s="858"/>
      <c r="DI104" s="858"/>
      <c r="DJ104" s="858"/>
      <c r="DK104" s="858"/>
      <c r="DL104" s="858"/>
      <c r="DM104" s="858"/>
      <c r="DN104" s="858"/>
      <c r="DO104" s="858"/>
      <c r="DP104" s="858"/>
      <c r="DQ104" s="858"/>
      <c r="DR104" s="858"/>
      <c r="DS104" s="858"/>
      <c r="DT104" s="858"/>
      <c r="DU104" s="858"/>
      <c r="DV104" s="858"/>
      <c r="DW104" s="858"/>
      <c r="DX104" s="858"/>
      <c r="DY104" s="858"/>
      <c r="DZ104" s="858"/>
      <c r="EA104" s="858"/>
      <c r="EB104" s="858"/>
      <c r="EC104" s="858"/>
      <c r="ED104" s="858"/>
      <c r="EE104" s="858"/>
      <c r="EF104" s="858"/>
      <c r="EG104" s="858"/>
      <c r="EH104" s="858"/>
      <c r="EI104" s="858"/>
      <c r="EJ104" s="858"/>
      <c r="EK104" s="858"/>
      <c r="EL104" s="858"/>
      <c r="EM104" s="858"/>
      <c r="EN104" s="858"/>
      <c r="EO104" s="858"/>
      <c r="EP104" s="858"/>
      <c r="EQ104" s="858"/>
      <c r="ER104" s="858"/>
      <c r="ES104" s="858"/>
      <c r="ET104" s="858"/>
      <c r="EU104" s="858"/>
      <c r="EV104" s="858"/>
      <c r="EW104" s="858"/>
      <c r="EX104" s="858"/>
      <c r="EY104" s="858"/>
      <c r="EZ104" s="858"/>
      <c r="FA104" s="858"/>
      <c r="FB104" s="858"/>
      <c r="FC104" s="858"/>
      <c r="FD104" s="858"/>
      <c r="FE104" s="858"/>
      <c r="FF104" s="858"/>
      <c r="FG104" s="858"/>
      <c r="FH104" s="858"/>
      <c r="FI104" s="858"/>
      <c r="FJ104" s="858"/>
      <c r="FK104" s="858"/>
      <c r="FL104" s="858"/>
      <c r="FM104" s="858"/>
      <c r="FN104" s="858"/>
      <c r="FO104" s="858"/>
      <c r="FP104" s="858"/>
      <c r="FQ104" s="858"/>
      <c r="FR104" s="858"/>
      <c r="FS104" s="858"/>
      <c r="FT104" s="858"/>
      <c r="FU104" s="858"/>
      <c r="FV104" s="858"/>
      <c r="FW104" s="858"/>
      <c r="FX104" s="858"/>
      <c r="FY104" s="858"/>
      <c r="FZ104" s="858"/>
      <c r="GA104" s="858"/>
      <c r="GB104" s="858"/>
      <c r="GC104" s="858"/>
      <c r="GD104" s="858"/>
      <c r="GE104" s="858"/>
      <c r="GF104" s="858"/>
      <c r="GG104" s="858"/>
      <c r="GH104" s="858"/>
      <c r="GI104" s="858"/>
      <c r="GJ104" s="858"/>
      <c r="GK104" s="858"/>
      <c r="GL104" s="858"/>
      <c r="GM104" s="858"/>
      <c r="GN104" s="858"/>
      <c r="GO104" s="858"/>
      <c r="GP104" s="858"/>
      <c r="GQ104" s="858"/>
      <c r="GR104" s="858"/>
      <c r="GS104" s="858"/>
      <c r="GT104" s="858"/>
      <c r="GU104" s="858"/>
      <c r="GV104" s="858"/>
      <c r="GW104" s="858"/>
      <c r="GX104" s="858"/>
      <c r="GY104" s="858"/>
      <c r="GZ104" s="858"/>
      <c r="HA104" s="858"/>
      <c r="HB104" s="858"/>
      <c r="HC104" s="858"/>
      <c r="HD104" s="858"/>
      <c r="HE104" s="858"/>
      <c r="HF104" s="858"/>
      <c r="HG104" s="858"/>
      <c r="HH104" s="858"/>
      <c r="HI104" s="858"/>
      <c r="HJ104" s="858"/>
      <c r="HK104" s="858"/>
      <c r="HL104" s="858"/>
      <c r="HM104" s="858"/>
      <c r="HN104" s="858"/>
      <c r="HO104" s="858"/>
      <c r="HP104" s="858"/>
      <c r="HQ104" s="858"/>
      <c r="HR104" s="858"/>
      <c r="HS104" s="858"/>
      <c r="HT104" s="858"/>
      <c r="HU104" s="858"/>
      <c r="HV104" s="858"/>
      <c r="HW104" s="858"/>
      <c r="HX104" s="858"/>
      <c r="HY104" s="858"/>
      <c r="HZ104" s="858"/>
      <c r="IA104" s="858"/>
      <c r="IB104" s="858"/>
      <c r="IC104" s="858"/>
      <c r="ID104" s="858"/>
      <c r="IE104" s="858"/>
      <c r="IF104" s="858"/>
      <c r="IG104" s="858"/>
      <c r="IH104" s="858"/>
      <c r="II104" s="858"/>
      <c r="IJ104" s="858"/>
      <c r="IK104" s="858"/>
      <c r="IL104" s="858"/>
      <c r="IM104" s="858"/>
      <c r="IN104" s="858"/>
    </row>
    <row r="105" spans="1:248" hidden="1">
      <c r="A105" s="564" t="s">
        <v>21</v>
      </c>
      <c r="B105" s="566">
        <v>4048.2</v>
      </c>
      <c r="C105" s="859">
        <f t="shared" si="12"/>
        <v>29.516802893203742</v>
      </c>
      <c r="D105" s="567">
        <v>2823.7</v>
      </c>
      <c r="E105" s="859">
        <f t="shared" si="13"/>
        <v>20.588556970885676</v>
      </c>
      <c r="F105" s="859">
        <f t="shared" si="14"/>
        <v>1224.5</v>
      </c>
      <c r="G105" s="859">
        <f t="shared" si="15"/>
        <v>8.9282459223180641</v>
      </c>
      <c r="H105" s="26">
        <v>13714.9</v>
      </c>
      <c r="I105" s="858"/>
      <c r="J105" s="858"/>
      <c r="K105" s="858"/>
      <c r="L105" s="858"/>
      <c r="M105" s="858"/>
      <c r="N105" s="858"/>
      <c r="O105" s="858"/>
      <c r="P105" s="858"/>
      <c r="Q105" s="858"/>
      <c r="R105" s="858"/>
      <c r="S105" s="858"/>
      <c r="T105" s="858"/>
      <c r="U105" s="858"/>
      <c r="V105" s="858"/>
      <c r="W105" s="858"/>
      <c r="X105" s="858"/>
      <c r="Y105" s="858"/>
      <c r="Z105" s="858"/>
      <c r="AA105" s="858"/>
      <c r="AB105" s="858"/>
      <c r="AC105" s="858"/>
      <c r="AD105" s="858"/>
      <c r="AE105" s="858"/>
      <c r="AF105" s="858"/>
      <c r="AG105" s="858"/>
      <c r="AH105" s="858"/>
      <c r="AI105" s="858"/>
      <c r="AJ105" s="858"/>
      <c r="AK105" s="858"/>
      <c r="AL105" s="858"/>
      <c r="AM105" s="858"/>
      <c r="AN105" s="858"/>
      <c r="AO105" s="858"/>
      <c r="AP105" s="858"/>
      <c r="AQ105" s="858"/>
      <c r="AR105" s="858"/>
      <c r="AS105" s="858"/>
      <c r="AT105" s="858"/>
      <c r="AU105" s="858"/>
      <c r="AV105" s="858"/>
      <c r="AW105" s="858"/>
      <c r="AX105" s="858"/>
      <c r="AY105" s="858"/>
      <c r="AZ105" s="858"/>
      <c r="BA105" s="858"/>
      <c r="BB105" s="858"/>
      <c r="BC105" s="858"/>
      <c r="BD105" s="858"/>
      <c r="BE105" s="858"/>
      <c r="BF105" s="858"/>
      <c r="BG105" s="858"/>
      <c r="BH105" s="858"/>
      <c r="BI105" s="858"/>
      <c r="BJ105" s="858"/>
      <c r="BK105" s="858"/>
      <c r="BL105" s="858"/>
      <c r="BM105" s="858"/>
      <c r="BN105" s="858"/>
      <c r="BO105" s="858"/>
      <c r="BP105" s="858"/>
      <c r="BQ105" s="858"/>
      <c r="BR105" s="858"/>
      <c r="BS105" s="858"/>
      <c r="BT105" s="858"/>
      <c r="BU105" s="858"/>
      <c r="BV105" s="858"/>
      <c r="BW105" s="858"/>
      <c r="BX105" s="858"/>
      <c r="BY105" s="858"/>
      <c r="BZ105" s="858"/>
      <c r="CA105" s="858"/>
      <c r="CB105" s="858"/>
      <c r="CC105" s="858"/>
      <c r="CD105" s="858"/>
      <c r="CE105" s="858"/>
      <c r="CF105" s="858"/>
      <c r="CG105" s="858"/>
      <c r="CH105" s="858"/>
      <c r="CI105" s="858"/>
      <c r="CJ105" s="858"/>
      <c r="CK105" s="858"/>
      <c r="CL105" s="858"/>
      <c r="CM105" s="858"/>
      <c r="CN105" s="858"/>
      <c r="CO105" s="858"/>
      <c r="CP105" s="858"/>
      <c r="CQ105" s="858"/>
      <c r="CR105" s="858"/>
      <c r="CS105" s="858"/>
      <c r="CT105" s="858"/>
      <c r="CU105" s="858"/>
      <c r="CV105" s="858"/>
      <c r="CW105" s="858"/>
      <c r="CX105" s="858"/>
      <c r="CY105" s="858"/>
      <c r="CZ105" s="858"/>
      <c r="DA105" s="858"/>
      <c r="DB105" s="858"/>
      <c r="DC105" s="858"/>
      <c r="DD105" s="858"/>
      <c r="DE105" s="858"/>
      <c r="DF105" s="858"/>
      <c r="DG105" s="858"/>
      <c r="DH105" s="858"/>
      <c r="DI105" s="858"/>
      <c r="DJ105" s="858"/>
      <c r="DK105" s="858"/>
      <c r="DL105" s="858"/>
      <c r="DM105" s="858"/>
      <c r="DN105" s="858"/>
      <c r="DO105" s="858"/>
      <c r="DP105" s="858"/>
      <c r="DQ105" s="858"/>
      <c r="DR105" s="858"/>
      <c r="DS105" s="858"/>
      <c r="DT105" s="858"/>
      <c r="DU105" s="858"/>
      <c r="DV105" s="858"/>
      <c r="DW105" s="858"/>
      <c r="DX105" s="858"/>
      <c r="DY105" s="858"/>
      <c r="DZ105" s="858"/>
      <c r="EA105" s="858"/>
      <c r="EB105" s="858"/>
      <c r="EC105" s="858"/>
      <c r="ED105" s="858"/>
      <c r="EE105" s="858"/>
      <c r="EF105" s="858"/>
      <c r="EG105" s="858"/>
      <c r="EH105" s="858"/>
      <c r="EI105" s="858"/>
      <c r="EJ105" s="858"/>
      <c r="EK105" s="858"/>
      <c r="EL105" s="858"/>
      <c r="EM105" s="858"/>
      <c r="EN105" s="858"/>
      <c r="EO105" s="858"/>
      <c r="EP105" s="858"/>
      <c r="EQ105" s="858"/>
      <c r="ER105" s="858"/>
      <c r="ES105" s="858"/>
      <c r="ET105" s="858"/>
      <c r="EU105" s="858"/>
      <c r="EV105" s="858"/>
      <c r="EW105" s="858"/>
      <c r="EX105" s="858"/>
      <c r="EY105" s="858"/>
      <c r="EZ105" s="858"/>
      <c r="FA105" s="858"/>
      <c r="FB105" s="858"/>
      <c r="FC105" s="858"/>
      <c r="FD105" s="858"/>
      <c r="FE105" s="858"/>
      <c r="FF105" s="858"/>
      <c r="FG105" s="858"/>
      <c r="FH105" s="858"/>
      <c r="FI105" s="858"/>
      <c r="FJ105" s="858"/>
      <c r="FK105" s="858"/>
      <c r="FL105" s="858"/>
      <c r="FM105" s="858"/>
      <c r="FN105" s="858"/>
      <c r="FO105" s="858"/>
      <c r="FP105" s="858"/>
      <c r="FQ105" s="858"/>
      <c r="FR105" s="858"/>
      <c r="FS105" s="858"/>
      <c r="FT105" s="858"/>
      <c r="FU105" s="858"/>
      <c r="FV105" s="858"/>
      <c r="FW105" s="858"/>
      <c r="FX105" s="858"/>
      <c r="FY105" s="858"/>
      <c r="FZ105" s="858"/>
      <c r="GA105" s="858"/>
      <c r="GB105" s="858"/>
      <c r="GC105" s="858"/>
      <c r="GD105" s="858"/>
      <c r="GE105" s="858"/>
      <c r="GF105" s="858"/>
      <c r="GG105" s="858"/>
      <c r="GH105" s="858"/>
      <c r="GI105" s="858"/>
      <c r="GJ105" s="858"/>
      <c r="GK105" s="858"/>
      <c r="GL105" s="858"/>
      <c r="GM105" s="858"/>
      <c r="GN105" s="858"/>
      <c r="GO105" s="858"/>
      <c r="GP105" s="858"/>
      <c r="GQ105" s="858"/>
      <c r="GR105" s="858"/>
      <c r="GS105" s="858"/>
      <c r="GT105" s="858"/>
      <c r="GU105" s="858"/>
      <c r="GV105" s="858"/>
      <c r="GW105" s="858"/>
      <c r="GX105" s="858"/>
      <c r="GY105" s="858"/>
      <c r="GZ105" s="858"/>
      <c r="HA105" s="858"/>
      <c r="HB105" s="858"/>
      <c r="HC105" s="858"/>
      <c r="HD105" s="858"/>
      <c r="HE105" s="858"/>
      <c r="HF105" s="858"/>
      <c r="HG105" s="858"/>
      <c r="HH105" s="858"/>
      <c r="HI105" s="858"/>
      <c r="HJ105" s="858"/>
      <c r="HK105" s="858"/>
      <c r="HL105" s="858"/>
      <c r="HM105" s="858"/>
      <c r="HN105" s="858"/>
      <c r="HO105" s="858"/>
      <c r="HP105" s="858"/>
      <c r="HQ105" s="858"/>
      <c r="HR105" s="858"/>
      <c r="HS105" s="858"/>
      <c r="HT105" s="858"/>
      <c r="HU105" s="858"/>
      <c r="HV105" s="858"/>
      <c r="HW105" s="858"/>
      <c r="HX105" s="858"/>
      <c r="HY105" s="858"/>
      <c r="HZ105" s="858"/>
      <c r="IA105" s="858"/>
      <c r="IB105" s="858"/>
      <c r="IC105" s="858"/>
      <c r="ID105" s="858"/>
      <c r="IE105" s="858"/>
      <c r="IF105" s="858"/>
      <c r="IG105" s="858"/>
      <c r="IH105" s="858"/>
      <c r="II105" s="858"/>
      <c r="IJ105" s="858"/>
      <c r="IK105" s="858"/>
      <c r="IL105" s="858"/>
      <c r="IM105" s="858"/>
      <c r="IN105" s="858"/>
    </row>
    <row r="106" spans="1:248" hidden="1">
      <c r="A106" s="564" t="s">
        <v>22</v>
      </c>
      <c r="B106" s="566">
        <v>4825.2</v>
      </c>
      <c r="C106" s="859">
        <f t="shared" si="12"/>
        <v>27.421206369412275</v>
      </c>
      <c r="D106" s="567">
        <v>3683</v>
      </c>
      <c r="E106" s="859">
        <f t="shared" si="13"/>
        <v>20.930179693804487</v>
      </c>
      <c r="F106" s="859">
        <f t="shared" si="14"/>
        <v>1142.1999999999998</v>
      </c>
      <c r="G106" s="859">
        <f t="shared" si="15"/>
        <v>6.4910266756077872</v>
      </c>
      <c r="H106" s="26">
        <v>17596.599999999999</v>
      </c>
      <c r="I106" s="858"/>
      <c r="J106" s="858"/>
      <c r="K106" s="858"/>
      <c r="L106" s="858"/>
      <c r="M106" s="858"/>
      <c r="N106" s="858"/>
      <c r="O106" s="858"/>
      <c r="P106" s="858"/>
      <c r="Q106" s="858"/>
      <c r="R106" s="858"/>
      <c r="S106" s="858"/>
      <c r="T106" s="858"/>
      <c r="U106" s="858"/>
      <c r="V106" s="858"/>
      <c r="W106" s="858"/>
      <c r="X106" s="858"/>
      <c r="Y106" s="858"/>
      <c r="Z106" s="858"/>
      <c r="AA106" s="858"/>
      <c r="AB106" s="858"/>
      <c r="AC106" s="858"/>
      <c r="AD106" s="858"/>
      <c r="AE106" s="858"/>
      <c r="AF106" s="858"/>
      <c r="AG106" s="858"/>
      <c r="AH106" s="858"/>
      <c r="AI106" s="858"/>
      <c r="AJ106" s="858"/>
      <c r="AK106" s="858"/>
      <c r="AL106" s="858"/>
      <c r="AM106" s="858"/>
      <c r="AN106" s="858"/>
      <c r="AO106" s="858"/>
      <c r="AP106" s="858"/>
      <c r="AQ106" s="858"/>
      <c r="AR106" s="858"/>
      <c r="AS106" s="858"/>
      <c r="AT106" s="858"/>
      <c r="AU106" s="858"/>
      <c r="AV106" s="858"/>
      <c r="AW106" s="858"/>
      <c r="AX106" s="858"/>
      <c r="AY106" s="858"/>
      <c r="AZ106" s="858"/>
      <c r="BA106" s="858"/>
      <c r="BB106" s="858"/>
      <c r="BC106" s="858"/>
      <c r="BD106" s="858"/>
      <c r="BE106" s="858"/>
      <c r="BF106" s="858"/>
      <c r="BG106" s="858"/>
      <c r="BH106" s="858"/>
      <c r="BI106" s="858"/>
      <c r="BJ106" s="858"/>
      <c r="BK106" s="858"/>
      <c r="BL106" s="858"/>
      <c r="BM106" s="858"/>
      <c r="BN106" s="858"/>
      <c r="BO106" s="858"/>
      <c r="BP106" s="858"/>
      <c r="BQ106" s="858"/>
      <c r="BR106" s="858"/>
      <c r="BS106" s="858"/>
      <c r="BT106" s="858"/>
      <c r="BU106" s="858"/>
      <c r="BV106" s="858"/>
      <c r="BW106" s="858"/>
      <c r="BX106" s="858"/>
      <c r="BY106" s="858"/>
      <c r="BZ106" s="858"/>
      <c r="CA106" s="858"/>
      <c r="CB106" s="858"/>
      <c r="CC106" s="858"/>
      <c r="CD106" s="858"/>
      <c r="CE106" s="858"/>
      <c r="CF106" s="858"/>
      <c r="CG106" s="858"/>
      <c r="CH106" s="858"/>
      <c r="CI106" s="858"/>
      <c r="CJ106" s="858"/>
      <c r="CK106" s="858"/>
      <c r="CL106" s="858"/>
      <c r="CM106" s="858"/>
      <c r="CN106" s="858"/>
      <c r="CO106" s="858"/>
      <c r="CP106" s="858"/>
      <c r="CQ106" s="858"/>
      <c r="CR106" s="858"/>
      <c r="CS106" s="858"/>
      <c r="CT106" s="858"/>
      <c r="CU106" s="858"/>
      <c r="CV106" s="858"/>
      <c r="CW106" s="858"/>
      <c r="CX106" s="858"/>
      <c r="CY106" s="858"/>
      <c r="CZ106" s="858"/>
      <c r="DA106" s="858"/>
      <c r="DB106" s="858"/>
      <c r="DC106" s="858"/>
      <c r="DD106" s="858"/>
      <c r="DE106" s="858"/>
      <c r="DF106" s="858"/>
      <c r="DG106" s="858"/>
      <c r="DH106" s="858"/>
      <c r="DI106" s="858"/>
      <c r="DJ106" s="858"/>
      <c r="DK106" s="858"/>
      <c r="DL106" s="858"/>
      <c r="DM106" s="858"/>
      <c r="DN106" s="858"/>
      <c r="DO106" s="858"/>
      <c r="DP106" s="858"/>
      <c r="DQ106" s="858"/>
      <c r="DR106" s="858"/>
      <c r="DS106" s="858"/>
      <c r="DT106" s="858"/>
      <c r="DU106" s="858"/>
      <c r="DV106" s="858"/>
      <c r="DW106" s="858"/>
      <c r="DX106" s="858"/>
      <c r="DY106" s="858"/>
      <c r="DZ106" s="858"/>
      <c r="EA106" s="858"/>
      <c r="EB106" s="858"/>
      <c r="EC106" s="858"/>
      <c r="ED106" s="858"/>
      <c r="EE106" s="858"/>
      <c r="EF106" s="858"/>
      <c r="EG106" s="858"/>
      <c r="EH106" s="858"/>
      <c r="EI106" s="858"/>
      <c r="EJ106" s="858"/>
      <c r="EK106" s="858"/>
      <c r="EL106" s="858"/>
      <c r="EM106" s="858"/>
      <c r="EN106" s="858"/>
      <c r="EO106" s="858"/>
      <c r="EP106" s="858"/>
      <c r="EQ106" s="858"/>
      <c r="ER106" s="858"/>
      <c r="ES106" s="858"/>
      <c r="ET106" s="858"/>
      <c r="EU106" s="858"/>
      <c r="EV106" s="858"/>
      <c r="EW106" s="858"/>
      <c r="EX106" s="858"/>
      <c r="EY106" s="858"/>
      <c r="EZ106" s="858"/>
      <c r="FA106" s="858"/>
      <c r="FB106" s="858"/>
      <c r="FC106" s="858"/>
      <c r="FD106" s="858"/>
      <c r="FE106" s="858"/>
      <c r="FF106" s="858"/>
      <c r="FG106" s="858"/>
      <c r="FH106" s="858"/>
      <c r="FI106" s="858"/>
      <c r="FJ106" s="858"/>
      <c r="FK106" s="858"/>
      <c r="FL106" s="858"/>
      <c r="FM106" s="858"/>
      <c r="FN106" s="858"/>
      <c r="FO106" s="858"/>
      <c r="FP106" s="858"/>
      <c r="FQ106" s="858"/>
      <c r="FR106" s="858"/>
      <c r="FS106" s="858"/>
      <c r="FT106" s="858"/>
      <c r="FU106" s="858"/>
      <c r="FV106" s="858"/>
      <c r="FW106" s="858"/>
      <c r="FX106" s="858"/>
      <c r="FY106" s="858"/>
      <c r="FZ106" s="858"/>
      <c r="GA106" s="858"/>
      <c r="GB106" s="858"/>
      <c r="GC106" s="858"/>
      <c r="GD106" s="858"/>
      <c r="GE106" s="858"/>
      <c r="GF106" s="858"/>
      <c r="GG106" s="858"/>
      <c r="GH106" s="858"/>
      <c r="GI106" s="858"/>
      <c r="GJ106" s="858"/>
      <c r="GK106" s="858"/>
      <c r="GL106" s="858"/>
      <c r="GM106" s="858"/>
      <c r="GN106" s="858"/>
      <c r="GO106" s="858"/>
      <c r="GP106" s="858"/>
      <c r="GQ106" s="858"/>
      <c r="GR106" s="858"/>
      <c r="GS106" s="858"/>
      <c r="GT106" s="858"/>
      <c r="GU106" s="858"/>
      <c r="GV106" s="858"/>
      <c r="GW106" s="858"/>
      <c r="GX106" s="858"/>
      <c r="GY106" s="858"/>
      <c r="GZ106" s="858"/>
      <c r="HA106" s="858"/>
      <c r="HB106" s="858"/>
      <c r="HC106" s="858"/>
      <c r="HD106" s="858"/>
      <c r="HE106" s="858"/>
      <c r="HF106" s="858"/>
      <c r="HG106" s="858"/>
      <c r="HH106" s="858"/>
      <c r="HI106" s="858"/>
      <c r="HJ106" s="858"/>
      <c r="HK106" s="858"/>
      <c r="HL106" s="858"/>
      <c r="HM106" s="858"/>
      <c r="HN106" s="858"/>
      <c r="HO106" s="858"/>
      <c r="HP106" s="858"/>
      <c r="HQ106" s="858"/>
      <c r="HR106" s="858"/>
      <c r="HS106" s="858"/>
      <c r="HT106" s="858"/>
      <c r="HU106" s="858"/>
      <c r="HV106" s="858"/>
      <c r="HW106" s="858"/>
      <c r="HX106" s="858"/>
      <c r="HY106" s="858"/>
      <c r="HZ106" s="858"/>
      <c r="IA106" s="858"/>
      <c r="IB106" s="858"/>
      <c r="IC106" s="858"/>
      <c r="ID106" s="858"/>
      <c r="IE106" s="858"/>
      <c r="IF106" s="858"/>
      <c r="IG106" s="858"/>
      <c r="IH106" s="858"/>
      <c r="II106" s="858"/>
      <c r="IJ106" s="858"/>
      <c r="IK106" s="858"/>
      <c r="IL106" s="858"/>
      <c r="IM106" s="858"/>
      <c r="IN106" s="858"/>
    </row>
    <row r="107" spans="1:248" hidden="1">
      <c r="A107" s="564" t="s">
        <v>23</v>
      </c>
      <c r="B107" s="566">
        <v>5610.8</v>
      </c>
      <c r="C107" s="859">
        <f t="shared" si="12"/>
        <v>24.918615237714565</v>
      </c>
      <c r="D107" s="567">
        <v>4882.1000000000004</v>
      </c>
      <c r="E107" s="859">
        <f t="shared" si="13"/>
        <v>21.682321852863456</v>
      </c>
      <c r="F107" s="859">
        <f t="shared" si="14"/>
        <v>728.69999999999982</v>
      </c>
      <c r="G107" s="859">
        <f t="shared" si="15"/>
        <v>3.2362933848511086</v>
      </c>
      <c r="H107" s="26">
        <v>22516.5</v>
      </c>
      <c r="I107" s="858"/>
      <c r="J107" s="858"/>
      <c r="K107" s="858"/>
      <c r="L107" s="858"/>
      <c r="M107" s="858"/>
      <c r="N107" s="858"/>
      <c r="O107" s="858"/>
      <c r="P107" s="858"/>
      <c r="Q107" s="858"/>
      <c r="R107" s="858"/>
      <c r="S107" s="858"/>
      <c r="T107" s="858"/>
      <c r="U107" s="858"/>
      <c r="V107" s="858"/>
      <c r="W107" s="858"/>
      <c r="X107" s="858"/>
      <c r="Y107" s="858"/>
      <c r="Z107" s="858"/>
      <c r="AA107" s="858"/>
      <c r="AB107" s="858"/>
      <c r="AC107" s="858"/>
      <c r="AD107" s="858"/>
      <c r="AE107" s="858"/>
      <c r="AF107" s="858"/>
      <c r="AG107" s="858"/>
      <c r="AH107" s="858"/>
      <c r="AI107" s="858"/>
      <c r="AJ107" s="858"/>
      <c r="AK107" s="858"/>
      <c r="AL107" s="858"/>
      <c r="AM107" s="858"/>
      <c r="AN107" s="858"/>
      <c r="AO107" s="858"/>
      <c r="AP107" s="858"/>
      <c r="AQ107" s="858"/>
      <c r="AR107" s="858"/>
      <c r="AS107" s="858"/>
      <c r="AT107" s="858"/>
      <c r="AU107" s="858"/>
      <c r="AV107" s="858"/>
      <c r="AW107" s="858"/>
      <c r="AX107" s="858"/>
      <c r="AY107" s="858"/>
      <c r="AZ107" s="858"/>
      <c r="BA107" s="858"/>
      <c r="BB107" s="858"/>
      <c r="BC107" s="858"/>
      <c r="BD107" s="858"/>
      <c r="BE107" s="858"/>
      <c r="BF107" s="858"/>
      <c r="BG107" s="858"/>
      <c r="BH107" s="858"/>
      <c r="BI107" s="858"/>
      <c r="BJ107" s="858"/>
      <c r="BK107" s="858"/>
      <c r="BL107" s="858"/>
      <c r="BM107" s="858"/>
      <c r="BN107" s="858"/>
      <c r="BO107" s="858"/>
      <c r="BP107" s="858"/>
      <c r="BQ107" s="858"/>
      <c r="BR107" s="858"/>
      <c r="BS107" s="858"/>
      <c r="BT107" s="858"/>
      <c r="BU107" s="858"/>
      <c r="BV107" s="858"/>
      <c r="BW107" s="858"/>
      <c r="BX107" s="858"/>
      <c r="BY107" s="858"/>
      <c r="BZ107" s="858"/>
      <c r="CA107" s="858"/>
      <c r="CB107" s="858"/>
      <c r="CC107" s="858"/>
      <c r="CD107" s="858"/>
      <c r="CE107" s="858"/>
      <c r="CF107" s="858"/>
      <c r="CG107" s="858"/>
      <c r="CH107" s="858"/>
      <c r="CI107" s="858"/>
      <c r="CJ107" s="858"/>
      <c r="CK107" s="858"/>
      <c r="CL107" s="858"/>
      <c r="CM107" s="858"/>
      <c r="CN107" s="858"/>
      <c r="CO107" s="858"/>
      <c r="CP107" s="858"/>
      <c r="CQ107" s="858"/>
      <c r="CR107" s="858"/>
      <c r="CS107" s="858"/>
      <c r="CT107" s="858"/>
      <c r="CU107" s="858"/>
      <c r="CV107" s="858"/>
      <c r="CW107" s="858"/>
      <c r="CX107" s="858"/>
      <c r="CY107" s="858"/>
      <c r="CZ107" s="858"/>
      <c r="DA107" s="858"/>
      <c r="DB107" s="858"/>
      <c r="DC107" s="858"/>
      <c r="DD107" s="858"/>
      <c r="DE107" s="858"/>
      <c r="DF107" s="858"/>
      <c r="DG107" s="858"/>
      <c r="DH107" s="858"/>
      <c r="DI107" s="858"/>
      <c r="DJ107" s="858"/>
      <c r="DK107" s="858"/>
      <c r="DL107" s="858"/>
      <c r="DM107" s="858"/>
      <c r="DN107" s="858"/>
      <c r="DO107" s="858"/>
      <c r="DP107" s="858"/>
      <c r="DQ107" s="858"/>
      <c r="DR107" s="858"/>
      <c r="DS107" s="858"/>
      <c r="DT107" s="858"/>
      <c r="DU107" s="858"/>
      <c r="DV107" s="858"/>
      <c r="DW107" s="858"/>
      <c r="DX107" s="858"/>
      <c r="DY107" s="858"/>
      <c r="DZ107" s="858"/>
      <c r="EA107" s="858"/>
      <c r="EB107" s="858"/>
      <c r="EC107" s="858"/>
      <c r="ED107" s="858"/>
      <c r="EE107" s="858"/>
      <c r="EF107" s="858"/>
      <c r="EG107" s="858"/>
      <c r="EH107" s="858"/>
      <c r="EI107" s="858"/>
      <c r="EJ107" s="858"/>
      <c r="EK107" s="858"/>
      <c r="EL107" s="858"/>
      <c r="EM107" s="858"/>
      <c r="EN107" s="858"/>
      <c r="EO107" s="858"/>
      <c r="EP107" s="858"/>
      <c r="EQ107" s="858"/>
      <c r="ER107" s="858"/>
      <c r="ES107" s="858"/>
      <c r="ET107" s="858"/>
      <c r="EU107" s="858"/>
      <c r="EV107" s="858"/>
      <c r="EW107" s="858"/>
      <c r="EX107" s="858"/>
      <c r="EY107" s="858"/>
      <c r="EZ107" s="858"/>
      <c r="FA107" s="858"/>
      <c r="FB107" s="858"/>
      <c r="FC107" s="858"/>
      <c r="FD107" s="858"/>
      <c r="FE107" s="858"/>
      <c r="FF107" s="858"/>
      <c r="FG107" s="858"/>
      <c r="FH107" s="858"/>
      <c r="FI107" s="858"/>
      <c r="FJ107" s="858"/>
      <c r="FK107" s="858"/>
      <c r="FL107" s="858"/>
      <c r="FM107" s="858"/>
      <c r="FN107" s="858"/>
      <c r="FO107" s="858"/>
      <c r="FP107" s="858"/>
      <c r="FQ107" s="858"/>
      <c r="FR107" s="858"/>
      <c r="FS107" s="858"/>
      <c r="FT107" s="858"/>
      <c r="FU107" s="858"/>
      <c r="FV107" s="858"/>
      <c r="FW107" s="858"/>
      <c r="FX107" s="858"/>
      <c r="FY107" s="858"/>
      <c r="FZ107" s="858"/>
      <c r="GA107" s="858"/>
      <c r="GB107" s="858"/>
      <c r="GC107" s="858"/>
      <c r="GD107" s="858"/>
      <c r="GE107" s="858"/>
      <c r="GF107" s="858"/>
      <c r="GG107" s="858"/>
      <c r="GH107" s="858"/>
      <c r="GI107" s="858"/>
      <c r="GJ107" s="858"/>
      <c r="GK107" s="858"/>
      <c r="GL107" s="858"/>
      <c r="GM107" s="858"/>
      <c r="GN107" s="858"/>
      <c r="GO107" s="858"/>
      <c r="GP107" s="858"/>
      <c r="GQ107" s="858"/>
      <c r="GR107" s="858"/>
      <c r="GS107" s="858"/>
      <c r="GT107" s="858"/>
      <c r="GU107" s="858"/>
      <c r="GV107" s="858"/>
      <c r="GW107" s="858"/>
      <c r="GX107" s="858"/>
      <c r="GY107" s="858"/>
      <c r="GZ107" s="858"/>
      <c r="HA107" s="858"/>
      <c r="HB107" s="858"/>
      <c r="HC107" s="858"/>
      <c r="HD107" s="858"/>
      <c r="HE107" s="858"/>
      <c r="HF107" s="858"/>
      <c r="HG107" s="858"/>
      <c r="HH107" s="858"/>
      <c r="HI107" s="858"/>
      <c r="HJ107" s="858"/>
      <c r="HK107" s="858"/>
      <c r="HL107" s="858"/>
      <c r="HM107" s="858"/>
      <c r="HN107" s="858"/>
      <c r="HO107" s="858"/>
      <c r="HP107" s="858"/>
      <c r="HQ107" s="858"/>
      <c r="HR107" s="858"/>
      <c r="HS107" s="858"/>
      <c r="HT107" s="858"/>
      <c r="HU107" s="858"/>
      <c r="HV107" s="858"/>
      <c r="HW107" s="858"/>
      <c r="HX107" s="858"/>
      <c r="HY107" s="858"/>
      <c r="HZ107" s="858"/>
      <c r="IA107" s="858"/>
      <c r="IB107" s="858"/>
      <c r="IC107" s="858"/>
      <c r="ID107" s="858"/>
      <c r="IE107" s="858"/>
      <c r="IF107" s="858"/>
      <c r="IG107" s="858"/>
      <c r="IH107" s="858"/>
      <c r="II107" s="858"/>
      <c r="IJ107" s="858"/>
      <c r="IK107" s="858"/>
      <c r="IL107" s="858"/>
      <c r="IM107" s="858"/>
      <c r="IN107" s="858"/>
    </row>
    <row r="108" spans="1:248" hidden="1">
      <c r="A108" s="564" t="s">
        <v>24</v>
      </c>
      <c r="B108" s="566">
        <v>6868.5</v>
      </c>
      <c r="C108" s="859">
        <f t="shared" si="12"/>
        <v>25.916618557634617</v>
      </c>
      <c r="D108" s="567">
        <v>6201.2</v>
      </c>
      <c r="E108" s="859">
        <f t="shared" si="13"/>
        <v>23.398723884342111</v>
      </c>
      <c r="F108" s="859">
        <f t="shared" si="14"/>
        <v>667.30000000000018</v>
      </c>
      <c r="G108" s="859">
        <f t="shared" si="15"/>
        <v>2.5178946732925076</v>
      </c>
      <c r="H108" s="26">
        <v>26502.3</v>
      </c>
      <c r="I108" s="858"/>
      <c r="J108" s="858"/>
      <c r="K108" s="858"/>
      <c r="L108" s="858"/>
      <c r="M108" s="858"/>
      <c r="N108" s="858"/>
      <c r="O108" s="861"/>
      <c r="P108" s="858"/>
      <c r="Q108" s="858"/>
      <c r="R108" s="858"/>
      <c r="S108" s="858"/>
      <c r="T108" s="858"/>
      <c r="U108" s="858"/>
      <c r="V108" s="858"/>
      <c r="W108" s="858"/>
      <c r="X108" s="858"/>
      <c r="Y108" s="858"/>
      <c r="Z108" s="858"/>
      <c r="AA108" s="858"/>
      <c r="AB108" s="858"/>
      <c r="AC108" s="858"/>
      <c r="AD108" s="858"/>
      <c r="AE108" s="858"/>
      <c r="AF108" s="858"/>
      <c r="AG108" s="858"/>
      <c r="AH108" s="858"/>
      <c r="AI108" s="858"/>
      <c r="AJ108" s="858"/>
      <c r="AK108" s="858"/>
      <c r="AL108" s="858"/>
      <c r="AM108" s="858"/>
      <c r="AN108" s="858"/>
      <c r="AO108" s="858"/>
      <c r="AP108" s="858"/>
      <c r="AQ108" s="858"/>
      <c r="AR108" s="858"/>
      <c r="AS108" s="858"/>
      <c r="AT108" s="858"/>
      <c r="AU108" s="858"/>
      <c r="AV108" s="858"/>
      <c r="AW108" s="858"/>
      <c r="AX108" s="858"/>
      <c r="AY108" s="858"/>
      <c r="AZ108" s="858"/>
      <c r="BA108" s="858"/>
      <c r="BB108" s="858"/>
      <c r="BC108" s="858"/>
      <c r="BD108" s="858"/>
      <c r="BE108" s="858"/>
      <c r="BF108" s="858"/>
      <c r="BG108" s="858"/>
      <c r="BH108" s="858"/>
      <c r="BI108" s="858"/>
      <c r="BJ108" s="858"/>
      <c r="BK108" s="858"/>
      <c r="BL108" s="858"/>
      <c r="BM108" s="858"/>
      <c r="BN108" s="858"/>
      <c r="BO108" s="858"/>
      <c r="BP108" s="858"/>
      <c r="BQ108" s="858"/>
      <c r="BR108" s="858"/>
      <c r="BS108" s="858"/>
      <c r="BT108" s="858"/>
      <c r="BU108" s="858"/>
      <c r="BV108" s="858"/>
      <c r="BW108" s="858"/>
      <c r="BX108" s="858"/>
      <c r="BY108" s="858"/>
      <c r="BZ108" s="858"/>
      <c r="CA108" s="858"/>
      <c r="CB108" s="858"/>
      <c r="CC108" s="858"/>
      <c r="CD108" s="858"/>
      <c r="CE108" s="858"/>
      <c r="CF108" s="858"/>
      <c r="CG108" s="858"/>
      <c r="CH108" s="858"/>
      <c r="CI108" s="858"/>
      <c r="CJ108" s="858"/>
      <c r="CK108" s="858"/>
      <c r="CL108" s="858"/>
      <c r="CM108" s="858"/>
      <c r="CN108" s="858"/>
      <c r="CO108" s="858"/>
      <c r="CP108" s="858"/>
      <c r="CQ108" s="858"/>
      <c r="CR108" s="858"/>
      <c r="CS108" s="858"/>
      <c r="CT108" s="858"/>
      <c r="CU108" s="858"/>
      <c r="CV108" s="858"/>
      <c r="CW108" s="858"/>
      <c r="CX108" s="858"/>
      <c r="CY108" s="858"/>
      <c r="CZ108" s="858"/>
      <c r="DA108" s="858"/>
      <c r="DB108" s="858"/>
      <c r="DC108" s="858"/>
      <c r="DD108" s="858"/>
      <c r="DE108" s="858"/>
      <c r="DF108" s="858"/>
      <c r="DG108" s="858"/>
      <c r="DH108" s="858"/>
      <c r="DI108" s="858"/>
      <c r="DJ108" s="858"/>
      <c r="DK108" s="858"/>
      <c r="DL108" s="858"/>
      <c r="DM108" s="858"/>
      <c r="DN108" s="858"/>
      <c r="DO108" s="858"/>
      <c r="DP108" s="858"/>
      <c r="DQ108" s="858"/>
      <c r="DR108" s="858"/>
      <c r="DS108" s="858"/>
      <c r="DT108" s="858"/>
      <c r="DU108" s="858"/>
      <c r="DV108" s="858"/>
      <c r="DW108" s="858"/>
      <c r="DX108" s="858"/>
      <c r="DY108" s="858"/>
      <c r="DZ108" s="858"/>
      <c r="EA108" s="858"/>
      <c r="EB108" s="858"/>
      <c r="EC108" s="858"/>
      <c r="ED108" s="858"/>
      <c r="EE108" s="858"/>
      <c r="EF108" s="858"/>
      <c r="EG108" s="858"/>
      <c r="EH108" s="858"/>
      <c r="EI108" s="858"/>
      <c r="EJ108" s="858"/>
      <c r="EK108" s="858"/>
      <c r="EL108" s="858"/>
      <c r="EM108" s="858"/>
      <c r="EN108" s="858"/>
      <c r="EO108" s="858"/>
      <c r="EP108" s="858"/>
      <c r="EQ108" s="858"/>
      <c r="ER108" s="858"/>
      <c r="ES108" s="858"/>
      <c r="ET108" s="858"/>
      <c r="EU108" s="858"/>
      <c r="EV108" s="858"/>
      <c r="EW108" s="858"/>
      <c r="EX108" s="858"/>
      <c r="EY108" s="858"/>
      <c r="EZ108" s="858"/>
      <c r="FA108" s="858"/>
      <c r="FB108" s="858"/>
      <c r="FC108" s="858"/>
      <c r="FD108" s="858"/>
      <c r="FE108" s="858"/>
      <c r="FF108" s="858"/>
      <c r="FG108" s="858"/>
      <c r="FH108" s="858"/>
      <c r="FI108" s="858"/>
      <c r="FJ108" s="858"/>
      <c r="FK108" s="858"/>
      <c r="FL108" s="858"/>
      <c r="FM108" s="858"/>
      <c r="FN108" s="858"/>
      <c r="FO108" s="858"/>
      <c r="FP108" s="858"/>
      <c r="FQ108" s="858"/>
      <c r="FR108" s="858"/>
      <c r="FS108" s="858"/>
      <c r="FT108" s="858"/>
      <c r="FU108" s="858"/>
      <c r="FV108" s="858"/>
      <c r="FW108" s="858"/>
      <c r="FX108" s="858"/>
      <c r="FY108" s="858"/>
      <c r="FZ108" s="858"/>
      <c r="GA108" s="858"/>
      <c r="GB108" s="858"/>
      <c r="GC108" s="858"/>
      <c r="GD108" s="858"/>
      <c r="GE108" s="858"/>
      <c r="GF108" s="858"/>
      <c r="GG108" s="858"/>
      <c r="GH108" s="858"/>
      <c r="GI108" s="858"/>
      <c r="GJ108" s="858"/>
      <c r="GK108" s="858"/>
      <c r="GL108" s="858"/>
      <c r="GM108" s="858"/>
      <c r="GN108" s="858"/>
      <c r="GO108" s="858"/>
      <c r="GP108" s="858"/>
      <c r="GQ108" s="858"/>
      <c r="GR108" s="858"/>
      <c r="GS108" s="858"/>
      <c r="GT108" s="858"/>
      <c r="GU108" s="858"/>
      <c r="GV108" s="858"/>
      <c r="GW108" s="858"/>
      <c r="GX108" s="858"/>
      <c r="GY108" s="858"/>
      <c r="GZ108" s="858"/>
      <c r="HA108" s="858"/>
      <c r="HB108" s="858"/>
      <c r="HC108" s="858"/>
      <c r="HD108" s="858"/>
      <c r="HE108" s="858"/>
      <c r="HF108" s="858"/>
      <c r="HG108" s="858"/>
      <c r="HH108" s="858"/>
      <c r="HI108" s="858"/>
      <c r="HJ108" s="858"/>
      <c r="HK108" s="858"/>
      <c r="HL108" s="858"/>
      <c r="HM108" s="858"/>
      <c r="HN108" s="858"/>
      <c r="HO108" s="858"/>
      <c r="HP108" s="858"/>
      <c r="HQ108" s="858"/>
      <c r="HR108" s="858"/>
      <c r="HS108" s="858"/>
      <c r="HT108" s="858"/>
      <c r="HU108" s="858"/>
      <c r="HV108" s="858"/>
      <c r="HW108" s="858"/>
      <c r="HX108" s="858"/>
      <c r="HY108" s="858"/>
      <c r="HZ108" s="858"/>
      <c r="IA108" s="858"/>
      <c r="IB108" s="858"/>
      <c r="IC108" s="858"/>
      <c r="ID108" s="858"/>
      <c r="IE108" s="858"/>
      <c r="IF108" s="858"/>
      <c r="IG108" s="858"/>
      <c r="IH108" s="858"/>
      <c r="II108" s="858"/>
      <c r="IJ108" s="858"/>
      <c r="IK108" s="858"/>
      <c r="IL108" s="858"/>
      <c r="IM108" s="858"/>
      <c r="IN108" s="858"/>
    </row>
    <row r="109" spans="1:248" hidden="1">
      <c r="A109" s="564" t="s">
        <v>25</v>
      </c>
      <c r="B109" s="566">
        <v>7738.7</v>
      </c>
      <c r="C109" s="859">
        <f t="shared" si="12"/>
        <v>25.069649613849581</v>
      </c>
      <c r="D109" s="567">
        <v>7538</v>
      </c>
      <c r="E109" s="859">
        <f t="shared" si="13"/>
        <v>24.419478567356038</v>
      </c>
      <c r="F109" s="859">
        <f t="shared" si="14"/>
        <v>200.69999999999982</v>
      </c>
      <c r="G109" s="859">
        <f t="shared" si="15"/>
        <v>0.65017104649354629</v>
      </c>
      <c r="H109" s="26">
        <v>30868.799999999999</v>
      </c>
      <c r="I109" s="858"/>
      <c r="J109" s="858"/>
      <c r="K109" s="858"/>
      <c r="L109" s="858"/>
      <c r="M109" s="858"/>
      <c r="N109" s="858"/>
      <c r="O109" s="858"/>
      <c r="P109" s="858"/>
      <c r="Q109" s="858"/>
      <c r="R109" s="858"/>
      <c r="S109" s="858"/>
      <c r="T109" s="858"/>
      <c r="U109" s="858"/>
      <c r="V109" s="858"/>
      <c r="W109" s="858"/>
      <c r="X109" s="858"/>
      <c r="Y109" s="858"/>
      <c r="Z109" s="858"/>
      <c r="AA109" s="858"/>
      <c r="AB109" s="858"/>
      <c r="AC109" s="858"/>
      <c r="AD109" s="858"/>
      <c r="AE109" s="858"/>
      <c r="AF109" s="858"/>
      <c r="AG109" s="858"/>
      <c r="AH109" s="858"/>
      <c r="AI109" s="858"/>
      <c r="AJ109" s="858"/>
      <c r="AK109" s="858"/>
      <c r="AL109" s="858"/>
      <c r="AM109" s="858"/>
      <c r="AN109" s="858"/>
      <c r="AO109" s="858"/>
      <c r="AP109" s="858"/>
      <c r="AQ109" s="858"/>
      <c r="AR109" s="858"/>
      <c r="AS109" s="858"/>
      <c r="AT109" s="858"/>
      <c r="AU109" s="858"/>
      <c r="AV109" s="858"/>
      <c r="AW109" s="858"/>
      <c r="AX109" s="858"/>
      <c r="AY109" s="858"/>
      <c r="AZ109" s="858"/>
      <c r="BA109" s="858"/>
      <c r="BB109" s="858"/>
      <c r="BC109" s="858"/>
      <c r="BD109" s="858"/>
      <c r="BE109" s="858"/>
      <c r="BF109" s="858"/>
      <c r="BG109" s="858"/>
      <c r="BH109" s="858"/>
      <c r="BI109" s="858"/>
      <c r="BJ109" s="858"/>
      <c r="BK109" s="858"/>
      <c r="BL109" s="858"/>
      <c r="BM109" s="858"/>
      <c r="BN109" s="858"/>
      <c r="BO109" s="858"/>
      <c r="BP109" s="858"/>
      <c r="BQ109" s="858"/>
      <c r="BR109" s="858"/>
      <c r="BS109" s="858"/>
      <c r="BT109" s="858"/>
      <c r="BU109" s="858"/>
      <c r="BV109" s="858"/>
      <c r="BW109" s="858"/>
      <c r="BX109" s="858"/>
      <c r="BY109" s="858"/>
      <c r="BZ109" s="858"/>
      <c r="CA109" s="858"/>
      <c r="CB109" s="858"/>
      <c r="CC109" s="858"/>
      <c r="CD109" s="858"/>
      <c r="CE109" s="858"/>
      <c r="CF109" s="858"/>
      <c r="CG109" s="858"/>
      <c r="CH109" s="858"/>
      <c r="CI109" s="858"/>
      <c r="CJ109" s="858"/>
      <c r="CK109" s="858"/>
      <c r="CL109" s="858"/>
      <c r="CM109" s="858"/>
      <c r="CN109" s="858"/>
      <c r="CO109" s="858"/>
      <c r="CP109" s="858"/>
      <c r="CQ109" s="858"/>
      <c r="CR109" s="858"/>
      <c r="CS109" s="858"/>
      <c r="CT109" s="858"/>
      <c r="CU109" s="858"/>
      <c r="CV109" s="858"/>
      <c r="CW109" s="858"/>
      <c r="CX109" s="858"/>
      <c r="CY109" s="858"/>
      <c r="CZ109" s="858"/>
      <c r="DA109" s="858"/>
      <c r="DB109" s="858"/>
      <c r="DC109" s="858"/>
      <c r="DD109" s="858"/>
      <c r="DE109" s="858"/>
      <c r="DF109" s="858"/>
      <c r="DG109" s="858"/>
      <c r="DH109" s="858"/>
      <c r="DI109" s="858"/>
      <c r="DJ109" s="858"/>
      <c r="DK109" s="858"/>
      <c r="DL109" s="858"/>
      <c r="DM109" s="858"/>
      <c r="DN109" s="858"/>
      <c r="DO109" s="858"/>
      <c r="DP109" s="858"/>
      <c r="DQ109" s="858"/>
      <c r="DR109" s="858"/>
      <c r="DS109" s="858"/>
      <c r="DT109" s="858"/>
      <c r="DU109" s="858"/>
      <c r="DV109" s="858"/>
      <c r="DW109" s="858"/>
      <c r="DX109" s="858"/>
      <c r="DY109" s="858"/>
      <c r="DZ109" s="858"/>
      <c r="EA109" s="858"/>
      <c r="EB109" s="858"/>
      <c r="EC109" s="858"/>
      <c r="ED109" s="858"/>
      <c r="EE109" s="858"/>
      <c r="EF109" s="858"/>
      <c r="EG109" s="858"/>
      <c r="EH109" s="858"/>
      <c r="EI109" s="858"/>
      <c r="EJ109" s="858"/>
      <c r="EK109" s="858"/>
      <c r="EL109" s="858"/>
      <c r="EM109" s="858"/>
      <c r="EN109" s="858"/>
      <c r="EO109" s="858"/>
      <c r="EP109" s="858"/>
      <c r="EQ109" s="858"/>
      <c r="ER109" s="858"/>
      <c r="ES109" s="858"/>
      <c r="ET109" s="858"/>
      <c r="EU109" s="858"/>
      <c r="EV109" s="858"/>
      <c r="EW109" s="858"/>
      <c r="EX109" s="858"/>
      <c r="EY109" s="858"/>
      <c r="EZ109" s="858"/>
      <c r="FA109" s="858"/>
      <c r="FB109" s="858"/>
      <c r="FC109" s="858"/>
      <c r="FD109" s="858"/>
      <c r="FE109" s="858"/>
      <c r="FF109" s="858"/>
      <c r="FG109" s="858"/>
      <c r="FH109" s="858"/>
      <c r="FI109" s="858"/>
      <c r="FJ109" s="858"/>
      <c r="FK109" s="858"/>
      <c r="FL109" s="858"/>
      <c r="FM109" s="858"/>
      <c r="FN109" s="858"/>
      <c r="FO109" s="858"/>
      <c r="FP109" s="858"/>
      <c r="FQ109" s="858"/>
      <c r="FR109" s="858"/>
      <c r="FS109" s="858"/>
      <c r="FT109" s="858"/>
      <c r="FU109" s="858"/>
      <c r="FV109" s="858"/>
      <c r="FW109" s="858"/>
      <c r="FX109" s="858"/>
      <c r="FY109" s="858"/>
      <c r="FZ109" s="858"/>
      <c r="GA109" s="858"/>
      <c r="GB109" s="858"/>
      <c r="GC109" s="858"/>
      <c r="GD109" s="858"/>
      <c r="GE109" s="858"/>
      <c r="GF109" s="858"/>
      <c r="GG109" s="858"/>
      <c r="GH109" s="858"/>
      <c r="GI109" s="858"/>
      <c r="GJ109" s="858"/>
      <c r="GK109" s="858"/>
      <c r="GL109" s="858"/>
      <c r="GM109" s="858"/>
      <c r="GN109" s="858"/>
      <c r="GO109" s="858"/>
      <c r="GP109" s="858"/>
      <c r="GQ109" s="858"/>
      <c r="GR109" s="858"/>
      <c r="GS109" s="858"/>
      <c r="GT109" s="858"/>
      <c r="GU109" s="858"/>
      <c r="GV109" s="858"/>
      <c r="GW109" s="858"/>
      <c r="GX109" s="858"/>
      <c r="GY109" s="858"/>
      <c r="GZ109" s="858"/>
      <c r="HA109" s="858"/>
      <c r="HB109" s="858"/>
      <c r="HC109" s="858"/>
      <c r="HD109" s="858"/>
      <c r="HE109" s="858"/>
      <c r="HF109" s="858"/>
      <c r="HG109" s="858"/>
      <c r="HH109" s="858"/>
      <c r="HI109" s="858"/>
      <c r="HJ109" s="858"/>
      <c r="HK109" s="858"/>
      <c r="HL109" s="858"/>
      <c r="HM109" s="858"/>
      <c r="HN109" s="858"/>
      <c r="HO109" s="858"/>
      <c r="HP109" s="858"/>
      <c r="HQ109" s="858"/>
      <c r="HR109" s="858"/>
      <c r="HS109" s="858"/>
      <c r="HT109" s="858"/>
      <c r="HU109" s="858"/>
      <c r="HV109" s="858"/>
      <c r="HW109" s="858"/>
      <c r="HX109" s="858"/>
      <c r="HY109" s="858"/>
      <c r="HZ109" s="858"/>
      <c r="IA109" s="858"/>
      <c r="IB109" s="858"/>
      <c r="IC109" s="858"/>
      <c r="ID109" s="858"/>
      <c r="IE109" s="858"/>
      <c r="IF109" s="858"/>
      <c r="IG109" s="858"/>
      <c r="IH109" s="858"/>
      <c r="II109" s="858"/>
      <c r="IJ109" s="858"/>
      <c r="IK109" s="858"/>
      <c r="IL109" s="858"/>
      <c r="IM109" s="858"/>
      <c r="IN109" s="858"/>
    </row>
    <row r="110" spans="1:248" hidden="1">
      <c r="A110" s="564" t="s">
        <v>26</v>
      </c>
      <c r="B110" s="566">
        <v>8978.9</v>
      </c>
      <c r="C110" s="859">
        <f t="shared" si="12"/>
        <v>25.963259511148507</v>
      </c>
      <c r="D110" s="567">
        <v>8734.7999999999993</v>
      </c>
      <c r="E110" s="859">
        <f t="shared" si="13"/>
        <v>25.257423423579723</v>
      </c>
      <c r="F110" s="859">
        <f t="shared" si="14"/>
        <v>244.10000000000036</v>
      </c>
      <c r="G110" s="859">
        <f t="shared" si="15"/>
        <v>0.70583608756878469</v>
      </c>
      <c r="H110" s="26">
        <v>34583.1</v>
      </c>
      <c r="I110" s="858"/>
      <c r="J110" s="858"/>
      <c r="K110" s="858"/>
      <c r="L110" s="858"/>
      <c r="M110" s="858"/>
      <c r="N110" s="858"/>
      <c r="O110" s="858"/>
      <c r="P110" s="858"/>
      <c r="Q110" s="858"/>
      <c r="R110" s="858"/>
      <c r="S110" s="858"/>
      <c r="T110" s="858"/>
      <c r="U110" s="858"/>
      <c r="V110" s="858"/>
      <c r="W110" s="858"/>
      <c r="X110" s="858"/>
      <c r="Y110" s="858"/>
      <c r="Z110" s="858"/>
      <c r="AA110" s="858"/>
      <c r="AB110" s="858"/>
      <c r="AC110" s="858"/>
      <c r="AD110" s="858"/>
      <c r="AE110" s="858"/>
      <c r="AF110" s="858"/>
      <c r="AG110" s="858"/>
      <c r="AH110" s="858"/>
      <c r="AI110" s="858"/>
      <c r="AJ110" s="858"/>
      <c r="AK110" s="858"/>
      <c r="AL110" s="858"/>
      <c r="AM110" s="858"/>
      <c r="AN110" s="858"/>
      <c r="AO110" s="858"/>
      <c r="AP110" s="858"/>
      <c r="AQ110" s="858"/>
      <c r="AR110" s="858"/>
      <c r="AS110" s="858"/>
      <c r="AT110" s="858"/>
      <c r="AU110" s="858"/>
      <c r="AV110" s="858"/>
      <c r="AW110" s="858"/>
      <c r="AX110" s="858"/>
      <c r="AY110" s="858"/>
      <c r="AZ110" s="858"/>
      <c r="BA110" s="858"/>
      <c r="BB110" s="858"/>
      <c r="BC110" s="858"/>
      <c r="BD110" s="858"/>
      <c r="BE110" s="858"/>
      <c r="BF110" s="858"/>
      <c r="BG110" s="858"/>
      <c r="BH110" s="858"/>
      <c r="BI110" s="858"/>
      <c r="BJ110" s="858"/>
      <c r="BK110" s="858"/>
      <c r="BL110" s="858"/>
      <c r="BM110" s="858"/>
      <c r="BN110" s="858"/>
      <c r="BO110" s="858"/>
      <c r="BP110" s="858"/>
      <c r="BQ110" s="858"/>
      <c r="BR110" s="858"/>
      <c r="BS110" s="858"/>
      <c r="BT110" s="858"/>
      <c r="BU110" s="858"/>
      <c r="BV110" s="858"/>
      <c r="BW110" s="858"/>
      <c r="BX110" s="858"/>
      <c r="BY110" s="858"/>
      <c r="BZ110" s="858"/>
      <c r="CA110" s="858"/>
      <c r="CB110" s="858"/>
      <c r="CC110" s="858"/>
      <c r="CD110" s="858"/>
      <c r="CE110" s="858"/>
      <c r="CF110" s="858"/>
      <c r="CG110" s="858"/>
      <c r="CH110" s="858"/>
      <c r="CI110" s="858"/>
      <c r="CJ110" s="858"/>
      <c r="CK110" s="858"/>
      <c r="CL110" s="858"/>
      <c r="CM110" s="858"/>
      <c r="CN110" s="858"/>
      <c r="CO110" s="858"/>
      <c r="CP110" s="858"/>
      <c r="CQ110" s="858"/>
      <c r="CR110" s="858"/>
      <c r="CS110" s="858"/>
      <c r="CT110" s="858"/>
      <c r="CU110" s="858"/>
      <c r="CV110" s="858"/>
      <c r="CW110" s="858"/>
      <c r="CX110" s="858"/>
      <c r="CY110" s="858"/>
      <c r="CZ110" s="858"/>
      <c r="DA110" s="858"/>
      <c r="DB110" s="858"/>
      <c r="DC110" s="858"/>
      <c r="DD110" s="858"/>
      <c r="DE110" s="858"/>
      <c r="DF110" s="858"/>
      <c r="DG110" s="858"/>
      <c r="DH110" s="858"/>
      <c r="DI110" s="858"/>
      <c r="DJ110" s="858"/>
      <c r="DK110" s="858"/>
      <c r="DL110" s="858"/>
      <c r="DM110" s="858"/>
      <c r="DN110" s="858"/>
      <c r="DO110" s="858"/>
      <c r="DP110" s="858"/>
      <c r="DQ110" s="858"/>
      <c r="DR110" s="858"/>
      <c r="DS110" s="858"/>
      <c r="DT110" s="858"/>
      <c r="DU110" s="858"/>
      <c r="DV110" s="858"/>
      <c r="DW110" s="858"/>
      <c r="DX110" s="858"/>
      <c r="DY110" s="858"/>
      <c r="DZ110" s="858"/>
      <c r="EA110" s="858"/>
      <c r="EB110" s="858"/>
      <c r="EC110" s="858"/>
      <c r="ED110" s="858"/>
      <c r="EE110" s="858"/>
      <c r="EF110" s="858"/>
      <c r="EG110" s="858"/>
      <c r="EH110" s="858"/>
      <c r="EI110" s="858"/>
      <c r="EJ110" s="858"/>
      <c r="EK110" s="858"/>
      <c r="EL110" s="858"/>
      <c r="EM110" s="858"/>
      <c r="EN110" s="858"/>
      <c r="EO110" s="858"/>
      <c r="EP110" s="858"/>
      <c r="EQ110" s="858"/>
      <c r="ER110" s="858"/>
      <c r="ES110" s="858"/>
      <c r="ET110" s="858"/>
      <c r="EU110" s="858"/>
      <c r="EV110" s="858"/>
      <c r="EW110" s="858"/>
      <c r="EX110" s="858"/>
      <c r="EY110" s="858"/>
      <c r="EZ110" s="858"/>
      <c r="FA110" s="858"/>
      <c r="FB110" s="858"/>
      <c r="FC110" s="858"/>
      <c r="FD110" s="858"/>
      <c r="FE110" s="858"/>
      <c r="FF110" s="858"/>
      <c r="FG110" s="858"/>
      <c r="FH110" s="858"/>
      <c r="FI110" s="858"/>
      <c r="FJ110" s="858"/>
      <c r="FK110" s="858"/>
      <c r="FL110" s="858"/>
      <c r="FM110" s="858"/>
      <c r="FN110" s="858"/>
      <c r="FO110" s="858"/>
      <c r="FP110" s="858"/>
      <c r="FQ110" s="858"/>
      <c r="FR110" s="858"/>
      <c r="FS110" s="858"/>
      <c r="FT110" s="858"/>
      <c r="FU110" s="858"/>
      <c r="FV110" s="858"/>
      <c r="FW110" s="858"/>
      <c r="FX110" s="858"/>
      <c r="FY110" s="858"/>
      <c r="FZ110" s="858"/>
      <c r="GA110" s="858"/>
      <c r="GB110" s="858"/>
      <c r="GC110" s="858"/>
      <c r="GD110" s="858"/>
      <c r="GE110" s="858"/>
      <c r="GF110" s="858"/>
      <c r="GG110" s="858"/>
      <c r="GH110" s="858"/>
      <c r="GI110" s="858"/>
      <c r="GJ110" s="858"/>
      <c r="GK110" s="858"/>
      <c r="GL110" s="858"/>
      <c r="GM110" s="858"/>
      <c r="GN110" s="858"/>
      <c r="GO110" s="858"/>
      <c r="GP110" s="858"/>
      <c r="GQ110" s="858"/>
      <c r="GR110" s="858"/>
      <c r="GS110" s="858"/>
      <c r="GT110" s="858"/>
      <c r="GU110" s="858"/>
      <c r="GV110" s="858"/>
      <c r="GW110" s="858"/>
      <c r="GX110" s="858"/>
      <c r="GY110" s="858"/>
      <c r="GZ110" s="858"/>
      <c r="HA110" s="858"/>
      <c r="HB110" s="858"/>
      <c r="HC110" s="858"/>
      <c r="HD110" s="858"/>
      <c r="HE110" s="858"/>
      <c r="HF110" s="858"/>
      <c r="HG110" s="858"/>
      <c r="HH110" s="858"/>
      <c r="HI110" s="858"/>
      <c r="HJ110" s="858"/>
      <c r="HK110" s="858"/>
      <c r="HL110" s="858"/>
      <c r="HM110" s="858"/>
      <c r="HN110" s="858"/>
      <c r="HO110" s="858"/>
      <c r="HP110" s="858"/>
      <c r="HQ110" s="858"/>
      <c r="HR110" s="858"/>
      <c r="HS110" s="858"/>
      <c r="HT110" s="858"/>
      <c r="HU110" s="858"/>
      <c r="HV110" s="858"/>
      <c r="HW110" s="858"/>
      <c r="HX110" s="858"/>
      <c r="HY110" s="858"/>
      <c r="HZ110" s="858"/>
      <c r="IA110" s="858"/>
      <c r="IB110" s="858"/>
      <c r="IC110" s="858"/>
      <c r="ID110" s="858"/>
      <c r="IE110" s="858"/>
      <c r="IF110" s="858"/>
      <c r="IG110" s="858"/>
      <c r="IH110" s="858"/>
      <c r="II110" s="858"/>
      <c r="IJ110" s="858"/>
      <c r="IK110" s="858"/>
      <c r="IL110" s="858"/>
      <c r="IM110" s="858"/>
      <c r="IN110" s="858"/>
    </row>
    <row r="111" spans="1:248" hidden="1">
      <c r="A111" s="564" t="s">
        <v>27</v>
      </c>
      <c r="B111" s="566">
        <v>10548.7</v>
      </c>
      <c r="C111" s="859">
        <f t="shared" si="12"/>
        <v>25.924551486851811</v>
      </c>
      <c r="D111" s="567">
        <v>9897.5</v>
      </c>
      <c r="E111" s="859">
        <f t="shared" si="13"/>
        <v>24.324158269845171</v>
      </c>
      <c r="F111" s="859">
        <f t="shared" si="14"/>
        <v>651.20000000000073</v>
      </c>
      <c r="G111" s="859">
        <f t="shared" si="15"/>
        <v>1.6003932170066373</v>
      </c>
      <c r="H111" s="26">
        <v>40690</v>
      </c>
      <c r="I111" s="858"/>
      <c r="J111" s="858"/>
      <c r="K111" s="858"/>
      <c r="L111" s="858"/>
      <c r="M111" s="858"/>
      <c r="N111" s="858"/>
      <c r="O111" s="858"/>
      <c r="P111" s="858"/>
      <c r="Q111" s="858"/>
      <c r="R111" s="858"/>
      <c r="S111" s="858"/>
      <c r="T111" s="858"/>
      <c r="U111" s="858"/>
      <c r="V111" s="858"/>
      <c r="W111" s="858"/>
      <c r="X111" s="858"/>
      <c r="Y111" s="858"/>
      <c r="Z111" s="858"/>
      <c r="AA111" s="858"/>
      <c r="AB111" s="858"/>
      <c r="AC111" s="858"/>
      <c r="AD111" s="858"/>
      <c r="AE111" s="858"/>
      <c r="AF111" s="858"/>
      <c r="AG111" s="858"/>
      <c r="AH111" s="858"/>
      <c r="AI111" s="858"/>
      <c r="AJ111" s="858"/>
      <c r="AK111" s="858"/>
      <c r="AL111" s="858"/>
      <c r="AM111" s="858"/>
      <c r="AN111" s="858"/>
      <c r="AO111" s="858"/>
      <c r="AP111" s="858"/>
      <c r="AQ111" s="858"/>
      <c r="AR111" s="858"/>
      <c r="AS111" s="858"/>
      <c r="AT111" s="858"/>
      <c r="AU111" s="858"/>
      <c r="AV111" s="858"/>
      <c r="AW111" s="858"/>
      <c r="AX111" s="858"/>
      <c r="AY111" s="858"/>
      <c r="AZ111" s="858"/>
      <c r="BA111" s="858"/>
      <c r="BB111" s="858"/>
      <c r="BC111" s="858"/>
      <c r="BD111" s="858"/>
      <c r="BE111" s="858"/>
      <c r="BF111" s="858"/>
      <c r="BG111" s="858"/>
      <c r="BH111" s="858"/>
      <c r="BI111" s="858"/>
      <c r="BJ111" s="858"/>
      <c r="BK111" s="858"/>
      <c r="BL111" s="858"/>
      <c r="BM111" s="858"/>
      <c r="BN111" s="858"/>
      <c r="BO111" s="858"/>
      <c r="BP111" s="858"/>
      <c r="BQ111" s="858"/>
      <c r="BR111" s="858"/>
      <c r="BS111" s="858"/>
      <c r="BT111" s="858"/>
      <c r="BU111" s="858"/>
      <c r="BV111" s="858"/>
      <c r="BW111" s="858"/>
      <c r="BX111" s="858"/>
      <c r="BY111" s="858"/>
      <c r="BZ111" s="858"/>
      <c r="CA111" s="858"/>
      <c r="CB111" s="858"/>
      <c r="CC111" s="858"/>
      <c r="CD111" s="858"/>
      <c r="CE111" s="858"/>
      <c r="CF111" s="858"/>
      <c r="CG111" s="858"/>
      <c r="CH111" s="858"/>
      <c r="CI111" s="858"/>
      <c r="CJ111" s="858"/>
      <c r="CK111" s="858"/>
      <c r="CL111" s="858"/>
      <c r="CM111" s="858"/>
      <c r="CN111" s="858"/>
      <c r="CO111" s="858"/>
      <c r="CP111" s="858"/>
      <c r="CQ111" s="858"/>
      <c r="CR111" s="858"/>
      <c r="CS111" s="858"/>
      <c r="CT111" s="858"/>
      <c r="CU111" s="858"/>
      <c r="CV111" s="858"/>
      <c r="CW111" s="858"/>
      <c r="CX111" s="858"/>
      <c r="CY111" s="858"/>
      <c r="CZ111" s="858"/>
      <c r="DA111" s="858"/>
      <c r="DB111" s="858"/>
      <c r="DC111" s="858"/>
      <c r="DD111" s="858"/>
      <c r="DE111" s="858"/>
      <c r="DF111" s="858"/>
      <c r="DG111" s="858"/>
      <c r="DH111" s="858"/>
      <c r="DI111" s="858"/>
      <c r="DJ111" s="858"/>
      <c r="DK111" s="858"/>
      <c r="DL111" s="858"/>
      <c r="DM111" s="858"/>
      <c r="DN111" s="858"/>
      <c r="DO111" s="858"/>
      <c r="DP111" s="858"/>
      <c r="DQ111" s="858"/>
      <c r="DR111" s="858"/>
      <c r="DS111" s="858"/>
      <c r="DT111" s="858"/>
      <c r="DU111" s="858"/>
      <c r="DV111" s="858"/>
      <c r="DW111" s="858"/>
      <c r="DX111" s="858"/>
      <c r="DY111" s="858"/>
      <c r="DZ111" s="858"/>
      <c r="EA111" s="858"/>
      <c r="EB111" s="858"/>
      <c r="EC111" s="858"/>
      <c r="ED111" s="858"/>
      <c r="EE111" s="858"/>
      <c r="EF111" s="858"/>
      <c r="EG111" s="858"/>
      <c r="EH111" s="858"/>
      <c r="EI111" s="858"/>
      <c r="EJ111" s="858"/>
      <c r="EK111" s="858"/>
      <c r="EL111" s="858"/>
      <c r="EM111" s="858"/>
      <c r="EN111" s="858"/>
      <c r="EO111" s="858"/>
      <c r="EP111" s="858"/>
      <c r="EQ111" s="858"/>
      <c r="ER111" s="858"/>
      <c r="ES111" s="858"/>
      <c r="ET111" s="858"/>
      <c r="EU111" s="858"/>
      <c r="EV111" s="858"/>
      <c r="EW111" s="858"/>
      <c r="EX111" s="858"/>
      <c r="EY111" s="858"/>
      <c r="EZ111" s="858"/>
      <c r="FA111" s="858"/>
      <c r="FB111" s="858"/>
      <c r="FC111" s="858"/>
      <c r="FD111" s="858"/>
      <c r="FE111" s="858"/>
      <c r="FF111" s="858"/>
      <c r="FG111" s="858"/>
      <c r="FH111" s="858"/>
      <c r="FI111" s="858"/>
      <c r="FJ111" s="858"/>
      <c r="FK111" s="858"/>
      <c r="FL111" s="858"/>
      <c r="FM111" s="858"/>
      <c r="FN111" s="858"/>
      <c r="FO111" s="858"/>
      <c r="FP111" s="858"/>
      <c r="FQ111" s="858"/>
      <c r="FR111" s="858"/>
      <c r="FS111" s="858"/>
      <c r="FT111" s="858"/>
      <c r="FU111" s="858"/>
      <c r="FV111" s="858"/>
      <c r="FW111" s="858"/>
      <c r="FX111" s="858"/>
      <c r="FY111" s="858"/>
      <c r="FZ111" s="858"/>
      <c r="GA111" s="858"/>
      <c r="GB111" s="858"/>
      <c r="GC111" s="858"/>
      <c r="GD111" s="858"/>
      <c r="GE111" s="858"/>
      <c r="GF111" s="858"/>
      <c r="GG111" s="858"/>
      <c r="GH111" s="858"/>
      <c r="GI111" s="858"/>
      <c r="GJ111" s="858"/>
      <c r="GK111" s="858"/>
      <c r="GL111" s="858"/>
      <c r="GM111" s="858"/>
      <c r="GN111" s="858"/>
      <c r="GO111" s="858"/>
      <c r="GP111" s="858"/>
      <c r="GQ111" s="858"/>
      <c r="GR111" s="858"/>
      <c r="GS111" s="858"/>
      <c r="GT111" s="858"/>
      <c r="GU111" s="858"/>
      <c r="GV111" s="858"/>
      <c r="GW111" s="858"/>
      <c r="GX111" s="858"/>
      <c r="GY111" s="858"/>
      <c r="GZ111" s="858"/>
      <c r="HA111" s="858"/>
      <c r="HB111" s="858"/>
      <c r="HC111" s="858"/>
      <c r="HD111" s="858"/>
      <c r="HE111" s="858"/>
      <c r="HF111" s="858"/>
      <c r="HG111" s="858"/>
      <c r="HH111" s="858"/>
      <c r="HI111" s="858"/>
      <c r="HJ111" s="858"/>
      <c r="HK111" s="858"/>
      <c r="HL111" s="858"/>
      <c r="HM111" s="858"/>
      <c r="HN111" s="858"/>
      <c r="HO111" s="858"/>
      <c r="HP111" s="858"/>
      <c r="HQ111" s="858"/>
      <c r="HR111" s="858"/>
      <c r="HS111" s="858"/>
      <c r="HT111" s="858"/>
      <c r="HU111" s="858"/>
      <c r="HV111" s="858"/>
      <c r="HW111" s="858"/>
      <c r="HX111" s="858"/>
      <c r="HY111" s="858"/>
      <c r="HZ111" s="858"/>
      <c r="IA111" s="858"/>
      <c r="IB111" s="858"/>
      <c r="IC111" s="858"/>
      <c r="ID111" s="858"/>
      <c r="IE111" s="858"/>
      <c r="IF111" s="858"/>
      <c r="IG111" s="858"/>
      <c r="IH111" s="858"/>
      <c r="II111" s="858"/>
      <c r="IJ111" s="858"/>
      <c r="IK111" s="858"/>
      <c r="IL111" s="858"/>
      <c r="IM111" s="858"/>
      <c r="IN111" s="858"/>
    </row>
    <row r="112" spans="1:248" hidden="1">
      <c r="A112" s="564" t="s">
        <v>28</v>
      </c>
      <c r="B112" s="566">
        <v>11638.9</v>
      </c>
      <c r="C112" s="859">
        <f t="shared" si="12"/>
        <v>25.593162197701673</v>
      </c>
      <c r="D112" s="567">
        <v>11387.2</v>
      </c>
      <c r="E112" s="859">
        <f t="shared" si="13"/>
        <v>25.039690742051956</v>
      </c>
      <c r="F112" s="859">
        <f t="shared" si="14"/>
        <v>251.69999999999891</v>
      </c>
      <c r="G112" s="859">
        <f t="shared" si="15"/>
        <v>0.55347145564971645</v>
      </c>
      <c r="H112" s="26">
        <v>45476.6</v>
      </c>
      <c r="I112" s="858"/>
      <c r="J112" s="858"/>
      <c r="K112" s="858"/>
      <c r="L112" s="858"/>
      <c r="M112" s="858"/>
      <c r="N112" s="858"/>
      <c r="O112" s="858"/>
      <c r="P112" s="858"/>
      <c r="Q112" s="858"/>
      <c r="R112" s="858"/>
      <c r="S112" s="858"/>
      <c r="T112" s="858"/>
      <c r="U112" s="858"/>
      <c r="V112" s="858"/>
      <c r="W112" s="858"/>
      <c r="X112" s="858"/>
      <c r="Y112" s="858"/>
      <c r="Z112" s="858"/>
      <c r="AA112" s="858"/>
      <c r="AB112" s="858"/>
      <c r="AC112" s="858"/>
      <c r="AD112" s="858"/>
      <c r="AE112" s="858"/>
      <c r="AF112" s="858"/>
      <c r="AG112" s="858"/>
      <c r="AH112" s="858"/>
      <c r="AI112" s="858"/>
      <c r="AJ112" s="858"/>
      <c r="AK112" s="858"/>
      <c r="AL112" s="858"/>
      <c r="AM112" s="858"/>
      <c r="AN112" s="858"/>
      <c r="AO112" s="858"/>
      <c r="AP112" s="858"/>
      <c r="AQ112" s="858"/>
      <c r="AR112" s="858"/>
      <c r="AS112" s="858"/>
      <c r="AT112" s="858"/>
      <c r="AU112" s="858"/>
      <c r="AV112" s="858"/>
      <c r="AW112" s="858"/>
      <c r="AX112" s="858"/>
      <c r="AY112" s="858"/>
      <c r="AZ112" s="858"/>
      <c r="BA112" s="858"/>
      <c r="BB112" s="858"/>
      <c r="BC112" s="858"/>
      <c r="BD112" s="858"/>
      <c r="BE112" s="858"/>
      <c r="BF112" s="858"/>
      <c r="BG112" s="858"/>
      <c r="BH112" s="858"/>
      <c r="BI112" s="858"/>
      <c r="BJ112" s="858"/>
      <c r="BK112" s="858"/>
      <c r="BL112" s="858"/>
      <c r="BM112" s="858"/>
      <c r="BN112" s="858"/>
      <c r="BO112" s="858"/>
      <c r="BP112" s="858"/>
      <c r="BQ112" s="858"/>
      <c r="BR112" s="858"/>
      <c r="BS112" s="858"/>
      <c r="BT112" s="858"/>
      <c r="BU112" s="858"/>
      <c r="BV112" s="858"/>
      <c r="BW112" s="858"/>
      <c r="BX112" s="858"/>
      <c r="BY112" s="858"/>
      <c r="BZ112" s="858"/>
      <c r="CA112" s="858"/>
      <c r="CB112" s="858"/>
      <c r="CC112" s="858"/>
      <c r="CD112" s="858"/>
      <c r="CE112" s="858"/>
      <c r="CF112" s="858"/>
      <c r="CG112" s="858"/>
      <c r="CH112" s="858"/>
      <c r="CI112" s="858"/>
      <c r="CJ112" s="858"/>
      <c r="CK112" s="858"/>
      <c r="CL112" s="858"/>
      <c r="CM112" s="858"/>
      <c r="CN112" s="858"/>
      <c r="CO112" s="858"/>
      <c r="CP112" s="858"/>
      <c r="CQ112" s="858"/>
      <c r="CR112" s="858"/>
      <c r="CS112" s="858"/>
      <c r="CT112" s="858"/>
      <c r="CU112" s="858"/>
      <c r="CV112" s="858"/>
      <c r="CW112" s="858"/>
      <c r="CX112" s="858"/>
      <c r="CY112" s="858"/>
      <c r="CZ112" s="858"/>
      <c r="DA112" s="858"/>
      <c r="DB112" s="858"/>
      <c r="DC112" s="858"/>
      <c r="DD112" s="858"/>
      <c r="DE112" s="858"/>
      <c r="DF112" s="858"/>
      <c r="DG112" s="858"/>
      <c r="DH112" s="858"/>
      <c r="DI112" s="858"/>
      <c r="DJ112" s="858"/>
      <c r="DK112" s="858"/>
      <c r="DL112" s="858"/>
      <c r="DM112" s="858"/>
      <c r="DN112" s="858"/>
      <c r="DO112" s="858"/>
      <c r="DP112" s="858"/>
      <c r="DQ112" s="858"/>
      <c r="DR112" s="858"/>
      <c r="DS112" s="858"/>
      <c r="DT112" s="858"/>
      <c r="DU112" s="858"/>
      <c r="DV112" s="858"/>
      <c r="DW112" s="858"/>
      <c r="DX112" s="858"/>
      <c r="DY112" s="858"/>
      <c r="DZ112" s="858"/>
      <c r="EA112" s="858"/>
      <c r="EB112" s="858"/>
      <c r="EC112" s="858"/>
      <c r="ED112" s="858"/>
      <c r="EE112" s="858"/>
      <c r="EF112" s="858"/>
      <c r="EG112" s="858"/>
      <c r="EH112" s="858"/>
      <c r="EI112" s="858"/>
      <c r="EJ112" s="858"/>
      <c r="EK112" s="858"/>
      <c r="EL112" s="858"/>
      <c r="EM112" s="858"/>
      <c r="EN112" s="858"/>
      <c r="EO112" s="858"/>
      <c r="EP112" s="858"/>
      <c r="EQ112" s="858"/>
      <c r="ER112" s="858"/>
      <c r="ES112" s="858"/>
      <c r="ET112" s="858"/>
      <c r="EU112" s="858"/>
      <c r="EV112" s="858"/>
      <c r="EW112" s="858"/>
      <c r="EX112" s="858"/>
      <c r="EY112" s="858"/>
      <c r="EZ112" s="858"/>
      <c r="FA112" s="858"/>
      <c r="FB112" s="858"/>
      <c r="FC112" s="858"/>
      <c r="FD112" s="858"/>
      <c r="FE112" s="858"/>
      <c r="FF112" s="858"/>
      <c r="FG112" s="858"/>
      <c r="FH112" s="858"/>
      <c r="FI112" s="858"/>
      <c r="FJ112" s="858"/>
      <c r="FK112" s="858"/>
      <c r="FL112" s="858"/>
      <c r="FM112" s="858"/>
      <c r="FN112" s="858"/>
      <c r="FO112" s="858"/>
      <c r="FP112" s="858"/>
      <c r="FQ112" s="858"/>
      <c r="FR112" s="858"/>
      <c r="FS112" s="858"/>
      <c r="FT112" s="858"/>
      <c r="FU112" s="858"/>
      <c r="FV112" s="858"/>
      <c r="FW112" s="858"/>
      <c r="FX112" s="858"/>
      <c r="FY112" s="858"/>
      <c r="FZ112" s="858"/>
      <c r="GA112" s="858"/>
      <c r="GB112" s="858"/>
      <c r="GC112" s="858"/>
      <c r="GD112" s="858"/>
      <c r="GE112" s="858"/>
      <c r="GF112" s="858"/>
      <c r="GG112" s="858"/>
      <c r="GH112" s="858"/>
      <c r="GI112" s="858"/>
      <c r="GJ112" s="858"/>
      <c r="GK112" s="858"/>
      <c r="GL112" s="858"/>
      <c r="GM112" s="858"/>
      <c r="GN112" s="858"/>
      <c r="GO112" s="858"/>
      <c r="GP112" s="858"/>
      <c r="GQ112" s="858"/>
      <c r="GR112" s="858"/>
      <c r="GS112" s="858"/>
      <c r="GT112" s="858"/>
      <c r="GU112" s="858"/>
      <c r="GV112" s="858"/>
      <c r="GW112" s="858"/>
      <c r="GX112" s="858"/>
      <c r="GY112" s="858"/>
      <c r="GZ112" s="858"/>
      <c r="HA112" s="858"/>
      <c r="HB112" s="858"/>
      <c r="HC112" s="858"/>
      <c r="HD112" s="858"/>
      <c r="HE112" s="858"/>
      <c r="HF112" s="858"/>
      <c r="HG112" s="858"/>
      <c r="HH112" s="858"/>
      <c r="HI112" s="858"/>
      <c r="HJ112" s="858"/>
      <c r="HK112" s="858"/>
      <c r="HL112" s="858"/>
      <c r="HM112" s="858"/>
      <c r="HN112" s="858"/>
      <c r="HO112" s="858"/>
      <c r="HP112" s="858"/>
      <c r="HQ112" s="858"/>
      <c r="HR112" s="858"/>
      <c r="HS112" s="858"/>
      <c r="HT112" s="858"/>
      <c r="HU112" s="858"/>
      <c r="HV112" s="858"/>
      <c r="HW112" s="858"/>
      <c r="HX112" s="858"/>
      <c r="HY112" s="858"/>
      <c r="HZ112" s="858"/>
      <c r="IA112" s="858"/>
      <c r="IB112" s="858"/>
      <c r="IC112" s="858"/>
      <c r="ID112" s="858"/>
      <c r="IE112" s="858"/>
      <c r="IF112" s="858"/>
      <c r="IG112" s="858"/>
      <c r="IH112" s="858"/>
      <c r="II112" s="858"/>
      <c r="IJ112" s="858"/>
      <c r="IK112" s="858"/>
      <c r="IL112" s="858"/>
      <c r="IM112" s="858"/>
      <c r="IN112" s="858"/>
    </row>
    <row r="113" spans="1:248" hidden="1">
      <c r="A113" s="564" t="s">
        <v>29</v>
      </c>
      <c r="B113" s="566">
        <v>15700.7</v>
      </c>
      <c r="C113" s="859">
        <f t="shared" si="12"/>
        <v>31.358125786414746</v>
      </c>
      <c r="D113" s="567">
        <v>15394.7</v>
      </c>
      <c r="E113" s="859">
        <f t="shared" si="13"/>
        <v>30.746969182528112</v>
      </c>
      <c r="F113" s="859">
        <f t="shared" si="14"/>
        <v>306</v>
      </c>
      <c r="G113" s="859">
        <f t="shared" si="15"/>
        <v>0.61115660388663651</v>
      </c>
      <c r="H113" s="26">
        <v>50069</v>
      </c>
      <c r="I113" s="858"/>
      <c r="J113" s="858"/>
      <c r="K113" s="858"/>
      <c r="L113" s="858"/>
      <c r="M113" s="858"/>
      <c r="N113" s="858"/>
      <c r="O113" s="858"/>
      <c r="P113" s="858"/>
      <c r="Q113" s="858"/>
      <c r="R113" s="858"/>
      <c r="S113" s="858"/>
      <c r="T113" s="858"/>
      <c r="U113" s="858"/>
      <c r="V113" s="858"/>
      <c r="W113" s="858"/>
      <c r="X113" s="858"/>
      <c r="Y113" s="858"/>
      <c r="Z113" s="858"/>
      <c r="AA113" s="858"/>
      <c r="AB113" s="858"/>
      <c r="AC113" s="858"/>
      <c r="AD113" s="858"/>
      <c r="AE113" s="858"/>
      <c r="AF113" s="858"/>
      <c r="AG113" s="858"/>
      <c r="AH113" s="858"/>
      <c r="AI113" s="858"/>
      <c r="AJ113" s="858"/>
      <c r="AK113" s="858"/>
      <c r="AL113" s="858"/>
      <c r="AM113" s="858"/>
      <c r="AN113" s="858"/>
      <c r="AO113" s="858"/>
      <c r="AP113" s="858"/>
      <c r="AQ113" s="858"/>
      <c r="AR113" s="858"/>
      <c r="AS113" s="858"/>
      <c r="AT113" s="858"/>
      <c r="AU113" s="858"/>
      <c r="AV113" s="858"/>
      <c r="AW113" s="858"/>
      <c r="AX113" s="858"/>
      <c r="AY113" s="858"/>
      <c r="AZ113" s="858"/>
      <c r="BA113" s="858"/>
      <c r="BB113" s="858"/>
      <c r="BC113" s="858"/>
      <c r="BD113" s="858"/>
      <c r="BE113" s="858"/>
      <c r="BF113" s="858"/>
      <c r="BG113" s="858"/>
      <c r="BH113" s="858"/>
      <c r="BI113" s="858"/>
      <c r="BJ113" s="858"/>
      <c r="BK113" s="858"/>
      <c r="BL113" s="858"/>
      <c r="BM113" s="858"/>
      <c r="BN113" s="858"/>
      <c r="BO113" s="858"/>
      <c r="BP113" s="858"/>
      <c r="BQ113" s="858"/>
      <c r="BR113" s="858"/>
      <c r="BS113" s="858"/>
      <c r="BT113" s="858"/>
      <c r="BU113" s="858"/>
      <c r="BV113" s="858"/>
      <c r="BW113" s="858"/>
      <c r="BX113" s="858"/>
      <c r="BY113" s="858"/>
      <c r="BZ113" s="858"/>
      <c r="CA113" s="858"/>
      <c r="CB113" s="858"/>
      <c r="CC113" s="858"/>
      <c r="CD113" s="858"/>
      <c r="CE113" s="858"/>
      <c r="CF113" s="858"/>
      <c r="CG113" s="858"/>
      <c r="CH113" s="858"/>
      <c r="CI113" s="858"/>
      <c r="CJ113" s="858"/>
      <c r="CK113" s="858"/>
      <c r="CL113" s="858"/>
      <c r="CM113" s="858"/>
      <c r="CN113" s="858"/>
      <c r="CO113" s="858"/>
      <c r="CP113" s="858"/>
      <c r="CQ113" s="858"/>
      <c r="CR113" s="858"/>
      <c r="CS113" s="858"/>
      <c r="CT113" s="858"/>
      <c r="CU113" s="858"/>
      <c r="CV113" s="858"/>
      <c r="CW113" s="858"/>
      <c r="CX113" s="858"/>
      <c r="CY113" s="858"/>
      <c r="CZ113" s="858"/>
      <c r="DA113" s="858"/>
      <c r="DB113" s="858"/>
      <c r="DC113" s="858"/>
      <c r="DD113" s="858"/>
      <c r="DE113" s="858"/>
      <c r="DF113" s="858"/>
      <c r="DG113" s="858"/>
      <c r="DH113" s="858"/>
      <c r="DI113" s="858"/>
      <c r="DJ113" s="858"/>
      <c r="DK113" s="858"/>
      <c r="DL113" s="858"/>
      <c r="DM113" s="858"/>
      <c r="DN113" s="858"/>
      <c r="DO113" s="858"/>
      <c r="DP113" s="858"/>
      <c r="DQ113" s="858"/>
      <c r="DR113" s="858"/>
      <c r="DS113" s="858"/>
      <c r="DT113" s="858"/>
      <c r="DU113" s="858"/>
      <c r="DV113" s="858"/>
      <c r="DW113" s="858"/>
      <c r="DX113" s="858"/>
      <c r="DY113" s="858"/>
      <c r="DZ113" s="858"/>
      <c r="EA113" s="858"/>
      <c r="EB113" s="858"/>
      <c r="EC113" s="858"/>
      <c r="ED113" s="858"/>
      <c r="EE113" s="858"/>
      <c r="EF113" s="858"/>
      <c r="EG113" s="858"/>
      <c r="EH113" s="858"/>
      <c r="EI113" s="858"/>
      <c r="EJ113" s="858"/>
      <c r="EK113" s="858"/>
      <c r="EL113" s="858"/>
      <c r="EM113" s="858"/>
      <c r="EN113" s="858"/>
      <c r="EO113" s="858"/>
      <c r="EP113" s="858"/>
      <c r="EQ113" s="858"/>
      <c r="ER113" s="858"/>
      <c r="ES113" s="858"/>
      <c r="ET113" s="858"/>
      <c r="EU113" s="858"/>
      <c r="EV113" s="858"/>
      <c r="EW113" s="858"/>
      <c r="EX113" s="858"/>
      <c r="EY113" s="858"/>
      <c r="EZ113" s="858"/>
      <c r="FA113" s="858"/>
      <c r="FB113" s="858"/>
      <c r="FC113" s="858"/>
      <c r="FD113" s="858"/>
      <c r="FE113" s="858"/>
      <c r="FF113" s="858"/>
      <c r="FG113" s="858"/>
      <c r="FH113" s="858"/>
      <c r="FI113" s="858"/>
      <c r="FJ113" s="858"/>
      <c r="FK113" s="858"/>
      <c r="FL113" s="858"/>
      <c r="FM113" s="858"/>
      <c r="FN113" s="858"/>
      <c r="FO113" s="858"/>
      <c r="FP113" s="858"/>
      <c r="FQ113" s="858"/>
      <c r="FR113" s="858"/>
      <c r="FS113" s="858"/>
      <c r="FT113" s="858"/>
      <c r="FU113" s="858"/>
      <c r="FV113" s="858"/>
      <c r="FW113" s="858"/>
      <c r="FX113" s="858"/>
      <c r="FY113" s="858"/>
      <c r="FZ113" s="858"/>
      <c r="GA113" s="858"/>
      <c r="GB113" s="858"/>
      <c r="GC113" s="858"/>
      <c r="GD113" s="858"/>
      <c r="GE113" s="858"/>
      <c r="GF113" s="858"/>
      <c r="GG113" s="858"/>
      <c r="GH113" s="858"/>
      <c r="GI113" s="858"/>
      <c r="GJ113" s="858"/>
      <c r="GK113" s="858"/>
      <c r="GL113" s="858"/>
      <c r="GM113" s="858"/>
      <c r="GN113" s="858"/>
      <c r="GO113" s="858"/>
      <c r="GP113" s="858"/>
      <c r="GQ113" s="858"/>
      <c r="GR113" s="858"/>
      <c r="GS113" s="858"/>
      <c r="GT113" s="858"/>
      <c r="GU113" s="858"/>
      <c r="GV113" s="858"/>
      <c r="GW113" s="858"/>
      <c r="GX113" s="858"/>
      <c r="GY113" s="858"/>
      <c r="GZ113" s="858"/>
      <c r="HA113" s="858"/>
      <c r="HB113" s="858"/>
      <c r="HC113" s="858"/>
      <c r="HD113" s="858"/>
      <c r="HE113" s="858"/>
      <c r="HF113" s="858"/>
      <c r="HG113" s="858"/>
      <c r="HH113" s="858"/>
      <c r="HI113" s="858"/>
      <c r="HJ113" s="858"/>
      <c r="HK113" s="858"/>
      <c r="HL113" s="858"/>
      <c r="HM113" s="858"/>
      <c r="HN113" s="858"/>
      <c r="HO113" s="858"/>
      <c r="HP113" s="858"/>
      <c r="HQ113" s="858"/>
      <c r="HR113" s="858"/>
      <c r="HS113" s="858"/>
      <c r="HT113" s="858"/>
      <c r="HU113" s="858"/>
      <c r="HV113" s="858"/>
      <c r="HW113" s="858"/>
      <c r="HX113" s="858"/>
      <c r="HY113" s="858"/>
      <c r="HZ113" s="858"/>
      <c r="IA113" s="858"/>
      <c r="IB113" s="858"/>
      <c r="IC113" s="858"/>
      <c r="ID113" s="858"/>
      <c r="IE113" s="858"/>
      <c r="IF113" s="858"/>
      <c r="IG113" s="858"/>
      <c r="IH113" s="858"/>
      <c r="II113" s="858"/>
      <c r="IJ113" s="858"/>
      <c r="IK113" s="858"/>
      <c r="IL113" s="858"/>
      <c r="IM113" s="858"/>
      <c r="IN113" s="858"/>
    </row>
    <row r="114" spans="1:248">
      <c r="A114" s="559">
        <v>2012</v>
      </c>
      <c r="B114" s="561">
        <v>17281.5</v>
      </c>
      <c r="C114" s="561">
        <v>32.005926474673579</v>
      </c>
      <c r="D114" s="562">
        <v>17416.5</v>
      </c>
      <c r="E114" s="561">
        <v>31.67997036762663</v>
      </c>
      <c r="F114" s="860">
        <f>B114-D114</f>
        <v>-135</v>
      </c>
      <c r="G114" s="561">
        <v>0.32595610704694883</v>
      </c>
      <c r="H114" s="26"/>
      <c r="I114" s="858"/>
      <c r="J114" s="858"/>
      <c r="K114" s="858"/>
      <c r="L114" s="858"/>
      <c r="M114" s="858"/>
      <c r="N114" s="858"/>
      <c r="O114" s="858"/>
      <c r="P114" s="858"/>
      <c r="Q114" s="858"/>
      <c r="R114" s="858"/>
      <c r="S114" s="858"/>
      <c r="T114" s="858"/>
      <c r="U114" s="858"/>
      <c r="V114" s="858"/>
      <c r="W114" s="858"/>
      <c r="X114" s="858"/>
      <c r="Y114" s="858"/>
      <c r="Z114" s="858"/>
      <c r="AA114" s="858"/>
      <c r="AB114" s="858"/>
      <c r="AC114" s="858"/>
      <c r="AD114" s="858"/>
      <c r="AE114" s="858"/>
      <c r="AF114" s="858"/>
      <c r="AG114" s="858"/>
      <c r="AH114" s="858"/>
      <c r="AI114" s="858"/>
      <c r="AJ114" s="858"/>
      <c r="AK114" s="858"/>
      <c r="AL114" s="858"/>
      <c r="AM114" s="858"/>
      <c r="AN114" s="858"/>
      <c r="AO114" s="858"/>
      <c r="AP114" s="858"/>
      <c r="AQ114" s="858"/>
      <c r="AR114" s="858"/>
      <c r="AS114" s="858"/>
      <c r="AT114" s="858"/>
      <c r="AU114" s="858"/>
      <c r="AV114" s="858"/>
      <c r="AW114" s="858"/>
      <c r="AX114" s="858"/>
      <c r="AY114" s="858"/>
      <c r="AZ114" s="858"/>
      <c r="BA114" s="858"/>
      <c r="BB114" s="858"/>
      <c r="BC114" s="858"/>
      <c r="BD114" s="858"/>
      <c r="BE114" s="858"/>
      <c r="BF114" s="858"/>
      <c r="BG114" s="858"/>
      <c r="BH114" s="858"/>
      <c r="BI114" s="858"/>
      <c r="BJ114" s="858"/>
      <c r="BK114" s="858"/>
      <c r="BL114" s="858"/>
      <c r="BM114" s="858"/>
      <c r="BN114" s="858"/>
      <c r="BO114" s="858"/>
      <c r="BP114" s="858"/>
      <c r="BQ114" s="858"/>
      <c r="BR114" s="858"/>
      <c r="BS114" s="858"/>
      <c r="BT114" s="858"/>
      <c r="BU114" s="858"/>
      <c r="BV114" s="858"/>
      <c r="BW114" s="858"/>
      <c r="BX114" s="858"/>
      <c r="BY114" s="858"/>
      <c r="BZ114" s="858"/>
      <c r="CA114" s="858"/>
      <c r="CB114" s="858"/>
      <c r="CC114" s="858"/>
      <c r="CD114" s="858"/>
      <c r="CE114" s="858"/>
      <c r="CF114" s="858"/>
      <c r="CG114" s="858"/>
      <c r="CH114" s="858"/>
      <c r="CI114" s="858"/>
      <c r="CJ114" s="858"/>
      <c r="CK114" s="858"/>
      <c r="CL114" s="858"/>
      <c r="CM114" s="858"/>
      <c r="CN114" s="858"/>
      <c r="CO114" s="858"/>
      <c r="CP114" s="858"/>
      <c r="CQ114" s="858"/>
      <c r="CR114" s="858"/>
      <c r="CS114" s="858"/>
      <c r="CT114" s="858"/>
      <c r="CU114" s="858"/>
      <c r="CV114" s="858"/>
      <c r="CW114" s="858"/>
      <c r="CX114" s="858"/>
      <c r="CY114" s="858"/>
      <c r="CZ114" s="858"/>
      <c r="DA114" s="858"/>
      <c r="DB114" s="858"/>
      <c r="DC114" s="858"/>
      <c r="DD114" s="858"/>
      <c r="DE114" s="858"/>
      <c r="DF114" s="858"/>
      <c r="DG114" s="858"/>
      <c r="DH114" s="858"/>
      <c r="DI114" s="858"/>
      <c r="DJ114" s="858"/>
      <c r="DK114" s="858"/>
      <c r="DL114" s="858"/>
      <c r="DM114" s="858"/>
      <c r="DN114" s="858"/>
      <c r="DO114" s="858"/>
      <c r="DP114" s="858"/>
      <c r="DQ114" s="858"/>
      <c r="DR114" s="858"/>
      <c r="DS114" s="858"/>
      <c r="DT114" s="858"/>
      <c r="DU114" s="858"/>
      <c r="DV114" s="858"/>
      <c r="DW114" s="858"/>
      <c r="DX114" s="858"/>
      <c r="DY114" s="858"/>
      <c r="DZ114" s="858"/>
      <c r="EA114" s="858"/>
      <c r="EB114" s="858"/>
      <c r="EC114" s="858"/>
      <c r="ED114" s="858"/>
      <c r="EE114" s="858"/>
      <c r="EF114" s="858"/>
      <c r="EG114" s="858"/>
      <c r="EH114" s="858"/>
      <c r="EI114" s="858"/>
      <c r="EJ114" s="858"/>
      <c r="EK114" s="858"/>
      <c r="EL114" s="858"/>
      <c r="EM114" s="858"/>
      <c r="EN114" s="858"/>
      <c r="EO114" s="858"/>
      <c r="EP114" s="858"/>
      <c r="EQ114" s="858"/>
      <c r="ER114" s="858"/>
      <c r="ES114" s="858"/>
      <c r="ET114" s="858"/>
      <c r="EU114" s="858"/>
      <c r="EV114" s="858"/>
      <c r="EW114" s="858"/>
      <c r="EX114" s="858"/>
      <c r="EY114" s="858"/>
      <c r="EZ114" s="858"/>
      <c r="FA114" s="858"/>
      <c r="FB114" s="858"/>
      <c r="FC114" s="858"/>
      <c r="FD114" s="858"/>
      <c r="FE114" s="858"/>
      <c r="FF114" s="858"/>
      <c r="FG114" s="858"/>
      <c r="FH114" s="858"/>
      <c r="FI114" s="858"/>
      <c r="FJ114" s="858"/>
      <c r="FK114" s="858"/>
      <c r="FL114" s="858"/>
      <c r="FM114" s="858"/>
      <c r="FN114" s="858"/>
      <c r="FO114" s="858"/>
      <c r="FP114" s="858"/>
      <c r="FQ114" s="858"/>
      <c r="FR114" s="858"/>
      <c r="FS114" s="858"/>
      <c r="FT114" s="858"/>
      <c r="FU114" s="858"/>
      <c r="FV114" s="858"/>
      <c r="FW114" s="858"/>
      <c r="FX114" s="858"/>
      <c r="FY114" s="858"/>
      <c r="FZ114" s="858"/>
      <c r="GA114" s="858"/>
      <c r="GB114" s="858"/>
      <c r="GC114" s="858"/>
      <c r="GD114" s="858"/>
      <c r="GE114" s="858"/>
      <c r="GF114" s="858"/>
      <c r="GG114" s="858"/>
      <c r="GH114" s="858"/>
      <c r="GI114" s="858"/>
      <c r="GJ114" s="858"/>
      <c r="GK114" s="858"/>
      <c r="GL114" s="858"/>
      <c r="GM114" s="858"/>
      <c r="GN114" s="858"/>
      <c r="GO114" s="858"/>
      <c r="GP114" s="858"/>
      <c r="GQ114" s="858"/>
      <c r="GR114" s="858"/>
      <c r="GS114" s="858"/>
      <c r="GT114" s="858"/>
      <c r="GU114" s="858"/>
      <c r="GV114" s="858"/>
      <c r="GW114" s="858"/>
      <c r="GX114" s="858"/>
      <c r="GY114" s="858"/>
      <c r="GZ114" s="858"/>
      <c r="HA114" s="858"/>
      <c r="HB114" s="858"/>
      <c r="HC114" s="858"/>
      <c r="HD114" s="858"/>
      <c r="HE114" s="858"/>
      <c r="HF114" s="858"/>
      <c r="HG114" s="858"/>
      <c r="HH114" s="858"/>
      <c r="HI114" s="858"/>
      <c r="HJ114" s="858"/>
      <c r="HK114" s="858"/>
      <c r="HL114" s="858"/>
      <c r="HM114" s="858"/>
      <c r="HN114" s="858"/>
      <c r="HO114" s="858"/>
      <c r="HP114" s="858"/>
      <c r="HQ114" s="858"/>
      <c r="HR114" s="858"/>
      <c r="HS114" s="858"/>
      <c r="HT114" s="858"/>
      <c r="HU114" s="858"/>
      <c r="HV114" s="858"/>
      <c r="HW114" s="858"/>
      <c r="HX114" s="858"/>
      <c r="HY114" s="858"/>
      <c r="HZ114" s="858"/>
      <c r="IA114" s="858"/>
      <c r="IB114" s="858"/>
      <c r="IC114" s="858"/>
      <c r="ID114" s="858"/>
      <c r="IE114" s="858"/>
      <c r="IF114" s="858"/>
      <c r="IG114" s="858"/>
      <c r="IH114" s="858"/>
      <c r="II114" s="858"/>
      <c r="IJ114" s="858"/>
      <c r="IK114" s="858"/>
      <c r="IL114" s="858"/>
      <c r="IM114" s="858"/>
      <c r="IN114" s="858"/>
    </row>
    <row r="115" spans="1:248" hidden="1">
      <c r="A115" s="564" t="s">
        <v>18</v>
      </c>
      <c r="B115" s="566">
        <v>1547.9</v>
      </c>
      <c r="C115" s="859">
        <f t="shared" ref="C115:C125" si="16">+B115/H115*100</f>
        <v>37.834865076261245</v>
      </c>
      <c r="D115" s="567">
        <v>460.8</v>
      </c>
      <c r="E115" s="859">
        <f t="shared" ref="E115:E125" si="17">+D115/H115*100</f>
        <v>11.26319906140008</v>
      </c>
      <c r="F115" s="859">
        <f t="shared" ref="F115:F125" si="18">+B115-D115</f>
        <v>1087.1000000000001</v>
      </c>
      <c r="G115" s="859">
        <f t="shared" ref="G115:G125" si="19">F115/H115*100</f>
        <v>26.571666014861169</v>
      </c>
      <c r="H115" s="26">
        <v>4091.2</v>
      </c>
      <c r="I115" s="858"/>
      <c r="J115" s="858"/>
      <c r="K115" s="858"/>
      <c r="L115" s="858"/>
      <c r="M115" s="858"/>
      <c r="N115" s="858"/>
      <c r="O115" s="858"/>
      <c r="P115" s="858"/>
      <c r="Q115" s="858"/>
      <c r="R115" s="858"/>
      <c r="S115" s="858"/>
      <c r="T115" s="858"/>
      <c r="U115" s="858"/>
      <c r="V115" s="858"/>
      <c r="W115" s="858"/>
      <c r="X115" s="858"/>
      <c r="Y115" s="858"/>
      <c r="Z115" s="858"/>
      <c r="AA115" s="858"/>
      <c r="AB115" s="858"/>
      <c r="AC115" s="858"/>
      <c r="AD115" s="858"/>
      <c r="AE115" s="858"/>
      <c r="AF115" s="858"/>
      <c r="AG115" s="858"/>
      <c r="AH115" s="858"/>
      <c r="AI115" s="858"/>
      <c r="AJ115" s="858"/>
      <c r="AK115" s="858"/>
      <c r="AL115" s="858"/>
      <c r="AM115" s="858"/>
      <c r="AN115" s="858"/>
      <c r="AO115" s="858"/>
      <c r="AP115" s="858"/>
      <c r="AQ115" s="858"/>
      <c r="AR115" s="858"/>
      <c r="AS115" s="858"/>
      <c r="AT115" s="858"/>
      <c r="AU115" s="858"/>
      <c r="AV115" s="858"/>
      <c r="AW115" s="858"/>
      <c r="AX115" s="858"/>
      <c r="AY115" s="858"/>
      <c r="AZ115" s="858"/>
      <c r="BA115" s="858"/>
      <c r="BB115" s="858"/>
      <c r="BC115" s="858"/>
      <c r="BD115" s="858"/>
      <c r="BE115" s="858"/>
      <c r="BF115" s="858"/>
      <c r="BG115" s="858"/>
      <c r="BH115" s="858"/>
      <c r="BI115" s="858"/>
      <c r="BJ115" s="858"/>
      <c r="BK115" s="858"/>
      <c r="BL115" s="858"/>
      <c r="BM115" s="858"/>
      <c r="BN115" s="858"/>
      <c r="BO115" s="858"/>
      <c r="BP115" s="858"/>
      <c r="BQ115" s="858"/>
      <c r="BR115" s="858"/>
      <c r="BS115" s="858"/>
      <c r="BT115" s="858"/>
      <c r="BU115" s="858"/>
      <c r="BV115" s="858"/>
      <c r="BW115" s="858"/>
      <c r="BX115" s="858"/>
      <c r="BY115" s="858"/>
      <c r="BZ115" s="858"/>
      <c r="CA115" s="858"/>
      <c r="CB115" s="858"/>
      <c r="CC115" s="858"/>
      <c r="CD115" s="858"/>
      <c r="CE115" s="858"/>
      <c r="CF115" s="858"/>
      <c r="CG115" s="858"/>
      <c r="CH115" s="858"/>
      <c r="CI115" s="858"/>
      <c r="CJ115" s="858"/>
      <c r="CK115" s="858"/>
      <c r="CL115" s="858"/>
      <c r="CM115" s="858"/>
      <c r="CN115" s="858"/>
      <c r="CO115" s="858"/>
      <c r="CP115" s="858"/>
      <c r="CQ115" s="858"/>
      <c r="CR115" s="858"/>
      <c r="CS115" s="858"/>
      <c r="CT115" s="858"/>
      <c r="CU115" s="858"/>
      <c r="CV115" s="858"/>
      <c r="CW115" s="858"/>
      <c r="CX115" s="858"/>
      <c r="CY115" s="858"/>
      <c r="CZ115" s="858"/>
      <c r="DA115" s="858"/>
      <c r="DB115" s="858"/>
      <c r="DC115" s="858"/>
      <c r="DD115" s="858"/>
      <c r="DE115" s="858"/>
      <c r="DF115" s="858"/>
      <c r="DG115" s="858"/>
      <c r="DH115" s="858"/>
      <c r="DI115" s="858"/>
      <c r="DJ115" s="858"/>
      <c r="DK115" s="858"/>
      <c r="DL115" s="858"/>
      <c r="DM115" s="858"/>
      <c r="DN115" s="858"/>
      <c r="DO115" s="858"/>
      <c r="DP115" s="858"/>
      <c r="DQ115" s="858"/>
      <c r="DR115" s="858"/>
      <c r="DS115" s="858"/>
      <c r="DT115" s="858"/>
      <c r="DU115" s="858"/>
      <c r="DV115" s="858"/>
      <c r="DW115" s="858"/>
      <c r="DX115" s="858"/>
      <c r="DY115" s="858"/>
      <c r="DZ115" s="858"/>
      <c r="EA115" s="858"/>
      <c r="EB115" s="858"/>
      <c r="EC115" s="858"/>
      <c r="ED115" s="858"/>
      <c r="EE115" s="858"/>
      <c r="EF115" s="858"/>
      <c r="EG115" s="858"/>
      <c r="EH115" s="858"/>
      <c r="EI115" s="858"/>
      <c r="EJ115" s="858"/>
      <c r="EK115" s="858"/>
      <c r="EL115" s="858"/>
      <c r="EM115" s="858"/>
      <c r="EN115" s="858"/>
      <c r="EO115" s="858"/>
      <c r="EP115" s="858"/>
      <c r="EQ115" s="858"/>
      <c r="ER115" s="858"/>
      <c r="ES115" s="858"/>
      <c r="ET115" s="858"/>
      <c r="EU115" s="858"/>
      <c r="EV115" s="858"/>
      <c r="EW115" s="858"/>
      <c r="EX115" s="858"/>
      <c r="EY115" s="858"/>
      <c r="EZ115" s="858"/>
      <c r="FA115" s="858"/>
      <c r="FB115" s="858"/>
      <c r="FC115" s="858"/>
      <c r="FD115" s="858"/>
      <c r="FE115" s="858"/>
      <c r="FF115" s="858"/>
      <c r="FG115" s="858"/>
      <c r="FH115" s="858"/>
      <c r="FI115" s="858"/>
      <c r="FJ115" s="858"/>
      <c r="FK115" s="858"/>
      <c r="FL115" s="858"/>
      <c r="FM115" s="858"/>
      <c r="FN115" s="858"/>
      <c r="FO115" s="858"/>
      <c r="FP115" s="858"/>
      <c r="FQ115" s="858"/>
      <c r="FR115" s="858"/>
      <c r="FS115" s="858"/>
      <c r="FT115" s="858"/>
      <c r="FU115" s="858"/>
      <c r="FV115" s="858"/>
      <c r="FW115" s="858"/>
      <c r="FX115" s="858"/>
      <c r="FY115" s="858"/>
      <c r="FZ115" s="858"/>
      <c r="GA115" s="858"/>
      <c r="GB115" s="858"/>
      <c r="GC115" s="858"/>
      <c r="GD115" s="858"/>
      <c r="GE115" s="858"/>
      <c r="GF115" s="858"/>
      <c r="GG115" s="858"/>
      <c r="GH115" s="858"/>
      <c r="GI115" s="858"/>
      <c r="GJ115" s="858"/>
      <c r="GK115" s="858"/>
      <c r="GL115" s="858"/>
      <c r="GM115" s="858"/>
      <c r="GN115" s="858"/>
      <c r="GO115" s="858"/>
      <c r="GP115" s="858"/>
      <c r="GQ115" s="858"/>
      <c r="GR115" s="858"/>
      <c r="GS115" s="858"/>
      <c r="GT115" s="858"/>
      <c r="GU115" s="858"/>
      <c r="GV115" s="858"/>
      <c r="GW115" s="858"/>
      <c r="GX115" s="858"/>
      <c r="GY115" s="858"/>
      <c r="GZ115" s="858"/>
      <c r="HA115" s="858"/>
      <c r="HB115" s="858"/>
      <c r="HC115" s="858"/>
      <c r="HD115" s="858"/>
      <c r="HE115" s="858"/>
      <c r="HF115" s="858"/>
      <c r="HG115" s="858"/>
      <c r="HH115" s="858"/>
      <c r="HI115" s="858"/>
      <c r="HJ115" s="858"/>
      <c r="HK115" s="858"/>
      <c r="HL115" s="858"/>
      <c r="HM115" s="858"/>
      <c r="HN115" s="858"/>
      <c r="HO115" s="858"/>
      <c r="HP115" s="858"/>
      <c r="HQ115" s="858"/>
      <c r="HR115" s="858"/>
      <c r="HS115" s="858"/>
      <c r="HT115" s="858"/>
      <c r="HU115" s="858"/>
      <c r="HV115" s="858"/>
      <c r="HW115" s="858"/>
      <c r="HX115" s="858"/>
      <c r="HY115" s="858"/>
      <c r="HZ115" s="858"/>
      <c r="IA115" s="858"/>
      <c r="IB115" s="858"/>
      <c r="IC115" s="858"/>
      <c r="ID115" s="858"/>
      <c r="IE115" s="858"/>
      <c r="IF115" s="858"/>
      <c r="IG115" s="858"/>
      <c r="IH115" s="858"/>
      <c r="II115" s="858"/>
      <c r="IJ115" s="858"/>
      <c r="IK115" s="858"/>
      <c r="IL115" s="858"/>
      <c r="IM115" s="858"/>
      <c r="IN115" s="858"/>
    </row>
    <row r="116" spans="1:248" hidden="1">
      <c r="A116" s="564" t="s">
        <v>19</v>
      </c>
      <c r="B116" s="566">
        <v>2475</v>
      </c>
      <c r="C116" s="859">
        <f t="shared" si="16"/>
        <v>30.930154088404006</v>
      </c>
      <c r="D116" s="567">
        <v>1286.7</v>
      </c>
      <c r="E116" s="859">
        <f t="shared" si="17"/>
        <v>16.079931016383611</v>
      </c>
      <c r="F116" s="859">
        <f t="shared" si="18"/>
        <v>1188.3</v>
      </c>
      <c r="G116" s="859">
        <f t="shared" si="19"/>
        <v>14.850223072020396</v>
      </c>
      <c r="H116" s="26">
        <v>8001.9</v>
      </c>
      <c r="I116" s="858"/>
      <c r="J116" s="858"/>
      <c r="K116" s="858"/>
      <c r="L116" s="858"/>
      <c r="M116" s="858"/>
      <c r="N116" s="858"/>
      <c r="O116" s="858"/>
      <c r="P116" s="858"/>
      <c r="Q116" s="858"/>
      <c r="R116" s="858"/>
      <c r="S116" s="858"/>
      <c r="T116" s="858"/>
      <c r="U116" s="858"/>
      <c r="V116" s="858"/>
      <c r="W116" s="858"/>
      <c r="X116" s="858"/>
      <c r="Y116" s="858"/>
      <c r="Z116" s="858"/>
      <c r="AA116" s="858"/>
      <c r="AB116" s="858"/>
      <c r="AC116" s="858"/>
      <c r="AD116" s="858"/>
      <c r="AE116" s="858"/>
      <c r="AF116" s="858"/>
      <c r="AG116" s="858"/>
      <c r="AH116" s="858"/>
      <c r="AI116" s="858"/>
      <c r="AJ116" s="858"/>
      <c r="AK116" s="858"/>
      <c r="AL116" s="858"/>
      <c r="AM116" s="858"/>
      <c r="AN116" s="858"/>
      <c r="AO116" s="858"/>
      <c r="AP116" s="858"/>
      <c r="AQ116" s="858"/>
      <c r="AR116" s="858"/>
      <c r="AS116" s="858"/>
      <c r="AT116" s="858"/>
      <c r="AU116" s="858"/>
      <c r="AV116" s="858"/>
      <c r="AW116" s="858"/>
      <c r="AX116" s="858"/>
      <c r="AY116" s="858"/>
      <c r="AZ116" s="858"/>
      <c r="BA116" s="858"/>
      <c r="BB116" s="858"/>
      <c r="BC116" s="858"/>
      <c r="BD116" s="858"/>
      <c r="BE116" s="858"/>
      <c r="BF116" s="858"/>
      <c r="BG116" s="858"/>
      <c r="BH116" s="858"/>
      <c r="BI116" s="858"/>
      <c r="BJ116" s="858"/>
      <c r="BK116" s="858"/>
      <c r="BL116" s="858"/>
      <c r="BM116" s="858"/>
      <c r="BN116" s="858"/>
      <c r="BO116" s="858"/>
      <c r="BP116" s="858"/>
      <c r="BQ116" s="858"/>
      <c r="BR116" s="858"/>
      <c r="BS116" s="858"/>
      <c r="BT116" s="858"/>
      <c r="BU116" s="858"/>
      <c r="BV116" s="858"/>
      <c r="BW116" s="858"/>
      <c r="BX116" s="858"/>
      <c r="BY116" s="858"/>
      <c r="BZ116" s="858"/>
      <c r="CA116" s="858"/>
      <c r="CB116" s="858"/>
      <c r="CC116" s="858"/>
      <c r="CD116" s="858"/>
      <c r="CE116" s="858"/>
      <c r="CF116" s="858"/>
      <c r="CG116" s="858"/>
      <c r="CH116" s="858"/>
      <c r="CI116" s="858"/>
      <c r="CJ116" s="858"/>
      <c r="CK116" s="858"/>
      <c r="CL116" s="858"/>
      <c r="CM116" s="858"/>
      <c r="CN116" s="858"/>
      <c r="CO116" s="858"/>
      <c r="CP116" s="858"/>
      <c r="CQ116" s="858"/>
      <c r="CR116" s="858"/>
      <c r="CS116" s="858"/>
      <c r="CT116" s="858"/>
      <c r="CU116" s="858"/>
      <c r="CV116" s="858"/>
      <c r="CW116" s="858"/>
      <c r="CX116" s="858"/>
      <c r="CY116" s="858"/>
      <c r="CZ116" s="858"/>
      <c r="DA116" s="858"/>
      <c r="DB116" s="858"/>
      <c r="DC116" s="858"/>
      <c r="DD116" s="858"/>
      <c r="DE116" s="858"/>
      <c r="DF116" s="858"/>
      <c r="DG116" s="858"/>
      <c r="DH116" s="858"/>
      <c r="DI116" s="858"/>
      <c r="DJ116" s="858"/>
      <c r="DK116" s="858"/>
      <c r="DL116" s="858"/>
      <c r="DM116" s="858"/>
      <c r="DN116" s="858"/>
      <c r="DO116" s="858"/>
      <c r="DP116" s="858"/>
      <c r="DQ116" s="858"/>
      <c r="DR116" s="858"/>
      <c r="DS116" s="858"/>
      <c r="DT116" s="858"/>
      <c r="DU116" s="858"/>
      <c r="DV116" s="858"/>
      <c r="DW116" s="858"/>
      <c r="DX116" s="858"/>
      <c r="DY116" s="858"/>
      <c r="DZ116" s="858"/>
      <c r="EA116" s="858"/>
      <c r="EB116" s="858"/>
      <c r="EC116" s="858"/>
      <c r="ED116" s="858"/>
      <c r="EE116" s="858"/>
      <c r="EF116" s="858"/>
      <c r="EG116" s="858"/>
      <c r="EH116" s="858"/>
      <c r="EI116" s="858"/>
      <c r="EJ116" s="858"/>
      <c r="EK116" s="858"/>
      <c r="EL116" s="858"/>
      <c r="EM116" s="858"/>
      <c r="EN116" s="858"/>
      <c r="EO116" s="858"/>
      <c r="EP116" s="858"/>
      <c r="EQ116" s="858"/>
      <c r="ER116" s="858"/>
      <c r="ES116" s="858"/>
      <c r="ET116" s="858"/>
      <c r="EU116" s="858"/>
      <c r="EV116" s="858"/>
      <c r="EW116" s="858"/>
      <c r="EX116" s="858"/>
      <c r="EY116" s="858"/>
      <c r="EZ116" s="858"/>
      <c r="FA116" s="858"/>
      <c r="FB116" s="858"/>
      <c r="FC116" s="858"/>
      <c r="FD116" s="858"/>
      <c r="FE116" s="858"/>
      <c r="FF116" s="858"/>
      <c r="FG116" s="858"/>
      <c r="FH116" s="858"/>
      <c r="FI116" s="858"/>
      <c r="FJ116" s="858"/>
      <c r="FK116" s="858"/>
      <c r="FL116" s="858"/>
      <c r="FM116" s="858"/>
      <c r="FN116" s="858"/>
      <c r="FO116" s="858"/>
      <c r="FP116" s="858"/>
      <c r="FQ116" s="858"/>
      <c r="FR116" s="858"/>
      <c r="FS116" s="858"/>
      <c r="FT116" s="858"/>
      <c r="FU116" s="858"/>
      <c r="FV116" s="858"/>
      <c r="FW116" s="858"/>
      <c r="FX116" s="858"/>
      <c r="FY116" s="858"/>
      <c r="FZ116" s="858"/>
      <c r="GA116" s="858"/>
      <c r="GB116" s="858"/>
      <c r="GC116" s="858"/>
      <c r="GD116" s="858"/>
      <c r="GE116" s="858"/>
      <c r="GF116" s="858"/>
      <c r="GG116" s="858"/>
      <c r="GH116" s="858"/>
      <c r="GI116" s="858"/>
      <c r="GJ116" s="858"/>
      <c r="GK116" s="858"/>
      <c r="GL116" s="858"/>
      <c r="GM116" s="858"/>
      <c r="GN116" s="858"/>
      <c r="GO116" s="858"/>
      <c r="GP116" s="858"/>
      <c r="GQ116" s="858"/>
      <c r="GR116" s="858"/>
      <c r="GS116" s="858"/>
      <c r="GT116" s="858"/>
      <c r="GU116" s="858"/>
      <c r="GV116" s="858"/>
      <c r="GW116" s="858"/>
      <c r="GX116" s="858"/>
      <c r="GY116" s="858"/>
      <c r="GZ116" s="858"/>
      <c r="HA116" s="858"/>
      <c r="HB116" s="858"/>
      <c r="HC116" s="858"/>
      <c r="HD116" s="858"/>
      <c r="HE116" s="858"/>
      <c r="HF116" s="858"/>
      <c r="HG116" s="858"/>
      <c r="HH116" s="858"/>
      <c r="HI116" s="858"/>
      <c r="HJ116" s="858"/>
      <c r="HK116" s="858"/>
      <c r="HL116" s="858"/>
      <c r="HM116" s="858"/>
      <c r="HN116" s="858"/>
      <c r="HO116" s="858"/>
      <c r="HP116" s="858"/>
      <c r="HQ116" s="858"/>
      <c r="HR116" s="858"/>
      <c r="HS116" s="858"/>
      <c r="HT116" s="858"/>
      <c r="HU116" s="858"/>
      <c r="HV116" s="858"/>
      <c r="HW116" s="858"/>
      <c r="HX116" s="858"/>
      <c r="HY116" s="858"/>
      <c r="HZ116" s="858"/>
      <c r="IA116" s="858"/>
      <c r="IB116" s="858"/>
      <c r="IC116" s="858"/>
      <c r="ID116" s="858"/>
      <c r="IE116" s="858"/>
      <c r="IF116" s="858"/>
      <c r="IG116" s="858"/>
      <c r="IH116" s="858"/>
      <c r="II116" s="858"/>
      <c r="IJ116" s="858"/>
      <c r="IK116" s="858"/>
      <c r="IL116" s="858"/>
      <c r="IM116" s="858"/>
      <c r="IN116" s="858"/>
    </row>
    <row r="117" spans="1:248" hidden="1">
      <c r="A117" s="564" t="s">
        <v>20</v>
      </c>
      <c r="B117" s="566">
        <v>3487.8</v>
      </c>
      <c r="C117" s="859">
        <f t="shared" si="16"/>
        <v>28.381248423399597</v>
      </c>
      <c r="D117" s="567">
        <v>2843.2</v>
      </c>
      <c r="E117" s="859">
        <f t="shared" si="17"/>
        <v>23.135949744082151</v>
      </c>
      <c r="F117" s="859">
        <f t="shared" si="18"/>
        <v>644.60000000000036</v>
      </c>
      <c r="G117" s="859">
        <f t="shared" si="19"/>
        <v>5.2452986793174468</v>
      </c>
      <c r="H117" s="26">
        <v>12289.1</v>
      </c>
      <c r="I117" s="858"/>
      <c r="J117" s="858"/>
      <c r="K117" s="858"/>
      <c r="L117" s="858"/>
      <c r="M117" s="858"/>
      <c r="N117" s="858"/>
      <c r="O117" s="858"/>
      <c r="P117" s="858"/>
      <c r="Q117" s="858"/>
      <c r="R117" s="858"/>
      <c r="S117" s="858"/>
      <c r="T117" s="858"/>
      <c r="U117" s="858"/>
      <c r="V117" s="858"/>
      <c r="W117" s="858"/>
      <c r="X117" s="858"/>
      <c r="Y117" s="858"/>
      <c r="Z117" s="858"/>
      <c r="AA117" s="858"/>
      <c r="AB117" s="858"/>
      <c r="AC117" s="858"/>
      <c r="AD117" s="858"/>
      <c r="AE117" s="858"/>
      <c r="AF117" s="858"/>
      <c r="AG117" s="858"/>
      <c r="AH117" s="858"/>
      <c r="AI117" s="858"/>
      <c r="AJ117" s="858"/>
      <c r="AK117" s="858"/>
      <c r="AL117" s="858"/>
      <c r="AM117" s="858"/>
      <c r="AN117" s="858"/>
      <c r="AO117" s="858"/>
      <c r="AP117" s="858"/>
      <c r="AQ117" s="858"/>
      <c r="AR117" s="858"/>
      <c r="AS117" s="858"/>
      <c r="AT117" s="858"/>
      <c r="AU117" s="858"/>
      <c r="AV117" s="858"/>
      <c r="AW117" s="858"/>
      <c r="AX117" s="858"/>
      <c r="AY117" s="858"/>
      <c r="AZ117" s="858"/>
      <c r="BA117" s="858"/>
      <c r="BB117" s="858"/>
      <c r="BC117" s="858"/>
      <c r="BD117" s="858"/>
      <c r="BE117" s="858"/>
      <c r="BF117" s="858"/>
      <c r="BG117" s="858"/>
      <c r="BH117" s="858"/>
      <c r="BI117" s="858"/>
      <c r="BJ117" s="858"/>
      <c r="BK117" s="858"/>
      <c r="BL117" s="858"/>
      <c r="BM117" s="858"/>
      <c r="BN117" s="858"/>
      <c r="BO117" s="858"/>
      <c r="BP117" s="858"/>
      <c r="BQ117" s="858"/>
      <c r="BR117" s="858"/>
      <c r="BS117" s="858"/>
      <c r="BT117" s="858"/>
      <c r="BU117" s="858"/>
      <c r="BV117" s="858"/>
      <c r="BW117" s="858"/>
      <c r="BX117" s="858"/>
      <c r="BY117" s="858"/>
      <c r="BZ117" s="858"/>
      <c r="CA117" s="858"/>
      <c r="CB117" s="858"/>
      <c r="CC117" s="858"/>
      <c r="CD117" s="858"/>
      <c r="CE117" s="858"/>
      <c r="CF117" s="858"/>
      <c r="CG117" s="858"/>
      <c r="CH117" s="858"/>
      <c r="CI117" s="858"/>
      <c r="CJ117" s="858"/>
      <c r="CK117" s="858"/>
      <c r="CL117" s="858"/>
      <c r="CM117" s="858"/>
      <c r="CN117" s="858"/>
      <c r="CO117" s="858"/>
      <c r="CP117" s="858"/>
      <c r="CQ117" s="858"/>
      <c r="CR117" s="858"/>
      <c r="CS117" s="858"/>
      <c r="CT117" s="858"/>
      <c r="CU117" s="858"/>
      <c r="CV117" s="858"/>
      <c r="CW117" s="858"/>
      <c r="CX117" s="858"/>
      <c r="CY117" s="858"/>
      <c r="CZ117" s="858"/>
      <c r="DA117" s="858"/>
      <c r="DB117" s="858"/>
      <c r="DC117" s="858"/>
      <c r="DD117" s="858"/>
      <c r="DE117" s="858"/>
      <c r="DF117" s="858"/>
      <c r="DG117" s="858"/>
      <c r="DH117" s="858"/>
      <c r="DI117" s="858"/>
      <c r="DJ117" s="858"/>
      <c r="DK117" s="858"/>
      <c r="DL117" s="858"/>
      <c r="DM117" s="858"/>
      <c r="DN117" s="858"/>
      <c r="DO117" s="858"/>
      <c r="DP117" s="858"/>
      <c r="DQ117" s="858"/>
      <c r="DR117" s="858"/>
      <c r="DS117" s="858"/>
      <c r="DT117" s="858"/>
      <c r="DU117" s="858"/>
      <c r="DV117" s="858"/>
      <c r="DW117" s="858"/>
      <c r="DX117" s="858"/>
      <c r="DY117" s="858"/>
      <c r="DZ117" s="858"/>
      <c r="EA117" s="858"/>
      <c r="EB117" s="858"/>
      <c r="EC117" s="858"/>
      <c r="ED117" s="858"/>
      <c r="EE117" s="858"/>
      <c r="EF117" s="858"/>
      <c r="EG117" s="858"/>
      <c r="EH117" s="858"/>
      <c r="EI117" s="858"/>
      <c r="EJ117" s="858"/>
      <c r="EK117" s="858"/>
      <c r="EL117" s="858"/>
      <c r="EM117" s="858"/>
      <c r="EN117" s="858"/>
      <c r="EO117" s="858"/>
      <c r="EP117" s="858"/>
      <c r="EQ117" s="858"/>
      <c r="ER117" s="858"/>
      <c r="ES117" s="858"/>
      <c r="ET117" s="858"/>
      <c r="EU117" s="858"/>
      <c r="EV117" s="858"/>
      <c r="EW117" s="858"/>
      <c r="EX117" s="858"/>
      <c r="EY117" s="858"/>
      <c r="EZ117" s="858"/>
      <c r="FA117" s="858"/>
      <c r="FB117" s="858"/>
      <c r="FC117" s="858"/>
      <c r="FD117" s="858"/>
      <c r="FE117" s="858"/>
      <c r="FF117" s="858"/>
      <c r="FG117" s="858"/>
      <c r="FH117" s="858"/>
      <c r="FI117" s="858"/>
      <c r="FJ117" s="858"/>
      <c r="FK117" s="858"/>
      <c r="FL117" s="858"/>
      <c r="FM117" s="858"/>
      <c r="FN117" s="858"/>
      <c r="FO117" s="858"/>
      <c r="FP117" s="858"/>
      <c r="FQ117" s="858"/>
      <c r="FR117" s="858"/>
      <c r="FS117" s="858"/>
      <c r="FT117" s="858"/>
      <c r="FU117" s="858"/>
      <c r="FV117" s="858"/>
      <c r="FW117" s="858"/>
      <c r="FX117" s="858"/>
      <c r="FY117" s="858"/>
      <c r="FZ117" s="858"/>
      <c r="GA117" s="858"/>
      <c r="GB117" s="858"/>
      <c r="GC117" s="858"/>
      <c r="GD117" s="858"/>
      <c r="GE117" s="858"/>
      <c r="GF117" s="858"/>
      <c r="GG117" s="858"/>
      <c r="GH117" s="858"/>
      <c r="GI117" s="858"/>
      <c r="GJ117" s="858"/>
      <c r="GK117" s="858"/>
      <c r="GL117" s="858"/>
      <c r="GM117" s="858"/>
      <c r="GN117" s="858"/>
      <c r="GO117" s="858"/>
      <c r="GP117" s="858"/>
      <c r="GQ117" s="858"/>
      <c r="GR117" s="858"/>
      <c r="GS117" s="858"/>
      <c r="GT117" s="858"/>
      <c r="GU117" s="858"/>
      <c r="GV117" s="858"/>
      <c r="GW117" s="858"/>
      <c r="GX117" s="858"/>
      <c r="GY117" s="858"/>
      <c r="GZ117" s="858"/>
      <c r="HA117" s="858"/>
      <c r="HB117" s="858"/>
      <c r="HC117" s="858"/>
      <c r="HD117" s="858"/>
      <c r="HE117" s="858"/>
      <c r="HF117" s="858"/>
      <c r="HG117" s="858"/>
      <c r="HH117" s="858"/>
      <c r="HI117" s="858"/>
      <c r="HJ117" s="858"/>
      <c r="HK117" s="858"/>
      <c r="HL117" s="858"/>
      <c r="HM117" s="858"/>
      <c r="HN117" s="858"/>
      <c r="HO117" s="858"/>
      <c r="HP117" s="858"/>
      <c r="HQ117" s="858"/>
      <c r="HR117" s="858"/>
      <c r="HS117" s="858"/>
      <c r="HT117" s="858"/>
      <c r="HU117" s="858"/>
      <c r="HV117" s="858"/>
      <c r="HW117" s="858"/>
      <c r="HX117" s="858"/>
      <c r="HY117" s="858"/>
      <c r="HZ117" s="858"/>
      <c r="IA117" s="858"/>
      <c r="IB117" s="858"/>
      <c r="IC117" s="858"/>
      <c r="ID117" s="858"/>
      <c r="IE117" s="858"/>
      <c r="IF117" s="858"/>
      <c r="IG117" s="858"/>
      <c r="IH117" s="858"/>
      <c r="II117" s="858"/>
      <c r="IJ117" s="858"/>
      <c r="IK117" s="858"/>
      <c r="IL117" s="858"/>
      <c r="IM117" s="858"/>
      <c r="IN117" s="858"/>
    </row>
    <row r="118" spans="1:248" hidden="1">
      <c r="A118" s="564" t="s">
        <v>21</v>
      </c>
      <c r="B118" s="566">
        <v>5386.3</v>
      </c>
      <c r="C118" s="859">
        <f t="shared" si="16"/>
        <v>32.398796992481202</v>
      </c>
      <c r="D118" s="567">
        <v>3894.7</v>
      </c>
      <c r="E118" s="859">
        <f t="shared" si="17"/>
        <v>23.426766917293232</v>
      </c>
      <c r="F118" s="859">
        <f t="shared" si="18"/>
        <v>1491.6000000000004</v>
      </c>
      <c r="G118" s="859">
        <f t="shared" si="19"/>
        <v>8.9720300751879734</v>
      </c>
      <c r="H118" s="26">
        <v>16625</v>
      </c>
      <c r="I118" s="858"/>
      <c r="J118" s="858"/>
      <c r="K118" s="858"/>
      <c r="L118" s="858"/>
      <c r="M118" s="858"/>
      <c r="N118" s="858"/>
      <c r="O118" s="858"/>
      <c r="P118" s="858"/>
      <c r="Q118" s="858"/>
      <c r="R118" s="858"/>
      <c r="S118" s="858"/>
      <c r="T118" s="858"/>
      <c r="U118" s="858"/>
      <c r="V118" s="858"/>
      <c r="W118" s="858"/>
      <c r="X118" s="858"/>
      <c r="Y118" s="858"/>
      <c r="Z118" s="858"/>
      <c r="AA118" s="858"/>
      <c r="AB118" s="858"/>
      <c r="AC118" s="858"/>
      <c r="AD118" s="858"/>
      <c r="AE118" s="858"/>
      <c r="AF118" s="858"/>
      <c r="AG118" s="858"/>
      <c r="AH118" s="858"/>
      <c r="AI118" s="858"/>
      <c r="AJ118" s="858"/>
      <c r="AK118" s="858"/>
      <c r="AL118" s="858"/>
      <c r="AM118" s="858"/>
      <c r="AN118" s="858"/>
      <c r="AO118" s="858"/>
      <c r="AP118" s="858"/>
      <c r="AQ118" s="858"/>
      <c r="AR118" s="858"/>
      <c r="AS118" s="858"/>
      <c r="AT118" s="858"/>
      <c r="AU118" s="858"/>
      <c r="AV118" s="858"/>
      <c r="AW118" s="858"/>
      <c r="AX118" s="858"/>
      <c r="AY118" s="858"/>
      <c r="AZ118" s="858"/>
      <c r="BA118" s="858"/>
      <c r="BB118" s="858"/>
      <c r="BC118" s="858"/>
      <c r="BD118" s="858"/>
      <c r="BE118" s="858"/>
      <c r="BF118" s="858"/>
      <c r="BG118" s="858"/>
      <c r="BH118" s="858"/>
      <c r="BI118" s="858"/>
      <c r="BJ118" s="858"/>
      <c r="BK118" s="858"/>
      <c r="BL118" s="858"/>
      <c r="BM118" s="858"/>
      <c r="BN118" s="858"/>
      <c r="BO118" s="858"/>
      <c r="BP118" s="858"/>
      <c r="BQ118" s="858"/>
      <c r="BR118" s="858"/>
      <c r="BS118" s="858"/>
      <c r="BT118" s="858"/>
      <c r="BU118" s="858"/>
      <c r="BV118" s="858"/>
      <c r="BW118" s="858"/>
      <c r="BX118" s="858"/>
      <c r="BY118" s="858"/>
      <c r="BZ118" s="858"/>
      <c r="CA118" s="858"/>
      <c r="CB118" s="858"/>
      <c r="CC118" s="858"/>
      <c r="CD118" s="858"/>
      <c r="CE118" s="858"/>
      <c r="CF118" s="858"/>
      <c r="CG118" s="858"/>
      <c r="CH118" s="858"/>
      <c r="CI118" s="858"/>
      <c r="CJ118" s="858"/>
      <c r="CK118" s="858"/>
      <c r="CL118" s="858"/>
      <c r="CM118" s="858"/>
      <c r="CN118" s="858"/>
      <c r="CO118" s="858"/>
      <c r="CP118" s="858"/>
      <c r="CQ118" s="858"/>
      <c r="CR118" s="858"/>
      <c r="CS118" s="858"/>
      <c r="CT118" s="858"/>
      <c r="CU118" s="858"/>
      <c r="CV118" s="858"/>
      <c r="CW118" s="858"/>
      <c r="CX118" s="858"/>
      <c r="CY118" s="858"/>
      <c r="CZ118" s="858"/>
      <c r="DA118" s="858"/>
      <c r="DB118" s="858"/>
      <c r="DC118" s="858"/>
      <c r="DD118" s="858"/>
      <c r="DE118" s="858"/>
      <c r="DF118" s="858"/>
      <c r="DG118" s="858"/>
      <c r="DH118" s="858"/>
      <c r="DI118" s="858"/>
      <c r="DJ118" s="858"/>
      <c r="DK118" s="858"/>
      <c r="DL118" s="858"/>
      <c r="DM118" s="858"/>
      <c r="DN118" s="858"/>
      <c r="DO118" s="858"/>
      <c r="DP118" s="858"/>
      <c r="DQ118" s="858"/>
      <c r="DR118" s="858"/>
      <c r="DS118" s="858"/>
      <c r="DT118" s="858"/>
      <c r="DU118" s="858"/>
      <c r="DV118" s="858"/>
      <c r="DW118" s="858"/>
      <c r="DX118" s="858"/>
      <c r="DY118" s="858"/>
      <c r="DZ118" s="858"/>
      <c r="EA118" s="858"/>
      <c r="EB118" s="858"/>
      <c r="EC118" s="858"/>
      <c r="ED118" s="858"/>
      <c r="EE118" s="858"/>
      <c r="EF118" s="858"/>
      <c r="EG118" s="858"/>
      <c r="EH118" s="858"/>
      <c r="EI118" s="858"/>
      <c r="EJ118" s="858"/>
      <c r="EK118" s="858"/>
      <c r="EL118" s="858"/>
      <c r="EM118" s="858"/>
      <c r="EN118" s="858"/>
      <c r="EO118" s="858"/>
      <c r="EP118" s="858"/>
      <c r="EQ118" s="858"/>
      <c r="ER118" s="858"/>
      <c r="ES118" s="858"/>
      <c r="ET118" s="858"/>
      <c r="EU118" s="858"/>
      <c r="EV118" s="858"/>
      <c r="EW118" s="858"/>
      <c r="EX118" s="858"/>
      <c r="EY118" s="858"/>
      <c r="EZ118" s="858"/>
      <c r="FA118" s="858"/>
      <c r="FB118" s="858"/>
      <c r="FC118" s="858"/>
      <c r="FD118" s="858"/>
      <c r="FE118" s="858"/>
      <c r="FF118" s="858"/>
      <c r="FG118" s="858"/>
      <c r="FH118" s="858"/>
      <c r="FI118" s="858"/>
      <c r="FJ118" s="858"/>
      <c r="FK118" s="858"/>
      <c r="FL118" s="858"/>
      <c r="FM118" s="858"/>
      <c r="FN118" s="858"/>
      <c r="FO118" s="858"/>
      <c r="FP118" s="858"/>
      <c r="FQ118" s="858"/>
      <c r="FR118" s="858"/>
      <c r="FS118" s="858"/>
      <c r="FT118" s="858"/>
      <c r="FU118" s="858"/>
      <c r="FV118" s="858"/>
      <c r="FW118" s="858"/>
      <c r="FX118" s="858"/>
      <c r="FY118" s="858"/>
      <c r="FZ118" s="858"/>
      <c r="GA118" s="858"/>
      <c r="GB118" s="858"/>
      <c r="GC118" s="858"/>
      <c r="GD118" s="858"/>
      <c r="GE118" s="858"/>
      <c r="GF118" s="858"/>
      <c r="GG118" s="858"/>
      <c r="GH118" s="858"/>
      <c r="GI118" s="858"/>
      <c r="GJ118" s="858"/>
      <c r="GK118" s="858"/>
      <c r="GL118" s="858"/>
      <c r="GM118" s="858"/>
      <c r="GN118" s="858"/>
      <c r="GO118" s="858"/>
      <c r="GP118" s="858"/>
      <c r="GQ118" s="858"/>
      <c r="GR118" s="858"/>
      <c r="GS118" s="858"/>
      <c r="GT118" s="858"/>
      <c r="GU118" s="858"/>
      <c r="GV118" s="858"/>
      <c r="GW118" s="858"/>
      <c r="GX118" s="858"/>
      <c r="GY118" s="858"/>
      <c r="GZ118" s="858"/>
      <c r="HA118" s="858"/>
      <c r="HB118" s="858"/>
      <c r="HC118" s="858"/>
      <c r="HD118" s="858"/>
      <c r="HE118" s="858"/>
      <c r="HF118" s="858"/>
      <c r="HG118" s="858"/>
      <c r="HH118" s="858"/>
      <c r="HI118" s="858"/>
      <c r="HJ118" s="858"/>
      <c r="HK118" s="858"/>
      <c r="HL118" s="858"/>
      <c r="HM118" s="858"/>
      <c r="HN118" s="858"/>
      <c r="HO118" s="858"/>
      <c r="HP118" s="858"/>
      <c r="HQ118" s="858"/>
      <c r="HR118" s="858"/>
      <c r="HS118" s="858"/>
      <c r="HT118" s="858"/>
      <c r="HU118" s="858"/>
      <c r="HV118" s="858"/>
      <c r="HW118" s="858"/>
      <c r="HX118" s="858"/>
      <c r="HY118" s="858"/>
      <c r="HZ118" s="858"/>
      <c r="IA118" s="858"/>
      <c r="IB118" s="858"/>
      <c r="IC118" s="858"/>
      <c r="ID118" s="858"/>
      <c r="IE118" s="858"/>
      <c r="IF118" s="858"/>
      <c r="IG118" s="858"/>
      <c r="IH118" s="858"/>
      <c r="II118" s="858"/>
      <c r="IJ118" s="858"/>
      <c r="IK118" s="858"/>
      <c r="IL118" s="858"/>
      <c r="IM118" s="858"/>
      <c r="IN118" s="858"/>
    </row>
    <row r="119" spans="1:248" hidden="1">
      <c r="A119" s="564" t="s">
        <v>22</v>
      </c>
      <c r="B119" s="566">
        <v>6715.3</v>
      </c>
      <c r="C119" s="859">
        <f t="shared" si="16"/>
        <v>32.204584692115866</v>
      </c>
      <c r="D119" s="567">
        <v>5648.5</v>
      </c>
      <c r="E119" s="859">
        <f t="shared" si="17"/>
        <v>27.08852867830424</v>
      </c>
      <c r="F119" s="859">
        <f t="shared" si="18"/>
        <v>1066.8000000000002</v>
      </c>
      <c r="G119" s="859">
        <f t="shared" si="19"/>
        <v>5.1160560138116251</v>
      </c>
      <c r="H119" s="26">
        <v>20852</v>
      </c>
      <c r="I119" s="858"/>
      <c r="J119" s="858"/>
      <c r="K119" s="858"/>
      <c r="L119" s="858"/>
      <c r="M119" s="858"/>
      <c r="N119" s="858"/>
      <c r="O119" s="858"/>
      <c r="P119" s="858"/>
      <c r="Q119" s="858"/>
      <c r="R119" s="858"/>
      <c r="S119" s="858"/>
      <c r="T119" s="858"/>
      <c r="U119" s="858"/>
      <c r="V119" s="858"/>
      <c r="W119" s="858"/>
      <c r="X119" s="858"/>
      <c r="Y119" s="858"/>
      <c r="Z119" s="858"/>
      <c r="AA119" s="858"/>
      <c r="AB119" s="858"/>
      <c r="AC119" s="858"/>
      <c r="AD119" s="858"/>
      <c r="AE119" s="858"/>
      <c r="AF119" s="858"/>
      <c r="AG119" s="858"/>
      <c r="AH119" s="858"/>
      <c r="AI119" s="858"/>
      <c r="AJ119" s="858"/>
      <c r="AK119" s="858"/>
      <c r="AL119" s="858"/>
      <c r="AM119" s="858"/>
      <c r="AN119" s="858"/>
      <c r="AO119" s="858"/>
      <c r="AP119" s="858"/>
      <c r="AQ119" s="858"/>
      <c r="AR119" s="858"/>
      <c r="AS119" s="858"/>
      <c r="AT119" s="858"/>
      <c r="AU119" s="858"/>
      <c r="AV119" s="858"/>
      <c r="AW119" s="858"/>
      <c r="AX119" s="858"/>
      <c r="AY119" s="858"/>
      <c r="AZ119" s="858"/>
      <c r="BA119" s="858"/>
      <c r="BB119" s="858"/>
      <c r="BC119" s="858"/>
      <c r="BD119" s="858"/>
      <c r="BE119" s="858"/>
      <c r="BF119" s="858"/>
      <c r="BG119" s="858"/>
      <c r="BH119" s="858"/>
      <c r="BI119" s="858"/>
      <c r="BJ119" s="858"/>
      <c r="BK119" s="858"/>
      <c r="BL119" s="858"/>
      <c r="BM119" s="858"/>
      <c r="BN119" s="858"/>
      <c r="BO119" s="858"/>
      <c r="BP119" s="858"/>
      <c r="BQ119" s="858"/>
      <c r="BR119" s="858"/>
      <c r="BS119" s="858"/>
      <c r="BT119" s="858"/>
      <c r="BU119" s="858"/>
      <c r="BV119" s="858"/>
      <c r="BW119" s="858"/>
      <c r="BX119" s="858"/>
      <c r="BY119" s="858"/>
      <c r="BZ119" s="858"/>
      <c r="CA119" s="858"/>
      <c r="CB119" s="858"/>
      <c r="CC119" s="858"/>
      <c r="CD119" s="858"/>
      <c r="CE119" s="858"/>
      <c r="CF119" s="858"/>
      <c r="CG119" s="858"/>
      <c r="CH119" s="858"/>
      <c r="CI119" s="858"/>
      <c r="CJ119" s="858"/>
      <c r="CK119" s="858"/>
      <c r="CL119" s="858"/>
      <c r="CM119" s="858"/>
      <c r="CN119" s="858"/>
      <c r="CO119" s="858"/>
      <c r="CP119" s="858"/>
      <c r="CQ119" s="858"/>
      <c r="CR119" s="858"/>
      <c r="CS119" s="858"/>
      <c r="CT119" s="858"/>
      <c r="CU119" s="858"/>
      <c r="CV119" s="858"/>
      <c r="CW119" s="858"/>
      <c r="CX119" s="858"/>
      <c r="CY119" s="858"/>
      <c r="CZ119" s="858"/>
      <c r="DA119" s="858"/>
      <c r="DB119" s="858"/>
      <c r="DC119" s="858"/>
      <c r="DD119" s="858"/>
      <c r="DE119" s="858"/>
      <c r="DF119" s="858"/>
      <c r="DG119" s="858"/>
      <c r="DH119" s="858"/>
      <c r="DI119" s="858"/>
      <c r="DJ119" s="858"/>
      <c r="DK119" s="858"/>
      <c r="DL119" s="858"/>
      <c r="DM119" s="858"/>
      <c r="DN119" s="858"/>
      <c r="DO119" s="858"/>
      <c r="DP119" s="858"/>
      <c r="DQ119" s="858"/>
      <c r="DR119" s="858"/>
      <c r="DS119" s="858"/>
      <c r="DT119" s="858"/>
      <c r="DU119" s="858"/>
      <c r="DV119" s="858"/>
      <c r="DW119" s="858"/>
      <c r="DX119" s="858"/>
      <c r="DY119" s="858"/>
      <c r="DZ119" s="858"/>
      <c r="EA119" s="858"/>
      <c r="EB119" s="858"/>
      <c r="EC119" s="858"/>
      <c r="ED119" s="858"/>
      <c r="EE119" s="858"/>
      <c r="EF119" s="858"/>
      <c r="EG119" s="858"/>
      <c r="EH119" s="858"/>
      <c r="EI119" s="858"/>
      <c r="EJ119" s="858"/>
      <c r="EK119" s="858"/>
      <c r="EL119" s="858"/>
      <c r="EM119" s="858"/>
      <c r="EN119" s="858"/>
      <c r="EO119" s="858"/>
      <c r="EP119" s="858"/>
      <c r="EQ119" s="858"/>
      <c r="ER119" s="858"/>
      <c r="ES119" s="858"/>
      <c r="ET119" s="858"/>
      <c r="EU119" s="858"/>
      <c r="EV119" s="858"/>
      <c r="EW119" s="858"/>
      <c r="EX119" s="858"/>
      <c r="EY119" s="858"/>
      <c r="EZ119" s="858"/>
      <c r="FA119" s="858"/>
      <c r="FB119" s="858"/>
      <c r="FC119" s="858"/>
      <c r="FD119" s="858"/>
      <c r="FE119" s="858"/>
      <c r="FF119" s="858"/>
      <c r="FG119" s="858"/>
      <c r="FH119" s="858"/>
      <c r="FI119" s="858"/>
      <c r="FJ119" s="858"/>
      <c r="FK119" s="858"/>
      <c r="FL119" s="858"/>
      <c r="FM119" s="858"/>
      <c r="FN119" s="858"/>
      <c r="FO119" s="858"/>
      <c r="FP119" s="858"/>
      <c r="FQ119" s="858"/>
      <c r="FR119" s="858"/>
      <c r="FS119" s="858"/>
      <c r="FT119" s="858"/>
      <c r="FU119" s="858"/>
      <c r="FV119" s="858"/>
      <c r="FW119" s="858"/>
      <c r="FX119" s="858"/>
      <c r="FY119" s="858"/>
      <c r="FZ119" s="858"/>
      <c r="GA119" s="858"/>
      <c r="GB119" s="858"/>
      <c r="GC119" s="858"/>
      <c r="GD119" s="858"/>
      <c r="GE119" s="858"/>
      <c r="GF119" s="858"/>
      <c r="GG119" s="858"/>
      <c r="GH119" s="858"/>
      <c r="GI119" s="858"/>
      <c r="GJ119" s="858"/>
      <c r="GK119" s="858"/>
      <c r="GL119" s="858"/>
      <c r="GM119" s="858"/>
      <c r="GN119" s="858"/>
      <c r="GO119" s="858"/>
      <c r="GP119" s="858"/>
      <c r="GQ119" s="858"/>
      <c r="GR119" s="858"/>
      <c r="GS119" s="858"/>
      <c r="GT119" s="858"/>
      <c r="GU119" s="858"/>
      <c r="GV119" s="858"/>
      <c r="GW119" s="858"/>
      <c r="GX119" s="858"/>
      <c r="GY119" s="858"/>
      <c r="GZ119" s="858"/>
      <c r="HA119" s="858"/>
      <c r="HB119" s="858"/>
      <c r="HC119" s="858"/>
      <c r="HD119" s="858"/>
      <c r="HE119" s="858"/>
      <c r="HF119" s="858"/>
      <c r="HG119" s="858"/>
      <c r="HH119" s="858"/>
      <c r="HI119" s="858"/>
      <c r="HJ119" s="858"/>
      <c r="HK119" s="858"/>
      <c r="HL119" s="858"/>
      <c r="HM119" s="858"/>
      <c r="HN119" s="858"/>
      <c r="HO119" s="858"/>
      <c r="HP119" s="858"/>
      <c r="HQ119" s="858"/>
      <c r="HR119" s="858"/>
      <c r="HS119" s="858"/>
      <c r="HT119" s="858"/>
      <c r="HU119" s="858"/>
      <c r="HV119" s="858"/>
      <c r="HW119" s="858"/>
      <c r="HX119" s="858"/>
      <c r="HY119" s="858"/>
      <c r="HZ119" s="858"/>
      <c r="IA119" s="858"/>
      <c r="IB119" s="858"/>
      <c r="IC119" s="858"/>
      <c r="ID119" s="858"/>
      <c r="IE119" s="858"/>
      <c r="IF119" s="858"/>
      <c r="IG119" s="858"/>
      <c r="IH119" s="858"/>
      <c r="II119" s="858"/>
      <c r="IJ119" s="858"/>
      <c r="IK119" s="858"/>
      <c r="IL119" s="858"/>
      <c r="IM119" s="858"/>
      <c r="IN119" s="858"/>
    </row>
    <row r="120" spans="1:248" hidden="1">
      <c r="A120" s="564" t="s">
        <v>23</v>
      </c>
      <c r="B120" s="566">
        <v>8134.3</v>
      </c>
      <c r="C120" s="859">
        <f t="shared" si="16"/>
        <v>31.453561885906744</v>
      </c>
      <c r="D120" s="567">
        <v>7109.5</v>
      </c>
      <c r="E120" s="859">
        <f t="shared" si="17"/>
        <v>27.490884062286121</v>
      </c>
      <c r="F120" s="859">
        <f t="shared" si="18"/>
        <v>1024.8000000000002</v>
      </c>
      <c r="G120" s="859">
        <f t="shared" si="19"/>
        <v>3.962677823620623</v>
      </c>
      <c r="H120" s="26">
        <v>25861.3</v>
      </c>
      <c r="I120" s="858"/>
      <c r="J120" s="858"/>
      <c r="K120" s="858"/>
      <c r="L120" s="858"/>
      <c r="M120" s="858"/>
      <c r="N120" s="858"/>
      <c r="O120" s="858"/>
      <c r="P120" s="858"/>
      <c r="Q120" s="858"/>
      <c r="R120" s="858"/>
      <c r="S120" s="858"/>
      <c r="T120" s="858"/>
      <c r="U120" s="858"/>
      <c r="V120" s="858"/>
      <c r="W120" s="858"/>
      <c r="X120" s="858"/>
      <c r="Y120" s="858"/>
      <c r="Z120" s="858"/>
      <c r="AA120" s="858"/>
      <c r="AB120" s="858"/>
      <c r="AC120" s="858"/>
      <c r="AD120" s="858"/>
      <c r="AE120" s="858"/>
      <c r="AF120" s="858"/>
      <c r="AG120" s="858"/>
      <c r="AH120" s="858"/>
      <c r="AI120" s="858"/>
      <c r="AJ120" s="858"/>
      <c r="AK120" s="858"/>
      <c r="AL120" s="858"/>
      <c r="AM120" s="858"/>
      <c r="AN120" s="858"/>
      <c r="AO120" s="858"/>
      <c r="AP120" s="858"/>
      <c r="AQ120" s="858"/>
      <c r="AR120" s="858"/>
      <c r="AS120" s="858"/>
      <c r="AT120" s="858"/>
      <c r="AU120" s="858"/>
      <c r="AV120" s="858"/>
      <c r="AW120" s="858"/>
      <c r="AX120" s="858"/>
      <c r="AY120" s="858"/>
      <c r="AZ120" s="858"/>
      <c r="BA120" s="858"/>
      <c r="BB120" s="858"/>
      <c r="BC120" s="858"/>
      <c r="BD120" s="858"/>
      <c r="BE120" s="858"/>
      <c r="BF120" s="858"/>
      <c r="BG120" s="858"/>
      <c r="BH120" s="858"/>
      <c r="BI120" s="858"/>
      <c r="BJ120" s="858"/>
      <c r="BK120" s="858"/>
      <c r="BL120" s="858"/>
      <c r="BM120" s="858"/>
      <c r="BN120" s="858"/>
      <c r="BO120" s="858"/>
      <c r="BP120" s="858"/>
      <c r="BQ120" s="858"/>
      <c r="BR120" s="858"/>
      <c r="BS120" s="858"/>
      <c r="BT120" s="858"/>
      <c r="BU120" s="858"/>
      <c r="BV120" s="858"/>
      <c r="BW120" s="858"/>
      <c r="BX120" s="858"/>
      <c r="BY120" s="858"/>
      <c r="BZ120" s="858"/>
      <c r="CA120" s="858"/>
      <c r="CB120" s="858"/>
      <c r="CC120" s="858"/>
      <c r="CD120" s="858"/>
      <c r="CE120" s="858"/>
      <c r="CF120" s="858"/>
      <c r="CG120" s="858"/>
      <c r="CH120" s="858"/>
      <c r="CI120" s="858"/>
      <c r="CJ120" s="858"/>
      <c r="CK120" s="858"/>
      <c r="CL120" s="858"/>
      <c r="CM120" s="858"/>
      <c r="CN120" s="858"/>
      <c r="CO120" s="858"/>
      <c r="CP120" s="858"/>
      <c r="CQ120" s="858"/>
      <c r="CR120" s="858"/>
      <c r="CS120" s="858"/>
      <c r="CT120" s="858"/>
      <c r="CU120" s="858"/>
      <c r="CV120" s="858"/>
      <c r="CW120" s="858"/>
      <c r="CX120" s="858"/>
      <c r="CY120" s="858"/>
      <c r="CZ120" s="858"/>
      <c r="DA120" s="858"/>
      <c r="DB120" s="858"/>
      <c r="DC120" s="858"/>
      <c r="DD120" s="858"/>
      <c r="DE120" s="858"/>
      <c r="DF120" s="858"/>
      <c r="DG120" s="858"/>
      <c r="DH120" s="858"/>
      <c r="DI120" s="858"/>
      <c r="DJ120" s="858"/>
      <c r="DK120" s="858"/>
      <c r="DL120" s="858"/>
      <c r="DM120" s="858"/>
      <c r="DN120" s="858"/>
      <c r="DO120" s="858"/>
      <c r="DP120" s="858"/>
      <c r="DQ120" s="858"/>
      <c r="DR120" s="858"/>
      <c r="DS120" s="858"/>
      <c r="DT120" s="858"/>
      <c r="DU120" s="858"/>
      <c r="DV120" s="858"/>
      <c r="DW120" s="858"/>
      <c r="DX120" s="858"/>
      <c r="DY120" s="858"/>
      <c r="DZ120" s="858"/>
      <c r="EA120" s="858"/>
      <c r="EB120" s="858"/>
      <c r="EC120" s="858"/>
      <c r="ED120" s="858"/>
      <c r="EE120" s="858"/>
      <c r="EF120" s="858"/>
      <c r="EG120" s="858"/>
      <c r="EH120" s="858"/>
      <c r="EI120" s="858"/>
      <c r="EJ120" s="858"/>
      <c r="EK120" s="858"/>
      <c r="EL120" s="858"/>
      <c r="EM120" s="858"/>
      <c r="EN120" s="858"/>
      <c r="EO120" s="858"/>
      <c r="EP120" s="858"/>
      <c r="EQ120" s="858"/>
      <c r="ER120" s="858"/>
      <c r="ES120" s="858"/>
      <c r="ET120" s="858"/>
      <c r="EU120" s="858"/>
      <c r="EV120" s="858"/>
      <c r="EW120" s="858"/>
      <c r="EX120" s="858"/>
      <c r="EY120" s="858"/>
      <c r="EZ120" s="858"/>
      <c r="FA120" s="858"/>
      <c r="FB120" s="858"/>
      <c r="FC120" s="858"/>
      <c r="FD120" s="858"/>
      <c r="FE120" s="858"/>
      <c r="FF120" s="858"/>
      <c r="FG120" s="858"/>
      <c r="FH120" s="858"/>
      <c r="FI120" s="858"/>
      <c r="FJ120" s="858"/>
      <c r="FK120" s="858"/>
      <c r="FL120" s="858"/>
      <c r="FM120" s="858"/>
      <c r="FN120" s="858"/>
      <c r="FO120" s="858"/>
      <c r="FP120" s="858"/>
      <c r="FQ120" s="858"/>
      <c r="FR120" s="858"/>
      <c r="FS120" s="858"/>
      <c r="FT120" s="858"/>
      <c r="FU120" s="858"/>
      <c r="FV120" s="858"/>
      <c r="FW120" s="858"/>
      <c r="FX120" s="858"/>
      <c r="FY120" s="858"/>
      <c r="FZ120" s="858"/>
      <c r="GA120" s="858"/>
      <c r="GB120" s="858"/>
      <c r="GC120" s="858"/>
      <c r="GD120" s="858"/>
      <c r="GE120" s="858"/>
      <c r="GF120" s="858"/>
      <c r="GG120" s="858"/>
      <c r="GH120" s="858"/>
      <c r="GI120" s="858"/>
      <c r="GJ120" s="858"/>
      <c r="GK120" s="858"/>
      <c r="GL120" s="858"/>
      <c r="GM120" s="858"/>
      <c r="GN120" s="858"/>
      <c r="GO120" s="858"/>
      <c r="GP120" s="858"/>
      <c r="GQ120" s="858"/>
      <c r="GR120" s="858"/>
      <c r="GS120" s="858"/>
      <c r="GT120" s="858"/>
      <c r="GU120" s="858"/>
      <c r="GV120" s="858"/>
      <c r="GW120" s="858"/>
      <c r="GX120" s="858"/>
      <c r="GY120" s="858"/>
      <c r="GZ120" s="858"/>
      <c r="HA120" s="858"/>
      <c r="HB120" s="858"/>
      <c r="HC120" s="858"/>
      <c r="HD120" s="858"/>
      <c r="HE120" s="858"/>
      <c r="HF120" s="858"/>
      <c r="HG120" s="858"/>
      <c r="HH120" s="858"/>
      <c r="HI120" s="858"/>
      <c r="HJ120" s="858"/>
      <c r="HK120" s="858"/>
      <c r="HL120" s="858"/>
      <c r="HM120" s="858"/>
      <c r="HN120" s="858"/>
      <c r="HO120" s="858"/>
      <c r="HP120" s="858"/>
      <c r="HQ120" s="858"/>
      <c r="HR120" s="858"/>
      <c r="HS120" s="858"/>
      <c r="HT120" s="858"/>
      <c r="HU120" s="858"/>
      <c r="HV120" s="858"/>
      <c r="HW120" s="858"/>
      <c r="HX120" s="858"/>
      <c r="HY120" s="858"/>
      <c r="HZ120" s="858"/>
      <c r="IA120" s="858"/>
      <c r="IB120" s="858"/>
      <c r="IC120" s="858"/>
      <c r="ID120" s="858"/>
      <c r="IE120" s="858"/>
      <c r="IF120" s="858"/>
      <c r="IG120" s="858"/>
      <c r="IH120" s="858"/>
      <c r="II120" s="858"/>
      <c r="IJ120" s="858"/>
      <c r="IK120" s="858"/>
      <c r="IL120" s="858"/>
      <c r="IM120" s="858"/>
      <c r="IN120" s="858"/>
    </row>
    <row r="121" spans="1:248" hidden="1">
      <c r="A121" s="564" t="s">
        <v>24</v>
      </c>
      <c r="B121" s="566">
        <v>9681.2000000000007</v>
      </c>
      <c r="C121" s="859">
        <f t="shared" si="16"/>
        <v>31.449724036890377</v>
      </c>
      <c r="D121" s="567">
        <v>8605.7000000000007</v>
      </c>
      <c r="E121" s="859">
        <f t="shared" si="17"/>
        <v>27.955923867316812</v>
      </c>
      <c r="F121" s="859">
        <f t="shared" si="18"/>
        <v>1075.5</v>
      </c>
      <c r="G121" s="859">
        <f t="shared" si="19"/>
        <v>3.4938001695735648</v>
      </c>
      <c r="H121" s="26">
        <v>30783.1</v>
      </c>
      <c r="I121" s="858"/>
      <c r="J121" s="858"/>
      <c r="K121" s="858"/>
      <c r="L121" s="858"/>
      <c r="M121" s="858"/>
      <c r="N121" s="858"/>
      <c r="O121" s="858"/>
      <c r="P121" s="858"/>
      <c r="Q121" s="858"/>
      <c r="R121" s="858"/>
      <c r="S121" s="858"/>
      <c r="T121" s="858"/>
      <c r="U121" s="858"/>
      <c r="V121" s="858"/>
      <c r="W121" s="858"/>
      <c r="X121" s="858"/>
      <c r="Y121" s="858"/>
      <c r="Z121" s="858"/>
      <c r="AA121" s="858"/>
      <c r="AB121" s="858"/>
      <c r="AC121" s="858"/>
      <c r="AD121" s="858"/>
      <c r="AE121" s="858"/>
      <c r="AF121" s="858"/>
      <c r="AG121" s="858"/>
      <c r="AH121" s="858"/>
      <c r="AI121" s="858"/>
      <c r="AJ121" s="858"/>
      <c r="AK121" s="858"/>
      <c r="AL121" s="858"/>
      <c r="AM121" s="858"/>
      <c r="AN121" s="858"/>
      <c r="AO121" s="858"/>
      <c r="AP121" s="858"/>
      <c r="AQ121" s="858"/>
      <c r="AR121" s="858"/>
      <c r="AS121" s="858"/>
      <c r="AT121" s="858"/>
      <c r="AU121" s="858"/>
      <c r="AV121" s="858"/>
      <c r="AW121" s="858"/>
      <c r="AX121" s="858"/>
      <c r="AY121" s="858"/>
      <c r="AZ121" s="858"/>
      <c r="BA121" s="858"/>
      <c r="BB121" s="858"/>
      <c r="BC121" s="858"/>
      <c r="BD121" s="858"/>
      <c r="BE121" s="858"/>
      <c r="BF121" s="858"/>
      <c r="BG121" s="858"/>
      <c r="BH121" s="858"/>
      <c r="BI121" s="858"/>
      <c r="BJ121" s="858"/>
      <c r="BK121" s="858"/>
      <c r="BL121" s="858"/>
      <c r="BM121" s="858"/>
      <c r="BN121" s="858"/>
      <c r="BO121" s="858"/>
      <c r="BP121" s="858"/>
      <c r="BQ121" s="858"/>
      <c r="BR121" s="858"/>
      <c r="BS121" s="858"/>
      <c r="BT121" s="858"/>
      <c r="BU121" s="858"/>
      <c r="BV121" s="858"/>
      <c r="BW121" s="858"/>
      <c r="BX121" s="858"/>
      <c r="BY121" s="858"/>
      <c r="BZ121" s="858"/>
      <c r="CA121" s="858"/>
      <c r="CB121" s="858"/>
      <c r="CC121" s="858"/>
      <c r="CD121" s="858"/>
      <c r="CE121" s="858"/>
      <c r="CF121" s="858"/>
      <c r="CG121" s="858"/>
      <c r="CH121" s="858"/>
      <c r="CI121" s="858"/>
      <c r="CJ121" s="858"/>
      <c r="CK121" s="858"/>
      <c r="CL121" s="858"/>
      <c r="CM121" s="858"/>
      <c r="CN121" s="858"/>
      <c r="CO121" s="858"/>
      <c r="CP121" s="858"/>
      <c r="CQ121" s="858"/>
      <c r="CR121" s="858"/>
      <c r="CS121" s="858"/>
      <c r="CT121" s="858"/>
      <c r="CU121" s="858"/>
      <c r="CV121" s="858"/>
      <c r="CW121" s="858"/>
      <c r="CX121" s="858"/>
      <c r="CY121" s="858"/>
      <c r="CZ121" s="858"/>
      <c r="DA121" s="858"/>
      <c r="DB121" s="858"/>
      <c r="DC121" s="858"/>
      <c r="DD121" s="858"/>
      <c r="DE121" s="858"/>
      <c r="DF121" s="858"/>
      <c r="DG121" s="858"/>
      <c r="DH121" s="858"/>
      <c r="DI121" s="858"/>
      <c r="DJ121" s="858"/>
      <c r="DK121" s="858"/>
      <c r="DL121" s="858"/>
      <c r="DM121" s="858"/>
      <c r="DN121" s="858"/>
      <c r="DO121" s="858"/>
      <c r="DP121" s="858"/>
      <c r="DQ121" s="858"/>
      <c r="DR121" s="858"/>
      <c r="DS121" s="858"/>
      <c r="DT121" s="858"/>
      <c r="DU121" s="858"/>
      <c r="DV121" s="858"/>
      <c r="DW121" s="858"/>
      <c r="DX121" s="858"/>
      <c r="DY121" s="858"/>
      <c r="DZ121" s="858"/>
      <c r="EA121" s="858"/>
      <c r="EB121" s="858"/>
      <c r="EC121" s="858"/>
      <c r="ED121" s="858"/>
      <c r="EE121" s="858"/>
      <c r="EF121" s="858"/>
      <c r="EG121" s="858"/>
      <c r="EH121" s="858"/>
      <c r="EI121" s="858"/>
      <c r="EJ121" s="858"/>
      <c r="EK121" s="858"/>
      <c r="EL121" s="858"/>
      <c r="EM121" s="858"/>
      <c r="EN121" s="858"/>
      <c r="EO121" s="858"/>
      <c r="EP121" s="858"/>
      <c r="EQ121" s="858"/>
      <c r="ER121" s="858"/>
      <c r="ES121" s="858"/>
      <c r="ET121" s="858"/>
      <c r="EU121" s="858"/>
      <c r="EV121" s="858"/>
      <c r="EW121" s="858"/>
      <c r="EX121" s="858"/>
      <c r="EY121" s="858"/>
      <c r="EZ121" s="858"/>
      <c r="FA121" s="858"/>
      <c r="FB121" s="858"/>
      <c r="FC121" s="858"/>
      <c r="FD121" s="858"/>
      <c r="FE121" s="858"/>
      <c r="FF121" s="858"/>
      <c r="FG121" s="858"/>
      <c r="FH121" s="858"/>
      <c r="FI121" s="858"/>
      <c r="FJ121" s="858"/>
      <c r="FK121" s="858"/>
      <c r="FL121" s="858"/>
      <c r="FM121" s="858"/>
      <c r="FN121" s="858"/>
      <c r="FO121" s="858"/>
      <c r="FP121" s="858"/>
      <c r="FQ121" s="858"/>
      <c r="FR121" s="858"/>
      <c r="FS121" s="858"/>
      <c r="FT121" s="858"/>
      <c r="FU121" s="858"/>
      <c r="FV121" s="858"/>
      <c r="FW121" s="858"/>
      <c r="FX121" s="858"/>
      <c r="FY121" s="858"/>
      <c r="FZ121" s="858"/>
      <c r="GA121" s="858"/>
      <c r="GB121" s="858"/>
      <c r="GC121" s="858"/>
      <c r="GD121" s="858"/>
      <c r="GE121" s="858"/>
      <c r="GF121" s="858"/>
      <c r="GG121" s="858"/>
      <c r="GH121" s="858"/>
      <c r="GI121" s="858"/>
      <c r="GJ121" s="858"/>
      <c r="GK121" s="858"/>
      <c r="GL121" s="858"/>
      <c r="GM121" s="858"/>
      <c r="GN121" s="858"/>
      <c r="GO121" s="858"/>
      <c r="GP121" s="858"/>
      <c r="GQ121" s="858"/>
      <c r="GR121" s="858"/>
      <c r="GS121" s="858"/>
      <c r="GT121" s="858"/>
      <c r="GU121" s="858"/>
      <c r="GV121" s="858"/>
      <c r="GW121" s="858"/>
      <c r="GX121" s="858"/>
      <c r="GY121" s="858"/>
      <c r="GZ121" s="858"/>
      <c r="HA121" s="858"/>
      <c r="HB121" s="858"/>
      <c r="HC121" s="858"/>
      <c r="HD121" s="858"/>
      <c r="HE121" s="858"/>
      <c r="HF121" s="858"/>
      <c r="HG121" s="858"/>
      <c r="HH121" s="858"/>
      <c r="HI121" s="858"/>
      <c r="HJ121" s="858"/>
      <c r="HK121" s="858"/>
      <c r="HL121" s="858"/>
      <c r="HM121" s="858"/>
      <c r="HN121" s="858"/>
      <c r="HO121" s="858"/>
      <c r="HP121" s="858"/>
      <c r="HQ121" s="858"/>
      <c r="HR121" s="858"/>
      <c r="HS121" s="858"/>
      <c r="HT121" s="858"/>
      <c r="HU121" s="858"/>
      <c r="HV121" s="858"/>
      <c r="HW121" s="858"/>
      <c r="HX121" s="858"/>
      <c r="HY121" s="858"/>
      <c r="HZ121" s="858"/>
      <c r="IA121" s="858"/>
      <c r="IB121" s="858"/>
      <c r="IC121" s="858"/>
      <c r="ID121" s="858"/>
      <c r="IE121" s="858"/>
      <c r="IF121" s="858"/>
      <c r="IG121" s="858"/>
      <c r="IH121" s="858"/>
      <c r="II121" s="858"/>
      <c r="IJ121" s="858"/>
      <c r="IK121" s="858"/>
      <c r="IL121" s="858"/>
      <c r="IM121" s="858"/>
      <c r="IN121" s="858"/>
    </row>
    <row r="122" spans="1:248" hidden="1">
      <c r="A122" s="564" t="s">
        <v>25</v>
      </c>
      <c r="B122" s="566">
        <v>10990.8</v>
      </c>
      <c r="C122" s="859">
        <f t="shared" si="16"/>
        <v>31.280381598570138</v>
      </c>
      <c r="D122" s="567">
        <v>9724.2000000000007</v>
      </c>
      <c r="E122" s="859">
        <f t="shared" si="17"/>
        <v>27.675572910144471</v>
      </c>
      <c r="F122" s="859">
        <f t="shared" si="18"/>
        <v>1266.5999999999985</v>
      </c>
      <c r="G122" s="859">
        <f t="shared" si="19"/>
        <v>3.6048086884256736</v>
      </c>
      <c r="H122" s="26">
        <v>35136.400000000001</v>
      </c>
      <c r="I122" s="858"/>
      <c r="J122" s="858"/>
      <c r="K122" s="858"/>
      <c r="L122" s="858"/>
      <c r="M122" s="858"/>
      <c r="N122" s="858"/>
      <c r="O122" s="858"/>
      <c r="P122" s="858"/>
      <c r="Q122" s="858"/>
      <c r="R122" s="858"/>
      <c r="S122" s="858"/>
      <c r="T122" s="858"/>
      <c r="U122" s="858"/>
      <c r="V122" s="858"/>
      <c r="W122" s="858"/>
      <c r="X122" s="858"/>
      <c r="Y122" s="858"/>
      <c r="Z122" s="858"/>
      <c r="AA122" s="858"/>
      <c r="AB122" s="858"/>
      <c r="AC122" s="858"/>
      <c r="AD122" s="858"/>
      <c r="AE122" s="858"/>
      <c r="AF122" s="858"/>
      <c r="AG122" s="858"/>
      <c r="AH122" s="858"/>
      <c r="AI122" s="858"/>
      <c r="AJ122" s="858"/>
      <c r="AK122" s="858"/>
      <c r="AL122" s="858"/>
      <c r="AM122" s="858"/>
      <c r="AN122" s="858"/>
      <c r="AO122" s="858"/>
      <c r="AP122" s="858"/>
      <c r="AQ122" s="858"/>
      <c r="AR122" s="858"/>
      <c r="AS122" s="858"/>
      <c r="AT122" s="858"/>
      <c r="AU122" s="858"/>
      <c r="AV122" s="858"/>
      <c r="AW122" s="858"/>
      <c r="AX122" s="858"/>
      <c r="AY122" s="858"/>
      <c r="AZ122" s="858"/>
      <c r="BA122" s="858"/>
      <c r="BB122" s="858"/>
      <c r="BC122" s="858"/>
      <c r="BD122" s="858"/>
      <c r="BE122" s="858"/>
      <c r="BF122" s="858"/>
      <c r="BG122" s="858"/>
      <c r="BH122" s="858"/>
      <c r="BI122" s="858"/>
      <c r="BJ122" s="858"/>
      <c r="BK122" s="858"/>
      <c r="BL122" s="858"/>
      <c r="BM122" s="858"/>
      <c r="BN122" s="858"/>
      <c r="BO122" s="858"/>
      <c r="BP122" s="858"/>
      <c r="BQ122" s="858"/>
      <c r="BR122" s="858"/>
      <c r="BS122" s="858"/>
      <c r="BT122" s="858"/>
      <c r="BU122" s="858"/>
      <c r="BV122" s="858"/>
      <c r="BW122" s="858"/>
      <c r="BX122" s="858"/>
      <c r="BY122" s="858"/>
      <c r="BZ122" s="858"/>
      <c r="CA122" s="858"/>
      <c r="CB122" s="858"/>
      <c r="CC122" s="858"/>
      <c r="CD122" s="858"/>
      <c r="CE122" s="858"/>
      <c r="CF122" s="858"/>
      <c r="CG122" s="858"/>
      <c r="CH122" s="858"/>
      <c r="CI122" s="858"/>
      <c r="CJ122" s="858"/>
      <c r="CK122" s="858"/>
      <c r="CL122" s="858"/>
      <c r="CM122" s="858"/>
      <c r="CN122" s="858"/>
      <c r="CO122" s="858"/>
      <c r="CP122" s="858"/>
      <c r="CQ122" s="858"/>
      <c r="CR122" s="858"/>
      <c r="CS122" s="858"/>
      <c r="CT122" s="858"/>
      <c r="CU122" s="858"/>
      <c r="CV122" s="858"/>
      <c r="CW122" s="858"/>
      <c r="CX122" s="858"/>
      <c r="CY122" s="858"/>
      <c r="CZ122" s="858"/>
      <c r="DA122" s="858"/>
      <c r="DB122" s="858"/>
      <c r="DC122" s="858"/>
      <c r="DD122" s="858"/>
      <c r="DE122" s="858"/>
      <c r="DF122" s="858"/>
      <c r="DG122" s="858"/>
      <c r="DH122" s="858"/>
      <c r="DI122" s="858"/>
      <c r="DJ122" s="858"/>
      <c r="DK122" s="858"/>
      <c r="DL122" s="858"/>
      <c r="DM122" s="858"/>
      <c r="DN122" s="858"/>
      <c r="DO122" s="858"/>
      <c r="DP122" s="858"/>
      <c r="DQ122" s="858"/>
      <c r="DR122" s="858"/>
      <c r="DS122" s="858"/>
      <c r="DT122" s="858"/>
      <c r="DU122" s="858"/>
      <c r="DV122" s="858"/>
      <c r="DW122" s="858"/>
      <c r="DX122" s="858"/>
      <c r="DY122" s="858"/>
      <c r="DZ122" s="858"/>
      <c r="EA122" s="858"/>
      <c r="EB122" s="858"/>
      <c r="EC122" s="858"/>
      <c r="ED122" s="858"/>
      <c r="EE122" s="858"/>
      <c r="EF122" s="858"/>
      <c r="EG122" s="858"/>
      <c r="EH122" s="858"/>
      <c r="EI122" s="858"/>
      <c r="EJ122" s="858"/>
      <c r="EK122" s="858"/>
      <c r="EL122" s="858"/>
      <c r="EM122" s="858"/>
      <c r="EN122" s="858"/>
      <c r="EO122" s="858"/>
      <c r="EP122" s="858"/>
      <c r="EQ122" s="858"/>
      <c r="ER122" s="858"/>
      <c r="ES122" s="858"/>
      <c r="ET122" s="858"/>
      <c r="EU122" s="858"/>
      <c r="EV122" s="858"/>
      <c r="EW122" s="858"/>
      <c r="EX122" s="858"/>
      <c r="EY122" s="858"/>
      <c r="EZ122" s="858"/>
      <c r="FA122" s="858"/>
      <c r="FB122" s="858"/>
      <c r="FC122" s="858"/>
      <c r="FD122" s="858"/>
      <c r="FE122" s="858"/>
      <c r="FF122" s="858"/>
      <c r="FG122" s="858"/>
      <c r="FH122" s="858"/>
      <c r="FI122" s="858"/>
      <c r="FJ122" s="858"/>
      <c r="FK122" s="858"/>
      <c r="FL122" s="858"/>
      <c r="FM122" s="858"/>
      <c r="FN122" s="858"/>
      <c r="FO122" s="858"/>
      <c r="FP122" s="858"/>
      <c r="FQ122" s="858"/>
      <c r="FR122" s="858"/>
      <c r="FS122" s="858"/>
      <c r="FT122" s="858"/>
      <c r="FU122" s="858"/>
      <c r="FV122" s="858"/>
      <c r="FW122" s="858"/>
      <c r="FX122" s="858"/>
      <c r="FY122" s="858"/>
      <c r="FZ122" s="858"/>
      <c r="GA122" s="858"/>
      <c r="GB122" s="858"/>
      <c r="GC122" s="858"/>
      <c r="GD122" s="858"/>
      <c r="GE122" s="858"/>
      <c r="GF122" s="858"/>
      <c r="GG122" s="858"/>
      <c r="GH122" s="858"/>
      <c r="GI122" s="858"/>
      <c r="GJ122" s="858"/>
      <c r="GK122" s="858"/>
      <c r="GL122" s="858"/>
      <c r="GM122" s="858"/>
      <c r="GN122" s="858"/>
      <c r="GO122" s="858"/>
      <c r="GP122" s="858"/>
      <c r="GQ122" s="858"/>
      <c r="GR122" s="858"/>
      <c r="GS122" s="858"/>
      <c r="GT122" s="858"/>
      <c r="GU122" s="858"/>
      <c r="GV122" s="858"/>
      <c r="GW122" s="858"/>
      <c r="GX122" s="858"/>
      <c r="GY122" s="858"/>
      <c r="GZ122" s="858"/>
      <c r="HA122" s="858"/>
      <c r="HB122" s="858"/>
      <c r="HC122" s="858"/>
      <c r="HD122" s="858"/>
      <c r="HE122" s="858"/>
      <c r="HF122" s="858"/>
      <c r="HG122" s="858"/>
      <c r="HH122" s="858"/>
      <c r="HI122" s="858"/>
      <c r="HJ122" s="858"/>
      <c r="HK122" s="858"/>
      <c r="HL122" s="858"/>
      <c r="HM122" s="858"/>
      <c r="HN122" s="858"/>
      <c r="HO122" s="858"/>
      <c r="HP122" s="858"/>
      <c r="HQ122" s="858"/>
      <c r="HR122" s="858"/>
      <c r="HS122" s="858"/>
      <c r="HT122" s="858"/>
      <c r="HU122" s="858"/>
      <c r="HV122" s="858"/>
      <c r="HW122" s="858"/>
      <c r="HX122" s="858"/>
      <c r="HY122" s="858"/>
      <c r="HZ122" s="858"/>
      <c r="IA122" s="858"/>
      <c r="IB122" s="858"/>
      <c r="IC122" s="858"/>
      <c r="ID122" s="858"/>
      <c r="IE122" s="858"/>
      <c r="IF122" s="858"/>
      <c r="IG122" s="858"/>
      <c r="IH122" s="858"/>
      <c r="II122" s="858"/>
      <c r="IJ122" s="858"/>
      <c r="IK122" s="858"/>
      <c r="IL122" s="858"/>
      <c r="IM122" s="858"/>
      <c r="IN122" s="858"/>
    </row>
    <row r="123" spans="1:248" hidden="1">
      <c r="A123" s="564" t="s">
        <v>26</v>
      </c>
      <c r="B123" s="566">
        <v>12521</v>
      </c>
      <c r="C123" s="859">
        <f t="shared" si="16"/>
        <v>31.490973476255391</v>
      </c>
      <c r="D123" s="567">
        <v>11074.2</v>
      </c>
      <c r="E123" s="859">
        <f t="shared" si="17"/>
        <v>27.852195389405594</v>
      </c>
      <c r="F123" s="859">
        <f t="shared" si="18"/>
        <v>1446.7999999999993</v>
      </c>
      <c r="G123" s="859">
        <f t="shared" si="19"/>
        <v>3.6387780868497943</v>
      </c>
      <c r="H123" s="26">
        <v>39760.6</v>
      </c>
      <c r="I123" s="858"/>
      <c r="J123" s="858"/>
      <c r="K123" s="858"/>
      <c r="L123" s="858"/>
      <c r="M123" s="858"/>
      <c r="N123" s="858"/>
      <c r="O123" s="858"/>
      <c r="P123" s="858"/>
      <c r="Q123" s="858"/>
      <c r="R123" s="858"/>
      <c r="S123" s="858"/>
      <c r="T123" s="858"/>
      <c r="U123" s="858"/>
      <c r="V123" s="858"/>
      <c r="W123" s="858"/>
      <c r="X123" s="858"/>
      <c r="Y123" s="858"/>
      <c r="Z123" s="858"/>
      <c r="AA123" s="858"/>
      <c r="AB123" s="858"/>
      <c r="AC123" s="858"/>
      <c r="AD123" s="858"/>
      <c r="AE123" s="858"/>
      <c r="AF123" s="858"/>
      <c r="AG123" s="858"/>
      <c r="AH123" s="858"/>
      <c r="AI123" s="858"/>
      <c r="AJ123" s="858"/>
      <c r="AK123" s="858"/>
      <c r="AL123" s="858"/>
      <c r="AM123" s="858"/>
      <c r="AN123" s="858"/>
      <c r="AO123" s="858"/>
      <c r="AP123" s="858"/>
      <c r="AQ123" s="858"/>
      <c r="AR123" s="858"/>
      <c r="AS123" s="858"/>
      <c r="AT123" s="858"/>
      <c r="AU123" s="858"/>
      <c r="AV123" s="858"/>
      <c r="AW123" s="858"/>
      <c r="AX123" s="858"/>
      <c r="AY123" s="858"/>
      <c r="AZ123" s="858"/>
      <c r="BA123" s="858"/>
      <c r="BB123" s="858"/>
      <c r="BC123" s="858"/>
      <c r="BD123" s="858"/>
      <c r="BE123" s="858"/>
      <c r="BF123" s="858"/>
      <c r="BG123" s="858"/>
      <c r="BH123" s="858"/>
      <c r="BI123" s="858"/>
      <c r="BJ123" s="858"/>
      <c r="BK123" s="858"/>
      <c r="BL123" s="858"/>
      <c r="BM123" s="858"/>
      <c r="BN123" s="858"/>
      <c r="BO123" s="858"/>
      <c r="BP123" s="858"/>
      <c r="BQ123" s="858"/>
      <c r="BR123" s="858"/>
      <c r="BS123" s="858"/>
      <c r="BT123" s="858"/>
      <c r="BU123" s="858"/>
      <c r="BV123" s="858"/>
      <c r="BW123" s="858"/>
      <c r="BX123" s="858"/>
      <c r="BY123" s="858"/>
      <c r="BZ123" s="858"/>
      <c r="CA123" s="858"/>
      <c r="CB123" s="858"/>
      <c r="CC123" s="858"/>
      <c r="CD123" s="858"/>
      <c r="CE123" s="858"/>
      <c r="CF123" s="858"/>
      <c r="CG123" s="858"/>
      <c r="CH123" s="858"/>
      <c r="CI123" s="858"/>
      <c r="CJ123" s="858"/>
      <c r="CK123" s="858"/>
      <c r="CL123" s="858"/>
      <c r="CM123" s="858"/>
      <c r="CN123" s="858"/>
      <c r="CO123" s="858"/>
      <c r="CP123" s="858"/>
      <c r="CQ123" s="858"/>
      <c r="CR123" s="858"/>
      <c r="CS123" s="858"/>
      <c r="CT123" s="858"/>
      <c r="CU123" s="858"/>
      <c r="CV123" s="858"/>
      <c r="CW123" s="858"/>
      <c r="CX123" s="858"/>
      <c r="CY123" s="858"/>
      <c r="CZ123" s="858"/>
      <c r="DA123" s="858"/>
      <c r="DB123" s="858"/>
      <c r="DC123" s="858"/>
      <c r="DD123" s="858"/>
      <c r="DE123" s="858"/>
      <c r="DF123" s="858"/>
      <c r="DG123" s="858"/>
      <c r="DH123" s="858"/>
      <c r="DI123" s="858"/>
      <c r="DJ123" s="858"/>
      <c r="DK123" s="858"/>
      <c r="DL123" s="858"/>
      <c r="DM123" s="858"/>
      <c r="DN123" s="858"/>
      <c r="DO123" s="858"/>
      <c r="DP123" s="858"/>
      <c r="DQ123" s="858"/>
      <c r="DR123" s="858"/>
      <c r="DS123" s="858"/>
      <c r="DT123" s="858"/>
      <c r="DU123" s="858"/>
      <c r="DV123" s="858"/>
      <c r="DW123" s="858"/>
      <c r="DX123" s="858"/>
      <c r="DY123" s="858"/>
      <c r="DZ123" s="858"/>
      <c r="EA123" s="858"/>
      <c r="EB123" s="858"/>
      <c r="EC123" s="858"/>
      <c r="ED123" s="858"/>
      <c r="EE123" s="858"/>
      <c r="EF123" s="858"/>
      <c r="EG123" s="858"/>
      <c r="EH123" s="858"/>
      <c r="EI123" s="858"/>
      <c r="EJ123" s="858"/>
      <c r="EK123" s="858"/>
      <c r="EL123" s="858"/>
      <c r="EM123" s="858"/>
      <c r="EN123" s="858"/>
      <c r="EO123" s="858"/>
      <c r="EP123" s="858"/>
      <c r="EQ123" s="858"/>
      <c r="ER123" s="858"/>
      <c r="ES123" s="858"/>
      <c r="ET123" s="858"/>
      <c r="EU123" s="858"/>
      <c r="EV123" s="858"/>
      <c r="EW123" s="858"/>
      <c r="EX123" s="858"/>
      <c r="EY123" s="858"/>
      <c r="EZ123" s="858"/>
      <c r="FA123" s="858"/>
      <c r="FB123" s="858"/>
      <c r="FC123" s="858"/>
      <c r="FD123" s="858"/>
      <c r="FE123" s="858"/>
      <c r="FF123" s="858"/>
      <c r="FG123" s="858"/>
      <c r="FH123" s="858"/>
      <c r="FI123" s="858"/>
      <c r="FJ123" s="858"/>
      <c r="FK123" s="858"/>
      <c r="FL123" s="858"/>
      <c r="FM123" s="858"/>
      <c r="FN123" s="858"/>
      <c r="FO123" s="858"/>
      <c r="FP123" s="858"/>
      <c r="FQ123" s="858"/>
      <c r="FR123" s="858"/>
      <c r="FS123" s="858"/>
      <c r="FT123" s="858"/>
      <c r="FU123" s="858"/>
      <c r="FV123" s="858"/>
      <c r="FW123" s="858"/>
      <c r="FX123" s="858"/>
      <c r="FY123" s="858"/>
      <c r="FZ123" s="858"/>
      <c r="GA123" s="858"/>
      <c r="GB123" s="858"/>
      <c r="GC123" s="858"/>
      <c r="GD123" s="858"/>
      <c r="GE123" s="858"/>
      <c r="GF123" s="858"/>
      <c r="GG123" s="858"/>
      <c r="GH123" s="858"/>
      <c r="GI123" s="858"/>
      <c r="GJ123" s="858"/>
      <c r="GK123" s="858"/>
      <c r="GL123" s="858"/>
      <c r="GM123" s="858"/>
      <c r="GN123" s="858"/>
      <c r="GO123" s="858"/>
      <c r="GP123" s="858"/>
      <c r="GQ123" s="858"/>
      <c r="GR123" s="858"/>
      <c r="GS123" s="858"/>
      <c r="GT123" s="858"/>
      <c r="GU123" s="858"/>
      <c r="GV123" s="858"/>
      <c r="GW123" s="858"/>
      <c r="GX123" s="858"/>
      <c r="GY123" s="858"/>
      <c r="GZ123" s="858"/>
      <c r="HA123" s="858"/>
      <c r="HB123" s="858"/>
      <c r="HC123" s="858"/>
      <c r="HD123" s="858"/>
      <c r="HE123" s="858"/>
      <c r="HF123" s="858"/>
      <c r="HG123" s="858"/>
      <c r="HH123" s="858"/>
      <c r="HI123" s="858"/>
      <c r="HJ123" s="858"/>
      <c r="HK123" s="858"/>
      <c r="HL123" s="858"/>
      <c r="HM123" s="858"/>
      <c r="HN123" s="858"/>
      <c r="HO123" s="858"/>
      <c r="HP123" s="858"/>
      <c r="HQ123" s="858"/>
      <c r="HR123" s="858"/>
      <c r="HS123" s="858"/>
      <c r="HT123" s="858"/>
      <c r="HU123" s="858"/>
      <c r="HV123" s="858"/>
      <c r="HW123" s="858"/>
      <c r="HX123" s="858"/>
      <c r="HY123" s="858"/>
      <c r="HZ123" s="858"/>
      <c r="IA123" s="858"/>
      <c r="IB123" s="858"/>
      <c r="IC123" s="858"/>
      <c r="ID123" s="858"/>
      <c r="IE123" s="858"/>
      <c r="IF123" s="858"/>
      <c r="IG123" s="858"/>
      <c r="IH123" s="858"/>
      <c r="II123" s="858"/>
      <c r="IJ123" s="858"/>
      <c r="IK123" s="858"/>
      <c r="IL123" s="858"/>
      <c r="IM123" s="858"/>
      <c r="IN123" s="858"/>
    </row>
    <row r="124" spans="1:248" hidden="1">
      <c r="A124" s="564" t="s">
        <v>27</v>
      </c>
      <c r="B124" s="566">
        <v>14225.7</v>
      </c>
      <c r="C124" s="859">
        <f t="shared" si="16"/>
        <v>32.171740015378354</v>
      </c>
      <c r="D124" s="567">
        <v>12209.6</v>
      </c>
      <c r="E124" s="859">
        <f t="shared" si="17"/>
        <v>27.612284589985979</v>
      </c>
      <c r="F124" s="859">
        <f t="shared" si="18"/>
        <v>2016.1000000000004</v>
      </c>
      <c r="G124" s="859">
        <f t="shared" si="19"/>
        <v>4.5594554253923754</v>
      </c>
      <c r="H124" s="26">
        <v>44218</v>
      </c>
      <c r="I124" s="858"/>
      <c r="J124" s="858"/>
      <c r="K124" s="858"/>
      <c r="L124" s="858"/>
      <c r="M124" s="858"/>
      <c r="N124" s="858"/>
      <c r="O124" s="858"/>
      <c r="P124" s="858"/>
      <c r="Q124" s="858"/>
      <c r="R124" s="858"/>
      <c r="S124" s="858"/>
      <c r="T124" s="858"/>
      <c r="U124" s="858"/>
      <c r="V124" s="858"/>
      <c r="W124" s="858"/>
      <c r="X124" s="858"/>
      <c r="Y124" s="858"/>
      <c r="Z124" s="858"/>
      <c r="AA124" s="858"/>
      <c r="AB124" s="858"/>
      <c r="AC124" s="858"/>
      <c r="AD124" s="858"/>
      <c r="AE124" s="858"/>
      <c r="AF124" s="858"/>
      <c r="AG124" s="858"/>
      <c r="AH124" s="858"/>
      <c r="AI124" s="858"/>
      <c r="AJ124" s="858"/>
      <c r="AK124" s="858"/>
      <c r="AL124" s="858"/>
      <c r="AM124" s="858"/>
      <c r="AN124" s="858"/>
      <c r="AO124" s="858"/>
      <c r="AP124" s="858"/>
      <c r="AQ124" s="858"/>
      <c r="AR124" s="858"/>
      <c r="AS124" s="858"/>
      <c r="AT124" s="858"/>
      <c r="AU124" s="858"/>
      <c r="AV124" s="858"/>
      <c r="AW124" s="858"/>
      <c r="AX124" s="858"/>
      <c r="AY124" s="858"/>
      <c r="AZ124" s="858"/>
      <c r="BA124" s="858"/>
      <c r="BB124" s="858"/>
      <c r="BC124" s="858"/>
      <c r="BD124" s="858"/>
      <c r="BE124" s="858"/>
      <c r="BF124" s="858"/>
      <c r="BG124" s="858"/>
      <c r="BH124" s="858"/>
      <c r="BI124" s="858"/>
      <c r="BJ124" s="858"/>
      <c r="BK124" s="858"/>
      <c r="BL124" s="858"/>
      <c r="BM124" s="858"/>
      <c r="BN124" s="858"/>
      <c r="BO124" s="858"/>
      <c r="BP124" s="858"/>
      <c r="BQ124" s="858"/>
      <c r="BR124" s="858"/>
      <c r="BS124" s="858"/>
      <c r="BT124" s="858"/>
      <c r="BU124" s="858"/>
      <c r="BV124" s="858"/>
      <c r="BW124" s="858"/>
      <c r="BX124" s="858"/>
      <c r="BY124" s="858"/>
      <c r="BZ124" s="858"/>
      <c r="CA124" s="858"/>
      <c r="CB124" s="858"/>
      <c r="CC124" s="858"/>
      <c r="CD124" s="858"/>
      <c r="CE124" s="858"/>
      <c r="CF124" s="858"/>
      <c r="CG124" s="858"/>
      <c r="CH124" s="858"/>
      <c r="CI124" s="858"/>
      <c r="CJ124" s="858"/>
      <c r="CK124" s="858"/>
      <c r="CL124" s="858"/>
      <c r="CM124" s="858"/>
      <c r="CN124" s="858"/>
      <c r="CO124" s="858"/>
      <c r="CP124" s="858"/>
      <c r="CQ124" s="858"/>
      <c r="CR124" s="858"/>
      <c r="CS124" s="858"/>
      <c r="CT124" s="858"/>
      <c r="CU124" s="858"/>
      <c r="CV124" s="858"/>
      <c r="CW124" s="858"/>
      <c r="CX124" s="858"/>
      <c r="CY124" s="858"/>
      <c r="CZ124" s="858"/>
      <c r="DA124" s="858"/>
      <c r="DB124" s="858"/>
      <c r="DC124" s="858"/>
      <c r="DD124" s="858"/>
      <c r="DE124" s="858"/>
      <c r="DF124" s="858"/>
      <c r="DG124" s="858"/>
      <c r="DH124" s="858"/>
      <c r="DI124" s="858"/>
      <c r="DJ124" s="858"/>
      <c r="DK124" s="858"/>
      <c r="DL124" s="858"/>
      <c r="DM124" s="858"/>
      <c r="DN124" s="858"/>
      <c r="DO124" s="858"/>
      <c r="DP124" s="858"/>
      <c r="DQ124" s="858"/>
      <c r="DR124" s="858"/>
      <c r="DS124" s="858"/>
      <c r="DT124" s="858"/>
      <c r="DU124" s="858"/>
      <c r="DV124" s="858"/>
      <c r="DW124" s="858"/>
      <c r="DX124" s="858"/>
      <c r="DY124" s="858"/>
      <c r="DZ124" s="858"/>
      <c r="EA124" s="858"/>
      <c r="EB124" s="858"/>
      <c r="EC124" s="858"/>
      <c r="ED124" s="858"/>
      <c r="EE124" s="858"/>
      <c r="EF124" s="858"/>
      <c r="EG124" s="858"/>
      <c r="EH124" s="858"/>
      <c r="EI124" s="858"/>
      <c r="EJ124" s="858"/>
      <c r="EK124" s="858"/>
      <c r="EL124" s="858"/>
      <c r="EM124" s="858"/>
      <c r="EN124" s="858"/>
      <c r="EO124" s="858"/>
      <c r="EP124" s="858"/>
      <c r="EQ124" s="858"/>
      <c r="ER124" s="858"/>
      <c r="ES124" s="858"/>
      <c r="ET124" s="858"/>
      <c r="EU124" s="858"/>
      <c r="EV124" s="858"/>
      <c r="EW124" s="858"/>
      <c r="EX124" s="858"/>
      <c r="EY124" s="858"/>
      <c r="EZ124" s="858"/>
      <c r="FA124" s="858"/>
      <c r="FB124" s="858"/>
      <c r="FC124" s="858"/>
      <c r="FD124" s="858"/>
      <c r="FE124" s="858"/>
      <c r="FF124" s="858"/>
      <c r="FG124" s="858"/>
      <c r="FH124" s="858"/>
      <c r="FI124" s="858"/>
      <c r="FJ124" s="858"/>
      <c r="FK124" s="858"/>
      <c r="FL124" s="858"/>
      <c r="FM124" s="858"/>
      <c r="FN124" s="858"/>
      <c r="FO124" s="858"/>
      <c r="FP124" s="858"/>
      <c r="FQ124" s="858"/>
      <c r="FR124" s="858"/>
      <c r="FS124" s="858"/>
      <c r="FT124" s="858"/>
      <c r="FU124" s="858"/>
      <c r="FV124" s="858"/>
      <c r="FW124" s="858"/>
      <c r="FX124" s="858"/>
      <c r="FY124" s="858"/>
      <c r="FZ124" s="858"/>
      <c r="GA124" s="858"/>
      <c r="GB124" s="858"/>
      <c r="GC124" s="858"/>
      <c r="GD124" s="858"/>
      <c r="GE124" s="858"/>
      <c r="GF124" s="858"/>
      <c r="GG124" s="858"/>
      <c r="GH124" s="858"/>
      <c r="GI124" s="858"/>
      <c r="GJ124" s="858"/>
      <c r="GK124" s="858"/>
      <c r="GL124" s="858"/>
      <c r="GM124" s="858"/>
      <c r="GN124" s="858"/>
      <c r="GO124" s="858"/>
      <c r="GP124" s="858"/>
      <c r="GQ124" s="858"/>
      <c r="GR124" s="858"/>
      <c r="GS124" s="858"/>
      <c r="GT124" s="858"/>
      <c r="GU124" s="858"/>
      <c r="GV124" s="858"/>
      <c r="GW124" s="858"/>
      <c r="GX124" s="858"/>
      <c r="GY124" s="858"/>
      <c r="GZ124" s="858"/>
      <c r="HA124" s="858"/>
      <c r="HB124" s="858"/>
      <c r="HC124" s="858"/>
      <c r="HD124" s="858"/>
      <c r="HE124" s="858"/>
      <c r="HF124" s="858"/>
      <c r="HG124" s="858"/>
      <c r="HH124" s="858"/>
      <c r="HI124" s="858"/>
      <c r="HJ124" s="858"/>
      <c r="HK124" s="858"/>
      <c r="HL124" s="858"/>
      <c r="HM124" s="858"/>
      <c r="HN124" s="858"/>
      <c r="HO124" s="858"/>
      <c r="HP124" s="858"/>
      <c r="HQ124" s="858"/>
      <c r="HR124" s="858"/>
      <c r="HS124" s="858"/>
      <c r="HT124" s="858"/>
      <c r="HU124" s="858"/>
      <c r="HV124" s="858"/>
      <c r="HW124" s="858"/>
      <c r="HX124" s="858"/>
      <c r="HY124" s="858"/>
      <c r="HZ124" s="858"/>
      <c r="IA124" s="858"/>
      <c r="IB124" s="858"/>
      <c r="IC124" s="858"/>
      <c r="ID124" s="858"/>
      <c r="IE124" s="858"/>
      <c r="IF124" s="858"/>
      <c r="IG124" s="858"/>
      <c r="IH124" s="858"/>
      <c r="II124" s="858"/>
      <c r="IJ124" s="858"/>
      <c r="IK124" s="858"/>
      <c r="IL124" s="858"/>
      <c r="IM124" s="858"/>
      <c r="IN124" s="858"/>
    </row>
    <row r="125" spans="1:248" hidden="1">
      <c r="A125" s="564" t="s">
        <v>28</v>
      </c>
      <c r="B125" s="566">
        <v>15687.2</v>
      </c>
      <c r="C125" s="859">
        <f t="shared" si="16"/>
        <v>32.553217097535978</v>
      </c>
      <c r="D125" s="567">
        <v>13940.1</v>
      </c>
      <c r="E125" s="859">
        <f t="shared" si="17"/>
        <v>28.927730994783087</v>
      </c>
      <c r="F125" s="859">
        <f t="shared" si="18"/>
        <v>1747.1000000000004</v>
      </c>
      <c r="G125" s="859">
        <f t="shared" si="19"/>
        <v>3.625486102752888</v>
      </c>
      <c r="H125" s="26">
        <v>48189.4</v>
      </c>
      <c r="I125" s="858"/>
      <c r="J125" s="858"/>
      <c r="K125" s="858"/>
      <c r="L125" s="858"/>
      <c r="M125" s="858"/>
      <c r="N125" s="858"/>
      <c r="O125" s="858"/>
      <c r="P125" s="858"/>
      <c r="Q125" s="858"/>
      <c r="R125" s="858"/>
      <c r="S125" s="858"/>
      <c r="T125" s="858"/>
      <c r="U125" s="858"/>
      <c r="V125" s="858"/>
      <c r="W125" s="858"/>
      <c r="X125" s="858"/>
      <c r="Y125" s="858"/>
      <c r="Z125" s="858"/>
      <c r="AA125" s="858"/>
      <c r="AB125" s="858"/>
      <c r="AC125" s="858"/>
      <c r="AD125" s="858"/>
      <c r="AE125" s="858"/>
      <c r="AF125" s="858"/>
      <c r="AG125" s="858"/>
      <c r="AH125" s="858"/>
      <c r="AI125" s="858"/>
      <c r="AJ125" s="858"/>
      <c r="AK125" s="858"/>
      <c r="AL125" s="858"/>
      <c r="AM125" s="858"/>
      <c r="AN125" s="858"/>
      <c r="AO125" s="858"/>
      <c r="AP125" s="858"/>
      <c r="AQ125" s="858"/>
      <c r="AR125" s="858"/>
      <c r="AS125" s="858"/>
      <c r="AT125" s="858"/>
      <c r="AU125" s="858"/>
      <c r="AV125" s="858"/>
      <c r="AW125" s="858"/>
      <c r="AX125" s="858"/>
      <c r="AY125" s="858"/>
      <c r="AZ125" s="858"/>
      <c r="BA125" s="858"/>
      <c r="BB125" s="858"/>
      <c r="BC125" s="858"/>
      <c r="BD125" s="858"/>
      <c r="BE125" s="858"/>
      <c r="BF125" s="858"/>
      <c r="BG125" s="858"/>
      <c r="BH125" s="858"/>
      <c r="BI125" s="858"/>
      <c r="BJ125" s="858"/>
      <c r="BK125" s="858"/>
      <c r="BL125" s="858"/>
      <c r="BM125" s="858"/>
      <c r="BN125" s="858"/>
      <c r="BO125" s="858"/>
      <c r="BP125" s="858"/>
      <c r="BQ125" s="858"/>
      <c r="BR125" s="858"/>
      <c r="BS125" s="858"/>
      <c r="BT125" s="858"/>
      <c r="BU125" s="858"/>
      <c r="BV125" s="858"/>
      <c r="BW125" s="858"/>
      <c r="BX125" s="858"/>
      <c r="BY125" s="858"/>
      <c r="BZ125" s="858"/>
      <c r="CA125" s="858"/>
      <c r="CB125" s="858"/>
      <c r="CC125" s="858"/>
      <c r="CD125" s="858"/>
      <c r="CE125" s="858"/>
      <c r="CF125" s="858"/>
      <c r="CG125" s="858"/>
      <c r="CH125" s="858"/>
      <c r="CI125" s="858"/>
      <c r="CJ125" s="858"/>
      <c r="CK125" s="858"/>
      <c r="CL125" s="858"/>
      <c r="CM125" s="858"/>
      <c r="CN125" s="858"/>
      <c r="CO125" s="858"/>
      <c r="CP125" s="858"/>
      <c r="CQ125" s="858"/>
      <c r="CR125" s="858"/>
      <c r="CS125" s="858"/>
      <c r="CT125" s="858"/>
      <c r="CU125" s="858"/>
      <c r="CV125" s="858"/>
      <c r="CW125" s="858"/>
      <c r="CX125" s="858"/>
      <c r="CY125" s="858"/>
      <c r="CZ125" s="858"/>
      <c r="DA125" s="858"/>
      <c r="DB125" s="858"/>
      <c r="DC125" s="858"/>
      <c r="DD125" s="858"/>
      <c r="DE125" s="858"/>
      <c r="DF125" s="858"/>
      <c r="DG125" s="858"/>
      <c r="DH125" s="858"/>
      <c r="DI125" s="858"/>
      <c r="DJ125" s="858"/>
      <c r="DK125" s="858"/>
      <c r="DL125" s="858"/>
      <c r="DM125" s="858"/>
      <c r="DN125" s="858"/>
      <c r="DO125" s="858"/>
      <c r="DP125" s="858"/>
      <c r="DQ125" s="858"/>
      <c r="DR125" s="858"/>
      <c r="DS125" s="858"/>
      <c r="DT125" s="858"/>
      <c r="DU125" s="858"/>
      <c r="DV125" s="858"/>
      <c r="DW125" s="858"/>
      <c r="DX125" s="858"/>
      <c r="DY125" s="858"/>
      <c r="DZ125" s="858"/>
      <c r="EA125" s="858"/>
      <c r="EB125" s="858"/>
      <c r="EC125" s="858"/>
      <c r="ED125" s="858"/>
      <c r="EE125" s="858"/>
      <c r="EF125" s="858"/>
      <c r="EG125" s="858"/>
      <c r="EH125" s="858"/>
      <c r="EI125" s="858"/>
      <c r="EJ125" s="858"/>
      <c r="EK125" s="858"/>
      <c r="EL125" s="858"/>
      <c r="EM125" s="858"/>
      <c r="EN125" s="858"/>
      <c r="EO125" s="858"/>
      <c r="EP125" s="858"/>
      <c r="EQ125" s="858"/>
      <c r="ER125" s="858"/>
      <c r="ES125" s="858"/>
      <c r="ET125" s="858"/>
      <c r="EU125" s="858"/>
      <c r="EV125" s="858"/>
      <c r="EW125" s="858"/>
      <c r="EX125" s="858"/>
      <c r="EY125" s="858"/>
      <c r="EZ125" s="858"/>
      <c r="FA125" s="858"/>
      <c r="FB125" s="858"/>
      <c r="FC125" s="858"/>
      <c r="FD125" s="858"/>
      <c r="FE125" s="858"/>
      <c r="FF125" s="858"/>
      <c r="FG125" s="858"/>
      <c r="FH125" s="858"/>
      <c r="FI125" s="858"/>
      <c r="FJ125" s="858"/>
      <c r="FK125" s="858"/>
      <c r="FL125" s="858"/>
      <c r="FM125" s="858"/>
      <c r="FN125" s="858"/>
      <c r="FO125" s="858"/>
      <c r="FP125" s="858"/>
      <c r="FQ125" s="858"/>
      <c r="FR125" s="858"/>
      <c r="FS125" s="858"/>
      <c r="FT125" s="858"/>
      <c r="FU125" s="858"/>
      <c r="FV125" s="858"/>
      <c r="FW125" s="858"/>
      <c r="FX125" s="858"/>
      <c r="FY125" s="858"/>
      <c r="FZ125" s="858"/>
      <c r="GA125" s="858"/>
      <c r="GB125" s="858"/>
      <c r="GC125" s="858"/>
      <c r="GD125" s="858"/>
      <c r="GE125" s="858"/>
      <c r="GF125" s="858"/>
      <c r="GG125" s="858"/>
      <c r="GH125" s="858"/>
      <c r="GI125" s="858"/>
      <c r="GJ125" s="858"/>
      <c r="GK125" s="858"/>
      <c r="GL125" s="858"/>
      <c r="GM125" s="858"/>
      <c r="GN125" s="858"/>
      <c r="GO125" s="858"/>
      <c r="GP125" s="858"/>
      <c r="GQ125" s="858"/>
      <c r="GR125" s="858"/>
      <c r="GS125" s="858"/>
      <c r="GT125" s="858"/>
      <c r="GU125" s="858"/>
      <c r="GV125" s="858"/>
      <c r="GW125" s="858"/>
      <c r="GX125" s="858"/>
      <c r="GY125" s="858"/>
      <c r="GZ125" s="858"/>
      <c r="HA125" s="858"/>
      <c r="HB125" s="858"/>
      <c r="HC125" s="858"/>
      <c r="HD125" s="858"/>
      <c r="HE125" s="858"/>
      <c r="HF125" s="858"/>
      <c r="HG125" s="858"/>
      <c r="HH125" s="858"/>
      <c r="HI125" s="858"/>
      <c r="HJ125" s="858"/>
      <c r="HK125" s="858"/>
      <c r="HL125" s="858"/>
      <c r="HM125" s="858"/>
      <c r="HN125" s="858"/>
      <c r="HO125" s="858"/>
      <c r="HP125" s="858"/>
      <c r="HQ125" s="858"/>
      <c r="HR125" s="858"/>
      <c r="HS125" s="858"/>
      <c r="HT125" s="858"/>
      <c r="HU125" s="858"/>
      <c r="HV125" s="858"/>
      <c r="HW125" s="858"/>
      <c r="HX125" s="858"/>
      <c r="HY125" s="858"/>
      <c r="HZ125" s="858"/>
      <c r="IA125" s="858"/>
      <c r="IB125" s="858"/>
      <c r="IC125" s="858"/>
      <c r="ID125" s="858"/>
      <c r="IE125" s="858"/>
      <c r="IF125" s="858"/>
      <c r="IG125" s="858"/>
      <c r="IH125" s="858"/>
      <c r="II125" s="858"/>
      <c r="IJ125" s="858"/>
      <c r="IK125" s="858"/>
      <c r="IL125" s="858"/>
      <c r="IM125" s="858"/>
      <c r="IN125" s="858"/>
    </row>
    <row r="126" spans="1:248" hidden="1">
      <c r="A126" s="564" t="s">
        <v>29</v>
      </c>
      <c r="B126" s="566">
        <v>17281.5</v>
      </c>
      <c r="C126" s="859">
        <v>32.005926474673579</v>
      </c>
      <c r="D126" s="567">
        <v>17416.5</v>
      </c>
      <c r="E126" s="859">
        <v>31.67997036762663</v>
      </c>
      <c r="F126" s="859">
        <v>-135</v>
      </c>
      <c r="G126" s="859">
        <v>0.32595610704694883</v>
      </c>
      <c r="H126" s="26">
        <v>53995</v>
      </c>
      <c r="I126" s="858"/>
      <c r="J126" s="858"/>
      <c r="K126" s="858"/>
      <c r="L126" s="858"/>
      <c r="M126" s="858"/>
      <c r="N126" s="858"/>
      <c r="O126" s="858"/>
      <c r="P126" s="858"/>
      <c r="Q126" s="858"/>
      <c r="R126" s="858"/>
      <c r="S126" s="858"/>
      <c r="T126" s="858"/>
      <c r="U126" s="858"/>
      <c r="V126" s="858"/>
      <c r="W126" s="858"/>
      <c r="X126" s="858"/>
      <c r="Y126" s="858"/>
      <c r="Z126" s="858"/>
      <c r="AA126" s="858"/>
      <c r="AB126" s="858"/>
      <c r="AC126" s="858"/>
      <c r="AD126" s="858"/>
      <c r="AE126" s="858"/>
      <c r="AF126" s="858"/>
      <c r="AG126" s="858"/>
      <c r="AH126" s="858"/>
      <c r="AI126" s="858"/>
      <c r="AJ126" s="858"/>
      <c r="AK126" s="858"/>
      <c r="AL126" s="858"/>
      <c r="AM126" s="858"/>
      <c r="AN126" s="858"/>
      <c r="AO126" s="858"/>
      <c r="AP126" s="858"/>
      <c r="AQ126" s="858"/>
      <c r="AR126" s="858"/>
      <c r="AS126" s="858"/>
      <c r="AT126" s="858"/>
      <c r="AU126" s="858"/>
      <c r="AV126" s="858"/>
      <c r="AW126" s="858"/>
      <c r="AX126" s="858"/>
      <c r="AY126" s="858"/>
      <c r="AZ126" s="858"/>
      <c r="BA126" s="858"/>
      <c r="BB126" s="858"/>
      <c r="BC126" s="858"/>
      <c r="BD126" s="858"/>
      <c r="BE126" s="858"/>
      <c r="BF126" s="858"/>
      <c r="BG126" s="858"/>
      <c r="BH126" s="858"/>
      <c r="BI126" s="858"/>
      <c r="BJ126" s="858"/>
      <c r="BK126" s="858"/>
      <c r="BL126" s="858"/>
      <c r="BM126" s="858"/>
      <c r="BN126" s="858"/>
      <c r="BO126" s="858"/>
      <c r="BP126" s="858"/>
      <c r="BQ126" s="858"/>
      <c r="BR126" s="858"/>
      <c r="BS126" s="858"/>
      <c r="BT126" s="858"/>
      <c r="BU126" s="858"/>
      <c r="BV126" s="858"/>
      <c r="BW126" s="858"/>
      <c r="BX126" s="858"/>
      <c r="BY126" s="858"/>
      <c r="BZ126" s="858"/>
      <c r="CA126" s="858"/>
      <c r="CB126" s="858"/>
      <c r="CC126" s="858"/>
      <c r="CD126" s="858"/>
      <c r="CE126" s="858"/>
      <c r="CF126" s="858"/>
      <c r="CG126" s="858"/>
      <c r="CH126" s="858"/>
      <c r="CI126" s="858"/>
      <c r="CJ126" s="858"/>
      <c r="CK126" s="858"/>
      <c r="CL126" s="858"/>
      <c r="CM126" s="858"/>
      <c r="CN126" s="858"/>
      <c r="CO126" s="858"/>
      <c r="CP126" s="858"/>
      <c r="CQ126" s="858"/>
      <c r="CR126" s="858"/>
      <c r="CS126" s="858"/>
      <c r="CT126" s="858"/>
      <c r="CU126" s="858"/>
      <c r="CV126" s="858"/>
      <c r="CW126" s="858"/>
      <c r="CX126" s="858"/>
      <c r="CY126" s="858"/>
      <c r="CZ126" s="858"/>
      <c r="DA126" s="858"/>
      <c r="DB126" s="858"/>
      <c r="DC126" s="858"/>
      <c r="DD126" s="858"/>
      <c r="DE126" s="858"/>
      <c r="DF126" s="858"/>
      <c r="DG126" s="858"/>
      <c r="DH126" s="858"/>
      <c r="DI126" s="858"/>
      <c r="DJ126" s="858"/>
      <c r="DK126" s="858"/>
      <c r="DL126" s="858"/>
      <c r="DM126" s="858"/>
      <c r="DN126" s="858"/>
      <c r="DO126" s="858"/>
      <c r="DP126" s="858"/>
      <c r="DQ126" s="858"/>
      <c r="DR126" s="858"/>
      <c r="DS126" s="858"/>
      <c r="DT126" s="858"/>
      <c r="DU126" s="858"/>
      <c r="DV126" s="858"/>
      <c r="DW126" s="858"/>
      <c r="DX126" s="858"/>
      <c r="DY126" s="858"/>
      <c r="DZ126" s="858"/>
      <c r="EA126" s="858"/>
      <c r="EB126" s="858"/>
      <c r="EC126" s="858"/>
      <c r="ED126" s="858"/>
      <c r="EE126" s="858"/>
      <c r="EF126" s="858"/>
      <c r="EG126" s="858"/>
      <c r="EH126" s="858"/>
      <c r="EI126" s="858"/>
      <c r="EJ126" s="858"/>
      <c r="EK126" s="858"/>
      <c r="EL126" s="858"/>
      <c r="EM126" s="858"/>
      <c r="EN126" s="858"/>
      <c r="EO126" s="858"/>
      <c r="EP126" s="858"/>
      <c r="EQ126" s="858"/>
      <c r="ER126" s="858"/>
      <c r="ES126" s="858"/>
      <c r="ET126" s="858"/>
      <c r="EU126" s="858"/>
      <c r="EV126" s="858"/>
      <c r="EW126" s="858"/>
      <c r="EX126" s="858"/>
      <c r="EY126" s="858"/>
      <c r="EZ126" s="858"/>
      <c r="FA126" s="858"/>
      <c r="FB126" s="858"/>
      <c r="FC126" s="858"/>
      <c r="FD126" s="858"/>
      <c r="FE126" s="858"/>
      <c r="FF126" s="858"/>
      <c r="FG126" s="858"/>
      <c r="FH126" s="858"/>
      <c r="FI126" s="858"/>
      <c r="FJ126" s="858"/>
      <c r="FK126" s="858"/>
      <c r="FL126" s="858"/>
      <c r="FM126" s="858"/>
      <c r="FN126" s="858"/>
      <c r="FO126" s="858"/>
      <c r="FP126" s="858"/>
      <c r="FQ126" s="858"/>
      <c r="FR126" s="858"/>
      <c r="FS126" s="858"/>
      <c r="FT126" s="858"/>
      <c r="FU126" s="858"/>
      <c r="FV126" s="858"/>
      <c r="FW126" s="858"/>
      <c r="FX126" s="858"/>
      <c r="FY126" s="858"/>
      <c r="FZ126" s="858"/>
      <c r="GA126" s="858"/>
      <c r="GB126" s="858"/>
      <c r="GC126" s="858"/>
      <c r="GD126" s="858"/>
      <c r="GE126" s="858"/>
      <c r="GF126" s="858"/>
      <c r="GG126" s="858"/>
      <c r="GH126" s="858"/>
      <c r="GI126" s="858"/>
      <c r="GJ126" s="858"/>
      <c r="GK126" s="858"/>
      <c r="GL126" s="858"/>
      <c r="GM126" s="858"/>
      <c r="GN126" s="858"/>
      <c r="GO126" s="858"/>
      <c r="GP126" s="858"/>
      <c r="GQ126" s="858"/>
      <c r="GR126" s="858"/>
      <c r="GS126" s="858"/>
      <c r="GT126" s="858"/>
      <c r="GU126" s="858"/>
      <c r="GV126" s="858"/>
      <c r="GW126" s="858"/>
      <c r="GX126" s="858"/>
      <c r="GY126" s="858"/>
      <c r="GZ126" s="858"/>
      <c r="HA126" s="858"/>
      <c r="HB126" s="858"/>
      <c r="HC126" s="858"/>
      <c r="HD126" s="858"/>
      <c r="HE126" s="858"/>
      <c r="HF126" s="858"/>
      <c r="HG126" s="858"/>
      <c r="HH126" s="858"/>
      <c r="HI126" s="858"/>
      <c r="HJ126" s="858"/>
      <c r="HK126" s="858"/>
      <c r="HL126" s="858"/>
      <c r="HM126" s="858"/>
      <c r="HN126" s="858"/>
      <c r="HO126" s="858"/>
      <c r="HP126" s="858"/>
      <c r="HQ126" s="858"/>
      <c r="HR126" s="858"/>
      <c r="HS126" s="858"/>
      <c r="HT126" s="858"/>
      <c r="HU126" s="858"/>
      <c r="HV126" s="858"/>
      <c r="HW126" s="858"/>
      <c r="HX126" s="858"/>
      <c r="HY126" s="858"/>
      <c r="HZ126" s="858"/>
      <c r="IA126" s="858"/>
      <c r="IB126" s="858"/>
      <c r="IC126" s="858"/>
      <c r="ID126" s="858"/>
      <c r="IE126" s="858"/>
      <c r="IF126" s="858"/>
      <c r="IG126" s="858"/>
      <c r="IH126" s="858"/>
      <c r="II126" s="858"/>
      <c r="IJ126" s="858"/>
      <c r="IK126" s="858"/>
      <c r="IL126" s="858"/>
      <c r="IM126" s="858"/>
      <c r="IN126" s="858"/>
    </row>
    <row r="127" spans="1:248">
      <c r="A127" s="559">
        <v>2013</v>
      </c>
      <c r="B127" s="561">
        <v>19496.3</v>
      </c>
      <c r="C127" s="561">
        <v>33.781334368425973</v>
      </c>
      <c r="D127" s="562">
        <v>19143.5</v>
      </c>
      <c r="E127" s="561">
        <v>33.172928630593226</v>
      </c>
      <c r="F127" s="860">
        <f>B127-D127</f>
        <v>352.79999999999927</v>
      </c>
      <c r="G127" s="561">
        <v>0.6084057378327492</v>
      </c>
      <c r="H127" s="26"/>
      <c r="I127" s="858"/>
      <c r="J127" s="858"/>
      <c r="K127" s="858"/>
      <c r="L127" s="858"/>
      <c r="M127" s="858"/>
      <c r="N127" s="858"/>
      <c r="O127" s="858"/>
      <c r="P127" s="858"/>
      <c r="Q127" s="858"/>
      <c r="R127" s="858"/>
      <c r="S127" s="858"/>
      <c r="T127" s="858"/>
      <c r="U127" s="858"/>
      <c r="V127" s="858"/>
      <c r="W127" s="858"/>
      <c r="X127" s="858"/>
      <c r="Y127" s="858"/>
      <c r="Z127" s="858"/>
      <c r="AA127" s="858"/>
      <c r="AB127" s="858"/>
      <c r="AC127" s="858"/>
      <c r="AD127" s="858"/>
      <c r="AE127" s="858"/>
      <c r="AF127" s="858"/>
      <c r="AG127" s="858"/>
      <c r="AH127" s="858"/>
      <c r="AI127" s="858"/>
      <c r="AJ127" s="858"/>
      <c r="AK127" s="858"/>
      <c r="AL127" s="858"/>
      <c r="AM127" s="858"/>
      <c r="AN127" s="858"/>
      <c r="AO127" s="858"/>
      <c r="AP127" s="858"/>
      <c r="AQ127" s="858"/>
      <c r="AR127" s="858"/>
      <c r="AS127" s="858"/>
      <c r="AT127" s="858"/>
      <c r="AU127" s="858"/>
      <c r="AV127" s="858"/>
      <c r="AW127" s="858"/>
      <c r="AX127" s="858"/>
      <c r="AY127" s="858"/>
      <c r="AZ127" s="858"/>
      <c r="BA127" s="858"/>
      <c r="BB127" s="858"/>
      <c r="BC127" s="858"/>
      <c r="BD127" s="858"/>
      <c r="BE127" s="858"/>
      <c r="BF127" s="858"/>
      <c r="BG127" s="858"/>
      <c r="BH127" s="858"/>
      <c r="BI127" s="858"/>
      <c r="BJ127" s="858"/>
      <c r="BK127" s="858"/>
      <c r="BL127" s="858"/>
      <c r="BM127" s="858"/>
      <c r="BN127" s="858"/>
      <c r="BO127" s="858"/>
      <c r="BP127" s="858"/>
      <c r="BQ127" s="858"/>
      <c r="BR127" s="858"/>
      <c r="BS127" s="858"/>
      <c r="BT127" s="858"/>
      <c r="BU127" s="858"/>
      <c r="BV127" s="858"/>
      <c r="BW127" s="858"/>
      <c r="BX127" s="858"/>
      <c r="BY127" s="858"/>
      <c r="BZ127" s="858"/>
      <c r="CA127" s="858"/>
      <c r="CB127" s="858"/>
      <c r="CC127" s="858"/>
      <c r="CD127" s="858"/>
      <c r="CE127" s="858"/>
      <c r="CF127" s="858"/>
      <c r="CG127" s="858"/>
      <c r="CH127" s="858"/>
      <c r="CI127" s="858"/>
      <c r="CJ127" s="858"/>
      <c r="CK127" s="858"/>
      <c r="CL127" s="858"/>
      <c r="CM127" s="858"/>
      <c r="CN127" s="858"/>
      <c r="CO127" s="858"/>
      <c r="CP127" s="858"/>
      <c r="CQ127" s="858"/>
      <c r="CR127" s="858"/>
      <c r="CS127" s="858"/>
      <c r="CT127" s="858"/>
      <c r="CU127" s="858"/>
      <c r="CV127" s="858"/>
      <c r="CW127" s="858"/>
      <c r="CX127" s="858"/>
      <c r="CY127" s="858"/>
      <c r="CZ127" s="858"/>
      <c r="DA127" s="858"/>
      <c r="DB127" s="858"/>
      <c r="DC127" s="858"/>
      <c r="DD127" s="858"/>
      <c r="DE127" s="858"/>
      <c r="DF127" s="858"/>
      <c r="DG127" s="858"/>
      <c r="DH127" s="858"/>
      <c r="DI127" s="858"/>
      <c r="DJ127" s="858"/>
      <c r="DK127" s="858"/>
      <c r="DL127" s="858"/>
      <c r="DM127" s="858"/>
      <c r="DN127" s="858"/>
      <c r="DO127" s="858"/>
      <c r="DP127" s="858"/>
      <c r="DQ127" s="858"/>
      <c r="DR127" s="858"/>
      <c r="DS127" s="858"/>
      <c r="DT127" s="858"/>
      <c r="DU127" s="858"/>
      <c r="DV127" s="858"/>
      <c r="DW127" s="858"/>
      <c r="DX127" s="858"/>
      <c r="DY127" s="858"/>
      <c r="DZ127" s="858"/>
      <c r="EA127" s="858"/>
      <c r="EB127" s="858"/>
      <c r="EC127" s="858"/>
      <c r="ED127" s="858"/>
      <c r="EE127" s="858"/>
      <c r="EF127" s="858"/>
      <c r="EG127" s="858"/>
      <c r="EH127" s="858"/>
      <c r="EI127" s="858"/>
      <c r="EJ127" s="858"/>
      <c r="EK127" s="858"/>
      <c r="EL127" s="858"/>
      <c r="EM127" s="858"/>
      <c r="EN127" s="858"/>
      <c r="EO127" s="858"/>
      <c r="EP127" s="858"/>
      <c r="EQ127" s="858"/>
      <c r="ER127" s="858"/>
      <c r="ES127" s="858"/>
      <c r="ET127" s="858"/>
      <c r="EU127" s="858"/>
      <c r="EV127" s="858"/>
      <c r="EW127" s="858"/>
      <c r="EX127" s="858"/>
      <c r="EY127" s="858"/>
      <c r="EZ127" s="858"/>
      <c r="FA127" s="858"/>
      <c r="FB127" s="858"/>
      <c r="FC127" s="858"/>
      <c r="FD127" s="858"/>
      <c r="FE127" s="858"/>
      <c r="FF127" s="858"/>
      <c r="FG127" s="858"/>
      <c r="FH127" s="858"/>
      <c r="FI127" s="858"/>
      <c r="FJ127" s="858"/>
      <c r="FK127" s="858"/>
      <c r="FL127" s="858"/>
      <c r="FM127" s="858"/>
      <c r="FN127" s="858"/>
      <c r="FO127" s="858"/>
      <c r="FP127" s="858"/>
      <c r="FQ127" s="858"/>
      <c r="FR127" s="858"/>
      <c r="FS127" s="858"/>
      <c r="FT127" s="858"/>
      <c r="FU127" s="858"/>
      <c r="FV127" s="858"/>
      <c r="FW127" s="858"/>
      <c r="FX127" s="858"/>
      <c r="FY127" s="858"/>
      <c r="FZ127" s="858"/>
      <c r="GA127" s="858"/>
      <c r="GB127" s="858"/>
      <c r="GC127" s="858"/>
      <c r="GD127" s="858"/>
      <c r="GE127" s="858"/>
      <c r="GF127" s="858"/>
      <c r="GG127" s="858"/>
      <c r="GH127" s="858"/>
      <c r="GI127" s="858"/>
      <c r="GJ127" s="858"/>
      <c r="GK127" s="858"/>
      <c r="GL127" s="858"/>
      <c r="GM127" s="858"/>
      <c r="GN127" s="858"/>
      <c r="GO127" s="858"/>
      <c r="GP127" s="858"/>
      <c r="GQ127" s="858"/>
      <c r="GR127" s="858"/>
      <c r="GS127" s="858"/>
      <c r="GT127" s="858"/>
      <c r="GU127" s="858"/>
      <c r="GV127" s="858"/>
      <c r="GW127" s="858"/>
      <c r="GX127" s="858"/>
      <c r="GY127" s="858"/>
      <c r="GZ127" s="858"/>
      <c r="HA127" s="858"/>
      <c r="HB127" s="858"/>
      <c r="HC127" s="858"/>
      <c r="HD127" s="858"/>
      <c r="HE127" s="858"/>
      <c r="HF127" s="858"/>
      <c r="HG127" s="858"/>
      <c r="HH127" s="858"/>
      <c r="HI127" s="858"/>
      <c r="HJ127" s="858"/>
      <c r="HK127" s="858"/>
      <c r="HL127" s="858"/>
      <c r="HM127" s="858"/>
      <c r="HN127" s="858"/>
      <c r="HO127" s="858"/>
      <c r="HP127" s="858"/>
      <c r="HQ127" s="858"/>
      <c r="HR127" s="858"/>
      <c r="HS127" s="858"/>
      <c r="HT127" s="858"/>
      <c r="HU127" s="858"/>
      <c r="HV127" s="858"/>
      <c r="HW127" s="858"/>
      <c r="HX127" s="858"/>
      <c r="HY127" s="858"/>
      <c r="HZ127" s="858"/>
      <c r="IA127" s="858"/>
      <c r="IB127" s="858"/>
      <c r="IC127" s="858"/>
      <c r="ID127" s="858"/>
      <c r="IE127" s="858"/>
      <c r="IF127" s="858"/>
      <c r="IG127" s="858"/>
      <c r="IH127" s="858"/>
      <c r="II127" s="858"/>
      <c r="IJ127" s="858"/>
      <c r="IK127" s="858"/>
      <c r="IL127" s="858"/>
      <c r="IM127" s="858"/>
      <c r="IN127" s="858"/>
    </row>
    <row r="128" spans="1:248">
      <c r="A128" s="564" t="s">
        <v>18</v>
      </c>
      <c r="B128" s="566">
        <v>1768.1</v>
      </c>
      <c r="C128" s="859">
        <f t="shared" ref="C128:C137" si="20">+B128/H128*100</f>
        <v>39.516795923384663</v>
      </c>
      <c r="D128" s="567">
        <v>1391.7</v>
      </c>
      <c r="E128" s="859">
        <f t="shared" ref="E128:E137" si="21">+D128/H128*100</f>
        <v>31.104306818943744</v>
      </c>
      <c r="F128" s="859">
        <f t="shared" ref="F128:F137" si="22">+B128-D128</f>
        <v>376.39999999999986</v>
      </c>
      <c r="G128" s="859">
        <f t="shared" ref="G128:G138" si="23">F128/H128*100</f>
        <v>8.4124891044409154</v>
      </c>
      <c r="H128" s="26">
        <v>4474.3</v>
      </c>
      <c r="I128" s="858"/>
      <c r="J128" s="858"/>
      <c r="K128" s="858"/>
      <c r="L128" s="858"/>
      <c r="M128" s="858"/>
      <c r="N128" s="858"/>
      <c r="O128" s="858"/>
      <c r="P128" s="858"/>
      <c r="Q128" s="858"/>
      <c r="R128" s="858"/>
      <c r="S128" s="858"/>
      <c r="T128" s="858"/>
      <c r="U128" s="858"/>
      <c r="V128" s="858"/>
      <c r="W128" s="858"/>
      <c r="X128" s="858"/>
      <c r="Y128" s="858"/>
      <c r="Z128" s="858"/>
      <c r="AA128" s="858"/>
      <c r="AB128" s="858"/>
      <c r="AC128" s="858"/>
      <c r="AD128" s="858"/>
      <c r="AE128" s="858"/>
      <c r="AF128" s="858"/>
      <c r="AG128" s="858"/>
      <c r="AH128" s="858"/>
      <c r="AI128" s="858"/>
      <c r="AJ128" s="858"/>
      <c r="AK128" s="858"/>
      <c r="AL128" s="858"/>
      <c r="AM128" s="858"/>
      <c r="AN128" s="858"/>
      <c r="AO128" s="858"/>
      <c r="AP128" s="858"/>
      <c r="AQ128" s="858"/>
      <c r="AR128" s="858"/>
      <c r="AS128" s="858"/>
      <c r="AT128" s="858"/>
      <c r="AU128" s="858"/>
      <c r="AV128" s="858"/>
      <c r="AW128" s="858"/>
      <c r="AX128" s="858"/>
      <c r="AY128" s="858"/>
      <c r="AZ128" s="858"/>
      <c r="BA128" s="858"/>
      <c r="BB128" s="858"/>
      <c r="BC128" s="858"/>
      <c r="BD128" s="858"/>
      <c r="BE128" s="858"/>
      <c r="BF128" s="858"/>
      <c r="BG128" s="858"/>
      <c r="BH128" s="858"/>
      <c r="BI128" s="858"/>
      <c r="BJ128" s="858"/>
      <c r="BK128" s="858"/>
      <c r="BL128" s="858"/>
      <c r="BM128" s="858"/>
      <c r="BN128" s="858"/>
      <c r="BO128" s="858"/>
      <c r="BP128" s="858"/>
      <c r="BQ128" s="858"/>
      <c r="BR128" s="858"/>
      <c r="BS128" s="858"/>
      <c r="BT128" s="858"/>
      <c r="BU128" s="858"/>
      <c r="BV128" s="858"/>
      <c r="BW128" s="858"/>
      <c r="BX128" s="858"/>
      <c r="BY128" s="858"/>
      <c r="BZ128" s="858"/>
      <c r="CA128" s="858"/>
      <c r="CB128" s="858"/>
      <c r="CC128" s="858"/>
      <c r="CD128" s="858"/>
      <c r="CE128" s="858"/>
      <c r="CF128" s="858"/>
      <c r="CG128" s="858"/>
      <c r="CH128" s="858"/>
      <c r="CI128" s="858"/>
      <c r="CJ128" s="858"/>
      <c r="CK128" s="858"/>
      <c r="CL128" s="858"/>
      <c r="CM128" s="858"/>
      <c r="CN128" s="858"/>
      <c r="CO128" s="858"/>
      <c r="CP128" s="858"/>
      <c r="CQ128" s="858"/>
      <c r="CR128" s="858"/>
      <c r="CS128" s="858"/>
      <c r="CT128" s="858"/>
      <c r="CU128" s="858"/>
      <c r="CV128" s="858"/>
      <c r="CW128" s="858"/>
      <c r="CX128" s="858"/>
      <c r="CY128" s="858"/>
      <c r="CZ128" s="858"/>
      <c r="DA128" s="858"/>
      <c r="DB128" s="858"/>
      <c r="DC128" s="858"/>
      <c r="DD128" s="858"/>
      <c r="DE128" s="858"/>
      <c r="DF128" s="858"/>
      <c r="DG128" s="858"/>
      <c r="DH128" s="858"/>
      <c r="DI128" s="858"/>
      <c r="DJ128" s="858"/>
      <c r="DK128" s="858"/>
      <c r="DL128" s="858"/>
      <c r="DM128" s="858"/>
      <c r="DN128" s="858"/>
      <c r="DO128" s="858"/>
      <c r="DP128" s="858"/>
      <c r="DQ128" s="858"/>
      <c r="DR128" s="858"/>
      <c r="DS128" s="858"/>
      <c r="DT128" s="858"/>
      <c r="DU128" s="858"/>
      <c r="DV128" s="858"/>
      <c r="DW128" s="858"/>
      <c r="DX128" s="858"/>
      <c r="DY128" s="858"/>
      <c r="DZ128" s="858"/>
      <c r="EA128" s="858"/>
      <c r="EB128" s="858"/>
      <c r="EC128" s="858"/>
      <c r="ED128" s="858"/>
      <c r="EE128" s="858"/>
      <c r="EF128" s="858"/>
      <c r="EG128" s="858"/>
      <c r="EH128" s="858"/>
      <c r="EI128" s="858"/>
      <c r="EJ128" s="858"/>
      <c r="EK128" s="858"/>
      <c r="EL128" s="858"/>
      <c r="EM128" s="858"/>
      <c r="EN128" s="858"/>
      <c r="EO128" s="858"/>
      <c r="EP128" s="858"/>
      <c r="EQ128" s="858"/>
      <c r="ER128" s="858"/>
      <c r="ES128" s="858"/>
      <c r="ET128" s="858"/>
      <c r="EU128" s="858"/>
      <c r="EV128" s="858"/>
      <c r="EW128" s="858"/>
      <c r="EX128" s="858"/>
      <c r="EY128" s="858"/>
      <c r="EZ128" s="858"/>
      <c r="FA128" s="858"/>
      <c r="FB128" s="858"/>
      <c r="FC128" s="858"/>
      <c r="FD128" s="858"/>
      <c r="FE128" s="858"/>
      <c r="FF128" s="858"/>
      <c r="FG128" s="858"/>
      <c r="FH128" s="858"/>
      <c r="FI128" s="858"/>
      <c r="FJ128" s="858"/>
      <c r="FK128" s="858"/>
      <c r="FL128" s="858"/>
      <c r="FM128" s="858"/>
      <c r="FN128" s="858"/>
      <c r="FO128" s="858"/>
      <c r="FP128" s="858"/>
      <c r="FQ128" s="858"/>
      <c r="FR128" s="858"/>
      <c r="FS128" s="858"/>
      <c r="FT128" s="858"/>
      <c r="FU128" s="858"/>
      <c r="FV128" s="858"/>
      <c r="FW128" s="858"/>
      <c r="FX128" s="858"/>
      <c r="FY128" s="858"/>
      <c r="FZ128" s="858"/>
      <c r="GA128" s="858"/>
      <c r="GB128" s="858"/>
      <c r="GC128" s="858"/>
      <c r="GD128" s="858"/>
      <c r="GE128" s="858"/>
      <c r="GF128" s="858"/>
      <c r="GG128" s="858"/>
      <c r="GH128" s="858"/>
      <c r="GI128" s="858"/>
      <c r="GJ128" s="858"/>
      <c r="GK128" s="858"/>
      <c r="GL128" s="858"/>
      <c r="GM128" s="858"/>
      <c r="GN128" s="858"/>
      <c r="GO128" s="858"/>
      <c r="GP128" s="858"/>
      <c r="GQ128" s="858"/>
      <c r="GR128" s="858"/>
      <c r="GS128" s="858"/>
      <c r="GT128" s="858"/>
      <c r="GU128" s="858"/>
      <c r="GV128" s="858"/>
      <c r="GW128" s="858"/>
      <c r="GX128" s="858"/>
      <c r="GY128" s="858"/>
      <c r="GZ128" s="858"/>
      <c r="HA128" s="858"/>
      <c r="HB128" s="858"/>
      <c r="HC128" s="858"/>
      <c r="HD128" s="858"/>
      <c r="HE128" s="858"/>
      <c r="HF128" s="858"/>
      <c r="HG128" s="858"/>
      <c r="HH128" s="858"/>
      <c r="HI128" s="858"/>
      <c r="HJ128" s="858"/>
      <c r="HK128" s="858"/>
      <c r="HL128" s="858"/>
      <c r="HM128" s="858"/>
      <c r="HN128" s="858"/>
      <c r="HO128" s="858"/>
      <c r="HP128" s="858"/>
      <c r="HQ128" s="858"/>
      <c r="HR128" s="858"/>
      <c r="HS128" s="858"/>
      <c r="HT128" s="858"/>
      <c r="HU128" s="858"/>
      <c r="HV128" s="858"/>
      <c r="HW128" s="858"/>
      <c r="HX128" s="858"/>
      <c r="HY128" s="858"/>
      <c r="HZ128" s="858"/>
      <c r="IA128" s="858"/>
      <c r="IB128" s="858"/>
      <c r="IC128" s="858"/>
      <c r="ID128" s="858"/>
      <c r="IE128" s="858"/>
      <c r="IF128" s="858"/>
      <c r="IG128" s="858"/>
      <c r="IH128" s="858"/>
      <c r="II128" s="858"/>
      <c r="IJ128" s="858"/>
      <c r="IK128" s="858"/>
      <c r="IL128" s="858"/>
      <c r="IM128" s="858"/>
      <c r="IN128" s="858"/>
    </row>
    <row r="129" spans="1:248">
      <c r="A129" s="564" t="s">
        <v>19</v>
      </c>
      <c r="B129" s="566">
        <v>3202.3</v>
      </c>
      <c r="C129" s="859">
        <f t="shared" si="20"/>
        <v>38.375716031924838</v>
      </c>
      <c r="D129" s="567">
        <v>2893.4</v>
      </c>
      <c r="E129" s="859">
        <f t="shared" si="21"/>
        <v>34.673920858998635</v>
      </c>
      <c r="F129" s="859">
        <f t="shared" si="22"/>
        <v>308.90000000000009</v>
      </c>
      <c r="G129" s="859">
        <f t="shared" si="23"/>
        <v>3.7017951729262046</v>
      </c>
      <c r="H129" s="26">
        <v>8344.6</v>
      </c>
      <c r="I129" s="858"/>
      <c r="J129" s="858"/>
      <c r="K129" s="858"/>
      <c r="L129" s="858"/>
      <c r="M129" s="858"/>
      <c r="N129" s="858"/>
      <c r="O129" s="858"/>
      <c r="P129" s="858"/>
      <c r="Q129" s="858"/>
      <c r="R129" s="858"/>
      <c r="S129" s="858"/>
      <c r="T129" s="858"/>
      <c r="U129" s="858"/>
      <c r="V129" s="858"/>
      <c r="W129" s="858"/>
      <c r="X129" s="858"/>
      <c r="Y129" s="858"/>
      <c r="Z129" s="858"/>
      <c r="AA129" s="858"/>
      <c r="AB129" s="858"/>
      <c r="AC129" s="858"/>
      <c r="AD129" s="858"/>
      <c r="AE129" s="858"/>
      <c r="AF129" s="858"/>
      <c r="AG129" s="858"/>
      <c r="AH129" s="858"/>
      <c r="AI129" s="858"/>
      <c r="AJ129" s="858"/>
      <c r="AK129" s="858"/>
      <c r="AL129" s="858"/>
      <c r="AM129" s="858"/>
      <c r="AN129" s="858"/>
      <c r="AO129" s="858"/>
      <c r="AP129" s="858"/>
      <c r="AQ129" s="858"/>
      <c r="AR129" s="858"/>
      <c r="AS129" s="858"/>
      <c r="AT129" s="858"/>
      <c r="AU129" s="858"/>
      <c r="AV129" s="858"/>
      <c r="AW129" s="858"/>
      <c r="AX129" s="858"/>
      <c r="AY129" s="858"/>
      <c r="AZ129" s="858"/>
      <c r="BA129" s="858"/>
      <c r="BB129" s="858"/>
      <c r="BC129" s="858"/>
      <c r="BD129" s="858"/>
      <c r="BE129" s="858"/>
      <c r="BF129" s="858"/>
      <c r="BG129" s="858"/>
      <c r="BH129" s="858"/>
      <c r="BI129" s="858"/>
      <c r="BJ129" s="858"/>
      <c r="BK129" s="858"/>
      <c r="BL129" s="858"/>
      <c r="BM129" s="858"/>
      <c r="BN129" s="858"/>
      <c r="BO129" s="858"/>
      <c r="BP129" s="858"/>
      <c r="BQ129" s="858"/>
      <c r="BR129" s="858"/>
      <c r="BS129" s="858"/>
      <c r="BT129" s="858"/>
      <c r="BU129" s="858"/>
      <c r="BV129" s="858"/>
      <c r="BW129" s="858"/>
      <c r="BX129" s="858"/>
      <c r="BY129" s="858"/>
      <c r="BZ129" s="858"/>
      <c r="CA129" s="858"/>
      <c r="CB129" s="858"/>
      <c r="CC129" s="858"/>
      <c r="CD129" s="858"/>
      <c r="CE129" s="858"/>
      <c r="CF129" s="858"/>
      <c r="CG129" s="858"/>
      <c r="CH129" s="858"/>
      <c r="CI129" s="858"/>
      <c r="CJ129" s="858"/>
      <c r="CK129" s="858"/>
      <c r="CL129" s="858"/>
      <c r="CM129" s="858"/>
      <c r="CN129" s="858"/>
      <c r="CO129" s="858"/>
      <c r="CP129" s="858"/>
      <c r="CQ129" s="858"/>
      <c r="CR129" s="858"/>
      <c r="CS129" s="858"/>
      <c r="CT129" s="858"/>
      <c r="CU129" s="858"/>
      <c r="CV129" s="858"/>
      <c r="CW129" s="858"/>
      <c r="CX129" s="858"/>
      <c r="CY129" s="858"/>
      <c r="CZ129" s="858"/>
      <c r="DA129" s="858"/>
      <c r="DB129" s="858"/>
      <c r="DC129" s="858"/>
      <c r="DD129" s="858"/>
      <c r="DE129" s="858"/>
      <c r="DF129" s="858"/>
      <c r="DG129" s="858"/>
      <c r="DH129" s="858"/>
      <c r="DI129" s="858"/>
      <c r="DJ129" s="858"/>
      <c r="DK129" s="858"/>
      <c r="DL129" s="858"/>
      <c r="DM129" s="858"/>
      <c r="DN129" s="858"/>
      <c r="DO129" s="858"/>
      <c r="DP129" s="858"/>
      <c r="DQ129" s="858"/>
      <c r="DR129" s="858"/>
      <c r="DS129" s="858"/>
      <c r="DT129" s="858"/>
      <c r="DU129" s="858"/>
      <c r="DV129" s="858"/>
      <c r="DW129" s="858"/>
      <c r="DX129" s="858"/>
      <c r="DY129" s="858"/>
      <c r="DZ129" s="858"/>
      <c r="EA129" s="858"/>
      <c r="EB129" s="858"/>
      <c r="EC129" s="858"/>
      <c r="ED129" s="858"/>
      <c r="EE129" s="858"/>
      <c r="EF129" s="858"/>
      <c r="EG129" s="858"/>
      <c r="EH129" s="858"/>
      <c r="EI129" s="858"/>
      <c r="EJ129" s="858"/>
      <c r="EK129" s="858"/>
      <c r="EL129" s="858"/>
      <c r="EM129" s="858"/>
      <c r="EN129" s="858"/>
      <c r="EO129" s="858"/>
      <c r="EP129" s="858"/>
      <c r="EQ129" s="858"/>
      <c r="ER129" s="858"/>
      <c r="ES129" s="858"/>
      <c r="ET129" s="858"/>
      <c r="EU129" s="858"/>
      <c r="EV129" s="858"/>
      <c r="EW129" s="858"/>
      <c r="EX129" s="858"/>
      <c r="EY129" s="858"/>
      <c r="EZ129" s="858"/>
      <c r="FA129" s="858"/>
      <c r="FB129" s="858"/>
      <c r="FC129" s="858"/>
      <c r="FD129" s="858"/>
      <c r="FE129" s="858"/>
      <c r="FF129" s="858"/>
      <c r="FG129" s="858"/>
      <c r="FH129" s="858"/>
      <c r="FI129" s="858"/>
      <c r="FJ129" s="858"/>
      <c r="FK129" s="858"/>
      <c r="FL129" s="858"/>
      <c r="FM129" s="858"/>
      <c r="FN129" s="858"/>
      <c r="FO129" s="858"/>
      <c r="FP129" s="858"/>
      <c r="FQ129" s="858"/>
      <c r="FR129" s="858"/>
      <c r="FS129" s="858"/>
      <c r="FT129" s="858"/>
      <c r="FU129" s="858"/>
      <c r="FV129" s="858"/>
      <c r="FW129" s="858"/>
      <c r="FX129" s="858"/>
      <c r="FY129" s="858"/>
      <c r="FZ129" s="858"/>
      <c r="GA129" s="858"/>
      <c r="GB129" s="858"/>
      <c r="GC129" s="858"/>
      <c r="GD129" s="858"/>
      <c r="GE129" s="858"/>
      <c r="GF129" s="858"/>
      <c r="GG129" s="858"/>
      <c r="GH129" s="858"/>
      <c r="GI129" s="858"/>
      <c r="GJ129" s="858"/>
      <c r="GK129" s="858"/>
      <c r="GL129" s="858"/>
      <c r="GM129" s="858"/>
      <c r="GN129" s="858"/>
      <c r="GO129" s="858"/>
      <c r="GP129" s="858"/>
      <c r="GQ129" s="858"/>
      <c r="GR129" s="858"/>
      <c r="GS129" s="858"/>
      <c r="GT129" s="858"/>
      <c r="GU129" s="858"/>
      <c r="GV129" s="858"/>
      <c r="GW129" s="858"/>
      <c r="GX129" s="858"/>
      <c r="GY129" s="858"/>
      <c r="GZ129" s="858"/>
      <c r="HA129" s="858"/>
      <c r="HB129" s="858"/>
      <c r="HC129" s="858"/>
      <c r="HD129" s="858"/>
      <c r="HE129" s="858"/>
      <c r="HF129" s="858"/>
      <c r="HG129" s="858"/>
      <c r="HH129" s="858"/>
      <c r="HI129" s="858"/>
      <c r="HJ129" s="858"/>
      <c r="HK129" s="858"/>
      <c r="HL129" s="858"/>
      <c r="HM129" s="858"/>
      <c r="HN129" s="858"/>
      <c r="HO129" s="858"/>
      <c r="HP129" s="858"/>
      <c r="HQ129" s="858"/>
      <c r="HR129" s="858"/>
      <c r="HS129" s="858"/>
      <c r="HT129" s="858"/>
      <c r="HU129" s="858"/>
      <c r="HV129" s="858"/>
      <c r="HW129" s="858"/>
      <c r="HX129" s="858"/>
      <c r="HY129" s="858"/>
      <c r="HZ129" s="858"/>
      <c r="IA129" s="858"/>
      <c r="IB129" s="858"/>
      <c r="IC129" s="858"/>
      <c r="ID129" s="858"/>
      <c r="IE129" s="858"/>
      <c r="IF129" s="858"/>
      <c r="IG129" s="858"/>
      <c r="IH129" s="858"/>
      <c r="II129" s="858"/>
      <c r="IJ129" s="858"/>
      <c r="IK129" s="858"/>
      <c r="IL129" s="858"/>
      <c r="IM129" s="858"/>
      <c r="IN129" s="858"/>
    </row>
    <row r="130" spans="1:248">
      <c r="A130" s="564" t="s">
        <v>20</v>
      </c>
      <c r="B130" s="566">
        <v>4669.3999999999996</v>
      </c>
      <c r="C130" s="859">
        <f t="shared" si="20"/>
        <v>36.066612083481374</v>
      </c>
      <c r="D130" s="567">
        <v>4514.8</v>
      </c>
      <c r="E130" s="859">
        <f t="shared" si="21"/>
        <v>34.872476171350009</v>
      </c>
      <c r="F130" s="859">
        <f t="shared" si="22"/>
        <v>154.59999999999945</v>
      </c>
      <c r="G130" s="859">
        <f t="shared" si="23"/>
        <v>1.1941359121313662</v>
      </c>
      <c r="H130" s="26">
        <v>12946.6</v>
      </c>
      <c r="I130" s="858"/>
      <c r="J130" s="858"/>
      <c r="K130" s="858"/>
      <c r="L130" s="858"/>
      <c r="M130" s="858"/>
      <c r="N130" s="858"/>
      <c r="O130" s="858"/>
      <c r="P130" s="858"/>
      <c r="Q130" s="858"/>
      <c r="R130" s="858"/>
      <c r="S130" s="858"/>
      <c r="T130" s="858"/>
      <c r="U130" s="858"/>
      <c r="V130" s="858"/>
      <c r="W130" s="858"/>
      <c r="X130" s="858"/>
      <c r="Y130" s="858"/>
      <c r="Z130" s="858"/>
      <c r="AA130" s="858"/>
      <c r="AB130" s="858"/>
      <c r="AC130" s="858"/>
      <c r="AD130" s="858"/>
      <c r="AE130" s="858"/>
      <c r="AF130" s="858"/>
      <c r="AG130" s="858"/>
      <c r="AH130" s="858"/>
      <c r="AI130" s="858"/>
      <c r="AJ130" s="858"/>
      <c r="AK130" s="858"/>
      <c r="AL130" s="858"/>
      <c r="AM130" s="858"/>
      <c r="AN130" s="858"/>
      <c r="AO130" s="858"/>
      <c r="AP130" s="858"/>
      <c r="AQ130" s="858"/>
      <c r="AR130" s="858"/>
      <c r="AS130" s="858"/>
      <c r="AT130" s="858"/>
      <c r="AU130" s="858"/>
      <c r="AV130" s="858"/>
      <c r="AW130" s="858"/>
      <c r="AX130" s="858"/>
      <c r="AY130" s="858"/>
      <c r="AZ130" s="858"/>
      <c r="BA130" s="858"/>
      <c r="BB130" s="858"/>
      <c r="BC130" s="858"/>
      <c r="BD130" s="858"/>
      <c r="BE130" s="858"/>
      <c r="BF130" s="858"/>
      <c r="BG130" s="858"/>
      <c r="BH130" s="858"/>
      <c r="BI130" s="858"/>
      <c r="BJ130" s="858"/>
      <c r="BK130" s="858"/>
      <c r="BL130" s="858"/>
      <c r="BM130" s="858"/>
      <c r="BN130" s="858"/>
      <c r="BO130" s="858"/>
      <c r="BP130" s="858"/>
      <c r="BQ130" s="858"/>
      <c r="BR130" s="858"/>
      <c r="BS130" s="858"/>
      <c r="BT130" s="858"/>
      <c r="BU130" s="858"/>
      <c r="BV130" s="858"/>
      <c r="BW130" s="858"/>
      <c r="BX130" s="858"/>
      <c r="BY130" s="858"/>
      <c r="BZ130" s="858"/>
      <c r="CA130" s="858"/>
      <c r="CB130" s="858"/>
      <c r="CC130" s="858"/>
      <c r="CD130" s="858"/>
      <c r="CE130" s="858"/>
      <c r="CF130" s="858"/>
      <c r="CG130" s="858"/>
      <c r="CH130" s="858"/>
      <c r="CI130" s="858"/>
      <c r="CJ130" s="858"/>
      <c r="CK130" s="858"/>
      <c r="CL130" s="858"/>
      <c r="CM130" s="858"/>
      <c r="CN130" s="858"/>
      <c r="CO130" s="858"/>
      <c r="CP130" s="858"/>
      <c r="CQ130" s="858"/>
      <c r="CR130" s="858"/>
      <c r="CS130" s="858"/>
      <c r="CT130" s="858"/>
      <c r="CU130" s="858"/>
      <c r="CV130" s="858"/>
      <c r="CW130" s="858"/>
      <c r="CX130" s="858"/>
      <c r="CY130" s="858"/>
      <c r="CZ130" s="858"/>
      <c r="DA130" s="858"/>
      <c r="DB130" s="858"/>
      <c r="DC130" s="858"/>
      <c r="DD130" s="858"/>
      <c r="DE130" s="858"/>
      <c r="DF130" s="858"/>
      <c r="DG130" s="858"/>
      <c r="DH130" s="858"/>
      <c r="DI130" s="858"/>
      <c r="DJ130" s="858"/>
      <c r="DK130" s="858"/>
      <c r="DL130" s="858"/>
      <c r="DM130" s="858"/>
      <c r="DN130" s="858"/>
      <c r="DO130" s="858"/>
      <c r="DP130" s="858"/>
      <c r="DQ130" s="858"/>
      <c r="DR130" s="858"/>
      <c r="DS130" s="858"/>
      <c r="DT130" s="858"/>
      <c r="DU130" s="858"/>
      <c r="DV130" s="858"/>
      <c r="DW130" s="858"/>
      <c r="DX130" s="858"/>
      <c r="DY130" s="858"/>
      <c r="DZ130" s="858"/>
      <c r="EA130" s="858"/>
      <c r="EB130" s="858"/>
      <c r="EC130" s="858"/>
      <c r="ED130" s="858"/>
      <c r="EE130" s="858"/>
      <c r="EF130" s="858"/>
      <c r="EG130" s="858"/>
      <c r="EH130" s="858"/>
      <c r="EI130" s="858"/>
      <c r="EJ130" s="858"/>
      <c r="EK130" s="858"/>
      <c r="EL130" s="858"/>
      <c r="EM130" s="858"/>
      <c r="EN130" s="858"/>
      <c r="EO130" s="858"/>
      <c r="EP130" s="858"/>
      <c r="EQ130" s="858"/>
      <c r="ER130" s="858"/>
      <c r="ES130" s="858"/>
      <c r="ET130" s="858"/>
      <c r="EU130" s="858"/>
      <c r="EV130" s="858"/>
      <c r="EW130" s="858"/>
      <c r="EX130" s="858"/>
      <c r="EY130" s="858"/>
      <c r="EZ130" s="858"/>
      <c r="FA130" s="858"/>
      <c r="FB130" s="858"/>
      <c r="FC130" s="858"/>
      <c r="FD130" s="858"/>
      <c r="FE130" s="858"/>
      <c r="FF130" s="858"/>
      <c r="FG130" s="858"/>
      <c r="FH130" s="858"/>
      <c r="FI130" s="858"/>
      <c r="FJ130" s="858"/>
      <c r="FK130" s="858"/>
      <c r="FL130" s="858"/>
      <c r="FM130" s="858"/>
      <c r="FN130" s="858"/>
      <c r="FO130" s="858"/>
      <c r="FP130" s="858"/>
      <c r="FQ130" s="858"/>
      <c r="FR130" s="858"/>
      <c r="FS130" s="858"/>
      <c r="FT130" s="858"/>
      <c r="FU130" s="858"/>
      <c r="FV130" s="858"/>
      <c r="FW130" s="858"/>
      <c r="FX130" s="858"/>
      <c r="FY130" s="858"/>
      <c r="FZ130" s="858"/>
      <c r="GA130" s="858"/>
      <c r="GB130" s="858"/>
      <c r="GC130" s="858"/>
      <c r="GD130" s="858"/>
      <c r="GE130" s="858"/>
      <c r="GF130" s="858"/>
      <c r="GG130" s="858"/>
      <c r="GH130" s="858"/>
      <c r="GI130" s="858"/>
      <c r="GJ130" s="858"/>
      <c r="GK130" s="858"/>
      <c r="GL130" s="858"/>
      <c r="GM130" s="858"/>
      <c r="GN130" s="858"/>
      <c r="GO130" s="858"/>
      <c r="GP130" s="858"/>
      <c r="GQ130" s="858"/>
      <c r="GR130" s="858"/>
      <c r="GS130" s="858"/>
      <c r="GT130" s="858"/>
      <c r="GU130" s="858"/>
      <c r="GV130" s="858"/>
      <c r="GW130" s="858"/>
      <c r="GX130" s="858"/>
      <c r="GY130" s="858"/>
      <c r="GZ130" s="858"/>
      <c r="HA130" s="858"/>
      <c r="HB130" s="858"/>
      <c r="HC130" s="858"/>
      <c r="HD130" s="858"/>
      <c r="HE130" s="858"/>
      <c r="HF130" s="858"/>
      <c r="HG130" s="858"/>
      <c r="HH130" s="858"/>
      <c r="HI130" s="858"/>
      <c r="HJ130" s="858"/>
      <c r="HK130" s="858"/>
      <c r="HL130" s="858"/>
      <c r="HM130" s="858"/>
      <c r="HN130" s="858"/>
      <c r="HO130" s="858"/>
      <c r="HP130" s="858"/>
      <c r="HQ130" s="858"/>
      <c r="HR130" s="858"/>
      <c r="HS130" s="858"/>
      <c r="HT130" s="858"/>
      <c r="HU130" s="858"/>
      <c r="HV130" s="858"/>
      <c r="HW130" s="858"/>
      <c r="HX130" s="858"/>
      <c r="HY130" s="858"/>
      <c r="HZ130" s="858"/>
      <c r="IA130" s="858"/>
      <c r="IB130" s="858"/>
      <c r="IC130" s="858"/>
      <c r="ID130" s="858"/>
      <c r="IE130" s="858"/>
      <c r="IF130" s="858"/>
      <c r="IG130" s="858"/>
      <c r="IH130" s="858"/>
      <c r="II130" s="858"/>
      <c r="IJ130" s="858"/>
      <c r="IK130" s="858"/>
      <c r="IL130" s="858"/>
      <c r="IM130" s="858"/>
      <c r="IN130" s="858"/>
    </row>
    <row r="131" spans="1:248">
      <c r="A131" s="564" t="s">
        <v>21</v>
      </c>
      <c r="B131" s="566">
        <v>6653.9</v>
      </c>
      <c r="C131" s="859">
        <f t="shared" si="20"/>
        <v>38.616987318998284</v>
      </c>
      <c r="D131" s="567">
        <v>6243.5</v>
      </c>
      <c r="E131" s="859">
        <f t="shared" si="21"/>
        <v>36.235164388729288</v>
      </c>
      <c r="F131" s="859">
        <f t="shared" si="22"/>
        <v>410.39999999999964</v>
      </c>
      <c r="G131" s="859">
        <f t="shared" si="23"/>
        <v>2.3818229302689975</v>
      </c>
      <c r="H131" s="26">
        <v>17230.5</v>
      </c>
      <c r="I131" s="858"/>
      <c r="J131" s="858"/>
      <c r="K131" s="858"/>
      <c r="L131" s="858"/>
      <c r="M131" s="858"/>
      <c r="N131" s="858"/>
      <c r="O131" s="858"/>
      <c r="P131" s="858"/>
      <c r="Q131" s="858"/>
      <c r="R131" s="858"/>
      <c r="S131" s="858"/>
      <c r="T131" s="858"/>
      <c r="U131" s="858"/>
      <c r="V131" s="858"/>
      <c r="W131" s="858"/>
      <c r="X131" s="858"/>
      <c r="Y131" s="858"/>
      <c r="Z131" s="858"/>
      <c r="AA131" s="858"/>
      <c r="AB131" s="858"/>
      <c r="AC131" s="858"/>
      <c r="AD131" s="858"/>
      <c r="AE131" s="858"/>
      <c r="AF131" s="858"/>
      <c r="AG131" s="858"/>
      <c r="AH131" s="858"/>
      <c r="AI131" s="858"/>
      <c r="AJ131" s="858"/>
      <c r="AK131" s="858"/>
      <c r="AL131" s="858"/>
      <c r="AM131" s="858"/>
      <c r="AN131" s="858"/>
      <c r="AO131" s="858"/>
      <c r="AP131" s="858"/>
      <c r="AQ131" s="858"/>
      <c r="AR131" s="858"/>
      <c r="AS131" s="858"/>
      <c r="AT131" s="858"/>
      <c r="AU131" s="858"/>
      <c r="AV131" s="858"/>
      <c r="AW131" s="858"/>
      <c r="AX131" s="858"/>
      <c r="AY131" s="858"/>
      <c r="AZ131" s="858"/>
      <c r="BA131" s="858"/>
      <c r="BB131" s="858"/>
      <c r="BC131" s="858"/>
      <c r="BD131" s="858"/>
      <c r="BE131" s="858"/>
      <c r="BF131" s="858"/>
      <c r="BG131" s="858"/>
      <c r="BH131" s="858"/>
      <c r="BI131" s="858"/>
      <c r="BJ131" s="858"/>
      <c r="BK131" s="858"/>
      <c r="BL131" s="858"/>
      <c r="BM131" s="858"/>
      <c r="BN131" s="858"/>
      <c r="BO131" s="858"/>
      <c r="BP131" s="858"/>
      <c r="BQ131" s="858"/>
      <c r="BR131" s="858"/>
      <c r="BS131" s="858"/>
      <c r="BT131" s="858"/>
      <c r="BU131" s="858"/>
      <c r="BV131" s="858"/>
      <c r="BW131" s="858"/>
      <c r="BX131" s="858"/>
      <c r="BY131" s="858"/>
      <c r="BZ131" s="858"/>
      <c r="CA131" s="858"/>
      <c r="CB131" s="858"/>
      <c r="CC131" s="858"/>
      <c r="CD131" s="858"/>
      <c r="CE131" s="858"/>
      <c r="CF131" s="858"/>
      <c r="CG131" s="858"/>
      <c r="CH131" s="858"/>
      <c r="CI131" s="858"/>
      <c r="CJ131" s="858"/>
      <c r="CK131" s="858"/>
      <c r="CL131" s="858"/>
      <c r="CM131" s="858"/>
      <c r="CN131" s="858"/>
      <c r="CO131" s="858"/>
      <c r="CP131" s="858"/>
      <c r="CQ131" s="858"/>
      <c r="CR131" s="858"/>
      <c r="CS131" s="858"/>
      <c r="CT131" s="858"/>
      <c r="CU131" s="858"/>
      <c r="CV131" s="858"/>
      <c r="CW131" s="858"/>
      <c r="CX131" s="858"/>
      <c r="CY131" s="858"/>
      <c r="CZ131" s="858"/>
      <c r="DA131" s="858"/>
      <c r="DB131" s="858"/>
      <c r="DC131" s="858"/>
      <c r="DD131" s="858"/>
      <c r="DE131" s="858"/>
      <c r="DF131" s="858"/>
      <c r="DG131" s="858"/>
      <c r="DH131" s="858"/>
      <c r="DI131" s="858"/>
      <c r="DJ131" s="858"/>
      <c r="DK131" s="858"/>
      <c r="DL131" s="858"/>
      <c r="DM131" s="858"/>
      <c r="DN131" s="858"/>
      <c r="DO131" s="858"/>
      <c r="DP131" s="858"/>
      <c r="DQ131" s="858"/>
      <c r="DR131" s="858"/>
      <c r="DS131" s="858"/>
      <c r="DT131" s="858"/>
      <c r="DU131" s="858"/>
      <c r="DV131" s="858"/>
      <c r="DW131" s="858"/>
      <c r="DX131" s="858"/>
      <c r="DY131" s="858"/>
      <c r="DZ131" s="858"/>
      <c r="EA131" s="858"/>
      <c r="EB131" s="858"/>
      <c r="EC131" s="858"/>
      <c r="ED131" s="858"/>
      <c r="EE131" s="858"/>
      <c r="EF131" s="858"/>
      <c r="EG131" s="858"/>
      <c r="EH131" s="858"/>
      <c r="EI131" s="858"/>
      <c r="EJ131" s="858"/>
      <c r="EK131" s="858"/>
      <c r="EL131" s="858"/>
      <c r="EM131" s="858"/>
      <c r="EN131" s="858"/>
      <c r="EO131" s="858"/>
      <c r="EP131" s="858"/>
      <c r="EQ131" s="858"/>
      <c r="ER131" s="858"/>
      <c r="ES131" s="858"/>
      <c r="ET131" s="858"/>
      <c r="EU131" s="858"/>
      <c r="EV131" s="858"/>
      <c r="EW131" s="858"/>
      <c r="EX131" s="858"/>
      <c r="EY131" s="858"/>
      <c r="EZ131" s="858"/>
      <c r="FA131" s="858"/>
      <c r="FB131" s="858"/>
      <c r="FC131" s="858"/>
      <c r="FD131" s="858"/>
      <c r="FE131" s="858"/>
      <c r="FF131" s="858"/>
      <c r="FG131" s="858"/>
      <c r="FH131" s="858"/>
      <c r="FI131" s="858"/>
      <c r="FJ131" s="858"/>
      <c r="FK131" s="858"/>
      <c r="FL131" s="858"/>
      <c r="FM131" s="858"/>
      <c r="FN131" s="858"/>
      <c r="FO131" s="858"/>
      <c r="FP131" s="858"/>
      <c r="FQ131" s="858"/>
      <c r="FR131" s="858"/>
      <c r="FS131" s="858"/>
      <c r="FT131" s="858"/>
      <c r="FU131" s="858"/>
      <c r="FV131" s="858"/>
      <c r="FW131" s="858"/>
      <c r="FX131" s="858"/>
      <c r="FY131" s="858"/>
      <c r="FZ131" s="858"/>
      <c r="GA131" s="858"/>
      <c r="GB131" s="858"/>
      <c r="GC131" s="858"/>
      <c r="GD131" s="858"/>
      <c r="GE131" s="858"/>
      <c r="GF131" s="858"/>
      <c r="GG131" s="858"/>
      <c r="GH131" s="858"/>
      <c r="GI131" s="858"/>
      <c r="GJ131" s="858"/>
      <c r="GK131" s="858"/>
      <c r="GL131" s="858"/>
      <c r="GM131" s="858"/>
      <c r="GN131" s="858"/>
      <c r="GO131" s="858"/>
      <c r="GP131" s="858"/>
      <c r="GQ131" s="858"/>
      <c r="GR131" s="858"/>
      <c r="GS131" s="858"/>
      <c r="GT131" s="858"/>
      <c r="GU131" s="858"/>
      <c r="GV131" s="858"/>
      <c r="GW131" s="858"/>
      <c r="GX131" s="858"/>
      <c r="GY131" s="858"/>
      <c r="GZ131" s="858"/>
      <c r="HA131" s="858"/>
      <c r="HB131" s="858"/>
      <c r="HC131" s="858"/>
      <c r="HD131" s="858"/>
      <c r="HE131" s="858"/>
      <c r="HF131" s="858"/>
      <c r="HG131" s="858"/>
      <c r="HH131" s="858"/>
      <c r="HI131" s="858"/>
      <c r="HJ131" s="858"/>
      <c r="HK131" s="858"/>
      <c r="HL131" s="858"/>
      <c r="HM131" s="858"/>
      <c r="HN131" s="858"/>
      <c r="HO131" s="858"/>
      <c r="HP131" s="858"/>
      <c r="HQ131" s="858"/>
      <c r="HR131" s="858"/>
      <c r="HS131" s="858"/>
      <c r="HT131" s="858"/>
      <c r="HU131" s="858"/>
      <c r="HV131" s="858"/>
      <c r="HW131" s="858"/>
      <c r="HX131" s="858"/>
      <c r="HY131" s="858"/>
      <c r="HZ131" s="858"/>
      <c r="IA131" s="858"/>
      <c r="IB131" s="858"/>
      <c r="IC131" s="858"/>
      <c r="ID131" s="858"/>
      <c r="IE131" s="858"/>
      <c r="IF131" s="858"/>
      <c r="IG131" s="858"/>
      <c r="IH131" s="858"/>
      <c r="II131" s="858"/>
      <c r="IJ131" s="858"/>
      <c r="IK131" s="858"/>
      <c r="IL131" s="858"/>
      <c r="IM131" s="858"/>
      <c r="IN131" s="858"/>
    </row>
    <row r="132" spans="1:248">
      <c r="A132" s="564" t="s">
        <v>22</v>
      </c>
      <c r="B132" s="566">
        <v>8249.4</v>
      </c>
      <c r="C132" s="859">
        <f t="shared" si="20"/>
        <v>37.295031940432111</v>
      </c>
      <c r="D132" s="567">
        <v>7434.4</v>
      </c>
      <c r="E132" s="859">
        <f t="shared" si="21"/>
        <v>33.610466877342411</v>
      </c>
      <c r="F132" s="859">
        <f t="shared" si="22"/>
        <v>815</v>
      </c>
      <c r="G132" s="859">
        <f t="shared" si="23"/>
        <v>3.6845650630897002</v>
      </c>
      <c r="H132" s="26">
        <v>22119.3</v>
      </c>
      <c r="I132" s="858"/>
      <c r="J132" s="858"/>
      <c r="K132" s="858"/>
      <c r="L132" s="858"/>
      <c r="M132" s="858"/>
      <c r="N132" s="858"/>
      <c r="O132" s="858"/>
      <c r="P132" s="858"/>
      <c r="Q132" s="858"/>
      <c r="R132" s="858"/>
      <c r="S132" s="858"/>
      <c r="T132" s="858"/>
      <c r="U132" s="858"/>
      <c r="V132" s="858"/>
      <c r="W132" s="858"/>
      <c r="X132" s="858"/>
      <c r="Y132" s="858"/>
      <c r="Z132" s="858"/>
      <c r="AA132" s="858"/>
      <c r="AB132" s="858"/>
      <c r="AC132" s="858"/>
      <c r="AD132" s="858"/>
      <c r="AE132" s="858"/>
      <c r="AF132" s="858"/>
      <c r="AG132" s="858"/>
      <c r="AH132" s="858"/>
      <c r="AI132" s="858"/>
      <c r="AJ132" s="858"/>
      <c r="AK132" s="858"/>
      <c r="AL132" s="858"/>
      <c r="AM132" s="858"/>
      <c r="AN132" s="858"/>
      <c r="AO132" s="858"/>
      <c r="AP132" s="858"/>
      <c r="AQ132" s="858"/>
      <c r="AR132" s="858"/>
      <c r="AS132" s="858"/>
      <c r="AT132" s="858"/>
      <c r="AU132" s="858"/>
      <c r="AV132" s="858"/>
      <c r="AW132" s="858"/>
      <c r="AX132" s="858"/>
      <c r="AY132" s="858"/>
      <c r="AZ132" s="858"/>
      <c r="BA132" s="858"/>
      <c r="BB132" s="858"/>
      <c r="BC132" s="858"/>
      <c r="BD132" s="858"/>
      <c r="BE132" s="858"/>
      <c r="BF132" s="858"/>
      <c r="BG132" s="858"/>
      <c r="BH132" s="858"/>
      <c r="BI132" s="858"/>
      <c r="BJ132" s="858"/>
      <c r="BK132" s="858"/>
      <c r="BL132" s="858"/>
      <c r="BM132" s="858"/>
      <c r="BN132" s="858"/>
      <c r="BO132" s="858"/>
      <c r="BP132" s="858"/>
      <c r="BQ132" s="858"/>
      <c r="BR132" s="858"/>
      <c r="BS132" s="858"/>
      <c r="BT132" s="858"/>
      <c r="BU132" s="858"/>
      <c r="BV132" s="858"/>
      <c r="BW132" s="858"/>
      <c r="BX132" s="858"/>
      <c r="BY132" s="858"/>
      <c r="BZ132" s="858"/>
      <c r="CA132" s="858"/>
      <c r="CB132" s="858"/>
      <c r="CC132" s="858"/>
      <c r="CD132" s="858"/>
      <c r="CE132" s="858"/>
      <c r="CF132" s="858"/>
      <c r="CG132" s="858"/>
      <c r="CH132" s="858"/>
      <c r="CI132" s="858"/>
      <c r="CJ132" s="858"/>
      <c r="CK132" s="858"/>
      <c r="CL132" s="858"/>
      <c r="CM132" s="858"/>
      <c r="CN132" s="858"/>
      <c r="CO132" s="858"/>
      <c r="CP132" s="858"/>
      <c r="CQ132" s="858"/>
      <c r="CR132" s="858"/>
      <c r="CS132" s="858"/>
      <c r="CT132" s="858"/>
      <c r="CU132" s="858"/>
      <c r="CV132" s="858"/>
      <c r="CW132" s="858"/>
      <c r="CX132" s="858"/>
      <c r="CY132" s="858"/>
      <c r="CZ132" s="858"/>
      <c r="DA132" s="858"/>
      <c r="DB132" s="858"/>
      <c r="DC132" s="858"/>
      <c r="DD132" s="858"/>
      <c r="DE132" s="858"/>
      <c r="DF132" s="858"/>
      <c r="DG132" s="858"/>
      <c r="DH132" s="858"/>
      <c r="DI132" s="858"/>
      <c r="DJ132" s="858"/>
      <c r="DK132" s="858"/>
      <c r="DL132" s="858"/>
      <c r="DM132" s="858"/>
      <c r="DN132" s="858"/>
      <c r="DO132" s="858"/>
      <c r="DP132" s="858"/>
      <c r="DQ132" s="858"/>
      <c r="DR132" s="858"/>
      <c r="DS132" s="858"/>
      <c r="DT132" s="858"/>
      <c r="DU132" s="858"/>
      <c r="DV132" s="858"/>
      <c r="DW132" s="858"/>
      <c r="DX132" s="858"/>
      <c r="DY132" s="858"/>
      <c r="DZ132" s="858"/>
      <c r="EA132" s="858"/>
      <c r="EB132" s="858"/>
      <c r="EC132" s="858"/>
      <c r="ED132" s="858"/>
      <c r="EE132" s="858"/>
      <c r="EF132" s="858"/>
      <c r="EG132" s="858"/>
      <c r="EH132" s="858"/>
      <c r="EI132" s="858"/>
      <c r="EJ132" s="858"/>
      <c r="EK132" s="858"/>
      <c r="EL132" s="858"/>
      <c r="EM132" s="858"/>
      <c r="EN132" s="858"/>
      <c r="EO132" s="858"/>
      <c r="EP132" s="858"/>
      <c r="EQ132" s="858"/>
      <c r="ER132" s="858"/>
      <c r="ES132" s="858"/>
      <c r="ET132" s="858"/>
      <c r="EU132" s="858"/>
      <c r="EV132" s="858"/>
      <c r="EW132" s="858"/>
      <c r="EX132" s="858"/>
      <c r="EY132" s="858"/>
      <c r="EZ132" s="858"/>
      <c r="FA132" s="858"/>
      <c r="FB132" s="858"/>
      <c r="FC132" s="858"/>
      <c r="FD132" s="858"/>
      <c r="FE132" s="858"/>
      <c r="FF132" s="858"/>
      <c r="FG132" s="858"/>
      <c r="FH132" s="858"/>
      <c r="FI132" s="858"/>
      <c r="FJ132" s="858"/>
      <c r="FK132" s="858"/>
      <c r="FL132" s="858"/>
      <c r="FM132" s="858"/>
      <c r="FN132" s="858"/>
      <c r="FO132" s="858"/>
      <c r="FP132" s="858"/>
      <c r="FQ132" s="858"/>
      <c r="FR132" s="858"/>
      <c r="FS132" s="858"/>
      <c r="FT132" s="858"/>
      <c r="FU132" s="858"/>
      <c r="FV132" s="858"/>
      <c r="FW132" s="858"/>
      <c r="FX132" s="858"/>
      <c r="FY132" s="858"/>
      <c r="FZ132" s="858"/>
      <c r="GA132" s="858"/>
      <c r="GB132" s="858"/>
      <c r="GC132" s="858"/>
      <c r="GD132" s="858"/>
      <c r="GE132" s="858"/>
      <c r="GF132" s="858"/>
      <c r="GG132" s="858"/>
      <c r="GH132" s="858"/>
      <c r="GI132" s="858"/>
      <c r="GJ132" s="858"/>
      <c r="GK132" s="858"/>
      <c r="GL132" s="858"/>
      <c r="GM132" s="858"/>
      <c r="GN132" s="858"/>
      <c r="GO132" s="858"/>
      <c r="GP132" s="858"/>
      <c r="GQ132" s="858"/>
      <c r="GR132" s="858"/>
      <c r="GS132" s="858"/>
      <c r="GT132" s="858"/>
      <c r="GU132" s="858"/>
      <c r="GV132" s="858"/>
      <c r="GW132" s="858"/>
      <c r="GX132" s="858"/>
      <c r="GY132" s="858"/>
      <c r="GZ132" s="858"/>
      <c r="HA132" s="858"/>
      <c r="HB132" s="858"/>
      <c r="HC132" s="858"/>
      <c r="HD132" s="858"/>
      <c r="HE132" s="858"/>
      <c r="HF132" s="858"/>
      <c r="HG132" s="858"/>
      <c r="HH132" s="858"/>
      <c r="HI132" s="858"/>
      <c r="HJ132" s="858"/>
      <c r="HK132" s="858"/>
      <c r="HL132" s="858"/>
      <c r="HM132" s="858"/>
      <c r="HN132" s="858"/>
      <c r="HO132" s="858"/>
      <c r="HP132" s="858"/>
      <c r="HQ132" s="858"/>
      <c r="HR132" s="858"/>
      <c r="HS132" s="858"/>
      <c r="HT132" s="858"/>
      <c r="HU132" s="858"/>
      <c r="HV132" s="858"/>
      <c r="HW132" s="858"/>
      <c r="HX132" s="858"/>
      <c r="HY132" s="858"/>
      <c r="HZ132" s="858"/>
      <c r="IA132" s="858"/>
      <c r="IB132" s="858"/>
      <c r="IC132" s="858"/>
      <c r="ID132" s="858"/>
      <c r="IE132" s="858"/>
      <c r="IF132" s="858"/>
      <c r="IG132" s="858"/>
      <c r="IH132" s="858"/>
      <c r="II132" s="858"/>
      <c r="IJ132" s="858"/>
      <c r="IK132" s="858"/>
      <c r="IL132" s="858"/>
      <c r="IM132" s="858"/>
      <c r="IN132" s="858"/>
    </row>
    <row r="133" spans="1:248">
      <c r="A133" s="564" t="s">
        <v>23</v>
      </c>
      <c r="B133" s="566">
        <v>9524.5</v>
      </c>
      <c r="C133" s="859">
        <f t="shared" si="20"/>
        <v>35.013969561061685</v>
      </c>
      <c r="D133" s="567">
        <v>8730.2000000000007</v>
      </c>
      <c r="E133" s="859">
        <f t="shared" si="21"/>
        <v>32.09396367914124</v>
      </c>
      <c r="F133" s="859">
        <f t="shared" si="22"/>
        <v>794.29999999999927</v>
      </c>
      <c r="G133" s="859">
        <f t="shared" si="23"/>
        <v>2.9200058819204444</v>
      </c>
      <c r="H133" s="26">
        <v>27202</v>
      </c>
      <c r="I133" s="858"/>
      <c r="J133" s="858"/>
      <c r="K133" s="858"/>
      <c r="L133" s="858"/>
      <c r="M133" s="858"/>
      <c r="N133" s="858"/>
      <c r="O133" s="858"/>
      <c r="P133" s="858"/>
      <c r="Q133" s="858"/>
      <c r="R133" s="858"/>
      <c r="S133" s="858"/>
      <c r="T133" s="858"/>
      <c r="U133" s="858"/>
      <c r="V133" s="858"/>
      <c r="W133" s="858"/>
      <c r="X133" s="858"/>
      <c r="Y133" s="858"/>
      <c r="Z133" s="858"/>
      <c r="AA133" s="858"/>
      <c r="AB133" s="858"/>
      <c r="AC133" s="858"/>
      <c r="AD133" s="858"/>
      <c r="AE133" s="858"/>
      <c r="AF133" s="858"/>
      <c r="AG133" s="858"/>
      <c r="AH133" s="858"/>
      <c r="AI133" s="858"/>
      <c r="AJ133" s="858"/>
      <c r="AK133" s="858"/>
      <c r="AL133" s="858"/>
      <c r="AM133" s="858"/>
      <c r="AN133" s="858"/>
      <c r="AO133" s="858"/>
      <c r="AP133" s="858"/>
      <c r="AQ133" s="858"/>
      <c r="AR133" s="858"/>
      <c r="AS133" s="858"/>
      <c r="AT133" s="858"/>
      <c r="AU133" s="858"/>
      <c r="AV133" s="858"/>
      <c r="AW133" s="858"/>
      <c r="AX133" s="858"/>
      <c r="AY133" s="858"/>
      <c r="AZ133" s="858"/>
      <c r="BA133" s="858"/>
      <c r="BB133" s="858"/>
      <c r="BC133" s="858"/>
      <c r="BD133" s="858"/>
      <c r="BE133" s="858"/>
      <c r="BF133" s="858"/>
      <c r="BG133" s="858"/>
      <c r="BH133" s="858"/>
      <c r="BI133" s="858"/>
      <c r="BJ133" s="858"/>
      <c r="BK133" s="858"/>
      <c r="BL133" s="858"/>
      <c r="BM133" s="858"/>
      <c r="BN133" s="858"/>
      <c r="BO133" s="858"/>
      <c r="BP133" s="858"/>
      <c r="BQ133" s="858"/>
      <c r="BR133" s="858"/>
      <c r="BS133" s="858"/>
      <c r="BT133" s="858"/>
      <c r="BU133" s="858"/>
      <c r="BV133" s="858"/>
      <c r="BW133" s="858"/>
      <c r="BX133" s="858"/>
      <c r="BY133" s="858"/>
      <c r="BZ133" s="858"/>
      <c r="CA133" s="858"/>
      <c r="CB133" s="858"/>
      <c r="CC133" s="858"/>
      <c r="CD133" s="858"/>
      <c r="CE133" s="858"/>
      <c r="CF133" s="858"/>
      <c r="CG133" s="858"/>
      <c r="CH133" s="858"/>
      <c r="CI133" s="858"/>
      <c r="CJ133" s="858"/>
      <c r="CK133" s="858"/>
      <c r="CL133" s="858"/>
      <c r="CM133" s="858"/>
      <c r="CN133" s="858"/>
      <c r="CO133" s="858"/>
      <c r="CP133" s="858"/>
      <c r="CQ133" s="858"/>
      <c r="CR133" s="858"/>
      <c r="CS133" s="858"/>
      <c r="CT133" s="858"/>
      <c r="CU133" s="858"/>
      <c r="CV133" s="858"/>
      <c r="CW133" s="858"/>
      <c r="CX133" s="858"/>
      <c r="CY133" s="858"/>
      <c r="CZ133" s="858"/>
      <c r="DA133" s="858"/>
      <c r="DB133" s="858"/>
      <c r="DC133" s="858"/>
      <c r="DD133" s="858"/>
      <c r="DE133" s="858"/>
      <c r="DF133" s="858"/>
      <c r="DG133" s="858"/>
      <c r="DH133" s="858"/>
      <c r="DI133" s="858"/>
      <c r="DJ133" s="858"/>
      <c r="DK133" s="858"/>
      <c r="DL133" s="858"/>
      <c r="DM133" s="858"/>
      <c r="DN133" s="858"/>
      <c r="DO133" s="858"/>
      <c r="DP133" s="858"/>
      <c r="DQ133" s="858"/>
      <c r="DR133" s="858"/>
      <c r="DS133" s="858"/>
      <c r="DT133" s="858"/>
      <c r="DU133" s="858"/>
      <c r="DV133" s="858"/>
      <c r="DW133" s="858"/>
      <c r="DX133" s="858"/>
      <c r="DY133" s="858"/>
      <c r="DZ133" s="858"/>
      <c r="EA133" s="858"/>
      <c r="EB133" s="858"/>
      <c r="EC133" s="858"/>
      <c r="ED133" s="858"/>
      <c r="EE133" s="858"/>
      <c r="EF133" s="858"/>
      <c r="EG133" s="858"/>
      <c r="EH133" s="858"/>
      <c r="EI133" s="858"/>
      <c r="EJ133" s="858"/>
      <c r="EK133" s="858"/>
      <c r="EL133" s="858"/>
      <c r="EM133" s="858"/>
      <c r="EN133" s="858"/>
      <c r="EO133" s="858"/>
      <c r="EP133" s="858"/>
      <c r="EQ133" s="858"/>
      <c r="ER133" s="858"/>
      <c r="ES133" s="858"/>
      <c r="ET133" s="858"/>
      <c r="EU133" s="858"/>
      <c r="EV133" s="858"/>
      <c r="EW133" s="858"/>
      <c r="EX133" s="858"/>
      <c r="EY133" s="858"/>
      <c r="EZ133" s="858"/>
      <c r="FA133" s="858"/>
      <c r="FB133" s="858"/>
      <c r="FC133" s="858"/>
      <c r="FD133" s="858"/>
      <c r="FE133" s="858"/>
      <c r="FF133" s="858"/>
      <c r="FG133" s="858"/>
      <c r="FH133" s="858"/>
      <c r="FI133" s="858"/>
      <c r="FJ133" s="858"/>
      <c r="FK133" s="858"/>
      <c r="FL133" s="858"/>
      <c r="FM133" s="858"/>
      <c r="FN133" s="858"/>
      <c r="FO133" s="858"/>
      <c r="FP133" s="858"/>
      <c r="FQ133" s="858"/>
      <c r="FR133" s="858"/>
      <c r="FS133" s="858"/>
      <c r="FT133" s="858"/>
      <c r="FU133" s="858"/>
      <c r="FV133" s="858"/>
      <c r="FW133" s="858"/>
      <c r="FX133" s="858"/>
      <c r="FY133" s="858"/>
      <c r="FZ133" s="858"/>
      <c r="GA133" s="858"/>
      <c r="GB133" s="858"/>
      <c r="GC133" s="858"/>
      <c r="GD133" s="858"/>
      <c r="GE133" s="858"/>
      <c r="GF133" s="858"/>
      <c r="GG133" s="858"/>
      <c r="GH133" s="858"/>
      <c r="GI133" s="858"/>
      <c r="GJ133" s="858"/>
      <c r="GK133" s="858"/>
      <c r="GL133" s="858"/>
      <c r="GM133" s="858"/>
      <c r="GN133" s="858"/>
      <c r="GO133" s="858"/>
      <c r="GP133" s="858"/>
      <c r="GQ133" s="858"/>
      <c r="GR133" s="858"/>
      <c r="GS133" s="858"/>
      <c r="GT133" s="858"/>
      <c r="GU133" s="858"/>
      <c r="GV133" s="858"/>
      <c r="GW133" s="858"/>
      <c r="GX133" s="858"/>
      <c r="GY133" s="858"/>
      <c r="GZ133" s="858"/>
      <c r="HA133" s="858"/>
      <c r="HB133" s="858"/>
      <c r="HC133" s="858"/>
      <c r="HD133" s="858"/>
      <c r="HE133" s="858"/>
      <c r="HF133" s="858"/>
      <c r="HG133" s="858"/>
      <c r="HH133" s="858"/>
      <c r="HI133" s="858"/>
      <c r="HJ133" s="858"/>
      <c r="HK133" s="858"/>
      <c r="HL133" s="858"/>
      <c r="HM133" s="858"/>
      <c r="HN133" s="858"/>
      <c r="HO133" s="858"/>
      <c r="HP133" s="858"/>
      <c r="HQ133" s="858"/>
      <c r="HR133" s="858"/>
      <c r="HS133" s="858"/>
      <c r="HT133" s="858"/>
      <c r="HU133" s="858"/>
      <c r="HV133" s="858"/>
      <c r="HW133" s="858"/>
      <c r="HX133" s="858"/>
      <c r="HY133" s="858"/>
      <c r="HZ133" s="858"/>
      <c r="IA133" s="858"/>
      <c r="IB133" s="858"/>
      <c r="IC133" s="858"/>
      <c r="ID133" s="858"/>
      <c r="IE133" s="858"/>
      <c r="IF133" s="858"/>
      <c r="IG133" s="858"/>
      <c r="IH133" s="858"/>
      <c r="II133" s="858"/>
      <c r="IJ133" s="858"/>
      <c r="IK133" s="858"/>
      <c r="IL133" s="858"/>
      <c r="IM133" s="858"/>
      <c r="IN133" s="858"/>
    </row>
    <row r="134" spans="1:248">
      <c r="A134" s="564" t="s">
        <v>24</v>
      </c>
      <c r="B134" s="566">
        <v>11371.4</v>
      </c>
      <c r="C134" s="859">
        <f t="shared" si="20"/>
        <v>35.209169977118407</v>
      </c>
      <c r="D134" s="567">
        <v>10224.200000000001</v>
      </c>
      <c r="E134" s="859">
        <f t="shared" si="21"/>
        <v>31.657104286196425</v>
      </c>
      <c r="F134" s="859">
        <f t="shared" si="22"/>
        <v>1147.1999999999989</v>
      </c>
      <c r="G134" s="859">
        <f t="shared" si="23"/>
        <v>3.5520656909219794</v>
      </c>
      <c r="H134" s="26">
        <v>32296.7</v>
      </c>
      <c r="I134" s="858"/>
      <c r="J134" s="858"/>
      <c r="K134" s="858"/>
      <c r="L134" s="858"/>
      <c r="M134" s="858"/>
      <c r="N134" s="858"/>
      <c r="O134" s="858"/>
      <c r="P134" s="858"/>
      <c r="Q134" s="858"/>
      <c r="R134" s="858"/>
      <c r="S134" s="858"/>
      <c r="T134" s="858"/>
      <c r="U134" s="858"/>
      <c r="V134" s="858"/>
      <c r="W134" s="858"/>
      <c r="X134" s="858"/>
      <c r="Y134" s="858"/>
      <c r="Z134" s="858"/>
      <c r="AA134" s="858"/>
      <c r="AB134" s="858"/>
      <c r="AC134" s="858"/>
      <c r="AD134" s="858"/>
      <c r="AE134" s="858"/>
      <c r="AF134" s="858"/>
      <c r="AG134" s="858"/>
      <c r="AH134" s="858"/>
      <c r="AI134" s="858"/>
      <c r="AJ134" s="858"/>
      <c r="AK134" s="858"/>
      <c r="AL134" s="858"/>
      <c r="AM134" s="858"/>
      <c r="AN134" s="858"/>
      <c r="AO134" s="858"/>
      <c r="AP134" s="858"/>
      <c r="AQ134" s="858"/>
      <c r="AR134" s="858"/>
      <c r="AS134" s="858"/>
      <c r="AT134" s="858"/>
      <c r="AU134" s="858"/>
      <c r="AV134" s="858"/>
      <c r="AW134" s="858"/>
      <c r="AX134" s="858"/>
      <c r="AY134" s="858"/>
      <c r="AZ134" s="858"/>
      <c r="BA134" s="858"/>
      <c r="BB134" s="858"/>
      <c r="BC134" s="858"/>
      <c r="BD134" s="858"/>
      <c r="BE134" s="858"/>
      <c r="BF134" s="858"/>
      <c r="BG134" s="858"/>
      <c r="BH134" s="858"/>
      <c r="BI134" s="858"/>
      <c r="BJ134" s="858"/>
      <c r="BK134" s="858"/>
      <c r="BL134" s="858"/>
      <c r="BM134" s="858"/>
      <c r="BN134" s="858"/>
      <c r="BO134" s="858"/>
      <c r="BP134" s="858"/>
      <c r="BQ134" s="858"/>
      <c r="BR134" s="858"/>
      <c r="BS134" s="858"/>
      <c r="BT134" s="858"/>
      <c r="BU134" s="858"/>
      <c r="BV134" s="858"/>
      <c r="BW134" s="858"/>
      <c r="BX134" s="858"/>
      <c r="BY134" s="858"/>
      <c r="BZ134" s="858"/>
      <c r="CA134" s="858"/>
      <c r="CB134" s="858"/>
      <c r="CC134" s="858"/>
      <c r="CD134" s="858"/>
      <c r="CE134" s="858"/>
      <c r="CF134" s="858"/>
      <c r="CG134" s="858"/>
      <c r="CH134" s="858"/>
      <c r="CI134" s="858"/>
      <c r="CJ134" s="858"/>
      <c r="CK134" s="858"/>
      <c r="CL134" s="858"/>
      <c r="CM134" s="858"/>
      <c r="CN134" s="858"/>
      <c r="CO134" s="858"/>
      <c r="CP134" s="858"/>
      <c r="CQ134" s="858"/>
      <c r="CR134" s="858"/>
      <c r="CS134" s="858"/>
      <c r="CT134" s="858"/>
      <c r="CU134" s="858"/>
      <c r="CV134" s="858"/>
      <c r="CW134" s="858"/>
      <c r="CX134" s="858"/>
      <c r="CY134" s="858"/>
      <c r="CZ134" s="858"/>
      <c r="DA134" s="858"/>
      <c r="DB134" s="858"/>
      <c r="DC134" s="858"/>
      <c r="DD134" s="858"/>
      <c r="DE134" s="858"/>
      <c r="DF134" s="858"/>
      <c r="DG134" s="858"/>
      <c r="DH134" s="858"/>
      <c r="DI134" s="858"/>
      <c r="DJ134" s="858"/>
      <c r="DK134" s="858"/>
      <c r="DL134" s="858"/>
      <c r="DM134" s="858"/>
      <c r="DN134" s="858"/>
      <c r="DO134" s="858"/>
      <c r="DP134" s="858"/>
      <c r="DQ134" s="858"/>
      <c r="DR134" s="858"/>
      <c r="DS134" s="858"/>
      <c r="DT134" s="858"/>
      <c r="DU134" s="858"/>
      <c r="DV134" s="858"/>
      <c r="DW134" s="858"/>
      <c r="DX134" s="858"/>
      <c r="DY134" s="858"/>
      <c r="DZ134" s="858"/>
      <c r="EA134" s="858"/>
      <c r="EB134" s="858"/>
      <c r="EC134" s="858"/>
      <c r="ED134" s="858"/>
      <c r="EE134" s="858"/>
      <c r="EF134" s="858"/>
      <c r="EG134" s="858"/>
      <c r="EH134" s="858"/>
      <c r="EI134" s="858"/>
      <c r="EJ134" s="858"/>
      <c r="EK134" s="858"/>
      <c r="EL134" s="858"/>
      <c r="EM134" s="858"/>
      <c r="EN134" s="858"/>
      <c r="EO134" s="858"/>
      <c r="EP134" s="858"/>
      <c r="EQ134" s="858"/>
      <c r="ER134" s="858"/>
      <c r="ES134" s="858"/>
      <c r="ET134" s="858"/>
      <c r="EU134" s="858"/>
      <c r="EV134" s="858"/>
      <c r="EW134" s="858"/>
      <c r="EX134" s="858"/>
      <c r="EY134" s="858"/>
      <c r="EZ134" s="858"/>
      <c r="FA134" s="858"/>
      <c r="FB134" s="858"/>
      <c r="FC134" s="858"/>
      <c r="FD134" s="858"/>
      <c r="FE134" s="858"/>
      <c r="FF134" s="858"/>
      <c r="FG134" s="858"/>
      <c r="FH134" s="858"/>
      <c r="FI134" s="858"/>
      <c r="FJ134" s="858"/>
      <c r="FK134" s="858"/>
      <c r="FL134" s="858"/>
      <c r="FM134" s="858"/>
      <c r="FN134" s="858"/>
      <c r="FO134" s="858"/>
      <c r="FP134" s="858"/>
      <c r="FQ134" s="858"/>
      <c r="FR134" s="858"/>
      <c r="FS134" s="858"/>
      <c r="FT134" s="858"/>
      <c r="FU134" s="858"/>
      <c r="FV134" s="858"/>
      <c r="FW134" s="858"/>
      <c r="FX134" s="858"/>
      <c r="FY134" s="858"/>
      <c r="FZ134" s="858"/>
      <c r="GA134" s="858"/>
      <c r="GB134" s="858"/>
      <c r="GC134" s="858"/>
      <c r="GD134" s="858"/>
      <c r="GE134" s="858"/>
      <c r="GF134" s="858"/>
      <c r="GG134" s="858"/>
      <c r="GH134" s="858"/>
      <c r="GI134" s="858"/>
      <c r="GJ134" s="858"/>
      <c r="GK134" s="858"/>
      <c r="GL134" s="858"/>
      <c r="GM134" s="858"/>
      <c r="GN134" s="858"/>
      <c r="GO134" s="858"/>
      <c r="GP134" s="858"/>
      <c r="GQ134" s="858"/>
      <c r="GR134" s="858"/>
      <c r="GS134" s="858"/>
      <c r="GT134" s="858"/>
      <c r="GU134" s="858"/>
      <c r="GV134" s="858"/>
      <c r="GW134" s="858"/>
      <c r="GX134" s="858"/>
      <c r="GY134" s="858"/>
      <c r="GZ134" s="858"/>
      <c r="HA134" s="858"/>
      <c r="HB134" s="858"/>
      <c r="HC134" s="858"/>
      <c r="HD134" s="858"/>
      <c r="HE134" s="858"/>
      <c r="HF134" s="858"/>
      <c r="HG134" s="858"/>
      <c r="HH134" s="858"/>
      <c r="HI134" s="858"/>
      <c r="HJ134" s="858"/>
      <c r="HK134" s="858"/>
      <c r="HL134" s="858"/>
      <c r="HM134" s="858"/>
      <c r="HN134" s="858"/>
      <c r="HO134" s="858"/>
      <c r="HP134" s="858"/>
      <c r="HQ134" s="858"/>
      <c r="HR134" s="858"/>
      <c r="HS134" s="858"/>
      <c r="HT134" s="858"/>
      <c r="HU134" s="858"/>
      <c r="HV134" s="858"/>
      <c r="HW134" s="858"/>
      <c r="HX134" s="858"/>
      <c r="HY134" s="858"/>
      <c r="HZ134" s="858"/>
      <c r="IA134" s="858"/>
      <c r="IB134" s="858"/>
      <c r="IC134" s="858"/>
      <c r="ID134" s="858"/>
      <c r="IE134" s="858"/>
      <c r="IF134" s="858"/>
      <c r="IG134" s="858"/>
      <c r="IH134" s="858"/>
      <c r="II134" s="858"/>
      <c r="IJ134" s="858"/>
      <c r="IK134" s="858"/>
      <c r="IL134" s="858"/>
      <c r="IM134" s="858"/>
      <c r="IN134" s="858"/>
    </row>
    <row r="135" spans="1:248">
      <c r="A135" s="564" t="s">
        <v>25</v>
      </c>
      <c r="B135" s="566">
        <v>12890.1</v>
      </c>
      <c r="C135" s="859">
        <f t="shared" si="20"/>
        <v>34.447271230738806</v>
      </c>
      <c r="D135" s="567">
        <v>11623.2</v>
      </c>
      <c r="E135" s="859">
        <f t="shared" si="21"/>
        <v>31.06163047370643</v>
      </c>
      <c r="F135" s="859">
        <f t="shared" si="22"/>
        <v>1266.8999999999996</v>
      </c>
      <c r="G135" s="859">
        <f t="shared" si="23"/>
        <v>3.3856407570323719</v>
      </c>
      <c r="H135" s="26">
        <v>37419.800000000003</v>
      </c>
      <c r="I135" s="858"/>
      <c r="J135" s="858"/>
      <c r="K135" s="858"/>
      <c r="L135" s="858"/>
      <c r="M135" s="858"/>
      <c r="N135" s="858"/>
      <c r="O135" s="858"/>
      <c r="P135" s="858"/>
      <c r="Q135" s="858"/>
      <c r="R135" s="858"/>
      <c r="S135" s="858"/>
      <c r="T135" s="858"/>
      <c r="U135" s="858"/>
      <c r="V135" s="858"/>
      <c r="W135" s="858"/>
      <c r="X135" s="858"/>
      <c r="Y135" s="858"/>
      <c r="Z135" s="858"/>
      <c r="AA135" s="858"/>
      <c r="AB135" s="858"/>
      <c r="AC135" s="858"/>
      <c r="AD135" s="858"/>
      <c r="AE135" s="858"/>
      <c r="AF135" s="858"/>
      <c r="AG135" s="858"/>
      <c r="AH135" s="858"/>
      <c r="AI135" s="858"/>
      <c r="AJ135" s="858"/>
      <c r="AK135" s="858"/>
      <c r="AL135" s="858"/>
      <c r="AM135" s="858"/>
      <c r="AN135" s="858"/>
      <c r="AO135" s="858"/>
      <c r="AP135" s="858"/>
      <c r="AQ135" s="858"/>
      <c r="AR135" s="858"/>
      <c r="AS135" s="858"/>
      <c r="AT135" s="858"/>
      <c r="AU135" s="858"/>
      <c r="AV135" s="858"/>
      <c r="AW135" s="858"/>
      <c r="AX135" s="858"/>
      <c r="AY135" s="858"/>
      <c r="AZ135" s="858"/>
      <c r="BA135" s="858"/>
      <c r="BB135" s="858"/>
      <c r="BC135" s="858"/>
      <c r="BD135" s="858"/>
      <c r="BE135" s="858"/>
      <c r="BF135" s="858"/>
      <c r="BG135" s="858"/>
      <c r="BH135" s="858"/>
      <c r="BI135" s="858"/>
      <c r="BJ135" s="858"/>
      <c r="BK135" s="858"/>
      <c r="BL135" s="858"/>
      <c r="BM135" s="858"/>
      <c r="BN135" s="858"/>
      <c r="BO135" s="858"/>
      <c r="BP135" s="858"/>
      <c r="BQ135" s="858"/>
      <c r="BR135" s="858"/>
      <c r="BS135" s="858"/>
      <c r="BT135" s="858"/>
      <c r="BU135" s="858"/>
      <c r="BV135" s="858"/>
      <c r="BW135" s="858"/>
      <c r="BX135" s="858"/>
      <c r="BY135" s="858"/>
      <c r="BZ135" s="858"/>
      <c r="CA135" s="858"/>
      <c r="CB135" s="858"/>
      <c r="CC135" s="858"/>
      <c r="CD135" s="858"/>
      <c r="CE135" s="858"/>
      <c r="CF135" s="858"/>
      <c r="CG135" s="858"/>
      <c r="CH135" s="858"/>
      <c r="CI135" s="858"/>
      <c r="CJ135" s="858"/>
      <c r="CK135" s="858"/>
      <c r="CL135" s="858"/>
      <c r="CM135" s="858"/>
      <c r="CN135" s="858"/>
      <c r="CO135" s="858"/>
      <c r="CP135" s="858"/>
      <c r="CQ135" s="858"/>
      <c r="CR135" s="858"/>
      <c r="CS135" s="858"/>
      <c r="CT135" s="858"/>
      <c r="CU135" s="858"/>
      <c r="CV135" s="858"/>
      <c r="CW135" s="858"/>
      <c r="CX135" s="858"/>
      <c r="CY135" s="858"/>
      <c r="CZ135" s="858"/>
      <c r="DA135" s="858"/>
      <c r="DB135" s="858"/>
      <c r="DC135" s="858"/>
      <c r="DD135" s="858"/>
      <c r="DE135" s="858"/>
      <c r="DF135" s="858"/>
      <c r="DG135" s="858"/>
      <c r="DH135" s="858"/>
      <c r="DI135" s="858"/>
      <c r="DJ135" s="858"/>
      <c r="DK135" s="858"/>
      <c r="DL135" s="858"/>
      <c r="DM135" s="858"/>
      <c r="DN135" s="858"/>
      <c r="DO135" s="858"/>
      <c r="DP135" s="858"/>
      <c r="DQ135" s="858"/>
      <c r="DR135" s="858"/>
      <c r="DS135" s="858"/>
      <c r="DT135" s="858"/>
      <c r="DU135" s="858"/>
      <c r="DV135" s="858"/>
      <c r="DW135" s="858"/>
      <c r="DX135" s="858"/>
      <c r="DY135" s="858"/>
      <c r="DZ135" s="858"/>
      <c r="EA135" s="858"/>
      <c r="EB135" s="858"/>
      <c r="EC135" s="858"/>
      <c r="ED135" s="858"/>
      <c r="EE135" s="858"/>
      <c r="EF135" s="858"/>
      <c r="EG135" s="858"/>
      <c r="EH135" s="858"/>
      <c r="EI135" s="858"/>
      <c r="EJ135" s="858"/>
      <c r="EK135" s="858"/>
      <c r="EL135" s="858"/>
      <c r="EM135" s="858"/>
      <c r="EN135" s="858"/>
      <c r="EO135" s="858"/>
      <c r="EP135" s="858"/>
      <c r="EQ135" s="858"/>
      <c r="ER135" s="858"/>
      <c r="ES135" s="858"/>
      <c r="ET135" s="858"/>
      <c r="EU135" s="858"/>
      <c r="EV135" s="858"/>
      <c r="EW135" s="858"/>
      <c r="EX135" s="858"/>
      <c r="EY135" s="858"/>
      <c r="EZ135" s="858"/>
      <c r="FA135" s="858"/>
      <c r="FB135" s="858"/>
      <c r="FC135" s="858"/>
      <c r="FD135" s="858"/>
      <c r="FE135" s="858"/>
      <c r="FF135" s="858"/>
      <c r="FG135" s="858"/>
      <c r="FH135" s="858"/>
      <c r="FI135" s="858"/>
      <c r="FJ135" s="858"/>
      <c r="FK135" s="858"/>
      <c r="FL135" s="858"/>
      <c r="FM135" s="858"/>
      <c r="FN135" s="858"/>
      <c r="FO135" s="858"/>
      <c r="FP135" s="858"/>
      <c r="FQ135" s="858"/>
      <c r="FR135" s="858"/>
      <c r="FS135" s="858"/>
      <c r="FT135" s="858"/>
      <c r="FU135" s="858"/>
      <c r="FV135" s="858"/>
      <c r="FW135" s="858"/>
      <c r="FX135" s="858"/>
      <c r="FY135" s="858"/>
      <c r="FZ135" s="858"/>
      <c r="GA135" s="858"/>
      <c r="GB135" s="858"/>
      <c r="GC135" s="858"/>
      <c r="GD135" s="858"/>
      <c r="GE135" s="858"/>
      <c r="GF135" s="858"/>
      <c r="GG135" s="858"/>
      <c r="GH135" s="858"/>
      <c r="GI135" s="858"/>
      <c r="GJ135" s="858"/>
      <c r="GK135" s="858"/>
      <c r="GL135" s="858"/>
      <c r="GM135" s="858"/>
      <c r="GN135" s="858"/>
      <c r="GO135" s="858"/>
      <c r="GP135" s="858"/>
      <c r="GQ135" s="858"/>
      <c r="GR135" s="858"/>
      <c r="GS135" s="858"/>
      <c r="GT135" s="858"/>
      <c r="GU135" s="858"/>
      <c r="GV135" s="858"/>
      <c r="GW135" s="858"/>
      <c r="GX135" s="858"/>
      <c r="GY135" s="858"/>
      <c r="GZ135" s="858"/>
      <c r="HA135" s="858"/>
      <c r="HB135" s="858"/>
      <c r="HC135" s="858"/>
      <c r="HD135" s="858"/>
      <c r="HE135" s="858"/>
      <c r="HF135" s="858"/>
      <c r="HG135" s="858"/>
      <c r="HH135" s="858"/>
      <c r="HI135" s="858"/>
      <c r="HJ135" s="858"/>
      <c r="HK135" s="858"/>
      <c r="HL135" s="858"/>
      <c r="HM135" s="858"/>
      <c r="HN135" s="858"/>
      <c r="HO135" s="858"/>
      <c r="HP135" s="858"/>
      <c r="HQ135" s="858"/>
      <c r="HR135" s="858"/>
      <c r="HS135" s="858"/>
      <c r="HT135" s="858"/>
      <c r="HU135" s="858"/>
      <c r="HV135" s="858"/>
      <c r="HW135" s="858"/>
      <c r="HX135" s="858"/>
      <c r="HY135" s="858"/>
      <c r="HZ135" s="858"/>
      <c r="IA135" s="858"/>
      <c r="IB135" s="858"/>
      <c r="IC135" s="858"/>
      <c r="ID135" s="858"/>
      <c r="IE135" s="858"/>
      <c r="IF135" s="858"/>
      <c r="IG135" s="858"/>
      <c r="IH135" s="858"/>
      <c r="II135" s="858"/>
      <c r="IJ135" s="858"/>
      <c r="IK135" s="858"/>
      <c r="IL135" s="858"/>
      <c r="IM135" s="858"/>
      <c r="IN135" s="858"/>
    </row>
    <row r="136" spans="1:248">
      <c r="A136" s="564" t="s">
        <v>26</v>
      </c>
      <c r="B136" s="566">
        <v>14330.1</v>
      </c>
      <c r="C136" s="859">
        <f t="shared" si="20"/>
        <v>33.522270047721534</v>
      </c>
      <c r="D136" s="567">
        <v>12719.7</v>
      </c>
      <c r="E136" s="859">
        <f t="shared" si="21"/>
        <v>29.755076260877704</v>
      </c>
      <c r="F136" s="859">
        <f t="shared" si="22"/>
        <v>1610.3999999999996</v>
      </c>
      <c r="G136" s="859">
        <f t="shared" si="23"/>
        <v>3.7671937868438281</v>
      </c>
      <c r="H136" s="26">
        <v>42748</v>
      </c>
      <c r="I136" s="858"/>
      <c r="J136" s="858"/>
      <c r="K136" s="858"/>
      <c r="L136" s="858"/>
      <c r="M136" s="858"/>
      <c r="N136" s="858"/>
      <c r="O136" s="858"/>
      <c r="P136" s="858"/>
      <c r="Q136" s="858"/>
      <c r="R136" s="858"/>
      <c r="S136" s="858"/>
      <c r="T136" s="858"/>
      <c r="U136" s="858"/>
      <c r="V136" s="858"/>
      <c r="W136" s="858"/>
      <c r="X136" s="858"/>
      <c r="Y136" s="858"/>
      <c r="Z136" s="858"/>
      <c r="AA136" s="858"/>
      <c r="AB136" s="858"/>
      <c r="AC136" s="858"/>
      <c r="AD136" s="858"/>
      <c r="AE136" s="858"/>
      <c r="AF136" s="858"/>
      <c r="AG136" s="858"/>
      <c r="AH136" s="858"/>
      <c r="AI136" s="858"/>
      <c r="AJ136" s="858"/>
      <c r="AK136" s="858"/>
      <c r="AL136" s="858"/>
      <c r="AM136" s="858"/>
      <c r="AN136" s="858"/>
      <c r="AO136" s="858"/>
      <c r="AP136" s="858"/>
      <c r="AQ136" s="858"/>
      <c r="AR136" s="858"/>
      <c r="AS136" s="858"/>
      <c r="AT136" s="858"/>
      <c r="AU136" s="858"/>
      <c r="AV136" s="858"/>
      <c r="AW136" s="858"/>
      <c r="AX136" s="858"/>
      <c r="AY136" s="858"/>
      <c r="AZ136" s="858"/>
      <c r="BA136" s="858"/>
      <c r="BB136" s="858"/>
      <c r="BC136" s="858"/>
      <c r="BD136" s="858"/>
      <c r="BE136" s="858"/>
      <c r="BF136" s="858"/>
      <c r="BG136" s="858"/>
      <c r="BH136" s="858"/>
      <c r="BI136" s="858"/>
      <c r="BJ136" s="858"/>
      <c r="BK136" s="858"/>
      <c r="BL136" s="858"/>
      <c r="BM136" s="858"/>
      <c r="BN136" s="858"/>
      <c r="BO136" s="858"/>
      <c r="BP136" s="858"/>
      <c r="BQ136" s="858"/>
      <c r="BR136" s="858"/>
      <c r="BS136" s="858"/>
      <c r="BT136" s="858"/>
      <c r="BU136" s="858"/>
      <c r="BV136" s="858"/>
      <c r="BW136" s="858"/>
      <c r="BX136" s="858"/>
      <c r="BY136" s="858"/>
      <c r="BZ136" s="858"/>
      <c r="CA136" s="858"/>
      <c r="CB136" s="858"/>
      <c r="CC136" s="858"/>
      <c r="CD136" s="858"/>
      <c r="CE136" s="858"/>
      <c r="CF136" s="858"/>
      <c r="CG136" s="858"/>
      <c r="CH136" s="858"/>
      <c r="CI136" s="858"/>
      <c r="CJ136" s="858"/>
      <c r="CK136" s="858"/>
      <c r="CL136" s="858"/>
      <c r="CM136" s="858"/>
      <c r="CN136" s="858"/>
      <c r="CO136" s="858"/>
      <c r="CP136" s="858"/>
      <c r="CQ136" s="858"/>
      <c r="CR136" s="858"/>
      <c r="CS136" s="858"/>
      <c r="CT136" s="858"/>
      <c r="CU136" s="858"/>
      <c r="CV136" s="858"/>
      <c r="CW136" s="858"/>
      <c r="CX136" s="858"/>
      <c r="CY136" s="858"/>
      <c r="CZ136" s="858"/>
      <c r="DA136" s="858"/>
      <c r="DB136" s="858"/>
      <c r="DC136" s="858"/>
      <c r="DD136" s="858"/>
      <c r="DE136" s="858"/>
      <c r="DF136" s="858"/>
      <c r="DG136" s="858"/>
      <c r="DH136" s="858"/>
      <c r="DI136" s="858"/>
      <c r="DJ136" s="858"/>
      <c r="DK136" s="858"/>
      <c r="DL136" s="858"/>
      <c r="DM136" s="858"/>
      <c r="DN136" s="858"/>
      <c r="DO136" s="858"/>
      <c r="DP136" s="858"/>
      <c r="DQ136" s="858"/>
      <c r="DR136" s="858"/>
      <c r="DS136" s="858"/>
      <c r="DT136" s="858"/>
      <c r="DU136" s="858"/>
      <c r="DV136" s="858"/>
      <c r="DW136" s="858"/>
      <c r="DX136" s="858"/>
      <c r="DY136" s="858"/>
      <c r="DZ136" s="858"/>
      <c r="EA136" s="858"/>
      <c r="EB136" s="858"/>
      <c r="EC136" s="858"/>
      <c r="ED136" s="858"/>
      <c r="EE136" s="858"/>
      <c r="EF136" s="858"/>
      <c r="EG136" s="858"/>
      <c r="EH136" s="858"/>
      <c r="EI136" s="858"/>
      <c r="EJ136" s="858"/>
      <c r="EK136" s="858"/>
      <c r="EL136" s="858"/>
      <c r="EM136" s="858"/>
      <c r="EN136" s="858"/>
      <c r="EO136" s="858"/>
      <c r="EP136" s="858"/>
      <c r="EQ136" s="858"/>
      <c r="ER136" s="858"/>
      <c r="ES136" s="858"/>
      <c r="ET136" s="858"/>
      <c r="EU136" s="858"/>
      <c r="EV136" s="858"/>
      <c r="EW136" s="858"/>
      <c r="EX136" s="858"/>
      <c r="EY136" s="858"/>
      <c r="EZ136" s="858"/>
      <c r="FA136" s="858"/>
      <c r="FB136" s="858"/>
      <c r="FC136" s="858"/>
      <c r="FD136" s="858"/>
      <c r="FE136" s="858"/>
      <c r="FF136" s="858"/>
      <c r="FG136" s="858"/>
      <c r="FH136" s="858"/>
      <c r="FI136" s="858"/>
      <c r="FJ136" s="858"/>
      <c r="FK136" s="858"/>
      <c r="FL136" s="858"/>
      <c r="FM136" s="858"/>
      <c r="FN136" s="858"/>
      <c r="FO136" s="858"/>
      <c r="FP136" s="858"/>
      <c r="FQ136" s="858"/>
      <c r="FR136" s="858"/>
      <c r="FS136" s="858"/>
      <c r="FT136" s="858"/>
      <c r="FU136" s="858"/>
      <c r="FV136" s="858"/>
      <c r="FW136" s="858"/>
      <c r="FX136" s="858"/>
      <c r="FY136" s="858"/>
      <c r="FZ136" s="858"/>
      <c r="GA136" s="858"/>
      <c r="GB136" s="858"/>
      <c r="GC136" s="858"/>
      <c r="GD136" s="858"/>
      <c r="GE136" s="858"/>
      <c r="GF136" s="858"/>
      <c r="GG136" s="858"/>
      <c r="GH136" s="858"/>
      <c r="GI136" s="858"/>
      <c r="GJ136" s="858"/>
      <c r="GK136" s="858"/>
      <c r="GL136" s="858"/>
      <c r="GM136" s="858"/>
      <c r="GN136" s="858"/>
      <c r="GO136" s="858"/>
      <c r="GP136" s="858"/>
      <c r="GQ136" s="858"/>
      <c r="GR136" s="858"/>
      <c r="GS136" s="858"/>
      <c r="GT136" s="858"/>
      <c r="GU136" s="858"/>
      <c r="GV136" s="858"/>
      <c r="GW136" s="858"/>
      <c r="GX136" s="858"/>
      <c r="GY136" s="858"/>
      <c r="GZ136" s="858"/>
      <c r="HA136" s="858"/>
      <c r="HB136" s="858"/>
      <c r="HC136" s="858"/>
      <c r="HD136" s="858"/>
      <c r="HE136" s="858"/>
      <c r="HF136" s="858"/>
      <c r="HG136" s="858"/>
      <c r="HH136" s="858"/>
      <c r="HI136" s="858"/>
      <c r="HJ136" s="858"/>
      <c r="HK136" s="858"/>
      <c r="HL136" s="858"/>
      <c r="HM136" s="858"/>
      <c r="HN136" s="858"/>
      <c r="HO136" s="858"/>
      <c r="HP136" s="858"/>
      <c r="HQ136" s="858"/>
      <c r="HR136" s="858"/>
      <c r="HS136" s="858"/>
      <c r="HT136" s="858"/>
      <c r="HU136" s="858"/>
      <c r="HV136" s="858"/>
      <c r="HW136" s="858"/>
      <c r="HX136" s="858"/>
      <c r="HY136" s="858"/>
      <c r="HZ136" s="858"/>
      <c r="IA136" s="858"/>
      <c r="IB136" s="858"/>
      <c r="IC136" s="858"/>
      <c r="ID136" s="858"/>
      <c r="IE136" s="858"/>
      <c r="IF136" s="858"/>
      <c r="IG136" s="858"/>
      <c r="IH136" s="858"/>
      <c r="II136" s="858"/>
      <c r="IJ136" s="858"/>
      <c r="IK136" s="858"/>
      <c r="IL136" s="858"/>
      <c r="IM136" s="858"/>
      <c r="IN136" s="858"/>
    </row>
    <row r="137" spans="1:248">
      <c r="A137" s="564" t="s">
        <v>27</v>
      </c>
      <c r="B137" s="566">
        <v>16234.8</v>
      </c>
      <c r="C137" s="859">
        <f t="shared" si="20"/>
        <v>34.132106650744461</v>
      </c>
      <c r="D137" s="567">
        <v>14020.7</v>
      </c>
      <c r="E137" s="859">
        <f t="shared" si="21"/>
        <v>29.477174200981406</v>
      </c>
      <c r="F137" s="859">
        <f t="shared" si="22"/>
        <v>2214.0999999999985</v>
      </c>
      <c r="G137" s="859">
        <f t="shared" si="23"/>
        <v>4.6549324497630566</v>
      </c>
      <c r="H137" s="26">
        <v>47564.6</v>
      </c>
      <c r="I137" s="858"/>
      <c r="J137" s="858"/>
      <c r="K137" s="858"/>
      <c r="L137" s="858"/>
      <c r="M137" s="858"/>
      <c r="N137" s="858"/>
      <c r="O137" s="858"/>
      <c r="P137" s="858"/>
      <c r="Q137" s="858"/>
      <c r="R137" s="858"/>
      <c r="S137" s="858"/>
      <c r="T137" s="858"/>
      <c r="U137" s="858"/>
      <c r="V137" s="858"/>
      <c r="W137" s="858"/>
      <c r="X137" s="858"/>
      <c r="Y137" s="858"/>
      <c r="Z137" s="858"/>
      <c r="AA137" s="858"/>
      <c r="AB137" s="858"/>
      <c r="AC137" s="858"/>
      <c r="AD137" s="858"/>
      <c r="AE137" s="858"/>
      <c r="AF137" s="858"/>
      <c r="AG137" s="858"/>
      <c r="AH137" s="858"/>
      <c r="AI137" s="858"/>
      <c r="AJ137" s="858"/>
      <c r="AK137" s="858"/>
      <c r="AL137" s="858"/>
      <c r="AM137" s="858"/>
      <c r="AN137" s="858"/>
      <c r="AO137" s="858"/>
      <c r="AP137" s="858"/>
      <c r="AQ137" s="858"/>
      <c r="AR137" s="858"/>
      <c r="AS137" s="858"/>
      <c r="AT137" s="858"/>
      <c r="AU137" s="858"/>
      <c r="AV137" s="858"/>
      <c r="AW137" s="858"/>
      <c r="AX137" s="858"/>
      <c r="AY137" s="858"/>
      <c r="AZ137" s="858"/>
      <c r="BA137" s="858"/>
      <c r="BB137" s="858"/>
      <c r="BC137" s="858"/>
      <c r="BD137" s="858"/>
      <c r="BE137" s="858"/>
      <c r="BF137" s="858"/>
      <c r="BG137" s="858"/>
      <c r="BH137" s="858"/>
      <c r="BI137" s="858"/>
      <c r="BJ137" s="858"/>
      <c r="BK137" s="858"/>
      <c r="BL137" s="858"/>
      <c r="BM137" s="858"/>
      <c r="BN137" s="858"/>
      <c r="BO137" s="858"/>
      <c r="BP137" s="858"/>
      <c r="BQ137" s="858"/>
      <c r="BR137" s="858"/>
      <c r="BS137" s="858"/>
      <c r="BT137" s="858"/>
      <c r="BU137" s="858"/>
      <c r="BV137" s="858"/>
      <c r="BW137" s="858"/>
      <c r="BX137" s="858"/>
      <c r="BY137" s="858"/>
      <c r="BZ137" s="858"/>
      <c r="CA137" s="858"/>
      <c r="CB137" s="858"/>
      <c r="CC137" s="858"/>
      <c r="CD137" s="858"/>
      <c r="CE137" s="858"/>
      <c r="CF137" s="858"/>
      <c r="CG137" s="858"/>
      <c r="CH137" s="858"/>
      <c r="CI137" s="858"/>
      <c r="CJ137" s="858"/>
      <c r="CK137" s="858"/>
      <c r="CL137" s="858"/>
      <c r="CM137" s="858"/>
      <c r="CN137" s="858"/>
      <c r="CO137" s="858"/>
      <c r="CP137" s="858"/>
      <c r="CQ137" s="858"/>
      <c r="CR137" s="858"/>
      <c r="CS137" s="858"/>
      <c r="CT137" s="858"/>
      <c r="CU137" s="858"/>
      <c r="CV137" s="858"/>
      <c r="CW137" s="858"/>
      <c r="CX137" s="858"/>
      <c r="CY137" s="858"/>
      <c r="CZ137" s="858"/>
      <c r="DA137" s="858"/>
      <c r="DB137" s="858"/>
      <c r="DC137" s="858"/>
      <c r="DD137" s="858"/>
      <c r="DE137" s="858"/>
      <c r="DF137" s="858"/>
      <c r="DG137" s="858"/>
      <c r="DH137" s="858"/>
      <c r="DI137" s="858"/>
      <c r="DJ137" s="858"/>
      <c r="DK137" s="858"/>
      <c r="DL137" s="858"/>
      <c r="DM137" s="858"/>
      <c r="DN137" s="858"/>
      <c r="DO137" s="858"/>
      <c r="DP137" s="858"/>
      <c r="DQ137" s="858"/>
      <c r="DR137" s="858"/>
      <c r="DS137" s="858"/>
      <c r="DT137" s="858"/>
      <c r="DU137" s="858"/>
      <c r="DV137" s="858"/>
      <c r="DW137" s="858"/>
      <c r="DX137" s="858"/>
      <c r="DY137" s="858"/>
      <c r="DZ137" s="858"/>
      <c r="EA137" s="858"/>
      <c r="EB137" s="858"/>
      <c r="EC137" s="858"/>
      <c r="ED137" s="858"/>
      <c r="EE137" s="858"/>
      <c r="EF137" s="858"/>
      <c r="EG137" s="858"/>
      <c r="EH137" s="858"/>
      <c r="EI137" s="858"/>
      <c r="EJ137" s="858"/>
      <c r="EK137" s="858"/>
      <c r="EL137" s="858"/>
      <c r="EM137" s="858"/>
      <c r="EN137" s="858"/>
      <c r="EO137" s="858"/>
      <c r="EP137" s="858"/>
      <c r="EQ137" s="858"/>
      <c r="ER137" s="858"/>
      <c r="ES137" s="858"/>
      <c r="ET137" s="858"/>
      <c r="EU137" s="858"/>
      <c r="EV137" s="858"/>
      <c r="EW137" s="858"/>
      <c r="EX137" s="858"/>
      <c r="EY137" s="858"/>
      <c r="EZ137" s="858"/>
      <c r="FA137" s="858"/>
      <c r="FB137" s="858"/>
      <c r="FC137" s="858"/>
      <c r="FD137" s="858"/>
      <c r="FE137" s="858"/>
      <c r="FF137" s="858"/>
      <c r="FG137" s="858"/>
      <c r="FH137" s="858"/>
      <c r="FI137" s="858"/>
      <c r="FJ137" s="858"/>
      <c r="FK137" s="858"/>
      <c r="FL137" s="858"/>
      <c r="FM137" s="858"/>
      <c r="FN137" s="858"/>
      <c r="FO137" s="858"/>
      <c r="FP137" s="858"/>
      <c r="FQ137" s="858"/>
      <c r="FR137" s="858"/>
      <c r="FS137" s="858"/>
      <c r="FT137" s="858"/>
      <c r="FU137" s="858"/>
      <c r="FV137" s="858"/>
      <c r="FW137" s="858"/>
      <c r="FX137" s="858"/>
      <c r="FY137" s="858"/>
      <c r="FZ137" s="858"/>
      <c r="GA137" s="858"/>
      <c r="GB137" s="858"/>
      <c r="GC137" s="858"/>
      <c r="GD137" s="858"/>
      <c r="GE137" s="858"/>
      <c r="GF137" s="858"/>
      <c r="GG137" s="858"/>
      <c r="GH137" s="858"/>
      <c r="GI137" s="858"/>
      <c r="GJ137" s="858"/>
      <c r="GK137" s="858"/>
      <c r="GL137" s="858"/>
      <c r="GM137" s="858"/>
      <c r="GN137" s="858"/>
      <c r="GO137" s="858"/>
      <c r="GP137" s="858"/>
      <c r="GQ137" s="858"/>
      <c r="GR137" s="858"/>
      <c r="GS137" s="858"/>
      <c r="GT137" s="858"/>
      <c r="GU137" s="858"/>
      <c r="GV137" s="858"/>
      <c r="GW137" s="858"/>
      <c r="GX137" s="858"/>
      <c r="GY137" s="858"/>
      <c r="GZ137" s="858"/>
      <c r="HA137" s="858"/>
      <c r="HB137" s="858"/>
      <c r="HC137" s="858"/>
      <c r="HD137" s="858"/>
      <c r="HE137" s="858"/>
      <c r="HF137" s="858"/>
      <c r="HG137" s="858"/>
      <c r="HH137" s="858"/>
      <c r="HI137" s="858"/>
      <c r="HJ137" s="858"/>
      <c r="HK137" s="858"/>
      <c r="HL137" s="858"/>
      <c r="HM137" s="858"/>
      <c r="HN137" s="858"/>
      <c r="HO137" s="858"/>
      <c r="HP137" s="858"/>
      <c r="HQ137" s="858"/>
      <c r="HR137" s="858"/>
      <c r="HS137" s="858"/>
      <c r="HT137" s="858"/>
      <c r="HU137" s="858"/>
      <c r="HV137" s="858"/>
      <c r="HW137" s="858"/>
      <c r="HX137" s="858"/>
      <c r="HY137" s="858"/>
      <c r="HZ137" s="858"/>
      <c r="IA137" s="858"/>
      <c r="IB137" s="858"/>
      <c r="IC137" s="858"/>
      <c r="ID137" s="858"/>
      <c r="IE137" s="858"/>
      <c r="IF137" s="858"/>
      <c r="IG137" s="858"/>
      <c r="IH137" s="858"/>
      <c r="II137" s="858"/>
      <c r="IJ137" s="858"/>
      <c r="IK137" s="858"/>
      <c r="IL137" s="858"/>
      <c r="IM137" s="858"/>
      <c r="IN137" s="858"/>
    </row>
    <row r="138" spans="1:248">
      <c r="A138" s="564" t="s">
        <v>29</v>
      </c>
      <c r="B138" s="566">
        <v>19496.3</v>
      </c>
      <c r="C138" s="859">
        <v>33.781334368425973</v>
      </c>
      <c r="D138" s="567">
        <v>19143.5</v>
      </c>
      <c r="E138" s="859">
        <v>33.172928630593226</v>
      </c>
      <c r="F138" s="859">
        <v>352.79999999999927</v>
      </c>
      <c r="G138" s="859">
        <f t="shared" si="23"/>
        <v>0.60637310508404541</v>
      </c>
      <c r="H138" s="26">
        <v>58182</v>
      </c>
      <c r="I138" s="858"/>
      <c r="J138" s="858"/>
      <c r="K138" s="858"/>
      <c r="L138" s="858"/>
      <c r="M138" s="858"/>
      <c r="N138" s="858"/>
      <c r="O138" s="858"/>
      <c r="P138" s="858"/>
      <c r="Q138" s="858"/>
      <c r="R138" s="858"/>
      <c r="S138" s="858"/>
      <c r="T138" s="858"/>
      <c r="U138" s="858"/>
      <c r="V138" s="858"/>
      <c r="W138" s="858"/>
      <c r="X138" s="858"/>
      <c r="Y138" s="858"/>
      <c r="Z138" s="858"/>
      <c r="AA138" s="858"/>
      <c r="AB138" s="858"/>
      <c r="AC138" s="858"/>
      <c r="AD138" s="858"/>
      <c r="AE138" s="858"/>
      <c r="AF138" s="858"/>
      <c r="AG138" s="858"/>
      <c r="AH138" s="858"/>
      <c r="AI138" s="858"/>
      <c r="AJ138" s="858"/>
      <c r="AK138" s="858"/>
      <c r="AL138" s="858"/>
      <c r="AM138" s="858"/>
      <c r="AN138" s="858"/>
      <c r="AO138" s="858"/>
      <c r="AP138" s="858"/>
      <c r="AQ138" s="858"/>
      <c r="AR138" s="858"/>
      <c r="AS138" s="858"/>
      <c r="AT138" s="858"/>
      <c r="AU138" s="858"/>
      <c r="AV138" s="858"/>
      <c r="AW138" s="858"/>
      <c r="AX138" s="858"/>
      <c r="AY138" s="858"/>
      <c r="AZ138" s="858"/>
      <c r="BA138" s="858"/>
      <c r="BB138" s="858"/>
      <c r="BC138" s="858"/>
      <c r="BD138" s="858"/>
      <c r="BE138" s="858"/>
      <c r="BF138" s="858"/>
      <c r="BG138" s="858"/>
      <c r="BH138" s="858"/>
      <c r="BI138" s="858"/>
      <c r="BJ138" s="858"/>
      <c r="BK138" s="858"/>
      <c r="BL138" s="858"/>
      <c r="BM138" s="858"/>
      <c r="BN138" s="858"/>
      <c r="BO138" s="858"/>
      <c r="BP138" s="858"/>
      <c r="BQ138" s="858"/>
      <c r="BR138" s="858"/>
      <c r="BS138" s="858"/>
      <c r="BT138" s="858"/>
      <c r="BU138" s="858"/>
      <c r="BV138" s="858"/>
      <c r="BW138" s="858"/>
      <c r="BX138" s="858"/>
      <c r="BY138" s="858"/>
      <c r="BZ138" s="858"/>
      <c r="CA138" s="858"/>
      <c r="CB138" s="858"/>
      <c r="CC138" s="858"/>
      <c r="CD138" s="858"/>
      <c r="CE138" s="858"/>
      <c r="CF138" s="858"/>
      <c r="CG138" s="858"/>
      <c r="CH138" s="858"/>
      <c r="CI138" s="858"/>
      <c r="CJ138" s="858"/>
      <c r="CK138" s="858"/>
      <c r="CL138" s="858"/>
      <c r="CM138" s="858"/>
      <c r="CN138" s="858"/>
      <c r="CO138" s="858"/>
      <c r="CP138" s="858"/>
      <c r="CQ138" s="858"/>
      <c r="CR138" s="858"/>
      <c r="CS138" s="858"/>
      <c r="CT138" s="858"/>
      <c r="CU138" s="858"/>
      <c r="CV138" s="858"/>
      <c r="CW138" s="858"/>
      <c r="CX138" s="858"/>
      <c r="CY138" s="858"/>
      <c r="CZ138" s="858"/>
      <c r="DA138" s="858"/>
      <c r="DB138" s="858"/>
      <c r="DC138" s="858"/>
      <c r="DD138" s="858"/>
      <c r="DE138" s="858"/>
      <c r="DF138" s="858"/>
      <c r="DG138" s="858"/>
      <c r="DH138" s="858"/>
      <c r="DI138" s="858"/>
      <c r="DJ138" s="858"/>
      <c r="DK138" s="858"/>
      <c r="DL138" s="858"/>
      <c r="DM138" s="858"/>
      <c r="DN138" s="858"/>
      <c r="DO138" s="858"/>
      <c r="DP138" s="858"/>
      <c r="DQ138" s="858"/>
      <c r="DR138" s="858"/>
      <c r="DS138" s="858"/>
      <c r="DT138" s="858"/>
      <c r="DU138" s="858"/>
      <c r="DV138" s="858"/>
      <c r="DW138" s="858"/>
      <c r="DX138" s="858"/>
      <c r="DY138" s="858"/>
      <c r="DZ138" s="858"/>
      <c r="EA138" s="858"/>
      <c r="EB138" s="858"/>
      <c r="EC138" s="858"/>
      <c r="ED138" s="858"/>
      <c r="EE138" s="858"/>
      <c r="EF138" s="858"/>
      <c r="EG138" s="858"/>
      <c r="EH138" s="858"/>
      <c r="EI138" s="858"/>
      <c r="EJ138" s="858"/>
      <c r="EK138" s="858"/>
      <c r="EL138" s="858"/>
      <c r="EM138" s="858"/>
      <c r="EN138" s="858"/>
      <c r="EO138" s="858"/>
      <c r="EP138" s="858"/>
      <c r="EQ138" s="858"/>
      <c r="ER138" s="858"/>
      <c r="ES138" s="858"/>
      <c r="ET138" s="858"/>
      <c r="EU138" s="858"/>
      <c r="EV138" s="858"/>
      <c r="EW138" s="858"/>
      <c r="EX138" s="858"/>
      <c r="EY138" s="858"/>
      <c r="EZ138" s="858"/>
      <c r="FA138" s="858"/>
      <c r="FB138" s="858"/>
      <c r="FC138" s="858"/>
      <c r="FD138" s="858"/>
      <c r="FE138" s="858"/>
      <c r="FF138" s="858"/>
      <c r="FG138" s="858"/>
      <c r="FH138" s="858"/>
      <c r="FI138" s="858"/>
      <c r="FJ138" s="858"/>
      <c r="FK138" s="858"/>
      <c r="FL138" s="858"/>
      <c r="FM138" s="858"/>
      <c r="FN138" s="858"/>
      <c r="FO138" s="858"/>
      <c r="FP138" s="858"/>
      <c r="FQ138" s="858"/>
      <c r="FR138" s="858"/>
      <c r="FS138" s="858"/>
      <c r="FT138" s="858"/>
      <c r="FU138" s="858"/>
      <c r="FV138" s="858"/>
      <c r="FW138" s="858"/>
      <c r="FX138" s="858"/>
      <c r="FY138" s="858"/>
      <c r="FZ138" s="858"/>
      <c r="GA138" s="858"/>
      <c r="GB138" s="858"/>
      <c r="GC138" s="858"/>
      <c r="GD138" s="858"/>
      <c r="GE138" s="858"/>
      <c r="GF138" s="858"/>
      <c r="GG138" s="858"/>
      <c r="GH138" s="858"/>
      <c r="GI138" s="858"/>
      <c r="GJ138" s="858"/>
      <c r="GK138" s="858"/>
      <c r="GL138" s="858"/>
      <c r="GM138" s="858"/>
      <c r="GN138" s="858"/>
      <c r="GO138" s="858"/>
      <c r="GP138" s="858"/>
      <c r="GQ138" s="858"/>
      <c r="GR138" s="858"/>
      <c r="GS138" s="858"/>
      <c r="GT138" s="858"/>
      <c r="GU138" s="858"/>
      <c r="GV138" s="858"/>
      <c r="GW138" s="858"/>
      <c r="GX138" s="858"/>
      <c r="GY138" s="858"/>
      <c r="GZ138" s="858"/>
      <c r="HA138" s="858"/>
      <c r="HB138" s="858"/>
      <c r="HC138" s="858"/>
      <c r="HD138" s="858"/>
      <c r="HE138" s="858"/>
      <c r="HF138" s="858"/>
      <c r="HG138" s="858"/>
      <c r="HH138" s="858"/>
      <c r="HI138" s="858"/>
      <c r="HJ138" s="858"/>
      <c r="HK138" s="858"/>
      <c r="HL138" s="858"/>
      <c r="HM138" s="858"/>
      <c r="HN138" s="858"/>
      <c r="HO138" s="858"/>
      <c r="HP138" s="858"/>
      <c r="HQ138" s="858"/>
      <c r="HR138" s="858"/>
      <c r="HS138" s="858"/>
      <c r="HT138" s="858"/>
      <c r="HU138" s="858"/>
      <c r="HV138" s="858"/>
      <c r="HW138" s="858"/>
      <c r="HX138" s="858"/>
      <c r="HY138" s="858"/>
      <c r="HZ138" s="858"/>
      <c r="IA138" s="858"/>
      <c r="IB138" s="858"/>
      <c r="IC138" s="858"/>
      <c r="ID138" s="858"/>
      <c r="IE138" s="858"/>
      <c r="IF138" s="858"/>
      <c r="IG138" s="858"/>
      <c r="IH138" s="858"/>
      <c r="II138" s="858"/>
      <c r="IJ138" s="858"/>
      <c r="IK138" s="858"/>
      <c r="IL138" s="858"/>
      <c r="IM138" s="858"/>
      <c r="IN138" s="858"/>
    </row>
    <row r="139" spans="1:248">
      <c r="A139" s="559">
        <v>2014</v>
      </c>
      <c r="B139" s="561">
        <v>18400.599999999999</v>
      </c>
      <c r="C139" s="561">
        <v>31.199027430660347</v>
      </c>
      <c r="D139" s="562">
        <v>18709</v>
      </c>
      <c r="E139" s="561">
        <v>31.705658739390074</v>
      </c>
      <c r="F139" s="860">
        <f>B139-D139</f>
        <v>-308.40000000000146</v>
      </c>
      <c r="G139" s="561">
        <v>-0.50631967614519113</v>
      </c>
      <c r="H139" s="26"/>
      <c r="I139" s="858"/>
      <c r="J139" s="858"/>
      <c r="K139" s="858"/>
      <c r="L139" s="858"/>
      <c r="M139" s="858"/>
      <c r="N139" s="858"/>
      <c r="O139" s="858"/>
      <c r="P139" s="858"/>
      <c r="Q139" s="858"/>
      <c r="R139" s="858"/>
      <c r="S139" s="858"/>
      <c r="T139" s="858"/>
      <c r="U139" s="858"/>
      <c r="V139" s="858"/>
      <c r="W139" s="858"/>
      <c r="X139" s="858"/>
      <c r="Y139" s="858"/>
      <c r="Z139" s="858"/>
      <c r="AA139" s="858"/>
      <c r="AB139" s="858"/>
      <c r="AC139" s="858"/>
      <c r="AD139" s="858"/>
      <c r="AE139" s="858"/>
      <c r="AF139" s="858"/>
      <c r="AG139" s="858"/>
      <c r="AH139" s="858"/>
      <c r="AI139" s="858"/>
      <c r="AJ139" s="858"/>
      <c r="AK139" s="858"/>
      <c r="AL139" s="858"/>
      <c r="AM139" s="858"/>
      <c r="AN139" s="858"/>
      <c r="AO139" s="858"/>
      <c r="AP139" s="858"/>
      <c r="AQ139" s="858"/>
      <c r="AR139" s="858"/>
      <c r="AS139" s="858"/>
      <c r="AT139" s="858"/>
      <c r="AU139" s="858"/>
      <c r="AV139" s="858"/>
      <c r="AW139" s="858"/>
      <c r="AX139" s="858"/>
      <c r="AY139" s="858"/>
      <c r="AZ139" s="858"/>
      <c r="BA139" s="858"/>
      <c r="BB139" s="858"/>
      <c r="BC139" s="858"/>
      <c r="BD139" s="858"/>
      <c r="BE139" s="858"/>
      <c r="BF139" s="858"/>
      <c r="BG139" s="858"/>
      <c r="BH139" s="858"/>
      <c r="BI139" s="858"/>
      <c r="BJ139" s="858"/>
      <c r="BK139" s="858"/>
      <c r="BL139" s="858"/>
      <c r="BM139" s="858"/>
      <c r="BN139" s="858"/>
      <c r="BO139" s="858"/>
      <c r="BP139" s="858"/>
      <c r="BQ139" s="858"/>
      <c r="BR139" s="858"/>
      <c r="BS139" s="858"/>
      <c r="BT139" s="858"/>
      <c r="BU139" s="858"/>
      <c r="BV139" s="858"/>
      <c r="BW139" s="858"/>
      <c r="BX139" s="858"/>
      <c r="BY139" s="858"/>
      <c r="BZ139" s="858"/>
      <c r="CA139" s="858"/>
      <c r="CB139" s="858"/>
      <c r="CC139" s="858"/>
      <c r="CD139" s="858"/>
      <c r="CE139" s="858"/>
      <c r="CF139" s="858"/>
      <c r="CG139" s="858"/>
      <c r="CH139" s="858"/>
      <c r="CI139" s="858"/>
      <c r="CJ139" s="858"/>
      <c r="CK139" s="858"/>
      <c r="CL139" s="858"/>
      <c r="CM139" s="858"/>
      <c r="CN139" s="858"/>
      <c r="CO139" s="858"/>
      <c r="CP139" s="858"/>
      <c r="CQ139" s="858"/>
      <c r="CR139" s="858"/>
      <c r="CS139" s="858"/>
      <c r="CT139" s="858"/>
      <c r="CU139" s="858"/>
      <c r="CV139" s="858"/>
      <c r="CW139" s="858"/>
      <c r="CX139" s="858"/>
      <c r="CY139" s="858"/>
      <c r="CZ139" s="858"/>
      <c r="DA139" s="858"/>
      <c r="DB139" s="858"/>
      <c r="DC139" s="858"/>
      <c r="DD139" s="858"/>
      <c r="DE139" s="858"/>
      <c r="DF139" s="858"/>
      <c r="DG139" s="858"/>
      <c r="DH139" s="858"/>
      <c r="DI139" s="858"/>
      <c r="DJ139" s="858"/>
      <c r="DK139" s="858"/>
      <c r="DL139" s="858"/>
      <c r="DM139" s="858"/>
      <c r="DN139" s="858"/>
      <c r="DO139" s="858"/>
      <c r="DP139" s="858"/>
      <c r="DQ139" s="858"/>
      <c r="DR139" s="858"/>
      <c r="DS139" s="858"/>
      <c r="DT139" s="858"/>
      <c r="DU139" s="858"/>
      <c r="DV139" s="858"/>
      <c r="DW139" s="858"/>
      <c r="DX139" s="858"/>
      <c r="DY139" s="858"/>
      <c r="DZ139" s="858"/>
      <c r="EA139" s="858"/>
      <c r="EB139" s="858"/>
      <c r="EC139" s="858"/>
      <c r="ED139" s="858"/>
      <c r="EE139" s="858"/>
      <c r="EF139" s="858"/>
      <c r="EG139" s="858"/>
      <c r="EH139" s="858"/>
      <c r="EI139" s="858"/>
      <c r="EJ139" s="858"/>
      <c r="EK139" s="858"/>
      <c r="EL139" s="858"/>
      <c r="EM139" s="858"/>
      <c r="EN139" s="858"/>
      <c r="EO139" s="858"/>
      <c r="EP139" s="858"/>
      <c r="EQ139" s="858"/>
      <c r="ER139" s="858"/>
      <c r="ES139" s="858"/>
      <c r="ET139" s="858"/>
      <c r="EU139" s="858"/>
      <c r="EV139" s="858"/>
      <c r="EW139" s="858"/>
      <c r="EX139" s="858"/>
      <c r="EY139" s="858"/>
      <c r="EZ139" s="858"/>
      <c r="FA139" s="858"/>
      <c r="FB139" s="858"/>
      <c r="FC139" s="858"/>
      <c r="FD139" s="858"/>
      <c r="FE139" s="858"/>
      <c r="FF139" s="858"/>
      <c r="FG139" s="858"/>
      <c r="FH139" s="858"/>
      <c r="FI139" s="858"/>
      <c r="FJ139" s="858"/>
      <c r="FK139" s="858"/>
      <c r="FL139" s="858"/>
      <c r="FM139" s="858"/>
      <c r="FN139" s="858"/>
      <c r="FO139" s="858"/>
      <c r="FP139" s="858"/>
      <c r="FQ139" s="858"/>
      <c r="FR139" s="858"/>
      <c r="FS139" s="858"/>
      <c r="FT139" s="858"/>
      <c r="FU139" s="858"/>
      <c r="FV139" s="858"/>
      <c r="FW139" s="858"/>
      <c r="FX139" s="858"/>
      <c r="FY139" s="858"/>
      <c r="FZ139" s="858"/>
      <c r="GA139" s="858"/>
      <c r="GB139" s="858"/>
      <c r="GC139" s="858"/>
      <c r="GD139" s="858"/>
      <c r="GE139" s="858"/>
      <c r="GF139" s="858"/>
      <c r="GG139" s="858"/>
      <c r="GH139" s="858"/>
      <c r="GI139" s="858"/>
      <c r="GJ139" s="858"/>
      <c r="GK139" s="858"/>
      <c r="GL139" s="858"/>
      <c r="GM139" s="858"/>
      <c r="GN139" s="858"/>
      <c r="GO139" s="858"/>
      <c r="GP139" s="858"/>
      <c r="GQ139" s="858"/>
      <c r="GR139" s="858"/>
      <c r="GS139" s="858"/>
      <c r="GT139" s="858"/>
      <c r="GU139" s="858"/>
      <c r="GV139" s="858"/>
      <c r="GW139" s="858"/>
      <c r="GX139" s="858"/>
      <c r="GY139" s="858"/>
      <c r="GZ139" s="858"/>
      <c r="HA139" s="858"/>
      <c r="HB139" s="858"/>
      <c r="HC139" s="858"/>
      <c r="HD139" s="858"/>
      <c r="HE139" s="858"/>
      <c r="HF139" s="858"/>
      <c r="HG139" s="858"/>
      <c r="HH139" s="858"/>
      <c r="HI139" s="858"/>
      <c r="HJ139" s="858"/>
      <c r="HK139" s="858"/>
      <c r="HL139" s="858"/>
      <c r="HM139" s="858"/>
      <c r="HN139" s="858"/>
      <c r="HO139" s="858"/>
      <c r="HP139" s="858"/>
      <c r="HQ139" s="858"/>
      <c r="HR139" s="858"/>
      <c r="HS139" s="858"/>
      <c r="HT139" s="858"/>
      <c r="HU139" s="858"/>
      <c r="HV139" s="858"/>
      <c r="HW139" s="858"/>
      <c r="HX139" s="858"/>
      <c r="HY139" s="858"/>
      <c r="HZ139" s="858"/>
      <c r="IA139" s="858"/>
      <c r="IB139" s="858"/>
      <c r="IC139" s="858"/>
      <c r="ID139" s="858"/>
      <c r="IE139" s="858"/>
      <c r="IF139" s="858"/>
      <c r="IG139" s="858"/>
      <c r="IH139" s="858"/>
      <c r="II139" s="858"/>
      <c r="IJ139" s="858"/>
      <c r="IK139" s="858"/>
      <c r="IL139" s="858"/>
      <c r="IM139" s="858"/>
      <c r="IN139" s="858"/>
    </row>
    <row r="140" spans="1:248">
      <c r="A140" s="564" t="s">
        <v>18</v>
      </c>
      <c r="B140" s="566">
        <v>1751.7</v>
      </c>
      <c r="C140" s="859">
        <f t="shared" ref="C140:C146" si="24">+B140/H140*100</f>
        <v>40.185822436338611</v>
      </c>
      <c r="D140" s="567">
        <v>1726.8</v>
      </c>
      <c r="E140" s="859">
        <f t="shared" ref="E140:E146" si="25">+D140/H140*100</f>
        <v>39.614590502408809</v>
      </c>
      <c r="F140" s="859">
        <f t="shared" ref="F140:F146" si="26">+B140-D140</f>
        <v>24.900000000000091</v>
      </c>
      <c r="G140" s="859">
        <f t="shared" ref="G140:G151" si="27">F140/H140*100</f>
        <v>0.57123193392980254</v>
      </c>
      <c r="H140" s="26">
        <v>4359</v>
      </c>
      <c r="I140" s="858"/>
      <c r="J140" s="858"/>
      <c r="K140" s="858"/>
      <c r="L140" s="858"/>
      <c r="M140" s="858"/>
      <c r="N140" s="858"/>
      <c r="O140" s="858"/>
      <c r="P140" s="858"/>
      <c r="Q140" s="858"/>
      <c r="R140" s="858"/>
      <c r="S140" s="858"/>
      <c r="T140" s="858"/>
      <c r="U140" s="858"/>
      <c r="V140" s="858"/>
      <c r="W140" s="858"/>
      <c r="X140" s="858"/>
      <c r="Y140" s="858"/>
      <c r="Z140" s="858"/>
      <c r="AA140" s="858"/>
      <c r="AB140" s="858"/>
      <c r="AC140" s="858"/>
      <c r="AD140" s="858"/>
      <c r="AE140" s="858"/>
      <c r="AF140" s="858"/>
      <c r="AG140" s="858"/>
      <c r="AH140" s="858"/>
      <c r="AI140" s="858"/>
      <c r="AJ140" s="858"/>
      <c r="AK140" s="858"/>
      <c r="AL140" s="858"/>
      <c r="AM140" s="858"/>
      <c r="AN140" s="858"/>
      <c r="AO140" s="858"/>
      <c r="AP140" s="858"/>
      <c r="AQ140" s="858"/>
      <c r="AR140" s="858"/>
      <c r="AS140" s="858"/>
      <c r="AT140" s="858"/>
      <c r="AU140" s="858"/>
      <c r="AV140" s="858"/>
      <c r="AW140" s="858"/>
      <c r="AX140" s="858"/>
      <c r="AY140" s="858"/>
      <c r="AZ140" s="858"/>
      <c r="BA140" s="858"/>
      <c r="BB140" s="858"/>
      <c r="BC140" s="858"/>
      <c r="BD140" s="858"/>
      <c r="BE140" s="858"/>
      <c r="BF140" s="858"/>
      <c r="BG140" s="858"/>
      <c r="BH140" s="858"/>
      <c r="BI140" s="858"/>
      <c r="BJ140" s="858"/>
      <c r="BK140" s="858"/>
      <c r="BL140" s="858"/>
      <c r="BM140" s="858"/>
      <c r="BN140" s="858"/>
      <c r="BO140" s="858"/>
      <c r="BP140" s="858"/>
      <c r="BQ140" s="858"/>
      <c r="BR140" s="858"/>
      <c r="BS140" s="858"/>
      <c r="BT140" s="858"/>
      <c r="BU140" s="858"/>
      <c r="BV140" s="858"/>
      <c r="BW140" s="858"/>
      <c r="BX140" s="858"/>
      <c r="BY140" s="858"/>
      <c r="BZ140" s="858"/>
      <c r="CA140" s="858"/>
      <c r="CB140" s="858"/>
      <c r="CC140" s="858"/>
      <c r="CD140" s="858"/>
      <c r="CE140" s="858"/>
      <c r="CF140" s="858"/>
      <c r="CG140" s="858"/>
      <c r="CH140" s="858"/>
      <c r="CI140" s="858"/>
      <c r="CJ140" s="858"/>
      <c r="CK140" s="858"/>
      <c r="CL140" s="858"/>
      <c r="CM140" s="858"/>
      <c r="CN140" s="858"/>
      <c r="CO140" s="858"/>
      <c r="CP140" s="858"/>
      <c r="CQ140" s="858"/>
      <c r="CR140" s="858"/>
      <c r="CS140" s="858"/>
      <c r="CT140" s="858"/>
      <c r="CU140" s="858"/>
      <c r="CV140" s="858"/>
      <c r="CW140" s="858"/>
      <c r="CX140" s="858"/>
      <c r="CY140" s="858"/>
      <c r="CZ140" s="858"/>
      <c r="DA140" s="858"/>
      <c r="DB140" s="858"/>
      <c r="DC140" s="858"/>
      <c r="DD140" s="858"/>
      <c r="DE140" s="858"/>
      <c r="DF140" s="858"/>
      <c r="DG140" s="858"/>
      <c r="DH140" s="858"/>
      <c r="DI140" s="858"/>
      <c r="DJ140" s="858"/>
      <c r="DK140" s="858"/>
      <c r="DL140" s="858"/>
      <c r="DM140" s="858"/>
      <c r="DN140" s="858"/>
      <c r="DO140" s="858"/>
      <c r="DP140" s="858"/>
      <c r="DQ140" s="858"/>
      <c r="DR140" s="858"/>
      <c r="DS140" s="858"/>
      <c r="DT140" s="858"/>
      <c r="DU140" s="858"/>
      <c r="DV140" s="858"/>
      <c r="DW140" s="858"/>
      <c r="DX140" s="858"/>
      <c r="DY140" s="858"/>
      <c r="DZ140" s="858"/>
      <c r="EA140" s="858"/>
      <c r="EB140" s="858"/>
      <c r="EC140" s="858"/>
      <c r="ED140" s="858"/>
      <c r="EE140" s="858"/>
      <c r="EF140" s="858"/>
      <c r="EG140" s="858"/>
      <c r="EH140" s="858"/>
      <c r="EI140" s="858"/>
      <c r="EJ140" s="858"/>
      <c r="EK140" s="858"/>
      <c r="EL140" s="858"/>
      <c r="EM140" s="858"/>
      <c r="EN140" s="858"/>
      <c r="EO140" s="858"/>
      <c r="EP140" s="858"/>
      <c r="EQ140" s="858"/>
      <c r="ER140" s="858"/>
      <c r="ES140" s="858"/>
      <c r="ET140" s="858"/>
      <c r="EU140" s="858"/>
      <c r="EV140" s="858"/>
      <c r="EW140" s="858"/>
      <c r="EX140" s="858"/>
      <c r="EY140" s="858"/>
      <c r="EZ140" s="858"/>
      <c r="FA140" s="858"/>
      <c r="FB140" s="858"/>
      <c r="FC140" s="858"/>
      <c r="FD140" s="858"/>
      <c r="FE140" s="858"/>
      <c r="FF140" s="858"/>
      <c r="FG140" s="858"/>
      <c r="FH140" s="858"/>
      <c r="FI140" s="858"/>
      <c r="FJ140" s="858"/>
      <c r="FK140" s="858"/>
      <c r="FL140" s="858"/>
      <c r="FM140" s="858"/>
      <c r="FN140" s="858"/>
      <c r="FO140" s="858"/>
      <c r="FP140" s="858"/>
      <c r="FQ140" s="858"/>
      <c r="FR140" s="858"/>
      <c r="FS140" s="858"/>
      <c r="FT140" s="858"/>
      <c r="FU140" s="858"/>
      <c r="FV140" s="858"/>
      <c r="FW140" s="858"/>
      <c r="FX140" s="858"/>
      <c r="FY140" s="858"/>
      <c r="FZ140" s="858"/>
      <c r="GA140" s="858"/>
      <c r="GB140" s="858"/>
      <c r="GC140" s="858"/>
      <c r="GD140" s="858"/>
      <c r="GE140" s="858"/>
      <c r="GF140" s="858"/>
      <c r="GG140" s="858"/>
      <c r="GH140" s="858"/>
      <c r="GI140" s="858"/>
      <c r="GJ140" s="858"/>
      <c r="GK140" s="858"/>
      <c r="GL140" s="858"/>
      <c r="GM140" s="858"/>
      <c r="GN140" s="858"/>
      <c r="GO140" s="858"/>
      <c r="GP140" s="858"/>
      <c r="GQ140" s="858"/>
      <c r="GR140" s="858"/>
      <c r="GS140" s="858"/>
      <c r="GT140" s="858"/>
      <c r="GU140" s="858"/>
      <c r="GV140" s="858"/>
      <c r="GW140" s="858"/>
      <c r="GX140" s="858"/>
      <c r="GY140" s="858"/>
      <c r="GZ140" s="858"/>
      <c r="HA140" s="858"/>
      <c r="HB140" s="858"/>
      <c r="HC140" s="858"/>
      <c r="HD140" s="858"/>
      <c r="HE140" s="858"/>
      <c r="HF140" s="858"/>
      <c r="HG140" s="858"/>
      <c r="HH140" s="858"/>
      <c r="HI140" s="858"/>
      <c r="HJ140" s="858"/>
      <c r="HK140" s="858"/>
      <c r="HL140" s="858"/>
      <c r="HM140" s="858"/>
      <c r="HN140" s="858"/>
      <c r="HO140" s="858"/>
      <c r="HP140" s="858"/>
      <c r="HQ140" s="858"/>
      <c r="HR140" s="858"/>
      <c r="HS140" s="858"/>
      <c r="HT140" s="858"/>
      <c r="HU140" s="858"/>
      <c r="HV140" s="858"/>
      <c r="HW140" s="858"/>
      <c r="HX140" s="858"/>
      <c r="HY140" s="858"/>
      <c r="HZ140" s="858"/>
      <c r="IA140" s="858"/>
      <c r="IB140" s="858"/>
      <c r="IC140" s="858"/>
      <c r="ID140" s="858"/>
      <c r="IE140" s="858"/>
      <c r="IF140" s="858"/>
      <c r="IG140" s="858"/>
      <c r="IH140" s="858"/>
      <c r="II140" s="858"/>
      <c r="IJ140" s="858"/>
      <c r="IK140" s="858"/>
      <c r="IL140" s="858"/>
      <c r="IM140" s="858"/>
      <c r="IN140" s="858"/>
    </row>
    <row r="141" spans="1:248">
      <c r="A141" s="564" t="s">
        <v>19</v>
      </c>
      <c r="B141" s="566">
        <v>3112.1</v>
      </c>
      <c r="C141" s="859">
        <f t="shared" si="24"/>
        <v>36.775619209680471</v>
      </c>
      <c r="D141" s="567">
        <v>3062.6</v>
      </c>
      <c r="E141" s="859">
        <f t="shared" si="25"/>
        <v>36.190678767252784</v>
      </c>
      <c r="F141" s="859">
        <f t="shared" si="26"/>
        <v>49.5</v>
      </c>
      <c r="G141" s="859">
        <f t="shared" si="27"/>
        <v>0.58494044242768006</v>
      </c>
      <c r="H141" s="26">
        <v>8462.4</v>
      </c>
      <c r="I141" s="858"/>
      <c r="J141" s="858"/>
      <c r="K141" s="858"/>
      <c r="L141" s="858"/>
      <c r="M141" s="858"/>
      <c r="N141" s="858"/>
      <c r="O141" s="858"/>
      <c r="P141" s="858"/>
      <c r="Q141" s="858"/>
      <c r="R141" s="858"/>
      <c r="S141" s="858"/>
      <c r="T141" s="858"/>
      <c r="U141" s="858"/>
      <c r="V141" s="858"/>
      <c r="W141" s="858"/>
      <c r="X141" s="858"/>
      <c r="Y141" s="858"/>
      <c r="Z141" s="858"/>
      <c r="AA141" s="858"/>
      <c r="AB141" s="858"/>
      <c r="AC141" s="858"/>
      <c r="AD141" s="858"/>
      <c r="AE141" s="858"/>
      <c r="AF141" s="858"/>
      <c r="AG141" s="858"/>
      <c r="AH141" s="858"/>
      <c r="AI141" s="858"/>
      <c r="AJ141" s="858"/>
      <c r="AK141" s="858"/>
      <c r="AL141" s="858"/>
      <c r="AM141" s="858"/>
      <c r="AN141" s="858"/>
      <c r="AO141" s="858"/>
      <c r="AP141" s="858"/>
      <c r="AQ141" s="858"/>
      <c r="AR141" s="858"/>
      <c r="AS141" s="858"/>
      <c r="AT141" s="858"/>
      <c r="AU141" s="858"/>
      <c r="AV141" s="858"/>
      <c r="AW141" s="858"/>
      <c r="AX141" s="858"/>
      <c r="AY141" s="858"/>
      <c r="AZ141" s="858"/>
      <c r="BA141" s="858"/>
      <c r="BB141" s="858"/>
      <c r="BC141" s="858"/>
      <c r="BD141" s="858"/>
      <c r="BE141" s="858"/>
      <c r="BF141" s="858"/>
      <c r="BG141" s="858"/>
      <c r="BH141" s="858"/>
      <c r="BI141" s="858"/>
      <c r="BJ141" s="858"/>
      <c r="BK141" s="858"/>
      <c r="BL141" s="858"/>
      <c r="BM141" s="858"/>
      <c r="BN141" s="858"/>
      <c r="BO141" s="858"/>
      <c r="BP141" s="858"/>
      <c r="BQ141" s="858"/>
      <c r="BR141" s="858"/>
      <c r="BS141" s="858"/>
      <c r="BT141" s="858"/>
      <c r="BU141" s="858"/>
      <c r="BV141" s="858"/>
      <c r="BW141" s="858"/>
      <c r="BX141" s="858"/>
      <c r="BY141" s="858"/>
      <c r="BZ141" s="858"/>
      <c r="CA141" s="858"/>
      <c r="CB141" s="858"/>
      <c r="CC141" s="858"/>
      <c r="CD141" s="858"/>
      <c r="CE141" s="858"/>
      <c r="CF141" s="858"/>
      <c r="CG141" s="858"/>
      <c r="CH141" s="858"/>
      <c r="CI141" s="858"/>
      <c r="CJ141" s="858"/>
      <c r="CK141" s="858"/>
      <c r="CL141" s="858"/>
      <c r="CM141" s="858"/>
      <c r="CN141" s="858"/>
      <c r="CO141" s="858"/>
      <c r="CP141" s="858"/>
      <c r="CQ141" s="858"/>
      <c r="CR141" s="858"/>
      <c r="CS141" s="858"/>
      <c r="CT141" s="858"/>
      <c r="CU141" s="858"/>
      <c r="CV141" s="858"/>
      <c r="CW141" s="858"/>
      <c r="CX141" s="858"/>
      <c r="CY141" s="858"/>
      <c r="CZ141" s="858"/>
      <c r="DA141" s="858"/>
      <c r="DB141" s="858"/>
      <c r="DC141" s="858"/>
      <c r="DD141" s="858"/>
      <c r="DE141" s="858"/>
      <c r="DF141" s="858"/>
      <c r="DG141" s="858"/>
      <c r="DH141" s="858"/>
      <c r="DI141" s="858"/>
      <c r="DJ141" s="858"/>
      <c r="DK141" s="858"/>
      <c r="DL141" s="858"/>
      <c r="DM141" s="858"/>
      <c r="DN141" s="858"/>
      <c r="DO141" s="858"/>
      <c r="DP141" s="858"/>
      <c r="DQ141" s="858"/>
      <c r="DR141" s="858"/>
      <c r="DS141" s="858"/>
      <c r="DT141" s="858"/>
      <c r="DU141" s="858"/>
      <c r="DV141" s="858"/>
      <c r="DW141" s="858"/>
      <c r="DX141" s="858"/>
      <c r="DY141" s="858"/>
      <c r="DZ141" s="858"/>
      <c r="EA141" s="858"/>
      <c r="EB141" s="858"/>
      <c r="EC141" s="858"/>
      <c r="ED141" s="858"/>
      <c r="EE141" s="858"/>
      <c r="EF141" s="858"/>
      <c r="EG141" s="858"/>
      <c r="EH141" s="858"/>
      <c r="EI141" s="858"/>
      <c r="EJ141" s="858"/>
      <c r="EK141" s="858"/>
      <c r="EL141" s="858"/>
      <c r="EM141" s="858"/>
      <c r="EN141" s="858"/>
      <c r="EO141" s="858"/>
      <c r="EP141" s="858"/>
      <c r="EQ141" s="858"/>
      <c r="ER141" s="858"/>
      <c r="ES141" s="858"/>
      <c r="ET141" s="858"/>
      <c r="EU141" s="858"/>
      <c r="EV141" s="858"/>
      <c r="EW141" s="858"/>
      <c r="EX141" s="858"/>
      <c r="EY141" s="858"/>
      <c r="EZ141" s="858"/>
      <c r="FA141" s="858"/>
      <c r="FB141" s="858"/>
      <c r="FC141" s="858"/>
      <c r="FD141" s="858"/>
      <c r="FE141" s="858"/>
      <c r="FF141" s="858"/>
      <c r="FG141" s="858"/>
      <c r="FH141" s="858"/>
      <c r="FI141" s="858"/>
      <c r="FJ141" s="858"/>
      <c r="FK141" s="858"/>
      <c r="FL141" s="858"/>
      <c r="FM141" s="858"/>
      <c r="FN141" s="858"/>
      <c r="FO141" s="858"/>
      <c r="FP141" s="858"/>
      <c r="FQ141" s="858"/>
      <c r="FR141" s="858"/>
      <c r="FS141" s="858"/>
      <c r="FT141" s="858"/>
      <c r="FU141" s="858"/>
      <c r="FV141" s="858"/>
      <c r="FW141" s="858"/>
      <c r="FX141" s="858"/>
      <c r="FY141" s="858"/>
      <c r="FZ141" s="858"/>
      <c r="GA141" s="858"/>
      <c r="GB141" s="858"/>
      <c r="GC141" s="858"/>
      <c r="GD141" s="858"/>
      <c r="GE141" s="858"/>
      <c r="GF141" s="858"/>
      <c r="GG141" s="858"/>
      <c r="GH141" s="858"/>
      <c r="GI141" s="858"/>
      <c r="GJ141" s="858"/>
      <c r="GK141" s="858"/>
      <c r="GL141" s="858"/>
      <c r="GM141" s="858"/>
      <c r="GN141" s="858"/>
      <c r="GO141" s="858"/>
      <c r="GP141" s="858"/>
      <c r="GQ141" s="858"/>
      <c r="GR141" s="858"/>
      <c r="GS141" s="858"/>
      <c r="GT141" s="858"/>
      <c r="GU141" s="858"/>
      <c r="GV141" s="858"/>
      <c r="GW141" s="858"/>
      <c r="GX141" s="858"/>
      <c r="GY141" s="858"/>
      <c r="GZ141" s="858"/>
      <c r="HA141" s="858"/>
      <c r="HB141" s="858"/>
      <c r="HC141" s="858"/>
      <c r="HD141" s="858"/>
      <c r="HE141" s="858"/>
      <c r="HF141" s="858"/>
      <c r="HG141" s="858"/>
      <c r="HH141" s="858"/>
      <c r="HI141" s="858"/>
      <c r="HJ141" s="858"/>
      <c r="HK141" s="858"/>
      <c r="HL141" s="858"/>
      <c r="HM141" s="858"/>
      <c r="HN141" s="858"/>
      <c r="HO141" s="858"/>
      <c r="HP141" s="858"/>
      <c r="HQ141" s="858"/>
      <c r="HR141" s="858"/>
      <c r="HS141" s="858"/>
      <c r="HT141" s="858"/>
      <c r="HU141" s="858"/>
      <c r="HV141" s="858"/>
      <c r="HW141" s="858"/>
      <c r="HX141" s="858"/>
      <c r="HY141" s="858"/>
      <c r="HZ141" s="858"/>
      <c r="IA141" s="858"/>
      <c r="IB141" s="858"/>
      <c r="IC141" s="858"/>
      <c r="ID141" s="858"/>
      <c r="IE141" s="858"/>
      <c r="IF141" s="858"/>
      <c r="IG141" s="858"/>
      <c r="IH141" s="858"/>
      <c r="II141" s="858"/>
      <c r="IJ141" s="858"/>
      <c r="IK141" s="858"/>
      <c r="IL141" s="858"/>
      <c r="IM141" s="858"/>
      <c r="IN141" s="858"/>
    </row>
    <row r="142" spans="1:248">
      <c r="A142" s="564" t="s">
        <v>20</v>
      </c>
      <c r="B142" s="566">
        <v>4482.5</v>
      </c>
      <c r="C142" s="859">
        <f t="shared" si="24"/>
        <v>34.085638026873092</v>
      </c>
      <c r="D142" s="567">
        <v>4374.3</v>
      </c>
      <c r="E142" s="859">
        <f t="shared" si="25"/>
        <v>33.262868136296923</v>
      </c>
      <c r="F142" s="859">
        <f t="shared" si="26"/>
        <v>108.19999999999982</v>
      </c>
      <c r="G142" s="859">
        <f t="shared" si="27"/>
        <v>0.82276989057616567</v>
      </c>
      <c r="H142" s="26">
        <v>13150.7</v>
      </c>
      <c r="I142" s="858"/>
      <c r="J142" s="858"/>
      <c r="K142" s="858"/>
      <c r="L142" s="858"/>
      <c r="M142" s="858"/>
      <c r="N142" s="858"/>
      <c r="O142" s="858"/>
      <c r="P142" s="858"/>
      <c r="Q142" s="858"/>
      <c r="R142" s="858"/>
      <c r="S142" s="858"/>
      <c r="T142" s="858"/>
      <c r="U142" s="858"/>
      <c r="V142" s="858"/>
      <c r="W142" s="858"/>
      <c r="X142" s="858"/>
      <c r="Y142" s="858"/>
      <c r="Z142" s="858"/>
      <c r="AA142" s="858"/>
      <c r="AB142" s="858"/>
      <c r="AC142" s="858"/>
      <c r="AD142" s="858"/>
      <c r="AE142" s="858"/>
      <c r="AF142" s="858"/>
      <c r="AG142" s="858"/>
      <c r="AH142" s="858"/>
      <c r="AI142" s="858"/>
      <c r="AJ142" s="858"/>
      <c r="AK142" s="858"/>
      <c r="AL142" s="858"/>
      <c r="AM142" s="858"/>
      <c r="AN142" s="858"/>
      <c r="AO142" s="858"/>
      <c r="AP142" s="858"/>
      <c r="AQ142" s="858"/>
      <c r="AR142" s="858"/>
      <c r="AS142" s="858"/>
      <c r="AT142" s="858"/>
      <c r="AU142" s="858"/>
      <c r="AV142" s="858"/>
      <c r="AW142" s="858"/>
      <c r="AX142" s="858"/>
      <c r="AY142" s="858"/>
      <c r="AZ142" s="858"/>
      <c r="BA142" s="858"/>
      <c r="BB142" s="858"/>
      <c r="BC142" s="858"/>
      <c r="BD142" s="858"/>
      <c r="BE142" s="858"/>
      <c r="BF142" s="858"/>
      <c r="BG142" s="858"/>
      <c r="BH142" s="858"/>
      <c r="BI142" s="858"/>
      <c r="BJ142" s="858"/>
      <c r="BK142" s="858"/>
      <c r="BL142" s="858"/>
      <c r="BM142" s="858"/>
      <c r="BN142" s="858"/>
      <c r="BO142" s="858"/>
      <c r="BP142" s="858"/>
      <c r="BQ142" s="858"/>
      <c r="BR142" s="858"/>
      <c r="BS142" s="858"/>
      <c r="BT142" s="858"/>
      <c r="BU142" s="858"/>
      <c r="BV142" s="858"/>
      <c r="BW142" s="858"/>
      <c r="BX142" s="858"/>
      <c r="BY142" s="858"/>
      <c r="BZ142" s="858"/>
      <c r="CA142" s="858"/>
      <c r="CB142" s="858"/>
      <c r="CC142" s="858"/>
      <c r="CD142" s="858"/>
      <c r="CE142" s="858"/>
      <c r="CF142" s="858"/>
      <c r="CG142" s="858"/>
      <c r="CH142" s="858"/>
      <c r="CI142" s="858"/>
      <c r="CJ142" s="858"/>
      <c r="CK142" s="858"/>
      <c r="CL142" s="858"/>
      <c r="CM142" s="858"/>
      <c r="CN142" s="858"/>
      <c r="CO142" s="858"/>
      <c r="CP142" s="858"/>
      <c r="CQ142" s="858"/>
      <c r="CR142" s="858"/>
      <c r="CS142" s="858"/>
      <c r="CT142" s="858"/>
      <c r="CU142" s="858"/>
      <c r="CV142" s="858"/>
      <c r="CW142" s="858"/>
      <c r="CX142" s="858"/>
      <c r="CY142" s="858"/>
      <c r="CZ142" s="858"/>
      <c r="DA142" s="858"/>
      <c r="DB142" s="858"/>
      <c r="DC142" s="858"/>
      <c r="DD142" s="858"/>
      <c r="DE142" s="858"/>
      <c r="DF142" s="858"/>
      <c r="DG142" s="858"/>
      <c r="DH142" s="858"/>
      <c r="DI142" s="858"/>
      <c r="DJ142" s="858"/>
      <c r="DK142" s="858"/>
      <c r="DL142" s="858"/>
      <c r="DM142" s="858"/>
      <c r="DN142" s="858"/>
      <c r="DO142" s="858"/>
      <c r="DP142" s="858"/>
      <c r="DQ142" s="858"/>
      <c r="DR142" s="858"/>
      <c r="DS142" s="858"/>
      <c r="DT142" s="858"/>
      <c r="DU142" s="858"/>
      <c r="DV142" s="858"/>
      <c r="DW142" s="858"/>
      <c r="DX142" s="858"/>
      <c r="DY142" s="858"/>
      <c r="DZ142" s="858"/>
      <c r="EA142" s="858"/>
      <c r="EB142" s="858"/>
      <c r="EC142" s="858"/>
      <c r="ED142" s="858"/>
      <c r="EE142" s="858"/>
      <c r="EF142" s="858"/>
      <c r="EG142" s="858"/>
      <c r="EH142" s="858"/>
      <c r="EI142" s="858"/>
      <c r="EJ142" s="858"/>
      <c r="EK142" s="858"/>
      <c r="EL142" s="858"/>
      <c r="EM142" s="858"/>
      <c r="EN142" s="858"/>
      <c r="EO142" s="858"/>
      <c r="EP142" s="858"/>
      <c r="EQ142" s="858"/>
      <c r="ER142" s="858"/>
      <c r="ES142" s="858"/>
      <c r="ET142" s="858"/>
      <c r="EU142" s="858"/>
      <c r="EV142" s="858"/>
      <c r="EW142" s="858"/>
      <c r="EX142" s="858"/>
      <c r="EY142" s="858"/>
      <c r="EZ142" s="858"/>
      <c r="FA142" s="858"/>
      <c r="FB142" s="858"/>
      <c r="FC142" s="858"/>
      <c r="FD142" s="858"/>
      <c r="FE142" s="858"/>
      <c r="FF142" s="858"/>
      <c r="FG142" s="858"/>
      <c r="FH142" s="858"/>
      <c r="FI142" s="858"/>
      <c r="FJ142" s="858"/>
      <c r="FK142" s="858"/>
      <c r="FL142" s="858"/>
      <c r="FM142" s="858"/>
      <c r="FN142" s="858"/>
      <c r="FO142" s="858"/>
      <c r="FP142" s="858"/>
      <c r="FQ142" s="858"/>
      <c r="FR142" s="858"/>
      <c r="FS142" s="858"/>
      <c r="FT142" s="858"/>
      <c r="FU142" s="858"/>
      <c r="FV142" s="858"/>
      <c r="FW142" s="858"/>
      <c r="FX142" s="858"/>
      <c r="FY142" s="858"/>
      <c r="FZ142" s="858"/>
      <c r="GA142" s="858"/>
      <c r="GB142" s="858"/>
      <c r="GC142" s="858"/>
      <c r="GD142" s="858"/>
      <c r="GE142" s="858"/>
      <c r="GF142" s="858"/>
      <c r="GG142" s="858"/>
      <c r="GH142" s="858"/>
      <c r="GI142" s="858"/>
      <c r="GJ142" s="858"/>
      <c r="GK142" s="858"/>
      <c r="GL142" s="858"/>
      <c r="GM142" s="858"/>
      <c r="GN142" s="858"/>
      <c r="GO142" s="858"/>
      <c r="GP142" s="858"/>
      <c r="GQ142" s="858"/>
      <c r="GR142" s="858"/>
      <c r="GS142" s="858"/>
      <c r="GT142" s="858"/>
      <c r="GU142" s="858"/>
      <c r="GV142" s="858"/>
      <c r="GW142" s="858"/>
      <c r="GX142" s="858"/>
      <c r="GY142" s="858"/>
      <c r="GZ142" s="858"/>
      <c r="HA142" s="858"/>
      <c r="HB142" s="858"/>
      <c r="HC142" s="858"/>
      <c r="HD142" s="858"/>
      <c r="HE142" s="858"/>
      <c r="HF142" s="858"/>
      <c r="HG142" s="858"/>
      <c r="HH142" s="858"/>
      <c r="HI142" s="858"/>
      <c r="HJ142" s="858"/>
      <c r="HK142" s="858"/>
      <c r="HL142" s="858"/>
      <c r="HM142" s="858"/>
      <c r="HN142" s="858"/>
      <c r="HO142" s="858"/>
      <c r="HP142" s="858"/>
      <c r="HQ142" s="858"/>
      <c r="HR142" s="858"/>
      <c r="HS142" s="858"/>
      <c r="HT142" s="858"/>
      <c r="HU142" s="858"/>
      <c r="HV142" s="858"/>
      <c r="HW142" s="858"/>
      <c r="HX142" s="858"/>
      <c r="HY142" s="858"/>
      <c r="HZ142" s="858"/>
      <c r="IA142" s="858"/>
      <c r="IB142" s="858"/>
      <c r="IC142" s="858"/>
      <c r="ID142" s="858"/>
      <c r="IE142" s="858"/>
      <c r="IF142" s="858"/>
      <c r="IG142" s="858"/>
      <c r="IH142" s="858"/>
      <c r="II142" s="858"/>
      <c r="IJ142" s="858"/>
      <c r="IK142" s="858"/>
      <c r="IL142" s="858"/>
      <c r="IM142" s="858"/>
      <c r="IN142" s="858"/>
    </row>
    <row r="143" spans="1:248">
      <c r="A143" s="564" t="s">
        <v>21</v>
      </c>
      <c r="B143" s="566">
        <v>6471.3</v>
      </c>
      <c r="C143" s="859">
        <f t="shared" si="24"/>
        <v>35.544289614034703</v>
      </c>
      <c r="D143" s="567">
        <v>6068.7</v>
      </c>
      <c r="E143" s="859">
        <f t="shared" si="25"/>
        <v>33.332967159719438</v>
      </c>
      <c r="F143" s="859">
        <f t="shared" si="26"/>
        <v>402.60000000000036</v>
      </c>
      <c r="G143" s="859">
        <f t="shared" si="27"/>
        <v>2.2113224543152668</v>
      </c>
      <c r="H143" s="217">
        <v>18206.3</v>
      </c>
      <c r="I143" s="858"/>
      <c r="J143" s="858"/>
      <c r="K143" s="858"/>
      <c r="L143" s="858"/>
      <c r="M143" s="858"/>
      <c r="N143" s="858"/>
      <c r="O143" s="858"/>
      <c r="P143" s="858"/>
      <c r="Q143" s="858"/>
      <c r="R143" s="858"/>
      <c r="S143" s="858"/>
      <c r="T143" s="858"/>
      <c r="U143" s="858"/>
      <c r="V143" s="858"/>
      <c r="W143" s="858"/>
      <c r="X143" s="858"/>
      <c r="Y143" s="858"/>
      <c r="Z143" s="858"/>
      <c r="AA143" s="858"/>
      <c r="AB143" s="858"/>
      <c r="AC143" s="858"/>
      <c r="AD143" s="858"/>
      <c r="AE143" s="858"/>
      <c r="AF143" s="858"/>
      <c r="AG143" s="858"/>
      <c r="AH143" s="858"/>
      <c r="AI143" s="858"/>
      <c r="AJ143" s="858"/>
      <c r="AK143" s="858"/>
      <c r="AL143" s="858"/>
      <c r="AM143" s="858"/>
      <c r="AN143" s="858"/>
      <c r="AO143" s="858"/>
      <c r="AP143" s="858"/>
      <c r="AQ143" s="858"/>
      <c r="AR143" s="858"/>
      <c r="AS143" s="858"/>
      <c r="AT143" s="858"/>
      <c r="AU143" s="858"/>
      <c r="AV143" s="858"/>
      <c r="AW143" s="858"/>
      <c r="AX143" s="858"/>
      <c r="AY143" s="858"/>
      <c r="AZ143" s="858"/>
      <c r="BA143" s="858"/>
      <c r="BB143" s="858"/>
      <c r="BC143" s="858"/>
      <c r="BD143" s="858"/>
      <c r="BE143" s="858"/>
      <c r="BF143" s="858"/>
      <c r="BG143" s="858"/>
      <c r="BH143" s="858"/>
      <c r="BI143" s="858"/>
      <c r="BJ143" s="858"/>
      <c r="BK143" s="858"/>
      <c r="BL143" s="858"/>
      <c r="BM143" s="858"/>
      <c r="BN143" s="858"/>
      <c r="BO143" s="858"/>
      <c r="BP143" s="858"/>
      <c r="BQ143" s="858"/>
      <c r="BR143" s="858"/>
      <c r="BS143" s="858"/>
      <c r="BT143" s="858"/>
      <c r="BU143" s="858"/>
      <c r="BV143" s="858"/>
      <c r="BW143" s="858"/>
      <c r="BX143" s="858"/>
      <c r="BY143" s="858"/>
      <c r="BZ143" s="858"/>
      <c r="CA143" s="858"/>
      <c r="CB143" s="858"/>
      <c r="CC143" s="858"/>
      <c r="CD143" s="858"/>
      <c r="CE143" s="858"/>
      <c r="CF143" s="858"/>
      <c r="CG143" s="858"/>
      <c r="CH143" s="858"/>
      <c r="CI143" s="858"/>
      <c r="CJ143" s="858"/>
      <c r="CK143" s="858"/>
      <c r="CL143" s="858"/>
      <c r="CM143" s="858"/>
      <c r="CN143" s="858"/>
      <c r="CO143" s="858"/>
      <c r="CP143" s="858"/>
      <c r="CQ143" s="858"/>
      <c r="CR143" s="858"/>
      <c r="CS143" s="858"/>
      <c r="CT143" s="858"/>
      <c r="CU143" s="858"/>
      <c r="CV143" s="858"/>
      <c r="CW143" s="858"/>
      <c r="CX143" s="858"/>
      <c r="CY143" s="858"/>
      <c r="CZ143" s="858"/>
      <c r="DA143" s="858"/>
      <c r="DB143" s="858"/>
      <c r="DC143" s="858"/>
      <c r="DD143" s="858"/>
      <c r="DE143" s="858"/>
      <c r="DF143" s="858"/>
      <c r="DG143" s="858"/>
      <c r="DH143" s="858"/>
      <c r="DI143" s="858"/>
      <c r="DJ143" s="858"/>
      <c r="DK143" s="858"/>
      <c r="DL143" s="858"/>
      <c r="DM143" s="858"/>
      <c r="DN143" s="858"/>
      <c r="DO143" s="858"/>
      <c r="DP143" s="858"/>
      <c r="DQ143" s="858"/>
      <c r="DR143" s="858"/>
      <c r="DS143" s="858"/>
      <c r="DT143" s="858"/>
      <c r="DU143" s="858"/>
      <c r="DV143" s="858"/>
      <c r="DW143" s="858"/>
      <c r="DX143" s="858"/>
      <c r="DY143" s="858"/>
      <c r="DZ143" s="858"/>
      <c r="EA143" s="858"/>
      <c r="EB143" s="858"/>
      <c r="EC143" s="858"/>
      <c r="ED143" s="858"/>
      <c r="EE143" s="858"/>
      <c r="EF143" s="858"/>
      <c r="EG143" s="858"/>
      <c r="EH143" s="858"/>
      <c r="EI143" s="858"/>
      <c r="EJ143" s="858"/>
      <c r="EK143" s="858"/>
      <c r="EL143" s="858"/>
      <c r="EM143" s="858"/>
      <c r="EN143" s="858"/>
      <c r="EO143" s="858"/>
      <c r="EP143" s="858"/>
      <c r="EQ143" s="858"/>
      <c r="ER143" s="858"/>
      <c r="ES143" s="858"/>
      <c r="ET143" s="858"/>
      <c r="EU143" s="858"/>
      <c r="EV143" s="858"/>
      <c r="EW143" s="858"/>
      <c r="EX143" s="858"/>
      <c r="EY143" s="858"/>
      <c r="EZ143" s="858"/>
      <c r="FA143" s="858"/>
      <c r="FB143" s="858"/>
      <c r="FC143" s="858"/>
      <c r="FD143" s="858"/>
      <c r="FE143" s="858"/>
      <c r="FF143" s="858"/>
      <c r="FG143" s="858"/>
      <c r="FH143" s="858"/>
      <c r="FI143" s="858"/>
      <c r="FJ143" s="858"/>
      <c r="FK143" s="858"/>
      <c r="FL143" s="858"/>
      <c r="FM143" s="858"/>
      <c r="FN143" s="858"/>
      <c r="FO143" s="858"/>
      <c r="FP143" s="858"/>
      <c r="FQ143" s="858"/>
      <c r="FR143" s="858"/>
      <c r="FS143" s="858"/>
      <c r="FT143" s="858"/>
      <c r="FU143" s="858"/>
      <c r="FV143" s="858"/>
      <c r="FW143" s="858"/>
      <c r="FX143" s="858"/>
      <c r="FY143" s="858"/>
      <c r="FZ143" s="858"/>
      <c r="GA143" s="858"/>
      <c r="GB143" s="858"/>
      <c r="GC143" s="858"/>
      <c r="GD143" s="858"/>
      <c r="GE143" s="858"/>
      <c r="GF143" s="858"/>
      <c r="GG143" s="858"/>
      <c r="GH143" s="858"/>
      <c r="GI143" s="858"/>
      <c r="GJ143" s="858"/>
      <c r="GK143" s="858"/>
      <c r="GL143" s="858"/>
      <c r="GM143" s="858"/>
      <c r="GN143" s="858"/>
      <c r="GO143" s="858"/>
      <c r="GP143" s="858"/>
      <c r="GQ143" s="858"/>
      <c r="GR143" s="858"/>
      <c r="GS143" s="858"/>
      <c r="GT143" s="858"/>
      <c r="GU143" s="858"/>
      <c r="GV143" s="858"/>
      <c r="GW143" s="858"/>
      <c r="GX143" s="858"/>
      <c r="GY143" s="858"/>
      <c r="GZ143" s="858"/>
      <c r="HA143" s="858"/>
      <c r="HB143" s="858"/>
      <c r="HC143" s="858"/>
      <c r="HD143" s="858"/>
      <c r="HE143" s="858"/>
      <c r="HF143" s="858"/>
      <c r="HG143" s="858"/>
      <c r="HH143" s="858"/>
      <c r="HI143" s="858"/>
      <c r="HJ143" s="858"/>
      <c r="HK143" s="858"/>
      <c r="HL143" s="858"/>
      <c r="HM143" s="858"/>
      <c r="HN143" s="858"/>
      <c r="HO143" s="858"/>
      <c r="HP143" s="858"/>
      <c r="HQ143" s="858"/>
      <c r="HR143" s="858"/>
      <c r="HS143" s="858"/>
      <c r="HT143" s="858"/>
      <c r="HU143" s="858"/>
      <c r="HV143" s="858"/>
      <c r="HW143" s="858"/>
      <c r="HX143" s="858"/>
      <c r="HY143" s="858"/>
      <c r="HZ143" s="858"/>
      <c r="IA143" s="858"/>
      <c r="IB143" s="858"/>
      <c r="IC143" s="858"/>
      <c r="ID143" s="858"/>
      <c r="IE143" s="858"/>
      <c r="IF143" s="858"/>
      <c r="IG143" s="858"/>
      <c r="IH143" s="858"/>
      <c r="II143" s="858"/>
      <c r="IJ143" s="858"/>
      <c r="IK143" s="858"/>
      <c r="IL143" s="858"/>
      <c r="IM143" s="858"/>
      <c r="IN143" s="858"/>
    </row>
    <row r="144" spans="1:248">
      <c r="A144" s="564" t="s">
        <v>22</v>
      </c>
      <c r="B144" s="566">
        <v>8023</v>
      </c>
      <c r="C144" s="859">
        <f t="shared" si="24"/>
        <v>34.220808025660276</v>
      </c>
      <c r="D144" s="567">
        <v>7368.5</v>
      </c>
      <c r="E144" s="859">
        <f t="shared" si="25"/>
        <v>31.429144202552379</v>
      </c>
      <c r="F144" s="859">
        <f t="shared" si="26"/>
        <v>654.5</v>
      </c>
      <c r="G144" s="859">
        <f t="shared" si="27"/>
        <v>2.7916638231078963</v>
      </c>
      <c r="H144" s="218">
        <v>23444.799999999999</v>
      </c>
      <c r="I144" s="858"/>
      <c r="J144" s="858"/>
      <c r="K144" s="858"/>
      <c r="L144" s="858"/>
      <c r="M144" s="858"/>
      <c r="N144" s="858"/>
      <c r="O144" s="858"/>
      <c r="P144" s="858"/>
      <c r="Q144" s="858"/>
      <c r="R144" s="858"/>
      <c r="S144" s="858"/>
      <c r="T144" s="858"/>
      <c r="U144" s="858"/>
      <c r="V144" s="858"/>
      <c r="W144" s="858"/>
      <c r="X144" s="858"/>
      <c r="Y144" s="858"/>
      <c r="Z144" s="858"/>
      <c r="AA144" s="858"/>
      <c r="AB144" s="858"/>
      <c r="AC144" s="858"/>
      <c r="AD144" s="858"/>
      <c r="AE144" s="858"/>
      <c r="AF144" s="858"/>
      <c r="AG144" s="858"/>
      <c r="AH144" s="858"/>
      <c r="AI144" s="858"/>
      <c r="AJ144" s="858"/>
      <c r="AK144" s="858"/>
      <c r="AL144" s="858"/>
      <c r="AM144" s="858"/>
      <c r="AN144" s="858"/>
      <c r="AO144" s="858"/>
      <c r="AP144" s="858"/>
      <c r="AQ144" s="858"/>
      <c r="AR144" s="858"/>
      <c r="AS144" s="858"/>
      <c r="AT144" s="858"/>
      <c r="AU144" s="858"/>
      <c r="AV144" s="858"/>
      <c r="AW144" s="858"/>
      <c r="AX144" s="858"/>
      <c r="AY144" s="858"/>
      <c r="AZ144" s="858"/>
      <c r="BA144" s="858"/>
      <c r="BB144" s="858"/>
      <c r="BC144" s="858"/>
      <c r="BD144" s="858"/>
      <c r="BE144" s="858"/>
      <c r="BF144" s="858"/>
      <c r="BG144" s="858"/>
      <c r="BH144" s="858"/>
      <c r="BI144" s="858"/>
      <c r="BJ144" s="858"/>
      <c r="BK144" s="858"/>
      <c r="BL144" s="858"/>
      <c r="BM144" s="858"/>
      <c r="BN144" s="858"/>
      <c r="BO144" s="858"/>
      <c r="BP144" s="858"/>
      <c r="BQ144" s="858"/>
      <c r="BR144" s="858"/>
      <c r="BS144" s="858"/>
      <c r="BT144" s="858"/>
      <c r="BU144" s="858"/>
      <c r="BV144" s="858"/>
      <c r="BW144" s="858"/>
      <c r="BX144" s="858"/>
      <c r="BY144" s="858"/>
      <c r="BZ144" s="858"/>
      <c r="CA144" s="858"/>
      <c r="CB144" s="858"/>
      <c r="CC144" s="858"/>
      <c r="CD144" s="858"/>
      <c r="CE144" s="858"/>
      <c r="CF144" s="858"/>
      <c r="CG144" s="858"/>
      <c r="CH144" s="858"/>
      <c r="CI144" s="858"/>
      <c r="CJ144" s="858"/>
      <c r="CK144" s="858"/>
      <c r="CL144" s="858"/>
      <c r="CM144" s="858"/>
      <c r="CN144" s="858"/>
      <c r="CO144" s="858"/>
      <c r="CP144" s="858"/>
      <c r="CQ144" s="858"/>
      <c r="CR144" s="858"/>
      <c r="CS144" s="858"/>
      <c r="CT144" s="858"/>
      <c r="CU144" s="858"/>
      <c r="CV144" s="858"/>
      <c r="CW144" s="858"/>
      <c r="CX144" s="858"/>
      <c r="CY144" s="858"/>
      <c r="CZ144" s="858"/>
      <c r="DA144" s="858"/>
      <c r="DB144" s="858"/>
      <c r="DC144" s="858"/>
      <c r="DD144" s="858"/>
      <c r="DE144" s="858"/>
      <c r="DF144" s="858"/>
      <c r="DG144" s="858"/>
      <c r="DH144" s="858"/>
      <c r="DI144" s="858"/>
      <c r="DJ144" s="858"/>
      <c r="DK144" s="858"/>
      <c r="DL144" s="858"/>
      <c r="DM144" s="858"/>
      <c r="DN144" s="858"/>
      <c r="DO144" s="858"/>
      <c r="DP144" s="858"/>
      <c r="DQ144" s="858"/>
      <c r="DR144" s="858"/>
      <c r="DS144" s="858"/>
      <c r="DT144" s="858"/>
      <c r="DU144" s="858"/>
      <c r="DV144" s="858"/>
      <c r="DW144" s="858"/>
      <c r="DX144" s="858"/>
      <c r="DY144" s="858"/>
      <c r="DZ144" s="858"/>
      <c r="EA144" s="858"/>
      <c r="EB144" s="858"/>
      <c r="EC144" s="858"/>
      <c r="ED144" s="858"/>
      <c r="EE144" s="858"/>
      <c r="EF144" s="858"/>
      <c r="EG144" s="858"/>
      <c r="EH144" s="858"/>
      <c r="EI144" s="858"/>
      <c r="EJ144" s="858"/>
      <c r="EK144" s="858"/>
      <c r="EL144" s="858"/>
      <c r="EM144" s="858"/>
      <c r="EN144" s="858"/>
      <c r="EO144" s="858"/>
      <c r="EP144" s="858"/>
      <c r="EQ144" s="858"/>
      <c r="ER144" s="858"/>
      <c r="ES144" s="858"/>
      <c r="ET144" s="858"/>
      <c r="EU144" s="858"/>
      <c r="EV144" s="858"/>
      <c r="EW144" s="858"/>
      <c r="EX144" s="858"/>
      <c r="EY144" s="858"/>
      <c r="EZ144" s="858"/>
      <c r="FA144" s="858"/>
      <c r="FB144" s="858"/>
      <c r="FC144" s="858"/>
      <c r="FD144" s="858"/>
      <c r="FE144" s="858"/>
      <c r="FF144" s="858"/>
      <c r="FG144" s="858"/>
      <c r="FH144" s="858"/>
      <c r="FI144" s="858"/>
      <c r="FJ144" s="858"/>
      <c r="FK144" s="858"/>
      <c r="FL144" s="858"/>
      <c r="FM144" s="858"/>
      <c r="FN144" s="858"/>
      <c r="FO144" s="858"/>
      <c r="FP144" s="858"/>
      <c r="FQ144" s="858"/>
      <c r="FR144" s="858"/>
      <c r="FS144" s="858"/>
      <c r="FT144" s="858"/>
      <c r="FU144" s="858"/>
      <c r="FV144" s="858"/>
      <c r="FW144" s="858"/>
      <c r="FX144" s="858"/>
      <c r="FY144" s="858"/>
      <c r="FZ144" s="858"/>
      <c r="GA144" s="858"/>
      <c r="GB144" s="858"/>
      <c r="GC144" s="858"/>
      <c r="GD144" s="858"/>
      <c r="GE144" s="858"/>
      <c r="GF144" s="858"/>
      <c r="GG144" s="858"/>
      <c r="GH144" s="858"/>
      <c r="GI144" s="858"/>
      <c r="GJ144" s="858"/>
      <c r="GK144" s="858"/>
      <c r="GL144" s="858"/>
      <c r="GM144" s="858"/>
      <c r="GN144" s="858"/>
      <c r="GO144" s="858"/>
      <c r="GP144" s="858"/>
      <c r="GQ144" s="858"/>
      <c r="GR144" s="858"/>
      <c r="GS144" s="858"/>
      <c r="GT144" s="858"/>
      <c r="GU144" s="858"/>
      <c r="GV144" s="858"/>
      <c r="GW144" s="858"/>
      <c r="GX144" s="858"/>
      <c r="GY144" s="858"/>
      <c r="GZ144" s="858"/>
      <c r="HA144" s="858"/>
      <c r="HB144" s="858"/>
      <c r="HC144" s="858"/>
      <c r="HD144" s="858"/>
      <c r="HE144" s="858"/>
      <c r="HF144" s="858"/>
      <c r="HG144" s="858"/>
      <c r="HH144" s="858"/>
      <c r="HI144" s="858"/>
      <c r="HJ144" s="858"/>
      <c r="HK144" s="858"/>
      <c r="HL144" s="858"/>
      <c r="HM144" s="858"/>
      <c r="HN144" s="858"/>
      <c r="HO144" s="858"/>
      <c r="HP144" s="858"/>
      <c r="HQ144" s="858"/>
      <c r="HR144" s="858"/>
      <c r="HS144" s="858"/>
      <c r="HT144" s="858"/>
      <c r="HU144" s="858"/>
      <c r="HV144" s="858"/>
      <c r="HW144" s="858"/>
      <c r="HX144" s="858"/>
      <c r="HY144" s="858"/>
      <c r="HZ144" s="858"/>
      <c r="IA144" s="858"/>
      <c r="IB144" s="858"/>
      <c r="IC144" s="858"/>
      <c r="ID144" s="858"/>
      <c r="IE144" s="858"/>
      <c r="IF144" s="858"/>
      <c r="IG144" s="858"/>
      <c r="IH144" s="858"/>
      <c r="II144" s="858"/>
      <c r="IJ144" s="858"/>
      <c r="IK144" s="858"/>
      <c r="IL144" s="858"/>
      <c r="IM144" s="858"/>
      <c r="IN144" s="858"/>
    </row>
    <row r="145" spans="1:248">
      <c r="A145" s="564" t="s">
        <v>23</v>
      </c>
      <c r="B145" s="566">
        <v>9338.9</v>
      </c>
      <c r="C145" s="859">
        <f t="shared" si="24"/>
        <v>32.491041297011449</v>
      </c>
      <c r="D145" s="567">
        <v>8723.9</v>
      </c>
      <c r="E145" s="859">
        <f t="shared" si="25"/>
        <v>30.351389903628707</v>
      </c>
      <c r="F145" s="859">
        <f t="shared" si="26"/>
        <v>615</v>
      </c>
      <c r="G145" s="859">
        <f t="shared" si="27"/>
        <v>2.1396513933827364</v>
      </c>
      <c r="H145" s="219">
        <v>28743</v>
      </c>
      <c r="I145" s="858"/>
      <c r="J145" s="858"/>
      <c r="K145" s="858"/>
      <c r="L145" s="858"/>
      <c r="M145" s="858"/>
      <c r="N145" s="858"/>
      <c r="O145" s="858"/>
      <c r="P145" s="858"/>
      <c r="Q145" s="858"/>
      <c r="R145" s="858"/>
      <c r="S145" s="858"/>
      <c r="T145" s="858"/>
      <c r="U145" s="858"/>
      <c r="V145" s="858"/>
      <c r="W145" s="858"/>
      <c r="X145" s="858"/>
      <c r="Y145" s="858"/>
      <c r="Z145" s="858"/>
      <c r="AA145" s="858"/>
      <c r="AB145" s="858"/>
      <c r="AC145" s="858"/>
      <c r="AD145" s="858"/>
      <c r="AE145" s="858"/>
      <c r="AF145" s="858"/>
      <c r="AG145" s="858"/>
      <c r="AH145" s="858"/>
      <c r="AI145" s="858"/>
      <c r="AJ145" s="858"/>
      <c r="AK145" s="858"/>
      <c r="AL145" s="858"/>
      <c r="AM145" s="858"/>
      <c r="AN145" s="858"/>
      <c r="AO145" s="858"/>
      <c r="AP145" s="858"/>
      <c r="AQ145" s="858"/>
      <c r="AR145" s="858"/>
      <c r="AS145" s="858"/>
      <c r="AT145" s="858"/>
      <c r="AU145" s="858"/>
      <c r="AV145" s="858"/>
      <c r="AW145" s="858"/>
      <c r="AX145" s="858"/>
      <c r="AY145" s="858"/>
      <c r="AZ145" s="858"/>
      <c r="BA145" s="858"/>
      <c r="BB145" s="858"/>
      <c r="BC145" s="858"/>
      <c r="BD145" s="858"/>
      <c r="BE145" s="858"/>
      <c r="BF145" s="858"/>
      <c r="BG145" s="858"/>
      <c r="BH145" s="858"/>
      <c r="BI145" s="858"/>
      <c r="BJ145" s="858"/>
      <c r="BK145" s="858"/>
      <c r="BL145" s="858"/>
      <c r="BM145" s="858"/>
      <c r="BN145" s="858"/>
      <c r="BO145" s="858"/>
      <c r="BP145" s="858"/>
      <c r="BQ145" s="858"/>
      <c r="BR145" s="858"/>
      <c r="BS145" s="858"/>
      <c r="BT145" s="858"/>
      <c r="BU145" s="858"/>
      <c r="BV145" s="858"/>
      <c r="BW145" s="858"/>
      <c r="BX145" s="858"/>
      <c r="BY145" s="858"/>
      <c r="BZ145" s="858"/>
      <c r="CA145" s="858"/>
      <c r="CB145" s="858"/>
      <c r="CC145" s="858"/>
      <c r="CD145" s="858"/>
      <c r="CE145" s="858"/>
      <c r="CF145" s="858"/>
      <c r="CG145" s="858"/>
      <c r="CH145" s="858"/>
      <c r="CI145" s="858"/>
      <c r="CJ145" s="858"/>
      <c r="CK145" s="858"/>
      <c r="CL145" s="858"/>
      <c r="CM145" s="858"/>
      <c r="CN145" s="858"/>
      <c r="CO145" s="858"/>
      <c r="CP145" s="858"/>
      <c r="CQ145" s="858"/>
      <c r="CR145" s="858"/>
      <c r="CS145" s="858"/>
      <c r="CT145" s="858"/>
      <c r="CU145" s="858"/>
      <c r="CV145" s="858"/>
      <c r="CW145" s="858"/>
      <c r="CX145" s="858"/>
      <c r="CY145" s="858"/>
      <c r="CZ145" s="858"/>
      <c r="DA145" s="858"/>
      <c r="DB145" s="858"/>
      <c r="DC145" s="858"/>
      <c r="DD145" s="858"/>
      <c r="DE145" s="858"/>
      <c r="DF145" s="858"/>
      <c r="DG145" s="858"/>
      <c r="DH145" s="858"/>
      <c r="DI145" s="858"/>
      <c r="DJ145" s="858"/>
      <c r="DK145" s="858"/>
      <c r="DL145" s="858"/>
      <c r="DM145" s="858"/>
      <c r="DN145" s="858"/>
      <c r="DO145" s="858"/>
      <c r="DP145" s="858"/>
      <c r="DQ145" s="858"/>
      <c r="DR145" s="858"/>
      <c r="DS145" s="858"/>
      <c r="DT145" s="858"/>
      <c r="DU145" s="858"/>
      <c r="DV145" s="858"/>
      <c r="DW145" s="858"/>
      <c r="DX145" s="858"/>
      <c r="DY145" s="858"/>
      <c r="DZ145" s="858"/>
      <c r="EA145" s="858"/>
      <c r="EB145" s="858"/>
      <c r="EC145" s="858"/>
      <c r="ED145" s="858"/>
      <c r="EE145" s="858"/>
      <c r="EF145" s="858"/>
      <c r="EG145" s="858"/>
      <c r="EH145" s="858"/>
      <c r="EI145" s="858"/>
      <c r="EJ145" s="858"/>
      <c r="EK145" s="858"/>
      <c r="EL145" s="858"/>
      <c r="EM145" s="858"/>
      <c r="EN145" s="858"/>
      <c r="EO145" s="858"/>
      <c r="EP145" s="858"/>
      <c r="EQ145" s="858"/>
      <c r="ER145" s="858"/>
      <c r="ES145" s="858"/>
      <c r="ET145" s="858"/>
      <c r="EU145" s="858"/>
      <c r="EV145" s="858"/>
      <c r="EW145" s="858"/>
      <c r="EX145" s="858"/>
      <c r="EY145" s="858"/>
      <c r="EZ145" s="858"/>
      <c r="FA145" s="858"/>
      <c r="FB145" s="858"/>
      <c r="FC145" s="858"/>
      <c r="FD145" s="858"/>
      <c r="FE145" s="858"/>
      <c r="FF145" s="858"/>
      <c r="FG145" s="858"/>
      <c r="FH145" s="858"/>
      <c r="FI145" s="858"/>
      <c r="FJ145" s="858"/>
      <c r="FK145" s="858"/>
      <c r="FL145" s="858"/>
      <c r="FM145" s="858"/>
      <c r="FN145" s="858"/>
      <c r="FO145" s="858"/>
      <c r="FP145" s="858"/>
      <c r="FQ145" s="858"/>
      <c r="FR145" s="858"/>
      <c r="FS145" s="858"/>
      <c r="FT145" s="858"/>
      <c r="FU145" s="858"/>
      <c r="FV145" s="858"/>
      <c r="FW145" s="858"/>
      <c r="FX145" s="858"/>
      <c r="FY145" s="858"/>
      <c r="FZ145" s="858"/>
      <c r="GA145" s="858"/>
      <c r="GB145" s="858"/>
      <c r="GC145" s="858"/>
      <c r="GD145" s="858"/>
      <c r="GE145" s="858"/>
      <c r="GF145" s="858"/>
      <c r="GG145" s="858"/>
      <c r="GH145" s="858"/>
      <c r="GI145" s="858"/>
      <c r="GJ145" s="858"/>
      <c r="GK145" s="858"/>
      <c r="GL145" s="858"/>
      <c r="GM145" s="858"/>
      <c r="GN145" s="858"/>
      <c r="GO145" s="858"/>
      <c r="GP145" s="858"/>
      <c r="GQ145" s="858"/>
      <c r="GR145" s="858"/>
      <c r="GS145" s="858"/>
      <c r="GT145" s="858"/>
      <c r="GU145" s="858"/>
      <c r="GV145" s="858"/>
      <c r="GW145" s="858"/>
      <c r="GX145" s="858"/>
      <c r="GY145" s="858"/>
      <c r="GZ145" s="858"/>
      <c r="HA145" s="858"/>
      <c r="HB145" s="858"/>
      <c r="HC145" s="858"/>
      <c r="HD145" s="858"/>
      <c r="HE145" s="858"/>
      <c r="HF145" s="858"/>
      <c r="HG145" s="858"/>
      <c r="HH145" s="858"/>
      <c r="HI145" s="858"/>
      <c r="HJ145" s="858"/>
      <c r="HK145" s="858"/>
      <c r="HL145" s="858"/>
      <c r="HM145" s="858"/>
      <c r="HN145" s="858"/>
      <c r="HO145" s="858"/>
      <c r="HP145" s="858"/>
      <c r="HQ145" s="858"/>
      <c r="HR145" s="858"/>
      <c r="HS145" s="858"/>
      <c r="HT145" s="858"/>
      <c r="HU145" s="858"/>
      <c r="HV145" s="858"/>
      <c r="HW145" s="858"/>
      <c r="HX145" s="858"/>
      <c r="HY145" s="858"/>
      <c r="HZ145" s="858"/>
      <c r="IA145" s="858"/>
      <c r="IB145" s="858"/>
      <c r="IC145" s="858"/>
      <c r="ID145" s="858"/>
      <c r="IE145" s="858"/>
      <c r="IF145" s="858"/>
      <c r="IG145" s="858"/>
      <c r="IH145" s="858"/>
      <c r="II145" s="858"/>
      <c r="IJ145" s="858"/>
      <c r="IK145" s="858"/>
      <c r="IL145" s="858"/>
      <c r="IM145" s="858"/>
      <c r="IN145" s="858"/>
    </row>
    <row r="146" spans="1:248">
      <c r="A146" s="564" t="s">
        <v>24</v>
      </c>
      <c r="B146" s="566">
        <v>11087.2</v>
      </c>
      <c r="C146" s="859">
        <f t="shared" si="24"/>
        <v>32.614399849388732</v>
      </c>
      <c r="D146" s="567">
        <v>10313.200000000001</v>
      </c>
      <c r="E146" s="859">
        <f t="shared" si="25"/>
        <v>30.337581041806395</v>
      </c>
      <c r="F146" s="859">
        <f t="shared" si="26"/>
        <v>774</v>
      </c>
      <c r="G146" s="859">
        <f t="shared" si="27"/>
        <v>2.2768188075823361</v>
      </c>
      <c r="H146" s="219">
        <v>33994.800000000003</v>
      </c>
      <c r="I146" s="858"/>
      <c r="J146" s="858"/>
      <c r="K146" s="858"/>
      <c r="L146" s="858"/>
      <c r="M146" s="858"/>
      <c r="N146" s="858"/>
      <c r="O146" s="858"/>
      <c r="P146" s="858"/>
      <c r="Q146" s="858"/>
      <c r="R146" s="858"/>
      <c r="S146" s="858"/>
      <c r="T146" s="858"/>
      <c r="U146" s="858"/>
      <c r="V146" s="858"/>
      <c r="W146" s="858"/>
      <c r="X146" s="858"/>
      <c r="Y146" s="858"/>
      <c r="Z146" s="858"/>
      <c r="AA146" s="858"/>
      <c r="AB146" s="858"/>
      <c r="AC146" s="858"/>
      <c r="AD146" s="858"/>
      <c r="AE146" s="858"/>
      <c r="AF146" s="858"/>
      <c r="AG146" s="858"/>
      <c r="AH146" s="858"/>
      <c r="AI146" s="858"/>
      <c r="AJ146" s="858"/>
      <c r="AK146" s="858"/>
      <c r="AL146" s="858"/>
      <c r="AM146" s="858"/>
      <c r="AN146" s="858"/>
      <c r="AO146" s="858"/>
      <c r="AP146" s="858"/>
      <c r="AQ146" s="858"/>
      <c r="AR146" s="858"/>
      <c r="AS146" s="858"/>
      <c r="AT146" s="858"/>
      <c r="AU146" s="858"/>
      <c r="AV146" s="858"/>
      <c r="AW146" s="858"/>
      <c r="AX146" s="858"/>
      <c r="AY146" s="858"/>
      <c r="AZ146" s="858"/>
      <c r="BA146" s="858"/>
      <c r="BB146" s="858"/>
      <c r="BC146" s="858"/>
      <c r="BD146" s="858"/>
      <c r="BE146" s="858"/>
      <c r="BF146" s="858"/>
      <c r="BG146" s="858"/>
      <c r="BH146" s="858"/>
      <c r="BI146" s="858"/>
      <c r="BJ146" s="858"/>
      <c r="BK146" s="858"/>
      <c r="BL146" s="858"/>
      <c r="BM146" s="858"/>
      <c r="BN146" s="858"/>
      <c r="BO146" s="858"/>
      <c r="BP146" s="858"/>
      <c r="BQ146" s="858"/>
      <c r="BR146" s="858"/>
      <c r="BS146" s="858"/>
      <c r="BT146" s="858"/>
      <c r="BU146" s="858"/>
      <c r="BV146" s="858"/>
      <c r="BW146" s="858"/>
      <c r="BX146" s="858"/>
      <c r="BY146" s="858"/>
      <c r="BZ146" s="858"/>
      <c r="CA146" s="858"/>
      <c r="CB146" s="858"/>
      <c r="CC146" s="858"/>
      <c r="CD146" s="858"/>
      <c r="CE146" s="858"/>
      <c r="CF146" s="858"/>
      <c r="CG146" s="858"/>
      <c r="CH146" s="858"/>
      <c r="CI146" s="858"/>
      <c r="CJ146" s="858"/>
      <c r="CK146" s="858"/>
      <c r="CL146" s="858"/>
      <c r="CM146" s="858"/>
      <c r="CN146" s="858"/>
      <c r="CO146" s="858"/>
      <c r="CP146" s="858"/>
      <c r="CQ146" s="858"/>
      <c r="CR146" s="858"/>
      <c r="CS146" s="858"/>
      <c r="CT146" s="858"/>
      <c r="CU146" s="858"/>
      <c r="CV146" s="858"/>
      <c r="CW146" s="858"/>
      <c r="CX146" s="858"/>
      <c r="CY146" s="858"/>
      <c r="CZ146" s="858"/>
      <c r="DA146" s="858"/>
      <c r="DB146" s="858"/>
      <c r="DC146" s="858"/>
      <c r="DD146" s="858"/>
      <c r="DE146" s="858"/>
      <c r="DF146" s="858"/>
      <c r="DG146" s="858"/>
      <c r="DH146" s="858"/>
      <c r="DI146" s="858"/>
      <c r="DJ146" s="858"/>
      <c r="DK146" s="858"/>
      <c r="DL146" s="858"/>
      <c r="DM146" s="858"/>
      <c r="DN146" s="858"/>
      <c r="DO146" s="858"/>
      <c r="DP146" s="858"/>
      <c r="DQ146" s="858"/>
      <c r="DR146" s="858"/>
      <c r="DS146" s="858"/>
      <c r="DT146" s="858"/>
      <c r="DU146" s="858"/>
      <c r="DV146" s="858"/>
      <c r="DW146" s="858"/>
      <c r="DX146" s="858"/>
      <c r="DY146" s="858"/>
      <c r="DZ146" s="858"/>
      <c r="EA146" s="858"/>
      <c r="EB146" s="858"/>
      <c r="EC146" s="858"/>
      <c r="ED146" s="858"/>
      <c r="EE146" s="858"/>
      <c r="EF146" s="858"/>
      <c r="EG146" s="858"/>
      <c r="EH146" s="858"/>
      <c r="EI146" s="858"/>
      <c r="EJ146" s="858"/>
      <c r="EK146" s="858"/>
      <c r="EL146" s="858"/>
      <c r="EM146" s="858"/>
      <c r="EN146" s="858"/>
      <c r="EO146" s="858"/>
      <c r="EP146" s="858"/>
      <c r="EQ146" s="858"/>
      <c r="ER146" s="858"/>
      <c r="ES146" s="858"/>
      <c r="ET146" s="858"/>
      <c r="EU146" s="858"/>
      <c r="EV146" s="858"/>
      <c r="EW146" s="858"/>
      <c r="EX146" s="858"/>
      <c r="EY146" s="858"/>
      <c r="EZ146" s="858"/>
      <c r="FA146" s="858"/>
      <c r="FB146" s="858"/>
      <c r="FC146" s="858"/>
      <c r="FD146" s="858"/>
      <c r="FE146" s="858"/>
      <c r="FF146" s="858"/>
      <c r="FG146" s="858"/>
      <c r="FH146" s="858"/>
      <c r="FI146" s="858"/>
      <c r="FJ146" s="858"/>
      <c r="FK146" s="858"/>
      <c r="FL146" s="858"/>
      <c r="FM146" s="858"/>
      <c r="FN146" s="858"/>
      <c r="FO146" s="858"/>
      <c r="FP146" s="858"/>
      <c r="FQ146" s="858"/>
      <c r="FR146" s="858"/>
      <c r="FS146" s="858"/>
      <c r="FT146" s="858"/>
      <c r="FU146" s="858"/>
      <c r="FV146" s="858"/>
      <c r="FW146" s="858"/>
      <c r="FX146" s="858"/>
      <c r="FY146" s="858"/>
      <c r="FZ146" s="858"/>
      <c r="GA146" s="858"/>
      <c r="GB146" s="858"/>
      <c r="GC146" s="858"/>
      <c r="GD146" s="858"/>
      <c r="GE146" s="858"/>
      <c r="GF146" s="858"/>
      <c r="GG146" s="858"/>
      <c r="GH146" s="858"/>
      <c r="GI146" s="858"/>
      <c r="GJ146" s="858"/>
      <c r="GK146" s="858"/>
      <c r="GL146" s="858"/>
      <c r="GM146" s="858"/>
      <c r="GN146" s="858"/>
      <c r="GO146" s="858"/>
      <c r="GP146" s="858"/>
      <c r="GQ146" s="858"/>
      <c r="GR146" s="858"/>
      <c r="GS146" s="858"/>
      <c r="GT146" s="858"/>
      <c r="GU146" s="858"/>
      <c r="GV146" s="858"/>
      <c r="GW146" s="858"/>
      <c r="GX146" s="858"/>
      <c r="GY146" s="858"/>
      <c r="GZ146" s="858"/>
      <c r="HA146" s="858"/>
      <c r="HB146" s="858"/>
      <c r="HC146" s="858"/>
      <c r="HD146" s="858"/>
      <c r="HE146" s="858"/>
      <c r="HF146" s="858"/>
      <c r="HG146" s="858"/>
      <c r="HH146" s="858"/>
      <c r="HI146" s="858"/>
      <c r="HJ146" s="858"/>
      <c r="HK146" s="858"/>
      <c r="HL146" s="858"/>
      <c r="HM146" s="858"/>
      <c r="HN146" s="858"/>
      <c r="HO146" s="858"/>
      <c r="HP146" s="858"/>
      <c r="HQ146" s="858"/>
      <c r="HR146" s="858"/>
      <c r="HS146" s="858"/>
      <c r="HT146" s="858"/>
      <c r="HU146" s="858"/>
      <c r="HV146" s="858"/>
      <c r="HW146" s="858"/>
      <c r="HX146" s="858"/>
      <c r="HY146" s="858"/>
      <c r="HZ146" s="858"/>
      <c r="IA146" s="858"/>
      <c r="IB146" s="858"/>
      <c r="IC146" s="858"/>
      <c r="ID146" s="858"/>
      <c r="IE146" s="858"/>
      <c r="IF146" s="858"/>
      <c r="IG146" s="858"/>
      <c r="IH146" s="858"/>
      <c r="II146" s="858"/>
      <c r="IJ146" s="858"/>
      <c r="IK146" s="858"/>
      <c r="IL146" s="858"/>
      <c r="IM146" s="858"/>
      <c r="IN146" s="858"/>
    </row>
    <row r="147" spans="1:248">
      <c r="A147" s="564" t="s">
        <v>25</v>
      </c>
      <c r="B147" s="566">
        <v>12407.3</v>
      </c>
      <c r="C147" s="859">
        <v>31.674223161678356</v>
      </c>
      <c r="D147" s="567">
        <v>11468.9</v>
      </c>
      <c r="E147" s="859">
        <v>29.278610013377037</v>
      </c>
      <c r="F147" s="859">
        <v>938.39999999999964</v>
      </c>
      <c r="G147" s="859">
        <f t="shared" si="27"/>
        <v>2.3956131483013192</v>
      </c>
      <c r="H147" s="219">
        <v>39171.599999999999</v>
      </c>
      <c r="I147" s="858"/>
      <c r="J147" s="858"/>
      <c r="K147" s="858"/>
      <c r="L147" s="858"/>
      <c r="M147" s="858"/>
      <c r="N147" s="858"/>
      <c r="O147" s="858"/>
      <c r="P147" s="858"/>
      <c r="Q147" s="858"/>
      <c r="R147" s="858"/>
      <c r="S147" s="858"/>
      <c r="T147" s="858"/>
      <c r="U147" s="858"/>
      <c r="V147" s="858"/>
      <c r="W147" s="858"/>
      <c r="X147" s="858"/>
      <c r="Y147" s="858"/>
      <c r="Z147" s="858"/>
      <c r="AA147" s="858"/>
      <c r="AB147" s="858"/>
      <c r="AC147" s="858"/>
      <c r="AD147" s="858"/>
      <c r="AE147" s="858"/>
      <c r="AF147" s="858"/>
      <c r="AG147" s="858"/>
      <c r="AH147" s="858"/>
      <c r="AI147" s="858"/>
      <c r="AJ147" s="858"/>
      <c r="AK147" s="858"/>
      <c r="AL147" s="858"/>
      <c r="AM147" s="858"/>
      <c r="AN147" s="858"/>
      <c r="AO147" s="858"/>
      <c r="AP147" s="858"/>
      <c r="AQ147" s="858"/>
      <c r="AR147" s="858"/>
      <c r="AS147" s="858"/>
      <c r="AT147" s="858"/>
      <c r="AU147" s="858"/>
      <c r="AV147" s="858"/>
      <c r="AW147" s="858"/>
      <c r="AX147" s="858"/>
      <c r="AY147" s="858"/>
      <c r="AZ147" s="858"/>
      <c r="BA147" s="858"/>
      <c r="BB147" s="858"/>
      <c r="BC147" s="858"/>
      <c r="BD147" s="858"/>
      <c r="BE147" s="858"/>
      <c r="BF147" s="858"/>
      <c r="BG147" s="858"/>
      <c r="BH147" s="858"/>
      <c r="BI147" s="858"/>
      <c r="BJ147" s="858"/>
      <c r="BK147" s="858"/>
      <c r="BL147" s="858"/>
      <c r="BM147" s="858"/>
      <c r="BN147" s="858"/>
      <c r="BO147" s="858"/>
      <c r="BP147" s="858"/>
      <c r="BQ147" s="858"/>
      <c r="BR147" s="858"/>
      <c r="BS147" s="858"/>
      <c r="BT147" s="858"/>
      <c r="BU147" s="858"/>
      <c r="BV147" s="858"/>
      <c r="BW147" s="858"/>
      <c r="BX147" s="858"/>
      <c r="BY147" s="858"/>
      <c r="BZ147" s="858"/>
      <c r="CA147" s="858"/>
      <c r="CB147" s="858"/>
      <c r="CC147" s="858"/>
      <c r="CD147" s="858"/>
      <c r="CE147" s="858"/>
      <c r="CF147" s="858"/>
      <c r="CG147" s="858"/>
      <c r="CH147" s="858"/>
      <c r="CI147" s="858"/>
      <c r="CJ147" s="858"/>
      <c r="CK147" s="858"/>
      <c r="CL147" s="858"/>
      <c r="CM147" s="858"/>
      <c r="CN147" s="858"/>
      <c r="CO147" s="858"/>
      <c r="CP147" s="858"/>
      <c r="CQ147" s="858"/>
      <c r="CR147" s="858"/>
      <c r="CS147" s="858"/>
      <c r="CT147" s="858"/>
      <c r="CU147" s="858"/>
      <c r="CV147" s="858"/>
      <c r="CW147" s="858"/>
      <c r="CX147" s="858"/>
      <c r="CY147" s="858"/>
      <c r="CZ147" s="858"/>
      <c r="DA147" s="858"/>
      <c r="DB147" s="858"/>
      <c r="DC147" s="858"/>
      <c r="DD147" s="858"/>
      <c r="DE147" s="858"/>
      <c r="DF147" s="858"/>
      <c r="DG147" s="858"/>
      <c r="DH147" s="858"/>
      <c r="DI147" s="858"/>
      <c r="DJ147" s="858"/>
      <c r="DK147" s="858"/>
      <c r="DL147" s="858"/>
      <c r="DM147" s="858"/>
      <c r="DN147" s="858"/>
      <c r="DO147" s="858"/>
      <c r="DP147" s="858"/>
      <c r="DQ147" s="858"/>
      <c r="DR147" s="858"/>
      <c r="DS147" s="858"/>
      <c r="DT147" s="858"/>
      <c r="DU147" s="858"/>
      <c r="DV147" s="858"/>
      <c r="DW147" s="858"/>
      <c r="DX147" s="858"/>
      <c r="DY147" s="858"/>
      <c r="DZ147" s="858"/>
      <c r="EA147" s="858"/>
      <c r="EB147" s="858"/>
      <c r="EC147" s="858"/>
      <c r="ED147" s="858"/>
      <c r="EE147" s="858"/>
      <c r="EF147" s="858"/>
      <c r="EG147" s="858"/>
      <c r="EH147" s="858"/>
      <c r="EI147" s="858"/>
      <c r="EJ147" s="858"/>
      <c r="EK147" s="858"/>
      <c r="EL147" s="858"/>
      <c r="EM147" s="858"/>
      <c r="EN147" s="858"/>
      <c r="EO147" s="858"/>
      <c r="EP147" s="858"/>
      <c r="EQ147" s="858"/>
      <c r="ER147" s="858"/>
      <c r="ES147" s="858"/>
      <c r="ET147" s="858"/>
      <c r="EU147" s="858"/>
      <c r="EV147" s="858"/>
      <c r="EW147" s="858"/>
      <c r="EX147" s="858"/>
      <c r="EY147" s="858"/>
      <c r="EZ147" s="858"/>
      <c r="FA147" s="858"/>
      <c r="FB147" s="858"/>
      <c r="FC147" s="858"/>
      <c r="FD147" s="858"/>
      <c r="FE147" s="858"/>
      <c r="FF147" s="858"/>
      <c r="FG147" s="858"/>
      <c r="FH147" s="858"/>
      <c r="FI147" s="858"/>
      <c r="FJ147" s="858"/>
      <c r="FK147" s="858"/>
      <c r="FL147" s="858"/>
      <c r="FM147" s="858"/>
      <c r="FN147" s="858"/>
      <c r="FO147" s="858"/>
      <c r="FP147" s="858"/>
      <c r="FQ147" s="858"/>
      <c r="FR147" s="858"/>
      <c r="FS147" s="858"/>
      <c r="FT147" s="858"/>
      <c r="FU147" s="858"/>
      <c r="FV147" s="858"/>
      <c r="FW147" s="858"/>
      <c r="FX147" s="858"/>
      <c r="FY147" s="858"/>
      <c r="FZ147" s="858"/>
      <c r="GA147" s="858"/>
      <c r="GB147" s="858"/>
      <c r="GC147" s="858"/>
      <c r="GD147" s="858"/>
      <c r="GE147" s="858"/>
      <c r="GF147" s="858"/>
      <c r="GG147" s="858"/>
      <c r="GH147" s="858"/>
      <c r="GI147" s="858"/>
      <c r="GJ147" s="858"/>
      <c r="GK147" s="858"/>
      <c r="GL147" s="858"/>
      <c r="GM147" s="858"/>
      <c r="GN147" s="858"/>
      <c r="GO147" s="858"/>
      <c r="GP147" s="858"/>
      <c r="GQ147" s="858"/>
      <c r="GR147" s="858"/>
      <c r="GS147" s="858"/>
      <c r="GT147" s="858"/>
      <c r="GU147" s="858"/>
      <c r="GV147" s="858"/>
      <c r="GW147" s="858"/>
      <c r="GX147" s="858"/>
      <c r="GY147" s="858"/>
      <c r="GZ147" s="858"/>
      <c r="HA147" s="858"/>
      <c r="HB147" s="858"/>
      <c r="HC147" s="858"/>
      <c r="HD147" s="858"/>
      <c r="HE147" s="858"/>
      <c r="HF147" s="858"/>
      <c r="HG147" s="858"/>
      <c r="HH147" s="858"/>
      <c r="HI147" s="858"/>
      <c r="HJ147" s="858"/>
      <c r="HK147" s="858"/>
      <c r="HL147" s="858"/>
      <c r="HM147" s="858"/>
      <c r="HN147" s="858"/>
      <c r="HO147" s="858"/>
      <c r="HP147" s="858"/>
      <c r="HQ147" s="858"/>
      <c r="HR147" s="858"/>
      <c r="HS147" s="858"/>
      <c r="HT147" s="858"/>
      <c r="HU147" s="858"/>
      <c r="HV147" s="858"/>
      <c r="HW147" s="858"/>
      <c r="HX147" s="858"/>
      <c r="HY147" s="858"/>
      <c r="HZ147" s="858"/>
      <c r="IA147" s="858"/>
      <c r="IB147" s="858"/>
      <c r="IC147" s="858"/>
      <c r="ID147" s="858"/>
      <c r="IE147" s="858"/>
      <c r="IF147" s="858"/>
      <c r="IG147" s="858"/>
      <c r="IH147" s="858"/>
      <c r="II147" s="858"/>
      <c r="IJ147" s="858"/>
      <c r="IK147" s="858"/>
      <c r="IL147" s="858"/>
      <c r="IM147" s="858"/>
      <c r="IN147" s="858"/>
    </row>
    <row r="148" spans="1:248">
      <c r="A148" s="564" t="s">
        <v>26</v>
      </c>
      <c r="B148" s="566">
        <v>14070.6</v>
      </c>
      <c r="C148" s="859">
        <v>31.873309563397317</v>
      </c>
      <c r="D148" s="567">
        <v>12693.5</v>
      </c>
      <c r="E148" s="859">
        <v>28.753845247749481</v>
      </c>
      <c r="F148" s="859">
        <v>1377.1000000000004</v>
      </c>
      <c r="G148" s="859">
        <f t="shared" si="27"/>
        <v>3.1194643156478374</v>
      </c>
      <c r="H148" s="219">
        <v>44145.4</v>
      </c>
      <c r="I148" s="858"/>
      <c r="J148" s="858"/>
      <c r="K148" s="858"/>
      <c r="L148" s="858"/>
      <c r="M148" s="858"/>
      <c r="N148" s="858"/>
      <c r="O148" s="858"/>
      <c r="P148" s="858"/>
      <c r="Q148" s="858"/>
      <c r="R148" s="858"/>
      <c r="S148" s="858"/>
      <c r="T148" s="858"/>
      <c r="U148" s="858"/>
      <c r="V148" s="858"/>
      <c r="W148" s="858"/>
      <c r="X148" s="858"/>
      <c r="Y148" s="858"/>
      <c r="Z148" s="858"/>
      <c r="AA148" s="858"/>
      <c r="AB148" s="858"/>
      <c r="AC148" s="858"/>
      <c r="AD148" s="858"/>
      <c r="AE148" s="858"/>
      <c r="AF148" s="858"/>
      <c r="AG148" s="858"/>
      <c r="AH148" s="858"/>
      <c r="AI148" s="858"/>
      <c r="AJ148" s="858"/>
      <c r="AK148" s="858"/>
      <c r="AL148" s="858"/>
      <c r="AM148" s="858"/>
      <c r="AN148" s="858"/>
      <c r="AO148" s="858"/>
      <c r="AP148" s="858"/>
      <c r="AQ148" s="858"/>
      <c r="AR148" s="858"/>
      <c r="AS148" s="858"/>
      <c r="AT148" s="858"/>
      <c r="AU148" s="858"/>
      <c r="AV148" s="858"/>
      <c r="AW148" s="858"/>
      <c r="AX148" s="858"/>
      <c r="AY148" s="858"/>
      <c r="AZ148" s="858"/>
      <c r="BA148" s="858"/>
      <c r="BB148" s="858"/>
      <c r="BC148" s="858"/>
      <c r="BD148" s="858"/>
      <c r="BE148" s="858"/>
      <c r="BF148" s="858"/>
      <c r="BG148" s="858"/>
      <c r="BH148" s="858"/>
      <c r="BI148" s="858"/>
      <c r="BJ148" s="858"/>
      <c r="BK148" s="858"/>
      <c r="BL148" s="858"/>
      <c r="BM148" s="858"/>
      <c r="BN148" s="858"/>
      <c r="BO148" s="858"/>
      <c r="BP148" s="858"/>
      <c r="BQ148" s="858"/>
      <c r="BR148" s="858"/>
      <c r="BS148" s="858"/>
      <c r="BT148" s="858"/>
      <c r="BU148" s="858"/>
      <c r="BV148" s="858"/>
      <c r="BW148" s="858"/>
      <c r="BX148" s="858"/>
      <c r="BY148" s="858"/>
      <c r="BZ148" s="858"/>
      <c r="CA148" s="858"/>
      <c r="CB148" s="858"/>
      <c r="CC148" s="858"/>
      <c r="CD148" s="858"/>
      <c r="CE148" s="858"/>
      <c r="CF148" s="858"/>
      <c r="CG148" s="858"/>
      <c r="CH148" s="858"/>
      <c r="CI148" s="858"/>
      <c r="CJ148" s="858"/>
      <c r="CK148" s="858"/>
      <c r="CL148" s="858"/>
      <c r="CM148" s="858"/>
      <c r="CN148" s="858"/>
      <c r="CO148" s="858"/>
      <c r="CP148" s="858"/>
      <c r="CQ148" s="858"/>
      <c r="CR148" s="858"/>
      <c r="CS148" s="858"/>
      <c r="CT148" s="858"/>
      <c r="CU148" s="858"/>
      <c r="CV148" s="858"/>
      <c r="CW148" s="858"/>
      <c r="CX148" s="858"/>
      <c r="CY148" s="858"/>
      <c r="CZ148" s="858"/>
      <c r="DA148" s="858"/>
      <c r="DB148" s="858"/>
      <c r="DC148" s="858"/>
      <c r="DD148" s="858"/>
      <c r="DE148" s="858"/>
      <c r="DF148" s="858"/>
      <c r="DG148" s="858"/>
      <c r="DH148" s="858"/>
      <c r="DI148" s="858"/>
      <c r="DJ148" s="858"/>
      <c r="DK148" s="858"/>
      <c r="DL148" s="858"/>
      <c r="DM148" s="858"/>
      <c r="DN148" s="858"/>
      <c r="DO148" s="858"/>
      <c r="DP148" s="858"/>
      <c r="DQ148" s="858"/>
      <c r="DR148" s="858"/>
      <c r="DS148" s="858"/>
      <c r="DT148" s="858"/>
      <c r="DU148" s="858"/>
      <c r="DV148" s="858"/>
      <c r="DW148" s="858"/>
      <c r="DX148" s="858"/>
      <c r="DY148" s="858"/>
      <c r="DZ148" s="858"/>
      <c r="EA148" s="858"/>
      <c r="EB148" s="858"/>
      <c r="EC148" s="858"/>
      <c r="ED148" s="858"/>
      <c r="EE148" s="858"/>
      <c r="EF148" s="858"/>
      <c r="EG148" s="858"/>
      <c r="EH148" s="858"/>
      <c r="EI148" s="858"/>
      <c r="EJ148" s="858"/>
      <c r="EK148" s="858"/>
      <c r="EL148" s="858"/>
      <c r="EM148" s="858"/>
      <c r="EN148" s="858"/>
      <c r="EO148" s="858"/>
      <c r="EP148" s="858"/>
      <c r="EQ148" s="858"/>
      <c r="ER148" s="858"/>
      <c r="ES148" s="858"/>
      <c r="ET148" s="858"/>
      <c r="EU148" s="858"/>
      <c r="EV148" s="858"/>
      <c r="EW148" s="858"/>
      <c r="EX148" s="858"/>
      <c r="EY148" s="858"/>
      <c r="EZ148" s="858"/>
      <c r="FA148" s="858"/>
      <c r="FB148" s="858"/>
      <c r="FC148" s="858"/>
      <c r="FD148" s="858"/>
      <c r="FE148" s="858"/>
      <c r="FF148" s="858"/>
      <c r="FG148" s="858"/>
      <c r="FH148" s="858"/>
      <c r="FI148" s="858"/>
      <c r="FJ148" s="858"/>
      <c r="FK148" s="858"/>
      <c r="FL148" s="858"/>
      <c r="FM148" s="858"/>
      <c r="FN148" s="858"/>
      <c r="FO148" s="858"/>
      <c r="FP148" s="858"/>
      <c r="FQ148" s="858"/>
      <c r="FR148" s="858"/>
      <c r="FS148" s="858"/>
      <c r="FT148" s="858"/>
      <c r="FU148" s="858"/>
      <c r="FV148" s="858"/>
      <c r="FW148" s="858"/>
      <c r="FX148" s="858"/>
      <c r="FY148" s="858"/>
      <c r="FZ148" s="858"/>
      <c r="GA148" s="858"/>
      <c r="GB148" s="858"/>
      <c r="GC148" s="858"/>
      <c r="GD148" s="858"/>
      <c r="GE148" s="858"/>
      <c r="GF148" s="858"/>
      <c r="GG148" s="858"/>
      <c r="GH148" s="858"/>
      <c r="GI148" s="858"/>
      <c r="GJ148" s="858"/>
      <c r="GK148" s="858"/>
      <c r="GL148" s="858"/>
      <c r="GM148" s="858"/>
      <c r="GN148" s="858"/>
      <c r="GO148" s="858"/>
      <c r="GP148" s="858"/>
      <c r="GQ148" s="858"/>
      <c r="GR148" s="858"/>
      <c r="GS148" s="858"/>
      <c r="GT148" s="858"/>
      <c r="GU148" s="858"/>
      <c r="GV148" s="858"/>
      <c r="GW148" s="858"/>
      <c r="GX148" s="858"/>
      <c r="GY148" s="858"/>
      <c r="GZ148" s="858"/>
      <c r="HA148" s="858"/>
      <c r="HB148" s="858"/>
      <c r="HC148" s="858"/>
      <c r="HD148" s="858"/>
      <c r="HE148" s="858"/>
      <c r="HF148" s="858"/>
      <c r="HG148" s="858"/>
      <c r="HH148" s="858"/>
      <c r="HI148" s="858"/>
      <c r="HJ148" s="858"/>
      <c r="HK148" s="858"/>
      <c r="HL148" s="858"/>
      <c r="HM148" s="858"/>
      <c r="HN148" s="858"/>
      <c r="HO148" s="858"/>
      <c r="HP148" s="858"/>
      <c r="HQ148" s="858"/>
      <c r="HR148" s="858"/>
      <c r="HS148" s="858"/>
      <c r="HT148" s="858"/>
      <c r="HU148" s="858"/>
      <c r="HV148" s="858"/>
      <c r="HW148" s="858"/>
      <c r="HX148" s="858"/>
      <c r="HY148" s="858"/>
      <c r="HZ148" s="858"/>
      <c r="IA148" s="858"/>
      <c r="IB148" s="858"/>
      <c r="IC148" s="858"/>
      <c r="ID148" s="858"/>
      <c r="IE148" s="858"/>
      <c r="IF148" s="858"/>
      <c r="IG148" s="858"/>
      <c r="IH148" s="858"/>
      <c r="II148" s="858"/>
      <c r="IJ148" s="858"/>
      <c r="IK148" s="858"/>
      <c r="IL148" s="858"/>
      <c r="IM148" s="858"/>
      <c r="IN148" s="858"/>
    </row>
    <row r="149" spans="1:248">
      <c r="A149" s="564" t="s">
        <v>27</v>
      </c>
      <c r="B149" s="566">
        <v>15786.7</v>
      </c>
      <c r="C149" s="859">
        <v>32.253195517742952</v>
      </c>
      <c r="D149" s="567">
        <v>13860.8</v>
      </c>
      <c r="E149" s="859">
        <v>28.157935366438331</v>
      </c>
      <c r="F149" s="859">
        <v>1925.9000000000015</v>
      </c>
      <c r="G149" s="859">
        <f t="shared" si="27"/>
        <v>3.9124269683007924</v>
      </c>
      <c r="H149" s="222">
        <v>49225.2</v>
      </c>
      <c r="I149" s="858"/>
      <c r="J149" s="858"/>
      <c r="K149" s="858"/>
      <c r="L149" s="858"/>
      <c r="M149" s="858"/>
      <c r="N149" s="858"/>
      <c r="O149" s="858"/>
      <c r="P149" s="858"/>
      <c r="Q149" s="858"/>
      <c r="R149" s="858"/>
      <c r="S149" s="858"/>
      <c r="T149" s="858"/>
      <c r="U149" s="858"/>
      <c r="V149" s="858"/>
      <c r="W149" s="858"/>
      <c r="X149" s="858"/>
      <c r="Y149" s="858"/>
      <c r="Z149" s="858"/>
      <c r="AA149" s="858"/>
      <c r="AB149" s="858"/>
      <c r="AC149" s="858"/>
      <c r="AD149" s="858"/>
      <c r="AE149" s="858"/>
      <c r="AF149" s="858"/>
      <c r="AG149" s="858"/>
      <c r="AH149" s="858"/>
      <c r="AI149" s="858"/>
      <c r="AJ149" s="858"/>
      <c r="AK149" s="858"/>
      <c r="AL149" s="858"/>
      <c r="AM149" s="858"/>
      <c r="AN149" s="858"/>
      <c r="AO149" s="858"/>
      <c r="AP149" s="858"/>
      <c r="AQ149" s="858"/>
      <c r="AR149" s="858"/>
      <c r="AS149" s="858"/>
      <c r="AT149" s="858"/>
      <c r="AU149" s="858"/>
      <c r="AV149" s="858"/>
      <c r="AW149" s="858"/>
      <c r="AX149" s="858"/>
      <c r="AY149" s="858"/>
      <c r="AZ149" s="858"/>
      <c r="BA149" s="858"/>
      <c r="BB149" s="858"/>
      <c r="BC149" s="858"/>
      <c r="BD149" s="858"/>
      <c r="BE149" s="858"/>
      <c r="BF149" s="858"/>
      <c r="BG149" s="858"/>
      <c r="BH149" s="858"/>
      <c r="BI149" s="858"/>
      <c r="BJ149" s="858"/>
      <c r="BK149" s="858"/>
      <c r="BL149" s="858"/>
      <c r="BM149" s="858"/>
      <c r="BN149" s="858"/>
      <c r="BO149" s="858"/>
      <c r="BP149" s="858"/>
      <c r="BQ149" s="858"/>
      <c r="BR149" s="858"/>
      <c r="BS149" s="858"/>
      <c r="BT149" s="858"/>
      <c r="BU149" s="858"/>
      <c r="BV149" s="858"/>
      <c r="BW149" s="858"/>
      <c r="BX149" s="858"/>
      <c r="BY149" s="858"/>
      <c r="BZ149" s="858"/>
      <c r="CA149" s="858"/>
      <c r="CB149" s="858"/>
      <c r="CC149" s="858"/>
      <c r="CD149" s="858"/>
      <c r="CE149" s="858"/>
      <c r="CF149" s="858"/>
      <c r="CG149" s="858"/>
      <c r="CH149" s="858"/>
      <c r="CI149" s="858"/>
      <c r="CJ149" s="858"/>
      <c r="CK149" s="858"/>
      <c r="CL149" s="858"/>
      <c r="CM149" s="858"/>
      <c r="CN149" s="858"/>
      <c r="CO149" s="858"/>
      <c r="CP149" s="858"/>
      <c r="CQ149" s="858"/>
      <c r="CR149" s="858"/>
      <c r="CS149" s="858"/>
      <c r="CT149" s="858"/>
      <c r="CU149" s="858"/>
      <c r="CV149" s="858"/>
      <c r="CW149" s="858"/>
      <c r="CX149" s="858"/>
      <c r="CY149" s="858"/>
      <c r="CZ149" s="858"/>
      <c r="DA149" s="858"/>
      <c r="DB149" s="858"/>
      <c r="DC149" s="858"/>
      <c r="DD149" s="858"/>
      <c r="DE149" s="858"/>
      <c r="DF149" s="858"/>
      <c r="DG149" s="858"/>
      <c r="DH149" s="858"/>
      <c r="DI149" s="858"/>
      <c r="DJ149" s="858"/>
      <c r="DK149" s="858"/>
      <c r="DL149" s="858"/>
      <c r="DM149" s="858"/>
      <c r="DN149" s="858"/>
      <c r="DO149" s="858"/>
      <c r="DP149" s="858"/>
      <c r="DQ149" s="858"/>
      <c r="DR149" s="858"/>
      <c r="DS149" s="858"/>
      <c r="DT149" s="858"/>
      <c r="DU149" s="858"/>
      <c r="DV149" s="858"/>
      <c r="DW149" s="858"/>
      <c r="DX149" s="858"/>
      <c r="DY149" s="858"/>
      <c r="DZ149" s="858"/>
      <c r="EA149" s="858"/>
      <c r="EB149" s="858"/>
      <c r="EC149" s="858"/>
      <c r="ED149" s="858"/>
      <c r="EE149" s="858"/>
      <c r="EF149" s="858"/>
      <c r="EG149" s="858"/>
      <c r="EH149" s="858"/>
      <c r="EI149" s="858"/>
      <c r="EJ149" s="858"/>
      <c r="EK149" s="858"/>
      <c r="EL149" s="858"/>
      <c r="EM149" s="858"/>
      <c r="EN149" s="858"/>
      <c r="EO149" s="858"/>
      <c r="EP149" s="858"/>
      <c r="EQ149" s="858"/>
      <c r="ER149" s="858"/>
      <c r="ES149" s="858"/>
      <c r="ET149" s="858"/>
      <c r="EU149" s="858"/>
      <c r="EV149" s="858"/>
      <c r="EW149" s="858"/>
      <c r="EX149" s="858"/>
      <c r="EY149" s="858"/>
      <c r="EZ149" s="858"/>
      <c r="FA149" s="858"/>
      <c r="FB149" s="858"/>
      <c r="FC149" s="858"/>
      <c r="FD149" s="858"/>
      <c r="FE149" s="858"/>
      <c r="FF149" s="858"/>
      <c r="FG149" s="858"/>
      <c r="FH149" s="858"/>
      <c r="FI149" s="858"/>
      <c r="FJ149" s="858"/>
      <c r="FK149" s="858"/>
      <c r="FL149" s="858"/>
      <c r="FM149" s="858"/>
      <c r="FN149" s="858"/>
      <c r="FO149" s="858"/>
      <c r="FP149" s="858"/>
      <c r="FQ149" s="858"/>
      <c r="FR149" s="858"/>
      <c r="FS149" s="858"/>
      <c r="FT149" s="858"/>
      <c r="FU149" s="858"/>
      <c r="FV149" s="858"/>
      <c r="FW149" s="858"/>
      <c r="FX149" s="858"/>
      <c r="FY149" s="858"/>
      <c r="FZ149" s="858"/>
      <c r="GA149" s="858"/>
      <c r="GB149" s="858"/>
      <c r="GC149" s="858"/>
      <c r="GD149" s="858"/>
      <c r="GE149" s="858"/>
      <c r="GF149" s="858"/>
      <c r="GG149" s="858"/>
      <c r="GH149" s="858"/>
      <c r="GI149" s="858"/>
      <c r="GJ149" s="858"/>
      <c r="GK149" s="858"/>
      <c r="GL149" s="858"/>
      <c r="GM149" s="858"/>
      <c r="GN149" s="858"/>
      <c r="GO149" s="858"/>
      <c r="GP149" s="858"/>
      <c r="GQ149" s="858"/>
      <c r="GR149" s="858"/>
      <c r="GS149" s="858"/>
      <c r="GT149" s="858"/>
      <c r="GU149" s="858"/>
      <c r="GV149" s="858"/>
      <c r="GW149" s="858"/>
      <c r="GX149" s="858"/>
      <c r="GY149" s="858"/>
      <c r="GZ149" s="858"/>
      <c r="HA149" s="858"/>
      <c r="HB149" s="858"/>
      <c r="HC149" s="858"/>
      <c r="HD149" s="858"/>
      <c r="HE149" s="858"/>
      <c r="HF149" s="858"/>
      <c r="HG149" s="858"/>
      <c r="HH149" s="858"/>
      <c r="HI149" s="858"/>
      <c r="HJ149" s="858"/>
      <c r="HK149" s="858"/>
      <c r="HL149" s="858"/>
      <c r="HM149" s="858"/>
      <c r="HN149" s="858"/>
      <c r="HO149" s="858"/>
      <c r="HP149" s="858"/>
      <c r="HQ149" s="858"/>
      <c r="HR149" s="858"/>
      <c r="HS149" s="858"/>
      <c r="HT149" s="858"/>
      <c r="HU149" s="858"/>
      <c r="HV149" s="858"/>
      <c r="HW149" s="858"/>
      <c r="HX149" s="858"/>
      <c r="HY149" s="858"/>
      <c r="HZ149" s="858"/>
      <c r="IA149" s="858"/>
      <c r="IB149" s="858"/>
      <c r="IC149" s="858"/>
      <c r="ID149" s="858"/>
      <c r="IE149" s="858"/>
      <c r="IF149" s="858"/>
      <c r="IG149" s="858"/>
      <c r="IH149" s="858"/>
      <c r="II149" s="858"/>
      <c r="IJ149" s="858"/>
      <c r="IK149" s="858"/>
      <c r="IL149" s="858"/>
      <c r="IM149" s="858"/>
      <c r="IN149" s="858"/>
    </row>
    <row r="150" spans="1:248">
      <c r="A150" s="564" t="s">
        <v>28</v>
      </c>
      <c r="B150" s="566">
        <v>17168.900000000001</v>
      </c>
      <c r="C150" s="859">
        <f>15876.7/53743.6*100</f>
        <v>29.541564018785493</v>
      </c>
      <c r="D150" s="567">
        <v>15096.9</v>
      </c>
      <c r="E150" s="859">
        <f>D150/53743.6*100</f>
        <v>28.0906005552289</v>
      </c>
      <c r="F150" s="859">
        <f>+B150-D150</f>
        <v>2072.0000000000018</v>
      </c>
      <c r="G150" s="859">
        <f t="shared" si="27"/>
        <v>3.8553427756979475</v>
      </c>
      <c r="H150" s="27">
        <v>53743.6</v>
      </c>
      <c r="I150" s="858"/>
      <c r="J150" s="858"/>
      <c r="K150" s="858"/>
      <c r="L150" s="858"/>
      <c r="M150" s="858"/>
      <c r="N150" s="858"/>
      <c r="O150" s="858"/>
      <c r="P150" s="858"/>
      <c r="Q150" s="858"/>
      <c r="R150" s="858"/>
      <c r="S150" s="858"/>
      <c r="T150" s="858"/>
      <c r="U150" s="858"/>
      <c r="V150" s="858"/>
      <c r="W150" s="858"/>
      <c r="X150" s="858"/>
      <c r="Y150" s="858"/>
      <c r="Z150" s="858"/>
      <c r="AA150" s="858"/>
      <c r="AB150" s="858"/>
      <c r="AC150" s="858"/>
      <c r="AD150" s="858"/>
      <c r="AE150" s="858"/>
      <c r="AF150" s="858"/>
      <c r="AG150" s="858"/>
      <c r="AH150" s="858"/>
      <c r="AI150" s="858"/>
      <c r="AJ150" s="858"/>
      <c r="AK150" s="858"/>
      <c r="AL150" s="858"/>
      <c r="AM150" s="858"/>
      <c r="AN150" s="858"/>
      <c r="AO150" s="858"/>
      <c r="AP150" s="858"/>
      <c r="AQ150" s="858"/>
      <c r="AR150" s="858"/>
      <c r="AS150" s="858"/>
      <c r="AT150" s="858"/>
      <c r="AU150" s="858"/>
      <c r="AV150" s="858"/>
      <c r="AW150" s="858"/>
      <c r="AX150" s="858"/>
      <c r="AY150" s="858"/>
      <c r="AZ150" s="858"/>
      <c r="BA150" s="858"/>
      <c r="BB150" s="858"/>
      <c r="BC150" s="858"/>
      <c r="BD150" s="858"/>
      <c r="BE150" s="858"/>
      <c r="BF150" s="858"/>
      <c r="BG150" s="858"/>
      <c r="BH150" s="858"/>
      <c r="BI150" s="858"/>
      <c r="BJ150" s="858"/>
      <c r="BK150" s="858"/>
      <c r="BL150" s="858"/>
      <c r="BM150" s="858"/>
      <c r="BN150" s="858"/>
      <c r="BO150" s="858"/>
      <c r="BP150" s="858"/>
      <c r="BQ150" s="858"/>
      <c r="BR150" s="858"/>
      <c r="BS150" s="858"/>
      <c r="BT150" s="858"/>
      <c r="BU150" s="858"/>
      <c r="BV150" s="858"/>
      <c r="BW150" s="858"/>
      <c r="BX150" s="858"/>
      <c r="BY150" s="858"/>
      <c r="BZ150" s="858"/>
      <c r="CA150" s="858"/>
      <c r="CB150" s="858"/>
      <c r="CC150" s="858"/>
      <c r="CD150" s="858"/>
      <c r="CE150" s="858"/>
      <c r="CF150" s="858"/>
      <c r="CG150" s="858"/>
      <c r="CH150" s="858"/>
      <c r="CI150" s="858"/>
      <c r="CJ150" s="858"/>
      <c r="CK150" s="858"/>
      <c r="CL150" s="858"/>
      <c r="CM150" s="858"/>
      <c r="CN150" s="858"/>
      <c r="CO150" s="858"/>
      <c r="CP150" s="858"/>
      <c r="CQ150" s="858"/>
      <c r="CR150" s="858"/>
      <c r="CS150" s="858"/>
      <c r="CT150" s="858"/>
      <c r="CU150" s="858"/>
      <c r="CV150" s="858"/>
      <c r="CW150" s="858"/>
      <c r="CX150" s="858"/>
      <c r="CY150" s="858"/>
      <c r="CZ150" s="858"/>
      <c r="DA150" s="858"/>
      <c r="DB150" s="858"/>
      <c r="DC150" s="858"/>
      <c r="DD150" s="858"/>
      <c r="DE150" s="858"/>
      <c r="DF150" s="858"/>
      <c r="DG150" s="858"/>
      <c r="DH150" s="858"/>
      <c r="DI150" s="858"/>
      <c r="DJ150" s="858"/>
      <c r="DK150" s="858"/>
      <c r="DL150" s="858"/>
      <c r="DM150" s="858"/>
      <c r="DN150" s="858"/>
      <c r="DO150" s="858"/>
      <c r="DP150" s="858"/>
      <c r="DQ150" s="858"/>
      <c r="DR150" s="858"/>
      <c r="DS150" s="858"/>
      <c r="DT150" s="858"/>
      <c r="DU150" s="858"/>
      <c r="DV150" s="858"/>
      <c r="DW150" s="858"/>
      <c r="DX150" s="858"/>
      <c r="DY150" s="858"/>
      <c r="DZ150" s="858"/>
      <c r="EA150" s="858"/>
      <c r="EB150" s="858"/>
      <c r="EC150" s="858"/>
      <c r="ED150" s="858"/>
      <c r="EE150" s="858"/>
      <c r="EF150" s="858"/>
      <c r="EG150" s="858"/>
      <c r="EH150" s="858"/>
      <c r="EI150" s="858"/>
      <c r="EJ150" s="858"/>
      <c r="EK150" s="858"/>
      <c r="EL150" s="858"/>
      <c r="EM150" s="858"/>
      <c r="EN150" s="858"/>
      <c r="EO150" s="858"/>
      <c r="EP150" s="858"/>
      <c r="EQ150" s="858"/>
      <c r="ER150" s="858"/>
      <c r="ES150" s="858"/>
      <c r="ET150" s="858"/>
      <c r="EU150" s="858"/>
      <c r="EV150" s="858"/>
      <c r="EW150" s="858"/>
      <c r="EX150" s="858"/>
      <c r="EY150" s="858"/>
      <c r="EZ150" s="858"/>
      <c r="FA150" s="858"/>
      <c r="FB150" s="858"/>
      <c r="FC150" s="858"/>
      <c r="FD150" s="858"/>
      <c r="FE150" s="858"/>
      <c r="FF150" s="858"/>
      <c r="FG150" s="858"/>
      <c r="FH150" s="858"/>
      <c r="FI150" s="858"/>
      <c r="FJ150" s="858"/>
      <c r="FK150" s="858"/>
      <c r="FL150" s="858"/>
      <c r="FM150" s="858"/>
      <c r="FN150" s="858"/>
      <c r="FO150" s="858"/>
      <c r="FP150" s="858"/>
      <c r="FQ150" s="858"/>
      <c r="FR150" s="858"/>
      <c r="FS150" s="858"/>
      <c r="FT150" s="858"/>
      <c r="FU150" s="858"/>
      <c r="FV150" s="858"/>
      <c r="FW150" s="858"/>
      <c r="FX150" s="858"/>
      <c r="FY150" s="858"/>
      <c r="FZ150" s="858"/>
      <c r="GA150" s="858"/>
      <c r="GB150" s="858"/>
      <c r="GC150" s="858"/>
      <c r="GD150" s="858"/>
      <c r="GE150" s="858"/>
      <c r="GF150" s="858"/>
      <c r="GG150" s="858"/>
      <c r="GH150" s="858"/>
      <c r="GI150" s="858"/>
      <c r="GJ150" s="858"/>
      <c r="GK150" s="858"/>
      <c r="GL150" s="858"/>
      <c r="GM150" s="858"/>
      <c r="GN150" s="858"/>
      <c r="GO150" s="858"/>
      <c r="GP150" s="858"/>
      <c r="GQ150" s="858"/>
      <c r="GR150" s="858"/>
      <c r="GS150" s="858"/>
      <c r="GT150" s="858"/>
      <c r="GU150" s="858"/>
      <c r="GV150" s="858"/>
      <c r="GW150" s="858"/>
      <c r="GX150" s="858"/>
      <c r="GY150" s="858"/>
      <c r="GZ150" s="858"/>
      <c r="HA150" s="858"/>
      <c r="HB150" s="858"/>
      <c r="HC150" s="858"/>
      <c r="HD150" s="858"/>
      <c r="HE150" s="858"/>
      <c r="HF150" s="858"/>
      <c r="HG150" s="858"/>
      <c r="HH150" s="858"/>
      <c r="HI150" s="858"/>
      <c r="HJ150" s="858"/>
      <c r="HK150" s="858"/>
      <c r="HL150" s="858"/>
      <c r="HM150" s="858"/>
      <c r="HN150" s="858"/>
      <c r="HO150" s="858"/>
      <c r="HP150" s="858"/>
      <c r="HQ150" s="858"/>
      <c r="HR150" s="858"/>
      <c r="HS150" s="858"/>
      <c r="HT150" s="858"/>
      <c r="HU150" s="858"/>
      <c r="HV150" s="858"/>
      <c r="HW150" s="858"/>
      <c r="HX150" s="858"/>
      <c r="HY150" s="858"/>
      <c r="HZ150" s="858"/>
      <c r="IA150" s="858"/>
      <c r="IB150" s="858"/>
      <c r="IC150" s="858"/>
      <c r="ID150" s="858"/>
      <c r="IE150" s="858"/>
      <c r="IF150" s="858"/>
      <c r="IG150" s="858"/>
      <c r="IH150" s="858"/>
      <c r="II150" s="858"/>
      <c r="IJ150" s="858"/>
      <c r="IK150" s="858"/>
      <c r="IL150" s="858"/>
      <c r="IM150" s="858"/>
      <c r="IN150" s="858"/>
    </row>
    <row r="151" spans="1:248">
      <c r="A151" s="564" t="s">
        <v>29</v>
      </c>
      <c r="B151" s="566">
        <v>18400.599999999999</v>
      </c>
      <c r="C151" s="859">
        <v>31.199027430660347</v>
      </c>
      <c r="D151" s="567">
        <v>18709</v>
      </c>
      <c r="E151" s="859">
        <v>31.705658739390074</v>
      </c>
      <c r="F151" s="859">
        <v>-308.40000000000146</v>
      </c>
      <c r="G151" s="859">
        <f t="shared" si="27"/>
        <v>-0.52258697497716888</v>
      </c>
      <c r="H151" s="27">
        <v>59014.1</v>
      </c>
      <c r="I151" s="858"/>
      <c r="J151" s="858"/>
      <c r="K151" s="858"/>
      <c r="L151" s="858"/>
      <c r="M151" s="858"/>
      <c r="N151" s="858"/>
      <c r="O151" s="858"/>
      <c r="P151" s="858"/>
      <c r="Q151" s="858"/>
      <c r="R151" s="858"/>
      <c r="S151" s="858"/>
      <c r="T151" s="858"/>
      <c r="U151" s="858"/>
      <c r="V151" s="858"/>
      <c r="W151" s="858"/>
      <c r="X151" s="858"/>
      <c r="Y151" s="858"/>
      <c r="Z151" s="858"/>
      <c r="AA151" s="858"/>
      <c r="AB151" s="858"/>
      <c r="AC151" s="858"/>
      <c r="AD151" s="858"/>
      <c r="AE151" s="858"/>
      <c r="AF151" s="858"/>
      <c r="AG151" s="858"/>
      <c r="AH151" s="858"/>
      <c r="AI151" s="858"/>
      <c r="AJ151" s="858"/>
      <c r="AK151" s="858"/>
      <c r="AL151" s="858"/>
      <c r="AM151" s="858"/>
      <c r="AN151" s="858"/>
      <c r="AO151" s="858"/>
      <c r="AP151" s="858"/>
      <c r="AQ151" s="858"/>
      <c r="AR151" s="858"/>
      <c r="AS151" s="858"/>
      <c r="AT151" s="858"/>
      <c r="AU151" s="858"/>
      <c r="AV151" s="858"/>
      <c r="AW151" s="858"/>
      <c r="AX151" s="858"/>
      <c r="AY151" s="858"/>
      <c r="AZ151" s="858"/>
      <c r="BA151" s="858"/>
      <c r="BB151" s="858"/>
      <c r="BC151" s="858"/>
      <c r="BD151" s="858"/>
      <c r="BE151" s="858"/>
      <c r="BF151" s="858"/>
      <c r="BG151" s="858"/>
      <c r="BH151" s="858"/>
      <c r="BI151" s="858"/>
      <c r="BJ151" s="858"/>
      <c r="BK151" s="858"/>
      <c r="BL151" s="858"/>
      <c r="BM151" s="858"/>
      <c r="BN151" s="858"/>
      <c r="BO151" s="858"/>
      <c r="BP151" s="858"/>
      <c r="BQ151" s="858"/>
      <c r="BR151" s="858"/>
      <c r="BS151" s="858"/>
      <c r="BT151" s="858"/>
      <c r="BU151" s="858"/>
      <c r="BV151" s="858"/>
      <c r="BW151" s="858"/>
      <c r="BX151" s="858"/>
      <c r="BY151" s="858"/>
      <c r="BZ151" s="858"/>
      <c r="CA151" s="858"/>
      <c r="CB151" s="858"/>
      <c r="CC151" s="858"/>
      <c r="CD151" s="858"/>
      <c r="CE151" s="858"/>
      <c r="CF151" s="858"/>
      <c r="CG151" s="858"/>
      <c r="CH151" s="858"/>
      <c r="CI151" s="858"/>
      <c r="CJ151" s="858"/>
      <c r="CK151" s="858"/>
      <c r="CL151" s="858"/>
      <c r="CM151" s="858"/>
      <c r="CN151" s="858"/>
      <c r="CO151" s="858"/>
      <c r="CP151" s="858"/>
      <c r="CQ151" s="858"/>
      <c r="CR151" s="858"/>
      <c r="CS151" s="858"/>
      <c r="CT151" s="858"/>
      <c r="CU151" s="858"/>
      <c r="CV151" s="858"/>
      <c r="CW151" s="858"/>
      <c r="CX151" s="858"/>
      <c r="CY151" s="858"/>
      <c r="CZ151" s="858"/>
      <c r="DA151" s="858"/>
      <c r="DB151" s="858"/>
      <c r="DC151" s="858"/>
      <c r="DD151" s="858"/>
      <c r="DE151" s="858"/>
      <c r="DF151" s="858"/>
      <c r="DG151" s="858"/>
      <c r="DH151" s="858"/>
      <c r="DI151" s="858"/>
      <c r="DJ151" s="858"/>
      <c r="DK151" s="858"/>
      <c r="DL151" s="858"/>
      <c r="DM151" s="858"/>
      <c r="DN151" s="858"/>
      <c r="DO151" s="858"/>
      <c r="DP151" s="858"/>
      <c r="DQ151" s="858"/>
      <c r="DR151" s="858"/>
      <c r="DS151" s="858"/>
      <c r="DT151" s="858"/>
      <c r="DU151" s="858"/>
      <c r="DV151" s="858"/>
      <c r="DW151" s="858"/>
      <c r="DX151" s="858"/>
      <c r="DY151" s="858"/>
      <c r="DZ151" s="858"/>
      <c r="EA151" s="858"/>
      <c r="EB151" s="858"/>
      <c r="EC151" s="858"/>
      <c r="ED151" s="858"/>
      <c r="EE151" s="858"/>
      <c r="EF151" s="858"/>
      <c r="EG151" s="858"/>
      <c r="EH151" s="858"/>
      <c r="EI151" s="858"/>
      <c r="EJ151" s="858"/>
      <c r="EK151" s="858"/>
      <c r="EL151" s="858"/>
      <c r="EM151" s="858"/>
      <c r="EN151" s="858"/>
      <c r="EO151" s="858"/>
      <c r="EP151" s="858"/>
      <c r="EQ151" s="858"/>
      <c r="ER151" s="858"/>
      <c r="ES151" s="858"/>
      <c r="ET151" s="858"/>
      <c r="EU151" s="858"/>
      <c r="EV151" s="858"/>
      <c r="EW151" s="858"/>
      <c r="EX151" s="858"/>
      <c r="EY151" s="858"/>
      <c r="EZ151" s="858"/>
      <c r="FA151" s="858"/>
      <c r="FB151" s="858"/>
      <c r="FC151" s="858"/>
      <c r="FD151" s="858"/>
      <c r="FE151" s="858"/>
      <c r="FF151" s="858"/>
      <c r="FG151" s="858"/>
      <c r="FH151" s="858"/>
      <c r="FI151" s="858"/>
      <c r="FJ151" s="858"/>
      <c r="FK151" s="858"/>
      <c r="FL151" s="858"/>
      <c r="FM151" s="858"/>
      <c r="FN151" s="858"/>
      <c r="FO151" s="858"/>
      <c r="FP151" s="858"/>
      <c r="FQ151" s="858"/>
      <c r="FR151" s="858"/>
      <c r="FS151" s="858"/>
      <c r="FT151" s="858"/>
      <c r="FU151" s="858"/>
      <c r="FV151" s="858"/>
      <c r="FW151" s="858"/>
      <c r="FX151" s="858"/>
      <c r="FY151" s="858"/>
      <c r="FZ151" s="858"/>
      <c r="GA151" s="858"/>
      <c r="GB151" s="858"/>
      <c r="GC151" s="858"/>
      <c r="GD151" s="858"/>
      <c r="GE151" s="858"/>
      <c r="GF151" s="858"/>
      <c r="GG151" s="858"/>
      <c r="GH151" s="858"/>
      <c r="GI151" s="858"/>
      <c r="GJ151" s="858"/>
      <c r="GK151" s="858"/>
      <c r="GL151" s="858"/>
      <c r="GM151" s="858"/>
      <c r="GN151" s="858"/>
      <c r="GO151" s="858"/>
      <c r="GP151" s="858"/>
      <c r="GQ151" s="858"/>
      <c r="GR151" s="858"/>
      <c r="GS151" s="858"/>
      <c r="GT151" s="858"/>
      <c r="GU151" s="858"/>
      <c r="GV151" s="858"/>
      <c r="GW151" s="858"/>
      <c r="GX151" s="858"/>
      <c r="GY151" s="858"/>
      <c r="GZ151" s="858"/>
      <c r="HA151" s="858"/>
      <c r="HB151" s="858"/>
      <c r="HC151" s="858"/>
      <c r="HD151" s="858"/>
      <c r="HE151" s="858"/>
      <c r="HF151" s="858"/>
      <c r="HG151" s="858"/>
      <c r="HH151" s="858"/>
      <c r="HI151" s="858"/>
      <c r="HJ151" s="858"/>
      <c r="HK151" s="858"/>
      <c r="HL151" s="858"/>
      <c r="HM151" s="858"/>
      <c r="HN151" s="858"/>
      <c r="HO151" s="858"/>
      <c r="HP151" s="858"/>
      <c r="HQ151" s="858"/>
      <c r="HR151" s="858"/>
      <c r="HS151" s="858"/>
      <c r="HT151" s="858"/>
      <c r="HU151" s="858"/>
      <c r="HV151" s="858"/>
      <c r="HW151" s="858"/>
      <c r="HX151" s="858"/>
      <c r="HY151" s="858"/>
      <c r="HZ151" s="858"/>
      <c r="IA151" s="858"/>
      <c r="IB151" s="858"/>
      <c r="IC151" s="858"/>
      <c r="ID151" s="858"/>
      <c r="IE151" s="858"/>
      <c r="IF151" s="858"/>
      <c r="IG151" s="858"/>
      <c r="IH151" s="858"/>
      <c r="II151" s="858"/>
      <c r="IJ151" s="858"/>
      <c r="IK151" s="858"/>
      <c r="IL151" s="858"/>
      <c r="IM151" s="858"/>
      <c r="IN151" s="858"/>
    </row>
    <row r="152" spans="1:248">
      <c r="A152" s="564" t="s">
        <v>1816</v>
      </c>
      <c r="B152" s="561">
        <v>17498</v>
      </c>
      <c r="C152" s="860">
        <v>31.559406168298924</v>
      </c>
      <c r="D152" s="562">
        <v>17784.5</v>
      </c>
      <c r="E152" s="860">
        <v>32.725138495108745</v>
      </c>
      <c r="F152" s="860">
        <f>B152-D152</f>
        <v>-286.5</v>
      </c>
      <c r="G152" s="860">
        <v>-0.52684810592129461</v>
      </c>
      <c r="H152" s="27"/>
      <c r="I152" s="858"/>
      <c r="J152" s="858"/>
      <c r="K152" s="858"/>
      <c r="L152" s="858"/>
      <c r="M152" s="858"/>
      <c r="N152" s="858"/>
      <c r="O152" s="858"/>
      <c r="P152" s="858"/>
      <c r="Q152" s="858"/>
      <c r="R152" s="858"/>
      <c r="S152" s="858"/>
      <c r="T152" s="858"/>
      <c r="U152" s="858"/>
      <c r="V152" s="858"/>
      <c r="W152" s="858"/>
      <c r="X152" s="858"/>
      <c r="Y152" s="858"/>
      <c r="Z152" s="858"/>
      <c r="AA152" s="858"/>
      <c r="AB152" s="858"/>
      <c r="AC152" s="858"/>
      <c r="AD152" s="858"/>
      <c r="AE152" s="858"/>
      <c r="AF152" s="858"/>
      <c r="AG152" s="858"/>
      <c r="AH152" s="858"/>
      <c r="AI152" s="858"/>
      <c r="AJ152" s="858"/>
      <c r="AK152" s="858"/>
      <c r="AL152" s="858"/>
      <c r="AM152" s="858"/>
      <c r="AN152" s="858"/>
      <c r="AO152" s="858"/>
      <c r="AP152" s="858"/>
      <c r="AQ152" s="858"/>
      <c r="AR152" s="858"/>
      <c r="AS152" s="858"/>
      <c r="AT152" s="858"/>
      <c r="AU152" s="858"/>
      <c r="AV152" s="858"/>
      <c r="AW152" s="858"/>
      <c r="AX152" s="858"/>
      <c r="AY152" s="858"/>
      <c r="AZ152" s="858"/>
      <c r="BA152" s="858"/>
      <c r="BB152" s="858"/>
      <c r="BC152" s="858"/>
      <c r="BD152" s="858"/>
      <c r="BE152" s="858"/>
      <c r="BF152" s="858"/>
      <c r="BG152" s="858"/>
      <c r="BH152" s="858"/>
      <c r="BI152" s="858"/>
      <c r="BJ152" s="858"/>
      <c r="BK152" s="858"/>
      <c r="BL152" s="858"/>
      <c r="BM152" s="858"/>
      <c r="BN152" s="858"/>
      <c r="BO152" s="858"/>
      <c r="BP152" s="858"/>
      <c r="BQ152" s="858"/>
      <c r="BR152" s="858"/>
      <c r="BS152" s="858"/>
      <c r="BT152" s="858"/>
      <c r="BU152" s="858"/>
      <c r="BV152" s="858"/>
      <c r="BW152" s="858"/>
      <c r="BX152" s="858"/>
      <c r="BY152" s="858"/>
      <c r="BZ152" s="858"/>
      <c r="CA152" s="858"/>
      <c r="CB152" s="858"/>
      <c r="CC152" s="858"/>
      <c r="CD152" s="858"/>
      <c r="CE152" s="858"/>
      <c r="CF152" s="858"/>
      <c r="CG152" s="858"/>
      <c r="CH152" s="858"/>
      <c r="CI152" s="858"/>
      <c r="CJ152" s="858"/>
      <c r="CK152" s="858"/>
      <c r="CL152" s="858"/>
      <c r="CM152" s="858"/>
      <c r="CN152" s="858"/>
      <c r="CO152" s="858"/>
      <c r="CP152" s="858"/>
      <c r="CQ152" s="858"/>
      <c r="CR152" s="858"/>
      <c r="CS152" s="858"/>
      <c r="CT152" s="858"/>
      <c r="CU152" s="858"/>
      <c r="CV152" s="858"/>
      <c r="CW152" s="858"/>
      <c r="CX152" s="858"/>
      <c r="CY152" s="858"/>
      <c r="CZ152" s="858"/>
      <c r="DA152" s="858"/>
      <c r="DB152" s="858"/>
      <c r="DC152" s="858"/>
      <c r="DD152" s="858"/>
      <c r="DE152" s="858"/>
      <c r="DF152" s="858"/>
      <c r="DG152" s="858"/>
      <c r="DH152" s="858"/>
      <c r="DI152" s="858"/>
      <c r="DJ152" s="858"/>
      <c r="DK152" s="858"/>
      <c r="DL152" s="858"/>
      <c r="DM152" s="858"/>
      <c r="DN152" s="858"/>
      <c r="DO152" s="858"/>
      <c r="DP152" s="858"/>
      <c r="DQ152" s="858"/>
      <c r="DR152" s="858"/>
      <c r="DS152" s="858"/>
      <c r="DT152" s="858"/>
      <c r="DU152" s="858"/>
      <c r="DV152" s="858"/>
      <c r="DW152" s="858"/>
      <c r="DX152" s="858"/>
      <c r="DY152" s="858"/>
      <c r="DZ152" s="858"/>
      <c r="EA152" s="858"/>
      <c r="EB152" s="858"/>
      <c r="EC152" s="858"/>
      <c r="ED152" s="858"/>
      <c r="EE152" s="858"/>
      <c r="EF152" s="858"/>
      <c r="EG152" s="858"/>
      <c r="EH152" s="858"/>
      <c r="EI152" s="858"/>
      <c r="EJ152" s="858"/>
      <c r="EK152" s="858"/>
      <c r="EL152" s="858"/>
      <c r="EM152" s="858"/>
      <c r="EN152" s="858"/>
      <c r="EO152" s="858"/>
      <c r="EP152" s="858"/>
      <c r="EQ152" s="858"/>
      <c r="ER152" s="858"/>
      <c r="ES152" s="858"/>
      <c r="ET152" s="858"/>
      <c r="EU152" s="858"/>
      <c r="EV152" s="858"/>
      <c r="EW152" s="858"/>
      <c r="EX152" s="858"/>
      <c r="EY152" s="858"/>
      <c r="EZ152" s="858"/>
      <c r="FA152" s="858"/>
      <c r="FB152" s="858"/>
      <c r="FC152" s="858"/>
      <c r="FD152" s="858"/>
      <c r="FE152" s="858"/>
      <c r="FF152" s="858"/>
      <c r="FG152" s="858"/>
      <c r="FH152" s="858"/>
      <c r="FI152" s="858"/>
      <c r="FJ152" s="858"/>
      <c r="FK152" s="858"/>
      <c r="FL152" s="858"/>
      <c r="FM152" s="858"/>
      <c r="FN152" s="858"/>
      <c r="FO152" s="858"/>
      <c r="FP152" s="858"/>
      <c r="FQ152" s="858"/>
      <c r="FR152" s="858"/>
      <c r="FS152" s="858"/>
      <c r="FT152" s="858"/>
      <c r="FU152" s="858"/>
      <c r="FV152" s="858"/>
      <c r="FW152" s="858"/>
      <c r="FX152" s="858"/>
      <c r="FY152" s="858"/>
      <c r="FZ152" s="858"/>
      <c r="GA152" s="858"/>
      <c r="GB152" s="858"/>
      <c r="GC152" s="858"/>
      <c r="GD152" s="858"/>
      <c r="GE152" s="858"/>
      <c r="GF152" s="858"/>
      <c r="GG152" s="858"/>
      <c r="GH152" s="858"/>
      <c r="GI152" s="858"/>
      <c r="GJ152" s="858"/>
      <c r="GK152" s="858"/>
      <c r="GL152" s="858"/>
      <c r="GM152" s="858"/>
      <c r="GN152" s="858"/>
      <c r="GO152" s="858"/>
      <c r="GP152" s="858"/>
      <c r="GQ152" s="858"/>
      <c r="GR152" s="858"/>
      <c r="GS152" s="858"/>
      <c r="GT152" s="858"/>
      <c r="GU152" s="858"/>
      <c r="GV152" s="858"/>
      <c r="GW152" s="858"/>
      <c r="GX152" s="858"/>
      <c r="GY152" s="858"/>
      <c r="GZ152" s="858"/>
      <c r="HA152" s="858"/>
      <c r="HB152" s="858"/>
      <c r="HC152" s="858"/>
      <c r="HD152" s="858"/>
      <c r="HE152" s="858"/>
      <c r="HF152" s="858"/>
      <c r="HG152" s="858"/>
      <c r="HH152" s="858"/>
      <c r="HI152" s="858"/>
      <c r="HJ152" s="858"/>
      <c r="HK152" s="858"/>
      <c r="HL152" s="858"/>
      <c r="HM152" s="858"/>
      <c r="HN152" s="858"/>
      <c r="HO152" s="858"/>
      <c r="HP152" s="858"/>
      <c r="HQ152" s="858"/>
      <c r="HR152" s="858"/>
      <c r="HS152" s="858"/>
      <c r="HT152" s="858"/>
      <c r="HU152" s="858"/>
      <c r="HV152" s="858"/>
      <c r="HW152" s="858"/>
      <c r="HX152" s="858"/>
      <c r="HY152" s="858"/>
      <c r="HZ152" s="858"/>
      <c r="IA152" s="858"/>
      <c r="IB152" s="858"/>
      <c r="IC152" s="858"/>
      <c r="ID152" s="858"/>
      <c r="IE152" s="858"/>
      <c r="IF152" s="858"/>
      <c r="IG152" s="858"/>
      <c r="IH152" s="858"/>
      <c r="II152" s="858"/>
      <c r="IJ152" s="858"/>
      <c r="IK152" s="858"/>
      <c r="IL152" s="858"/>
      <c r="IM152" s="858"/>
      <c r="IN152" s="858"/>
    </row>
    <row r="153" spans="1:248">
      <c r="A153" s="564" t="s">
        <v>18</v>
      </c>
      <c r="B153" s="566">
        <v>1684.8</v>
      </c>
      <c r="C153" s="859">
        <v>46.39149709502437</v>
      </c>
      <c r="D153" s="567">
        <v>1263.2</v>
      </c>
      <c r="E153" s="859">
        <v>34.782608695652179</v>
      </c>
      <c r="F153" s="859">
        <v>421.6</v>
      </c>
      <c r="G153" s="859">
        <f t="shared" ref="G153:G219" si="28">F153/H153*100</f>
        <v>11.608888399372196</v>
      </c>
      <c r="H153" s="27">
        <v>3631.7</v>
      </c>
      <c r="I153" s="858"/>
      <c r="J153" s="858"/>
      <c r="K153" s="858"/>
      <c r="L153" s="858"/>
      <c r="M153" s="858"/>
      <c r="N153" s="858"/>
      <c r="O153" s="858"/>
      <c r="P153" s="858"/>
      <c r="Q153" s="858"/>
      <c r="R153" s="858"/>
      <c r="S153" s="858"/>
      <c r="T153" s="858"/>
      <c r="U153" s="858"/>
      <c r="V153" s="858"/>
      <c r="W153" s="858"/>
      <c r="X153" s="858"/>
      <c r="Y153" s="858"/>
      <c r="Z153" s="858"/>
      <c r="AA153" s="858"/>
      <c r="AB153" s="858"/>
      <c r="AC153" s="858"/>
      <c r="AD153" s="858"/>
      <c r="AE153" s="858"/>
      <c r="AF153" s="858"/>
      <c r="AG153" s="858"/>
      <c r="AH153" s="858"/>
      <c r="AI153" s="858"/>
      <c r="AJ153" s="858"/>
      <c r="AK153" s="858"/>
      <c r="AL153" s="858"/>
      <c r="AM153" s="858"/>
      <c r="AN153" s="858"/>
      <c r="AO153" s="858"/>
      <c r="AP153" s="858"/>
      <c r="AQ153" s="858"/>
      <c r="AR153" s="858"/>
      <c r="AS153" s="858"/>
      <c r="AT153" s="858"/>
      <c r="AU153" s="858"/>
      <c r="AV153" s="858"/>
      <c r="AW153" s="858"/>
      <c r="AX153" s="858"/>
      <c r="AY153" s="858"/>
      <c r="AZ153" s="858"/>
      <c r="BA153" s="858"/>
      <c r="BB153" s="858"/>
      <c r="BC153" s="858"/>
      <c r="BD153" s="858"/>
      <c r="BE153" s="858"/>
      <c r="BF153" s="858"/>
      <c r="BG153" s="858"/>
      <c r="BH153" s="858"/>
      <c r="BI153" s="858"/>
      <c r="BJ153" s="858"/>
      <c r="BK153" s="858"/>
      <c r="BL153" s="858"/>
      <c r="BM153" s="858"/>
      <c r="BN153" s="858"/>
      <c r="BO153" s="858"/>
      <c r="BP153" s="858"/>
      <c r="BQ153" s="858"/>
      <c r="BR153" s="858"/>
      <c r="BS153" s="858"/>
      <c r="BT153" s="858"/>
      <c r="BU153" s="858"/>
      <c r="BV153" s="858"/>
      <c r="BW153" s="858"/>
      <c r="BX153" s="858"/>
      <c r="BY153" s="858"/>
      <c r="BZ153" s="858"/>
      <c r="CA153" s="858"/>
      <c r="CB153" s="858"/>
      <c r="CC153" s="858"/>
      <c r="CD153" s="858"/>
      <c r="CE153" s="858"/>
      <c r="CF153" s="858"/>
      <c r="CG153" s="858"/>
      <c r="CH153" s="858"/>
      <c r="CI153" s="858"/>
      <c r="CJ153" s="858"/>
      <c r="CK153" s="858"/>
      <c r="CL153" s="858"/>
      <c r="CM153" s="858"/>
      <c r="CN153" s="858"/>
      <c r="CO153" s="858"/>
      <c r="CP153" s="858"/>
      <c r="CQ153" s="858"/>
      <c r="CR153" s="858"/>
      <c r="CS153" s="858"/>
      <c r="CT153" s="858"/>
      <c r="CU153" s="858"/>
      <c r="CV153" s="858"/>
      <c r="CW153" s="858"/>
      <c r="CX153" s="858"/>
      <c r="CY153" s="858"/>
      <c r="CZ153" s="858"/>
      <c r="DA153" s="858"/>
      <c r="DB153" s="858"/>
      <c r="DC153" s="858"/>
      <c r="DD153" s="858"/>
      <c r="DE153" s="858"/>
      <c r="DF153" s="858"/>
      <c r="DG153" s="858"/>
      <c r="DH153" s="858"/>
      <c r="DI153" s="858"/>
      <c r="DJ153" s="858"/>
      <c r="DK153" s="858"/>
      <c r="DL153" s="858"/>
      <c r="DM153" s="858"/>
      <c r="DN153" s="858"/>
      <c r="DO153" s="858"/>
      <c r="DP153" s="858"/>
      <c r="DQ153" s="858"/>
      <c r="DR153" s="858"/>
      <c r="DS153" s="858"/>
      <c r="DT153" s="858"/>
      <c r="DU153" s="858"/>
      <c r="DV153" s="858"/>
      <c r="DW153" s="858"/>
      <c r="DX153" s="858"/>
      <c r="DY153" s="858"/>
      <c r="DZ153" s="858"/>
      <c r="EA153" s="858"/>
      <c r="EB153" s="858"/>
      <c r="EC153" s="858"/>
      <c r="ED153" s="858"/>
      <c r="EE153" s="858"/>
      <c r="EF153" s="858"/>
      <c r="EG153" s="858"/>
      <c r="EH153" s="858"/>
      <c r="EI153" s="858"/>
      <c r="EJ153" s="858"/>
      <c r="EK153" s="858"/>
      <c r="EL153" s="858"/>
      <c r="EM153" s="858"/>
      <c r="EN153" s="858"/>
      <c r="EO153" s="858"/>
      <c r="EP153" s="858"/>
      <c r="EQ153" s="858"/>
      <c r="ER153" s="858"/>
      <c r="ES153" s="858"/>
      <c r="ET153" s="858"/>
      <c r="EU153" s="858"/>
      <c r="EV153" s="858"/>
      <c r="EW153" s="858"/>
      <c r="EX153" s="858"/>
      <c r="EY153" s="858"/>
      <c r="EZ153" s="858"/>
      <c r="FA153" s="858"/>
      <c r="FB153" s="858"/>
      <c r="FC153" s="858"/>
      <c r="FD153" s="858"/>
      <c r="FE153" s="858"/>
      <c r="FF153" s="858"/>
      <c r="FG153" s="858"/>
      <c r="FH153" s="858"/>
      <c r="FI153" s="858"/>
      <c r="FJ153" s="858"/>
      <c r="FK153" s="858"/>
      <c r="FL153" s="858"/>
      <c r="FM153" s="858"/>
      <c r="FN153" s="858"/>
      <c r="FO153" s="858"/>
      <c r="FP153" s="858"/>
      <c r="FQ153" s="858"/>
      <c r="FR153" s="858"/>
      <c r="FS153" s="858"/>
      <c r="FT153" s="858"/>
      <c r="FU153" s="858"/>
      <c r="FV153" s="858"/>
      <c r="FW153" s="858"/>
      <c r="FX153" s="858"/>
      <c r="FY153" s="858"/>
      <c r="FZ153" s="858"/>
      <c r="GA153" s="858"/>
      <c r="GB153" s="858"/>
      <c r="GC153" s="858"/>
      <c r="GD153" s="858"/>
      <c r="GE153" s="858"/>
      <c r="GF153" s="858"/>
      <c r="GG153" s="858"/>
      <c r="GH153" s="858"/>
      <c r="GI153" s="858"/>
      <c r="GJ153" s="858"/>
      <c r="GK153" s="858"/>
      <c r="GL153" s="858"/>
      <c r="GM153" s="858"/>
      <c r="GN153" s="858"/>
      <c r="GO153" s="858"/>
      <c r="GP153" s="858"/>
      <c r="GQ153" s="858"/>
      <c r="GR153" s="858"/>
      <c r="GS153" s="858"/>
      <c r="GT153" s="858"/>
      <c r="GU153" s="858"/>
      <c r="GV153" s="858"/>
      <c r="GW153" s="858"/>
      <c r="GX153" s="858"/>
      <c r="GY153" s="858"/>
      <c r="GZ153" s="858"/>
      <c r="HA153" s="858"/>
      <c r="HB153" s="858"/>
      <c r="HC153" s="858"/>
      <c r="HD153" s="858"/>
      <c r="HE153" s="858"/>
      <c r="HF153" s="858"/>
      <c r="HG153" s="858"/>
      <c r="HH153" s="858"/>
      <c r="HI153" s="858"/>
      <c r="HJ153" s="858"/>
      <c r="HK153" s="858"/>
      <c r="HL153" s="858"/>
      <c r="HM153" s="858"/>
      <c r="HN153" s="858"/>
      <c r="HO153" s="858"/>
      <c r="HP153" s="858"/>
      <c r="HQ153" s="858"/>
      <c r="HR153" s="858"/>
      <c r="HS153" s="858"/>
      <c r="HT153" s="858"/>
      <c r="HU153" s="858"/>
      <c r="HV153" s="858"/>
      <c r="HW153" s="858"/>
      <c r="HX153" s="858"/>
      <c r="HY153" s="858"/>
      <c r="HZ153" s="858"/>
      <c r="IA153" s="858"/>
      <c r="IB153" s="858"/>
      <c r="IC153" s="858"/>
      <c r="ID153" s="858"/>
      <c r="IE153" s="858"/>
      <c r="IF153" s="858"/>
      <c r="IG153" s="858"/>
      <c r="IH153" s="858"/>
      <c r="II153" s="858"/>
      <c r="IJ153" s="858"/>
      <c r="IK153" s="858"/>
      <c r="IL153" s="858"/>
      <c r="IM153" s="858"/>
      <c r="IN153" s="858"/>
    </row>
    <row r="154" spans="1:248">
      <c r="A154" s="564" t="s">
        <v>19</v>
      </c>
      <c r="B154" s="566">
        <v>2762</v>
      </c>
      <c r="C154" s="859">
        <v>38.827035537561848</v>
      </c>
      <c r="D154" s="567">
        <v>2682</v>
      </c>
      <c r="E154" s="859">
        <v>37.702429149797567</v>
      </c>
      <c r="F154" s="859">
        <v>80</v>
      </c>
      <c r="G154" s="859">
        <f t="shared" si="28"/>
        <v>1.1246063877642825</v>
      </c>
      <c r="H154" s="27">
        <v>7113.6</v>
      </c>
      <c r="I154" s="858"/>
      <c r="J154" s="858"/>
      <c r="K154" s="858"/>
      <c r="L154" s="858"/>
      <c r="M154" s="858"/>
      <c r="N154" s="858"/>
      <c r="O154" s="858"/>
      <c r="P154" s="858"/>
      <c r="Q154" s="858"/>
      <c r="R154" s="858"/>
      <c r="S154" s="858"/>
      <c r="T154" s="858"/>
      <c r="U154" s="858"/>
      <c r="V154" s="858"/>
      <c r="W154" s="858"/>
      <c r="X154" s="858"/>
      <c r="Y154" s="858"/>
      <c r="Z154" s="858"/>
      <c r="AA154" s="858"/>
      <c r="AB154" s="858"/>
      <c r="AC154" s="858"/>
      <c r="AD154" s="858"/>
      <c r="AE154" s="858"/>
      <c r="AF154" s="858"/>
      <c r="AG154" s="858"/>
      <c r="AH154" s="858"/>
      <c r="AI154" s="858"/>
      <c r="AJ154" s="858"/>
      <c r="AK154" s="858"/>
      <c r="AL154" s="858"/>
      <c r="AM154" s="858"/>
      <c r="AN154" s="858"/>
      <c r="AO154" s="858"/>
      <c r="AP154" s="858"/>
      <c r="AQ154" s="858"/>
      <c r="AR154" s="858"/>
      <c r="AS154" s="858"/>
      <c r="AT154" s="858"/>
      <c r="AU154" s="858"/>
      <c r="AV154" s="858"/>
      <c r="AW154" s="858"/>
      <c r="AX154" s="858"/>
      <c r="AY154" s="858"/>
      <c r="AZ154" s="858"/>
      <c r="BA154" s="858"/>
      <c r="BB154" s="858"/>
      <c r="BC154" s="858"/>
      <c r="BD154" s="858"/>
      <c r="BE154" s="858"/>
      <c r="BF154" s="858"/>
      <c r="BG154" s="858"/>
      <c r="BH154" s="858"/>
      <c r="BI154" s="858"/>
      <c r="BJ154" s="858"/>
      <c r="BK154" s="858"/>
      <c r="BL154" s="858"/>
      <c r="BM154" s="858"/>
      <c r="BN154" s="858"/>
      <c r="BO154" s="858"/>
      <c r="BP154" s="858"/>
      <c r="BQ154" s="858"/>
      <c r="BR154" s="858"/>
      <c r="BS154" s="858"/>
      <c r="BT154" s="858"/>
      <c r="BU154" s="858"/>
      <c r="BV154" s="858"/>
      <c r="BW154" s="858"/>
      <c r="BX154" s="858"/>
      <c r="BY154" s="858"/>
      <c r="BZ154" s="858"/>
      <c r="CA154" s="858"/>
      <c r="CB154" s="858"/>
      <c r="CC154" s="858"/>
      <c r="CD154" s="858"/>
      <c r="CE154" s="858"/>
      <c r="CF154" s="858"/>
      <c r="CG154" s="858"/>
      <c r="CH154" s="858"/>
      <c r="CI154" s="858"/>
      <c r="CJ154" s="858"/>
      <c r="CK154" s="858"/>
      <c r="CL154" s="858"/>
      <c r="CM154" s="858"/>
      <c r="CN154" s="858"/>
      <c r="CO154" s="858"/>
      <c r="CP154" s="858"/>
      <c r="CQ154" s="858"/>
      <c r="CR154" s="858"/>
      <c r="CS154" s="858"/>
      <c r="CT154" s="858"/>
      <c r="CU154" s="858"/>
      <c r="CV154" s="858"/>
      <c r="CW154" s="858"/>
      <c r="CX154" s="858"/>
      <c r="CY154" s="858"/>
      <c r="CZ154" s="858"/>
      <c r="DA154" s="858"/>
      <c r="DB154" s="858"/>
      <c r="DC154" s="858"/>
      <c r="DD154" s="858"/>
      <c r="DE154" s="858"/>
      <c r="DF154" s="858"/>
      <c r="DG154" s="858"/>
      <c r="DH154" s="858"/>
      <c r="DI154" s="858"/>
      <c r="DJ154" s="858"/>
      <c r="DK154" s="858"/>
      <c r="DL154" s="858"/>
      <c r="DM154" s="858"/>
      <c r="DN154" s="858"/>
      <c r="DO154" s="858"/>
      <c r="DP154" s="858"/>
      <c r="DQ154" s="858"/>
      <c r="DR154" s="858"/>
      <c r="DS154" s="858"/>
      <c r="DT154" s="858"/>
      <c r="DU154" s="858"/>
      <c r="DV154" s="858"/>
      <c r="DW154" s="858"/>
      <c r="DX154" s="858"/>
      <c r="DY154" s="858"/>
      <c r="DZ154" s="858"/>
      <c r="EA154" s="858"/>
      <c r="EB154" s="858"/>
      <c r="EC154" s="858"/>
      <c r="ED154" s="858"/>
      <c r="EE154" s="858"/>
      <c r="EF154" s="858"/>
      <c r="EG154" s="858"/>
      <c r="EH154" s="858"/>
      <c r="EI154" s="858"/>
      <c r="EJ154" s="858"/>
      <c r="EK154" s="858"/>
      <c r="EL154" s="858"/>
      <c r="EM154" s="858"/>
      <c r="EN154" s="858"/>
      <c r="EO154" s="858"/>
      <c r="EP154" s="858"/>
      <c r="EQ154" s="858"/>
      <c r="ER154" s="858"/>
      <c r="ES154" s="858"/>
      <c r="ET154" s="858"/>
      <c r="EU154" s="858"/>
      <c r="EV154" s="858"/>
      <c r="EW154" s="858"/>
      <c r="EX154" s="858"/>
      <c r="EY154" s="858"/>
      <c r="EZ154" s="858"/>
      <c r="FA154" s="858"/>
      <c r="FB154" s="858"/>
      <c r="FC154" s="858"/>
      <c r="FD154" s="858"/>
      <c r="FE154" s="858"/>
      <c r="FF154" s="858"/>
      <c r="FG154" s="858"/>
      <c r="FH154" s="858"/>
      <c r="FI154" s="858"/>
      <c r="FJ154" s="858"/>
      <c r="FK154" s="858"/>
      <c r="FL154" s="858"/>
      <c r="FM154" s="858"/>
      <c r="FN154" s="858"/>
      <c r="FO154" s="858"/>
      <c r="FP154" s="858"/>
      <c r="FQ154" s="858"/>
      <c r="FR154" s="858"/>
      <c r="FS154" s="858"/>
      <c r="FT154" s="858"/>
      <c r="FU154" s="858"/>
      <c r="FV154" s="858"/>
      <c r="FW154" s="858"/>
      <c r="FX154" s="858"/>
      <c r="FY154" s="858"/>
      <c r="FZ154" s="858"/>
      <c r="GA154" s="858"/>
      <c r="GB154" s="858"/>
      <c r="GC154" s="858"/>
      <c r="GD154" s="858"/>
      <c r="GE154" s="858"/>
      <c r="GF154" s="858"/>
      <c r="GG154" s="858"/>
      <c r="GH154" s="858"/>
      <c r="GI154" s="858"/>
      <c r="GJ154" s="858"/>
      <c r="GK154" s="858"/>
      <c r="GL154" s="858"/>
      <c r="GM154" s="858"/>
      <c r="GN154" s="858"/>
      <c r="GO154" s="858"/>
      <c r="GP154" s="858"/>
      <c r="GQ154" s="858"/>
      <c r="GR154" s="858"/>
      <c r="GS154" s="858"/>
      <c r="GT154" s="858"/>
      <c r="GU154" s="858"/>
      <c r="GV154" s="858"/>
      <c r="GW154" s="858"/>
      <c r="GX154" s="858"/>
      <c r="GY154" s="858"/>
      <c r="GZ154" s="858"/>
      <c r="HA154" s="858"/>
      <c r="HB154" s="858"/>
      <c r="HC154" s="858"/>
      <c r="HD154" s="858"/>
      <c r="HE154" s="858"/>
      <c r="HF154" s="858"/>
      <c r="HG154" s="858"/>
      <c r="HH154" s="858"/>
      <c r="HI154" s="858"/>
      <c r="HJ154" s="858"/>
      <c r="HK154" s="858"/>
      <c r="HL154" s="858"/>
      <c r="HM154" s="858"/>
      <c r="HN154" s="858"/>
      <c r="HO154" s="858"/>
      <c r="HP154" s="858"/>
      <c r="HQ154" s="858"/>
      <c r="HR154" s="858"/>
      <c r="HS154" s="858"/>
      <c r="HT154" s="858"/>
      <c r="HU154" s="858"/>
      <c r="HV154" s="858"/>
      <c r="HW154" s="858"/>
      <c r="HX154" s="858"/>
      <c r="HY154" s="858"/>
      <c r="HZ154" s="858"/>
      <c r="IA154" s="858"/>
      <c r="IB154" s="858"/>
      <c r="IC154" s="858"/>
      <c r="ID154" s="858"/>
      <c r="IE154" s="858"/>
      <c r="IF154" s="858"/>
      <c r="IG154" s="858"/>
      <c r="IH154" s="858"/>
      <c r="II154" s="858"/>
      <c r="IJ154" s="858"/>
      <c r="IK154" s="858"/>
      <c r="IL154" s="858"/>
      <c r="IM154" s="858"/>
      <c r="IN154" s="858"/>
    </row>
    <row r="155" spans="1:248">
      <c r="A155" s="564" t="s">
        <v>20</v>
      </c>
      <c r="B155" s="566">
        <v>3938</v>
      </c>
      <c r="C155" s="859">
        <v>34.169197396963128</v>
      </c>
      <c r="D155" s="567">
        <v>4189.8</v>
      </c>
      <c r="E155" s="859">
        <v>36.354013015184385</v>
      </c>
      <c r="F155" s="859">
        <v>-251</v>
      </c>
      <c r="G155" s="859">
        <f t="shared" si="28"/>
        <v>-2.1778741865509761</v>
      </c>
      <c r="H155" s="27">
        <v>11525</v>
      </c>
      <c r="I155" s="858"/>
      <c r="J155" s="858"/>
      <c r="K155" s="858"/>
      <c r="L155" s="858"/>
      <c r="M155" s="858"/>
      <c r="N155" s="858"/>
      <c r="O155" s="858"/>
      <c r="P155" s="858"/>
      <c r="Q155" s="858"/>
      <c r="R155" s="858"/>
      <c r="S155" s="858"/>
      <c r="T155" s="858"/>
      <c r="U155" s="858"/>
      <c r="V155" s="858"/>
      <c r="W155" s="858"/>
      <c r="X155" s="858"/>
      <c r="Y155" s="858"/>
      <c r="Z155" s="858"/>
      <c r="AA155" s="858"/>
      <c r="AB155" s="858"/>
      <c r="AC155" s="858"/>
      <c r="AD155" s="858"/>
      <c r="AE155" s="858"/>
      <c r="AF155" s="858"/>
      <c r="AG155" s="858"/>
      <c r="AH155" s="858"/>
      <c r="AI155" s="858"/>
      <c r="AJ155" s="858"/>
      <c r="AK155" s="858"/>
      <c r="AL155" s="858"/>
      <c r="AM155" s="858"/>
      <c r="AN155" s="858"/>
      <c r="AO155" s="858"/>
      <c r="AP155" s="858"/>
      <c r="AQ155" s="858"/>
      <c r="AR155" s="858"/>
      <c r="AS155" s="858"/>
      <c r="AT155" s="858"/>
      <c r="AU155" s="858"/>
      <c r="AV155" s="858"/>
      <c r="AW155" s="858"/>
      <c r="AX155" s="858"/>
      <c r="AY155" s="858"/>
      <c r="AZ155" s="858"/>
      <c r="BA155" s="858"/>
      <c r="BB155" s="858"/>
      <c r="BC155" s="858"/>
      <c r="BD155" s="858"/>
      <c r="BE155" s="858"/>
      <c r="BF155" s="858"/>
      <c r="BG155" s="858"/>
      <c r="BH155" s="858"/>
      <c r="BI155" s="858"/>
      <c r="BJ155" s="858"/>
      <c r="BK155" s="858"/>
      <c r="BL155" s="858"/>
      <c r="BM155" s="858"/>
      <c r="BN155" s="858"/>
      <c r="BO155" s="858"/>
      <c r="BP155" s="858"/>
      <c r="BQ155" s="858"/>
      <c r="BR155" s="858"/>
      <c r="BS155" s="858"/>
      <c r="BT155" s="858"/>
      <c r="BU155" s="858"/>
      <c r="BV155" s="858"/>
      <c r="BW155" s="858"/>
      <c r="BX155" s="858"/>
      <c r="BY155" s="858"/>
      <c r="BZ155" s="858"/>
      <c r="CA155" s="858"/>
      <c r="CB155" s="858"/>
      <c r="CC155" s="858"/>
      <c r="CD155" s="858"/>
      <c r="CE155" s="858"/>
      <c r="CF155" s="858"/>
      <c r="CG155" s="858"/>
      <c r="CH155" s="858"/>
      <c r="CI155" s="858"/>
      <c r="CJ155" s="858"/>
      <c r="CK155" s="858"/>
      <c r="CL155" s="858"/>
      <c r="CM155" s="858"/>
      <c r="CN155" s="858"/>
      <c r="CO155" s="858"/>
      <c r="CP155" s="858"/>
      <c r="CQ155" s="858"/>
      <c r="CR155" s="858"/>
      <c r="CS155" s="858"/>
      <c r="CT155" s="858"/>
      <c r="CU155" s="858"/>
      <c r="CV155" s="858"/>
      <c r="CW155" s="858"/>
      <c r="CX155" s="858"/>
      <c r="CY155" s="858"/>
      <c r="CZ155" s="858"/>
      <c r="DA155" s="858"/>
      <c r="DB155" s="858"/>
      <c r="DC155" s="858"/>
      <c r="DD155" s="858"/>
      <c r="DE155" s="858"/>
      <c r="DF155" s="858"/>
      <c r="DG155" s="858"/>
      <c r="DH155" s="858"/>
      <c r="DI155" s="858"/>
      <c r="DJ155" s="858"/>
      <c r="DK155" s="858"/>
      <c r="DL155" s="858"/>
      <c r="DM155" s="858"/>
      <c r="DN155" s="858"/>
      <c r="DO155" s="858"/>
      <c r="DP155" s="858"/>
      <c r="DQ155" s="858"/>
      <c r="DR155" s="858"/>
      <c r="DS155" s="858"/>
      <c r="DT155" s="858"/>
      <c r="DU155" s="858"/>
      <c r="DV155" s="858"/>
      <c r="DW155" s="858"/>
      <c r="DX155" s="858"/>
      <c r="DY155" s="858"/>
      <c r="DZ155" s="858"/>
      <c r="EA155" s="858"/>
      <c r="EB155" s="858"/>
      <c r="EC155" s="858"/>
      <c r="ED155" s="858"/>
      <c r="EE155" s="858"/>
      <c r="EF155" s="858"/>
      <c r="EG155" s="858"/>
      <c r="EH155" s="858"/>
      <c r="EI155" s="858"/>
      <c r="EJ155" s="858"/>
      <c r="EK155" s="858"/>
      <c r="EL155" s="858"/>
      <c r="EM155" s="858"/>
      <c r="EN155" s="858"/>
      <c r="EO155" s="858"/>
      <c r="EP155" s="858"/>
      <c r="EQ155" s="858"/>
      <c r="ER155" s="858"/>
      <c r="ES155" s="858"/>
      <c r="ET155" s="858"/>
      <c r="EU155" s="858"/>
      <c r="EV155" s="858"/>
      <c r="EW155" s="858"/>
      <c r="EX155" s="858"/>
      <c r="EY155" s="858"/>
      <c r="EZ155" s="858"/>
      <c r="FA155" s="858"/>
      <c r="FB155" s="858"/>
      <c r="FC155" s="858"/>
      <c r="FD155" s="858"/>
      <c r="FE155" s="858"/>
      <c r="FF155" s="858"/>
      <c r="FG155" s="858"/>
      <c r="FH155" s="858"/>
      <c r="FI155" s="858"/>
      <c r="FJ155" s="858"/>
      <c r="FK155" s="858"/>
      <c r="FL155" s="858"/>
      <c r="FM155" s="858"/>
      <c r="FN155" s="858"/>
      <c r="FO155" s="858"/>
      <c r="FP155" s="858"/>
      <c r="FQ155" s="858"/>
      <c r="FR155" s="858"/>
      <c r="FS155" s="858"/>
      <c r="FT155" s="858"/>
      <c r="FU155" s="858"/>
      <c r="FV155" s="858"/>
      <c r="FW155" s="858"/>
      <c r="FX155" s="858"/>
      <c r="FY155" s="858"/>
      <c r="FZ155" s="858"/>
      <c r="GA155" s="858"/>
      <c r="GB155" s="858"/>
      <c r="GC155" s="858"/>
      <c r="GD155" s="858"/>
      <c r="GE155" s="858"/>
      <c r="GF155" s="858"/>
      <c r="GG155" s="858"/>
      <c r="GH155" s="858"/>
      <c r="GI155" s="858"/>
      <c r="GJ155" s="858"/>
      <c r="GK155" s="858"/>
      <c r="GL155" s="858"/>
      <c r="GM155" s="858"/>
      <c r="GN155" s="858"/>
      <c r="GO155" s="858"/>
      <c r="GP155" s="858"/>
      <c r="GQ155" s="858"/>
      <c r="GR155" s="858"/>
      <c r="GS155" s="858"/>
      <c r="GT155" s="858"/>
      <c r="GU155" s="858"/>
      <c r="GV155" s="858"/>
      <c r="GW155" s="858"/>
      <c r="GX155" s="858"/>
      <c r="GY155" s="858"/>
      <c r="GZ155" s="858"/>
      <c r="HA155" s="858"/>
      <c r="HB155" s="858"/>
      <c r="HC155" s="858"/>
      <c r="HD155" s="858"/>
      <c r="HE155" s="858"/>
      <c r="HF155" s="858"/>
      <c r="HG155" s="858"/>
      <c r="HH155" s="858"/>
      <c r="HI155" s="858"/>
      <c r="HJ155" s="858"/>
      <c r="HK155" s="858"/>
      <c r="HL155" s="858"/>
      <c r="HM155" s="858"/>
      <c r="HN155" s="858"/>
      <c r="HO155" s="858"/>
      <c r="HP155" s="858"/>
      <c r="HQ155" s="858"/>
      <c r="HR155" s="858"/>
      <c r="HS155" s="858"/>
      <c r="HT155" s="858"/>
      <c r="HU155" s="858"/>
      <c r="HV155" s="858"/>
      <c r="HW155" s="858"/>
      <c r="HX155" s="858"/>
      <c r="HY155" s="858"/>
      <c r="HZ155" s="858"/>
      <c r="IA155" s="858"/>
      <c r="IB155" s="858"/>
      <c r="IC155" s="858"/>
      <c r="ID155" s="858"/>
      <c r="IE155" s="858"/>
      <c r="IF155" s="858"/>
      <c r="IG155" s="858"/>
      <c r="IH155" s="858"/>
      <c r="II155" s="858"/>
      <c r="IJ155" s="858"/>
      <c r="IK155" s="858"/>
      <c r="IL155" s="858"/>
      <c r="IM155" s="858"/>
      <c r="IN155" s="858"/>
    </row>
    <row r="156" spans="1:248">
      <c r="A156" s="564" t="s">
        <v>21</v>
      </c>
      <c r="B156" s="566">
        <v>5356.2</v>
      </c>
      <c r="C156" s="859">
        <v>32.190636456517815</v>
      </c>
      <c r="D156" s="567">
        <v>6178.7</v>
      </c>
      <c r="E156" s="859">
        <v>37.133842178015506</v>
      </c>
      <c r="F156" s="859">
        <v>-822.5</v>
      </c>
      <c r="G156" s="859">
        <f t="shared" si="28"/>
        <v>-4.9432057214976863</v>
      </c>
      <c r="H156" s="27">
        <v>16639</v>
      </c>
      <c r="I156" s="858"/>
      <c r="J156" s="858"/>
      <c r="K156" s="858"/>
      <c r="L156" s="858"/>
      <c r="M156" s="858"/>
      <c r="N156" s="858"/>
      <c r="O156" s="858"/>
      <c r="P156" s="858"/>
      <c r="Q156" s="858"/>
      <c r="R156" s="858"/>
      <c r="S156" s="858"/>
      <c r="T156" s="858"/>
      <c r="U156" s="858"/>
      <c r="V156" s="858"/>
      <c r="W156" s="858"/>
      <c r="X156" s="858"/>
      <c r="Y156" s="858"/>
      <c r="Z156" s="858"/>
      <c r="AA156" s="858"/>
      <c r="AB156" s="858"/>
      <c r="AC156" s="858"/>
      <c r="AD156" s="858"/>
      <c r="AE156" s="858"/>
      <c r="AF156" s="858"/>
      <c r="AG156" s="858"/>
      <c r="AH156" s="858"/>
      <c r="AI156" s="858"/>
      <c r="AJ156" s="858"/>
      <c r="AK156" s="858"/>
      <c r="AL156" s="858"/>
      <c r="AM156" s="858"/>
      <c r="AN156" s="858"/>
      <c r="AO156" s="858"/>
      <c r="AP156" s="858"/>
      <c r="AQ156" s="858"/>
      <c r="AR156" s="858"/>
      <c r="AS156" s="858"/>
      <c r="AT156" s="858"/>
      <c r="AU156" s="858"/>
      <c r="AV156" s="858"/>
      <c r="AW156" s="858"/>
      <c r="AX156" s="858"/>
      <c r="AY156" s="858"/>
      <c r="AZ156" s="858"/>
      <c r="BA156" s="858"/>
      <c r="BB156" s="858"/>
      <c r="BC156" s="858"/>
      <c r="BD156" s="858"/>
      <c r="BE156" s="858"/>
      <c r="BF156" s="858"/>
      <c r="BG156" s="858"/>
      <c r="BH156" s="858"/>
      <c r="BI156" s="858"/>
      <c r="BJ156" s="858"/>
      <c r="BK156" s="858"/>
      <c r="BL156" s="858"/>
      <c r="BM156" s="858"/>
      <c r="BN156" s="858"/>
      <c r="BO156" s="858"/>
      <c r="BP156" s="858"/>
      <c r="BQ156" s="858"/>
      <c r="BR156" s="858"/>
      <c r="BS156" s="858"/>
      <c r="BT156" s="858"/>
      <c r="BU156" s="858"/>
      <c r="BV156" s="858"/>
      <c r="BW156" s="858"/>
      <c r="BX156" s="858"/>
      <c r="BY156" s="858"/>
      <c r="BZ156" s="858"/>
      <c r="CA156" s="858"/>
      <c r="CB156" s="858"/>
      <c r="CC156" s="858"/>
      <c r="CD156" s="858"/>
      <c r="CE156" s="858"/>
      <c r="CF156" s="858"/>
      <c r="CG156" s="858"/>
      <c r="CH156" s="858"/>
      <c r="CI156" s="858"/>
      <c r="CJ156" s="858"/>
      <c r="CK156" s="858"/>
      <c r="CL156" s="858"/>
      <c r="CM156" s="858"/>
      <c r="CN156" s="858"/>
      <c r="CO156" s="858"/>
      <c r="CP156" s="858"/>
      <c r="CQ156" s="858"/>
      <c r="CR156" s="858"/>
      <c r="CS156" s="858"/>
      <c r="CT156" s="858"/>
      <c r="CU156" s="858"/>
      <c r="CV156" s="858"/>
      <c r="CW156" s="858"/>
      <c r="CX156" s="858"/>
      <c r="CY156" s="858"/>
      <c r="CZ156" s="858"/>
      <c r="DA156" s="858"/>
      <c r="DB156" s="858"/>
      <c r="DC156" s="858"/>
      <c r="DD156" s="858"/>
      <c r="DE156" s="858"/>
      <c r="DF156" s="858"/>
      <c r="DG156" s="858"/>
      <c r="DH156" s="858"/>
      <c r="DI156" s="858"/>
      <c r="DJ156" s="858"/>
      <c r="DK156" s="858"/>
      <c r="DL156" s="858"/>
      <c r="DM156" s="858"/>
      <c r="DN156" s="858"/>
      <c r="DO156" s="858"/>
      <c r="DP156" s="858"/>
      <c r="DQ156" s="858"/>
      <c r="DR156" s="858"/>
      <c r="DS156" s="858"/>
      <c r="DT156" s="858"/>
      <c r="DU156" s="858"/>
      <c r="DV156" s="858"/>
      <c r="DW156" s="858"/>
      <c r="DX156" s="858"/>
      <c r="DY156" s="858"/>
      <c r="DZ156" s="858"/>
      <c r="EA156" s="858"/>
      <c r="EB156" s="858"/>
      <c r="EC156" s="858"/>
      <c r="ED156" s="858"/>
      <c r="EE156" s="858"/>
      <c r="EF156" s="858"/>
      <c r="EG156" s="858"/>
      <c r="EH156" s="858"/>
      <c r="EI156" s="858"/>
      <c r="EJ156" s="858"/>
      <c r="EK156" s="858"/>
      <c r="EL156" s="858"/>
      <c r="EM156" s="858"/>
      <c r="EN156" s="858"/>
      <c r="EO156" s="858"/>
      <c r="EP156" s="858"/>
      <c r="EQ156" s="858"/>
      <c r="ER156" s="858"/>
      <c r="ES156" s="858"/>
      <c r="ET156" s="858"/>
      <c r="EU156" s="858"/>
      <c r="EV156" s="858"/>
      <c r="EW156" s="858"/>
      <c r="EX156" s="858"/>
      <c r="EY156" s="858"/>
      <c r="EZ156" s="858"/>
      <c r="FA156" s="858"/>
      <c r="FB156" s="858"/>
      <c r="FC156" s="858"/>
      <c r="FD156" s="858"/>
      <c r="FE156" s="858"/>
      <c r="FF156" s="858"/>
      <c r="FG156" s="858"/>
      <c r="FH156" s="858"/>
      <c r="FI156" s="858"/>
      <c r="FJ156" s="858"/>
      <c r="FK156" s="858"/>
      <c r="FL156" s="858"/>
      <c r="FM156" s="858"/>
      <c r="FN156" s="858"/>
      <c r="FO156" s="858"/>
      <c r="FP156" s="858"/>
      <c r="FQ156" s="858"/>
      <c r="FR156" s="858"/>
      <c r="FS156" s="858"/>
      <c r="FT156" s="858"/>
      <c r="FU156" s="858"/>
      <c r="FV156" s="858"/>
      <c r="FW156" s="858"/>
      <c r="FX156" s="858"/>
      <c r="FY156" s="858"/>
      <c r="FZ156" s="858"/>
      <c r="GA156" s="858"/>
      <c r="GB156" s="858"/>
      <c r="GC156" s="858"/>
      <c r="GD156" s="858"/>
      <c r="GE156" s="858"/>
      <c r="GF156" s="858"/>
      <c r="GG156" s="858"/>
      <c r="GH156" s="858"/>
      <c r="GI156" s="858"/>
      <c r="GJ156" s="858"/>
      <c r="GK156" s="858"/>
      <c r="GL156" s="858"/>
      <c r="GM156" s="858"/>
      <c r="GN156" s="858"/>
      <c r="GO156" s="858"/>
      <c r="GP156" s="858"/>
      <c r="GQ156" s="858"/>
      <c r="GR156" s="858"/>
      <c r="GS156" s="858"/>
      <c r="GT156" s="858"/>
      <c r="GU156" s="858"/>
      <c r="GV156" s="858"/>
      <c r="GW156" s="858"/>
      <c r="GX156" s="858"/>
      <c r="GY156" s="858"/>
      <c r="GZ156" s="858"/>
      <c r="HA156" s="858"/>
      <c r="HB156" s="858"/>
      <c r="HC156" s="858"/>
      <c r="HD156" s="858"/>
      <c r="HE156" s="858"/>
      <c r="HF156" s="858"/>
      <c r="HG156" s="858"/>
      <c r="HH156" s="858"/>
      <c r="HI156" s="858"/>
      <c r="HJ156" s="858"/>
      <c r="HK156" s="858"/>
      <c r="HL156" s="858"/>
      <c r="HM156" s="858"/>
      <c r="HN156" s="858"/>
      <c r="HO156" s="858"/>
      <c r="HP156" s="858"/>
      <c r="HQ156" s="858"/>
      <c r="HR156" s="858"/>
      <c r="HS156" s="858"/>
      <c r="HT156" s="858"/>
      <c r="HU156" s="858"/>
      <c r="HV156" s="858"/>
      <c r="HW156" s="858"/>
      <c r="HX156" s="858"/>
      <c r="HY156" s="858"/>
      <c r="HZ156" s="858"/>
      <c r="IA156" s="858"/>
      <c r="IB156" s="858"/>
      <c r="IC156" s="858"/>
      <c r="ID156" s="858"/>
      <c r="IE156" s="858"/>
      <c r="IF156" s="858"/>
      <c r="IG156" s="858"/>
      <c r="IH156" s="858"/>
      <c r="II156" s="858"/>
      <c r="IJ156" s="858"/>
      <c r="IK156" s="858"/>
      <c r="IL156" s="858"/>
      <c r="IM156" s="858"/>
      <c r="IN156" s="858"/>
    </row>
    <row r="157" spans="1:248">
      <c r="A157" s="564" t="s">
        <v>22</v>
      </c>
      <c r="B157" s="566">
        <v>6424.4</v>
      </c>
      <c r="C157" s="859">
        <v>30.09890228304512</v>
      </c>
      <c r="D157" s="567">
        <v>7330.2</v>
      </c>
      <c r="E157" s="859">
        <v>34.34265822725505</v>
      </c>
      <c r="F157" s="859">
        <v>-906.1</v>
      </c>
      <c r="G157" s="859">
        <f t="shared" si="28"/>
        <v>-4.2451614716809649</v>
      </c>
      <c r="H157" s="27">
        <v>21344.3</v>
      </c>
      <c r="I157" s="858"/>
      <c r="J157" s="858"/>
      <c r="K157" s="858"/>
      <c r="L157" s="858"/>
      <c r="M157" s="858"/>
      <c r="N157" s="858"/>
      <c r="O157" s="858"/>
      <c r="P157" s="858"/>
      <c r="Q157" s="858"/>
      <c r="R157" s="858"/>
      <c r="S157" s="858"/>
      <c r="T157" s="858"/>
      <c r="U157" s="858"/>
      <c r="V157" s="858"/>
      <c r="W157" s="858"/>
      <c r="X157" s="858"/>
      <c r="Y157" s="858"/>
      <c r="Z157" s="858"/>
      <c r="AA157" s="858"/>
      <c r="AB157" s="858"/>
      <c r="AC157" s="858"/>
      <c r="AD157" s="858"/>
      <c r="AE157" s="858"/>
      <c r="AF157" s="858"/>
      <c r="AG157" s="858"/>
      <c r="AH157" s="858"/>
      <c r="AI157" s="858"/>
      <c r="AJ157" s="858"/>
      <c r="AK157" s="858"/>
      <c r="AL157" s="858"/>
      <c r="AM157" s="858"/>
      <c r="AN157" s="858"/>
      <c r="AO157" s="858"/>
      <c r="AP157" s="858"/>
      <c r="AQ157" s="858"/>
      <c r="AR157" s="858"/>
      <c r="AS157" s="858"/>
      <c r="AT157" s="858"/>
      <c r="AU157" s="858"/>
      <c r="AV157" s="858"/>
      <c r="AW157" s="858"/>
      <c r="AX157" s="858"/>
      <c r="AY157" s="858"/>
      <c r="AZ157" s="858"/>
      <c r="BA157" s="858"/>
      <c r="BB157" s="858"/>
      <c r="BC157" s="858"/>
      <c r="BD157" s="858"/>
      <c r="BE157" s="858"/>
      <c r="BF157" s="858"/>
      <c r="BG157" s="858"/>
      <c r="BH157" s="858"/>
      <c r="BI157" s="858"/>
      <c r="BJ157" s="858"/>
      <c r="BK157" s="858"/>
      <c r="BL157" s="858"/>
      <c r="BM157" s="858"/>
      <c r="BN157" s="858"/>
      <c r="BO157" s="858"/>
      <c r="BP157" s="858"/>
      <c r="BQ157" s="858"/>
      <c r="BR157" s="858"/>
      <c r="BS157" s="858"/>
      <c r="BT157" s="858"/>
      <c r="BU157" s="858"/>
      <c r="BV157" s="858"/>
      <c r="BW157" s="858"/>
      <c r="BX157" s="858"/>
      <c r="BY157" s="858"/>
      <c r="BZ157" s="858"/>
      <c r="CA157" s="858"/>
      <c r="CB157" s="858"/>
      <c r="CC157" s="858"/>
      <c r="CD157" s="858"/>
      <c r="CE157" s="858"/>
      <c r="CF157" s="858"/>
      <c r="CG157" s="858"/>
      <c r="CH157" s="858"/>
      <c r="CI157" s="858"/>
      <c r="CJ157" s="858"/>
      <c r="CK157" s="858"/>
      <c r="CL157" s="858"/>
      <c r="CM157" s="858"/>
      <c r="CN157" s="858"/>
      <c r="CO157" s="858"/>
      <c r="CP157" s="858"/>
      <c r="CQ157" s="858"/>
      <c r="CR157" s="858"/>
      <c r="CS157" s="858"/>
      <c r="CT157" s="858"/>
      <c r="CU157" s="858"/>
      <c r="CV157" s="858"/>
      <c r="CW157" s="858"/>
      <c r="CX157" s="858"/>
      <c r="CY157" s="858"/>
      <c r="CZ157" s="858"/>
      <c r="DA157" s="858"/>
      <c r="DB157" s="858"/>
      <c r="DC157" s="858"/>
      <c r="DD157" s="858"/>
      <c r="DE157" s="858"/>
      <c r="DF157" s="858"/>
      <c r="DG157" s="858"/>
      <c r="DH157" s="858"/>
      <c r="DI157" s="858"/>
      <c r="DJ157" s="858"/>
      <c r="DK157" s="858"/>
      <c r="DL157" s="858"/>
      <c r="DM157" s="858"/>
      <c r="DN157" s="858"/>
      <c r="DO157" s="858"/>
      <c r="DP157" s="858"/>
      <c r="DQ157" s="858"/>
      <c r="DR157" s="858"/>
      <c r="DS157" s="858"/>
      <c r="DT157" s="858"/>
      <c r="DU157" s="858"/>
      <c r="DV157" s="858"/>
      <c r="DW157" s="858"/>
      <c r="DX157" s="858"/>
      <c r="DY157" s="858"/>
      <c r="DZ157" s="858"/>
      <c r="EA157" s="858"/>
      <c r="EB157" s="858"/>
      <c r="EC157" s="858"/>
      <c r="ED157" s="858"/>
      <c r="EE157" s="858"/>
      <c r="EF157" s="858"/>
      <c r="EG157" s="858"/>
      <c r="EH157" s="858"/>
      <c r="EI157" s="858"/>
      <c r="EJ157" s="858"/>
      <c r="EK157" s="858"/>
      <c r="EL157" s="858"/>
      <c r="EM157" s="858"/>
      <c r="EN157" s="858"/>
      <c r="EO157" s="858"/>
      <c r="EP157" s="858"/>
      <c r="EQ157" s="858"/>
      <c r="ER157" s="858"/>
      <c r="ES157" s="858"/>
      <c r="ET157" s="858"/>
      <c r="EU157" s="858"/>
      <c r="EV157" s="858"/>
      <c r="EW157" s="858"/>
      <c r="EX157" s="858"/>
      <c r="EY157" s="858"/>
      <c r="EZ157" s="858"/>
      <c r="FA157" s="858"/>
      <c r="FB157" s="858"/>
      <c r="FC157" s="858"/>
      <c r="FD157" s="858"/>
      <c r="FE157" s="858"/>
      <c r="FF157" s="858"/>
      <c r="FG157" s="858"/>
      <c r="FH157" s="858"/>
      <c r="FI157" s="858"/>
      <c r="FJ157" s="858"/>
      <c r="FK157" s="858"/>
      <c r="FL157" s="858"/>
      <c r="FM157" s="858"/>
      <c r="FN157" s="858"/>
      <c r="FO157" s="858"/>
      <c r="FP157" s="858"/>
      <c r="FQ157" s="858"/>
      <c r="FR157" s="858"/>
      <c r="FS157" s="858"/>
      <c r="FT157" s="858"/>
      <c r="FU157" s="858"/>
      <c r="FV157" s="858"/>
      <c r="FW157" s="858"/>
      <c r="FX157" s="858"/>
      <c r="FY157" s="858"/>
      <c r="FZ157" s="858"/>
      <c r="GA157" s="858"/>
      <c r="GB157" s="858"/>
      <c r="GC157" s="858"/>
      <c r="GD157" s="858"/>
      <c r="GE157" s="858"/>
      <c r="GF157" s="858"/>
      <c r="GG157" s="858"/>
      <c r="GH157" s="858"/>
      <c r="GI157" s="858"/>
      <c r="GJ157" s="858"/>
      <c r="GK157" s="858"/>
      <c r="GL157" s="858"/>
      <c r="GM157" s="858"/>
      <c r="GN157" s="858"/>
      <c r="GO157" s="858"/>
      <c r="GP157" s="858"/>
      <c r="GQ157" s="858"/>
      <c r="GR157" s="858"/>
      <c r="GS157" s="858"/>
      <c r="GT157" s="858"/>
      <c r="GU157" s="858"/>
      <c r="GV157" s="858"/>
      <c r="GW157" s="858"/>
      <c r="GX157" s="858"/>
      <c r="GY157" s="858"/>
      <c r="GZ157" s="858"/>
      <c r="HA157" s="858"/>
      <c r="HB157" s="858"/>
      <c r="HC157" s="858"/>
      <c r="HD157" s="858"/>
      <c r="HE157" s="858"/>
      <c r="HF157" s="858"/>
      <c r="HG157" s="858"/>
      <c r="HH157" s="858"/>
      <c r="HI157" s="858"/>
      <c r="HJ157" s="858"/>
      <c r="HK157" s="858"/>
      <c r="HL157" s="858"/>
      <c r="HM157" s="858"/>
      <c r="HN157" s="858"/>
      <c r="HO157" s="858"/>
      <c r="HP157" s="858"/>
      <c r="HQ157" s="858"/>
      <c r="HR157" s="858"/>
      <c r="HS157" s="858"/>
      <c r="HT157" s="858"/>
      <c r="HU157" s="858"/>
      <c r="HV157" s="858"/>
      <c r="HW157" s="858"/>
      <c r="HX157" s="858"/>
      <c r="HY157" s="858"/>
      <c r="HZ157" s="858"/>
      <c r="IA157" s="858"/>
      <c r="IB157" s="858"/>
      <c r="IC157" s="858"/>
      <c r="ID157" s="858"/>
      <c r="IE157" s="858"/>
      <c r="IF157" s="858"/>
      <c r="IG157" s="858"/>
      <c r="IH157" s="858"/>
      <c r="II157" s="858"/>
      <c r="IJ157" s="858"/>
      <c r="IK157" s="858"/>
      <c r="IL157" s="858"/>
      <c r="IM157" s="858"/>
      <c r="IN157" s="858"/>
    </row>
    <row r="158" spans="1:248">
      <c r="A158" s="564" t="s">
        <v>23</v>
      </c>
      <c r="B158" s="566">
        <v>7806.9</v>
      </c>
      <c r="C158" s="859">
        <v>29.723473354375194</v>
      </c>
      <c r="D158" s="567">
        <v>8577.7999999999993</v>
      </c>
      <c r="E158" s="859">
        <v>32.658546893025346</v>
      </c>
      <c r="F158" s="859">
        <v>-770.9</v>
      </c>
      <c r="G158" s="859">
        <f t="shared" si="28"/>
        <v>-2.9350735386501481</v>
      </c>
      <c r="H158" s="27">
        <v>26265.1</v>
      </c>
      <c r="I158" s="858"/>
      <c r="J158" s="858"/>
      <c r="K158" s="858"/>
      <c r="L158" s="858"/>
      <c r="M158" s="858"/>
      <c r="N158" s="858"/>
      <c r="O158" s="858"/>
      <c r="P158" s="858"/>
      <c r="Q158" s="858"/>
      <c r="R158" s="858"/>
      <c r="S158" s="858"/>
      <c r="T158" s="858"/>
      <c r="U158" s="858"/>
      <c r="V158" s="858"/>
      <c r="W158" s="858"/>
      <c r="X158" s="858"/>
      <c r="Y158" s="858"/>
      <c r="Z158" s="858"/>
      <c r="AA158" s="858"/>
      <c r="AB158" s="858"/>
      <c r="AC158" s="858"/>
      <c r="AD158" s="858"/>
      <c r="AE158" s="858"/>
      <c r="AF158" s="858"/>
      <c r="AG158" s="858"/>
      <c r="AH158" s="858"/>
      <c r="AI158" s="858"/>
      <c r="AJ158" s="858"/>
      <c r="AK158" s="858"/>
      <c r="AL158" s="858"/>
      <c r="AM158" s="858"/>
      <c r="AN158" s="858"/>
      <c r="AO158" s="858"/>
      <c r="AP158" s="858"/>
      <c r="AQ158" s="858"/>
      <c r="AR158" s="858"/>
      <c r="AS158" s="858"/>
      <c r="AT158" s="858"/>
      <c r="AU158" s="858"/>
      <c r="AV158" s="858"/>
      <c r="AW158" s="858"/>
      <c r="AX158" s="858"/>
      <c r="AY158" s="858"/>
      <c r="AZ158" s="858"/>
      <c r="BA158" s="858"/>
      <c r="BB158" s="858"/>
      <c r="BC158" s="858"/>
      <c r="BD158" s="858"/>
      <c r="BE158" s="858"/>
      <c r="BF158" s="858"/>
      <c r="BG158" s="858"/>
      <c r="BH158" s="858"/>
      <c r="BI158" s="858"/>
      <c r="BJ158" s="858"/>
      <c r="BK158" s="858"/>
      <c r="BL158" s="858"/>
      <c r="BM158" s="858"/>
      <c r="BN158" s="858"/>
      <c r="BO158" s="858"/>
      <c r="BP158" s="858"/>
      <c r="BQ158" s="858"/>
      <c r="BR158" s="858"/>
      <c r="BS158" s="858"/>
      <c r="BT158" s="858"/>
      <c r="BU158" s="858"/>
      <c r="BV158" s="858"/>
      <c r="BW158" s="858"/>
      <c r="BX158" s="858"/>
      <c r="BY158" s="858"/>
      <c r="BZ158" s="858"/>
      <c r="CA158" s="858"/>
      <c r="CB158" s="858"/>
      <c r="CC158" s="858"/>
      <c r="CD158" s="858"/>
      <c r="CE158" s="858"/>
      <c r="CF158" s="858"/>
      <c r="CG158" s="858"/>
      <c r="CH158" s="858"/>
      <c r="CI158" s="858"/>
      <c r="CJ158" s="858"/>
      <c r="CK158" s="858"/>
      <c r="CL158" s="858"/>
      <c r="CM158" s="858"/>
      <c r="CN158" s="858"/>
      <c r="CO158" s="858"/>
      <c r="CP158" s="858"/>
      <c r="CQ158" s="858"/>
      <c r="CR158" s="858"/>
      <c r="CS158" s="858"/>
      <c r="CT158" s="858"/>
      <c r="CU158" s="858"/>
      <c r="CV158" s="858"/>
      <c r="CW158" s="858"/>
      <c r="CX158" s="858"/>
      <c r="CY158" s="858"/>
      <c r="CZ158" s="858"/>
      <c r="DA158" s="858"/>
      <c r="DB158" s="858"/>
      <c r="DC158" s="858"/>
      <c r="DD158" s="858"/>
      <c r="DE158" s="858"/>
      <c r="DF158" s="858"/>
      <c r="DG158" s="858"/>
      <c r="DH158" s="858"/>
      <c r="DI158" s="858"/>
      <c r="DJ158" s="858"/>
      <c r="DK158" s="858"/>
      <c r="DL158" s="858"/>
      <c r="DM158" s="858"/>
      <c r="DN158" s="858"/>
      <c r="DO158" s="858"/>
      <c r="DP158" s="858"/>
      <c r="DQ158" s="858"/>
      <c r="DR158" s="858"/>
      <c r="DS158" s="858"/>
      <c r="DT158" s="858"/>
      <c r="DU158" s="858"/>
      <c r="DV158" s="858"/>
      <c r="DW158" s="858"/>
      <c r="DX158" s="858"/>
      <c r="DY158" s="858"/>
      <c r="DZ158" s="858"/>
      <c r="EA158" s="858"/>
      <c r="EB158" s="858"/>
      <c r="EC158" s="858"/>
      <c r="ED158" s="858"/>
      <c r="EE158" s="858"/>
      <c r="EF158" s="858"/>
      <c r="EG158" s="858"/>
      <c r="EH158" s="858"/>
      <c r="EI158" s="858"/>
      <c r="EJ158" s="858"/>
      <c r="EK158" s="858"/>
      <c r="EL158" s="858"/>
      <c r="EM158" s="858"/>
      <c r="EN158" s="858"/>
      <c r="EO158" s="858"/>
      <c r="EP158" s="858"/>
      <c r="EQ158" s="858"/>
      <c r="ER158" s="858"/>
      <c r="ES158" s="858"/>
      <c r="ET158" s="858"/>
      <c r="EU158" s="858"/>
      <c r="EV158" s="858"/>
      <c r="EW158" s="858"/>
      <c r="EX158" s="858"/>
      <c r="EY158" s="858"/>
      <c r="EZ158" s="858"/>
      <c r="FA158" s="858"/>
      <c r="FB158" s="858"/>
      <c r="FC158" s="858"/>
      <c r="FD158" s="858"/>
      <c r="FE158" s="858"/>
      <c r="FF158" s="858"/>
      <c r="FG158" s="858"/>
      <c r="FH158" s="858"/>
      <c r="FI158" s="858"/>
      <c r="FJ158" s="858"/>
      <c r="FK158" s="858"/>
      <c r="FL158" s="858"/>
      <c r="FM158" s="858"/>
      <c r="FN158" s="858"/>
      <c r="FO158" s="858"/>
      <c r="FP158" s="858"/>
      <c r="FQ158" s="858"/>
      <c r="FR158" s="858"/>
      <c r="FS158" s="858"/>
      <c r="FT158" s="858"/>
      <c r="FU158" s="858"/>
      <c r="FV158" s="858"/>
      <c r="FW158" s="858"/>
      <c r="FX158" s="858"/>
      <c r="FY158" s="858"/>
      <c r="FZ158" s="858"/>
      <c r="GA158" s="858"/>
      <c r="GB158" s="858"/>
      <c r="GC158" s="858"/>
      <c r="GD158" s="858"/>
      <c r="GE158" s="858"/>
      <c r="GF158" s="858"/>
      <c r="GG158" s="858"/>
      <c r="GH158" s="858"/>
      <c r="GI158" s="858"/>
      <c r="GJ158" s="858"/>
      <c r="GK158" s="858"/>
      <c r="GL158" s="858"/>
      <c r="GM158" s="858"/>
      <c r="GN158" s="858"/>
      <c r="GO158" s="858"/>
      <c r="GP158" s="858"/>
      <c r="GQ158" s="858"/>
      <c r="GR158" s="858"/>
      <c r="GS158" s="858"/>
      <c r="GT158" s="858"/>
      <c r="GU158" s="858"/>
      <c r="GV158" s="858"/>
      <c r="GW158" s="858"/>
      <c r="GX158" s="858"/>
      <c r="GY158" s="858"/>
      <c r="GZ158" s="858"/>
      <c r="HA158" s="858"/>
      <c r="HB158" s="858"/>
      <c r="HC158" s="858"/>
      <c r="HD158" s="858"/>
      <c r="HE158" s="858"/>
      <c r="HF158" s="858"/>
      <c r="HG158" s="858"/>
      <c r="HH158" s="858"/>
      <c r="HI158" s="858"/>
      <c r="HJ158" s="858"/>
      <c r="HK158" s="858"/>
      <c r="HL158" s="858"/>
      <c r="HM158" s="858"/>
      <c r="HN158" s="858"/>
      <c r="HO158" s="858"/>
      <c r="HP158" s="858"/>
      <c r="HQ158" s="858"/>
      <c r="HR158" s="858"/>
      <c r="HS158" s="858"/>
      <c r="HT158" s="858"/>
      <c r="HU158" s="858"/>
      <c r="HV158" s="858"/>
      <c r="HW158" s="858"/>
      <c r="HX158" s="858"/>
      <c r="HY158" s="858"/>
      <c r="HZ158" s="858"/>
      <c r="IA158" s="858"/>
      <c r="IB158" s="858"/>
      <c r="IC158" s="858"/>
      <c r="ID158" s="858"/>
      <c r="IE158" s="858"/>
      <c r="IF158" s="858"/>
      <c r="IG158" s="858"/>
      <c r="IH158" s="858"/>
      <c r="II158" s="858"/>
      <c r="IJ158" s="858"/>
      <c r="IK158" s="858"/>
      <c r="IL158" s="858"/>
      <c r="IM158" s="858"/>
      <c r="IN158" s="858"/>
    </row>
    <row r="159" spans="1:248">
      <c r="A159" s="564" t="s">
        <v>24</v>
      </c>
      <c r="B159" s="566">
        <v>9377.2000000000007</v>
      </c>
      <c r="C159" s="859">
        <v>29.251189269281763</v>
      </c>
      <c r="D159" s="567">
        <v>9972.9</v>
      </c>
      <c r="E159" s="859">
        <v>31.109412773921857</v>
      </c>
      <c r="F159" s="859">
        <v>-595.69999999999891</v>
      </c>
      <c r="G159" s="859">
        <f t="shared" si="28"/>
        <v>-1.8582235046400966</v>
      </c>
      <c r="H159" s="27">
        <v>32057.5</v>
      </c>
      <c r="I159" s="858"/>
      <c r="J159" s="858"/>
      <c r="K159" s="858"/>
      <c r="L159" s="858"/>
      <c r="M159" s="858"/>
      <c r="N159" s="858"/>
      <c r="O159" s="858"/>
      <c r="P159" s="858"/>
      <c r="Q159" s="858"/>
      <c r="R159" s="858"/>
      <c r="S159" s="858"/>
      <c r="T159" s="858"/>
      <c r="U159" s="858"/>
      <c r="V159" s="858"/>
      <c r="W159" s="858"/>
      <c r="X159" s="858"/>
      <c r="Y159" s="858"/>
      <c r="Z159" s="858"/>
      <c r="AA159" s="858"/>
      <c r="AB159" s="858"/>
      <c r="AC159" s="858"/>
      <c r="AD159" s="858"/>
      <c r="AE159" s="858"/>
      <c r="AF159" s="858"/>
      <c r="AG159" s="858"/>
      <c r="AH159" s="858"/>
      <c r="AI159" s="858"/>
      <c r="AJ159" s="858"/>
      <c r="AK159" s="858"/>
      <c r="AL159" s="858"/>
      <c r="AM159" s="858"/>
      <c r="AN159" s="858"/>
      <c r="AO159" s="858"/>
      <c r="AP159" s="858"/>
      <c r="AQ159" s="858"/>
      <c r="AR159" s="858"/>
      <c r="AS159" s="858"/>
      <c r="AT159" s="858"/>
      <c r="AU159" s="858"/>
      <c r="AV159" s="858"/>
      <c r="AW159" s="858"/>
      <c r="AX159" s="858"/>
      <c r="AY159" s="858"/>
      <c r="AZ159" s="858"/>
      <c r="BA159" s="858"/>
      <c r="BB159" s="858"/>
      <c r="BC159" s="858"/>
      <c r="BD159" s="858"/>
      <c r="BE159" s="858"/>
      <c r="BF159" s="858"/>
      <c r="BG159" s="858"/>
      <c r="BH159" s="858"/>
      <c r="BI159" s="858"/>
      <c r="BJ159" s="858"/>
      <c r="BK159" s="858"/>
      <c r="BL159" s="858"/>
      <c r="BM159" s="858"/>
      <c r="BN159" s="858"/>
      <c r="BO159" s="858"/>
      <c r="BP159" s="858"/>
      <c r="BQ159" s="858"/>
      <c r="BR159" s="858"/>
      <c r="BS159" s="858"/>
      <c r="BT159" s="858"/>
      <c r="BU159" s="858"/>
      <c r="BV159" s="858"/>
      <c r="BW159" s="858"/>
      <c r="BX159" s="858"/>
      <c r="BY159" s="858"/>
      <c r="BZ159" s="858"/>
      <c r="CA159" s="858"/>
      <c r="CB159" s="858"/>
      <c r="CC159" s="858"/>
      <c r="CD159" s="858"/>
      <c r="CE159" s="858"/>
      <c r="CF159" s="858"/>
      <c r="CG159" s="858"/>
      <c r="CH159" s="858"/>
      <c r="CI159" s="858"/>
      <c r="CJ159" s="858"/>
      <c r="CK159" s="858"/>
      <c r="CL159" s="858"/>
      <c r="CM159" s="858"/>
      <c r="CN159" s="858"/>
      <c r="CO159" s="858"/>
      <c r="CP159" s="858"/>
      <c r="CQ159" s="858"/>
      <c r="CR159" s="858"/>
      <c r="CS159" s="858"/>
      <c r="CT159" s="858"/>
      <c r="CU159" s="858"/>
      <c r="CV159" s="858"/>
      <c r="CW159" s="858"/>
      <c r="CX159" s="858"/>
      <c r="CY159" s="858"/>
      <c r="CZ159" s="858"/>
      <c r="DA159" s="858"/>
      <c r="DB159" s="858"/>
      <c r="DC159" s="858"/>
      <c r="DD159" s="858"/>
      <c r="DE159" s="858"/>
      <c r="DF159" s="858"/>
      <c r="DG159" s="858"/>
      <c r="DH159" s="858"/>
      <c r="DI159" s="858"/>
      <c r="DJ159" s="858"/>
      <c r="DK159" s="858"/>
      <c r="DL159" s="858"/>
      <c r="DM159" s="858"/>
      <c r="DN159" s="858"/>
      <c r="DO159" s="858"/>
      <c r="DP159" s="858"/>
      <c r="DQ159" s="858"/>
      <c r="DR159" s="858"/>
      <c r="DS159" s="858"/>
      <c r="DT159" s="858"/>
      <c r="DU159" s="858"/>
      <c r="DV159" s="858"/>
      <c r="DW159" s="858"/>
      <c r="DX159" s="858"/>
      <c r="DY159" s="858"/>
      <c r="DZ159" s="858"/>
      <c r="EA159" s="858"/>
      <c r="EB159" s="858"/>
      <c r="EC159" s="858"/>
      <c r="ED159" s="858"/>
      <c r="EE159" s="858"/>
      <c r="EF159" s="858"/>
      <c r="EG159" s="858"/>
      <c r="EH159" s="858"/>
      <c r="EI159" s="858"/>
      <c r="EJ159" s="858"/>
      <c r="EK159" s="858"/>
      <c r="EL159" s="858"/>
      <c r="EM159" s="858"/>
      <c r="EN159" s="858"/>
      <c r="EO159" s="858"/>
      <c r="EP159" s="858"/>
      <c r="EQ159" s="858"/>
      <c r="ER159" s="858"/>
      <c r="ES159" s="858"/>
      <c r="ET159" s="858"/>
      <c r="EU159" s="858"/>
      <c r="EV159" s="858"/>
      <c r="EW159" s="858"/>
      <c r="EX159" s="858"/>
      <c r="EY159" s="858"/>
      <c r="EZ159" s="858"/>
      <c r="FA159" s="858"/>
      <c r="FB159" s="858"/>
      <c r="FC159" s="858"/>
      <c r="FD159" s="858"/>
      <c r="FE159" s="858"/>
      <c r="FF159" s="858"/>
      <c r="FG159" s="858"/>
      <c r="FH159" s="858"/>
      <c r="FI159" s="858"/>
      <c r="FJ159" s="858"/>
      <c r="FK159" s="858"/>
      <c r="FL159" s="858"/>
      <c r="FM159" s="858"/>
      <c r="FN159" s="858"/>
      <c r="FO159" s="858"/>
      <c r="FP159" s="858"/>
      <c r="FQ159" s="858"/>
      <c r="FR159" s="858"/>
      <c r="FS159" s="858"/>
      <c r="FT159" s="858"/>
      <c r="FU159" s="858"/>
      <c r="FV159" s="858"/>
      <c r="FW159" s="858"/>
      <c r="FX159" s="858"/>
      <c r="FY159" s="858"/>
      <c r="FZ159" s="858"/>
      <c r="GA159" s="858"/>
      <c r="GB159" s="858"/>
      <c r="GC159" s="858"/>
      <c r="GD159" s="858"/>
      <c r="GE159" s="858"/>
      <c r="GF159" s="858"/>
      <c r="GG159" s="858"/>
      <c r="GH159" s="858"/>
      <c r="GI159" s="858"/>
      <c r="GJ159" s="858"/>
      <c r="GK159" s="858"/>
      <c r="GL159" s="858"/>
      <c r="GM159" s="858"/>
      <c r="GN159" s="858"/>
      <c r="GO159" s="858"/>
      <c r="GP159" s="858"/>
      <c r="GQ159" s="858"/>
      <c r="GR159" s="858"/>
      <c r="GS159" s="858"/>
      <c r="GT159" s="858"/>
      <c r="GU159" s="858"/>
      <c r="GV159" s="858"/>
      <c r="GW159" s="858"/>
      <c r="GX159" s="858"/>
      <c r="GY159" s="858"/>
      <c r="GZ159" s="858"/>
      <c r="HA159" s="858"/>
      <c r="HB159" s="858"/>
      <c r="HC159" s="858"/>
      <c r="HD159" s="858"/>
      <c r="HE159" s="858"/>
      <c r="HF159" s="858"/>
      <c r="HG159" s="858"/>
      <c r="HH159" s="858"/>
      <c r="HI159" s="858"/>
      <c r="HJ159" s="858"/>
      <c r="HK159" s="858"/>
      <c r="HL159" s="858"/>
      <c r="HM159" s="858"/>
      <c r="HN159" s="858"/>
      <c r="HO159" s="858"/>
      <c r="HP159" s="858"/>
      <c r="HQ159" s="858"/>
      <c r="HR159" s="858"/>
      <c r="HS159" s="858"/>
      <c r="HT159" s="858"/>
      <c r="HU159" s="858"/>
      <c r="HV159" s="858"/>
      <c r="HW159" s="858"/>
      <c r="HX159" s="858"/>
      <c r="HY159" s="858"/>
      <c r="HZ159" s="858"/>
      <c r="IA159" s="858"/>
      <c r="IB159" s="858"/>
      <c r="IC159" s="858"/>
      <c r="ID159" s="858"/>
      <c r="IE159" s="858"/>
      <c r="IF159" s="858"/>
      <c r="IG159" s="858"/>
      <c r="IH159" s="858"/>
      <c r="II159" s="858"/>
      <c r="IJ159" s="858"/>
      <c r="IK159" s="858"/>
      <c r="IL159" s="858"/>
      <c r="IM159" s="858"/>
      <c r="IN159" s="858"/>
    </row>
    <row r="160" spans="1:248">
      <c r="A160" s="564" t="s">
        <v>25</v>
      </c>
      <c r="B160" s="566">
        <v>10667</v>
      </c>
      <c r="C160" s="859">
        <v>29.607856199136219</v>
      </c>
      <c r="D160" s="567">
        <v>10794</v>
      </c>
      <c r="E160" s="859">
        <v>29.960363721147122</v>
      </c>
      <c r="F160" s="859">
        <v>-127</v>
      </c>
      <c r="G160" s="859">
        <f t="shared" si="28"/>
        <v>-0.3525075220109028</v>
      </c>
      <c r="H160" s="27">
        <v>36027.599999999999</v>
      </c>
      <c r="I160" s="858"/>
      <c r="J160" s="858"/>
      <c r="K160" s="858"/>
      <c r="L160" s="858"/>
      <c r="M160" s="858"/>
      <c r="N160" s="858"/>
      <c r="O160" s="858"/>
      <c r="P160" s="858"/>
      <c r="Q160" s="858"/>
      <c r="R160" s="858"/>
      <c r="S160" s="858"/>
      <c r="T160" s="858"/>
      <c r="U160" s="858"/>
      <c r="V160" s="858"/>
      <c r="W160" s="858"/>
      <c r="X160" s="858"/>
      <c r="Y160" s="858"/>
      <c r="Z160" s="858"/>
      <c r="AA160" s="858"/>
      <c r="AB160" s="858"/>
      <c r="AC160" s="858"/>
      <c r="AD160" s="858"/>
      <c r="AE160" s="858"/>
      <c r="AF160" s="858"/>
      <c r="AG160" s="858"/>
      <c r="AH160" s="858"/>
      <c r="AI160" s="858"/>
      <c r="AJ160" s="858"/>
      <c r="AK160" s="858"/>
      <c r="AL160" s="858"/>
      <c r="AM160" s="858"/>
      <c r="AN160" s="858"/>
      <c r="AO160" s="858"/>
      <c r="AP160" s="858"/>
      <c r="AQ160" s="858"/>
      <c r="AR160" s="858"/>
      <c r="AS160" s="858"/>
      <c r="AT160" s="858"/>
      <c r="AU160" s="858"/>
      <c r="AV160" s="858"/>
      <c r="AW160" s="858"/>
      <c r="AX160" s="858"/>
      <c r="AY160" s="858"/>
      <c r="AZ160" s="858"/>
      <c r="BA160" s="858"/>
      <c r="BB160" s="858"/>
      <c r="BC160" s="858"/>
      <c r="BD160" s="858"/>
      <c r="BE160" s="858"/>
      <c r="BF160" s="858"/>
      <c r="BG160" s="858"/>
      <c r="BH160" s="858"/>
      <c r="BI160" s="858"/>
      <c r="BJ160" s="858"/>
      <c r="BK160" s="858"/>
      <c r="BL160" s="858"/>
      <c r="BM160" s="858"/>
      <c r="BN160" s="858"/>
      <c r="BO160" s="858"/>
      <c r="BP160" s="858"/>
      <c r="BQ160" s="858"/>
      <c r="BR160" s="858"/>
      <c r="BS160" s="858"/>
      <c r="BT160" s="858"/>
      <c r="BU160" s="858"/>
      <c r="BV160" s="858"/>
      <c r="BW160" s="858"/>
      <c r="BX160" s="858"/>
      <c r="BY160" s="858"/>
      <c r="BZ160" s="858"/>
      <c r="CA160" s="858"/>
      <c r="CB160" s="858"/>
      <c r="CC160" s="858"/>
      <c r="CD160" s="858"/>
      <c r="CE160" s="858"/>
      <c r="CF160" s="858"/>
      <c r="CG160" s="858"/>
      <c r="CH160" s="858"/>
      <c r="CI160" s="858"/>
      <c r="CJ160" s="858"/>
      <c r="CK160" s="858"/>
      <c r="CL160" s="858"/>
      <c r="CM160" s="858"/>
      <c r="CN160" s="858"/>
      <c r="CO160" s="858"/>
      <c r="CP160" s="858"/>
      <c r="CQ160" s="858"/>
      <c r="CR160" s="858"/>
      <c r="CS160" s="858"/>
      <c r="CT160" s="858"/>
      <c r="CU160" s="858"/>
      <c r="CV160" s="858"/>
      <c r="CW160" s="858"/>
      <c r="CX160" s="858"/>
      <c r="CY160" s="858"/>
      <c r="CZ160" s="858"/>
      <c r="DA160" s="858"/>
      <c r="DB160" s="858"/>
      <c r="DC160" s="858"/>
      <c r="DD160" s="858"/>
      <c r="DE160" s="858"/>
      <c r="DF160" s="858"/>
      <c r="DG160" s="858"/>
      <c r="DH160" s="858"/>
      <c r="DI160" s="858"/>
      <c r="DJ160" s="858"/>
      <c r="DK160" s="858"/>
      <c r="DL160" s="858"/>
      <c r="DM160" s="858"/>
      <c r="DN160" s="858"/>
      <c r="DO160" s="858"/>
      <c r="DP160" s="858"/>
      <c r="DQ160" s="858"/>
      <c r="DR160" s="858"/>
      <c r="DS160" s="858"/>
      <c r="DT160" s="858"/>
      <c r="DU160" s="858"/>
      <c r="DV160" s="858"/>
      <c r="DW160" s="858"/>
      <c r="DX160" s="858"/>
      <c r="DY160" s="858"/>
      <c r="DZ160" s="858"/>
      <c r="EA160" s="858"/>
      <c r="EB160" s="858"/>
      <c r="EC160" s="858"/>
      <c r="ED160" s="858"/>
      <c r="EE160" s="858"/>
      <c r="EF160" s="858"/>
      <c r="EG160" s="858"/>
      <c r="EH160" s="858"/>
      <c r="EI160" s="858"/>
      <c r="EJ160" s="858"/>
      <c r="EK160" s="858"/>
      <c r="EL160" s="858"/>
      <c r="EM160" s="858"/>
      <c r="EN160" s="858"/>
      <c r="EO160" s="858"/>
      <c r="EP160" s="858"/>
      <c r="EQ160" s="858"/>
      <c r="ER160" s="858"/>
      <c r="ES160" s="858"/>
      <c r="ET160" s="858"/>
      <c r="EU160" s="858"/>
      <c r="EV160" s="858"/>
      <c r="EW160" s="858"/>
      <c r="EX160" s="858"/>
      <c r="EY160" s="858"/>
      <c r="EZ160" s="858"/>
      <c r="FA160" s="858"/>
      <c r="FB160" s="858"/>
      <c r="FC160" s="858"/>
      <c r="FD160" s="858"/>
      <c r="FE160" s="858"/>
      <c r="FF160" s="858"/>
      <c r="FG160" s="858"/>
      <c r="FH160" s="858"/>
      <c r="FI160" s="858"/>
      <c r="FJ160" s="858"/>
      <c r="FK160" s="858"/>
      <c r="FL160" s="858"/>
      <c r="FM160" s="858"/>
      <c r="FN160" s="858"/>
      <c r="FO160" s="858"/>
      <c r="FP160" s="858"/>
      <c r="FQ160" s="858"/>
      <c r="FR160" s="858"/>
      <c r="FS160" s="858"/>
      <c r="FT160" s="858"/>
      <c r="FU160" s="858"/>
      <c r="FV160" s="858"/>
      <c r="FW160" s="858"/>
      <c r="FX160" s="858"/>
      <c r="FY160" s="858"/>
      <c r="FZ160" s="858"/>
      <c r="GA160" s="858"/>
      <c r="GB160" s="858"/>
      <c r="GC160" s="858"/>
      <c r="GD160" s="858"/>
      <c r="GE160" s="858"/>
      <c r="GF160" s="858"/>
      <c r="GG160" s="858"/>
      <c r="GH160" s="858"/>
      <c r="GI160" s="858"/>
      <c r="GJ160" s="858"/>
      <c r="GK160" s="858"/>
      <c r="GL160" s="858"/>
      <c r="GM160" s="858"/>
      <c r="GN160" s="858"/>
      <c r="GO160" s="858"/>
      <c r="GP160" s="858"/>
      <c r="GQ160" s="858"/>
      <c r="GR160" s="858"/>
      <c r="GS160" s="858"/>
      <c r="GT160" s="858"/>
      <c r="GU160" s="858"/>
      <c r="GV160" s="858"/>
      <c r="GW160" s="858"/>
      <c r="GX160" s="858"/>
      <c r="GY160" s="858"/>
      <c r="GZ160" s="858"/>
      <c r="HA160" s="858"/>
      <c r="HB160" s="858"/>
      <c r="HC160" s="858"/>
      <c r="HD160" s="858"/>
      <c r="HE160" s="858"/>
      <c r="HF160" s="858"/>
      <c r="HG160" s="858"/>
      <c r="HH160" s="858"/>
      <c r="HI160" s="858"/>
      <c r="HJ160" s="858"/>
      <c r="HK160" s="858"/>
      <c r="HL160" s="858"/>
      <c r="HM160" s="858"/>
      <c r="HN160" s="858"/>
      <c r="HO160" s="858"/>
      <c r="HP160" s="858"/>
      <c r="HQ160" s="858"/>
      <c r="HR160" s="858"/>
      <c r="HS160" s="858"/>
      <c r="HT160" s="858"/>
      <c r="HU160" s="858"/>
      <c r="HV160" s="858"/>
      <c r="HW160" s="858"/>
      <c r="HX160" s="858"/>
      <c r="HY160" s="858"/>
      <c r="HZ160" s="858"/>
      <c r="IA160" s="858"/>
      <c r="IB160" s="858"/>
      <c r="IC160" s="858"/>
      <c r="ID160" s="858"/>
      <c r="IE160" s="858"/>
      <c r="IF160" s="858"/>
      <c r="IG160" s="858"/>
      <c r="IH160" s="858"/>
      <c r="II160" s="858"/>
      <c r="IJ160" s="858"/>
      <c r="IK160" s="858"/>
      <c r="IL160" s="858"/>
      <c r="IM160" s="858"/>
      <c r="IN160" s="858"/>
    </row>
    <row r="161" spans="1:248">
      <c r="A161" s="564" t="s">
        <v>26</v>
      </c>
      <c r="B161" s="566">
        <v>12066.3</v>
      </c>
      <c r="C161" s="859">
        <v>29.662671098174947</v>
      </c>
      <c r="D161" s="567">
        <v>12158.4</v>
      </c>
      <c r="E161" s="859">
        <v>29.889081183134042</v>
      </c>
      <c r="F161" s="859">
        <v>-92.100000000000364</v>
      </c>
      <c r="G161" s="859">
        <f t="shared" si="28"/>
        <v>-0.22641008495909465</v>
      </c>
      <c r="H161" s="27">
        <v>40678.400000000001</v>
      </c>
      <c r="I161" s="858"/>
      <c r="J161" s="858"/>
      <c r="K161" s="858"/>
      <c r="L161" s="858"/>
      <c r="M161" s="858"/>
      <c r="N161" s="858"/>
      <c r="O161" s="858"/>
      <c r="P161" s="858"/>
      <c r="Q161" s="858"/>
      <c r="R161" s="858"/>
      <c r="S161" s="858"/>
      <c r="T161" s="858"/>
      <c r="U161" s="858"/>
      <c r="V161" s="858"/>
      <c r="W161" s="858"/>
      <c r="X161" s="858"/>
      <c r="Y161" s="858"/>
      <c r="Z161" s="858"/>
      <c r="AA161" s="858"/>
      <c r="AB161" s="858"/>
      <c r="AC161" s="858"/>
      <c r="AD161" s="858"/>
      <c r="AE161" s="858"/>
      <c r="AF161" s="858"/>
      <c r="AG161" s="858"/>
      <c r="AH161" s="858"/>
      <c r="AI161" s="858"/>
      <c r="AJ161" s="858"/>
      <c r="AK161" s="858"/>
      <c r="AL161" s="858"/>
      <c r="AM161" s="858"/>
      <c r="AN161" s="858"/>
      <c r="AO161" s="858"/>
      <c r="AP161" s="858"/>
      <c r="AQ161" s="858"/>
      <c r="AR161" s="858"/>
      <c r="AS161" s="858"/>
      <c r="AT161" s="858"/>
      <c r="AU161" s="858"/>
      <c r="AV161" s="858"/>
      <c r="AW161" s="858"/>
      <c r="AX161" s="858"/>
      <c r="AY161" s="858"/>
      <c r="AZ161" s="858"/>
      <c r="BA161" s="858"/>
      <c r="BB161" s="858"/>
      <c r="BC161" s="858"/>
      <c r="BD161" s="858"/>
      <c r="BE161" s="858"/>
      <c r="BF161" s="858"/>
      <c r="BG161" s="858"/>
      <c r="BH161" s="858"/>
      <c r="BI161" s="858"/>
      <c r="BJ161" s="858"/>
      <c r="BK161" s="858"/>
      <c r="BL161" s="858"/>
      <c r="BM161" s="858"/>
      <c r="BN161" s="858"/>
      <c r="BO161" s="858"/>
      <c r="BP161" s="858"/>
      <c r="BQ161" s="858"/>
      <c r="BR161" s="858"/>
      <c r="BS161" s="858"/>
      <c r="BT161" s="858"/>
      <c r="BU161" s="858"/>
      <c r="BV161" s="858"/>
      <c r="BW161" s="858"/>
      <c r="BX161" s="858"/>
      <c r="BY161" s="858"/>
      <c r="BZ161" s="858"/>
      <c r="CA161" s="858"/>
      <c r="CB161" s="858"/>
      <c r="CC161" s="858"/>
      <c r="CD161" s="858"/>
      <c r="CE161" s="858"/>
      <c r="CF161" s="858"/>
      <c r="CG161" s="858"/>
      <c r="CH161" s="858"/>
      <c r="CI161" s="858"/>
      <c r="CJ161" s="858"/>
      <c r="CK161" s="858"/>
      <c r="CL161" s="858"/>
      <c r="CM161" s="858"/>
      <c r="CN161" s="858"/>
      <c r="CO161" s="858"/>
      <c r="CP161" s="858"/>
      <c r="CQ161" s="858"/>
      <c r="CR161" s="858"/>
      <c r="CS161" s="858"/>
      <c r="CT161" s="858"/>
      <c r="CU161" s="858"/>
      <c r="CV161" s="858"/>
      <c r="CW161" s="858"/>
      <c r="CX161" s="858"/>
      <c r="CY161" s="858"/>
      <c r="CZ161" s="858"/>
      <c r="DA161" s="858"/>
      <c r="DB161" s="858"/>
      <c r="DC161" s="858"/>
      <c r="DD161" s="858"/>
      <c r="DE161" s="858"/>
      <c r="DF161" s="858"/>
      <c r="DG161" s="858"/>
      <c r="DH161" s="858"/>
      <c r="DI161" s="858"/>
      <c r="DJ161" s="858"/>
      <c r="DK161" s="858"/>
      <c r="DL161" s="858"/>
      <c r="DM161" s="858"/>
      <c r="DN161" s="858"/>
      <c r="DO161" s="858"/>
      <c r="DP161" s="858"/>
      <c r="DQ161" s="858"/>
      <c r="DR161" s="858"/>
      <c r="DS161" s="858"/>
      <c r="DT161" s="858"/>
      <c r="DU161" s="858"/>
      <c r="DV161" s="858"/>
      <c r="DW161" s="858"/>
      <c r="DX161" s="858"/>
      <c r="DY161" s="858"/>
      <c r="DZ161" s="858"/>
      <c r="EA161" s="858"/>
      <c r="EB161" s="858"/>
      <c r="EC161" s="858"/>
      <c r="ED161" s="858"/>
      <c r="EE161" s="858"/>
      <c r="EF161" s="858"/>
      <c r="EG161" s="858"/>
      <c r="EH161" s="858"/>
      <c r="EI161" s="858"/>
      <c r="EJ161" s="858"/>
      <c r="EK161" s="858"/>
      <c r="EL161" s="858"/>
      <c r="EM161" s="858"/>
      <c r="EN161" s="858"/>
      <c r="EO161" s="858"/>
      <c r="EP161" s="858"/>
      <c r="EQ161" s="858"/>
      <c r="ER161" s="858"/>
      <c r="ES161" s="858"/>
      <c r="ET161" s="858"/>
      <c r="EU161" s="858"/>
      <c r="EV161" s="858"/>
      <c r="EW161" s="858"/>
      <c r="EX161" s="858"/>
      <c r="EY161" s="858"/>
      <c r="EZ161" s="858"/>
      <c r="FA161" s="858"/>
      <c r="FB161" s="858"/>
      <c r="FC161" s="858"/>
      <c r="FD161" s="858"/>
      <c r="FE161" s="858"/>
      <c r="FF161" s="858"/>
      <c r="FG161" s="858"/>
      <c r="FH161" s="858"/>
      <c r="FI161" s="858"/>
      <c r="FJ161" s="858"/>
      <c r="FK161" s="858"/>
      <c r="FL161" s="858"/>
      <c r="FM161" s="858"/>
      <c r="FN161" s="858"/>
      <c r="FO161" s="858"/>
      <c r="FP161" s="858"/>
      <c r="FQ161" s="858"/>
      <c r="FR161" s="858"/>
      <c r="FS161" s="858"/>
      <c r="FT161" s="858"/>
      <c r="FU161" s="858"/>
      <c r="FV161" s="858"/>
      <c r="FW161" s="858"/>
      <c r="FX161" s="858"/>
      <c r="FY161" s="858"/>
      <c r="FZ161" s="858"/>
      <c r="GA161" s="858"/>
      <c r="GB161" s="858"/>
      <c r="GC161" s="858"/>
      <c r="GD161" s="858"/>
      <c r="GE161" s="858"/>
      <c r="GF161" s="858"/>
      <c r="GG161" s="858"/>
      <c r="GH161" s="858"/>
      <c r="GI161" s="858"/>
      <c r="GJ161" s="858"/>
      <c r="GK161" s="858"/>
      <c r="GL161" s="858"/>
      <c r="GM161" s="858"/>
      <c r="GN161" s="858"/>
      <c r="GO161" s="858"/>
      <c r="GP161" s="858"/>
      <c r="GQ161" s="858"/>
      <c r="GR161" s="858"/>
      <c r="GS161" s="858"/>
      <c r="GT161" s="858"/>
      <c r="GU161" s="858"/>
      <c r="GV161" s="858"/>
      <c r="GW161" s="858"/>
      <c r="GX161" s="858"/>
      <c r="GY161" s="858"/>
      <c r="GZ161" s="858"/>
      <c r="HA161" s="858"/>
      <c r="HB161" s="858"/>
      <c r="HC161" s="858"/>
      <c r="HD161" s="858"/>
      <c r="HE161" s="858"/>
      <c r="HF161" s="858"/>
      <c r="HG161" s="858"/>
      <c r="HH161" s="858"/>
      <c r="HI161" s="858"/>
      <c r="HJ161" s="858"/>
      <c r="HK161" s="858"/>
      <c r="HL161" s="858"/>
      <c r="HM161" s="858"/>
      <c r="HN161" s="858"/>
      <c r="HO161" s="858"/>
      <c r="HP161" s="858"/>
      <c r="HQ161" s="858"/>
      <c r="HR161" s="858"/>
      <c r="HS161" s="858"/>
      <c r="HT161" s="858"/>
      <c r="HU161" s="858"/>
      <c r="HV161" s="858"/>
      <c r="HW161" s="858"/>
      <c r="HX161" s="858"/>
      <c r="HY161" s="858"/>
      <c r="HZ161" s="858"/>
      <c r="IA161" s="858"/>
      <c r="IB161" s="858"/>
      <c r="IC161" s="858"/>
      <c r="ID161" s="858"/>
      <c r="IE161" s="858"/>
      <c r="IF161" s="858"/>
      <c r="IG161" s="858"/>
      <c r="IH161" s="858"/>
      <c r="II161" s="858"/>
      <c r="IJ161" s="858"/>
      <c r="IK161" s="858"/>
      <c r="IL161" s="858"/>
      <c r="IM161" s="858"/>
      <c r="IN161" s="858"/>
    </row>
    <row r="162" spans="1:248">
      <c r="A162" s="564" t="s">
        <v>27</v>
      </c>
      <c r="B162" s="566">
        <v>13874.1</v>
      </c>
      <c r="C162" s="859">
        <v>30.203897698476972</v>
      </c>
      <c r="D162" s="567">
        <v>13925.3</v>
      </c>
      <c r="E162" s="859">
        <v>30.315360032045419</v>
      </c>
      <c r="F162" s="859">
        <v>-51.199999999998909</v>
      </c>
      <c r="G162" s="859">
        <f t="shared" si="28"/>
        <v>-0.11146233356844681</v>
      </c>
      <c r="H162" s="27">
        <v>45934.8</v>
      </c>
      <c r="I162" s="858"/>
      <c r="J162" s="858"/>
      <c r="K162" s="858"/>
      <c r="L162" s="858"/>
      <c r="M162" s="858"/>
      <c r="N162" s="858"/>
      <c r="O162" s="858"/>
      <c r="P162" s="858"/>
      <c r="Q162" s="858"/>
      <c r="R162" s="858"/>
      <c r="S162" s="858"/>
      <c r="T162" s="858"/>
      <c r="U162" s="858"/>
      <c r="V162" s="858"/>
      <c r="W162" s="858"/>
      <c r="X162" s="858"/>
      <c r="Y162" s="858"/>
      <c r="Z162" s="858"/>
      <c r="AA162" s="858"/>
      <c r="AB162" s="858"/>
      <c r="AC162" s="858"/>
      <c r="AD162" s="858"/>
      <c r="AE162" s="858"/>
      <c r="AF162" s="858"/>
      <c r="AG162" s="858"/>
      <c r="AH162" s="858"/>
      <c r="AI162" s="858"/>
      <c r="AJ162" s="858"/>
      <c r="AK162" s="858"/>
      <c r="AL162" s="858"/>
      <c r="AM162" s="858"/>
      <c r="AN162" s="858"/>
      <c r="AO162" s="858"/>
      <c r="AP162" s="858"/>
      <c r="AQ162" s="858"/>
      <c r="AR162" s="858"/>
      <c r="AS162" s="858"/>
      <c r="AT162" s="858"/>
      <c r="AU162" s="858"/>
      <c r="AV162" s="858"/>
      <c r="AW162" s="858"/>
      <c r="AX162" s="858"/>
      <c r="AY162" s="858"/>
      <c r="AZ162" s="858"/>
      <c r="BA162" s="858"/>
      <c r="BB162" s="858"/>
      <c r="BC162" s="858"/>
      <c r="BD162" s="858"/>
      <c r="BE162" s="858"/>
      <c r="BF162" s="858"/>
      <c r="BG162" s="858"/>
      <c r="BH162" s="858"/>
      <c r="BI162" s="858"/>
      <c r="BJ162" s="858"/>
      <c r="BK162" s="858"/>
      <c r="BL162" s="858"/>
      <c r="BM162" s="858"/>
      <c r="BN162" s="858"/>
      <c r="BO162" s="858"/>
      <c r="BP162" s="858"/>
      <c r="BQ162" s="858"/>
      <c r="BR162" s="858"/>
      <c r="BS162" s="858"/>
      <c r="BT162" s="858"/>
      <c r="BU162" s="858"/>
      <c r="BV162" s="858"/>
      <c r="BW162" s="858"/>
      <c r="BX162" s="858"/>
      <c r="BY162" s="858"/>
      <c r="BZ162" s="858"/>
      <c r="CA162" s="858"/>
      <c r="CB162" s="858"/>
      <c r="CC162" s="858"/>
      <c r="CD162" s="858"/>
      <c r="CE162" s="858"/>
      <c r="CF162" s="858"/>
      <c r="CG162" s="858"/>
      <c r="CH162" s="858"/>
      <c r="CI162" s="858"/>
      <c r="CJ162" s="858"/>
      <c r="CK162" s="858"/>
      <c r="CL162" s="858"/>
      <c r="CM162" s="858"/>
      <c r="CN162" s="858"/>
      <c r="CO162" s="858"/>
      <c r="CP162" s="858"/>
      <c r="CQ162" s="858"/>
      <c r="CR162" s="858"/>
      <c r="CS162" s="858"/>
      <c r="CT162" s="858"/>
      <c r="CU162" s="858"/>
      <c r="CV162" s="858"/>
      <c r="CW162" s="858"/>
      <c r="CX162" s="858"/>
      <c r="CY162" s="858"/>
      <c r="CZ162" s="858"/>
      <c r="DA162" s="858"/>
      <c r="DB162" s="858"/>
      <c r="DC162" s="858"/>
      <c r="DD162" s="858"/>
      <c r="DE162" s="858"/>
      <c r="DF162" s="858"/>
      <c r="DG162" s="858"/>
      <c r="DH162" s="858"/>
      <c r="DI162" s="858"/>
      <c r="DJ162" s="858"/>
      <c r="DK162" s="858"/>
      <c r="DL162" s="858"/>
      <c r="DM162" s="858"/>
      <c r="DN162" s="858"/>
      <c r="DO162" s="858"/>
      <c r="DP162" s="858"/>
      <c r="DQ162" s="858"/>
      <c r="DR162" s="858"/>
      <c r="DS162" s="858"/>
      <c r="DT162" s="858"/>
      <c r="DU162" s="858"/>
      <c r="DV162" s="858"/>
      <c r="DW162" s="858"/>
      <c r="DX162" s="858"/>
      <c r="DY162" s="858"/>
      <c r="DZ162" s="858"/>
      <c r="EA162" s="858"/>
      <c r="EB162" s="858"/>
      <c r="EC162" s="858"/>
      <c r="ED162" s="858"/>
      <c r="EE162" s="858"/>
      <c r="EF162" s="858"/>
      <c r="EG162" s="858"/>
      <c r="EH162" s="858"/>
      <c r="EI162" s="858"/>
      <c r="EJ162" s="858"/>
      <c r="EK162" s="858"/>
      <c r="EL162" s="858"/>
      <c r="EM162" s="858"/>
      <c r="EN162" s="858"/>
      <c r="EO162" s="858"/>
      <c r="EP162" s="858"/>
      <c r="EQ162" s="858"/>
      <c r="ER162" s="858"/>
      <c r="ES162" s="858"/>
      <c r="ET162" s="858"/>
      <c r="EU162" s="858"/>
      <c r="EV162" s="858"/>
      <c r="EW162" s="858"/>
      <c r="EX162" s="858"/>
      <c r="EY162" s="858"/>
      <c r="EZ162" s="858"/>
      <c r="FA162" s="858"/>
      <c r="FB162" s="858"/>
      <c r="FC162" s="858"/>
      <c r="FD162" s="858"/>
      <c r="FE162" s="858"/>
      <c r="FF162" s="858"/>
      <c r="FG162" s="858"/>
      <c r="FH162" s="858"/>
      <c r="FI162" s="858"/>
      <c r="FJ162" s="858"/>
      <c r="FK162" s="858"/>
      <c r="FL162" s="858"/>
      <c r="FM162" s="858"/>
      <c r="FN162" s="858"/>
      <c r="FO162" s="858"/>
      <c r="FP162" s="858"/>
      <c r="FQ162" s="858"/>
      <c r="FR162" s="858"/>
      <c r="FS162" s="858"/>
      <c r="FT162" s="858"/>
      <c r="FU162" s="858"/>
      <c r="FV162" s="858"/>
      <c r="FW162" s="858"/>
      <c r="FX162" s="858"/>
      <c r="FY162" s="858"/>
      <c r="FZ162" s="858"/>
      <c r="GA162" s="858"/>
      <c r="GB162" s="858"/>
      <c r="GC162" s="858"/>
      <c r="GD162" s="858"/>
      <c r="GE162" s="858"/>
      <c r="GF162" s="858"/>
      <c r="GG162" s="858"/>
      <c r="GH162" s="858"/>
      <c r="GI162" s="858"/>
      <c r="GJ162" s="858"/>
      <c r="GK162" s="858"/>
      <c r="GL162" s="858"/>
      <c r="GM162" s="858"/>
      <c r="GN162" s="858"/>
      <c r="GO162" s="858"/>
      <c r="GP162" s="858"/>
      <c r="GQ162" s="858"/>
      <c r="GR162" s="858"/>
      <c r="GS162" s="858"/>
      <c r="GT162" s="858"/>
      <c r="GU162" s="858"/>
      <c r="GV162" s="858"/>
      <c r="GW162" s="858"/>
      <c r="GX162" s="858"/>
      <c r="GY162" s="858"/>
      <c r="GZ162" s="858"/>
      <c r="HA162" s="858"/>
      <c r="HB162" s="858"/>
      <c r="HC162" s="858"/>
      <c r="HD162" s="858"/>
      <c r="HE162" s="858"/>
      <c r="HF162" s="858"/>
      <c r="HG162" s="858"/>
      <c r="HH162" s="858"/>
      <c r="HI162" s="858"/>
      <c r="HJ162" s="858"/>
      <c r="HK162" s="858"/>
      <c r="HL162" s="858"/>
      <c r="HM162" s="858"/>
      <c r="HN162" s="858"/>
      <c r="HO162" s="858"/>
      <c r="HP162" s="858"/>
      <c r="HQ162" s="858"/>
      <c r="HR162" s="858"/>
      <c r="HS162" s="858"/>
      <c r="HT162" s="858"/>
      <c r="HU162" s="858"/>
      <c r="HV162" s="858"/>
      <c r="HW162" s="858"/>
      <c r="HX162" s="858"/>
      <c r="HY162" s="858"/>
      <c r="HZ162" s="858"/>
      <c r="IA162" s="858"/>
      <c r="IB162" s="858"/>
      <c r="IC162" s="858"/>
      <c r="ID162" s="858"/>
      <c r="IE162" s="858"/>
      <c r="IF162" s="858"/>
      <c r="IG162" s="858"/>
      <c r="IH162" s="858"/>
      <c r="II162" s="858"/>
      <c r="IJ162" s="858"/>
      <c r="IK162" s="858"/>
      <c r="IL162" s="858"/>
      <c r="IM162" s="858"/>
      <c r="IN162" s="858"/>
    </row>
    <row r="163" spans="1:248">
      <c r="A163" s="564" t="s">
        <v>28</v>
      </c>
      <c r="B163" s="566">
        <v>15455.3</v>
      </c>
      <c r="C163" s="859">
        <v>30.875093642311342</v>
      </c>
      <c r="D163" s="567">
        <v>15469.2</v>
      </c>
      <c r="E163" s="859">
        <v>30.902861709034614</v>
      </c>
      <c r="F163" s="859">
        <v>-13.900000000001455</v>
      </c>
      <c r="G163" s="859">
        <f t="shared" si="28"/>
        <v>-2.7768066723271149E-2</v>
      </c>
      <c r="H163" s="27">
        <v>50057.5</v>
      </c>
      <c r="I163" s="858"/>
      <c r="J163" s="858"/>
      <c r="K163" s="858"/>
      <c r="L163" s="858"/>
      <c r="M163" s="858"/>
      <c r="N163" s="858"/>
      <c r="O163" s="858"/>
      <c r="P163" s="858"/>
      <c r="Q163" s="858"/>
      <c r="R163" s="858"/>
      <c r="S163" s="858"/>
      <c r="T163" s="858"/>
      <c r="U163" s="858"/>
      <c r="V163" s="858"/>
      <c r="W163" s="858"/>
      <c r="X163" s="858"/>
      <c r="Y163" s="858"/>
      <c r="Z163" s="858"/>
      <c r="AA163" s="858"/>
      <c r="AB163" s="858"/>
      <c r="AC163" s="858"/>
      <c r="AD163" s="858"/>
      <c r="AE163" s="858"/>
      <c r="AF163" s="858"/>
      <c r="AG163" s="858"/>
      <c r="AH163" s="858"/>
      <c r="AI163" s="858"/>
      <c r="AJ163" s="858"/>
      <c r="AK163" s="858"/>
      <c r="AL163" s="858"/>
      <c r="AM163" s="858"/>
      <c r="AN163" s="858"/>
      <c r="AO163" s="858"/>
      <c r="AP163" s="858"/>
      <c r="AQ163" s="858"/>
      <c r="AR163" s="858"/>
      <c r="AS163" s="858"/>
      <c r="AT163" s="858"/>
      <c r="AU163" s="858"/>
      <c r="AV163" s="858"/>
      <c r="AW163" s="858"/>
      <c r="AX163" s="858"/>
      <c r="AY163" s="858"/>
      <c r="AZ163" s="858"/>
      <c r="BA163" s="858"/>
      <c r="BB163" s="858"/>
      <c r="BC163" s="858"/>
      <c r="BD163" s="858"/>
      <c r="BE163" s="858"/>
      <c r="BF163" s="858"/>
      <c r="BG163" s="858"/>
      <c r="BH163" s="858"/>
      <c r="BI163" s="858"/>
      <c r="BJ163" s="858"/>
      <c r="BK163" s="858"/>
      <c r="BL163" s="858"/>
      <c r="BM163" s="858"/>
      <c r="BN163" s="858"/>
      <c r="BO163" s="858"/>
      <c r="BP163" s="858"/>
      <c r="BQ163" s="858"/>
      <c r="BR163" s="858"/>
      <c r="BS163" s="858"/>
      <c r="BT163" s="858"/>
      <c r="BU163" s="858"/>
      <c r="BV163" s="858"/>
      <c r="BW163" s="858"/>
      <c r="BX163" s="858"/>
      <c r="BY163" s="858"/>
      <c r="BZ163" s="858"/>
      <c r="CA163" s="858"/>
      <c r="CB163" s="858"/>
      <c r="CC163" s="858"/>
      <c r="CD163" s="858"/>
      <c r="CE163" s="858"/>
      <c r="CF163" s="858"/>
      <c r="CG163" s="858"/>
      <c r="CH163" s="858"/>
      <c r="CI163" s="858"/>
      <c r="CJ163" s="858"/>
      <c r="CK163" s="858"/>
      <c r="CL163" s="858"/>
      <c r="CM163" s="858"/>
      <c r="CN163" s="858"/>
      <c r="CO163" s="858"/>
      <c r="CP163" s="858"/>
      <c r="CQ163" s="858"/>
      <c r="CR163" s="858"/>
      <c r="CS163" s="858"/>
      <c r="CT163" s="858"/>
      <c r="CU163" s="858"/>
      <c r="CV163" s="858"/>
      <c r="CW163" s="858"/>
      <c r="CX163" s="858"/>
      <c r="CY163" s="858"/>
      <c r="CZ163" s="858"/>
      <c r="DA163" s="858"/>
      <c r="DB163" s="858"/>
      <c r="DC163" s="858"/>
      <c r="DD163" s="858"/>
      <c r="DE163" s="858"/>
      <c r="DF163" s="858"/>
      <c r="DG163" s="858"/>
      <c r="DH163" s="858"/>
      <c r="DI163" s="858"/>
      <c r="DJ163" s="858"/>
      <c r="DK163" s="858"/>
      <c r="DL163" s="858"/>
      <c r="DM163" s="858"/>
      <c r="DN163" s="858"/>
      <c r="DO163" s="858"/>
      <c r="DP163" s="858"/>
      <c r="DQ163" s="858"/>
      <c r="DR163" s="858"/>
      <c r="DS163" s="858"/>
      <c r="DT163" s="858"/>
      <c r="DU163" s="858"/>
      <c r="DV163" s="858"/>
      <c r="DW163" s="858"/>
      <c r="DX163" s="858"/>
      <c r="DY163" s="858"/>
      <c r="DZ163" s="858"/>
      <c r="EA163" s="858"/>
      <c r="EB163" s="858"/>
      <c r="EC163" s="858"/>
      <c r="ED163" s="858"/>
      <c r="EE163" s="858"/>
      <c r="EF163" s="858"/>
      <c r="EG163" s="858"/>
      <c r="EH163" s="858"/>
      <c r="EI163" s="858"/>
      <c r="EJ163" s="858"/>
      <c r="EK163" s="858"/>
      <c r="EL163" s="858"/>
      <c r="EM163" s="858"/>
      <c r="EN163" s="858"/>
      <c r="EO163" s="858"/>
      <c r="EP163" s="858"/>
      <c r="EQ163" s="858"/>
      <c r="ER163" s="858"/>
      <c r="ES163" s="858"/>
      <c r="ET163" s="858"/>
      <c r="EU163" s="858"/>
      <c r="EV163" s="858"/>
      <c r="EW163" s="858"/>
      <c r="EX163" s="858"/>
      <c r="EY163" s="858"/>
      <c r="EZ163" s="858"/>
      <c r="FA163" s="858"/>
      <c r="FB163" s="858"/>
      <c r="FC163" s="858"/>
      <c r="FD163" s="858"/>
      <c r="FE163" s="858"/>
      <c r="FF163" s="858"/>
      <c r="FG163" s="858"/>
      <c r="FH163" s="858"/>
      <c r="FI163" s="858"/>
      <c r="FJ163" s="858"/>
      <c r="FK163" s="858"/>
      <c r="FL163" s="858"/>
      <c r="FM163" s="858"/>
      <c r="FN163" s="858"/>
      <c r="FO163" s="858"/>
      <c r="FP163" s="858"/>
      <c r="FQ163" s="858"/>
      <c r="FR163" s="858"/>
      <c r="FS163" s="858"/>
      <c r="FT163" s="858"/>
      <c r="FU163" s="858"/>
      <c r="FV163" s="858"/>
      <c r="FW163" s="858"/>
      <c r="FX163" s="858"/>
      <c r="FY163" s="858"/>
      <c r="FZ163" s="858"/>
      <c r="GA163" s="858"/>
      <c r="GB163" s="858"/>
      <c r="GC163" s="858"/>
      <c r="GD163" s="858"/>
      <c r="GE163" s="858"/>
      <c r="GF163" s="858"/>
      <c r="GG163" s="858"/>
      <c r="GH163" s="858"/>
      <c r="GI163" s="858"/>
      <c r="GJ163" s="858"/>
      <c r="GK163" s="858"/>
      <c r="GL163" s="858"/>
      <c r="GM163" s="858"/>
      <c r="GN163" s="858"/>
      <c r="GO163" s="858"/>
      <c r="GP163" s="858"/>
      <c r="GQ163" s="858"/>
      <c r="GR163" s="858"/>
      <c r="GS163" s="858"/>
      <c r="GT163" s="858"/>
      <c r="GU163" s="858"/>
      <c r="GV163" s="858"/>
      <c r="GW163" s="858"/>
      <c r="GX163" s="858"/>
      <c r="GY163" s="858"/>
      <c r="GZ163" s="858"/>
      <c r="HA163" s="858"/>
      <c r="HB163" s="858"/>
      <c r="HC163" s="858"/>
      <c r="HD163" s="858"/>
      <c r="HE163" s="858"/>
      <c r="HF163" s="858"/>
      <c r="HG163" s="858"/>
      <c r="HH163" s="858"/>
      <c r="HI163" s="858"/>
      <c r="HJ163" s="858"/>
      <c r="HK163" s="858"/>
      <c r="HL163" s="858"/>
      <c r="HM163" s="858"/>
      <c r="HN163" s="858"/>
      <c r="HO163" s="858"/>
      <c r="HP163" s="858"/>
      <c r="HQ163" s="858"/>
      <c r="HR163" s="858"/>
      <c r="HS163" s="858"/>
      <c r="HT163" s="858"/>
      <c r="HU163" s="858"/>
      <c r="HV163" s="858"/>
      <c r="HW163" s="858"/>
      <c r="HX163" s="858"/>
      <c r="HY163" s="858"/>
      <c r="HZ163" s="858"/>
      <c r="IA163" s="858"/>
      <c r="IB163" s="858"/>
      <c r="IC163" s="858"/>
      <c r="ID163" s="858"/>
      <c r="IE163" s="858"/>
      <c r="IF163" s="858"/>
      <c r="IG163" s="858"/>
      <c r="IH163" s="858"/>
      <c r="II163" s="858"/>
      <c r="IJ163" s="858"/>
      <c r="IK163" s="858"/>
      <c r="IL163" s="858"/>
      <c r="IM163" s="858"/>
      <c r="IN163" s="858"/>
    </row>
    <row r="164" spans="1:248">
      <c r="A164" s="564" t="s">
        <v>29</v>
      </c>
      <c r="B164" s="566">
        <v>17498</v>
      </c>
      <c r="C164" s="566">
        <f>+B164/H164*100</f>
        <v>32.177271055535122</v>
      </c>
      <c r="D164" s="567">
        <v>17784.5</v>
      </c>
      <c r="E164" s="566">
        <v>32.725138495108702</v>
      </c>
      <c r="F164" s="859">
        <v>-286.5</v>
      </c>
      <c r="G164" s="859">
        <f t="shared" si="28"/>
        <v>-0.52684810592129461</v>
      </c>
      <c r="H164" s="27">
        <v>54380</v>
      </c>
      <c r="I164" s="858"/>
      <c r="J164" s="858"/>
      <c r="K164" s="858"/>
      <c r="L164" s="858"/>
      <c r="M164" s="858"/>
      <c r="N164" s="858"/>
      <c r="O164" s="858"/>
      <c r="P164" s="858"/>
      <c r="Q164" s="858"/>
      <c r="R164" s="858"/>
      <c r="S164" s="858"/>
      <c r="T164" s="858"/>
      <c r="U164" s="858"/>
      <c r="V164" s="858"/>
      <c r="W164" s="858"/>
      <c r="X164" s="858"/>
      <c r="Y164" s="858"/>
      <c r="Z164" s="858"/>
      <c r="AA164" s="858"/>
      <c r="AB164" s="858"/>
      <c r="AC164" s="858"/>
      <c r="AD164" s="858"/>
      <c r="AE164" s="858"/>
      <c r="AF164" s="858"/>
      <c r="AG164" s="858"/>
      <c r="AH164" s="858"/>
      <c r="AI164" s="858"/>
      <c r="AJ164" s="858"/>
      <c r="AK164" s="858"/>
      <c r="AL164" s="858"/>
      <c r="AM164" s="858"/>
      <c r="AN164" s="858"/>
      <c r="AO164" s="858"/>
      <c r="AP164" s="858"/>
      <c r="AQ164" s="858"/>
      <c r="AR164" s="858"/>
      <c r="AS164" s="858"/>
      <c r="AT164" s="858"/>
      <c r="AU164" s="858"/>
      <c r="AV164" s="858"/>
      <c r="AW164" s="858"/>
      <c r="AX164" s="858"/>
      <c r="AY164" s="858"/>
      <c r="AZ164" s="858"/>
      <c r="BA164" s="858"/>
      <c r="BB164" s="858"/>
      <c r="BC164" s="858"/>
      <c r="BD164" s="858"/>
      <c r="BE164" s="858"/>
      <c r="BF164" s="858"/>
      <c r="BG164" s="858"/>
      <c r="BH164" s="858"/>
      <c r="BI164" s="858"/>
      <c r="BJ164" s="858"/>
      <c r="BK164" s="858"/>
      <c r="BL164" s="858"/>
      <c r="BM164" s="858"/>
      <c r="BN164" s="858"/>
      <c r="BO164" s="858"/>
      <c r="BP164" s="858"/>
      <c r="BQ164" s="858"/>
      <c r="BR164" s="858"/>
      <c r="BS164" s="858"/>
      <c r="BT164" s="858"/>
      <c r="BU164" s="858"/>
      <c r="BV164" s="858"/>
      <c r="BW164" s="858"/>
      <c r="BX164" s="858"/>
      <c r="BY164" s="858"/>
      <c r="BZ164" s="858"/>
      <c r="CA164" s="858"/>
      <c r="CB164" s="858"/>
      <c r="CC164" s="858"/>
      <c r="CD164" s="858"/>
      <c r="CE164" s="858"/>
      <c r="CF164" s="858"/>
      <c r="CG164" s="858"/>
      <c r="CH164" s="858"/>
      <c r="CI164" s="858"/>
      <c r="CJ164" s="858"/>
      <c r="CK164" s="858"/>
      <c r="CL164" s="858"/>
      <c r="CM164" s="858"/>
      <c r="CN164" s="858"/>
      <c r="CO164" s="858"/>
      <c r="CP164" s="858"/>
      <c r="CQ164" s="858"/>
      <c r="CR164" s="858"/>
      <c r="CS164" s="858"/>
      <c r="CT164" s="858"/>
      <c r="CU164" s="858"/>
      <c r="CV164" s="858"/>
      <c r="CW164" s="858"/>
      <c r="CX164" s="858"/>
      <c r="CY164" s="858"/>
      <c r="CZ164" s="858"/>
      <c r="DA164" s="858"/>
      <c r="DB164" s="858"/>
      <c r="DC164" s="858"/>
      <c r="DD164" s="858"/>
      <c r="DE164" s="858"/>
      <c r="DF164" s="858"/>
      <c r="DG164" s="858"/>
      <c r="DH164" s="858"/>
      <c r="DI164" s="858"/>
      <c r="DJ164" s="858"/>
      <c r="DK164" s="858"/>
      <c r="DL164" s="858"/>
      <c r="DM164" s="858"/>
      <c r="DN164" s="858"/>
      <c r="DO164" s="858"/>
      <c r="DP164" s="858"/>
      <c r="DQ164" s="858"/>
      <c r="DR164" s="858"/>
      <c r="DS164" s="858"/>
      <c r="DT164" s="858"/>
      <c r="DU164" s="858"/>
      <c r="DV164" s="858"/>
      <c r="DW164" s="858"/>
      <c r="DX164" s="858"/>
      <c r="DY164" s="858"/>
      <c r="DZ164" s="858"/>
      <c r="EA164" s="858"/>
      <c r="EB164" s="858"/>
      <c r="EC164" s="858"/>
      <c r="ED164" s="858"/>
      <c r="EE164" s="858"/>
      <c r="EF164" s="858"/>
      <c r="EG164" s="858"/>
      <c r="EH164" s="858"/>
      <c r="EI164" s="858"/>
      <c r="EJ164" s="858"/>
      <c r="EK164" s="858"/>
      <c r="EL164" s="858"/>
      <c r="EM164" s="858"/>
      <c r="EN164" s="858"/>
      <c r="EO164" s="858"/>
      <c r="EP164" s="858"/>
      <c r="EQ164" s="858"/>
      <c r="ER164" s="858"/>
      <c r="ES164" s="858"/>
      <c r="ET164" s="858"/>
      <c r="EU164" s="858"/>
      <c r="EV164" s="858"/>
      <c r="EW164" s="858"/>
      <c r="EX164" s="858"/>
      <c r="EY164" s="858"/>
      <c r="EZ164" s="858"/>
      <c r="FA164" s="858"/>
      <c r="FB164" s="858"/>
      <c r="FC164" s="858"/>
      <c r="FD164" s="858"/>
      <c r="FE164" s="858"/>
      <c r="FF164" s="858"/>
      <c r="FG164" s="858"/>
      <c r="FH164" s="858"/>
      <c r="FI164" s="858"/>
      <c r="FJ164" s="858"/>
      <c r="FK164" s="858"/>
      <c r="FL164" s="858"/>
      <c r="FM164" s="858"/>
      <c r="FN164" s="858"/>
      <c r="FO164" s="858"/>
      <c r="FP164" s="858"/>
      <c r="FQ164" s="858"/>
      <c r="FR164" s="858"/>
      <c r="FS164" s="858"/>
      <c r="FT164" s="858"/>
      <c r="FU164" s="858"/>
      <c r="FV164" s="858"/>
      <c r="FW164" s="858"/>
      <c r="FX164" s="858"/>
      <c r="FY164" s="858"/>
      <c r="FZ164" s="858"/>
      <c r="GA164" s="858"/>
      <c r="GB164" s="858"/>
      <c r="GC164" s="858"/>
      <c r="GD164" s="858"/>
      <c r="GE164" s="858"/>
      <c r="GF164" s="858"/>
      <c r="GG164" s="858"/>
      <c r="GH164" s="858"/>
      <c r="GI164" s="858"/>
      <c r="GJ164" s="858"/>
      <c r="GK164" s="858"/>
      <c r="GL164" s="858"/>
      <c r="GM164" s="858"/>
      <c r="GN164" s="858"/>
      <c r="GO164" s="858"/>
      <c r="GP164" s="858"/>
      <c r="GQ164" s="858"/>
      <c r="GR164" s="858"/>
      <c r="GS164" s="858"/>
      <c r="GT164" s="858"/>
      <c r="GU164" s="858"/>
      <c r="GV164" s="858"/>
      <c r="GW164" s="858"/>
      <c r="GX164" s="858"/>
      <c r="GY164" s="858"/>
      <c r="GZ164" s="858"/>
      <c r="HA164" s="858"/>
      <c r="HB164" s="858"/>
      <c r="HC164" s="858"/>
      <c r="HD164" s="858"/>
      <c r="HE164" s="858"/>
      <c r="HF164" s="858"/>
      <c r="HG164" s="858"/>
      <c r="HH164" s="858"/>
      <c r="HI164" s="858"/>
      <c r="HJ164" s="858"/>
      <c r="HK164" s="858"/>
      <c r="HL164" s="858"/>
      <c r="HM164" s="858"/>
      <c r="HN164" s="858"/>
      <c r="HO164" s="858"/>
      <c r="HP164" s="858"/>
      <c r="HQ164" s="858"/>
      <c r="HR164" s="858"/>
      <c r="HS164" s="858"/>
      <c r="HT164" s="858"/>
      <c r="HU164" s="858"/>
      <c r="HV164" s="858"/>
      <c r="HW164" s="858"/>
      <c r="HX164" s="858"/>
      <c r="HY164" s="858"/>
      <c r="HZ164" s="858"/>
      <c r="IA164" s="858"/>
      <c r="IB164" s="858"/>
      <c r="IC164" s="858"/>
      <c r="ID164" s="858"/>
      <c r="IE164" s="858"/>
      <c r="IF164" s="858"/>
      <c r="IG164" s="858"/>
      <c r="IH164" s="858"/>
      <c r="II164" s="858"/>
      <c r="IJ164" s="858"/>
      <c r="IK164" s="858"/>
      <c r="IL164" s="858"/>
      <c r="IM164" s="858"/>
      <c r="IN164" s="858"/>
    </row>
    <row r="165" spans="1:248">
      <c r="A165" s="564" t="s">
        <v>1839</v>
      </c>
      <c r="B165" s="561">
        <v>17506</v>
      </c>
      <c r="C165" s="860">
        <v>28.963412615928458</v>
      </c>
      <c r="D165" s="562">
        <v>17751</v>
      </c>
      <c r="E165" s="561">
        <v>29.576729896295411</v>
      </c>
      <c r="F165" s="860">
        <f>B165-D165</f>
        <v>-245</v>
      </c>
      <c r="G165" s="860">
        <v>-0.40208242689751522</v>
      </c>
      <c r="H165" s="27"/>
      <c r="I165" s="858"/>
      <c r="J165" s="858"/>
      <c r="K165" s="858"/>
      <c r="L165" s="858"/>
      <c r="M165" s="858"/>
      <c r="N165" s="858"/>
      <c r="O165" s="858"/>
      <c r="P165" s="858"/>
      <c r="Q165" s="858"/>
      <c r="R165" s="858"/>
      <c r="S165" s="858"/>
      <c r="T165" s="858"/>
      <c r="U165" s="858"/>
      <c r="V165" s="858"/>
      <c r="W165" s="858"/>
      <c r="X165" s="858"/>
      <c r="Y165" s="858"/>
      <c r="Z165" s="858"/>
      <c r="AA165" s="858"/>
      <c r="AB165" s="858"/>
      <c r="AC165" s="858"/>
      <c r="AD165" s="858"/>
      <c r="AE165" s="858"/>
      <c r="AF165" s="858"/>
      <c r="AG165" s="858"/>
      <c r="AH165" s="858"/>
      <c r="AI165" s="858"/>
      <c r="AJ165" s="858"/>
      <c r="AK165" s="858"/>
      <c r="AL165" s="858"/>
      <c r="AM165" s="858"/>
      <c r="AN165" s="858"/>
      <c r="AO165" s="858"/>
      <c r="AP165" s="858"/>
      <c r="AQ165" s="858"/>
      <c r="AR165" s="858"/>
      <c r="AS165" s="858"/>
      <c r="AT165" s="858"/>
      <c r="AU165" s="858"/>
      <c r="AV165" s="858"/>
      <c r="AW165" s="858"/>
      <c r="AX165" s="858"/>
      <c r="AY165" s="858"/>
      <c r="AZ165" s="858"/>
      <c r="BA165" s="858"/>
      <c r="BB165" s="858"/>
      <c r="BC165" s="858"/>
      <c r="BD165" s="858"/>
      <c r="BE165" s="858"/>
      <c r="BF165" s="858"/>
      <c r="BG165" s="858"/>
      <c r="BH165" s="858"/>
      <c r="BI165" s="858"/>
      <c r="BJ165" s="858"/>
      <c r="BK165" s="858"/>
      <c r="BL165" s="858"/>
      <c r="BM165" s="858"/>
      <c r="BN165" s="858"/>
      <c r="BO165" s="858"/>
      <c r="BP165" s="858"/>
      <c r="BQ165" s="858"/>
      <c r="BR165" s="858"/>
      <c r="BS165" s="858"/>
      <c r="BT165" s="858"/>
      <c r="BU165" s="858"/>
      <c r="BV165" s="858"/>
      <c r="BW165" s="858"/>
      <c r="BX165" s="858"/>
      <c r="BY165" s="858"/>
      <c r="BZ165" s="858"/>
      <c r="CA165" s="858"/>
      <c r="CB165" s="858"/>
      <c r="CC165" s="858"/>
      <c r="CD165" s="858"/>
      <c r="CE165" s="858"/>
      <c r="CF165" s="858"/>
      <c r="CG165" s="858"/>
      <c r="CH165" s="858"/>
      <c r="CI165" s="858"/>
      <c r="CJ165" s="858"/>
      <c r="CK165" s="858"/>
      <c r="CL165" s="858"/>
      <c r="CM165" s="858"/>
      <c r="CN165" s="858"/>
      <c r="CO165" s="858"/>
      <c r="CP165" s="858"/>
      <c r="CQ165" s="858"/>
      <c r="CR165" s="858"/>
      <c r="CS165" s="858"/>
      <c r="CT165" s="858"/>
      <c r="CU165" s="858"/>
      <c r="CV165" s="858"/>
      <c r="CW165" s="858"/>
      <c r="CX165" s="858"/>
      <c r="CY165" s="858"/>
      <c r="CZ165" s="858"/>
      <c r="DA165" s="858"/>
      <c r="DB165" s="858"/>
      <c r="DC165" s="858"/>
      <c r="DD165" s="858"/>
      <c r="DE165" s="858"/>
      <c r="DF165" s="858"/>
      <c r="DG165" s="858"/>
      <c r="DH165" s="858"/>
      <c r="DI165" s="858"/>
      <c r="DJ165" s="858"/>
      <c r="DK165" s="858"/>
      <c r="DL165" s="858"/>
      <c r="DM165" s="858"/>
      <c r="DN165" s="858"/>
      <c r="DO165" s="858"/>
      <c r="DP165" s="858"/>
      <c r="DQ165" s="858"/>
      <c r="DR165" s="858"/>
      <c r="DS165" s="858"/>
      <c r="DT165" s="858"/>
      <c r="DU165" s="858"/>
      <c r="DV165" s="858"/>
      <c r="DW165" s="858"/>
      <c r="DX165" s="858"/>
      <c r="DY165" s="858"/>
      <c r="DZ165" s="858"/>
      <c r="EA165" s="858"/>
      <c r="EB165" s="858"/>
      <c r="EC165" s="858"/>
      <c r="ED165" s="858"/>
      <c r="EE165" s="858"/>
      <c r="EF165" s="858"/>
      <c r="EG165" s="858"/>
      <c r="EH165" s="858"/>
      <c r="EI165" s="858"/>
      <c r="EJ165" s="858"/>
      <c r="EK165" s="858"/>
      <c r="EL165" s="858"/>
      <c r="EM165" s="858"/>
      <c r="EN165" s="858"/>
      <c r="EO165" s="858"/>
      <c r="EP165" s="858"/>
      <c r="EQ165" s="858"/>
      <c r="ER165" s="858"/>
      <c r="ES165" s="858"/>
      <c r="ET165" s="858"/>
      <c r="EU165" s="858"/>
      <c r="EV165" s="858"/>
      <c r="EW165" s="858"/>
      <c r="EX165" s="858"/>
      <c r="EY165" s="858"/>
      <c r="EZ165" s="858"/>
      <c r="FA165" s="858"/>
      <c r="FB165" s="858"/>
      <c r="FC165" s="858"/>
      <c r="FD165" s="858"/>
      <c r="FE165" s="858"/>
      <c r="FF165" s="858"/>
      <c r="FG165" s="858"/>
      <c r="FH165" s="858"/>
      <c r="FI165" s="858"/>
      <c r="FJ165" s="858"/>
      <c r="FK165" s="858"/>
      <c r="FL165" s="858"/>
      <c r="FM165" s="858"/>
      <c r="FN165" s="858"/>
      <c r="FO165" s="858"/>
      <c r="FP165" s="858"/>
      <c r="FQ165" s="858"/>
      <c r="FR165" s="858"/>
      <c r="FS165" s="858"/>
      <c r="FT165" s="858"/>
      <c r="FU165" s="858"/>
      <c r="FV165" s="858"/>
      <c r="FW165" s="858"/>
      <c r="FX165" s="858"/>
      <c r="FY165" s="858"/>
      <c r="FZ165" s="858"/>
      <c r="GA165" s="858"/>
      <c r="GB165" s="858"/>
      <c r="GC165" s="858"/>
      <c r="GD165" s="858"/>
      <c r="GE165" s="858"/>
      <c r="GF165" s="858"/>
      <c r="GG165" s="858"/>
      <c r="GH165" s="858"/>
      <c r="GI165" s="858"/>
      <c r="GJ165" s="858"/>
      <c r="GK165" s="858"/>
      <c r="GL165" s="858"/>
      <c r="GM165" s="858"/>
      <c r="GN165" s="858"/>
      <c r="GO165" s="858"/>
      <c r="GP165" s="858"/>
      <c r="GQ165" s="858"/>
      <c r="GR165" s="858"/>
      <c r="GS165" s="858"/>
      <c r="GT165" s="858"/>
      <c r="GU165" s="858"/>
      <c r="GV165" s="858"/>
      <c r="GW165" s="858"/>
      <c r="GX165" s="858"/>
      <c r="GY165" s="858"/>
      <c r="GZ165" s="858"/>
      <c r="HA165" s="858"/>
      <c r="HB165" s="858"/>
      <c r="HC165" s="858"/>
      <c r="HD165" s="858"/>
      <c r="HE165" s="858"/>
      <c r="HF165" s="858"/>
      <c r="HG165" s="858"/>
      <c r="HH165" s="858"/>
      <c r="HI165" s="858"/>
      <c r="HJ165" s="858"/>
      <c r="HK165" s="858"/>
      <c r="HL165" s="858"/>
      <c r="HM165" s="858"/>
      <c r="HN165" s="858"/>
      <c r="HO165" s="858"/>
      <c r="HP165" s="858"/>
      <c r="HQ165" s="858"/>
      <c r="HR165" s="858"/>
      <c r="HS165" s="858"/>
      <c r="HT165" s="858"/>
      <c r="HU165" s="858"/>
      <c r="HV165" s="858"/>
      <c r="HW165" s="858"/>
      <c r="HX165" s="858"/>
      <c r="HY165" s="858"/>
      <c r="HZ165" s="858"/>
      <c r="IA165" s="858"/>
      <c r="IB165" s="858"/>
      <c r="IC165" s="858"/>
      <c r="ID165" s="858"/>
      <c r="IE165" s="858"/>
      <c r="IF165" s="858"/>
      <c r="IG165" s="858"/>
      <c r="IH165" s="858"/>
      <c r="II165" s="858"/>
      <c r="IJ165" s="858"/>
      <c r="IK165" s="858"/>
      <c r="IL165" s="858"/>
      <c r="IM165" s="858"/>
      <c r="IN165" s="858"/>
    </row>
    <row r="166" spans="1:248">
      <c r="A166" s="564" t="s">
        <v>18</v>
      </c>
      <c r="B166" s="566">
        <v>1349.6</v>
      </c>
      <c r="C166" s="859">
        <v>33.645791783007581</v>
      </c>
      <c r="D166" s="567">
        <v>516.4</v>
      </c>
      <c r="E166" s="859">
        <v>12.873952931790985</v>
      </c>
      <c r="F166" s="859">
        <v>833.19999999999993</v>
      </c>
      <c r="G166" s="859">
        <f t="shared" si="28"/>
        <v>20.771838851216593</v>
      </c>
      <c r="H166" s="27">
        <v>4011.2</v>
      </c>
      <c r="I166" s="858"/>
      <c r="J166" s="858"/>
      <c r="K166" s="858"/>
      <c r="L166" s="858"/>
      <c r="M166" s="858"/>
      <c r="N166" s="858"/>
      <c r="O166" s="858"/>
      <c r="P166" s="858"/>
      <c r="Q166" s="858"/>
      <c r="R166" s="858"/>
      <c r="S166" s="858"/>
      <c r="T166" s="858"/>
      <c r="U166" s="858"/>
      <c r="V166" s="858"/>
      <c r="W166" s="858"/>
      <c r="X166" s="858"/>
      <c r="Y166" s="858"/>
      <c r="Z166" s="858"/>
      <c r="AA166" s="858"/>
      <c r="AB166" s="858"/>
      <c r="AC166" s="858"/>
      <c r="AD166" s="858"/>
      <c r="AE166" s="858"/>
      <c r="AF166" s="858"/>
      <c r="AG166" s="858"/>
      <c r="AH166" s="858"/>
      <c r="AI166" s="858"/>
      <c r="AJ166" s="858"/>
      <c r="AK166" s="858"/>
      <c r="AL166" s="858"/>
      <c r="AM166" s="858"/>
      <c r="AN166" s="858"/>
      <c r="AO166" s="858"/>
      <c r="AP166" s="858"/>
      <c r="AQ166" s="858"/>
      <c r="AR166" s="858"/>
      <c r="AS166" s="858"/>
      <c r="AT166" s="858"/>
      <c r="AU166" s="858"/>
      <c r="AV166" s="858"/>
      <c r="AW166" s="858"/>
      <c r="AX166" s="858"/>
      <c r="AY166" s="858"/>
      <c r="AZ166" s="858"/>
      <c r="BA166" s="858"/>
      <c r="BB166" s="858"/>
      <c r="BC166" s="858"/>
      <c r="BD166" s="858"/>
      <c r="BE166" s="858"/>
      <c r="BF166" s="858"/>
      <c r="BG166" s="858"/>
      <c r="BH166" s="858"/>
      <c r="BI166" s="858"/>
      <c r="BJ166" s="858"/>
      <c r="BK166" s="858"/>
      <c r="BL166" s="858"/>
      <c r="BM166" s="858"/>
      <c r="BN166" s="858"/>
      <c r="BO166" s="858"/>
      <c r="BP166" s="858"/>
      <c r="BQ166" s="858"/>
      <c r="BR166" s="858"/>
      <c r="BS166" s="858"/>
      <c r="BT166" s="858"/>
      <c r="BU166" s="858"/>
      <c r="BV166" s="858"/>
      <c r="BW166" s="858"/>
      <c r="BX166" s="858"/>
      <c r="BY166" s="858"/>
      <c r="BZ166" s="858"/>
      <c r="CA166" s="858"/>
      <c r="CB166" s="858"/>
      <c r="CC166" s="858"/>
      <c r="CD166" s="858"/>
      <c r="CE166" s="858"/>
      <c r="CF166" s="858"/>
      <c r="CG166" s="858"/>
      <c r="CH166" s="858"/>
      <c r="CI166" s="858"/>
      <c r="CJ166" s="858"/>
      <c r="CK166" s="858"/>
      <c r="CL166" s="858"/>
      <c r="CM166" s="858"/>
      <c r="CN166" s="858"/>
      <c r="CO166" s="858"/>
      <c r="CP166" s="858"/>
      <c r="CQ166" s="858"/>
      <c r="CR166" s="858"/>
      <c r="CS166" s="858"/>
      <c r="CT166" s="858"/>
      <c r="CU166" s="858"/>
      <c r="CV166" s="858"/>
      <c r="CW166" s="858"/>
      <c r="CX166" s="858"/>
      <c r="CY166" s="858"/>
      <c r="CZ166" s="858"/>
      <c r="DA166" s="858"/>
      <c r="DB166" s="858"/>
      <c r="DC166" s="858"/>
      <c r="DD166" s="858"/>
      <c r="DE166" s="858"/>
      <c r="DF166" s="858"/>
      <c r="DG166" s="858"/>
      <c r="DH166" s="858"/>
      <c r="DI166" s="858"/>
      <c r="DJ166" s="858"/>
      <c r="DK166" s="858"/>
      <c r="DL166" s="858"/>
      <c r="DM166" s="858"/>
      <c r="DN166" s="858"/>
      <c r="DO166" s="858"/>
      <c r="DP166" s="858"/>
      <c r="DQ166" s="858"/>
      <c r="DR166" s="858"/>
      <c r="DS166" s="858"/>
      <c r="DT166" s="858"/>
      <c r="DU166" s="858"/>
      <c r="DV166" s="858"/>
      <c r="DW166" s="858"/>
      <c r="DX166" s="858"/>
      <c r="DY166" s="858"/>
      <c r="DZ166" s="858"/>
      <c r="EA166" s="858"/>
      <c r="EB166" s="858"/>
      <c r="EC166" s="858"/>
      <c r="ED166" s="858"/>
      <c r="EE166" s="858"/>
      <c r="EF166" s="858"/>
      <c r="EG166" s="858"/>
      <c r="EH166" s="858"/>
      <c r="EI166" s="858"/>
      <c r="EJ166" s="858"/>
      <c r="EK166" s="858"/>
      <c r="EL166" s="858"/>
      <c r="EM166" s="858"/>
      <c r="EN166" s="858"/>
      <c r="EO166" s="858"/>
      <c r="EP166" s="858"/>
      <c r="EQ166" s="858"/>
      <c r="ER166" s="858"/>
      <c r="ES166" s="858"/>
      <c r="ET166" s="858"/>
      <c r="EU166" s="858"/>
      <c r="EV166" s="858"/>
      <c r="EW166" s="858"/>
      <c r="EX166" s="858"/>
      <c r="EY166" s="858"/>
      <c r="EZ166" s="858"/>
      <c r="FA166" s="858"/>
      <c r="FB166" s="858"/>
      <c r="FC166" s="858"/>
      <c r="FD166" s="858"/>
      <c r="FE166" s="858"/>
      <c r="FF166" s="858"/>
      <c r="FG166" s="858"/>
      <c r="FH166" s="858"/>
      <c r="FI166" s="858"/>
      <c r="FJ166" s="858"/>
      <c r="FK166" s="858"/>
      <c r="FL166" s="858"/>
      <c r="FM166" s="858"/>
      <c r="FN166" s="858"/>
      <c r="FO166" s="858"/>
      <c r="FP166" s="858"/>
      <c r="FQ166" s="858"/>
      <c r="FR166" s="858"/>
      <c r="FS166" s="858"/>
      <c r="FT166" s="858"/>
      <c r="FU166" s="858"/>
      <c r="FV166" s="858"/>
      <c r="FW166" s="858"/>
      <c r="FX166" s="858"/>
      <c r="FY166" s="858"/>
      <c r="FZ166" s="858"/>
      <c r="GA166" s="858"/>
      <c r="GB166" s="858"/>
      <c r="GC166" s="858"/>
      <c r="GD166" s="858"/>
      <c r="GE166" s="858"/>
      <c r="GF166" s="858"/>
      <c r="GG166" s="858"/>
      <c r="GH166" s="858"/>
      <c r="GI166" s="858"/>
      <c r="GJ166" s="858"/>
      <c r="GK166" s="858"/>
      <c r="GL166" s="858"/>
      <c r="GM166" s="858"/>
      <c r="GN166" s="858"/>
      <c r="GO166" s="858"/>
      <c r="GP166" s="858"/>
      <c r="GQ166" s="858"/>
      <c r="GR166" s="858"/>
      <c r="GS166" s="858"/>
      <c r="GT166" s="858"/>
      <c r="GU166" s="858"/>
      <c r="GV166" s="858"/>
      <c r="GW166" s="858"/>
      <c r="GX166" s="858"/>
      <c r="GY166" s="858"/>
      <c r="GZ166" s="858"/>
      <c r="HA166" s="858"/>
      <c r="HB166" s="858"/>
      <c r="HC166" s="858"/>
      <c r="HD166" s="858"/>
      <c r="HE166" s="858"/>
      <c r="HF166" s="858"/>
      <c r="HG166" s="858"/>
      <c r="HH166" s="858"/>
      <c r="HI166" s="858"/>
      <c r="HJ166" s="858"/>
      <c r="HK166" s="858"/>
      <c r="HL166" s="858"/>
      <c r="HM166" s="858"/>
      <c r="HN166" s="858"/>
      <c r="HO166" s="858"/>
      <c r="HP166" s="858"/>
      <c r="HQ166" s="858"/>
      <c r="HR166" s="858"/>
      <c r="HS166" s="858"/>
      <c r="HT166" s="858"/>
      <c r="HU166" s="858"/>
      <c r="HV166" s="858"/>
      <c r="HW166" s="858"/>
      <c r="HX166" s="858"/>
      <c r="HY166" s="858"/>
      <c r="HZ166" s="858"/>
      <c r="IA166" s="858"/>
      <c r="IB166" s="858"/>
      <c r="IC166" s="858"/>
      <c r="ID166" s="858"/>
      <c r="IE166" s="858"/>
      <c r="IF166" s="858"/>
      <c r="IG166" s="858"/>
      <c r="IH166" s="858"/>
      <c r="II166" s="858"/>
      <c r="IJ166" s="858"/>
      <c r="IK166" s="858"/>
      <c r="IL166" s="858"/>
      <c r="IM166" s="858"/>
      <c r="IN166" s="858"/>
    </row>
    <row r="167" spans="1:248">
      <c r="A167" s="564" t="s">
        <v>19</v>
      </c>
      <c r="B167" s="566">
        <v>2382.5</v>
      </c>
      <c r="C167" s="859">
        <v>30.201427358119844</v>
      </c>
      <c r="D167" s="567">
        <v>1345.9</v>
      </c>
      <c r="E167" s="859">
        <f>D167/H167*100</f>
        <v>17.061112730868206</v>
      </c>
      <c r="F167" s="859">
        <f>B167-D167</f>
        <v>1036.5999999999999</v>
      </c>
      <c r="G167" s="859">
        <f t="shared" si="28"/>
        <v>13.140314627251637</v>
      </c>
      <c r="H167" s="27">
        <v>7888.7</v>
      </c>
      <c r="I167" s="858"/>
      <c r="J167" s="858"/>
      <c r="K167" s="858"/>
      <c r="L167" s="858"/>
      <c r="M167" s="858"/>
      <c r="N167" s="858"/>
      <c r="O167" s="858"/>
      <c r="P167" s="858"/>
      <c r="Q167" s="858"/>
      <c r="R167" s="858"/>
      <c r="S167" s="858"/>
      <c r="T167" s="858"/>
      <c r="U167" s="858"/>
      <c r="V167" s="858"/>
      <c r="W167" s="858"/>
      <c r="X167" s="858"/>
      <c r="Y167" s="858"/>
      <c r="Z167" s="858"/>
      <c r="AA167" s="858"/>
      <c r="AB167" s="858"/>
      <c r="AC167" s="858"/>
      <c r="AD167" s="858"/>
      <c r="AE167" s="858"/>
      <c r="AF167" s="858"/>
      <c r="AG167" s="858"/>
      <c r="AH167" s="858"/>
      <c r="AI167" s="858"/>
      <c r="AJ167" s="858"/>
      <c r="AK167" s="858"/>
      <c r="AL167" s="858"/>
      <c r="AM167" s="858"/>
      <c r="AN167" s="858"/>
      <c r="AO167" s="858"/>
      <c r="AP167" s="858"/>
      <c r="AQ167" s="858"/>
      <c r="AR167" s="858"/>
      <c r="AS167" s="858"/>
      <c r="AT167" s="858"/>
      <c r="AU167" s="858"/>
      <c r="AV167" s="858"/>
      <c r="AW167" s="858"/>
      <c r="AX167" s="858"/>
      <c r="AY167" s="858"/>
      <c r="AZ167" s="858"/>
      <c r="BA167" s="858"/>
      <c r="BB167" s="858"/>
      <c r="BC167" s="858"/>
      <c r="BD167" s="858"/>
      <c r="BE167" s="858"/>
      <c r="BF167" s="858"/>
      <c r="BG167" s="858"/>
      <c r="BH167" s="858"/>
      <c r="BI167" s="858"/>
      <c r="BJ167" s="858"/>
      <c r="BK167" s="858"/>
      <c r="BL167" s="858"/>
      <c r="BM167" s="858"/>
      <c r="BN167" s="858"/>
      <c r="BO167" s="858"/>
      <c r="BP167" s="858"/>
      <c r="BQ167" s="858"/>
      <c r="BR167" s="858"/>
      <c r="BS167" s="858"/>
      <c r="BT167" s="858"/>
      <c r="BU167" s="858"/>
      <c r="BV167" s="858"/>
      <c r="BW167" s="858"/>
      <c r="BX167" s="858"/>
      <c r="BY167" s="858"/>
      <c r="BZ167" s="858"/>
      <c r="CA167" s="858"/>
      <c r="CB167" s="858"/>
      <c r="CC167" s="858"/>
      <c r="CD167" s="858"/>
      <c r="CE167" s="858"/>
      <c r="CF167" s="858"/>
      <c r="CG167" s="858"/>
      <c r="CH167" s="858"/>
      <c r="CI167" s="858"/>
      <c r="CJ167" s="858"/>
      <c r="CK167" s="858"/>
      <c r="CL167" s="858"/>
      <c r="CM167" s="858"/>
      <c r="CN167" s="858"/>
      <c r="CO167" s="858"/>
      <c r="CP167" s="858"/>
      <c r="CQ167" s="858"/>
      <c r="CR167" s="858"/>
      <c r="CS167" s="858"/>
      <c r="CT167" s="858"/>
      <c r="CU167" s="858"/>
      <c r="CV167" s="858"/>
      <c r="CW167" s="858"/>
      <c r="CX167" s="858"/>
      <c r="CY167" s="858"/>
      <c r="CZ167" s="858"/>
      <c r="DA167" s="858"/>
      <c r="DB167" s="858"/>
      <c r="DC167" s="858"/>
      <c r="DD167" s="858"/>
      <c r="DE167" s="858"/>
      <c r="DF167" s="858"/>
      <c r="DG167" s="858"/>
      <c r="DH167" s="858"/>
      <c r="DI167" s="858"/>
      <c r="DJ167" s="858"/>
      <c r="DK167" s="858"/>
      <c r="DL167" s="858"/>
      <c r="DM167" s="858"/>
      <c r="DN167" s="858"/>
      <c r="DO167" s="858"/>
      <c r="DP167" s="858"/>
      <c r="DQ167" s="858"/>
      <c r="DR167" s="858"/>
      <c r="DS167" s="858"/>
      <c r="DT167" s="858"/>
      <c r="DU167" s="858"/>
      <c r="DV167" s="858"/>
      <c r="DW167" s="858"/>
      <c r="DX167" s="858"/>
      <c r="DY167" s="858"/>
      <c r="DZ167" s="858"/>
      <c r="EA167" s="858"/>
      <c r="EB167" s="858"/>
      <c r="EC167" s="858"/>
      <c r="ED167" s="858"/>
      <c r="EE167" s="858"/>
      <c r="EF167" s="858"/>
      <c r="EG167" s="858"/>
      <c r="EH167" s="858"/>
      <c r="EI167" s="858"/>
      <c r="EJ167" s="858"/>
      <c r="EK167" s="858"/>
      <c r="EL167" s="858"/>
      <c r="EM167" s="858"/>
      <c r="EN167" s="858"/>
      <c r="EO167" s="858"/>
      <c r="EP167" s="858"/>
      <c r="EQ167" s="858"/>
      <c r="ER167" s="858"/>
      <c r="ES167" s="858"/>
      <c r="ET167" s="858"/>
      <c r="EU167" s="858"/>
      <c r="EV167" s="858"/>
      <c r="EW167" s="858"/>
      <c r="EX167" s="858"/>
      <c r="EY167" s="858"/>
      <c r="EZ167" s="858"/>
      <c r="FA167" s="858"/>
      <c r="FB167" s="858"/>
      <c r="FC167" s="858"/>
      <c r="FD167" s="858"/>
      <c r="FE167" s="858"/>
      <c r="FF167" s="858"/>
      <c r="FG167" s="858"/>
      <c r="FH167" s="858"/>
      <c r="FI167" s="858"/>
      <c r="FJ167" s="858"/>
      <c r="FK167" s="858"/>
      <c r="FL167" s="858"/>
      <c r="FM167" s="858"/>
      <c r="FN167" s="858"/>
      <c r="FO167" s="858"/>
      <c r="FP167" s="858"/>
      <c r="FQ167" s="858"/>
      <c r="FR167" s="858"/>
      <c r="FS167" s="858"/>
      <c r="FT167" s="858"/>
      <c r="FU167" s="858"/>
      <c r="FV167" s="858"/>
      <c r="FW167" s="858"/>
      <c r="FX167" s="858"/>
      <c r="FY167" s="858"/>
      <c r="FZ167" s="858"/>
      <c r="GA167" s="858"/>
      <c r="GB167" s="858"/>
      <c r="GC167" s="858"/>
      <c r="GD167" s="858"/>
      <c r="GE167" s="858"/>
      <c r="GF167" s="858"/>
      <c r="GG167" s="858"/>
      <c r="GH167" s="858"/>
      <c r="GI167" s="858"/>
      <c r="GJ167" s="858"/>
      <c r="GK167" s="858"/>
      <c r="GL167" s="858"/>
      <c r="GM167" s="858"/>
      <c r="GN167" s="858"/>
      <c r="GO167" s="858"/>
      <c r="GP167" s="858"/>
      <c r="GQ167" s="858"/>
      <c r="GR167" s="858"/>
      <c r="GS167" s="858"/>
      <c r="GT167" s="858"/>
      <c r="GU167" s="858"/>
      <c r="GV167" s="858"/>
      <c r="GW167" s="858"/>
      <c r="GX167" s="858"/>
      <c r="GY167" s="858"/>
      <c r="GZ167" s="858"/>
      <c r="HA167" s="858"/>
      <c r="HB167" s="858"/>
      <c r="HC167" s="858"/>
      <c r="HD167" s="858"/>
      <c r="HE167" s="858"/>
      <c r="HF167" s="858"/>
      <c r="HG167" s="858"/>
      <c r="HH167" s="858"/>
      <c r="HI167" s="858"/>
      <c r="HJ167" s="858"/>
      <c r="HK167" s="858"/>
      <c r="HL167" s="858"/>
      <c r="HM167" s="858"/>
      <c r="HN167" s="858"/>
      <c r="HO167" s="858"/>
      <c r="HP167" s="858"/>
      <c r="HQ167" s="858"/>
      <c r="HR167" s="858"/>
      <c r="HS167" s="858"/>
      <c r="HT167" s="858"/>
      <c r="HU167" s="858"/>
      <c r="HV167" s="858"/>
      <c r="HW167" s="858"/>
      <c r="HX167" s="858"/>
      <c r="HY167" s="858"/>
      <c r="HZ167" s="858"/>
      <c r="IA167" s="858"/>
      <c r="IB167" s="858"/>
      <c r="IC167" s="858"/>
      <c r="ID167" s="858"/>
      <c r="IE167" s="858"/>
      <c r="IF167" s="858"/>
      <c r="IG167" s="858"/>
      <c r="IH167" s="858"/>
      <c r="II167" s="858"/>
      <c r="IJ167" s="858"/>
      <c r="IK167" s="858"/>
      <c r="IL167" s="858"/>
      <c r="IM167" s="858"/>
      <c r="IN167" s="858"/>
    </row>
    <row r="168" spans="1:248">
      <c r="A168" s="564" t="s">
        <v>20</v>
      </c>
      <c r="B168" s="566">
        <v>3678.5</v>
      </c>
      <c r="C168" s="859">
        <f>B168/H168*100</f>
        <v>29.220650265714486</v>
      </c>
      <c r="D168" s="567">
        <v>2623.4</v>
      </c>
      <c r="E168" s="859">
        <f>D168/H168*100</f>
        <v>20.839324155790511</v>
      </c>
      <c r="F168" s="859">
        <f>B168-D168</f>
        <v>1055.0999999999999</v>
      </c>
      <c r="G168" s="859">
        <f t="shared" si="28"/>
        <v>8.3813261099239789</v>
      </c>
      <c r="H168" s="27">
        <v>12588.7</v>
      </c>
      <c r="I168" s="858"/>
      <c r="J168" s="858"/>
      <c r="K168" s="858"/>
      <c r="L168" s="858"/>
      <c r="M168" s="858"/>
      <c r="N168" s="858"/>
      <c r="O168" s="858"/>
      <c r="P168" s="858"/>
      <c r="Q168" s="858"/>
      <c r="R168" s="858"/>
      <c r="S168" s="858"/>
      <c r="T168" s="858"/>
      <c r="U168" s="858"/>
      <c r="V168" s="858"/>
      <c r="W168" s="858"/>
      <c r="X168" s="858"/>
      <c r="Y168" s="858"/>
      <c r="Z168" s="858"/>
      <c r="AA168" s="858"/>
      <c r="AB168" s="858"/>
      <c r="AC168" s="858"/>
      <c r="AD168" s="858"/>
      <c r="AE168" s="858"/>
      <c r="AF168" s="858"/>
      <c r="AG168" s="858"/>
      <c r="AH168" s="858"/>
      <c r="AI168" s="858"/>
      <c r="AJ168" s="858"/>
      <c r="AK168" s="858"/>
      <c r="AL168" s="858"/>
      <c r="AM168" s="858"/>
      <c r="AN168" s="858"/>
      <c r="AO168" s="858"/>
      <c r="AP168" s="858"/>
      <c r="AQ168" s="858"/>
      <c r="AR168" s="858"/>
      <c r="AS168" s="858"/>
      <c r="AT168" s="858"/>
      <c r="AU168" s="858"/>
      <c r="AV168" s="858"/>
      <c r="AW168" s="858"/>
      <c r="AX168" s="858"/>
      <c r="AY168" s="858"/>
      <c r="AZ168" s="858"/>
      <c r="BA168" s="858"/>
      <c r="BB168" s="858"/>
      <c r="BC168" s="858"/>
      <c r="BD168" s="858"/>
      <c r="BE168" s="858"/>
      <c r="BF168" s="858"/>
      <c r="BG168" s="858"/>
      <c r="BH168" s="858"/>
      <c r="BI168" s="858"/>
      <c r="BJ168" s="858"/>
      <c r="BK168" s="858"/>
      <c r="BL168" s="858"/>
      <c r="BM168" s="858"/>
      <c r="BN168" s="858"/>
      <c r="BO168" s="858"/>
      <c r="BP168" s="858"/>
      <c r="BQ168" s="858"/>
      <c r="BR168" s="858"/>
      <c r="BS168" s="858"/>
      <c r="BT168" s="858"/>
      <c r="BU168" s="858"/>
      <c r="BV168" s="858"/>
      <c r="BW168" s="858"/>
      <c r="BX168" s="858"/>
      <c r="BY168" s="858"/>
      <c r="BZ168" s="858"/>
      <c r="CA168" s="858"/>
      <c r="CB168" s="858"/>
      <c r="CC168" s="858"/>
      <c r="CD168" s="858"/>
      <c r="CE168" s="858"/>
      <c r="CF168" s="858"/>
      <c r="CG168" s="858"/>
      <c r="CH168" s="858"/>
      <c r="CI168" s="858"/>
      <c r="CJ168" s="858"/>
      <c r="CK168" s="858"/>
      <c r="CL168" s="858"/>
      <c r="CM168" s="858"/>
      <c r="CN168" s="858"/>
      <c r="CO168" s="858"/>
      <c r="CP168" s="858"/>
      <c r="CQ168" s="858"/>
      <c r="CR168" s="858"/>
      <c r="CS168" s="858"/>
      <c r="CT168" s="858"/>
      <c r="CU168" s="858"/>
      <c r="CV168" s="858"/>
      <c r="CW168" s="858"/>
      <c r="CX168" s="858"/>
      <c r="CY168" s="858"/>
      <c r="CZ168" s="858"/>
      <c r="DA168" s="858"/>
      <c r="DB168" s="858"/>
      <c r="DC168" s="858"/>
      <c r="DD168" s="858"/>
      <c r="DE168" s="858"/>
      <c r="DF168" s="858"/>
      <c r="DG168" s="858"/>
      <c r="DH168" s="858"/>
      <c r="DI168" s="858"/>
      <c r="DJ168" s="858"/>
      <c r="DK168" s="858"/>
      <c r="DL168" s="858"/>
      <c r="DM168" s="858"/>
      <c r="DN168" s="858"/>
      <c r="DO168" s="858"/>
      <c r="DP168" s="858"/>
      <c r="DQ168" s="858"/>
      <c r="DR168" s="858"/>
      <c r="DS168" s="858"/>
      <c r="DT168" s="858"/>
      <c r="DU168" s="858"/>
      <c r="DV168" s="858"/>
      <c r="DW168" s="858"/>
      <c r="DX168" s="858"/>
      <c r="DY168" s="858"/>
      <c r="DZ168" s="858"/>
      <c r="EA168" s="858"/>
      <c r="EB168" s="858"/>
      <c r="EC168" s="858"/>
      <c r="ED168" s="858"/>
      <c r="EE168" s="858"/>
      <c r="EF168" s="858"/>
      <c r="EG168" s="858"/>
      <c r="EH168" s="858"/>
      <c r="EI168" s="858"/>
      <c r="EJ168" s="858"/>
      <c r="EK168" s="858"/>
      <c r="EL168" s="858"/>
      <c r="EM168" s="858"/>
      <c r="EN168" s="858"/>
      <c r="EO168" s="858"/>
      <c r="EP168" s="858"/>
      <c r="EQ168" s="858"/>
      <c r="ER168" s="858"/>
      <c r="ES168" s="858"/>
      <c r="ET168" s="858"/>
      <c r="EU168" s="858"/>
      <c r="EV168" s="858"/>
      <c r="EW168" s="858"/>
      <c r="EX168" s="858"/>
      <c r="EY168" s="858"/>
      <c r="EZ168" s="858"/>
      <c r="FA168" s="858"/>
      <c r="FB168" s="858"/>
      <c r="FC168" s="858"/>
      <c r="FD168" s="858"/>
      <c r="FE168" s="858"/>
      <c r="FF168" s="858"/>
      <c r="FG168" s="858"/>
      <c r="FH168" s="858"/>
      <c r="FI168" s="858"/>
      <c r="FJ168" s="858"/>
      <c r="FK168" s="858"/>
      <c r="FL168" s="858"/>
      <c r="FM168" s="858"/>
      <c r="FN168" s="858"/>
      <c r="FO168" s="858"/>
      <c r="FP168" s="858"/>
      <c r="FQ168" s="858"/>
      <c r="FR168" s="858"/>
      <c r="FS168" s="858"/>
      <c r="FT168" s="858"/>
      <c r="FU168" s="858"/>
      <c r="FV168" s="858"/>
      <c r="FW168" s="858"/>
      <c r="FX168" s="858"/>
      <c r="FY168" s="858"/>
      <c r="FZ168" s="858"/>
      <c r="GA168" s="858"/>
      <c r="GB168" s="858"/>
      <c r="GC168" s="858"/>
      <c r="GD168" s="858"/>
      <c r="GE168" s="858"/>
      <c r="GF168" s="858"/>
      <c r="GG168" s="858"/>
      <c r="GH168" s="858"/>
      <c r="GI168" s="858"/>
      <c r="GJ168" s="858"/>
      <c r="GK168" s="858"/>
      <c r="GL168" s="858"/>
      <c r="GM168" s="858"/>
      <c r="GN168" s="858"/>
      <c r="GO168" s="858"/>
      <c r="GP168" s="858"/>
      <c r="GQ168" s="858"/>
      <c r="GR168" s="858"/>
      <c r="GS168" s="858"/>
      <c r="GT168" s="858"/>
      <c r="GU168" s="858"/>
      <c r="GV168" s="858"/>
      <c r="GW168" s="858"/>
      <c r="GX168" s="858"/>
      <c r="GY168" s="858"/>
      <c r="GZ168" s="858"/>
      <c r="HA168" s="858"/>
      <c r="HB168" s="858"/>
      <c r="HC168" s="858"/>
      <c r="HD168" s="858"/>
      <c r="HE168" s="858"/>
      <c r="HF168" s="858"/>
      <c r="HG168" s="858"/>
      <c r="HH168" s="858"/>
      <c r="HI168" s="858"/>
      <c r="HJ168" s="858"/>
      <c r="HK168" s="858"/>
      <c r="HL168" s="858"/>
      <c r="HM168" s="858"/>
      <c r="HN168" s="858"/>
      <c r="HO168" s="858"/>
      <c r="HP168" s="858"/>
      <c r="HQ168" s="858"/>
      <c r="HR168" s="858"/>
      <c r="HS168" s="858"/>
      <c r="HT168" s="858"/>
      <c r="HU168" s="858"/>
      <c r="HV168" s="858"/>
      <c r="HW168" s="858"/>
      <c r="HX168" s="858"/>
      <c r="HY168" s="858"/>
      <c r="HZ168" s="858"/>
      <c r="IA168" s="858"/>
      <c r="IB168" s="858"/>
      <c r="IC168" s="858"/>
      <c r="ID168" s="858"/>
      <c r="IE168" s="858"/>
      <c r="IF168" s="858"/>
      <c r="IG168" s="858"/>
      <c r="IH168" s="858"/>
      <c r="II168" s="858"/>
      <c r="IJ168" s="858"/>
      <c r="IK168" s="858"/>
      <c r="IL168" s="858"/>
      <c r="IM168" s="858"/>
      <c r="IN168" s="858"/>
    </row>
    <row r="169" spans="1:248">
      <c r="A169" s="564" t="s">
        <v>21</v>
      </c>
      <c r="B169" s="566">
        <v>4713.6000000000004</v>
      </c>
      <c r="C169" s="859">
        <v>27.944201708570716</v>
      </c>
      <c r="D169" s="567">
        <v>3999.8</v>
      </c>
      <c r="E169" s="859">
        <v>23.712495331369048</v>
      </c>
      <c r="F169" s="859">
        <v>713.80000000000018</v>
      </c>
      <c r="G169" s="859">
        <f t="shared" si="28"/>
        <v>4.2317063772016672</v>
      </c>
      <c r="H169" s="27">
        <v>16867.900000000001</v>
      </c>
      <c r="I169" s="858"/>
      <c r="J169" s="858"/>
      <c r="K169" s="858"/>
      <c r="L169" s="858"/>
      <c r="M169" s="858"/>
      <c r="N169" s="858"/>
      <c r="O169" s="858"/>
      <c r="P169" s="858"/>
      <c r="Q169" s="858"/>
      <c r="R169" s="858"/>
      <c r="S169" s="858"/>
      <c r="T169" s="858"/>
      <c r="U169" s="858"/>
      <c r="V169" s="858"/>
      <c r="W169" s="858"/>
      <c r="X169" s="858"/>
      <c r="Y169" s="858"/>
      <c r="Z169" s="858"/>
      <c r="AA169" s="858"/>
      <c r="AB169" s="858"/>
      <c r="AC169" s="858"/>
      <c r="AD169" s="858"/>
      <c r="AE169" s="858"/>
      <c r="AF169" s="858"/>
      <c r="AG169" s="858"/>
      <c r="AH169" s="858"/>
      <c r="AI169" s="858"/>
      <c r="AJ169" s="858"/>
      <c r="AK169" s="858"/>
      <c r="AL169" s="858"/>
      <c r="AM169" s="858"/>
      <c r="AN169" s="858"/>
      <c r="AO169" s="858"/>
      <c r="AP169" s="858"/>
      <c r="AQ169" s="858"/>
      <c r="AR169" s="858"/>
      <c r="AS169" s="858"/>
      <c r="AT169" s="858"/>
      <c r="AU169" s="858"/>
      <c r="AV169" s="858"/>
      <c r="AW169" s="858"/>
      <c r="AX169" s="858"/>
      <c r="AY169" s="858"/>
      <c r="AZ169" s="858"/>
      <c r="BA169" s="858"/>
      <c r="BB169" s="858"/>
      <c r="BC169" s="858"/>
      <c r="BD169" s="858"/>
      <c r="BE169" s="858"/>
      <c r="BF169" s="858"/>
      <c r="BG169" s="858"/>
      <c r="BH169" s="858"/>
      <c r="BI169" s="858"/>
      <c r="BJ169" s="858"/>
      <c r="BK169" s="858"/>
      <c r="BL169" s="858"/>
      <c r="BM169" s="858"/>
      <c r="BN169" s="858"/>
      <c r="BO169" s="858"/>
      <c r="BP169" s="858"/>
      <c r="BQ169" s="858"/>
      <c r="BR169" s="858"/>
      <c r="BS169" s="858"/>
      <c r="BT169" s="858"/>
      <c r="BU169" s="858"/>
      <c r="BV169" s="858"/>
      <c r="BW169" s="858"/>
      <c r="BX169" s="858"/>
      <c r="BY169" s="858"/>
      <c r="BZ169" s="858"/>
      <c r="CA169" s="858"/>
      <c r="CB169" s="858"/>
      <c r="CC169" s="858"/>
      <c r="CD169" s="858"/>
      <c r="CE169" s="858"/>
      <c r="CF169" s="858"/>
      <c r="CG169" s="858"/>
      <c r="CH169" s="858"/>
      <c r="CI169" s="858"/>
      <c r="CJ169" s="858"/>
      <c r="CK169" s="858"/>
      <c r="CL169" s="858"/>
      <c r="CM169" s="858"/>
      <c r="CN169" s="858"/>
      <c r="CO169" s="858"/>
      <c r="CP169" s="858"/>
      <c r="CQ169" s="858"/>
      <c r="CR169" s="858"/>
      <c r="CS169" s="858"/>
      <c r="CT169" s="858"/>
      <c r="CU169" s="858"/>
      <c r="CV169" s="858"/>
      <c r="CW169" s="858"/>
      <c r="CX169" s="858"/>
      <c r="CY169" s="858"/>
      <c r="CZ169" s="858"/>
      <c r="DA169" s="858"/>
      <c r="DB169" s="858"/>
      <c r="DC169" s="858"/>
      <c r="DD169" s="858"/>
      <c r="DE169" s="858"/>
      <c r="DF169" s="858"/>
      <c r="DG169" s="858"/>
      <c r="DH169" s="858"/>
      <c r="DI169" s="858"/>
      <c r="DJ169" s="858"/>
      <c r="DK169" s="858"/>
      <c r="DL169" s="858"/>
      <c r="DM169" s="858"/>
      <c r="DN169" s="858"/>
      <c r="DO169" s="858"/>
      <c r="DP169" s="858"/>
      <c r="DQ169" s="858"/>
      <c r="DR169" s="858"/>
      <c r="DS169" s="858"/>
      <c r="DT169" s="858"/>
      <c r="DU169" s="858"/>
      <c r="DV169" s="858"/>
      <c r="DW169" s="858"/>
      <c r="DX169" s="858"/>
      <c r="DY169" s="858"/>
      <c r="DZ169" s="858"/>
      <c r="EA169" s="858"/>
      <c r="EB169" s="858"/>
      <c r="EC169" s="858"/>
      <c r="ED169" s="858"/>
      <c r="EE169" s="858"/>
      <c r="EF169" s="858"/>
      <c r="EG169" s="858"/>
      <c r="EH169" s="858"/>
      <c r="EI169" s="858"/>
      <c r="EJ169" s="858"/>
      <c r="EK169" s="858"/>
      <c r="EL169" s="858"/>
      <c r="EM169" s="858"/>
      <c r="EN169" s="858"/>
      <c r="EO169" s="858"/>
      <c r="EP169" s="858"/>
      <c r="EQ169" s="858"/>
      <c r="ER169" s="858"/>
      <c r="ES169" s="858"/>
      <c r="ET169" s="858"/>
      <c r="EU169" s="858"/>
      <c r="EV169" s="858"/>
      <c r="EW169" s="858"/>
      <c r="EX169" s="858"/>
      <c r="EY169" s="858"/>
      <c r="EZ169" s="858"/>
      <c r="FA169" s="858"/>
      <c r="FB169" s="858"/>
      <c r="FC169" s="858"/>
      <c r="FD169" s="858"/>
      <c r="FE169" s="858"/>
      <c r="FF169" s="858"/>
      <c r="FG169" s="858"/>
      <c r="FH169" s="858"/>
      <c r="FI169" s="858"/>
      <c r="FJ169" s="858"/>
      <c r="FK169" s="858"/>
      <c r="FL169" s="858"/>
      <c r="FM169" s="858"/>
      <c r="FN169" s="858"/>
      <c r="FO169" s="858"/>
      <c r="FP169" s="858"/>
      <c r="FQ169" s="858"/>
      <c r="FR169" s="858"/>
      <c r="FS169" s="858"/>
      <c r="FT169" s="858"/>
      <c r="FU169" s="858"/>
      <c r="FV169" s="858"/>
      <c r="FW169" s="858"/>
      <c r="FX169" s="858"/>
      <c r="FY169" s="858"/>
      <c r="FZ169" s="858"/>
      <c r="GA169" s="858"/>
      <c r="GB169" s="858"/>
      <c r="GC169" s="858"/>
      <c r="GD169" s="858"/>
      <c r="GE169" s="858"/>
      <c r="GF169" s="858"/>
      <c r="GG169" s="858"/>
      <c r="GH169" s="858"/>
      <c r="GI169" s="858"/>
      <c r="GJ169" s="858"/>
      <c r="GK169" s="858"/>
      <c r="GL169" s="858"/>
      <c r="GM169" s="858"/>
      <c r="GN169" s="858"/>
      <c r="GO169" s="858"/>
      <c r="GP169" s="858"/>
      <c r="GQ169" s="858"/>
      <c r="GR169" s="858"/>
      <c r="GS169" s="858"/>
      <c r="GT169" s="858"/>
      <c r="GU169" s="858"/>
      <c r="GV169" s="858"/>
      <c r="GW169" s="858"/>
      <c r="GX169" s="858"/>
      <c r="GY169" s="858"/>
      <c r="GZ169" s="858"/>
      <c r="HA169" s="858"/>
      <c r="HB169" s="858"/>
      <c r="HC169" s="858"/>
      <c r="HD169" s="858"/>
      <c r="HE169" s="858"/>
      <c r="HF169" s="858"/>
      <c r="HG169" s="858"/>
      <c r="HH169" s="858"/>
      <c r="HI169" s="858"/>
      <c r="HJ169" s="858"/>
      <c r="HK169" s="858"/>
      <c r="HL169" s="858"/>
      <c r="HM169" s="858"/>
      <c r="HN169" s="858"/>
      <c r="HO169" s="858"/>
      <c r="HP169" s="858"/>
      <c r="HQ169" s="858"/>
      <c r="HR169" s="858"/>
      <c r="HS169" s="858"/>
      <c r="HT169" s="858"/>
      <c r="HU169" s="858"/>
      <c r="HV169" s="858"/>
      <c r="HW169" s="858"/>
      <c r="HX169" s="858"/>
      <c r="HY169" s="858"/>
      <c r="HZ169" s="858"/>
      <c r="IA169" s="858"/>
      <c r="IB169" s="858"/>
      <c r="IC169" s="858"/>
      <c r="ID169" s="858"/>
      <c r="IE169" s="858"/>
      <c r="IF169" s="858"/>
      <c r="IG169" s="858"/>
      <c r="IH169" s="858"/>
      <c r="II169" s="858"/>
      <c r="IJ169" s="858"/>
      <c r="IK169" s="858"/>
      <c r="IL169" s="858"/>
      <c r="IM169" s="858"/>
      <c r="IN169" s="858"/>
    </row>
    <row r="170" spans="1:248">
      <c r="A170" s="564" t="s">
        <v>22</v>
      </c>
      <c r="B170" s="566">
        <v>5453.9</v>
      </c>
      <c r="C170" s="859">
        <v>25.351883529805509</v>
      </c>
      <c r="D170" s="567">
        <v>5316.1</v>
      </c>
      <c r="E170" s="859">
        <v>24.711334647279763</v>
      </c>
      <c r="F170" s="859">
        <v>137.79999999999927</v>
      </c>
      <c r="G170" s="859">
        <f t="shared" si="28"/>
        <v>0.64054888252574871</v>
      </c>
      <c r="H170" s="27">
        <v>21512.799999999999</v>
      </c>
      <c r="I170" s="858"/>
      <c r="J170" s="858"/>
      <c r="K170" s="858"/>
      <c r="L170" s="858"/>
      <c r="M170" s="858"/>
      <c r="N170" s="858"/>
      <c r="O170" s="858"/>
      <c r="P170" s="858"/>
      <c r="Q170" s="858"/>
      <c r="R170" s="858"/>
      <c r="S170" s="858"/>
      <c r="T170" s="858"/>
      <c r="U170" s="858"/>
      <c r="V170" s="858"/>
      <c r="W170" s="858"/>
      <c r="X170" s="858"/>
      <c r="Y170" s="858"/>
      <c r="Z170" s="858"/>
      <c r="AA170" s="858"/>
      <c r="AB170" s="858"/>
      <c r="AC170" s="858"/>
      <c r="AD170" s="858"/>
      <c r="AE170" s="858"/>
      <c r="AF170" s="858"/>
      <c r="AG170" s="858"/>
      <c r="AH170" s="858"/>
      <c r="AI170" s="858"/>
      <c r="AJ170" s="858"/>
      <c r="AK170" s="858"/>
      <c r="AL170" s="858"/>
      <c r="AM170" s="858"/>
      <c r="AN170" s="858"/>
      <c r="AO170" s="858"/>
      <c r="AP170" s="858"/>
      <c r="AQ170" s="858"/>
      <c r="AR170" s="858"/>
      <c r="AS170" s="858"/>
      <c r="AT170" s="858"/>
      <c r="AU170" s="858"/>
      <c r="AV170" s="858"/>
      <c r="AW170" s="858"/>
      <c r="AX170" s="858"/>
      <c r="AY170" s="858"/>
      <c r="AZ170" s="858"/>
      <c r="BA170" s="858"/>
      <c r="BB170" s="858"/>
      <c r="BC170" s="858"/>
      <c r="BD170" s="858"/>
      <c r="BE170" s="858"/>
      <c r="BF170" s="858"/>
      <c r="BG170" s="858"/>
      <c r="BH170" s="858"/>
      <c r="BI170" s="858"/>
      <c r="BJ170" s="858"/>
      <c r="BK170" s="858"/>
      <c r="BL170" s="858"/>
      <c r="BM170" s="858"/>
      <c r="BN170" s="858"/>
      <c r="BO170" s="858"/>
      <c r="BP170" s="858"/>
      <c r="BQ170" s="858"/>
      <c r="BR170" s="858"/>
      <c r="BS170" s="858"/>
      <c r="BT170" s="858"/>
      <c r="BU170" s="858"/>
      <c r="BV170" s="858"/>
      <c r="BW170" s="858"/>
      <c r="BX170" s="858"/>
      <c r="BY170" s="858"/>
      <c r="BZ170" s="858"/>
      <c r="CA170" s="858"/>
      <c r="CB170" s="858"/>
      <c r="CC170" s="858"/>
      <c r="CD170" s="858"/>
      <c r="CE170" s="858"/>
      <c r="CF170" s="858"/>
      <c r="CG170" s="858"/>
      <c r="CH170" s="858"/>
      <c r="CI170" s="858"/>
      <c r="CJ170" s="858"/>
      <c r="CK170" s="858"/>
      <c r="CL170" s="858"/>
      <c r="CM170" s="858"/>
      <c r="CN170" s="858"/>
      <c r="CO170" s="858"/>
      <c r="CP170" s="858"/>
      <c r="CQ170" s="858"/>
      <c r="CR170" s="858"/>
      <c r="CS170" s="858"/>
      <c r="CT170" s="858"/>
      <c r="CU170" s="858"/>
      <c r="CV170" s="858"/>
      <c r="CW170" s="858"/>
      <c r="CX170" s="858"/>
      <c r="CY170" s="858"/>
      <c r="CZ170" s="858"/>
      <c r="DA170" s="858"/>
      <c r="DB170" s="858"/>
      <c r="DC170" s="858"/>
      <c r="DD170" s="858"/>
      <c r="DE170" s="858"/>
      <c r="DF170" s="858"/>
      <c r="DG170" s="858"/>
      <c r="DH170" s="858"/>
      <c r="DI170" s="858"/>
      <c r="DJ170" s="858"/>
      <c r="DK170" s="858"/>
      <c r="DL170" s="858"/>
      <c r="DM170" s="858"/>
      <c r="DN170" s="858"/>
      <c r="DO170" s="858"/>
      <c r="DP170" s="858"/>
      <c r="DQ170" s="858"/>
      <c r="DR170" s="858"/>
      <c r="DS170" s="858"/>
      <c r="DT170" s="858"/>
      <c r="DU170" s="858"/>
      <c r="DV170" s="858"/>
      <c r="DW170" s="858"/>
      <c r="DX170" s="858"/>
      <c r="DY170" s="858"/>
      <c r="DZ170" s="858"/>
      <c r="EA170" s="858"/>
      <c r="EB170" s="858"/>
      <c r="EC170" s="858"/>
      <c r="ED170" s="858"/>
      <c r="EE170" s="858"/>
      <c r="EF170" s="858"/>
      <c r="EG170" s="858"/>
      <c r="EH170" s="858"/>
      <c r="EI170" s="858"/>
      <c r="EJ170" s="858"/>
      <c r="EK170" s="858"/>
      <c r="EL170" s="858"/>
      <c r="EM170" s="858"/>
      <c r="EN170" s="858"/>
      <c r="EO170" s="858"/>
      <c r="EP170" s="858"/>
      <c r="EQ170" s="858"/>
      <c r="ER170" s="858"/>
      <c r="ES170" s="858"/>
      <c r="ET170" s="858"/>
      <c r="EU170" s="858"/>
      <c r="EV170" s="858"/>
      <c r="EW170" s="858"/>
      <c r="EX170" s="858"/>
      <c r="EY170" s="858"/>
      <c r="EZ170" s="858"/>
      <c r="FA170" s="858"/>
      <c r="FB170" s="858"/>
      <c r="FC170" s="858"/>
      <c r="FD170" s="858"/>
      <c r="FE170" s="858"/>
      <c r="FF170" s="858"/>
      <c r="FG170" s="858"/>
      <c r="FH170" s="858"/>
      <c r="FI170" s="858"/>
      <c r="FJ170" s="858"/>
      <c r="FK170" s="858"/>
      <c r="FL170" s="858"/>
      <c r="FM170" s="858"/>
      <c r="FN170" s="858"/>
      <c r="FO170" s="858"/>
      <c r="FP170" s="858"/>
      <c r="FQ170" s="858"/>
      <c r="FR170" s="858"/>
      <c r="FS170" s="858"/>
      <c r="FT170" s="858"/>
      <c r="FU170" s="858"/>
      <c r="FV170" s="858"/>
      <c r="FW170" s="858"/>
      <c r="FX170" s="858"/>
      <c r="FY170" s="858"/>
      <c r="FZ170" s="858"/>
      <c r="GA170" s="858"/>
      <c r="GB170" s="858"/>
      <c r="GC170" s="858"/>
      <c r="GD170" s="858"/>
      <c r="GE170" s="858"/>
      <c r="GF170" s="858"/>
      <c r="GG170" s="858"/>
      <c r="GH170" s="858"/>
      <c r="GI170" s="858"/>
      <c r="GJ170" s="858"/>
      <c r="GK170" s="858"/>
      <c r="GL170" s="858"/>
      <c r="GM170" s="858"/>
      <c r="GN170" s="858"/>
      <c r="GO170" s="858"/>
      <c r="GP170" s="858"/>
      <c r="GQ170" s="858"/>
      <c r="GR170" s="858"/>
      <c r="GS170" s="858"/>
      <c r="GT170" s="858"/>
      <c r="GU170" s="858"/>
      <c r="GV170" s="858"/>
      <c r="GW170" s="858"/>
      <c r="GX170" s="858"/>
      <c r="GY170" s="858"/>
      <c r="GZ170" s="858"/>
      <c r="HA170" s="858"/>
      <c r="HB170" s="858"/>
      <c r="HC170" s="858"/>
      <c r="HD170" s="858"/>
      <c r="HE170" s="858"/>
      <c r="HF170" s="858"/>
      <c r="HG170" s="858"/>
      <c r="HH170" s="858"/>
      <c r="HI170" s="858"/>
      <c r="HJ170" s="858"/>
      <c r="HK170" s="858"/>
      <c r="HL170" s="858"/>
      <c r="HM170" s="858"/>
      <c r="HN170" s="858"/>
      <c r="HO170" s="858"/>
      <c r="HP170" s="858"/>
      <c r="HQ170" s="858"/>
      <c r="HR170" s="858"/>
      <c r="HS170" s="858"/>
      <c r="HT170" s="858"/>
      <c r="HU170" s="858"/>
      <c r="HV170" s="858"/>
      <c r="HW170" s="858"/>
      <c r="HX170" s="858"/>
      <c r="HY170" s="858"/>
      <c r="HZ170" s="858"/>
      <c r="IA170" s="858"/>
      <c r="IB170" s="858"/>
      <c r="IC170" s="858"/>
      <c r="ID170" s="858"/>
      <c r="IE170" s="858"/>
      <c r="IF170" s="858"/>
      <c r="IG170" s="858"/>
      <c r="IH170" s="858"/>
      <c r="II170" s="858"/>
      <c r="IJ170" s="858"/>
      <c r="IK170" s="858"/>
      <c r="IL170" s="858"/>
      <c r="IM170" s="858"/>
      <c r="IN170" s="858"/>
    </row>
    <row r="171" spans="1:248">
      <c r="A171" s="564" t="s">
        <v>23</v>
      </c>
      <c r="B171" s="566">
        <v>6133.8</v>
      </c>
      <c r="C171" s="859">
        <v>22.715842724508654</v>
      </c>
      <c r="D171" s="567">
        <v>6821.5</v>
      </c>
      <c r="E171" s="859">
        <v>25.262662810205054</v>
      </c>
      <c r="F171" s="859">
        <v>-687.69999999999982</v>
      </c>
      <c r="G171" s="859">
        <f t="shared" si="28"/>
        <v>-2.5468200856964032</v>
      </c>
      <c r="H171" s="27">
        <v>27002.3</v>
      </c>
      <c r="I171" s="858"/>
      <c r="J171" s="858"/>
      <c r="K171" s="858"/>
      <c r="L171" s="858"/>
      <c r="M171" s="858"/>
      <c r="N171" s="858"/>
      <c r="O171" s="858"/>
      <c r="P171" s="858"/>
      <c r="Q171" s="858"/>
      <c r="R171" s="858"/>
      <c r="S171" s="858"/>
      <c r="T171" s="858"/>
      <c r="U171" s="858"/>
      <c r="V171" s="858"/>
      <c r="W171" s="858"/>
      <c r="X171" s="858"/>
      <c r="Y171" s="858"/>
      <c r="Z171" s="858"/>
      <c r="AA171" s="858"/>
      <c r="AB171" s="858"/>
      <c r="AC171" s="858"/>
      <c r="AD171" s="858"/>
      <c r="AE171" s="858"/>
      <c r="AF171" s="858"/>
      <c r="AG171" s="858"/>
      <c r="AH171" s="858"/>
      <c r="AI171" s="858"/>
      <c r="AJ171" s="858"/>
      <c r="AK171" s="858"/>
      <c r="AL171" s="858"/>
      <c r="AM171" s="858"/>
      <c r="AN171" s="858"/>
      <c r="AO171" s="858"/>
      <c r="AP171" s="858"/>
      <c r="AQ171" s="858"/>
      <c r="AR171" s="858"/>
      <c r="AS171" s="858"/>
      <c r="AT171" s="858"/>
      <c r="AU171" s="858"/>
      <c r="AV171" s="858"/>
      <c r="AW171" s="858"/>
      <c r="AX171" s="858"/>
      <c r="AY171" s="858"/>
      <c r="AZ171" s="858"/>
      <c r="BA171" s="858"/>
      <c r="BB171" s="858"/>
      <c r="BC171" s="858"/>
      <c r="BD171" s="858"/>
      <c r="BE171" s="858"/>
      <c r="BF171" s="858"/>
      <c r="BG171" s="858"/>
      <c r="BH171" s="858"/>
      <c r="BI171" s="858"/>
      <c r="BJ171" s="858"/>
      <c r="BK171" s="858"/>
      <c r="BL171" s="858"/>
      <c r="BM171" s="858"/>
      <c r="BN171" s="858"/>
      <c r="BO171" s="858"/>
      <c r="BP171" s="858"/>
      <c r="BQ171" s="858"/>
      <c r="BR171" s="858"/>
      <c r="BS171" s="858"/>
      <c r="BT171" s="858"/>
      <c r="BU171" s="858"/>
      <c r="BV171" s="858"/>
      <c r="BW171" s="858"/>
      <c r="BX171" s="858"/>
      <c r="BY171" s="858"/>
      <c r="BZ171" s="858"/>
      <c r="CA171" s="858"/>
      <c r="CB171" s="858"/>
      <c r="CC171" s="858"/>
      <c r="CD171" s="858"/>
      <c r="CE171" s="858"/>
      <c r="CF171" s="858"/>
      <c r="CG171" s="858"/>
      <c r="CH171" s="858"/>
      <c r="CI171" s="858"/>
      <c r="CJ171" s="858"/>
      <c r="CK171" s="858"/>
      <c r="CL171" s="858"/>
      <c r="CM171" s="858"/>
      <c r="CN171" s="858"/>
      <c r="CO171" s="858"/>
      <c r="CP171" s="858"/>
      <c r="CQ171" s="858"/>
      <c r="CR171" s="858"/>
      <c r="CS171" s="858"/>
      <c r="CT171" s="858"/>
      <c r="CU171" s="858"/>
      <c r="CV171" s="858"/>
      <c r="CW171" s="858"/>
      <c r="CX171" s="858"/>
      <c r="CY171" s="858"/>
      <c r="CZ171" s="858"/>
      <c r="DA171" s="858"/>
      <c r="DB171" s="858"/>
      <c r="DC171" s="858"/>
      <c r="DD171" s="858"/>
      <c r="DE171" s="858"/>
      <c r="DF171" s="858"/>
      <c r="DG171" s="858"/>
      <c r="DH171" s="858"/>
      <c r="DI171" s="858"/>
      <c r="DJ171" s="858"/>
      <c r="DK171" s="858"/>
      <c r="DL171" s="858"/>
      <c r="DM171" s="858"/>
      <c r="DN171" s="858"/>
      <c r="DO171" s="858"/>
      <c r="DP171" s="858"/>
      <c r="DQ171" s="858"/>
      <c r="DR171" s="858"/>
      <c r="DS171" s="858"/>
      <c r="DT171" s="858"/>
      <c r="DU171" s="858"/>
      <c r="DV171" s="858"/>
      <c r="DW171" s="858"/>
      <c r="DX171" s="858"/>
      <c r="DY171" s="858"/>
      <c r="DZ171" s="858"/>
      <c r="EA171" s="858"/>
      <c r="EB171" s="858"/>
      <c r="EC171" s="858"/>
      <c r="ED171" s="858"/>
      <c r="EE171" s="858"/>
      <c r="EF171" s="858"/>
      <c r="EG171" s="858"/>
      <c r="EH171" s="858"/>
      <c r="EI171" s="858"/>
      <c r="EJ171" s="858"/>
      <c r="EK171" s="858"/>
      <c r="EL171" s="858"/>
      <c r="EM171" s="858"/>
      <c r="EN171" s="858"/>
      <c r="EO171" s="858"/>
      <c r="EP171" s="858"/>
      <c r="EQ171" s="858"/>
      <c r="ER171" s="858"/>
      <c r="ES171" s="858"/>
      <c r="ET171" s="858"/>
      <c r="EU171" s="858"/>
      <c r="EV171" s="858"/>
      <c r="EW171" s="858"/>
      <c r="EX171" s="858"/>
      <c r="EY171" s="858"/>
      <c r="EZ171" s="858"/>
      <c r="FA171" s="858"/>
      <c r="FB171" s="858"/>
      <c r="FC171" s="858"/>
      <c r="FD171" s="858"/>
      <c r="FE171" s="858"/>
      <c r="FF171" s="858"/>
      <c r="FG171" s="858"/>
      <c r="FH171" s="858"/>
      <c r="FI171" s="858"/>
      <c r="FJ171" s="858"/>
      <c r="FK171" s="858"/>
      <c r="FL171" s="858"/>
      <c r="FM171" s="858"/>
      <c r="FN171" s="858"/>
      <c r="FO171" s="858"/>
      <c r="FP171" s="858"/>
      <c r="FQ171" s="858"/>
      <c r="FR171" s="858"/>
      <c r="FS171" s="858"/>
      <c r="FT171" s="858"/>
      <c r="FU171" s="858"/>
      <c r="FV171" s="858"/>
      <c r="FW171" s="858"/>
      <c r="FX171" s="858"/>
      <c r="FY171" s="858"/>
      <c r="FZ171" s="858"/>
      <c r="GA171" s="858"/>
      <c r="GB171" s="858"/>
      <c r="GC171" s="858"/>
      <c r="GD171" s="858"/>
      <c r="GE171" s="858"/>
      <c r="GF171" s="858"/>
      <c r="GG171" s="858"/>
      <c r="GH171" s="858"/>
      <c r="GI171" s="858"/>
      <c r="GJ171" s="858"/>
      <c r="GK171" s="858"/>
      <c r="GL171" s="858"/>
      <c r="GM171" s="858"/>
      <c r="GN171" s="858"/>
      <c r="GO171" s="858"/>
      <c r="GP171" s="858"/>
      <c r="GQ171" s="858"/>
      <c r="GR171" s="858"/>
      <c r="GS171" s="858"/>
      <c r="GT171" s="858"/>
      <c r="GU171" s="858"/>
      <c r="GV171" s="858"/>
      <c r="GW171" s="858"/>
      <c r="GX171" s="858"/>
      <c r="GY171" s="858"/>
      <c r="GZ171" s="858"/>
      <c r="HA171" s="858"/>
      <c r="HB171" s="858"/>
      <c r="HC171" s="858"/>
      <c r="HD171" s="858"/>
      <c r="HE171" s="858"/>
      <c r="HF171" s="858"/>
      <c r="HG171" s="858"/>
      <c r="HH171" s="858"/>
      <c r="HI171" s="858"/>
      <c r="HJ171" s="858"/>
      <c r="HK171" s="858"/>
      <c r="HL171" s="858"/>
      <c r="HM171" s="858"/>
      <c r="HN171" s="858"/>
      <c r="HO171" s="858"/>
      <c r="HP171" s="858"/>
      <c r="HQ171" s="858"/>
      <c r="HR171" s="858"/>
      <c r="HS171" s="858"/>
      <c r="HT171" s="858"/>
      <c r="HU171" s="858"/>
      <c r="HV171" s="858"/>
      <c r="HW171" s="858"/>
      <c r="HX171" s="858"/>
      <c r="HY171" s="858"/>
      <c r="HZ171" s="858"/>
      <c r="IA171" s="858"/>
      <c r="IB171" s="858"/>
      <c r="IC171" s="858"/>
      <c r="ID171" s="858"/>
      <c r="IE171" s="858"/>
      <c r="IF171" s="858"/>
      <c r="IG171" s="858"/>
      <c r="IH171" s="858"/>
      <c r="II171" s="858"/>
      <c r="IJ171" s="858"/>
      <c r="IK171" s="858"/>
      <c r="IL171" s="858"/>
      <c r="IM171" s="858"/>
      <c r="IN171" s="858"/>
    </row>
    <row r="172" spans="1:248">
      <c r="A172" s="564" t="s">
        <v>24</v>
      </c>
      <c r="B172" s="566">
        <v>7007.5</v>
      </c>
      <c r="C172" s="859">
        <v>21.81485932022937</v>
      </c>
      <c r="D172" s="567">
        <v>8193.5</v>
      </c>
      <c r="E172" s="859">
        <v>25.506963944388065</v>
      </c>
      <c r="F172" s="859">
        <v>-1186</v>
      </c>
      <c r="G172" s="859">
        <f t="shared" si="28"/>
        <v>-3.6921046241586923</v>
      </c>
      <c r="H172" s="27">
        <v>32122.6</v>
      </c>
      <c r="I172" s="858"/>
      <c r="J172" s="858"/>
      <c r="K172" s="858"/>
      <c r="L172" s="858"/>
      <c r="M172" s="858"/>
      <c r="N172" s="858"/>
      <c r="O172" s="858"/>
      <c r="P172" s="858"/>
      <c r="Q172" s="858"/>
      <c r="R172" s="858"/>
      <c r="S172" s="858"/>
      <c r="T172" s="858"/>
      <c r="U172" s="858"/>
      <c r="V172" s="858"/>
      <c r="W172" s="858"/>
      <c r="X172" s="858"/>
      <c r="Y172" s="858"/>
      <c r="Z172" s="858"/>
      <c r="AA172" s="858"/>
      <c r="AB172" s="858"/>
      <c r="AC172" s="858"/>
      <c r="AD172" s="858"/>
      <c r="AE172" s="858"/>
      <c r="AF172" s="858"/>
      <c r="AG172" s="858"/>
      <c r="AH172" s="858"/>
      <c r="AI172" s="858"/>
      <c r="AJ172" s="858"/>
      <c r="AK172" s="858"/>
      <c r="AL172" s="858"/>
      <c r="AM172" s="858"/>
      <c r="AN172" s="858"/>
      <c r="AO172" s="858"/>
      <c r="AP172" s="858"/>
      <c r="AQ172" s="858"/>
      <c r="AR172" s="858"/>
      <c r="AS172" s="858"/>
      <c r="AT172" s="858"/>
      <c r="AU172" s="858"/>
      <c r="AV172" s="858"/>
      <c r="AW172" s="858"/>
      <c r="AX172" s="858"/>
      <c r="AY172" s="858"/>
      <c r="AZ172" s="858"/>
      <c r="BA172" s="858"/>
      <c r="BB172" s="858"/>
      <c r="BC172" s="858"/>
      <c r="BD172" s="858"/>
      <c r="BE172" s="858"/>
      <c r="BF172" s="858"/>
      <c r="BG172" s="858"/>
      <c r="BH172" s="858"/>
      <c r="BI172" s="858"/>
      <c r="BJ172" s="858"/>
      <c r="BK172" s="858"/>
      <c r="BL172" s="858"/>
      <c r="BM172" s="858"/>
      <c r="BN172" s="858"/>
      <c r="BO172" s="858"/>
      <c r="BP172" s="858"/>
      <c r="BQ172" s="858"/>
      <c r="BR172" s="858"/>
      <c r="BS172" s="858"/>
      <c r="BT172" s="858"/>
      <c r="BU172" s="858"/>
      <c r="BV172" s="858"/>
      <c r="BW172" s="858"/>
      <c r="BX172" s="858"/>
      <c r="BY172" s="858"/>
      <c r="BZ172" s="858"/>
      <c r="CA172" s="858"/>
      <c r="CB172" s="858"/>
      <c r="CC172" s="858"/>
      <c r="CD172" s="858"/>
      <c r="CE172" s="858"/>
      <c r="CF172" s="858"/>
      <c r="CG172" s="858"/>
      <c r="CH172" s="858"/>
      <c r="CI172" s="858"/>
      <c r="CJ172" s="858"/>
      <c r="CK172" s="858"/>
      <c r="CL172" s="858"/>
      <c r="CM172" s="858"/>
      <c r="CN172" s="858"/>
      <c r="CO172" s="858"/>
      <c r="CP172" s="858"/>
      <c r="CQ172" s="858"/>
      <c r="CR172" s="858"/>
      <c r="CS172" s="858"/>
      <c r="CT172" s="858"/>
      <c r="CU172" s="858"/>
      <c r="CV172" s="858"/>
      <c r="CW172" s="858"/>
      <c r="CX172" s="858"/>
      <c r="CY172" s="858"/>
      <c r="CZ172" s="858"/>
      <c r="DA172" s="858"/>
      <c r="DB172" s="858"/>
      <c r="DC172" s="858"/>
      <c r="DD172" s="858"/>
      <c r="DE172" s="858"/>
      <c r="DF172" s="858"/>
      <c r="DG172" s="858"/>
      <c r="DH172" s="858"/>
      <c r="DI172" s="858"/>
      <c r="DJ172" s="858"/>
      <c r="DK172" s="858"/>
      <c r="DL172" s="858"/>
      <c r="DM172" s="858"/>
      <c r="DN172" s="858"/>
      <c r="DO172" s="858"/>
      <c r="DP172" s="858"/>
      <c r="DQ172" s="858"/>
      <c r="DR172" s="858"/>
      <c r="DS172" s="858"/>
      <c r="DT172" s="858"/>
      <c r="DU172" s="858"/>
      <c r="DV172" s="858"/>
      <c r="DW172" s="858"/>
      <c r="DX172" s="858"/>
      <c r="DY172" s="858"/>
      <c r="DZ172" s="858"/>
      <c r="EA172" s="858"/>
      <c r="EB172" s="858"/>
      <c r="EC172" s="858"/>
      <c r="ED172" s="858"/>
      <c r="EE172" s="858"/>
      <c r="EF172" s="858"/>
      <c r="EG172" s="858"/>
      <c r="EH172" s="858"/>
      <c r="EI172" s="858"/>
      <c r="EJ172" s="858"/>
      <c r="EK172" s="858"/>
      <c r="EL172" s="858"/>
      <c r="EM172" s="858"/>
      <c r="EN172" s="858"/>
      <c r="EO172" s="858"/>
      <c r="EP172" s="858"/>
      <c r="EQ172" s="858"/>
      <c r="ER172" s="858"/>
      <c r="ES172" s="858"/>
      <c r="ET172" s="858"/>
      <c r="EU172" s="858"/>
      <c r="EV172" s="858"/>
      <c r="EW172" s="858"/>
      <c r="EX172" s="858"/>
      <c r="EY172" s="858"/>
      <c r="EZ172" s="858"/>
      <c r="FA172" s="858"/>
      <c r="FB172" s="858"/>
      <c r="FC172" s="858"/>
      <c r="FD172" s="858"/>
      <c r="FE172" s="858"/>
      <c r="FF172" s="858"/>
      <c r="FG172" s="858"/>
      <c r="FH172" s="858"/>
      <c r="FI172" s="858"/>
      <c r="FJ172" s="858"/>
      <c r="FK172" s="858"/>
      <c r="FL172" s="858"/>
      <c r="FM172" s="858"/>
      <c r="FN172" s="858"/>
      <c r="FO172" s="858"/>
      <c r="FP172" s="858"/>
      <c r="FQ172" s="858"/>
      <c r="FR172" s="858"/>
      <c r="FS172" s="858"/>
      <c r="FT172" s="858"/>
      <c r="FU172" s="858"/>
      <c r="FV172" s="858"/>
      <c r="FW172" s="858"/>
      <c r="FX172" s="858"/>
      <c r="FY172" s="858"/>
      <c r="FZ172" s="858"/>
      <c r="GA172" s="858"/>
      <c r="GB172" s="858"/>
      <c r="GC172" s="858"/>
      <c r="GD172" s="858"/>
      <c r="GE172" s="858"/>
      <c r="GF172" s="858"/>
      <c r="GG172" s="858"/>
      <c r="GH172" s="858"/>
      <c r="GI172" s="858"/>
      <c r="GJ172" s="858"/>
      <c r="GK172" s="858"/>
      <c r="GL172" s="858"/>
      <c r="GM172" s="858"/>
      <c r="GN172" s="858"/>
      <c r="GO172" s="858"/>
      <c r="GP172" s="858"/>
      <c r="GQ172" s="858"/>
      <c r="GR172" s="858"/>
      <c r="GS172" s="858"/>
      <c r="GT172" s="858"/>
      <c r="GU172" s="858"/>
      <c r="GV172" s="858"/>
      <c r="GW172" s="858"/>
      <c r="GX172" s="858"/>
      <c r="GY172" s="858"/>
      <c r="GZ172" s="858"/>
      <c r="HA172" s="858"/>
      <c r="HB172" s="858"/>
      <c r="HC172" s="858"/>
      <c r="HD172" s="858"/>
      <c r="HE172" s="858"/>
      <c r="HF172" s="858"/>
      <c r="HG172" s="858"/>
      <c r="HH172" s="858"/>
      <c r="HI172" s="858"/>
      <c r="HJ172" s="858"/>
      <c r="HK172" s="858"/>
      <c r="HL172" s="858"/>
      <c r="HM172" s="858"/>
      <c r="HN172" s="858"/>
      <c r="HO172" s="858"/>
      <c r="HP172" s="858"/>
      <c r="HQ172" s="858"/>
      <c r="HR172" s="858"/>
      <c r="HS172" s="858"/>
      <c r="HT172" s="858"/>
      <c r="HU172" s="858"/>
      <c r="HV172" s="858"/>
      <c r="HW172" s="858"/>
      <c r="HX172" s="858"/>
      <c r="HY172" s="858"/>
      <c r="HZ172" s="858"/>
      <c r="IA172" s="858"/>
      <c r="IB172" s="858"/>
      <c r="IC172" s="858"/>
      <c r="ID172" s="858"/>
      <c r="IE172" s="858"/>
      <c r="IF172" s="858"/>
      <c r="IG172" s="858"/>
      <c r="IH172" s="858"/>
      <c r="II172" s="858"/>
      <c r="IJ172" s="858"/>
      <c r="IK172" s="858"/>
      <c r="IL172" s="858"/>
      <c r="IM172" s="858"/>
      <c r="IN172" s="858"/>
    </row>
    <row r="173" spans="1:248">
      <c r="A173" s="564" t="s">
        <v>25</v>
      </c>
      <c r="B173" s="566">
        <v>8281.5</v>
      </c>
      <c r="C173" s="859">
        <v>21.777489100079414</v>
      </c>
      <c r="D173" s="567">
        <v>9348.5</v>
      </c>
      <c r="E173" s="859">
        <v>24.583331141954044</v>
      </c>
      <c r="F173" s="859">
        <v>-1067</v>
      </c>
      <c r="G173" s="859">
        <f t="shared" si="28"/>
        <v>-2.8058420418746284</v>
      </c>
      <c r="H173" s="27">
        <v>38027.800000000003</v>
      </c>
      <c r="I173" s="858"/>
      <c r="J173" s="858"/>
      <c r="K173" s="858"/>
      <c r="L173" s="858"/>
      <c r="M173" s="858"/>
      <c r="N173" s="858"/>
      <c r="O173" s="858"/>
      <c r="P173" s="858"/>
      <c r="Q173" s="858"/>
      <c r="R173" s="858"/>
      <c r="S173" s="858"/>
      <c r="T173" s="858"/>
      <c r="U173" s="858"/>
      <c r="V173" s="858"/>
      <c r="W173" s="858"/>
      <c r="X173" s="858"/>
      <c r="Y173" s="858"/>
      <c r="Z173" s="858"/>
      <c r="AA173" s="858"/>
      <c r="AB173" s="858"/>
      <c r="AC173" s="858"/>
      <c r="AD173" s="858"/>
      <c r="AE173" s="858"/>
      <c r="AF173" s="858"/>
      <c r="AG173" s="858"/>
      <c r="AH173" s="858"/>
      <c r="AI173" s="858"/>
      <c r="AJ173" s="858"/>
      <c r="AK173" s="858"/>
      <c r="AL173" s="858"/>
      <c r="AM173" s="858"/>
      <c r="AN173" s="858"/>
      <c r="AO173" s="858"/>
      <c r="AP173" s="858"/>
      <c r="AQ173" s="858"/>
      <c r="AR173" s="858"/>
      <c r="AS173" s="858"/>
      <c r="AT173" s="858"/>
      <c r="AU173" s="858"/>
      <c r="AV173" s="858"/>
      <c r="AW173" s="858"/>
      <c r="AX173" s="858"/>
      <c r="AY173" s="858"/>
      <c r="AZ173" s="858"/>
      <c r="BA173" s="858"/>
      <c r="BB173" s="858"/>
      <c r="BC173" s="858"/>
      <c r="BD173" s="858"/>
      <c r="BE173" s="858"/>
      <c r="BF173" s="858"/>
      <c r="BG173" s="858"/>
      <c r="BH173" s="858"/>
      <c r="BI173" s="858"/>
      <c r="BJ173" s="858"/>
      <c r="BK173" s="858"/>
      <c r="BL173" s="858"/>
      <c r="BM173" s="858"/>
      <c r="BN173" s="858"/>
      <c r="BO173" s="858"/>
      <c r="BP173" s="858"/>
      <c r="BQ173" s="858"/>
      <c r="BR173" s="858"/>
      <c r="BS173" s="858"/>
      <c r="BT173" s="858"/>
      <c r="BU173" s="858"/>
      <c r="BV173" s="858"/>
      <c r="BW173" s="858"/>
      <c r="BX173" s="858"/>
      <c r="BY173" s="858"/>
      <c r="BZ173" s="858"/>
      <c r="CA173" s="858"/>
      <c r="CB173" s="858"/>
      <c r="CC173" s="858"/>
      <c r="CD173" s="858"/>
      <c r="CE173" s="858"/>
      <c r="CF173" s="858"/>
      <c r="CG173" s="858"/>
      <c r="CH173" s="858"/>
      <c r="CI173" s="858"/>
      <c r="CJ173" s="858"/>
      <c r="CK173" s="858"/>
      <c r="CL173" s="858"/>
      <c r="CM173" s="858"/>
      <c r="CN173" s="858"/>
      <c r="CO173" s="858"/>
      <c r="CP173" s="858"/>
      <c r="CQ173" s="858"/>
      <c r="CR173" s="858"/>
      <c r="CS173" s="858"/>
      <c r="CT173" s="858"/>
      <c r="CU173" s="858"/>
      <c r="CV173" s="858"/>
      <c r="CW173" s="858"/>
      <c r="CX173" s="858"/>
      <c r="CY173" s="858"/>
      <c r="CZ173" s="858"/>
      <c r="DA173" s="858"/>
      <c r="DB173" s="858"/>
      <c r="DC173" s="858"/>
      <c r="DD173" s="858"/>
      <c r="DE173" s="858"/>
      <c r="DF173" s="858"/>
      <c r="DG173" s="858"/>
      <c r="DH173" s="858"/>
      <c r="DI173" s="858"/>
      <c r="DJ173" s="858"/>
      <c r="DK173" s="858"/>
      <c r="DL173" s="858"/>
      <c r="DM173" s="858"/>
      <c r="DN173" s="858"/>
      <c r="DO173" s="858"/>
      <c r="DP173" s="858"/>
      <c r="DQ173" s="858"/>
      <c r="DR173" s="858"/>
      <c r="DS173" s="858"/>
      <c r="DT173" s="858"/>
      <c r="DU173" s="858"/>
      <c r="DV173" s="858"/>
      <c r="DW173" s="858"/>
      <c r="DX173" s="858"/>
      <c r="DY173" s="858"/>
      <c r="DZ173" s="858"/>
      <c r="EA173" s="858"/>
      <c r="EB173" s="858"/>
      <c r="EC173" s="858"/>
      <c r="ED173" s="858"/>
      <c r="EE173" s="858"/>
      <c r="EF173" s="858"/>
      <c r="EG173" s="858"/>
      <c r="EH173" s="858"/>
      <c r="EI173" s="858"/>
      <c r="EJ173" s="858"/>
      <c r="EK173" s="858"/>
      <c r="EL173" s="858"/>
      <c r="EM173" s="858"/>
      <c r="EN173" s="858"/>
      <c r="EO173" s="858"/>
      <c r="EP173" s="858"/>
      <c r="EQ173" s="858"/>
      <c r="ER173" s="858"/>
      <c r="ES173" s="858"/>
      <c r="ET173" s="858"/>
      <c r="EU173" s="858"/>
      <c r="EV173" s="858"/>
      <c r="EW173" s="858"/>
      <c r="EX173" s="858"/>
      <c r="EY173" s="858"/>
      <c r="EZ173" s="858"/>
      <c r="FA173" s="858"/>
      <c r="FB173" s="858"/>
      <c r="FC173" s="858"/>
      <c r="FD173" s="858"/>
      <c r="FE173" s="858"/>
      <c r="FF173" s="858"/>
      <c r="FG173" s="858"/>
      <c r="FH173" s="858"/>
      <c r="FI173" s="858"/>
      <c r="FJ173" s="858"/>
      <c r="FK173" s="858"/>
      <c r="FL173" s="858"/>
      <c r="FM173" s="858"/>
      <c r="FN173" s="858"/>
      <c r="FO173" s="858"/>
      <c r="FP173" s="858"/>
      <c r="FQ173" s="858"/>
      <c r="FR173" s="858"/>
      <c r="FS173" s="858"/>
      <c r="FT173" s="858"/>
      <c r="FU173" s="858"/>
      <c r="FV173" s="858"/>
      <c r="FW173" s="858"/>
      <c r="FX173" s="858"/>
      <c r="FY173" s="858"/>
      <c r="FZ173" s="858"/>
      <c r="GA173" s="858"/>
      <c r="GB173" s="858"/>
      <c r="GC173" s="858"/>
      <c r="GD173" s="858"/>
      <c r="GE173" s="858"/>
      <c r="GF173" s="858"/>
      <c r="GG173" s="858"/>
      <c r="GH173" s="858"/>
      <c r="GI173" s="858"/>
      <c r="GJ173" s="858"/>
      <c r="GK173" s="858"/>
      <c r="GL173" s="858"/>
      <c r="GM173" s="858"/>
      <c r="GN173" s="858"/>
      <c r="GO173" s="858"/>
      <c r="GP173" s="858"/>
      <c r="GQ173" s="858"/>
      <c r="GR173" s="858"/>
      <c r="GS173" s="858"/>
      <c r="GT173" s="858"/>
      <c r="GU173" s="858"/>
      <c r="GV173" s="858"/>
      <c r="GW173" s="858"/>
      <c r="GX173" s="858"/>
      <c r="GY173" s="858"/>
      <c r="GZ173" s="858"/>
      <c r="HA173" s="858"/>
      <c r="HB173" s="858"/>
      <c r="HC173" s="858"/>
      <c r="HD173" s="858"/>
      <c r="HE173" s="858"/>
      <c r="HF173" s="858"/>
      <c r="HG173" s="858"/>
      <c r="HH173" s="858"/>
      <c r="HI173" s="858"/>
      <c r="HJ173" s="858"/>
      <c r="HK173" s="858"/>
      <c r="HL173" s="858"/>
      <c r="HM173" s="858"/>
      <c r="HN173" s="858"/>
      <c r="HO173" s="858"/>
      <c r="HP173" s="858"/>
      <c r="HQ173" s="858"/>
      <c r="HR173" s="858"/>
      <c r="HS173" s="858"/>
      <c r="HT173" s="858"/>
      <c r="HU173" s="858"/>
      <c r="HV173" s="858"/>
      <c r="HW173" s="858"/>
      <c r="HX173" s="858"/>
      <c r="HY173" s="858"/>
      <c r="HZ173" s="858"/>
      <c r="IA173" s="858"/>
      <c r="IB173" s="858"/>
      <c r="IC173" s="858"/>
      <c r="ID173" s="858"/>
      <c r="IE173" s="858"/>
      <c r="IF173" s="858"/>
      <c r="IG173" s="858"/>
      <c r="IH173" s="858"/>
      <c r="II173" s="858"/>
      <c r="IJ173" s="858"/>
      <c r="IK173" s="858"/>
      <c r="IL173" s="858"/>
      <c r="IM173" s="858"/>
      <c r="IN173" s="858"/>
    </row>
    <row r="174" spans="1:248">
      <c r="A174" s="564" t="s">
        <v>26</v>
      </c>
      <c r="B174" s="566">
        <v>10103.1</v>
      </c>
      <c r="C174" s="859">
        <v>23.259577818552685</v>
      </c>
      <c r="D174" s="567">
        <v>10622.2</v>
      </c>
      <c r="E174" s="859">
        <v>24.454661193517865</v>
      </c>
      <c r="F174" s="859">
        <v>-519.10000000000036</v>
      </c>
      <c r="G174" s="859">
        <f t="shared" si="28"/>
        <v>-1.1950833749651797</v>
      </c>
      <c r="H174" s="27">
        <v>43436.3</v>
      </c>
      <c r="I174" s="858"/>
      <c r="J174" s="858"/>
      <c r="K174" s="858"/>
      <c r="L174" s="858"/>
      <c r="M174" s="858"/>
      <c r="N174" s="858"/>
      <c r="O174" s="858"/>
      <c r="P174" s="858"/>
      <c r="Q174" s="858"/>
      <c r="R174" s="858"/>
      <c r="S174" s="858"/>
      <c r="T174" s="858"/>
      <c r="U174" s="858"/>
      <c r="V174" s="858"/>
      <c r="W174" s="858"/>
      <c r="X174" s="858"/>
      <c r="Y174" s="858"/>
      <c r="Z174" s="858"/>
      <c r="AA174" s="858"/>
      <c r="AB174" s="858"/>
      <c r="AC174" s="858"/>
      <c r="AD174" s="858"/>
      <c r="AE174" s="858"/>
      <c r="AF174" s="858"/>
      <c r="AG174" s="858"/>
      <c r="AH174" s="858"/>
      <c r="AI174" s="858"/>
      <c r="AJ174" s="858"/>
      <c r="AK174" s="858"/>
      <c r="AL174" s="858"/>
      <c r="AM174" s="858"/>
      <c r="AN174" s="858"/>
      <c r="AO174" s="858"/>
      <c r="AP174" s="858"/>
      <c r="AQ174" s="858"/>
      <c r="AR174" s="858"/>
      <c r="AS174" s="858"/>
      <c r="AT174" s="858"/>
      <c r="AU174" s="858"/>
      <c r="AV174" s="858"/>
      <c r="AW174" s="858"/>
      <c r="AX174" s="858"/>
      <c r="AY174" s="858"/>
      <c r="AZ174" s="858"/>
      <c r="BA174" s="858"/>
      <c r="BB174" s="858"/>
      <c r="BC174" s="858"/>
      <c r="BD174" s="858"/>
      <c r="BE174" s="858"/>
      <c r="BF174" s="858"/>
      <c r="BG174" s="858"/>
      <c r="BH174" s="858"/>
      <c r="BI174" s="858"/>
      <c r="BJ174" s="858"/>
      <c r="BK174" s="858"/>
      <c r="BL174" s="858"/>
      <c r="BM174" s="858"/>
      <c r="BN174" s="858"/>
      <c r="BO174" s="858"/>
      <c r="BP174" s="858"/>
      <c r="BQ174" s="858"/>
      <c r="BR174" s="858"/>
      <c r="BS174" s="858"/>
      <c r="BT174" s="858"/>
      <c r="BU174" s="858"/>
      <c r="BV174" s="858"/>
      <c r="BW174" s="858"/>
      <c r="BX174" s="858"/>
      <c r="BY174" s="858"/>
      <c r="BZ174" s="858"/>
      <c r="CA174" s="858"/>
      <c r="CB174" s="858"/>
      <c r="CC174" s="858"/>
      <c r="CD174" s="858"/>
      <c r="CE174" s="858"/>
      <c r="CF174" s="858"/>
      <c r="CG174" s="858"/>
      <c r="CH174" s="858"/>
      <c r="CI174" s="858"/>
      <c r="CJ174" s="858"/>
      <c r="CK174" s="858"/>
      <c r="CL174" s="858"/>
      <c r="CM174" s="858"/>
      <c r="CN174" s="858"/>
      <c r="CO174" s="858"/>
      <c r="CP174" s="858"/>
      <c r="CQ174" s="858"/>
      <c r="CR174" s="858"/>
      <c r="CS174" s="858"/>
      <c r="CT174" s="858"/>
      <c r="CU174" s="858"/>
      <c r="CV174" s="858"/>
      <c r="CW174" s="858"/>
      <c r="CX174" s="858"/>
      <c r="CY174" s="858"/>
      <c r="CZ174" s="858"/>
      <c r="DA174" s="858"/>
      <c r="DB174" s="858"/>
      <c r="DC174" s="858"/>
      <c r="DD174" s="858"/>
      <c r="DE174" s="858"/>
      <c r="DF174" s="858"/>
      <c r="DG174" s="858"/>
      <c r="DH174" s="858"/>
      <c r="DI174" s="858"/>
      <c r="DJ174" s="858"/>
      <c r="DK174" s="858"/>
      <c r="DL174" s="858"/>
      <c r="DM174" s="858"/>
      <c r="DN174" s="858"/>
      <c r="DO174" s="858"/>
      <c r="DP174" s="858"/>
      <c r="DQ174" s="858"/>
      <c r="DR174" s="858"/>
      <c r="DS174" s="858"/>
      <c r="DT174" s="858"/>
      <c r="DU174" s="858"/>
      <c r="DV174" s="858"/>
      <c r="DW174" s="858"/>
      <c r="DX174" s="858"/>
      <c r="DY174" s="858"/>
      <c r="DZ174" s="858"/>
      <c r="EA174" s="858"/>
      <c r="EB174" s="858"/>
      <c r="EC174" s="858"/>
      <c r="ED174" s="858"/>
      <c r="EE174" s="858"/>
      <c r="EF174" s="858"/>
      <c r="EG174" s="858"/>
      <c r="EH174" s="858"/>
      <c r="EI174" s="858"/>
      <c r="EJ174" s="858"/>
      <c r="EK174" s="858"/>
      <c r="EL174" s="858"/>
      <c r="EM174" s="858"/>
      <c r="EN174" s="858"/>
      <c r="EO174" s="858"/>
      <c r="EP174" s="858"/>
      <c r="EQ174" s="858"/>
      <c r="ER174" s="858"/>
      <c r="ES174" s="858"/>
      <c r="ET174" s="858"/>
      <c r="EU174" s="858"/>
      <c r="EV174" s="858"/>
      <c r="EW174" s="858"/>
      <c r="EX174" s="858"/>
      <c r="EY174" s="858"/>
      <c r="EZ174" s="858"/>
      <c r="FA174" s="858"/>
      <c r="FB174" s="858"/>
      <c r="FC174" s="858"/>
      <c r="FD174" s="858"/>
      <c r="FE174" s="858"/>
      <c r="FF174" s="858"/>
      <c r="FG174" s="858"/>
      <c r="FH174" s="858"/>
      <c r="FI174" s="858"/>
      <c r="FJ174" s="858"/>
      <c r="FK174" s="858"/>
      <c r="FL174" s="858"/>
      <c r="FM174" s="858"/>
      <c r="FN174" s="858"/>
      <c r="FO174" s="858"/>
      <c r="FP174" s="858"/>
      <c r="FQ174" s="858"/>
      <c r="FR174" s="858"/>
      <c r="FS174" s="858"/>
      <c r="FT174" s="858"/>
      <c r="FU174" s="858"/>
      <c r="FV174" s="858"/>
      <c r="FW174" s="858"/>
      <c r="FX174" s="858"/>
      <c r="FY174" s="858"/>
      <c r="FZ174" s="858"/>
      <c r="GA174" s="858"/>
      <c r="GB174" s="858"/>
      <c r="GC174" s="858"/>
      <c r="GD174" s="858"/>
      <c r="GE174" s="858"/>
      <c r="GF174" s="858"/>
      <c r="GG174" s="858"/>
      <c r="GH174" s="858"/>
      <c r="GI174" s="858"/>
      <c r="GJ174" s="858"/>
      <c r="GK174" s="858"/>
      <c r="GL174" s="858"/>
      <c r="GM174" s="858"/>
      <c r="GN174" s="858"/>
      <c r="GO174" s="858"/>
      <c r="GP174" s="858"/>
      <c r="GQ174" s="858"/>
      <c r="GR174" s="858"/>
      <c r="GS174" s="858"/>
      <c r="GT174" s="858"/>
      <c r="GU174" s="858"/>
      <c r="GV174" s="858"/>
      <c r="GW174" s="858"/>
      <c r="GX174" s="858"/>
      <c r="GY174" s="858"/>
      <c r="GZ174" s="858"/>
      <c r="HA174" s="858"/>
      <c r="HB174" s="858"/>
      <c r="HC174" s="858"/>
      <c r="HD174" s="858"/>
      <c r="HE174" s="858"/>
      <c r="HF174" s="858"/>
      <c r="HG174" s="858"/>
      <c r="HH174" s="858"/>
      <c r="HI174" s="858"/>
      <c r="HJ174" s="858"/>
      <c r="HK174" s="858"/>
      <c r="HL174" s="858"/>
      <c r="HM174" s="858"/>
      <c r="HN174" s="858"/>
      <c r="HO174" s="858"/>
      <c r="HP174" s="858"/>
      <c r="HQ174" s="858"/>
      <c r="HR174" s="858"/>
      <c r="HS174" s="858"/>
      <c r="HT174" s="858"/>
      <c r="HU174" s="858"/>
      <c r="HV174" s="858"/>
      <c r="HW174" s="858"/>
      <c r="HX174" s="858"/>
      <c r="HY174" s="858"/>
      <c r="HZ174" s="858"/>
      <c r="IA174" s="858"/>
      <c r="IB174" s="858"/>
      <c r="IC174" s="858"/>
      <c r="ID174" s="858"/>
      <c r="IE174" s="858"/>
      <c r="IF174" s="858"/>
      <c r="IG174" s="858"/>
      <c r="IH174" s="858"/>
      <c r="II174" s="858"/>
      <c r="IJ174" s="858"/>
      <c r="IK174" s="858"/>
      <c r="IL174" s="858"/>
      <c r="IM174" s="858"/>
      <c r="IN174" s="858"/>
    </row>
    <row r="175" spans="1:248">
      <c r="A175" s="564" t="s">
        <v>27</v>
      </c>
      <c r="B175" s="566">
        <v>12103.9</v>
      </c>
      <c r="C175" s="859">
        <v>24.589727649857586</v>
      </c>
      <c r="D175" s="567">
        <v>12468.2</v>
      </c>
      <c r="E175" s="859">
        <v>25.329822807851549</v>
      </c>
      <c r="F175" s="859">
        <v>-364.30000000000109</v>
      </c>
      <c r="G175" s="859">
        <f t="shared" si="28"/>
        <v>-0.74009515799396441</v>
      </c>
      <c r="H175" s="27">
        <v>49223.4</v>
      </c>
      <c r="I175" s="858"/>
      <c r="J175" s="858"/>
      <c r="K175" s="858"/>
      <c r="L175" s="858"/>
      <c r="M175" s="858"/>
      <c r="N175" s="858"/>
      <c r="O175" s="858"/>
      <c r="P175" s="858"/>
      <c r="Q175" s="858"/>
      <c r="R175" s="858"/>
      <c r="S175" s="858"/>
      <c r="T175" s="858"/>
      <c r="U175" s="858"/>
      <c r="V175" s="858"/>
      <c r="W175" s="858"/>
      <c r="X175" s="858"/>
      <c r="Y175" s="858"/>
      <c r="Z175" s="858"/>
      <c r="AA175" s="858"/>
      <c r="AB175" s="858"/>
      <c r="AC175" s="858"/>
      <c r="AD175" s="858"/>
      <c r="AE175" s="858"/>
      <c r="AF175" s="858"/>
      <c r="AG175" s="858"/>
      <c r="AH175" s="858"/>
      <c r="AI175" s="858"/>
      <c r="AJ175" s="858"/>
      <c r="AK175" s="858"/>
      <c r="AL175" s="858"/>
      <c r="AM175" s="858"/>
      <c r="AN175" s="858"/>
      <c r="AO175" s="858"/>
      <c r="AP175" s="858"/>
      <c r="AQ175" s="858"/>
      <c r="AR175" s="858"/>
      <c r="AS175" s="858"/>
      <c r="AT175" s="858"/>
      <c r="AU175" s="858"/>
      <c r="AV175" s="858"/>
      <c r="AW175" s="858"/>
      <c r="AX175" s="858"/>
      <c r="AY175" s="858"/>
      <c r="AZ175" s="858"/>
      <c r="BA175" s="858"/>
      <c r="BB175" s="858"/>
      <c r="BC175" s="858"/>
      <c r="BD175" s="858"/>
      <c r="BE175" s="858"/>
      <c r="BF175" s="858"/>
      <c r="BG175" s="858"/>
      <c r="BH175" s="858"/>
      <c r="BI175" s="858"/>
      <c r="BJ175" s="858"/>
      <c r="BK175" s="858"/>
      <c r="BL175" s="858"/>
      <c r="BM175" s="858"/>
      <c r="BN175" s="858"/>
      <c r="BO175" s="858"/>
      <c r="BP175" s="858"/>
      <c r="BQ175" s="858"/>
      <c r="BR175" s="858"/>
      <c r="BS175" s="858"/>
      <c r="BT175" s="858"/>
      <c r="BU175" s="858"/>
      <c r="BV175" s="858"/>
      <c r="BW175" s="858"/>
      <c r="BX175" s="858"/>
      <c r="BY175" s="858"/>
      <c r="BZ175" s="858"/>
      <c r="CA175" s="858"/>
      <c r="CB175" s="858"/>
      <c r="CC175" s="858"/>
      <c r="CD175" s="858"/>
      <c r="CE175" s="858"/>
      <c r="CF175" s="858"/>
      <c r="CG175" s="858"/>
      <c r="CH175" s="858"/>
      <c r="CI175" s="858"/>
      <c r="CJ175" s="858"/>
      <c r="CK175" s="858"/>
      <c r="CL175" s="858"/>
      <c r="CM175" s="858"/>
      <c r="CN175" s="858"/>
      <c r="CO175" s="858"/>
      <c r="CP175" s="858"/>
      <c r="CQ175" s="858"/>
      <c r="CR175" s="858"/>
      <c r="CS175" s="858"/>
      <c r="CT175" s="858"/>
      <c r="CU175" s="858"/>
      <c r="CV175" s="858"/>
      <c r="CW175" s="858"/>
      <c r="CX175" s="858"/>
      <c r="CY175" s="858"/>
      <c r="CZ175" s="858"/>
      <c r="DA175" s="858"/>
      <c r="DB175" s="858"/>
      <c r="DC175" s="858"/>
      <c r="DD175" s="858"/>
      <c r="DE175" s="858"/>
      <c r="DF175" s="858"/>
      <c r="DG175" s="858"/>
      <c r="DH175" s="858"/>
      <c r="DI175" s="858"/>
      <c r="DJ175" s="858"/>
      <c r="DK175" s="858"/>
      <c r="DL175" s="858"/>
      <c r="DM175" s="858"/>
      <c r="DN175" s="858"/>
      <c r="DO175" s="858"/>
      <c r="DP175" s="858"/>
      <c r="DQ175" s="858"/>
      <c r="DR175" s="858"/>
      <c r="DS175" s="858"/>
      <c r="DT175" s="858"/>
      <c r="DU175" s="858"/>
      <c r="DV175" s="858"/>
      <c r="DW175" s="858"/>
      <c r="DX175" s="858"/>
      <c r="DY175" s="858"/>
      <c r="DZ175" s="858"/>
      <c r="EA175" s="858"/>
      <c r="EB175" s="858"/>
      <c r="EC175" s="858"/>
      <c r="ED175" s="858"/>
      <c r="EE175" s="858"/>
      <c r="EF175" s="858"/>
      <c r="EG175" s="858"/>
      <c r="EH175" s="858"/>
      <c r="EI175" s="858"/>
      <c r="EJ175" s="858"/>
      <c r="EK175" s="858"/>
      <c r="EL175" s="858"/>
      <c r="EM175" s="858"/>
      <c r="EN175" s="858"/>
      <c r="EO175" s="858"/>
      <c r="EP175" s="858"/>
      <c r="EQ175" s="858"/>
      <c r="ER175" s="858"/>
      <c r="ES175" s="858"/>
      <c r="ET175" s="858"/>
      <c r="EU175" s="858"/>
      <c r="EV175" s="858"/>
      <c r="EW175" s="858"/>
      <c r="EX175" s="858"/>
      <c r="EY175" s="858"/>
      <c r="EZ175" s="858"/>
      <c r="FA175" s="858"/>
      <c r="FB175" s="858"/>
      <c r="FC175" s="858"/>
      <c r="FD175" s="858"/>
      <c r="FE175" s="858"/>
      <c r="FF175" s="858"/>
      <c r="FG175" s="858"/>
      <c r="FH175" s="858"/>
      <c r="FI175" s="858"/>
      <c r="FJ175" s="858"/>
      <c r="FK175" s="858"/>
      <c r="FL175" s="858"/>
      <c r="FM175" s="858"/>
      <c r="FN175" s="858"/>
      <c r="FO175" s="858"/>
      <c r="FP175" s="858"/>
      <c r="FQ175" s="858"/>
      <c r="FR175" s="858"/>
      <c r="FS175" s="858"/>
      <c r="FT175" s="858"/>
      <c r="FU175" s="858"/>
      <c r="FV175" s="858"/>
      <c r="FW175" s="858"/>
      <c r="FX175" s="858"/>
      <c r="FY175" s="858"/>
      <c r="FZ175" s="858"/>
      <c r="GA175" s="858"/>
      <c r="GB175" s="858"/>
      <c r="GC175" s="858"/>
      <c r="GD175" s="858"/>
      <c r="GE175" s="858"/>
      <c r="GF175" s="858"/>
      <c r="GG175" s="858"/>
      <c r="GH175" s="858"/>
      <c r="GI175" s="858"/>
      <c r="GJ175" s="858"/>
      <c r="GK175" s="858"/>
      <c r="GL175" s="858"/>
      <c r="GM175" s="858"/>
      <c r="GN175" s="858"/>
      <c r="GO175" s="858"/>
      <c r="GP175" s="858"/>
      <c r="GQ175" s="858"/>
      <c r="GR175" s="858"/>
      <c r="GS175" s="858"/>
      <c r="GT175" s="858"/>
      <c r="GU175" s="858"/>
      <c r="GV175" s="858"/>
      <c r="GW175" s="858"/>
      <c r="GX175" s="858"/>
      <c r="GY175" s="858"/>
      <c r="GZ175" s="858"/>
      <c r="HA175" s="858"/>
      <c r="HB175" s="858"/>
      <c r="HC175" s="858"/>
      <c r="HD175" s="858"/>
      <c r="HE175" s="858"/>
      <c r="HF175" s="858"/>
      <c r="HG175" s="858"/>
      <c r="HH175" s="858"/>
      <c r="HI175" s="858"/>
      <c r="HJ175" s="858"/>
      <c r="HK175" s="858"/>
      <c r="HL175" s="858"/>
      <c r="HM175" s="858"/>
      <c r="HN175" s="858"/>
      <c r="HO175" s="858"/>
      <c r="HP175" s="858"/>
      <c r="HQ175" s="858"/>
      <c r="HR175" s="858"/>
      <c r="HS175" s="858"/>
      <c r="HT175" s="858"/>
      <c r="HU175" s="858"/>
      <c r="HV175" s="858"/>
      <c r="HW175" s="858"/>
      <c r="HX175" s="858"/>
      <c r="HY175" s="858"/>
      <c r="HZ175" s="858"/>
      <c r="IA175" s="858"/>
      <c r="IB175" s="858"/>
      <c r="IC175" s="858"/>
      <c r="ID175" s="858"/>
      <c r="IE175" s="858"/>
      <c r="IF175" s="858"/>
      <c r="IG175" s="858"/>
      <c r="IH175" s="858"/>
      <c r="II175" s="858"/>
      <c r="IJ175" s="858"/>
      <c r="IK175" s="858"/>
      <c r="IL175" s="858"/>
      <c r="IM175" s="858"/>
      <c r="IN175" s="858"/>
    </row>
    <row r="176" spans="1:248">
      <c r="A176" s="564" t="s">
        <v>28</v>
      </c>
      <c r="B176" s="566">
        <v>12965.5</v>
      </c>
      <c r="C176" s="859">
        <v>23.819146805895677</v>
      </c>
      <c r="D176" s="567">
        <v>13927.4</v>
      </c>
      <c r="E176" s="859">
        <v>25.586270118732902</v>
      </c>
      <c r="F176" s="859">
        <v>-961.89999999999964</v>
      </c>
      <c r="G176" s="859">
        <f t="shared" si="28"/>
        <v>-1.7671233128372252</v>
      </c>
      <c r="H176" s="27">
        <v>54433.1</v>
      </c>
      <c r="I176" s="858"/>
      <c r="J176" s="858"/>
      <c r="K176" s="858"/>
      <c r="L176" s="858"/>
      <c r="M176" s="858"/>
      <c r="N176" s="858"/>
      <c r="O176" s="858"/>
      <c r="P176" s="858"/>
      <c r="Q176" s="858"/>
      <c r="R176" s="858"/>
      <c r="S176" s="858"/>
      <c r="T176" s="858"/>
      <c r="U176" s="858"/>
      <c r="V176" s="858"/>
      <c r="W176" s="858"/>
      <c r="X176" s="858"/>
      <c r="Y176" s="858"/>
      <c r="Z176" s="858"/>
      <c r="AA176" s="858"/>
      <c r="AB176" s="858"/>
      <c r="AC176" s="858"/>
      <c r="AD176" s="858"/>
      <c r="AE176" s="858"/>
      <c r="AF176" s="858"/>
      <c r="AG176" s="858"/>
      <c r="AH176" s="858"/>
      <c r="AI176" s="858"/>
      <c r="AJ176" s="858"/>
      <c r="AK176" s="858"/>
      <c r="AL176" s="858"/>
      <c r="AM176" s="858"/>
      <c r="AN176" s="858"/>
      <c r="AO176" s="858"/>
      <c r="AP176" s="858"/>
      <c r="AQ176" s="858"/>
      <c r="AR176" s="858"/>
      <c r="AS176" s="858"/>
      <c r="AT176" s="858"/>
      <c r="AU176" s="858"/>
      <c r="AV176" s="858"/>
      <c r="AW176" s="858"/>
      <c r="AX176" s="858"/>
      <c r="AY176" s="858"/>
      <c r="AZ176" s="858"/>
      <c r="BA176" s="858"/>
      <c r="BB176" s="858"/>
      <c r="BC176" s="858"/>
      <c r="BD176" s="858"/>
      <c r="BE176" s="858"/>
      <c r="BF176" s="858"/>
      <c r="BG176" s="858"/>
      <c r="BH176" s="858"/>
      <c r="BI176" s="858"/>
      <c r="BJ176" s="858"/>
      <c r="BK176" s="858"/>
      <c r="BL176" s="858"/>
      <c r="BM176" s="858"/>
      <c r="BN176" s="858"/>
      <c r="BO176" s="858"/>
      <c r="BP176" s="858"/>
      <c r="BQ176" s="858"/>
      <c r="BR176" s="858"/>
      <c r="BS176" s="858"/>
      <c r="BT176" s="858"/>
      <c r="BU176" s="858"/>
      <c r="BV176" s="858"/>
      <c r="BW176" s="858"/>
      <c r="BX176" s="858"/>
      <c r="BY176" s="858"/>
      <c r="BZ176" s="858"/>
      <c r="CA176" s="858"/>
      <c r="CB176" s="858"/>
      <c r="CC176" s="858"/>
      <c r="CD176" s="858"/>
      <c r="CE176" s="858"/>
      <c r="CF176" s="858"/>
      <c r="CG176" s="858"/>
      <c r="CH176" s="858"/>
      <c r="CI176" s="858"/>
      <c r="CJ176" s="858"/>
      <c r="CK176" s="858"/>
      <c r="CL176" s="858"/>
      <c r="CM176" s="858"/>
      <c r="CN176" s="858"/>
      <c r="CO176" s="858"/>
      <c r="CP176" s="858"/>
      <c r="CQ176" s="858"/>
      <c r="CR176" s="858"/>
      <c r="CS176" s="858"/>
      <c r="CT176" s="858"/>
      <c r="CU176" s="858"/>
      <c r="CV176" s="858"/>
      <c r="CW176" s="858"/>
      <c r="CX176" s="858"/>
      <c r="CY176" s="858"/>
      <c r="CZ176" s="858"/>
      <c r="DA176" s="858"/>
      <c r="DB176" s="858"/>
      <c r="DC176" s="858"/>
      <c r="DD176" s="858"/>
      <c r="DE176" s="858"/>
      <c r="DF176" s="858"/>
      <c r="DG176" s="858"/>
      <c r="DH176" s="858"/>
      <c r="DI176" s="858"/>
      <c r="DJ176" s="858"/>
      <c r="DK176" s="858"/>
      <c r="DL176" s="858"/>
      <c r="DM176" s="858"/>
      <c r="DN176" s="858"/>
      <c r="DO176" s="858"/>
      <c r="DP176" s="858"/>
      <c r="DQ176" s="858"/>
      <c r="DR176" s="858"/>
      <c r="DS176" s="858"/>
      <c r="DT176" s="858"/>
      <c r="DU176" s="858"/>
      <c r="DV176" s="858"/>
      <c r="DW176" s="858"/>
      <c r="DX176" s="858"/>
      <c r="DY176" s="858"/>
      <c r="DZ176" s="858"/>
      <c r="EA176" s="858"/>
      <c r="EB176" s="858"/>
      <c r="EC176" s="858"/>
      <c r="ED176" s="858"/>
      <c r="EE176" s="858"/>
      <c r="EF176" s="858"/>
      <c r="EG176" s="858"/>
      <c r="EH176" s="858"/>
      <c r="EI176" s="858"/>
      <c r="EJ176" s="858"/>
      <c r="EK176" s="858"/>
      <c r="EL176" s="858"/>
      <c r="EM176" s="858"/>
      <c r="EN176" s="858"/>
      <c r="EO176" s="858"/>
      <c r="EP176" s="858"/>
      <c r="EQ176" s="858"/>
      <c r="ER176" s="858"/>
      <c r="ES176" s="858"/>
      <c r="ET176" s="858"/>
      <c r="EU176" s="858"/>
      <c r="EV176" s="858"/>
      <c r="EW176" s="858"/>
      <c r="EX176" s="858"/>
      <c r="EY176" s="858"/>
      <c r="EZ176" s="858"/>
      <c r="FA176" s="858"/>
      <c r="FB176" s="858"/>
      <c r="FC176" s="858"/>
      <c r="FD176" s="858"/>
      <c r="FE176" s="858"/>
      <c r="FF176" s="858"/>
      <c r="FG176" s="858"/>
      <c r="FH176" s="858"/>
      <c r="FI176" s="858"/>
      <c r="FJ176" s="858"/>
      <c r="FK176" s="858"/>
      <c r="FL176" s="858"/>
      <c r="FM176" s="858"/>
      <c r="FN176" s="858"/>
      <c r="FO176" s="858"/>
      <c r="FP176" s="858"/>
      <c r="FQ176" s="858"/>
      <c r="FR176" s="858"/>
      <c r="FS176" s="858"/>
      <c r="FT176" s="858"/>
      <c r="FU176" s="858"/>
      <c r="FV176" s="858"/>
      <c r="FW176" s="858"/>
      <c r="FX176" s="858"/>
      <c r="FY176" s="858"/>
      <c r="FZ176" s="858"/>
      <c r="GA176" s="858"/>
      <c r="GB176" s="858"/>
      <c r="GC176" s="858"/>
      <c r="GD176" s="858"/>
      <c r="GE176" s="858"/>
      <c r="GF176" s="858"/>
      <c r="GG176" s="858"/>
      <c r="GH176" s="858"/>
      <c r="GI176" s="858"/>
      <c r="GJ176" s="858"/>
      <c r="GK176" s="858"/>
      <c r="GL176" s="858"/>
      <c r="GM176" s="858"/>
      <c r="GN176" s="858"/>
      <c r="GO176" s="858"/>
      <c r="GP176" s="858"/>
      <c r="GQ176" s="858"/>
      <c r="GR176" s="858"/>
      <c r="GS176" s="858"/>
      <c r="GT176" s="858"/>
      <c r="GU176" s="858"/>
      <c r="GV176" s="858"/>
      <c r="GW176" s="858"/>
      <c r="GX176" s="858"/>
      <c r="GY176" s="858"/>
      <c r="GZ176" s="858"/>
      <c r="HA176" s="858"/>
      <c r="HB176" s="858"/>
      <c r="HC176" s="858"/>
      <c r="HD176" s="858"/>
      <c r="HE176" s="858"/>
      <c r="HF176" s="858"/>
      <c r="HG176" s="858"/>
      <c r="HH176" s="858"/>
      <c r="HI176" s="858"/>
      <c r="HJ176" s="858"/>
      <c r="HK176" s="858"/>
      <c r="HL176" s="858"/>
      <c r="HM176" s="858"/>
      <c r="HN176" s="858"/>
      <c r="HO176" s="858"/>
      <c r="HP176" s="858"/>
      <c r="HQ176" s="858"/>
      <c r="HR176" s="858"/>
      <c r="HS176" s="858"/>
      <c r="HT176" s="858"/>
      <c r="HU176" s="858"/>
      <c r="HV176" s="858"/>
      <c r="HW176" s="858"/>
      <c r="HX176" s="858"/>
      <c r="HY176" s="858"/>
      <c r="HZ176" s="858"/>
      <c r="IA176" s="858"/>
      <c r="IB176" s="858"/>
      <c r="IC176" s="858"/>
      <c r="ID176" s="858"/>
      <c r="IE176" s="858"/>
      <c r="IF176" s="858"/>
      <c r="IG176" s="858"/>
      <c r="IH176" s="858"/>
      <c r="II176" s="858"/>
      <c r="IJ176" s="858"/>
      <c r="IK176" s="858"/>
      <c r="IL176" s="858"/>
      <c r="IM176" s="858"/>
      <c r="IN176" s="858"/>
    </row>
    <row r="177" spans="1:248">
      <c r="A177" s="564" t="s">
        <v>29</v>
      </c>
      <c r="B177" s="566">
        <v>17506</v>
      </c>
      <c r="C177" s="566">
        <v>28.963412615928458</v>
      </c>
      <c r="D177" s="567">
        <v>17751</v>
      </c>
      <c r="E177" s="859">
        <v>29.576729896295411</v>
      </c>
      <c r="F177" s="859">
        <v>-245</v>
      </c>
      <c r="G177" s="859">
        <f t="shared" si="28"/>
        <v>-0.40545997365337644</v>
      </c>
      <c r="H177" s="27">
        <v>60425.2</v>
      </c>
      <c r="I177" s="858"/>
      <c r="J177" s="858"/>
      <c r="K177" s="858"/>
      <c r="L177" s="858"/>
      <c r="M177" s="858"/>
      <c r="N177" s="858"/>
      <c r="O177" s="858"/>
      <c r="P177" s="858"/>
      <c r="Q177" s="858"/>
      <c r="R177" s="858"/>
      <c r="S177" s="858"/>
      <c r="T177" s="858"/>
      <c r="U177" s="858"/>
      <c r="V177" s="858"/>
      <c r="W177" s="858"/>
      <c r="X177" s="858"/>
      <c r="Y177" s="858"/>
      <c r="Z177" s="858"/>
      <c r="AA177" s="858"/>
      <c r="AB177" s="858"/>
      <c r="AC177" s="858"/>
      <c r="AD177" s="858"/>
      <c r="AE177" s="858"/>
      <c r="AF177" s="858"/>
      <c r="AG177" s="858"/>
      <c r="AH177" s="858"/>
      <c r="AI177" s="858"/>
      <c r="AJ177" s="858"/>
      <c r="AK177" s="858"/>
      <c r="AL177" s="858"/>
      <c r="AM177" s="858"/>
      <c r="AN177" s="858"/>
      <c r="AO177" s="858"/>
      <c r="AP177" s="858"/>
      <c r="AQ177" s="858"/>
      <c r="AR177" s="858"/>
      <c r="AS177" s="858"/>
      <c r="AT177" s="858"/>
      <c r="AU177" s="858"/>
      <c r="AV177" s="858"/>
      <c r="AW177" s="858"/>
      <c r="AX177" s="858"/>
      <c r="AY177" s="858"/>
      <c r="AZ177" s="858"/>
      <c r="BA177" s="858"/>
      <c r="BB177" s="858"/>
      <c r="BC177" s="858"/>
      <c r="BD177" s="858"/>
      <c r="BE177" s="858"/>
      <c r="BF177" s="858"/>
      <c r="BG177" s="858"/>
      <c r="BH177" s="858"/>
      <c r="BI177" s="858"/>
      <c r="BJ177" s="858"/>
      <c r="BK177" s="858"/>
      <c r="BL177" s="858"/>
      <c r="BM177" s="858"/>
      <c r="BN177" s="858"/>
      <c r="BO177" s="858"/>
      <c r="BP177" s="858"/>
      <c r="BQ177" s="858"/>
      <c r="BR177" s="858"/>
      <c r="BS177" s="858"/>
      <c r="BT177" s="858"/>
      <c r="BU177" s="858"/>
      <c r="BV177" s="858"/>
      <c r="BW177" s="858"/>
      <c r="BX177" s="858"/>
      <c r="BY177" s="858"/>
      <c r="BZ177" s="858"/>
      <c r="CA177" s="858"/>
      <c r="CB177" s="858"/>
      <c r="CC177" s="858"/>
      <c r="CD177" s="858"/>
      <c r="CE177" s="858"/>
      <c r="CF177" s="858"/>
      <c r="CG177" s="858"/>
      <c r="CH177" s="858"/>
      <c r="CI177" s="858"/>
      <c r="CJ177" s="858"/>
      <c r="CK177" s="858"/>
      <c r="CL177" s="858"/>
      <c r="CM177" s="858"/>
      <c r="CN177" s="858"/>
      <c r="CO177" s="858"/>
      <c r="CP177" s="858"/>
      <c r="CQ177" s="858"/>
      <c r="CR177" s="858"/>
      <c r="CS177" s="858"/>
      <c r="CT177" s="858"/>
      <c r="CU177" s="858"/>
      <c r="CV177" s="858"/>
      <c r="CW177" s="858"/>
      <c r="CX177" s="858"/>
      <c r="CY177" s="858"/>
      <c r="CZ177" s="858"/>
      <c r="DA177" s="858"/>
      <c r="DB177" s="858"/>
      <c r="DC177" s="858"/>
      <c r="DD177" s="858"/>
      <c r="DE177" s="858"/>
      <c r="DF177" s="858"/>
      <c r="DG177" s="858"/>
      <c r="DH177" s="858"/>
      <c r="DI177" s="858"/>
      <c r="DJ177" s="858"/>
      <c r="DK177" s="858"/>
      <c r="DL177" s="858"/>
      <c r="DM177" s="858"/>
      <c r="DN177" s="858"/>
      <c r="DO177" s="858"/>
      <c r="DP177" s="858"/>
      <c r="DQ177" s="858"/>
      <c r="DR177" s="858"/>
      <c r="DS177" s="858"/>
      <c r="DT177" s="858"/>
      <c r="DU177" s="858"/>
      <c r="DV177" s="858"/>
      <c r="DW177" s="858"/>
      <c r="DX177" s="858"/>
      <c r="DY177" s="858"/>
      <c r="DZ177" s="858"/>
      <c r="EA177" s="858"/>
      <c r="EB177" s="858"/>
      <c r="EC177" s="858"/>
      <c r="ED177" s="858"/>
      <c r="EE177" s="858"/>
      <c r="EF177" s="858"/>
      <c r="EG177" s="858"/>
      <c r="EH177" s="858"/>
      <c r="EI177" s="858"/>
      <c r="EJ177" s="858"/>
      <c r="EK177" s="858"/>
      <c r="EL177" s="858"/>
      <c r="EM177" s="858"/>
      <c r="EN177" s="858"/>
      <c r="EO177" s="858"/>
      <c r="EP177" s="858"/>
      <c r="EQ177" s="858"/>
      <c r="ER177" s="858"/>
      <c r="ES177" s="858"/>
      <c r="ET177" s="858"/>
      <c r="EU177" s="858"/>
      <c r="EV177" s="858"/>
      <c r="EW177" s="858"/>
      <c r="EX177" s="858"/>
      <c r="EY177" s="858"/>
      <c r="EZ177" s="858"/>
      <c r="FA177" s="858"/>
      <c r="FB177" s="858"/>
      <c r="FC177" s="858"/>
      <c r="FD177" s="858"/>
      <c r="FE177" s="858"/>
      <c r="FF177" s="858"/>
      <c r="FG177" s="858"/>
      <c r="FH177" s="858"/>
      <c r="FI177" s="858"/>
      <c r="FJ177" s="858"/>
      <c r="FK177" s="858"/>
      <c r="FL177" s="858"/>
      <c r="FM177" s="858"/>
      <c r="FN177" s="858"/>
      <c r="FO177" s="858"/>
      <c r="FP177" s="858"/>
      <c r="FQ177" s="858"/>
      <c r="FR177" s="858"/>
      <c r="FS177" s="858"/>
      <c r="FT177" s="858"/>
      <c r="FU177" s="858"/>
      <c r="FV177" s="858"/>
      <c r="FW177" s="858"/>
      <c r="FX177" s="858"/>
      <c r="FY177" s="858"/>
      <c r="FZ177" s="858"/>
      <c r="GA177" s="858"/>
      <c r="GB177" s="858"/>
      <c r="GC177" s="858"/>
      <c r="GD177" s="858"/>
      <c r="GE177" s="858"/>
      <c r="GF177" s="858"/>
      <c r="GG177" s="858"/>
      <c r="GH177" s="858"/>
      <c r="GI177" s="858"/>
      <c r="GJ177" s="858"/>
      <c r="GK177" s="858"/>
      <c r="GL177" s="858"/>
      <c r="GM177" s="858"/>
      <c r="GN177" s="858"/>
      <c r="GO177" s="858"/>
      <c r="GP177" s="858"/>
      <c r="GQ177" s="858"/>
      <c r="GR177" s="858"/>
      <c r="GS177" s="858"/>
      <c r="GT177" s="858"/>
      <c r="GU177" s="858"/>
      <c r="GV177" s="858"/>
      <c r="GW177" s="858"/>
      <c r="GX177" s="858"/>
      <c r="GY177" s="858"/>
      <c r="GZ177" s="858"/>
      <c r="HA177" s="858"/>
      <c r="HB177" s="858"/>
      <c r="HC177" s="858"/>
      <c r="HD177" s="858"/>
      <c r="HE177" s="858"/>
      <c r="HF177" s="858"/>
      <c r="HG177" s="858"/>
      <c r="HH177" s="858"/>
      <c r="HI177" s="858"/>
      <c r="HJ177" s="858"/>
      <c r="HK177" s="858"/>
      <c r="HL177" s="858"/>
      <c r="HM177" s="858"/>
      <c r="HN177" s="858"/>
      <c r="HO177" s="858"/>
      <c r="HP177" s="858"/>
      <c r="HQ177" s="858"/>
      <c r="HR177" s="858"/>
      <c r="HS177" s="858"/>
      <c r="HT177" s="858"/>
      <c r="HU177" s="858"/>
      <c r="HV177" s="858"/>
      <c r="HW177" s="858"/>
      <c r="HX177" s="858"/>
      <c r="HY177" s="858"/>
      <c r="HZ177" s="858"/>
      <c r="IA177" s="858"/>
      <c r="IB177" s="858"/>
      <c r="IC177" s="858"/>
      <c r="ID177" s="858"/>
      <c r="IE177" s="858"/>
      <c r="IF177" s="858"/>
      <c r="IG177" s="858"/>
      <c r="IH177" s="858"/>
      <c r="II177" s="858"/>
      <c r="IJ177" s="858"/>
      <c r="IK177" s="858"/>
      <c r="IL177" s="858"/>
      <c r="IM177" s="858"/>
      <c r="IN177" s="858"/>
    </row>
    <row r="178" spans="1:248">
      <c r="A178" s="564" t="s">
        <v>1902</v>
      </c>
      <c r="B178" s="561">
        <v>16516.683993999995</v>
      </c>
      <c r="C178" s="860">
        <v>23.450312325782669</v>
      </c>
      <c r="D178" s="562">
        <v>17594.477983999997</v>
      </c>
      <c r="E178" s="860">
        <v>25.077885395472453</v>
      </c>
      <c r="F178" s="860">
        <f>B178-D178</f>
        <v>-1077.7939900000019</v>
      </c>
      <c r="G178" s="860">
        <v>-1.6275730696897843</v>
      </c>
      <c r="H178" s="27"/>
      <c r="I178" s="858"/>
      <c r="J178" s="858"/>
      <c r="K178" s="858"/>
      <c r="L178" s="858"/>
      <c r="M178" s="858"/>
      <c r="N178" s="858"/>
      <c r="O178" s="858"/>
      <c r="P178" s="858"/>
      <c r="Q178" s="858"/>
      <c r="R178" s="858"/>
      <c r="S178" s="858"/>
      <c r="T178" s="858"/>
      <c r="U178" s="858"/>
      <c r="V178" s="858"/>
      <c r="W178" s="858"/>
      <c r="X178" s="858"/>
      <c r="Y178" s="858"/>
      <c r="Z178" s="858"/>
      <c r="AA178" s="858"/>
      <c r="AB178" s="858"/>
      <c r="AC178" s="858"/>
      <c r="AD178" s="858"/>
      <c r="AE178" s="858"/>
      <c r="AF178" s="858"/>
      <c r="AG178" s="858"/>
      <c r="AH178" s="858"/>
      <c r="AI178" s="858"/>
      <c r="AJ178" s="858"/>
      <c r="AK178" s="858"/>
      <c r="AL178" s="858"/>
      <c r="AM178" s="858"/>
      <c r="AN178" s="858"/>
      <c r="AO178" s="858"/>
      <c r="AP178" s="858"/>
      <c r="AQ178" s="858"/>
      <c r="AR178" s="858"/>
      <c r="AS178" s="858"/>
      <c r="AT178" s="858"/>
      <c r="AU178" s="858"/>
      <c r="AV178" s="858"/>
      <c r="AW178" s="858"/>
      <c r="AX178" s="858"/>
      <c r="AY178" s="858"/>
      <c r="AZ178" s="858"/>
      <c r="BA178" s="858"/>
      <c r="BB178" s="858"/>
      <c r="BC178" s="858"/>
      <c r="BD178" s="858"/>
      <c r="BE178" s="858"/>
      <c r="BF178" s="858"/>
      <c r="BG178" s="858"/>
      <c r="BH178" s="858"/>
      <c r="BI178" s="858"/>
      <c r="BJ178" s="858"/>
      <c r="BK178" s="858"/>
      <c r="BL178" s="858"/>
      <c r="BM178" s="858"/>
      <c r="BN178" s="858"/>
      <c r="BO178" s="858"/>
      <c r="BP178" s="858"/>
      <c r="BQ178" s="858"/>
      <c r="BR178" s="858"/>
      <c r="BS178" s="858"/>
      <c r="BT178" s="858"/>
      <c r="BU178" s="858"/>
      <c r="BV178" s="858"/>
      <c r="BW178" s="858"/>
      <c r="BX178" s="858"/>
      <c r="BY178" s="858"/>
      <c r="BZ178" s="858"/>
      <c r="CA178" s="858"/>
      <c r="CB178" s="858"/>
      <c r="CC178" s="858"/>
      <c r="CD178" s="858"/>
      <c r="CE178" s="858"/>
      <c r="CF178" s="858"/>
      <c r="CG178" s="858"/>
      <c r="CH178" s="858"/>
      <c r="CI178" s="858"/>
      <c r="CJ178" s="858"/>
      <c r="CK178" s="858"/>
      <c r="CL178" s="858"/>
      <c r="CM178" s="858"/>
      <c r="CN178" s="858"/>
      <c r="CO178" s="858"/>
      <c r="CP178" s="858"/>
      <c r="CQ178" s="858"/>
      <c r="CR178" s="858"/>
      <c r="CS178" s="858"/>
      <c r="CT178" s="858"/>
      <c r="CU178" s="858"/>
      <c r="CV178" s="858"/>
      <c r="CW178" s="858"/>
      <c r="CX178" s="858"/>
      <c r="CY178" s="858"/>
      <c r="CZ178" s="858"/>
      <c r="DA178" s="858"/>
      <c r="DB178" s="858"/>
      <c r="DC178" s="858"/>
      <c r="DD178" s="858"/>
      <c r="DE178" s="858"/>
      <c r="DF178" s="858"/>
      <c r="DG178" s="858"/>
      <c r="DH178" s="858"/>
      <c r="DI178" s="858"/>
      <c r="DJ178" s="858"/>
      <c r="DK178" s="858"/>
      <c r="DL178" s="858"/>
      <c r="DM178" s="858"/>
      <c r="DN178" s="858"/>
      <c r="DO178" s="858"/>
      <c r="DP178" s="858"/>
      <c r="DQ178" s="858"/>
      <c r="DR178" s="858"/>
      <c r="DS178" s="858"/>
      <c r="DT178" s="858"/>
      <c r="DU178" s="858"/>
      <c r="DV178" s="858"/>
      <c r="DW178" s="858"/>
      <c r="DX178" s="858"/>
      <c r="DY178" s="858"/>
      <c r="DZ178" s="858"/>
      <c r="EA178" s="858"/>
      <c r="EB178" s="858"/>
      <c r="EC178" s="858"/>
      <c r="ED178" s="858"/>
      <c r="EE178" s="858"/>
      <c r="EF178" s="858"/>
      <c r="EG178" s="858"/>
      <c r="EH178" s="858"/>
      <c r="EI178" s="858"/>
      <c r="EJ178" s="858"/>
      <c r="EK178" s="858"/>
      <c r="EL178" s="858"/>
      <c r="EM178" s="858"/>
      <c r="EN178" s="858"/>
      <c r="EO178" s="858"/>
      <c r="EP178" s="858"/>
      <c r="EQ178" s="858"/>
      <c r="ER178" s="858"/>
      <c r="ES178" s="858"/>
      <c r="ET178" s="858"/>
      <c r="EU178" s="858"/>
      <c r="EV178" s="858"/>
      <c r="EW178" s="858"/>
      <c r="EX178" s="858"/>
      <c r="EY178" s="858"/>
      <c r="EZ178" s="858"/>
      <c r="FA178" s="858"/>
      <c r="FB178" s="858"/>
      <c r="FC178" s="858"/>
      <c r="FD178" s="858"/>
      <c r="FE178" s="858"/>
      <c r="FF178" s="858"/>
      <c r="FG178" s="858"/>
      <c r="FH178" s="858"/>
      <c r="FI178" s="858"/>
      <c r="FJ178" s="858"/>
      <c r="FK178" s="858"/>
      <c r="FL178" s="858"/>
      <c r="FM178" s="858"/>
      <c r="FN178" s="858"/>
      <c r="FO178" s="858"/>
      <c r="FP178" s="858"/>
      <c r="FQ178" s="858"/>
      <c r="FR178" s="858"/>
      <c r="FS178" s="858"/>
      <c r="FT178" s="858"/>
      <c r="FU178" s="858"/>
      <c r="FV178" s="858"/>
      <c r="FW178" s="858"/>
      <c r="FX178" s="858"/>
      <c r="FY178" s="858"/>
      <c r="FZ178" s="858"/>
      <c r="GA178" s="858"/>
      <c r="GB178" s="858"/>
      <c r="GC178" s="858"/>
      <c r="GD178" s="858"/>
      <c r="GE178" s="858"/>
      <c r="GF178" s="858"/>
      <c r="GG178" s="858"/>
      <c r="GH178" s="858"/>
      <c r="GI178" s="858"/>
      <c r="GJ178" s="858"/>
      <c r="GK178" s="858"/>
      <c r="GL178" s="858"/>
      <c r="GM178" s="858"/>
      <c r="GN178" s="858"/>
      <c r="GO178" s="858"/>
      <c r="GP178" s="858"/>
      <c r="GQ178" s="858"/>
      <c r="GR178" s="858"/>
      <c r="GS178" s="858"/>
      <c r="GT178" s="858"/>
      <c r="GU178" s="858"/>
      <c r="GV178" s="858"/>
      <c r="GW178" s="858"/>
      <c r="GX178" s="858"/>
      <c r="GY178" s="858"/>
      <c r="GZ178" s="858"/>
      <c r="HA178" s="858"/>
      <c r="HB178" s="858"/>
      <c r="HC178" s="858"/>
      <c r="HD178" s="858"/>
      <c r="HE178" s="858"/>
      <c r="HF178" s="858"/>
      <c r="HG178" s="858"/>
      <c r="HH178" s="858"/>
      <c r="HI178" s="858"/>
      <c r="HJ178" s="858"/>
      <c r="HK178" s="858"/>
      <c r="HL178" s="858"/>
      <c r="HM178" s="858"/>
      <c r="HN178" s="858"/>
      <c r="HO178" s="858"/>
      <c r="HP178" s="858"/>
      <c r="HQ178" s="858"/>
      <c r="HR178" s="858"/>
      <c r="HS178" s="858"/>
      <c r="HT178" s="858"/>
      <c r="HU178" s="858"/>
      <c r="HV178" s="858"/>
      <c r="HW178" s="858"/>
      <c r="HX178" s="858"/>
      <c r="HY178" s="858"/>
      <c r="HZ178" s="858"/>
      <c r="IA178" s="858"/>
      <c r="IB178" s="858"/>
      <c r="IC178" s="858"/>
      <c r="ID178" s="858"/>
      <c r="IE178" s="858"/>
      <c r="IF178" s="858"/>
      <c r="IG178" s="858"/>
      <c r="IH178" s="858"/>
      <c r="II178" s="858"/>
      <c r="IJ178" s="858"/>
      <c r="IK178" s="858"/>
      <c r="IL178" s="858"/>
      <c r="IM178" s="858"/>
      <c r="IN178" s="858"/>
    </row>
    <row r="179" spans="1:248">
      <c r="A179" s="564" t="s">
        <v>18</v>
      </c>
      <c r="B179" s="566">
        <v>1243.5999999999999</v>
      </c>
      <c r="C179" s="859">
        <v>23.764116871452863</v>
      </c>
      <c r="D179" s="567">
        <v>924.9</v>
      </c>
      <c r="E179" s="859">
        <v>17.674036422006075</v>
      </c>
      <c r="F179" s="859">
        <v>318.69999999999993</v>
      </c>
      <c r="G179" s="859">
        <f t="shared" si="28"/>
        <v>6.0900804494467886</v>
      </c>
      <c r="H179" s="27">
        <v>5233.1000000000004</v>
      </c>
      <c r="I179" s="858"/>
      <c r="J179" s="858"/>
      <c r="K179" s="858"/>
      <c r="L179" s="858"/>
      <c r="M179" s="858"/>
      <c r="N179" s="858"/>
      <c r="O179" s="858"/>
      <c r="P179" s="858"/>
      <c r="Q179" s="858"/>
      <c r="R179" s="858"/>
      <c r="S179" s="858"/>
      <c r="T179" s="858"/>
      <c r="U179" s="858"/>
      <c r="V179" s="858"/>
      <c r="W179" s="858"/>
      <c r="X179" s="858"/>
      <c r="Y179" s="858"/>
      <c r="Z179" s="858"/>
      <c r="AA179" s="858"/>
      <c r="AB179" s="858"/>
      <c r="AC179" s="858"/>
      <c r="AD179" s="858"/>
      <c r="AE179" s="858"/>
      <c r="AF179" s="858"/>
      <c r="AG179" s="858"/>
      <c r="AH179" s="858"/>
      <c r="AI179" s="858"/>
      <c r="AJ179" s="858"/>
      <c r="AK179" s="858"/>
      <c r="AL179" s="858"/>
      <c r="AM179" s="858"/>
      <c r="AN179" s="858"/>
      <c r="AO179" s="858"/>
      <c r="AP179" s="858"/>
      <c r="AQ179" s="858"/>
      <c r="AR179" s="858"/>
      <c r="AS179" s="858"/>
      <c r="AT179" s="858"/>
      <c r="AU179" s="858"/>
      <c r="AV179" s="858"/>
      <c r="AW179" s="858"/>
      <c r="AX179" s="858"/>
      <c r="AY179" s="858"/>
      <c r="AZ179" s="858"/>
      <c r="BA179" s="858"/>
      <c r="BB179" s="858"/>
      <c r="BC179" s="858"/>
      <c r="BD179" s="858"/>
      <c r="BE179" s="858"/>
      <c r="BF179" s="858"/>
      <c r="BG179" s="858"/>
      <c r="BH179" s="858"/>
      <c r="BI179" s="858"/>
      <c r="BJ179" s="858"/>
      <c r="BK179" s="858"/>
      <c r="BL179" s="858"/>
      <c r="BM179" s="858"/>
      <c r="BN179" s="858"/>
      <c r="BO179" s="858"/>
      <c r="BP179" s="858"/>
      <c r="BQ179" s="858"/>
      <c r="BR179" s="858"/>
      <c r="BS179" s="858"/>
      <c r="BT179" s="858"/>
      <c r="BU179" s="858"/>
      <c r="BV179" s="858"/>
      <c r="BW179" s="858"/>
      <c r="BX179" s="858"/>
      <c r="BY179" s="858"/>
      <c r="BZ179" s="858"/>
      <c r="CA179" s="858"/>
      <c r="CB179" s="858"/>
      <c r="CC179" s="858"/>
      <c r="CD179" s="858"/>
      <c r="CE179" s="858"/>
      <c r="CF179" s="858"/>
      <c r="CG179" s="858"/>
      <c r="CH179" s="858"/>
      <c r="CI179" s="858"/>
      <c r="CJ179" s="858"/>
      <c r="CK179" s="858"/>
      <c r="CL179" s="858"/>
      <c r="CM179" s="858"/>
      <c r="CN179" s="858"/>
      <c r="CO179" s="858"/>
      <c r="CP179" s="858"/>
      <c r="CQ179" s="858"/>
      <c r="CR179" s="858"/>
      <c r="CS179" s="858"/>
      <c r="CT179" s="858"/>
      <c r="CU179" s="858"/>
      <c r="CV179" s="858"/>
      <c r="CW179" s="858"/>
      <c r="CX179" s="858"/>
      <c r="CY179" s="858"/>
      <c r="CZ179" s="858"/>
      <c r="DA179" s="858"/>
      <c r="DB179" s="858"/>
      <c r="DC179" s="858"/>
      <c r="DD179" s="858"/>
      <c r="DE179" s="858"/>
      <c r="DF179" s="858"/>
      <c r="DG179" s="858"/>
      <c r="DH179" s="858"/>
      <c r="DI179" s="858"/>
      <c r="DJ179" s="858"/>
      <c r="DK179" s="858"/>
      <c r="DL179" s="858"/>
      <c r="DM179" s="858"/>
      <c r="DN179" s="858"/>
      <c r="DO179" s="858"/>
      <c r="DP179" s="858"/>
      <c r="DQ179" s="858"/>
      <c r="DR179" s="858"/>
      <c r="DS179" s="858"/>
      <c r="DT179" s="858"/>
      <c r="DU179" s="858"/>
      <c r="DV179" s="858"/>
      <c r="DW179" s="858"/>
      <c r="DX179" s="858"/>
      <c r="DY179" s="858"/>
      <c r="DZ179" s="858"/>
      <c r="EA179" s="858"/>
      <c r="EB179" s="858"/>
      <c r="EC179" s="858"/>
      <c r="ED179" s="858"/>
      <c r="EE179" s="858"/>
      <c r="EF179" s="858"/>
      <c r="EG179" s="858"/>
      <c r="EH179" s="858"/>
      <c r="EI179" s="858"/>
      <c r="EJ179" s="858"/>
      <c r="EK179" s="858"/>
      <c r="EL179" s="858"/>
      <c r="EM179" s="858"/>
      <c r="EN179" s="858"/>
      <c r="EO179" s="858"/>
      <c r="EP179" s="858"/>
      <c r="EQ179" s="858"/>
      <c r="ER179" s="858"/>
      <c r="ES179" s="858"/>
      <c r="ET179" s="858"/>
      <c r="EU179" s="858"/>
      <c r="EV179" s="858"/>
      <c r="EW179" s="858"/>
      <c r="EX179" s="858"/>
      <c r="EY179" s="858"/>
      <c r="EZ179" s="858"/>
      <c r="FA179" s="858"/>
      <c r="FB179" s="858"/>
      <c r="FC179" s="858"/>
      <c r="FD179" s="858"/>
      <c r="FE179" s="858"/>
      <c r="FF179" s="858"/>
      <c r="FG179" s="858"/>
      <c r="FH179" s="858"/>
      <c r="FI179" s="858"/>
      <c r="FJ179" s="858"/>
      <c r="FK179" s="858"/>
      <c r="FL179" s="858"/>
      <c r="FM179" s="858"/>
      <c r="FN179" s="858"/>
      <c r="FO179" s="858"/>
      <c r="FP179" s="858"/>
      <c r="FQ179" s="858"/>
      <c r="FR179" s="858"/>
      <c r="FS179" s="858"/>
      <c r="FT179" s="858"/>
      <c r="FU179" s="858"/>
      <c r="FV179" s="858"/>
      <c r="FW179" s="858"/>
      <c r="FX179" s="858"/>
      <c r="FY179" s="858"/>
      <c r="FZ179" s="858"/>
      <c r="GA179" s="858"/>
      <c r="GB179" s="858"/>
      <c r="GC179" s="858"/>
      <c r="GD179" s="858"/>
      <c r="GE179" s="858"/>
      <c r="GF179" s="858"/>
      <c r="GG179" s="858"/>
      <c r="GH179" s="858"/>
      <c r="GI179" s="858"/>
      <c r="GJ179" s="858"/>
      <c r="GK179" s="858"/>
      <c r="GL179" s="858"/>
      <c r="GM179" s="858"/>
      <c r="GN179" s="858"/>
      <c r="GO179" s="858"/>
      <c r="GP179" s="858"/>
      <c r="GQ179" s="858"/>
      <c r="GR179" s="858"/>
      <c r="GS179" s="858"/>
      <c r="GT179" s="858"/>
      <c r="GU179" s="858"/>
      <c r="GV179" s="858"/>
      <c r="GW179" s="858"/>
      <c r="GX179" s="858"/>
      <c r="GY179" s="858"/>
      <c r="GZ179" s="858"/>
      <c r="HA179" s="858"/>
      <c r="HB179" s="858"/>
      <c r="HC179" s="858"/>
      <c r="HD179" s="858"/>
      <c r="HE179" s="858"/>
      <c r="HF179" s="858"/>
      <c r="HG179" s="858"/>
      <c r="HH179" s="858"/>
      <c r="HI179" s="858"/>
      <c r="HJ179" s="858"/>
      <c r="HK179" s="858"/>
      <c r="HL179" s="858"/>
      <c r="HM179" s="858"/>
      <c r="HN179" s="858"/>
      <c r="HO179" s="858"/>
      <c r="HP179" s="858"/>
      <c r="HQ179" s="858"/>
      <c r="HR179" s="858"/>
      <c r="HS179" s="858"/>
      <c r="HT179" s="858"/>
      <c r="HU179" s="858"/>
      <c r="HV179" s="858"/>
      <c r="HW179" s="858"/>
      <c r="HX179" s="858"/>
      <c r="HY179" s="858"/>
      <c r="HZ179" s="858"/>
      <c r="IA179" s="858"/>
      <c r="IB179" s="858"/>
      <c r="IC179" s="858"/>
      <c r="ID179" s="858"/>
      <c r="IE179" s="858"/>
      <c r="IF179" s="858"/>
      <c r="IG179" s="858"/>
      <c r="IH179" s="858"/>
      <c r="II179" s="858"/>
      <c r="IJ179" s="858"/>
      <c r="IK179" s="858"/>
      <c r="IL179" s="858"/>
      <c r="IM179" s="858"/>
      <c r="IN179" s="858"/>
    </row>
    <row r="180" spans="1:248">
      <c r="A180" s="564" t="s">
        <v>19</v>
      </c>
      <c r="B180" s="566">
        <v>2370.5</v>
      </c>
      <c r="C180" s="859">
        <v>23.604445064027242</v>
      </c>
      <c r="D180" s="567">
        <v>2191.6999999999998</v>
      </c>
      <c r="E180" s="859">
        <v>21.824029633760176</v>
      </c>
      <c r="F180" s="859">
        <v>178.80000000000018</v>
      </c>
      <c r="G180" s="859">
        <f t="shared" si="28"/>
        <v>1.7804154302670641</v>
      </c>
      <c r="H180" s="27">
        <v>10042.6</v>
      </c>
      <c r="I180" s="858"/>
      <c r="J180" s="858"/>
      <c r="K180" s="858"/>
      <c r="L180" s="858"/>
      <c r="M180" s="858"/>
      <c r="N180" s="858"/>
      <c r="O180" s="858"/>
      <c r="P180" s="858"/>
      <c r="Q180" s="858"/>
      <c r="R180" s="858"/>
      <c r="S180" s="858"/>
      <c r="T180" s="858"/>
      <c r="U180" s="858"/>
      <c r="V180" s="858"/>
      <c r="W180" s="858"/>
      <c r="X180" s="858"/>
      <c r="Y180" s="858"/>
      <c r="Z180" s="858"/>
      <c r="AA180" s="858"/>
      <c r="AB180" s="858"/>
      <c r="AC180" s="858"/>
      <c r="AD180" s="858"/>
      <c r="AE180" s="858"/>
      <c r="AF180" s="858"/>
      <c r="AG180" s="858"/>
      <c r="AH180" s="858"/>
      <c r="AI180" s="858"/>
      <c r="AJ180" s="858"/>
      <c r="AK180" s="858"/>
      <c r="AL180" s="858"/>
      <c r="AM180" s="858"/>
      <c r="AN180" s="858"/>
      <c r="AO180" s="858"/>
      <c r="AP180" s="858"/>
      <c r="AQ180" s="858"/>
      <c r="AR180" s="858"/>
      <c r="AS180" s="858"/>
      <c r="AT180" s="858"/>
      <c r="AU180" s="858"/>
      <c r="AV180" s="858"/>
      <c r="AW180" s="858"/>
      <c r="AX180" s="858"/>
      <c r="AY180" s="858"/>
      <c r="AZ180" s="858"/>
      <c r="BA180" s="858"/>
      <c r="BB180" s="858"/>
      <c r="BC180" s="858"/>
      <c r="BD180" s="858"/>
      <c r="BE180" s="858"/>
      <c r="BF180" s="858"/>
      <c r="BG180" s="858"/>
      <c r="BH180" s="858"/>
      <c r="BI180" s="858"/>
      <c r="BJ180" s="858"/>
      <c r="BK180" s="858"/>
      <c r="BL180" s="858"/>
      <c r="BM180" s="858"/>
      <c r="BN180" s="858"/>
      <c r="BO180" s="858"/>
      <c r="BP180" s="858"/>
      <c r="BQ180" s="858"/>
      <c r="BR180" s="858"/>
      <c r="BS180" s="858"/>
      <c r="BT180" s="858"/>
      <c r="BU180" s="858"/>
      <c r="BV180" s="858"/>
      <c r="BW180" s="858"/>
      <c r="BX180" s="858"/>
      <c r="BY180" s="858"/>
      <c r="BZ180" s="858"/>
      <c r="CA180" s="858"/>
      <c r="CB180" s="858"/>
      <c r="CC180" s="858"/>
      <c r="CD180" s="858"/>
      <c r="CE180" s="858"/>
      <c r="CF180" s="858"/>
      <c r="CG180" s="858"/>
      <c r="CH180" s="858"/>
      <c r="CI180" s="858"/>
      <c r="CJ180" s="858"/>
      <c r="CK180" s="858"/>
      <c r="CL180" s="858"/>
      <c r="CM180" s="858"/>
      <c r="CN180" s="858"/>
      <c r="CO180" s="858"/>
      <c r="CP180" s="858"/>
      <c r="CQ180" s="858"/>
      <c r="CR180" s="858"/>
      <c r="CS180" s="858"/>
      <c r="CT180" s="858"/>
      <c r="CU180" s="858"/>
      <c r="CV180" s="858"/>
      <c r="CW180" s="858"/>
      <c r="CX180" s="858"/>
      <c r="CY180" s="858"/>
      <c r="CZ180" s="858"/>
      <c r="DA180" s="858"/>
      <c r="DB180" s="858"/>
      <c r="DC180" s="858"/>
      <c r="DD180" s="858"/>
      <c r="DE180" s="858"/>
      <c r="DF180" s="858"/>
      <c r="DG180" s="858"/>
      <c r="DH180" s="858"/>
      <c r="DI180" s="858"/>
      <c r="DJ180" s="858"/>
      <c r="DK180" s="858"/>
      <c r="DL180" s="858"/>
      <c r="DM180" s="858"/>
      <c r="DN180" s="858"/>
      <c r="DO180" s="858"/>
      <c r="DP180" s="858"/>
      <c r="DQ180" s="858"/>
      <c r="DR180" s="858"/>
      <c r="DS180" s="858"/>
      <c r="DT180" s="858"/>
      <c r="DU180" s="858"/>
      <c r="DV180" s="858"/>
      <c r="DW180" s="858"/>
      <c r="DX180" s="858"/>
      <c r="DY180" s="858"/>
      <c r="DZ180" s="858"/>
      <c r="EA180" s="858"/>
      <c r="EB180" s="858"/>
      <c r="EC180" s="858"/>
      <c r="ED180" s="858"/>
      <c r="EE180" s="858"/>
      <c r="EF180" s="858"/>
      <c r="EG180" s="858"/>
      <c r="EH180" s="858"/>
      <c r="EI180" s="858"/>
      <c r="EJ180" s="858"/>
      <c r="EK180" s="858"/>
      <c r="EL180" s="858"/>
      <c r="EM180" s="858"/>
      <c r="EN180" s="858"/>
      <c r="EO180" s="858"/>
      <c r="EP180" s="858"/>
      <c r="EQ180" s="858"/>
      <c r="ER180" s="858"/>
      <c r="ES180" s="858"/>
      <c r="ET180" s="858"/>
      <c r="EU180" s="858"/>
      <c r="EV180" s="858"/>
      <c r="EW180" s="858"/>
      <c r="EX180" s="858"/>
      <c r="EY180" s="858"/>
      <c r="EZ180" s="858"/>
      <c r="FA180" s="858"/>
      <c r="FB180" s="858"/>
      <c r="FC180" s="858"/>
      <c r="FD180" s="858"/>
      <c r="FE180" s="858"/>
      <c r="FF180" s="858"/>
      <c r="FG180" s="858"/>
      <c r="FH180" s="858"/>
      <c r="FI180" s="858"/>
      <c r="FJ180" s="858"/>
      <c r="FK180" s="858"/>
      <c r="FL180" s="858"/>
      <c r="FM180" s="858"/>
      <c r="FN180" s="858"/>
      <c r="FO180" s="858"/>
      <c r="FP180" s="858"/>
      <c r="FQ180" s="858"/>
      <c r="FR180" s="858"/>
      <c r="FS180" s="858"/>
      <c r="FT180" s="858"/>
      <c r="FU180" s="858"/>
      <c r="FV180" s="858"/>
      <c r="FW180" s="858"/>
      <c r="FX180" s="858"/>
      <c r="FY180" s="858"/>
      <c r="FZ180" s="858"/>
      <c r="GA180" s="858"/>
      <c r="GB180" s="858"/>
      <c r="GC180" s="858"/>
      <c r="GD180" s="858"/>
      <c r="GE180" s="858"/>
      <c r="GF180" s="858"/>
      <c r="GG180" s="858"/>
      <c r="GH180" s="858"/>
      <c r="GI180" s="858"/>
      <c r="GJ180" s="858"/>
      <c r="GK180" s="858"/>
      <c r="GL180" s="858"/>
      <c r="GM180" s="858"/>
      <c r="GN180" s="858"/>
      <c r="GO180" s="858"/>
      <c r="GP180" s="858"/>
      <c r="GQ180" s="858"/>
      <c r="GR180" s="858"/>
      <c r="GS180" s="858"/>
      <c r="GT180" s="858"/>
      <c r="GU180" s="858"/>
      <c r="GV180" s="858"/>
      <c r="GW180" s="858"/>
      <c r="GX180" s="858"/>
      <c r="GY180" s="858"/>
      <c r="GZ180" s="858"/>
      <c r="HA180" s="858"/>
      <c r="HB180" s="858"/>
      <c r="HC180" s="858"/>
      <c r="HD180" s="858"/>
      <c r="HE180" s="858"/>
      <c r="HF180" s="858"/>
      <c r="HG180" s="858"/>
      <c r="HH180" s="858"/>
      <c r="HI180" s="858"/>
      <c r="HJ180" s="858"/>
      <c r="HK180" s="858"/>
      <c r="HL180" s="858"/>
      <c r="HM180" s="858"/>
      <c r="HN180" s="858"/>
      <c r="HO180" s="858"/>
      <c r="HP180" s="858"/>
      <c r="HQ180" s="858"/>
      <c r="HR180" s="858"/>
      <c r="HS180" s="858"/>
      <c r="HT180" s="858"/>
      <c r="HU180" s="858"/>
      <c r="HV180" s="858"/>
      <c r="HW180" s="858"/>
      <c r="HX180" s="858"/>
      <c r="HY180" s="858"/>
      <c r="HZ180" s="858"/>
      <c r="IA180" s="858"/>
      <c r="IB180" s="858"/>
      <c r="IC180" s="858"/>
      <c r="ID180" s="858"/>
      <c r="IE180" s="858"/>
      <c r="IF180" s="858"/>
      <c r="IG180" s="858"/>
      <c r="IH180" s="858"/>
      <c r="II180" s="858"/>
      <c r="IJ180" s="858"/>
      <c r="IK180" s="858"/>
      <c r="IL180" s="858"/>
      <c r="IM180" s="858"/>
      <c r="IN180" s="858"/>
    </row>
    <row r="181" spans="1:248">
      <c r="A181" s="564" t="s">
        <v>20</v>
      </c>
      <c r="B181" s="566">
        <v>3591.5</v>
      </c>
      <c r="C181" s="859">
        <v>23.582211074413809</v>
      </c>
      <c r="D181" s="567">
        <v>3912.7</v>
      </c>
      <c r="E181" s="859">
        <v>25.691248021957097</v>
      </c>
      <c r="F181" s="859">
        <v>-321.19999999999982</v>
      </c>
      <c r="G181" s="859">
        <f t="shared" si="28"/>
        <v>-2.1090369475432857</v>
      </c>
      <c r="H181" s="27">
        <v>15229.7</v>
      </c>
      <c r="I181" s="858"/>
      <c r="J181" s="858"/>
      <c r="K181" s="858"/>
      <c r="L181" s="858"/>
      <c r="M181" s="858"/>
      <c r="N181" s="858"/>
      <c r="O181" s="858"/>
      <c r="P181" s="858"/>
      <c r="Q181" s="858"/>
      <c r="R181" s="858"/>
      <c r="S181" s="858"/>
      <c r="T181" s="858"/>
      <c r="U181" s="858"/>
      <c r="V181" s="858"/>
      <c r="W181" s="858"/>
      <c r="X181" s="858"/>
      <c r="Y181" s="858"/>
      <c r="Z181" s="858"/>
      <c r="AA181" s="858"/>
      <c r="AB181" s="858"/>
      <c r="AC181" s="858"/>
      <c r="AD181" s="858"/>
      <c r="AE181" s="858"/>
      <c r="AF181" s="858"/>
      <c r="AG181" s="858"/>
      <c r="AH181" s="858"/>
      <c r="AI181" s="858"/>
      <c r="AJ181" s="858"/>
      <c r="AK181" s="858"/>
      <c r="AL181" s="858"/>
      <c r="AM181" s="858"/>
      <c r="AN181" s="858"/>
      <c r="AO181" s="858"/>
      <c r="AP181" s="858"/>
      <c r="AQ181" s="858"/>
      <c r="AR181" s="858"/>
      <c r="AS181" s="858"/>
      <c r="AT181" s="858"/>
      <c r="AU181" s="858"/>
      <c r="AV181" s="858"/>
      <c r="AW181" s="858"/>
      <c r="AX181" s="858"/>
      <c r="AY181" s="858"/>
      <c r="AZ181" s="858"/>
      <c r="BA181" s="858"/>
      <c r="BB181" s="858"/>
      <c r="BC181" s="858"/>
      <c r="BD181" s="858"/>
      <c r="BE181" s="858"/>
      <c r="BF181" s="858"/>
      <c r="BG181" s="858"/>
      <c r="BH181" s="858"/>
      <c r="BI181" s="858"/>
      <c r="BJ181" s="858"/>
      <c r="BK181" s="858"/>
      <c r="BL181" s="858"/>
      <c r="BM181" s="858"/>
      <c r="BN181" s="858"/>
      <c r="BO181" s="858"/>
      <c r="BP181" s="858"/>
      <c r="BQ181" s="858"/>
      <c r="BR181" s="858"/>
      <c r="BS181" s="858"/>
      <c r="BT181" s="858"/>
      <c r="BU181" s="858"/>
      <c r="BV181" s="858"/>
      <c r="BW181" s="858"/>
      <c r="BX181" s="858"/>
      <c r="BY181" s="858"/>
      <c r="BZ181" s="858"/>
      <c r="CA181" s="858"/>
      <c r="CB181" s="858"/>
      <c r="CC181" s="858"/>
      <c r="CD181" s="858"/>
      <c r="CE181" s="858"/>
      <c r="CF181" s="858"/>
      <c r="CG181" s="858"/>
      <c r="CH181" s="858"/>
      <c r="CI181" s="858"/>
      <c r="CJ181" s="858"/>
      <c r="CK181" s="858"/>
      <c r="CL181" s="858"/>
      <c r="CM181" s="858"/>
      <c r="CN181" s="858"/>
      <c r="CO181" s="858"/>
      <c r="CP181" s="858"/>
      <c r="CQ181" s="858"/>
      <c r="CR181" s="858"/>
      <c r="CS181" s="858"/>
      <c r="CT181" s="858"/>
      <c r="CU181" s="858"/>
      <c r="CV181" s="858"/>
      <c r="CW181" s="858"/>
      <c r="CX181" s="858"/>
      <c r="CY181" s="858"/>
      <c r="CZ181" s="858"/>
      <c r="DA181" s="858"/>
      <c r="DB181" s="858"/>
      <c r="DC181" s="858"/>
      <c r="DD181" s="858"/>
      <c r="DE181" s="858"/>
      <c r="DF181" s="858"/>
      <c r="DG181" s="858"/>
      <c r="DH181" s="858"/>
      <c r="DI181" s="858"/>
      <c r="DJ181" s="858"/>
      <c r="DK181" s="858"/>
      <c r="DL181" s="858"/>
      <c r="DM181" s="858"/>
      <c r="DN181" s="858"/>
      <c r="DO181" s="858"/>
      <c r="DP181" s="858"/>
      <c r="DQ181" s="858"/>
      <c r="DR181" s="858"/>
      <c r="DS181" s="858"/>
      <c r="DT181" s="858"/>
      <c r="DU181" s="858"/>
      <c r="DV181" s="858"/>
      <c r="DW181" s="858"/>
      <c r="DX181" s="858"/>
      <c r="DY181" s="858"/>
      <c r="DZ181" s="858"/>
      <c r="EA181" s="858"/>
      <c r="EB181" s="858"/>
      <c r="EC181" s="858"/>
      <c r="ED181" s="858"/>
      <c r="EE181" s="858"/>
      <c r="EF181" s="858"/>
      <c r="EG181" s="858"/>
      <c r="EH181" s="858"/>
      <c r="EI181" s="858"/>
      <c r="EJ181" s="858"/>
      <c r="EK181" s="858"/>
      <c r="EL181" s="858"/>
      <c r="EM181" s="858"/>
      <c r="EN181" s="858"/>
      <c r="EO181" s="858"/>
      <c r="EP181" s="858"/>
      <c r="EQ181" s="858"/>
      <c r="ER181" s="858"/>
      <c r="ES181" s="858"/>
      <c r="ET181" s="858"/>
      <c r="EU181" s="858"/>
      <c r="EV181" s="858"/>
      <c r="EW181" s="858"/>
      <c r="EX181" s="858"/>
      <c r="EY181" s="858"/>
      <c r="EZ181" s="858"/>
      <c r="FA181" s="858"/>
      <c r="FB181" s="858"/>
      <c r="FC181" s="858"/>
      <c r="FD181" s="858"/>
      <c r="FE181" s="858"/>
      <c r="FF181" s="858"/>
      <c r="FG181" s="858"/>
      <c r="FH181" s="858"/>
      <c r="FI181" s="858"/>
      <c r="FJ181" s="858"/>
      <c r="FK181" s="858"/>
      <c r="FL181" s="858"/>
      <c r="FM181" s="858"/>
      <c r="FN181" s="858"/>
      <c r="FO181" s="858"/>
      <c r="FP181" s="858"/>
      <c r="FQ181" s="858"/>
      <c r="FR181" s="858"/>
      <c r="FS181" s="858"/>
      <c r="FT181" s="858"/>
      <c r="FU181" s="858"/>
      <c r="FV181" s="858"/>
      <c r="FW181" s="858"/>
      <c r="FX181" s="858"/>
      <c r="FY181" s="858"/>
      <c r="FZ181" s="858"/>
      <c r="GA181" s="858"/>
      <c r="GB181" s="858"/>
      <c r="GC181" s="858"/>
      <c r="GD181" s="858"/>
      <c r="GE181" s="858"/>
      <c r="GF181" s="858"/>
      <c r="GG181" s="858"/>
      <c r="GH181" s="858"/>
      <c r="GI181" s="858"/>
      <c r="GJ181" s="858"/>
      <c r="GK181" s="858"/>
      <c r="GL181" s="858"/>
      <c r="GM181" s="858"/>
      <c r="GN181" s="858"/>
      <c r="GO181" s="858"/>
      <c r="GP181" s="858"/>
      <c r="GQ181" s="858"/>
      <c r="GR181" s="858"/>
      <c r="GS181" s="858"/>
      <c r="GT181" s="858"/>
      <c r="GU181" s="858"/>
      <c r="GV181" s="858"/>
      <c r="GW181" s="858"/>
      <c r="GX181" s="858"/>
      <c r="GY181" s="858"/>
      <c r="GZ181" s="858"/>
      <c r="HA181" s="858"/>
      <c r="HB181" s="858"/>
      <c r="HC181" s="858"/>
      <c r="HD181" s="858"/>
      <c r="HE181" s="858"/>
      <c r="HF181" s="858"/>
      <c r="HG181" s="858"/>
      <c r="HH181" s="858"/>
      <c r="HI181" s="858"/>
      <c r="HJ181" s="858"/>
      <c r="HK181" s="858"/>
      <c r="HL181" s="858"/>
      <c r="HM181" s="858"/>
      <c r="HN181" s="858"/>
      <c r="HO181" s="858"/>
      <c r="HP181" s="858"/>
      <c r="HQ181" s="858"/>
      <c r="HR181" s="858"/>
      <c r="HS181" s="858"/>
      <c r="HT181" s="858"/>
      <c r="HU181" s="858"/>
      <c r="HV181" s="858"/>
      <c r="HW181" s="858"/>
      <c r="HX181" s="858"/>
      <c r="HY181" s="858"/>
      <c r="HZ181" s="858"/>
      <c r="IA181" s="858"/>
      <c r="IB181" s="858"/>
      <c r="IC181" s="858"/>
      <c r="ID181" s="858"/>
      <c r="IE181" s="858"/>
      <c r="IF181" s="858"/>
      <c r="IG181" s="858"/>
      <c r="IH181" s="858"/>
      <c r="II181" s="858"/>
      <c r="IJ181" s="858"/>
      <c r="IK181" s="858"/>
      <c r="IL181" s="858"/>
      <c r="IM181" s="858"/>
      <c r="IN181" s="858"/>
    </row>
    <row r="182" spans="1:248">
      <c r="A182" s="564" t="s">
        <v>21</v>
      </c>
      <c r="B182" s="566">
        <v>5021.8999999999996</v>
      </c>
      <c r="C182" s="859">
        <v>24.935202931508755</v>
      </c>
      <c r="D182" s="567">
        <v>5390</v>
      </c>
      <c r="E182" s="859">
        <v>26.762927139296323</v>
      </c>
      <c r="F182" s="859">
        <v>-368.10000000000036</v>
      </c>
      <c r="G182" s="859">
        <f t="shared" si="28"/>
        <v>-1.806067326421771</v>
      </c>
      <c r="H182" s="27">
        <v>20381.3</v>
      </c>
      <c r="I182" s="858"/>
      <c r="J182" s="858"/>
      <c r="K182" s="858"/>
      <c r="L182" s="858"/>
      <c r="M182" s="858"/>
      <c r="N182" s="858"/>
      <c r="O182" s="858"/>
      <c r="P182" s="858"/>
      <c r="Q182" s="858"/>
      <c r="R182" s="858"/>
      <c r="S182" s="858"/>
      <c r="T182" s="858"/>
      <c r="U182" s="858"/>
      <c r="V182" s="858"/>
      <c r="W182" s="858"/>
      <c r="X182" s="858"/>
      <c r="Y182" s="858"/>
      <c r="Z182" s="858"/>
      <c r="AA182" s="858"/>
      <c r="AB182" s="858"/>
      <c r="AC182" s="858"/>
      <c r="AD182" s="858"/>
      <c r="AE182" s="858"/>
      <c r="AF182" s="858"/>
      <c r="AG182" s="858"/>
      <c r="AH182" s="858"/>
      <c r="AI182" s="858"/>
      <c r="AJ182" s="858"/>
      <c r="AK182" s="858"/>
      <c r="AL182" s="858"/>
      <c r="AM182" s="858"/>
      <c r="AN182" s="858"/>
      <c r="AO182" s="858"/>
      <c r="AP182" s="858"/>
      <c r="AQ182" s="858"/>
      <c r="AR182" s="858"/>
      <c r="AS182" s="858"/>
      <c r="AT182" s="858"/>
      <c r="AU182" s="858"/>
      <c r="AV182" s="858"/>
      <c r="AW182" s="858"/>
      <c r="AX182" s="858"/>
      <c r="AY182" s="858"/>
      <c r="AZ182" s="858"/>
      <c r="BA182" s="858"/>
      <c r="BB182" s="858"/>
      <c r="BC182" s="858"/>
      <c r="BD182" s="858"/>
      <c r="BE182" s="858"/>
      <c r="BF182" s="858"/>
      <c r="BG182" s="858"/>
      <c r="BH182" s="858"/>
      <c r="BI182" s="858"/>
      <c r="BJ182" s="858"/>
      <c r="BK182" s="858"/>
      <c r="BL182" s="858"/>
      <c r="BM182" s="858"/>
      <c r="BN182" s="858"/>
      <c r="BO182" s="858"/>
      <c r="BP182" s="858"/>
      <c r="BQ182" s="858"/>
      <c r="BR182" s="858"/>
      <c r="BS182" s="858"/>
      <c r="BT182" s="858"/>
      <c r="BU182" s="858"/>
      <c r="BV182" s="858"/>
      <c r="BW182" s="858"/>
      <c r="BX182" s="858"/>
      <c r="BY182" s="858"/>
      <c r="BZ182" s="858"/>
      <c r="CA182" s="858"/>
      <c r="CB182" s="858"/>
      <c r="CC182" s="858"/>
      <c r="CD182" s="858"/>
      <c r="CE182" s="858"/>
      <c r="CF182" s="858"/>
      <c r="CG182" s="858"/>
      <c r="CH182" s="858"/>
      <c r="CI182" s="858"/>
      <c r="CJ182" s="858"/>
      <c r="CK182" s="858"/>
      <c r="CL182" s="858"/>
      <c r="CM182" s="858"/>
      <c r="CN182" s="858"/>
      <c r="CO182" s="858"/>
      <c r="CP182" s="858"/>
      <c r="CQ182" s="858"/>
      <c r="CR182" s="858"/>
      <c r="CS182" s="858"/>
      <c r="CT182" s="858"/>
      <c r="CU182" s="858"/>
      <c r="CV182" s="858"/>
      <c r="CW182" s="858"/>
      <c r="CX182" s="858"/>
      <c r="CY182" s="858"/>
      <c r="CZ182" s="858"/>
      <c r="DA182" s="858"/>
      <c r="DB182" s="858"/>
      <c r="DC182" s="858"/>
      <c r="DD182" s="858"/>
      <c r="DE182" s="858"/>
      <c r="DF182" s="858"/>
      <c r="DG182" s="858"/>
      <c r="DH182" s="858"/>
      <c r="DI182" s="858"/>
      <c r="DJ182" s="858"/>
      <c r="DK182" s="858"/>
      <c r="DL182" s="858"/>
      <c r="DM182" s="858"/>
      <c r="DN182" s="858"/>
      <c r="DO182" s="858"/>
      <c r="DP182" s="858"/>
      <c r="DQ182" s="858"/>
      <c r="DR182" s="858"/>
      <c r="DS182" s="858"/>
      <c r="DT182" s="858"/>
      <c r="DU182" s="858"/>
      <c r="DV182" s="858"/>
      <c r="DW182" s="858"/>
      <c r="DX182" s="858"/>
      <c r="DY182" s="858"/>
      <c r="DZ182" s="858"/>
      <c r="EA182" s="858"/>
      <c r="EB182" s="858"/>
      <c r="EC182" s="858"/>
      <c r="ED182" s="858"/>
      <c r="EE182" s="858"/>
      <c r="EF182" s="858"/>
      <c r="EG182" s="858"/>
      <c r="EH182" s="858"/>
      <c r="EI182" s="858"/>
      <c r="EJ182" s="858"/>
      <c r="EK182" s="858"/>
      <c r="EL182" s="858"/>
      <c r="EM182" s="858"/>
      <c r="EN182" s="858"/>
      <c r="EO182" s="858"/>
      <c r="EP182" s="858"/>
      <c r="EQ182" s="858"/>
      <c r="ER182" s="858"/>
      <c r="ES182" s="858"/>
      <c r="ET182" s="858"/>
      <c r="EU182" s="858"/>
      <c r="EV182" s="858"/>
      <c r="EW182" s="858"/>
      <c r="EX182" s="858"/>
      <c r="EY182" s="858"/>
      <c r="EZ182" s="858"/>
      <c r="FA182" s="858"/>
      <c r="FB182" s="858"/>
      <c r="FC182" s="858"/>
      <c r="FD182" s="858"/>
      <c r="FE182" s="858"/>
      <c r="FF182" s="858"/>
      <c r="FG182" s="858"/>
      <c r="FH182" s="858"/>
      <c r="FI182" s="858"/>
      <c r="FJ182" s="858"/>
      <c r="FK182" s="858"/>
      <c r="FL182" s="858"/>
      <c r="FM182" s="858"/>
      <c r="FN182" s="858"/>
      <c r="FO182" s="858"/>
      <c r="FP182" s="858"/>
      <c r="FQ182" s="858"/>
      <c r="FR182" s="858"/>
      <c r="FS182" s="858"/>
      <c r="FT182" s="858"/>
      <c r="FU182" s="858"/>
      <c r="FV182" s="858"/>
      <c r="FW182" s="858"/>
      <c r="FX182" s="858"/>
      <c r="FY182" s="858"/>
      <c r="FZ182" s="858"/>
      <c r="GA182" s="858"/>
      <c r="GB182" s="858"/>
      <c r="GC182" s="858"/>
      <c r="GD182" s="858"/>
      <c r="GE182" s="858"/>
      <c r="GF182" s="858"/>
      <c r="GG182" s="858"/>
      <c r="GH182" s="858"/>
      <c r="GI182" s="858"/>
      <c r="GJ182" s="858"/>
      <c r="GK182" s="858"/>
      <c r="GL182" s="858"/>
      <c r="GM182" s="858"/>
      <c r="GN182" s="858"/>
      <c r="GO182" s="858"/>
      <c r="GP182" s="858"/>
      <c r="GQ182" s="858"/>
      <c r="GR182" s="858"/>
      <c r="GS182" s="858"/>
      <c r="GT182" s="858"/>
      <c r="GU182" s="858"/>
      <c r="GV182" s="858"/>
      <c r="GW182" s="858"/>
      <c r="GX182" s="858"/>
      <c r="GY182" s="858"/>
      <c r="GZ182" s="858"/>
      <c r="HA182" s="858"/>
      <c r="HB182" s="858"/>
      <c r="HC182" s="858"/>
      <c r="HD182" s="858"/>
      <c r="HE182" s="858"/>
      <c r="HF182" s="858"/>
      <c r="HG182" s="858"/>
      <c r="HH182" s="858"/>
      <c r="HI182" s="858"/>
      <c r="HJ182" s="858"/>
      <c r="HK182" s="858"/>
      <c r="HL182" s="858"/>
      <c r="HM182" s="858"/>
      <c r="HN182" s="858"/>
      <c r="HO182" s="858"/>
      <c r="HP182" s="858"/>
      <c r="HQ182" s="858"/>
      <c r="HR182" s="858"/>
      <c r="HS182" s="858"/>
      <c r="HT182" s="858"/>
      <c r="HU182" s="858"/>
      <c r="HV182" s="858"/>
      <c r="HW182" s="858"/>
      <c r="HX182" s="858"/>
      <c r="HY182" s="858"/>
      <c r="HZ182" s="858"/>
      <c r="IA182" s="858"/>
      <c r="IB182" s="858"/>
      <c r="IC182" s="858"/>
      <c r="ID182" s="858"/>
      <c r="IE182" s="858"/>
      <c r="IF182" s="858"/>
      <c r="IG182" s="858"/>
      <c r="IH182" s="858"/>
      <c r="II182" s="858"/>
      <c r="IJ182" s="858"/>
      <c r="IK182" s="858"/>
      <c r="IL182" s="858"/>
      <c r="IM182" s="858"/>
      <c r="IN182" s="858"/>
    </row>
    <row r="183" spans="1:248">
      <c r="A183" s="564" t="s">
        <v>22</v>
      </c>
      <c r="B183" s="566">
        <v>6335.7</v>
      </c>
      <c r="C183" s="859">
        <v>25.004045195688807</v>
      </c>
      <c r="D183" s="567">
        <v>6724.1</v>
      </c>
      <c r="E183" s="859">
        <v>26.536878371818602</v>
      </c>
      <c r="F183" s="859">
        <v>-388.40000000000055</v>
      </c>
      <c r="G183" s="859">
        <f t="shared" si="28"/>
        <v>-1.5328331761297955</v>
      </c>
      <c r="H183" s="27">
        <v>25338.7</v>
      </c>
      <c r="I183" s="858"/>
      <c r="J183" s="858"/>
      <c r="K183" s="858"/>
      <c r="L183" s="858"/>
      <c r="M183" s="858"/>
      <c r="N183" s="858"/>
      <c r="O183" s="858"/>
      <c r="P183" s="858"/>
      <c r="Q183" s="858"/>
      <c r="R183" s="858"/>
      <c r="S183" s="858"/>
      <c r="T183" s="858"/>
      <c r="U183" s="858"/>
      <c r="V183" s="858"/>
      <c r="W183" s="858"/>
      <c r="X183" s="858"/>
      <c r="Y183" s="858"/>
      <c r="Z183" s="858"/>
      <c r="AA183" s="858"/>
      <c r="AB183" s="858"/>
      <c r="AC183" s="858"/>
      <c r="AD183" s="858"/>
      <c r="AE183" s="858"/>
      <c r="AF183" s="858"/>
      <c r="AG183" s="858"/>
      <c r="AH183" s="858"/>
      <c r="AI183" s="858"/>
      <c r="AJ183" s="858"/>
      <c r="AK183" s="858"/>
      <c r="AL183" s="858"/>
      <c r="AM183" s="858"/>
      <c r="AN183" s="858"/>
      <c r="AO183" s="858"/>
      <c r="AP183" s="858"/>
      <c r="AQ183" s="858"/>
      <c r="AR183" s="858"/>
      <c r="AS183" s="858"/>
      <c r="AT183" s="858"/>
      <c r="AU183" s="858"/>
      <c r="AV183" s="858"/>
      <c r="AW183" s="858"/>
      <c r="AX183" s="858"/>
      <c r="AY183" s="858"/>
      <c r="AZ183" s="858"/>
      <c r="BA183" s="858"/>
      <c r="BB183" s="858"/>
      <c r="BC183" s="858"/>
      <c r="BD183" s="858"/>
      <c r="BE183" s="858"/>
      <c r="BF183" s="858"/>
      <c r="BG183" s="858"/>
      <c r="BH183" s="858"/>
      <c r="BI183" s="858"/>
      <c r="BJ183" s="858"/>
      <c r="BK183" s="858"/>
      <c r="BL183" s="858"/>
      <c r="BM183" s="858"/>
      <c r="BN183" s="858"/>
      <c r="BO183" s="858"/>
      <c r="BP183" s="858"/>
      <c r="BQ183" s="858"/>
      <c r="BR183" s="858"/>
      <c r="BS183" s="858"/>
      <c r="BT183" s="858"/>
      <c r="BU183" s="858"/>
      <c r="BV183" s="858"/>
      <c r="BW183" s="858"/>
      <c r="BX183" s="858"/>
      <c r="BY183" s="858"/>
      <c r="BZ183" s="858"/>
      <c r="CA183" s="858"/>
      <c r="CB183" s="858"/>
      <c r="CC183" s="858"/>
      <c r="CD183" s="858"/>
      <c r="CE183" s="858"/>
      <c r="CF183" s="858"/>
      <c r="CG183" s="858"/>
      <c r="CH183" s="858"/>
      <c r="CI183" s="858"/>
      <c r="CJ183" s="858"/>
      <c r="CK183" s="858"/>
      <c r="CL183" s="858"/>
      <c r="CM183" s="858"/>
      <c r="CN183" s="858"/>
      <c r="CO183" s="858"/>
      <c r="CP183" s="858"/>
      <c r="CQ183" s="858"/>
      <c r="CR183" s="858"/>
      <c r="CS183" s="858"/>
      <c r="CT183" s="858"/>
      <c r="CU183" s="858"/>
      <c r="CV183" s="858"/>
      <c r="CW183" s="858"/>
      <c r="CX183" s="858"/>
      <c r="CY183" s="858"/>
      <c r="CZ183" s="858"/>
      <c r="DA183" s="858"/>
      <c r="DB183" s="858"/>
      <c r="DC183" s="858"/>
      <c r="DD183" s="858"/>
      <c r="DE183" s="858"/>
      <c r="DF183" s="858"/>
      <c r="DG183" s="858"/>
      <c r="DH183" s="858"/>
      <c r="DI183" s="858"/>
      <c r="DJ183" s="858"/>
      <c r="DK183" s="858"/>
      <c r="DL183" s="858"/>
      <c r="DM183" s="858"/>
      <c r="DN183" s="858"/>
      <c r="DO183" s="858"/>
      <c r="DP183" s="858"/>
      <c r="DQ183" s="858"/>
      <c r="DR183" s="858"/>
      <c r="DS183" s="858"/>
      <c r="DT183" s="858"/>
      <c r="DU183" s="858"/>
      <c r="DV183" s="858"/>
      <c r="DW183" s="858"/>
      <c r="DX183" s="858"/>
      <c r="DY183" s="858"/>
      <c r="DZ183" s="858"/>
      <c r="EA183" s="858"/>
      <c r="EB183" s="858"/>
      <c r="EC183" s="858"/>
      <c r="ED183" s="858"/>
      <c r="EE183" s="858"/>
      <c r="EF183" s="858"/>
      <c r="EG183" s="858"/>
      <c r="EH183" s="858"/>
      <c r="EI183" s="858"/>
      <c r="EJ183" s="858"/>
      <c r="EK183" s="858"/>
      <c r="EL183" s="858"/>
      <c r="EM183" s="858"/>
      <c r="EN183" s="858"/>
      <c r="EO183" s="858"/>
      <c r="EP183" s="858"/>
      <c r="EQ183" s="858"/>
      <c r="ER183" s="858"/>
      <c r="ES183" s="858"/>
      <c r="ET183" s="858"/>
      <c r="EU183" s="858"/>
      <c r="EV183" s="858"/>
      <c r="EW183" s="858"/>
      <c r="EX183" s="858"/>
      <c r="EY183" s="858"/>
      <c r="EZ183" s="858"/>
      <c r="FA183" s="858"/>
      <c r="FB183" s="858"/>
      <c r="FC183" s="858"/>
      <c r="FD183" s="858"/>
      <c r="FE183" s="858"/>
      <c r="FF183" s="858"/>
      <c r="FG183" s="858"/>
      <c r="FH183" s="858"/>
      <c r="FI183" s="858"/>
      <c r="FJ183" s="858"/>
      <c r="FK183" s="858"/>
      <c r="FL183" s="858"/>
      <c r="FM183" s="858"/>
      <c r="FN183" s="858"/>
      <c r="FO183" s="858"/>
      <c r="FP183" s="858"/>
      <c r="FQ183" s="858"/>
      <c r="FR183" s="858"/>
      <c r="FS183" s="858"/>
      <c r="FT183" s="858"/>
      <c r="FU183" s="858"/>
      <c r="FV183" s="858"/>
      <c r="FW183" s="858"/>
      <c r="FX183" s="858"/>
      <c r="FY183" s="858"/>
      <c r="FZ183" s="858"/>
      <c r="GA183" s="858"/>
      <c r="GB183" s="858"/>
      <c r="GC183" s="858"/>
      <c r="GD183" s="858"/>
      <c r="GE183" s="858"/>
      <c r="GF183" s="858"/>
      <c r="GG183" s="858"/>
      <c r="GH183" s="858"/>
      <c r="GI183" s="858"/>
      <c r="GJ183" s="858"/>
      <c r="GK183" s="858"/>
      <c r="GL183" s="858"/>
      <c r="GM183" s="858"/>
      <c r="GN183" s="858"/>
      <c r="GO183" s="858"/>
      <c r="GP183" s="858"/>
      <c r="GQ183" s="858"/>
      <c r="GR183" s="858"/>
      <c r="GS183" s="858"/>
      <c r="GT183" s="858"/>
      <c r="GU183" s="858"/>
      <c r="GV183" s="858"/>
      <c r="GW183" s="858"/>
      <c r="GX183" s="858"/>
      <c r="GY183" s="858"/>
      <c r="GZ183" s="858"/>
      <c r="HA183" s="858"/>
      <c r="HB183" s="858"/>
      <c r="HC183" s="858"/>
      <c r="HD183" s="858"/>
      <c r="HE183" s="858"/>
      <c r="HF183" s="858"/>
      <c r="HG183" s="858"/>
      <c r="HH183" s="858"/>
      <c r="HI183" s="858"/>
      <c r="HJ183" s="858"/>
      <c r="HK183" s="858"/>
      <c r="HL183" s="858"/>
      <c r="HM183" s="858"/>
      <c r="HN183" s="858"/>
      <c r="HO183" s="858"/>
      <c r="HP183" s="858"/>
      <c r="HQ183" s="858"/>
      <c r="HR183" s="858"/>
      <c r="HS183" s="858"/>
      <c r="HT183" s="858"/>
      <c r="HU183" s="858"/>
      <c r="HV183" s="858"/>
      <c r="HW183" s="858"/>
      <c r="HX183" s="858"/>
      <c r="HY183" s="858"/>
      <c r="HZ183" s="858"/>
      <c r="IA183" s="858"/>
      <c r="IB183" s="858"/>
      <c r="IC183" s="858"/>
      <c r="ID183" s="858"/>
      <c r="IE183" s="858"/>
      <c r="IF183" s="858"/>
      <c r="IG183" s="858"/>
      <c r="IH183" s="858"/>
      <c r="II183" s="858"/>
      <c r="IJ183" s="858"/>
      <c r="IK183" s="858"/>
      <c r="IL183" s="858"/>
      <c r="IM183" s="858"/>
      <c r="IN183" s="858"/>
    </row>
    <row r="184" spans="1:248">
      <c r="A184" s="564" t="s">
        <v>23</v>
      </c>
      <c r="B184" s="566">
        <v>7722.8</v>
      </c>
      <c r="C184" s="859">
        <v>24.665129381104165</v>
      </c>
      <c r="D184" s="567">
        <v>8193.9</v>
      </c>
      <c r="E184" s="859">
        <v>26.169731656371965</v>
      </c>
      <c r="F184" s="859">
        <v>-471.09999999999945</v>
      </c>
      <c r="G184" s="859">
        <f t="shared" si="28"/>
        <v>-1.504602275267799</v>
      </c>
      <c r="H184" s="27">
        <v>31310.6</v>
      </c>
      <c r="I184" s="858"/>
      <c r="J184" s="858"/>
      <c r="K184" s="858"/>
      <c r="L184" s="858"/>
      <c r="M184" s="858"/>
      <c r="N184" s="858"/>
      <c r="O184" s="858"/>
      <c r="P184" s="858"/>
      <c r="Q184" s="858"/>
      <c r="R184" s="858"/>
      <c r="S184" s="858"/>
      <c r="T184" s="858"/>
      <c r="U184" s="858"/>
      <c r="V184" s="858"/>
      <c r="W184" s="858"/>
      <c r="X184" s="858"/>
      <c r="Y184" s="858"/>
      <c r="Z184" s="858"/>
      <c r="AA184" s="858"/>
      <c r="AB184" s="858"/>
      <c r="AC184" s="858"/>
      <c r="AD184" s="858"/>
      <c r="AE184" s="858"/>
      <c r="AF184" s="858"/>
      <c r="AG184" s="858"/>
      <c r="AH184" s="858"/>
      <c r="AI184" s="858"/>
      <c r="AJ184" s="858"/>
      <c r="AK184" s="858"/>
      <c r="AL184" s="858"/>
      <c r="AM184" s="858"/>
      <c r="AN184" s="858"/>
      <c r="AO184" s="858"/>
      <c r="AP184" s="858"/>
      <c r="AQ184" s="858"/>
      <c r="AR184" s="858"/>
      <c r="AS184" s="858"/>
      <c r="AT184" s="858"/>
      <c r="AU184" s="858"/>
      <c r="AV184" s="858"/>
      <c r="AW184" s="858"/>
      <c r="AX184" s="858"/>
      <c r="AY184" s="858"/>
      <c r="AZ184" s="858"/>
      <c r="BA184" s="858"/>
      <c r="BB184" s="858"/>
      <c r="BC184" s="858"/>
      <c r="BD184" s="858"/>
      <c r="BE184" s="858"/>
      <c r="BF184" s="858"/>
      <c r="BG184" s="858"/>
      <c r="BH184" s="858"/>
      <c r="BI184" s="858"/>
      <c r="BJ184" s="858"/>
      <c r="BK184" s="858"/>
      <c r="BL184" s="858"/>
      <c r="BM184" s="858"/>
      <c r="BN184" s="858"/>
      <c r="BO184" s="858"/>
      <c r="BP184" s="858"/>
      <c r="BQ184" s="858"/>
      <c r="BR184" s="858"/>
      <c r="BS184" s="858"/>
      <c r="BT184" s="858"/>
      <c r="BU184" s="858"/>
      <c r="BV184" s="858"/>
      <c r="BW184" s="858"/>
      <c r="BX184" s="858"/>
      <c r="BY184" s="858"/>
      <c r="BZ184" s="858"/>
      <c r="CA184" s="858"/>
      <c r="CB184" s="858"/>
      <c r="CC184" s="858"/>
      <c r="CD184" s="858"/>
      <c r="CE184" s="858"/>
      <c r="CF184" s="858"/>
      <c r="CG184" s="858"/>
      <c r="CH184" s="858"/>
      <c r="CI184" s="858"/>
      <c r="CJ184" s="858"/>
      <c r="CK184" s="858"/>
      <c r="CL184" s="858"/>
      <c r="CM184" s="858"/>
      <c r="CN184" s="858"/>
      <c r="CO184" s="858"/>
      <c r="CP184" s="858"/>
      <c r="CQ184" s="858"/>
      <c r="CR184" s="858"/>
      <c r="CS184" s="858"/>
      <c r="CT184" s="858"/>
      <c r="CU184" s="858"/>
      <c r="CV184" s="858"/>
      <c r="CW184" s="858"/>
      <c r="CX184" s="858"/>
      <c r="CY184" s="858"/>
      <c r="CZ184" s="858"/>
      <c r="DA184" s="858"/>
      <c r="DB184" s="858"/>
      <c r="DC184" s="858"/>
      <c r="DD184" s="858"/>
      <c r="DE184" s="858"/>
      <c r="DF184" s="858"/>
      <c r="DG184" s="858"/>
      <c r="DH184" s="858"/>
      <c r="DI184" s="858"/>
      <c r="DJ184" s="858"/>
      <c r="DK184" s="858"/>
      <c r="DL184" s="858"/>
      <c r="DM184" s="858"/>
      <c r="DN184" s="858"/>
      <c r="DO184" s="858"/>
      <c r="DP184" s="858"/>
      <c r="DQ184" s="858"/>
      <c r="DR184" s="858"/>
      <c r="DS184" s="858"/>
      <c r="DT184" s="858"/>
      <c r="DU184" s="858"/>
      <c r="DV184" s="858"/>
      <c r="DW184" s="858"/>
      <c r="DX184" s="858"/>
      <c r="DY184" s="858"/>
      <c r="DZ184" s="858"/>
      <c r="EA184" s="858"/>
      <c r="EB184" s="858"/>
      <c r="EC184" s="858"/>
      <c r="ED184" s="858"/>
      <c r="EE184" s="858"/>
      <c r="EF184" s="858"/>
      <c r="EG184" s="858"/>
      <c r="EH184" s="858"/>
      <c r="EI184" s="858"/>
      <c r="EJ184" s="858"/>
      <c r="EK184" s="858"/>
      <c r="EL184" s="858"/>
      <c r="EM184" s="858"/>
      <c r="EN184" s="858"/>
      <c r="EO184" s="858"/>
      <c r="EP184" s="858"/>
      <c r="EQ184" s="858"/>
      <c r="ER184" s="858"/>
      <c r="ES184" s="858"/>
      <c r="ET184" s="858"/>
      <c r="EU184" s="858"/>
      <c r="EV184" s="858"/>
      <c r="EW184" s="858"/>
      <c r="EX184" s="858"/>
      <c r="EY184" s="858"/>
      <c r="EZ184" s="858"/>
      <c r="FA184" s="858"/>
      <c r="FB184" s="858"/>
      <c r="FC184" s="858"/>
      <c r="FD184" s="858"/>
      <c r="FE184" s="858"/>
      <c r="FF184" s="858"/>
      <c r="FG184" s="858"/>
      <c r="FH184" s="858"/>
      <c r="FI184" s="858"/>
      <c r="FJ184" s="858"/>
      <c r="FK184" s="858"/>
      <c r="FL184" s="858"/>
      <c r="FM184" s="858"/>
      <c r="FN184" s="858"/>
      <c r="FO184" s="858"/>
      <c r="FP184" s="858"/>
      <c r="FQ184" s="858"/>
      <c r="FR184" s="858"/>
      <c r="FS184" s="858"/>
      <c r="FT184" s="858"/>
      <c r="FU184" s="858"/>
      <c r="FV184" s="858"/>
      <c r="FW184" s="858"/>
      <c r="FX184" s="858"/>
      <c r="FY184" s="858"/>
      <c r="FZ184" s="858"/>
      <c r="GA184" s="858"/>
      <c r="GB184" s="858"/>
      <c r="GC184" s="858"/>
      <c r="GD184" s="858"/>
      <c r="GE184" s="858"/>
      <c r="GF184" s="858"/>
      <c r="GG184" s="858"/>
      <c r="GH184" s="858"/>
      <c r="GI184" s="858"/>
      <c r="GJ184" s="858"/>
      <c r="GK184" s="858"/>
      <c r="GL184" s="858"/>
      <c r="GM184" s="858"/>
      <c r="GN184" s="858"/>
      <c r="GO184" s="858"/>
      <c r="GP184" s="858"/>
      <c r="GQ184" s="858"/>
      <c r="GR184" s="858"/>
      <c r="GS184" s="858"/>
      <c r="GT184" s="858"/>
      <c r="GU184" s="858"/>
      <c r="GV184" s="858"/>
      <c r="GW184" s="858"/>
      <c r="GX184" s="858"/>
      <c r="GY184" s="858"/>
      <c r="GZ184" s="858"/>
      <c r="HA184" s="858"/>
      <c r="HB184" s="858"/>
      <c r="HC184" s="858"/>
      <c r="HD184" s="858"/>
      <c r="HE184" s="858"/>
      <c r="HF184" s="858"/>
      <c r="HG184" s="858"/>
      <c r="HH184" s="858"/>
      <c r="HI184" s="858"/>
      <c r="HJ184" s="858"/>
      <c r="HK184" s="858"/>
      <c r="HL184" s="858"/>
      <c r="HM184" s="858"/>
      <c r="HN184" s="858"/>
      <c r="HO184" s="858"/>
      <c r="HP184" s="858"/>
      <c r="HQ184" s="858"/>
      <c r="HR184" s="858"/>
      <c r="HS184" s="858"/>
      <c r="HT184" s="858"/>
      <c r="HU184" s="858"/>
      <c r="HV184" s="858"/>
      <c r="HW184" s="858"/>
      <c r="HX184" s="858"/>
      <c r="HY184" s="858"/>
      <c r="HZ184" s="858"/>
      <c r="IA184" s="858"/>
      <c r="IB184" s="858"/>
      <c r="IC184" s="858"/>
      <c r="ID184" s="858"/>
      <c r="IE184" s="858"/>
      <c r="IF184" s="858"/>
      <c r="IG184" s="858"/>
      <c r="IH184" s="858"/>
      <c r="II184" s="858"/>
      <c r="IJ184" s="858"/>
      <c r="IK184" s="858"/>
      <c r="IL184" s="858"/>
      <c r="IM184" s="858"/>
      <c r="IN184" s="858"/>
    </row>
    <row r="185" spans="1:248">
      <c r="A185" s="564" t="s">
        <v>24</v>
      </c>
      <c r="B185" s="566">
        <v>9410.7000000000007</v>
      </c>
      <c r="C185" s="859">
        <v>24.99827336141999</v>
      </c>
      <c r="D185" s="567">
        <v>9765.6</v>
      </c>
      <c r="E185" s="859">
        <v>25.941018026106775</v>
      </c>
      <c r="F185" s="859">
        <v>-354.89999999999964</v>
      </c>
      <c r="G185" s="859">
        <f t="shared" si="28"/>
        <v>-0.94274466468678675</v>
      </c>
      <c r="H185" s="27">
        <v>37645.4</v>
      </c>
      <c r="I185" s="858"/>
      <c r="J185" s="858"/>
      <c r="K185" s="858"/>
      <c r="L185" s="858"/>
      <c r="M185" s="858"/>
      <c r="N185" s="858"/>
      <c r="O185" s="858"/>
      <c r="P185" s="858"/>
      <c r="Q185" s="858"/>
      <c r="R185" s="858"/>
      <c r="S185" s="858"/>
      <c r="T185" s="858"/>
      <c r="U185" s="858"/>
      <c r="V185" s="858"/>
      <c r="W185" s="858"/>
      <c r="X185" s="858"/>
      <c r="Y185" s="858"/>
      <c r="Z185" s="858"/>
      <c r="AA185" s="858"/>
      <c r="AB185" s="858"/>
      <c r="AC185" s="858"/>
      <c r="AD185" s="858"/>
      <c r="AE185" s="858"/>
      <c r="AF185" s="858"/>
      <c r="AG185" s="858"/>
      <c r="AH185" s="858"/>
      <c r="AI185" s="858"/>
      <c r="AJ185" s="858"/>
      <c r="AK185" s="858"/>
      <c r="AL185" s="858"/>
      <c r="AM185" s="858"/>
      <c r="AN185" s="858"/>
      <c r="AO185" s="858"/>
      <c r="AP185" s="858"/>
      <c r="AQ185" s="858"/>
      <c r="AR185" s="858"/>
      <c r="AS185" s="858"/>
      <c r="AT185" s="858"/>
      <c r="AU185" s="858"/>
      <c r="AV185" s="858"/>
      <c r="AW185" s="858"/>
      <c r="AX185" s="858"/>
      <c r="AY185" s="858"/>
      <c r="AZ185" s="858"/>
      <c r="BA185" s="858"/>
      <c r="BB185" s="858"/>
      <c r="BC185" s="858"/>
      <c r="BD185" s="858"/>
      <c r="BE185" s="858"/>
      <c r="BF185" s="858"/>
      <c r="BG185" s="858"/>
      <c r="BH185" s="858"/>
      <c r="BI185" s="858"/>
      <c r="BJ185" s="858"/>
      <c r="BK185" s="858"/>
      <c r="BL185" s="858"/>
      <c r="BM185" s="858"/>
      <c r="BN185" s="858"/>
      <c r="BO185" s="858"/>
      <c r="BP185" s="858"/>
      <c r="BQ185" s="858"/>
      <c r="BR185" s="858"/>
      <c r="BS185" s="858"/>
      <c r="BT185" s="858"/>
      <c r="BU185" s="858"/>
      <c r="BV185" s="858"/>
      <c r="BW185" s="858"/>
      <c r="BX185" s="858"/>
      <c r="BY185" s="858"/>
      <c r="BZ185" s="858"/>
      <c r="CA185" s="858"/>
      <c r="CB185" s="858"/>
      <c r="CC185" s="858"/>
      <c r="CD185" s="858"/>
      <c r="CE185" s="858"/>
      <c r="CF185" s="858"/>
      <c r="CG185" s="858"/>
      <c r="CH185" s="858"/>
      <c r="CI185" s="858"/>
      <c r="CJ185" s="858"/>
      <c r="CK185" s="858"/>
      <c r="CL185" s="858"/>
      <c r="CM185" s="858"/>
      <c r="CN185" s="858"/>
      <c r="CO185" s="858"/>
      <c r="CP185" s="858"/>
      <c r="CQ185" s="858"/>
      <c r="CR185" s="858"/>
      <c r="CS185" s="858"/>
      <c r="CT185" s="858"/>
      <c r="CU185" s="858"/>
      <c r="CV185" s="858"/>
      <c r="CW185" s="858"/>
      <c r="CX185" s="858"/>
      <c r="CY185" s="858"/>
      <c r="CZ185" s="858"/>
      <c r="DA185" s="858"/>
      <c r="DB185" s="858"/>
      <c r="DC185" s="858"/>
      <c r="DD185" s="858"/>
      <c r="DE185" s="858"/>
      <c r="DF185" s="858"/>
      <c r="DG185" s="858"/>
      <c r="DH185" s="858"/>
      <c r="DI185" s="858"/>
      <c r="DJ185" s="858"/>
      <c r="DK185" s="858"/>
      <c r="DL185" s="858"/>
      <c r="DM185" s="858"/>
      <c r="DN185" s="858"/>
      <c r="DO185" s="858"/>
      <c r="DP185" s="858"/>
      <c r="DQ185" s="858"/>
      <c r="DR185" s="858"/>
      <c r="DS185" s="858"/>
      <c r="DT185" s="858"/>
      <c r="DU185" s="858"/>
      <c r="DV185" s="858"/>
      <c r="DW185" s="858"/>
      <c r="DX185" s="858"/>
      <c r="DY185" s="858"/>
      <c r="DZ185" s="858"/>
      <c r="EA185" s="858"/>
      <c r="EB185" s="858"/>
      <c r="EC185" s="858"/>
      <c r="ED185" s="858"/>
      <c r="EE185" s="858"/>
      <c r="EF185" s="858"/>
      <c r="EG185" s="858"/>
      <c r="EH185" s="858"/>
      <c r="EI185" s="858"/>
      <c r="EJ185" s="858"/>
      <c r="EK185" s="858"/>
      <c r="EL185" s="858"/>
      <c r="EM185" s="858"/>
      <c r="EN185" s="858"/>
      <c r="EO185" s="858"/>
      <c r="EP185" s="858"/>
      <c r="EQ185" s="858"/>
      <c r="ER185" s="858"/>
      <c r="ES185" s="858"/>
      <c r="ET185" s="858"/>
      <c r="EU185" s="858"/>
      <c r="EV185" s="858"/>
      <c r="EW185" s="858"/>
      <c r="EX185" s="858"/>
      <c r="EY185" s="858"/>
      <c r="EZ185" s="858"/>
      <c r="FA185" s="858"/>
      <c r="FB185" s="858"/>
      <c r="FC185" s="858"/>
      <c r="FD185" s="858"/>
      <c r="FE185" s="858"/>
      <c r="FF185" s="858"/>
      <c r="FG185" s="858"/>
      <c r="FH185" s="858"/>
      <c r="FI185" s="858"/>
      <c r="FJ185" s="858"/>
      <c r="FK185" s="858"/>
      <c r="FL185" s="858"/>
      <c r="FM185" s="858"/>
      <c r="FN185" s="858"/>
      <c r="FO185" s="858"/>
      <c r="FP185" s="858"/>
      <c r="FQ185" s="858"/>
      <c r="FR185" s="858"/>
      <c r="FS185" s="858"/>
      <c r="FT185" s="858"/>
      <c r="FU185" s="858"/>
      <c r="FV185" s="858"/>
      <c r="FW185" s="858"/>
      <c r="FX185" s="858"/>
      <c r="FY185" s="858"/>
      <c r="FZ185" s="858"/>
      <c r="GA185" s="858"/>
      <c r="GB185" s="858"/>
      <c r="GC185" s="858"/>
      <c r="GD185" s="858"/>
      <c r="GE185" s="858"/>
      <c r="GF185" s="858"/>
      <c r="GG185" s="858"/>
      <c r="GH185" s="858"/>
      <c r="GI185" s="858"/>
      <c r="GJ185" s="858"/>
      <c r="GK185" s="858"/>
      <c r="GL185" s="858"/>
      <c r="GM185" s="858"/>
      <c r="GN185" s="858"/>
      <c r="GO185" s="858"/>
      <c r="GP185" s="858"/>
      <c r="GQ185" s="858"/>
      <c r="GR185" s="858"/>
      <c r="GS185" s="858"/>
      <c r="GT185" s="858"/>
      <c r="GU185" s="858"/>
      <c r="GV185" s="858"/>
      <c r="GW185" s="858"/>
      <c r="GX185" s="858"/>
      <c r="GY185" s="858"/>
      <c r="GZ185" s="858"/>
      <c r="HA185" s="858"/>
      <c r="HB185" s="858"/>
      <c r="HC185" s="858"/>
      <c r="HD185" s="858"/>
      <c r="HE185" s="858"/>
      <c r="HF185" s="858"/>
      <c r="HG185" s="858"/>
      <c r="HH185" s="858"/>
      <c r="HI185" s="858"/>
      <c r="HJ185" s="858"/>
      <c r="HK185" s="858"/>
      <c r="HL185" s="858"/>
      <c r="HM185" s="858"/>
      <c r="HN185" s="858"/>
      <c r="HO185" s="858"/>
      <c r="HP185" s="858"/>
      <c r="HQ185" s="858"/>
      <c r="HR185" s="858"/>
      <c r="HS185" s="858"/>
      <c r="HT185" s="858"/>
      <c r="HU185" s="858"/>
      <c r="HV185" s="858"/>
      <c r="HW185" s="858"/>
      <c r="HX185" s="858"/>
      <c r="HY185" s="858"/>
      <c r="HZ185" s="858"/>
      <c r="IA185" s="858"/>
      <c r="IB185" s="858"/>
      <c r="IC185" s="858"/>
      <c r="ID185" s="858"/>
      <c r="IE185" s="858"/>
      <c r="IF185" s="858"/>
      <c r="IG185" s="858"/>
      <c r="IH185" s="858"/>
      <c r="II185" s="858"/>
      <c r="IJ185" s="858"/>
      <c r="IK185" s="858"/>
      <c r="IL185" s="858"/>
      <c r="IM185" s="858"/>
      <c r="IN185" s="858"/>
    </row>
    <row r="186" spans="1:248">
      <c r="A186" s="564" t="s">
        <v>25</v>
      </c>
      <c r="B186" s="566">
        <v>10788.8</v>
      </c>
      <c r="C186" s="859">
        <v>24.680874426946552</v>
      </c>
      <c r="D186" s="567">
        <v>11327.5</v>
      </c>
      <c r="E186" s="859">
        <v>25.913225295791666</v>
      </c>
      <c r="F186" s="859">
        <v>-538.70000000000073</v>
      </c>
      <c r="G186" s="859">
        <f t="shared" si="28"/>
        <v>-1.2323508688451104</v>
      </c>
      <c r="H186" s="27">
        <v>43713.2</v>
      </c>
      <c r="I186" s="858"/>
      <c r="J186" s="858"/>
      <c r="K186" s="858"/>
      <c r="L186" s="858"/>
      <c r="M186" s="858"/>
      <c r="N186" s="858"/>
      <c r="O186" s="858"/>
      <c r="P186" s="858"/>
      <c r="Q186" s="858"/>
      <c r="R186" s="858"/>
      <c r="S186" s="858"/>
      <c r="T186" s="858"/>
      <c r="U186" s="858"/>
      <c r="V186" s="858"/>
      <c r="W186" s="858"/>
      <c r="X186" s="858"/>
      <c r="Y186" s="858"/>
      <c r="Z186" s="858"/>
      <c r="AA186" s="858"/>
      <c r="AB186" s="858"/>
      <c r="AC186" s="858"/>
      <c r="AD186" s="858"/>
      <c r="AE186" s="858"/>
      <c r="AF186" s="858"/>
      <c r="AG186" s="858"/>
      <c r="AH186" s="858"/>
      <c r="AI186" s="858"/>
      <c r="AJ186" s="858"/>
      <c r="AK186" s="858"/>
      <c r="AL186" s="858"/>
      <c r="AM186" s="858"/>
      <c r="AN186" s="858"/>
      <c r="AO186" s="858"/>
      <c r="AP186" s="858"/>
      <c r="AQ186" s="858"/>
      <c r="AR186" s="858"/>
      <c r="AS186" s="858"/>
      <c r="AT186" s="858"/>
      <c r="AU186" s="858"/>
      <c r="AV186" s="858"/>
      <c r="AW186" s="858"/>
      <c r="AX186" s="858"/>
      <c r="AY186" s="858"/>
      <c r="AZ186" s="858"/>
      <c r="BA186" s="858"/>
      <c r="BB186" s="858"/>
      <c r="BC186" s="858"/>
      <c r="BD186" s="858"/>
      <c r="BE186" s="858"/>
      <c r="BF186" s="858"/>
      <c r="BG186" s="858"/>
      <c r="BH186" s="858"/>
      <c r="BI186" s="858"/>
      <c r="BJ186" s="858"/>
      <c r="BK186" s="858"/>
      <c r="BL186" s="858"/>
      <c r="BM186" s="858"/>
      <c r="BN186" s="858"/>
      <c r="BO186" s="858"/>
      <c r="BP186" s="858"/>
      <c r="BQ186" s="858"/>
      <c r="BR186" s="858"/>
      <c r="BS186" s="858"/>
      <c r="BT186" s="858"/>
      <c r="BU186" s="858"/>
      <c r="BV186" s="858"/>
      <c r="BW186" s="858"/>
      <c r="BX186" s="858"/>
      <c r="BY186" s="858"/>
      <c r="BZ186" s="858"/>
      <c r="CA186" s="858"/>
      <c r="CB186" s="858"/>
      <c r="CC186" s="858"/>
      <c r="CD186" s="858"/>
      <c r="CE186" s="858"/>
      <c r="CF186" s="858"/>
      <c r="CG186" s="858"/>
      <c r="CH186" s="858"/>
      <c r="CI186" s="858"/>
      <c r="CJ186" s="858"/>
      <c r="CK186" s="858"/>
      <c r="CL186" s="858"/>
      <c r="CM186" s="858"/>
      <c r="CN186" s="858"/>
      <c r="CO186" s="858"/>
      <c r="CP186" s="858"/>
      <c r="CQ186" s="858"/>
      <c r="CR186" s="858"/>
      <c r="CS186" s="858"/>
      <c r="CT186" s="858"/>
      <c r="CU186" s="858"/>
      <c r="CV186" s="858"/>
      <c r="CW186" s="858"/>
      <c r="CX186" s="858"/>
      <c r="CY186" s="858"/>
      <c r="CZ186" s="858"/>
      <c r="DA186" s="858"/>
      <c r="DB186" s="858"/>
      <c r="DC186" s="858"/>
      <c r="DD186" s="858"/>
      <c r="DE186" s="858"/>
      <c r="DF186" s="858"/>
      <c r="DG186" s="858"/>
      <c r="DH186" s="858"/>
      <c r="DI186" s="858"/>
      <c r="DJ186" s="858"/>
      <c r="DK186" s="858"/>
      <c r="DL186" s="858"/>
      <c r="DM186" s="858"/>
      <c r="DN186" s="858"/>
      <c r="DO186" s="858"/>
      <c r="DP186" s="858"/>
      <c r="DQ186" s="858"/>
      <c r="DR186" s="858"/>
      <c r="DS186" s="858"/>
      <c r="DT186" s="858"/>
      <c r="DU186" s="858"/>
      <c r="DV186" s="858"/>
      <c r="DW186" s="858"/>
      <c r="DX186" s="858"/>
      <c r="DY186" s="858"/>
      <c r="DZ186" s="858"/>
      <c r="EA186" s="858"/>
      <c r="EB186" s="858"/>
      <c r="EC186" s="858"/>
      <c r="ED186" s="858"/>
      <c r="EE186" s="858"/>
      <c r="EF186" s="858"/>
      <c r="EG186" s="858"/>
      <c r="EH186" s="858"/>
      <c r="EI186" s="858"/>
      <c r="EJ186" s="858"/>
      <c r="EK186" s="858"/>
      <c r="EL186" s="858"/>
      <c r="EM186" s="858"/>
      <c r="EN186" s="858"/>
      <c r="EO186" s="858"/>
      <c r="EP186" s="858"/>
      <c r="EQ186" s="858"/>
      <c r="ER186" s="858"/>
      <c r="ES186" s="858"/>
      <c r="ET186" s="858"/>
      <c r="EU186" s="858"/>
      <c r="EV186" s="858"/>
      <c r="EW186" s="858"/>
      <c r="EX186" s="858"/>
      <c r="EY186" s="858"/>
      <c r="EZ186" s="858"/>
      <c r="FA186" s="858"/>
      <c r="FB186" s="858"/>
      <c r="FC186" s="858"/>
      <c r="FD186" s="858"/>
      <c r="FE186" s="858"/>
      <c r="FF186" s="858"/>
      <c r="FG186" s="858"/>
      <c r="FH186" s="858"/>
      <c r="FI186" s="858"/>
      <c r="FJ186" s="858"/>
      <c r="FK186" s="858"/>
      <c r="FL186" s="858"/>
      <c r="FM186" s="858"/>
      <c r="FN186" s="858"/>
      <c r="FO186" s="858"/>
      <c r="FP186" s="858"/>
      <c r="FQ186" s="858"/>
      <c r="FR186" s="858"/>
      <c r="FS186" s="858"/>
      <c r="FT186" s="858"/>
      <c r="FU186" s="858"/>
      <c r="FV186" s="858"/>
      <c r="FW186" s="858"/>
      <c r="FX186" s="858"/>
      <c r="FY186" s="858"/>
      <c r="FZ186" s="858"/>
      <c r="GA186" s="858"/>
      <c r="GB186" s="858"/>
      <c r="GC186" s="858"/>
      <c r="GD186" s="858"/>
      <c r="GE186" s="858"/>
      <c r="GF186" s="858"/>
      <c r="GG186" s="858"/>
      <c r="GH186" s="858"/>
      <c r="GI186" s="858"/>
      <c r="GJ186" s="858"/>
      <c r="GK186" s="858"/>
      <c r="GL186" s="858"/>
      <c r="GM186" s="858"/>
      <c r="GN186" s="858"/>
      <c r="GO186" s="858"/>
      <c r="GP186" s="858"/>
      <c r="GQ186" s="858"/>
      <c r="GR186" s="858"/>
      <c r="GS186" s="858"/>
      <c r="GT186" s="858"/>
      <c r="GU186" s="858"/>
      <c r="GV186" s="858"/>
      <c r="GW186" s="858"/>
      <c r="GX186" s="858"/>
      <c r="GY186" s="858"/>
      <c r="GZ186" s="858"/>
      <c r="HA186" s="858"/>
      <c r="HB186" s="858"/>
      <c r="HC186" s="858"/>
      <c r="HD186" s="858"/>
      <c r="HE186" s="858"/>
      <c r="HF186" s="858"/>
      <c r="HG186" s="858"/>
      <c r="HH186" s="858"/>
      <c r="HI186" s="858"/>
      <c r="HJ186" s="858"/>
      <c r="HK186" s="858"/>
      <c r="HL186" s="858"/>
      <c r="HM186" s="858"/>
      <c r="HN186" s="858"/>
      <c r="HO186" s="858"/>
      <c r="HP186" s="858"/>
      <c r="HQ186" s="858"/>
      <c r="HR186" s="858"/>
      <c r="HS186" s="858"/>
      <c r="HT186" s="858"/>
      <c r="HU186" s="858"/>
      <c r="HV186" s="858"/>
      <c r="HW186" s="858"/>
      <c r="HX186" s="858"/>
      <c r="HY186" s="858"/>
      <c r="HZ186" s="858"/>
      <c r="IA186" s="858"/>
      <c r="IB186" s="858"/>
      <c r="IC186" s="858"/>
      <c r="ID186" s="858"/>
      <c r="IE186" s="858"/>
      <c r="IF186" s="858"/>
      <c r="IG186" s="858"/>
      <c r="IH186" s="858"/>
      <c r="II186" s="858"/>
      <c r="IJ186" s="858"/>
      <c r="IK186" s="858"/>
      <c r="IL186" s="858"/>
      <c r="IM186" s="858"/>
      <c r="IN186" s="858"/>
    </row>
    <row r="187" spans="1:248">
      <c r="A187" s="564" t="s">
        <v>26</v>
      </c>
      <c r="B187" s="566">
        <v>12045.1</v>
      </c>
      <c r="C187" s="859">
        <v>24.057818176734116</v>
      </c>
      <c r="D187" s="567">
        <v>12783.7</v>
      </c>
      <c r="E187" s="859">
        <v>25.533032538203575</v>
      </c>
      <c r="F187" s="859">
        <v>-738.60000000000036</v>
      </c>
      <c r="G187" s="859">
        <f t="shared" si="28"/>
        <v>-1.4752143614694628</v>
      </c>
      <c r="H187" s="27">
        <v>50067.3</v>
      </c>
      <c r="I187" s="858"/>
      <c r="J187" s="858"/>
      <c r="K187" s="858"/>
      <c r="L187" s="858"/>
      <c r="M187" s="858"/>
      <c r="N187" s="858"/>
      <c r="O187" s="858"/>
      <c r="P187" s="858"/>
      <c r="Q187" s="858"/>
      <c r="R187" s="858"/>
      <c r="S187" s="858"/>
      <c r="T187" s="858"/>
      <c r="U187" s="858"/>
      <c r="V187" s="858"/>
      <c r="W187" s="858"/>
      <c r="X187" s="858"/>
      <c r="Y187" s="858"/>
      <c r="Z187" s="858"/>
      <c r="AA187" s="858"/>
      <c r="AB187" s="858"/>
      <c r="AC187" s="858"/>
      <c r="AD187" s="858"/>
      <c r="AE187" s="858"/>
      <c r="AF187" s="858"/>
      <c r="AG187" s="858"/>
      <c r="AH187" s="858"/>
      <c r="AI187" s="858"/>
      <c r="AJ187" s="858"/>
      <c r="AK187" s="858"/>
      <c r="AL187" s="858"/>
      <c r="AM187" s="858"/>
      <c r="AN187" s="858"/>
      <c r="AO187" s="858"/>
      <c r="AP187" s="858"/>
      <c r="AQ187" s="858"/>
      <c r="AR187" s="858"/>
      <c r="AS187" s="858"/>
      <c r="AT187" s="858"/>
      <c r="AU187" s="858"/>
      <c r="AV187" s="858"/>
      <c r="AW187" s="858"/>
      <c r="AX187" s="858"/>
      <c r="AY187" s="858"/>
      <c r="AZ187" s="858"/>
      <c r="BA187" s="858"/>
      <c r="BB187" s="858"/>
      <c r="BC187" s="858"/>
      <c r="BD187" s="858"/>
      <c r="BE187" s="858"/>
      <c r="BF187" s="858"/>
      <c r="BG187" s="858"/>
      <c r="BH187" s="858"/>
      <c r="BI187" s="858"/>
      <c r="BJ187" s="858"/>
      <c r="BK187" s="858"/>
      <c r="BL187" s="858"/>
      <c r="BM187" s="858"/>
      <c r="BN187" s="858"/>
      <c r="BO187" s="858"/>
      <c r="BP187" s="858"/>
      <c r="BQ187" s="858"/>
      <c r="BR187" s="858"/>
      <c r="BS187" s="858"/>
      <c r="BT187" s="858"/>
      <c r="BU187" s="858"/>
      <c r="BV187" s="858"/>
      <c r="BW187" s="858"/>
      <c r="BX187" s="858"/>
      <c r="BY187" s="858"/>
      <c r="BZ187" s="858"/>
      <c r="CA187" s="858"/>
      <c r="CB187" s="858"/>
      <c r="CC187" s="858"/>
      <c r="CD187" s="858"/>
      <c r="CE187" s="858"/>
      <c r="CF187" s="858"/>
      <c r="CG187" s="858"/>
      <c r="CH187" s="858"/>
      <c r="CI187" s="858"/>
      <c r="CJ187" s="858"/>
      <c r="CK187" s="858"/>
      <c r="CL187" s="858"/>
      <c r="CM187" s="858"/>
      <c r="CN187" s="858"/>
      <c r="CO187" s="858"/>
      <c r="CP187" s="858"/>
      <c r="CQ187" s="858"/>
      <c r="CR187" s="858"/>
      <c r="CS187" s="858"/>
      <c r="CT187" s="858"/>
      <c r="CU187" s="858"/>
      <c r="CV187" s="858"/>
      <c r="CW187" s="858"/>
      <c r="CX187" s="858"/>
      <c r="CY187" s="858"/>
      <c r="CZ187" s="858"/>
      <c r="DA187" s="858"/>
      <c r="DB187" s="858"/>
      <c r="DC187" s="858"/>
      <c r="DD187" s="858"/>
      <c r="DE187" s="858"/>
      <c r="DF187" s="858"/>
      <c r="DG187" s="858"/>
      <c r="DH187" s="858"/>
      <c r="DI187" s="858"/>
      <c r="DJ187" s="858"/>
      <c r="DK187" s="858"/>
      <c r="DL187" s="858"/>
      <c r="DM187" s="858"/>
      <c r="DN187" s="858"/>
      <c r="DO187" s="858"/>
      <c r="DP187" s="858"/>
      <c r="DQ187" s="858"/>
      <c r="DR187" s="858"/>
      <c r="DS187" s="858"/>
      <c r="DT187" s="858"/>
      <c r="DU187" s="858"/>
      <c r="DV187" s="858"/>
      <c r="DW187" s="858"/>
      <c r="DX187" s="858"/>
      <c r="DY187" s="858"/>
      <c r="DZ187" s="858"/>
      <c r="EA187" s="858"/>
      <c r="EB187" s="858"/>
      <c r="EC187" s="858"/>
      <c r="ED187" s="858"/>
      <c r="EE187" s="858"/>
      <c r="EF187" s="858"/>
      <c r="EG187" s="858"/>
      <c r="EH187" s="858"/>
      <c r="EI187" s="858"/>
      <c r="EJ187" s="858"/>
      <c r="EK187" s="858"/>
      <c r="EL187" s="858"/>
      <c r="EM187" s="858"/>
      <c r="EN187" s="858"/>
      <c r="EO187" s="858"/>
      <c r="EP187" s="858"/>
      <c r="EQ187" s="858"/>
      <c r="ER187" s="858"/>
      <c r="ES187" s="858"/>
      <c r="ET187" s="858"/>
      <c r="EU187" s="858"/>
      <c r="EV187" s="858"/>
      <c r="EW187" s="858"/>
      <c r="EX187" s="858"/>
      <c r="EY187" s="858"/>
      <c r="EZ187" s="858"/>
      <c r="FA187" s="858"/>
      <c r="FB187" s="858"/>
      <c r="FC187" s="858"/>
      <c r="FD187" s="858"/>
      <c r="FE187" s="858"/>
      <c r="FF187" s="858"/>
      <c r="FG187" s="858"/>
      <c r="FH187" s="858"/>
      <c r="FI187" s="858"/>
      <c r="FJ187" s="858"/>
      <c r="FK187" s="858"/>
      <c r="FL187" s="858"/>
      <c r="FM187" s="858"/>
      <c r="FN187" s="858"/>
      <c r="FO187" s="858"/>
      <c r="FP187" s="858"/>
      <c r="FQ187" s="858"/>
      <c r="FR187" s="858"/>
      <c r="FS187" s="858"/>
      <c r="FT187" s="858"/>
      <c r="FU187" s="858"/>
      <c r="FV187" s="858"/>
      <c r="FW187" s="858"/>
      <c r="FX187" s="858"/>
      <c r="FY187" s="858"/>
      <c r="FZ187" s="858"/>
      <c r="GA187" s="858"/>
      <c r="GB187" s="858"/>
      <c r="GC187" s="858"/>
      <c r="GD187" s="858"/>
      <c r="GE187" s="858"/>
      <c r="GF187" s="858"/>
      <c r="GG187" s="858"/>
      <c r="GH187" s="858"/>
      <c r="GI187" s="858"/>
      <c r="GJ187" s="858"/>
      <c r="GK187" s="858"/>
      <c r="GL187" s="858"/>
      <c r="GM187" s="858"/>
      <c r="GN187" s="858"/>
      <c r="GO187" s="858"/>
      <c r="GP187" s="858"/>
      <c r="GQ187" s="858"/>
      <c r="GR187" s="858"/>
      <c r="GS187" s="858"/>
      <c r="GT187" s="858"/>
      <c r="GU187" s="858"/>
      <c r="GV187" s="858"/>
      <c r="GW187" s="858"/>
      <c r="GX187" s="858"/>
      <c r="GY187" s="858"/>
      <c r="GZ187" s="858"/>
      <c r="HA187" s="858"/>
      <c r="HB187" s="858"/>
      <c r="HC187" s="858"/>
      <c r="HD187" s="858"/>
      <c r="HE187" s="858"/>
      <c r="HF187" s="858"/>
      <c r="HG187" s="858"/>
      <c r="HH187" s="858"/>
      <c r="HI187" s="858"/>
      <c r="HJ187" s="858"/>
      <c r="HK187" s="858"/>
      <c r="HL187" s="858"/>
      <c r="HM187" s="858"/>
      <c r="HN187" s="858"/>
      <c r="HO187" s="858"/>
      <c r="HP187" s="858"/>
      <c r="HQ187" s="858"/>
      <c r="HR187" s="858"/>
      <c r="HS187" s="858"/>
      <c r="HT187" s="858"/>
      <c r="HU187" s="858"/>
      <c r="HV187" s="858"/>
      <c r="HW187" s="858"/>
      <c r="HX187" s="858"/>
      <c r="HY187" s="858"/>
      <c r="HZ187" s="858"/>
      <c r="IA187" s="858"/>
      <c r="IB187" s="858"/>
      <c r="IC187" s="858"/>
      <c r="ID187" s="858"/>
      <c r="IE187" s="858"/>
      <c r="IF187" s="858"/>
      <c r="IG187" s="858"/>
      <c r="IH187" s="858"/>
      <c r="II187" s="858"/>
      <c r="IJ187" s="858"/>
      <c r="IK187" s="858"/>
      <c r="IL187" s="858"/>
      <c r="IM187" s="858"/>
      <c r="IN187" s="858"/>
    </row>
    <row r="188" spans="1:248">
      <c r="A188" s="564" t="s">
        <v>27</v>
      </c>
      <c r="B188" s="566">
        <v>13557.2</v>
      </c>
      <c r="C188" s="859">
        <v>24.002903605605379</v>
      </c>
      <c r="D188" s="567">
        <v>14150.2</v>
      </c>
      <c r="E188" s="859">
        <v>25.052804900719707</v>
      </c>
      <c r="F188" s="859">
        <v>-593</v>
      </c>
      <c r="G188" s="859">
        <f t="shared" si="28"/>
        <v>-1.0499012951143294</v>
      </c>
      <c r="H188" s="27">
        <v>56481.5</v>
      </c>
      <c r="I188" s="858"/>
      <c r="J188" s="858"/>
      <c r="K188" s="858"/>
      <c r="L188" s="858"/>
      <c r="M188" s="858"/>
      <c r="N188" s="858"/>
      <c r="O188" s="858"/>
      <c r="P188" s="858"/>
      <c r="Q188" s="858"/>
      <c r="R188" s="858"/>
      <c r="S188" s="858"/>
      <c r="T188" s="858"/>
      <c r="U188" s="858"/>
      <c r="V188" s="858"/>
      <c r="W188" s="858"/>
      <c r="X188" s="858"/>
      <c r="Y188" s="858"/>
      <c r="Z188" s="858"/>
      <c r="AA188" s="858"/>
      <c r="AB188" s="858"/>
      <c r="AC188" s="858"/>
      <c r="AD188" s="858"/>
      <c r="AE188" s="858"/>
      <c r="AF188" s="858"/>
      <c r="AG188" s="858"/>
      <c r="AH188" s="858"/>
      <c r="AI188" s="858"/>
      <c r="AJ188" s="858"/>
      <c r="AK188" s="858"/>
      <c r="AL188" s="858"/>
      <c r="AM188" s="858"/>
      <c r="AN188" s="858"/>
      <c r="AO188" s="858"/>
      <c r="AP188" s="858"/>
      <c r="AQ188" s="858"/>
      <c r="AR188" s="858"/>
      <c r="AS188" s="858"/>
      <c r="AT188" s="858"/>
      <c r="AU188" s="858"/>
      <c r="AV188" s="858"/>
      <c r="AW188" s="858"/>
      <c r="AX188" s="858"/>
      <c r="AY188" s="858"/>
      <c r="AZ188" s="858"/>
      <c r="BA188" s="858"/>
      <c r="BB188" s="858"/>
      <c r="BC188" s="858"/>
      <c r="BD188" s="858"/>
      <c r="BE188" s="858"/>
      <c r="BF188" s="858"/>
      <c r="BG188" s="858"/>
      <c r="BH188" s="858"/>
      <c r="BI188" s="858"/>
      <c r="BJ188" s="858"/>
      <c r="BK188" s="858"/>
      <c r="BL188" s="858"/>
      <c r="BM188" s="858"/>
      <c r="BN188" s="858"/>
      <c r="BO188" s="858"/>
      <c r="BP188" s="858"/>
      <c r="BQ188" s="858"/>
      <c r="BR188" s="858"/>
      <c r="BS188" s="858"/>
      <c r="BT188" s="858"/>
      <c r="BU188" s="858"/>
      <c r="BV188" s="858"/>
      <c r="BW188" s="858"/>
      <c r="BX188" s="858"/>
      <c r="BY188" s="858"/>
      <c r="BZ188" s="858"/>
      <c r="CA188" s="858"/>
      <c r="CB188" s="858"/>
      <c r="CC188" s="858"/>
      <c r="CD188" s="858"/>
      <c r="CE188" s="858"/>
      <c r="CF188" s="858"/>
      <c r="CG188" s="858"/>
      <c r="CH188" s="858"/>
      <c r="CI188" s="858"/>
      <c r="CJ188" s="858"/>
      <c r="CK188" s="858"/>
      <c r="CL188" s="858"/>
      <c r="CM188" s="858"/>
      <c r="CN188" s="858"/>
      <c r="CO188" s="858"/>
      <c r="CP188" s="858"/>
      <c r="CQ188" s="858"/>
      <c r="CR188" s="858"/>
      <c r="CS188" s="858"/>
      <c r="CT188" s="858"/>
      <c r="CU188" s="858"/>
      <c r="CV188" s="858"/>
      <c r="CW188" s="858"/>
      <c r="CX188" s="858"/>
      <c r="CY188" s="858"/>
      <c r="CZ188" s="858"/>
      <c r="DA188" s="858"/>
      <c r="DB188" s="858"/>
      <c r="DC188" s="858"/>
      <c r="DD188" s="858"/>
      <c r="DE188" s="858"/>
      <c r="DF188" s="858"/>
      <c r="DG188" s="858"/>
      <c r="DH188" s="858"/>
      <c r="DI188" s="858"/>
      <c r="DJ188" s="858"/>
      <c r="DK188" s="858"/>
      <c r="DL188" s="858"/>
      <c r="DM188" s="858"/>
      <c r="DN188" s="858"/>
      <c r="DO188" s="858"/>
      <c r="DP188" s="858"/>
      <c r="DQ188" s="858"/>
      <c r="DR188" s="858"/>
      <c r="DS188" s="858"/>
      <c r="DT188" s="858"/>
      <c r="DU188" s="858"/>
      <c r="DV188" s="858"/>
      <c r="DW188" s="858"/>
      <c r="DX188" s="858"/>
      <c r="DY188" s="858"/>
      <c r="DZ188" s="858"/>
      <c r="EA188" s="858"/>
      <c r="EB188" s="858"/>
      <c r="EC188" s="858"/>
      <c r="ED188" s="858"/>
      <c r="EE188" s="858"/>
      <c r="EF188" s="858"/>
      <c r="EG188" s="858"/>
      <c r="EH188" s="858"/>
      <c r="EI188" s="858"/>
      <c r="EJ188" s="858"/>
      <c r="EK188" s="858"/>
      <c r="EL188" s="858"/>
      <c r="EM188" s="858"/>
      <c r="EN188" s="858"/>
      <c r="EO188" s="858"/>
      <c r="EP188" s="858"/>
      <c r="EQ188" s="858"/>
      <c r="ER188" s="858"/>
      <c r="ES188" s="858"/>
      <c r="ET188" s="858"/>
      <c r="EU188" s="858"/>
      <c r="EV188" s="858"/>
      <c r="EW188" s="858"/>
      <c r="EX188" s="858"/>
      <c r="EY188" s="858"/>
      <c r="EZ188" s="858"/>
      <c r="FA188" s="858"/>
      <c r="FB188" s="858"/>
      <c r="FC188" s="858"/>
      <c r="FD188" s="858"/>
      <c r="FE188" s="858"/>
      <c r="FF188" s="858"/>
      <c r="FG188" s="858"/>
      <c r="FH188" s="858"/>
      <c r="FI188" s="858"/>
      <c r="FJ188" s="858"/>
      <c r="FK188" s="858"/>
      <c r="FL188" s="858"/>
      <c r="FM188" s="858"/>
      <c r="FN188" s="858"/>
      <c r="FO188" s="858"/>
      <c r="FP188" s="858"/>
      <c r="FQ188" s="858"/>
      <c r="FR188" s="858"/>
      <c r="FS188" s="858"/>
      <c r="FT188" s="858"/>
      <c r="FU188" s="858"/>
      <c r="FV188" s="858"/>
      <c r="FW188" s="858"/>
      <c r="FX188" s="858"/>
      <c r="FY188" s="858"/>
      <c r="FZ188" s="858"/>
      <c r="GA188" s="858"/>
      <c r="GB188" s="858"/>
      <c r="GC188" s="858"/>
      <c r="GD188" s="858"/>
      <c r="GE188" s="858"/>
      <c r="GF188" s="858"/>
      <c r="GG188" s="858"/>
      <c r="GH188" s="858"/>
      <c r="GI188" s="858"/>
      <c r="GJ188" s="858"/>
      <c r="GK188" s="858"/>
      <c r="GL188" s="858"/>
      <c r="GM188" s="858"/>
      <c r="GN188" s="858"/>
      <c r="GO188" s="858"/>
      <c r="GP188" s="858"/>
      <c r="GQ188" s="858"/>
      <c r="GR188" s="858"/>
      <c r="GS188" s="858"/>
      <c r="GT188" s="858"/>
      <c r="GU188" s="858"/>
      <c r="GV188" s="858"/>
      <c r="GW188" s="858"/>
      <c r="GX188" s="858"/>
      <c r="GY188" s="858"/>
      <c r="GZ188" s="858"/>
      <c r="HA188" s="858"/>
      <c r="HB188" s="858"/>
      <c r="HC188" s="858"/>
      <c r="HD188" s="858"/>
      <c r="HE188" s="858"/>
      <c r="HF188" s="858"/>
      <c r="HG188" s="858"/>
      <c r="HH188" s="858"/>
      <c r="HI188" s="858"/>
      <c r="HJ188" s="858"/>
      <c r="HK188" s="858"/>
      <c r="HL188" s="858"/>
      <c r="HM188" s="858"/>
      <c r="HN188" s="858"/>
      <c r="HO188" s="858"/>
      <c r="HP188" s="858"/>
      <c r="HQ188" s="858"/>
      <c r="HR188" s="858"/>
      <c r="HS188" s="858"/>
      <c r="HT188" s="858"/>
      <c r="HU188" s="858"/>
      <c r="HV188" s="858"/>
      <c r="HW188" s="858"/>
      <c r="HX188" s="858"/>
      <c r="HY188" s="858"/>
      <c r="HZ188" s="858"/>
      <c r="IA188" s="858"/>
      <c r="IB188" s="858"/>
      <c r="IC188" s="858"/>
      <c r="ID188" s="858"/>
      <c r="IE188" s="858"/>
      <c r="IF188" s="858"/>
      <c r="IG188" s="858"/>
      <c r="IH188" s="858"/>
      <c r="II188" s="858"/>
      <c r="IJ188" s="858"/>
      <c r="IK188" s="858"/>
      <c r="IL188" s="858"/>
      <c r="IM188" s="858"/>
      <c r="IN188" s="858"/>
    </row>
    <row r="189" spans="1:248">
      <c r="A189" s="564" t="s">
        <v>28</v>
      </c>
      <c r="B189" s="566">
        <v>14749.3</v>
      </c>
      <c r="C189" s="859">
        <v>23.385121283372943</v>
      </c>
      <c r="D189" s="567">
        <v>15463.1</v>
      </c>
      <c r="E189" s="859">
        <v>24.516856319752407</v>
      </c>
      <c r="F189" s="859">
        <v>-713.80000000000109</v>
      </c>
      <c r="G189" s="859">
        <f t="shared" si="28"/>
        <v>-1.1317350363794643</v>
      </c>
      <c r="H189" s="27">
        <v>63071.3</v>
      </c>
      <c r="I189" s="858"/>
      <c r="J189" s="858"/>
      <c r="K189" s="858"/>
      <c r="L189" s="858"/>
      <c r="M189" s="858"/>
      <c r="N189" s="858"/>
      <c r="O189" s="858"/>
      <c r="P189" s="858"/>
      <c r="Q189" s="858"/>
      <c r="R189" s="858"/>
      <c r="S189" s="858"/>
      <c r="T189" s="858"/>
      <c r="U189" s="858"/>
      <c r="V189" s="858"/>
      <c r="W189" s="858"/>
      <c r="X189" s="858"/>
      <c r="Y189" s="858"/>
      <c r="Z189" s="858"/>
      <c r="AA189" s="858"/>
      <c r="AB189" s="858"/>
      <c r="AC189" s="858"/>
      <c r="AD189" s="858"/>
      <c r="AE189" s="858"/>
      <c r="AF189" s="858"/>
      <c r="AG189" s="858"/>
      <c r="AH189" s="858"/>
      <c r="AI189" s="858"/>
      <c r="AJ189" s="858"/>
      <c r="AK189" s="858"/>
      <c r="AL189" s="858"/>
      <c r="AM189" s="858"/>
      <c r="AN189" s="858"/>
      <c r="AO189" s="858"/>
      <c r="AP189" s="858"/>
      <c r="AQ189" s="858"/>
      <c r="AR189" s="858"/>
      <c r="AS189" s="858"/>
      <c r="AT189" s="858"/>
      <c r="AU189" s="858"/>
      <c r="AV189" s="858"/>
      <c r="AW189" s="858"/>
      <c r="AX189" s="858"/>
      <c r="AY189" s="858"/>
      <c r="AZ189" s="858"/>
      <c r="BA189" s="858"/>
      <c r="BB189" s="858"/>
      <c r="BC189" s="858"/>
      <c r="BD189" s="858"/>
      <c r="BE189" s="858"/>
      <c r="BF189" s="858"/>
      <c r="BG189" s="858"/>
      <c r="BH189" s="858"/>
      <c r="BI189" s="858"/>
      <c r="BJ189" s="858"/>
      <c r="BK189" s="858"/>
      <c r="BL189" s="858"/>
      <c r="BM189" s="858"/>
      <c r="BN189" s="858"/>
      <c r="BO189" s="858"/>
      <c r="BP189" s="858"/>
      <c r="BQ189" s="858"/>
      <c r="BR189" s="858"/>
      <c r="BS189" s="858"/>
      <c r="BT189" s="858"/>
      <c r="BU189" s="858"/>
      <c r="BV189" s="858"/>
      <c r="BW189" s="858"/>
      <c r="BX189" s="858"/>
      <c r="BY189" s="858"/>
      <c r="BZ189" s="858"/>
      <c r="CA189" s="858"/>
      <c r="CB189" s="858"/>
      <c r="CC189" s="858"/>
      <c r="CD189" s="858"/>
      <c r="CE189" s="858"/>
      <c r="CF189" s="858"/>
      <c r="CG189" s="858"/>
      <c r="CH189" s="858"/>
      <c r="CI189" s="858"/>
      <c r="CJ189" s="858"/>
      <c r="CK189" s="858"/>
      <c r="CL189" s="858"/>
      <c r="CM189" s="858"/>
      <c r="CN189" s="858"/>
      <c r="CO189" s="858"/>
      <c r="CP189" s="858"/>
      <c r="CQ189" s="858"/>
      <c r="CR189" s="858"/>
      <c r="CS189" s="858"/>
      <c r="CT189" s="858"/>
      <c r="CU189" s="858"/>
      <c r="CV189" s="858"/>
      <c r="CW189" s="858"/>
      <c r="CX189" s="858"/>
      <c r="CY189" s="858"/>
      <c r="CZ189" s="858"/>
      <c r="DA189" s="858"/>
      <c r="DB189" s="858"/>
      <c r="DC189" s="858"/>
      <c r="DD189" s="858"/>
      <c r="DE189" s="858"/>
      <c r="DF189" s="858"/>
      <c r="DG189" s="858"/>
      <c r="DH189" s="858"/>
      <c r="DI189" s="858"/>
      <c r="DJ189" s="858"/>
      <c r="DK189" s="858"/>
      <c r="DL189" s="858"/>
      <c r="DM189" s="858"/>
      <c r="DN189" s="858"/>
      <c r="DO189" s="858"/>
      <c r="DP189" s="858"/>
      <c r="DQ189" s="858"/>
      <c r="DR189" s="858"/>
      <c r="DS189" s="858"/>
      <c r="DT189" s="858"/>
      <c r="DU189" s="858"/>
      <c r="DV189" s="858"/>
      <c r="DW189" s="858"/>
      <c r="DX189" s="858"/>
      <c r="DY189" s="858"/>
      <c r="DZ189" s="858"/>
      <c r="EA189" s="858"/>
      <c r="EB189" s="858"/>
      <c r="EC189" s="858"/>
      <c r="ED189" s="858"/>
      <c r="EE189" s="858"/>
      <c r="EF189" s="858"/>
      <c r="EG189" s="858"/>
      <c r="EH189" s="858"/>
      <c r="EI189" s="858"/>
      <c r="EJ189" s="858"/>
      <c r="EK189" s="858"/>
      <c r="EL189" s="858"/>
      <c r="EM189" s="858"/>
      <c r="EN189" s="858"/>
      <c r="EO189" s="858"/>
      <c r="EP189" s="858"/>
      <c r="EQ189" s="858"/>
      <c r="ER189" s="858"/>
      <c r="ES189" s="858"/>
      <c r="ET189" s="858"/>
      <c r="EU189" s="858"/>
      <c r="EV189" s="858"/>
      <c r="EW189" s="858"/>
      <c r="EX189" s="858"/>
      <c r="EY189" s="858"/>
      <c r="EZ189" s="858"/>
      <c r="FA189" s="858"/>
      <c r="FB189" s="858"/>
      <c r="FC189" s="858"/>
      <c r="FD189" s="858"/>
      <c r="FE189" s="858"/>
      <c r="FF189" s="858"/>
      <c r="FG189" s="858"/>
      <c r="FH189" s="858"/>
      <c r="FI189" s="858"/>
      <c r="FJ189" s="858"/>
      <c r="FK189" s="858"/>
      <c r="FL189" s="858"/>
      <c r="FM189" s="858"/>
      <c r="FN189" s="858"/>
      <c r="FO189" s="858"/>
      <c r="FP189" s="858"/>
      <c r="FQ189" s="858"/>
      <c r="FR189" s="858"/>
      <c r="FS189" s="858"/>
      <c r="FT189" s="858"/>
      <c r="FU189" s="858"/>
      <c r="FV189" s="858"/>
      <c r="FW189" s="858"/>
      <c r="FX189" s="858"/>
      <c r="FY189" s="858"/>
      <c r="FZ189" s="858"/>
      <c r="GA189" s="858"/>
      <c r="GB189" s="858"/>
      <c r="GC189" s="858"/>
      <c r="GD189" s="858"/>
      <c r="GE189" s="858"/>
      <c r="GF189" s="858"/>
      <c r="GG189" s="858"/>
      <c r="GH189" s="858"/>
      <c r="GI189" s="858"/>
      <c r="GJ189" s="858"/>
      <c r="GK189" s="858"/>
      <c r="GL189" s="858"/>
      <c r="GM189" s="858"/>
      <c r="GN189" s="858"/>
      <c r="GO189" s="858"/>
      <c r="GP189" s="858"/>
      <c r="GQ189" s="858"/>
      <c r="GR189" s="858"/>
      <c r="GS189" s="858"/>
      <c r="GT189" s="858"/>
      <c r="GU189" s="858"/>
      <c r="GV189" s="858"/>
      <c r="GW189" s="858"/>
      <c r="GX189" s="858"/>
      <c r="GY189" s="858"/>
      <c r="GZ189" s="858"/>
      <c r="HA189" s="858"/>
      <c r="HB189" s="858"/>
      <c r="HC189" s="858"/>
      <c r="HD189" s="858"/>
      <c r="HE189" s="858"/>
      <c r="HF189" s="858"/>
      <c r="HG189" s="858"/>
      <c r="HH189" s="858"/>
      <c r="HI189" s="858"/>
      <c r="HJ189" s="858"/>
      <c r="HK189" s="858"/>
      <c r="HL189" s="858"/>
      <c r="HM189" s="858"/>
      <c r="HN189" s="858"/>
      <c r="HO189" s="858"/>
      <c r="HP189" s="858"/>
      <c r="HQ189" s="858"/>
      <c r="HR189" s="858"/>
      <c r="HS189" s="858"/>
      <c r="HT189" s="858"/>
      <c r="HU189" s="858"/>
      <c r="HV189" s="858"/>
      <c r="HW189" s="858"/>
      <c r="HX189" s="858"/>
      <c r="HY189" s="858"/>
      <c r="HZ189" s="858"/>
      <c r="IA189" s="858"/>
      <c r="IB189" s="858"/>
      <c r="IC189" s="858"/>
      <c r="ID189" s="858"/>
      <c r="IE189" s="858"/>
      <c r="IF189" s="858"/>
      <c r="IG189" s="858"/>
      <c r="IH189" s="858"/>
      <c r="II189" s="858"/>
      <c r="IJ189" s="858"/>
      <c r="IK189" s="858"/>
      <c r="IL189" s="858"/>
      <c r="IM189" s="858"/>
      <c r="IN189" s="858"/>
    </row>
    <row r="190" spans="1:248">
      <c r="A190" s="564" t="s">
        <v>29</v>
      </c>
      <c r="B190" s="566">
        <v>16516.683993999995</v>
      </c>
      <c r="C190" s="859">
        <v>23.450312325782669</v>
      </c>
      <c r="D190" s="567">
        <v>17594.477983999997</v>
      </c>
      <c r="E190" s="859">
        <v>25.077885395472453</v>
      </c>
      <c r="F190" s="859">
        <v>-1077.7939900000019</v>
      </c>
      <c r="G190" s="859">
        <f t="shared" si="28"/>
        <v>-1.5367397922010546</v>
      </c>
      <c r="H190" s="27">
        <v>70135.100000000006</v>
      </c>
      <c r="I190" s="858"/>
      <c r="J190" s="858"/>
      <c r="K190" s="858"/>
      <c r="L190" s="858"/>
      <c r="M190" s="858"/>
      <c r="N190" s="858"/>
      <c r="O190" s="858"/>
      <c r="P190" s="858"/>
      <c r="Q190" s="858"/>
      <c r="R190" s="858"/>
      <c r="S190" s="858"/>
      <c r="T190" s="858"/>
      <c r="U190" s="858"/>
      <c r="V190" s="858"/>
      <c r="W190" s="858"/>
      <c r="X190" s="858"/>
      <c r="Y190" s="858"/>
      <c r="Z190" s="858"/>
      <c r="AA190" s="858"/>
      <c r="AB190" s="858"/>
      <c r="AC190" s="858"/>
      <c r="AD190" s="858"/>
      <c r="AE190" s="858"/>
      <c r="AF190" s="858"/>
      <c r="AG190" s="858"/>
      <c r="AH190" s="858"/>
      <c r="AI190" s="858"/>
      <c r="AJ190" s="858"/>
      <c r="AK190" s="858"/>
      <c r="AL190" s="858"/>
      <c r="AM190" s="858"/>
      <c r="AN190" s="858"/>
      <c r="AO190" s="858"/>
      <c r="AP190" s="858"/>
      <c r="AQ190" s="858"/>
      <c r="AR190" s="858"/>
      <c r="AS190" s="858"/>
      <c r="AT190" s="858"/>
      <c r="AU190" s="858"/>
      <c r="AV190" s="858"/>
      <c r="AW190" s="858"/>
      <c r="AX190" s="858"/>
      <c r="AY190" s="858"/>
      <c r="AZ190" s="858"/>
      <c r="BA190" s="858"/>
      <c r="BB190" s="858"/>
      <c r="BC190" s="858"/>
      <c r="BD190" s="858"/>
      <c r="BE190" s="858"/>
      <c r="BF190" s="858"/>
      <c r="BG190" s="858"/>
      <c r="BH190" s="858"/>
      <c r="BI190" s="858"/>
      <c r="BJ190" s="858"/>
      <c r="BK190" s="858"/>
      <c r="BL190" s="858"/>
      <c r="BM190" s="858"/>
      <c r="BN190" s="858"/>
      <c r="BO190" s="858"/>
      <c r="BP190" s="858"/>
      <c r="BQ190" s="858"/>
      <c r="BR190" s="858"/>
      <c r="BS190" s="858"/>
      <c r="BT190" s="858"/>
      <c r="BU190" s="858"/>
      <c r="BV190" s="858"/>
      <c r="BW190" s="858"/>
      <c r="BX190" s="858"/>
      <c r="BY190" s="858"/>
      <c r="BZ190" s="858"/>
      <c r="CA190" s="858"/>
      <c r="CB190" s="858"/>
      <c r="CC190" s="858"/>
      <c r="CD190" s="858"/>
      <c r="CE190" s="858"/>
      <c r="CF190" s="858"/>
      <c r="CG190" s="858"/>
      <c r="CH190" s="858"/>
      <c r="CI190" s="858"/>
      <c r="CJ190" s="858"/>
      <c r="CK190" s="858"/>
      <c r="CL190" s="858"/>
      <c r="CM190" s="858"/>
      <c r="CN190" s="858"/>
      <c r="CO190" s="858"/>
      <c r="CP190" s="858"/>
      <c r="CQ190" s="858"/>
      <c r="CR190" s="858"/>
      <c r="CS190" s="858"/>
      <c r="CT190" s="858"/>
      <c r="CU190" s="858"/>
      <c r="CV190" s="858"/>
      <c r="CW190" s="858"/>
      <c r="CX190" s="858"/>
      <c r="CY190" s="858"/>
      <c r="CZ190" s="858"/>
      <c r="DA190" s="858"/>
      <c r="DB190" s="858"/>
      <c r="DC190" s="858"/>
      <c r="DD190" s="858"/>
      <c r="DE190" s="858"/>
      <c r="DF190" s="858"/>
      <c r="DG190" s="858"/>
      <c r="DH190" s="858"/>
      <c r="DI190" s="858"/>
      <c r="DJ190" s="858"/>
      <c r="DK190" s="858"/>
      <c r="DL190" s="858"/>
      <c r="DM190" s="858"/>
      <c r="DN190" s="858"/>
      <c r="DO190" s="858"/>
      <c r="DP190" s="858"/>
      <c r="DQ190" s="858"/>
      <c r="DR190" s="858"/>
      <c r="DS190" s="858"/>
      <c r="DT190" s="858"/>
      <c r="DU190" s="858"/>
      <c r="DV190" s="858"/>
      <c r="DW190" s="858"/>
      <c r="DX190" s="858"/>
      <c r="DY190" s="858"/>
      <c r="DZ190" s="858"/>
      <c r="EA190" s="858"/>
      <c r="EB190" s="858"/>
      <c r="EC190" s="858"/>
      <c r="ED190" s="858"/>
      <c r="EE190" s="858"/>
      <c r="EF190" s="858"/>
      <c r="EG190" s="858"/>
      <c r="EH190" s="858"/>
      <c r="EI190" s="858"/>
      <c r="EJ190" s="858"/>
      <c r="EK190" s="858"/>
      <c r="EL190" s="858"/>
      <c r="EM190" s="858"/>
      <c r="EN190" s="858"/>
      <c r="EO190" s="858"/>
      <c r="EP190" s="858"/>
      <c r="EQ190" s="858"/>
      <c r="ER190" s="858"/>
      <c r="ES190" s="858"/>
      <c r="ET190" s="858"/>
      <c r="EU190" s="858"/>
      <c r="EV190" s="858"/>
      <c r="EW190" s="858"/>
      <c r="EX190" s="858"/>
      <c r="EY190" s="858"/>
      <c r="EZ190" s="858"/>
      <c r="FA190" s="858"/>
      <c r="FB190" s="858"/>
      <c r="FC190" s="858"/>
      <c r="FD190" s="858"/>
      <c r="FE190" s="858"/>
      <c r="FF190" s="858"/>
      <c r="FG190" s="858"/>
      <c r="FH190" s="858"/>
      <c r="FI190" s="858"/>
      <c r="FJ190" s="858"/>
      <c r="FK190" s="858"/>
      <c r="FL190" s="858"/>
      <c r="FM190" s="858"/>
      <c r="FN190" s="858"/>
      <c r="FO190" s="858"/>
      <c r="FP190" s="858"/>
      <c r="FQ190" s="858"/>
      <c r="FR190" s="858"/>
      <c r="FS190" s="858"/>
      <c r="FT190" s="858"/>
      <c r="FU190" s="858"/>
      <c r="FV190" s="858"/>
      <c r="FW190" s="858"/>
      <c r="FX190" s="858"/>
      <c r="FY190" s="858"/>
      <c r="FZ190" s="858"/>
      <c r="GA190" s="858"/>
      <c r="GB190" s="858"/>
      <c r="GC190" s="858"/>
      <c r="GD190" s="858"/>
      <c r="GE190" s="858"/>
      <c r="GF190" s="858"/>
      <c r="GG190" s="858"/>
      <c r="GH190" s="858"/>
      <c r="GI190" s="858"/>
      <c r="GJ190" s="858"/>
      <c r="GK190" s="858"/>
      <c r="GL190" s="858"/>
      <c r="GM190" s="858"/>
      <c r="GN190" s="858"/>
      <c r="GO190" s="858"/>
      <c r="GP190" s="858"/>
      <c r="GQ190" s="858"/>
      <c r="GR190" s="858"/>
      <c r="GS190" s="858"/>
      <c r="GT190" s="858"/>
      <c r="GU190" s="858"/>
      <c r="GV190" s="858"/>
      <c r="GW190" s="858"/>
      <c r="GX190" s="858"/>
      <c r="GY190" s="858"/>
      <c r="GZ190" s="858"/>
      <c r="HA190" s="858"/>
      <c r="HB190" s="858"/>
      <c r="HC190" s="858"/>
      <c r="HD190" s="858"/>
      <c r="HE190" s="858"/>
      <c r="HF190" s="858"/>
      <c r="HG190" s="858"/>
      <c r="HH190" s="858"/>
      <c r="HI190" s="858"/>
      <c r="HJ190" s="858"/>
      <c r="HK190" s="858"/>
      <c r="HL190" s="858"/>
      <c r="HM190" s="858"/>
      <c r="HN190" s="858"/>
      <c r="HO190" s="858"/>
      <c r="HP190" s="858"/>
      <c r="HQ190" s="858"/>
      <c r="HR190" s="858"/>
      <c r="HS190" s="858"/>
      <c r="HT190" s="858"/>
      <c r="HU190" s="858"/>
      <c r="HV190" s="858"/>
      <c r="HW190" s="858"/>
      <c r="HX190" s="858"/>
      <c r="HY190" s="858"/>
      <c r="HZ190" s="858"/>
      <c r="IA190" s="858"/>
      <c r="IB190" s="858"/>
      <c r="IC190" s="858"/>
      <c r="ID190" s="858"/>
      <c r="IE190" s="858"/>
      <c r="IF190" s="858"/>
      <c r="IG190" s="858"/>
      <c r="IH190" s="858"/>
      <c r="II190" s="858"/>
      <c r="IJ190" s="858"/>
      <c r="IK190" s="858"/>
      <c r="IL190" s="858"/>
      <c r="IM190" s="858"/>
      <c r="IN190" s="858"/>
    </row>
    <row r="191" spans="1:248">
      <c r="A191" s="564" t="s">
        <v>2038</v>
      </c>
      <c r="B191" s="561">
        <v>22508.86967</v>
      </c>
      <c r="C191" s="860">
        <v>28.085160776116485</v>
      </c>
      <c r="D191" s="562">
        <v>22731.643760000003</v>
      </c>
      <c r="E191" s="860">
        <v>28.470762795232417</v>
      </c>
      <c r="F191" s="860">
        <f>B191-D191</f>
        <v>-222.77409000000262</v>
      </c>
      <c r="G191" s="860">
        <v>-0.27814774259601788</v>
      </c>
      <c r="H191" s="27"/>
      <c r="I191" s="858"/>
      <c r="J191" s="858"/>
      <c r="K191" s="858"/>
      <c r="L191" s="858"/>
      <c r="M191" s="858"/>
      <c r="N191" s="858"/>
      <c r="O191" s="858"/>
      <c r="P191" s="858"/>
      <c r="Q191" s="858"/>
      <c r="R191" s="858"/>
      <c r="S191" s="858"/>
      <c r="T191" s="858"/>
      <c r="U191" s="858"/>
      <c r="V191" s="858"/>
      <c r="W191" s="858"/>
      <c r="X191" s="858"/>
      <c r="Y191" s="858"/>
      <c r="Z191" s="858"/>
      <c r="AA191" s="858"/>
      <c r="AB191" s="858"/>
      <c r="AC191" s="858"/>
      <c r="AD191" s="858"/>
      <c r="AE191" s="858"/>
      <c r="AF191" s="858"/>
      <c r="AG191" s="858"/>
      <c r="AH191" s="858"/>
      <c r="AI191" s="858"/>
      <c r="AJ191" s="858"/>
      <c r="AK191" s="858"/>
      <c r="AL191" s="858"/>
      <c r="AM191" s="858"/>
      <c r="AN191" s="858"/>
      <c r="AO191" s="858"/>
      <c r="AP191" s="858"/>
      <c r="AQ191" s="858"/>
      <c r="AR191" s="858"/>
      <c r="AS191" s="858"/>
      <c r="AT191" s="858"/>
      <c r="AU191" s="858"/>
      <c r="AV191" s="858"/>
      <c r="AW191" s="858"/>
      <c r="AX191" s="858"/>
      <c r="AY191" s="858"/>
      <c r="AZ191" s="858"/>
      <c r="BA191" s="858"/>
      <c r="BB191" s="858"/>
      <c r="BC191" s="858"/>
      <c r="BD191" s="858"/>
      <c r="BE191" s="858"/>
      <c r="BF191" s="858"/>
      <c r="BG191" s="858"/>
      <c r="BH191" s="858"/>
      <c r="BI191" s="858"/>
      <c r="BJ191" s="858"/>
      <c r="BK191" s="858"/>
      <c r="BL191" s="858"/>
      <c r="BM191" s="858"/>
      <c r="BN191" s="858"/>
      <c r="BO191" s="858"/>
      <c r="BP191" s="858"/>
      <c r="BQ191" s="858"/>
      <c r="BR191" s="858"/>
      <c r="BS191" s="858"/>
      <c r="BT191" s="858"/>
      <c r="BU191" s="858"/>
      <c r="BV191" s="858"/>
      <c r="BW191" s="858"/>
      <c r="BX191" s="858"/>
      <c r="BY191" s="858"/>
      <c r="BZ191" s="858"/>
      <c r="CA191" s="858"/>
      <c r="CB191" s="858"/>
      <c r="CC191" s="858"/>
      <c r="CD191" s="858"/>
      <c r="CE191" s="858"/>
      <c r="CF191" s="858"/>
      <c r="CG191" s="858"/>
      <c r="CH191" s="858"/>
      <c r="CI191" s="858"/>
      <c r="CJ191" s="858"/>
      <c r="CK191" s="858"/>
      <c r="CL191" s="858"/>
      <c r="CM191" s="858"/>
      <c r="CN191" s="858"/>
      <c r="CO191" s="858"/>
      <c r="CP191" s="858"/>
      <c r="CQ191" s="858"/>
      <c r="CR191" s="858"/>
      <c r="CS191" s="858"/>
      <c r="CT191" s="858"/>
      <c r="CU191" s="858"/>
      <c r="CV191" s="858"/>
      <c r="CW191" s="858"/>
      <c r="CX191" s="858"/>
      <c r="CY191" s="858"/>
      <c r="CZ191" s="858"/>
      <c r="DA191" s="858"/>
      <c r="DB191" s="858"/>
      <c r="DC191" s="858"/>
      <c r="DD191" s="858"/>
      <c r="DE191" s="858"/>
      <c r="DF191" s="858"/>
      <c r="DG191" s="858"/>
      <c r="DH191" s="858"/>
      <c r="DI191" s="858"/>
      <c r="DJ191" s="858"/>
      <c r="DK191" s="858"/>
      <c r="DL191" s="858"/>
      <c r="DM191" s="858"/>
      <c r="DN191" s="858"/>
      <c r="DO191" s="858"/>
      <c r="DP191" s="858"/>
      <c r="DQ191" s="858"/>
      <c r="DR191" s="858"/>
      <c r="DS191" s="858"/>
      <c r="DT191" s="858"/>
      <c r="DU191" s="858"/>
      <c r="DV191" s="858"/>
      <c r="DW191" s="858"/>
      <c r="DX191" s="858"/>
      <c r="DY191" s="858"/>
      <c r="DZ191" s="858"/>
      <c r="EA191" s="858"/>
      <c r="EB191" s="858"/>
      <c r="EC191" s="858"/>
      <c r="ED191" s="858"/>
      <c r="EE191" s="858"/>
      <c r="EF191" s="858"/>
      <c r="EG191" s="858"/>
      <c r="EH191" s="858"/>
      <c r="EI191" s="858"/>
      <c r="EJ191" s="858"/>
      <c r="EK191" s="858"/>
      <c r="EL191" s="858"/>
      <c r="EM191" s="858"/>
      <c r="EN191" s="858"/>
      <c r="EO191" s="858"/>
      <c r="EP191" s="858"/>
      <c r="EQ191" s="858"/>
      <c r="ER191" s="858"/>
      <c r="ES191" s="858"/>
      <c r="ET191" s="858"/>
      <c r="EU191" s="858"/>
      <c r="EV191" s="858"/>
      <c r="EW191" s="858"/>
      <c r="EX191" s="858"/>
      <c r="EY191" s="858"/>
      <c r="EZ191" s="858"/>
      <c r="FA191" s="858"/>
      <c r="FB191" s="858"/>
      <c r="FC191" s="858"/>
      <c r="FD191" s="858"/>
      <c r="FE191" s="858"/>
      <c r="FF191" s="858"/>
      <c r="FG191" s="858"/>
      <c r="FH191" s="858"/>
      <c r="FI191" s="858"/>
      <c r="FJ191" s="858"/>
      <c r="FK191" s="858"/>
      <c r="FL191" s="858"/>
      <c r="FM191" s="858"/>
      <c r="FN191" s="858"/>
      <c r="FO191" s="858"/>
      <c r="FP191" s="858"/>
      <c r="FQ191" s="858"/>
      <c r="FR191" s="858"/>
      <c r="FS191" s="858"/>
      <c r="FT191" s="858"/>
      <c r="FU191" s="858"/>
      <c r="FV191" s="858"/>
      <c r="FW191" s="858"/>
      <c r="FX191" s="858"/>
      <c r="FY191" s="858"/>
      <c r="FZ191" s="858"/>
      <c r="GA191" s="858"/>
      <c r="GB191" s="858"/>
      <c r="GC191" s="858"/>
      <c r="GD191" s="858"/>
      <c r="GE191" s="858"/>
      <c r="GF191" s="858"/>
      <c r="GG191" s="858"/>
      <c r="GH191" s="858"/>
      <c r="GI191" s="858"/>
      <c r="GJ191" s="858"/>
      <c r="GK191" s="858"/>
      <c r="GL191" s="858"/>
      <c r="GM191" s="858"/>
      <c r="GN191" s="858"/>
      <c r="GO191" s="858"/>
      <c r="GP191" s="858"/>
      <c r="GQ191" s="858"/>
      <c r="GR191" s="858"/>
      <c r="GS191" s="858"/>
      <c r="GT191" s="858"/>
      <c r="GU191" s="858"/>
      <c r="GV191" s="858"/>
      <c r="GW191" s="858"/>
      <c r="GX191" s="858"/>
      <c r="GY191" s="858"/>
      <c r="GZ191" s="858"/>
      <c r="HA191" s="858"/>
      <c r="HB191" s="858"/>
      <c r="HC191" s="858"/>
      <c r="HD191" s="858"/>
      <c r="HE191" s="858"/>
      <c r="HF191" s="858"/>
      <c r="HG191" s="858"/>
      <c r="HH191" s="858"/>
      <c r="HI191" s="858"/>
      <c r="HJ191" s="858"/>
      <c r="HK191" s="858"/>
      <c r="HL191" s="858"/>
      <c r="HM191" s="858"/>
      <c r="HN191" s="858"/>
      <c r="HO191" s="858"/>
      <c r="HP191" s="858"/>
      <c r="HQ191" s="858"/>
      <c r="HR191" s="858"/>
      <c r="HS191" s="858"/>
      <c r="HT191" s="858"/>
      <c r="HU191" s="858"/>
      <c r="HV191" s="858"/>
      <c r="HW191" s="858"/>
      <c r="HX191" s="858"/>
      <c r="HY191" s="858"/>
      <c r="HZ191" s="858"/>
      <c r="IA191" s="858"/>
      <c r="IB191" s="858"/>
      <c r="IC191" s="858"/>
      <c r="ID191" s="858"/>
      <c r="IE191" s="858"/>
      <c r="IF191" s="858"/>
      <c r="IG191" s="858"/>
      <c r="IH191" s="858"/>
      <c r="II191" s="858"/>
      <c r="IJ191" s="858"/>
      <c r="IK191" s="858"/>
      <c r="IL191" s="858"/>
      <c r="IM191" s="858"/>
      <c r="IN191" s="858"/>
    </row>
    <row r="192" spans="1:248">
      <c r="A192" s="564" t="s">
        <v>18</v>
      </c>
      <c r="B192" s="566">
        <v>1393.1</v>
      </c>
      <c r="C192" s="859">
        <v>23.028349450367795</v>
      </c>
      <c r="D192" s="567">
        <v>976.5</v>
      </c>
      <c r="E192" s="859">
        <v>16.141829903297793</v>
      </c>
      <c r="F192" s="859">
        <v>416.59999999999991</v>
      </c>
      <c r="G192" s="859">
        <f t="shared" si="28"/>
        <v>7.161890353968607</v>
      </c>
      <c r="H192" s="313">
        <v>5816.9</v>
      </c>
      <c r="I192" s="858"/>
      <c r="J192" s="858"/>
      <c r="K192" s="858"/>
      <c r="L192" s="858"/>
      <c r="M192" s="858"/>
      <c r="N192" s="858"/>
      <c r="O192" s="858"/>
      <c r="P192" s="858"/>
      <c r="Q192" s="858"/>
      <c r="R192" s="858"/>
      <c r="S192" s="858"/>
      <c r="T192" s="858"/>
      <c r="U192" s="858"/>
      <c r="V192" s="858"/>
      <c r="W192" s="858"/>
      <c r="X192" s="858"/>
      <c r="Y192" s="858"/>
      <c r="Z192" s="858"/>
      <c r="AA192" s="858"/>
      <c r="AB192" s="858"/>
      <c r="AC192" s="858"/>
      <c r="AD192" s="858"/>
      <c r="AE192" s="858"/>
      <c r="AF192" s="858"/>
      <c r="AG192" s="858"/>
      <c r="AH192" s="858"/>
      <c r="AI192" s="858"/>
      <c r="AJ192" s="858"/>
      <c r="AK192" s="858"/>
      <c r="AL192" s="858"/>
      <c r="AM192" s="858"/>
      <c r="AN192" s="858"/>
      <c r="AO192" s="858"/>
      <c r="AP192" s="858"/>
      <c r="AQ192" s="858"/>
      <c r="AR192" s="858"/>
      <c r="AS192" s="858"/>
      <c r="AT192" s="858"/>
      <c r="AU192" s="858"/>
      <c r="AV192" s="858"/>
      <c r="AW192" s="858"/>
      <c r="AX192" s="858"/>
      <c r="AY192" s="858"/>
      <c r="AZ192" s="858"/>
      <c r="BA192" s="858"/>
      <c r="BB192" s="858"/>
      <c r="BC192" s="858"/>
      <c r="BD192" s="858"/>
      <c r="BE192" s="858"/>
      <c r="BF192" s="858"/>
      <c r="BG192" s="858"/>
      <c r="BH192" s="858"/>
      <c r="BI192" s="858"/>
      <c r="BJ192" s="858"/>
      <c r="BK192" s="858"/>
      <c r="BL192" s="858"/>
      <c r="BM192" s="858"/>
      <c r="BN192" s="858"/>
      <c r="BO192" s="858"/>
      <c r="BP192" s="858"/>
      <c r="BQ192" s="858"/>
      <c r="BR192" s="858"/>
      <c r="BS192" s="858"/>
      <c r="BT192" s="858"/>
      <c r="BU192" s="858"/>
      <c r="BV192" s="858"/>
      <c r="BW192" s="858"/>
      <c r="BX192" s="858"/>
      <c r="BY192" s="858"/>
      <c r="BZ192" s="858"/>
      <c r="CA192" s="858"/>
      <c r="CB192" s="858"/>
      <c r="CC192" s="858"/>
      <c r="CD192" s="858"/>
      <c r="CE192" s="858"/>
      <c r="CF192" s="858"/>
      <c r="CG192" s="858"/>
      <c r="CH192" s="858"/>
      <c r="CI192" s="858"/>
      <c r="CJ192" s="858"/>
      <c r="CK192" s="858"/>
      <c r="CL192" s="858"/>
      <c r="CM192" s="858"/>
      <c r="CN192" s="858"/>
      <c r="CO192" s="858"/>
      <c r="CP192" s="858"/>
      <c r="CQ192" s="858"/>
      <c r="CR192" s="858"/>
      <c r="CS192" s="858"/>
      <c r="CT192" s="858"/>
      <c r="CU192" s="858"/>
      <c r="CV192" s="858"/>
      <c r="CW192" s="858"/>
      <c r="CX192" s="858"/>
      <c r="CY192" s="858"/>
      <c r="CZ192" s="858"/>
      <c r="DA192" s="858"/>
      <c r="DB192" s="858"/>
      <c r="DC192" s="858"/>
      <c r="DD192" s="858"/>
      <c r="DE192" s="858"/>
      <c r="DF192" s="858"/>
      <c r="DG192" s="858"/>
      <c r="DH192" s="858"/>
      <c r="DI192" s="858"/>
      <c r="DJ192" s="858"/>
      <c r="DK192" s="858"/>
      <c r="DL192" s="858"/>
      <c r="DM192" s="858"/>
      <c r="DN192" s="858"/>
      <c r="DO192" s="858"/>
      <c r="DP192" s="858"/>
      <c r="DQ192" s="858"/>
      <c r="DR192" s="858"/>
      <c r="DS192" s="858"/>
      <c r="DT192" s="858"/>
      <c r="DU192" s="858"/>
      <c r="DV192" s="858"/>
      <c r="DW192" s="858"/>
      <c r="DX192" s="858"/>
      <c r="DY192" s="858"/>
      <c r="DZ192" s="858"/>
      <c r="EA192" s="858"/>
      <c r="EB192" s="858"/>
      <c r="EC192" s="858"/>
      <c r="ED192" s="858"/>
      <c r="EE192" s="858"/>
      <c r="EF192" s="858"/>
      <c r="EG192" s="858"/>
      <c r="EH192" s="858"/>
      <c r="EI192" s="858"/>
      <c r="EJ192" s="858"/>
      <c r="EK192" s="858"/>
      <c r="EL192" s="858"/>
      <c r="EM192" s="858"/>
      <c r="EN192" s="858"/>
      <c r="EO192" s="858"/>
      <c r="EP192" s="858"/>
      <c r="EQ192" s="858"/>
      <c r="ER192" s="858"/>
      <c r="ES192" s="858"/>
      <c r="ET192" s="858"/>
      <c r="EU192" s="858"/>
      <c r="EV192" s="858"/>
      <c r="EW192" s="858"/>
      <c r="EX192" s="858"/>
      <c r="EY192" s="858"/>
      <c r="EZ192" s="858"/>
      <c r="FA192" s="858"/>
      <c r="FB192" s="858"/>
      <c r="FC192" s="858"/>
      <c r="FD192" s="858"/>
      <c r="FE192" s="858"/>
      <c r="FF192" s="858"/>
      <c r="FG192" s="858"/>
      <c r="FH192" s="858"/>
      <c r="FI192" s="858"/>
      <c r="FJ192" s="858"/>
      <c r="FK192" s="858"/>
      <c r="FL192" s="858"/>
      <c r="FM192" s="858"/>
      <c r="FN192" s="858"/>
      <c r="FO192" s="858"/>
      <c r="FP192" s="858"/>
      <c r="FQ192" s="858"/>
      <c r="FR192" s="858"/>
      <c r="FS192" s="858"/>
      <c r="FT192" s="858"/>
      <c r="FU192" s="858"/>
      <c r="FV192" s="858"/>
      <c r="FW192" s="858"/>
      <c r="FX192" s="858"/>
      <c r="FY192" s="858"/>
      <c r="FZ192" s="858"/>
      <c r="GA192" s="858"/>
      <c r="GB192" s="858"/>
      <c r="GC192" s="858"/>
      <c r="GD192" s="858"/>
      <c r="GE192" s="858"/>
      <c r="GF192" s="858"/>
      <c r="GG192" s="858"/>
      <c r="GH192" s="858"/>
      <c r="GI192" s="858"/>
      <c r="GJ192" s="858"/>
      <c r="GK192" s="858"/>
      <c r="GL192" s="858"/>
      <c r="GM192" s="858"/>
      <c r="GN192" s="858"/>
      <c r="GO192" s="858"/>
      <c r="GP192" s="858"/>
      <c r="GQ192" s="858"/>
      <c r="GR192" s="858"/>
      <c r="GS192" s="858"/>
      <c r="GT192" s="858"/>
      <c r="GU192" s="858"/>
      <c r="GV192" s="858"/>
      <c r="GW192" s="858"/>
      <c r="GX192" s="858"/>
      <c r="GY192" s="858"/>
      <c r="GZ192" s="858"/>
      <c r="HA192" s="858"/>
      <c r="HB192" s="858"/>
      <c r="HC192" s="858"/>
      <c r="HD192" s="858"/>
      <c r="HE192" s="858"/>
      <c r="HF192" s="858"/>
      <c r="HG192" s="858"/>
      <c r="HH192" s="858"/>
      <c r="HI192" s="858"/>
      <c r="HJ192" s="858"/>
      <c r="HK192" s="858"/>
      <c r="HL192" s="858"/>
      <c r="HM192" s="858"/>
      <c r="HN192" s="858"/>
      <c r="HO192" s="858"/>
      <c r="HP192" s="858"/>
      <c r="HQ192" s="858"/>
      <c r="HR192" s="858"/>
      <c r="HS192" s="858"/>
      <c r="HT192" s="858"/>
      <c r="HU192" s="858"/>
      <c r="HV192" s="858"/>
      <c r="HW192" s="858"/>
      <c r="HX192" s="858"/>
      <c r="HY192" s="858"/>
      <c r="HZ192" s="858"/>
      <c r="IA192" s="858"/>
      <c r="IB192" s="858"/>
      <c r="IC192" s="858"/>
      <c r="ID192" s="858"/>
      <c r="IE192" s="858"/>
      <c r="IF192" s="858"/>
      <c r="IG192" s="858"/>
      <c r="IH192" s="858"/>
      <c r="II192" s="858"/>
      <c r="IJ192" s="858"/>
      <c r="IK192" s="858"/>
      <c r="IL192" s="858"/>
      <c r="IM192" s="858"/>
      <c r="IN192" s="858"/>
    </row>
    <row r="193" spans="1:248">
      <c r="A193" s="564" t="s">
        <v>19</v>
      </c>
      <c r="B193" s="566">
        <v>2609.5</v>
      </c>
      <c r="C193" s="859">
        <v>22.609712775635749</v>
      </c>
      <c r="D193" s="567">
        <v>2469.6</v>
      </c>
      <c r="E193" s="859">
        <v>21.397565307802278</v>
      </c>
      <c r="F193" s="859">
        <v>139.90000000000009</v>
      </c>
      <c r="G193" s="859">
        <f t="shared" si="28"/>
        <v>1.2368162810640695</v>
      </c>
      <c r="H193" s="313">
        <v>11311.3</v>
      </c>
      <c r="I193" s="858"/>
      <c r="J193" s="858"/>
      <c r="K193" s="858"/>
      <c r="L193" s="858"/>
      <c r="M193" s="858"/>
      <c r="N193" s="858"/>
      <c r="O193" s="858"/>
      <c r="P193" s="858"/>
      <c r="Q193" s="858"/>
      <c r="R193" s="858"/>
      <c r="S193" s="858"/>
      <c r="T193" s="858"/>
      <c r="U193" s="858"/>
      <c r="V193" s="858"/>
      <c r="W193" s="858"/>
      <c r="X193" s="858"/>
      <c r="Y193" s="858"/>
      <c r="Z193" s="858"/>
      <c r="AA193" s="858"/>
      <c r="AB193" s="858"/>
      <c r="AC193" s="858"/>
      <c r="AD193" s="858"/>
      <c r="AE193" s="858"/>
      <c r="AF193" s="858"/>
      <c r="AG193" s="858"/>
      <c r="AH193" s="858"/>
      <c r="AI193" s="858"/>
      <c r="AJ193" s="858"/>
      <c r="AK193" s="858"/>
      <c r="AL193" s="858"/>
      <c r="AM193" s="858"/>
      <c r="AN193" s="858"/>
      <c r="AO193" s="858"/>
      <c r="AP193" s="858"/>
      <c r="AQ193" s="858"/>
      <c r="AR193" s="858"/>
      <c r="AS193" s="858"/>
      <c r="AT193" s="858"/>
      <c r="AU193" s="858"/>
      <c r="AV193" s="858"/>
      <c r="AW193" s="858"/>
      <c r="AX193" s="858"/>
      <c r="AY193" s="858"/>
      <c r="AZ193" s="858"/>
      <c r="BA193" s="858"/>
      <c r="BB193" s="858"/>
      <c r="BC193" s="858"/>
      <c r="BD193" s="858"/>
      <c r="BE193" s="858"/>
      <c r="BF193" s="858"/>
      <c r="BG193" s="858"/>
      <c r="BH193" s="858"/>
      <c r="BI193" s="858"/>
      <c r="BJ193" s="858"/>
      <c r="BK193" s="858"/>
      <c r="BL193" s="858"/>
      <c r="BM193" s="858"/>
      <c r="BN193" s="858"/>
      <c r="BO193" s="858"/>
      <c r="BP193" s="858"/>
      <c r="BQ193" s="858"/>
      <c r="BR193" s="858"/>
      <c r="BS193" s="858"/>
      <c r="BT193" s="858"/>
      <c r="BU193" s="858"/>
      <c r="BV193" s="858"/>
      <c r="BW193" s="858"/>
      <c r="BX193" s="858"/>
      <c r="BY193" s="858"/>
      <c r="BZ193" s="858"/>
      <c r="CA193" s="858"/>
      <c r="CB193" s="858"/>
      <c r="CC193" s="858"/>
      <c r="CD193" s="858"/>
      <c r="CE193" s="858"/>
      <c r="CF193" s="858"/>
      <c r="CG193" s="858"/>
      <c r="CH193" s="858"/>
      <c r="CI193" s="858"/>
      <c r="CJ193" s="858"/>
      <c r="CK193" s="858"/>
      <c r="CL193" s="858"/>
      <c r="CM193" s="858"/>
      <c r="CN193" s="858"/>
      <c r="CO193" s="858"/>
      <c r="CP193" s="858"/>
      <c r="CQ193" s="858"/>
      <c r="CR193" s="858"/>
      <c r="CS193" s="858"/>
      <c r="CT193" s="858"/>
      <c r="CU193" s="858"/>
      <c r="CV193" s="858"/>
      <c r="CW193" s="858"/>
      <c r="CX193" s="858"/>
      <c r="CY193" s="858"/>
      <c r="CZ193" s="858"/>
      <c r="DA193" s="858"/>
      <c r="DB193" s="858"/>
      <c r="DC193" s="858"/>
      <c r="DD193" s="858"/>
      <c r="DE193" s="858"/>
      <c r="DF193" s="858"/>
      <c r="DG193" s="858"/>
      <c r="DH193" s="858"/>
      <c r="DI193" s="858"/>
      <c r="DJ193" s="858"/>
      <c r="DK193" s="858"/>
      <c r="DL193" s="858"/>
      <c r="DM193" s="858"/>
      <c r="DN193" s="858"/>
      <c r="DO193" s="858"/>
      <c r="DP193" s="858"/>
      <c r="DQ193" s="858"/>
      <c r="DR193" s="858"/>
      <c r="DS193" s="858"/>
      <c r="DT193" s="858"/>
      <c r="DU193" s="858"/>
      <c r="DV193" s="858"/>
      <c r="DW193" s="858"/>
      <c r="DX193" s="858"/>
      <c r="DY193" s="858"/>
      <c r="DZ193" s="858"/>
      <c r="EA193" s="858"/>
      <c r="EB193" s="858"/>
      <c r="EC193" s="858"/>
      <c r="ED193" s="858"/>
      <c r="EE193" s="858"/>
      <c r="EF193" s="858"/>
      <c r="EG193" s="858"/>
      <c r="EH193" s="858"/>
      <c r="EI193" s="858"/>
      <c r="EJ193" s="858"/>
      <c r="EK193" s="858"/>
      <c r="EL193" s="858"/>
      <c r="EM193" s="858"/>
      <c r="EN193" s="858"/>
      <c r="EO193" s="858"/>
      <c r="EP193" s="858"/>
      <c r="EQ193" s="858"/>
      <c r="ER193" s="858"/>
      <c r="ES193" s="858"/>
      <c r="ET193" s="858"/>
      <c r="EU193" s="858"/>
      <c r="EV193" s="858"/>
      <c r="EW193" s="858"/>
      <c r="EX193" s="858"/>
      <c r="EY193" s="858"/>
      <c r="EZ193" s="858"/>
      <c r="FA193" s="858"/>
      <c r="FB193" s="858"/>
      <c r="FC193" s="858"/>
      <c r="FD193" s="858"/>
      <c r="FE193" s="858"/>
      <c r="FF193" s="858"/>
      <c r="FG193" s="858"/>
      <c r="FH193" s="858"/>
      <c r="FI193" s="858"/>
      <c r="FJ193" s="858"/>
      <c r="FK193" s="858"/>
      <c r="FL193" s="858"/>
      <c r="FM193" s="858"/>
      <c r="FN193" s="858"/>
      <c r="FO193" s="858"/>
      <c r="FP193" s="858"/>
      <c r="FQ193" s="858"/>
      <c r="FR193" s="858"/>
      <c r="FS193" s="858"/>
      <c r="FT193" s="858"/>
      <c r="FU193" s="858"/>
      <c r="FV193" s="858"/>
      <c r="FW193" s="858"/>
      <c r="FX193" s="858"/>
      <c r="FY193" s="858"/>
      <c r="FZ193" s="858"/>
      <c r="GA193" s="858"/>
      <c r="GB193" s="858"/>
      <c r="GC193" s="858"/>
      <c r="GD193" s="858"/>
      <c r="GE193" s="858"/>
      <c r="GF193" s="858"/>
      <c r="GG193" s="858"/>
      <c r="GH193" s="858"/>
      <c r="GI193" s="858"/>
      <c r="GJ193" s="858"/>
      <c r="GK193" s="858"/>
      <c r="GL193" s="858"/>
      <c r="GM193" s="858"/>
      <c r="GN193" s="858"/>
      <c r="GO193" s="858"/>
      <c r="GP193" s="858"/>
      <c r="GQ193" s="858"/>
      <c r="GR193" s="858"/>
      <c r="GS193" s="858"/>
      <c r="GT193" s="858"/>
      <c r="GU193" s="858"/>
      <c r="GV193" s="858"/>
      <c r="GW193" s="858"/>
      <c r="GX193" s="858"/>
      <c r="GY193" s="858"/>
      <c r="GZ193" s="858"/>
      <c r="HA193" s="858"/>
      <c r="HB193" s="858"/>
      <c r="HC193" s="858"/>
      <c r="HD193" s="858"/>
      <c r="HE193" s="858"/>
      <c r="HF193" s="858"/>
      <c r="HG193" s="858"/>
      <c r="HH193" s="858"/>
      <c r="HI193" s="858"/>
      <c r="HJ193" s="858"/>
      <c r="HK193" s="858"/>
      <c r="HL193" s="858"/>
      <c r="HM193" s="858"/>
      <c r="HN193" s="858"/>
      <c r="HO193" s="858"/>
      <c r="HP193" s="858"/>
      <c r="HQ193" s="858"/>
      <c r="HR193" s="858"/>
      <c r="HS193" s="858"/>
      <c r="HT193" s="858"/>
      <c r="HU193" s="858"/>
      <c r="HV193" s="858"/>
      <c r="HW193" s="858"/>
      <c r="HX193" s="858"/>
      <c r="HY193" s="858"/>
      <c r="HZ193" s="858"/>
      <c r="IA193" s="858"/>
      <c r="IB193" s="858"/>
      <c r="IC193" s="858"/>
      <c r="ID193" s="858"/>
      <c r="IE193" s="858"/>
      <c r="IF193" s="858"/>
      <c r="IG193" s="858"/>
      <c r="IH193" s="858"/>
      <c r="II193" s="858"/>
      <c r="IJ193" s="858"/>
      <c r="IK193" s="858"/>
      <c r="IL193" s="858"/>
      <c r="IM193" s="858"/>
      <c r="IN193" s="858"/>
    </row>
    <row r="194" spans="1:248">
      <c r="A194" s="564" t="s">
        <v>20</v>
      </c>
      <c r="B194" s="566">
        <v>4563</v>
      </c>
      <c r="C194" s="859">
        <v>26.552071271042944</v>
      </c>
      <c r="D194" s="567">
        <v>4408</v>
      </c>
      <c r="E194" s="859">
        <v>25.650127145026797</v>
      </c>
      <c r="F194" s="859">
        <v>155</v>
      </c>
      <c r="G194" s="859">
        <f t="shared" si="28"/>
        <v>0.87798799139005324</v>
      </c>
      <c r="H194" s="313">
        <v>17654</v>
      </c>
      <c r="I194" s="858"/>
      <c r="J194" s="858"/>
      <c r="K194" s="858"/>
      <c r="L194" s="858"/>
      <c r="M194" s="858"/>
      <c r="N194" s="858"/>
      <c r="O194" s="858"/>
      <c r="P194" s="858"/>
      <c r="Q194" s="858"/>
      <c r="R194" s="858"/>
      <c r="S194" s="858"/>
      <c r="T194" s="858"/>
      <c r="U194" s="858"/>
      <c r="V194" s="858"/>
      <c r="W194" s="858"/>
      <c r="X194" s="858"/>
      <c r="Y194" s="858"/>
      <c r="Z194" s="858"/>
      <c r="AA194" s="858"/>
      <c r="AB194" s="858"/>
      <c r="AC194" s="858"/>
      <c r="AD194" s="858"/>
      <c r="AE194" s="858"/>
      <c r="AF194" s="858"/>
      <c r="AG194" s="858"/>
      <c r="AH194" s="858"/>
      <c r="AI194" s="858"/>
      <c r="AJ194" s="858"/>
      <c r="AK194" s="858"/>
      <c r="AL194" s="858"/>
      <c r="AM194" s="858"/>
      <c r="AN194" s="858"/>
      <c r="AO194" s="858"/>
      <c r="AP194" s="858"/>
      <c r="AQ194" s="858"/>
      <c r="AR194" s="858"/>
      <c r="AS194" s="858"/>
      <c r="AT194" s="858"/>
      <c r="AU194" s="858"/>
      <c r="AV194" s="858"/>
      <c r="AW194" s="858"/>
      <c r="AX194" s="858"/>
      <c r="AY194" s="858"/>
      <c r="AZ194" s="858"/>
      <c r="BA194" s="858"/>
      <c r="BB194" s="858"/>
      <c r="BC194" s="858"/>
      <c r="BD194" s="858"/>
      <c r="BE194" s="858"/>
      <c r="BF194" s="858"/>
      <c r="BG194" s="858"/>
      <c r="BH194" s="858"/>
      <c r="BI194" s="858"/>
      <c r="BJ194" s="858"/>
      <c r="BK194" s="858"/>
      <c r="BL194" s="858"/>
      <c r="BM194" s="858"/>
      <c r="BN194" s="858"/>
      <c r="BO194" s="858"/>
      <c r="BP194" s="858"/>
      <c r="BQ194" s="858"/>
      <c r="BR194" s="858"/>
      <c r="BS194" s="858"/>
      <c r="BT194" s="858"/>
      <c r="BU194" s="858"/>
      <c r="BV194" s="858"/>
      <c r="BW194" s="858"/>
      <c r="BX194" s="858"/>
      <c r="BY194" s="858"/>
      <c r="BZ194" s="858"/>
      <c r="CA194" s="858"/>
      <c r="CB194" s="858"/>
      <c r="CC194" s="858"/>
      <c r="CD194" s="858"/>
      <c r="CE194" s="858"/>
      <c r="CF194" s="858"/>
      <c r="CG194" s="858"/>
      <c r="CH194" s="858"/>
      <c r="CI194" s="858"/>
      <c r="CJ194" s="858"/>
      <c r="CK194" s="858"/>
      <c r="CL194" s="858"/>
      <c r="CM194" s="858"/>
      <c r="CN194" s="858"/>
      <c r="CO194" s="858"/>
      <c r="CP194" s="858"/>
      <c r="CQ194" s="858"/>
      <c r="CR194" s="858"/>
      <c r="CS194" s="858"/>
      <c r="CT194" s="858"/>
      <c r="CU194" s="858"/>
      <c r="CV194" s="858"/>
      <c r="CW194" s="858"/>
      <c r="CX194" s="858"/>
      <c r="CY194" s="858"/>
      <c r="CZ194" s="858"/>
      <c r="DA194" s="858"/>
      <c r="DB194" s="858"/>
      <c r="DC194" s="858"/>
      <c r="DD194" s="858"/>
      <c r="DE194" s="858"/>
      <c r="DF194" s="858"/>
      <c r="DG194" s="858"/>
      <c r="DH194" s="858"/>
      <c r="DI194" s="858"/>
      <c r="DJ194" s="858"/>
      <c r="DK194" s="858"/>
      <c r="DL194" s="858"/>
      <c r="DM194" s="858"/>
      <c r="DN194" s="858"/>
      <c r="DO194" s="858"/>
      <c r="DP194" s="858"/>
      <c r="DQ194" s="858"/>
      <c r="DR194" s="858"/>
      <c r="DS194" s="858"/>
      <c r="DT194" s="858"/>
      <c r="DU194" s="858"/>
      <c r="DV194" s="858"/>
      <c r="DW194" s="858"/>
      <c r="DX194" s="858"/>
      <c r="DY194" s="858"/>
      <c r="DZ194" s="858"/>
      <c r="EA194" s="858"/>
      <c r="EB194" s="858"/>
      <c r="EC194" s="858"/>
      <c r="ED194" s="858"/>
      <c r="EE194" s="858"/>
      <c r="EF194" s="858"/>
      <c r="EG194" s="858"/>
      <c r="EH194" s="858"/>
      <c r="EI194" s="858"/>
      <c r="EJ194" s="858"/>
      <c r="EK194" s="858"/>
      <c r="EL194" s="858"/>
      <c r="EM194" s="858"/>
      <c r="EN194" s="858"/>
      <c r="EO194" s="858"/>
      <c r="EP194" s="858"/>
      <c r="EQ194" s="858"/>
      <c r="ER194" s="858"/>
      <c r="ES194" s="858"/>
      <c r="ET194" s="858"/>
      <c r="EU194" s="858"/>
      <c r="EV194" s="858"/>
      <c r="EW194" s="858"/>
      <c r="EX194" s="858"/>
      <c r="EY194" s="858"/>
      <c r="EZ194" s="858"/>
      <c r="FA194" s="858"/>
      <c r="FB194" s="858"/>
      <c r="FC194" s="858"/>
      <c r="FD194" s="858"/>
      <c r="FE194" s="858"/>
      <c r="FF194" s="858"/>
      <c r="FG194" s="858"/>
      <c r="FH194" s="858"/>
      <c r="FI194" s="858"/>
      <c r="FJ194" s="858"/>
      <c r="FK194" s="858"/>
      <c r="FL194" s="858"/>
      <c r="FM194" s="858"/>
      <c r="FN194" s="858"/>
      <c r="FO194" s="858"/>
      <c r="FP194" s="858"/>
      <c r="FQ194" s="858"/>
      <c r="FR194" s="858"/>
      <c r="FS194" s="858"/>
      <c r="FT194" s="858"/>
      <c r="FU194" s="858"/>
      <c r="FV194" s="858"/>
      <c r="FW194" s="858"/>
      <c r="FX194" s="858"/>
      <c r="FY194" s="858"/>
      <c r="FZ194" s="858"/>
      <c r="GA194" s="858"/>
      <c r="GB194" s="858"/>
      <c r="GC194" s="858"/>
      <c r="GD194" s="858"/>
      <c r="GE194" s="858"/>
      <c r="GF194" s="858"/>
      <c r="GG194" s="858"/>
      <c r="GH194" s="858"/>
      <c r="GI194" s="858"/>
      <c r="GJ194" s="858"/>
      <c r="GK194" s="858"/>
      <c r="GL194" s="858"/>
      <c r="GM194" s="858"/>
      <c r="GN194" s="858"/>
      <c r="GO194" s="858"/>
      <c r="GP194" s="858"/>
      <c r="GQ194" s="858"/>
      <c r="GR194" s="858"/>
      <c r="GS194" s="858"/>
      <c r="GT194" s="858"/>
      <c r="GU194" s="858"/>
      <c r="GV194" s="858"/>
      <c r="GW194" s="858"/>
      <c r="GX194" s="858"/>
      <c r="GY194" s="858"/>
      <c r="GZ194" s="858"/>
      <c r="HA194" s="858"/>
      <c r="HB194" s="858"/>
      <c r="HC194" s="858"/>
      <c r="HD194" s="858"/>
      <c r="HE194" s="858"/>
      <c r="HF194" s="858"/>
      <c r="HG194" s="858"/>
      <c r="HH194" s="858"/>
      <c r="HI194" s="858"/>
      <c r="HJ194" s="858"/>
      <c r="HK194" s="858"/>
      <c r="HL194" s="858"/>
      <c r="HM194" s="858"/>
      <c r="HN194" s="858"/>
      <c r="HO194" s="858"/>
      <c r="HP194" s="858"/>
      <c r="HQ194" s="858"/>
      <c r="HR194" s="858"/>
      <c r="HS194" s="858"/>
      <c r="HT194" s="858"/>
      <c r="HU194" s="858"/>
      <c r="HV194" s="858"/>
      <c r="HW194" s="858"/>
      <c r="HX194" s="858"/>
      <c r="HY194" s="858"/>
      <c r="HZ194" s="858"/>
      <c r="IA194" s="858"/>
      <c r="IB194" s="858"/>
      <c r="IC194" s="858"/>
      <c r="ID194" s="858"/>
      <c r="IE194" s="858"/>
      <c r="IF194" s="858"/>
      <c r="IG194" s="858"/>
      <c r="IH194" s="858"/>
      <c r="II194" s="858"/>
      <c r="IJ194" s="858"/>
      <c r="IK194" s="858"/>
      <c r="IL194" s="858"/>
      <c r="IM194" s="858"/>
      <c r="IN194" s="858"/>
    </row>
    <row r="195" spans="1:248">
      <c r="A195" s="564" t="s">
        <v>21</v>
      </c>
      <c r="B195" s="566">
        <v>6619.9</v>
      </c>
      <c r="C195" s="859">
        <v>28.821019635160432</v>
      </c>
      <c r="D195" s="567">
        <v>5966</v>
      </c>
      <c r="E195" s="859">
        <v>25.974139056989852</v>
      </c>
      <c r="F195" s="859">
        <v>653.89999999999964</v>
      </c>
      <c r="G195" s="859">
        <f t="shared" si="28"/>
        <v>2.8327593302575416</v>
      </c>
      <c r="H195" s="313">
        <v>23083.5</v>
      </c>
      <c r="I195" s="858"/>
      <c r="J195" s="858"/>
      <c r="K195" s="858"/>
      <c r="L195" s="858"/>
      <c r="M195" s="858"/>
      <c r="N195" s="858"/>
      <c r="O195" s="858"/>
      <c r="P195" s="858"/>
      <c r="Q195" s="858"/>
      <c r="R195" s="858"/>
      <c r="S195" s="858"/>
      <c r="T195" s="858"/>
      <c r="U195" s="858"/>
      <c r="V195" s="858"/>
      <c r="W195" s="858"/>
      <c r="X195" s="858"/>
      <c r="Y195" s="858"/>
      <c r="Z195" s="858"/>
      <c r="AA195" s="858"/>
      <c r="AB195" s="858"/>
      <c r="AC195" s="858"/>
      <c r="AD195" s="858"/>
      <c r="AE195" s="858"/>
      <c r="AF195" s="858"/>
      <c r="AG195" s="858"/>
      <c r="AH195" s="858"/>
      <c r="AI195" s="858"/>
      <c r="AJ195" s="858"/>
      <c r="AK195" s="858"/>
      <c r="AL195" s="858"/>
      <c r="AM195" s="858"/>
      <c r="AN195" s="858"/>
      <c r="AO195" s="858"/>
      <c r="AP195" s="858"/>
      <c r="AQ195" s="858"/>
      <c r="AR195" s="858"/>
      <c r="AS195" s="858"/>
      <c r="AT195" s="858"/>
      <c r="AU195" s="858"/>
      <c r="AV195" s="858"/>
      <c r="AW195" s="858"/>
      <c r="AX195" s="858"/>
      <c r="AY195" s="858"/>
      <c r="AZ195" s="858"/>
      <c r="BA195" s="858"/>
      <c r="BB195" s="858"/>
      <c r="BC195" s="858"/>
      <c r="BD195" s="858"/>
      <c r="BE195" s="858"/>
      <c r="BF195" s="858"/>
      <c r="BG195" s="858"/>
      <c r="BH195" s="858"/>
      <c r="BI195" s="858"/>
      <c r="BJ195" s="858"/>
      <c r="BK195" s="858"/>
      <c r="BL195" s="858"/>
      <c r="BM195" s="858"/>
      <c r="BN195" s="858"/>
      <c r="BO195" s="858"/>
      <c r="BP195" s="858"/>
      <c r="BQ195" s="858"/>
      <c r="BR195" s="858"/>
      <c r="BS195" s="858"/>
      <c r="BT195" s="858"/>
      <c r="BU195" s="858"/>
      <c r="BV195" s="858"/>
      <c r="BW195" s="858"/>
      <c r="BX195" s="858"/>
      <c r="BY195" s="858"/>
      <c r="BZ195" s="858"/>
      <c r="CA195" s="858"/>
      <c r="CB195" s="858"/>
      <c r="CC195" s="858"/>
      <c r="CD195" s="858"/>
      <c r="CE195" s="858"/>
      <c r="CF195" s="858"/>
      <c r="CG195" s="858"/>
      <c r="CH195" s="858"/>
      <c r="CI195" s="858"/>
      <c r="CJ195" s="858"/>
      <c r="CK195" s="858"/>
      <c r="CL195" s="858"/>
      <c r="CM195" s="858"/>
      <c r="CN195" s="858"/>
      <c r="CO195" s="858"/>
      <c r="CP195" s="858"/>
      <c r="CQ195" s="858"/>
      <c r="CR195" s="858"/>
      <c r="CS195" s="858"/>
      <c r="CT195" s="858"/>
      <c r="CU195" s="858"/>
      <c r="CV195" s="858"/>
      <c r="CW195" s="858"/>
      <c r="CX195" s="858"/>
      <c r="CY195" s="858"/>
      <c r="CZ195" s="858"/>
      <c r="DA195" s="858"/>
      <c r="DB195" s="858"/>
      <c r="DC195" s="858"/>
      <c r="DD195" s="858"/>
      <c r="DE195" s="858"/>
      <c r="DF195" s="858"/>
      <c r="DG195" s="858"/>
      <c r="DH195" s="858"/>
      <c r="DI195" s="858"/>
      <c r="DJ195" s="858"/>
      <c r="DK195" s="858"/>
      <c r="DL195" s="858"/>
      <c r="DM195" s="858"/>
      <c r="DN195" s="858"/>
      <c r="DO195" s="858"/>
      <c r="DP195" s="858"/>
      <c r="DQ195" s="858"/>
      <c r="DR195" s="858"/>
      <c r="DS195" s="858"/>
      <c r="DT195" s="858"/>
      <c r="DU195" s="858"/>
      <c r="DV195" s="858"/>
      <c r="DW195" s="858"/>
      <c r="DX195" s="858"/>
      <c r="DY195" s="858"/>
      <c r="DZ195" s="858"/>
      <c r="EA195" s="858"/>
      <c r="EB195" s="858"/>
      <c r="EC195" s="858"/>
      <c r="ED195" s="858"/>
      <c r="EE195" s="858"/>
      <c r="EF195" s="858"/>
      <c r="EG195" s="858"/>
      <c r="EH195" s="858"/>
      <c r="EI195" s="858"/>
      <c r="EJ195" s="858"/>
      <c r="EK195" s="858"/>
      <c r="EL195" s="858"/>
      <c r="EM195" s="858"/>
      <c r="EN195" s="858"/>
      <c r="EO195" s="858"/>
      <c r="EP195" s="858"/>
      <c r="EQ195" s="858"/>
      <c r="ER195" s="858"/>
      <c r="ES195" s="858"/>
      <c r="ET195" s="858"/>
      <c r="EU195" s="858"/>
      <c r="EV195" s="858"/>
      <c r="EW195" s="858"/>
      <c r="EX195" s="858"/>
      <c r="EY195" s="858"/>
      <c r="EZ195" s="858"/>
      <c r="FA195" s="858"/>
      <c r="FB195" s="858"/>
      <c r="FC195" s="858"/>
      <c r="FD195" s="858"/>
      <c r="FE195" s="858"/>
      <c r="FF195" s="858"/>
      <c r="FG195" s="858"/>
      <c r="FH195" s="858"/>
      <c r="FI195" s="858"/>
      <c r="FJ195" s="858"/>
      <c r="FK195" s="858"/>
      <c r="FL195" s="858"/>
      <c r="FM195" s="858"/>
      <c r="FN195" s="858"/>
      <c r="FO195" s="858"/>
      <c r="FP195" s="858"/>
      <c r="FQ195" s="858"/>
      <c r="FR195" s="858"/>
      <c r="FS195" s="858"/>
      <c r="FT195" s="858"/>
      <c r="FU195" s="858"/>
      <c r="FV195" s="858"/>
      <c r="FW195" s="858"/>
      <c r="FX195" s="858"/>
      <c r="FY195" s="858"/>
      <c r="FZ195" s="858"/>
      <c r="GA195" s="858"/>
      <c r="GB195" s="858"/>
      <c r="GC195" s="858"/>
      <c r="GD195" s="858"/>
      <c r="GE195" s="858"/>
      <c r="GF195" s="858"/>
      <c r="GG195" s="858"/>
      <c r="GH195" s="858"/>
      <c r="GI195" s="858"/>
      <c r="GJ195" s="858"/>
      <c r="GK195" s="858"/>
      <c r="GL195" s="858"/>
      <c r="GM195" s="858"/>
      <c r="GN195" s="858"/>
      <c r="GO195" s="858"/>
      <c r="GP195" s="858"/>
      <c r="GQ195" s="858"/>
      <c r="GR195" s="858"/>
      <c r="GS195" s="858"/>
      <c r="GT195" s="858"/>
      <c r="GU195" s="858"/>
      <c r="GV195" s="858"/>
      <c r="GW195" s="858"/>
      <c r="GX195" s="858"/>
      <c r="GY195" s="858"/>
      <c r="GZ195" s="858"/>
      <c r="HA195" s="858"/>
      <c r="HB195" s="858"/>
      <c r="HC195" s="858"/>
      <c r="HD195" s="858"/>
      <c r="HE195" s="858"/>
      <c r="HF195" s="858"/>
      <c r="HG195" s="858"/>
      <c r="HH195" s="858"/>
      <c r="HI195" s="858"/>
      <c r="HJ195" s="858"/>
      <c r="HK195" s="858"/>
      <c r="HL195" s="858"/>
      <c r="HM195" s="858"/>
      <c r="HN195" s="858"/>
      <c r="HO195" s="858"/>
      <c r="HP195" s="858"/>
      <c r="HQ195" s="858"/>
      <c r="HR195" s="858"/>
      <c r="HS195" s="858"/>
      <c r="HT195" s="858"/>
      <c r="HU195" s="858"/>
      <c r="HV195" s="858"/>
      <c r="HW195" s="858"/>
      <c r="HX195" s="858"/>
      <c r="HY195" s="858"/>
      <c r="HZ195" s="858"/>
      <c r="IA195" s="858"/>
      <c r="IB195" s="858"/>
      <c r="IC195" s="858"/>
      <c r="ID195" s="858"/>
      <c r="IE195" s="858"/>
      <c r="IF195" s="858"/>
      <c r="IG195" s="858"/>
      <c r="IH195" s="858"/>
      <c r="II195" s="858"/>
      <c r="IJ195" s="858"/>
      <c r="IK195" s="858"/>
      <c r="IL195" s="858"/>
      <c r="IM195" s="858"/>
      <c r="IN195" s="858"/>
    </row>
    <row r="196" spans="1:248">
      <c r="A196" s="564" t="s">
        <v>22</v>
      </c>
      <c r="B196" s="566">
        <v>8245.2000000000007</v>
      </c>
      <c r="C196" s="859">
        <v>28.146378097904012</v>
      </c>
      <c r="D196" s="567">
        <v>7594.4</v>
      </c>
      <c r="E196" s="859">
        <v>25.924762750051205</v>
      </c>
      <c r="F196" s="859">
        <v>650.80000000000109</v>
      </c>
      <c r="G196" s="859">
        <f t="shared" si="28"/>
        <v>2.1866148795984297</v>
      </c>
      <c r="H196" s="313">
        <v>29762.9</v>
      </c>
      <c r="I196" s="858"/>
      <c r="J196" s="858"/>
      <c r="K196" s="858"/>
      <c r="L196" s="858"/>
      <c r="M196" s="858"/>
      <c r="N196" s="858"/>
      <c r="O196" s="858"/>
      <c r="P196" s="858"/>
      <c r="Q196" s="858"/>
      <c r="R196" s="858"/>
      <c r="S196" s="858"/>
      <c r="T196" s="858"/>
      <c r="U196" s="858"/>
      <c r="V196" s="858"/>
      <c r="W196" s="858"/>
      <c r="X196" s="858"/>
      <c r="Y196" s="858"/>
      <c r="Z196" s="858"/>
      <c r="AA196" s="858"/>
      <c r="AB196" s="858"/>
      <c r="AC196" s="858"/>
      <c r="AD196" s="858"/>
      <c r="AE196" s="858"/>
      <c r="AF196" s="858"/>
      <c r="AG196" s="858"/>
      <c r="AH196" s="858"/>
      <c r="AI196" s="858"/>
      <c r="AJ196" s="858"/>
      <c r="AK196" s="858"/>
      <c r="AL196" s="858"/>
      <c r="AM196" s="858"/>
      <c r="AN196" s="858"/>
      <c r="AO196" s="858"/>
      <c r="AP196" s="858"/>
      <c r="AQ196" s="858"/>
      <c r="AR196" s="858"/>
      <c r="AS196" s="858"/>
      <c r="AT196" s="858"/>
      <c r="AU196" s="858"/>
      <c r="AV196" s="858"/>
      <c r="AW196" s="858"/>
      <c r="AX196" s="858"/>
      <c r="AY196" s="858"/>
      <c r="AZ196" s="858"/>
      <c r="BA196" s="858"/>
      <c r="BB196" s="858"/>
      <c r="BC196" s="858"/>
      <c r="BD196" s="858"/>
      <c r="BE196" s="858"/>
      <c r="BF196" s="858"/>
      <c r="BG196" s="858"/>
      <c r="BH196" s="858"/>
      <c r="BI196" s="858"/>
      <c r="BJ196" s="858"/>
      <c r="BK196" s="858"/>
      <c r="BL196" s="858"/>
      <c r="BM196" s="858"/>
      <c r="BN196" s="858"/>
      <c r="BO196" s="858"/>
      <c r="BP196" s="858"/>
      <c r="BQ196" s="858"/>
      <c r="BR196" s="858"/>
      <c r="BS196" s="858"/>
      <c r="BT196" s="858"/>
      <c r="BU196" s="858"/>
      <c r="BV196" s="858"/>
      <c r="BW196" s="858"/>
      <c r="BX196" s="858"/>
      <c r="BY196" s="858"/>
      <c r="BZ196" s="858"/>
      <c r="CA196" s="858"/>
      <c r="CB196" s="858"/>
      <c r="CC196" s="858"/>
      <c r="CD196" s="858"/>
      <c r="CE196" s="858"/>
      <c r="CF196" s="858"/>
      <c r="CG196" s="858"/>
      <c r="CH196" s="858"/>
      <c r="CI196" s="858"/>
      <c r="CJ196" s="858"/>
      <c r="CK196" s="858"/>
      <c r="CL196" s="858"/>
      <c r="CM196" s="858"/>
      <c r="CN196" s="858"/>
      <c r="CO196" s="858"/>
      <c r="CP196" s="858"/>
      <c r="CQ196" s="858"/>
      <c r="CR196" s="858"/>
      <c r="CS196" s="858"/>
      <c r="CT196" s="858"/>
      <c r="CU196" s="858"/>
      <c r="CV196" s="858"/>
      <c r="CW196" s="858"/>
      <c r="CX196" s="858"/>
      <c r="CY196" s="858"/>
      <c r="CZ196" s="858"/>
      <c r="DA196" s="858"/>
      <c r="DB196" s="858"/>
      <c r="DC196" s="858"/>
      <c r="DD196" s="858"/>
      <c r="DE196" s="858"/>
      <c r="DF196" s="858"/>
      <c r="DG196" s="858"/>
      <c r="DH196" s="858"/>
      <c r="DI196" s="858"/>
      <c r="DJ196" s="858"/>
      <c r="DK196" s="858"/>
      <c r="DL196" s="858"/>
      <c r="DM196" s="858"/>
      <c r="DN196" s="858"/>
      <c r="DO196" s="858"/>
      <c r="DP196" s="858"/>
      <c r="DQ196" s="858"/>
      <c r="DR196" s="858"/>
      <c r="DS196" s="858"/>
      <c r="DT196" s="858"/>
      <c r="DU196" s="858"/>
      <c r="DV196" s="858"/>
      <c r="DW196" s="858"/>
      <c r="DX196" s="858"/>
      <c r="DY196" s="858"/>
      <c r="DZ196" s="858"/>
      <c r="EA196" s="858"/>
      <c r="EB196" s="858"/>
      <c r="EC196" s="858"/>
      <c r="ED196" s="858"/>
      <c r="EE196" s="858"/>
      <c r="EF196" s="858"/>
      <c r="EG196" s="858"/>
      <c r="EH196" s="858"/>
      <c r="EI196" s="858"/>
      <c r="EJ196" s="858"/>
      <c r="EK196" s="858"/>
      <c r="EL196" s="858"/>
      <c r="EM196" s="858"/>
      <c r="EN196" s="858"/>
      <c r="EO196" s="858"/>
      <c r="EP196" s="858"/>
      <c r="EQ196" s="858"/>
      <c r="ER196" s="858"/>
      <c r="ES196" s="858"/>
      <c r="ET196" s="858"/>
      <c r="EU196" s="858"/>
      <c r="EV196" s="858"/>
      <c r="EW196" s="858"/>
      <c r="EX196" s="858"/>
      <c r="EY196" s="858"/>
      <c r="EZ196" s="858"/>
      <c r="FA196" s="858"/>
      <c r="FB196" s="858"/>
      <c r="FC196" s="858"/>
      <c r="FD196" s="858"/>
      <c r="FE196" s="858"/>
      <c r="FF196" s="858"/>
      <c r="FG196" s="858"/>
      <c r="FH196" s="858"/>
      <c r="FI196" s="858"/>
      <c r="FJ196" s="858"/>
      <c r="FK196" s="858"/>
      <c r="FL196" s="858"/>
      <c r="FM196" s="858"/>
      <c r="FN196" s="858"/>
      <c r="FO196" s="858"/>
      <c r="FP196" s="858"/>
      <c r="FQ196" s="858"/>
      <c r="FR196" s="858"/>
      <c r="FS196" s="858"/>
      <c r="FT196" s="858"/>
      <c r="FU196" s="858"/>
      <c r="FV196" s="858"/>
      <c r="FW196" s="858"/>
      <c r="FX196" s="858"/>
      <c r="FY196" s="858"/>
      <c r="FZ196" s="858"/>
      <c r="GA196" s="858"/>
      <c r="GB196" s="858"/>
      <c r="GC196" s="858"/>
      <c r="GD196" s="858"/>
      <c r="GE196" s="858"/>
      <c r="GF196" s="858"/>
      <c r="GG196" s="858"/>
      <c r="GH196" s="858"/>
      <c r="GI196" s="858"/>
      <c r="GJ196" s="858"/>
      <c r="GK196" s="858"/>
      <c r="GL196" s="858"/>
      <c r="GM196" s="858"/>
      <c r="GN196" s="858"/>
      <c r="GO196" s="858"/>
      <c r="GP196" s="858"/>
      <c r="GQ196" s="858"/>
      <c r="GR196" s="858"/>
      <c r="GS196" s="858"/>
      <c r="GT196" s="858"/>
      <c r="GU196" s="858"/>
      <c r="GV196" s="858"/>
      <c r="GW196" s="858"/>
      <c r="GX196" s="858"/>
      <c r="GY196" s="858"/>
      <c r="GZ196" s="858"/>
      <c r="HA196" s="858"/>
      <c r="HB196" s="858"/>
      <c r="HC196" s="858"/>
      <c r="HD196" s="858"/>
      <c r="HE196" s="858"/>
      <c r="HF196" s="858"/>
      <c r="HG196" s="858"/>
      <c r="HH196" s="858"/>
      <c r="HI196" s="858"/>
      <c r="HJ196" s="858"/>
      <c r="HK196" s="858"/>
      <c r="HL196" s="858"/>
      <c r="HM196" s="858"/>
      <c r="HN196" s="858"/>
      <c r="HO196" s="858"/>
      <c r="HP196" s="858"/>
      <c r="HQ196" s="858"/>
      <c r="HR196" s="858"/>
      <c r="HS196" s="858"/>
      <c r="HT196" s="858"/>
      <c r="HU196" s="858"/>
      <c r="HV196" s="858"/>
      <c r="HW196" s="858"/>
      <c r="HX196" s="858"/>
      <c r="HY196" s="858"/>
      <c r="HZ196" s="858"/>
      <c r="IA196" s="858"/>
      <c r="IB196" s="858"/>
      <c r="IC196" s="858"/>
      <c r="ID196" s="858"/>
      <c r="IE196" s="858"/>
      <c r="IF196" s="858"/>
      <c r="IG196" s="858"/>
      <c r="IH196" s="858"/>
      <c r="II196" s="858"/>
      <c r="IJ196" s="858"/>
      <c r="IK196" s="858"/>
      <c r="IL196" s="858"/>
      <c r="IM196" s="858"/>
      <c r="IN196" s="858"/>
    </row>
    <row r="197" spans="1:248">
      <c r="A197" s="564" t="s">
        <v>23</v>
      </c>
      <c r="B197" s="566">
        <v>9821.6</v>
      </c>
      <c r="C197" s="859">
        <v>26.53819445382647</v>
      </c>
      <c r="D197" s="567">
        <v>9524.2999999999993</v>
      </c>
      <c r="E197" s="859">
        <v>25.734882853769186</v>
      </c>
      <c r="F197" s="859">
        <v>297.30000000000109</v>
      </c>
      <c r="G197" s="859">
        <f t="shared" si="28"/>
        <v>0.8057456467240357</v>
      </c>
      <c r="H197" s="313">
        <v>36897.5</v>
      </c>
      <c r="I197" s="858"/>
      <c r="J197" s="858"/>
      <c r="K197" s="858"/>
      <c r="L197" s="858"/>
      <c r="M197" s="858"/>
      <c r="N197" s="858"/>
      <c r="O197" s="858"/>
      <c r="P197" s="858"/>
      <c r="Q197" s="858"/>
      <c r="R197" s="858"/>
      <c r="S197" s="858"/>
      <c r="T197" s="858"/>
      <c r="U197" s="858"/>
      <c r="V197" s="858"/>
      <c r="W197" s="858"/>
      <c r="X197" s="858"/>
      <c r="Y197" s="858"/>
      <c r="Z197" s="858"/>
      <c r="AA197" s="858"/>
      <c r="AB197" s="858"/>
      <c r="AC197" s="858"/>
      <c r="AD197" s="858"/>
      <c r="AE197" s="858"/>
      <c r="AF197" s="858"/>
      <c r="AG197" s="858"/>
      <c r="AH197" s="858"/>
      <c r="AI197" s="858"/>
      <c r="AJ197" s="858"/>
      <c r="AK197" s="858"/>
      <c r="AL197" s="858"/>
      <c r="AM197" s="858"/>
      <c r="AN197" s="858"/>
      <c r="AO197" s="858"/>
      <c r="AP197" s="858"/>
      <c r="AQ197" s="858"/>
      <c r="AR197" s="858"/>
      <c r="AS197" s="858"/>
      <c r="AT197" s="858"/>
      <c r="AU197" s="858"/>
      <c r="AV197" s="858"/>
      <c r="AW197" s="858"/>
      <c r="AX197" s="858"/>
      <c r="AY197" s="858"/>
      <c r="AZ197" s="858"/>
      <c r="BA197" s="858"/>
      <c r="BB197" s="858"/>
      <c r="BC197" s="858"/>
      <c r="BD197" s="858"/>
      <c r="BE197" s="858"/>
      <c r="BF197" s="858"/>
      <c r="BG197" s="858"/>
      <c r="BH197" s="858"/>
      <c r="BI197" s="858"/>
      <c r="BJ197" s="858"/>
      <c r="BK197" s="858"/>
      <c r="BL197" s="858"/>
      <c r="BM197" s="858"/>
      <c r="BN197" s="858"/>
      <c r="BO197" s="858"/>
      <c r="BP197" s="858"/>
      <c r="BQ197" s="858"/>
      <c r="BR197" s="858"/>
      <c r="BS197" s="858"/>
      <c r="BT197" s="858"/>
      <c r="BU197" s="858"/>
      <c r="BV197" s="858"/>
      <c r="BW197" s="858"/>
      <c r="BX197" s="858"/>
      <c r="BY197" s="858"/>
      <c r="BZ197" s="858"/>
      <c r="CA197" s="858"/>
      <c r="CB197" s="858"/>
      <c r="CC197" s="858"/>
      <c r="CD197" s="858"/>
      <c r="CE197" s="858"/>
      <c r="CF197" s="858"/>
      <c r="CG197" s="858"/>
      <c r="CH197" s="858"/>
      <c r="CI197" s="858"/>
      <c r="CJ197" s="858"/>
      <c r="CK197" s="858"/>
      <c r="CL197" s="858"/>
      <c r="CM197" s="858"/>
      <c r="CN197" s="858"/>
      <c r="CO197" s="858"/>
      <c r="CP197" s="858"/>
      <c r="CQ197" s="858"/>
      <c r="CR197" s="858"/>
      <c r="CS197" s="858"/>
      <c r="CT197" s="858"/>
      <c r="CU197" s="858"/>
      <c r="CV197" s="858"/>
      <c r="CW197" s="858"/>
      <c r="CX197" s="858"/>
      <c r="CY197" s="858"/>
      <c r="CZ197" s="858"/>
      <c r="DA197" s="858"/>
      <c r="DB197" s="858"/>
      <c r="DC197" s="858"/>
      <c r="DD197" s="858"/>
      <c r="DE197" s="858"/>
      <c r="DF197" s="858"/>
      <c r="DG197" s="858"/>
      <c r="DH197" s="858"/>
      <c r="DI197" s="858"/>
      <c r="DJ197" s="858"/>
      <c r="DK197" s="858"/>
      <c r="DL197" s="858"/>
      <c r="DM197" s="858"/>
      <c r="DN197" s="858"/>
      <c r="DO197" s="858"/>
      <c r="DP197" s="858"/>
      <c r="DQ197" s="858"/>
      <c r="DR197" s="858"/>
      <c r="DS197" s="858"/>
      <c r="DT197" s="858"/>
      <c r="DU197" s="858"/>
      <c r="DV197" s="858"/>
      <c r="DW197" s="858"/>
      <c r="DX197" s="858"/>
      <c r="DY197" s="858"/>
      <c r="DZ197" s="858"/>
      <c r="EA197" s="858"/>
      <c r="EB197" s="858"/>
      <c r="EC197" s="858"/>
      <c r="ED197" s="858"/>
      <c r="EE197" s="858"/>
      <c r="EF197" s="858"/>
      <c r="EG197" s="858"/>
      <c r="EH197" s="858"/>
      <c r="EI197" s="858"/>
      <c r="EJ197" s="858"/>
      <c r="EK197" s="858"/>
      <c r="EL197" s="858"/>
      <c r="EM197" s="858"/>
      <c r="EN197" s="858"/>
      <c r="EO197" s="858"/>
      <c r="EP197" s="858"/>
      <c r="EQ197" s="858"/>
      <c r="ER197" s="858"/>
      <c r="ES197" s="858"/>
      <c r="ET197" s="858"/>
      <c r="EU197" s="858"/>
      <c r="EV197" s="858"/>
      <c r="EW197" s="858"/>
      <c r="EX197" s="858"/>
      <c r="EY197" s="858"/>
      <c r="EZ197" s="858"/>
      <c r="FA197" s="858"/>
      <c r="FB197" s="858"/>
      <c r="FC197" s="858"/>
      <c r="FD197" s="858"/>
      <c r="FE197" s="858"/>
      <c r="FF197" s="858"/>
      <c r="FG197" s="858"/>
      <c r="FH197" s="858"/>
      <c r="FI197" s="858"/>
      <c r="FJ197" s="858"/>
      <c r="FK197" s="858"/>
      <c r="FL197" s="858"/>
      <c r="FM197" s="858"/>
      <c r="FN197" s="858"/>
      <c r="FO197" s="858"/>
      <c r="FP197" s="858"/>
      <c r="FQ197" s="858"/>
      <c r="FR197" s="858"/>
      <c r="FS197" s="858"/>
      <c r="FT197" s="858"/>
      <c r="FU197" s="858"/>
      <c r="FV197" s="858"/>
      <c r="FW197" s="858"/>
      <c r="FX197" s="858"/>
      <c r="FY197" s="858"/>
      <c r="FZ197" s="858"/>
      <c r="GA197" s="858"/>
      <c r="GB197" s="858"/>
      <c r="GC197" s="858"/>
      <c r="GD197" s="858"/>
      <c r="GE197" s="858"/>
      <c r="GF197" s="858"/>
      <c r="GG197" s="858"/>
      <c r="GH197" s="858"/>
      <c r="GI197" s="858"/>
      <c r="GJ197" s="858"/>
      <c r="GK197" s="858"/>
      <c r="GL197" s="858"/>
      <c r="GM197" s="858"/>
      <c r="GN197" s="858"/>
      <c r="GO197" s="858"/>
      <c r="GP197" s="858"/>
      <c r="GQ197" s="858"/>
      <c r="GR197" s="858"/>
      <c r="GS197" s="858"/>
      <c r="GT197" s="858"/>
      <c r="GU197" s="858"/>
      <c r="GV197" s="858"/>
      <c r="GW197" s="858"/>
      <c r="GX197" s="858"/>
      <c r="GY197" s="858"/>
      <c r="GZ197" s="858"/>
      <c r="HA197" s="858"/>
      <c r="HB197" s="858"/>
      <c r="HC197" s="858"/>
      <c r="HD197" s="858"/>
      <c r="HE197" s="858"/>
      <c r="HF197" s="858"/>
      <c r="HG197" s="858"/>
      <c r="HH197" s="858"/>
      <c r="HI197" s="858"/>
      <c r="HJ197" s="858"/>
      <c r="HK197" s="858"/>
      <c r="HL197" s="858"/>
      <c r="HM197" s="858"/>
      <c r="HN197" s="858"/>
      <c r="HO197" s="858"/>
      <c r="HP197" s="858"/>
      <c r="HQ197" s="858"/>
      <c r="HR197" s="858"/>
      <c r="HS197" s="858"/>
      <c r="HT197" s="858"/>
      <c r="HU197" s="858"/>
      <c r="HV197" s="858"/>
      <c r="HW197" s="858"/>
      <c r="HX197" s="858"/>
      <c r="HY197" s="858"/>
      <c r="HZ197" s="858"/>
      <c r="IA197" s="858"/>
      <c r="IB197" s="858"/>
      <c r="IC197" s="858"/>
      <c r="ID197" s="858"/>
      <c r="IE197" s="858"/>
      <c r="IF197" s="858"/>
      <c r="IG197" s="858"/>
      <c r="IH197" s="858"/>
      <c r="II197" s="858"/>
      <c r="IJ197" s="858"/>
      <c r="IK197" s="858"/>
      <c r="IL197" s="858"/>
      <c r="IM197" s="858"/>
      <c r="IN197" s="858"/>
    </row>
    <row r="198" spans="1:248">
      <c r="A198" s="564" t="s">
        <v>24</v>
      </c>
      <c r="B198" s="566">
        <v>12078.1</v>
      </c>
      <c r="C198" s="859">
        <f>B198/H198*100</f>
        <v>27.658989784258004</v>
      </c>
      <c r="D198" s="567">
        <v>11649.3</v>
      </c>
      <c r="E198" s="859">
        <v>26.169731656371965</v>
      </c>
      <c r="F198" s="859">
        <v>428.80000000000109</v>
      </c>
      <c r="G198" s="859">
        <f t="shared" si="28"/>
        <v>0.98195699816112314</v>
      </c>
      <c r="H198" s="313">
        <v>43667.9</v>
      </c>
      <c r="I198" s="858"/>
      <c r="J198" s="858"/>
      <c r="K198" s="858"/>
      <c r="L198" s="858"/>
      <c r="M198" s="858"/>
      <c r="N198" s="858"/>
      <c r="O198" s="858"/>
      <c r="P198" s="858"/>
      <c r="Q198" s="858"/>
      <c r="R198" s="858"/>
      <c r="S198" s="858"/>
      <c r="T198" s="858"/>
      <c r="U198" s="858"/>
      <c r="V198" s="858"/>
      <c r="W198" s="858"/>
      <c r="X198" s="858"/>
      <c r="Y198" s="858"/>
      <c r="Z198" s="858"/>
      <c r="AA198" s="858"/>
      <c r="AB198" s="858"/>
      <c r="AC198" s="858"/>
      <c r="AD198" s="858"/>
      <c r="AE198" s="858"/>
      <c r="AF198" s="858"/>
      <c r="AG198" s="858"/>
      <c r="AH198" s="858"/>
      <c r="AI198" s="858"/>
      <c r="AJ198" s="858"/>
      <c r="AK198" s="858"/>
      <c r="AL198" s="858"/>
      <c r="AM198" s="858"/>
      <c r="AN198" s="858"/>
      <c r="AO198" s="858"/>
      <c r="AP198" s="858"/>
      <c r="AQ198" s="858"/>
      <c r="AR198" s="858"/>
      <c r="AS198" s="858"/>
      <c r="AT198" s="858"/>
      <c r="AU198" s="858"/>
      <c r="AV198" s="858"/>
      <c r="AW198" s="858"/>
      <c r="AX198" s="858"/>
      <c r="AY198" s="858"/>
      <c r="AZ198" s="858"/>
      <c r="BA198" s="858"/>
      <c r="BB198" s="858"/>
      <c r="BC198" s="858"/>
      <c r="BD198" s="858"/>
      <c r="BE198" s="858"/>
      <c r="BF198" s="858"/>
      <c r="BG198" s="858"/>
      <c r="BH198" s="858"/>
      <c r="BI198" s="858"/>
      <c r="BJ198" s="858"/>
      <c r="BK198" s="858"/>
      <c r="BL198" s="858"/>
      <c r="BM198" s="858"/>
      <c r="BN198" s="858"/>
      <c r="BO198" s="858"/>
      <c r="BP198" s="858"/>
      <c r="BQ198" s="858"/>
      <c r="BR198" s="858"/>
      <c r="BS198" s="858"/>
      <c r="BT198" s="858"/>
      <c r="BU198" s="858"/>
      <c r="BV198" s="858"/>
      <c r="BW198" s="858"/>
      <c r="BX198" s="858"/>
      <c r="BY198" s="858"/>
      <c r="BZ198" s="858"/>
      <c r="CA198" s="858"/>
      <c r="CB198" s="858"/>
      <c r="CC198" s="858"/>
      <c r="CD198" s="858"/>
      <c r="CE198" s="858"/>
      <c r="CF198" s="858"/>
      <c r="CG198" s="858"/>
      <c r="CH198" s="858"/>
      <c r="CI198" s="858"/>
      <c r="CJ198" s="858"/>
      <c r="CK198" s="858"/>
      <c r="CL198" s="858"/>
      <c r="CM198" s="858"/>
      <c r="CN198" s="858"/>
      <c r="CO198" s="858"/>
      <c r="CP198" s="858"/>
      <c r="CQ198" s="858"/>
      <c r="CR198" s="858"/>
      <c r="CS198" s="858"/>
      <c r="CT198" s="858"/>
      <c r="CU198" s="858"/>
      <c r="CV198" s="858"/>
      <c r="CW198" s="858"/>
      <c r="CX198" s="858"/>
      <c r="CY198" s="858"/>
      <c r="CZ198" s="858"/>
      <c r="DA198" s="858"/>
      <c r="DB198" s="858"/>
      <c r="DC198" s="858"/>
      <c r="DD198" s="858"/>
      <c r="DE198" s="858"/>
      <c r="DF198" s="858"/>
      <c r="DG198" s="858"/>
      <c r="DH198" s="858"/>
      <c r="DI198" s="858"/>
      <c r="DJ198" s="858"/>
      <c r="DK198" s="858"/>
      <c r="DL198" s="858"/>
      <c r="DM198" s="858"/>
      <c r="DN198" s="858"/>
      <c r="DO198" s="858"/>
      <c r="DP198" s="858"/>
      <c r="DQ198" s="858"/>
      <c r="DR198" s="858"/>
      <c r="DS198" s="858"/>
      <c r="DT198" s="858"/>
      <c r="DU198" s="858"/>
      <c r="DV198" s="858"/>
      <c r="DW198" s="858"/>
      <c r="DX198" s="858"/>
      <c r="DY198" s="858"/>
      <c r="DZ198" s="858"/>
      <c r="EA198" s="858"/>
      <c r="EB198" s="858"/>
      <c r="EC198" s="858"/>
      <c r="ED198" s="858"/>
      <c r="EE198" s="858"/>
      <c r="EF198" s="858"/>
      <c r="EG198" s="858"/>
      <c r="EH198" s="858"/>
      <c r="EI198" s="858"/>
      <c r="EJ198" s="858"/>
      <c r="EK198" s="858"/>
      <c r="EL198" s="858"/>
      <c r="EM198" s="858"/>
      <c r="EN198" s="858"/>
      <c r="EO198" s="858"/>
      <c r="EP198" s="858"/>
      <c r="EQ198" s="858"/>
      <c r="ER198" s="858"/>
      <c r="ES198" s="858"/>
      <c r="ET198" s="858"/>
      <c r="EU198" s="858"/>
      <c r="EV198" s="858"/>
      <c r="EW198" s="858"/>
      <c r="EX198" s="858"/>
      <c r="EY198" s="858"/>
      <c r="EZ198" s="858"/>
      <c r="FA198" s="858"/>
      <c r="FB198" s="858"/>
      <c r="FC198" s="858"/>
      <c r="FD198" s="858"/>
      <c r="FE198" s="858"/>
      <c r="FF198" s="858"/>
      <c r="FG198" s="858"/>
      <c r="FH198" s="858"/>
      <c r="FI198" s="858"/>
      <c r="FJ198" s="858"/>
      <c r="FK198" s="858"/>
      <c r="FL198" s="858"/>
      <c r="FM198" s="858"/>
      <c r="FN198" s="858"/>
      <c r="FO198" s="858"/>
      <c r="FP198" s="858"/>
      <c r="FQ198" s="858"/>
      <c r="FR198" s="858"/>
      <c r="FS198" s="858"/>
      <c r="FT198" s="858"/>
      <c r="FU198" s="858"/>
      <c r="FV198" s="858"/>
      <c r="FW198" s="858"/>
      <c r="FX198" s="858"/>
      <c r="FY198" s="858"/>
      <c r="FZ198" s="858"/>
      <c r="GA198" s="858"/>
      <c r="GB198" s="858"/>
      <c r="GC198" s="858"/>
      <c r="GD198" s="858"/>
      <c r="GE198" s="858"/>
      <c r="GF198" s="858"/>
      <c r="GG198" s="858"/>
      <c r="GH198" s="858"/>
      <c r="GI198" s="858"/>
      <c r="GJ198" s="858"/>
      <c r="GK198" s="858"/>
      <c r="GL198" s="858"/>
      <c r="GM198" s="858"/>
      <c r="GN198" s="858"/>
      <c r="GO198" s="858"/>
      <c r="GP198" s="858"/>
      <c r="GQ198" s="858"/>
      <c r="GR198" s="858"/>
      <c r="GS198" s="858"/>
      <c r="GT198" s="858"/>
      <c r="GU198" s="858"/>
      <c r="GV198" s="858"/>
      <c r="GW198" s="858"/>
      <c r="GX198" s="858"/>
      <c r="GY198" s="858"/>
      <c r="GZ198" s="858"/>
      <c r="HA198" s="858"/>
      <c r="HB198" s="858"/>
      <c r="HC198" s="858"/>
      <c r="HD198" s="858"/>
      <c r="HE198" s="858"/>
      <c r="HF198" s="858"/>
      <c r="HG198" s="858"/>
      <c r="HH198" s="858"/>
      <c r="HI198" s="858"/>
      <c r="HJ198" s="858"/>
      <c r="HK198" s="858"/>
      <c r="HL198" s="858"/>
      <c r="HM198" s="858"/>
      <c r="HN198" s="858"/>
      <c r="HO198" s="858"/>
      <c r="HP198" s="858"/>
      <c r="HQ198" s="858"/>
      <c r="HR198" s="858"/>
      <c r="HS198" s="858"/>
      <c r="HT198" s="858"/>
      <c r="HU198" s="858"/>
      <c r="HV198" s="858"/>
      <c r="HW198" s="858"/>
      <c r="HX198" s="858"/>
      <c r="HY198" s="858"/>
      <c r="HZ198" s="858"/>
      <c r="IA198" s="858"/>
      <c r="IB198" s="858"/>
      <c r="IC198" s="858"/>
      <c r="ID198" s="858"/>
      <c r="IE198" s="858"/>
      <c r="IF198" s="858"/>
      <c r="IG198" s="858"/>
      <c r="IH198" s="858"/>
      <c r="II198" s="858"/>
      <c r="IJ198" s="858"/>
      <c r="IK198" s="858"/>
      <c r="IL198" s="858"/>
      <c r="IM198" s="858"/>
      <c r="IN198" s="858"/>
    </row>
    <row r="199" spans="1:248">
      <c r="A199" s="564" t="s">
        <v>25</v>
      </c>
      <c r="B199" s="566">
        <v>14029.7</v>
      </c>
      <c r="C199" s="859">
        <v>27.769541525556246</v>
      </c>
      <c r="D199" s="567">
        <v>13485.7</v>
      </c>
      <c r="E199" s="859">
        <v>26.692780754484691</v>
      </c>
      <c r="F199" s="859">
        <v>544</v>
      </c>
      <c r="G199" s="859">
        <f t="shared" si="28"/>
        <v>1.0805270747510218</v>
      </c>
      <c r="H199" s="313">
        <v>50345.8</v>
      </c>
      <c r="I199" s="858"/>
      <c r="J199" s="858"/>
      <c r="K199" s="858"/>
      <c r="L199" s="858"/>
      <c r="M199" s="858"/>
      <c r="N199" s="858"/>
      <c r="O199" s="858"/>
      <c r="P199" s="858"/>
      <c r="Q199" s="858"/>
      <c r="R199" s="858"/>
      <c r="S199" s="858"/>
      <c r="T199" s="858"/>
      <c r="U199" s="858"/>
      <c r="V199" s="858"/>
      <c r="W199" s="858"/>
      <c r="X199" s="858"/>
      <c r="Y199" s="858"/>
      <c r="Z199" s="858"/>
      <c r="AA199" s="858"/>
      <c r="AB199" s="858"/>
      <c r="AC199" s="858"/>
      <c r="AD199" s="858"/>
      <c r="AE199" s="858"/>
      <c r="AF199" s="858"/>
      <c r="AG199" s="858"/>
      <c r="AH199" s="858"/>
      <c r="AI199" s="858"/>
      <c r="AJ199" s="858"/>
      <c r="AK199" s="858"/>
      <c r="AL199" s="858"/>
      <c r="AM199" s="858"/>
      <c r="AN199" s="858"/>
      <c r="AO199" s="858"/>
      <c r="AP199" s="858"/>
      <c r="AQ199" s="858"/>
      <c r="AR199" s="858"/>
      <c r="AS199" s="858"/>
      <c r="AT199" s="858"/>
      <c r="AU199" s="858"/>
      <c r="AV199" s="858"/>
      <c r="AW199" s="858"/>
      <c r="AX199" s="858"/>
      <c r="AY199" s="858"/>
      <c r="AZ199" s="858"/>
      <c r="BA199" s="858"/>
      <c r="BB199" s="858"/>
      <c r="BC199" s="858"/>
      <c r="BD199" s="858"/>
      <c r="BE199" s="858"/>
      <c r="BF199" s="858"/>
      <c r="BG199" s="858"/>
      <c r="BH199" s="858"/>
      <c r="BI199" s="858"/>
      <c r="BJ199" s="858"/>
      <c r="BK199" s="858"/>
      <c r="BL199" s="858"/>
      <c r="BM199" s="858"/>
      <c r="BN199" s="858"/>
      <c r="BO199" s="858"/>
      <c r="BP199" s="858"/>
      <c r="BQ199" s="858"/>
      <c r="BR199" s="858"/>
      <c r="BS199" s="858"/>
      <c r="BT199" s="858"/>
      <c r="BU199" s="858"/>
      <c r="BV199" s="858"/>
      <c r="BW199" s="858"/>
      <c r="BX199" s="858"/>
      <c r="BY199" s="858"/>
      <c r="BZ199" s="858"/>
      <c r="CA199" s="858"/>
      <c r="CB199" s="858"/>
      <c r="CC199" s="858"/>
      <c r="CD199" s="858"/>
      <c r="CE199" s="858"/>
      <c r="CF199" s="858"/>
      <c r="CG199" s="858"/>
      <c r="CH199" s="858"/>
      <c r="CI199" s="858"/>
      <c r="CJ199" s="858"/>
      <c r="CK199" s="858"/>
      <c r="CL199" s="858"/>
      <c r="CM199" s="858"/>
      <c r="CN199" s="858"/>
      <c r="CO199" s="858"/>
      <c r="CP199" s="858"/>
      <c r="CQ199" s="858"/>
      <c r="CR199" s="858"/>
      <c r="CS199" s="858"/>
      <c r="CT199" s="858"/>
      <c r="CU199" s="858"/>
      <c r="CV199" s="858"/>
      <c r="CW199" s="858"/>
      <c r="CX199" s="858"/>
      <c r="CY199" s="858"/>
      <c r="CZ199" s="858"/>
      <c r="DA199" s="858"/>
      <c r="DB199" s="858"/>
      <c r="DC199" s="858"/>
      <c r="DD199" s="858"/>
      <c r="DE199" s="858"/>
      <c r="DF199" s="858"/>
      <c r="DG199" s="858"/>
      <c r="DH199" s="858"/>
      <c r="DI199" s="858"/>
      <c r="DJ199" s="858"/>
      <c r="DK199" s="858"/>
      <c r="DL199" s="858"/>
      <c r="DM199" s="858"/>
      <c r="DN199" s="858"/>
      <c r="DO199" s="858"/>
      <c r="DP199" s="858"/>
      <c r="DQ199" s="858"/>
      <c r="DR199" s="858"/>
      <c r="DS199" s="858"/>
      <c r="DT199" s="858"/>
      <c r="DU199" s="858"/>
      <c r="DV199" s="858"/>
      <c r="DW199" s="858"/>
      <c r="DX199" s="858"/>
      <c r="DY199" s="858"/>
      <c r="DZ199" s="858"/>
      <c r="EA199" s="858"/>
      <c r="EB199" s="858"/>
      <c r="EC199" s="858"/>
      <c r="ED199" s="858"/>
      <c r="EE199" s="858"/>
      <c r="EF199" s="858"/>
      <c r="EG199" s="858"/>
      <c r="EH199" s="858"/>
      <c r="EI199" s="858"/>
      <c r="EJ199" s="858"/>
      <c r="EK199" s="858"/>
      <c r="EL199" s="858"/>
      <c r="EM199" s="858"/>
      <c r="EN199" s="858"/>
      <c r="EO199" s="858"/>
      <c r="EP199" s="858"/>
      <c r="EQ199" s="858"/>
      <c r="ER199" s="858"/>
      <c r="ES199" s="858"/>
      <c r="ET199" s="858"/>
      <c r="EU199" s="858"/>
      <c r="EV199" s="858"/>
      <c r="EW199" s="858"/>
      <c r="EX199" s="858"/>
      <c r="EY199" s="858"/>
      <c r="EZ199" s="858"/>
      <c r="FA199" s="858"/>
      <c r="FB199" s="858"/>
      <c r="FC199" s="858"/>
      <c r="FD199" s="858"/>
      <c r="FE199" s="858"/>
      <c r="FF199" s="858"/>
      <c r="FG199" s="858"/>
      <c r="FH199" s="858"/>
      <c r="FI199" s="858"/>
      <c r="FJ199" s="858"/>
      <c r="FK199" s="858"/>
      <c r="FL199" s="858"/>
      <c r="FM199" s="858"/>
      <c r="FN199" s="858"/>
      <c r="FO199" s="858"/>
      <c r="FP199" s="858"/>
      <c r="FQ199" s="858"/>
      <c r="FR199" s="858"/>
      <c r="FS199" s="858"/>
      <c r="FT199" s="858"/>
      <c r="FU199" s="858"/>
      <c r="FV199" s="858"/>
      <c r="FW199" s="858"/>
      <c r="FX199" s="858"/>
      <c r="FY199" s="858"/>
      <c r="FZ199" s="858"/>
      <c r="GA199" s="858"/>
      <c r="GB199" s="858"/>
      <c r="GC199" s="858"/>
      <c r="GD199" s="858"/>
      <c r="GE199" s="858"/>
      <c r="GF199" s="858"/>
      <c r="GG199" s="858"/>
      <c r="GH199" s="858"/>
      <c r="GI199" s="858"/>
      <c r="GJ199" s="858"/>
      <c r="GK199" s="858"/>
      <c r="GL199" s="858"/>
      <c r="GM199" s="858"/>
      <c r="GN199" s="858"/>
      <c r="GO199" s="858"/>
      <c r="GP199" s="858"/>
      <c r="GQ199" s="858"/>
      <c r="GR199" s="858"/>
      <c r="GS199" s="858"/>
      <c r="GT199" s="858"/>
      <c r="GU199" s="858"/>
      <c r="GV199" s="858"/>
      <c r="GW199" s="858"/>
      <c r="GX199" s="858"/>
      <c r="GY199" s="858"/>
      <c r="GZ199" s="858"/>
      <c r="HA199" s="858"/>
      <c r="HB199" s="858"/>
      <c r="HC199" s="858"/>
      <c r="HD199" s="858"/>
      <c r="HE199" s="858"/>
      <c r="HF199" s="858"/>
      <c r="HG199" s="858"/>
      <c r="HH199" s="858"/>
      <c r="HI199" s="858"/>
      <c r="HJ199" s="858"/>
      <c r="HK199" s="858"/>
      <c r="HL199" s="858"/>
      <c r="HM199" s="858"/>
      <c r="HN199" s="858"/>
      <c r="HO199" s="858"/>
      <c r="HP199" s="858"/>
      <c r="HQ199" s="858"/>
      <c r="HR199" s="858"/>
      <c r="HS199" s="858"/>
      <c r="HT199" s="858"/>
      <c r="HU199" s="858"/>
      <c r="HV199" s="858"/>
      <c r="HW199" s="858"/>
      <c r="HX199" s="858"/>
      <c r="HY199" s="858"/>
      <c r="HZ199" s="858"/>
      <c r="IA199" s="858"/>
      <c r="IB199" s="858"/>
      <c r="IC199" s="858"/>
      <c r="ID199" s="858"/>
      <c r="IE199" s="858"/>
      <c r="IF199" s="858"/>
      <c r="IG199" s="858"/>
      <c r="IH199" s="858"/>
      <c r="II199" s="858"/>
      <c r="IJ199" s="858"/>
      <c r="IK199" s="858"/>
      <c r="IL199" s="858"/>
      <c r="IM199" s="858"/>
      <c r="IN199" s="858"/>
    </row>
    <row r="200" spans="1:248">
      <c r="A200" s="564" t="s">
        <v>26</v>
      </c>
      <c r="B200" s="566">
        <v>16089.7</v>
      </c>
      <c r="C200" s="859">
        <v>27.855212518978771</v>
      </c>
      <c r="D200" s="567">
        <v>15666</v>
      </c>
      <c r="E200" s="859">
        <v>27.121684016626872</v>
      </c>
      <c r="F200" s="859">
        <v>423.70000000000073</v>
      </c>
      <c r="G200" s="859">
        <f t="shared" si="28"/>
        <v>0.73347389996226298</v>
      </c>
      <c r="H200" s="313">
        <v>57766.2</v>
      </c>
      <c r="I200" s="858"/>
      <c r="J200" s="858"/>
      <c r="K200" s="858"/>
      <c r="L200" s="858"/>
      <c r="M200" s="858"/>
      <c r="N200" s="858"/>
      <c r="O200" s="858"/>
      <c r="P200" s="858"/>
      <c r="Q200" s="858"/>
      <c r="R200" s="858"/>
      <c r="S200" s="858"/>
      <c r="T200" s="858"/>
      <c r="U200" s="858"/>
      <c r="V200" s="858"/>
      <c r="W200" s="858"/>
      <c r="X200" s="858"/>
      <c r="Y200" s="858"/>
      <c r="Z200" s="858"/>
      <c r="AA200" s="858"/>
      <c r="AB200" s="858"/>
      <c r="AC200" s="858"/>
      <c r="AD200" s="858"/>
      <c r="AE200" s="858"/>
      <c r="AF200" s="858"/>
      <c r="AG200" s="858"/>
      <c r="AH200" s="858"/>
      <c r="AI200" s="858"/>
      <c r="AJ200" s="858"/>
      <c r="AK200" s="858"/>
      <c r="AL200" s="858"/>
      <c r="AM200" s="858"/>
      <c r="AN200" s="858"/>
      <c r="AO200" s="858"/>
      <c r="AP200" s="858"/>
      <c r="AQ200" s="858"/>
      <c r="AR200" s="858"/>
      <c r="AS200" s="858"/>
      <c r="AT200" s="858"/>
      <c r="AU200" s="858"/>
      <c r="AV200" s="858"/>
      <c r="AW200" s="858"/>
      <c r="AX200" s="858"/>
      <c r="AY200" s="858"/>
      <c r="AZ200" s="858"/>
      <c r="BA200" s="858"/>
      <c r="BB200" s="858"/>
      <c r="BC200" s="858"/>
      <c r="BD200" s="858"/>
      <c r="BE200" s="858"/>
      <c r="BF200" s="858"/>
      <c r="BG200" s="858"/>
      <c r="BH200" s="858"/>
      <c r="BI200" s="858"/>
      <c r="BJ200" s="858"/>
      <c r="BK200" s="858"/>
      <c r="BL200" s="858"/>
      <c r="BM200" s="858"/>
      <c r="BN200" s="858"/>
      <c r="BO200" s="858"/>
      <c r="BP200" s="858"/>
      <c r="BQ200" s="858"/>
      <c r="BR200" s="858"/>
      <c r="BS200" s="858"/>
      <c r="BT200" s="858"/>
      <c r="BU200" s="858"/>
      <c r="BV200" s="858"/>
      <c r="BW200" s="858"/>
      <c r="BX200" s="858"/>
      <c r="BY200" s="858"/>
      <c r="BZ200" s="858"/>
      <c r="CA200" s="858"/>
      <c r="CB200" s="858"/>
      <c r="CC200" s="858"/>
      <c r="CD200" s="858"/>
      <c r="CE200" s="858"/>
      <c r="CF200" s="858"/>
      <c r="CG200" s="858"/>
      <c r="CH200" s="858"/>
      <c r="CI200" s="858"/>
      <c r="CJ200" s="858"/>
      <c r="CK200" s="858"/>
      <c r="CL200" s="858"/>
      <c r="CM200" s="858"/>
      <c r="CN200" s="858"/>
      <c r="CO200" s="858"/>
      <c r="CP200" s="858"/>
      <c r="CQ200" s="858"/>
      <c r="CR200" s="858"/>
      <c r="CS200" s="858"/>
      <c r="CT200" s="858"/>
      <c r="CU200" s="858"/>
      <c r="CV200" s="858"/>
      <c r="CW200" s="858"/>
      <c r="CX200" s="858"/>
      <c r="CY200" s="858"/>
      <c r="CZ200" s="858"/>
      <c r="DA200" s="858"/>
      <c r="DB200" s="858"/>
      <c r="DC200" s="858"/>
      <c r="DD200" s="858"/>
      <c r="DE200" s="858"/>
      <c r="DF200" s="858"/>
      <c r="DG200" s="858"/>
      <c r="DH200" s="858"/>
      <c r="DI200" s="858"/>
      <c r="DJ200" s="858"/>
      <c r="DK200" s="858"/>
      <c r="DL200" s="858"/>
      <c r="DM200" s="858"/>
      <c r="DN200" s="858"/>
      <c r="DO200" s="858"/>
      <c r="DP200" s="858"/>
      <c r="DQ200" s="858"/>
      <c r="DR200" s="858"/>
      <c r="DS200" s="858"/>
      <c r="DT200" s="858"/>
      <c r="DU200" s="858"/>
      <c r="DV200" s="858"/>
      <c r="DW200" s="858"/>
      <c r="DX200" s="858"/>
      <c r="DY200" s="858"/>
      <c r="DZ200" s="858"/>
      <c r="EA200" s="858"/>
      <c r="EB200" s="858"/>
      <c r="EC200" s="858"/>
      <c r="ED200" s="858"/>
      <c r="EE200" s="858"/>
      <c r="EF200" s="858"/>
      <c r="EG200" s="858"/>
      <c r="EH200" s="858"/>
      <c r="EI200" s="858"/>
      <c r="EJ200" s="858"/>
      <c r="EK200" s="858"/>
      <c r="EL200" s="858"/>
      <c r="EM200" s="858"/>
      <c r="EN200" s="858"/>
      <c r="EO200" s="858"/>
      <c r="EP200" s="858"/>
      <c r="EQ200" s="858"/>
      <c r="ER200" s="858"/>
      <c r="ES200" s="858"/>
      <c r="ET200" s="858"/>
      <c r="EU200" s="858"/>
      <c r="EV200" s="858"/>
      <c r="EW200" s="858"/>
      <c r="EX200" s="858"/>
      <c r="EY200" s="858"/>
      <c r="EZ200" s="858"/>
      <c r="FA200" s="858"/>
      <c r="FB200" s="858"/>
      <c r="FC200" s="858"/>
      <c r="FD200" s="858"/>
      <c r="FE200" s="858"/>
      <c r="FF200" s="858"/>
      <c r="FG200" s="858"/>
      <c r="FH200" s="858"/>
      <c r="FI200" s="858"/>
      <c r="FJ200" s="858"/>
      <c r="FK200" s="858"/>
      <c r="FL200" s="858"/>
      <c r="FM200" s="858"/>
      <c r="FN200" s="858"/>
      <c r="FO200" s="858"/>
      <c r="FP200" s="858"/>
      <c r="FQ200" s="858"/>
      <c r="FR200" s="858"/>
      <c r="FS200" s="858"/>
      <c r="FT200" s="858"/>
      <c r="FU200" s="858"/>
      <c r="FV200" s="858"/>
      <c r="FW200" s="858"/>
      <c r="FX200" s="858"/>
      <c r="FY200" s="858"/>
      <c r="FZ200" s="858"/>
      <c r="GA200" s="858"/>
      <c r="GB200" s="858"/>
      <c r="GC200" s="858"/>
      <c r="GD200" s="858"/>
      <c r="GE200" s="858"/>
      <c r="GF200" s="858"/>
      <c r="GG200" s="858"/>
      <c r="GH200" s="858"/>
      <c r="GI200" s="858"/>
      <c r="GJ200" s="858"/>
      <c r="GK200" s="858"/>
      <c r="GL200" s="858"/>
      <c r="GM200" s="858"/>
      <c r="GN200" s="858"/>
      <c r="GO200" s="858"/>
      <c r="GP200" s="858"/>
      <c r="GQ200" s="858"/>
      <c r="GR200" s="858"/>
      <c r="GS200" s="858"/>
      <c r="GT200" s="858"/>
      <c r="GU200" s="858"/>
      <c r="GV200" s="858"/>
      <c r="GW200" s="858"/>
      <c r="GX200" s="858"/>
      <c r="GY200" s="858"/>
      <c r="GZ200" s="858"/>
      <c r="HA200" s="858"/>
      <c r="HB200" s="858"/>
      <c r="HC200" s="858"/>
      <c r="HD200" s="858"/>
      <c r="HE200" s="858"/>
      <c r="HF200" s="858"/>
      <c r="HG200" s="858"/>
      <c r="HH200" s="858"/>
      <c r="HI200" s="858"/>
      <c r="HJ200" s="858"/>
      <c r="HK200" s="858"/>
      <c r="HL200" s="858"/>
      <c r="HM200" s="858"/>
      <c r="HN200" s="858"/>
      <c r="HO200" s="858"/>
      <c r="HP200" s="858"/>
      <c r="HQ200" s="858"/>
      <c r="HR200" s="858"/>
      <c r="HS200" s="858"/>
      <c r="HT200" s="858"/>
      <c r="HU200" s="858"/>
      <c r="HV200" s="858"/>
      <c r="HW200" s="858"/>
      <c r="HX200" s="858"/>
      <c r="HY200" s="858"/>
      <c r="HZ200" s="858"/>
      <c r="IA200" s="858"/>
      <c r="IB200" s="858"/>
      <c r="IC200" s="858"/>
      <c r="ID200" s="858"/>
      <c r="IE200" s="858"/>
      <c r="IF200" s="858"/>
      <c r="IG200" s="858"/>
      <c r="IH200" s="858"/>
      <c r="II200" s="858"/>
      <c r="IJ200" s="858"/>
      <c r="IK200" s="858"/>
      <c r="IL200" s="858"/>
      <c r="IM200" s="858"/>
      <c r="IN200" s="858"/>
    </row>
    <row r="201" spans="1:248">
      <c r="A201" s="564" t="s">
        <v>27</v>
      </c>
      <c r="B201" s="566">
        <v>18196.900000000001</v>
      </c>
      <c r="C201" s="859">
        <v>27.895237073260471</v>
      </c>
      <c r="D201" s="567">
        <v>17769.900000000001</v>
      </c>
      <c r="E201" s="859">
        <v>27.240660401943806</v>
      </c>
      <c r="F201" s="859">
        <v>427</v>
      </c>
      <c r="G201" s="859">
        <f t="shared" si="28"/>
        <v>0.65584547236233381</v>
      </c>
      <c r="H201" s="313">
        <v>65106.8</v>
      </c>
      <c r="I201" s="858"/>
      <c r="J201" s="858"/>
      <c r="K201" s="858"/>
      <c r="L201" s="858"/>
      <c r="M201" s="858"/>
      <c r="N201" s="858"/>
      <c r="O201" s="858"/>
      <c r="P201" s="858"/>
      <c r="Q201" s="858"/>
      <c r="R201" s="858"/>
      <c r="S201" s="858"/>
      <c r="T201" s="858"/>
      <c r="U201" s="858"/>
      <c r="V201" s="858"/>
      <c r="W201" s="858"/>
      <c r="X201" s="858"/>
      <c r="Y201" s="858"/>
      <c r="Z201" s="858"/>
      <c r="AA201" s="858"/>
      <c r="AB201" s="858"/>
      <c r="AC201" s="858"/>
      <c r="AD201" s="858"/>
      <c r="AE201" s="858"/>
      <c r="AF201" s="858"/>
      <c r="AG201" s="858"/>
      <c r="AH201" s="858"/>
      <c r="AI201" s="858"/>
      <c r="AJ201" s="858"/>
      <c r="AK201" s="858"/>
      <c r="AL201" s="858"/>
      <c r="AM201" s="858"/>
      <c r="AN201" s="858"/>
      <c r="AO201" s="858"/>
      <c r="AP201" s="858"/>
      <c r="AQ201" s="858"/>
      <c r="AR201" s="858"/>
      <c r="AS201" s="858"/>
      <c r="AT201" s="858"/>
      <c r="AU201" s="858"/>
      <c r="AV201" s="858"/>
      <c r="AW201" s="858"/>
      <c r="AX201" s="858"/>
      <c r="AY201" s="858"/>
      <c r="AZ201" s="858"/>
      <c r="BA201" s="858"/>
      <c r="BB201" s="858"/>
      <c r="BC201" s="858"/>
      <c r="BD201" s="858"/>
      <c r="BE201" s="858"/>
      <c r="BF201" s="858"/>
      <c r="BG201" s="858"/>
      <c r="BH201" s="858"/>
      <c r="BI201" s="858"/>
      <c r="BJ201" s="858"/>
      <c r="BK201" s="858"/>
      <c r="BL201" s="858"/>
      <c r="BM201" s="858"/>
      <c r="BN201" s="858"/>
      <c r="BO201" s="858"/>
      <c r="BP201" s="858"/>
      <c r="BQ201" s="858"/>
      <c r="BR201" s="858"/>
      <c r="BS201" s="858"/>
      <c r="BT201" s="858"/>
      <c r="BU201" s="858"/>
      <c r="BV201" s="858"/>
      <c r="BW201" s="858"/>
      <c r="BX201" s="858"/>
      <c r="BY201" s="858"/>
      <c r="BZ201" s="858"/>
      <c r="CA201" s="858"/>
      <c r="CB201" s="858"/>
      <c r="CC201" s="858"/>
      <c r="CD201" s="858"/>
      <c r="CE201" s="858"/>
      <c r="CF201" s="858"/>
      <c r="CG201" s="858"/>
      <c r="CH201" s="858"/>
      <c r="CI201" s="858"/>
      <c r="CJ201" s="858"/>
      <c r="CK201" s="858"/>
      <c r="CL201" s="858"/>
      <c r="CM201" s="858"/>
      <c r="CN201" s="858"/>
      <c r="CO201" s="858"/>
      <c r="CP201" s="858"/>
      <c r="CQ201" s="858"/>
      <c r="CR201" s="858"/>
      <c r="CS201" s="858"/>
      <c r="CT201" s="858"/>
      <c r="CU201" s="858"/>
      <c r="CV201" s="858"/>
      <c r="CW201" s="858"/>
      <c r="CX201" s="858"/>
      <c r="CY201" s="858"/>
      <c r="CZ201" s="858"/>
      <c r="DA201" s="858"/>
      <c r="DB201" s="858"/>
      <c r="DC201" s="858"/>
      <c r="DD201" s="858"/>
      <c r="DE201" s="858"/>
      <c r="DF201" s="858"/>
      <c r="DG201" s="858"/>
      <c r="DH201" s="858"/>
      <c r="DI201" s="858"/>
      <c r="DJ201" s="858"/>
      <c r="DK201" s="858"/>
      <c r="DL201" s="858"/>
      <c r="DM201" s="858"/>
      <c r="DN201" s="858"/>
      <c r="DO201" s="858"/>
      <c r="DP201" s="858"/>
      <c r="DQ201" s="858"/>
      <c r="DR201" s="858"/>
      <c r="DS201" s="858"/>
      <c r="DT201" s="858"/>
      <c r="DU201" s="858"/>
      <c r="DV201" s="858"/>
      <c r="DW201" s="858"/>
      <c r="DX201" s="858"/>
      <c r="DY201" s="858"/>
      <c r="DZ201" s="858"/>
      <c r="EA201" s="858"/>
      <c r="EB201" s="858"/>
      <c r="EC201" s="858"/>
      <c r="ED201" s="858"/>
      <c r="EE201" s="858"/>
      <c r="EF201" s="858"/>
      <c r="EG201" s="858"/>
      <c r="EH201" s="858"/>
      <c r="EI201" s="858"/>
      <c r="EJ201" s="858"/>
      <c r="EK201" s="858"/>
      <c r="EL201" s="858"/>
      <c r="EM201" s="858"/>
      <c r="EN201" s="858"/>
      <c r="EO201" s="858"/>
      <c r="EP201" s="858"/>
      <c r="EQ201" s="858"/>
      <c r="ER201" s="858"/>
      <c r="ES201" s="858"/>
      <c r="ET201" s="858"/>
      <c r="EU201" s="858"/>
      <c r="EV201" s="858"/>
      <c r="EW201" s="858"/>
      <c r="EX201" s="858"/>
      <c r="EY201" s="858"/>
      <c r="EZ201" s="858"/>
      <c r="FA201" s="858"/>
      <c r="FB201" s="858"/>
      <c r="FC201" s="858"/>
      <c r="FD201" s="858"/>
      <c r="FE201" s="858"/>
      <c r="FF201" s="858"/>
      <c r="FG201" s="858"/>
      <c r="FH201" s="858"/>
      <c r="FI201" s="858"/>
      <c r="FJ201" s="858"/>
      <c r="FK201" s="858"/>
      <c r="FL201" s="858"/>
      <c r="FM201" s="858"/>
      <c r="FN201" s="858"/>
      <c r="FO201" s="858"/>
      <c r="FP201" s="858"/>
      <c r="FQ201" s="858"/>
      <c r="FR201" s="858"/>
      <c r="FS201" s="858"/>
      <c r="FT201" s="858"/>
      <c r="FU201" s="858"/>
      <c r="FV201" s="858"/>
      <c r="FW201" s="858"/>
      <c r="FX201" s="858"/>
      <c r="FY201" s="858"/>
      <c r="FZ201" s="858"/>
      <c r="GA201" s="858"/>
      <c r="GB201" s="858"/>
      <c r="GC201" s="858"/>
      <c r="GD201" s="858"/>
      <c r="GE201" s="858"/>
      <c r="GF201" s="858"/>
      <c r="GG201" s="858"/>
      <c r="GH201" s="858"/>
      <c r="GI201" s="858"/>
      <c r="GJ201" s="858"/>
      <c r="GK201" s="858"/>
      <c r="GL201" s="858"/>
      <c r="GM201" s="858"/>
      <c r="GN201" s="858"/>
      <c r="GO201" s="858"/>
      <c r="GP201" s="858"/>
      <c r="GQ201" s="858"/>
      <c r="GR201" s="858"/>
      <c r="GS201" s="858"/>
      <c r="GT201" s="858"/>
      <c r="GU201" s="858"/>
      <c r="GV201" s="858"/>
      <c r="GW201" s="858"/>
      <c r="GX201" s="858"/>
      <c r="GY201" s="858"/>
      <c r="GZ201" s="858"/>
      <c r="HA201" s="858"/>
      <c r="HB201" s="858"/>
      <c r="HC201" s="858"/>
      <c r="HD201" s="858"/>
      <c r="HE201" s="858"/>
      <c r="HF201" s="858"/>
      <c r="HG201" s="858"/>
      <c r="HH201" s="858"/>
      <c r="HI201" s="858"/>
      <c r="HJ201" s="858"/>
      <c r="HK201" s="858"/>
      <c r="HL201" s="858"/>
      <c r="HM201" s="858"/>
      <c r="HN201" s="858"/>
      <c r="HO201" s="858"/>
      <c r="HP201" s="858"/>
      <c r="HQ201" s="858"/>
      <c r="HR201" s="858"/>
      <c r="HS201" s="858"/>
      <c r="HT201" s="858"/>
      <c r="HU201" s="858"/>
      <c r="HV201" s="858"/>
      <c r="HW201" s="858"/>
      <c r="HX201" s="858"/>
      <c r="HY201" s="858"/>
      <c r="HZ201" s="858"/>
      <c r="IA201" s="858"/>
      <c r="IB201" s="858"/>
      <c r="IC201" s="858"/>
      <c r="ID201" s="858"/>
      <c r="IE201" s="858"/>
      <c r="IF201" s="858"/>
      <c r="IG201" s="858"/>
      <c r="IH201" s="858"/>
      <c r="II201" s="858"/>
      <c r="IJ201" s="858"/>
      <c r="IK201" s="858"/>
      <c r="IL201" s="858"/>
      <c r="IM201" s="858"/>
      <c r="IN201" s="858"/>
    </row>
    <row r="202" spans="1:248">
      <c r="A202" s="564" t="s">
        <v>28</v>
      </c>
      <c r="B202" s="566">
        <v>20144.7</v>
      </c>
      <c r="C202" s="859">
        <v>27.811840330461219</v>
      </c>
      <c r="D202" s="567">
        <v>19670.099999999999</v>
      </c>
      <c r="E202" s="859">
        <v>27.156605979945354</v>
      </c>
      <c r="F202" s="859">
        <v>474.60000000000218</v>
      </c>
      <c r="G202" s="859">
        <f t="shared" si="28"/>
        <v>0.65523435051586543</v>
      </c>
      <c r="H202" s="313">
        <v>72432.100000000006</v>
      </c>
      <c r="I202" s="858"/>
      <c r="J202" s="858"/>
      <c r="K202" s="858"/>
      <c r="L202" s="858"/>
      <c r="M202" s="858"/>
      <c r="N202" s="858"/>
      <c r="O202" s="858"/>
      <c r="P202" s="858"/>
      <c r="Q202" s="858"/>
      <c r="R202" s="858"/>
      <c r="S202" s="858"/>
      <c r="T202" s="858"/>
      <c r="U202" s="858"/>
      <c r="V202" s="858"/>
      <c r="W202" s="858"/>
      <c r="X202" s="858"/>
      <c r="Y202" s="858"/>
      <c r="Z202" s="858"/>
      <c r="AA202" s="858"/>
      <c r="AB202" s="858"/>
      <c r="AC202" s="858"/>
      <c r="AD202" s="858"/>
      <c r="AE202" s="858"/>
      <c r="AF202" s="858"/>
      <c r="AG202" s="858"/>
      <c r="AH202" s="858"/>
      <c r="AI202" s="858"/>
      <c r="AJ202" s="858"/>
      <c r="AK202" s="858"/>
      <c r="AL202" s="858"/>
      <c r="AM202" s="858"/>
      <c r="AN202" s="858"/>
      <c r="AO202" s="858"/>
      <c r="AP202" s="858"/>
      <c r="AQ202" s="858"/>
      <c r="AR202" s="858"/>
      <c r="AS202" s="858"/>
      <c r="AT202" s="858"/>
      <c r="AU202" s="858"/>
      <c r="AV202" s="858"/>
      <c r="AW202" s="858"/>
      <c r="AX202" s="858"/>
      <c r="AY202" s="858"/>
      <c r="AZ202" s="858"/>
      <c r="BA202" s="858"/>
      <c r="BB202" s="858"/>
      <c r="BC202" s="858"/>
      <c r="BD202" s="858"/>
      <c r="BE202" s="858"/>
      <c r="BF202" s="858"/>
      <c r="BG202" s="858"/>
      <c r="BH202" s="858"/>
      <c r="BI202" s="858"/>
      <c r="BJ202" s="858"/>
      <c r="BK202" s="858"/>
      <c r="BL202" s="858"/>
      <c r="BM202" s="858"/>
      <c r="BN202" s="858"/>
      <c r="BO202" s="858"/>
      <c r="BP202" s="858"/>
      <c r="BQ202" s="858"/>
      <c r="BR202" s="858"/>
      <c r="BS202" s="858"/>
      <c r="BT202" s="858"/>
      <c r="BU202" s="858"/>
      <c r="BV202" s="858"/>
      <c r="BW202" s="858"/>
      <c r="BX202" s="858"/>
      <c r="BY202" s="858"/>
      <c r="BZ202" s="858"/>
      <c r="CA202" s="858"/>
      <c r="CB202" s="858"/>
      <c r="CC202" s="858"/>
      <c r="CD202" s="858"/>
      <c r="CE202" s="858"/>
      <c r="CF202" s="858"/>
      <c r="CG202" s="858"/>
      <c r="CH202" s="858"/>
      <c r="CI202" s="858"/>
      <c r="CJ202" s="858"/>
      <c r="CK202" s="858"/>
      <c r="CL202" s="858"/>
      <c r="CM202" s="858"/>
      <c r="CN202" s="858"/>
      <c r="CO202" s="858"/>
      <c r="CP202" s="858"/>
      <c r="CQ202" s="858"/>
      <c r="CR202" s="858"/>
      <c r="CS202" s="858"/>
      <c r="CT202" s="858"/>
      <c r="CU202" s="858"/>
      <c r="CV202" s="858"/>
      <c r="CW202" s="858"/>
      <c r="CX202" s="858"/>
      <c r="CY202" s="858"/>
      <c r="CZ202" s="858"/>
      <c r="DA202" s="858"/>
      <c r="DB202" s="858"/>
      <c r="DC202" s="858"/>
      <c r="DD202" s="858"/>
      <c r="DE202" s="858"/>
      <c r="DF202" s="858"/>
      <c r="DG202" s="858"/>
      <c r="DH202" s="858"/>
      <c r="DI202" s="858"/>
      <c r="DJ202" s="858"/>
      <c r="DK202" s="858"/>
      <c r="DL202" s="858"/>
      <c r="DM202" s="858"/>
      <c r="DN202" s="858"/>
      <c r="DO202" s="858"/>
      <c r="DP202" s="858"/>
      <c r="DQ202" s="858"/>
      <c r="DR202" s="858"/>
      <c r="DS202" s="858"/>
      <c r="DT202" s="858"/>
      <c r="DU202" s="858"/>
      <c r="DV202" s="858"/>
      <c r="DW202" s="858"/>
      <c r="DX202" s="858"/>
      <c r="DY202" s="858"/>
      <c r="DZ202" s="858"/>
      <c r="EA202" s="858"/>
      <c r="EB202" s="858"/>
      <c r="EC202" s="858"/>
      <c r="ED202" s="858"/>
      <c r="EE202" s="858"/>
      <c r="EF202" s="858"/>
      <c r="EG202" s="858"/>
      <c r="EH202" s="858"/>
      <c r="EI202" s="858"/>
      <c r="EJ202" s="858"/>
      <c r="EK202" s="858"/>
      <c r="EL202" s="858"/>
      <c r="EM202" s="858"/>
      <c r="EN202" s="858"/>
      <c r="EO202" s="858"/>
      <c r="EP202" s="858"/>
      <c r="EQ202" s="858"/>
      <c r="ER202" s="858"/>
      <c r="ES202" s="858"/>
      <c r="ET202" s="858"/>
      <c r="EU202" s="858"/>
      <c r="EV202" s="858"/>
      <c r="EW202" s="858"/>
      <c r="EX202" s="858"/>
      <c r="EY202" s="858"/>
      <c r="EZ202" s="858"/>
      <c r="FA202" s="858"/>
      <c r="FB202" s="858"/>
      <c r="FC202" s="858"/>
      <c r="FD202" s="858"/>
      <c r="FE202" s="858"/>
      <c r="FF202" s="858"/>
      <c r="FG202" s="858"/>
      <c r="FH202" s="858"/>
      <c r="FI202" s="858"/>
      <c r="FJ202" s="858"/>
      <c r="FK202" s="858"/>
      <c r="FL202" s="858"/>
      <c r="FM202" s="858"/>
      <c r="FN202" s="858"/>
      <c r="FO202" s="858"/>
      <c r="FP202" s="858"/>
      <c r="FQ202" s="858"/>
      <c r="FR202" s="858"/>
      <c r="FS202" s="858"/>
      <c r="FT202" s="858"/>
      <c r="FU202" s="858"/>
      <c r="FV202" s="858"/>
      <c r="FW202" s="858"/>
      <c r="FX202" s="858"/>
      <c r="FY202" s="858"/>
      <c r="FZ202" s="858"/>
      <c r="GA202" s="858"/>
      <c r="GB202" s="858"/>
      <c r="GC202" s="858"/>
      <c r="GD202" s="858"/>
      <c r="GE202" s="858"/>
      <c r="GF202" s="858"/>
      <c r="GG202" s="858"/>
      <c r="GH202" s="858"/>
      <c r="GI202" s="858"/>
      <c r="GJ202" s="858"/>
      <c r="GK202" s="858"/>
      <c r="GL202" s="858"/>
      <c r="GM202" s="858"/>
      <c r="GN202" s="858"/>
      <c r="GO202" s="858"/>
      <c r="GP202" s="858"/>
      <c r="GQ202" s="858"/>
      <c r="GR202" s="858"/>
      <c r="GS202" s="858"/>
      <c r="GT202" s="858"/>
      <c r="GU202" s="858"/>
      <c r="GV202" s="858"/>
      <c r="GW202" s="858"/>
      <c r="GX202" s="858"/>
      <c r="GY202" s="858"/>
      <c r="GZ202" s="858"/>
      <c r="HA202" s="858"/>
      <c r="HB202" s="858"/>
      <c r="HC202" s="858"/>
      <c r="HD202" s="858"/>
      <c r="HE202" s="858"/>
      <c r="HF202" s="858"/>
      <c r="HG202" s="858"/>
      <c r="HH202" s="858"/>
      <c r="HI202" s="858"/>
      <c r="HJ202" s="858"/>
      <c r="HK202" s="858"/>
      <c r="HL202" s="858"/>
      <c r="HM202" s="858"/>
      <c r="HN202" s="858"/>
      <c r="HO202" s="858"/>
      <c r="HP202" s="858"/>
      <c r="HQ202" s="858"/>
      <c r="HR202" s="858"/>
      <c r="HS202" s="858"/>
      <c r="HT202" s="858"/>
      <c r="HU202" s="858"/>
      <c r="HV202" s="858"/>
      <c r="HW202" s="858"/>
      <c r="HX202" s="858"/>
      <c r="HY202" s="858"/>
      <c r="HZ202" s="858"/>
      <c r="IA202" s="858"/>
      <c r="IB202" s="858"/>
      <c r="IC202" s="858"/>
      <c r="ID202" s="858"/>
      <c r="IE202" s="858"/>
      <c r="IF202" s="858"/>
      <c r="IG202" s="858"/>
      <c r="IH202" s="858"/>
      <c r="II202" s="858"/>
      <c r="IJ202" s="858"/>
      <c r="IK202" s="858"/>
      <c r="IL202" s="858"/>
      <c r="IM202" s="858"/>
      <c r="IN202" s="858"/>
    </row>
    <row r="203" spans="1:248">
      <c r="A203" s="564" t="s">
        <v>29</v>
      </c>
      <c r="B203" s="566">
        <v>22508.86967</v>
      </c>
      <c r="C203" s="859">
        <v>28.085160776116485</v>
      </c>
      <c r="D203" s="567">
        <v>22731.643760000003</v>
      </c>
      <c r="E203" s="859">
        <v>28.470762795232417</v>
      </c>
      <c r="F203" s="859">
        <v>-222.77409000000262</v>
      </c>
      <c r="G203" s="859">
        <f t="shared" si="28"/>
        <v>-0.27814774259601788</v>
      </c>
      <c r="H203" s="313">
        <v>80092</v>
      </c>
      <c r="I203" s="858"/>
      <c r="J203" s="858"/>
      <c r="K203" s="858"/>
      <c r="L203" s="858"/>
      <c r="M203" s="858"/>
      <c r="N203" s="858"/>
      <c r="O203" s="858"/>
      <c r="P203" s="858"/>
      <c r="Q203" s="858"/>
      <c r="R203" s="858"/>
      <c r="S203" s="858"/>
      <c r="T203" s="858"/>
      <c r="U203" s="858"/>
      <c r="V203" s="858"/>
      <c r="W203" s="858"/>
      <c r="X203" s="858"/>
      <c r="Y203" s="858"/>
      <c r="Z203" s="858"/>
      <c r="AA203" s="858"/>
      <c r="AB203" s="858"/>
      <c r="AC203" s="858"/>
      <c r="AD203" s="858"/>
      <c r="AE203" s="858"/>
      <c r="AF203" s="858"/>
      <c r="AG203" s="858"/>
      <c r="AH203" s="858"/>
      <c r="AI203" s="858"/>
      <c r="AJ203" s="858"/>
      <c r="AK203" s="858"/>
      <c r="AL203" s="858"/>
      <c r="AM203" s="858"/>
      <c r="AN203" s="858"/>
      <c r="AO203" s="858"/>
      <c r="AP203" s="858"/>
      <c r="AQ203" s="858"/>
      <c r="AR203" s="858"/>
      <c r="AS203" s="858"/>
      <c r="AT203" s="858"/>
      <c r="AU203" s="858"/>
      <c r="AV203" s="858"/>
      <c r="AW203" s="858"/>
      <c r="AX203" s="858"/>
      <c r="AY203" s="858"/>
      <c r="AZ203" s="858"/>
      <c r="BA203" s="858"/>
      <c r="BB203" s="858"/>
      <c r="BC203" s="858"/>
      <c r="BD203" s="858"/>
      <c r="BE203" s="858"/>
      <c r="BF203" s="858"/>
      <c r="BG203" s="858"/>
      <c r="BH203" s="858"/>
      <c r="BI203" s="858"/>
      <c r="BJ203" s="858"/>
      <c r="BK203" s="858"/>
      <c r="BL203" s="858"/>
      <c r="BM203" s="858"/>
      <c r="BN203" s="858"/>
      <c r="BO203" s="858"/>
      <c r="BP203" s="858"/>
      <c r="BQ203" s="858"/>
      <c r="BR203" s="858"/>
      <c r="BS203" s="858"/>
      <c r="BT203" s="858"/>
      <c r="BU203" s="858"/>
      <c r="BV203" s="858"/>
      <c r="BW203" s="858"/>
      <c r="BX203" s="858"/>
      <c r="BY203" s="858"/>
      <c r="BZ203" s="858"/>
      <c r="CA203" s="858"/>
      <c r="CB203" s="858"/>
      <c r="CC203" s="858"/>
      <c r="CD203" s="858"/>
      <c r="CE203" s="858"/>
      <c r="CF203" s="858"/>
      <c r="CG203" s="858"/>
      <c r="CH203" s="858"/>
      <c r="CI203" s="858"/>
      <c r="CJ203" s="858"/>
      <c r="CK203" s="858"/>
      <c r="CL203" s="858"/>
      <c r="CM203" s="858"/>
      <c r="CN203" s="858"/>
      <c r="CO203" s="858"/>
      <c r="CP203" s="858"/>
      <c r="CQ203" s="858"/>
      <c r="CR203" s="858"/>
      <c r="CS203" s="858"/>
      <c r="CT203" s="858"/>
      <c r="CU203" s="858"/>
      <c r="CV203" s="858"/>
      <c r="CW203" s="858"/>
      <c r="CX203" s="858"/>
      <c r="CY203" s="858"/>
      <c r="CZ203" s="858"/>
      <c r="DA203" s="858"/>
      <c r="DB203" s="858"/>
      <c r="DC203" s="858"/>
      <c r="DD203" s="858"/>
      <c r="DE203" s="858"/>
      <c r="DF203" s="858"/>
      <c r="DG203" s="858"/>
      <c r="DH203" s="858"/>
      <c r="DI203" s="858"/>
      <c r="DJ203" s="858"/>
      <c r="DK203" s="858"/>
      <c r="DL203" s="858"/>
      <c r="DM203" s="858"/>
      <c r="DN203" s="858"/>
      <c r="DO203" s="858"/>
      <c r="DP203" s="858"/>
      <c r="DQ203" s="858"/>
      <c r="DR203" s="858"/>
      <c r="DS203" s="858"/>
      <c r="DT203" s="858"/>
      <c r="DU203" s="858"/>
      <c r="DV203" s="858"/>
      <c r="DW203" s="858"/>
      <c r="DX203" s="858"/>
      <c r="DY203" s="858"/>
      <c r="DZ203" s="858"/>
      <c r="EA203" s="858"/>
      <c r="EB203" s="858"/>
      <c r="EC203" s="858"/>
      <c r="ED203" s="858"/>
      <c r="EE203" s="858"/>
      <c r="EF203" s="858"/>
      <c r="EG203" s="858"/>
      <c r="EH203" s="858"/>
      <c r="EI203" s="858"/>
      <c r="EJ203" s="858"/>
      <c r="EK203" s="858"/>
      <c r="EL203" s="858"/>
      <c r="EM203" s="858"/>
      <c r="EN203" s="858"/>
      <c r="EO203" s="858"/>
      <c r="EP203" s="858"/>
      <c r="EQ203" s="858"/>
      <c r="ER203" s="858"/>
      <c r="ES203" s="858"/>
      <c r="ET203" s="858"/>
      <c r="EU203" s="858"/>
      <c r="EV203" s="858"/>
      <c r="EW203" s="858"/>
      <c r="EX203" s="858"/>
      <c r="EY203" s="858"/>
      <c r="EZ203" s="858"/>
      <c r="FA203" s="858"/>
      <c r="FB203" s="858"/>
      <c r="FC203" s="858"/>
      <c r="FD203" s="858"/>
      <c r="FE203" s="858"/>
      <c r="FF203" s="858"/>
      <c r="FG203" s="858"/>
      <c r="FH203" s="858"/>
      <c r="FI203" s="858"/>
      <c r="FJ203" s="858"/>
      <c r="FK203" s="858"/>
      <c r="FL203" s="858"/>
      <c r="FM203" s="858"/>
      <c r="FN203" s="858"/>
      <c r="FO203" s="858"/>
      <c r="FP203" s="858"/>
      <c r="FQ203" s="858"/>
      <c r="FR203" s="858"/>
      <c r="FS203" s="858"/>
      <c r="FT203" s="858"/>
      <c r="FU203" s="858"/>
      <c r="FV203" s="858"/>
      <c r="FW203" s="858"/>
      <c r="FX203" s="858"/>
      <c r="FY203" s="858"/>
      <c r="FZ203" s="858"/>
      <c r="GA203" s="858"/>
      <c r="GB203" s="858"/>
      <c r="GC203" s="858"/>
      <c r="GD203" s="858"/>
      <c r="GE203" s="858"/>
      <c r="GF203" s="858"/>
      <c r="GG203" s="858"/>
      <c r="GH203" s="858"/>
      <c r="GI203" s="858"/>
      <c r="GJ203" s="858"/>
      <c r="GK203" s="858"/>
      <c r="GL203" s="858"/>
      <c r="GM203" s="858"/>
      <c r="GN203" s="858"/>
      <c r="GO203" s="858"/>
      <c r="GP203" s="858"/>
      <c r="GQ203" s="858"/>
      <c r="GR203" s="858"/>
      <c r="GS203" s="858"/>
      <c r="GT203" s="858"/>
      <c r="GU203" s="858"/>
      <c r="GV203" s="858"/>
      <c r="GW203" s="858"/>
      <c r="GX203" s="858"/>
      <c r="GY203" s="858"/>
      <c r="GZ203" s="858"/>
      <c r="HA203" s="858"/>
      <c r="HB203" s="858"/>
      <c r="HC203" s="858"/>
      <c r="HD203" s="858"/>
      <c r="HE203" s="858"/>
      <c r="HF203" s="858"/>
      <c r="HG203" s="858"/>
      <c r="HH203" s="858"/>
      <c r="HI203" s="858"/>
      <c r="HJ203" s="858"/>
      <c r="HK203" s="858"/>
      <c r="HL203" s="858"/>
      <c r="HM203" s="858"/>
      <c r="HN203" s="858"/>
      <c r="HO203" s="858"/>
      <c r="HP203" s="858"/>
      <c r="HQ203" s="858"/>
      <c r="HR203" s="858"/>
      <c r="HS203" s="858"/>
      <c r="HT203" s="858"/>
      <c r="HU203" s="858"/>
      <c r="HV203" s="858"/>
      <c r="HW203" s="858"/>
      <c r="HX203" s="858"/>
      <c r="HY203" s="858"/>
      <c r="HZ203" s="858"/>
      <c r="IA203" s="858"/>
      <c r="IB203" s="858"/>
      <c r="IC203" s="858"/>
      <c r="ID203" s="858"/>
      <c r="IE203" s="858"/>
      <c r="IF203" s="858"/>
      <c r="IG203" s="858"/>
      <c r="IH203" s="858"/>
      <c r="II203" s="858"/>
      <c r="IJ203" s="858"/>
      <c r="IK203" s="858"/>
      <c r="IL203" s="858"/>
      <c r="IM203" s="858"/>
      <c r="IN203" s="858"/>
    </row>
    <row r="204" spans="1:248">
      <c r="A204" s="564" t="s">
        <v>2131</v>
      </c>
      <c r="B204" s="561">
        <v>24218.1</v>
      </c>
      <c r="C204" s="860">
        <v>29.626963430908042</v>
      </c>
      <c r="D204" s="562">
        <v>24425.9</v>
      </c>
      <c r="E204" s="860">
        <v>29.878184645143911</v>
      </c>
      <c r="F204" s="860">
        <f>B204-D204</f>
        <v>-207.80000000000291</v>
      </c>
      <c r="G204" s="860">
        <v>-0.25122121423586968</v>
      </c>
      <c r="H204" s="313"/>
      <c r="I204" s="858"/>
      <c r="J204" s="858"/>
      <c r="K204" s="858"/>
      <c r="L204" s="858"/>
      <c r="M204" s="858"/>
      <c r="N204" s="858"/>
      <c r="O204" s="858"/>
      <c r="P204" s="858"/>
      <c r="Q204" s="858"/>
      <c r="R204" s="858"/>
      <c r="S204" s="858"/>
      <c r="T204" s="858"/>
      <c r="U204" s="858"/>
      <c r="V204" s="858"/>
      <c r="W204" s="858"/>
      <c r="X204" s="858"/>
      <c r="Y204" s="858"/>
      <c r="Z204" s="858"/>
      <c r="AA204" s="858"/>
      <c r="AB204" s="858"/>
      <c r="AC204" s="858"/>
      <c r="AD204" s="858"/>
      <c r="AE204" s="858"/>
      <c r="AF204" s="858"/>
      <c r="AG204" s="858"/>
      <c r="AH204" s="858"/>
      <c r="AI204" s="858"/>
      <c r="AJ204" s="858"/>
      <c r="AK204" s="858"/>
      <c r="AL204" s="858"/>
      <c r="AM204" s="858"/>
      <c r="AN204" s="858"/>
      <c r="AO204" s="858"/>
      <c r="AP204" s="858"/>
      <c r="AQ204" s="858"/>
      <c r="AR204" s="858"/>
      <c r="AS204" s="858"/>
      <c r="AT204" s="858"/>
      <c r="AU204" s="858"/>
      <c r="AV204" s="858"/>
      <c r="AW204" s="858"/>
      <c r="AX204" s="858"/>
      <c r="AY204" s="858"/>
      <c r="AZ204" s="858"/>
      <c r="BA204" s="858"/>
      <c r="BB204" s="858"/>
      <c r="BC204" s="858"/>
      <c r="BD204" s="858"/>
      <c r="BE204" s="858"/>
      <c r="BF204" s="858"/>
      <c r="BG204" s="858"/>
      <c r="BH204" s="858"/>
      <c r="BI204" s="858"/>
      <c r="BJ204" s="858"/>
      <c r="BK204" s="858"/>
      <c r="BL204" s="858"/>
      <c r="BM204" s="858"/>
      <c r="BN204" s="858"/>
      <c r="BO204" s="858"/>
      <c r="BP204" s="858"/>
      <c r="BQ204" s="858"/>
      <c r="BR204" s="858"/>
      <c r="BS204" s="858"/>
      <c r="BT204" s="858"/>
      <c r="BU204" s="858"/>
      <c r="BV204" s="858"/>
      <c r="BW204" s="858"/>
      <c r="BX204" s="858"/>
      <c r="BY204" s="858"/>
      <c r="BZ204" s="858"/>
      <c r="CA204" s="858"/>
      <c r="CB204" s="858"/>
      <c r="CC204" s="858"/>
      <c r="CD204" s="858"/>
      <c r="CE204" s="858"/>
      <c r="CF204" s="858"/>
      <c r="CG204" s="858"/>
      <c r="CH204" s="858"/>
      <c r="CI204" s="858"/>
      <c r="CJ204" s="858"/>
      <c r="CK204" s="858"/>
      <c r="CL204" s="858"/>
      <c r="CM204" s="858"/>
      <c r="CN204" s="858"/>
      <c r="CO204" s="858"/>
      <c r="CP204" s="858"/>
      <c r="CQ204" s="858"/>
      <c r="CR204" s="858"/>
      <c r="CS204" s="858"/>
      <c r="CT204" s="858"/>
      <c r="CU204" s="858"/>
      <c r="CV204" s="858"/>
      <c r="CW204" s="858"/>
      <c r="CX204" s="858"/>
      <c r="CY204" s="858"/>
      <c r="CZ204" s="858"/>
      <c r="DA204" s="858"/>
      <c r="DB204" s="858"/>
      <c r="DC204" s="858"/>
      <c r="DD204" s="858"/>
      <c r="DE204" s="858"/>
      <c r="DF204" s="858"/>
      <c r="DG204" s="858"/>
      <c r="DH204" s="858"/>
      <c r="DI204" s="858"/>
      <c r="DJ204" s="858"/>
      <c r="DK204" s="858"/>
      <c r="DL204" s="858"/>
      <c r="DM204" s="858"/>
      <c r="DN204" s="858"/>
      <c r="DO204" s="858"/>
      <c r="DP204" s="858"/>
      <c r="DQ204" s="858"/>
      <c r="DR204" s="858"/>
      <c r="DS204" s="858"/>
      <c r="DT204" s="858"/>
      <c r="DU204" s="858"/>
      <c r="DV204" s="858"/>
      <c r="DW204" s="858"/>
      <c r="DX204" s="858"/>
      <c r="DY204" s="858"/>
      <c r="DZ204" s="858"/>
      <c r="EA204" s="858"/>
      <c r="EB204" s="858"/>
      <c r="EC204" s="858"/>
      <c r="ED204" s="858"/>
      <c r="EE204" s="858"/>
      <c r="EF204" s="858"/>
      <c r="EG204" s="858"/>
      <c r="EH204" s="858"/>
      <c r="EI204" s="858"/>
      <c r="EJ204" s="858"/>
      <c r="EK204" s="858"/>
      <c r="EL204" s="858"/>
      <c r="EM204" s="858"/>
      <c r="EN204" s="858"/>
      <c r="EO204" s="858"/>
      <c r="EP204" s="858"/>
      <c r="EQ204" s="858"/>
      <c r="ER204" s="858"/>
      <c r="ES204" s="858"/>
      <c r="ET204" s="858"/>
      <c r="EU204" s="858"/>
      <c r="EV204" s="858"/>
      <c r="EW204" s="858"/>
      <c r="EX204" s="858"/>
      <c r="EY204" s="858"/>
      <c r="EZ204" s="858"/>
      <c r="FA204" s="858"/>
      <c r="FB204" s="858"/>
      <c r="FC204" s="858"/>
      <c r="FD204" s="858"/>
      <c r="FE204" s="858"/>
      <c r="FF204" s="858"/>
      <c r="FG204" s="858"/>
      <c r="FH204" s="858"/>
      <c r="FI204" s="858"/>
      <c r="FJ204" s="858"/>
      <c r="FK204" s="858"/>
      <c r="FL204" s="858"/>
      <c r="FM204" s="858"/>
      <c r="FN204" s="858"/>
      <c r="FO204" s="858"/>
      <c r="FP204" s="858"/>
      <c r="FQ204" s="858"/>
      <c r="FR204" s="858"/>
      <c r="FS204" s="858"/>
      <c r="FT204" s="858"/>
      <c r="FU204" s="858"/>
      <c r="FV204" s="858"/>
      <c r="FW204" s="858"/>
      <c r="FX204" s="858"/>
      <c r="FY204" s="858"/>
      <c r="FZ204" s="858"/>
      <c r="GA204" s="858"/>
      <c r="GB204" s="858"/>
      <c r="GC204" s="858"/>
      <c r="GD204" s="858"/>
      <c r="GE204" s="858"/>
      <c r="GF204" s="858"/>
      <c r="GG204" s="858"/>
      <c r="GH204" s="858"/>
      <c r="GI204" s="858"/>
      <c r="GJ204" s="858"/>
      <c r="GK204" s="858"/>
      <c r="GL204" s="858"/>
      <c r="GM204" s="858"/>
      <c r="GN204" s="858"/>
      <c r="GO204" s="858"/>
      <c r="GP204" s="858"/>
      <c r="GQ204" s="858"/>
      <c r="GR204" s="858"/>
      <c r="GS204" s="858"/>
      <c r="GT204" s="858"/>
      <c r="GU204" s="858"/>
      <c r="GV204" s="858"/>
      <c r="GW204" s="858"/>
      <c r="GX204" s="858"/>
      <c r="GY204" s="858"/>
      <c r="GZ204" s="858"/>
      <c r="HA204" s="858"/>
      <c r="HB204" s="858"/>
      <c r="HC204" s="858"/>
      <c r="HD204" s="858"/>
      <c r="HE204" s="858"/>
      <c r="HF204" s="858"/>
      <c r="HG204" s="858"/>
      <c r="HH204" s="858"/>
      <c r="HI204" s="858"/>
      <c r="HJ204" s="858"/>
      <c r="HK204" s="858"/>
      <c r="HL204" s="858"/>
      <c r="HM204" s="858"/>
      <c r="HN204" s="858"/>
      <c r="HO204" s="858"/>
      <c r="HP204" s="858"/>
      <c r="HQ204" s="858"/>
      <c r="HR204" s="858"/>
      <c r="HS204" s="858"/>
      <c r="HT204" s="858"/>
      <c r="HU204" s="858"/>
      <c r="HV204" s="858"/>
      <c r="HW204" s="858"/>
      <c r="HX204" s="858"/>
      <c r="HY204" s="858"/>
      <c r="HZ204" s="858"/>
      <c r="IA204" s="858"/>
      <c r="IB204" s="858"/>
      <c r="IC204" s="858"/>
      <c r="ID204" s="858"/>
      <c r="IE204" s="858"/>
      <c r="IF204" s="858"/>
      <c r="IG204" s="858"/>
      <c r="IH204" s="858"/>
      <c r="II204" s="858"/>
      <c r="IJ204" s="858"/>
      <c r="IK204" s="858"/>
      <c r="IL204" s="858"/>
      <c r="IM204" s="858"/>
      <c r="IN204" s="858"/>
    </row>
    <row r="205" spans="1:248">
      <c r="A205" s="564" t="s">
        <v>18</v>
      </c>
      <c r="B205" s="566">
        <v>2097.1</v>
      </c>
      <c r="C205" s="859">
        <v>35.367231638418076</v>
      </c>
      <c r="D205" s="567">
        <v>1269.0999999999999</v>
      </c>
      <c r="E205" s="859">
        <v>21.403153722910869</v>
      </c>
      <c r="F205" s="859">
        <v>828</v>
      </c>
      <c r="G205" s="859">
        <f t="shared" si="28"/>
        <v>13.964077915507209</v>
      </c>
      <c r="H205" s="313">
        <v>5929.5</v>
      </c>
      <c r="I205" s="858"/>
      <c r="J205" s="858"/>
      <c r="K205" s="858"/>
      <c r="L205" s="858"/>
      <c r="M205" s="858"/>
      <c r="N205" s="858"/>
      <c r="O205" s="858"/>
      <c r="P205" s="858"/>
      <c r="Q205" s="858"/>
      <c r="R205" s="858"/>
      <c r="S205" s="858"/>
      <c r="T205" s="858"/>
      <c r="U205" s="858"/>
      <c r="V205" s="858"/>
      <c r="W205" s="858"/>
      <c r="X205" s="858"/>
      <c r="Y205" s="858"/>
      <c r="Z205" s="858"/>
      <c r="AA205" s="858"/>
      <c r="AB205" s="858"/>
      <c r="AC205" s="858"/>
      <c r="AD205" s="858"/>
      <c r="AE205" s="858"/>
      <c r="AF205" s="858"/>
      <c r="AG205" s="858"/>
      <c r="AH205" s="858"/>
      <c r="AI205" s="858"/>
      <c r="AJ205" s="858"/>
      <c r="AK205" s="858"/>
      <c r="AL205" s="858"/>
      <c r="AM205" s="858"/>
      <c r="AN205" s="858"/>
      <c r="AO205" s="858"/>
      <c r="AP205" s="858"/>
      <c r="AQ205" s="858"/>
      <c r="AR205" s="858"/>
      <c r="AS205" s="858"/>
      <c r="AT205" s="858"/>
      <c r="AU205" s="858"/>
      <c r="AV205" s="858"/>
      <c r="AW205" s="858"/>
      <c r="AX205" s="858"/>
      <c r="AY205" s="858"/>
      <c r="AZ205" s="858"/>
      <c r="BA205" s="858"/>
      <c r="BB205" s="858"/>
      <c r="BC205" s="858"/>
      <c r="BD205" s="858"/>
      <c r="BE205" s="858"/>
      <c r="BF205" s="858"/>
      <c r="BG205" s="858"/>
      <c r="BH205" s="858"/>
      <c r="BI205" s="858"/>
      <c r="BJ205" s="858"/>
      <c r="BK205" s="858"/>
      <c r="BL205" s="858"/>
      <c r="BM205" s="858"/>
      <c r="BN205" s="858"/>
      <c r="BO205" s="858"/>
      <c r="BP205" s="858"/>
      <c r="BQ205" s="858"/>
      <c r="BR205" s="858"/>
      <c r="BS205" s="858"/>
      <c r="BT205" s="858"/>
      <c r="BU205" s="858"/>
      <c r="BV205" s="858"/>
      <c r="BW205" s="858"/>
      <c r="BX205" s="858"/>
      <c r="BY205" s="858"/>
      <c r="BZ205" s="858"/>
      <c r="CA205" s="858"/>
      <c r="CB205" s="858"/>
      <c r="CC205" s="858"/>
      <c r="CD205" s="858"/>
      <c r="CE205" s="858"/>
      <c r="CF205" s="858"/>
      <c r="CG205" s="858"/>
      <c r="CH205" s="858"/>
      <c r="CI205" s="858"/>
      <c r="CJ205" s="858"/>
      <c r="CK205" s="858"/>
      <c r="CL205" s="858"/>
      <c r="CM205" s="858"/>
      <c r="CN205" s="858"/>
      <c r="CO205" s="858"/>
      <c r="CP205" s="858"/>
      <c r="CQ205" s="858"/>
      <c r="CR205" s="858"/>
      <c r="CS205" s="858"/>
      <c r="CT205" s="858"/>
      <c r="CU205" s="858"/>
      <c r="CV205" s="858"/>
      <c r="CW205" s="858"/>
      <c r="CX205" s="858"/>
      <c r="CY205" s="858"/>
      <c r="CZ205" s="858"/>
      <c r="DA205" s="858"/>
      <c r="DB205" s="858"/>
      <c r="DC205" s="858"/>
      <c r="DD205" s="858"/>
      <c r="DE205" s="858"/>
      <c r="DF205" s="858"/>
      <c r="DG205" s="858"/>
      <c r="DH205" s="858"/>
      <c r="DI205" s="858"/>
      <c r="DJ205" s="858"/>
      <c r="DK205" s="858"/>
      <c r="DL205" s="858"/>
      <c r="DM205" s="858"/>
      <c r="DN205" s="858"/>
      <c r="DO205" s="858"/>
      <c r="DP205" s="858"/>
      <c r="DQ205" s="858"/>
      <c r="DR205" s="858"/>
      <c r="DS205" s="858"/>
      <c r="DT205" s="858"/>
      <c r="DU205" s="858"/>
      <c r="DV205" s="858"/>
      <c r="DW205" s="858"/>
      <c r="DX205" s="858"/>
      <c r="DY205" s="858"/>
      <c r="DZ205" s="858"/>
      <c r="EA205" s="858"/>
      <c r="EB205" s="858"/>
      <c r="EC205" s="858"/>
      <c r="ED205" s="858"/>
      <c r="EE205" s="858"/>
      <c r="EF205" s="858"/>
      <c r="EG205" s="858"/>
      <c r="EH205" s="858"/>
      <c r="EI205" s="858"/>
      <c r="EJ205" s="858"/>
      <c r="EK205" s="858"/>
      <c r="EL205" s="858"/>
      <c r="EM205" s="858"/>
      <c r="EN205" s="858"/>
      <c r="EO205" s="858"/>
      <c r="EP205" s="858"/>
      <c r="EQ205" s="858"/>
      <c r="ER205" s="858"/>
      <c r="ES205" s="858"/>
      <c r="ET205" s="858"/>
      <c r="EU205" s="858"/>
      <c r="EV205" s="858"/>
      <c r="EW205" s="858"/>
      <c r="EX205" s="858"/>
      <c r="EY205" s="858"/>
      <c r="EZ205" s="858"/>
      <c r="FA205" s="858"/>
      <c r="FB205" s="858"/>
      <c r="FC205" s="858"/>
      <c r="FD205" s="858"/>
      <c r="FE205" s="858"/>
      <c r="FF205" s="858"/>
      <c r="FG205" s="858"/>
      <c r="FH205" s="858"/>
      <c r="FI205" s="858"/>
      <c r="FJ205" s="858"/>
      <c r="FK205" s="858"/>
      <c r="FL205" s="858"/>
      <c r="FM205" s="858"/>
      <c r="FN205" s="858"/>
      <c r="FO205" s="858"/>
      <c r="FP205" s="858"/>
      <c r="FQ205" s="858"/>
      <c r="FR205" s="858"/>
      <c r="FS205" s="858"/>
      <c r="FT205" s="858"/>
      <c r="FU205" s="858"/>
      <c r="FV205" s="858"/>
      <c r="FW205" s="858"/>
      <c r="FX205" s="858"/>
      <c r="FY205" s="858"/>
      <c r="FZ205" s="858"/>
      <c r="GA205" s="858"/>
      <c r="GB205" s="858"/>
      <c r="GC205" s="858"/>
      <c r="GD205" s="858"/>
      <c r="GE205" s="858"/>
      <c r="GF205" s="858"/>
      <c r="GG205" s="858"/>
      <c r="GH205" s="858"/>
      <c r="GI205" s="858"/>
      <c r="GJ205" s="858"/>
      <c r="GK205" s="858"/>
      <c r="GL205" s="858"/>
      <c r="GM205" s="858"/>
      <c r="GN205" s="858"/>
      <c r="GO205" s="858"/>
      <c r="GP205" s="858"/>
      <c r="GQ205" s="858"/>
      <c r="GR205" s="858"/>
      <c r="GS205" s="858"/>
      <c r="GT205" s="858"/>
      <c r="GU205" s="858"/>
      <c r="GV205" s="858"/>
      <c r="GW205" s="858"/>
      <c r="GX205" s="858"/>
      <c r="GY205" s="858"/>
      <c r="GZ205" s="858"/>
      <c r="HA205" s="858"/>
      <c r="HB205" s="858"/>
      <c r="HC205" s="858"/>
      <c r="HD205" s="858"/>
      <c r="HE205" s="858"/>
      <c r="HF205" s="858"/>
      <c r="HG205" s="858"/>
      <c r="HH205" s="858"/>
      <c r="HI205" s="858"/>
      <c r="HJ205" s="858"/>
      <c r="HK205" s="858"/>
      <c r="HL205" s="858"/>
      <c r="HM205" s="858"/>
      <c r="HN205" s="858"/>
      <c r="HO205" s="858"/>
      <c r="HP205" s="858"/>
      <c r="HQ205" s="858"/>
      <c r="HR205" s="858"/>
      <c r="HS205" s="858"/>
      <c r="HT205" s="858"/>
      <c r="HU205" s="858"/>
      <c r="HV205" s="858"/>
      <c r="HW205" s="858"/>
      <c r="HX205" s="858"/>
      <c r="HY205" s="858"/>
      <c r="HZ205" s="858"/>
      <c r="IA205" s="858"/>
      <c r="IB205" s="858"/>
      <c r="IC205" s="858"/>
      <c r="ID205" s="858"/>
      <c r="IE205" s="858"/>
      <c r="IF205" s="858"/>
      <c r="IG205" s="858"/>
      <c r="IH205" s="858"/>
      <c r="II205" s="858"/>
      <c r="IJ205" s="858"/>
      <c r="IK205" s="858"/>
      <c r="IL205" s="858"/>
      <c r="IM205" s="858"/>
      <c r="IN205" s="858"/>
    </row>
    <row r="206" spans="1:248">
      <c r="A206" s="564" t="s">
        <v>19</v>
      </c>
      <c r="B206" s="566">
        <v>3532.9</v>
      </c>
      <c r="C206" s="859">
        <v>30.762331838565022</v>
      </c>
      <c r="D206" s="567">
        <v>2954.8</v>
      </c>
      <c r="E206" s="859">
        <v>25.728590709216771</v>
      </c>
      <c r="F206" s="859">
        <v>578.09999999999991</v>
      </c>
      <c r="G206" s="859">
        <f t="shared" si="28"/>
        <v>5.0337411293482512</v>
      </c>
      <c r="H206" s="313">
        <v>11484.5</v>
      </c>
      <c r="I206" s="858"/>
      <c r="J206" s="858"/>
      <c r="K206" s="858"/>
      <c r="L206" s="858"/>
      <c r="M206" s="858"/>
      <c r="N206" s="858"/>
      <c r="O206" s="858"/>
      <c r="P206" s="858"/>
      <c r="Q206" s="858"/>
      <c r="R206" s="858"/>
      <c r="S206" s="858"/>
      <c r="T206" s="858"/>
      <c r="U206" s="858"/>
      <c r="V206" s="858"/>
      <c r="W206" s="858"/>
      <c r="X206" s="858"/>
      <c r="Y206" s="858"/>
      <c r="Z206" s="858"/>
      <c r="AA206" s="858"/>
      <c r="AB206" s="858"/>
      <c r="AC206" s="858"/>
      <c r="AD206" s="858"/>
      <c r="AE206" s="858"/>
      <c r="AF206" s="858"/>
      <c r="AG206" s="858"/>
      <c r="AH206" s="858"/>
      <c r="AI206" s="858"/>
      <c r="AJ206" s="858"/>
      <c r="AK206" s="858"/>
      <c r="AL206" s="858"/>
      <c r="AM206" s="858"/>
      <c r="AN206" s="858"/>
      <c r="AO206" s="858"/>
      <c r="AP206" s="858"/>
      <c r="AQ206" s="858"/>
      <c r="AR206" s="858"/>
      <c r="AS206" s="858"/>
      <c r="AT206" s="858"/>
      <c r="AU206" s="858"/>
      <c r="AV206" s="858"/>
      <c r="AW206" s="858"/>
      <c r="AX206" s="858"/>
      <c r="AY206" s="858"/>
      <c r="AZ206" s="858"/>
      <c r="BA206" s="858"/>
      <c r="BB206" s="858"/>
      <c r="BC206" s="858"/>
      <c r="BD206" s="858"/>
      <c r="BE206" s="858"/>
      <c r="BF206" s="858"/>
      <c r="BG206" s="858"/>
      <c r="BH206" s="858"/>
      <c r="BI206" s="858"/>
      <c r="BJ206" s="858"/>
      <c r="BK206" s="858"/>
      <c r="BL206" s="858"/>
      <c r="BM206" s="858"/>
      <c r="BN206" s="858"/>
      <c r="BO206" s="858"/>
      <c r="BP206" s="858"/>
      <c r="BQ206" s="858"/>
      <c r="BR206" s="858"/>
      <c r="BS206" s="858"/>
      <c r="BT206" s="858"/>
      <c r="BU206" s="858"/>
      <c r="BV206" s="858"/>
      <c r="BW206" s="858"/>
      <c r="BX206" s="858"/>
      <c r="BY206" s="858"/>
      <c r="BZ206" s="858"/>
      <c r="CA206" s="858"/>
      <c r="CB206" s="858"/>
      <c r="CC206" s="858"/>
      <c r="CD206" s="858"/>
      <c r="CE206" s="858"/>
      <c r="CF206" s="858"/>
      <c r="CG206" s="858"/>
      <c r="CH206" s="858"/>
      <c r="CI206" s="858"/>
      <c r="CJ206" s="858"/>
      <c r="CK206" s="858"/>
      <c r="CL206" s="858"/>
      <c r="CM206" s="858"/>
      <c r="CN206" s="858"/>
      <c r="CO206" s="858"/>
      <c r="CP206" s="858"/>
      <c r="CQ206" s="858"/>
      <c r="CR206" s="858"/>
      <c r="CS206" s="858"/>
      <c r="CT206" s="858"/>
      <c r="CU206" s="858"/>
      <c r="CV206" s="858"/>
      <c r="CW206" s="858"/>
      <c r="CX206" s="858"/>
      <c r="CY206" s="858"/>
      <c r="CZ206" s="858"/>
      <c r="DA206" s="858"/>
      <c r="DB206" s="858"/>
      <c r="DC206" s="858"/>
      <c r="DD206" s="858"/>
      <c r="DE206" s="858"/>
      <c r="DF206" s="858"/>
      <c r="DG206" s="858"/>
      <c r="DH206" s="858"/>
      <c r="DI206" s="858"/>
      <c r="DJ206" s="858"/>
      <c r="DK206" s="858"/>
      <c r="DL206" s="858"/>
      <c r="DM206" s="858"/>
      <c r="DN206" s="858"/>
      <c r="DO206" s="858"/>
      <c r="DP206" s="858"/>
      <c r="DQ206" s="858"/>
      <c r="DR206" s="858"/>
      <c r="DS206" s="858"/>
      <c r="DT206" s="858"/>
      <c r="DU206" s="858"/>
      <c r="DV206" s="858"/>
      <c r="DW206" s="858"/>
      <c r="DX206" s="858"/>
      <c r="DY206" s="858"/>
      <c r="DZ206" s="858"/>
      <c r="EA206" s="858"/>
      <c r="EB206" s="858"/>
      <c r="EC206" s="858"/>
      <c r="ED206" s="858"/>
      <c r="EE206" s="858"/>
      <c r="EF206" s="858"/>
      <c r="EG206" s="858"/>
      <c r="EH206" s="858"/>
      <c r="EI206" s="858"/>
      <c r="EJ206" s="858"/>
      <c r="EK206" s="858"/>
      <c r="EL206" s="858"/>
      <c r="EM206" s="858"/>
      <c r="EN206" s="858"/>
      <c r="EO206" s="858"/>
      <c r="EP206" s="858"/>
      <c r="EQ206" s="858"/>
      <c r="ER206" s="858"/>
      <c r="ES206" s="858"/>
      <c r="ET206" s="858"/>
      <c r="EU206" s="858"/>
      <c r="EV206" s="858"/>
      <c r="EW206" s="858"/>
      <c r="EX206" s="858"/>
      <c r="EY206" s="858"/>
      <c r="EZ206" s="858"/>
      <c r="FA206" s="858"/>
      <c r="FB206" s="858"/>
      <c r="FC206" s="858"/>
      <c r="FD206" s="858"/>
      <c r="FE206" s="858"/>
      <c r="FF206" s="858"/>
      <c r="FG206" s="858"/>
      <c r="FH206" s="858"/>
      <c r="FI206" s="858"/>
      <c r="FJ206" s="858"/>
      <c r="FK206" s="858"/>
      <c r="FL206" s="858"/>
      <c r="FM206" s="858"/>
      <c r="FN206" s="858"/>
      <c r="FO206" s="858"/>
      <c r="FP206" s="858"/>
      <c r="FQ206" s="858"/>
      <c r="FR206" s="858"/>
      <c r="FS206" s="858"/>
      <c r="FT206" s="858"/>
      <c r="FU206" s="858"/>
      <c r="FV206" s="858"/>
      <c r="FW206" s="858"/>
      <c r="FX206" s="858"/>
      <c r="FY206" s="858"/>
      <c r="FZ206" s="858"/>
      <c r="GA206" s="858"/>
      <c r="GB206" s="858"/>
      <c r="GC206" s="858"/>
      <c r="GD206" s="858"/>
      <c r="GE206" s="858"/>
      <c r="GF206" s="858"/>
      <c r="GG206" s="858"/>
      <c r="GH206" s="858"/>
      <c r="GI206" s="858"/>
      <c r="GJ206" s="858"/>
      <c r="GK206" s="858"/>
      <c r="GL206" s="858"/>
      <c r="GM206" s="858"/>
      <c r="GN206" s="858"/>
      <c r="GO206" s="858"/>
      <c r="GP206" s="858"/>
      <c r="GQ206" s="858"/>
      <c r="GR206" s="858"/>
      <c r="GS206" s="858"/>
      <c r="GT206" s="858"/>
      <c r="GU206" s="858"/>
      <c r="GV206" s="858"/>
      <c r="GW206" s="858"/>
      <c r="GX206" s="858"/>
      <c r="GY206" s="858"/>
      <c r="GZ206" s="858"/>
      <c r="HA206" s="858"/>
      <c r="HB206" s="858"/>
      <c r="HC206" s="858"/>
      <c r="HD206" s="858"/>
      <c r="HE206" s="858"/>
      <c r="HF206" s="858"/>
      <c r="HG206" s="858"/>
      <c r="HH206" s="858"/>
      <c r="HI206" s="858"/>
      <c r="HJ206" s="858"/>
      <c r="HK206" s="858"/>
      <c r="HL206" s="858"/>
      <c r="HM206" s="858"/>
      <c r="HN206" s="858"/>
      <c r="HO206" s="858"/>
      <c r="HP206" s="858"/>
      <c r="HQ206" s="858"/>
      <c r="HR206" s="858"/>
      <c r="HS206" s="858"/>
      <c r="HT206" s="858"/>
      <c r="HU206" s="858"/>
      <c r="HV206" s="858"/>
      <c r="HW206" s="858"/>
      <c r="HX206" s="858"/>
      <c r="HY206" s="858"/>
      <c r="HZ206" s="858"/>
      <c r="IA206" s="858"/>
      <c r="IB206" s="858"/>
      <c r="IC206" s="858"/>
      <c r="ID206" s="858"/>
      <c r="IE206" s="858"/>
      <c r="IF206" s="858"/>
      <c r="IG206" s="858"/>
      <c r="IH206" s="858"/>
      <c r="II206" s="858"/>
      <c r="IJ206" s="858"/>
      <c r="IK206" s="858"/>
      <c r="IL206" s="858"/>
      <c r="IM206" s="858"/>
      <c r="IN206" s="858"/>
    </row>
    <row r="207" spans="1:248">
      <c r="A207" s="564" t="s">
        <v>20</v>
      </c>
      <c r="B207" s="566">
        <v>5439.7</v>
      </c>
      <c r="C207" s="859">
        <v>30.03417680284015</v>
      </c>
      <c r="D207" s="567">
        <v>5035.8999999999996</v>
      </c>
      <c r="E207" s="859">
        <v>27.804678743574591</v>
      </c>
      <c r="F207" s="859">
        <v>403.80000000000018</v>
      </c>
      <c r="G207" s="859">
        <f t="shared" si="28"/>
        <v>2.2294980592655587</v>
      </c>
      <c r="H207" s="313">
        <v>18111.7</v>
      </c>
      <c r="I207" s="858"/>
      <c r="J207" s="858"/>
      <c r="K207" s="858"/>
      <c r="L207" s="858"/>
      <c r="M207" s="858"/>
      <c r="N207" s="858"/>
      <c r="O207" s="858"/>
      <c r="P207" s="858"/>
      <c r="Q207" s="858"/>
      <c r="R207" s="858"/>
      <c r="S207" s="858"/>
      <c r="T207" s="858"/>
      <c r="U207" s="858"/>
      <c r="V207" s="858"/>
      <c r="W207" s="858"/>
      <c r="X207" s="858"/>
      <c r="Y207" s="858"/>
      <c r="Z207" s="858"/>
      <c r="AA207" s="858"/>
      <c r="AB207" s="858"/>
      <c r="AC207" s="858"/>
      <c r="AD207" s="858"/>
      <c r="AE207" s="858"/>
      <c r="AF207" s="858"/>
      <c r="AG207" s="858"/>
      <c r="AH207" s="858"/>
      <c r="AI207" s="858"/>
      <c r="AJ207" s="858"/>
      <c r="AK207" s="858"/>
      <c r="AL207" s="858"/>
      <c r="AM207" s="858"/>
      <c r="AN207" s="858"/>
      <c r="AO207" s="858"/>
      <c r="AP207" s="858"/>
      <c r="AQ207" s="858"/>
      <c r="AR207" s="858"/>
      <c r="AS207" s="858"/>
      <c r="AT207" s="858"/>
      <c r="AU207" s="858"/>
      <c r="AV207" s="858"/>
      <c r="AW207" s="858"/>
      <c r="AX207" s="858"/>
      <c r="AY207" s="858"/>
      <c r="AZ207" s="858"/>
      <c r="BA207" s="858"/>
      <c r="BB207" s="858"/>
      <c r="BC207" s="858"/>
      <c r="BD207" s="858"/>
      <c r="BE207" s="858"/>
      <c r="BF207" s="858"/>
      <c r="BG207" s="858"/>
      <c r="BH207" s="858"/>
      <c r="BI207" s="858"/>
      <c r="BJ207" s="858"/>
      <c r="BK207" s="858"/>
      <c r="BL207" s="858"/>
      <c r="BM207" s="858"/>
      <c r="BN207" s="858"/>
      <c r="BO207" s="858"/>
      <c r="BP207" s="858"/>
      <c r="BQ207" s="858"/>
      <c r="BR207" s="858"/>
      <c r="BS207" s="858"/>
      <c r="BT207" s="858"/>
      <c r="BU207" s="858"/>
      <c r="BV207" s="858"/>
      <c r="BW207" s="858"/>
      <c r="BX207" s="858"/>
      <c r="BY207" s="858"/>
      <c r="BZ207" s="858"/>
      <c r="CA207" s="858"/>
      <c r="CB207" s="858"/>
      <c r="CC207" s="858"/>
      <c r="CD207" s="858"/>
      <c r="CE207" s="858"/>
      <c r="CF207" s="858"/>
      <c r="CG207" s="858"/>
      <c r="CH207" s="858"/>
      <c r="CI207" s="858"/>
      <c r="CJ207" s="858"/>
      <c r="CK207" s="858"/>
      <c r="CL207" s="858"/>
      <c r="CM207" s="858"/>
      <c r="CN207" s="858"/>
      <c r="CO207" s="858"/>
      <c r="CP207" s="858"/>
      <c r="CQ207" s="858"/>
      <c r="CR207" s="858"/>
      <c r="CS207" s="858"/>
      <c r="CT207" s="858"/>
      <c r="CU207" s="858"/>
      <c r="CV207" s="858"/>
      <c r="CW207" s="858"/>
      <c r="CX207" s="858"/>
      <c r="CY207" s="858"/>
      <c r="CZ207" s="858"/>
      <c r="DA207" s="858"/>
      <c r="DB207" s="858"/>
      <c r="DC207" s="858"/>
      <c r="DD207" s="858"/>
      <c r="DE207" s="858"/>
      <c r="DF207" s="858"/>
      <c r="DG207" s="858"/>
      <c r="DH207" s="858"/>
      <c r="DI207" s="858"/>
      <c r="DJ207" s="858"/>
      <c r="DK207" s="858"/>
      <c r="DL207" s="858"/>
      <c r="DM207" s="858"/>
      <c r="DN207" s="858"/>
      <c r="DO207" s="858"/>
      <c r="DP207" s="858"/>
      <c r="DQ207" s="858"/>
      <c r="DR207" s="858"/>
      <c r="DS207" s="858"/>
      <c r="DT207" s="858"/>
      <c r="DU207" s="858"/>
      <c r="DV207" s="858"/>
      <c r="DW207" s="858"/>
      <c r="DX207" s="858"/>
      <c r="DY207" s="858"/>
      <c r="DZ207" s="858"/>
      <c r="EA207" s="858"/>
      <c r="EB207" s="858"/>
      <c r="EC207" s="858"/>
      <c r="ED207" s="858"/>
      <c r="EE207" s="858"/>
      <c r="EF207" s="858"/>
      <c r="EG207" s="858"/>
      <c r="EH207" s="858"/>
      <c r="EI207" s="858"/>
      <c r="EJ207" s="858"/>
      <c r="EK207" s="858"/>
      <c r="EL207" s="858"/>
      <c r="EM207" s="858"/>
      <c r="EN207" s="858"/>
      <c r="EO207" s="858"/>
      <c r="EP207" s="858"/>
      <c r="EQ207" s="858"/>
      <c r="ER207" s="858"/>
      <c r="ES207" s="858"/>
      <c r="ET207" s="858"/>
      <c r="EU207" s="858"/>
      <c r="EV207" s="858"/>
      <c r="EW207" s="858"/>
      <c r="EX207" s="858"/>
      <c r="EY207" s="858"/>
      <c r="EZ207" s="858"/>
      <c r="FA207" s="858"/>
      <c r="FB207" s="858"/>
      <c r="FC207" s="858"/>
      <c r="FD207" s="858"/>
      <c r="FE207" s="858"/>
      <c r="FF207" s="858"/>
      <c r="FG207" s="858"/>
      <c r="FH207" s="858"/>
      <c r="FI207" s="858"/>
      <c r="FJ207" s="858"/>
      <c r="FK207" s="858"/>
      <c r="FL207" s="858"/>
      <c r="FM207" s="858"/>
      <c r="FN207" s="858"/>
      <c r="FO207" s="858"/>
      <c r="FP207" s="858"/>
      <c r="FQ207" s="858"/>
      <c r="FR207" s="858"/>
      <c r="FS207" s="858"/>
      <c r="FT207" s="858"/>
      <c r="FU207" s="858"/>
      <c r="FV207" s="858"/>
      <c r="FW207" s="858"/>
      <c r="FX207" s="858"/>
      <c r="FY207" s="858"/>
      <c r="FZ207" s="858"/>
      <c r="GA207" s="858"/>
      <c r="GB207" s="858"/>
      <c r="GC207" s="858"/>
      <c r="GD207" s="858"/>
      <c r="GE207" s="858"/>
      <c r="GF207" s="858"/>
      <c r="GG207" s="858"/>
      <c r="GH207" s="858"/>
      <c r="GI207" s="858"/>
      <c r="GJ207" s="858"/>
      <c r="GK207" s="858"/>
      <c r="GL207" s="858"/>
      <c r="GM207" s="858"/>
      <c r="GN207" s="858"/>
      <c r="GO207" s="858"/>
      <c r="GP207" s="858"/>
      <c r="GQ207" s="858"/>
      <c r="GR207" s="858"/>
      <c r="GS207" s="858"/>
      <c r="GT207" s="858"/>
      <c r="GU207" s="858"/>
      <c r="GV207" s="858"/>
      <c r="GW207" s="858"/>
      <c r="GX207" s="858"/>
      <c r="GY207" s="858"/>
      <c r="GZ207" s="858"/>
      <c r="HA207" s="858"/>
      <c r="HB207" s="858"/>
      <c r="HC207" s="858"/>
      <c r="HD207" s="858"/>
      <c r="HE207" s="858"/>
      <c r="HF207" s="858"/>
      <c r="HG207" s="858"/>
      <c r="HH207" s="858"/>
      <c r="HI207" s="858"/>
      <c r="HJ207" s="858"/>
      <c r="HK207" s="858"/>
      <c r="HL207" s="858"/>
      <c r="HM207" s="858"/>
      <c r="HN207" s="858"/>
      <c r="HO207" s="858"/>
      <c r="HP207" s="858"/>
      <c r="HQ207" s="858"/>
      <c r="HR207" s="858"/>
      <c r="HS207" s="858"/>
      <c r="HT207" s="858"/>
      <c r="HU207" s="858"/>
      <c r="HV207" s="858"/>
      <c r="HW207" s="858"/>
      <c r="HX207" s="858"/>
      <c r="HY207" s="858"/>
      <c r="HZ207" s="858"/>
      <c r="IA207" s="858"/>
      <c r="IB207" s="858"/>
      <c r="IC207" s="858"/>
      <c r="ID207" s="858"/>
      <c r="IE207" s="858"/>
      <c r="IF207" s="858"/>
      <c r="IG207" s="858"/>
      <c r="IH207" s="858"/>
      <c r="II207" s="858"/>
      <c r="IJ207" s="858"/>
      <c r="IK207" s="858"/>
      <c r="IL207" s="858"/>
      <c r="IM207" s="858"/>
      <c r="IN207" s="858"/>
    </row>
    <row r="208" spans="1:248">
      <c r="A208" s="564" t="s">
        <v>21</v>
      </c>
      <c r="B208" s="566">
        <v>7503.4</v>
      </c>
      <c r="C208" s="859">
        <v>31.509150310329474</v>
      </c>
      <c r="D208" s="567">
        <v>7220.5</v>
      </c>
      <c r="E208" s="859">
        <v>30.321163714547271</v>
      </c>
      <c r="F208" s="859">
        <v>282.89999999999964</v>
      </c>
      <c r="G208" s="859">
        <f t="shared" si="28"/>
        <v>1.1879865957822051</v>
      </c>
      <c r="H208" s="313">
        <v>23813.4</v>
      </c>
      <c r="I208" s="858"/>
      <c r="J208" s="858"/>
      <c r="K208" s="858"/>
      <c r="L208" s="858"/>
      <c r="M208" s="858"/>
      <c r="N208" s="858"/>
      <c r="O208" s="858"/>
      <c r="P208" s="858"/>
      <c r="Q208" s="858"/>
      <c r="R208" s="858"/>
      <c r="S208" s="858"/>
      <c r="T208" s="858"/>
      <c r="U208" s="858"/>
      <c r="V208" s="858"/>
      <c r="W208" s="858"/>
      <c r="X208" s="858"/>
      <c r="Y208" s="858"/>
      <c r="Z208" s="858"/>
      <c r="AA208" s="858"/>
      <c r="AB208" s="858"/>
      <c r="AC208" s="858"/>
      <c r="AD208" s="858"/>
      <c r="AE208" s="858"/>
      <c r="AF208" s="858"/>
      <c r="AG208" s="858"/>
      <c r="AH208" s="858"/>
      <c r="AI208" s="858"/>
      <c r="AJ208" s="858"/>
      <c r="AK208" s="858"/>
      <c r="AL208" s="858"/>
      <c r="AM208" s="858"/>
      <c r="AN208" s="858"/>
      <c r="AO208" s="858"/>
      <c r="AP208" s="858"/>
      <c r="AQ208" s="858"/>
      <c r="AR208" s="858"/>
      <c r="AS208" s="858"/>
      <c r="AT208" s="858"/>
      <c r="AU208" s="858"/>
      <c r="AV208" s="858"/>
      <c r="AW208" s="858"/>
      <c r="AX208" s="858"/>
      <c r="AY208" s="858"/>
      <c r="AZ208" s="858"/>
      <c r="BA208" s="858"/>
      <c r="BB208" s="858"/>
      <c r="BC208" s="858"/>
      <c r="BD208" s="858"/>
      <c r="BE208" s="858"/>
      <c r="BF208" s="858"/>
      <c r="BG208" s="858"/>
      <c r="BH208" s="858"/>
      <c r="BI208" s="858"/>
      <c r="BJ208" s="858"/>
      <c r="BK208" s="858"/>
      <c r="BL208" s="858"/>
      <c r="BM208" s="858"/>
      <c r="BN208" s="858"/>
      <c r="BO208" s="858"/>
      <c r="BP208" s="858"/>
      <c r="BQ208" s="858"/>
      <c r="BR208" s="858"/>
      <c r="BS208" s="858"/>
      <c r="BT208" s="858"/>
      <c r="BU208" s="858"/>
      <c r="BV208" s="858"/>
      <c r="BW208" s="858"/>
      <c r="BX208" s="858"/>
      <c r="BY208" s="858"/>
      <c r="BZ208" s="858"/>
      <c r="CA208" s="858"/>
      <c r="CB208" s="858"/>
      <c r="CC208" s="858"/>
      <c r="CD208" s="858"/>
      <c r="CE208" s="858"/>
      <c r="CF208" s="858"/>
      <c r="CG208" s="858"/>
      <c r="CH208" s="858"/>
      <c r="CI208" s="858"/>
      <c r="CJ208" s="858"/>
      <c r="CK208" s="858"/>
      <c r="CL208" s="858"/>
      <c r="CM208" s="858"/>
      <c r="CN208" s="858"/>
      <c r="CO208" s="858"/>
      <c r="CP208" s="858"/>
      <c r="CQ208" s="858"/>
      <c r="CR208" s="858"/>
      <c r="CS208" s="858"/>
      <c r="CT208" s="858"/>
      <c r="CU208" s="858"/>
      <c r="CV208" s="858"/>
      <c r="CW208" s="858"/>
      <c r="CX208" s="858"/>
      <c r="CY208" s="858"/>
      <c r="CZ208" s="858"/>
      <c r="DA208" s="858"/>
      <c r="DB208" s="858"/>
      <c r="DC208" s="858"/>
      <c r="DD208" s="858"/>
      <c r="DE208" s="858"/>
      <c r="DF208" s="858"/>
      <c r="DG208" s="858"/>
      <c r="DH208" s="858"/>
      <c r="DI208" s="858"/>
      <c r="DJ208" s="858"/>
      <c r="DK208" s="858"/>
      <c r="DL208" s="858"/>
      <c r="DM208" s="858"/>
      <c r="DN208" s="858"/>
      <c r="DO208" s="858"/>
      <c r="DP208" s="858"/>
      <c r="DQ208" s="858"/>
      <c r="DR208" s="858"/>
      <c r="DS208" s="858"/>
      <c r="DT208" s="858"/>
      <c r="DU208" s="858"/>
      <c r="DV208" s="858"/>
      <c r="DW208" s="858"/>
      <c r="DX208" s="858"/>
      <c r="DY208" s="858"/>
      <c r="DZ208" s="858"/>
      <c r="EA208" s="858"/>
      <c r="EB208" s="858"/>
      <c r="EC208" s="858"/>
      <c r="ED208" s="858"/>
      <c r="EE208" s="858"/>
      <c r="EF208" s="858"/>
      <c r="EG208" s="858"/>
      <c r="EH208" s="858"/>
      <c r="EI208" s="858"/>
      <c r="EJ208" s="858"/>
      <c r="EK208" s="858"/>
      <c r="EL208" s="858"/>
      <c r="EM208" s="858"/>
      <c r="EN208" s="858"/>
      <c r="EO208" s="858"/>
      <c r="EP208" s="858"/>
      <c r="EQ208" s="858"/>
      <c r="ER208" s="858"/>
      <c r="ES208" s="858"/>
      <c r="ET208" s="858"/>
      <c r="EU208" s="858"/>
      <c r="EV208" s="858"/>
      <c r="EW208" s="858"/>
      <c r="EX208" s="858"/>
      <c r="EY208" s="858"/>
      <c r="EZ208" s="858"/>
      <c r="FA208" s="858"/>
      <c r="FB208" s="858"/>
      <c r="FC208" s="858"/>
      <c r="FD208" s="858"/>
      <c r="FE208" s="858"/>
      <c r="FF208" s="858"/>
      <c r="FG208" s="858"/>
      <c r="FH208" s="858"/>
      <c r="FI208" s="858"/>
      <c r="FJ208" s="858"/>
      <c r="FK208" s="858"/>
      <c r="FL208" s="858"/>
      <c r="FM208" s="858"/>
      <c r="FN208" s="858"/>
      <c r="FO208" s="858"/>
      <c r="FP208" s="858"/>
      <c r="FQ208" s="858"/>
      <c r="FR208" s="858"/>
      <c r="FS208" s="858"/>
      <c r="FT208" s="858"/>
      <c r="FU208" s="858"/>
      <c r="FV208" s="858"/>
      <c r="FW208" s="858"/>
      <c r="FX208" s="858"/>
      <c r="FY208" s="858"/>
      <c r="FZ208" s="858"/>
      <c r="GA208" s="858"/>
      <c r="GB208" s="858"/>
      <c r="GC208" s="858"/>
      <c r="GD208" s="858"/>
      <c r="GE208" s="858"/>
      <c r="GF208" s="858"/>
      <c r="GG208" s="858"/>
      <c r="GH208" s="858"/>
      <c r="GI208" s="858"/>
      <c r="GJ208" s="858"/>
      <c r="GK208" s="858"/>
      <c r="GL208" s="858"/>
      <c r="GM208" s="858"/>
      <c r="GN208" s="858"/>
      <c r="GO208" s="858"/>
      <c r="GP208" s="858"/>
      <c r="GQ208" s="858"/>
      <c r="GR208" s="858"/>
      <c r="GS208" s="858"/>
      <c r="GT208" s="858"/>
      <c r="GU208" s="858"/>
      <c r="GV208" s="858"/>
      <c r="GW208" s="858"/>
      <c r="GX208" s="858"/>
      <c r="GY208" s="858"/>
      <c r="GZ208" s="858"/>
      <c r="HA208" s="858"/>
      <c r="HB208" s="858"/>
      <c r="HC208" s="858"/>
      <c r="HD208" s="858"/>
      <c r="HE208" s="858"/>
      <c r="HF208" s="858"/>
      <c r="HG208" s="858"/>
      <c r="HH208" s="858"/>
      <c r="HI208" s="858"/>
      <c r="HJ208" s="858"/>
      <c r="HK208" s="858"/>
      <c r="HL208" s="858"/>
      <c r="HM208" s="858"/>
      <c r="HN208" s="858"/>
      <c r="HO208" s="858"/>
      <c r="HP208" s="858"/>
      <c r="HQ208" s="858"/>
      <c r="HR208" s="858"/>
      <c r="HS208" s="858"/>
      <c r="HT208" s="858"/>
      <c r="HU208" s="858"/>
      <c r="HV208" s="858"/>
      <c r="HW208" s="858"/>
      <c r="HX208" s="858"/>
      <c r="HY208" s="858"/>
      <c r="HZ208" s="858"/>
      <c r="IA208" s="858"/>
      <c r="IB208" s="858"/>
      <c r="IC208" s="858"/>
      <c r="ID208" s="858"/>
      <c r="IE208" s="858"/>
      <c r="IF208" s="858"/>
      <c r="IG208" s="858"/>
      <c r="IH208" s="858"/>
      <c r="II208" s="858"/>
      <c r="IJ208" s="858"/>
      <c r="IK208" s="858"/>
      <c r="IL208" s="858"/>
      <c r="IM208" s="858"/>
      <c r="IN208" s="858"/>
    </row>
    <row r="209" spans="1:248" ht="16.5" customHeight="1">
      <c r="A209" s="564" t="s">
        <v>22</v>
      </c>
      <c r="B209" s="566">
        <v>8999.2999999999993</v>
      </c>
      <c r="C209" s="859">
        <v>29.401117982795739</v>
      </c>
      <c r="D209" s="567">
        <v>9426.1</v>
      </c>
      <c r="E209" s="859">
        <v>30.795492784731138</v>
      </c>
      <c r="F209" s="859">
        <v>-426.80000000000109</v>
      </c>
      <c r="G209" s="859">
        <f t="shared" si="28"/>
        <v>-1.394374801935401</v>
      </c>
      <c r="H209" s="313">
        <v>30608.7</v>
      </c>
      <c r="I209" s="858"/>
      <c r="J209" s="858"/>
      <c r="K209" s="858"/>
      <c r="L209" s="858"/>
      <c r="M209" s="858"/>
      <c r="N209" s="858"/>
      <c r="O209" s="858"/>
      <c r="P209" s="858"/>
      <c r="Q209" s="858"/>
      <c r="R209" s="858"/>
      <c r="S209" s="858"/>
      <c r="T209" s="858"/>
      <c r="U209" s="858"/>
      <c r="V209" s="858"/>
      <c r="W209" s="858"/>
      <c r="X209" s="858"/>
      <c r="Y209" s="858"/>
      <c r="Z209" s="858"/>
      <c r="AA209" s="858"/>
      <c r="AB209" s="858"/>
      <c r="AC209" s="858"/>
      <c r="AD209" s="858"/>
      <c r="AE209" s="858"/>
      <c r="AF209" s="858"/>
      <c r="AG209" s="858"/>
      <c r="AH209" s="858"/>
      <c r="AI209" s="858"/>
      <c r="AJ209" s="858"/>
      <c r="AK209" s="858"/>
      <c r="AL209" s="858"/>
      <c r="AM209" s="858"/>
      <c r="AN209" s="858"/>
      <c r="AO209" s="858"/>
      <c r="AP209" s="858"/>
      <c r="AQ209" s="858"/>
      <c r="AR209" s="858"/>
      <c r="AS209" s="858"/>
      <c r="AT209" s="858"/>
      <c r="AU209" s="858"/>
      <c r="AV209" s="858"/>
      <c r="AW209" s="858"/>
      <c r="AX209" s="858"/>
      <c r="AY209" s="858"/>
      <c r="AZ209" s="858"/>
      <c r="BA209" s="858"/>
      <c r="BB209" s="858"/>
      <c r="BC209" s="858"/>
      <c r="BD209" s="858"/>
      <c r="BE209" s="858"/>
      <c r="BF209" s="858"/>
      <c r="BG209" s="858"/>
      <c r="BH209" s="858"/>
      <c r="BI209" s="858"/>
      <c r="BJ209" s="858"/>
      <c r="BK209" s="858"/>
      <c r="BL209" s="858"/>
      <c r="BM209" s="858"/>
      <c r="BN209" s="858"/>
      <c r="BO209" s="858"/>
      <c r="BP209" s="858"/>
      <c r="BQ209" s="858"/>
      <c r="BR209" s="858"/>
      <c r="BS209" s="858"/>
      <c r="BT209" s="858"/>
      <c r="BU209" s="858"/>
      <c r="BV209" s="858"/>
      <c r="BW209" s="858"/>
      <c r="BX209" s="858"/>
      <c r="BY209" s="858"/>
      <c r="BZ209" s="858"/>
      <c r="CA209" s="858"/>
      <c r="CB209" s="858"/>
      <c r="CC209" s="858"/>
      <c r="CD209" s="858"/>
      <c r="CE209" s="858"/>
      <c r="CF209" s="858"/>
      <c r="CG209" s="858"/>
      <c r="CH209" s="858"/>
      <c r="CI209" s="858"/>
      <c r="CJ209" s="858"/>
      <c r="CK209" s="858"/>
      <c r="CL209" s="858"/>
      <c r="CM209" s="858"/>
      <c r="CN209" s="858"/>
      <c r="CO209" s="858"/>
      <c r="CP209" s="858"/>
      <c r="CQ209" s="858"/>
      <c r="CR209" s="858"/>
      <c r="CS209" s="858"/>
      <c r="CT209" s="858"/>
      <c r="CU209" s="858"/>
      <c r="CV209" s="858"/>
      <c r="CW209" s="858"/>
      <c r="CX209" s="858"/>
      <c r="CY209" s="858"/>
      <c r="CZ209" s="858"/>
      <c r="DA209" s="858"/>
      <c r="DB209" s="858"/>
      <c r="DC209" s="858"/>
      <c r="DD209" s="858"/>
      <c r="DE209" s="858"/>
      <c r="DF209" s="858"/>
      <c r="DG209" s="858"/>
      <c r="DH209" s="858"/>
      <c r="DI209" s="858"/>
      <c r="DJ209" s="858"/>
      <c r="DK209" s="858"/>
      <c r="DL209" s="858"/>
      <c r="DM209" s="858"/>
      <c r="DN209" s="858"/>
      <c r="DO209" s="858"/>
      <c r="DP209" s="858"/>
      <c r="DQ209" s="858"/>
      <c r="DR209" s="858"/>
      <c r="DS209" s="858"/>
      <c r="DT209" s="858"/>
      <c r="DU209" s="858"/>
      <c r="DV209" s="858"/>
      <c r="DW209" s="858"/>
      <c r="DX209" s="858"/>
      <c r="DY209" s="858"/>
      <c r="DZ209" s="858"/>
      <c r="EA209" s="858"/>
      <c r="EB209" s="858"/>
      <c r="EC209" s="858"/>
      <c r="ED209" s="858"/>
      <c r="EE209" s="858"/>
      <c r="EF209" s="858"/>
      <c r="EG209" s="858"/>
      <c r="EH209" s="858"/>
      <c r="EI209" s="858"/>
      <c r="EJ209" s="858"/>
      <c r="EK209" s="858"/>
      <c r="EL209" s="858"/>
      <c r="EM209" s="858"/>
      <c r="EN209" s="858"/>
      <c r="EO209" s="858"/>
      <c r="EP209" s="858"/>
      <c r="EQ209" s="858"/>
      <c r="ER209" s="858"/>
      <c r="ES209" s="858"/>
      <c r="ET209" s="858"/>
      <c r="EU209" s="858"/>
      <c r="EV209" s="858"/>
      <c r="EW209" s="858"/>
      <c r="EX209" s="858"/>
      <c r="EY209" s="858"/>
      <c r="EZ209" s="858"/>
      <c r="FA209" s="858"/>
      <c r="FB209" s="858"/>
      <c r="FC209" s="858"/>
      <c r="FD209" s="858"/>
      <c r="FE209" s="858"/>
      <c r="FF209" s="858"/>
      <c r="FG209" s="858"/>
      <c r="FH209" s="858"/>
      <c r="FI209" s="858"/>
      <c r="FJ209" s="858"/>
      <c r="FK209" s="858"/>
      <c r="FL209" s="858"/>
      <c r="FM209" s="858"/>
      <c r="FN209" s="858"/>
      <c r="FO209" s="858"/>
      <c r="FP209" s="858"/>
      <c r="FQ209" s="858"/>
      <c r="FR209" s="858"/>
      <c r="FS209" s="858"/>
      <c r="FT209" s="858"/>
      <c r="FU209" s="858"/>
      <c r="FV209" s="858"/>
      <c r="FW209" s="858"/>
      <c r="FX209" s="858"/>
      <c r="FY209" s="858"/>
      <c r="FZ209" s="858"/>
      <c r="GA209" s="858"/>
      <c r="GB209" s="858"/>
      <c r="GC209" s="858"/>
      <c r="GD209" s="858"/>
      <c r="GE209" s="858"/>
      <c r="GF209" s="858"/>
      <c r="GG209" s="858"/>
      <c r="GH209" s="858"/>
      <c r="GI209" s="858"/>
      <c r="GJ209" s="858"/>
      <c r="GK209" s="858"/>
      <c r="GL209" s="858"/>
      <c r="GM209" s="858"/>
      <c r="GN209" s="858"/>
      <c r="GO209" s="858"/>
      <c r="GP209" s="858"/>
      <c r="GQ209" s="858"/>
      <c r="GR209" s="858"/>
      <c r="GS209" s="858"/>
      <c r="GT209" s="858"/>
      <c r="GU209" s="858"/>
      <c r="GV209" s="858"/>
      <c r="GW209" s="858"/>
      <c r="GX209" s="858"/>
      <c r="GY209" s="858"/>
      <c r="GZ209" s="858"/>
      <c r="HA209" s="858"/>
      <c r="HB209" s="858"/>
      <c r="HC209" s="858"/>
      <c r="HD209" s="858"/>
      <c r="HE209" s="858"/>
      <c r="HF209" s="858"/>
      <c r="HG209" s="858"/>
      <c r="HH209" s="858"/>
      <c r="HI209" s="858"/>
      <c r="HJ209" s="858"/>
      <c r="HK209" s="858"/>
      <c r="HL209" s="858"/>
      <c r="HM209" s="858"/>
      <c r="HN209" s="858"/>
      <c r="HO209" s="858"/>
      <c r="HP209" s="858"/>
      <c r="HQ209" s="858"/>
      <c r="HR209" s="858"/>
      <c r="HS209" s="858"/>
      <c r="HT209" s="858"/>
      <c r="HU209" s="858"/>
      <c r="HV209" s="858"/>
      <c r="HW209" s="858"/>
      <c r="HX209" s="858"/>
      <c r="HY209" s="858"/>
      <c r="HZ209" s="858"/>
      <c r="IA209" s="858"/>
      <c r="IB209" s="858"/>
      <c r="IC209" s="858"/>
      <c r="ID209" s="858"/>
      <c r="IE209" s="858"/>
      <c r="IF209" s="858"/>
      <c r="IG209" s="858"/>
      <c r="IH209" s="858"/>
      <c r="II209" s="858"/>
      <c r="IJ209" s="858"/>
      <c r="IK209" s="858"/>
      <c r="IL209" s="858"/>
      <c r="IM209" s="858"/>
      <c r="IN209" s="858"/>
    </row>
    <row r="210" spans="1:248" ht="16.5" customHeight="1">
      <c r="A210" s="564" t="s">
        <v>23</v>
      </c>
      <c r="B210" s="566">
        <v>10405.5</v>
      </c>
      <c r="C210" s="859">
        <v>27.509438152342884</v>
      </c>
      <c r="D210" s="567">
        <v>10951</v>
      </c>
      <c r="E210" s="859">
        <v>28.951598405295943</v>
      </c>
      <c r="F210" s="859">
        <v>-545.5</v>
      </c>
      <c r="G210" s="859">
        <f t="shared" si="28"/>
        <v>-1.4421602529530577</v>
      </c>
      <c r="H210" s="313">
        <v>37825.199999999997</v>
      </c>
      <c r="I210" s="858"/>
      <c r="J210" s="858"/>
      <c r="K210" s="858"/>
      <c r="L210" s="858"/>
      <c r="M210" s="858"/>
      <c r="N210" s="858"/>
      <c r="O210" s="858"/>
      <c r="P210" s="858"/>
      <c r="Q210" s="858"/>
      <c r="R210" s="858"/>
      <c r="S210" s="858"/>
      <c r="T210" s="858"/>
      <c r="U210" s="858"/>
      <c r="V210" s="858"/>
      <c r="W210" s="858"/>
      <c r="X210" s="858"/>
      <c r="Y210" s="858"/>
      <c r="Z210" s="858"/>
      <c r="AA210" s="858"/>
      <c r="AB210" s="858"/>
      <c r="AC210" s="858"/>
      <c r="AD210" s="858"/>
      <c r="AE210" s="858"/>
      <c r="AF210" s="858"/>
      <c r="AG210" s="858"/>
      <c r="AH210" s="858"/>
      <c r="AI210" s="858"/>
      <c r="AJ210" s="858"/>
      <c r="AK210" s="858"/>
      <c r="AL210" s="858"/>
      <c r="AM210" s="858"/>
      <c r="AN210" s="858"/>
      <c r="AO210" s="858"/>
      <c r="AP210" s="858"/>
      <c r="AQ210" s="858"/>
      <c r="AR210" s="858"/>
      <c r="AS210" s="858"/>
      <c r="AT210" s="858"/>
      <c r="AU210" s="858"/>
      <c r="AV210" s="858"/>
      <c r="AW210" s="858"/>
      <c r="AX210" s="858"/>
      <c r="AY210" s="858"/>
      <c r="AZ210" s="858"/>
      <c r="BA210" s="858"/>
      <c r="BB210" s="858"/>
      <c r="BC210" s="858"/>
      <c r="BD210" s="858"/>
      <c r="BE210" s="858"/>
      <c r="BF210" s="858"/>
      <c r="BG210" s="858"/>
      <c r="BH210" s="858"/>
      <c r="BI210" s="858"/>
      <c r="BJ210" s="858"/>
      <c r="BK210" s="858"/>
      <c r="BL210" s="858"/>
      <c r="BM210" s="858"/>
      <c r="BN210" s="858"/>
      <c r="BO210" s="858"/>
      <c r="BP210" s="858"/>
      <c r="BQ210" s="858"/>
      <c r="BR210" s="858"/>
      <c r="BS210" s="858"/>
      <c r="BT210" s="858"/>
      <c r="BU210" s="858"/>
      <c r="BV210" s="858"/>
      <c r="BW210" s="858"/>
      <c r="BX210" s="858"/>
      <c r="BY210" s="858"/>
      <c r="BZ210" s="858"/>
      <c r="CA210" s="858"/>
      <c r="CB210" s="858"/>
      <c r="CC210" s="858"/>
      <c r="CD210" s="858"/>
      <c r="CE210" s="858"/>
      <c r="CF210" s="858"/>
      <c r="CG210" s="858"/>
      <c r="CH210" s="858"/>
      <c r="CI210" s="858"/>
      <c r="CJ210" s="858"/>
      <c r="CK210" s="858"/>
      <c r="CL210" s="858"/>
      <c r="CM210" s="858"/>
      <c r="CN210" s="858"/>
      <c r="CO210" s="858"/>
      <c r="CP210" s="858"/>
      <c r="CQ210" s="858"/>
      <c r="CR210" s="858"/>
      <c r="CS210" s="858"/>
      <c r="CT210" s="858"/>
      <c r="CU210" s="858"/>
      <c r="CV210" s="858"/>
      <c r="CW210" s="858"/>
      <c r="CX210" s="858"/>
      <c r="CY210" s="858"/>
      <c r="CZ210" s="858"/>
      <c r="DA210" s="858"/>
      <c r="DB210" s="858"/>
      <c r="DC210" s="858"/>
      <c r="DD210" s="858"/>
      <c r="DE210" s="858"/>
      <c r="DF210" s="858"/>
      <c r="DG210" s="858"/>
      <c r="DH210" s="858"/>
      <c r="DI210" s="858"/>
      <c r="DJ210" s="858"/>
      <c r="DK210" s="858"/>
      <c r="DL210" s="858"/>
      <c r="DM210" s="858"/>
      <c r="DN210" s="858"/>
      <c r="DO210" s="858"/>
      <c r="DP210" s="858"/>
      <c r="DQ210" s="858"/>
      <c r="DR210" s="858"/>
      <c r="DS210" s="858"/>
      <c r="DT210" s="858"/>
      <c r="DU210" s="858"/>
      <c r="DV210" s="858"/>
      <c r="DW210" s="858"/>
      <c r="DX210" s="858"/>
      <c r="DY210" s="858"/>
      <c r="DZ210" s="858"/>
      <c r="EA210" s="858"/>
      <c r="EB210" s="858"/>
      <c r="EC210" s="858"/>
      <c r="ED210" s="858"/>
      <c r="EE210" s="858"/>
      <c r="EF210" s="858"/>
      <c r="EG210" s="858"/>
      <c r="EH210" s="858"/>
      <c r="EI210" s="858"/>
      <c r="EJ210" s="858"/>
      <c r="EK210" s="858"/>
      <c r="EL210" s="858"/>
      <c r="EM210" s="858"/>
      <c r="EN210" s="858"/>
      <c r="EO210" s="858"/>
      <c r="EP210" s="858"/>
      <c r="EQ210" s="858"/>
      <c r="ER210" s="858"/>
      <c r="ES210" s="858"/>
      <c r="ET210" s="858"/>
      <c r="EU210" s="858"/>
      <c r="EV210" s="858"/>
      <c r="EW210" s="858"/>
      <c r="EX210" s="858"/>
      <c r="EY210" s="858"/>
      <c r="EZ210" s="858"/>
      <c r="FA210" s="858"/>
      <c r="FB210" s="858"/>
      <c r="FC210" s="858"/>
      <c r="FD210" s="858"/>
      <c r="FE210" s="858"/>
      <c r="FF210" s="858"/>
      <c r="FG210" s="858"/>
      <c r="FH210" s="858"/>
      <c r="FI210" s="858"/>
      <c r="FJ210" s="858"/>
      <c r="FK210" s="858"/>
      <c r="FL210" s="858"/>
      <c r="FM210" s="858"/>
      <c r="FN210" s="858"/>
      <c r="FO210" s="858"/>
      <c r="FP210" s="858"/>
      <c r="FQ210" s="858"/>
      <c r="FR210" s="858"/>
      <c r="FS210" s="858"/>
      <c r="FT210" s="858"/>
      <c r="FU210" s="858"/>
      <c r="FV210" s="858"/>
      <c r="FW210" s="858"/>
      <c r="FX210" s="858"/>
      <c r="FY210" s="858"/>
      <c r="FZ210" s="858"/>
      <c r="GA210" s="858"/>
      <c r="GB210" s="858"/>
      <c r="GC210" s="858"/>
      <c r="GD210" s="858"/>
      <c r="GE210" s="858"/>
      <c r="GF210" s="858"/>
      <c r="GG210" s="858"/>
      <c r="GH210" s="858"/>
      <c r="GI210" s="858"/>
      <c r="GJ210" s="858"/>
      <c r="GK210" s="858"/>
      <c r="GL210" s="858"/>
      <c r="GM210" s="858"/>
      <c r="GN210" s="858"/>
      <c r="GO210" s="858"/>
      <c r="GP210" s="858"/>
      <c r="GQ210" s="858"/>
      <c r="GR210" s="858"/>
      <c r="GS210" s="858"/>
      <c r="GT210" s="858"/>
      <c r="GU210" s="858"/>
      <c r="GV210" s="858"/>
      <c r="GW210" s="858"/>
      <c r="GX210" s="858"/>
      <c r="GY210" s="858"/>
      <c r="GZ210" s="858"/>
      <c r="HA210" s="858"/>
      <c r="HB210" s="858"/>
      <c r="HC210" s="858"/>
      <c r="HD210" s="858"/>
      <c r="HE210" s="858"/>
      <c r="HF210" s="858"/>
      <c r="HG210" s="858"/>
      <c r="HH210" s="858"/>
      <c r="HI210" s="858"/>
      <c r="HJ210" s="858"/>
      <c r="HK210" s="858"/>
      <c r="HL210" s="858"/>
      <c r="HM210" s="858"/>
      <c r="HN210" s="858"/>
      <c r="HO210" s="858"/>
      <c r="HP210" s="858"/>
      <c r="HQ210" s="858"/>
      <c r="HR210" s="858"/>
      <c r="HS210" s="858"/>
      <c r="HT210" s="858"/>
      <c r="HU210" s="858"/>
      <c r="HV210" s="858"/>
      <c r="HW210" s="858"/>
      <c r="HX210" s="858"/>
      <c r="HY210" s="858"/>
      <c r="HZ210" s="858"/>
      <c r="IA210" s="858"/>
      <c r="IB210" s="858"/>
      <c r="IC210" s="858"/>
      <c r="ID210" s="858"/>
      <c r="IE210" s="858"/>
      <c r="IF210" s="858"/>
      <c r="IG210" s="858"/>
      <c r="IH210" s="858"/>
      <c r="II210" s="858"/>
      <c r="IJ210" s="858"/>
      <c r="IK210" s="858"/>
      <c r="IL210" s="858"/>
      <c r="IM210" s="858"/>
      <c r="IN210" s="858"/>
    </row>
    <row r="211" spans="1:248" ht="16.5" customHeight="1">
      <c r="A211" s="564" t="s">
        <v>24</v>
      </c>
      <c r="B211" s="566">
        <v>12435.5</v>
      </c>
      <c r="C211" s="859">
        <v>27.961846599405032</v>
      </c>
      <c r="D211" s="567">
        <v>13102.7</v>
      </c>
      <c r="E211" s="859">
        <v>29.462079324355621</v>
      </c>
      <c r="F211" s="859">
        <v>-667.20000000000073</v>
      </c>
      <c r="G211" s="859">
        <f t="shared" si="28"/>
        <v>-1.5002327249505898</v>
      </c>
      <c r="H211" s="313">
        <v>44473.1</v>
      </c>
      <c r="I211" s="858"/>
      <c r="J211" s="858"/>
      <c r="K211" s="858"/>
      <c r="L211" s="858"/>
      <c r="M211" s="858"/>
      <c r="N211" s="858"/>
      <c r="O211" s="858"/>
      <c r="P211" s="858"/>
      <c r="Q211" s="858"/>
      <c r="R211" s="858"/>
      <c r="S211" s="858"/>
      <c r="T211" s="858"/>
      <c r="U211" s="858"/>
      <c r="V211" s="858"/>
      <c r="W211" s="858"/>
      <c r="X211" s="858"/>
      <c r="Y211" s="858"/>
      <c r="Z211" s="858"/>
      <c r="AA211" s="858"/>
      <c r="AB211" s="858"/>
      <c r="AC211" s="858"/>
      <c r="AD211" s="858"/>
      <c r="AE211" s="858"/>
      <c r="AF211" s="858"/>
      <c r="AG211" s="858"/>
      <c r="AH211" s="858"/>
      <c r="AI211" s="858"/>
      <c r="AJ211" s="858"/>
      <c r="AK211" s="858"/>
      <c r="AL211" s="858"/>
      <c r="AM211" s="858"/>
      <c r="AN211" s="858"/>
      <c r="AO211" s="858"/>
      <c r="AP211" s="858"/>
      <c r="AQ211" s="858"/>
      <c r="AR211" s="858"/>
      <c r="AS211" s="858"/>
      <c r="AT211" s="858"/>
      <c r="AU211" s="858"/>
      <c r="AV211" s="858"/>
      <c r="AW211" s="858"/>
      <c r="AX211" s="858"/>
      <c r="AY211" s="858"/>
      <c r="AZ211" s="858"/>
      <c r="BA211" s="858"/>
      <c r="BB211" s="858"/>
      <c r="BC211" s="858"/>
      <c r="BD211" s="858"/>
      <c r="BE211" s="858"/>
      <c r="BF211" s="858"/>
      <c r="BG211" s="858"/>
      <c r="BH211" s="858"/>
      <c r="BI211" s="858"/>
      <c r="BJ211" s="858"/>
      <c r="BK211" s="858"/>
      <c r="BL211" s="858"/>
      <c r="BM211" s="858"/>
      <c r="BN211" s="858"/>
      <c r="BO211" s="858"/>
      <c r="BP211" s="858"/>
      <c r="BQ211" s="858"/>
      <c r="BR211" s="858"/>
      <c r="BS211" s="858"/>
      <c r="BT211" s="858"/>
      <c r="BU211" s="858"/>
      <c r="BV211" s="858"/>
      <c r="BW211" s="858"/>
      <c r="BX211" s="858"/>
      <c r="BY211" s="858"/>
      <c r="BZ211" s="858"/>
      <c r="CA211" s="858"/>
      <c r="CB211" s="858"/>
      <c r="CC211" s="858"/>
      <c r="CD211" s="858"/>
      <c r="CE211" s="858"/>
      <c r="CF211" s="858"/>
      <c r="CG211" s="858"/>
      <c r="CH211" s="858"/>
      <c r="CI211" s="858"/>
      <c r="CJ211" s="858"/>
      <c r="CK211" s="858"/>
      <c r="CL211" s="858"/>
      <c r="CM211" s="858"/>
      <c r="CN211" s="858"/>
      <c r="CO211" s="858"/>
      <c r="CP211" s="858"/>
      <c r="CQ211" s="858"/>
      <c r="CR211" s="858"/>
      <c r="CS211" s="858"/>
      <c r="CT211" s="858"/>
      <c r="CU211" s="858"/>
      <c r="CV211" s="858"/>
      <c r="CW211" s="858"/>
      <c r="CX211" s="858"/>
      <c r="CY211" s="858"/>
      <c r="CZ211" s="858"/>
      <c r="DA211" s="858"/>
      <c r="DB211" s="858"/>
      <c r="DC211" s="858"/>
      <c r="DD211" s="858"/>
      <c r="DE211" s="858"/>
      <c r="DF211" s="858"/>
      <c r="DG211" s="858"/>
      <c r="DH211" s="858"/>
      <c r="DI211" s="858"/>
      <c r="DJ211" s="858"/>
      <c r="DK211" s="858"/>
      <c r="DL211" s="858"/>
      <c r="DM211" s="858"/>
      <c r="DN211" s="858"/>
      <c r="DO211" s="858"/>
      <c r="DP211" s="858"/>
      <c r="DQ211" s="858"/>
      <c r="DR211" s="858"/>
      <c r="DS211" s="858"/>
      <c r="DT211" s="858"/>
      <c r="DU211" s="858"/>
      <c r="DV211" s="858"/>
      <c r="DW211" s="858"/>
      <c r="DX211" s="858"/>
      <c r="DY211" s="858"/>
      <c r="DZ211" s="858"/>
      <c r="EA211" s="858"/>
      <c r="EB211" s="858"/>
      <c r="EC211" s="858"/>
      <c r="ED211" s="858"/>
      <c r="EE211" s="858"/>
      <c r="EF211" s="858"/>
      <c r="EG211" s="858"/>
      <c r="EH211" s="858"/>
      <c r="EI211" s="858"/>
      <c r="EJ211" s="858"/>
      <c r="EK211" s="858"/>
      <c r="EL211" s="858"/>
      <c r="EM211" s="858"/>
      <c r="EN211" s="858"/>
      <c r="EO211" s="858"/>
      <c r="EP211" s="858"/>
      <c r="EQ211" s="858"/>
      <c r="ER211" s="858"/>
      <c r="ES211" s="858"/>
      <c r="ET211" s="858"/>
      <c r="EU211" s="858"/>
      <c r="EV211" s="858"/>
      <c r="EW211" s="858"/>
      <c r="EX211" s="858"/>
      <c r="EY211" s="858"/>
      <c r="EZ211" s="858"/>
      <c r="FA211" s="858"/>
      <c r="FB211" s="858"/>
      <c r="FC211" s="858"/>
      <c r="FD211" s="858"/>
      <c r="FE211" s="858"/>
      <c r="FF211" s="858"/>
      <c r="FG211" s="858"/>
      <c r="FH211" s="858"/>
      <c r="FI211" s="858"/>
      <c r="FJ211" s="858"/>
      <c r="FK211" s="858"/>
      <c r="FL211" s="858"/>
      <c r="FM211" s="858"/>
      <c r="FN211" s="858"/>
      <c r="FO211" s="858"/>
      <c r="FP211" s="858"/>
      <c r="FQ211" s="858"/>
      <c r="FR211" s="858"/>
      <c r="FS211" s="858"/>
      <c r="FT211" s="858"/>
      <c r="FU211" s="858"/>
      <c r="FV211" s="858"/>
      <c r="FW211" s="858"/>
      <c r="FX211" s="858"/>
      <c r="FY211" s="858"/>
      <c r="FZ211" s="858"/>
      <c r="GA211" s="858"/>
      <c r="GB211" s="858"/>
      <c r="GC211" s="858"/>
      <c r="GD211" s="858"/>
      <c r="GE211" s="858"/>
      <c r="GF211" s="858"/>
      <c r="GG211" s="858"/>
      <c r="GH211" s="858"/>
      <c r="GI211" s="858"/>
      <c r="GJ211" s="858"/>
      <c r="GK211" s="858"/>
      <c r="GL211" s="858"/>
      <c r="GM211" s="858"/>
      <c r="GN211" s="858"/>
      <c r="GO211" s="858"/>
      <c r="GP211" s="858"/>
      <c r="GQ211" s="858"/>
      <c r="GR211" s="858"/>
      <c r="GS211" s="858"/>
      <c r="GT211" s="858"/>
      <c r="GU211" s="858"/>
      <c r="GV211" s="858"/>
      <c r="GW211" s="858"/>
      <c r="GX211" s="858"/>
      <c r="GY211" s="858"/>
      <c r="GZ211" s="858"/>
      <c r="HA211" s="858"/>
      <c r="HB211" s="858"/>
      <c r="HC211" s="858"/>
      <c r="HD211" s="858"/>
      <c r="HE211" s="858"/>
      <c r="HF211" s="858"/>
      <c r="HG211" s="858"/>
      <c r="HH211" s="858"/>
      <c r="HI211" s="858"/>
      <c r="HJ211" s="858"/>
      <c r="HK211" s="858"/>
      <c r="HL211" s="858"/>
      <c r="HM211" s="858"/>
      <c r="HN211" s="858"/>
      <c r="HO211" s="858"/>
      <c r="HP211" s="858"/>
      <c r="HQ211" s="858"/>
      <c r="HR211" s="858"/>
      <c r="HS211" s="858"/>
      <c r="HT211" s="858"/>
      <c r="HU211" s="858"/>
      <c r="HV211" s="858"/>
      <c r="HW211" s="858"/>
      <c r="HX211" s="858"/>
      <c r="HY211" s="858"/>
      <c r="HZ211" s="858"/>
      <c r="IA211" s="858"/>
      <c r="IB211" s="858"/>
      <c r="IC211" s="858"/>
      <c r="ID211" s="858"/>
      <c r="IE211" s="858"/>
      <c r="IF211" s="858"/>
      <c r="IG211" s="858"/>
      <c r="IH211" s="858"/>
      <c r="II211" s="858"/>
      <c r="IJ211" s="858"/>
      <c r="IK211" s="858"/>
      <c r="IL211" s="858"/>
      <c r="IM211" s="858"/>
      <c r="IN211" s="858"/>
    </row>
    <row r="212" spans="1:248">
      <c r="A212" s="564" t="s">
        <v>25</v>
      </c>
      <c r="B212" s="566">
        <v>14810.3</v>
      </c>
      <c r="C212" s="566">
        <f>+B212/H212*100</f>
        <v>29.110754250064375</v>
      </c>
      <c r="D212" s="567">
        <v>14712.1</v>
      </c>
      <c r="E212" s="859">
        <f>D212/H212*100</f>
        <v>28.917734792838235</v>
      </c>
      <c r="F212" s="859">
        <f>+B212-D212</f>
        <v>98.199999999998909</v>
      </c>
      <c r="G212" s="859">
        <f t="shared" si="28"/>
        <v>0.19301945722613922</v>
      </c>
      <c r="H212" s="313">
        <v>50875.7</v>
      </c>
      <c r="I212" s="858"/>
      <c r="J212" s="858"/>
      <c r="K212" s="858"/>
      <c r="L212" s="858"/>
      <c r="M212" s="858"/>
      <c r="N212" s="858"/>
      <c r="O212" s="858"/>
      <c r="P212" s="858"/>
      <c r="Q212" s="858"/>
      <c r="R212" s="858"/>
      <c r="S212" s="858"/>
      <c r="T212" s="858"/>
      <c r="U212" s="858"/>
      <c r="V212" s="858"/>
      <c r="W212" s="858"/>
      <c r="X212" s="858"/>
      <c r="Y212" s="858"/>
      <c r="Z212" s="858"/>
      <c r="AA212" s="858"/>
      <c r="AB212" s="858"/>
      <c r="AC212" s="858"/>
      <c r="AD212" s="858"/>
      <c r="AE212" s="858"/>
      <c r="AF212" s="858"/>
      <c r="AG212" s="858"/>
      <c r="AH212" s="858"/>
      <c r="AI212" s="858"/>
      <c r="AJ212" s="858"/>
      <c r="AK212" s="858"/>
      <c r="AL212" s="858"/>
      <c r="AM212" s="858"/>
      <c r="AN212" s="858"/>
      <c r="AO212" s="858"/>
      <c r="AP212" s="858"/>
      <c r="AQ212" s="858"/>
      <c r="AR212" s="858"/>
      <c r="AS212" s="858"/>
      <c r="AT212" s="858"/>
      <c r="AU212" s="858"/>
      <c r="AV212" s="858"/>
      <c r="AW212" s="858"/>
      <c r="AX212" s="858"/>
      <c r="AY212" s="858"/>
      <c r="AZ212" s="858"/>
      <c r="BA212" s="858"/>
      <c r="BB212" s="858"/>
      <c r="BC212" s="858"/>
      <c r="BD212" s="858"/>
      <c r="BE212" s="858"/>
      <c r="BF212" s="858"/>
      <c r="BG212" s="858"/>
      <c r="BH212" s="858"/>
      <c r="BI212" s="858"/>
      <c r="BJ212" s="858"/>
      <c r="BK212" s="858"/>
      <c r="BL212" s="858"/>
      <c r="BM212" s="858"/>
      <c r="BN212" s="858"/>
      <c r="BO212" s="858"/>
      <c r="BP212" s="858"/>
      <c r="BQ212" s="858"/>
      <c r="BR212" s="858"/>
      <c r="BS212" s="858"/>
      <c r="BT212" s="858"/>
      <c r="BU212" s="858"/>
      <c r="BV212" s="858"/>
      <c r="BW212" s="858"/>
      <c r="BX212" s="858"/>
      <c r="BY212" s="858"/>
      <c r="BZ212" s="858"/>
      <c r="CA212" s="858"/>
      <c r="CB212" s="858"/>
      <c r="CC212" s="858"/>
      <c r="CD212" s="858"/>
      <c r="CE212" s="858"/>
      <c r="CF212" s="858"/>
      <c r="CG212" s="858"/>
      <c r="CH212" s="858"/>
      <c r="CI212" s="858"/>
      <c r="CJ212" s="858"/>
      <c r="CK212" s="858"/>
      <c r="CL212" s="858"/>
      <c r="CM212" s="858"/>
      <c r="CN212" s="858"/>
      <c r="CO212" s="858"/>
      <c r="CP212" s="858"/>
      <c r="CQ212" s="858"/>
      <c r="CR212" s="858"/>
      <c r="CS212" s="858"/>
      <c r="CT212" s="858"/>
      <c r="CU212" s="858"/>
      <c r="CV212" s="858"/>
      <c r="CW212" s="858"/>
      <c r="CX212" s="858"/>
      <c r="CY212" s="858"/>
      <c r="CZ212" s="858"/>
      <c r="DA212" s="858"/>
      <c r="DB212" s="858"/>
      <c r="DC212" s="858"/>
      <c r="DD212" s="858"/>
      <c r="DE212" s="858"/>
      <c r="DF212" s="858"/>
      <c r="DG212" s="858"/>
      <c r="DH212" s="858"/>
      <c r="DI212" s="858"/>
      <c r="DJ212" s="858"/>
      <c r="DK212" s="858"/>
      <c r="DL212" s="858"/>
      <c r="DM212" s="858"/>
      <c r="DN212" s="858"/>
      <c r="DO212" s="858"/>
      <c r="DP212" s="858"/>
      <c r="DQ212" s="858"/>
      <c r="DR212" s="858"/>
      <c r="DS212" s="858"/>
      <c r="DT212" s="858"/>
      <c r="DU212" s="858"/>
      <c r="DV212" s="858"/>
      <c r="DW212" s="858"/>
      <c r="DX212" s="858"/>
      <c r="DY212" s="858"/>
      <c r="DZ212" s="858"/>
      <c r="EA212" s="858"/>
      <c r="EB212" s="858"/>
      <c r="EC212" s="858"/>
      <c r="ED212" s="858"/>
      <c r="EE212" s="858"/>
      <c r="EF212" s="858"/>
      <c r="EG212" s="858"/>
      <c r="EH212" s="858"/>
      <c r="EI212" s="858"/>
      <c r="EJ212" s="858"/>
      <c r="EK212" s="858"/>
      <c r="EL212" s="858"/>
      <c r="EM212" s="858"/>
      <c r="EN212" s="858"/>
      <c r="EO212" s="858"/>
      <c r="EP212" s="858"/>
      <c r="EQ212" s="858"/>
      <c r="ER212" s="858"/>
      <c r="ES212" s="858"/>
      <c r="ET212" s="858"/>
      <c r="EU212" s="858"/>
      <c r="EV212" s="858"/>
      <c r="EW212" s="858"/>
      <c r="EX212" s="858"/>
      <c r="EY212" s="858"/>
      <c r="EZ212" s="858"/>
      <c r="FA212" s="858"/>
      <c r="FB212" s="858"/>
      <c r="FC212" s="858"/>
      <c r="FD212" s="858"/>
      <c r="FE212" s="858"/>
      <c r="FF212" s="858"/>
      <c r="FG212" s="858"/>
      <c r="FH212" s="858"/>
      <c r="FI212" s="858"/>
      <c r="FJ212" s="858"/>
      <c r="FK212" s="858"/>
      <c r="FL212" s="858"/>
      <c r="FM212" s="858"/>
      <c r="FN212" s="858"/>
      <c r="FO212" s="858"/>
      <c r="FP212" s="858"/>
      <c r="FQ212" s="858"/>
      <c r="FR212" s="858"/>
      <c r="FS212" s="858"/>
      <c r="FT212" s="858"/>
      <c r="FU212" s="858"/>
      <c r="FV212" s="858"/>
      <c r="FW212" s="858"/>
      <c r="FX212" s="858"/>
      <c r="FY212" s="858"/>
      <c r="FZ212" s="858"/>
      <c r="GA212" s="858"/>
      <c r="GB212" s="858"/>
      <c r="GC212" s="858"/>
      <c r="GD212" s="858"/>
      <c r="GE212" s="858"/>
      <c r="GF212" s="858"/>
      <c r="GG212" s="858"/>
      <c r="GH212" s="858"/>
      <c r="GI212" s="858"/>
      <c r="GJ212" s="858"/>
      <c r="GK212" s="858"/>
      <c r="GL212" s="858"/>
      <c r="GM212" s="858"/>
      <c r="GN212" s="858"/>
      <c r="GO212" s="858"/>
      <c r="GP212" s="858"/>
      <c r="GQ212" s="858"/>
      <c r="GR212" s="858"/>
      <c r="GS212" s="858"/>
      <c r="GT212" s="858"/>
      <c r="GU212" s="858"/>
      <c r="GV212" s="858"/>
      <c r="GW212" s="858"/>
      <c r="GX212" s="858"/>
      <c r="GY212" s="858"/>
      <c r="GZ212" s="858"/>
      <c r="HA212" s="858"/>
      <c r="HB212" s="858"/>
      <c r="HC212" s="858"/>
      <c r="HD212" s="858"/>
      <c r="HE212" s="858"/>
      <c r="HF212" s="858"/>
      <c r="HG212" s="858"/>
      <c r="HH212" s="858"/>
      <c r="HI212" s="858"/>
      <c r="HJ212" s="858"/>
      <c r="HK212" s="858"/>
      <c r="HL212" s="858"/>
      <c r="HM212" s="858"/>
      <c r="HN212" s="858"/>
      <c r="HO212" s="858"/>
      <c r="HP212" s="858"/>
      <c r="HQ212" s="858"/>
      <c r="HR212" s="858"/>
      <c r="HS212" s="858"/>
      <c r="HT212" s="858"/>
      <c r="HU212" s="858"/>
      <c r="HV212" s="858"/>
      <c r="HW212" s="858"/>
      <c r="HX212" s="858"/>
      <c r="HY212" s="858"/>
      <c r="HZ212" s="858"/>
      <c r="IA212" s="858"/>
      <c r="IB212" s="858"/>
      <c r="IC212" s="858"/>
      <c r="ID212" s="858"/>
      <c r="IE212" s="858"/>
      <c r="IF212" s="858"/>
      <c r="IG212" s="858"/>
      <c r="IH212" s="858"/>
      <c r="II212" s="858"/>
      <c r="IJ212" s="858"/>
      <c r="IK212" s="858"/>
      <c r="IL212" s="858"/>
      <c r="IM212" s="858"/>
      <c r="IN212" s="858"/>
    </row>
    <row r="213" spans="1:248">
      <c r="A213" s="564" t="s">
        <v>26</v>
      </c>
      <c r="B213" s="566">
        <v>16871.2</v>
      </c>
      <c r="C213" s="566">
        <f>+B213/H213*100</f>
        <v>28.857317811583844</v>
      </c>
      <c r="D213" s="567">
        <v>16690.599999999999</v>
      </c>
      <c r="E213" s="859">
        <f>D213/H213*100</f>
        <v>28.548410822349403</v>
      </c>
      <c r="F213" s="859">
        <f>+B213-D213</f>
        <v>180.60000000000218</v>
      </c>
      <c r="G213" s="859">
        <f t="shared" si="28"/>
        <v>0.30890698923444121</v>
      </c>
      <c r="H213" s="313">
        <v>58464.2</v>
      </c>
      <c r="I213" s="858"/>
      <c r="J213" s="858"/>
      <c r="K213" s="858"/>
      <c r="L213" s="858"/>
      <c r="M213" s="858"/>
      <c r="N213" s="858"/>
      <c r="O213" s="858"/>
      <c r="P213" s="858"/>
      <c r="Q213" s="858"/>
      <c r="R213" s="858"/>
      <c r="S213" s="858"/>
      <c r="T213" s="858"/>
      <c r="U213" s="858"/>
      <c r="V213" s="858"/>
      <c r="W213" s="858"/>
      <c r="X213" s="858"/>
      <c r="Y213" s="858"/>
      <c r="Z213" s="858"/>
      <c r="AA213" s="858"/>
      <c r="AB213" s="858"/>
      <c r="AC213" s="858"/>
      <c r="AD213" s="858"/>
      <c r="AE213" s="858"/>
      <c r="AF213" s="858"/>
      <c r="AG213" s="858"/>
      <c r="AH213" s="858"/>
      <c r="AI213" s="858"/>
      <c r="AJ213" s="858"/>
      <c r="AK213" s="858"/>
      <c r="AL213" s="858"/>
      <c r="AM213" s="858"/>
      <c r="AN213" s="858"/>
      <c r="AO213" s="858"/>
      <c r="AP213" s="858"/>
      <c r="AQ213" s="858"/>
      <c r="AR213" s="858"/>
      <c r="AS213" s="858"/>
      <c r="AT213" s="858"/>
      <c r="AU213" s="858"/>
      <c r="AV213" s="858"/>
      <c r="AW213" s="858"/>
      <c r="AX213" s="858"/>
      <c r="AY213" s="858"/>
      <c r="AZ213" s="858"/>
      <c r="BA213" s="858"/>
      <c r="BB213" s="858"/>
      <c r="BC213" s="858"/>
      <c r="BD213" s="858"/>
      <c r="BE213" s="858"/>
      <c r="BF213" s="858"/>
      <c r="BG213" s="858"/>
      <c r="BH213" s="858"/>
      <c r="BI213" s="858"/>
      <c r="BJ213" s="858"/>
      <c r="BK213" s="858"/>
      <c r="BL213" s="858"/>
      <c r="BM213" s="858"/>
      <c r="BN213" s="858"/>
      <c r="BO213" s="858"/>
      <c r="BP213" s="858"/>
      <c r="BQ213" s="858"/>
      <c r="BR213" s="858"/>
      <c r="BS213" s="858"/>
      <c r="BT213" s="858"/>
      <c r="BU213" s="858"/>
      <c r="BV213" s="858"/>
      <c r="BW213" s="858"/>
      <c r="BX213" s="858"/>
      <c r="BY213" s="858"/>
      <c r="BZ213" s="858"/>
      <c r="CA213" s="858"/>
      <c r="CB213" s="858"/>
      <c r="CC213" s="858"/>
      <c r="CD213" s="858"/>
      <c r="CE213" s="858"/>
      <c r="CF213" s="858"/>
      <c r="CG213" s="858"/>
      <c r="CH213" s="858"/>
      <c r="CI213" s="858"/>
      <c r="CJ213" s="858"/>
      <c r="CK213" s="858"/>
      <c r="CL213" s="858"/>
      <c r="CM213" s="858"/>
      <c r="CN213" s="858"/>
      <c r="CO213" s="858"/>
      <c r="CP213" s="858"/>
      <c r="CQ213" s="858"/>
      <c r="CR213" s="858"/>
      <c r="CS213" s="858"/>
      <c r="CT213" s="858"/>
      <c r="CU213" s="858"/>
      <c r="CV213" s="858"/>
      <c r="CW213" s="858"/>
      <c r="CX213" s="858"/>
      <c r="CY213" s="858"/>
      <c r="CZ213" s="858"/>
      <c r="DA213" s="858"/>
      <c r="DB213" s="858"/>
      <c r="DC213" s="858"/>
      <c r="DD213" s="858"/>
      <c r="DE213" s="858"/>
      <c r="DF213" s="858"/>
      <c r="DG213" s="858"/>
      <c r="DH213" s="858"/>
      <c r="DI213" s="858"/>
      <c r="DJ213" s="858"/>
      <c r="DK213" s="858"/>
      <c r="DL213" s="858"/>
      <c r="DM213" s="858"/>
      <c r="DN213" s="858"/>
      <c r="DO213" s="858"/>
      <c r="DP213" s="858"/>
      <c r="DQ213" s="858"/>
      <c r="DR213" s="858"/>
      <c r="DS213" s="858"/>
      <c r="DT213" s="858"/>
      <c r="DU213" s="858"/>
      <c r="DV213" s="858"/>
      <c r="DW213" s="858"/>
      <c r="DX213" s="858"/>
      <c r="DY213" s="858"/>
      <c r="DZ213" s="858"/>
      <c r="EA213" s="858"/>
      <c r="EB213" s="858"/>
      <c r="EC213" s="858"/>
      <c r="ED213" s="858"/>
      <c r="EE213" s="858"/>
      <c r="EF213" s="858"/>
      <c r="EG213" s="858"/>
      <c r="EH213" s="858"/>
      <c r="EI213" s="858"/>
      <c r="EJ213" s="858"/>
      <c r="EK213" s="858"/>
      <c r="EL213" s="858"/>
      <c r="EM213" s="858"/>
      <c r="EN213" s="858"/>
      <c r="EO213" s="858"/>
      <c r="EP213" s="858"/>
      <c r="EQ213" s="858"/>
      <c r="ER213" s="858"/>
      <c r="ES213" s="858"/>
      <c r="ET213" s="858"/>
      <c r="EU213" s="858"/>
      <c r="EV213" s="858"/>
      <c r="EW213" s="858"/>
      <c r="EX213" s="858"/>
      <c r="EY213" s="858"/>
      <c r="EZ213" s="858"/>
      <c r="FA213" s="858"/>
      <c r="FB213" s="858"/>
      <c r="FC213" s="858"/>
      <c r="FD213" s="858"/>
      <c r="FE213" s="858"/>
      <c r="FF213" s="858"/>
      <c r="FG213" s="858"/>
      <c r="FH213" s="858"/>
      <c r="FI213" s="858"/>
      <c r="FJ213" s="858"/>
      <c r="FK213" s="858"/>
      <c r="FL213" s="858"/>
      <c r="FM213" s="858"/>
      <c r="FN213" s="858"/>
      <c r="FO213" s="858"/>
      <c r="FP213" s="858"/>
      <c r="FQ213" s="858"/>
      <c r="FR213" s="858"/>
      <c r="FS213" s="858"/>
      <c r="FT213" s="858"/>
      <c r="FU213" s="858"/>
      <c r="FV213" s="858"/>
      <c r="FW213" s="858"/>
      <c r="FX213" s="858"/>
      <c r="FY213" s="858"/>
      <c r="FZ213" s="858"/>
      <c r="GA213" s="858"/>
      <c r="GB213" s="858"/>
      <c r="GC213" s="858"/>
      <c r="GD213" s="858"/>
      <c r="GE213" s="858"/>
      <c r="GF213" s="858"/>
      <c r="GG213" s="858"/>
      <c r="GH213" s="858"/>
      <c r="GI213" s="858"/>
      <c r="GJ213" s="858"/>
      <c r="GK213" s="858"/>
      <c r="GL213" s="858"/>
      <c r="GM213" s="858"/>
      <c r="GN213" s="858"/>
      <c r="GO213" s="858"/>
      <c r="GP213" s="858"/>
      <c r="GQ213" s="858"/>
      <c r="GR213" s="858"/>
      <c r="GS213" s="858"/>
      <c r="GT213" s="858"/>
      <c r="GU213" s="858"/>
      <c r="GV213" s="858"/>
      <c r="GW213" s="858"/>
      <c r="GX213" s="858"/>
      <c r="GY213" s="858"/>
      <c r="GZ213" s="858"/>
      <c r="HA213" s="858"/>
      <c r="HB213" s="858"/>
      <c r="HC213" s="858"/>
      <c r="HD213" s="858"/>
      <c r="HE213" s="858"/>
      <c r="HF213" s="858"/>
      <c r="HG213" s="858"/>
      <c r="HH213" s="858"/>
      <c r="HI213" s="858"/>
      <c r="HJ213" s="858"/>
      <c r="HK213" s="858"/>
      <c r="HL213" s="858"/>
      <c r="HM213" s="858"/>
      <c r="HN213" s="858"/>
      <c r="HO213" s="858"/>
      <c r="HP213" s="858"/>
      <c r="HQ213" s="858"/>
      <c r="HR213" s="858"/>
      <c r="HS213" s="858"/>
      <c r="HT213" s="858"/>
      <c r="HU213" s="858"/>
      <c r="HV213" s="858"/>
      <c r="HW213" s="858"/>
      <c r="HX213" s="858"/>
      <c r="HY213" s="858"/>
      <c r="HZ213" s="858"/>
      <c r="IA213" s="858"/>
      <c r="IB213" s="858"/>
      <c r="IC213" s="858"/>
      <c r="ID213" s="858"/>
      <c r="IE213" s="858"/>
      <c r="IF213" s="858"/>
      <c r="IG213" s="858"/>
      <c r="IH213" s="858"/>
      <c r="II213" s="858"/>
      <c r="IJ213" s="858"/>
      <c r="IK213" s="858"/>
      <c r="IL213" s="858"/>
      <c r="IM213" s="858"/>
      <c r="IN213" s="858"/>
    </row>
    <row r="214" spans="1:248">
      <c r="A214" s="564" t="s">
        <v>27</v>
      </c>
      <c r="B214" s="566">
        <v>19273.900000000001</v>
      </c>
      <c r="C214" s="566">
        <f>+B214/H214*100</f>
        <v>29.46399225866811</v>
      </c>
      <c r="D214" s="567">
        <v>18433.599999999999</v>
      </c>
      <c r="E214" s="859">
        <f>D214/H214*100</f>
        <v>28.17942646269745</v>
      </c>
      <c r="F214" s="859">
        <f>+B214-D214</f>
        <v>840.30000000000291</v>
      </c>
      <c r="G214" s="859">
        <f t="shared" si="28"/>
        <v>1.2845657959706596</v>
      </c>
      <c r="H214" s="313">
        <v>65415.1</v>
      </c>
      <c r="I214" s="858"/>
      <c r="J214" s="858"/>
      <c r="K214" s="858"/>
      <c r="L214" s="858"/>
      <c r="M214" s="858"/>
      <c r="N214" s="858"/>
      <c r="O214" s="858"/>
      <c r="P214" s="858"/>
      <c r="Q214" s="858"/>
      <c r="R214" s="858"/>
      <c r="S214" s="858"/>
      <c r="T214" s="858"/>
      <c r="U214" s="858"/>
      <c r="V214" s="858"/>
      <c r="W214" s="858"/>
      <c r="X214" s="858"/>
      <c r="Y214" s="858"/>
      <c r="Z214" s="858"/>
      <c r="AA214" s="858"/>
      <c r="AB214" s="858"/>
      <c r="AC214" s="858"/>
      <c r="AD214" s="858"/>
      <c r="AE214" s="858"/>
      <c r="AF214" s="858"/>
      <c r="AG214" s="858"/>
      <c r="AH214" s="858"/>
      <c r="AI214" s="858"/>
      <c r="AJ214" s="858"/>
      <c r="AK214" s="858"/>
      <c r="AL214" s="858"/>
      <c r="AM214" s="858"/>
      <c r="AN214" s="858"/>
      <c r="AO214" s="858"/>
      <c r="AP214" s="858"/>
      <c r="AQ214" s="858"/>
      <c r="AR214" s="858"/>
      <c r="AS214" s="858"/>
      <c r="AT214" s="858"/>
      <c r="AU214" s="858"/>
      <c r="AV214" s="858"/>
      <c r="AW214" s="858"/>
      <c r="AX214" s="858"/>
      <c r="AY214" s="858"/>
      <c r="AZ214" s="858"/>
      <c r="BA214" s="858"/>
      <c r="BB214" s="858"/>
      <c r="BC214" s="858"/>
      <c r="BD214" s="858"/>
      <c r="BE214" s="858"/>
      <c r="BF214" s="858"/>
      <c r="BG214" s="858"/>
      <c r="BH214" s="858"/>
      <c r="BI214" s="858"/>
      <c r="BJ214" s="858"/>
      <c r="BK214" s="858"/>
      <c r="BL214" s="858"/>
      <c r="BM214" s="858"/>
      <c r="BN214" s="858"/>
      <c r="BO214" s="858"/>
      <c r="BP214" s="858"/>
      <c r="BQ214" s="858"/>
      <c r="BR214" s="858"/>
      <c r="BS214" s="858"/>
      <c r="BT214" s="858"/>
      <c r="BU214" s="858"/>
      <c r="BV214" s="858"/>
      <c r="BW214" s="858"/>
      <c r="BX214" s="858"/>
      <c r="BY214" s="858"/>
      <c r="BZ214" s="858"/>
      <c r="CA214" s="858"/>
      <c r="CB214" s="858"/>
      <c r="CC214" s="858"/>
      <c r="CD214" s="858"/>
      <c r="CE214" s="858"/>
      <c r="CF214" s="858"/>
      <c r="CG214" s="858"/>
      <c r="CH214" s="858"/>
      <c r="CI214" s="858"/>
      <c r="CJ214" s="858"/>
      <c r="CK214" s="858"/>
      <c r="CL214" s="858"/>
      <c r="CM214" s="858"/>
      <c r="CN214" s="858"/>
      <c r="CO214" s="858"/>
      <c r="CP214" s="858"/>
      <c r="CQ214" s="858"/>
      <c r="CR214" s="858"/>
      <c r="CS214" s="858"/>
      <c r="CT214" s="858"/>
      <c r="CU214" s="858"/>
      <c r="CV214" s="858"/>
      <c r="CW214" s="858"/>
      <c r="CX214" s="858"/>
      <c r="CY214" s="858"/>
      <c r="CZ214" s="858"/>
      <c r="DA214" s="858"/>
      <c r="DB214" s="858"/>
      <c r="DC214" s="858"/>
      <c r="DD214" s="858"/>
      <c r="DE214" s="858"/>
      <c r="DF214" s="858"/>
      <c r="DG214" s="858"/>
      <c r="DH214" s="858"/>
      <c r="DI214" s="858"/>
      <c r="DJ214" s="858"/>
      <c r="DK214" s="858"/>
      <c r="DL214" s="858"/>
      <c r="DM214" s="858"/>
      <c r="DN214" s="858"/>
      <c r="DO214" s="858"/>
      <c r="DP214" s="858"/>
      <c r="DQ214" s="858"/>
      <c r="DR214" s="858"/>
      <c r="DS214" s="858"/>
      <c r="DT214" s="858"/>
      <c r="DU214" s="858"/>
      <c r="DV214" s="858"/>
      <c r="DW214" s="858"/>
      <c r="DX214" s="858"/>
      <c r="DY214" s="858"/>
      <c r="DZ214" s="858"/>
      <c r="EA214" s="858"/>
      <c r="EB214" s="858"/>
      <c r="EC214" s="858"/>
      <c r="ED214" s="858"/>
      <c r="EE214" s="858"/>
      <c r="EF214" s="858"/>
      <c r="EG214" s="858"/>
      <c r="EH214" s="858"/>
      <c r="EI214" s="858"/>
      <c r="EJ214" s="858"/>
      <c r="EK214" s="858"/>
      <c r="EL214" s="858"/>
      <c r="EM214" s="858"/>
      <c r="EN214" s="858"/>
      <c r="EO214" s="858"/>
      <c r="EP214" s="858"/>
      <c r="EQ214" s="858"/>
      <c r="ER214" s="858"/>
      <c r="ES214" s="858"/>
      <c r="ET214" s="858"/>
      <c r="EU214" s="858"/>
      <c r="EV214" s="858"/>
      <c r="EW214" s="858"/>
      <c r="EX214" s="858"/>
      <c r="EY214" s="858"/>
      <c r="EZ214" s="858"/>
      <c r="FA214" s="858"/>
      <c r="FB214" s="858"/>
      <c r="FC214" s="858"/>
      <c r="FD214" s="858"/>
      <c r="FE214" s="858"/>
      <c r="FF214" s="858"/>
      <c r="FG214" s="858"/>
      <c r="FH214" s="858"/>
      <c r="FI214" s="858"/>
      <c r="FJ214" s="858"/>
      <c r="FK214" s="858"/>
      <c r="FL214" s="858"/>
      <c r="FM214" s="858"/>
      <c r="FN214" s="858"/>
      <c r="FO214" s="858"/>
      <c r="FP214" s="858"/>
      <c r="FQ214" s="858"/>
      <c r="FR214" s="858"/>
      <c r="FS214" s="858"/>
      <c r="FT214" s="858"/>
      <c r="FU214" s="858"/>
      <c r="FV214" s="858"/>
      <c r="FW214" s="858"/>
      <c r="FX214" s="858"/>
      <c r="FY214" s="858"/>
      <c r="FZ214" s="858"/>
      <c r="GA214" s="858"/>
      <c r="GB214" s="858"/>
      <c r="GC214" s="858"/>
      <c r="GD214" s="858"/>
      <c r="GE214" s="858"/>
      <c r="GF214" s="858"/>
      <c r="GG214" s="858"/>
      <c r="GH214" s="858"/>
      <c r="GI214" s="858"/>
      <c r="GJ214" s="858"/>
      <c r="GK214" s="858"/>
      <c r="GL214" s="858"/>
      <c r="GM214" s="858"/>
      <c r="GN214" s="858"/>
      <c r="GO214" s="858"/>
      <c r="GP214" s="858"/>
      <c r="GQ214" s="858"/>
      <c r="GR214" s="858"/>
      <c r="GS214" s="858"/>
      <c r="GT214" s="858"/>
      <c r="GU214" s="858"/>
      <c r="GV214" s="858"/>
      <c r="GW214" s="858"/>
      <c r="GX214" s="858"/>
      <c r="GY214" s="858"/>
      <c r="GZ214" s="858"/>
      <c r="HA214" s="858"/>
      <c r="HB214" s="858"/>
      <c r="HC214" s="858"/>
      <c r="HD214" s="858"/>
      <c r="HE214" s="858"/>
      <c r="HF214" s="858"/>
      <c r="HG214" s="858"/>
      <c r="HH214" s="858"/>
      <c r="HI214" s="858"/>
      <c r="HJ214" s="858"/>
      <c r="HK214" s="858"/>
      <c r="HL214" s="858"/>
      <c r="HM214" s="858"/>
      <c r="HN214" s="858"/>
      <c r="HO214" s="858"/>
      <c r="HP214" s="858"/>
      <c r="HQ214" s="858"/>
      <c r="HR214" s="858"/>
      <c r="HS214" s="858"/>
      <c r="HT214" s="858"/>
      <c r="HU214" s="858"/>
      <c r="HV214" s="858"/>
      <c r="HW214" s="858"/>
      <c r="HX214" s="858"/>
      <c r="HY214" s="858"/>
      <c r="HZ214" s="858"/>
      <c r="IA214" s="858"/>
      <c r="IB214" s="858"/>
      <c r="IC214" s="858"/>
      <c r="ID214" s="858"/>
      <c r="IE214" s="858"/>
      <c r="IF214" s="858"/>
      <c r="IG214" s="858"/>
      <c r="IH214" s="858"/>
      <c r="II214" s="858"/>
      <c r="IJ214" s="858"/>
      <c r="IK214" s="858"/>
      <c r="IL214" s="858"/>
      <c r="IM214" s="858"/>
      <c r="IN214" s="858"/>
    </row>
    <row r="215" spans="1:248">
      <c r="A215" s="564" t="s">
        <v>28</v>
      </c>
      <c r="B215" s="566">
        <v>21132.2</v>
      </c>
      <c r="C215" s="566">
        <f>+B215/H215*100</f>
        <v>29.006948314532714</v>
      </c>
      <c r="D215" s="567">
        <v>20175.3</v>
      </c>
      <c r="E215" s="859">
        <f>D215/H215*100</f>
        <v>27.693467046980054</v>
      </c>
      <c r="F215" s="859">
        <f>+B215-D215</f>
        <v>956.90000000000146</v>
      </c>
      <c r="G215" s="859">
        <f t="shared" si="28"/>
        <v>1.3134812675526635</v>
      </c>
      <c r="H215" s="313">
        <v>72852.2</v>
      </c>
      <c r="I215" s="858"/>
      <c r="J215" s="858"/>
      <c r="K215" s="858"/>
      <c r="L215" s="858"/>
      <c r="M215" s="858"/>
      <c r="N215" s="858"/>
      <c r="O215" s="858"/>
      <c r="P215" s="858"/>
      <c r="Q215" s="858"/>
      <c r="R215" s="858"/>
      <c r="S215" s="858"/>
      <c r="T215" s="858"/>
      <c r="U215" s="858"/>
      <c r="V215" s="858"/>
      <c r="W215" s="858"/>
      <c r="X215" s="858"/>
      <c r="Y215" s="858"/>
      <c r="Z215" s="858"/>
      <c r="AA215" s="858"/>
      <c r="AB215" s="858"/>
      <c r="AC215" s="858"/>
      <c r="AD215" s="858"/>
      <c r="AE215" s="858"/>
      <c r="AF215" s="858"/>
      <c r="AG215" s="858"/>
      <c r="AH215" s="858"/>
      <c r="AI215" s="858"/>
      <c r="AJ215" s="858"/>
      <c r="AK215" s="858"/>
      <c r="AL215" s="858"/>
      <c r="AM215" s="858"/>
      <c r="AN215" s="858"/>
      <c r="AO215" s="858"/>
      <c r="AP215" s="858"/>
      <c r="AQ215" s="858"/>
      <c r="AR215" s="858"/>
      <c r="AS215" s="858"/>
      <c r="AT215" s="858"/>
      <c r="AU215" s="858"/>
      <c r="AV215" s="858"/>
      <c r="AW215" s="858"/>
      <c r="AX215" s="858"/>
      <c r="AY215" s="858"/>
      <c r="AZ215" s="858"/>
      <c r="BA215" s="858"/>
      <c r="BB215" s="858"/>
      <c r="BC215" s="858"/>
      <c r="BD215" s="858"/>
      <c r="BE215" s="858"/>
      <c r="BF215" s="858"/>
      <c r="BG215" s="858"/>
      <c r="BH215" s="858"/>
      <c r="BI215" s="858"/>
      <c r="BJ215" s="858"/>
      <c r="BK215" s="858"/>
      <c r="BL215" s="858"/>
      <c r="BM215" s="858"/>
      <c r="BN215" s="858"/>
      <c r="BO215" s="858"/>
      <c r="BP215" s="858"/>
      <c r="BQ215" s="858"/>
      <c r="BR215" s="858"/>
      <c r="BS215" s="858"/>
      <c r="BT215" s="858"/>
      <c r="BU215" s="858"/>
      <c r="BV215" s="858"/>
      <c r="BW215" s="858"/>
      <c r="BX215" s="858"/>
      <c r="BY215" s="858"/>
      <c r="BZ215" s="858"/>
      <c r="CA215" s="858"/>
      <c r="CB215" s="858"/>
      <c r="CC215" s="858"/>
      <c r="CD215" s="858"/>
      <c r="CE215" s="858"/>
      <c r="CF215" s="858"/>
      <c r="CG215" s="858"/>
      <c r="CH215" s="858"/>
      <c r="CI215" s="858"/>
      <c r="CJ215" s="858"/>
      <c r="CK215" s="858"/>
      <c r="CL215" s="858"/>
      <c r="CM215" s="858"/>
      <c r="CN215" s="858"/>
      <c r="CO215" s="858"/>
      <c r="CP215" s="858"/>
      <c r="CQ215" s="858"/>
      <c r="CR215" s="858"/>
      <c r="CS215" s="858"/>
      <c r="CT215" s="858"/>
      <c r="CU215" s="858"/>
      <c r="CV215" s="858"/>
      <c r="CW215" s="858"/>
      <c r="CX215" s="858"/>
      <c r="CY215" s="858"/>
      <c r="CZ215" s="858"/>
      <c r="DA215" s="858"/>
      <c r="DB215" s="858"/>
      <c r="DC215" s="858"/>
      <c r="DD215" s="858"/>
      <c r="DE215" s="858"/>
      <c r="DF215" s="858"/>
      <c r="DG215" s="858"/>
      <c r="DH215" s="858"/>
      <c r="DI215" s="858"/>
      <c r="DJ215" s="858"/>
      <c r="DK215" s="858"/>
      <c r="DL215" s="858"/>
      <c r="DM215" s="858"/>
      <c r="DN215" s="858"/>
      <c r="DO215" s="858"/>
      <c r="DP215" s="858"/>
      <c r="DQ215" s="858"/>
      <c r="DR215" s="858"/>
      <c r="DS215" s="858"/>
      <c r="DT215" s="858"/>
      <c r="DU215" s="858"/>
      <c r="DV215" s="858"/>
      <c r="DW215" s="858"/>
      <c r="DX215" s="858"/>
      <c r="DY215" s="858"/>
      <c r="DZ215" s="858"/>
      <c r="EA215" s="858"/>
      <c r="EB215" s="858"/>
      <c r="EC215" s="858"/>
      <c r="ED215" s="858"/>
      <c r="EE215" s="858"/>
      <c r="EF215" s="858"/>
      <c r="EG215" s="858"/>
      <c r="EH215" s="858"/>
      <c r="EI215" s="858"/>
      <c r="EJ215" s="858"/>
      <c r="EK215" s="858"/>
      <c r="EL215" s="858"/>
      <c r="EM215" s="858"/>
      <c r="EN215" s="858"/>
      <c r="EO215" s="858"/>
      <c r="EP215" s="858"/>
      <c r="EQ215" s="858"/>
      <c r="ER215" s="858"/>
      <c r="ES215" s="858"/>
      <c r="ET215" s="858"/>
      <c r="EU215" s="858"/>
      <c r="EV215" s="858"/>
      <c r="EW215" s="858"/>
      <c r="EX215" s="858"/>
      <c r="EY215" s="858"/>
      <c r="EZ215" s="858"/>
      <c r="FA215" s="858"/>
      <c r="FB215" s="858"/>
      <c r="FC215" s="858"/>
      <c r="FD215" s="858"/>
      <c r="FE215" s="858"/>
      <c r="FF215" s="858"/>
      <c r="FG215" s="858"/>
      <c r="FH215" s="858"/>
      <c r="FI215" s="858"/>
      <c r="FJ215" s="858"/>
      <c r="FK215" s="858"/>
      <c r="FL215" s="858"/>
      <c r="FM215" s="858"/>
      <c r="FN215" s="858"/>
      <c r="FO215" s="858"/>
      <c r="FP215" s="858"/>
      <c r="FQ215" s="858"/>
      <c r="FR215" s="858"/>
      <c r="FS215" s="858"/>
      <c r="FT215" s="858"/>
      <c r="FU215" s="858"/>
      <c r="FV215" s="858"/>
      <c r="FW215" s="858"/>
      <c r="FX215" s="858"/>
      <c r="FY215" s="858"/>
      <c r="FZ215" s="858"/>
      <c r="GA215" s="858"/>
      <c r="GB215" s="858"/>
      <c r="GC215" s="858"/>
      <c r="GD215" s="858"/>
      <c r="GE215" s="858"/>
      <c r="GF215" s="858"/>
      <c r="GG215" s="858"/>
      <c r="GH215" s="858"/>
      <c r="GI215" s="858"/>
      <c r="GJ215" s="858"/>
      <c r="GK215" s="858"/>
      <c r="GL215" s="858"/>
      <c r="GM215" s="858"/>
      <c r="GN215" s="858"/>
      <c r="GO215" s="858"/>
      <c r="GP215" s="858"/>
      <c r="GQ215" s="858"/>
      <c r="GR215" s="858"/>
      <c r="GS215" s="858"/>
      <c r="GT215" s="858"/>
      <c r="GU215" s="858"/>
      <c r="GV215" s="858"/>
      <c r="GW215" s="858"/>
      <c r="GX215" s="858"/>
      <c r="GY215" s="858"/>
      <c r="GZ215" s="858"/>
      <c r="HA215" s="858"/>
      <c r="HB215" s="858"/>
      <c r="HC215" s="858"/>
      <c r="HD215" s="858"/>
      <c r="HE215" s="858"/>
      <c r="HF215" s="858"/>
      <c r="HG215" s="858"/>
      <c r="HH215" s="858"/>
      <c r="HI215" s="858"/>
      <c r="HJ215" s="858"/>
      <c r="HK215" s="858"/>
      <c r="HL215" s="858"/>
      <c r="HM215" s="858"/>
      <c r="HN215" s="858"/>
      <c r="HO215" s="858"/>
      <c r="HP215" s="858"/>
      <c r="HQ215" s="858"/>
      <c r="HR215" s="858"/>
      <c r="HS215" s="858"/>
      <c r="HT215" s="858"/>
      <c r="HU215" s="858"/>
      <c r="HV215" s="858"/>
      <c r="HW215" s="858"/>
      <c r="HX215" s="858"/>
      <c r="HY215" s="858"/>
      <c r="HZ215" s="858"/>
      <c r="IA215" s="858"/>
      <c r="IB215" s="858"/>
      <c r="IC215" s="858"/>
      <c r="ID215" s="858"/>
      <c r="IE215" s="858"/>
      <c r="IF215" s="858"/>
      <c r="IG215" s="858"/>
      <c r="IH215" s="858"/>
      <c r="II215" s="858"/>
      <c r="IJ215" s="858"/>
      <c r="IK215" s="858"/>
      <c r="IL215" s="858"/>
      <c r="IM215" s="858"/>
      <c r="IN215" s="858"/>
    </row>
    <row r="216" spans="1:248">
      <c r="A216" s="564" t="s">
        <v>29</v>
      </c>
      <c r="B216" s="566">
        <v>24218.1</v>
      </c>
      <c r="C216" s="566">
        <v>29.626963430908042</v>
      </c>
      <c r="D216" s="567">
        <v>24425.9</v>
      </c>
      <c r="E216" s="859">
        <v>29.878184645143911</v>
      </c>
      <c r="F216" s="859">
        <v>-207.80000000000291</v>
      </c>
      <c r="G216" s="859">
        <f t="shared" si="28"/>
        <v>-0.25373582657071136</v>
      </c>
      <c r="H216" s="313">
        <v>81896.2</v>
      </c>
      <c r="I216" s="858"/>
      <c r="J216" s="858"/>
      <c r="K216" s="858"/>
      <c r="L216" s="858"/>
      <c r="M216" s="858"/>
      <c r="N216" s="858"/>
      <c r="O216" s="858"/>
      <c r="P216" s="858"/>
      <c r="Q216" s="858"/>
      <c r="R216" s="858"/>
      <c r="S216" s="858"/>
      <c r="T216" s="858"/>
      <c r="U216" s="858"/>
      <c r="V216" s="858"/>
      <c r="W216" s="858"/>
      <c r="X216" s="858"/>
      <c r="Y216" s="858"/>
      <c r="Z216" s="858"/>
      <c r="AA216" s="858"/>
      <c r="AB216" s="858"/>
      <c r="AC216" s="858"/>
      <c r="AD216" s="858"/>
      <c r="AE216" s="858"/>
      <c r="AF216" s="858"/>
      <c r="AG216" s="858"/>
      <c r="AH216" s="858"/>
      <c r="AI216" s="858"/>
      <c r="AJ216" s="858"/>
      <c r="AK216" s="858"/>
      <c r="AL216" s="858"/>
      <c r="AM216" s="858"/>
      <c r="AN216" s="858"/>
      <c r="AO216" s="858"/>
      <c r="AP216" s="858"/>
      <c r="AQ216" s="858"/>
      <c r="AR216" s="858"/>
      <c r="AS216" s="858"/>
      <c r="AT216" s="858"/>
      <c r="AU216" s="858"/>
      <c r="AV216" s="858"/>
      <c r="AW216" s="858"/>
      <c r="AX216" s="858"/>
      <c r="AY216" s="858"/>
      <c r="AZ216" s="858"/>
      <c r="BA216" s="858"/>
      <c r="BB216" s="858"/>
      <c r="BC216" s="858"/>
      <c r="BD216" s="858"/>
      <c r="BE216" s="858"/>
      <c r="BF216" s="858"/>
      <c r="BG216" s="858"/>
      <c r="BH216" s="858"/>
      <c r="BI216" s="858"/>
      <c r="BJ216" s="858"/>
      <c r="BK216" s="858"/>
      <c r="BL216" s="858"/>
      <c r="BM216" s="858"/>
      <c r="BN216" s="858"/>
      <c r="BO216" s="858"/>
      <c r="BP216" s="858"/>
      <c r="BQ216" s="858"/>
      <c r="BR216" s="858"/>
      <c r="BS216" s="858"/>
      <c r="BT216" s="858"/>
      <c r="BU216" s="858"/>
      <c r="BV216" s="858"/>
      <c r="BW216" s="858"/>
      <c r="BX216" s="858"/>
      <c r="BY216" s="858"/>
      <c r="BZ216" s="858"/>
      <c r="CA216" s="858"/>
      <c r="CB216" s="858"/>
      <c r="CC216" s="858"/>
      <c r="CD216" s="858"/>
      <c r="CE216" s="858"/>
      <c r="CF216" s="858"/>
      <c r="CG216" s="858"/>
      <c r="CH216" s="858"/>
      <c r="CI216" s="858"/>
      <c r="CJ216" s="858"/>
      <c r="CK216" s="858"/>
      <c r="CL216" s="858"/>
      <c r="CM216" s="858"/>
      <c r="CN216" s="858"/>
      <c r="CO216" s="858"/>
      <c r="CP216" s="858"/>
      <c r="CQ216" s="858"/>
      <c r="CR216" s="858"/>
      <c r="CS216" s="858"/>
      <c r="CT216" s="858"/>
      <c r="CU216" s="858"/>
      <c r="CV216" s="858"/>
      <c r="CW216" s="858"/>
      <c r="CX216" s="858"/>
      <c r="CY216" s="858"/>
      <c r="CZ216" s="858"/>
      <c r="DA216" s="858"/>
      <c r="DB216" s="858"/>
      <c r="DC216" s="858"/>
      <c r="DD216" s="858"/>
      <c r="DE216" s="858"/>
      <c r="DF216" s="858"/>
      <c r="DG216" s="858"/>
      <c r="DH216" s="858"/>
      <c r="DI216" s="858"/>
      <c r="DJ216" s="858"/>
      <c r="DK216" s="858"/>
      <c r="DL216" s="858"/>
      <c r="DM216" s="858"/>
      <c r="DN216" s="858"/>
      <c r="DO216" s="858"/>
      <c r="DP216" s="858"/>
      <c r="DQ216" s="858"/>
      <c r="DR216" s="858"/>
      <c r="DS216" s="858"/>
      <c r="DT216" s="858"/>
      <c r="DU216" s="858"/>
      <c r="DV216" s="858"/>
      <c r="DW216" s="858"/>
      <c r="DX216" s="858"/>
      <c r="DY216" s="858"/>
      <c r="DZ216" s="858"/>
      <c r="EA216" s="858"/>
      <c r="EB216" s="858"/>
      <c r="EC216" s="858"/>
      <c r="ED216" s="858"/>
      <c r="EE216" s="858"/>
      <c r="EF216" s="858"/>
      <c r="EG216" s="858"/>
      <c r="EH216" s="858"/>
      <c r="EI216" s="858"/>
      <c r="EJ216" s="858"/>
      <c r="EK216" s="858"/>
      <c r="EL216" s="858"/>
      <c r="EM216" s="858"/>
      <c r="EN216" s="858"/>
      <c r="EO216" s="858"/>
      <c r="EP216" s="858"/>
      <c r="EQ216" s="858"/>
      <c r="ER216" s="858"/>
      <c r="ES216" s="858"/>
      <c r="ET216" s="858"/>
      <c r="EU216" s="858"/>
      <c r="EV216" s="858"/>
      <c r="EW216" s="858"/>
      <c r="EX216" s="858"/>
      <c r="EY216" s="858"/>
      <c r="EZ216" s="858"/>
      <c r="FA216" s="858"/>
      <c r="FB216" s="858"/>
      <c r="FC216" s="858"/>
      <c r="FD216" s="858"/>
      <c r="FE216" s="858"/>
      <c r="FF216" s="858"/>
      <c r="FG216" s="858"/>
      <c r="FH216" s="858"/>
      <c r="FI216" s="858"/>
      <c r="FJ216" s="858"/>
      <c r="FK216" s="858"/>
      <c r="FL216" s="858"/>
      <c r="FM216" s="858"/>
      <c r="FN216" s="858"/>
      <c r="FO216" s="858"/>
      <c r="FP216" s="858"/>
      <c r="FQ216" s="858"/>
      <c r="FR216" s="858"/>
      <c r="FS216" s="858"/>
      <c r="FT216" s="858"/>
      <c r="FU216" s="858"/>
      <c r="FV216" s="858"/>
      <c r="FW216" s="858"/>
      <c r="FX216" s="858"/>
      <c r="FY216" s="858"/>
      <c r="FZ216" s="858"/>
      <c r="GA216" s="858"/>
      <c r="GB216" s="858"/>
      <c r="GC216" s="858"/>
      <c r="GD216" s="858"/>
      <c r="GE216" s="858"/>
      <c r="GF216" s="858"/>
      <c r="GG216" s="858"/>
      <c r="GH216" s="858"/>
      <c r="GI216" s="858"/>
      <c r="GJ216" s="858"/>
      <c r="GK216" s="858"/>
      <c r="GL216" s="858"/>
      <c r="GM216" s="858"/>
      <c r="GN216" s="858"/>
      <c r="GO216" s="858"/>
      <c r="GP216" s="858"/>
      <c r="GQ216" s="858"/>
      <c r="GR216" s="858"/>
      <c r="GS216" s="858"/>
      <c r="GT216" s="858"/>
      <c r="GU216" s="858"/>
      <c r="GV216" s="858"/>
      <c r="GW216" s="858"/>
      <c r="GX216" s="858"/>
      <c r="GY216" s="858"/>
      <c r="GZ216" s="858"/>
      <c r="HA216" s="858"/>
      <c r="HB216" s="858"/>
      <c r="HC216" s="858"/>
      <c r="HD216" s="858"/>
      <c r="HE216" s="858"/>
      <c r="HF216" s="858"/>
      <c r="HG216" s="858"/>
      <c r="HH216" s="858"/>
      <c r="HI216" s="858"/>
      <c r="HJ216" s="858"/>
      <c r="HK216" s="858"/>
      <c r="HL216" s="858"/>
      <c r="HM216" s="858"/>
      <c r="HN216" s="858"/>
      <c r="HO216" s="858"/>
      <c r="HP216" s="858"/>
      <c r="HQ216" s="858"/>
      <c r="HR216" s="858"/>
      <c r="HS216" s="858"/>
      <c r="HT216" s="858"/>
      <c r="HU216" s="858"/>
      <c r="HV216" s="858"/>
      <c r="HW216" s="858"/>
      <c r="HX216" s="858"/>
      <c r="HY216" s="858"/>
      <c r="HZ216" s="858"/>
      <c r="IA216" s="858"/>
      <c r="IB216" s="858"/>
      <c r="IC216" s="858"/>
      <c r="ID216" s="858"/>
      <c r="IE216" s="858"/>
      <c r="IF216" s="858"/>
      <c r="IG216" s="858"/>
      <c r="IH216" s="858"/>
      <c r="II216" s="858"/>
      <c r="IJ216" s="858"/>
      <c r="IK216" s="858"/>
      <c r="IL216" s="858"/>
      <c r="IM216" s="858"/>
      <c r="IN216" s="858"/>
    </row>
    <row r="217" spans="1:248">
      <c r="A217" s="564" t="s">
        <v>2362</v>
      </c>
      <c r="B217" s="561">
        <v>24681.7</v>
      </c>
      <c r="C217" s="561">
        <v>34.063717517899491</v>
      </c>
      <c r="D217" s="562">
        <v>26416.3</v>
      </c>
      <c r="E217" s="860">
        <v>36.471486438352002</v>
      </c>
      <c r="F217" s="860">
        <f>B217-D217</f>
        <v>-1734.5999999999985</v>
      </c>
      <c r="G217" s="860">
        <v>-2.4077689204525061</v>
      </c>
      <c r="H217" s="313"/>
      <c r="I217" s="858"/>
      <c r="J217" s="858"/>
      <c r="K217" s="858"/>
      <c r="L217" s="858"/>
      <c r="M217" s="858"/>
      <c r="N217" s="858"/>
      <c r="O217" s="858"/>
      <c r="P217" s="858"/>
      <c r="Q217" s="858"/>
      <c r="R217" s="858"/>
      <c r="S217" s="858"/>
      <c r="T217" s="858"/>
      <c r="U217" s="858"/>
      <c r="V217" s="858"/>
      <c r="W217" s="858"/>
      <c r="X217" s="858"/>
      <c r="Y217" s="858"/>
      <c r="Z217" s="858"/>
      <c r="AA217" s="858"/>
      <c r="AB217" s="858"/>
      <c r="AC217" s="858"/>
      <c r="AD217" s="858"/>
      <c r="AE217" s="858"/>
      <c r="AF217" s="858"/>
      <c r="AG217" s="858"/>
      <c r="AH217" s="858"/>
      <c r="AI217" s="858"/>
      <c r="AJ217" s="858"/>
      <c r="AK217" s="858"/>
      <c r="AL217" s="858"/>
      <c r="AM217" s="858"/>
      <c r="AN217" s="858"/>
      <c r="AO217" s="858"/>
      <c r="AP217" s="858"/>
      <c r="AQ217" s="858"/>
      <c r="AR217" s="858"/>
      <c r="AS217" s="858"/>
      <c r="AT217" s="858"/>
      <c r="AU217" s="858"/>
      <c r="AV217" s="858"/>
      <c r="AW217" s="858"/>
      <c r="AX217" s="858"/>
      <c r="AY217" s="858"/>
      <c r="AZ217" s="858"/>
      <c r="BA217" s="858"/>
      <c r="BB217" s="858"/>
      <c r="BC217" s="858"/>
      <c r="BD217" s="858"/>
      <c r="BE217" s="858"/>
      <c r="BF217" s="858"/>
      <c r="BG217" s="858"/>
      <c r="BH217" s="858"/>
      <c r="BI217" s="858"/>
      <c r="BJ217" s="858"/>
      <c r="BK217" s="858"/>
      <c r="BL217" s="858"/>
      <c r="BM217" s="858"/>
      <c r="BN217" s="858"/>
      <c r="BO217" s="858"/>
      <c r="BP217" s="858"/>
      <c r="BQ217" s="858"/>
      <c r="BR217" s="858"/>
      <c r="BS217" s="858"/>
      <c r="BT217" s="858"/>
      <c r="BU217" s="858"/>
      <c r="BV217" s="858"/>
      <c r="BW217" s="858"/>
      <c r="BX217" s="858"/>
      <c r="BY217" s="858"/>
      <c r="BZ217" s="858"/>
      <c r="CA217" s="858"/>
      <c r="CB217" s="858"/>
      <c r="CC217" s="858"/>
      <c r="CD217" s="858"/>
      <c r="CE217" s="858"/>
      <c r="CF217" s="858"/>
      <c r="CG217" s="858"/>
      <c r="CH217" s="858"/>
      <c r="CI217" s="858"/>
      <c r="CJ217" s="858"/>
      <c r="CK217" s="858"/>
      <c r="CL217" s="858"/>
      <c r="CM217" s="858"/>
      <c r="CN217" s="858"/>
      <c r="CO217" s="858"/>
      <c r="CP217" s="858"/>
      <c r="CQ217" s="858"/>
      <c r="CR217" s="858"/>
      <c r="CS217" s="858"/>
      <c r="CT217" s="858"/>
      <c r="CU217" s="858"/>
      <c r="CV217" s="858"/>
      <c r="CW217" s="858"/>
      <c r="CX217" s="858"/>
      <c r="CY217" s="858"/>
      <c r="CZ217" s="858"/>
      <c r="DA217" s="858"/>
      <c r="DB217" s="858"/>
      <c r="DC217" s="858"/>
      <c r="DD217" s="858"/>
      <c r="DE217" s="858"/>
      <c r="DF217" s="858"/>
      <c r="DG217" s="858"/>
      <c r="DH217" s="858"/>
      <c r="DI217" s="858"/>
      <c r="DJ217" s="858"/>
      <c r="DK217" s="858"/>
      <c r="DL217" s="858"/>
      <c r="DM217" s="858"/>
      <c r="DN217" s="858"/>
      <c r="DO217" s="858"/>
      <c r="DP217" s="858"/>
      <c r="DQ217" s="858"/>
      <c r="DR217" s="858"/>
      <c r="DS217" s="858"/>
      <c r="DT217" s="858"/>
      <c r="DU217" s="858"/>
      <c r="DV217" s="858"/>
      <c r="DW217" s="858"/>
      <c r="DX217" s="858"/>
      <c r="DY217" s="858"/>
      <c r="DZ217" s="858"/>
      <c r="EA217" s="858"/>
      <c r="EB217" s="858"/>
      <c r="EC217" s="858"/>
      <c r="ED217" s="858"/>
      <c r="EE217" s="858"/>
      <c r="EF217" s="858"/>
      <c r="EG217" s="858"/>
      <c r="EH217" s="858"/>
      <c r="EI217" s="858"/>
      <c r="EJ217" s="858"/>
      <c r="EK217" s="858"/>
      <c r="EL217" s="858"/>
      <c r="EM217" s="858"/>
      <c r="EN217" s="858"/>
      <c r="EO217" s="858"/>
      <c r="EP217" s="858"/>
      <c r="EQ217" s="858"/>
      <c r="ER217" s="858"/>
      <c r="ES217" s="858"/>
      <c r="ET217" s="858"/>
      <c r="EU217" s="858"/>
      <c r="EV217" s="858"/>
      <c r="EW217" s="858"/>
      <c r="EX217" s="858"/>
      <c r="EY217" s="858"/>
      <c r="EZ217" s="858"/>
      <c r="FA217" s="858"/>
      <c r="FB217" s="858"/>
      <c r="FC217" s="858"/>
      <c r="FD217" s="858"/>
      <c r="FE217" s="858"/>
      <c r="FF217" s="858"/>
      <c r="FG217" s="858"/>
      <c r="FH217" s="858"/>
      <c r="FI217" s="858"/>
      <c r="FJ217" s="858"/>
      <c r="FK217" s="858"/>
      <c r="FL217" s="858"/>
      <c r="FM217" s="858"/>
      <c r="FN217" s="858"/>
      <c r="FO217" s="858"/>
      <c r="FP217" s="858"/>
      <c r="FQ217" s="858"/>
      <c r="FR217" s="858"/>
      <c r="FS217" s="858"/>
      <c r="FT217" s="858"/>
      <c r="FU217" s="858"/>
      <c r="FV217" s="858"/>
      <c r="FW217" s="858"/>
      <c r="FX217" s="858"/>
      <c r="FY217" s="858"/>
      <c r="FZ217" s="858"/>
      <c r="GA217" s="858"/>
      <c r="GB217" s="858"/>
      <c r="GC217" s="858"/>
      <c r="GD217" s="858"/>
      <c r="GE217" s="858"/>
      <c r="GF217" s="858"/>
      <c r="GG217" s="858"/>
      <c r="GH217" s="858"/>
      <c r="GI217" s="858"/>
      <c r="GJ217" s="858"/>
      <c r="GK217" s="858"/>
      <c r="GL217" s="858"/>
      <c r="GM217" s="858"/>
      <c r="GN217" s="858"/>
      <c r="GO217" s="858"/>
      <c r="GP217" s="858"/>
      <c r="GQ217" s="858"/>
      <c r="GR217" s="858"/>
      <c r="GS217" s="858"/>
      <c r="GT217" s="858"/>
      <c r="GU217" s="858"/>
      <c r="GV217" s="858"/>
      <c r="GW217" s="858"/>
      <c r="GX217" s="858"/>
      <c r="GY217" s="858"/>
      <c r="GZ217" s="858"/>
      <c r="HA217" s="858"/>
      <c r="HB217" s="858"/>
      <c r="HC217" s="858"/>
      <c r="HD217" s="858"/>
      <c r="HE217" s="858"/>
      <c r="HF217" s="858"/>
      <c r="HG217" s="858"/>
      <c r="HH217" s="858"/>
      <c r="HI217" s="858"/>
      <c r="HJ217" s="858"/>
      <c r="HK217" s="858"/>
      <c r="HL217" s="858"/>
      <c r="HM217" s="858"/>
      <c r="HN217" s="858"/>
      <c r="HO217" s="858"/>
      <c r="HP217" s="858"/>
      <c r="HQ217" s="858"/>
      <c r="HR217" s="858"/>
      <c r="HS217" s="858"/>
      <c r="HT217" s="858"/>
      <c r="HU217" s="858"/>
      <c r="HV217" s="858"/>
      <c r="HW217" s="858"/>
      <c r="HX217" s="858"/>
      <c r="HY217" s="858"/>
      <c r="HZ217" s="858"/>
      <c r="IA217" s="858"/>
      <c r="IB217" s="858"/>
      <c r="IC217" s="858"/>
      <c r="ID217" s="858"/>
      <c r="IE217" s="858"/>
      <c r="IF217" s="858"/>
      <c r="IG217" s="858"/>
      <c r="IH217" s="858"/>
      <c r="II217" s="858"/>
      <c r="IJ217" s="858"/>
      <c r="IK217" s="858"/>
      <c r="IL217" s="858"/>
      <c r="IM217" s="858"/>
      <c r="IN217" s="858"/>
    </row>
    <row r="218" spans="1:248">
      <c r="A218" s="564" t="s">
        <v>18</v>
      </c>
      <c r="B218" s="566">
        <v>1821</v>
      </c>
      <c r="C218" s="566">
        <f t="shared" ref="C218:C229" si="29">+B218/H218*100</f>
        <v>27.396229821420516</v>
      </c>
      <c r="D218" s="567">
        <v>1402.9</v>
      </c>
      <c r="E218" s="859">
        <f t="shared" ref="E218:E229" si="30">D218/H218*100</f>
        <v>21.10607952579398</v>
      </c>
      <c r="F218" s="859">
        <f t="shared" ref="F218:F224" si="31">+B218-D218</f>
        <v>418.09999999999991</v>
      </c>
      <c r="G218" s="859">
        <f t="shared" si="28"/>
        <v>6.2901502956265318</v>
      </c>
      <c r="H218" s="313">
        <v>6646.9</v>
      </c>
      <c r="I218" s="858"/>
      <c r="J218" s="858"/>
      <c r="K218" s="858"/>
      <c r="L218" s="858"/>
      <c r="M218" s="858"/>
      <c r="N218" s="858"/>
      <c r="O218" s="858"/>
      <c r="P218" s="858"/>
      <c r="Q218" s="858"/>
      <c r="R218" s="858"/>
      <c r="S218" s="858"/>
      <c r="T218" s="858"/>
      <c r="U218" s="858"/>
      <c r="V218" s="858"/>
      <c r="W218" s="858"/>
      <c r="X218" s="858"/>
      <c r="Y218" s="858"/>
      <c r="Z218" s="858"/>
      <c r="AA218" s="858"/>
      <c r="AB218" s="858"/>
      <c r="AC218" s="858"/>
      <c r="AD218" s="858"/>
      <c r="AE218" s="858"/>
      <c r="AF218" s="858"/>
      <c r="AG218" s="858"/>
      <c r="AH218" s="858"/>
      <c r="AI218" s="858"/>
      <c r="AJ218" s="858"/>
      <c r="AK218" s="858"/>
      <c r="AL218" s="858"/>
      <c r="AM218" s="858"/>
      <c r="AN218" s="858"/>
      <c r="AO218" s="858"/>
      <c r="AP218" s="858"/>
      <c r="AQ218" s="858"/>
      <c r="AR218" s="858"/>
      <c r="AS218" s="858"/>
      <c r="AT218" s="858"/>
      <c r="AU218" s="858"/>
      <c r="AV218" s="858"/>
      <c r="AW218" s="858"/>
      <c r="AX218" s="858"/>
      <c r="AY218" s="858"/>
      <c r="AZ218" s="858"/>
      <c r="BA218" s="858"/>
      <c r="BB218" s="858"/>
      <c r="BC218" s="858"/>
      <c r="BD218" s="858"/>
      <c r="BE218" s="858"/>
      <c r="BF218" s="858"/>
      <c r="BG218" s="858"/>
      <c r="BH218" s="858"/>
      <c r="BI218" s="858"/>
      <c r="BJ218" s="858"/>
      <c r="BK218" s="858"/>
      <c r="BL218" s="858"/>
      <c r="BM218" s="858"/>
      <c r="BN218" s="858"/>
      <c r="BO218" s="858"/>
      <c r="BP218" s="858"/>
      <c r="BQ218" s="858"/>
      <c r="BR218" s="858"/>
      <c r="BS218" s="858"/>
      <c r="BT218" s="858"/>
      <c r="BU218" s="858"/>
      <c r="BV218" s="858"/>
      <c r="BW218" s="858"/>
      <c r="BX218" s="858"/>
      <c r="BY218" s="858"/>
      <c r="BZ218" s="858"/>
      <c r="CA218" s="858"/>
      <c r="CB218" s="858"/>
      <c r="CC218" s="858"/>
      <c r="CD218" s="858"/>
      <c r="CE218" s="858"/>
      <c r="CF218" s="858"/>
      <c r="CG218" s="858"/>
      <c r="CH218" s="858"/>
      <c r="CI218" s="858"/>
      <c r="CJ218" s="858"/>
      <c r="CK218" s="858"/>
      <c r="CL218" s="858"/>
      <c r="CM218" s="858"/>
      <c r="CN218" s="858"/>
      <c r="CO218" s="858"/>
      <c r="CP218" s="858"/>
      <c r="CQ218" s="858"/>
      <c r="CR218" s="858"/>
      <c r="CS218" s="858"/>
      <c r="CT218" s="858"/>
      <c r="CU218" s="858"/>
      <c r="CV218" s="858"/>
      <c r="CW218" s="858"/>
      <c r="CX218" s="858"/>
      <c r="CY218" s="858"/>
      <c r="CZ218" s="858"/>
      <c r="DA218" s="858"/>
      <c r="DB218" s="858"/>
      <c r="DC218" s="858"/>
      <c r="DD218" s="858"/>
      <c r="DE218" s="858"/>
      <c r="DF218" s="858"/>
      <c r="DG218" s="858"/>
      <c r="DH218" s="858"/>
      <c r="DI218" s="858"/>
      <c r="DJ218" s="858"/>
      <c r="DK218" s="858"/>
      <c r="DL218" s="858"/>
      <c r="DM218" s="858"/>
      <c r="DN218" s="858"/>
      <c r="DO218" s="858"/>
      <c r="DP218" s="858"/>
      <c r="DQ218" s="858"/>
      <c r="DR218" s="858"/>
      <c r="DS218" s="858"/>
      <c r="DT218" s="858"/>
      <c r="DU218" s="858"/>
      <c r="DV218" s="858"/>
      <c r="DW218" s="858"/>
      <c r="DX218" s="858"/>
      <c r="DY218" s="858"/>
      <c r="DZ218" s="858"/>
      <c r="EA218" s="858"/>
      <c r="EB218" s="858"/>
      <c r="EC218" s="858"/>
      <c r="ED218" s="858"/>
      <c r="EE218" s="858"/>
      <c r="EF218" s="858"/>
      <c r="EG218" s="858"/>
      <c r="EH218" s="858"/>
      <c r="EI218" s="858"/>
      <c r="EJ218" s="858"/>
      <c r="EK218" s="858"/>
      <c r="EL218" s="858"/>
      <c r="EM218" s="858"/>
      <c r="EN218" s="858"/>
      <c r="EO218" s="858"/>
      <c r="EP218" s="858"/>
      <c r="EQ218" s="858"/>
      <c r="ER218" s="858"/>
      <c r="ES218" s="858"/>
      <c r="ET218" s="858"/>
      <c r="EU218" s="858"/>
      <c r="EV218" s="858"/>
      <c r="EW218" s="858"/>
      <c r="EX218" s="858"/>
      <c r="EY218" s="858"/>
      <c r="EZ218" s="858"/>
      <c r="FA218" s="858"/>
      <c r="FB218" s="858"/>
      <c r="FC218" s="858"/>
      <c r="FD218" s="858"/>
      <c r="FE218" s="858"/>
      <c r="FF218" s="858"/>
      <c r="FG218" s="858"/>
      <c r="FH218" s="858"/>
      <c r="FI218" s="858"/>
      <c r="FJ218" s="858"/>
      <c r="FK218" s="858"/>
      <c r="FL218" s="858"/>
      <c r="FM218" s="858"/>
      <c r="FN218" s="858"/>
      <c r="FO218" s="858"/>
      <c r="FP218" s="858"/>
      <c r="FQ218" s="858"/>
      <c r="FR218" s="858"/>
      <c r="FS218" s="858"/>
      <c r="FT218" s="858"/>
      <c r="FU218" s="858"/>
      <c r="FV218" s="858"/>
      <c r="FW218" s="858"/>
      <c r="FX218" s="858"/>
      <c r="FY218" s="858"/>
      <c r="FZ218" s="858"/>
      <c r="GA218" s="858"/>
      <c r="GB218" s="858"/>
      <c r="GC218" s="858"/>
      <c r="GD218" s="858"/>
      <c r="GE218" s="858"/>
      <c r="GF218" s="858"/>
      <c r="GG218" s="858"/>
      <c r="GH218" s="858"/>
      <c r="GI218" s="858"/>
      <c r="GJ218" s="858"/>
      <c r="GK218" s="858"/>
      <c r="GL218" s="858"/>
      <c r="GM218" s="858"/>
      <c r="GN218" s="858"/>
      <c r="GO218" s="858"/>
      <c r="GP218" s="858"/>
      <c r="GQ218" s="858"/>
      <c r="GR218" s="858"/>
      <c r="GS218" s="858"/>
      <c r="GT218" s="858"/>
      <c r="GU218" s="858"/>
      <c r="GV218" s="858"/>
      <c r="GW218" s="858"/>
      <c r="GX218" s="858"/>
      <c r="GY218" s="858"/>
      <c r="GZ218" s="858"/>
      <c r="HA218" s="858"/>
      <c r="HB218" s="858"/>
      <c r="HC218" s="858"/>
      <c r="HD218" s="858"/>
      <c r="HE218" s="858"/>
      <c r="HF218" s="858"/>
      <c r="HG218" s="858"/>
      <c r="HH218" s="858"/>
      <c r="HI218" s="858"/>
      <c r="HJ218" s="858"/>
      <c r="HK218" s="858"/>
      <c r="HL218" s="858"/>
      <c r="HM218" s="858"/>
      <c r="HN218" s="858"/>
      <c r="HO218" s="858"/>
      <c r="HP218" s="858"/>
      <c r="HQ218" s="858"/>
      <c r="HR218" s="858"/>
      <c r="HS218" s="858"/>
      <c r="HT218" s="858"/>
      <c r="HU218" s="858"/>
      <c r="HV218" s="858"/>
      <c r="HW218" s="858"/>
      <c r="HX218" s="858"/>
      <c r="HY218" s="858"/>
      <c r="HZ218" s="858"/>
      <c r="IA218" s="858"/>
      <c r="IB218" s="858"/>
      <c r="IC218" s="858"/>
      <c r="ID218" s="858"/>
      <c r="IE218" s="858"/>
      <c r="IF218" s="858"/>
      <c r="IG218" s="858"/>
      <c r="IH218" s="858"/>
      <c r="II218" s="858"/>
      <c r="IJ218" s="858"/>
      <c r="IK218" s="858"/>
      <c r="IL218" s="858"/>
      <c r="IM218" s="858"/>
      <c r="IN218" s="858"/>
    </row>
    <row r="219" spans="1:248">
      <c r="A219" s="564" t="s">
        <v>19</v>
      </c>
      <c r="B219" s="566">
        <v>3613.2</v>
      </c>
      <c r="C219" s="566">
        <f t="shared" si="29"/>
        <v>28.896353166986561</v>
      </c>
      <c r="D219" s="567">
        <v>3330.2</v>
      </c>
      <c r="E219" s="859">
        <f t="shared" si="30"/>
        <v>26.633077415227124</v>
      </c>
      <c r="F219" s="859">
        <f t="shared" si="31"/>
        <v>283</v>
      </c>
      <c r="G219" s="859">
        <f t="shared" si="28"/>
        <v>2.2632757517594371</v>
      </c>
      <c r="H219" s="313">
        <v>12504</v>
      </c>
      <c r="I219" s="858"/>
      <c r="J219" s="858"/>
      <c r="K219" s="858"/>
      <c r="L219" s="858"/>
      <c r="M219" s="858"/>
      <c r="N219" s="858"/>
      <c r="O219" s="858"/>
      <c r="P219" s="858"/>
      <c r="Q219" s="858"/>
      <c r="R219" s="858"/>
      <c r="S219" s="858"/>
      <c r="T219" s="858"/>
      <c r="U219" s="858"/>
      <c r="V219" s="858"/>
      <c r="W219" s="858"/>
      <c r="X219" s="858"/>
      <c r="Y219" s="858"/>
      <c r="Z219" s="858"/>
      <c r="AA219" s="858"/>
      <c r="AB219" s="858"/>
      <c r="AC219" s="858"/>
      <c r="AD219" s="858"/>
      <c r="AE219" s="858"/>
      <c r="AF219" s="858"/>
      <c r="AG219" s="858"/>
      <c r="AH219" s="858"/>
      <c r="AI219" s="858"/>
      <c r="AJ219" s="858"/>
      <c r="AK219" s="858"/>
      <c r="AL219" s="858"/>
      <c r="AM219" s="858"/>
      <c r="AN219" s="858"/>
      <c r="AO219" s="858"/>
      <c r="AP219" s="858"/>
      <c r="AQ219" s="858"/>
      <c r="AR219" s="858"/>
      <c r="AS219" s="858"/>
      <c r="AT219" s="858"/>
      <c r="AU219" s="858"/>
      <c r="AV219" s="858"/>
      <c r="AW219" s="858"/>
      <c r="AX219" s="858"/>
      <c r="AY219" s="858"/>
      <c r="AZ219" s="858"/>
      <c r="BA219" s="858"/>
      <c r="BB219" s="858"/>
      <c r="BC219" s="858"/>
      <c r="BD219" s="858"/>
      <c r="BE219" s="858"/>
      <c r="BF219" s="858"/>
      <c r="BG219" s="858"/>
      <c r="BH219" s="858"/>
      <c r="BI219" s="858"/>
      <c r="BJ219" s="858"/>
      <c r="BK219" s="858"/>
      <c r="BL219" s="858"/>
      <c r="BM219" s="858"/>
      <c r="BN219" s="858"/>
      <c r="BO219" s="858"/>
      <c r="BP219" s="858"/>
      <c r="BQ219" s="858"/>
      <c r="BR219" s="858"/>
      <c r="BS219" s="858"/>
      <c r="BT219" s="858"/>
      <c r="BU219" s="858"/>
      <c r="BV219" s="858"/>
      <c r="BW219" s="858"/>
      <c r="BX219" s="858"/>
      <c r="BY219" s="858"/>
      <c r="BZ219" s="858"/>
      <c r="CA219" s="858"/>
      <c r="CB219" s="858"/>
      <c r="CC219" s="858"/>
      <c r="CD219" s="858"/>
      <c r="CE219" s="858"/>
      <c r="CF219" s="858"/>
      <c r="CG219" s="858"/>
      <c r="CH219" s="858"/>
      <c r="CI219" s="858"/>
      <c r="CJ219" s="858"/>
      <c r="CK219" s="858"/>
      <c r="CL219" s="858"/>
      <c r="CM219" s="858"/>
      <c r="CN219" s="858"/>
      <c r="CO219" s="858"/>
      <c r="CP219" s="858"/>
      <c r="CQ219" s="858"/>
      <c r="CR219" s="858"/>
      <c r="CS219" s="858"/>
      <c r="CT219" s="858"/>
      <c r="CU219" s="858"/>
      <c r="CV219" s="858"/>
      <c r="CW219" s="858"/>
      <c r="CX219" s="858"/>
      <c r="CY219" s="858"/>
      <c r="CZ219" s="858"/>
      <c r="DA219" s="858"/>
      <c r="DB219" s="858"/>
      <c r="DC219" s="858"/>
      <c r="DD219" s="858"/>
      <c r="DE219" s="858"/>
      <c r="DF219" s="858"/>
      <c r="DG219" s="858"/>
      <c r="DH219" s="858"/>
      <c r="DI219" s="858"/>
      <c r="DJ219" s="858"/>
      <c r="DK219" s="858"/>
      <c r="DL219" s="858"/>
      <c r="DM219" s="858"/>
      <c r="DN219" s="858"/>
      <c r="DO219" s="858"/>
      <c r="DP219" s="858"/>
      <c r="DQ219" s="858"/>
      <c r="DR219" s="858"/>
      <c r="DS219" s="858"/>
      <c r="DT219" s="858"/>
      <c r="DU219" s="858"/>
      <c r="DV219" s="858"/>
      <c r="DW219" s="858"/>
      <c r="DX219" s="858"/>
      <c r="DY219" s="858"/>
      <c r="DZ219" s="858"/>
      <c r="EA219" s="858"/>
      <c r="EB219" s="858"/>
      <c r="EC219" s="858"/>
      <c r="ED219" s="858"/>
      <c r="EE219" s="858"/>
      <c r="EF219" s="858"/>
      <c r="EG219" s="858"/>
      <c r="EH219" s="858"/>
      <c r="EI219" s="858"/>
      <c r="EJ219" s="858"/>
      <c r="EK219" s="858"/>
      <c r="EL219" s="858"/>
      <c r="EM219" s="858"/>
      <c r="EN219" s="858"/>
      <c r="EO219" s="858"/>
      <c r="EP219" s="858"/>
      <c r="EQ219" s="858"/>
      <c r="ER219" s="858"/>
      <c r="ES219" s="858"/>
      <c r="ET219" s="858"/>
      <c r="EU219" s="858"/>
      <c r="EV219" s="858"/>
      <c r="EW219" s="858"/>
      <c r="EX219" s="858"/>
      <c r="EY219" s="858"/>
      <c r="EZ219" s="858"/>
      <c r="FA219" s="858"/>
      <c r="FB219" s="858"/>
      <c r="FC219" s="858"/>
      <c r="FD219" s="858"/>
      <c r="FE219" s="858"/>
      <c r="FF219" s="858"/>
      <c r="FG219" s="858"/>
      <c r="FH219" s="858"/>
      <c r="FI219" s="858"/>
      <c r="FJ219" s="858"/>
      <c r="FK219" s="858"/>
      <c r="FL219" s="858"/>
      <c r="FM219" s="858"/>
      <c r="FN219" s="858"/>
      <c r="FO219" s="858"/>
      <c r="FP219" s="858"/>
      <c r="FQ219" s="858"/>
      <c r="FR219" s="858"/>
      <c r="FS219" s="858"/>
      <c r="FT219" s="858"/>
      <c r="FU219" s="858"/>
      <c r="FV219" s="858"/>
      <c r="FW219" s="858"/>
      <c r="FX219" s="858"/>
      <c r="FY219" s="858"/>
      <c r="FZ219" s="858"/>
      <c r="GA219" s="858"/>
      <c r="GB219" s="858"/>
      <c r="GC219" s="858"/>
      <c r="GD219" s="858"/>
      <c r="GE219" s="858"/>
      <c r="GF219" s="858"/>
      <c r="GG219" s="858"/>
      <c r="GH219" s="858"/>
      <c r="GI219" s="858"/>
      <c r="GJ219" s="858"/>
      <c r="GK219" s="858"/>
      <c r="GL219" s="858"/>
      <c r="GM219" s="858"/>
      <c r="GN219" s="858"/>
      <c r="GO219" s="858"/>
      <c r="GP219" s="858"/>
      <c r="GQ219" s="858"/>
      <c r="GR219" s="858"/>
      <c r="GS219" s="858"/>
      <c r="GT219" s="858"/>
      <c r="GU219" s="858"/>
      <c r="GV219" s="858"/>
      <c r="GW219" s="858"/>
      <c r="GX219" s="858"/>
      <c r="GY219" s="858"/>
      <c r="GZ219" s="858"/>
      <c r="HA219" s="858"/>
      <c r="HB219" s="858"/>
      <c r="HC219" s="858"/>
      <c r="HD219" s="858"/>
      <c r="HE219" s="858"/>
      <c r="HF219" s="858"/>
      <c r="HG219" s="858"/>
      <c r="HH219" s="858"/>
      <c r="HI219" s="858"/>
      <c r="HJ219" s="858"/>
      <c r="HK219" s="858"/>
      <c r="HL219" s="858"/>
      <c r="HM219" s="858"/>
      <c r="HN219" s="858"/>
      <c r="HO219" s="858"/>
      <c r="HP219" s="858"/>
      <c r="HQ219" s="858"/>
      <c r="HR219" s="858"/>
      <c r="HS219" s="858"/>
      <c r="HT219" s="858"/>
      <c r="HU219" s="858"/>
      <c r="HV219" s="858"/>
      <c r="HW219" s="858"/>
      <c r="HX219" s="858"/>
      <c r="HY219" s="858"/>
      <c r="HZ219" s="858"/>
      <c r="IA219" s="858"/>
      <c r="IB219" s="858"/>
      <c r="IC219" s="858"/>
      <c r="ID219" s="858"/>
      <c r="IE219" s="858"/>
      <c r="IF219" s="858"/>
      <c r="IG219" s="858"/>
      <c r="IH219" s="858"/>
      <c r="II219" s="858"/>
      <c r="IJ219" s="858"/>
      <c r="IK219" s="858"/>
      <c r="IL219" s="858"/>
      <c r="IM219" s="858"/>
      <c r="IN219" s="858"/>
    </row>
    <row r="220" spans="1:248">
      <c r="A220" s="564" t="s">
        <v>20</v>
      </c>
      <c r="B220" s="566">
        <v>7810.9</v>
      </c>
      <c r="C220" s="566">
        <f t="shared" si="29"/>
        <v>43.567918518973009</v>
      </c>
      <c r="D220" s="567">
        <v>5254.8</v>
      </c>
      <c r="E220" s="859">
        <f t="shared" si="30"/>
        <v>29.310412146295484</v>
      </c>
      <c r="F220" s="859">
        <f t="shared" si="31"/>
        <v>2556.0999999999995</v>
      </c>
      <c r="G220" s="859">
        <f t="shared" ref="G220:G229" si="32">F220/H220*100</f>
        <v>14.257506372677527</v>
      </c>
      <c r="H220" s="313">
        <v>17928.099999999999</v>
      </c>
      <c r="I220" s="858"/>
      <c r="J220" s="858"/>
      <c r="K220" s="858"/>
      <c r="L220" s="858"/>
      <c r="M220" s="858"/>
      <c r="N220" s="858"/>
      <c r="O220" s="858"/>
      <c r="P220" s="858"/>
      <c r="Q220" s="858"/>
      <c r="R220" s="858"/>
      <c r="S220" s="858"/>
      <c r="T220" s="858"/>
      <c r="U220" s="858"/>
      <c r="V220" s="858"/>
      <c r="W220" s="858"/>
      <c r="X220" s="858"/>
      <c r="Y220" s="858"/>
      <c r="Z220" s="858"/>
      <c r="AA220" s="858"/>
      <c r="AB220" s="858"/>
      <c r="AC220" s="858"/>
      <c r="AD220" s="858"/>
      <c r="AE220" s="858"/>
      <c r="AF220" s="858"/>
      <c r="AG220" s="858"/>
      <c r="AH220" s="858"/>
      <c r="AI220" s="858"/>
      <c r="AJ220" s="858"/>
      <c r="AK220" s="858"/>
      <c r="AL220" s="858"/>
      <c r="AM220" s="858"/>
      <c r="AN220" s="858"/>
      <c r="AO220" s="858"/>
      <c r="AP220" s="858"/>
      <c r="AQ220" s="858"/>
      <c r="AR220" s="858"/>
      <c r="AS220" s="858"/>
      <c r="AT220" s="858"/>
      <c r="AU220" s="858"/>
      <c r="AV220" s="858"/>
      <c r="AW220" s="858"/>
      <c r="AX220" s="858"/>
      <c r="AY220" s="858"/>
      <c r="AZ220" s="858"/>
      <c r="BA220" s="858"/>
      <c r="BB220" s="858"/>
      <c r="BC220" s="858"/>
      <c r="BD220" s="858"/>
      <c r="BE220" s="858"/>
      <c r="BF220" s="858"/>
      <c r="BG220" s="858"/>
      <c r="BH220" s="858"/>
      <c r="BI220" s="858"/>
      <c r="BJ220" s="858"/>
      <c r="BK220" s="858"/>
      <c r="BL220" s="858"/>
      <c r="BM220" s="858"/>
      <c r="BN220" s="858"/>
      <c r="BO220" s="858"/>
      <c r="BP220" s="858"/>
      <c r="BQ220" s="858"/>
      <c r="BR220" s="858"/>
      <c r="BS220" s="858"/>
      <c r="BT220" s="858"/>
      <c r="BU220" s="858"/>
      <c r="BV220" s="858"/>
      <c r="BW220" s="858"/>
      <c r="BX220" s="858"/>
      <c r="BY220" s="858"/>
      <c r="BZ220" s="858"/>
      <c r="CA220" s="858"/>
      <c r="CB220" s="858"/>
      <c r="CC220" s="858"/>
      <c r="CD220" s="858"/>
      <c r="CE220" s="858"/>
      <c r="CF220" s="858"/>
      <c r="CG220" s="858"/>
      <c r="CH220" s="858"/>
      <c r="CI220" s="858"/>
      <c r="CJ220" s="858"/>
      <c r="CK220" s="858"/>
      <c r="CL220" s="858"/>
      <c r="CM220" s="858"/>
      <c r="CN220" s="858"/>
      <c r="CO220" s="858"/>
      <c r="CP220" s="858"/>
      <c r="CQ220" s="858"/>
      <c r="CR220" s="858"/>
      <c r="CS220" s="858"/>
      <c r="CT220" s="858"/>
      <c r="CU220" s="858"/>
      <c r="CV220" s="858"/>
      <c r="CW220" s="858"/>
      <c r="CX220" s="858"/>
      <c r="CY220" s="858"/>
      <c r="CZ220" s="858"/>
      <c r="DA220" s="858"/>
      <c r="DB220" s="858"/>
      <c r="DC220" s="858"/>
      <c r="DD220" s="858"/>
      <c r="DE220" s="858"/>
      <c r="DF220" s="858"/>
      <c r="DG220" s="858"/>
      <c r="DH220" s="858"/>
      <c r="DI220" s="858"/>
      <c r="DJ220" s="858"/>
      <c r="DK220" s="858"/>
      <c r="DL220" s="858"/>
      <c r="DM220" s="858"/>
      <c r="DN220" s="858"/>
      <c r="DO220" s="858"/>
      <c r="DP220" s="858"/>
      <c r="DQ220" s="858"/>
      <c r="DR220" s="858"/>
      <c r="DS220" s="858"/>
      <c r="DT220" s="858"/>
      <c r="DU220" s="858"/>
      <c r="DV220" s="858"/>
      <c r="DW220" s="858"/>
      <c r="DX220" s="858"/>
      <c r="DY220" s="858"/>
      <c r="DZ220" s="858"/>
      <c r="EA220" s="858"/>
      <c r="EB220" s="858"/>
      <c r="EC220" s="858"/>
      <c r="ED220" s="858"/>
      <c r="EE220" s="858"/>
      <c r="EF220" s="858"/>
      <c r="EG220" s="858"/>
      <c r="EH220" s="858"/>
      <c r="EI220" s="858"/>
      <c r="EJ220" s="858"/>
      <c r="EK220" s="858"/>
      <c r="EL220" s="858"/>
      <c r="EM220" s="858"/>
      <c r="EN220" s="858"/>
      <c r="EO220" s="858"/>
      <c r="EP220" s="858"/>
      <c r="EQ220" s="858"/>
      <c r="ER220" s="858"/>
      <c r="ES220" s="858"/>
      <c r="ET220" s="858"/>
      <c r="EU220" s="858"/>
      <c r="EV220" s="858"/>
      <c r="EW220" s="858"/>
      <c r="EX220" s="858"/>
      <c r="EY220" s="858"/>
      <c r="EZ220" s="858"/>
      <c r="FA220" s="858"/>
      <c r="FB220" s="858"/>
      <c r="FC220" s="858"/>
      <c r="FD220" s="858"/>
      <c r="FE220" s="858"/>
      <c r="FF220" s="858"/>
      <c r="FG220" s="858"/>
      <c r="FH220" s="858"/>
      <c r="FI220" s="858"/>
      <c r="FJ220" s="858"/>
      <c r="FK220" s="858"/>
      <c r="FL220" s="858"/>
      <c r="FM220" s="858"/>
      <c r="FN220" s="858"/>
      <c r="FO220" s="858"/>
      <c r="FP220" s="858"/>
      <c r="FQ220" s="858"/>
      <c r="FR220" s="858"/>
      <c r="FS220" s="858"/>
      <c r="FT220" s="858"/>
      <c r="FU220" s="858"/>
      <c r="FV220" s="858"/>
      <c r="FW220" s="858"/>
      <c r="FX220" s="858"/>
      <c r="FY220" s="858"/>
      <c r="FZ220" s="858"/>
      <c r="GA220" s="858"/>
      <c r="GB220" s="858"/>
      <c r="GC220" s="858"/>
      <c r="GD220" s="858"/>
      <c r="GE220" s="858"/>
      <c r="GF220" s="858"/>
      <c r="GG220" s="858"/>
      <c r="GH220" s="858"/>
      <c r="GI220" s="858"/>
      <c r="GJ220" s="858"/>
      <c r="GK220" s="858"/>
      <c r="GL220" s="858"/>
      <c r="GM220" s="858"/>
      <c r="GN220" s="858"/>
      <c r="GO220" s="858"/>
      <c r="GP220" s="858"/>
      <c r="GQ220" s="858"/>
      <c r="GR220" s="858"/>
      <c r="GS220" s="858"/>
      <c r="GT220" s="858"/>
      <c r="GU220" s="858"/>
      <c r="GV220" s="858"/>
      <c r="GW220" s="858"/>
      <c r="GX220" s="858"/>
      <c r="GY220" s="858"/>
      <c r="GZ220" s="858"/>
      <c r="HA220" s="858"/>
      <c r="HB220" s="858"/>
      <c r="HC220" s="858"/>
      <c r="HD220" s="858"/>
      <c r="HE220" s="858"/>
      <c r="HF220" s="858"/>
      <c r="HG220" s="858"/>
      <c r="HH220" s="858"/>
      <c r="HI220" s="858"/>
      <c r="HJ220" s="858"/>
      <c r="HK220" s="858"/>
      <c r="HL220" s="858"/>
      <c r="HM220" s="858"/>
      <c r="HN220" s="858"/>
      <c r="HO220" s="858"/>
      <c r="HP220" s="858"/>
      <c r="HQ220" s="858"/>
      <c r="HR220" s="858"/>
      <c r="HS220" s="858"/>
      <c r="HT220" s="858"/>
      <c r="HU220" s="858"/>
      <c r="HV220" s="858"/>
      <c r="HW220" s="858"/>
      <c r="HX220" s="858"/>
      <c r="HY220" s="858"/>
      <c r="HZ220" s="858"/>
      <c r="IA220" s="858"/>
      <c r="IB220" s="858"/>
      <c r="IC220" s="858"/>
      <c r="ID220" s="858"/>
      <c r="IE220" s="858"/>
      <c r="IF220" s="858"/>
      <c r="IG220" s="858"/>
      <c r="IH220" s="858"/>
      <c r="II220" s="858"/>
      <c r="IJ220" s="858"/>
      <c r="IK220" s="858"/>
      <c r="IL220" s="858"/>
      <c r="IM220" s="858"/>
      <c r="IN220" s="858"/>
    </row>
    <row r="221" spans="1:248">
      <c r="A221" s="564" t="s">
        <v>21</v>
      </c>
      <c r="B221" s="566">
        <v>9574.2000000000007</v>
      </c>
      <c r="C221" s="566">
        <f t="shared" si="29"/>
        <v>42.2254564699656</v>
      </c>
      <c r="D221" s="567">
        <v>7267.7</v>
      </c>
      <c r="E221" s="859">
        <f t="shared" si="30"/>
        <v>32.053012260739173</v>
      </c>
      <c r="F221" s="859">
        <f t="shared" si="31"/>
        <v>2306.5000000000009</v>
      </c>
      <c r="G221" s="859">
        <f t="shared" si="32"/>
        <v>10.17244420922643</v>
      </c>
      <c r="H221" s="377">
        <v>22674</v>
      </c>
      <c r="I221" s="858"/>
      <c r="J221" s="858"/>
      <c r="K221" s="858"/>
      <c r="L221" s="858"/>
      <c r="M221" s="858"/>
      <c r="N221" s="858"/>
      <c r="O221" s="858"/>
      <c r="P221" s="858"/>
      <c r="Q221" s="858"/>
      <c r="R221" s="858"/>
      <c r="S221" s="858"/>
      <c r="T221" s="858"/>
      <c r="U221" s="858"/>
      <c r="V221" s="858"/>
      <c r="W221" s="858"/>
      <c r="X221" s="858"/>
      <c r="Y221" s="858"/>
      <c r="Z221" s="858"/>
      <c r="AA221" s="858"/>
      <c r="AB221" s="858"/>
      <c r="AC221" s="858"/>
      <c r="AD221" s="858"/>
      <c r="AE221" s="858"/>
      <c r="AF221" s="858"/>
      <c r="AG221" s="858"/>
      <c r="AH221" s="858"/>
      <c r="AI221" s="858"/>
      <c r="AJ221" s="858"/>
      <c r="AK221" s="858"/>
      <c r="AL221" s="858"/>
      <c r="AM221" s="858"/>
      <c r="AN221" s="858"/>
      <c r="AO221" s="858"/>
      <c r="AP221" s="858"/>
      <c r="AQ221" s="858"/>
      <c r="AR221" s="858"/>
      <c r="AS221" s="858"/>
      <c r="AT221" s="858"/>
      <c r="AU221" s="858"/>
      <c r="AV221" s="858"/>
      <c r="AW221" s="858"/>
      <c r="AX221" s="858"/>
      <c r="AY221" s="858"/>
      <c r="AZ221" s="858"/>
      <c r="BA221" s="858"/>
      <c r="BB221" s="858"/>
      <c r="BC221" s="858"/>
      <c r="BD221" s="858"/>
      <c r="BE221" s="858"/>
      <c r="BF221" s="858"/>
      <c r="BG221" s="858"/>
      <c r="BH221" s="858"/>
      <c r="BI221" s="858"/>
      <c r="BJ221" s="858"/>
      <c r="BK221" s="858"/>
      <c r="BL221" s="858"/>
      <c r="BM221" s="858"/>
      <c r="BN221" s="858"/>
      <c r="BO221" s="858"/>
      <c r="BP221" s="858"/>
      <c r="BQ221" s="858"/>
      <c r="BR221" s="858"/>
      <c r="BS221" s="858"/>
      <c r="BT221" s="858"/>
      <c r="BU221" s="858"/>
      <c r="BV221" s="858"/>
      <c r="BW221" s="858"/>
      <c r="BX221" s="858"/>
      <c r="BY221" s="858"/>
      <c r="BZ221" s="858"/>
      <c r="CA221" s="858"/>
      <c r="CB221" s="858"/>
      <c r="CC221" s="858"/>
      <c r="CD221" s="858"/>
      <c r="CE221" s="858"/>
      <c r="CF221" s="858"/>
      <c r="CG221" s="858"/>
      <c r="CH221" s="858"/>
      <c r="CI221" s="858"/>
      <c r="CJ221" s="858"/>
      <c r="CK221" s="858"/>
      <c r="CL221" s="858"/>
      <c r="CM221" s="858"/>
      <c r="CN221" s="858"/>
      <c r="CO221" s="858"/>
      <c r="CP221" s="858"/>
      <c r="CQ221" s="858"/>
      <c r="CR221" s="858"/>
      <c r="CS221" s="858"/>
      <c r="CT221" s="858"/>
      <c r="CU221" s="858"/>
      <c r="CV221" s="858"/>
      <c r="CW221" s="858"/>
      <c r="CX221" s="858"/>
      <c r="CY221" s="858"/>
      <c r="CZ221" s="858"/>
      <c r="DA221" s="858"/>
      <c r="DB221" s="858"/>
      <c r="DC221" s="858"/>
      <c r="DD221" s="858"/>
      <c r="DE221" s="858"/>
      <c r="DF221" s="858"/>
      <c r="DG221" s="858"/>
      <c r="DH221" s="858"/>
      <c r="DI221" s="858"/>
      <c r="DJ221" s="858"/>
      <c r="DK221" s="858"/>
      <c r="DL221" s="858"/>
      <c r="DM221" s="858"/>
      <c r="DN221" s="858"/>
      <c r="DO221" s="858"/>
      <c r="DP221" s="858"/>
      <c r="DQ221" s="858"/>
      <c r="DR221" s="858"/>
      <c r="DS221" s="858"/>
      <c r="DT221" s="858"/>
      <c r="DU221" s="858"/>
      <c r="DV221" s="858"/>
      <c r="DW221" s="858"/>
      <c r="DX221" s="858"/>
      <c r="DY221" s="858"/>
      <c r="DZ221" s="858"/>
      <c r="EA221" s="858"/>
      <c r="EB221" s="858"/>
      <c r="EC221" s="858"/>
      <c r="ED221" s="858"/>
      <c r="EE221" s="858"/>
      <c r="EF221" s="858"/>
      <c r="EG221" s="858"/>
      <c r="EH221" s="858"/>
      <c r="EI221" s="858"/>
      <c r="EJ221" s="858"/>
      <c r="EK221" s="858"/>
      <c r="EL221" s="858"/>
      <c r="EM221" s="858"/>
      <c r="EN221" s="858"/>
      <c r="EO221" s="858"/>
      <c r="EP221" s="858"/>
      <c r="EQ221" s="858"/>
      <c r="ER221" s="858"/>
      <c r="ES221" s="858"/>
      <c r="ET221" s="858"/>
      <c r="EU221" s="858"/>
      <c r="EV221" s="858"/>
      <c r="EW221" s="858"/>
      <c r="EX221" s="858"/>
      <c r="EY221" s="858"/>
      <c r="EZ221" s="858"/>
      <c r="FA221" s="858"/>
      <c r="FB221" s="858"/>
      <c r="FC221" s="858"/>
      <c r="FD221" s="858"/>
      <c r="FE221" s="858"/>
      <c r="FF221" s="858"/>
      <c r="FG221" s="858"/>
      <c r="FH221" s="858"/>
      <c r="FI221" s="858"/>
      <c r="FJ221" s="858"/>
      <c r="FK221" s="858"/>
      <c r="FL221" s="858"/>
      <c r="FM221" s="858"/>
      <c r="FN221" s="858"/>
      <c r="FO221" s="858"/>
      <c r="FP221" s="858"/>
      <c r="FQ221" s="858"/>
      <c r="FR221" s="858"/>
      <c r="FS221" s="858"/>
      <c r="FT221" s="858"/>
      <c r="FU221" s="858"/>
      <c r="FV221" s="858"/>
      <c r="FW221" s="858"/>
      <c r="FX221" s="858"/>
      <c r="FY221" s="858"/>
      <c r="FZ221" s="858"/>
      <c r="GA221" s="858"/>
      <c r="GB221" s="858"/>
      <c r="GC221" s="858"/>
      <c r="GD221" s="858"/>
      <c r="GE221" s="858"/>
      <c r="GF221" s="858"/>
      <c r="GG221" s="858"/>
      <c r="GH221" s="858"/>
      <c r="GI221" s="858"/>
      <c r="GJ221" s="858"/>
      <c r="GK221" s="858"/>
      <c r="GL221" s="858"/>
      <c r="GM221" s="858"/>
      <c r="GN221" s="858"/>
      <c r="GO221" s="858"/>
      <c r="GP221" s="858"/>
      <c r="GQ221" s="858"/>
      <c r="GR221" s="858"/>
      <c r="GS221" s="858"/>
      <c r="GT221" s="858"/>
      <c r="GU221" s="858"/>
      <c r="GV221" s="858"/>
      <c r="GW221" s="858"/>
      <c r="GX221" s="858"/>
      <c r="GY221" s="858"/>
      <c r="GZ221" s="858"/>
      <c r="HA221" s="858"/>
      <c r="HB221" s="858"/>
      <c r="HC221" s="858"/>
      <c r="HD221" s="858"/>
      <c r="HE221" s="858"/>
      <c r="HF221" s="858"/>
      <c r="HG221" s="858"/>
      <c r="HH221" s="858"/>
      <c r="HI221" s="858"/>
      <c r="HJ221" s="858"/>
      <c r="HK221" s="858"/>
      <c r="HL221" s="858"/>
      <c r="HM221" s="858"/>
      <c r="HN221" s="858"/>
      <c r="HO221" s="858"/>
      <c r="HP221" s="858"/>
      <c r="HQ221" s="858"/>
      <c r="HR221" s="858"/>
      <c r="HS221" s="858"/>
      <c r="HT221" s="858"/>
      <c r="HU221" s="858"/>
      <c r="HV221" s="858"/>
      <c r="HW221" s="858"/>
      <c r="HX221" s="858"/>
      <c r="HY221" s="858"/>
      <c r="HZ221" s="858"/>
      <c r="IA221" s="858"/>
      <c r="IB221" s="858"/>
      <c r="IC221" s="858"/>
      <c r="ID221" s="858"/>
      <c r="IE221" s="858"/>
      <c r="IF221" s="858"/>
      <c r="IG221" s="858"/>
      <c r="IH221" s="858"/>
      <c r="II221" s="858"/>
      <c r="IJ221" s="858"/>
      <c r="IK221" s="858"/>
      <c r="IL221" s="858"/>
      <c r="IM221" s="858"/>
      <c r="IN221" s="858"/>
    </row>
    <row r="222" spans="1:248">
      <c r="A222" s="564" t="s">
        <v>22</v>
      </c>
      <c r="B222" s="566">
        <v>10527.5</v>
      </c>
      <c r="C222" s="566">
        <f t="shared" si="29"/>
        <v>38.087089281708792</v>
      </c>
      <c r="D222" s="567">
        <v>9392.2000000000007</v>
      </c>
      <c r="E222" s="859">
        <f t="shared" si="30"/>
        <v>33.979725476292124</v>
      </c>
      <c r="F222" s="859">
        <f t="shared" si="31"/>
        <v>1135.2999999999993</v>
      </c>
      <c r="G222" s="859">
        <f t="shared" si="32"/>
        <v>4.107363805416667</v>
      </c>
      <c r="H222" s="377">
        <v>27640.6</v>
      </c>
      <c r="I222" s="858"/>
      <c r="J222" s="858"/>
      <c r="K222" s="858"/>
      <c r="L222" s="858"/>
      <c r="M222" s="858"/>
      <c r="N222" s="858"/>
      <c r="O222" s="858"/>
      <c r="P222" s="858"/>
      <c r="Q222" s="858"/>
      <c r="R222" s="858"/>
      <c r="S222" s="858"/>
      <c r="T222" s="858"/>
      <c r="U222" s="858"/>
      <c r="V222" s="858"/>
      <c r="W222" s="858"/>
      <c r="X222" s="858"/>
      <c r="Y222" s="858"/>
      <c r="Z222" s="858"/>
      <c r="AA222" s="858"/>
      <c r="AB222" s="858"/>
      <c r="AC222" s="858"/>
      <c r="AD222" s="858"/>
      <c r="AE222" s="858"/>
      <c r="AF222" s="858"/>
      <c r="AG222" s="858"/>
      <c r="AH222" s="858"/>
      <c r="AI222" s="858"/>
      <c r="AJ222" s="858"/>
      <c r="AK222" s="858"/>
      <c r="AL222" s="858"/>
      <c r="AM222" s="858"/>
      <c r="AN222" s="858"/>
      <c r="AO222" s="858"/>
      <c r="AP222" s="858"/>
      <c r="AQ222" s="858"/>
      <c r="AR222" s="858"/>
      <c r="AS222" s="858"/>
      <c r="AT222" s="858"/>
      <c r="AU222" s="858"/>
      <c r="AV222" s="858"/>
      <c r="AW222" s="858"/>
      <c r="AX222" s="858"/>
      <c r="AY222" s="858"/>
      <c r="AZ222" s="858"/>
      <c r="BA222" s="858"/>
      <c r="BB222" s="858"/>
      <c r="BC222" s="858"/>
      <c r="BD222" s="858"/>
      <c r="BE222" s="858"/>
      <c r="BF222" s="858"/>
      <c r="BG222" s="858"/>
      <c r="BH222" s="858"/>
      <c r="BI222" s="858"/>
      <c r="BJ222" s="858"/>
      <c r="BK222" s="858"/>
      <c r="BL222" s="858"/>
      <c r="BM222" s="858"/>
      <c r="BN222" s="858"/>
      <c r="BO222" s="858"/>
      <c r="BP222" s="858"/>
      <c r="BQ222" s="858"/>
      <c r="BR222" s="858"/>
      <c r="BS222" s="858"/>
      <c r="BT222" s="858"/>
      <c r="BU222" s="858"/>
      <c r="BV222" s="858"/>
      <c r="BW222" s="858"/>
      <c r="BX222" s="858"/>
      <c r="BY222" s="858"/>
      <c r="BZ222" s="858"/>
      <c r="CA222" s="858"/>
      <c r="CB222" s="858"/>
      <c r="CC222" s="858"/>
      <c r="CD222" s="858"/>
      <c r="CE222" s="858"/>
      <c r="CF222" s="858"/>
      <c r="CG222" s="858"/>
      <c r="CH222" s="858"/>
      <c r="CI222" s="858"/>
      <c r="CJ222" s="858"/>
      <c r="CK222" s="858"/>
      <c r="CL222" s="858"/>
      <c r="CM222" s="858"/>
      <c r="CN222" s="858"/>
      <c r="CO222" s="858"/>
      <c r="CP222" s="858"/>
      <c r="CQ222" s="858"/>
      <c r="CR222" s="858"/>
      <c r="CS222" s="858"/>
      <c r="CT222" s="858"/>
      <c r="CU222" s="858"/>
      <c r="CV222" s="858"/>
      <c r="CW222" s="858"/>
      <c r="CX222" s="858"/>
      <c r="CY222" s="858"/>
      <c r="CZ222" s="858"/>
      <c r="DA222" s="858"/>
      <c r="DB222" s="858"/>
      <c r="DC222" s="858"/>
      <c r="DD222" s="858"/>
      <c r="DE222" s="858"/>
      <c r="DF222" s="858"/>
      <c r="DG222" s="858"/>
      <c r="DH222" s="858"/>
      <c r="DI222" s="858"/>
      <c r="DJ222" s="858"/>
      <c r="DK222" s="858"/>
      <c r="DL222" s="858"/>
      <c r="DM222" s="858"/>
      <c r="DN222" s="858"/>
      <c r="DO222" s="858"/>
      <c r="DP222" s="858"/>
      <c r="DQ222" s="858"/>
      <c r="DR222" s="858"/>
      <c r="DS222" s="858"/>
      <c r="DT222" s="858"/>
      <c r="DU222" s="858"/>
      <c r="DV222" s="858"/>
      <c r="DW222" s="858"/>
      <c r="DX222" s="858"/>
      <c r="DY222" s="858"/>
      <c r="DZ222" s="858"/>
      <c r="EA222" s="858"/>
      <c r="EB222" s="858"/>
      <c r="EC222" s="858"/>
      <c r="ED222" s="858"/>
      <c r="EE222" s="858"/>
      <c r="EF222" s="858"/>
      <c r="EG222" s="858"/>
      <c r="EH222" s="858"/>
      <c r="EI222" s="858"/>
      <c r="EJ222" s="858"/>
      <c r="EK222" s="858"/>
      <c r="EL222" s="858"/>
      <c r="EM222" s="858"/>
      <c r="EN222" s="858"/>
      <c r="EO222" s="858"/>
      <c r="EP222" s="858"/>
      <c r="EQ222" s="858"/>
      <c r="ER222" s="858"/>
      <c r="ES222" s="858"/>
      <c r="ET222" s="858"/>
      <c r="EU222" s="858"/>
      <c r="EV222" s="858"/>
      <c r="EW222" s="858"/>
      <c r="EX222" s="858"/>
      <c r="EY222" s="858"/>
      <c r="EZ222" s="858"/>
      <c r="FA222" s="858"/>
      <c r="FB222" s="858"/>
      <c r="FC222" s="858"/>
      <c r="FD222" s="858"/>
      <c r="FE222" s="858"/>
      <c r="FF222" s="858"/>
      <c r="FG222" s="858"/>
      <c r="FH222" s="858"/>
      <c r="FI222" s="858"/>
      <c r="FJ222" s="858"/>
      <c r="FK222" s="858"/>
      <c r="FL222" s="858"/>
      <c r="FM222" s="858"/>
      <c r="FN222" s="858"/>
      <c r="FO222" s="858"/>
      <c r="FP222" s="858"/>
      <c r="FQ222" s="858"/>
      <c r="FR222" s="858"/>
      <c r="FS222" s="858"/>
      <c r="FT222" s="858"/>
      <c r="FU222" s="858"/>
      <c r="FV222" s="858"/>
      <c r="FW222" s="858"/>
      <c r="FX222" s="858"/>
      <c r="FY222" s="858"/>
      <c r="FZ222" s="858"/>
      <c r="GA222" s="858"/>
      <c r="GB222" s="858"/>
      <c r="GC222" s="858"/>
      <c r="GD222" s="858"/>
      <c r="GE222" s="858"/>
      <c r="GF222" s="858"/>
      <c r="GG222" s="858"/>
      <c r="GH222" s="858"/>
      <c r="GI222" s="858"/>
      <c r="GJ222" s="858"/>
      <c r="GK222" s="858"/>
      <c r="GL222" s="858"/>
      <c r="GM222" s="858"/>
      <c r="GN222" s="858"/>
      <c r="GO222" s="858"/>
      <c r="GP222" s="858"/>
      <c r="GQ222" s="858"/>
      <c r="GR222" s="858"/>
      <c r="GS222" s="858"/>
      <c r="GT222" s="858"/>
      <c r="GU222" s="858"/>
      <c r="GV222" s="858"/>
      <c r="GW222" s="858"/>
      <c r="GX222" s="858"/>
      <c r="GY222" s="858"/>
      <c r="GZ222" s="858"/>
      <c r="HA222" s="858"/>
      <c r="HB222" s="858"/>
      <c r="HC222" s="858"/>
      <c r="HD222" s="858"/>
      <c r="HE222" s="858"/>
      <c r="HF222" s="858"/>
      <c r="HG222" s="858"/>
      <c r="HH222" s="858"/>
      <c r="HI222" s="858"/>
      <c r="HJ222" s="858"/>
      <c r="HK222" s="858"/>
      <c r="HL222" s="858"/>
      <c r="HM222" s="858"/>
      <c r="HN222" s="858"/>
      <c r="HO222" s="858"/>
      <c r="HP222" s="858"/>
      <c r="HQ222" s="858"/>
      <c r="HR222" s="858"/>
      <c r="HS222" s="858"/>
      <c r="HT222" s="858"/>
      <c r="HU222" s="858"/>
      <c r="HV222" s="858"/>
      <c r="HW222" s="858"/>
      <c r="HX222" s="858"/>
      <c r="HY222" s="858"/>
      <c r="HZ222" s="858"/>
      <c r="IA222" s="858"/>
      <c r="IB222" s="858"/>
      <c r="IC222" s="858"/>
      <c r="ID222" s="858"/>
      <c r="IE222" s="858"/>
      <c r="IF222" s="858"/>
      <c r="IG222" s="858"/>
      <c r="IH222" s="858"/>
      <c r="II222" s="858"/>
      <c r="IJ222" s="858"/>
      <c r="IK222" s="858"/>
      <c r="IL222" s="858"/>
      <c r="IM222" s="858"/>
      <c r="IN222" s="858"/>
    </row>
    <row r="223" spans="1:248">
      <c r="A223" s="564" t="s">
        <v>23</v>
      </c>
      <c r="B223" s="566">
        <v>12022.7</v>
      </c>
      <c r="C223" s="566">
        <f t="shared" si="29"/>
        <v>34.971363082373685</v>
      </c>
      <c r="D223" s="567">
        <v>11730.8</v>
      </c>
      <c r="E223" s="859">
        <f t="shared" si="30"/>
        <v>34.122290837058991</v>
      </c>
      <c r="F223" s="859">
        <f t="shared" si="31"/>
        <v>291.90000000000146</v>
      </c>
      <c r="G223" s="859">
        <f t="shared" si="32"/>
        <v>0.8490722453146905</v>
      </c>
      <c r="H223" s="377">
        <v>34378.699999999997</v>
      </c>
      <c r="I223" s="858"/>
      <c r="J223" s="858"/>
      <c r="K223" s="858"/>
      <c r="L223" s="858"/>
      <c r="M223" s="858"/>
      <c r="N223" s="858"/>
      <c r="O223" s="858"/>
      <c r="P223" s="858"/>
      <c r="Q223" s="858"/>
      <c r="R223" s="858"/>
      <c r="S223" s="858"/>
      <c r="T223" s="858"/>
      <c r="U223" s="858"/>
      <c r="V223" s="858"/>
      <c r="W223" s="858"/>
      <c r="X223" s="858"/>
      <c r="Y223" s="858"/>
      <c r="Z223" s="858"/>
      <c r="AA223" s="858"/>
      <c r="AB223" s="858"/>
      <c r="AC223" s="858"/>
      <c r="AD223" s="858"/>
      <c r="AE223" s="858"/>
      <c r="AF223" s="858"/>
      <c r="AG223" s="858"/>
      <c r="AH223" s="858"/>
      <c r="AI223" s="858"/>
      <c r="AJ223" s="858"/>
      <c r="AK223" s="858"/>
      <c r="AL223" s="858"/>
      <c r="AM223" s="858"/>
      <c r="AN223" s="858"/>
      <c r="AO223" s="858"/>
      <c r="AP223" s="858"/>
      <c r="AQ223" s="858"/>
      <c r="AR223" s="858"/>
      <c r="AS223" s="858"/>
      <c r="AT223" s="858"/>
      <c r="AU223" s="858"/>
      <c r="AV223" s="858"/>
      <c r="AW223" s="858"/>
      <c r="AX223" s="858"/>
      <c r="AY223" s="858"/>
      <c r="AZ223" s="858"/>
      <c r="BA223" s="858"/>
      <c r="BB223" s="858"/>
      <c r="BC223" s="858"/>
      <c r="BD223" s="858"/>
      <c r="BE223" s="858"/>
      <c r="BF223" s="858"/>
      <c r="BG223" s="858"/>
      <c r="BH223" s="858"/>
      <c r="BI223" s="858"/>
      <c r="BJ223" s="858"/>
      <c r="BK223" s="858"/>
      <c r="BL223" s="858"/>
      <c r="BM223" s="858"/>
      <c r="BN223" s="858"/>
      <c r="BO223" s="858"/>
      <c r="BP223" s="858"/>
      <c r="BQ223" s="858"/>
      <c r="BR223" s="858"/>
      <c r="BS223" s="858"/>
      <c r="BT223" s="858"/>
      <c r="BU223" s="858"/>
      <c r="BV223" s="858"/>
      <c r="BW223" s="858"/>
      <c r="BX223" s="858"/>
      <c r="BY223" s="858"/>
      <c r="BZ223" s="858"/>
      <c r="CA223" s="858"/>
      <c r="CB223" s="858"/>
      <c r="CC223" s="858"/>
      <c r="CD223" s="858"/>
      <c r="CE223" s="858"/>
      <c r="CF223" s="858"/>
      <c r="CG223" s="858"/>
      <c r="CH223" s="858"/>
      <c r="CI223" s="858"/>
      <c r="CJ223" s="858"/>
      <c r="CK223" s="858"/>
      <c r="CL223" s="858"/>
      <c r="CM223" s="858"/>
      <c r="CN223" s="858"/>
      <c r="CO223" s="858"/>
      <c r="CP223" s="858"/>
      <c r="CQ223" s="858"/>
      <c r="CR223" s="858"/>
      <c r="CS223" s="858"/>
      <c r="CT223" s="858"/>
      <c r="CU223" s="858"/>
      <c r="CV223" s="858"/>
      <c r="CW223" s="858"/>
      <c r="CX223" s="858"/>
      <c r="CY223" s="858"/>
      <c r="CZ223" s="858"/>
      <c r="DA223" s="858"/>
      <c r="DB223" s="858"/>
      <c r="DC223" s="858"/>
      <c r="DD223" s="858"/>
      <c r="DE223" s="858"/>
      <c r="DF223" s="858"/>
      <c r="DG223" s="858"/>
      <c r="DH223" s="858"/>
      <c r="DI223" s="858"/>
      <c r="DJ223" s="858"/>
      <c r="DK223" s="858"/>
      <c r="DL223" s="858"/>
      <c r="DM223" s="858"/>
      <c r="DN223" s="858"/>
      <c r="DO223" s="858"/>
      <c r="DP223" s="858"/>
      <c r="DQ223" s="858"/>
      <c r="DR223" s="858"/>
      <c r="DS223" s="858"/>
      <c r="DT223" s="858"/>
      <c r="DU223" s="858"/>
      <c r="DV223" s="858"/>
      <c r="DW223" s="858"/>
      <c r="DX223" s="858"/>
      <c r="DY223" s="858"/>
      <c r="DZ223" s="858"/>
      <c r="EA223" s="858"/>
      <c r="EB223" s="858"/>
      <c r="EC223" s="858"/>
      <c r="ED223" s="858"/>
      <c r="EE223" s="858"/>
      <c r="EF223" s="858"/>
      <c r="EG223" s="858"/>
      <c r="EH223" s="858"/>
      <c r="EI223" s="858"/>
      <c r="EJ223" s="858"/>
      <c r="EK223" s="858"/>
      <c r="EL223" s="858"/>
      <c r="EM223" s="858"/>
      <c r="EN223" s="858"/>
      <c r="EO223" s="858"/>
      <c r="EP223" s="858"/>
      <c r="EQ223" s="858"/>
      <c r="ER223" s="858"/>
      <c r="ES223" s="858"/>
      <c r="ET223" s="858"/>
      <c r="EU223" s="858"/>
      <c r="EV223" s="858"/>
      <c r="EW223" s="858"/>
      <c r="EX223" s="858"/>
      <c r="EY223" s="858"/>
      <c r="EZ223" s="858"/>
      <c r="FA223" s="858"/>
      <c r="FB223" s="858"/>
      <c r="FC223" s="858"/>
      <c r="FD223" s="858"/>
      <c r="FE223" s="858"/>
      <c r="FF223" s="858"/>
      <c r="FG223" s="858"/>
      <c r="FH223" s="858"/>
      <c r="FI223" s="858"/>
      <c r="FJ223" s="858"/>
      <c r="FK223" s="858"/>
      <c r="FL223" s="858"/>
      <c r="FM223" s="858"/>
      <c r="FN223" s="858"/>
      <c r="FO223" s="858"/>
      <c r="FP223" s="858"/>
      <c r="FQ223" s="858"/>
      <c r="FR223" s="858"/>
      <c r="FS223" s="858"/>
      <c r="FT223" s="858"/>
      <c r="FU223" s="858"/>
      <c r="FV223" s="858"/>
      <c r="FW223" s="858"/>
      <c r="FX223" s="858"/>
      <c r="FY223" s="858"/>
      <c r="FZ223" s="858"/>
      <c r="GA223" s="858"/>
      <c r="GB223" s="858"/>
      <c r="GC223" s="858"/>
      <c r="GD223" s="858"/>
      <c r="GE223" s="858"/>
      <c r="GF223" s="858"/>
      <c r="GG223" s="858"/>
      <c r="GH223" s="858"/>
      <c r="GI223" s="858"/>
      <c r="GJ223" s="858"/>
      <c r="GK223" s="858"/>
      <c r="GL223" s="858"/>
      <c r="GM223" s="858"/>
      <c r="GN223" s="858"/>
      <c r="GO223" s="858"/>
      <c r="GP223" s="858"/>
      <c r="GQ223" s="858"/>
      <c r="GR223" s="858"/>
      <c r="GS223" s="858"/>
      <c r="GT223" s="858"/>
      <c r="GU223" s="858"/>
      <c r="GV223" s="858"/>
      <c r="GW223" s="858"/>
      <c r="GX223" s="858"/>
      <c r="GY223" s="858"/>
      <c r="GZ223" s="858"/>
      <c r="HA223" s="858"/>
      <c r="HB223" s="858"/>
      <c r="HC223" s="858"/>
      <c r="HD223" s="858"/>
      <c r="HE223" s="858"/>
      <c r="HF223" s="858"/>
      <c r="HG223" s="858"/>
      <c r="HH223" s="858"/>
      <c r="HI223" s="858"/>
      <c r="HJ223" s="858"/>
      <c r="HK223" s="858"/>
      <c r="HL223" s="858"/>
      <c r="HM223" s="858"/>
      <c r="HN223" s="858"/>
      <c r="HO223" s="858"/>
      <c r="HP223" s="858"/>
      <c r="HQ223" s="858"/>
      <c r="HR223" s="858"/>
      <c r="HS223" s="858"/>
      <c r="HT223" s="858"/>
      <c r="HU223" s="858"/>
      <c r="HV223" s="858"/>
      <c r="HW223" s="858"/>
      <c r="HX223" s="858"/>
      <c r="HY223" s="858"/>
      <c r="HZ223" s="858"/>
      <c r="IA223" s="858"/>
      <c r="IB223" s="858"/>
      <c r="IC223" s="858"/>
      <c r="ID223" s="858"/>
      <c r="IE223" s="858"/>
      <c r="IF223" s="858"/>
      <c r="IG223" s="858"/>
      <c r="IH223" s="858"/>
      <c r="II223" s="858"/>
      <c r="IJ223" s="858"/>
      <c r="IK223" s="858"/>
      <c r="IL223" s="858"/>
      <c r="IM223" s="858"/>
      <c r="IN223" s="858"/>
    </row>
    <row r="224" spans="1:248">
      <c r="A224" s="564" t="s">
        <v>24</v>
      </c>
      <c r="B224" s="566">
        <v>13960.2</v>
      </c>
      <c r="C224" s="566">
        <f t="shared" si="29"/>
        <v>34.619047146697355</v>
      </c>
      <c r="D224" s="566">
        <v>14142.6</v>
      </c>
      <c r="E224" s="566">
        <f t="shared" si="30"/>
        <v>35.071369763820151</v>
      </c>
      <c r="F224" s="566">
        <f t="shared" si="31"/>
        <v>-182.39999999999964</v>
      </c>
      <c r="G224" s="859">
        <f t="shared" si="32"/>
        <v>-0.45232261712279087</v>
      </c>
      <c r="H224" s="377">
        <v>40325.199999999997</v>
      </c>
      <c r="I224" s="858"/>
      <c r="J224" s="858"/>
      <c r="K224" s="858"/>
      <c r="L224" s="858"/>
      <c r="M224" s="858"/>
      <c r="N224" s="858"/>
      <c r="O224" s="858"/>
      <c r="P224" s="858"/>
      <c r="Q224" s="858"/>
      <c r="R224" s="858"/>
      <c r="S224" s="858"/>
      <c r="T224" s="858"/>
      <c r="U224" s="858"/>
      <c r="V224" s="858"/>
      <c r="W224" s="858"/>
      <c r="X224" s="858"/>
      <c r="Y224" s="858"/>
      <c r="Z224" s="858"/>
      <c r="AA224" s="858"/>
      <c r="AB224" s="858"/>
      <c r="AC224" s="858"/>
      <c r="AD224" s="858"/>
      <c r="AE224" s="858"/>
      <c r="AF224" s="858"/>
      <c r="AG224" s="858"/>
      <c r="AH224" s="858"/>
      <c r="AI224" s="858"/>
      <c r="AJ224" s="858"/>
      <c r="AK224" s="858"/>
      <c r="AL224" s="858"/>
      <c r="AM224" s="858"/>
      <c r="AN224" s="858"/>
      <c r="AO224" s="858"/>
      <c r="AP224" s="858"/>
      <c r="AQ224" s="858"/>
      <c r="AR224" s="858"/>
      <c r="AS224" s="858"/>
      <c r="AT224" s="858"/>
      <c r="AU224" s="858"/>
      <c r="AV224" s="858"/>
      <c r="AW224" s="858"/>
      <c r="AX224" s="858"/>
      <c r="AY224" s="858"/>
      <c r="AZ224" s="858"/>
      <c r="BA224" s="858"/>
      <c r="BB224" s="858"/>
      <c r="BC224" s="858"/>
      <c r="BD224" s="858"/>
      <c r="BE224" s="858"/>
      <c r="BF224" s="858"/>
      <c r="BG224" s="858"/>
      <c r="BH224" s="858"/>
      <c r="BI224" s="858"/>
      <c r="BJ224" s="858"/>
      <c r="BK224" s="858"/>
      <c r="BL224" s="858"/>
      <c r="BM224" s="858"/>
      <c r="BN224" s="858"/>
      <c r="BO224" s="858"/>
      <c r="BP224" s="858"/>
      <c r="BQ224" s="858"/>
      <c r="BR224" s="858"/>
      <c r="BS224" s="858"/>
      <c r="BT224" s="858"/>
      <c r="BU224" s="858"/>
      <c r="BV224" s="858"/>
      <c r="BW224" s="858"/>
      <c r="BX224" s="858"/>
      <c r="BY224" s="858"/>
      <c r="BZ224" s="858"/>
      <c r="CA224" s="858"/>
      <c r="CB224" s="858"/>
      <c r="CC224" s="858"/>
      <c r="CD224" s="858"/>
      <c r="CE224" s="858"/>
      <c r="CF224" s="858"/>
      <c r="CG224" s="858"/>
      <c r="CH224" s="858"/>
      <c r="CI224" s="858"/>
      <c r="CJ224" s="858"/>
      <c r="CK224" s="858"/>
      <c r="CL224" s="858"/>
      <c r="CM224" s="858"/>
      <c r="CN224" s="858"/>
      <c r="CO224" s="858"/>
      <c r="CP224" s="858"/>
      <c r="CQ224" s="858"/>
      <c r="CR224" s="858"/>
      <c r="CS224" s="858"/>
      <c r="CT224" s="858"/>
      <c r="CU224" s="858"/>
      <c r="CV224" s="858"/>
      <c r="CW224" s="858"/>
      <c r="CX224" s="858"/>
      <c r="CY224" s="858"/>
      <c r="CZ224" s="858"/>
      <c r="DA224" s="858"/>
      <c r="DB224" s="858"/>
      <c r="DC224" s="858"/>
      <c r="DD224" s="858"/>
      <c r="DE224" s="858"/>
      <c r="DF224" s="858"/>
      <c r="DG224" s="858"/>
      <c r="DH224" s="858"/>
      <c r="DI224" s="858"/>
      <c r="DJ224" s="858"/>
      <c r="DK224" s="858"/>
      <c r="DL224" s="858"/>
      <c r="DM224" s="858"/>
      <c r="DN224" s="858"/>
      <c r="DO224" s="858"/>
      <c r="DP224" s="858"/>
      <c r="DQ224" s="858"/>
      <c r="DR224" s="858"/>
      <c r="DS224" s="858"/>
      <c r="DT224" s="858"/>
      <c r="DU224" s="858"/>
      <c r="DV224" s="858"/>
      <c r="DW224" s="858"/>
      <c r="DX224" s="858"/>
      <c r="DY224" s="858"/>
      <c r="DZ224" s="858"/>
      <c r="EA224" s="858"/>
      <c r="EB224" s="858"/>
      <c r="EC224" s="858"/>
      <c r="ED224" s="858"/>
      <c r="EE224" s="858"/>
      <c r="EF224" s="858"/>
      <c r="EG224" s="858"/>
      <c r="EH224" s="858"/>
      <c r="EI224" s="858"/>
      <c r="EJ224" s="858"/>
      <c r="EK224" s="858"/>
      <c r="EL224" s="858"/>
      <c r="EM224" s="858"/>
      <c r="EN224" s="858"/>
      <c r="EO224" s="858"/>
      <c r="EP224" s="858"/>
      <c r="EQ224" s="858"/>
      <c r="ER224" s="858"/>
      <c r="ES224" s="858"/>
      <c r="ET224" s="858"/>
      <c r="EU224" s="858"/>
      <c r="EV224" s="858"/>
      <c r="EW224" s="858"/>
      <c r="EX224" s="858"/>
      <c r="EY224" s="858"/>
      <c r="EZ224" s="858"/>
      <c r="FA224" s="858"/>
      <c r="FB224" s="858"/>
      <c r="FC224" s="858"/>
      <c r="FD224" s="858"/>
      <c r="FE224" s="858"/>
      <c r="FF224" s="858"/>
      <c r="FG224" s="858"/>
      <c r="FH224" s="858"/>
      <c r="FI224" s="858"/>
      <c r="FJ224" s="858"/>
      <c r="FK224" s="858"/>
      <c r="FL224" s="858"/>
      <c r="FM224" s="858"/>
      <c r="FN224" s="858"/>
      <c r="FO224" s="858"/>
      <c r="FP224" s="858"/>
      <c r="FQ224" s="858"/>
      <c r="FR224" s="858"/>
      <c r="FS224" s="858"/>
      <c r="FT224" s="858"/>
      <c r="FU224" s="858"/>
      <c r="FV224" s="858"/>
      <c r="FW224" s="858"/>
      <c r="FX224" s="858"/>
      <c r="FY224" s="858"/>
      <c r="FZ224" s="858"/>
      <c r="GA224" s="858"/>
      <c r="GB224" s="858"/>
      <c r="GC224" s="858"/>
      <c r="GD224" s="858"/>
      <c r="GE224" s="858"/>
      <c r="GF224" s="858"/>
      <c r="GG224" s="858"/>
      <c r="GH224" s="858"/>
      <c r="GI224" s="858"/>
      <c r="GJ224" s="858"/>
      <c r="GK224" s="858"/>
      <c r="GL224" s="858"/>
      <c r="GM224" s="858"/>
      <c r="GN224" s="858"/>
      <c r="GO224" s="858"/>
      <c r="GP224" s="858"/>
      <c r="GQ224" s="858"/>
      <c r="GR224" s="858"/>
      <c r="GS224" s="858"/>
      <c r="GT224" s="858"/>
      <c r="GU224" s="858"/>
      <c r="GV224" s="858"/>
      <c r="GW224" s="858"/>
      <c r="GX224" s="858"/>
      <c r="GY224" s="858"/>
      <c r="GZ224" s="858"/>
      <c r="HA224" s="858"/>
      <c r="HB224" s="858"/>
      <c r="HC224" s="858"/>
      <c r="HD224" s="858"/>
      <c r="HE224" s="858"/>
      <c r="HF224" s="858"/>
      <c r="HG224" s="858"/>
      <c r="HH224" s="858"/>
      <c r="HI224" s="858"/>
      <c r="HJ224" s="858"/>
      <c r="HK224" s="858"/>
      <c r="HL224" s="858"/>
      <c r="HM224" s="858"/>
      <c r="HN224" s="858"/>
      <c r="HO224" s="858"/>
      <c r="HP224" s="858"/>
      <c r="HQ224" s="858"/>
      <c r="HR224" s="858"/>
      <c r="HS224" s="858"/>
      <c r="HT224" s="858"/>
      <c r="HU224" s="858"/>
      <c r="HV224" s="858"/>
      <c r="HW224" s="858"/>
      <c r="HX224" s="858"/>
      <c r="HY224" s="858"/>
      <c r="HZ224" s="858"/>
      <c r="IA224" s="858"/>
      <c r="IB224" s="858"/>
      <c r="IC224" s="858"/>
      <c r="ID224" s="858"/>
      <c r="IE224" s="858"/>
      <c r="IF224" s="858"/>
      <c r="IG224" s="858"/>
      <c r="IH224" s="858"/>
      <c r="II224" s="858"/>
      <c r="IJ224" s="858"/>
      <c r="IK224" s="858"/>
      <c r="IL224" s="858"/>
      <c r="IM224" s="858"/>
      <c r="IN224" s="858"/>
    </row>
    <row r="225" spans="1:248">
      <c r="A225" s="564" t="s">
        <v>25</v>
      </c>
      <c r="B225" s="566">
        <v>15954.7</v>
      </c>
      <c r="C225" s="566">
        <f t="shared" si="29"/>
        <v>34.598986841078045</v>
      </c>
      <c r="D225" s="567">
        <v>16356.2</v>
      </c>
      <c r="E225" s="859">
        <f t="shared" si="30"/>
        <v>35.469670289635076</v>
      </c>
      <c r="F225" s="859">
        <f>B225-D225</f>
        <v>-401.5</v>
      </c>
      <c r="G225" s="859">
        <f t="shared" si="32"/>
        <v>-0.87068344855702928</v>
      </c>
      <c r="H225" s="377">
        <v>46113.2</v>
      </c>
      <c r="I225" s="858"/>
      <c r="J225" s="858"/>
      <c r="K225" s="858"/>
      <c r="L225" s="858"/>
      <c r="M225" s="858"/>
      <c r="N225" s="858"/>
      <c r="O225" s="858"/>
      <c r="P225" s="858"/>
      <c r="Q225" s="858"/>
      <c r="R225" s="858"/>
      <c r="S225" s="858"/>
      <c r="T225" s="858"/>
      <c r="U225" s="858"/>
      <c r="V225" s="858"/>
      <c r="W225" s="858"/>
      <c r="X225" s="858"/>
      <c r="Y225" s="858"/>
      <c r="Z225" s="858"/>
      <c r="AA225" s="858"/>
      <c r="AB225" s="858"/>
      <c r="AC225" s="858"/>
      <c r="AD225" s="858"/>
      <c r="AE225" s="858"/>
      <c r="AF225" s="858"/>
      <c r="AG225" s="858"/>
      <c r="AH225" s="858"/>
      <c r="AI225" s="858"/>
      <c r="AJ225" s="858"/>
      <c r="AK225" s="858"/>
      <c r="AL225" s="858"/>
      <c r="AM225" s="858"/>
      <c r="AN225" s="858"/>
      <c r="AO225" s="858"/>
      <c r="AP225" s="858"/>
      <c r="AQ225" s="858"/>
      <c r="AR225" s="858"/>
      <c r="AS225" s="858"/>
      <c r="AT225" s="858"/>
      <c r="AU225" s="858"/>
      <c r="AV225" s="858"/>
      <c r="AW225" s="858"/>
      <c r="AX225" s="858"/>
      <c r="AY225" s="858"/>
      <c r="AZ225" s="858"/>
      <c r="BA225" s="858"/>
      <c r="BB225" s="858"/>
      <c r="BC225" s="858"/>
      <c r="BD225" s="858"/>
      <c r="BE225" s="858"/>
      <c r="BF225" s="858"/>
      <c r="BG225" s="858"/>
      <c r="BH225" s="858"/>
      <c r="BI225" s="858"/>
      <c r="BJ225" s="858"/>
      <c r="BK225" s="858"/>
      <c r="BL225" s="858"/>
      <c r="BM225" s="858"/>
      <c r="BN225" s="858"/>
      <c r="BO225" s="858"/>
      <c r="BP225" s="858"/>
      <c r="BQ225" s="858"/>
      <c r="BR225" s="858"/>
      <c r="BS225" s="858"/>
      <c r="BT225" s="858"/>
      <c r="BU225" s="858"/>
      <c r="BV225" s="858"/>
      <c r="BW225" s="858"/>
      <c r="BX225" s="858"/>
      <c r="BY225" s="858"/>
      <c r="BZ225" s="858"/>
      <c r="CA225" s="858"/>
      <c r="CB225" s="858"/>
      <c r="CC225" s="858"/>
      <c r="CD225" s="858"/>
      <c r="CE225" s="858"/>
      <c r="CF225" s="858"/>
      <c r="CG225" s="858"/>
      <c r="CH225" s="858"/>
      <c r="CI225" s="858"/>
      <c r="CJ225" s="858"/>
      <c r="CK225" s="858"/>
      <c r="CL225" s="858"/>
      <c r="CM225" s="858"/>
      <c r="CN225" s="858"/>
      <c r="CO225" s="858"/>
      <c r="CP225" s="858"/>
      <c r="CQ225" s="858"/>
      <c r="CR225" s="858"/>
      <c r="CS225" s="858"/>
      <c r="CT225" s="858"/>
      <c r="CU225" s="858"/>
      <c r="CV225" s="858"/>
      <c r="CW225" s="858"/>
      <c r="CX225" s="858"/>
      <c r="CY225" s="858"/>
      <c r="CZ225" s="858"/>
      <c r="DA225" s="858"/>
      <c r="DB225" s="858"/>
      <c r="DC225" s="858"/>
      <c r="DD225" s="858"/>
      <c r="DE225" s="858"/>
      <c r="DF225" s="858"/>
      <c r="DG225" s="858"/>
      <c r="DH225" s="858"/>
      <c r="DI225" s="858"/>
      <c r="DJ225" s="858"/>
      <c r="DK225" s="858"/>
      <c r="DL225" s="858"/>
      <c r="DM225" s="858"/>
      <c r="DN225" s="858"/>
      <c r="DO225" s="858"/>
      <c r="DP225" s="858"/>
      <c r="DQ225" s="858"/>
      <c r="DR225" s="858"/>
      <c r="DS225" s="858"/>
      <c r="DT225" s="858"/>
      <c r="DU225" s="858"/>
      <c r="DV225" s="858"/>
      <c r="DW225" s="858"/>
      <c r="DX225" s="858"/>
      <c r="DY225" s="858"/>
      <c r="DZ225" s="858"/>
      <c r="EA225" s="858"/>
      <c r="EB225" s="858"/>
      <c r="EC225" s="858"/>
      <c r="ED225" s="858"/>
      <c r="EE225" s="858"/>
      <c r="EF225" s="858"/>
      <c r="EG225" s="858"/>
      <c r="EH225" s="858"/>
      <c r="EI225" s="858"/>
      <c r="EJ225" s="858"/>
      <c r="EK225" s="858"/>
      <c r="EL225" s="858"/>
      <c r="EM225" s="858"/>
      <c r="EN225" s="858"/>
      <c r="EO225" s="858"/>
      <c r="EP225" s="858"/>
      <c r="EQ225" s="858"/>
      <c r="ER225" s="858"/>
      <c r="ES225" s="858"/>
      <c r="ET225" s="858"/>
      <c r="EU225" s="858"/>
      <c r="EV225" s="858"/>
      <c r="EW225" s="858"/>
      <c r="EX225" s="858"/>
      <c r="EY225" s="858"/>
      <c r="EZ225" s="858"/>
      <c r="FA225" s="858"/>
      <c r="FB225" s="858"/>
      <c r="FC225" s="858"/>
      <c r="FD225" s="858"/>
      <c r="FE225" s="858"/>
      <c r="FF225" s="858"/>
      <c r="FG225" s="858"/>
      <c r="FH225" s="858"/>
      <c r="FI225" s="858"/>
      <c r="FJ225" s="858"/>
      <c r="FK225" s="858"/>
      <c r="FL225" s="858"/>
      <c r="FM225" s="858"/>
      <c r="FN225" s="858"/>
      <c r="FO225" s="858"/>
      <c r="FP225" s="858"/>
      <c r="FQ225" s="858"/>
      <c r="FR225" s="858"/>
      <c r="FS225" s="858"/>
      <c r="FT225" s="858"/>
      <c r="FU225" s="858"/>
      <c r="FV225" s="858"/>
      <c r="FW225" s="858"/>
      <c r="FX225" s="858"/>
      <c r="FY225" s="858"/>
      <c r="FZ225" s="858"/>
      <c r="GA225" s="858"/>
      <c r="GB225" s="858"/>
      <c r="GC225" s="858"/>
      <c r="GD225" s="858"/>
      <c r="GE225" s="858"/>
      <c r="GF225" s="858"/>
      <c r="GG225" s="858"/>
      <c r="GH225" s="858"/>
      <c r="GI225" s="858"/>
      <c r="GJ225" s="858"/>
      <c r="GK225" s="858"/>
      <c r="GL225" s="858"/>
      <c r="GM225" s="858"/>
      <c r="GN225" s="858"/>
      <c r="GO225" s="858"/>
      <c r="GP225" s="858"/>
      <c r="GQ225" s="858"/>
      <c r="GR225" s="858"/>
      <c r="GS225" s="858"/>
      <c r="GT225" s="858"/>
      <c r="GU225" s="858"/>
      <c r="GV225" s="858"/>
      <c r="GW225" s="858"/>
      <c r="GX225" s="858"/>
      <c r="GY225" s="858"/>
      <c r="GZ225" s="858"/>
      <c r="HA225" s="858"/>
      <c r="HB225" s="858"/>
      <c r="HC225" s="858"/>
      <c r="HD225" s="858"/>
      <c r="HE225" s="858"/>
      <c r="HF225" s="858"/>
      <c r="HG225" s="858"/>
      <c r="HH225" s="858"/>
      <c r="HI225" s="858"/>
      <c r="HJ225" s="858"/>
      <c r="HK225" s="858"/>
      <c r="HL225" s="858"/>
      <c r="HM225" s="858"/>
      <c r="HN225" s="858"/>
      <c r="HO225" s="858"/>
      <c r="HP225" s="858"/>
      <c r="HQ225" s="858"/>
      <c r="HR225" s="858"/>
      <c r="HS225" s="858"/>
      <c r="HT225" s="858"/>
      <c r="HU225" s="858"/>
      <c r="HV225" s="858"/>
      <c r="HW225" s="858"/>
      <c r="HX225" s="858"/>
      <c r="HY225" s="858"/>
      <c r="HZ225" s="858"/>
      <c r="IA225" s="858"/>
      <c r="IB225" s="858"/>
      <c r="IC225" s="858"/>
      <c r="ID225" s="858"/>
      <c r="IE225" s="858"/>
      <c r="IF225" s="858"/>
      <c r="IG225" s="858"/>
      <c r="IH225" s="858"/>
      <c r="II225" s="858"/>
      <c r="IJ225" s="858"/>
      <c r="IK225" s="858"/>
      <c r="IL225" s="858"/>
      <c r="IM225" s="858"/>
      <c r="IN225" s="858"/>
    </row>
    <row r="226" spans="1:248">
      <c r="A226" s="564" t="s">
        <v>26</v>
      </c>
      <c r="B226" s="566">
        <v>17964.5</v>
      </c>
      <c r="C226" s="566">
        <f t="shared" si="29"/>
        <v>34.319878191130648</v>
      </c>
      <c r="D226" s="566">
        <v>18642.099999999999</v>
      </c>
      <c r="E226" s="859">
        <f t="shared" si="30"/>
        <v>35.614383992144319</v>
      </c>
      <c r="F226" s="859">
        <f>B226-D226</f>
        <v>-677.59999999999854</v>
      </c>
      <c r="G226" s="859">
        <f t="shared" si="32"/>
        <v>-1.2945058010136701</v>
      </c>
      <c r="H226" s="377">
        <v>52344.3</v>
      </c>
      <c r="I226" s="858"/>
      <c r="J226" s="858"/>
      <c r="K226" s="858"/>
      <c r="L226" s="858"/>
      <c r="M226" s="858"/>
      <c r="N226" s="858"/>
      <c r="O226" s="858"/>
      <c r="P226" s="858"/>
      <c r="Q226" s="858"/>
      <c r="R226" s="858"/>
      <c r="S226" s="858"/>
      <c r="T226" s="858"/>
      <c r="U226" s="858"/>
      <c r="V226" s="858"/>
      <c r="W226" s="858"/>
      <c r="X226" s="858"/>
      <c r="Y226" s="858"/>
      <c r="Z226" s="858"/>
      <c r="AA226" s="858"/>
      <c r="AB226" s="858"/>
      <c r="AC226" s="858"/>
      <c r="AD226" s="858"/>
      <c r="AE226" s="858"/>
      <c r="AF226" s="858"/>
      <c r="AG226" s="858"/>
      <c r="AH226" s="858"/>
      <c r="AI226" s="858"/>
      <c r="AJ226" s="858"/>
      <c r="AK226" s="858"/>
      <c r="AL226" s="858"/>
      <c r="AM226" s="858"/>
      <c r="AN226" s="858"/>
      <c r="AO226" s="858"/>
      <c r="AP226" s="858"/>
      <c r="AQ226" s="858"/>
      <c r="AR226" s="858"/>
      <c r="AS226" s="858"/>
      <c r="AT226" s="858"/>
      <c r="AU226" s="858"/>
      <c r="AV226" s="858"/>
      <c r="AW226" s="858"/>
      <c r="AX226" s="858"/>
      <c r="AY226" s="858"/>
      <c r="AZ226" s="858"/>
      <c r="BA226" s="858"/>
      <c r="BB226" s="858"/>
      <c r="BC226" s="858"/>
      <c r="BD226" s="858"/>
      <c r="BE226" s="858"/>
      <c r="BF226" s="858"/>
      <c r="BG226" s="858"/>
      <c r="BH226" s="858"/>
      <c r="BI226" s="858"/>
      <c r="BJ226" s="858"/>
      <c r="BK226" s="858"/>
      <c r="BL226" s="858"/>
      <c r="BM226" s="858"/>
      <c r="BN226" s="858"/>
      <c r="BO226" s="858"/>
      <c r="BP226" s="858"/>
      <c r="BQ226" s="858"/>
      <c r="BR226" s="858"/>
      <c r="BS226" s="858"/>
      <c r="BT226" s="858"/>
      <c r="BU226" s="858"/>
      <c r="BV226" s="858"/>
      <c r="BW226" s="858"/>
      <c r="BX226" s="858"/>
      <c r="BY226" s="858"/>
      <c r="BZ226" s="858"/>
      <c r="CA226" s="858"/>
      <c r="CB226" s="858"/>
      <c r="CC226" s="858"/>
      <c r="CD226" s="858"/>
      <c r="CE226" s="858"/>
      <c r="CF226" s="858"/>
      <c r="CG226" s="858"/>
      <c r="CH226" s="858"/>
      <c r="CI226" s="858"/>
      <c r="CJ226" s="858"/>
      <c r="CK226" s="858"/>
      <c r="CL226" s="858"/>
      <c r="CM226" s="858"/>
      <c r="CN226" s="858"/>
      <c r="CO226" s="858"/>
      <c r="CP226" s="858"/>
      <c r="CQ226" s="858"/>
      <c r="CR226" s="858"/>
      <c r="CS226" s="858"/>
      <c r="CT226" s="858"/>
      <c r="CU226" s="858"/>
      <c r="CV226" s="858"/>
      <c r="CW226" s="858"/>
      <c r="CX226" s="858"/>
      <c r="CY226" s="858"/>
      <c r="CZ226" s="858"/>
      <c r="DA226" s="858"/>
      <c r="DB226" s="858"/>
      <c r="DC226" s="858"/>
      <c r="DD226" s="858"/>
      <c r="DE226" s="858"/>
      <c r="DF226" s="858"/>
      <c r="DG226" s="858"/>
      <c r="DH226" s="858"/>
      <c r="DI226" s="858"/>
      <c r="DJ226" s="858"/>
      <c r="DK226" s="858"/>
      <c r="DL226" s="858"/>
      <c r="DM226" s="858"/>
      <c r="DN226" s="858"/>
      <c r="DO226" s="858"/>
      <c r="DP226" s="858"/>
      <c r="DQ226" s="858"/>
      <c r="DR226" s="858"/>
      <c r="DS226" s="858"/>
      <c r="DT226" s="858"/>
      <c r="DU226" s="858"/>
      <c r="DV226" s="858"/>
      <c r="DW226" s="858"/>
      <c r="DX226" s="858"/>
      <c r="DY226" s="858"/>
      <c r="DZ226" s="858"/>
      <c r="EA226" s="858"/>
      <c r="EB226" s="858"/>
      <c r="EC226" s="858"/>
      <c r="ED226" s="858"/>
      <c r="EE226" s="858"/>
      <c r="EF226" s="858"/>
      <c r="EG226" s="858"/>
      <c r="EH226" s="858"/>
      <c r="EI226" s="858"/>
      <c r="EJ226" s="858"/>
      <c r="EK226" s="858"/>
      <c r="EL226" s="858"/>
      <c r="EM226" s="858"/>
      <c r="EN226" s="858"/>
      <c r="EO226" s="858"/>
      <c r="EP226" s="858"/>
      <c r="EQ226" s="858"/>
      <c r="ER226" s="858"/>
      <c r="ES226" s="858"/>
      <c r="ET226" s="858"/>
      <c r="EU226" s="858"/>
      <c r="EV226" s="858"/>
      <c r="EW226" s="858"/>
      <c r="EX226" s="858"/>
      <c r="EY226" s="858"/>
      <c r="EZ226" s="858"/>
      <c r="FA226" s="858"/>
      <c r="FB226" s="858"/>
      <c r="FC226" s="858"/>
      <c r="FD226" s="858"/>
      <c r="FE226" s="858"/>
      <c r="FF226" s="858"/>
      <c r="FG226" s="858"/>
      <c r="FH226" s="858"/>
      <c r="FI226" s="858"/>
      <c r="FJ226" s="858"/>
      <c r="FK226" s="858"/>
      <c r="FL226" s="858"/>
      <c r="FM226" s="858"/>
      <c r="FN226" s="858"/>
      <c r="FO226" s="858"/>
      <c r="FP226" s="858"/>
      <c r="FQ226" s="858"/>
      <c r="FR226" s="858"/>
      <c r="FS226" s="858"/>
      <c r="FT226" s="858"/>
      <c r="FU226" s="858"/>
      <c r="FV226" s="858"/>
      <c r="FW226" s="858"/>
      <c r="FX226" s="858"/>
      <c r="FY226" s="858"/>
      <c r="FZ226" s="858"/>
      <c r="GA226" s="858"/>
      <c r="GB226" s="858"/>
      <c r="GC226" s="858"/>
      <c r="GD226" s="858"/>
      <c r="GE226" s="858"/>
      <c r="GF226" s="858"/>
      <c r="GG226" s="858"/>
      <c r="GH226" s="858"/>
      <c r="GI226" s="858"/>
      <c r="GJ226" s="858"/>
      <c r="GK226" s="858"/>
      <c r="GL226" s="858"/>
      <c r="GM226" s="858"/>
      <c r="GN226" s="858"/>
      <c r="GO226" s="858"/>
      <c r="GP226" s="858"/>
      <c r="GQ226" s="858"/>
      <c r="GR226" s="858"/>
      <c r="GS226" s="858"/>
      <c r="GT226" s="858"/>
      <c r="GU226" s="858"/>
      <c r="GV226" s="858"/>
      <c r="GW226" s="858"/>
      <c r="GX226" s="858"/>
      <c r="GY226" s="858"/>
      <c r="GZ226" s="858"/>
      <c r="HA226" s="858"/>
      <c r="HB226" s="858"/>
      <c r="HC226" s="858"/>
      <c r="HD226" s="858"/>
      <c r="HE226" s="858"/>
      <c r="HF226" s="858"/>
      <c r="HG226" s="858"/>
      <c r="HH226" s="858"/>
      <c r="HI226" s="858"/>
      <c r="HJ226" s="858"/>
      <c r="HK226" s="858"/>
      <c r="HL226" s="858"/>
      <c r="HM226" s="858"/>
      <c r="HN226" s="858"/>
      <c r="HO226" s="858"/>
      <c r="HP226" s="858"/>
      <c r="HQ226" s="858"/>
      <c r="HR226" s="858"/>
      <c r="HS226" s="858"/>
      <c r="HT226" s="858"/>
      <c r="HU226" s="858"/>
      <c r="HV226" s="858"/>
      <c r="HW226" s="858"/>
      <c r="HX226" s="858"/>
      <c r="HY226" s="858"/>
      <c r="HZ226" s="858"/>
      <c r="IA226" s="858"/>
      <c r="IB226" s="858"/>
      <c r="IC226" s="858"/>
      <c r="ID226" s="858"/>
      <c r="IE226" s="858"/>
      <c r="IF226" s="858"/>
      <c r="IG226" s="858"/>
      <c r="IH226" s="858"/>
      <c r="II226" s="858"/>
      <c r="IJ226" s="858"/>
      <c r="IK226" s="858"/>
      <c r="IL226" s="858"/>
      <c r="IM226" s="858"/>
      <c r="IN226" s="858"/>
    </row>
    <row r="227" spans="1:248">
      <c r="A227" s="564" t="s">
        <v>27</v>
      </c>
      <c r="B227" s="566">
        <v>20207.099999999999</v>
      </c>
      <c r="C227" s="566">
        <f t="shared" si="29"/>
        <v>34.568997372310726</v>
      </c>
      <c r="D227" s="566">
        <v>20722.099999999999</v>
      </c>
      <c r="E227" s="859">
        <f t="shared" si="30"/>
        <v>35.450026003175125</v>
      </c>
      <c r="F227" s="859">
        <f>B227-D227</f>
        <v>-515</v>
      </c>
      <c r="G227" s="859">
        <f t="shared" si="32"/>
        <v>-0.88102863086440031</v>
      </c>
      <c r="H227" s="377">
        <v>58454.400000000001</v>
      </c>
      <c r="I227" s="858"/>
      <c r="J227" s="858"/>
      <c r="K227" s="858"/>
      <c r="L227" s="858"/>
      <c r="M227" s="858"/>
      <c r="N227" s="858"/>
      <c r="O227" s="858"/>
      <c r="P227" s="858"/>
      <c r="Q227" s="858"/>
      <c r="R227" s="858"/>
      <c r="S227" s="858"/>
      <c r="T227" s="858"/>
      <c r="U227" s="858"/>
      <c r="V227" s="858"/>
      <c r="W227" s="858"/>
      <c r="X227" s="858"/>
      <c r="Y227" s="858"/>
      <c r="Z227" s="858"/>
      <c r="AA227" s="858"/>
      <c r="AB227" s="858"/>
      <c r="AC227" s="858"/>
      <c r="AD227" s="858"/>
      <c r="AE227" s="858"/>
      <c r="AF227" s="858"/>
      <c r="AG227" s="858"/>
      <c r="AH227" s="858"/>
      <c r="AI227" s="858"/>
      <c r="AJ227" s="858"/>
      <c r="AK227" s="858"/>
      <c r="AL227" s="858"/>
      <c r="AM227" s="858"/>
      <c r="AN227" s="858"/>
      <c r="AO227" s="858"/>
      <c r="AP227" s="858"/>
      <c r="AQ227" s="858"/>
      <c r="AR227" s="858"/>
      <c r="AS227" s="858"/>
      <c r="AT227" s="858"/>
      <c r="AU227" s="858"/>
      <c r="AV227" s="858"/>
      <c r="AW227" s="858"/>
      <c r="AX227" s="858"/>
      <c r="AY227" s="858"/>
      <c r="AZ227" s="858"/>
      <c r="BA227" s="858"/>
      <c r="BB227" s="858"/>
      <c r="BC227" s="858"/>
      <c r="BD227" s="858"/>
      <c r="BE227" s="858"/>
      <c r="BF227" s="858"/>
      <c r="BG227" s="858"/>
      <c r="BH227" s="858"/>
      <c r="BI227" s="858"/>
      <c r="BJ227" s="858"/>
      <c r="BK227" s="858"/>
      <c r="BL227" s="858"/>
      <c r="BM227" s="858"/>
      <c r="BN227" s="858"/>
      <c r="BO227" s="858"/>
      <c r="BP227" s="858"/>
      <c r="BQ227" s="858"/>
      <c r="BR227" s="858"/>
      <c r="BS227" s="858"/>
      <c r="BT227" s="858"/>
      <c r="BU227" s="858"/>
      <c r="BV227" s="858"/>
      <c r="BW227" s="858"/>
      <c r="BX227" s="858"/>
      <c r="BY227" s="858"/>
      <c r="BZ227" s="858"/>
      <c r="CA227" s="858"/>
      <c r="CB227" s="858"/>
      <c r="CC227" s="858"/>
      <c r="CD227" s="858"/>
      <c r="CE227" s="858"/>
      <c r="CF227" s="858"/>
      <c r="CG227" s="858"/>
      <c r="CH227" s="858"/>
      <c r="CI227" s="858"/>
      <c r="CJ227" s="858"/>
      <c r="CK227" s="858"/>
      <c r="CL227" s="858"/>
      <c r="CM227" s="858"/>
      <c r="CN227" s="858"/>
      <c r="CO227" s="858"/>
      <c r="CP227" s="858"/>
      <c r="CQ227" s="858"/>
      <c r="CR227" s="858"/>
      <c r="CS227" s="858"/>
      <c r="CT227" s="858"/>
      <c r="CU227" s="858"/>
      <c r="CV227" s="858"/>
      <c r="CW227" s="858"/>
      <c r="CX227" s="858"/>
      <c r="CY227" s="858"/>
      <c r="CZ227" s="858"/>
      <c r="DA227" s="858"/>
      <c r="DB227" s="858"/>
      <c r="DC227" s="858"/>
      <c r="DD227" s="858"/>
      <c r="DE227" s="858"/>
      <c r="DF227" s="858"/>
      <c r="DG227" s="858"/>
      <c r="DH227" s="858"/>
      <c r="DI227" s="858"/>
      <c r="DJ227" s="858"/>
      <c r="DK227" s="858"/>
      <c r="DL227" s="858"/>
      <c r="DM227" s="858"/>
      <c r="DN227" s="858"/>
      <c r="DO227" s="858"/>
      <c r="DP227" s="858"/>
      <c r="DQ227" s="858"/>
      <c r="DR227" s="858"/>
      <c r="DS227" s="858"/>
      <c r="DT227" s="858"/>
      <c r="DU227" s="858"/>
      <c r="DV227" s="858"/>
      <c r="DW227" s="858"/>
      <c r="DX227" s="858"/>
      <c r="DY227" s="858"/>
      <c r="DZ227" s="858"/>
      <c r="EA227" s="858"/>
      <c r="EB227" s="858"/>
      <c r="EC227" s="858"/>
      <c r="ED227" s="858"/>
      <c r="EE227" s="858"/>
      <c r="EF227" s="858"/>
      <c r="EG227" s="858"/>
      <c r="EH227" s="858"/>
      <c r="EI227" s="858"/>
      <c r="EJ227" s="858"/>
      <c r="EK227" s="858"/>
      <c r="EL227" s="858"/>
      <c r="EM227" s="858"/>
      <c r="EN227" s="858"/>
      <c r="EO227" s="858"/>
      <c r="EP227" s="858"/>
      <c r="EQ227" s="858"/>
      <c r="ER227" s="858"/>
      <c r="ES227" s="858"/>
      <c r="ET227" s="858"/>
      <c r="EU227" s="858"/>
      <c r="EV227" s="858"/>
      <c r="EW227" s="858"/>
      <c r="EX227" s="858"/>
      <c r="EY227" s="858"/>
      <c r="EZ227" s="858"/>
      <c r="FA227" s="858"/>
      <c r="FB227" s="858"/>
      <c r="FC227" s="858"/>
      <c r="FD227" s="858"/>
      <c r="FE227" s="858"/>
      <c r="FF227" s="858"/>
      <c r="FG227" s="858"/>
      <c r="FH227" s="858"/>
      <c r="FI227" s="858"/>
      <c r="FJ227" s="858"/>
      <c r="FK227" s="858"/>
      <c r="FL227" s="858"/>
      <c r="FM227" s="858"/>
      <c r="FN227" s="858"/>
      <c r="FO227" s="858"/>
      <c r="FP227" s="858"/>
      <c r="FQ227" s="858"/>
      <c r="FR227" s="858"/>
      <c r="FS227" s="858"/>
      <c r="FT227" s="858"/>
      <c r="FU227" s="858"/>
      <c r="FV227" s="858"/>
      <c r="FW227" s="858"/>
      <c r="FX227" s="858"/>
      <c r="FY227" s="858"/>
      <c r="FZ227" s="858"/>
      <c r="GA227" s="858"/>
      <c r="GB227" s="858"/>
      <c r="GC227" s="858"/>
      <c r="GD227" s="858"/>
      <c r="GE227" s="858"/>
      <c r="GF227" s="858"/>
      <c r="GG227" s="858"/>
      <c r="GH227" s="858"/>
      <c r="GI227" s="858"/>
      <c r="GJ227" s="858"/>
      <c r="GK227" s="858"/>
      <c r="GL227" s="858"/>
      <c r="GM227" s="858"/>
      <c r="GN227" s="858"/>
      <c r="GO227" s="858"/>
      <c r="GP227" s="858"/>
      <c r="GQ227" s="858"/>
      <c r="GR227" s="858"/>
      <c r="GS227" s="858"/>
      <c r="GT227" s="858"/>
      <c r="GU227" s="858"/>
      <c r="GV227" s="858"/>
      <c r="GW227" s="858"/>
      <c r="GX227" s="858"/>
      <c r="GY227" s="858"/>
      <c r="GZ227" s="858"/>
      <c r="HA227" s="858"/>
      <c r="HB227" s="858"/>
      <c r="HC227" s="858"/>
      <c r="HD227" s="858"/>
      <c r="HE227" s="858"/>
      <c r="HF227" s="858"/>
      <c r="HG227" s="858"/>
      <c r="HH227" s="858"/>
      <c r="HI227" s="858"/>
      <c r="HJ227" s="858"/>
      <c r="HK227" s="858"/>
      <c r="HL227" s="858"/>
      <c r="HM227" s="858"/>
      <c r="HN227" s="858"/>
      <c r="HO227" s="858"/>
      <c r="HP227" s="858"/>
      <c r="HQ227" s="858"/>
      <c r="HR227" s="858"/>
      <c r="HS227" s="858"/>
      <c r="HT227" s="858"/>
      <c r="HU227" s="858"/>
      <c r="HV227" s="858"/>
      <c r="HW227" s="858"/>
      <c r="HX227" s="858"/>
      <c r="HY227" s="858"/>
      <c r="HZ227" s="858"/>
      <c r="IA227" s="858"/>
      <c r="IB227" s="858"/>
      <c r="IC227" s="858"/>
      <c r="ID227" s="858"/>
      <c r="IE227" s="858"/>
      <c r="IF227" s="858"/>
      <c r="IG227" s="858"/>
      <c r="IH227" s="858"/>
      <c r="II227" s="858"/>
      <c r="IJ227" s="858"/>
      <c r="IK227" s="858"/>
      <c r="IL227" s="858"/>
      <c r="IM227" s="858"/>
      <c r="IN227" s="858"/>
    </row>
    <row r="228" spans="1:248">
      <c r="A228" s="769" t="s">
        <v>28</v>
      </c>
      <c r="B228" s="566">
        <v>22241.1</v>
      </c>
      <c r="C228" s="566">
        <f t="shared" si="29"/>
        <v>34.513735756417077</v>
      </c>
      <c r="D228" s="566">
        <v>22162.7</v>
      </c>
      <c r="E228" s="859">
        <f t="shared" si="30"/>
        <v>34.392074647780227</v>
      </c>
      <c r="F228" s="859">
        <f>B228-D228</f>
        <v>78.399999999997817</v>
      </c>
      <c r="G228" s="859">
        <f t="shared" si="32"/>
        <v>0.12166110863684905</v>
      </c>
      <c r="H228" s="377">
        <v>64441.3</v>
      </c>
      <c r="I228" s="858"/>
      <c r="J228" s="858"/>
      <c r="K228" s="858"/>
      <c r="L228" s="858"/>
      <c r="M228" s="858"/>
      <c r="N228" s="858"/>
      <c r="O228" s="858"/>
      <c r="P228" s="858"/>
      <c r="Q228" s="858"/>
      <c r="R228" s="858"/>
      <c r="S228" s="858"/>
      <c r="T228" s="858"/>
      <c r="U228" s="858"/>
      <c r="V228" s="858"/>
      <c r="W228" s="858"/>
      <c r="X228" s="858"/>
      <c r="Y228" s="858"/>
      <c r="Z228" s="858"/>
      <c r="AA228" s="858"/>
      <c r="AB228" s="858"/>
      <c r="AC228" s="858"/>
      <c r="AD228" s="858"/>
      <c r="AE228" s="858"/>
      <c r="AF228" s="858"/>
      <c r="AG228" s="858"/>
      <c r="AH228" s="858"/>
      <c r="AI228" s="858"/>
      <c r="AJ228" s="858"/>
      <c r="AK228" s="858"/>
      <c r="AL228" s="858"/>
      <c r="AM228" s="858"/>
      <c r="AN228" s="858"/>
      <c r="AO228" s="858"/>
      <c r="AP228" s="858"/>
      <c r="AQ228" s="858"/>
      <c r="AR228" s="858"/>
      <c r="AS228" s="858"/>
      <c r="AT228" s="858"/>
      <c r="AU228" s="858"/>
      <c r="AV228" s="858"/>
      <c r="AW228" s="858"/>
      <c r="AX228" s="858"/>
      <c r="AY228" s="858"/>
      <c r="AZ228" s="858"/>
      <c r="BA228" s="858"/>
      <c r="BB228" s="858"/>
      <c r="BC228" s="858"/>
      <c r="BD228" s="858"/>
      <c r="BE228" s="858"/>
      <c r="BF228" s="858"/>
      <c r="BG228" s="858"/>
      <c r="BH228" s="858"/>
      <c r="BI228" s="858"/>
      <c r="BJ228" s="858"/>
      <c r="BK228" s="858"/>
      <c r="BL228" s="858"/>
      <c r="BM228" s="858"/>
      <c r="BN228" s="858"/>
      <c r="BO228" s="858"/>
      <c r="BP228" s="858"/>
      <c r="BQ228" s="858"/>
      <c r="BR228" s="858"/>
      <c r="BS228" s="858"/>
      <c r="BT228" s="858"/>
      <c r="BU228" s="858"/>
      <c r="BV228" s="858"/>
      <c r="BW228" s="858"/>
      <c r="BX228" s="858"/>
      <c r="BY228" s="858"/>
      <c r="BZ228" s="858"/>
      <c r="CA228" s="858"/>
      <c r="CB228" s="858"/>
      <c r="CC228" s="858"/>
      <c r="CD228" s="858"/>
      <c r="CE228" s="858"/>
      <c r="CF228" s="858"/>
      <c r="CG228" s="858"/>
      <c r="CH228" s="858"/>
      <c r="CI228" s="858"/>
      <c r="CJ228" s="858"/>
      <c r="CK228" s="858"/>
      <c r="CL228" s="858"/>
      <c r="CM228" s="858"/>
      <c r="CN228" s="858"/>
      <c r="CO228" s="858"/>
      <c r="CP228" s="858"/>
      <c r="CQ228" s="858"/>
      <c r="CR228" s="858"/>
      <c r="CS228" s="858"/>
      <c r="CT228" s="858"/>
      <c r="CU228" s="858"/>
      <c r="CV228" s="858"/>
      <c r="CW228" s="858"/>
      <c r="CX228" s="858"/>
      <c r="CY228" s="858"/>
      <c r="CZ228" s="858"/>
      <c r="DA228" s="858"/>
      <c r="DB228" s="858"/>
      <c r="DC228" s="858"/>
      <c r="DD228" s="858"/>
      <c r="DE228" s="858"/>
      <c r="DF228" s="858"/>
      <c r="DG228" s="858"/>
      <c r="DH228" s="858"/>
      <c r="DI228" s="858"/>
      <c r="DJ228" s="858"/>
      <c r="DK228" s="858"/>
      <c r="DL228" s="858"/>
      <c r="DM228" s="858"/>
      <c r="DN228" s="858"/>
      <c r="DO228" s="858"/>
      <c r="DP228" s="858"/>
      <c r="DQ228" s="858"/>
      <c r="DR228" s="858"/>
      <c r="DS228" s="858"/>
      <c r="DT228" s="858"/>
      <c r="DU228" s="858"/>
      <c r="DV228" s="858"/>
      <c r="DW228" s="858"/>
      <c r="DX228" s="858"/>
      <c r="DY228" s="858"/>
      <c r="DZ228" s="858"/>
      <c r="EA228" s="858"/>
      <c r="EB228" s="858"/>
      <c r="EC228" s="858"/>
      <c r="ED228" s="858"/>
      <c r="EE228" s="858"/>
      <c r="EF228" s="858"/>
      <c r="EG228" s="858"/>
      <c r="EH228" s="858"/>
      <c r="EI228" s="858"/>
      <c r="EJ228" s="858"/>
      <c r="EK228" s="858"/>
      <c r="EL228" s="858"/>
      <c r="EM228" s="858"/>
      <c r="EN228" s="858"/>
      <c r="EO228" s="858"/>
      <c r="EP228" s="858"/>
      <c r="EQ228" s="858"/>
      <c r="ER228" s="858"/>
      <c r="ES228" s="858"/>
      <c r="ET228" s="858"/>
      <c r="EU228" s="858"/>
      <c r="EV228" s="858"/>
      <c r="EW228" s="858"/>
      <c r="EX228" s="858"/>
      <c r="EY228" s="858"/>
      <c r="EZ228" s="858"/>
      <c r="FA228" s="858"/>
      <c r="FB228" s="858"/>
      <c r="FC228" s="858"/>
      <c r="FD228" s="858"/>
      <c r="FE228" s="858"/>
      <c r="FF228" s="858"/>
      <c r="FG228" s="858"/>
      <c r="FH228" s="858"/>
      <c r="FI228" s="858"/>
      <c r="FJ228" s="858"/>
      <c r="FK228" s="858"/>
      <c r="FL228" s="858"/>
      <c r="FM228" s="858"/>
      <c r="FN228" s="858"/>
      <c r="FO228" s="858"/>
      <c r="FP228" s="858"/>
      <c r="FQ228" s="858"/>
      <c r="FR228" s="858"/>
      <c r="FS228" s="858"/>
      <c r="FT228" s="858"/>
      <c r="FU228" s="858"/>
      <c r="FV228" s="858"/>
      <c r="FW228" s="858"/>
      <c r="FX228" s="858"/>
      <c r="FY228" s="858"/>
      <c r="FZ228" s="858"/>
      <c r="GA228" s="858"/>
      <c r="GB228" s="858"/>
      <c r="GC228" s="858"/>
      <c r="GD228" s="858"/>
      <c r="GE228" s="858"/>
      <c r="GF228" s="858"/>
      <c r="GG228" s="858"/>
      <c r="GH228" s="858"/>
      <c r="GI228" s="858"/>
      <c r="GJ228" s="858"/>
      <c r="GK228" s="858"/>
      <c r="GL228" s="858"/>
      <c r="GM228" s="858"/>
      <c r="GN228" s="858"/>
      <c r="GO228" s="858"/>
      <c r="GP228" s="858"/>
      <c r="GQ228" s="858"/>
      <c r="GR228" s="858"/>
      <c r="GS228" s="858"/>
      <c r="GT228" s="858"/>
      <c r="GU228" s="858"/>
      <c r="GV228" s="858"/>
      <c r="GW228" s="858"/>
      <c r="GX228" s="858"/>
      <c r="GY228" s="858"/>
      <c r="GZ228" s="858"/>
      <c r="HA228" s="858"/>
      <c r="HB228" s="858"/>
      <c r="HC228" s="858"/>
      <c r="HD228" s="858"/>
      <c r="HE228" s="858"/>
      <c r="HF228" s="858"/>
      <c r="HG228" s="858"/>
      <c r="HH228" s="858"/>
      <c r="HI228" s="858"/>
      <c r="HJ228" s="858"/>
      <c r="HK228" s="858"/>
      <c r="HL228" s="858"/>
      <c r="HM228" s="858"/>
      <c r="HN228" s="858"/>
      <c r="HO228" s="858"/>
      <c r="HP228" s="858"/>
      <c r="HQ228" s="858"/>
      <c r="HR228" s="858"/>
      <c r="HS228" s="858"/>
      <c r="HT228" s="858"/>
      <c r="HU228" s="858"/>
      <c r="HV228" s="858"/>
      <c r="HW228" s="858"/>
      <c r="HX228" s="858"/>
      <c r="HY228" s="858"/>
      <c r="HZ228" s="858"/>
      <c r="IA228" s="858"/>
      <c r="IB228" s="858"/>
      <c r="IC228" s="858"/>
      <c r="ID228" s="858"/>
      <c r="IE228" s="858"/>
      <c r="IF228" s="858"/>
      <c r="IG228" s="858"/>
      <c r="IH228" s="858"/>
      <c r="II228" s="858"/>
      <c r="IJ228" s="858"/>
      <c r="IK228" s="858"/>
      <c r="IL228" s="858"/>
      <c r="IM228" s="858"/>
      <c r="IN228" s="858"/>
    </row>
    <row r="229" spans="1:248">
      <c r="A229" s="568" t="s">
        <v>29</v>
      </c>
      <c r="B229" s="566">
        <v>24681.7</v>
      </c>
      <c r="C229" s="566">
        <f t="shared" si="29"/>
        <v>34.007090293077383</v>
      </c>
      <c r="D229" s="569">
        <v>26416.3</v>
      </c>
      <c r="E229" s="859">
        <f t="shared" si="30"/>
        <v>36.397067434942493</v>
      </c>
      <c r="F229" s="859">
        <f>B229-D229</f>
        <v>-1734.5999999999985</v>
      </c>
      <c r="G229" s="859">
        <f t="shared" si="32"/>
        <v>-2.3899771418651059</v>
      </c>
      <c r="H229" s="377">
        <v>72578.100000000006</v>
      </c>
      <c r="I229" s="858"/>
      <c r="J229" s="858"/>
      <c r="K229" s="858"/>
      <c r="L229" s="858"/>
      <c r="M229" s="858"/>
      <c r="N229" s="858"/>
      <c r="O229" s="858"/>
      <c r="P229" s="858"/>
      <c r="Q229" s="858"/>
      <c r="R229" s="858"/>
      <c r="S229" s="858"/>
      <c r="T229" s="858"/>
      <c r="U229" s="858"/>
      <c r="V229" s="858"/>
      <c r="W229" s="858"/>
      <c r="X229" s="858"/>
      <c r="Y229" s="858"/>
      <c r="Z229" s="858"/>
      <c r="AA229" s="858"/>
      <c r="AB229" s="858"/>
      <c r="AC229" s="858"/>
      <c r="AD229" s="858"/>
      <c r="AE229" s="858"/>
      <c r="AF229" s="858"/>
      <c r="AG229" s="858"/>
      <c r="AH229" s="858"/>
      <c r="AI229" s="858"/>
      <c r="AJ229" s="858"/>
      <c r="AK229" s="858"/>
      <c r="AL229" s="858"/>
      <c r="AM229" s="858"/>
      <c r="AN229" s="858"/>
      <c r="AO229" s="858"/>
      <c r="AP229" s="858"/>
      <c r="AQ229" s="858"/>
      <c r="AR229" s="858"/>
      <c r="AS229" s="858"/>
      <c r="AT229" s="858"/>
      <c r="AU229" s="858"/>
      <c r="AV229" s="858"/>
      <c r="AW229" s="858"/>
      <c r="AX229" s="858"/>
      <c r="AY229" s="858"/>
      <c r="AZ229" s="858"/>
      <c r="BA229" s="858"/>
      <c r="BB229" s="858"/>
      <c r="BC229" s="858"/>
      <c r="BD229" s="858"/>
      <c r="BE229" s="858"/>
      <c r="BF229" s="858"/>
      <c r="BG229" s="858"/>
      <c r="BH229" s="858"/>
      <c r="BI229" s="858"/>
      <c r="BJ229" s="858"/>
      <c r="BK229" s="858"/>
      <c r="BL229" s="858"/>
      <c r="BM229" s="858"/>
      <c r="BN229" s="858"/>
      <c r="BO229" s="858"/>
      <c r="BP229" s="858"/>
      <c r="BQ229" s="858"/>
      <c r="BR229" s="858"/>
      <c r="BS229" s="858"/>
      <c r="BT229" s="858"/>
      <c r="BU229" s="858"/>
      <c r="BV229" s="858"/>
      <c r="BW229" s="858"/>
      <c r="BX229" s="858"/>
      <c r="BY229" s="858"/>
      <c r="BZ229" s="858"/>
      <c r="CA229" s="858"/>
      <c r="CB229" s="858"/>
      <c r="CC229" s="858"/>
      <c r="CD229" s="858"/>
      <c r="CE229" s="858"/>
      <c r="CF229" s="858"/>
      <c r="CG229" s="858"/>
      <c r="CH229" s="858"/>
      <c r="CI229" s="858"/>
      <c r="CJ229" s="858"/>
      <c r="CK229" s="858"/>
      <c r="CL229" s="858"/>
      <c r="CM229" s="858"/>
      <c r="CN229" s="858"/>
      <c r="CO229" s="858"/>
      <c r="CP229" s="858"/>
      <c r="CQ229" s="858"/>
      <c r="CR229" s="858"/>
      <c r="CS229" s="858"/>
      <c r="CT229" s="858"/>
      <c r="CU229" s="858"/>
      <c r="CV229" s="858"/>
      <c r="CW229" s="858"/>
      <c r="CX229" s="858"/>
      <c r="CY229" s="858"/>
      <c r="CZ229" s="858"/>
      <c r="DA229" s="858"/>
      <c r="DB229" s="858"/>
      <c r="DC229" s="858"/>
      <c r="DD229" s="858"/>
      <c r="DE229" s="858"/>
      <c r="DF229" s="858"/>
      <c r="DG229" s="858"/>
      <c r="DH229" s="858"/>
      <c r="DI229" s="858"/>
      <c r="DJ229" s="858"/>
      <c r="DK229" s="858"/>
      <c r="DL229" s="858"/>
      <c r="DM229" s="858"/>
      <c r="DN229" s="858"/>
      <c r="DO229" s="858"/>
      <c r="DP229" s="858"/>
      <c r="DQ229" s="858"/>
      <c r="DR229" s="858"/>
      <c r="DS229" s="858"/>
      <c r="DT229" s="858"/>
      <c r="DU229" s="858"/>
      <c r="DV229" s="858"/>
      <c r="DW229" s="858"/>
      <c r="DX229" s="858"/>
      <c r="DY229" s="858"/>
      <c r="DZ229" s="858"/>
      <c r="EA229" s="858"/>
      <c r="EB229" s="858"/>
      <c r="EC229" s="858"/>
      <c r="ED229" s="858"/>
      <c r="EE229" s="858"/>
      <c r="EF229" s="858"/>
      <c r="EG229" s="858"/>
      <c r="EH229" s="858"/>
      <c r="EI229" s="858"/>
      <c r="EJ229" s="858"/>
      <c r="EK229" s="858"/>
      <c r="EL229" s="858"/>
      <c r="EM229" s="858"/>
      <c r="EN229" s="858"/>
      <c r="EO229" s="858"/>
      <c r="EP229" s="858"/>
      <c r="EQ229" s="858"/>
      <c r="ER229" s="858"/>
      <c r="ES229" s="858"/>
      <c r="ET229" s="858"/>
      <c r="EU229" s="858"/>
      <c r="EV229" s="858"/>
      <c r="EW229" s="858"/>
      <c r="EX229" s="858"/>
      <c r="EY229" s="858"/>
      <c r="EZ229" s="858"/>
      <c r="FA229" s="858"/>
      <c r="FB229" s="858"/>
      <c r="FC229" s="858"/>
      <c r="FD229" s="858"/>
      <c r="FE229" s="858"/>
      <c r="FF229" s="858"/>
      <c r="FG229" s="858"/>
      <c r="FH229" s="858"/>
      <c r="FI229" s="858"/>
      <c r="FJ229" s="858"/>
      <c r="FK229" s="858"/>
      <c r="FL229" s="858"/>
      <c r="FM229" s="858"/>
      <c r="FN229" s="858"/>
      <c r="FO229" s="858"/>
      <c r="FP229" s="858"/>
      <c r="FQ229" s="858"/>
      <c r="FR229" s="858"/>
      <c r="FS229" s="858"/>
      <c r="FT229" s="858"/>
      <c r="FU229" s="858"/>
      <c r="FV229" s="858"/>
      <c r="FW229" s="858"/>
      <c r="FX229" s="858"/>
      <c r="FY229" s="858"/>
      <c r="FZ229" s="858"/>
      <c r="GA229" s="858"/>
      <c r="GB229" s="858"/>
      <c r="GC229" s="858"/>
      <c r="GD229" s="858"/>
      <c r="GE229" s="858"/>
      <c r="GF229" s="858"/>
      <c r="GG229" s="858"/>
      <c r="GH229" s="858"/>
      <c r="GI229" s="858"/>
      <c r="GJ229" s="858"/>
      <c r="GK229" s="858"/>
      <c r="GL229" s="858"/>
      <c r="GM229" s="858"/>
      <c r="GN229" s="858"/>
      <c r="GO229" s="858"/>
      <c r="GP229" s="858"/>
      <c r="GQ229" s="858"/>
      <c r="GR229" s="858"/>
      <c r="GS229" s="858"/>
      <c r="GT229" s="858"/>
      <c r="GU229" s="858"/>
      <c r="GV229" s="858"/>
      <c r="GW229" s="858"/>
      <c r="GX229" s="858"/>
      <c r="GY229" s="858"/>
      <c r="GZ229" s="858"/>
      <c r="HA229" s="858"/>
      <c r="HB229" s="858"/>
      <c r="HC229" s="858"/>
      <c r="HD229" s="858"/>
      <c r="HE229" s="858"/>
      <c r="HF229" s="858"/>
      <c r="HG229" s="858"/>
      <c r="HH229" s="858"/>
      <c r="HI229" s="858"/>
      <c r="HJ229" s="858"/>
      <c r="HK229" s="858"/>
      <c r="HL229" s="858"/>
      <c r="HM229" s="858"/>
      <c r="HN229" s="858"/>
      <c r="HO229" s="858"/>
      <c r="HP229" s="858"/>
      <c r="HQ229" s="858"/>
      <c r="HR229" s="858"/>
      <c r="HS229" s="858"/>
      <c r="HT229" s="858"/>
      <c r="HU229" s="858"/>
      <c r="HV229" s="858"/>
      <c r="HW229" s="858"/>
      <c r="HX229" s="858"/>
      <c r="HY229" s="858"/>
      <c r="HZ229" s="858"/>
      <c r="IA229" s="858"/>
      <c r="IB229" s="858"/>
      <c r="IC229" s="858"/>
      <c r="ID229" s="858"/>
      <c r="IE229" s="858"/>
      <c r="IF229" s="858"/>
      <c r="IG229" s="858"/>
      <c r="IH229" s="858"/>
      <c r="II229" s="858"/>
      <c r="IJ229" s="858"/>
      <c r="IK229" s="858"/>
      <c r="IL229" s="858"/>
      <c r="IM229" s="858"/>
      <c r="IN229" s="858"/>
    </row>
    <row r="230" spans="1:248">
      <c r="A230" s="769" t="s">
        <v>2523</v>
      </c>
      <c r="B230" s="561">
        <v>26396.3</v>
      </c>
      <c r="C230" s="561">
        <v>28.451167754531937</v>
      </c>
      <c r="D230" s="561">
        <v>27422.400000000001</v>
      </c>
      <c r="E230" s="860">
        <v>29.52129979527815</v>
      </c>
      <c r="F230" s="860">
        <v>-1026.1000000000022</v>
      </c>
      <c r="G230" s="860">
        <v>-1.1009278651376802</v>
      </c>
      <c r="H230" s="377"/>
      <c r="I230" s="858"/>
      <c r="J230" s="858"/>
      <c r="K230" s="858"/>
      <c r="L230" s="858"/>
      <c r="M230" s="858"/>
      <c r="N230" s="858"/>
      <c r="O230" s="858"/>
      <c r="P230" s="858"/>
      <c r="Q230" s="858"/>
      <c r="R230" s="858"/>
      <c r="S230" s="858"/>
      <c r="T230" s="858"/>
      <c r="U230" s="858"/>
      <c r="V230" s="858"/>
      <c r="W230" s="858"/>
      <c r="X230" s="858"/>
      <c r="Y230" s="858"/>
      <c r="Z230" s="858"/>
      <c r="AA230" s="858"/>
      <c r="AB230" s="858"/>
      <c r="AC230" s="858"/>
      <c r="AD230" s="858"/>
      <c r="AE230" s="858"/>
      <c r="AF230" s="858"/>
      <c r="AG230" s="858"/>
      <c r="AH230" s="858"/>
      <c r="AI230" s="858"/>
      <c r="AJ230" s="858"/>
      <c r="AK230" s="858"/>
      <c r="AL230" s="858"/>
      <c r="AM230" s="858"/>
      <c r="AN230" s="858"/>
      <c r="AO230" s="858"/>
      <c r="AP230" s="858"/>
      <c r="AQ230" s="858"/>
      <c r="AR230" s="858"/>
      <c r="AS230" s="858"/>
      <c r="AT230" s="858"/>
      <c r="AU230" s="858"/>
      <c r="AV230" s="858"/>
      <c r="AW230" s="858"/>
      <c r="AX230" s="858"/>
      <c r="AY230" s="858"/>
      <c r="AZ230" s="858"/>
      <c r="BA230" s="858"/>
      <c r="BB230" s="858"/>
      <c r="BC230" s="858"/>
      <c r="BD230" s="858"/>
      <c r="BE230" s="858"/>
      <c r="BF230" s="858"/>
      <c r="BG230" s="858"/>
      <c r="BH230" s="858"/>
      <c r="BI230" s="858"/>
      <c r="BJ230" s="858"/>
      <c r="BK230" s="858"/>
      <c r="BL230" s="858"/>
      <c r="BM230" s="858"/>
      <c r="BN230" s="858"/>
      <c r="BO230" s="858"/>
      <c r="BP230" s="858"/>
      <c r="BQ230" s="858"/>
      <c r="BR230" s="858"/>
      <c r="BS230" s="858"/>
      <c r="BT230" s="858"/>
      <c r="BU230" s="858"/>
      <c r="BV230" s="858"/>
      <c r="BW230" s="858"/>
      <c r="BX230" s="858"/>
      <c r="BY230" s="858"/>
      <c r="BZ230" s="858"/>
      <c r="CA230" s="858"/>
      <c r="CB230" s="858"/>
      <c r="CC230" s="858"/>
      <c r="CD230" s="858"/>
      <c r="CE230" s="858"/>
      <c r="CF230" s="858"/>
      <c r="CG230" s="858"/>
      <c r="CH230" s="858"/>
      <c r="CI230" s="858"/>
      <c r="CJ230" s="858"/>
      <c r="CK230" s="858"/>
      <c r="CL230" s="858"/>
      <c r="CM230" s="858"/>
      <c r="CN230" s="858"/>
      <c r="CO230" s="858"/>
      <c r="CP230" s="858"/>
      <c r="CQ230" s="858"/>
      <c r="CR230" s="858"/>
      <c r="CS230" s="858"/>
      <c r="CT230" s="858"/>
      <c r="CU230" s="858"/>
      <c r="CV230" s="858"/>
      <c r="CW230" s="858"/>
      <c r="CX230" s="858"/>
      <c r="CY230" s="858"/>
      <c r="CZ230" s="858"/>
      <c r="DA230" s="858"/>
      <c r="DB230" s="858"/>
      <c r="DC230" s="858"/>
      <c r="DD230" s="858"/>
      <c r="DE230" s="858"/>
      <c r="DF230" s="858"/>
      <c r="DG230" s="858"/>
      <c r="DH230" s="858"/>
      <c r="DI230" s="858"/>
      <c r="DJ230" s="858"/>
      <c r="DK230" s="858"/>
      <c r="DL230" s="858"/>
      <c r="DM230" s="858"/>
      <c r="DN230" s="858"/>
      <c r="DO230" s="858"/>
      <c r="DP230" s="858"/>
      <c r="DQ230" s="858"/>
      <c r="DR230" s="858"/>
      <c r="DS230" s="858"/>
      <c r="DT230" s="858"/>
      <c r="DU230" s="858"/>
      <c r="DV230" s="858"/>
      <c r="DW230" s="858"/>
      <c r="DX230" s="858"/>
      <c r="DY230" s="858"/>
      <c r="DZ230" s="858"/>
      <c r="EA230" s="858"/>
      <c r="EB230" s="858"/>
      <c r="EC230" s="858"/>
      <c r="ED230" s="858"/>
      <c r="EE230" s="858"/>
      <c r="EF230" s="858"/>
      <c r="EG230" s="858"/>
      <c r="EH230" s="858"/>
      <c r="EI230" s="858"/>
      <c r="EJ230" s="858"/>
      <c r="EK230" s="858"/>
      <c r="EL230" s="858"/>
      <c r="EM230" s="858"/>
      <c r="EN230" s="858"/>
      <c r="EO230" s="858"/>
      <c r="EP230" s="858"/>
      <c r="EQ230" s="858"/>
      <c r="ER230" s="858"/>
      <c r="ES230" s="858"/>
      <c r="ET230" s="858"/>
      <c r="EU230" s="858"/>
      <c r="EV230" s="858"/>
      <c r="EW230" s="858"/>
      <c r="EX230" s="858"/>
      <c r="EY230" s="858"/>
      <c r="EZ230" s="858"/>
      <c r="FA230" s="858"/>
      <c r="FB230" s="858"/>
      <c r="FC230" s="858"/>
      <c r="FD230" s="858"/>
      <c r="FE230" s="858"/>
      <c r="FF230" s="858"/>
      <c r="FG230" s="858"/>
      <c r="FH230" s="858"/>
      <c r="FI230" s="858"/>
      <c r="FJ230" s="858"/>
      <c r="FK230" s="858"/>
      <c r="FL230" s="858"/>
      <c r="FM230" s="858"/>
      <c r="FN230" s="858"/>
      <c r="FO230" s="858"/>
      <c r="FP230" s="858"/>
      <c r="FQ230" s="858"/>
      <c r="FR230" s="858"/>
      <c r="FS230" s="858"/>
      <c r="FT230" s="858"/>
      <c r="FU230" s="858"/>
      <c r="FV230" s="858"/>
      <c r="FW230" s="858"/>
      <c r="FX230" s="858"/>
      <c r="FY230" s="858"/>
      <c r="FZ230" s="858"/>
      <c r="GA230" s="858"/>
      <c r="GB230" s="858"/>
      <c r="GC230" s="858"/>
      <c r="GD230" s="858"/>
      <c r="GE230" s="858"/>
      <c r="GF230" s="858"/>
      <c r="GG230" s="858"/>
      <c r="GH230" s="858"/>
      <c r="GI230" s="858"/>
      <c r="GJ230" s="858"/>
      <c r="GK230" s="858"/>
      <c r="GL230" s="858"/>
      <c r="GM230" s="858"/>
      <c r="GN230" s="858"/>
      <c r="GO230" s="858"/>
      <c r="GP230" s="858"/>
      <c r="GQ230" s="858"/>
      <c r="GR230" s="858"/>
      <c r="GS230" s="858"/>
      <c r="GT230" s="858"/>
      <c r="GU230" s="858"/>
      <c r="GV230" s="858"/>
      <c r="GW230" s="858"/>
      <c r="GX230" s="858"/>
      <c r="GY230" s="858"/>
      <c r="GZ230" s="858"/>
      <c r="HA230" s="858"/>
      <c r="HB230" s="858"/>
      <c r="HC230" s="858"/>
      <c r="HD230" s="858"/>
      <c r="HE230" s="858"/>
      <c r="HF230" s="858"/>
      <c r="HG230" s="858"/>
      <c r="HH230" s="858"/>
      <c r="HI230" s="858"/>
      <c r="HJ230" s="858"/>
      <c r="HK230" s="858"/>
      <c r="HL230" s="858"/>
      <c r="HM230" s="858"/>
      <c r="HN230" s="858"/>
      <c r="HO230" s="858"/>
      <c r="HP230" s="858"/>
      <c r="HQ230" s="858"/>
      <c r="HR230" s="858"/>
      <c r="HS230" s="858"/>
      <c r="HT230" s="858"/>
      <c r="HU230" s="858"/>
      <c r="HV230" s="858"/>
      <c r="HW230" s="858"/>
      <c r="HX230" s="858"/>
      <c r="HY230" s="858"/>
      <c r="HZ230" s="858"/>
      <c r="IA230" s="858"/>
      <c r="IB230" s="858"/>
      <c r="IC230" s="858"/>
      <c r="ID230" s="858"/>
      <c r="IE230" s="858"/>
      <c r="IF230" s="858"/>
      <c r="IG230" s="858"/>
      <c r="IH230" s="858"/>
      <c r="II230" s="858"/>
      <c r="IJ230" s="858"/>
      <c r="IK230" s="858"/>
      <c r="IL230" s="858"/>
      <c r="IM230" s="858"/>
      <c r="IN230" s="858"/>
    </row>
    <row r="231" spans="1:248">
      <c r="A231" s="568" t="s">
        <v>18</v>
      </c>
      <c r="B231" s="566">
        <v>2320.6</v>
      </c>
      <c r="C231" s="566">
        <f t="shared" ref="C231:C240" si="33">+B231/H231*100</f>
        <v>37.089246899373478</v>
      </c>
      <c r="D231" s="569">
        <v>1231.9000000000001</v>
      </c>
      <c r="E231" s="859">
        <f t="shared" ref="E231:E240" si="34">D231/H231*100</f>
        <v>19.688978391510037</v>
      </c>
      <c r="F231" s="859">
        <v>1088.7</v>
      </c>
      <c r="G231" s="859">
        <f t="shared" ref="G231:G255" si="35">F231/H231*100</f>
        <v>17.400268507863444</v>
      </c>
      <c r="H231" s="377">
        <v>6256.8</v>
      </c>
      <c r="I231" s="858"/>
      <c r="J231" s="858"/>
      <c r="K231" s="858"/>
      <c r="L231" s="858"/>
      <c r="M231" s="858"/>
      <c r="N231" s="858"/>
      <c r="O231" s="858"/>
      <c r="P231" s="858"/>
      <c r="Q231" s="858"/>
      <c r="R231" s="858"/>
      <c r="S231" s="858"/>
      <c r="T231" s="858"/>
      <c r="U231" s="858"/>
      <c r="V231" s="858"/>
      <c r="W231" s="858"/>
      <c r="X231" s="858"/>
      <c r="Y231" s="858"/>
      <c r="Z231" s="858"/>
      <c r="AA231" s="858"/>
      <c r="AB231" s="858"/>
      <c r="AC231" s="858"/>
      <c r="AD231" s="858"/>
      <c r="AE231" s="858"/>
      <c r="AF231" s="858"/>
      <c r="AG231" s="858"/>
      <c r="AH231" s="858"/>
      <c r="AI231" s="858"/>
      <c r="AJ231" s="858"/>
      <c r="AK231" s="858"/>
      <c r="AL231" s="858"/>
      <c r="AM231" s="858"/>
      <c r="AN231" s="858"/>
      <c r="AO231" s="858"/>
      <c r="AP231" s="858"/>
      <c r="AQ231" s="858"/>
      <c r="AR231" s="858"/>
      <c r="AS231" s="858"/>
      <c r="AT231" s="858"/>
      <c r="AU231" s="858"/>
      <c r="AV231" s="858"/>
      <c r="AW231" s="858"/>
      <c r="AX231" s="858"/>
      <c r="AY231" s="858"/>
      <c r="AZ231" s="858"/>
      <c r="BA231" s="858"/>
      <c r="BB231" s="858"/>
      <c r="BC231" s="858"/>
      <c r="BD231" s="858"/>
      <c r="BE231" s="858"/>
      <c r="BF231" s="858"/>
      <c r="BG231" s="858"/>
      <c r="BH231" s="858"/>
      <c r="BI231" s="858"/>
      <c r="BJ231" s="858"/>
      <c r="BK231" s="858"/>
      <c r="BL231" s="858"/>
      <c r="BM231" s="858"/>
      <c r="BN231" s="858"/>
      <c r="BO231" s="858"/>
      <c r="BP231" s="858"/>
      <c r="BQ231" s="858"/>
      <c r="BR231" s="858"/>
      <c r="BS231" s="858"/>
      <c r="BT231" s="858"/>
      <c r="BU231" s="858"/>
      <c r="BV231" s="858"/>
      <c r="BW231" s="858"/>
      <c r="BX231" s="858"/>
      <c r="BY231" s="858"/>
      <c r="BZ231" s="858"/>
      <c r="CA231" s="858"/>
      <c r="CB231" s="858"/>
      <c r="CC231" s="858"/>
      <c r="CD231" s="858"/>
      <c r="CE231" s="858"/>
      <c r="CF231" s="858"/>
      <c r="CG231" s="858"/>
      <c r="CH231" s="858"/>
      <c r="CI231" s="858"/>
      <c r="CJ231" s="858"/>
      <c r="CK231" s="858"/>
      <c r="CL231" s="858"/>
      <c r="CM231" s="858"/>
      <c r="CN231" s="858"/>
      <c r="CO231" s="858"/>
      <c r="CP231" s="858"/>
      <c r="CQ231" s="858"/>
      <c r="CR231" s="858"/>
      <c r="CS231" s="858"/>
      <c r="CT231" s="858"/>
      <c r="CU231" s="858"/>
      <c r="CV231" s="858"/>
      <c r="CW231" s="858"/>
      <c r="CX231" s="858"/>
      <c r="CY231" s="858"/>
      <c r="CZ231" s="858"/>
      <c r="DA231" s="858"/>
      <c r="DB231" s="858"/>
      <c r="DC231" s="858"/>
      <c r="DD231" s="858"/>
      <c r="DE231" s="858"/>
      <c r="DF231" s="858"/>
      <c r="DG231" s="858"/>
      <c r="DH231" s="858"/>
      <c r="DI231" s="858"/>
      <c r="DJ231" s="858"/>
      <c r="DK231" s="858"/>
      <c r="DL231" s="858"/>
      <c r="DM231" s="858"/>
      <c r="DN231" s="858"/>
      <c r="DO231" s="858"/>
      <c r="DP231" s="858"/>
      <c r="DQ231" s="858"/>
      <c r="DR231" s="858"/>
      <c r="DS231" s="858"/>
      <c r="DT231" s="858"/>
      <c r="DU231" s="858"/>
      <c r="DV231" s="858"/>
      <c r="DW231" s="858"/>
      <c r="DX231" s="858"/>
      <c r="DY231" s="858"/>
      <c r="DZ231" s="858"/>
      <c r="EA231" s="858"/>
      <c r="EB231" s="858"/>
      <c r="EC231" s="858"/>
      <c r="ED231" s="858"/>
      <c r="EE231" s="858"/>
      <c r="EF231" s="858"/>
      <c r="EG231" s="858"/>
      <c r="EH231" s="858"/>
      <c r="EI231" s="858"/>
      <c r="EJ231" s="858"/>
      <c r="EK231" s="858"/>
      <c r="EL231" s="858"/>
      <c r="EM231" s="858"/>
      <c r="EN231" s="858"/>
      <c r="EO231" s="858"/>
      <c r="EP231" s="858"/>
      <c r="EQ231" s="858"/>
      <c r="ER231" s="858"/>
      <c r="ES231" s="858"/>
      <c r="ET231" s="858"/>
      <c r="EU231" s="858"/>
      <c r="EV231" s="858"/>
      <c r="EW231" s="858"/>
      <c r="EX231" s="858"/>
      <c r="EY231" s="858"/>
      <c r="EZ231" s="858"/>
      <c r="FA231" s="858"/>
      <c r="FB231" s="858"/>
      <c r="FC231" s="858"/>
      <c r="FD231" s="858"/>
      <c r="FE231" s="858"/>
      <c r="FF231" s="858"/>
      <c r="FG231" s="858"/>
      <c r="FH231" s="858"/>
      <c r="FI231" s="858"/>
      <c r="FJ231" s="858"/>
      <c r="FK231" s="858"/>
      <c r="FL231" s="858"/>
      <c r="FM231" s="858"/>
      <c r="FN231" s="858"/>
      <c r="FO231" s="858"/>
      <c r="FP231" s="858"/>
      <c r="FQ231" s="858"/>
      <c r="FR231" s="858"/>
      <c r="FS231" s="858"/>
      <c r="FT231" s="858"/>
      <c r="FU231" s="858"/>
      <c r="FV231" s="858"/>
      <c r="FW231" s="858"/>
      <c r="FX231" s="858"/>
      <c r="FY231" s="858"/>
      <c r="FZ231" s="858"/>
      <c r="GA231" s="858"/>
      <c r="GB231" s="858"/>
      <c r="GC231" s="858"/>
      <c r="GD231" s="858"/>
      <c r="GE231" s="858"/>
      <c r="GF231" s="858"/>
      <c r="GG231" s="858"/>
      <c r="GH231" s="858"/>
      <c r="GI231" s="858"/>
      <c r="GJ231" s="858"/>
      <c r="GK231" s="858"/>
      <c r="GL231" s="858"/>
      <c r="GM231" s="858"/>
      <c r="GN231" s="858"/>
      <c r="GO231" s="858"/>
      <c r="GP231" s="858"/>
      <c r="GQ231" s="858"/>
      <c r="GR231" s="858"/>
      <c r="GS231" s="858"/>
      <c r="GT231" s="858"/>
      <c r="GU231" s="858"/>
      <c r="GV231" s="858"/>
      <c r="GW231" s="858"/>
      <c r="GX231" s="858"/>
      <c r="GY231" s="858"/>
      <c r="GZ231" s="858"/>
      <c r="HA231" s="858"/>
      <c r="HB231" s="858"/>
      <c r="HC231" s="858"/>
      <c r="HD231" s="858"/>
      <c r="HE231" s="858"/>
      <c r="HF231" s="858"/>
      <c r="HG231" s="858"/>
      <c r="HH231" s="858"/>
      <c r="HI231" s="858"/>
      <c r="HJ231" s="858"/>
      <c r="HK231" s="858"/>
      <c r="HL231" s="858"/>
      <c r="HM231" s="858"/>
      <c r="HN231" s="858"/>
      <c r="HO231" s="858"/>
      <c r="HP231" s="858"/>
      <c r="HQ231" s="858"/>
      <c r="HR231" s="858"/>
      <c r="HS231" s="858"/>
      <c r="HT231" s="858"/>
      <c r="HU231" s="858"/>
      <c r="HV231" s="858"/>
      <c r="HW231" s="858"/>
      <c r="HX231" s="858"/>
      <c r="HY231" s="858"/>
      <c r="HZ231" s="858"/>
      <c r="IA231" s="858"/>
      <c r="IB231" s="858"/>
      <c r="IC231" s="858"/>
      <c r="ID231" s="858"/>
      <c r="IE231" s="858"/>
      <c r="IF231" s="858"/>
      <c r="IG231" s="858"/>
      <c r="IH231" s="858"/>
      <c r="II231" s="858"/>
      <c r="IJ231" s="858"/>
      <c r="IK231" s="858"/>
      <c r="IL231" s="858"/>
      <c r="IM231" s="858"/>
      <c r="IN231" s="858"/>
    </row>
    <row r="232" spans="1:248">
      <c r="A232" s="568" t="s">
        <v>19</v>
      </c>
      <c r="B232" s="566">
        <v>4029.4</v>
      </c>
      <c r="C232" s="566">
        <f t="shared" si="33"/>
        <v>32.44361780075203</v>
      </c>
      <c r="D232" s="569">
        <v>3469.8</v>
      </c>
      <c r="E232" s="859">
        <f t="shared" si="34"/>
        <v>27.937872895480563</v>
      </c>
      <c r="F232" s="859">
        <v>559.59999999999991</v>
      </c>
      <c r="G232" s="859">
        <f t="shared" si="35"/>
        <v>4.5057449052714631</v>
      </c>
      <c r="H232" s="377">
        <v>12419.7</v>
      </c>
      <c r="I232" s="858"/>
      <c r="J232" s="858"/>
      <c r="K232" s="858"/>
      <c r="L232" s="858"/>
      <c r="M232" s="858"/>
      <c r="N232" s="858"/>
      <c r="O232" s="858"/>
      <c r="P232" s="858"/>
      <c r="Q232" s="858"/>
      <c r="R232" s="858"/>
      <c r="S232" s="858"/>
      <c r="T232" s="858"/>
      <c r="U232" s="858"/>
      <c r="V232" s="858"/>
      <c r="W232" s="858"/>
      <c r="X232" s="858"/>
      <c r="Y232" s="858"/>
      <c r="Z232" s="858"/>
      <c r="AA232" s="858"/>
      <c r="AB232" s="858"/>
      <c r="AC232" s="858"/>
      <c r="AD232" s="858"/>
      <c r="AE232" s="858"/>
      <c r="AF232" s="858"/>
      <c r="AG232" s="858"/>
      <c r="AH232" s="858"/>
      <c r="AI232" s="858"/>
      <c r="AJ232" s="858"/>
      <c r="AK232" s="858"/>
      <c r="AL232" s="858"/>
      <c r="AM232" s="858"/>
      <c r="AN232" s="858"/>
      <c r="AO232" s="858"/>
      <c r="AP232" s="858"/>
      <c r="AQ232" s="858"/>
      <c r="AR232" s="858"/>
      <c r="AS232" s="858"/>
      <c r="AT232" s="858"/>
      <c r="AU232" s="858"/>
      <c r="AV232" s="858"/>
      <c r="AW232" s="858"/>
      <c r="AX232" s="858"/>
      <c r="AY232" s="858"/>
      <c r="AZ232" s="858"/>
      <c r="BA232" s="858"/>
      <c r="BB232" s="858"/>
      <c r="BC232" s="858"/>
      <c r="BD232" s="858"/>
      <c r="BE232" s="858"/>
      <c r="BF232" s="858"/>
      <c r="BG232" s="858"/>
      <c r="BH232" s="858"/>
      <c r="BI232" s="858"/>
      <c r="BJ232" s="858"/>
      <c r="BK232" s="858"/>
      <c r="BL232" s="858"/>
      <c r="BM232" s="858"/>
      <c r="BN232" s="858"/>
      <c r="BO232" s="858"/>
      <c r="BP232" s="858"/>
      <c r="BQ232" s="858"/>
      <c r="BR232" s="858"/>
      <c r="BS232" s="858"/>
      <c r="BT232" s="858"/>
      <c r="BU232" s="858"/>
      <c r="BV232" s="858"/>
      <c r="BW232" s="858"/>
      <c r="BX232" s="858"/>
      <c r="BY232" s="858"/>
      <c r="BZ232" s="858"/>
      <c r="CA232" s="858"/>
      <c r="CB232" s="858"/>
      <c r="CC232" s="858"/>
      <c r="CD232" s="858"/>
      <c r="CE232" s="858"/>
      <c r="CF232" s="858"/>
      <c r="CG232" s="858"/>
      <c r="CH232" s="858"/>
      <c r="CI232" s="858"/>
      <c r="CJ232" s="858"/>
      <c r="CK232" s="858"/>
      <c r="CL232" s="858"/>
      <c r="CM232" s="858"/>
      <c r="CN232" s="858"/>
      <c r="CO232" s="858"/>
      <c r="CP232" s="858"/>
      <c r="CQ232" s="858"/>
      <c r="CR232" s="858"/>
      <c r="CS232" s="858"/>
      <c r="CT232" s="858"/>
      <c r="CU232" s="858"/>
      <c r="CV232" s="858"/>
      <c r="CW232" s="858"/>
      <c r="CX232" s="858"/>
      <c r="CY232" s="858"/>
      <c r="CZ232" s="858"/>
      <c r="DA232" s="858"/>
      <c r="DB232" s="858"/>
      <c r="DC232" s="858"/>
      <c r="DD232" s="858"/>
      <c r="DE232" s="858"/>
      <c r="DF232" s="858"/>
      <c r="DG232" s="858"/>
      <c r="DH232" s="858"/>
      <c r="DI232" s="858"/>
      <c r="DJ232" s="858"/>
      <c r="DK232" s="858"/>
      <c r="DL232" s="858"/>
      <c r="DM232" s="858"/>
      <c r="DN232" s="858"/>
      <c r="DO232" s="858"/>
      <c r="DP232" s="858"/>
      <c r="DQ232" s="858"/>
      <c r="DR232" s="858"/>
      <c r="DS232" s="858"/>
      <c r="DT232" s="858"/>
      <c r="DU232" s="858"/>
      <c r="DV232" s="858"/>
      <c r="DW232" s="858"/>
      <c r="DX232" s="858"/>
      <c r="DY232" s="858"/>
      <c r="DZ232" s="858"/>
      <c r="EA232" s="858"/>
      <c r="EB232" s="858"/>
      <c r="EC232" s="858"/>
      <c r="ED232" s="858"/>
      <c r="EE232" s="858"/>
      <c r="EF232" s="858"/>
      <c r="EG232" s="858"/>
      <c r="EH232" s="858"/>
      <c r="EI232" s="858"/>
      <c r="EJ232" s="858"/>
      <c r="EK232" s="858"/>
      <c r="EL232" s="858"/>
      <c r="EM232" s="858"/>
      <c r="EN232" s="858"/>
      <c r="EO232" s="858"/>
      <c r="EP232" s="858"/>
      <c r="EQ232" s="858"/>
      <c r="ER232" s="858"/>
      <c r="ES232" s="858"/>
      <c r="ET232" s="858"/>
      <c r="EU232" s="858"/>
      <c r="EV232" s="858"/>
      <c r="EW232" s="858"/>
      <c r="EX232" s="858"/>
      <c r="EY232" s="858"/>
      <c r="EZ232" s="858"/>
      <c r="FA232" s="858"/>
      <c r="FB232" s="858"/>
      <c r="FC232" s="858"/>
      <c r="FD232" s="858"/>
      <c r="FE232" s="858"/>
      <c r="FF232" s="858"/>
      <c r="FG232" s="858"/>
      <c r="FH232" s="858"/>
      <c r="FI232" s="858"/>
      <c r="FJ232" s="858"/>
      <c r="FK232" s="858"/>
      <c r="FL232" s="858"/>
      <c r="FM232" s="858"/>
      <c r="FN232" s="858"/>
      <c r="FO232" s="858"/>
      <c r="FP232" s="858"/>
      <c r="FQ232" s="858"/>
      <c r="FR232" s="858"/>
      <c r="FS232" s="858"/>
      <c r="FT232" s="858"/>
      <c r="FU232" s="858"/>
      <c r="FV232" s="858"/>
      <c r="FW232" s="858"/>
      <c r="FX232" s="858"/>
      <c r="FY232" s="858"/>
      <c r="FZ232" s="858"/>
      <c r="GA232" s="858"/>
      <c r="GB232" s="858"/>
      <c r="GC232" s="858"/>
      <c r="GD232" s="858"/>
      <c r="GE232" s="858"/>
      <c r="GF232" s="858"/>
      <c r="GG232" s="858"/>
      <c r="GH232" s="858"/>
      <c r="GI232" s="858"/>
      <c r="GJ232" s="858"/>
      <c r="GK232" s="858"/>
      <c r="GL232" s="858"/>
      <c r="GM232" s="858"/>
      <c r="GN232" s="858"/>
      <c r="GO232" s="858"/>
      <c r="GP232" s="858"/>
      <c r="GQ232" s="858"/>
      <c r="GR232" s="858"/>
      <c r="GS232" s="858"/>
      <c r="GT232" s="858"/>
      <c r="GU232" s="858"/>
      <c r="GV232" s="858"/>
      <c r="GW232" s="858"/>
      <c r="GX232" s="858"/>
      <c r="GY232" s="858"/>
      <c r="GZ232" s="858"/>
      <c r="HA232" s="858"/>
      <c r="HB232" s="858"/>
      <c r="HC232" s="858"/>
      <c r="HD232" s="858"/>
      <c r="HE232" s="858"/>
      <c r="HF232" s="858"/>
      <c r="HG232" s="858"/>
      <c r="HH232" s="858"/>
      <c r="HI232" s="858"/>
      <c r="HJ232" s="858"/>
      <c r="HK232" s="858"/>
      <c r="HL232" s="858"/>
      <c r="HM232" s="858"/>
      <c r="HN232" s="858"/>
      <c r="HO232" s="858"/>
      <c r="HP232" s="858"/>
      <c r="HQ232" s="858"/>
      <c r="HR232" s="858"/>
      <c r="HS232" s="858"/>
      <c r="HT232" s="858"/>
      <c r="HU232" s="858"/>
      <c r="HV232" s="858"/>
      <c r="HW232" s="858"/>
      <c r="HX232" s="858"/>
      <c r="HY232" s="858"/>
      <c r="HZ232" s="858"/>
      <c r="IA232" s="858"/>
      <c r="IB232" s="858"/>
      <c r="IC232" s="858"/>
      <c r="ID232" s="858"/>
      <c r="IE232" s="858"/>
      <c r="IF232" s="858"/>
      <c r="IG232" s="858"/>
      <c r="IH232" s="858"/>
      <c r="II232" s="858"/>
      <c r="IJ232" s="858"/>
      <c r="IK232" s="858"/>
      <c r="IL232" s="858"/>
      <c r="IM232" s="858"/>
      <c r="IN232" s="858"/>
    </row>
    <row r="233" spans="1:248">
      <c r="A233" s="568" t="s">
        <v>20</v>
      </c>
      <c r="B233" s="566">
        <v>5736.4</v>
      </c>
      <c r="C233" s="566">
        <f t="shared" si="33"/>
        <v>29.90527528555565</v>
      </c>
      <c r="D233" s="569">
        <v>5523.7</v>
      </c>
      <c r="E233" s="859">
        <f t="shared" si="34"/>
        <v>28.796417456039286</v>
      </c>
      <c r="F233" s="859">
        <v>212.69999999999982</v>
      </c>
      <c r="G233" s="859">
        <f t="shared" si="35"/>
        <v>1.1088578295163658</v>
      </c>
      <c r="H233" s="377">
        <v>19181.900000000001</v>
      </c>
      <c r="I233" s="858"/>
      <c r="J233" s="858"/>
      <c r="K233" s="858"/>
      <c r="L233" s="858"/>
      <c r="M233" s="858"/>
      <c r="N233" s="858"/>
      <c r="O233" s="858"/>
      <c r="P233" s="858"/>
      <c r="Q233" s="858"/>
      <c r="R233" s="858"/>
      <c r="S233" s="858"/>
      <c r="T233" s="858"/>
      <c r="U233" s="858"/>
      <c r="V233" s="858"/>
      <c r="W233" s="858"/>
      <c r="X233" s="858"/>
      <c r="Y233" s="858"/>
      <c r="Z233" s="858"/>
      <c r="AA233" s="858"/>
      <c r="AB233" s="858"/>
      <c r="AC233" s="858"/>
      <c r="AD233" s="858"/>
      <c r="AE233" s="858"/>
      <c r="AF233" s="858"/>
      <c r="AG233" s="858"/>
      <c r="AH233" s="858"/>
      <c r="AI233" s="858"/>
      <c r="AJ233" s="858"/>
      <c r="AK233" s="858"/>
      <c r="AL233" s="858"/>
      <c r="AM233" s="858"/>
      <c r="AN233" s="858"/>
      <c r="AO233" s="858"/>
      <c r="AP233" s="858"/>
      <c r="AQ233" s="858"/>
      <c r="AR233" s="858"/>
      <c r="AS233" s="858"/>
      <c r="AT233" s="858"/>
      <c r="AU233" s="858"/>
      <c r="AV233" s="858"/>
      <c r="AW233" s="858"/>
      <c r="AX233" s="858"/>
      <c r="AY233" s="858"/>
      <c r="AZ233" s="858"/>
      <c r="BA233" s="858"/>
      <c r="BB233" s="858"/>
      <c r="BC233" s="858"/>
      <c r="BD233" s="858"/>
      <c r="BE233" s="858"/>
      <c r="BF233" s="858"/>
      <c r="BG233" s="858"/>
      <c r="BH233" s="858"/>
      <c r="BI233" s="858"/>
      <c r="BJ233" s="858"/>
      <c r="BK233" s="858"/>
      <c r="BL233" s="858"/>
      <c r="BM233" s="858"/>
      <c r="BN233" s="858"/>
      <c r="BO233" s="858"/>
      <c r="BP233" s="858"/>
      <c r="BQ233" s="858"/>
      <c r="BR233" s="858"/>
      <c r="BS233" s="858"/>
      <c r="BT233" s="858"/>
      <c r="BU233" s="858"/>
      <c r="BV233" s="858"/>
      <c r="BW233" s="858"/>
      <c r="BX233" s="858"/>
      <c r="BY233" s="858"/>
      <c r="BZ233" s="858"/>
      <c r="CA233" s="858"/>
      <c r="CB233" s="858"/>
      <c r="CC233" s="858"/>
      <c r="CD233" s="858"/>
      <c r="CE233" s="858"/>
      <c r="CF233" s="858"/>
      <c r="CG233" s="858"/>
      <c r="CH233" s="858"/>
      <c r="CI233" s="858"/>
      <c r="CJ233" s="858"/>
      <c r="CK233" s="858"/>
      <c r="CL233" s="858"/>
      <c r="CM233" s="858"/>
      <c r="CN233" s="858"/>
      <c r="CO233" s="858"/>
      <c r="CP233" s="858"/>
      <c r="CQ233" s="858"/>
      <c r="CR233" s="858"/>
      <c r="CS233" s="858"/>
      <c r="CT233" s="858"/>
      <c r="CU233" s="858"/>
      <c r="CV233" s="858"/>
      <c r="CW233" s="858"/>
      <c r="CX233" s="858"/>
      <c r="CY233" s="858"/>
      <c r="CZ233" s="858"/>
      <c r="DA233" s="858"/>
      <c r="DB233" s="858"/>
      <c r="DC233" s="858"/>
      <c r="DD233" s="858"/>
      <c r="DE233" s="858"/>
      <c r="DF233" s="858"/>
      <c r="DG233" s="858"/>
      <c r="DH233" s="858"/>
      <c r="DI233" s="858"/>
      <c r="DJ233" s="858"/>
      <c r="DK233" s="858"/>
      <c r="DL233" s="858"/>
      <c r="DM233" s="858"/>
      <c r="DN233" s="858"/>
      <c r="DO233" s="858"/>
      <c r="DP233" s="858"/>
      <c r="DQ233" s="858"/>
      <c r="DR233" s="858"/>
      <c r="DS233" s="858"/>
      <c r="DT233" s="858"/>
      <c r="DU233" s="858"/>
      <c r="DV233" s="858"/>
      <c r="DW233" s="858"/>
      <c r="DX233" s="858"/>
      <c r="DY233" s="858"/>
      <c r="DZ233" s="858"/>
      <c r="EA233" s="858"/>
      <c r="EB233" s="858"/>
      <c r="EC233" s="858"/>
      <c r="ED233" s="858"/>
      <c r="EE233" s="858"/>
      <c r="EF233" s="858"/>
      <c r="EG233" s="858"/>
      <c r="EH233" s="858"/>
      <c r="EI233" s="858"/>
      <c r="EJ233" s="858"/>
      <c r="EK233" s="858"/>
      <c r="EL233" s="858"/>
      <c r="EM233" s="858"/>
      <c r="EN233" s="858"/>
      <c r="EO233" s="858"/>
      <c r="EP233" s="858"/>
      <c r="EQ233" s="858"/>
      <c r="ER233" s="858"/>
      <c r="ES233" s="858"/>
      <c r="ET233" s="858"/>
      <c r="EU233" s="858"/>
      <c r="EV233" s="858"/>
      <c r="EW233" s="858"/>
      <c r="EX233" s="858"/>
      <c r="EY233" s="858"/>
      <c r="EZ233" s="858"/>
      <c r="FA233" s="858"/>
      <c r="FB233" s="858"/>
      <c r="FC233" s="858"/>
      <c r="FD233" s="858"/>
      <c r="FE233" s="858"/>
      <c r="FF233" s="858"/>
      <c r="FG233" s="858"/>
      <c r="FH233" s="858"/>
      <c r="FI233" s="858"/>
      <c r="FJ233" s="858"/>
      <c r="FK233" s="858"/>
      <c r="FL233" s="858"/>
      <c r="FM233" s="858"/>
      <c r="FN233" s="858"/>
      <c r="FO233" s="858"/>
      <c r="FP233" s="858"/>
      <c r="FQ233" s="858"/>
      <c r="FR233" s="858"/>
      <c r="FS233" s="858"/>
      <c r="FT233" s="858"/>
      <c r="FU233" s="858"/>
      <c r="FV233" s="858"/>
      <c r="FW233" s="858"/>
      <c r="FX233" s="858"/>
      <c r="FY233" s="858"/>
      <c r="FZ233" s="858"/>
      <c r="GA233" s="858"/>
      <c r="GB233" s="858"/>
      <c r="GC233" s="858"/>
      <c r="GD233" s="858"/>
      <c r="GE233" s="858"/>
      <c r="GF233" s="858"/>
      <c r="GG233" s="858"/>
      <c r="GH233" s="858"/>
      <c r="GI233" s="858"/>
      <c r="GJ233" s="858"/>
      <c r="GK233" s="858"/>
      <c r="GL233" s="858"/>
      <c r="GM233" s="858"/>
      <c r="GN233" s="858"/>
      <c r="GO233" s="858"/>
      <c r="GP233" s="858"/>
      <c r="GQ233" s="858"/>
      <c r="GR233" s="858"/>
      <c r="GS233" s="858"/>
      <c r="GT233" s="858"/>
      <c r="GU233" s="858"/>
      <c r="GV233" s="858"/>
      <c r="GW233" s="858"/>
      <c r="GX233" s="858"/>
      <c r="GY233" s="858"/>
      <c r="GZ233" s="858"/>
      <c r="HA233" s="858"/>
      <c r="HB233" s="858"/>
      <c r="HC233" s="858"/>
      <c r="HD233" s="858"/>
      <c r="HE233" s="858"/>
      <c r="HF233" s="858"/>
      <c r="HG233" s="858"/>
      <c r="HH233" s="858"/>
      <c r="HI233" s="858"/>
      <c r="HJ233" s="858"/>
      <c r="HK233" s="858"/>
      <c r="HL233" s="858"/>
      <c r="HM233" s="858"/>
      <c r="HN233" s="858"/>
      <c r="HO233" s="858"/>
      <c r="HP233" s="858"/>
      <c r="HQ233" s="858"/>
      <c r="HR233" s="858"/>
      <c r="HS233" s="858"/>
      <c r="HT233" s="858"/>
      <c r="HU233" s="858"/>
      <c r="HV233" s="858"/>
      <c r="HW233" s="858"/>
      <c r="HX233" s="858"/>
      <c r="HY233" s="858"/>
      <c r="HZ233" s="858"/>
      <c r="IA233" s="858"/>
      <c r="IB233" s="858"/>
      <c r="IC233" s="858"/>
      <c r="ID233" s="858"/>
      <c r="IE233" s="858"/>
      <c r="IF233" s="858"/>
      <c r="IG233" s="858"/>
      <c r="IH233" s="858"/>
      <c r="II233" s="858"/>
      <c r="IJ233" s="858"/>
      <c r="IK233" s="858"/>
      <c r="IL233" s="858"/>
      <c r="IM233" s="858"/>
      <c r="IN233" s="858"/>
    </row>
    <row r="234" spans="1:248">
      <c r="A234" s="568" t="s">
        <v>21</v>
      </c>
      <c r="B234" s="566">
        <v>8234.2999999999993</v>
      </c>
      <c r="C234" s="566">
        <f t="shared" si="33"/>
        <v>32.78011767609614</v>
      </c>
      <c r="D234" s="569">
        <v>7527.7</v>
      </c>
      <c r="E234" s="859">
        <f t="shared" si="34"/>
        <v>29.967197191060439</v>
      </c>
      <c r="F234" s="859">
        <v>706.6</v>
      </c>
      <c r="G234" s="859">
        <f t="shared" si="35"/>
        <v>2.812920485035709</v>
      </c>
      <c r="H234" s="377">
        <v>25119.8</v>
      </c>
      <c r="I234" s="858"/>
      <c r="J234" s="858"/>
      <c r="K234" s="858"/>
      <c r="L234" s="858"/>
      <c r="M234" s="858"/>
      <c r="N234" s="858"/>
      <c r="O234" s="858"/>
      <c r="P234" s="858"/>
      <c r="Q234" s="858"/>
      <c r="R234" s="858"/>
      <c r="S234" s="858"/>
      <c r="T234" s="858"/>
      <c r="U234" s="858"/>
      <c r="V234" s="858"/>
      <c r="W234" s="858"/>
      <c r="X234" s="858"/>
      <c r="Y234" s="858"/>
      <c r="Z234" s="858"/>
      <c r="AA234" s="858"/>
      <c r="AB234" s="858"/>
      <c r="AC234" s="858"/>
      <c r="AD234" s="858"/>
      <c r="AE234" s="858"/>
      <c r="AF234" s="858"/>
      <c r="AG234" s="858"/>
      <c r="AH234" s="858"/>
      <c r="AI234" s="858"/>
      <c r="AJ234" s="858"/>
      <c r="AK234" s="858"/>
      <c r="AL234" s="858"/>
      <c r="AM234" s="858"/>
      <c r="AN234" s="858"/>
      <c r="AO234" s="858"/>
      <c r="AP234" s="858"/>
      <c r="AQ234" s="858"/>
      <c r="AR234" s="858"/>
      <c r="AS234" s="858"/>
      <c r="AT234" s="858"/>
      <c r="AU234" s="858"/>
      <c r="AV234" s="858"/>
      <c r="AW234" s="858"/>
      <c r="AX234" s="858"/>
      <c r="AY234" s="858"/>
      <c r="AZ234" s="858"/>
      <c r="BA234" s="858"/>
      <c r="BB234" s="858"/>
      <c r="BC234" s="858"/>
      <c r="BD234" s="858"/>
      <c r="BE234" s="858"/>
      <c r="BF234" s="858"/>
      <c r="BG234" s="858"/>
      <c r="BH234" s="858"/>
      <c r="BI234" s="858"/>
      <c r="BJ234" s="858"/>
      <c r="BK234" s="858"/>
      <c r="BL234" s="858"/>
      <c r="BM234" s="858"/>
      <c r="BN234" s="858"/>
      <c r="BO234" s="858"/>
      <c r="BP234" s="858"/>
      <c r="BQ234" s="858"/>
      <c r="BR234" s="858"/>
      <c r="BS234" s="858"/>
      <c r="BT234" s="858"/>
      <c r="BU234" s="858"/>
      <c r="BV234" s="858"/>
      <c r="BW234" s="858"/>
      <c r="BX234" s="858"/>
      <c r="BY234" s="858"/>
      <c r="BZ234" s="858"/>
      <c r="CA234" s="858"/>
      <c r="CB234" s="858"/>
      <c r="CC234" s="858"/>
      <c r="CD234" s="858"/>
      <c r="CE234" s="858"/>
      <c r="CF234" s="858"/>
      <c r="CG234" s="858"/>
      <c r="CH234" s="858"/>
      <c r="CI234" s="858"/>
      <c r="CJ234" s="858"/>
      <c r="CK234" s="858"/>
      <c r="CL234" s="858"/>
      <c r="CM234" s="858"/>
      <c r="CN234" s="858"/>
      <c r="CO234" s="858"/>
      <c r="CP234" s="858"/>
      <c r="CQ234" s="858"/>
      <c r="CR234" s="858"/>
      <c r="CS234" s="858"/>
      <c r="CT234" s="858"/>
      <c r="CU234" s="858"/>
      <c r="CV234" s="858"/>
      <c r="CW234" s="858"/>
      <c r="CX234" s="858"/>
      <c r="CY234" s="858"/>
      <c r="CZ234" s="858"/>
      <c r="DA234" s="858"/>
      <c r="DB234" s="858"/>
      <c r="DC234" s="858"/>
      <c r="DD234" s="858"/>
      <c r="DE234" s="858"/>
      <c r="DF234" s="858"/>
      <c r="DG234" s="858"/>
      <c r="DH234" s="858"/>
      <c r="DI234" s="858"/>
      <c r="DJ234" s="858"/>
      <c r="DK234" s="858"/>
      <c r="DL234" s="858"/>
      <c r="DM234" s="858"/>
      <c r="DN234" s="858"/>
      <c r="DO234" s="858"/>
      <c r="DP234" s="858"/>
      <c r="DQ234" s="858"/>
      <c r="DR234" s="858"/>
      <c r="DS234" s="858"/>
      <c r="DT234" s="858"/>
      <c r="DU234" s="858"/>
      <c r="DV234" s="858"/>
      <c r="DW234" s="858"/>
      <c r="DX234" s="858"/>
      <c r="DY234" s="858"/>
      <c r="DZ234" s="858"/>
      <c r="EA234" s="858"/>
      <c r="EB234" s="858"/>
      <c r="EC234" s="858"/>
      <c r="ED234" s="858"/>
      <c r="EE234" s="858"/>
      <c r="EF234" s="858"/>
      <c r="EG234" s="858"/>
      <c r="EH234" s="858"/>
      <c r="EI234" s="858"/>
      <c r="EJ234" s="858"/>
      <c r="EK234" s="858"/>
      <c r="EL234" s="858"/>
      <c r="EM234" s="858"/>
      <c r="EN234" s="858"/>
      <c r="EO234" s="858"/>
      <c r="EP234" s="858"/>
      <c r="EQ234" s="858"/>
      <c r="ER234" s="858"/>
      <c r="ES234" s="858"/>
      <c r="ET234" s="858"/>
      <c r="EU234" s="858"/>
      <c r="EV234" s="858"/>
      <c r="EW234" s="858"/>
      <c r="EX234" s="858"/>
      <c r="EY234" s="858"/>
      <c r="EZ234" s="858"/>
      <c r="FA234" s="858"/>
      <c r="FB234" s="858"/>
      <c r="FC234" s="858"/>
      <c r="FD234" s="858"/>
      <c r="FE234" s="858"/>
      <c r="FF234" s="858"/>
      <c r="FG234" s="858"/>
      <c r="FH234" s="858"/>
      <c r="FI234" s="858"/>
      <c r="FJ234" s="858"/>
      <c r="FK234" s="858"/>
      <c r="FL234" s="858"/>
      <c r="FM234" s="858"/>
      <c r="FN234" s="858"/>
      <c r="FO234" s="858"/>
      <c r="FP234" s="858"/>
      <c r="FQ234" s="858"/>
      <c r="FR234" s="858"/>
      <c r="FS234" s="858"/>
      <c r="FT234" s="858"/>
      <c r="FU234" s="858"/>
      <c r="FV234" s="858"/>
      <c r="FW234" s="858"/>
      <c r="FX234" s="858"/>
      <c r="FY234" s="858"/>
      <c r="FZ234" s="858"/>
      <c r="GA234" s="858"/>
      <c r="GB234" s="858"/>
      <c r="GC234" s="858"/>
      <c r="GD234" s="858"/>
      <c r="GE234" s="858"/>
      <c r="GF234" s="858"/>
      <c r="GG234" s="858"/>
      <c r="GH234" s="858"/>
      <c r="GI234" s="858"/>
      <c r="GJ234" s="858"/>
      <c r="GK234" s="858"/>
      <c r="GL234" s="858"/>
      <c r="GM234" s="858"/>
      <c r="GN234" s="858"/>
      <c r="GO234" s="858"/>
      <c r="GP234" s="858"/>
      <c r="GQ234" s="858"/>
      <c r="GR234" s="858"/>
      <c r="GS234" s="858"/>
      <c r="GT234" s="858"/>
      <c r="GU234" s="858"/>
      <c r="GV234" s="858"/>
      <c r="GW234" s="858"/>
      <c r="GX234" s="858"/>
      <c r="GY234" s="858"/>
      <c r="GZ234" s="858"/>
      <c r="HA234" s="858"/>
      <c r="HB234" s="858"/>
      <c r="HC234" s="858"/>
      <c r="HD234" s="858"/>
      <c r="HE234" s="858"/>
      <c r="HF234" s="858"/>
      <c r="HG234" s="858"/>
      <c r="HH234" s="858"/>
      <c r="HI234" s="858"/>
      <c r="HJ234" s="858"/>
      <c r="HK234" s="858"/>
      <c r="HL234" s="858"/>
      <c r="HM234" s="858"/>
      <c r="HN234" s="858"/>
      <c r="HO234" s="858"/>
      <c r="HP234" s="858"/>
      <c r="HQ234" s="858"/>
      <c r="HR234" s="858"/>
      <c r="HS234" s="858"/>
      <c r="HT234" s="858"/>
      <c r="HU234" s="858"/>
      <c r="HV234" s="858"/>
      <c r="HW234" s="858"/>
      <c r="HX234" s="858"/>
      <c r="HY234" s="858"/>
      <c r="HZ234" s="858"/>
      <c r="IA234" s="858"/>
      <c r="IB234" s="858"/>
      <c r="IC234" s="858"/>
      <c r="ID234" s="858"/>
      <c r="IE234" s="858"/>
      <c r="IF234" s="858"/>
      <c r="IG234" s="858"/>
      <c r="IH234" s="858"/>
      <c r="II234" s="858"/>
      <c r="IJ234" s="858"/>
      <c r="IK234" s="858"/>
      <c r="IL234" s="858"/>
      <c r="IM234" s="858"/>
      <c r="IN234" s="858"/>
    </row>
    <row r="235" spans="1:248">
      <c r="A235" s="568" t="s">
        <v>22</v>
      </c>
      <c r="B235" s="566">
        <v>9735.2000000000007</v>
      </c>
      <c r="C235" s="566">
        <f t="shared" si="33"/>
        <v>30.302992573040079</v>
      </c>
      <c r="D235" s="569">
        <v>9366.2999999999993</v>
      </c>
      <c r="E235" s="859">
        <f t="shared" si="34"/>
        <v>29.154708617888204</v>
      </c>
      <c r="F235" s="859">
        <f t="shared" ref="F235:F240" si="36">B235-D235</f>
        <v>368.90000000000146</v>
      </c>
      <c r="G235" s="859">
        <f t="shared" si="35"/>
        <v>1.1482839551518744</v>
      </c>
      <c r="H235" s="377">
        <v>32126.2</v>
      </c>
      <c r="I235" s="858"/>
      <c r="J235" s="858"/>
      <c r="K235" s="858"/>
      <c r="L235" s="858"/>
      <c r="M235" s="858"/>
      <c r="N235" s="858"/>
      <c r="O235" s="858"/>
      <c r="P235" s="858"/>
      <c r="Q235" s="858"/>
      <c r="R235" s="858"/>
      <c r="S235" s="858"/>
      <c r="T235" s="858"/>
      <c r="U235" s="858"/>
      <c r="V235" s="858"/>
      <c r="W235" s="858"/>
      <c r="X235" s="858"/>
      <c r="Y235" s="858"/>
      <c r="Z235" s="858"/>
      <c r="AA235" s="858"/>
      <c r="AB235" s="858"/>
      <c r="AC235" s="858"/>
      <c r="AD235" s="858"/>
      <c r="AE235" s="858"/>
      <c r="AF235" s="858"/>
      <c r="AG235" s="858"/>
      <c r="AH235" s="858"/>
      <c r="AI235" s="858"/>
      <c r="AJ235" s="858"/>
      <c r="AK235" s="858"/>
      <c r="AL235" s="858"/>
      <c r="AM235" s="858"/>
      <c r="AN235" s="858"/>
      <c r="AO235" s="858"/>
      <c r="AP235" s="858"/>
      <c r="AQ235" s="858"/>
      <c r="AR235" s="858"/>
      <c r="AS235" s="858"/>
      <c r="AT235" s="858"/>
      <c r="AU235" s="858"/>
      <c r="AV235" s="858"/>
      <c r="AW235" s="858"/>
      <c r="AX235" s="858"/>
      <c r="AY235" s="858"/>
      <c r="AZ235" s="858"/>
      <c r="BA235" s="858"/>
      <c r="BB235" s="858"/>
      <c r="BC235" s="858"/>
      <c r="BD235" s="858"/>
      <c r="BE235" s="858"/>
      <c r="BF235" s="858"/>
      <c r="BG235" s="858"/>
      <c r="BH235" s="858"/>
      <c r="BI235" s="858"/>
      <c r="BJ235" s="858"/>
      <c r="BK235" s="858"/>
      <c r="BL235" s="858"/>
      <c r="BM235" s="858"/>
      <c r="BN235" s="858"/>
      <c r="BO235" s="858"/>
      <c r="BP235" s="858"/>
      <c r="BQ235" s="858"/>
      <c r="BR235" s="858"/>
      <c r="BS235" s="858"/>
      <c r="BT235" s="858"/>
      <c r="BU235" s="858"/>
      <c r="BV235" s="858"/>
      <c r="BW235" s="858"/>
      <c r="BX235" s="858"/>
      <c r="BY235" s="858"/>
      <c r="BZ235" s="858"/>
      <c r="CA235" s="858"/>
      <c r="CB235" s="858"/>
      <c r="CC235" s="858"/>
      <c r="CD235" s="858"/>
      <c r="CE235" s="858"/>
      <c r="CF235" s="858"/>
      <c r="CG235" s="858"/>
      <c r="CH235" s="858"/>
      <c r="CI235" s="858"/>
      <c r="CJ235" s="858"/>
      <c r="CK235" s="858"/>
      <c r="CL235" s="858"/>
      <c r="CM235" s="858"/>
      <c r="CN235" s="858"/>
      <c r="CO235" s="858"/>
      <c r="CP235" s="858"/>
      <c r="CQ235" s="858"/>
      <c r="CR235" s="858"/>
      <c r="CS235" s="858"/>
      <c r="CT235" s="858"/>
      <c r="CU235" s="858"/>
      <c r="CV235" s="858"/>
      <c r="CW235" s="858"/>
      <c r="CX235" s="858"/>
      <c r="CY235" s="858"/>
      <c r="CZ235" s="858"/>
      <c r="DA235" s="858"/>
      <c r="DB235" s="858"/>
      <c r="DC235" s="858"/>
      <c r="DD235" s="858"/>
      <c r="DE235" s="858"/>
      <c r="DF235" s="858"/>
      <c r="DG235" s="858"/>
      <c r="DH235" s="858"/>
      <c r="DI235" s="858"/>
      <c r="DJ235" s="858"/>
      <c r="DK235" s="858"/>
      <c r="DL235" s="858"/>
      <c r="DM235" s="858"/>
      <c r="DN235" s="858"/>
      <c r="DO235" s="858"/>
      <c r="DP235" s="858"/>
      <c r="DQ235" s="858"/>
      <c r="DR235" s="858"/>
      <c r="DS235" s="858"/>
      <c r="DT235" s="858"/>
      <c r="DU235" s="858"/>
      <c r="DV235" s="858"/>
      <c r="DW235" s="858"/>
      <c r="DX235" s="858"/>
      <c r="DY235" s="858"/>
      <c r="DZ235" s="858"/>
      <c r="EA235" s="858"/>
      <c r="EB235" s="858"/>
      <c r="EC235" s="858"/>
      <c r="ED235" s="858"/>
      <c r="EE235" s="858"/>
      <c r="EF235" s="858"/>
      <c r="EG235" s="858"/>
      <c r="EH235" s="858"/>
      <c r="EI235" s="858"/>
      <c r="EJ235" s="858"/>
      <c r="EK235" s="858"/>
      <c r="EL235" s="858"/>
      <c r="EM235" s="858"/>
      <c r="EN235" s="858"/>
      <c r="EO235" s="858"/>
      <c r="EP235" s="858"/>
      <c r="EQ235" s="858"/>
      <c r="ER235" s="858"/>
      <c r="ES235" s="858"/>
      <c r="ET235" s="858"/>
      <c r="EU235" s="858"/>
      <c r="EV235" s="858"/>
      <c r="EW235" s="858"/>
      <c r="EX235" s="858"/>
      <c r="EY235" s="858"/>
      <c r="EZ235" s="858"/>
      <c r="FA235" s="858"/>
      <c r="FB235" s="858"/>
      <c r="FC235" s="858"/>
      <c r="FD235" s="858"/>
      <c r="FE235" s="858"/>
      <c r="FF235" s="858"/>
      <c r="FG235" s="858"/>
      <c r="FH235" s="858"/>
      <c r="FI235" s="858"/>
      <c r="FJ235" s="858"/>
      <c r="FK235" s="858"/>
      <c r="FL235" s="858"/>
      <c r="FM235" s="858"/>
      <c r="FN235" s="858"/>
      <c r="FO235" s="858"/>
      <c r="FP235" s="858"/>
      <c r="FQ235" s="858"/>
      <c r="FR235" s="858"/>
      <c r="FS235" s="858"/>
      <c r="FT235" s="858"/>
      <c r="FU235" s="858"/>
      <c r="FV235" s="858"/>
      <c r="FW235" s="858"/>
      <c r="FX235" s="858"/>
      <c r="FY235" s="858"/>
      <c r="FZ235" s="858"/>
      <c r="GA235" s="858"/>
      <c r="GB235" s="858"/>
      <c r="GC235" s="858"/>
      <c r="GD235" s="858"/>
      <c r="GE235" s="858"/>
      <c r="GF235" s="858"/>
      <c r="GG235" s="858"/>
      <c r="GH235" s="858"/>
      <c r="GI235" s="858"/>
      <c r="GJ235" s="858"/>
      <c r="GK235" s="858"/>
      <c r="GL235" s="858"/>
      <c r="GM235" s="858"/>
      <c r="GN235" s="858"/>
      <c r="GO235" s="858"/>
      <c r="GP235" s="858"/>
      <c r="GQ235" s="858"/>
      <c r="GR235" s="858"/>
      <c r="GS235" s="858"/>
      <c r="GT235" s="858"/>
      <c r="GU235" s="858"/>
      <c r="GV235" s="858"/>
      <c r="GW235" s="858"/>
      <c r="GX235" s="858"/>
      <c r="GY235" s="858"/>
      <c r="GZ235" s="858"/>
      <c r="HA235" s="858"/>
      <c r="HB235" s="858"/>
      <c r="HC235" s="858"/>
      <c r="HD235" s="858"/>
      <c r="HE235" s="858"/>
      <c r="HF235" s="858"/>
      <c r="HG235" s="858"/>
      <c r="HH235" s="858"/>
      <c r="HI235" s="858"/>
      <c r="HJ235" s="858"/>
      <c r="HK235" s="858"/>
      <c r="HL235" s="858"/>
      <c r="HM235" s="858"/>
      <c r="HN235" s="858"/>
      <c r="HO235" s="858"/>
      <c r="HP235" s="858"/>
      <c r="HQ235" s="858"/>
      <c r="HR235" s="858"/>
      <c r="HS235" s="858"/>
      <c r="HT235" s="858"/>
      <c r="HU235" s="858"/>
      <c r="HV235" s="858"/>
      <c r="HW235" s="858"/>
      <c r="HX235" s="858"/>
      <c r="HY235" s="858"/>
      <c r="HZ235" s="858"/>
      <c r="IA235" s="858"/>
      <c r="IB235" s="858"/>
      <c r="IC235" s="858"/>
      <c r="ID235" s="858"/>
      <c r="IE235" s="858"/>
      <c r="IF235" s="858"/>
      <c r="IG235" s="858"/>
      <c r="IH235" s="858"/>
      <c r="II235" s="858"/>
      <c r="IJ235" s="858"/>
      <c r="IK235" s="858"/>
      <c r="IL235" s="858"/>
      <c r="IM235" s="858"/>
      <c r="IN235" s="858"/>
    </row>
    <row r="236" spans="1:248">
      <c r="A236" s="568" t="s">
        <v>23</v>
      </c>
      <c r="B236" s="566">
        <v>11755</v>
      </c>
      <c r="C236" s="566">
        <f t="shared" si="33"/>
        <v>28.836930896851857</v>
      </c>
      <c r="D236" s="569">
        <v>11590.5</v>
      </c>
      <c r="E236" s="859">
        <f t="shared" si="34"/>
        <v>28.433385585704929</v>
      </c>
      <c r="F236" s="859">
        <f t="shared" si="36"/>
        <v>164.5</v>
      </c>
      <c r="G236" s="859">
        <f t="shared" si="35"/>
        <v>0.40354531114692738</v>
      </c>
      <c r="H236" s="377">
        <v>40763.699999999997</v>
      </c>
      <c r="I236" s="858"/>
      <c r="J236" s="858"/>
      <c r="K236" s="858"/>
      <c r="L236" s="858"/>
      <c r="M236" s="858"/>
      <c r="N236" s="858"/>
      <c r="O236" s="858"/>
      <c r="P236" s="858"/>
      <c r="Q236" s="858"/>
      <c r="R236" s="858"/>
      <c r="S236" s="858"/>
      <c r="T236" s="858"/>
      <c r="U236" s="858"/>
      <c r="V236" s="858"/>
      <c r="W236" s="858"/>
      <c r="X236" s="858"/>
      <c r="Y236" s="858"/>
      <c r="Z236" s="858"/>
      <c r="AA236" s="858"/>
      <c r="AB236" s="858"/>
      <c r="AC236" s="858"/>
      <c r="AD236" s="858"/>
      <c r="AE236" s="858"/>
      <c r="AF236" s="858"/>
      <c r="AG236" s="858"/>
      <c r="AH236" s="858"/>
      <c r="AI236" s="858"/>
      <c r="AJ236" s="858"/>
      <c r="AK236" s="858"/>
      <c r="AL236" s="858"/>
      <c r="AM236" s="858"/>
      <c r="AN236" s="858"/>
      <c r="AO236" s="858"/>
      <c r="AP236" s="858"/>
      <c r="AQ236" s="858"/>
      <c r="AR236" s="858"/>
      <c r="AS236" s="858"/>
      <c r="AT236" s="858"/>
      <c r="AU236" s="858"/>
      <c r="AV236" s="858"/>
      <c r="AW236" s="858"/>
      <c r="AX236" s="858"/>
      <c r="AY236" s="858"/>
      <c r="AZ236" s="858"/>
      <c r="BA236" s="858"/>
      <c r="BB236" s="858"/>
      <c r="BC236" s="858"/>
      <c r="BD236" s="858"/>
      <c r="BE236" s="858"/>
      <c r="BF236" s="858"/>
      <c r="BG236" s="858"/>
      <c r="BH236" s="858"/>
      <c r="BI236" s="858"/>
      <c r="BJ236" s="858"/>
      <c r="BK236" s="858"/>
      <c r="BL236" s="858"/>
      <c r="BM236" s="858"/>
      <c r="BN236" s="858"/>
      <c r="BO236" s="858"/>
      <c r="BP236" s="858"/>
      <c r="BQ236" s="858"/>
      <c r="BR236" s="858"/>
      <c r="BS236" s="858"/>
      <c r="BT236" s="858"/>
      <c r="BU236" s="858"/>
      <c r="BV236" s="858"/>
      <c r="BW236" s="858"/>
      <c r="BX236" s="858"/>
      <c r="BY236" s="858"/>
      <c r="BZ236" s="858"/>
      <c r="CA236" s="858"/>
      <c r="CB236" s="858"/>
      <c r="CC236" s="858"/>
      <c r="CD236" s="858"/>
      <c r="CE236" s="858"/>
      <c r="CF236" s="858"/>
      <c r="CG236" s="858"/>
      <c r="CH236" s="858"/>
      <c r="CI236" s="858"/>
      <c r="CJ236" s="858"/>
      <c r="CK236" s="858"/>
      <c r="CL236" s="858"/>
      <c r="CM236" s="858"/>
      <c r="CN236" s="858"/>
      <c r="CO236" s="858"/>
      <c r="CP236" s="858"/>
      <c r="CQ236" s="858"/>
      <c r="CR236" s="858"/>
      <c r="CS236" s="858"/>
      <c r="CT236" s="858"/>
      <c r="CU236" s="858"/>
      <c r="CV236" s="858"/>
      <c r="CW236" s="858"/>
      <c r="CX236" s="858"/>
      <c r="CY236" s="858"/>
      <c r="CZ236" s="858"/>
      <c r="DA236" s="858"/>
      <c r="DB236" s="858"/>
      <c r="DC236" s="858"/>
      <c r="DD236" s="858"/>
      <c r="DE236" s="858"/>
      <c r="DF236" s="858"/>
      <c r="DG236" s="858"/>
      <c r="DH236" s="858"/>
      <c r="DI236" s="858"/>
      <c r="DJ236" s="858"/>
      <c r="DK236" s="858"/>
      <c r="DL236" s="858"/>
      <c r="DM236" s="858"/>
      <c r="DN236" s="858"/>
      <c r="DO236" s="858"/>
      <c r="DP236" s="858"/>
      <c r="DQ236" s="858"/>
      <c r="DR236" s="858"/>
      <c r="DS236" s="858"/>
      <c r="DT236" s="858"/>
      <c r="DU236" s="858"/>
      <c r="DV236" s="858"/>
      <c r="DW236" s="858"/>
      <c r="DX236" s="858"/>
      <c r="DY236" s="858"/>
      <c r="DZ236" s="858"/>
      <c r="EA236" s="858"/>
      <c r="EB236" s="858"/>
      <c r="EC236" s="858"/>
      <c r="ED236" s="858"/>
      <c r="EE236" s="858"/>
      <c r="EF236" s="858"/>
      <c r="EG236" s="858"/>
      <c r="EH236" s="858"/>
      <c r="EI236" s="858"/>
      <c r="EJ236" s="858"/>
      <c r="EK236" s="858"/>
      <c r="EL236" s="858"/>
      <c r="EM236" s="858"/>
      <c r="EN236" s="858"/>
      <c r="EO236" s="858"/>
      <c r="EP236" s="858"/>
      <c r="EQ236" s="858"/>
      <c r="ER236" s="858"/>
      <c r="ES236" s="858"/>
      <c r="ET236" s="858"/>
      <c r="EU236" s="858"/>
      <c r="EV236" s="858"/>
      <c r="EW236" s="858"/>
      <c r="EX236" s="858"/>
      <c r="EY236" s="858"/>
      <c r="EZ236" s="858"/>
      <c r="FA236" s="858"/>
      <c r="FB236" s="858"/>
      <c r="FC236" s="858"/>
      <c r="FD236" s="858"/>
      <c r="FE236" s="858"/>
      <c r="FF236" s="858"/>
      <c r="FG236" s="858"/>
      <c r="FH236" s="858"/>
      <c r="FI236" s="858"/>
      <c r="FJ236" s="858"/>
      <c r="FK236" s="858"/>
      <c r="FL236" s="858"/>
      <c r="FM236" s="858"/>
      <c r="FN236" s="858"/>
      <c r="FO236" s="858"/>
      <c r="FP236" s="858"/>
      <c r="FQ236" s="858"/>
      <c r="FR236" s="858"/>
      <c r="FS236" s="858"/>
      <c r="FT236" s="858"/>
      <c r="FU236" s="858"/>
      <c r="FV236" s="858"/>
      <c r="FW236" s="858"/>
      <c r="FX236" s="858"/>
      <c r="FY236" s="858"/>
      <c r="FZ236" s="858"/>
      <c r="GA236" s="858"/>
      <c r="GB236" s="858"/>
      <c r="GC236" s="858"/>
      <c r="GD236" s="858"/>
      <c r="GE236" s="858"/>
      <c r="GF236" s="858"/>
      <c r="GG236" s="858"/>
      <c r="GH236" s="858"/>
      <c r="GI236" s="858"/>
      <c r="GJ236" s="858"/>
      <c r="GK236" s="858"/>
      <c r="GL236" s="858"/>
      <c r="GM236" s="858"/>
      <c r="GN236" s="858"/>
      <c r="GO236" s="858"/>
      <c r="GP236" s="858"/>
      <c r="GQ236" s="858"/>
      <c r="GR236" s="858"/>
      <c r="GS236" s="858"/>
      <c r="GT236" s="858"/>
      <c r="GU236" s="858"/>
      <c r="GV236" s="858"/>
      <c r="GW236" s="858"/>
      <c r="GX236" s="858"/>
      <c r="GY236" s="858"/>
      <c r="GZ236" s="858"/>
      <c r="HA236" s="858"/>
      <c r="HB236" s="858"/>
      <c r="HC236" s="858"/>
      <c r="HD236" s="858"/>
      <c r="HE236" s="858"/>
      <c r="HF236" s="858"/>
      <c r="HG236" s="858"/>
      <c r="HH236" s="858"/>
      <c r="HI236" s="858"/>
      <c r="HJ236" s="858"/>
      <c r="HK236" s="858"/>
      <c r="HL236" s="858"/>
      <c r="HM236" s="858"/>
      <c r="HN236" s="858"/>
      <c r="HO236" s="858"/>
      <c r="HP236" s="858"/>
      <c r="HQ236" s="858"/>
      <c r="HR236" s="858"/>
      <c r="HS236" s="858"/>
      <c r="HT236" s="858"/>
      <c r="HU236" s="858"/>
      <c r="HV236" s="858"/>
      <c r="HW236" s="858"/>
      <c r="HX236" s="858"/>
      <c r="HY236" s="858"/>
      <c r="HZ236" s="858"/>
      <c r="IA236" s="858"/>
      <c r="IB236" s="858"/>
      <c r="IC236" s="858"/>
      <c r="ID236" s="858"/>
      <c r="IE236" s="858"/>
      <c r="IF236" s="858"/>
      <c r="IG236" s="858"/>
      <c r="IH236" s="858"/>
      <c r="II236" s="858"/>
      <c r="IJ236" s="858"/>
      <c r="IK236" s="858"/>
      <c r="IL236" s="858"/>
      <c r="IM236" s="858"/>
      <c r="IN236" s="858"/>
    </row>
    <row r="237" spans="1:248">
      <c r="A237" s="568" t="s">
        <v>24</v>
      </c>
      <c r="B237" s="566">
        <v>14049.3</v>
      </c>
      <c r="C237" s="566">
        <f t="shared" si="33"/>
        <v>29.206277271810695</v>
      </c>
      <c r="D237" s="569">
        <v>13681.6</v>
      </c>
      <c r="E237" s="859">
        <f t="shared" si="34"/>
        <v>28.441887006612799</v>
      </c>
      <c r="F237" s="859">
        <f t="shared" si="36"/>
        <v>367.69999999999891</v>
      </c>
      <c r="G237" s="859">
        <f t="shared" si="35"/>
        <v>0.76439026519789322</v>
      </c>
      <c r="H237" s="377">
        <v>48103.7</v>
      </c>
      <c r="I237" s="858"/>
      <c r="J237" s="858"/>
      <c r="K237" s="858"/>
      <c r="L237" s="858"/>
      <c r="M237" s="858"/>
      <c r="N237" s="858"/>
      <c r="O237" s="858"/>
      <c r="P237" s="858"/>
      <c r="Q237" s="858"/>
      <c r="R237" s="858"/>
      <c r="S237" s="858"/>
      <c r="T237" s="858"/>
      <c r="U237" s="858"/>
      <c r="V237" s="858"/>
      <c r="W237" s="858"/>
      <c r="X237" s="858"/>
      <c r="Y237" s="858"/>
      <c r="Z237" s="858"/>
      <c r="AA237" s="858"/>
      <c r="AB237" s="858"/>
      <c r="AC237" s="858"/>
      <c r="AD237" s="858"/>
      <c r="AE237" s="858"/>
      <c r="AF237" s="858"/>
      <c r="AG237" s="858"/>
      <c r="AH237" s="858"/>
      <c r="AI237" s="858"/>
      <c r="AJ237" s="858"/>
      <c r="AK237" s="858"/>
      <c r="AL237" s="858"/>
      <c r="AM237" s="858"/>
      <c r="AN237" s="858"/>
      <c r="AO237" s="858"/>
      <c r="AP237" s="858"/>
      <c r="AQ237" s="858"/>
      <c r="AR237" s="858"/>
      <c r="AS237" s="858"/>
      <c r="AT237" s="858"/>
      <c r="AU237" s="858"/>
      <c r="AV237" s="858"/>
      <c r="AW237" s="858"/>
      <c r="AX237" s="858"/>
      <c r="AY237" s="858"/>
      <c r="AZ237" s="858"/>
      <c r="BA237" s="858"/>
      <c r="BB237" s="858"/>
      <c r="BC237" s="858"/>
      <c r="BD237" s="858"/>
      <c r="BE237" s="858"/>
      <c r="BF237" s="858"/>
      <c r="BG237" s="858"/>
      <c r="BH237" s="858"/>
      <c r="BI237" s="858"/>
      <c r="BJ237" s="858"/>
      <c r="BK237" s="858"/>
      <c r="BL237" s="858"/>
      <c r="BM237" s="858"/>
      <c r="BN237" s="858"/>
      <c r="BO237" s="858"/>
      <c r="BP237" s="858"/>
      <c r="BQ237" s="858"/>
      <c r="BR237" s="858"/>
      <c r="BS237" s="858"/>
      <c r="BT237" s="858"/>
      <c r="BU237" s="858"/>
      <c r="BV237" s="858"/>
      <c r="BW237" s="858"/>
      <c r="BX237" s="858"/>
      <c r="BY237" s="858"/>
      <c r="BZ237" s="858"/>
      <c r="CA237" s="858"/>
      <c r="CB237" s="858"/>
      <c r="CC237" s="858"/>
      <c r="CD237" s="858"/>
      <c r="CE237" s="858"/>
      <c r="CF237" s="858"/>
      <c r="CG237" s="858"/>
      <c r="CH237" s="858"/>
      <c r="CI237" s="858"/>
      <c r="CJ237" s="858"/>
      <c r="CK237" s="858"/>
      <c r="CL237" s="858"/>
      <c r="CM237" s="858"/>
      <c r="CN237" s="858"/>
      <c r="CO237" s="858"/>
      <c r="CP237" s="858"/>
      <c r="CQ237" s="858"/>
      <c r="CR237" s="858"/>
      <c r="CS237" s="858"/>
      <c r="CT237" s="858"/>
      <c r="CU237" s="858"/>
      <c r="CV237" s="858"/>
      <c r="CW237" s="858"/>
      <c r="CX237" s="858"/>
      <c r="CY237" s="858"/>
      <c r="CZ237" s="858"/>
      <c r="DA237" s="858"/>
      <c r="DB237" s="858"/>
      <c r="DC237" s="858"/>
      <c r="DD237" s="858"/>
      <c r="DE237" s="858"/>
      <c r="DF237" s="858"/>
      <c r="DG237" s="858"/>
      <c r="DH237" s="858"/>
      <c r="DI237" s="858"/>
      <c r="DJ237" s="858"/>
      <c r="DK237" s="858"/>
      <c r="DL237" s="858"/>
      <c r="DM237" s="858"/>
      <c r="DN237" s="858"/>
      <c r="DO237" s="858"/>
      <c r="DP237" s="858"/>
      <c r="DQ237" s="858"/>
      <c r="DR237" s="858"/>
      <c r="DS237" s="858"/>
      <c r="DT237" s="858"/>
      <c r="DU237" s="858"/>
      <c r="DV237" s="858"/>
      <c r="DW237" s="858"/>
      <c r="DX237" s="858"/>
      <c r="DY237" s="858"/>
      <c r="DZ237" s="858"/>
      <c r="EA237" s="858"/>
      <c r="EB237" s="858"/>
      <c r="EC237" s="858"/>
      <c r="ED237" s="858"/>
      <c r="EE237" s="858"/>
      <c r="EF237" s="858"/>
      <c r="EG237" s="858"/>
      <c r="EH237" s="858"/>
      <c r="EI237" s="858"/>
      <c r="EJ237" s="858"/>
      <c r="EK237" s="858"/>
      <c r="EL237" s="858"/>
      <c r="EM237" s="858"/>
      <c r="EN237" s="858"/>
      <c r="EO237" s="858"/>
      <c r="EP237" s="858"/>
      <c r="EQ237" s="858"/>
      <c r="ER237" s="858"/>
      <c r="ES237" s="858"/>
      <c r="ET237" s="858"/>
      <c r="EU237" s="858"/>
      <c r="EV237" s="858"/>
      <c r="EW237" s="858"/>
      <c r="EX237" s="858"/>
      <c r="EY237" s="858"/>
      <c r="EZ237" s="858"/>
      <c r="FA237" s="858"/>
      <c r="FB237" s="858"/>
      <c r="FC237" s="858"/>
      <c r="FD237" s="858"/>
      <c r="FE237" s="858"/>
      <c r="FF237" s="858"/>
      <c r="FG237" s="858"/>
      <c r="FH237" s="858"/>
      <c r="FI237" s="858"/>
      <c r="FJ237" s="858"/>
      <c r="FK237" s="858"/>
      <c r="FL237" s="858"/>
      <c r="FM237" s="858"/>
      <c r="FN237" s="858"/>
      <c r="FO237" s="858"/>
      <c r="FP237" s="858"/>
      <c r="FQ237" s="858"/>
      <c r="FR237" s="858"/>
      <c r="FS237" s="858"/>
      <c r="FT237" s="858"/>
      <c r="FU237" s="858"/>
      <c r="FV237" s="858"/>
      <c r="FW237" s="858"/>
      <c r="FX237" s="858"/>
      <c r="FY237" s="858"/>
      <c r="FZ237" s="858"/>
      <c r="GA237" s="858"/>
      <c r="GB237" s="858"/>
      <c r="GC237" s="858"/>
      <c r="GD237" s="858"/>
      <c r="GE237" s="858"/>
      <c r="GF237" s="858"/>
      <c r="GG237" s="858"/>
      <c r="GH237" s="858"/>
      <c r="GI237" s="858"/>
      <c r="GJ237" s="858"/>
      <c r="GK237" s="858"/>
      <c r="GL237" s="858"/>
      <c r="GM237" s="858"/>
      <c r="GN237" s="858"/>
      <c r="GO237" s="858"/>
      <c r="GP237" s="858"/>
      <c r="GQ237" s="858"/>
      <c r="GR237" s="858"/>
      <c r="GS237" s="858"/>
      <c r="GT237" s="858"/>
      <c r="GU237" s="858"/>
      <c r="GV237" s="858"/>
      <c r="GW237" s="858"/>
      <c r="GX237" s="858"/>
      <c r="GY237" s="858"/>
      <c r="GZ237" s="858"/>
      <c r="HA237" s="858"/>
      <c r="HB237" s="858"/>
      <c r="HC237" s="858"/>
      <c r="HD237" s="858"/>
      <c r="HE237" s="858"/>
      <c r="HF237" s="858"/>
      <c r="HG237" s="858"/>
      <c r="HH237" s="858"/>
      <c r="HI237" s="858"/>
      <c r="HJ237" s="858"/>
      <c r="HK237" s="858"/>
      <c r="HL237" s="858"/>
      <c r="HM237" s="858"/>
      <c r="HN237" s="858"/>
      <c r="HO237" s="858"/>
      <c r="HP237" s="858"/>
      <c r="HQ237" s="858"/>
      <c r="HR237" s="858"/>
      <c r="HS237" s="858"/>
      <c r="HT237" s="858"/>
      <c r="HU237" s="858"/>
      <c r="HV237" s="858"/>
      <c r="HW237" s="858"/>
      <c r="HX237" s="858"/>
      <c r="HY237" s="858"/>
      <c r="HZ237" s="858"/>
      <c r="IA237" s="858"/>
      <c r="IB237" s="858"/>
      <c r="IC237" s="858"/>
      <c r="ID237" s="858"/>
      <c r="IE237" s="858"/>
      <c r="IF237" s="858"/>
      <c r="IG237" s="858"/>
      <c r="IH237" s="858"/>
      <c r="II237" s="858"/>
      <c r="IJ237" s="858"/>
      <c r="IK237" s="858"/>
      <c r="IL237" s="858"/>
      <c r="IM237" s="858"/>
      <c r="IN237" s="858"/>
    </row>
    <row r="238" spans="1:248">
      <c r="A238" s="568" t="s">
        <v>25</v>
      </c>
      <c r="B238" s="566">
        <v>15937.5</v>
      </c>
      <c r="C238" s="566">
        <f t="shared" si="33"/>
        <v>28.676585691485823</v>
      </c>
      <c r="D238" s="569">
        <v>15626.8</v>
      </c>
      <c r="E238" s="859">
        <f t="shared" si="34"/>
        <v>28.117538464860274</v>
      </c>
      <c r="F238" s="859">
        <f t="shared" si="36"/>
        <v>310.70000000000073</v>
      </c>
      <c r="G238" s="859">
        <f t="shared" si="35"/>
        <v>0.55904722662554773</v>
      </c>
      <c r="H238" s="377">
        <v>55576.7</v>
      </c>
      <c r="I238" s="858"/>
      <c r="J238" s="858"/>
      <c r="K238" s="858"/>
      <c r="L238" s="858"/>
      <c r="M238" s="858"/>
      <c r="N238" s="858"/>
      <c r="O238" s="858"/>
      <c r="P238" s="858"/>
      <c r="Q238" s="858"/>
      <c r="R238" s="858"/>
      <c r="S238" s="858"/>
      <c r="T238" s="858"/>
      <c r="U238" s="858"/>
      <c r="V238" s="858"/>
      <c r="W238" s="858"/>
      <c r="X238" s="858"/>
      <c r="Y238" s="858"/>
      <c r="Z238" s="858"/>
      <c r="AA238" s="858"/>
      <c r="AB238" s="858"/>
      <c r="AC238" s="858"/>
      <c r="AD238" s="858"/>
      <c r="AE238" s="858"/>
      <c r="AF238" s="858"/>
      <c r="AG238" s="858"/>
      <c r="AH238" s="858"/>
      <c r="AI238" s="858"/>
      <c r="AJ238" s="858"/>
      <c r="AK238" s="858"/>
      <c r="AL238" s="858"/>
      <c r="AM238" s="858"/>
      <c r="AN238" s="858"/>
      <c r="AO238" s="858"/>
      <c r="AP238" s="858"/>
      <c r="AQ238" s="858"/>
      <c r="AR238" s="858"/>
      <c r="AS238" s="858"/>
      <c r="AT238" s="858"/>
      <c r="AU238" s="858"/>
      <c r="AV238" s="858"/>
      <c r="AW238" s="858"/>
      <c r="AX238" s="858"/>
      <c r="AY238" s="858"/>
      <c r="AZ238" s="858"/>
      <c r="BA238" s="858"/>
      <c r="BB238" s="858"/>
      <c r="BC238" s="858"/>
      <c r="BD238" s="858"/>
      <c r="BE238" s="858"/>
      <c r="BF238" s="858"/>
      <c r="BG238" s="858"/>
      <c r="BH238" s="858"/>
      <c r="BI238" s="858"/>
      <c r="BJ238" s="858"/>
      <c r="BK238" s="858"/>
      <c r="BL238" s="858"/>
      <c r="BM238" s="858"/>
      <c r="BN238" s="858"/>
      <c r="BO238" s="858"/>
      <c r="BP238" s="858"/>
      <c r="BQ238" s="858"/>
      <c r="BR238" s="858"/>
      <c r="BS238" s="858"/>
      <c r="BT238" s="858"/>
      <c r="BU238" s="858"/>
      <c r="BV238" s="858"/>
      <c r="BW238" s="858"/>
      <c r="BX238" s="858"/>
      <c r="BY238" s="858"/>
      <c r="BZ238" s="858"/>
      <c r="CA238" s="858"/>
      <c r="CB238" s="858"/>
      <c r="CC238" s="858"/>
      <c r="CD238" s="858"/>
      <c r="CE238" s="858"/>
      <c r="CF238" s="858"/>
      <c r="CG238" s="858"/>
      <c r="CH238" s="858"/>
      <c r="CI238" s="858"/>
      <c r="CJ238" s="858"/>
      <c r="CK238" s="858"/>
      <c r="CL238" s="858"/>
      <c r="CM238" s="858"/>
      <c r="CN238" s="858"/>
      <c r="CO238" s="858"/>
      <c r="CP238" s="858"/>
      <c r="CQ238" s="858"/>
      <c r="CR238" s="858"/>
      <c r="CS238" s="858"/>
      <c r="CT238" s="858"/>
      <c r="CU238" s="858"/>
      <c r="CV238" s="858"/>
      <c r="CW238" s="858"/>
      <c r="CX238" s="858"/>
      <c r="CY238" s="858"/>
      <c r="CZ238" s="858"/>
      <c r="DA238" s="858"/>
      <c r="DB238" s="858"/>
      <c r="DC238" s="858"/>
      <c r="DD238" s="858"/>
      <c r="DE238" s="858"/>
      <c r="DF238" s="858"/>
      <c r="DG238" s="858"/>
      <c r="DH238" s="858"/>
      <c r="DI238" s="858"/>
      <c r="DJ238" s="858"/>
      <c r="DK238" s="858"/>
      <c r="DL238" s="858"/>
      <c r="DM238" s="858"/>
      <c r="DN238" s="858"/>
      <c r="DO238" s="858"/>
      <c r="DP238" s="858"/>
      <c r="DQ238" s="858"/>
      <c r="DR238" s="858"/>
      <c r="DS238" s="858"/>
      <c r="DT238" s="858"/>
      <c r="DU238" s="858"/>
      <c r="DV238" s="858"/>
      <c r="DW238" s="858"/>
      <c r="DX238" s="858"/>
      <c r="DY238" s="858"/>
      <c r="DZ238" s="858"/>
      <c r="EA238" s="858"/>
      <c r="EB238" s="858"/>
      <c r="EC238" s="858"/>
      <c r="ED238" s="858"/>
      <c r="EE238" s="858"/>
      <c r="EF238" s="858"/>
      <c r="EG238" s="858"/>
      <c r="EH238" s="858"/>
      <c r="EI238" s="858"/>
      <c r="EJ238" s="858"/>
      <c r="EK238" s="858"/>
      <c r="EL238" s="858"/>
      <c r="EM238" s="858"/>
      <c r="EN238" s="858"/>
      <c r="EO238" s="858"/>
      <c r="EP238" s="858"/>
      <c r="EQ238" s="858"/>
      <c r="ER238" s="858"/>
      <c r="ES238" s="858"/>
      <c r="ET238" s="858"/>
      <c r="EU238" s="858"/>
      <c r="EV238" s="858"/>
      <c r="EW238" s="858"/>
      <c r="EX238" s="858"/>
      <c r="EY238" s="858"/>
      <c r="EZ238" s="858"/>
      <c r="FA238" s="858"/>
      <c r="FB238" s="858"/>
      <c r="FC238" s="858"/>
      <c r="FD238" s="858"/>
      <c r="FE238" s="858"/>
      <c r="FF238" s="858"/>
      <c r="FG238" s="858"/>
      <c r="FH238" s="858"/>
      <c r="FI238" s="858"/>
      <c r="FJ238" s="858"/>
      <c r="FK238" s="858"/>
      <c r="FL238" s="858"/>
      <c r="FM238" s="858"/>
      <c r="FN238" s="858"/>
      <c r="FO238" s="858"/>
      <c r="FP238" s="858"/>
      <c r="FQ238" s="858"/>
      <c r="FR238" s="858"/>
      <c r="FS238" s="858"/>
      <c r="FT238" s="858"/>
      <c r="FU238" s="858"/>
      <c r="FV238" s="858"/>
      <c r="FW238" s="858"/>
      <c r="FX238" s="858"/>
      <c r="FY238" s="858"/>
      <c r="FZ238" s="858"/>
      <c r="GA238" s="858"/>
      <c r="GB238" s="858"/>
      <c r="GC238" s="858"/>
      <c r="GD238" s="858"/>
      <c r="GE238" s="858"/>
      <c r="GF238" s="858"/>
      <c r="GG238" s="858"/>
      <c r="GH238" s="858"/>
      <c r="GI238" s="858"/>
      <c r="GJ238" s="858"/>
      <c r="GK238" s="858"/>
      <c r="GL238" s="858"/>
      <c r="GM238" s="858"/>
      <c r="GN238" s="858"/>
      <c r="GO238" s="858"/>
      <c r="GP238" s="858"/>
      <c r="GQ238" s="858"/>
      <c r="GR238" s="858"/>
      <c r="GS238" s="858"/>
      <c r="GT238" s="858"/>
      <c r="GU238" s="858"/>
      <c r="GV238" s="858"/>
      <c r="GW238" s="858"/>
      <c r="GX238" s="858"/>
      <c r="GY238" s="858"/>
      <c r="GZ238" s="858"/>
      <c r="HA238" s="858"/>
      <c r="HB238" s="858"/>
      <c r="HC238" s="858"/>
      <c r="HD238" s="858"/>
      <c r="HE238" s="858"/>
      <c r="HF238" s="858"/>
      <c r="HG238" s="858"/>
      <c r="HH238" s="858"/>
      <c r="HI238" s="858"/>
      <c r="HJ238" s="858"/>
      <c r="HK238" s="858"/>
      <c r="HL238" s="858"/>
      <c r="HM238" s="858"/>
      <c r="HN238" s="858"/>
      <c r="HO238" s="858"/>
      <c r="HP238" s="858"/>
      <c r="HQ238" s="858"/>
      <c r="HR238" s="858"/>
      <c r="HS238" s="858"/>
      <c r="HT238" s="858"/>
      <c r="HU238" s="858"/>
      <c r="HV238" s="858"/>
      <c r="HW238" s="858"/>
      <c r="HX238" s="858"/>
      <c r="HY238" s="858"/>
      <c r="HZ238" s="858"/>
      <c r="IA238" s="858"/>
      <c r="IB238" s="858"/>
      <c r="IC238" s="858"/>
      <c r="ID238" s="858"/>
      <c r="IE238" s="858"/>
      <c r="IF238" s="858"/>
      <c r="IG238" s="858"/>
      <c r="IH238" s="858"/>
      <c r="II238" s="858"/>
      <c r="IJ238" s="858"/>
      <c r="IK238" s="858"/>
      <c r="IL238" s="858"/>
      <c r="IM238" s="858"/>
      <c r="IN238" s="858"/>
    </row>
    <row r="239" spans="1:248">
      <c r="A239" s="568" t="s">
        <v>26</v>
      </c>
      <c r="B239" s="566">
        <v>17871.599999999999</v>
      </c>
      <c r="C239" s="566">
        <f t="shared" si="33"/>
        <v>27.972890481929596</v>
      </c>
      <c r="D239" s="569">
        <v>17711.900000000001</v>
      </c>
      <c r="E239" s="859">
        <f t="shared" si="34"/>
        <v>27.722925699259655</v>
      </c>
      <c r="F239" s="859">
        <f t="shared" si="36"/>
        <v>159.69999999999709</v>
      </c>
      <c r="G239" s="859">
        <f t="shared" si="35"/>
        <v>0.24996478266993863</v>
      </c>
      <c r="H239" s="377">
        <v>63889</v>
      </c>
      <c r="I239" s="858"/>
      <c r="J239" s="858"/>
      <c r="K239" s="858"/>
      <c r="L239" s="858"/>
      <c r="M239" s="858"/>
      <c r="N239" s="858"/>
      <c r="O239" s="858"/>
      <c r="P239" s="858"/>
      <c r="Q239" s="858"/>
      <c r="R239" s="858"/>
      <c r="S239" s="858"/>
      <c r="T239" s="858"/>
      <c r="U239" s="858"/>
      <c r="V239" s="858"/>
      <c r="W239" s="858"/>
      <c r="X239" s="858"/>
      <c r="Y239" s="858"/>
      <c r="Z239" s="858"/>
      <c r="AA239" s="858"/>
      <c r="AB239" s="858"/>
      <c r="AC239" s="858"/>
      <c r="AD239" s="858"/>
      <c r="AE239" s="858"/>
      <c r="AF239" s="858"/>
      <c r="AG239" s="858"/>
      <c r="AH239" s="858"/>
      <c r="AI239" s="858"/>
      <c r="AJ239" s="858"/>
      <c r="AK239" s="858"/>
      <c r="AL239" s="858"/>
      <c r="AM239" s="858"/>
      <c r="AN239" s="858"/>
      <c r="AO239" s="858"/>
      <c r="AP239" s="858"/>
      <c r="AQ239" s="858"/>
      <c r="AR239" s="858"/>
      <c r="AS239" s="858"/>
      <c r="AT239" s="858"/>
      <c r="AU239" s="858"/>
      <c r="AV239" s="858"/>
      <c r="AW239" s="858"/>
      <c r="AX239" s="858"/>
      <c r="AY239" s="858"/>
      <c r="AZ239" s="858"/>
      <c r="BA239" s="858"/>
      <c r="BB239" s="858"/>
      <c r="BC239" s="858"/>
      <c r="BD239" s="858"/>
      <c r="BE239" s="858"/>
      <c r="BF239" s="858"/>
      <c r="BG239" s="858"/>
      <c r="BH239" s="858"/>
      <c r="BI239" s="858"/>
      <c r="BJ239" s="858"/>
      <c r="BK239" s="858"/>
      <c r="BL239" s="858"/>
      <c r="BM239" s="858"/>
      <c r="BN239" s="858"/>
      <c r="BO239" s="858"/>
      <c r="BP239" s="858"/>
      <c r="BQ239" s="858"/>
      <c r="BR239" s="858"/>
      <c r="BS239" s="858"/>
      <c r="BT239" s="858"/>
      <c r="BU239" s="858"/>
      <c r="BV239" s="858"/>
      <c r="BW239" s="858"/>
      <c r="BX239" s="858"/>
      <c r="BY239" s="858"/>
      <c r="BZ239" s="858"/>
      <c r="CA239" s="858"/>
      <c r="CB239" s="858"/>
      <c r="CC239" s="858"/>
      <c r="CD239" s="858"/>
      <c r="CE239" s="858"/>
      <c r="CF239" s="858"/>
      <c r="CG239" s="858"/>
      <c r="CH239" s="858"/>
      <c r="CI239" s="858"/>
      <c r="CJ239" s="858"/>
      <c r="CK239" s="858"/>
      <c r="CL239" s="858"/>
      <c r="CM239" s="858"/>
      <c r="CN239" s="858"/>
      <c r="CO239" s="858"/>
      <c r="CP239" s="858"/>
      <c r="CQ239" s="858"/>
      <c r="CR239" s="858"/>
      <c r="CS239" s="858"/>
      <c r="CT239" s="858"/>
      <c r="CU239" s="858"/>
      <c r="CV239" s="858"/>
      <c r="CW239" s="858"/>
      <c r="CX239" s="858"/>
      <c r="CY239" s="858"/>
      <c r="CZ239" s="858"/>
      <c r="DA239" s="858"/>
      <c r="DB239" s="858"/>
      <c r="DC239" s="858"/>
      <c r="DD239" s="858"/>
      <c r="DE239" s="858"/>
      <c r="DF239" s="858"/>
      <c r="DG239" s="858"/>
      <c r="DH239" s="858"/>
      <c r="DI239" s="858"/>
      <c r="DJ239" s="858"/>
      <c r="DK239" s="858"/>
      <c r="DL239" s="858"/>
      <c r="DM239" s="858"/>
      <c r="DN239" s="858"/>
      <c r="DO239" s="858"/>
      <c r="DP239" s="858"/>
      <c r="DQ239" s="858"/>
      <c r="DR239" s="858"/>
      <c r="DS239" s="858"/>
      <c r="DT239" s="858"/>
      <c r="DU239" s="858"/>
      <c r="DV239" s="858"/>
      <c r="DW239" s="858"/>
      <c r="DX239" s="858"/>
      <c r="DY239" s="858"/>
      <c r="DZ239" s="858"/>
      <c r="EA239" s="858"/>
      <c r="EB239" s="858"/>
      <c r="EC239" s="858"/>
      <c r="ED239" s="858"/>
      <c r="EE239" s="858"/>
      <c r="EF239" s="858"/>
      <c r="EG239" s="858"/>
      <c r="EH239" s="858"/>
      <c r="EI239" s="858"/>
      <c r="EJ239" s="858"/>
      <c r="EK239" s="858"/>
      <c r="EL239" s="858"/>
      <c r="EM239" s="858"/>
      <c r="EN239" s="858"/>
      <c r="EO239" s="858"/>
      <c r="EP239" s="858"/>
      <c r="EQ239" s="858"/>
      <c r="ER239" s="858"/>
      <c r="ES239" s="858"/>
      <c r="ET239" s="858"/>
      <c r="EU239" s="858"/>
      <c r="EV239" s="858"/>
      <c r="EW239" s="858"/>
      <c r="EX239" s="858"/>
      <c r="EY239" s="858"/>
      <c r="EZ239" s="858"/>
      <c r="FA239" s="858"/>
      <c r="FB239" s="858"/>
      <c r="FC239" s="858"/>
      <c r="FD239" s="858"/>
      <c r="FE239" s="858"/>
      <c r="FF239" s="858"/>
      <c r="FG239" s="858"/>
      <c r="FH239" s="858"/>
      <c r="FI239" s="858"/>
      <c r="FJ239" s="858"/>
      <c r="FK239" s="858"/>
      <c r="FL239" s="858"/>
      <c r="FM239" s="858"/>
      <c r="FN239" s="858"/>
      <c r="FO239" s="858"/>
      <c r="FP239" s="858"/>
      <c r="FQ239" s="858"/>
      <c r="FR239" s="858"/>
      <c r="FS239" s="858"/>
      <c r="FT239" s="858"/>
      <c r="FU239" s="858"/>
      <c r="FV239" s="858"/>
      <c r="FW239" s="858"/>
      <c r="FX239" s="858"/>
      <c r="FY239" s="858"/>
      <c r="FZ239" s="858"/>
      <c r="GA239" s="858"/>
      <c r="GB239" s="858"/>
      <c r="GC239" s="858"/>
      <c r="GD239" s="858"/>
      <c r="GE239" s="858"/>
      <c r="GF239" s="858"/>
      <c r="GG239" s="858"/>
      <c r="GH239" s="858"/>
      <c r="GI239" s="858"/>
      <c r="GJ239" s="858"/>
      <c r="GK239" s="858"/>
      <c r="GL239" s="858"/>
      <c r="GM239" s="858"/>
      <c r="GN239" s="858"/>
      <c r="GO239" s="858"/>
      <c r="GP239" s="858"/>
      <c r="GQ239" s="858"/>
      <c r="GR239" s="858"/>
      <c r="GS239" s="858"/>
      <c r="GT239" s="858"/>
      <c r="GU239" s="858"/>
      <c r="GV239" s="858"/>
      <c r="GW239" s="858"/>
      <c r="GX239" s="858"/>
      <c r="GY239" s="858"/>
      <c r="GZ239" s="858"/>
      <c r="HA239" s="858"/>
      <c r="HB239" s="858"/>
      <c r="HC239" s="858"/>
      <c r="HD239" s="858"/>
      <c r="HE239" s="858"/>
      <c r="HF239" s="858"/>
      <c r="HG239" s="858"/>
      <c r="HH239" s="858"/>
      <c r="HI239" s="858"/>
      <c r="HJ239" s="858"/>
      <c r="HK239" s="858"/>
      <c r="HL239" s="858"/>
      <c r="HM239" s="858"/>
      <c r="HN239" s="858"/>
      <c r="HO239" s="858"/>
      <c r="HP239" s="858"/>
      <c r="HQ239" s="858"/>
      <c r="HR239" s="858"/>
      <c r="HS239" s="858"/>
      <c r="HT239" s="858"/>
      <c r="HU239" s="858"/>
      <c r="HV239" s="858"/>
      <c r="HW239" s="858"/>
      <c r="HX239" s="858"/>
      <c r="HY239" s="858"/>
      <c r="HZ239" s="858"/>
      <c r="IA239" s="858"/>
      <c r="IB239" s="858"/>
      <c r="IC239" s="858"/>
      <c r="ID239" s="858"/>
      <c r="IE239" s="858"/>
      <c r="IF239" s="858"/>
      <c r="IG239" s="858"/>
      <c r="IH239" s="858"/>
      <c r="II239" s="858"/>
      <c r="IJ239" s="858"/>
      <c r="IK239" s="858"/>
      <c r="IL239" s="858"/>
      <c r="IM239" s="858"/>
      <c r="IN239" s="858"/>
    </row>
    <row r="240" spans="1:248">
      <c r="A240" s="568" t="s">
        <v>27</v>
      </c>
      <c r="B240" s="566">
        <v>20234.2</v>
      </c>
      <c r="C240" s="566">
        <f t="shared" si="33"/>
        <v>27.944779429840434</v>
      </c>
      <c r="D240" s="569">
        <v>20184.7</v>
      </c>
      <c r="E240" s="859">
        <f t="shared" si="34"/>
        <v>27.876416629147688</v>
      </c>
      <c r="F240" s="859">
        <f t="shared" si="36"/>
        <v>49.5</v>
      </c>
      <c r="G240" s="859">
        <f t="shared" si="35"/>
        <v>6.8362800692743045E-2</v>
      </c>
      <c r="H240" s="377">
        <v>72407.8</v>
      </c>
      <c r="I240" s="858"/>
      <c r="J240" s="858"/>
      <c r="K240" s="858"/>
      <c r="L240" s="858"/>
      <c r="M240" s="858"/>
      <c r="N240" s="858"/>
      <c r="O240" s="858"/>
      <c r="P240" s="858"/>
      <c r="Q240" s="858"/>
      <c r="R240" s="858"/>
      <c r="S240" s="858"/>
      <c r="T240" s="858"/>
      <c r="U240" s="858"/>
      <c r="V240" s="858"/>
      <c r="W240" s="858"/>
      <c r="X240" s="858"/>
      <c r="Y240" s="858"/>
      <c r="Z240" s="858"/>
      <c r="AA240" s="858"/>
      <c r="AB240" s="858"/>
      <c r="AC240" s="858"/>
      <c r="AD240" s="858"/>
      <c r="AE240" s="858"/>
      <c r="AF240" s="858"/>
      <c r="AG240" s="858"/>
      <c r="AH240" s="858"/>
      <c r="AI240" s="858"/>
      <c r="AJ240" s="858"/>
      <c r="AK240" s="858"/>
      <c r="AL240" s="858"/>
      <c r="AM240" s="858"/>
      <c r="AN240" s="858"/>
      <c r="AO240" s="858"/>
      <c r="AP240" s="858"/>
      <c r="AQ240" s="858"/>
      <c r="AR240" s="858"/>
      <c r="AS240" s="858"/>
      <c r="AT240" s="858"/>
      <c r="AU240" s="858"/>
      <c r="AV240" s="858"/>
      <c r="AW240" s="858"/>
      <c r="AX240" s="858"/>
      <c r="AY240" s="858"/>
      <c r="AZ240" s="858"/>
      <c r="BA240" s="858"/>
      <c r="BB240" s="858"/>
      <c r="BC240" s="858"/>
      <c r="BD240" s="858"/>
      <c r="BE240" s="858"/>
      <c r="BF240" s="858"/>
      <c r="BG240" s="858"/>
      <c r="BH240" s="858"/>
      <c r="BI240" s="858"/>
      <c r="BJ240" s="858"/>
      <c r="BK240" s="858"/>
      <c r="BL240" s="858"/>
      <c r="BM240" s="858"/>
      <c r="BN240" s="858"/>
      <c r="BO240" s="858"/>
      <c r="BP240" s="858"/>
      <c r="BQ240" s="858"/>
      <c r="BR240" s="858"/>
      <c r="BS240" s="858"/>
      <c r="BT240" s="858"/>
      <c r="BU240" s="858"/>
      <c r="BV240" s="858"/>
      <c r="BW240" s="858"/>
      <c r="BX240" s="858"/>
      <c r="BY240" s="858"/>
      <c r="BZ240" s="858"/>
      <c r="CA240" s="858"/>
      <c r="CB240" s="858"/>
      <c r="CC240" s="858"/>
      <c r="CD240" s="858"/>
      <c r="CE240" s="858"/>
      <c r="CF240" s="858"/>
      <c r="CG240" s="858"/>
      <c r="CH240" s="858"/>
      <c r="CI240" s="858"/>
      <c r="CJ240" s="858"/>
      <c r="CK240" s="858"/>
      <c r="CL240" s="858"/>
      <c r="CM240" s="858"/>
      <c r="CN240" s="858"/>
      <c r="CO240" s="858"/>
      <c r="CP240" s="858"/>
      <c r="CQ240" s="858"/>
      <c r="CR240" s="858"/>
      <c r="CS240" s="858"/>
      <c r="CT240" s="858"/>
      <c r="CU240" s="858"/>
      <c r="CV240" s="858"/>
      <c r="CW240" s="858"/>
      <c r="CX240" s="858"/>
      <c r="CY240" s="858"/>
      <c r="CZ240" s="858"/>
      <c r="DA240" s="858"/>
      <c r="DB240" s="858"/>
      <c r="DC240" s="858"/>
      <c r="DD240" s="858"/>
      <c r="DE240" s="858"/>
      <c r="DF240" s="858"/>
      <c r="DG240" s="858"/>
      <c r="DH240" s="858"/>
      <c r="DI240" s="858"/>
      <c r="DJ240" s="858"/>
      <c r="DK240" s="858"/>
      <c r="DL240" s="858"/>
      <c r="DM240" s="858"/>
      <c r="DN240" s="858"/>
      <c r="DO240" s="858"/>
      <c r="DP240" s="858"/>
      <c r="DQ240" s="858"/>
      <c r="DR240" s="858"/>
      <c r="DS240" s="858"/>
      <c r="DT240" s="858"/>
      <c r="DU240" s="858"/>
      <c r="DV240" s="858"/>
      <c r="DW240" s="858"/>
      <c r="DX240" s="858"/>
      <c r="DY240" s="858"/>
      <c r="DZ240" s="858"/>
      <c r="EA240" s="858"/>
      <c r="EB240" s="858"/>
      <c r="EC240" s="858"/>
      <c r="ED240" s="858"/>
      <c r="EE240" s="858"/>
      <c r="EF240" s="858"/>
      <c r="EG240" s="858"/>
      <c r="EH240" s="858"/>
      <c r="EI240" s="858"/>
      <c r="EJ240" s="858"/>
      <c r="EK240" s="858"/>
      <c r="EL240" s="858"/>
      <c r="EM240" s="858"/>
      <c r="EN240" s="858"/>
      <c r="EO240" s="858"/>
      <c r="EP240" s="858"/>
      <c r="EQ240" s="858"/>
      <c r="ER240" s="858"/>
      <c r="ES240" s="858"/>
      <c r="ET240" s="858"/>
      <c r="EU240" s="858"/>
      <c r="EV240" s="858"/>
      <c r="EW240" s="858"/>
      <c r="EX240" s="858"/>
      <c r="EY240" s="858"/>
      <c r="EZ240" s="858"/>
      <c r="FA240" s="858"/>
      <c r="FB240" s="858"/>
      <c r="FC240" s="858"/>
      <c r="FD240" s="858"/>
      <c r="FE240" s="858"/>
      <c r="FF240" s="858"/>
      <c r="FG240" s="858"/>
      <c r="FH240" s="858"/>
      <c r="FI240" s="858"/>
      <c r="FJ240" s="858"/>
      <c r="FK240" s="858"/>
      <c r="FL240" s="858"/>
      <c r="FM240" s="858"/>
      <c r="FN240" s="858"/>
      <c r="FO240" s="858"/>
      <c r="FP240" s="858"/>
      <c r="FQ240" s="858"/>
      <c r="FR240" s="858"/>
      <c r="FS240" s="858"/>
      <c r="FT240" s="858"/>
      <c r="FU240" s="858"/>
      <c r="FV240" s="858"/>
      <c r="FW240" s="858"/>
      <c r="FX240" s="858"/>
      <c r="FY240" s="858"/>
      <c r="FZ240" s="858"/>
      <c r="GA240" s="858"/>
      <c r="GB240" s="858"/>
      <c r="GC240" s="858"/>
      <c r="GD240" s="858"/>
      <c r="GE240" s="858"/>
      <c r="GF240" s="858"/>
      <c r="GG240" s="858"/>
      <c r="GH240" s="858"/>
      <c r="GI240" s="858"/>
      <c r="GJ240" s="858"/>
      <c r="GK240" s="858"/>
      <c r="GL240" s="858"/>
      <c r="GM240" s="858"/>
      <c r="GN240" s="858"/>
      <c r="GO240" s="858"/>
      <c r="GP240" s="858"/>
      <c r="GQ240" s="858"/>
      <c r="GR240" s="858"/>
      <c r="GS240" s="858"/>
      <c r="GT240" s="858"/>
      <c r="GU240" s="858"/>
      <c r="GV240" s="858"/>
      <c r="GW240" s="858"/>
      <c r="GX240" s="858"/>
      <c r="GY240" s="858"/>
      <c r="GZ240" s="858"/>
      <c r="HA240" s="858"/>
      <c r="HB240" s="858"/>
      <c r="HC240" s="858"/>
      <c r="HD240" s="858"/>
      <c r="HE240" s="858"/>
      <c r="HF240" s="858"/>
      <c r="HG240" s="858"/>
      <c r="HH240" s="858"/>
      <c r="HI240" s="858"/>
      <c r="HJ240" s="858"/>
      <c r="HK240" s="858"/>
      <c r="HL240" s="858"/>
      <c r="HM240" s="858"/>
      <c r="HN240" s="858"/>
      <c r="HO240" s="858"/>
      <c r="HP240" s="858"/>
      <c r="HQ240" s="858"/>
      <c r="HR240" s="858"/>
      <c r="HS240" s="858"/>
      <c r="HT240" s="858"/>
      <c r="HU240" s="858"/>
      <c r="HV240" s="858"/>
      <c r="HW240" s="858"/>
      <c r="HX240" s="858"/>
      <c r="HY240" s="858"/>
      <c r="HZ240" s="858"/>
      <c r="IA240" s="858"/>
      <c r="IB240" s="858"/>
      <c r="IC240" s="858"/>
      <c r="ID240" s="858"/>
      <c r="IE240" s="858"/>
      <c r="IF240" s="858"/>
      <c r="IG240" s="858"/>
      <c r="IH240" s="858"/>
      <c r="II240" s="858"/>
      <c r="IJ240" s="858"/>
      <c r="IK240" s="858"/>
      <c r="IL240" s="858"/>
      <c r="IM240" s="858"/>
      <c r="IN240" s="858"/>
    </row>
    <row r="241" spans="1:248">
      <c r="A241" s="568" t="s">
        <v>28</v>
      </c>
      <c r="B241" s="566">
        <v>22725.3</v>
      </c>
      <c r="C241" s="566">
        <v>28.164341254359375</v>
      </c>
      <c r="D241" s="569">
        <v>22309.5</v>
      </c>
      <c r="E241" s="859">
        <v>27.649024268728269</v>
      </c>
      <c r="F241" s="859">
        <v>415.79999999999927</v>
      </c>
      <c r="G241" s="859">
        <f t="shared" si="35"/>
        <v>0.51269594467125357</v>
      </c>
      <c r="H241" s="377">
        <v>81100.7</v>
      </c>
      <c r="I241" s="858"/>
      <c r="J241" s="858"/>
      <c r="K241" s="858"/>
      <c r="L241" s="858"/>
      <c r="M241" s="858"/>
      <c r="N241" s="858"/>
      <c r="O241" s="858"/>
      <c r="P241" s="858"/>
      <c r="Q241" s="858"/>
      <c r="R241" s="858"/>
      <c r="S241" s="858"/>
      <c r="T241" s="858"/>
      <c r="U241" s="858"/>
      <c r="V241" s="858"/>
      <c r="W241" s="858"/>
      <c r="X241" s="858"/>
      <c r="Y241" s="858"/>
      <c r="Z241" s="858"/>
      <c r="AA241" s="858"/>
      <c r="AB241" s="858"/>
      <c r="AC241" s="858"/>
      <c r="AD241" s="858"/>
      <c r="AE241" s="858"/>
      <c r="AF241" s="858"/>
      <c r="AG241" s="858"/>
      <c r="AH241" s="858"/>
      <c r="AI241" s="858"/>
      <c r="AJ241" s="858"/>
      <c r="AK241" s="858"/>
      <c r="AL241" s="858"/>
      <c r="AM241" s="858"/>
      <c r="AN241" s="858"/>
      <c r="AO241" s="858"/>
      <c r="AP241" s="858"/>
      <c r="AQ241" s="858"/>
      <c r="AR241" s="858"/>
      <c r="AS241" s="858"/>
      <c r="AT241" s="858"/>
      <c r="AU241" s="858"/>
      <c r="AV241" s="858"/>
      <c r="AW241" s="858"/>
      <c r="AX241" s="858"/>
      <c r="AY241" s="858"/>
      <c r="AZ241" s="858"/>
      <c r="BA241" s="858"/>
      <c r="BB241" s="858"/>
      <c r="BC241" s="858"/>
      <c r="BD241" s="858"/>
      <c r="BE241" s="858"/>
      <c r="BF241" s="858"/>
      <c r="BG241" s="858"/>
      <c r="BH241" s="858"/>
      <c r="BI241" s="858"/>
      <c r="BJ241" s="858"/>
      <c r="BK241" s="858"/>
      <c r="BL241" s="858"/>
      <c r="BM241" s="858"/>
      <c r="BN241" s="858"/>
      <c r="BO241" s="858"/>
      <c r="BP241" s="858"/>
      <c r="BQ241" s="858"/>
      <c r="BR241" s="858"/>
      <c r="BS241" s="858"/>
      <c r="BT241" s="858"/>
      <c r="BU241" s="858"/>
      <c r="BV241" s="858"/>
      <c r="BW241" s="858"/>
      <c r="BX241" s="858"/>
      <c r="BY241" s="858"/>
      <c r="BZ241" s="858"/>
      <c r="CA241" s="858"/>
      <c r="CB241" s="858"/>
      <c r="CC241" s="858"/>
      <c r="CD241" s="858"/>
      <c r="CE241" s="858"/>
      <c r="CF241" s="858"/>
      <c r="CG241" s="858"/>
      <c r="CH241" s="858"/>
      <c r="CI241" s="858"/>
      <c r="CJ241" s="858"/>
      <c r="CK241" s="858"/>
      <c r="CL241" s="858"/>
      <c r="CM241" s="858"/>
      <c r="CN241" s="858"/>
      <c r="CO241" s="858"/>
      <c r="CP241" s="858"/>
      <c r="CQ241" s="858"/>
      <c r="CR241" s="858"/>
      <c r="CS241" s="858"/>
      <c r="CT241" s="858"/>
      <c r="CU241" s="858"/>
      <c r="CV241" s="858"/>
      <c r="CW241" s="858"/>
      <c r="CX241" s="858"/>
      <c r="CY241" s="858"/>
      <c r="CZ241" s="858"/>
      <c r="DA241" s="858"/>
      <c r="DB241" s="858"/>
      <c r="DC241" s="858"/>
      <c r="DD241" s="858"/>
      <c r="DE241" s="858"/>
      <c r="DF241" s="858"/>
      <c r="DG241" s="858"/>
      <c r="DH241" s="858"/>
      <c r="DI241" s="858"/>
      <c r="DJ241" s="858"/>
      <c r="DK241" s="858"/>
      <c r="DL241" s="858"/>
      <c r="DM241" s="858"/>
      <c r="DN241" s="858"/>
      <c r="DO241" s="858"/>
      <c r="DP241" s="858"/>
      <c r="DQ241" s="858"/>
      <c r="DR241" s="858"/>
      <c r="DS241" s="858"/>
      <c r="DT241" s="858"/>
      <c r="DU241" s="858"/>
      <c r="DV241" s="858"/>
      <c r="DW241" s="858"/>
      <c r="DX241" s="858"/>
      <c r="DY241" s="858"/>
      <c r="DZ241" s="858"/>
      <c r="EA241" s="858"/>
      <c r="EB241" s="858"/>
      <c r="EC241" s="858"/>
      <c r="ED241" s="858"/>
      <c r="EE241" s="858"/>
      <c r="EF241" s="858"/>
      <c r="EG241" s="858"/>
      <c r="EH241" s="858"/>
      <c r="EI241" s="858"/>
      <c r="EJ241" s="858"/>
      <c r="EK241" s="858"/>
      <c r="EL241" s="858"/>
      <c r="EM241" s="858"/>
      <c r="EN241" s="858"/>
      <c r="EO241" s="858"/>
      <c r="EP241" s="858"/>
      <c r="EQ241" s="858"/>
      <c r="ER241" s="858"/>
      <c r="ES241" s="858"/>
      <c r="ET241" s="858"/>
      <c r="EU241" s="858"/>
      <c r="EV241" s="858"/>
      <c r="EW241" s="858"/>
      <c r="EX241" s="858"/>
      <c r="EY241" s="858"/>
      <c r="EZ241" s="858"/>
      <c r="FA241" s="858"/>
      <c r="FB241" s="858"/>
      <c r="FC241" s="858"/>
      <c r="FD241" s="858"/>
      <c r="FE241" s="858"/>
      <c r="FF241" s="858"/>
      <c r="FG241" s="858"/>
      <c r="FH241" s="858"/>
      <c r="FI241" s="858"/>
      <c r="FJ241" s="858"/>
      <c r="FK241" s="858"/>
      <c r="FL241" s="858"/>
      <c r="FM241" s="858"/>
      <c r="FN241" s="858"/>
      <c r="FO241" s="858"/>
      <c r="FP241" s="858"/>
      <c r="FQ241" s="858"/>
      <c r="FR241" s="858"/>
      <c r="FS241" s="858"/>
      <c r="FT241" s="858"/>
      <c r="FU241" s="858"/>
      <c r="FV241" s="858"/>
      <c r="FW241" s="858"/>
      <c r="FX241" s="858"/>
      <c r="FY241" s="858"/>
      <c r="FZ241" s="858"/>
      <c r="GA241" s="858"/>
      <c r="GB241" s="858"/>
      <c r="GC241" s="858"/>
      <c r="GD241" s="858"/>
      <c r="GE241" s="858"/>
      <c r="GF241" s="858"/>
      <c r="GG241" s="858"/>
      <c r="GH241" s="858"/>
      <c r="GI241" s="858"/>
      <c r="GJ241" s="858"/>
      <c r="GK241" s="858"/>
      <c r="GL241" s="858"/>
      <c r="GM241" s="858"/>
      <c r="GN241" s="858"/>
      <c r="GO241" s="858"/>
      <c r="GP241" s="858"/>
      <c r="GQ241" s="858"/>
      <c r="GR241" s="858"/>
      <c r="GS241" s="858"/>
      <c r="GT241" s="858"/>
      <c r="GU241" s="858"/>
      <c r="GV241" s="858"/>
      <c r="GW241" s="858"/>
      <c r="GX241" s="858"/>
      <c r="GY241" s="858"/>
      <c r="GZ241" s="858"/>
      <c r="HA241" s="858"/>
      <c r="HB241" s="858"/>
      <c r="HC241" s="858"/>
      <c r="HD241" s="858"/>
      <c r="HE241" s="858"/>
      <c r="HF241" s="858"/>
      <c r="HG241" s="858"/>
      <c r="HH241" s="858"/>
      <c r="HI241" s="858"/>
      <c r="HJ241" s="858"/>
      <c r="HK241" s="858"/>
      <c r="HL241" s="858"/>
      <c r="HM241" s="858"/>
      <c r="HN241" s="858"/>
      <c r="HO241" s="858"/>
      <c r="HP241" s="858"/>
      <c r="HQ241" s="858"/>
      <c r="HR241" s="858"/>
      <c r="HS241" s="858"/>
      <c r="HT241" s="858"/>
      <c r="HU241" s="858"/>
      <c r="HV241" s="858"/>
      <c r="HW241" s="858"/>
      <c r="HX241" s="858"/>
      <c r="HY241" s="858"/>
      <c r="HZ241" s="858"/>
      <c r="IA241" s="858"/>
      <c r="IB241" s="858"/>
      <c r="IC241" s="858"/>
      <c r="ID241" s="858"/>
      <c r="IE241" s="858"/>
      <c r="IF241" s="858"/>
      <c r="IG241" s="858"/>
      <c r="IH241" s="858"/>
      <c r="II241" s="858"/>
      <c r="IJ241" s="858"/>
      <c r="IK241" s="858"/>
      <c r="IL241" s="858"/>
      <c r="IM241" s="858"/>
      <c r="IN241" s="858"/>
    </row>
    <row r="242" spans="1:248">
      <c r="A242" s="568" t="s">
        <v>29</v>
      </c>
      <c r="B242" s="566">
        <v>26396.3</v>
      </c>
      <c r="C242" s="566">
        <v>28.451167754531937</v>
      </c>
      <c r="D242" s="569">
        <v>27422.400000000001</v>
      </c>
      <c r="E242" s="859">
        <v>29.52129979527815</v>
      </c>
      <c r="F242" s="859">
        <f>B242-D242</f>
        <v>-1026.1000000000022</v>
      </c>
      <c r="G242" s="859">
        <f t="shared" ref="G242" si="37">F242/H242*100</f>
        <v>-1.1009278651376802</v>
      </c>
      <c r="H242" s="377">
        <v>93203.199999999997</v>
      </c>
      <c r="I242" s="858"/>
      <c r="J242" s="858"/>
      <c r="K242" s="858"/>
      <c r="L242" s="858"/>
      <c r="M242" s="858"/>
      <c r="N242" s="858"/>
      <c r="O242" s="858"/>
      <c r="P242" s="858"/>
      <c r="Q242" s="858"/>
      <c r="R242" s="858"/>
      <c r="S242" s="858"/>
      <c r="T242" s="858"/>
      <c r="U242" s="858"/>
      <c r="V242" s="858"/>
      <c r="W242" s="858"/>
      <c r="X242" s="858"/>
      <c r="Y242" s="858"/>
      <c r="Z242" s="858"/>
      <c r="AA242" s="858"/>
      <c r="AB242" s="858"/>
      <c r="AC242" s="858"/>
      <c r="AD242" s="858"/>
      <c r="AE242" s="858"/>
      <c r="AF242" s="858"/>
      <c r="AG242" s="858"/>
      <c r="AH242" s="858"/>
      <c r="AI242" s="858"/>
      <c r="AJ242" s="858"/>
      <c r="AK242" s="858"/>
      <c r="AL242" s="858"/>
      <c r="AM242" s="858"/>
      <c r="AN242" s="858"/>
      <c r="AO242" s="858"/>
      <c r="AP242" s="858"/>
      <c r="AQ242" s="858"/>
      <c r="AR242" s="858"/>
      <c r="AS242" s="858"/>
      <c r="AT242" s="858"/>
      <c r="AU242" s="858"/>
      <c r="AV242" s="858"/>
      <c r="AW242" s="858"/>
      <c r="AX242" s="858"/>
      <c r="AY242" s="858"/>
      <c r="AZ242" s="858"/>
      <c r="BA242" s="858"/>
      <c r="BB242" s="858"/>
      <c r="BC242" s="858"/>
      <c r="BD242" s="858"/>
      <c r="BE242" s="858"/>
      <c r="BF242" s="858"/>
      <c r="BG242" s="858"/>
      <c r="BH242" s="858"/>
      <c r="BI242" s="858"/>
      <c r="BJ242" s="858"/>
      <c r="BK242" s="858"/>
      <c r="BL242" s="858"/>
      <c r="BM242" s="858"/>
      <c r="BN242" s="858"/>
      <c r="BO242" s="858"/>
      <c r="BP242" s="858"/>
      <c r="BQ242" s="858"/>
      <c r="BR242" s="858"/>
      <c r="BS242" s="858"/>
      <c r="BT242" s="858"/>
      <c r="BU242" s="858"/>
      <c r="BV242" s="858"/>
      <c r="BW242" s="858"/>
      <c r="BX242" s="858"/>
      <c r="BY242" s="858"/>
      <c r="BZ242" s="858"/>
      <c r="CA242" s="858"/>
      <c r="CB242" s="858"/>
      <c r="CC242" s="858"/>
      <c r="CD242" s="858"/>
      <c r="CE242" s="858"/>
      <c r="CF242" s="858"/>
      <c r="CG242" s="858"/>
      <c r="CH242" s="858"/>
      <c r="CI242" s="858"/>
      <c r="CJ242" s="858"/>
      <c r="CK242" s="858"/>
      <c r="CL242" s="858"/>
      <c r="CM242" s="858"/>
      <c r="CN242" s="858"/>
      <c r="CO242" s="858"/>
      <c r="CP242" s="858"/>
      <c r="CQ242" s="858"/>
      <c r="CR242" s="858"/>
      <c r="CS242" s="858"/>
      <c r="CT242" s="858"/>
      <c r="CU242" s="858"/>
      <c r="CV242" s="858"/>
      <c r="CW242" s="858"/>
      <c r="CX242" s="858"/>
      <c r="CY242" s="858"/>
      <c r="CZ242" s="858"/>
      <c r="DA242" s="858"/>
      <c r="DB242" s="858"/>
      <c r="DC242" s="858"/>
      <c r="DD242" s="858"/>
      <c r="DE242" s="858"/>
      <c r="DF242" s="858"/>
      <c r="DG242" s="858"/>
      <c r="DH242" s="858"/>
      <c r="DI242" s="858"/>
      <c r="DJ242" s="858"/>
      <c r="DK242" s="858"/>
      <c r="DL242" s="858"/>
      <c r="DM242" s="858"/>
      <c r="DN242" s="858"/>
      <c r="DO242" s="858"/>
      <c r="DP242" s="858"/>
      <c r="DQ242" s="858"/>
      <c r="DR242" s="858"/>
      <c r="DS242" s="858"/>
      <c r="DT242" s="858"/>
      <c r="DU242" s="858"/>
      <c r="DV242" s="858"/>
      <c r="DW242" s="858"/>
      <c r="DX242" s="858"/>
      <c r="DY242" s="858"/>
      <c r="DZ242" s="858"/>
      <c r="EA242" s="858"/>
      <c r="EB242" s="858"/>
      <c r="EC242" s="858"/>
      <c r="ED242" s="858"/>
      <c r="EE242" s="858"/>
      <c r="EF242" s="858"/>
      <c r="EG242" s="858"/>
      <c r="EH242" s="858"/>
      <c r="EI242" s="858"/>
      <c r="EJ242" s="858"/>
      <c r="EK242" s="858"/>
      <c r="EL242" s="858"/>
      <c r="EM242" s="858"/>
      <c r="EN242" s="858"/>
      <c r="EO242" s="858"/>
      <c r="EP242" s="858"/>
      <c r="EQ242" s="858"/>
      <c r="ER242" s="858"/>
      <c r="ES242" s="858"/>
      <c r="ET242" s="858"/>
      <c r="EU242" s="858"/>
      <c r="EV242" s="858"/>
      <c r="EW242" s="858"/>
      <c r="EX242" s="858"/>
      <c r="EY242" s="858"/>
      <c r="EZ242" s="858"/>
      <c r="FA242" s="858"/>
      <c r="FB242" s="858"/>
      <c r="FC242" s="858"/>
      <c r="FD242" s="858"/>
      <c r="FE242" s="858"/>
      <c r="FF242" s="858"/>
      <c r="FG242" s="858"/>
      <c r="FH242" s="858"/>
      <c r="FI242" s="858"/>
      <c r="FJ242" s="858"/>
      <c r="FK242" s="858"/>
      <c r="FL242" s="858"/>
      <c r="FM242" s="858"/>
      <c r="FN242" s="858"/>
      <c r="FO242" s="858"/>
      <c r="FP242" s="858"/>
      <c r="FQ242" s="858"/>
      <c r="FR242" s="858"/>
      <c r="FS242" s="858"/>
      <c r="FT242" s="858"/>
      <c r="FU242" s="858"/>
      <c r="FV242" s="858"/>
      <c r="FW242" s="858"/>
      <c r="FX242" s="858"/>
      <c r="FY242" s="858"/>
      <c r="FZ242" s="858"/>
      <c r="GA242" s="858"/>
      <c r="GB242" s="858"/>
      <c r="GC242" s="858"/>
      <c r="GD242" s="858"/>
      <c r="GE242" s="858"/>
      <c r="GF242" s="858"/>
      <c r="GG242" s="858"/>
      <c r="GH242" s="858"/>
      <c r="GI242" s="858"/>
      <c r="GJ242" s="858"/>
      <c r="GK242" s="858"/>
      <c r="GL242" s="858"/>
      <c r="GM242" s="858"/>
      <c r="GN242" s="858"/>
      <c r="GO242" s="858"/>
      <c r="GP242" s="858"/>
      <c r="GQ242" s="858"/>
      <c r="GR242" s="858"/>
      <c r="GS242" s="858"/>
      <c r="GT242" s="858"/>
      <c r="GU242" s="858"/>
      <c r="GV242" s="858"/>
      <c r="GW242" s="858"/>
      <c r="GX242" s="858"/>
      <c r="GY242" s="858"/>
      <c r="GZ242" s="858"/>
      <c r="HA242" s="858"/>
      <c r="HB242" s="858"/>
      <c r="HC242" s="858"/>
      <c r="HD242" s="858"/>
      <c r="HE242" s="858"/>
      <c r="HF242" s="858"/>
      <c r="HG242" s="858"/>
      <c r="HH242" s="858"/>
      <c r="HI242" s="858"/>
      <c r="HJ242" s="858"/>
      <c r="HK242" s="858"/>
      <c r="HL242" s="858"/>
      <c r="HM242" s="858"/>
      <c r="HN242" s="858"/>
      <c r="HO242" s="858"/>
      <c r="HP242" s="858"/>
      <c r="HQ242" s="858"/>
      <c r="HR242" s="858"/>
      <c r="HS242" s="858"/>
      <c r="HT242" s="858"/>
      <c r="HU242" s="858"/>
      <c r="HV242" s="858"/>
      <c r="HW242" s="858"/>
      <c r="HX242" s="858"/>
      <c r="HY242" s="858"/>
      <c r="HZ242" s="858"/>
      <c r="IA242" s="858"/>
      <c r="IB242" s="858"/>
      <c r="IC242" s="858"/>
      <c r="ID242" s="858"/>
      <c r="IE242" s="858"/>
      <c r="IF242" s="858"/>
      <c r="IG242" s="858"/>
      <c r="IH242" s="858"/>
      <c r="II242" s="858"/>
      <c r="IJ242" s="858"/>
      <c r="IK242" s="858"/>
      <c r="IL242" s="858"/>
      <c r="IM242" s="858"/>
      <c r="IN242" s="858"/>
    </row>
    <row r="243" spans="1:248">
      <c r="A243" s="568" t="s">
        <v>2812</v>
      </c>
      <c r="B243" s="561">
        <v>30679.599999999999</v>
      </c>
      <c r="C243" s="561">
        <v>22.910754129622244</v>
      </c>
      <c r="D243" s="565">
        <v>32064.6</v>
      </c>
      <c r="E243" s="860">
        <v>23.958982498143115</v>
      </c>
      <c r="F243" s="860">
        <v>-1385</v>
      </c>
      <c r="G243" s="860">
        <v>-1.0349274952961238</v>
      </c>
      <c r="H243" s="377"/>
      <c r="I243" s="858"/>
      <c r="J243" s="858"/>
      <c r="K243" s="858"/>
      <c r="L243" s="858"/>
      <c r="M243" s="858"/>
      <c r="N243" s="858"/>
      <c r="O243" s="858"/>
      <c r="P243" s="858"/>
      <c r="Q243" s="858"/>
      <c r="R243" s="858"/>
      <c r="S243" s="858"/>
      <c r="T243" s="858"/>
      <c r="U243" s="858"/>
      <c r="V243" s="858"/>
      <c r="W243" s="858"/>
      <c r="X243" s="858"/>
      <c r="Y243" s="858"/>
      <c r="Z243" s="858"/>
      <c r="AA243" s="858"/>
      <c r="AB243" s="858"/>
      <c r="AC243" s="858"/>
      <c r="AD243" s="858"/>
      <c r="AE243" s="858"/>
      <c r="AF243" s="858"/>
      <c r="AG243" s="858"/>
      <c r="AH243" s="858"/>
      <c r="AI243" s="858"/>
      <c r="AJ243" s="858"/>
      <c r="AK243" s="858"/>
      <c r="AL243" s="858"/>
      <c r="AM243" s="858"/>
      <c r="AN243" s="858"/>
      <c r="AO243" s="858"/>
      <c r="AP243" s="858"/>
      <c r="AQ243" s="858"/>
      <c r="AR243" s="858"/>
      <c r="AS243" s="858"/>
      <c r="AT243" s="858"/>
      <c r="AU243" s="858"/>
      <c r="AV243" s="858"/>
      <c r="AW243" s="858"/>
      <c r="AX243" s="858"/>
      <c r="AY243" s="858"/>
      <c r="AZ243" s="858"/>
      <c r="BA243" s="858"/>
      <c r="BB243" s="858"/>
      <c r="BC243" s="858"/>
      <c r="BD243" s="858"/>
      <c r="BE243" s="858"/>
      <c r="BF243" s="858"/>
      <c r="BG243" s="858"/>
      <c r="BH243" s="858"/>
      <c r="BI243" s="858"/>
      <c r="BJ243" s="858"/>
      <c r="BK243" s="858"/>
      <c r="BL243" s="858"/>
      <c r="BM243" s="858"/>
      <c r="BN243" s="858"/>
      <c r="BO243" s="858"/>
      <c r="BP243" s="858"/>
      <c r="BQ243" s="858"/>
      <c r="BR243" s="858"/>
      <c r="BS243" s="858"/>
      <c r="BT243" s="858"/>
      <c r="BU243" s="858"/>
      <c r="BV243" s="858"/>
      <c r="BW243" s="858"/>
      <c r="BX243" s="858"/>
      <c r="BY243" s="858"/>
      <c r="BZ243" s="858"/>
      <c r="CA243" s="858"/>
      <c r="CB243" s="858"/>
      <c r="CC243" s="858"/>
      <c r="CD243" s="858"/>
      <c r="CE243" s="858"/>
      <c r="CF243" s="858"/>
      <c r="CG243" s="858"/>
      <c r="CH243" s="858"/>
      <c r="CI243" s="858"/>
      <c r="CJ243" s="858"/>
      <c r="CK243" s="858"/>
      <c r="CL243" s="858"/>
      <c r="CM243" s="858"/>
      <c r="CN243" s="858"/>
      <c r="CO243" s="858"/>
      <c r="CP243" s="858"/>
      <c r="CQ243" s="858"/>
      <c r="CR243" s="858"/>
      <c r="CS243" s="858"/>
      <c r="CT243" s="858"/>
      <c r="CU243" s="858"/>
      <c r="CV243" s="858"/>
      <c r="CW243" s="858"/>
      <c r="CX243" s="858"/>
      <c r="CY243" s="858"/>
      <c r="CZ243" s="858"/>
      <c r="DA243" s="858"/>
      <c r="DB243" s="858"/>
      <c r="DC243" s="858"/>
      <c r="DD243" s="858"/>
      <c r="DE243" s="858"/>
      <c r="DF243" s="858"/>
      <c r="DG243" s="858"/>
      <c r="DH243" s="858"/>
      <c r="DI243" s="858"/>
      <c r="DJ243" s="858"/>
      <c r="DK243" s="858"/>
      <c r="DL243" s="858"/>
      <c r="DM243" s="858"/>
      <c r="DN243" s="858"/>
      <c r="DO243" s="858"/>
      <c r="DP243" s="858"/>
      <c r="DQ243" s="858"/>
      <c r="DR243" s="858"/>
      <c r="DS243" s="858"/>
      <c r="DT243" s="858"/>
      <c r="DU243" s="858"/>
      <c r="DV243" s="858"/>
      <c r="DW243" s="858"/>
      <c r="DX243" s="858"/>
      <c r="DY243" s="858"/>
      <c r="DZ243" s="858"/>
      <c r="EA243" s="858"/>
      <c r="EB243" s="858"/>
      <c r="EC243" s="858"/>
      <c r="ED243" s="858"/>
      <c r="EE243" s="858"/>
      <c r="EF243" s="858"/>
      <c r="EG243" s="858"/>
      <c r="EH243" s="858"/>
      <c r="EI243" s="858"/>
      <c r="EJ243" s="858"/>
      <c r="EK243" s="858"/>
      <c r="EL243" s="858"/>
      <c r="EM243" s="858"/>
      <c r="EN243" s="858"/>
      <c r="EO243" s="858"/>
      <c r="EP243" s="858"/>
      <c r="EQ243" s="858"/>
      <c r="ER243" s="858"/>
      <c r="ES243" s="858"/>
      <c r="ET243" s="858"/>
      <c r="EU243" s="858"/>
      <c r="EV243" s="858"/>
      <c r="EW243" s="858"/>
      <c r="EX243" s="858"/>
      <c r="EY243" s="858"/>
      <c r="EZ243" s="858"/>
      <c r="FA243" s="858"/>
      <c r="FB243" s="858"/>
      <c r="FC243" s="858"/>
      <c r="FD243" s="858"/>
      <c r="FE243" s="858"/>
      <c r="FF243" s="858"/>
      <c r="FG243" s="858"/>
      <c r="FH243" s="858"/>
      <c r="FI243" s="858"/>
      <c r="FJ243" s="858"/>
      <c r="FK243" s="858"/>
      <c r="FL243" s="858"/>
      <c r="FM243" s="858"/>
      <c r="FN243" s="858"/>
      <c r="FO243" s="858"/>
      <c r="FP243" s="858"/>
      <c r="FQ243" s="858"/>
      <c r="FR243" s="858"/>
      <c r="FS243" s="858"/>
      <c r="FT243" s="858"/>
      <c r="FU243" s="858"/>
      <c r="FV243" s="858"/>
      <c r="FW243" s="858"/>
      <c r="FX243" s="858"/>
      <c r="FY243" s="858"/>
      <c r="FZ243" s="858"/>
      <c r="GA243" s="858"/>
      <c r="GB243" s="858"/>
      <c r="GC243" s="858"/>
      <c r="GD243" s="858"/>
      <c r="GE243" s="858"/>
      <c r="GF243" s="858"/>
      <c r="GG243" s="858"/>
      <c r="GH243" s="858"/>
      <c r="GI243" s="858"/>
      <c r="GJ243" s="858"/>
      <c r="GK243" s="858"/>
      <c r="GL243" s="858"/>
      <c r="GM243" s="858"/>
      <c r="GN243" s="858"/>
      <c r="GO243" s="858"/>
      <c r="GP243" s="858"/>
      <c r="GQ243" s="858"/>
      <c r="GR243" s="858"/>
      <c r="GS243" s="858"/>
      <c r="GT243" s="858"/>
      <c r="GU243" s="858"/>
      <c r="GV243" s="858"/>
      <c r="GW243" s="858"/>
      <c r="GX243" s="858"/>
      <c r="GY243" s="858"/>
      <c r="GZ243" s="858"/>
      <c r="HA243" s="858"/>
      <c r="HB243" s="858"/>
      <c r="HC243" s="858"/>
      <c r="HD243" s="858"/>
      <c r="HE243" s="858"/>
      <c r="HF243" s="858"/>
      <c r="HG243" s="858"/>
      <c r="HH243" s="858"/>
      <c r="HI243" s="858"/>
      <c r="HJ243" s="858"/>
      <c r="HK243" s="858"/>
      <c r="HL243" s="858"/>
      <c r="HM243" s="858"/>
      <c r="HN243" s="858"/>
      <c r="HO243" s="858"/>
      <c r="HP243" s="858"/>
      <c r="HQ243" s="858"/>
      <c r="HR243" s="858"/>
      <c r="HS243" s="858"/>
      <c r="HT243" s="858"/>
      <c r="HU243" s="858"/>
      <c r="HV243" s="858"/>
      <c r="HW243" s="858"/>
      <c r="HX243" s="858"/>
      <c r="HY243" s="858"/>
      <c r="HZ243" s="858"/>
      <c r="IA243" s="858"/>
      <c r="IB243" s="858"/>
      <c r="IC243" s="858"/>
      <c r="ID243" s="858"/>
      <c r="IE243" s="858"/>
      <c r="IF243" s="858"/>
      <c r="IG243" s="858"/>
      <c r="IH243" s="858"/>
      <c r="II243" s="858"/>
      <c r="IJ243" s="858"/>
      <c r="IK243" s="858"/>
      <c r="IL243" s="858"/>
      <c r="IM243" s="858"/>
      <c r="IN243" s="858"/>
    </row>
    <row r="244" spans="1:248">
      <c r="A244" s="568" t="s">
        <v>18</v>
      </c>
      <c r="B244" s="566">
        <v>2746.9</v>
      </c>
      <c r="C244" s="566">
        <v>29.671837193225027</v>
      </c>
      <c r="D244" s="569">
        <v>983.4</v>
      </c>
      <c r="E244" s="859">
        <v>10.622623574144487</v>
      </c>
      <c r="F244" s="859">
        <v>1763.5</v>
      </c>
      <c r="G244" s="859">
        <f t="shared" si="35"/>
        <v>19.049213619080536</v>
      </c>
      <c r="H244" s="377">
        <v>9257.6</v>
      </c>
      <c r="I244" s="858"/>
      <c r="J244" s="858"/>
      <c r="K244" s="858"/>
      <c r="L244" s="858"/>
      <c r="M244" s="858"/>
      <c r="N244" s="858"/>
      <c r="O244" s="858"/>
      <c r="P244" s="858"/>
      <c r="Q244" s="858"/>
      <c r="R244" s="858"/>
      <c r="S244" s="858"/>
      <c r="T244" s="858"/>
      <c r="U244" s="858"/>
      <c r="V244" s="858"/>
      <c r="W244" s="858"/>
      <c r="X244" s="858"/>
      <c r="Y244" s="858"/>
      <c r="Z244" s="858"/>
      <c r="AA244" s="858"/>
      <c r="AB244" s="858"/>
      <c r="AC244" s="858"/>
      <c r="AD244" s="858"/>
      <c r="AE244" s="858"/>
      <c r="AF244" s="858"/>
      <c r="AG244" s="858"/>
      <c r="AH244" s="858"/>
      <c r="AI244" s="858"/>
      <c r="AJ244" s="858"/>
      <c r="AK244" s="858"/>
      <c r="AL244" s="858"/>
      <c r="AM244" s="858"/>
      <c r="AN244" s="858"/>
      <c r="AO244" s="858"/>
      <c r="AP244" s="858"/>
      <c r="AQ244" s="858"/>
      <c r="AR244" s="858"/>
      <c r="AS244" s="858"/>
      <c r="AT244" s="858"/>
      <c r="AU244" s="858"/>
      <c r="AV244" s="858"/>
      <c r="AW244" s="858"/>
      <c r="AX244" s="858"/>
      <c r="AY244" s="858"/>
      <c r="AZ244" s="858"/>
      <c r="BA244" s="858"/>
      <c r="BB244" s="858"/>
      <c r="BC244" s="858"/>
      <c r="BD244" s="858"/>
      <c r="BE244" s="858"/>
      <c r="BF244" s="858"/>
      <c r="BG244" s="858"/>
      <c r="BH244" s="858"/>
      <c r="BI244" s="858"/>
      <c r="BJ244" s="858"/>
      <c r="BK244" s="858"/>
      <c r="BL244" s="858"/>
      <c r="BM244" s="858"/>
      <c r="BN244" s="858"/>
      <c r="BO244" s="858"/>
      <c r="BP244" s="858"/>
      <c r="BQ244" s="858"/>
      <c r="BR244" s="858"/>
      <c r="BS244" s="858"/>
      <c r="BT244" s="858"/>
      <c r="BU244" s="858"/>
      <c r="BV244" s="858"/>
      <c r="BW244" s="858"/>
      <c r="BX244" s="858"/>
      <c r="BY244" s="858"/>
      <c r="BZ244" s="858"/>
      <c r="CA244" s="858"/>
      <c r="CB244" s="858"/>
      <c r="CC244" s="858"/>
      <c r="CD244" s="858"/>
      <c r="CE244" s="858"/>
      <c r="CF244" s="858"/>
      <c r="CG244" s="858"/>
      <c r="CH244" s="858"/>
      <c r="CI244" s="858"/>
      <c r="CJ244" s="858"/>
      <c r="CK244" s="858"/>
      <c r="CL244" s="858"/>
      <c r="CM244" s="858"/>
      <c r="CN244" s="858"/>
      <c r="CO244" s="858"/>
      <c r="CP244" s="858"/>
      <c r="CQ244" s="858"/>
      <c r="CR244" s="858"/>
      <c r="CS244" s="858"/>
      <c r="CT244" s="858"/>
      <c r="CU244" s="858"/>
      <c r="CV244" s="858"/>
      <c r="CW244" s="858"/>
      <c r="CX244" s="858"/>
      <c r="CY244" s="858"/>
      <c r="CZ244" s="858"/>
      <c r="DA244" s="858"/>
      <c r="DB244" s="858"/>
      <c r="DC244" s="858"/>
      <c r="DD244" s="858"/>
      <c r="DE244" s="858"/>
      <c r="DF244" s="858"/>
      <c r="DG244" s="858"/>
      <c r="DH244" s="858"/>
      <c r="DI244" s="858"/>
      <c r="DJ244" s="858"/>
      <c r="DK244" s="858"/>
      <c r="DL244" s="858"/>
      <c r="DM244" s="858"/>
      <c r="DN244" s="858"/>
      <c r="DO244" s="858"/>
      <c r="DP244" s="858"/>
      <c r="DQ244" s="858"/>
      <c r="DR244" s="858"/>
      <c r="DS244" s="858"/>
      <c r="DT244" s="858"/>
      <c r="DU244" s="858"/>
      <c r="DV244" s="858"/>
      <c r="DW244" s="858"/>
      <c r="DX244" s="858"/>
      <c r="DY244" s="858"/>
      <c r="DZ244" s="858"/>
      <c r="EA244" s="858"/>
      <c r="EB244" s="858"/>
      <c r="EC244" s="858"/>
      <c r="ED244" s="858"/>
      <c r="EE244" s="858"/>
      <c r="EF244" s="858"/>
      <c r="EG244" s="858"/>
      <c r="EH244" s="858"/>
      <c r="EI244" s="858"/>
      <c r="EJ244" s="858"/>
      <c r="EK244" s="858"/>
      <c r="EL244" s="858"/>
      <c r="EM244" s="858"/>
      <c r="EN244" s="858"/>
      <c r="EO244" s="858"/>
      <c r="EP244" s="858"/>
      <c r="EQ244" s="858"/>
      <c r="ER244" s="858"/>
      <c r="ES244" s="858"/>
      <c r="ET244" s="858"/>
      <c r="EU244" s="858"/>
      <c r="EV244" s="858"/>
      <c r="EW244" s="858"/>
      <c r="EX244" s="858"/>
      <c r="EY244" s="858"/>
      <c r="EZ244" s="858"/>
      <c r="FA244" s="858"/>
      <c r="FB244" s="858"/>
      <c r="FC244" s="858"/>
      <c r="FD244" s="858"/>
      <c r="FE244" s="858"/>
      <c r="FF244" s="858"/>
      <c r="FG244" s="858"/>
      <c r="FH244" s="858"/>
      <c r="FI244" s="858"/>
      <c r="FJ244" s="858"/>
      <c r="FK244" s="858"/>
      <c r="FL244" s="858"/>
      <c r="FM244" s="858"/>
      <c r="FN244" s="858"/>
      <c r="FO244" s="858"/>
      <c r="FP244" s="858"/>
      <c r="FQ244" s="858"/>
      <c r="FR244" s="858"/>
      <c r="FS244" s="858"/>
      <c r="FT244" s="858"/>
      <c r="FU244" s="858"/>
      <c r="FV244" s="858"/>
      <c r="FW244" s="858"/>
      <c r="FX244" s="858"/>
      <c r="FY244" s="858"/>
      <c r="FZ244" s="858"/>
      <c r="GA244" s="858"/>
      <c r="GB244" s="858"/>
      <c r="GC244" s="858"/>
      <c r="GD244" s="858"/>
      <c r="GE244" s="858"/>
      <c r="GF244" s="858"/>
      <c r="GG244" s="858"/>
      <c r="GH244" s="858"/>
      <c r="GI244" s="858"/>
      <c r="GJ244" s="858"/>
      <c r="GK244" s="858"/>
      <c r="GL244" s="858"/>
      <c r="GM244" s="858"/>
      <c r="GN244" s="858"/>
      <c r="GO244" s="858"/>
      <c r="GP244" s="858"/>
      <c r="GQ244" s="858"/>
      <c r="GR244" s="858"/>
      <c r="GS244" s="858"/>
      <c r="GT244" s="858"/>
      <c r="GU244" s="858"/>
      <c r="GV244" s="858"/>
      <c r="GW244" s="858"/>
      <c r="GX244" s="858"/>
      <c r="GY244" s="858"/>
      <c r="GZ244" s="858"/>
      <c r="HA244" s="858"/>
      <c r="HB244" s="858"/>
      <c r="HC244" s="858"/>
      <c r="HD244" s="858"/>
      <c r="HE244" s="858"/>
      <c r="HF244" s="858"/>
      <c r="HG244" s="858"/>
      <c r="HH244" s="858"/>
      <c r="HI244" s="858"/>
      <c r="HJ244" s="858"/>
      <c r="HK244" s="858"/>
      <c r="HL244" s="858"/>
      <c r="HM244" s="858"/>
      <c r="HN244" s="858"/>
      <c r="HO244" s="858"/>
      <c r="HP244" s="858"/>
      <c r="HQ244" s="858"/>
      <c r="HR244" s="858"/>
      <c r="HS244" s="858"/>
      <c r="HT244" s="858"/>
      <c r="HU244" s="858"/>
      <c r="HV244" s="858"/>
      <c r="HW244" s="858"/>
      <c r="HX244" s="858"/>
      <c r="HY244" s="858"/>
      <c r="HZ244" s="858"/>
      <c r="IA244" s="858"/>
      <c r="IB244" s="858"/>
      <c r="IC244" s="858"/>
      <c r="ID244" s="858"/>
      <c r="IE244" s="858"/>
      <c r="IF244" s="858"/>
      <c r="IG244" s="858"/>
      <c r="IH244" s="858"/>
      <c r="II244" s="858"/>
      <c r="IJ244" s="858"/>
      <c r="IK244" s="858"/>
      <c r="IL244" s="858"/>
      <c r="IM244" s="858"/>
      <c r="IN244" s="858"/>
    </row>
    <row r="245" spans="1:248">
      <c r="A245" s="568" t="s">
        <v>19</v>
      </c>
      <c r="B245" s="566">
        <v>4626.1000000000004</v>
      </c>
      <c r="C245" s="566">
        <v>24.125432850765574</v>
      </c>
      <c r="D245" s="569">
        <v>2685.1</v>
      </c>
      <c r="E245" s="859">
        <v>14.002983019733822</v>
      </c>
      <c r="F245" s="859">
        <v>1941.0000000000005</v>
      </c>
      <c r="G245" s="859">
        <f t="shared" si="35"/>
        <v>10.355976695050902</v>
      </c>
      <c r="H245" s="377">
        <v>18742.8</v>
      </c>
      <c r="I245" s="858"/>
      <c r="J245" s="858"/>
      <c r="K245" s="858"/>
      <c r="L245" s="858"/>
      <c r="M245" s="858"/>
      <c r="N245" s="858"/>
      <c r="O245" s="858"/>
      <c r="P245" s="858"/>
      <c r="Q245" s="858"/>
      <c r="R245" s="858"/>
      <c r="S245" s="858"/>
      <c r="T245" s="858"/>
      <c r="U245" s="858"/>
      <c r="V245" s="858"/>
      <c r="W245" s="858"/>
      <c r="X245" s="858"/>
      <c r="Y245" s="858"/>
      <c r="Z245" s="858"/>
      <c r="AA245" s="858"/>
      <c r="AB245" s="858"/>
      <c r="AC245" s="858"/>
      <c r="AD245" s="858"/>
      <c r="AE245" s="858"/>
      <c r="AF245" s="858"/>
      <c r="AG245" s="858"/>
      <c r="AH245" s="858"/>
      <c r="AI245" s="858"/>
      <c r="AJ245" s="858"/>
      <c r="AK245" s="858"/>
      <c r="AL245" s="858"/>
      <c r="AM245" s="858"/>
      <c r="AN245" s="858"/>
      <c r="AO245" s="858"/>
      <c r="AP245" s="858"/>
      <c r="AQ245" s="858"/>
      <c r="AR245" s="858"/>
      <c r="AS245" s="858"/>
      <c r="AT245" s="858"/>
      <c r="AU245" s="858"/>
      <c r="AV245" s="858"/>
      <c r="AW245" s="858"/>
      <c r="AX245" s="858"/>
      <c r="AY245" s="858"/>
      <c r="AZ245" s="858"/>
      <c r="BA245" s="858"/>
      <c r="BB245" s="858"/>
      <c r="BC245" s="858"/>
      <c r="BD245" s="858"/>
      <c r="BE245" s="858"/>
      <c r="BF245" s="858"/>
      <c r="BG245" s="858"/>
      <c r="BH245" s="858"/>
      <c r="BI245" s="858"/>
      <c r="BJ245" s="858"/>
      <c r="BK245" s="858"/>
      <c r="BL245" s="858"/>
      <c r="BM245" s="858"/>
      <c r="BN245" s="858"/>
      <c r="BO245" s="858"/>
      <c r="BP245" s="858"/>
      <c r="BQ245" s="858"/>
      <c r="BR245" s="858"/>
      <c r="BS245" s="858"/>
      <c r="BT245" s="858"/>
      <c r="BU245" s="858"/>
      <c r="BV245" s="858"/>
      <c r="BW245" s="858"/>
      <c r="BX245" s="858"/>
      <c r="BY245" s="858"/>
      <c r="BZ245" s="858"/>
      <c r="CA245" s="858"/>
      <c r="CB245" s="858"/>
      <c r="CC245" s="858"/>
      <c r="CD245" s="858"/>
      <c r="CE245" s="858"/>
      <c r="CF245" s="858"/>
      <c r="CG245" s="858"/>
      <c r="CH245" s="858"/>
      <c r="CI245" s="858"/>
      <c r="CJ245" s="858"/>
      <c r="CK245" s="858"/>
      <c r="CL245" s="858"/>
      <c r="CM245" s="858"/>
      <c r="CN245" s="858"/>
      <c r="CO245" s="858"/>
      <c r="CP245" s="858"/>
      <c r="CQ245" s="858"/>
      <c r="CR245" s="858"/>
      <c r="CS245" s="858"/>
      <c r="CT245" s="858"/>
      <c r="CU245" s="858"/>
      <c r="CV245" s="858"/>
      <c r="CW245" s="858"/>
      <c r="CX245" s="858"/>
      <c r="CY245" s="858"/>
      <c r="CZ245" s="858"/>
      <c r="DA245" s="858"/>
      <c r="DB245" s="858"/>
      <c r="DC245" s="858"/>
      <c r="DD245" s="858"/>
      <c r="DE245" s="858"/>
      <c r="DF245" s="858"/>
      <c r="DG245" s="858"/>
      <c r="DH245" s="858"/>
      <c r="DI245" s="858"/>
      <c r="DJ245" s="858"/>
      <c r="DK245" s="858"/>
      <c r="DL245" s="858"/>
      <c r="DM245" s="858"/>
      <c r="DN245" s="858"/>
      <c r="DO245" s="858"/>
      <c r="DP245" s="858"/>
      <c r="DQ245" s="858"/>
      <c r="DR245" s="858"/>
      <c r="DS245" s="858"/>
      <c r="DT245" s="858"/>
      <c r="DU245" s="858"/>
      <c r="DV245" s="858"/>
      <c r="DW245" s="858"/>
      <c r="DX245" s="858"/>
      <c r="DY245" s="858"/>
      <c r="DZ245" s="858"/>
      <c r="EA245" s="858"/>
      <c r="EB245" s="858"/>
      <c r="EC245" s="858"/>
      <c r="ED245" s="858"/>
      <c r="EE245" s="858"/>
      <c r="EF245" s="858"/>
      <c r="EG245" s="858"/>
      <c r="EH245" s="858"/>
      <c r="EI245" s="858"/>
      <c r="EJ245" s="858"/>
      <c r="EK245" s="858"/>
      <c r="EL245" s="858"/>
      <c r="EM245" s="858"/>
      <c r="EN245" s="858"/>
      <c r="EO245" s="858"/>
      <c r="EP245" s="858"/>
      <c r="EQ245" s="858"/>
      <c r="ER245" s="858"/>
      <c r="ES245" s="858"/>
      <c r="ET245" s="858"/>
      <c r="EU245" s="858"/>
      <c r="EV245" s="858"/>
      <c r="EW245" s="858"/>
      <c r="EX245" s="858"/>
      <c r="EY245" s="858"/>
      <c r="EZ245" s="858"/>
      <c r="FA245" s="858"/>
      <c r="FB245" s="858"/>
      <c r="FC245" s="858"/>
      <c r="FD245" s="858"/>
      <c r="FE245" s="858"/>
      <c r="FF245" s="858"/>
      <c r="FG245" s="858"/>
      <c r="FH245" s="858"/>
      <c r="FI245" s="858"/>
      <c r="FJ245" s="858"/>
      <c r="FK245" s="858"/>
      <c r="FL245" s="858"/>
      <c r="FM245" s="858"/>
      <c r="FN245" s="858"/>
      <c r="FO245" s="858"/>
      <c r="FP245" s="858"/>
      <c r="FQ245" s="858"/>
      <c r="FR245" s="858"/>
      <c r="FS245" s="858"/>
      <c r="FT245" s="858"/>
      <c r="FU245" s="858"/>
      <c r="FV245" s="858"/>
      <c r="FW245" s="858"/>
      <c r="FX245" s="858"/>
      <c r="FY245" s="858"/>
      <c r="FZ245" s="858"/>
      <c r="GA245" s="858"/>
      <c r="GB245" s="858"/>
      <c r="GC245" s="858"/>
      <c r="GD245" s="858"/>
      <c r="GE245" s="858"/>
      <c r="GF245" s="858"/>
      <c r="GG245" s="858"/>
      <c r="GH245" s="858"/>
      <c r="GI245" s="858"/>
      <c r="GJ245" s="858"/>
      <c r="GK245" s="858"/>
      <c r="GL245" s="858"/>
      <c r="GM245" s="858"/>
      <c r="GN245" s="858"/>
      <c r="GO245" s="858"/>
      <c r="GP245" s="858"/>
      <c r="GQ245" s="858"/>
      <c r="GR245" s="858"/>
      <c r="GS245" s="858"/>
      <c r="GT245" s="858"/>
      <c r="GU245" s="858"/>
      <c r="GV245" s="858"/>
      <c r="GW245" s="858"/>
      <c r="GX245" s="858"/>
      <c r="GY245" s="858"/>
      <c r="GZ245" s="858"/>
      <c r="HA245" s="858"/>
      <c r="HB245" s="858"/>
      <c r="HC245" s="858"/>
      <c r="HD245" s="858"/>
      <c r="HE245" s="858"/>
      <c r="HF245" s="858"/>
      <c r="HG245" s="858"/>
      <c r="HH245" s="858"/>
      <c r="HI245" s="858"/>
      <c r="HJ245" s="858"/>
      <c r="HK245" s="858"/>
      <c r="HL245" s="858"/>
      <c r="HM245" s="858"/>
      <c r="HN245" s="858"/>
      <c r="HO245" s="858"/>
      <c r="HP245" s="858"/>
      <c r="HQ245" s="858"/>
      <c r="HR245" s="858"/>
      <c r="HS245" s="858"/>
      <c r="HT245" s="858"/>
      <c r="HU245" s="858"/>
      <c r="HV245" s="858"/>
      <c r="HW245" s="858"/>
      <c r="HX245" s="858"/>
      <c r="HY245" s="858"/>
      <c r="HZ245" s="858"/>
      <c r="IA245" s="858"/>
      <c r="IB245" s="858"/>
      <c r="IC245" s="858"/>
      <c r="ID245" s="858"/>
      <c r="IE245" s="858"/>
      <c r="IF245" s="858"/>
      <c r="IG245" s="858"/>
      <c r="IH245" s="858"/>
      <c r="II245" s="858"/>
      <c r="IJ245" s="858"/>
      <c r="IK245" s="858"/>
      <c r="IL245" s="858"/>
      <c r="IM245" s="858"/>
      <c r="IN245" s="858"/>
    </row>
    <row r="246" spans="1:248">
      <c r="A246" s="568" t="s">
        <v>20</v>
      </c>
      <c r="B246" s="566">
        <v>7009.6</v>
      </c>
      <c r="C246" s="566">
        <v>23.336551586376803</v>
      </c>
      <c r="D246" s="569">
        <v>5629.5</v>
      </c>
      <c r="E246" s="859">
        <v>18.741885008489529</v>
      </c>
      <c r="F246" s="859">
        <v>1380.1000000000004</v>
      </c>
      <c r="G246" s="859">
        <f t="shared" si="35"/>
        <v>4.5946665778872733</v>
      </c>
      <c r="H246" s="377">
        <v>30037</v>
      </c>
      <c r="I246" s="858"/>
      <c r="J246" s="858"/>
      <c r="K246" s="858"/>
      <c r="L246" s="858"/>
      <c r="M246" s="858"/>
      <c r="N246" s="858"/>
      <c r="O246" s="858"/>
      <c r="P246" s="858"/>
      <c r="Q246" s="858"/>
      <c r="R246" s="858"/>
      <c r="S246" s="858"/>
      <c r="T246" s="858"/>
      <c r="U246" s="858"/>
      <c r="V246" s="858"/>
      <c r="W246" s="858"/>
      <c r="X246" s="858"/>
      <c r="Y246" s="858"/>
      <c r="Z246" s="858"/>
      <c r="AA246" s="858"/>
      <c r="AB246" s="858"/>
      <c r="AC246" s="858"/>
      <c r="AD246" s="858"/>
      <c r="AE246" s="858"/>
      <c r="AF246" s="858"/>
      <c r="AG246" s="858"/>
      <c r="AH246" s="858"/>
      <c r="AI246" s="858"/>
      <c r="AJ246" s="858"/>
      <c r="AK246" s="858"/>
      <c r="AL246" s="858"/>
      <c r="AM246" s="858"/>
      <c r="AN246" s="858"/>
      <c r="AO246" s="858"/>
      <c r="AP246" s="858"/>
      <c r="AQ246" s="858"/>
      <c r="AR246" s="858"/>
      <c r="AS246" s="858"/>
      <c r="AT246" s="858"/>
      <c r="AU246" s="858"/>
      <c r="AV246" s="858"/>
      <c r="AW246" s="858"/>
      <c r="AX246" s="858"/>
      <c r="AY246" s="858"/>
      <c r="AZ246" s="858"/>
      <c r="BA246" s="858"/>
      <c r="BB246" s="858"/>
      <c r="BC246" s="858"/>
      <c r="BD246" s="858"/>
      <c r="BE246" s="858"/>
      <c r="BF246" s="858"/>
      <c r="BG246" s="858"/>
      <c r="BH246" s="858"/>
      <c r="BI246" s="858"/>
      <c r="BJ246" s="858"/>
      <c r="BK246" s="858"/>
      <c r="BL246" s="858"/>
      <c r="BM246" s="858"/>
      <c r="BN246" s="858"/>
      <c r="BO246" s="858"/>
      <c r="BP246" s="858"/>
      <c r="BQ246" s="858"/>
      <c r="BR246" s="858"/>
      <c r="BS246" s="858"/>
      <c r="BT246" s="858"/>
      <c r="BU246" s="858"/>
      <c r="BV246" s="858"/>
      <c r="BW246" s="858"/>
      <c r="BX246" s="858"/>
      <c r="BY246" s="858"/>
      <c r="BZ246" s="858"/>
      <c r="CA246" s="858"/>
      <c r="CB246" s="858"/>
      <c r="CC246" s="858"/>
      <c r="CD246" s="858"/>
      <c r="CE246" s="858"/>
      <c r="CF246" s="858"/>
      <c r="CG246" s="858"/>
      <c r="CH246" s="858"/>
      <c r="CI246" s="858"/>
      <c r="CJ246" s="858"/>
      <c r="CK246" s="858"/>
      <c r="CL246" s="858"/>
      <c r="CM246" s="858"/>
      <c r="CN246" s="858"/>
      <c r="CO246" s="858"/>
      <c r="CP246" s="858"/>
      <c r="CQ246" s="858"/>
      <c r="CR246" s="858"/>
      <c r="CS246" s="858"/>
      <c r="CT246" s="858"/>
      <c r="CU246" s="858"/>
      <c r="CV246" s="858"/>
      <c r="CW246" s="858"/>
      <c r="CX246" s="858"/>
      <c r="CY246" s="858"/>
      <c r="CZ246" s="858"/>
      <c r="DA246" s="858"/>
      <c r="DB246" s="858"/>
      <c r="DC246" s="858"/>
      <c r="DD246" s="858"/>
      <c r="DE246" s="858"/>
      <c r="DF246" s="858"/>
      <c r="DG246" s="858"/>
      <c r="DH246" s="858"/>
      <c r="DI246" s="858"/>
      <c r="DJ246" s="858"/>
      <c r="DK246" s="858"/>
      <c r="DL246" s="858"/>
      <c r="DM246" s="858"/>
      <c r="DN246" s="858"/>
      <c r="DO246" s="858"/>
      <c r="DP246" s="858"/>
      <c r="DQ246" s="858"/>
      <c r="DR246" s="858"/>
      <c r="DS246" s="858"/>
      <c r="DT246" s="858"/>
      <c r="DU246" s="858"/>
      <c r="DV246" s="858"/>
      <c r="DW246" s="858"/>
      <c r="DX246" s="858"/>
      <c r="DY246" s="858"/>
      <c r="DZ246" s="858"/>
      <c r="EA246" s="858"/>
      <c r="EB246" s="858"/>
      <c r="EC246" s="858"/>
      <c r="ED246" s="858"/>
      <c r="EE246" s="858"/>
      <c r="EF246" s="858"/>
      <c r="EG246" s="858"/>
      <c r="EH246" s="858"/>
      <c r="EI246" s="858"/>
      <c r="EJ246" s="858"/>
      <c r="EK246" s="858"/>
      <c r="EL246" s="858"/>
      <c r="EM246" s="858"/>
      <c r="EN246" s="858"/>
      <c r="EO246" s="858"/>
      <c r="EP246" s="858"/>
      <c r="EQ246" s="858"/>
      <c r="ER246" s="858"/>
      <c r="ES246" s="858"/>
      <c r="ET246" s="858"/>
      <c r="EU246" s="858"/>
      <c r="EV246" s="858"/>
      <c r="EW246" s="858"/>
      <c r="EX246" s="858"/>
      <c r="EY246" s="858"/>
      <c r="EZ246" s="858"/>
      <c r="FA246" s="858"/>
      <c r="FB246" s="858"/>
      <c r="FC246" s="858"/>
      <c r="FD246" s="858"/>
      <c r="FE246" s="858"/>
      <c r="FF246" s="858"/>
      <c r="FG246" s="858"/>
      <c r="FH246" s="858"/>
      <c r="FI246" s="858"/>
      <c r="FJ246" s="858"/>
      <c r="FK246" s="858"/>
      <c r="FL246" s="858"/>
      <c r="FM246" s="858"/>
      <c r="FN246" s="858"/>
      <c r="FO246" s="858"/>
      <c r="FP246" s="858"/>
      <c r="FQ246" s="858"/>
      <c r="FR246" s="858"/>
      <c r="FS246" s="858"/>
      <c r="FT246" s="858"/>
      <c r="FU246" s="858"/>
      <c r="FV246" s="858"/>
      <c r="FW246" s="858"/>
      <c r="FX246" s="858"/>
      <c r="FY246" s="858"/>
      <c r="FZ246" s="858"/>
      <c r="GA246" s="858"/>
      <c r="GB246" s="858"/>
      <c r="GC246" s="858"/>
      <c r="GD246" s="858"/>
      <c r="GE246" s="858"/>
      <c r="GF246" s="858"/>
      <c r="GG246" s="858"/>
      <c r="GH246" s="858"/>
      <c r="GI246" s="858"/>
      <c r="GJ246" s="858"/>
      <c r="GK246" s="858"/>
      <c r="GL246" s="858"/>
      <c r="GM246" s="858"/>
      <c r="GN246" s="858"/>
      <c r="GO246" s="858"/>
      <c r="GP246" s="858"/>
      <c r="GQ246" s="858"/>
      <c r="GR246" s="858"/>
      <c r="GS246" s="858"/>
      <c r="GT246" s="858"/>
      <c r="GU246" s="858"/>
      <c r="GV246" s="858"/>
      <c r="GW246" s="858"/>
      <c r="GX246" s="858"/>
      <c r="GY246" s="858"/>
      <c r="GZ246" s="858"/>
      <c r="HA246" s="858"/>
      <c r="HB246" s="858"/>
      <c r="HC246" s="858"/>
      <c r="HD246" s="858"/>
      <c r="HE246" s="858"/>
      <c r="HF246" s="858"/>
      <c r="HG246" s="858"/>
      <c r="HH246" s="858"/>
      <c r="HI246" s="858"/>
      <c r="HJ246" s="858"/>
      <c r="HK246" s="858"/>
      <c r="HL246" s="858"/>
      <c r="HM246" s="858"/>
      <c r="HN246" s="858"/>
      <c r="HO246" s="858"/>
      <c r="HP246" s="858"/>
      <c r="HQ246" s="858"/>
      <c r="HR246" s="858"/>
      <c r="HS246" s="858"/>
      <c r="HT246" s="858"/>
      <c r="HU246" s="858"/>
      <c r="HV246" s="858"/>
      <c r="HW246" s="858"/>
      <c r="HX246" s="858"/>
      <c r="HY246" s="858"/>
      <c r="HZ246" s="858"/>
      <c r="IA246" s="858"/>
      <c r="IB246" s="858"/>
      <c r="IC246" s="858"/>
      <c r="ID246" s="858"/>
      <c r="IE246" s="858"/>
      <c r="IF246" s="858"/>
      <c r="IG246" s="858"/>
      <c r="IH246" s="858"/>
      <c r="II246" s="858"/>
      <c r="IJ246" s="858"/>
      <c r="IK246" s="858"/>
      <c r="IL246" s="858"/>
      <c r="IM246" s="858"/>
      <c r="IN246" s="858"/>
    </row>
    <row r="247" spans="1:248">
      <c r="A247" s="568" t="s">
        <v>21</v>
      </c>
      <c r="B247" s="566">
        <v>10687.6</v>
      </c>
      <c r="C247" s="566">
        <v>27.019729590340489</v>
      </c>
      <c r="D247" s="569">
        <v>8168.7</v>
      </c>
      <c r="E247" s="859">
        <v>20.651602333977166</v>
      </c>
      <c r="F247" s="859">
        <v>2518.9000000000005</v>
      </c>
      <c r="G247" s="859">
        <f t="shared" si="35"/>
        <v>6.3681272563633247</v>
      </c>
      <c r="H247" s="377">
        <v>39554.800000000003</v>
      </c>
      <c r="I247" s="858"/>
      <c r="J247" s="858"/>
      <c r="K247" s="858"/>
      <c r="L247" s="858"/>
      <c r="M247" s="858"/>
      <c r="N247" s="858"/>
      <c r="O247" s="858"/>
      <c r="P247" s="858"/>
      <c r="Q247" s="858"/>
      <c r="R247" s="858"/>
      <c r="S247" s="858"/>
      <c r="T247" s="858"/>
      <c r="U247" s="858"/>
      <c r="V247" s="858"/>
      <c r="W247" s="858"/>
      <c r="X247" s="858"/>
      <c r="Y247" s="858"/>
      <c r="Z247" s="858"/>
      <c r="AA247" s="858"/>
      <c r="AB247" s="858"/>
      <c r="AC247" s="858"/>
      <c r="AD247" s="858"/>
      <c r="AE247" s="858"/>
      <c r="AF247" s="858"/>
      <c r="AG247" s="858"/>
      <c r="AH247" s="858"/>
      <c r="AI247" s="858"/>
      <c r="AJ247" s="858"/>
      <c r="AK247" s="858"/>
      <c r="AL247" s="858"/>
      <c r="AM247" s="858"/>
      <c r="AN247" s="858"/>
      <c r="AO247" s="858"/>
      <c r="AP247" s="858"/>
      <c r="AQ247" s="858"/>
      <c r="AR247" s="858"/>
      <c r="AS247" s="858"/>
      <c r="AT247" s="858"/>
      <c r="AU247" s="858"/>
      <c r="AV247" s="858"/>
      <c r="AW247" s="858"/>
      <c r="AX247" s="858"/>
      <c r="AY247" s="858"/>
      <c r="AZ247" s="858"/>
      <c r="BA247" s="858"/>
      <c r="BB247" s="858"/>
      <c r="BC247" s="858"/>
      <c r="BD247" s="858"/>
      <c r="BE247" s="858"/>
      <c r="BF247" s="858"/>
      <c r="BG247" s="858"/>
      <c r="BH247" s="858"/>
      <c r="BI247" s="858"/>
      <c r="BJ247" s="858"/>
      <c r="BK247" s="858"/>
      <c r="BL247" s="858"/>
      <c r="BM247" s="858"/>
      <c r="BN247" s="858"/>
      <c r="BO247" s="858"/>
      <c r="BP247" s="858"/>
      <c r="BQ247" s="858"/>
      <c r="BR247" s="858"/>
      <c r="BS247" s="858"/>
      <c r="BT247" s="858"/>
      <c r="BU247" s="858"/>
      <c r="BV247" s="858"/>
      <c r="BW247" s="858"/>
      <c r="BX247" s="858"/>
      <c r="BY247" s="858"/>
      <c r="BZ247" s="858"/>
      <c r="CA247" s="858"/>
      <c r="CB247" s="858"/>
      <c r="CC247" s="858"/>
      <c r="CD247" s="858"/>
      <c r="CE247" s="858"/>
      <c r="CF247" s="858"/>
      <c r="CG247" s="858"/>
      <c r="CH247" s="858"/>
      <c r="CI247" s="858"/>
      <c r="CJ247" s="858"/>
      <c r="CK247" s="858"/>
      <c r="CL247" s="858"/>
      <c r="CM247" s="858"/>
      <c r="CN247" s="858"/>
      <c r="CO247" s="858"/>
      <c r="CP247" s="858"/>
      <c r="CQ247" s="858"/>
      <c r="CR247" s="858"/>
      <c r="CS247" s="858"/>
      <c r="CT247" s="858"/>
      <c r="CU247" s="858"/>
      <c r="CV247" s="858"/>
      <c r="CW247" s="858"/>
      <c r="CX247" s="858"/>
      <c r="CY247" s="858"/>
      <c r="CZ247" s="858"/>
      <c r="DA247" s="858"/>
      <c r="DB247" s="858"/>
      <c r="DC247" s="858"/>
      <c r="DD247" s="858"/>
      <c r="DE247" s="858"/>
      <c r="DF247" s="858"/>
      <c r="DG247" s="858"/>
      <c r="DH247" s="858"/>
      <c r="DI247" s="858"/>
      <c r="DJ247" s="858"/>
      <c r="DK247" s="858"/>
      <c r="DL247" s="858"/>
      <c r="DM247" s="858"/>
      <c r="DN247" s="858"/>
      <c r="DO247" s="858"/>
      <c r="DP247" s="858"/>
      <c r="DQ247" s="858"/>
      <c r="DR247" s="858"/>
      <c r="DS247" s="858"/>
      <c r="DT247" s="858"/>
      <c r="DU247" s="858"/>
      <c r="DV247" s="858"/>
      <c r="DW247" s="858"/>
      <c r="DX247" s="858"/>
      <c r="DY247" s="858"/>
      <c r="DZ247" s="858"/>
      <c r="EA247" s="858"/>
      <c r="EB247" s="858"/>
      <c r="EC247" s="858"/>
      <c r="ED247" s="858"/>
      <c r="EE247" s="858"/>
      <c r="EF247" s="858"/>
      <c r="EG247" s="858"/>
      <c r="EH247" s="858"/>
      <c r="EI247" s="858"/>
      <c r="EJ247" s="858"/>
      <c r="EK247" s="858"/>
      <c r="EL247" s="858"/>
      <c r="EM247" s="858"/>
      <c r="EN247" s="858"/>
      <c r="EO247" s="858"/>
      <c r="EP247" s="858"/>
      <c r="EQ247" s="858"/>
      <c r="ER247" s="858"/>
      <c r="ES247" s="858"/>
      <c r="ET247" s="858"/>
      <c r="EU247" s="858"/>
      <c r="EV247" s="858"/>
      <c r="EW247" s="858"/>
      <c r="EX247" s="858"/>
      <c r="EY247" s="858"/>
      <c r="EZ247" s="858"/>
      <c r="FA247" s="858"/>
      <c r="FB247" s="858"/>
      <c r="FC247" s="858"/>
      <c r="FD247" s="858"/>
      <c r="FE247" s="858"/>
      <c r="FF247" s="858"/>
      <c r="FG247" s="858"/>
      <c r="FH247" s="858"/>
      <c r="FI247" s="858"/>
      <c r="FJ247" s="858"/>
      <c r="FK247" s="858"/>
      <c r="FL247" s="858"/>
      <c r="FM247" s="858"/>
      <c r="FN247" s="858"/>
      <c r="FO247" s="858"/>
      <c r="FP247" s="858"/>
      <c r="FQ247" s="858"/>
      <c r="FR247" s="858"/>
      <c r="FS247" s="858"/>
      <c r="FT247" s="858"/>
      <c r="FU247" s="858"/>
      <c r="FV247" s="858"/>
      <c r="FW247" s="858"/>
      <c r="FX247" s="858"/>
      <c r="FY247" s="858"/>
      <c r="FZ247" s="858"/>
      <c r="GA247" s="858"/>
      <c r="GB247" s="858"/>
      <c r="GC247" s="858"/>
      <c r="GD247" s="858"/>
      <c r="GE247" s="858"/>
      <c r="GF247" s="858"/>
      <c r="GG247" s="858"/>
      <c r="GH247" s="858"/>
      <c r="GI247" s="858"/>
      <c r="GJ247" s="858"/>
      <c r="GK247" s="858"/>
      <c r="GL247" s="858"/>
      <c r="GM247" s="858"/>
      <c r="GN247" s="858"/>
      <c r="GO247" s="858"/>
      <c r="GP247" s="858"/>
      <c r="GQ247" s="858"/>
      <c r="GR247" s="858"/>
      <c r="GS247" s="858"/>
      <c r="GT247" s="858"/>
      <c r="GU247" s="858"/>
      <c r="GV247" s="858"/>
      <c r="GW247" s="858"/>
      <c r="GX247" s="858"/>
      <c r="GY247" s="858"/>
      <c r="GZ247" s="858"/>
      <c r="HA247" s="858"/>
      <c r="HB247" s="858"/>
      <c r="HC247" s="858"/>
      <c r="HD247" s="858"/>
      <c r="HE247" s="858"/>
      <c r="HF247" s="858"/>
      <c r="HG247" s="858"/>
      <c r="HH247" s="858"/>
      <c r="HI247" s="858"/>
      <c r="HJ247" s="858"/>
      <c r="HK247" s="858"/>
      <c r="HL247" s="858"/>
      <c r="HM247" s="858"/>
      <c r="HN247" s="858"/>
      <c r="HO247" s="858"/>
      <c r="HP247" s="858"/>
      <c r="HQ247" s="858"/>
      <c r="HR247" s="858"/>
      <c r="HS247" s="858"/>
      <c r="HT247" s="858"/>
      <c r="HU247" s="858"/>
      <c r="HV247" s="858"/>
      <c r="HW247" s="858"/>
      <c r="HX247" s="858"/>
      <c r="HY247" s="858"/>
      <c r="HZ247" s="858"/>
      <c r="IA247" s="858"/>
      <c r="IB247" s="858"/>
      <c r="IC247" s="858"/>
      <c r="ID247" s="858"/>
      <c r="IE247" s="858"/>
      <c r="IF247" s="858"/>
      <c r="IG247" s="858"/>
      <c r="IH247" s="858"/>
      <c r="II247" s="858"/>
      <c r="IJ247" s="858"/>
      <c r="IK247" s="858"/>
      <c r="IL247" s="858"/>
      <c r="IM247" s="858"/>
      <c r="IN247" s="858"/>
    </row>
    <row r="248" spans="1:248">
      <c r="A248" s="568" t="s">
        <v>22</v>
      </c>
      <c r="B248" s="566">
        <v>12442.4</v>
      </c>
      <c r="C248" s="566">
        <v>24.460411854327418</v>
      </c>
      <c r="D248" s="569">
        <v>10450</v>
      </c>
      <c r="E248" s="859">
        <v>20.543569076522335</v>
      </c>
      <c r="F248" s="859">
        <v>1992.3999999999996</v>
      </c>
      <c r="G248" s="859">
        <f t="shared" si="35"/>
        <v>3.9168427778050812</v>
      </c>
      <c r="H248" s="377">
        <v>50867.5</v>
      </c>
      <c r="I248" s="858"/>
      <c r="J248" s="858"/>
      <c r="K248" s="858"/>
      <c r="L248" s="858"/>
      <c r="M248" s="858"/>
      <c r="N248" s="858"/>
      <c r="O248" s="858"/>
      <c r="P248" s="858"/>
      <c r="Q248" s="858"/>
      <c r="R248" s="858"/>
      <c r="S248" s="858"/>
      <c r="T248" s="858"/>
      <c r="U248" s="858"/>
      <c r="V248" s="858"/>
      <c r="W248" s="858"/>
      <c r="X248" s="858"/>
      <c r="Y248" s="858"/>
      <c r="Z248" s="858"/>
      <c r="AA248" s="858"/>
      <c r="AB248" s="858"/>
      <c r="AC248" s="858"/>
      <c r="AD248" s="858"/>
      <c r="AE248" s="858"/>
      <c r="AF248" s="858"/>
      <c r="AG248" s="858"/>
      <c r="AH248" s="858"/>
      <c r="AI248" s="858"/>
      <c r="AJ248" s="858"/>
      <c r="AK248" s="858"/>
      <c r="AL248" s="858"/>
      <c r="AM248" s="858"/>
      <c r="AN248" s="858"/>
      <c r="AO248" s="858"/>
      <c r="AP248" s="858"/>
      <c r="AQ248" s="858"/>
      <c r="AR248" s="858"/>
      <c r="AS248" s="858"/>
      <c r="AT248" s="858"/>
      <c r="AU248" s="858"/>
      <c r="AV248" s="858"/>
      <c r="AW248" s="858"/>
      <c r="AX248" s="858"/>
      <c r="AY248" s="858"/>
      <c r="AZ248" s="858"/>
      <c r="BA248" s="858"/>
      <c r="BB248" s="858"/>
      <c r="BC248" s="858"/>
      <c r="BD248" s="858"/>
      <c r="BE248" s="858"/>
      <c r="BF248" s="858"/>
      <c r="BG248" s="858"/>
      <c r="BH248" s="858"/>
      <c r="BI248" s="858"/>
      <c r="BJ248" s="858"/>
      <c r="BK248" s="858"/>
      <c r="BL248" s="858"/>
      <c r="BM248" s="858"/>
      <c r="BN248" s="858"/>
      <c r="BO248" s="858"/>
      <c r="BP248" s="858"/>
      <c r="BQ248" s="858"/>
      <c r="BR248" s="858"/>
      <c r="BS248" s="858"/>
      <c r="BT248" s="858"/>
      <c r="BU248" s="858"/>
      <c r="BV248" s="858"/>
      <c r="BW248" s="858"/>
      <c r="BX248" s="858"/>
      <c r="BY248" s="858"/>
      <c r="BZ248" s="858"/>
      <c r="CA248" s="858"/>
      <c r="CB248" s="858"/>
      <c r="CC248" s="858"/>
      <c r="CD248" s="858"/>
      <c r="CE248" s="858"/>
      <c r="CF248" s="858"/>
      <c r="CG248" s="858"/>
      <c r="CH248" s="858"/>
      <c r="CI248" s="858"/>
      <c r="CJ248" s="858"/>
      <c r="CK248" s="858"/>
      <c r="CL248" s="858"/>
      <c r="CM248" s="858"/>
      <c r="CN248" s="858"/>
      <c r="CO248" s="858"/>
      <c r="CP248" s="858"/>
      <c r="CQ248" s="858"/>
      <c r="CR248" s="858"/>
      <c r="CS248" s="858"/>
      <c r="CT248" s="858"/>
      <c r="CU248" s="858"/>
      <c r="CV248" s="858"/>
      <c r="CW248" s="858"/>
      <c r="CX248" s="858"/>
      <c r="CY248" s="858"/>
      <c r="CZ248" s="858"/>
      <c r="DA248" s="858"/>
      <c r="DB248" s="858"/>
      <c r="DC248" s="858"/>
      <c r="DD248" s="858"/>
      <c r="DE248" s="858"/>
      <c r="DF248" s="858"/>
      <c r="DG248" s="858"/>
      <c r="DH248" s="858"/>
      <c r="DI248" s="858"/>
      <c r="DJ248" s="858"/>
      <c r="DK248" s="858"/>
      <c r="DL248" s="858"/>
      <c r="DM248" s="858"/>
      <c r="DN248" s="858"/>
      <c r="DO248" s="858"/>
      <c r="DP248" s="858"/>
      <c r="DQ248" s="858"/>
      <c r="DR248" s="858"/>
      <c r="DS248" s="858"/>
      <c r="DT248" s="858"/>
      <c r="DU248" s="858"/>
      <c r="DV248" s="858"/>
      <c r="DW248" s="858"/>
      <c r="DX248" s="858"/>
      <c r="DY248" s="858"/>
      <c r="DZ248" s="858"/>
      <c r="EA248" s="858"/>
      <c r="EB248" s="858"/>
      <c r="EC248" s="858"/>
      <c r="ED248" s="858"/>
      <c r="EE248" s="858"/>
      <c r="EF248" s="858"/>
      <c r="EG248" s="858"/>
      <c r="EH248" s="858"/>
      <c r="EI248" s="858"/>
      <c r="EJ248" s="858"/>
      <c r="EK248" s="858"/>
      <c r="EL248" s="858"/>
      <c r="EM248" s="858"/>
      <c r="EN248" s="858"/>
      <c r="EO248" s="858"/>
      <c r="EP248" s="858"/>
      <c r="EQ248" s="858"/>
      <c r="ER248" s="858"/>
      <c r="ES248" s="858"/>
      <c r="ET248" s="858"/>
      <c r="EU248" s="858"/>
      <c r="EV248" s="858"/>
      <c r="EW248" s="858"/>
      <c r="EX248" s="858"/>
      <c r="EY248" s="858"/>
      <c r="EZ248" s="858"/>
      <c r="FA248" s="858"/>
      <c r="FB248" s="858"/>
      <c r="FC248" s="858"/>
      <c r="FD248" s="858"/>
      <c r="FE248" s="858"/>
      <c r="FF248" s="858"/>
      <c r="FG248" s="858"/>
      <c r="FH248" s="858"/>
      <c r="FI248" s="858"/>
      <c r="FJ248" s="858"/>
      <c r="FK248" s="858"/>
      <c r="FL248" s="858"/>
      <c r="FM248" s="858"/>
      <c r="FN248" s="858"/>
      <c r="FO248" s="858"/>
      <c r="FP248" s="858"/>
      <c r="FQ248" s="858"/>
      <c r="FR248" s="858"/>
      <c r="FS248" s="858"/>
      <c r="FT248" s="858"/>
      <c r="FU248" s="858"/>
      <c r="FV248" s="858"/>
      <c r="FW248" s="858"/>
      <c r="FX248" s="858"/>
      <c r="FY248" s="858"/>
      <c r="FZ248" s="858"/>
      <c r="GA248" s="858"/>
      <c r="GB248" s="858"/>
      <c r="GC248" s="858"/>
      <c r="GD248" s="858"/>
      <c r="GE248" s="858"/>
      <c r="GF248" s="858"/>
      <c r="GG248" s="858"/>
      <c r="GH248" s="858"/>
      <c r="GI248" s="858"/>
      <c r="GJ248" s="858"/>
      <c r="GK248" s="858"/>
      <c r="GL248" s="858"/>
      <c r="GM248" s="858"/>
      <c r="GN248" s="858"/>
      <c r="GO248" s="858"/>
      <c r="GP248" s="858"/>
      <c r="GQ248" s="858"/>
      <c r="GR248" s="858"/>
      <c r="GS248" s="858"/>
      <c r="GT248" s="858"/>
      <c r="GU248" s="858"/>
      <c r="GV248" s="858"/>
      <c r="GW248" s="858"/>
      <c r="GX248" s="858"/>
      <c r="GY248" s="858"/>
      <c r="GZ248" s="858"/>
      <c r="HA248" s="858"/>
      <c r="HB248" s="858"/>
      <c r="HC248" s="858"/>
      <c r="HD248" s="858"/>
      <c r="HE248" s="858"/>
      <c r="HF248" s="858"/>
      <c r="HG248" s="858"/>
      <c r="HH248" s="858"/>
      <c r="HI248" s="858"/>
      <c r="HJ248" s="858"/>
      <c r="HK248" s="858"/>
      <c r="HL248" s="858"/>
      <c r="HM248" s="858"/>
      <c r="HN248" s="858"/>
      <c r="HO248" s="858"/>
      <c r="HP248" s="858"/>
      <c r="HQ248" s="858"/>
      <c r="HR248" s="858"/>
      <c r="HS248" s="858"/>
      <c r="HT248" s="858"/>
      <c r="HU248" s="858"/>
      <c r="HV248" s="858"/>
      <c r="HW248" s="858"/>
      <c r="HX248" s="858"/>
      <c r="HY248" s="858"/>
      <c r="HZ248" s="858"/>
      <c r="IA248" s="858"/>
      <c r="IB248" s="858"/>
      <c r="IC248" s="858"/>
      <c r="ID248" s="858"/>
      <c r="IE248" s="858"/>
      <c r="IF248" s="858"/>
      <c r="IG248" s="858"/>
      <c r="IH248" s="858"/>
      <c r="II248" s="858"/>
      <c r="IJ248" s="858"/>
      <c r="IK248" s="858"/>
      <c r="IL248" s="858"/>
      <c r="IM248" s="858"/>
      <c r="IN248" s="858"/>
    </row>
    <row r="249" spans="1:248">
      <c r="A249" s="568" t="s">
        <v>23</v>
      </c>
      <c r="B249" s="566">
        <v>14205.5</v>
      </c>
      <c r="C249" s="566">
        <v>22.418739860236979</v>
      </c>
      <c r="D249" s="569">
        <v>12936.6</v>
      </c>
      <c r="E249" s="859">
        <v>20.416195844985513</v>
      </c>
      <c r="F249" s="859">
        <v>1268.8999999999996</v>
      </c>
      <c r="G249" s="859">
        <f t="shared" si="35"/>
        <v>2.0025440152514657</v>
      </c>
      <c r="H249" s="377">
        <v>63364.4</v>
      </c>
      <c r="I249" s="858"/>
      <c r="J249" s="858"/>
      <c r="K249" s="858"/>
      <c r="L249" s="858"/>
      <c r="M249" s="858"/>
      <c r="N249" s="858"/>
      <c r="O249" s="858"/>
      <c r="P249" s="858"/>
      <c r="Q249" s="858"/>
      <c r="R249" s="858"/>
      <c r="S249" s="858"/>
      <c r="T249" s="858"/>
      <c r="U249" s="858"/>
      <c r="V249" s="858"/>
      <c r="W249" s="858"/>
      <c r="X249" s="858"/>
      <c r="Y249" s="858"/>
      <c r="Z249" s="858"/>
      <c r="AA249" s="858"/>
      <c r="AB249" s="858"/>
      <c r="AC249" s="858"/>
      <c r="AD249" s="858"/>
      <c r="AE249" s="858"/>
      <c r="AF249" s="858"/>
      <c r="AG249" s="858"/>
      <c r="AH249" s="858"/>
      <c r="AI249" s="858"/>
      <c r="AJ249" s="858"/>
      <c r="AK249" s="858"/>
      <c r="AL249" s="858"/>
      <c r="AM249" s="858"/>
      <c r="AN249" s="858"/>
      <c r="AO249" s="858"/>
      <c r="AP249" s="858"/>
      <c r="AQ249" s="858"/>
      <c r="AR249" s="858"/>
      <c r="AS249" s="858"/>
      <c r="AT249" s="858"/>
      <c r="AU249" s="858"/>
      <c r="AV249" s="858"/>
      <c r="AW249" s="858"/>
      <c r="AX249" s="858"/>
      <c r="AY249" s="858"/>
      <c r="AZ249" s="858"/>
      <c r="BA249" s="858"/>
      <c r="BB249" s="858"/>
      <c r="BC249" s="858"/>
      <c r="BD249" s="858"/>
      <c r="BE249" s="858"/>
      <c r="BF249" s="858"/>
      <c r="BG249" s="858"/>
      <c r="BH249" s="858"/>
      <c r="BI249" s="858"/>
      <c r="BJ249" s="858"/>
      <c r="BK249" s="858"/>
      <c r="BL249" s="858"/>
      <c r="BM249" s="858"/>
      <c r="BN249" s="858"/>
      <c r="BO249" s="858"/>
      <c r="BP249" s="858"/>
      <c r="BQ249" s="858"/>
      <c r="BR249" s="858"/>
      <c r="BS249" s="858"/>
      <c r="BT249" s="858"/>
      <c r="BU249" s="858"/>
      <c r="BV249" s="858"/>
      <c r="BW249" s="858"/>
      <c r="BX249" s="858"/>
      <c r="BY249" s="858"/>
      <c r="BZ249" s="858"/>
      <c r="CA249" s="858"/>
      <c r="CB249" s="858"/>
      <c r="CC249" s="858"/>
      <c r="CD249" s="858"/>
      <c r="CE249" s="858"/>
      <c r="CF249" s="858"/>
      <c r="CG249" s="858"/>
      <c r="CH249" s="858"/>
      <c r="CI249" s="858"/>
      <c r="CJ249" s="858"/>
      <c r="CK249" s="858"/>
      <c r="CL249" s="858"/>
      <c r="CM249" s="858"/>
      <c r="CN249" s="858"/>
      <c r="CO249" s="858"/>
      <c r="CP249" s="858"/>
      <c r="CQ249" s="858"/>
      <c r="CR249" s="858"/>
      <c r="CS249" s="858"/>
      <c r="CT249" s="858"/>
      <c r="CU249" s="858"/>
      <c r="CV249" s="858"/>
      <c r="CW249" s="858"/>
      <c r="CX249" s="858"/>
      <c r="CY249" s="858"/>
      <c r="CZ249" s="858"/>
      <c r="DA249" s="858"/>
      <c r="DB249" s="858"/>
      <c r="DC249" s="858"/>
      <c r="DD249" s="858"/>
      <c r="DE249" s="858"/>
      <c r="DF249" s="858"/>
      <c r="DG249" s="858"/>
      <c r="DH249" s="858"/>
      <c r="DI249" s="858"/>
      <c r="DJ249" s="858"/>
      <c r="DK249" s="858"/>
      <c r="DL249" s="858"/>
      <c r="DM249" s="858"/>
      <c r="DN249" s="858"/>
      <c r="DO249" s="858"/>
      <c r="DP249" s="858"/>
      <c r="DQ249" s="858"/>
      <c r="DR249" s="858"/>
      <c r="DS249" s="858"/>
      <c r="DT249" s="858"/>
      <c r="DU249" s="858"/>
      <c r="DV249" s="858"/>
      <c r="DW249" s="858"/>
      <c r="DX249" s="858"/>
      <c r="DY249" s="858"/>
      <c r="DZ249" s="858"/>
      <c r="EA249" s="858"/>
      <c r="EB249" s="858"/>
      <c r="EC249" s="858"/>
      <c r="ED249" s="858"/>
      <c r="EE249" s="858"/>
      <c r="EF249" s="858"/>
      <c r="EG249" s="858"/>
      <c r="EH249" s="858"/>
      <c r="EI249" s="858"/>
      <c r="EJ249" s="858"/>
      <c r="EK249" s="858"/>
      <c r="EL249" s="858"/>
      <c r="EM249" s="858"/>
      <c r="EN249" s="858"/>
      <c r="EO249" s="858"/>
      <c r="EP249" s="858"/>
      <c r="EQ249" s="858"/>
      <c r="ER249" s="858"/>
      <c r="ES249" s="858"/>
      <c r="ET249" s="858"/>
      <c r="EU249" s="858"/>
      <c r="EV249" s="858"/>
      <c r="EW249" s="858"/>
      <c r="EX249" s="858"/>
      <c r="EY249" s="858"/>
      <c r="EZ249" s="858"/>
      <c r="FA249" s="858"/>
      <c r="FB249" s="858"/>
      <c r="FC249" s="858"/>
      <c r="FD249" s="858"/>
      <c r="FE249" s="858"/>
      <c r="FF249" s="858"/>
      <c r="FG249" s="858"/>
      <c r="FH249" s="858"/>
      <c r="FI249" s="858"/>
      <c r="FJ249" s="858"/>
      <c r="FK249" s="858"/>
      <c r="FL249" s="858"/>
      <c r="FM249" s="858"/>
      <c r="FN249" s="858"/>
      <c r="FO249" s="858"/>
      <c r="FP249" s="858"/>
      <c r="FQ249" s="858"/>
      <c r="FR249" s="858"/>
      <c r="FS249" s="858"/>
      <c r="FT249" s="858"/>
      <c r="FU249" s="858"/>
      <c r="FV249" s="858"/>
      <c r="FW249" s="858"/>
      <c r="FX249" s="858"/>
      <c r="FY249" s="858"/>
      <c r="FZ249" s="858"/>
      <c r="GA249" s="858"/>
      <c r="GB249" s="858"/>
      <c r="GC249" s="858"/>
      <c r="GD249" s="858"/>
      <c r="GE249" s="858"/>
      <c r="GF249" s="858"/>
      <c r="GG249" s="858"/>
      <c r="GH249" s="858"/>
      <c r="GI249" s="858"/>
      <c r="GJ249" s="858"/>
      <c r="GK249" s="858"/>
      <c r="GL249" s="858"/>
      <c r="GM249" s="858"/>
      <c r="GN249" s="858"/>
      <c r="GO249" s="858"/>
      <c r="GP249" s="858"/>
      <c r="GQ249" s="858"/>
      <c r="GR249" s="858"/>
      <c r="GS249" s="858"/>
      <c r="GT249" s="858"/>
      <c r="GU249" s="858"/>
      <c r="GV249" s="858"/>
      <c r="GW249" s="858"/>
      <c r="GX249" s="858"/>
      <c r="GY249" s="858"/>
      <c r="GZ249" s="858"/>
      <c r="HA249" s="858"/>
      <c r="HB249" s="858"/>
      <c r="HC249" s="858"/>
      <c r="HD249" s="858"/>
      <c r="HE249" s="858"/>
      <c r="HF249" s="858"/>
      <c r="HG249" s="858"/>
      <c r="HH249" s="858"/>
      <c r="HI249" s="858"/>
      <c r="HJ249" s="858"/>
      <c r="HK249" s="858"/>
      <c r="HL249" s="858"/>
      <c r="HM249" s="858"/>
      <c r="HN249" s="858"/>
      <c r="HO249" s="858"/>
      <c r="HP249" s="858"/>
      <c r="HQ249" s="858"/>
      <c r="HR249" s="858"/>
      <c r="HS249" s="858"/>
      <c r="HT249" s="858"/>
      <c r="HU249" s="858"/>
      <c r="HV249" s="858"/>
      <c r="HW249" s="858"/>
      <c r="HX249" s="858"/>
      <c r="HY249" s="858"/>
      <c r="HZ249" s="858"/>
      <c r="IA249" s="858"/>
      <c r="IB249" s="858"/>
      <c r="IC249" s="858"/>
      <c r="ID249" s="858"/>
      <c r="IE249" s="858"/>
      <c r="IF249" s="858"/>
      <c r="IG249" s="858"/>
      <c r="IH249" s="858"/>
      <c r="II249" s="858"/>
      <c r="IJ249" s="858"/>
      <c r="IK249" s="858"/>
      <c r="IL249" s="858"/>
      <c r="IM249" s="858"/>
      <c r="IN249" s="858"/>
    </row>
    <row r="250" spans="1:248">
      <c r="A250" s="568" t="s">
        <v>24</v>
      </c>
      <c r="B250" s="566">
        <v>17899.400000000001</v>
      </c>
      <c r="C250" s="566">
        <v>24.137754331456193</v>
      </c>
      <c r="D250" s="569">
        <v>15334.8</v>
      </c>
      <c r="E250" s="859">
        <v>20.679331995598421</v>
      </c>
      <c r="F250" s="859">
        <v>2564.6000000000022</v>
      </c>
      <c r="G250" s="859">
        <f t="shared" si="35"/>
        <v>3.4584223358577715</v>
      </c>
      <c r="H250" s="377">
        <v>74155.199999999997</v>
      </c>
      <c r="I250" s="858"/>
      <c r="J250" s="858"/>
      <c r="K250" s="858"/>
      <c r="L250" s="858"/>
      <c r="M250" s="858"/>
      <c r="N250" s="858"/>
      <c r="O250" s="858"/>
      <c r="P250" s="858"/>
      <c r="Q250" s="858"/>
      <c r="R250" s="858"/>
      <c r="S250" s="858"/>
      <c r="T250" s="858"/>
      <c r="U250" s="858"/>
      <c r="V250" s="858"/>
      <c r="W250" s="858"/>
      <c r="X250" s="858"/>
      <c r="Y250" s="858"/>
      <c r="Z250" s="858"/>
      <c r="AA250" s="858"/>
      <c r="AB250" s="858"/>
      <c r="AC250" s="858"/>
      <c r="AD250" s="858"/>
      <c r="AE250" s="858"/>
      <c r="AF250" s="858"/>
      <c r="AG250" s="858"/>
      <c r="AH250" s="858"/>
      <c r="AI250" s="858"/>
      <c r="AJ250" s="858"/>
      <c r="AK250" s="858"/>
      <c r="AL250" s="858"/>
      <c r="AM250" s="858"/>
      <c r="AN250" s="858"/>
      <c r="AO250" s="858"/>
      <c r="AP250" s="858"/>
      <c r="AQ250" s="858"/>
      <c r="AR250" s="858"/>
      <c r="AS250" s="858"/>
      <c r="AT250" s="858"/>
      <c r="AU250" s="858"/>
      <c r="AV250" s="858"/>
      <c r="AW250" s="858"/>
      <c r="AX250" s="858"/>
      <c r="AY250" s="858"/>
      <c r="AZ250" s="858"/>
      <c r="BA250" s="858"/>
      <c r="BB250" s="858"/>
      <c r="BC250" s="858"/>
      <c r="BD250" s="858"/>
      <c r="BE250" s="858"/>
      <c r="BF250" s="858"/>
      <c r="BG250" s="858"/>
      <c r="BH250" s="858"/>
      <c r="BI250" s="858"/>
      <c r="BJ250" s="858"/>
      <c r="BK250" s="858"/>
      <c r="BL250" s="858"/>
      <c r="BM250" s="858"/>
      <c r="BN250" s="858"/>
      <c r="BO250" s="858"/>
      <c r="BP250" s="858"/>
      <c r="BQ250" s="858"/>
      <c r="BR250" s="858"/>
      <c r="BS250" s="858"/>
      <c r="BT250" s="858"/>
      <c r="BU250" s="858"/>
      <c r="BV250" s="858"/>
      <c r="BW250" s="858"/>
      <c r="BX250" s="858"/>
      <c r="BY250" s="858"/>
      <c r="BZ250" s="858"/>
      <c r="CA250" s="858"/>
      <c r="CB250" s="858"/>
      <c r="CC250" s="858"/>
      <c r="CD250" s="858"/>
      <c r="CE250" s="858"/>
      <c r="CF250" s="858"/>
      <c r="CG250" s="858"/>
      <c r="CH250" s="858"/>
      <c r="CI250" s="858"/>
      <c r="CJ250" s="858"/>
      <c r="CK250" s="858"/>
      <c r="CL250" s="858"/>
      <c r="CM250" s="858"/>
      <c r="CN250" s="858"/>
      <c r="CO250" s="858"/>
      <c r="CP250" s="858"/>
      <c r="CQ250" s="858"/>
      <c r="CR250" s="858"/>
      <c r="CS250" s="858"/>
      <c r="CT250" s="858"/>
      <c r="CU250" s="858"/>
      <c r="CV250" s="858"/>
      <c r="CW250" s="858"/>
      <c r="CX250" s="858"/>
      <c r="CY250" s="858"/>
      <c r="CZ250" s="858"/>
      <c r="DA250" s="858"/>
      <c r="DB250" s="858"/>
      <c r="DC250" s="858"/>
      <c r="DD250" s="858"/>
      <c r="DE250" s="858"/>
      <c r="DF250" s="858"/>
      <c r="DG250" s="858"/>
      <c r="DH250" s="858"/>
      <c r="DI250" s="858"/>
      <c r="DJ250" s="858"/>
      <c r="DK250" s="858"/>
      <c r="DL250" s="858"/>
      <c r="DM250" s="858"/>
      <c r="DN250" s="858"/>
      <c r="DO250" s="858"/>
      <c r="DP250" s="858"/>
      <c r="DQ250" s="858"/>
      <c r="DR250" s="858"/>
      <c r="DS250" s="858"/>
      <c r="DT250" s="858"/>
      <c r="DU250" s="858"/>
      <c r="DV250" s="858"/>
      <c r="DW250" s="858"/>
      <c r="DX250" s="858"/>
      <c r="DY250" s="858"/>
      <c r="DZ250" s="858"/>
      <c r="EA250" s="858"/>
      <c r="EB250" s="858"/>
      <c r="EC250" s="858"/>
      <c r="ED250" s="858"/>
      <c r="EE250" s="858"/>
      <c r="EF250" s="858"/>
      <c r="EG250" s="858"/>
      <c r="EH250" s="858"/>
      <c r="EI250" s="858"/>
      <c r="EJ250" s="858"/>
      <c r="EK250" s="858"/>
      <c r="EL250" s="858"/>
      <c r="EM250" s="858"/>
      <c r="EN250" s="858"/>
      <c r="EO250" s="858"/>
      <c r="EP250" s="858"/>
      <c r="EQ250" s="858"/>
      <c r="ER250" s="858"/>
      <c r="ES250" s="858"/>
      <c r="ET250" s="858"/>
      <c r="EU250" s="858"/>
      <c r="EV250" s="858"/>
      <c r="EW250" s="858"/>
      <c r="EX250" s="858"/>
      <c r="EY250" s="858"/>
      <c r="EZ250" s="858"/>
      <c r="FA250" s="858"/>
      <c r="FB250" s="858"/>
      <c r="FC250" s="858"/>
      <c r="FD250" s="858"/>
      <c r="FE250" s="858"/>
      <c r="FF250" s="858"/>
      <c r="FG250" s="858"/>
      <c r="FH250" s="858"/>
      <c r="FI250" s="858"/>
      <c r="FJ250" s="858"/>
      <c r="FK250" s="858"/>
      <c r="FL250" s="858"/>
      <c r="FM250" s="858"/>
      <c r="FN250" s="858"/>
      <c r="FO250" s="858"/>
      <c r="FP250" s="858"/>
      <c r="FQ250" s="858"/>
      <c r="FR250" s="858"/>
      <c r="FS250" s="858"/>
      <c r="FT250" s="858"/>
      <c r="FU250" s="858"/>
      <c r="FV250" s="858"/>
      <c r="FW250" s="858"/>
      <c r="FX250" s="858"/>
      <c r="FY250" s="858"/>
      <c r="FZ250" s="858"/>
      <c r="GA250" s="858"/>
      <c r="GB250" s="858"/>
      <c r="GC250" s="858"/>
      <c r="GD250" s="858"/>
      <c r="GE250" s="858"/>
      <c r="GF250" s="858"/>
      <c r="GG250" s="858"/>
      <c r="GH250" s="858"/>
      <c r="GI250" s="858"/>
      <c r="GJ250" s="858"/>
      <c r="GK250" s="858"/>
      <c r="GL250" s="858"/>
      <c r="GM250" s="858"/>
      <c r="GN250" s="858"/>
      <c r="GO250" s="858"/>
      <c r="GP250" s="858"/>
      <c r="GQ250" s="858"/>
      <c r="GR250" s="858"/>
      <c r="GS250" s="858"/>
      <c r="GT250" s="858"/>
      <c r="GU250" s="858"/>
      <c r="GV250" s="858"/>
      <c r="GW250" s="858"/>
      <c r="GX250" s="858"/>
      <c r="GY250" s="858"/>
      <c r="GZ250" s="858"/>
      <c r="HA250" s="858"/>
      <c r="HB250" s="858"/>
      <c r="HC250" s="858"/>
      <c r="HD250" s="858"/>
      <c r="HE250" s="858"/>
      <c r="HF250" s="858"/>
      <c r="HG250" s="858"/>
      <c r="HH250" s="858"/>
      <c r="HI250" s="858"/>
      <c r="HJ250" s="858"/>
      <c r="HK250" s="858"/>
      <c r="HL250" s="858"/>
      <c r="HM250" s="858"/>
      <c r="HN250" s="858"/>
      <c r="HO250" s="858"/>
      <c r="HP250" s="858"/>
      <c r="HQ250" s="858"/>
      <c r="HR250" s="858"/>
      <c r="HS250" s="858"/>
      <c r="HT250" s="858"/>
      <c r="HU250" s="858"/>
      <c r="HV250" s="858"/>
      <c r="HW250" s="858"/>
      <c r="HX250" s="858"/>
      <c r="HY250" s="858"/>
      <c r="HZ250" s="858"/>
      <c r="IA250" s="858"/>
      <c r="IB250" s="858"/>
      <c r="IC250" s="858"/>
      <c r="ID250" s="858"/>
      <c r="IE250" s="858"/>
      <c r="IF250" s="858"/>
      <c r="IG250" s="858"/>
      <c r="IH250" s="858"/>
      <c r="II250" s="858"/>
      <c r="IJ250" s="858"/>
      <c r="IK250" s="858"/>
      <c r="IL250" s="858"/>
      <c r="IM250" s="858"/>
      <c r="IN250" s="858"/>
    </row>
    <row r="251" spans="1:248">
      <c r="A251" s="568" t="s">
        <v>25</v>
      </c>
      <c r="B251" s="566">
        <v>20184.8</v>
      </c>
      <c r="C251" s="566">
        <v>23.780283787541059</v>
      </c>
      <c r="D251" s="569">
        <v>18151.900000000001</v>
      </c>
      <c r="E251" s="859">
        <v>21.385266798931205</v>
      </c>
      <c r="F251" s="859">
        <v>2032.8999999999978</v>
      </c>
      <c r="G251" s="859">
        <f t="shared" si="35"/>
        <v>2.3950169886098536</v>
      </c>
      <c r="H251" s="377">
        <v>84880.4</v>
      </c>
      <c r="I251" s="858"/>
      <c r="J251" s="858"/>
      <c r="K251" s="858"/>
      <c r="L251" s="858"/>
      <c r="M251" s="858"/>
      <c r="N251" s="858"/>
      <c r="O251" s="858"/>
      <c r="P251" s="858"/>
      <c r="Q251" s="858"/>
      <c r="R251" s="858"/>
      <c r="S251" s="858"/>
      <c r="T251" s="858"/>
      <c r="U251" s="858"/>
      <c r="V251" s="858"/>
      <c r="W251" s="858"/>
      <c r="X251" s="858"/>
      <c r="Y251" s="858"/>
      <c r="Z251" s="858"/>
      <c r="AA251" s="858"/>
      <c r="AB251" s="858"/>
      <c r="AC251" s="858"/>
      <c r="AD251" s="858"/>
      <c r="AE251" s="858"/>
      <c r="AF251" s="858"/>
      <c r="AG251" s="858"/>
      <c r="AH251" s="858"/>
      <c r="AI251" s="858"/>
      <c r="AJ251" s="858"/>
      <c r="AK251" s="858"/>
      <c r="AL251" s="858"/>
      <c r="AM251" s="858"/>
      <c r="AN251" s="858"/>
      <c r="AO251" s="858"/>
      <c r="AP251" s="858"/>
      <c r="AQ251" s="858"/>
      <c r="AR251" s="858"/>
      <c r="AS251" s="858"/>
      <c r="AT251" s="858"/>
      <c r="AU251" s="858"/>
      <c r="AV251" s="858"/>
      <c r="AW251" s="858"/>
      <c r="AX251" s="858"/>
      <c r="AY251" s="858"/>
      <c r="AZ251" s="858"/>
      <c r="BA251" s="858"/>
      <c r="BB251" s="858"/>
      <c r="BC251" s="858"/>
      <c r="BD251" s="858"/>
      <c r="BE251" s="858"/>
      <c r="BF251" s="858"/>
      <c r="BG251" s="858"/>
      <c r="BH251" s="858"/>
      <c r="BI251" s="858"/>
      <c r="BJ251" s="858"/>
      <c r="BK251" s="858"/>
      <c r="BL251" s="858"/>
      <c r="BM251" s="858"/>
      <c r="BN251" s="858"/>
      <c r="BO251" s="858"/>
      <c r="BP251" s="858"/>
      <c r="BQ251" s="858"/>
      <c r="BR251" s="858"/>
      <c r="BS251" s="858"/>
      <c r="BT251" s="858"/>
      <c r="BU251" s="858"/>
      <c r="BV251" s="858"/>
      <c r="BW251" s="858"/>
      <c r="BX251" s="858"/>
      <c r="BY251" s="858"/>
      <c r="BZ251" s="858"/>
      <c r="CA251" s="858"/>
      <c r="CB251" s="858"/>
      <c r="CC251" s="858"/>
      <c r="CD251" s="858"/>
      <c r="CE251" s="858"/>
      <c r="CF251" s="858"/>
      <c r="CG251" s="858"/>
      <c r="CH251" s="858"/>
      <c r="CI251" s="858"/>
      <c r="CJ251" s="858"/>
      <c r="CK251" s="858"/>
      <c r="CL251" s="858"/>
      <c r="CM251" s="858"/>
      <c r="CN251" s="858"/>
      <c r="CO251" s="858"/>
      <c r="CP251" s="858"/>
      <c r="CQ251" s="858"/>
      <c r="CR251" s="858"/>
      <c r="CS251" s="858"/>
      <c r="CT251" s="858"/>
      <c r="CU251" s="858"/>
      <c r="CV251" s="858"/>
      <c r="CW251" s="858"/>
      <c r="CX251" s="858"/>
      <c r="CY251" s="858"/>
      <c r="CZ251" s="858"/>
      <c r="DA251" s="858"/>
      <c r="DB251" s="858"/>
      <c r="DC251" s="858"/>
      <c r="DD251" s="858"/>
      <c r="DE251" s="858"/>
      <c r="DF251" s="858"/>
      <c r="DG251" s="858"/>
      <c r="DH251" s="858"/>
      <c r="DI251" s="858"/>
      <c r="DJ251" s="858"/>
      <c r="DK251" s="858"/>
      <c r="DL251" s="858"/>
      <c r="DM251" s="858"/>
      <c r="DN251" s="858"/>
      <c r="DO251" s="858"/>
      <c r="DP251" s="858"/>
      <c r="DQ251" s="858"/>
      <c r="DR251" s="858"/>
      <c r="DS251" s="858"/>
      <c r="DT251" s="858"/>
      <c r="DU251" s="858"/>
      <c r="DV251" s="858"/>
      <c r="DW251" s="858"/>
      <c r="DX251" s="858"/>
      <c r="DY251" s="858"/>
      <c r="DZ251" s="858"/>
      <c r="EA251" s="858"/>
      <c r="EB251" s="858"/>
      <c r="EC251" s="858"/>
      <c r="ED251" s="858"/>
      <c r="EE251" s="858"/>
      <c r="EF251" s="858"/>
      <c r="EG251" s="858"/>
      <c r="EH251" s="858"/>
      <c r="EI251" s="858"/>
      <c r="EJ251" s="858"/>
      <c r="EK251" s="858"/>
      <c r="EL251" s="858"/>
      <c r="EM251" s="858"/>
      <c r="EN251" s="858"/>
      <c r="EO251" s="858"/>
      <c r="EP251" s="858"/>
      <c r="EQ251" s="858"/>
      <c r="ER251" s="858"/>
      <c r="ES251" s="858"/>
      <c r="ET251" s="858"/>
      <c r="EU251" s="858"/>
      <c r="EV251" s="858"/>
      <c r="EW251" s="858"/>
      <c r="EX251" s="858"/>
      <c r="EY251" s="858"/>
      <c r="EZ251" s="858"/>
      <c r="FA251" s="858"/>
      <c r="FB251" s="858"/>
      <c r="FC251" s="858"/>
      <c r="FD251" s="858"/>
      <c r="FE251" s="858"/>
      <c r="FF251" s="858"/>
      <c r="FG251" s="858"/>
      <c r="FH251" s="858"/>
      <c r="FI251" s="858"/>
      <c r="FJ251" s="858"/>
      <c r="FK251" s="858"/>
      <c r="FL251" s="858"/>
      <c r="FM251" s="858"/>
      <c r="FN251" s="858"/>
      <c r="FO251" s="858"/>
      <c r="FP251" s="858"/>
      <c r="FQ251" s="858"/>
      <c r="FR251" s="858"/>
      <c r="FS251" s="858"/>
      <c r="FT251" s="858"/>
      <c r="FU251" s="858"/>
      <c r="FV251" s="858"/>
      <c r="FW251" s="858"/>
      <c r="FX251" s="858"/>
      <c r="FY251" s="858"/>
      <c r="FZ251" s="858"/>
      <c r="GA251" s="858"/>
      <c r="GB251" s="858"/>
      <c r="GC251" s="858"/>
      <c r="GD251" s="858"/>
      <c r="GE251" s="858"/>
      <c r="GF251" s="858"/>
      <c r="GG251" s="858"/>
      <c r="GH251" s="858"/>
      <c r="GI251" s="858"/>
      <c r="GJ251" s="858"/>
      <c r="GK251" s="858"/>
      <c r="GL251" s="858"/>
      <c r="GM251" s="858"/>
      <c r="GN251" s="858"/>
      <c r="GO251" s="858"/>
      <c r="GP251" s="858"/>
      <c r="GQ251" s="858"/>
      <c r="GR251" s="858"/>
      <c r="GS251" s="858"/>
      <c r="GT251" s="858"/>
      <c r="GU251" s="858"/>
      <c r="GV251" s="858"/>
      <c r="GW251" s="858"/>
      <c r="GX251" s="858"/>
      <c r="GY251" s="858"/>
      <c r="GZ251" s="858"/>
      <c r="HA251" s="858"/>
      <c r="HB251" s="858"/>
      <c r="HC251" s="858"/>
      <c r="HD251" s="858"/>
      <c r="HE251" s="858"/>
      <c r="HF251" s="858"/>
      <c r="HG251" s="858"/>
      <c r="HH251" s="858"/>
      <c r="HI251" s="858"/>
      <c r="HJ251" s="858"/>
      <c r="HK251" s="858"/>
      <c r="HL251" s="858"/>
      <c r="HM251" s="858"/>
      <c r="HN251" s="858"/>
      <c r="HO251" s="858"/>
      <c r="HP251" s="858"/>
      <c r="HQ251" s="858"/>
      <c r="HR251" s="858"/>
      <c r="HS251" s="858"/>
      <c r="HT251" s="858"/>
      <c r="HU251" s="858"/>
      <c r="HV251" s="858"/>
      <c r="HW251" s="858"/>
      <c r="HX251" s="858"/>
      <c r="HY251" s="858"/>
      <c r="HZ251" s="858"/>
      <c r="IA251" s="858"/>
      <c r="IB251" s="858"/>
      <c r="IC251" s="858"/>
      <c r="ID251" s="858"/>
      <c r="IE251" s="858"/>
      <c r="IF251" s="858"/>
      <c r="IG251" s="858"/>
      <c r="IH251" s="858"/>
      <c r="II251" s="858"/>
      <c r="IJ251" s="858"/>
      <c r="IK251" s="858"/>
      <c r="IL251" s="858"/>
      <c r="IM251" s="858"/>
      <c r="IN251" s="858"/>
    </row>
    <row r="252" spans="1:248">
      <c r="A252" s="568" t="s">
        <v>26</v>
      </c>
      <c r="B252" s="566">
        <v>22401.5</v>
      </c>
      <c r="C252" s="566">
        <v>22.84054087673255</v>
      </c>
      <c r="D252" s="569">
        <v>20470.7</v>
      </c>
      <c r="E252" s="859">
        <v>20.87189965517171</v>
      </c>
      <c r="F252" s="859">
        <v>1930.7999999999993</v>
      </c>
      <c r="G252" s="859">
        <f t="shared" si="35"/>
        <v>1.9686412215608418</v>
      </c>
      <c r="H252" s="377">
        <v>98077.8</v>
      </c>
      <c r="I252" s="858"/>
      <c r="J252" s="858"/>
      <c r="K252" s="858"/>
      <c r="L252" s="858"/>
      <c r="M252" s="858"/>
      <c r="N252" s="858"/>
      <c r="O252" s="858"/>
      <c r="P252" s="858"/>
      <c r="Q252" s="858"/>
      <c r="R252" s="858"/>
      <c r="S252" s="858"/>
      <c r="T252" s="858"/>
      <c r="U252" s="858"/>
      <c r="V252" s="858"/>
      <c r="W252" s="858"/>
      <c r="X252" s="858"/>
      <c r="Y252" s="858"/>
      <c r="Z252" s="858"/>
      <c r="AA252" s="858"/>
      <c r="AB252" s="858"/>
      <c r="AC252" s="858"/>
      <c r="AD252" s="858"/>
      <c r="AE252" s="858"/>
      <c r="AF252" s="858"/>
      <c r="AG252" s="858"/>
      <c r="AH252" s="858"/>
      <c r="AI252" s="858"/>
      <c r="AJ252" s="858"/>
      <c r="AK252" s="858"/>
      <c r="AL252" s="858"/>
      <c r="AM252" s="858"/>
      <c r="AN252" s="858"/>
      <c r="AO252" s="858"/>
      <c r="AP252" s="858"/>
      <c r="AQ252" s="858"/>
      <c r="AR252" s="858"/>
      <c r="AS252" s="858"/>
      <c r="AT252" s="858"/>
      <c r="AU252" s="858"/>
      <c r="AV252" s="858"/>
      <c r="AW252" s="858"/>
      <c r="AX252" s="858"/>
      <c r="AY252" s="858"/>
      <c r="AZ252" s="858"/>
      <c r="BA252" s="858"/>
      <c r="BB252" s="858"/>
      <c r="BC252" s="858"/>
      <c r="BD252" s="858"/>
      <c r="BE252" s="858"/>
      <c r="BF252" s="858"/>
      <c r="BG252" s="858"/>
      <c r="BH252" s="858"/>
      <c r="BI252" s="858"/>
      <c r="BJ252" s="858"/>
      <c r="BK252" s="858"/>
      <c r="BL252" s="858"/>
      <c r="BM252" s="858"/>
      <c r="BN252" s="858"/>
      <c r="BO252" s="858"/>
      <c r="BP252" s="858"/>
      <c r="BQ252" s="858"/>
      <c r="BR252" s="858"/>
      <c r="BS252" s="858"/>
      <c r="BT252" s="858"/>
      <c r="BU252" s="858"/>
      <c r="BV252" s="858"/>
      <c r="BW252" s="858"/>
      <c r="BX252" s="858"/>
      <c r="BY252" s="858"/>
      <c r="BZ252" s="858"/>
      <c r="CA252" s="858"/>
      <c r="CB252" s="858"/>
      <c r="CC252" s="858"/>
      <c r="CD252" s="858"/>
      <c r="CE252" s="858"/>
      <c r="CF252" s="858"/>
      <c r="CG252" s="858"/>
      <c r="CH252" s="858"/>
      <c r="CI252" s="858"/>
      <c r="CJ252" s="858"/>
      <c r="CK252" s="858"/>
      <c r="CL252" s="858"/>
      <c r="CM252" s="858"/>
      <c r="CN252" s="858"/>
      <c r="CO252" s="858"/>
      <c r="CP252" s="858"/>
      <c r="CQ252" s="858"/>
      <c r="CR252" s="858"/>
      <c r="CS252" s="858"/>
      <c r="CT252" s="858"/>
      <c r="CU252" s="858"/>
      <c r="CV252" s="858"/>
      <c r="CW252" s="858"/>
      <c r="CX252" s="858"/>
      <c r="CY252" s="858"/>
      <c r="CZ252" s="858"/>
      <c r="DA252" s="858"/>
      <c r="DB252" s="858"/>
      <c r="DC252" s="858"/>
      <c r="DD252" s="858"/>
      <c r="DE252" s="858"/>
      <c r="DF252" s="858"/>
      <c r="DG252" s="858"/>
      <c r="DH252" s="858"/>
      <c r="DI252" s="858"/>
      <c r="DJ252" s="858"/>
      <c r="DK252" s="858"/>
      <c r="DL252" s="858"/>
      <c r="DM252" s="858"/>
      <c r="DN252" s="858"/>
      <c r="DO252" s="858"/>
      <c r="DP252" s="858"/>
      <c r="DQ252" s="858"/>
      <c r="DR252" s="858"/>
      <c r="DS252" s="858"/>
      <c r="DT252" s="858"/>
      <c r="DU252" s="858"/>
      <c r="DV252" s="858"/>
      <c r="DW252" s="858"/>
      <c r="DX252" s="858"/>
      <c r="DY252" s="858"/>
      <c r="DZ252" s="858"/>
      <c r="EA252" s="858"/>
      <c r="EB252" s="858"/>
      <c r="EC252" s="858"/>
      <c r="ED252" s="858"/>
      <c r="EE252" s="858"/>
      <c r="EF252" s="858"/>
      <c r="EG252" s="858"/>
      <c r="EH252" s="858"/>
      <c r="EI252" s="858"/>
      <c r="EJ252" s="858"/>
      <c r="EK252" s="858"/>
      <c r="EL252" s="858"/>
      <c r="EM252" s="858"/>
      <c r="EN252" s="858"/>
      <c r="EO252" s="858"/>
      <c r="EP252" s="858"/>
      <c r="EQ252" s="858"/>
      <c r="ER252" s="858"/>
      <c r="ES252" s="858"/>
      <c r="ET252" s="858"/>
      <c r="EU252" s="858"/>
      <c r="EV252" s="858"/>
      <c r="EW252" s="858"/>
      <c r="EX252" s="858"/>
      <c r="EY252" s="858"/>
      <c r="EZ252" s="858"/>
      <c r="FA252" s="858"/>
      <c r="FB252" s="858"/>
      <c r="FC252" s="858"/>
      <c r="FD252" s="858"/>
      <c r="FE252" s="858"/>
      <c r="FF252" s="858"/>
      <c r="FG252" s="858"/>
      <c r="FH252" s="858"/>
      <c r="FI252" s="858"/>
      <c r="FJ252" s="858"/>
      <c r="FK252" s="858"/>
      <c r="FL252" s="858"/>
      <c r="FM252" s="858"/>
      <c r="FN252" s="858"/>
      <c r="FO252" s="858"/>
      <c r="FP252" s="858"/>
      <c r="FQ252" s="858"/>
      <c r="FR252" s="858"/>
      <c r="FS252" s="858"/>
      <c r="FT252" s="858"/>
      <c r="FU252" s="858"/>
      <c r="FV252" s="858"/>
      <c r="FW252" s="858"/>
      <c r="FX252" s="858"/>
      <c r="FY252" s="858"/>
      <c r="FZ252" s="858"/>
      <c r="GA252" s="858"/>
      <c r="GB252" s="858"/>
      <c r="GC252" s="858"/>
      <c r="GD252" s="858"/>
      <c r="GE252" s="858"/>
      <c r="GF252" s="858"/>
      <c r="GG252" s="858"/>
      <c r="GH252" s="858"/>
      <c r="GI252" s="858"/>
      <c r="GJ252" s="858"/>
      <c r="GK252" s="858"/>
      <c r="GL252" s="858"/>
      <c r="GM252" s="858"/>
      <c r="GN252" s="858"/>
      <c r="GO252" s="858"/>
      <c r="GP252" s="858"/>
      <c r="GQ252" s="858"/>
      <c r="GR252" s="858"/>
      <c r="GS252" s="858"/>
      <c r="GT252" s="858"/>
      <c r="GU252" s="858"/>
      <c r="GV252" s="858"/>
      <c r="GW252" s="858"/>
      <c r="GX252" s="858"/>
      <c r="GY252" s="858"/>
      <c r="GZ252" s="858"/>
      <c r="HA252" s="858"/>
      <c r="HB252" s="858"/>
      <c r="HC252" s="858"/>
      <c r="HD252" s="858"/>
      <c r="HE252" s="858"/>
      <c r="HF252" s="858"/>
      <c r="HG252" s="858"/>
      <c r="HH252" s="858"/>
      <c r="HI252" s="858"/>
      <c r="HJ252" s="858"/>
      <c r="HK252" s="858"/>
      <c r="HL252" s="858"/>
      <c r="HM252" s="858"/>
      <c r="HN252" s="858"/>
      <c r="HO252" s="858"/>
      <c r="HP252" s="858"/>
      <c r="HQ252" s="858"/>
      <c r="HR252" s="858"/>
      <c r="HS252" s="858"/>
      <c r="HT252" s="858"/>
      <c r="HU252" s="858"/>
      <c r="HV252" s="858"/>
      <c r="HW252" s="858"/>
      <c r="HX252" s="858"/>
      <c r="HY252" s="858"/>
      <c r="HZ252" s="858"/>
      <c r="IA252" s="858"/>
      <c r="IB252" s="858"/>
      <c r="IC252" s="858"/>
      <c r="ID252" s="858"/>
      <c r="IE252" s="858"/>
      <c r="IF252" s="858"/>
      <c r="IG252" s="858"/>
      <c r="IH252" s="858"/>
      <c r="II252" s="858"/>
      <c r="IJ252" s="858"/>
      <c r="IK252" s="858"/>
      <c r="IL252" s="858"/>
      <c r="IM252" s="858"/>
      <c r="IN252" s="858"/>
    </row>
    <row r="253" spans="1:248">
      <c r="A253" s="568" t="s">
        <v>27</v>
      </c>
      <c r="B253" s="566">
        <v>27029.5</v>
      </c>
      <c r="C253" s="566">
        <v>24.344716027099423</v>
      </c>
      <c r="D253" s="569">
        <v>23206.1</v>
      </c>
      <c r="E253" s="859">
        <v>20.901086390664712</v>
      </c>
      <c r="F253" s="859">
        <v>3823.4000000000015</v>
      </c>
      <c r="G253" s="859">
        <f t="shared" si="35"/>
        <v>3.4436296364347094</v>
      </c>
      <c r="H253" s="377">
        <v>111028.2</v>
      </c>
      <c r="I253" s="858"/>
      <c r="J253" s="858"/>
      <c r="K253" s="858"/>
      <c r="L253" s="858"/>
      <c r="M253" s="858"/>
      <c r="N253" s="858"/>
      <c r="O253" s="858"/>
      <c r="P253" s="858"/>
      <c r="Q253" s="858"/>
      <c r="R253" s="858"/>
      <c r="S253" s="858"/>
      <c r="T253" s="858"/>
      <c r="U253" s="858"/>
      <c r="V253" s="858"/>
      <c r="W253" s="858"/>
      <c r="X253" s="858"/>
      <c r="Y253" s="858"/>
      <c r="Z253" s="858"/>
      <c r="AA253" s="858"/>
      <c r="AB253" s="858"/>
      <c r="AC253" s="858"/>
      <c r="AD253" s="858"/>
      <c r="AE253" s="858"/>
      <c r="AF253" s="858"/>
      <c r="AG253" s="858"/>
      <c r="AH253" s="858"/>
      <c r="AI253" s="858"/>
      <c r="AJ253" s="858"/>
      <c r="AK253" s="858"/>
      <c r="AL253" s="858"/>
      <c r="AM253" s="858"/>
      <c r="AN253" s="858"/>
      <c r="AO253" s="858"/>
      <c r="AP253" s="858"/>
      <c r="AQ253" s="858"/>
      <c r="AR253" s="858"/>
      <c r="AS253" s="858"/>
      <c r="AT253" s="858"/>
      <c r="AU253" s="858"/>
      <c r="AV253" s="858"/>
      <c r="AW253" s="858"/>
      <c r="AX253" s="858"/>
      <c r="AY253" s="858"/>
      <c r="AZ253" s="858"/>
      <c r="BA253" s="858"/>
      <c r="BB253" s="858"/>
      <c r="BC253" s="858"/>
      <c r="BD253" s="858"/>
      <c r="BE253" s="858"/>
      <c r="BF253" s="858"/>
      <c r="BG253" s="858"/>
      <c r="BH253" s="858"/>
      <c r="BI253" s="858"/>
      <c r="BJ253" s="858"/>
      <c r="BK253" s="858"/>
      <c r="BL253" s="858"/>
      <c r="BM253" s="858"/>
      <c r="BN253" s="858"/>
      <c r="BO253" s="858"/>
      <c r="BP253" s="858"/>
      <c r="BQ253" s="858"/>
      <c r="BR253" s="858"/>
      <c r="BS253" s="858"/>
      <c r="BT253" s="858"/>
      <c r="BU253" s="858"/>
      <c r="BV253" s="858"/>
      <c r="BW253" s="858"/>
      <c r="BX253" s="858"/>
      <c r="BY253" s="858"/>
      <c r="BZ253" s="858"/>
      <c r="CA253" s="858"/>
      <c r="CB253" s="858"/>
      <c r="CC253" s="858"/>
      <c r="CD253" s="858"/>
      <c r="CE253" s="858"/>
      <c r="CF253" s="858"/>
      <c r="CG253" s="858"/>
      <c r="CH253" s="858"/>
      <c r="CI253" s="858"/>
      <c r="CJ253" s="858"/>
      <c r="CK253" s="858"/>
      <c r="CL253" s="858"/>
      <c r="CM253" s="858"/>
      <c r="CN253" s="858"/>
      <c r="CO253" s="858"/>
      <c r="CP253" s="858"/>
      <c r="CQ253" s="858"/>
      <c r="CR253" s="858"/>
      <c r="CS253" s="858"/>
      <c r="CT253" s="858"/>
      <c r="CU253" s="858"/>
      <c r="CV253" s="858"/>
      <c r="CW253" s="858"/>
      <c r="CX253" s="858"/>
      <c r="CY253" s="858"/>
      <c r="CZ253" s="858"/>
      <c r="DA253" s="858"/>
      <c r="DB253" s="858"/>
      <c r="DC253" s="858"/>
      <c r="DD253" s="858"/>
      <c r="DE253" s="858"/>
      <c r="DF253" s="858"/>
      <c r="DG253" s="858"/>
      <c r="DH253" s="858"/>
      <c r="DI253" s="858"/>
      <c r="DJ253" s="858"/>
      <c r="DK253" s="858"/>
      <c r="DL253" s="858"/>
      <c r="DM253" s="858"/>
      <c r="DN253" s="858"/>
      <c r="DO253" s="858"/>
      <c r="DP253" s="858"/>
      <c r="DQ253" s="858"/>
      <c r="DR253" s="858"/>
      <c r="DS253" s="858"/>
      <c r="DT253" s="858"/>
      <c r="DU253" s="858"/>
      <c r="DV253" s="858"/>
      <c r="DW253" s="858"/>
      <c r="DX253" s="858"/>
      <c r="DY253" s="858"/>
      <c r="DZ253" s="858"/>
      <c r="EA253" s="858"/>
      <c r="EB253" s="858"/>
      <c r="EC253" s="858"/>
      <c r="ED253" s="858"/>
      <c r="EE253" s="858"/>
      <c r="EF253" s="858"/>
      <c r="EG253" s="858"/>
      <c r="EH253" s="858"/>
      <c r="EI253" s="858"/>
      <c r="EJ253" s="858"/>
      <c r="EK253" s="858"/>
      <c r="EL253" s="858"/>
      <c r="EM253" s="858"/>
      <c r="EN253" s="858"/>
      <c r="EO253" s="858"/>
      <c r="EP253" s="858"/>
      <c r="EQ253" s="858"/>
      <c r="ER253" s="858"/>
      <c r="ES253" s="858"/>
      <c r="ET253" s="858"/>
      <c r="EU253" s="858"/>
      <c r="EV253" s="858"/>
      <c r="EW253" s="858"/>
      <c r="EX253" s="858"/>
      <c r="EY253" s="858"/>
      <c r="EZ253" s="858"/>
      <c r="FA253" s="858"/>
      <c r="FB253" s="858"/>
      <c r="FC253" s="858"/>
      <c r="FD253" s="858"/>
      <c r="FE253" s="858"/>
      <c r="FF253" s="858"/>
      <c r="FG253" s="858"/>
      <c r="FH253" s="858"/>
      <c r="FI253" s="858"/>
      <c r="FJ253" s="858"/>
      <c r="FK253" s="858"/>
      <c r="FL253" s="858"/>
      <c r="FM253" s="858"/>
      <c r="FN253" s="858"/>
      <c r="FO253" s="858"/>
      <c r="FP253" s="858"/>
      <c r="FQ253" s="858"/>
      <c r="FR253" s="858"/>
      <c r="FS253" s="858"/>
      <c r="FT253" s="858"/>
      <c r="FU253" s="858"/>
      <c r="FV253" s="858"/>
      <c r="FW253" s="858"/>
      <c r="FX253" s="858"/>
      <c r="FY253" s="858"/>
      <c r="FZ253" s="858"/>
      <c r="GA253" s="858"/>
      <c r="GB253" s="858"/>
      <c r="GC253" s="858"/>
      <c r="GD253" s="858"/>
      <c r="GE253" s="858"/>
      <c r="GF253" s="858"/>
      <c r="GG253" s="858"/>
      <c r="GH253" s="858"/>
      <c r="GI253" s="858"/>
      <c r="GJ253" s="858"/>
      <c r="GK253" s="858"/>
      <c r="GL253" s="858"/>
      <c r="GM253" s="858"/>
      <c r="GN253" s="858"/>
      <c r="GO253" s="858"/>
      <c r="GP253" s="858"/>
      <c r="GQ253" s="858"/>
      <c r="GR253" s="858"/>
      <c r="GS253" s="858"/>
      <c r="GT253" s="858"/>
      <c r="GU253" s="858"/>
      <c r="GV253" s="858"/>
      <c r="GW253" s="858"/>
      <c r="GX253" s="858"/>
      <c r="GY253" s="858"/>
      <c r="GZ253" s="858"/>
      <c r="HA253" s="858"/>
      <c r="HB253" s="858"/>
      <c r="HC253" s="858"/>
      <c r="HD253" s="858"/>
      <c r="HE253" s="858"/>
      <c r="HF253" s="858"/>
      <c r="HG253" s="858"/>
      <c r="HH253" s="858"/>
      <c r="HI253" s="858"/>
      <c r="HJ253" s="858"/>
      <c r="HK253" s="858"/>
      <c r="HL253" s="858"/>
      <c r="HM253" s="858"/>
      <c r="HN253" s="858"/>
      <c r="HO253" s="858"/>
      <c r="HP253" s="858"/>
      <c r="HQ253" s="858"/>
      <c r="HR253" s="858"/>
      <c r="HS253" s="858"/>
      <c r="HT253" s="858"/>
      <c r="HU253" s="858"/>
      <c r="HV253" s="858"/>
      <c r="HW253" s="858"/>
      <c r="HX253" s="858"/>
      <c r="HY253" s="858"/>
      <c r="HZ253" s="858"/>
      <c r="IA253" s="858"/>
      <c r="IB253" s="858"/>
      <c r="IC253" s="858"/>
      <c r="ID253" s="858"/>
      <c r="IE253" s="858"/>
      <c r="IF253" s="858"/>
      <c r="IG253" s="858"/>
      <c r="IH253" s="858"/>
      <c r="II253" s="858"/>
      <c r="IJ253" s="858"/>
      <c r="IK253" s="858"/>
      <c r="IL253" s="858"/>
      <c r="IM253" s="858"/>
      <c r="IN253" s="858"/>
    </row>
    <row r="254" spans="1:248">
      <c r="A254" s="568" t="s">
        <v>28</v>
      </c>
      <c r="B254" s="566">
        <v>28978.1</v>
      </c>
      <c r="C254" s="566">
        <v>23.860932201854652</v>
      </c>
      <c r="D254" s="569">
        <v>25975.5</v>
      </c>
      <c r="E254" s="859">
        <v>21.388553576986606</v>
      </c>
      <c r="F254" s="859">
        <v>3002.5999999999985</v>
      </c>
      <c r="G254" s="859">
        <f t="shared" si="35"/>
        <v>2.472378624868047</v>
      </c>
      <c r="H254" s="377">
        <v>121445.8</v>
      </c>
      <c r="I254" s="858"/>
      <c r="J254" s="858"/>
      <c r="K254" s="858"/>
      <c r="L254" s="858"/>
      <c r="M254" s="858"/>
      <c r="N254" s="858"/>
      <c r="O254" s="858"/>
      <c r="P254" s="858"/>
      <c r="Q254" s="858"/>
      <c r="R254" s="858"/>
      <c r="S254" s="858"/>
      <c r="T254" s="858"/>
      <c r="U254" s="858"/>
      <c r="V254" s="858"/>
      <c r="W254" s="858"/>
      <c r="X254" s="858"/>
      <c r="Y254" s="858"/>
      <c r="Z254" s="858"/>
      <c r="AA254" s="858"/>
      <c r="AB254" s="858"/>
      <c r="AC254" s="858"/>
      <c r="AD254" s="858"/>
      <c r="AE254" s="858"/>
      <c r="AF254" s="858"/>
      <c r="AG254" s="858"/>
      <c r="AH254" s="858"/>
      <c r="AI254" s="858"/>
      <c r="AJ254" s="858"/>
      <c r="AK254" s="858"/>
      <c r="AL254" s="858"/>
      <c r="AM254" s="858"/>
      <c r="AN254" s="858"/>
      <c r="AO254" s="858"/>
      <c r="AP254" s="858"/>
      <c r="AQ254" s="858"/>
      <c r="AR254" s="858"/>
      <c r="AS254" s="858"/>
      <c r="AT254" s="858"/>
      <c r="AU254" s="858"/>
      <c r="AV254" s="858"/>
      <c r="AW254" s="858"/>
      <c r="AX254" s="858"/>
      <c r="AY254" s="858"/>
      <c r="AZ254" s="858"/>
      <c r="BA254" s="858"/>
      <c r="BB254" s="858"/>
      <c r="BC254" s="858"/>
      <c r="BD254" s="858"/>
      <c r="BE254" s="858"/>
      <c r="BF254" s="858"/>
      <c r="BG254" s="858"/>
      <c r="BH254" s="858"/>
      <c r="BI254" s="858"/>
      <c r="BJ254" s="858"/>
      <c r="BK254" s="858"/>
      <c r="BL254" s="858"/>
      <c r="BM254" s="858"/>
      <c r="BN254" s="858"/>
      <c r="BO254" s="858"/>
      <c r="BP254" s="858"/>
      <c r="BQ254" s="858"/>
      <c r="BR254" s="858"/>
      <c r="BS254" s="858"/>
      <c r="BT254" s="858"/>
      <c r="BU254" s="858"/>
      <c r="BV254" s="858"/>
      <c r="BW254" s="858"/>
      <c r="BX254" s="858"/>
      <c r="BY254" s="858"/>
      <c r="BZ254" s="858"/>
      <c r="CA254" s="858"/>
      <c r="CB254" s="858"/>
      <c r="CC254" s="858"/>
      <c r="CD254" s="858"/>
      <c r="CE254" s="858"/>
      <c r="CF254" s="858"/>
      <c r="CG254" s="858"/>
      <c r="CH254" s="858"/>
      <c r="CI254" s="858"/>
      <c r="CJ254" s="858"/>
      <c r="CK254" s="858"/>
      <c r="CL254" s="858"/>
      <c r="CM254" s="858"/>
      <c r="CN254" s="858"/>
      <c r="CO254" s="858"/>
      <c r="CP254" s="858"/>
      <c r="CQ254" s="858"/>
      <c r="CR254" s="858"/>
      <c r="CS254" s="858"/>
      <c r="CT254" s="858"/>
      <c r="CU254" s="858"/>
      <c r="CV254" s="858"/>
      <c r="CW254" s="858"/>
      <c r="CX254" s="858"/>
      <c r="CY254" s="858"/>
      <c r="CZ254" s="858"/>
      <c r="DA254" s="858"/>
      <c r="DB254" s="858"/>
      <c r="DC254" s="858"/>
      <c r="DD254" s="858"/>
      <c r="DE254" s="858"/>
      <c r="DF254" s="858"/>
      <c r="DG254" s="858"/>
      <c r="DH254" s="858"/>
      <c r="DI254" s="858"/>
      <c r="DJ254" s="858"/>
      <c r="DK254" s="858"/>
      <c r="DL254" s="858"/>
      <c r="DM254" s="858"/>
      <c r="DN254" s="858"/>
      <c r="DO254" s="858"/>
      <c r="DP254" s="858"/>
      <c r="DQ254" s="858"/>
      <c r="DR254" s="858"/>
      <c r="DS254" s="858"/>
      <c r="DT254" s="858"/>
      <c r="DU254" s="858"/>
      <c r="DV254" s="858"/>
      <c r="DW254" s="858"/>
      <c r="DX254" s="858"/>
      <c r="DY254" s="858"/>
      <c r="DZ254" s="858"/>
      <c r="EA254" s="858"/>
      <c r="EB254" s="858"/>
      <c r="EC254" s="858"/>
      <c r="ED254" s="858"/>
      <c r="EE254" s="858"/>
      <c r="EF254" s="858"/>
      <c r="EG254" s="858"/>
      <c r="EH254" s="858"/>
      <c r="EI254" s="858"/>
      <c r="EJ254" s="858"/>
      <c r="EK254" s="858"/>
      <c r="EL254" s="858"/>
      <c r="EM254" s="858"/>
      <c r="EN254" s="858"/>
      <c r="EO254" s="858"/>
      <c r="EP254" s="858"/>
      <c r="EQ254" s="858"/>
      <c r="ER254" s="858"/>
      <c r="ES254" s="858"/>
      <c r="ET254" s="858"/>
      <c r="EU254" s="858"/>
      <c r="EV254" s="858"/>
      <c r="EW254" s="858"/>
      <c r="EX254" s="858"/>
      <c r="EY254" s="858"/>
      <c r="EZ254" s="858"/>
      <c r="FA254" s="858"/>
      <c r="FB254" s="858"/>
      <c r="FC254" s="858"/>
      <c r="FD254" s="858"/>
      <c r="FE254" s="858"/>
      <c r="FF254" s="858"/>
      <c r="FG254" s="858"/>
      <c r="FH254" s="858"/>
      <c r="FI254" s="858"/>
      <c r="FJ254" s="858"/>
      <c r="FK254" s="858"/>
      <c r="FL254" s="858"/>
      <c r="FM254" s="858"/>
      <c r="FN254" s="858"/>
      <c r="FO254" s="858"/>
      <c r="FP254" s="858"/>
      <c r="FQ254" s="858"/>
      <c r="FR254" s="858"/>
      <c r="FS254" s="858"/>
      <c r="FT254" s="858"/>
      <c r="FU254" s="858"/>
      <c r="FV254" s="858"/>
      <c r="FW254" s="858"/>
      <c r="FX254" s="858"/>
      <c r="FY254" s="858"/>
      <c r="FZ254" s="858"/>
      <c r="GA254" s="858"/>
      <c r="GB254" s="858"/>
      <c r="GC254" s="858"/>
      <c r="GD254" s="858"/>
      <c r="GE254" s="858"/>
      <c r="GF254" s="858"/>
      <c r="GG254" s="858"/>
      <c r="GH254" s="858"/>
      <c r="GI254" s="858"/>
      <c r="GJ254" s="858"/>
      <c r="GK254" s="858"/>
      <c r="GL254" s="858"/>
      <c r="GM254" s="858"/>
      <c r="GN254" s="858"/>
      <c r="GO254" s="858"/>
      <c r="GP254" s="858"/>
      <c r="GQ254" s="858"/>
      <c r="GR254" s="858"/>
      <c r="GS254" s="858"/>
      <c r="GT254" s="858"/>
      <c r="GU254" s="858"/>
      <c r="GV254" s="858"/>
      <c r="GW254" s="858"/>
      <c r="GX254" s="858"/>
      <c r="GY254" s="858"/>
      <c r="GZ254" s="858"/>
      <c r="HA254" s="858"/>
      <c r="HB254" s="858"/>
      <c r="HC254" s="858"/>
      <c r="HD254" s="858"/>
      <c r="HE254" s="858"/>
      <c r="HF254" s="858"/>
      <c r="HG254" s="858"/>
      <c r="HH254" s="858"/>
      <c r="HI254" s="858"/>
      <c r="HJ254" s="858"/>
      <c r="HK254" s="858"/>
      <c r="HL254" s="858"/>
      <c r="HM254" s="858"/>
      <c r="HN254" s="858"/>
      <c r="HO254" s="858"/>
      <c r="HP254" s="858"/>
      <c r="HQ254" s="858"/>
      <c r="HR254" s="858"/>
      <c r="HS254" s="858"/>
      <c r="HT254" s="858"/>
      <c r="HU254" s="858"/>
      <c r="HV254" s="858"/>
      <c r="HW254" s="858"/>
      <c r="HX254" s="858"/>
      <c r="HY254" s="858"/>
      <c r="HZ254" s="858"/>
      <c r="IA254" s="858"/>
      <c r="IB254" s="858"/>
      <c r="IC254" s="858"/>
      <c r="ID254" s="858"/>
      <c r="IE254" s="858"/>
      <c r="IF254" s="858"/>
      <c r="IG254" s="858"/>
      <c r="IH254" s="858"/>
      <c r="II254" s="858"/>
      <c r="IJ254" s="858"/>
      <c r="IK254" s="858"/>
      <c r="IL254" s="858"/>
      <c r="IM254" s="858"/>
      <c r="IN254" s="858"/>
    </row>
    <row r="255" spans="1:248">
      <c r="A255" s="568" t="s">
        <v>29</v>
      </c>
      <c r="B255" s="566">
        <v>30679.599999999999</v>
      </c>
      <c r="C255" s="566">
        <v>22.910754129622244</v>
      </c>
      <c r="D255" s="569">
        <v>32064.6</v>
      </c>
      <c r="E255" s="859">
        <v>23.958982498143115</v>
      </c>
      <c r="F255" s="859">
        <f>B255-D255</f>
        <v>-1385</v>
      </c>
      <c r="G255" s="859">
        <f t="shared" si="35"/>
        <v>-1.0349274952961238</v>
      </c>
      <c r="H255" s="377">
        <v>133825.79999999999</v>
      </c>
      <c r="I255" s="858"/>
      <c r="J255" s="858"/>
      <c r="K255" s="858"/>
      <c r="L255" s="858"/>
      <c r="M255" s="858"/>
      <c r="N255" s="858"/>
      <c r="O255" s="858"/>
      <c r="P255" s="858"/>
      <c r="Q255" s="858"/>
      <c r="R255" s="858"/>
      <c r="S255" s="858"/>
      <c r="T255" s="858"/>
      <c r="U255" s="858"/>
      <c r="V255" s="858"/>
      <c r="W255" s="858"/>
      <c r="X255" s="858"/>
      <c r="Y255" s="858"/>
      <c r="Z255" s="858"/>
      <c r="AA255" s="858"/>
      <c r="AB255" s="858"/>
      <c r="AC255" s="858"/>
      <c r="AD255" s="858"/>
      <c r="AE255" s="858"/>
      <c r="AF255" s="858"/>
      <c r="AG255" s="858"/>
      <c r="AH255" s="858"/>
      <c r="AI255" s="858"/>
      <c r="AJ255" s="858"/>
      <c r="AK255" s="858"/>
      <c r="AL255" s="858"/>
      <c r="AM255" s="858"/>
      <c r="AN255" s="858"/>
      <c r="AO255" s="858"/>
      <c r="AP255" s="858"/>
      <c r="AQ255" s="858"/>
      <c r="AR255" s="858"/>
      <c r="AS255" s="858"/>
      <c r="AT255" s="858"/>
      <c r="AU255" s="858"/>
      <c r="AV255" s="858"/>
      <c r="AW255" s="858"/>
      <c r="AX255" s="858"/>
      <c r="AY255" s="858"/>
      <c r="AZ255" s="858"/>
      <c r="BA255" s="858"/>
      <c r="BB255" s="858"/>
      <c r="BC255" s="858"/>
      <c r="BD255" s="858"/>
      <c r="BE255" s="858"/>
      <c r="BF255" s="858"/>
      <c r="BG255" s="858"/>
      <c r="BH255" s="858"/>
      <c r="BI255" s="858"/>
      <c r="BJ255" s="858"/>
      <c r="BK255" s="858"/>
      <c r="BL255" s="858"/>
      <c r="BM255" s="858"/>
      <c r="BN255" s="858"/>
      <c r="BO255" s="858"/>
      <c r="BP255" s="858"/>
      <c r="BQ255" s="858"/>
      <c r="BR255" s="858"/>
      <c r="BS255" s="858"/>
      <c r="BT255" s="858"/>
      <c r="BU255" s="858"/>
      <c r="BV255" s="858"/>
      <c r="BW255" s="858"/>
      <c r="BX255" s="858"/>
      <c r="BY255" s="858"/>
      <c r="BZ255" s="858"/>
      <c r="CA255" s="858"/>
      <c r="CB255" s="858"/>
      <c r="CC255" s="858"/>
      <c r="CD255" s="858"/>
      <c r="CE255" s="858"/>
      <c r="CF255" s="858"/>
      <c r="CG255" s="858"/>
      <c r="CH255" s="858"/>
      <c r="CI255" s="858"/>
      <c r="CJ255" s="858"/>
      <c r="CK255" s="858"/>
      <c r="CL255" s="858"/>
      <c r="CM255" s="858"/>
      <c r="CN255" s="858"/>
      <c r="CO255" s="858"/>
      <c r="CP255" s="858"/>
      <c r="CQ255" s="858"/>
      <c r="CR255" s="858"/>
      <c r="CS255" s="858"/>
      <c r="CT255" s="858"/>
      <c r="CU255" s="858"/>
      <c r="CV255" s="858"/>
      <c r="CW255" s="858"/>
      <c r="CX255" s="858"/>
      <c r="CY255" s="858"/>
      <c r="CZ255" s="858"/>
      <c r="DA255" s="858"/>
      <c r="DB255" s="858"/>
      <c r="DC255" s="858"/>
      <c r="DD255" s="858"/>
      <c r="DE255" s="858"/>
      <c r="DF255" s="858"/>
      <c r="DG255" s="858"/>
      <c r="DH255" s="858"/>
      <c r="DI255" s="858"/>
      <c r="DJ255" s="858"/>
      <c r="DK255" s="858"/>
      <c r="DL255" s="858"/>
      <c r="DM255" s="858"/>
      <c r="DN255" s="858"/>
      <c r="DO255" s="858"/>
      <c r="DP255" s="858"/>
      <c r="DQ255" s="858"/>
      <c r="DR255" s="858"/>
      <c r="DS255" s="858"/>
      <c r="DT255" s="858"/>
      <c r="DU255" s="858"/>
      <c r="DV255" s="858"/>
      <c r="DW255" s="858"/>
      <c r="DX255" s="858"/>
      <c r="DY255" s="858"/>
      <c r="DZ255" s="858"/>
      <c r="EA255" s="858"/>
      <c r="EB255" s="858"/>
      <c r="EC255" s="858"/>
      <c r="ED255" s="858"/>
      <c r="EE255" s="858"/>
      <c r="EF255" s="858"/>
      <c r="EG255" s="858"/>
      <c r="EH255" s="858"/>
      <c r="EI255" s="858"/>
      <c r="EJ255" s="858"/>
      <c r="EK255" s="858"/>
      <c r="EL255" s="858"/>
      <c r="EM255" s="858"/>
      <c r="EN255" s="858"/>
      <c r="EO255" s="858"/>
      <c r="EP255" s="858"/>
      <c r="EQ255" s="858"/>
      <c r="ER255" s="858"/>
      <c r="ES255" s="858"/>
      <c r="ET255" s="858"/>
      <c r="EU255" s="858"/>
      <c r="EV255" s="858"/>
      <c r="EW255" s="858"/>
      <c r="EX255" s="858"/>
      <c r="EY255" s="858"/>
      <c r="EZ255" s="858"/>
      <c r="FA255" s="858"/>
      <c r="FB255" s="858"/>
      <c r="FC255" s="858"/>
      <c r="FD255" s="858"/>
      <c r="FE255" s="858"/>
      <c r="FF255" s="858"/>
      <c r="FG255" s="858"/>
      <c r="FH255" s="858"/>
      <c r="FI255" s="858"/>
      <c r="FJ255" s="858"/>
      <c r="FK255" s="858"/>
      <c r="FL255" s="858"/>
      <c r="FM255" s="858"/>
      <c r="FN255" s="858"/>
      <c r="FO255" s="858"/>
      <c r="FP255" s="858"/>
      <c r="FQ255" s="858"/>
      <c r="FR255" s="858"/>
      <c r="FS255" s="858"/>
      <c r="FT255" s="858"/>
      <c r="FU255" s="858"/>
      <c r="FV255" s="858"/>
      <c r="FW255" s="858"/>
      <c r="FX255" s="858"/>
      <c r="FY255" s="858"/>
      <c r="FZ255" s="858"/>
      <c r="GA255" s="858"/>
      <c r="GB255" s="858"/>
      <c r="GC255" s="858"/>
      <c r="GD255" s="858"/>
      <c r="GE255" s="858"/>
      <c r="GF255" s="858"/>
      <c r="GG255" s="858"/>
      <c r="GH255" s="858"/>
      <c r="GI255" s="858"/>
      <c r="GJ255" s="858"/>
      <c r="GK255" s="858"/>
      <c r="GL255" s="858"/>
      <c r="GM255" s="858"/>
      <c r="GN255" s="858"/>
      <c r="GO255" s="858"/>
      <c r="GP255" s="858"/>
      <c r="GQ255" s="858"/>
      <c r="GR255" s="858"/>
      <c r="GS255" s="858"/>
      <c r="GT255" s="858"/>
      <c r="GU255" s="858"/>
      <c r="GV255" s="858"/>
      <c r="GW255" s="858"/>
      <c r="GX255" s="858"/>
      <c r="GY255" s="858"/>
      <c r="GZ255" s="858"/>
      <c r="HA255" s="858"/>
      <c r="HB255" s="858"/>
      <c r="HC255" s="858"/>
      <c r="HD255" s="858"/>
      <c r="HE255" s="858"/>
      <c r="HF255" s="858"/>
      <c r="HG255" s="858"/>
      <c r="HH255" s="858"/>
      <c r="HI255" s="858"/>
      <c r="HJ255" s="858"/>
      <c r="HK255" s="858"/>
      <c r="HL255" s="858"/>
      <c r="HM255" s="858"/>
      <c r="HN255" s="858"/>
      <c r="HO255" s="858"/>
      <c r="HP255" s="858"/>
      <c r="HQ255" s="858"/>
      <c r="HR255" s="858"/>
      <c r="HS255" s="858"/>
      <c r="HT255" s="858"/>
      <c r="HU255" s="858"/>
      <c r="HV255" s="858"/>
      <c r="HW255" s="858"/>
      <c r="HX255" s="858"/>
      <c r="HY255" s="858"/>
      <c r="HZ255" s="858"/>
      <c r="IA255" s="858"/>
      <c r="IB255" s="858"/>
      <c r="IC255" s="858"/>
      <c r="ID255" s="858"/>
      <c r="IE255" s="858"/>
      <c r="IF255" s="858"/>
      <c r="IG255" s="858"/>
      <c r="IH255" s="858"/>
      <c r="II255" s="858"/>
      <c r="IJ255" s="858"/>
      <c r="IK255" s="858"/>
      <c r="IL255" s="858"/>
      <c r="IM255" s="858"/>
      <c r="IN255" s="858"/>
    </row>
    <row r="256" spans="1:248">
      <c r="A256" s="568" t="s">
        <v>3500</v>
      </c>
      <c r="B256" s="561">
        <v>35236.39</v>
      </c>
      <c r="C256" s="561">
        <v>28.921308396779011</v>
      </c>
      <c r="D256" s="565">
        <v>36457.96</v>
      </c>
      <c r="E256" s="860">
        <v>29.639731556719006</v>
      </c>
      <c r="F256" s="860">
        <v>-1221.5699999999997</v>
      </c>
      <c r="G256" s="860">
        <v>-0.99310193446634476</v>
      </c>
      <c r="H256" s="377"/>
      <c r="I256" s="858"/>
      <c r="J256" s="858"/>
      <c r="K256" s="858"/>
      <c r="L256" s="858"/>
      <c r="M256" s="858"/>
      <c r="N256" s="858"/>
      <c r="O256" s="858"/>
      <c r="P256" s="858"/>
      <c r="Q256" s="858"/>
      <c r="R256" s="858"/>
      <c r="S256" s="858"/>
      <c r="T256" s="858"/>
      <c r="U256" s="858"/>
      <c r="V256" s="858"/>
      <c r="W256" s="858"/>
      <c r="X256" s="858"/>
      <c r="Y256" s="858"/>
      <c r="Z256" s="858"/>
      <c r="AA256" s="858"/>
      <c r="AB256" s="858"/>
      <c r="AC256" s="858"/>
      <c r="AD256" s="858"/>
      <c r="AE256" s="858"/>
      <c r="AF256" s="858"/>
      <c r="AG256" s="858"/>
      <c r="AH256" s="858"/>
      <c r="AI256" s="858"/>
      <c r="AJ256" s="858"/>
      <c r="AK256" s="858"/>
      <c r="AL256" s="858"/>
      <c r="AM256" s="858"/>
      <c r="AN256" s="858"/>
      <c r="AO256" s="858"/>
      <c r="AP256" s="858"/>
      <c r="AQ256" s="858"/>
      <c r="AR256" s="858"/>
      <c r="AS256" s="858"/>
      <c r="AT256" s="858"/>
      <c r="AU256" s="858"/>
      <c r="AV256" s="858"/>
      <c r="AW256" s="858"/>
      <c r="AX256" s="858"/>
      <c r="AY256" s="858"/>
      <c r="AZ256" s="858"/>
      <c r="BA256" s="858"/>
      <c r="BB256" s="858"/>
      <c r="BC256" s="858"/>
      <c r="BD256" s="858"/>
      <c r="BE256" s="858"/>
      <c r="BF256" s="858"/>
      <c r="BG256" s="858"/>
      <c r="BH256" s="858"/>
      <c r="BI256" s="858"/>
      <c r="BJ256" s="858"/>
      <c r="BK256" s="858"/>
      <c r="BL256" s="858"/>
      <c r="BM256" s="858"/>
      <c r="BN256" s="858"/>
      <c r="BO256" s="858"/>
      <c r="BP256" s="858"/>
      <c r="BQ256" s="858"/>
      <c r="BR256" s="858"/>
      <c r="BS256" s="858"/>
      <c r="BT256" s="858"/>
      <c r="BU256" s="858"/>
      <c r="BV256" s="858"/>
      <c r="BW256" s="858"/>
      <c r="BX256" s="858"/>
      <c r="BY256" s="858"/>
      <c r="BZ256" s="858"/>
      <c r="CA256" s="858"/>
      <c r="CB256" s="858"/>
      <c r="CC256" s="858"/>
      <c r="CD256" s="858"/>
      <c r="CE256" s="858"/>
      <c r="CF256" s="858"/>
      <c r="CG256" s="858"/>
      <c r="CH256" s="858"/>
      <c r="CI256" s="858"/>
      <c r="CJ256" s="858"/>
      <c r="CK256" s="858"/>
      <c r="CL256" s="858"/>
      <c r="CM256" s="858"/>
      <c r="CN256" s="858"/>
      <c r="CO256" s="858"/>
      <c r="CP256" s="858"/>
      <c r="CQ256" s="858"/>
      <c r="CR256" s="858"/>
      <c r="CS256" s="858"/>
      <c r="CT256" s="858"/>
      <c r="CU256" s="858"/>
      <c r="CV256" s="858"/>
      <c r="CW256" s="858"/>
      <c r="CX256" s="858"/>
      <c r="CY256" s="858"/>
      <c r="CZ256" s="858"/>
      <c r="DA256" s="858"/>
      <c r="DB256" s="858"/>
      <c r="DC256" s="858"/>
      <c r="DD256" s="858"/>
      <c r="DE256" s="858"/>
      <c r="DF256" s="858"/>
      <c r="DG256" s="858"/>
      <c r="DH256" s="858"/>
      <c r="DI256" s="858"/>
      <c r="DJ256" s="858"/>
      <c r="DK256" s="858"/>
      <c r="DL256" s="858"/>
      <c r="DM256" s="858"/>
      <c r="DN256" s="858"/>
      <c r="DO256" s="858"/>
      <c r="DP256" s="858"/>
      <c r="DQ256" s="858"/>
      <c r="DR256" s="858"/>
      <c r="DS256" s="858"/>
      <c r="DT256" s="858"/>
      <c r="DU256" s="858"/>
      <c r="DV256" s="858"/>
      <c r="DW256" s="858"/>
      <c r="DX256" s="858"/>
      <c r="DY256" s="858"/>
      <c r="DZ256" s="858"/>
      <c r="EA256" s="858"/>
      <c r="EB256" s="858"/>
      <c r="EC256" s="858"/>
      <c r="ED256" s="858"/>
      <c r="EE256" s="858"/>
      <c r="EF256" s="858"/>
      <c r="EG256" s="858"/>
      <c r="EH256" s="858"/>
      <c r="EI256" s="858"/>
      <c r="EJ256" s="858"/>
      <c r="EK256" s="858"/>
      <c r="EL256" s="858"/>
      <c r="EM256" s="858"/>
      <c r="EN256" s="858"/>
      <c r="EO256" s="858"/>
      <c r="EP256" s="858"/>
      <c r="EQ256" s="858"/>
      <c r="ER256" s="858"/>
      <c r="ES256" s="858"/>
      <c r="ET256" s="858"/>
      <c r="EU256" s="858"/>
      <c r="EV256" s="858"/>
      <c r="EW256" s="858"/>
      <c r="EX256" s="858"/>
      <c r="EY256" s="858"/>
      <c r="EZ256" s="858"/>
      <c r="FA256" s="858"/>
      <c r="FB256" s="858"/>
      <c r="FC256" s="858"/>
      <c r="FD256" s="858"/>
      <c r="FE256" s="858"/>
      <c r="FF256" s="858"/>
      <c r="FG256" s="858"/>
      <c r="FH256" s="858"/>
      <c r="FI256" s="858"/>
      <c r="FJ256" s="858"/>
      <c r="FK256" s="858"/>
      <c r="FL256" s="858"/>
      <c r="FM256" s="858"/>
      <c r="FN256" s="858"/>
      <c r="FO256" s="858"/>
      <c r="FP256" s="858"/>
      <c r="FQ256" s="858"/>
      <c r="FR256" s="858"/>
      <c r="FS256" s="858"/>
      <c r="FT256" s="858"/>
      <c r="FU256" s="858"/>
      <c r="FV256" s="858"/>
      <c r="FW256" s="858"/>
      <c r="FX256" s="858"/>
      <c r="FY256" s="858"/>
      <c r="FZ256" s="858"/>
      <c r="GA256" s="858"/>
      <c r="GB256" s="858"/>
      <c r="GC256" s="858"/>
      <c r="GD256" s="858"/>
      <c r="GE256" s="858"/>
      <c r="GF256" s="858"/>
      <c r="GG256" s="858"/>
      <c r="GH256" s="858"/>
      <c r="GI256" s="858"/>
      <c r="GJ256" s="858"/>
      <c r="GK256" s="858"/>
      <c r="GL256" s="858"/>
      <c r="GM256" s="858"/>
      <c r="GN256" s="858"/>
      <c r="GO256" s="858"/>
      <c r="GP256" s="858"/>
      <c r="GQ256" s="858"/>
      <c r="GR256" s="858"/>
      <c r="GS256" s="858"/>
      <c r="GT256" s="858"/>
      <c r="GU256" s="858"/>
      <c r="GV256" s="858"/>
      <c r="GW256" s="858"/>
      <c r="GX256" s="858"/>
      <c r="GY256" s="858"/>
      <c r="GZ256" s="858"/>
      <c r="HA256" s="858"/>
      <c r="HB256" s="858"/>
      <c r="HC256" s="858"/>
      <c r="HD256" s="858"/>
      <c r="HE256" s="858"/>
      <c r="HF256" s="858"/>
      <c r="HG256" s="858"/>
      <c r="HH256" s="858"/>
      <c r="HI256" s="858"/>
      <c r="HJ256" s="858"/>
      <c r="HK256" s="858"/>
      <c r="HL256" s="858"/>
      <c r="HM256" s="858"/>
      <c r="HN256" s="858"/>
      <c r="HO256" s="858"/>
      <c r="HP256" s="858"/>
      <c r="HQ256" s="858"/>
      <c r="HR256" s="858"/>
      <c r="HS256" s="858"/>
      <c r="HT256" s="858"/>
      <c r="HU256" s="858"/>
      <c r="HV256" s="858"/>
      <c r="HW256" s="858"/>
      <c r="HX256" s="858"/>
      <c r="HY256" s="858"/>
      <c r="HZ256" s="858"/>
      <c r="IA256" s="858"/>
      <c r="IB256" s="858"/>
      <c r="IC256" s="858"/>
      <c r="ID256" s="858"/>
      <c r="IE256" s="858"/>
      <c r="IF256" s="858"/>
      <c r="IG256" s="858"/>
      <c r="IH256" s="858"/>
      <c r="II256" s="858"/>
      <c r="IJ256" s="858"/>
      <c r="IK256" s="858"/>
      <c r="IL256" s="858"/>
      <c r="IM256" s="858"/>
      <c r="IN256" s="858"/>
    </row>
    <row r="257" spans="1:248">
      <c r="A257" s="568" t="s">
        <v>18</v>
      </c>
      <c r="B257" s="566">
        <v>4006.5</v>
      </c>
      <c r="C257" s="566">
        <v>41.34589585354275</v>
      </c>
      <c r="D257" s="569">
        <v>1457.9</v>
      </c>
      <c r="E257" s="859">
        <v>15.045097108418815</v>
      </c>
      <c r="F257" s="859">
        <v>2548.6</v>
      </c>
      <c r="G257" s="859">
        <v>26.300798745123938</v>
      </c>
      <c r="H257" s="377">
        <v>9690.2000000000007</v>
      </c>
      <c r="I257" s="858"/>
      <c r="J257" s="858"/>
      <c r="K257" s="858"/>
      <c r="L257" s="858"/>
      <c r="M257" s="858"/>
      <c r="N257" s="858"/>
      <c r="O257" s="858"/>
      <c r="P257" s="858"/>
      <c r="Q257" s="858"/>
      <c r="R257" s="858"/>
      <c r="S257" s="858"/>
      <c r="T257" s="858"/>
      <c r="U257" s="858"/>
      <c r="V257" s="858"/>
      <c r="W257" s="858"/>
      <c r="X257" s="858"/>
      <c r="Y257" s="858"/>
      <c r="Z257" s="858"/>
      <c r="AA257" s="858"/>
      <c r="AB257" s="858"/>
      <c r="AC257" s="858"/>
      <c r="AD257" s="858"/>
      <c r="AE257" s="858"/>
      <c r="AF257" s="858"/>
      <c r="AG257" s="858"/>
      <c r="AH257" s="858"/>
      <c r="AI257" s="858"/>
      <c r="AJ257" s="858"/>
      <c r="AK257" s="858"/>
      <c r="AL257" s="858"/>
      <c r="AM257" s="858"/>
      <c r="AN257" s="858"/>
      <c r="AO257" s="858"/>
      <c r="AP257" s="858"/>
      <c r="AQ257" s="858"/>
      <c r="AR257" s="858"/>
      <c r="AS257" s="858"/>
      <c r="AT257" s="858"/>
      <c r="AU257" s="858"/>
      <c r="AV257" s="858"/>
      <c r="AW257" s="858"/>
      <c r="AX257" s="858"/>
      <c r="AY257" s="858"/>
      <c r="AZ257" s="858"/>
      <c r="BA257" s="858"/>
      <c r="BB257" s="858"/>
      <c r="BC257" s="858"/>
      <c r="BD257" s="858"/>
      <c r="BE257" s="858"/>
      <c r="BF257" s="858"/>
      <c r="BG257" s="858"/>
      <c r="BH257" s="858"/>
      <c r="BI257" s="858"/>
      <c r="BJ257" s="858"/>
      <c r="BK257" s="858"/>
      <c r="BL257" s="858"/>
      <c r="BM257" s="858"/>
      <c r="BN257" s="858"/>
      <c r="BO257" s="858"/>
      <c r="BP257" s="858"/>
      <c r="BQ257" s="858"/>
      <c r="BR257" s="858"/>
      <c r="BS257" s="858"/>
      <c r="BT257" s="858"/>
      <c r="BU257" s="858"/>
      <c r="BV257" s="858"/>
      <c r="BW257" s="858"/>
      <c r="BX257" s="858"/>
      <c r="BY257" s="858"/>
      <c r="BZ257" s="858"/>
      <c r="CA257" s="858"/>
      <c r="CB257" s="858"/>
      <c r="CC257" s="858"/>
      <c r="CD257" s="858"/>
      <c r="CE257" s="858"/>
      <c r="CF257" s="858"/>
      <c r="CG257" s="858"/>
      <c r="CH257" s="858"/>
      <c r="CI257" s="858"/>
      <c r="CJ257" s="858"/>
      <c r="CK257" s="858"/>
      <c r="CL257" s="858"/>
      <c r="CM257" s="858"/>
      <c r="CN257" s="858"/>
      <c r="CO257" s="858"/>
      <c r="CP257" s="858"/>
      <c r="CQ257" s="858"/>
      <c r="CR257" s="858"/>
      <c r="CS257" s="858"/>
      <c r="CT257" s="858"/>
      <c r="CU257" s="858"/>
      <c r="CV257" s="858"/>
      <c r="CW257" s="858"/>
      <c r="CX257" s="858"/>
      <c r="CY257" s="858"/>
      <c r="CZ257" s="858"/>
      <c r="DA257" s="858"/>
      <c r="DB257" s="858"/>
      <c r="DC257" s="858"/>
      <c r="DD257" s="858"/>
      <c r="DE257" s="858"/>
      <c r="DF257" s="858"/>
      <c r="DG257" s="858"/>
      <c r="DH257" s="858"/>
      <c r="DI257" s="858"/>
      <c r="DJ257" s="858"/>
      <c r="DK257" s="858"/>
      <c r="DL257" s="858"/>
      <c r="DM257" s="858"/>
      <c r="DN257" s="858"/>
      <c r="DO257" s="858"/>
      <c r="DP257" s="858"/>
      <c r="DQ257" s="858"/>
      <c r="DR257" s="858"/>
      <c r="DS257" s="858"/>
      <c r="DT257" s="858"/>
      <c r="DU257" s="858"/>
      <c r="DV257" s="858"/>
      <c r="DW257" s="858"/>
      <c r="DX257" s="858"/>
      <c r="DY257" s="858"/>
      <c r="DZ257" s="858"/>
      <c r="EA257" s="858"/>
      <c r="EB257" s="858"/>
      <c r="EC257" s="858"/>
      <c r="ED257" s="858"/>
      <c r="EE257" s="858"/>
      <c r="EF257" s="858"/>
      <c r="EG257" s="858"/>
      <c r="EH257" s="858"/>
      <c r="EI257" s="858"/>
      <c r="EJ257" s="858"/>
      <c r="EK257" s="858"/>
      <c r="EL257" s="858"/>
      <c r="EM257" s="858"/>
      <c r="EN257" s="858"/>
      <c r="EO257" s="858"/>
      <c r="EP257" s="858"/>
      <c r="EQ257" s="858"/>
      <c r="ER257" s="858"/>
      <c r="ES257" s="858"/>
      <c r="ET257" s="858"/>
      <c r="EU257" s="858"/>
      <c r="EV257" s="858"/>
      <c r="EW257" s="858"/>
      <c r="EX257" s="858"/>
      <c r="EY257" s="858"/>
      <c r="EZ257" s="858"/>
      <c r="FA257" s="858"/>
      <c r="FB257" s="858"/>
      <c r="FC257" s="858"/>
      <c r="FD257" s="858"/>
      <c r="FE257" s="858"/>
      <c r="FF257" s="858"/>
      <c r="FG257" s="858"/>
      <c r="FH257" s="858"/>
      <c r="FI257" s="858"/>
      <c r="FJ257" s="858"/>
      <c r="FK257" s="858"/>
      <c r="FL257" s="858"/>
      <c r="FM257" s="858"/>
      <c r="FN257" s="858"/>
      <c r="FO257" s="858"/>
      <c r="FP257" s="858"/>
      <c r="FQ257" s="858"/>
      <c r="FR257" s="858"/>
      <c r="FS257" s="858"/>
      <c r="FT257" s="858"/>
      <c r="FU257" s="858"/>
      <c r="FV257" s="858"/>
      <c r="FW257" s="858"/>
      <c r="FX257" s="858"/>
      <c r="FY257" s="858"/>
      <c r="FZ257" s="858"/>
      <c r="GA257" s="858"/>
      <c r="GB257" s="858"/>
      <c r="GC257" s="858"/>
      <c r="GD257" s="858"/>
      <c r="GE257" s="858"/>
      <c r="GF257" s="858"/>
      <c r="GG257" s="858"/>
      <c r="GH257" s="858"/>
      <c r="GI257" s="858"/>
      <c r="GJ257" s="858"/>
      <c r="GK257" s="858"/>
      <c r="GL257" s="858"/>
      <c r="GM257" s="858"/>
      <c r="GN257" s="858"/>
      <c r="GO257" s="858"/>
      <c r="GP257" s="858"/>
      <c r="GQ257" s="858"/>
      <c r="GR257" s="858"/>
      <c r="GS257" s="858"/>
      <c r="GT257" s="858"/>
      <c r="GU257" s="858"/>
      <c r="GV257" s="858"/>
      <c r="GW257" s="858"/>
      <c r="GX257" s="858"/>
      <c r="GY257" s="858"/>
      <c r="GZ257" s="858"/>
      <c r="HA257" s="858"/>
      <c r="HB257" s="858"/>
      <c r="HC257" s="858"/>
      <c r="HD257" s="858"/>
      <c r="HE257" s="858"/>
      <c r="HF257" s="858"/>
      <c r="HG257" s="858"/>
      <c r="HH257" s="858"/>
      <c r="HI257" s="858"/>
      <c r="HJ257" s="858"/>
      <c r="HK257" s="858"/>
      <c r="HL257" s="858"/>
      <c r="HM257" s="858"/>
      <c r="HN257" s="858"/>
      <c r="HO257" s="858"/>
      <c r="HP257" s="858"/>
      <c r="HQ257" s="858"/>
      <c r="HR257" s="858"/>
      <c r="HS257" s="858"/>
      <c r="HT257" s="858"/>
      <c r="HU257" s="858"/>
      <c r="HV257" s="858"/>
      <c r="HW257" s="858"/>
      <c r="HX257" s="858"/>
      <c r="HY257" s="858"/>
      <c r="HZ257" s="858"/>
      <c r="IA257" s="858"/>
      <c r="IB257" s="858"/>
      <c r="IC257" s="858"/>
      <c r="ID257" s="858"/>
      <c r="IE257" s="858"/>
      <c r="IF257" s="858"/>
      <c r="IG257" s="858"/>
      <c r="IH257" s="858"/>
      <c r="II257" s="858"/>
      <c r="IJ257" s="858"/>
      <c r="IK257" s="858"/>
      <c r="IL257" s="858"/>
      <c r="IM257" s="858"/>
      <c r="IN257" s="858"/>
    </row>
    <row r="258" spans="1:248">
      <c r="A258" s="568" t="s">
        <v>19</v>
      </c>
      <c r="B258" s="566">
        <v>5877.6</v>
      </c>
      <c r="C258" s="566">
        <v>29.666119873817038</v>
      </c>
      <c r="D258" s="569">
        <v>3660.4</v>
      </c>
      <c r="E258" s="859">
        <v>18.475205047318614</v>
      </c>
      <c r="F258" s="859">
        <v>2217.2000000000003</v>
      </c>
      <c r="G258" s="859">
        <v>11.190914826498425</v>
      </c>
      <c r="H258" s="377">
        <v>19812.5</v>
      </c>
      <c r="I258" s="858"/>
      <c r="J258" s="858"/>
      <c r="K258" s="858"/>
      <c r="L258" s="858"/>
      <c r="M258" s="858"/>
      <c r="N258" s="858"/>
      <c r="O258" s="858"/>
      <c r="P258" s="858"/>
      <c r="Q258" s="858"/>
      <c r="R258" s="858"/>
      <c r="S258" s="858"/>
      <c r="T258" s="858"/>
      <c r="U258" s="858"/>
      <c r="V258" s="858"/>
      <c r="W258" s="858"/>
      <c r="X258" s="858"/>
      <c r="Y258" s="858"/>
      <c r="Z258" s="858"/>
      <c r="AA258" s="858"/>
      <c r="AB258" s="858"/>
      <c r="AC258" s="858"/>
      <c r="AD258" s="858"/>
      <c r="AE258" s="858"/>
      <c r="AF258" s="858"/>
      <c r="AG258" s="858"/>
      <c r="AH258" s="858"/>
      <c r="AI258" s="858"/>
      <c r="AJ258" s="858"/>
      <c r="AK258" s="858"/>
      <c r="AL258" s="858"/>
      <c r="AM258" s="858"/>
      <c r="AN258" s="858"/>
      <c r="AO258" s="858"/>
      <c r="AP258" s="858"/>
      <c r="AQ258" s="858"/>
      <c r="AR258" s="858"/>
      <c r="AS258" s="858"/>
      <c r="AT258" s="858"/>
      <c r="AU258" s="858"/>
      <c r="AV258" s="858"/>
      <c r="AW258" s="858"/>
      <c r="AX258" s="858"/>
      <c r="AY258" s="858"/>
      <c r="AZ258" s="858"/>
      <c r="BA258" s="858"/>
      <c r="BB258" s="858"/>
      <c r="BC258" s="858"/>
      <c r="BD258" s="858"/>
      <c r="BE258" s="858"/>
      <c r="BF258" s="858"/>
      <c r="BG258" s="858"/>
      <c r="BH258" s="858"/>
      <c r="BI258" s="858"/>
      <c r="BJ258" s="858"/>
      <c r="BK258" s="858"/>
      <c r="BL258" s="858"/>
      <c r="BM258" s="858"/>
      <c r="BN258" s="858"/>
      <c r="BO258" s="858"/>
      <c r="BP258" s="858"/>
      <c r="BQ258" s="858"/>
      <c r="BR258" s="858"/>
      <c r="BS258" s="858"/>
      <c r="BT258" s="858"/>
      <c r="BU258" s="858"/>
      <c r="BV258" s="858"/>
      <c r="BW258" s="858"/>
      <c r="BX258" s="858"/>
      <c r="BY258" s="858"/>
      <c r="BZ258" s="858"/>
      <c r="CA258" s="858"/>
      <c r="CB258" s="858"/>
      <c r="CC258" s="858"/>
      <c r="CD258" s="858"/>
      <c r="CE258" s="858"/>
      <c r="CF258" s="858"/>
      <c r="CG258" s="858"/>
      <c r="CH258" s="858"/>
      <c r="CI258" s="858"/>
      <c r="CJ258" s="858"/>
      <c r="CK258" s="858"/>
      <c r="CL258" s="858"/>
      <c r="CM258" s="858"/>
      <c r="CN258" s="858"/>
      <c r="CO258" s="858"/>
      <c r="CP258" s="858"/>
      <c r="CQ258" s="858"/>
      <c r="CR258" s="858"/>
      <c r="CS258" s="858"/>
      <c r="CT258" s="858"/>
      <c r="CU258" s="858"/>
      <c r="CV258" s="858"/>
      <c r="CW258" s="858"/>
      <c r="CX258" s="858"/>
      <c r="CY258" s="858"/>
      <c r="CZ258" s="858"/>
      <c r="DA258" s="858"/>
      <c r="DB258" s="858"/>
      <c r="DC258" s="858"/>
      <c r="DD258" s="858"/>
      <c r="DE258" s="858"/>
      <c r="DF258" s="858"/>
      <c r="DG258" s="858"/>
      <c r="DH258" s="858"/>
      <c r="DI258" s="858"/>
      <c r="DJ258" s="858"/>
      <c r="DK258" s="858"/>
      <c r="DL258" s="858"/>
      <c r="DM258" s="858"/>
      <c r="DN258" s="858"/>
      <c r="DO258" s="858"/>
      <c r="DP258" s="858"/>
      <c r="DQ258" s="858"/>
      <c r="DR258" s="858"/>
      <c r="DS258" s="858"/>
      <c r="DT258" s="858"/>
      <c r="DU258" s="858"/>
      <c r="DV258" s="858"/>
      <c r="DW258" s="858"/>
      <c r="DX258" s="858"/>
      <c r="DY258" s="858"/>
      <c r="DZ258" s="858"/>
      <c r="EA258" s="858"/>
      <c r="EB258" s="858"/>
      <c r="EC258" s="858"/>
      <c r="ED258" s="858"/>
      <c r="EE258" s="858"/>
      <c r="EF258" s="858"/>
      <c r="EG258" s="858"/>
      <c r="EH258" s="858"/>
      <c r="EI258" s="858"/>
      <c r="EJ258" s="858"/>
      <c r="EK258" s="858"/>
      <c r="EL258" s="858"/>
      <c r="EM258" s="858"/>
      <c r="EN258" s="858"/>
      <c r="EO258" s="858"/>
      <c r="EP258" s="858"/>
      <c r="EQ258" s="858"/>
      <c r="ER258" s="858"/>
      <c r="ES258" s="858"/>
      <c r="ET258" s="858"/>
      <c r="EU258" s="858"/>
      <c r="EV258" s="858"/>
      <c r="EW258" s="858"/>
      <c r="EX258" s="858"/>
      <c r="EY258" s="858"/>
      <c r="EZ258" s="858"/>
      <c r="FA258" s="858"/>
      <c r="FB258" s="858"/>
      <c r="FC258" s="858"/>
      <c r="FD258" s="858"/>
      <c r="FE258" s="858"/>
      <c r="FF258" s="858"/>
      <c r="FG258" s="858"/>
      <c r="FH258" s="858"/>
      <c r="FI258" s="858"/>
      <c r="FJ258" s="858"/>
      <c r="FK258" s="858"/>
      <c r="FL258" s="858"/>
      <c r="FM258" s="858"/>
      <c r="FN258" s="858"/>
      <c r="FO258" s="858"/>
      <c r="FP258" s="858"/>
      <c r="FQ258" s="858"/>
      <c r="FR258" s="858"/>
      <c r="FS258" s="858"/>
      <c r="FT258" s="858"/>
      <c r="FU258" s="858"/>
      <c r="FV258" s="858"/>
      <c r="FW258" s="858"/>
      <c r="FX258" s="858"/>
      <c r="FY258" s="858"/>
      <c r="FZ258" s="858"/>
      <c r="GA258" s="858"/>
      <c r="GB258" s="858"/>
      <c r="GC258" s="858"/>
      <c r="GD258" s="858"/>
      <c r="GE258" s="858"/>
      <c r="GF258" s="858"/>
      <c r="GG258" s="858"/>
      <c r="GH258" s="858"/>
      <c r="GI258" s="858"/>
      <c r="GJ258" s="858"/>
      <c r="GK258" s="858"/>
      <c r="GL258" s="858"/>
      <c r="GM258" s="858"/>
      <c r="GN258" s="858"/>
      <c r="GO258" s="858"/>
      <c r="GP258" s="858"/>
      <c r="GQ258" s="858"/>
      <c r="GR258" s="858"/>
      <c r="GS258" s="858"/>
      <c r="GT258" s="858"/>
      <c r="GU258" s="858"/>
      <c r="GV258" s="858"/>
      <c r="GW258" s="858"/>
      <c r="GX258" s="858"/>
      <c r="GY258" s="858"/>
      <c r="GZ258" s="858"/>
      <c r="HA258" s="858"/>
      <c r="HB258" s="858"/>
      <c r="HC258" s="858"/>
      <c r="HD258" s="858"/>
      <c r="HE258" s="858"/>
      <c r="HF258" s="858"/>
      <c r="HG258" s="858"/>
      <c r="HH258" s="858"/>
      <c r="HI258" s="858"/>
      <c r="HJ258" s="858"/>
      <c r="HK258" s="858"/>
      <c r="HL258" s="858"/>
      <c r="HM258" s="858"/>
      <c r="HN258" s="858"/>
      <c r="HO258" s="858"/>
      <c r="HP258" s="858"/>
      <c r="HQ258" s="858"/>
      <c r="HR258" s="858"/>
      <c r="HS258" s="858"/>
      <c r="HT258" s="858"/>
      <c r="HU258" s="858"/>
      <c r="HV258" s="858"/>
      <c r="HW258" s="858"/>
      <c r="HX258" s="858"/>
      <c r="HY258" s="858"/>
      <c r="HZ258" s="858"/>
      <c r="IA258" s="858"/>
      <c r="IB258" s="858"/>
      <c r="IC258" s="858"/>
      <c r="ID258" s="858"/>
      <c r="IE258" s="858"/>
      <c r="IF258" s="858"/>
      <c r="IG258" s="858"/>
      <c r="IH258" s="858"/>
      <c r="II258" s="858"/>
      <c r="IJ258" s="858"/>
      <c r="IK258" s="858"/>
      <c r="IL258" s="858"/>
      <c r="IM258" s="858"/>
      <c r="IN258" s="858"/>
    </row>
    <row r="259" spans="1:248">
      <c r="A259" s="568" t="s">
        <v>20</v>
      </c>
      <c r="B259" s="566">
        <v>8290</v>
      </c>
      <c r="C259" s="566">
        <v>27.350167928051572</v>
      </c>
      <c r="D259" s="569">
        <v>6567</v>
      </c>
      <c r="E259" s="859">
        <v>21.665687911159793</v>
      </c>
      <c r="F259" s="859">
        <v>1723</v>
      </c>
      <c r="G259" s="859">
        <v>5.6844800168917802</v>
      </c>
      <c r="H259" s="377">
        <v>30310.6</v>
      </c>
      <c r="I259" s="858"/>
      <c r="J259" s="858"/>
      <c r="K259" s="858"/>
      <c r="L259" s="858"/>
      <c r="M259" s="858"/>
      <c r="N259" s="858"/>
      <c r="O259" s="858"/>
      <c r="P259" s="858"/>
      <c r="Q259" s="858"/>
      <c r="R259" s="858"/>
      <c r="S259" s="858"/>
      <c r="T259" s="858"/>
      <c r="U259" s="858"/>
      <c r="V259" s="858"/>
      <c r="W259" s="858"/>
      <c r="X259" s="858"/>
      <c r="Y259" s="858"/>
      <c r="Z259" s="858"/>
      <c r="AA259" s="858"/>
      <c r="AB259" s="858"/>
      <c r="AC259" s="858"/>
      <c r="AD259" s="858"/>
      <c r="AE259" s="858"/>
      <c r="AF259" s="858"/>
      <c r="AG259" s="858"/>
      <c r="AH259" s="858"/>
      <c r="AI259" s="858"/>
      <c r="AJ259" s="858"/>
      <c r="AK259" s="858"/>
      <c r="AL259" s="858"/>
      <c r="AM259" s="858"/>
      <c r="AN259" s="858"/>
      <c r="AO259" s="858"/>
      <c r="AP259" s="858"/>
      <c r="AQ259" s="858"/>
      <c r="AR259" s="858"/>
      <c r="AS259" s="858"/>
      <c r="AT259" s="858"/>
      <c r="AU259" s="858"/>
      <c r="AV259" s="858"/>
      <c r="AW259" s="858"/>
      <c r="AX259" s="858"/>
      <c r="AY259" s="858"/>
      <c r="AZ259" s="858"/>
      <c r="BA259" s="858"/>
      <c r="BB259" s="858"/>
      <c r="BC259" s="858"/>
      <c r="BD259" s="858"/>
      <c r="BE259" s="858"/>
      <c r="BF259" s="858"/>
      <c r="BG259" s="858"/>
      <c r="BH259" s="858"/>
      <c r="BI259" s="858"/>
      <c r="BJ259" s="858"/>
      <c r="BK259" s="858"/>
      <c r="BL259" s="858"/>
      <c r="BM259" s="858"/>
      <c r="BN259" s="858"/>
      <c r="BO259" s="858"/>
      <c r="BP259" s="858"/>
      <c r="BQ259" s="858"/>
      <c r="BR259" s="858"/>
      <c r="BS259" s="858"/>
      <c r="BT259" s="858"/>
      <c r="BU259" s="858"/>
      <c r="BV259" s="858"/>
      <c r="BW259" s="858"/>
      <c r="BX259" s="858"/>
      <c r="BY259" s="858"/>
      <c r="BZ259" s="858"/>
      <c r="CA259" s="858"/>
      <c r="CB259" s="858"/>
      <c r="CC259" s="858"/>
      <c r="CD259" s="858"/>
      <c r="CE259" s="858"/>
      <c r="CF259" s="858"/>
      <c r="CG259" s="858"/>
      <c r="CH259" s="858"/>
      <c r="CI259" s="858"/>
      <c r="CJ259" s="858"/>
      <c r="CK259" s="858"/>
      <c r="CL259" s="858"/>
      <c r="CM259" s="858"/>
      <c r="CN259" s="858"/>
      <c r="CO259" s="858"/>
      <c r="CP259" s="858"/>
      <c r="CQ259" s="858"/>
      <c r="CR259" s="858"/>
      <c r="CS259" s="858"/>
      <c r="CT259" s="858"/>
      <c r="CU259" s="858"/>
      <c r="CV259" s="858"/>
      <c r="CW259" s="858"/>
      <c r="CX259" s="858"/>
      <c r="CY259" s="858"/>
      <c r="CZ259" s="858"/>
      <c r="DA259" s="858"/>
      <c r="DB259" s="858"/>
      <c r="DC259" s="858"/>
      <c r="DD259" s="858"/>
      <c r="DE259" s="858"/>
      <c r="DF259" s="858"/>
      <c r="DG259" s="858"/>
      <c r="DH259" s="858"/>
      <c r="DI259" s="858"/>
      <c r="DJ259" s="858"/>
      <c r="DK259" s="858"/>
      <c r="DL259" s="858"/>
      <c r="DM259" s="858"/>
      <c r="DN259" s="858"/>
      <c r="DO259" s="858"/>
      <c r="DP259" s="858"/>
      <c r="DQ259" s="858"/>
      <c r="DR259" s="858"/>
      <c r="DS259" s="858"/>
      <c r="DT259" s="858"/>
      <c r="DU259" s="858"/>
      <c r="DV259" s="858"/>
      <c r="DW259" s="858"/>
      <c r="DX259" s="858"/>
      <c r="DY259" s="858"/>
      <c r="DZ259" s="858"/>
      <c r="EA259" s="858"/>
      <c r="EB259" s="858"/>
      <c r="EC259" s="858"/>
      <c r="ED259" s="858"/>
      <c r="EE259" s="858"/>
      <c r="EF259" s="858"/>
      <c r="EG259" s="858"/>
      <c r="EH259" s="858"/>
      <c r="EI259" s="858"/>
      <c r="EJ259" s="858"/>
      <c r="EK259" s="858"/>
      <c r="EL259" s="858"/>
      <c r="EM259" s="858"/>
      <c r="EN259" s="858"/>
      <c r="EO259" s="858"/>
      <c r="EP259" s="858"/>
      <c r="EQ259" s="858"/>
      <c r="ER259" s="858"/>
      <c r="ES259" s="858"/>
      <c r="ET259" s="858"/>
      <c r="EU259" s="858"/>
      <c r="EV259" s="858"/>
      <c r="EW259" s="858"/>
      <c r="EX259" s="858"/>
      <c r="EY259" s="858"/>
      <c r="EZ259" s="858"/>
      <c r="FA259" s="858"/>
      <c r="FB259" s="858"/>
      <c r="FC259" s="858"/>
      <c r="FD259" s="858"/>
      <c r="FE259" s="858"/>
      <c r="FF259" s="858"/>
      <c r="FG259" s="858"/>
      <c r="FH259" s="858"/>
      <c r="FI259" s="858"/>
      <c r="FJ259" s="858"/>
      <c r="FK259" s="858"/>
      <c r="FL259" s="858"/>
      <c r="FM259" s="858"/>
      <c r="FN259" s="858"/>
      <c r="FO259" s="858"/>
      <c r="FP259" s="858"/>
      <c r="FQ259" s="858"/>
      <c r="FR259" s="858"/>
      <c r="FS259" s="858"/>
      <c r="FT259" s="858"/>
      <c r="FU259" s="858"/>
      <c r="FV259" s="858"/>
      <c r="FW259" s="858"/>
      <c r="FX259" s="858"/>
      <c r="FY259" s="858"/>
      <c r="FZ259" s="858"/>
      <c r="GA259" s="858"/>
      <c r="GB259" s="858"/>
      <c r="GC259" s="858"/>
      <c r="GD259" s="858"/>
      <c r="GE259" s="858"/>
      <c r="GF259" s="858"/>
      <c r="GG259" s="858"/>
      <c r="GH259" s="858"/>
      <c r="GI259" s="858"/>
      <c r="GJ259" s="858"/>
      <c r="GK259" s="858"/>
      <c r="GL259" s="858"/>
      <c r="GM259" s="858"/>
      <c r="GN259" s="858"/>
      <c r="GO259" s="858"/>
      <c r="GP259" s="858"/>
      <c r="GQ259" s="858"/>
      <c r="GR259" s="858"/>
      <c r="GS259" s="858"/>
      <c r="GT259" s="858"/>
      <c r="GU259" s="858"/>
      <c r="GV259" s="858"/>
      <c r="GW259" s="858"/>
      <c r="GX259" s="858"/>
      <c r="GY259" s="858"/>
      <c r="GZ259" s="858"/>
      <c r="HA259" s="858"/>
      <c r="HB259" s="858"/>
      <c r="HC259" s="858"/>
      <c r="HD259" s="858"/>
      <c r="HE259" s="858"/>
      <c r="HF259" s="858"/>
      <c r="HG259" s="858"/>
      <c r="HH259" s="858"/>
      <c r="HI259" s="858"/>
      <c r="HJ259" s="858"/>
      <c r="HK259" s="858"/>
      <c r="HL259" s="858"/>
      <c r="HM259" s="858"/>
      <c r="HN259" s="858"/>
      <c r="HO259" s="858"/>
      <c r="HP259" s="858"/>
      <c r="HQ259" s="858"/>
      <c r="HR259" s="858"/>
      <c r="HS259" s="858"/>
      <c r="HT259" s="858"/>
      <c r="HU259" s="858"/>
      <c r="HV259" s="858"/>
      <c r="HW259" s="858"/>
      <c r="HX259" s="858"/>
      <c r="HY259" s="858"/>
      <c r="HZ259" s="858"/>
      <c r="IA259" s="858"/>
      <c r="IB259" s="858"/>
      <c r="IC259" s="858"/>
      <c r="ID259" s="858"/>
      <c r="IE259" s="858"/>
      <c r="IF259" s="858"/>
      <c r="IG259" s="858"/>
      <c r="IH259" s="858"/>
      <c r="II259" s="858"/>
      <c r="IJ259" s="858"/>
      <c r="IK259" s="858"/>
      <c r="IL259" s="858"/>
      <c r="IM259" s="858"/>
      <c r="IN259" s="858"/>
    </row>
    <row r="260" spans="1:248">
      <c r="A260" s="568" t="s">
        <v>21</v>
      </c>
      <c r="B260" s="566">
        <v>12165</v>
      </c>
      <c r="C260" s="566">
        <v>30.422767684093383</v>
      </c>
      <c r="D260" s="569">
        <v>8929.7999999999993</v>
      </c>
      <c r="E260" s="859">
        <v>22.332037062508594</v>
      </c>
      <c r="F260" s="859">
        <v>3235.2000000000007</v>
      </c>
      <c r="G260" s="859">
        <v>8.0907306215847861</v>
      </c>
      <c r="H260" s="377">
        <v>39986.5</v>
      </c>
      <c r="I260" s="858"/>
      <c r="J260" s="858"/>
      <c r="K260" s="858"/>
      <c r="L260" s="858"/>
      <c r="M260" s="858"/>
      <c r="N260" s="858"/>
      <c r="O260" s="858"/>
      <c r="P260" s="858"/>
      <c r="Q260" s="858"/>
      <c r="R260" s="858"/>
      <c r="S260" s="858"/>
      <c r="T260" s="858"/>
      <c r="U260" s="858"/>
      <c r="V260" s="858"/>
      <c r="W260" s="858"/>
      <c r="X260" s="858"/>
      <c r="Y260" s="858"/>
      <c r="Z260" s="858"/>
      <c r="AA260" s="858"/>
      <c r="AB260" s="858"/>
      <c r="AC260" s="858"/>
      <c r="AD260" s="858"/>
      <c r="AE260" s="858"/>
      <c r="AF260" s="858"/>
      <c r="AG260" s="858"/>
      <c r="AH260" s="858"/>
      <c r="AI260" s="858"/>
      <c r="AJ260" s="858"/>
      <c r="AK260" s="858"/>
      <c r="AL260" s="858"/>
      <c r="AM260" s="858"/>
      <c r="AN260" s="858"/>
      <c r="AO260" s="858"/>
      <c r="AP260" s="858"/>
      <c r="AQ260" s="858"/>
      <c r="AR260" s="858"/>
      <c r="AS260" s="858"/>
      <c r="AT260" s="858"/>
      <c r="AU260" s="858"/>
      <c r="AV260" s="858"/>
      <c r="AW260" s="858"/>
      <c r="AX260" s="858"/>
      <c r="AY260" s="858"/>
      <c r="AZ260" s="858"/>
      <c r="BA260" s="858"/>
      <c r="BB260" s="858"/>
      <c r="BC260" s="858"/>
      <c r="BD260" s="858"/>
      <c r="BE260" s="858"/>
      <c r="BF260" s="858"/>
      <c r="BG260" s="858"/>
      <c r="BH260" s="858"/>
      <c r="BI260" s="858"/>
      <c r="BJ260" s="858"/>
      <c r="BK260" s="858"/>
      <c r="BL260" s="858"/>
      <c r="BM260" s="858"/>
      <c r="BN260" s="858"/>
      <c r="BO260" s="858"/>
      <c r="BP260" s="858"/>
      <c r="BQ260" s="858"/>
      <c r="BR260" s="858"/>
      <c r="BS260" s="858"/>
      <c r="BT260" s="858"/>
      <c r="BU260" s="858"/>
      <c r="BV260" s="858"/>
      <c r="BW260" s="858"/>
      <c r="BX260" s="858"/>
      <c r="BY260" s="858"/>
      <c r="BZ260" s="858"/>
      <c r="CA260" s="858"/>
      <c r="CB260" s="858"/>
      <c r="CC260" s="858"/>
      <c r="CD260" s="858"/>
      <c r="CE260" s="858"/>
      <c r="CF260" s="858"/>
      <c r="CG260" s="858"/>
      <c r="CH260" s="858"/>
      <c r="CI260" s="858"/>
      <c r="CJ260" s="858"/>
      <c r="CK260" s="858"/>
      <c r="CL260" s="858"/>
      <c r="CM260" s="858"/>
      <c r="CN260" s="858"/>
      <c r="CO260" s="858"/>
      <c r="CP260" s="858"/>
      <c r="CQ260" s="858"/>
      <c r="CR260" s="858"/>
      <c r="CS260" s="858"/>
      <c r="CT260" s="858"/>
      <c r="CU260" s="858"/>
      <c r="CV260" s="858"/>
      <c r="CW260" s="858"/>
      <c r="CX260" s="858"/>
      <c r="CY260" s="858"/>
      <c r="CZ260" s="858"/>
      <c r="DA260" s="858"/>
      <c r="DB260" s="858"/>
      <c r="DC260" s="858"/>
      <c r="DD260" s="858"/>
      <c r="DE260" s="858"/>
      <c r="DF260" s="858"/>
      <c r="DG260" s="858"/>
      <c r="DH260" s="858"/>
      <c r="DI260" s="858"/>
      <c r="DJ260" s="858"/>
      <c r="DK260" s="858"/>
      <c r="DL260" s="858"/>
      <c r="DM260" s="858"/>
      <c r="DN260" s="858"/>
      <c r="DO260" s="858"/>
      <c r="DP260" s="858"/>
      <c r="DQ260" s="858"/>
      <c r="DR260" s="858"/>
      <c r="DS260" s="858"/>
      <c r="DT260" s="858"/>
      <c r="DU260" s="858"/>
      <c r="DV260" s="858"/>
      <c r="DW260" s="858"/>
      <c r="DX260" s="858"/>
      <c r="DY260" s="858"/>
      <c r="DZ260" s="858"/>
      <c r="EA260" s="858"/>
      <c r="EB260" s="858"/>
      <c r="EC260" s="858"/>
      <c r="ED260" s="858"/>
      <c r="EE260" s="858"/>
      <c r="EF260" s="858"/>
      <c r="EG260" s="858"/>
      <c r="EH260" s="858"/>
      <c r="EI260" s="858"/>
      <c r="EJ260" s="858"/>
      <c r="EK260" s="858"/>
      <c r="EL260" s="858"/>
      <c r="EM260" s="858"/>
      <c r="EN260" s="858"/>
      <c r="EO260" s="858"/>
      <c r="EP260" s="858"/>
      <c r="EQ260" s="858"/>
      <c r="ER260" s="858"/>
      <c r="ES260" s="858"/>
      <c r="ET260" s="858"/>
      <c r="EU260" s="858"/>
      <c r="EV260" s="858"/>
      <c r="EW260" s="858"/>
      <c r="EX260" s="858"/>
      <c r="EY260" s="858"/>
      <c r="EZ260" s="858"/>
      <c r="FA260" s="858"/>
      <c r="FB260" s="858"/>
      <c r="FC260" s="858"/>
      <c r="FD260" s="858"/>
      <c r="FE260" s="858"/>
      <c r="FF260" s="858"/>
      <c r="FG260" s="858"/>
      <c r="FH260" s="858"/>
      <c r="FI260" s="858"/>
      <c r="FJ260" s="858"/>
      <c r="FK260" s="858"/>
      <c r="FL260" s="858"/>
      <c r="FM260" s="858"/>
      <c r="FN260" s="858"/>
      <c r="FO260" s="858"/>
      <c r="FP260" s="858"/>
      <c r="FQ260" s="858"/>
      <c r="FR260" s="858"/>
      <c r="FS260" s="858"/>
      <c r="FT260" s="858"/>
      <c r="FU260" s="858"/>
      <c r="FV260" s="858"/>
      <c r="FW260" s="858"/>
      <c r="FX260" s="858"/>
      <c r="FY260" s="858"/>
      <c r="FZ260" s="858"/>
      <c r="GA260" s="858"/>
      <c r="GB260" s="858"/>
      <c r="GC260" s="858"/>
      <c r="GD260" s="858"/>
      <c r="GE260" s="858"/>
      <c r="GF260" s="858"/>
      <c r="GG260" s="858"/>
      <c r="GH260" s="858"/>
      <c r="GI260" s="858"/>
      <c r="GJ260" s="858"/>
      <c r="GK260" s="858"/>
      <c r="GL260" s="858"/>
      <c r="GM260" s="858"/>
      <c r="GN260" s="858"/>
      <c r="GO260" s="858"/>
      <c r="GP260" s="858"/>
      <c r="GQ260" s="858"/>
      <c r="GR260" s="858"/>
      <c r="GS260" s="858"/>
      <c r="GT260" s="858"/>
      <c r="GU260" s="858"/>
      <c r="GV260" s="858"/>
      <c r="GW260" s="858"/>
      <c r="GX260" s="858"/>
      <c r="GY260" s="858"/>
      <c r="GZ260" s="858"/>
      <c r="HA260" s="858"/>
      <c r="HB260" s="858"/>
      <c r="HC260" s="858"/>
      <c r="HD260" s="858"/>
      <c r="HE260" s="858"/>
      <c r="HF260" s="858"/>
      <c r="HG260" s="858"/>
      <c r="HH260" s="858"/>
      <c r="HI260" s="858"/>
      <c r="HJ260" s="858"/>
      <c r="HK260" s="858"/>
      <c r="HL260" s="858"/>
      <c r="HM260" s="858"/>
      <c r="HN260" s="858"/>
      <c r="HO260" s="858"/>
      <c r="HP260" s="858"/>
      <c r="HQ260" s="858"/>
      <c r="HR260" s="858"/>
      <c r="HS260" s="858"/>
      <c r="HT260" s="858"/>
      <c r="HU260" s="858"/>
      <c r="HV260" s="858"/>
      <c r="HW260" s="858"/>
      <c r="HX260" s="858"/>
      <c r="HY260" s="858"/>
      <c r="HZ260" s="858"/>
      <c r="IA260" s="858"/>
      <c r="IB260" s="858"/>
      <c r="IC260" s="858"/>
      <c r="ID260" s="858"/>
      <c r="IE260" s="858"/>
      <c r="IF260" s="858"/>
      <c r="IG260" s="858"/>
      <c r="IH260" s="858"/>
      <c r="II260" s="858"/>
      <c r="IJ260" s="858"/>
      <c r="IK260" s="858"/>
      <c r="IL260" s="858"/>
      <c r="IM260" s="858"/>
      <c r="IN260" s="858"/>
    </row>
    <row r="261" spans="1:248">
      <c r="A261" s="568" t="s">
        <v>22</v>
      </c>
      <c r="B261" s="566">
        <v>13961</v>
      </c>
      <c r="C261" s="566">
        <v>28.158077320253</v>
      </c>
      <c r="D261" s="569">
        <v>11142.4</v>
      </c>
      <c r="E261" s="859">
        <v>22.473215438234153</v>
      </c>
      <c r="F261" s="859">
        <v>2818.6000000000004</v>
      </c>
      <c r="G261" s="859">
        <v>5.6848618820188461</v>
      </c>
      <c r="H261" s="377">
        <v>49580.800000000003</v>
      </c>
      <c r="I261" s="858"/>
      <c r="J261" s="858"/>
      <c r="K261" s="858"/>
      <c r="L261" s="858"/>
      <c r="M261" s="858"/>
      <c r="N261" s="858"/>
      <c r="O261" s="858"/>
      <c r="P261" s="858"/>
      <c r="Q261" s="858"/>
      <c r="R261" s="858"/>
      <c r="S261" s="858"/>
      <c r="T261" s="858"/>
      <c r="U261" s="858"/>
      <c r="V261" s="858"/>
      <c r="W261" s="858"/>
      <c r="X261" s="858"/>
      <c r="Y261" s="858"/>
      <c r="Z261" s="858"/>
      <c r="AA261" s="858"/>
      <c r="AB261" s="858"/>
      <c r="AC261" s="858"/>
      <c r="AD261" s="858"/>
      <c r="AE261" s="858"/>
      <c r="AF261" s="858"/>
      <c r="AG261" s="858"/>
      <c r="AH261" s="858"/>
      <c r="AI261" s="858"/>
      <c r="AJ261" s="858"/>
      <c r="AK261" s="858"/>
      <c r="AL261" s="858"/>
      <c r="AM261" s="858"/>
      <c r="AN261" s="858"/>
      <c r="AO261" s="858"/>
      <c r="AP261" s="858"/>
      <c r="AQ261" s="858"/>
      <c r="AR261" s="858"/>
      <c r="AS261" s="858"/>
      <c r="AT261" s="858"/>
      <c r="AU261" s="858"/>
      <c r="AV261" s="858"/>
      <c r="AW261" s="858"/>
      <c r="AX261" s="858"/>
      <c r="AY261" s="858"/>
      <c r="AZ261" s="858"/>
      <c r="BA261" s="858"/>
      <c r="BB261" s="858"/>
      <c r="BC261" s="858"/>
      <c r="BD261" s="858"/>
      <c r="BE261" s="858"/>
      <c r="BF261" s="858"/>
      <c r="BG261" s="858"/>
      <c r="BH261" s="858"/>
      <c r="BI261" s="858"/>
      <c r="BJ261" s="858"/>
      <c r="BK261" s="858"/>
      <c r="BL261" s="858"/>
      <c r="BM261" s="858"/>
      <c r="BN261" s="858"/>
      <c r="BO261" s="858"/>
      <c r="BP261" s="858"/>
      <c r="BQ261" s="858"/>
      <c r="BR261" s="858"/>
      <c r="BS261" s="858"/>
      <c r="BT261" s="858"/>
      <c r="BU261" s="858"/>
      <c r="BV261" s="858"/>
      <c r="BW261" s="858"/>
      <c r="BX261" s="858"/>
      <c r="BY261" s="858"/>
      <c r="BZ261" s="858"/>
      <c r="CA261" s="858"/>
      <c r="CB261" s="858"/>
      <c r="CC261" s="858"/>
      <c r="CD261" s="858"/>
      <c r="CE261" s="858"/>
      <c r="CF261" s="858"/>
      <c r="CG261" s="858"/>
      <c r="CH261" s="858"/>
      <c r="CI261" s="858"/>
      <c r="CJ261" s="858"/>
      <c r="CK261" s="858"/>
      <c r="CL261" s="858"/>
      <c r="CM261" s="858"/>
      <c r="CN261" s="858"/>
      <c r="CO261" s="858"/>
      <c r="CP261" s="858"/>
      <c r="CQ261" s="858"/>
      <c r="CR261" s="858"/>
      <c r="CS261" s="858"/>
      <c r="CT261" s="858"/>
      <c r="CU261" s="858"/>
      <c r="CV261" s="858"/>
      <c r="CW261" s="858"/>
      <c r="CX261" s="858"/>
      <c r="CY261" s="858"/>
      <c r="CZ261" s="858"/>
      <c r="DA261" s="858"/>
      <c r="DB261" s="858"/>
      <c r="DC261" s="858"/>
      <c r="DD261" s="858"/>
      <c r="DE261" s="858"/>
      <c r="DF261" s="858"/>
      <c r="DG261" s="858"/>
      <c r="DH261" s="858"/>
      <c r="DI261" s="858"/>
      <c r="DJ261" s="858"/>
      <c r="DK261" s="858"/>
      <c r="DL261" s="858"/>
      <c r="DM261" s="858"/>
      <c r="DN261" s="858"/>
      <c r="DO261" s="858"/>
      <c r="DP261" s="858"/>
      <c r="DQ261" s="858"/>
      <c r="DR261" s="858"/>
      <c r="DS261" s="858"/>
      <c r="DT261" s="858"/>
      <c r="DU261" s="858"/>
      <c r="DV261" s="858"/>
      <c r="DW261" s="858"/>
      <c r="DX261" s="858"/>
      <c r="DY261" s="858"/>
      <c r="DZ261" s="858"/>
      <c r="EA261" s="858"/>
      <c r="EB261" s="858"/>
      <c r="EC261" s="858"/>
      <c r="ED261" s="858"/>
      <c r="EE261" s="858"/>
      <c r="EF261" s="858"/>
      <c r="EG261" s="858"/>
      <c r="EH261" s="858"/>
      <c r="EI261" s="858"/>
      <c r="EJ261" s="858"/>
      <c r="EK261" s="858"/>
      <c r="EL261" s="858"/>
      <c r="EM261" s="858"/>
      <c r="EN261" s="858"/>
      <c r="EO261" s="858"/>
      <c r="EP261" s="858"/>
      <c r="EQ261" s="858"/>
      <c r="ER261" s="858"/>
      <c r="ES261" s="858"/>
      <c r="ET261" s="858"/>
      <c r="EU261" s="858"/>
      <c r="EV261" s="858"/>
      <c r="EW261" s="858"/>
      <c r="EX261" s="858"/>
      <c r="EY261" s="858"/>
      <c r="EZ261" s="858"/>
      <c r="FA261" s="858"/>
      <c r="FB261" s="858"/>
      <c r="FC261" s="858"/>
      <c r="FD261" s="858"/>
      <c r="FE261" s="858"/>
      <c r="FF261" s="858"/>
      <c r="FG261" s="858"/>
      <c r="FH261" s="858"/>
      <c r="FI261" s="858"/>
      <c r="FJ261" s="858"/>
      <c r="FK261" s="858"/>
      <c r="FL261" s="858"/>
      <c r="FM261" s="858"/>
      <c r="FN261" s="858"/>
      <c r="FO261" s="858"/>
      <c r="FP261" s="858"/>
      <c r="FQ261" s="858"/>
      <c r="FR261" s="858"/>
      <c r="FS261" s="858"/>
      <c r="FT261" s="858"/>
      <c r="FU261" s="858"/>
      <c r="FV261" s="858"/>
      <c r="FW261" s="858"/>
      <c r="FX261" s="858"/>
      <c r="FY261" s="858"/>
      <c r="FZ261" s="858"/>
      <c r="GA261" s="858"/>
      <c r="GB261" s="858"/>
      <c r="GC261" s="858"/>
      <c r="GD261" s="858"/>
      <c r="GE261" s="858"/>
      <c r="GF261" s="858"/>
      <c r="GG261" s="858"/>
      <c r="GH261" s="858"/>
      <c r="GI261" s="858"/>
      <c r="GJ261" s="858"/>
      <c r="GK261" s="858"/>
      <c r="GL261" s="858"/>
      <c r="GM261" s="858"/>
      <c r="GN261" s="858"/>
      <c r="GO261" s="858"/>
      <c r="GP261" s="858"/>
      <c r="GQ261" s="858"/>
      <c r="GR261" s="858"/>
      <c r="GS261" s="858"/>
      <c r="GT261" s="858"/>
      <c r="GU261" s="858"/>
      <c r="GV261" s="858"/>
      <c r="GW261" s="858"/>
      <c r="GX261" s="858"/>
      <c r="GY261" s="858"/>
      <c r="GZ261" s="858"/>
      <c r="HA261" s="858"/>
      <c r="HB261" s="858"/>
      <c r="HC261" s="858"/>
      <c r="HD261" s="858"/>
      <c r="HE261" s="858"/>
      <c r="HF261" s="858"/>
      <c r="HG261" s="858"/>
      <c r="HH261" s="858"/>
      <c r="HI261" s="858"/>
      <c r="HJ261" s="858"/>
      <c r="HK261" s="858"/>
      <c r="HL261" s="858"/>
      <c r="HM261" s="858"/>
      <c r="HN261" s="858"/>
      <c r="HO261" s="858"/>
      <c r="HP261" s="858"/>
      <c r="HQ261" s="858"/>
      <c r="HR261" s="858"/>
      <c r="HS261" s="858"/>
      <c r="HT261" s="858"/>
      <c r="HU261" s="858"/>
      <c r="HV261" s="858"/>
      <c r="HW261" s="858"/>
      <c r="HX261" s="858"/>
      <c r="HY261" s="858"/>
      <c r="HZ261" s="858"/>
      <c r="IA261" s="858"/>
      <c r="IB261" s="858"/>
      <c r="IC261" s="858"/>
      <c r="ID261" s="858"/>
      <c r="IE261" s="858"/>
      <c r="IF261" s="858"/>
      <c r="IG261" s="858"/>
      <c r="IH261" s="858"/>
      <c r="II261" s="858"/>
      <c r="IJ261" s="858"/>
      <c r="IK261" s="858"/>
      <c r="IL261" s="858"/>
      <c r="IM261" s="858"/>
      <c r="IN261" s="858"/>
    </row>
    <row r="262" spans="1:248">
      <c r="A262" s="568" t="s">
        <v>23</v>
      </c>
      <c r="B262" s="566">
        <v>15480</v>
      </c>
      <c r="C262" s="566">
        <v>25.670747784903014</v>
      </c>
      <c r="D262" s="569">
        <v>14063.3</v>
      </c>
      <c r="E262" s="859">
        <v>23.321410033813084</v>
      </c>
      <c r="F262" s="859">
        <v>1416.7000000000007</v>
      </c>
      <c r="G262" s="859">
        <v>2.34933775108993</v>
      </c>
      <c r="H262" s="377">
        <v>60302.1</v>
      </c>
      <c r="I262" s="858"/>
      <c r="J262" s="858"/>
      <c r="K262" s="858"/>
      <c r="L262" s="858"/>
      <c r="M262" s="858"/>
      <c r="N262" s="858"/>
      <c r="O262" s="858"/>
      <c r="P262" s="858"/>
      <c r="Q262" s="858"/>
      <c r="R262" s="858"/>
      <c r="S262" s="858"/>
      <c r="T262" s="858"/>
      <c r="U262" s="858"/>
      <c r="V262" s="858"/>
      <c r="W262" s="858"/>
      <c r="X262" s="858"/>
      <c r="Y262" s="858"/>
      <c r="Z262" s="858"/>
      <c r="AA262" s="858"/>
      <c r="AB262" s="858"/>
      <c r="AC262" s="858"/>
      <c r="AD262" s="858"/>
      <c r="AE262" s="858"/>
      <c r="AF262" s="858"/>
      <c r="AG262" s="858"/>
      <c r="AH262" s="858"/>
      <c r="AI262" s="858"/>
      <c r="AJ262" s="858"/>
      <c r="AK262" s="858"/>
      <c r="AL262" s="858"/>
      <c r="AM262" s="858"/>
      <c r="AN262" s="858"/>
      <c r="AO262" s="858"/>
      <c r="AP262" s="858"/>
      <c r="AQ262" s="858"/>
      <c r="AR262" s="858"/>
      <c r="AS262" s="858"/>
      <c r="AT262" s="858"/>
      <c r="AU262" s="858"/>
      <c r="AV262" s="858"/>
      <c r="AW262" s="858"/>
      <c r="AX262" s="858"/>
      <c r="AY262" s="858"/>
      <c r="AZ262" s="858"/>
      <c r="BA262" s="858"/>
      <c r="BB262" s="858"/>
      <c r="BC262" s="858"/>
      <c r="BD262" s="858"/>
      <c r="BE262" s="858"/>
      <c r="BF262" s="858"/>
      <c r="BG262" s="858"/>
      <c r="BH262" s="858"/>
      <c r="BI262" s="858"/>
      <c r="BJ262" s="858"/>
      <c r="BK262" s="858"/>
      <c r="BL262" s="858"/>
      <c r="BM262" s="858"/>
      <c r="BN262" s="858"/>
      <c r="BO262" s="858"/>
      <c r="BP262" s="858"/>
      <c r="BQ262" s="858"/>
      <c r="BR262" s="858"/>
      <c r="BS262" s="858"/>
      <c r="BT262" s="858"/>
      <c r="BU262" s="858"/>
      <c r="BV262" s="858"/>
      <c r="BW262" s="858"/>
      <c r="BX262" s="858"/>
      <c r="BY262" s="858"/>
      <c r="BZ262" s="858"/>
      <c r="CA262" s="858"/>
      <c r="CB262" s="858"/>
      <c r="CC262" s="858"/>
      <c r="CD262" s="858"/>
      <c r="CE262" s="858"/>
      <c r="CF262" s="858"/>
      <c r="CG262" s="858"/>
      <c r="CH262" s="858"/>
      <c r="CI262" s="858"/>
      <c r="CJ262" s="858"/>
      <c r="CK262" s="858"/>
      <c r="CL262" s="858"/>
      <c r="CM262" s="858"/>
      <c r="CN262" s="858"/>
      <c r="CO262" s="858"/>
      <c r="CP262" s="858"/>
      <c r="CQ262" s="858"/>
      <c r="CR262" s="858"/>
      <c r="CS262" s="858"/>
      <c r="CT262" s="858"/>
      <c r="CU262" s="858"/>
      <c r="CV262" s="858"/>
      <c r="CW262" s="858"/>
      <c r="CX262" s="858"/>
      <c r="CY262" s="858"/>
      <c r="CZ262" s="858"/>
      <c r="DA262" s="858"/>
      <c r="DB262" s="858"/>
      <c r="DC262" s="858"/>
      <c r="DD262" s="858"/>
      <c r="DE262" s="858"/>
      <c r="DF262" s="858"/>
      <c r="DG262" s="858"/>
      <c r="DH262" s="858"/>
      <c r="DI262" s="858"/>
      <c r="DJ262" s="858"/>
      <c r="DK262" s="858"/>
      <c r="DL262" s="858"/>
      <c r="DM262" s="858"/>
      <c r="DN262" s="858"/>
      <c r="DO262" s="858"/>
      <c r="DP262" s="858"/>
      <c r="DQ262" s="858"/>
      <c r="DR262" s="858"/>
      <c r="DS262" s="858"/>
      <c r="DT262" s="858"/>
      <c r="DU262" s="858"/>
      <c r="DV262" s="858"/>
      <c r="DW262" s="858"/>
      <c r="DX262" s="858"/>
      <c r="DY262" s="858"/>
      <c r="DZ262" s="858"/>
      <c r="EA262" s="858"/>
      <c r="EB262" s="858"/>
      <c r="EC262" s="858"/>
      <c r="ED262" s="858"/>
      <c r="EE262" s="858"/>
      <c r="EF262" s="858"/>
      <c r="EG262" s="858"/>
      <c r="EH262" s="858"/>
      <c r="EI262" s="858"/>
      <c r="EJ262" s="858"/>
      <c r="EK262" s="858"/>
      <c r="EL262" s="858"/>
      <c r="EM262" s="858"/>
      <c r="EN262" s="858"/>
      <c r="EO262" s="858"/>
      <c r="EP262" s="858"/>
      <c r="EQ262" s="858"/>
      <c r="ER262" s="858"/>
      <c r="ES262" s="858"/>
      <c r="ET262" s="858"/>
      <c r="EU262" s="858"/>
      <c r="EV262" s="858"/>
      <c r="EW262" s="858"/>
      <c r="EX262" s="858"/>
      <c r="EY262" s="858"/>
      <c r="EZ262" s="858"/>
      <c r="FA262" s="858"/>
      <c r="FB262" s="858"/>
      <c r="FC262" s="858"/>
      <c r="FD262" s="858"/>
      <c r="FE262" s="858"/>
      <c r="FF262" s="858"/>
      <c r="FG262" s="858"/>
      <c r="FH262" s="858"/>
      <c r="FI262" s="858"/>
      <c r="FJ262" s="858"/>
      <c r="FK262" s="858"/>
      <c r="FL262" s="858"/>
      <c r="FM262" s="858"/>
      <c r="FN262" s="858"/>
      <c r="FO262" s="858"/>
      <c r="FP262" s="858"/>
      <c r="FQ262" s="858"/>
      <c r="FR262" s="858"/>
      <c r="FS262" s="858"/>
      <c r="FT262" s="858"/>
      <c r="FU262" s="858"/>
      <c r="FV262" s="858"/>
      <c r="FW262" s="858"/>
      <c r="FX262" s="858"/>
      <c r="FY262" s="858"/>
      <c r="FZ262" s="858"/>
      <c r="GA262" s="858"/>
      <c r="GB262" s="858"/>
      <c r="GC262" s="858"/>
      <c r="GD262" s="858"/>
      <c r="GE262" s="858"/>
      <c r="GF262" s="858"/>
      <c r="GG262" s="858"/>
      <c r="GH262" s="858"/>
      <c r="GI262" s="858"/>
      <c r="GJ262" s="858"/>
      <c r="GK262" s="858"/>
      <c r="GL262" s="858"/>
      <c r="GM262" s="858"/>
      <c r="GN262" s="858"/>
      <c r="GO262" s="858"/>
      <c r="GP262" s="858"/>
      <c r="GQ262" s="858"/>
      <c r="GR262" s="858"/>
      <c r="GS262" s="858"/>
      <c r="GT262" s="858"/>
      <c r="GU262" s="858"/>
      <c r="GV262" s="858"/>
      <c r="GW262" s="858"/>
      <c r="GX262" s="858"/>
      <c r="GY262" s="858"/>
      <c r="GZ262" s="858"/>
      <c r="HA262" s="858"/>
      <c r="HB262" s="858"/>
      <c r="HC262" s="858"/>
      <c r="HD262" s="858"/>
      <c r="HE262" s="858"/>
      <c r="HF262" s="858"/>
      <c r="HG262" s="858"/>
      <c r="HH262" s="858"/>
      <c r="HI262" s="858"/>
      <c r="HJ262" s="858"/>
      <c r="HK262" s="858"/>
      <c r="HL262" s="858"/>
      <c r="HM262" s="858"/>
      <c r="HN262" s="858"/>
      <c r="HO262" s="858"/>
      <c r="HP262" s="858"/>
      <c r="HQ262" s="858"/>
      <c r="HR262" s="858"/>
      <c r="HS262" s="858"/>
      <c r="HT262" s="858"/>
      <c r="HU262" s="858"/>
      <c r="HV262" s="858"/>
      <c r="HW262" s="858"/>
      <c r="HX262" s="858"/>
      <c r="HY262" s="858"/>
      <c r="HZ262" s="858"/>
      <c r="IA262" s="858"/>
      <c r="IB262" s="858"/>
      <c r="IC262" s="858"/>
      <c r="ID262" s="858"/>
      <c r="IE262" s="858"/>
      <c r="IF262" s="858"/>
      <c r="IG262" s="858"/>
      <c r="IH262" s="858"/>
      <c r="II262" s="858"/>
      <c r="IJ262" s="858"/>
      <c r="IK262" s="858"/>
      <c r="IL262" s="858"/>
      <c r="IM262" s="858"/>
      <c r="IN262" s="858"/>
    </row>
    <row r="263" spans="1:248">
      <c r="A263" s="568" t="s">
        <v>24</v>
      </c>
      <c r="B263" s="566">
        <v>18766.599999999999</v>
      </c>
      <c r="C263" s="566">
        <v>26.667632957332582</v>
      </c>
      <c r="D263" s="569">
        <v>17620.5</v>
      </c>
      <c r="E263" s="859">
        <v>25.039006880557952</v>
      </c>
      <c r="F263" s="859">
        <v>1146.0999999999985</v>
      </c>
      <c r="G263" s="859">
        <v>1.6286260767746334</v>
      </c>
      <c r="H263" s="377">
        <v>70372.2</v>
      </c>
      <c r="I263" s="858"/>
      <c r="J263" s="858"/>
      <c r="K263" s="858"/>
      <c r="L263" s="858"/>
      <c r="M263" s="858"/>
      <c r="N263" s="858"/>
      <c r="O263" s="858"/>
      <c r="P263" s="858"/>
      <c r="Q263" s="858"/>
      <c r="R263" s="858"/>
      <c r="S263" s="858"/>
      <c r="T263" s="858"/>
      <c r="U263" s="858"/>
      <c r="V263" s="858"/>
      <c r="W263" s="858"/>
      <c r="X263" s="858"/>
      <c r="Y263" s="858"/>
      <c r="Z263" s="858"/>
      <c r="AA263" s="858"/>
      <c r="AB263" s="858"/>
      <c r="AC263" s="858"/>
      <c r="AD263" s="858"/>
      <c r="AE263" s="858"/>
      <c r="AF263" s="858"/>
      <c r="AG263" s="858"/>
      <c r="AH263" s="858"/>
      <c r="AI263" s="858"/>
      <c r="AJ263" s="858"/>
      <c r="AK263" s="858"/>
      <c r="AL263" s="858"/>
      <c r="AM263" s="858"/>
      <c r="AN263" s="858"/>
      <c r="AO263" s="858"/>
      <c r="AP263" s="858"/>
      <c r="AQ263" s="858"/>
      <c r="AR263" s="858"/>
      <c r="AS263" s="858"/>
      <c r="AT263" s="858"/>
      <c r="AU263" s="858"/>
      <c r="AV263" s="858"/>
      <c r="AW263" s="858"/>
      <c r="AX263" s="858"/>
      <c r="AY263" s="858"/>
      <c r="AZ263" s="858"/>
      <c r="BA263" s="858"/>
      <c r="BB263" s="858"/>
      <c r="BC263" s="858"/>
      <c r="BD263" s="858"/>
      <c r="BE263" s="858"/>
      <c r="BF263" s="858"/>
      <c r="BG263" s="858"/>
      <c r="BH263" s="858"/>
      <c r="BI263" s="858"/>
      <c r="BJ263" s="858"/>
      <c r="BK263" s="858"/>
      <c r="BL263" s="858"/>
      <c r="BM263" s="858"/>
      <c r="BN263" s="858"/>
      <c r="BO263" s="858"/>
      <c r="BP263" s="858"/>
      <c r="BQ263" s="858"/>
      <c r="BR263" s="858"/>
      <c r="BS263" s="858"/>
      <c r="BT263" s="858"/>
      <c r="BU263" s="858"/>
      <c r="BV263" s="858"/>
      <c r="BW263" s="858"/>
      <c r="BX263" s="858"/>
      <c r="BY263" s="858"/>
      <c r="BZ263" s="858"/>
      <c r="CA263" s="858"/>
      <c r="CB263" s="858"/>
      <c r="CC263" s="858"/>
      <c r="CD263" s="858"/>
      <c r="CE263" s="858"/>
      <c r="CF263" s="858"/>
      <c r="CG263" s="858"/>
      <c r="CH263" s="858"/>
      <c r="CI263" s="858"/>
      <c r="CJ263" s="858"/>
      <c r="CK263" s="858"/>
      <c r="CL263" s="858"/>
      <c r="CM263" s="858"/>
      <c r="CN263" s="858"/>
      <c r="CO263" s="858"/>
      <c r="CP263" s="858"/>
      <c r="CQ263" s="858"/>
      <c r="CR263" s="858"/>
      <c r="CS263" s="858"/>
      <c r="CT263" s="858"/>
      <c r="CU263" s="858"/>
      <c r="CV263" s="858"/>
      <c r="CW263" s="858"/>
      <c r="CX263" s="858"/>
      <c r="CY263" s="858"/>
      <c r="CZ263" s="858"/>
      <c r="DA263" s="858"/>
      <c r="DB263" s="858"/>
      <c r="DC263" s="858"/>
      <c r="DD263" s="858"/>
      <c r="DE263" s="858"/>
      <c r="DF263" s="858"/>
      <c r="DG263" s="858"/>
      <c r="DH263" s="858"/>
      <c r="DI263" s="858"/>
      <c r="DJ263" s="858"/>
      <c r="DK263" s="858"/>
      <c r="DL263" s="858"/>
      <c r="DM263" s="858"/>
      <c r="DN263" s="858"/>
      <c r="DO263" s="858"/>
      <c r="DP263" s="858"/>
      <c r="DQ263" s="858"/>
      <c r="DR263" s="858"/>
      <c r="DS263" s="858"/>
      <c r="DT263" s="858"/>
      <c r="DU263" s="858"/>
      <c r="DV263" s="858"/>
      <c r="DW263" s="858"/>
      <c r="DX263" s="858"/>
      <c r="DY263" s="858"/>
      <c r="DZ263" s="858"/>
      <c r="EA263" s="858"/>
      <c r="EB263" s="858"/>
      <c r="EC263" s="858"/>
      <c r="ED263" s="858"/>
      <c r="EE263" s="858"/>
      <c r="EF263" s="858"/>
      <c r="EG263" s="858"/>
      <c r="EH263" s="858"/>
      <c r="EI263" s="858"/>
      <c r="EJ263" s="858"/>
      <c r="EK263" s="858"/>
      <c r="EL263" s="858"/>
      <c r="EM263" s="858"/>
      <c r="EN263" s="858"/>
      <c r="EO263" s="858"/>
      <c r="EP263" s="858"/>
      <c r="EQ263" s="858"/>
      <c r="ER263" s="858"/>
      <c r="ES263" s="858"/>
      <c r="ET263" s="858"/>
      <c r="EU263" s="858"/>
      <c r="EV263" s="858"/>
      <c r="EW263" s="858"/>
      <c r="EX263" s="858"/>
      <c r="EY263" s="858"/>
      <c r="EZ263" s="858"/>
      <c r="FA263" s="858"/>
      <c r="FB263" s="858"/>
      <c r="FC263" s="858"/>
      <c r="FD263" s="858"/>
      <c r="FE263" s="858"/>
      <c r="FF263" s="858"/>
      <c r="FG263" s="858"/>
      <c r="FH263" s="858"/>
      <c r="FI263" s="858"/>
      <c r="FJ263" s="858"/>
      <c r="FK263" s="858"/>
      <c r="FL263" s="858"/>
      <c r="FM263" s="858"/>
      <c r="FN263" s="858"/>
      <c r="FO263" s="858"/>
      <c r="FP263" s="858"/>
      <c r="FQ263" s="858"/>
      <c r="FR263" s="858"/>
      <c r="FS263" s="858"/>
      <c r="FT263" s="858"/>
      <c r="FU263" s="858"/>
      <c r="FV263" s="858"/>
      <c r="FW263" s="858"/>
      <c r="FX263" s="858"/>
      <c r="FY263" s="858"/>
      <c r="FZ263" s="858"/>
      <c r="GA263" s="858"/>
      <c r="GB263" s="858"/>
      <c r="GC263" s="858"/>
      <c r="GD263" s="858"/>
      <c r="GE263" s="858"/>
      <c r="GF263" s="858"/>
      <c r="GG263" s="858"/>
      <c r="GH263" s="858"/>
      <c r="GI263" s="858"/>
      <c r="GJ263" s="858"/>
      <c r="GK263" s="858"/>
      <c r="GL263" s="858"/>
      <c r="GM263" s="858"/>
      <c r="GN263" s="858"/>
      <c r="GO263" s="858"/>
      <c r="GP263" s="858"/>
      <c r="GQ263" s="858"/>
      <c r="GR263" s="858"/>
      <c r="GS263" s="858"/>
      <c r="GT263" s="858"/>
      <c r="GU263" s="858"/>
      <c r="GV263" s="858"/>
      <c r="GW263" s="858"/>
      <c r="GX263" s="858"/>
      <c r="GY263" s="858"/>
      <c r="GZ263" s="858"/>
      <c r="HA263" s="858"/>
      <c r="HB263" s="858"/>
      <c r="HC263" s="858"/>
      <c r="HD263" s="858"/>
      <c r="HE263" s="858"/>
      <c r="HF263" s="858"/>
      <c r="HG263" s="858"/>
      <c r="HH263" s="858"/>
      <c r="HI263" s="858"/>
      <c r="HJ263" s="858"/>
      <c r="HK263" s="858"/>
      <c r="HL263" s="858"/>
      <c r="HM263" s="858"/>
      <c r="HN263" s="858"/>
      <c r="HO263" s="858"/>
      <c r="HP263" s="858"/>
      <c r="HQ263" s="858"/>
      <c r="HR263" s="858"/>
      <c r="HS263" s="858"/>
      <c r="HT263" s="858"/>
      <c r="HU263" s="858"/>
      <c r="HV263" s="858"/>
      <c r="HW263" s="858"/>
      <c r="HX263" s="858"/>
      <c r="HY263" s="858"/>
      <c r="HZ263" s="858"/>
      <c r="IA263" s="858"/>
      <c r="IB263" s="858"/>
      <c r="IC263" s="858"/>
      <c r="ID263" s="858"/>
      <c r="IE263" s="858"/>
      <c r="IF263" s="858"/>
      <c r="IG263" s="858"/>
      <c r="IH263" s="858"/>
      <c r="II263" s="858"/>
      <c r="IJ263" s="858"/>
      <c r="IK263" s="858"/>
      <c r="IL263" s="858"/>
      <c r="IM263" s="858"/>
      <c r="IN263" s="858"/>
    </row>
    <row r="264" spans="1:248">
      <c r="A264" s="568" t="s">
        <v>25</v>
      </c>
      <c r="B264" s="566">
        <v>20431.2</v>
      </c>
      <c r="C264" s="566">
        <v>25.508262543634924</v>
      </c>
      <c r="D264" s="569">
        <v>20649.7</v>
      </c>
      <c r="E264" s="859">
        <v>25.781058824116943</v>
      </c>
      <c r="F264" s="859">
        <v>-218.5</v>
      </c>
      <c r="G264" s="859">
        <v>-0.2727962804820192</v>
      </c>
      <c r="H264" s="377">
        <v>80096.399999999994</v>
      </c>
      <c r="I264" s="858"/>
      <c r="J264" s="858"/>
      <c r="K264" s="858"/>
      <c r="L264" s="858"/>
      <c r="M264" s="858"/>
      <c r="N264" s="858"/>
      <c r="O264" s="858"/>
      <c r="P264" s="858"/>
      <c r="Q264" s="858"/>
      <c r="R264" s="858"/>
      <c r="S264" s="858"/>
      <c r="T264" s="858"/>
      <c r="U264" s="858"/>
      <c r="V264" s="858"/>
      <c r="W264" s="858"/>
      <c r="X264" s="858"/>
      <c r="Y264" s="858"/>
      <c r="Z264" s="858"/>
      <c r="AA264" s="858"/>
      <c r="AB264" s="858"/>
      <c r="AC264" s="858"/>
      <c r="AD264" s="858"/>
      <c r="AE264" s="858"/>
      <c r="AF264" s="858"/>
      <c r="AG264" s="858"/>
      <c r="AH264" s="858"/>
      <c r="AI264" s="858"/>
      <c r="AJ264" s="858"/>
      <c r="AK264" s="858"/>
      <c r="AL264" s="858"/>
      <c r="AM264" s="858"/>
      <c r="AN264" s="858"/>
      <c r="AO264" s="858"/>
      <c r="AP264" s="858"/>
      <c r="AQ264" s="858"/>
      <c r="AR264" s="858"/>
      <c r="AS264" s="858"/>
      <c r="AT264" s="858"/>
      <c r="AU264" s="858"/>
      <c r="AV264" s="858"/>
      <c r="AW264" s="858"/>
      <c r="AX264" s="858"/>
      <c r="AY264" s="858"/>
      <c r="AZ264" s="858"/>
      <c r="BA264" s="858"/>
      <c r="BB264" s="858"/>
      <c r="BC264" s="858"/>
      <c r="BD264" s="858"/>
      <c r="BE264" s="858"/>
      <c r="BF264" s="858"/>
      <c r="BG264" s="858"/>
      <c r="BH264" s="858"/>
      <c r="BI264" s="858"/>
      <c r="BJ264" s="858"/>
      <c r="BK264" s="858"/>
      <c r="BL264" s="858"/>
      <c r="BM264" s="858"/>
      <c r="BN264" s="858"/>
      <c r="BO264" s="858"/>
      <c r="BP264" s="858"/>
      <c r="BQ264" s="858"/>
      <c r="BR264" s="858"/>
      <c r="BS264" s="858"/>
      <c r="BT264" s="858"/>
      <c r="BU264" s="858"/>
      <c r="BV264" s="858"/>
      <c r="BW264" s="858"/>
      <c r="BX264" s="858"/>
      <c r="BY264" s="858"/>
      <c r="BZ264" s="858"/>
      <c r="CA264" s="858"/>
      <c r="CB264" s="858"/>
      <c r="CC264" s="858"/>
      <c r="CD264" s="858"/>
      <c r="CE264" s="858"/>
      <c r="CF264" s="858"/>
      <c r="CG264" s="858"/>
      <c r="CH264" s="858"/>
      <c r="CI264" s="858"/>
      <c r="CJ264" s="858"/>
      <c r="CK264" s="858"/>
      <c r="CL264" s="858"/>
      <c r="CM264" s="858"/>
      <c r="CN264" s="858"/>
      <c r="CO264" s="858"/>
      <c r="CP264" s="858"/>
      <c r="CQ264" s="858"/>
      <c r="CR264" s="858"/>
      <c r="CS264" s="858"/>
      <c r="CT264" s="858"/>
      <c r="CU264" s="858"/>
      <c r="CV264" s="858"/>
      <c r="CW264" s="858"/>
      <c r="CX264" s="858"/>
      <c r="CY264" s="858"/>
      <c r="CZ264" s="858"/>
      <c r="DA264" s="858"/>
      <c r="DB264" s="858"/>
      <c r="DC264" s="858"/>
      <c r="DD264" s="858"/>
      <c r="DE264" s="858"/>
      <c r="DF264" s="858"/>
      <c r="DG264" s="858"/>
      <c r="DH264" s="858"/>
      <c r="DI264" s="858"/>
      <c r="DJ264" s="858"/>
      <c r="DK264" s="858"/>
      <c r="DL264" s="858"/>
      <c r="DM264" s="858"/>
      <c r="DN264" s="858"/>
      <c r="DO264" s="858"/>
      <c r="DP264" s="858"/>
      <c r="DQ264" s="858"/>
      <c r="DR264" s="858"/>
      <c r="DS264" s="858"/>
      <c r="DT264" s="858"/>
      <c r="DU264" s="858"/>
      <c r="DV264" s="858"/>
      <c r="DW264" s="858"/>
      <c r="DX264" s="858"/>
      <c r="DY264" s="858"/>
      <c r="DZ264" s="858"/>
      <c r="EA264" s="858"/>
      <c r="EB264" s="858"/>
      <c r="EC264" s="858"/>
      <c r="ED264" s="858"/>
      <c r="EE264" s="858"/>
      <c r="EF264" s="858"/>
      <c r="EG264" s="858"/>
      <c r="EH264" s="858"/>
      <c r="EI264" s="858"/>
      <c r="EJ264" s="858"/>
      <c r="EK264" s="858"/>
      <c r="EL264" s="858"/>
      <c r="EM264" s="858"/>
      <c r="EN264" s="858"/>
      <c r="EO264" s="858"/>
      <c r="EP264" s="858"/>
      <c r="EQ264" s="858"/>
      <c r="ER264" s="858"/>
      <c r="ES264" s="858"/>
      <c r="ET264" s="858"/>
      <c r="EU264" s="858"/>
      <c r="EV264" s="858"/>
      <c r="EW264" s="858"/>
      <c r="EX264" s="858"/>
      <c r="EY264" s="858"/>
      <c r="EZ264" s="858"/>
      <c r="FA264" s="858"/>
      <c r="FB264" s="858"/>
      <c r="FC264" s="858"/>
      <c r="FD264" s="858"/>
      <c r="FE264" s="858"/>
      <c r="FF264" s="858"/>
      <c r="FG264" s="858"/>
      <c r="FH264" s="858"/>
      <c r="FI264" s="858"/>
      <c r="FJ264" s="858"/>
      <c r="FK264" s="858"/>
      <c r="FL264" s="858"/>
      <c r="FM264" s="858"/>
      <c r="FN264" s="858"/>
      <c r="FO264" s="858"/>
      <c r="FP264" s="858"/>
      <c r="FQ264" s="858"/>
      <c r="FR264" s="858"/>
      <c r="FS264" s="858"/>
      <c r="FT264" s="858"/>
      <c r="FU264" s="858"/>
      <c r="FV264" s="858"/>
      <c r="FW264" s="858"/>
      <c r="FX264" s="858"/>
      <c r="FY264" s="858"/>
      <c r="FZ264" s="858"/>
      <c r="GA264" s="858"/>
      <c r="GB264" s="858"/>
      <c r="GC264" s="858"/>
      <c r="GD264" s="858"/>
      <c r="GE264" s="858"/>
      <c r="GF264" s="858"/>
      <c r="GG264" s="858"/>
      <c r="GH264" s="858"/>
      <c r="GI264" s="858"/>
      <c r="GJ264" s="858"/>
      <c r="GK264" s="858"/>
      <c r="GL264" s="858"/>
      <c r="GM264" s="858"/>
      <c r="GN264" s="858"/>
      <c r="GO264" s="858"/>
      <c r="GP264" s="858"/>
      <c r="GQ264" s="858"/>
      <c r="GR264" s="858"/>
      <c r="GS264" s="858"/>
      <c r="GT264" s="858"/>
      <c r="GU264" s="858"/>
      <c r="GV264" s="858"/>
      <c r="GW264" s="858"/>
      <c r="GX264" s="858"/>
      <c r="GY264" s="858"/>
      <c r="GZ264" s="858"/>
      <c r="HA264" s="858"/>
      <c r="HB264" s="858"/>
      <c r="HC264" s="858"/>
      <c r="HD264" s="858"/>
      <c r="HE264" s="858"/>
      <c r="HF264" s="858"/>
      <c r="HG264" s="858"/>
      <c r="HH264" s="858"/>
      <c r="HI264" s="858"/>
      <c r="HJ264" s="858"/>
      <c r="HK264" s="858"/>
      <c r="HL264" s="858"/>
      <c r="HM264" s="858"/>
      <c r="HN264" s="858"/>
      <c r="HO264" s="858"/>
      <c r="HP264" s="858"/>
      <c r="HQ264" s="858"/>
      <c r="HR264" s="858"/>
      <c r="HS264" s="858"/>
      <c r="HT264" s="858"/>
      <c r="HU264" s="858"/>
      <c r="HV264" s="858"/>
      <c r="HW264" s="858"/>
      <c r="HX264" s="858"/>
      <c r="HY264" s="858"/>
      <c r="HZ264" s="858"/>
      <c r="IA264" s="858"/>
      <c r="IB264" s="858"/>
      <c r="IC264" s="858"/>
      <c r="ID264" s="858"/>
      <c r="IE264" s="858"/>
      <c r="IF264" s="858"/>
      <c r="IG264" s="858"/>
      <c r="IH264" s="858"/>
      <c r="II264" s="858"/>
      <c r="IJ264" s="858"/>
      <c r="IK264" s="858"/>
      <c r="IL264" s="858"/>
      <c r="IM264" s="858"/>
      <c r="IN264" s="858"/>
    </row>
    <row r="265" spans="1:248">
      <c r="A265" s="568" t="s">
        <v>26</v>
      </c>
      <c r="B265" s="566">
        <v>22077</v>
      </c>
      <c r="C265" s="566">
        <v>24.31052993805919</v>
      </c>
      <c r="D265" s="569">
        <v>23214.5</v>
      </c>
      <c r="E265" s="859">
        <v>25.563110805230561</v>
      </c>
      <c r="F265" s="859">
        <v>-1137.5</v>
      </c>
      <c r="G265" s="859">
        <v>-1.2525808671713696</v>
      </c>
      <c r="H265" s="377">
        <v>90812.5</v>
      </c>
      <c r="I265" s="858"/>
      <c r="J265" s="858"/>
      <c r="K265" s="858"/>
      <c r="L265" s="858"/>
      <c r="M265" s="858"/>
      <c r="N265" s="858"/>
      <c r="O265" s="858"/>
      <c r="P265" s="858"/>
      <c r="Q265" s="858"/>
      <c r="R265" s="858"/>
      <c r="S265" s="858"/>
      <c r="T265" s="858"/>
      <c r="U265" s="858"/>
      <c r="V265" s="858"/>
      <c r="W265" s="858"/>
      <c r="X265" s="858"/>
      <c r="Y265" s="858"/>
      <c r="Z265" s="858"/>
      <c r="AA265" s="858"/>
      <c r="AB265" s="858"/>
      <c r="AC265" s="858"/>
      <c r="AD265" s="858"/>
      <c r="AE265" s="858"/>
      <c r="AF265" s="858"/>
      <c r="AG265" s="858"/>
      <c r="AH265" s="858"/>
      <c r="AI265" s="858"/>
      <c r="AJ265" s="858"/>
      <c r="AK265" s="858"/>
      <c r="AL265" s="858"/>
      <c r="AM265" s="858"/>
      <c r="AN265" s="858"/>
      <c r="AO265" s="858"/>
      <c r="AP265" s="858"/>
      <c r="AQ265" s="858"/>
      <c r="AR265" s="858"/>
      <c r="AS265" s="858"/>
      <c r="AT265" s="858"/>
      <c r="AU265" s="858"/>
      <c r="AV265" s="858"/>
      <c r="AW265" s="858"/>
      <c r="AX265" s="858"/>
      <c r="AY265" s="858"/>
      <c r="AZ265" s="858"/>
      <c r="BA265" s="858"/>
      <c r="BB265" s="858"/>
      <c r="BC265" s="858"/>
      <c r="BD265" s="858"/>
      <c r="BE265" s="858"/>
      <c r="BF265" s="858"/>
      <c r="BG265" s="858"/>
      <c r="BH265" s="858"/>
      <c r="BI265" s="858"/>
      <c r="BJ265" s="858"/>
      <c r="BK265" s="858"/>
      <c r="BL265" s="858"/>
      <c r="BM265" s="858"/>
      <c r="BN265" s="858"/>
      <c r="BO265" s="858"/>
      <c r="BP265" s="858"/>
      <c r="BQ265" s="858"/>
      <c r="BR265" s="858"/>
      <c r="BS265" s="858"/>
      <c r="BT265" s="858"/>
      <c r="BU265" s="858"/>
      <c r="BV265" s="858"/>
      <c r="BW265" s="858"/>
      <c r="BX265" s="858"/>
      <c r="BY265" s="858"/>
      <c r="BZ265" s="858"/>
      <c r="CA265" s="858"/>
      <c r="CB265" s="858"/>
      <c r="CC265" s="858"/>
      <c r="CD265" s="858"/>
      <c r="CE265" s="858"/>
      <c r="CF265" s="858"/>
      <c r="CG265" s="858"/>
      <c r="CH265" s="858"/>
      <c r="CI265" s="858"/>
      <c r="CJ265" s="858"/>
      <c r="CK265" s="858"/>
      <c r="CL265" s="858"/>
      <c r="CM265" s="858"/>
      <c r="CN265" s="858"/>
      <c r="CO265" s="858"/>
      <c r="CP265" s="858"/>
      <c r="CQ265" s="858"/>
      <c r="CR265" s="858"/>
      <c r="CS265" s="858"/>
      <c r="CT265" s="858"/>
      <c r="CU265" s="858"/>
      <c r="CV265" s="858"/>
      <c r="CW265" s="858"/>
      <c r="CX265" s="858"/>
      <c r="CY265" s="858"/>
      <c r="CZ265" s="858"/>
      <c r="DA265" s="858"/>
      <c r="DB265" s="858"/>
      <c r="DC265" s="858"/>
      <c r="DD265" s="858"/>
      <c r="DE265" s="858"/>
      <c r="DF265" s="858"/>
      <c r="DG265" s="858"/>
      <c r="DH265" s="858"/>
      <c r="DI265" s="858"/>
      <c r="DJ265" s="858"/>
      <c r="DK265" s="858"/>
      <c r="DL265" s="858"/>
      <c r="DM265" s="858"/>
      <c r="DN265" s="858"/>
      <c r="DO265" s="858"/>
      <c r="DP265" s="858"/>
      <c r="DQ265" s="858"/>
      <c r="DR265" s="858"/>
      <c r="DS265" s="858"/>
      <c r="DT265" s="858"/>
      <c r="DU265" s="858"/>
      <c r="DV265" s="858"/>
      <c r="DW265" s="858"/>
      <c r="DX265" s="858"/>
      <c r="DY265" s="858"/>
      <c r="DZ265" s="858"/>
      <c r="EA265" s="858"/>
      <c r="EB265" s="858"/>
      <c r="EC265" s="858"/>
      <c r="ED265" s="858"/>
      <c r="EE265" s="858"/>
      <c r="EF265" s="858"/>
      <c r="EG265" s="858"/>
      <c r="EH265" s="858"/>
      <c r="EI265" s="858"/>
      <c r="EJ265" s="858"/>
      <c r="EK265" s="858"/>
      <c r="EL265" s="858"/>
      <c r="EM265" s="858"/>
      <c r="EN265" s="858"/>
      <c r="EO265" s="858"/>
      <c r="EP265" s="858"/>
      <c r="EQ265" s="858"/>
      <c r="ER265" s="858"/>
      <c r="ES265" s="858"/>
      <c r="ET265" s="858"/>
      <c r="EU265" s="858"/>
      <c r="EV265" s="858"/>
      <c r="EW265" s="858"/>
      <c r="EX265" s="858"/>
      <c r="EY265" s="858"/>
      <c r="EZ265" s="858"/>
      <c r="FA265" s="858"/>
      <c r="FB265" s="858"/>
      <c r="FC265" s="858"/>
      <c r="FD265" s="858"/>
      <c r="FE265" s="858"/>
      <c r="FF265" s="858"/>
      <c r="FG265" s="858"/>
      <c r="FH265" s="858"/>
      <c r="FI265" s="858"/>
      <c r="FJ265" s="858"/>
      <c r="FK265" s="858"/>
      <c r="FL265" s="858"/>
      <c r="FM265" s="858"/>
      <c r="FN265" s="858"/>
      <c r="FO265" s="858"/>
      <c r="FP265" s="858"/>
      <c r="FQ265" s="858"/>
      <c r="FR265" s="858"/>
      <c r="FS265" s="858"/>
      <c r="FT265" s="858"/>
      <c r="FU265" s="858"/>
      <c r="FV265" s="858"/>
      <c r="FW265" s="858"/>
      <c r="FX265" s="858"/>
      <c r="FY265" s="858"/>
      <c r="FZ265" s="858"/>
      <c r="GA265" s="858"/>
      <c r="GB265" s="858"/>
      <c r="GC265" s="858"/>
      <c r="GD265" s="858"/>
      <c r="GE265" s="858"/>
      <c r="GF265" s="858"/>
      <c r="GG265" s="858"/>
      <c r="GH265" s="858"/>
      <c r="GI265" s="858"/>
      <c r="GJ265" s="858"/>
      <c r="GK265" s="858"/>
      <c r="GL265" s="858"/>
      <c r="GM265" s="858"/>
      <c r="GN265" s="858"/>
      <c r="GO265" s="858"/>
      <c r="GP265" s="858"/>
      <c r="GQ265" s="858"/>
      <c r="GR265" s="858"/>
      <c r="GS265" s="858"/>
      <c r="GT265" s="858"/>
      <c r="GU265" s="858"/>
      <c r="GV265" s="858"/>
      <c r="GW265" s="858"/>
      <c r="GX265" s="858"/>
      <c r="GY265" s="858"/>
      <c r="GZ265" s="858"/>
      <c r="HA265" s="858"/>
      <c r="HB265" s="858"/>
      <c r="HC265" s="858"/>
      <c r="HD265" s="858"/>
      <c r="HE265" s="858"/>
      <c r="HF265" s="858"/>
      <c r="HG265" s="858"/>
      <c r="HH265" s="858"/>
      <c r="HI265" s="858"/>
      <c r="HJ265" s="858"/>
      <c r="HK265" s="858"/>
      <c r="HL265" s="858"/>
      <c r="HM265" s="858"/>
      <c r="HN265" s="858"/>
      <c r="HO265" s="858"/>
      <c r="HP265" s="858"/>
      <c r="HQ265" s="858"/>
      <c r="HR265" s="858"/>
      <c r="HS265" s="858"/>
      <c r="HT265" s="858"/>
      <c r="HU265" s="858"/>
      <c r="HV265" s="858"/>
      <c r="HW265" s="858"/>
      <c r="HX265" s="858"/>
      <c r="HY265" s="858"/>
      <c r="HZ265" s="858"/>
      <c r="IA265" s="858"/>
      <c r="IB265" s="858"/>
      <c r="IC265" s="858"/>
      <c r="ID265" s="858"/>
      <c r="IE265" s="858"/>
      <c r="IF265" s="858"/>
      <c r="IG265" s="858"/>
      <c r="IH265" s="858"/>
      <c r="II265" s="858"/>
      <c r="IJ265" s="858"/>
      <c r="IK265" s="858"/>
      <c r="IL265" s="858"/>
      <c r="IM265" s="858"/>
      <c r="IN265" s="858"/>
    </row>
    <row r="266" spans="1:248">
      <c r="A266" s="568" t="s">
        <v>27</v>
      </c>
      <c r="B266" s="566">
        <v>26412.799999999999</v>
      </c>
      <c r="C266" s="566">
        <f>+B266/H266*100</f>
        <v>26.181590375394887</v>
      </c>
      <c r="D266" s="569">
        <v>26630.6</v>
      </c>
      <c r="E266" s="859">
        <f t="shared" ref="E266" si="38">D266/H266*100</f>
        <v>26.397483820382199</v>
      </c>
      <c r="F266" s="859">
        <f>B266-D266</f>
        <v>-217.79999999999927</v>
      </c>
      <c r="G266" s="859">
        <f t="shared" ref="G266" si="39">F266/H266*100</f>
        <v>-0.21589344498731625</v>
      </c>
      <c r="H266" s="377">
        <v>100883.1</v>
      </c>
      <c r="I266" s="858"/>
      <c r="J266" s="858"/>
      <c r="K266" s="858"/>
      <c r="L266" s="858"/>
      <c r="M266" s="858"/>
      <c r="N266" s="858"/>
      <c r="O266" s="858"/>
      <c r="P266" s="858"/>
      <c r="Q266" s="858"/>
      <c r="R266" s="858"/>
      <c r="S266" s="858"/>
      <c r="T266" s="858"/>
      <c r="U266" s="858"/>
      <c r="V266" s="858"/>
      <c r="W266" s="858"/>
      <c r="X266" s="858"/>
      <c r="Y266" s="858"/>
      <c r="Z266" s="858"/>
      <c r="AA266" s="858"/>
      <c r="AB266" s="858"/>
      <c r="AC266" s="858"/>
      <c r="AD266" s="858"/>
      <c r="AE266" s="858"/>
      <c r="AF266" s="858"/>
      <c r="AG266" s="858"/>
      <c r="AH266" s="858"/>
      <c r="AI266" s="858"/>
      <c r="AJ266" s="858"/>
      <c r="AK266" s="858"/>
      <c r="AL266" s="858"/>
      <c r="AM266" s="858"/>
      <c r="AN266" s="858"/>
      <c r="AO266" s="858"/>
      <c r="AP266" s="858"/>
      <c r="AQ266" s="858"/>
      <c r="AR266" s="858"/>
      <c r="AS266" s="858"/>
      <c r="AT266" s="858"/>
      <c r="AU266" s="858"/>
      <c r="AV266" s="858"/>
      <c r="AW266" s="858"/>
      <c r="AX266" s="858"/>
      <c r="AY266" s="858"/>
      <c r="AZ266" s="858"/>
      <c r="BA266" s="858"/>
      <c r="BB266" s="858"/>
      <c r="BC266" s="858"/>
      <c r="BD266" s="858"/>
      <c r="BE266" s="858"/>
      <c r="BF266" s="858"/>
      <c r="BG266" s="858"/>
      <c r="BH266" s="858"/>
      <c r="BI266" s="858"/>
      <c r="BJ266" s="858"/>
      <c r="BK266" s="858"/>
      <c r="BL266" s="858"/>
      <c r="BM266" s="858"/>
      <c r="BN266" s="858"/>
      <c r="BO266" s="858"/>
      <c r="BP266" s="858"/>
      <c r="BQ266" s="858"/>
      <c r="BR266" s="858"/>
      <c r="BS266" s="858"/>
      <c r="BT266" s="858"/>
      <c r="BU266" s="858"/>
      <c r="BV266" s="858"/>
      <c r="BW266" s="858"/>
      <c r="BX266" s="858"/>
      <c r="BY266" s="858"/>
      <c r="BZ266" s="858"/>
      <c r="CA266" s="858"/>
      <c r="CB266" s="858"/>
      <c r="CC266" s="858"/>
      <c r="CD266" s="858"/>
      <c r="CE266" s="858"/>
      <c r="CF266" s="858"/>
      <c r="CG266" s="858"/>
      <c r="CH266" s="858"/>
      <c r="CI266" s="858"/>
      <c r="CJ266" s="858"/>
      <c r="CK266" s="858"/>
      <c r="CL266" s="858"/>
      <c r="CM266" s="858"/>
      <c r="CN266" s="858"/>
      <c r="CO266" s="858"/>
      <c r="CP266" s="858"/>
      <c r="CQ266" s="858"/>
      <c r="CR266" s="858"/>
      <c r="CS266" s="858"/>
      <c r="CT266" s="858"/>
      <c r="CU266" s="858"/>
      <c r="CV266" s="858"/>
      <c r="CW266" s="858"/>
      <c r="CX266" s="858"/>
      <c r="CY266" s="858"/>
      <c r="CZ266" s="858"/>
      <c r="DA266" s="858"/>
      <c r="DB266" s="858"/>
      <c r="DC266" s="858"/>
      <c r="DD266" s="858"/>
      <c r="DE266" s="858"/>
      <c r="DF266" s="858"/>
      <c r="DG266" s="858"/>
      <c r="DH266" s="858"/>
      <c r="DI266" s="858"/>
      <c r="DJ266" s="858"/>
      <c r="DK266" s="858"/>
      <c r="DL266" s="858"/>
      <c r="DM266" s="858"/>
      <c r="DN266" s="858"/>
      <c r="DO266" s="858"/>
      <c r="DP266" s="858"/>
      <c r="DQ266" s="858"/>
      <c r="DR266" s="858"/>
      <c r="DS266" s="858"/>
      <c r="DT266" s="858"/>
      <c r="DU266" s="858"/>
      <c r="DV266" s="858"/>
      <c r="DW266" s="858"/>
      <c r="DX266" s="858"/>
      <c r="DY266" s="858"/>
      <c r="DZ266" s="858"/>
      <c r="EA266" s="858"/>
      <c r="EB266" s="858"/>
      <c r="EC266" s="858"/>
      <c r="ED266" s="858"/>
      <c r="EE266" s="858"/>
      <c r="EF266" s="858"/>
      <c r="EG266" s="858"/>
      <c r="EH266" s="858"/>
      <c r="EI266" s="858"/>
      <c r="EJ266" s="858"/>
      <c r="EK266" s="858"/>
      <c r="EL266" s="858"/>
      <c r="EM266" s="858"/>
      <c r="EN266" s="858"/>
      <c r="EO266" s="858"/>
      <c r="EP266" s="858"/>
      <c r="EQ266" s="858"/>
      <c r="ER266" s="858"/>
      <c r="ES266" s="858"/>
      <c r="ET266" s="858"/>
      <c r="EU266" s="858"/>
      <c r="EV266" s="858"/>
      <c r="EW266" s="858"/>
      <c r="EX266" s="858"/>
      <c r="EY266" s="858"/>
      <c r="EZ266" s="858"/>
      <c r="FA266" s="858"/>
      <c r="FB266" s="858"/>
      <c r="FC266" s="858"/>
      <c r="FD266" s="858"/>
      <c r="FE266" s="858"/>
      <c r="FF266" s="858"/>
      <c r="FG266" s="858"/>
      <c r="FH266" s="858"/>
      <c r="FI266" s="858"/>
      <c r="FJ266" s="858"/>
      <c r="FK266" s="858"/>
      <c r="FL266" s="858"/>
      <c r="FM266" s="858"/>
      <c r="FN266" s="858"/>
      <c r="FO266" s="858"/>
      <c r="FP266" s="858"/>
      <c r="FQ266" s="858"/>
      <c r="FR266" s="858"/>
      <c r="FS266" s="858"/>
      <c r="FT266" s="858"/>
      <c r="FU266" s="858"/>
      <c r="FV266" s="858"/>
      <c r="FW266" s="858"/>
      <c r="FX266" s="858"/>
      <c r="FY266" s="858"/>
      <c r="FZ266" s="858"/>
      <c r="GA266" s="858"/>
      <c r="GB266" s="858"/>
      <c r="GC266" s="858"/>
      <c r="GD266" s="858"/>
      <c r="GE266" s="858"/>
      <c r="GF266" s="858"/>
      <c r="GG266" s="858"/>
      <c r="GH266" s="858"/>
      <c r="GI266" s="858"/>
      <c r="GJ266" s="858"/>
      <c r="GK266" s="858"/>
      <c r="GL266" s="858"/>
      <c r="GM266" s="858"/>
      <c r="GN266" s="858"/>
      <c r="GO266" s="858"/>
      <c r="GP266" s="858"/>
      <c r="GQ266" s="858"/>
      <c r="GR266" s="858"/>
      <c r="GS266" s="858"/>
      <c r="GT266" s="858"/>
      <c r="GU266" s="858"/>
      <c r="GV266" s="858"/>
      <c r="GW266" s="858"/>
      <c r="GX266" s="858"/>
      <c r="GY266" s="858"/>
      <c r="GZ266" s="858"/>
      <c r="HA266" s="858"/>
      <c r="HB266" s="858"/>
      <c r="HC266" s="858"/>
      <c r="HD266" s="858"/>
      <c r="HE266" s="858"/>
      <c r="HF266" s="858"/>
      <c r="HG266" s="858"/>
      <c r="HH266" s="858"/>
      <c r="HI266" s="858"/>
      <c r="HJ266" s="858"/>
      <c r="HK266" s="858"/>
      <c r="HL266" s="858"/>
      <c r="HM266" s="858"/>
      <c r="HN266" s="858"/>
      <c r="HO266" s="858"/>
      <c r="HP266" s="858"/>
      <c r="HQ266" s="858"/>
      <c r="HR266" s="858"/>
      <c r="HS266" s="858"/>
      <c r="HT266" s="858"/>
      <c r="HU266" s="858"/>
      <c r="HV266" s="858"/>
      <c r="HW266" s="858"/>
      <c r="HX266" s="858"/>
      <c r="HY266" s="858"/>
      <c r="HZ266" s="858"/>
      <c r="IA266" s="858"/>
      <c r="IB266" s="858"/>
      <c r="IC266" s="858"/>
      <c r="ID266" s="858"/>
      <c r="IE266" s="858"/>
      <c r="IF266" s="858"/>
      <c r="IG266" s="858"/>
      <c r="IH266" s="858"/>
      <c r="II266" s="858"/>
      <c r="IJ266" s="858"/>
      <c r="IK266" s="858"/>
      <c r="IL266" s="858"/>
      <c r="IM266" s="858"/>
      <c r="IN266" s="858"/>
    </row>
    <row r="267" spans="1:248">
      <c r="A267" s="568" t="s">
        <v>28</v>
      </c>
      <c r="B267" s="566">
        <v>29642</v>
      </c>
      <c r="C267" s="566">
        <v>26.895242657840107</v>
      </c>
      <c r="D267" s="569">
        <v>29155.200000000001</v>
      </c>
      <c r="E267" s="859">
        <v>26.453551674578634</v>
      </c>
      <c r="F267" s="859">
        <v>486.79999999999927</v>
      </c>
      <c r="G267" s="859">
        <v>0.44169098326147171</v>
      </c>
      <c r="H267" s="377">
        <v>110212.8</v>
      </c>
      <c r="I267" s="858"/>
      <c r="J267" s="858"/>
      <c r="K267" s="858"/>
      <c r="L267" s="858"/>
      <c r="M267" s="858"/>
      <c r="N267" s="858"/>
      <c r="O267" s="858"/>
      <c r="P267" s="858"/>
      <c r="Q267" s="858"/>
      <c r="R267" s="858"/>
      <c r="S267" s="858"/>
      <c r="T267" s="858"/>
      <c r="U267" s="858"/>
      <c r="V267" s="858"/>
      <c r="W267" s="858"/>
      <c r="X267" s="858"/>
      <c r="Y267" s="858"/>
      <c r="Z267" s="858"/>
      <c r="AA267" s="858"/>
      <c r="AB267" s="858"/>
      <c r="AC267" s="858"/>
      <c r="AD267" s="858"/>
      <c r="AE267" s="858"/>
      <c r="AF267" s="858"/>
      <c r="AG267" s="858"/>
      <c r="AH267" s="858"/>
      <c r="AI267" s="858"/>
      <c r="AJ267" s="858"/>
      <c r="AK267" s="858"/>
      <c r="AL267" s="858"/>
      <c r="AM267" s="858"/>
      <c r="AN267" s="858"/>
      <c r="AO267" s="858"/>
      <c r="AP267" s="858"/>
      <c r="AQ267" s="858"/>
      <c r="AR267" s="858"/>
      <c r="AS267" s="858"/>
      <c r="AT267" s="858"/>
      <c r="AU267" s="858"/>
      <c r="AV267" s="858"/>
      <c r="AW267" s="858"/>
      <c r="AX267" s="858"/>
      <c r="AY267" s="858"/>
      <c r="AZ267" s="858"/>
      <c r="BA267" s="858"/>
      <c r="BB267" s="858"/>
      <c r="BC267" s="858"/>
      <c r="BD267" s="858"/>
      <c r="BE267" s="858"/>
      <c r="BF267" s="858"/>
      <c r="BG267" s="858"/>
      <c r="BH267" s="858"/>
      <c r="BI267" s="858"/>
      <c r="BJ267" s="858"/>
      <c r="BK267" s="858"/>
      <c r="BL267" s="858"/>
      <c r="BM267" s="858"/>
      <c r="BN267" s="858"/>
      <c r="BO267" s="858"/>
      <c r="BP267" s="858"/>
      <c r="BQ267" s="858"/>
      <c r="BR267" s="858"/>
      <c r="BS267" s="858"/>
      <c r="BT267" s="858"/>
      <c r="BU267" s="858"/>
      <c r="BV267" s="858"/>
      <c r="BW267" s="858"/>
      <c r="BX267" s="858"/>
      <c r="BY267" s="858"/>
      <c r="BZ267" s="858"/>
      <c r="CA267" s="858"/>
      <c r="CB267" s="858"/>
      <c r="CC267" s="858"/>
      <c r="CD267" s="858"/>
      <c r="CE267" s="858"/>
      <c r="CF267" s="858"/>
      <c r="CG267" s="858"/>
      <c r="CH267" s="858"/>
      <c r="CI267" s="858"/>
      <c r="CJ267" s="858"/>
      <c r="CK267" s="858"/>
      <c r="CL267" s="858"/>
      <c r="CM267" s="858"/>
      <c r="CN267" s="858"/>
      <c r="CO267" s="858"/>
      <c r="CP267" s="858"/>
      <c r="CQ267" s="858"/>
      <c r="CR267" s="858"/>
      <c r="CS267" s="858"/>
      <c r="CT267" s="858"/>
      <c r="CU267" s="858"/>
      <c r="CV267" s="858"/>
      <c r="CW267" s="858"/>
      <c r="CX267" s="858"/>
      <c r="CY267" s="858"/>
      <c r="CZ267" s="858"/>
      <c r="DA267" s="858"/>
      <c r="DB267" s="858"/>
      <c r="DC267" s="858"/>
      <c r="DD267" s="858"/>
      <c r="DE267" s="858"/>
      <c r="DF267" s="858"/>
      <c r="DG267" s="858"/>
      <c r="DH267" s="858"/>
      <c r="DI267" s="858"/>
      <c r="DJ267" s="858"/>
      <c r="DK267" s="858"/>
      <c r="DL267" s="858"/>
      <c r="DM267" s="858"/>
      <c r="DN267" s="858"/>
      <c r="DO267" s="858"/>
      <c r="DP267" s="858"/>
      <c r="DQ267" s="858"/>
      <c r="DR267" s="858"/>
      <c r="DS267" s="858"/>
      <c r="DT267" s="858"/>
      <c r="DU267" s="858"/>
      <c r="DV267" s="858"/>
      <c r="DW267" s="858"/>
      <c r="DX267" s="858"/>
      <c r="DY267" s="858"/>
      <c r="DZ267" s="858"/>
      <c r="EA267" s="858"/>
      <c r="EB267" s="858"/>
      <c r="EC267" s="858"/>
      <c r="ED267" s="858"/>
      <c r="EE267" s="858"/>
      <c r="EF267" s="858"/>
      <c r="EG267" s="858"/>
      <c r="EH267" s="858"/>
      <c r="EI267" s="858"/>
      <c r="EJ267" s="858"/>
      <c r="EK267" s="858"/>
      <c r="EL267" s="858"/>
      <c r="EM267" s="858"/>
      <c r="EN267" s="858"/>
      <c r="EO267" s="858"/>
      <c r="EP267" s="858"/>
      <c r="EQ267" s="858"/>
      <c r="ER267" s="858"/>
      <c r="ES267" s="858"/>
      <c r="ET267" s="858"/>
      <c r="EU267" s="858"/>
      <c r="EV267" s="858"/>
      <c r="EW267" s="858"/>
      <c r="EX267" s="858"/>
      <c r="EY267" s="858"/>
      <c r="EZ267" s="858"/>
      <c r="FA267" s="858"/>
      <c r="FB267" s="858"/>
      <c r="FC267" s="858"/>
      <c r="FD267" s="858"/>
      <c r="FE267" s="858"/>
      <c r="FF267" s="858"/>
      <c r="FG267" s="858"/>
      <c r="FH267" s="858"/>
      <c r="FI267" s="858"/>
      <c r="FJ267" s="858"/>
      <c r="FK267" s="858"/>
      <c r="FL267" s="858"/>
      <c r="FM267" s="858"/>
      <c r="FN267" s="858"/>
      <c r="FO267" s="858"/>
      <c r="FP267" s="858"/>
      <c r="FQ267" s="858"/>
      <c r="FR267" s="858"/>
      <c r="FS267" s="858"/>
      <c r="FT267" s="858"/>
      <c r="FU267" s="858"/>
      <c r="FV267" s="858"/>
      <c r="FW267" s="858"/>
      <c r="FX267" s="858"/>
      <c r="FY267" s="858"/>
      <c r="FZ267" s="858"/>
      <c r="GA267" s="858"/>
      <c r="GB267" s="858"/>
      <c r="GC267" s="858"/>
      <c r="GD267" s="858"/>
      <c r="GE267" s="858"/>
      <c r="GF267" s="858"/>
      <c r="GG267" s="858"/>
      <c r="GH267" s="858"/>
      <c r="GI267" s="858"/>
      <c r="GJ267" s="858"/>
      <c r="GK267" s="858"/>
      <c r="GL267" s="858"/>
      <c r="GM267" s="858"/>
      <c r="GN267" s="858"/>
      <c r="GO267" s="858"/>
      <c r="GP267" s="858"/>
      <c r="GQ267" s="858"/>
      <c r="GR267" s="858"/>
      <c r="GS267" s="858"/>
      <c r="GT267" s="858"/>
      <c r="GU267" s="858"/>
      <c r="GV267" s="858"/>
      <c r="GW267" s="858"/>
      <c r="GX267" s="858"/>
      <c r="GY267" s="858"/>
      <c r="GZ267" s="858"/>
      <c r="HA267" s="858"/>
      <c r="HB267" s="858"/>
      <c r="HC267" s="858"/>
      <c r="HD267" s="858"/>
      <c r="HE267" s="858"/>
      <c r="HF267" s="858"/>
      <c r="HG267" s="858"/>
      <c r="HH267" s="858"/>
      <c r="HI267" s="858"/>
      <c r="HJ267" s="858"/>
      <c r="HK267" s="858"/>
      <c r="HL267" s="858"/>
      <c r="HM267" s="858"/>
      <c r="HN267" s="858"/>
      <c r="HO267" s="858"/>
      <c r="HP267" s="858"/>
      <c r="HQ267" s="858"/>
      <c r="HR267" s="858"/>
      <c r="HS267" s="858"/>
      <c r="HT267" s="858"/>
      <c r="HU267" s="858"/>
      <c r="HV267" s="858"/>
      <c r="HW267" s="858"/>
      <c r="HX267" s="858"/>
      <c r="HY267" s="858"/>
      <c r="HZ267" s="858"/>
      <c r="IA267" s="858"/>
      <c r="IB267" s="858"/>
      <c r="IC267" s="858"/>
      <c r="ID267" s="858"/>
      <c r="IE267" s="858"/>
      <c r="IF267" s="858"/>
      <c r="IG267" s="858"/>
      <c r="IH267" s="858"/>
      <c r="II267" s="858"/>
      <c r="IJ267" s="858"/>
      <c r="IK267" s="858"/>
      <c r="IL267" s="858"/>
      <c r="IM267" s="858"/>
      <c r="IN267" s="858"/>
    </row>
    <row r="268" spans="1:248">
      <c r="A268" s="568" t="s">
        <v>29</v>
      </c>
      <c r="B268" s="566">
        <v>35236.39</v>
      </c>
      <c r="C268" s="566">
        <v>28.921308396779011</v>
      </c>
      <c r="D268" s="569">
        <v>36457.96</v>
      </c>
      <c r="E268" s="859">
        <v>29.639731556719006</v>
      </c>
      <c r="F268" s="859">
        <f>B268-D268</f>
        <v>-1221.5699999999997</v>
      </c>
      <c r="G268" s="859">
        <f t="shared" ref="G268" si="40">F268/H268*100</f>
        <v>-0.99310193446634476</v>
      </c>
      <c r="H268" s="377">
        <v>123005.5</v>
      </c>
      <c r="I268" s="858"/>
      <c r="J268" s="858"/>
      <c r="K268" s="858"/>
      <c r="L268" s="858"/>
      <c r="M268" s="858"/>
      <c r="N268" s="858"/>
      <c r="O268" s="858"/>
      <c r="P268" s="858"/>
      <c r="Q268" s="858"/>
      <c r="R268" s="858"/>
      <c r="S268" s="858"/>
      <c r="T268" s="858"/>
      <c r="U268" s="858"/>
      <c r="V268" s="858"/>
      <c r="W268" s="858"/>
      <c r="X268" s="858"/>
      <c r="Y268" s="858"/>
      <c r="Z268" s="858"/>
      <c r="AA268" s="858"/>
      <c r="AB268" s="858"/>
      <c r="AC268" s="858"/>
      <c r="AD268" s="858"/>
      <c r="AE268" s="858"/>
      <c r="AF268" s="858"/>
      <c r="AG268" s="858"/>
      <c r="AH268" s="858"/>
      <c r="AI268" s="858"/>
      <c r="AJ268" s="858"/>
      <c r="AK268" s="858"/>
      <c r="AL268" s="858"/>
      <c r="AM268" s="858"/>
      <c r="AN268" s="858"/>
      <c r="AO268" s="858"/>
      <c r="AP268" s="858"/>
      <c r="AQ268" s="858"/>
      <c r="AR268" s="858"/>
      <c r="AS268" s="858"/>
      <c r="AT268" s="858"/>
      <c r="AU268" s="858"/>
      <c r="AV268" s="858"/>
      <c r="AW268" s="858"/>
      <c r="AX268" s="858"/>
      <c r="AY268" s="858"/>
      <c r="AZ268" s="858"/>
      <c r="BA268" s="858"/>
      <c r="BB268" s="858"/>
      <c r="BC268" s="858"/>
      <c r="BD268" s="858"/>
      <c r="BE268" s="858"/>
      <c r="BF268" s="858"/>
      <c r="BG268" s="858"/>
      <c r="BH268" s="858"/>
      <c r="BI268" s="858"/>
      <c r="BJ268" s="858"/>
      <c r="BK268" s="858"/>
      <c r="BL268" s="858"/>
      <c r="BM268" s="858"/>
      <c r="BN268" s="858"/>
      <c r="BO268" s="858"/>
      <c r="BP268" s="858"/>
      <c r="BQ268" s="858"/>
      <c r="BR268" s="858"/>
      <c r="BS268" s="858"/>
      <c r="BT268" s="858"/>
      <c r="BU268" s="858"/>
      <c r="BV268" s="858"/>
      <c r="BW268" s="858"/>
      <c r="BX268" s="858"/>
      <c r="BY268" s="858"/>
      <c r="BZ268" s="858"/>
      <c r="CA268" s="858"/>
      <c r="CB268" s="858"/>
      <c r="CC268" s="858"/>
      <c r="CD268" s="858"/>
      <c r="CE268" s="858"/>
      <c r="CF268" s="858"/>
      <c r="CG268" s="858"/>
      <c r="CH268" s="858"/>
      <c r="CI268" s="858"/>
      <c r="CJ268" s="858"/>
      <c r="CK268" s="858"/>
      <c r="CL268" s="858"/>
      <c r="CM268" s="858"/>
      <c r="CN268" s="858"/>
      <c r="CO268" s="858"/>
      <c r="CP268" s="858"/>
      <c r="CQ268" s="858"/>
      <c r="CR268" s="858"/>
      <c r="CS268" s="858"/>
      <c r="CT268" s="858"/>
      <c r="CU268" s="858"/>
      <c r="CV268" s="858"/>
      <c r="CW268" s="858"/>
      <c r="CX268" s="858"/>
      <c r="CY268" s="858"/>
      <c r="CZ268" s="858"/>
      <c r="DA268" s="858"/>
      <c r="DB268" s="858"/>
      <c r="DC268" s="858"/>
      <c r="DD268" s="858"/>
      <c r="DE268" s="858"/>
      <c r="DF268" s="858"/>
      <c r="DG268" s="858"/>
      <c r="DH268" s="858"/>
      <c r="DI268" s="858"/>
      <c r="DJ268" s="858"/>
      <c r="DK268" s="858"/>
      <c r="DL268" s="858"/>
      <c r="DM268" s="858"/>
      <c r="DN268" s="858"/>
      <c r="DO268" s="858"/>
      <c r="DP268" s="858"/>
      <c r="DQ268" s="858"/>
      <c r="DR268" s="858"/>
      <c r="DS268" s="858"/>
      <c r="DT268" s="858"/>
      <c r="DU268" s="858"/>
      <c r="DV268" s="858"/>
      <c r="DW268" s="858"/>
      <c r="DX268" s="858"/>
      <c r="DY268" s="858"/>
      <c r="DZ268" s="858"/>
      <c r="EA268" s="858"/>
      <c r="EB268" s="858"/>
      <c r="EC268" s="858"/>
      <c r="ED268" s="858"/>
      <c r="EE268" s="858"/>
      <c r="EF268" s="858"/>
      <c r="EG268" s="858"/>
      <c r="EH268" s="858"/>
      <c r="EI268" s="858"/>
      <c r="EJ268" s="858"/>
      <c r="EK268" s="858"/>
      <c r="EL268" s="858"/>
      <c r="EM268" s="858"/>
      <c r="EN268" s="858"/>
      <c r="EO268" s="858"/>
      <c r="EP268" s="858"/>
      <c r="EQ268" s="858"/>
      <c r="ER268" s="858"/>
      <c r="ES268" s="858"/>
      <c r="ET268" s="858"/>
      <c r="EU268" s="858"/>
      <c r="EV268" s="858"/>
      <c r="EW268" s="858"/>
      <c r="EX268" s="858"/>
      <c r="EY268" s="858"/>
      <c r="EZ268" s="858"/>
      <c r="FA268" s="858"/>
      <c r="FB268" s="858"/>
      <c r="FC268" s="858"/>
      <c r="FD268" s="858"/>
      <c r="FE268" s="858"/>
      <c r="FF268" s="858"/>
      <c r="FG268" s="858"/>
      <c r="FH268" s="858"/>
      <c r="FI268" s="858"/>
      <c r="FJ268" s="858"/>
      <c r="FK268" s="858"/>
      <c r="FL268" s="858"/>
      <c r="FM268" s="858"/>
      <c r="FN268" s="858"/>
      <c r="FO268" s="858"/>
      <c r="FP268" s="858"/>
      <c r="FQ268" s="858"/>
      <c r="FR268" s="858"/>
      <c r="FS268" s="858"/>
      <c r="FT268" s="858"/>
      <c r="FU268" s="858"/>
      <c r="FV268" s="858"/>
      <c r="FW268" s="858"/>
      <c r="FX268" s="858"/>
      <c r="FY268" s="858"/>
      <c r="FZ268" s="858"/>
      <c r="GA268" s="858"/>
      <c r="GB268" s="858"/>
      <c r="GC268" s="858"/>
      <c r="GD268" s="858"/>
      <c r="GE268" s="858"/>
      <c r="GF268" s="858"/>
      <c r="GG268" s="858"/>
      <c r="GH268" s="858"/>
      <c r="GI268" s="858"/>
      <c r="GJ268" s="858"/>
      <c r="GK268" s="858"/>
      <c r="GL268" s="858"/>
      <c r="GM268" s="858"/>
      <c r="GN268" s="858"/>
      <c r="GO268" s="858"/>
      <c r="GP268" s="858"/>
      <c r="GQ268" s="858"/>
      <c r="GR268" s="858"/>
      <c r="GS268" s="858"/>
      <c r="GT268" s="858"/>
      <c r="GU268" s="858"/>
      <c r="GV268" s="858"/>
      <c r="GW268" s="858"/>
      <c r="GX268" s="858"/>
      <c r="GY268" s="858"/>
      <c r="GZ268" s="858"/>
      <c r="HA268" s="858"/>
      <c r="HB268" s="858"/>
      <c r="HC268" s="858"/>
      <c r="HD268" s="858"/>
      <c r="HE268" s="858"/>
      <c r="HF268" s="858"/>
      <c r="HG268" s="858"/>
      <c r="HH268" s="858"/>
      <c r="HI268" s="858"/>
      <c r="HJ268" s="858"/>
      <c r="HK268" s="858"/>
      <c r="HL268" s="858"/>
      <c r="HM268" s="858"/>
      <c r="HN268" s="858"/>
      <c r="HO268" s="858"/>
      <c r="HP268" s="858"/>
      <c r="HQ268" s="858"/>
      <c r="HR268" s="858"/>
      <c r="HS268" s="858"/>
      <c r="HT268" s="858"/>
      <c r="HU268" s="858"/>
      <c r="HV268" s="858"/>
      <c r="HW268" s="858"/>
      <c r="HX268" s="858"/>
      <c r="HY268" s="858"/>
      <c r="HZ268" s="858"/>
      <c r="IA268" s="858"/>
      <c r="IB268" s="858"/>
      <c r="IC268" s="858"/>
      <c r="ID268" s="858"/>
      <c r="IE268" s="858"/>
      <c r="IF268" s="858"/>
      <c r="IG268" s="858"/>
      <c r="IH268" s="858"/>
      <c r="II268" s="858"/>
      <c r="IJ268" s="858"/>
      <c r="IK268" s="858"/>
      <c r="IL268" s="858"/>
      <c r="IM268" s="858"/>
      <c r="IN268" s="858"/>
    </row>
    <row r="269" spans="1:248">
      <c r="A269" s="568" t="s">
        <v>3971</v>
      </c>
      <c r="B269" s="561">
        <v>37161.800000000003</v>
      </c>
      <c r="C269" s="561">
        <v>29.414819094960308</v>
      </c>
      <c r="D269" s="565">
        <v>37712.720000000001</v>
      </c>
      <c r="E269" s="860">
        <v>29.850890871241205</v>
      </c>
      <c r="F269" s="860">
        <v>-550.91999999999825</v>
      </c>
      <c r="G269" s="860">
        <v>-0.4360717762808981</v>
      </c>
      <c r="H269" s="377"/>
      <c r="I269" s="858"/>
      <c r="J269" s="858"/>
      <c r="K269" s="858"/>
      <c r="L269" s="858"/>
      <c r="M269" s="858"/>
      <c r="N269" s="858"/>
      <c r="O269" s="858"/>
      <c r="P269" s="858"/>
      <c r="Q269" s="858"/>
      <c r="R269" s="858"/>
      <c r="S269" s="858"/>
      <c r="T269" s="858"/>
      <c r="U269" s="858"/>
      <c r="V269" s="858"/>
      <c r="W269" s="858"/>
      <c r="X269" s="858"/>
      <c r="Y269" s="858"/>
      <c r="Z269" s="858"/>
      <c r="AA269" s="858"/>
      <c r="AB269" s="858"/>
      <c r="AC269" s="858"/>
      <c r="AD269" s="858"/>
      <c r="AE269" s="858"/>
      <c r="AF269" s="858"/>
      <c r="AG269" s="858"/>
      <c r="AH269" s="858"/>
      <c r="AI269" s="858"/>
      <c r="AJ269" s="858"/>
      <c r="AK269" s="858"/>
      <c r="AL269" s="858"/>
      <c r="AM269" s="858"/>
      <c r="AN269" s="858"/>
      <c r="AO269" s="858"/>
      <c r="AP269" s="858"/>
      <c r="AQ269" s="858"/>
      <c r="AR269" s="858"/>
      <c r="AS269" s="858"/>
      <c r="AT269" s="858"/>
      <c r="AU269" s="858"/>
      <c r="AV269" s="858"/>
      <c r="AW269" s="858"/>
      <c r="AX269" s="858"/>
      <c r="AY269" s="858"/>
      <c r="AZ269" s="858"/>
      <c r="BA269" s="858"/>
      <c r="BB269" s="858"/>
      <c r="BC269" s="858"/>
      <c r="BD269" s="858"/>
      <c r="BE269" s="858"/>
      <c r="BF269" s="858"/>
      <c r="BG269" s="858"/>
      <c r="BH269" s="858"/>
      <c r="BI269" s="858"/>
      <c r="BJ269" s="858"/>
      <c r="BK269" s="858"/>
      <c r="BL269" s="858"/>
      <c r="BM269" s="858"/>
      <c r="BN269" s="858"/>
      <c r="BO269" s="858"/>
      <c r="BP269" s="858"/>
      <c r="BQ269" s="858"/>
      <c r="BR269" s="858"/>
      <c r="BS269" s="858"/>
      <c r="BT269" s="858"/>
      <c r="BU269" s="858"/>
      <c r="BV269" s="858"/>
      <c r="BW269" s="858"/>
      <c r="BX269" s="858"/>
      <c r="BY269" s="858"/>
      <c r="BZ269" s="858"/>
      <c r="CA269" s="858"/>
      <c r="CB269" s="858"/>
      <c r="CC269" s="858"/>
      <c r="CD269" s="858"/>
      <c r="CE269" s="858"/>
      <c r="CF269" s="858"/>
      <c r="CG269" s="858"/>
      <c r="CH269" s="858"/>
      <c r="CI269" s="858"/>
      <c r="CJ269" s="858"/>
      <c r="CK269" s="858"/>
      <c r="CL269" s="858"/>
      <c r="CM269" s="858"/>
      <c r="CN269" s="858"/>
      <c r="CO269" s="858"/>
      <c r="CP269" s="858"/>
      <c r="CQ269" s="858"/>
      <c r="CR269" s="858"/>
      <c r="CS269" s="858"/>
      <c r="CT269" s="858"/>
      <c r="CU269" s="858"/>
      <c r="CV269" s="858"/>
      <c r="CW269" s="858"/>
      <c r="CX269" s="858"/>
      <c r="CY269" s="858"/>
      <c r="CZ269" s="858"/>
      <c r="DA269" s="858"/>
      <c r="DB269" s="858"/>
      <c r="DC269" s="858"/>
      <c r="DD269" s="858"/>
      <c r="DE269" s="858"/>
      <c r="DF269" s="858"/>
      <c r="DG269" s="858"/>
      <c r="DH269" s="858"/>
      <c r="DI269" s="858"/>
      <c r="DJ269" s="858"/>
      <c r="DK269" s="858"/>
      <c r="DL269" s="858"/>
      <c r="DM269" s="858"/>
      <c r="DN269" s="858"/>
      <c r="DO269" s="858"/>
      <c r="DP269" s="858"/>
      <c r="DQ269" s="858"/>
      <c r="DR269" s="858"/>
      <c r="DS269" s="858"/>
      <c r="DT269" s="858"/>
      <c r="DU269" s="858"/>
      <c r="DV269" s="858"/>
      <c r="DW269" s="858"/>
      <c r="DX269" s="858"/>
      <c r="DY269" s="858"/>
      <c r="DZ269" s="858"/>
      <c r="EA269" s="858"/>
      <c r="EB269" s="858"/>
      <c r="EC269" s="858"/>
      <c r="ED269" s="858"/>
      <c r="EE269" s="858"/>
      <c r="EF269" s="858"/>
      <c r="EG269" s="858"/>
      <c r="EH269" s="858"/>
      <c r="EI269" s="858"/>
      <c r="EJ269" s="858"/>
      <c r="EK269" s="858"/>
      <c r="EL269" s="858"/>
      <c r="EM269" s="858"/>
      <c r="EN269" s="858"/>
      <c r="EO269" s="858"/>
      <c r="EP269" s="858"/>
      <c r="EQ269" s="858"/>
      <c r="ER269" s="858"/>
      <c r="ES269" s="858"/>
      <c r="ET269" s="858"/>
      <c r="EU269" s="858"/>
      <c r="EV269" s="858"/>
      <c r="EW269" s="858"/>
      <c r="EX269" s="858"/>
      <c r="EY269" s="858"/>
      <c r="EZ269" s="858"/>
      <c r="FA269" s="858"/>
      <c r="FB269" s="858"/>
      <c r="FC269" s="858"/>
      <c r="FD269" s="858"/>
      <c r="FE269" s="858"/>
      <c r="FF269" s="858"/>
      <c r="FG269" s="858"/>
      <c r="FH269" s="858"/>
      <c r="FI269" s="858"/>
      <c r="FJ269" s="858"/>
      <c r="FK269" s="858"/>
      <c r="FL269" s="858"/>
      <c r="FM269" s="858"/>
      <c r="FN269" s="858"/>
      <c r="FO269" s="858"/>
      <c r="FP269" s="858"/>
      <c r="FQ269" s="858"/>
      <c r="FR269" s="858"/>
      <c r="FS269" s="858"/>
      <c r="FT269" s="858"/>
      <c r="FU269" s="858"/>
      <c r="FV269" s="858"/>
      <c r="FW269" s="858"/>
      <c r="FX269" s="858"/>
      <c r="FY269" s="858"/>
      <c r="FZ269" s="858"/>
      <c r="GA269" s="858"/>
      <c r="GB269" s="858"/>
      <c r="GC269" s="858"/>
      <c r="GD269" s="858"/>
      <c r="GE269" s="858"/>
      <c r="GF269" s="858"/>
      <c r="GG269" s="858"/>
      <c r="GH269" s="858"/>
      <c r="GI269" s="858"/>
      <c r="GJ269" s="858"/>
      <c r="GK269" s="858"/>
      <c r="GL269" s="858"/>
      <c r="GM269" s="858"/>
      <c r="GN269" s="858"/>
      <c r="GO269" s="858"/>
      <c r="GP269" s="858"/>
      <c r="GQ269" s="858"/>
      <c r="GR269" s="858"/>
      <c r="GS269" s="858"/>
      <c r="GT269" s="858"/>
      <c r="GU269" s="858"/>
      <c r="GV269" s="858"/>
      <c r="GW269" s="858"/>
      <c r="GX269" s="858"/>
      <c r="GY269" s="858"/>
      <c r="GZ269" s="858"/>
      <c r="HA269" s="858"/>
      <c r="HB269" s="858"/>
      <c r="HC269" s="858"/>
      <c r="HD269" s="858"/>
      <c r="HE269" s="858"/>
      <c r="HF269" s="858"/>
      <c r="HG269" s="858"/>
      <c r="HH269" s="858"/>
      <c r="HI269" s="858"/>
      <c r="HJ269" s="858"/>
      <c r="HK269" s="858"/>
      <c r="HL269" s="858"/>
      <c r="HM269" s="858"/>
      <c r="HN269" s="858"/>
      <c r="HO269" s="858"/>
      <c r="HP269" s="858"/>
      <c r="HQ269" s="858"/>
      <c r="HR269" s="858"/>
      <c r="HS269" s="858"/>
      <c r="HT269" s="858"/>
      <c r="HU269" s="858"/>
      <c r="HV269" s="858"/>
      <c r="HW269" s="858"/>
      <c r="HX269" s="858"/>
      <c r="HY269" s="858"/>
      <c r="HZ269" s="858"/>
      <c r="IA269" s="858"/>
      <c r="IB269" s="858"/>
      <c r="IC269" s="858"/>
      <c r="ID269" s="858"/>
      <c r="IE269" s="858"/>
      <c r="IF269" s="858"/>
      <c r="IG269" s="858"/>
      <c r="IH269" s="858"/>
      <c r="II269" s="858"/>
      <c r="IJ269" s="858"/>
      <c r="IK269" s="858"/>
      <c r="IL269" s="858"/>
      <c r="IM269" s="858"/>
      <c r="IN269" s="858"/>
    </row>
    <row r="270" spans="1:248">
      <c r="A270" s="568" t="s">
        <v>18</v>
      </c>
      <c r="B270" s="566">
        <v>3465.9</v>
      </c>
      <c r="C270" s="566">
        <v>37.957507392399521</v>
      </c>
      <c r="D270" s="569">
        <v>1723.7</v>
      </c>
      <c r="E270" s="859">
        <v>18.877450443543971</v>
      </c>
      <c r="F270" s="859">
        <v>1742.2</v>
      </c>
      <c r="G270" s="859">
        <v>19.080056948855546</v>
      </c>
      <c r="H270" s="377">
        <v>9131</v>
      </c>
      <c r="I270" s="858"/>
      <c r="J270" s="858"/>
      <c r="K270" s="858"/>
      <c r="L270" s="858"/>
      <c r="M270" s="858"/>
      <c r="N270" s="858"/>
      <c r="O270" s="858"/>
      <c r="P270" s="858"/>
      <c r="Q270" s="858"/>
      <c r="R270" s="858"/>
      <c r="S270" s="858"/>
      <c r="T270" s="858"/>
      <c r="U270" s="858"/>
      <c r="V270" s="858"/>
      <c r="W270" s="858"/>
      <c r="X270" s="858"/>
      <c r="Y270" s="858"/>
      <c r="Z270" s="858"/>
      <c r="AA270" s="858"/>
      <c r="AB270" s="858"/>
      <c r="AC270" s="858"/>
      <c r="AD270" s="858"/>
      <c r="AE270" s="858"/>
      <c r="AF270" s="858"/>
      <c r="AG270" s="858"/>
      <c r="AH270" s="858"/>
      <c r="AI270" s="858"/>
      <c r="AJ270" s="858"/>
      <c r="AK270" s="858"/>
      <c r="AL270" s="858"/>
      <c r="AM270" s="858"/>
      <c r="AN270" s="858"/>
      <c r="AO270" s="858"/>
      <c r="AP270" s="858"/>
      <c r="AQ270" s="858"/>
      <c r="AR270" s="858"/>
      <c r="AS270" s="858"/>
      <c r="AT270" s="858"/>
      <c r="AU270" s="858"/>
      <c r="AV270" s="858"/>
      <c r="AW270" s="858"/>
      <c r="AX270" s="858"/>
      <c r="AY270" s="858"/>
      <c r="AZ270" s="858"/>
      <c r="BA270" s="858"/>
      <c r="BB270" s="858"/>
      <c r="BC270" s="858"/>
      <c r="BD270" s="858"/>
      <c r="BE270" s="858"/>
      <c r="BF270" s="858"/>
      <c r="BG270" s="858"/>
      <c r="BH270" s="858"/>
      <c r="BI270" s="858"/>
      <c r="BJ270" s="858"/>
      <c r="BK270" s="858"/>
      <c r="BL270" s="858"/>
      <c r="BM270" s="858"/>
      <c r="BN270" s="858"/>
      <c r="BO270" s="858"/>
      <c r="BP270" s="858"/>
      <c r="BQ270" s="858"/>
      <c r="BR270" s="858"/>
      <c r="BS270" s="858"/>
      <c r="BT270" s="858"/>
      <c r="BU270" s="858"/>
      <c r="BV270" s="858"/>
      <c r="BW270" s="858"/>
      <c r="BX270" s="858"/>
      <c r="BY270" s="858"/>
      <c r="BZ270" s="858"/>
      <c r="CA270" s="858"/>
      <c r="CB270" s="858"/>
      <c r="CC270" s="858"/>
      <c r="CD270" s="858"/>
      <c r="CE270" s="858"/>
      <c r="CF270" s="858"/>
      <c r="CG270" s="858"/>
      <c r="CH270" s="858"/>
      <c r="CI270" s="858"/>
      <c r="CJ270" s="858"/>
      <c r="CK270" s="858"/>
      <c r="CL270" s="858"/>
      <c r="CM270" s="858"/>
      <c r="CN270" s="858"/>
      <c r="CO270" s="858"/>
      <c r="CP270" s="858"/>
      <c r="CQ270" s="858"/>
      <c r="CR270" s="858"/>
      <c r="CS270" s="858"/>
      <c r="CT270" s="858"/>
      <c r="CU270" s="858"/>
      <c r="CV270" s="858"/>
      <c r="CW270" s="858"/>
      <c r="CX270" s="858"/>
      <c r="CY270" s="858"/>
      <c r="CZ270" s="858"/>
      <c r="DA270" s="858"/>
      <c r="DB270" s="858"/>
      <c r="DC270" s="858"/>
      <c r="DD270" s="858"/>
      <c r="DE270" s="858"/>
      <c r="DF270" s="858"/>
      <c r="DG270" s="858"/>
      <c r="DH270" s="858"/>
      <c r="DI270" s="858"/>
      <c r="DJ270" s="858"/>
      <c r="DK270" s="858"/>
      <c r="DL270" s="858"/>
      <c r="DM270" s="858"/>
      <c r="DN270" s="858"/>
      <c r="DO270" s="858"/>
      <c r="DP270" s="858"/>
      <c r="DQ270" s="858"/>
      <c r="DR270" s="858"/>
      <c r="DS270" s="858"/>
      <c r="DT270" s="858"/>
      <c r="DU270" s="858"/>
      <c r="DV270" s="858"/>
      <c r="DW270" s="858"/>
      <c r="DX270" s="858"/>
      <c r="DY270" s="858"/>
      <c r="DZ270" s="858"/>
      <c r="EA270" s="858"/>
      <c r="EB270" s="858"/>
      <c r="EC270" s="858"/>
      <c r="ED270" s="858"/>
      <c r="EE270" s="858"/>
      <c r="EF270" s="858"/>
      <c r="EG270" s="858"/>
      <c r="EH270" s="858"/>
      <c r="EI270" s="858"/>
      <c r="EJ270" s="858"/>
      <c r="EK270" s="858"/>
      <c r="EL270" s="858"/>
      <c r="EM270" s="858"/>
      <c r="EN270" s="858"/>
      <c r="EO270" s="858"/>
      <c r="EP270" s="858"/>
      <c r="EQ270" s="858"/>
      <c r="ER270" s="858"/>
      <c r="ES270" s="858"/>
      <c r="ET270" s="858"/>
      <c r="EU270" s="858"/>
      <c r="EV270" s="858"/>
      <c r="EW270" s="858"/>
      <c r="EX270" s="858"/>
      <c r="EY270" s="858"/>
      <c r="EZ270" s="858"/>
      <c r="FA270" s="858"/>
      <c r="FB270" s="858"/>
      <c r="FC270" s="858"/>
      <c r="FD270" s="858"/>
      <c r="FE270" s="858"/>
      <c r="FF270" s="858"/>
      <c r="FG270" s="858"/>
      <c r="FH270" s="858"/>
      <c r="FI270" s="858"/>
      <c r="FJ270" s="858"/>
      <c r="FK270" s="858"/>
      <c r="FL270" s="858"/>
      <c r="FM270" s="858"/>
      <c r="FN270" s="858"/>
      <c r="FO270" s="858"/>
      <c r="FP270" s="858"/>
      <c r="FQ270" s="858"/>
      <c r="FR270" s="858"/>
      <c r="FS270" s="858"/>
      <c r="FT270" s="858"/>
      <c r="FU270" s="858"/>
      <c r="FV270" s="858"/>
      <c r="FW270" s="858"/>
      <c r="FX270" s="858"/>
      <c r="FY270" s="858"/>
      <c r="FZ270" s="858"/>
      <c r="GA270" s="858"/>
      <c r="GB270" s="858"/>
      <c r="GC270" s="858"/>
      <c r="GD270" s="858"/>
      <c r="GE270" s="858"/>
      <c r="GF270" s="858"/>
      <c r="GG270" s="858"/>
      <c r="GH270" s="858"/>
      <c r="GI270" s="858"/>
      <c r="GJ270" s="858"/>
      <c r="GK270" s="858"/>
      <c r="GL270" s="858"/>
      <c r="GM270" s="858"/>
      <c r="GN270" s="858"/>
      <c r="GO270" s="858"/>
      <c r="GP270" s="858"/>
      <c r="GQ270" s="858"/>
      <c r="GR270" s="858"/>
      <c r="GS270" s="858"/>
      <c r="GT270" s="858"/>
      <c r="GU270" s="858"/>
      <c r="GV270" s="858"/>
      <c r="GW270" s="858"/>
      <c r="GX270" s="858"/>
      <c r="GY270" s="858"/>
      <c r="GZ270" s="858"/>
      <c r="HA270" s="858"/>
      <c r="HB270" s="858"/>
      <c r="HC270" s="858"/>
      <c r="HD270" s="858"/>
      <c r="HE270" s="858"/>
      <c r="HF270" s="858"/>
      <c r="HG270" s="858"/>
      <c r="HH270" s="858"/>
      <c r="HI270" s="858"/>
      <c r="HJ270" s="858"/>
      <c r="HK270" s="858"/>
      <c r="HL270" s="858"/>
      <c r="HM270" s="858"/>
      <c r="HN270" s="858"/>
      <c r="HO270" s="858"/>
      <c r="HP270" s="858"/>
      <c r="HQ270" s="858"/>
      <c r="HR270" s="858"/>
      <c r="HS270" s="858"/>
      <c r="HT270" s="858"/>
      <c r="HU270" s="858"/>
      <c r="HV270" s="858"/>
      <c r="HW270" s="858"/>
      <c r="HX270" s="858"/>
      <c r="HY270" s="858"/>
      <c r="HZ270" s="858"/>
      <c r="IA270" s="858"/>
      <c r="IB270" s="858"/>
      <c r="IC270" s="858"/>
      <c r="ID270" s="858"/>
      <c r="IE270" s="858"/>
      <c r="IF270" s="858"/>
      <c r="IG270" s="858"/>
      <c r="IH270" s="858"/>
      <c r="II270" s="858"/>
      <c r="IJ270" s="858"/>
      <c r="IK270" s="858"/>
      <c r="IL270" s="858"/>
      <c r="IM270" s="858"/>
      <c r="IN270" s="858"/>
    </row>
    <row r="271" spans="1:248">
      <c r="A271" s="568" t="s">
        <v>19</v>
      </c>
      <c r="B271" s="566">
        <v>6555</v>
      </c>
      <c r="C271" s="566">
        <v>35.285758118954178</v>
      </c>
      <c r="D271" s="569">
        <v>5253</v>
      </c>
      <c r="E271" s="859">
        <v>28.27705376031523</v>
      </c>
      <c r="F271" s="859">
        <v>1302</v>
      </c>
      <c r="G271" s="859">
        <v>7.0087043586389548</v>
      </c>
      <c r="H271" s="377">
        <v>18576.900000000001</v>
      </c>
      <c r="I271" s="858"/>
      <c r="J271" s="858"/>
      <c r="K271" s="858"/>
      <c r="L271" s="858"/>
      <c r="M271" s="858"/>
      <c r="N271" s="858"/>
      <c r="O271" s="858"/>
      <c r="P271" s="858"/>
      <c r="Q271" s="858"/>
      <c r="R271" s="858"/>
      <c r="S271" s="858"/>
      <c r="T271" s="858"/>
      <c r="U271" s="858"/>
      <c r="V271" s="858"/>
      <c r="W271" s="858"/>
      <c r="X271" s="858"/>
      <c r="Y271" s="858"/>
      <c r="Z271" s="858"/>
      <c r="AA271" s="858"/>
      <c r="AB271" s="858"/>
      <c r="AC271" s="858"/>
      <c r="AD271" s="858"/>
      <c r="AE271" s="858"/>
      <c r="AF271" s="858"/>
      <c r="AG271" s="858"/>
      <c r="AH271" s="858"/>
      <c r="AI271" s="858"/>
      <c r="AJ271" s="858"/>
      <c r="AK271" s="858"/>
      <c r="AL271" s="858"/>
      <c r="AM271" s="858"/>
      <c r="AN271" s="858"/>
      <c r="AO271" s="858"/>
      <c r="AP271" s="858"/>
      <c r="AQ271" s="858"/>
      <c r="AR271" s="858"/>
      <c r="AS271" s="858"/>
      <c r="AT271" s="858"/>
      <c r="AU271" s="858"/>
      <c r="AV271" s="858"/>
      <c r="AW271" s="858"/>
      <c r="AX271" s="858"/>
      <c r="AY271" s="858"/>
      <c r="AZ271" s="858"/>
      <c r="BA271" s="858"/>
      <c r="BB271" s="858"/>
      <c r="BC271" s="858"/>
      <c r="BD271" s="858"/>
      <c r="BE271" s="858"/>
      <c r="BF271" s="858"/>
      <c r="BG271" s="858"/>
      <c r="BH271" s="858"/>
      <c r="BI271" s="858"/>
      <c r="BJ271" s="858"/>
      <c r="BK271" s="858"/>
      <c r="BL271" s="858"/>
      <c r="BM271" s="858"/>
      <c r="BN271" s="858"/>
      <c r="BO271" s="858"/>
      <c r="BP271" s="858"/>
      <c r="BQ271" s="858"/>
      <c r="BR271" s="858"/>
      <c r="BS271" s="858"/>
      <c r="BT271" s="858"/>
      <c r="BU271" s="858"/>
      <c r="BV271" s="858"/>
      <c r="BW271" s="858"/>
      <c r="BX271" s="858"/>
      <c r="BY271" s="858"/>
      <c r="BZ271" s="858"/>
      <c r="CA271" s="858"/>
      <c r="CB271" s="858"/>
      <c r="CC271" s="858"/>
      <c r="CD271" s="858"/>
      <c r="CE271" s="858"/>
      <c r="CF271" s="858"/>
      <c r="CG271" s="858"/>
      <c r="CH271" s="858"/>
      <c r="CI271" s="858"/>
      <c r="CJ271" s="858"/>
      <c r="CK271" s="858"/>
      <c r="CL271" s="858"/>
      <c r="CM271" s="858"/>
      <c r="CN271" s="858"/>
      <c r="CO271" s="858"/>
      <c r="CP271" s="858"/>
      <c r="CQ271" s="858"/>
      <c r="CR271" s="858"/>
      <c r="CS271" s="858"/>
      <c r="CT271" s="858"/>
      <c r="CU271" s="858"/>
      <c r="CV271" s="858"/>
      <c r="CW271" s="858"/>
      <c r="CX271" s="858"/>
      <c r="CY271" s="858"/>
      <c r="CZ271" s="858"/>
      <c r="DA271" s="858"/>
      <c r="DB271" s="858"/>
      <c r="DC271" s="858"/>
      <c r="DD271" s="858"/>
      <c r="DE271" s="858"/>
      <c r="DF271" s="858"/>
      <c r="DG271" s="858"/>
      <c r="DH271" s="858"/>
      <c r="DI271" s="858"/>
      <c r="DJ271" s="858"/>
      <c r="DK271" s="858"/>
      <c r="DL271" s="858"/>
      <c r="DM271" s="858"/>
      <c r="DN271" s="858"/>
      <c r="DO271" s="858"/>
      <c r="DP271" s="858"/>
      <c r="DQ271" s="858"/>
      <c r="DR271" s="858"/>
      <c r="DS271" s="858"/>
      <c r="DT271" s="858"/>
      <c r="DU271" s="858"/>
      <c r="DV271" s="858"/>
      <c r="DW271" s="858"/>
      <c r="DX271" s="858"/>
      <c r="DY271" s="858"/>
      <c r="DZ271" s="858"/>
      <c r="EA271" s="858"/>
      <c r="EB271" s="858"/>
      <c r="EC271" s="858"/>
      <c r="ED271" s="858"/>
      <c r="EE271" s="858"/>
      <c r="EF271" s="858"/>
      <c r="EG271" s="858"/>
      <c r="EH271" s="858"/>
      <c r="EI271" s="858"/>
      <c r="EJ271" s="858"/>
      <c r="EK271" s="858"/>
      <c r="EL271" s="858"/>
      <c r="EM271" s="858"/>
      <c r="EN271" s="858"/>
      <c r="EO271" s="858"/>
      <c r="EP271" s="858"/>
      <c r="EQ271" s="858"/>
      <c r="ER271" s="858"/>
      <c r="ES271" s="858"/>
      <c r="ET271" s="858"/>
      <c r="EU271" s="858"/>
      <c r="EV271" s="858"/>
      <c r="EW271" s="858"/>
      <c r="EX271" s="858"/>
      <c r="EY271" s="858"/>
      <c r="EZ271" s="858"/>
      <c r="FA271" s="858"/>
      <c r="FB271" s="858"/>
      <c r="FC271" s="858"/>
      <c r="FD271" s="858"/>
      <c r="FE271" s="858"/>
      <c r="FF271" s="858"/>
      <c r="FG271" s="858"/>
      <c r="FH271" s="858"/>
      <c r="FI271" s="858"/>
      <c r="FJ271" s="858"/>
      <c r="FK271" s="858"/>
      <c r="FL271" s="858"/>
      <c r="FM271" s="858"/>
      <c r="FN271" s="858"/>
      <c r="FO271" s="858"/>
      <c r="FP271" s="858"/>
      <c r="FQ271" s="858"/>
      <c r="FR271" s="858"/>
      <c r="FS271" s="858"/>
      <c r="FT271" s="858"/>
      <c r="FU271" s="858"/>
      <c r="FV271" s="858"/>
      <c r="FW271" s="858"/>
      <c r="FX271" s="858"/>
      <c r="FY271" s="858"/>
      <c r="FZ271" s="858"/>
      <c r="GA271" s="858"/>
      <c r="GB271" s="858"/>
      <c r="GC271" s="858"/>
      <c r="GD271" s="858"/>
      <c r="GE271" s="858"/>
      <c r="GF271" s="858"/>
      <c r="GG271" s="858"/>
      <c r="GH271" s="858"/>
      <c r="GI271" s="858"/>
      <c r="GJ271" s="858"/>
      <c r="GK271" s="858"/>
      <c r="GL271" s="858"/>
      <c r="GM271" s="858"/>
      <c r="GN271" s="858"/>
      <c r="GO271" s="858"/>
      <c r="GP271" s="858"/>
      <c r="GQ271" s="858"/>
      <c r="GR271" s="858"/>
      <c r="GS271" s="858"/>
      <c r="GT271" s="858"/>
      <c r="GU271" s="858"/>
      <c r="GV271" s="858"/>
      <c r="GW271" s="858"/>
      <c r="GX271" s="858"/>
      <c r="GY271" s="858"/>
      <c r="GZ271" s="858"/>
      <c r="HA271" s="858"/>
      <c r="HB271" s="858"/>
      <c r="HC271" s="858"/>
      <c r="HD271" s="858"/>
      <c r="HE271" s="858"/>
      <c r="HF271" s="858"/>
      <c r="HG271" s="858"/>
      <c r="HH271" s="858"/>
      <c r="HI271" s="858"/>
      <c r="HJ271" s="858"/>
      <c r="HK271" s="858"/>
      <c r="HL271" s="858"/>
      <c r="HM271" s="858"/>
      <c r="HN271" s="858"/>
      <c r="HO271" s="858"/>
      <c r="HP271" s="858"/>
      <c r="HQ271" s="858"/>
      <c r="HR271" s="858"/>
      <c r="HS271" s="858"/>
      <c r="HT271" s="858"/>
      <c r="HU271" s="858"/>
      <c r="HV271" s="858"/>
      <c r="HW271" s="858"/>
      <c r="HX271" s="858"/>
      <c r="HY271" s="858"/>
      <c r="HZ271" s="858"/>
      <c r="IA271" s="858"/>
      <c r="IB271" s="858"/>
      <c r="IC271" s="858"/>
      <c r="ID271" s="858"/>
      <c r="IE271" s="858"/>
      <c r="IF271" s="858"/>
      <c r="IG271" s="858"/>
      <c r="IH271" s="858"/>
      <c r="II271" s="858"/>
      <c r="IJ271" s="858"/>
      <c r="IK271" s="858"/>
      <c r="IL271" s="858"/>
      <c r="IM271" s="858"/>
      <c r="IN271" s="858"/>
    </row>
    <row r="272" spans="1:248">
      <c r="A272" s="568" t="s">
        <v>20</v>
      </c>
      <c r="B272" s="566">
        <v>9234.2999999999993</v>
      </c>
      <c r="C272" s="566">
        <v>31.736479612878387</v>
      </c>
      <c r="D272" s="569">
        <v>8412.6</v>
      </c>
      <c r="E272" s="859">
        <v>28.912457727310219</v>
      </c>
      <c r="F272" s="859">
        <v>821.69999999999891</v>
      </c>
      <c r="G272" s="859">
        <v>2.8240218855681687</v>
      </c>
      <c r="H272" s="377">
        <v>29096.799999999999</v>
      </c>
      <c r="I272" s="858"/>
      <c r="J272" s="858"/>
      <c r="K272" s="858"/>
      <c r="L272" s="858"/>
      <c r="M272" s="858"/>
      <c r="N272" s="858"/>
      <c r="O272" s="858"/>
      <c r="P272" s="858"/>
      <c r="Q272" s="858"/>
      <c r="R272" s="858"/>
      <c r="S272" s="858"/>
      <c r="T272" s="858"/>
      <c r="U272" s="858"/>
      <c r="V272" s="858"/>
      <c r="W272" s="858"/>
      <c r="X272" s="858"/>
      <c r="Y272" s="858"/>
      <c r="Z272" s="858"/>
      <c r="AA272" s="858"/>
      <c r="AB272" s="858"/>
      <c r="AC272" s="858"/>
      <c r="AD272" s="858"/>
      <c r="AE272" s="858"/>
      <c r="AF272" s="858"/>
      <c r="AG272" s="858"/>
      <c r="AH272" s="858"/>
      <c r="AI272" s="858"/>
      <c r="AJ272" s="858"/>
      <c r="AK272" s="858"/>
      <c r="AL272" s="858"/>
      <c r="AM272" s="858"/>
      <c r="AN272" s="858"/>
      <c r="AO272" s="858"/>
      <c r="AP272" s="858"/>
      <c r="AQ272" s="858"/>
      <c r="AR272" s="858"/>
      <c r="AS272" s="858"/>
      <c r="AT272" s="858"/>
      <c r="AU272" s="858"/>
      <c r="AV272" s="858"/>
      <c r="AW272" s="858"/>
      <c r="AX272" s="858"/>
      <c r="AY272" s="858"/>
      <c r="AZ272" s="858"/>
      <c r="BA272" s="858"/>
      <c r="BB272" s="858"/>
      <c r="BC272" s="858"/>
      <c r="BD272" s="858"/>
      <c r="BE272" s="858"/>
      <c r="BF272" s="858"/>
      <c r="BG272" s="858"/>
      <c r="BH272" s="858"/>
      <c r="BI272" s="858"/>
      <c r="BJ272" s="858"/>
      <c r="BK272" s="858"/>
      <c r="BL272" s="858"/>
      <c r="BM272" s="858"/>
      <c r="BN272" s="858"/>
      <c r="BO272" s="858"/>
      <c r="BP272" s="858"/>
      <c r="BQ272" s="858"/>
      <c r="BR272" s="858"/>
      <c r="BS272" s="858"/>
      <c r="BT272" s="858"/>
      <c r="BU272" s="858"/>
      <c r="BV272" s="858"/>
      <c r="BW272" s="858"/>
      <c r="BX272" s="858"/>
      <c r="BY272" s="858"/>
      <c r="BZ272" s="858"/>
      <c r="CA272" s="858"/>
      <c r="CB272" s="858"/>
      <c r="CC272" s="858"/>
      <c r="CD272" s="858"/>
      <c r="CE272" s="858"/>
      <c r="CF272" s="858"/>
      <c r="CG272" s="858"/>
      <c r="CH272" s="858"/>
      <c r="CI272" s="858"/>
      <c r="CJ272" s="858"/>
      <c r="CK272" s="858"/>
      <c r="CL272" s="858"/>
      <c r="CM272" s="858"/>
      <c r="CN272" s="858"/>
      <c r="CO272" s="858"/>
      <c r="CP272" s="858"/>
      <c r="CQ272" s="858"/>
      <c r="CR272" s="858"/>
      <c r="CS272" s="858"/>
      <c r="CT272" s="858"/>
      <c r="CU272" s="858"/>
      <c r="CV272" s="858"/>
      <c r="CW272" s="858"/>
      <c r="CX272" s="858"/>
      <c r="CY272" s="858"/>
      <c r="CZ272" s="858"/>
      <c r="DA272" s="858"/>
      <c r="DB272" s="858"/>
      <c r="DC272" s="858"/>
      <c r="DD272" s="858"/>
      <c r="DE272" s="858"/>
      <c r="DF272" s="858"/>
      <c r="DG272" s="858"/>
      <c r="DH272" s="858"/>
      <c r="DI272" s="858"/>
      <c r="DJ272" s="858"/>
      <c r="DK272" s="858"/>
      <c r="DL272" s="858"/>
      <c r="DM272" s="858"/>
      <c r="DN272" s="858"/>
      <c r="DO272" s="858"/>
      <c r="DP272" s="858"/>
      <c r="DQ272" s="858"/>
      <c r="DR272" s="858"/>
      <c r="DS272" s="858"/>
      <c r="DT272" s="858"/>
      <c r="DU272" s="858"/>
      <c r="DV272" s="858"/>
      <c r="DW272" s="858"/>
      <c r="DX272" s="858"/>
      <c r="DY272" s="858"/>
      <c r="DZ272" s="858"/>
      <c r="EA272" s="858"/>
      <c r="EB272" s="858"/>
      <c r="EC272" s="858"/>
      <c r="ED272" s="858"/>
      <c r="EE272" s="858"/>
      <c r="EF272" s="858"/>
      <c r="EG272" s="858"/>
      <c r="EH272" s="858"/>
      <c r="EI272" s="858"/>
      <c r="EJ272" s="858"/>
      <c r="EK272" s="858"/>
      <c r="EL272" s="858"/>
      <c r="EM272" s="858"/>
      <c r="EN272" s="858"/>
      <c r="EO272" s="858"/>
      <c r="EP272" s="858"/>
      <c r="EQ272" s="858"/>
      <c r="ER272" s="858"/>
      <c r="ES272" s="858"/>
      <c r="ET272" s="858"/>
      <c r="EU272" s="858"/>
      <c r="EV272" s="858"/>
      <c r="EW272" s="858"/>
      <c r="EX272" s="858"/>
      <c r="EY272" s="858"/>
      <c r="EZ272" s="858"/>
      <c r="FA272" s="858"/>
      <c r="FB272" s="858"/>
      <c r="FC272" s="858"/>
      <c r="FD272" s="858"/>
      <c r="FE272" s="858"/>
      <c r="FF272" s="858"/>
      <c r="FG272" s="858"/>
      <c r="FH272" s="858"/>
      <c r="FI272" s="858"/>
      <c r="FJ272" s="858"/>
      <c r="FK272" s="858"/>
      <c r="FL272" s="858"/>
      <c r="FM272" s="858"/>
      <c r="FN272" s="858"/>
      <c r="FO272" s="858"/>
      <c r="FP272" s="858"/>
      <c r="FQ272" s="858"/>
      <c r="FR272" s="858"/>
      <c r="FS272" s="858"/>
      <c r="FT272" s="858"/>
      <c r="FU272" s="858"/>
      <c r="FV272" s="858"/>
      <c r="FW272" s="858"/>
      <c r="FX272" s="858"/>
      <c r="FY272" s="858"/>
      <c r="FZ272" s="858"/>
      <c r="GA272" s="858"/>
      <c r="GB272" s="858"/>
      <c r="GC272" s="858"/>
      <c r="GD272" s="858"/>
      <c r="GE272" s="858"/>
      <c r="GF272" s="858"/>
      <c r="GG272" s="858"/>
      <c r="GH272" s="858"/>
      <c r="GI272" s="858"/>
      <c r="GJ272" s="858"/>
      <c r="GK272" s="858"/>
      <c r="GL272" s="858"/>
      <c r="GM272" s="858"/>
      <c r="GN272" s="858"/>
      <c r="GO272" s="858"/>
      <c r="GP272" s="858"/>
      <c r="GQ272" s="858"/>
      <c r="GR272" s="858"/>
      <c r="GS272" s="858"/>
      <c r="GT272" s="858"/>
      <c r="GU272" s="858"/>
      <c r="GV272" s="858"/>
      <c r="GW272" s="858"/>
      <c r="GX272" s="858"/>
      <c r="GY272" s="858"/>
      <c r="GZ272" s="858"/>
      <c r="HA272" s="858"/>
      <c r="HB272" s="858"/>
      <c r="HC272" s="858"/>
      <c r="HD272" s="858"/>
      <c r="HE272" s="858"/>
      <c r="HF272" s="858"/>
      <c r="HG272" s="858"/>
      <c r="HH272" s="858"/>
      <c r="HI272" s="858"/>
      <c r="HJ272" s="858"/>
      <c r="HK272" s="858"/>
      <c r="HL272" s="858"/>
      <c r="HM272" s="858"/>
      <c r="HN272" s="858"/>
      <c r="HO272" s="858"/>
      <c r="HP272" s="858"/>
      <c r="HQ272" s="858"/>
      <c r="HR272" s="858"/>
      <c r="HS272" s="858"/>
      <c r="HT272" s="858"/>
      <c r="HU272" s="858"/>
      <c r="HV272" s="858"/>
      <c r="HW272" s="858"/>
      <c r="HX272" s="858"/>
      <c r="HY272" s="858"/>
      <c r="HZ272" s="858"/>
      <c r="IA272" s="858"/>
      <c r="IB272" s="858"/>
      <c r="IC272" s="858"/>
      <c r="ID272" s="858"/>
      <c r="IE272" s="858"/>
      <c r="IF272" s="858"/>
      <c r="IG272" s="858"/>
      <c r="IH272" s="858"/>
      <c r="II272" s="858"/>
      <c r="IJ272" s="858"/>
      <c r="IK272" s="858"/>
      <c r="IL272" s="858"/>
      <c r="IM272" s="858"/>
      <c r="IN272" s="858"/>
    </row>
    <row r="273" spans="1:248">
      <c r="A273" s="568" t="s">
        <v>21</v>
      </c>
      <c r="B273" s="566">
        <v>13259.4</v>
      </c>
      <c r="C273" s="566">
        <v>34.726925585159456</v>
      </c>
      <c r="D273" s="569">
        <v>10749.5</v>
      </c>
      <c r="E273" s="859">
        <v>28.153392052255128</v>
      </c>
      <c r="F273" s="859">
        <v>2509.8999999999996</v>
      </c>
      <c r="G273" s="859">
        <v>6.5735335329043325</v>
      </c>
      <c r="H273" s="377">
        <v>38181.9</v>
      </c>
      <c r="I273" s="858"/>
      <c r="J273" s="858"/>
      <c r="K273" s="858"/>
      <c r="L273" s="858"/>
      <c r="M273" s="858"/>
      <c r="N273" s="858"/>
      <c r="O273" s="858"/>
      <c r="P273" s="858"/>
      <c r="Q273" s="858"/>
      <c r="R273" s="858"/>
      <c r="S273" s="858"/>
      <c r="T273" s="858"/>
      <c r="U273" s="858"/>
      <c r="V273" s="858"/>
      <c r="W273" s="858"/>
      <c r="X273" s="858"/>
      <c r="Y273" s="858"/>
      <c r="Z273" s="858"/>
      <c r="AA273" s="858"/>
      <c r="AB273" s="858"/>
      <c r="AC273" s="858"/>
      <c r="AD273" s="858"/>
      <c r="AE273" s="858"/>
      <c r="AF273" s="858"/>
      <c r="AG273" s="858"/>
      <c r="AH273" s="858"/>
      <c r="AI273" s="858"/>
      <c r="AJ273" s="858"/>
      <c r="AK273" s="858"/>
      <c r="AL273" s="858"/>
      <c r="AM273" s="858"/>
      <c r="AN273" s="858"/>
      <c r="AO273" s="858"/>
      <c r="AP273" s="858"/>
      <c r="AQ273" s="858"/>
      <c r="AR273" s="858"/>
      <c r="AS273" s="858"/>
      <c r="AT273" s="858"/>
      <c r="AU273" s="858"/>
      <c r="AV273" s="858"/>
      <c r="AW273" s="858"/>
      <c r="AX273" s="858"/>
      <c r="AY273" s="858"/>
      <c r="AZ273" s="858"/>
      <c r="BA273" s="858"/>
      <c r="BB273" s="858"/>
      <c r="BC273" s="858"/>
      <c r="BD273" s="858"/>
      <c r="BE273" s="858"/>
      <c r="BF273" s="858"/>
      <c r="BG273" s="858"/>
      <c r="BH273" s="858"/>
      <c r="BI273" s="858"/>
      <c r="BJ273" s="858"/>
      <c r="BK273" s="858"/>
      <c r="BL273" s="858"/>
      <c r="BM273" s="858"/>
      <c r="BN273" s="858"/>
      <c r="BO273" s="858"/>
      <c r="BP273" s="858"/>
      <c r="BQ273" s="858"/>
      <c r="BR273" s="858"/>
      <c r="BS273" s="858"/>
      <c r="BT273" s="858"/>
      <c r="BU273" s="858"/>
      <c r="BV273" s="858"/>
      <c r="BW273" s="858"/>
      <c r="BX273" s="858"/>
      <c r="BY273" s="858"/>
      <c r="BZ273" s="858"/>
      <c r="CA273" s="858"/>
      <c r="CB273" s="858"/>
      <c r="CC273" s="858"/>
      <c r="CD273" s="858"/>
      <c r="CE273" s="858"/>
      <c r="CF273" s="858"/>
      <c r="CG273" s="858"/>
      <c r="CH273" s="858"/>
      <c r="CI273" s="858"/>
      <c r="CJ273" s="858"/>
      <c r="CK273" s="858"/>
      <c r="CL273" s="858"/>
      <c r="CM273" s="858"/>
      <c r="CN273" s="858"/>
      <c r="CO273" s="858"/>
      <c r="CP273" s="858"/>
      <c r="CQ273" s="858"/>
      <c r="CR273" s="858"/>
      <c r="CS273" s="858"/>
      <c r="CT273" s="858"/>
      <c r="CU273" s="858"/>
      <c r="CV273" s="858"/>
      <c r="CW273" s="858"/>
      <c r="CX273" s="858"/>
      <c r="CY273" s="858"/>
      <c r="CZ273" s="858"/>
      <c r="DA273" s="858"/>
      <c r="DB273" s="858"/>
      <c r="DC273" s="858"/>
      <c r="DD273" s="858"/>
      <c r="DE273" s="858"/>
      <c r="DF273" s="858"/>
      <c r="DG273" s="858"/>
      <c r="DH273" s="858"/>
      <c r="DI273" s="858"/>
      <c r="DJ273" s="858"/>
      <c r="DK273" s="858"/>
      <c r="DL273" s="858"/>
      <c r="DM273" s="858"/>
      <c r="DN273" s="858"/>
      <c r="DO273" s="858"/>
      <c r="DP273" s="858"/>
      <c r="DQ273" s="858"/>
      <c r="DR273" s="858"/>
      <c r="DS273" s="858"/>
      <c r="DT273" s="858"/>
      <c r="DU273" s="858"/>
      <c r="DV273" s="858"/>
      <c r="DW273" s="858"/>
      <c r="DX273" s="858"/>
      <c r="DY273" s="858"/>
      <c r="DZ273" s="858"/>
      <c r="EA273" s="858"/>
      <c r="EB273" s="858"/>
      <c r="EC273" s="858"/>
      <c r="ED273" s="858"/>
      <c r="EE273" s="858"/>
      <c r="EF273" s="858"/>
      <c r="EG273" s="858"/>
      <c r="EH273" s="858"/>
      <c r="EI273" s="858"/>
      <c r="EJ273" s="858"/>
      <c r="EK273" s="858"/>
      <c r="EL273" s="858"/>
      <c r="EM273" s="858"/>
      <c r="EN273" s="858"/>
      <c r="EO273" s="858"/>
      <c r="EP273" s="858"/>
      <c r="EQ273" s="858"/>
      <c r="ER273" s="858"/>
      <c r="ES273" s="858"/>
      <c r="ET273" s="858"/>
      <c r="EU273" s="858"/>
      <c r="EV273" s="858"/>
      <c r="EW273" s="858"/>
      <c r="EX273" s="858"/>
      <c r="EY273" s="858"/>
      <c r="EZ273" s="858"/>
      <c r="FA273" s="858"/>
      <c r="FB273" s="858"/>
      <c r="FC273" s="858"/>
      <c r="FD273" s="858"/>
      <c r="FE273" s="858"/>
      <c r="FF273" s="858"/>
      <c r="FG273" s="858"/>
      <c r="FH273" s="858"/>
      <c r="FI273" s="858"/>
      <c r="FJ273" s="858"/>
      <c r="FK273" s="858"/>
      <c r="FL273" s="858"/>
      <c r="FM273" s="858"/>
      <c r="FN273" s="858"/>
      <c r="FO273" s="858"/>
      <c r="FP273" s="858"/>
      <c r="FQ273" s="858"/>
      <c r="FR273" s="858"/>
      <c r="FS273" s="858"/>
      <c r="FT273" s="858"/>
      <c r="FU273" s="858"/>
      <c r="FV273" s="858"/>
      <c r="FW273" s="858"/>
      <c r="FX273" s="858"/>
      <c r="FY273" s="858"/>
      <c r="FZ273" s="858"/>
      <c r="GA273" s="858"/>
      <c r="GB273" s="858"/>
      <c r="GC273" s="858"/>
      <c r="GD273" s="858"/>
      <c r="GE273" s="858"/>
      <c r="GF273" s="858"/>
      <c r="GG273" s="858"/>
      <c r="GH273" s="858"/>
      <c r="GI273" s="858"/>
      <c r="GJ273" s="858"/>
      <c r="GK273" s="858"/>
      <c r="GL273" s="858"/>
      <c r="GM273" s="858"/>
      <c r="GN273" s="858"/>
      <c r="GO273" s="858"/>
      <c r="GP273" s="858"/>
      <c r="GQ273" s="858"/>
      <c r="GR273" s="858"/>
      <c r="GS273" s="858"/>
      <c r="GT273" s="858"/>
      <c r="GU273" s="858"/>
      <c r="GV273" s="858"/>
      <c r="GW273" s="858"/>
      <c r="GX273" s="858"/>
      <c r="GY273" s="858"/>
      <c r="GZ273" s="858"/>
      <c r="HA273" s="858"/>
      <c r="HB273" s="858"/>
      <c r="HC273" s="858"/>
      <c r="HD273" s="858"/>
      <c r="HE273" s="858"/>
      <c r="HF273" s="858"/>
      <c r="HG273" s="858"/>
      <c r="HH273" s="858"/>
      <c r="HI273" s="858"/>
      <c r="HJ273" s="858"/>
      <c r="HK273" s="858"/>
      <c r="HL273" s="858"/>
      <c r="HM273" s="858"/>
      <c r="HN273" s="858"/>
      <c r="HO273" s="858"/>
      <c r="HP273" s="858"/>
      <c r="HQ273" s="858"/>
      <c r="HR273" s="858"/>
      <c r="HS273" s="858"/>
      <c r="HT273" s="858"/>
      <c r="HU273" s="858"/>
      <c r="HV273" s="858"/>
      <c r="HW273" s="858"/>
      <c r="HX273" s="858"/>
      <c r="HY273" s="858"/>
      <c r="HZ273" s="858"/>
      <c r="IA273" s="858"/>
      <c r="IB273" s="858"/>
      <c r="IC273" s="858"/>
      <c r="ID273" s="858"/>
      <c r="IE273" s="858"/>
      <c r="IF273" s="858"/>
      <c r="IG273" s="858"/>
      <c r="IH273" s="858"/>
      <c r="II273" s="858"/>
      <c r="IJ273" s="858"/>
      <c r="IK273" s="858"/>
      <c r="IL273" s="858"/>
      <c r="IM273" s="858"/>
      <c r="IN273" s="858"/>
    </row>
    <row r="274" spans="1:248">
      <c r="A274" s="568" t="s">
        <v>22</v>
      </c>
      <c r="B274" s="566">
        <v>16005.9</v>
      </c>
      <c r="C274" s="566">
        <v>33.327572564860702</v>
      </c>
      <c r="D274" s="569">
        <v>13472.9</v>
      </c>
      <c r="E274" s="859">
        <v>28.053346104193562</v>
      </c>
      <c r="F274" s="859">
        <v>2533</v>
      </c>
      <c r="G274" s="859">
        <v>5.2742264606671387</v>
      </c>
      <c r="H274" s="377">
        <v>48026</v>
      </c>
      <c r="I274" s="858"/>
      <c r="J274" s="858"/>
      <c r="K274" s="858"/>
      <c r="L274" s="858"/>
      <c r="M274" s="858"/>
      <c r="N274" s="858"/>
      <c r="O274" s="858"/>
      <c r="P274" s="858"/>
      <c r="Q274" s="858"/>
      <c r="R274" s="858"/>
      <c r="S274" s="858"/>
      <c r="T274" s="858"/>
      <c r="U274" s="858"/>
      <c r="V274" s="858"/>
      <c r="W274" s="858"/>
      <c r="X274" s="858"/>
      <c r="Y274" s="858"/>
      <c r="Z274" s="858"/>
      <c r="AA274" s="858"/>
      <c r="AB274" s="858"/>
      <c r="AC274" s="858"/>
      <c r="AD274" s="858"/>
      <c r="AE274" s="858"/>
      <c r="AF274" s="858"/>
      <c r="AG274" s="858"/>
      <c r="AH274" s="858"/>
      <c r="AI274" s="858"/>
      <c r="AJ274" s="858"/>
      <c r="AK274" s="858"/>
      <c r="AL274" s="858"/>
      <c r="AM274" s="858"/>
      <c r="AN274" s="858"/>
      <c r="AO274" s="858"/>
      <c r="AP274" s="858"/>
      <c r="AQ274" s="858"/>
      <c r="AR274" s="858"/>
      <c r="AS274" s="858"/>
      <c r="AT274" s="858"/>
      <c r="AU274" s="858"/>
      <c r="AV274" s="858"/>
      <c r="AW274" s="858"/>
      <c r="AX274" s="858"/>
      <c r="AY274" s="858"/>
      <c r="AZ274" s="858"/>
      <c r="BA274" s="858"/>
      <c r="BB274" s="858"/>
      <c r="BC274" s="858"/>
      <c r="BD274" s="858"/>
      <c r="BE274" s="858"/>
      <c r="BF274" s="858"/>
      <c r="BG274" s="858"/>
      <c r="BH274" s="858"/>
      <c r="BI274" s="858"/>
      <c r="BJ274" s="858"/>
      <c r="BK274" s="858"/>
      <c r="BL274" s="858"/>
      <c r="BM274" s="858"/>
      <c r="BN274" s="858"/>
      <c r="BO274" s="858"/>
      <c r="BP274" s="858"/>
      <c r="BQ274" s="858"/>
      <c r="BR274" s="858"/>
      <c r="BS274" s="858"/>
      <c r="BT274" s="858"/>
      <c r="BU274" s="858"/>
      <c r="BV274" s="858"/>
      <c r="BW274" s="858"/>
      <c r="BX274" s="858"/>
      <c r="BY274" s="858"/>
      <c r="BZ274" s="858"/>
      <c r="CA274" s="858"/>
      <c r="CB274" s="858"/>
      <c r="CC274" s="858"/>
      <c r="CD274" s="858"/>
      <c r="CE274" s="858"/>
      <c r="CF274" s="858"/>
      <c r="CG274" s="858"/>
      <c r="CH274" s="858"/>
      <c r="CI274" s="858"/>
      <c r="CJ274" s="858"/>
      <c r="CK274" s="858"/>
      <c r="CL274" s="858"/>
      <c r="CM274" s="858"/>
      <c r="CN274" s="858"/>
      <c r="CO274" s="858"/>
      <c r="CP274" s="858"/>
      <c r="CQ274" s="858"/>
      <c r="CR274" s="858"/>
      <c r="CS274" s="858"/>
      <c r="CT274" s="858"/>
      <c r="CU274" s="858"/>
      <c r="CV274" s="858"/>
      <c r="CW274" s="858"/>
      <c r="CX274" s="858"/>
      <c r="CY274" s="858"/>
      <c r="CZ274" s="858"/>
      <c r="DA274" s="858"/>
      <c r="DB274" s="858"/>
      <c r="DC274" s="858"/>
      <c r="DD274" s="858"/>
      <c r="DE274" s="858"/>
      <c r="DF274" s="858"/>
      <c r="DG274" s="858"/>
      <c r="DH274" s="858"/>
      <c r="DI274" s="858"/>
      <c r="DJ274" s="858"/>
      <c r="DK274" s="858"/>
      <c r="DL274" s="858"/>
      <c r="DM274" s="858"/>
      <c r="DN274" s="858"/>
      <c r="DO274" s="858"/>
      <c r="DP274" s="858"/>
      <c r="DQ274" s="858"/>
      <c r="DR274" s="858"/>
      <c r="DS274" s="858"/>
      <c r="DT274" s="858"/>
      <c r="DU274" s="858"/>
      <c r="DV274" s="858"/>
      <c r="DW274" s="858"/>
      <c r="DX274" s="858"/>
      <c r="DY274" s="858"/>
      <c r="DZ274" s="858"/>
      <c r="EA274" s="858"/>
      <c r="EB274" s="858"/>
      <c r="EC274" s="858"/>
      <c r="ED274" s="858"/>
      <c r="EE274" s="858"/>
      <c r="EF274" s="858"/>
      <c r="EG274" s="858"/>
      <c r="EH274" s="858"/>
      <c r="EI274" s="858"/>
      <c r="EJ274" s="858"/>
      <c r="EK274" s="858"/>
      <c r="EL274" s="858"/>
      <c r="EM274" s="858"/>
      <c r="EN274" s="858"/>
      <c r="EO274" s="858"/>
      <c r="EP274" s="858"/>
      <c r="EQ274" s="858"/>
      <c r="ER274" s="858"/>
      <c r="ES274" s="858"/>
      <c r="ET274" s="858"/>
      <c r="EU274" s="858"/>
      <c r="EV274" s="858"/>
      <c r="EW274" s="858"/>
      <c r="EX274" s="858"/>
      <c r="EY274" s="858"/>
      <c r="EZ274" s="858"/>
      <c r="FA274" s="858"/>
      <c r="FB274" s="858"/>
      <c r="FC274" s="858"/>
      <c r="FD274" s="858"/>
      <c r="FE274" s="858"/>
      <c r="FF274" s="858"/>
      <c r="FG274" s="858"/>
      <c r="FH274" s="858"/>
      <c r="FI274" s="858"/>
      <c r="FJ274" s="858"/>
      <c r="FK274" s="858"/>
      <c r="FL274" s="858"/>
      <c r="FM274" s="858"/>
      <c r="FN274" s="858"/>
      <c r="FO274" s="858"/>
      <c r="FP274" s="858"/>
      <c r="FQ274" s="858"/>
      <c r="FR274" s="858"/>
      <c r="FS274" s="858"/>
      <c r="FT274" s="858"/>
      <c r="FU274" s="858"/>
      <c r="FV274" s="858"/>
      <c r="FW274" s="858"/>
      <c r="FX274" s="858"/>
      <c r="FY274" s="858"/>
      <c r="FZ274" s="858"/>
      <c r="GA274" s="858"/>
      <c r="GB274" s="858"/>
      <c r="GC274" s="858"/>
      <c r="GD274" s="858"/>
      <c r="GE274" s="858"/>
      <c r="GF274" s="858"/>
      <c r="GG274" s="858"/>
      <c r="GH274" s="858"/>
      <c r="GI274" s="858"/>
      <c r="GJ274" s="858"/>
      <c r="GK274" s="858"/>
      <c r="GL274" s="858"/>
      <c r="GM274" s="858"/>
      <c r="GN274" s="858"/>
      <c r="GO274" s="858"/>
      <c r="GP274" s="858"/>
      <c r="GQ274" s="858"/>
      <c r="GR274" s="858"/>
      <c r="GS274" s="858"/>
      <c r="GT274" s="858"/>
      <c r="GU274" s="858"/>
      <c r="GV274" s="858"/>
      <c r="GW274" s="858"/>
      <c r="GX274" s="858"/>
      <c r="GY274" s="858"/>
      <c r="GZ274" s="858"/>
      <c r="HA274" s="858"/>
      <c r="HB274" s="858"/>
      <c r="HC274" s="858"/>
      <c r="HD274" s="858"/>
      <c r="HE274" s="858"/>
      <c r="HF274" s="858"/>
      <c r="HG274" s="858"/>
      <c r="HH274" s="858"/>
      <c r="HI274" s="858"/>
      <c r="HJ274" s="858"/>
      <c r="HK274" s="858"/>
      <c r="HL274" s="858"/>
      <c r="HM274" s="858"/>
      <c r="HN274" s="858"/>
      <c r="HO274" s="858"/>
      <c r="HP274" s="858"/>
      <c r="HQ274" s="858"/>
      <c r="HR274" s="858"/>
      <c r="HS274" s="858"/>
      <c r="HT274" s="858"/>
      <c r="HU274" s="858"/>
      <c r="HV274" s="858"/>
      <c r="HW274" s="858"/>
      <c r="HX274" s="858"/>
      <c r="HY274" s="858"/>
      <c r="HZ274" s="858"/>
      <c r="IA274" s="858"/>
      <c r="IB274" s="858"/>
      <c r="IC274" s="858"/>
      <c r="ID274" s="858"/>
      <c r="IE274" s="858"/>
      <c r="IF274" s="858"/>
      <c r="IG274" s="858"/>
      <c r="IH274" s="858"/>
      <c r="II274" s="858"/>
      <c r="IJ274" s="858"/>
      <c r="IK274" s="858"/>
      <c r="IL274" s="858"/>
      <c r="IM274" s="858"/>
      <c r="IN274" s="858"/>
    </row>
    <row r="275" spans="1:248">
      <c r="A275" s="568" t="s">
        <v>23</v>
      </c>
      <c r="B275" s="566">
        <v>18842.900000000001</v>
      </c>
      <c r="C275" s="566">
        <v>31.657885363673632</v>
      </c>
      <c r="D275" s="569">
        <v>16052.1</v>
      </c>
      <c r="E275" s="859">
        <v>26.969072788489324</v>
      </c>
      <c r="F275" s="859">
        <v>2790.8000000000011</v>
      </c>
      <c r="G275" s="859">
        <v>4.6888125751843086</v>
      </c>
      <c r="H275" s="377">
        <v>59520.4</v>
      </c>
      <c r="I275" s="858"/>
      <c r="J275" s="858"/>
      <c r="K275" s="858"/>
      <c r="L275" s="858"/>
      <c r="M275" s="858"/>
      <c r="N275" s="858"/>
      <c r="O275" s="858"/>
      <c r="P275" s="858"/>
      <c r="Q275" s="858"/>
      <c r="R275" s="858"/>
      <c r="S275" s="858"/>
      <c r="T275" s="858"/>
      <c r="U275" s="858"/>
      <c r="V275" s="858"/>
      <c r="W275" s="858"/>
      <c r="X275" s="858"/>
      <c r="Y275" s="858"/>
      <c r="Z275" s="858"/>
      <c r="AA275" s="858"/>
      <c r="AB275" s="858"/>
      <c r="AC275" s="858"/>
      <c r="AD275" s="858"/>
      <c r="AE275" s="858"/>
      <c r="AF275" s="858"/>
      <c r="AG275" s="858"/>
      <c r="AH275" s="858"/>
      <c r="AI275" s="858"/>
      <c r="AJ275" s="858"/>
      <c r="AK275" s="858"/>
      <c r="AL275" s="858"/>
      <c r="AM275" s="858"/>
      <c r="AN275" s="858"/>
      <c r="AO275" s="858"/>
      <c r="AP275" s="858"/>
      <c r="AQ275" s="858"/>
      <c r="AR275" s="858"/>
      <c r="AS275" s="858"/>
      <c r="AT275" s="858"/>
      <c r="AU275" s="858"/>
      <c r="AV275" s="858"/>
      <c r="AW275" s="858"/>
      <c r="AX275" s="858"/>
      <c r="AY275" s="858"/>
      <c r="AZ275" s="858"/>
      <c r="BA275" s="858"/>
      <c r="BB275" s="858"/>
      <c r="BC275" s="858"/>
      <c r="BD275" s="858"/>
      <c r="BE275" s="858"/>
      <c r="BF275" s="858"/>
      <c r="BG275" s="858"/>
      <c r="BH275" s="858"/>
      <c r="BI275" s="858"/>
      <c r="BJ275" s="858"/>
      <c r="BK275" s="858"/>
      <c r="BL275" s="858"/>
      <c r="BM275" s="858"/>
      <c r="BN275" s="858"/>
      <c r="BO275" s="858"/>
      <c r="BP275" s="858"/>
      <c r="BQ275" s="858"/>
      <c r="BR275" s="858"/>
      <c r="BS275" s="858"/>
      <c r="BT275" s="858"/>
      <c r="BU275" s="858"/>
      <c r="BV275" s="858"/>
      <c r="BW275" s="858"/>
      <c r="BX275" s="858"/>
      <c r="BY275" s="858"/>
      <c r="BZ275" s="858"/>
      <c r="CA275" s="858"/>
      <c r="CB275" s="858"/>
      <c r="CC275" s="858"/>
      <c r="CD275" s="858"/>
      <c r="CE275" s="858"/>
      <c r="CF275" s="858"/>
      <c r="CG275" s="858"/>
      <c r="CH275" s="858"/>
      <c r="CI275" s="858"/>
      <c r="CJ275" s="858"/>
      <c r="CK275" s="858"/>
      <c r="CL275" s="858"/>
      <c r="CM275" s="858"/>
      <c r="CN275" s="858"/>
      <c r="CO275" s="858"/>
      <c r="CP275" s="858"/>
      <c r="CQ275" s="858"/>
      <c r="CR275" s="858"/>
      <c r="CS275" s="858"/>
      <c r="CT275" s="858"/>
      <c r="CU275" s="858"/>
      <c r="CV275" s="858"/>
      <c r="CW275" s="858"/>
      <c r="CX275" s="858"/>
      <c r="CY275" s="858"/>
      <c r="CZ275" s="858"/>
      <c r="DA275" s="858"/>
      <c r="DB275" s="858"/>
      <c r="DC275" s="858"/>
      <c r="DD275" s="858"/>
      <c r="DE275" s="858"/>
      <c r="DF275" s="858"/>
      <c r="DG275" s="858"/>
      <c r="DH275" s="858"/>
      <c r="DI275" s="858"/>
      <c r="DJ275" s="858"/>
      <c r="DK275" s="858"/>
      <c r="DL275" s="858"/>
      <c r="DM275" s="858"/>
      <c r="DN275" s="858"/>
      <c r="DO275" s="858"/>
      <c r="DP275" s="858"/>
      <c r="DQ275" s="858"/>
      <c r="DR275" s="858"/>
      <c r="DS275" s="858"/>
      <c r="DT275" s="858"/>
      <c r="DU275" s="858"/>
      <c r="DV275" s="858"/>
      <c r="DW275" s="858"/>
      <c r="DX275" s="858"/>
      <c r="DY275" s="858"/>
      <c r="DZ275" s="858"/>
      <c r="EA275" s="858"/>
      <c r="EB275" s="858"/>
      <c r="EC275" s="858"/>
      <c r="ED275" s="858"/>
      <c r="EE275" s="858"/>
      <c r="EF275" s="858"/>
      <c r="EG275" s="858"/>
      <c r="EH275" s="858"/>
      <c r="EI275" s="858"/>
      <c r="EJ275" s="858"/>
      <c r="EK275" s="858"/>
      <c r="EL275" s="858"/>
      <c r="EM275" s="858"/>
      <c r="EN275" s="858"/>
      <c r="EO275" s="858"/>
      <c r="EP275" s="858"/>
      <c r="EQ275" s="858"/>
      <c r="ER275" s="858"/>
      <c r="ES275" s="858"/>
      <c r="ET275" s="858"/>
      <c r="EU275" s="858"/>
      <c r="EV275" s="858"/>
      <c r="EW275" s="858"/>
      <c r="EX275" s="858"/>
      <c r="EY275" s="858"/>
      <c r="EZ275" s="858"/>
      <c r="FA275" s="858"/>
      <c r="FB275" s="858"/>
      <c r="FC275" s="858"/>
      <c r="FD275" s="858"/>
      <c r="FE275" s="858"/>
      <c r="FF275" s="858"/>
      <c r="FG275" s="858"/>
      <c r="FH275" s="858"/>
      <c r="FI275" s="858"/>
      <c r="FJ275" s="858"/>
      <c r="FK275" s="858"/>
      <c r="FL275" s="858"/>
      <c r="FM275" s="858"/>
      <c r="FN275" s="858"/>
      <c r="FO275" s="858"/>
      <c r="FP275" s="858"/>
      <c r="FQ275" s="858"/>
      <c r="FR275" s="858"/>
      <c r="FS275" s="858"/>
      <c r="FT275" s="858"/>
      <c r="FU275" s="858"/>
      <c r="FV275" s="858"/>
      <c r="FW275" s="858"/>
      <c r="FX275" s="858"/>
      <c r="FY275" s="858"/>
      <c r="FZ275" s="858"/>
      <c r="GA275" s="858"/>
      <c r="GB275" s="858"/>
      <c r="GC275" s="858"/>
      <c r="GD275" s="858"/>
      <c r="GE275" s="858"/>
      <c r="GF275" s="858"/>
      <c r="GG275" s="858"/>
      <c r="GH275" s="858"/>
      <c r="GI275" s="858"/>
      <c r="GJ275" s="858"/>
      <c r="GK275" s="858"/>
      <c r="GL275" s="858"/>
      <c r="GM275" s="858"/>
      <c r="GN275" s="858"/>
      <c r="GO275" s="858"/>
      <c r="GP275" s="858"/>
      <c r="GQ275" s="858"/>
      <c r="GR275" s="858"/>
      <c r="GS275" s="858"/>
      <c r="GT275" s="858"/>
      <c r="GU275" s="858"/>
      <c r="GV275" s="858"/>
      <c r="GW275" s="858"/>
      <c r="GX275" s="858"/>
      <c r="GY275" s="858"/>
      <c r="GZ275" s="858"/>
      <c r="HA275" s="858"/>
      <c r="HB275" s="858"/>
      <c r="HC275" s="858"/>
      <c r="HD275" s="858"/>
      <c r="HE275" s="858"/>
      <c r="HF275" s="858"/>
      <c r="HG275" s="858"/>
      <c r="HH275" s="858"/>
      <c r="HI275" s="858"/>
      <c r="HJ275" s="858"/>
      <c r="HK275" s="858"/>
      <c r="HL275" s="858"/>
      <c r="HM275" s="858"/>
      <c r="HN275" s="858"/>
      <c r="HO275" s="858"/>
      <c r="HP275" s="858"/>
      <c r="HQ275" s="858"/>
      <c r="HR275" s="858"/>
      <c r="HS275" s="858"/>
      <c r="HT275" s="858"/>
      <c r="HU275" s="858"/>
      <c r="HV275" s="858"/>
      <c r="HW275" s="858"/>
      <c r="HX275" s="858"/>
      <c r="HY275" s="858"/>
      <c r="HZ275" s="858"/>
      <c r="IA275" s="858"/>
      <c r="IB275" s="858"/>
      <c r="IC275" s="858"/>
      <c r="ID275" s="858"/>
      <c r="IE275" s="858"/>
      <c r="IF275" s="858"/>
      <c r="IG275" s="858"/>
      <c r="IH275" s="858"/>
      <c r="II275" s="858"/>
      <c r="IJ275" s="858"/>
      <c r="IK275" s="858"/>
      <c r="IL275" s="858"/>
      <c r="IM275" s="858"/>
      <c r="IN275" s="858"/>
    </row>
    <row r="276" spans="1:248">
      <c r="A276" s="568" t="s">
        <v>24</v>
      </c>
      <c r="B276" s="566">
        <v>22584.9</v>
      </c>
      <c r="C276" s="566">
        <f t="shared" ref="C276:C294" si="41">B276/H276*100</f>
        <v>32.015337945112272</v>
      </c>
      <c r="D276" s="569">
        <v>19458.400000000001</v>
      </c>
      <c r="E276" s="859">
        <f t="shared" ref="E276:E294" si="42">D276/H276*100</f>
        <v>27.583352234066684</v>
      </c>
      <c r="F276" s="859">
        <v>3126.5</v>
      </c>
      <c r="G276" s="859">
        <f t="shared" ref="G276:G294" si="43">F276/H276*100</f>
        <v>4.4319857110455887</v>
      </c>
      <c r="H276" s="377">
        <v>70544</v>
      </c>
      <c r="I276" s="858"/>
      <c r="J276" s="858"/>
      <c r="K276" s="858"/>
      <c r="L276" s="858"/>
      <c r="M276" s="858"/>
      <c r="N276" s="858"/>
      <c r="O276" s="858"/>
      <c r="P276" s="858"/>
      <c r="Q276" s="858"/>
      <c r="R276" s="858"/>
      <c r="S276" s="858"/>
      <c r="T276" s="858"/>
      <c r="U276" s="858"/>
      <c r="V276" s="858"/>
      <c r="W276" s="858"/>
      <c r="X276" s="858"/>
      <c r="Y276" s="858"/>
      <c r="Z276" s="858"/>
      <c r="AA276" s="858"/>
      <c r="AB276" s="858"/>
      <c r="AC276" s="858"/>
      <c r="AD276" s="858"/>
      <c r="AE276" s="858"/>
      <c r="AF276" s="858"/>
      <c r="AG276" s="858"/>
      <c r="AH276" s="858"/>
      <c r="AI276" s="858"/>
      <c r="AJ276" s="858"/>
      <c r="AK276" s="858"/>
      <c r="AL276" s="858"/>
      <c r="AM276" s="858"/>
      <c r="AN276" s="858"/>
      <c r="AO276" s="858"/>
      <c r="AP276" s="858"/>
      <c r="AQ276" s="858"/>
      <c r="AR276" s="858"/>
      <c r="AS276" s="858"/>
      <c r="AT276" s="858"/>
      <c r="AU276" s="858"/>
      <c r="AV276" s="858"/>
      <c r="AW276" s="858"/>
      <c r="AX276" s="858"/>
      <c r="AY276" s="858"/>
      <c r="AZ276" s="858"/>
      <c r="BA276" s="858"/>
      <c r="BB276" s="858"/>
      <c r="BC276" s="858"/>
      <c r="BD276" s="858"/>
      <c r="BE276" s="858"/>
      <c r="BF276" s="858"/>
      <c r="BG276" s="858"/>
      <c r="BH276" s="858"/>
      <c r="BI276" s="858"/>
      <c r="BJ276" s="858"/>
      <c r="BK276" s="858"/>
      <c r="BL276" s="858"/>
      <c r="BM276" s="858"/>
      <c r="BN276" s="858"/>
      <c r="BO276" s="858"/>
      <c r="BP276" s="858"/>
      <c r="BQ276" s="858"/>
      <c r="BR276" s="858"/>
      <c r="BS276" s="858"/>
      <c r="BT276" s="858"/>
      <c r="BU276" s="858"/>
      <c r="BV276" s="858"/>
      <c r="BW276" s="858"/>
      <c r="BX276" s="858"/>
      <c r="BY276" s="858"/>
      <c r="BZ276" s="858"/>
      <c r="CA276" s="858"/>
      <c r="CB276" s="858"/>
      <c r="CC276" s="858"/>
      <c r="CD276" s="858"/>
      <c r="CE276" s="858"/>
      <c r="CF276" s="858"/>
      <c r="CG276" s="858"/>
      <c r="CH276" s="858"/>
      <c r="CI276" s="858"/>
      <c r="CJ276" s="858"/>
      <c r="CK276" s="858"/>
      <c r="CL276" s="858"/>
      <c r="CM276" s="858"/>
      <c r="CN276" s="858"/>
      <c r="CO276" s="858"/>
      <c r="CP276" s="858"/>
      <c r="CQ276" s="858"/>
      <c r="CR276" s="858"/>
      <c r="CS276" s="858"/>
      <c r="CT276" s="858"/>
      <c r="CU276" s="858"/>
      <c r="CV276" s="858"/>
      <c r="CW276" s="858"/>
      <c r="CX276" s="858"/>
      <c r="CY276" s="858"/>
      <c r="CZ276" s="858"/>
      <c r="DA276" s="858"/>
      <c r="DB276" s="858"/>
      <c r="DC276" s="858"/>
      <c r="DD276" s="858"/>
      <c r="DE276" s="858"/>
      <c r="DF276" s="858"/>
      <c r="DG276" s="858"/>
      <c r="DH276" s="858"/>
      <c r="DI276" s="858"/>
      <c r="DJ276" s="858"/>
      <c r="DK276" s="858"/>
      <c r="DL276" s="858"/>
      <c r="DM276" s="858"/>
      <c r="DN276" s="858"/>
      <c r="DO276" s="858"/>
      <c r="DP276" s="858"/>
      <c r="DQ276" s="858"/>
      <c r="DR276" s="858"/>
      <c r="DS276" s="858"/>
      <c r="DT276" s="858"/>
      <c r="DU276" s="858"/>
      <c r="DV276" s="858"/>
      <c r="DW276" s="858"/>
      <c r="DX276" s="858"/>
      <c r="DY276" s="858"/>
      <c r="DZ276" s="858"/>
      <c r="EA276" s="858"/>
      <c r="EB276" s="858"/>
      <c r="EC276" s="858"/>
      <c r="ED276" s="858"/>
      <c r="EE276" s="858"/>
      <c r="EF276" s="858"/>
      <c r="EG276" s="858"/>
      <c r="EH276" s="858"/>
      <c r="EI276" s="858"/>
      <c r="EJ276" s="858"/>
      <c r="EK276" s="858"/>
      <c r="EL276" s="858"/>
      <c r="EM276" s="858"/>
      <c r="EN276" s="858"/>
      <c r="EO276" s="858"/>
      <c r="EP276" s="858"/>
      <c r="EQ276" s="858"/>
      <c r="ER276" s="858"/>
      <c r="ES276" s="858"/>
      <c r="ET276" s="858"/>
      <c r="EU276" s="858"/>
      <c r="EV276" s="858"/>
      <c r="EW276" s="858"/>
      <c r="EX276" s="858"/>
      <c r="EY276" s="858"/>
      <c r="EZ276" s="858"/>
      <c r="FA276" s="858"/>
      <c r="FB276" s="858"/>
      <c r="FC276" s="858"/>
      <c r="FD276" s="858"/>
      <c r="FE276" s="858"/>
      <c r="FF276" s="858"/>
      <c r="FG276" s="858"/>
      <c r="FH276" s="858"/>
      <c r="FI276" s="858"/>
      <c r="FJ276" s="858"/>
      <c r="FK276" s="858"/>
      <c r="FL276" s="858"/>
      <c r="FM276" s="858"/>
      <c r="FN276" s="858"/>
      <c r="FO276" s="858"/>
      <c r="FP276" s="858"/>
      <c r="FQ276" s="858"/>
      <c r="FR276" s="858"/>
      <c r="FS276" s="858"/>
      <c r="FT276" s="858"/>
      <c r="FU276" s="858"/>
      <c r="FV276" s="858"/>
      <c r="FW276" s="858"/>
      <c r="FX276" s="858"/>
      <c r="FY276" s="858"/>
      <c r="FZ276" s="858"/>
      <c r="GA276" s="858"/>
      <c r="GB276" s="858"/>
      <c r="GC276" s="858"/>
      <c r="GD276" s="858"/>
      <c r="GE276" s="858"/>
      <c r="GF276" s="858"/>
      <c r="GG276" s="858"/>
      <c r="GH276" s="858"/>
      <c r="GI276" s="858"/>
      <c r="GJ276" s="858"/>
      <c r="GK276" s="858"/>
      <c r="GL276" s="858"/>
      <c r="GM276" s="858"/>
      <c r="GN276" s="858"/>
      <c r="GO276" s="858"/>
      <c r="GP276" s="858"/>
      <c r="GQ276" s="858"/>
      <c r="GR276" s="858"/>
      <c r="GS276" s="858"/>
      <c r="GT276" s="858"/>
      <c r="GU276" s="858"/>
      <c r="GV276" s="858"/>
      <c r="GW276" s="858"/>
      <c r="GX276" s="858"/>
      <c r="GY276" s="858"/>
      <c r="GZ276" s="858"/>
      <c r="HA276" s="858"/>
      <c r="HB276" s="858"/>
      <c r="HC276" s="858"/>
      <c r="HD276" s="858"/>
      <c r="HE276" s="858"/>
      <c r="HF276" s="858"/>
      <c r="HG276" s="858"/>
      <c r="HH276" s="858"/>
      <c r="HI276" s="858"/>
      <c r="HJ276" s="858"/>
      <c r="HK276" s="858"/>
      <c r="HL276" s="858"/>
      <c r="HM276" s="858"/>
      <c r="HN276" s="858"/>
      <c r="HO276" s="858"/>
      <c r="HP276" s="858"/>
      <c r="HQ276" s="858"/>
      <c r="HR276" s="858"/>
      <c r="HS276" s="858"/>
      <c r="HT276" s="858"/>
      <c r="HU276" s="858"/>
      <c r="HV276" s="858"/>
      <c r="HW276" s="858"/>
      <c r="HX276" s="858"/>
      <c r="HY276" s="858"/>
      <c r="HZ276" s="858"/>
      <c r="IA276" s="858"/>
      <c r="IB276" s="858"/>
      <c r="IC276" s="858"/>
      <c r="ID276" s="858"/>
      <c r="IE276" s="858"/>
      <c r="IF276" s="858"/>
      <c r="IG276" s="858"/>
      <c r="IH276" s="858"/>
      <c r="II276" s="858"/>
      <c r="IJ276" s="858"/>
      <c r="IK276" s="858"/>
      <c r="IL276" s="858"/>
      <c r="IM276" s="858"/>
      <c r="IN276" s="858"/>
    </row>
    <row r="277" spans="1:248">
      <c r="A277" s="568" t="s">
        <v>25</v>
      </c>
      <c r="B277" s="566">
        <v>25223.4</v>
      </c>
      <c r="C277" s="566">
        <f t="shared" si="41"/>
        <v>31.155269928594631</v>
      </c>
      <c r="D277" s="569">
        <v>22362.400000000001</v>
      </c>
      <c r="E277" s="859">
        <f t="shared" si="42"/>
        <v>27.621439149805521</v>
      </c>
      <c r="F277" s="859">
        <v>2861</v>
      </c>
      <c r="G277" s="859">
        <f t="shared" si="43"/>
        <v>3.5338307787891097</v>
      </c>
      <c r="H277" s="377">
        <v>80960.3</v>
      </c>
      <c r="I277" s="858"/>
      <c r="J277" s="858"/>
      <c r="K277" s="858"/>
      <c r="L277" s="858"/>
      <c r="M277" s="858"/>
      <c r="N277" s="858"/>
      <c r="O277" s="858"/>
      <c r="P277" s="858"/>
      <c r="Q277" s="858"/>
      <c r="R277" s="858"/>
      <c r="S277" s="858"/>
      <c r="T277" s="858"/>
      <c r="U277" s="858"/>
      <c r="V277" s="858"/>
      <c r="W277" s="858"/>
      <c r="X277" s="858"/>
      <c r="Y277" s="858"/>
      <c r="Z277" s="858"/>
      <c r="AA277" s="858"/>
      <c r="AB277" s="858"/>
      <c r="AC277" s="858"/>
      <c r="AD277" s="858"/>
      <c r="AE277" s="858"/>
      <c r="AF277" s="858"/>
      <c r="AG277" s="858"/>
      <c r="AH277" s="858"/>
      <c r="AI277" s="858"/>
      <c r="AJ277" s="858"/>
      <c r="AK277" s="858"/>
      <c r="AL277" s="858"/>
      <c r="AM277" s="858"/>
      <c r="AN277" s="858"/>
      <c r="AO277" s="858"/>
      <c r="AP277" s="858"/>
      <c r="AQ277" s="858"/>
      <c r="AR277" s="858"/>
      <c r="AS277" s="858"/>
      <c r="AT277" s="858"/>
      <c r="AU277" s="858"/>
      <c r="AV277" s="858"/>
      <c r="AW277" s="858"/>
      <c r="AX277" s="858"/>
      <c r="AY277" s="858"/>
      <c r="AZ277" s="858"/>
      <c r="BA277" s="858"/>
      <c r="BB277" s="858"/>
      <c r="BC277" s="858"/>
      <c r="BD277" s="858"/>
      <c r="BE277" s="858"/>
      <c r="BF277" s="858"/>
      <c r="BG277" s="858"/>
      <c r="BH277" s="858"/>
      <c r="BI277" s="858"/>
      <c r="BJ277" s="858"/>
      <c r="BK277" s="858"/>
      <c r="BL277" s="858"/>
      <c r="BM277" s="858"/>
      <c r="BN277" s="858"/>
      <c r="BO277" s="858"/>
      <c r="BP277" s="858"/>
      <c r="BQ277" s="858"/>
      <c r="BR277" s="858"/>
      <c r="BS277" s="858"/>
      <c r="BT277" s="858"/>
      <c r="BU277" s="858"/>
      <c r="BV277" s="858"/>
      <c r="BW277" s="858"/>
      <c r="BX277" s="858"/>
      <c r="BY277" s="858"/>
      <c r="BZ277" s="858"/>
      <c r="CA277" s="858"/>
      <c r="CB277" s="858"/>
      <c r="CC277" s="858"/>
      <c r="CD277" s="858"/>
      <c r="CE277" s="858"/>
      <c r="CF277" s="858"/>
      <c r="CG277" s="858"/>
      <c r="CH277" s="858"/>
      <c r="CI277" s="858"/>
      <c r="CJ277" s="858"/>
      <c r="CK277" s="858"/>
      <c r="CL277" s="858"/>
      <c r="CM277" s="858"/>
      <c r="CN277" s="858"/>
      <c r="CO277" s="858"/>
      <c r="CP277" s="858"/>
      <c r="CQ277" s="858"/>
      <c r="CR277" s="858"/>
      <c r="CS277" s="858"/>
      <c r="CT277" s="858"/>
      <c r="CU277" s="858"/>
      <c r="CV277" s="858"/>
      <c r="CW277" s="858"/>
      <c r="CX277" s="858"/>
      <c r="CY277" s="858"/>
      <c r="CZ277" s="858"/>
      <c r="DA277" s="858"/>
      <c r="DB277" s="858"/>
      <c r="DC277" s="858"/>
      <c r="DD277" s="858"/>
      <c r="DE277" s="858"/>
      <c r="DF277" s="858"/>
      <c r="DG277" s="858"/>
      <c r="DH277" s="858"/>
      <c r="DI277" s="858"/>
      <c r="DJ277" s="858"/>
      <c r="DK277" s="858"/>
      <c r="DL277" s="858"/>
      <c r="DM277" s="858"/>
      <c r="DN277" s="858"/>
      <c r="DO277" s="858"/>
      <c r="DP277" s="858"/>
      <c r="DQ277" s="858"/>
      <c r="DR277" s="858"/>
      <c r="DS277" s="858"/>
      <c r="DT277" s="858"/>
      <c r="DU277" s="858"/>
      <c r="DV277" s="858"/>
      <c r="DW277" s="858"/>
      <c r="DX277" s="858"/>
      <c r="DY277" s="858"/>
      <c r="DZ277" s="858"/>
      <c r="EA277" s="858"/>
      <c r="EB277" s="858"/>
      <c r="EC277" s="858"/>
      <c r="ED277" s="858"/>
      <c r="EE277" s="858"/>
      <c r="EF277" s="858"/>
      <c r="EG277" s="858"/>
      <c r="EH277" s="858"/>
      <c r="EI277" s="858"/>
      <c r="EJ277" s="858"/>
      <c r="EK277" s="858"/>
      <c r="EL277" s="858"/>
      <c r="EM277" s="858"/>
      <c r="EN277" s="858"/>
      <c r="EO277" s="858"/>
      <c r="EP277" s="858"/>
      <c r="EQ277" s="858"/>
      <c r="ER277" s="858"/>
      <c r="ES277" s="858"/>
      <c r="ET277" s="858"/>
      <c r="EU277" s="858"/>
      <c r="EV277" s="858"/>
      <c r="EW277" s="858"/>
      <c r="EX277" s="858"/>
      <c r="EY277" s="858"/>
      <c r="EZ277" s="858"/>
      <c r="FA277" s="858"/>
      <c r="FB277" s="858"/>
      <c r="FC277" s="858"/>
      <c r="FD277" s="858"/>
      <c r="FE277" s="858"/>
      <c r="FF277" s="858"/>
      <c r="FG277" s="858"/>
      <c r="FH277" s="858"/>
      <c r="FI277" s="858"/>
      <c r="FJ277" s="858"/>
      <c r="FK277" s="858"/>
      <c r="FL277" s="858"/>
      <c r="FM277" s="858"/>
      <c r="FN277" s="858"/>
      <c r="FO277" s="858"/>
      <c r="FP277" s="858"/>
      <c r="FQ277" s="858"/>
      <c r="FR277" s="858"/>
      <c r="FS277" s="858"/>
      <c r="FT277" s="858"/>
      <c r="FU277" s="858"/>
      <c r="FV277" s="858"/>
      <c r="FW277" s="858"/>
      <c r="FX277" s="858"/>
      <c r="FY277" s="858"/>
      <c r="FZ277" s="858"/>
      <c r="GA277" s="858"/>
      <c r="GB277" s="858"/>
      <c r="GC277" s="858"/>
      <c r="GD277" s="858"/>
      <c r="GE277" s="858"/>
      <c r="GF277" s="858"/>
      <c r="GG277" s="858"/>
      <c r="GH277" s="858"/>
      <c r="GI277" s="858"/>
      <c r="GJ277" s="858"/>
      <c r="GK277" s="858"/>
      <c r="GL277" s="858"/>
      <c r="GM277" s="858"/>
      <c r="GN277" s="858"/>
      <c r="GO277" s="858"/>
      <c r="GP277" s="858"/>
      <c r="GQ277" s="858"/>
      <c r="GR277" s="858"/>
      <c r="GS277" s="858"/>
      <c r="GT277" s="858"/>
      <c r="GU277" s="858"/>
      <c r="GV277" s="858"/>
      <c r="GW277" s="858"/>
      <c r="GX277" s="858"/>
      <c r="GY277" s="858"/>
      <c r="GZ277" s="858"/>
      <c r="HA277" s="858"/>
      <c r="HB277" s="858"/>
      <c r="HC277" s="858"/>
      <c r="HD277" s="858"/>
      <c r="HE277" s="858"/>
      <c r="HF277" s="858"/>
      <c r="HG277" s="858"/>
      <c r="HH277" s="858"/>
      <c r="HI277" s="858"/>
      <c r="HJ277" s="858"/>
      <c r="HK277" s="858"/>
      <c r="HL277" s="858"/>
      <c r="HM277" s="858"/>
      <c r="HN277" s="858"/>
      <c r="HO277" s="858"/>
      <c r="HP277" s="858"/>
      <c r="HQ277" s="858"/>
      <c r="HR277" s="858"/>
      <c r="HS277" s="858"/>
      <c r="HT277" s="858"/>
      <c r="HU277" s="858"/>
      <c r="HV277" s="858"/>
      <c r="HW277" s="858"/>
      <c r="HX277" s="858"/>
      <c r="HY277" s="858"/>
      <c r="HZ277" s="858"/>
      <c r="IA277" s="858"/>
      <c r="IB277" s="858"/>
      <c r="IC277" s="858"/>
      <c r="ID277" s="858"/>
      <c r="IE277" s="858"/>
      <c r="IF277" s="858"/>
      <c r="IG277" s="858"/>
      <c r="IH277" s="858"/>
      <c r="II277" s="858"/>
      <c r="IJ277" s="858"/>
      <c r="IK277" s="858"/>
      <c r="IL277" s="858"/>
      <c r="IM277" s="858"/>
      <c r="IN277" s="858"/>
    </row>
    <row r="278" spans="1:248">
      <c r="A278" s="568" t="s">
        <v>26</v>
      </c>
      <c r="B278" s="566">
        <v>27737</v>
      </c>
      <c r="C278" s="566">
        <f t="shared" si="41"/>
        <v>29.879510284984839</v>
      </c>
      <c r="D278" s="569">
        <v>25174.3</v>
      </c>
      <c r="E278" s="859">
        <f t="shared" si="42"/>
        <v>27.118857690712545</v>
      </c>
      <c r="F278" s="859">
        <v>2562.7000000000007</v>
      </c>
      <c r="G278" s="859">
        <f t="shared" si="43"/>
        <v>2.7606525942722957</v>
      </c>
      <c r="H278" s="377">
        <v>92829.5</v>
      </c>
      <c r="I278" s="858"/>
      <c r="J278" s="858"/>
      <c r="K278" s="858"/>
      <c r="L278" s="858"/>
      <c r="M278" s="858"/>
      <c r="N278" s="858"/>
      <c r="O278" s="858"/>
      <c r="P278" s="858"/>
      <c r="Q278" s="858"/>
      <c r="R278" s="858"/>
      <c r="S278" s="858"/>
      <c r="T278" s="858"/>
      <c r="U278" s="858"/>
      <c r="V278" s="858"/>
      <c r="W278" s="858"/>
      <c r="X278" s="858"/>
      <c r="Y278" s="858"/>
      <c r="Z278" s="858"/>
      <c r="AA278" s="858"/>
      <c r="AB278" s="858"/>
      <c r="AC278" s="858"/>
      <c r="AD278" s="858"/>
      <c r="AE278" s="858"/>
      <c r="AF278" s="858"/>
      <c r="AG278" s="858"/>
      <c r="AH278" s="858"/>
      <c r="AI278" s="858"/>
      <c r="AJ278" s="858"/>
      <c r="AK278" s="858"/>
      <c r="AL278" s="858"/>
      <c r="AM278" s="858"/>
      <c r="AN278" s="858"/>
      <c r="AO278" s="858"/>
      <c r="AP278" s="858"/>
      <c r="AQ278" s="858"/>
      <c r="AR278" s="858"/>
      <c r="AS278" s="858"/>
      <c r="AT278" s="858"/>
      <c r="AU278" s="858"/>
      <c r="AV278" s="858"/>
      <c r="AW278" s="858"/>
      <c r="AX278" s="858"/>
      <c r="AY278" s="858"/>
      <c r="AZ278" s="858"/>
      <c r="BA278" s="858"/>
      <c r="BB278" s="858"/>
      <c r="BC278" s="858"/>
      <c r="BD278" s="858"/>
      <c r="BE278" s="858"/>
      <c r="BF278" s="858"/>
      <c r="BG278" s="858"/>
      <c r="BH278" s="858"/>
      <c r="BI278" s="858"/>
      <c r="BJ278" s="858"/>
      <c r="BK278" s="858"/>
      <c r="BL278" s="858"/>
      <c r="BM278" s="858"/>
      <c r="BN278" s="858"/>
      <c r="BO278" s="858"/>
      <c r="BP278" s="858"/>
      <c r="BQ278" s="858"/>
      <c r="BR278" s="858"/>
      <c r="BS278" s="858"/>
      <c r="BT278" s="858"/>
      <c r="BU278" s="858"/>
      <c r="BV278" s="858"/>
      <c r="BW278" s="858"/>
      <c r="BX278" s="858"/>
      <c r="BY278" s="858"/>
      <c r="BZ278" s="858"/>
      <c r="CA278" s="858"/>
      <c r="CB278" s="858"/>
      <c r="CC278" s="858"/>
      <c r="CD278" s="858"/>
      <c r="CE278" s="858"/>
      <c r="CF278" s="858"/>
      <c r="CG278" s="858"/>
      <c r="CH278" s="858"/>
      <c r="CI278" s="858"/>
      <c r="CJ278" s="858"/>
      <c r="CK278" s="858"/>
      <c r="CL278" s="858"/>
      <c r="CM278" s="858"/>
      <c r="CN278" s="858"/>
      <c r="CO278" s="858"/>
      <c r="CP278" s="858"/>
      <c r="CQ278" s="858"/>
      <c r="CR278" s="858"/>
      <c r="CS278" s="858"/>
      <c r="CT278" s="858"/>
      <c r="CU278" s="858"/>
      <c r="CV278" s="858"/>
      <c r="CW278" s="858"/>
      <c r="CX278" s="858"/>
      <c r="CY278" s="858"/>
      <c r="CZ278" s="858"/>
      <c r="DA278" s="858"/>
      <c r="DB278" s="858"/>
      <c r="DC278" s="858"/>
      <c r="DD278" s="858"/>
      <c r="DE278" s="858"/>
      <c r="DF278" s="858"/>
      <c r="DG278" s="858"/>
      <c r="DH278" s="858"/>
      <c r="DI278" s="858"/>
      <c r="DJ278" s="858"/>
      <c r="DK278" s="858"/>
      <c r="DL278" s="858"/>
      <c r="DM278" s="858"/>
      <c r="DN278" s="858"/>
      <c r="DO278" s="858"/>
      <c r="DP278" s="858"/>
      <c r="DQ278" s="858"/>
      <c r="DR278" s="858"/>
      <c r="DS278" s="858"/>
      <c r="DT278" s="858"/>
      <c r="DU278" s="858"/>
      <c r="DV278" s="858"/>
      <c r="DW278" s="858"/>
      <c r="DX278" s="858"/>
      <c r="DY278" s="858"/>
      <c r="DZ278" s="858"/>
      <c r="EA278" s="858"/>
      <c r="EB278" s="858"/>
      <c r="EC278" s="858"/>
      <c r="ED278" s="858"/>
      <c r="EE278" s="858"/>
      <c r="EF278" s="858"/>
      <c r="EG278" s="858"/>
      <c r="EH278" s="858"/>
      <c r="EI278" s="858"/>
      <c r="EJ278" s="858"/>
      <c r="EK278" s="858"/>
      <c r="EL278" s="858"/>
      <c r="EM278" s="858"/>
      <c r="EN278" s="858"/>
      <c r="EO278" s="858"/>
      <c r="EP278" s="858"/>
      <c r="EQ278" s="858"/>
      <c r="ER278" s="858"/>
      <c r="ES278" s="858"/>
      <c r="ET278" s="858"/>
      <c r="EU278" s="858"/>
      <c r="EV278" s="858"/>
      <c r="EW278" s="858"/>
      <c r="EX278" s="858"/>
      <c r="EY278" s="858"/>
      <c r="EZ278" s="858"/>
      <c r="FA278" s="858"/>
      <c r="FB278" s="858"/>
      <c r="FC278" s="858"/>
      <c r="FD278" s="858"/>
      <c r="FE278" s="858"/>
      <c r="FF278" s="858"/>
      <c r="FG278" s="858"/>
      <c r="FH278" s="858"/>
      <c r="FI278" s="858"/>
      <c r="FJ278" s="858"/>
      <c r="FK278" s="858"/>
      <c r="FL278" s="858"/>
      <c r="FM278" s="858"/>
      <c r="FN278" s="858"/>
      <c r="FO278" s="858"/>
      <c r="FP278" s="858"/>
      <c r="FQ278" s="858"/>
      <c r="FR278" s="858"/>
      <c r="FS278" s="858"/>
      <c r="FT278" s="858"/>
      <c r="FU278" s="858"/>
      <c r="FV278" s="858"/>
      <c r="FW278" s="858"/>
      <c r="FX278" s="858"/>
      <c r="FY278" s="858"/>
      <c r="FZ278" s="858"/>
      <c r="GA278" s="858"/>
      <c r="GB278" s="858"/>
      <c r="GC278" s="858"/>
      <c r="GD278" s="858"/>
      <c r="GE278" s="858"/>
      <c r="GF278" s="858"/>
      <c r="GG278" s="858"/>
      <c r="GH278" s="858"/>
      <c r="GI278" s="858"/>
      <c r="GJ278" s="858"/>
      <c r="GK278" s="858"/>
      <c r="GL278" s="858"/>
      <c r="GM278" s="858"/>
      <c r="GN278" s="858"/>
      <c r="GO278" s="858"/>
      <c r="GP278" s="858"/>
      <c r="GQ278" s="858"/>
      <c r="GR278" s="858"/>
      <c r="GS278" s="858"/>
      <c r="GT278" s="858"/>
      <c r="GU278" s="858"/>
      <c r="GV278" s="858"/>
      <c r="GW278" s="858"/>
      <c r="GX278" s="858"/>
      <c r="GY278" s="858"/>
      <c r="GZ278" s="858"/>
      <c r="HA278" s="858"/>
      <c r="HB278" s="858"/>
      <c r="HC278" s="858"/>
      <c r="HD278" s="858"/>
      <c r="HE278" s="858"/>
      <c r="HF278" s="858"/>
      <c r="HG278" s="858"/>
      <c r="HH278" s="858"/>
      <c r="HI278" s="858"/>
      <c r="HJ278" s="858"/>
      <c r="HK278" s="858"/>
      <c r="HL278" s="858"/>
      <c r="HM278" s="858"/>
      <c r="HN278" s="858"/>
      <c r="HO278" s="858"/>
      <c r="HP278" s="858"/>
      <c r="HQ278" s="858"/>
      <c r="HR278" s="858"/>
      <c r="HS278" s="858"/>
      <c r="HT278" s="858"/>
      <c r="HU278" s="858"/>
      <c r="HV278" s="858"/>
      <c r="HW278" s="858"/>
      <c r="HX278" s="858"/>
      <c r="HY278" s="858"/>
      <c r="HZ278" s="858"/>
      <c r="IA278" s="858"/>
      <c r="IB278" s="858"/>
      <c r="IC278" s="858"/>
      <c r="ID278" s="858"/>
      <c r="IE278" s="858"/>
      <c r="IF278" s="858"/>
      <c r="IG278" s="858"/>
      <c r="IH278" s="858"/>
      <c r="II278" s="858"/>
      <c r="IJ278" s="858"/>
      <c r="IK278" s="858"/>
      <c r="IL278" s="858"/>
      <c r="IM278" s="858"/>
      <c r="IN278" s="858"/>
    </row>
    <row r="279" spans="1:248">
      <c r="A279" s="568" t="s">
        <v>27</v>
      </c>
      <c r="B279" s="566">
        <v>31542.5</v>
      </c>
      <c r="C279" s="566">
        <f t="shared" si="41"/>
        <v>30.477082161788204</v>
      </c>
      <c r="D279" s="569">
        <v>28108.2</v>
      </c>
      <c r="E279" s="859">
        <f t="shared" si="42"/>
        <v>27.158783254972668</v>
      </c>
      <c r="F279" s="859">
        <v>3434.2999999999993</v>
      </c>
      <c r="G279" s="859">
        <f t="shared" si="43"/>
        <v>3.3182989068155413</v>
      </c>
      <c r="H279" s="377">
        <v>103495.8</v>
      </c>
      <c r="I279" s="858"/>
      <c r="J279" s="858"/>
      <c r="K279" s="858"/>
      <c r="L279" s="858"/>
      <c r="M279" s="858"/>
      <c r="N279" s="858"/>
      <c r="O279" s="858"/>
      <c r="P279" s="858"/>
      <c r="Q279" s="858"/>
      <c r="R279" s="858"/>
      <c r="S279" s="858"/>
      <c r="T279" s="858"/>
      <c r="U279" s="858"/>
      <c r="V279" s="858"/>
      <c r="W279" s="858"/>
      <c r="X279" s="858"/>
      <c r="Y279" s="858"/>
      <c r="Z279" s="858"/>
      <c r="AA279" s="858"/>
      <c r="AB279" s="858"/>
      <c r="AC279" s="858"/>
      <c r="AD279" s="858"/>
      <c r="AE279" s="858"/>
      <c r="AF279" s="858"/>
      <c r="AG279" s="858"/>
      <c r="AH279" s="858"/>
      <c r="AI279" s="858"/>
      <c r="AJ279" s="858"/>
      <c r="AK279" s="858"/>
      <c r="AL279" s="858"/>
      <c r="AM279" s="858"/>
      <c r="AN279" s="858"/>
      <c r="AO279" s="858"/>
      <c r="AP279" s="858"/>
      <c r="AQ279" s="858"/>
      <c r="AR279" s="858"/>
      <c r="AS279" s="858"/>
      <c r="AT279" s="858"/>
      <c r="AU279" s="858"/>
      <c r="AV279" s="858"/>
      <c r="AW279" s="858"/>
      <c r="AX279" s="858"/>
      <c r="AY279" s="858"/>
      <c r="AZ279" s="858"/>
      <c r="BA279" s="858"/>
      <c r="BB279" s="858"/>
      <c r="BC279" s="858"/>
      <c r="BD279" s="858"/>
      <c r="BE279" s="858"/>
      <c r="BF279" s="858"/>
      <c r="BG279" s="858"/>
      <c r="BH279" s="858"/>
      <c r="BI279" s="858"/>
      <c r="BJ279" s="858"/>
      <c r="BK279" s="858"/>
      <c r="BL279" s="858"/>
      <c r="BM279" s="858"/>
      <c r="BN279" s="858"/>
      <c r="BO279" s="858"/>
      <c r="BP279" s="858"/>
      <c r="BQ279" s="858"/>
      <c r="BR279" s="858"/>
      <c r="BS279" s="858"/>
      <c r="BT279" s="858"/>
      <c r="BU279" s="858"/>
      <c r="BV279" s="858"/>
      <c r="BW279" s="858"/>
      <c r="BX279" s="858"/>
      <c r="BY279" s="858"/>
      <c r="BZ279" s="858"/>
      <c r="CA279" s="858"/>
      <c r="CB279" s="858"/>
      <c r="CC279" s="858"/>
      <c r="CD279" s="858"/>
      <c r="CE279" s="858"/>
      <c r="CF279" s="858"/>
      <c r="CG279" s="858"/>
      <c r="CH279" s="858"/>
      <c r="CI279" s="858"/>
      <c r="CJ279" s="858"/>
      <c r="CK279" s="858"/>
      <c r="CL279" s="858"/>
      <c r="CM279" s="858"/>
      <c r="CN279" s="858"/>
      <c r="CO279" s="858"/>
      <c r="CP279" s="858"/>
      <c r="CQ279" s="858"/>
      <c r="CR279" s="858"/>
      <c r="CS279" s="858"/>
      <c r="CT279" s="858"/>
      <c r="CU279" s="858"/>
      <c r="CV279" s="858"/>
      <c r="CW279" s="858"/>
      <c r="CX279" s="858"/>
      <c r="CY279" s="858"/>
      <c r="CZ279" s="858"/>
      <c r="DA279" s="858"/>
      <c r="DB279" s="858"/>
      <c r="DC279" s="858"/>
      <c r="DD279" s="858"/>
      <c r="DE279" s="858"/>
      <c r="DF279" s="858"/>
      <c r="DG279" s="858"/>
      <c r="DH279" s="858"/>
      <c r="DI279" s="858"/>
      <c r="DJ279" s="858"/>
      <c r="DK279" s="858"/>
      <c r="DL279" s="858"/>
      <c r="DM279" s="858"/>
      <c r="DN279" s="858"/>
      <c r="DO279" s="858"/>
      <c r="DP279" s="858"/>
      <c r="DQ279" s="858"/>
      <c r="DR279" s="858"/>
      <c r="DS279" s="858"/>
      <c r="DT279" s="858"/>
      <c r="DU279" s="858"/>
      <c r="DV279" s="858"/>
      <c r="DW279" s="858"/>
      <c r="DX279" s="858"/>
      <c r="DY279" s="858"/>
      <c r="DZ279" s="858"/>
      <c r="EA279" s="858"/>
      <c r="EB279" s="858"/>
      <c r="EC279" s="858"/>
      <c r="ED279" s="858"/>
      <c r="EE279" s="858"/>
      <c r="EF279" s="858"/>
      <c r="EG279" s="858"/>
      <c r="EH279" s="858"/>
      <c r="EI279" s="858"/>
      <c r="EJ279" s="858"/>
      <c r="EK279" s="858"/>
      <c r="EL279" s="858"/>
      <c r="EM279" s="858"/>
      <c r="EN279" s="858"/>
      <c r="EO279" s="858"/>
      <c r="EP279" s="858"/>
      <c r="EQ279" s="858"/>
      <c r="ER279" s="858"/>
      <c r="ES279" s="858"/>
      <c r="ET279" s="858"/>
      <c r="EU279" s="858"/>
      <c r="EV279" s="858"/>
      <c r="EW279" s="858"/>
      <c r="EX279" s="858"/>
      <c r="EY279" s="858"/>
      <c r="EZ279" s="858"/>
      <c r="FA279" s="858"/>
      <c r="FB279" s="858"/>
      <c r="FC279" s="858"/>
      <c r="FD279" s="858"/>
      <c r="FE279" s="858"/>
      <c r="FF279" s="858"/>
      <c r="FG279" s="858"/>
      <c r="FH279" s="858"/>
      <c r="FI279" s="858"/>
      <c r="FJ279" s="858"/>
      <c r="FK279" s="858"/>
      <c r="FL279" s="858"/>
      <c r="FM279" s="858"/>
      <c r="FN279" s="858"/>
      <c r="FO279" s="858"/>
      <c r="FP279" s="858"/>
      <c r="FQ279" s="858"/>
      <c r="FR279" s="858"/>
      <c r="FS279" s="858"/>
      <c r="FT279" s="858"/>
      <c r="FU279" s="858"/>
      <c r="FV279" s="858"/>
      <c r="FW279" s="858"/>
      <c r="FX279" s="858"/>
      <c r="FY279" s="858"/>
      <c r="FZ279" s="858"/>
      <c r="GA279" s="858"/>
      <c r="GB279" s="858"/>
      <c r="GC279" s="858"/>
      <c r="GD279" s="858"/>
      <c r="GE279" s="858"/>
      <c r="GF279" s="858"/>
      <c r="GG279" s="858"/>
      <c r="GH279" s="858"/>
      <c r="GI279" s="858"/>
      <c r="GJ279" s="858"/>
      <c r="GK279" s="858"/>
      <c r="GL279" s="858"/>
      <c r="GM279" s="858"/>
      <c r="GN279" s="858"/>
      <c r="GO279" s="858"/>
      <c r="GP279" s="858"/>
      <c r="GQ279" s="858"/>
      <c r="GR279" s="858"/>
      <c r="GS279" s="858"/>
      <c r="GT279" s="858"/>
      <c r="GU279" s="858"/>
      <c r="GV279" s="858"/>
      <c r="GW279" s="858"/>
      <c r="GX279" s="858"/>
      <c r="GY279" s="858"/>
      <c r="GZ279" s="858"/>
      <c r="HA279" s="858"/>
      <c r="HB279" s="858"/>
      <c r="HC279" s="858"/>
      <c r="HD279" s="858"/>
      <c r="HE279" s="858"/>
      <c r="HF279" s="858"/>
      <c r="HG279" s="858"/>
      <c r="HH279" s="858"/>
      <c r="HI279" s="858"/>
      <c r="HJ279" s="858"/>
      <c r="HK279" s="858"/>
      <c r="HL279" s="858"/>
      <c r="HM279" s="858"/>
      <c r="HN279" s="858"/>
      <c r="HO279" s="858"/>
      <c r="HP279" s="858"/>
      <c r="HQ279" s="858"/>
      <c r="HR279" s="858"/>
      <c r="HS279" s="858"/>
      <c r="HT279" s="858"/>
      <c r="HU279" s="858"/>
      <c r="HV279" s="858"/>
      <c r="HW279" s="858"/>
      <c r="HX279" s="858"/>
      <c r="HY279" s="858"/>
      <c r="HZ279" s="858"/>
      <c r="IA279" s="858"/>
      <c r="IB279" s="858"/>
      <c r="IC279" s="858"/>
      <c r="ID279" s="858"/>
      <c r="IE279" s="858"/>
      <c r="IF279" s="858"/>
      <c r="IG279" s="858"/>
      <c r="IH279" s="858"/>
      <c r="II279" s="858"/>
      <c r="IJ279" s="858"/>
      <c r="IK279" s="858"/>
      <c r="IL279" s="858"/>
      <c r="IM279" s="858"/>
      <c r="IN279" s="858"/>
    </row>
    <row r="280" spans="1:248">
      <c r="A280" s="568" t="s">
        <v>28</v>
      </c>
      <c r="B280" s="566">
        <v>34056.199999999997</v>
      </c>
      <c r="C280" s="566">
        <f t="shared" si="41"/>
        <v>30.063098945643809</v>
      </c>
      <c r="D280" s="569">
        <v>31038.1</v>
      </c>
      <c r="E280" s="859">
        <f t="shared" si="42"/>
        <v>27.398872199035328</v>
      </c>
      <c r="F280" s="859">
        <v>3018.0999999999985</v>
      </c>
      <c r="G280" s="859">
        <f t="shared" si="43"/>
        <v>2.6642267466084748</v>
      </c>
      <c r="H280" s="377">
        <v>113282.4</v>
      </c>
      <c r="I280" s="858"/>
      <c r="J280" s="858"/>
      <c r="K280" s="858"/>
      <c r="L280" s="858"/>
      <c r="M280" s="858"/>
      <c r="N280" s="858"/>
      <c r="O280" s="858"/>
      <c r="P280" s="858"/>
      <c r="Q280" s="858"/>
      <c r="R280" s="858"/>
      <c r="S280" s="858"/>
      <c r="T280" s="858"/>
      <c r="U280" s="858"/>
      <c r="V280" s="858"/>
      <c r="W280" s="858"/>
      <c r="X280" s="858"/>
      <c r="Y280" s="858"/>
      <c r="Z280" s="858"/>
      <c r="AA280" s="858"/>
      <c r="AB280" s="858"/>
      <c r="AC280" s="858"/>
      <c r="AD280" s="858"/>
      <c r="AE280" s="858"/>
      <c r="AF280" s="858"/>
      <c r="AG280" s="858"/>
      <c r="AH280" s="858"/>
      <c r="AI280" s="858"/>
      <c r="AJ280" s="858"/>
      <c r="AK280" s="858"/>
      <c r="AL280" s="858"/>
      <c r="AM280" s="858"/>
      <c r="AN280" s="858"/>
      <c r="AO280" s="858"/>
      <c r="AP280" s="858"/>
      <c r="AQ280" s="858"/>
      <c r="AR280" s="858"/>
      <c r="AS280" s="858"/>
      <c r="AT280" s="858"/>
      <c r="AU280" s="858"/>
      <c r="AV280" s="858"/>
      <c r="AW280" s="858"/>
      <c r="AX280" s="858"/>
      <c r="AY280" s="858"/>
      <c r="AZ280" s="858"/>
      <c r="BA280" s="858"/>
      <c r="BB280" s="858"/>
      <c r="BC280" s="858"/>
      <c r="BD280" s="858"/>
      <c r="BE280" s="858"/>
      <c r="BF280" s="858"/>
      <c r="BG280" s="858"/>
      <c r="BH280" s="858"/>
      <c r="BI280" s="858"/>
      <c r="BJ280" s="858"/>
      <c r="BK280" s="858"/>
      <c r="BL280" s="858"/>
      <c r="BM280" s="858"/>
      <c r="BN280" s="858"/>
      <c r="BO280" s="858"/>
      <c r="BP280" s="858"/>
      <c r="BQ280" s="858"/>
      <c r="BR280" s="858"/>
      <c r="BS280" s="858"/>
      <c r="BT280" s="858"/>
      <c r="BU280" s="858"/>
      <c r="BV280" s="858"/>
      <c r="BW280" s="858"/>
      <c r="BX280" s="858"/>
      <c r="BY280" s="858"/>
      <c r="BZ280" s="858"/>
      <c r="CA280" s="858"/>
      <c r="CB280" s="858"/>
      <c r="CC280" s="858"/>
      <c r="CD280" s="858"/>
      <c r="CE280" s="858"/>
      <c r="CF280" s="858"/>
      <c r="CG280" s="858"/>
      <c r="CH280" s="858"/>
      <c r="CI280" s="858"/>
      <c r="CJ280" s="858"/>
      <c r="CK280" s="858"/>
      <c r="CL280" s="858"/>
      <c r="CM280" s="858"/>
      <c r="CN280" s="858"/>
      <c r="CO280" s="858"/>
      <c r="CP280" s="858"/>
      <c r="CQ280" s="858"/>
      <c r="CR280" s="858"/>
      <c r="CS280" s="858"/>
      <c r="CT280" s="858"/>
      <c r="CU280" s="858"/>
      <c r="CV280" s="858"/>
      <c r="CW280" s="858"/>
      <c r="CX280" s="858"/>
      <c r="CY280" s="858"/>
      <c r="CZ280" s="858"/>
      <c r="DA280" s="858"/>
      <c r="DB280" s="858"/>
      <c r="DC280" s="858"/>
      <c r="DD280" s="858"/>
      <c r="DE280" s="858"/>
      <c r="DF280" s="858"/>
      <c r="DG280" s="858"/>
      <c r="DH280" s="858"/>
      <c r="DI280" s="858"/>
      <c r="DJ280" s="858"/>
      <c r="DK280" s="858"/>
      <c r="DL280" s="858"/>
      <c r="DM280" s="858"/>
      <c r="DN280" s="858"/>
      <c r="DO280" s="858"/>
      <c r="DP280" s="858"/>
      <c r="DQ280" s="858"/>
      <c r="DR280" s="858"/>
      <c r="DS280" s="858"/>
      <c r="DT280" s="858"/>
      <c r="DU280" s="858"/>
      <c r="DV280" s="858"/>
      <c r="DW280" s="858"/>
      <c r="DX280" s="858"/>
      <c r="DY280" s="858"/>
      <c r="DZ280" s="858"/>
      <c r="EA280" s="858"/>
      <c r="EB280" s="858"/>
      <c r="EC280" s="858"/>
      <c r="ED280" s="858"/>
      <c r="EE280" s="858"/>
      <c r="EF280" s="858"/>
      <c r="EG280" s="858"/>
      <c r="EH280" s="858"/>
      <c r="EI280" s="858"/>
      <c r="EJ280" s="858"/>
      <c r="EK280" s="858"/>
      <c r="EL280" s="858"/>
      <c r="EM280" s="858"/>
      <c r="EN280" s="858"/>
      <c r="EO280" s="858"/>
      <c r="EP280" s="858"/>
      <c r="EQ280" s="858"/>
      <c r="ER280" s="858"/>
      <c r="ES280" s="858"/>
      <c r="ET280" s="858"/>
      <c r="EU280" s="858"/>
      <c r="EV280" s="858"/>
      <c r="EW280" s="858"/>
      <c r="EX280" s="858"/>
      <c r="EY280" s="858"/>
      <c r="EZ280" s="858"/>
      <c r="FA280" s="858"/>
      <c r="FB280" s="858"/>
      <c r="FC280" s="858"/>
      <c r="FD280" s="858"/>
      <c r="FE280" s="858"/>
      <c r="FF280" s="858"/>
      <c r="FG280" s="858"/>
      <c r="FH280" s="858"/>
      <c r="FI280" s="858"/>
      <c r="FJ280" s="858"/>
      <c r="FK280" s="858"/>
      <c r="FL280" s="858"/>
      <c r="FM280" s="858"/>
      <c r="FN280" s="858"/>
      <c r="FO280" s="858"/>
      <c r="FP280" s="858"/>
      <c r="FQ280" s="858"/>
      <c r="FR280" s="858"/>
      <c r="FS280" s="858"/>
      <c r="FT280" s="858"/>
      <c r="FU280" s="858"/>
      <c r="FV280" s="858"/>
      <c r="FW280" s="858"/>
      <c r="FX280" s="858"/>
      <c r="FY280" s="858"/>
      <c r="FZ280" s="858"/>
      <c r="GA280" s="858"/>
      <c r="GB280" s="858"/>
      <c r="GC280" s="858"/>
      <c r="GD280" s="858"/>
      <c r="GE280" s="858"/>
      <c r="GF280" s="858"/>
      <c r="GG280" s="858"/>
      <c r="GH280" s="858"/>
      <c r="GI280" s="858"/>
      <c r="GJ280" s="858"/>
      <c r="GK280" s="858"/>
      <c r="GL280" s="858"/>
      <c r="GM280" s="858"/>
      <c r="GN280" s="858"/>
      <c r="GO280" s="858"/>
      <c r="GP280" s="858"/>
      <c r="GQ280" s="858"/>
      <c r="GR280" s="858"/>
      <c r="GS280" s="858"/>
      <c r="GT280" s="858"/>
      <c r="GU280" s="858"/>
      <c r="GV280" s="858"/>
      <c r="GW280" s="858"/>
      <c r="GX280" s="858"/>
      <c r="GY280" s="858"/>
      <c r="GZ280" s="858"/>
      <c r="HA280" s="858"/>
      <c r="HB280" s="858"/>
      <c r="HC280" s="858"/>
      <c r="HD280" s="858"/>
      <c r="HE280" s="858"/>
      <c r="HF280" s="858"/>
      <c r="HG280" s="858"/>
      <c r="HH280" s="858"/>
      <c r="HI280" s="858"/>
      <c r="HJ280" s="858"/>
      <c r="HK280" s="858"/>
      <c r="HL280" s="858"/>
      <c r="HM280" s="858"/>
      <c r="HN280" s="858"/>
      <c r="HO280" s="858"/>
      <c r="HP280" s="858"/>
      <c r="HQ280" s="858"/>
      <c r="HR280" s="858"/>
      <c r="HS280" s="858"/>
      <c r="HT280" s="858"/>
      <c r="HU280" s="858"/>
      <c r="HV280" s="858"/>
      <c r="HW280" s="858"/>
      <c r="HX280" s="858"/>
      <c r="HY280" s="858"/>
      <c r="HZ280" s="858"/>
      <c r="IA280" s="858"/>
      <c r="IB280" s="858"/>
      <c r="IC280" s="858"/>
      <c r="ID280" s="858"/>
      <c r="IE280" s="858"/>
      <c r="IF280" s="858"/>
      <c r="IG280" s="858"/>
      <c r="IH280" s="858"/>
      <c r="II280" s="858"/>
      <c r="IJ280" s="858"/>
      <c r="IK280" s="858"/>
      <c r="IL280" s="858"/>
      <c r="IM280" s="858"/>
      <c r="IN280" s="858"/>
    </row>
    <row r="281" spans="1:248">
      <c r="A281" s="568" t="s">
        <v>29</v>
      </c>
      <c r="B281" s="566">
        <v>37161.800000000003</v>
      </c>
      <c r="C281" s="566">
        <f t="shared" si="41"/>
        <v>29.414819094960308</v>
      </c>
      <c r="D281" s="569">
        <v>37712.720000000001</v>
      </c>
      <c r="E281" s="859">
        <f t="shared" si="42"/>
        <v>29.850890871241205</v>
      </c>
      <c r="F281" s="859">
        <f>B281-D281</f>
        <v>-550.91999999999825</v>
      </c>
      <c r="G281" s="859">
        <f t="shared" si="43"/>
        <v>-0.4360717762808981</v>
      </c>
      <c r="H281" s="377">
        <v>126337</v>
      </c>
      <c r="I281" s="858"/>
      <c r="J281" s="858"/>
      <c r="K281" s="858"/>
      <c r="L281" s="858"/>
      <c r="M281" s="858"/>
      <c r="N281" s="858"/>
      <c r="O281" s="858"/>
      <c r="P281" s="858"/>
      <c r="Q281" s="858"/>
      <c r="R281" s="858"/>
      <c r="S281" s="858"/>
      <c r="T281" s="858"/>
      <c r="U281" s="858"/>
      <c r="V281" s="858"/>
      <c r="W281" s="858"/>
      <c r="X281" s="858"/>
      <c r="Y281" s="858"/>
      <c r="Z281" s="858"/>
      <c r="AA281" s="858"/>
      <c r="AB281" s="858"/>
      <c r="AC281" s="858"/>
      <c r="AD281" s="858"/>
      <c r="AE281" s="858"/>
      <c r="AF281" s="858"/>
      <c r="AG281" s="858"/>
      <c r="AH281" s="858"/>
      <c r="AI281" s="858"/>
      <c r="AJ281" s="858"/>
      <c r="AK281" s="858"/>
      <c r="AL281" s="858"/>
      <c r="AM281" s="858"/>
      <c r="AN281" s="858"/>
      <c r="AO281" s="858"/>
      <c r="AP281" s="858"/>
      <c r="AQ281" s="858"/>
      <c r="AR281" s="858"/>
      <c r="AS281" s="858"/>
      <c r="AT281" s="858"/>
      <c r="AU281" s="858"/>
      <c r="AV281" s="858"/>
      <c r="AW281" s="858"/>
      <c r="AX281" s="858"/>
      <c r="AY281" s="858"/>
      <c r="AZ281" s="858"/>
      <c r="BA281" s="858"/>
      <c r="BB281" s="858"/>
      <c r="BC281" s="858"/>
      <c r="BD281" s="858"/>
      <c r="BE281" s="858"/>
      <c r="BF281" s="858"/>
      <c r="BG281" s="858"/>
      <c r="BH281" s="858"/>
      <c r="BI281" s="858"/>
      <c r="BJ281" s="858"/>
      <c r="BK281" s="858"/>
      <c r="BL281" s="858"/>
      <c r="BM281" s="858"/>
      <c r="BN281" s="858"/>
      <c r="BO281" s="858"/>
      <c r="BP281" s="858"/>
      <c r="BQ281" s="858"/>
      <c r="BR281" s="858"/>
      <c r="BS281" s="858"/>
      <c r="BT281" s="858"/>
      <c r="BU281" s="858"/>
      <c r="BV281" s="858"/>
      <c r="BW281" s="858"/>
      <c r="BX281" s="858"/>
      <c r="BY281" s="858"/>
      <c r="BZ281" s="858"/>
      <c r="CA281" s="858"/>
      <c r="CB281" s="858"/>
      <c r="CC281" s="858"/>
      <c r="CD281" s="858"/>
      <c r="CE281" s="858"/>
      <c r="CF281" s="858"/>
      <c r="CG281" s="858"/>
      <c r="CH281" s="858"/>
      <c r="CI281" s="858"/>
      <c r="CJ281" s="858"/>
      <c r="CK281" s="858"/>
      <c r="CL281" s="858"/>
      <c r="CM281" s="858"/>
      <c r="CN281" s="858"/>
      <c r="CO281" s="858"/>
      <c r="CP281" s="858"/>
      <c r="CQ281" s="858"/>
      <c r="CR281" s="858"/>
      <c r="CS281" s="858"/>
      <c r="CT281" s="858"/>
      <c r="CU281" s="858"/>
      <c r="CV281" s="858"/>
      <c r="CW281" s="858"/>
      <c r="CX281" s="858"/>
      <c r="CY281" s="858"/>
      <c r="CZ281" s="858"/>
      <c r="DA281" s="858"/>
      <c r="DB281" s="858"/>
      <c r="DC281" s="858"/>
      <c r="DD281" s="858"/>
      <c r="DE281" s="858"/>
      <c r="DF281" s="858"/>
      <c r="DG281" s="858"/>
      <c r="DH281" s="858"/>
      <c r="DI281" s="858"/>
      <c r="DJ281" s="858"/>
      <c r="DK281" s="858"/>
      <c r="DL281" s="858"/>
      <c r="DM281" s="858"/>
      <c r="DN281" s="858"/>
      <c r="DO281" s="858"/>
      <c r="DP281" s="858"/>
      <c r="DQ281" s="858"/>
      <c r="DR281" s="858"/>
      <c r="DS281" s="858"/>
      <c r="DT281" s="858"/>
      <c r="DU281" s="858"/>
      <c r="DV281" s="858"/>
      <c r="DW281" s="858"/>
      <c r="DX281" s="858"/>
      <c r="DY281" s="858"/>
      <c r="DZ281" s="858"/>
      <c r="EA281" s="858"/>
      <c r="EB281" s="858"/>
      <c r="EC281" s="858"/>
      <c r="ED281" s="858"/>
      <c r="EE281" s="858"/>
      <c r="EF281" s="858"/>
      <c r="EG281" s="858"/>
      <c r="EH281" s="858"/>
      <c r="EI281" s="858"/>
      <c r="EJ281" s="858"/>
      <c r="EK281" s="858"/>
      <c r="EL281" s="858"/>
      <c r="EM281" s="858"/>
      <c r="EN281" s="858"/>
      <c r="EO281" s="858"/>
      <c r="EP281" s="858"/>
      <c r="EQ281" s="858"/>
      <c r="ER281" s="858"/>
      <c r="ES281" s="858"/>
      <c r="ET281" s="858"/>
      <c r="EU281" s="858"/>
      <c r="EV281" s="858"/>
      <c r="EW281" s="858"/>
      <c r="EX281" s="858"/>
      <c r="EY281" s="858"/>
      <c r="EZ281" s="858"/>
      <c r="FA281" s="858"/>
      <c r="FB281" s="858"/>
      <c r="FC281" s="858"/>
      <c r="FD281" s="858"/>
      <c r="FE281" s="858"/>
      <c r="FF281" s="858"/>
      <c r="FG281" s="858"/>
      <c r="FH281" s="858"/>
      <c r="FI281" s="858"/>
      <c r="FJ281" s="858"/>
      <c r="FK281" s="858"/>
      <c r="FL281" s="858"/>
      <c r="FM281" s="858"/>
      <c r="FN281" s="858"/>
      <c r="FO281" s="858"/>
      <c r="FP281" s="858"/>
      <c r="FQ281" s="858"/>
      <c r="FR281" s="858"/>
      <c r="FS281" s="858"/>
      <c r="FT281" s="858"/>
      <c r="FU281" s="858"/>
      <c r="FV281" s="858"/>
      <c r="FW281" s="858"/>
      <c r="FX281" s="858"/>
      <c r="FY281" s="858"/>
      <c r="FZ281" s="858"/>
      <c r="GA281" s="858"/>
      <c r="GB281" s="858"/>
      <c r="GC281" s="858"/>
      <c r="GD281" s="858"/>
      <c r="GE281" s="858"/>
      <c r="GF281" s="858"/>
      <c r="GG281" s="858"/>
      <c r="GH281" s="858"/>
      <c r="GI281" s="858"/>
      <c r="GJ281" s="858"/>
      <c r="GK281" s="858"/>
      <c r="GL281" s="858"/>
      <c r="GM281" s="858"/>
      <c r="GN281" s="858"/>
      <c r="GO281" s="858"/>
      <c r="GP281" s="858"/>
      <c r="GQ281" s="858"/>
      <c r="GR281" s="858"/>
      <c r="GS281" s="858"/>
      <c r="GT281" s="858"/>
      <c r="GU281" s="858"/>
      <c r="GV281" s="858"/>
      <c r="GW281" s="858"/>
      <c r="GX281" s="858"/>
      <c r="GY281" s="858"/>
      <c r="GZ281" s="858"/>
      <c r="HA281" s="858"/>
      <c r="HB281" s="858"/>
      <c r="HC281" s="858"/>
      <c r="HD281" s="858"/>
      <c r="HE281" s="858"/>
      <c r="HF281" s="858"/>
      <c r="HG281" s="858"/>
      <c r="HH281" s="858"/>
      <c r="HI281" s="858"/>
      <c r="HJ281" s="858"/>
      <c r="HK281" s="858"/>
      <c r="HL281" s="858"/>
      <c r="HM281" s="858"/>
      <c r="HN281" s="858"/>
      <c r="HO281" s="858"/>
      <c r="HP281" s="858"/>
      <c r="HQ281" s="858"/>
      <c r="HR281" s="858"/>
      <c r="HS281" s="858"/>
      <c r="HT281" s="858"/>
      <c r="HU281" s="858"/>
      <c r="HV281" s="858"/>
      <c r="HW281" s="858"/>
      <c r="HX281" s="858"/>
      <c r="HY281" s="858"/>
      <c r="HZ281" s="858"/>
      <c r="IA281" s="858"/>
      <c r="IB281" s="858"/>
      <c r="IC281" s="858"/>
      <c r="ID281" s="858"/>
      <c r="IE281" s="858"/>
      <c r="IF281" s="858"/>
      <c r="IG281" s="858"/>
      <c r="IH281" s="858"/>
      <c r="II281" s="858"/>
      <c r="IJ281" s="858"/>
      <c r="IK281" s="858"/>
      <c r="IL281" s="858"/>
      <c r="IM281" s="858"/>
      <c r="IN281" s="858"/>
    </row>
    <row r="282" spans="1:248">
      <c r="A282" s="568" t="s">
        <v>4202</v>
      </c>
      <c r="B282" s="561">
        <v>39131.199999999997</v>
      </c>
      <c r="C282" s="561">
        <f t="shared" si="41"/>
        <v>30.312175623963931</v>
      </c>
      <c r="D282" s="565">
        <v>38603.599999999999</v>
      </c>
      <c r="E282" s="860">
        <f t="shared" si="42"/>
        <v>29.903481184253334</v>
      </c>
      <c r="F282" s="860">
        <v>527.59999999999854</v>
      </c>
      <c r="G282" s="860">
        <f t="shared" si="43"/>
        <v>0.40869443971059732</v>
      </c>
      <c r="H282" s="858">
        <v>129094</v>
      </c>
      <c r="I282" s="858"/>
      <c r="J282" s="858"/>
      <c r="K282" s="858"/>
      <c r="L282" s="858"/>
      <c r="M282" s="858"/>
      <c r="N282" s="858"/>
      <c r="O282" s="858"/>
      <c r="P282" s="858"/>
      <c r="Q282" s="858"/>
      <c r="R282" s="858"/>
      <c r="S282" s="858"/>
      <c r="T282" s="858"/>
      <c r="U282" s="858"/>
      <c r="V282" s="858"/>
      <c r="W282" s="858"/>
      <c r="X282" s="858"/>
      <c r="Y282" s="858"/>
      <c r="Z282" s="858"/>
      <c r="AA282" s="858"/>
      <c r="AB282" s="858"/>
      <c r="AC282" s="858"/>
      <c r="AD282" s="858"/>
      <c r="AE282" s="858"/>
      <c r="AF282" s="858"/>
      <c r="AG282" s="858"/>
      <c r="AH282" s="858"/>
      <c r="AI282" s="858"/>
      <c r="AJ282" s="858"/>
      <c r="AK282" s="858"/>
      <c r="AL282" s="858"/>
      <c r="AM282" s="858"/>
      <c r="AN282" s="858"/>
      <c r="AO282" s="858"/>
      <c r="AP282" s="858"/>
      <c r="AQ282" s="858"/>
      <c r="AR282" s="858"/>
      <c r="AS282" s="858"/>
      <c r="AT282" s="858"/>
      <c r="AU282" s="858"/>
      <c r="AV282" s="858"/>
      <c r="AW282" s="858"/>
      <c r="AX282" s="858"/>
      <c r="AY282" s="858"/>
      <c r="AZ282" s="858"/>
      <c r="BA282" s="858"/>
      <c r="BB282" s="858"/>
      <c r="BC282" s="858"/>
      <c r="BD282" s="858"/>
      <c r="BE282" s="858"/>
      <c r="BF282" s="858"/>
      <c r="BG282" s="858"/>
      <c r="BH282" s="858"/>
      <c r="BI282" s="858"/>
      <c r="BJ282" s="858"/>
      <c r="BK282" s="858"/>
      <c r="BL282" s="858"/>
      <c r="BM282" s="858"/>
      <c r="BN282" s="858"/>
      <c r="BO282" s="858"/>
      <c r="BP282" s="858"/>
      <c r="BQ282" s="858"/>
      <c r="BR282" s="858"/>
      <c r="BS282" s="858"/>
      <c r="BT282" s="858"/>
      <c r="BU282" s="858"/>
      <c r="BV282" s="858"/>
      <c r="BW282" s="858"/>
      <c r="BX282" s="858"/>
      <c r="BY282" s="858"/>
      <c r="BZ282" s="858"/>
      <c r="CA282" s="858"/>
      <c r="CB282" s="858"/>
      <c r="CC282" s="858"/>
      <c r="CD282" s="858"/>
      <c r="CE282" s="858"/>
      <c r="CF282" s="858"/>
      <c r="CG282" s="858"/>
      <c r="CH282" s="858"/>
      <c r="CI282" s="858"/>
      <c r="CJ282" s="858"/>
      <c r="CK282" s="858"/>
      <c r="CL282" s="858"/>
      <c r="CM282" s="858"/>
      <c r="CN282" s="858"/>
      <c r="CO282" s="858"/>
      <c r="CP282" s="858"/>
      <c r="CQ282" s="858"/>
      <c r="CR282" s="858"/>
      <c r="CS282" s="858"/>
      <c r="CT282" s="858"/>
      <c r="CU282" s="858"/>
      <c r="CV282" s="858"/>
      <c r="CW282" s="858"/>
      <c r="CX282" s="858"/>
      <c r="CY282" s="858"/>
      <c r="CZ282" s="858"/>
      <c r="DA282" s="858"/>
      <c r="DB282" s="858"/>
      <c r="DC282" s="858"/>
      <c r="DD282" s="858"/>
      <c r="DE282" s="858"/>
      <c r="DF282" s="858"/>
      <c r="DG282" s="858"/>
      <c r="DH282" s="858"/>
      <c r="DI282" s="858"/>
      <c r="DJ282" s="858"/>
      <c r="DK282" s="858"/>
      <c r="DL282" s="858"/>
      <c r="DM282" s="858"/>
      <c r="DN282" s="858"/>
      <c r="DO282" s="858"/>
      <c r="DP282" s="858"/>
      <c r="DQ282" s="858"/>
      <c r="DR282" s="858"/>
      <c r="DS282" s="858"/>
      <c r="DT282" s="858"/>
      <c r="DU282" s="858"/>
      <c r="DV282" s="858"/>
      <c r="DW282" s="858"/>
      <c r="DX282" s="858"/>
      <c r="DY282" s="858"/>
      <c r="DZ282" s="858"/>
      <c r="EA282" s="858"/>
      <c r="EB282" s="858"/>
      <c r="EC282" s="858"/>
      <c r="ED282" s="858"/>
      <c r="EE282" s="858"/>
      <c r="EF282" s="858"/>
      <c r="EG282" s="858"/>
      <c r="EH282" s="858"/>
      <c r="EI282" s="858"/>
      <c r="EJ282" s="858"/>
      <c r="EK282" s="858"/>
      <c r="EL282" s="858"/>
      <c r="EM282" s="858"/>
      <c r="EN282" s="858"/>
      <c r="EO282" s="858"/>
      <c r="EP282" s="858"/>
      <c r="EQ282" s="858"/>
      <c r="ER282" s="858"/>
      <c r="ES282" s="858"/>
      <c r="ET282" s="858"/>
      <c r="EU282" s="858"/>
      <c r="EV282" s="858"/>
      <c r="EW282" s="858"/>
      <c r="EX282" s="858"/>
      <c r="EY282" s="858"/>
      <c r="EZ282" s="858"/>
      <c r="FA282" s="858"/>
      <c r="FB282" s="858"/>
      <c r="FC282" s="858"/>
      <c r="FD282" s="858"/>
      <c r="FE282" s="858"/>
      <c r="FF282" s="858"/>
      <c r="FG282" s="858"/>
      <c r="FH282" s="858"/>
      <c r="FI282" s="858"/>
      <c r="FJ282" s="858"/>
      <c r="FK282" s="858"/>
      <c r="FL282" s="858"/>
      <c r="FM282" s="858"/>
      <c r="FN282" s="858"/>
      <c r="FO282" s="858"/>
      <c r="FP282" s="858"/>
      <c r="FQ282" s="858"/>
      <c r="FR282" s="858"/>
      <c r="FS282" s="858"/>
      <c r="FT282" s="858"/>
      <c r="FU282" s="858"/>
      <c r="FV282" s="858"/>
      <c r="FW282" s="858"/>
      <c r="FX282" s="858"/>
      <c r="FY282" s="858"/>
      <c r="FZ282" s="858"/>
      <c r="GA282" s="858"/>
      <c r="GB282" s="858"/>
      <c r="GC282" s="858"/>
      <c r="GD282" s="858"/>
      <c r="GE282" s="858"/>
      <c r="GF282" s="858"/>
      <c r="GG282" s="858"/>
      <c r="GH282" s="858"/>
      <c r="GI282" s="858"/>
      <c r="GJ282" s="858"/>
      <c r="GK282" s="858"/>
      <c r="GL282" s="858"/>
      <c r="GM282" s="858"/>
      <c r="GN282" s="858"/>
      <c r="GO282" s="858"/>
      <c r="GP282" s="858"/>
      <c r="GQ282" s="858"/>
      <c r="GR282" s="858"/>
      <c r="GS282" s="858"/>
      <c r="GT282" s="858"/>
      <c r="GU282" s="858"/>
      <c r="GV282" s="858"/>
      <c r="GW282" s="858"/>
      <c r="GX282" s="858"/>
      <c r="GY282" s="858"/>
      <c r="GZ282" s="858"/>
      <c r="HA282" s="858"/>
      <c r="HB282" s="858"/>
      <c r="HC282" s="858"/>
      <c r="HD282" s="858"/>
      <c r="HE282" s="858"/>
      <c r="HF282" s="858"/>
      <c r="HG282" s="858"/>
      <c r="HH282" s="858"/>
      <c r="HI282" s="858"/>
      <c r="HJ282" s="858"/>
      <c r="HK282" s="858"/>
      <c r="HL282" s="858"/>
      <c r="HM282" s="858"/>
      <c r="HN282" s="858"/>
      <c r="HO282" s="858"/>
      <c r="HP282" s="858"/>
      <c r="HQ282" s="858"/>
      <c r="HR282" s="858"/>
      <c r="HS282" s="858"/>
      <c r="HT282" s="858"/>
      <c r="HU282" s="858"/>
      <c r="HV282" s="858"/>
      <c r="HW282" s="858"/>
      <c r="HX282" s="858"/>
      <c r="HY282" s="858"/>
      <c r="HZ282" s="858"/>
      <c r="IA282" s="858"/>
      <c r="IB282" s="858"/>
      <c r="IC282" s="858"/>
      <c r="ID282" s="858"/>
      <c r="IE282" s="858"/>
      <c r="IF282" s="858"/>
      <c r="IG282" s="858"/>
      <c r="IH282" s="858"/>
      <c r="II282" s="858"/>
      <c r="IJ282" s="858"/>
      <c r="IK282" s="858"/>
      <c r="IL282" s="858"/>
      <c r="IM282" s="858"/>
      <c r="IN282" s="858"/>
    </row>
    <row r="283" spans="1:248">
      <c r="A283" s="568" t="s">
        <v>18</v>
      </c>
      <c r="B283" s="566">
        <v>4051.4</v>
      </c>
      <c r="C283" s="566">
        <f t="shared" si="41"/>
        <v>42.961973234926084</v>
      </c>
      <c r="D283" s="569">
        <v>2339.6</v>
      </c>
      <c r="E283" s="859">
        <f t="shared" si="42"/>
        <v>24.809654090051108</v>
      </c>
      <c r="F283" s="859">
        <v>1711.8000000000002</v>
      </c>
      <c r="G283" s="859">
        <f t="shared" si="43"/>
        <v>18.152319144874976</v>
      </c>
      <c r="H283" s="858">
        <v>9430.2000000000007</v>
      </c>
      <c r="I283" s="858"/>
      <c r="J283" s="858"/>
      <c r="K283" s="858"/>
      <c r="L283" s="858"/>
      <c r="M283" s="858"/>
      <c r="N283" s="858"/>
      <c r="O283" s="858"/>
      <c r="P283" s="858"/>
      <c r="Q283" s="858"/>
      <c r="R283" s="858"/>
      <c r="S283" s="858"/>
      <c r="T283" s="858"/>
      <c r="U283" s="858"/>
      <c r="V283" s="858"/>
      <c r="W283" s="858"/>
      <c r="X283" s="858"/>
      <c r="Y283" s="858"/>
      <c r="Z283" s="858"/>
      <c r="AA283" s="858"/>
      <c r="AB283" s="858"/>
      <c r="AC283" s="858"/>
      <c r="AD283" s="858"/>
      <c r="AE283" s="858"/>
      <c r="AF283" s="858"/>
      <c r="AG283" s="858"/>
      <c r="AH283" s="858"/>
      <c r="AI283" s="858"/>
      <c r="AJ283" s="858"/>
      <c r="AK283" s="858"/>
      <c r="AL283" s="858"/>
      <c r="AM283" s="858"/>
      <c r="AN283" s="858"/>
      <c r="AO283" s="858"/>
      <c r="AP283" s="858"/>
      <c r="AQ283" s="858"/>
      <c r="AR283" s="858"/>
      <c r="AS283" s="858"/>
      <c r="AT283" s="858"/>
      <c r="AU283" s="858"/>
      <c r="AV283" s="858"/>
      <c r="AW283" s="858"/>
      <c r="AX283" s="858"/>
      <c r="AY283" s="858"/>
      <c r="AZ283" s="858"/>
      <c r="BA283" s="858"/>
      <c r="BB283" s="858"/>
      <c r="BC283" s="858"/>
      <c r="BD283" s="858"/>
      <c r="BE283" s="858"/>
      <c r="BF283" s="858"/>
      <c r="BG283" s="858"/>
      <c r="BH283" s="858"/>
      <c r="BI283" s="858"/>
      <c r="BJ283" s="858"/>
      <c r="BK283" s="858"/>
      <c r="BL283" s="858"/>
      <c r="BM283" s="858"/>
      <c r="BN283" s="858"/>
      <c r="BO283" s="858"/>
      <c r="BP283" s="858"/>
      <c r="BQ283" s="858"/>
      <c r="BR283" s="858"/>
      <c r="BS283" s="858"/>
      <c r="BT283" s="858"/>
      <c r="BU283" s="858"/>
      <c r="BV283" s="858"/>
      <c r="BW283" s="858"/>
      <c r="BX283" s="858"/>
      <c r="BY283" s="858"/>
      <c r="BZ283" s="858"/>
      <c r="CA283" s="858"/>
      <c r="CB283" s="858"/>
      <c r="CC283" s="858"/>
      <c r="CD283" s="858"/>
      <c r="CE283" s="858"/>
      <c r="CF283" s="858"/>
      <c r="CG283" s="858"/>
      <c r="CH283" s="858"/>
      <c r="CI283" s="858"/>
      <c r="CJ283" s="858"/>
      <c r="CK283" s="858"/>
      <c r="CL283" s="858"/>
      <c r="CM283" s="858"/>
      <c r="CN283" s="858"/>
      <c r="CO283" s="858"/>
      <c r="CP283" s="858"/>
      <c r="CQ283" s="858"/>
      <c r="CR283" s="858"/>
      <c r="CS283" s="858"/>
      <c r="CT283" s="858"/>
      <c r="CU283" s="858"/>
      <c r="CV283" s="858"/>
      <c r="CW283" s="858"/>
      <c r="CX283" s="858"/>
      <c r="CY283" s="858"/>
      <c r="CZ283" s="858"/>
      <c r="DA283" s="858"/>
      <c r="DB283" s="858"/>
      <c r="DC283" s="858"/>
      <c r="DD283" s="858"/>
      <c r="DE283" s="858"/>
      <c r="DF283" s="858"/>
      <c r="DG283" s="858"/>
      <c r="DH283" s="858"/>
      <c r="DI283" s="858"/>
      <c r="DJ283" s="858"/>
      <c r="DK283" s="858"/>
      <c r="DL283" s="858"/>
      <c r="DM283" s="858"/>
      <c r="DN283" s="858"/>
      <c r="DO283" s="858"/>
      <c r="DP283" s="858"/>
      <c r="DQ283" s="858"/>
      <c r="DR283" s="858"/>
      <c r="DS283" s="858"/>
      <c r="DT283" s="858"/>
      <c r="DU283" s="858"/>
      <c r="DV283" s="858"/>
      <c r="DW283" s="858"/>
      <c r="DX283" s="858"/>
      <c r="DY283" s="858"/>
      <c r="DZ283" s="858"/>
      <c r="EA283" s="858"/>
      <c r="EB283" s="858"/>
      <c r="EC283" s="858"/>
      <c r="ED283" s="858"/>
      <c r="EE283" s="858"/>
      <c r="EF283" s="858"/>
      <c r="EG283" s="858"/>
      <c r="EH283" s="858"/>
      <c r="EI283" s="858"/>
      <c r="EJ283" s="858"/>
      <c r="EK283" s="858"/>
      <c r="EL283" s="858"/>
      <c r="EM283" s="858"/>
      <c r="EN283" s="858"/>
      <c r="EO283" s="858"/>
      <c r="EP283" s="858"/>
      <c r="EQ283" s="858"/>
      <c r="ER283" s="858"/>
      <c r="ES283" s="858"/>
      <c r="ET283" s="858"/>
      <c r="EU283" s="858"/>
      <c r="EV283" s="858"/>
      <c r="EW283" s="858"/>
      <c r="EX283" s="858"/>
      <c r="EY283" s="858"/>
      <c r="EZ283" s="858"/>
      <c r="FA283" s="858"/>
      <c r="FB283" s="858"/>
      <c r="FC283" s="858"/>
      <c r="FD283" s="858"/>
      <c r="FE283" s="858"/>
      <c r="FF283" s="858"/>
      <c r="FG283" s="858"/>
      <c r="FH283" s="858"/>
      <c r="FI283" s="858"/>
      <c r="FJ283" s="858"/>
      <c r="FK283" s="858"/>
      <c r="FL283" s="858"/>
      <c r="FM283" s="858"/>
      <c r="FN283" s="858"/>
      <c r="FO283" s="858"/>
      <c r="FP283" s="858"/>
      <c r="FQ283" s="858"/>
      <c r="FR283" s="858"/>
      <c r="FS283" s="858"/>
      <c r="FT283" s="858"/>
      <c r="FU283" s="858"/>
      <c r="FV283" s="858"/>
      <c r="FW283" s="858"/>
      <c r="FX283" s="858"/>
      <c r="FY283" s="858"/>
      <c r="FZ283" s="858"/>
      <c r="GA283" s="858"/>
      <c r="GB283" s="858"/>
      <c r="GC283" s="858"/>
      <c r="GD283" s="858"/>
      <c r="GE283" s="858"/>
      <c r="GF283" s="858"/>
      <c r="GG283" s="858"/>
      <c r="GH283" s="858"/>
      <c r="GI283" s="858"/>
      <c r="GJ283" s="858"/>
      <c r="GK283" s="858"/>
      <c r="GL283" s="858"/>
      <c r="GM283" s="858"/>
      <c r="GN283" s="858"/>
      <c r="GO283" s="858"/>
      <c r="GP283" s="858"/>
      <c r="GQ283" s="858"/>
      <c r="GR283" s="858"/>
      <c r="GS283" s="858"/>
      <c r="GT283" s="858"/>
      <c r="GU283" s="858"/>
      <c r="GV283" s="858"/>
      <c r="GW283" s="858"/>
      <c r="GX283" s="858"/>
      <c r="GY283" s="858"/>
      <c r="GZ283" s="858"/>
      <c r="HA283" s="858"/>
      <c r="HB283" s="858"/>
      <c r="HC283" s="858"/>
      <c r="HD283" s="858"/>
      <c r="HE283" s="858"/>
      <c r="HF283" s="858"/>
      <c r="HG283" s="858"/>
      <c r="HH283" s="858"/>
      <c r="HI283" s="858"/>
      <c r="HJ283" s="858"/>
      <c r="HK283" s="858"/>
      <c r="HL283" s="858"/>
      <c r="HM283" s="858"/>
      <c r="HN283" s="858"/>
      <c r="HO283" s="858"/>
      <c r="HP283" s="858"/>
      <c r="HQ283" s="858"/>
      <c r="HR283" s="858"/>
      <c r="HS283" s="858"/>
      <c r="HT283" s="858"/>
      <c r="HU283" s="858"/>
      <c r="HV283" s="858"/>
      <c r="HW283" s="858"/>
      <c r="HX283" s="858"/>
      <c r="HY283" s="858"/>
      <c r="HZ283" s="858"/>
      <c r="IA283" s="858"/>
      <c r="IB283" s="858"/>
      <c r="IC283" s="858"/>
      <c r="ID283" s="858"/>
      <c r="IE283" s="858"/>
      <c r="IF283" s="858"/>
      <c r="IG283" s="858"/>
      <c r="IH283" s="858"/>
      <c r="II283" s="858"/>
      <c r="IJ283" s="858"/>
      <c r="IK283" s="858"/>
      <c r="IL283" s="858"/>
      <c r="IM283" s="858"/>
      <c r="IN283" s="858"/>
    </row>
    <row r="284" spans="1:248">
      <c r="A284" s="568" t="s">
        <v>19</v>
      </c>
      <c r="B284" s="566">
        <v>6737.6</v>
      </c>
      <c r="C284" s="566">
        <f t="shared" si="41"/>
        <v>35.326810750726189</v>
      </c>
      <c r="D284" s="569">
        <v>5366</v>
      </c>
      <c r="E284" s="859">
        <f t="shared" si="42"/>
        <v>28.13519153532366</v>
      </c>
      <c r="F284" s="859">
        <v>1371.6000000000004</v>
      </c>
      <c r="G284" s="859">
        <f t="shared" si="43"/>
        <v>7.1916192154025245</v>
      </c>
      <c r="H284" s="858">
        <v>19072.2</v>
      </c>
      <c r="I284" s="858"/>
      <c r="J284" s="858"/>
      <c r="K284" s="858"/>
      <c r="L284" s="858"/>
      <c r="M284" s="858"/>
      <c r="N284" s="858"/>
      <c r="O284" s="858"/>
      <c r="P284" s="858"/>
      <c r="Q284" s="858"/>
      <c r="R284" s="858"/>
      <c r="S284" s="858"/>
      <c r="T284" s="858"/>
      <c r="U284" s="858"/>
      <c r="V284" s="858"/>
      <c r="W284" s="858"/>
      <c r="X284" s="858"/>
      <c r="Y284" s="858"/>
      <c r="Z284" s="858"/>
      <c r="AA284" s="858"/>
      <c r="AB284" s="858"/>
      <c r="AC284" s="858"/>
      <c r="AD284" s="858"/>
      <c r="AE284" s="858"/>
      <c r="AF284" s="858"/>
      <c r="AG284" s="858"/>
      <c r="AH284" s="858"/>
      <c r="AI284" s="858"/>
      <c r="AJ284" s="858"/>
      <c r="AK284" s="858"/>
      <c r="AL284" s="858"/>
      <c r="AM284" s="858"/>
      <c r="AN284" s="858"/>
      <c r="AO284" s="858"/>
      <c r="AP284" s="858"/>
      <c r="AQ284" s="858"/>
      <c r="AR284" s="858"/>
      <c r="AS284" s="858"/>
      <c r="AT284" s="858"/>
      <c r="AU284" s="858"/>
      <c r="AV284" s="858"/>
      <c r="AW284" s="858"/>
      <c r="AX284" s="858"/>
      <c r="AY284" s="858"/>
      <c r="AZ284" s="858"/>
      <c r="BA284" s="858"/>
      <c r="BB284" s="858"/>
      <c r="BC284" s="858"/>
      <c r="BD284" s="858"/>
      <c r="BE284" s="858"/>
      <c r="BF284" s="858"/>
      <c r="BG284" s="858"/>
      <c r="BH284" s="858"/>
      <c r="BI284" s="858"/>
      <c r="BJ284" s="858"/>
      <c r="BK284" s="858"/>
      <c r="BL284" s="858"/>
      <c r="BM284" s="858"/>
      <c r="BN284" s="858"/>
      <c r="BO284" s="858"/>
      <c r="BP284" s="858"/>
      <c r="BQ284" s="858"/>
      <c r="BR284" s="858"/>
      <c r="BS284" s="858"/>
      <c r="BT284" s="858"/>
      <c r="BU284" s="858"/>
      <c r="BV284" s="858"/>
      <c r="BW284" s="858"/>
      <c r="BX284" s="858"/>
      <c r="BY284" s="858"/>
      <c r="BZ284" s="858"/>
      <c r="CA284" s="858"/>
      <c r="CB284" s="858"/>
      <c r="CC284" s="858"/>
      <c r="CD284" s="858"/>
      <c r="CE284" s="858"/>
      <c r="CF284" s="858"/>
      <c r="CG284" s="858"/>
      <c r="CH284" s="858"/>
      <c r="CI284" s="858"/>
      <c r="CJ284" s="858"/>
      <c r="CK284" s="858"/>
      <c r="CL284" s="858"/>
      <c r="CM284" s="858"/>
      <c r="CN284" s="858"/>
      <c r="CO284" s="858"/>
      <c r="CP284" s="858"/>
      <c r="CQ284" s="858"/>
      <c r="CR284" s="858"/>
      <c r="CS284" s="858"/>
      <c r="CT284" s="858"/>
      <c r="CU284" s="858"/>
      <c r="CV284" s="858"/>
      <c r="CW284" s="858"/>
      <c r="CX284" s="858"/>
      <c r="CY284" s="858"/>
      <c r="CZ284" s="858"/>
      <c r="DA284" s="858"/>
      <c r="DB284" s="858"/>
      <c r="DC284" s="858"/>
      <c r="DD284" s="858"/>
      <c r="DE284" s="858"/>
      <c r="DF284" s="858"/>
      <c r="DG284" s="858"/>
      <c r="DH284" s="858"/>
      <c r="DI284" s="858"/>
      <c r="DJ284" s="858"/>
      <c r="DK284" s="858"/>
      <c r="DL284" s="858"/>
      <c r="DM284" s="858"/>
      <c r="DN284" s="858"/>
      <c r="DO284" s="858"/>
      <c r="DP284" s="858"/>
      <c r="DQ284" s="858"/>
      <c r="DR284" s="858"/>
      <c r="DS284" s="858"/>
      <c r="DT284" s="858"/>
      <c r="DU284" s="858"/>
      <c r="DV284" s="858"/>
      <c r="DW284" s="858"/>
      <c r="DX284" s="858"/>
      <c r="DY284" s="858"/>
      <c r="DZ284" s="858"/>
      <c r="EA284" s="858"/>
      <c r="EB284" s="858"/>
      <c r="EC284" s="858"/>
      <c r="ED284" s="858"/>
      <c r="EE284" s="858"/>
      <c r="EF284" s="858"/>
      <c r="EG284" s="858"/>
      <c r="EH284" s="858"/>
      <c r="EI284" s="858"/>
      <c r="EJ284" s="858"/>
      <c r="EK284" s="858"/>
      <c r="EL284" s="858"/>
      <c r="EM284" s="858"/>
      <c r="EN284" s="858"/>
      <c r="EO284" s="858"/>
      <c r="EP284" s="858"/>
      <c r="EQ284" s="858"/>
      <c r="ER284" s="858"/>
      <c r="ES284" s="858"/>
      <c r="ET284" s="858"/>
      <c r="EU284" s="858"/>
      <c r="EV284" s="858"/>
      <c r="EW284" s="858"/>
      <c r="EX284" s="858"/>
      <c r="EY284" s="858"/>
      <c r="EZ284" s="858"/>
      <c r="FA284" s="858"/>
      <c r="FB284" s="858"/>
      <c r="FC284" s="858"/>
      <c r="FD284" s="858"/>
      <c r="FE284" s="858"/>
      <c r="FF284" s="858"/>
      <c r="FG284" s="858"/>
      <c r="FH284" s="858"/>
      <c r="FI284" s="858"/>
      <c r="FJ284" s="858"/>
      <c r="FK284" s="858"/>
      <c r="FL284" s="858"/>
      <c r="FM284" s="858"/>
      <c r="FN284" s="858"/>
      <c r="FO284" s="858"/>
      <c r="FP284" s="858"/>
      <c r="FQ284" s="858"/>
      <c r="FR284" s="858"/>
      <c r="FS284" s="858"/>
      <c r="FT284" s="858"/>
      <c r="FU284" s="858"/>
      <c r="FV284" s="858"/>
      <c r="FW284" s="858"/>
      <c r="FX284" s="858"/>
      <c r="FY284" s="858"/>
      <c r="FZ284" s="858"/>
      <c r="GA284" s="858"/>
      <c r="GB284" s="858"/>
      <c r="GC284" s="858"/>
      <c r="GD284" s="858"/>
      <c r="GE284" s="858"/>
      <c r="GF284" s="858"/>
      <c r="GG284" s="858"/>
      <c r="GH284" s="858"/>
      <c r="GI284" s="858"/>
      <c r="GJ284" s="858"/>
      <c r="GK284" s="858"/>
      <c r="GL284" s="858"/>
      <c r="GM284" s="858"/>
      <c r="GN284" s="858"/>
      <c r="GO284" s="858"/>
      <c r="GP284" s="858"/>
      <c r="GQ284" s="858"/>
      <c r="GR284" s="858"/>
      <c r="GS284" s="858"/>
      <c r="GT284" s="858"/>
      <c r="GU284" s="858"/>
      <c r="GV284" s="858"/>
      <c r="GW284" s="858"/>
      <c r="GX284" s="858"/>
      <c r="GY284" s="858"/>
      <c r="GZ284" s="858"/>
      <c r="HA284" s="858"/>
      <c r="HB284" s="858"/>
      <c r="HC284" s="858"/>
      <c r="HD284" s="858"/>
      <c r="HE284" s="858"/>
      <c r="HF284" s="858"/>
      <c r="HG284" s="858"/>
      <c r="HH284" s="858"/>
      <c r="HI284" s="858"/>
      <c r="HJ284" s="858"/>
      <c r="HK284" s="858"/>
      <c r="HL284" s="858"/>
      <c r="HM284" s="858"/>
      <c r="HN284" s="858"/>
      <c r="HO284" s="858"/>
      <c r="HP284" s="858"/>
      <c r="HQ284" s="858"/>
      <c r="HR284" s="858"/>
      <c r="HS284" s="858"/>
      <c r="HT284" s="858"/>
      <c r="HU284" s="858"/>
      <c r="HV284" s="858"/>
      <c r="HW284" s="858"/>
      <c r="HX284" s="858"/>
      <c r="HY284" s="858"/>
      <c r="HZ284" s="858"/>
      <c r="IA284" s="858"/>
      <c r="IB284" s="858"/>
      <c r="IC284" s="858"/>
      <c r="ID284" s="858"/>
      <c r="IE284" s="858"/>
      <c r="IF284" s="858"/>
      <c r="IG284" s="858"/>
      <c r="IH284" s="858"/>
      <c r="II284" s="858"/>
      <c r="IJ284" s="858"/>
      <c r="IK284" s="858"/>
      <c r="IL284" s="858"/>
      <c r="IM284" s="858"/>
      <c r="IN284" s="858"/>
    </row>
    <row r="285" spans="1:248">
      <c r="A285" s="568" t="s">
        <v>20</v>
      </c>
      <c r="B285" s="566">
        <v>9733.4</v>
      </c>
      <c r="C285" s="566">
        <f t="shared" si="41"/>
        <v>32.560909112197209</v>
      </c>
      <c r="D285" s="569">
        <v>8115</v>
      </c>
      <c r="E285" s="859">
        <f t="shared" si="42"/>
        <v>27.146914484710415</v>
      </c>
      <c r="F285" s="859">
        <v>1618.3999999999996</v>
      </c>
      <c r="G285" s="859">
        <f t="shared" si="43"/>
        <v>5.4139946274867929</v>
      </c>
      <c r="H285" s="858">
        <v>29892.9</v>
      </c>
      <c r="I285" s="858"/>
      <c r="J285" s="858"/>
      <c r="K285" s="858"/>
      <c r="L285" s="858"/>
      <c r="M285" s="858"/>
      <c r="N285" s="858"/>
      <c r="O285" s="858"/>
      <c r="P285" s="858"/>
      <c r="Q285" s="858"/>
      <c r="R285" s="858"/>
      <c r="S285" s="858"/>
      <c r="T285" s="858"/>
      <c r="U285" s="858"/>
      <c r="V285" s="858"/>
      <c r="W285" s="858"/>
      <c r="X285" s="858"/>
      <c r="Y285" s="858"/>
      <c r="Z285" s="858"/>
      <c r="AA285" s="858"/>
      <c r="AB285" s="858"/>
      <c r="AC285" s="858"/>
      <c r="AD285" s="858"/>
      <c r="AE285" s="858"/>
      <c r="AF285" s="858"/>
      <c r="AG285" s="858"/>
      <c r="AH285" s="858"/>
      <c r="AI285" s="858"/>
      <c r="AJ285" s="858"/>
      <c r="AK285" s="858"/>
      <c r="AL285" s="858"/>
      <c r="AM285" s="858"/>
      <c r="AN285" s="858"/>
      <c r="AO285" s="858"/>
      <c r="AP285" s="858"/>
      <c r="AQ285" s="858"/>
      <c r="AR285" s="858"/>
      <c r="AS285" s="858"/>
      <c r="AT285" s="858"/>
      <c r="AU285" s="858"/>
      <c r="AV285" s="858"/>
      <c r="AW285" s="858"/>
      <c r="AX285" s="858"/>
      <c r="AY285" s="858"/>
      <c r="AZ285" s="858"/>
      <c r="BA285" s="858"/>
      <c r="BB285" s="858"/>
      <c r="BC285" s="858"/>
      <c r="BD285" s="858"/>
      <c r="BE285" s="858"/>
      <c r="BF285" s="858"/>
      <c r="BG285" s="858"/>
      <c r="BH285" s="858"/>
      <c r="BI285" s="858"/>
      <c r="BJ285" s="858"/>
      <c r="BK285" s="858"/>
      <c r="BL285" s="858"/>
      <c r="BM285" s="858"/>
      <c r="BN285" s="858"/>
      <c r="BO285" s="858"/>
      <c r="BP285" s="858"/>
      <c r="BQ285" s="858"/>
      <c r="BR285" s="858"/>
      <c r="BS285" s="858"/>
      <c r="BT285" s="858"/>
      <c r="BU285" s="858"/>
      <c r="BV285" s="858"/>
      <c r="BW285" s="858"/>
      <c r="BX285" s="858"/>
      <c r="BY285" s="858"/>
      <c r="BZ285" s="858"/>
      <c r="CA285" s="858"/>
      <c r="CB285" s="858"/>
      <c r="CC285" s="858"/>
      <c r="CD285" s="858"/>
      <c r="CE285" s="858"/>
      <c r="CF285" s="858"/>
      <c r="CG285" s="858"/>
      <c r="CH285" s="858"/>
      <c r="CI285" s="858"/>
      <c r="CJ285" s="858"/>
      <c r="CK285" s="858"/>
      <c r="CL285" s="858"/>
      <c r="CM285" s="858"/>
      <c r="CN285" s="858"/>
      <c r="CO285" s="858"/>
      <c r="CP285" s="858"/>
      <c r="CQ285" s="858"/>
      <c r="CR285" s="858"/>
      <c r="CS285" s="858"/>
      <c r="CT285" s="858"/>
      <c r="CU285" s="858"/>
      <c r="CV285" s="858"/>
      <c r="CW285" s="858"/>
      <c r="CX285" s="858"/>
      <c r="CY285" s="858"/>
      <c r="CZ285" s="858"/>
      <c r="DA285" s="858"/>
      <c r="DB285" s="858"/>
      <c r="DC285" s="858"/>
      <c r="DD285" s="858"/>
      <c r="DE285" s="858"/>
      <c r="DF285" s="858"/>
      <c r="DG285" s="858"/>
      <c r="DH285" s="858"/>
      <c r="DI285" s="858"/>
      <c r="DJ285" s="858"/>
      <c r="DK285" s="858"/>
      <c r="DL285" s="858"/>
      <c r="DM285" s="858"/>
      <c r="DN285" s="858"/>
      <c r="DO285" s="858"/>
      <c r="DP285" s="858"/>
      <c r="DQ285" s="858"/>
      <c r="DR285" s="858"/>
      <c r="DS285" s="858"/>
      <c r="DT285" s="858"/>
      <c r="DU285" s="858"/>
      <c r="DV285" s="858"/>
      <c r="DW285" s="858"/>
      <c r="DX285" s="858"/>
      <c r="DY285" s="858"/>
      <c r="DZ285" s="858"/>
      <c r="EA285" s="858"/>
      <c r="EB285" s="858"/>
      <c r="EC285" s="858"/>
      <c r="ED285" s="858"/>
      <c r="EE285" s="858"/>
      <c r="EF285" s="858"/>
      <c r="EG285" s="858"/>
      <c r="EH285" s="858"/>
      <c r="EI285" s="858"/>
      <c r="EJ285" s="858"/>
      <c r="EK285" s="858"/>
      <c r="EL285" s="858"/>
      <c r="EM285" s="858"/>
      <c r="EN285" s="858"/>
      <c r="EO285" s="858"/>
      <c r="EP285" s="858"/>
      <c r="EQ285" s="858"/>
      <c r="ER285" s="858"/>
      <c r="ES285" s="858"/>
      <c r="ET285" s="858"/>
      <c r="EU285" s="858"/>
      <c r="EV285" s="858"/>
      <c r="EW285" s="858"/>
      <c r="EX285" s="858"/>
      <c r="EY285" s="858"/>
      <c r="EZ285" s="858"/>
      <c r="FA285" s="858"/>
      <c r="FB285" s="858"/>
      <c r="FC285" s="858"/>
      <c r="FD285" s="858"/>
      <c r="FE285" s="858"/>
      <c r="FF285" s="858"/>
      <c r="FG285" s="858"/>
      <c r="FH285" s="858"/>
      <c r="FI285" s="858"/>
      <c r="FJ285" s="858"/>
      <c r="FK285" s="858"/>
      <c r="FL285" s="858"/>
      <c r="FM285" s="858"/>
      <c r="FN285" s="858"/>
      <c r="FO285" s="858"/>
      <c r="FP285" s="858"/>
      <c r="FQ285" s="858"/>
      <c r="FR285" s="858"/>
      <c r="FS285" s="858"/>
      <c r="FT285" s="858"/>
      <c r="FU285" s="858"/>
      <c r="FV285" s="858"/>
      <c r="FW285" s="858"/>
      <c r="FX285" s="858"/>
      <c r="FY285" s="858"/>
      <c r="FZ285" s="858"/>
      <c r="GA285" s="858"/>
      <c r="GB285" s="858"/>
      <c r="GC285" s="858"/>
      <c r="GD285" s="858"/>
      <c r="GE285" s="858"/>
      <c r="GF285" s="858"/>
      <c r="GG285" s="858"/>
      <c r="GH285" s="858"/>
      <c r="GI285" s="858"/>
      <c r="GJ285" s="858"/>
      <c r="GK285" s="858"/>
      <c r="GL285" s="858"/>
      <c r="GM285" s="858"/>
      <c r="GN285" s="858"/>
      <c r="GO285" s="858"/>
      <c r="GP285" s="858"/>
      <c r="GQ285" s="858"/>
      <c r="GR285" s="858"/>
      <c r="GS285" s="858"/>
      <c r="GT285" s="858"/>
      <c r="GU285" s="858"/>
      <c r="GV285" s="858"/>
      <c r="GW285" s="858"/>
      <c r="GX285" s="858"/>
      <c r="GY285" s="858"/>
      <c r="GZ285" s="858"/>
      <c r="HA285" s="858"/>
      <c r="HB285" s="858"/>
      <c r="HC285" s="858"/>
      <c r="HD285" s="858"/>
      <c r="HE285" s="858"/>
      <c r="HF285" s="858"/>
      <c r="HG285" s="858"/>
      <c r="HH285" s="858"/>
      <c r="HI285" s="858"/>
      <c r="HJ285" s="858"/>
      <c r="HK285" s="858"/>
      <c r="HL285" s="858"/>
      <c r="HM285" s="858"/>
      <c r="HN285" s="858"/>
      <c r="HO285" s="858"/>
      <c r="HP285" s="858"/>
      <c r="HQ285" s="858"/>
      <c r="HR285" s="858"/>
      <c r="HS285" s="858"/>
      <c r="HT285" s="858"/>
      <c r="HU285" s="858"/>
      <c r="HV285" s="858"/>
      <c r="HW285" s="858"/>
      <c r="HX285" s="858"/>
      <c r="HY285" s="858"/>
      <c r="HZ285" s="858"/>
      <c r="IA285" s="858"/>
      <c r="IB285" s="858"/>
      <c r="IC285" s="858"/>
      <c r="ID285" s="858"/>
      <c r="IE285" s="858"/>
      <c r="IF285" s="858"/>
      <c r="IG285" s="858"/>
      <c r="IH285" s="858"/>
      <c r="II285" s="858"/>
      <c r="IJ285" s="858"/>
      <c r="IK285" s="858"/>
      <c r="IL285" s="858"/>
      <c r="IM285" s="858"/>
      <c r="IN285" s="858"/>
    </row>
    <row r="286" spans="1:248">
      <c r="A286" s="568" t="s">
        <v>21</v>
      </c>
      <c r="B286" s="566">
        <v>13964.9</v>
      </c>
      <c r="C286" s="566">
        <f t="shared" si="41"/>
        <v>35.528853248121138</v>
      </c>
      <c r="D286" s="569">
        <v>10961.9</v>
      </c>
      <c r="E286" s="859">
        <f t="shared" si="42"/>
        <v>27.888759419729404</v>
      </c>
      <c r="F286" s="859">
        <v>3003</v>
      </c>
      <c r="G286" s="859">
        <f t="shared" si="43"/>
        <v>7.6400938283917377</v>
      </c>
      <c r="H286" s="858">
        <v>39305.800000000003</v>
      </c>
      <c r="I286" s="858"/>
      <c r="J286" s="858"/>
      <c r="K286" s="858"/>
      <c r="L286" s="858"/>
      <c r="M286" s="858"/>
      <c r="N286" s="858"/>
      <c r="O286" s="858"/>
      <c r="P286" s="858"/>
      <c r="Q286" s="858"/>
      <c r="R286" s="858"/>
      <c r="S286" s="858"/>
      <c r="T286" s="858"/>
      <c r="U286" s="858"/>
      <c r="V286" s="858"/>
      <c r="W286" s="858"/>
      <c r="X286" s="858"/>
      <c r="Y286" s="858"/>
      <c r="Z286" s="858"/>
      <c r="AA286" s="858"/>
      <c r="AB286" s="858"/>
      <c r="AC286" s="858"/>
      <c r="AD286" s="858"/>
      <c r="AE286" s="858"/>
      <c r="AF286" s="858"/>
      <c r="AG286" s="858"/>
      <c r="AH286" s="858"/>
      <c r="AI286" s="858"/>
      <c r="AJ286" s="858"/>
      <c r="AK286" s="858"/>
      <c r="AL286" s="858"/>
      <c r="AM286" s="858"/>
      <c r="AN286" s="858"/>
      <c r="AO286" s="858"/>
      <c r="AP286" s="858"/>
      <c r="AQ286" s="858"/>
      <c r="AR286" s="858"/>
      <c r="AS286" s="858"/>
      <c r="AT286" s="858"/>
      <c r="AU286" s="858"/>
      <c r="AV286" s="858"/>
      <c r="AW286" s="858"/>
      <c r="AX286" s="858"/>
      <c r="AY286" s="858"/>
      <c r="AZ286" s="858"/>
      <c r="BA286" s="858"/>
      <c r="BB286" s="858"/>
      <c r="BC286" s="858"/>
      <c r="BD286" s="858"/>
      <c r="BE286" s="858"/>
      <c r="BF286" s="858"/>
      <c r="BG286" s="858"/>
      <c r="BH286" s="858"/>
      <c r="BI286" s="858"/>
      <c r="BJ286" s="858"/>
      <c r="BK286" s="858"/>
      <c r="BL286" s="858"/>
      <c r="BM286" s="858"/>
      <c r="BN286" s="858"/>
      <c r="BO286" s="858"/>
      <c r="BP286" s="858"/>
      <c r="BQ286" s="858"/>
      <c r="BR286" s="858"/>
      <c r="BS286" s="858"/>
      <c r="BT286" s="858"/>
      <c r="BU286" s="858"/>
      <c r="BV286" s="858"/>
      <c r="BW286" s="858"/>
      <c r="BX286" s="858"/>
      <c r="BY286" s="858"/>
      <c r="BZ286" s="858"/>
      <c r="CA286" s="858"/>
      <c r="CB286" s="858"/>
      <c r="CC286" s="858"/>
      <c r="CD286" s="858"/>
      <c r="CE286" s="858"/>
      <c r="CF286" s="858"/>
      <c r="CG286" s="858"/>
      <c r="CH286" s="858"/>
      <c r="CI286" s="858"/>
      <c r="CJ286" s="858"/>
      <c r="CK286" s="858"/>
      <c r="CL286" s="858"/>
      <c r="CM286" s="858"/>
      <c r="CN286" s="858"/>
      <c r="CO286" s="858"/>
      <c r="CP286" s="858"/>
      <c r="CQ286" s="858"/>
      <c r="CR286" s="858"/>
      <c r="CS286" s="858"/>
      <c r="CT286" s="858"/>
      <c r="CU286" s="858"/>
      <c r="CV286" s="858"/>
      <c r="CW286" s="858"/>
      <c r="CX286" s="858"/>
      <c r="CY286" s="858"/>
      <c r="CZ286" s="858"/>
      <c r="DA286" s="858"/>
      <c r="DB286" s="858"/>
      <c r="DC286" s="858"/>
      <c r="DD286" s="858"/>
      <c r="DE286" s="858"/>
      <c r="DF286" s="858"/>
      <c r="DG286" s="858"/>
      <c r="DH286" s="858"/>
      <c r="DI286" s="858"/>
      <c r="DJ286" s="858"/>
      <c r="DK286" s="858"/>
      <c r="DL286" s="858"/>
      <c r="DM286" s="858"/>
      <c r="DN286" s="858"/>
      <c r="DO286" s="858"/>
      <c r="DP286" s="858"/>
      <c r="DQ286" s="858"/>
      <c r="DR286" s="858"/>
      <c r="DS286" s="858"/>
      <c r="DT286" s="858"/>
      <c r="DU286" s="858"/>
      <c r="DV286" s="858"/>
      <c r="DW286" s="858"/>
      <c r="DX286" s="858"/>
      <c r="DY286" s="858"/>
      <c r="DZ286" s="858"/>
      <c r="EA286" s="858"/>
      <c r="EB286" s="858"/>
      <c r="EC286" s="858"/>
      <c r="ED286" s="858"/>
      <c r="EE286" s="858"/>
      <c r="EF286" s="858"/>
      <c r="EG286" s="858"/>
      <c r="EH286" s="858"/>
      <c r="EI286" s="858"/>
      <c r="EJ286" s="858"/>
      <c r="EK286" s="858"/>
      <c r="EL286" s="858"/>
      <c r="EM286" s="858"/>
      <c r="EN286" s="858"/>
      <c r="EO286" s="858"/>
      <c r="EP286" s="858"/>
      <c r="EQ286" s="858"/>
      <c r="ER286" s="858"/>
      <c r="ES286" s="858"/>
      <c r="ET286" s="858"/>
      <c r="EU286" s="858"/>
      <c r="EV286" s="858"/>
      <c r="EW286" s="858"/>
      <c r="EX286" s="858"/>
      <c r="EY286" s="858"/>
      <c r="EZ286" s="858"/>
      <c r="FA286" s="858"/>
      <c r="FB286" s="858"/>
      <c r="FC286" s="858"/>
      <c r="FD286" s="858"/>
      <c r="FE286" s="858"/>
      <c r="FF286" s="858"/>
      <c r="FG286" s="858"/>
      <c r="FH286" s="858"/>
      <c r="FI286" s="858"/>
      <c r="FJ286" s="858"/>
      <c r="FK286" s="858"/>
      <c r="FL286" s="858"/>
      <c r="FM286" s="858"/>
      <c r="FN286" s="858"/>
      <c r="FO286" s="858"/>
      <c r="FP286" s="858"/>
      <c r="FQ286" s="858"/>
      <c r="FR286" s="858"/>
      <c r="FS286" s="858"/>
      <c r="FT286" s="858"/>
      <c r="FU286" s="858"/>
      <c r="FV286" s="858"/>
      <c r="FW286" s="858"/>
      <c r="FX286" s="858"/>
      <c r="FY286" s="858"/>
      <c r="FZ286" s="858"/>
      <c r="GA286" s="858"/>
      <c r="GB286" s="858"/>
      <c r="GC286" s="858"/>
      <c r="GD286" s="858"/>
      <c r="GE286" s="858"/>
      <c r="GF286" s="858"/>
      <c r="GG286" s="858"/>
      <c r="GH286" s="858"/>
      <c r="GI286" s="858"/>
      <c r="GJ286" s="858"/>
      <c r="GK286" s="858"/>
      <c r="GL286" s="858"/>
      <c r="GM286" s="858"/>
      <c r="GN286" s="858"/>
      <c r="GO286" s="858"/>
      <c r="GP286" s="858"/>
      <c r="GQ286" s="858"/>
      <c r="GR286" s="858"/>
      <c r="GS286" s="858"/>
      <c r="GT286" s="858"/>
      <c r="GU286" s="858"/>
      <c r="GV286" s="858"/>
      <c r="GW286" s="858"/>
      <c r="GX286" s="858"/>
      <c r="GY286" s="858"/>
      <c r="GZ286" s="858"/>
      <c r="HA286" s="858"/>
      <c r="HB286" s="858"/>
      <c r="HC286" s="858"/>
      <c r="HD286" s="858"/>
      <c r="HE286" s="858"/>
      <c r="HF286" s="858"/>
      <c r="HG286" s="858"/>
      <c r="HH286" s="858"/>
      <c r="HI286" s="858"/>
      <c r="HJ286" s="858"/>
      <c r="HK286" s="858"/>
      <c r="HL286" s="858"/>
      <c r="HM286" s="858"/>
      <c r="HN286" s="858"/>
      <c r="HO286" s="858"/>
      <c r="HP286" s="858"/>
      <c r="HQ286" s="858"/>
      <c r="HR286" s="858"/>
      <c r="HS286" s="858"/>
      <c r="HT286" s="858"/>
      <c r="HU286" s="858"/>
      <c r="HV286" s="858"/>
      <c r="HW286" s="858"/>
      <c r="HX286" s="858"/>
      <c r="HY286" s="858"/>
      <c r="HZ286" s="858"/>
      <c r="IA286" s="858"/>
      <c r="IB286" s="858"/>
      <c r="IC286" s="858"/>
      <c r="ID286" s="858"/>
      <c r="IE286" s="858"/>
      <c r="IF286" s="858"/>
      <c r="IG286" s="858"/>
      <c r="IH286" s="858"/>
      <c r="II286" s="858"/>
      <c r="IJ286" s="858"/>
      <c r="IK286" s="858"/>
      <c r="IL286" s="858"/>
      <c r="IM286" s="858"/>
      <c r="IN286" s="858"/>
    </row>
    <row r="287" spans="1:248">
      <c r="A287" s="568" t="s">
        <v>22</v>
      </c>
      <c r="B287" s="566">
        <v>17138</v>
      </c>
      <c r="C287" s="566">
        <f t="shared" si="41"/>
        <v>34.207926226808652</v>
      </c>
      <c r="D287" s="569">
        <v>13691.8</v>
      </c>
      <c r="E287" s="859">
        <f t="shared" si="42"/>
        <v>27.329214862423772</v>
      </c>
      <c r="F287" s="859">
        <v>3446.2000000000007</v>
      </c>
      <c r="G287" s="859">
        <f t="shared" si="43"/>
        <v>6.8787113643848752</v>
      </c>
      <c r="H287" s="858">
        <v>50099.5</v>
      </c>
      <c r="I287" s="858"/>
      <c r="J287" s="858"/>
      <c r="K287" s="858"/>
      <c r="L287" s="858"/>
      <c r="M287" s="858"/>
      <c r="N287" s="858"/>
      <c r="O287" s="858"/>
      <c r="P287" s="858"/>
      <c r="Q287" s="858"/>
      <c r="R287" s="858"/>
      <c r="S287" s="858"/>
      <c r="T287" s="858"/>
      <c r="U287" s="858"/>
      <c r="V287" s="858"/>
      <c r="W287" s="858"/>
      <c r="X287" s="858"/>
      <c r="Y287" s="858"/>
      <c r="Z287" s="858"/>
      <c r="AA287" s="858"/>
      <c r="AB287" s="858"/>
      <c r="AC287" s="858"/>
      <c r="AD287" s="858"/>
      <c r="AE287" s="858"/>
      <c r="AF287" s="858"/>
      <c r="AG287" s="858"/>
      <c r="AH287" s="858"/>
      <c r="AI287" s="858"/>
      <c r="AJ287" s="858"/>
      <c r="AK287" s="858"/>
      <c r="AL287" s="858"/>
      <c r="AM287" s="858"/>
      <c r="AN287" s="858"/>
      <c r="AO287" s="858"/>
      <c r="AP287" s="858"/>
      <c r="AQ287" s="858"/>
      <c r="AR287" s="858"/>
      <c r="AS287" s="858"/>
      <c r="AT287" s="858"/>
      <c r="AU287" s="858"/>
      <c r="AV287" s="858"/>
      <c r="AW287" s="858"/>
      <c r="AX287" s="858"/>
      <c r="AY287" s="858"/>
      <c r="AZ287" s="858"/>
      <c r="BA287" s="858"/>
      <c r="BB287" s="858"/>
      <c r="BC287" s="858"/>
      <c r="BD287" s="858"/>
      <c r="BE287" s="858"/>
      <c r="BF287" s="858"/>
      <c r="BG287" s="858"/>
      <c r="BH287" s="858"/>
      <c r="BI287" s="858"/>
      <c r="BJ287" s="858"/>
      <c r="BK287" s="858"/>
      <c r="BL287" s="858"/>
      <c r="BM287" s="858"/>
      <c r="BN287" s="858"/>
      <c r="BO287" s="858"/>
      <c r="BP287" s="858"/>
      <c r="BQ287" s="858"/>
      <c r="BR287" s="858"/>
      <c r="BS287" s="858"/>
      <c r="BT287" s="858"/>
      <c r="BU287" s="858"/>
      <c r="BV287" s="858"/>
      <c r="BW287" s="858"/>
      <c r="BX287" s="858"/>
      <c r="BY287" s="858"/>
      <c r="BZ287" s="858"/>
      <c r="CA287" s="858"/>
      <c r="CB287" s="858"/>
      <c r="CC287" s="858"/>
      <c r="CD287" s="858"/>
      <c r="CE287" s="858"/>
      <c r="CF287" s="858"/>
      <c r="CG287" s="858"/>
      <c r="CH287" s="858"/>
      <c r="CI287" s="858"/>
      <c r="CJ287" s="858"/>
      <c r="CK287" s="858"/>
      <c r="CL287" s="858"/>
      <c r="CM287" s="858"/>
      <c r="CN287" s="858"/>
      <c r="CO287" s="858"/>
      <c r="CP287" s="858"/>
      <c r="CQ287" s="858"/>
      <c r="CR287" s="858"/>
      <c r="CS287" s="858"/>
      <c r="CT287" s="858"/>
      <c r="CU287" s="858"/>
      <c r="CV287" s="858"/>
      <c r="CW287" s="858"/>
      <c r="CX287" s="858"/>
      <c r="CY287" s="858"/>
      <c r="CZ287" s="858"/>
      <c r="DA287" s="858"/>
      <c r="DB287" s="858"/>
      <c r="DC287" s="858"/>
      <c r="DD287" s="858"/>
      <c r="DE287" s="858"/>
      <c r="DF287" s="858"/>
      <c r="DG287" s="858"/>
      <c r="DH287" s="858"/>
      <c r="DI287" s="858"/>
      <c r="DJ287" s="858"/>
      <c r="DK287" s="858"/>
      <c r="DL287" s="858"/>
      <c r="DM287" s="858"/>
      <c r="DN287" s="858"/>
      <c r="DO287" s="858"/>
      <c r="DP287" s="858"/>
      <c r="DQ287" s="858"/>
      <c r="DR287" s="858"/>
      <c r="DS287" s="858"/>
      <c r="DT287" s="858"/>
      <c r="DU287" s="858"/>
      <c r="DV287" s="858"/>
      <c r="DW287" s="858"/>
      <c r="DX287" s="858"/>
      <c r="DY287" s="858"/>
      <c r="DZ287" s="858"/>
      <c r="EA287" s="858"/>
      <c r="EB287" s="858"/>
      <c r="EC287" s="858"/>
      <c r="ED287" s="858"/>
      <c r="EE287" s="858"/>
      <c r="EF287" s="858"/>
      <c r="EG287" s="858"/>
      <c r="EH287" s="858"/>
      <c r="EI287" s="858"/>
      <c r="EJ287" s="858"/>
      <c r="EK287" s="858"/>
      <c r="EL287" s="858"/>
      <c r="EM287" s="858"/>
      <c r="EN287" s="858"/>
      <c r="EO287" s="858"/>
      <c r="EP287" s="858"/>
      <c r="EQ287" s="858"/>
      <c r="ER287" s="858"/>
      <c r="ES287" s="858"/>
      <c r="ET287" s="858"/>
      <c r="EU287" s="858"/>
      <c r="EV287" s="858"/>
      <c r="EW287" s="858"/>
      <c r="EX287" s="858"/>
      <c r="EY287" s="858"/>
      <c r="EZ287" s="858"/>
      <c r="FA287" s="858"/>
      <c r="FB287" s="858"/>
      <c r="FC287" s="858"/>
      <c r="FD287" s="858"/>
      <c r="FE287" s="858"/>
      <c r="FF287" s="858"/>
      <c r="FG287" s="858"/>
      <c r="FH287" s="858"/>
      <c r="FI287" s="858"/>
      <c r="FJ287" s="858"/>
      <c r="FK287" s="858"/>
      <c r="FL287" s="858"/>
      <c r="FM287" s="858"/>
      <c r="FN287" s="858"/>
      <c r="FO287" s="858"/>
      <c r="FP287" s="858"/>
      <c r="FQ287" s="858"/>
      <c r="FR287" s="858"/>
      <c r="FS287" s="858"/>
      <c r="FT287" s="858"/>
      <c r="FU287" s="858"/>
      <c r="FV287" s="858"/>
      <c r="FW287" s="858"/>
      <c r="FX287" s="858"/>
      <c r="FY287" s="858"/>
      <c r="FZ287" s="858"/>
      <c r="GA287" s="858"/>
      <c r="GB287" s="858"/>
      <c r="GC287" s="858"/>
      <c r="GD287" s="858"/>
      <c r="GE287" s="858"/>
      <c r="GF287" s="858"/>
      <c r="GG287" s="858"/>
      <c r="GH287" s="858"/>
      <c r="GI287" s="858"/>
      <c r="GJ287" s="858"/>
      <c r="GK287" s="858"/>
      <c r="GL287" s="858"/>
      <c r="GM287" s="858"/>
      <c r="GN287" s="858"/>
      <c r="GO287" s="858"/>
      <c r="GP287" s="858"/>
      <c r="GQ287" s="858"/>
      <c r="GR287" s="858"/>
      <c r="GS287" s="858"/>
      <c r="GT287" s="858"/>
      <c r="GU287" s="858"/>
      <c r="GV287" s="858"/>
      <c r="GW287" s="858"/>
      <c r="GX287" s="858"/>
      <c r="GY287" s="858"/>
      <c r="GZ287" s="858"/>
      <c r="HA287" s="858"/>
      <c r="HB287" s="858"/>
      <c r="HC287" s="858"/>
      <c r="HD287" s="858"/>
      <c r="HE287" s="858"/>
      <c r="HF287" s="858"/>
      <c r="HG287" s="858"/>
      <c r="HH287" s="858"/>
      <c r="HI287" s="858"/>
      <c r="HJ287" s="858"/>
      <c r="HK287" s="858"/>
      <c r="HL287" s="858"/>
      <c r="HM287" s="858"/>
      <c r="HN287" s="858"/>
      <c r="HO287" s="858"/>
      <c r="HP287" s="858"/>
      <c r="HQ287" s="858"/>
      <c r="HR287" s="858"/>
      <c r="HS287" s="858"/>
      <c r="HT287" s="858"/>
      <c r="HU287" s="858"/>
      <c r="HV287" s="858"/>
      <c r="HW287" s="858"/>
      <c r="HX287" s="858"/>
      <c r="HY287" s="858"/>
      <c r="HZ287" s="858"/>
      <c r="IA287" s="858"/>
      <c r="IB287" s="858"/>
      <c r="IC287" s="858"/>
      <c r="ID287" s="858"/>
      <c r="IE287" s="858"/>
      <c r="IF287" s="858"/>
      <c r="IG287" s="858"/>
      <c r="IH287" s="858"/>
      <c r="II287" s="858"/>
      <c r="IJ287" s="858"/>
      <c r="IK287" s="858"/>
      <c r="IL287" s="858"/>
      <c r="IM287" s="858"/>
      <c r="IN287" s="858"/>
    </row>
    <row r="288" spans="1:248">
      <c r="A288" s="568" t="s">
        <v>23</v>
      </c>
      <c r="B288" s="566">
        <v>19803.900000000001</v>
      </c>
      <c r="C288" s="566">
        <f t="shared" si="41"/>
        <v>31.901537093536863</v>
      </c>
      <c r="D288" s="569">
        <v>17095.599999999999</v>
      </c>
      <c r="E288" s="859">
        <f t="shared" si="42"/>
        <v>27.538813947569356</v>
      </c>
      <c r="F288" s="859">
        <v>2708.3000000000029</v>
      </c>
      <c r="G288" s="859">
        <f t="shared" si="43"/>
        <v>4.3627231459675109</v>
      </c>
      <c r="H288" s="858">
        <v>62078.2</v>
      </c>
      <c r="I288" s="858"/>
      <c r="J288" s="858"/>
      <c r="K288" s="858"/>
      <c r="L288" s="858"/>
      <c r="M288" s="858"/>
      <c r="N288" s="858"/>
      <c r="O288" s="858"/>
      <c r="P288" s="858"/>
      <c r="Q288" s="858"/>
      <c r="R288" s="858"/>
      <c r="S288" s="858"/>
      <c r="T288" s="858"/>
      <c r="U288" s="858"/>
      <c r="V288" s="858"/>
      <c r="W288" s="858"/>
      <c r="X288" s="858"/>
      <c r="Y288" s="858"/>
      <c r="Z288" s="858"/>
      <c r="AA288" s="858"/>
      <c r="AB288" s="858"/>
      <c r="AC288" s="858"/>
      <c r="AD288" s="858"/>
      <c r="AE288" s="858"/>
      <c r="AF288" s="858"/>
      <c r="AG288" s="858"/>
      <c r="AH288" s="858"/>
      <c r="AI288" s="858"/>
      <c r="AJ288" s="858"/>
      <c r="AK288" s="858"/>
      <c r="AL288" s="858"/>
      <c r="AM288" s="858"/>
      <c r="AN288" s="858"/>
      <c r="AO288" s="858"/>
      <c r="AP288" s="858"/>
      <c r="AQ288" s="858"/>
      <c r="AR288" s="858"/>
      <c r="AS288" s="858"/>
      <c r="AT288" s="858"/>
      <c r="AU288" s="858"/>
      <c r="AV288" s="858"/>
      <c r="AW288" s="858"/>
      <c r="AX288" s="858"/>
      <c r="AY288" s="858"/>
      <c r="AZ288" s="858"/>
      <c r="BA288" s="858"/>
      <c r="BB288" s="858"/>
      <c r="BC288" s="858"/>
      <c r="BD288" s="858"/>
      <c r="BE288" s="858"/>
      <c r="BF288" s="858"/>
      <c r="BG288" s="858"/>
      <c r="BH288" s="858"/>
      <c r="BI288" s="858"/>
      <c r="BJ288" s="858"/>
      <c r="BK288" s="858"/>
      <c r="BL288" s="858"/>
      <c r="BM288" s="858"/>
      <c r="BN288" s="858"/>
      <c r="BO288" s="858"/>
      <c r="BP288" s="858"/>
      <c r="BQ288" s="858"/>
      <c r="BR288" s="858"/>
      <c r="BS288" s="858"/>
      <c r="BT288" s="858"/>
      <c r="BU288" s="858"/>
      <c r="BV288" s="858"/>
      <c r="BW288" s="858"/>
      <c r="BX288" s="858"/>
      <c r="BY288" s="858"/>
      <c r="BZ288" s="858"/>
      <c r="CA288" s="858"/>
      <c r="CB288" s="858"/>
      <c r="CC288" s="858"/>
      <c r="CD288" s="858"/>
      <c r="CE288" s="858"/>
      <c r="CF288" s="858"/>
      <c r="CG288" s="858"/>
      <c r="CH288" s="858"/>
      <c r="CI288" s="858"/>
      <c r="CJ288" s="858"/>
      <c r="CK288" s="858"/>
      <c r="CL288" s="858"/>
      <c r="CM288" s="858"/>
      <c r="CN288" s="858"/>
      <c r="CO288" s="858"/>
      <c r="CP288" s="858"/>
      <c r="CQ288" s="858"/>
      <c r="CR288" s="858"/>
      <c r="CS288" s="858"/>
      <c r="CT288" s="858"/>
      <c r="CU288" s="858"/>
      <c r="CV288" s="858"/>
      <c r="CW288" s="858"/>
      <c r="CX288" s="858"/>
      <c r="CY288" s="858"/>
      <c r="CZ288" s="858"/>
      <c r="DA288" s="858"/>
      <c r="DB288" s="858"/>
      <c r="DC288" s="858"/>
      <c r="DD288" s="858"/>
      <c r="DE288" s="858"/>
      <c r="DF288" s="858"/>
      <c r="DG288" s="858"/>
      <c r="DH288" s="858"/>
      <c r="DI288" s="858"/>
      <c r="DJ288" s="858"/>
      <c r="DK288" s="858"/>
      <c r="DL288" s="858"/>
      <c r="DM288" s="858"/>
      <c r="DN288" s="858"/>
      <c r="DO288" s="858"/>
      <c r="DP288" s="858"/>
      <c r="DQ288" s="858"/>
      <c r="DR288" s="858"/>
      <c r="DS288" s="858"/>
      <c r="DT288" s="858"/>
      <c r="DU288" s="858"/>
      <c r="DV288" s="858"/>
      <c r="DW288" s="858"/>
      <c r="DX288" s="858"/>
      <c r="DY288" s="858"/>
      <c r="DZ288" s="858"/>
      <c r="EA288" s="858"/>
      <c r="EB288" s="858"/>
      <c r="EC288" s="858"/>
      <c r="ED288" s="858"/>
      <c r="EE288" s="858"/>
      <c r="EF288" s="858"/>
      <c r="EG288" s="858"/>
      <c r="EH288" s="858"/>
      <c r="EI288" s="858"/>
      <c r="EJ288" s="858"/>
      <c r="EK288" s="858"/>
      <c r="EL288" s="858"/>
      <c r="EM288" s="858"/>
      <c r="EN288" s="858"/>
      <c r="EO288" s="858"/>
      <c r="EP288" s="858"/>
      <c r="EQ288" s="858"/>
      <c r="ER288" s="858"/>
      <c r="ES288" s="858"/>
      <c r="ET288" s="858"/>
      <c r="EU288" s="858"/>
      <c r="EV288" s="858"/>
      <c r="EW288" s="858"/>
      <c r="EX288" s="858"/>
      <c r="EY288" s="858"/>
      <c r="EZ288" s="858"/>
      <c r="FA288" s="858"/>
      <c r="FB288" s="858"/>
      <c r="FC288" s="858"/>
      <c r="FD288" s="858"/>
      <c r="FE288" s="858"/>
      <c r="FF288" s="858"/>
      <c r="FG288" s="858"/>
      <c r="FH288" s="858"/>
      <c r="FI288" s="858"/>
      <c r="FJ288" s="858"/>
      <c r="FK288" s="858"/>
      <c r="FL288" s="858"/>
      <c r="FM288" s="858"/>
      <c r="FN288" s="858"/>
      <c r="FO288" s="858"/>
      <c r="FP288" s="858"/>
      <c r="FQ288" s="858"/>
      <c r="FR288" s="858"/>
      <c r="FS288" s="858"/>
      <c r="FT288" s="858"/>
      <c r="FU288" s="858"/>
      <c r="FV288" s="858"/>
      <c r="FW288" s="858"/>
      <c r="FX288" s="858"/>
      <c r="FY288" s="858"/>
      <c r="FZ288" s="858"/>
      <c r="GA288" s="858"/>
      <c r="GB288" s="858"/>
      <c r="GC288" s="858"/>
      <c r="GD288" s="858"/>
      <c r="GE288" s="858"/>
      <c r="GF288" s="858"/>
      <c r="GG288" s="858"/>
      <c r="GH288" s="858"/>
      <c r="GI288" s="858"/>
      <c r="GJ288" s="858"/>
      <c r="GK288" s="858"/>
      <c r="GL288" s="858"/>
      <c r="GM288" s="858"/>
      <c r="GN288" s="858"/>
      <c r="GO288" s="858"/>
      <c r="GP288" s="858"/>
      <c r="GQ288" s="858"/>
      <c r="GR288" s="858"/>
      <c r="GS288" s="858"/>
      <c r="GT288" s="858"/>
      <c r="GU288" s="858"/>
      <c r="GV288" s="858"/>
      <c r="GW288" s="858"/>
      <c r="GX288" s="858"/>
      <c r="GY288" s="858"/>
      <c r="GZ288" s="858"/>
      <c r="HA288" s="858"/>
      <c r="HB288" s="858"/>
      <c r="HC288" s="858"/>
      <c r="HD288" s="858"/>
      <c r="HE288" s="858"/>
      <c r="HF288" s="858"/>
      <c r="HG288" s="858"/>
      <c r="HH288" s="858"/>
      <c r="HI288" s="858"/>
      <c r="HJ288" s="858"/>
      <c r="HK288" s="858"/>
      <c r="HL288" s="858"/>
      <c r="HM288" s="858"/>
      <c r="HN288" s="858"/>
      <c r="HO288" s="858"/>
      <c r="HP288" s="858"/>
      <c r="HQ288" s="858"/>
      <c r="HR288" s="858"/>
      <c r="HS288" s="858"/>
      <c r="HT288" s="858"/>
      <c r="HU288" s="858"/>
      <c r="HV288" s="858"/>
      <c r="HW288" s="858"/>
      <c r="HX288" s="858"/>
      <c r="HY288" s="858"/>
      <c r="HZ288" s="858"/>
      <c r="IA288" s="858"/>
      <c r="IB288" s="858"/>
      <c r="IC288" s="858"/>
      <c r="ID288" s="858"/>
      <c r="IE288" s="858"/>
      <c r="IF288" s="858"/>
      <c r="IG288" s="858"/>
      <c r="IH288" s="858"/>
      <c r="II288" s="858"/>
      <c r="IJ288" s="858"/>
      <c r="IK288" s="858"/>
      <c r="IL288" s="858"/>
      <c r="IM288" s="858"/>
      <c r="IN288" s="858"/>
    </row>
    <row r="289" spans="1:248">
      <c r="A289" s="568" t="s">
        <v>24</v>
      </c>
      <c r="B289" s="566">
        <v>23480.9</v>
      </c>
      <c r="C289" s="566">
        <f t="shared" si="41"/>
        <v>32.418793895891071</v>
      </c>
      <c r="D289" s="569">
        <v>19944.599999999999</v>
      </c>
      <c r="E289" s="859">
        <f t="shared" si="42"/>
        <v>27.536417971031302</v>
      </c>
      <c r="F289" s="859">
        <v>3536.3000000000029</v>
      </c>
      <c r="G289" s="859">
        <f t="shared" si="43"/>
        <v>4.8823759248597653</v>
      </c>
      <c r="H289" s="33">
        <v>72429.899999999994</v>
      </c>
      <c r="I289" s="858"/>
      <c r="J289" s="858"/>
      <c r="K289" s="858"/>
      <c r="L289" s="858"/>
      <c r="M289" s="858"/>
      <c r="N289" s="858"/>
      <c r="O289" s="858"/>
      <c r="P289" s="858"/>
      <c r="Q289" s="858"/>
      <c r="R289" s="858"/>
      <c r="S289" s="858"/>
      <c r="T289" s="858"/>
      <c r="U289" s="858"/>
      <c r="V289" s="858"/>
      <c r="W289" s="858"/>
      <c r="X289" s="858"/>
      <c r="Y289" s="858"/>
      <c r="Z289" s="858"/>
      <c r="AA289" s="858"/>
      <c r="AB289" s="858"/>
      <c r="AC289" s="858"/>
      <c r="AD289" s="858"/>
      <c r="AE289" s="858"/>
      <c r="AF289" s="858"/>
      <c r="AG289" s="858"/>
      <c r="AH289" s="858"/>
      <c r="AI289" s="858"/>
      <c r="AJ289" s="858"/>
      <c r="AK289" s="858"/>
      <c r="AL289" s="858"/>
      <c r="AM289" s="858"/>
      <c r="AN289" s="858"/>
      <c r="AO289" s="858"/>
      <c r="AP289" s="858"/>
      <c r="AQ289" s="858"/>
      <c r="AR289" s="858"/>
      <c r="AS289" s="858"/>
      <c r="AT289" s="858"/>
      <c r="AU289" s="858"/>
      <c r="AV289" s="858"/>
      <c r="AW289" s="858"/>
      <c r="AX289" s="858"/>
      <c r="AY289" s="858"/>
      <c r="AZ289" s="858"/>
      <c r="BA289" s="858"/>
      <c r="BB289" s="858"/>
      <c r="BC289" s="858"/>
      <c r="BD289" s="858"/>
      <c r="BE289" s="858"/>
      <c r="BF289" s="858"/>
      <c r="BG289" s="858"/>
      <c r="BH289" s="858"/>
      <c r="BI289" s="858"/>
      <c r="BJ289" s="858"/>
      <c r="BK289" s="858"/>
      <c r="BL289" s="858"/>
      <c r="BM289" s="858"/>
      <c r="BN289" s="858"/>
      <c r="BO289" s="858"/>
      <c r="BP289" s="858"/>
      <c r="BQ289" s="858"/>
      <c r="BR289" s="858"/>
      <c r="BS289" s="858"/>
      <c r="BT289" s="858"/>
      <c r="BU289" s="858"/>
      <c r="BV289" s="858"/>
      <c r="BW289" s="858"/>
      <c r="BX289" s="858"/>
      <c r="BY289" s="858"/>
      <c r="BZ289" s="858"/>
      <c r="CA289" s="858"/>
      <c r="CB289" s="858"/>
      <c r="CC289" s="858"/>
      <c r="CD289" s="858"/>
      <c r="CE289" s="858"/>
      <c r="CF289" s="858"/>
      <c r="CG289" s="858"/>
      <c r="CH289" s="858"/>
      <c r="CI289" s="858"/>
      <c r="CJ289" s="858"/>
      <c r="CK289" s="858"/>
      <c r="CL289" s="858"/>
      <c r="CM289" s="858"/>
      <c r="CN289" s="858"/>
      <c r="CO289" s="858"/>
      <c r="CP289" s="858"/>
      <c r="CQ289" s="858"/>
      <c r="CR289" s="858"/>
      <c r="CS289" s="858"/>
      <c r="CT289" s="858"/>
      <c r="CU289" s="858"/>
      <c r="CV289" s="858"/>
      <c r="CW289" s="858"/>
      <c r="CX289" s="858"/>
      <c r="CY289" s="858"/>
      <c r="CZ289" s="858"/>
      <c r="DA289" s="858"/>
      <c r="DB289" s="858"/>
      <c r="DC289" s="858"/>
      <c r="DD289" s="858"/>
      <c r="DE289" s="858"/>
      <c r="DF289" s="858"/>
      <c r="DG289" s="858"/>
      <c r="DH289" s="858"/>
      <c r="DI289" s="858"/>
      <c r="DJ289" s="858"/>
      <c r="DK289" s="858"/>
      <c r="DL289" s="858"/>
      <c r="DM289" s="858"/>
      <c r="DN289" s="858"/>
      <c r="DO289" s="858"/>
      <c r="DP289" s="858"/>
      <c r="DQ289" s="858"/>
      <c r="DR289" s="858"/>
      <c r="DS289" s="858"/>
      <c r="DT289" s="858"/>
      <c r="DU289" s="858"/>
      <c r="DV289" s="858"/>
      <c r="DW289" s="858"/>
      <c r="DX289" s="858"/>
      <c r="DY289" s="858"/>
      <c r="DZ289" s="858"/>
      <c r="EA289" s="858"/>
      <c r="EB289" s="858"/>
      <c r="EC289" s="858"/>
      <c r="ED289" s="858"/>
      <c r="EE289" s="858"/>
      <c r="EF289" s="858"/>
      <c r="EG289" s="858"/>
      <c r="EH289" s="858"/>
      <c r="EI289" s="858"/>
      <c r="EJ289" s="858"/>
      <c r="EK289" s="858"/>
      <c r="EL289" s="858"/>
      <c r="EM289" s="858"/>
      <c r="EN289" s="858"/>
      <c r="EO289" s="858"/>
      <c r="EP289" s="858"/>
      <c r="EQ289" s="858"/>
      <c r="ER289" s="858"/>
      <c r="ES289" s="858"/>
      <c r="ET289" s="858"/>
      <c r="EU289" s="858"/>
      <c r="EV289" s="858"/>
      <c r="EW289" s="858"/>
      <c r="EX289" s="858"/>
      <c r="EY289" s="858"/>
      <c r="EZ289" s="858"/>
      <c r="FA289" s="858"/>
      <c r="FB289" s="858"/>
      <c r="FC289" s="858"/>
      <c r="FD289" s="858"/>
      <c r="FE289" s="858"/>
      <c r="FF289" s="858"/>
      <c r="FG289" s="858"/>
      <c r="FH289" s="858"/>
      <c r="FI289" s="858"/>
      <c r="FJ289" s="858"/>
      <c r="FK289" s="858"/>
      <c r="FL289" s="858"/>
      <c r="FM289" s="858"/>
      <c r="FN289" s="858"/>
      <c r="FO289" s="858"/>
      <c r="FP289" s="858"/>
      <c r="FQ289" s="858"/>
      <c r="FR289" s="858"/>
      <c r="FS289" s="858"/>
      <c r="FT289" s="858"/>
      <c r="FU289" s="858"/>
      <c r="FV289" s="858"/>
      <c r="FW289" s="858"/>
      <c r="FX289" s="858"/>
      <c r="FY289" s="858"/>
      <c r="FZ289" s="858"/>
      <c r="GA289" s="858"/>
      <c r="GB289" s="858"/>
      <c r="GC289" s="858"/>
      <c r="GD289" s="858"/>
      <c r="GE289" s="858"/>
      <c r="GF289" s="858"/>
      <c r="GG289" s="858"/>
      <c r="GH289" s="858"/>
      <c r="GI289" s="858"/>
      <c r="GJ289" s="858"/>
      <c r="GK289" s="858"/>
      <c r="GL289" s="858"/>
      <c r="GM289" s="858"/>
      <c r="GN289" s="858"/>
      <c r="GO289" s="858"/>
      <c r="GP289" s="858"/>
      <c r="GQ289" s="858"/>
      <c r="GR289" s="858"/>
      <c r="GS289" s="858"/>
      <c r="GT289" s="858"/>
      <c r="GU289" s="858"/>
      <c r="GV289" s="858"/>
      <c r="GW289" s="858"/>
      <c r="GX289" s="858"/>
      <c r="GY289" s="858"/>
      <c r="GZ289" s="858"/>
      <c r="HA289" s="858"/>
      <c r="HB289" s="858"/>
      <c r="HC289" s="858"/>
      <c r="HD289" s="858"/>
      <c r="HE289" s="858"/>
      <c r="HF289" s="858"/>
      <c r="HG289" s="858"/>
      <c r="HH289" s="858"/>
      <c r="HI289" s="858"/>
      <c r="HJ289" s="858"/>
      <c r="HK289" s="858"/>
      <c r="HL289" s="858"/>
      <c r="HM289" s="858"/>
      <c r="HN289" s="858"/>
      <c r="HO289" s="858"/>
      <c r="HP289" s="858"/>
      <c r="HQ289" s="858"/>
      <c r="HR289" s="858"/>
      <c r="HS289" s="858"/>
      <c r="HT289" s="858"/>
      <c r="HU289" s="858"/>
      <c r="HV289" s="858"/>
      <c r="HW289" s="858"/>
      <c r="HX289" s="858"/>
      <c r="HY289" s="858"/>
      <c r="HZ289" s="858"/>
      <c r="IA289" s="858"/>
      <c r="IB289" s="858"/>
      <c r="IC289" s="858"/>
      <c r="ID289" s="858"/>
      <c r="IE289" s="858"/>
      <c r="IF289" s="858"/>
      <c r="IG289" s="858"/>
      <c r="IH289" s="858"/>
      <c r="II289" s="858"/>
      <c r="IJ289" s="858"/>
      <c r="IK289" s="858"/>
      <c r="IL289" s="858"/>
      <c r="IM289" s="858"/>
      <c r="IN289" s="858"/>
    </row>
    <row r="290" spans="1:248">
      <c r="A290" s="568" t="s">
        <v>25</v>
      </c>
      <c r="B290" s="566">
        <v>26359.4</v>
      </c>
      <c r="C290" s="566">
        <f t="shared" si="41"/>
        <v>31.743856412380865</v>
      </c>
      <c r="D290" s="569">
        <v>22308</v>
      </c>
      <c r="E290" s="859">
        <f t="shared" si="42"/>
        <v>26.864873587691392</v>
      </c>
      <c r="F290" s="859">
        <v>4051.4</v>
      </c>
      <c r="G290" s="859">
        <f t="shared" si="43"/>
        <v>4.8789828246894791</v>
      </c>
      <c r="H290" s="27">
        <v>83037.8</v>
      </c>
      <c r="I290" s="858"/>
      <c r="J290" s="858"/>
      <c r="K290" s="858"/>
      <c r="L290" s="858"/>
      <c r="M290" s="858"/>
      <c r="N290" s="858"/>
      <c r="O290" s="858"/>
      <c r="P290" s="858"/>
      <c r="Q290" s="858"/>
      <c r="R290" s="858"/>
      <c r="S290" s="858"/>
      <c r="T290" s="858"/>
      <c r="U290" s="858"/>
      <c r="V290" s="858"/>
      <c r="W290" s="858"/>
      <c r="X290" s="858"/>
      <c r="Y290" s="858"/>
      <c r="Z290" s="858"/>
      <c r="AA290" s="858"/>
      <c r="AB290" s="858"/>
      <c r="AC290" s="858"/>
      <c r="AD290" s="858"/>
      <c r="AE290" s="858"/>
      <c r="AF290" s="858"/>
      <c r="AG290" s="858"/>
      <c r="AH290" s="858"/>
      <c r="AI290" s="858"/>
      <c r="AJ290" s="858"/>
      <c r="AK290" s="858"/>
      <c r="AL290" s="858"/>
      <c r="AM290" s="858"/>
      <c r="AN290" s="858"/>
      <c r="AO290" s="858"/>
      <c r="AP290" s="858"/>
      <c r="AQ290" s="858"/>
      <c r="AR290" s="858"/>
      <c r="AS290" s="858"/>
      <c r="AT290" s="858"/>
      <c r="AU290" s="858"/>
      <c r="AV290" s="858"/>
      <c r="AW290" s="858"/>
      <c r="AX290" s="858"/>
      <c r="AY290" s="858"/>
      <c r="AZ290" s="858"/>
      <c r="BA290" s="858"/>
      <c r="BB290" s="858"/>
      <c r="BC290" s="858"/>
      <c r="BD290" s="858"/>
      <c r="BE290" s="858"/>
      <c r="BF290" s="858"/>
      <c r="BG290" s="858"/>
      <c r="BH290" s="858"/>
      <c r="BI290" s="858"/>
      <c r="BJ290" s="858"/>
      <c r="BK290" s="858"/>
      <c r="BL290" s="858"/>
      <c r="BM290" s="858"/>
      <c r="BN290" s="858"/>
      <c r="BO290" s="858"/>
      <c r="BP290" s="858"/>
      <c r="BQ290" s="858"/>
      <c r="BR290" s="858"/>
      <c r="BS290" s="858"/>
      <c r="BT290" s="858"/>
      <c r="BU290" s="858"/>
      <c r="BV290" s="858"/>
      <c r="BW290" s="858"/>
      <c r="BX290" s="858"/>
      <c r="BY290" s="858"/>
      <c r="BZ290" s="858"/>
      <c r="CA290" s="858"/>
      <c r="CB290" s="858"/>
      <c r="CC290" s="858"/>
      <c r="CD290" s="858"/>
      <c r="CE290" s="858"/>
      <c r="CF290" s="858"/>
      <c r="CG290" s="858"/>
      <c r="CH290" s="858"/>
      <c r="CI290" s="858"/>
      <c r="CJ290" s="858"/>
      <c r="CK290" s="858"/>
      <c r="CL290" s="858"/>
      <c r="CM290" s="858"/>
      <c r="CN290" s="858"/>
      <c r="CO290" s="858"/>
      <c r="CP290" s="858"/>
      <c r="CQ290" s="858"/>
      <c r="CR290" s="858"/>
      <c r="CS290" s="858"/>
      <c r="CT290" s="858"/>
      <c r="CU290" s="858"/>
      <c r="CV290" s="858"/>
      <c r="CW290" s="858"/>
      <c r="CX290" s="858"/>
      <c r="CY290" s="858"/>
      <c r="CZ290" s="858"/>
      <c r="DA290" s="858"/>
      <c r="DB290" s="858"/>
      <c r="DC290" s="858"/>
      <c r="DD290" s="858"/>
      <c r="DE290" s="858"/>
      <c r="DF290" s="858"/>
      <c r="DG290" s="858"/>
      <c r="DH290" s="858"/>
      <c r="DI290" s="858"/>
      <c r="DJ290" s="858"/>
      <c r="DK290" s="858"/>
      <c r="DL290" s="858"/>
      <c r="DM290" s="858"/>
      <c r="DN290" s="858"/>
      <c r="DO290" s="858"/>
      <c r="DP290" s="858"/>
      <c r="DQ290" s="858"/>
      <c r="DR290" s="858"/>
      <c r="DS290" s="858"/>
      <c r="DT290" s="858"/>
      <c r="DU290" s="858"/>
      <c r="DV290" s="858"/>
      <c r="DW290" s="858"/>
      <c r="DX290" s="858"/>
      <c r="DY290" s="858"/>
      <c r="DZ290" s="858"/>
      <c r="EA290" s="858"/>
      <c r="EB290" s="858"/>
      <c r="EC290" s="858"/>
      <c r="ED290" s="858"/>
      <c r="EE290" s="858"/>
      <c r="EF290" s="858"/>
      <c r="EG290" s="858"/>
      <c r="EH290" s="858"/>
      <c r="EI290" s="858"/>
      <c r="EJ290" s="858"/>
      <c r="EK290" s="858"/>
      <c r="EL290" s="858"/>
      <c r="EM290" s="858"/>
      <c r="EN290" s="858"/>
      <c r="EO290" s="858"/>
      <c r="EP290" s="858"/>
      <c r="EQ290" s="858"/>
      <c r="ER290" s="858"/>
      <c r="ES290" s="858"/>
      <c r="ET290" s="858"/>
      <c r="EU290" s="858"/>
      <c r="EV290" s="858"/>
      <c r="EW290" s="858"/>
      <c r="EX290" s="858"/>
      <c r="EY290" s="858"/>
      <c r="EZ290" s="858"/>
      <c r="FA290" s="858"/>
      <c r="FB290" s="858"/>
      <c r="FC290" s="858"/>
      <c r="FD290" s="858"/>
      <c r="FE290" s="858"/>
      <c r="FF290" s="858"/>
      <c r="FG290" s="858"/>
      <c r="FH290" s="858"/>
      <c r="FI290" s="858"/>
      <c r="FJ290" s="858"/>
      <c r="FK290" s="858"/>
      <c r="FL290" s="858"/>
      <c r="FM290" s="858"/>
      <c r="FN290" s="858"/>
      <c r="FO290" s="858"/>
      <c r="FP290" s="858"/>
      <c r="FQ290" s="858"/>
      <c r="FR290" s="858"/>
      <c r="FS290" s="858"/>
      <c r="FT290" s="858"/>
      <c r="FU290" s="858"/>
      <c r="FV290" s="858"/>
      <c r="FW290" s="858"/>
      <c r="FX290" s="858"/>
      <c r="FY290" s="858"/>
      <c r="FZ290" s="858"/>
      <c r="GA290" s="858"/>
      <c r="GB290" s="858"/>
      <c r="GC290" s="858"/>
      <c r="GD290" s="858"/>
      <c r="GE290" s="858"/>
      <c r="GF290" s="858"/>
      <c r="GG290" s="858"/>
      <c r="GH290" s="858"/>
      <c r="GI290" s="858"/>
      <c r="GJ290" s="858"/>
      <c r="GK290" s="858"/>
      <c r="GL290" s="858"/>
      <c r="GM290" s="858"/>
      <c r="GN290" s="858"/>
      <c r="GO290" s="858"/>
      <c r="GP290" s="858"/>
      <c r="GQ290" s="858"/>
      <c r="GR290" s="858"/>
      <c r="GS290" s="858"/>
      <c r="GT290" s="858"/>
      <c r="GU290" s="858"/>
      <c r="GV290" s="858"/>
      <c r="GW290" s="858"/>
      <c r="GX290" s="858"/>
      <c r="GY290" s="858"/>
      <c r="GZ290" s="858"/>
      <c r="HA290" s="858"/>
      <c r="HB290" s="858"/>
      <c r="HC290" s="858"/>
      <c r="HD290" s="858"/>
      <c r="HE290" s="858"/>
      <c r="HF290" s="858"/>
      <c r="HG290" s="858"/>
      <c r="HH290" s="858"/>
      <c r="HI290" s="858"/>
      <c r="HJ290" s="858"/>
      <c r="HK290" s="858"/>
      <c r="HL290" s="858"/>
      <c r="HM290" s="858"/>
      <c r="HN290" s="858"/>
      <c r="HO290" s="858"/>
      <c r="HP290" s="858"/>
      <c r="HQ290" s="858"/>
      <c r="HR290" s="858"/>
      <c r="HS290" s="858"/>
      <c r="HT290" s="858"/>
      <c r="HU290" s="858"/>
      <c r="HV290" s="858"/>
      <c r="HW290" s="858"/>
      <c r="HX290" s="858"/>
      <c r="HY290" s="858"/>
      <c r="HZ290" s="858"/>
      <c r="IA290" s="858"/>
      <c r="IB290" s="858"/>
      <c r="IC290" s="858"/>
      <c r="ID290" s="858"/>
      <c r="IE290" s="858"/>
      <c r="IF290" s="858"/>
      <c r="IG290" s="858"/>
      <c r="IH290" s="858"/>
      <c r="II290" s="858"/>
      <c r="IJ290" s="858"/>
      <c r="IK290" s="858"/>
      <c r="IL290" s="858"/>
      <c r="IM290" s="858"/>
      <c r="IN290" s="858"/>
    </row>
    <row r="291" spans="1:248">
      <c r="A291" s="568" t="s">
        <v>26</v>
      </c>
      <c r="B291" s="566">
        <v>29142.400000000001</v>
      </c>
      <c r="C291" s="566">
        <f t="shared" si="41"/>
        <v>30.602378262129687</v>
      </c>
      <c r="D291" s="569">
        <v>24668.2</v>
      </c>
      <c r="E291" s="859">
        <f t="shared" si="42"/>
        <v>25.904029436349358</v>
      </c>
      <c r="F291" s="859">
        <v>4474.2000000000007</v>
      </c>
      <c r="G291" s="859">
        <f t="shared" si="43"/>
        <v>4.6983488257803288</v>
      </c>
      <c r="H291" s="27">
        <v>95229.2</v>
      </c>
      <c r="I291" s="858"/>
      <c r="J291" s="858"/>
      <c r="K291" s="858"/>
      <c r="L291" s="858"/>
      <c r="M291" s="858"/>
      <c r="N291" s="858"/>
      <c r="O291" s="858"/>
      <c r="P291" s="858"/>
      <c r="Q291" s="858"/>
      <c r="R291" s="858"/>
      <c r="S291" s="858"/>
      <c r="T291" s="858"/>
      <c r="U291" s="858"/>
      <c r="V291" s="858"/>
      <c r="W291" s="858"/>
      <c r="X291" s="858"/>
      <c r="Y291" s="858"/>
      <c r="Z291" s="858"/>
      <c r="AA291" s="858"/>
      <c r="AB291" s="858"/>
      <c r="AC291" s="858"/>
      <c r="AD291" s="858"/>
      <c r="AE291" s="858"/>
      <c r="AF291" s="858"/>
      <c r="AG291" s="858"/>
      <c r="AH291" s="858"/>
      <c r="AI291" s="858"/>
      <c r="AJ291" s="858"/>
      <c r="AK291" s="858"/>
      <c r="AL291" s="858"/>
      <c r="AM291" s="858"/>
      <c r="AN291" s="858"/>
      <c r="AO291" s="858"/>
      <c r="AP291" s="858"/>
      <c r="AQ291" s="858"/>
      <c r="AR291" s="858"/>
      <c r="AS291" s="858"/>
      <c r="AT291" s="858"/>
      <c r="AU291" s="858"/>
      <c r="AV291" s="858"/>
      <c r="AW291" s="858"/>
      <c r="AX291" s="858"/>
      <c r="AY291" s="858"/>
      <c r="AZ291" s="858"/>
      <c r="BA291" s="858"/>
      <c r="BB291" s="858"/>
      <c r="BC291" s="858"/>
      <c r="BD291" s="858"/>
      <c r="BE291" s="858"/>
      <c r="BF291" s="858"/>
      <c r="BG291" s="858"/>
      <c r="BH291" s="858"/>
      <c r="BI291" s="858"/>
      <c r="BJ291" s="858"/>
      <c r="BK291" s="858"/>
      <c r="BL291" s="858"/>
      <c r="BM291" s="858"/>
      <c r="BN291" s="858"/>
      <c r="BO291" s="858"/>
      <c r="BP291" s="858"/>
      <c r="BQ291" s="858"/>
      <c r="BR291" s="858"/>
      <c r="BS291" s="858"/>
      <c r="BT291" s="858"/>
      <c r="BU291" s="858"/>
      <c r="BV291" s="858"/>
      <c r="BW291" s="858"/>
      <c r="BX291" s="858"/>
      <c r="BY291" s="858"/>
      <c r="BZ291" s="858"/>
      <c r="CA291" s="858"/>
      <c r="CB291" s="858"/>
      <c r="CC291" s="858"/>
      <c r="CD291" s="858"/>
      <c r="CE291" s="858"/>
      <c r="CF291" s="858"/>
      <c r="CG291" s="858"/>
      <c r="CH291" s="858"/>
      <c r="CI291" s="858"/>
      <c r="CJ291" s="858"/>
      <c r="CK291" s="858"/>
      <c r="CL291" s="858"/>
      <c r="CM291" s="858"/>
      <c r="CN291" s="858"/>
      <c r="CO291" s="858"/>
      <c r="CP291" s="858"/>
      <c r="CQ291" s="858"/>
      <c r="CR291" s="858"/>
      <c r="CS291" s="858"/>
      <c r="CT291" s="858"/>
      <c r="CU291" s="858"/>
      <c r="CV291" s="858"/>
      <c r="CW291" s="858"/>
      <c r="CX291" s="858"/>
      <c r="CY291" s="858"/>
      <c r="CZ291" s="858"/>
      <c r="DA291" s="858"/>
      <c r="DB291" s="858"/>
      <c r="DC291" s="858"/>
      <c r="DD291" s="858"/>
      <c r="DE291" s="858"/>
      <c r="DF291" s="858"/>
      <c r="DG291" s="858"/>
      <c r="DH291" s="858"/>
      <c r="DI291" s="858"/>
      <c r="DJ291" s="858"/>
      <c r="DK291" s="858"/>
      <c r="DL291" s="858"/>
      <c r="DM291" s="858"/>
      <c r="DN291" s="858"/>
      <c r="DO291" s="858"/>
      <c r="DP291" s="858"/>
      <c r="DQ291" s="858"/>
      <c r="DR291" s="858"/>
      <c r="DS291" s="858"/>
      <c r="DT291" s="858"/>
      <c r="DU291" s="858"/>
      <c r="DV291" s="858"/>
      <c r="DW291" s="858"/>
      <c r="DX291" s="858"/>
      <c r="DY291" s="858"/>
      <c r="DZ291" s="858"/>
      <c r="EA291" s="858"/>
      <c r="EB291" s="858"/>
      <c r="EC291" s="858"/>
      <c r="ED291" s="858"/>
      <c r="EE291" s="858"/>
      <c r="EF291" s="858"/>
      <c r="EG291" s="858"/>
      <c r="EH291" s="858"/>
      <c r="EI291" s="858"/>
      <c r="EJ291" s="858"/>
      <c r="EK291" s="858"/>
      <c r="EL291" s="858"/>
      <c r="EM291" s="858"/>
      <c r="EN291" s="858"/>
      <c r="EO291" s="858"/>
      <c r="EP291" s="858"/>
      <c r="EQ291" s="858"/>
      <c r="ER291" s="858"/>
      <c r="ES291" s="858"/>
      <c r="ET291" s="858"/>
      <c r="EU291" s="858"/>
      <c r="EV291" s="858"/>
      <c r="EW291" s="858"/>
      <c r="EX291" s="858"/>
      <c r="EY291" s="858"/>
      <c r="EZ291" s="858"/>
      <c r="FA291" s="858"/>
      <c r="FB291" s="858"/>
      <c r="FC291" s="858"/>
      <c r="FD291" s="858"/>
      <c r="FE291" s="858"/>
      <c r="FF291" s="858"/>
      <c r="FG291" s="858"/>
      <c r="FH291" s="858"/>
      <c r="FI291" s="858"/>
      <c r="FJ291" s="858"/>
      <c r="FK291" s="858"/>
      <c r="FL291" s="858"/>
      <c r="FM291" s="858"/>
      <c r="FN291" s="858"/>
      <c r="FO291" s="858"/>
      <c r="FP291" s="858"/>
      <c r="FQ291" s="858"/>
      <c r="FR291" s="858"/>
      <c r="FS291" s="858"/>
      <c r="FT291" s="858"/>
      <c r="FU291" s="858"/>
      <c r="FV291" s="858"/>
      <c r="FW291" s="858"/>
      <c r="FX291" s="858"/>
      <c r="FY291" s="858"/>
      <c r="FZ291" s="858"/>
      <c r="GA291" s="858"/>
      <c r="GB291" s="858"/>
      <c r="GC291" s="858"/>
      <c r="GD291" s="858"/>
      <c r="GE291" s="858"/>
      <c r="GF291" s="858"/>
      <c r="GG291" s="858"/>
      <c r="GH291" s="858"/>
      <c r="GI291" s="858"/>
      <c r="GJ291" s="858"/>
      <c r="GK291" s="858"/>
      <c r="GL291" s="858"/>
      <c r="GM291" s="858"/>
      <c r="GN291" s="858"/>
      <c r="GO291" s="858"/>
      <c r="GP291" s="858"/>
      <c r="GQ291" s="858"/>
      <c r="GR291" s="858"/>
      <c r="GS291" s="858"/>
      <c r="GT291" s="858"/>
      <c r="GU291" s="858"/>
      <c r="GV291" s="858"/>
      <c r="GW291" s="858"/>
      <c r="GX291" s="858"/>
      <c r="GY291" s="858"/>
      <c r="GZ291" s="858"/>
      <c r="HA291" s="858"/>
      <c r="HB291" s="858"/>
      <c r="HC291" s="858"/>
      <c r="HD291" s="858"/>
      <c r="HE291" s="858"/>
      <c r="HF291" s="858"/>
      <c r="HG291" s="858"/>
      <c r="HH291" s="858"/>
      <c r="HI291" s="858"/>
      <c r="HJ291" s="858"/>
      <c r="HK291" s="858"/>
      <c r="HL291" s="858"/>
      <c r="HM291" s="858"/>
      <c r="HN291" s="858"/>
      <c r="HO291" s="858"/>
      <c r="HP291" s="858"/>
      <c r="HQ291" s="858"/>
      <c r="HR291" s="858"/>
      <c r="HS291" s="858"/>
      <c r="HT291" s="858"/>
      <c r="HU291" s="858"/>
      <c r="HV291" s="858"/>
      <c r="HW291" s="858"/>
      <c r="HX291" s="858"/>
      <c r="HY291" s="858"/>
      <c r="HZ291" s="858"/>
      <c r="IA291" s="858"/>
      <c r="IB291" s="858"/>
      <c r="IC291" s="858"/>
      <c r="ID291" s="858"/>
      <c r="IE291" s="858"/>
      <c r="IF291" s="858"/>
      <c r="IG291" s="858"/>
      <c r="IH291" s="858"/>
      <c r="II291" s="858"/>
      <c r="IJ291" s="858"/>
      <c r="IK291" s="858"/>
      <c r="IL291" s="858"/>
      <c r="IM291" s="858"/>
      <c r="IN291" s="858"/>
    </row>
    <row r="292" spans="1:248">
      <c r="A292" s="568" t="s">
        <v>27</v>
      </c>
      <c r="B292" s="566">
        <v>32891.4</v>
      </c>
      <c r="C292" s="566">
        <f t="shared" si="41"/>
        <v>30.902688391268324</v>
      </c>
      <c r="D292" s="569">
        <v>27720.6</v>
      </c>
      <c r="E292" s="859">
        <f t="shared" si="42"/>
        <v>26.044530297250727</v>
      </c>
      <c r="F292" s="859">
        <v>5170.8000000000029</v>
      </c>
      <c r="G292" s="859">
        <f t="shared" si="43"/>
        <v>4.858158094017595</v>
      </c>
      <c r="H292" s="27">
        <v>106435.4</v>
      </c>
      <c r="I292" s="858"/>
      <c r="J292" s="858"/>
      <c r="K292" s="858"/>
      <c r="L292" s="858"/>
      <c r="M292" s="858"/>
      <c r="N292" s="858"/>
      <c r="O292" s="858"/>
      <c r="P292" s="858"/>
      <c r="Q292" s="858"/>
      <c r="R292" s="858"/>
      <c r="S292" s="858"/>
      <c r="T292" s="858"/>
      <c r="U292" s="858"/>
      <c r="V292" s="858"/>
      <c r="W292" s="858"/>
      <c r="X292" s="858"/>
      <c r="Y292" s="858"/>
      <c r="Z292" s="858"/>
      <c r="AA292" s="858"/>
      <c r="AB292" s="858"/>
      <c r="AC292" s="858"/>
      <c r="AD292" s="858"/>
      <c r="AE292" s="858"/>
      <c r="AF292" s="858"/>
      <c r="AG292" s="858"/>
      <c r="AH292" s="858"/>
      <c r="AI292" s="858"/>
      <c r="AJ292" s="858"/>
      <c r="AK292" s="858"/>
      <c r="AL292" s="858"/>
      <c r="AM292" s="858"/>
      <c r="AN292" s="858"/>
      <c r="AO292" s="858"/>
      <c r="AP292" s="858"/>
      <c r="AQ292" s="858"/>
      <c r="AR292" s="858"/>
      <c r="AS292" s="858"/>
      <c r="AT292" s="858"/>
      <c r="AU292" s="858"/>
      <c r="AV292" s="858"/>
      <c r="AW292" s="858"/>
      <c r="AX292" s="858"/>
      <c r="AY292" s="858"/>
      <c r="AZ292" s="858"/>
      <c r="BA292" s="858"/>
      <c r="BB292" s="858"/>
      <c r="BC292" s="858"/>
      <c r="BD292" s="858"/>
      <c r="BE292" s="858"/>
      <c r="BF292" s="858"/>
      <c r="BG292" s="858"/>
      <c r="BH292" s="858"/>
      <c r="BI292" s="858"/>
      <c r="BJ292" s="858"/>
      <c r="BK292" s="858"/>
      <c r="BL292" s="858"/>
      <c r="BM292" s="858"/>
      <c r="BN292" s="858"/>
      <c r="BO292" s="858"/>
      <c r="BP292" s="858"/>
      <c r="BQ292" s="858"/>
      <c r="BR292" s="858"/>
      <c r="BS292" s="858"/>
      <c r="BT292" s="858"/>
      <c r="BU292" s="858"/>
      <c r="BV292" s="858"/>
      <c r="BW292" s="858"/>
      <c r="BX292" s="858"/>
      <c r="BY292" s="858"/>
      <c r="BZ292" s="858"/>
      <c r="CA292" s="858"/>
      <c r="CB292" s="858"/>
      <c r="CC292" s="858"/>
      <c r="CD292" s="858"/>
      <c r="CE292" s="858"/>
      <c r="CF292" s="858"/>
      <c r="CG292" s="858"/>
      <c r="CH292" s="858"/>
      <c r="CI292" s="858"/>
      <c r="CJ292" s="858"/>
      <c r="CK292" s="858"/>
      <c r="CL292" s="858"/>
      <c r="CM292" s="858"/>
      <c r="CN292" s="858"/>
      <c r="CO292" s="858"/>
      <c r="CP292" s="858"/>
      <c r="CQ292" s="858"/>
      <c r="CR292" s="858"/>
      <c r="CS292" s="858"/>
      <c r="CT292" s="858"/>
      <c r="CU292" s="858"/>
      <c r="CV292" s="858"/>
      <c r="CW292" s="858"/>
      <c r="CX292" s="858"/>
      <c r="CY292" s="858"/>
      <c r="CZ292" s="858"/>
      <c r="DA292" s="858"/>
      <c r="DB292" s="858"/>
      <c r="DC292" s="858"/>
      <c r="DD292" s="858"/>
      <c r="DE292" s="858"/>
      <c r="DF292" s="858"/>
      <c r="DG292" s="858"/>
      <c r="DH292" s="858"/>
      <c r="DI292" s="858"/>
      <c r="DJ292" s="858"/>
      <c r="DK292" s="858"/>
      <c r="DL292" s="858"/>
      <c r="DM292" s="858"/>
      <c r="DN292" s="858"/>
      <c r="DO292" s="858"/>
      <c r="DP292" s="858"/>
      <c r="DQ292" s="858"/>
      <c r="DR292" s="858"/>
      <c r="DS292" s="858"/>
      <c r="DT292" s="858"/>
      <c r="DU292" s="858"/>
      <c r="DV292" s="858"/>
      <c r="DW292" s="858"/>
      <c r="DX292" s="858"/>
      <c r="DY292" s="858"/>
      <c r="DZ292" s="858"/>
      <c r="EA292" s="858"/>
      <c r="EB292" s="858"/>
      <c r="EC292" s="858"/>
      <c r="ED292" s="858"/>
      <c r="EE292" s="858"/>
      <c r="EF292" s="858"/>
      <c r="EG292" s="858"/>
      <c r="EH292" s="858"/>
      <c r="EI292" s="858"/>
      <c r="EJ292" s="858"/>
      <c r="EK292" s="858"/>
      <c r="EL292" s="858"/>
      <c r="EM292" s="858"/>
      <c r="EN292" s="858"/>
      <c r="EO292" s="858"/>
      <c r="EP292" s="858"/>
      <c r="EQ292" s="858"/>
      <c r="ER292" s="858"/>
      <c r="ES292" s="858"/>
      <c r="ET292" s="858"/>
      <c r="EU292" s="858"/>
      <c r="EV292" s="858"/>
      <c r="EW292" s="858"/>
      <c r="EX292" s="858"/>
      <c r="EY292" s="858"/>
      <c r="EZ292" s="858"/>
      <c r="FA292" s="858"/>
      <c r="FB292" s="858"/>
      <c r="FC292" s="858"/>
      <c r="FD292" s="858"/>
      <c r="FE292" s="858"/>
      <c r="FF292" s="858"/>
      <c r="FG292" s="858"/>
      <c r="FH292" s="858"/>
      <c r="FI292" s="858"/>
      <c r="FJ292" s="858"/>
      <c r="FK292" s="858"/>
      <c r="FL292" s="858"/>
      <c r="FM292" s="858"/>
      <c r="FN292" s="858"/>
      <c r="FO292" s="858"/>
      <c r="FP292" s="858"/>
      <c r="FQ292" s="858"/>
      <c r="FR292" s="858"/>
      <c r="FS292" s="858"/>
      <c r="FT292" s="858"/>
      <c r="FU292" s="858"/>
      <c r="FV292" s="858"/>
      <c r="FW292" s="858"/>
      <c r="FX292" s="858"/>
      <c r="FY292" s="858"/>
      <c r="FZ292" s="858"/>
      <c r="GA292" s="858"/>
      <c r="GB292" s="858"/>
      <c r="GC292" s="858"/>
      <c r="GD292" s="858"/>
      <c r="GE292" s="858"/>
      <c r="GF292" s="858"/>
      <c r="GG292" s="858"/>
      <c r="GH292" s="858"/>
      <c r="GI292" s="858"/>
      <c r="GJ292" s="858"/>
      <c r="GK292" s="858"/>
      <c r="GL292" s="858"/>
      <c r="GM292" s="858"/>
      <c r="GN292" s="858"/>
      <c r="GO292" s="858"/>
      <c r="GP292" s="858"/>
      <c r="GQ292" s="858"/>
      <c r="GR292" s="858"/>
      <c r="GS292" s="858"/>
      <c r="GT292" s="858"/>
      <c r="GU292" s="858"/>
      <c r="GV292" s="858"/>
      <c r="GW292" s="858"/>
      <c r="GX292" s="858"/>
      <c r="GY292" s="858"/>
      <c r="GZ292" s="858"/>
      <c r="HA292" s="858"/>
      <c r="HB292" s="858"/>
      <c r="HC292" s="858"/>
      <c r="HD292" s="858"/>
      <c r="HE292" s="858"/>
      <c r="HF292" s="858"/>
      <c r="HG292" s="858"/>
      <c r="HH292" s="858"/>
      <c r="HI292" s="858"/>
      <c r="HJ292" s="858"/>
      <c r="HK292" s="858"/>
      <c r="HL292" s="858"/>
      <c r="HM292" s="858"/>
      <c r="HN292" s="858"/>
      <c r="HO292" s="858"/>
      <c r="HP292" s="858"/>
      <c r="HQ292" s="858"/>
      <c r="HR292" s="858"/>
      <c r="HS292" s="858"/>
      <c r="HT292" s="858"/>
      <c r="HU292" s="858"/>
      <c r="HV292" s="858"/>
      <c r="HW292" s="858"/>
      <c r="HX292" s="858"/>
      <c r="HY292" s="858"/>
      <c r="HZ292" s="858"/>
      <c r="IA292" s="858"/>
      <c r="IB292" s="858"/>
      <c r="IC292" s="858"/>
      <c r="ID292" s="858"/>
      <c r="IE292" s="858"/>
      <c r="IF292" s="858"/>
      <c r="IG292" s="858"/>
      <c r="IH292" s="858"/>
      <c r="II292" s="858"/>
      <c r="IJ292" s="858"/>
      <c r="IK292" s="858"/>
      <c r="IL292" s="858"/>
      <c r="IM292" s="858"/>
      <c r="IN292" s="858"/>
    </row>
    <row r="293" spans="1:248">
      <c r="A293" s="568" t="s">
        <v>28</v>
      </c>
      <c r="B293" s="566">
        <v>35625.599999999999</v>
      </c>
      <c r="C293" s="566">
        <f t="shared" si="41"/>
        <v>30.627208883073514</v>
      </c>
      <c r="D293" s="569">
        <v>31414.7</v>
      </c>
      <c r="E293" s="859">
        <f t="shared" si="42"/>
        <v>27.007112270364281</v>
      </c>
      <c r="F293" s="859">
        <v>4210.8999999999978</v>
      </c>
      <c r="G293" s="859">
        <f t="shared" si="43"/>
        <v>3.6200966127092373</v>
      </c>
      <c r="H293" s="27">
        <v>116320.1</v>
      </c>
      <c r="I293" s="858"/>
      <c r="J293" s="858"/>
      <c r="K293" s="858"/>
      <c r="L293" s="858"/>
      <c r="M293" s="858"/>
      <c r="N293" s="858"/>
      <c r="O293" s="858"/>
      <c r="P293" s="858"/>
      <c r="Q293" s="858"/>
      <c r="R293" s="858"/>
      <c r="S293" s="858"/>
      <c r="T293" s="858"/>
      <c r="U293" s="858"/>
      <c r="V293" s="858"/>
      <c r="W293" s="858"/>
      <c r="X293" s="858"/>
      <c r="Y293" s="858"/>
      <c r="Z293" s="858"/>
      <c r="AA293" s="858"/>
      <c r="AB293" s="858"/>
      <c r="AC293" s="858"/>
      <c r="AD293" s="858"/>
      <c r="AE293" s="858"/>
      <c r="AF293" s="858"/>
      <c r="AG293" s="858"/>
      <c r="AH293" s="858"/>
      <c r="AI293" s="858"/>
      <c r="AJ293" s="858"/>
      <c r="AK293" s="858"/>
      <c r="AL293" s="858"/>
      <c r="AM293" s="858"/>
      <c r="AN293" s="858"/>
      <c r="AO293" s="858"/>
      <c r="AP293" s="858"/>
      <c r="AQ293" s="858"/>
      <c r="AR293" s="858"/>
      <c r="AS293" s="858"/>
      <c r="AT293" s="858"/>
      <c r="AU293" s="858"/>
      <c r="AV293" s="858"/>
      <c r="AW293" s="858"/>
      <c r="AX293" s="858"/>
      <c r="AY293" s="858"/>
      <c r="AZ293" s="858"/>
      <c r="BA293" s="858"/>
      <c r="BB293" s="858"/>
      <c r="BC293" s="858"/>
      <c r="BD293" s="858"/>
      <c r="BE293" s="858"/>
      <c r="BF293" s="858"/>
      <c r="BG293" s="858"/>
      <c r="BH293" s="858"/>
      <c r="BI293" s="858"/>
      <c r="BJ293" s="858"/>
      <c r="BK293" s="858"/>
      <c r="BL293" s="858"/>
      <c r="BM293" s="858"/>
      <c r="BN293" s="858"/>
      <c r="BO293" s="858"/>
      <c r="BP293" s="858"/>
      <c r="BQ293" s="858"/>
      <c r="BR293" s="858"/>
      <c r="BS293" s="858"/>
      <c r="BT293" s="858"/>
      <c r="BU293" s="858"/>
      <c r="BV293" s="858"/>
      <c r="BW293" s="858"/>
      <c r="BX293" s="858"/>
      <c r="BY293" s="858"/>
      <c r="BZ293" s="858"/>
      <c r="CA293" s="858"/>
      <c r="CB293" s="858"/>
      <c r="CC293" s="858"/>
      <c r="CD293" s="858"/>
      <c r="CE293" s="858"/>
      <c r="CF293" s="858"/>
      <c r="CG293" s="858"/>
      <c r="CH293" s="858"/>
      <c r="CI293" s="858"/>
      <c r="CJ293" s="858"/>
      <c r="CK293" s="858"/>
      <c r="CL293" s="858"/>
      <c r="CM293" s="858"/>
      <c r="CN293" s="858"/>
      <c r="CO293" s="858"/>
      <c r="CP293" s="858"/>
      <c r="CQ293" s="858"/>
      <c r="CR293" s="858"/>
      <c r="CS293" s="858"/>
      <c r="CT293" s="858"/>
      <c r="CU293" s="858"/>
      <c r="CV293" s="858"/>
      <c r="CW293" s="858"/>
      <c r="CX293" s="858"/>
      <c r="CY293" s="858"/>
      <c r="CZ293" s="858"/>
      <c r="DA293" s="858"/>
      <c r="DB293" s="858"/>
      <c r="DC293" s="858"/>
      <c r="DD293" s="858"/>
      <c r="DE293" s="858"/>
      <c r="DF293" s="858"/>
      <c r="DG293" s="858"/>
      <c r="DH293" s="858"/>
      <c r="DI293" s="858"/>
      <c r="DJ293" s="858"/>
      <c r="DK293" s="858"/>
      <c r="DL293" s="858"/>
      <c r="DM293" s="858"/>
      <c r="DN293" s="858"/>
      <c r="DO293" s="858"/>
      <c r="DP293" s="858"/>
      <c r="DQ293" s="858"/>
      <c r="DR293" s="858"/>
      <c r="DS293" s="858"/>
      <c r="DT293" s="858"/>
      <c r="DU293" s="858"/>
      <c r="DV293" s="858"/>
      <c r="DW293" s="858"/>
      <c r="DX293" s="858"/>
      <c r="DY293" s="858"/>
      <c r="DZ293" s="858"/>
      <c r="EA293" s="858"/>
      <c r="EB293" s="858"/>
      <c r="EC293" s="858"/>
      <c r="ED293" s="858"/>
      <c r="EE293" s="858"/>
      <c r="EF293" s="858"/>
      <c r="EG293" s="858"/>
      <c r="EH293" s="858"/>
      <c r="EI293" s="858"/>
      <c r="EJ293" s="858"/>
      <c r="EK293" s="858"/>
      <c r="EL293" s="858"/>
      <c r="EM293" s="858"/>
      <c r="EN293" s="858"/>
      <c r="EO293" s="858"/>
      <c r="EP293" s="858"/>
      <c r="EQ293" s="858"/>
      <c r="ER293" s="858"/>
      <c r="ES293" s="858"/>
      <c r="ET293" s="858"/>
      <c r="EU293" s="858"/>
      <c r="EV293" s="858"/>
      <c r="EW293" s="858"/>
      <c r="EX293" s="858"/>
      <c r="EY293" s="858"/>
      <c r="EZ293" s="858"/>
      <c r="FA293" s="858"/>
      <c r="FB293" s="858"/>
      <c r="FC293" s="858"/>
      <c r="FD293" s="858"/>
      <c r="FE293" s="858"/>
      <c r="FF293" s="858"/>
      <c r="FG293" s="858"/>
      <c r="FH293" s="858"/>
      <c r="FI293" s="858"/>
      <c r="FJ293" s="858"/>
      <c r="FK293" s="858"/>
      <c r="FL293" s="858"/>
      <c r="FM293" s="858"/>
      <c r="FN293" s="858"/>
      <c r="FO293" s="858"/>
      <c r="FP293" s="858"/>
      <c r="FQ293" s="858"/>
      <c r="FR293" s="858"/>
      <c r="FS293" s="858"/>
      <c r="FT293" s="858"/>
      <c r="FU293" s="858"/>
      <c r="FV293" s="858"/>
      <c r="FW293" s="858"/>
      <c r="FX293" s="858"/>
      <c r="FY293" s="858"/>
      <c r="FZ293" s="858"/>
      <c r="GA293" s="858"/>
      <c r="GB293" s="858"/>
      <c r="GC293" s="858"/>
      <c r="GD293" s="858"/>
      <c r="GE293" s="858"/>
      <c r="GF293" s="858"/>
      <c r="GG293" s="858"/>
      <c r="GH293" s="858"/>
      <c r="GI293" s="858"/>
      <c r="GJ293" s="858"/>
      <c r="GK293" s="858"/>
      <c r="GL293" s="858"/>
      <c r="GM293" s="858"/>
      <c r="GN293" s="858"/>
      <c r="GO293" s="858"/>
      <c r="GP293" s="858"/>
      <c r="GQ293" s="858"/>
      <c r="GR293" s="858"/>
      <c r="GS293" s="858"/>
      <c r="GT293" s="858"/>
      <c r="GU293" s="858"/>
      <c r="GV293" s="858"/>
      <c r="GW293" s="858"/>
      <c r="GX293" s="858"/>
      <c r="GY293" s="858"/>
      <c r="GZ293" s="858"/>
      <c r="HA293" s="858"/>
      <c r="HB293" s="858"/>
      <c r="HC293" s="858"/>
      <c r="HD293" s="858"/>
      <c r="HE293" s="858"/>
      <c r="HF293" s="858"/>
      <c r="HG293" s="858"/>
      <c r="HH293" s="858"/>
      <c r="HI293" s="858"/>
      <c r="HJ293" s="858"/>
      <c r="HK293" s="858"/>
      <c r="HL293" s="858"/>
      <c r="HM293" s="858"/>
      <c r="HN293" s="858"/>
      <c r="HO293" s="858"/>
      <c r="HP293" s="858"/>
      <c r="HQ293" s="858"/>
      <c r="HR293" s="858"/>
      <c r="HS293" s="858"/>
      <c r="HT293" s="858"/>
      <c r="HU293" s="858"/>
      <c r="HV293" s="858"/>
      <c r="HW293" s="858"/>
      <c r="HX293" s="858"/>
      <c r="HY293" s="858"/>
      <c r="HZ293" s="858"/>
      <c r="IA293" s="858"/>
      <c r="IB293" s="858"/>
      <c r="IC293" s="858"/>
      <c r="ID293" s="858"/>
      <c r="IE293" s="858"/>
      <c r="IF293" s="858"/>
      <c r="IG293" s="858"/>
      <c r="IH293" s="858"/>
      <c r="II293" s="858"/>
      <c r="IJ293" s="858"/>
      <c r="IK293" s="858"/>
      <c r="IL293" s="858"/>
      <c r="IM293" s="858"/>
      <c r="IN293" s="858"/>
    </row>
    <row r="294" spans="1:248">
      <c r="A294" s="568" t="s">
        <v>29</v>
      </c>
      <c r="B294" s="566">
        <v>39131.199999999997</v>
      </c>
      <c r="C294" s="566">
        <f t="shared" si="41"/>
        <v>30.312175623963931</v>
      </c>
      <c r="D294" s="569">
        <v>38603.599999999999</v>
      </c>
      <c r="E294" s="859">
        <f t="shared" si="42"/>
        <v>29.903481184253334</v>
      </c>
      <c r="F294" s="859">
        <v>527.59999999999854</v>
      </c>
      <c r="G294" s="859">
        <f t="shared" si="43"/>
        <v>0.40869443971059732</v>
      </c>
      <c r="H294" s="27">
        <v>129094</v>
      </c>
      <c r="I294" s="858"/>
      <c r="J294" s="858"/>
      <c r="K294" s="858"/>
      <c r="L294" s="858"/>
      <c r="M294" s="858"/>
      <c r="N294" s="858"/>
      <c r="O294" s="858"/>
      <c r="P294" s="858"/>
      <c r="Q294" s="858"/>
      <c r="R294" s="858"/>
      <c r="S294" s="858"/>
      <c r="T294" s="858"/>
      <c r="U294" s="858"/>
      <c r="V294" s="858"/>
      <c r="W294" s="858"/>
      <c r="X294" s="858"/>
      <c r="Y294" s="858"/>
      <c r="Z294" s="858"/>
      <c r="AA294" s="858"/>
      <c r="AB294" s="858"/>
      <c r="AC294" s="858"/>
      <c r="AD294" s="858"/>
      <c r="AE294" s="858"/>
      <c r="AF294" s="858"/>
      <c r="AG294" s="858"/>
      <c r="AH294" s="858"/>
      <c r="AI294" s="858"/>
      <c r="AJ294" s="858"/>
      <c r="AK294" s="858"/>
      <c r="AL294" s="858"/>
      <c r="AM294" s="858"/>
      <c r="AN294" s="858"/>
      <c r="AO294" s="858"/>
      <c r="AP294" s="858"/>
      <c r="AQ294" s="858"/>
      <c r="AR294" s="858"/>
      <c r="AS294" s="858"/>
      <c r="AT294" s="858"/>
      <c r="AU294" s="858"/>
      <c r="AV294" s="858"/>
      <c r="AW294" s="858"/>
      <c r="AX294" s="858"/>
      <c r="AY294" s="858"/>
      <c r="AZ294" s="858"/>
      <c r="BA294" s="858"/>
      <c r="BB294" s="858"/>
      <c r="BC294" s="858"/>
      <c r="BD294" s="858"/>
      <c r="BE294" s="858"/>
      <c r="BF294" s="858"/>
      <c r="BG294" s="858"/>
      <c r="BH294" s="858"/>
      <c r="BI294" s="858"/>
      <c r="BJ294" s="858"/>
      <c r="BK294" s="858"/>
      <c r="BL294" s="858"/>
      <c r="BM294" s="858"/>
      <c r="BN294" s="858"/>
      <c r="BO294" s="858"/>
      <c r="BP294" s="858"/>
      <c r="BQ294" s="858"/>
      <c r="BR294" s="858"/>
      <c r="BS294" s="858"/>
      <c r="BT294" s="858"/>
      <c r="BU294" s="858"/>
      <c r="BV294" s="858"/>
      <c r="BW294" s="858"/>
      <c r="BX294" s="858"/>
      <c r="BY294" s="858"/>
      <c r="BZ294" s="858"/>
      <c r="CA294" s="858"/>
      <c r="CB294" s="858"/>
      <c r="CC294" s="858"/>
      <c r="CD294" s="858"/>
      <c r="CE294" s="858"/>
      <c r="CF294" s="858"/>
      <c r="CG294" s="858"/>
      <c r="CH294" s="858"/>
      <c r="CI294" s="858"/>
      <c r="CJ294" s="858"/>
      <c r="CK294" s="858"/>
      <c r="CL294" s="858"/>
      <c r="CM294" s="858"/>
      <c r="CN294" s="858"/>
      <c r="CO294" s="858"/>
      <c r="CP294" s="858"/>
      <c r="CQ294" s="858"/>
      <c r="CR294" s="858"/>
      <c r="CS294" s="858"/>
      <c r="CT294" s="858"/>
      <c r="CU294" s="858"/>
      <c r="CV294" s="858"/>
      <c r="CW294" s="858"/>
      <c r="CX294" s="858"/>
      <c r="CY294" s="858"/>
      <c r="CZ294" s="858"/>
      <c r="DA294" s="858"/>
      <c r="DB294" s="858"/>
      <c r="DC294" s="858"/>
      <c r="DD294" s="858"/>
      <c r="DE294" s="858"/>
      <c r="DF294" s="858"/>
      <c r="DG294" s="858"/>
      <c r="DH294" s="858"/>
      <c r="DI294" s="858"/>
      <c r="DJ294" s="858"/>
      <c r="DK294" s="858"/>
      <c r="DL294" s="858"/>
      <c r="DM294" s="858"/>
      <c r="DN294" s="858"/>
      <c r="DO294" s="858"/>
      <c r="DP294" s="858"/>
      <c r="DQ294" s="858"/>
      <c r="DR294" s="858"/>
      <c r="DS294" s="858"/>
      <c r="DT294" s="858"/>
      <c r="DU294" s="858"/>
      <c r="DV294" s="858"/>
      <c r="DW294" s="858"/>
      <c r="DX294" s="858"/>
      <c r="DY294" s="858"/>
      <c r="DZ294" s="858"/>
      <c r="EA294" s="858"/>
      <c r="EB294" s="858"/>
      <c r="EC294" s="858"/>
      <c r="ED294" s="858"/>
      <c r="EE294" s="858"/>
      <c r="EF294" s="858"/>
      <c r="EG294" s="858"/>
      <c r="EH294" s="858"/>
      <c r="EI294" s="858"/>
      <c r="EJ294" s="858"/>
      <c r="EK294" s="858"/>
      <c r="EL294" s="858"/>
      <c r="EM294" s="858"/>
      <c r="EN294" s="858"/>
      <c r="EO294" s="858"/>
      <c r="EP294" s="858"/>
      <c r="EQ294" s="858"/>
      <c r="ER294" s="858"/>
      <c r="ES294" s="858"/>
      <c r="ET294" s="858"/>
      <c r="EU294" s="858"/>
      <c r="EV294" s="858"/>
      <c r="EW294" s="858"/>
      <c r="EX294" s="858"/>
      <c r="EY294" s="858"/>
      <c r="EZ294" s="858"/>
      <c r="FA294" s="858"/>
      <c r="FB294" s="858"/>
      <c r="FC294" s="858"/>
      <c r="FD294" s="858"/>
      <c r="FE294" s="858"/>
      <c r="FF294" s="858"/>
      <c r="FG294" s="858"/>
      <c r="FH294" s="858"/>
      <c r="FI294" s="858"/>
      <c r="FJ294" s="858"/>
      <c r="FK294" s="858"/>
      <c r="FL294" s="858"/>
      <c r="FM294" s="858"/>
      <c r="FN294" s="858"/>
      <c r="FO294" s="858"/>
      <c r="FP294" s="858"/>
      <c r="FQ294" s="858"/>
      <c r="FR294" s="858"/>
      <c r="FS294" s="858"/>
      <c r="FT294" s="858"/>
      <c r="FU294" s="858"/>
      <c r="FV294" s="858"/>
      <c r="FW294" s="858"/>
      <c r="FX294" s="858"/>
      <c r="FY294" s="858"/>
      <c r="FZ294" s="858"/>
      <c r="GA294" s="858"/>
      <c r="GB294" s="858"/>
      <c r="GC294" s="858"/>
      <c r="GD294" s="858"/>
      <c r="GE294" s="858"/>
      <c r="GF294" s="858"/>
      <c r="GG294" s="858"/>
      <c r="GH294" s="858"/>
      <c r="GI294" s="858"/>
      <c r="GJ294" s="858"/>
      <c r="GK294" s="858"/>
      <c r="GL294" s="858"/>
      <c r="GM294" s="858"/>
      <c r="GN294" s="858"/>
      <c r="GO294" s="858"/>
      <c r="GP294" s="858"/>
      <c r="GQ294" s="858"/>
      <c r="GR294" s="858"/>
      <c r="GS294" s="858"/>
      <c r="GT294" s="858"/>
      <c r="GU294" s="858"/>
      <c r="GV294" s="858"/>
      <c r="GW294" s="858"/>
      <c r="GX294" s="858"/>
      <c r="GY294" s="858"/>
      <c r="GZ294" s="858"/>
      <c r="HA294" s="858"/>
      <c r="HB294" s="858"/>
      <c r="HC294" s="858"/>
      <c r="HD294" s="858"/>
      <c r="HE294" s="858"/>
      <c r="HF294" s="858"/>
      <c r="HG294" s="858"/>
      <c r="HH294" s="858"/>
      <c r="HI294" s="858"/>
      <c r="HJ294" s="858"/>
      <c r="HK294" s="858"/>
      <c r="HL294" s="858"/>
      <c r="HM294" s="858"/>
      <c r="HN294" s="858"/>
      <c r="HO294" s="858"/>
      <c r="HP294" s="858"/>
      <c r="HQ294" s="858"/>
      <c r="HR294" s="858"/>
      <c r="HS294" s="858"/>
      <c r="HT294" s="858"/>
      <c r="HU294" s="858"/>
      <c r="HV294" s="858"/>
      <c r="HW294" s="858"/>
      <c r="HX294" s="858"/>
      <c r="HY294" s="858"/>
      <c r="HZ294" s="858"/>
      <c r="IA294" s="858"/>
      <c r="IB294" s="858"/>
      <c r="IC294" s="858"/>
      <c r="ID294" s="858"/>
      <c r="IE294" s="858"/>
      <c r="IF294" s="858"/>
      <c r="IG294" s="858"/>
      <c r="IH294" s="858"/>
      <c r="II294" s="858"/>
      <c r="IJ294" s="858"/>
      <c r="IK294" s="858"/>
      <c r="IL294" s="858"/>
      <c r="IM294" s="858"/>
      <c r="IN294" s="858"/>
    </row>
    <row r="295" spans="1:248">
      <c r="A295" s="568" t="s">
        <v>4465</v>
      </c>
      <c r="B295" s="566"/>
      <c r="C295" s="566"/>
      <c r="D295" s="569"/>
      <c r="E295" s="859"/>
      <c r="F295" s="859"/>
      <c r="G295" s="859"/>
      <c r="H295" s="27"/>
      <c r="I295" s="858"/>
      <c r="J295" s="858"/>
      <c r="K295" s="858"/>
      <c r="L295" s="858"/>
      <c r="M295" s="858"/>
      <c r="N295" s="858"/>
      <c r="O295" s="858"/>
      <c r="P295" s="858"/>
      <c r="Q295" s="858"/>
      <c r="R295" s="858"/>
      <c r="S295" s="858"/>
      <c r="T295" s="858"/>
      <c r="U295" s="858"/>
      <c r="V295" s="858"/>
      <c r="W295" s="858"/>
      <c r="X295" s="858"/>
      <c r="Y295" s="858"/>
      <c r="Z295" s="858"/>
      <c r="AA295" s="858"/>
      <c r="AB295" s="858"/>
      <c r="AC295" s="858"/>
      <c r="AD295" s="858"/>
      <c r="AE295" s="858"/>
      <c r="AF295" s="858"/>
      <c r="AG295" s="858"/>
      <c r="AH295" s="858"/>
      <c r="AI295" s="858"/>
      <c r="AJ295" s="858"/>
      <c r="AK295" s="858"/>
      <c r="AL295" s="858"/>
      <c r="AM295" s="858"/>
      <c r="AN295" s="858"/>
      <c r="AO295" s="858"/>
      <c r="AP295" s="858"/>
      <c r="AQ295" s="858"/>
      <c r="AR295" s="858"/>
      <c r="AS295" s="858"/>
      <c r="AT295" s="858"/>
      <c r="AU295" s="858"/>
      <c r="AV295" s="858"/>
      <c r="AW295" s="858"/>
      <c r="AX295" s="858"/>
      <c r="AY295" s="858"/>
      <c r="AZ295" s="858"/>
      <c r="BA295" s="858"/>
      <c r="BB295" s="858"/>
      <c r="BC295" s="858"/>
      <c r="BD295" s="858"/>
      <c r="BE295" s="858"/>
      <c r="BF295" s="858"/>
      <c r="BG295" s="858"/>
      <c r="BH295" s="858"/>
      <c r="BI295" s="858"/>
      <c r="BJ295" s="858"/>
      <c r="BK295" s="858"/>
      <c r="BL295" s="858"/>
      <c r="BM295" s="858"/>
      <c r="BN295" s="858"/>
      <c r="BO295" s="858"/>
      <c r="BP295" s="858"/>
      <c r="BQ295" s="858"/>
      <c r="BR295" s="858"/>
      <c r="BS295" s="858"/>
      <c r="BT295" s="858"/>
      <c r="BU295" s="858"/>
      <c r="BV295" s="858"/>
      <c r="BW295" s="858"/>
      <c r="BX295" s="858"/>
      <c r="BY295" s="858"/>
      <c r="BZ295" s="858"/>
      <c r="CA295" s="858"/>
      <c r="CB295" s="858"/>
      <c r="CC295" s="858"/>
      <c r="CD295" s="858"/>
      <c r="CE295" s="858"/>
      <c r="CF295" s="858"/>
      <c r="CG295" s="858"/>
      <c r="CH295" s="858"/>
      <c r="CI295" s="858"/>
      <c r="CJ295" s="858"/>
      <c r="CK295" s="858"/>
      <c r="CL295" s="858"/>
      <c r="CM295" s="858"/>
      <c r="CN295" s="858"/>
      <c r="CO295" s="858"/>
      <c r="CP295" s="858"/>
      <c r="CQ295" s="858"/>
      <c r="CR295" s="858"/>
      <c r="CS295" s="858"/>
      <c r="CT295" s="858"/>
      <c r="CU295" s="858"/>
      <c r="CV295" s="858"/>
      <c r="CW295" s="858"/>
      <c r="CX295" s="858"/>
      <c r="CY295" s="858"/>
      <c r="CZ295" s="858"/>
      <c r="DA295" s="858"/>
      <c r="DB295" s="858"/>
      <c r="DC295" s="858"/>
      <c r="DD295" s="858"/>
      <c r="DE295" s="858"/>
      <c r="DF295" s="858"/>
      <c r="DG295" s="858"/>
      <c r="DH295" s="858"/>
      <c r="DI295" s="858"/>
      <c r="DJ295" s="858"/>
      <c r="DK295" s="858"/>
      <c r="DL295" s="858"/>
      <c r="DM295" s="858"/>
      <c r="DN295" s="858"/>
      <c r="DO295" s="858"/>
      <c r="DP295" s="858"/>
      <c r="DQ295" s="858"/>
      <c r="DR295" s="858"/>
      <c r="DS295" s="858"/>
      <c r="DT295" s="858"/>
      <c r="DU295" s="858"/>
      <c r="DV295" s="858"/>
      <c r="DW295" s="858"/>
      <c r="DX295" s="858"/>
      <c r="DY295" s="858"/>
      <c r="DZ295" s="858"/>
      <c r="EA295" s="858"/>
      <c r="EB295" s="858"/>
      <c r="EC295" s="858"/>
      <c r="ED295" s="858"/>
      <c r="EE295" s="858"/>
      <c r="EF295" s="858"/>
      <c r="EG295" s="858"/>
      <c r="EH295" s="858"/>
      <c r="EI295" s="858"/>
      <c r="EJ295" s="858"/>
      <c r="EK295" s="858"/>
      <c r="EL295" s="858"/>
      <c r="EM295" s="858"/>
      <c r="EN295" s="858"/>
      <c r="EO295" s="858"/>
      <c r="EP295" s="858"/>
      <c r="EQ295" s="858"/>
      <c r="ER295" s="858"/>
      <c r="ES295" s="858"/>
      <c r="ET295" s="858"/>
      <c r="EU295" s="858"/>
      <c r="EV295" s="858"/>
      <c r="EW295" s="858"/>
      <c r="EX295" s="858"/>
      <c r="EY295" s="858"/>
      <c r="EZ295" s="858"/>
      <c r="FA295" s="858"/>
      <c r="FB295" s="858"/>
      <c r="FC295" s="858"/>
      <c r="FD295" s="858"/>
      <c r="FE295" s="858"/>
      <c r="FF295" s="858"/>
      <c r="FG295" s="858"/>
      <c r="FH295" s="858"/>
      <c r="FI295" s="858"/>
      <c r="FJ295" s="858"/>
      <c r="FK295" s="858"/>
      <c r="FL295" s="858"/>
      <c r="FM295" s="858"/>
      <c r="FN295" s="858"/>
      <c r="FO295" s="858"/>
      <c r="FP295" s="858"/>
      <c r="FQ295" s="858"/>
      <c r="FR295" s="858"/>
      <c r="FS295" s="858"/>
      <c r="FT295" s="858"/>
      <c r="FU295" s="858"/>
      <c r="FV295" s="858"/>
      <c r="FW295" s="858"/>
      <c r="FX295" s="858"/>
      <c r="FY295" s="858"/>
      <c r="FZ295" s="858"/>
      <c r="GA295" s="858"/>
      <c r="GB295" s="858"/>
      <c r="GC295" s="858"/>
      <c r="GD295" s="858"/>
      <c r="GE295" s="858"/>
      <c r="GF295" s="858"/>
      <c r="GG295" s="858"/>
      <c r="GH295" s="858"/>
      <c r="GI295" s="858"/>
      <c r="GJ295" s="858"/>
      <c r="GK295" s="858"/>
      <c r="GL295" s="858"/>
      <c r="GM295" s="858"/>
      <c r="GN295" s="858"/>
      <c r="GO295" s="858"/>
      <c r="GP295" s="858"/>
      <c r="GQ295" s="858"/>
      <c r="GR295" s="858"/>
      <c r="GS295" s="858"/>
      <c r="GT295" s="858"/>
      <c r="GU295" s="858"/>
      <c r="GV295" s="858"/>
      <c r="GW295" s="858"/>
      <c r="GX295" s="858"/>
      <c r="GY295" s="858"/>
      <c r="GZ295" s="858"/>
      <c r="HA295" s="858"/>
      <c r="HB295" s="858"/>
      <c r="HC295" s="858"/>
      <c r="HD295" s="858"/>
      <c r="HE295" s="858"/>
      <c r="HF295" s="858"/>
      <c r="HG295" s="858"/>
      <c r="HH295" s="858"/>
      <c r="HI295" s="858"/>
      <c r="HJ295" s="858"/>
      <c r="HK295" s="858"/>
      <c r="HL295" s="858"/>
      <c r="HM295" s="858"/>
      <c r="HN295" s="858"/>
      <c r="HO295" s="858"/>
      <c r="HP295" s="858"/>
      <c r="HQ295" s="858"/>
      <c r="HR295" s="858"/>
      <c r="HS295" s="858"/>
      <c r="HT295" s="858"/>
      <c r="HU295" s="858"/>
      <c r="HV295" s="858"/>
      <c r="HW295" s="858"/>
      <c r="HX295" s="858"/>
      <c r="HY295" s="858"/>
      <c r="HZ295" s="858"/>
      <c r="IA295" s="858"/>
      <c r="IB295" s="858"/>
      <c r="IC295" s="858"/>
      <c r="ID295" s="858"/>
      <c r="IE295" s="858"/>
      <c r="IF295" s="858"/>
      <c r="IG295" s="858"/>
      <c r="IH295" s="858"/>
      <c r="II295" s="858"/>
      <c r="IJ295" s="858"/>
      <c r="IK295" s="858"/>
      <c r="IL295" s="858"/>
      <c r="IM295" s="858"/>
      <c r="IN295" s="858"/>
    </row>
    <row r="296" spans="1:248">
      <c r="A296" s="568" t="s">
        <v>18</v>
      </c>
      <c r="B296" s="566">
        <v>3707.3</v>
      </c>
      <c r="C296" s="566">
        <v>40.835141595162298</v>
      </c>
      <c r="D296" s="569">
        <v>1437.6</v>
      </c>
      <c r="E296" s="859">
        <v>15.83486622534063</v>
      </c>
      <c r="F296" s="859">
        <v>2269.7000000000003</v>
      </c>
      <c r="G296" s="859">
        <v>25.000275369821672</v>
      </c>
      <c r="H296" s="27">
        <v>9078.7000000000007</v>
      </c>
      <c r="I296" s="858"/>
      <c r="J296" s="858"/>
      <c r="K296" s="858"/>
      <c r="L296" s="858"/>
      <c r="M296" s="858"/>
      <c r="N296" s="858"/>
      <c r="O296" s="858"/>
      <c r="P296" s="858"/>
      <c r="Q296" s="858"/>
      <c r="R296" s="858"/>
      <c r="S296" s="858"/>
      <c r="T296" s="858"/>
      <c r="U296" s="858"/>
      <c r="V296" s="858"/>
      <c r="W296" s="858"/>
      <c r="X296" s="858"/>
      <c r="Y296" s="858"/>
      <c r="Z296" s="858"/>
      <c r="AA296" s="858"/>
      <c r="AB296" s="858"/>
      <c r="AC296" s="858"/>
      <c r="AD296" s="858"/>
      <c r="AE296" s="858"/>
      <c r="AF296" s="858"/>
      <c r="AG296" s="858"/>
      <c r="AH296" s="858"/>
      <c r="AI296" s="858"/>
      <c r="AJ296" s="858"/>
      <c r="AK296" s="858"/>
      <c r="AL296" s="858"/>
      <c r="AM296" s="858"/>
      <c r="AN296" s="858"/>
      <c r="AO296" s="858"/>
      <c r="AP296" s="858"/>
      <c r="AQ296" s="858"/>
      <c r="AR296" s="858"/>
      <c r="AS296" s="858"/>
      <c r="AT296" s="858"/>
      <c r="AU296" s="858"/>
      <c r="AV296" s="858"/>
      <c r="AW296" s="858"/>
      <c r="AX296" s="858"/>
      <c r="AY296" s="858"/>
      <c r="AZ296" s="858"/>
      <c r="BA296" s="858"/>
      <c r="BB296" s="858"/>
      <c r="BC296" s="858"/>
      <c r="BD296" s="858"/>
      <c r="BE296" s="858"/>
      <c r="BF296" s="858"/>
      <c r="BG296" s="858"/>
      <c r="BH296" s="858"/>
      <c r="BI296" s="858"/>
      <c r="BJ296" s="858"/>
      <c r="BK296" s="858"/>
      <c r="BL296" s="858"/>
      <c r="BM296" s="858"/>
      <c r="BN296" s="858"/>
      <c r="BO296" s="858"/>
      <c r="BP296" s="858"/>
      <c r="BQ296" s="858"/>
      <c r="BR296" s="858"/>
      <c r="BS296" s="858"/>
      <c r="BT296" s="858"/>
      <c r="BU296" s="858"/>
      <c r="BV296" s="858"/>
      <c r="BW296" s="858"/>
      <c r="BX296" s="858"/>
      <c r="BY296" s="858"/>
      <c r="BZ296" s="858"/>
      <c r="CA296" s="858"/>
      <c r="CB296" s="858"/>
      <c r="CC296" s="858"/>
      <c r="CD296" s="858"/>
      <c r="CE296" s="858"/>
      <c r="CF296" s="858"/>
      <c r="CG296" s="858"/>
      <c r="CH296" s="858"/>
      <c r="CI296" s="858"/>
      <c r="CJ296" s="858"/>
      <c r="CK296" s="858"/>
      <c r="CL296" s="858"/>
      <c r="CM296" s="858"/>
      <c r="CN296" s="858"/>
      <c r="CO296" s="858"/>
      <c r="CP296" s="858"/>
      <c r="CQ296" s="858"/>
      <c r="CR296" s="858"/>
      <c r="CS296" s="858"/>
      <c r="CT296" s="858"/>
      <c r="CU296" s="858"/>
      <c r="CV296" s="858"/>
      <c r="CW296" s="858"/>
      <c r="CX296" s="858"/>
      <c r="CY296" s="858"/>
      <c r="CZ296" s="858"/>
      <c r="DA296" s="858"/>
      <c r="DB296" s="858"/>
      <c r="DC296" s="858"/>
      <c r="DD296" s="858"/>
      <c r="DE296" s="858"/>
      <c r="DF296" s="858"/>
      <c r="DG296" s="858"/>
      <c r="DH296" s="858"/>
      <c r="DI296" s="858"/>
      <c r="DJ296" s="858"/>
      <c r="DK296" s="858"/>
      <c r="DL296" s="858"/>
      <c r="DM296" s="858"/>
      <c r="DN296" s="858"/>
      <c r="DO296" s="858"/>
      <c r="DP296" s="858"/>
      <c r="DQ296" s="858"/>
      <c r="DR296" s="858"/>
      <c r="DS296" s="858"/>
      <c r="DT296" s="858"/>
      <c r="DU296" s="858"/>
      <c r="DV296" s="858"/>
      <c r="DW296" s="858"/>
      <c r="DX296" s="858"/>
      <c r="DY296" s="858"/>
      <c r="DZ296" s="858"/>
      <c r="EA296" s="858"/>
      <c r="EB296" s="858"/>
      <c r="EC296" s="858"/>
      <c r="ED296" s="858"/>
      <c r="EE296" s="858"/>
      <c r="EF296" s="858"/>
      <c r="EG296" s="858"/>
      <c r="EH296" s="858"/>
      <c r="EI296" s="858"/>
      <c r="EJ296" s="858"/>
      <c r="EK296" s="858"/>
      <c r="EL296" s="858"/>
      <c r="EM296" s="858"/>
      <c r="EN296" s="858"/>
      <c r="EO296" s="858"/>
      <c r="EP296" s="858"/>
      <c r="EQ296" s="858"/>
      <c r="ER296" s="858"/>
      <c r="ES296" s="858"/>
      <c r="ET296" s="858"/>
      <c r="EU296" s="858"/>
      <c r="EV296" s="858"/>
      <c r="EW296" s="858"/>
      <c r="EX296" s="858"/>
      <c r="EY296" s="858"/>
      <c r="EZ296" s="858"/>
      <c r="FA296" s="858"/>
      <c r="FB296" s="858"/>
      <c r="FC296" s="858"/>
      <c r="FD296" s="858"/>
      <c r="FE296" s="858"/>
      <c r="FF296" s="858"/>
      <c r="FG296" s="858"/>
      <c r="FH296" s="858"/>
      <c r="FI296" s="858"/>
      <c r="FJ296" s="858"/>
      <c r="FK296" s="858"/>
      <c r="FL296" s="858"/>
      <c r="FM296" s="858"/>
      <c r="FN296" s="858"/>
      <c r="FO296" s="858"/>
      <c r="FP296" s="858"/>
      <c r="FQ296" s="858"/>
      <c r="FR296" s="858"/>
      <c r="FS296" s="858"/>
      <c r="FT296" s="858"/>
      <c r="FU296" s="858"/>
      <c r="FV296" s="858"/>
      <c r="FW296" s="858"/>
      <c r="FX296" s="858"/>
      <c r="FY296" s="858"/>
      <c r="FZ296" s="858"/>
      <c r="GA296" s="858"/>
      <c r="GB296" s="858"/>
      <c r="GC296" s="858"/>
      <c r="GD296" s="858"/>
      <c r="GE296" s="858"/>
      <c r="GF296" s="858"/>
      <c r="GG296" s="858"/>
      <c r="GH296" s="858"/>
      <c r="GI296" s="858"/>
      <c r="GJ296" s="858"/>
      <c r="GK296" s="858"/>
      <c r="GL296" s="858"/>
      <c r="GM296" s="858"/>
      <c r="GN296" s="858"/>
      <c r="GO296" s="858"/>
      <c r="GP296" s="858"/>
      <c r="GQ296" s="858"/>
      <c r="GR296" s="858"/>
      <c r="GS296" s="858"/>
      <c r="GT296" s="858"/>
      <c r="GU296" s="858"/>
      <c r="GV296" s="858"/>
      <c r="GW296" s="858"/>
      <c r="GX296" s="858"/>
      <c r="GY296" s="858"/>
      <c r="GZ296" s="858"/>
      <c r="HA296" s="858"/>
      <c r="HB296" s="858"/>
      <c r="HC296" s="858"/>
      <c r="HD296" s="858"/>
      <c r="HE296" s="858"/>
      <c r="HF296" s="858"/>
      <c r="HG296" s="858"/>
      <c r="HH296" s="858"/>
      <c r="HI296" s="858"/>
      <c r="HJ296" s="858"/>
      <c r="HK296" s="858"/>
      <c r="HL296" s="858"/>
      <c r="HM296" s="858"/>
      <c r="HN296" s="858"/>
      <c r="HO296" s="858"/>
      <c r="HP296" s="858"/>
      <c r="HQ296" s="858"/>
      <c r="HR296" s="858"/>
      <c r="HS296" s="858"/>
      <c r="HT296" s="858"/>
      <c r="HU296" s="858"/>
      <c r="HV296" s="858"/>
      <c r="HW296" s="858"/>
      <c r="HX296" s="858"/>
      <c r="HY296" s="858"/>
      <c r="HZ296" s="858"/>
      <c r="IA296" s="858"/>
      <c r="IB296" s="858"/>
      <c r="IC296" s="858"/>
      <c r="ID296" s="858"/>
      <c r="IE296" s="858"/>
      <c r="IF296" s="858"/>
      <c r="IG296" s="858"/>
      <c r="IH296" s="858"/>
      <c r="II296" s="858"/>
      <c r="IJ296" s="858"/>
      <c r="IK296" s="858"/>
      <c r="IL296" s="858"/>
      <c r="IM296" s="858"/>
      <c r="IN296" s="858"/>
    </row>
    <row r="297" spans="1:248">
      <c r="A297" s="568" t="s">
        <v>19</v>
      </c>
      <c r="B297" s="566">
        <v>6311.5</v>
      </c>
      <c r="C297" s="566">
        <v>34.165895274750859</v>
      </c>
      <c r="D297" s="569">
        <v>4643.1000000000004</v>
      </c>
      <c r="E297" s="859">
        <v>25.134384591649482</v>
      </c>
      <c r="F297" s="859">
        <v>1668.3999999999996</v>
      </c>
      <c r="G297" s="859">
        <v>9.0315106831013736</v>
      </c>
      <c r="H297" s="27">
        <v>18473.099999999999</v>
      </c>
      <c r="I297" s="858"/>
      <c r="J297" s="858"/>
      <c r="K297" s="858"/>
      <c r="L297" s="858"/>
      <c r="M297" s="858"/>
      <c r="N297" s="858"/>
      <c r="O297" s="858"/>
      <c r="P297" s="858"/>
      <c r="Q297" s="858"/>
      <c r="R297" s="858"/>
      <c r="S297" s="858"/>
      <c r="T297" s="858"/>
      <c r="U297" s="858"/>
      <c r="V297" s="858"/>
      <c r="W297" s="858"/>
      <c r="X297" s="858"/>
      <c r="Y297" s="858"/>
      <c r="Z297" s="858"/>
      <c r="AA297" s="858"/>
      <c r="AB297" s="858"/>
      <c r="AC297" s="858"/>
      <c r="AD297" s="858"/>
      <c r="AE297" s="858"/>
      <c r="AF297" s="858"/>
      <c r="AG297" s="858"/>
      <c r="AH297" s="858"/>
      <c r="AI297" s="858"/>
      <c r="AJ297" s="858"/>
      <c r="AK297" s="858"/>
      <c r="AL297" s="858"/>
      <c r="AM297" s="858"/>
      <c r="AN297" s="858"/>
      <c r="AO297" s="858"/>
      <c r="AP297" s="858"/>
      <c r="AQ297" s="858"/>
      <c r="AR297" s="858"/>
      <c r="AS297" s="858"/>
      <c r="AT297" s="858"/>
      <c r="AU297" s="858"/>
      <c r="AV297" s="858"/>
      <c r="AW297" s="858"/>
      <c r="AX297" s="858"/>
      <c r="AY297" s="858"/>
      <c r="AZ297" s="858"/>
      <c r="BA297" s="858"/>
      <c r="BB297" s="858"/>
      <c r="BC297" s="858"/>
      <c r="BD297" s="858"/>
      <c r="BE297" s="858"/>
      <c r="BF297" s="858"/>
      <c r="BG297" s="858"/>
      <c r="BH297" s="858"/>
      <c r="BI297" s="858"/>
      <c r="BJ297" s="858"/>
      <c r="BK297" s="858"/>
      <c r="BL297" s="858"/>
      <c r="BM297" s="858"/>
      <c r="BN297" s="858"/>
      <c r="BO297" s="858"/>
      <c r="BP297" s="858"/>
      <c r="BQ297" s="858"/>
      <c r="BR297" s="858"/>
      <c r="BS297" s="858"/>
      <c r="BT297" s="858"/>
      <c r="BU297" s="858"/>
      <c r="BV297" s="858"/>
      <c r="BW297" s="858"/>
      <c r="BX297" s="858"/>
      <c r="BY297" s="858"/>
      <c r="BZ297" s="858"/>
      <c r="CA297" s="858"/>
      <c r="CB297" s="858"/>
      <c r="CC297" s="858"/>
      <c r="CD297" s="858"/>
      <c r="CE297" s="858"/>
      <c r="CF297" s="858"/>
      <c r="CG297" s="858"/>
      <c r="CH297" s="858"/>
      <c r="CI297" s="858"/>
      <c r="CJ297" s="858"/>
      <c r="CK297" s="858"/>
      <c r="CL297" s="858"/>
      <c r="CM297" s="858"/>
      <c r="CN297" s="858"/>
      <c r="CO297" s="858"/>
      <c r="CP297" s="858"/>
      <c r="CQ297" s="858"/>
      <c r="CR297" s="858"/>
      <c r="CS297" s="858"/>
      <c r="CT297" s="858"/>
      <c r="CU297" s="858"/>
      <c r="CV297" s="858"/>
      <c r="CW297" s="858"/>
      <c r="CX297" s="858"/>
      <c r="CY297" s="858"/>
      <c r="CZ297" s="858"/>
      <c r="DA297" s="858"/>
      <c r="DB297" s="858"/>
      <c r="DC297" s="858"/>
      <c r="DD297" s="858"/>
      <c r="DE297" s="858"/>
      <c r="DF297" s="858"/>
      <c r="DG297" s="858"/>
      <c r="DH297" s="858"/>
      <c r="DI297" s="858"/>
      <c r="DJ297" s="858"/>
      <c r="DK297" s="858"/>
      <c r="DL297" s="858"/>
      <c r="DM297" s="858"/>
      <c r="DN297" s="858"/>
      <c r="DO297" s="858"/>
      <c r="DP297" s="858"/>
      <c r="DQ297" s="858"/>
      <c r="DR297" s="858"/>
      <c r="DS297" s="858"/>
      <c r="DT297" s="858"/>
      <c r="DU297" s="858"/>
      <c r="DV297" s="858"/>
      <c r="DW297" s="858"/>
      <c r="DX297" s="858"/>
      <c r="DY297" s="858"/>
      <c r="DZ297" s="858"/>
      <c r="EA297" s="858"/>
      <c r="EB297" s="858"/>
      <c r="EC297" s="858"/>
      <c r="ED297" s="858"/>
      <c r="EE297" s="858"/>
      <c r="EF297" s="858"/>
      <c r="EG297" s="858"/>
      <c r="EH297" s="858"/>
      <c r="EI297" s="858"/>
      <c r="EJ297" s="858"/>
      <c r="EK297" s="858"/>
      <c r="EL297" s="858"/>
      <c r="EM297" s="858"/>
      <c r="EN297" s="858"/>
      <c r="EO297" s="858"/>
      <c r="EP297" s="858"/>
      <c r="EQ297" s="858"/>
      <c r="ER297" s="858"/>
      <c r="ES297" s="858"/>
      <c r="ET297" s="858"/>
      <c r="EU297" s="858"/>
      <c r="EV297" s="858"/>
      <c r="EW297" s="858"/>
      <c r="EX297" s="858"/>
      <c r="EY297" s="858"/>
      <c r="EZ297" s="858"/>
      <c r="FA297" s="858"/>
      <c r="FB297" s="858"/>
      <c r="FC297" s="858"/>
      <c r="FD297" s="858"/>
      <c r="FE297" s="858"/>
      <c r="FF297" s="858"/>
      <c r="FG297" s="858"/>
      <c r="FH297" s="858"/>
      <c r="FI297" s="858"/>
      <c r="FJ297" s="858"/>
      <c r="FK297" s="858"/>
      <c r="FL297" s="858"/>
      <c r="FM297" s="858"/>
      <c r="FN297" s="858"/>
      <c r="FO297" s="858"/>
      <c r="FP297" s="858"/>
      <c r="FQ297" s="858"/>
      <c r="FR297" s="858"/>
      <c r="FS297" s="858"/>
      <c r="FT297" s="858"/>
      <c r="FU297" s="858"/>
      <c r="FV297" s="858"/>
      <c r="FW297" s="858"/>
      <c r="FX297" s="858"/>
      <c r="FY297" s="858"/>
      <c r="FZ297" s="858"/>
      <c r="GA297" s="858"/>
      <c r="GB297" s="858"/>
      <c r="GC297" s="858"/>
      <c r="GD297" s="858"/>
      <c r="GE297" s="858"/>
      <c r="GF297" s="858"/>
      <c r="GG297" s="858"/>
      <c r="GH297" s="858"/>
      <c r="GI297" s="858"/>
      <c r="GJ297" s="858"/>
      <c r="GK297" s="858"/>
      <c r="GL297" s="858"/>
      <c r="GM297" s="858"/>
      <c r="GN297" s="858"/>
      <c r="GO297" s="858"/>
      <c r="GP297" s="858"/>
      <c r="GQ297" s="858"/>
      <c r="GR297" s="858"/>
      <c r="GS297" s="858"/>
      <c r="GT297" s="858"/>
      <c r="GU297" s="858"/>
      <c r="GV297" s="858"/>
      <c r="GW297" s="858"/>
      <c r="GX297" s="858"/>
      <c r="GY297" s="858"/>
      <c r="GZ297" s="858"/>
      <c r="HA297" s="858"/>
      <c r="HB297" s="858"/>
      <c r="HC297" s="858"/>
      <c r="HD297" s="858"/>
      <c r="HE297" s="858"/>
      <c r="HF297" s="858"/>
      <c r="HG297" s="858"/>
      <c r="HH297" s="858"/>
      <c r="HI297" s="858"/>
      <c r="HJ297" s="858"/>
      <c r="HK297" s="858"/>
      <c r="HL297" s="858"/>
      <c r="HM297" s="858"/>
      <c r="HN297" s="858"/>
      <c r="HO297" s="858"/>
      <c r="HP297" s="858"/>
      <c r="HQ297" s="858"/>
      <c r="HR297" s="858"/>
      <c r="HS297" s="858"/>
      <c r="HT297" s="858"/>
      <c r="HU297" s="858"/>
      <c r="HV297" s="858"/>
      <c r="HW297" s="858"/>
      <c r="HX297" s="858"/>
      <c r="HY297" s="858"/>
      <c r="HZ297" s="858"/>
      <c r="IA297" s="858"/>
      <c r="IB297" s="858"/>
      <c r="IC297" s="858"/>
      <c r="ID297" s="858"/>
      <c r="IE297" s="858"/>
      <c r="IF297" s="858"/>
      <c r="IG297" s="858"/>
      <c r="IH297" s="858"/>
      <c r="II297" s="858"/>
      <c r="IJ297" s="858"/>
      <c r="IK297" s="858"/>
      <c r="IL297" s="858"/>
      <c r="IM297" s="858"/>
      <c r="IN297" s="858"/>
    </row>
    <row r="298" spans="1:248">
      <c r="A298" s="568" t="s">
        <v>20</v>
      </c>
      <c r="B298" s="566">
        <v>9599</v>
      </c>
      <c r="C298" s="566">
        <v>32.316383419968219</v>
      </c>
      <c r="D298" s="569">
        <v>7817.1</v>
      </c>
      <c r="E298" s="859">
        <v>26.317366479032561</v>
      </c>
      <c r="F298" s="859">
        <v>1781.8999999999996</v>
      </c>
      <c r="G298" s="859">
        <v>5.9990169409356549</v>
      </c>
      <c r="H298" s="27">
        <v>29703.200000000001</v>
      </c>
      <c r="I298" s="858"/>
      <c r="J298" s="858"/>
      <c r="K298" s="858"/>
      <c r="L298" s="858"/>
      <c r="M298" s="858"/>
      <c r="N298" s="858"/>
      <c r="O298" s="858"/>
      <c r="P298" s="858"/>
      <c r="Q298" s="858"/>
      <c r="R298" s="858"/>
      <c r="S298" s="858"/>
      <c r="T298" s="858"/>
      <c r="U298" s="858"/>
      <c r="V298" s="858"/>
      <c r="W298" s="858"/>
      <c r="X298" s="858"/>
      <c r="Y298" s="858"/>
      <c r="Z298" s="858"/>
      <c r="AA298" s="858"/>
      <c r="AB298" s="858"/>
      <c r="AC298" s="858"/>
      <c r="AD298" s="858"/>
      <c r="AE298" s="858"/>
      <c r="AF298" s="858"/>
      <c r="AG298" s="858"/>
      <c r="AH298" s="858"/>
      <c r="AI298" s="858"/>
      <c r="AJ298" s="858"/>
      <c r="AK298" s="858"/>
      <c r="AL298" s="858"/>
      <c r="AM298" s="858"/>
      <c r="AN298" s="858"/>
      <c r="AO298" s="858"/>
      <c r="AP298" s="858"/>
      <c r="AQ298" s="858"/>
      <c r="AR298" s="858"/>
      <c r="AS298" s="858"/>
      <c r="AT298" s="858"/>
      <c r="AU298" s="858"/>
      <c r="AV298" s="858"/>
      <c r="AW298" s="858"/>
      <c r="AX298" s="858"/>
      <c r="AY298" s="858"/>
      <c r="AZ298" s="858"/>
      <c r="BA298" s="858"/>
      <c r="BB298" s="858"/>
      <c r="BC298" s="858"/>
      <c r="BD298" s="858"/>
      <c r="BE298" s="858"/>
      <c r="BF298" s="858"/>
      <c r="BG298" s="858"/>
      <c r="BH298" s="858"/>
      <c r="BI298" s="858"/>
      <c r="BJ298" s="858"/>
      <c r="BK298" s="858"/>
      <c r="BL298" s="858"/>
      <c r="BM298" s="858"/>
      <c r="BN298" s="858"/>
      <c r="BO298" s="858"/>
      <c r="BP298" s="858"/>
      <c r="BQ298" s="858"/>
      <c r="BR298" s="858"/>
      <c r="BS298" s="858"/>
      <c r="BT298" s="858"/>
      <c r="BU298" s="858"/>
      <c r="BV298" s="858"/>
      <c r="BW298" s="858"/>
      <c r="BX298" s="858"/>
      <c r="BY298" s="858"/>
      <c r="BZ298" s="858"/>
      <c r="CA298" s="858"/>
      <c r="CB298" s="858"/>
      <c r="CC298" s="858"/>
      <c r="CD298" s="858"/>
      <c r="CE298" s="858"/>
      <c r="CF298" s="858"/>
      <c r="CG298" s="858"/>
      <c r="CH298" s="858"/>
      <c r="CI298" s="858"/>
      <c r="CJ298" s="858"/>
      <c r="CK298" s="858"/>
      <c r="CL298" s="858"/>
      <c r="CM298" s="858"/>
      <c r="CN298" s="858"/>
      <c r="CO298" s="858"/>
      <c r="CP298" s="858"/>
      <c r="CQ298" s="858"/>
      <c r="CR298" s="858"/>
      <c r="CS298" s="858"/>
      <c r="CT298" s="858"/>
      <c r="CU298" s="858"/>
      <c r="CV298" s="858"/>
      <c r="CW298" s="858"/>
      <c r="CX298" s="858"/>
      <c r="CY298" s="858"/>
      <c r="CZ298" s="858"/>
      <c r="DA298" s="858"/>
      <c r="DB298" s="858"/>
      <c r="DC298" s="858"/>
      <c r="DD298" s="858"/>
      <c r="DE298" s="858"/>
      <c r="DF298" s="858"/>
      <c r="DG298" s="858"/>
      <c r="DH298" s="858"/>
      <c r="DI298" s="858"/>
      <c r="DJ298" s="858"/>
      <c r="DK298" s="858"/>
      <c r="DL298" s="858"/>
      <c r="DM298" s="858"/>
      <c r="DN298" s="858"/>
      <c r="DO298" s="858"/>
      <c r="DP298" s="858"/>
      <c r="DQ298" s="858"/>
      <c r="DR298" s="858"/>
      <c r="DS298" s="858"/>
      <c r="DT298" s="858"/>
      <c r="DU298" s="858"/>
      <c r="DV298" s="858"/>
      <c r="DW298" s="858"/>
      <c r="DX298" s="858"/>
      <c r="DY298" s="858"/>
      <c r="DZ298" s="858"/>
      <c r="EA298" s="858"/>
      <c r="EB298" s="858"/>
      <c r="EC298" s="858"/>
      <c r="ED298" s="858"/>
      <c r="EE298" s="858"/>
      <c r="EF298" s="858"/>
      <c r="EG298" s="858"/>
      <c r="EH298" s="858"/>
      <c r="EI298" s="858"/>
      <c r="EJ298" s="858"/>
      <c r="EK298" s="858"/>
      <c r="EL298" s="858"/>
      <c r="EM298" s="858"/>
      <c r="EN298" s="858"/>
      <c r="EO298" s="858"/>
      <c r="EP298" s="858"/>
      <c r="EQ298" s="858"/>
      <c r="ER298" s="858"/>
      <c r="ES298" s="858"/>
      <c r="ET298" s="858"/>
      <c r="EU298" s="858"/>
      <c r="EV298" s="858"/>
      <c r="EW298" s="858"/>
      <c r="EX298" s="858"/>
      <c r="EY298" s="858"/>
      <c r="EZ298" s="858"/>
      <c r="FA298" s="858"/>
      <c r="FB298" s="858"/>
      <c r="FC298" s="858"/>
      <c r="FD298" s="858"/>
      <c r="FE298" s="858"/>
      <c r="FF298" s="858"/>
      <c r="FG298" s="858"/>
      <c r="FH298" s="858"/>
      <c r="FI298" s="858"/>
      <c r="FJ298" s="858"/>
      <c r="FK298" s="858"/>
      <c r="FL298" s="858"/>
      <c r="FM298" s="858"/>
      <c r="FN298" s="858"/>
      <c r="FO298" s="858"/>
      <c r="FP298" s="858"/>
      <c r="FQ298" s="858"/>
      <c r="FR298" s="858"/>
      <c r="FS298" s="858"/>
      <c r="FT298" s="858"/>
      <c r="FU298" s="858"/>
      <c r="FV298" s="858"/>
      <c r="FW298" s="858"/>
      <c r="FX298" s="858"/>
      <c r="FY298" s="858"/>
      <c r="FZ298" s="858"/>
      <c r="GA298" s="858"/>
      <c r="GB298" s="858"/>
      <c r="GC298" s="858"/>
      <c r="GD298" s="858"/>
      <c r="GE298" s="858"/>
      <c r="GF298" s="858"/>
      <c r="GG298" s="858"/>
      <c r="GH298" s="858"/>
      <c r="GI298" s="858"/>
      <c r="GJ298" s="858"/>
      <c r="GK298" s="858"/>
      <c r="GL298" s="858"/>
      <c r="GM298" s="858"/>
      <c r="GN298" s="858"/>
      <c r="GO298" s="858"/>
      <c r="GP298" s="858"/>
      <c r="GQ298" s="858"/>
      <c r="GR298" s="858"/>
      <c r="GS298" s="858"/>
      <c r="GT298" s="858"/>
      <c r="GU298" s="858"/>
      <c r="GV298" s="858"/>
      <c r="GW298" s="858"/>
      <c r="GX298" s="858"/>
      <c r="GY298" s="858"/>
      <c r="GZ298" s="858"/>
      <c r="HA298" s="858"/>
      <c r="HB298" s="858"/>
      <c r="HC298" s="858"/>
      <c r="HD298" s="858"/>
      <c r="HE298" s="858"/>
      <c r="HF298" s="858"/>
      <c r="HG298" s="858"/>
      <c r="HH298" s="858"/>
      <c r="HI298" s="858"/>
      <c r="HJ298" s="858"/>
      <c r="HK298" s="858"/>
      <c r="HL298" s="858"/>
      <c r="HM298" s="858"/>
      <c r="HN298" s="858"/>
      <c r="HO298" s="858"/>
      <c r="HP298" s="858"/>
      <c r="HQ298" s="858"/>
      <c r="HR298" s="858"/>
      <c r="HS298" s="858"/>
      <c r="HT298" s="858"/>
      <c r="HU298" s="858"/>
      <c r="HV298" s="858"/>
      <c r="HW298" s="858"/>
      <c r="HX298" s="858"/>
      <c r="HY298" s="858"/>
      <c r="HZ298" s="858"/>
      <c r="IA298" s="858"/>
      <c r="IB298" s="858"/>
      <c r="IC298" s="858"/>
      <c r="ID298" s="858"/>
      <c r="IE298" s="858"/>
      <c r="IF298" s="858"/>
      <c r="IG298" s="858"/>
      <c r="IH298" s="858"/>
      <c r="II298" s="858"/>
      <c r="IJ298" s="858"/>
      <c r="IK298" s="858"/>
      <c r="IL298" s="858"/>
      <c r="IM298" s="858"/>
      <c r="IN298" s="858"/>
    </row>
    <row r="299" spans="1:248">
      <c r="A299" s="568" t="s">
        <v>21</v>
      </c>
      <c r="B299" s="566">
        <v>13564</v>
      </c>
      <c r="C299" s="566">
        <v>34.016215633315028</v>
      </c>
      <c r="D299" s="569">
        <v>10531.1</v>
      </c>
      <c r="E299" s="859">
        <v>26.410215899145083</v>
      </c>
      <c r="F299" s="859">
        <v>3032.8999999999996</v>
      </c>
      <c r="G299" s="859">
        <v>7.605999734169945</v>
      </c>
      <c r="H299" s="27">
        <v>39875.1</v>
      </c>
      <c r="I299" s="858"/>
      <c r="J299" s="858"/>
      <c r="K299" s="858"/>
      <c r="L299" s="858"/>
      <c r="M299" s="858"/>
      <c r="N299" s="858"/>
      <c r="O299" s="858"/>
      <c r="P299" s="858"/>
      <c r="Q299" s="858"/>
      <c r="R299" s="858"/>
      <c r="S299" s="858"/>
      <c r="T299" s="858"/>
      <c r="U299" s="858"/>
      <c r="V299" s="858"/>
      <c r="W299" s="858"/>
      <c r="X299" s="858"/>
      <c r="Y299" s="858"/>
      <c r="Z299" s="858"/>
      <c r="AA299" s="858"/>
      <c r="AB299" s="858"/>
      <c r="AC299" s="858"/>
      <c r="AD299" s="858"/>
      <c r="AE299" s="858"/>
      <c r="AF299" s="858"/>
      <c r="AG299" s="858"/>
      <c r="AH299" s="858"/>
      <c r="AI299" s="858"/>
      <c r="AJ299" s="858"/>
      <c r="AK299" s="858"/>
      <c r="AL299" s="858"/>
      <c r="AM299" s="858"/>
      <c r="AN299" s="858"/>
      <c r="AO299" s="858"/>
      <c r="AP299" s="858"/>
      <c r="AQ299" s="858"/>
      <c r="AR299" s="858"/>
      <c r="AS299" s="858"/>
      <c r="AT299" s="858"/>
      <c r="AU299" s="858"/>
      <c r="AV299" s="858"/>
      <c r="AW299" s="858"/>
      <c r="AX299" s="858"/>
      <c r="AY299" s="858"/>
      <c r="AZ299" s="858"/>
      <c r="BA299" s="858"/>
      <c r="BB299" s="858"/>
      <c r="BC299" s="858"/>
      <c r="BD299" s="858"/>
      <c r="BE299" s="858"/>
      <c r="BF299" s="858"/>
      <c r="BG299" s="858"/>
      <c r="BH299" s="858"/>
      <c r="BI299" s="858"/>
      <c r="BJ299" s="858"/>
      <c r="BK299" s="858"/>
      <c r="BL299" s="858"/>
      <c r="BM299" s="858"/>
      <c r="BN299" s="858"/>
      <c r="BO299" s="858"/>
      <c r="BP299" s="858"/>
      <c r="BQ299" s="858"/>
      <c r="BR299" s="858"/>
      <c r="BS299" s="858"/>
      <c r="BT299" s="858"/>
      <c r="BU299" s="858"/>
      <c r="BV299" s="858"/>
      <c r="BW299" s="858"/>
      <c r="BX299" s="858"/>
      <c r="BY299" s="858"/>
      <c r="BZ299" s="858"/>
      <c r="CA299" s="858"/>
      <c r="CB299" s="858"/>
      <c r="CC299" s="858"/>
      <c r="CD299" s="858"/>
      <c r="CE299" s="858"/>
      <c r="CF299" s="858"/>
      <c r="CG299" s="858"/>
      <c r="CH299" s="858"/>
      <c r="CI299" s="858"/>
      <c r="CJ299" s="858"/>
      <c r="CK299" s="858"/>
      <c r="CL299" s="858"/>
      <c r="CM299" s="858"/>
      <c r="CN299" s="858"/>
      <c r="CO299" s="858"/>
      <c r="CP299" s="858"/>
      <c r="CQ299" s="858"/>
      <c r="CR299" s="858"/>
      <c r="CS299" s="858"/>
      <c r="CT299" s="858"/>
      <c r="CU299" s="858"/>
      <c r="CV299" s="858"/>
      <c r="CW299" s="858"/>
      <c r="CX299" s="858"/>
      <c r="CY299" s="858"/>
      <c r="CZ299" s="858"/>
      <c r="DA299" s="858"/>
      <c r="DB299" s="858"/>
      <c r="DC299" s="858"/>
      <c r="DD299" s="858"/>
      <c r="DE299" s="858"/>
      <c r="DF299" s="858"/>
      <c r="DG299" s="858"/>
      <c r="DH299" s="858"/>
      <c r="DI299" s="858"/>
      <c r="DJ299" s="858"/>
      <c r="DK299" s="858"/>
      <c r="DL299" s="858"/>
      <c r="DM299" s="858"/>
      <c r="DN299" s="858"/>
      <c r="DO299" s="858"/>
      <c r="DP299" s="858"/>
      <c r="DQ299" s="858"/>
      <c r="DR299" s="858"/>
      <c r="DS299" s="858"/>
      <c r="DT299" s="858"/>
      <c r="DU299" s="858"/>
      <c r="DV299" s="858"/>
      <c r="DW299" s="858"/>
      <c r="DX299" s="858"/>
      <c r="DY299" s="858"/>
      <c r="DZ299" s="858"/>
      <c r="EA299" s="858"/>
      <c r="EB299" s="858"/>
      <c r="EC299" s="858"/>
      <c r="ED299" s="858"/>
      <c r="EE299" s="858"/>
      <c r="EF299" s="858"/>
      <c r="EG299" s="858"/>
      <c r="EH299" s="858"/>
      <c r="EI299" s="858"/>
      <c r="EJ299" s="858"/>
      <c r="EK299" s="858"/>
      <c r="EL299" s="858"/>
      <c r="EM299" s="858"/>
      <c r="EN299" s="858"/>
      <c r="EO299" s="858"/>
      <c r="EP299" s="858"/>
      <c r="EQ299" s="858"/>
      <c r="ER299" s="858"/>
      <c r="ES299" s="858"/>
      <c r="ET299" s="858"/>
      <c r="EU299" s="858"/>
      <c r="EV299" s="858"/>
      <c r="EW299" s="858"/>
      <c r="EX299" s="858"/>
      <c r="EY299" s="858"/>
      <c r="EZ299" s="858"/>
      <c r="FA299" s="858"/>
      <c r="FB299" s="858"/>
      <c r="FC299" s="858"/>
      <c r="FD299" s="858"/>
      <c r="FE299" s="858"/>
      <c r="FF299" s="858"/>
      <c r="FG299" s="858"/>
      <c r="FH299" s="858"/>
      <c r="FI299" s="858"/>
      <c r="FJ299" s="858"/>
      <c r="FK299" s="858"/>
      <c r="FL299" s="858"/>
      <c r="FM299" s="858"/>
      <c r="FN299" s="858"/>
      <c r="FO299" s="858"/>
      <c r="FP299" s="858"/>
      <c r="FQ299" s="858"/>
      <c r="FR299" s="858"/>
      <c r="FS299" s="858"/>
      <c r="FT299" s="858"/>
      <c r="FU299" s="858"/>
      <c r="FV299" s="858"/>
      <c r="FW299" s="858"/>
      <c r="FX299" s="858"/>
      <c r="FY299" s="858"/>
      <c r="FZ299" s="858"/>
      <c r="GA299" s="858"/>
      <c r="GB299" s="858"/>
      <c r="GC299" s="858"/>
      <c r="GD299" s="858"/>
      <c r="GE299" s="858"/>
      <c r="GF299" s="858"/>
      <c r="GG299" s="858"/>
      <c r="GH299" s="858"/>
      <c r="GI299" s="858"/>
      <c r="GJ299" s="858"/>
      <c r="GK299" s="858"/>
      <c r="GL299" s="858"/>
      <c r="GM299" s="858"/>
      <c r="GN299" s="858"/>
      <c r="GO299" s="858"/>
      <c r="GP299" s="858"/>
      <c r="GQ299" s="858"/>
      <c r="GR299" s="858"/>
      <c r="GS299" s="858"/>
      <c r="GT299" s="858"/>
      <c r="GU299" s="858"/>
      <c r="GV299" s="858"/>
      <c r="GW299" s="858"/>
      <c r="GX299" s="858"/>
      <c r="GY299" s="858"/>
      <c r="GZ299" s="858"/>
      <c r="HA299" s="858"/>
      <c r="HB299" s="858"/>
      <c r="HC299" s="858"/>
      <c r="HD299" s="858"/>
      <c r="HE299" s="858"/>
      <c r="HF299" s="858"/>
      <c r="HG299" s="858"/>
      <c r="HH299" s="858"/>
      <c r="HI299" s="858"/>
      <c r="HJ299" s="858"/>
      <c r="HK299" s="858"/>
      <c r="HL299" s="858"/>
      <c r="HM299" s="858"/>
      <c r="HN299" s="858"/>
      <c r="HO299" s="858"/>
      <c r="HP299" s="858"/>
      <c r="HQ299" s="858"/>
      <c r="HR299" s="858"/>
      <c r="HS299" s="858"/>
      <c r="HT299" s="858"/>
      <c r="HU299" s="858"/>
      <c r="HV299" s="858"/>
      <c r="HW299" s="858"/>
      <c r="HX299" s="858"/>
      <c r="HY299" s="858"/>
      <c r="HZ299" s="858"/>
      <c r="IA299" s="858"/>
      <c r="IB299" s="858"/>
      <c r="IC299" s="858"/>
      <c r="ID299" s="858"/>
      <c r="IE299" s="858"/>
      <c r="IF299" s="858"/>
      <c r="IG299" s="858"/>
      <c r="IH299" s="858"/>
      <c r="II299" s="858"/>
      <c r="IJ299" s="858"/>
      <c r="IK299" s="858"/>
      <c r="IL299" s="858"/>
      <c r="IM299" s="858"/>
      <c r="IN299" s="858"/>
    </row>
    <row r="300" spans="1:248">
      <c r="A300" s="568" t="s">
        <v>22</v>
      </c>
      <c r="B300" s="566">
        <v>16365.7</v>
      </c>
      <c r="C300" s="566">
        <v>31.603899288966819</v>
      </c>
      <c r="D300" s="569">
        <v>13375.2</v>
      </c>
      <c r="E300" s="859">
        <v>25.828927193446599</v>
      </c>
      <c r="F300" s="859">
        <v>2990.5</v>
      </c>
      <c r="G300" s="859">
        <v>5.7749720955202202</v>
      </c>
      <c r="H300" s="27">
        <v>51783.8</v>
      </c>
      <c r="I300" s="858"/>
      <c r="J300" s="858"/>
      <c r="K300" s="858"/>
      <c r="L300" s="858"/>
      <c r="M300" s="858"/>
      <c r="N300" s="858"/>
      <c r="O300" s="858"/>
      <c r="P300" s="858"/>
      <c r="Q300" s="858"/>
      <c r="R300" s="858"/>
      <c r="S300" s="858"/>
      <c r="T300" s="858"/>
      <c r="U300" s="858"/>
      <c r="V300" s="858"/>
      <c r="W300" s="858"/>
      <c r="X300" s="858"/>
      <c r="Y300" s="858"/>
      <c r="Z300" s="858"/>
      <c r="AA300" s="858"/>
      <c r="AB300" s="858"/>
      <c r="AC300" s="858"/>
      <c r="AD300" s="858"/>
      <c r="AE300" s="858"/>
      <c r="AF300" s="858"/>
      <c r="AG300" s="858"/>
      <c r="AH300" s="858"/>
      <c r="AI300" s="858"/>
      <c r="AJ300" s="858"/>
      <c r="AK300" s="858"/>
      <c r="AL300" s="858"/>
      <c r="AM300" s="858"/>
      <c r="AN300" s="858"/>
      <c r="AO300" s="858"/>
      <c r="AP300" s="858"/>
      <c r="AQ300" s="858"/>
      <c r="AR300" s="858"/>
      <c r="AS300" s="858"/>
      <c r="AT300" s="858"/>
      <c r="AU300" s="858"/>
      <c r="AV300" s="858"/>
      <c r="AW300" s="858"/>
      <c r="AX300" s="858"/>
      <c r="AY300" s="858"/>
      <c r="AZ300" s="858"/>
      <c r="BA300" s="858"/>
      <c r="BB300" s="858"/>
      <c r="BC300" s="858"/>
      <c r="BD300" s="858"/>
      <c r="BE300" s="858"/>
      <c r="BF300" s="858"/>
      <c r="BG300" s="858"/>
      <c r="BH300" s="858"/>
      <c r="BI300" s="858"/>
      <c r="BJ300" s="858"/>
      <c r="BK300" s="858"/>
      <c r="BL300" s="858"/>
      <c r="BM300" s="858"/>
      <c r="BN300" s="858"/>
      <c r="BO300" s="858"/>
      <c r="BP300" s="858"/>
      <c r="BQ300" s="858"/>
      <c r="BR300" s="858"/>
      <c r="BS300" s="858"/>
      <c r="BT300" s="858"/>
      <c r="BU300" s="858"/>
      <c r="BV300" s="858"/>
      <c r="BW300" s="858"/>
      <c r="BX300" s="858"/>
      <c r="BY300" s="858"/>
      <c r="BZ300" s="858"/>
      <c r="CA300" s="858"/>
      <c r="CB300" s="858"/>
      <c r="CC300" s="858"/>
      <c r="CD300" s="858"/>
      <c r="CE300" s="858"/>
      <c r="CF300" s="858"/>
      <c r="CG300" s="858"/>
      <c r="CH300" s="858"/>
      <c r="CI300" s="858"/>
      <c r="CJ300" s="858"/>
      <c r="CK300" s="858"/>
      <c r="CL300" s="858"/>
      <c r="CM300" s="858"/>
      <c r="CN300" s="858"/>
      <c r="CO300" s="858"/>
      <c r="CP300" s="858"/>
      <c r="CQ300" s="858"/>
      <c r="CR300" s="858"/>
      <c r="CS300" s="858"/>
      <c r="CT300" s="858"/>
      <c r="CU300" s="858"/>
      <c r="CV300" s="858"/>
      <c r="CW300" s="858"/>
      <c r="CX300" s="858"/>
      <c r="CY300" s="858"/>
      <c r="CZ300" s="858"/>
      <c r="DA300" s="858"/>
      <c r="DB300" s="858"/>
      <c r="DC300" s="858"/>
      <c r="DD300" s="858"/>
      <c r="DE300" s="858"/>
      <c r="DF300" s="858"/>
      <c r="DG300" s="858"/>
      <c r="DH300" s="858"/>
      <c r="DI300" s="858"/>
      <c r="DJ300" s="858"/>
      <c r="DK300" s="858"/>
      <c r="DL300" s="858"/>
      <c r="DM300" s="858"/>
      <c r="DN300" s="858"/>
      <c r="DO300" s="858"/>
      <c r="DP300" s="858"/>
      <c r="DQ300" s="858"/>
      <c r="DR300" s="858"/>
      <c r="DS300" s="858"/>
      <c r="DT300" s="858"/>
      <c r="DU300" s="858"/>
      <c r="DV300" s="858"/>
      <c r="DW300" s="858"/>
      <c r="DX300" s="858"/>
      <c r="DY300" s="858"/>
      <c r="DZ300" s="858"/>
      <c r="EA300" s="858"/>
      <c r="EB300" s="858"/>
      <c r="EC300" s="858"/>
      <c r="ED300" s="858"/>
      <c r="EE300" s="858"/>
      <c r="EF300" s="858"/>
      <c r="EG300" s="858"/>
      <c r="EH300" s="858"/>
      <c r="EI300" s="858"/>
      <c r="EJ300" s="858"/>
      <c r="EK300" s="858"/>
      <c r="EL300" s="858"/>
      <c r="EM300" s="858"/>
      <c r="EN300" s="858"/>
      <c r="EO300" s="858"/>
      <c r="EP300" s="858"/>
      <c r="EQ300" s="858"/>
      <c r="ER300" s="858"/>
      <c r="ES300" s="858"/>
      <c r="ET300" s="858"/>
      <c r="EU300" s="858"/>
      <c r="EV300" s="858"/>
      <c r="EW300" s="858"/>
      <c r="EX300" s="858"/>
      <c r="EY300" s="858"/>
      <c r="EZ300" s="858"/>
      <c r="FA300" s="858"/>
      <c r="FB300" s="858"/>
      <c r="FC300" s="858"/>
      <c r="FD300" s="858"/>
      <c r="FE300" s="858"/>
      <c r="FF300" s="858"/>
      <c r="FG300" s="858"/>
      <c r="FH300" s="858"/>
      <c r="FI300" s="858"/>
      <c r="FJ300" s="858"/>
      <c r="FK300" s="858"/>
      <c r="FL300" s="858"/>
      <c r="FM300" s="858"/>
      <c r="FN300" s="858"/>
      <c r="FO300" s="858"/>
      <c r="FP300" s="858"/>
      <c r="FQ300" s="858"/>
      <c r="FR300" s="858"/>
      <c r="FS300" s="858"/>
      <c r="FT300" s="858"/>
      <c r="FU300" s="858"/>
      <c r="FV300" s="858"/>
      <c r="FW300" s="858"/>
      <c r="FX300" s="858"/>
      <c r="FY300" s="858"/>
      <c r="FZ300" s="858"/>
      <c r="GA300" s="858"/>
      <c r="GB300" s="858"/>
      <c r="GC300" s="858"/>
      <c r="GD300" s="858"/>
      <c r="GE300" s="858"/>
      <c r="GF300" s="858"/>
      <c r="GG300" s="858"/>
      <c r="GH300" s="858"/>
      <c r="GI300" s="858"/>
      <c r="GJ300" s="858"/>
      <c r="GK300" s="858"/>
      <c r="GL300" s="858"/>
      <c r="GM300" s="858"/>
      <c r="GN300" s="858"/>
      <c r="GO300" s="858"/>
      <c r="GP300" s="858"/>
      <c r="GQ300" s="858"/>
      <c r="GR300" s="858"/>
      <c r="GS300" s="858"/>
      <c r="GT300" s="858"/>
      <c r="GU300" s="858"/>
      <c r="GV300" s="858"/>
      <c r="GW300" s="858"/>
      <c r="GX300" s="858"/>
      <c r="GY300" s="858"/>
      <c r="GZ300" s="858"/>
      <c r="HA300" s="858"/>
      <c r="HB300" s="858"/>
      <c r="HC300" s="858"/>
      <c r="HD300" s="858"/>
      <c r="HE300" s="858"/>
      <c r="HF300" s="858"/>
      <c r="HG300" s="858"/>
      <c r="HH300" s="858"/>
      <c r="HI300" s="858"/>
      <c r="HJ300" s="858"/>
      <c r="HK300" s="858"/>
      <c r="HL300" s="858"/>
      <c r="HM300" s="858"/>
      <c r="HN300" s="858"/>
      <c r="HO300" s="858"/>
      <c r="HP300" s="858"/>
      <c r="HQ300" s="858"/>
      <c r="HR300" s="858"/>
      <c r="HS300" s="858"/>
      <c r="HT300" s="858"/>
      <c r="HU300" s="858"/>
      <c r="HV300" s="858"/>
      <c r="HW300" s="858"/>
      <c r="HX300" s="858"/>
      <c r="HY300" s="858"/>
      <c r="HZ300" s="858"/>
      <c r="IA300" s="858"/>
      <c r="IB300" s="858"/>
      <c r="IC300" s="858"/>
      <c r="ID300" s="858"/>
      <c r="IE300" s="858"/>
      <c r="IF300" s="858"/>
      <c r="IG300" s="858"/>
      <c r="IH300" s="858"/>
      <c r="II300" s="858"/>
      <c r="IJ300" s="858"/>
      <c r="IK300" s="858"/>
      <c r="IL300" s="858"/>
      <c r="IM300" s="858"/>
      <c r="IN300" s="858"/>
    </row>
    <row r="301" spans="1:248">
      <c r="A301" s="568" t="s">
        <v>23</v>
      </c>
      <c r="B301" s="770">
        <v>19179.400000000001</v>
      </c>
      <c r="C301" s="566">
        <f t="shared" ref="C301" si="44">B301/H301*100</f>
        <v>29.413099820571414</v>
      </c>
      <c r="D301" s="569">
        <v>16775.5</v>
      </c>
      <c r="E301" s="859">
        <f t="shared" ref="E301" si="45">D301/H301*100</f>
        <v>25.726532427500114</v>
      </c>
      <c r="F301" s="859">
        <v>2403.9</v>
      </c>
      <c r="G301" s="859">
        <f t="shared" ref="G301" si="46">F301/H301*100</f>
        <v>3.6865673930712961</v>
      </c>
      <c r="H301" s="27">
        <v>65207</v>
      </c>
      <c r="J301" s="858"/>
      <c r="K301" s="858"/>
      <c r="L301" s="858"/>
      <c r="M301" s="858"/>
      <c r="N301" s="858"/>
      <c r="O301" s="858"/>
      <c r="P301" s="858"/>
      <c r="Q301" s="858"/>
      <c r="R301" s="858"/>
      <c r="S301" s="858"/>
      <c r="T301" s="858"/>
      <c r="U301" s="858"/>
      <c r="V301" s="858"/>
      <c r="W301" s="858"/>
      <c r="X301" s="858"/>
      <c r="Y301" s="858"/>
      <c r="Z301" s="858"/>
      <c r="AA301" s="858"/>
      <c r="AB301" s="858"/>
      <c r="AC301" s="858"/>
      <c r="AD301" s="858"/>
      <c r="AE301" s="858"/>
      <c r="AF301" s="858"/>
      <c r="AG301" s="858"/>
      <c r="AH301" s="858"/>
      <c r="AI301" s="858"/>
      <c r="AJ301" s="858"/>
      <c r="AK301" s="858"/>
      <c r="AL301" s="858"/>
      <c r="AM301" s="858"/>
      <c r="AN301" s="858"/>
      <c r="AO301" s="858"/>
      <c r="AP301" s="858"/>
      <c r="AQ301" s="858"/>
      <c r="AR301" s="858"/>
      <c r="AS301" s="858"/>
      <c r="AT301" s="858"/>
      <c r="AU301" s="858"/>
      <c r="AV301" s="858"/>
      <c r="AW301" s="858"/>
      <c r="AX301" s="858"/>
      <c r="AY301" s="858"/>
      <c r="AZ301" s="858"/>
      <c r="BA301" s="858"/>
      <c r="BB301" s="858"/>
      <c r="BC301" s="858"/>
      <c r="BD301" s="858"/>
      <c r="BE301" s="858"/>
      <c r="BF301" s="858"/>
      <c r="BG301" s="858"/>
      <c r="BH301" s="858"/>
      <c r="BI301" s="858"/>
      <c r="BJ301" s="858"/>
      <c r="BK301" s="858"/>
      <c r="BL301" s="858"/>
      <c r="BM301" s="858"/>
      <c r="BN301" s="858"/>
      <c r="BO301" s="858"/>
      <c r="BP301" s="858"/>
      <c r="BQ301" s="858"/>
      <c r="BR301" s="858"/>
      <c r="BS301" s="858"/>
      <c r="BT301" s="858"/>
      <c r="BU301" s="858"/>
      <c r="BV301" s="858"/>
      <c r="BW301" s="858"/>
      <c r="BX301" s="858"/>
      <c r="BY301" s="858"/>
      <c r="BZ301" s="858"/>
      <c r="CA301" s="858"/>
      <c r="CB301" s="858"/>
      <c r="CC301" s="858"/>
      <c r="CD301" s="858"/>
      <c r="CE301" s="858"/>
      <c r="CF301" s="858"/>
      <c r="CG301" s="858"/>
      <c r="CH301" s="858"/>
      <c r="CI301" s="858"/>
      <c r="CJ301" s="858"/>
      <c r="CK301" s="858"/>
      <c r="CL301" s="858"/>
      <c r="CM301" s="858"/>
      <c r="CN301" s="858"/>
      <c r="CO301" s="858"/>
      <c r="CP301" s="858"/>
      <c r="CQ301" s="858"/>
      <c r="CR301" s="858"/>
      <c r="CS301" s="858"/>
      <c r="CT301" s="858"/>
      <c r="CU301" s="858"/>
      <c r="CV301" s="858"/>
      <c r="CW301" s="858"/>
      <c r="CX301" s="858"/>
      <c r="CY301" s="858"/>
      <c r="CZ301" s="858"/>
      <c r="DA301" s="858"/>
      <c r="DB301" s="858"/>
      <c r="DC301" s="858"/>
      <c r="DD301" s="858"/>
      <c r="DE301" s="858"/>
      <c r="DF301" s="858"/>
      <c r="DG301" s="858"/>
      <c r="DH301" s="858"/>
      <c r="DI301" s="858"/>
      <c r="DJ301" s="858"/>
      <c r="DK301" s="858"/>
      <c r="DL301" s="858"/>
      <c r="DM301" s="858"/>
      <c r="DN301" s="858"/>
      <c r="DO301" s="858"/>
      <c r="DP301" s="858"/>
      <c r="DQ301" s="858"/>
      <c r="DR301" s="858"/>
      <c r="DS301" s="858"/>
      <c r="DT301" s="858"/>
      <c r="DU301" s="858"/>
      <c r="DV301" s="858"/>
      <c r="DW301" s="858"/>
      <c r="DX301" s="858"/>
      <c r="DY301" s="858"/>
      <c r="DZ301" s="858"/>
      <c r="EA301" s="858"/>
      <c r="EB301" s="858"/>
      <c r="EC301" s="858"/>
      <c r="ED301" s="858"/>
      <c r="EE301" s="858"/>
      <c r="EF301" s="858"/>
      <c r="EG301" s="858"/>
      <c r="EH301" s="858"/>
      <c r="EI301" s="858"/>
      <c r="EJ301" s="858"/>
      <c r="EK301" s="858"/>
      <c r="EL301" s="858"/>
      <c r="EM301" s="858"/>
      <c r="EN301" s="858"/>
      <c r="EO301" s="858"/>
      <c r="EP301" s="858"/>
      <c r="EQ301" s="858"/>
      <c r="ER301" s="858"/>
      <c r="ES301" s="858"/>
      <c r="ET301" s="858"/>
      <c r="EU301" s="858"/>
      <c r="EV301" s="858"/>
      <c r="EW301" s="858"/>
      <c r="EX301" s="858"/>
      <c r="EY301" s="858"/>
      <c r="EZ301" s="858"/>
      <c r="FA301" s="858"/>
      <c r="FB301" s="858"/>
      <c r="FC301" s="858"/>
      <c r="FD301" s="858"/>
      <c r="FE301" s="858"/>
      <c r="FF301" s="858"/>
      <c r="FG301" s="858"/>
      <c r="FH301" s="858"/>
      <c r="FI301" s="858"/>
      <c r="FJ301" s="858"/>
      <c r="FK301" s="858"/>
      <c r="FL301" s="858"/>
      <c r="FM301" s="858"/>
      <c r="FN301" s="858"/>
      <c r="FO301" s="858"/>
      <c r="FP301" s="858"/>
      <c r="FQ301" s="858"/>
      <c r="FR301" s="858"/>
      <c r="FS301" s="858"/>
      <c r="FT301" s="858"/>
      <c r="FU301" s="858"/>
      <c r="FV301" s="858"/>
      <c r="FW301" s="858"/>
      <c r="FX301" s="858"/>
      <c r="FY301" s="858"/>
      <c r="FZ301" s="858"/>
      <c r="GA301" s="858"/>
      <c r="GB301" s="858"/>
      <c r="GC301" s="858"/>
      <c r="GD301" s="858"/>
      <c r="GE301" s="858"/>
      <c r="GF301" s="858"/>
      <c r="GG301" s="858"/>
      <c r="GH301" s="858"/>
      <c r="GI301" s="858"/>
      <c r="GJ301" s="858"/>
      <c r="GK301" s="858"/>
      <c r="GL301" s="858"/>
      <c r="GM301" s="858"/>
      <c r="GN301" s="858"/>
      <c r="GO301" s="858"/>
      <c r="GP301" s="858"/>
      <c r="GQ301" s="858"/>
      <c r="GR301" s="858"/>
      <c r="GS301" s="858"/>
      <c r="GT301" s="858"/>
      <c r="GU301" s="858"/>
      <c r="GV301" s="858"/>
      <c r="GW301" s="858"/>
      <c r="GX301" s="858"/>
      <c r="GY301" s="858"/>
      <c r="GZ301" s="858"/>
      <c r="HA301" s="858"/>
      <c r="HB301" s="858"/>
      <c r="HC301" s="858"/>
      <c r="HD301" s="858"/>
      <c r="HE301" s="858"/>
      <c r="HF301" s="858"/>
      <c r="HG301" s="858"/>
      <c r="HH301" s="858"/>
      <c r="HI301" s="858"/>
      <c r="HJ301" s="858"/>
      <c r="HK301" s="858"/>
      <c r="HL301" s="858"/>
      <c r="HM301" s="858"/>
      <c r="HN301" s="858"/>
      <c r="HO301" s="858"/>
      <c r="HP301" s="858"/>
      <c r="HQ301" s="858"/>
      <c r="HR301" s="858"/>
      <c r="HS301" s="858"/>
      <c r="HT301" s="858"/>
      <c r="HU301" s="858"/>
      <c r="HV301" s="858"/>
      <c r="HW301" s="858"/>
      <c r="HX301" s="858"/>
      <c r="HY301" s="858"/>
      <c r="HZ301" s="858"/>
      <c r="IA301" s="858"/>
      <c r="IB301" s="858"/>
      <c r="IC301" s="858"/>
      <c r="ID301" s="858"/>
      <c r="IE301" s="858"/>
      <c r="IF301" s="858"/>
      <c r="IG301" s="858"/>
      <c r="IH301" s="858"/>
      <c r="II301" s="858"/>
      <c r="IJ301" s="858"/>
      <c r="IK301" s="858"/>
      <c r="IL301" s="858"/>
      <c r="IM301" s="858"/>
      <c r="IN301" s="858"/>
    </row>
    <row r="302" spans="1:248" s="856" customFormat="1" ht="30" customHeight="1">
      <c r="A302" s="2074" t="s">
        <v>2792</v>
      </c>
      <c r="B302" s="2075"/>
      <c r="C302" s="2075"/>
      <c r="D302" s="2075"/>
      <c r="E302" s="2075"/>
      <c r="F302" s="2075"/>
      <c r="G302" s="2076"/>
      <c r="H302" s="857"/>
    </row>
    <row r="303" spans="1:248">
      <c r="A303" s="2077"/>
      <c r="B303" s="2077"/>
      <c r="C303" s="2077"/>
      <c r="D303" s="2077"/>
      <c r="E303" s="2077"/>
      <c r="F303" s="2077"/>
      <c r="G303" s="2077"/>
      <c r="H303" s="27"/>
    </row>
    <row r="304" spans="1:248">
      <c r="B304" s="855"/>
      <c r="D304" s="855"/>
    </row>
  </sheetData>
  <mergeCells count="9">
    <mergeCell ref="A302:G302"/>
    <mergeCell ref="A303:G303"/>
    <mergeCell ref="A1:G1"/>
    <mergeCell ref="A2:G2"/>
    <mergeCell ref="A3:G3"/>
    <mergeCell ref="A6:A8"/>
    <mergeCell ref="B6:G6"/>
    <mergeCell ref="B9:G9"/>
    <mergeCell ref="A9:A11"/>
  </mergeCells>
  <phoneticPr fontId="348" type="noConversion"/>
  <pageMargins left="0.7" right="0.7" top="0.75" bottom="0.75" header="0.3" footer="0.3"/>
  <pageSetup paperSize="9" scale="36" orientation="portrait" r:id="rId1"/>
  <rowBreaks count="1" manualBreakCount="1">
    <brk id="175" max="7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5A24-DBA7-4517-8B5A-83F752E72EFF}">
  <sheetPr codeName="Sheet50">
    <tabColor rgb="FF92D050"/>
  </sheetPr>
  <dimension ref="A2:EI238"/>
  <sheetViews>
    <sheetView showGridLines="0" view="pageBreakPreview" zoomScale="70" zoomScaleNormal="70" zoomScaleSheetLayoutView="70" workbookViewId="0">
      <pane xSplit="1" ySplit="17" topLeftCell="Z215" activePane="bottomRight" state="frozen"/>
      <selection activeCell="F40" sqref="F40"/>
      <selection pane="topRight" activeCell="F40" sqref="F40"/>
      <selection pane="bottomLeft" activeCell="F40" sqref="F40"/>
      <selection pane="bottomRight" activeCell="AS239" sqref="AS239"/>
    </sheetView>
  </sheetViews>
  <sheetFormatPr defaultColWidth="8.85546875" defaultRowHeight="12.75"/>
  <cols>
    <col min="1" max="1" width="9.7109375" style="1432" customWidth="1"/>
    <col min="2" max="3" width="13" style="1431" customWidth="1"/>
    <col min="4" max="4" width="8.85546875" style="1431"/>
    <col min="5" max="5" width="10.85546875" style="1431" customWidth="1"/>
    <col min="6" max="7" width="8.85546875" style="1431"/>
    <col min="8" max="8" width="10.28515625" style="1431" customWidth="1"/>
    <col min="9" max="9" width="10.7109375" style="1431" customWidth="1"/>
    <col min="10" max="10" width="12.28515625" style="1431" customWidth="1"/>
    <col min="11" max="11" width="10.85546875" style="1431" customWidth="1"/>
    <col min="12" max="12" width="10.7109375" style="1431" customWidth="1"/>
    <col min="13" max="13" width="11.28515625" style="1431" customWidth="1"/>
    <col min="14" max="14" width="10.7109375" style="1431" customWidth="1"/>
    <col min="15" max="15" width="10.85546875" style="1431" customWidth="1"/>
    <col min="16" max="16" width="10.42578125" style="1431" customWidth="1"/>
    <col min="17" max="17" width="10.85546875" style="1431" customWidth="1"/>
    <col min="18" max="18" width="16" style="1431" customWidth="1"/>
    <col min="19" max="19" width="17.85546875" style="1431" customWidth="1"/>
    <col min="20" max="20" width="14.5703125" style="1431" customWidth="1"/>
    <col min="21" max="21" width="13.85546875" style="1431" customWidth="1"/>
    <col min="22" max="22" width="16" style="1431" customWidth="1"/>
    <col min="23" max="23" width="16.5703125" style="1431" customWidth="1"/>
    <col min="24" max="24" width="11.28515625" style="1431" customWidth="1"/>
    <col min="25" max="29" width="10.7109375" style="1431" customWidth="1"/>
    <col min="30" max="30" width="10.85546875" style="1431" customWidth="1"/>
    <col min="31" max="31" width="11.42578125" style="1431" customWidth="1"/>
    <col min="32" max="32" width="11" style="1431" customWidth="1"/>
    <col min="33" max="33" width="10.85546875" style="1431" customWidth="1"/>
    <col min="34" max="34" width="11.7109375" style="1431" customWidth="1"/>
    <col min="35" max="37" width="10.85546875" style="1431" customWidth="1"/>
    <col min="38" max="38" width="10.5703125" style="1431" customWidth="1"/>
    <col min="39" max="39" width="16.28515625" style="1431" customWidth="1"/>
    <col min="40" max="40" width="14.140625" style="1431" customWidth="1"/>
    <col min="41" max="41" width="10.85546875" style="1431" customWidth="1"/>
    <col min="42" max="42" width="10.28515625" style="1431" customWidth="1"/>
    <col min="43" max="47" width="11.140625" style="1431" customWidth="1"/>
    <col min="48" max="48" width="10.5703125" style="1431" customWidth="1"/>
    <col min="49" max="49" width="10.85546875" style="1431" customWidth="1"/>
    <col min="50" max="50" width="11" style="1431" customWidth="1"/>
    <col min="51" max="51" width="10.85546875" style="1431" customWidth="1"/>
    <col min="52" max="52" width="10.7109375" style="1431" customWidth="1"/>
    <col min="53" max="53" width="11.28515625" style="1431" customWidth="1"/>
    <col min="54" max="54" width="13.5703125" style="1431" customWidth="1"/>
    <col min="55" max="55" width="15" style="1431" bestFit="1" customWidth="1"/>
    <col min="56" max="56" width="14.42578125" style="1431" customWidth="1"/>
    <col min="57" max="57" width="16" style="1431" customWidth="1"/>
    <col min="58" max="58" width="16.5703125" style="1431" customWidth="1"/>
    <col min="59" max="59" width="14.28515625" style="1431" customWidth="1"/>
    <col min="60" max="60" width="10.7109375" style="1431" customWidth="1"/>
    <col min="61" max="61" width="10.85546875" style="1431" customWidth="1"/>
    <col min="62" max="63" width="11" style="1431" customWidth="1"/>
    <col min="64" max="64" width="10.7109375" style="1431" customWidth="1"/>
    <col min="65" max="65" width="10.85546875" style="1431" customWidth="1"/>
    <col min="66" max="16384" width="8.85546875" style="1431"/>
  </cols>
  <sheetData>
    <row r="2" spans="1:65" ht="33.75" customHeight="1">
      <c r="A2" s="2622" t="s">
        <v>3345</v>
      </c>
      <c r="B2" s="2622"/>
      <c r="C2" s="2622"/>
      <c r="D2" s="2622"/>
      <c r="E2" s="2622"/>
      <c r="F2" s="2622"/>
      <c r="G2" s="2622"/>
      <c r="H2" s="2622"/>
      <c r="I2" s="2622"/>
      <c r="J2" s="2622"/>
      <c r="K2" s="2622"/>
      <c r="L2" s="2622"/>
      <c r="M2" s="2622"/>
      <c r="N2" s="2622"/>
      <c r="O2" s="2622"/>
      <c r="P2" s="2622"/>
      <c r="Q2" s="2622"/>
      <c r="R2" s="2622"/>
      <c r="S2" s="2622"/>
      <c r="T2" s="2622"/>
      <c r="U2" s="2622"/>
      <c r="V2" s="2622"/>
      <c r="W2" s="2622"/>
      <c r="X2" s="2622"/>
      <c r="Y2" s="2622"/>
      <c r="Z2" s="2622"/>
      <c r="AA2" s="2622"/>
      <c r="AB2" s="2622"/>
      <c r="AC2" s="2622"/>
      <c r="AD2" s="2622"/>
      <c r="AE2" s="2622"/>
      <c r="AF2" s="2622"/>
      <c r="AG2" s="2622"/>
      <c r="AH2" s="2622"/>
      <c r="AI2" s="2622"/>
      <c r="AJ2" s="2622"/>
      <c r="AK2" s="2622"/>
      <c r="AL2" s="2622"/>
      <c r="AM2" s="2622"/>
      <c r="AN2" s="2622"/>
      <c r="AO2" s="2622"/>
      <c r="AP2" s="2622"/>
      <c r="AQ2" s="2622"/>
      <c r="AR2" s="2622"/>
      <c r="AS2" s="2622"/>
      <c r="AT2" s="2622"/>
      <c r="AU2" s="2622"/>
      <c r="AV2" s="2622"/>
      <c r="AW2" s="2622"/>
      <c r="AX2" s="2622"/>
      <c r="AY2" s="2622"/>
      <c r="AZ2" s="2622"/>
      <c r="BA2" s="2622"/>
      <c r="BB2" s="2622"/>
      <c r="BC2" s="2622"/>
      <c r="BD2" s="2622"/>
      <c r="BE2" s="2622"/>
      <c r="BF2" s="2622"/>
      <c r="BG2" s="2622"/>
      <c r="BH2" s="2622"/>
      <c r="BI2" s="2622"/>
      <c r="BJ2" s="2622"/>
      <c r="BK2" s="2622"/>
      <c r="BL2" s="2622"/>
      <c r="BM2" s="2622"/>
    </row>
    <row r="3" spans="1:65" ht="33.75" customHeight="1">
      <c r="A3" s="2623" t="s">
        <v>3346</v>
      </c>
      <c r="B3" s="2623"/>
      <c r="C3" s="2623"/>
      <c r="D3" s="2623"/>
      <c r="E3" s="2623"/>
      <c r="F3" s="2623"/>
      <c r="G3" s="2623"/>
      <c r="H3" s="2623"/>
      <c r="I3" s="2623"/>
      <c r="J3" s="2623"/>
      <c r="K3" s="2623"/>
      <c r="L3" s="2623"/>
      <c r="M3" s="2623"/>
      <c r="N3" s="2623"/>
      <c r="O3" s="2623"/>
      <c r="P3" s="2623"/>
      <c r="Q3" s="2623"/>
      <c r="R3" s="2623"/>
      <c r="S3" s="2623"/>
      <c r="T3" s="2623"/>
      <c r="U3" s="2623"/>
      <c r="V3" s="2623"/>
      <c r="W3" s="2623"/>
      <c r="X3" s="2623"/>
      <c r="Y3" s="2623"/>
      <c r="Z3" s="2623"/>
      <c r="AA3" s="2623"/>
      <c r="AB3" s="2623"/>
      <c r="AC3" s="2623"/>
      <c r="AD3" s="2623"/>
      <c r="AE3" s="2623"/>
      <c r="AF3" s="2623"/>
      <c r="AG3" s="2623"/>
      <c r="AH3" s="2623"/>
      <c r="AI3" s="2623"/>
      <c r="AJ3" s="2623"/>
      <c r="AK3" s="2623"/>
      <c r="AL3" s="2623"/>
      <c r="AM3" s="2623"/>
      <c r="AN3" s="2623"/>
      <c r="AO3" s="2623"/>
      <c r="AP3" s="2623"/>
      <c r="AQ3" s="2623"/>
      <c r="AR3" s="2623"/>
      <c r="AS3" s="2623"/>
      <c r="AT3" s="2623"/>
      <c r="AU3" s="2623"/>
      <c r="AV3" s="2623"/>
      <c r="AW3" s="2623"/>
      <c r="AX3" s="2623"/>
      <c r="AY3" s="2623"/>
      <c r="AZ3" s="2623"/>
      <c r="BA3" s="2623"/>
      <c r="BB3" s="2623"/>
      <c r="BC3" s="2623"/>
      <c r="BD3" s="2623"/>
      <c r="BE3" s="2623"/>
      <c r="BF3" s="2623"/>
      <c r="BG3" s="2623"/>
      <c r="BH3" s="2623"/>
      <c r="BI3" s="2623"/>
      <c r="BJ3" s="2623"/>
      <c r="BK3" s="2623"/>
      <c r="BL3" s="2623"/>
      <c r="BM3" s="2623"/>
    </row>
    <row r="4" spans="1:65" ht="14.25" customHeight="1">
      <c r="A4" s="1520"/>
      <c r="B4" s="1520"/>
      <c r="C4" s="1520"/>
      <c r="D4" s="1520"/>
      <c r="E4" s="1520"/>
      <c r="F4" s="1520"/>
      <c r="G4" s="1520"/>
      <c r="H4" s="1520"/>
      <c r="I4" s="1520"/>
      <c r="J4" s="1520"/>
      <c r="K4" s="1520"/>
      <c r="L4" s="1520"/>
      <c r="M4" s="1520"/>
      <c r="N4" s="1520"/>
      <c r="O4" s="1520"/>
      <c r="P4" s="1520"/>
      <c r="Q4" s="1520"/>
      <c r="R4" s="1520"/>
      <c r="S4" s="1520"/>
      <c r="T4" s="1520"/>
      <c r="U4" s="1520"/>
      <c r="V4" s="1520"/>
      <c r="W4" s="1520"/>
      <c r="X4" s="1520"/>
      <c r="Y4" s="1520"/>
      <c r="Z4" s="1520"/>
      <c r="AA4" s="1520"/>
      <c r="AB4" s="1520"/>
      <c r="AC4" s="1520"/>
      <c r="AD4" s="1520"/>
      <c r="AE4" s="1520"/>
      <c r="AF4" s="1520"/>
      <c r="AG4" s="1520"/>
      <c r="AH4" s="1520"/>
      <c r="AI4" s="1520"/>
      <c r="AJ4" s="1520"/>
      <c r="AK4" s="1520"/>
      <c r="AL4" s="1520"/>
      <c r="AM4" s="1520"/>
      <c r="AN4" s="1520"/>
      <c r="AO4" s="1520"/>
      <c r="AP4" s="1520"/>
      <c r="AQ4" s="1520"/>
      <c r="AR4" s="1520"/>
      <c r="AS4" s="1520"/>
      <c r="AT4" s="1520"/>
      <c r="AU4" s="1520"/>
      <c r="AV4" s="1520"/>
      <c r="AW4" s="1520"/>
      <c r="AX4" s="1520"/>
      <c r="AY4" s="1520"/>
      <c r="AZ4" s="1520"/>
      <c r="BA4" s="1520"/>
      <c r="BB4" s="1520"/>
      <c r="BC4" s="1520"/>
      <c r="BD4" s="1520"/>
      <c r="BE4" s="1520"/>
      <c r="BF4" s="1520"/>
      <c r="BG4" s="1520"/>
      <c r="BH4" s="1520"/>
      <c r="BI4" s="1520"/>
      <c r="BJ4" s="1520"/>
      <c r="BK4" s="1520"/>
      <c r="BL4" s="1520"/>
      <c r="BM4" s="1520"/>
    </row>
    <row r="5" spans="1:65" ht="14.25" customHeight="1">
      <c r="A5" s="480"/>
      <c r="B5" s="480"/>
      <c r="C5" s="480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0"/>
      <c r="P5" s="480"/>
      <c r="Q5" s="480"/>
      <c r="R5" s="480"/>
      <c r="S5" s="480"/>
      <c r="T5" s="480"/>
      <c r="U5" s="480"/>
      <c r="V5" s="480"/>
      <c r="W5" s="480"/>
      <c r="X5" s="480"/>
      <c r="Y5" s="480"/>
      <c r="Z5" s="480"/>
      <c r="AA5" s="480"/>
      <c r="AB5" s="480"/>
      <c r="AC5" s="480"/>
      <c r="AD5" s="480"/>
      <c r="AE5" s="480"/>
      <c r="AF5" s="480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</row>
    <row r="6" spans="1:65" s="1432" customFormat="1" ht="46.5" customHeight="1">
      <c r="A6" s="2624" t="s">
        <v>182</v>
      </c>
      <c r="B6" s="2608" t="s">
        <v>2776</v>
      </c>
      <c r="C6" s="2610"/>
      <c r="D6" s="2625" t="s">
        <v>983</v>
      </c>
      <c r="E6" s="2625"/>
      <c r="F6" s="2625"/>
      <c r="G6" s="2625"/>
      <c r="H6" s="2614" t="s">
        <v>1139</v>
      </c>
      <c r="I6" s="2616"/>
      <c r="J6" s="2614" t="s">
        <v>2772</v>
      </c>
      <c r="K6" s="2615"/>
      <c r="L6" s="2615"/>
      <c r="M6" s="2615"/>
      <c r="N6" s="2615"/>
      <c r="O6" s="2615"/>
      <c r="P6" s="2615"/>
      <c r="Q6" s="2615"/>
      <c r="R6" s="2615"/>
      <c r="S6" s="2615"/>
      <c r="T6" s="2615"/>
      <c r="U6" s="2615"/>
      <c r="V6" s="2615"/>
      <c r="W6" s="2616"/>
      <c r="X6" s="2608" t="s">
        <v>2775</v>
      </c>
      <c r="Y6" s="2609"/>
      <c r="Z6" s="2609"/>
      <c r="AA6" s="2609"/>
      <c r="AB6" s="2609"/>
      <c r="AC6" s="2610"/>
      <c r="AD6" s="2607" t="s">
        <v>1025</v>
      </c>
      <c r="AE6" s="2607"/>
      <c r="AF6" s="2614" t="s">
        <v>2777</v>
      </c>
      <c r="AG6" s="2615"/>
      <c r="AH6" s="2615"/>
      <c r="AI6" s="2615"/>
      <c r="AJ6" s="2615"/>
      <c r="AK6" s="2615"/>
      <c r="AL6" s="2615"/>
      <c r="AM6" s="2615"/>
      <c r="AN6" s="2615"/>
      <c r="AO6" s="2616"/>
      <c r="AP6" s="2608" t="s">
        <v>2775</v>
      </c>
      <c r="AQ6" s="2609"/>
      <c r="AR6" s="2609"/>
      <c r="AS6" s="2609"/>
      <c r="AT6" s="2609"/>
      <c r="AU6" s="2610"/>
      <c r="AV6" s="2607" t="s">
        <v>1026</v>
      </c>
      <c r="AW6" s="2607"/>
      <c r="AX6" s="2614" t="s">
        <v>2774</v>
      </c>
      <c r="AY6" s="2615"/>
      <c r="AZ6" s="2615"/>
      <c r="BA6" s="2615"/>
      <c r="BB6" s="2615"/>
      <c r="BC6" s="2615"/>
      <c r="BD6" s="2615"/>
      <c r="BE6" s="2615"/>
      <c r="BF6" s="2615"/>
      <c r="BG6" s="2616"/>
      <c r="BH6" s="2608" t="s">
        <v>2775</v>
      </c>
      <c r="BI6" s="2609"/>
      <c r="BJ6" s="2609"/>
      <c r="BK6" s="2609"/>
      <c r="BL6" s="2609"/>
      <c r="BM6" s="2610"/>
    </row>
    <row r="7" spans="1:65" s="1432" customFormat="1" ht="27" customHeight="1">
      <c r="A7" s="2624"/>
      <c r="B7" s="2620"/>
      <c r="C7" s="2621"/>
      <c r="D7" s="2617" t="s">
        <v>984</v>
      </c>
      <c r="E7" s="2617"/>
      <c r="F7" s="2617"/>
      <c r="G7" s="2607" t="s">
        <v>985</v>
      </c>
      <c r="H7" s="2607" t="s">
        <v>986</v>
      </c>
      <c r="I7" s="2607" t="s">
        <v>2773</v>
      </c>
      <c r="J7" s="2607" t="s">
        <v>1027</v>
      </c>
      <c r="K7" s="2607"/>
      <c r="L7" s="2607"/>
      <c r="M7" s="2607"/>
      <c r="N7" s="2614" t="s">
        <v>1028</v>
      </c>
      <c r="O7" s="2615"/>
      <c r="P7" s="2615"/>
      <c r="Q7" s="2615"/>
      <c r="R7" s="2615"/>
      <c r="S7" s="2615"/>
      <c r="T7" s="2615"/>
      <c r="U7" s="2615"/>
      <c r="V7" s="2615"/>
      <c r="W7" s="2616"/>
      <c r="X7" s="2611"/>
      <c r="Y7" s="2612"/>
      <c r="Z7" s="2612"/>
      <c r="AA7" s="2612"/>
      <c r="AB7" s="2612"/>
      <c r="AC7" s="2613"/>
      <c r="AD7" s="2607"/>
      <c r="AE7" s="2607"/>
      <c r="AF7" s="2607" t="s">
        <v>3288</v>
      </c>
      <c r="AG7" s="2607"/>
      <c r="AH7" s="2607" t="s">
        <v>1029</v>
      </c>
      <c r="AI7" s="2607"/>
      <c r="AJ7" s="2607" t="s">
        <v>144</v>
      </c>
      <c r="AK7" s="2607"/>
      <c r="AL7" s="2607" t="s">
        <v>2139</v>
      </c>
      <c r="AM7" s="2607"/>
      <c r="AN7" s="2607" t="s">
        <v>3407</v>
      </c>
      <c r="AO7" s="2607"/>
      <c r="AP7" s="2611"/>
      <c r="AQ7" s="2612"/>
      <c r="AR7" s="2612"/>
      <c r="AS7" s="2612"/>
      <c r="AT7" s="2612"/>
      <c r="AU7" s="2613"/>
      <c r="AV7" s="2607"/>
      <c r="AW7" s="2607"/>
      <c r="AX7" s="2607" t="s">
        <v>3288</v>
      </c>
      <c r="AY7" s="2607"/>
      <c r="AZ7" s="2607" t="s">
        <v>1029</v>
      </c>
      <c r="BA7" s="2607"/>
      <c r="BB7" s="2607" t="s">
        <v>144</v>
      </c>
      <c r="BC7" s="2607"/>
      <c r="BD7" s="2607" t="s">
        <v>2141</v>
      </c>
      <c r="BE7" s="2607"/>
      <c r="BF7" s="2607" t="s">
        <v>3407</v>
      </c>
      <c r="BG7" s="2607"/>
      <c r="BH7" s="2611"/>
      <c r="BI7" s="2612"/>
      <c r="BJ7" s="2612"/>
      <c r="BK7" s="2612"/>
      <c r="BL7" s="2612"/>
      <c r="BM7" s="2613"/>
    </row>
    <row r="8" spans="1:65" s="1432" customFormat="1" ht="28.5" customHeight="1">
      <c r="A8" s="2624"/>
      <c r="B8" s="2620"/>
      <c r="C8" s="2621"/>
      <c r="D8" s="2625" t="s">
        <v>1130</v>
      </c>
      <c r="E8" s="2625" t="s">
        <v>3908</v>
      </c>
      <c r="F8" s="2617" t="s">
        <v>1131</v>
      </c>
      <c r="G8" s="2607"/>
      <c r="H8" s="2607"/>
      <c r="I8" s="2607"/>
      <c r="J8" s="2607" t="s">
        <v>3288</v>
      </c>
      <c r="K8" s="2607"/>
      <c r="L8" s="2607" t="s">
        <v>1029</v>
      </c>
      <c r="M8" s="2607"/>
      <c r="N8" s="2607" t="s">
        <v>3288</v>
      </c>
      <c r="O8" s="2607"/>
      <c r="P8" s="2607" t="s">
        <v>1029</v>
      </c>
      <c r="Q8" s="2607"/>
      <c r="R8" s="2607" t="s">
        <v>144</v>
      </c>
      <c r="S8" s="2607"/>
      <c r="T8" s="2607" t="s">
        <v>2139</v>
      </c>
      <c r="U8" s="2607"/>
      <c r="V8" s="2607" t="s">
        <v>3407</v>
      </c>
      <c r="W8" s="2607"/>
      <c r="X8" s="2614" t="s">
        <v>155</v>
      </c>
      <c r="Y8" s="2616"/>
      <c r="Z8" s="2614" t="s">
        <v>1027</v>
      </c>
      <c r="AA8" s="2616"/>
      <c r="AB8" s="2614" t="s">
        <v>3760</v>
      </c>
      <c r="AC8" s="2616"/>
      <c r="AD8" s="2607" t="s">
        <v>986</v>
      </c>
      <c r="AE8" s="2607" t="s">
        <v>2773</v>
      </c>
      <c r="AF8" s="2607" t="s">
        <v>986</v>
      </c>
      <c r="AG8" s="2607" t="s">
        <v>2773</v>
      </c>
      <c r="AH8" s="2607" t="s">
        <v>986</v>
      </c>
      <c r="AI8" s="2607" t="s">
        <v>2773</v>
      </c>
      <c r="AJ8" s="2620" t="s">
        <v>3068</v>
      </c>
      <c r="AK8" s="2621"/>
      <c r="AL8" s="2607" t="s">
        <v>986</v>
      </c>
      <c r="AM8" s="2607" t="s">
        <v>2773</v>
      </c>
      <c r="AN8" s="2607" t="s">
        <v>986</v>
      </c>
      <c r="AO8" s="2607" t="s">
        <v>2773</v>
      </c>
      <c r="AP8" s="2614" t="s">
        <v>155</v>
      </c>
      <c r="AQ8" s="2616"/>
      <c r="AR8" s="2614" t="s">
        <v>1027</v>
      </c>
      <c r="AS8" s="2616"/>
      <c r="AT8" s="2614" t="s">
        <v>3760</v>
      </c>
      <c r="AU8" s="2616"/>
      <c r="AV8" s="2607" t="s">
        <v>986</v>
      </c>
      <c r="AW8" s="2607" t="s">
        <v>2773</v>
      </c>
      <c r="AX8" s="2607" t="s">
        <v>986</v>
      </c>
      <c r="AY8" s="2607" t="s">
        <v>2773</v>
      </c>
      <c r="AZ8" s="2607" t="s">
        <v>986</v>
      </c>
      <c r="BA8" s="2607" t="s">
        <v>2773</v>
      </c>
      <c r="BB8" s="2620" t="s">
        <v>3068</v>
      </c>
      <c r="BC8" s="2621"/>
      <c r="BD8" s="2607" t="s">
        <v>986</v>
      </c>
      <c r="BE8" s="2607" t="s">
        <v>2773</v>
      </c>
      <c r="BF8" s="2607" t="s">
        <v>986</v>
      </c>
      <c r="BG8" s="2607" t="s">
        <v>2773</v>
      </c>
      <c r="BH8" s="2614" t="s">
        <v>155</v>
      </c>
      <c r="BI8" s="2616"/>
      <c r="BJ8" s="2614" t="s">
        <v>1027</v>
      </c>
      <c r="BK8" s="2616"/>
      <c r="BL8" s="2614" t="s">
        <v>3760</v>
      </c>
      <c r="BM8" s="2616"/>
    </row>
    <row r="9" spans="1:65" s="1432" customFormat="1" ht="24" customHeight="1">
      <c r="A9" s="2624"/>
      <c r="B9" s="2607" t="s">
        <v>155</v>
      </c>
      <c r="C9" s="2607" t="s">
        <v>3761</v>
      </c>
      <c r="D9" s="2625"/>
      <c r="E9" s="2625"/>
      <c r="F9" s="2617"/>
      <c r="G9" s="2607"/>
      <c r="H9" s="2607"/>
      <c r="I9" s="2607"/>
      <c r="J9" s="2618" t="s">
        <v>986</v>
      </c>
      <c r="K9" s="2618" t="s">
        <v>2773</v>
      </c>
      <c r="L9" s="2618" t="s">
        <v>986</v>
      </c>
      <c r="M9" s="2618" t="s">
        <v>2773</v>
      </c>
      <c r="N9" s="2618" t="s">
        <v>986</v>
      </c>
      <c r="O9" s="2618" t="s">
        <v>2773</v>
      </c>
      <c r="P9" s="2618" t="s">
        <v>986</v>
      </c>
      <c r="Q9" s="2618" t="s">
        <v>2773</v>
      </c>
      <c r="R9" s="2607" t="s">
        <v>3068</v>
      </c>
      <c r="S9" s="2607"/>
      <c r="T9" s="2618" t="s">
        <v>986</v>
      </c>
      <c r="U9" s="2618" t="s">
        <v>2773</v>
      </c>
      <c r="V9" s="2618" t="s">
        <v>986</v>
      </c>
      <c r="W9" s="2618" t="s">
        <v>2773</v>
      </c>
      <c r="X9" s="2618" t="s">
        <v>986</v>
      </c>
      <c r="Y9" s="2618" t="s">
        <v>2773</v>
      </c>
      <c r="Z9" s="2618" t="s">
        <v>986</v>
      </c>
      <c r="AA9" s="2618" t="s">
        <v>2773</v>
      </c>
      <c r="AB9" s="2618" t="s">
        <v>986</v>
      </c>
      <c r="AC9" s="2618" t="s">
        <v>2773</v>
      </c>
      <c r="AD9" s="2607"/>
      <c r="AE9" s="2607"/>
      <c r="AF9" s="2607"/>
      <c r="AG9" s="2607"/>
      <c r="AH9" s="2607"/>
      <c r="AI9" s="2607"/>
      <c r="AJ9" s="2611"/>
      <c r="AK9" s="2613"/>
      <c r="AL9" s="2607"/>
      <c r="AM9" s="2607"/>
      <c r="AN9" s="2607"/>
      <c r="AO9" s="2607"/>
      <c r="AP9" s="2618" t="s">
        <v>986</v>
      </c>
      <c r="AQ9" s="2618" t="s">
        <v>2773</v>
      </c>
      <c r="AR9" s="2618" t="s">
        <v>986</v>
      </c>
      <c r="AS9" s="2618" t="s">
        <v>2773</v>
      </c>
      <c r="AT9" s="2618" t="s">
        <v>986</v>
      </c>
      <c r="AU9" s="2618" t="s">
        <v>2773</v>
      </c>
      <c r="AV9" s="2607"/>
      <c r="AW9" s="2607"/>
      <c r="AX9" s="2607"/>
      <c r="AY9" s="2607"/>
      <c r="AZ9" s="2607"/>
      <c r="BA9" s="2607"/>
      <c r="BB9" s="2611"/>
      <c r="BC9" s="2613"/>
      <c r="BD9" s="2607"/>
      <c r="BE9" s="2607"/>
      <c r="BF9" s="2607"/>
      <c r="BG9" s="2607"/>
      <c r="BH9" s="2618" t="s">
        <v>986</v>
      </c>
      <c r="BI9" s="2618" t="s">
        <v>2773</v>
      </c>
      <c r="BJ9" s="2618" t="s">
        <v>986</v>
      </c>
      <c r="BK9" s="2618" t="s">
        <v>2773</v>
      </c>
      <c r="BL9" s="2618" t="s">
        <v>986</v>
      </c>
      <c r="BM9" s="2618" t="s">
        <v>2773</v>
      </c>
    </row>
    <row r="10" spans="1:65" s="1432" customFormat="1" ht="24" customHeight="1">
      <c r="A10" s="2624"/>
      <c r="B10" s="2607"/>
      <c r="C10" s="2607"/>
      <c r="D10" s="2625"/>
      <c r="E10" s="2625"/>
      <c r="F10" s="2617"/>
      <c r="G10" s="2607"/>
      <c r="H10" s="2607"/>
      <c r="I10" s="2607"/>
      <c r="J10" s="2619"/>
      <c r="K10" s="2619"/>
      <c r="L10" s="2619"/>
      <c r="M10" s="2619"/>
      <c r="N10" s="2619"/>
      <c r="O10" s="2619"/>
      <c r="P10" s="2619"/>
      <c r="Q10" s="2619"/>
      <c r="R10" s="1424" t="s">
        <v>986</v>
      </c>
      <c r="S10" s="1424" t="s">
        <v>2773</v>
      </c>
      <c r="T10" s="2619"/>
      <c r="U10" s="2619"/>
      <c r="V10" s="2619"/>
      <c r="W10" s="2619"/>
      <c r="X10" s="2619"/>
      <c r="Y10" s="2619"/>
      <c r="Z10" s="2619"/>
      <c r="AA10" s="2619"/>
      <c r="AB10" s="2619"/>
      <c r="AC10" s="2619"/>
      <c r="AD10" s="2607"/>
      <c r="AE10" s="2607"/>
      <c r="AF10" s="2607"/>
      <c r="AG10" s="2607"/>
      <c r="AH10" s="2607"/>
      <c r="AI10" s="2607"/>
      <c r="AJ10" s="1424" t="s">
        <v>986</v>
      </c>
      <c r="AK10" s="1424" t="s">
        <v>2773</v>
      </c>
      <c r="AL10" s="2607"/>
      <c r="AM10" s="2607"/>
      <c r="AN10" s="2607"/>
      <c r="AO10" s="2607"/>
      <c r="AP10" s="2619"/>
      <c r="AQ10" s="2619"/>
      <c r="AR10" s="2619"/>
      <c r="AS10" s="2619"/>
      <c r="AT10" s="2619"/>
      <c r="AU10" s="2619"/>
      <c r="AV10" s="2607"/>
      <c r="AW10" s="2607"/>
      <c r="AX10" s="2607"/>
      <c r="AY10" s="2607"/>
      <c r="AZ10" s="2607"/>
      <c r="BA10" s="2607"/>
      <c r="BB10" s="1424" t="s">
        <v>986</v>
      </c>
      <c r="BC10" s="1424" t="s">
        <v>2773</v>
      </c>
      <c r="BD10" s="2607"/>
      <c r="BE10" s="2607"/>
      <c r="BF10" s="2607"/>
      <c r="BG10" s="2607"/>
      <c r="BH10" s="2619"/>
      <c r="BI10" s="2619"/>
      <c r="BJ10" s="2619"/>
      <c r="BK10" s="2619"/>
      <c r="BL10" s="2619"/>
      <c r="BM10" s="2619"/>
    </row>
    <row r="11" spans="1:65" ht="29.25" customHeight="1">
      <c r="A11" s="2636" t="s">
        <v>283</v>
      </c>
      <c r="B11" s="2626" t="s">
        <v>1176</v>
      </c>
      <c r="C11" s="2628"/>
      <c r="D11" s="2637" t="s">
        <v>1030</v>
      </c>
      <c r="E11" s="2637"/>
      <c r="F11" s="2637"/>
      <c r="G11" s="2637"/>
      <c r="H11" s="2634" t="s">
        <v>1031</v>
      </c>
      <c r="I11" s="2634"/>
      <c r="J11" s="2632" t="s">
        <v>2778</v>
      </c>
      <c r="K11" s="2635"/>
      <c r="L11" s="2635"/>
      <c r="M11" s="2635"/>
      <c r="N11" s="2635"/>
      <c r="O11" s="2635"/>
      <c r="P11" s="2635"/>
      <c r="Q11" s="2635"/>
      <c r="R11" s="2635"/>
      <c r="S11" s="2635"/>
      <c r="T11" s="2635"/>
      <c r="U11" s="2635"/>
      <c r="V11" s="2635"/>
      <c r="W11" s="2633"/>
      <c r="X11" s="2626" t="s">
        <v>2779</v>
      </c>
      <c r="Y11" s="2627"/>
      <c r="Z11" s="2627"/>
      <c r="AA11" s="2627"/>
      <c r="AB11" s="2627"/>
      <c r="AC11" s="2628"/>
      <c r="AD11" s="2634" t="s">
        <v>987</v>
      </c>
      <c r="AE11" s="2634"/>
      <c r="AF11" s="2632" t="s">
        <v>1032</v>
      </c>
      <c r="AG11" s="2635"/>
      <c r="AH11" s="2635"/>
      <c r="AI11" s="2635"/>
      <c r="AJ11" s="2635"/>
      <c r="AK11" s="2635"/>
      <c r="AL11" s="2635"/>
      <c r="AM11" s="2635"/>
      <c r="AN11" s="2635"/>
      <c r="AO11" s="2633"/>
      <c r="AP11" s="2626" t="s">
        <v>2779</v>
      </c>
      <c r="AQ11" s="2627"/>
      <c r="AR11" s="2627"/>
      <c r="AS11" s="2627"/>
      <c r="AT11" s="2627"/>
      <c r="AU11" s="2628"/>
      <c r="AV11" s="2634" t="s">
        <v>3069</v>
      </c>
      <c r="AW11" s="2634"/>
      <c r="AX11" s="2632" t="s">
        <v>1033</v>
      </c>
      <c r="AY11" s="2635"/>
      <c r="AZ11" s="2635"/>
      <c r="BA11" s="2635"/>
      <c r="BB11" s="2635"/>
      <c r="BC11" s="2635"/>
      <c r="BD11" s="2635"/>
      <c r="BE11" s="2635"/>
      <c r="BF11" s="2635"/>
      <c r="BG11" s="2633"/>
      <c r="BH11" s="2626" t="s">
        <v>2779</v>
      </c>
      <c r="BI11" s="2627"/>
      <c r="BJ11" s="2627"/>
      <c r="BK11" s="2627"/>
      <c r="BL11" s="2627"/>
      <c r="BM11" s="2628"/>
    </row>
    <row r="12" spans="1:65" ht="15.75" customHeight="1">
      <c r="A12" s="2636"/>
      <c r="B12" s="2629"/>
      <c r="C12" s="2631"/>
      <c r="D12" s="2638" t="s">
        <v>1034</v>
      </c>
      <c r="E12" s="2638"/>
      <c r="F12" s="2638"/>
      <c r="G12" s="2634" t="s">
        <v>1035</v>
      </c>
      <c r="H12" s="2634" t="s">
        <v>988</v>
      </c>
      <c r="I12" s="2634" t="s">
        <v>989</v>
      </c>
      <c r="J12" s="2634" t="s">
        <v>1036</v>
      </c>
      <c r="K12" s="2634"/>
      <c r="L12" s="2634"/>
      <c r="M12" s="2634"/>
      <c r="N12" s="2632" t="s">
        <v>1037</v>
      </c>
      <c r="O12" s="2635"/>
      <c r="P12" s="2635"/>
      <c r="Q12" s="2635"/>
      <c r="R12" s="2635"/>
      <c r="S12" s="2635"/>
      <c r="T12" s="2635"/>
      <c r="U12" s="2635"/>
      <c r="V12" s="2635"/>
      <c r="W12" s="2633"/>
      <c r="X12" s="2629"/>
      <c r="Y12" s="2630"/>
      <c r="Z12" s="2630"/>
      <c r="AA12" s="2630"/>
      <c r="AB12" s="2630"/>
      <c r="AC12" s="2631"/>
      <c r="AD12" s="2634"/>
      <c r="AE12" s="2634"/>
      <c r="AF12" s="2634" t="s">
        <v>1038</v>
      </c>
      <c r="AG12" s="2634"/>
      <c r="AH12" s="2634" t="s">
        <v>3289</v>
      </c>
      <c r="AI12" s="2634"/>
      <c r="AJ12" s="2632" t="s">
        <v>1017</v>
      </c>
      <c r="AK12" s="2633"/>
      <c r="AL12" s="2632" t="s">
        <v>2140</v>
      </c>
      <c r="AM12" s="2633"/>
      <c r="AN12" s="2632" t="s">
        <v>3408</v>
      </c>
      <c r="AO12" s="2633"/>
      <c r="AP12" s="2629"/>
      <c r="AQ12" s="2630"/>
      <c r="AR12" s="2630"/>
      <c r="AS12" s="2630"/>
      <c r="AT12" s="2630"/>
      <c r="AU12" s="2631"/>
      <c r="AV12" s="2634"/>
      <c r="AW12" s="2634"/>
      <c r="AX12" s="2634" t="s">
        <v>1039</v>
      </c>
      <c r="AY12" s="2634"/>
      <c r="AZ12" s="2634" t="s">
        <v>3289</v>
      </c>
      <c r="BA12" s="2634"/>
      <c r="BB12" s="2632" t="s">
        <v>1017</v>
      </c>
      <c r="BC12" s="2633"/>
      <c r="BD12" s="2632" t="s">
        <v>2140</v>
      </c>
      <c r="BE12" s="2633"/>
      <c r="BF12" s="2632" t="s">
        <v>3408</v>
      </c>
      <c r="BG12" s="2633"/>
      <c r="BH12" s="2629"/>
      <c r="BI12" s="2630"/>
      <c r="BJ12" s="2630"/>
      <c r="BK12" s="2630"/>
      <c r="BL12" s="2630"/>
      <c r="BM12" s="2631"/>
    </row>
    <row r="13" spans="1:65" ht="29.25" customHeight="1">
      <c r="A13" s="2636"/>
      <c r="B13" s="2639" t="s">
        <v>105</v>
      </c>
      <c r="C13" s="2639" t="s">
        <v>3986</v>
      </c>
      <c r="D13" s="2637" t="s">
        <v>1040</v>
      </c>
      <c r="E13" s="2637" t="s">
        <v>1129</v>
      </c>
      <c r="F13" s="2638" t="s">
        <v>1041</v>
      </c>
      <c r="G13" s="2634"/>
      <c r="H13" s="2634"/>
      <c r="I13" s="2634"/>
      <c r="J13" s="2634" t="s">
        <v>1038</v>
      </c>
      <c r="K13" s="2634"/>
      <c r="L13" s="2634" t="s">
        <v>3289</v>
      </c>
      <c r="M13" s="2634"/>
      <c r="N13" s="2634" t="s">
        <v>1038</v>
      </c>
      <c r="O13" s="2634"/>
      <c r="P13" s="2634" t="s">
        <v>3289</v>
      </c>
      <c r="Q13" s="2634"/>
      <c r="R13" s="2632" t="s">
        <v>1017</v>
      </c>
      <c r="S13" s="2633"/>
      <c r="T13" s="2632" t="s">
        <v>2140</v>
      </c>
      <c r="U13" s="2633"/>
      <c r="V13" s="2632" t="s">
        <v>3408</v>
      </c>
      <c r="W13" s="2633"/>
      <c r="X13" s="2632" t="s">
        <v>105</v>
      </c>
      <c r="Y13" s="2633"/>
      <c r="Z13" s="2632" t="s">
        <v>1036</v>
      </c>
      <c r="AA13" s="2633"/>
      <c r="AB13" s="2632" t="s">
        <v>1037</v>
      </c>
      <c r="AC13" s="2633"/>
      <c r="AD13" s="2634" t="s">
        <v>988</v>
      </c>
      <c r="AE13" s="2634" t="s">
        <v>989</v>
      </c>
      <c r="AF13" s="2634" t="s">
        <v>988</v>
      </c>
      <c r="AG13" s="2634" t="s">
        <v>989</v>
      </c>
      <c r="AH13" s="2634" t="s">
        <v>988</v>
      </c>
      <c r="AI13" s="2634" t="s">
        <v>989</v>
      </c>
      <c r="AJ13" s="2632" t="s">
        <v>3985</v>
      </c>
      <c r="AK13" s="2633"/>
      <c r="AL13" s="2634" t="s">
        <v>988</v>
      </c>
      <c r="AM13" s="2634" t="s">
        <v>989</v>
      </c>
      <c r="AN13" s="2634" t="s">
        <v>988</v>
      </c>
      <c r="AO13" s="2634" t="s">
        <v>989</v>
      </c>
      <c r="AP13" s="2632" t="s">
        <v>105</v>
      </c>
      <c r="AQ13" s="2633"/>
      <c r="AR13" s="2632" t="s">
        <v>1036</v>
      </c>
      <c r="AS13" s="2633"/>
      <c r="AT13" s="2632" t="s">
        <v>1037</v>
      </c>
      <c r="AU13" s="2633"/>
      <c r="AV13" s="2634" t="s">
        <v>988</v>
      </c>
      <c r="AW13" s="2634" t="s">
        <v>989</v>
      </c>
      <c r="AX13" s="2634" t="s">
        <v>988</v>
      </c>
      <c r="AY13" s="2634" t="s">
        <v>989</v>
      </c>
      <c r="AZ13" s="2634" t="s">
        <v>988</v>
      </c>
      <c r="BA13" s="2634" t="s">
        <v>989</v>
      </c>
      <c r="BB13" s="2632" t="s">
        <v>3985</v>
      </c>
      <c r="BC13" s="2633"/>
      <c r="BD13" s="2634" t="s">
        <v>988</v>
      </c>
      <c r="BE13" s="2634" t="s">
        <v>989</v>
      </c>
      <c r="BF13" s="2634" t="s">
        <v>988</v>
      </c>
      <c r="BG13" s="2634" t="s">
        <v>989</v>
      </c>
      <c r="BH13" s="2632" t="s">
        <v>105</v>
      </c>
      <c r="BI13" s="2633"/>
      <c r="BJ13" s="2632" t="s">
        <v>1036</v>
      </c>
      <c r="BK13" s="2633"/>
      <c r="BL13" s="2632" t="s">
        <v>1037</v>
      </c>
      <c r="BM13" s="2633"/>
    </row>
    <row r="14" spans="1:65" ht="19.5" customHeight="1">
      <c r="A14" s="2636"/>
      <c r="B14" s="2640"/>
      <c r="C14" s="2640"/>
      <c r="D14" s="2637"/>
      <c r="E14" s="2637"/>
      <c r="F14" s="2638"/>
      <c r="G14" s="2634"/>
      <c r="H14" s="2634"/>
      <c r="I14" s="2634"/>
      <c r="J14" s="2639" t="s">
        <v>988</v>
      </c>
      <c r="K14" s="2639" t="s">
        <v>989</v>
      </c>
      <c r="L14" s="2639" t="s">
        <v>988</v>
      </c>
      <c r="M14" s="2639" t="s">
        <v>989</v>
      </c>
      <c r="N14" s="2639" t="s">
        <v>988</v>
      </c>
      <c r="O14" s="2639" t="s">
        <v>989</v>
      </c>
      <c r="P14" s="2639" t="s">
        <v>988</v>
      </c>
      <c r="Q14" s="2639" t="s">
        <v>989</v>
      </c>
      <c r="R14" s="2632" t="s">
        <v>3985</v>
      </c>
      <c r="S14" s="2633"/>
      <c r="T14" s="2626" t="s">
        <v>988</v>
      </c>
      <c r="U14" s="2634" t="s">
        <v>989</v>
      </c>
      <c r="V14" s="2626" t="s">
        <v>988</v>
      </c>
      <c r="W14" s="2634" t="s">
        <v>989</v>
      </c>
      <c r="X14" s="2634" t="s">
        <v>988</v>
      </c>
      <c r="Y14" s="2634" t="s">
        <v>989</v>
      </c>
      <c r="Z14" s="2634" t="s">
        <v>988</v>
      </c>
      <c r="AA14" s="2634" t="s">
        <v>989</v>
      </c>
      <c r="AB14" s="2634" t="s">
        <v>988</v>
      </c>
      <c r="AC14" s="2634" t="s">
        <v>989</v>
      </c>
      <c r="AD14" s="2634"/>
      <c r="AE14" s="2634"/>
      <c r="AF14" s="2634"/>
      <c r="AG14" s="2634"/>
      <c r="AH14" s="2634"/>
      <c r="AI14" s="2634"/>
      <c r="AJ14" s="2626" t="s">
        <v>988</v>
      </c>
      <c r="AK14" s="2634" t="s">
        <v>989</v>
      </c>
      <c r="AL14" s="2634"/>
      <c r="AM14" s="2634"/>
      <c r="AN14" s="2634"/>
      <c r="AO14" s="2634"/>
      <c r="AP14" s="2634" t="s">
        <v>988</v>
      </c>
      <c r="AQ14" s="2628" t="s">
        <v>989</v>
      </c>
      <c r="AR14" s="2634" t="s">
        <v>988</v>
      </c>
      <c r="AS14" s="2634" t="s">
        <v>989</v>
      </c>
      <c r="AT14" s="2634" t="s">
        <v>988</v>
      </c>
      <c r="AU14" s="2634" t="s">
        <v>989</v>
      </c>
      <c r="AV14" s="2634"/>
      <c r="AW14" s="2634"/>
      <c r="AX14" s="2634"/>
      <c r="AY14" s="2634"/>
      <c r="AZ14" s="2634"/>
      <c r="BA14" s="2634"/>
      <c r="BB14" s="2634" t="s">
        <v>988</v>
      </c>
      <c r="BC14" s="2628" t="s">
        <v>989</v>
      </c>
      <c r="BD14" s="2634"/>
      <c r="BE14" s="2634"/>
      <c r="BF14" s="2634"/>
      <c r="BG14" s="2634"/>
      <c r="BH14" s="2626" t="s">
        <v>988</v>
      </c>
      <c r="BI14" s="2634" t="s">
        <v>989</v>
      </c>
      <c r="BJ14" s="2626" t="s">
        <v>988</v>
      </c>
      <c r="BK14" s="2634" t="s">
        <v>989</v>
      </c>
      <c r="BL14" s="2626" t="s">
        <v>988</v>
      </c>
      <c r="BM14" s="2634" t="s">
        <v>989</v>
      </c>
    </row>
    <row r="15" spans="1:65" ht="42" customHeight="1">
      <c r="A15" s="2636"/>
      <c r="B15" s="2641"/>
      <c r="C15" s="2641"/>
      <c r="D15" s="2637"/>
      <c r="E15" s="2637"/>
      <c r="F15" s="2638"/>
      <c r="G15" s="2634"/>
      <c r="H15" s="2634"/>
      <c r="I15" s="2634"/>
      <c r="J15" s="2641"/>
      <c r="K15" s="2641"/>
      <c r="L15" s="2641"/>
      <c r="M15" s="2641"/>
      <c r="N15" s="2641"/>
      <c r="O15" s="2641"/>
      <c r="P15" s="2641"/>
      <c r="Q15" s="2641"/>
      <c r="R15" s="1425" t="s">
        <v>988</v>
      </c>
      <c r="S15" s="1425" t="s">
        <v>989</v>
      </c>
      <c r="T15" s="2644"/>
      <c r="U15" s="2634"/>
      <c r="V15" s="2644"/>
      <c r="W15" s="2634"/>
      <c r="X15" s="2634"/>
      <c r="Y15" s="2634"/>
      <c r="Z15" s="2634"/>
      <c r="AA15" s="2634"/>
      <c r="AB15" s="2634"/>
      <c r="AC15" s="2634"/>
      <c r="AD15" s="2634"/>
      <c r="AE15" s="2634"/>
      <c r="AF15" s="2634"/>
      <c r="AG15" s="2634"/>
      <c r="AH15" s="2634"/>
      <c r="AI15" s="2634"/>
      <c r="AJ15" s="2629"/>
      <c r="AK15" s="2634"/>
      <c r="AL15" s="2634"/>
      <c r="AM15" s="2634"/>
      <c r="AN15" s="2634"/>
      <c r="AO15" s="2634"/>
      <c r="AP15" s="2634"/>
      <c r="AQ15" s="2631"/>
      <c r="AR15" s="2634"/>
      <c r="AS15" s="2634"/>
      <c r="AT15" s="2634"/>
      <c r="AU15" s="2634"/>
      <c r="AV15" s="2634"/>
      <c r="AW15" s="2634"/>
      <c r="AX15" s="2634"/>
      <c r="AY15" s="2634"/>
      <c r="AZ15" s="2634"/>
      <c r="BA15" s="2634"/>
      <c r="BB15" s="2634"/>
      <c r="BC15" s="2631"/>
      <c r="BD15" s="2634"/>
      <c r="BE15" s="2634"/>
      <c r="BF15" s="2634"/>
      <c r="BG15" s="2634"/>
      <c r="BH15" s="2629"/>
      <c r="BI15" s="2634"/>
      <c r="BJ15" s="2629"/>
      <c r="BK15" s="2634"/>
      <c r="BL15" s="2629"/>
      <c r="BM15" s="2634"/>
    </row>
    <row r="16" spans="1:65" ht="38.25" hidden="1" customHeight="1">
      <c r="A16" s="1519" t="s">
        <v>114</v>
      </c>
      <c r="B16" s="1517">
        <v>3626</v>
      </c>
      <c r="C16" s="1517"/>
      <c r="D16" s="1517"/>
      <c r="E16" s="1517"/>
      <c r="F16" s="1517"/>
      <c r="G16" s="1517">
        <v>103.4</v>
      </c>
      <c r="H16" s="1517">
        <v>38510</v>
      </c>
      <c r="I16" s="1517">
        <v>4122</v>
      </c>
      <c r="J16" s="1517">
        <v>36272</v>
      </c>
      <c r="K16" s="1517">
        <v>3575</v>
      </c>
      <c r="L16" s="1517">
        <v>500</v>
      </c>
      <c r="M16" s="1517">
        <v>224</v>
      </c>
      <c r="N16" s="1517">
        <v>500</v>
      </c>
      <c r="O16" s="1517">
        <v>17</v>
      </c>
      <c r="P16" s="1517">
        <v>288</v>
      </c>
      <c r="Q16" s="1517">
        <v>66</v>
      </c>
      <c r="R16" s="1425" t="s">
        <v>988</v>
      </c>
      <c r="S16" s="1425" t="s">
        <v>989</v>
      </c>
      <c r="T16" s="2629"/>
      <c r="U16" s="2634"/>
      <c r="V16" s="2629"/>
      <c r="W16" s="2634"/>
      <c r="X16" s="1517">
        <v>950</v>
      </c>
      <c r="Y16" s="1517">
        <v>240</v>
      </c>
      <c r="Z16" s="1517"/>
      <c r="AA16" s="1517"/>
      <c r="AB16" s="1517"/>
      <c r="AC16" s="1517"/>
      <c r="AD16" s="1517">
        <v>36861</v>
      </c>
      <c r="AE16" s="1517">
        <v>3671</v>
      </c>
      <c r="AF16" s="1517">
        <v>35844</v>
      </c>
      <c r="AG16" s="1517">
        <v>3420</v>
      </c>
      <c r="AH16" s="1517">
        <v>672</v>
      </c>
      <c r="AI16" s="1517">
        <v>187</v>
      </c>
      <c r="AJ16" s="1517"/>
      <c r="AK16" s="1517"/>
      <c r="AL16" s="1517"/>
      <c r="AM16" s="1517"/>
      <c r="AN16" s="1517"/>
      <c r="AO16" s="1517"/>
      <c r="AP16" s="1517"/>
      <c r="AQ16" s="1517"/>
      <c r="AR16" s="1517"/>
      <c r="AS16" s="1517"/>
      <c r="AT16" s="1517"/>
      <c r="AU16" s="1517"/>
      <c r="AV16" s="1517">
        <v>1648</v>
      </c>
      <c r="AW16" s="1517">
        <v>452</v>
      </c>
      <c r="AX16" s="1517">
        <v>927</v>
      </c>
      <c r="AY16" s="1517">
        <v>172</v>
      </c>
      <c r="AZ16" s="1517"/>
      <c r="BA16" s="1517"/>
      <c r="BB16" s="1517"/>
      <c r="BC16" s="1517"/>
      <c r="BD16" s="1517"/>
      <c r="BE16" s="1517"/>
      <c r="BF16" s="1517"/>
      <c r="BG16" s="1517"/>
      <c r="BH16" s="1517">
        <v>116</v>
      </c>
      <c r="BI16" s="556">
        <v>103</v>
      </c>
      <c r="BJ16" s="1517"/>
      <c r="BK16" s="1517"/>
      <c r="BL16" s="1517"/>
      <c r="BM16" s="556"/>
    </row>
    <row r="17" spans="1:65" hidden="1">
      <c r="A17" s="1518" t="s">
        <v>43</v>
      </c>
      <c r="B17" s="1516">
        <v>3974</v>
      </c>
      <c r="C17" s="1516"/>
      <c r="D17" s="1516"/>
      <c r="E17" s="1516"/>
      <c r="F17" s="1516"/>
      <c r="G17" s="1516">
        <v>129</v>
      </c>
      <c r="H17" s="1516">
        <v>45291</v>
      </c>
      <c r="I17" s="1516">
        <v>5454</v>
      </c>
      <c r="J17" s="1516">
        <v>41838</v>
      </c>
      <c r="K17" s="1516">
        <v>4794</v>
      </c>
      <c r="L17" s="1516">
        <v>526</v>
      </c>
      <c r="M17" s="1516">
        <v>240</v>
      </c>
      <c r="N17" s="1516">
        <v>803</v>
      </c>
      <c r="O17" s="1516">
        <v>30</v>
      </c>
      <c r="P17" s="1516">
        <v>798</v>
      </c>
      <c r="Q17" s="1516">
        <v>92</v>
      </c>
      <c r="R17" s="1517"/>
      <c r="S17" s="1517"/>
      <c r="T17" s="1516"/>
      <c r="U17" s="1516"/>
      <c r="V17" s="1516"/>
      <c r="W17" s="1516"/>
      <c r="X17" s="1516">
        <v>1326</v>
      </c>
      <c r="Y17" s="1516">
        <v>298</v>
      </c>
      <c r="Z17" s="1516"/>
      <c r="AA17" s="1516"/>
      <c r="AB17" s="1516"/>
      <c r="AC17" s="1516"/>
      <c r="AD17" s="1516">
        <v>43299</v>
      </c>
      <c r="AE17" s="1516">
        <v>4922</v>
      </c>
      <c r="AF17" s="1516">
        <v>41745</v>
      </c>
      <c r="AG17" s="1516">
        <v>4653</v>
      </c>
      <c r="AH17" s="1516">
        <v>1157</v>
      </c>
      <c r="AI17" s="1516">
        <v>207</v>
      </c>
      <c r="AJ17" s="1516"/>
      <c r="AK17" s="1516"/>
      <c r="AL17" s="1516"/>
      <c r="AM17" s="1516"/>
      <c r="AN17" s="1516"/>
      <c r="AO17" s="1516"/>
      <c r="AP17" s="1516"/>
      <c r="AQ17" s="1516"/>
      <c r="AR17" s="1516"/>
      <c r="AS17" s="1516"/>
      <c r="AT17" s="1516"/>
      <c r="AU17" s="1516"/>
      <c r="AV17" s="1516">
        <v>1993</v>
      </c>
      <c r="AW17" s="1516">
        <v>533</v>
      </c>
      <c r="AX17" s="1516">
        <v>897</v>
      </c>
      <c r="AY17" s="1516">
        <v>172</v>
      </c>
      <c r="AZ17" s="1516"/>
      <c r="BA17" s="1516"/>
      <c r="BB17" s="1516"/>
      <c r="BC17" s="1516"/>
      <c r="BD17" s="1516"/>
      <c r="BE17" s="1516"/>
      <c r="BF17" s="1516"/>
      <c r="BG17" s="1516"/>
      <c r="BH17" s="1516">
        <v>167</v>
      </c>
      <c r="BI17" s="1515">
        <v>125</v>
      </c>
      <c r="BJ17" s="1516"/>
      <c r="BK17" s="1516"/>
      <c r="BL17" s="1516"/>
      <c r="BM17" s="1515"/>
    </row>
    <row r="18" spans="1:65">
      <c r="A18" s="1514">
        <v>2010</v>
      </c>
      <c r="B18" s="355">
        <v>4231</v>
      </c>
      <c r="C18" s="355"/>
      <c r="D18" s="1511">
        <v>2427</v>
      </c>
      <c r="E18" s="1511">
        <v>1260</v>
      </c>
      <c r="F18" s="1511">
        <v>410</v>
      </c>
      <c r="G18" s="1511">
        <v>134</v>
      </c>
      <c r="H18" s="355">
        <f t="shared" ref="H18:Q18" si="0">SUM(H19:H30)</f>
        <v>46502</v>
      </c>
      <c r="I18" s="355">
        <f t="shared" si="0"/>
        <v>6056</v>
      </c>
      <c r="J18" s="355">
        <f t="shared" si="0"/>
        <v>42768</v>
      </c>
      <c r="K18" s="355">
        <f t="shared" si="0"/>
        <v>5283</v>
      </c>
      <c r="L18" s="355">
        <f t="shared" si="0"/>
        <v>444</v>
      </c>
      <c r="M18" s="355">
        <f t="shared" si="0"/>
        <v>255</v>
      </c>
      <c r="N18" s="355">
        <f t="shared" si="0"/>
        <v>939</v>
      </c>
      <c r="O18" s="1513">
        <f t="shared" si="0"/>
        <v>71</v>
      </c>
      <c r="P18" s="355">
        <f t="shared" si="0"/>
        <v>563</v>
      </c>
      <c r="Q18" s="1512">
        <f t="shared" si="0"/>
        <v>78</v>
      </c>
      <c r="R18" s="1512"/>
      <c r="S18" s="1512"/>
      <c r="T18" s="1512"/>
      <c r="U18" s="1512"/>
      <c r="V18" s="1512"/>
      <c r="W18" s="1512"/>
      <c r="X18" s="1511">
        <f>SUM(X19:X30)</f>
        <v>1787</v>
      </c>
      <c r="Y18" s="1511">
        <f>SUM(Y19:Y30)</f>
        <v>369</v>
      </c>
      <c r="Z18" s="1511"/>
      <c r="AA18" s="1511"/>
      <c r="AB18" s="1511"/>
      <c r="AC18" s="1511"/>
      <c r="AD18" s="355">
        <f t="shared" ref="AD18:AI18" si="1">SUM(AD19:AD30)</f>
        <v>44218</v>
      </c>
      <c r="AE18" s="355">
        <f t="shared" si="1"/>
        <v>5430</v>
      </c>
      <c r="AF18" s="355">
        <f t="shared" si="1"/>
        <v>42770</v>
      </c>
      <c r="AG18" s="355">
        <f t="shared" si="1"/>
        <v>5133</v>
      </c>
      <c r="AH18" s="355">
        <f t="shared" si="1"/>
        <v>804</v>
      </c>
      <c r="AI18" s="355">
        <f t="shared" si="1"/>
        <v>195</v>
      </c>
      <c r="AJ18" s="355"/>
      <c r="AK18" s="355"/>
      <c r="AL18" s="355"/>
      <c r="AM18" s="355"/>
      <c r="AN18" s="355"/>
      <c r="AO18" s="355"/>
      <c r="AP18" s="355"/>
      <c r="AQ18" s="355"/>
      <c r="AR18" s="355"/>
      <c r="AS18" s="355"/>
      <c r="AT18" s="355"/>
      <c r="AU18" s="355"/>
      <c r="AV18" s="355">
        <f t="shared" ref="AV18:BA18" si="2">SUM(AV19:AV30)</f>
        <v>2286</v>
      </c>
      <c r="AW18" s="355">
        <f t="shared" si="2"/>
        <v>626</v>
      </c>
      <c r="AX18" s="355">
        <f t="shared" si="2"/>
        <v>935</v>
      </c>
      <c r="AY18" s="355">
        <f t="shared" si="2"/>
        <v>219</v>
      </c>
      <c r="AZ18" s="355">
        <f t="shared" si="2"/>
        <v>205</v>
      </c>
      <c r="BA18" s="355">
        <f t="shared" si="2"/>
        <v>137</v>
      </c>
      <c r="BB18" s="355"/>
      <c r="BC18" s="355"/>
      <c r="BD18" s="355"/>
      <c r="BE18" s="355"/>
      <c r="BF18" s="355"/>
      <c r="BG18" s="355"/>
      <c r="BH18" s="355"/>
      <c r="BI18" s="355"/>
      <c r="BJ18" s="355"/>
      <c r="BK18" s="355"/>
      <c r="BL18" s="355"/>
      <c r="BM18" s="355"/>
    </row>
    <row r="19" spans="1:65" hidden="1">
      <c r="A19" s="409" t="s">
        <v>18</v>
      </c>
      <c r="B19" s="355">
        <v>4016</v>
      </c>
      <c r="C19" s="355"/>
      <c r="D19" s="1511">
        <v>2396</v>
      </c>
      <c r="E19" s="1511">
        <v>1183</v>
      </c>
      <c r="F19" s="1511">
        <v>321</v>
      </c>
      <c r="G19" s="1511">
        <v>116</v>
      </c>
      <c r="H19" s="355">
        <v>2268</v>
      </c>
      <c r="I19" s="355">
        <v>293</v>
      </c>
      <c r="J19" s="355">
        <v>2038</v>
      </c>
      <c r="K19" s="355">
        <v>243</v>
      </c>
      <c r="L19" s="355">
        <v>19</v>
      </c>
      <c r="M19" s="355">
        <v>16</v>
      </c>
      <c r="N19" s="355">
        <v>52</v>
      </c>
      <c r="O19" s="355">
        <v>3</v>
      </c>
      <c r="P19" s="355">
        <v>34</v>
      </c>
      <c r="Q19" s="1512">
        <v>6</v>
      </c>
      <c r="R19" s="1512"/>
      <c r="S19" s="1512"/>
      <c r="T19" s="1512"/>
      <c r="U19" s="1512"/>
      <c r="V19" s="1512"/>
      <c r="W19" s="1512"/>
      <c r="X19" s="1511">
        <v>126</v>
      </c>
      <c r="Y19" s="1511">
        <v>26</v>
      </c>
      <c r="Z19" s="1511"/>
      <c r="AA19" s="1511"/>
      <c r="AB19" s="1511"/>
      <c r="AC19" s="1511"/>
      <c r="AD19" s="355">
        <v>2105</v>
      </c>
      <c r="AE19" s="355">
        <v>251</v>
      </c>
      <c r="AF19" s="355">
        <v>2026</v>
      </c>
      <c r="AG19" s="355">
        <v>232</v>
      </c>
      <c r="AH19" s="355">
        <v>40</v>
      </c>
      <c r="AI19" s="355">
        <v>13</v>
      </c>
      <c r="AJ19" s="355"/>
      <c r="AK19" s="355"/>
      <c r="AL19" s="355"/>
      <c r="AM19" s="355"/>
      <c r="AN19" s="355"/>
      <c r="AO19" s="355"/>
      <c r="AP19" s="355"/>
      <c r="AQ19" s="355"/>
      <c r="AR19" s="355"/>
      <c r="AS19" s="355"/>
      <c r="AT19" s="355"/>
      <c r="AU19" s="355"/>
      <c r="AV19" s="355">
        <v>164</v>
      </c>
      <c r="AW19" s="355">
        <v>42</v>
      </c>
      <c r="AX19" s="355">
        <v>64</v>
      </c>
      <c r="AY19" s="355">
        <v>13</v>
      </c>
      <c r="AZ19" s="355">
        <v>13</v>
      </c>
      <c r="BA19" s="355">
        <v>9</v>
      </c>
      <c r="BB19" s="355"/>
      <c r="BC19" s="355"/>
      <c r="BD19" s="355"/>
      <c r="BE19" s="355"/>
      <c r="BF19" s="355"/>
      <c r="BG19" s="355"/>
      <c r="BH19" s="355"/>
      <c r="BI19" s="355"/>
      <c r="BJ19" s="355"/>
      <c r="BK19" s="355"/>
      <c r="BL19" s="355"/>
      <c r="BM19" s="355"/>
    </row>
    <row r="20" spans="1:65" hidden="1">
      <c r="A20" s="409" t="s">
        <v>19</v>
      </c>
      <c r="B20" s="355">
        <v>4049</v>
      </c>
      <c r="C20" s="355"/>
      <c r="D20" s="1511">
        <v>2403</v>
      </c>
      <c r="E20" s="1511">
        <v>1195</v>
      </c>
      <c r="F20" s="1511">
        <v>333</v>
      </c>
      <c r="G20" s="1511">
        <v>118</v>
      </c>
      <c r="H20" s="355">
        <v>4008</v>
      </c>
      <c r="I20" s="355">
        <v>494</v>
      </c>
      <c r="J20" s="355">
        <v>3743</v>
      </c>
      <c r="K20" s="355">
        <v>443</v>
      </c>
      <c r="L20" s="355">
        <v>46</v>
      </c>
      <c r="M20" s="355">
        <v>18</v>
      </c>
      <c r="N20" s="355">
        <v>66</v>
      </c>
      <c r="O20" s="355">
        <v>4</v>
      </c>
      <c r="P20" s="355">
        <v>32</v>
      </c>
      <c r="Q20" s="1512">
        <v>6</v>
      </c>
      <c r="R20" s="1512"/>
      <c r="S20" s="1512"/>
      <c r="T20" s="1512"/>
      <c r="U20" s="1512"/>
      <c r="V20" s="1512"/>
      <c r="W20" s="1512"/>
      <c r="X20" s="1511">
        <v>120</v>
      </c>
      <c r="Y20" s="1511">
        <v>22</v>
      </c>
      <c r="Z20" s="1511"/>
      <c r="AA20" s="1511"/>
      <c r="AB20" s="1511"/>
      <c r="AC20" s="1511"/>
      <c r="AD20" s="355">
        <v>3842</v>
      </c>
      <c r="AE20" s="355">
        <v>452</v>
      </c>
      <c r="AF20" s="355">
        <v>3742</v>
      </c>
      <c r="AG20" s="355">
        <v>433</v>
      </c>
      <c r="AH20" s="355">
        <v>63</v>
      </c>
      <c r="AI20" s="355">
        <v>13</v>
      </c>
      <c r="AJ20" s="355"/>
      <c r="AK20" s="355"/>
      <c r="AL20" s="355"/>
      <c r="AM20" s="355"/>
      <c r="AN20" s="355"/>
      <c r="AO20" s="355"/>
      <c r="AP20" s="355"/>
      <c r="AQ20" s="355"/>
      <c r="AR20" s="355"/>
      <c r="AS20" s="355"/>
      <c r="AT20" s="355"/>
      <c r="AU20" s="355"/>
      <c r="AV20" s="355">
        <v>166</v>
      </c>
      <c r="AW20" s="355">
        <v>42</v>
      </c>
      <c r="AX20" s="355">
        <v>67</v>
      </c>
      <c r="AY20" s="355">
        <v>14</v>
      </c>
      <c r="AZ20" s="355">
        <v>15</v>
      </c>
      <c r="BA20" s="355">
        <v>10</v>
      </c>
      <c r="BB20" s="355"/>
      <c r="BC20" s="355"/>
      <c r="BD20" s="355"/>
      <c r="BE20" s="355"/>
      <c r="BF20" s="355"/>
      <c r="BG20" s="355"/>
      <c r="BH20" s="355"/>
      <c r="BI20" s="355"/>
      <c r="BJ20" s="355"/>
      <c r="BK20" s="355"/>
      <c r="BL20" s="355"/>
      <c r="BM20" s="355"/>
    </row>
    <row r="21" spans="1:65" hidden="1">
      <c r="A21" s="409" t="s">
        <v>20</v>
      </c>
      <c r="B21" s="355">
        <v>4058</v>
      </c>
      <c r="C21" s="355"/>
      <c r="D21" s="1511">
        <v>2405</v>
      </c>
      <c r="E21" s="1511">
        <v>1191</v>
      </c>
      <c r="F21" s="1511">
        <v>348</v>
      </c>
      <c r="G21" s="1511">
        <v>114</v>
      </c>
      <c r="H21" s="355">
        <v>4967</v>
      </c>
      <c r="I21" s="355">
        <v>613</v>
      </c>
      <c r="J21" s="355">
        <v>4638</v>
      </c>
      <c r="K21" s="355">
        <v>549</v>
      </c>
      <c r="L21" s="355">
        <v>52</v>
      </c>
      <c r="M21" s="355">
        <v>23</v>
      </c>
      <c r="N21" s="355">
        <v>80</v>
      </c>
      <c r="O21" s="355">
        <v>5</v>
      </c>
      <c r="P21" s="355">
        <v>41</v>
      </c>
      <c r="Q21" s="1512">
        <v>6</v>
      </c>
      <c r="R21" s="1512"/>
      <c r="S21" s="1512"/>
      <c r="T21" s="1512"/>
      <c r="U21" s="1512"/>
      <c r="V21" s="1512"/>
      <c r="W21" s="1512"/>
      <c r="X21" s="1511">
        <v>156</v>
      </c>
      <c r="Y21" s="1511">
        <v>30</v>
      </c>
      <c r="Z21" s="1511"/>
      <c r="AA21" s="1511"/>
      <c r="AB21" s="1511"/>
      <c r="AC21" s="1511"/>
      <c r="AD21" s="355">
        <v>4765</v>
      </c>
      <c r="AE21" s="355">
        <v>562</v>
      </c>
      <c r="AF21" s="355">
        <v>4638</v>
      </c>
      <c r="AG21" s="355">
        <v>536</v>
      </c>
      <c r="AH21" s="355">
        <v>75</v>
      </c>
      <c r="AI21" s="355">
        <v>18</v>
      </c>
      <c r="AJ21" s="355"/>
      <c r="AK21" s="355"/>
      <c r="AL21" s="355"/>
      <c r="AM21" s="355"/>
      <c r="AN21" s="355"/>
      <c r="AO21" s="355"/>
      <c r="AP21" s="355"/>
      <c r="AQ21" s="355"/>
      <c r="AR21" s="355"/>
      <c r="AS21" s="355"/>
      <c r="AT21" s="355"/>
      <c r="AU21" s="355"/>
      <c r="AV21" s="355">
        <v>203</v>
      </c>
      <c r="AW21" s="355">
        <v>52</v>
      </c>
      <c r="AX21" s="355">
        <v>80</v>
      </c>
      <c r="AY21" s="355">
        <v>17</v>
      </c>
      <c r="AZ21" s="355">
        <v>18</v>
      </c>
      <c r="BA21" s="355">
        <v>11</v>
      </c>
      <c r="BB21" s="355"/>
      <c r="BC21" s="355"/>
      <c r="BD21" s="355"/>
      <c r="BE21" s="355"/>
      <c r="BF21" s="355"/>
      <c r="BG21" s="355"/>
      <c r="BH21" s="355"/>
      <c r="BI21" s="355"/>
      <c r="BJ21" s="355"/>
      <c r="BK21" s="355"/>
      <c r="BL21" s="355"/>
      <c r="BM21" s="355"/>
    </row>
    <row r="22" spans="1:65" hidden="1">
      <c r="A22" s="409" t="s">
        <v>21</v>
      </c>
      <c r="B22" s="355">
        <v>4105</v>
      </c>
      <c r="C22" s="355"/>
      <c r="D22" s="1511">
        <v>2426</v>
      </c>
      <c r="E22" s="1511">
        <v>1205</v>
      </c>
      <c r="F22" s="1511">
        <v>351</v>
      </c>
      <c r="G22" s="1511">
        <v>123</v>
      </c>
      <c r="H22" s="355">
        <v>3426</v>
      </c>
      <c r="I22" s="355">
        <v>434</v>
      </c>
      <c r="J22" s="355">
        <v>3154</v>
      </c>
      <c r="K22" s="355">
        <v>381</v>
      </c>
      <c r="L22" s="355">
        <v>32</v>
      </c>
      <c r="M22" s="355">
        <v>21</v>
      </c>
      <c r="N22" s="355">
        <v>74</v>
      </c>
      <c r="O22" s="355">
        <v>5</v>
      </c>
      <c r="P22" s="355">
        <v>43</v>
      </c>
      <c r="Q22" s="1512">
        <v>5</v>
      </c>
      <c r="R22" s="1512"/>
      <c r="S22" s="1512"/>
      <c r="T22" s="1512"/>
      <c r="U22" s="1512"/>
      <c r="V22" s="1512"/>
      <c r="W22" s="1512"/>
      <c r="X22" s="1511">
        <v>123</v>
      </c>
      <c r="Y22" s="1511">
        <v>22</v>
      </c>
      <c r="Z22" s="1511"/>
      <c r="AA22" s="1511"/>
      <c r="AB22" s="1511"/>
      <c r="AC22" s="1511"/>
      <c r="AD22" s="355">
        <v>3256</v>
      </c>
      <c r="AE22" s="355">
        <v>390</v>
      </c>
      <c r="AF22" s="355">
        <v>3154</v>
      </c>
      <c r="AG22" s="355">
        <v>369</v>
      </c>
      <c r="AH22" s="355">
        <v>60</v>
      </c>
      <c r="AI22" s="355">
        <v>15</v>
      </c>
      <c r="AJ22" s="355"/>
      <c r="AK22" s="355"/>
      <c r="AL22" s="355"/>
      <c r="AM22" s="355"/>
      <c r="AN22" s="355"/>
      <c r="AO22" s="355"/>
      <c r="AP22" s="355"/>
      <c r="AQ22" s="355"/>
      <c r="AR22" s="355"/>
      <c r="AS22" s="355"/>
      <c r="AT22" s="355"/>
      <c r="AU22" s="355"/>
      <c r="AV22" s="355">
        <v>169</v>
      </c>
      <c r="AW22" s="355">
        <v>43</v>
      </c>
      <c r="AX22" s="355">
        <v>74</v>
      </c>
      <c r="AY22" s="355">
        <v>17</v>
      </c>
      <c r="AZ22" s="355">
        <v>16</v>
      </c>
      <c r="BA22" s="355">
        <v>11</v>
      </c>
      <c r="BB22" s="355"/>
      <c r="BC22" s="355"/>
      <c r="BD22" s="355"/>
      <c r="BE22" s="355"/>
      <c r="BF22" s="355"/>
      <c r="BG22" s="355"/>
      <c r="BH22" s="355"/>
      <c r="BI22" s="355"/>
      <c r="BJ22" s="355"/>
      <c r="BK22" s="355"/>
      <c r="BL22" s="355"/>
      <c r="BM22" s="355"/>
    </row>
    <row r="23" spans="1:65" hidden="1">
      <c r="A23" s="409" t="s">
        <v>22</v>
      </c>
      <c r="B23" s="355">
        <v>4120</v>
      </c>
      <c r="C23" s="355"/>
      <c r="D23" s="1511">
        <v>2428</v>
      </c>
      <c r="E23" s="1511">
        <v>1202</v>
      </c>
      <c r="F23" s="1511">
        <v>363</v>
      </c>
      <c r="G23" s="1511">
        <v>127</v>
      </c>
      <c r="H23" s="355">
        <v>3972</v>
      </c>
      <c r="I23" s="355">
        <v>498</v>
      </c>
      <c r="J23" s="355">
        <v>3661</v>
      </c>
      <c r="K23" s="355">
        <v>440</v>
      </c>
      <c r="L23" s="355">
        <v>37</v>
      </c>
      <c r="M23" s="355">
        <v>21</v>
      </c>
      <c r="N23" s="355">
        <v>85</v>
      </c>
      <c r="O23" s="355">
        <v>5</v>
      </c>
      <c r="P23" s="355">
        <v>57</v>
      </c>
      <c r="Q23" s="1512">
        <v>5</v>
      </c>
      <c r="R23" s="1512"/>
      <c r="S23" s="1512"/>
      <c r="T23" s="1512"/>
      <c r="U23" s="1512"/>
      <c r="V23" s="1512"/>
      <c r="W23" s="1512"/>
      <c r="X23" s="1511">
        <v>132</v>
      </c>
      <c r="Y23" s="1511">
        <v>25</v>
      </c>
      <c r="Z23" s="1511"/>
      <c r="AA23" s="1511"/>
      <c r="AB23" s="1511"/>
      <c r="AC23" s="1511"/>
      <c r="AD23" s="355">
        <v>3794</v>
      </c>
      <c r="AE23" s="355">
        <v>451</v>
      </c>
      <c r="AF23" s="355">
        <v>3669</v>
      </c>
      <c r="AG23" s="355">
        <v>429</v>
      </c>
      <c r="AH23" s="355">
        <v>78</v>
      </c>
      <c r="AI23" s="355">
        <v>16</v>
      </c>
      <c r="AJ23" s="355"/>
      <c r="AK23" s="355"/>
      <c r="AL23" s="355"/>
      <c r="AM23" s="355"/>
      <c r="AN23" s="355"/>
      <c r="AO23" s="355"/>
      <c r="AP23" s="355"/>
      <c r="AQ23" s="355"/>
      <c r="AR23" s="355"/>
      <c r="AS23" s="355"/>
      <c r="AT23" s="355"/>
      <c r="AU23" s="355"/>
      <c r="AV23" s="355">
        <v>178</v>
      </c>
      <c r="AW23" s="355">
        <v>47</v>
      </c>
      <c r="AX23" s="355">
        <v>76</v>
      </c>
      <c r="AY23" s="355">
        <v>17</v>
      </c>
      <c r="AZ23" s="355">
        <v>16</v>
      </c>
      <c r="BA23" s="355">
        <v>11</v>
      </c>
      <c r="BB23" s="355"/>
      <c r="BC23" s="355"/>
      <c r="BD23" s="355"/>
      <c r="BE23" s="355"/>
      <c r="BF23" s="355"/>
      <c r="BG23" s="355"/>
      <c r="BH23" s="355"/>
      <c r="BI23" s="355"/>
      <c r="BJ23" s="355"/>
      <c r="BK23" s="355"/>
      <c r="BL23" s="355"/>
      <c r="BM23" s="355"/>
    </row>
    <row r="24" spans="1:65" hidden="1">
      <c r="A24" s="409" t="s">
        <v>23</v>
      </c>
      <c r="B24" s="355">
        <v>4148</v>
      </c>
      <c r="C24" s="355"/>
      <c r="D24" s="1511">
        <v>2437</v>
      </c>
      <c r="E24" s="1511">
        <v>1215</v>
      </c>
      <c r="F24" s="1511">
        <v>367</v>
      </c>
      <c r="G24" s="1511">
        <v>129</v>
      </c>
      <c r="H24" s="355">
        <v>3499</v>
      </c>
      <c r="I24" s="355">
        <v>454</v>
      </c>
      <c r="J24" s="355">
        <v>3213</v>
      </c>
      <c r="K24" s="355">
        <v>400</v>
      </c>
      <c r="L24" s="355">
        <v>28</v>
      </c>
      <c r="M24" s="355">
        <v>18</v>
      </c>
      <c r="N24" s="355">
        <v>83</v>
      </c>
      <c r="O24" s="355">
        <v>5</v>
      </c>
      <c r="P24" s="355">
        <v>45</v>
      </c>
      <c r="Q24" s="1512">
        <v>6</v>
      </c>
      <c r="R24" s="1512"/>
      <c r="S24" s="1512"/>
      <c r="T24" s="1512"/>
      <c r="U24" s="1512"/>
      <c r="V24" s="1512"/>
      <c r="W24" s="1512"/>
      <c r="X24" s="1511">
        <v>130</v>
      </c>
      <c r="Y24" s="1511">
        <v>25</v>
      </c>
      <c r="Z24" s="1511"/>
      <c r="AA24" s="1511"/>
      <c r="AB24" s="1511"/>
      <c r="AC24" s="1511"/>
      <c r="AD24" s="355">
        <v>3324</v>
      </c>
      <c r="AE24" s="355">
        <v>409</v>
      </c>
      <c r="AF24" s="355">
        <v>3218</v>
      </c>
      <c r="AG24" s="355">
        <v>388</v>
      </c>
      <c r="AH24" s="355">
        <v>58</v>
      </c>
      <c r="AI24" s="355">
        <v>14</v>
      </c>
      <c r="AJ24" s="355"/>
      <c r="AK24" s="355"/>
      <c r="AL24" s="355"/>
      <c r="AM24" s="355"/>
      <c r="AN24" s="355"/>
      <c r="AO24" s="355"/>
      <c r="AP24" s="355"/>
      <c r="AQ24" s="355"/>
      <c r="AR24" s="355"/>
      <c r="AS24" s="355"/>
      <c r="AT24" s="355"/>
      <c r="AU24" s="355"/>
      <c r="AV24" s="355">
        <v>175</v>
      </c>
      <c r="AW24" s="355">
        <v>45</v>
      </c>
      <c r="AX24" s="355">
        <v>78</v>
      </c>
      <c r="AY24" s="355">
        <v>17</v>
      </c>
      <c r="AZ24" s="355">
        <v>15</v>
      </c>
      <c r="BA24" s="355">
        <v>10</v>
      </c>
      <c r="BB24" s="355"/>
      <c r="BC24" s="355"/>
      <c r="BD24" s="355"/>
      <c r="BE24" s="355"/>
      <c r="BF24" s="355"/>
      <c r="BG24" s="355"/>
      <c r="BH24" s="355"/>
      <c r="BI24" s="355"/>
      <c r="BJ24" s="355"/>
      <c r="BK24" s="355"/>
      <c r="BL24" s="355"/>
      <c r="BM24" s="355"/>
    </row>
    <row r="25" spans="1:65" hidden="1">
      <c r="A25" s="409" t="s">
        <v>24</v>
      </c>
      <c r="B25" s="355">
        <v>4155</v>
      </c>
      <c r="C25" s="355"/>
      <c r="D25" s="1511">
        <v>2431</v>
      </c>
      <c r="E25" s="1511">
        <v>1220</v>
      </c>
      <c r="F25" s="1511">
        <v>374</v>
      </c>
      <c r="G25" s="1511">
        <v>130</v>
      </c>
      <c r="H25" s="355">
        <v>4343</v>
      </c>
      <c r="I25" s="355">
        <v>573</v>
      </c>
      <c r="J25" s="355">
        <v>4032</v>
      </c>
      <c r="K25" s="355">
        <v>512</v>
      </c>
      <c r="L25" s="355">
        <v>40</v>
      </c>
      <c r="M25" s="355">
        <v>21</v>
      </c>
      <c r="N25" s="355">
        <v>83</v>
      </c>
      <c r="O25" s="355">
        <v>6</v>
      </c>
      <c r="P25" s="355">
        <v>45</v>
      </c>
      <c r="Q25" s="1512">
        <v>6</v>
      </c>
      <c r="R25" s="1512"/>
      <c r="S25" s="1512"/>
      <c r="T25" s="1512"/>
      <c r="U25" s="1512"/>
      <c r="V25" s="1512"/>
      <c r="W25" s="1512"/>
      <c r="X25" s="1511">
        <v>143</v>
      </c>
      <c r="Y25" s="1511">
        <v>29</v>
      </c>
      <c r="Z25" s="1511"/>
      <c r="AA25" s="1511"/>
      <c r="AB25" s="1511"/>
      <c r="AC25" s="1511"/>
      <c r="AD25" s="355">
        <v>4159</v>
      </c>
      <c r="AE25" s="355">
        <v>522</v>
      </c>
      <c r="AF25" s="355">
        <v>4039</v>
      </c>
      <c r="AG25" s="355">
        <v>499</v>
      </c>
      <c r="AH25" s="355">
        <v>71</v>
      </c>
      <c r="AI25" s="355">
        <v>16</v>
      </c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5"/>
      <c r="AU25" s="355"/>
      <c r="AV25" s="355">
        <v>184</v>
      </c>
      <c r="AW25" s="355">
        <v>51</v>
      </c>
      <c r="AX25" s="355">
        <v>75</v>
      </c>
      <c r="AY25" s="355">
        <v>18</v>
      </c>
      <c r="AZ25" s="355">
        <v>15</v>
      </c>
      <c r="BA25" s="355">
        <v>11</v>
      </c>
      <c r="BB25" s="355"/>
      <c r="BC25" s="355"/>
      <c r="BD25" s="355"/>
      <c r="BE25" s="355"/>
      <c r="BF25" s="355"/>
      <c r="BG25" s="355"/>
      <c r="BH25" s="355"/>
      <c r="BI25" s="355"/>
      <c r="BJ25" s="355"/>
      <c r="BK25" s="355"/>
      <c r="BL25" s="355"/>
      <c r="BM25" s="355"/>
    </row>
    <row r="26" spans="1:65" hidden="1">
      <c r="A26" s="409" t="s">
        <v>25</v>
      </c>
      <c r="B26" s="355">
        <v>4051</v>
      </c>
      <c r="C26" s="355"/>
      <c r="D26" s="1511">
        <v>2292</v>
      </c>
      <c r="E26" s="1511">
        <v>1215</v>
      </c>
      <c r="F26" s="1511">
        <v>413</v>
      </c>
      <c r="G26" s="1511">
        <v>131</v>
      </c>
      <c r="H26" s="355">
        <v>3509</v>
      </c>
      <c r="I26" s="355">
        <v>456</v>
      </c>
      <c r="J26" s="355">
        <v>3190</v>
      </c>
      <c r="K26" s="355">
        <v>387</v>
      </c>
      <c r="L26" s="355">
        <v>31</v>
      </c>
      <c r="M26" s="355">
        <v>24</v>
      </c>
      <c r="N26" s="355">
        <v>77</v>
      </c>
      <c r="O26" s="355">
        <v>6</v>
      </c>
      <c r="P26" s="355">
        <v>46</v>
      </c>
      <c r="Q26" s="1512">
        <v>5</v>
      </c>
      <c r="R26" s="1512"/>
      <c r="S26" s="1512"/>
      <c r="T26" s="1512"/>
      <c r="U26" s="1512"/>
      <c r="V26" s="1512"/>
      <c r="W26" s="1512"/>
      <c r="X26" s="1511">
        <v>165</v>
      </c>
      <c r="Y26" s="1511">
        <v>35</v>
      </c>
      <c r="Z26" s="1511"/>
      <c r="AA26" s="1511"/>
      <c r="AB26" s="1511"/>
      <c r="AC26" s="1511"/>
      <c r="AD26" s="355">
        <v>3308</v>
      </c>
      <c r="AE26" s="355">
        <v>400</v>
      </c>
      <c r="AF26" s="355">
        <v>3189</v>
      </c>
      <c r="AG26" s="355">
        <v>374</v>
      </c>
      <c r="AH26" s="355">
        <v>61</v>
      </c>
      <c r="AI26" s="355">
        <v>17</v>
      </c>
      <c r="AJ26" s="355"/>
      <c r="AK26" s="355"/>
      <c r="AL26" s="355"/>
      <c r="AM26" s="355"/>
      <c r="AN26" s="355"/>
      <c r="AO26" s="355"/>
      <c r="AP26" s="355"/>
      <c r="AQ26" s="355"/>
      <c r="AR26" s="355"/>
      <c r="AS26" s="355"/>
      <c r="AT26" s="355"/>
      <c r="AU26" s="355"/>
      <c r="AV26" s="355">
        <v>202</v>
      </c>
      <c r="AW26" s="355">
        <v>56</v>
      </c>
      <c r="AX26" s="355">
        <v>78</v>
      </c>
      <c r="AY26" s="355">
        <v>19</v>
      </c>
      <c r="AZ26" s="355">
        <v>16</v>
      </c>
      <c r="BA26" s="355">
        <v>12</v>
      </c>
      <c r="BB26" s="355"/>
      <c r="BC26" s="355"/>
      <c r="BD26" s="355"/>
      <c r="BE26" s="355"/>
      <c r="BF26" s="355"/>
      <c r="BG26" s="355"/>
      <c r="BH26" s="355"/>
      <c r="BI26" s="355"/>
      <c r="BJ26" s="355"/>
      <c r="BK26" s="355"/>
      <c r="BL26" s="355"/>
      <c r="BM26" s="355"/>
    </row>
    <row r="27" spans="1:65" hidden="1">
      <c r="A27" s="409" t="s">
        <v>26</v>
      </c>
      <c r="B27" s="355">
        <v>4059</v>
      </c>
      <c r="C27" s="355"/>
      <c r="D27" s="1511">
        <v>2263</v>
      </c>
      <c r="E27" s="1511">
        <v>1234</v>
      </c>
      <c r="F27" s="1511">
        <v>426</v>
      </c>
      <c r="G27" s="1511">
        <v>136</v>
      </c>
      <c r="H27" s="355">
        <v>3804</v>
      </c>
      <c r="I27" s="355">
        <v>491</v>
      </c>
      <c r="J27" s="355">
        <v>3478</v>
      </c>
      <c r="K27" s="355">
        <v>423</v>
      </c>
      <c r="L27" s="355">
        <v>41</v>
      </c>
      <c r="M27" s="355">
        <v>25</v>
      </c>
      <c r="N27" s="355">
        <v>75</v>
      </c>
      <c r="O27" s="355">
        <v>6</v>
      </c>
      <c r="P27" s="355">
        <v>45</v>
      </c>
      <c r="Q27" s="1512">
        <v>6</v>
      </c>
      <c r="R27" s="1512"/>
      <c r="S27" s="1512"/>
      <c r="T27" s="1512"/>
      <c r="U27" s="1512"/>
      <c r="V27" s="1512"/>
      <c r="W27" s="1512"/>
      <c r="X27" s="1511">
        <v>165</v>
      </c>
      <c r="Y27" s="1511">
        <v>32</v>
      </c>
      <c r="Z27" s="1511"/>
      <c r="AA27" s="1511"/>
      <c r="AB27" s="1511"/>
      <c r="AC27" s="1511"/>
      <c r="AD27" s="355">
        <v>3603</v>
      </c>
      <c r="AE27" s="355">
        <v>435</v>
      </c>
      <c r="AF27" s="355">
        <v>3472</v>
      </c>
      <c r="AG27" s="355">
        <v>409</v>
      </c>
      <c r="AH27" s="355">
        <v>69</v>
      </c>
      <c r="AI27" s="355">
        <v>17</v>
      </c>
      <c r="AJ27" s="355"/>
      <c r="AK27" s="355"/>
      <c r="AL27" s="355"/>
      <c r="AM27" s="355"/>
      <c r="AN27" s="355"/>
      <c r="AO27" s="355"/>
      <c r="AP27" s="355"/>
      <c r="AQ27" s="355"/>
      <c r="AR27" s="355"/>
      <c r="AS27" s="355"/>
      <c r="AT27" s="355"/>
      <c r="AU27" s="355"/>
      <c r="AV27" s="355">
        <v>201</v>
      </c>
      <c r="AW27" s="355">
        <v>56</v>
      </c>
      <c r="AX27" s="355">
        <v>81</v>
      </c>
      <c r="AY27" s="355">
        <v>20</v>
      </c>
      <c r="AZ27" s="355">
        <v>17</v>
      </c>
      <c r="BA27" s="355">
        <v>13</v>
      </c>
      <c r="BB27" s="355"/>
      <c r="BC27" s="355"/>
      <c r="BD27" s="355"/>
      <c r="BE27" s="355"/>
      <c r="BF27" s="355"/>
      <c r="BG27" s="355"/>
      <c r="BH27" s="355"/>
      <c r="BI27" s="355"/>
      <c r="BJ27" s="355"/>
      <c r="BK27" s="355"/>
      <c r="BL27" s="355"/>
      <c r="BM27" s="355"/>
    </row>
    <row r="28" spans="1:65" hidden="1">
      <c r="A28" s="409" t="s">
        <v>27</v>
      </c>
      <c r="B28" s="355">
        <v>4103</v>
      </c>
      <c r="C28" s="355"/>
      <c r="D28" s="1511">
        <v>2319</v>
      </c>
      <c r="E28" s="1511">
        <v>1231</v>
      </c>
      <c r="F28" s="1511">
        <v>419</v>
      </c>
      <c r="G28" s="1511">
        <v>134</v>
      </c>
      <c r="H28" s="355">
        <v>3910</v>
      </c>
      <c r="I28" s="355">
        <v>509</v>
      </c>
      <c r="J28" s="355">
        <v>3579</v>
      </c>
      <c r="K28" s="355">
        <v>445</v>
      </c>
      <c r="L28" s="355">
        <v>37</v>
      </c>
      <c r="M28" s="355">
        <v>20</v>
      </c>
      <c r="N28" s="355">
        <v>80</v>
      </c>
      <c r="O28" s="355">
        <v>7</v>
      </c>
      <c r="P28" s="355">
        <v>49</v>
      </c>
      <c r="Q28" s="1512">
        <v>6</v>
      </c>
      <c r="R28" s="1512"/>
      <c r="S28" s="1512"/>
      <c r="T28" s="1512"/>
      <c r="U28" s="1512"/>
      <c r="V28" s="1512"/>
      <c r="W28" s="1512"/>
      <c r="X28" s="1511">
        <v>164</v>
      </c>
      <c r="Y28" s="1511">
        <v>31</v>
      </c>
      <c r="Z28" s="1511"/>
      <c r="AA28" s="1511"/>
      <c r="AB28" s="1511"/>
      <c r="AC28" s="1511"/>
      <c r="AD28" s="355">
        <v>3708</v>
      </c>
      <c r="AE28" s="355">
        <v>457</v>
      </c>
      <c r="AF28" s="355">
        <v>3576</v>
      </c>
      <c r="AG28" s="355">
        <v>431</v>
      </c>
      <c r="AH28" s="355">
        <v>68</v>
      </c>
      <c r="AI28" s="355">
        <v>16</v>
      </c>
      <c r="AJ28" s="355"/>
      <c r="AK28" s="355"/>
      <c r="AL28" s="355"/>
      <c r="AM28" s="355"/>
      <c r="AN28" s="355"/>
      <c r="AO28" s="355"/>
      <c r="AP28" s="355"/>
      <c r="AQ28" s="355"/>
      <c r="AR28" s="355"/>
      <c r="AS28" s="355"/>
      <c r="AT28" s="355"/>
      <c r="AU28" s="355"/>
      <c r="AV28" s="355">
        <v>202</v>
      </c>
      <c r="AW28" s="355">
        <v>52</v>
      </c>
      <c r="AX28" s="355">
        <v>83</v>
      </c>
      <c r="AY28" s="355">
        <v>20</v>
      </c>
      <c r="AZ28" s="355">
        <v>19</v>
      </c>
      <c r="BA28" s="355">
        <v>10</v>
      </c>
      <c r="BB28" s="355"/>
      <c r="BC28" s="355"/>
      <c r="BD28" s="355"/>
      <c r="BE28" s="355"/>
      <c r="BF28" s="355"/>
      <c r="BG28" s="355"/>
      <c r="BH28" s="355"/>
      <c r="BI28" s="355"/>
      <c r="BJ28" s="355"/>
      <c r="BK28" s="355"/>
      <c r="BL28" s="355"/>
      <c r="BM28" s="355"/>
    </row>
    <row r="29" spans="1:65" hidden="1">
      <c r="A29" s="409" t="s">
        <v>28</v>
      </c>
      <c r="B29" s="355">
        <v>4209</v>
      </c>
      <c r="C29" s="355"/>
      <c r="D29" s="1511">
        <v>2417</v>
      </c>
      <c r="E29" s="1511">
        <v>1254</v>
      </c>
      <c r="F29" s="1511">
        <v>403</v>
      </c>
      <c r="G29" s="1511">
        <v>135</v>
      </c>
      <c r="H29" s="355">
        <v>3557</v>
      </c>
      <c r="I29" s="355">
        <v>486</v>
      </c>
      <c r="J29" s="355">
        <v>3220</v>
      </c>
      <c r="K29" s="355">
        <v>419</v>
      </c>
      <c r="L29" s="355">
        <v>29</v>
      </c>
      <c r="M29" s="355">
        <v>22</v>
      </c>
      <c r="N29" s="355">
        <v>82</v>
      </c>
      <c r="O29" s="1513">
        <v>8</v>
      </c>
      <c r="P29" s="355">
        <v>53</v>
      </c>
      <c r="Q29" s="1512">
        <v>7</v>
      </c>
      <c r="R29" s="1512"/>
      <c r="S29" s="1512"/>
      <c r="T29" s="1512"/>
      <c r="U29" s="1512"/>
      <c r="V29" s="1512"/>
      <c r="W29" s="1512"/>
      <c r="X29" s="1511">
        <v>172</v>
      </c>
      <c r="Y29" s="1511">
        <v>32</v>
      </c>
      <c r="Z29" s="1511"/>
      <c r="AA29" s="1511"/>
      <c r="AB29" s="1511"/>
      <c r="AC29" s="1511"/>
      <c r="AD29" s="355">
        <v>3341</v>
      </c>
      <c r="AE29" s="355">
        <v>429</v>
      </c>
      <c r="AF29" s="355">
        <v>3214</v>
      </c>
      <c r="AG29" s="355">
        <v>404</v>
      </c>
      <c r="AH29" s="355">
        <v>62</v>
      </c>
      <c r="AI29" s="355">
        <v>16</v>
      </c>
      <c r="AJ29" s="355"/>
      <c r="AK29" s="355"/>
      <c r="AL29" s="355"/>
      <c r="AM29" s="355"/>
      <c r="AN29" s="355"/>
      <c r="AO29" s="355"/>
      <c r="AP29" s="355"/>
      <c r="AQ29" s="355"/>
      <c r="AR29" s="355"/>
      <c r="AS29" s="355"/>
      <c r="AT29" s="355"/>
      <c r="AU29" s="355"/>
      <c r="AV29" s="355">
        <v>215</v>
      </c>
      <c r="AW29" s="355">
        <v>57</v>
      </c>
      <c r="AX29" s="355">
        <v>87</v>
      </c>
      <c r="AY29" s="355">
        <v>22</v>
      </c>
      <c r="AZ29" s="355">
        <v>20</v>
      </c>
      <c r="BA29" s="355">
        <v>12</v>
      </c>
      <c r="BB29" s="355"/>
      <c r="BC29" s="355"/>
      <c r="BD29" s="355"/>
      <c r="BE29" s="355"/>
      <c r="BF29" s="355"/>
      <c r="BG29" s="355"/>
      <c r="BH29" s="355"/>
      <c r="BI29" s="355"/>
      <c r="BJ29" s="355"/>
      <c r="BK29" s="355"/>
      <c r="BL29" s="355"/>
      <c r="BM29" s="355"/>
    </row>
    <row r="30" spans="1:65" hidden="1">
      <c r="A30" s="409" t="s">
        <v>29</v>
      </c>
      <c r="B30" s="355">
        <v>4231</v>
      </c>
      <c r="C30" s="355"/>
      <c r="D30" s="1511">
        <v>2427</v>
      </c>
      <c r="E30" s="1511">
        <v>1260</v>
      </c>
      <c r="F30" s="1511">
        <v>410</v>
      </c>
      <c r="G30" s="1511">
        <v>134</v>
      </c>
      <c r="H30" s="355">
        <v>5239</v>
      </c>
      <c r="I30" s="355">
        <v>755</v>
      </c>
      <c r="J30" s="355">
        <v>4822</v>
      </c>
      <c r="K30" s="355">
        <v>641</v>
      </c>
      <c r="L30" s="355">
        <v>52</v>
      </c>
      <c r="M30" s="355">
        <v>26</v>
      </c>
      <c r="N30" s="355">
        <v>102</v>
      </c>
      <c r="O30" s="1513">
        <v>11</v>
      </c>
      <c r="P30" s="355">
        <v>73</v>
      </c>
      <c r="Q30" s="1512">
        <v>14</v>
      </c>
      <c r="R30" s="1512"/>
      <c r="S30" s="1512"/>
      <c r="T30" s="1512"/>
      <c r="U30" s="1512"/>
      <c r="V30" s="1512"/>
      <c r="W30" s="1512"/>
      <c r="X30" s="1511">
        <v>191</v>
      </c>
      <c r="Y30" s="1511">
        <v>60</v>
      </c>
      <c r="Z30" s="1511"/>
      <c r="AA30" s="1511"/>
      <c r="AB30" s="1511"/>
      <c r="AC30" s="1511"/>
      <c r="AD30" s="355">
        <v>5013</v>
      </c>
      <c r="AE30" s="355">
        <v>672</v>
      </c>
      <c r="AF30" s="355">
        <v>4833</v>
      </c>
      <c r="AG30" s="355">
        <v>629</v>
      </c>
      <c r="AH30" s="355">
        <v>99</v>
      </c>
      <c r="AI30" s="355">
        <v>24</v>
      </c>
      <c r="AJ30" s="355"/>
      <c r="AK30" s="355"/>
      <c r="AL30" s="355"/>
      <c r="AM30" s="355"/>
      <c r="AN30" s="355"/>
      <c r="AO30" s="355"/>
      <c r="AP30" s="355"/>
      <c r="AQ30" s="355"/>
      <c r="AR30" s="355"/>
      <c r="AS30" s="355"/>
      <c r="AT30" s="355"/>
      <c r="AU30" s="355"/>
      <c r="AV30" s="355">
        <v>227</v>
      </c>
      <c r="AW30" s="355">
        <v>83</v>
      </c>
      <c r="AX30" s="355">
        <v>92</v>
      </c>
      <c r="AY30" s="355">
        <v>25</v>
      </c>
      <c r="AZ30" s="355">
        <v>25</v>
      </c>
      <c r="BA30" s="355">
        <v>17</v>
      </c>
      <c r="BB30" s="355"/>
      <c r="BC30" s="355"/>
      <c r="BD30" s="355"/>
      <c r="BE30" s="355"/>
      <c r="BF30" s="355"/>
      <c r="BG30" s="355"/>
      <c r="BH30" s="355"/>
      <c r="BI30" s="355"/>
      <c r="BJ30" s="355"/>
      <c r="BK30" s="355"/>
      <c r="BL30" s="355"/>
      <c r="BM30" s="355"/>
    </row>
    <row r="31" spans="1:65">
      <c r="A31" s="1510">
        <v>2011</v>
      </c>
      <c r="B31" s="702">
        <v>4580.2439999999988</v>
      </c>
      <c r="C31" s="702"/>
      <c r="D31" s="1499">
        <v>2522.4079999999999</v>
      </c>
      <c r="E31" s="1499">
        <v>1330.162</v>
      </c>
      <c r="F31" s="1499">
        <v>546.93499999999995</v>
      </c>
      <c r="G31" s="1499">
        <v>180.739</v>
      </c>
      <c r="H31" s="702">
        <f t="shared" ref="H31:Q31" si="3">SUM(H32:H43)</f>
        <v>50953.898000000001</v>
      </c>
      <c r="I31" s="702">
        <f t="shared" si="3"/>
        <v>7229.7502510000004</v>
      </c>
      <c r="J31" s="702">
        <f t="shared" si="3"/>
        <v>45409.581000000006</v>
      </c>
      <c r="K31" s="702">
        <f t="shared" si="3"/>
        <v>6263.2250279999998</v>
      </c>
      <c r="L31" s="702">
        <f t="shared" si="3"/>
        <v>327.41100000000006</v>
      </c>
      <c r="M31" s="702">
        <f t="shared" si="3"/>
        <v>281.05847300000005</v>
      </c>
      <c r="N31" s="702">
        <f t="shared" si="3"/>
        <v>1117.7339999999999</v>
      </c>
      <c r="O31" s="702">
        <f t="shared" si="3"/>
        <v>124.80497600000001</v>
      </c>
      <c r="P31" s="702">
        <f t="shared" si="3"/>
        <v>1509.971</v>
      </c>
      <c r="Q31" s="702">
        <f t="shared" si="3"/>
        <v>107.858282</v>
      </c>
      <c r="R31" s="702"/>
      <c r="S31" s="702"/>
      <c r="T31" s="702"/>
      <c r="U31" s="702"/>
      <c r="V31" s="702"/>
      <c r="W31" s="702"/>
      <c r="X31" s="702">
        <f>SUM(X32:X43)</f>
        <v>2590.201</v>
      </c>
      <c r="Y31" s="702">
        <f>SUM(Y32:Y43)</f>
        <v>453.83956500000005</v>
      </c>
      <c r="Z31" s="702"/>
      <c r="AA31" s="702"/>
      <c r="AB31" s="702"/>
      <c r="AC31" s="702"/>
      <c r="AD31" s="702">
        <f t="shared" ref="AD31:AI31" si="4">SUM(AD32:AD43)</f>
        <v>48129.445</v>
      </c>
      <c r="AE31" s="702">
        <f t="shared" si="4"/>
        <v>6457.1501229999994</v>
      </c>
      <c r="AF31" s="702">
        <f t="shared" si="4"/>
        <v>45473.182000000001</v>
      </c>
      <c r="AG31" s="702">
        <f t="shared" si="4"/>
        <v>6094.4443510000001</v>
      </c>
      <c r="AH31" s="702">
        <f t="shared" si="4"/>
        <v>1460.885</v>
      </c>
      <c r="AI31" s="702">
        <f t="shared" si="4"/>
        <v>224.14711800000001</v>
      </c>
      <c r="AJ31" s="702"/>
      <c r="AK31" s="702"/>
      <c r="AL31" s="702"/>
      <c r="AM31" s="702"/>
      <c r="AN31" s="702"/>
      <c r="AO31" s="702"/>
      <c r="AP31" s="702"/>
      <c r="AQ31" s="702"/>
      <c r="AR31" s="702"/>
      <c r="AS31" s="702"/>
      <c r="AT31" s="702"/>
      <c r="AU31" s="702"/>
      <c r="AV31" s="702">
        <f t="shared" ref="AV31:BA31" si="5">SUM(AV32:AV43)</f>
        <v>2824.453</v>
      </c>
      <c r="AW31" s="702">
        <f t="shared" si="5"/>
        <v>772.59985700000004</v>
      </c>
      <c r="AX31" s="702">
        <f t="shared" si="5"/>
        <v>1053.1329999999998</v>
      </c>
      <c r="AY31" s="702">
        <f t="shared" si="5"/>
        <v>293.548653</v>
      </c>
      <c r="AZ31" s="702">
        <f t="shared" si="5"/>
        <v>357.45500000000004</v>
      </c>
      <c r="BA31" s="702">
        <f t="shared" si="5"/>
        <v>171.15694099999999</v>
      </c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</row>
    <row r="32" spans="1:65" hidden="1">
      <c r="A32" s="409" t="s">
        <v>18</v>
      </c>
      <c r="B32" s="702">
        <v>4252.7299999999996</v>
      </c>
      <c r="C32" s="702"/>
      <c r="D32" s="1505">
        <v>2430.3519999999999</v>
      </c>
      <c r="E32" s="1505">
        <v>1260.866</v>
      </c>
      <c r="F32" s="1505">
        <v>426.47699999999998</v>
      </c>
      <c r="G32" s="1499">
        <v>135.035</v>
      </c>
      <c r="H32" s="1505">
        <v>3410.5369999999998</v>
      </c>
      <c r="I32" s="1505">
        <v>447.96898299999998</v>
      </c>
      <c r="J32" s="702">
        <v>3037.817</v>
      </c>
      <c r="K32" s="1499">
        <v>380.45024599999999</v>
      </c>
      <c r="L32" s="702">
        <v>27.811</v>
      </c>
      <c r="M32" s="702">
        <v>18.396101999999999</v>
      </c>
      <c r="N32" s="702">
        <v>82.926000000000002</v>
      </c>
      <c r="O32" s="702">
        <v>7.8182320000000001</v>
      </c>
      <c r="P32" s="702">
        <v>73.075000000000003</v>
      </c>
      <c r="Q32" s="1505">
        <v>6.6364999999999998</v>
      </c>
      <c r="R32" s="1505"/>
      <c r="S32" s="1505"/>
      <c r="T32" s="1505"/>
      <c r="U32" s="1505"/>
      <c r="V32" s="1505"/>
      <c r="W32" s="1505"/>
      <c r="X32" s="1499">
        <v>188.90799999999999</v>
      </c>
      <c r="Y32" s="1499">
        <v>34.667901000000001</v>
      </c>
      <c r="Z32" s="1499"/>
      <c r="AA32" s="1499"/>
      <c r="AB32" s="1499"/>
      <c r="AC32" s="1499"/>
      <c r="AD32" s="702">
        <v>3183.3449999999998</v>
      </c>
      <c r="AE32" s="702">
        <v>389.68070599999999</v>
      </c>
      <c r="AF32" s="702">
        <v>3040.1120000000001</v>
      </c>
      <c r="AG32" s="702">
        <v>367.68272200000001</v>
      </c>
      <c r="AH32" s="702">
        <v>79.346000000000004</v>
      </c>
      <c r="AI32" s="702">
        <v>13.785693</v>
      </c>
      <c r="AJ32" s="702"/>
      <c r="AK32" s="702"/>
      <c r="AL32" s="702"/>
      <c r="AM32" s="702"/>
      <c r="AN32" s="702"/>
      <c r="AO32" s="702"/>
      <c r="AP32" s="702"/>
      <c r="AQ32" s="702"/>
      <c r="AR32" s="702"/>
      <c r="AS32" s="702"/>
      <c r="AT32" s="702"/>
      <c r="AU32" s="702"/>
      <c r="AV32" s="702">
        <v>227.19200000000001</v>
      </c>
      <c r="AW32" s="702">
        <v>58.288276000000003</v>
      </c>
      <c r="AX32" s="702">
        <v>80.631</v>
      </c>
      <c r="AY32" s="702">
        <v>20.585757000000001</v>
      </c>
      <c r="AZ32" s="702">
        <v>21.54</v>
      </c>
      <c r="BA32" s="702">
        <v>11.246907999999999</v>
      </c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</row>
    <row r="33" spans="1:65" hidden="1">
      <c r="A33" s="409" t="s">
        <v>19</v>
      </c>
      <c r="B33" s="702">
        <v>4284.6490000000003</v>
      </c>
      <c r="C33" s="702"/>
      <c r="D33" s="1505">
        <v>2442.2489999999998</v>
      </c>
      <c r="E33" s="1499">
        <v>1272.0160000000001</v>
      </c>
      <c r="F33" s="1499">
        <v>433.36399999999998</v>
      </c>
      <c r="G33" s="1499">
        <v>137.02000000000001</v>
      </c>
      <c r="H33" s="702">
        <v>4057.027</v>
      </c>
      <c r="I33" s="702">
        <v>543.08880099999999</v>
      </c>
      <c r="J33" s="1499">
        <v>3713.1729999999998</v>
      </c>
      <c r="K33" s="1499">
        <v>479.57183900000001</v>
      </c>
      <c r="L33" s="1499">
        <v>27.247</v>
      </c>
      <c r="M33" s="1499">
        <v>21.510093999999999</v>
      </c>
      <c r="N33" s="1499">
        <v>90.841999999999999</v>
      </c>
      <c r="O33" s="702">
        <v>7.2239170000000001</v>
      </c>
      <c r="P33" s="702">
        <v>68.899000000000001</v>
      </c>
      <c r="Q33" s="1505">
        <v>6.442196</v>
      </c>
      <c r="R33" s="1505"/>
      <c r="S33" s="1505"/>
      <c r="T33" s="1505"/>
      <c r="U33" s="1505"/>
      <c r="V33" s="1505"/>
      <c r="W33" s="1505"/>
      <c r="X33" s="1499">
        <v>156.86600000000001</v>
      </c>
      <c r="Y33" s="1499">
        <v>28.397755</v>
      </c>
      <c r="Z33" s="1499"/>
      <c r="AA33" s="1499"/>
      <c r="AB33" s="1499"/>
      <c r="AC33" s="1499"/>
      <c r="AD33" s="702">
        <v>3856.7750000000001</v>
      </c>
      <c r="AE33" s="702">
        <v>488.79816599999998</v>
      </c>
      <c r="AF33" s="702">
        <v>3722.578</v>
      </c>
      <c r="AG33" s="702">
        <v>466.03239200000002</v>
      </c>
      <c r="AH33" s="702">
        <v>75.012</v>
      </c>
      <c r="AI33" s="702">
        <v>16.346263</v>
      </c>
      <c r="AJ33" s="702"/>
      <c r="AK33" s="702"/>
      <c r="AL33" s="702"/>
      <c r="AM33" s="702"/>
      <c r="AN33" s="702"/>
      <c r="AO33" s="702"/>
      <c r="AP33" s="702"/>
      <c r="AQ33" s="702"/>
      <c r="AR33" s="702"/>
      <c r="AS33" s="702"/>
      <c r="AT33" s="702"/>
      <c r="AU33" s="702"/>
      <c r="AV33" s="702">
        <v>200.25200000000001</v>
      </c>
      <c r="AW33" s="702">
        <v>54.290633999999997</v>
      </c>
      <c r="AX33" s="702">
        <v>81.436999999999998</v>
      </c>
      <c r="AY33" s="702">
        <v>20.706363</v>
      </c>
      <c r="AZ33" s="702">
        <v>21.134</v>
      </c>
      <c r="BA33" s="702">
        <v>11.606026</v>
      </c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</row>
    <row r="34" spans="1:65" hidden="1">
      <c r="A34" s="409" t="s">
        <v>20</v>
      </c>
      <c r="B34" s="702">
        <v>4342.1840000000002</v>
      </c>
      <c r="C34" s="702"/>
      <c r="D34" s="1499">
        <v>2475.6590000000001</v>
      </c>
      <c r="E34" s="1499">
        <v>1289.0509999999999</v>
      </c>
      <c r="F34" s="1499">
        <v>436.55599999999998</v>
      </c>
      <c r="G34" s="1499">
        <v>140.91800000000001</v>
      </c>
      <c r="H34" s="702">
        <v>4973.241</v>
      </c>
      <c r="I34" s="702">
        <v>670.89475400000003</v>
      </c>
      <c r="J34" s="1499">
        <v>4515.9539999999997</v>
      </c>
      <c r="K34" s="1499">
        <v>586.62978199999998</v>
      </c>
      <c r="L34" s="1499">
        <v>33.479999999999997</v>
      </c>
      <c r="M34" s="1499">
        <v>27.089735999999998</v>
      </c>
      <c r="N34" s="1499">
        <v>106.033</v>
      </c>
      <c r="O34" s="702">
        <v>8.5282509999999991</v>
      </c>
      <c r="P34" s="1499">
        <v>97.367999999999995</v>
      </c>
      <c r="Q34" s="1505">
        <v>7.2160000000000002</v>
      </c>
      <c r="R34" s="1505"/>
      <c r="S34" s="1505"/>
      <c r="T34" s="1505"/>
      <c r="U34" s="1505"/>
      <c r="V34" s="1505"/>
      <c r="W34" s="1505"/>
      <c r="X34" s="1499">
        <v>220.40600000000001</v>
      </c>
      <c r="Y34" s="1499">
        <v>41.430723</v>
      </c>
      <c r="Z34" s="1499"/>
      <c r="AA34" s="1499"/>
      <c r="AB34" s="1499"/>
      <c r="AC34" s="1499"/>
      <c r="AD34" s="702">
        <v>4727.2460000000001</v>
      </c>
      <c r="AE34" s="702">
        <v>605.02852099999996</v>
      </c>
      <c r="AF34" s="702">
        <v>4530.3389999999999</v>
      </c>
      <c r="AG34" s="702">
        <v>572.18353999999999</v>
      </c>
      <c r="AH34" s="702">
        <v>104.649</v>
      </c>
      <c r="AI34" s="702">
        <v>20.598258999999999</v>
      </c>
      <c r="AJ34" s="702"/>
      <c r="AK34" s="702"/>
      <c r="AL34" s="702"/>
      <c r="AM34" s="702"/>
      <c r="AN34" s="702"/>
      <c r="AO34" s="702"/>
      <c r="AP34" s="702"/>
      <c r="AQ34" s="702"/>
      <c r="AR34" s="702"/>
      <c r="AS34" s="702"/>
      <c r="AT34" s="702"/>
      <c r="AU34" s="702"/>
      <c r="AV34" s="702">
        <v>245.995</v>
      </c>
      <c r="AW34" s="702">
        <v>65.866232999999994</v>
      </c>
      <c r="AX34" s="702">
        <v>91.647999999999996</v>
      </c>
      <c r="AY34" s="702">
        <v>22.974492999999999</v>
      </c>
      <c r="AZ34" s="702">
        <v>26.199000000000002</v>
      </c>
      <c r="BA34" s="702">
        <v>13.707736000000001</v>
      </c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</row>
    <row r="35" spans="1:65" hidden="1">
      <c r="A35" s="409" t="s">
        <v>21</v>
      </c>
      <c r="B35" s="702">
        <v>4352.7209999999995</v>
      </c>
      <c r="C35" s="702"/>
      <c r="D35" s="1499">
        <v>2476.6239999999998</v>
      </c>
      <c r="E35" s="1499">
        <v>1293.992</v>
      </c>
      <c r="F35" s="1499">
        <v>449.13499999999999</v>
      </c>
      <c r="G35" s="1499">
        <v>132.97</v>
      </c>
      <c r="H35" s="1499">
        <v>3654.4830000000002</v>
      </c>
      <c r="I35" s="1499">
        <v>505.51462099999998</v>
      </c>
      <c r="J35" s="1499">
        <v>3248.6170000000002</v>
      </c>
      <c r="K35" s="1499">
        <v>433.27697600000005</v>
      </c>
      <c r="L35" s="1499">
        <v>23.478000000000002</v>
      </c>
      <c r="M35" s="1499">
        <v>23.787675</v>
      </c>
      <c r="N35" s="1499">
        <v>81.483999999999995</v>
      </c>
      <c r="O35" s="1499">
        <v>9.282157999999999</v>
      </c>
      <c r="P35" s="1499">
        <v>118.991</v>
      </c>
      <c r="Q35" s="1499">
        <v>8.0168929999999996</v>
      </c>
      <c r="R35" s="1499"/>
      <c r="S35" s="1499"/>
      <c r="T35" s="1499"/>
      <c r="U35" s="1499"/>
      <c r="V35" s="1499"/>
      <c r="W35" s="1499"/>
      <c r="X35" s="1499">
        <v>181.91300000000001</v>
      </c>
      <c r="Y35" s="1499">
        <v>31.150919000000002</v>
      </c>
      <c r="Z35" s="1499"/>
      <c r="AA35" s="1499"/>
      <c r="AB35" s="1499"/>
      <c r="AC35" s="1499"/>
      <c r="AD35" s="1505">
        <v>3460.058</v>
      </c>
      <c r="AE35" s="1505">
        <v>450.33194799999995</v>
      </c>
      <c r="AF35" s="1505">
        <v>3254.8359999999998</v>
      </c>
      <c r="AG35" s="1505">
        <v>421.99725699999999</v>
      </c>
      <c r="AH35" s="1505">
        <v>99.004999999999995</v>
      </c>
      <c r="AI35" s="1505">
        <v>23.937512999999999</v>
      </c>
      <c r="AJ35" s="1505"/>
      <c r="AK35" s="1505"/>
      <c r="AL35" s="1505"/>
      <c r="AM35" s="1505"/>
      <c r="AN35" s="1505"/>
      <c r="AO35" s="1505"/>
      <c r="AP35" s="1505"/>
      <c r="AQ35" s="1505"/>
      <c r="AR35" s="1505"/>
      <c r="AS35" s="1505"/>
      <c r="AT35" s="1505"/>
      <c r="AU35" s="1505"/>
      <c r="AV35" s="1505">
        <v>194.42500000000001</v>
      </c>
      <c r="AW35" s="1505">
        <v>55.182673000000001</v>
      </c>
      <c r="AX35" s="1505">
        <v>75.265000000000001</v>
      </c>
      <c r="AY35" s="1505">
        <v>20.561876999999999</v>
      </c>
      <c r="AZ35" s="1505">
        <v>24.422000000000001</v>
      </c>
      <c r="BA35" s="1505">
        <v>14.248882999999999</v>
      </c>
      <c r="BB35" s="1505"/>
      <c r="BC35" s="1505"/>
      <c r="BD35" s="1505"/>
      <c r="BE35" s="1505"/>
      <c r="BF35" s="1505"/>
      <c r="BG35" s="1505"/>
      <c r="BH35" s="1505"/>
      <c r="BI35" s="1505"/>
      <c r="BJ35" s="1505"/>
      <c r="BK35" s="1505"/>
      <c r="BL35" s="1505"/>
      <c r="BM35" s="1505"/>
    </row>
    <row r="36" spans="1:65" hidden="1">
      <c r="A36" s="409" t="s">
        <v>22</v>
      </c>
      <c r="B36" s="702">
        <v>4384.5479999999998</v>
      </c>
      <c r="C36" s="702"/>
      <c r="D36" s="1499">
        <v>2479.8620000000001</v>
      </c>
      <c r="E36" s="1499">
        <v>1305.96</v>
      </c>
      <c r="F36" s="1499">
        <v>459.85599999999999</v>
      </c>
      <c r="G36" s="1499">
        <v>138.87</v>
      </c>
      <c r="H36" s="1499">
        <v>4389.1499999999996</v>
      </c>
      <c r="I36" s="1499">
        <v>582.36800000000005</v>
      </c>
      <c r="J36" s="1499">
        <v>3907.4340000000002</v>
      </c>
      <c r="K36" s="1499">
        <v>506.94799999999998</v>
      </c>
      <c r="L36" s="1499">
        <v>23.559000000000001</v>
      </c>
      <c r="M36" s="1499">
        <v>22.327725000000001</v>
      </c>
      <c r="N36" s="1499">
        <v>101.86799999999999</v>
      </c>
      <c r="O36" s="1499">
        <v>8.8640000000000008</v>
      </c>
      <c r="P36" s="1499">
        <v>144.268</v>
      </c>
      <c r="Q36" s="1499">
        <v>8.7127920000000003</v>
      </c>
      <c r="R36" s="1499"/>
      <c r="S36" s="1499"/>
      <c r="T36" s="1499"/>
      <c r="U36" s="1499"/>
      <c r="V36" s="1499"/>
      <c r="W36" s="1499"/>
      <c r="X36" s="1499">
        <v>212.02099999999999</v>
      </c>
      <c r="Y36" s="1499">
        <v>35.514823</v>
      </c>
      <c r="Z36" s="1499"/>
      <c r="AA36" s="1499"/>
      <c r="AB36" s="1499"/>
      <c r="AC36" s="1499"/>
      <c r="AD36" s="1505">
        <v>4163.2380000000003</v>
      </c>
      <c r="AE36" s="1505">
        <v>523.53572899999995</v>
      </c>
      <c r="AF36" s="1505">
        <v>3921.8829999999998</v>
      </c>
      <c r="AG36" s="1505">
        <v>493.37799999999999</v>
      </c>
      <c r="AH36" s="1505">
        <v>139.02799999999999</v>
      </c>
      <c r="AI36" s="1505">
        <v>16.911000000000001</v>
      </c>
      <c r="AJ36" s="1505"/>
      <c r="AK36" s="1505"/>
      <c r="AL36" s="1505"/>
      <c r="AM36" s="1505"/>
      <c r="AN36" s="1505"/>
      <c r="AO36" s="1505"/>
      <c r="AP36" s="1505"/>
      <c r="AQ36" s="1505"/>
      <c r="AR36" s="1505"/>
      <c r="AS36" s="1505"/>
      <c r="AT36" s="1505"/>
      <c r="AU36" s="1505"/>
      <c r="AV36" s="1505">
        <v>225.91200000000001</v>
      </c>
      <c r="AW36" s="1505">
        <v>58.832000000000001</v>
      </c>
      <c r="AX36" s="1505">
        <v>87.418999999999997</v>
      </c>
      <c r="AY36" s="1505">
        <v>22.434000000000001</v>
      </c>
      <c r="AZ36" s="1505">
        <v>28.798999999999999</v>
      </c>
      <c r="BA36" s="1505">
        <v>14.128</v>
      </c>
      <c r="BB36" s="1505"/>
      <c r="BC36" s="1505"/>
      <c r="BD36" s="1505"/>
      <c r="BE36" s="1505"/>
      <c r="BF36" s="1505"/>
      <c r="BG36" s="1505"/>
      <c r="BH36" s="1505"/>
      <c r="BI36" s="1505"/>
      <c r="BJ36" s="1505"/>
      <c r="BK36" s="1505"/>
      <c r="BL36" s="1505"/>
      <c r="BM36" s="1505"/>
    </row>
    <row r="37" spans="1:65" hidden="1">
      <c r="A37" s="409" t="s">
        <v>23</v>
      </c>
      <c r="B37" s="702">
        <v>4393.0119999999997</v>
      </c>
      <c r="C37" s="702"/>
      <c r="D37" s="1499">
        <v>2467.415</v>
      </c>
      <c r="E37" s="1499">
        <v>1324.5889999999999</v>
      </c>
      <c r="F37" s="1499">
        <v>458.40499999999997</v>
      </c>
      <c r="G37" s="1499">
        <v>142.60300000000001</v>
      </c>
      <c r="H37" s="1499">
        <v>3829.9560000000001</v>
      </c>
      <c r="I37" s="1499">
        <v>551.66715299999998</v>
      </c>
      <c r="J37" s="1499">
        <v>3391.8649999999998</v>
      </c>
      <c r="K37" s="1499">
        <v>468.52484199999998</v>
      </c>
      <c r="L37" s="1499">
        <v>25.024000000000001</v>
      </c>
      <c r="M37" s="1499">
        <v>22.544018000000001</v>
      </c>
      <c r="N37" s="1499">
        <v>92.793000000000006</v>
      </c>
      <c r="O37" s="1499">
        <v>11.613941000000001</v>
      </c>
      <c r="P37" s="1499">
        <v>124.898</v>
      </c>
      <c r="Q37" s="1499">
        <v>8.8638150000000007</v>
      </c>
      <c r="R37" s="1499"/>
      <c r="S37" s="1499"/>
      <c r="T37" s="1499"/>
      <c r="U37" s="1499"/>
      <c r="V37" s="1499"/>
      <c r="W37" s="1499"/>
      <c r="X37" s="1499">
        <v>195.376</v>
      </c>
      <c r="Y37" s="1499">
        <v>40.120536999999999</v>
      </c>
      <c r="Z37" s="1499"/>
      <c r="AA37" s="1499"/>
      <c r="AB37" s="1499"/>
      <c r="AC37" s="1499"/>
      <c r="AD37" s="1505">
        <v>3615.0569999999998</v>
      </c>
      <c r="AE37" s="1505">
        <v>487.47078399999998</v>
      </c>
      <c r="AF37" s="1505">
        <v>3399.174</v>
      </c>
      <c r="AG37" s="1505">
        <v>455.83594399999998</v>
      </c>
      <c r="AH37" s="1505">
        <v>122.014</v>
      </c>
      <c r="AI37" s="1505">
        <v>17.185701000000002</v>
      </c>
      <c r="AJ37" s="1505"/>
      <c r="AK37" s="1505"/>
      <c r="AL37" s="1505"/>
      <c r="AM37" s="1505"/>
      <c r="AN37" s="1505"/>
      <c r="AO37" s="1505"/>
      <c r="AP37" s="1505"/>
      <c r="AQ37" s="1505"/>
      <c r="AR37" s="1505"/>
      <c r="AS37" s="1505"/>
      <c r="AT37" s="1505"/>
      <c r="AU37" s="1505"/>
      <c r="AV37" s="1505">
        <v>214.899</v>
      </c>
      <c r="AW37" s="1505">
        <v>64.196369000000004</v>
      </c>
      <c r="AX37" s="1505">
        <v>85.483999999999995</v>
      </c>
      <c r="AY37" s="1505">
        <v>24.302838999999999</v>
      </c>
      <c r="AZ37" s="1505">
        <v>27.908000000000001</v>
      </c>
      <c r="BA37" s="1505">
        <v>14.222132</v>
      </c>
      <c r="BB37" s="1505"/>
      <c r="BC37" s="1505"/>
      <c r="BD37" s="1505"/>
      <c r="BE37" s="1505"/>
      <c r="BF37" s="1505"/>
      <c r="BG37" s="1505"/>
      <c r="BH37" s="1505"/>
      <c r="BI37" s="1505"/>
      <c r="BJ37" s="1505"/>
      <c r="BK37" s="1505"/>
      <c r="BL37" s="1505"/>
      <c r="BM37" s="1505"/>
    </row>
    <row r="38" spans="1:65" hidden="1">
      <c r="A38" s="409" t="s">
        <v>24</v>
      </c>
      <c r="B38" s="702">
        <v>4428.9809999999998</v>
      </c>
      <c r="C38" s="702"/>
      <c r="D38" s="1499">
        <v>2488.2240000000002</v>
      </c>
      <c r="E38" s="1499">
        <v>1319.8610000000001</v>
      </c>
      <c r="F38" s="1499">
        <v>473.149</v>
      </c>
      <c r="G38" s="1499">
        <v>147.74600000000001</v>
      </c>
      <c r="H38" s="1499">
        <v>4323.0749999999998</v>
      </c>
      <c r="I38" s="1499">
        <v>645.25484700000004</v>
      </c>
      <c r="J38" s="1499">
        <v>3884.2350000000001</v>
      </c>
      <c r="K38" s="1499">
        <v>566.73355500000002</v>
      </c>
      <c r="L38" s="1499">
        <v>23.565000000000001</v>
      </c>
      <c r="M38" s="1499">
        <v>23.219964000000001</v>
      </c>
      <c r="N38" s="1499">
        <v>88.543000000000006</v>
      </c>
      <c r="O38" s="1499">
        <v>10.595152000000001</v>
      </c>
      <c r="P38" s="1499">
        <v>121.026</v>
      </c>
      <c r="Q38" s="1499">
        <v>7.9558809999999998</v>
      </c>
      <c r="R38" s="1499"/>
      <c r="S38" s="1499"/>
      <c r="T38" s="1499"/>
      <c r="U38" s="1499"/>
      <c r="V38" s="1499"/>
      <c r="W38" s="1499"/>
      <c r="X38" s="1499">
        <v>205.70599999999999</v>
      </c>
      <c r="Y38" s="1499">
        <v>36.750295000000001</v>
      </c>
      <c r="Z38" s="1499"/>
      <c r="AA38" s="1499"/>
      <c r="AB38" s="1499"/>
      <c r="AC38" s="1499"/>
      <c r="AD38" s="1505">
        <v>4103.5529999999999</v>
      </c>
      <c r="AE38" s="1505">
        <v>584.37103500000001</v>
      </c>
      <c r="AF38" s="1505">
        <v>3888.8809999999999</v>
      </c>
      <c r="AG38" s="1505">
        <v>553.39298099999996</v>
      </c>
      <c r="AH38" s="1505">
        <v>116.533</v>
      </c>
      <c r="AI38" s="1505">
        <v>18.220611000000002</v>
      </c>
      <c r="AJ38" s="1505"/>
      <c r="AK38" s="1505"/>
      <c r="AL38" s="1505"/>
      <c r="AM38" s="1505"/>
      <c r="AN38" s="1505"/>
      <c r="AO38" s="1505"/>
      <c r="AP38" s="1505"/>
      <c r="AQ38" s="1505"/>
      <c r="AR38" s="1505"/>
      <c r="AS38" s="1505"/>
      <c r="AT38" s="1505"/>
      <c r="AU38" s="1505"/>
      <c r="AV38" s="1505">
        <v>219.52199999999999</v>
      </c>
      <c r="AW38" s="1505">
        <v>60.883813000000004</v>
      </c>
      <c r="AX38" s="1505">
        <v>83.897000000000006</v>
      </c>
      <c r="AY38" s="1505">
        <v>23.935725999999999</v>
      </c>
      <c r="AZ38" s="1505">
        <v>28.058</v>
      </c>
      <c r="BA38" s="1505">
        <v>12.955235</v>
      </c>
      <c r="BB38" s="1505"/>
      <c r="BC38" s="1505"/>
      <c r="BD38" s="1505"/>
      <c r="BE38" s="1505"/>
      <c r="BF38" s="1505"/>
      <c r="BG38" s="1505"/>
      <c r="BH38" s="1505"/>
      <c r="BI38" s="1505"/>
      <c r="BJ38" s="1505"/>
      <c r="BK38" s="1505"/>
      <c r="BL38" s="1505"/>
      <c r="BM38" s="1505"/>
    </row>
    <row r="39" spans="1:65" hidden="1">
      <c r="A39" s="409" t="s">
        <v>25</v>
      </c>
      <c r="B39" s="702">
        <v>4448.0190000000002</v>
      </c>
      <c r="C39" s="702"/>
      <c r="D39" s="1499">
        <v>2488.627</v>
      </c>
      <c r="E39" s="1499">
        <v>1318.1210000000001</v>
      </c>
      <c r="F39" s="1499">
        <v>487.238</v>
      </c>
      <c r="G39" s="1499">
        <v>154.03299999999999</v>
      </c>
      <c r="H39" s="1499">
        <v>4764.0420000000004</v>
      </c>
      <c r="I39" s="1499">
        <v>691.81965200000002</v>
      </c>
      <c r="J39" s="1499">
        <v>4304.7139999999999</v>
      </c>
      <c r="K39" s="1499">
        <v>601.89690900000005</v>
      </c>
      <c r="L39" s="1499">
        <v>30.565000000000001</v>
      </c>
      <c r="M39" s="1499">
        <v>25.642455000000002</v>
      </c>
      <c r="N39" s="1499">
        <v>90.87</v>
      </c>
      <c r="O39" s="1499">
        <v>11.329613999999999</v>
      </c>
      <c r="P39" s="1499">
        <v>120.236</v>
      </c>
      <c r="Q39" s="1499">
        <v>8.308662</v>
      </c>
      <c r="R39" s="1499"/>
      <c r="S39" s="1499"/>
      <c r="T39" s="1499"/>
      <c r="U39" s="1499"/>
      <c r="V39" s="1499"/>
      <c r="W39" s="1499"/>
      <c r="X39" s="1499">
        <v>217.65700000000001</v>
      </c>
      <c r="Y39" s="1499">
        <v>44.642009999999999</v>
      </c>
      <c r="Z39" s="1499"/>
      <c r="AA39" s="1499"/>
      <c r="AB39" s="1499"/>
      <c r="AC39" s="1499"/>
      <c r="AD39" s="1505">
        <v>4529.5240000000003</v>
      </c>
      <c r="AE39" s="1505">
        <v>621.28248299999996</v>
      </c>
      <c r="AF39" s="1505">
        <v>4310.38</v>
      </c>
      <c r="AG39" s="1505">
        <v>587.99785599999996</v>
      </c>
      <c r="AH39" s="1505">
        <v>122.607</v>
      </c>
      <c r="AI39" s="1505">
        <v>19.957851999999999</v>
      </c>
      <c r="AJ39" s="1505"/>
      <c r="AK39" s="1505"/>
      <c r="AL39" s="1505"/>
      <c r="AM39" s="1505"/>
      <c r="AN39" s="1505"/>
      <c r="AO39" s="1505"/>
      <c r="AP39" s="1505"/>
      <c r="AQ39" s="1505"/>
      <c r="AR39" s="1505"/>
      <c r="AS39" s="1505"/>
      <c r="AT39" s="1505"/>
      <c r="AU39" s="1505"/>
      <c r="AV39" s="1505">
        <v>234.518</v>
      </c>
      <c r="AW39" s="1505">
        <v>70.537169000000006</v>
      </c>
      <c r="AX39" s="1505">
        <v>85.203999999999994</v>
      </c>
      <c r="AY39" s="1505">
        <v>25.228667000000002</v>
      </c>
      <c r="AZ39" s="1505">
        <v>28.193999999999999</v>
      </c>
      <c r="BA39" s="1505">
        <v>14</v>
      </c>
      <c r="BB39" s="1505"/>
      <c r="BC39" s="1505"/>
      <c r="BD39" s="1505"/>
      <c r="BE39" s="1505"/>
      <c r="BF39" s="1505"/>
      <c r="BG39" s="1505"/>
      <c r="BH39" s="1505"/>
      <c r="BI39" s="1505"/>
      <c r="BJ39" s="1505"/>
      <c r="BK39" s="1505"/>
      <c r="BL39" s="1505"/>
      <c r="BM39" s="1505"/>
    </row>
    <row r="40" spans="1:65" hidden="1">
      <c r="A40" s="409" t="s">
        <v>26</v>
      </c>
      <c r="B40" s="702">
        <v>4459</v>
      </c>
      <c r="C40" s="702"/>
      <c r="D40" s="1499">
        <v>2481.6660000000002</v>
      </c>
      <c r="E40" s="1499">
        <v>1315.912</v>
      </c>
      <c r="F40" s="1499">
        <v>505.54399999999998</v>
      </c>
      <c r="G40" s="1499">
        <v>156.358</v>
      </c>
      <c r="H40" s="1499">
        <v>4350.4009999999998</v>
      </c>
      <c r="I40" s="1499">
        <v>626.45797700000003</v>
      </c>
      <c r="J40" s="1499">
        <v>3841.1219999999998</v>
      </c>
      <c r="K40" s="1499">
        <v>532.28027699999996</v>
      </c>
      <c r="L40" s="1499">
        <v>25.414999999999999</v>
      </c>
      <c r="M40" s="1499">
        <v>25.027923000000001</v>
      </c>
      <c r="N40" s="1499">
        <v>97.18</v>
      </c>
      <c r="O40" s="1499">
        <v>11.196202</v>
      </c>
      <c r="P40" s="1499">
        <v>146.667</v>
      </c>
      <c r="Q40" s="1499">
        <v>11.428144</v>
      </c>
      <c r="R40" s="1499"/>
      <c r="S40" s="1499"/>
      <c r="T40" s="1499"/>
      <c r="U40" s="1499"/>
      <c r="V40" s="1499"/>
      <c r="W40" s="1499"/>
      <c r="X40" s="1499">
        <v>240.017</v>
      </c>
      <c r="Y40" s="1499">
        <v>46.525430999999998</v>
      </c>
      <c r="Z40" s="1499"/>
      <c r="AA40" s="1499"/>
      <c r="AB40" s="1499"/>
      <c r="AC40" s="1499"/>
      <c r="AD40" s="1505">
        <v>4083.2379999999998</v>
      </c>
      <c r="AE40" s="1505">
        <v>548.66510400000004</v>
      </c>
      <c r="AF40" s="1505">
        <v>3840.4690000000001</v>
      </c>
      <c r="AG40" s="1505">
        <v>515.57756199999994</v>
      </c>
      <c r="AH40" s="1505">
        <v>137.75700000000001</v>
      </c>
      <c r="AI40" s="1505">
        <v>19.474556</v>
      </c>
      <c r="AJ40" s="1505"/>
      <c r="AK40" s="1505"/>
      <c r="AL40" s="1505"/>
      <c r="AM40" s="1505"/>
      <c r="AN40" s="1505"/>
      <c r="AO40" s="1505"/>
      <c r="AP40" s="1505"/>
      <c r="AQ40" s="1505"/>
      <c r="AR40" s="1505"/>
      <c r="AS40" s="1505"/>
      <c r="AT40" s="1505"/>
      <c r="AU40" s="1505"/>
      <c r="AV40" s="1505">
        <v>267.16300000000001</v>
      </c>
      <c r="AW40" s="1505">
        <v>77.792873999999998</v>
      </c>
      <c r="AX40" s="1505">
        <v>97.832999999999998</v>
      </c>
      <c r="AY40" s="1505">
        <v>27.898917000000001</v>
      </c>
      <c r="AZ40" s="1505">
        <v>34.325000000000003</v>
      </c>
      <c r="BA40" s="1505">
        <v>16.981511999999999</v>
      </c>
      <c r="BB40" s="1505"/>
      <c r="BC40" s="1505"/>
      <c r="BD40" s="1505"/>
      <c r="BE40" s="1505"/>
      <c r="BF40" s="1505"/>
      <c r="BG40" s="1505"/>
      <c r="BH40" s="1505"/>
      <c r="BI40" s="1505"/>
      <c r="BJ40" s="1505"/>
      <c r="BK40" s="1505"/>
      <c r="BL40" s="1505"/>
      <c r="BM40" s="1505"/>
    </row>
    <row r="41" spans="1:65" hidden="1">
      <c r="A41" s="409" t="s">
        <v>27</v>
      </c>
      <c r="B41" s="702">
        <v>4471</v>
      </c>
      <c r="C41" s="702"/>
      <c r="D41" s="1499">
        <v>2449</v>
      </c>
      <c r="E41" s="1499">
        <v>1305</v>
      </c>
      <c r="F41" s="1499">
        <v>553</v>
      </c>
      <c r="G41" s="1499">
        <v>164</v>
      </c>
      <c r="H41" s="1499">
        <v>4063</v>
      </c>
      <c r="I41" s="1499">
        <v>585</v>
      </c>
      <c r="J41" s="1499">
        <v>3547</v>
      </c>
      <c r="K41" s="1499">
        <v>503</v>
      </c>
      <c r="L41" s="1499">
        <v>24</v>
      </c>
      <c r="M41" s="1499">
        <v>21</v>
      </c>
      <c r="N41" s="1499">
        <v>97</v>
      </c>
      <c r="O41" s="1499">
        <v>13</v>
      </c>
      <c r="P41" s="1499">
        <v>147</v>
      </c>
      <c r="Q41" s="1499">
        <v>11</v>
      </c>
      <c r="R41" s="1499"/>
      <c r="S41" s="1499"/>
      <c r="T41" s="1499"/>
      <c r="U41" s="1499"/>
      <c r="V41" s="1499"/>
      <c r="W41" s="1499"/>
      <c r="X41" s="1499">
        <v>249</v>
      </c>
      <c r="Y41" s="1499">
        <v>38</v>
      </c>
      <c r="Z41" s="1499"/>
      <c r="AA41" s="1499"/>
      <c r="AB41" s="1499"/>
      <c r="AC41" s="1499"/>
      <c r="AD41" s="1505">
        <v>3806</v>
      </c>
      <c r="AE41" s="1505">
        <v>518</v>
      </c>
      <c r="AF41" s="1505">
        <v>3549</v>
      </c>
      <c r="AG41" s="1505">
        <v>488</v>
      </c>
      <c r="AH41" s="1505">
        <v>137</v>
      </c>
      <c r="AI41" s="1505">
        <v>17</v>
      </c>
      <c r="AJ41" s="1505"/>
      <c r="AK41" s="1505"/>
      <c r="AL41" s="1505"/>
      <c r="AM41" s="1505"/>
      <c r="AN41" s="1505"/>
      <c r="AO41" s="1505"/>
      <c r="AP41" s="1505"/>
      <c r="AQ41" s="1505"/>
      <c r="AR41" s="1505"/>
      <c r="AS41" s="1505"/>
      <c r="AT41" s="1505"/>
      <c r="AU41" s="1505"/>
      <c r="AV41" s="1505">
        <v>257</v>
      </c>
      <c r="AW41" s="1505">
        <v>67</v>
      </c>
      <c r="AX41" s="1505">
        <v>94</v>
      </c>
      <c r="AY41" s="1505">
        <v>28</v>
      </c>
      <c r="AZ41" s="1505">
        <v>34</v>
      </c>
      <c r="BA41" s="1505">
        <v>15</v>
      </c>
      <c r="BB41" s="1505"/>
      <c r="BC41" s="1505"/>
      <c r="BD41" s="1505"/>
      <c r="BE41" s="1505"/>
      <c r="BF41" s="1505"/>
      <c r="BG41" s="1505"/>
      <c r="BH41" s="1505"/>
      <c r="BI41" s="1505"/>
      <c r="BJ41" s="1505"/>
      <c r="BK41" s="1505"/>
      <c r="BL41" s="1505"/>
      <c r="BM41" s="1505"/>
    </row>
    <row r="42" spans="1:65" hidden="1">
      <c r="A42" s="409" t="s">
        <v>28</v>
      </c>
      <c r="B42" s="702">
        <v>4534.9269999999997</v>
      </c>
      <c r="C42" s="702"/>
      <c r="D42" s="1499">
        <v>2534.4430000000002</v>
      </c>
      <c r="E42" s="1499">
        <v>1313.1279999999999</v>
      </c>
      <c r="F42" s="1499">
        <v>521.11</v>
      </c>
      <c r="G42" s="1499">
        <v>166.24600000000001</v>
      </c>
      <c r="H42" s="1499">
        <v>4071.16</v>
      </c>
      <c r="I42" s="1499">
        <v>608.63821099999996</v>
      </c>
      <c r="J42" s="1499">
        <v>3539.9769999999999</v>
      </c>
      <c r="K42" s="1499">
        <v>527.42243800000006</v>
      </c>
      <c r="L42" s="1499">
        <v>27.838000000000001</v>
      </c>
      <c r="M42" s="1499">
        <v>21.732614999999999</v>
      </c>
      <c r="N42" s="1499">
        <v>93.819000000000003</v>
      </c>
      <c r="O42" s="1499">
        <v>12.075663</v>
      </c>
      <c r="P42" s="1499">
        <v>162.209</v>
      </c>
      <c r="Q42" s="1499">
        <v>10.444584000000001</v>
      </c>
      <c r="R42" s="1499"/>
      <c r="S42" s="1499"/>
      <c r="T42" s="1499"/>
      <c r="U42" s="1499"/>
      <c r="V42" s="1499"/>
      <c r="W42" s="1499"/>
      <c r="X42" s="1499">
        <v>247.31700000000001</v>
      </c>
      <c r="Y42" s="1499">
        <v>36.942912</v>
      </c>
      <c r="Z42" s="1499"/>
      <c r="AA42" s="1499"/>
      <c r="AB42" s="1499"/>
      <c r="AC42" s="1499"/>
      <c r="AD42" s="1505">
        <v>3810.848</v>
      </c>
      <c r="AE42" s="1505">
        <v>542.70891600000004</v>
      </c>
      <c r="AF42" s="1505">
        <v>3540.6210000000001</v>
      </c>
      <c r="AG42" s="1505">
        <v>512.24898499999995</v>
      </c>
      <c r="AH42" s="1505">
        <v>151.999</v>
      </c>
      <c r="AI42" s="1505">
        <v>17.458600000000001</v>
      </c>
      <c r="AJ42" s="1505"/>
      <c r="AK42" s="1505"/>
      <c r="AL42" s="1505"/>
      <c r="AM42" s="1505"/>
      <c r="AN42" s="1505"/>
      <c r="AO42" s="1505"/>
      <c r="AP42" s="1505"/>
      <c r="AQ42" s="1505"/>
      <c r="AR42" s="1505"/>
      <c r="AS42" s="1505"/>
      <c r="AT42" s="1505"/>
      <c r="AU42" s="1505"/>
      <c r="AV42" s="1505">
        <v>260.31200000000001</v>
      </c>
      <c r="AW42" s="1505">
        <v>65.929294999999996</v>
      </c>
      <c r="AX42" s="1505">
        <v>93.174999999999997</v>
      </c>
      <c r="AY42" s="1505">
        <v>27.269116</v>
      </c>
      <c r="AZ42" s="1505">
        <v>38.048000000000002</v>
      </c>
      <c r="BA42" s="1505">
        <v>14.718598</v>
      </c>
      <c r="BB42" s="1505"/>
      <c r="BC42" s="1505"/>
      <c r="BD42" s="1505"/>
      <c r="BE42" s="1505"/>
      <c r="BF42" s="1505"/>
      <c r="BG42" s="1505"/>
      <c r="BH42" s="1505"/>
      <c r="BI42" s="1505"/>
      <c r="BJ42" s="1505"/>
      <c r="BK42" s="1505"/>
      <c r="BL42" s="1505"/>
      <c r="BM42" s="1505"/>
    </row>
    <row r="43" spans="1:65" hidden="1">
      <c r="A43" s="409" t="s">
        <v>29</v>
      </c>
      <c r="B43" s="702">
        <v>4580.2439999999988</v>
      </c>
      <c r="C43" s="702"/>
      <c r="D43" s="1499">
        <v>2522.4079999999999</v>
      </c>
      <c r="E43" s="1499">
        <v>1330.162</v>
      </c>
      <c r="F43" s="1499">
        <v>546.93499999999995</v>
      </c>
      <c r="G43" s="1499">
        <v>180.739</v>
      </c>
      <c r="H43" s="1499">
        <v>5067.826</v>
      </c>
      <c r="I43" s="1499">
        <v>771.07725200000004</v>
      </c>
      <c r="J43" s="1499">
        <v>4477.6729999999998</v>
      </c>
      <c r="K43" s="1499">
        <v>676.49016400000005</v>
      </c>
      <c r="L43" s="1499">
        <v>35.429000000000002</v>
      </c>
      <c r="M43" s="1499">
        <v>28.780166000000001</v>
      </c>
      <c r="N43" s="1499">
        <v>94.376000000000005</v>
      </c>
      <c r="O43" s="1499">
        <v>13.277846</v>
      </c>
      <c r="P43" s="1499">
        <v>185.334</v>
      </c>
      <c r="Q43" s="1499">
        <v>12.832815</v>
      </c>
      <c r="R43" s="1499"/>
      <c r="S43" s="1499"/>
      <c r="T43" s="1499"/>
      <c r="U43" s="1499"/>
      <c r="V43" s="1499"/>
      <c r="W43" s="1499"/>
      <c r="X43" s="1499">
        <v>275.01400000000001</v>
      </c>
      <c r="Y43" s="1499">
        <v>39.696258999999998</v>
      </c>
      <c r="Z43" s="1499"/>
      <c r="AA43" s="1499"/>
      <c r="AB43" s="1499"/>
      <c r="AC43" s="1499"/>
      <c r="AD43" s="1505">
        <v>4790.5630000000001</v>
      </c>
      <c r="AE43" s="1505">
        <v>697.27673100000004</v>
      </c>
      <c r="AF43" s="1505">
        <v>4474.9089999999997</v>
      </c>
      <c r="AG43" s="1505">
        <v>660.11711200000002</v>
      </c>
      <c r="AH43" s="1505">
        <v>175.935</v>
      </c>
      <c r="AI43" s="1505">
        <v>23.271070000000002</v>
      </c>
      <c r="AJ43" s="1505"/>
      <c r="AK43" s="1505"/>
      <c r="AL43" s="1505"/>
      <c r="AM43" s="1505"/>
      <c r="AN43" s="1505"/>
      <c r="AO43" s="1505"/>
      <c r="AP43" s="1505"/>
      <c r="AQ43" s="1505"/>
      <c r="AR43" s="1505"/>
      <c r="AS43" s="1505"/>
      <c r="AT43" s="1505"/>
      <c r="AU43" s="1505"/>
      <c r="AV43" s="1505">
        <v>277.26299999999998</v>
      </c>
      <c r="AW43" s="1505">
        <v>73.800521000000003</v>
      </c>
      <c r="AX43" s="1505">
        <v>97.14</v>
      </c>
      <c r="AY43" s="1505">
        <v>29.650898000000002</v>
      </c>
      <c r="AZ43" s="1505">
        <v>44.828000000000003</v>
      </c>
      <c r="BA43" s="1505">
        <v>18.341911</v>
      </c>
      <c r="BB43" s="1505"/>
      <c r="BC43" s="1505"/>
      <c r="BD43" s="1505"/>
      <c r="BE43" s="1505"/>
      <c r="BF43" s="1505"/>
      <c r="BG43" s="1505"/>
      <c r="BH43" s="1505"/>
      <c r="BI43" s="1505"/>
      <c r="BJ43" s="1505"/>
      <c r="BK43" s="1505"/>
      <c r="BL43" s="1505"/>
      <c r="BM43" s="1505"/>
    </row>
    <row r="44" spans="1:65">
      <c r="A44" s="1510">
        <v>2012</v>
      </c>
      <c r="B44" s="702">
        <v>5008.107</v>
      </c>
      <c r="C44" s="702"/>
      <c r="D44" s="1505">
        <v>2560.1529999999998</v>
      </c>
      <c r="E44" s="1505">
        <v>1360.665</v>
      </c>
      <c r="F44" s="1505">
        <v>679.346</v>
      </c>
      <c r="G44" s="1499">
        <v>407.94299999999998</v>
      </c>
      <c r="H44" s="702">
        <f t="shared" ref="H44:Q44" si="6">SUM(H45:H56)</f>
        <v>57169.155000000006</v>
      </c>
      <c r="I44" s="702">
        <f t="shared" si="6"/>
        <v>8826.7582270000003</v>
      </c>
      <c r="J44" s="702">
        <f t="shared" si="6"/>
        <v>48118.047999999995</v>
      </c>
      <c r="K44" s="702">
        <f t="shared" si="6"/>
        <v>7457.2838199999997</v>
      </c>
      <c r="L44" s="702">
        <f t="shared" si="6"/>
        <v>348.64699999999999</v>
      </c>
      <c r="M44" s="702">
        <f t="shared" si="6"/>
        <v>421.470707</v>
      </c>
      <c r="N44" s="702">
        <f t="shared" si="6"/>
        <v>679.76199999999994</v>
      </c>
      <c r="O44" s="702">
        <f t="shared" si="6"/>
        <v>172.56598429999997</v>
      </c>
      <c r="P44" s="702">
        <f t="shared" si="6"/>
        <v>4323.5349999999999</v>
      </c>
      <c r="Q44" s="702">
        <f t="shared" si="6"/>
        <v>177.06827799999999</v>
      </c>
      <c r="R44" s="702"/>
      <c r="S44" s="702"/>
      <c r="T44" s="702"/>
      <c r="U44" s="702"/>
      <c r="V44" s="702"/>
      <c r="W44" s="702"/>
      <c r="X44" s="702">
        <f>SUM(X45:X56)</f>
        <v>3700.027</v>
      </c>
      <c r="Y44" s="702">
        <f>SUM(Y45:Y56)</f>
        <v>597.81121200000007</v>
      </c>
      <c r="Z44" s="702"/>
      <c r="AA44" s="702"/>
      <c r="AB44" s="702"/>
      <c r="AC44" s="702"/>
      <c r="AD44" s="702">
        <f t="shared" ref="AD44:AI44" si="7">SUM(AD45:AD56)</f>
        <v>52976.212999999996</v>
      </c>
      <c r="AE44" s="702">
        <f t="shared" si="7"/>
        <v>7759.549930000001</v>
      </c>
      <c r="AF44" s="702">
        <f t="shared" si="7"/>
        <v>47347.949000000001</v>
      </c>
      <c r="AG44" s="702">
        <f t="shared" si="7"/>
        <v>7209.892992</v>
      </c>
      <c r="AH44" s="702">
        <f t="shared" si="7"/>
        <v>3794.3559999999998</v>
      </c>
      <c r="AI44" s="702">
        <f t="shared" si="7"/>
        <v>375.39755600000001</v>
      </c>
      <c r="AJ44" s="702"/>
      <c r="AK44" s="702"/>
      <c r="AL44" s="702"/>
      <c r="AM44" s="702"/>
      <c r="AN44" s="702"/>
      <c r="AO44" s="702"/>
      <c r="AP44" s="702"/>
      <c r="AQ44" s="702"/>
      <c r="AR44" s="702"/>
      <c r="AS44" s="702"/>
      <c r="AT44" s="702"/>
      <c r="AU44" s="702"/>
      <c r="AV44" s="702">
        <f t="shared" ref="AV44:BA44" si="8">SUM(AV45:AV56)</f>
        <v>4192.7960000000003</v>
      </c>
      <c r="AW44" s="702">
        <f t="shared" si="8"/>
        <v>1067.208286</v>
      </c>
      <c r="AX44" s="702">
        <f t="shared" si="8"/>
        <v>1449.8610000000001</v>
      </c>
      <c r="AY44" s="702">
        <f t="shared" si="8"/>
        <v>420.54502000000002</v>
      </c>
      <c r="AZ44" s="702">
        <f t="shared" si="8"/>
        <v>877.81600000000003</v>
      </c>
      <c r="BA44" s="702">
        <f t="shared" si="8"/>
        <v>223.14142999999999</v>
      </c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</row>
    <row r="45" spans="1:65" hidden="1">
      <c r="A45" s="409" t="s">
        <v>18</v>
      </c>
      <c r="B45" s="702">
        <v>4621.4960000000001</v>
      </c>
      <c r="C45" s="702"/>
      <c r="D45" s="1505">
        <v>2534.0239999999999</v>
      </c>
      <c r="E45" s="1505">
        <v>1345.943</v>
      </c>
      <c r="F45" s="1505">
        <v>557.10599999999999</v>
      </c>
      <c r="G45" s="1499">
        <v>184.423</v>
      </c>
      <c r="H45" s="1505">
        <v>3541.4879999999998</v>
      </c>
      <c r="I45" s="1505">
        <v>531.18804499999999</v>
      </c>
      <c r="J45" s="702">
        <v>2960.9479999999999</v>
      </c>
      <c r="K45" s="1499">
        <v>437.67669000000001</v>
      </c>
      <c r="L45" s="702">
        <v>24.54</v>
      </c>
      <c r="M45" s="702">
        <v>19.885237</v>
      </c>
      <c r="N45" s="702">
        <v>65.472999999999999</v>
      </c>
      <c r="O45" s="702">
        <v>11.105435999999999</v>
      </c>
      <c r="P45" s="702">
        <v>205.49799999999999</v>
      </c>
      <c r="Q45" s="1505">
        <v>11.618316999999999</v>
      </c>
      <c r="R45" s="1505"/>
      <c r="S45" s="1505"/>
      <c r="T45" s="1505"/>
      <c r="U45" s="1505"/>
      <c r="V45" s="1505"/>
      <c r="W45" s="1505"/>
      <c r="X45" s="1499">
        <v>285.029</v>
      </c>
      <c r="Y45" s="1499">
        <v>50.902365000000003</v>
      </c>
      <c r="Z45" s="1499"/>
      <c r="AA45" s="1499"/>
      <c r="AB45" s="1499"/>
      <c r="AC45" s="1499"/>
      <c r="AD45" s="702">
        <v>3269.3029999999999</v>
      </c>
      <c r="AE45" s="702">
        <v>454.71205400000002</v>
      </c>
      <c r="AF45" s="702">
        <v>2940.6</v>
      </c>
      <c r="AG45" s="702">
        <v>422.88017300000001</v>
      </c>
      <c r="AH45" s="702">
        <v>185.37</v>
      </c>
      <c r="AI45" s="702">
        <v>15.904249</v>
      </c>
      <c r="AJ45" s="702"/>
      <c r="AK45" s="702"/>
      <c r="AL45" s="702"/>
      <c r="AM45" s="702"/>
      <c r="AN45" s="702"/>
      <c r="AO45" s="702"/>
      <c r="AP45" s="702"/>
      <c r="AQ45" s="702"/>
      <c r="AR45" s="702"/>
      <c r="AS45" s="702"/>
      <c r="AT45" s="702"/>
      <c r="AU45" s="702"/>
      <c r="AV45" s="702">
        <v>272.185</v>
      </c>
      <c r="AW45" s="702">
        <v>76.475990999999993</v>
      </c>
      <c r="AX45" s="702">
        <v>85.820999999999998</v>
      </c>
      <c r="AY45" s="702">
        <v>25.901952999999999</v>
      </c>
      <c r="AZ45" s="702">
        <v>44.667999999999999</v>
      </c>
      <c r="BA45" s="702">
        <v>15.599304999999999</v>
      </c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</row>
    <row r="46" spans="1:65" hidden="1">
      <c r="A46" s="409" t="s">
        <v>19</v>
      </c>
      <c r="B46" s="702">
        <v>4626.6279999999997</v>
      </c>
      <c r="C46" s="702"/>
      <c r="D46" s="1505">
        <v>2515.5720000000001</v>
      </c>
      <c r="E46" s="1505">
        <v>1351.2570000000001</v>
      </c>
      <c r="F46" s="1505">
        <v>567.11199999999997</v>
      </c>
      <c r="G46" s="1499">
        <v>192.68700000000001</v>
      </c>
      <c r="H46" s="1505">
        <v>4597.6530000000002</v>
      </c>
      <c r="I46" s="1505">
        <v>693.72887000000003</v>
      </c>
      <c r="J46" s="702">
        <v>4021.2220000000002</v>
      </c>
      <c r="K46" s="1499">
        <v>604.01845600000001</v>
      </c>
      <c r="L46" s="702">
        <v>29.651</v>
      </c>
      <c r="M46" s="702">
        <v>24.714974999999999</v>
      </c>
      <c r="N46" s="702">
        <v>53.344000000000001</v>
      </c>
      <c r="O46" s="702">
        <v>11.712740999999999</v>
      </c>
      <c r="P46" s="702">
        <v>244.22399999999999</v>
      </c>
      <c r="Q46" s="1505">
        <v>10.773033</v>
      </c>
      <c r="R46" s="1505"/>
      <c r="S46" s="1505"/>
      <c r="T46" s="1505"/>
      <c r="U46" s="1505"/>
      <c r="V46" s="1505"/>
      <c r="W46" s="1505"/>
      <c r="X46" s="1499">
        <v>249.21199999999999</v>
      </c>
      <c r="Y46" s="1499">
        <v>42.509666000000003</v>
      </c>
      <c r="Z46" s="1499"/>
      <c r="AA46" s="1499"/>
      <c r="AB46" s="1499"/>
      <c r="AC46" s="1499"/>
      <c r="AD46" s="702">
        <v>4341.6419999999998</v>
      </c>
      <c r="AE46" s="702">
        <v>624.55278399999997</v>
      </c>
      <c r="AF46" s="702">
        <v>3990.24</v>
      </c>
      <c r="AG46" s="702">
        <v>589.63792599999999</v>
      </c>
      <c r="AH46" s="702">
        <v>227.80600000000001</v>
      </c>
      <c r="AI46" s="702">
        <v>19.678934000000002</v>
      </c>
      <c r="AJ46" s="702"/>
      <c r="AK46" s="702"/>
      <c r="AL46" s="702"/>
      <c r="AM46" s="702"/>
      <c r="AN46" s="702"/>
      <c r="AO46" s="702"/>
      <c r="AP46" s="702"/>
      <c r="AQ46" s="702"/>
      <c r="AR46" s="702"/>
      <c r="AS46" s="702"/>
      <c r="AT46" s="702"/>
      <c r="AU46" s="702"/>
      <c r="AV46" s="702">
        <v>256.01100000000002</v>
      </c>
      <c r="AW46" s="702">
        <v>69.176085999999998</v>
      </c>
      <c r="AX46" s="702">
        <v>84.325999999999993</v>
      </c>
      <c r="AY46" s="702">
        <v>26.09327</v>
      </c>
      <c r="AZ46" s="702">
        <v>46.069000000000003</v>
      </c>
      <c r="BA46" s="702">
        <v>15.809074000000001</v>
      </c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</row>
    <row r="47" spans="1:65" hidden="1">
      <c r="A47" s="409" t="s">
        <v>20</v>
      </c>
      <c r="B47" s="702">
        <v>4659.9939999999997</v>
      </c>
      <c r="C47" s="702"/>
      <c r="D47" s="1505">
        <v>2518.846</v>
      </c>
      <c r="E47" s="1505">
        <v>1356.348</v>
      </c>
      <c r="F47" s="1505">
        <v>582.37699999999995</v>
      </c>
      <c r="G47" s="1499">
        <v>202.441</v>
      </c>
      <c r="H47" s="1505">
        <v>5273.5640000000003</v>
      </c>
      <c r="I47" s="1505">
        <v>784.077901</v>
      </c>
      <c r="J47" s="702">
        <v>4565.1880000000001</v>
      </c>
      <c r="K47" s="1499">
        <v>680.83150599999999</v>
      </c>
      <c r="L47" s="702">
        <v>28.931000000000001</v>
      </c>
      <c r="M47" s="702">
        <v>27.501636000000001</v>
      </c>
      <c r="N47" s="702">
        <v>58.459000000000003</v>
      </c>
      <c r="O47" s="702">
        <v>13.028211000000001</v>
      </c>
      <c r="P47" s="702">
        <v>298.54599999999999</v>
      </c>
      <c r="Q47" s="1505">
        <v>13.789465</v>
      </c>
      <c r="R47" s="1505"/>
      <c r="S47" s="1505"/>
      <c r="T47" s="1505"/>
      <c r="U47" s="1505"/>
      <c r="V47" s="1505"/>
      <c r="W47" s="1505"/>
      <c r="X47" s="1499">
        <v>322.44</v>
      </c>
      <c r="Y47" s="1499">
        <v>48.927083000000003</v>
      </c>
      <c r="Z47" s="1499"/>
      <c r="AA47" s="1499"/>
      <c r="AB47" s="1499"/>
      <c r="AC47" s="1499"/>
      <c r="AD47" s="702">
        <v>4959.6689999999999</v>
      </c>
      <c r="AE47" s="702">
        <v>703.27717500000006</v>
      </c>
      <c r="AF47" s="702">
        <v>4523.4669999999996</v>
      </c>
      <c r="AG47" s="702">
        <v>663.46863099999996</v>
      </c>
      <c r="AH47" s="702">
        <v>270.76799999999997</v>
      </c>
      <c r="AI47" s="702">
        <v>22.226908000000002</v>
      </c>
      <c r="AJ47" s="702"/>
      <c r="AK47" s="702"/>
      <c r="AL47" s="702"/>
      <c r="AM47" s="702"/>
      <c r="AN47" s="702"/>
      <c r="AO47" s="702"/>
      <c r="AP47" s="702"/>
      <c r="AQ47" s="702"/>
      <c r="AR47" s="702"/>
      <c r="AS47" s="702"/>
      <c r="AT47" s="702"/>
      <c r="AU47" s="702"/>
      <c r="AV47" s="702">
        <v>313.89499999999998</v>
      </c>
      <c r="AW47" s="702">
        <v>80.800725</v>
      </c>
      <c r="AX47" s="702">
        <v>100.18</v>
      </c>
      <c r="AY47" s="702">
        <v>30.391086000000001</v>
      </c>
      <c r="AZ47" s="702">
        <v>56.709000000000003</v>
      </c>
      <c r="BA47" s="702">
        <v>19.064193</v>
      </c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</row>
    <row r="48" spans="1:65" hidden="1">
      <c r="A48" s="409" t="s">
        <v>21</v>
      </c>
      <c r="B48" s="702">
        <v>4749.8490000000002</v>
      </c>
      <c r="C48" s="702"/>
      <c r="D48" s="1505">
        <v>2584.8359999999998</v>
      </c>
      <c r="E48" s="1505">
        <v>1360</v>
      </c>
      <c r="F48" s="1505">
        <v>590.15599999999995</v>
      </c>
      <c r="G48" s="1499">
        <v>214.76</v>
      </c>
      <c r="H48" s="1505">
        <v>4240.826</v>
      </c>
      <c r="I48" s="1505">
        <v>647.43153600000005</v>
      </c>
      <c r="J48" s="702">
        <v>3549.7979999999998</v>
      </c>
      <c r="K48" s="1499">
        <v>544.69808699999999</v>
      </c>
      <c r="L48" s="702">
        <v>29.515000000000001</v>
      </c>
      <c r="M48" s="702">
        <v>31.253577</v>
      </c>
      <c r="N48" s="702">
        <v>55.625</v>
      </c>
      <c r="O48" s="702">
        <v>13.304930000000001</v>
      </c>
      <c r="P48" s="702">
        <v>320.98099999999999</v>
      </c>
      <c r="Q48" s="1505">
        <v>12.775935</v>
      </c>
      <c r="R48" s="1505"/>
      <c r="S48" s="1505"/>
      <c r="T48" s="1505"/>
      <c r="U48" s="1505"/>
      <c r="V48" s="1505"/>
      <c r="W48" s="1505"/>
      <c r="X48" s="1499">
        <v>284.90699999999998</v>
      </c>
      <c r="Y48" s="1499">
        <v>45.399006</v>
      </c>
      <c r="Z48" s="1499"/>
      <c r="AA48" s="1499"/>
      <c r="AB48" s="1499"/>
      <c r="AC48" s="1499"/>
      <c r="AD48" s="702">
        <v>3944.752</v>
      </c>
      <c r="AE48" s="702">
        <v>567.07636300000001</v>
      </c>
      <c r="AF48" s="702">
        <v>3504.788</v>
      </c>
      <c r="AG48" s="702">
        <v>527.21926199999996</v>
      </c>
      <c r="AH48" s="702">
        <v>293.44299999999998</v>
      </c>
      <c r="AI48" s="702">
        <v>25.687453999999999</v>
      </c>
      <c r="AJ48" s="702"/>
      <c r="AK48" s="702"/>
      <c r="AL48" s="702"/>
      <c r="AM48" s="702"/>
      <c r="AN48" s="702"/>
      <c r="AO48" s="702"/>
      <c r="AP48" s="702"/>
      <c r="AQ48" s="702"/>
      <c r="AR48" s="702"/>
      <c r="AS48" s="702"/>
      <c r="AT48" s="702"/>
      <c r="AU48" s="702"/>
      <c r="AV48" s="702">
        <v>296.07400000000001</v>
      </c>
      <c r="AW48" s="702">
        <v>80.355172999999994</v>
      </c>
      <c r="AX48" s="702">
        <v>100.63500000000001</v>
      </c>
      <c r="AY48" s="702">
        <v>30.783754999999999</v>
      </c>
      <c r="AZ48" s="702">
        <v>57.052999999999997</v>
      </c>
      <c r="BA48" s="702">
        <v>18.342058000000002</v>
      </c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</row>
    <row r="49" spans="1:65" hidden="1">
      <c r="A49" s="409" t="s">
        <v>22</v>
      </c>
      <c r="B49" s="702">
        <v>4807.4709999999995</v>
      </c>
      <c r="C49" s="702"/>
      <c r="D49" s="1505">
        <v>2575.223</v>
      </c>
      <c r="E49" s="1505">
        <v>1385.432</v>
      </c>
      <c r="F49" s="1505">
        <v>616.53099999999995</v>
      </c>
      <c r="G49" s="1499">
        <v>230.285</v>
      </c>
      <c r="H49" s="1505">
        <v>5051.1239999999998</v>
      </c>
      <c r="I49" s="1505">
        <v>740.24115400000005</v>
      </c>
      <c r="J49" s="702">
        <v>4223.9449999999997</v>
      </c>
      <c r="K49" s="1499">
        <v>640.44742399999996</v>
      </c>
      <c r="L49" s="702">
        <v>27.922999999999998</v>
      </c>
      <c r="M49" s="702">
        <v>27.007358</v>
      </c>
      <c r="N49" s="702">
        <v>56.308999999999997</v>
      </c>
      <c r="O49" s="702">
        <v>14.487467000000001</v>
      </c>
      <c r="P49" s="702">
        <v>438.411</v>
      </c>
      <c r="Q49" s="1505">
        <v>14.873061999999999</v>
      </c>
      <c r="R49" s="1505"/>
      <c r="S49" s="1505"/>
      <c r="T49" s="1505"/>
      <c r="U49" s="1505"/>
      <c r="V49" s="1505"/>
      <c r="W49" s="1505"/>
      <c r="X49" s="1499">
        <v>304.536</v>
      </c>
      <c r="Y49" s="1499">
        <v>43.425843999999998</v>
      </c>
      <c r="Z49" s="1499"/>
      <c r="AA49" s="1499"/>
      <c r="AB49" s="1499"/>
      <c r="AC49" s="1499"/>
      <c r="AD49" s="702">
        <v>4716.6509999999998</v>
      </c>
      <c r="AE49" s="702">
        <v>656.66059800000005</v>
      </c>
      <c r="AF49" s="702">
        <v>4162.2659999999996</v>
      </c>
      <c r="AG49" s="702">
        <v>619.59087699999998</v>
      </c>
      <c r="AH49" s="702">
        <v>398.18799999999999</v>
      </c>
      <c r="AI49" s="702">
        <v>22.128466</v>
      </c>
      <c r="AJ49" s="702"/>
      <c r="AK49" s="702"/>
      <c r="AL49" s="702"/>
      <c r="AM49" s="702"/>
      <c r="AN49" s="702"/>
      <c r="AO49" s="702"/>
      <c r="AP49" s="702"/>
      <c r="AQ49" s="702"/>
      <c r="AR49" s="702"/>
      <c r="AS49" s="702"/>
      <c r="AT49" s="702"/>
      <c r="AU49" s="702"/>
      <c r="AV49" s="702">
        <v>334.47300000000001</v>
      </c>
      <c r="AW49" s="702">
        <v>83.580556999999999</v>
      </c>
      <c r="AX49" s="702">
        <v>117.988</v>
      </c>
      <c r="AY49" s="702">
        <v>35.374014000000003</v>
      </c>
      <c r="AZ49" s="702">
        <v>68.146000000000001</v>
      </c>
      <c r="BA49" s="702">
        <v>19.751954000000001</v>
      </c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</row>
    <row r="50" spans="1:65" hidden="1">
      <c r="A50" s="409" t="s">
        <v>23</v>
      </c>
      <c r="B50" s="702">
        <v>4825.6509999999998</v>
      </c>
      <c r="C50" s="702"/>
      <c r="D50" s="1505">
        <v>2537.9789999999998</v>
      </c>
      <c r="E50" s="1505">
        <v>1352.0119999999999</v>
      </c>
      <c r="F50" s="1505">
        <v>688.39700000000005</v>
      </c>
      <c r="G50" s="1499">
        <v>247.26300000000001</v>
      </c>
      <c r="H50" s="1505">
        <v>4405.1189999999997</v>
      </c>
      <c r="I50" s="1505">
        <v>676.27633700000001</v>
      </c>
      <c r="J50" s="702">
        <v>3740.8620000000001</v>
      </c>
      <c r="K50" s="1499">
        <v>579.857709</v>
      </c>
      <c r="L50" s="702">
        <v>24.995000000000001</v>
      </c>
      <c r="M50" s="702">
        <v>24.486464000000002</v>
      </c>
      <c r="N50" s="702">
        <v>51.517000000000003</v>
      </c>
      <c r="O50" s="702">
        <v>13.699736</v>
      </c>
      <c r="P50" s="702">
        <v>314.93400000000003</v>
      </c>
      <c r="Q50" s="1505">
        <v>15.048664</v>
      </c>
      <c r="R50" s="1505"/>
      <c r="S50" s="1505"/>
      <c r="T50" s="1505"/>
      <c r="U50" s="1505"/>
      <c r="V50" s="1505"/>
      <c r="W50" s="1505"/>
      <c r="X50" s="1499">
        <v>273.67500000000001</v>
      </c>
      <c r="Y50" s="1499">
        <v>43.183763999999996</v>
      </c>
      <c r="Z50" s="1499"/>
      <c r="AA50" s="1499"/>
      <c r="AB50" s="1499"/>
      <c r="AC50" s="1499"/>
      <c r="AD50" s="702">
        <v>4101.25</v>
      </c>
      <c r="AE50" s="702">
        <v>594.05816800000002</v>
      </c>
      <c r="AF50" s="702">
        <v>3688.8760000000002</v>
      </c>
      <c r="AG50" s="702">
        <v>562.04636500000004</v>
      </c>
      <c r="AH50" s="702">
        <v>276.16800000000001</v>
      </c>
      <c r="AI50" s="702">
        <v>20.548152000000002</v>
      </c>
      <c r="AJ50" s="702"/>
      <c r="AK50" s="702"/>
      <c r="AL50" s="702"/>
      <c r="AM50" s="702"/>
      <c r="AN50" s="702"/>
      <c r="AO50" s="702"/>
      <c r="AP50" s="702"/>
      <c r="AQ50" s="702"/>
      <c r="AR50" s="702"/>
      <c r="AS50" s="702"/>
      <c r="AT50" s="702"/>
      <c r="AU50" s="702"/>
      <c r="AV50" s="702">
        <v>303.72300000000001</v>
      </c>
      <c r="AW50" s="702">
        <v>82.218159999999997</v>
      </c>
      <c r="AX50" s="702">
        <v>103.503</v>
      </c>
      <c r="AY50" s="702">
        <v>31.511081000000001</v>
      </c>
      <c r="AZ50" s="702">
        <v>63.750999999999998</v>
      </c>
      <c r="BA50" s="702">
        <v>18.986977</v>
      </c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</row>
    <row r="51" spans="1:65" hidden="1">
      <c r="A51" s="409" t="s">
        <v>24</v>
      </c>
      <c r="B51" s="702">
        <v>4807.8869999999997</v>
      </c>
      <c r="C51" s="702"/>
      <c r="D51" s="1505">
        <v>2537.4059999999999</v>
      </c>
      <c r="E51" s="1505">
        <v>1361.731</v>
      </c>
      <c r="F51" s="1505">
        <v>629.89499999999998</v>
      </c>
      <c r="G51" s="1499">
        <v>278.85500000000002</v>
      </c>
      <c r="H51" s="1505">
        <v>5018.5600000000004</v>
      </c>
      <c r="I51" s="1505">
        <v>811.19195999999999</v>
      </c>
      <c r="J51" s="702">
        <v>4291.2219999999998</v>
      </c>
      <c r="K51" s="1499">
        <v>697.97575300000005</v>
      </c>
      <c r="L51" s="702">
        <v>27.584</v>
      </c>
      <c r="M51" s="702">
        <v>38.248265000000004</v>
      </c>
      <c r="N51" s="702">
        <v>53.045000000000002</v>
      </c>
      <c r="O51" s="702">
        <v>16.009340999999999</v>
      </c>
      <c r="P51" s="702">
        <v>343.59399999999999</v>
      </c>
      <c r="Q51" s="1505">
        <v>12.950625</v>
      </c>
      <c r="R51" s="1505"/>
      <c r="S51" s="1505"/>
      <c r="T51" s="1505"/>
      <c r="U51" s="1505"/>
      <c r="V51" s="1505"/>
      <c r="W51" s="1505"/>
      <c r="X51" s="1499">
        <v>303.11500000000001</v>
      </c>
      <c r="Y51" s="1499">
        <v>46.007975999999999</v>
      </c>
      <c r="Z51" s="1499"/>
      <c r="AA51" s="1499"/>
      <c r="AB51" s="1499"/>
      <c r="AC51" s="1499"/>
      <c r="AD51" s="702">
        <v>4663.1109999999999</v>
      </c>
      <c r="AE51" s="702">
        <v>721.83555100000001</v>
      </c>
      <c r="AF51" s="702">
        <v>4217.4480000000003</v>
      </c>
      <c r="AG51" s="702">
        <v>675.15063299999997</v>
      </c>
      <c r="AH51" s="702">
        <v>301.56400000000002</v>
      </c>
      <c r="AI51" s="702">
        <v>34.223683999999999</v>
      </c>
      <c r="AJ51" s="702"/>
      <c r="AK51" s="702"/>
      <c r="AL51" s="702"/>
      <c r="AM51" s="702"/>
      <c r="AN51" s="702"/>
      <c r="AO51" s="702"/>
      <c r="AP51" s="702"/>
      <c r="AQ51" s="702"/>
      <c r="AR51" s="702"/>
      <c r="AS51" s="702"/>
      <c r="AT51" s="702"/>
      <c r="AU51" s="702"/>
      <c r="AV51" s="702">
        <v>355.44900000000001</v>
      </c>
      <c r="AW51" s="702">
        <v>89.356408999999999</v>
      </c>
      <c r="AX51" s="702">
        <v>126.819</v>
      </c>
      <c r="AY51" s="702">
        <v>38.83446</v>
      </c>
      <c r="AZ51" s="702">
        <v>69.614000000000004</v>
      </c>
      <c r="BA51" s="702">
        <v>16.975207000000001</v>
      </c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</row>
    <row r="52" spans="1:65" hidden="1">
      <c r="A52" s="409" t="s">
        <v>25</v>
      </c>
      <c r="B52" s="702">
        <v>4842.277</v>
      </c>
      <c r="C52" s="702"/>
      <c r="D52" s="1505">
        <v>2627.5439999999999</v>
      </c>
      <c r="E52" s="1505">
        <v>1360.1110000000001</v>
      </c>
      <c r="F52" s="1505">
        <v>564.84500000000003</v>
      </c>
      <c r="G52" s="1499">
        <v>289.77699999999999</v>
      </c>
      <c r="H52" s="1505">
        <v>4461.357</v>
      </c>
      <c r="I52" s="1505">
        <v>718.60421899999994</v>
      </c>
      <c r="J52" s="702">
        <v>3694.6840000000002</v>
      </c>
      <c r="K52" s="1499">
        <v>580.02710000000002</v>
      </c>
      <c r="L52" s="702">
        <v>27.373000000000001</v>
      </c>
      <c r="M52" s="702">
        <v>43.265681000000001</v>
      </c>
      <c r="N52" s="702">
        <v>51.197000000000003</v>
      </c>
      <c r="O52" s="702">
        <v>15.094471</v>
      </c>
      <c r="P52" s="702">
        <v>362.70400000000001</v>
      </c>
      <c r="Q52" s="1505">
        <v>14.350149999999999</v>
      </c>
      <c r="R52" s="1505"/>
      <c r="S52" s="1505"/>
      <c r="T52" s="1505"/>
      <c r="U52" s="1505"/>
      <c r="V52" s="1505"/>
      <c r="W52" s="1505"/>
      <c r="X52" s="1499">
        <v>325.399</v>
      </c>
      <c r="Y52" s="1499">
        <v>65.866816999999998</v>
      </c>
      <c r="Z52" s="1499"/>
      <c r="AA52" s="1499"/>
      <c r="AB52" s="1499"/>
      <c r="AC52" s="1499"/>
      <c r="AD52" s="702">
        <v>4085.375</v>
      </c>
      <c r="AE52" s="702">
        <v>613.08758999999998</v>
      </c>
      <c r="AF52" s="702">
        <v>3623.4369999999999</v>
      </c>
      <c r="AG52" s="702">
        <v>558.96905000000004</v>
      </c>
      <c r="AH52" s="702">
        <v>314.38499999999999</v>
      </c>
      <c r="AI52" s="702">
        <v>39.395105999999998</v>
      </c>
      <c r="AJ52" s="702"/>
      <c r="AK52" s="702"/>
      <c r="AL52" s="702"/>
      <c r="AM52" s="702"/>
      <c r="AN52" s="702"/>
      <c r="AO52" s="702"/>
      <c r="AP52" s="702"/>
      <c r="AQ52" s="702"/>
      <c r="AR52" s="702"/>
      <c r="AS52" s="702"/>
      <c r="AT52" s="702"/>
      <c r="AU52" s="702"/>
      <c r="AV52" s="702">
        <v>375.98200000000003</v>
      </c>
      <c r="AW52" s="702">
        <v>105.516628</v>
      </c>
      <c r="AX52" s="702">
        <v>122.444</v>
      </c>
      <c r="AY52" s="702">
        <v>36.152521</v>
      </c>
      <c r="AZ52" s="702">
        <v>75.691999999999993</v>
      </c>
      <c r="BA52" s="702">
        <v>18.220725000000002</v>
      </c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</row>
    <row r="53" spans="1:65" hidden="1">
      <c r="A53" s="409" t="s">
        <v>26</v>
      </c>
      <c r="B53" s="702">
        <v>4920.2030000000004</v>
      </c>
      <c r="C53" s="702"/>
      <c r="D53" s="1505">
        <v>2541.2649999999999</v>
      </c>
      <c r="E53" s="1505">
        <v>1336.89</v>
      </c>
      <c r="F53" s="1505">
        <v>724.38800000000003</v>
      </c>
      <c r="G53" s="1499">
        <v>317.66000000000003</v>
      </c>
      <c r="H53" s="1505">
        <v>4689.97</v>
      </c>
      <c r="I53" s="1505">
        <v>734.43695500000001</v>
      </c>
      <c r="J53" s="702">
        <v>3968.4740000000002</v>
      </c>
      <c r="K53" s="1499">
        <v>603.55264799999998</v>
      </c>
      <c r="L53" s="702">
        <v>32.234000000000002</v>
      </c>
      <c r="M53" s="702">
        <v>45.427461999999998</v>
      </c>
      <c r="N53" s="702">
        <v>50.372999999999998</v>
      </c>
      <c r="O53" s="702">
        <v>15.3953563</v>
      </c>
      <c r="P53" s="702">
        <v>349.47300000000001</v>
      </c>
      <c r="Q53" s="1505">
        <v>14.623037999999999</v>
      </c>
      <c r="R53" s="1505"/>
      <c r="S53" s="1505"/>
      <c r="T53" s="1505"/>
      <c r="U53" s="1505"/>
      <c r="V53" s="1505"/>
      <c r="W53" s="1505"/>
      <c r="X53" s="1499">
        <v>289.416</v>
      </c>
      <c r="Y53" s="1499">
        <v>54.880223999999998</v>
      </c>
      <c r="Z53" s="1499"/>
      <c r="AA53" s="1499"/>
      <c r="AB53" s="1499"/>
      <c r="AC53" s="1499"/>
      <c r="AD53" s="702">
        <v>4330.8010000000004</v>
      </c>
      <c r="AE53" s="702">
        <v>635.51498100000003</v>
      </c>
      <c r="AF53" s="702">
        <v>3886.9050000000002</v>
      </c>
      <c r="AG53" s="702">
        <v>580.99990400000002</v>
      </c>
      <c r="AH53" s="702">
        <v>304.399</v>
      </c>
      <c r="AI53" s="702">
        <v>42.100679999999997</v>
      </c>
      <c r="AJ53" s="702"/>
      <c r="AK53" s="702"/>
      <c r="AL53" s="702"/>
      <c r="AM53" s="702"/>
      <c r="AN53" s="702"/>
      <c r="AO53" s="702"/>
      <c r="AP53" s="702"/>
      <c r="AQ53" s="702"/>
      <c r="AR53" s="702"/>
      <c r="AS53" s="702"/>
      <c r="AT53" s="702"/>
      <c r="AU53" s="702"/>
      <c r="AV53" s="702">
        <v>359.16899999999998</v>
      </c>
      <c r="AW53" s="702">
        <v>98.921974000000006</v>
      </c>
      <c r="AX53" s="702">
        <v>131.94200000000001</v>
      </c>
      <c r="AY53" s="702">
        <v>38.506307999999997</v>
      </c>
      <c r="AZ53" s="702">
        <v>77.308000000000007</v>
      </c>
      <c r="BA53" s="702">
        <v>17.949819000000002</v>
      </c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</row>
    <row r="54" spans="1:65" hidden="1">
      <c r="A54" s="409" t="s">
        <v>27</v>
      </c>
      <c r="B54" s="702">
        <v>4964.7910000000002</v>
      </c>
      <c r="C54" s="702"/>
      <c r="D54" s="1505">
        <v>2536.2310000000002</v>
      </c>
      <c r="E54" s="1505">
        <v>1330.194</v>
      </c>
      <c r="F54" s="1505">
        <v>752.23</v>
      </c>
      <c r="G54" s="1499">
        <v>346.13600000000002</v>
      </c>
      <c r="H54" s="1505">
        <v>5139.3149999999996</v>
      </c>
      <c r="I54" s="1505">
        <v>794.73158599999999</v>
      </c>
      <c r="J54" s="702">
        <v>4258.1549999999997</v>
      </c>
      <c r="K54" s="1499">
        <v>657.14827100000002</v>
      </c>
      <c r="L54" s="702">
        <v>30.638999999999999</v>
      </c>
      <c r="M54" s="702">
        <v>45.571235000000001</v>
      </c>
      <c r="N54" s="702">
        <v>57.244999999999997</v>
      </c>
      <c r="O54" s="702">
        <v>18.210353999999999</v>
      </c>
      <c r="P54" s="702">
        <v>436.017</v>
      </c>
      <c r="Q54" s="1505">
        <v>17.794743</v>
      </c>
      <c r="R54" s="1505"/>
      <c r="S54" s="1505"/>
      <c r="T54" s="1505"/>
      <c r="U54" s="1505"/>
      <c r="V54" s="1505"/>
      <c r="W54" s="1505"/>
      <c r="X54" s="1499">
        <v>357.25900000000001</v>
      </c>
      <c r="Y54" s="1499">
        <v>56.006982999999998</v>
      </c>
      <c r="Z54" s="1499"/>
      <c r="AA54" s="1499"/>
      <c r="AB54" s="1499"/>
      <c r="AC54" s="1499"/>
      <c r="AD54" s="702">
        <v>4703.7560000000003</v>
      </c>
      <c r="AE54" s="702">
        <v>688.89851499999997</v>
      </c>
      <c r="AF54" s="702">
        <v>4158.799</v>
      </c>
      <c r="AG54" s="702">
        <v>631.12466300000006</v>
      </c>
      <c r="AH54" s="702">
        <v>370.25799999999998</v>
      </c>
      <c r="AI54" s="702">
        <v>43.289771000000002</v>
      </c>
      <c r="AJ54" s="702"/>
      <c r="AK54" s="702"/>
      <c r="AL54" s="702"/>
      <c r="AM54" s="702"/>
      <c r="AN54" s="702"/>
      <c r="AO54" s="702"/>
      <c r="AP54" s="702"/>
      <c r="AQ54" s="702"/>
      <c r="AR54" s="702"/>
      <c r="AS54" s="702"/>
      <c r="AT54" s="702"/>
      <c r="AU54" s="702"/>
      <c r="AV54" s="702">
        <v>435.55900000000003</v>
      </c>
      <c r="AW54" s="702">
        <v>105.833071</v>
      </c>
      <c r="AX54" s="702">
        <v>156.601</v>
      </c>
      <c r="AY54" s="702">
        <v>44.233961999999998</v>
      </c>
      <c r="AZ54" s="702">
        <v>96.397999999999996</v>
      </c>
      <c r="BA54" s="702">
        <v>20.076208000000001</v>
      </c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</row>
    <row r="55" spans="1:65" hidden="1">
      <c r="A55" s="409" t="s">
        <v>28</v>
      </c>
      <c r="B55" s="702">
        <v>5071.3789999999999</v>
      </c>
      <c r="C55" s="702"/>
      <c r="D55" s="1505">
        <v>2550.9169999999999</v>
      </c>
      <c r="E55" s="1505">
        <v>1353.4159999999999</v>
      </c>
      <c r="F55" s="1505">
        <v>790.37099999999998</v>
      </c>
      <c r="G55" s="1499">
        <v>376.67500000000001</v>
      </c>
      <c r="H55" s="1505">
        <v>4996.8789999999999</v>
      </c>
      <c r="I55" s="1505">
        <v>768.87706900000001</v>
      </c>
      <c r="J55" s="702">
        <v>4103.74</v>
      </c>
      <c r="K55" s="1499">
        <v>639.66684499999997</v>
      </c>
      <c r="L55" s="702">
        <v>29.411000000000001</v>
      </c>
      <c r="M55" s="702">
        <v>41.556666</v>
      </c>
      <c r="N55" s="702">
        <v>60.856000000000002</v>
      </c>
      <c r="O55" s="702">
        <v>18.336504000000001</v>
      </c>
      <c r="P55" s="702">
        <v>452.62900000000002</v>
      </c>
      <c r="Q55" s="1505">
        <v>17.189774</v>
      </c>
      <c r="R55" s="1505"/>
      <c r="S55" s="1505"/>
      <c r="T55" s="1505"/>
      <c r="U55" s="1505"/>
      <c r="V55" s="1505"/>
      <c r="W55" s="1505"/>
      <c r="X55" s="1499">
        <v>350.24299999999999</v>
      </c>
      <c r="Y55" s="1499">
        <v>52.127279999999999</v>
      </c>
      <c r="Z55" s="1499"/>
      <c r="AA55" s="1499"/>
      <c r="AB55" s="1499"/>
      <c r="AC55" s="1499"/>
      <c r="AD55" s="702">
        <v>4586.3249999999998</v>
      </c>
      <c r="AE55" s="702">
        <v>674.71586300000001</v>
      </c>
      <c r="AF55" s="702">
        <v>4025.808</v>
      </c>
      <c r="AG55" s="702">
        <v>618.10031200000003</v>
      </c>
      <c r="AH55" s="702">
        <v>384.87799999999999</v>
      </c>
      <c r="AI55" s="702">
        <v>39.344493999999997</v>
      </c>
      <c r="AJ55" s="702"/>
      <c r="AK55" s="702"/>
      <c r="AL55" s="702"/>
      <c r="AM55" s="702"/>
      <c r="AN55" s="702"/>
      <c r="AO55" s="702"/>
      <c r="AP55" s="702"/>
      <c r="AQ55" s="702"/>
      <c r="AR55" s="702"/>
      <c r="AS55" s="702"/>
      <c r="AT55" s="702"/>
      <c r="AU55" s="702"/>
      <c r="AV55" s="702">
        <v>410.55399999999997</v>
      </c>
      <c r="AW55" s="702">
        <v>94.161204999999995</v>
      </c>
      <c r="AX55" s="702">
        <v>138.78800000000001</v>
      </c>
      <c r="AY55" s="702">
        <v>39.903038000000002</v>
      </c>
      <c r="AZ55" s="702">
        <v>97.162000000000006</v>
      </c>
      <c r="BA55" s="702">
        <v>19.401945000000001</v>
      </c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</row>
    <row r="56" spans="1:65" hidden="1">
      <c r="A56" s="409" t="s">
        <v>29</v>
      </c>
      <c r="B56" s="702">
        <v>5008.107</v>
      </c>
      <c r="C56" s="702"/>
      <c r="D56" s="1505">
        <v>2560.1529999999998</v>
      </c>
      <c r="E56" s="1505">
        <v>1360.665</v>
      </c>
      <c r="F56" s="1505">
        <v>679.346</v>
      </c>
      <c r="G56" s="1499">
        <v>407.94299999999998</v>
      </c>
      <c r="H56" s="1505">
        <v>5753.3</v>
      </c>
      <c r="I56" s="1505">
        <v>925.97259499999996</v>
      </c>
      <c r="J56" s="702">
        <v>4739.8100000000004</v>
      </c>
      <c r="K56" s="1499">
        <v>791.383331</v>
      </c>
      <c r="L56" s="702">
        <v>35.850999999999999</v>
      </c>
      <c r="M56" s="702">
        <v>52.552151000000002</v>
      </c>
      <c r="N56" s="702">
        <v>66.319000000000003</v>
      </c>
      <c r="O56" s="702">
        <v>12.181437000000001</v>
      </c>
      <c r="P56" s="702">
        <v>556.524</v>
      </c>
      <c r="Q56" s="1505">
        <v>21.281472000000001</v>
      </c>
      <c r="R56" s="1505"/>
      <c r="S56" s="1505"/>
      <c r="T56" s="1505"/>
      <c r="U56" s="1505"/>
      <c r="V56" s="1505"/>
      <c r="W56" s="1505"/>
      <c r="X56" s="1499">
        <v>354.79599999999999</v>
      </c>
      <c r="Y56" s="1499">
        <v>48.574204000000002</v>
      </c>
      <c r="Z56" s="1499"/>
      <c r="AA56" s="1499"/>
      <c r="AB56" s="1499"/>
      <c r="AC56" s="1499"/>
      <c r="AD56" s="702">
        <v>5273.5780000000004</v>
      </c>
      <c r="AE56" s="702">
        <v>825.16028800000004</v>
      </c>
      <c r="AF56" s="702">
        <v>4625.3149999999996</v>
      </c>
      <c r="AG56" s="702">
        <v>760.705196</v>
      </c>
      <c r="AH56" s="702">
        <v>467.12900000000002</v>
      </c>
      <c r="AI56" s="702">
        <v>50.869658000000001</v>
      </c>
      <c r="AJ56" s="702"/>
      <c r="AK56" s="702"/>
      <c r="AL56" s="702"/>
      <c r="AM56" s="702"/>
      <c r="AN56" s="702"/>
      <c r="AO56" s="702"/>
      <c r="AP56" s="702"/>
      <c r="AQ56" s="702"/>
      <c r="AR56" s="702"/>
      <c r="AS56" s="702"/>
      <c r="AT56" s="702"/>
      <c r="AU56" s="702"/>
      <c r="AV56" s="702">
        <v>479.72199999999998</v>
      </c>
      <c r="AW56" s="702">
        <v>100.812307</v>
      </c>
      <c r="AX56" s="702">
        <v>180.81399999999999</v>
      </c>
      <c r="AY56" s="702">
        <v>42.859572</v>
      </c>
      <c r="AZ56" s="702">
        <v>125.246</v>
      </c>
      <c r="BA56" s="702">
        <v>22.963965000000002</v>
      </c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</row>
    <row r="57" spans="1:65">
      <c r="A57" s="1510">
        <v>2013</v>
      </c>
      <c r="B57" s="702">
        <v>5672.6170000000002</v>
      </c>
      <c r="C57" s="702"/>
      <c r="D57" s="1505">
        <v>2504.9650000000001</v>
      </c>
      <c r="E57" s="1505">
        <v>1437.0409999999999</v>
      </c>
      <c r="F57" s="1505">
        <v>788.15499999999997</v>
      </c>
      <c r="G57" s="1499">
        <v>942.45600000000002</v>
      </c>
      <c r="H57" s="702">
        <f t="shared" ref="H57:Q57" si="9">SUM(H58:H69)</f>
        <v>67810.095000000016</v>
      </c>
      <c r="I57" s="702">
        <f t="shared" si="9"/>
        <v>10296.677221999998</v>
      </c>
      <c r="J57" s="702">
        <f t="shared" si="9"/>
        <v>51008.037000000011</v>
      </c>
      <c r="K57" s="702">
        <f t="shared" si="9"/>
        <v>8371.1870689999996</v>
      </c>
      <c r="L57" s="702">
        <f t="shared" si="9"/>
        <v>318.12099999999998</v>
      </c>
      <c r="M57" s="702">
        <f t="shared" si="9"/>
        <v>593.71614299999999</v>
      </c>
      <c r="N57" s="702">
        <f t="shared" si="9"/>
        <v>628.14800000000002</v>
      </c>
      <c r="O57" s="702">
        <f t="shared" si="9"/>
        <v>195.744778</v>
      </c>
      <c r="P57" s="702">
        <f t="shared" si="9"/>
        <v>10879.55</v>
      </c>
      <c r="Q57" s="702">
        <f t="shared" si="9"/>
        <v>382.773528</v>
      </c>
      <c r="R57" s="702"/>
      <c r="S57" s="702"/>
      <c r="T57" s="702"/>
      <c r="U57" s="702"/>
      <c r="V57" s="702"/>
      <c r="W57" s="702"/>
      <c r="X57" s="702">
        <f>SUM(X58:X69)</f>
        <v>4974.16</v>
      </c>
      <c r="Y57" s="702">
        <f>SUM(Y58:Y69)</f>
        <v>752.38747259999991</v>
      </c>
      <c r="Z57" s="702"/>
      <c r="AA57" s="702"/>
      <c r="AB57" s="702"/>
      <c r="AC57" s="702"/>
      <c r="AD57" s="702">
        <f t="shared" ref="AD57:AI57" si="10">SUM(AD58:AD69)</f>
        <v>57325.821000000004</v>
      </c>
      <c r="AE57" s="702">
        <f t="shared" si="10"/>
        <v>8564.8646469999985</v>
      </c>
      <c r="AF57" s="702">
        <f t="shared" si="10"/>
        <v>48342.428</v>
      </c>
      <c r="AG57" s="702">
        <f t="shared" si="10"/>
        <v>7791.6236289999997</v>
      </c>
      <c r="AH57" s="702">
        <f t="shared" si="10"/>
        <v>6329.0809999999992</v>
      </c>
      <c r="AI57" s="702">
        <f t="shared" si="10"/>
        <v>561.500675</v>
      </c>
      <c r="AJ57" s="702"/>
      <c r="AK57" s="702"/>
      <c r="AL57" s="702"/>
      <c r="AM57" s="702"/>
      <c r="AN57" s="702"/>
      <c r="AO57" s="702"/>
      <c r="AP57" s="702"/>
      <c r="AQ57" s="702"/>
      <c r="AR57" s="702"/>
      <c r="AS57" s="702"/>
      <c r="AT57" s="702"/>
      <c r="AU57" s="702"/>
      <c r="AV57" s="702">
        <f t="shared" ref="AV57:BA57" si="11">SUM(AV58:AV69)</f>
        <v>10484.333999999999</v>
      </c>
      <c r="AW57" s="702">
        <f t="shared" si="11"/>
        <v>1731.8849649999997</v>
      </c>
      <c r="AX57" s="702">
        <f t="shared" si="11"/>
        <v>3293.7570000000001</v>
      </c>
      <c r="AY57" s="702">
        <f t="shared" si="11"/>
        <v>776.24705800000004</v>
      </c>
      <c r="AZ57" s="702">
        <f t="shared" si="11"/>
        <v>4870.5400000000009</v>
      </c>
      <c r="BA57" s="702">
        <f t="shared" si="11"/>
        <v>414.98973500000005</v>
      </c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</row>
    <row r="58" spans="1:65" hidden="1">
      <c r="A58" s="409" t="s">
        <v>18</v>
      </c>
      <c r="B58" s="1497">
        <v>5025.7719999999999</v>
      </c>
      <c r="C58" s="1497"/>
      <c r="D58" s="1504">
        <v>2557</v>
      </c>
      <c r="E58" s="1504">
        <v>1348</v>
      </c>
      <c r="F58" s="1504">
        <v>693.5</v>
      </c>
      <c r="G58" s="1492">
        <v>427.27199999999999</v>
      </c>
      <c r="H58" s="1504">
        <v>4264.5129999999999</v>
      </c>
      <c r="I58" s="1504">
        <v>622.71491800000001</v>
      </c>
      <c r="J58" s="1497">
        <v>3251.7150000000001</v>
      </c>
      <c r="K58" s="1492">
        <v>494.86780900000002</v>
      </c>
      <c r="L58" s="1497">
        <v>18.436</v>
      </c>
      <c r="M58" s="1497">
        <v>37.220861999999997</v>
      </c>
      <c r="N58" s="1497">
        <v>52.5</v>
      </c>
      <c r="O58" s="1497">
        <v>13.716703000000001</v>
      </c>
      <c r="P58" s="1497">
        <v>575.42899999999997</v>
      </c>
      <c r="Q58" s="1504">
        <v>21.620916000000001</v>
      </c>
      <c r="R58" s="1504"/>
      <c r="S58" s="1504"/>
      <c r="T58" s="1504"/>
      <c r="U58" s="1504"/>
      <c r="V58" s="1504"/>
      <c r="W58" s="1504"/>
      <c r="X58" s="1492">
        <v>366.43299999999999</v>
      </c>
      <c r="Y58" s="1492">
        <v>55.288692599999997</v>
      </c>
      <c r="Z58" s="1492"/>
      <c r="AA58" s="1492"/>
      <c r="AB58" s="1492"/>
      <c r="AC58" s="1492"/>
      <c r="AD58" s="1497">
        <v>3762.8119999999999</v>
      </c>
      <c r="AE58" s="1497">
        <v>523.06359299999997</v>
      </c>
      <c r="AF58" s="1497">
        <v>3137.35</v>
      </c>
      <c r="AG58" s="1497">
        <v>469.64514100000002</v>
      </c>
      <c r="AH58" s="1497">
        <v>446.69600000000003</v>
      </c>
      <c r="AI58" s="1497">
        <v>38.392682999999998</v>
      </c>
      <c r="AJ58" s="1497"/>
      <c r="AK58" s="1497"/>
      <c r="AL58" s="1497"/>
      <c r="AM58" s="1497"/>
      <c r="AN58" s="1497"/>
      <c r="AO58" s="1497"/>
      <c r="AP58" s="1497"/>
      <c r="AQ58" s="1497"/>
      <c r="AR58" s="1497"/>
      <c r="AS58" s="1497"/>
      <c r="AT58" s="1497"/>
      <c r="AU58" s="1497"/>
      <c r="AV58" s="1497">
        <v>501.70100000000002</v>
      </c>
      <c r="AW58" s="1497">
        <v>99.651325</v>
      </c>
      <c r="AX58" s="1497">
        <v>166.86500000000001</v>
      </c>
      <c r="AY58" s="1497">
        <v>38.939371999999999</v>
      </c>
      <c r="AZ58" s="1497">
        <v>147.16900000000001</v>
      </c>
      <c r="BA58" s="1497">
        <v>20.449095</v>
      </c>
      <c r="BB58" s="1497"/>
      <c r="BC58" s="1497"/>
      <c r="BD58" s="1497"/>
      <c r="BE58" s="1497"/>
      <c r="BF58" s="1497"/>
      <c r="BG58" s="1497"/>
      <c r="BH58" s="1497"/>
      <c r="BI58" s="1497"/>
      <c r="BJ58" s="1497"/>
      <c r="BK58" s="1497"/>
      <c r="BL58" s="1497"/>
      <c r="BM58" s="1497"/>
    </row>
    <row r="59" spans="1:65" hidden="1">
      <c r="A59" s="409" t="s">
        <v>19</v>
      </c>
      <c r="B59" s="1497">
        <v>5205.1660000000002</v>
      </c>
      <c r="C59" s="1497"/>
      <c r="D59" s="1504">
        <v>2563.174</v>
      </c>
      <c r="E59" s="1504">
        <v>1358.9169999999999</v>
      </c>
      <c r="F59" s="1504">
        <v>801.19100000000003</v>
      </c>
      <c r="G59" s="1492">
        <v>481.88400000000001</v>
      </c>
      <c r="H59" s="1504">
        <v>5335.7340000000004</v>
      </c>
      <c r="I59" s="1504">
        <v>819.62766599999998</v>
      </c>
      <c r="J59" s="1497">
        <v>4322.5749999999998</v>
      </c>
      <c r="K59" s="1492">
        <v>687.73810600000002</v>
      </c>
      <c r="L59" s="1497">
        <v>40.558999999999997</v>
      </c>
      <c r="M59" s="1497">
        <v>46.927861</v>
      </c>
      <c r="N59" s="1497">
        <v>60.774000000000001</v>
      </c>
      <c r="O59" s="1497">
        <v>16.678438</v>
      </c>
      <c r="P59" s="1497">
        <v>579.93600000000004</v>
      </c>
      <c r="Q59" s="1504">
        <v>21.887217</v>
      </c>
      <c r="R59" s="1504"/>
      <c r="S59" s="1504"/>
      <c r="T59" s="1504"/>
      <c r="U59" s="1504"/>
      <c r="V59" s="1504"/>
      <c r="W59" s="1504"/>
      <c r="X59" s="1492">
        <v>331.89</v>
      </c>
      <c r="Y59" s="1492">
        <v>46.396042999999999</v>
      </c>
      <c r="Z59" s="1492"/>
      <c r="AA59" s="1492"/>
      <c r="AB59" s="1492"/>
      <c r="AC59" s="1492"/>
      <c r="AD59" s="1497">
        <v>4841.3220000000001</v>
      </c>
      <c r="AE59" s="1497">
        <v>714.82638099999997</v>
      </c>
      <c r="AF59" s="1497">
        <v>4200.9380000000001</v>
      </c>
      <c r="AG59" s="1497">
        <v>656.52498400000002</v>
      </c>
      <c r="AH59" s="1497">
        <v>469.39800000000002</v>
      </c>
      <c r="AI59" s="1497">
        <v>45.714945</v>
      </c>
      <c r="AJ59" s="1497"/>
      <c r="AK59" s="1497"/>
      <c r="AL59" s="1497"/>
      <c r="AM59" s="1497"/>
      <c r="AN59" s="1497"/>
      <c r="AO59" s="1497"/>
      <c r="AP59" s="1497"/>
      <c r="AQ59" s="1497"/>
      <c r="AR59" s="1497"/>
      <c r="AS59" s="1497"/>
      <c r="AT59" s="1497"/>
      <c r="AU59" s="1497"/>
      <c r="AV59" s="1497">
        <v>494.41199999999998</v>
      </c>
      <c r="AW59" s="1497">
        <v>104.80128499999999</v>
      </c>
      <c r="AX59" s="1497">
        <v>182.411</v>
      </c>
      <c r="AY59" s="1497">
        <v>47.891559999999998</v>
      </c>
      <c r="AZ59" s="1497">
        <v>151.09700000000001</v>
      </c>
      <c r="BA59" s="1497">
        <v>23.100131999999999</v>
      </c>
      <c r="BB59" s="1497"/>
      <c r="BC59" s="1497"/>
      <c r="BD59" s="1497"/>
      <c r="BE59" s="1497"/>
      <c r="BF59" s="1497"/>
      <c r="BG59" s="1497"/>
      <c r="BH59" s="1497"/>
      <c r="BI59" s="1497"/>
      <c r="BJ59" s="1497"/>
      <c r="BK59" s="1497"/>
      <c r="BL59" s="1497"/>
      <c r="BM59" s="1497"/>
    </row>
    <row r="60" spans="1:65" hidden="1">
      <c r="A60" s="409" t="s">
        <v>20</v>
      </c>
      <c r="B60" s="1497">
        <v>5174.8670000000002</v>
      </c>
      <c r="C60" s="1497"/>
      <c r="D60" s="1504">
        <v>2556.4430000000002</v>
      </c>
      <c r="E60" s="1504">
        <v>1346.896</v>
      </c>
      <c r="F60" s="1504">
        <v>746.83699999999999</v>
      </c>
      <c r="G60" s="1492">
        <v>524.69100000000003</v>
      </c>
      <c r="H60" s="1504">
        <v>5541.482</v>
      </c>
      <c r="I60" s="1504">
        <v>864.83740299999999</v>
      </c>
      <c r="J60" s="1497">
        <v>4493.7110000000002</v>
      </c>
      <c r="K60" s="1492">
        <v>712.928044</v>
      </c>
      <c r="L60" s="1497">
        <v>39.545999999999999</v>
      </c>
      <c r="M60" s="1497">
        <v>44.671734999999998</v>
      </c>
      <c r="N60" s="1497">
        <v>51.743000000000002</v>
      </c>
      <c r="O60" s="1497">
        <v>13.042884000000001</v>
      </c>
      <c r="P60" s="1497">
        <v>570.63800000000003</v>
      </c>
      <c r="Q60" s="1504">
        <v>24.586275000000001</v>
      </c>
      <c r="R60" s="1504"/>
      <c r="S60" s="1504"/>
      <c r="T60" s="1504"/>
      <c r="U60" s="1504"/>
      <c r="V60" s="1504"/>
      <c r="W60" s="1504"/>
      <c r="X60" s="1492">
        <v>385.84399999999999</v>
      </c>
      <c r="Y60" s="1492">
        <v>69.608463</v>
      </c>
      <c r="Z60" s="1492"/>
      <c r="AA60" s="1492"/>
      <c r="AB60" s="1492"/>
      <c r="AC60" s="1492"/>
      <c r="AD60" s="1497">
        <v>4950.4949999999999</v>
      </c>
      <c r="AE60" s="1497">
        <v>737.54371500000002</v>
      </c>
      <c r="AF60" s="1497">
        <v>4331.6139999999996</v>
      </c>
      <c r="AG60" s="1497">
        <v>674.87821099999996</v>
      </c>
      <c r="AH60" s="1497">
        <v>426.548</v>
      </c>
      <c r="AI60" s="1497">
        <v>43.338313999999997</v>
      </c>
      <c r="AJ60" s="1497"/>
      <c r="AK60" s="1497"/>
      <c r="AL60" s="1497"/>
      <c r="AM60" s="1497"/>
      <c r="AN60" s="1497"/>
      <c r="AO60" s="1497"/>
      <c r="AP60" s="1497"/>
      <c r="AQ60" s="1497"/>
      <c r="AR60" s="1497"/>
      <c r="AS60" s="1497"/>
      <c r="AT60" s="1497"/>
      <c r="AU60" s="1497"/>
      <c r="AV60" s="1497">
        <v>590.98699999999997</v>
      </c>
      <c r="AW60" s="1497">
        <v>127.29368700000001</v>
      </c>
      <c r="AX60" s="1497">
        <v>213.84</v>
      </c>
      <c r="AY60" s="1497">
        <v>51.092717</v>
      </c>
      <c r="AZ60" s="1497">
        <v>183.636</v>
      </c>
      <c r="BA60" s="1497">
        <v>25.919696999999999</v>
      </c>
      <c r="BB60" s="1497"/>
      <c r="BC60" s="1497"/>
      <c r="BD60" s="1497"/>
      <c r="BE60" s="1497"/>
      <c r="BF60" s="1497"/>
      <c r="BG60" s="1497"/>
      <c r="BH60" s="1497"/>
      <c r="BI60" s="1497"/>
      <c r="BJ60" s="1497"/>
      <c r="BK60" s="1497"/>
      <c r="BL60" s="1497"/>
      <c r="BM60" s="1497"/>
    </row>
    <row r="61" spans="1:65" hidden="1">
      <c r="A61" s="409" t="s">
        <v>21</v>
      </c>
      <c r="B61" s="1497">
        <v>5270.2240000000002</v>
      </c>
      <c r="C61" s="1497"/>
      <c r="D61" s="1504">
        <v>2556.9119999999998</v>
      </c>
      <c r="E61" s="1504">
        <v>1381.001</v>
      </c>
      <c r="F61" s="1504">
        <v>680.87800000000004</v>
      </c>
      <c r="G61" s="1492">
        <v>651.43299999999999</v>
      </c>
      <c r="H61" s="1504">
        <v>5230.6180000000004</v>
      </c>
      <c r="I61" s="1504">
        <v>796.30200000000002</v>
      </c>
      <c r="J61" s="1497">
        <v>4020.509</v>
      </c>
      <c r="K61" s="1492">
        <v>638.57005000000004</v>
      </c>
      <c r="L61" s="1497">
        <v>25.602</v>
      </c>
      <c r="M61" s="1497">
        <v>46.122796999999998</v>
      </c>
      <c r="N61" s="1497">
        <v>49.972999999999999</v>
      </c>
      <c r="O61" s="1497">
        <v>13.458605</v>
      </c>
      <c r="P61" s="1497">
        <v>736.05700000000002</v>
      </c>
      <c r="Q61" s="1504">
        <v>27.672536000000001</v>
      </c>
      <c r="R61" s="1504"/>
      <c r="S61" s="1504"/>
      <c r="T61" s="1504"/>
      <c r="U61" s="1504"/>
      <c r="V61" s="1504"/>
      <c r="W61" s="1504"/>
      <c r="X61" s="1492">
        <v>398.47699999999998</v>
      </c>
      <c r="Y61" s="1492">
        <v>70.478123999999994</v>
      </c>
      <c r="Z61" s="1492"/>
      <c r="AA61" s="1492"/>
      <c r="AB61" s="1492"/>
      <c r="AC61" s="1492"/>
      <c r="AD61" s="1497">
        <v>4557.308</v>
      </c>
      <c r="AE61" s="1497">
        <v>654.14490699999999</v>
      </c>
      <c r="AF61" s="1497">
        <v>3845.4540000000002</v>
      </c>
      <c r="AG61" s="1497">
        <v>598.65804000000003</v>
      </c>
      <c r="AH61" s="1497">
        <v>510.51</v>
      </c>
      <c r="AI61" s="1497">
        <v>41.684600000000003</v>
      </c>
      <c r="AJ61" s="1497"/>
      <c r="AK61" s="1497"/>
      <c r="AL61" s="1497"/>
      <c r="AM61" s="1497"/>
      <c r="AN61" s="1497"/>
      <c r="AO61" s="1497"/>
      <c r="AP61" s="1497"/>
      <c r="AQ61" s="1497"/>
      <c r="AR61" s="1497"/>
      <c r="AS61" s="1497"/>
      <c r="AT61" s="1497"/>
      <c r="AU61" s="1497"/>
      <c r="AV61" s="1497">
        <v>673.31</v>
      </c>
      <c r="AW61" s="1497">
        <v>142.15720999999999</v>
      </c>
      <c r="AX61" s="1497">
        <v>225.02799999999999</v>
      </c>
      <c r="AY61" s="1497">
        <v>53.370618999999998</v>
      </c>
      <c r="AZ61" s="1497">
        <v>251.149</v>
      </c>
      <c r="BA61" s="1497">
        <v>32.110733000000003</v>
      </c>
      <c r="BB61" s="1497"/>
      <c r="BC61" s="1497"/>
      <c r="BD61" s="1497"/>
      <c r="BE61" s="1497"/>
      <c r="BF61" s="1497"/>
      <c r="BG61" s="1497"/>
      <c r="BH61" s="1497"/>
      <c r="BI61" s="1497"/>
      <c r="BJ61" s="1497"/>
      <c r="BK61" s="1497"/>
      <c r="BL61" s="1497"/>
      <c r="BM61" s="1497"/>
    </row>
    <row r="62" spans="1:65" hidden="1">
      <c r="A62" s="409" t="s">
        <v>22</v>
      </c>
      <c r="B62" s="1497">
        <v>5240.8339999999998</v>
      </c>
      <c r="C62" s="1497"/>
      <c r="D62" s="1504">
        <v>2555.5770000000002</v>
      </c>
      <c r="E62" s="1504">
        <v>1380.4010000000001</v>
      </c>
      <c r="F62" s="1504">
        <v>711.42499999999995</v>
      </c>
      <c r="G62" s="1492">
        <v>593.43100000000004</v>
      </c>
      <c r="H62" s="1504">
        <v>5689.86</v>
      </c>
      <c r="I62" s="1504">
        <v>848.11787500000003</v>
      </c>
      <c r="J62" s="1497">
        <v>4332.5259999999998</v>
      </c>
      <c r="K62" s="1492">
        <v>691.01401799999996</v>
      </c>
      <c r="L62" s="1497">
        <v>24.344000000000001</v>
      </c>
      <c r="M62" s="1497">
        <v>47.025016999999998</v>
      </c>
      <c r="N62" s="1497">
        <v>52.762999999999998</v>
      </c>
      <c r="O62" s="1497">
        <v>17.706526</v>
      </c>
      <c r="P62" s="1497">
        <v>876.21500000000003</v>
      </c>
      <c r="Q62" s="1504">
        <v>36.211143999999997</v>
      </c>
      <c r="R62" s="1504"/>
      <c r="S62" s="1504"/>
      <c r="T62" s="1504"/>
      <c r="U62" s="1504"/>
      <c r="V62" s="1504"/>
      <c r="W62" s="1504"/>
      <c r="X62" s="1492">
        <v>402.02100000000002</v>
      </c>
      <c r="Y62" s="1492">
        <v>56.161168000000004</v>
      </c>
      <c r="Z62" s="1492"/>
      <c r="AA62" s="1492"/>
      <c r="AB62" s="1492"/>
      <c r="AC62" s="1492"/>
      <c r="AD62" s="1497">
        <v>4851.37</v>
      </c>
      <c r="AE62" s="1497">
        <v>699.36296300000004</v>
      </c>
      <c r="AF62" s="1497">
        <v>4117.8459999999995</v>
      </c>
      <c r="AG62" s="1497">
        <v>643.28921400000002</v>
      </c>
      <c r="AH62" s="1497">
        <v>524.30799999999999</v>
      </c>
      <c r="AI62" s="1497">
        <v>41.150613</v>
      </c>
      <c r="AJ62" s="1497"/>
      <c r="AK62" s="1497"/>
      <c r="AL62" s="1497"/>
      <c r="AM62" s="1497"/>
      <c r="AN62" s="1497"/>
      <c r="AO62" s="1497"/>
      <c r="AP62" s="1497"/>
      <c r="AQ62" s="1497"/>
      <c r="AR62" s="1497"/>
      <c r="AS62" s="1497"/>
      <c r="AT62" s="1497"/>
      <c r="AU62" s="1497"/>
      <c r="AV62" s="1497">
        <v>838.49</v>
      </c>
      <c r="AW62" s="1497">
        <v>148.75491099999999</v>
      </c>
      <c r="AX62" s="1497">
        <v>267.44299999999998</v>
      </c>
      <c r="AY62" s="1497">
        <v>65.431330000000003</v>
      </c>
      <c r="AZ62" s="1497">
        <v>378.25099999999998</v>
      </c>
      <c r="BA62" s="1497">
        <v>42.085546999999998</v>
      </c>
      <c r="BB62" s="1497"/>
      <c r="BC62" s="1497"/>
      <c r="BD62" s="1497"/>
      <c r="BE62" s="1497"/>
      <c r="BF62" s="1497"/>
      <c r="BG62" s="1497"/>
      <c r="BH62" s="1497"/>
      <c r="BI62" s="1497"/>
      <c r="BJ62" s="1497"/>
      <c r="BK62" s="1497"/>
      <c r="BL62" s="1497"/>
      <c r="BM62" s="1497"/>
    </row>
    <row r="63" spans="1:65" hidden="1">
      <c r="A63" s="409" t="s">
        <v>23</v>
      </c>
      <c r="B63" s="1497">
        <v>5300.7629999999999</v>
      </c>
      <c r="C63" s="1497"/>
      <c r="D63" s="1504">
        <v>2554.1179999999999</v>
      </c>
      <c r="E63" s="1504">
        <v>1383.6369999999999</v>
      </c>
      <c r="F63" s="1504">
        <v>727.30799999999999</v>
      </c>
      <c r="G63" s="1492">
        <v>635.70000000000005</v>
      </c>
      <c r="H63" s="1504">
        <v>5094.01</v>
      </c>
      <c r="I63" s="1504">
        <v>772.75281099999995</v>
      </c>
      <c r="J63" s="1497">
        <v>3895.2530000000002</v>
      </c>
      <c r="K63" s="1492">
        <v>634.92416600000001</v>
      </c>
      <c r="L63" s="1497">
        <v>23.501999999999999</v>
      </c>
      <c r="M63" s="1497">
        <v>44.209269999999997</v>
      </c>
      <c r="N63" s="1497">
        <v>46.975000000000001</v>
      </c>
      <c r="O63" s="1497">
        <v>14.375405000000001</v>
      </c>
      <c r="P63" s="1497">
        <v>781.81700000000001</v>
      </c>
      <c r="Q63" s="1504">
        <v>33.002355000000001</v>
      </c>
      <c r="R63" s="1504"/>
      <c r="S63" s="1504"/>
      <c r="T63" s="1504"/>
      <c r="U63" s="1504"/>
      <c r="V63" s="1504"/>
      <c r="W63" s="1504"/>
      <c r="X63" s="1492">
        <v>346.46300000000002</v>
      </c>
      <c r="Y63" s="1492">
        <v>46.241613000000001</v>
      </c>
      <c r="Z63" s="1492"/>
      <c r="AA63" s="1492"/>
      <c r="AB63" s="1492"/>
      <c r="AC63" s="1492"/>
      <c r="AD63" s="1497">
        <v>4379.5349999999999</v>
      </c>
      <c r="AE63" s="1497">
        <v>649.13668500000006</v>
      </c>
      <c r="AF63" s="1497">
        <v>3699.8429999999998</v>
      </c>
      <c r="AG63" s="1497">
        <v>593.54223100000002</v>
      </c>
      <c r="AH63" s="1497">
        <v>486.125</v>
      </c>
      <c r="AI63" s="1497">
        <v>40.685842000000001</v>
      </c>
      <c r="AJ63" s="1497"/>
      <c r="AK63" s="1497"/>
      <c r="AL63" s="1497"/>
      <c r="AM63" s="1497"/>
      <c r="AN63" s="1497"/>
      <c r="AO63" s="1497"/>
      <c r="AP63" s="1497"/>
      <c r="AQ63" s="1497"/>
      <c r="AR63" s="1497"/>
      <c r="AS63" s="1497"/>
      <c r="AT63" s="1497"/>
      <c r="AU63" s="1497"/>
      <c r="AV63" s="1497">
        <v>714.47500000000002</v>
      </c>
      <c r="AW63" s="1497">
        <v>123.61612599999999</v>
      </c>
      <c r="AX63" s="1497">
        <v>242.38499999999999</v>
      </c>
      <c r="AY63" s="1497">
        <v>55.757339999999999</v>
      </c>
      <c r="AZ63" s="1497">
        <v>319.19400000000002</v>
      </c>
      <c r="BA63" s="1497">
        <v>36.525784000000002</v>
      </c>
      <c r="BB63" s="1497"/>
      <c r="BC63" s="1497"/>
      <c r="BD63" s="1497"/>
      <c r="BE63" s="1497"/>
      <c r="BF63" s="1497"/>
      <c r="BG63" s="1497"/>
      <c r="BH63" s="1497"/>
      <c r="BI63" s="1497"/>
      <c r="BJ63" s="1497"/>
      <c r="BK63" s="1497"/>
      <c r="BL63" s="1497"/>
      <c r="BM63" s="1497"/>
    </row>
    <row r="64" spans="1:65" hidden="1">
      <c r="A64" s="409" t="s">
        <v>24</v>
      </c>
      <c r="B64" s="1497">
        <v>5374.902</v>
      </c>
      <c r="C64" s="1497"/>
      <c r="D64" s="1504">
        <v>2545.9740000000002</v>
      </c>
      <c r="E64" s="1504">
        <v>1389.3409999999999</v>
      </c>
      <c r="F64" s="1504">
        <v>753.82100000000003</v>
      </c>
      <c r="G64" s="1492">
        <v>685.75599999999997</v>
      </c>
      <c r="H64" s="1504">
        <v>5981.7449999999999</v>
      </c>
      <c r="I64" s="1504">
        <v>920.41632900000002</v>
      </c>
      <c r="J64" s="1497">
        <v>4396.3159999999998</v>
      </c>
      <c r="K64" s="1492">
        <v>755.11724300000003</v>
      </c>
      <c r="L64" s="1497">
        <v>24.469000000000001</v>
      </c>
      <c r="M64" s="1497">
        <v>54.326723999999999</v>
      </c>
      <c r="N64" s="1497">
        <v>54.606999999999999</v>
      </c>
      <c r="O64" s="1497">
        <v>16.160079</v>
      </c>
      <c r="P64" s="1497">
        <v>1066.2829999999999</v>
      </c>
      <c r="Q64" s="1504">
        <v>32.166069999999998</v>
      </c>
      <c r="R64" s="1504"/>
      <c r="S64" s="1504"/>
      <c r="T64" s="1504"/>
      <c r="U64" s="1504"/>
      <c r="V64" s="1504"/>
      <c r="W64" s="1504"/>
      <c r="X64" s="1492">
        <v>440.07</v>
      </c>
      <c r="Y64" s="1492">
        <v>62.646210000000004</v>
      </c>
      <c r="Z64" s="1492"/>
      <c r="AA64" s="1492"/>
      <c r="AB64" s="1492"/>
      <c r="AC64" s="1492"/>
      <c r="AD64" s="1497">
        <v>4977.5</v>
      </c>
      <c r="AE64" s="1497">
        <v>772.35737300000005</v>
      </c>
      <c r="AF64" s="1497">
        <v>4151.4709999999995</v>
      </c>
      <c r="AG64" s="1497">
        <v>701.30616799999996</v>
      </c>
      <c r="AH64" s="1497">
        <v>589.30499999999995</v>
      </c>
      <c r="AI64" s="1497">
        <v>51.181260999999999</v>
      </c>
      <c r="AJ64" s="1497"/>
      <c r="AK64" s="1497"/>
      <c r="AL64" s="1497"/>
      <c r="AM64" s="1497"/>
      <c r="AN64" s="1497"/>
      <c r="AO64" s="1497"/>
      <c r="AP64" s="1497"/>
      <c r="AQ64" s="1497"/>
      <c r="AR64" s="1497"/>
      <c r="AS64" s="1497"/>
      <c r="AT64" s="1497"/>
      <c r="AU64" s="1497"/>
      <c r="AV64" s="1497">
        <v>1004.245</v>
      </c>
      <c r="AW64" s="1497">
        <v>148.058955</v>
      </c>
      <c r="AX64" s="1497">
        <v>299.452</v>
      </c>
      <c r="AY64" s="1497">
        <v>69.971153999999999</v>
      </c>
      <c r="AZ64" s="1497">
        <v>501.447</v>
      </c>
      <c r="BA64" s="1497">
        <v>35.311534000000002</v>
      </c>
      <c r="BB64" s="1497"/>
      <c r="BC64" s="1497"/>
      <c r="BD64" s="1497"/>
      <c r="BE64" s="1497"/>
      <c r="BF64" s="1497"/>
      <c r="BG64" s="1497"/>
      <c r="BH64" s="1497"/>
      <c r="BI64" s="1497"/>
      <c r="BJ64" s="1497"/>
      <c r="BK64" s="1497"/>
      <c r="BL64" s="1497"/>
      <c r="BM64" s="1497"/>
    </row>
    <row r="65" spans="1:65" hidden="1">
      <c r="A65" s="409" t="s">
        <v>25</v>
      </c>
      <c r="B65" s="1497">
        <v>5331.0360000000001</v>
      </c>
      <c r="C65" s="1497"/>
      <c r="D65" s="1504">
        <v>2428.7190000000001</v>
      </c>
      <c r="E65" s="1504">
        <v>1388.473</v>
      </c>
      <c r="F65" s="1504">
        <v>793.97699999999998</v>
      </c>
      <c r="G65" s="1492">
        <v>719.86699999999996</v>
      </c>
      <c r="H65" s="1504">
        <v>5745.9189999999999</v>
      </c>
      <c r="I65" s="1504">
        <v>844.87986899999999</v>
      </c>
      <c r="J65" s="1497">
        <v>4232.8760000000002</v>
      </c>
      <c r="K65" s="1492">
        <v>682.03125899999998</v>
      </c>
      <c r="L65" s="1497">
        <v>22.024000000000001</v>
      </c>
      <c r="M65" s="1497">
        <v>48.519308000000002</v>
      </c>
      <c r="N65" s="1497">
        <v>46.759</v>
      </c>
      <c r="O65" s="1497">
        <v>14.897868000000001</v>
      </c>
      <c r="P65" s="1497">
        <v>1003.278</v>
      </c>
      <c r="Q65" s="1504">
        <v>30.222178</v>
      </c>
      <c r="R65" s="1504"/>
      <c r="S65" s="1504"/>
      <c r="T65" s="1504"/>
      <c r="U65" s="1504"/>
      <c r="V65" s="1504"/>
      <c r="W65" s="1504"/>
      <c r="X65" s="1492">
        <v>440.98200000000003</v>
      </c>
      <c r="Y65" s="1492">
        <v>69.209254000000001</v>
      </c>
      <c r="Z65" s="1492"/>
      <c r="AA65" s="1492"/>
      <c r="AB65" s="1492"/>
      <c r="AC65" s="1492"/>
      <c r="AD65" s="1497">
        <v>4779.41</v>
      </c>
      <c r="AE65" s="1497">
        <v>701.60636499999998</v>
      </c>
      <c r="AF65" s="1497">
        <v>4016.6550000000002</v>
      </c>
      <c r="AG65" s="1497">
        <v>636.50743</v>
      </c>
      <c r="AH65" s="1497">
        <v>529.66999999999996</v>
      </c>
      <c r="AI65" s="1497">
        <v>44.929417000000001</v>
      </c>
      <c r="AJ65" s="1497"/>
      <c r="AK65" s="1497"/>
      <c r="AL65" s="1497"/>
      <c r="AM65" s="1497"/>
      <c r="AN65" s="1497"/>
      <c r="AO65" s="1497"/>
      <c r="AP65" s="1497"/>
      <c r="AQ65" s="1497"/>
      <c r="AR65" s="1497"/>
      <c r="AS65" s="1497"/>
      <c r="AT65" s="1497"/>
      <c r="AU65" s="1497"/>
      <c r="AV65" s="1497">
        <v>966.50900000000001</v>
      </c>
      <c r="AW65" s="1497">
        <v>143.27350300000001</v>
      </c>
      <c r="AX65" s="1497">
        <v>262.98</v>
      </c>
      <c r="AY65" s="1497">
        <v>60.421697000000002</v>
      </c>
      <c r="AZ65" s="1497">
        <v>495.63200000000001</v>
      </c>
      <c r="BA65" s="1497">
        <v>33.812069000000001</v>
      </c>
      <c r="BB65" s="1497"/>
      <c r="BC65" s="1497"/>
      <c r="BD65" s="1497"/>
      <c r="BE65" s="1497"/>
      <c r="BF65" s="1497"/>
      <c r="BG65" s="1497"/>
      <c r="BH65" s="1497"/>
      <c r="BI65" s="1497"/>
      <c r="BJ65" s="1497"/>
      <c r="BK65" s="1497"/>
      <c r="BL65" s="1497"/>
      <c r="BM65" s="1497"/>
    </row>
    <row r="66" spans="1:65" hidden="1">
      <c r="A66" s="409" t="s">
        <v>26</v>
      </c>
      <c r="B66" s="1497">
        <v>5346.7740000000003</v>
      </c>
      <c r="C66" s="1497"/>
      <c r="D66" s="1504">
        <v>2367.8359999999998</v>
      </c>
      <c r="E66" s="1504">
        <v>1410.7449999999999</v>
      </c>
      <c r="F66" s="1504">
        <v>799.88300000000004</v>
      </c>
      <c r="G66" s="1492">
        <v>768.31</v>
      </c>
      <c r="H66" s="1504">
        <v>5617.5649999999996</v>
      </c>
      <c r="I66" s="1504">
        <v>832.99279000000001</v>
      </c>
      <c r="J66" s="1497">
        <v>4135.3530000000001</v>
      </c>
      <c r="K66" s="1492">
        <v>673.57920200000001</v>
      </c>
      <c r="L66" s="1497">
        <v>21.292000000000002</v>
      </c>
      <c r="M66" s="1497">
        <v>47.34064</v>
      </c>
      <c r="N66" s="1497">
        <v>46.615000000000002</v>
      </c>
      <c r="O66" s="1497">
        <v>18.371998000000001</v>
      </c>
      <c r="P66" s="1497">
        <v>1004.782</v>
      </c>
      <c r="Q66" s="1504">
        <v>33.289437</v>
      </c>
      <c r="R66" s="1504"/>
      <c r="S66" s="1504"/>
      <c r="T66" s="1504"/>
      <c r="U66" s="1504"/>
      <c r="V66" s="1504"/>
      <c r="W66" s="1504"/>
      <c r="X66" s="1492">
        <v>409.52300000000002</v>
      </c>
      <c r="Y66" s="1492">
        <v>60.411512000000002</v>
      </c>
      <c r="Z66" s="1492"/>
      <c r="AA66" s="1492"/>
      <c r="AB66" s="1492"/>
      <c r="AC66" s="1492"/>
      <c r="AD66" s="1497">
        <v>4589.6970000000001</v>
      </c>
      <c r="AE66" s="1497">
        <v>682.06382599999995</v>
      </c>
      <c r="AF66" s="1497">
        <v>3864.402</v>
      </c>
      <c r="AG66" s="1497">
        <v>616.71338300000002</v>
      </c>
      <c r="AH66" s="1497">
        <v>498.87599999999998</v>
      </c>
      <c r="AI66" s="1497">
        <v>44.232174000000001</v>
      </c>
      <c r="AJ66" s="1497"/>
      <c r="AK66" s="1497"/>
      <c r="AL66" s="1497"/>
      <c r="AM66" s="1497"/>
      <c r="AN66" s="1497"/>
      <c r="AO66" s="1497"/>
      <c r="AP66" s="1497"/>
      <c r="AQ66" s="1497"/>
      <c r="AR66" s="1497"/>
      <c r="AS66" s="1497"/>
      <c r="AT66" s="1497"/>
      <c r="AU66" s="1497"/>
      <c r="AV66" s="1497">
        <v>1027.8679999999999</v>
      </c>
      <c r="AW66" s="1497">
        <v>150.92896400000001</v>
      </c>
      <c r="AX66" s="1497">
        <v>317.56599999999997</v>
      </c>
      <c r="AY66" s="1497">
        <v>75.237817000000007</v>
      </c>
      <c r="AZ66" s="1497">
        <v>527</v>
      </c>
      <c r="BA66" s="1497">
        <v>36.396999999999998</v>
      </c>
      <c r="BB66" s="1497"/>
      <c r="BC66" s="1497"/>
      <c r="BD66" s="1497"/>
      <c r="BE66" s="1497"/>
      <c r="BF66" s="1497"/>
      <c r="BG66" s="1497"/>
      <c r="BH66" s="1497"/>
      <c r="BI66" s="1497"/>
      <c r="BJ66" s="1497"/>
      <c r="BK66" s="1497"/>
      <c r="BL66" s="1497"/>
      <c r="BM66" s="1497"/>
    </row>
    <row r="67" spans="1:65" hidden="1">
      <c r="A67" s="409" t="s">
        <v>27</v>
      </c>
      <c r="B67" s="1497">
        <v>5362.835</v>
      </c>
      <c r="C67" s="1497"/>
      <c r="D67" s="1504">
        <v>2403.5369999999998</v>
      </c>
      <c r="E67" s="1504">
        <v>1421.64</v>
      </c>
      <c r="F67" s="1504">
        <v>738.90099999999995</v>
      </c>
      <c r="G67" s="1492">
        <v>798.70699999999999</v>
      </c>
      <c r="H67" s="1504">
        <v>6101.152</v>
      </c>
      <c r="I67" s="1504">
        <v>901.20827799999995</v>
      </c>
      <c r="J67" s="1497">
        <v>4418.9250000000002</v>
      </c>
      <c r="K67" s="1492">
        <v>733.78445399999998</v>
      </c>
      <c r="L67" s="1497">
        <v>24.603999999999999</v>
      </c>
      <c r="M67" s="1497">
        <v>50.368462000000001</v>
      </c>
      <c r="N67" s="1497">
        <v>50.399000000000001</v>
      </c>
      <c r="O67" s="1497">
        <v>19.121523</v>
      </c>
      <c r="P67" s="1497">
        <v>1142.8579999999999</v>
      </c>
      <c r="Q67" s="1504">
        <v>37.986564999999999</v>
      </c>
      <c r="R67" s="1504"/>
      <c r="S67" s="1504"/>
      <c r="T67" s="1504"/>
      <c r="U67" s="1504"/>
      <c r="V67" s="1504"/>
      <c r="W67" s="1504"/>
      <c r="X67" s="1492">
        <v>464.36599999999999</v>
      </c>
      <c r="Y67" s="1492">
        <v>60.019272000000001</v>
      </c>
      <c r="Z67" s="1492"/>
      <c r="AA67" s="1492"/>
      <c r="AB67" s="1492"/>
      <c r="AC67" s="1492"/>
      <c r="AD67" s="1497">
        <v>4963.7</v>
      </c>
      <c r="AE67" s="1497">
        <v>740.93455500000005</v>
      </c>
      <c r="AF67" s="1497">
        <v>4128.567</v>
      </c>
      <c r="AG67" s="1497">
        <v>672.95449199999996</v>
      </c>
      <c r="AH67" s="1497">
        <v>579.41399999999999</v>
      </c>
      <c r="AI67" s="1497">
        <v>49.031638000000001</v>
      </c>
      <c r="AJ67" s="1497"/>
      <c r="AK67" s="1497"/>
      <c r="AL67" s="1497"/>
      <c r="AM67" s="1497"/>
      <c r="AN67" s="1497"/>
      <c r="AO67" s="1497"/>
      <c r="AP67" s="1497"/>
      <c r="AQ67" s="1497"/>
      <c r="AR67" s="1497"/>
      <c r="AS67" s="1497"/>
      <c r="AT67" s="1497"/>
      <c r="AU67" s="1497"/>
      <c r="AV67" s="1497">
        <v>1137.452</v>
      </c>
      <c r="AW67" s="1497">
        <v>160.34572299999999</v>
      </c>
      <c r="AX67" s="1497">
        <v>340.75700000000001</v>
      </c>
      <c r="AY67" s="1497">
        <v>79.951483999999994</v>
      </c>
      <c r="AZ67" s="1497">
        <v>588.048</v>
      </c>
      <c r="BA67" s="1497">
        <v>39.323388999999999</v>
      </c>
      <c r="BB67" s="1497"/>
      <c r="BC67" s="1497"/>
      <c r="BD67" s="1497"/>
      <c r="BE67" s="1497"/>
      <c r="BF67" s="1497"/>
      <c r="BG67" s="1497"/>
      <c r="BH67" s="1497"/>
      <c r="BI67" s="1497"/>
      <c r="BJ67" s="1497"/>
      <c r="BK67" s="1497"/>
      <c r="BL67" s="1497"/>
      <c r="BM67" s="1497"/>
    </row>
    <row r="68" spans="1:65" hidden="1">
      <c r="A68" s="409" t="s">
        <v>28</v>
      </c>
      <c r="B68" s="1497">
        <v>5515.0029999999997</v>
      </c>
      <c r="C68" s="1497"/>
      <c r="D68" s="1504">
        <v>2472.6729999999998</v>
      </c>
      <c r="E68" s="1504">
        <v>1430.798</v>
      </c>
      <c r="F68" s="1504">
        <v>748.74300000000005</v>
      </c>
      <c r="G68" s="1492">
        <v>862.78899999999999</v>
      </c>
      <c r="H68" s="1504">
        <v>6011.5640000000003</v>
      </c>
      <c r="I68" s="1504">
        <v>923.412283</v>
      </c>
      <c r="J68" s="1497">
        <v>4323.6790000000001</v>
      </c>
      <c r="K68" s="1492">
        <v>729.64671799999996</v>
      </c>
      <c r="L68" s="1497">
        <v>22.957000000000001</v>
      </c>
      <c r="M68" s="1497">
        <v>56.267467000000003</v>
      </c>
      <c r="N68" s="1497">
        <v>49.640999999999998</v>
      </c>
      <c r="O68" s="1497">
        <v>19.854140000000001</v>
      </c>
      <c r="P68" s="1497">
        <v>1142.2570000000001</v>
      </c>
      <c r="Q68" s="1504">
        <v>36.689835000000002</v>
      </c>
      <c r="R68" s="1504"/>
      <c r="S68" s="1504"/>
      <c r="T68" s="1504"/>
      <c r="U68" s="1504"/>
      <c r="V68" s="1504"/>
      <c r="W68" s="1504"/>
      <c r="X68" s="1492">
        <v>473.03</v>
      </c>
      <c r="Y68" s="1492">
        <v>80.954121000000001</v>
      </c>
      <c r="Z68" s="1492"/>
      <c r="AA68" s="1492"/>
      <c r="AB68" s="1492"/>
      <c r="AC68" s="1492"/>
      <c r="AD68" s="1497">
        <v>4856.9080000000004</v>
      </c>
      <c r="AE68" s="1497">
        <v>743.48459500000001</v>
      </c>
      <c r="AF68" s="1497">
        <v>4034.567</v>
      </c>
      <c r="AG68" s="1497">
        <v>671.52391</v>
      </c>
      <c r="AH68" s="1497">
        <v>561.78499999999997</v>
      </c>
      <c r="AI68" s="1497">
        <v>52.575800999999998</v>
      </c>
      <c r="AJ68" s="1497"/>
      <c r="AK68" s="1497"/>
      <c r="AL68" s="1497"/>
      <c r="AM68" s="1497"/>
      <c r="AN68" s="1497"/>
      <c r="AO68" s="1497"/>
      <c r="AP68" s="1497"/>
      <c r="AQ68" s="1497"/>
      <c r="AR68" s="1497"/>
      <c r="AS68" s="1497"/>
      <c r="AT68" s="1497"/>
      <c r="AU68" s="1497"/>
      <c r="AV68" s="1497">
        <v>1154.6559999999999</v>
      </c>
      <c r="AW68" s="1497">
        <v>179.92768799999999</v>
      </c>
      <c r="AX68" s="1497">
        <v>338.75299999999999</v>
      </c>
      <c r="AY68" s="1497">
        <v>77.976949000000005</v>
      </c>
      <c r="AZ68" s="1497">
        <v>603.42899999999997</v>
      </c>
      <c r="BA68" s="1497">
        <v>40.381501</v>
      </c>
      <c r="BB68" s="1497"/>
      <c r="BC68" s="1497"/>
      <c r="BD68" s="1497"/>
      <c r="BE68" s="1497"/>
      <c r="BF68" s="1497"/>
      <c r="BG68" s="1497"/>
      <c r="BH68" s="1497"/>
      <c r="BI68" s="1497"/>
      <c r="BJ68" s="1497"/>
      <c r="BK68" s="1497"/>
      <c r="BL68" s="1497"/>
      <c r="BM68" s="1497"/>
    </row>
    <row r="69" spans="1:65" hidden="1">
      <c r="A69" s="409" t="s">
        <v>29</v>
      </c>
      <c r="B69" s="1497">
        <v>5672.6170000000002</v>
      </c>
      <c r="C69" s="1497"/>
      <c r="D69" s="1504">
        <v>2504.9650000000001</v>
      </c>
      <c r="E69" s="1504">
        <v>1437.0409999999999</v>
      </c>
      <c r="F69" s="1504">
        <v>788.15499999999997</v>
      </c>
      <c r="G69" s="1492">
        <v>942.45600000000002</v>
      </c>
      <c r="H69" s="1504">
        <v>7195.933</v>
      </c>
      <c r="I69" s="1504">
        <v>1149.415</v>
      </c>
      <c r="J69" s="1497">
        <v>5184.5990000000002</v>
      </c>
      <c r="K69" s="1492">
        <v>936.98599999999999</v>
      </c>
      <c r="L69" s="1497">
        <v>30.786000000000001</v>
      </c>
      <c r="M69" s="1497">
        <v>70.715999999999994</v>
      </c>
      <c r="N69" s="1497">
        <v>65.399000000000001</v>
      </c>
      <c r="O69" s="1497">
        <v>18.360609</v>
      </c>
      <c r="P69" s="1497">
        <v>1400</v>
      </c>
      <c r="Q69" s="1504">
        <v>47.439</v>
      </c>
      <c r="R69" s="1504"/>
      <c r="S69" s="1504"/>
      <c r="T69" s="1504"/>
      <c r="U69" s="1504"/>
      <c r="V69" s="1504"/>
      <c r="W69" s="1504"/>
      <c r="X69" s="1492">
        <v>515.06100000000004</v>
      </c>
      <c r="Y69" s="1492">
        <v>74.972999999999999</v>
      </c>
      <c r="Z69" s="1492"/>
      <c r="AA69" s="1492"/>
      <c r="AB69" s="1492"/>
      <c r="AC69" s="1492"/>
      <c r="AD69" s="1497">
        <v>5815.7640000000001</v>
      </c>
      <c r="AE69" s="1497">
        <v>946.33968900000002</v>
      </c>
      <c r="AF69" s="1497">
        <v>4813.7209999999995</v>
      </c>
      <c r="AG69" s="1497">
        <v>856.08042499999999</v>
      </c>
      <c r="AH69" s="1497">
        <v>706.44600000000003</v>
      </c>
      <c r="AI69" s="1497">
        <v>68.583387000000002</v>
      </c>
      <c r="AJ69" s="1497"/>
      <c r="AK69" s="1497"/>
      <c r="AL69" s="1497"/>
      <c r="AM69" s="1497"/>
      <c r="AN69" s="1497"/>
      <c r="AO69" s="1497"/>
      <c r="AP69" s="1497"/>
      <c r="AQ69" s="1497"/>
      <c r="AR69" s="1497"/>
      <c r="AS69" s="1497"/>
      <c r="AT69" s="1497"/>
      <c r="AU69" s="1497"/>
      <c r="AV69" s="1497">
        <v>1380.229</v>
      </c>
      <c r="AW69" s="1497">
        <v>203.07558800000001</v>
      </c>
      <c r="AX69" s="1497">
        <v>436.27699999999999</v>
      </c>
      <c r="AY69" s="1497">
        <v>100.20501899999999</v>
      </c>
      <c r="AZ69" s="1497">
        <v>724.48800000000006</v>
      </c>
      <c r="BA69" s="1497">
        <v>49.573253999999999</v>
      </c>
      <c r="BB69" s="1497"/>
      <c r="BC69" s="1497"/>
      <c r="BD69" s="1497"/>
      <c r="BE69" s="1497"/>
      <c r="BF69" s="1497"/>
      <c r="BG69" s="1497"/>
      <c r="BH69" s="1497"/>
      <c r="BI69" s="1497"/>
      <c r="BJ69" s="1497"/>
      <c r="BK69" s="1497"/>
      <c r="BL69" s="1497"/>
      <c r="BM69" s="1497"/>
    </row>
    <row r="70" spans="1:65">
      <c r="A70" s="1510">
        <v>2014</v>
      </c>
      <c r="B70" s="702">
        <v>5965.2070000000003</v>
      </c>
      <c r="C70" s="702"/>
      <c r="D70" s="1505">
        <v>2426.3000000000002</v>
      </c>
      <c r="E70" s="1505">
        <v>1443.6769999999999</v>
      </c>
      <c r="F70" s="1505">
        <v>793.53200000000004</v>
      </c>
      <c r="G70" s="1499">
        <v>1301.6980000000001</v>
      </c>
      <c r="H70" s="702">
        <f t="shared" ref="H70:Q70" si="12">SUM(H71:H82)</f>
        <v>79228.133000000002</v>
      </c>
      <c r="I70" s="702">
        <f t="shared" si="12"/>
        <v>11870.469365000001</v>
      </c>
      <c r="J70" s="702">
        <f t="shared" si="12"/>
        <v>54452.952000000005</v>
      </c>
      <c r="K70" s="702">
        <f t="shared" si="12"/>
        <v>9566.2038940000002</v>
      </c>
      <c r="L70" s="702">
        <f t="shared" si="12"/>
        <v>309.55900000000003</v>
      </c>
      <c r="M70" s="702">
        <f t="shared" si="12"/>
        <v>727.02784700000007</v>
      </c>
      <c r="N70" s="702">
        <f t="shared" si="12"/>
        <v>591.43900000000008</v>
      </c>
      <c r="O70" s="702">
        <f t="shared" si="12"/>
        <v>249.74949900000001</v>
      </c>
      <c r="P70" s="702">
        <f t="shared" si="12"/>
        <v>10399.359999999999</v>
      </c>
      <c r="Q70" s="702">
        <f t="shared" si="12"/>
        <v>395.57607999999999</v>
      </c>
      <c r="R70" s="702"/>
      <c r="S70" s="1130"/>
      <c r="T70" s="702">
        <v>7639</v>
      </c>
      <c r="U70" s="702">
        <v>151</v>
      </c>
      <c r="V70" s="702"/>
      <c r="W70" s="702"/>
      <c r="X70" s="702">
        <f>SUM(X71:X82)</f>
        <v>6255.9063999999998</v>
      </c>
      <c r="Y70" s="702">
        <f>SUM(Y71:Y82)</f>
        <v>784.08735200000001</v>
      </c>
      <c r="Z70" s="702"/>
      <c r="AA70" s="702"/>
      <c r="AB70" s="702"/>
      <c r="AC70" s="702"/>
      <c r="AD70" s="702">
        <f t="shared" ref="AD70:AI70" si="13">SUM(AD71:AD82)</f>
        <v>62011.4</v>
      </c>
      <c r="AE70" s="702">
        <f t="shared" si="13"/>
        <v>9523.5500710000015</v>
      </c>
      <c r="AF70" s="702">
        <f t="shared" si="13"/>
        <v>49539.234000000004</v>
      </c>
      <c r="AG70" s="702">
        <f t="shared" si="13"/>
        <v>8561.6427029999995</v>
      </c>
      <c r="AH70" s="702">
        <f t="shared" si="13"/>
        <v>3501.3059999999991</v>
      </c>
      <c r="AI70" s="702">
        <f t="shared" si="13"/>
        <v>611.69937099999993</v>
      </c>
      <c r="AJ70" s="702"/>
      <c r="AK70" s="702"/>
      <c r="AL70" s="702">
        <v>5584</v>
      </c>
      <c r="AM70" s="702">
        <v>79</v>
      </c>
      <c r="AN70" s="702"/>
      <c r="AO70" s="702"/>
      <c r="AP70" s="702">
        <v>3531.259</v>
      </c>
      <c r="AQ70" s="702">
        <v>275.13348300000001</v>
      </c>
      <c r="AR70" s="702"/>
      <c r="AS70" s="702"/>
      <c r="AT70" s="702"/>
      <c r="AU70" s="702"/>
      <c r="AV70" s="702">
        <f t="shared" ref="AV70:BA70" si="14">SUM(AV71:AV82)</f>
        <v>17216.718000000001</v>
      </c>
      <c r="AW70" s="702">
        <f t="shared" si="14"/>
        <v>2346.9042710000003</v>
      </c>
      <c r="AX70" s="702">
        <f t="shared" si="14"/>
        <v>5505.7739999999994</v>
      </c>
      <c r="AY70" s="702">
        <f t="shared" si="14"/>
        <v>1254.3110570000001</v>
      </c>
      <c r="AZ70" s="702">
        <f t="shared" si="14"/>
        <v>7202.6130000000003</v>
      </c>
      <c r="BA70" s="702">
        <f t="shared" si="14"/>
        <v>510.908345</v>
      </c>
      <c r="BB70" s="702"/>
      <c r="BC70" s="702"/>
      <c r="BD70" s="702">
        <v>2055</v>
      </c>
      <c r="BE70" s="702">
        <v>73</v>
      </c>
      <c r="BF70" s="702"/>
      <c r="BG70" s="702"/>
      <c r="BH70" s="702">
        <v>2728.692</v>
      </c>
      <c r="BI70" s="702">
        <v>511.182952</v>
      </c>
      <c r="BJ70" s="702"/>
      <c r="BK70" s="702"/>
      <c r="BL70" s="702"/>
      <c r="BM70" s="702"/>
    </row>
    <row r="71" spans="1:65" hidden="1">
      <c r="A71" s="409" t="s">
        <v>18</v>
      </c>
      <c r="B71" s="1497">
        <v>5752.3389999999999</v>
      </c>
      <c r="C71" s="1497"/>
      <c r="D71" s="1504">
        <v>2533.7620000000002</v>
      </c>
      <c r="E71" s="1504">
        <v>1431.9939999999999</v>
      </c>
      <c r="F71" s="1504">
        <v>819.29200000000003</v>
      </c>
      <c r="G71" s="1492">
        <v>967.29100000000005</v>
      </c>
      <c r="H71" s="1504">
        <v>5533.8450000000003</v>
      </c>
      <c r="I71" s="1504">
        <v>777.78954499999998</v>
      </c>
      <c r="J71" s="1497">
        <v>3695.9560000000001</v>
      </c>
      <c r="K71" s="1492">
        <v>610.03151700000001</v>
      </c>
      <c r="L71" s="1497">
        <v>22.62</v>
      </c>
      <c r="M71" s="1497">
        <v>42.971169000000003</v>
      </c>
      <c r="N71" s="1497">
        <v>48.238</v>
      </c>
      <c r="O71" s="1497">
        <v>16.713816999999999</v>
      </c>
      <c r="P71" s="1497">
        <v>1216.3140000000001</v>
      </c>
      <c r="Q71" s="1504">
        <v>38.103057999999997</v>
      </c>
      <c r="R71" s="1504"/>
      <c r="S71" s="1131"/>
      <c r="T71" s="1504"/>
      <c r="U71" s="1504"/>
      <c r="V71" s="702"/>
      <c r="W71" s="702"/>
      <c r="X71" s="1492">
        <v>505.71699999999998</v>
      </c>
      <c r="Y71" s="1492">
        <v>69.969982999999999</v>
      </c>
      <c r="Z71" s="1492"/>
      <c r="AA71" s="1492"/>
      <c r="AB71" s="1492"/>
      <c r="AC71" s="1492"/>
      <c r="AD71" s="1497">
        <v>4281.6260000000002</v>
      </c>
      <c r="AE71" s="1497">
        <v>610.313671</v>
      </c>
      <c r="AF71" s="1497">
        <v>3389.62</v>
      </c>
      <c r="AG71" s="1497">
        <v>548.63338699999997</v>
      </c>
      <c r="AH71" s="1497">
        <v>613.59</v>
      </c>
      <c r="AI71" s="1497">
        <v>41.291817000000002</v>
      </c>
      <c r="AJ71" s="1497"/>
      <c r="AK71" s="1497"/>
      <c r="AL71" s="1497"/>
      <c r="AM71" s="1497"/>
      <c r="AN71" s="1497"/>
      <c r="AO71" s="1497"/>
      <c r="AP71" s="1497"/>
      <c r="AQ71" s="1497"/>
      <c r="AR71" s="1497"/>
      <c r="AS71" s="1497"/>
      <c r="AT71" s="1497"/>
      <c r="AU71" s="1497"/>
      <c r="AV71" s="1497">
        <v>1252.2190000000001</v>
      </c>
      <c r="AW71" s="1497">
        <v>167.475874</v>
      </c>
      <c r="AX71" s="1497">
        <v>354.57400000000001</v>
      </c>
      <c r="AY71" s="1497">
        <v>78.111947000000001</v>
      </c>
      <c r="AZ71" s="1497">
        <v>670.34400000000005</v>
      </c>
      <c r="BA71" s="1497">
        <v>39.782411000000003</v>
      </c>
      <c r="BB71" s="1497"/>
      <c r="BC71" s="1497"/>
      <c r="BD71" s="1497"/>
      <c r="BE71" s="1497"/>
      <c r="BF71" s="1497"/>
      <c r="BG71" s="1497"/>
      <c r="BH71" s="1497"/>
      <c r="BI71" s="1497"/>
      <c r="BJ71" s="1497"/>
      <c r="BK71" s="1497"/>
      <c r="BL71" s="1497"/>
      <c r="BM71" s="1497"/>
    </row>
    <row r="72" spans="1:65" hidden="1">
      <c r="A72" s="409" t="s">
        <v>19</v>
      </c>
      <c r="B72" s="1497">
        <v>5808.0280000000002</v>
      </c>
      <c r="C72" s="1497"/>
      <c r="D72" s="1504">
        <v>2550.8980000000001</v>
      </c>
      <c r="E72" s="1504">
        <v>1417.3710000000001</v>
      </c>
      <c r="F72" s="1504">
        <v>832.73299999999995</v>
      </c>
      <c r="G72" s="1492">
        <v>1007.026</v>
      </c>
      <c r="H72" s="1504">
        <v>6206.2579999999998</v>
      </c>
      <c r="I72" s="1504">
        <v>941.40361199999995</v>
      </c>
      <c r="J72" s="1497">
        <v>4373.9369999999999</v>
      </c>
      <c r="K72" s="1492">
        <v>764.04607499999997</v>
      </c>
      <c r="L72" s="1497">
        <v>27.242000000000001</v>
      </c>
      <c r="M72" s="1497">
        <v>54.947603999999998</v>
      </c>
      <c r="N72" s="1497">
        <v>50.643999999999998</v>
      </c>
      <c r="O72" s="1497">
        <v>17.764603000000001</v>
      </c>
      <c r="P72" s="1497">
        <v>773.81</v>
      </c>
      <c r="Q72" s="1504">
        <v>27.783197000000001</v>
      </c>
      <c r="R72" s="1504"/>
      <c r="S72" s="1131"/>
      <c r="T72" s="1504"/>
      <c r="U72" s="1504"/>
      <c r="V72" s="702"/>
      <c r="W72" s="702"/>
      <c r="X72" s="1492">
        <v>445.23899999999998</v>
      </c>
      <c r="Y72" s="1492">
        <v>66.289141999999998</v>
      </c>
      <c r="Z72" s="1492"/>
      <c r="AA72" s="1492"/>
      <c r="AB72" s="1492"/>
      <c r="AC72" s="1492"/>
      <c r="AD72" s="1497">
        <v>4974.415</v>
      </c>
      <c r="AE72" s="1497">
        <v>767.48937100000001</v>
      </c>
      <c r="AF72" s="1497">
        <v>4064.482</v>
      </c>
      <c r="AG72" s="1497">
        <v>698.295751</v>
      </c>
      <c r="AH72" s="1497">
        <v>243.26400000000001</v>
      </c>
      <c r="AI72" s="1497">
        <v>45.578893999999998</v>
      </c>
      <c r="AJ72" s="1497"/>
      <c r="AK72" s="1497"/>
      <c r="AL72" s="1497"/>
      <c r="AM72" s="1497"/>
      <c r="AN72" s="1497"/>
      <c r="AO72" s="1497"/>
      <c r="AP72" s="1497"/>
      <c r="AQ72" s="1497"/>
      <c r="AR72" s="1497"/>
      <c r="AS72" s="1497"/>
      <c r="AT72" s="1497"/>
      <c r="AU72" s="1497"/>
      <c r="AV72" s="1497">
        <v>1231.8430000000001</v>
      </c>
      <c r="AW72" s="1497">
        <v>173.91424000000001</v>
      </c>
      <c r="AX72" s="1497">
        <v>360.09899999999999</v>
      </c>
      <c r="AY72" s="1497">
        <v>83.514927</v>
      </c>
      <c r="AZ72" s="1497">
        <v>557.78800000000001</v>
      </c>
      <c r="BA72" s="1497">
        <v>37.151905999999997</v>
      </c>
      <c r="BB72" s="1497"/>
      <c r="BC72" s="1497"/>
      <c r="BD72" s="1497"/>
      <c r="BE72" s="1497"/>
      <c r="BF72" s="1497"/>
      <c r="BG72" s="1497"/>
      <c r="BH72" s="1497"/>
      <c r="BI72" s="1497"/>
      <c r="BJ72" s="1497"/>
      <c r="BK72" s="1497"/>
      <c r="BL72" s="1497"/>
      <c r="BM72" s="1497"/>
    </row>
    <row r="73" spans="1:65" hidden="1">
      <c r="A73" s="409" t="s">
        <v>20</v>
      </c>
      <c r="B73" s="1497">
        <v>5853.4970000000003</v>
      </c>
      <c r="C73" s="1497"/>
      <c r="D73" s="1504">
        <v>2553.4490000000001</v>
      </c>
      <c r="E73" s="1504">
        <v>1405.7190000000001</v>
      </c>
      <c r="F73" s="1504">
        <v>861.96600000000001</v>
      </c>
      <c r="G73" s="1492">
        <v>1032.3630000000001</v>
      </c>
      <c r="H73" s="1504">
        <v>6800.6790000000001</v>
      </c>
      <c r="I73" s="1504">
        <v>1018.96</v>
      </c>
      <c r="J73" s="1497">
        <v>4790.24</v>
      </c>
      <c r="K73" s="1492">
        <v>832.61</v>
      </c>
      <c r="L73" s="1497">
        <v>26.219000000000001</v>
      </c>
      <c r="M73" s="1497">
        <v>56.023285000000001</v>
      </c>
      <c r="N73" s="1497">
        <v>44.244</v>
      </c>
      <c r="O73" s="1497">
        <v>19.522029</v>
      </c>
      <c r="P73" s="1497">
        <v>828.34799999999996</v>
      </c>
      <c r="Q73" s="1504">
        <v>33.023595</v>
      </c>
      <c r="R73" s="1504"/>
      <c r="S73" s="1131"/>
      <c r="T73" s="1504"/>
      <c r="U73" s="1504"/>
      <c r="V73" s="702"/>
      <c r="W73" s="702"/>
      <c r="X73" s="1492">
        <v>510.20699999999999</v>
      </c>
      <c r="Y73" s="1492">
        <v>64.013991000000004</v>
      </c>
      <c r="Z73" s="1492"/>
      <c r="AA73" s="1492"/>
      <c r="AB73" s="1492"/>
      <c r="AC73" s="1492"/>
      <c r="AD73" s="1497">
        <v>5412.634</v>
      </c>
      <c r="AE73" s="1497">
        <v>832.09489900000005</v>
      </c>
      <c r="AF73" s="1497">
        <v>4410.2550000000001</v>
      </c>
      <c r="AG73" s="1497">
        <v>754.75607000000002</v>
      </c>
      <c r="AH73" s="1497">
        <v>234.19900000000001</v>
      </c>
      <c r="AI73" s="1497">
        <v>48.905000000000001</v>
      </c>
      <c r="AJ73" s="1497"/>
      <c r="AK73" s="1497"/>
      <c r="AL73" s="1497"/>
      <c r="AM73" s="1497"/>
      <c r="AN73" s="1497"/>
      <c r="AO73" s="1497"/>
      <c r="AP73" s="1497"/>
      <c r="AQ73" s="1497"/>
      <c r="AR73" s="1497"/>
      <c r="AS73" s="1497"/>
      <c r="AT73" s="1497"/>
      <c r="AU73" s="1497"/>
      <c r="AV73" s="1497">
        <v>1388.0450000000001</v>
      </c>
      <c r="AW73" s="1497">
        <v>186.86524800000001</v>
      </c>
      <c r="AX73" s="1497">
        <v>424.22899999999998</v>
      </c>
      <c r="AY73" s="1497">
        <v>97.376327000000003</v>
      </c>
      <c r="AZ73" s="1497">
        <v>620.36800000000005</v>
      </c>
      <c r="BA73" s="1497">
        <v>40.141840000000002</v>
      </c>
      <c r="BB73" s="1497"/>
      <c r="BC73" s="1497"/>
      <c r="BD73" s="1497"/>
      <c r="BE73" s="1497"/>
      <c r="BF73" s="1497"/>
      <c r="BG73" s="1497"/>
      <c r="BH73" s="1497"/>
      <c r="BI73" s="1497"/>
      <c r="BJ73" s="1497"/>
      <c r="BK73" s="1497"/>
      <c r="BL73" s="1497"/>
      <c r="BM73" s="1497"/>
    </row>
    <row r="74" spans="1:65" hidden="1">
      <c r="A74" s="409" t="s">
        <v>21</v>
      </c>
      <c r="B74" s="1497">
        <v>5908.1469999999999</v>
      </c>
      <c r="C74" s="1497"/>
      <c r="D74" s="1504">
        <v>2566.92</v>
      </c>
      <c r="E74" s="1504">
        <v>1412.123</v>
      </c>
      <c r="F74" s="1504">
        <v>860.79300000000001</v>
      </c>
      <c r="G74" s="1492">
        <v>1068.3109999999999</v>
      </c>
      <c r="H74" s="1504">
        <v>6349.5219999999999</v>
      </c>
      <c r="I74" s="1504">
        <v>938.31736599999999</v>
      </c>
      <c r="J74" s="1497">
        <v>4407.1279999999997</v>
      </c>
      <c r="K74" s="1492">
        <v>758.79992900000002</v>
      </c>
      <c r="L74" s="1497">
        <v>27.887</v>
      </c>
      <c r="M74" s="1497">
        <v>62.992308000000001</v>
      </c>
      <c r="N74" s="1497">
        <v>56.844999999999999</v>
      </c>
      <c r="O74" s="1497">
        <v>20.392423000000001</v>
      </c>
      <c r="P74" s="1497">
        <v>779.10799999999995</v>
      </c>
      <c r="Q74" s="1504">
        <v>28.236070000000002</v>
      </c>
      <c r="R74" s="1504"/>
      <c r="S74" s="1131"/>
      <c r="T74" s="1504"/>
      <c r="U74" s="1504"/>
      <c r="V74" s="702"/>
      <c r="W74" s="702"/>
      <c r="X74" s="1492">
        <v>466.59899999999999</v>
      </c>
      <c r="Y74" s="1492">
        <v>55.041131999999998</v>
      </c>
      <c r="Z74" s="1492"/>
      <c r="AA74" s="1492"/>
      <c r="AB74" s="1492"/>
      <c r="AC74" s="1492"/>
      <c r="AD74" s="1497">
        <v>5024.57</v>
      </c>
      <c r="AE74" s="1497">
        <v>757.26842799999997</v>
      </c>
      <c r="AF74" s="1497">
        <v>4043.2649999999999</v>
      </c>
      <c r="AG74" s="1497">
        <v>681.03487199999995</v>
      </c>
      <c r="AH74" s="1497">
        <v>225.45400000000001</v>
      </c>
      <c r="AI74" s="1497">
        <v>51.021918999999997</v>
      </c>
      <c r="AJ74" s="1497"/>
      <c r="AK74" s="1497"/>
      <c r="AL74" s="1497"/>
      <c r="AM74" s="1497"/>
      <c r="AN74" s="1497"/>
      <c r="AO74" s="1497"/>
      <c r="AP74" s="1497"/>
      <c r="AQ74" s="1497"/>
      <c r="AR74" s="1497"/>
      <c r="AS74" s="1497"/>
      <c r="AT74" s="1497"/>
      <c r="AU74" s="1497"/>
      <c r="AV74" s="1497">
        <v>1324.952</v>
      </c>
      <c r="AW74" s="1497">
        <v>181.04893799999999</v>
      </c>
      <c r="AX74" s="1497">
        <v>420.70800000000003</v>
      </c>
      <c r="AY74" s="1497">
        <v>98.157480000000007</v>
      </c>
      <c r="AZ74" s="1497">
        <v>581.54100000000005</v>
      </c>
      <c r="BA74" s="1497">
        <v>40.206000000000003</v>
      </c>
      <c r="BB74" s="1497"/>
      <c r="BC74" s="1497"/>
      <c r="BD74" s="1497"/>
      <c r="BE74" s="1497"/>
      <c r="BF74" s="1497"/>
      <c r="BG74" s="1497"/>
      <c r="BH74" s="1497"/>
      <c r="BI74" s="1497"/>
      <c r="BJ74" s="1497"/>
      <c r="BK74" s="1497"/>
      <c r="BL74" s="1497"/>
      <c r="BM74" s="1497"/>
    </row>
    <row r="75" spans="1:65" hidden="1">
      <c r="A75" s="409" t="s">
        <v>22</v>
      </c>
      <c r="B75" s="1497">
        <v>5967.4179999999997</v>
      </c>
      <c r="C75" s="1497"/>
      <c r="D75" s="1504">
        <v>2560.3919999999998</v>
      </c>
      <c r="E75" s="1504">
        <v>1400.6089999999999</v>
      </c>
      <c r="F75" s="1504">
        <v>889.12800000000004</v>
      </c>
      <c r="G75" s="1492">
        <v>1117.289</v>
      </c>
      <c r="H75" s="1504">
        <v>6634.1120000000001</v>
      </c>
      <c r="I75" s="1504">
        <v>988.182456</v>
      </c>
      <c r="J75" s="1497">
        <v>4657.4930000000004</v>
      </c>
      <c r="K75" s="1492">
        <v>806.77167799999995</v>
      </c>
      <c r="L75" s="1497">
        <v>26.236999999999998</v>
      </c>
      <c r="M75" s="1497">
        <v>59.758896999999997</v>
      </c>
      <c r="N75" s="1497">
        <v>48.899000000000001</v>
      </c>
      <c r="O75" s="1497">
        <v>20.608657999999998</v>
      </c>
      <c r="P75" s="1497">
        <v>820.10799999999995</v>
      </c>
      <c r="Q75" s="1504">
        <v>30.940999999999999</v>
      </c>
      <c r="R75" s="1504"/>
      <c r="S75" s="1131"/>
      <c r="T75" s="1504"/>
      <c r="U75" s="1504"/>
      <c r="V75" s="702"/>
      <c r="W75" s="702"/>
      <c r="X75" s="1492">
        <v>484.97300000000001</v>
      </c>
      <c r="Y75" s="1492">
        <v>59.445628999999997</v>
      </c>
      <c r="Z75" s="1492"/>
      <c r="AA75" s="1492"/>
      <c r="AB75" s="1492"/>
      <c r="AC75" s="1492"/>
      <c r="AD75" s="1497">
        <v>5223.01</v>
      </c>
      <c r="AE75" s="1497">
        <v>794.25419399999998</v>
      </c>
      <c r="AF75" s="1497">
        <v>4238.3190000000004</v>
      </c>
      <c r="AG75" s="1497">
        <v>719.22864000000004</v>
      </c>
      <c r="AH75" s="1497">
        <v>239.119</v>
      </c>
      <c r="AI75" s="1497">
        <v>48.339646999999999</v>
      </c>
      <c r="AJ75" s="1497"/>
      <c r="AK75" s="1497"/>
      <c r="AL75" s="1497"/>
      <c r="AM75" s="1497"/>
      <c r="AN75" s="1497"/>
      <c r="AO75" s="1497"/>
      <c r="AP75" s="1497"/>
      <c r="AQ75" s="1497"/>
      <c r="AR75" s="1497"/>
      <c r="AS75" s="1497"/>
      <c r="AT75" s="1497"/>
      <c r="AU75" s="1497"/>
      <c r="AV75" s="1497">
        <v>1411.1120000000001</v>
      </c>
      <c r="AW75" s="1497">
        <v>193.928</v>
      </c>
      <c r="AX75" s="1497">
        <v>468.07299999999998</v>
      </c>
      <c r="AY75" s="1497">
        <v>108.151696</v>
      </c>
      <c r="AZ75" s="1497">
        <v>607.226</v>
      </c>
      <c r="BA75" s="1497">
        <v>42.365780000000001</v>
      </c>
      <c r="BB75" s="1497"/>
      <c r="BC75" s="1497"/>
      <c r="BD75" s="1497"/>
      <c r="BE75" s="1497"/>
      <c r="BF75" s="1497"/>
      <c r="BG75" s="1497"/>
      <c r="BH75" s="1497"/>
      <c r="BI75" s="1497"/>
      <c r="BJ75" s="1497"/>
      <c r="BK75" s="1497"/>
      <c r="BL75" s="1497"/>
      <c r="BM75" s="1497"/>
    </row>
    <row r="76" spans="1:65" hidden="1">
      <c r="A76" s="409" t="s">
        <v>23</v>
      </c>
      <c r="B76" s="1497">
        <v>6003.4769999999999</v>
      </c>
      <c r="C76" s="1497"/>
      <c r="D76" s="1504">
        <v>2556.2449999999999</v>
      </c>
      <c r="E76" s="1504">
        <v>1400.7539999999999</v>
      </c>
      <c r="F76" s="1504">
        <v>902.25300000000004</v>
      </c>
      <c r="G76" s="1492">
        <v>1144.2249999999999</v>
      </c>
      <c r="H76" s="1504">
        <v>6406.6549999999997</v>
      </c>
      <c r="I76" s="1504">
        <v>970.25821800000006</v>
      </c>
      <c r="J76" s="1497">
        <v>4431.7539999999999</v>
      </c>
      <c r="K76" s="1492">
        <v>791.62618699999996</v>
      </c>
      <c r="L76" s="1497">
        <v>26.25</v>
      </c>
      <c r="M76" s="1497">
        <v>60.414999999999999</v>
      </c>
      <c r="N76" s="1497">
        <v>49.667000000000002</v>
      </c>
      <c r="O76" s="1497">
        <v>22.308340000000001</v>
      </c>
      <c r="P76" s="1497">
        <v>816.66499999999996</v>
      </c>
      <c r="Q76" s="1504">
        <v>30.410530000000001</v>
      </c>
      <c r="R76" s="1504"/>
      <c r="S76" s="1131"/>
      <c r="T76" s="1504"/>
      <c r="U76" s="1504"/>
      <c r="V76" s="702"/>
      <c r="W76" s="702"/>
      <c r="X76" s="1492">
        <v>482.06200000000001</v>
      </c>
      <c r="Y76" s="1492">
        <v>55.004539999999999</v>
      </c>
      <c r="Z76" s="1492"/>
      <c r="AA76" s="1492"/>
      <c r="AB76" s="1492"/>
      <c r="AC76" s="1492"/>
      <c r="AD76" s="1497">
        <v>5009.924</v>
      </c>
      <c r="AE76" s="1497">
        <v>786.19960000000003</v>
      </c>
      <c r="AF76" s="1497">
        <v>4037.0830000000001</v>
      </c>
      <c r="AG76" s="1497">
        <v>710.12895600000002</v>
      </c>
      <c r="AH76" s="1497">
        <v>236.53</v>
      </c>
      <c r="AI76" s="1497">
        <v>49.625608999999997</v>
      </c>
      <c r="AJ76" s="1497"/>
      <c r="AK76" s="1497"/>
      <c r="AL76" s="1497"/>
      <c r="AM76" s="1497"/>
      <c r="AN76" s="1497"/>
      <c r="AO76" s="1497"/>
      <c r="AP76" s="1497"/>
      <c r="AQ76" s="1497"/>
      <c r="AR76" s="1497"/>
      <c r="AS76" s="1497"/>
      <c r="AT76" s="1497"/>
      <c r="AU76" s="1497"/>
      <c r="AV76" s="1497">
        <v>1396.731</v>
      </c>
      <c r="AW76" s="1497">
        <v>184.058618</v>
      </c>
      <c r="AX76" s="1497">
        <v>444.33800000000002</v>
      </c>
      <c r="AY76" s="1497">
        <v>103.805571</v>
      </c>
      <c r="AZ76" s="1497">
        <v>606.38499999999999</v>
      </c>
      <c r="BA76" s="1497">
        <v>41.201155999999997</v>
      </c>
      <c r="BB76" s="1497"/>
      <c r="BC76" s="1497"/>
      <c r="BD76" s="1497"/>
      <c r="BE76" s="1497"/>
      <c r="BF76" s="1497"/>
      <c r="BG76" s="1497"/>
      <c r="BH76" s="1497"/>
      <c r="BI76" s="1497"/>
      <c r="BJ76" s="1497"/>
      <c r="BK76" s="1497"/>
      <c r="BL76" s="1497"/>
      <c r="BM76" s="1497"/>
    </row>
    <row r="77" spans="1:65" hidden="1">
      <c r="A77" s="409" t="s">
        <v>24</v>
      </c>
      <c r="B77" s="1497">
        <v>5827.1059999999998</v>
      </c>
      <c r="C77" s="1497"/>
      <c r="D77" s="1504">
        <v>2558.5909999999999</v>
      </c>
      <c r="E77" s="1504">
        <v>1398.3430000000001</v>
      </c>
      <c r="F77" s="1504">
        <v>712.61900000000003</v>
      </c>
      <c r="G77" s="1492">
        <v>1157.5530000000001</v>
      </c>
      <c r="H77" s="1504">
        <v>6893.5590000000002</v>
      </c>
      <c r="I77" s="1504">
        <v>1090.081764</v>
      </c>
      <c r="J77" s="1497">
        <v>4678.5879999999997</v>
      </c>
      <c r="K77" s="1492">
        <v>879.25116300000002</v>
      </c>
      <c r="L77" s="1497">
        <v>24.997</v>
      </c>
      <c r="M77" s="1497">
        <v>67.824709999999996</v>
      </c>
      <c r="N77" s="1497">
        <v>51.656999999999996</v>
      </c>
      <c r="O77" s="1497">
        <v>22.274963</v>
      </c>
      <c r="P77" s="1497">
        <v>919.93799999999999</v>
      </c>
      <c r="Q77" s="1504">
        <v>37.223067999999998</v>
      </c>
      <c r="R77" s="1504"/>
      <c r="S77" s="1131"/>
      <c r="T77" s="1504"/>
      <c r="U77" s="1504"/>
      <c r="V77" s="702"/>
      <c r="W77" s="702"/>
      <c r="X77" s="1492">
        <v>525.67899999999997</v>
      </c>
      <c r="Y77" s="1492">
        <v>71.622197999999997</v>
      </c>
      <c r="Z77" s="1492"/>
      <c r="AA77" s="1492"/>
      <c r="AB77" s="1492"/>
      <c r="AC77" s="1492"/>
      <c r="AD77" s="1497">
        <v>5357.8490000000002</v>
      </c>
      <c r="AE77" s="1497">
        <v>877.22832900000003</v>
      </c>
      <c r="AF77" s="1497">
        <v>4264.45</v>
      </c>
      <c r="AG77" s="1497">
        <v>789.21132899999998</v>
      </c>
      <c r="AH77" s="1497">
        <v>287.49700000000001</v>
      </c>
      <c r="AI77" s="1497">
        <v>56.321154</v>
      </c>
      <c r="AJ77" s="1497"/>
      <c r="AK77" s="1497"/>
      <c r="AL77" s="1497"/>
      <c r="AM77" s="1497"/>
      <c r="AN77" s="1497"/>
      <c r="AO77" s="1497"/>
      <c r="AP77" s="1497"/>
      <c r="AQ77" s="1497"/>
      <c r="AR77" s="1497"/>
      <c r="AS77" s="1497"/>
      <c r="AT77" s="1497"/>
      <c r="AU77" s="1497"/>
      <c r="AV77" s="1497">
        <v>1535.71</v>
      </c>
      <c r="AW77" s="1497">
        <v>212.85343399999999</v>
      </c>
      <c r="AX77" s="1497">
        <v>465.79500000000002</v>
      </c>
      <c r="AY77" s="1497">
        <v>112.314797</v>
      </c>
      <c r="AZ77" s="1497">
        <v>657.43799999999999</v>
      </c>
      <c r="BA77" s="1497">
        <v>48.726624000000001</v>
      </c>
      <c r="BB77" s="1497"/>
      <c r="BC77" s="1497"/>
      <c r="BD77" s="1497"/>
      <c r="BE77" s="1497"/>
      <c r="BF77" s="1497"/>
      <c r="BG77" s="1497"/>
      <c r="BH77" s="1497"/>
      <c r="BI77" s="1497"/>
      <c r="BJ77" s="1497"/>
      <c r="BK77" s="1497"/>
      <c r="BL77" s="1497"/>
      <c r="BM77" s="1497"/>
    </row>
    <row r="78" spans="1:65" hidden="1">
      <c r="A78" s="409" t="s">
        <v>25</v>
      </c>
      <c r="B78" s="1497">
        <v>5866.16</v>
      </c>
      <c r="C78" s="1497"/>
      <c r="D78" s="1504">
        <v>2544.2950000000001</v>
      </c>
      <c r="E78" s="1504">
        <v>1401.1790000000001</v>
      </c>
      <c r="F78" s="1504">
        <v>739.89599999999996</v>
      </c>
      <c r="G78" s="1492">
        <v>1180.79</v>
      </c>
      <c r="H78" s="1504">
        <v>6351.0209999999997</v>
      </c>
      <c r="I78" s="1504">
        <v>949.64862000000005</v>
      </c>
      <c r="J78" s="1497">
        <v>4264.5240000000003</v>
      </c>
      <c r="K78" s="1492">
        <v>750.14443400000005</v>
      </c>
      <c r="L78" s="1497">
        <v>23.231999999999999</v>
      </c>
      <c r="M78" s="1497">
        <v>58.360143999999998</v>
      </c>
      <c r="N78" s="1497">
        <v>49.838000000000001</v>
      </c>
      <c r="O78" s="1497">
        <v>23.671796000000001</v>
      </c>
      <c r="P78" s="1497">
        <v>820.74699999999996</v>
      </c>
      <c r="Q78" s="1504">
        <v>28.4</v>
      </c>
      <c r="R78" s="1504"/>
      <c r="S78" s="1131"/>
      <c r="T78" s="1504"/>
      <c r="U78" s="1504"/>
      <c r="V78" s="702"/>
      <c r="W78" s="702"/>
      <c r="X78" s="1492">
        <v>536.29999999999995</v>
      </c>
      <c r="Y78" s="1492">
        <v>77.400000000000006</v>
      </c>
      <c r="Z78" s="1492"/>
      <c r="AA78" s="1492"/>
      <c r="AB78" s="1492"/>
      <c r="AC78" s="1492"/>
      <c r="AD78" s="1497">
        <v>4899.7</v>
      </c>
      <c r="AE78" s="1497">
        <v>750.9</v>
      </c>
      <c r="AF78" s="1497">
        <v>3875</v>
      </c>
      <c r="AG78" s="1497">
        <v>672.40764899999999</v>
      </c>
      <c r="AH78" s="1497">
        <v>257.91199999999998</v>
      </c>
      <c r="AI78" s="1497">
        <v>45.103380999999999</v>
      </c>
      <c r="AJ78" s="1497"/>
      <c r="AK78" s="1497"/>
      <c r="AL78" s="1497"/>
      <c r="AM78" s="1497"/>
      <c r="AN78" s="1497"/>
      <c r="AO78" s="1497"/>
      <c r="AP78" s="1497"/>
      <c r="AQ78" s="1497"/>
      <c r="AR78" s="1497"/>
      <c r="AS78" s="1497"/>
      <c r="AT78" s="1497"/>
      <c r="AU78" s="1497"/>
      <c r="AV78" s="1497">
        <v>1451.296</v>
      </c>
      <c r="AW78" s="1497">
        <v>198.73371599999999</v>
      </c>
      <c r="AX78" s="1497">
        <v>439.01499999999999</v>
      </c>
      <c r="AY78" s="1497">
        <v>101.408581</v>
      </c>
      <c r="AZ78" s="1497">
        <v>586.06700000000001</v>
      </c>
      <c r="BA78" s="1497">
        <v>41.654286999999997</v>
      </c>
      <c r="BB78" s="1497"/>
      <c r="BC78" s="1497"/>
      <c r="BD78" s="1497"/>
      <c r="BE78" s="1497"/>
      <c r="BF78" s="1497"/>
      <c r="BG78" s="1497"/>
      <c r="BH78" s="1497"/>
      <c r="BI78" s="1497"/>
      <c r="BJ78" s="1497"/>
      <c r="BK78" s="1497"/>
      <c r="BL78" s="1497"/>
      <c r="BM78" s="1497"/>
    </row>
    <row r="79" spans="1:65" hidden="1">
      <c r="A79" s="409" t="s">
        <v>26</v>
      </c>
      <c r="B79" s="1497">
        <v>5990.8469999999998</v>
      </c>
      <c r="C79" s="1497"/>
      <c r="D79" s="1504">
        <v>2557.9380000000001</v>
      </c>
      <c r="E79" s="1504">
        <v>1412.5309999999999</v>
      </c>
      <c r="F79" s="1504">
        <v>766.62800000000004</v>
      </c>
      <c r="G79" s="1492">
        <v>1253.75</v>
      </c>
      <c r="H79" s="1504">
        <v>6667.9870000000001</v>
      </c>
      <c r="I79" s="1504">
        <v>983.95674299999996</v>
      </c>
      <c r="J79" s="1497">
        <v>4600.4399999999996</v>
      </c>
      <c r="K79" s="1492">
        <v>783.49029700000006</v>
      </c>
      <c r="L79" s="1497">
        <v>23.631</v>
      </c>
      <c r="M79" s="1497">
        <v>60.741444999999999</v>
      </c>
      <c r="N79" s="1497">
        <v>51.423999999999999</v>
      </c>
      <c r="O79" s="1497">
        <v>23.729980000000001</v>
      </c>
      <c r="P79" s="1497">
        <v>802.79700000000003</v>
      </c>
      <c r="Q79" s="1504">
        <v>32.122777999999997</v>
      </c>
      <c r="R79" s="1504"/>
      <c r="S79" s="1131"/>
      <c r="T79" s="1504"/>
      <c r="U79" s="1504"/>
      <c r="V79" s="702"/>
      <c r="W79" s="702"/>
      <c r="X79" s="1492">
        <v>530.255</v>
      </c>
      <c r="Y79" s="1492">
        <v>71.416880000000006</v>
      </c>
      <c r="Z79" s="1492"/>
      <c r="AA79" s="1492"/>
      <c r="AB79" s="1492"/>
      <c r="AC79" s="1492"/>
      <c r="AD79" s="1497">
        <v>5202.5600000000004</v>
      </c>
      <c r="AE79" s="1497">
        <v>776.71330799999998</v>
      </c>
      <c r="AF79" s="1497">
        <v>4145.9629999999997</v>
      </c>
      <c r="AG79" s="1497">
        <v>693.11076600000001</v>
      </c>
      <c r="AH79" s="1497">
        <v>283.19600000000003</v>
      </c>
      <c r="AI79" s="1497">
        <v>51.682613000000003</v>
      </c>
      <c r="AJ79" s="1497"/>
      <c r="AK79" s="1497"/>
      <c r="AL79" s="1497"/>
      <c r="AM79" s="1497"/>
      <c r="AN79" s="1497"/>
      <c r="AO79" s="1497"/>
      <c r="AP79" s="1497"/>
      <c r="AQ79" s="1497"/>
      <c r="AR79" s="1497"/>
      <c r="AS79" s="1497"/>
      <c r="AT79" s="1497"/>
      <c r="AU79" s="1497"/>
      <c r="AV79" s="1497">
        <v>1465.4269999999999</v>
      </c>
      <c r="AW79" s="1497">
        <v>207.24343500000001</v>
      </c>
      <c r="AX79" s="1497">
        <v>505.90100000000001</v>
      </c>
      <c r="AY79" s="1497">
        <v>114.109511</v>
      </c>
      <c r="AZ79" s="1497">
        <v>543.23199999999997</v>
      </c>
      <c r="BA79" s="1497">
        <v>41.181609000000002</v>
      </c>
      <c r="BB79" s="1497"/>
      <c r="BC79" s="1497"/>
      <c r="BD79" s="1497"/>
      <c r="BE79" s="1497"/>
      <c r="BF79" s="1497"/>
      <c r="BG79" s="1497"/>
      <c r="BH79" s="1497"/>
      <c r="BI79" s="1497"/>
      <c r="BJ79" s="1497"/>
      <c r="BK79" s="1497"/>
      <c r="BL79" s="1497"/>
      <c r="BM79" s="1497"/>
    </row>
    <row r="80" spans="1:65" hidden="1">
      <c r="A80" s="409" t="s">
        <v>27</v>
      </c>
      <c r="B80" s="1497">
        <v>5864.0619999999999</v>
      </c>
      <c r="C80" s="1497"/>
      <c r="D80" s="1504">
        <v>2478.5169999999998</v>
      </c>
      <c r="E80" s="1504">
        <v>1409.1959999999999</v>
      </c>
      <c r="F80" s="1504">
        <v>750.66899999999998</v>
      </c>
      <c r="G80" s="1492">
        <v>1225.68</v>
      </c>
      <c r="H80" s="1504">
        <v>6708.83</v>
      </c>
      <c r="I80" s="1504">
        <v>989.34461099999999</v>
      </c>
      <c r="J80" s="1497">
        <v>4602</v>
      </c>
      <c r="K80" s="1492">
        <v>797.06431699999996</v>
      </c>
      <c r="L80" s="1497">
        <v>23.274999999999999</v>
      </c>
      <c r="M80" s="1497">
        <v>60.100195999999997</v>
      </c>
      <c r="N80" s="1497">
        <v>45.237000000000002</v>
      </c>
      <c r="O80" s="1497">
        <v>17.626608000000001</v>
      </c>
      <c r="P80" s="1497">
        <v>797.827</v>
      </c>
      <c r="Q80" s="1504">
        <v>32.818995999999999</v>
      </c>
      <c r="R80" s="1504"/>
      <c r="S80" s="1131"/>
      <c r="T80" s="1504"/>
      <c r="U80" s="1504"/>
      <c r="V80" s="702"/>
      <c r="W80" s="702"/>
      <c r="X80" s="1492">
        <v>544.66600000000005</v>
      </c>
      <c r="Y80" s="1492">
        <v>65.045432000000005</v>
      </c>
      <c r="Z80" s="1492"/>
      <c r="AA80" s="1492"/>
      <c r="AB80" s="1492"/>
      <c r="AC80" s="1492"/>
      <c r="AD80" s="1497">
        <v>5236.8370000000004</v>
      </c>
      <c r="AE80" s="1497">
        <v>787.70974799999999</v>
      </c>
      <c r="AF80" s="1497">
        <v>4130.4610000000002</v>
      </c>
      <c r="AG80" s="1497">
        <v>703.81917499999997</v>
      </c>
      <c r="AH80" s="1497">
        <v>287.16000000000003</v>
      </c>
      <c r="AI80" s="1497">
        <v>51.287520999999998</v>
      </c>
      <c r="AJ80" s="1497"/>
      <c r="AK80" s="1497"/>
      <c r="AL80" s="1497"/>
      <c r="AM80" s="1497"/>
      <c r="AN80" s="1497"/>
      <c r="AO80" s="1497"/>
      <c r="AP80" s="1497"/>
      <c r="AQ80" s="1497"/>
      <c r="AR80" s="1497"/>
      <c r="AS80" s="1497"/>
      <c r="AT80" s="1497"/>
      <c r="AU80" s="1497"/>
      <c r="AV80" s="1497">
        <v>1471.9929999999999</v>
      </c>
      <c r="AW80" s="1497">
        <v>201.634862</v>
      </c>
      <c r="AX80" s="1497">
        <v>517.74</v>
      </c>
      <c r="AY80" s="1497">
        <v>110.87174899999999</v>
      </c>
      <c r="AZ80" s="1497">
        <v>533.94200000000001</v>
      </c>
      <c r="BA80" s="1497">
        <v>41.631672000000002</v>
      </c>
      <c r="BB80" s="1497"/>
      <c r="BC80" s="1497"/>
      <c r="BD80" s="1497"/>
      <c r="BE80" s="1497"/>
      <c r="BF80" s="1497"/>
      <c r="BG80" s="1497"/>
      <c r="BH80" s="1497"/>
      <c r="BI80" s="1497"/>
      <c r="BJ80" s="1497"/>
      <c r="BK80" s="1497"/>
      <c r="BL80" s="1497"/>
      <c r="BM80" s="1497"/>
    </row>
    <row r="81" spans="1:65" hidden="1">
      <c r="A81" s="409" t="s">
        <v>28</v>
      </c>
      <c r="B81" s="1497">
        <v>5948.3630000000003</v>
      </c>
      <c r="C81" s="1497"/>
      <c r="D81" s="1504">
        <v>2483.1170000000002</v>
      </c>
      <c r="E81" s="1504">
        <v>1429.067</v>
      </c>
      <c r="F81" s="1504">
        <v>771.33600000000001</v>
      </c>
      <c r="G81" s="1492">
        <v>1264.8430000000001</v>
      </c>
      <c r="H81" s="1504">
        <v>6645.29</v>
      </c>
      <c r="I81" s="1504">
        <v>977.29217700000004</v>
      </c>
      <c r="J81" s="1497">
        <v>4467.9949999999999</v>
      </c>
      <c r="K81" s="1492">
        <v>786.07399899999996</v>
      </c>
      <c r="L81" s="1497">
        <v>25.094000000000001</v>
      </c>
      <c r="M81" s="1497">
        <v>59.149683000000003</v>
      </c>
      <c r="N81" s="1497">
        <v>44.024000000000001</v>
      </c>
      <c r="O81" s="1497">
        <v>19.20298</v>
      </c>
      <c r="P81" s="1497">
        <v>836.14800000000002</v>
      </c>
      <c r="Q81" s="1504">
        <v>35.140304999999998</v>
      </c>
      <c r="R81" s="1504"/>
      <c r="S81" s="1131"/>
      <c r="T81" s="1504"/>
      <c r="U81" s="1504"/>
      <c r="V81" s="702"/>
      <c r="W81" s="702"/>
      <c r="X81" s="1492">
        <v>568.37800000000004</v>
      </c>
      <c r="Y81" s="1492">
        <v>59.757213</v>
      </c>
      <c r="Z81" s="1492"/>
      <c r="AA81" s="1492"/>
      <c r="AB81" s="1492"/>
      <c r="AC81" s="1492"/>
      <c r="AD81" s="1497">
        <v>5128.607</v>
      </c>
      <c r="AE81" s="1497">
        <v>783.63996299999997</v>
      </c>
      <c r="AF81" s="1497">
        <v>4024.0329999999999</v>
      </c>
      <c r="AG81" s="1497">
        <v>700.80901200000005</v>
      </c>
      <c r="AH81" s="1497">
        <v>227.12899999999999</v>
      </c>
      <c r="AI81" s="1497">
        <v>50.469031000000001</v>
      </c>
      <c r="AJ81" s="1497"/>
      <c r="AK81" s="1497"/>
      <c r="AL81" s="1497"/>
      <c r="AM81" s="1497"/>
      <c r="AN81" s="1497"/>
      <c r="AO81" s="1497"/>
      <c r="AP81" s="1497"/>
      <c r="AQ81" s="1497"/>
      <c r="AR81" s="1497"/>
      <c r="AS81" s="1497"/>
      <c r="AT81" s="1497"/>
      <c r="AU81" s="1497"/>
      <c r="AV81" s="1497">
        <v>1516.683</v>
      </c>
      <c r="AW81" s="1497">
        <v>193.65221399999999</v>
      </c>
      <c r="AX81" s="1497">
        <v>487.98599999999999</v>
      </c>
      <c r="AY81" s="1497">
        <v>104.467967</v>
      </c>
      <c r="AZ81" s="1497">
        <v>584.11300000000006</v>
      </c>
      <c r="BA81" s="1497">
        <v>43.820957</v>
      </c>
      <c r="BB81" s="1497"/>
      <c r="BC81" s="1497"/>
      <c r="BD81" s="1497"/>
      <c r="BE81" s="1497"/>
      <c r="BF81" s="1497"/>
      <c r="BG81" s="1497"/>
      <c r="BH81" s="1497"/>
      <c r="BI81" s="1497"/>
      <c r="BJ81" s="1497"/>
      <c r="BK81" s="1497"/>
      <c r="BL81" s="1497"/>
      <c r="BM81" s="1497"/>
    </row>
    <row r="82" spans="1:65" hidden="1">
      <c r="A82" s="409" t="s">
        <v>29</v>
      </c>
      <c r="B82" s="1497">
        <v>5965.2070000000003</v>
      </c>
      <c r="C82" s="1497"/>
      <c r="D82" s="1504">
        <v>2426.3000000000002</v>
      </c>
      <c r="E82" s="1504">
        <v>1443.6769999999999</v>
      </c>
      <c r="F82" s="1504">
        <v>793.53200000000004</v>
      </c>
      <c r="G82" s="1492">
        <v>1301.6980000000001</v>
      </c>
      <c r="H82" s="1504">
        <v>8030.375</v>
      </c>
      <c r="I82" s="1504">
        <v>1245.2342530000001</v>
      </c>
      <c r="J82" s="1497">
        <v>5482.8969999999999</v>
      </c>
      <c r="K82" s="1492">
        <v>1006.294298</v>
      </c>
      <c r="L82" s="1497">
        <v>32.875</v>
      </c>
      <c r="M82" s="1497">
        <v>83.743405999999993</v>
      </c>
      <c r="N82" s="1497">
        <v>50.722000000000001</v>
      </c>
      <c r="O82" s="1497">
        <v>25.933302000000001</v>
      </c>
      <c r="P82" s="1497">
        <v>987.55</v>
      </c>
      <c r="Q82" s="1504">
        <v>41.373483</v>
      </c>
      <c r="R82" s="1504"/>
      <c r="S82" s="1131"/>
      <c r="T82" s="1504"/>
      <c r="U82" s="1504"/>
      <c r="V82" s="702"/>
      <c r="W82" s="702"/>
      <c r="X82" s="1492">
        <v>655.83140000000003</v>
      </c>
      <c r="Y82" s="1492">
        <v>69.081211999999994</v>
      </c>
      <c r="Z82" s="1492"/>
      <c r="AA82" s="1492"/>
      <c r="AB82" s="1492"/>
      <c r="AC82" s="1492"/>
      <c r="AD82" s="1497">
        <v>6259.6679999999997</v>
      </c>
      <c r="AE82" s="1497">
        <v>999.73856000000001</v>
      </c>
      <c r="AF82" s="1497">
        <v>4916.3029999999999</v>
      </c>
      <c r="AG82" s="1497">
        <v>890.20709599999998</v>
      </c>
      <c r="AH82" s="1497">
        <v>366.25599999999997</v>
      </c>
      <c r="AI82" s="1497">
        <v>72.072784999999996</v>
      </c>
      <c r="AJ82" s="1497"/>
      <c r="AK82" s="1497"/>
      <c r="AL82" s="1497"/>
      <c r="AM82" s="1497"/>
      <c r="AN82" s="1497"/>
      <c r="AO82" s="1497"/>
      <c r="AP82" s="1497"/>
      <c r="AQ82" s="1497"/>
      <c r="AR82" s="1497"/>
      <c r="AS82" s="1497"/>
      <c r="AT82" s="1497"/>
      <c r="AU82" s="1497"/>
      <c r="AV82" s="1497">
        <v>1770.7070000000001</v>
      </c>
      <c r="AW82" s="1497">
        <v>245.49569199999999</v>
      </c>
      <c r="AX82" s="1497">
        <v>617.31600000000003</v>
      </c>
      <c r="AY82" s="1497">
        <v>142.02050399999999</v>
      </c>
      <c r="AZ82" s="1497">
        <v>654.16899999999998</v>
      </c>
      <c r="BA82" s="1497">
        <v>53.044103</v>
      </c>
      <c r="BB82" s="1497"/>
      <c r="BC82" s="1497"/>
      <c r="BD82" s="1497"/>
      <c r="BE82" s="1497"/>
      <c r="BF82" s="1497"/>
      <c r="BG82" s="1497"/>
      <c r="BH82" s="1497"/>
      <c r="BI82" s="1497"/>
      <c r="BJ82" s="1497"/>
      <c r="BK82" s="1497"/>
      <c r="BL82" s="1497"/>
      <c r="BM82" s="1497"/>
    </row>
    <row r="83" spans="1:65">
      <c r="A83" s="409" t="s">
        <v>1816</v>
      </c>
      <c r="B83" s="1505">
        <v>5659.4589999999998</v>
      </c>
      <c r="C83" s="1505"/>
      <c r="D83" s="1505">
        <v>2451.259</v>
      </c>
      <c r="E83" s="1505">
        <v>1466.752</v>
      </c>
      <c r="F83" s="1505">
        <v>731.75400000000002</v>
      </c>
      <c r="G83" s="1499">
        <v>1009.736</v>
      </c>
      <c r="H83" s="702">
        <f t="shared" ref="H83:Q83" si="15">SUM(H84:H95)</f>
        <v>85218.361000000004</v>
      </c>
      <c r="I83" s="702">
        <f t="shared" si="15"/>
        <v>12471.956833732002</v>
      </c>
      <c r="J83" s="702">
        <f t="shared" si="15"/>
        <v>56306.697999999997</v>
      </c>
      <c r="K83" s="702">
        <f t="shared" si="15"/>
        <v>9736.3427420499993</v>
      </c>
      <c r="L83" s="702">
        <f t="shared" si="15"/>
        <v>341.74600000000004</v>
      </c>
      <c r="M83" s="702">
        <f t="shared" si="15"/>
        <v>816.44843787999991</v>
      </c>
      <c r="N83" s="702">
        <f t="shared" si="15"/>
        <v>676.26700000000005</v>
      </c>
      <c r="O83" s="702">
        <f t="shared" si="15"/>
        <v>337.079791</v>
      </c>
      <c r="P83" s="702">
        <f t="shared" si="15"/>
        <v>9748.8070000000025</v>
      </c>
      <c r="Q83" s="702">
        <f t="shared" si="15"/>
        <v>394.40349600000002</v>
      </c>
      <c r="R83" s="702"/>
      <c r="S83" s="1130"/>
      <c r="T83" s="702">
        <v>11539</v>
      </c>
      <c r="U83" s="702">
        <v>283</v>
      </c>
      <c r="V83" s="702"/>
      <c r="W83" s="702"/>
      <c r="X83" s="702">
        <f>SUM(X84:X95)</f>
        <v>6634.9660000000003</v>
      </c>
      <c r="Y83" s="702">
        <f>SUM(Y84:Y95)</f>
        <v>836.05634299999997</v>
      </c>
      <c r="Z83" s="702"/>
      <c r="AA83" s="702"/>
      <c r="AB83" s="702"/>
      <c r="AC83" s="702"/>
      <c r="AD83" s="702">
        <f t="shared" ref="AD83:AI83" si="16">SUM(AD84:AD95)</f>
        <v>67739.304999999993</v>
      </c>
      <c r="AE83" s="702">
        <f t="shared" si="16"/>
        <v>10185.014447000001</v>
      </c>
      <c r="AF83" s="702">
        <f t="shared" si="16"/>
        <v>51718.557000000008</v>
      </c>
      <c r="AG83" s="702">
        <f t="shared" si="16"/>
        <v>8995.4527550000003</v>
      </c>
      <c r="AH83" s="702">
        <f t="shared" si="16"/>
        <v>3850.3139999999999</v>
      </c>
      <c r="AI83" s="702">
        <f t="shared" si="16"/>
        <v>706.29400400000009</v>
      </c>
      <c r="AJ83" s="702"/>
      <c r="AK83" s="702"/>
      <c r="AL83" s="702">
        <v>8518</v>
      </c>
      <c r="AM83" s="702">
        <v>141</v>
      </c>
      <c r="AN83" s="702"/>
      <c r="AO83" s="702"/>
      <c r="AP83" s="702">
        <v>3681.576</v>
      </c>
      <c r="AQ83" s="702">
        <v>342.88858299999998</v>
      </c>
      <c r="AR83" s="702"/>
      <c r="AS83" s="702"/>
      <c r="AT83" s="702"/>
      <c r="AU83" s="702"/>
      <c r="AV83" s="702">
        <f t="shared" ref="AV83:BA83" si="17">SUM(AV84:AV95)</f>
        <v>17478.786</v>
      </c>
      <c r="AW83" s="702">
        <f t="shared" si="17"/>
        <v>2286.9423790000001</v>
      </c>
      <c r="AX83" s="702">
        <f t="shared" si="17"/>
        <v>5264.4079999999994</v>
      </c>
      <c r="AY83" s="702">
        <f t="shared" si="17"/>
        <v>1146.2038340000001</v>
      </c>
      <c r="AZ83" s="702">
        <f t="shared" si="17"/>
        <v>6239.9260000000004</v>
      </c>
      <c r="BA83" s="702">
        <f t="shared" si="17"/>
        <v>504.55709599999989</v>
      </c>
      <c r="BB83" s="702"/>
      <c r="BC83" s="702"/>
      <c r="BD83" s="702">
        <v>3020</v>
      </c>
      <c r="BE83" s="702">
        <v>142</v>
      </c>
      <c r="BF83" s="702"/>
      <c r="BG83" s="702"/>
      <c r="BH83" s="702">
        <v>2953.39</v>
      </c>
      <c r="BI83" s="702">
        <v>493.16776299999998</v>
      </c>
      <c r="BJ83" s="702"/>
      <c r="BK83" s="702"/>
      <c r="BL83" s="702"/>
      <c r="BM83" s="702"/>
    </row>
    <row r="84" spans="1:65" hidden="1">
      <c r="A84" s="409" t="s">
        <v>18</v>
      </c>
      <c r="B84" s="1497">
        <v>6017.7079999999996</v>
      </c>
      <c r="C84" s="1497"/>
      <c r="D84" s="1504">
        <v>2440.6060000000002</v>
      </c>
      <c r="E84" s="1504">
        <v>1437.8430000000001</v>
      </c>
      <c r="F84" s="1504">
        <v>817.50199999999995</v>
      </c>
      <c r="G84" s="1492">
        <v>1321.7570000000001</v>
      </c>
      <c r="H84" s="1504">
        <v>6417.7430000000004</v>
      </c>
      <c r="I84" s="1504">
        <v>899.36582799999996</v>
      </c>
      <c r="J84" s="1497">
        <v>4041.748</v>
      </c>
      <c r="K84" s="1492">
        <v>696.41009899999995</v>
      </c>
      <c r="L84" s="1497">
        <v>25.907</v>
      </c>
      <c r="M84" s="1497">
        <v>57.691527999999998</v>
      </c>
      <c r="N84" s="1497">
        <v>44.396999999999998</v>
      </c>
      <c r="O84" s="1497">
        <v>24.051625000000001</v>
      </c>
      <c r="P84" s="1497">
        <v>858.274</v>
      </c>
      <c r="Q84" s="1504">
        <v>32.528063000000003</v>
      </c>
      <c r="R84" s="1504"/>
      <c r="S84" s="1131"/>
      <c r="T84" s="1504"/>
      <c r="U84" s="1504"/>
      <c r="V84" s="1504"/>
      <c r="W84" s="1504"/>
      <c r="X84" s="1492">
        <v>628.63300000000004</v>
      </c>
      <c r="Y84" s="1492">
        <v>69.630151999999995</v>
      </c>
      <c r="Z84" s="1492"/>
      <c r="AA84" s="1492"/>
      <c r="AB84" s="1492"/>
      <c r="AC84" s="1492"/>
      <c r="AD84" s="1497">
        <v>4771.5389999999998</v>
      </c>
      <c r="AE84" s="1497">
        <v>685.66134</v>
      </c>
      <c r="AF84" s="1497">
        <v>3533.788</v>
      </c>
      <c r="AG84" s="1497">
        <v>604.04528600000003</v>
      </c>
      <c r="AH84" s="1497">
        <v>302.839</v>
      </c>
      <c r="AI84" s="1497">
        <v>46.949672</v>
      </c>
      <c r="AJ84" s="1497"/>
      <c r="AK84" s="1497"/>
      <c r="AL84" s="1497"/>
      <c r="AM84" s="1497"/>
      <c r="AN84" s="1497"/>
      <c r="AO84" s="1497"/>
      <c r="AP84" s="1497"/>
      <c r="AQ84" s="1497"/>
      <c r="AR84" s="1497"/>
      <c r="AS84" s="1497"/>
      <c r="AT84" s="1497"/>
      <c r="AU84" s="1497"/>
      <c r="AV84" s="1497">
        <v>1646.204</v>
      </c>
      <c r="AW84" s="1497">
        <v>213.704487</v>
      </c>
      <c r="AX84" s="1497">
        <v>552.35699999999997</v>
      </c>
      <c r="AY84" s="1497">
        <v>116.416439</v>
      </c>
      <c r="AZ84" s="1497">
        <v>581.34199999999998</v>
      </c>
      <c r="BA84" s="1497">
        <v>43.269919000000002</v>
      </c>
      <c r="BB84" s="1497"/>
      <c r="BC84" s="1497"/>
      <c r="BD84" s="1497"/>
      <c r="BE84" s="1497"/>
      <c r="BF84" s="1497"/>
      <c r="BG84" s="1497"/>
      <c r="BH84" s="1497"/>
      <c r="BI84" s="1497"/>
      <c r="BJ84" s="1497"/>
      <c r="BK84" s="1497"/>
      <c r="BL84" s="1497"/>
      <c r="BM84" s="1497"/>
    </row>
    <row r="85" spans="1:65" hidden="1">
      <c r="A85" s="409" t="s">
        <v>19</v>
      </c>
      <c r="B85" s="1504">
        <v>6032.3149999999996</v>
      </c>
      <c r="C85" s="1504"/>
      <c r="D85" s="1504">
        <v>2447.0970000000002</v>
      </c>
      <c r="E85" s="1504">
        <v>1441.21</v>
      </c>
      <c r="F85" s="1504">
        <v>834.34199999999998</v>
      </c>
      <c r="G85" s="1492">
        <v>1318.5070000000001</v>
      </c>
      <c r="H85" s="1504">
        <v>6838.2219999999998</v>
      </c>
      <c r="I85" s="1504">
        <v>1077.4183390000001</v>
      </c>
      <c r="J85" s="1497">
        <v>4592.2790000000005</v>
      </c>
      <c r="K85" s="1492">
        <v>848.78621399999997</v>
      </c>
      <c r="L85" s="1497">
        <v>31.491</v>
      </c>
      <c r="M85" s="1497">
        <v>93.452937000000006</v>
      </c>
      <c r="N85" s="1497">
        <v>47.731999999999999</v>
      </c>
      <c r="O85" s="1497">
        <v>26.222273999999999</v>
      </c>
      <c r="P85" s="1497">
        <v>831.19799999999998</v>
      </c>
      <c r="Q85" s="1504">
        <v>30.648026000000002</v>
      </c>
      <c r="R85" s="1504"/>
      <c r="S85" s="1131"/>
      <c r="T85" s="1504"/>
      <c r="U85" s="1504"/>
      <c r="V85" s="1504"/>
      <c r="W85" s="1504"/>
      <c r="X85" s="1492">
        <v>526.22</v>
      </c>
      <c r="Y85" s="1492">
        <v>58.248010999999998</v>
      </c>
      <c r="Z85" s="1492"/>
      <c r="AA85" s="1492"/>
      <c r="AB85" s="1492"/>
      <c r="AC85" s="1492"/>
      <c r="AD85" s="1497">
        <v>5321.5159999999996</v>
      </c>
      <c r="AE85" s="1497">
        <v>866.60880099999997</v>
      </c>
      <c r="AF85" s="1497">
        <v>4138.37</v>
      </c>
      <c r="AG85" s="1497">
        <v>760.02604899999994</v>
      </c>
      <c r="AH85" s="1497">
        <v>293.53899999999999</v>
      </c>
      <c r="AI85" s="1497">
        <v>72.389578999999998</v>
      </c>
      <c r="AJ85" s="1497"/>
      <c r="AK85" s="1497"/>
      <c r="AL85" s="1497"/>
      <c r="AM85" s="1497"/>
      <c r="AN85" s="1497"/>
      <c r="AO85" s="1497"/>
      <c r="AP85" s="1497"/>
      <c r="AQ85" s="1497"/>
      <c r="AR85" s="1497"/>
      <c r="AS85" s="1497"/>
      <c r="AT85" s="1497"/>
      <c r="AU85" s="1497"/>
      <c r="AV85" s="1497">
        <v>1516.7059999999999</v>
      </c>
      <c r="AW85" s="1497">
        <v>210.80953700000001</v>
      </c>
      <c r="AX85" s="1497">
        <v>501.64100000000002</v>
      </c>
      <c r="AY85" s="1497">
        <v>114.982439</v>
      </c>
      <c r="AZ85" s="1497">
        <v>569.15</v>
      </c>
      <c r="BA85" s="1497">
        <v>51.711384000000002</v>
      </c>
      <c r="BB85" s="1497"/>
      <c r="BC85" s="1497"/>
      <c r="BD85" s="1497"/>
      <c r="BE85" s="1497"/>
      <c r="BF85" s="1497"/>
      <c r="BG85" s="1497"/>
      <c r="BH85" s="1497"/>
      <c r="BI85" s="1497"/>
      <c r="BJ85" s="1497"/>
      <c r="BK85" s="1497"/>
      <c r="BL85" s="1497"/>
      <c r="BM85" s="1497"/>
    </row>
    <row r="86" spans="1:65" hidden="1">
      <c r="A86" s="409" t="s">
        <v>20</v>
      </c>
      <c r="B86" s="1504">
        <v>6037.6459999999997</v>
      </c>
      <c r="C86" s="1504"/>
      <c r="D86" s="1504">
        <v>2460.817</v>
      </c>
      <c r="E86" s="1504">
        <v>1441.748</v>
      </c>
      <c r="F86" s="1504">
        <v>853.70100000000002</v>
      </c>
      <c r="G86" s="1492">
        <v>1281.3800000000001</v>
      </c>
      <c r="H86" s="1504">
        <v>7636.8320000000003</v>
      </c>
      <c r="I86" s="1504">
        <v>1136.897874</v>
      </c>
      <c r="J86" s="1497">
        <v>5123.07</v>
      </c>
      <c r="K86" s="1492">
        <v>894.35684400000002</v>
      </c>
      <c r="L86" s="1497">
        <v>29.030999999999999</v>
      </c>
      <c r="M86" s="1497">
        <v>82.639399999999995</v>
      </c>
      <c r="N86" s="1497">
        <v>47.948</v>
      </c>
      <c r="O86" s="1497">
        <v>24.205006000000001</v>
      </c>
      <c r="P86" s="1497">
        <v>908.44299999999998</v>
      </c>
      <c r="Q86" s="1504">
        <v>34.388142000000002</v>
      </c>
      <c r="R86" s="1504"/>
      <c r="S86" s="1131"/>
      <c r="T86" s="1504"/>
      <c r="U86" s="1504"/>
      <c r="V86" s="1504"/>
      <c r="W86" s="1504"/>
      <c r="X86" s="1492">
        <v>579.50300000000004</v>
      </c>
      <c r="Y86" s="1492">
        <v>80.210808999999998</v>
      </c>
      <c r="Z86" s="1492"/>
      <c r="AA86" s="1492"/>
      <c r="AB86" s="1492"/>
      <c r="AC86" s="1492"/>
      <c r="AD86" s="1497">
        <v>6039.13</v>
      </c>
      <c r="AE86" s="1497">
        <v>917.564978</v>
      </c>
      <c r="AF86" s="1497">
        <v>4679.2870000000003</v>
      </c>
      <c r="AG86" s="1497">
        <v>811.52276099999995</v>
      </c>
      <c r="AH86" s="1497">
        <v>328.096</v>
      </c>
      <c r="AI86" s="1497">
        <v>65.745133999999993</v>
      </c>
      <c r="AJ86" s="1497"/>
      <c r="AK86" s="1497"/>
      <c r="AL86" s="1497"/>
      <c r="AM86" s="1497"/>
      <c r="AN86" s="1497"/>
      <c r="AO86" s="1497"/>
      <c r="AP86" s="1497"/>
      <c r="AQ86" s="1497"/>
      <c r="AR86" s="1497"/>
      <c r="AS86" s="1497"/>
      <c r="AT86" s="1497"/>
      <c r="AU86" s="1497"/>
      <c r="AV86" s="1497">
        <v>1597.702</v>
      </c>
      <c r="AW86" s="1497">
        <v>219.33289600000001</v>
      </c>
      <c r="AX86" s="1497">
        <v>491.73099999999999</v>
      </c>
      <c r="AY86" s="1497">
        <v>107.039089</v>
      </c>
      <c r="AZ86" s="1497">
        <v>609.37800000000004</v>
      </c>
      <c r="BA86" s="1497">
        <v>51.282407999999997</v>
      </c>
      <c r="BB86" s="1497"/>
      <c r="BC86" s="1497"/>
      <c r="BD86" s="1497"/>
      <c r="BE86" s="1497"/>
      <c r="BF86" s="1497"/>
      <c r="BG86" s="1497"/>
      <c r="BH86" s="1497"/>
      <c r="BI86" s="1497"/>
      <c r="BJ86" s="1497"/>
      <c r="BK86" s="1497"/>
      <c r="BL86" s="1497"/>
      <c r="BM86" s="1497"/>
    </row>
    <row r="87" spans="1:65" hidden="1">
      <c r="A87" s="409" t="s">
        <v>21</v>
      </c>
      <c r="B87" s="1504">
        <v>6048.616</v>
      </c>
      <c r="C87" s="1504"/>
      <c r="D87" s="1504">
        <v>2471.239</v>
      </c>
      <c r="E87" s="1504">
        <v>1443.7339999999999</v>
      </c>
      <c r="F87" s="1504">
        <v>869.91399999999999</v>
      </c>
      <c r="G87" s="1492">
        <v>1263.729</v>
      </c>
      <c r="H87" s="1504">
        <v>7074.6549999999997</v>
      </c>
      <c r="I87" s="1504">
        <v>1052.7459140000001</v>
      </c>
      <c r="J87" s="1497">
        <v>4689.3289999999997</v>
      </c>
      <c r="K87" s="1492">
        <v>831.17927899999995</v>
      </c>
      <c r="L87" s="1497">
        <v>31.338000000000001</v>
      </c>
      <c r="M87" s="1497">
        <v>82.119279000000006</v>
      </c>
      <c r="N87" s="1497">
        <v>47.079000000000001</v>
      </c>
      <c r="O87" s="1497">
        <v>26.654919</v>
      </c>
      <c r="P87" s="1497">
        <v>830.83600000000001</v>
      </c>
      <c r="Q87" s="1504">
        <v>29.812194000000002</v>
      </c>
      <c r="R87" s="1504"/>
      <c r="S87" s="1131"/>
      <c r="T87" s="1504"/>
      <c r="U87" s="1504"/>
      <c r="V87" s="1504"/>
      <c r="W87" s="1504"/>
      <c r="X87" s="1492">
        <v>510.47300000000001</v>
      </c>
      <c r="Y87" s="1492">
        <v>61.955136000000003</v>
      </c>
      <c r="Z87" s="1492"/>
      <c r="AA87" s="1492"/>
      <c r="AB87" s="1492"/>
      <c r="AC87" s="1492"/>
      <c r="AD87" s="1497">
        <v>5554.665</v>
      </c>
      <c r="AE87" s="1497">
        <v>857.85576500000002</v>
      </c>
      <c r="AF87" s="1497">
        <v>4264.45</v>
      </c>
      <c r="AG87" s="1497">
        <v>754.82326699999999</v>
      </c>
      <c r="AH87" s="1497">
        <v>302.75799999999998</v>
      </c>
      <c r="AI87" s="1497">
        <v>66.721624000000006</v>
      </c>
      <c r="AJ87" s="1497"/>
      <c r="AK87" s="1497"/>
      <c r="AL87" s="1497"/>
      <c r="AM87" s="1497"/>
      <c r="AN87" s="1497"/>
      <c r="AO87" s="1497"/>
      <c r="AP87" s="1497"/>
      <c r="AQ87" s="1497"/>
      <c r="AR87" s="1497"/>
      <c r="AS87" s="1497"/>
      <c r="AT87" s="1497"/>
      <c r="AU87" s="1497"/>
      <c r="AV87" s="1497">
        <v>1519.99</v>
      </c>
      <c r="AW87" s="1497">
        <v>194.89014900000001</v>
      </c>
      <c r="AX87" s="1497">
        <v>471.95800000000003</v>
      </c>
      <c r="AY87" s="1497">
        <v>103.010931</v>
      </c>
      <c r="AZ87" s="1497">
        <v>559.41600000000005</v>
      </c>
      <c r="BA87" s="1497">
        <v>45.209848000000001</v>
      </c>
      <c r="BB87" s="1497"/>
      <c r="BC87" s="1497"/>
      <c r="BD87" s="1497"/>
      <c r="BE87" s="1497"/>
      <c r="BF87" s="1497"/>
      <c r="BG87" s="1497"/>
      <c r="BH87" s="1497"/>
      <c r="BI87" s="1497"/>
      <c r="BJ87" s="1497"/>
      <c r="BK87" s="1497"/>
      <c r="BL87" s="1497"/>
      <c r="BM87" s="1497"/>
    </row>
    <row r="88" spans="1:65" hidden="1">
      <c r="A88" s="409" t="s">
        <v>22</v>
      </c>
      <c r="B88" s="1504">
        <v>6073.7290000000003</v>
      </c>
      <c r="C88" s="1504"/>
      <c r="D88" s="1504">
        <v>2482.0529999999999</v>
      </c>
      <c r="E88" s="1504">
        <v>1450.202</v>
      </c>
      <c r="F88" s="1504">
        <v>873.60699999999997</v>
      </c>
      <c r="G88" s="1492">
        <v>1267.867</v>
      </c>
      <c r="H88" s="1504">
        <v>7067.6930000000002</v>
      </c>
      <c r="I88" s="1504">
        <v>982.52083500000003</v>
      </c>
      <c r="J88" s="1497">
        <v>4672.4369999999999</v>
      </c>
      <c r="K88" s="1492">
        <v>792.80112399999996</v>
      </c>
      <c r="L88" s="1497">
        <v>26.442</v>
      </c>
      <c r="M88" s="1497">
        <v>54.423495000000003</v>
      </c>
      <c r="N88" s="1497">
        <v>48.56</v>
      </c>
      <c r="O88" s="1497">
        <v>25.659988999999999</v>
      </c>
      <c r="P88" s="1497">
        <v>898.07299999999998</v>
      </c>
      <c r="Q88" s="1504">
        <v>30.734183999999999</v>
      </c>
      <c r="R88" s="1504"/>
      <c r="S88" s="1131"/>
      <c r="T88" s="1504"/>
      <c r="U88" s="1504"/>
      <c r="V88" s="1504"/>
      <c r="W88" s="1504"/>
      <c r="X88" s="1492">
        <v>489.53</v>
      </c>
      <c r="Y88" s="1492">
        <v>58.954884999999997</v>
      </c>
      <c r="Z88" s="1492"/>
      <c r="AA88" s="1492"/>
      <c r="AB88" s="1492"/>
      <c r="AC88" s="1492"/>
      <c r="AD88" s="1497">
        <v>5556.174</v>
      </c>
      <c r="AE88" s="1497">
        <v>807.00143700000001</v>
      </c>
      <c r="AF88" s="1497">
        <v>4278.6570000000002</v>
      </c>
      <c r="AG88" s="1497">
        <v>725.74611800000002</v>
      </c>
      <c r="AH88" s="1497">
        <v>325.64499999999998</v>
      </c>
      <c r="AI88" s="1497">
        <v>46.280754999999999</v>
      </c>
      <c r="AJ88" s="1497"/>
      <c r="AK88" s="1497"/>
      <c r="AL88" s="1497"/>
      <c r="AM88" s="1497"/>
      <c r="AN88" s="1497"/>
      <c r="AO88" s="1497"/>
      <c r="AP88" s="1497"/>
      <c r="AQ88" s="1497"/>
      <c r="AR88" s="1497"/>
      <c r="AS88" s="1497"/>
      <c r="AT88" s="1497"/>
      <c r="AU88" s="1497"/>
      <c r="AV88" s="1497">
        <v>1511.519</v>
      </c>
      <c r="AW88" s="1497">
        <v>175.519398</v>
      </c>
      <c r="AX88" s="1497">
        <v>442.34</v>
      </c>
      <c r="AY88" s="1497">
        <v>92.714994000000004</v>
      </c>
      <c r="AZ88" s="1497">
        <v>598.70000000000005</v>
      </c>
      <c r="BA88" s="1497">
        <v>38.876924000000002</v>
      </c>
      <c r="BB88" s="1497"/>
      <c r="BC88" s="1497"/>
      <c r="BD88" s="1497"/>
      <c r="BE88" s="1497"/>
      <c r="BF88" s="1497"/>
      <c r="BG88" s="1497"/>
      <c r="BH88" s="1497"/>
      <c r="BI88" s="1497"/>
      <c r="BJ88" s="1497"/>
      <c r="BK88" s="1497"/>
      <c r="BL88" s="1497"/>
      <c r="BM88" s="1497"/>
    </row>
    <row r="89" spans="1:65" hidden="1">
      <c r="A89" s="409" t="s">
        <v>23</v>
      </c>
      <c r="B89" s="1504">
        <v>6088.39</v>
      </c>
      <c r="C89" s="1504"/>
      <c r="D89" s="1504">
        <v>2484.4679999999998</v>
      </c>
      <c r="E89" s="1504">
        <v>1452.2560000000001</v>
      </c>
      <c r="F89" s="1504">
        <v>907.40300000000002</v>
      </c>
      <c r="G89" s="1492">
        <v>1244.2629999999999</v>
      </c>
      <c r="H89" s="1504">
        <v>6951.9650000000001</v>
      </c>
      <c r="I89" s="1504">
        <v>985.266167</v>
      </c>
      <c r="J89" s="1497">
        <v>4548.2579999999998</v>
      </c>
      <c r="K89" s="1492">
        <v>785.29303300000004</v>
      </c>
      <c r="L89" s="1497">
        <v>24.771999999999998</v>
      </c>
      <c r="M89" s="1497">
        <v>56.171588</v>
      </c>
      <c r="N89" s="1497">
        <v>49.046999999999997</v>
      </c>
      <c r="O89" s="1497">
        <v>23.791639</v>
      </c>
      <c r="P89" s="1497">
        <v>857.99300000000005</v>
      </c>
      <c r="Q89" s="1504">
        <v>33.814489999999999</v>
      </c>
      <c r="R89" s="1504"/>
      <c r="S89" s="1131"/>
      <c r="T89" s="1504"/>
      <c r="U89" s="1504"/>
      <c r="V89" s="1504"/>
      <c r="W89" s="1504"/>
      <c r="X89" s="1492">
        <v>520.11300000000006</v>
      </c>
      <c r="Y89" s="1492">
        <v>64.705067999999997</v>
      </c>
      <c r="Z89" s="1492"/>
      <c r="AA89" s="1492"/>
      <c r="AB89" s="1492"/>
      <c r="AC89" s="1492"/>
      <c r="AD89" s="1497">
        <v>5469.34</v>
      </c>
      <c r="AE89" s="1497">
        <v>805.86586899999998</v>
      </c>
      <c r="AF89" s="1497">
        <v>4171.4269999999997</v>
      </c>
      <c r="AG89" s="1497">
        <v>716.52207399999998</v>
      </c>
      <c r="AH89" s="1497">
        <v>319.28899999999999</v>
      </c>
      <c r="AI89" s="1497">
        <v>52.443016</v>
      </c>
      <c r="AJ89" s="1497"/>
      <c r="AK89" s="1497"/>
      <c r="AL89" s="1497"/>
      <c r="AM89" s="1497"/>
      <c r="AN89" s="1497"/>
      <c r="AO89" s="1497"/>
      <c r="AP89" s="1497"/>
      <c r="AQ89" s="1497"/>
      <c r="AR89" s="1497"/>
      <c r="AS89" s="1497"/>
      <c r="AT89" s="1497"/>
      <c r="AU89" s="1497"/>
      <c r="AV89" s="1497">
        <v>1482.355</v>
      </c>
      <c r="AW89" s="1497">
        <v>179.40029799999999</v>
      </c>
      <c r="AX89" s="1497">
        <v>425.87799999999999</v>
      </c>
      <c r="AY89" s="1497">
        <v>92.562597999999994</v>
      </c>
      <c r="AZ89" s="1497">
        <v>563.476</v>
      </c>
      <c r="BA89" s="1497">
        <v>37.543033000000001</v>
      </c>
      <c r="BB89" s="1497"/>
      <c r="BC89" s="1497"/>
      <c r="BD89" s="1497"/>
      <c r="BE89" s="1497"/>
      <c r="BF89" s="1497"/>
      <c r="BG89" s="1497"/>
      <c r="BH89" s="1497"/>
      <c r="BI89" s="1497"/>
      <c r="BJ89" s="1497"/>
      <c r="BK89" s="1497"/>
      <c r="BL89" s="1497"/>
      <c r="BM89" s="1497"/>
    </row>
    <row r="90" spans="1:65" hidden="1">
      <c r="A90" s="409" t="s">
        <v>24</v>
      </c>
      <c r="B90" s="1504">
        <v>5855.8990000000003</v>
      </c>
      <c r="C90" s="1504"/>
      <c r="D90" s="1504">
        <v>2486.2600000000002</v>
      </c>
      <c r="E90" s="1504">
        <v>1474.749</v>
      </c>
      <c r="F90" s="1504">
        <v>703.92200000000003</v>
      </c>
      <c r="G90" s="1492">
        <v>1190.9680000000001</v>
      </c>
      <c r="H90" s="1504">
        <v>7358.7659999999996</v>
      </c>
      <c r="I90" s="1504">
        <v>1123.5674529999999</v>
      </c>
      <c r="J90" s="1497">
        <v>4777.2169999999996</v>
      </c>
      <c r="K90" s="1492">
        <v>887.26299700000004</v>
      </c>
      <c r="L90" s="1497">
        <v>28.36</v>
      </c>
      <c r="M90" s="1497">
        <v>70.181286999999998</v>
      </c>
      <c r="N90" s="1497">
        <v>51.164000000000001</v>
      </c>
      <c r="O90" s="1497">
        <v>26.048669</v>
      </c>
      <c r="P90" s="1497">
        <v>897.61099999999999</v>
      </c>
      <c r="Q90" s="1504">
        <v>34.942127999999997</v>
      </c>
      <c r="R90" s="1504"/>
      <c r="S90" s="1131"/>
      <c r="T90" s="1504"/>
      <c r="U90" s="1504"/>
      <c r="V90" s="1504"/>
      <c r="W90" s="1504"/>
      <c r="X90" s="1492">
        <v>564.37699999999995</v>
      </c>
      <c r="Y90" s="1492">
        <v>80.819238999999996</v>
      </c>
      <c r="Z90" s="1492"/>
      <c r="AA90" s="1492"/>
      <c r="AB90" s="1492"/>
      <c r="AC90" s="1492"/>
      <c r="AD90" s="1497">
        <v>5844.8969999999999</v>
      </c>
      <c r="AE90" s="1497">
        <v>932.17335100000003</v>
      </c>
      <c r="AF90" s="1497">
        <v>4411.9380000000001</v>
      </c>
      <c r="AG90" s="1497">
        <v>824.72488799999996</v>
      </c>
      <c r="AH90" s="1497">
        <v>354.90699999999998</v>
      </c>
      <c r="AI90" s="1497">
        <v>64.468579000000005</v>
      </c>
      <c r="AJ90" s="1497"/>
      <c r="AK90" s="1497"/>
      <c r="AL90" s="1497"/>
      <c r="AM90" s="1497"/>
      <c r="AN90" s="1497"/>
      <c r="AO90" s="1497"/>
      <c r="AP90" s="1497"/>
      <c r="AQ90" s="1497"/>
      <c r="AR90" s="1497"/>
      <c r="AS90" s="1497"/>
      <c r="AT90" s="1497"/>
      <c r="AU90" s="1497"/>
      <c r="AV90" s="1497">
        <v>1513.8689999999999</v>
      </c>
      <c r="AW90" s="1497">
        <v>191.394102</v>
      </c>
      <c r="AX90" s="1497">
        <v>416.44299999999998</v>
      </c>
      <c r="AY90" s="1497">
        <v>88.586779000000007</v>
      </c>
      <c r="AZ90" s="1497">
        <v>571.06399999999996</v>
      </c>
      <c r="BA90" s="1497">
        <v>40.654836000000003</v>
      </c>
      <c r="BB90" s="1497"/>
      <c r="BC90" s="1497"/>
      <c r="BD90" s="1497"/>
      <c r="BE90" s="1497"/>
      <c r="BF90" s="1497"/>
      <c r="BG90" s="1497"/>
      <c r="BH90" s="1497"/>
      <c r="BI90" s="1497"/>
      <c r="BJ90" s="1497"/>
      <c r="BK90" s="1497"/>
      <c r="BL90" s="1497"/>
      <c r="BM90" s="1497"/>
    </row>
    <row r="91" spans="1:65" hidden="1">
      <c r="A91" s="409" t="s">
        <v>25</v>
      </c>
      <c r="B91" s="1504">
        <v>5759.4290000000001</v>
      </c>
      <c r="C91" s="1504"/>
      <c r="D91" s="1504">
        <v>2455.9029999999998</v>
      </c>
      <c r="E91" s="1504">
        <v>1465.1579999999999</v>
      </c>
      <c r="F91" s="1504">
        <v>677.80799999999999</v>
      </c>
      <c r="G91" s="1492">
        <v>1160.56</v>
      </c>
      <c r="H91" s="1504">
        <v>6785.0780000000004</v>
      </c>
      <c r="I91" s="1504">
        <v>996.88386355199998</v>
      </c>
      <c r="J91" s="1497">
        <v>4283.6099999999997</v>
      </c>
      <c r="K91" s="1492">
        <v>756.00812005</v>
      </c>
      <c r="L91" s="1497">
        <v>28.756</v>
      </c>
      <c r="M91" s="1497">
        <v>65.422921579999993</v>
      </c>
      <c r="N91" s="1497">
        <v>51.064999999999998</v>
      </c>
      <c r="O91" s="1497">
        <v>26.512035999999998</v>
      </c>
      <c r="P91" s="1497">
        <v>853.899</v>
      </c>
      <c r="Q91" s="1504">
        <v>31.915308</v>
      </c>
      <c r="R91" s="1504"/>
      <c r="S91" s="1131"/>
      <c r="T91" s="1504"/>
      <c r="U91" s="1504"/>
      <c r="V91" s="1504"/>
      <c r="W91" s="1504"/>
      <c r="X91" s="1492">
        <v>608.22799999999995</v>
      </c>
      <c r="Y91" s="1492">
        <v>91.240618999999995</v>
      </c>
      <c r="Z91" s="1492"/>
      <c r="AA91" s="1492"/>
      <c r="AB91" s="1492"/>
      <c r="AC91" s="1492"/>
      <c r="AD91" s="1497">
        <v>5245.085</v>
      </c>
      <c r="AE91" s="1497">
        <v>793.16433700000005</v>
      </c>
      <c r="AF91" s="1497">
        <v>3907.0279999999998</v>
      </c>
      <c r="AG91" s="1497">
        <v>689.40557799999999</v>
      </c>
      <c r="AH91" s="1497">
        <v>312.303</v>
      </c>
      <c r="AI91" s="1497">
        <v>56.008146000000004</v>
      </c>
      <c r="AJ91" s="1497"/>
      <c r="AK91" s="1497"/>
      <c r="AL91" s="1497"/>
      <c r="AM91" s="1497"/>
      <c r="AN91" s="1497"/>
      <c r="AO91" s="1497"/>
      <c r="AP91" s="1497"/>
      <c r="AQ91" s="1497"/>
      <c r="AR91" s="1497"/>
      <c r="AS91" s="1497"/>
      <c r="AT91" s="1497"/>
      <c r="AU91" s="1497"/>
      <c r="AV91" s="1497">
        <v>1539.9929999999999</v>
      </c>
      <c r="AW91" s="1497">
        <v>203.719525</v>
      </c>
      <c r="AX91" s="1497">
        <v>427.64699999999999</v>
      </c>
      <c r="AY91" s="1497">
        <v>93.114576999999997</v>
      </c>
      <c r="AZ91" s="1497">
        <v>570.35199999999998</v>
      </c>
      <c r="BA91" s="1497">
        <v>41.330083000000002</v>
      </c>
      <c r="BB91" s="1497"/>
      <c r="BC91" s="1497"/>
      <c r="BD91" s="1497"/>
      <c r="BE91" s="1497"/>
      <c r="BF91" s="1497"/>
      <c r="BG91" s="1497"/>
      <c r="BH91" s="1497"/>
      <c r="BI91" s="1497"/>
      <c r="BJ91" s="1497"/>
      <c r="BK91" s="1497"/>
      <c r="BL91" s="1497"/>
      <c r="BM91" s="1497"/>
    </row>
    <row r="92" spans="1:65" hidden="1">
      <c r="A92" s="409" t="s">
        <v>26</v>
      </c>
      <c r="B92" s="1504">
        <v>5647.3069999999998</v>
      </c>
      <c r="C92" s="1504"/>
      <c r="D92" s="1504">
        <v>2386.44</v>
      </c>
      <c r="E92" s="1504">
        <v>1470.549</v>
      </c>
      <c r="F92" s="1504">
        <v>656.83900000000006</v>
      </c>
      <c r="G92" s="1492">
        <v>1133.479</v>
      </c>
      <c r="H92" s="1504">
        <v>7002.4930000000004</v>
      </c>
      <c r="I92" s="1504">
        <v>962.385896</v>
      </c>
      <c r="J92" s="1497">
        <v>4598.8329999999996</v>
      </c>
      <c r="K92" s="1492">
        <v>748.074928</v>
      </c>
      <c r="L92" s="1497">
        <v>27.83</v>
      </c>
      <c r="M92" s="1497">
        <v>56.655070000000002</v>
      </c>
      <c r="N92" s="1497">
        <v>52.71</v>
      </c>
      <c r="O92" s="1497">
        <v>29.062552</v>
      </c>
      <c r="P92" s="1497">
        <v>834.45699999999999</v>
      </c>
      <c r="Q92" s="1504">
        <v>33.769742999999998</v>
      </c>
      <c r="R92" s="1504"/>
      <c r="S92" s="1131"/>
      <c r="T92" s="1504"/>
      <c r="U92" s="1504"/>
      <c r="V92" s="1504"/>
      <c r="W92" s="1504"/>
      <c r="X92" s="1492">
        <v>518.93299999999999</v>
      </c>
      <c r="Y92" s="1492">
        <v>69.694760000000002</v>
      </c>
      <c r="Z92" s="1492"/>
      <c r="AA92" s="1492"/>
      <c r="AB92" s="1492"/>
      <c r="AC92" s="1492"/>
      <c r="AD92" s="1497">
        <v>5540.0020000000004</v>
      </c>
      <c r="AE92" s="1497">
        <v>783.74276699999996</v>
      </c>
      <c r="AF92" s="1497">
        <v>4237.9889999999996</v>
      </c>
      <c r="AG92" s="1497">
        <v>691.08805299999995</v>
      </c>
      <c r="AH92" s="1497">
        <v>312.56299999999999</v>
      </c>
      <c r="AI92" s="1497">
        <v>52.691738000000001</v>
      </c>
      <c r="AJ92" s="1497"/>
      <c r="AK92" s="1497"/>
      <c r="AL92" s="1497"/>
      <c r="AM92" s="1497"/>
      <c r="AN92" s="1497"/>
      <c r="AO92" s="1497"/>
      <c r="AP92" s="1497"/>
      <c r="AQ92" s="1497"/>
      <c r="AR92" s="1497"/>
      <c r="AS92" s="1497"/>
      <c r="AT92" s="1497"/>
      <c r="AU92" s="1497"/>
      <c r="AV92" s="1497">
        <v>1462.491</v>
      </c>
      <c r="AW92" s="1497">
        <v>178.64312799999999</v>
      </c>
      <c r="AX92" s="1497">
        <v>413.55399999999997</v>
      </c>
      <c r="AY92" s="1497">
        <v>86.049425999999997</v>
      </c>
      <c r="AZ92" s="1497">
        <v>549.72400000000005</v>
      </c>
      <c r="BA92" s="1497">
        <v>37.733074999999999</v>
      </c>
      <c r="BB92" s="1497"/>
      <c r="BC92" s="1497"/>
      <c r="BD92" s="1497"/>
      <c r="BE92" s="1497"/>
      <c r="BF92" s="1497"/>
      <c r="BG92" s="1497"/>
      <c r="BH92" s="1497"/>
      <c r="BI92" s="1497"/>
      <c r="BJ92" s="1497"/>
      <c r="BK92" s="1497"/>
      <c r="BL92" s="1497"/>
      <c r="BM92" s="1497"/>
    </row>
    <row r="93" spans="1:65" hidden="1">
      <c r="A93" s="409" t="s">
        <v>27</v>
      </c>
      <c r="B93" s="1504">
        <v>5685.1149999999998</v>
      </c>
      <c r="C93" s="1504"/>
      <c r="D93" s="1504">
        <v>2425.2420000000002</v>
      </c>
      <c r="E93" s="1504">
        <v>1483.4839999999999</v>
      </c>
      <c r="F93" s="1504">
        <v>663.30600000000004</v>
      </c>
      <c r="G93" s="1492">
        <v>1113.0830000000001</v>
      </c>
      <c r="H93" s="1504">
        <v>7401.5879999999997</v>
      </c>
      <c r="I93" s="1504">
        <v>1028.980057</v>
      </c>
      <c r="J93" s="1497">
        <v>5076.9799999999996</v>
      </c>
      <c r="K93" s="1492">
        <v>813.30048999999997</v>
      </c>
      <c r="L93" s="1497">
        <v>26.893999999999998</v>
      </c>
      <c r="M93" s="1497">
        <v>60.823455000000003</v>
      </c>
      <c r="N93" s="1497">
        <v>89.126000000000005</v>
      </c>
      <c r="O93" s="1497">
        <v>31.896750999999998</v>
      </c>
      <c r="P93" s="1497">
        <v>666.77</v>
      </c>
      <c r="Q93" s="1504">
        <v>32.990642000000001</v>
      </c>
      <c r="R93" s="1504"/>
      <c r="S93" s="1131"/>
      <c r="T93" s="1504"/>
      <c r="U93" s="1504"/>
      <c r="V93" s="1504"/>
      <c r="W93" s="1504"/>
      <c r="X93" s="1492">
        <v>541.53800000000001</v>
      </c>
      <c r="Y93" s="1492">
        <v>62.980297999999998</v>
      </c>
      <c r="Z93" s="1492"/>
      <c r="AA93" s="1492"/>
      <c r="AB93" s="1492"/>
      <c r="AC93" s="1492"/>
      <c r="AD93" s="1497">
        <v>6128.7330000000002</v>
      </c>
      <c r="AE93" s="1497">
        <v>862.72563700000001</v>
      </c>
      <c r="AF93" s="1497">
        <v>4773.027</v>
      </c>
      <c r="AG93" s="1497">
        <v>764.26900000000001</v>
      </c>
      <c r="AH93" s="1497">
        <v>310.315</v>
      </c>
      <c r="AI93" s="1497">
        <v>57.968201000000001</v>
      </c>
      <c r="AJ93" s="1497"/>
      <c r="AK93" s="1497"/>
      <c r="AL93" s="1497"/>
      <c r="AM93" s="1497"/>
      <c r="AN93" s="1497"/>
      <c r="AO93" s="1497"/>
      <c r="AP93" s="1497"/>
      <c r="AQ93" s="1497"/>
      <c r="AR93" s="1497"/>
      <c r="AS93" s="1497"/>
      <c r="AT93" s="1497"/>
      <c r="AU93" s="1497"/>
      <c r="AV93" s="1497">
        <v>1272.855</v>
      </c>
      <c r="AW93" s="1497">
        <v>166.25441900000001</v>
      </c>
      <c r="AX93" s="1497">
        <v>393.07900000000001</v>
      </c>
      <c r="AY93" s="1497">
        <v>80.927852000000001</v>
      </c>
      <c r="AZ93" s="1497">
        <v>383.34899999999999</v>
      </c>
      <c r="BA93" s="1497">
        <v>35.845896000000003</v>
      </c>
      <c r="BB93" s="1497"/>
      <c r="BC93" s="1497"/>
      <c r="BD93" s="1497"/>
      <c r="BE93" s="1497"/>
      <c r="BF93" s="1497"/>
      <c r="BG93" s="1497"/>
      <c r="BH93" s="1497"/>
      <c r="BI93" s="1497"/>
      <c r="BJ93" s="1497"/>
      <c r="BK93" s="1497"/>
      <c r="BL93" s="1497"/>
      <c r="BM93" s="1497"/>
    </row>
    <row r="94" spans="1:65" hidden="1">
      <c r="A94" s="409" t="s">
        <v>28</v>
      </c>
      <c r="B94" s="1504">
        <v>5678.5829999999996</v>
      </c>
      <c r="C94" s="1504"/>
      <c r="D94" s="1504">
        <v>2447.7910000000002</v>
      </c>
      <c r="E94" s="1504">
        <v>1473.1220000000001</v>
      </c>
      <c r="F94" s="1504">
        <v>669.11099999999999</v>
      </c>
      <c r="G94" s="1492">
        <v>1088.559</v>
      </c>
      <c r="H94" s="1504">
        <v>6872.3829999999998</v>
      </c>
      <c r="I94" s="1504">
        <v>976.09532718000003</v>
      </c>
      <c r="J94" s="1497">
        <v>4567.3389999999999</v>
      </c>
      <c r="K94" s="1492">
        <v>776.81800899999996</v>
      </c>
      <c r="L94" s="1497">
        <v>25.216000000000001</v>
      </c>
      <c r="M94" s="1497">
        <v>48.122407000000003</v>
      </c>
      <c r="N94" s="1497">
        <v>69.983999999999995</v>
      </c>
      <c r="O94" s="1497">
        <v>30.014154999999999</v>
      </c>
      <c r="P94" s="1497">
        <v>613.07299999999998</v>
      </c>
      <c r="Q94" s="1504">
        <v>30.859254</v>
      </c>
      <c r="R94" s="1504"/>
      <c r="S94" s="1131"/>
      <c r="T94" s="1504"/>
      <c r="U94" s="1504"/>
      <c r="V94" s="1504"/>
      <c r="W94" s="1504"/>
      <c r="X94" s="1492">
        <v>594.00699999999995</v>
      </c>
      <c r="Y94" s="1492">
        <v>63.424655999999999</v>
      </c>
      <c r="Z94" s="1492"/>
      <c r="AA94" s="1492"/>
      <c r="AB94" s="1492"/>
      <c r="AC94" s="1492"/>
      <c r="AD94" s="1497">
        <v>5660.5789999999997</v>
      </c>
      <c r="AE94" s="1497">
        <v>816.03335800000002</v>
      </c>
      <c r="AF94" s="1497">
        <v>4268.76</v>
      </c>
      <c r="AG94" s="1497">
        <v>728.57474100000002</v>
      </c>
      <c r="AH94" s="1497">
        <v>310.31400000000002</v>
      </c>
      <c r="AI94" s="1497">
        <v>45.519970999999998</v>
      </c>
      <c r="AJ94" s="1497"/>
      <c r="AK94" s="1497"/>
      <c r="AL94" s="1497"/>
      <c r="AM94" s="1497"/>
      <c r="AN94" s="1497"/>
      <c r="AO94" s="1497"/>
      <c r="AP94" s="1497"/>
      <c r="AQ94" s="1497"/>
      <c r="AR94" s="1497"/>
      <c r="AS94" s="1497"/>
      <c r="AT94" s="1497"/>
      <c r="AU94" s="1497"/>
      <c r="AV94" s="1497">
        <v>1211.8040000000001</v>
      </c>
      <c r="AW94" s="1497">
        <v>160.06196800000001</v>
      </c>
      <c r="AX94" s="1497">
        <v>368.56299999999999</v>
      </c>
      <c r="AY94" s="1497">
        <v>78.257423000000003</v>
      </c>
      <c r="AZ94" s="1497">
        <v>327.97500000000002</v>
      </c>
      <c r="BA94" s="1497">
        <v>33.461689999999997</v>
      </c>
      <c r="BB94" s="1497"/>
      <c r="BC94" s="1497"/>
      <c r="BD94" s="1497"/>
      <c r="BE94" s="1497"/>
      <c r="BF94" s="1497"/>
      <c r="BG94" s="1497"/>
      <c r="BH94" s="1497"/>
      <c r="BI94" s="1497"/>
      <c r="BJ94" s="1497"/>
      <c r="BK94" s="1497"/>
      <c r="BL94" s="1497"/>
      <c r="BM94" s="1497"/>
    </row>
    <row r="95" spans="1:65" hidden="1">
      <c r="A95" s="409" t="s">
        <v>29</v>
      </c>
      <c r="B95" s="1504">
        <v>5659.4589999999998</v>
      </c>
      <c r="C95" s="1504"/>
      <c r="D95" s="1504">
        <v>2451.259</v>
      </c>
      <c r="E95" s="1504">
        <v>1466.752</v>
      </c>
      <c r="F95" s="1504">
        <v>731.75400000000002</v>
      </c>
      <c r="G95" s="1492">
        <v>1009.736</v>
      </c>
      <c r="H95" s="1504">
        <v>7810.9430000000002</v>
      </c>
      <c r="I95" s="1504">
        <v>1249.8292799999999</v>
      </c>
      <c r="J95" s="1497">
        <v>5335.598</v>
      </c>
      <c r="K95" s="1492">
        <v>906.051605</v>
      </c>
      <c r="L95" s="1497">
        <v>35.709000000000003</v>
      </c>
      <c r="M95" s="1497">
        <v>88.745070299999995</v>
      </c>
      <c r="N95" s="1497">
        <v>77.454999999999998</v>
      </c>
      <c r="O95" s="1497">
        <v>42.960175999999997</v>
      </c>
      <c r="P95" s="1497">
        <v>698.18</v>
      </c>
      <c r="Q95" s="1504">
        <v>38.001322000000002</v>
      </c>
      <c r="R95" s="1504"/>
      <c r="S95" s="1131"/>
      <c r="T95" s="1504"/>
      <c r="U95" s="1504"/>
      <c r="V95" s="1504"/>
      <c r="W95" s="1504"/>
      <c r="X95" s="1492">
        <v>553.41099999999994</v>
      </c>
      <c r="Y95" s="1492">
        <v>74.192710000000005</v>
      </c>
      <c r="Z95" s="1492"/>
      <c r="AA95" s="1492"/>
      <c r="AB95" s="1492"/>
      <c r="AC95" s="1492"/>
      <c r="AD95" s="1497">
        <v>6607.6450000000004</v>
      </c>
      <c r="AE95" s="1497">
        <v>1056.6168070000001</v>
      </c>
      <c r="AF95" s="1497">
        <v>5053.8360000000002</v>
      </c>
      <c r="AG95" s="1497">
        <v>924.70493999999997</v>
      </c>
      <c r="AH95" s="1497">
        <v>377.74599999999998</v>
      </c>
      <c r="AI95" s="1497">
        <v>79.107589000000004</v>
      </c>
      <c r="AJ95" s="1497"/>
      <c r="AK95" s="1497"/>
      <c r="AL95" s="1497"/>
      <c r="AM95" s="1497"/>
      <c r="AN95" s="1497"/>
      <c r="AO95" s="1497"/>
      <c r="AP95" s="1497"/>
      <c r="AQ95" s="1497"/>
      <c r="AR95" s="1497"/>
      <c r="AS95" s="1497"/>
      <c r="AT95" s="1497"/>
      <c r="AU95" s="1497"/>
      <c r="AV95" s="1497">
        <v>1203.298</v>
      </c>
      <c r="AW95" s="1497">
        <v>193.21247199999999</v>
      </c>
      <c r="AX95" s="1497">
        <v>359.21699999999998</v>
      </c>
      <c r="AY95" s="1497">
        <v>92.541286999999997</v>
      </c>
      <c r="AZ95" s="1497">
        <v>356</v>
      </c>
      <c r="BA95" s="1497">
        <v>47.637999999999998</v>
      </c>
      <c r="BB95" s="1497"/>
      <c r="BC95" s="1497"/>
      <c r="BD95" s="1497"/>
      <c r="BE95" s="1497"/>
      <c r="BF95" s="1497"/>
      <c r="BG95" s="1497"/>
      <c r="BH95" s="1497"/>
      <c r="BI95" s="1497"/>
      <c r="BJ95" s="1497"/>
      <c r="BK95" s="1497"/>
      <c r="BL95" s="1497"/>
      <c r="BM95" s="1497"/>
    </row>
    <row r="96" spans="1:65">
      <c r="A96" s="409" t="s">
        <v>1839</v>
      </c>
      <c r="B96" s="1505">
        <v>5359.3450000000003</v>
      </c>
      <c r="C96" s="1505">
        <v>90.37</v>
      </c>
      <c r="D96" s="1505">
        <v>2552.415</v>
      </c>
      <c r="E96" s="1505">
        <v>1545.5609999999999</v>
      </c>
      <c r="F96" s="1505">
        <v>630.26700000000005</v>
      </c>
      <c r="G96" s="1499">
        <v>631.10199999999998</v>
      </c>
      <c r="H96" s="702">
        <f t="shared" ref="H96:S96" si="18">SUM(H97:H108)</f>
        <v>83736.798999999999</v>
      </c>
      <c r="I96" s="702">
        <f t="shared" si="18"/>
        <v>12829.088643272502</v>
      </c>
      <c r="J96" s="702">
        <f t="shared" si="18"/>
        <v>55040.283000000003</v>
      </c>
      <c r="K96" s="702">
        <f t="shared" si="18"/>
        <v>9894.0476295344997</v>
      </c>
      <c r="L96" s="702">
        <f t="shared" si="18"/>
        <v>475.59000000000003</v>
      </c>
      <c r="M96" s="702">
        <f t="shared" si="18"/>
        <v>781.53734557899998</v>
      </c>
      <c r="N96" s="702">
        <f t="shared" si="18"/>
        <v>966.13999999999987</v>
      </c>
      <c r="O96" s="702">
        <f t="shared" si="18"/>
        <v>330.98298455770004</v>
      </c>
      <c r="P96" s="702">
        <f t="shared" si="18"/>
        <v>8848.0339999999997</v>
      </c>
      <c r="Q96" s="702">
        <f t="shared" si="18"/>
        <v>527.44429030369997</v>
      </c>
      <c r="R96" s="702">
        <f t="shared" si="18"/>
        <v>15.409000000000002</v>
      </c>
      <c r="S96" s="1506">
        <f t="shared" si="18"/>
        <v>0.29341801000000001</v>
      </c>
      <c r="T96" s="702">
        <v>12344</v>
      </c>
      <c r="U96" s="702">
        <v>325</v>
      </c>
      <c r="W96" s="702"/>
      <c r="X96" s="702">
        <f t="shared" ref="X96:AM96" si="19">SUM(X97:X108)</f>
        <v>5989.6</v>
      </c>
      <c r="Y96" s="702">
        <f t="shared" si="19"/>
        <v>968.93676570059984</v>
      </c>
      <c r="Z96" s="702">
        <f t="shared" si="19"/>
        <v>606.68600000000004</v>
      </c>
      <c r="AA96" s="702">
        <f t="shared" si="19"/>
        <v>218.65526863099998</v>
      </c>
      <c r="AB96" s="702">
        <f t="shared" si="19"/>
        <v>5382.9139999999998</v>
      </c>
      <c r="AC96" s="702">
        <f t="shared" si="19"/>
        <v>750.28149706960005</v>
      </c>
      <c r="AD96" s="702">
        <f t="shared" si="19"/>
        <v>73067.209999999992</v>
      </c>
      <c r="AE96" s="702">
        <f t="shared" si="19"/>
        <v>11076.9920635705</v>
      </c>
      <c r="AF96" s="702">
        <f t="shared" si="19"/>
        <v>53710.014000000003</v>
      </c>
      <c r="AG96" s="702">
        <f t="shared" si="19"/>
        <v>9561.9941494212999</v>
      </c>
      <c r="AH96" s="702">
        <f t="shared" si="19"/>
        <v>5898.4779999999992</v>
      </c>
      <c r="AI96" s="702">
        <f t="shared" si="19"/>
        <v>853.85749960789997</v>
      </c>
      <c r="AJ96" s="702">
        <f t="shared" si="19"/>
        <v>12.175999999999998</v>
      </c>
      <c r="AK96" s="702">
        <f t="shared" si="19"/>
        <v>0.18758993000000002</v>
      </c>
      <c r="AL96" s="702">
        <f t="shared" si="19"/>
        <v>9855.7649999999994</v>
      </c>
      <c r="AM96" s="702">
        <f t="shared" si="19"/>
        <v>209.92891228470003</v>
      </c>
      <c r="AN96" s="702"/>
      <c r="AO96" s="702"/>
      <c r="AP96" s="702">
        <f t="shared" ref="AP96:BH96" si="20">SUM(AP97:AP108)</f>
        <v>3602.9529999999995</v>
      </c>
      <c r="AQ96" s="702">
        <f t="shared" si="20"/>
        <v>451.2115022566</v>
      </c>
      <c r="AR96" s="702">
        <f t="shared" si="20"/>
        <v>389.4</v>
      </c>
      <c r="AS96" s="702">
        <f t="shared" si="20"/>
        <v>131.85014132059999</v>
      </c>
      <c r="AT96" s="702">
        <f t="shared" si="20"/>
        <v>3213.5530000000003</v>
      </c>
      <c r="AU96" s="702">
        <f t="shared" si="20"/>
        <v>319.36136093599998</v>
      </c>
      <c r="AV96" s="702">
        <f t="shared" si="20"/>
        <v>10669.589</v>
      </c>
      <c r="AW96" s="702">
        <f t="shared" si="20"/>
        <v>1752.0965797020001</v>
      </c>
      <c r="AX96" s="702">
        <f t="shared" si="20"/>
        <v>2296.4090000000001</v>
      </c>
      <c r="AY96" s="702">
        <f t="shared" si="20"/>
        <v>663.03646467090005</v>
      </c>
      <c r="AZ96" s="702">
        <f t="shared" si="20"/>
        <v>3425.1460000000002</v>
      </c>
      <c r="BA96" s="702">
        <f t="shared" si="20"/>
        <v>455.12413627480004</v>
      </c>
      <c r="BB96" s="702">
        <f t="shared" si="20"/>
        <v>3.2329999999999997</v>
      </c>
      <c r="BC96" s="702">
        <f t="shared" si="20"/>
        <v>0.10582808</v>
      </c>
      <c r="BD96" s="702">
        <f t="shared" si="20"/>
        <v>2561.3870000000002</v>
      </c>
      <c r="BE96" s="702">
        <f t="shared" si="20"/>
        <v>116.21071531229998</v>
      </c>
      <c r="BF96" s="702">
        <f t="shared" si="20"/>
        <v>0</v>
      </c>
      <c r="BG96" s="702">
        <f t="shared" si="20"/>
        <v>0</v>
      </c>
      <c r="BH96" s="702">
        <f t="shared" si="20"/>
        <v>2386.6469999999999</v>
      </c>
      <c r="BI96" s="702">
        <v>517.382972</v>
      </c>
      <c r="BJ96" s="702">
        <f>SUM(BJ97:BJ108)</f>
        <v>217.28599999999997</v>
      </c>
      <c r="BK96" s="702">
        <v>518.382972</v>
      </c>
      <c r="BL96" s="702">
        <f>SUM(BL97:BL108)</f>
        <v>2169.3609999999999</v>
      </c>
      <c r="BM96" s="702">
        <v>519.382972</v>
      </c>
    </row>
    <row r="97" spans="1:65">
      <c r="A97" s="409" t="s">
        <v>18</v>
      </c>
      <c r="B97" s="1504">
        <v>5403.6989999999996</v>
      </c>
      <c r="C97" s="1504">
        <v>40.841000000000001</v>
      </c>
      <c r="D97" s="1504">
        <v>2444.2260000000001</v>
      </c>
      <c r="E97" s="1504">
        <v>1460.1220000000001</v>
      </c>
      <c r="F97" s="1504">
        <v>690.15599999999995</v>
      </c>
      <c r="G97" s="1492">
        <v>809.19500000000005</v>
      </c>
      <c r="H97" s="1504">
        <v>5962.6</v>
      </c>
      <c r="I97" s="1504">
        <v>878.79689751000001</v>
      </c>
      <c r="J97" s="1497">
        <v>3822.404</v>
      </c>
      <c r="K97" s="1492">
        <v>630.55555375999995</v>
      </c>
      <c r="L97" s="1497">
        <v>36.69</v>
      </c>
      <c r="M97" s="1497">
        <v>80.136979449999998</v>
      </c>
      <c r="N97" s="1497">
        <v>47.503</v>
      </c>
      <c r="O97" s="1497">
        <v>32.5468069</v>
      </c>
      <c r="P97" s="1497">
        <v>650.6</v>
      </c>
      <c r="Q97" s="1504">
        <v>36.62345509</v>
      </c>
      <c r="R97" s="1504">
        <v>0.52600000000000002</v>
      </c>
      <c r="S97" s="1503">
        <v>9.7900000000000001E-3</v>
      </c>
      <c r="T97" s="1504">
        <v>986.56</v>
      </c>
      <c r="U97" s="1504">
        <v>24.575057099999999</v>
      </c>
      <c r="V97" s="1504"/>
      <c r="W97" s="1504"/>
      <c r="X97" s="1492">
        <v>418.84300000000002</v>
      </c>
      <c r="Y97" s="1492">
        <v>74.359045210000005</v>
      </c>
      <c r="Z97" s="1492">
        <v>53.744</v>
      </c>
      <c r="AA97" s="1492">
        <v>19.891607270000002</v>
      </c>
      <c r="AB97" s="1492">
        <v>365.09899999999999</v>
      </c>
      <c r="AC97" s="1492">
        <v>54.467437939999996</v>
      </c>
      <c r="AD97" s="1497">
        <v>4936.2730000000001</v>
      </c>
      <c r="AE97" s="1497">
        <v>702.87473940999996</v>
      </c>
      <c r="AF97" s="1497">
        <v>3618.549</v>
      </c>
      <c r="AG97" s="1497">
        <v>594.59500447000005</v>
      </c>
      <c r="AH97" s="1497">
        <v>337.66199999999998</v>
      </c>
      <c r="AI97" s="1497">
        <v>62.303456160000003</v>
      </c>
      <c r="AJ97" s="1497">
        <v>0.42199999999999999</v>
      </c>
      <c r="AK97" s="1497">
        <v>7.0349999999999996E-3</v>
      </c>
      <c r="AL97" s="1497">
        <v>740.14499999999998</v>
      </c>
      <c r="AM97" s="1497">
        <v>13.136674599999999</v>
      </c>
      <c r="AN97" s="1497"/>
      <c r="AO97" s="1497"/>
      <c r="AP97" s="1497">
        <v>239.917</v>
      </c>
      <c r="AQ97" s="1497">
        <v>32.839604180000002</v>
      </c>
      <c r="AR97" s="1497">
        <v>33.515000000000001</v>
      </c>
      <c r="AS97" s="1497">
        <v>11.371708400000001</v>
      </c>
      <c r="AT97" s="1497">
        <v>206.40199999999999</v>
      </c>
      <c r="AU97" s="1497">
        <v>21.467895780000003</v>
      </c>
      <c r="AV97" s="1497">
        <v>1026.327</v>
      </c>
      <c r="AW97" s="1497">
        <v>175.92215809999999</v>
      </c>
      <c r="AX97" s="1497">
        <v>251.358</v>
      </c>
      <c r="AY97" s="1497">
        <v>68.507356189999996</v>
      </c>
      <c r="AZ97" s="1497">
        <v>349.62799999999999</v>
      </c>
      <c r="BA97" s="1497">
        <v>54.456978380000002</v>
      </c>
      <c r="BB97" s="614">
        <v>0.104</v>
      </c>
      <c r="BC97" s="1502">
        <v>2.7550000000000001E-3</v>
      </c>
      <c r="BD97" s="1497">
        <v>246.41499999999999</v>
      </c>
      <c r="BE97" s="1497">
        <v>11.438382499999999</v>
      </c>
      <c r="BF97" s="1497"/>
      <c r="BG97" s="1497"/>
      <c r="BH97" s="1497">
        <v>178.92599999999999</v>
      </c>
      <c r="BI97" s="1497">
        <v>41.519441030000003</v>
      </c>
      <c r="BJ97" s="1497">
        <v>20.228999999999999</v>
      </c>
      <c r="BK97" s="1497">
        <v>8.5198988699999987</v>
      </c>
      <c r="BL97" s="1497">
        <v>158.697</v>
      </c>
      <c r="BM97" s="1497">
        <v>32.999542160000004</v>
      </c>
    </row>
    <row r="98" spans="1:65">
      <c r="A98" s="409" t="s">
        <v>19</v>
      </c>
      <c r="B98" s="1504">
        <v>5398.6279999999997</v>
      </c>
      <c r="C98" s="1504">
        <v>45.982999999999997</v>
      </c>
      <c r="D98" s="1504">
        <v>2422.77</v>
      </c>
      <c r="E98" s="1504">
        <v>1498.124</v>
      </c>
      <c r="F98" s="1504">
        <v>686.07399999999996</v>
      </c>
      <c r="G98" s="1492">
        <v>791.66</v>
      </c>
      <c r="H98" s="1504">
        <v>6519.8149999999996</v>
      </c>
      <c r="I98" s="1504">
        <v>982.54100122</v>
      </c>
      <c r="J98" s="1497">
        <v>4432.9650000000001</v>
      </c>
      <c r="K98" s="1492">
        <v>786.07709034000004</v>
      </c>
      <c r="L98" s="1497">
        <v>37.244</v>
      </c>
      <c r="M98" s="1497">
        <v>60.4752297</v>
      </c>
      <c r="N98" s="1497">
        <v>53.707999999999998</v>
      </c>
      <c r="O98" s="1497">
        <v>20.480360399999999</v>
      </c>
      <c r="P98" s="1497">
        <v>528.51099999999997</v>
      </c>
      <c r="Q98" s="1504">
        <v>27.067653</v>
      </c>
      <c r="R98" s="1504">
        <v>1.2649999999999999</v>
      </c>
      <c r="S98" s="1503">
        <v>1.1972E-2</v>
      </c>
      <c r="T98" s="1504">
        <v>1022.384</v>
      </c>
      <c r="U98" s="1504">
        <v>22.3777382</v>
      </c>
      <c r="V98" s="1504"/>
      <c r="W98" s="1504"/>
      <c r="X98" s="1492">
        <v>445.00299999999999</v>
      </c>
      <c r="Y98" s="1492">
        <v>66.062929580000002</v>
      </c>
      <c r="Z98" s="1492">
        <v>49.353000000000002</v>
      </c>
      <c r="AA98" s="1492">
        <v>18.2087617</v>
      </c>
      <c r="AB98" s="1492">
        <v>395.65</v>
      </c>
      <c r="AC98" s="1492">
        <v>47.854167879999999</v>
      </c>
      <c r="AD98" s="1497">
        <v>5678.21</v>
      </c>
      <c r="AE98" s="1497">
        <v>854.59222421000004</v>
      </c>
      <c r="AF98" s="1497">
        <v>4297.2</v>
      </c>
      <c r="AG98" s="1497">
        <v>756.22561072999997</v>
      </c>
      <c r="AH98" s="1497">
        <v>311.60700000000003</v>
      </c>
      <c r="AI98" s="1497">
        <v>54.092570989999999</v>
      </c>
      <c r="AJ98" s="1497">
        <v>1.0820000000000001</v>
      </c>
      <c r="AK98" s="1497">
        <v>7.5560000000000002E-3</v>
      </c>
      <c r="AL98" s="1497">
        <v>798.779</v>
      </c>
      <c r="AM98" s="1497">
        <v>12.817811300000001</v>
      </c>
      <c r="AN98" s="1497"/>
      <c r="AO98" s="1497"/>
      <c r="AP98" s="1497">
        <v>270.62400000000002</v>
      </c>
      <c r="AQ98" s="1497">
        <v>31.45623119</v>
      </c>
      <c r="AR98" s="1497">
        <v>31.754000000000001</v>
      </c>
      <c r="AS98" s="1497">
        <v>11.12778984</v>
      </c>
      <c r="AT98" s="1497">
        <v>238.87</v>
      </c>
      <c r="AU98" s="1497">
        <v>20.328441350000002</v>
      </c>
      <c r="AV98" s="1497">
        <v>841.60500000000002</v>
      </c>
      <c r="AW98" s="1497">
        <v>127.94877701</v>
      </c>
      <c r="AX98" s="1497">
        <v>189.47300000000001</v>
      </c>
      <c r="AY98" s="1497">
        <v>50.331840010000001</v>
      </c>
      <c r="AZ98" s="1497">
        <v>254.148</v>
      </c>
      <c r="BA98" s="1497">
        <v>33.450311710000001</v>
      </c>
      <c r="BB98" s="614">
        <v>0.183</v>
      </c>
      <c r="BC98" s="1502">
        <v>4.4159999999999998E-3</v>
      </c>
      <c r="BD98" s="1497">
        <v>223.60499999999999</v>
      </c>
      <c r="BE98" s="1497">
        <v>9.5599269000000007</v>
      </c>
      <c r="BF98" s="1497"/>
      <c r="BG98" s="1497"/>
      <c r="BH98" s="1497">
        <v>174.37899999999999</v>
      </c>
      <c r="BI98" s="1497">
        <v>34.606698389999998</v>
      </c>
      <c r="BJ98" s="1497">
        <v>17.599</v>
      </c>
      <c r="BK98" s="1497">
        <v>7.08097186</v>
      </c>
      <c r="BL98" s="1497">
        <v>156.78</v>
      </c>
      <c r="BM98" s="1497">
        <v>27.52572653</v>
      </c>
    </row>
    <row r="99" spans="1:65">
      <c r="A99" s="409" t="s">
        <v>20</v>
      </c>
      <c r="B99" s="1504">
        <v>5445.5829999999996</v>
      </c>
      <c r="C99" s="1504">
        <v>48.615000000000002</v>
      </c>
      <c r="D99" s="1504">
        <v>2439.2849999999999</v>
      </c>
      <c r="E99" s="1504">
        <v>1532.8879999999999</v>
      </c>
      <c r="F99" s="1504">
        <v>693.49800000000005</v>
      </c>
      <c r="G99" s="1492">
        <v>779.91200000000003</v>
      </c>
      <c r="H99" s="1504">
        <v>7338.875</v>
      </c>
      <c r="I99" s="1504">
        <v>1098.9443959600001</v>
      </c>
      <c r="J99" s="1497">
        <v>4943.8450000000003</v>
      </c>
      <c r="K99" s="1492">
        <v>873.79492988000004</v>
      </c>
      <c r="L99" s="1497">
        <v>43.390999999999998</v>
      </c>
      <c r="M99" s="1497">
        <v>64.779101260000004</v>
      </c>
      <c r="N99" s="1497">
        <v>55.418999999999997</v>
      </c>
      <c r="O99" s="1497">
        <v>21.061043479999999</v>
      </c>
      <c r="P99" s="1497">
        <v>607.39800000000002</v>
      </c>
      <c r="Q99" s="1504">
        <v>36.964396669999999</v>
      </c>
      <c r="R99" s="1504">
        <v>1.3360000000000001</v>
      </c>
      <c r="S99" s="1503">
        <v>1.5609329999999999E-2</v>
      </c>
      <c r="T99" s="1504">
        <v>1129.924</v>
      </c>
      <c r="U99" s="1504">
        <v>24.699587439999998</v>
      </c>
      <c r="V99" s="1504"/>
      <c r="W99" s="1504"/>
      <c r="X99" s="1492">
        <v>558.89800000000002</v>
      </c>
      <c r="Y99" s="1492">
        <v>77.645337229999996</v>
      </c>
      <c r="Z99" s="1492">
        <v>53.65</v>
      </c>
      <c r="AA99" s="1492">
        <v>18.012206819999999</v>
      </c>
      <c r="AB99" s="1492">
        <v>505.24799999999999</v>
      </c>
      <c r="AC99" s="1492">
        <v>59.63313041</v>
      </c>
      <c r="AD99" s="1497">
        <v>6470.2060000000001</v>
      </c>
      <c r="AE99" s="1497">
        <v>956.39525653999999</v>
      </c>
      <c r="AF99" s="1497">
        <v>4816.76</v>
      </c>
      <c r="AG99" s="1497">
        <v>842.85713931999999</v>
      </c>
      <c r="AH99" s="1497">
        <v>383.56099999999998</v>
      </c>
      <c r="AI99" s="1497">
        <v>63.633386950000002</v>
      </c>
      <c r="AJ99" s="1497">
        <v>1.171</v>
      </c>
      <c r="AK99" s="1497">
        <v>1.1338330000000001E-2</v>
      </c>
      <c r="AL99" s="1497">
        <v>914.375</v>
      </c>
      <c r="AM99" s="1497">
        <v>15.118826500000001</v>
      </c>
      <c r="AN99" s="1497"/>
      <c r="AO99" s="1497"/>
      <c r="AP99" s="1497">
        <v>355.51</v>
      </c>
      <c r="AQ99" s="1497">
        <v>34.785903769999997</v>
      </c>
      <c r="AR99" s="1497">
        <v>33.869</v>
      </c>
      <c r="AS99" s="1497">
        <v>10.668974009999999</v>
      </c>
      <c r="AT99" s="1497">
        <v>321.64100000000002</v>
      </c>
      <c r="AU99" s="1497">
        <v>24.116929760000001</v>
      </c>
      <c r="AV99" s="1497">
        <v>868.66899999999998</v>
      </c>
      <c r="AW99" s="1497">
        <v>142.54913941999999</v>
      </c>
      <c r="AX99" s="1497">
        <v>182.50399999999999</v>
      </c>
      <c r="AY99" s="1497">
        <v>51.998834039999998</v>
      </c>
      <c r="AZ99" s="1497">
        <v>267.22800000000001</v>
      </c>
      <c r="BA99" s="1497">
        <v>38.110110980000002</v>
      </c>
      <c r="BB99" s="614">
        <v>0.16500000000000001</v>
      </c>
      <c r="BC99" s="1502">
        <v>4.2709999999999996E-3</v>
      </c>
      <c r="BD99" s="1497">
        <v>215.54900000000001</v>
      </c>
      <c r="BE99" s="1497">
        <v>9.5807609399999993</v>
      </c>
      <c r="BF99" s="1497"/>
      <c r="BG99" s="1497"/>
      <c r="BH99" s="1497">
        <v>203.38800000000001</v>
      </c>
      <c r="BI99" s="1497">
        <v>42.859433459999998</v>
      </c>
      <c r="BJ99" s="1497">
        <v>19.780999999999999</v>
      </c>
      <c r="BK99" s="1497">
        <v>7.3432328099999999</v>
      </c>
      <c r="BL99" s="1497">
        <v>183.607</v>
      </c>
      <c r="BM99" s="1497">
        <v>35.516200650000002</v>
      </c>
    </row>
    <row r="100" spans="1:65">
      <c r="A100" s="409" t="s">
        <v>21</v>
      </c>
      <c r="B100" s="1504">
        <v>5453.4350000000004</v>
      </c>
      <c r="C100" s="1504">
        <v>53.430999999999997</v>
      </c>
      <c r="D100" s="1504">
        <v>2473.9949999999999</v>
      </c>
      <c r="E100" s="1504">
        <v>1492.6980000000001</v>
      </c>
      <c r="F100" s="1504">
        <v>731.93100000000004</v>
      </c>
      <c r="G100" s="1492">
        <v>754.81100000000004</v>
      </c>
      <c r="H100" s="1504">
        <v>6580.2619999999997</v>
      </c>
      <c r="I100" s="1504">
        <v>973.03676429999996</v>
      </c>
      <c r="J100" s="1497">
        <v>4400.808</v>
      </c>
      <c r="K100" s="1492">
        <v>776.13256869999998</v>
      </c>
      <c r="L100" s="1497">
        <v>38.298000000000002</v>
      </c>
      <c r="M100" s="1497">
        <v>55.247871799999999</v>
      </c>
      <c r="N100" s="1497">
        <v>72.385000000000005</v>
      </c>
      <c r="O100" s="1497">
        <v>23.266798900000001</v>
      </c>
      <c r="P100" s="1497">
        <v>755.39300000000003</v>
      </c>
      <c r="Q100" s="1504">
        <v>34.075863599999998</v>
      </c>
      <c r="R100" s="1504">
        <v>1.2989999999999999</v>
      </c>
      <c r="S100" s="1503">
        <v>2.9964999999999999E-2</v>
      </c>
      <c r="T100" s="1504">
        <v>882.70600000000002</v>
      </c>
      <c r="U100" s="1504">
        <v>21.9358325</v>
      </c>
      <c r="V100" s="1504"/>
      <c r="W100" s="1504"/>
      <c r="X100" s="1492">
        <v>430.67200000000003</v>
      </c>
      <c r="Y100" s="1492">
        <v>62.377828800000003</v>
      </c>
      <c r="Z100" s="1492">
        <v>47.436</v>
      </c>
      <c r="AA100" s="1492">
        <v>15.087858199999999</v>
      </c>
      <c r="AB100" s="1492">
        <v>383.23599999999999</v>
      </c>
      <c r="AC100" s="1492">
        <v>47.289970600000004</v>
      </c>
      <c r="AD100" s="1497">
        <v>5750.3950000000004</v>
      </c>
      <c r="AE100" s="1497">
        <v>845.17703589999996</v>
      </c>
      <c r="AF100" s="1497">
        <v>4292.8490000000002</v>
      </c>
      <c r="AG100" s="1497">
        <v>746.80658879999999</v>
      </c>
      <c r="AH100" s="1497">
        <v>526.24300000000005</v>
      </c>
      <c r="AI100" s="1497">
        <v>56.685355100000002</v>
      </c>
      <c r="AJ100" s="1497">
        <v>1.0640000000000001</v>
      </c>
      <c r="AK100" s="1497">
        <v>1.3386E-2</v>
      </c>
      <c r="AL100" s="1497">
        <v>674.59799999999996</v>
      </c>
      <c r="AM100" s="1497">
        <v>12.677512800000001</v>
      </c>
      <c r="AN100" s="1497"/>
      <c r="AO100" s="1497"/>
      <c r="AP100" s="1497">
        <v>256.70499999999998</v>
      </c>
      <c r="AQ100" s="1497">
        <v>29.007579199999999</v>
      </c>
      <c r="AR100" s="1497">
        <v>30.009</v>
      </c>
      <c r="AS100" s="1497">
        <v>8.6537810999999998</v>
      </c>
      <c r="AT100" s="1497">
        <v>226.696</v>
      </c>
      <c r="AU100" s="1497">
        <v>20.353798100000002</v>
      </c>
      <c r="AV100" s="1497">
        <v>829.86699999999996</v>
      </c>
      <c r="AW100" s="1497">
        <v>127.85972839999999</v>
      </c>
      <c r="AX100" s="1497">
        <v>180.34399999999999</v>
      </c>
      <c r="AY100" s="1497">
        <v>52.592778799999998</v>
      </c>
      <c r="AZ100" s="1497">
        <v>267.44799999999998</v>
      </c>
      <c r="BA100" s="1497">
        <v>32.638380300000001</v>
      </c>
      <c r="BB100" s="614">
        <v>0.23499999999999999</v>
      </c>
      <c r="BC100" s="1502">
        <v>1.6579E-2</v>
      </c>
      <c r="BD100" s="1497">
        <v>208.108</v>
      </c>
      <c r="BE100" s="1497">
        <v>9.2583196999999995</v>
      </c>
      <c r="BF100" s="1497"/>
      <c r="BG100" s="1497"/>
      <c r="BH100" s="1497">
        <v>173.96700000000001</v>
      </c>
      <c r="BI100" s="1497">
        <v>33.370249600000001</v>
      </c>
      <c r="BJ100" s="1497">
        <v>17.427</v>
      </c>
      <c r="BK100" s="1497">
        <v>6.4340770999999997</v>
      </c>
      <c r="BL100" s="1497">
        <v>156.54</v>
      </c>
      <c r="BM100" s="1497">
        <v>26.936172500000001</v>
      </c>
    </row>
    <row r="101" spans="1:65">
      <c r="A101" s="409" t="s">
        <v>22</v>
      </c>
      <c r="B101" s="1504">
        <v>5434.3630000000003</v>
      </c>
      <c r="C101" s="1504">
        <v>60.798999999999999</v>
      </c>
      <c r="D101" s="1504">
        <v>2477.819</v>
      </c>
      <c r="E101" s="1504">
        <v>1541.204</v>
      </c>
      <c r="F101" s="1504">
        <v>673.73</v>
      </c>
      <c r="G101" s="1492">
        <v>741.61</v>
      </c>
      <c r="H101" s="1504">
        <v>7063.384</v>
      </c>
      <c r="I101" s="1504">
        <v>1052.3024849991</v>
      </c>
      <c r="J101" s="1497">
        <v>4715.857</v>
      </c>
      <c r="K101" s="1492">
        <v>837.41501875999995</v>
      </c>
      <c r="L101" s="1497">
        <v>35.776000000000003</v>
      </c>
      <c r="M101" s="1497">
        <v>53.297657123699999</v>
      </c>
      <c r="N101" s="1497">
        <v>83.182000000000002</v>
      </c>
      <c r="O101" s="1497">
        <v>23.1639670281</v>
      </c>
      <c r="P101" s="1497">
        <v>816.274</v>
      </c>
      <c r="Q101" s="1504">
        <v>38.712619994199997</v>
      </c>
      <c r="R101" s="1504">
        <v>1.3129999999999999</v>
      </c>
      <c r="S101" s="1503">
        <v>2.6942900000000002E-2</v>
      </c>
      <c r="T101" s="1504">
        <v>909.26700000000005</v>
      </c>
      <c r="U101" s="1504">
        <v>21.776039113700001</v>
      </c>
      <c r="V101" s="1504"/>
      <c r="W101" s="1504"/>
      <c r="X101" s="1492">
        <v>503.02800000000002</v>
      </c>
      <c r="Y101" s="1492">
        <v>77.937182979400006</v>
      </c>
      <c r="Z101" s="1492">
        <v>51.845999999999997</v>
      </c>
      <c r="AA101" s="1492">
        <v>17.717383313499997</v>
      </c>
      <c r="AB101" s="1492">
        <v>451.18200000000002</v>
      </c>
      <c r="AC101" s="1492">
        <v>60.219799665899998</v>
      </c>
      <c r="AD101" s="1497">
        <v>6173.1350000000002</v>
      </c>
      <c r="AE101" s="1497">
        <v>916.32209469379995</v>
      </c>
      <c r="AF101" s="1497">
        <v>4602.4809999999998</v>
      </c>
      <c r="AG101" s="1497">
        <v>807.61100299110001</v>
      </c>
      <c r="AH101" s="1497">
        <v>574.95299999999997</v>
      </c>
      <c r="AI101" s="1497">
        <v>60.007763003900003</v>
      </c>
      <c r="AJ101" s="1497">
        <v>1.0109999999999999</v>
      </c>
      <c r="AK101" s="1497">
        <v>1.54062E-2</v>
      </c>
      <c r="AL101" s="1497">
        <v>699.96699999999998</v>
      </c>
      <c r="AM101" s="1497">
        <v>12.6122363355</v>
      </c>
      <c r="AN101" s="1497"/>
      <c r="AO101" s="1497"/>
      <c r="AP101" s="1497">
        <v>295.73399999999998</v>
      </c>
      <c r="AQ101" s="1497">
        <v>36.0910923633</v>
      </c>
      <c r="AR101" s="1497">
        <v>32.613</v>
      </c>
      <c r="AS101" s="1497">
        <v>10.605342587899999</v>
      </c>
      <c r="AT101" s="1497">
        <v>263.12099999999998</v>
      </c>
      <c r="AU101" s="1497">
        <v>25.485749775399999</v>
      </c>
      <c r="AV101" s="1497">
        <v>890.24900000000002</v>
      </c>
      <c r="AW101" s="1497">
        <v>135.98039030530001</v>
      </c>
      <c r="AX101" s="1497">
        <v>196.55799999999999</v>
      </c>
      <c r="AY101" s="1497">
        <v>52.967982796999998</v>
      </c>
      <c r="AZ101" s="1497">
        <v>277.09699999999998</v>
      </c>
      <c r="BA101" s="1497">
        <v>32.002514114</v>
      </c>
      <c r="BB101" s="614">
        <v>0.30199999999999999</v>
      </c>
      <c r="BC101" s="1502">
        <v>1.15367E-2</v>
      </c>
      <c r="BD101" s="1497">
        <v>209.3</v>
      </c>
      <c r="BE101" s="1497">
        <v>9.1638027782000009</v>
      </c>
      <c r="BF101" s="1497"/>
      <c r="BG101" s="1497"/>
      <c r="BH101" s="1497">
        <v>207.29400000000001</v>
      </c>
      <c r="BI101" s="1497">
        <v>41.8460906161</v>
      </c>
      <c r="BJ101" s="1497">
        <v>19.233000000000001</v>
      </c>
      <c r="BK101" s="1497">
        <v>7.1120407255999991</v>
      </c>
      <c r="BL101" s="1497">
        <v>188.06100000000001</v>
      </c>
      <c r="BM101" s="1497">
        <v>34.734049890500003</v>
      </c>
    </row>
    <row r="102" spans="1:65">
      <c r="A102" s="409" t="s">
        <v>23</v>
      </c>
      <c r="B102" s="1504">
        <v>5479.6980000000003</v>
      </c>
      <c r="C102" s="1504">
        <v>65.923000000000002</v>
      </c>
      <c r="D102" s="1504">
        <v>2493.3719999999998</v>
      </c>
      <c r="E102" s="1504">
        <v>1541.521</v>
      </c>
      <c r="F102" s="1504">
        <v>663.12900000000002</v>
      </c>
      <c r="G102" s="1492">
        <v>781.67600000000004</v>
      </c>
      <c r="H102" s="1504">
        <v>7002.8680000000004</v>
      </c>
      <c r="I102" s="1504">
        <v>1048.5094405519001</v>
      </c>
      <c r="J102" s="1497">
        <v>4573.4629999999997</v>
      </c>
      <c r="K102" s="1492">
        <v>817.26723701000003</v>
      </c>
      <c r="L102" s="1497">
        <v>34.706000000000003</v>
      </c>
      <c r="M102" s="1497">
        <v>62.187665561999999</v>
      </c>
      <c r="N102" s="1497">
        <v>86.149000000000001</v>
      </c>
      <c r="O102" s="1497">
        <v>23.191707844900002</v>
      </c>
      <c r="P102" s="1497">
        <v>667.50699999999995</v>
      </c>
      <c r="Q102" s="1504">
        <v>41.193660116700002</v>
      </c>
      <c r="R102" s="1504">
        <v>1.431</v>
      </c>
      <c r="S102" s="1503">
        <v>7.0485199999999998E-2</v>
      </c>
      <c r="T102" s="1504">
        <v>1161.1379999999999</v>
      </c>
      <c r="U102" s="1504">
        <v>29.446231082400001</v>
      </c>
      <c r="V102" s="1504"/>
      <c r="W102" s="1504"/>
      <c r="X102" s="1492">
        <v>479.90499999999997</v>
      </c>
      <c r="Y102" s="1492">
        <v>75.222938935900004</v>
      </c>
      <c r="Z102" s="1492">
        <v>48.448999999999998</v>
      </c>
      <c r="AA102" s="1492">
        <v>16.452569512700002</v>
      </c>
      <c r="AB102" s="1492">
        <v>431.45600000000002</v>
      </c>
      <c r="AC102" s="1492">
        <v>58.770369423200002</v>
      </c>
      <c r="AD102" s="1497">
        <v>6095.5630000000001</v>
      </c>
      <c r="AE102" s="1497">
        <v>905.06305173689998</v>
      </c>
      <c r="AF102" s="1497">
        <v>4457.3370000000004</v>
      </c>
      <c r="AG102" s="1497">
        <v>786.12699134779996</v>
      </c>
      <c r="AH102" s="1497">
        <v>413.09300000000002</v>
      </c>
      <c r="AI102" s="1497">
        <v>64.849258133199996</v>
      </c>
      <c r="AJ102" s="1497">
        <v>1.101</v>
      </c>
      <c r="AK102" s="1497">
        <v>5.2089999999999997E-2</v>
      </c>
      <c r="AL102" s="1497">
        <v>939.99400000000003</v>
      </c>
      <c r="AM102" s="1497">
        <v>19.2445842124</v>
      </c>
      <c r="AN102" s="1497"/>
      <c r="AO102" s="1497"/>
      <c r="AP102" s="1497">
        <v>285.13900000000001</v>
      </c>
      <c r="AQ102" s="1497">
        <v>34.842218043499997</v>
      </c>
      <c r="AR102" s="1497">
        <v>30.21</v>
      </c>
      <c r="AS102" s="1497">
        <v>9.295344762700001</v>
      </c>
      <c r="AT102" s="1497">
        <v>254.929</v>
      </c>
      <c r="AU102" s="1497">
        <v>25.5468732808</v>
      </c>
      <c r="AV102" s="1497">
        <v>907.30499999999995</v>
      </c>
      <c r="AW102" s="1497">
        <v>143.44638881500001</v>
      </c>
      <c r="AX102" s="1497">
        <v>202.27500000000001</v>
      </c>
      <c r="AY102" s="1497">
        <v>54.331953507100003</v>
      </c>
      <c r="AZ102" s="1497">
        <v>289.12</v>
      </c>
      <c r="BA102" s="1497">
        <v>38.532067545499999</v>
      </c>
      <c r="BB102" s="614">
        <v>0.33</v>
      </c>
      <c r="BC102" s="1502">
        <v>1.83952E-2</v>
      </c>
      <c r="BD102" s="1497">
        <v>221.14400000000001</v>
      </c>
      <c r="BE102" s="1497">
        <v>10.201646869999999</v>
      </c>
      <c r="BF102" s="1497"/>
      <c r="BG102" s="1497"/>
      <c r="BH102" s="1497">
        <v>194.76599999999999</v>
      </c>
      <c r="BI102" s="1497">
        <v>40.380720892399999</v>
      </c>
      <c r="BJ102" s="1497">
        <v>18.239000000000001</v>
      </c>
      <c r="BK102" s="1497">
        <v>7.1572247500000001</v>
      </c>
      <c r="BL102" s="1497">
        <v>176.52699999999999</v>
      </c>
      <c r="BM102" s="1497">
        <v>33.223496142399995</v>
      </c>
    </row>
    <row r="103" spans="1:65">
      <c r="A103" s="409" t="s">
        <v>24</v>
      </c>
      <c r="B103" s="1504">
        <v>5445.9589999999998</v>
      </c>
      <c r="C103" s="1504">
        <v>69.822000000000003</v>
      </c>
      <c r="D103" s="1504">
        <v>2496.9540000000002</v>
      </c>
      <c r="E103" s="1504">
        <v>1544.088</v>
      </c>
      <c r="F103" s="1504">
        <v>661.27300000000002</v>
      </c>
      <c r="G103" s="1492">
        <v>743.64400000000001</v>
      </c>
      <c r="H103" s="1504">
        <v>7047.2250000000004</v>
      </c>
      <c r="I103" s="1504">
        <v>1157.3505587476</v>
      </c>
      <c r="J103" s="1497">
        <v>4721.3459999999995</v>
      </c>
      <c r="K103" s="1492">
        <v>912.54396154000005</v>
      </c>
      <c r="L103" s="1497">
        <v>35.122</v>
      </c>
      <c r="M103" s="1497">
        <v>63.755566906200002</v>
      </c>
      <c r="N103" s="1497">
        <v>73.718999999999994</v>
      </c>
      <c r="O103" s="1497">
        <v>27.678435288700001</v>
      </c>
      <c r="P103" s="1497">
        <v>653.22299999999996</v>
      </c>
      <c r="Q103" s="1504">
        <v>41.318352435199998</v>
      </c>
      <c r="R103" s="1504">
        <v>1.22</v>
      </c>
      <c r="S103" s="1503">
        <v>1.8154759999999999E-2</v>
      </c>
      <c r="T103" s="1504">
        <v>1101.1489999999999</v>
      </c>
      <c r="U103" s="1504">
        <v>27.551255563400002</v>
      </c>
      <c r="V103" s="1504"/>
      <c r="W103" s="1504"/>
      <c r="X103" s="1492">
        <v>462.666</v>
      </c>
      <c r="Y103" s="1492">
        <v>84.5029870141</v>
      </c>
      <c r="Z103" s="1492">
        <v>40.274000000000001</v>
      </c>
      <c r="AA103" s="1492">
        <v>14.5609832993</v>
      </c>
      <c r="AB103" s="1492">
        <v>422.392</v>
      </c>
      <c r="AC103" s="1492">
        <v>69.942003714799995</v>
      </c>
      <c r="AD103" s="1497">
        <v>6193.9880000000003</v>
      </c>
      <c r="AE103" s="1497">
        <v>1009.7974601612</v>
      </c>
      <c r="AF103" s="1497">
        <v>4614.2669999999998</v>
      </c>
      <c r="AG103" s="1497">
        <v>885.2740400074</v>
      </c>
      <c r="AH103" s="1497">
        <v>422.71199999999999</v>
      </c>
      <c r="AI103" s="1497">
        <v>69.736290413899994</v>
      </c>
      <c r="AJ103" s="1497">
        <v>0.95699999999999996</v>
      </c>
      <c r="AK103" s="1497">
        <v>1.2803799999999999E-2</v>
      </c>
      <c r="AL103" s="1497">
        <v>885.75699999999995</v>
      </c>
      <c r="AM103" s="1497">
        <v>17.049618073400001</v>
      </c>
      <c r="AN103" s="1497"/>
      <c r="AO103" s="1497"/>
      <c r="AP103" s="1497">
        <v>271.25200000000001</v>
      </c>
      <c r="AQ103" s="1497">
        <v>37.737511666499998</v>
      </c>
      <c r="AR103" s="1497">
        <v>24.795000000000002</v>
      </c>
      <c r="AS103" s="1497">
        <v>8.2182392165000007</v>
      </c>
      <c r="AT103" s="1497">
        <v>246.45699999999999</v>
      </c>
      <c r="AU103" s="1497">
        <v>29.519272449999999</v>
      </c>
      <c r="AV103" s="1497">
        <v>853.23699999999997</v>
      </c>
      <c r="AW103" s="1497">
        <v>147.55309858640001</v>
      </c>
      <c r="AX103" s="1497">
        <v>180.798</v>
      </c>
      <c r="AY103" s="1497">
        <v>54.948356821300003</v>
      </c>
      <c r="AZ103" s="1497">
        <v>265.63299999999998</v>
      </c>
      <c r="BA103" s="1497">
        <v>35.337628927499999</v>
      </c>
      <c r="BB103" s="614">
        <v>0.26300000000000001</v>
      </c>
      <c r="BC103" s="1502">
        <v>5.3509600000000001E-3</v>
      </c>
      <c r="BD103" s="1497">
        <v>215.392</v>
      </c>
      <c r="BE103" s="1497">
        <v>10.50163749</v>
      </c>
      <c r="BF103" s="1497"/>
      <c r="BG103" s="1497"/>
      <c r="BH103" s="1497">
        <v>191.41399999999999</v>
      </c>
      <c r="BI103" s="1497">
        <v>46.765475347600002</v>
      </c>
      <c r="BJ103" s="1497">
        <v>15.478999999999999</v>
      </c>
      <c r="BK103" s="1497">
        <v>6.3427440828000003</v>
      </c>
      <c r="BL103" s="1497">
        <v>175.935</v>
      </c>
      <c r="BM103" s="1497">
        <v>40.422731264799999</v>
      </c>
    </row>
    <row r="104" spans="1:65">
      <c r="A104" s="409" t="s">
        <v>25</v>
      </c>
      <c r="B104" s="1504">
        <v>5291.1090000000004</v>
      </c>
      <c r="C104" s="1504">
        <v>73.004999999999995</v>
      </c>
      <c r="D104" s="1504">
        <v>2362.8939999999998</v>
      </c>
      <c r="E104" s="1504">
        <v>1551.201</v>
      </c>
      <c r="F104" s="1504">
        <v>648.55100000000004</v>
      </c>
      <c r="G104" s="1492">
        <v>728.46299999999997</v>
      </c>
      <c r="H104" s="1504">
        <v>6831.6790000000001</v>
      </c>
      <c r="I104" s="1504">
        <v>1106.8770754831</v>
      </c>
      <c r="J104" s="1497">
        <v>4283.8059999999996</v>
      </c>
      <c r="K104" s="1492">
        <v>787.63200553000001</v>
      </c>
      <c r="L104" s="1497">
        <v>40.69</v>
      </c>
      <c r="M104" s="1497">
        <v>74.542827130999996</v>
      </c>
      <c r="N104" s="1497">
        <v>102.205</v>
      </c>
      <c r="O104" s="1497">
        <v>42.553382300800003</v>
      </c>
      <c r="P104" s="1497">
        <v>699.92499999999995</v>
      </c>
      <c r="Q104" s="1504">
        <v>55.081308701300003</v>
      </c>
      <c r="R104" s="1504">
        <v>1.522</v>
      </c>
      <c r="S104" s="1503">
        <v>2.54921E-2</v>
      </c>
      <c r="T104" s="1504">
        <v>1161.6510000000001</v>
      </c>
      <c r="U104" s="1504">
        <v>34.746976968399998</v>
      </c>
      <c r="V104" s="1504"/>
      <c r="W104" s="1504"/>
      <c r="X104" s="1492">
        <v>543.40200000000004</v>
      </c>
      <c r="Y104" s="1492">
        <v>112.3205748516</v>
      </c>
      <c r="Z104" s="1492">
        <v>49.148000000000003</v>
      </c>
      <c r="AA104" s="1492">
        <v>19.4813004148</v>
      </c>
      <c r="AB104" s="1492">
        <v>494.25400000000002</v>
      </c>
      <c r="AC104" s="1492">
        <v>92.839274436799982</v>
      </c>
      <c r="AD104" s="1497">
        <v>5885.5029999999997</v>
      </c>
      <c r="AE104" s="1497">
        <v>919.23461538909999</v>
      </c>
      <c r="AF104" s="1497">
        <v>4185.7120000000004</v>
      </c>
      <c r="AG104" s="1497">
        <v>761.79066702540001</v>
      </c>
      <c r="AH104" s="1497">
        <v>457.72899999999998</v>
      </c>
      <c r="AI104" s="1497">
        <v>84.466778645399998</v>
      </c>
      <c r="AJ104" s="1497">
        <v>1.256</v>
      </c>
      <c r="AK104" s="1497">
        <v>1.6150899999999999E-2</v>
      </c>
      <c r="AL104" s="1497">
        <v>932.11</v>
      </c>
      <c r="AM104" s="1497">
        <v>22.232953638400001</v>
      </c>
      <c r="AN104" s="1497"/>
      <c r="AO104" s="1497"/>
      <c r="AP104" s="1497">
        <v>309.952</v>
      </c>
      <c r="AQ104" s="1497">
        <v>50.744216079899999</v>
      </c>
      <c r="AR104" s="1497">
        <v>30.064</v>
      </c>
      <c r="AS104" s="1497">
        <v>11.7265342715</v>
      </c>
      <c r="AT104" s="1497">
        <v>279.88799999999998</v>
      </c>
      <c r="AU104" s="1497">
        <v>39.017681808400006</v>
      </c>
      <c r="AV104" s="1497">
        <v>946.17600000000004</v>
      </c>
      <c r="AW104" s="1497">
        <v>187.642460094</v>
      </c>
      <c r="AX104" s="1497">
        <v>200.29900000000001</v>
      </c>
      <c r="AY104" s="1497">
        <v>68.394720805399999</v>
      </c>
      <c r="AZ104" s="1497">
        <v>282.88600000000002</v>
      </c>
      <c r="BA104" s="1497">
        <v>45.157357186900001</v>
      </c>
      <c r="BB104" s="614">
        <v>0.26600000000000001</v>
      </c>
      <c r="BC104" s="1502">
        <v>9.3412000000000009E-3</v>
      </c>
      <c r="BD104" s="1497">
        <v>229.541</v>
      </c>
      <c r="BE104" s="1497">
        <v>12.514023330000001</v>
      </c>
      <c r="BF104" s="1497"/>
      <c r="BG104" s="1497"/>
      <c r="BH104" s="1497">
        <v>233.45</v>
      </c>
      <c r="BI104" s="1497">
        <v>61.576358771700001</v>
      </c>
      <c r="BJ104" s="1497">
        <v>19.084</v>
      </c>
      <c r="BK104" s="1497">
        <v>7.7547661432999995</v>
      </c>
      <c r="BL104" s="1497">
        <v>214.36600000000001</v>
      </c>
      <c r="BM104" s="1497">
        <v>53.821592628399998</v>
      </c>
    </row>
    <row r="105" spans="1:65">
      <c r="A105" s="409" t="s">
        <v>26</v>
      </c>
      <c r="B105" s="1504">
        <v>5191.7749999999996</v>
      </c>
      <c r="C105" s="1504">
        <v>75.534000000000006</v>
      </c>
      <c r="D105" s="1504">
        <v>2284.2579999999998</v>
      </c>
      <c r="E105" s="1504">
        <v>1555.2090000000001</v>
      </c>
      <c r="F105" s="1504">
        <v>644.59100000000001</v>
      </c>
      <c r="G105" s="1492">
        <v>707.71699999999998</v>
      </c>
      <c r="H105" s="1504">
        <v>6817.2920000000004</v>
      </c>
      <c r="I105" s="1504">
        <v>1037.8344895881</v>
      </c>
      <c r="J105" s="1497">
        <v>4510.777</v>
      </c>
      <c r="K105" s="1492">
        <v>785.90835002389997</v>
      </c>
      <c r="L105" s="1497">
        <v>42.341999999999999</v>
      </c>
      <c r="M105" s="1497">
        <v>59.3901243197</v>
      </c>
      <c r="N105" s="1497">
        <v>81.486999999999995</v>
      </c>
      <c r="O105" s="1497">
        <v>27.283746149799999</v>
      </c>
      <c r="P105" s="1497">
        <v>637.91099999999994</v>
      </c>
      <c r="Q105" s="1504">
        <v>51.386968876600001</v>
      </c>
      <c r="R105" s="1504">
        <v>1.069</v>
      </c>
      <c r="S105" s="1503">
        <v>1.68922E-2</v>
      </c>
      <c r="T105" s="1504">
        <v>1075.3869999999999</v>
      </c>
      <c r="U105" s="1504">
        <v>31.679907845900001</v>
      </c>
      <c r="V105" s="1504"/>
      <c r="W105" s="1504"/>
      <c r="X105" s="1492">
        <v>469.38799999999998</v>
      </c>
      <c r="Y105" s="1492">
        <v>82.185392372199999</v>
      </c>
      <c r="Z105" s="1492">
        <v>48.823</v>
      </c>
      <c r="AA105" s="1492">
        <v>19.130180170200003</v>
      </c>
      <c r="AB105" s="1492">
        <v>420.565</v>
      </c>
      <c r="AC105" s="1492">
        <v>63.055212202000007</v>
      </c>
      <c r="AD105" s="1497">
        <v>5962.0039999999999</v>
      </c>
      <c r="AE105" s="1497">
        <v>895.46268808570005</v>
      </c>
      <c r="AF105" s="1497">
        <v>4409.4009999999998</v>
      </c>
      <c r="AG105" s="1497">
        <v>760.27650764350005</v>
      </c>
      <c r="AH105" s="1497">
        <v>414.82400000000001</v>
      </c>
      <c r="AI105" s="1497">
        <v>74.552109769899999</v>
      </c>
      <c r="AJ105" s="1497">
        <v>0.71299999999999997</v>
      </c>
      <c r="AK105" s="1497">
        <v>5.2924000000000001E-3</v>
      </c>
      <c r="AL105" s="1497">
        <v>863.59900000000005</v>
      </c>
      <c r="AM105" s="1497">
        <v>23.083664999900002</v>
      </c>
      <c r="AN105" s="1497"/>
      <c r="AO105" s="1497"/>
      <c r="AP105" s="1497">
        <v>274.18</v>
      </c>
      <c r="AQ105" s="1497">
        <v>37.550405672399997</v>
      </c>
      <c r="AR105" s="1497">
        <v>31.545000000000002</v>
      </c>
      <c r="AS105" s="1497">
        <v>11.6457175445</v>
      </c>
      <c r="AT105" s="1497">
        <v>242.63499999999999</v>
      </c>
      <c r="AU105" s="1497">
        <v>25.904688127900002</v>
      </c>
      <c r="AV105" s="1497">
        <v>855.28800000000001</v>
      </c>
      <c r="AW105" s="1497">
        <v>142.37180150239999</v>
      </c>
      <c r="AX105" s="1497">
        <v>182.863</v>
      </c>
      <c r="AY105" s="1497">
        <v>52.915588530199997</v>
      </c>
      <c r="AZ105" s="1497">
        <v>265.42899999999997</v>
      </c>
      <c r="BA105" s="1497">
        <v>36.224983426400001</v>
      </c>
      <c r="BB105" s="614">
        <v>0.35599999999999998</v>
      </c>
      <c r="BC105" s="1502">
        <v>1.1599799999999999E-2</v>
      </c>
      <c r="BD105" s="1497">
        <v>211.78800000000001</v>
      </c>
      <c r="BE105" s="1497">
        <v>8.5962428460000009</v>
      </c>
      <c r="BF105" s="1497"/>
      <c r="BG105" s="1497"/>
      <c r="BH105" s="1497">
        <v>195.208</v>
      </c>
      <c r="BI105" s="1497">
        <v>44.634986699800002</v>
      </c>
      <c r="BJ105" s="1497">
        <v>17.277999999999999</v>
      </c>
      <c r="BK105" s="1497">
        <v>7.4844626257</v>
      </c>
      <c r="BL105" s="1497">
        <v>177.93</v>
      </c>
      <c r="BM105" s="1497">
        <v>37.150524074100005</v>
      </c>
    </row>
    <row r="106" spans="1:65">
      <c r="A106" s="409" t="s">
        <v>27</v>
      </c>
      <c r="B106" s="1504">
        <v>5355.07</v>
      </c>
      <c r="C106" s="1504">
        <v>79.600999999999999</v>
      </c>
      <c r="D106" s="1504">
        <v>2506.9459999999999</v>
      </c>
      <c r="E106" s="1504">
        <v>1537.2280000000001</v>
      </c>
      <c r="F106" s="1504">
        <v>623.03499999999997</v>
      </c>
      <c r="G106" s="1492">
        <v>687.86099999999999</v>
      </c>
      <c r="H106" s="1504">
        <v>7152.7650000000003</v>
      </c>
      <c r="I106" s="1504">
        <v>1078.1654557539</v>
      </c>
      <c r="J106" s="1497">
        <v>4703.9229999999998</v>
      </c>
      <c r="K106" s="1492">
        <v>830.46069273759997</v>
      </c>
      <c r="L106" s="1497">
        <v>37.960999999999999</v>
      </c>
      <c r="M106" s="1497">
        <v>60.236431684000003</v>
      </c>
      <c r="N106" s="1497">
        <v>91.453999999999994</v>
      </c>
      <c r="O106" s="1497">
        <v>25.816800997200001</v>
      </c>
      <c r="P106" s="1497">
        <v>654.03700000000003</v>
      </c>
      <c r="Q106" s="1504">
        <v>49.141744086700001</v>
      </c>
      <c r="R106" s="1504">
        <v>1.115</v>
      </c>
      <c r="S106" s="1503">
        <v>1.207925E-2</v>
      </c>
      <c r="T106" s="1504">
        <v>1121.297</v>
      </c>
      <c r="U106" s="1504">
        <v>27.496240710999999</v>
      </c>
      <c r="V106" s="1504"/>
      <c r="W106" s="1504"/>
      <c r="X106" s="1492">
        <v>544.09299999999996</v>
      </c>
      <c r="Y106" s="1492">
        <v>85.013545537400006</v>
      </c>
      <c r="Z106" s="1492">
        <v>55.018000000000001</v>
      </c>
      <c r="AA106" s="1492">
        <v>18.973224580499998</v>
      </c>
      <c r="AB106" s="1492">
        <v>489.07499999999999</v>
      </c>
      <c r="AC106" s="1492">
        <v>66.040320956900004</v>
      </c>
      <c r="AD106" s="1497">
        <v>6305.3010000000004</v>
      </c>
      <c r="AE106" s="1497">
        <v>946.61242395399995</v>
      </c>
      <c r="AF106" s="1497">
        <v>4626.4189999999999</v>
      </c>
      <c r="AG106" s="1497">
        <v>808.54888861740005</v>
      </c>
      <c r="AH106" s="1497">
        <v>435.51</v>
      </c>
      <c r="AI106" s="1497">
        <v>78.506153494599999</v>
      </c>
      <c r="AJ106" s="1497">
        <v>0.80300000000000005</v>
      </c>
      <c r="AK106" s="1497">
        <v>6.2233500000000008E-3</v>
      </c>
      <c r="AL106" s="1497">
        <v>909.41600000000005</v>
      </c>
      <c r="AM106" s="1497">
        <v>19.271641820999999</v>
      </c>
      <c r="AN106" s="1497"/>
      <c r="AO106" s="1497"/>
      <c r="AP106" s="1497">
        <v>333.95600000000002</v>
      </c>
      <c r="AQ106" s="1497">
        <v>40.285740021000002</v>
      </c>
      <c r="AR106" s="1497">
        <v>37.183999999999997</v>
      </c>
      <c r="AS106" s="1497">
        <v>11.8241903475</v>
      </c>
      <c r="AT106" s="1497">
        <v>296.77199999999999</v>
      </c>
      <c r="AU106" s="1497">
        <v>28.461549673500002</v>
      </c>
      <c r="AV106" s="1497">
        <v>847.46400000000006</v>
      </c>
      <c r="AW106" s="1497">
        <v>131.5530317999</v>
      </c>
      <c r="AX106" s="1497">
        <v>168.958</v>
      </c>
      <c r="AY106" s="1497">
        <v>47.728605117400001</v>
      </c>
      <c r="AZ106" s="1497">
        <v>256.488</v>
      </c>
      <c r="BA106" s="1497">
        <v>30.872022276100001</v>
      </c>
      <c r="BB106" s="614">
        <v>0.312</v>
      </c>
      <c r="BC106" s="1502">
        <v>5.8558999999999998E-3</v>
      </c>
      <c r="BD106" s="1497">
        <v>211.881</v>
      </c>
      <c r="BE106" s="1497">
        <v>8.2245988899999993</v>
      </c>
      <c r="BF106" s="1497"/>
      <c r="BG106" s="1497"/>
      <c r="BH106" s="1497">
        <v>210.137</v>
      </c>
      <c r="BI106" s="1497">
        <v>44.727805516399997</v>
      </c>
      <c r="BJ106" s="1497">
        <v>17.834</v>
      </c>
      <c r="BK106" s="1497">
        <v>7.1490342330000001</v>
      </c>
      <c r="BL106" s="1497">
        <v>192.303</v>
      </c>
      <c r="BM106" s="1497">
        <v>37.578771283400002</v>
      </c>
    </row>
    <row r="107" spans="1:65">
      <c r="A107" s="409" t="s">
        <v>28</v>
      </c>
      <c r="B107" s="1504">
        <v>5361.3729999999996</v>
      </c>
      <c r="C107" s="1504">
        <v>85.131</v>
      </c>
      <c r="D107" s="1504">
        <v>2516.1680000000001</v>
      </c>
      <c r="E107" s="1504">
        <v>1536.288</v>
      </c>
      <c r="F107" s="1504">
        <v>638.62900000000002</v>
      </c>
      <c r="G107" s="1492">
        <v>670.28800000000001</v>
      </c>
      <c r="H107" s="1504">
        <v>7278.8860000000004</v>
      </c>
      <c r="I107" s="1504">
        <v>1105.1408355686001</v>
      </c>
      <c r="J107" s="1497">
        <v>4589.317</v>
      </c>
      <c r="K107" s="1492">
        <v>835.08913948999998</v>
      </c>
      <c r="L107" s="1497">
        <v>39.231000000000002</v>
      </c>
      <c r="M107" s="1497">
        <v>65.460357560000006</v>
      </c>
      <c r="N107" s="1497">
        <v>108.756</v>
      </c>
      <c r="O107" s="1497">
        <v>30.964626154499999</v>
      </c>
      <c r="P107" s="1497">
        <v>1044.4280000000001</v>
      </c>
      <c r="Q107" s="1504">
        <v>55.917575790000001</v>
      </c>
      <c r="R107" s="1504">
        <v>1.4059999999999999</v>
      </c>
      <c r="S107" s="1503">
        <v>1.8520910000000002E-2</v>
      </c>
      <c r="T107" s="1504">
        <v>915.41300000000001</v>
      </c>
      <c r="U107" s="1504">
        <v>28.714395184099999</v>
      </c>
      <c r="V107" s="1504"/>
      <c r="W107" s="1504"/>
      <c r="X107" s="1492">
        <v>581.74099999999999</v>
      </c>
      <c r="Y107" s="1492">
        <v>88.994741390000002</v>
      </c>
      <c r="Z107" s="1492">
        <v>54.076999999999998</v>
      </c>
      <c r="AA107" s="1492">
        <v>19.30531731</v>
      </c>
      <c r="AB107" s="1492">
        <v>527.66399999999999</v>
      </c>
      <c r="AC107" s="1492">
        <v>69.689424079999995</v>
      </c>
      <c r="AD107" s="1497">
        <v>6382.1710000000003</v>
      </c>
      <c r="AE107" s="1497">
        <v>963.09608964359995</v>
      </c>
      <c r="AF107" s="1497">
        <v>4523.4570000000003</v>
      </c>
      <c r="AG107" s="1497">
        <v>815.60263970949995</v>
      </c>
      <c r="AH107" s="1497">
        <v>766.59400000000005</v>
      </c>
      <c r="AI107" s="1497">
        <v>84.534124669999997</v>
      </c>
      <c r="AJ107" s="1497">
        <v>1.024</v>
      </c>
      <c r="AK107" s="1497">
        <v>1.024535E-2</v>
      </c>
      <c r="AL107" s="1497">
        <v>731.44600000000003</v>
      </c>
      <c r="AM107" s="1497">
        <v>20.4479835241</v>
      </c>
      <c r="AN107" s="1497"/>
      <c r="AO107" s="1497"/>
      <c r="AP107" s="1497">
        <v>360.67399999999998</v>
      </c>
      <c r="AQ107" s="1497">
        <v>42.511341739999999</v>
      </c>
      <c r="AR107" s="1497">
        <v>35.954000000000001</v>
      </c>
      <c r="AS107" s="1497">
        <v>11.99685275</v>
      </c>
      <c r="AT107" s="1497">
        <v>324.72000000000003</v>
      </c>
      <c r="AU107" s="1497">
        <v>30.514488989999997</v>
      </c>
      <c r="AV107" s="1497">
        <v>896.71500000000003</v>
      </c>
      <c r="AW107" s="1497">
        <v>142.044745925</v>
      </c>
      <c r="AX107" s="1497">
        <v>174.61600000000001</v>
      </c>
      <c r="AY107" s="1497">
        <v>50.451125935</v>
      </c>
      <c r="AZ107" s="1497">
        <v>317.065</v>
      </c>
      <c r="BA107" s="1497">
        <v>36.843808680000002</v>
      </c>
      <c r="BB107" s="614">
        <v>0.38200000000000001</v>
      </c>
      <c r="BC107" s="1502">
        <v>8.2755599999999995E-3</v>
      </c>
      <c r="BD107" s="1497">
        <v>183.96700000000001</v>
      </c>
      <c r="BE107" s="1497">
        <v>8.2664116599999993</v>
      </c>
      <c r="BF107" s="1497"/>
      <c r="BG107" s="1497"/>
      <c r="BH107" s="1497">
        <v>221.06700000000001</v>
      </c>
      <c r="BI107" s="1497">
        <v>46.483399650000003</v>
      </c>
      <c r="BJ107" s="1497">
        <v>18.123000000000001</v>
      </c>
      <c r="BK107" s="1497">
        <v>7.30846456</v>
      </c>
      <c r="BL107" s="1497">
        <v>202.94399999999999</v>
      </c>
      <c r="BM107" s="1497">
        <v>39.174935089999998</v>
      </c>
    </row>
    <row r="108" spans="1:65">
      <c r="A108" s="409" t="s">
        <v>29</v>
      </c>
      <c r="B108" s="1504">
        <v>5359.3450000000003</v>
      </c>
      <c r="C108" s="1504">
        <v>90.37</v>
      </c>
      <c r="D108" s="1504">
        <v>2552.415</v>
      </c>
      <c r="E108" s="1504">
        <v>1545.5609999999999</v>
      </c>
      <c r="F108" s="1504">
        <v>630.26700000000005</v>
      </c>
      <c r="G108" s="1492">
        <v>631.10199999999998</v>
      </c>
      <c r="H108" s="1504">
        <v>8141.1480000000001</v>
      </c>
      <c r="I108" s="1504">
        <v>1309.5892435902001</v>
      </c>
      <c r="J108" s="1497">
        <v>5341.7719999999999</v>
      </c>
      <c r="K108" s="1492">
        <v>1021.171081763</v>
      </c>
      <c r="L108" s="1497">
        <v>54.139000000000003</v>
      </c>
      <c r="M108" s="1497">
        <v>82.027533082399998</v>
      </c>
      <c r="N108" s="1497">
        <v>110.173</v>
      </c>
      <c r="O108" s="1497">
        <v>32.9753091137</v>
      </c>
      <c r="P108" s="1497">
        <v>1132.827</v>
      </c>
      <c r="Q108" s="1504">
        <v>59.960691943</v>
      </c>
      <c r="R108" s="1504">
        <v>1.907</v>
      </c>
      <c r="S108" s="1503">
        <v>3.7514359999999997E-2</v>
      </c>
      <c r="T108" s="1504">
        <v>950.27599999999995</v>
      </c>
      <c r="U108" s="1504">
        <v>31.1403658881</v>
      </c>
      <c r="V108" s="1504"/>
      <c r="W108" s="1504"/>
      <c r="X108" s="1492">
        <v>551.96100000000001</v>
      </c>
      <c r="Y108" s="1492">
        <v>82.314261799999997</v>
      </c>
      <c r="Z108" s="1492">
        <v>54.868000000000002</v>
      </c>
      <c r="AA108" s="1492">
        <v>21.83387604</v>
      </c>
      <c r="AB108" s="1492">
        <v>497.09300000000002</v>
      </c>
      <c r="AC108" s="1492">
        <v>60.480385759999997</v>
      </c>
      <c r="AD108" s="1497">
        <v>7234.4610000000002</v>
      </c>
      <c r="AE108" s="1497">
        <v>1162.3643838462001</v>
      </c>
      <c r="AF108" s="1497">
        <v>5265.5820000000003</v>
      </c>
      <c r="AG108" s="1497">
        <v>996.27906875919996</v>
      </c>
      <c r="AH108" s="1497">
        <v>853.99</v>
      </c>
      <c r="AI108" s="1497">
        <v>100.490252277</v>
      </c>
      <c r="AJ108" s="1497">
        <v>1.5720000000000001</v>
      </c>
      <c r="AK108" s="1497">
        <v>3.0062599999999998E-2</v>
      </c>
      <c r="AL108" s="1497">
        <v>765.57899999999995</v>
      </c>
      <c r="AM108" s="1497">
        <v>22.23540448</v>
      </c>
      <c r="AN108" s="1497"/>
      <c r="AO108" s="1497"/>
      <c r="AP108" s="1497">
        <v>349.31</v>
      </c>
      <c r="AQ108" s="1497">
        <v>43.359658330000002</v>
      </c>
      <c r="AR108" s="1497">
        <v>37.887999999999998</v>
      </c>
      <c r="AS108" s="1497">
        <v>14.71566649</v>
      </c>
      <c r="AT108" s="1497">
        <v>311.42200000000003</v>
      </c>
      <c r="AU108" s="1497">
        <v>28.643991839999998</v>
      </c>
      <c r="AV108" s="1497">
        <v>906.68700000000001</v>
      </c>
      <c r="AW108" s="1497">
        <v>147.22485974400001</v>
      </c>
      <c r="AX108" s="1497">
        <v>186.363</v>
      </c>
      <c r="AY108" s="1497">
        <v>57.867322117500002</v>
      </c>
      <c r="AZ108" s="1497">
        <v>332.976</v>
      </c>
      <c r="BA108" s="1497">
        <v>41.497972748400002</v>
      </c>
      <c r="BB108" s="614">
        <v>0.33500000000000002</v>
      </c>
      <c r="BC108" s="1502">
        <v>7.45176E-3</v>
      </c>
      <c r="BD108" s="1497">
        <v>184.697</v>
      </c>
      <c r="BE108" s="1497">
        <v>8.9049614081000001</v>
      </c>
      <c r="BF108" s="1497"/>
      <c r="BG108" s="1497"/>
      <c r="BH108" s="1497">
        <v>202.65100000000001</v>
      </c>
      <c r="BI108" s="1497">
        <v>38.954603470000002</v>
      </c>
      <c r="BJ108" s="1497">
        <v>16.98</v>
      </c>
      <c r="BK108" s="1497">
        <v>7.1182095499999996</v>
      </c>
      <c r="BL108" s="1497">
        <v>185.67099999999999</v>
      </c>
      <c r="BM108" s="1497">
        <v>31.836393920000003</v>
      </c>
    </row>
    <row r="109" spans="1:65">
      <c r="A109" s="409" t="s">
        <v>1902</v>
      </c>
      <c r="B109" s="1505">
        <v>5873.6769999999997</v>
      </c>
      <c r="C109" s="1505">
        <v>323</v>
      </c>
      <c r="D109" s="1505">
        <v>2535.3690000000001</v>
      </c>
      <c r="E109" s="1505">
        <v>1848.9</v>
      </c>
      <c r="F109" s="1505">
        <v>866.39700000000005</v>
      </c>
      <c r="G109" s="1499">
        <v>623.01099999999997</v>
      </c>
      <c r="H109" s="702">
        <f t="shared" ref="H109:U109" si="21">SUM(H110:H121)</f>
        <v>97557.371999999988</v>
      </c>
      <c r="I109" s="702">
        <f t="shared" si="21"/>
        <v>14890.884557246198</v>
      </c>
      <c r="J109" s="702">
        <f t="shared" si="21"/>
        <v>59998.541999999994</v>
      </c>
      <c r="K109" s="702">
        <f t="shared" si="21"/>
        <v>11349.7536068642</v>
      </c>
      <c r="L109" s="702">
        <f t="shared" si="21"/>
        <v>393.35899999999998</v>
      </c>
      <c r="M109" s="702">
        <f t="shared" si="21"/>
        <v>746.05929980650012</v>
      </c>
      <c r="N109" s="702">
        <f t="shared" si="21"/>
        <v>1640.338</v>
      </c>
      <c r="O109" s="702">
        <f t="shared" si="21"/>
        <v>340.46754406529993</v>
      </c>
      <c r="P109" s="702">
        <f t="shared" si="21"/>
        <v>11181.092999999999</v>
      </c>
      <c r="Q109" s="702">
        <f t="shared" si="21"/>
        <v>808.20550245990012</v>
      </c>
      <c r="R109" s="702">
        <f t="shared" si="21"/>
        <v>193.91900000000001</v>
      </c>
      <c r="S109" s="702">
        <f t="shared" si="21"/>
        <v>5.8747151799999999</v>
      </c>
      <c r="T109" s="702">
        <f t="shared" si="21"/>
        <v>17410.233</v>
      </c>
      <c r="U109" s="702">
        <f t="shared" si="21"/>
        <v>622.05893844369996</v>
      </c>
      <c r="V109" s="702"/>
      <c r="W109" s="702"/>
      <c r="X109" s="702">
        <f t="shared" ref="X109:AM109" si="22">SUM(X110:X121)</f>
        <v>6933.8069999999989</v>
      </c>
      <c r="Y109" s="702">
        <f t="shared" si="22"/>
        <v>1024.3396656067</v>
      </c>
      <c r="Z109" s="702">
        <f t="shared" si="22"/>
        <v>545.43899999999996</v>
      </c>
      <c r="AA109" s="702">
        <f t="shared" si="22"/>
        <v>200.90640376170001</v>
      </c>
      <c r="AB109" s="702">
        <f t="shared" si="22"/>
        <v>6388.3680000000004</v>
      </c>
      <c r="AC109" s="702">
        <f t="shared" si="22"/>
        <v>823.43326184496539</v>
      </c>
      <c r="AD109" s="702">
        <f t="shared" si="22"/>
        <v>87968.95</v>
      </c>
      <c r="AE109" s="702">
        <f t="shared" si="22"/>
        <v>13423.859041142699</v>
      </c>
      <c r="AF109" s="702">
        <f t="shared" si="22"/>
        <v>59401.968999999997</v>
      </c>
      <c r="AG109" s="702">
        <f t="shared" si="22"/>
        <v>11194.477753297</v>
      </c>
      <c r="AH109" s="702">
        <f t="shared" si="22"/>
        <v>8645.527</v>
      </c>
      <c r="AI109" s="702">
        <f t="shared" si="22"/>
        <v>1179.1559324873999</v>
      </c>
      <c r="AJ109" s="702">
        <f t="shared" si="22"/>
        <v>154.98900000000003</v>
      </c>
      <c r="AK109" s="702">
        <f t="shared" si="22"/>
        <v>4.13303858</v>
      </c>
      <c r="AL109" s="702">
        <f t="shared" si="22"/>
        <v>14925.348</v>
      </c>
      <c r="AM109" s="702">
        <f t="shared" si="22"/>
        <v>441.18354021680005</v>
      </c>
      <c r="AN109" s="702"/>
      <c r="AO109" s="702"/>
      <c r="AP109" s="702">
        <f t="shared" ref="AP109:BM109" si="23">SUM(AP110:AP121)</f>
        <v>4996.1059999999998</v>
      </c>
      <c r="AQ109" s="702">
        <f t="shared" si="23"/>
        <v>609.04181514150002</v>
      </c>
      <c r="AR109" s="702">
        <f t="shared" si="23"/>
        <v>404.35399999999998</v>
      </c>
      <c r="AS109" s="702">
        <f t="shared" si="23"/>
        <v>135.60580123299999</v>
      </c>
      <c r="AT109" s="702">
        <f t="shared" si="23"/>
        <v>4591.7519999999995</v>
      </c>
      <c r="AU109" s="702">
        <f t="shared" si="23"/>
        <v>473.43601390846521</v>
      </c>
      <c r="AV109" s="702">
        <f t="shared" si="23"/>
        <v>9588.4220000000005</v>
      </c>
      <c r="AW109" s="702">
        <f t="shared" si="23"/>
        <v>1467.0255161035</v>
      </c>
      <c r="AX109" s="702">
        <f t="shared" si="23"/>
        <v>2236.9110000000001</v>
      </c>
      <c r="AY109" s="702">
        <f t="shared" si="23"/>
        <v>495.74339763249998</v>
      </c>
      <c r="AZ109" s="702">
        <f t="shared" si="23"/>
        <v>2928.9250000000002</v>
      </c>
      <c r="BA109" s="702">
        <f t="shared" si="23"/>
        <v>375.10886977900003</v>
      </c>
      <c r="BB109" s="702">
        <f t="shared" si="23"/>
        <v>38.93</v>
      </c>
      <c r="BC109" s="702">
        <f t="shared" si="23"/>
        <v>1.7416766000000001</v>
      </c>
      <c r="BD109" s="702">
        <f t="shared" si="23"/>
        <v>2484.8849999999998</v>
      </c>
      <c r="BE109" s="702">
        <f t="shared" si="23"/>
        <v>180.8753982268</v>
      </c>
      <c r="BF109" s="702">
        <f t="shared" si="23"/>
        <v>0</v>
      </c>
      <c r="BG109" s="702">
        <f t="shared" si="23"/>
        <v>0</v>
      </c>
      <c r="BH109" s="702">
        <f t="shared" si="23"/>
        <v>1937.701</v>
      </c>
      <c r="BI109" s="702">
        <f t="shared" si="23"/>
        <v>415.29785046519999</v>
      </c>
      <c r="BJ109" s="702">
        <f t="shared" si="23"/>
        <v>141.08500000000001</v>
      </c>
      <c r="BK109" s="702">
        <f t="shared" si="23"/>
        <v>65.300602528699997</v>
      </c>
      <c r="BL109" s="702">
        <f t="shared" si="23"/>
        <v>1796.616</v>
      </c>
      <c r="BM109" s="702">
        <f t="shared" si="23"/>
        <v>349.9972479365</v>
      </c>
    </row>
    <row r="110" spans="1:65">
      <c r="A110" s="409" t="s">
        <v>18</v>
      </c>
      <c r="B110" s="1504">
        <v>5367.4059999999999</v>
      </c>
      <c r="C110" s="1504">
        <v>111.18</v>
      </c>
      <c r="D110" s="1504">
        <v>2534.4720000000002</v>
      </c>
      <c r="E110" s="1504">
        <v>1580.546</v>
      </c>
      <c r="F110" s="1504">
        <v>683.39</v>
      </c>
      <c r="G110" s="1492">
        <v>568.99800000000005</v>
      </c>
      <c r="H110" s="1504">
        <v>6504.4840000000004</v>
      </c>
      <c r="I110" s="1504">
        <v>931.94370984620002</v>
      </c>
      <c r="J110" s="1497">
        <v>3839.2640000000001</v>
      </c>
      <c r="K110" s="1492">
        <v>682.20806934999996</v>
      </c>
      <c r="L110" s="1497">
        <v>24.51</v>
      </c>
      <c r="M110" s="1497">
        <v>45.101363744300002</v>
      </c>
      <c r="N110" s="1497">
        <v>109.678</v>
      </c>
      <c r="O110" s="1497">
        <v>27.880774467399998</v>
      </c>
      <c r="P110" s="1497">
        <v>1110.171</v>
      </c>
      <c r="Q110" s="1504">
        <v>57.079334854000003</v>
      </c>
      <c r="R110" s="1504">
        <v>1.724</v>
      </c>
      <c r="S110" s="1506">
        <v>3.140983E-2</v>
      </c>
      <c r="T110" s="1504">
        <v>903.54100000000005</v>
      </c>
      <c r="U110" s="1504">
        <v>30.690220930500001</v>
      </c>
      <c r="V110" s="1504"/>
      <c r="W110" s="1504"/>
      <c r="X110" s="1492">
        <v>517.32000000000005</v>
      </c>
      <c r="Y110" s="1492">
        <v>88.983946500000002</v>
      </c>
      <c r="Z110" s="1492">
        <v>49.856000000000002</v>
      </c>
      <c r="AA110" s="1492">
        <v>20.043058219999999</v>
      </c>
      <c r="AB110" s="1492">
        <v>467.464</v>
      </c>
      <c r="AC110" s="1492">
        <v>68.940888279999996</v>
      </c>
      <c r="AD110" s="1497">
        <v>5746.5959999999995</v>
      </c>
      <c r="AE110" s="1497">
        <v>818.99632950579996</v>
      </c>
      <c r="AF110" s="1497">
        <v>3805.6959999999999</v>
      </c>
      <c r="AG110" s="1497">
        <v>670.60386466</v>
      </c>
      <c r="AH110" s="1497">
        <v>846.60699999999997</v>
      </c>
      <c r="AI110" s="1497">
        <v>75.654201475299999</v>
      </c>
      <c r="AJ110" s="1497">
        <v>1.45</v>
      </c>
      <c r="AK110" s="1336">
        <v>2.5833189999999999E-2</v>
      </c>
      <c r="AL110" s="1497">
        <v>727.45500000000004</v>
      </c>
      <c r="AM110" s="1497">
        <v>23.2139369205</v>
      </c>
      <c r="AN110" s="1497"/>
      <c r="AO110" s="1497"/>
      <c r="AP110" s="1497">
        <v>366.83800000000002</v>
      </c>
      <c r="AQ110" s="1497">
        <v>49.524326449999997</v>
      </c>
      <c r="AR110" s="1497">
        <v>38.514000000000003</v>
      </c>
      <c r="AS110" s="1497">
        <v>14.61452448</v>
      </c>
      <c r="AT110" s="1497">
        <v>328.32400000000001</v>
      </c>
      <c r="AU110" s="1497">
        <v>34.909801969999997</v>
      </c>
      <c r="AV110" s="1497">
        <v>757.88800000000003</v>
      </c>
      <c r="AW110" s="1497">
        <v>112.9473803404</v>
      </c>
      <c r="AX110" s="1497">
        <v>143.24600000000001</v>
      </c>
      <c r="AY110" s="1497">
        <v>39.484979157399998</v>
      </c>
      <c r="AZ110" s="1497">
        <v>288.07400000000001</v>
      </c>
      <c r="BA110" s="1497">
        <v>26.526497122999999</v>
      </c>
      <c r="BB110" s="1497">
        <v>0.27400000000000002</v>
      </c>
      <c r="BC110" s="1502">
        <v>5.5766399999999999E-3</v>
      </c>
      <c r="BD110" s="1497">
        <v>176.08600000000001</v>
      </c>
      <c r="BE110" s="1497">
        <v>7.4762840099999996</v>
      </c>
      <c r="BF110" s="1497"/>
      <c r="BG110" s="1497"/>
      <c r="BH110" s="1497">
        <v>150.482</v>
      </c>
      <c r="BI110" s="1497">
        <v>39.459620049999998</v>
      </c>
      <c r="BJ110" s="1497">
        <v>11.342000000000001</v>
      </c>
      <c r="BK110" s="1497">
        <v>5.4285337400000007</v>
      </c>
      <c r="BL110" s="1497">
        <v>139.13999999999999</v>
      </c>
      <c r="BM110" s="1497">
        <v>34.031086309999999</v>
      </c>
    </row>
    <row r="111" spans="1:65">
      <c r="A111" s="409" t="s">
        <v>19</v>
      </c>
      <c r="B111" s="1504">
        <v>5456.0590000000002</v>
      </c>
      <c r="C111" s="1504">
        <v>132.923</v>
      </c>
      <c r="D111" s="1504">
        <v>2545.3040000000001</v>
      </c>
      <c r="E111" s="1504">
        <v>1639.5260000000001</v>
      </c>
      <c r="F111" s="1504">
        <v>696.63800000000003</v>
      </c>
      <c r="G111" s="1492">
        <v>574.59100000000001</v>
      </c>
      <c r="H111" s="1504">
        <v>7204.4949999999999</v>
      </c>
      <c r="I111" s="1504">
        <v>1123.9301336786</v>
      </c>
      <c r="J111" s="1497">
        <v>4610.634</v>
      </c>
      <c r="K111" s="1492">
        <v>879.01149484999996</v>
      </c>
      <c r="L111" s="1497">
        <v>34.106000000000002</v>
      </c>
      <c r="M111" s="1497">
        <v>55.063941430500002</v>
      </c>
      <c r="N111" s="1497">
        <v>100.303</v>
      </c>
      <c r="O111" s="1497">
        <v>23.923222490499999</v>
      </c>
      <c r="P111" s="1497">
        <v>1085.277</v>
      </c>
      <c r="Q111" s="1504">
        <v>60.643223636800002</v>
      </c>
      <c r="R111" s="1504">
        <v>3.9870000000000001</v>
      </c>
      <c r="S111" s="1506">
        <v>0.10633138</v>
      </c>
      <c r="T111" s="1504">
        <v>922.70600000000002</v>
      </c>
      <c r="U111" s="1504">
        <v>37.641955290799999</v>
      </c>
      <c r="V111" s="1504"/>
      <c r="W111" s="1504"/>
      <c r="X111" s="1492">
        <v>451.46899999999999</v>
      </c>
      <c r="Y111" s="1492">
        <v>67.646295980000005</v>
      </c>
      <c r="Z111" s="1492">
        <v>41.337000000000003</v>
      </c>
      <c r="AA111" s="1492">
        <v>19.327814800000002</v>
      </c>
      <c r="AB111" s="1492">
        <v>410.13200000000001</v>
      </c>
      <c r="AC111" s="1492">
        <v>48.318481179999999</v>
      </c>
      <c r="AD111" s="1497">
        <v>6512.8909999999996</v>
      </c>
      <c r="AE111" s="1497">
        <v>1022.2702603934</v>
      </c>
      <c r="AF111" s="1497">
        <v>4571.6170000000002</v>
      </c>
      <c r="AG111" s="1497">
        <v>867.22719753479998</v>
      </c>
      <c r="AH111" s="1497">
        <v>852.12099999999998</v>
      </c>
      <c r="AI111" s="1497">
        <v>86.913372627800001</v>
      </c>
      <c r="AJ111" s="1497">
        <v>3.6640000000000001</v>
      </c>
      <c r="AK111" s="1336">
        <v>9.2527789999999999E-2</v>
      </c>
      <c r="AL111" s="1497">
        <v>765.56899999999996</v>
      </c>
      <c r="AM111" s="1497">
        <v>30.962557190799998</v>
      </c>
      <c r="AN111" s="1497"/>
      <c r="AO111" s="1497"/>
      <c r="AP111" s="1497">
        <v>323.584</v>
      </c>
      <c r="AQ111" s="1497">
        <v>37.167133040000003</v>
      </c>
      <c r="AR111" s="1497">
        <v>29.648</v>
      </c>
      <c r="AS111" s="1497">
        <v>10.361727419999999</v>
      </c>
      <c r="AT111" s="1497">
        <v>293.93599999999998</v>
      </c>
      <c r="AU111" s="1497">
        <v>26.805405619999998</v>
      </c>
      <c r="AV111" s="1497">
        <v>691.60400000000004</v>
      </c>
      <c r="AW111" s="1497">
        <v>101.65987328520001</v>
      </c>
      <c r="AX111" s="1497">
        <v>139.32</v>
      </c>
      <c r="AY111" s="1497">
        <v>35.707519805700002</v>
      </c>
      <c r="AZ111" s="1497">
        <v>267.262</v>
      </c>
      <c r="BA111" s="1497">
        <v>28.793792439499999</v>
      </c>
      <c r="BB111" s="1497">
        <v>0.32300000000000001</v>
      </c>
      <c r="BC111" s="1502">
        <v>1.3803590000000001E-2</v>
      </c>
      <c r="BD111" s="1497">
        <v>157.137</v>
      </c>
      <c r="BE111" s="1497">
        <v>6.6793981000000002</v>
      </c>
      <c r="BF111" s="1497"/>
      <c r="BG111" s="1497"/>
      <c r="BH111" s="1497">
        <v>127.88500000000001</v>
      </c>
      <c r="BI111" s="1497">
        <v>30.479162939999998</v>
      </c>
      <c r="BJ111" s="1497">
        <v>11.689</v>
      </c>
      <c r="BK111" s="1497">
        <v>8.9660873800000012</v>
      </c>
      <c r="BL111" s="1497">
        <v>116.196</v>
      </c>
      <c r="BM111" s="1497">
        <v>21.513075560000001</v>
      </c>
    </row>
    <row r="112" spans="1:65">
      <c r="A112" s="409" t="s">
        <v>20</v>
      </c>
      <c r="B112" s="1504">
        <v>5522.6580000000004</v>
      </c>
      <c r="C112" s="1504">
        <v>154.50299999999999</v>
      </c>
      <c r="D112" s="1504">
        <v>2559.6669999999999</v>
      </c>
      <c r="E112" s="1504">
        <v>1651.7190000000001</v>
      </c>
      <c r="F112" s="1504">
        <v>732.14700000000005</v>
      </c>
      <c r="G112" s="1492">
        <v>579.125</v>
      </c>
      <c r="H112" s="1504">
        <v>8526.0540000000001</v>
      </c>
      <c r="I112" s="1504">
        <v>1315.1897780684001</v>
      </c>
      <c r="J112" s="1497">
        <v>5505.8190000000004</v>
      </c>
      <c r="K112" s="1492">
        <v>1043.7747139600001</v>
      </c>
      <c r="L112" s="1497">
        <v>41.371000000000002</v>
      </c>
      <c r="M112" s="1497">
        <v>63.944595878299999</v>
      </c>
      <c r="N112" s="1497">
        <v>105.03100000000001</v>
      </c>
      <c r="O112" s="1497">
        <v>18.982983894499998</v>
      </c>
      <c r="P112" s="1497">
        <v>1263.423</v>
      </c>
      <c r="Q112" s="1504">
        <v>72.752166740800007</v>
      </c>
      <c r="R112" s="1504">
        <v>7.7089999999999996</v>
      </c>
      <c r="S112" s="1506">
        <v>0.25342701000000001</v>
      </c>
      <c r="T112" s="1504">
        <v>1068.9749999999999</v>
      </c>
      <c r="U112" s="1504">
        <v>34.519784768299999</v>
      </c>
      <c r="V112" s="1504"/>
      <c r="W112" s="1504"/>
      <c r="X112" s="1492">
        <v>541.43499999999995</v>
      </c>
      <c r="Y112" s="1492">
        <v>81.215532826599997</v>
      </c>
      <c r="Z112" s="1492">
        <v>44.484999999999999</v>
      </c>
      <c r="AA112" s="1492">
        <v>15.232690890000001</v>
      </c>
      <c r="AB112" s="1492">
        <v>496.95</v>
      </c>
      <c r="AC112" s="1492">
        <v>65.982841936565208</v>
      </c>
      <c r="AD112" s="1497">
        <v>7734.5910000000003</v>
      </c>
      <c r="AE112" s="1497">
        <v>1201.9431127749999</v>
      </c>
      <c r="AF112" s="1497">
        <v>5443.7950000000001</v>
      </c>
      <c r="AG112" s="1497">
        <v>1028.0015741944001</v>
      </c>
      <c r="AH112" s="1497">
        <v>1013.283</v>
      </c>
      <c r="AI112" s="1497">
        <v>103.2189925688</v>
      </c>
      <c r="AJ112" s="1497">
        <v>6.665</v>
      </c>
      <c r="AK112" s="1336">
        <v>0.18923432000000001</v>
      </c>
      <c r="AL112" s="1497">
        <v>892.28800000000001</v>
      </c>
      <c r="AM112" s="1497">
        <v>23.871534185200002</v>
      </c>
      <c r="AN112" s="1497"/>
      <c r="AO112" s="1497"/>
      <c r="AP112" s="1497">
        <v>385.22500000000002</v>
      </c>
      <c r="AQ112" s="1497">
        <v>46.851011826600001</v>
      </c>
      <c r="AR112" s="1497">
        <v>33.158999999999999</v>
      </c>
      <c r="AS112" s="1497">
        <v>10.31700163</v>
      </c>
      <c r="AT112" s="1497">
        <v>352.06599999999997</v>
      </c>
      <c r="AU112" s="1497">
        <v>36.534010196565198</v>
      </c>
      <c r="AV112" s="1497">
        <v>791.46299999999997</v>
      </c>
      <c r="AW112" s="1497">
        <v>113.2466652934</v>
      </c>
      <c r="AX112" s="1497">
        <v>167.05500000000001</v>
      </c>
      <c r="AY112" s="1497">
        <v>34.756123660100002</v>
      </c>
      <c r="AZ112" s="1497">
        <v>291.51100000000002</v>
      </c>
      <c r="BA112" s="1497">
        <v>33.477770050300002</v>
      </c>
      <c r="BB112" s="1497">
        <v>1.044</v>
      </c>
      <c r="BC112" s="1502">
        <v>6.4192689999999997E-2</v>
      </c>
      <c r="BD112" s="1497">
        <v>176.68700000000001</v>
      </c>
      <c r="BE112" s="1497">
        <v>10.648250582999999</v>
      </c>
      <c r="BF112" s="1497"/>
      <c r="BG112" s="1497"/>
      <c r="BH112" s="1497">
        <v>156.21</v>
      </c>
      <c r="BI112" s="1497">
        <v>34.364521000000003</v>
      </c>
      <c r="BJ112" s="1497">
        <v>11.326000000000001</v>
      </c>
      <c r="BK112" s="1497">
        <v>4.9156892599999997</v>
      </c>
      <c r="BL112" s="1497">
        <v>144.88399999999999</v>
      </c>
      <c r="BM112" s="1497">
        <v>29.448831740000003</v>
      </c>
    </row>
    <row r="113" spans="1:65">
      <c r="A113" s="409" t="s">
        <v>21</v>
      </c>
      <c r="B113" s="1504">
        <v>5562.2290000000003</v>
      </c>
      <c r="C113" s="1504">
        <v>167.64599999999999</v>
      </c>
      <c r="D113" s="1504">
        <v>2547.3789999999999</v>
      </c>
      <c r="E113" s="1504">
        <v>1679.5429999999999</v>
      </c>
      <c r="F113" s="1504">
        <v>750.01499999999999</v>
      </c>
      <c r="G113" s="1492">
        <v>585.29200000000003</v>
      </c>
      <c r="H113" s="1504">
        <v>7454.3190000000004</v>
      </c>
      <c r="I113" s="1504">
        <v>1113.4786856464</v>
      </c>
      <c r="J113" s="1497">
        <v>4694.6940000000004</v>
      </c>
      <c r="K113" s="1492">
        <v>875.36337562000006</v>
      </c>
      <c r="L113" s="1497">
        <v>29.535</v>
      </c>
      <c r="M113" s="1497">
        <v>57.7898462319</v>
      </c>
      <c r="N113" s="1497">
        <v>93.387</v>
      </c>
      <c r="O113" s="1497">
        <v>18.930635905399999</v>
      </c>
      <c r="P113" s="1497">
        <v>979.77599999999995</v>
      </c>
      <c r="Q113" s="1504">
        <v>60.991423721399997</v>
      </c>
      <c r="R113" s="1504">
        <v>7.7759999999999998</v>
      </c>
      <c r="S113" s="1506">
        <v>0.24739896</v>
      </c>
      <c r="T113" s="1504">
        <v>1122.817</v>
      </c>
      <c r="U113" s="1504">
        <v>34.931524320100003</v>
      </c>
      <c r="V113" s="1504"/>
      <c r="W113" s="1504"/>
      <c r="X113" s="1492">
        <v>534.11</v>
      </c>
      <c r="Y113" s="1492">
        <v>65.471879847599993</v>
      </c>
      <c r="Z113" s="1492">
        <v>44.457000000000001</v>
      </c>
      <c r="AA113" s="1492">
        <v>14.660865852700001</v>
      </c>
      <c r="AB113" s="1492">
        <v>489.65300000000002</v>
      </c>
      <c r="AC113" s="1492">
        <v>50.811013994900001</v>
      </c>
      <c r="AD113" s="1497">
        <v>6705.3959999999997</v>
      </c>
      <c r="AE113" s="1497">
        <v>1007.7756243835</v>
      </c>
      <c r="AF113" s="1497">
        <v>4617.9690000000001</v>
      </c>
      <c r="AG113" s="1497">
        <v>858.13002951500005</v>
      </c>
      <c r="AH113" s="1497">
        <v>758.70600000000002</v>
      </c>
      <c r="AI113" s="1497">
        <v>87.173045960799996</v>
      </c>
      <c r="AJ113" s="1497">
        <v>6.5490000000000004</v>
      </c>
      <c r="AK113" s="1336">
        <v>0.18945728000000001</v>
      </c>
      <c r="AL113" s="1497">
        <v>939.29300000000001</v>
      </c>
      <c r="AM113" s="1497">
        <v>24.129905816299999</v>
      </c>
      <c r="AN113" s="1497"/>
      <c r="AO113" s="1497"/>
      <c r="AP113" s="1497">
        <v>389.428</v>
      </c>
      <c r="AQ113" s="1497">
        <v>38.342643091399999</v>
      </c>
      <c r="AR113" s="1497">
        <v>33.472999999999999</v>
      </c>
      <c r="AS113" s="1497">
        <v>9.7596238899000003</v>
      </c>
      <c r="AT113" s="1497">
        <v>355.95499999999998</v>
      </c>
      <c r="AU113" s="1497">
        <v>28.583019201499997</v>
      </c>
      <c r="AV113" s="1497">
        <v>748.923</v>
      </c>
      <c r="AW113" s="1497">
        <v>105.70306126289999</v>
      </c>
      <c r="AX113" s="1497">
        <v>170.11199999999999</v>
      </c>
      <c r="AY113" s="1497">
        <v>36.163982010399998</v>
      </c>
      <c r="AZ113" s="1497">
        <v>250.60499999999999</v>
      </c>
      <c r="BA113" s="1497">
        <v>31.608223992500001</v>
      </c>
      <c r="BB113" s="1497">
        <v>1.2270000000000001</v>
      </c>
      <c r="BC113" s="1502">
        <v>5.7941680000000002E-2</v>
      </c>
      <c r="BD113" s="1497">
        <v>183.524</v>
      </c>
      <c r="BE113" s="1497">
        <v>10.8016185038</v>
      </c>
      <c r="BF113" s="1497"/>
      <c r="BG113" s="1497"/>
      <c r="BH113" s="1497">
        <v>144.68199999999999</v>
      </c>
      <c r="BI113" s="1497">
        <v>27.129236756200001</v>
      </c>
      <c r="BJ113" s="1497">
        <v>10.984</v>
      </c>
      <c r="BK113" s="1497">
        <v>4.9012419627999995</v>
      </c>
      <c r="BL113" s="1497">
        <v>133.69800000000001</v>
      </c>
      <c r="BM113" s="1497">
        <v>22.227994793399997</v>
      </c>
    </row>
    <row r="114" spans="1:65">
      <c r="A114" s="409" t="s">
        <v>22</v>
      </c>
      <c r="B114" s="1504">
        <v>5591.2280000000001</v>
      </c>
      <c r="C114" s="1504">
        <v>192.845</v>
      </c>
      <c r="D114" s="1504">
        <v>2545.1550000000002</v>
      </c>
      <c r="E114" s="1504">
        <v>1722.1030000000001</v>
      </c>
      <c r="F114" s="1504">
        <v>757.92499999999995</v>
      </c>
      <c r="G114" s="1492">
        <v>566.04499999999996</v>
      </c>
      <c r="H114" s="1504">
        <v>8397.4220000000005</v>
      </c>
      <c r="I114" s="1504">
        <v>1244.6049035299</v>
      </c>
      <c r="J114" s="1497">
        <v>5173.6279999999997</v>
      </c>
      <c r="K114" s="1492">
        <v>954.11767041999997</v>
      </c>
      <c r="L114" s="1497">
        <v>39.948999999999998</v>
      </c>
      <c r="M114" s="1497">
        <v>75.388806677199995</v>
      </c>
      <c r="N114" s="1497">
        <v>148.066</v>
      </c>
      <c r="O114" s="1497">
        <v>27.222198386799999</v>
      </c>
      <c r="P114" s="1497">
        <v>841.10199999999998</v>
      </c>
      <c r="Q114" s="1504">
        <v>62.907137449300002</v>
      </c>
      <c r="R114" s="1504">
        <v>11.757999999999999</v>
      </c>
      <c r="S114" s="1506">
        <v>0.37819399999999997</v>
      </c>
      <c r="T114" s="1504">
        <v>1599.846</v>
      </c>
      <c r="U114" s="1504">
        <v>43.219501293</v>
      </c>
      <c r="V114" s="1504"/>
      <c r="W114" s="1504"/>
      <c r="X114" s="1492">
        <v>594.83100000000002</v>
      </c>
      <c r="Y114" s="1492">
        <v>81.749589303600004</v>
      </c>
      <c r="Z114" s="1492">
        <v>50.372999999999998</v>
      </c>
      <c r="AA114" s="1492">
        <v>17.5171045765</v>
      </c>
      <c r="AB114" s="1492">
        <v>544.45799999999997</v>
      </c>
      <c r="AC114" s="1492">
        <v>64.232484727100001</v>
      </c>
      <c r="AD114" s="1497">
        <v>7600.9660000000003</v>
      </c>
      <c r="AE114" s="1497">
        <v>1126.4487710645001</v>
      </c>
      <c r="AF114" s="1497">
        <v>5154.2449999999999</v>
      </c>
      <c r="AG114" s="1497">
        <v>945.65916549799999</v>
      </c>
      <c r="AH114" s="1497">
        <v>621.50199999999995</v>
      </c>
      <c r="AI114" s="1497">
        <v>102.21691123479999</v>
      </c>
      <c r="AJ114" s="1497">
        <v>9.8379999999999992</v>
      </c>
      <c r="AK114" s="1336">
        <v>0.28007599999999999</v>
      </c>
      <c r="AL114" s="1497">
        <v>1393.644</v>
      </c>
      <c r="AM114" s="1497">
        <v>29.938652872999999</v>
      </c>
      <c r="AN114" s="1497"/>
      <c r="AO114" s="1497"/>
      <c r="AP114" s="1497">
        <v>431.57499999999999</v>
      </c>
      <c r="AQ114" s="1497">
        <v>48.634041458699997</v>
      </c>
      <c r="AR114" s="1497">
        <v>38.128</v>
      </c>
      <c r="AS114" s="1497">
        <v>11.8046186909</v>
      </c>
      <c r="AT114" s="1497">
        <v>393.447</v>
      </c>
      <c r="AU114" s="1497">
        <v>36.829422767800004</v>
      </c>
      <c r="AV114" s="1497">
        <v>796.45600000000002</v>
      </c>
      <c r="AW114" s="1497">
        <v>118.15613246540001</v>
      </c>
      <c r="AX114" s="1497">
        <v>167.44900000000001</v>
      </c>
      <c r="AY114" s="1497">
        <v>35.680703308799998</v>
      </c>
      <c r="AZ114" s="1497">
        <v>259.54899999999998</v>
      </c>
      <c r="BA114" s="1497">
        <v>36.079032891700002</v>
      </c>
      <c r="BB114" s="1497">
        <v>1.92</v>
      </c>
      <c r="BC114" s="1502">
        <v>9.8117999999999997E-2</v>
      </c>
      <c r="BD114" s="1497">
        <v>206.202</v>
      </c>
      <c r="BE114" s="1497">
        <v>13.28084842</v>
      </c>
      <c r="BF114" s="1497"/>
      <c r="BG114" s="1497"/>
      <c r="BH114" s="1497">
        <v>163.256</v>
      </c>
      <c r="BI114" s="1497">
        <v>33.1155478449</v>
      </c>
      <c r="BJ114" s="1497">
        <v>12.244999999999999</v>
      </c>
      <c r="BK114" s="1497">
        <v>5.7124858855999996</v>
      </c>
      <c r="BL114" s="1497">
        <v>151.011</v>
      </c>
      <c r="BM114" s="1497">
        <v>27.403061959299997</v>
      </c>
    </row>
    <row r="115" spans="1:65">
      <c r="A115" s="409" t="s">
        <v>23</v>
      </c>
      <c r="B115" s="1504">
        <v>5542.3680000000004</v>
      </c>
      <c r="C115" s="1504">
        <v>221.47200000000001</v>
      </c>
      <c r="D115" s="1504">
        <v>2489.6930000000002</v>
      </c>
      <c r="E115" s="1504">
        <v>1729.0989999999999</v>
      </c>
      <c r="F115" s="1504">
        <v>761.56100000000004</v>
      </c>
      <c r="G115" s="1492">
        <v>562.01499999999999</v>
      </c>
      <c r="H115" s="1504">
        <v>8225.9940000000006</v>
      </c>
      <c r="I115" s="1504">
        <v>1266.1334171792</v>
      </c>
      <c r="J115" s="1497">
        <v>5160.6689999999999</v>
      </c>
      <c r="K115" s="1492">
        <v>991.09177051999995</v>
      </c>
      <c r="L115" s="1497">
        <v>35.417000000000002</v>
      </c>
      <c r="M115" s="1497">
        <v>63.863443543599999</v>
      </c>
      <c r="N115" s="1497">
        <v>134.768</v>
      </c>
      <c r="O115" s="1497">
        <v>28.769434443400002</v>
      </c>
      <c r="P115" s="1497">
        <v>830.56700000000001</v>
      </c>
      <c r="Q115" s="1504">
        <v>58.065896578699999</v>
      </c>
      <c r="R115" s="1504">
        <v>17.427</v>
      </c>
      <c r="S115" s="1506">
        <v>0.45588200000000001</v>
      </c>
      <c r="T115" s="1504">
        <v>1545.23</v>
      </c>
      <c r="U115" s="1504">
        <v>46.981112007</v>
      </c>
      <c r="V115" s="1504"/>
      <c r="W115" s="1504"/>
      <c r="X115" s="1492">
        <v>519.34299999999996</v>
      </c>
      <c r="Y115" s="1492">
        <v>77.361760086499999</v>
      </c>
      <c r="Z115" s="1492">
        <v>42.405999999999999</v>
      </c>
      <c r="AA115" s="1492">
        <v>15.054470634600001</v>
      </c>
      <c r="AB115" s="1492">
        <v>476.93700000000001</v>
      </c>
      <c r="AC115" s="1492">
        <v>62.307289451900004</v>
      </c>
      <c r="AD115" s="1497">
        <v>7499.2160000000003</v>
      </c>
      <c r="AE115" s="1497">
        <v>1158.6504359226999</v>
      </c>
      <c r="AF115" s="1497">
        <v>5138.6369999999997</v>
      </c>
      <c r="AG115" s="1497">
        <v>985.51749040200002</v>
      </c>
      <c r="AH115" s="1497">
        <v>633.95500000000004</v>
      </c>
      <c r="AI115" s="1497">
        <v>94.442534965600004</v>
      </c>
      <c r="AJ115" s="1497">
        <v>14.539</v>
      </c>
      <c r="AK115" s="1336">
        <v>0.327542</v>
      </c>
      <c r="AL115" s="1497">
        <v>1344.6510000000001</v>
      </c>
      <c r="AM115" s="1497">
        <v>32.240892267</v>
      </c>
      <c r="AN115" s="1497"/>
      <c r="AO115" s="1497"/>
      <c r="AP115" s="1497">
        <v>381.97300000000001</v>
      </c>
      <c r="AQ115" s="1497">
        <v>46.449518288100002</v>
      </c>
      <c r="AR115" s="1497">
        <v>32.390999999999998</v>
      </c>
      <c r="AS115" s="1497">
        <v>10.6377425044</v>
      </c>
      <c r="AT115" s="1497">
        <v>349.58199999999999</v>
      </c>
      <c r="AU115" s="1497">
        <v>35.811775783700007</v>
      </c>
      <c r="AV115" s="1497">
        <v>726.77800000000002</v>
      </c>
      <c r="AW115" s="1497">
        <v>107.4829812565</v>
      </c>
      <c r="AX115" s="1497">
        <v>156.80000000000001</v>
      </c>
      <c r="AY115" s="1497">
        <v>34.343714561399999</v>
      </c>
      <c r="AZ115" s="1497">
        <v>232.029</v>
      </c>
      <c r="BA115" s="1497">
        <v>27.486805156700001</v>
      </c>
      <c r="BB115" s="1497">
        <v>2.8879999999999999</v>
      </c>
      <c r="BC115" s="1502">
        <v>0.12834000000000001</v>
      </c>
      <c r="BD115" s="1497">
        <v>200.57900000000001</v>
      </c>
      <c r="BE115" s="1497">
        <v>14.740219740000001</v>
      </c>
      <c r="BF115" s="1497"/>
      <c r="BG115" s="1497"/>
      <c r="BH115" s="1497">
        <v>137.37</v>
      </c>
      <c r="BI115" s="1497">
        <v>30.9122417984</v>
      </c>
      <c r="BJ115" s="1497">
        <v>10.015000000000001</v>
      </c>
      <c r="BK115" s="1497">
        <v>4.4167281301999992</v>
      </c>
      <c r="BL115" s="1497">
        <v>127.355</v>
      </c>
      <c r="BM115" s="1497">
        <v>26.495513668200001</v>
      </c>
    </row>
    <row r="116" spans="1:65">
      <c r="A116" s="409" t="s">
        <v>24</v>
      </c>
      <c r="B116" s="1504">
        <v>5604.0069999999996</v>
      </c>
      <c r="C116" s="1504">
        <v>260.827</v>
      </c>
      <c r="D116" s="1504">
        <v>2532.9929999999999</v>
      </c>
      <c r="E116" s="1504">
        <v>1750.683</v>
      </c>
      <c r="F116" s="1504">
        <v>753.71799999999996</v>
      </c>
      <c r="G116" s="1492">
        <v>566.61300000000006</v>
      </c>
      <c r="H116" s="1504">
        <v>8181.4009999999998</v>
      </c>
      <c r="I116" s="1504">
        <v>1292.8765905765999</v>
      </c>
      <c r="J116" s="1497">
        <v>4989.7079999999996</v>
      </c>
      <c r="K116" s="1492">
        <v>989.62821176880004</v>
      </c>
      <c r="L116" s="1497">
        <v>31.515000000000001</v>
      </c>
      <c r="M116" s="1497">
        <v>59.6632794625</v>
      </c>
      <c r="N116" s="1497">
        <v>143.37100000000001</v>
      </c>
      <c r="O116" s="1497">
        <v>29.7468363672</v>
      </c>
      <c r="P116" s="1497">
        <v>814.11900000000003</v>
      </c>
      <c r="Q116" s="1504">
        <v>64.117534067899996</v>
      </c>
      <c r="R116" s="1504">
        <v>19.721</v>
      </c>
      <c r="S116" s="1506">
        <v>0.55771599999999999</v>
      </c>
      <c r="T116" s="1504">
        <v>1650.21</v>
      </c>
      <c r="U116" s="1504">
        <v>53.887427416000001</v>
      </c>
      <c r="V116" s="1504"/>
      <c r="W116" s="1504"/>
      <c r="X116" s="1492">
        <v>552.47799999999995</v>
      </c>
      <c r="Y116" s="1492">
        <v>95.833301494200001</v>
      </c>
      <c r="Z116" s="1492">
        <v>38.234000000000002</v>
      </c>
      <c r="AA116" s="1492">
        <v>14.3376799748</v>
      </c>
      <c r="AB116" s="1492">
        <v>514.24400000000003</v>
      </c>
      <c r="AC116" s="1492">
        <v>81.495621519400004</v>
      </c>
      <c r="AD116" s="1497">
        <v>7409.9979999999996</v>
      </c>
      <c r="AE116" s="1497">
        <v>1171.7865905643</v>
      </c>
      <c r="AF116" s="1497">
        <v>4960.0060000000003</v>
      </c>
      <c r="AG116" s="1497">
        <v>981.90482899740005</v>
      </c>
      <c r="AH116" s="1497">
        <v>622.04999999999995</v>
      </c>
      <c r="AI116" s="1497">
        <v>96.643315693399998</v>
      </c>
      <c r="AJ116" s="1497">
        <v>14.768000000000001</v>
      </c>
      <c r="AK116" s="1336">
        <v>0.38022099999999998</v>
      </c>
      <c r="AL116" s="1497">
        <v>1429.547</v>
      </c>
      <c r="AM116" s="1497">
        <v>34.695971526000001</v>
      </c>
      <c r="AN116" s="1497"/>
      <c r="AO116" s="1497"/>
      <c r="AP116" s="1497">
        <v>398.39499999999998</v>
      </c>
      <c r="AQ116" s="1497">
        <v>58.542474347499997</v>
      </c>
      <c r="AR116" s="1497">
        <v>28.21</v>
      </c>
      <c r="AS116" s="1497">
        <v>9.6805085695999988</v>
      </c>
      <c r="AT116" s="1497">
        <v>370.185</v>
      </c>
      <c r="AU116" s="1497">
        <v>48.861965777900004</v>
      </c>
      <c r="AV116" s="1497">
        <v>771.40300000000002</v>
      </c>
      <c r="AW116" s="1497">
        <v>121.0900000123</v>
      </c>
      <c r="AX116" s="1497">
        <v>173.07300000000001</v>
      </c>
      <c r="AY116" s="1497">
        <v>37.470219138600001</v>
      </c>
      <c r="AZ116" s="1497">
        <v>223.584</v>
      </c>
      <c r="BA116" s="1497">
        <v>27.137497837000002</v>
      </c>
      <c r="BB116" s="1497">
        <v>4.9530000000000003</v>
      </c>
      <c r="BC116" s="1502">
        <v>0.17749500000000001</v>
      </c>
      <c r="BD116" s="1497">
        <v>220.66300000000001</v>
      </c>
      <c r="BE116" s="1497">
        <v>19.19145589</v>
      </c>
      <c r="BF116" s="1497"/>
      <c r="BG116" s="1497"/>
      <c r="BH116" s="1497">
        <v>154.083</v>
      </c>
      <c r="BI116" s="1497">
        <v>37.290827146700003</v>
      </c>
      <c r="BJ116" s="1497">
        <v>10.023999999999999</v>
      </c>
      <c r="BK116" s="1497">
        <v>4.6571714051999997</v>
      </c>
      <c r="BL116" s="1497">
        <v>144.059</v>
      </c>
      <c r="BM116" s="1497">
        <v>32.6336557415</v>
      </c>
    </row>
    <row r="117" spans="1:65">
      <c r="A117" s="409" t="s">
        <v>25</v>
      </c>
      <c r="B117" s="1504">
        <v>5643.78</v>
      </c>
      <c r="C117" s="1504">
        <v>271.98</v>
      </c>
      <c r="D117" s="1504">
        <v>2514.7310000000002</v>
      </c>
      <c r="E117" s="1504">
        <v>1764.9970000000001</v>
      </c>
      <c r="F117" s="1504">
        <v>787.99599999999998</v>
      </c>
      <c r="G117" s="1492">
        <v>576.05600000000004</v>
      </c>
      <c r="H117" s="1504">
        <v>8191.5439999999999</v>
      </c>
      <c r="I117" s="1504">
        <v>1257.6864089059</v>
      </c>
      <c r="J117" s="1497">
        <v>4839.308</v>
      </c>
      <c r="K117" s="1492">
        <v>912.43046282119997</v>
      </c>
      <c r="L117" s="1497">
        <v>32.063000000000002</v>
      </c>
      <c r="M117" s="1497">
        <v>59.376621099099999</v>
      </c>
      <c r="N117" s="1497">
        <v>145.71</v>
      </c>
      <c r="O117" s="1497">
        <v>31.344366047000001</v>
      </c>
      <c r="P117" s="1497">
        <v>849.55399999999997</v>
      </c>
      <c r="Q117" s="1504">
        <v>69.041191081700006</v>
      </c>
      <c r="R117" s="1504">
        <v>21.558</v>
      </c>
      <c r="S117" s="1506">
        <v>0.59857400000000005</v>
      </c>
      <c r="T117" s="1504">
        <v>1696.9190000000001</v>
      </c>
      <c r="U117" s="1504">
        <v>68.373046223900005</v>
      </c>
      <c r="V117" s="1504"/>
      <c r="W117" s="1504"/>
      <c r="X117" s="1492">
        <v>627.99</v>
      </c>
      <c r="Y117" s="1492">
        <v>117.120721633</v>
      </c>
      <c r="Z117" s="1492">
        <v>43.012999999999998</v>
      </c>
      <c r="AA117" s="1492">
        <v>16.701589876499998</v>
      </c>
      <c r="AB117" s="1492">
        <v>584.97699999999998</v>
      </c>
      <c r="AC117" s="1492">
        <v>100.41913175650001</v>
      </c>
      <c r="AD117" s="1497">
        <v>7351.9780000000001</v>
      </c>
      <c r="AE117" s="1497">
        <v>1114.8772793357</v>
      </c>
      <c r="AF117" s="1497">
        <v>4782.9650000000001</v>
      </c>
      <c r="AG117" s="1497">
        <v>900.59653920120002</v>
      </c>
      <c r="AH117" s="1497">
        <v>652.33500000000004</v>
      </c>
      <c r="AI117" s="1497">
        <v>98.650680064499994</v>
      </c>
      <c r="AJ117" s="1497">
        <v>17.303999999999998</v>
      </c>
      <c r="AK117" s="1336">
        <v>0.44031900000000002</v>
      </c>
      <c r="AL117" s="1497">
        <v>1469.9169999999999</v>
      </c>
      <c r="AM117" s="1497">
        <v>45.9493621039</v>
      </c>
      <c r="AN117" s="1497"/>
      <c r="AO117" s="1497"/>
      <c r="AP117" s="1497">
        <v>446.76100000000002</v>
      </c>
      <c r="AQ117" s="1497">
        <v>69.680697966099999</v>
      </c>
      <c r="AR117" s="1497">
        <v>31.888000000000002</v>
      </c>
      <c r="AS117" s="1497">
        <v>11.645223768899999</v>
      </c>
      <c r="AT117" s="1497">
        <v>414.87299999999999</v>
      </c>
      <c r="AU117" s="1497">
        <v>58.035474197200003</v>
      </c>
      <c r="AV117" s="1497">
        <v>839.56600000000003</v>
      </c>
      <c r="AW117" s="1497">
        <v>142.80912957020001</v>
      </c>
      <c r="AX117" s="1497">
        <v>202.053</v>
      </c>
      <c r="AY117" s="1497">
        <v>43.178289667000001</v>
      </c>
      <c r="AZ117" s="1497">
        <v>229.28200000000001</v>
      </c>
      <c r="BA117" s="1497">
        <v>29.767132116300001</v>
      </c>
      <c r="BB117" s="1497">
        <v>4.2539999999999996</v>
      </c>
      <c r="BC117" s="1502">
        <v>0.15825500000000001</v>
      </c>
      <c r="BD117" s="1497">
        <v>227.00200000000001</v>
      </c>
      <c r="BE117" s="1497">
        <v>22.423684120000001</v>
      </c>
      <c r="BF117" s="1497"/>
      <c r="BG117" s="1497"/>
      <c r="BH117" s="1497">
        <v>181.22900000000001</v>
      </c>
      <c r="BI117" s="1497">
        <v>47.440023666899997</v>
      </c>
      <c r="BJ117" s="1497">
        <v>11.125</v>
      </c>
      <c r="BK117" s="1497">
        <v>5.0563661075999997</v>
      </c>
      <c r="BL117" s="1497">
        <v>170.10400000000001</v>
      </c>
      <c r="BM117" s="1497">
        <v>42.383657559299998</v>
      </c>
    </row>
    <row r="118" spans="1:65">
      <c r="A118" s="409" t="s">
        <v>26</v>
      </c>
      <c r="B118" s="1504">
        <v>5701.1490000000003</v>
      </c>
      <c r="C118" s="1504">
        <v>283.08800000000002</v>
      </c>
      <c r="D118" s="1504">
        <v>2544.2460000000001</v>
      </c>
      <c r="E118" s="1504">
        <v>1777.3050000000001</v>
      </c>
      <c r="F118" s="1504">
        <v>799.42700000000002</v>
      </c>
      <c r="G118" s="1492">
        <v>580.17100000000005</v>
      </c>
      <c r="H118" s="1504">
        <v>8001.2439999999997</v>
      </c>
      <c r="I118" s="1504">
        <v>1191.0694149572</v>
      </c>
      <c r="J118" s="1497">
        <v>4907.9040000000005</v>
      </c>
      <c r="K118" s="1492">
        <v>892.53935381999997</v>
      </c>
      <c r="L118" s="1497">
        <v>27.945</v>
      </c>
      <c r="M118" s="1497">
        <v>57.948252866200001</v>
      </c>
      <c r="N118" s="1497">
        <v>145.023</v>
      </c>
      <c r="O118" s="1497">
        <v>29.739533959999999</v>
      </c>
      <c r="P118" s="1497">
        <v>776.30799999999999</v>
      </c>
      <c r="Q118" s="1504">
        <v>64.749877928199993</v>
      </c>
      <c r="R118" s="1504">
        <v>18.361000000000001</v>
      </c>
      <c r="S118" s="1506">
        <v>0.56934700000000005</v>
      </c>
      <c r="T118" s="1504">
        <v>1573.64</v>
      </c>
      <c r="U118" s="1504">
        <v>58.824490961599999</v>
      </c>
      <c r="V118" s="1504"/>
      <c r="W118" s="1504"/>
      <c r="X118" s="1492">
        <v>570.42399999999998</v>
      </c>
      <c r="Y118" s="1492">
        <v>87.267905421199998</v>
      </c>
      <c r="Z118" s="1492">
        <v>43.286999999999999</v>
      </c>
      <c r="AA118" s="1492">
        <v>16.398241852600002</v>
      </c>
      <c r="AB118" s="1492">
        <v>527.13699999999994</v>
      </c>
      <c r="AC118" s="1492">
        <v>70.869663568600004</v>
      </c>
      <c r="AD118" s="1497">
        <v>7206.1059999999998</v>
      </c>
      <c r="AE118" s="1497">
        <v>1067.0985677067999</v>
      </c>
      <c r="AF118" s="1497">
        <v>4845.1530000000002</v>
      </c>
      <c r="AG118" s="1497">
        <v>878.33618758</v>
      </c>
      <c r="AH118" s="1497">
        <v>597.38699999999994</v>
      </c>
      <c r="AI118" s="1497">
        <v>93.357909270099995</v>
      </c>
      <c r="AJ118" s="1497">
        <v>14.351000000000001</v>
      </c>
      <c r="AK118" s="1336">
        <v>0.40809200000000001</v>
      </c>
      <c r="AL118" s="1497">
        <v>1354.116</v>
      </c>
      <c r="AM118" s="1497">
        <v>41.913874301600003</v>
      </c>
      <c r="AN118" s="1497"/>
      <c r="AO118" s="1497"/>
      <c r="AP118" s="1497">
        <v>409.45</v>
      </c>
      <c r="AQ118" s="1497">
        <v>53.490596555099998</v>
      </c>
      <c r="AR118" s="1497">
        <v>32.052999999999997</v>
      </c>
      <c r="AS118" s="1497">
        <v>11.6614324606</v>
      </c>
      <c r="AT118" s="1497">
        <v>377.39699999999999</v>
      </c>
      <c r="AU118" s="1497">
        <v>41.829164094500008</v>
      </c>
      <c r="AV118" s="1497">
        <v>795.13800000000003</v>
      </c>
      <c r="AW118" s="1497">
        <v>123.9708472504</v>
      </c>
      <c r="AX118" s="1497">
        <v>207.774</v>
      </c>
      <c r="AY118" s="1497">
        <v>43.942700199999997</v>
      </c>
      <c r="AZ118" s="1497">
        <v>206.86600000000001</v>
      </c>
      <c r="BA118" s="1497">
        <v>29.340221524299999</v>
      </c>
      <c r="BB118" s="1497">
        <v>4.01</v>
      </c>
      <c r="BC118" s="1502">
        <v>0.16125500000000001</v>
      </c>
      <c r="BD118" s="1497">
        <v>219.524</v>
      </c>
      <c r="BE118" s="1497">
        <v>16.910616659999999</v>
      </c>
      <c r="BF118" s="1497"/>
      <c r="BG118" s="1497"/>
      <c r="BH118" s="1497">
        <v>160.97399999999999</v>
      </c>
      <c r="BI118" s="1497">
        <v>33.7773088661</v>
      </c>
      <c r="BJ118" s="1497">
        <v>11.234</v>
      </c>
      <c r="BK118" s="1497">
        <v>4.7368093919999996</v>
      </c>
      <c r="BL118" s="1497">
        <v>149.74</v>
      </c>
      <c r="BM118" s="1497">
        <v>29.040499474100002</v>
      </c>
    </row>
    <row r="119" spans="1:65">
      <c r="A119" s="409" t="s">
        <v>27</v>
      </c>
      <c r="B119" s="1504">
        <v>5755.0559999999996</v>
      </c>
      <c r="C119" s="1504">
        <v>299.428</v>
      </c>
      <c r="D119" s="1504">
        <v>2531.0520000000001</v>
      </c>
      <c r="E119" s="1504">
        <v>1809.5530000000001</v>
      </c>
      <c r="F119" s="1504">
        <v>816.00099999999998</v>
      </c>
      <c r="G119" s="1492">
        <v>598.45000000000005</v>
      </c>
      <c r="H119" s="1504">
        <v>8790.1470000000008</v>
      </c>
      <c r="I119" s="1504">
        <v>1294.9222654811001</v>
      </c>
      <c r="J119" s="1497">
        <v>5298.2690000000002</v>
      </c>
      <c r="K119" s="1492">
        <v>972.29327512999998</v>
      </c>
      <c r="L119" s="1497">
        <v>30.582000000000001</v>
      </c>
      <c r="M119" s="1497">
        <v>63.044018885299998</v>
      </c>
      <c r="N119" s="1497">
        <v>170.72399999999999</v>
      </c>
      <c r="O119" s="1497">
        <v>33.092025521099998</v>
      </c>
      <c r="P119" s="1497">
        <v>857.64599999999996</v>
      </c>
      <c r="Q119" s="1504">
        <v>75.940282234500003</v>
      </c>
      <c r="R119" s="1504">
        <v>25.488</v>
      </c>
      <c r="S119" s="1506">
        <v>0.83426800000000001</v>
      </c>
      <c r="T119" s="1504">
        <v>1761.691</v>
      </c>
      <c r="U119" s="1504">
        <v>63.321004563700001</v>
      </c>
      <c r="V119" s="1504"/>
      <c r="W119" s="1504"/>
      <c r="X119" s="1492">
        <v>671.23500000000001</v>
      </c>
      <c r="Y119" s="1492">
        <v>87.231659146499993</v>
      </c>
      <c r="Z119" s="1492">
        <v>51.667999999999999</v>
      </c>
      <c r="AA119" s="1492">
        <v>18.262833664000002</v>
      </c>
      <c r="AB119" s="1492">
        <v>619.56700000000001</v>
      </c>
      <c r="AC119" s="1492">
        <v>68.968825482500009</v>
      </c>
      <c r="AD119" s="1497">
        <v>7915.9520000000002</v>
      </c>
      <c r="AE119" s="1497">
        <v>1160.8580525967</v>
      </c>
      <c r="AF119" s="1497">
        <v>5246.2139999999999</v>
      </c>
      <c r="AG119" s="1497">
        <v>957.52368448000004</v>
      </c>
      <c r="AH119" s="1497">
        <v>664.13</v>
      </c>
      <c r="AI119" s="1497">
        <v>105.1256286613</v>
      </c>
      <c r="AJ119" s="1497">
        <v>19.945</v>
      </c>
      <c r="AK119" s="1497">
        <v>0.50530600000000003</v>
      </c>
      <c r="AL119" s="1497">
        <v>1524.057</v>
      </c>
      <c r="AM119" s="1497">
        <v>45.2186597237</v>
      </c>
      <c r="AN119" s="1497"/>
      <c r="AO119" s="1497"/>
      <c r="AP119" s="1497">
        <v>481.55099999999999</v>
      </c>
      <c r="AQ119" s="1497">
        <v>52.9900797317</v>
      </c>
      <c r="AR119" s="1497">
        <v>37.264000000000003</v>
      </c>
      <c r="AS119" s="1497">
        <v>12.5327209316</v>
      </c>
      <c r="AT119" s="1497">
        <v>444.28699999999998</v>
      </c>
      <c r="AU119" s="1497">
        <v>40.457358800099996</v>
      </c>
      <c r="AV119" s="1497">
        <v>874.19500000000005</v>
      </c>
      <c r="AW119" s="1497">
        <v>134.06421288440001</v>
      </c>
      <c r="AX119" s="1497">
        <v>222.779</v>
      </c>
      <c r="AY119" s="1497">
        <v>47.861616171100003</v>
      </c>
      <c r="AZ119" s="1497">
        <v>224.09800000000001</v>
      </c>
      <c r="BA119" s="1497">
        <v>33.858672458500003</v>
      </c>
      <c r="BB119" s="1497">
        <v>5.5430000000000001</v>
      </c>
      <c r="BC119" s="1502">
        <v>0.32896199999999998</v>
      </c>
      <c r="BD119" s="1497">
        <v>237.63399999999999</v>
      </c>
      <c r="BE119" s="1497">
        <v>18.102344840000001</v>
      </c>
      <c r="BF119" s="1497"/>
      <c r="BG119" s="1497"/>
      <c r="BH119" s="1497">
        <v>189.684</v>
      </c>
      <c r="BI119" s="1497">
        <v>34.2415794148</v>
      </c>
      <c r="BJ119" s="1497">
        <v>14.404</v>
      </c>
      <c r="BK119" s="1497">
        <v>5.7301127324000003</v>
      </c>
      <c r="BL119" s="1497">
        <v>175.28</v>
      </c>
      <c r="BM119" s="1497">
        <v>28.511466682400002</v>
      </c>
    </row>
    <row r="120" spans="1:65">
      <c r="A120" s="409" t="s">
        <v>28</v>
      </c>
      <c r="B120" s="1504">
        <v>5841.1660000000002</v>
      </c>
      <c r="C120" s="1504">
        <v>310.06700000000001</v>
      </c>
      <c r="D120" s="1504">
        <v>2527.268</v>
      </c>
      <c r="E120" s="1504">
        <v>1842.463</v>
      </c>
      <c r="F120" s="1504">
        <v>851.351</v>
      </c>
      <c r="G120" s="1492">
        <v>620.08399999999995</v>
      </c>
      <c r="H120" s="1504">
        <v>8543.9169999999995</v>
      </c>
      <c r="I120" s="1504">
        <v>1288.3203881236</v>
      </c>
      <c r="J120" s="1497">
        <v>5046.2650000000003</v>
      </c>
      <c r="K120" s="1492">
        <v>959.56308523999996</v>
      </c>
      <c r="L120" s="1497">
        <v>29.521999999999998</v>
      </c>
      <c r="M120" s="1497">
        <v>60.0247481177</v>
      </c>
      <c r="N120" s="1497">
        <v>169.26</v>
      </c>
      <c r="O120" s="1497">
        <v>33.291807581999997</v>
      </c>
      <c r="P120" s="1497">
        <v>854.23900000000003</v>
      </c>
      <c r="Q120" s="1504">
        <v>76.443934364699999</v>
      </c>
      <c r="R120" s="1504">
        <v>28.082999999999998</v>
      </c>
      <c r="S120" s="1506">
        <v>0.88503500000000002</v>
      </c>
      <c r="T120" s="1504">
        <v>1734.414</v>
      </c>
      <c r="U120" s="1504">
        <v>69.600420371699997</v>
      </c>
      <c r="V120" s="1504"/>
      <c r="W120" s="1504"/>
      <c r="X120" s="1492">
        <v>710.21699999999998</v>
      </c>
      <c r="Y120" s="1492">
        <v>89.396392447500006</v>
      </c>
      <c r="Z120" s="1492">
        <v>49.466999999999999</v>
      </c>
      <c r="AA120" s="1492">
        <v>16.5533313488</v>
      </c>
      <c r="AB120" s="1492">
        <v>660.75</v>
      </c>
      <c r="AC120" s="1492">
        <v>72.843061098700005</v>
      </c>
      <c r="AD120" s="1497">
        <v>7660.6620000000003</v>
      </c>
      <c r="AE120" s="1497">
        <v>1151.2307307144999</v>
      </c>
      <c r="AF120" s="1497">
        <v>4985.6409999999996</v>
      </c>
      <c r="AG120" s="1497">
        <v>943.51892303</v>
      </c>
      <c r="AH120" s="1497">
        <v>661.11599999999999</v>
      </c>
      <c r="AI120" s="1497">
        <v>101.9734603425</v>
      </c>
      <c r="AJ120" s="1497">
        <v>22.199000000000002</v>
      </c>
      <c r="AK120" s="1497">
        <v>0.64075099999999996</v>
      </c>
      <c r="AL120" s="1497">
        <v>1499.1890000000001</v>
      </c>
      <c r="AM120" s="1497">
        <v>50.677213011699997</v>
      </c>
      <c r="AN120" s="1497"/>
      <c r="AO120" s="1497"/>
      <c r="AP120" s="1497">
        <v>514.71600000000001</v>
      </c>
      <c r="AQ120" s="1497">
        <v>55.0611343303</v>
      </c>
      <c r="AR120" s="1497">
        <v>35.807000000000002</v>
      </c>
      <c r="AS120" s="1497">
        <v>11.255068293700001</v>
      </c>
      <c r="AT120" s="1497">
        <v>478.90899999999999</v>
      </c>
      <c r="AU120" s="1497">
        <v>43.806066036600001</v>
      </c>
      <c r="AV120" s="1497">
        <v>883.255</v>
      </c>
      <c r="AW120" s="1497">
        <v>137.0896574091</v>
      </c>
      <c r="AX120" s="1497">
        <v>229.88399999999999</v>
      </c>
      <c r="AY120" s="1497">
        <v>49.335969792</v>
      </c>
      <c r="AZ120" s="1497">
        <v>222.64500000000001</v>
      </c>
      <c r="BA120" s="1497">
        <v>34.495222139900001</v>
      </c>
      <c r="BB120" s="1497">
        <v>5.8840000000000003</v>
      </c>
      <c r="BC120" s="1502">
        <v>0.244284</v>
      </c>
      <c r="BD120" s="1497">
        <v>235.22499999999999</v>
      </c>
      <c r="BE120" s="1497">
        <v>18.923207359999999</v>
      </c>
      <c r="BF120" s="1497"/>
      <c r="BG120" s="1497"/>
      <c r="BH120" s="1497">
        <v>195.501</v>
      </c>
      <c r="BI120" s="1497">
        <v>34.335258117199999</v>
      </c>
      <c r="BJ120" s="1497">
        <v>13.66</v>
      </c>
      <c r="BK120" s="1497">
        <v>5.2982630551000005</v>
      </c>
      <c r="BL120" s="1497">
        <v>181.84100000000001</v>
      </c>
      <c r="BM120" s="1497">
        <v>29.036995062100001</v>
      </c>
    </row>
    <row r="121" spans="1:65">
      <c r="A121" s="409" t="s">
        <v>29</v>
      </c>
      <c r="B121" s="1504">
        <v>5873.6769999999997</v>
      </c>
      <c r="C121" s="1504">
        <v>323.16199999999998</v>
      </c>
      <c r="D121" s="1504">
        <v>2535.3690000000001</v>
      </c>
      <c r="E121" s="1504">
        <v>1848.9</v>
      </c>
      <c r="F121" s="1504">
        <v>866.39700000000005</v>
      </c>
      <c r="G121" s="1492">
        <v>623.01099999999997</v>
      </c>
      <c r="H121" s="1504">
        <v>9536.3510000000006</v>
      </c>
      <c r="I121" s="1504">
        <v>1570.7288612530999</v>
      </c>
      <c r="J121" s="1497">
        <v>5932.38</v>
      </c>
      <c r="K121" s="1492">
        <v>1197.7321233642001</v>
      </c>
      <c r="L121" s="1497">
        <v>36.844000000000001</v>
      </c>
      <c r="M121" s="1497">
        <v>84.850381869900005</v>
      </c>
      <c r="N121" s="1497">
        <v>175.017</v>
      </c>
      <c r="O121" s="1497">
        <v>37.543725000000002</v>
      </c>
      <c r="P121" s="1497">
        <v>918.91099999999994</v>
      </c>
      <c r="Q121" s="1504">
        <v>85.473499801900005</v>
      </c>
      <c r="R121" s="1504">
        <v>30.327000000000002</v>
      </c>
      <c r="S121" s="1506">
        <v>0.95713199999999998</v>
      </c>
      <c r="T121" s="1504">
        <v>1830.2439999999999</v>
      </c>
      <c r="U121" s="1504">
        <v>80.0684502971</v>
      </c>
      <c r="V121" s="1504"/>
      <c r="W121" s="1504"/>
      <c r="X121" s="1492">
        <v>642.95500000000004</v>
      </c>
      <c r="Y121" s="1492">
        <v>85.060680919999996</v>
      </c>
      <c r="Z121" s="1492">
        <v>46.856000000000002</v>
      </c>
      <c r="AA121" s="1492">
        <v>16.816722071199997</v>
      </c>
      <c r="AB121" s="1492">
        <v>596.09900000000005</v>
      </c>
      <c r="AC121" s="1492">
        <v>68.243958848800006</v>
      </c>
      <c r="AD121" s="1497">
        <v>8624.598</v>
      </c>
      <c r="AE121" s="1497">
        <v>1421.9232861798</v>
      </c>
      <c r="AF121" s="1497">
        <v>5850.0309999999999</v>
      </c>
      <c r="AG121" s="1497">
        <v>1177.4582682042001</v>
      </c>
      <c r="AH121" s="1497">
        <v>722.33500000000004</v>
      </c>
      <c r="AI121" s="1497">
        <v>133.7858796225</v>
      </c>
      <c r="AJ121" s="1497">
        <v>23.716999999999999</v>
      </c>
      <c r="AK121" s="1497">
        <v>0.65367900000000001</v>
      </c>
      <c r="AL121" s="1497">
        <v>1585.6220000000001</v>
      </c>
      <c r="AM121" s="1497">
        <v>58.370980297099997</v>
      </c>
      <c r="AN121" s="1497"/>
      <c r="AO121" s="1497"/>
      <c r="AP121" s="1497">
        <v>466.61</v>
      </c>
      <c r="AQ121" s="1497">
        <v>52.308158056000003</v>
      </c>
      <c r="AR121" s="1497">
        <v>33.819000000000003</v>
      </c>
      <c r="AS121" s="1497">
        <v>11.3356085934</v>
      </c>
      <c r="AT121" s="1497">
        <v>432.791</v>
      </c>
      <c r="AU121" s="1497">
        <v>40.9725494626</v>
      </c>
      <c r="AV121" s="1497">
        <v>911.75300000000004</v>
      </c>
      <c r="AW121" s="1497">
        <v>148.80557507329999</v>
      </c>
      <c r="AX121" s="1497">
        <v>257.36599999999999</v>
      </c>
      <c r="AY121" s="1497">
        <v>57.817580159999999</v>
      </c>
      <c r="AZ121" s="1497">
        <v>233.42</v>
      </c>
      <c r="BA121" s="1497">
        <v>36.538002049299998</v>
      </c>
      <c r="BB121" s="1497">
        <v>6.61</v>
      </c>
      <c r="BC121" s="1502">
        <v>0.30345299999999997</v>
      </c>
      <c r="BD121" s="1497">
        <v>244.62200000000001</v>
      </c>
      <c r="BE121" s="1497">
        <v>21.697469999999999</v>
      </c>
      <c r="BF121" s="1497"/>
      <c r="BG121" s="1497"/>
      <c r="BH121" s="1497">
        <v>176.345</v>
      </c>
      <c r="BI121" s="1497">
        <v>32.752522863999999</v>
      </c>
      <c r="BJ121" s="1497">
        <v>13.037000000000001</v>
      </c>
      <c r="BK121" s="1497">
        <v>5.4811134778000001</v>
      </c>
      <c r="BL121" s="1497">
        <v>163.30799999999999</v>
      </c>
      <c r="BM121" s="1497">
        <v>27.271409386199998</v>
      </c>
    </row>
    <row r="122" spans="1:65">
      <c r="A122" s="409" t="s">
        <v>2038</v>
      </c>
      <c r="B122" s="1505">
        <v>6656.9430000000002</v>
      </c>
      <c r="C122" s="1505">
        <v>666</v>
      </c>
      <c r="D122" s="1505">
        <v>2522.2919999999999</v>
      </c>
      <c r="E122" s="1505">
        <v>2058.2930000000001</v>
      </c>
      <c r="F122" s="1505">
        <v>1216.6300000000001</v>
      </c>
      <c r="G122" s="1499">
        <v>859.72799999999995</v>
      </c>
      <c r="H122" s="1505">
        <f t="shared" ref="H122:U122" si="24">SUM(H123:H134)</f>
        <v>118753.755</v>
      </c>
      <c r="I122" s="1505">
        <f t="shared" si="24"/>
        <v>18147.2510531919</v>
      </c>
      <c r="J122" s="1505">
        <f t="shared" si="24"/>
        <v>66241.286999999997</v>
      </c>
      <c r="K122" s="1505">
        <f t="shared" si="24"/>
        <v>13098.03893986</v>
      </c>
      <c r="L122" s="1505">
        <f t="shared" si="24"/>
        <v>350.59300000000002</v>
      </c>
      <c r="M122" s="1505">
        <f t="shared" si="24"/>
        <v>842.12150009199991</v>
      </c>
      <c r="N122" s="1505">
        <f t="shared" si="24"/>
        <v>1413.556</v>
      </c>
      <c r="O122" s="1505">
        <f t="shared" si="24"/>
        <v>226.41323733999999</v>
      </c>
      <c r="P122" s="1505">
        <f t="shared" si="24"/>
        <v>14734.543000000001</v>
      </c>
      <c r="Q122" s="1505">
        <f t="shared" si="24"/>
        <v>1118.4751860271999</v>
      </c>
      <c r="R122" s="1505">
        <f t="shared" si="24"/>
        <v>850.93000000000018</v>
      </c>
      <c r="S122" s="1505">
        <f t="shared" si="24"/>
        <v>23.08491848000001</v>
      </c>
      <c r="T122" s="1505">
        <f t="shared" si="24"/>
        <v>26562.073000000004</v>
      </c>
      <c r="U122" s="1505">
        <f t="shared" si="24"/>
        <v>1670.9113431075002</v>
      </c>
      <c r="V122" s="1505"/>
      <c r="W122" s="1505"/>
      <c r="X122" s="1505">
        <f t="shared" ref="X122:AM122" si="25">SUM(X123:X134)</f>
        <v>9451.7029999999995</v>
      </c>
      <c r="Y122" s="1505">
        <f t="shared" si="25"/>
        <v>1191.2908467652001</v>
      </c>
      <c r="Z122" s="1505">
        <f t="shared" si="25"/>
        <v>560.14499999999998</v>
      </c>
      <c r="AA122" s="1505">
        <f t="shared" si="25"/>
        <v>205.26599283320002</v>
      </c>
      <c r="AB122" s="1505">
        <f t="shared" si="25"/>
        <v>8891.5580000000009</v>
      </c>
      <c r="AC122" s="1505">
        <f t="shared" si="25"/>
        <v>986.02485393200004</v>
      </c>
      <c r="AD122" s="1505">
        <f t="shared" si="25"/>
        <v>105050.39000000001</v>
      </c>
      <c r="AE122" s="1505">
        <f t="shared" si="25"/>
        <v>16208.725249180701</v>
      </c>
      <c r="AF122" s="1505">
        <f t="shared" si="25"/>
        <v>63663.211999999992</v>
      </c>
      <c r="AG122" s="1505">
        <f t="shared" si="25"/>
        <v>12575.250722509998</v>
      </c>
      <c r="AH122" s="1505">
        <f t="shared" si="25"/>
        <v>11212.448</v>
      </c>
      <c r="AI122" s="1505">
        <f t="shared" si="25"/>
        <v>1523.6173217945</v>
      </c>
      <c r="AJ122" s="1505">
        <f t="shared" si="25"/>
        <v>689.33299999999997</v>
      </c>
      <c r="AK122" s="1505">
        <f t="shared" si="25"/>
        <v>16.668889610000008</v>
      </c>
      <c r="AL122" s="1505">
        <f t="shared" si="25"/>
        <v>22945.278999999999</v>
      </c>
      <c r="AM122" s="1505">
        <f t="shared" si="25"/>
        <v>1290.2136349510001</v>
      </c>
      <c r="AN122" s="1505"/>
      <c r="AO122" s="1505"/>
      <c r="AP122" s="1505">
        <f t="shared" ref="AP122:BM122" si="26">SUM(AP123:AP134)</f>
        <v>7229.451</v>
      </c>
      <c r="AQ122" s="1505">
        <f t="shared" si="26"/>
        <v>819.64356992520004</v>
      </c>
      <c r="AR122" s="1505">
        <f t="shared" si="26"/>
        <v>433.11400000000003</v>
      </c>
      <c r="AS122" s="1505">
        <f t="shared" si="26"/>
        <v>153.49273203549998</v>
      </c>
      <c r="AT122" s="1505">
        <f t="shared" si="26"/>
        <v>6796.3370000000004</v>
      </c>
      <c r="AU122" s="1505">
        <f t="shared" si="26"/>
        <v>666.15083788970003</v>
      </c>
      <c r="AV122" s="1505">
        <f t="shared" si="26"/>
        <v>13703.364999999998</v>
      </c>
      <c r="AW122" s="1505">
        <f t="shared" si="26"/>
        <v>1938.5258040112001</v>
      </c>
      <c r="AX122" s="1505">
        <f t="shared" si="26"/>
        <v>3991.6310000000003</v>
      </c>
      <c r="AY122" s="1505">
        <f t="shared" si="26"/>
        <v>749.20145469000011</v>
      </c>
      <c r="AZ122" s="1505">
        <f t="shared" si="26"/>
        <v>3872.6879999999996</v>
      </c>
      <c r="BA122" s="1505">
        <f t="shared" si="26"/>
        <v>436.97936432469999</v>
      </c>
      <c r="BB122" s="1505">
        <f t="shared" si="26"/>
        <v>161.59699999999998</v>
      </c>
      <c r="BC122" s="1505">
        <f t="shared" si="26"/>
        <v>6.4160288699999999</v>
      </c>
      <c r="BD122" s="1505">
        <f t="shared" si="26"/>
        <v>3616.7939999999999</v>
      </c>
      <c r="BE122" s="1505">
        <f t="shared" si="26"/>
        <v>380.69770815650003</v>
      </c>
      <c r="BF122" s="1505">
        <f t="shared" si="26"/>
        <v>0</v>
      </c>
      <c r="BG122" s="1505">
        <f t="shared" si="26"/>
        <v>0</v>
      </c>
      <c r="BH122" s="1505">
        <f t="shared" si="26"/>
        <v>2222.252</v>
      </c>
      <c r="BI122" s="1505">
        <f t="shared" si="26"/>
        <v>371.64727684000002</v>
      </c>
      <c r="BJ122" s="1505">
        <f t="shared" si="26"/>
        <v>127.03100000000001</v>
      </c>
      <c r="BK122" s="1505">
        <f t="shared" si="26"/>
        <v>51.773260797700011</v>
      </c>
      <c r="BL122" s="1505">
        <f t="shared" si="26"/>
        <v>2095.221</v>
      </c>
      <c r="BM122" s="1505">
        <f t="shared" si="26"/>
        <v>319.87401604230001</v>
      </c>
    </row>
    <row r="123" spans="1:65">
      <c r="A123" s="409" t="s">
        <v>18</v>
      </c>
      <c r="B123" s="1504">
        <v>5896.57</v>
      </c>
      <c r="C123" s="1504">
        <v>345.89800000000002</v>
      </c>
      <c r="D123" s="1504">
        <v>2516.9699999999998</v>
      </c>
      <c r="E123" s="1504">
        <v>1864.248</v>
      </c>
      <c r="F123" s="1504">
        <v>860.43</v>
      </c>
      <c r="G123" s="1504">
        <v>654.92200000000003</v>
      </c>
      <c r="H123" s="1504">
        <v>8191.6080000000002</v>
      </c>
      <c r="I123" s="1504">
        <v>1162.2975350412</v>
      </c>
      <c r="J123" s="1504">
        <v>4425.8990000000003</v>
      </c>
      <c r="K123" s="1504">
        <v>814.69999079000002</v>
      </c>
      <c r="L123" s="1504">
        <v>27.890999999999998</v>
      </c>
      <c r="M123" s="1504">
        <v>51.824391590799998</v>
      </c>
      <c r="N123" s="1504">
        <v>114.99299999999999</v>
      </c>
      <c r="O123" s="1504">
        <v>29.263342999999999</v>
      </c>
      <c r="P123" s="1504">
        <v>948.04300000000001</v>
      </c>
      <c r="Q123" s="1504">
        <v>75.996830641200006</v>
      </c>
      <c r="R123" s="1504">
        <v>37.703000000000003</v>
      </c>
      <c r="S123" s="1506">
        <v>1.25207</v>
      </c>
      <c r="T123" s="1504">
        <v>1997.299</v>
      </c>
      <c r="U123" s="1504">
        <v>88.320910407400007</v>
      </c>
      <c r="V123" s="1504"/>
      <c r="W123" s="1504"/>
      <c r="X123" s="1504">
        <v>677.48299999999995</v>
      </c>
      <c r="Y123" s="1504">
        <v>102.1920686118</v>
      </c>
      <c r="Z123" s="1504">
        <v>44.844999999999999</v>
      </c>
      <c r="AA123" s="1504">
        <v>15.717952835999998</v>
      </c>
      <c r="AB123" s="1504">
        <v>632.63800000000003</v>
      </c>
      <c r="AC123" s="1504">
        <v>86.474115775799987</v>
      </c>
      <c r="AD123" s="1504">
        <v>7231.2060000000001</v>
      </c>
      <c r="AE123" s="1504">
        <v>1020.6759023161</v>
      </c>
      <c r="AF123" s="1504">
        <v>4307.0029999999997</v>
      </c>
      <c r="AG123" s="1504">
        <v>796.92316620999998</v>
      </c>
      <c r="AH123" s="1504">
        <v>722.66899999999998</v>
      </c>
      <c r="AI123" s="1504">
        <v>97.628724101100005</v>
      </c>
      <c r="AJ123" s="1504">
        <v>29.497</v>
      </c>
      <c r="AK123" s="1506">
        <v>0.87579399999999996</v>
      </c>
      <c r="AL123" s="1504">
        <v>1709.194</v>
      </c>
      <c r="AM123" s="1504">
        <v>63.721058557399999</v>
      </c>
      <c r="AN123" s="1504"/>
      <c r="AO123" s="1504"/>
      <c r="AP123" s="1504">
        <v>492.34</v>
      </c>
      <c r="AQ123" s="1504">
        <v>62.402953447599998</v>
      </c>
      <c r="AR123" s="1504">
        <v>32.442</v>
      </c>
      <c r="AS123" s="1504">
        <v>10.605321137100001</v>
      </c>
      <c r="AT123" s="1504">
        <v>459.89800000000002</v>
      </c>
      <c r="AU123" s="1504">
        <v>51.797632310499999</v>
      </c>
      <c r="AV123" s="1504">
        <v>960.40200000000004</v>
      </c>
      <c r="AW123" s="1504">
        <v>141.6216327251</v>
      </c>
      <c r="AX123" s="1504">
        <v>233.88900000000001</v>
      </c>
      <c r="AY123" s="1504">
        <v>47.040167580000002</v>
      </c>
      <c r="AZ123" s="1504">
        <v>253.26499999999999</v>
      </c>
      <c r="BA123" s="1504">
        <v>30.192498130899999</v>
      </c>
      <c r="BB123" s="1504">
        <v>8.2059999999999995</v>
      </c>
      <c r="BC123" s="614">
        <v>0.376276</v>
      </c>
      <c r="BD123" s="1504">
        <v>288.10500000000002</v>
      </c>
      <c r="BE123" s="1504">
        <v>24.59985185</v>
      </c>
      <c r="BF123" s="1504"/>
      <c r="BG123" s="1504"/>
      <c r="BH123" s="1504">
        <v>185.143</v>
      </c>
      <c r="BI123" s="1504">
        <v>39.789115164199998</v>
      </c>
      <c r="BJ123" s="1504">
        <v>12.403</v>
      </c>
      <c r="BK123" s="1504">
        <v>5.1126316989000005</v>
      </c>
      <c r="BL123" s="1504">
        <v>172.74</v>
      </c>
      <c r="BM123" s="1504">
        <v>34.676483465299995</v>
      </c>
    </row>
    <row r="124" spans="1:65">
      <c r="A124" s="409" t="s">
        <v>19</v>
      </c>
      <c r="B124" s="1504">
        <v>5963.9459999999999</v>
      </c>
      <c r="C124" s="1504">
        <v>358.90699999999998</v>
      </c>
      <c r="D124" s="1504">
        <v>2521.9720000000002</v>
      </c>
      <c r="E124" s="1504">
        <v>1902.991</v>
      </c>
      <c r="F124" s="1504">
        <v>865.63800000000003</v>
      </c>
      <c r="G124" s="1492">
        <v>673.34500000000003</v>
      </c>
      <c r="H124" s="1504">
        <v>8540.5930000000008</v>
      </c>
      <c r="I124" s="1504">
        <v>1349.0955521625001</v>
      </c>
      <c r="J124" s="1497">
        <v>5073.8059999999996</v>
      </c>
      <c r="K124" s="1492">
        <v>993.58148462999998</v>
      </c>
      <c r="L124" s="1497">
        <v>30.927</v>
      </c>
      <c r="M124" s="1497">
        <v>89.483618359999994</v>
      </c>
      <c r="N124" s="1497">
        <v>103.402</v>
      </c>
      <c r="O124" s="1497">
        <v>16.482165999999999</v>
      </c>
      <c r="P124" s="1497">
        <v>861.44</v>
      </c>
      <c r="Q124" s="1504">
        <v>73.269039815499994</v>
      </c>
      <c r="R124" s="1504">
        <v>40.073999999999998</v>
      </c>
      <c r="S124" s="1506">
        <v>1.1221110000000001</v>
      </c>
      <c r="T124" s="1504">
        <v>1878.904</v>
      </c>
      <c r="U124" s="1504">
        <v>98.802990443599995</v>
      </c>
      <c r="V124" s="1504"/>
      <c r="W124" s="1504"/>
      <c r="X124" s="1492">
        <v>592.11400000000003</v>
      </c>
      <c r="Y124" s="1492">
        <v>77.476252913400003</v>
      </c>
      <c r="Z124" s="1492">
        <v>38.326000000000001</v>
      </c>
      <c r="AA124" s="1492">
        <v>16.1757191172</v>
      </c>
      <c r="AB124" s="1492">
        <v>553.78800000000001</v>
      </c>
      <c r="AC124" s="1492">
        <v>61.3005337962</v>
      </c>
      <c r="AD124" s="1497">
        <v>7651.1469999999999</v>
      </c>
      <c r="AE124" s="1497">
        <v>1186.0416596639</v>
      </c>
      <c r="AF124" s="1497">
        <v>4937.1620000000003</v>
      </c>
      <c r="AG124" s="1497">
        <v>958.99678218999998</v>
      </c>
      <c r="AH124" s="1497">
        <v>669.18399999999997</v>
      </c>
      <c r="AI124" s="1497">
        <v>102.38482084269999</v>
      </c>
      <c r="AJ124" s="1497">
        <v>32.43</v>
      </c>
      <c r="AK124" s="614">
        <v>0.80185499999999998</v>
      </c>
      <c r="AL124" s="1497">
        <v>1615.0519999999999</v>
      </c>
      <c r="AM124" s="1497">
        <v>75.699854503599994</v>
      </c>
      <c r="AN124" s="1497"/>
      <c r="AO124" s="1497"/>
      <c r="AP124" s="1497">
        <v>429.74900000000002</v>
      </c>
      <c r="AQ124" s="1497">
        <v>48.960202127599999</v>
      </c>
      <c r="AR124" s="1497">
        <v>27.423999999999999</v>
      </c>
      <c r="AS124" s="1497">
        <v>11.4972356684</v>
      </c>
      <c r="AT124" s="1497">
        <v>402.32499999999999</v>
      </c>
      <c r="AU124" s="1497">
        <v>37.462966459199997</v>
      </c>
      <c r="AV124" s="1497">
        <v>889.44600000000003</v>
      </c>
      <c r="AW124" s="1497">
        <v>163.05389249859999</v>
      </c>
      <c r="AX124" s="1497">
        <v>240.04599999999999</v>
      </c>
      <c r="AY124" s="1497">
        <v>51.06686844</v>
      </c>
      <c r="AZ124" s="1497">
        <v>223.18299999999999</v>
      </c>
      <c r="BA124" s="1497">
        <v>60.367837332800001</v>
      </c>
      <c r="BB124" s="1497">
        <v>7.6440000000000001</v>
      </c>
      <c r="BC124" s="614">
        <v>0.32025599999999999</v>
      </c>
      <c r="BD124" s="1497">
        <v>263.85199999999998</v>
      </c>
      <c r="BE124" s="1497">
        <v>23.103135940000001</v>
      </c>
      <c r="BF124" s="1497"/>
      <c r="BG124" s="1497"/>
      <c r="BH124" s="1497">
        <v>162.36500000000001</v>
      </c>
      <c r="BI124" s="1497">
        <v>28.516050785800001</v>
      </c>
      <c r="BJ124" s="1497">
        <v>10.901999999999999</v>
      </c>
      <c r="BK124" s="1497">
        <v>4.6784834488000007</v>
      </c>
      <c r="BL124" s="1497">
        <v>151.46299999999999</v>
      </c>
      <c r="BM124" s="1497">
        <v>23.837567337000003</v>
      </c>
    </row>
    <row r="125" spans="1:65">
      <c r="A125" s="409" t="s">
        <v>20</v>
      </c>
      <c r="B125" s="1504">
        <v>6019.65</v>
      </c>
      <c r="C125" s="1504">
        <v>369.93900000000002</v>
      </c>
      <c r="D125" s="1504">
        <v>2512.6689999999999</v>
      </c>
      <c r="E125" s="1504">
        <v>1915.4849999999999</v>
      </c>
      <c r="F125" s="1504">
        <v>878.245</v>
      </c>
      <c r="G125" s="1492">
        <v>713.25099999999998</v>
      </c>
      <c r="H125" s="1504">
        <v>10090.708000000001</v>
      </c>
      <c r="I125" s="1504">
        <v>1542.7114686847999</v>
      </c>
      <c r="J125" s="1497">
        <v>6043.9629999999997</v>
      </c>
      <c r="K125" s="1492">
        <v>1170.27077074</v>
      </c>
      <c r="L125" s="1497">
        <v>35.247</v>
      </c>
      <c r="M125" s="1497">
        <v>60.9209931149</v>
      </c>
      <c r="N125" s="1497">
        <v>105.22799999999999</v>
      </c>
      <c r="O125" s="1497">
        <v>17.050311000000001</v>
      </c>
      <c r="P125" s="1497">
        <v>1034.8589999999999</v>
      </c>
      <c r="Q125" s="1504">
        <v>89.675095082699997</v>
      </c>
      <c r="R125" s="1504">
        <v>44.276000000000003</v>
      </c>
      <c r="S125" s="1506">
        <v>1.3271660000000001</v>
      </c>
      <c r="T125" s="1504">
        <v>2140.2260000000001</v>
      </c>
      <c r="U125" s="1504">
        <v>106.83484859719999</v>
      </c>
      <c r="V125" s="1504"/>
      <c r="W125" s="1504"/>
      <c r="X125" s="1492">
        <v>731.18499999999995</v>
      </c>
      <c r="Y125" s="1492">
        <v>97.959450149999995</v>
      </c>
      <c r="Z125" s="1492">
        <v>46.552999999999997</v>
      </c>
      <c r="AA125" s="1492">
        <v>17.66054038</v>
      </c>
      <c r="AB125" s="1492">
        <v>684.63199999999995</v>
      </c>
      <c r="AC125" s="1492">
        <v>80.298909769999995</v>
      </c>
      <c r="AD125" s="1497">
        <v>9036.9760000000006</v>
      </c>
      <c r="AE125" s="1497">
        <v>1380.7979559247999</v>
      </c>
      <c r="AF125" s="1497">
        <v>5859.0709999999999</v>
      </c>
      <c r="AG125" s="1497">
        <v>1127.4884654499999</v>
      </c>
      <c r="AH125" s="1497">
        <v>810.03399999999999</v>
      </c>
      <c r="AI125" s="1497">
        <v>115.11793933760001</v>
      </c>
      <c r="AJ125" s="1497">
        <v>35.454999999999998</v>
      </c>
      <c r="AK125" s="614">
        <v>0.93624399999999997</v>
      </c>
      <c r="AL125" s="1497">
        <v>1839.81</v>
      </c>
      <c r="AM125" s="1497">
        <v>78.768295667199993</v>
      </c>
      <c r="AN125" s="1497"/>
      <c r="AO125" s="1497"/>
      <c r="AP125" s="1497">
        <v>528.06100000000004</v>
      </c>
      <c r="AQ125" s="1497">
        <v>59.423255470000001</v>
      </c>
      <c r="AR125" s="1497">
        <v>33.241</v>
      </c>
      <c r="AS125" s="1497">
        <v>11.90568264</v>
      </c>
      <c r="AT125" s="1497">
        <v>494.82</v>
      </c>
      <c r="AU125" s="1497">
        <v>47.517572829999999</v>
      </c>
      <c r="AV125" s="1497">
        <v>1053.732</v>
      </c>
      <c r="AW125" s="1497">
        <v>161.91351276</v>
      </c>
      <c r="AX125" s="1497">
        <v>290.12</v>
      </c>
      <c r="AY125" s="1497">
        <v>59.832616289999997</v>
      </c>
      <c r="AZ125" s="1497">
        <v>260.072</v>
      </c>
      <c r="BA125" s="1497">
        <v>35.478148859999997</v>
      </c>
      <c r="BB125" s="1497">
        <v>8.8209999999999997</v>
      </c>
      <c r="BC125" s="614">
        <v>0.39092199999999999</v>
      </c>
      <c r="BD125" s="1497">
        <v>300.416</v>
      </c>
      <c r="BE125" s="1497">
        <v>28.06655293</v>
      </c>
      <c r="BF125" s="1497"/>
      <c r="BG125" s="1497"/>
      <c r="BH125" s="1497">
        <v>203.124</v>
      </c>
      <c r="BI125" s="1497">
        <v>38.536194680000001</v>
      </c>
      <c r="BJ125" s="1497">
        <v>13.311999999999999</v>
      </c>
      <c r="BK125" s="1497">
        <v>5.7548577400000003</v>
      </c>
      <c r="BL125" s="1497">
        <v>189.81200000000001</v>
      </c>
      <c r="BM125" s="1497">
        <v>32.781336940000003</v>
      </c>
    </row>
    <row r="126" spans="1:65">
      <c r="A126" s="409" t="s">
        <v>21</v>
      </c>
      <c r="B126" s="1504">
        <v>6116.8980000000001</v>
      </c>
      <c r="C126" s="1504">
        <v>380.851</v>
      </c>
      <c r="D126" s="1504">
        <v>2511.48</v>
      </c>
      <c r="E126" s="1504">
        <v>1912.5229999999999</v>
      </c>
      <c r="F126" s="1504">
        <v>938.05100000000004</v>
      </c>
      <c r="G126" s="1492">
        <v>754.84400000000005</v>
      </c>
      <c r="H126" s="1504">
        <v>9042.2150000000001</v>
      </c>
      <c r="I126" s="1504">
        <v>1391.4545231018001</v>
      </c>
      <c r="J126" s="1497">
        <v>5111.6689999999999</v>
      </c>
      <c r="K126" s="1492">
        <v>1011.2048344900001</v>
      </c>
      <c r="L126" s="1497">
        <v>31.635999999999999</v>
      </c>
      <c r="M126" s="1497">
        <v>72.064995836799994</v>
      </c>
      <c r="N126" s="1497">
        <v>102.709</v>
      </c>
      <c r="O126" s="1497">
        <v>17.595891000000002</v>
      </c>
      <c r="P126" s="1497">
        <v>1002.228</v>
      </c>
      <c r="Q126" s="1504">
        <v>83.620510154000002</v>
      </c>
      <c r="R126" s="1504">
        <v>48.015999999999998</v>
      </c>
      <c r="S126" s="1506">
        <v>1.5059100000000001</v>
      </c>
      <c r="T126" s="1504">
        <v>2106.5740000000001</v>
      </c>
      <c r="U126" s="1504">
        <v>123.387781191</v>
      </c>
      <c r="V126" s="1504"/>
      <c r="W126" s="1504"/>
      <c r="X126" s="1492">
        <v>687.399</v>
      </c>
      <c r="Y126" s="1492">
        <v>83.580510430000004</v>
      </c>
      <c r="Z126" s="1492">
        <v>43.548999999999999</v>
      </c>
      <c r="AA126" s="1492">
        <v>16.482983230000002</v>
      </c>
      <c r="AB126" s="1492">
        <v>643.85</v>
      </c>
      <c r="AC126" s="1492">
        <v>67.097527200000002</v>
      </c>
      <c r="AD126" s="1497">
        <v>7949.8130000000001</v>
      </c>
      <c r="AE126" s="1497">
        <v>1230.0955685517999</v>
      </c>
      <c r="AF126" s="1497">
        <v>4879.049</v>
      </c>
      <c r="AG126" s="1497">
        <v>960.75598794999996</v>
      </c>
      <c r="AH126" s="1497">
        <v>768.78899999999999</v>
      </c>
      <c r="AI126" s="1497">
        <v>120.0589435408</v>
      </c>
      <c r="AJ126" s="1497">
        <v>39.045000000000002</v>
      </c>
      <c r="AK126" s="614">
        <v>1.090873</v>
      </c>
      <c r="AL126" s="1497">
        <v>1794.8979999999999</v>
      </c>
      <c r="AM126" s="1497">
        <v>94.640909340999997</v>
      </c>
      <c r="AN126" s="1497"/>
      <c r="AO126" s="1497"/>
      <c r="AP126" s="1497">
        <v>507.077</v>
      </c>
      <c r="AQ126" s="1497">
        <v>54.639727720000003</v>
      </c>
      <c r="AR126" s="1497">
        <v>31.754999999999999</v>
      </c>
      <c r="AS126" s="1497">
        <v>11.47164926</v>
      </c>
      <c r="AT126" s="1497">
        <v>475.322</v>
      </c>
      <c r="AU126" s="1497">
        <v>43.168078460000004</v>
      </c>
      <c r="AV126" s="1497">
        <v>1092.402</v>
      </c>
      <c r="AW126" s="1497">
        <v>161.35895454999999</v>
      </c>
      <c r="AX126" s="1497">
        <v>335.32900000000001</v>
      </c>
      <c r="AY126" s="1497">
        <v>68.04473754</v>
      </c>
      <c r="AZ126" s="1497">
        <v>265.07499999999999</v>
      </c>
      <c r="BA126" s="1497">
        <v>35.626562450000002</v>
      </c>
      <c r="BB126" s="1497">
        <v>8.9710000000000001</v>
      </c>
      <c r="BC126" s="614">
        <v>0.41503699999999999</v>
      </c>
      <c r="BD126" s="1497">
        <v>311.67599999999999</v>
      </c>
      <c r="BE126" s="1497">
        <v>28.746871850000002</v>
      </c>
      <c r="BF126" s="1497"/>
      <c r="BG126" s="1497"/>
      <c r="BH126" s="1497">
        <v>180.322</v>
      </c>
      <c r="BI126" s="1497">
        <v>28.940782710000001</v>
      </c>
      <c r="BJ126" s="1497">
        <v>11.794</v>
      </c>
      <c r="BK126" s="1497">
        <v>5.0113339699999999</v>
      </c>
      <c r="BL126" s="1497">
        <v>168.52799999999999</v>
      </c>
      <c r="BM126" s="1497">
        <v>23.929448740000002</v>
      </c>
    </row>
    <row r="127" spans="1:65">
      <c r="A127" s="409" t="s">
        <v>22</v>
      </c>
      <c r="B127" s="1504">
        <v>6174.8909999999996</v>
      </c>
      <c r="C127" s="1504">
        <v>398.53199999999998</v>
      </c>
      <c r="D127" s="1504">
        <v>2513.223</v>
      </c>
      <c r="E127" s="1504">
        <v>1900.6020000000001</v>
      </c>
      <c r="F127" s="1504">
        <v>977.51499999999999</v>
      </c>
      <c r="G127" s="1492">
        <v>783.55100000000004</v>
      </c>
      <c r="H127" s="1504">
        <v>9991.2060000000001</v>
      </c>
      <c r="I127" s="1504">
        <v>1514.4655764237</v>
      </c>
      <c r="J127" s="1497">
        <v>5661.4679999999998</v>
      </c>
      <c r="K127" s="1492">
        <v>1110.2853761399999</v>
      </c>
      <c r="L127" s="1497">
        <v>31.745000000000001</v>
      </c>
      <c r="M127" s="1497">
        <v>66.6715366488</v>
      </c>
      <c r="N127" s="1497">
        <v>116.727</v>
      </c>
      <c r="O127" s="1497">
        <v>18.351497999999999</v>
      </c>
      <c r="P127" s="1497">
        <v>1192.951</v>
      </c>
      <c r="Q127" s="1504">
        <v>91.730972502900002</v>
      </c>
      <c r="R127" s="1504">
        <v>60.732999999999997</v>
      </c>
      <c r="S127" s="1506">
        <v>1.71526983</v>
      </c>
      <c r="T127" s="1504">
        <v>2250.4140000000002</v>
      </c>
      <c r="U127" s="1504">
        <v>132.566158742</v>
      </c>
      <c r="V127" s="1504"/>
      <c r="W127" s="1504"/>
      <c r="X127" s="1492">
        <v>737.90099999999995</v>
      </c>
      <c r="Y127" s="1492">
        <v>94.860034389999996</v>
      </c>
      <c r="Z127" s="1492">
        <v>49.545999999999999</v>
      </c>
      <c r="AA127" s="1492">
        <v>18.38653493</v>
      </c>
      <c r="AB127" s="1492">
        <v>688.35500000000002</v>
      </c>
      <c r="AC127" s="1492">
        <v>76.473499460000014</v>
      </c>
      <c r="AD127" s="1497">
        <v>8786.2790000000005</v>
      </c>
      <c r="AE127" s="1497">
        <v>1344.1246877025001</v>
      </c>
      <c r="AF127" s="1497">
        <v>5415.1959999999999</v>
      </c>
      <c r="AG127" s="1497">
        <v>1058.4276867200001</v>
      </c>
      <c r="AH127" s="1497">
        <v>907.02800000000002</v>
      </c>
      <c r="AI127" s="1497">
        <v>124.23439119050001</v>
      </c>
      <c r="AJ127" s="1497">
        <v>49.279000000000003</v>
      </c>
      <c r="AK127" s="614">
        <v>1.18975673</v>
      </c>
      <c r="AL127" s="1497">
        <v>1926.778</v>
      </c>
      <c r="AM127" s="1497">
        <v>100.090134162</v>
      </c>
      <c r="AN127" s="1497"/>
      <c r="AO127" s="1497"/>
      <c r="AP127" s="1497">
        <v>537.27700000000004</v>
      </c>
      <c r="AQ127" s="1497">
        <v>61.372475629999997</v>
      </c>
      <c r="AR127" s="1497">
        <v>35.677</v>
      </c>
      <c r="AS127" s="1497">
        <v>12.843694259999999</v>
      </c>
      <c r="AT127" s="1497">
        <v>501.6</v>
      </c>
      <c r="AU127" s="1497">
        <v>48.528781370000004</v>
      </c>
      <c r="AV127" s="1497">
        <v>1204.9269999999999</v>
      </c>
      <c r="AW127" s="1497">
        <v>170.3408887212</v>
      </c>
      <c r="AX127" s="1497">
        <v>362.99900000000002</v>
      </c>
      <c r="AY127" s="1497">
        <v>70.209187420000006</v>
      </c>
      <c r="AZ127" s="1497">
        <v>317.66800000000001</v>
      </c>
      <c r="BA127" s="1497">
        <v>34.168117961199997</v>
      </c>
      <c r="BB127" s="1497">
        <v>11.454000000000001</v>
      </c>
      <c r="BC127" s="614">
        <v>0.52551309999999996</v>
      </c>
      <c r="BD127" s="1497">
        <v>323.63600000000002</v>
      </c>
      <c r="BE127" s="1497">
        <v>32.476024580000001</v>
      </c>
      <c r="BF127" s="1497"/>
      <c r="BG127" s="1497"/>
      <c r="BH127" s="1497">
        <v>200.624</v>
      </c>
      <c r="BI127" s="1497">
        <v>33.487558759999999</v>
      </c>
      <c r="BJ127" s="1497">
        <v>13.869</v>
      </c>
      <c r="BK127" s="1497">
        <v>5.5428406700000004</v>
      </c>
      <c r="BL127" s="1497">
        <v>186.755</v>
      </c>
      <c r="BM127" s="1497">
        <v>27.944718089999999</v>
      </c>
    </row>
    <row r="128" spans="1:65">
      <c r="A128" s="409" t="s">
        <v>23</v>
      </c>
      <c r="B128" s="1504">
        <v>6218.3230000000003</v>
      </c>
      <c r="C128" s="1504">
        <v>409.03199999999998</v>
      </c>
      <c r="D128" s="1504">
        <v>2520.848</v>
      </c>
      <c r="E128" s="1504">
        <v>1899.817</v>
      </c>
      <c r="F128" s="1504">
        <v>998.22400000000005</v>
      </c>
      <c r="G128" s="1492">
        <v>799.43399999999997</v>
      </c>
      <c r="H128" s="1504">
        <v>9529.4500000000007</v>
      </c>
      <c r="I128" s="1504">
        <v>1437.3650918444</v>
      </c>
      <c r="J128" s="1497">
        <v>5335.0690000000004</v>
      </c>
      <c r="K128" s="1492">
        <v>1055.4949325</v>
      </c>
      <c r="L128" s="1497">
        <v>32.442</v>
      </c>
      <c r="M128" s="1497">
        <v>61.522160419999999</v>
      </c>
      <c r="N128" s="1497">
        <v>108.80500000000001</v>
      </c>
      <c r="O128" s="1497">
        <v>17.043253</v>
      </c>
      <c r="P128" s="1497">
        <v>1177.0909999999999</v>
      </c>
      <c r="Q128" s="1504">
        <v>85.539243772999995</v>
      </c>
      <c r="R128" s="1504">
        <v>59.558</v>
      </c>
      <c r="S128" s="1506">
        <v>1.60352805</v>
      </c>
      <c r="T128" s="1504">
        <v>2180.377</v>
      </c>
      <c r="U128" s="1504">
        <v>126.7775011814</v>
      </c>
      <c r="V128" s="1504"/>
      <c r="W128" s="1504"/>
      <c r="X128" s="1492">
        <v>695.66600000000005</v>
      </c>
      <c r="Y128" s="1492">
        <v>90.988000970000002</v>
      </c>
      <c r="Z128" s="1492">
        <v>43.23</v>
      </c>
      <c r="AA128" s="1492">
        <v>16.334699839999999</v>
      </c>
      <c r="AB128" s="1492">
        <v>652.43600000000004</v>
      </c>
      <c r="AC128" s="1492">
        <v>74.653301129999988</v>
      </c>
      <c r="AD128" s="1497">
        <v>8369.6869999999999</v>
      </c>
      <c r="AE128" s="1497">
        <v>1272.5583930253999</v>
      </c>
      <c r="AF128" s="1497">
        <v>5092.4059999999999</v>
      </c>
      <c r="AG128" s="1497">
        <v>1004.83306109</v>
      </c>
      <c r="AH128" s="1497">
        <v>896.14300000000003</v>
      </c>
      <c r="AI128" s="1497">
        <v>114.228256774</v>
      </c>
      <c r="AJ128" s="1497">
        <v>48.447000000000003</v>
      </c>
      <c r="AK128" s="614">
        <v>1.1521838500000001</v>
      </c>
      <c r="AL128" s="1497">
        <v>1873.3219999999999</v>
      </c>
      <c r="AM128" s="1497">
        <v>95.027557631400001</v>
      </c>
      <c r="AN128" s="1497"/>
      <c r="AO128" s="1497"/>
      <c r="AP128" s="1497">
        <v>507.81599999999997</v>
      </c>
      <c r="AQ128" s="1497">
        <v>58.469517529999997</v>
      </c>
      <c r="AR128" s="1497">
        <v>30.920999999999999</v>
      </c>
      <c r="AS128" s="1497">
        <v>11.01470829</v>
      </c>
      <c r="AT128" s="1497">
        <v>476.89499999999998</v>
      </c>
      <c r="AU128" s="1497">
        <v>47.454809239999996</v>
      </c>
      <c r="AV128" s="1497">
        <v>1159.7629999999999</v>
      </c>
      <c r="AW128" s="1497">
        <v>164.80669881899999</v>
      </c>
      <c r="AX128" s="1497">
        <v>351.46800000000002</v>
      </c>
      <c r="AY128" s="1497">
        <v>67.705124409999996</v>
      </c>
      <c r="AZ128" s="1497">
        <v>313.39</v>
      </c>
      <c r="BA128" s="1497">
        <v>32.833147418999999</v>
      </c>
      <c r="BB128" s="1497">
        <v>11.111000000000001</v>
      </c>
      <c r="BC128" s="614">
        <v>0.45134420000000003</v>
      </c>
      <c r="BD128" s="1497">
        <v>307.05500000000001</v>
      </c>
      <c r="BE128" s="1497">
        <v>31.749943550000001</v>
      </c>
      <c r="BF128" s="1497"/>
      <c r="BG128" s="1497"/>
      <c r="BH128" s="1497">
        <v>187.85</v>
      </c>
      <c r="BI128" s="1497">
        <v>32.518483439999997</v>
      </c>
      <c r="BJ128" s="1497">
        <v>12.308999999999999</v>
      </c>
      <c r="BK128" s="1497">
        <v>5.3199915500000001</v>
      </c>
      <c r="BL128" s="1497">
        <v>175.541</v>
      </c>
      <c r="BM128" s="1497">
        <v>27.19849189</v>
      </c>
    </row>
    <row r="129" spans="1:65">
      <c r="A129" s="409" t="s">
        <v>24</v>
      </c>
      <c r="B129" s="1504">
        <v>6289.0839999999998</v>
      </c>
      <c r="C129" s="1504">
        <v>436.19799999999998</v>
      </c>
      <c r="D129" s="1504">
        <v>2521.4029999999998</v>
      </c>
      <c r="E129" s="1504">
        <v>1929.5940000000001</v>
      </c>
      <c r="F129" s="1504">
        <v>1015.572</v>
      </c>
      <c r="G129" s="1492">
        <v>822.51499999999999</v>
      </c>
      <c r="H129" s="1504">
        <v>10486.421</v>
      </c>
      <c r="I129" s="1504">
        <v>1667.7806076464001</v>
      </c>
      <c r="J129" s="1497">
        <v>5776.5190000000002</v>
      </c>
      <c r="K129" s="1492">
        <v>1210.35304071</v>
      </c>
      <c r="L129" s="1497">
        <v>31.57</v>
      </c>
      <c r="M129" s="1497">
        <v>66.634042846400007</v>
      </c>
      <c r="N129" s="1497">
        <v>120.842</v>
      </c>
      <c r="O129" s="1497">
        <v>19.64424034</v>
      </c>
      <c r="P129" s="1497">
        <v>1328.4760000000001</v>
      </c>
      <c r="Q129" s="1504">
        <v>100.01048146799999</v>
      </c>
      <c r="R129" s="1504">
        <v>72.138000000000005</v>
      </c>
      <c r="S129" s="1506">
        <v>1.9641461299999998</v>
      </c>
      <c r="T129" s="1504">
        <v>2447.6390000000001</v>
      </c>
      <c r="U129" s="1504">
        <v>155.296983552</v>
      </c>
      <c r="V129" s="1504"/>
      <c r="W129" s="1504"/>
      <c r="X129" s="1492">
        <v>781.375</v>
      </c>
      <c r="Y129" s="1492">
        <v>115.84181873</v>
      </c>
      <c r="Z129" s="1492">
        <v>42.353999999999999</v>
      </c>
      <c r="AA129" s="1492">
        <v>15.872672919999999</v>
      </c>
      <c r="AB129" s="1492">
        <v>739.02099999999996</v>
      </c>
      <c r="AC129" s="1492">
        <v>99.969145810000001</v>
      </c>
      <c r="AD129" s="1497">
        <v>9202.893</v>
      </c>
      <c r="AE129" s="1497">
        <v>1470.1975376384</v>
      </c>
      <c r="AF129" s="1497">
        <v>5517.277</v>
      </c>
      <c r="AG129" s="1497">
        <v>1153.7622680100001</v>
      </c>
      <c r="AH129" s="1497">
        <v>1012.962</v>
      </c>
      <c r="AI129" s="1497">
        <v>128.8026833424</v>
      </c>
      <c r="AJ129" s="1497">
        <v>59.744</v>
      </c>
      <c r="AK129" s="614">
        <v>1.4153429199999998</v>
      </c>
      <c r="AL129" s="1497">
        <v>2098.1999999999998</v>
      </c>
      <c r="AM129" s="1497">
        <v>110.955255596</v>
      </c>
      <c r="AN129" s="1497"/>
      <c r="AO129" s="1497"/>
      <c r="AP129" s="1497">
        <v>574.45399999999995</v>
      </c>
      <c r="AQ129" s="1497">
        <v>76.677330690000005</v>
      </c>
      <c r="AR129" s="1497">
        <v>30.951000000000001</v>
      </c>
      <c r="AS129" s="1497">
        <v>10.99333923</v>
      </c>
      <c r="AT129" s="1497">
        <v>543.50300000000004</v>
      </c>
      <c r="AU129" s="1497">
        <v>65.683991460000001</v>
      </c>
      <c r="AV129" s="1497">
        <v>1283.528</v>
      </c>
      <c r="AW129" s="1497">
        <v>197.58307000799999</v>
      </c>
      <c r="AX129" s="1497">
        <v>380.084</v>
      </c>
      <c r="AY129" s="1497">
        <v>76.235013039999998</v>
      </c>
      <c r="AZ129" s="1497">
        <v>347.084</v>
      </c>
      <c r="BA129" s="1497">
        <v>37.841840972</v>
      </c>
      <c r="BB129" s="1497">
        <v>12.394</v>
      </c>
      <c r="BC129" s="614">
        <v>0.54880320999999999</v>
      </c>
      <c r="BD129" s="1497">
        <v>349.43900000000002</v>
      </c>
      <c r="BE129" s="1497">
        <v>44.341727956</v>
      </c>
      <c r="BF129" s="1497"/>
      <c r="BG129" s="1497"/>
      <c r="BH129" s="1497">
        <v>206.92099999999999</v>
      </c>
      <c r="BI129" s="1497">
        <v>39.164488040000002</v>
      </c>
      <c r="BJ129" s="1497">
        <v>11.403</v>
      </c>
      <c r="BK129" s="1497">
        <v>4.8793336900000002</v>
      </c>
      <c r="BL129" s="1497">
        <v>195.518</v>
      </c>
      <c r="BM129" s="1497">
        <v>34.285154349999999</v>
      </c>
    </row>
    <row r="130" spans="1:65">
      <c r="A130" s="409" t="s">
        <v>25</v>
      </c>
      <c r="B130" s="1504">
        <v>6339.0479999999998</v>
      </c>
      <c r="C130" s="1504">
        <v>475.584</v>
      </c>
      <c r="D130" s="1504">
        <v>2504.8290000000002</v>
      </c>
      <c r="E130" s="1504">
        <v>1950.5840000000001</v>
      </c>
      <c r="F130" s="1504">
        <v>1047.7470000000001</v>
      </c>
      <c r="G130" s="1492">
        <v>835.88800000000003</v>
      </c>
      <c r="H130" s="1504">
        <v>9928.5580000000009</v>
      </c>
      <c r="I130" s="1504">
        <v>1547.4760278619999</v>
      </c>
      <c r="J130" s="1497">
        <v>5317.2839999999997</v>
      </c>
      <c r="K130" s="1492">
        <v>1068.2135549100001</v>
      </c>
      <c r="L130" s="1497">
        <v>31.341000000000001</v>
      </c>
      <c r="M130" s="1497">
        <v>75.345752676100005</v>
      </c>
      <c r="N130" s="1497">
        <v>119.70699999999999</v>
      </c>
      <c r="O130" s="1497">
        <v>19.718188000000001</v>
      </c>
      <c r="P130" s="1497">
        <v>1277.191</v>
      </c>
      <c r="Q130" s="1504">
        <v>95.562809027699998</v>
      </c>
      <c r="R130" s="1504">
        <v>66.509</v>
      </c>
      <c r="S130" s="1506">
        <v>1.7756633100000001</v>
      </c>
      <c r="T130" s="1504">
        <v>2294.9369999999999</v>
      </c>
      <c r="U130" s="1504">
        <v>157.3279477582</v>
      </c>
      <c r="V130" s="1504"/>
      <c r="W130" s="1504"/>
      <c r="X130" s="1492">
        <v>888.09799999999996</v>
      </c>
      <c r="Y130" s="1492">
        <v>131.30777549000001</v>
      </c>
      <c r="Z130" s="1492">
        <v>47.945999999999998</v>
      </c>
      <c r="AA130" s="1492">
        <v>17.54844473</v>
      </c>
      <c r="AB130" s="1492">
        <v>840.15200000000004</v>
      </c>
      <c r="AC130" s="1492">
        <v>113.75933076</v>
      </c>
      <c r="AD130" s="1497">
        <v>8568.5519999999997</v>
      </c>
      <c r="AE130" s="1497">
        <v>1334.8567996419999</v>
      </c>
      <c r="AF130" s="1497">
        <v>5016.8329999999996</v>
      </c>
      <c r="AG130" s="1497">
        <v>1003.1768399600001</v>
      </c>
      <c r="AH130" s="1497">
        <v>950.18100000000004</v>
      </c>
      <c r="AI130" s="1497">
        <v>131.48051346380001</v>
      </c>
      <c r="AJ130" s="1497">
        <v>53.031999999999996</v>
      </c>
      <c r="AK130" s="614">
        <v>1.2350983200000001</v>
      </c>
      <c r="AL130" s="1497">
        <v>1954.116</v>
      </c>
      <c r="AM130" s="1497">
        <v>114.3125287182</v>
      </c>
      <c r="AN130" s="1497"/>
      <c r="AO130" s="1497"/>
      <c r="AP130" s="1497">
        <v>647.42200000000003</v>
      </c>
      <c r="AQ130" s="1497">
        <v>85.886917499999996</v>
      </c>
      <c r="AR130" s="1497">
        <v>35.216999999999999</v>
      </c>
      <c r="AS130" s="1497">
        <v>11.986780550000001</v>
      </c>
      <c r="AT130" s="1497">
        <v>612.20500000000004</v>
      </c>
      <c r="AU130" s="1497">
        <v>73.900136950000004</v>
      </c>
      <c r="AV130" s="1497">
        <v>1360.0060000000001</v>
      </c>
      <c r="AW130" s="1497">
        <v>212.61922822</v>
      </c>
      <c r="AX130" s="1497">
        <v>420.15800000000002</v>
      </c>
      <c r="AY130" s="1497">
        <v>84.754902950000002</v>
      </c>
      <c r="AZ130" s="1497">
        <v>358.351</v>
      </c>
      <c r="BA130" s="1497">
        <v>39.428048240000003</v>
      </c>
      <c r="BB130" s="1497">
        <v>13.477</v>
      </c>
      <c r="BC130" s="614">
        <v>0.54056499000000002</v>
      </c>
      <c r="BD130" s="1497">
        <v>340.82100000000003</v>
      </c>
      <c r="BE130" s="1497">
        <v>43.015419039999998</v>
      </c>
      <c r="BF130" s="1497"/>
      <c r="BG130" s="1497"/>
      <c r="BH130" s="1497">
        <v>240.67599999999999</v>
      </c>
      <c r="BI130" s="1497">
        <v>45.420857990000002</v>
      </c>
      <c r="BJ130" s="1497">
        <v>12.728999999999999</v>
      </c>
      <c r="BK130" s="1497">
        <v>5.5616641799999993</v>
      </c>
      <c r="BL130" s="1497">
        <v>227.947</v>
      </c>
      <c r="BM130" s="1497">
        <v>39.859193810000001</v>
      </c>
    </row>
    <row r="131" spans="1:65">
      <c r="A131" s="409" t="s">
        <v>26</v>
      </c>
      <c r="B131" s="1504">
        <v>6476.0590000000002</v>
      </c>
      <c r="C131" s="1504">
        <v>513.47799999999995</v>
      </c>
      <c r="D131" s="1504">
        <v>2547.2449999999999</v>
      </c>
      <c r="E131" s="1504">
        <v>2010.788</v>
      </c>
      <c r="F131" s="1504">
        <v>1134.856</v>
      </c>
      <c r="G131" s="1492">
        <v>783.17</v>
      </c>
      <c r="H131" s="1504">
        <v>9636.375</v>
      </c>
      <c r="I131" s="1504">
        <v>1439.5456659202</v>
      </c>
      <c r="J131" s="1497">
        <v>5387.0010000000002</v>
      </c>
      <c r="K131" s="1492">
        <v>1034.5232342100001</v>
      </c>
      <c r="L131" s="1497">
        <v>23.088000000000001</v>
      </c>
      <c r="M131" s="1497">
        <v>68.713806570000003</v>
      </c>
      <c r="N131" s="1497">
        <v>124.367</v>
      </c>
      <c r="O131" s="1497">
        <v>12.043042</v>
      </c>
      <c r="P131" s="1497">
        <v>1226.5250000000001</v>
      </c>
      <c r="Q131" s="1504">
        <v>89.547614936100004</v>
      </c>
      <c r="R131" s="1504">
        <v>79.771000000000001</v>
      </c>
      <c r="S131" s="1506">
        <v>1.96869041</v>
      </c>
      <c r="T131" s="1504">
        <v>2090.895</v>
      </c>
      <c r="U131" s="1504">
        <v>137.71113338410001</v>
      </c>
      <c r="V131" s="1504"/>
      <c r="W131" s="1504"/>
      <c r="X131" s="1492">
        <v>784.49900000000002</v>
      </c>
      <c r="Y131" s="1492">
        <v>97.006834819999995</v>
      </c>
      <c r="Z131" s="1492">
        <v>43.287999999999997</v>
      </c>
      <c r="AA131" s="1492">
        <v>15.864915310000001</v>
      </c>
      <c r="AB131" s="1492">
        <v>741.21100000000001</v>
      </c>
      <c r="AC131" s="1492">
        <v>81.141919509999994</v>
      </c>
      <c r="AD131" s="1497">
        <v>8597.8610000000008</v>
      </c>
      <c r="AE131" s="1497">
        <v>1304.5466832602001</v>
      </c>
      <c r="AF131" s="1497">
        <v>5193.0910000000003</v>
      </c>
      <c r="AG131" s="1497">
        <v>994.13284422000004</v>
      </c>
      <c r="AH131" s="1497">
        <v>931.24800000000005</v>
      </c>
      <c r="AI131" s="1497">
        <v>125.4516804661</v>
      </c>
      <c r="AJ131" s="1497">
        <v>65.317999999999998</v>
      </c>
      <c r="AK131" s="614">
        <v>1.4103654999999999</v>
      </c>
      <c r="AL131" s="1497">
        <v>1834.7529999999999</v>
      </c>
      <c r="AM131" s="1497">
        <v>109.7246049141</v>
      </c>
      <c r="AN131" s="1497"/>
      <c r="AO131" s="1497"/>
      <c r="AP131" s="1497">
        <v>638.76900000000001</v>
      </c>
      <c r="AQ131" s="1497">
        <v>75.237553660000003</v>
      </c>
      <c r="AR131" s="1497">
        <v>36.682000000000002</v>
      </c>
      <c r="AS131" s="1497">
        <v>13.38771081</v>
      </c>
      <c r="AT131" s="1497">
        <v>602.08699999999999</v>
      </c>
      <c r="AU131" s="1497">
        <v>61.849842849999995</v>
      </c>
      <c r="AV131" s="1497">
        <v>1038.5139999999999</v>
      </c>
      <c r="AW131" s="1497">
        <v>134.99898266</v>
      </c>
      <c r="AX131" s="1497">
        <v>318.27699999999999</v>
      </c>
      <c r="AY131" s="1497">
        <v>52.433431990000003</v>
      </c>
      <c r="AZ131" s="1497">
        <v>318.36500000000001</v>
      </c>
      <c r="BA131" s="1497">
        <v>32.809741039999999</v>
      </c>
      <c r="BB131" s="1497">
        <v>14.452999999999999</v>
      </c>
      <c r="BC131" s="614">
        <v>0.55832491000000006</v>
      </c>
      <c r="BD131" s="1497">
        <v>256.142</v>
      </c>
      <c r="BE131" s="1497">
        <v>27.98652847</v>
      </c>
      <c r="BF131" s="1497"/>
      <c r="BG131" s="1497"/>
      <c r="BH131" s="1497">
        <v>145.72999999999999</v>
      </c>
      <c r="BI131" s="1497">
        <v>21.769281159999998</v>
      </c>
      <c r="BJ131" s="1497">
        <v>6.6059999999999999</v>
      </c>
      <c r="BK131" s="1497">
        <v>2.4772045</v>
      </c>
      <c r="BL131" s="1497">
        <v>139.124</v>
      </c>
      <c r="BM131" s="1497">
        <v>19.292076659999999</v>
      </c>
    </row>
    <row r="132" spans="1:65">
      <c r="A132" s="409" t="s">
        <v>27</v>
      </c>
      <c r="B132" s="1504">
        <v>6562.848</v>
      </c>
      <c r="C132" s="1504">
        <v>529.74400000000003</v>
      </c>
      <c r="D132" s="1504">
        <v>2545.3809999999999</v>
      </c>
      <c r="E132" s="1504">
        <v>2050.386</v>
      </c>
      <c r="F132" s="1504">
        <v>1163.9259999999999</v>
      </c>
      <c r="G132" s="1492">
        <v>803.15499999999997</v>
      </c>
      <c r="H132" s="1504">
        <v>10895.864</v>
      </c>
      <c r="I132" s="1504">
        <v>1622.9343211574001</v>
      </c>
      <c r="J132" s="1497">
        <v>5839.3029999999999</v>
      </c>
      <c r="K132" s="1492">
        <v>1136.4412956900001</v>
      </c>
      <c r="L132" s="1497">
        <v>23.876000000000001</v>
      </c>
      <c r="M132" s="1497">
        <v>74.546484439300002</v>
      </c>
      <c r="N132" s="1497">
        <v>146.40299999999999</v>
      </c>
      <c r="O132" s="1497">
        <v>20.608124</v>
      </c>
      <c r="P132" s="1497">
        <v>1501.7</v>
      </c>
      <c r="Q132" s="1504">
        <v>109.6390294368</v>
      </c>
      <c r="R132" s="1504">
        <v>122.828</v>
      </c>
      <c r="S132" s="1506">
        <v>3.1476221099999999</v>
      </c>
      <c r="T132" s="1504">
        <v>2408.5349999999999</v>
      </c>
      <c r="U132" s="1504">
        <v>173.70501668130001</v>
      </c>
      <c r="V132" s="1504"/>
      <c r="W132" s="1504"/>
      <c r="X132" s="1492">
        <v>976.04700000000003</v>
      </c>
      <c r="Y132" s="1492">
        <v>107.99437091</v>
      </c>
      <c r="Z132" s="1492">
        <v>57.023000000000003</v>
      </c>
      <c r="AA132" s="1492">
        <v>19.431121530000002</v>
      </c>
      <c r="AB132" s="1492">
        <v>919.024</v>
      </c>
      <c r="AC132" s="1492">
        <v>88.563249380000002</v>
      </c>
      <c r="AD132" s="1497">
        <v>9730.6489999999994</v>
      </c>
      <c r="AE132" s="1497">
        <v>1484.4343069469001</v>
      </c>
      <c r="AF132" s="1497">
        <v>5653.9709999999995</v>
      </c>
      <c r="AG132" s="1497">
        <v>1104.04442868</v>
      </c>
      <c r="AH132" s="1497">
        <v>1148.7629999999999</v>
      </c>
      <c r="AI132" s="1497">
        <v>152.90376358610001</v>
      </c>
      <c r="AJ132" s="1497">
        <v>103.038</v>
      </c>
      <c r="AK132" s="614">
        <v>2.4759246400000001</v>
      </c>
      <c r="AL132" s="1497">
        <v>2119.0030000000002</v>
      </c>
      <c r="AM132" s="1497">
        <v>141.9531589108</v>
      </c>
      <c r="AN132" s="1497"/>
      <c r="AO132" s="1497"/>
      <c r="AP132" s="1497">
        <v>808.91200000000003</v>
      </c>
      <c r="AQ132" s="1497">
        <v>85.532955770000001</v>
      </c>
      <c r="AR132" s="1497">
        <v>49.148000000000003</v>
      </c>
      <c r="AS132" s="1497">
        <v>16.90463523</v>
      </c>
      <c r="AT132" s="1497">
        <v>759.76400000000001</v>
      </c>
      <c r="AU132" s="1497">
        <v>68.62832053999999</v>
      </c>
      <c r="AV132" s="1497">
        <v>1165.2149999999999</v>
      </c>
      <c r="AW132" s="1497">
        <v>138.50001421050001</v>
      </c>
      <c r="AX132" s="1497">
        <v>331.73500000000001</v>
      </c>
      <c r="AY132" s="1497">
        <v>53.004991009999998</v>
      </c>
      <c r="AZ132" s="1497">
        <v>376.81299999999999</v>
      </c>
      <c r="BA132" s="1497">
        <v>31.281750290000002</v>
      </c>
      <c r="BB132" s="1497">
        <v>19.79</v>
      </c>
      <c r="BC132" s="614">
        <v>0.67169747000000002</v>
      </c>
      <c r="BD132" s="1497">
        <v>289.53199999999998</v>
      </c>
      <c r="BE132" s="1497">
        <v>31.751857770499999</v>
      </c>
      <c r="BF132" s="1497"/>
      <c r="BG132" s="1497"/>
      <c r="BH132" s="1497">
        <v>167.13499999999999</v>
      </c>
      <c r="BI132" s="1497">
        <v>22.46141514</v>
      </c>
      <c r="BJ132" s="1497">
        <v>7.875</v>
      </c>
      <c r="BK132" s="1497">
        <v>2.5264862999999997</v>
      </c>
      <c r="BL132" s="1497">
        <v>159.26</v>
      </c>
      <c r="BM132" s="1497">
        <v>19.934928840000001</v>
      </c>
    </row>
    <row r="133" spans="1:65">
      <c r="A133" s="409" t="s">
        <v>28</v>
      </c>
      <c r="B133" s="1504">
        <v>6618.4849999999997</v>
      </c>
      <c r="C133" s="1504">
        <v>548.024</v>
      </c>
      <c r="D133" s="1504">
        <v>2531.7919999999999</v>
      </c>
      <c r="E133" s="1504">
        <v>2059.6320000000001</v>
      </c>
      <c r="F133" s="1504">
        <v>1192.1679999999999</v>
      </c>
      <c r="G133" s="1492">
        <v>834.89300000000003</v>
      </c>
      <c r="H133" s="1504">
        <v>10605.295</v>
      </c>
      <c r="I133" s="1504">
        <v>1593.7609340535</v>
      </c>
      <c r="J133" s="1497">
        <v>5658.1130000000003</v>
      </c>
      <c r="K133" s="1492">
        <v>1122.95866475</v>
      </c>
      <c r="L133" s="1497">
        <v>22.434000000000001</v>
      </c>
      <c r="M133" s="1497">
        <v>64.238800490900005</v>
      </c>
      <c r="N133" s="1497">
        <v>127.511</v>
      </c>
      <c r="O133" s="1497">
        <v>18.986373</v>
      </c>
      <c r="P133" s="1497">
        <v>1487.952</v>
      </c>
      <c r="Q133" s="1504">
        <v>104.5811356621</v>
      </c>
      <c r="R133" s="1504">
        <v>102.18600000000001</v>
      </c>
      <c r="S133" s="1506">
        <v>2.5935636800000004</v>
      </c>
      <c r="T133" s="1504">
        <v>2311.712</v>
      </c>
      <c r="U133" s="1504">
        <v>182.03190875050001</v>
      </c>
      <c r="V133" s="1504"/>
      <c r="W133" s="1504"/>
      <c r="X133" s="1492">
        <v>997.57299999999998</v>
      </c>
      <c r="Y133" s="1492">
        <v>100.9640514</v>
      </c>
      <c r="Z133" s="1492">
        <v>52.375</v>
      </c>
      <c r="AA133" s="1492">
        <v>17.71942331</v>
      </c>
      <c r="AB133" s="1492">
        <v>945.19799999999998</v>
      </c>
      <c r="AC133" s="1492">
        <v>83.244628090000006</v>
      </c>
      <c r="AD133" s="1497">
        <v>9396.7810000000009</v>
      </c>
      <c r="AE133" s="1497">
        <v>1454.8914102834999</v>
      </c>
      <c r="AF133" s="1497">
        <v>5436.25</v>
      </c>
      <c r="AG133" s="1497">
        <v>1085.6968297599999</v>
      </c>
      <c r="AH133" s="1497">
        <v>1116.8009999999999</v>
      </c>
      <c r="AI133" s="1497">
        <v>139.60006255299999</v>
      </c>
      <c r="AJ133" s="1497">
        <v>81.474000000000004</v>
      </c>
      <c r="AK133" s="614">
        <v>1.87700519</v>
      </c>
      <c r="AL133" s="1497">
        <v>2027.6949999999999</v>
      </c>
      <c r="AM133" s="1497">
        <v>150.45056568050001</v>
      </c>
      <c r="AN133" s="1497"/>
      <c r="AO133" s="1497"/>
      <c r="AP133" s="1497">
        <v>816.03499999999997</v>
      </c>
      <c r="AQ133" s="1497">
        <v>79.143952290000001</v>
      </c>
      <c r="AR133" s="1497">
        <v>45.216999999999999</v>
      </c>
      <c r="AS133" s="1497">
        <v>15.32287436</v>
      </c>
      <c r="AT133" s="1497">
        <v>770.81799999999998</v>
      </c>
      <c r="AU133" s="1497">
        <v>63.821077930000008</v>
      </c>
      <c r="AV133" s="1497">
        <v>1208.5139999999999</v>
      </c>
      <c r="AW133" s="1497">
        <v>138.86952377</v>
      </c>
      <c r="AX133" s="1497">
        <v>349.37400000000002</v>
      </c>
      <c r="AY133" s="1497">
        <v>56.248207989999997</v>
      </c>
      <c r="AZ133" s="1497">
        <v>393.58499999999998</v>
      </c>
      <c r="BA133" s="1497">
        <v>29.2198736</v>
      </c>
      <c r="BB133" s="1497">
        <v>20.712</v>
      </c>
      <c r="BC133" s="614">
        <v>0.71655848999999994</v>
      </c>
      <c r="BD133" s="1497">
        <v>284.017</v>
      </c>
      <c r="BE133" s="1497">
        <v>31.581343069999999</v>
      </c>
      <c r="BF133" s="1497"/>
      <c r="BG133" s="1497"/>
      <c r="BH133" s="1497">
        <v>181.53800000000001</v>
      </c>
      <c r="BI133" s="1497">
        <v>21.820099110000001</v>
      </c>
      <c r="BJ133" s="1497">
        <v>7.1580000000000004</v>
      </c>
      <c r="BK133" s="1497">
        <v>2.3965489500000001</v>
      </c>
      <c r="BL133" s="1497">
        <v>174.38</v>
      </c>
      <c r="BM133" s="1497">
        <v>19.423550160000001</v>
      </c>
    </row>
    <row r="134" spans="1:65">
      <c r="A134" s="409" t="s">
        <v>29</v>
      </c>
      <c r="B134" s="1504">
        <v>6656.9430000000002</v>
      </c>
      <c r="C134" s="1504">
        <v>665.56</v>
      </c>
      <c r="D134" s="1504">
        <v>2522.2919999999999</v>
      </c>
      <c r="E134" s="1504">
        <v>2058.2930000000001</v>
      </c>
      <c r="F134" s="1504">
        <v>1216.6300000000001</v>
      </c>
      <c r="G134" s="1492">
        <v>859.72799999999995</v>
      </c>
      <c r="H134" s="1504">
        <v>11815.462</v>
      </c>
      <c r="I134" s="1504">
        <v>1878.3637492939999</v>
      </c>
      <c r="J134" s="1497">
        <v>6611.1930000000002</v>
      </c>
      <c r="K134" s="1492">
        <v>1370.0117603000001</v>
      </c>
      <c r="L134" s="1497">
        <v>28.396000000000001</v>
      </c>
      <c r="M134" s="1497">
        <v>90.154917097999999</v>
      </c>
      <c r="N134" s="1497">
        <v>122.86199999999999</v>
      </c>
      <c r="O134" s="1497">
        <v>19.626808</v>
      </c>
      <c r="P134" s="1497">
        <v>1696.087</v>
      </c>
      <c r="Q134" s="1504">
        <v>119.30242352720001</v>
      </c>
      <c r="R134" s="1504">
        <v>117.13800000000001</v>
      </c>
      <c r="S134" s="1506">
        <v>3.10917796000001</v>
      </c>
      <c r="T134" s="1504">
        <v>2454.5610000000001</v>
      </c>
      <c r="U134" s="1504">
        <v>188.14816241880001</v>
      </c>
      <c r="V134" s="1504"/>
      <c r="W134" s="1504"/>
      <c r="X134" s="1492">
        <v>902.36300000000006</v>
      </c>
      <c r="Y134" s="1492">
        <v>91.119677949999996</v>
      </c>
      <c r="Z134" s="1492">
        <v>51.11</v>
      </c>
      <c r="AA134" s="1492">
        <v>18.0709847</v>
      </c>
      <c r="AB134" s="1492">
        <v>851.25300000000004</v>
      </c>
      <c r="AC134" s="1492">
        <v>73.048693249999999</v>
      </c>
      <c r="AD134" s="1497">
        <v>10528.546</v>
      </c>
      <c r="AE134" s="1497">
        <v>1725.5043442251999</v>
      </c>
      <c r="AF134" s="1497">
        <v>6355.9030000000002</v>
      </c>
      <c r="AG134" s="1497">
        <v>1327.01236227</v>
      </c>
      <c r="AH134" s="1497">
        <v>1278.646</v>
      </c>
      <c r="AI134" s="1497">
        <v>171.7255425964</v>
      </c>
      <c r="AJ134" s="1497">
        <v>92.573999999999998</v>
      </c>
      <c r="AK134" s="614">
        <v>2.20844646000001</v>
      </c>
      <c r="AL134" s="1497">
        <v>2152.4580000000001</v>
      </c>
      <c r="AM134" s="1497">
        <v>154.86971126879999</v>
      </c>
      <c r="AN134" s="1497"/>
      <c r="AO134" s="1497"/>
      <c r="AP134" s="1497">
        <v>741.53899999999999</v>
      </c>
      <c r="AQ134" s="1497">
        <v>71.896728089999996</v>
      </c>
      <c r="AR134" s="1497">
        <v>44.439</v>
      </c>
      <c r="AS134" s="1497">
        <v>15.559100599999999</v>
      </c>
      <c r="AT134" s="1497">
        <v>697.1</v>
      </c>
      <c r="AU134" s="1497">
        <v>56.337627489999996</v>
      </c>
      <c r="AV134" s="1497">
        <v>1286.9159999999999</v>
      </c>
      <c r="AW134" s="1497">
        <v>152.85940506879999</v>
      </c>
      <c r="AX134" s="1497">
        <v>378.15199999999999</v>
      </c>
      <c r="AY134" s="1497">
        <v>62.626206029999999</v>
      </c>
      <c r="AZ134" s="1497">
        <v>445.83699999999999</v>
      </c>
      <c r="BA134" s="1497">
        <v>37.7317980288</v>
      </c>
      <c r="BB134" s="1497">
        <v>24.564</v>
      </c>
      <c r="BC134" s="614">
        <v>0.90073150000000002</v>
      </c>
      <c r="BD134" s="1497">
        <v>302.10300000000001</v>
      </c>
      <c r="BE134" s="1497">
        <v>33.278451150000002</v>
      </c>
      <c r="BF134" s="1497"/>
      <c r="BG134" s="1497"/>
      <c r="BH134" s="1497">
        <v>160.82400000000001</v>
      </c>
      <c r="BI134" s="1497">
        <v>19.22294986</v>
      </c>
      <c r="BJ134" s="1497">
        <v>6.6710000000000003</v>
      </c>
      <c r="BK134" s="1497">
        <v>2.5118841000000001</v>
      </c>
      <c r="BL134" s="1497">
        <v>154.15299999999999</v>
      </c>
      <c r="BM134" s="1497">
        <v>16.71106576</v>
      </c>
    </row>
    <row r="135" spans="1:65">
      <c r="A135" s="409" t="s">
        <v>2131</v>
      </c>
      <c r="B135" s="1505">
        <v>7544.759</v>
      </c>
      <c r="C135" s="1505">
        <v>1501</v>
      </c>
      <c r="D135" s="1505">
        <v>2383.087</v>
      </c>
      <c r="E135" s="1505">
        <v>2339.1480000000001</v>
      </c>
      <c r="F135" s="1505">
        <v>2025.0509999999999</v>
      </c>
      <c r="G135" s="1505">
        <v>797.47299999999996</v>
      </c>
      <c r="H135" s="1505">
        <f t="shared" ref="H135:U135" si="27">SUM(H136:H147)</f>
        <v>163724.78899999999</v>
      </c>
      <c r="I135" s="1505">
        <f t="shared" si="27"/>
        <v>23808.045415665401</v>
      </c>
      <c r="J135" s="1505">
        <f t="shared" si="27"/>
        <v>76113.963999999993</v>
      </c>
      <c r="K135" s="1505">
        <f t="shared" si="27"/>
        <v>16569.7509087</v>
      </c>
      <c r="L135" s="1505">
        <f t="shared" si="27"/>
        <v>313.92199999999997</v>
      </c>
      <c r="M135" s="1505">
        <f t="shared" si="27"/>
        <v>997.5366671290999</v>
      </c>
      <c r="N135" s="1505">
        <f t="shared" si="27"/>
        <v>419.57499999999999</v>
      </c>
      <c r="O135" s="1505">
        <f t="shared" si="27"/>
        <v>91.812926258499985</v>
      </c>
      <c r="P135" s="1505">
        <f t="shared" si="27"/>
        <v>25404.917999999998</v>
      </c>
      <c r="Q135" s="1505">
        <f t="shared" si="27"/>
        <v>1336.1824225856001</v>
      </c>
      <c r="R135" s="1505">
        <f t="shared" si="27"/>
        <v>4339.5069999999996</v>
      </c>
      <c r="S135" s="1505">
        <f t="shared" si="27"/>
        <v>91.119110309999428</v>
      </c>
      <c r="T135" s="1505">
        <f t="shared" si="27"/>
        <v>45050.972000000002</v>
      </c>
      <c r="U135" s="1505">
        <f t="shared" si="27"/>
        <v>3334.1704274432004</v>
      </c>
      <c r="V135" s="1505"/>
      <c r="W135" s="1505"/>
      <c r="X135" s="1505">
        <f t="shared" ref="X135:AM135" si="28">SUM(X136:X147)</f>
        <v>16421.437999999998</v>
      </c>
      <c r="Y135" s="1505">
        <f t="shared" si="28"/>
        <v>1478.5920635490002</v>
      </c>
      <c r="Z135" s="1505">
        <f t="shared" si="28"/>
        <v>611.61900000000003</v>
      </c>
      <c r="AA135" s="1505">
        <f t="shared" si="28"/>
        <v>206.42245402629996</v>
      </c>
      <c r="AB135" s="1505">
        <f t="shared" si="28"/>
        <v>15809.818999999998</v>
      </c>
      <c r="AC135" s="1505">
        <f t="shared" si="28"/>
        <v>1272.1696095226998</v>
      </c>
      <c r="AD135" s="1505">
        <f t="shared" si="28"/>
        <v>144878.08900000001</v>
      </c>
      <c r="AE135" s="1505">
        <f t="shared" si="28"/>
        <v>22208.109298787895</v>
      </c>
      <c r="AF135" s="1505">
        <f t="shared" si="28"/>
        <v>73007.940999999992</v>
      </c>
      <c r="AG135" s="1505">
        <f t="shared" si="28"/>
        <v>16105.590534958501</v>
      </c>
      <c r="AH135" s="1505">
        <f t="shared" si="28"/>
        <v>18582.659</v>
      </c>
      <c r="AI135" s="1505">
        <f t="shared" si="28"/>
        <v>1927.9710408672001</v>
      </c>
      <c r="AJ135" s="1505">
        <f t="shared" si="28"/>
        <v>3360.7429999999999</v>
      </c>
      <c r="AK135" s="1505">
        <f t="shared" si="28"/>
        <v>64.494714169999398</v>
      </c>
      <c r="AL135" s="1505">
        <f t="shared" si="28"/>
        <v>38990.495999999999</v>
      </c>
      <c r="AM135" s="1505">
        <f t="shared" si="28"/>
        <v>2930.4711481449003</v>
      </c>
      <c r="AN135" s="1505"/>
      <c r="AO135" s="1505"/>
      <c r="AP135" s="1505">
        <f t="shared" ref="AP135:BE135" si="29">SUM(AP136:AP147)</f>
        <v>14296.992999999999</v>
      </c>
      <c r="AQ135" s="1505">
        <f t="shared" si="29"/>
        <v>1244.0765748173003</v>
      </c>
      <c r="AR135" s="1505">
        <f t="shared" si="29"/>
        <v>565.52800000000002</v>
      </c>
      <c r="AS135" s="1505">
        <f t="shared" si="29"/>
        <v>186.72775867110002</v>
      </c>
      <c r="AT135" s="1505">
        <f t="shared" si="29"/>
        <v>13731.465</v>
      </c>
      <c r="AU135" s="1505">
        <f t="shared" si="29"/>
        <v>1057.3488161462001</v>
      </c>
      <c r="AV135" s="1505">
        <f t="shared" si="29"/>
        <v>18846.7</v>
      </c>
      <c r="AW135" s="1505">
        <f t="shared" si="29"/>
        <v>1599.9361168774999</v>
      </c>
      <c r="AX135" s="1505">
        <f t="shared" si="29"/>
        <v>3525.598</v>
      </c>
      <c r="AY135" s="1505">
        <f t="shared" si="29"/>
        <v>555.97329999999999</v>
      </c>
      <c r="AZ135" s="1505">
        <f t="shared" si="29"/>
        <v>7136.1809999999996</v>
      </c>
      <c r="BA135" s="1505">
        <f t="shared" si="29"/>
        <v>405.7480488475</v>
      </c>
      <c r="BB135" s="1505">
        <f t="shared" si="29"/>
        <v>978.76400000000001</v>
      </c>
      <c r="BC135" s="1505">
        <f t="shared" si="29"/>
        <v>26.624396140000002</v>
      </c>
      <c r="BD135" s="1505">
        <f t="shared" si="29"/>
        <v>6060.4759999999997</v>
      </c>
      <c r="BE135" s="1505">
        <f t="shared" si="29"/>
        <v>403.69927929829993</v>
      </c>
      <c r="BF135" s="1505"/>
      <c r="BG135" s="1505"/>
      <c r="BH135" s="1505">
        <f t="shared" ref="BH135:BM135" si="30">SUM(BH136:BH147)</f>
        <v>2124.4450000000002</v>
      </c>
      <c r="BI135" s="1505">
        <f t="shared" si="30"/>
        <v>234.5154887317</v>
      </c>
      <c r="BJ135" s="1505">
        <f t="shared" si="30"/>
        <v>46.091000000000008</v>
      </c>
      <c r="BK135" s="1505">
        <f t="shared" si="30"/>
        <v>19.694695355200004</v>
      </c>
      <c r="BL135" s="1505">
        <f t="shared" si="30"/>
        <v>2078.3540000000003</v>
      </c>
      <c r="BM135" s="1505">
        <f t="shared" si="30"/>
        <v>214.82079337650001</v>
      </c>
    </row>
    <row r="136" spans="1:65">
      <c r="A136" s="580" t="s">
        <v>18</v>
      </c>
      <c r="B136" s="1508">
        <v>6703.5820000000003</v>
      </c>
      <c r="C136" s="1508">
        <v>694.63199999999995</v>
      </c>
      <c r="D136" s="1508">
        <v>2520.3890000000001</v>
      </c>
      <c r="E136" s="1508">
        <v>2070.3919999999998</v>
      </c>
      <c r="F136" s="1508">
        <v>1240.2239999999999</v>
      </c>
      <c r="G136" s="1508">
        <v>872.577</v>
      </c>
      <c r="H136" s="1508">
        <v>10690.169</v>
      </c>
      <c r="I136" s="1508">
        <v>1472.3373272844999</v>
      </c>
      <c r="J136" s="1498">
        <v>5108.0609999999997</v>
      </c>
      <c r="K136" s="1507">
        <v>992.89431000000002</v>
      </c>
      <c r="L136" s="1498">
        <v>18.992999999999999</v>
      </c>
      <c r="M136" s="1498">
        <v>59.349707112499999</v>
      </c>
      <c r="N136" s="1498">
        <v>24.289000000000001</v>
      </c>
      <c r="O136" s="1498">
        <v>7.0807960000000003</v>
      </c>
      <c r="P136" s="1498">
        <v>1849.011</v>
      </c>
      <c r="Q136" s="1508">
        <v>107.4031759655</v>
      </c>
      <c r="R136" s="1508">
        <v>132.233</v>
      </c>
      <c r="S136" s="1509">
        <v>3.2956303900000101</v>
      </c>
      <c r="T136" s="1508">
        <v>2671.9160000000002</v>
      </c>
      <c r="U136" s="1508">
        <v>196.06330623650001</v>
      </c>
      <c r="V136" s="1508"/>
      <c r="W136" s="1508"/>
      <c r="X136" s="1507">
        <v>1017.899</v>
      </c>
      <c r="Y136" s="1507">
        <v>109.54603197</v>
      </c>
      <c r="Z136" s="1507">
        <v>50.457000000000001</v>
      </c>
      <c r="AA136" s="1507">
        <v>17.669706379999997</v>
      </c>
      <c r="AB136" s="1507">
        <v>967.44200000000001</v>
      </c>
      <c r="AC136" s="1507">
        <v>91.876325590000008</v>
      </c>
      <c r="AD136" s="1498">
        <v>9296.7870000000003</v>
      </c>
      <c r="AE136" s="1498">
        <v>1332.2559498764999</v>
      </c>
      <c r="AF136" s="1498">
        <v>4745.7110000000002</v>
      </c>
      <c r="AG136" s="1498">
        <v>944.85860300000002</v>
      </c>
      <c r="AH136" s="1498">
        <v>1349.7370000000001</v>
      </c>
      <c r="AI136" s="1498">
        <v>137.46097277000001</v>
      </c>
      <c r="AJ136" s="1498">
        <v>102.56699999999999</v>
      </c>
      <c r="AK136" s="457">
        <v>2.2848060800000098</v>
      </c>
      <c r="AL136" s="1498">
        <v>2358.0439999999999</v>
      </c>
      <c r="AM136" s="1498">
        <v>163.9499233265</v>
      </c>
      <c r="AN136" s="1498"/>
      <c r="AO136" s="1498"/>
      <c r="AP136" s="1498">
        <v>843.29499999999996</v>
      </c>
      <c r="AQ136" s="1498">
        <v>85.986450779999998</v>
      </c>
      <c r="AR136" s="1498">
        <v>44.386000000000003</v>
      </c>
      <c r="AS136" s="1498">
        <v>15.527965400000001</v>
      </c>
      <c r="AT136" s="1498">
        <v>798.90899999999999</v>
      </c>
      <c r="AU136" s="1498">
        <v>70.458485379999999</v>
      </c>
      <c r="AV136" s="1498">
        <v>1393.3820000000001</v>
      </c>
      <c r="AW136" s="1498">
        <v>140.08137740800001</v>
      </c>
      <c r="AX136" s="1498">
        <v>386.63900000000001</v>
      </c>
      <c r="AY136" s="1498">
        <v>55.116503000000002</v>
      </c>
      <c r="AZ136" s="1498">
        <v>518.26700000000005</v>
      </c>
      <c r="BA136" s="1498">
        <v>29.291910307999999</v>
      </c>
      <c r="BB136" s="1498">
        <v>29.666</v>
      </c>
      <c r="BC136" s="1498">
        <v>1.0108243100000001</v>
      </c>
      <c r="BD136" s="1498">
        <v>313.87200000000001</v>
      </c>
      <c r="BE136" s="1498">
        <v>32.113382909999999</v>
      </c>
      <c r="BF136" s="1498"/>
      <c r="BG136" s="1498"/>
      <c r="BH136" s="1498">
        <v>174.60400000000001</v>
      </c>
      <c r="BI136" s="1498">
        <v>23.559581189999999</v>
      </c>
      <c r="BJ136" s="1498">
        <v>6.0709999999999997</v>
      </c>
      <c r="BK136" s="1498">
        <v>2.1417409799999998</v>
      </c>
      <c r="BL136" s="1498">
        <v>168.53299999999999</v>
      </c>
      <c r="BM136" s="1498">
        <v>21.417840210000001</v>
      </c>
    </row>
    <row r="137" spans="1:65">
      <c r="A137" s="580" t="s">
        <v>19</v>
      </c>
      <c r="B137" s="1508">
        <v>6788.1750000000002</v>
      </c>
      <c r="C137" s="1508">
        <v>726.39499999999998</v>
      </c>
      <c r="D137" s="1508">
        <v>2535.3290000000002</v>
      </c>
      <c r="E137" s="1508">
        <v>2102.4549999999999</v>
      </c>
      <c r="F137" s="1508">
        <v>1371.412</v>
      </c>
      <c r="G137" s="1508">
        <v>778.97900000000004</v>
      </c>
      <c r="H137" s="1508">
        <v>10886.927</v>
      </c>
      <c r="I137" s="1508">
        <v>1578.455758864</v>
      </c>
      <c r="J137" s="1498">
        <v>5601.7389999999996</v>
      </c>
      <c r="K137" s="1507">
        <v>1125.6259500000001</v>
      </c>
      <c r="L137" s="1498">
        <v>20.469000000000001</v>
      </c>
      <c r="M137" s="1498">
        <v>61.6913625615</v>
      </c>
      <c r="N137" s="1498">
        <v>26.152000000000001</v>
      </c>
      <c r="O137" s="1498">
        <v>5.9758319999999996</v>
      </c>
      <c r="P137" s="1498">
        <v>1421.433</v>
      </c>
      <c r="Q137" s="1508">
        <v>92.711489732000004</v>
      </c>
      <c r="R137" s="1508">
        <v>149.81399999999999</v>
      </c>
      <c r="S137" s="1509">
        <v>3.2965473600000101</v>
      </c>
      <c r="T137" s="1508">
        <v>2885.953</v>
      </c>
      <c r="U137" s="1508">
        <v>205.18893197049999</v>
      </c>
      <c r="V137" s="1508"/>
      <c r="W137" s="1508"/>
      <c r="X137" s="1507">
        <v>931.18100000000004</v>
      </c>
      <c r="Y137" s="1507">
        <v>87.262192600000006</v>
      </c>
      <c r="Z137" s="1507">
        <v>41.796999999999997</v>
      </c>
      <c r="AA137" s="1507">
        <v>15.07977736</v>
      </c>
      <c r="AB137" s="1507">
        <v>889.38400000000001</v>
      </c>
      <c r="AC137" s="1507">
        <v>72.182415239999997</v>
      </c>
      <c r="AD137" s="1498">
        <v>9825.0660000000007</v>
      </c>
      <c r="AE137" s="1498">
        <v>1474.5356902715</v>
      </c>
      <c r="AF137" s="1498">
        <v>5330.47</v>
      </c>
      <c r="AG137" s="1498">
        <v>1089.760053</v>
      </c>
      <c r="AH137" s="1498">
        <v>1102.8620000000001</v>
      </c>
      <c r="AI137" s="1498">
        <v>134.45753155349999</v>
      </c>
      <c r="AJ137" s="1498">
        <v>122.751</v>
      </c>
      <c r="AK137" s="457">
        <v>2.41527874000001</v>
      </c>
      <c r="AL137" s="1498">
        <v>2568.9340000000002</v>
      </c>
      <c r="AM137" s="1498">
        <v>176.49731596800001</v>
      </c>
      <c r="AN137" s="1498"/>
      <c r="AO137" s="1498"/>
      <c r="AP137" s="1498">
        <v>822.8</v>
      </c>
      <c r="AQ137" s="1498">
        <v>73.820789750000003</v>
      </c>
      <c r="AR137" s="1498">
        <v>39.07</v>
      </c>
      <c r="AS137" s="1498">
        <v>13.930473340000001</v>
      </c>
      <c r="AT137" s="1498">
        <v>783.73</v>
      </c>
      <c r="AU137" s="1498">
        <v>59.890316409999997</v>
      </c>
      <c r="AV137" s="1498">
        <v>1061.8610000000001</v>
      </c>
      <c r="AW137" s="1498">
        <v>103.9200685925</v>
      </c>
      <c r="AX137" s="1498">
        <v>297.42099999999999</v>
      </c>
      <c r="AY137" s="1498">
        <v>41.841729000000001</v>
      </c>
      <c r="AZ137" s="1498">
        <v>339.04</v>
      </c>
      <c r="BA137" s="1498">
        <v>19.94532074</v>
      </c>
      <c r="BB137" s="1498">
        <v>27.062999999999999</v>
      </c>
      <c r="BC137" s="1498">
        <v>0.88126861999999995</v>
      </c>
      <c r="BD137" s="1498">
        <v>317.01900000000001</v>
      </c>
      <c r="BE137" s="1498">
        <v>28.691616002500002</v>
      </c>
      <c r="BF137" s="1498"/>
      <c r="BG137" s="1498"/>
      <c r="BH137" s="1498">
        <v>108.381</v>
      </c>
      <c r="BI137" s="1498">
        <v>13.441402849999999</v>
      </c>
      <c r="BJ137" s="1498">
        <v>2.7269999999999999</v>
      </c>
      <c r="BK137" s="1498">
        <v>1.14930402</v>
      </c>
      <c r="BL137" s="1498">
        <v>105.654</v>
      </c>
      <c r="BM137" s="1498">
        <v>12.29209883</v>
      </c>
    </row>
    <row r="138" spans="1:65">
      <c r="A138" s="580" t="s">
        <v>20</v>
      </c>
      <c r="B138" s="1508">
        <v>6791.6350000000002</v>
      </c>
      <c r="C138" s="1508">
        <v>770.55899999999997</v>
      </c>
      <c r="D138" s="1508">
        <v>2535.576</v>
      </c>
      <c r="E138" s="1508">
        <v>2094.567</v>
      </c>
      <c r="F138" s="1508">
        <v>1375.615</v>
      </c>
      <c r="G138" s="1508">
        <v>785.87699999999995</v>
      </c>
      <c r="H138" s="1508">
        <v>12511.672</v>
      </c>
      <c r="I138" s="1508">
        <v>1815.3165284638001</v>
      </c>
      <c r="J138" s="1498">
        <v>6437.7809999999999</v>
      </c>
      <c r="K138" s="1507">
        <v>1304.374276</v>
      </c>
      <c r="L138" s="1498">
        <v>24.126000000000001</v>
      </c>
      <c r="M138" s="1498">
        <v>62.170356657799999</v>
      </c>
      <c r="N138" s="1498">
        <v>27.29</v>
      </c>
      <c r="O138" s="1498">
        <v>6.8375310000000002</v>
      </c>
      <c r="P138" s="1498">
        <v>1744.18</v>
      </c>
      <c r="Q138" s="1508">
        <v>112.55270235099999</v>
      </c>
      <c r="R138" s="1508">
        <v>186.11199999999999</v>
      </c>
      <c r="S138" s="1509">
        <v>4.2675884800000201</v>
      </c>
      <c r="T138" s="1508">
        <v>3167.355</v>
      </c>
      <c r="U138" s="1508">
        <v>216.99163655300001</v>
      </c>
      <c r="V138" s="1508"/>
      <c r="W138" s="1508"/>
      <c r="X138" s="1507">
        <v>1110.94</v>
      </c>
      <c r="Y138" s="1507">
        <v>112.390025902</v>
      </c>
      <c r="Z138" s="1507">
        <v>50.433</v>
      </c>
      <c r="AA138" s="1507">
        <v>17.355173342999997</v>
      </c>
      <c r="AB138" s="1507">
        <v>1060.5070000000001</v>
      </c>
      <c r="AC138" s="1507">
        <v>95.034852559000001</v>
      </c>
      <c r="AD138" s="1498">
        <v>11295.674999999999</v>
      </c>
      <c r="AE138" s="1498">
        <v>1694.0425075098001</v>
      </c>
      <c r="AF138" s="1498">
        <v>6138.8980000000001</v>
      </c>
      <c r="AG138" s="1498">
        <v>1264.120985</v>
      </c>
      <c r="AH138" s="1498">
        <v>1367.883</v>
      </c>
      <c r="AI138" s="1498">
        <v>148.58908603879999</v>
      </c>
      <c r="AJ138" s="1498">
        <v>151.61500000000001</v>
      </c>
      <c r="AK138" s="457">
        <v>3.1941963000000198</v>
      </c>
      <c r="AL138" s="1498">
        <v>2808.4879999999998</v>
      </c>
      <c r="AM138" s="1498">
        <v>186.19946858899999</v>
      </c>
      <c r="AN138" s="1498"/>
      <c r="AO138" s="1498"/>
      <c r="AP138" s="1498">
        <v>980.40599999999995</v>
      </c>
      <c r="AQ138" s="1498">
        <v>95.132967882000003</v>
      </c>
      <c r="AR138" s="1498">
        <v>47.02</v>
      </c>
      <c r="AS138" s="1498">
        <v>15.886975653</v>
      </c>
      <c r="AT138" s="1498">
        <v>933.38599999999997</v>
      </c>
      <c r="AU138" s="1498">
        <v>79.245992228999995</v>
      </c>
      <c r="AV138" s="1498">
        <v>1215.9970000000001</v>
      </c>
      <c r="AW138" s="1498">
        <v>121.27402095399999</v>
      </c>
      <c r="AX138" s="1498">
        <v>326.173</v>
      </c>
      <c r="AY138" s="1498">
        <v>47.090822000000003</v>
      </c>
      <c r="AZ138" s="1498">
        <v>400.423</v>
      </c>
      <c r="BA138" s="1498">
        <v>26.133972969999999</v>
      </c>
      <c r="BB138" s="1498">
        <v>34.497</v>
      </c>
      <c r="BC138" s="1498">
        <v>1.0733921799999999</v>
      </c>
      <c r="BD138" s="1498">
        <v>358.86700000000002</v>
      </c>
      <c r="BE138" s="1498">
        <v>30.792167964000001</v>
      </c>
      <c r="BF138" s="1498"/>
      <c r="BG138" s="1498"/>
      <c r="BH138" s="1498">
        <v>130.53399999999999</v>
      </c>
      <c r="BI138" s="1498">
        <v>17.257058019999999</v>
      </c>
      <c r="BJ138" s="1498">
        <v>3.4129999999999998</v>
      </c>
      <c r="BK138" s="1498">
        <v>1.46819769</v>
      </c>
      <c r="BL138" s="1498">
        <v>127.121</v>
      </c>
      <c r="BM138" s="1498">
        <v>15.78886033</v>
      </c>
    </row>
    <row r="139" spans="1:65">
      <c r="A139" s="580" t="s">
        <v>21</v>
      </c>
      <c r="B139" s="1508">
        <v>6940.9040000000005</v>
      </c>
      <c r="C139" s="1508">
        <v>876.43700000000001</v>
      </c>
      <c r="D139" s="1508">
        <v>2522.8829999999998</v>
      </c>
      <c r="E139" s="1508">
        <v>2111.2779999999998</v>
      </c>
      <c r="F139" s="1508">
        <v>1511.9159999999999</v>
      </c>
      <c r="G139" s="1508">
        <v>794.827</v>
      </c>
      <c r="H139" s="1508">
        <v>12606.822</v>
      </c>
      <c r="I139" s="1508">
        <v>1809.7966643709999</v>
      </c>
      <c r="J139" s="1498">
        <v>6067.4049999999997</v>
      </c>
      <c r="K139" s="1507">
        <v>1260.4296056999999</v>
      </c>
      <c r="L139" s="1498">
        <v>25.347000000000001</v>
      </c>
      <c r="M139" s="1498">
        <v>77.002975667000001</v>
      </c>
      <c r="N139" s="1498">
        <v>28.675999999999998</v>
      </c>
      <c r="O139" s="1498">
        <v>6.6531442209999998</v>
      </c>
      <c r="P139" s="1498">
        <v>1805.9079999999999</v>
      </c>
      <c r="Q139" s="1508">
        <v>106.052677299</v>
      </c>
      <c r="R139" s="1508">
        <v>229.21299999999999</v>
      </c>
      <c r="S139" s="1509">
        <v>4.6447979900000194</v>
      </c>
      <c r="T139" s="1508">
        <v>3474.0859999999998</v>
      </c>
      <c r="U139" s="1508">
        <v>254.07375280700001</v>
      </c>
      <c r="V139" s="1508"/>
      <c r="W139" s="1508"/>
      <c r="X139" s="1507">
        <v>1205.4000000000001</v>
      </c>
      <c r="Y139" s="1507">
        <v>105.584508677</v>
      </c>
      <c r="Z139" s="1507">
        <v>50.689</v>
      </c>
      <c r="AA139" s="1507">
        <v>17.231980935999999</v>
      </c>
      <c r="AB139" s="1507">
        <v>1154.711</v>
      </c>
      <c r="AC139" s="1507">
        <v>88.352527741000003</v>
      </c>
      <c r="AD139" s="1498">
        <v>11242.656999999999</v>
      </c>
      <c r="AE139" s="1498">
        <v>1677.2560989179999</v>
      </c>
      <c r="AF139" s="1498">
        <v>5714.0410000000002</v>
      </c>
      <c r="AG139" s="1498">
        <v>1213.054066921</v>
      </c>
      <c r="AH139" s="1498">
        <v>1400.6859999999999</v>
      </c>
      <c r="AI139" s="1498">
        <v>158.079754253</v>
      </c>
      <c r="AJ139" s="1498">
        <v>185.04</v>
      </c>
      <c r="AK139" s="457">
        <v>3.4221168000000199</v>
      </c>
      <c r="AL139" s="1498">
        <v>3060.2809999999999</v>
      </c>
      <c r="AM139" s="1498">
        <v>215.33323413700001</v>
      </c>
      <c r="AN139" s="1498"/>
      <c r="AO139" s="1498"/>
      <c r="AP139" s="1498">
        <v>1067.6489999999999</v>
      </c>
      <c r="AQ139" s="1498">
        <v>90.789043606999996</v>
      </c>
      <c r="AR139" s="1498">
        <v>47.369</v>
      </c>
      <c r="AS139" s="1498">
        <v>15.785176536</v>
      </c>
      <c r="AT139" s="1498">
        <v>1020.28</v>
      </c>
      <c r="AU139" s="1498">
        <v>75.003867071000016</v>
      </c>
      <c r="AV139" s="1498">
        <v>1364.165</v>
      </c>
      <c r="AW139" s="1498">
        <v>132.540565453</v>
      </c>
      <c r="AX139" s="1498">
        <v>382.04</v>
      </c>
      <c r="AY139" s="1498">
        <v>54.028683000000001</v>
      </c>
      <c r="AZ139" s="1498">
        <v>430.56900000000002</v>
      </c>
      <c r="BA139" s="1498">
        <v>24.975898712999999</v>
      </c>
      <c r="BB139" s="1498">
        <v>44.173000000000002</v>
      </c>
      <c r="BC139" s="1498">
        <v>1.2226811899999999</v>
      </c>
      <c r="BD139" s="1498">
        <v>413.80500000000001</v>
      </c>
      <c r="BE139" s="1498">
        <v>38.74051867</v>
      </c>
      <c r="BF139" s="1498"/>
      <c r="BG139" s="1498"/>
      <c r="BH139" s="1498">
        <v>137.751</v>
      </c>
      <c r="BI139" s="1498">
        <v>14.795465070000001</v>
      </c>
      <c r="BJ139" s="1498">
        <v>3.32</v>
      </c>
      <c r="BK139" s="1498">
        <v>1.4468044</v>
      </c>
      <c r="BL139" s="1498">
        <v>134.43100000000001</v>
      </c>
      <c r="BM139" s="1498">
        <v>13.348660669999999</v>
      </c>
    </row>
    <row r="140" spans="1:65">
      <c r="A140" s="580" t="s">
        <v>22</v>
      </c>
      <c r="B140" s="1508">
        <v>7192.7560000000003</v>
      </c>
      <c r="C140" s="1508">
        <v>952.19100000000003</v>
      </c>
      <c r="D140" s="1508">
        <v>2587.2919999999999</v>
      </c>
      <c r="E140" s="1508">
        <v>2126.9949999999999</v>
      </c>
      <c r="F140" s="1508">
        <v>1671.981</v>
      </c>
      <c r="G140" s="1508">
        <v>806.48800000000006</v>
      </c>
      <c r="H140" s="1508">
        <v>12696.094999999999</v>
      </c>
      <c r="I140" s="1508">
        <v>2051.6024144908001</v>
      </c>
      <c r="J140" s="1498">
        <v>5988.5150000000003</v>
      </c>
      <c r="K140" s="1507">
        <v>1448.3335179999999</v>
      </c>
      <c r="L140" s="1498">
        <v>46.624000000000002</v>
      </c>
      <c r="M140" s="1498">
        <v>106.88166409599999</v>
      </c>
      <c r="N140" s="1498">
        <v>30.881</v>
      </c>
      <c r="O140" s="1498">
        <v>6.8318909999999997</v>
      </c>
      <c r="P140" s="1498">
        <v>1903.5060000000001</v>
      </c>
      <c r="Q140" s="1508">
        <v>100.209486091</v>
      </c>
      <c r="R140" s="1508">
        <v>264.48</v>
      </c>
      <c r="S140" s="1509">
        <v>5.4136393700000198</v>
      </c>
      <c r="T140" s="1508">
        <v>3515.3310000000001</v>
      </c>
      <c r="U140" s="1508">
        <v>280.0725182292</v>
      </c>
      <c r="V140" s="1508"/>
      <c r="W140" s="1508"/>
      <c r="X140" s="1507">
        <v>1211.2380000000001</v>
      </c>
      <c r="Y140" s="1507">
        <v>109.27333707459999</v>
      </c>
      <c r="Z140" s="1507">
        <v>50.366999999999997</v>
      </c>
      <c r="AA140" s="1507">
        <v>16.2463777908</v>
      </c>
      <c r="AB140" s="1507">
        <v>1160.8710000000001</v>
      </c>
      <c r="AC140" s="1507">
        <v>93.026959283800011</v>
      </c>
      <c r="AD140" s="1498">
        <v>11311.055</v>
      </c>
      <c r="AE140" s="1498">
        <v>1912.4361348448001</v>
      </c>
      <c r="AF140" s="1498">
        <v>5690.8530000000001</v>
      </c>
      <c r="AG140" s="1498">
        <v>1396.194524</v>
      </c>
      <c r="AH140" s="1498">
        <v>1473.682</v>
      </c>
      <c r="AI140" s="1498">
        <v>178.2523053054</v>
      </c>
      <c r="AJ140" s="1498">
        <v>212.78299999999999</v>
      </c>
      <c r="AK140" s="457">
        <v>3.9860707800000199</v>
      </c>
      <c r="AL140" s="1498">
        <v>3079.0509999999999</v>
      </c>
      <c r="AM140" s="1498">
        <v>244.4707936092</v>
      </c>
      <c r="AN140" s="1498"/>
      <c r="AO140" s="1498"/>
      <c r="AP140" s="1498">
        <v>1067.4690000000001</v>
      </c>
      <c r="AQ140" s="1498">
        <v>93.518511930200006</v>
      </c>
      <c r="AR140" s="1498">
        <v>47.064999999999998</v>
      </c>
      <c r="AS140" s="1498">
        <v>14.7697798456</v>
      </c>
      <c r="AT140" s="1498">
        <v>1020.404</v>
      </c>
      <c r="AU140" s="1498">
        <v>78.748732084600007</v>
      </c>
      <c r="AV140" s="1498">
        <v>1385.04</v>
      </c>
      <c r="AW140" s="1498">
        <v>139.16627964599999</v>
      </c>
      <c r="AX140" s="1498">
        <v>328.54300000000001</v>
      </c>
      <c r="AY140" s="1498">
        <v>58.970885000000003</v>
      </c>
      <c r="AZ140" s="1498">
        <v>476.44799999999998</v>
      </c>
      <c r="BA140" s="1498">
        <v>28.8388448816</v>
      </c>
      <c r="BB140" s="1498">
        <v>51.697000000000003</v>
      </c>
      <c r="BC140" s="1498">
        <v>1.4275685900000001</v>
      </c>
      <c r="BD140" s="1498">
        <v>436.28</v>
      </c>
      <c r="BE140" s="1498">
        <v>35.601724619999999</v>
      </c>
      <c r="BF140" s="1498"/>
      <c r="BG140" s="1498"/>
      <c r="BH140" s="1498">
        <v>143.76900000000001</v>
      </c>
      <c r="BI140" s="1498">
        <v>15.7548251444</v>
      </c>
      <c r="BJ140" s="1498">
        <v>3.302</v>
      </c>
      <c r="BK140" s="1498">
        <v>1.4765979452</v>
      </c>
      <c r="BL140" s="1498">
        <v>140.46700000000001</v>
      </c>
      <c r="BM140" s="1498">
        <v>14.2782271992</v>
      </c>
    </row>
    <row r="141" spans="1:65">
      <c r="A141" s="580" t="s">
        <v>23</v>
      </c>
      <c r="B141" s="1508">
        <v>7240.1090000000004</v>
      </c>
      <c r="C141" s="1508">
        <v>998.36800000000005</v>
      </c>
      <c r="D141" s="1508">
        <v>2604.3380000000002</v>
      </c>
      <c r="E141" s="1508">
        <v>2160.221</v>
      </c>
      <c r="F141" s="1508">
        <v>1678.077</v>
      </c>
      <c r="G141" s="1508">
        <v>797.47299999999996</v>
      </c>
      <c r="H141" s="1508">
        <v>12281.236000000001</v>
      </c>
      <c r="I141" s="1508">
        <v>1735.7722432262001</v>
      </c>
      <c r="J141" s="1498">
        <v>5632.0540000000001</v>
      </c>
      <c r="K141" s="1507">
        <v>1200.969877</v>
      </c>
      <c r="L141" s="1498">
        <v>23.475999999999999</v>
      </c>
      <c r="M141" s="1498">
        <v>67.498395744000007</v>
      </c>
      <c r="N141" s="1498">
        <v>30.914000000000001</v>
      </c>
      <c r="O141" s="1498">
        <v>6.9402670000000004</v>
      </c>
      <c r="P141" s="1498">
        <v>1955.068</v>
      </c>
      <c r="Q141" s="1508">
        <v>95.508226630199999</v>
      </c>
      <c r="R141" s="1508">
        <v>285.577</v>
      </c>
      <c r="S141" s="1509">
        <v>5.7881257199999903</v>
      </c>
      <c r="T141" s="1508">
        <v>3525.0610000000001</v>
      </c>
      <c r="U141" s="1508">
        <v>261.0923162396</v>
      </c>
      <c r="V141" s="1508"/>
      <c r="W141" s="1508"/>
      <c r="X141" s="1507">
        <v>1114.663</v>
      </c>
      <c r="Y141" s="1507">
        <v>103.7631606124</v>
      </c>
      <c r="Z141" s="1507">
        <v>45.033999999999999</v>
      </c>
      <c r="AA141" s="1507">
        <v>15.174670743</v>
      </c>
      <c r="AB141" s="1507">
        <v>1069.6289999999999</v>
      </c>
      <c r="AC141" s="1507">
        <v>88.588489869399993</v>
      </c>
      <c r="AD141" s="1498">
        <v>10946.143</v>
      </c>
      <c r="AE141" s="1498">
        <v>1624.8407044588</v>
      </c>
      <c r="AF141" s="1498">
        <v>5437.9759999999997</v>
      </c>
      <c r="AG141" s="1498">
        <v>1172.0919180000001</v>
      </c>
      <c r="AH141" s="1498">
        <v>1460.1510000000001</v>
      </c>
      <c r="AI141" s="1498">
        <v>136.4574020984</v>
      </c>
      <c r="AJ141" s="1498">
        <v>231.39099999999999</v>
      </c>
      <c r="AK141" s="457">
        <v>4.4166052899999899</v>
      </c>
      <c r="AL141" s="1498">
        <v>3066.4960000000001</v>
      </c>
      <c r="AM141" s="1498">
        <v>227.05517595960001</v>
      </c>
      <c r="AN141" s="1498"/>
      <c r="AO141" s="1498"/>
      <c r="AP141" s="1498">
        <v>981.52</v>
      </c>
      <c r="AQ141" s="1498">
        <v>89.236208400799995</v>
      </c>
      <c r="AR141" s="1498">
        <v>41.957000000000001</v>
      </c>
      <c r="AS141" s="1498">
        <v>13.912831933</v>
      </c>
      <c r="AT141" s="1498">
        <v>939.56299999999999</v>
      </c>
      <c r="AU141" s="1498">
        <v>75.323376467800003</v>
      </c>
      <c r="AV141" s="1498">
        <v>1335.0930000000001</v>
      </c>
      <c r="AW141" s="1498">
        <v>110.9315387674</v>
      </c>
      <c r="AX141" s="1498">
        <v>224.99199999999999</v>
      </c>
      <c r="AY141" s="1498">
        <v>35.818226000000003</v>
      </c>
      <c r="AZ141" s="1498">
        <v>518.39300000000003</v>
      </c>
      <c r="BA141" s="1498">
        <v>26.5492202758</v>
      </c>
      <c r="BB141" s="1498">
        <v>54.186</v>
      </c>
      <c r="BC141" s="1498">
        <v>1.3715204299999999</v>
      </c>
      <c r="BD141" s="1498">
        <v>458.565</v>
      </c>
      <c r="BE141" s="1498">
        <v>34.037140280000003</v>
      </c>
      <c r="BF141" s="1498"/>
      <c r="BG141" s="1498"/>
      <c r="BH141" s="1498">
        <v>133.143</v>
      </c>
      <c r="BI141" s="1498">
        <v>14.526952211599999</v>
      </c>
      <c r="BJ141" s="1498">
        <v>3.077</v>
      </c>
      <c r="BK141" s="1498">
        <v>1.26183881</v>
      </c>
      <c r="BL141" s="1498">
        <v>130.066</v>
      </c>
      <c r="BM141" s="1498">
        <v>13.265113401599999</v>
      </c>
    </row>
    <row r="142" spans="1:65">
      <c r="A142" s="580" t="s">
        <v>24</v>
      </c>
      <c r="B142" s="1508">
        <v>7380.8069999999998</v>
      </c>
      <c r="C142" s="1508">
        <v>1061.298</v>
      </c>
      <c r="D142" s="1508">
        <v>2654.297</v>
      </c>
      <c r="E142" s="1508">
        <v>2168.2539999999999</v>
      </c>
      <c r="F142" s="1508">
        <v>1779.162</v>
      </c>
      <c r="G142" s="1508">
        <v>779.09400000000005</v>
      </c>
      <c r="H142" s="1508">
        <v>14987.907999999999</v>
      </c>
      <c r="I142" s="1508">
        <v>2248.3004251868001</v>
      </c>
      <c r="J142" s="1498">
        <v>6969.7380000000003</v>
      </c>
      <c r="K142" s="1507">
        <v>1573.449081</v>
      </c>
      <c r="L142" s="1498">
        <v>23.437999999999999</v>
      </c>
      <c r="M142" s="1498">
        <v>84.064894342800002</v>
      </c>
      <c r="N142" s="1498">
        <v>35.688000000000002</v>
      </c>
      <c r="O142" s="1498">
        <v>8.6610742639999998</v>
      </c>
      <c r="P142" s="1498">
        <v>2348.5459999999998</v>
      </c>
      <c r="Q142" s="1508">
        <v>114.18800046360001</v>
      </c>
      <c r="R142" s="1508">
        <v>381.94400000000002</v>
      </c>
      <c r="S142" s="1509">
        <v>7.8924315599999204</v>
      </c>
      <c r="T142" s="1508">
        <v>4201.5619999999999</v>
      </c>
      <c r="U142" s="1508">
        <v>317.51369640079997</v>
      </c>
      <c r="V142" s="1508"/>
      <c r="W142" s="1508"/>
      <c r="X142" s="1507">
        <v>1408.9359999999999</v>
      </c>
      <c r="Y142" s="1507">
        <v>150.4236787156</v>
      </c>
      <c r="Z142" s="1507">
        <v>51.505000000000003</v>
      </c>
      <c r="AA142" s="1507">
        <v>18.155897497999998</v>
      </c>
      <c r="AB142" s="1507">
        <v>1357.431</v>
      </c>
      <c r="AC142" s="1507">
        <v>132.26778121759997</v>
      </c>
      <c r="AD142" s="1498">
        <v>13512.866</v>
      </c>
      <c r="AE142" s="1498">
        <v>2130.7303815044002</v>
      </c>
      <c r="AF142" s="1498">
        <v>6785.2439999999997</v>
      </c>
      <c r="AG142" s="1498">
        <v>1544.9286592640001</v>
      </c>
      <c r="AH142" s="1498">
        <v>1799.4570000000001</v>
      </c>
      <c r="AI142" s="1498">
        <v>170.48799901960001</v>
      </c>
      <c r="AJ142" s="1498">
        <v>313.846</v>
      </c>
      <c r="AK142" s="457">
        <v>6.1231154399999204</v>
      </c>
      <c r="AL142" s="1498">
        <v>3687.1350000000002</v>
      </c>
      <c r="AM142" s="1498">
        <v>285.13124023080002</v>
      </c>
      <c r="AN142" s="1498"/>
      <c r="AO142" s="1498"/>
      <c r="AP142" s="1498">
        <v>1241.03</v>
      </c>
      <c r="AQ142" s="1498">
        <v>130.18248299000001</v>
      </c>
      <c r="AR142" s="1498">
        <v>47.58</v>
      </c>
      <c r="AS142" s="1498">
        <v>16.475771427999998</v>
      </c>
      <c r="AT142" s="1498">
        <v>1193.45</v>
      </c>
      <c r="AU142" s="1498">
        <v>113.70671156200001</v>
      </c>
      <c r="AV142" s="1498">
        <v>1475.0419999999999</v>
      </c>
      <c r="AW142" s="1498">
        <v>117.5700436824</v>
      </c>
      <c r="AX142" s="1498">
        <v>220.18199999999999</v>
      </c>
      <c r="AY142" s="1498">
        <v>37.181496000000003</v>
      </c>
      <c r="AZ142" s="1498">
        <v>572.52700000000004</v>
      </c>
      <c r="BA142" s="1498">
        <v>27.7648957868</v>
      </c>
      <c r="BB142" s="1498">
        <v>68.097999999999999</v>
      </c>
      <c r="BC142" s="1498">
        <v>1.76931612</v>
      </c>
      <c r="BD142" s="1498">
        <v>514.42700000000002</v>
      </c>
      <c r="BE142" s="1498">
        <v>32.382456169999998</v>
      </c>
      <c r="BF142" s="1498"/>
      <c r="BG142" s="1498"/>
      <c r="BH142" s="1498">
        <v>167.90600000000001</v>
      </c>
      <c r="BI142" s="1498">
        <v>20.241195725600001</v>
      </c>
      <c r="BJ142" s="1498">
        <v>3.9249999999999998</v>
      </c>
      <c r="BK142" s="1498">
        <v>1.68012607</v>
      </c>
      <c r="BL142" s="1498">
        <v>163.98099999999999</v>
      </c>
      <c r="BM142" s="1498">
        <v>18.561069655600001</v>
      </c>
    </row>
    <row r="143" spans="1:65">
      <c r="A143" s="409" t="s">
        <v>25</v>
      </c>
      <c r="B143" s="1504">
        <v>7460.3379999999997</v>
      </c>
      <c r="C143" s="1504">
        <v>1112.83</v>
      </c>
      <c r="D143" s="1504">
        <v>2692.9780000000001</v>
      </c>
      <c r="E143" s="1504">
        <v>2192.085</v>
      </c>
      <c r="F143" s="1504">
        <v>1804.575</v>
      </c>
      <c r="G143" s="1492">
        <v>770.7</v>
      </c>
      <c r="H143" s="1504">
        <v>13803.279</v>
      </c>
      <c r="I143" s="1504">
        <v>1950.3090841032999</v>
      </c>
      <c r="J143" s="1497">
        <v>6125.6610000000001</v>
      </c>
      <c r="K143" s="1492">
        <v>1302.5356859999999</v>
      </c>
      <c r="L143" s="1497">
        <v>23.817</v>
      </c>
      <c r="M143" s="1497">
        <v>79.006471591899995</v>
      </c>
      <c r="N143" s="1497">
        <v>36.69</v>
      </c>
      <c r="O143" s="1497">
        <v>8.3929128535000004</v>
      </c>
      <c r="P143" s="1497">
        <v>2137.6860000000001</v>
      </c>
      <c r="Q143" s="1504">
        <v>105.8260355733</v>
      </c>
      <c r="R143" s="1504">
        <v>386.18700000000001</v>
      </c>
      <c r="S143" s="1506">
        <v>7.7579009699999402</v>
      </c>
      <c r="T143" s="1504">
        <v>3988.01</v>
      </c>
      <c r="U143" s="1504">
        <v>289.85250730979999</v>
      </c>
      <c r="V143" s="1504"/>
      <c r="W143" s="1504"/>
      <c r="X143" s="1492">
        <v>1491.415</v>
      </c>
      <c r="Y143" s="1492">
        <v>164.69547077479999</v>
      </c>
      <c r="Z143" s="1492">
        <v>50.820999999999998</v>
      </c>
      <c r="AA143" s="1492">
        <v>17.9210530531</v>
      </c>
      <c r="AB143" s="1492">
        <v>1440.5940000000001</v>
      </c>
      <c r="AC143" s="1492">
        <v>146.77441772170002</v>
      </c>
      <c r="AD143" s="1497">
        <v>12139.974</v>
      </c>
      <c r="AE143" s="1497">
        <v>1815.9292133435999</v>
      </c>
      <c r="AF143" s="1497">
        <v>5910.7250000000004</v>
      </c>
      <c r="AG143" s="1497">
        <v>1268.0560048535001</v>
      </c>
      <c r="AH143" s="1497">
        <v>1518.393</v>
      </c>
      <c r="AI143" s="1497">
        <v>150.63738672810001</v>
      </c>
      <c r="AJ143" s="1497">
        <v>298.98200000000003</v>
      </c>
      <c r="AK143" s="614">
        <v>5.6074290099999402</v>
      </c>
      <c r="AL143" s="1497">
        <v>3424.9850000000001</v>
      </c>
      <c r="AM143" s="1497">
        <v>259.29267723800001</v>
      </c>
      <c r="AN143" s="1497"/>
      <c r="AO143" s="1497"/>
      <c r="AP143" s="1497">
        <v>1285.8710000000001</v>
      </c>
      <c r="AQ143" s="1497">
        <v>137.94314452399999</v>
      </c>
      <c r="AR143" s="1497">
        <v>46.529000000000003</v>
      </c>
      <c r="AS143" s="1497">
        <v>16.224844553099999</v>
      </c>
      <c r="AT143" s="1497">
        <v>1239.3420000000001</v>
      </c>
      <c r="AU143" s="1497">
        <v>121.71829997090001</v>
      </c>
      <c r="AV143" s="1497">
        <v>1663.3050000000001</v>
      </c>
      <c r="AW143" s="1497">
        <v>134.3798707597</v>
      </c>
      <c r="AX143" s="1497">
        <v>251.626</v>
      </c>
      <c r="AY143" s="1497">
        <v>42.872593999999999</v>
      </c>
      <c r="AZ143" s="1497">
        <v>643.11</v>
      </c>
      <c r="BA143" s="1497">
        <v>34.195120437100002</v>
      </c>
      <c r="BB143" s="1497">
        <v>87.204999999999998</v>
      </c>
      <c r="BC143" s="1497">
        <v>2.15047196</v>
      </c>
      <c r="BD143" s="1497">
        <v>563.02499999999998</v>
      </c>
      <c r="BE143" s="1497">
        <v>30.5598300718</v>
      </c>
      <c r="BF143" s="1497"/>
      <c r="BG143" s="1497"/>
      <c r="BH143" s="1497">
        <v>205.54400000000001</v>
      </c>
      <c r="BI143" s="1497">
        <v>26.752326250799999</v>
      </c>
      <c r="BJ143" s="1497">
        <v>4.2919999999999998</v>
      </c>
      <c r="BK143" s="1497">
        <v>1.6962085</v>
      </c>
      <c r="BL143" s="1497">
        <v>201.25200000000001</v>
      </c>
      <c r="BM143" s="1497">
        <v>25.056117750799999</v>
      </c>
    </row>
    <row r="144" spans="1:65">
      <c r="A144" s="409" t="s">
        <v>26</v>
      </c>
      <c r="B144" s="1504">
        <v>7526.9939999999997</v>
      </c>
      <c r="C144" s="1504">
        <v>1224.498</v>
      </c>
      <c r="D144" s="1504">
        <v>2653.9659999999999</v>
      </c>
      <c r="E144" s="1504">
        <v>2234.9560000000001</v>
      </c>
      <c r="F144" s="1504">
        <v>1874.72</v>
      </c>
      <c r="G144" s="1492">
        <v>763.35199999999998</v>
      </c>
      <c r="H144" s="1504">
        <v>14245.242</v>
      </c>
      <c r="I144" s="1504">
        <v>1954.3256379855</v>
      </c>
      <c r="J144" s="1497">
        <v>6404.8310000000001</v>
      </c>
      <c r="K144" s="1492">
        <v>1335.908518</v>
      </c>
      <c r="L144" s="1497">
        <v>22.853000000000002</v>
      </c>
      <c r="M144" s="1497">
        <v>78.045650315499998</v>
      </c>
      <c r="N144" s="1497">
        <v>38.564999999999998</v>
      </c>
      <c r="O144" s="1497">
        <v>7.8119573200000003</v>
      </c>
      <c r="P144" s="1497">
        <v>2229.9479999999999</v>
      </c>
      <c r="Q144" s="1504">
        <v>105.5293528448</v>
      </c>
      <c r="R144" s="1504">
        <v>457.375</v>
      </c>
      <c r="S144" s="1506">
        <v>9.1779652199998996</v>
      </c>
      <c r="T144" s="1504">
        <v>4013.9810000000002</v>
      </c>
      <c r="U144" s="1504">
        <v>288.95516631679999</v>
      </c>
      <c r="V144" s="1504"/>
      <c r="W144" s="1504"/>
      <c r="X144" s="1492">
        <v>1535.0640000000001</v>
      </c>
      <c r="Y144" s="1492">
        <v>138.07499318839999</v>
      </c>
      <c r="Z144" s="1492">
        <v>50.424999999999997</v>
      </c>
      <c r="AA144" s="1492">
        <v>18.160196022400001</v>
      </c>
      <c r="AB144" s="1492">
        <v>1484.6389999999999</v>
      </c>
      <c r="AC144" s="1492">
        <v>119.91479716600001</v>
      </c>
      <c r="AD144" s="1497">
        <v>12451.659</v>
      </c>
      <c r="AE144" s="1497">
        <v>1818.7605399639001</v>
      </c>
      <c r="AF144" s="1497">
        <v>6182.1260000000002</v>
      </c>
      <c r="AG144" s="1497">
        <v>1301.9629013199999</v>
      </c>
      <c r="AH144" s="1497">
        <v>1531.3720000000001</v>
      </c>
      <c r="AI144" s="1497">
        <v>144.5041137403</v>
      </c>
      <c r="AJ144" s="1497">
        <v>347.709</v>
      </c>
      <c r="AK144" s="614">
        <v>6.3550025399999006</v>
      </c>
      <c r="AL144" s="1497">
        <v>3409.2379999999998</v>
      </c>
      <c r="AM144" s="1497">
        <v>257.40511703679999</v>
      </c>
      <c r="AN144" s="1497"/>
      <c r="AO144" s="1497"/>
      <c r="AP144" s="1497">
        <v>1328.923</v>
      </c>
      <c r="AQ144" s="1497">
        <v>114.88840786679999</v>
      </c>
      <c r="AR144" s="1497">
        <v>46.621000000000002</v>
      </c>
      <c r="AS144" s="1497">
        <v>16.3587477224</v>
      </c>
      <c r="AT144" s="1497">
        <v>1282.3019999999999</v>
      </c>
      <c r="AU144" s="1497">
        <v>98.529660144399998</v>
      </c>
      <c r="AV144" s="1497">
        <v>1793.5830000000001</v>
      </c>
      <c r="AW144" s="1497">
        <v>135.56509802159999</v>
      </c>
      <c r="AX144" s="1497">
        <v>261.27</v>
      </c>
      <c r="AY144" s="1497">
        <v>41.757573999999998</v>
      </c>
      <c r="AZ144" s="1497">
        <v>721.42899999999997</v>
      </c>
      <c r="BA144" s="1497">
        <v>39.07088942</v>
      </c>
      <c r="BB144" s="1497">
        <v>109.666</v>
      </c>
      <c r="BC144" s="1497">
        <v>2.8229626800000003</v>
      </c>
      <c r="BD144" s="1497">
        <v>604.74300000000005</v>
      </c>
      <c r="BE144" s="1497">
        <v>31.55004928</v>
      </c>
      <c r="BF144" s="1497"/>
      <c r="BG144" s="1497"/>
      <c r="BH144" s="1497">
        <v>206.14099999999999</v>
      </c>
      <c r="BI144" s="1497">
        <v>23.186585321599999</v>
      </c>
      <c r="BJ144" s="1497">
        <v>3.8039999999999998</v>
      </c>
      <c r="BK144" s="1497">
        <v>1.8014483000000001</v>
      </c>
      <c r="BL144" s="1497">
        <v>202.33699999999999</v>
      </c>
      <c r="BM144" s="1497">
        <v>21.385137021600002</v>
      </c>
    </row>
    <row r="145" spans="1:65">
      <c r="A145" s="409" t="s">
        <v>27</v>
      </c>
      <c r="B145" s="1504">
        <v>7400.942</v>
      </c>
      <c r="C145" s="1504">
        <v>1291.617</v>
      </c>
      <c r="D145" s="1504">
        <v>2383.067</v>
      </c>
      <c r="E145" s="1504">
        <v>2299.2719999999999</v>
      </c>
      <c r="F145" s="1504">
        <v>1961.0519999999999</v>
      </c>
      <c r="G145" s="1492">
        <v>757.55100000000004</v>
      </c>
      <c r="H145" s="1504">
        <v>15460.852000000001</v>
      </c>
      <c r="I145" s="1504">
        <v>2216.5562001795001</v>
      </c>
      <c r="J145" s="1497">
        <v>6886.2060000000001</v>
      </c>
      <c r="K145" s="1492">
        <v>1516.5256400000001</v>
      </c>
      <c r="L145" s="1497">
        <v>26.852</v>
      </c>
      <c r="M145" s="1497">
        <v>103.30823526010001</v>
      </c>
      <c r="N145" s="1497">
        <v>43.350999999999999</v>
      </c>
      <c r="O145" s="1497">
        <v>8.1774705999999995</v>
      </c>
      <c r="P145" s="1497">
        <v>2432.203</v>
      </c>
      <c r="Q145" s="1504">
        <v>114.3563893452</v>
      </c>
      <c r="R145" s="1504">
        <v>554.15599999999995</v>
      </c>
      <c r="S145" s="1504">
        <v>10.9117558999999</v>
      </c>
      <c r="T145" s="1504">
        <v>4331.3890000000001</v>
      </c>
      <c r="U145" s="1504">
        <v>335.95567577000003</v>
      </c>
      <c r="V145" s="1504"/>
      <c r="W145" s="1504"/>
      <c r="X145" s="1492">
        <v>1740.8510000000001</v>
      </c>
      <c r="Y145" s="1492">
        <v>138.2327892042</v>
      </c>
      <c r="Z145" s="1492">
        <v>59.692999999999998</v>
      </c>
      <c r="AA145" s="1492">
        <v>19.201152459999999</v>
      </c>
      <c r="AB145" s="1492">
        <v>1681.1579999999999</v>
      </c>
      <c r="AC145" s="1492">
        <v>119.03163674419999</v>
      </c>
      <c r="AD145" s="1497">
        <v>13555.342000000001</v>
      </c>
      <c r="AE145" s="1497">
        <v>2071.4804946765998</v>
      </c>
      <c r="AF145" s="1497">
        <v>6662.7079999999996</v>
      </c>
      <c r="AG145" s="1497">
        <v>1481.0981196</v>
      </c>
      <c r="AH145" s="1497">
        <v>1688.89</v>
      </c>
      <c r="AI145" s="1497">
        <v>175.29777897010001</v>
      </c>
      <c r="AJ145" s="1497">
        <v>424.86799999999999</v>
      </c>
      <c r="AK145" s="614">
        <v>7.6454124699998793</v>
      </c>
      <c r="AL145" s="1497">
        <v>3683.3980000000001</v>
      </c>
      <c r="AM145" s="1497">
        <v>299.49537229999999</v>
      </c>
      <c r="AN145" s="1497"/>
      <c r="AO145" s="1497"/>
      <c r="AP145" s="1497">
        <v>1520.346</v>
      </c>
      <c r="AQ145" s="1497">
        <v>115.5892238065</v>
      </c>
      <c r="AR145" s="1497">
        <v>55.191000000000003</v>
      </c>
      <c r="AS145" s="1497">
        <v>16.972960399999998</v>
      </c>
      <c r="AT145" s="1497">
        <v>1465.155</v>
      </c>
      <c r="AU145" s="1497">
        <v>98.616263406499996</v>
      </c>
      <c r="AV145" s="1497">
        <v>1905.51</v>
      </c>
      <c r="AW145" s="1497">
        <v>145.07570550290001</v>
      </c>
      <c r="AX145" s="1497">
        <v>266.84899999999999</v>
      </c>
      <c r="AY145" s="1497">
        <v>43.604990999999998</v>
      </c>
      <c r="AZ145" s="1497">
        <v>770.16499999999996</v>
      </c>
      <c r="BA145" s="1497">
        <v>42.366845635200001</v>
      </c>
      <c r="BB145" s="1497">
        <v>129.28800000000001</v>
      </c>
      <c r="BC145" s="1497">
        <v>3.26634343</v>
      </c>
      <c r="BD145" s="1497">
        <v>647.99099999999999</v>
      </c>
      <c r="BE145" s="1497">
        <v>36.460303469999999</v>
      </c>
      <c r="BF145" s="1497"/>
      <c r="BG145" s="1497"/>
      <c r="BH145" s="1497">
        <v>220.505</v>
      </c>
      <c r="BI145" s="1497">
        <v>22.643565397700002</v>
      </c>
      <c r="BJ145" s="1497">
        <v>4.5019999999999998</v>
      </c>
      <c r="BK145" s="1497">
        <v>2.22819206</v>
      </c>
      <c r="BL145" s="1497">
        <v>216.00299999999999</v>
      </c>
      <c r="BM145" s="1497">
        <v>20.4153733377</v>
      </c>
    </row>
    <row r="146" spans="1:65">
      <c r="A146" s="409" t="s">
        <v>28</v>
      </c>
      <c r="B146" s="1504">
        <v>7474.991</v>
      </c>
      <c r="C146" s="1504">
        <v>1351.797</v>
      </c>
      <c r="D146" s="1504">
        <v>2408.8020000000001</v>
      </c>
      <c r="E146" s="1504">
        <v>2329.643</v>
      </c>
      <c r="F146" s="1504">
        <v>1985.06</v>
      </c>
      <c r="G146" s="1492">
        <v>751.48599999999999</v>
      </c>
      <c r="H146" s="1504">
        <v>14984.116</v>
      </c>
      <c r="I146" s="1504">
        <v>2150.9988404999999</v>
      </c>
      <c r="J146" s="1497">
        <v>6408.5860000000002</v>
      </c>
      <c r="K146" s="1492">
        <v>1485.679549</v>
      </c>
      <c r="L146" s="1497">
        <v>24.544</v>
      </c>
      <c r="M146" s="1497">
        <v>85.597268470000003</v>
      </c>
      <c r="N146" s="1497">
        <v>43.173000000000002</v>
      </c>
      <c r="O146" s="1497">
        <v>8.3913709999999995</v>
      </c>
      <c r="P146" s="1497">
        <v>2432.971</v>
      </c>
      <c r="Q146" s="1504">
        <v>116.68734487</v>
      </c>
      <c r="R146" s="1504">
        <v>595.43899999999996</v>
      </c>
      <c r="S146" s="1504">
        <v>12.837712629999901</v>
      </c>
      <c r="T146" s="1504">
        <v>4323.7169999999996</v>
      </c>
      <c r="U146" s="1504">
        <v>321.50474353999999</v>
      </c>
      <c r="V146" s="1504"/>
      <c r="W146" s="1504"/>
      <c r="X146" s="1492">
        <v>1751.125</v>
      </c>
      <c r="Y146" s="1492">
        <v>133.13856362000001</v>
      </c>
      <c r="Z146" s="1492">
        <v>55.097000000000001</v>
      </c>
      <c r="AA146" s="1492">
        <v>17.68224858</v>
      </c>
      <c r="AB146" s="1492">
        <v>1696.028</v>
      </c>
      <c r="AC146" s="1492">
        <v>115.45631504000001</v>
      </c>
      <c r="AD146" s="1497">
        <v>13023.793</v>
      </c>
      <c r="AE146" s="1497">
        <v>2003.8274899400001</v>
      </c>
      <c r="AF146" s="1497">
        <v>6183.8869999999997</v>
      </c>
      <c r="AG146" s="1497">
        <v>1449.1195399999999</v>
      </c>
      <c r="AH146" s="1497">
        <v>1661.173</v>
      </c>
      <c r="AI146" s="1497">
        <v>156.85300365000001</v>
      </c>
      <c r="AJ146" s="1497">
        <v>433.964</v>
      </c>
      <c r="AK146" s="614">
        <v>8.3301051899998804</v>
      </c>
      <c r="AL146" s="1497">
        <v>3667.8040000000001</v>
      </c>
      <c r="AM146" s="1497">
        <v>288.06848934999999</v>
      </c>
      <c r="AN146" s="1497"/>
      <c r="AO146" s="1497"/>
      <c r="AP146" s="1497">
        <v>1510.9290000000001</v>
      </c>
      <c r="AQ146" s="1497">
        <v>109.78645693999999</v>
      </c>
      <c r="AR146" s="1497">
        <v>51.177</v>
      </c>
      <c r="AS146" s="1497">
        <v>16.004754130000002</v>
      </c>
      <c r="AT146" s="1497">
        <v>1459.752</v>
      </c>
      <c r="AU146" s="1497">
        <v>93.781702809999999</v>
      </c>
      <c r="AV146" s="1497">
        <v>1960.3230000000001</v>
      </c>
      <c r="AW146" s="1497">
        <v>147.17135056000001</v>
      </c>
      <c r="AX146" s="1497">
        <v>267.87200000000001</v>
      </c>
      <c r="AY146" s="1497">
        <v>44.95138</v>
      </c>
      <c r="AZ146" s="1497">
        <v>796.34199999999998</v>
      </c>
      <c r="BA146" s="1497">
        <v>45.431609690000002</v>
      </c>
      <c r="BB146" s="1497">
        <v>161.47499999999999</v>
      </c>
      <c r="BC146" s="1497">
        <v>4.5076074400000001</v>
      </c>
      <c r="BD146" s="1497">
        <v>655.91300000000001</v>
      </c>
      <c r="BE146" s="1497">
        <v>33.43625419</v>
      </c>
      <c r="BF146" s="1497"/>
      <c r="BG146" s="1497"/>
      <c r="BH146" s="1497">
        <v>240.196</v>
      </c>
      <c r="BI146" s="1497">
        <v>23.352106679999999</v>
      </c>
      <c r="BJ146" s="1497">
        <v>3.92</v>
      </c>
      <c r="BK146" s="1497">
        <v>1.67749445</v>
      </c>
      <c r="BL146" s="1497">
        <v>236.27600000000001</v>
      </c>
      <c r="BM146" s="1497">
        <v>21.674612230000001</v>
      </c>
    </row>
    <row r="147" spans="1:65">
      <c r="A147" s="409" t="s">
        <v>29</v>
      </c>
      <c r="B147" s="1504">
        <v>7544.759</v>
      </c>
      <c r="C147" s="1504">
        <v>1501.095</v>
      </c>
      <c r="D147" s="1504">
        <v>2383.087</v>
      </c>
      <c r="E147" s="1504">
        <v>2339.1480000000001</v>
      </c>
      <c r="F147" s="1504">
        <v>2025.0509999999999</v>
      </c>
      <c r="G147" s="1492">
        <v>797.47299999999996</v>
      </c>
      <c r="H147" s="1504">
        <v>18570.471000000001</v>
      </c>
      <c r="I147" s="1504">
        <v>2824.2742910100001</v>
      </c>
      <c r="J147" s="1497">
        <v>8483.3870000000006</v>
      </c>
      <c r="K147" s="1492">
        <v>2023.0248979999999</v>
      </c>
      <c r="L147" s="1497">
        <v>33.383000000000003</v>
      </c>
      <c r="M147" s="1497">
        <v>132.91968531000001</v>
      </c>
      <c r="N147" s="1497">
        <v>53.905999999999999</v>
      </c>
      <c r="O147" s="1497">
        <v>10.058679</v>
      </c>
      <c r="P147" s="1497">
        <v>3144.4580000000001</v>
      </c>
      <c r="Q147" s="1504">
        <v>165.15754142</v>
      </c>
      <c r="R147" s="1504">
        <v>716.97699999999998</v>
      </c>
      <c r="S147" s="1504">
        <v>15.835014719999799</v>
      </c>
      <c r="T147" s="1504">
        <v>4952.6109999999999</v>
      </c>
      <c r="U147" s="1504">
        <v>366.90617607000001</v>
      </c>
      <c r="V147" s="1504"/>
      <c r="W147" s="1504"/>
      <c r="X147" s="1492">
        <v>1902.7260000000001</v>
      </c>
      <c r="Y147" s="1492">
        <v>126.20731121</v>
      </c>
      <c r="Z147" s="1492">
        <v>55.301000000000002</v>
      </c>
      <c r="AA147" s="1492">
        <v>16.544219859999998</v>
      </c>
      <c r="AB147" s="1492">
        <v>1847.425</v>
      </c>
      <c r="AC147" s="1492">
        <v>109.66309134999999</v>
      </c>
      <c r="AD147" s="1497">
        <v>16277.072</v>
      </c>
      <c r="AE147" s="1497">
        <v>2652.0140934800002</v>
      </c>
      <c r="AF147" s="1497">
        <v>8225.3019999999997</v>
      </c>
      <c r="AG147" s="1497">
        <v>1980.3451600000001</v>
      </c>
      <c r="AH147" s="1497">
        <v>2228.373</v>
      </c>
      <c r="AI147" s="1497">
        <v>236.89370674</v>
      </c>
      <c r="AJ147" s="1497">
        <v>535.22699999999998</v>
      </c>
      <c r="AK147" s="1497">
        <v>10.7145755299998</v>
      </c>
      <c r="AL147" s="1497">
        <v>4176.6419999999998</v>
      </c>
      <c r="AM147" s="1497">
        <v>327.57234039999997</v>
      </c>
      <c r="AN147" s="1497"/>
      <c r="AO147" s="1497"/>
      <c r="AP147" s="1497">
        <v>1646.7550000000001</v>
      </c>
      <c r="AQ147" s="1497">
        <v>107.20288634000001</v>
      </c>
      <c r="AR147" s="1497">
        <v>51.563000000000002</v>
      </c>
      <c r="AS147" s="1497">
        <v>14.877477730000001</v>
      </c>
      <c r="AT147" s="1497">
        <v>1595.192</v>
      </c>
      <c r="AU147" s="1497">
        <v>92.325408609999997</v>
      </c>
      <c r="AV147" s="1497">
        <v>2293.3989999999999</v>
      </c>
      <c r="AW147" s="1497">
        <v>172.26019753</v>
      </c>
      <c r="AX147" s="1497">
        <v>311.99099999999999</v>
      </c>
      <c r="AY147" s="1497">
        <v>52.738416999999998</v>
      </c>
      <c r="AZ147" s="1497">
        <v>949.46799999999996</v>
      </c>
      <c r="BA147" s="1497">
        <v>61.183519990000001</v>
      </c>
      <c r="BB147" s="1497">
        <v>181.75</v>
      </c>
      <c r="BC147" s="1497">
        <v>5.1204391900000008</v>
      </c>
      <c r="BD147" s="1497">
        <v>775.96900000000005</v>
      </c>
      <c r="BE147" s="1497">
        <v>39.333835669999999</v>
      </c>
      <c r="BF147" s="1497"/>
      <c r="BG147" s="1497"/>
      <c r="BH147" s="1497">
        <v>255.971</v>
      </c>
      <c r="BI147" s="1497">
        <v>19.004424870000001</v>
      </c>
      <c r="BJ147" s="1497">
        <v>3.738</v>
      </c>
      <c r="BK147" s="1497">
        <v>1.6667421299999998</v>
      </c>
      <c r="BL147" s="1497">
        <v>252.233</v>
      </c>
      <c r="BM147" s="1497">
        <v>17.337682740000002</v>
      </c>
    </row>
    <row r="148" spans="1:65">
      <c r="A148" s="409" t="s">
        <v>2362</v>
      </c>
      <c r="B148" s="1505">
        <v>9571.1640000000007</v>
      </c>
      <c r="C148" s="1505">
        <v>3681</v>
      </c>
      <c r="D148" s="1505">
        <v>3443.3139999999999</v>
      </c>
      <c r="E148" s="1505">
        <v>2525.0369999999998</v>
      </c>
      <c r="F148" s="1505">
        <v>2510.0189999999998</v>
      </c>
      <c r="G148" s="1499">
        <v>1092.7940000000001</v>
      </c>
      <c r="H148" s="1496">
        <f t="shared" ref="H148:AM148" si="31">SUM(H149:H160)</f>
        <v>227838.75900000002</v>
      </c>
      <c r="I148" s="1496">
        <f t="shared" si="31"/>
        <v>29447.401445410003</v>
      </c>
      <c r="J148" s="1496">
        <f t="shared" si="31"/>
        <v>84480.773000000001</v>
      </c>
      <c r="K148" s="1496">
        <f t="shared" si="31"/>
        <v>20285.173201999998</v>
      </c>
      <c r="L148" s="1496">
        <f t="shared" si="31"/>
        <v>279.77600000000001</v>
      </c>
      <c r="M148" s="1496">
        <f t="shared" si="31"/>
        <v>1478.9906118500003</v>
      </c>
      <c r="N148" s="1496">
        <f t="shared" si="31"/>
        <v>316.25</v>
      </c>
      <c r="O148" s="1496">
        <f t="shared" si="31"/>
        <v>66.371478999999994</v>
      </c>
      <c r="P148" s="1496">
        <f t="shared" si="31"/>
        <v>48334.738000000005</v>
      </c>
      <c r="Q148" s="1496">
        <f t="shared" si="31"/>
        <v>2177.4736723800002</v>
      </c>
      <c r="R148" s="1496">
        <f t="shared" si="31"/>
        <v>18677.970999999998</v>
      </c>
      <c r="S148" s="1496">
        <f t="shared" si="31"/>
        <v>492.73606024999998</v>
      </c>
      <c r="T148" s="1496">
        <f t="shared" si="31"/>
        <v>69871.207999999999</v>
      </c>
      <c r="U148" s="1496">
        <f t="shared" si="31"/>
        <v>4139.17198345</v>
      </c>
      <c r="V148" s="1496">
        <f t="shared" si="31"/>
        <v>43.014000000000003</v>
      </c>
      <c r="W148" s="1501">
        <f t="shared" si="31"/>
        <v>1.1855390000000001</v>
      </c>
      <c r="X148" s="1496">
        <f t="shared" si="31"/>
        <v>24513</v>
      </c>
      <c r="Y148" s="1496">
        <f t="shared" si="31"/>
        <v>1299.0349577300001</v>
      </c>
      <c r="Z148" s="1496">
        <f t="shared" si="31"/>
        <v>392.04699999999997</v>
      </c>
      <c r="AA148" s="1496">
        <f t="shared" si="31"/>
        <v>145.0527252</v>
      </c>
      <c r="AB148" s="1496">
        <f t="shared" si="31"/>
        <v>24120.952999999998</v>
      </c>
      <c r="AC148" s="1496">
        <f t="shared" si="31"/>
        <v>1153.9822325299999</v>
      </c>
      <c r="AD148" s="1496">
        <f t="shared" si="31"/>
        <v>196108.016</v>
      </c>
      <c r="AE148" s="1496">
        <f t="shared" si="31"/>
        <v>27595.53177741</v>
      </c>
      <c r="AF148" s="1496">
        <f t="shared" si="31"/>
        <v>81980.297000000006</v>
      </c>
      <c r="AG148" s="1496">
        <f t="shared" si="31"/>
        <v>19876.800981</v>
      </c>
      <c r="AH148" s="1496">
        <f t="shared" si="31"/>
        <v>34826.089</v>
      </c>
      <c r="AI148" s="1496">
        <f t="shared" si="31"/>
        <v>2965.7463743499998</v>
      </c>
      <c r="AJ148" s="1496">
        <f t="shared" si="31"/>
        <v>13623.975999999999</v>
      </c>
      <c r="AK148" s="1496">
        <f t="shared" si="31"/>
        <v>356.96652434999999</v>
      </c>
      <c r="AL148" s="1496">
        <f t="shared" si="31"/>
        <v>58242.565999999999</v>
      </c>
      <c r="AM148" s="1496">
        <f t="shared" si="31"/>
        <v>3670.2351931400003</v>
      </c>
      <c r="AN148" s="1496">
        <f t="shared" ref="AN148:BM148" si="32">SUM(AN149:AN160)</f>
        <v>29.247000000000007</v>
      </c>
      <c r="AO148" s="1436">
        <f t="shared" si="32"/>
        <v>0.79795300000000002</v>
      </c>
      <c r="AP148" s="1496">
        <f t="shared" si="32"/>
        <v>20981.613000000005</v>
      </c>
      <c r="AQ148" s="1496">
        <f t="shared" si="32"/>
        <v>1080.27880592</v>
      </c>
      <c r="AR148" s="1496">
        <f t="shared" si="32"/>
        <v>372.38499999999999</v>
      </c>
      <c r="AS148" s="1496">
        <f t="shared" si="32"/>
        <v>136.71474859</v>
      </c>
      <c r="AT148" s="1496">
        <f t="shared" si="32"/>
        <v>20657.431999999997</v>
      </c>
      <c r="AU148" s="1496">
        <f t="shared" si="32"/>
        <v>945.23652732999994</v>
      </c>
      <c r="AV148" s="1496">
        <f t="shared" si="32"/>
        <v>31730.742999999995</v>
      </c>
      <c r="AW148" s="1496">
        <f t="shared" si="32"/>
        <v>1851.869668</v>
      </c>
      <c r="AX148" s="1496">
        <f t="shared" si="32"/>
        <v>2816.7260000000001</v>
      </c>
      <c r="AY148" s="1496">
        <f t="shared" si="32"/>
        <v>474.74369999999999</v>
      </c>
      <c r="AZ148" s="1496">
        <f t="shared" si="32"/>
        <v>13788.424999999997</v>
      </c>
      <c r="BA148" s="1496">
        <f t="shared" si="32"/>
        <v>690.71790987999998</v>
      </c>
      <c r="BB148" s="1496">
        <f t="shared" si="32"/>
        <v>5053.9949999999999</v>
      </c>
      <c r="BC148" s="1496">
        <f t="shared" si="32"/>
        <v>135.76953589999999</v>
      </c>
      <c r="BD148" s="1496">
        <f t="shared" si="32"/>
        <v>11628.642</v>
      </c>
      <c r="BE148" s="1496">
        <f t="shared" si="32"/>
        <v>468.93679030999999</v>
      </c>
      <c r="BF148" s="1496">
        <f t="shared" si="32"/>
        <v>13.766999999999999</v>
      </c>
      <c r="BG148" s="1501">
        <f t="shared" si="32"/>
        <v>0.38758600000000004</v>
      </c>
      <c r="BH148" s="1496">
        <f t="shared" si="32"/>
        <v>3483.183</v>
      </c>
      <c r="BI148" s="1496">
        <f t="shared" si="32"/>
        <v>217.08368180999997</v>
      </c>
      <c r="BJ148" s="1496">
        <f t="shared" si="32"/>
        <v>19.661999999999995</v>
      </c>
      <c r="BK148" s="1496">
        <f t="shared" si="32"/>
        <v>8.3379766100000019</v>
      </c>
      <c r="BL148" s="1496">
        <f t="shared" si="32"/>
        <v>3463.5209999999993</v>
      </c>
      <c r="BM148" s="1496">
        <f t="shared" si="32"/>
        <v>208.7457052</v>
      </c>
    </row>
    <row r="149" spans="1:65">
      <c r="A149" s="409" t="s">
        <v>18</v>
      </c>
      <c r="B149" s="1504">
        <v>8008.9859999999999</v>
      </c>
      <c r="C149" s="1504">
        <v>1668.1379999999999</v>
      </c>
      <c r="D149" s="1504">
        <v>2707.355</v>
      </c>
      <c r="E149" s="1504">
        <v>2384.1550000000002</v>
      </c>
      <c r="F149" s="1504">
        <v>2088.357</v>
      </c>
      <c r="G149" s="1492">
        <v>829.11900000000003</v>
      </c>
      <c r="H149" s="1504">
        <v>15619.623</v>
      </c>
      <c r="I149" s="1504">
        <v>1931.87815275</v>
      </c>
      <c r="J149" s="1497">
        <v>5978.192</v>
      </c>
      <c r="K149" s="1492">
        <v>1279.8100730000001</v>
      </c>
      <c r="L149" s="1497">
        <v>19.193999999999999</v>
      </c>
      <c r="M149" s="1497">
        <v>67.633097100000001</v>
      </c>
      <c r="N149" s="1497">
        <v>57.375999999999998</v>
      </c>
      <c r="O149" s="1497">
        <v>9.7093520000000009</v>
      </c>
      <c r="P149" s="1497">
        <v>3037.8220000000001</v>
      </c>
      <c r="Q149" s="1504">
        <v>134.40345371999999</v>
      </c>
      <c r="R149" s="1504">
        <v>848.66200000000003</v>
      </c>
      <c r="S149" s="1504">
        <v>19.775222699999897</v>
      </c>
      <c r="T149" s="1504">
        <v>4665.8140000000003</v>
      </c>
      <c r="U149" s="1504">
        <v>297.40421937000002</v>
      </c>
      <c r="V149" s="1491"/>
      <c r="W149" s="1504"/>
      <c r="X149" s="1492">
        <v>1861.2249999999999</v>
      </c>
      <c r="Y149" s="1492">
        <v>142.91795755999999</v>
      </c>
      <c r="Z149" s="1492">
        <v>49.582999999999998</v>
      </c>
      <c r="AA149" s="1492">
        <v>16.966815960000002</v>
      </c>
      <c r="AB149" s="1492">
        <v>1811.6420000000001</v>
      </c>
      <c r="AC149" s="1492">
        <v>125.9511416</v>
      </c>
      <c r="AD149" s="1497">
        <v>13278.543</v>
      </c>
      <c r="AE149" s="1497">
        <v>1772.0139453700001</v>
      </c>
      <c r="AF149" s="1497">
        <v>5745.5680000000002</v>
      </c>
      <c r="AG149" s="1497">
        <v>1245.780831</v>
      </c>
      <c r="AH149" s="1497">
        <v>2063.7890000000002</v>
      </c>
      <c r="AI149" s="1497">
        <v>148.36639117999999</v>
      </c>
      <c r="AJ149" s="1497">
        <v>632.21699999999998</v>
      </c>
      <c r="AK149" s="1497">
        <v>14.0300677999999</v>
      </c>
      <c r="AL149" s="1497">
        <v>3870.46</v>
      </c>
      <c r="AM149" s="1497">
        <v>261.96300007999997</v>
      </c>
      <c r="AN149" s="1497"/>
      <c r="AO149" s="1497"/>
      <c r="AP149" s="1497">
        <v>1595.155</v>
      </c>
      <c r="AQ149" s="1497">
        <v>115.74769611000001</v>
      </c>
      <c r="AR149" s="1497">
        <v>46.087000000000003</v>
      </c>
      <c r="AS149" s="1497">
        <v>15.350044460000001</v>
      </c>
      <c r="AT149" s="1497">
        <v>1552.6389999999999</v>
      </c>
      <c r="AU149" s="1497">
        <v>100.55367865000001</v>
      </c>
      <c r="AV149" s="1497">
        <v>2341.08</v>
      </c>
      <c r="AW149" s="1497">
        <v>159.86420738000001</v>
      </c>
      <c r="AX149" s="1497">
        <v>290</v>
      </c>
      <c r="AY149" s="1497">
        <v>43.738593999999999</v>
      </c>
      <c r="AZ149" s="1497">
        <v>993.22699999999998</v>
      </c>
      <c r="BA149" s="1497">
        <v>53.670159640000001</v>
      </c>
      <c r="BB149" s="1497">
        <v>216.44499999999999</v>
      </c>
      <c r="BC149" s="1497">
        <v>5.7451549000000002</v>
      </c>
      <c r="BD149" s="1497">
        <v>795.35400000000004</v>
      </c>
      <c r="BE149" s="1497">
        <v>35.441219289999999</v>
      </c>
      <c r="BF149" s="1497"/>
      <c r="BG149" s="1497"/>
      <c r="BH149" s="1497">
        <v>262.49900000000002</v>
      </c>
      <c r="BI149" s="1497">
        <v>27.01423445</v>
      </c>
      <c r="BJ149" s="1497">
        <v>3.496</v>
      </c>
      <c r="BK149" s="1497">
        <v>1.6167715</v>
      </c>
      <c r="BL149" s="1497">
        <v>259.00299999999999</v>
      </c>
      <c r="BM149" s="1497">
        <v>25.397462949999998</v>
      </c>
    </row>
    <row r="150" spans="1:65">
      <c r="A150" s="409" t="s">
        <v>19</v>
      </c>
      <c r="B150" s="1504">
        <v>8140.6880000000001</v>
      </c>
      <c r="C150" s="1504">
        <v>1789.7650000000001</v>
      </c>
      <c r="D150" s="1504">
        <v>2722.5329999999999</v>
      </c>
      <c r="E150" s="1504">
        <v>2370.9360000000001</v>
      </c>
      <c r="F150" s="1504">
        <v>2156.7399999999998</v>
      </c>
      <c r="G150" s="1492">
        <v>890.47900000000004</v>
      </c>
      <c r="H150" s="1504">
        <v>16146.291999999999</v>
      </c>
      <c r="I150" s="1504">
        <v>2271.3782596000001</v>
      </c>
      <c r="J150" s="1497">
        <v>6748.1109999999999</v>
      </c>
      <c r="K150" s="1492">
        <v>1628.6011639999999</v>
      </c>
      <c r="L150" s="1497">
        <v>26.93</v>
      </c>
      <c r="M150" s="1497">
        <v>75.463465560000003</v>
      </c>
      <c r="N150" s="1497">
        <v>25.558</v>
      </c>
      <c r="O150" s="1497">
        <v>6.4679979999999997</v>
      </c>
      <c r="P150" s="1497">
        <v>2980.5309999999999</v>
      </c>
      <c r="Q150" s="1504">
        <v>125.50047646</v>
      </c>
      <c r="R150" s="1504">
        <v>960.29899999999998</v>
      </c>
      <c r="S150" s="1504">
        <v>19.360981289999998</v>
      </c>
      <c r="T150" s="1504">
        <v>4656.5219999999999</v>
      </c>
      <c r="U150" s="1504">
        <v>318.97367985</v>
      </c>
      <c r="V150" s="1491"/>
      <c r="W150" s="1504"/>
      <c r="X150" s="1492">
        <v>1708.64</v>
      </c>
      <c r="Y150" s="1492">
        <v>116.37147573</v>
      </c>
      <c r="Z150" s="1492">
        <v>41.473999999999997</v>
      </c>
      <c r="AA150" s="1492">
        <v>15.25024453</v>
      </c>
      <c r="AB150" s="1492">
        <v>1667.1659999999999</v>
      </c>
      <c r="AC150" s="1492">
        <v>101.1212312</v>
      </c>
      <c r="AD150" s="1497">
        <v>13960.842000000001</v>
      </c>
      <c r="AE150" s="1497">
        <v>2123.9022767000001</v>
      </c>
      <c r="AF150" s="1497">
        <v>6525.3969999999999</v>
      </c>
      <c r="AG150" s="1497">
        <v>1592.1695130000001</v>
      </c>
      <c r="AH150" s="1497">
        <v>2063.8890000000001</v>
      </c>
      <c r="AI150" s="1497">
        <v>152.15108182</v>
      </c>
      <c r="AJ150" s="1497">
        <v>744.87400000000002</v>
      </c>
      <c r="AK150" s="1497">
        <v>13.525012289999999</v>
      </c>
      <c r="AL150" s="1497">
        <v>3893.5830000000001</v>
      </c>
      <c r="AM150" s="1497">
        <v>283.96029263999998</v>
      </c>
      <c r="AN150" s="1497"/>
      <c r="AO150" s="1497"/>
      <c r="AP150" s="1497">
        <v>1474.7339999999999</v>
      </c>
      <c r="AQ150" s="1497">
        <v>95.498312240000004</v>
      </c>
      <c r="AR150" s="1497">
        <v>38.783999999999999</v>
      </c>
      <c r="AS150" s="1497">
        <v>13.95390269</v>
      </c>
      <c r="AT150" s="1497">
        <v>1439.1890000000001</v>
      </c>
      <c r="AU150" s="1497">
        <v>81.667486549999992</v>
      </c>
      <c r="AV150" s="1497">
        <v>2185.4499999999998</v>
      </c>
      <c r="AW150" s="1497">
        <v>147.47598289999999</v>
      </c>
      <c r="AX150" s="1497">
        <v>248.27199999999999</v>
      </c>
      <c r="AY150" s="1497">
        <v>42.899648999999997</v>
      </c>
      <c r="AZ150" s="1497">
        <v>943.572</v>
      </c>
      <c r="BA150" s="1497">
        <v>48.812860200000003</v>
      </c>
      <c r="BB150" s="1497">
        <v>215.42500000000001</v>
      </c>
      <c r="BC150" s="1497">
        <v>5.8359690000000004</v>
      </c>
      <c r="BD150" s="1497">
        <v>762.93899999999996</v>
      </c>
      <c r="BE150" s="1497">
        <v>35.013387209999998</v>
      </c>
      <c r="BF150" s="1497"/>
      <c r="BG150" s="1497"/>
      <c r="BH150" s="1497">
        <v>230.667</v>
      </c>
      <c r="BI150" s="1497">
        <v>20.750086490000001</v>
      </c>
      <c r="BJ150" s="1497">
        <v>2.69</v>
      </c>
      <c r="BK150" s="1497">
        <v>1.2963418400000002</v>
      </c>
      <c r="BL150" s="1497">
        <v>227.977</v>
      </c>
      <c r="BM150" s="1497">
        <v>19.453744649999997</v>
      </c>
    </row>
    <row r="151" spans="1:65">
      <c r="A151" s="409" t="s">
        <v>20</v>
      </c>
      <c r="B151" s="1504">
        <v>8166.6019999999999</v>
      </c>
      <c r="C151" s="1504">
        <v>1842.5029999999999</v>
      </c>
      <c r="D151" s="1504">
        <v>2754.4789999999998</v>
      </c>
      <c r="E151" s="1504">
        <v>2357.3879999999999</v>
      </c>
      <c r="F151" s="1504">
        <v>2124.83</v>
      </c>
      <c r="G151" s="1492">
        <v>929.90499999999997</v>
      </c>
      <c r="H151" s="1504">
        <v>18662.041000000001</v>
      </c>
      <c r="I151" s="1504">
        <v>2711.9116941500001</v>
      </c>
      <c r="J151" s="1497">
        <v>7919.43</v>
      </c>
      <c r="K151" s="1492">
        <v>1956.791457</v>
      </c>
      <c r="L151" s="1497">
        <v>33.228000000000002</v>
      </c>
      <c r="M151" s="1497">
        <v>125.96862036</v>
      </c>
      <c r="N151" s="1497">
        <v>25.765000000000001</v>
      </c>
      <c r="O151" s="1497">
        <v>7.4927130000000002</v>
      </c>
      <c r="P151" s="1497">
        <v>3598.9079999999999</v>
      </c>
      <c r="Q151" s="1504">
        <v>179.43078629999999</v>
      </c>
      <c r="R151" s="1504">
        <v>1011.36</v>
      </c>
      <c r="S151" s="1504">
        <v>25.018902030000103</v>
      </c>
      <c r="T151" s="1504">
        <v>5285.1210000000001</v>
      </c>
      <c r="U151" s="1504">
        <v>340.58879990000003</v>
      </c>
      <c r="V151" s="1491"/>
      <c r="W151" s="1504"/>
      <c r="X151" s="1492">
        <v>1799.5889999999999</v>
      </c>
      <c r="Y151" s="1492">
        <v>101.63931759</v>
      </c>
      <c r="Z151" s="1492">
        <v>44.186999999999998</v>
      </c>
      <c r="AA151" s="1492">
        <v>15.58099576</v>
      </c>
      <c r="AB151" s="1492">
        <v>1755.402</v>
      </c>
      <c r="AC151" s="1492">
        <v>86.058321829999997</v>
      </c>
      <c r="AD151" s="1497">
        <v>16258.643</v>
      </c>
      <c r="AE151" s="1497">
        <v>2551.1091143499998</v>
      </c>
      <c r="AF151" s="1497">
        <v>7697.9629999999997</v>
      </c>
      <c r="AG151" s="1497">
        <v>1919.0236299999999</v>
      </c>
      <c r="AH151" s="1497">
        <v>2547.2199999999998</v>
      </c>
      <c r="AI151" s="1497">
        <v>242.77703743999999</v>
      </c>
      <c r="AJ151" s="1497">
        <v>745.28700000000003</v>
      </c>
      <c r="AK151" s="1497">
        <v>16.6440960300001</v>
      </c>
      <c r="AL151" s="1497">
        <v>4446.5540000000001</v>
      </c>
      <c r="AM151" s="1497">
        <v>303.77800151000002</v>
      </c>
      <c r="AN151" s="1497"/>
      <c r="AO151" s="1497"/>
      <c r="AP151" s="1497">
        <v>1563.047</v>
      </c>
      <c r="AQ151" s="1497">
        <v>85.397842400000002</v>
      </c>
      <c r="AR151" s="1497">
        <v>41.734999999999999</v>
      </c>
      <c r="AS151" s="1497">
        <v>14.415457890000001</v>
      </c>
      <c r="AT151" s="1497">
        <v>1525.171</v>
      </c>
      <c r="AU151" s="1497">
        <v>71.114987510000006</v>
      </c>
      <c r="AV151" s="1497">
        <v>2403.3980000000001</v>
      </c>
      <c r="AW151" s="1497">
        <v>160.80257979999999</v>
      </c>
      <c r="AX151" s="1497">
        <v>247.232</v>
      </c>
      <c r="AY151" s="1497">
        <v>45.260539999999999</v>
      </c>
      <c r="AZ151" s="1497">
        <v>1084.9159999999999</v>
      </c>
      <c r="BA151" s="1497">
        <v>62.622369220000003</v>
      </c>
      <c r="BB151" s="1497">
        <v>266.07299999999998</v>
      </c>
      <c r="BC151" s="1497">
        <v>8.3748059999999995</v>
      </c>
      <c r="BD151" s="1497">
        <v>838.56700000000001</v>
      </c>
      <c r="BE151" s="1497">
        <v>36.810798390000002</v>
      </c>
      <c r="BF151" s="1497"/>
      <c r="BG151" s="1497"/>
      <c r="BH151" s="1497">
        <v>232.68299999999999</v>
      </c>
      <c r="BI151" s="1497">
        <v>16.10887219</v>
      </c>
      <c r="BJ151" s="1497">
        <v>2.452</v>
      </c>
      <c r="BK151" s="1497">
        <v>1.1655378700000001</v>
      </c>
      <c r="BL151" s="1497">
        <v>230.23099999999999</v>
      </c>
      <c r="BM151" s="1497">
        <v>14.94333432</v>
      </c>
    </row>
    <row r="152" spans="1:65">
      <c r="A152" s="409" t="s">
        <v>21</v>
      </c>
      <c r="B152" s="1504">
        <v>8336.9069999999992</v>
      </c>
      <c r="C152" s="1504">
        <v>1888.9559999999999</v>
      </c>
      <c r="D152" s="1504">
        <v>3023.627</v>
      </c>
      <c r="E152" s="1504">
        <v>2355.6120000000001</v>
      </c>
      <c r="F152" s="1504">
        <v>2080.259</v>
      </c>
      <c r="G152" s="1492">
        <v>877.40899999999999</v>
      </c>
      <c r="H152" s="1504">
        <v>15749.464</v>
      </c>
      <c r="I152" s="1504">
        <v>1955.1039318799999</v>
      </c>
      <c r="J152" s="1497">
        <v>5769.9759999999997</v>
      </c>
      <c r="K152" s="1492">
        <v>1381.773831</v>
      </c>
      <c r="L152" s="1497">
        <v>15.414999999999999</v>
      </c>
      <c r="M152" s="1497">
        <v>59.861938019999997</v>
      </c>
      <c r="N152" s="1497">
        <v>24.905999999999999</v>
      </c>
      <c r="O152" s="1497">
        <v>4.9060170000000003</v>
      </c>
      <c r="P152" s="1497">
        <v>3393.7979999999998</v>
      </c>
      <c r="Q152" s="1504">
        <v>164.74278430000001</v>
      </c>
      <c r="R152" s="1504">
        <v>977.995</v>
      </c>
      <c r="S152" s="1504">
        <v>22.08130607</v>
      </c>
      <c r="T152" s="1504">
        <v>5186.0510000000004</v>
      </c>
      <c r="U152" s="1504">
        <v>280.18762992000001</v>
      </c>
      <c r="V152" s="1491"/>
      <c r="W152" s="1504"/>
      <c r="X152" s="1492">
        <v>1359.318</v>
      </c>
      <c r="Y152" s="1492">
        <v>63.631731639999998</v>
      </c>
      <c r="Z152" s="1492">
        <v>24.649000000000001</v>
      </c>
      <c r="AA152" s="1492">
        <v>8.82958496</v>
      </c>
      <c r="AB152" s="1492">
        <v>1334.6690000000001</v>
      </c>
      <c r="AC152" s="1492">
        <v>54.80214668</v>
      </c>
      <c r="AD152" s="1497">
        <v>13778.29</v>
      </c>
      <c r="AE152" s="1497">
        <v>1848.10779596</v>
      </c>
      <c r="AF152" s="1497">
        <v>5647.2280000000001</v>
      </c>
      <c r="AG152" s="1497">
        <v>1360.2828910000001</v>
      </c>
      <c r="AH152" s="1497">
        <v>2583.5569999999998</v>
      </c>
      <c r="AI152" s="1497">
        <v>190.1934645</v>
      </c>
      <c r="AJ152" s="1497">
        <v>750.23800000000006</v>
      </c>
      <c r="AK152" s="1497">
        <v>15.74234407</v>
      </c>
      <c r="AL152" s="1497">
        <v>4368.9960000000001</v>
      </c>
      <c r="AM152" s="1497">
        <v>244.28766049999999</v>
      </c>
      <c r="AN152" s="1497"/>
      <c r="AO152" s="1497"/>
      <c r="AP152" s="1497">
        <v>1175.6120000000001</v>
      </c>
      <c r="AQ152" s="1497">
        <v>53.260046959999997</v>
      </c>
      <c r="AR152" s="1497">
        <v>23.343</v>
      </c>
      <c r="AS152" s="1497">
        <v>8.1984125599999995</v>
      </c>
      <c r="AT152" s="1497">
        <v>1155.1659999999999</v>
      </c>
      <c r="AU152" s="1497">
        <v>45.145367399999998</v>
      </c>
      <c r="AV152" s="1497">
        <v>1971.174</v>
      </c>
      <c r="AW152" s="1497">
        <v>106.99613592</v>
      </c>
      <c r="AX152" s="1497">
        <v>147.654</v>
      </c>
      <c r="AY152" s="1497">
        <v>26.396957</v>
      </c>
      <c r="AZ152" s="1497">
        <v>825.65599999999995</v>
      </c>
      <c r="BA152" s="1497">
        <v>34.411257820000003</v>
      </c>
      <c r="BB152" s="1497">
        <v>227.75700000000001</v>
      </c>
      <c r="BC152" s="1497">
        <v>6.3389620000000004</v>
      </c>
      <c r="BD152" s="1497">
        <v>817.05499999999995</v>
      </c>
      <c r="BE152" s="1497">
        <v>35.899969419999998</v>
      </c>
      <c r="BF152" s="1497"/>
      <c r="BG152" s="1497"/>
      <c r="BH152" s="1497">
        <v>180.809</v>
      </c>
      <c r="BI152" s="1497">
        <v>10.287951680000001</v>
      </c>
      <c r="BJ152" s="1497">
        <v>1.306</v>
      </c>
      <c r="BK152" s="1497">
        <v>0.63117240000000008</v>
      </c>
      <c r="BL152" s="1497">
        <v>179.50299999999999</v>
      </c>
      <c r="BM152" s="1497">
        <v>9.6567792799999985</v>
      </c>
    </row>
    <row r="153" spans="1:65">
      <c r="A153" s="409" t="s">
        <v>22</v>
      </c>
      <c r="B153" s="1504">
        <v>8787.241</v>
      </c>
      <c r="C153" s="1504">
        <v>2101.3580000000002</v>
      </c>
      <c r="D153" s="1504">
        <v>3429.92</v>
      </c>
      <c r="E153" s="1504">
        <v>2347.87</v>
      </c>
      <c r="F153" s="1504">
        <v>2097.3290000000002</v>
      </c>
      <c r="G153" s="1492">
        <v>912.12199999999996</v>
      </c>
      <c r="H153" s="1504">
        <v>18294.422999999999</v>
      </c>
      <c r="I153" s="1504">
        <v>2357.903855</v>
      </c>
      <c r="J153" s="1497">
        <v>7492.4030000000002</v>
      </c>
      <c r="K153" s="1492">
        <v>1742.426367</v>
      </c>
      <c r="L153" s="1497">
        <v>19.838000000000001</v>
      </c>
      <c r="M153" s="1497">
        <v>59.844197999999999</v>
      </c>
      <c r="N153" s="1497">
        <v>26.286999999999999</v>
      </c>
      <c r="O153" s="1497">
        <v>5.5121729999999998</v>
      </c>
      <c r="P153" s="1497">
        <v>3687.491</v>
      </c>
      <c r="Q153" s="1504">
        <v>175.67483100000001</v>
      </c>
      <c r="R153" s="1504">
        <v>1060.4639999999999</v>
      </c>
      <c r="S153" s="1504">
        <v>23.615728000000001</v>
      </c>
      <c r="T153" s="1504">
        <v>5503.0119999999997</v>
      </c>
      <c r="U153" s="1504">
        <v>301.88805300000001</v>
      </c>
      <c r="V153" s="1491"/>
      <c r="W153" s="1504"/>
      <c r="X153" s="1492">
        <v>1565.3920000000001</v>
      </c>
      <c r="Y153" s="1492">
        <v>72.558233000000001</v>
      </c>
      <c r="Z153" s="1492">
        <v>24.762</v>
      </c>
      <c r="AA153" s="1492">
        <v>8.6987780000000008</v>
      </c>
      <c r="AB153" s="1492">
        <v>1540.63</v>
      </c>
      <c r="AC153" s="1492">
        <v>63.859454999999997</v>
      </c>
      <c r="AD153" s="1497">
        <v>15907.776</v>
      </c>
      <c r="AE153" s="1497">
        <v>2224.8050029999999</v>
      </c>
      <c r="AF153" s="1497">
        <v>7317.3689999999997</v>
      </c>
      <c r="AG153" s="1497">
        <v>1715.3217959999999</v>
      </c>
      <c r="AH153" s="1497">
        <v>2666.63</v>
      </c>
      <c r="AI153" s="1497">
        <v>180.94201000000001</v>
      </c>
      <c r="AJ153" s="1497">
        <v>765.03499999999997</v>
      </c>
      <c r="AK153" s="1497">
        <v>15.604685999999999</v>
      </c>
      <c r="AL153" s="1497">
        <v>4574.9219999999996</v>
      </c>
      <c r="AM153" s="1497">
        <v>267.00664399999999</v>
      </c>
      <c r="AN153" s="1497"/>
      <c r="AO153" s="1497"/>
      <c r="AP153" s="1497">
        <v>1344.999</v>
      </c>
      <c r="AQ153" s="1497">
        <v>61.421467</v>
      </c>
      <c r="AR153" s="1497">
        <v>24.181999999999999</v>
      </c>
      <c r="AS153" s="1497">
        <v>8.3900629999999996</v>
      </c>
      <c r="AT153" s="1497">
        <v>1324.673</v>
      </c>
      <c r="AU153" s="1497">
        <v>53.144489999999998</v>
      </c>
      <c r="AV153" s="1497">
        <v>2386.6469999999999</v>
      </c>
      <c r="AW153" s="1497">
        <v>133.09885199999999</v>
      </c>
      <c r="AX153" s="1497">
        <v>201.321</v>
      </c>
      <c r="AY153" s="1497">
        <v>32.616743999999997</v>
      </c>
      <c r="AZ153" s="1497">
        <v>1040.6990000000001</v>
      </c>
      <c r="BA153" s="1497">
        <v>54.577019</v>
      </c>
      <c r="BB153" s="1497">
        <v>295.42899999999997</v>
      </c>
      <c r="BC153" s="1497">
        <v>8.0110419999999998</v>
      </c>
      <c r="BD153" s="1497">
        <v>928.09</v>
      </c>
      <c r="BE153" s="1497">
        <v>34.881408999999998</v>
      </c>
      <c r="BF153" s="1497"/>
      <c r="BG153" s="1497"/>
      <c r="BH153" s="1497">
        <v>216.53700000000001</v>
      </c>
      <c r="BI153" s="1497">
        <v>11.023680000000001</v>
      </c>
      <c r="BJ153" s="1497">
        <v>0.57999999999999996</v>
      </c>
      <c r="BK153" s="1497">
        <v>0.30871500000000002</v>
      </c>
      <c r="BL153" s="1497">
        <v>215.95699999999999</v>
      </c>
      <c r="BM153" s="1497">
        <v>10.714964999999999</v>
      </c>
    </row>
    <row r="154" spans="1:65">
      <c r="A154" s="409" t="s">
        <v>23</v>
      </c>
      <c r="B154" s="1504">
        <v>8986.9950000000008</v>
      </c>
      <c r="C154" s="1504">
        <v>2347.7310000000002</v>
      </c>
      <c r="D154" s="1504">
        <v>3505.2429999999999</v>
      </c>
      <c r="E154" s="1504">
        <v>2414.12</v>
      </c>
      <c r="F154" s="1504">
        <v>2118.942</v>
      </c>
      <c r="G154" s="1492">
        <v>948.69</v>
      </c>
      <c r="H154" s="1504">
        <v>18682.89</v>
      </c>
      <c r="I154" s="1504">
        <v>2349.5640790000002</v>
      </c>
      <c r="J154" s="1497">
        <v>6761.16</v>
      </c>
      <c r="K154" s="1492">
        <v>1631.484177</v>
      </c>
      <c r="L154" s="1497">
        <v>24.091999999999999</v>
      </c>
      <c r="M154" s="1497">
        <v>124.843953</v>
      </c>
      <c r="N154" s="1497">
        <v>26.486000000000001</v>
      </c>
      <c r="O154" s="1497">
        <v>5.927899</v>
      </c>
      <c r="P154" s="1497">
        <v>4166.0129999999999</v>
      </c>
      <c r="Q154" s="1504">
        <v>173.95560499999999</v>
      </c>
      <c r="R154" s="1504">
        <v>1439.0319999999999</v>
      </c>
      <c r="S154" s="1504">
        <v>32.801513999999997</v>
      </c>
      <c r="T154" s="1504">
        <v>5940.6509999999998</v>
      </c>
      <c r="U154" s="1504">
        <v>341.13626299999999</v>
      </c>
      <c r="V154" s="1491">
        <v>1.8440000000000001</v>
      </c>
      <c r="W154" s="1503">
        <v>6.2872999999999998E-2</v>
      </c>
      <c r="X154" s="1492">
        <v>1762.644</v>
      </c>
      <c r="Y154" s="1492">
        <v>72.153308999999993</v>
      </c>
      <c r="Z154" s="1492">
        <v>29.114000000000001</v>
      </c>
      <c r="AA154" s="1492">
        <v>9.4616609999999994</v>
      </c>
      <c r="AB154" s="1492">
        <v>1733.53</v>
      </c>
      <c r="AC154" s="1492">
        <v>62.691648000000001</v>
      </c>
      <c r="AD154" s="1497">
        <v>16023.476000000001</v>
      </c>
      <c r="AE154" s="1497">
        <v>2210.0239339999998</v>
      </c>
      <c r="AF154" s="1497">
        <v>6555.5569999999998</v>
      </c>
      <c r="AG154" s="1497">
        <v>1599.54718</v>
      </c>
      <c r="AH154" s="1497">
        <v>3021.4969999999998</v>
      </c>
      <c r="AI154" s="1497">
        <v>244.34017800000001</v>
      </c>
      <c r="AJ154" s="1497">
        <v>1069.194</v>
      </c>
      <c r="AK154" s="1497">
        <v>23.520023999999999</v>
      </c>
      <c r="AL154" s="1497">
        <v>4929.4030000000002</v>
      </c>
      <c r="AM154" s="1497">
        <v>303.45389899999998</v>
      </c>
      <c r="AN154" s="1497">
        <v>1.4259999999999999</v>
      </c>
      <c r="AO154" s="1502">
        <v>3.3019E-2</v>
      </c>
      <c r="AP154" s="1497">
        <v>1511.7629999999999</v>
      </c>
      <c r="AQ154" s="1497">
        <v>62.529079000000003</v>
      </c>
      <c r="AR154" s="1497">
        <v>28.244</v>
      </c>
      <c r="AS154" s="1497">
        <v>9.2163699999999995</v>
      </c>
      <c r="AT154" s="1497">
        <v>1487.3489999999999</v>
      </c>
      <c r="AU154" s="1497">
        <v>53.433287999999997</v>
      </c>
      <c r="AV154" s="1497">
        <v>2659.4140000000002</v>
      </c>
      <c r="AW154" s="1497">
        <v>139.540145</v>
      </c>
      <c r="AX154" s="1497">
        <v>232.089</v>
      </c>
      <c r="AY154" s="1497">
        <v>37.864896000000002</v>
      </c>
      <c r="AZ154" s="1497">
        <v>1168.6079999999999</v>
      </c>
      <c r="BA154" s="1497">
        <v>54.459380000000003</v>
      </c>
      <c r="BB154" s="1497">
        <v>369.83800000000002</v>
      </c>
      <c r="BC154" s="1497">
        <v>9.2814899999999998</v>
      </c>
      <c r="BD154" s="1497">
        <v>1011.248</v>
      </c>
      <c r="BE154" s="1497">
        <v>37.682364</v>
      </c>
      <c r="BF154" s="1494">
        <v>0.41799999999999998</v>
      </c>
      <c r="BG154" s="1493">
        <v>2.9853999999999999E-2</v>
      </c>
      <c r="BH154" s="1497">
        <v>247.05099999999999</v>
      </c>
      <c r="BI154" s="1497">
        <v>9.5036509999999996</v>
      </c>
      <c r="BJ154" s="1493">
        <v>0.87</v>
      </c>
      <c r="BK154" s="1493">
        <v>0.24529100000000001</v>
      </c>
      <c r="BL154" s="1497">
        <v>246.18100000000001</v>
      </c>
      <c r="BM154" s="1497">
        <v>9.2583599999999997</v>
      </c>
    </row>
    <row r="155" spans="1:65">
      <c r="A155" s="409" t="s">
        <v>24</v>
      </c>
      <c r="B155" s="1504">
        <v>9119.6540000000005</v>
      </c>
      <c r="C155" s="1504">
        <v>2453.9479999999999</v>
      </c>
      <c r="D155" s="1504">
        <v>3500.5219999999999</v>
      </c>
      <c r="E155" s="1504">
        <v>2444.6709999999998</v>
      </c>
      <c r="F155" s="1504">
        <v>2189.0970000000002</v>
      </c>
      <c r="G155" s="1492">
        <v>985.36400000000003</v>
      </c>
      <c r="H155" s="1504">
        <v>19400.391</v>
      </c>
      <c r="I155" s="1504">
        <v>2723.2378650000001</v>
      </c>
      <c r="J155" s="1497">
        <v>7256.1710000000003</v>
      </c>
      <c r="K155" s="1492">
        <v>1804.5969720000001</v>
      </c>
      <c r="L155" s="1497">
        <v>27.045000000000002</v>
      </c>
      <c r="M155" s="1497">
        <v>317.16351800000001</v>
      </c>
      <c r="N155" s="1497">
        <v>21.481999999999999</v>
      </c>
      <c r="O155" s="1497">
        <v>4.5839340000000002</v>
      </c>
      <c r="P155" s="1497">
        <v>3872.6480000000001</v>
      </c>
      <c r="Q155" s="1504">
        <v>142.585373</v>
      </c>
      <c r="R155" s="1504">
        <v>1532.482</v>
      </c>
      <c r="S155" s="1504">
        <v>31.323922</v>
      </c>
      <c r="T155" s="1504">
        <v>6134.4</v>
      </c>
      <c r="U155" s="1504">
        <v>350.50322299999999</v>
      </c>
      <c r="V155" s="1491">
        <v>6.3220000000000001</v>
      </c>
      <c r="W155" s="1503">
        <v>0.18315400000000001</v>
      </c>
      <c r="X155" s="1492">
        <v>2082.3229999999999</v>
      </c>
      <c r="Y155" s="1492">
        <v>103.621691</v>
      </c>
      <c r="Z155" s="1492">
        <v>29.79</v>
      </c>
      <c r="AA155" s="1492">
        <v>11.224579</v>
      </c>
      <c r="AB155" s="1492">
        <v>2052.5329999999999</v>
      </c>
      <c r="AC155" s="1492">
        <v>92.397112000000007</v>
      </c>
      <c r="AD155" s="1497">
        <v>16974.866999999998</v>
      </c>
      <c r="AE155" s="1497">
        <v>2594.6812100000002</v>
      </c>
      <c r="AF155" s="1497">
        <v>7090.875</v>
      </c>
      <c r="AG155" s="1497">
        <v>1777.7160140000001</v>
      </c>
      <c r="AH155" s="1497">
        <v>2901.7620000000002</v>
      </c>
      <c r="AI155" s="1497">
        <v>416.99421799999999</v>
      </c>
      <c r="AJ155" s="1497">
        <v>1168.085</v>
      </c>
      <c r="AK155" s="1497">
        <v>21.864367000000001</v>
      </c>
      <c r="AL155" s="1497">
        <v>5172.09</v>
      </c>
      <c r="AM155" s="1497">
        <v>313.02346199999999</v>
      </c>
      <c r="AN155" s="1497">
        <v>5.8470000000000004</v>
      </c>
      <c r="AO155" s="1502">
        <v>0.170212</v>
      </c>
      <c r="AP155" s="1497">
        <v>1799.876</v>
      </c>
      <c r="AQ155" s="1497">
        <v>86.631934999999999</v>
      </c>
      <c r="AR155" s="1497">
        <v>28.831</v>
      </c>
      <c r="AS155" s="1497">
        <v>10.823833</v>
      </c>
      <c r="AT155" s="1497">
        <v>1775.462</v>
      </c>
      <c r="AU155" s="1497">
        <v>75.953470999999993</v>
      </c>
      <c r="AV155" s="1497">
        <v>2425.5239999999999</v>
      </c>
      <c r="AW155" s="1497">
        <v>128.55665500000001</v>
      </c>
      <c r="AX155" s="1497">
        <v>186.77799999999999</v>
      </c>
      <c r="AY155" s="1497">
        <v>31.464891999999999</v>
      </c>
      <c r="AZ155" s="1497">
        <v>997.93100000000004</v>
      </c>
      <c r="BA155" s="1497">
        <v>42.754672999999997</v>
      </c>
      <c r="BB155" s="1497">
        <v>364.39699999999999</v>
      </c>
      <c r="BC155" s="1497">
        <v>9.4595549999999999</v>
      </c>
      <c r="BD155" s="1497">
        <v>962.31</v>
      </c>
      <c r="BE155" s="1497">
        <v>37.479761000000003</v>
      </c>
      <c r="BF155" s="1494">
        <v>0.47499999999999998</v>
      </c>
      <c r="BG155" s="1493">
        <v>1.2942E-2</v>
      </c>
      <c r="BH155" s="1497">
        <v>278.02999999999997</v>
      </c>
      <c r="BI155" s="1497">
        <v>16.844387000000001</v>
      </c>
      <c r="BJ155" s="1493">
        <v>0.95899999999999996</v>
      </c>
      <c r="BK155" s="1493">
        <v>0.40074599999999999</v>
      </c>
      <c r="BL155" s="1497">
        <v>277.07100000000003</v>
      </c>
      <c r="BM155" s="1497">
        <v>16.443641</v>
      </c>
    </row>
    <row r="156" spans="1:65">
      <c r="A156" s="409" t="s">
        <v>25</v>
      </c>
      <c r="B156" s="1504">
        <v>9097.3220000000001</v>
      </c>
      <c r="C156" s="1504">
        <v>2752.0770000000002</v>
      </c>
      <c r="D156" s="1504">
        <v>3379.2130000000002</v>
      </c>
      <c r="E156" s="1504">
        <v>2459.5949999999998</v>
      </c>
      <c r="F156" s="1504">
        <v>2240.5410000000002</v>
      </c>
      <c r="G156" s="1492">
        <v>1017.973</v>
      </c>
      <c r="H156" s="1504">
        <v>20774.988000000001</v>
      </c>
      <c r="I156" s="1504">
        <v>2531.401621</v>
      </c>
      <c r="J156" s="1497">
        <v>7319.1019999999999</v>
      </c>
      <c r="K156" s="1492">
        <v>1679.8346819999999</v>
      </c>
      <c r="L156" s="1497">
        <v>22.988</v>
      </c>
      <c r="M156" s="1497">
        <v>163.384694</v>
      </c>
      <c r="N156" s="1497">
        <v>22.594999999999999</v>
      </c>
      <c r="O156" s="1497">
        <v>4.8047120000000003</v>
      </c>
      <c r="P156" s="1497">
        <v>4464.1689999999999</v>
      </c>
      <c r="Q156" s="1504">
        <v>179.34751299999999</v>
      </c>
      <c r="R156" s="1504">
        <v>1836.846</v>
      </c>
      <c r="S156" s="1504">
        <v>39.152150450000001</v>
      </c>
      <c r="T156" s="1504">
        <v>6479.7629999999999</v>
      </c>
      <c r="U156" s="1504">
        <v>373.16408999999999</v>
      </c>
      <c r="V156" s="1491">
        <v>7.1289999999999996</v>
      </c>
      <c r="W156" s="1503">
        <v>0.178096</v>
      </c>
      <c r="X156" s="1492">
        <v>2459.2420000000002</v>
      </c>
      <c r="Y156" s="1492">
        <v>130.68783400000001</v>
      </c>
      <c r="Z156" s="1492">
        <v>29.405999999999999</v>
      </c>
      <c r="AA156" s="1492">
        <v>12.052963999999999</v>
      </c>
      <c r="AB156" s="1492">
        <v>2429.8359999999998</v>
      </c>
      <c r="AC156" s="1492">
        <v>118.63487000000001</v>
      </c>
      <c r="AD156" s="1497">
        <v>18026.411</v>
      </c>
      <c r="AE156" s="1497">
        <v>2372.4023849999999</v>
      </c>
      <c r="AF156" s="1497">
        <v>7122.0320000000002</v>
      </c>
      <c r="AG156" s="1497">
        <v>1647.4519849999999</v>
      </c>
      <c r="AH156" s="1497">
        <v>3326.8760000000002</v>
      </c>
      <c r="AI156" s="1497">
        <v>283.82128499999999</v>
      </c>
      <c r="AJ156" s="1497">
        <v>1417.412</v>
      </c>
      <c r="AK156" s="1497">
        <v>28.16028945</v>
      </c>
      <c r="AL156" s="1497">
        <v>5452.6779999999999</v>
      </c>
      <c r="AM156" s="1497">
        <v>331.62051700000001</v>
      </c>
      <c r="AN156" s="1497">
        <v>6.4960000000000004</v>
      </c>
      <c r="AO156" s="1502">
        <v>0.148366</v>
      </c>
      <c r="AP156" s="1497">
        <v>2113.4459999999999</v>
      </c>
      <c r="AQ156" s="1497">
        <v>109.177346</v>
      </c>
      <c r="AR156" s="1497">
        <v>28.271000000000001</v>
      </c>
      <c r="AS156" s="1497">
        <v>11.674193000000001</v>
      </c>
      <c r="AT156" s="1497">
        <v>2090.058</v>
      </c>
      <c r="AU156" s="1497">
        <v>97.686038999999994</v>
      </c>
      <c r="AV156" s="1497">
        <v>2748.5770000000002</v>
      </c>
      <c r="AW156" s="1497">
        <v>158.999236</v>
      </c>
      <c r="AX156" s="1497">
        <v>219.66499999999999</v>
      </c>
      <c r="AY156" s="1497">
        <v>37.187409000000002</v>
      </c>
      <c r="AZ156" s="1497">
        <v>1160.2809999999999</v>
      </c>
      <c r="BA156" s="1497">
        <v>58.910921999999999</v>
      </c>
      <c r="BB156" s="1497">
        <v>419.43400000000003</v>
      </c>
      <c r="BC156" s="1497">
        <v>10.991861</v>
      </c>
      <c r="BD156" s="1497">
        <v>1027.085</v>
      </c>
      <c r="BE156" s="1497">
        <v>41.543573000000002</v>
      </c>
      <c r="BF156" s="1494">
        <v>0.63300000000000001</v>
      </c>
      <c r="BG156" s="1493">
        <v>2.9729999999999999E-2</v>
      </c>
      <c r="BH156" s="1497">
        <v>340.91300000000001</v>
      </c>
      <c r="BI156" s="1497">
        <v>21.327601999999999</v>
      </c>
      <c r="BJ156" s="1493">
        <v>1.135</v>
      </c>
      <c r="BK156" s="1493">
        <v>0.37877100000000002</v>
      </c>
      <c r="BL156" s="1497">
        <v>339.77800000000002</v>
      </c>
      <c r="BM156" s="1497">
        <v>20.948830999999998</v>
      </c>
    </row>
    <row r="157" spans="1:65">
      <c r="A157" s="409" t="s">
        <v>26</v>
      </c>
      <c r="B157" s="1504">
        <v>9305.9459999999999</v>
      </c>
      <c r="C157" s="1504">
        <v>3011.799</v>
      </c>
      <c r="D157" s="1504">
        <v>3408.038</v>
      </c>
      <c r="E157" s="1504">
        <v>2502.5430000000001</v>
      </c>
      <c r="F157" s="1504">
        <v>2338.2089999999998</v>
      </c>
      <c r="G157" s="1492">
        <v>1057.1559999999999</v>
      </c>
      <c r="H157" s="1504">
        <v>20674.400000000001</v>
      </c>
      <c r="I157" s="1504">
        <v>2478.5402720000002</v>
      </c>
      <c r="J157" s="1497">
        <v>6990.16</v>
      </c>
      <c r="K157" s="1492">
        <v>1642.29602</v>
      </c>
      <c r="L157" s="1497">
        <v>20.739000000000001</v>
      </c>
      <c r="M157" s="1497">
        <v>112.876581</v>
      </c>
      <c r="N157" s="1497">
        <v>21.704000000000001</v>
      </c>
      <c r="O157" s="1497">
        <v>4.4210269999999996</v>
      </c>
      <c r="P157" s="1497">
        <v>4722.6639999999998</v>
      </c>
      <c r="Q157" s="1504">
        <v>206.76544699999999</v>
      </c>
      <c r="R157" s="1504">
        <v>1992.4749999999999</v>
      </c>
      <c r="S157" s="1504">
        <v>48.576447000000002</v>
      </c>
      <c r="T157" s="1504">
        <v>6392.7179999999998</v>
      </c>
      <c r="U157" s="1504">
        <v>377.49714799999998</v>
      </c>
      <c r="V157" s="1491">
        <v>7.61</v>
      </c>
      <c r="W157" s="1503">
        <v>0.22120999999999999</v>
      </c>
      <c r="X157" s="1492">
        <v>2518.8049999999998</v>
      </c>
      <c r="Y157" s="1492">
        <v>134.462839</v>
      </c>
      <c r="Z157" s="1492">
        <v>29.939</v>
      </c>
      <c r="AA157" s="1492">
        <v>12.607407</v>
      </c>
      <c r="AB157" s="1492">
        <v>2488.866</v>
      </c>
      <c r="AC157" s="1492">
        <v>121.85543199999999</v>
      </c>
      <c r="AD157" s="1497">
        <v>17565.598999999998</v>
      </c>
      <c r="AE157" s="1497">
        <v>2299.6619719999999</v>
      </c>
      <c r="AF157" s="1497">
        <v>6734.8329999999996</v>
      </c>
      <c r="AG157" s="1497">
        <v>1601.0193280000001</v>
      </c>
      <c r="AH157" s="1497">
        <v>3360.5940000000001</v>
      </c>
      <c r="AI157" s="1497">
        <v>250.52866900000001</v>
      </c>
      <c r="AJ157" s="1497">
        <v>1457.2080000000001</v>
      </c>
      <c r="AK157" s="1497">
        <v>34.725301000000002</v>
      </c>
      <c r="AL157" s="1497">
        <v>5303.2250000000004</v>
      </c>
      <c r="AM157" s="1497">
        <v>335.45137</v>
      </c>
      <c r="AN157" s="1497">
        <v>6.0940000000000003</v>
      </c>
      <c r="AO157" s="1502">
        <v>0.15751000000000001</v>
      </c>
      <c r="AP157" s="1497">
        <v>2156.4070000000002</v>
      </c>
      <c r="AQ157" s="1497">
        <v>112.34201</v>
      </c>
      <c r="AR157" s="1497">
        <v>28.571999999999999</v>
      </c>
      <c r="AS157" s="1497">
        <v>12.01135</v>
      </c>
      <c r="AT157" s="1497">
        <v>2132.2809999999999</v>
      </c>
      <c r="AU157" s="1497">
        <v>100.493745</v>
      </c>
      <c r="AV157" s="1497">
        <v>3108.8009999999999</v>
      </c>
      <c r="AW157" s="1497">
        <v>178.8783</v>
      </c>
      <c r="AX157" s="1497">
        <v>277.03100000000001</v>
      </c>
      <c r="AY157" s="1497">
        <v>45.697718999999999</v>
      </c>
      <c r="AZ157" s="1497">
        <v>1382.809</v>
      </c>
      <c r="BA157" s="1497">
        <v>69.113359000000003</v>
      </c>
      <c r="BB157" s="1497">
        <v>535.26700000000005</v>
      </c>
      <c r="BC157" s="1497">
        <v>13.851146</v>
      </c>
      <c r="BD157" s="1497">
        <v>1089.4929999999999</v>
      </c>
      <c r="BE157" s="1497">
        <v>42.045777999999999</v>
      </c>
      <c r="BF157" s="1494">
        <v>1.516</v>
      </c>
      <c r="BG157" s="1493">
        <v>6.3700000000000007E-2</v>
      </c>
      <c r="BH157" s="1497">
        <v>357.952</v>
      </c>
      <c r="BI157" s="1497">
        <v>21.957744000000002</v>
      </c>
      <c r="BJ157" s="1493">
        <v>1.367</v>
      </c>
      <c r="BK157" s="1493">
        <v>0.59605699999999995</v>
      </c>
      <c r="BL157" s="1497">
        <v>356.58499999999998</v>
      </c>
      <c r="BM157" s="1497">
        <v>21.361687</v>
      </c>
    </row>
    <row r="158" spans="1:65">
      <c r="A158" s="409" t="s">
        <v>27</v>
      </c>
      <c r="B158" s="1504">
        <v>9452.6779999999999</v>
      </c>
      <c r="C158" s="1504">
        <v>3215.2429999999999</v>
      </c>
      <c r="D158" s="1504">
        <v>3423.8780000000002</v>
      </c>
      <c r="E158" s="1504">
        <v>2502.7449999999999</v>
      </c>
      <c r="F158" s="1504">
        <v>2459.605</v>
      </c>
      <c r="G158" s="1492">
        <v>1066.45</v>
      </c>
      <c r="H158" s="1504">
        <v>19203.418000000001</v>
      </c>
      <c r="I158" s="1504">
        <v>2417.7256790000001</v>
      </c>
      <c r="J158" s="1497">
        <v>6972.6360000000004</v>
      </c>
      <c r="K158" s="1492">
        <v>1678.585918</v>
      </c>
      <c r="L158" s="1497">
        <v>20.966999999999999</v>
      </c>
      <c r="M158" s="1497">
        <v>88.705933000000002</v>
      </c>
      <c r="N158" s="1497">
        <v>18.881</v>
      </c>
      <c r="O158" s="1497">
        <v>3.804745</v>
      </c>
      <c r="P158" s="1497">
        <v>4288.1210000000001</v>
      </c>
      <c r="Q158" s="1504">
        <v>200.70665399999999</v>
      </c>
      <c r="R158" s="1504">
        <v>2020.1389999999999</v>
      </c>
      <c r="S158" s="1504">
        <v>58.659925000000001</v>
      </c>
      <c r="T158" s="1504">
        <v>5857.8370000000004</v>
      </c>
      <c r="U158" s="1504">
        <v>341.360119</v>
      </c>
      <c r="V158" s="1491">
        <v>6.1550000000000002</v>
      </c>
      <c r="W158" s="1503">
        <v>0.148062</v>
      </c>
      <c r="X158" s="1492">
        <v>2038.8209999999999</v>
      </c>
      <c r="Y158" s="1492">
        <v>104.414248</v>
      </c>
      <c r="Z158" s="1492">
        <v>30.411000000000001</v>
      </c>
      <c r="AA158" s="1492">
        <v>11.670648</v>
      </c>
      <c r="AB158" s="1492">
        <v>2008.41</v>
      </c>
      <c r="AC158" s="1492">
        <v>92.743600000000001</v>
      </c>
      <c r="AD158" s="1497">
        <v>16369.124</v>
      </c>
      <c r="AE158" s="1497">
        <v>2261.3075530000001</v>
      </c>
      <c r="AF158" s="1497">
        <v>6739.0280000000002</v>
      </c>
      <c r="AG158" s="1497">
        <v>1640.8090090000001</v>
      </c>
      <c r="AH158" s="1497">
        <v>3046.1979999999999</v>
      </c>
      <c r="AI158" s="1497">
        <v>230.04723200000001</v>
      </c>
      <c r="AJ158" s="1497">
        <v>1391.2629999999999</v>
      </c>
      <c r="AK158" s="1497">
        <v>42.857540999999998</v>
      </c>
      <c r="AL158" s="1497">
        <v>4831.2020000000002</v>
      </c>
      <c r="AM158" s="1497">
        <v>302.93318399999998</v>
      </c>
      <c r="AN158" s="1497">
        <v>3.01</v>
      </c>
      <c r="AO158" s="1502">
        <v>8.1709000000000004E-2</v>
      </c>
      <c r="AP158" s="1497">
        <v>1746.1120000000001</v>
      </c>
      <c r="AQ158" s="1497">
        <v>87.314482999999996</v>
      </c>
      <c r="AR158" s="1497">
        <v>28.797999999999998</v>
      </c>
      <c r="AS158" s="1497">
        <v>11.117331</v>
      </c>
      <c r="AT158" s="1497">
        <v>1720.8879999999999</v>
      </c>
      <c r="AU158" s="1497">
        <v>76.319087999999994</v>
      </c>
      <c r="AV158" s="1497">
        <v>2834.2939999999999</v>
      </c>
      <c r="AW158" s="1497">
        <v>156.418126</v>
      </c>
      <c r="AX158" s="1497">
        <v>252.489</v>
      </c>
      <c r="AY158" s="1497">
        <v>41.581654</v>
      </c>
      <c r="AZ158" s="1497">
        <v>1262.8900000000001</v>
      </c>
      <c r="BA158" s="1497">
        <v>59.365355000000001</v>
      </c>
      <c r="BB158" s="1497">
        <v>628.87599999999998</v>
      </c>
      <c r="BC158" s="1497">
        <v>15.802384</v>
      </c>
      <c r="BD158" s="1497">
        <v>1026.635</v>
      </c>
      <c r="BE158" s="1497">
        <v>38.426935</v>
      </c>
      <c r="BF158" s="1494">
        <v>3.145</v>
      </c>
      <c r="BG158" s="1493">
        <v>6.6352999999999995E-2</v>
      </c>
      <c r="BH158" s="1497">
        <v>289.13499999999999</v>
      </c>
      <c r="BI158" s="1497">
        <v>16.977829</v>
      </c>
      <c r="BJ158" s="1493">
        <v>1.613</v>
      </c>
      <c r="BK158" s="1493">
        <v>0.55331699999999995</v>
      </c>
      <c r="BL158" s="1497">
        <v>287.52199999999999</v>
      </c>
      <c r="BM158" s="1497">
        <v>16.424512</v>
      </c>
    </row>
    <row r="159" spans="1:65">
      <c r="A159" s="1438">
        <v>11</v>
      </c>
      <c r="B159" s="1491">
        <v>9475.9750000000004</v>
      </c>
      <c r="C159" s="1491">
        <v>3445.0239999999999</v>
      </c>
      <c r="D159" s="1491">
        <v>3424.8130000000001</v>
      </c>
      <c r="E159" s="1491">
        <v>2519.2420000000002</v>
      </c>
      <c r="F159" s="1491">
        <v>2459.0349999999999</v>
      </c>
      <c r="G159" s="1491">
        <v>1072.885</v>
      </c>
      <c r="H159" s="1491">
        <v>20540.238000000001</v>
      </c>
      <c r="I159" s="1491">
        <v>2513.7848939999999</v>
      </c>
      <c r="J159" s="1491">
        <v>6975.174</v>
      </c>
      <c r="K159" s="1491">
        <v>1692.22912</v>
      </c>
      <c r="L159" s="1491">
        <v>19.385000000000002</v>
      </c>
      <c r="M159" s="1491">
        <v>102.336068</v>
      </c>
      <c r="N159" s="1491">
        <v>20.167999999999999</v>
      </c>
      <c r="O159" s="1491">
        <v>3.8771580000000001</v>
      </c>
      <c r="P159" s="1491">
        <v>4618.8469999999998</v>
      </c>
      <c r="Q159" s="1491">
        <v>226.136775</v>
      </c>
      <c r="R159" s="1491">
        <v>2168.0230000000001</v>
      </c>
      <c r="S159" s="1491">
        <v>70.913545499999998</v>
      </c>
      <c r="T159" s="1491">
        <v>6299.8720000000003</v>
      </c>
      <c r="U159" s="1491">
        <v>361.30739799999998</v>
      </c>
      <c r="V159" s="1491">
        <v>5.859</v>
      </c>
      <c r="W159" s="1495">
        <v>0.20042599999999999</v>
      </c>
      <c r="X159" s="1492">
        <v>2600.933</v>
      </c>
      <c r="Y159" s="1492">
        <v>127.69794899999999</v>
      </c>
      <c r="Z159" s="1492">
        <v>30.239000000000001</v>
      </c>
      <c r="AA159" s="1492">
        <v>11.438359</v>
      </c>
      <c r="AB159" s="1492">
        <v>2570.694</v>
      </c>
      <c r="AC159" s="1492">
        <v>116.25959</v>
      </c>
      <c r="AD159" s="1492">
        <v>17394.133000000002</v>
      </c>
      <c r="AE159" s="1492">
        <v>2334.7513669999998</v>
      </c>
      <c r="AF159" s="1492">
        <v>6745.7830000000004</v>
      </c>
      <c r="AG159" s="1492">
        <v>1654.9834350000001</v>
      </c>
      <c r="AH159" s="1492">
        <v>3286.777</v>
      </c>
      <c r="AI159" s="1492">
        <v>256.61196200000001</v>
      </c>
      <c r="AJ159" s="1492">
        <v>1526.673</v>
      </c>
      <c r="AK159" s="1492">
        <v>53.118834499999998</v>
      </c>
      <c r="AL159" s="1492">
        <v>5178.6270000000004</v>
      </c>
      <c r="AM159" s="1492">
        <v>318.550904</v>
      </c>
      <c r="AN159" s="1492">
        <v>2.3839999999999999</v>
      </c>
      <c r="AO159" s="1493">
        <v>0.107824</v>
      </c>
      <c r="AP159" s="1492">
        <v>2175.9180000000001</v>
      </c>
      <c r="AQ159" s="1492">
        <v>104.339814</v>
      </c>
      <c r="AR159" s="1492">
        <v>28.51</v>
      </c>
      <c r="AS159" s="1492">
        <v>10.822011</v>
      </c>
      <c r="AT159" s="1492">
        <v>2152.0520000000001</v>
      </c>
      <c r="AU159" s="1492">
        <v>93.675230999999997</v>
      </c>
      <c r="AV159" s="1492">
        <v>3146.105</v>
      </c>
      <c r="AW159" s="1492">
        <v>179.03352699999999</v>
      </c>
      <c r="AX159" s="1492">
        <v>249.559</v>
      </c>
      <c r="AY159" s="1492">
        <v>41.122843000000003</v>
      </c>
      <c r="AZ159" s="1492">
        <v>1351.4549999999999</v>
      </c>
      <c r="BA159" s="1492">
        <v>71.860881000000006</v>
      </c>
      <c r="BB159" s="1492">
        <v>641.35</v>
      </c>
      <c r="BC159" s="1492">
        <v>17.794711</v>
      </c>
      <c r="BD159" s="1492">
        <v>1121.2449999999999</v>
      </c>
      <c r="BE159" s="1492">
        <v>42.756494000000004</v>
      </c>
      <c r="BF159" s="1494">
        <v>3.4750000000000001</v>
      </c>
      <c r="BG159" s="1493">
        <v>9.2602000000000004E-2</v>
      </c>
      <c r="BH159" s="1492">
        <v>420.37099999999998</v>
      </c>
      <c r="BI159" s="1498">
        <v>23.200707000000001</v>
      </c>
      <c r="BJ159" s="1493">
        <v>1.7290000000000001</v>
      </c>
      <c r="BK159" s="1493">
        <v>0.61634800000000001</v>
      </c>
      <c r="BL159" s="1492">
        <v>418.642</v>
      </c>
      <c r="BM159" s="1498">
        <v>22.584358999999999</v>
      </c>
    </row>
    <row r="160" spans="1:65">
      <c r="A160" s="1438">
        <v>12</v>
      </c>
      <c r="B160" s="1491">
        <v>9571.1640000000007</v>
      </c>
      <c r="C160" s="1491">
        <v>3680.7280000000001</v>
      </c>
      <c r="D160" s="1491">
        <v>3443.3139999999999</v>
      </c>
      <c r="E160" s="1491">
        <v>2525.0369999999998</v>
      </c>
      <c r="F160" s="1491">
        <v>2510.0189999999998</v>
      </c>
      <c r="G160" s="1491">
        <v>1092.7940000000001</v>
      </c>
      <c r="H160" s="1491">
        <v>24090.591</v>
      </c>
      <c r="I160" s="1491">
        <v>3204.97114203</v>
      </c>
      <c r="J160" s="1491">
        <v>8298.2579999999998</v>
      </c>
      <c r="K160" s="1491">
        <v>2166.7434210000001</v>
      </c>
      <c r="L160" s="1491">
        <v>29.954999999999998</v>
      </c>
      <c r="M160" s="1491">
        <v>180.90854580999999</v>
      </c>
      <c r="N160" s="1491">
        <v>25.042000000000002</v>
      </c>
      <c r="O160" s="1491">
        <v>4.8637509999999997</v>
      </c>
      <c r="P160" s="1491">
        <v>5503.7259999999997</v>
      </c>
      <c r="Q160" s="1491">
        <v>268.22397360000002</v>
      </c>
      <c r="R160" s="1491">
        <v>2830.194</v>
      </c>
      <c r="S160" s="1491">
        <v>101.45641621</v>
      </c>
      <c r="T160" s="1491">
        <v>7469.4470000000001</v>
      </c>
      <c r="U160" s="1491">
        <v>455.16136040999999</v>
      </c>
      <c r="V160" s="1491">
        <v>8.0950000000000006</v>
      </c>
      <c r="W160" s="1495">
        <v>0.191718</v>
      </c>
      <c r="X160" s="1492">
        <v>2756.0680000000002</v>
      </c>
      <c r="Y160" s="1492">
        <v>128.87837221000001</v>
      </c>
      <c r="Z160" s="1492">
        <v>28.492999999999999</v>
      </c>
      <c r="AA160" s="1492">
        <v>11.270687990000001</v>
      </c>
      <c r="AB160" s="1492">
        <v>2727.5749999999998</v>
      </c>
      <c r="AC160" s="1492">
        <v>117.60768422</v>
      </c>
      <c r="AD160" s="1492">
        <v>20570.312000000002</v>
      </c>
      <c r="AE160" s="1492">
        <v>3002.7652210299998</v>
      </c>
      <c r="AF160" s="1492">
        <v>8058.6639999999998</v>
      </c>
      <c r="AG160" s="1492">
        <v>2122.695369</v>
      </c>
      <c r="AH160" s="1492">
        <v>3957.3</v>
      </c>
      <c r="AI160" s="1492">
        <v>368.97284540999999</v>
      </c>
      <c r="AJ160" s="1492">
        <v>1956.49</v>
      </c>
      <c r="AK160" s="1492">
        <v>77.173961209999987</v>
      </c>
      <c r="AL160" s="1492">
        <v>6220.826</v>
      </c>
      <c r="AM160" s="1492">
        <v>404.20625840999998</v>
      </c>
      <c r="AN160" s="1492">
        <v>3.99</v>
      </c>
      <c r="AO160" s="1493">
        <v>9.9312999999999999E-2</v>
      </c>
      <c r="AP160" s="1492">
        <v>2324.5439999999999</v>
      </c>
      <c r="AQ160" s="1492">
        <v>106.61877421</v>
      </c>
      <c r="AR160" s="1492">
        <v>27.027999999999999</v>
      </c>
      <c r="AS160" s="1492">
        <v>10.74177999</v>
      </c>
      <c r="AT160" s="1492">
        <v>2302.5039999999999</v>
      </c>
      <c r="AU160" s="1492">
        <v>96.049655220000005</v>
      </c>
      <c r="AV160" s="1492">
        <v>3520.279</v>
      </c>
      <c r="AW160" s="1492">
        <v>202.20592099999999</v>
      </c>
      <c r="AX160" s="1492">
        <v>264.63600000000002</v>
      </c>
      <c r="AY160" s="1492">
        <v>48.911802999999999</v>
      </c>
      <c r="AZ160" s="1492">
        <v>1576.3810000000001</v>
      </c>
      <c r="BA160" s="1492">
        <v>80.159673999999995</v>
      </c>
      <c r="BB160" s="1492">
        <v>873.70399999999995</v>
      </c>
      <c r="BC160" s="1492">
        <v>24.282454999999999</v>
      </c>
      <c r="BD160" s="1492">
        <v>1248.6210000000001</v>
      </c>
      <c r="BE160" s="1492">
        <v>50.955101999999997</v>
      </c>
      <c r="BF160" s="1494">
        <v>4.1050000000000004</v>
      </c>
      <c r="BG160" s="1493">
        <v>9.2405000000000001E-2</v>
      </c>
      <c r="BH160" s="1492">
        <v>426.536</v>
      </c>
      <c r="BI160" s="1498">
        <v>22.086936999999999</v>
      </c>
      <c r="BJ160" s="1493">
        <v>1.4650000000000001</v>
      </c>
      <c r="BK160" s="1493">
        <v>0.52890800000000004</v>
      </c>
      <c r="BL160" s="1492">
        <v>425.07100000000003</v>
      </c>
      <c r="BM160" s="1498">
        <v>21.558029000000001</v>
      </c>
    </row>
    <row r="161" spans="1:65">
      <c r="A161" s="1438">
        <v>2021</v>
      </c>
      <c r="B161" s="1496">
        <v>11480.316000000001</v>
      </c>
      <c r="C161" s="1496">
        <v>7481</v>
      </c>
      <c r="D161" s="1496">
        <v>3469.1590000000001</v>
      </c>
      <c r="E161" s="1496">
        <v>2627.3690000000001</v>
      </c>
      <c r="F161" s="1496">
        <v>3974.317</v>
      </c>
      <c r="G161" s="1496">
        <v>1409.471</v>
      </c>
      <c r="H161" s="1496">
        <f t="shared" ref="H161:AM161" si="33">SUM(H162:H173)</f>
        <v>356800.38299999997</v>
      </c>
      <c r="I161" s="1496">
        <f t="shared" si="33"/>
        <v>37972.953548607198</v>
      </c>
      <c r="J161" s="1496">
        <f t="shared" si="33"/>
        <v>99836.136999999988</v>
      </c>
      <c r="K161" s="1496">
        <f t="shared" si="33"/>
        <v>23510.59604715</v>
      </c>
      <c r="L161" s="1496">
        <f t="shared" si="33"/>
        <v>291.06399999999996</v>
      </c>
      <c r="M161" s="1496">
        <f t="shared" si="33"/>
        <v>1111.12516916</v>
      </c>
      <c r="N161" s="1496">
        <f t="shared" si="33"/>
        <v>136.51199999999997</v>
      </c>
      <c r="O161" s="1496">
        <f t="shared" si="33"/>
        <v>28.538134440000004</v>
      </c>
      <c r="P161" s="1496">
        <f t="shared" si="33"/>
        <v>105143.103</v>
      </c>
      <c r="Q161" s="1496">
        <f t="shared" si="33"/>
        <v>3931.2913734348003</v>
      </c>
      <c r="R161" s="1496">
        <f t="shared" si="33"/>
        <v>71820.837</v>
      </c>
      <c r="S161" s="1496">
        <f t="shared" si="33"/>
        <v>2409.2634418947068</v>
      </c>
      <c r="T161" s="1496">
        <f t="shared" si="33"/>
        <v>110095.22300000001</v>
      </c>
      <c r="U161" s="1496">
        <f t="shared" si="33"/>
        <v>7501.2473664433001</v>
      </c>
      <c r="V161" s="1496">
        <f t="shared" si="33"/>
        <v>247.46</v>
      </c>
      <c r="W161" s="1501">
        <f t="shared" si="33"/>
        <v>7.1047250000000002</v>
      </c>
      <c r="X161" s="1496">
        <f t="shared" si="33"/>
        <v>41050.373999999996</v>
      </c>
      <c r="Y161" s="1496">
        <f t="shared" si="33"/>
        <v>1882.9339679791001</v>
      </c>
      <c r="Z161" s="1496">
        <f t="shared" si="33"/>
        <v>543.86400000000003</v>
      </c>
      <c r="AA161" s="1496">
        <f t="shared" si="33"/>
        <v>147.58227605085401</v>
      </c>
      <c r="AB161" s="1496">
        <f t="shared" si="33"/>
        <v>40506.509999999995</v>
      </c>
      <c r="AC161" s="1496">
        <f t="shared" si="33"/>
        <v>1735.3516919282781</v>
      </c>
      <c r="AD161" s="1496">
        <f t="shared" si="33"/>
        <v>310341.42</v>
      </c>
      <c r="AE161" s="1496">
        <f t="shared" si="33"/>
        <v>35533.667371787305</v>
      </c>
      <c r="AF161" s="1496">
        <f t="shared" si="33"/>
        <v>96509.072</v>
      </c>
      <c r="AG161" s="1496">
        <f t="shared" si="33"/>
        <v>22978.59307237</v>
      </c>
      <c r="AH161" s="1496">
        <f t="shared" si="33"/>
        <v>80919.808999999994</v>
      </c>
      <c r="AI161" s="1496">
        <f t="shared" si="33"/>
        <v>3961.9341812055</v>
      </c>
      <c r="AJ161" s="1496">
        <f t="shared" si="33"/>
        <v>54701.217000000011</v>
      </c>
      <c r="AK161" s="1496">
        <f t="shared" si="33"/>
        <v>1864.1913579147072</v>
      </c>
      <c r="AL161" s="1496">
        <f t="shared" si="33"/>
        <v>95749.596999999994</v>
      </c>
      <c r="AM161" s="1496">
        <f t="shared" si="33"/>
        <v>6916.8214802907996</v>
      </c>
      <c r="AN161" s="1496">
        <f t="shared" ref="AN161:BM161" si="34">SUM(AN162:AN173)</f>
        <v>238.30500000000001</v>
      </c>
      <c r="AO161" s="1501">
        <f t="shared" si="34"/>
        <v>6.4175019999999998</v>
      </c>
      <c r="AP161" s="1496">
        <f t="shared" si="34"/>
        <v>36924.15</v>
      </c>
      <c r="AQ161" s="1496">
        <f t="shared" si="34"/>
        <v>1669.7866659209999</v>
      </c>
      <c r="AR161" s="1496">
        <f t="shared" si="34"/>
        <v>530.90200000000004</v>
      </c>
      <c r="AS161" s="1496">
        <f t="shared" si="34"/>
        <v>144.28198515085398</v>
      </c>
      <c r="AT161" s="1496">
        <f t="shared" si="34"/>
        <v>36393.248000000007</v>
      </c>
      <c r="AU161" s="1496">
        <f t="shared" si="34"/>
        <v>1525.504680770169</v>
      </c>
      <c r="AV161" s="1496">
        <f t="shared" si="34"/>
        <v>46458.963000000003</v>
      </c>
      <c r="AW161" s="1496">
        <f t="shared" si="34"/>
        <v>2439.2861768199</v>
      </c>
      <c r="AX161" s="1496">
        <f t="shared" si="34"/>
        <v>3463.5769999999998</v>
      </c>
      <c r="AY161" s="1496">
        <f t="shared" si="34"/>
        <v>560.54110922000007</v>
      </c>
      <c r="AZ161" s="1496">
        <f t="shared" si="34"/>
        <v>24514.358</v>
      </c>
      <c r="BA161" s="1496">
        <f t="shared" si="34"/>
        <v>1080.4823613893</v>
      </c>
      <c r="BB161" s="1496">
        <f t="shared" si="34"/>
        <v>17119.62</v>
      </c>
      <c r="BC161" s="1496">
        <f t="shared" si="34"/>
        <v>545.07208398</v>
      </c>
      <c r="BD161" s="1499">
        <f t="shared" si="34"/>
        <v>14345.626</v>
      </c>
      <c r="BE161" s="1499">
        <f t="shared" si="34"/>
        <v>584.42588615250008</v>
      </c>
      <c r="BF161" s="424">
        <f t="shared" si="34"/>
        <v>9.1549999999999994</v>
      </c>
      <c r="BG161" s="1500">
        <f t="shared" si="34"/>
        <v>0.68722299999999992</v>
      </c>
      <c r="BH161" s="1499">
        <f t="shared" si="34"/>
        <v>4126.2240000000002</v>
      </c>
      <c r="BI161" s="1499">
        <f t="shared" si="34"/>
        <v>213.14730205810002</v>
      </c>
      <c r="BJ161" s="1500">
        <f t="shared" si="34"/>
        <v>12.962000000000002</v>
      </c>
      <c r="BK161" s="1500">
        <f t="shared" si="34"/>
        <v>3.3002909000000002</v>
      </c>
      <c r="BL161" s="1499">
        <f t="shared" si="34"/>
        <v>4113.2619999999997</v>
      </c>
      <c r="BM161" s="1499">
        <f t="shared" si="34"/>
        <v>209.84701115810901</v>
      </c>
    </row>
    <row r="162" spans="1:65">
      <c r="A162" s="409" t="s">
        <v>18</v>
      </c>
      <c r="B162" s="1491">
        <v>9760.6170000000002</v>
      </c>
      <c r="C162" s="1491">
        <v>4014.797</v>
      </c>
      <c r="D162" s="1491">
        <v>3434.6280000000002</v>
      </c>
      <c r="E162" s="1491">
        <v>2581.502</v>
      </c>
      <c r="F162" s="1491">
        <v>2639.6959999999999</v>
      </c>
      <c r="G162" s="1491">
        <v>1104.7909999999999</v>
      </c>
      <c r="H162" s="1491">
        <v>21043.649000000001</v>
      </c>
      <c r="I162" s="1491">
        <v>2273.1569157459999</v>
      </c>
      <c r="J162" s="1491">
        <v>6038.473</v>
      </c>
      <c r="K162" s="1491">
        <v>1468.103601</v>
      </c>
      <c r="L162" s="1491">
        <v>18.361999999999998</v>
      </c>
      <c r="M162" s="1491">
        <v>75.193014689999998</v>
      </c>
      <c r="N162" s="1491">
        <v>26.222000000000001</v>
      </c>
      <c r="O162" s="1491">
        <v>4.9778965399999997</v>
      </c>
      <c r="P162" s="1491">
        <v>5429.8059999999996</v>
      </c>
      <c r="Q162" s="1491">
        <v>221.37275725999999</v>
      </c>
      <c r="R162" s="1491">
        <v>2963.0479999999998</v>
      </c>
      <c r="S162" s="1491">
        <v>94.596223019999996</v>
      </c>
      <c r="T162" s="1491">
        <v>6728.3850000000002</v>
      </c>
      <c r="U162" s="1491">
        <v>380.40862532</v>
      </c>
      <c r="V162" s="1491">
        <v>6.9870000000000001</v>
      </c>
      <c r="W162" s="1495">
        <v>0.152508</v>
      </c>
      <c r="X162" s="1492">
        <v>2795.4140000000002</v>
      </c>
      <c r="Y162" s="1492">
        <v>122.948512936</v>
      </c>
      <c r="Z162" s="1492">
        <v>24.818999999999999</v>
      </c>
      <c r="AA162" s="1492">
        <v>9.4500660399999994</v>
      </c>
      <c r="AB162" s="1492">
        <v>2770.5949999999998</v>
      </c>
      <c r="AC162" s="1492">
        <v>113.498446896</v>
      </c>
      <c r="AD162" s="1492">
        <v>18228.508000000002</v>
      </c>
      <c r="AE162" s="1492">
        <v>2130.2457305859998</v>
      </c>
      <c r="AF162" s="1492">
        <v>5854.2290000000003</v>
      </c>
      <c r="AG162" s="1492">
        <v>1440.3522347600001</v>
      </c>
      <c r="AH162" s="1492">
        <v>4097.0969999999998</v>
      </c>
      <c r="AI162" s="1492">
        <v>234.14933067000001</v>
      </c>
      <c r="AJ162" s="1492">
        <v>2243.6860000000001</v>
      </c>
      <c r="AK162" s="1492">
        <v>75.294888329999992</v>
      </c>
      <c r="AL162" s="1492">
        <v>5761.3329999999996</v>
      </c>
      <c r="AM162" s="1492">
        <v>347.10580184999998</v>
      </c>
      <c r="AN162" s="1492">
        <v>6.6680000000000001</v>
      </c>
      <c r="AO162" s="1493">
        <v>0.13993800000000001</v>
      </c>
      <c r="AP162" s="1492">
        <v>2509.181</v>
      </c>
      <c r="AQ162" s="1492">
        <v>108.498425306</v>
      </c>
      <c r="AR162" s="1492">
        <v>24.263000000000002</v>
      </c>
      <c r="AS162" s="1492">
        <v>9.225507949999999</v>
      </c>
      <c r="AT162" s="1492">
        <v>2484.9180000000001</v>
      </c>
      <c r="AU162" s="1492">
        <v>99.272917355999994</v>
      </c>
      <c r="AV162" s="1492">
        <v>2815.1410000000001</v>
      </c>
      <c r="AW162" s="1492">
        <v>142.91118516</v>
      </c>
      <c r="AX162" s="1492">
        <v>210.46600000000001</v>
      </c>
      <c r="AY162" s="1492">
        <v>32.729262779999999</v>
      </c>
      <c r="AZ162" s="1492">
        <v>1351.0709999999999</v>
      </c>
      <c r="BA162" s="1492">
        <v>62.416441280000001</v>
      </c>
      <c r="BB162" s="1492">
        <v>719.36199999999997</v>
      </c>
      <c r="BC162" s="1492">
        <v>19.301334690000001</v>
      </c>
      <c r="BD162" s="1492">
        <v>967.05200000000002</v>
      </c>
      <c r="BE162" s="1492">
        <v>33.30282347</v>
      </c>
      <c r="BF162" s="1494">
        <v>0.31900000000000001</v>
      </c>
      <c r="BG162" s="1493">
        <v>1.257E-2</v>
      </c>
      <c r="BH162" s="1492">
        <v>286.233</v>
      </c>
      <c r="BI162" s="1498">
        <v>14.450087630000001</v>
      </c>
      <c r="BJ162" s="1493">
        <v>0.55600000000000005</v>
      </c>
      <c r="BK162" s="1493">
        <v>0.22455808999999999</v>
      </c>
      <c r="BL162" s="1492">
        <v>285.67700000000002</v>
      </c>
      <c r="BM162" s="1498">
        <v>14.22552954</v>
      </c>
    </row>
    <row r="163" spans="1:65">
      <c r="A163" s="1438" t="s">
        <v>19</v>
      </c>
      <c r="B163" s="1491">
        <v>9930.3549999999996</v>
      </c>
      <c r="C163" s="1491">
        <v>4257.5590000000002</v>
      </c>
      <c r="D163" s="1491">
        <v>3450.1860000000001</v>
      </c>
      <c r="E163" s="1491">
        <v>2586.0790000000002</v>
      </c>
      <c r="F163" s="1491">
        <v>2773.569</v>
      </c>
      <c r="G163" s="1491">
        <v>1120.521</v>
      </c>
      <c r="H163" s="1491">
        <v>22831.756000000001</v>
      </c>
      <c r="I163" s="1491">
        <v>2631.2725294400002</v>
      </c>
      <c r="J163" s="1491">
        <v>7467.0450000000001</v>
      </c>
      <c r="K163" s="1491">
        <v>1793.239771</v>
      </c>
      <c r="L163" s="1491">
        <v>22.669</v>
      </c>
      <c r="M163" s="1491">
        <v>72.851494500000001</v>
      </c>
      <c r="N163" s="1491">
        <v>25.831</v>
      </c>
      <c r="O163" s="1491">
        <v>5.1244300000000003</v>
      </c>
      <c r="P163" s="1491">
        <v>5889.8289999999997</v>
      </c>
      <c r="Q163" s="1491">
        <v>250.38865820999999</v>
      </c>
      <c r="R163" s="1491">
        <v>3342.2579999999998</v>
      </c>
      <c r="S163" s="1491">
        <v>111.30218594</v>
      </c>
      <c r="T163" s="1491">
        <v>6872.7640000000001</v>
      </c>
      <c r="U163" s="1491">
        <v>394.68785549</v>
      </c>
      <c r="V163" s="1491">
        <v>10.090999999999999</v>
      </c>
      <c r="W163" s="1495">
        <v>0.238403</v>
      </c>
      <c r="X163" s="1492">
        <v>2543.527</v>
      </c>
      <c r="Y163" s="1492">
        <v>114.74191724000001</v>
      </c>
      <c r="Z163" s="1492">
        <v>24.817</v>
      </c>
      <c r="AA163" s="1492">
        <v>10.112923</v>
      </c>
      <c r="AB163" s="1492">
        <v>2518.71</v>
      </c>
      <c r="AC163" s="1492">
        <v>104.62899424</v>
      </c>
      <c r="AD163" s="1492">
        <v>19896.603999999999</v>
      </c>
      <c r="AE163" s="1492">
        <v>2478.1669864400001</v>
      </c>
      <c r="AF163" s="1492">
        <v>7276.6480000000001</v>
      </c>
      <c r="AG163" s="1492">
        <v>1764.824073</v>
      </c>
      <c r="AH163" s="1492">
        <v>4422.9790000000003</v>
      </c>
      <c r="AI163" s="1492">
        <v>250.04170870999999</v>
      </c>
      <c r="AJ163" s="1492">
        <v>2517.0210000000002</v>
      </c>
      <c r="AK163" s="1492">
        <v>86.846934939999997</v>
      </c>
      <c r="AL163" s="1492">
        <v>5901.634</v>
      </c>
      <c r="AM163" s="1492">
        <v>360.81795448999998</v>
      </c>
      <c r="AN163" s="1492">
        <v>9.8230000000000004</v>
      </c>
      <c r="AO163" s="1493">
        <v>0.224715</v>
      </c>
      <c r="AP163" s="1492">
        <v>2285.52</v>
      </c>
      <c r="AQ163" s="1492">
        <v>102.25853524</v>
      </c>
      <c r="AR163" s="1492">
        <v>24.202000000000002</v>
      </c>
      <c r="AS163" s="1492">
        <v>9.9154940000000007</v>
      </c>
      <c r="AT163" s="1492">
        <v>2261.3180000000002</v>
      </c>
      <c r="AU163" s="1492">
        <v>92.343041239999991</v>
      </c>
      <c r="AV163" s="1492">
        <v>2935.152</v>
      </c>
      <c r="AW163" s="1492">
        <v>153.10554300000001</v>
      </c>
      <c r="AX163" s="1492">
        <v>216.22800000000001</v>
      </c>
      <c r="AY163" s="1492">
        <v>33.540128000000003</v>
      </c>
      <c r="AZ163" s="1492">
        <v>1489.519</v>
      </c>
      <c r="BA163" s="1492">
        <v>73.198443999999995</v>
      </c>
      <c r="BB163" s="1492">
        <v>825.23699999999997</v>
      </c>
      <c r="BC163" s="1492">
        <v>24.455251000000001</v>
      </c>
      <c r="BD163" s="1492">
        <v>971.13</v>
      </c>
      <c r="BE163" s="1492">
        <v>33.869900999999999</v>
      </c>
      <c r="BF163" s="1494">
        <v>0.26800000000000002</v>
      </c>
      <c r="BG163" s="1493">
        <v>1.3688000000000001E-2</v>
      </c>
      <c r="BH163" s="1492">
        <v>258.00700000000001</v>
      </c>
      <c r="BI163" s="1498">
        <v>12.483382000000001</v>
      </c>
      <c r="BJ163" s="1493">
        <v>0.61499999999999999</v>
      </c>
      <c r="BK163" s="1493">
        <v>0.19742899999999999</v>
      </c>
      <c r="BL163" s="1492">
        <v>257.392</v>
      </c>
      <c r="BM163" s="1498">
        <v>12.285952999999999</v>
      </c>
    </row>
    <row r="164" spans="1:65">
      <c r="A164" s="409" t="s">
        <v>20</v>
      </c>
      <c r="B164" s="1491">
        <v>10126.07</v>
      </c>
      <c r="C164" s="1491">
        <v>4595.4570000000003</v>
      </c>
      <c r="D164" s="1491">
        <v>3458.4650000000001</v>
      </c>
      <c r="E164" s="1491">
        <v>2625.65</v>
      </c>
      <c r="F164" s="1491">
        <v>2896.8560000000002</v>
      </c>
      <c r="G164" s="1491">
        <v>1145.0989999999999</v>
      </c>
      <c r="H164" s="1491">
        <v>28053.136999999999</v>
      </c>
      <c r="I164" s="1491">
        <v>3172.2660824599998</v>
      </c>
      <c r="J164" s="1491">
        <v>9118.8649999999998</v>
      </c>
      <c r="K164" s="1491">
        <v>2139.8365170000002</v>
      </c>
      <c r="L164" s="1491">
        <v>24.222999999999999</v>
      </c>
      <c r="M164" s="1491">
        <v>73.025278520000001</v>
      </c>
      <c r="N164" s="1491">
        <v>21.568000000000001</v>
      </c>
      <c r="O164" s="1491">
        <v>3.0772179999999998</v>
      </c>
      <c r="P164" s="1491">
        <v>7685.1989999999996</v>
      </c>
      <c r="Q164" s="1491">
        <v>342.17187173999997</v>
      </c>
      <c r="R164" s="1491">
        <v>4454.4260000000004</v>
      </c>
      <c r="S164" s="1491">
        <v>153.27047540000001</v>
      </c>
      <c r="T164" s="1491">
        <v>8181.88</v>
      </c>
      <c r="U164" s="1491">
        <v>473.91183638000001</v>
      </c>
      <c r="V164" s="1491">
        <v>15.147</v>
      </c>
      <c r="W164" s="1495">
        <v>0.34889799999999999</v>
      </c>
      <c r="X164" s="1492">
        <v>3006.2550000000001</v>
      </c>
      <c r="Y164" s="1492">
        <v>139.89446282</v>
      </c>
      <c r="Z164" s="1492">
        <v>29.164000000000001</v>
      </c>
      <c r="AA164" s="1492">
        <v>11.865093119999999</v>
      </c>
      <c r="AB164" s="1492">
        <v>2977.0909999999999</v>
      </c>
      <c r="AC164" s="1492">
        <v>128.02936969999999</v>
      </c>
      <c r="AD164" s="1492">
        <v>24579.888999999999</v>
      </c>
      <c r="AE164" s="1492">
        <v>2983.06850833</v>
      </c>
      <c r="AF164" s="1492">
        <v>8902.2870000000003</v>
      </c>
      <c r="AG164" s="1492">
        <v>2106.0460194699999</v>
      </c>
      <c r="AH164" s="1492">
        <v>5872.8580000000002</v>
      </c>
      <c r="AI164" s="1492">
        <v>320.40523347999999</v>
      </c>
      <c r="AJ164" s="1492">
        <v>3390.2060000000001</v>
      </c>
      <c r="AK164" s="1492">
        <v>119.03286340000001</v>
      </c>
      <c r="AL164" s="1492">
        <v>7102.0630000000001</v>
      </c>
      <c r="AM164" s="1492">
        <v>435.14045737999999</v>
      </c>
      <c r="AN164" s="1492">
        <v>14.803000000000001</v>
      </c>
      <c r="AO164" s="1493">
        <v>0.33533400000000002</v>
      </c>
      <c r="AP164" s="1492">
        <v>2687.8780000000002</v>
      </c>
      <c r="AQ164" s="1492">
        <v>121.141464</v>
      </c>
      <c r="AR164" s="1492">
        <v>28.390999999999998</v>
      </c>
      <c r="AS164" s="1492">
        <v>11.58530412</v>
      </c>
      <c r="AT164" s="1492">
        <v>2659.4870000000001</v>
      </c>
      <c r="AU164" s="1492">
        <v>109.55615988</v>
      </c>
      <c r="AV164" s="1492">
        <v>3473.248</v>
      </c>
      <c r="AW164" s="1492">
        <v>189.19757412999999</v>
      </c>
      <c r="AX164" s="1492">
        <v>238.14599999999999</v>
      </c>
      <c r="AY164" s="1492">
        <v>36.867715529999998</v>
      </c>
      <c r="AZ164" s="1492">
        <v>1836.5640000000001</v>
      </c>
      <c r="BA164" s="1492">
        <v>94.791916779999994</v>
      </c>
      <c r="BB164" s="1492">
        <v>1064.22</v>
      </c>
      <c r="BC164" s="1492">
        <v>34.237611999999999</v>
      </c>
      <c r="BD164" s="1492">
        <v>1079.817</v>
      </c>
      <c r="BE164" s="1492">
        <v>38.771379000000003</v>
      </c>
      <c r="BF164" s="1494">
        <v>0.34399999999999997</v>
      </c>
      <c r="BG164" s="1493">
        <v>1.3564E-2</v>
      </c>
      <c r="BH164" s="1492">
        <v>318.37700000000001</v>
      </c>
      <c r="BI164" s="1498">
        <v>18.752998819999998</v>
      </c>
      <c r="BJ164" s="1493">
        <v>0.77300000000000002</v>
      </c>
      <c r="BK164" s="1493">
        <v>0.27978900000000001</v>
      </c>
      <c r="BL164" s="1492">
        <v>317.60399999999998</v>
      </c>
      <c r="BM164" s="1498">
        <v>18.473209820000001</v>
      </c>
    </row>
    <row r="165" spans="1:65">
      <c r="A165" s="409" t="s">
        <v>21</v>
      </c>
      <c r="B165" s="1491">
        <v>10265.402</v>
      </c>
      <c r="C165" s="1491">
        <v>4934.009</v>
      </c>
      <c r="D165" s="1491">
        <v>3513.88</v>
      </c>
      <c r="E165" s="1491">
        <v>2634.3710000000001</v>
      </c>
      <c r="F165" s="1491">
        <v>2953.529</v>
      </c>
      <c r="G165" s="1491">
        <v>1163.6220000000001</v>
      </c>
      <c r="H165" s="1491">
        <v>25415.357</v>
      </c>
      <c r="I165" s="1491">
        <v>2768.7216210400002</v>
      </c>
      <c r="J165" s="1491">
        <v>7590.1610000000001</v>
      </c>
      <c r="K165" s="1491">
        <v>1780.298569</v>
      </c>
      <c r="L165" s="1491">
        <v>21.91</v>
      </c>
      <c r="M165" s="1491">
        <v>95.070249239999995</v>
      </c>
      <c r="N165" s="1491">
        <v>8.2460000000000004</v>
      </c>
      <c r="O165" s="1491">
        <v>2.04278</v>
      </c>
      <c r="P165" s="1491">
        <v>7445.0659999999998</v>
      </c>
      <c r="Q165" s="1491">
        <v>311.76677044000002</v>
      </c>
      <c r="R165" s="1491">
        <v>4575.16</v>
      </c>
      <c r="S165" s="1491">
        <v>151.690372939996</v>
      </c>
      <c r="T165" s="1491">
        <v>7388.6</v>
      </c>
      <c r="U165" s="1491">
        <v>454.14717686</v>
      </c>
      <c r="V165" s="1491">
        <v>18.949000000000002</v>
      </c>
      <c r="W165" s="1495">
        <v>0.52605100000000005</v>
      </c>
      <c r="X165" s="1492">
        <v>2941.915</v>
      </c>
      <c r="Y165" s="1492">
        <v>124.7532595</v>
      </c>
      <c r="Z165" s="1492">
        <v>25.870999999999999</v>
      </c>
      <c r="AA165" s="1492">
        <v>11.089974720000001</v>
      </c>
      <c r="AB165" s="1492">
        <v>2916.0439999999999</v>
      </c>
      <c r="AC165" s="1492">
        <v>113.66328478</v>
      </c>
      <c r="AD165" s="1492">
        <v>22051.011999999999</v>
      </c>
      <c r="AE165" s="1492">
        <v>2600.9660516099998</v>
      </c>
      <c r="AF165" s="1492">
        <v>7342.665</v>
      </c>
      <c r="AG165" s="1492">
        <v>1742.8750091700001</v>
      </c>
      <c r="AH165" s="1492">
        <v>5677.3670000000002</v>
      </c>
      <c r="AI165" s="1492">
        <v>329.61581308000001</v>
      </c>
      <c r="AJ165" s="1492">
        <v>3416.5819999999999</v>
      </c>
      <c r="AK165" s="1492">
        <v>117.826516939996</v>
      </c>
      <c r="AL165" s="1492">
        <v>6361.8739999999998</v>
      </c>
      <c r="AM165" s="1492">
        <v>417.36751786000002</v>
      </c>
      <c r="AN165" s="1492">
        <v>18.600999999999999</v>
      </c>
      <c r="AO165" s="1493">
        <v>0.49982599999999999</v>
      </c>
      <c r="AP165" s="1492">
        <v>2650.018</v>
      </c>
      <c r="AQ165" s="1492">
        <v>110.4934155</v>
      </c>
      <c r="AR165" s="1492">
        <v>25.321000000000002</v>
      </c>
      <c r="AS165" s="1492">
        <v>10.88633972</v>
      </c>
      <c r="AT165" s="1492">
        <v>2624.6970000000001</v>
      </c>
      <c r="AU165" s="1492">
        <v>99.607075780000002</v>
      </c>
      <c r="AV165" s="1492">
        <v>3364.3449999999998</v>
      </c>
      <c r="AW165" s="1492">
        <v>167.75556943000001</v>
      </c>
      <c r="AX165" s="1492">
        <v>255.74199999999999</v>
      </c>
      <c r="AY165" s="1492">
        <v>39.466339830000003</v>
      </c>
      <c r="AZ165" s="1492">
        <v>1789.6089999999999</v>
      </c>
      <c r="BA165" s="1492">
        <v>77.221206600000002</v>
      </c>
      <c r="BB165" s="1492">
        <v>1158.578</v>
      </c>
      <c r="BC165" s="1492">
        <v>33.863855999999998</v>
      </c>
      <c r="BD165" s="1492">
        <v>1026.7260000000001</v>
      </c>
      <c r="BE165" s="1492">
        <v>36.779659000000002</v>
      </c>
      <c r="BF165" s="1494">
        <v>0.34799999999999998</v>
      </c>
      <c r="BG165" s="1493">
        <v>2.6224999999999998E-2</v>
      </c>
      <c r="BH165" s="1492">
        <v>291.89699999999999</v>
      </c>
      <c r="BI165" s="1498">
        <v>14.259843999999999</v>
      </c>
      <c r="BJ165" s="1493">
        <v>0.55000000000000004</v>
      </c>
      <c r="BK165" s="1493">
        <v>0.20363500000000001</v>
      </c>
      <c r="BL165" s="1492">
        <v>291.34699999999998</v>
      </c>
      <c r="BM165" s="1498">
        <v>14.056209000000001</v>
      </c>
    </row>
    <row r="166" spans="1:65">
      <c r="A166" s="409" t="s">
        <v>22</v>
      </c>
      <c r="B166" s="1491">
        <v>10347.49</v>
      </c>
      <c r="C166" s="1491">
        <v>5130.4669999999996</v>
      </c>
      <c r="D166" s="1491">
        <v>3502.8910000000001</v>
      </c>
      <c r="E166" s="1491">
        <v>2624.7869999999998</v>
      </c>
      <c r="F166" s="1491">
        <v>3038.63</v>
      </c>
      <c r="G166" s="1491">
        <v>1181.182</v>
      </c>
      <c r="H166" s="1491">
        <v>26599.777999999998</v>
      </c>
      <c r="I166" s="1491">
        <v>2876.6013200799998</v>
      </c>
      <c r="J166" s="1491">
        <v>8108.4549999999999</v>
      </c>
      <c r="K166" s="1491">
        <v>1897.116818</v>
      </c>
      <c r="L166" s="1491">
        <v>21.471</v>
      </c>
      <c r="M166" s="1491">
        <v>76.125403399999996</v>
      </c>
      <c r="N166" s="1491">
        <v>8.1839999999999993</v>
      </c>
      <c r="O166" s="1491">
        <v>1.960385</v>
      </c>
      <c r="P166" s="1491">
        <v>7597.2039999999997</v>
      </c>
      <c r="Q166" s="1491">
        <v>313.40117251999999</v>
      </c>
      <c r="R166" s="1491">
        <v>4940.7889999999998</v>
      </c>
      <c r="S166" s="1491">
        <v>199.47280407</v>
      </c>
      <c r="T166" s="1491">
        <v>7968.0910000000003</v>
      </c>
      <c r="U166" s="1491">
        <v>464.66812379999999</v>
      </c>
      <c r="V166" s="1491">
        <v>18.745999999999999</v>
      </c>
      <c r="W166" s="1495">
        <v>0.48996400000000001</v>
      </c>
      <c r="X166" s="1492">
        <v>2877.627</v>
      </c>
      <c r="Y166" s="1492">
        <v>122.83945335999999</v>
      </c>
      <c r="Z166" s="1492">
        <v>41.366</v>
      </c>
      <c r="AA166" s="1492">
        <v>10.555870820000001</v>
      </c>
      <c r="AB166" s="1492">
        <v>2836.261</v>
      </c>
      <c r="AC166" s="1492">
        <v>112.28358254000001</v>
      </c>
      <c r="AD166" s="1492">
        <v>23072.507000000001</v>
      </c>
      <c r="AE166" s="1492">
        <v>2702.6636056000002</v>
      </c>
      <c r="AF166" s="1492">
        <v>7855.759</v>
      </c>
      <c r="AG166" s="1492">
        <v>1859.456445</v>
      </c>
      <c r="AH166" s="1492">
        <v>5767.08</v>
      </c>
      <c r="AI166" s="1492">
        <v>306.01355711999997</v>
      </c>
      <c r="AJ166" s="1492">
        <v>3708.8429999999998</v>
      </c>
      <c r="AK166" s="1492">
        <v>160.93223706999999</v>
      </c>
      <c r="AL166" s="1492">
        <v>6860.8810000000003</v>
      </c>
      <c r="AM166" s="1492">
        <v>428.25697079999998</v>
      </c>
      <c r="AN166" s="1492">
        <v>18.356999999999999</v>
      </c>
      <c r="AO166" s="1493">
        <v>0.46806599999999998</v>
      </c>
      <c r="AP166" s="1492">
        <v>2570.4299999999998</v>
      </c>
      <c r="AQ166" s="1492">
        <v>108.46856668</v>
      </c>
      <c r="AR166" s="1492">
        <v>40.496000000000002</v>
      </c>
      <c r="AS166" s="1492">
        <v>10.324505820000001</v>
      </c>
      <c r="AT166" s="1492">
        <v>2529.9340000000002</v>
      </c>
      <c r="AU166" s="1492">
        <v>98.14406086000001</v>
      </c>
      <c r="AV166" s="1492">
        <v>3527.2710000000002</v>
      </c>
      <c r="AW166" s="1492">
        <v>173.93771448000001</v>
      </c>
      <c r="AX166" s="1492">
        <v>260.88</v>
      </c>
      <c r="AY166" s="1492">
        <v>39.620758000000002</v>
      </c>
      <c r="AZ166" s="1492">
        <v>1851.595</v>
      </c>
      <c r="BA166" s="1492">
        <v>83.513018799999998</v>
      </c>
      <c r="BB166" s="1492">
        <v>1231.9459999999999</v>
      </c>
      <c r="BC166" s="1492">
        <v>38.540567000000003</v>
      </c>
      <c r="BD166" s="1492">
        <v>1107.21</v>
      </c>
      <c r="BE166" s="1492">
        <v>36.411152999999999</v>
      </c>
      <c r="BF166" s="1494">
        <v>0.38900000000000001</v>
      </c>
      <c r="BG166" s="1493">
        <v>2.1898000000000001E-2</v>
      </c>
      <c r="BH166" s="1492">
        <v>307.197</v>
      </c>
      <c r="BI166" s="1498">
        <v>14.37088668</v>
      </c>
      <c r="BJ166" s="1493">
        <v>0.87</v>
      </c>
      <c r="BK166" s="1493">
        <v>0.23136499999999999</v>
      </c>
      <c r="BL166" s="1492">
        <v>306.327</v>
      </c>
      <c r="BM166" s="1498">
        <v>14.13952168</v>
      </c>
    </row>
    <row r="167" spans="1:65">
      <c r="A167" s="409" t="s">
        <v>23</v>
      </c>
      <c r="B167" s="1491">
        <v>10440.736000000001</v>
      </c>
      <c r="C167" s="1491">
        <v>5412.2150000000001</v>
      </c>
      <c r="D167" s="1491">
        <v>3468.84</v>
      </c>
      <c r="E167" s="1491">
        <v>2622.6559999999999</v>
      </c>
      <c r="F167" s="1491">
        <v>3146.0819999999999</v>
      </c>
      <c r="G167" s="1491">
        <v>1203.1579999999999</v>
      </c>
      <c r="H167" s="1491">
        <v>28051.303</v>
      </c>
      <c r="I167" s="1491">
        <v>2954.6782865199998</v>
      </c>
      <c r="J167" s="1491">
        <v>8147.8680000000004</v>
      </c>
      <c r="K167" s="1491">
        <v>1877.72507</v>
      </c>
      <c r="L167" s="1491">
        <v>22.530999999999999</v>
      </c>
      <c r="M167" s="1491">
        <v>83.271623270000006</v>
      </c>
      <c r="N167" s="1491">
        <v>7.87</v>
      </c>
      <c r="O167" s="1491">
        <v>2.0011749999999999</v>
      </c>
      <c r="P167" s="1491">
        <v>8681.3009999999995</v>
      </c>
      <c r="Q167" s="1491">
        <v>327.89380338000001</v>
      </c>
      <c r="R167" s="1491">
        <v>5934.5529999999999</v>
      </c>
      <c r="S167" s="1491">
        <v>227.11646306</v>
      </c>
      <c r="T167" s="1491">
        <v>8137.4129999999996</v>
      </c>
      <c r="U167" s="1491">
        <v>524.20881325000005</v>
      </c>
      <c r="V167" s="1491">
        <v>16.241</v>
      </c>
      <c r="W167" s="1495">
        <v>0.49815599999999999</v>
      </c>
      <c r="X167" s="1492">
        <v>3038.0790000000002</v>
      </c>
      <c r="Y167" s="1492">
        <v>139.07964562000001</v>
      </c>
      <c r="Z167" s="1492">
        <v>46.277000000000001</v>
      </c>
      <c r="AA167" s="1492">
        <v>10.848074039999998</v>
      </c>
      <c r="AB167" s="1492">
        <v>2991.8020000000001</v>
      </c>
      <c r="AC167" s="1492">
        <v>128.23157158000001</v>
      </c>
      <c r="AD167" s="1492">
        <v>24223.547999999999</v>
      </c>
      <c r="AE167" s="1492">
        <v>2767.8344412699998</v>
      </c>
      <c r="AF167" s="1492">
        <v>7880.4560000000001</v>
      </c>
      <c r="AG167" s="1492">
        <v>1836.4421159999999</v>
      </c>
      <c r="AH167" s="1492">
        <v>6580.0479999999998</v>
      </c>
      <c r="AI167" s="1492">
        <v>323.0089724</v>
      </c>
      <c r="AJ167" s="1492">
        <v>4488.5990000000002</v>
      </c>
      <c r="AK167" s="1492">
        <v>184.14213205999999</v>
      </c>
      <c r="AL167" s="1492">
        <v>7019.8209999999999</v>
      </c>
      <c r="AM167" s="1492">
        <v>485.24677824999998</v>
      </c>
      <c r="AN167" s="1492">
        <v>15.737</v>
      </c>
      <c r="AO167" s="1493">
        <v>0.436089</v>
      </c>
      <c r="AP167" s="1492">
        <v>2727.4859999999999</v>
      </c>
      <c r="AQ167" s="1492">
        <v>122.70048561999999</v>
      </c>
      <c r="AR167" s="1492">
        <v>45.09</v>
      </c>
      <c r="AS167" s="1492">
        <v>10.545224039999999</v>
      </c>
      <c r="AT167" s="1492">
        <v>2682.3960000000002</v>
      </c>
      <c r="AU167" s="1492">
        <v>112.15526158</v>
      </c>
      <c r="AV167" s="1492">
        <v>3827.7550000000001</v>
      </c>
      <c r="AW167" s="1492">
        <v>186.84384524999999</v>
      </c>
      <c r="AX167" s="1492">
        <v>275.28199999999998</v>
      </c>
      <c r="AY167" s="1492">
        <v>43.284129</v>
      </c>
      <c r="AZ167" s="1492">
        <v>2123.7840000000001</v>
      </c>
      <c r="BA167" s="1492">
        <v>88.156454249999996</v>
      </c>
      <c r="BB167" s="1492">
        <v>1445.954</v>
      </c>
      <c r="BC167" s="1492">
        <v>42.974330999999999</v>
      </c>
      <c r="BD167" s="1492">
        <v>1117.5920000000001</v>
      </c>
      <c r="BE167" s="1492">
        <v>38.962035</v>
      </c>
      <c r="BF167" s="1494">
        <v>0.504</v>
      </c>
      <c r="BG167" s="1493">
        <v>6.2066999999999997E-2</v>
      </c>
      <c r="BH167" s="1492">
        <v>310.59300000000002</v>
      </c>
      <c r="BI167" s="1498">
        <v>16.379159999999999</v>
      </c>
      <c r="BJ167" s="1493">
        <v>1.1870000000000001</v>
      </c>
      <c r="BK167" s="1493">
        <v>0.30285000000000001</v>
      </c>
      <c r="BL167" s="1492">
        <v>309.40600000000001</v>
      </c>
      <c r="BM167" s="1498">
        <v>16.076309999999999</v>
      </c>
    </row>
    <row r="168" spans="1:65">
      <c r="A168" s="409" t="s">
        <v>24</v>
      </c>
      <c r="B168" s="1491">
        <v>10539.574000000001</v>
      </c>
      <c r="C168" s="1491">
        <v>5680.6769999999997</v>
      </c>
      <c r="D168" s="1491">
        <v>3409.366</v>
      </c>
      <c r="E168" s="1491">
        <v>2632.0740000000001</v>
      </c>
      <c r="F168" s="1491">
        <v>3253.712</v>
      </c>
      <c r="G168" s="1491">
        <v>1244.422</v>
      </c>
      <c r="H168" s="1491">
        <v>29234.280999999999</v>
      </c>
      <c r="I168" s="1491">
        <v>3277.5770970901999</v>
      </c>
      <c r="J168" s="1491">
        <v>8595.232</v>
      </c>
      <c r="K168" s="1491">
        <v>2117.0872267999998</v>
      </c>
      <c r="L168" s="1491">
        <v>26.492999999999999</v>
      </c>
      <c r="M168" s="1491">
        <v>95.359112400000001</v>
      </c>
      <c r="N168" s="1491">
        <v>7.4690000000000003</v>
      </c>
      <c r="O168" s="1491">
        <v>1.86396556</v>
      </c>
      <c r="P168" s="1491">
        <v>8991.9120000000003</v>
      </c>
      <c r="Q168" s="1491">
        <v>341.3678977102</v>
      </c>
      <c r="R168" s="1491">
        <v>6213.4780000000001</v>
      </c>
      <c r="S168" s="1491">
        <v>242.87425146000001</v>
      </c>
      <c r="T168" s="1491">
        <v>8559.0190000000002</v>
      </c>
      <c r="U168" s="1491">
        <v>567.34596854979998</v>
      </c>
      <c r="V168" s="1491">
        <v>18.033999999999999</v>
      </c>
      <c r="W168" s="1495">
        <v>0.57712699999999995</v>
      </c>
      <c r="X168" s="1492">
        <v>3036.1219999999998</v>
      </c>
      <c r="Y168" s="1492">
        <v>153.9757990702</v>
      </c>
      <c r="Z168" s="1492">
        <v>51.252000000000002</v>
      </c>
      <c r="AA168" s="1492">
        <v>11.873257736269998</v>
      </c>
      <c r="AB168" s="1492">
        <v>2984.87</v>
      </c>
      <c r="AC168" s="1492">
        <v>142.10254133397299</v>
      </c>
      <c r="AD168" s="1492">
        <v>25460.41</v>
      </c>
      <c r="AE168" s="1492">
        <v>3081.3874718010002</v>
      </c>
      <c r="AF168" s="1492">
        <v>8331.5810000000001</v>
      </c>
      <c r="AG168" s="1492">
        <v>2073.3656786500001</v>
      </c>
      <c r="AH168" s="1492">
        <v>6949.183</v>
      </c>
      <c r="AI168" s="1492">
        <v>344.97264705750001</v>
      </c>
      <c r="AJ168" s="1492">
        <v>4758.4889999999996</v>
      </c>
      <c r="AK168" s="1492">
        <v>197.31790931999998</v>
      </c>
      <c r="AL168" s="1492">
        <v>7433.7849999999999</v>
      </c>
      <c r="AM168" s="1492">
        <v>524.68390301930003</v>
      </c>
      <c r="AN168" s="1492">
        <v>17.672999999999998</v>
      </c>
      <c r="AO168" s="1493">
        <v>0.50939599999999996</v>
      </c>
      <c r="AP168" s="1492">
        <v>2728.1880000000001</v>
      </c>
      <c r="AQ168" s="1492">
        <v>137.8558470742</v>
      </c>
      <c r="AR168" s="1492">
        <v>49.790999999999997</v>
      </c>
      <c r="AS168" s="1492">
        <v>11.57534451627</v>
      </c>
      <c r="AT168" s="1492">
        <v>2678.3969999999999</v>
      </c>
      <c r="AU168" s="1492">
        <v>126.280502557934</v>
      </c>
      <c r="AV168" s="1492">
        <v>3773.8710000000001</v>
      </c>
      <c r="AW168" s="1492">
        <v>196.18962528919999</v>
      </c>
      <c r="AX168" s="1492">
        <v>271.12</v>
      </c>
      <c r="AY168" s="1492">
        <v>45.585513710000001</v>
      </c>
      <c r="AZ168" s="1492">
        <v>2069.2220000000002</v>
      </c>
      <c r="BA168" s="1492">
        <v>91.7543630527</v>
      </c>
      <c r="BB168" s="1492">
        <v>1454.989</v>
      </c>
      <c r="BC168" s="1492">
        <v>45.556342139999998</v>
      </c>
      <c r="BD168" s="1492">
        <v>1125.2339999999999</v>
      </c>
      <c r="BE168" s="1492">
        <v>42.662065530500001</v>
      </c>
      <c r="BF168" s="1494">
        <v>0.36099999999999999</v>
      </c>
      <c r="BG168" s="1493">
        <v>6.7731E-2</v>
      </c>
      <c r="BH168" s="1492">
        <v>307.93400000000003</v>
      </c>
      <c r="BI168" s="1498">
        <v>16.119951996000001</v>
      </c>
      <c r="BJ168" s="1493">
        <v>1.4610000000000001</v>
      </c>
      <c r="BK168" s="1493">
        <v>0.29791321999999998</v>
      </c>
      <c r="BL168" s="1492">
        <v>306.47300000000001</v>
      </c>
      <c r="BM168" s="1498">
        <v>15.822038776039001</v>
      </c>
    </row>
    <row r="169" spans="1:65">
      <c r="A169" s="409" t="s">
        <v>25</v>
      </c>
      <c r="B169" s="1491">
        <v>10664.52</v>
      </c>
      <c r="C169" s="1491">
        <v>5956.46</v>
      </c>
      <c r="D169" s="1491">
        <v>3401.8989999999999</v>
      </c>
      <c r="E169" s="1491">
        <v>2627.9369999999999</v>
      </c>
      <c r="F169" s="1491">
        <v>3360.0790000000002</v>
      </c>
      <c r="G169" s="1491">
        <v>1274.605</v>
      </c>
      <c r="H169" s="1491">
        <v>29925.391</v>
      </c>
      <c r="I169" s="1491">
        <v>3097.7304719356998</v>
      </c>
      <c r="J169" s="1491">
        <v>8112.0169999999998</v>
      </c>
      <c r="K169" s="1491">
        <v>1885.5144230000001</v>
      </c>
      <c r="L169" s="1491">
        <v>24.614000000000001</v>
      </c>
      <c r="M169" s="1491">
        <v>94.082845860000006</v>
      </c>
      <c r="N169" s="1491">
        <v>7.2249999999999996</v>
      </c>
      <c r="O169" s="1491">
        <v>1.6640060000000001</v>
      </c>
      <c r="P169" s="1491">
        <v>9449.6039999999994</v>
      </c>
      <c r="Q169" s="1491">
        <v>334.70881255220002</v>
      </c>
      <c r="R169" s="1491">
        <v>6608.9750000000004</v>
      </c>
      <c r="S169" s="1491">
        <v>215.35178406</v>
      </c>
      <c r="T169" s="1491">
        <v>8863.7880000000005</v>
      </c>
      <c r="U169" s="1491">
        <v>595.32909677350005</v>
      </c>
      <c r="V169" s="1491">
        <v>19.568000000000001</v>
      </c>
      <c r="W169" s="1495">
        <v>0.51223200000000002</v>
      </c>
      <c r="X169" s="1492">
        <v>3448.5749999999998</v>
      </c>
      <c r="Y169" s="1492">
        <v>185.91905575000001</v>
      </c>
      <c r="Z169" s="1492">
        <v>55.841000000000001</v>
      </c>
      <c r="AA169" s="1492">
        <v>12.731215927584</v>
      </c>
      <c r="AB169" s="1492">
        <v>3392.7339999999999</v>
      </c>
      <c r="AC169" s="1492">
        <v>173.187839822397</v>
      </c>
      <c r="AD169" s="1492">
        <v>25749.113000000001</v>
      </c>
      <c r="AE169" s="1492">
        <v>2888.8769180488998</v>
      </c>
      <c r="AF169" s="1492">
        <v>7804.7719999999999</v>
      </c>
      <c r="AG169" s="1492">
        <v>1837.0774510000001</v>
      </c>
      <c r="AH169" s="1492">
        <v>7211.6490000000003</v>
      </c>
      <c r="AI169" s="1492">
        <v>336.45143860320002</v>
      </c>
      <c r="AJ169" s="1492">
        <v>4967.741</v>
      </c>
      <c r="AK169" s="1492">
        <v>165.60172612</v>
      </c>
      <c r="AL169" s="1492">
        <v>7625.01</v>
      </c>
      <c r="AM169" s="1492">
        <v>549.56166765149999</v>
      </c>
      <c r="AN169" s="1492">
        <v>19.141999999999999</v>
      </c>
      <c r="AO169" s="1493">
        <v>0.46889599999999998</v>
      </c>
      <c r="AP169" s="1492">
        <v>3088.54</v>
      </c>
      <c r="AQ169" s="1492">
        <v>165.31746479419999</v>
      </c>
      <c r="AR169" s="1492">
        <v>54.213999999999999</v>
      </c>
      <c r="AS169" s="1492">
        <v>12.425257023584001</v>
      </c>
      <c r="AT169" s="1492">
        <v>3034.326</v>
      </c>
      <c r="AU169" s="1492">
        <v>152.89220777059901</v>
      </c>
      <c r="AV169" s="1492">
        <v>4176.2780000000002</v>
      </c>
      <c r="AW169" s="1492">
        <v>208.8535538868</v>
      </c>
      <c r="AX169" s="1492">
        <v>314.47000000000003</v>
      </c>
      <c r="AY169" s="1492">
        <v>50.100977999999998</v>
      </c>
      <c r="AZ169" s="1492">
        <v>2262.569</v>
      </c>
      <c r="BA169" s="1492">
        <v>92.340219809000004</v>
      </c>
      <c r="BB169" s="1492">
        <v>1641.2339999999999</v>
      </c>
      <c r="BC169" s="1492">
        <v>49.750057939999998</v>
      </c>
      <c r="BD169" s="1492">
        <v>1238.778</v>
      </c>
      <c r="BE169" s="1492">
        <v>45.767429122000003</v>
      </c>
      <c r="BF169" s="1494">
        <v>0.42599999999999999</v>
      </c>
      <c r="BG169" s="1493">
        <v>4.3336E-2</v>
      </c>
      <c r="BH169" s="1492">
        <v>360.03500000000003</v>
      </c>
      <c r="BI169" s="1497">
        <v>20.601590955799999</v>
      </c>
      <c r="BJ169" s="1493">
        <v>1.627</v>
      </c>
      <c r="BK169" s="1493">
        <v>0.30595890399999998</v>
      </c>
      <c r="BL169" s="1492">
        <v>358.40800000000002</v>
      </c>
      <c r="BM169" s="1497">
        <v>20.295632051798002</v>
      </c>
    </row>
    <row r="170" spans="1:65">
      <c r="A170" s="409" t="s">
        <v>26</v>
      </c>
      <c r="B170" s="1491">
        <v>10841.662</v>
      </c>
      <c r="C170" s="1491">
        <v>6313.5410000000002</v>
      </c>
      <c r="D170" s="1491">
        <v>3395.6559999999999</v>
      </c>
      <c r="E170" s="1491">
        <v>2638.748</v>
      </c>
      <c r="F170" s="1491">
        <v>3504.0329999999999</v>
      </c>
      <c r="G170" s="1491">
        <v>1303.2249999999999</v>
      </c>
      <c r="H170" s="1491">
        <v>31833.941999999999</v>
      </c>
      <c r="I170" s="1491">
        <v>3339.9213361852999</v>
      </c>
      <c r="J170" s="1491">
        <v>8233.5210000000006</v>
      </c>
      <c r="K170" s="1491">
        <v>1921.8929716600001</v>
      </c>
      <c r="L170" s="1491">
        <v>25.558</v>
      </c>
      <c r="M170" s="1491">
        <v>102.95712875</v>
      </c>
      <c r="N170" s="1491">
        <v>5.9569999999999999</v>
      </c>
      <c r="O170" s="1491">
        <v>1.4525277000000001</v>
      </c>
      <c r="P170" s="1491">
        <v>9539.8700000000008</v>
      </c>
      <c r="Q170" s="1491">
        <v>331.91658686239998</v>
      </c>
      <c r="R170" s="1491">
        <v>6806.9880000000003</v>
      </c>
      <c r="S170" s="1491">
        <v>218.26049670471099</v>
      </c>
      <c r="T170" s="1491">
        <v>10301.966</v>
      </c>
      <c r="U170" s="1491">
        <v>802.08649098000001</v>
      </c>
      <c r="V170" s="1491">
        <v>26.094999999999999</v>
      </c>
      <c r="W170" s="1495">
        <v>0.71980900000000003</v>
      </c>
      <c r="X170" s="1492">
        <v>3700.9749999999999</v>
      </c>
      <c r="Y170" s="1492">
        <v>178.8958212329</v>
      </c>
      <c r="Z170" s="1492">
        <v>59.802</v>
      </c>
      <c r="AA170" s="1492">
        <v>14.133523877</v>
      </c>
      <c r="AB170" s="1492">
        <v>3641.1729999999998</v>
      </c>
      <c r="AC170" s="1492">
        <v>164.762297355908</v>
      </c>
      <c r="AD170" s="1492">
        <v>27533.069</v>
      </c>
      <c r="AE170" s="1492">
        <v>3107.9817791514001</v>
      </c>
      <c r="AF170" s="1492">
        <v>7903.7879999999996</v>
      </c>
      <c r="AG170" s="1492">
        <v>1867.33583404</v>
      </c>
      <c r="AH170" s="1492">
        <v>7308.6850000000004</v>
      </c>
      <c r="AI170" s="1492">
        <v>339.95334240480003</v>
      </c>
      <c r="AJ170" s="1492">
        <v>5139.2659999999996</v>
      </c>
      <c r="AK170" s="1492">
        <v>165.53857622471099</v>
      </c>
      <c r="AL170" s="1492">
        <v>8961.5689999999995</v>
      </c>
      <c r="AM170" s="1492">
        <v>740.09879022999996</v>
      </c>
      <c r="AN170" s="1492">
        <v>24.727</v>
      </c>
      <c r="AO170" s="1493">
        <v>0.63895800000000003</v>
      </c>
      <c r="AP170" s="1492">
        <v>3334.3</v>
      </c>
      <c r="AQ170" s="1492">
        <v>159.95485447659999</v>
      </c>
      <c r="AR170" s="1492">
        <v>58.25</v>
      </c>
      <c r="AS170" s="1492">
        <v>13.787887940999999</v>
      </c>
      <c r="AT170" s="1492">
        <v>3276.05</v>
      </c>
      <c r="AU170" s="1492">
        <v>146.16696653563602</v>
      </c>
      <c r="AV170" s="1492">
        <v>4300.8729999999996</v>
      </c>
      <c r="AW170" s="1492">
        <v>231.9395570339</v>
      </c>
      <c r="AX170" s="1492">
        <v>335.69</v>
      </c>
      <c r="AY170" s="1492">
        <v>56.009665320000003</v>
      </c>
      <c r="AZ170" s="1492">
        <v>2256.7429999999999</v>
      </c>
      <c r="BA170" s="1492">
        <v>94.920373207599994</v>
      </c>
      <c r="BB170" s="1492">
        <v>1667.722</v>
      </c>
      <c r="BC170" s="1492">
        <v>52.721920479999994</v>
      </c>
      <c r="BD170" s="1492">
        <v>1340.3969999999999</v>
      </c>
      <c r="BE170" s="1492">
        <v>61.987700750000002</v>
      </c>
      <c r="BF170" s="1494">
        <v>1.3680000000000001</v>
      </c>
      <c r="BG170" s="1493">
        <v>8.0851000000000006E-2</v>
      </c>
      <c r="BH170" s="1492">
        <v>366.67500000000001</v>
      </c>
      <c r="BI170" s="1497">
        <v>18.9409667563</v>
      </c>
      <c r="BJ170" s="1493">
        <v>1.552</v>
      </c>
      <c r="BK170" s="1493">
        <v>0.34563593599999998</v>
      </c>
      <c r="BL170" s="1492">
        <v>365.12299999999999</v>
      </c>
      <c r="BM170" s="1497">
        <v>18.595330820272</v>
      </c>
    </row>
    <row r="171" spans="1:65">
      <c r="A171" s="409" t="s">
        <v>27</v>
      </c>
      <c r="B171" s="1491">
        <v>11092.96</v>
      </c>
      <c r="C171" s="1491">
        <v>6764.7520000000004</v>
      </c>
      <c r="D171" s="1491">
        <v>3459.8939999999998</v>
      </c>
      <c r="E171" s="1491">
        <v>2663.8429999999998</v>
      </c>
      <c r="F171" s="1491">
        <v>3638.4209999999998</v>
      </c>
      <c r="G171" s="1491">
        <v>1330.8019999999999</v>
      </c>
      <c r="H171" s="1491">
        <v>33414.995000000003</v>
      </c>
      <c r="I171" s="1491">
        <v>3430.0212674999998</v>
      </c>
      <c r="J171" s="1491">
        <v>8431.8780000000006</v>
      </c>
      <c r="K171" s="1491">
        <v>1970.00581287</v>
      </c>
      <c r="L171" s="1491">
        <v>25.111000000000001</v>
      </c>
      <c r="M171" s="1491">
        <v>103.97690391</v>
      </c>
      <c r="N171" s="1491">
        <v>5.2350000000000003</v>
      </c>
      <c r="O171" s="1491">
        <v>1.2780817600000001</v>
      </c>
      <c r="P171" s="1491">
        <v>10221.950999999999</v>
      </c>
      <c r="Q171" s="1491">
        <v>349.01427107000001</v>
      </c>
      <c r="R171" s="1491">
        <v>7573.152</v>
      </c>
      <c r="S171" s="1491">
        <v>220.59133738999998</v>
      </c>
      <c r="T171" s="1491">
        <v>10718.929</v>
      </c>
      <c r="U171" s="1491">
        <v>826.39384103999998</v>
      </c>
      <c r="V171" s="1491">
        <v>29.445</v>
      </c>
      <c r="W171" s="1495">
        <v>0.92698000000000003</v>
      </c>
      <c r="X171" s="1492">
        <v>3982.4459999999999</v>
      </c>
      <c r="Y171" s="1492">
        <v>178.42537684999999</v>
      </c>
      <c r="Z171" s="1492">
        <v>71.738</v>
      </c>
      <c r="AA171" s="1492">
        <v>14.946051689999999</v>
      </c>
      <c r="AB171" s="1492">
        <v>3910.7080000000001</v>
      </c>
      <c r="AC171" s="1492">
        <v>163.47932516</v>
      </c>
      <c r="AD171" s="1492">
        <v>29150.555</v>
      </c>
      <c r="AE171" s="1492">
        <v>3199.5204839500002</v>
      </c>
      <c r="AF171" s="1492">
        <v>8107.8860000000004</v>
      </c>
      <c r="AG171" s="1492">
        <v>1915.73821385</v>
      </c>
      <c r="AH171" s="1492">
        <v>8001.701</v>
      </c>
      <c r="AI171" s="1492">
        <v>359.84437543000001</v>
      </c>
      <c r="AJ171" s="1492">
        <v>5852.2510000000002</v>
      </c>
      <c r="AK171" s="1492">
        <v>165.27984918999999</v>
      </c>
      <c r="AL171" s="1492">
        <v>9402.3250000000007</v>
      </c>
      <c r="AM171" s="1492">
        <v>763.09587162000003</v>
      </c>
      <c r="AN171" s="1492">
        <v>27.363</v>
      </c>
      <c r="AO171" s="1493">
        <v>0.80193000000000003</v>
      </c>
      <c r="AP171" s="1492">
        <v>3611.28</v>
      </c>
      <c r="AQ171" s="1492">
        <v>160.04009305</v>
      </c>
      <c r="AR171" s="1492">
        <v>70.388999999999996</v>
      </c>
      <c r="AS171" s="1492">
        <v>14.648259560000001</v>
      </c>
      <c r="AT171" s="1492">
        <v>3540.8910000000001</v>
      </c>
      <c r="AU171" s="1492">
        <v>145.39183349000001</v>
      </c>
      <c r="AV171" s="1492">
        <v>4264.4399999999996</v>
      </c>
      <c r="AW171" s="1492">
        <v>230.50078354999999</v>
      </c>
      <c r="AX171" s="1492">
        <v>329.22699999999998</v>
      </c>
      <c r="AY171" s="1492">
        <v>55.545680779999998</v>
      </c>
      <c r="AZ171" s="1492">
        <v>2245.3609999999999</v>
      </c>
      <c r="BA171" s="1492">
        <v>93.146799549999997</v>
      </c>
      <c r="BB171" s="1492">
        <v>1720.9010000000001</v>
      </c>
      <c r="BC171" s="1492">
        <v>55.311488199999999</v>
      </c>
      <c r="BD171" s="1492">
        <v>1316.604</v>
      </c>
      <c r="BE171" s="1492">
        <v>63.297969420000001</v>
      </c>
      <c r="BF171" s="1494">
        <v>2.0819999999999999</v>
      </c>
      <c r="BG171" s="1493">
        <v>0.12504999999999999</v>
      </c>
      <c r="BH171" s="1492">
        <v>371.166</v>
      </c>
      <c r="BI171" s="1497">
        <v>18.3852838</v>
      </c>
      <c r="BJ171" s="1493">
        <v>1.349</v>
      </c>
      <c r="BK171" s="1493">
        <v>0.29779212999999999</v>
      </c>
      <c r="BL171" s="1492">
        <v>369.81700000000001</v>
      </c>
      <c r="BM171" s="1497">
        <v>18.087491669999999</v>
      </c>
    </row>
    <row r="172" spans="1:65">
      <c r="A172" s="409" t="s">
        <v>28</v>
      </c>
      <c r="B172" s="1491">
        <v>11291.628000000001</v>
      </c>
      <c r="C172" s="1491">
        <v>7078.5469999999996</v>
      </c>
      <c r="D172" s="1491">
        <v>3513.7379999999998</v>
      </c>
      <c r="E172" s="1491">
        <v>2708.5039999999999</v>
      </c>
      <c r="F172" s="1491">
        <v>3697.1970000000001</v>
      </c>
      <c r="G172" s="1491">
        <v>1372.1890000000001</v>
      </c>
      <c r="H172" s="1491">
        <v>38216.686999999998</v>
      </c>
      <c r="I172" s="1491">
        <v>3774.1957878799999</v>
      </c>
      <c r="J172" s="1491">
        <v>9213.0400000000009</v>
      </c>
      <c r="K172" s="1491">
        <v>2126.0435699099999</v>
      </c>
      <c r="L172" s="1491">
        <v>25.289000000000001</v>
      </c>
      <c r="M172" s="1491">
        <v>107.16197434</v>
      </c>
      <c r="N172" s="1491">
        <v>5.4370000000000003</v>
      </c>
      <c r="O172" s="1491">
        <v>1.2870721700000001</v>
      </c>
      <c r="P172" s="1491">
        <v>11722.448</v>
      </c>
      <c r="Q172" s="1491">
        <v>381.25908609999999</v>
      </c>
      <c r="R172" s="1491">
        <v>8915.473</v>
      </c>
      <c r="S172" s="1491">
        <v>266.53639382</v>
      </c>
      <c r="T172" s="1491">
        <v>12434.041999999999</v>
      </c>
      <c r="U172" s="1491">
        <v>939.84661015999995</v>
      </c>
      <c r="V172" s="1491">
        <v>33.819000000000003</v>
      </c>
      <c r="W172" s="1495">
        <v>1.0526690000000001</v>
      </c>
      <c r="X172" s="1492">
        <v>4782.6120000000001</v>
      </c>
      <c r="Y172" s="1492">
        <v>217.54480620000001</v>
      </c>
      <c r="Z172" s="1492">
        <v>57.521999999999998</v>
      </c>
      <c r="AA172" s="1492">
        <v>15.14315468</v>
      </c>
      <c r="AB172" s="1492">
        <v>4725.09</v>
      </c>
      <c r="AC172" s="1492">
        <v>202.40165151999997</v>
      </c>
      <c r="AD172" s="1492">
        <v>33349.249000000003</v>
      </c>
      <c r="AE172" s="1492">
        <v>3501.68935268</v>
      </c>
      <c r="AF172" s="1492">
        <v>8847.9449999999997</v>
      </c>
      <c r="AG172" s="1492">
        <v>2065.5180365299998</v>
      </c>
      <c r="AH172" s="1492">
        <v>9193.4470000000001</v>
      </c>
      <c r="AI172" s="1492">
        <v>375.35814993000002</v>
      </c>
      <c r="AJ172" s="1492">
        <v>6906.3850000000002</v>
      </c>
      <c r="AK172" s="1492">
        <v>196.08875008000001</v>
      </c>
      <c r="AL172" s="1492">
        <v>10963.992</v>
      </c>
      <c r="AM172" s="1492">
        <v>868.38295631999995</v>
      </c>
      <c r="AN172" s="1492">
        <v>32.454999999999998</v>
      </c>
      <c r="AO172" s="1493">
        <v>0.94962100000000005</v>
      </c>
      <c r="AP172" s="1492">
        <v>4311.41</v>
      </c>
      <c r="AQ172" s="1492">
        <v>191.48058889999999</v>
      </c>
      <c r="AR172" s="1492">
        <v>56.273000000000003</v>
      </c>
      <c r="AS172" s="1492">
        <v>14.795815019999999</v>
      </c>
      <c r="AT172" s="1492">
        <v>4255.1369999999997</v>
      </c>
      <c r="AU172" s="1492">
        <v>176.68477387999999</v>
      </c>
      <c r="AV172" s="1492">
        <v>4867.4380000000001</v>
      </c>
      <c r="AW172" s="1492">
        <v>272.5064352</v>
      </c>
      <c r="AX172" s="1492">
        <v>370.53199999999998</v>
      </c>
      <c r="AY172" s="1492">
        <v>61.812605550000001</v>
      </c>
      <c r="AZ172" s="1492">
        <v>2554.29</v>
      </c>
      <c r="BA172" s="1492">
        <v>113.06291050999999</v>
      </c>
      <c r="BB172" s="1492">
        <v>2009.088</v>
      </c>
      <c r="BC172" s="1492">
        <v>70.44764373999999</v>
      </c>
      <c r="BD172" s="1492">
        <v>1470.05</v>
      </c>
      <c r="BE172" s="1492">
        <v>71.463653840000006</v>
      </c>
      <c r="BF172" s="1494">
        <v>1.3640000000000001</v>
      </c>
      <c r="BG172" s="1493">
        <v>0.103048</v>
      </c>
      <c r="BH172" s="1492">
        <v>471.202</v>
      </c>
      <c r="BI172" s="1497">
        <v>26.064217299999999</v>
      </c>
      <c r="BJ172" s="1493">
        <v>1.2490000000000001</v>
      </c>
      <c r="BK172" s="1493">
        <v>0.34733965999999999</v>
      </c>
      <c r="BL172" s="1492">
        <v>469.95299999999997</v>
      </c>
      <c r="BM172" s="1497">
        <v>25.71687764</v>
      </c>
    </row>
    <row r="173" spans="1:65">
      <c r="A173" s="409" t="s">
        <v>29</v>
      </c>
      <c r="B173" s="1491">
        <v>11480.316000000001</v>
      </c>
      <c r="C173" s="1491">
        <v>7480.9309999999996</v>
      </c>
      <c r="D173" s="1491">
        <v>3469.1590000000001</v>
      </c>
      <c r="E173" s="1491">
        <v>2627.3690000000001</v>
      </c>
      <c r="F173" s="1491">
        <v>3974.317</v>
      </c>
      <c r="G173" s="1491">
        <v>1409.471</v>
      </c>
      <c r="H173" s="1491">
        <v>42180.107000000004</v>
      </c>
      <c r="I173" s="1491">
        <v>4376.8108327299997</v>
      </c>
      <c r="J173" s="1491">
        <v>10779.582</v>
      </c>
      <c r="K173" s="1491">
        <v>2533.7316969100002</v>
      </c>
      <c r="L173" s="1491">
        <v>32.832999999999998</v>
      </c>
      <c r="M173" s="1491">
        <v>132.05014027999999</v>
      </c>
      <c r="N173" s="1491">
        <v>7.2679999999999998</v>
      </c>
      <c r="O173" s="1491">
        <v>1.80859671</v>
      </c>
      <c r="P173" s="1491">
        <v>12488.913</v>
      </c>
      <c r="Q173" s="1491">
        <v>426.02968558999999</v>
      </c>
      <c r="R173" s="1491">
        <v>9492.5370000000003</v>
      </c>
      <c r="S173" s="1491">
        <v>308.20065402999995</v>
      </c>
      <c r="T173" s="1491">
        <v>13940.346</v>
      </c>
      <c r="U173" s="1491">
        <v>1078.21292784</v>
      </c>
      <c r="V173" s="1491">
        <v>34.338000000000001</v>
      </c>
      <c r="W173" s="1495">
        <v>1.061928</v>
      </c>
      <c r="X173" s="1492">
        <v>4896.8270000000002</v>
      </c>
      <c r="Y173" s="1492">
        <v>203.91585739999999</v>
      </c>
      <c r="Z173" s="1492">
        <v>55.395000000000003</v>
      </c>
      <c r="AA173" s="1492">
        <v>14.8330704</v>
      </c>
      <c r="AB173" s="1492">
        <v>4841.4319999999998</v>
      </c>
      <c r="AC173" s="1492">
        <v>189.082787</v>
      </c>
      <c r="AD173" s="1492">
        <v>37046.955999999998</v>
      </c>
      <c r="AE173" s="1492">
        <v>4091.26604232</v>
      </c>
      <c r="AF173" s="1492">
        <v>10401.056</v>
      </c>
      <c r="AG173" s="1492">
        <v>2469.5619609</v>
      </c>
      <c r="AH173" s="1492">
        <v>9837.7150000000001</v>
      </c>
      <c r="AI173" s="1492">
        <v>442.11961231999999</v>
      </c>
      <c r="AJ173" s="1492">
        <v>7312.1480000000001</v>
      </c>
      <c r="AK173" s="1492">
        <v>230.28897424000002</v>
      </c>
      <c r="AL173" s="1492">
        <v>12355.31</v>
      </c>
      <c r="AM173" s="1492">
        <v>997.06281081999998</v>
      </c>
      <c r="AN173" s="1492">
        <v>32.956000000000003</v>
      </c>
      <c r="AO173" s="1493">
        <v>0.94473300000000004</v>
      </c>
      <c r="AP173" s="1492">
        <v>4419.9189999999999</v>
      </c>
      <c r="AQ173" s="1492">
        <v>181.57692528000001</v>
      </c>
      <c r="AR173" s="1492">
        <v>54.222000000000001</v>
      </c>
      <c r="AS173" s="1492">
        <v>14.567045439999999</v>
      </c>
      <c r="AT173" s="1492">
        <v>4365.6970000000001</v>
      </c>
      <c r="AU173" s="1492">
        <v>167.00987984</v>
      </c>
      <c r="AV173" s="1492">
        <v>5133.1509999999998</v>
      </c>
      <c r="AW173" s="1492">
        <v>285.54479041000002</v>
      </c>
      <c r="AX173" s="1492">
        <v>385.79399999999998</v>
      </c>
      <c r="AY173" s="1492">
        <v>65.978332719999997</v>
      </c>
      <c r="AZ173" s="1492">
        <v>2684.0309999999999</v>
      </c>
      <c r="BA173" s="1492">
        <v>115.96021355000001</v>
      </c>
      <c r="BB173" s="1492">
        <v>2180.3890000000001</v>
      </c>
      <c r="BC173" s="1492">
        <v>77.911679790000008</v>
      </c>
      <c r="BD173" s="1492">
        <v>1585.0360000000001</v>
      </c>
      <c r="BE173" s="1492">
        <v>81.150117019999996</v>
      </c>
      <c r="BF173" s="1494">
        <v>1.3819999999999999</v>
      </c>
      <c r="BG173" s="1493">
        <v>0.11719499999999999</v>
      </c>
      <c r="BH173" s="1492">
        <v>476.90800000000002</v>
      </c>
      <c r="BI173" s="1497">
        <v>22.338932119999999</v>
      </c>
      <c r="BJ173" s="1493">
        <v>1.173</v>
      </c>
      <c r="BK173" s="1493">
        <v>0.26602496000000003</v>
      </c>
      <c r="BL173" s="1492">
        <v>475.73500000000001</v>
      </c>
      <c r="BM173" s="1497">
        <v>22.07290716</v>
      </c>
    </row>
    <row r="174" spans="1:65">
      <c r="A174" s="580" t="s">
        <v>2812</v>
      </c>
      <c r="B174" s="1496">
        <v>13630.909</v>
      </c>
      <c r="C174" s="2025">
        <v>10302.066000000001</v>
      </c>
      <c r="D174" s="1496">
        <v>3547.4850000000001</v>
      </c>
      <c r="E174" s="1496">
        <v>2758.7310000000002</v>
      </c>
      <c r="F174" s="1496">
        <v>5501.5360000000001</v>
      </c>
      <c r="G174" s="1496">
        <v>1823.1569999999999</v>
      </c>
      <c r="H174" s="1496">
        <f t="shared" ref="H174:AM174" si="35">SUM(H175:H186)</f>
        <v>644573.30700000015</v>
      </c>
      <c r="I174" s="1496">
        <f t="shared" si="35"/>
        <v>59026.833436930989</v>
      </c>
      <c r="J174" s="1496">
        <f t="shared" si="35"/>
        <v>128527.67900000002</v>
      </c>
      <c r="K174" s="1496">
        <f t="shared" si="35"/>
        <v>30505.104257899999</v>
      </c>
      <c r="L174" s="1496">
        <f t="shared" si="35"/>
        <v>367.02199999999999</v>
      </c>
      <c r="M174" s="1496">
        <f t="shared" si="35"/>
        <v>1563.2154236300003</v>
      </c>
      <c r="N174" s="1496">
        <f t="shared" si="35"/>
        <v>40.481999999999999</v>
      </c>
      <c r="O174" s="1496">
        <f t="shared" si="35"/>
        <v>12.26667542</v>
      </c>
      <c r="P174" s="1496">
        <f t="shared" si="35"/>
        <v>199137.16300000003</v>
      </c>
      <c r="Q174" s="1496">
        <f t="shared" si="35"/>
        <v>5808.4467218699992</v>
      </c>
      <c r="R174" s="1496">
        <f t="shared" si="35"/>
        <v>183243.723</v>
      </c>
      <c r="S174" s="1496">
        <f t="shared" si="35"/>
        <v>4895.8786656999991</v>
      </c>
      <c r="T174" s="1496">
        <f t="shared" si="35"/>
        <v>261003.11900000001</v>
      </c>
      <c r="U174" s="1496">
        <f t="shared" si="35"/>
        <v>18515.646486130001</v>
      </c>
      <c r="V174" s="1496">
        <f t="shared" si="35"/>
        <v>570.82100000000003</v>
      </c>
      <c r="W174" s="1496">
        <f t="shared" si="35"/>
        <v>28.943074520000003</v>
      </c>
      <c r="X174" s="1496">
        <f t="shared" si="35"/>
        <v>54927.021000000008</v>
      </c>
      <c r="Y174" s="1496">
        <f t="shared" si="35"/>
        <v>2593.2107974610003</v>
      </c>
      <c r="Z174" s="1496">
        <f t="shared" si="35"/>
        <v>608.27499999999998</v>
      </c>
      <c r="AA174" s="1496">
        <f t="shared" si="35"/>
        <v>174.88075451100002</v>
      </c>
      <c r="AB174" s="1496">
        <f t="shared" si="35"/>
        <v>54318.746000000006</v>
      </c>
      <c r="AC174" s="1496">
        <f t="shared" si="35"/>
        <v>2418.33004295</v>
      </c>
      <c r="AD174" s="1496">
        <f t="shared" si="35"/>
        <v>563770.25099999993</v>
      </c>
      <c r="AE174" s="1496">
        <f t="shared" si="35"/>
        <v>54694.229661910991</v>
      </c>
      <c r="AF174" s="1496">
        <f t="shared" si="35"/>
        <v>123309.163</v>
      </c>
      <c r="AG174" s="1496">
        <f t="shared" si="35"/>
        <v>29558.392386289997</v>
      </c>
      <c r="AH174" s="1496">
        <f t="shared" si="35"/>
        <v>157613.95599999998</v>
      </c>
      <c r="AI174" s="1496">
        <f t="shared" si="35"/>
        <v>5763.2596598600003</v>
      </c>
      <c r="AJ174" s="1496">
        <f t="shared" si="35"/>
        <v>144864.12900000002</v>
      </c>
      <c r="AK174" s="1496">
        <f t="shared" si="35"/>
        <v>3636.6820927499998</v>
      </c>
      <c r="AL174" s="1496">
        <f t="shared" si="35"/>
        <v>232762.97999999998</v>
      </c>
      <c r="AM174" s="1496">
        <f t="shared" si="35"/>
        <v>17026.997571309999</v>
      </c>
      <c r="AN174" s="1496">
        <f t="shared" ref="AN174:BM174" si="36">SUM(AN175:AN186)</f>
        <v>543.06399999999996</v>
      </c>
      <c r="AO174" s="1501">
        <f t="shared" si="36"/>
        <v>26.813233519999997</v>
      </c>
      <c r="AP174" s="1496">
        <f t="shared" si="36"/>
        <v>49541.088000000003</v>
      </c>
      <c r="AQ174" s="1496">
        <f t="shared" si="36"/>
        <v>2318.7668109309998</v>
      </c>
      <c r="AR174" s="1496">
        <f t="shared" si="36"/>
        <v>592.41800000000001</v>
      </c>
      <c r="AS174" s="1496">
        <f t="shared" si="36"/>
        <v>170.80065047099998</v>
      </c>
      <c r="AT174" s="1496">
        <f t="shared" si="36"/>
        <v>48948.670000000006</v>
      </c>
      <c r="AU174" s="1496">
        <f t="shared" si="36"/>
        <v>2147.9661604600001</v>
      </c>
      <c r="AV174" s="1496">
        <f t="shared" si="36"/>
        <v>80803.055999999997</v>
      </c>
      <c r="AW174" s="1496">
        <f t="shared" si="36"/>
        <v>4332.6037750200003</v>
      </c>
      <c r="AX174" s="1496">
        <f t="shared" si="36"/>
        <v>5258.9979999999996</v>
      </c>
      <c r="AY174" s="1496">
        <f t="shared" si="36"/>
        <v>958.97854702999985</v>
      </c>
      <c r="AZ174" s="1496">
        <f t="shared" si="36"/>
        <v>41890.228999999999</v>
      </c>
      <c r="BA174" s="1496">
        <f t="shared" si="36"/>
        <v>1608.4024856400001</v>
      </c>
      <c r="BB174" s="1496">
        <f t="shared" si="36"/>
        <v>38379.593999999997</v>
      </c>
      <c r="BC174" s="1496">
        <f t="shared" si="36"/>
        <v>1259.19657295</v>
      </c>
      <c r="BD174" s="1496">
        <f t="shared" si="36"/>
        <v>28240.139000000003</v>
      </c>
      <c r="BE174" s="1496">
        <f t="shared" si="36"/>
        <v>1488.6489148199998</v>
      </c>
      <c r="BF174" s="1436">
        <f t="shared" si="36"/>
        <v>27.756999999999998</v>
      </c>
      <c r="BG174" s="1501">
        <f t="shared" si="36"/>
        <v>2.1298409999999999</v>
      </c>
      <c r="BH174" s="1496">
        <f t="shared" si="36"/>
        <v>5385.9330000000009</v>
      </c>
      <c r="BI174" s="1496">
        <f t="shared" si="36"/>
        <v>274.44398653000002</v>
      </c>
      <c r="BJ174" s="1501">
        <f t="shared" si="36"/>
        <v>15.856999999999999</v>
      </c>
      <c r="BK174" s="1501">
        <f t="shared" si="36"/>
        <v>4.0801040400000002</v>
      </c>
      <c r="BL174" s="1496">
        <f t="shared" si="36"/>
        <v>5370.0760000000009</v>
      </c>
      <c r="BM174" s="1496">
        <f t="shared" si="36"/>
        <v>270.36388248999998</v>
      </c>
    </row>
    <row r="175" spans="1:65">
      <c r="A175" s="409" t="s">
        <v>18</v>
      </c>
      <c r="B175" s="1491">
        <v>11682.848</v>
      </c>
      <c r="C175" s="2024">
        <v>8161</v>
      </c>
      <c r="D175" s="1491">
        <v>3463.7759999999998</v>
      </c>
      <c r="E175" s="1491">
        <v>2613.3919999999998</v>
      </c>
      <c r="F175" s="1491">
        <v>4165.5569999999998</v>
      </c>
      <c r="G175" s="1491">
        <v>1440.123</v>
      </c>
      <c r="H175" s="1491">
        <v>38349.377</v>
      </c>
      <c r="I175" s="1491">
        <v>3488.0312433099998</v>
      </c>
      <c r="J175" s="1491">
        <v>8504.1779999999999</v>
      </c>
      <c r="K175" s="1491">
        <v>1899.0755959999999</v>
      </c>
      <c r="L175" s="1491">
        <v>20.167999999999999</v>
      </c>
      <c r="M175" s="1491">
        <v>95.359961499999997</v>
      </c>
      <c r="N175" s="1491">
        <v>5.4619999999999997</v>
      </c>
      <c r="O175" s="1491">
        <v>1.3356915</v>
      </c>
      <c r="P175" s="1491">
        <v>12365.101000000001</v>
      </c>
      <c r="Q175" s="1491">
        <v>384.29648859000002</v>
      </c>
      <c r="R175" s="1491">
        <v>9810.8449999999993</v>
      </c>
      <c r="S175" s="1491">
        <v>288.06172029999999</v>
      </c>
      <c r="T175" s="1491">
        <v>13043.338</v>
      </c>
      <c r="U175" s="1491">
        <v>921.45927859000005</v>
      </c>
      <c r="V175" s="1491">
        <v>27.875</v>
      </c>
      <c r="W175" s="1495">
        <v>1.1149309999999999</v>
      </c>
      <c r="X175" s="1492">
        <v>4383.2550000000001</v>
      </c>
      <c r="Y175" s="1492">
        <v>185.38929612999999</v>
      </c>
      <c r="Z175" s="1492">
        <v>51.164000000000001</v>
      </c>
      <c r="AA175" s="1492">
        <v>13.782137499999999</v>
      </c>
      <c r="AB175" s="1492">
        <v>4332.0910000000003</v>
      </c>
      <c r="AC175" s="1492">
        <v>171.60715862999999</v>
      </c>
      <c r="AD175" s="1492">
        <v>33070.915000000001</v>
      </c>
      <c r="AE175" s="1492">
        <v>3212.35673645</v>
      </c>
      <c r="AF175" s="1492">
        <v>8114.8069999999998</v>
      </c>
      <c r="AG175" s="1492">
        <v>1838.83229491</v>
      </c>
      <c r="AH175" s="1492">
        <v>9536.9060000000009</v>
      </c>
      <c r="AI175" s="1492">
        <v>368.64497467000001</v>
      </c>
      <c r="AJ175" s="1492">
        <v>7470.3810000000003</v>
      </c>
      <c r="AK175" s="1492">
        <v>209.50061803999998</v>
      </c>
      <c r="AL175" s="1492">
        <v>11424.79</v>
      </c>
      <c r="AM175" s="1492">
        <v>839.59732544999997</v>
      </c>
      <c r="AN175" s="1492">
        <v>25.974</v>
      </c>
      <c r="AO175" s="1493">
        <v>1.0075940000000001</v>
      </c>
      <c r="AP175" s="1492">
        <v>3968.4380000000001</v>
      </c>
      <c r="AQ175" s="1492">
        <v>164.27454742</v>
      </c>
      <c r="AR175" s="1492">
        <v>50.015000000000001</v>
      </c>
      <c r="AS175" s="1492">
        <v>13.496009039999999</v>
      </c>
      <c r="AT175" s="1492">
        <v>3918.4229999999998</v>
      </c>
      <c r="AU175" s="1492">
        <v>150.77853837999999</v>
      </c>
      <c r="AV175" s="1492">
        <v>5278.4620000000004</v>
      </c>
      <c r="AW175" s="1492">
        <v>275.67450686000001</v>
      </c>
      <c r="AX175" s="1492">
        <v>394.83300000000003</v>
      </c>
      <c r="AY175" s="1492">
        <v>61.578992589999999</v>
      </c>
      <c r="AZ175" s="1492">
        <v>2848.3629999999998</v>
      </c>
      <c r="BA175" s="1492">
        <v>111.01147542</v>
      </c>
      <c r="BB175" s="1492">
        <v>2340.4639999999999</v>
      </c>
      <c r="BC175" s="1492">
        <v>78.561102259999998</v>
      </c>
      <c r="BD175" s="1492">
        <v>1618.548</v>
      </c>
      <c r="BE175" s="1492">
        <v>81.861953139999997</v>
      </c>
      <c r="BF175" s="1494">
        <v>1.901</v>
      </c>
      <c r="BG175" s="1493">
        <v>0.107337</v>
      </c>
      <c r="BH175" s="1492">
        <v>414.81700000000001</v>
      </c>
      <c r="BI175" s="1491">
        <v>21.114748710000001</v>
      </c>
      <c r="BJ175" s="1493">
        <v>1.149</v>
      </c>
      <c r="BK175" s="1493">
        <v>0.28612846000000003</v>
      </c>
      <c r="BL175" s="1492">
        <v>413.66800000000001</v>
      </c>
      <c r="BM175" s="1491">
        <v>20.82862025</v>
      </c>
    </row>
    <row r="176" spans="1:65">
      <c r="A176" s="409" t="s">
        <v>19</v>
      </c>
      <c r="B176" s="1491">
        <v>11940.005999999999</v>
      </c>
      <c r="C176" s="2024">
        <v>8420.1659999999993</v>
      </c>
      <c r="D176" s="1491">
        <v>3520.31</v>
      </c>
      <c r="E176" s="1491">
        <v>2635.5509999999999</v>
      </c>
      <c r="F176" s="1491">
        <v>4322.6710000000003</v>
      </c>
      <c r="G176" s="1491">
        <v>1461.4739999999999</v>
      </c>
      <c r="H176" s="1491">
        <v>39729.972000000002</v>
      </c>
      <c r="I176" s="1491">
        <v>3847.38703485</v>
      </c>
      <c r="J176" s="1491">
        <v>9364.777</v>
      </c>
      <c r="K176" s="1491">
        <v>2200.35073083</v>
      </c>
      <c r="L176" s="1491">
        <v>25.34</v>
      </c>
      <c r="M176" s="1491">
        <v>93.10026139</v>
      </c>
      <c r="N176" s="1491">
        <v>3.4359999999999999</v>
      </c>
      <c r="O176" s="1491">
        <v>0.86426585</v>
      </c>
      <c r="P176" s="1491">
        <v>12347.332</v>
      </c>
      <c r="Q176" s="1491">
        <v>361.15475957000001</v>
      </c>
      <c r="R176" s="1491">
        <v>10178.638000000001</v>
      </c>
      <c r="S176" s="1491">
        <v>287.31922586000002</v>
      </c>
      <c r="T176" s="1491">
        <v>13981.749</v>
      </c>
      <c r="U176" s="1491">
        <v>1029.3875708999999</v>
      </c>
      <c r="V176" s="1491">
        <v>31.303000000000001</v>
      </c>
      <c r="W176" s="1495">
        <v>1.1871499999999999</v>
      </c>
      <c r="X176" s="1492">
        <v>3976.0349999999999</v>
      </c>
      <c r="Y176" s="1492">
        <v>161.34229630999999</v>
      </c>
      <c r="Z176" s="1492">
        <v>42.122999999999998</v>
      </c>
      <c r="AA176" s="1492">
        <v>13.524073449999999</v>
      </c>
      <c r="AB176" s="1492">
        <v>3933.9119999999998</v>
      </c>
      <c r="AC176" s="1492">
        <v>147.81822286000002</v>
      </c>
      <c r="AD176" s="1492">
        <v>34324.188999999998</v>
      </c>
      <c r="AE176" s="1492">
        <v>3567.1879588900001</v>
      </c>
      <c r="AF176" s="1492">
        <v>8987.0959999999995</v>
      </c>
      <c r="AG176" s="1492">
        <v>2137.7726566400002</v>
      </c>
      <c r="AH176" s="1492">
        <v>9677.4120000000003</v>
      </c>
      <c r="AI176" s="1492">
        <v>353.86883983000001</v>
      </c>
      <c r="AJ176" s="1492">
        <v>7767.9059999999999</v>
      </c>
      <c r="AK176" s="1492">
        <v>211.10113030000002</v>
      </c>
      <c r="AL176" s="1492">
        <v>12032.067999999999</v>
      </c>
      <c r="AM176" s="1492">
        <v>929.09694493999996</v>
      </c>
      <c r="AN176" s="1492">
        <v>28.431999999999999</v>
      </c>
      <c r="AO176" s="1493">
        <v>1.0412859999999999</v>
      </c>
      <c r="AP176" s="1492">
        <v>3599.181</v>
      </c>
      <c r="AQ176" s="1492">
        <v>145.40823148000001</v>
      </c>
      <c r="AR176" s="1492">
        <v>41.158000000000001</v>
      </c>
      <c r="AS176" s="1492">
        <v>13.28718376</v>
      </c>
      <c r="AT176" s="1492">
        <v>3558.0230000000001</v>
      </c>
      <c r="AU176" s="1492">
        <v>132.12104772000001</v>
      </c>
      <c r="AV176" s="1492">
        <v>5405.7830000000004</v>
      </c>
      <c r="AW176" s="1492">
        <v>280.19907596000002</v>
      </c>
      <c r="AX176" s="1492">
        <v>381.11700000000002</v>
      </c>
      <c r="AY176" s="1492">
        <v>63.442340039999998</v>
      </c>
      <c r="AZ176" s="1492">
        <v>2695.26</v>
      </c>
      <c r="BA176" s="1492">
        <v>100.38618113</v>
      </c>
      <c r="BB176" s="1492">
        <v>2410.732</v>
      </c>
      <c r="BC176" s="1492">
        <v>76.218095560000009</v>
      </c>
      <c r="BD176" s="1492">
        <v>1949.681</v>
      </c>
      <c r="BE176" s="1492">
        <v>100.29062596</v>
      </c>
      <c r="BF176" s="1494">
        <v>2.871</v>
      </c>
      <c r="BG176" s="1493">
        <v>0.14586399999999999</v>
      </c>
      <c r="BH176" s="1492">
        <v>376.85399999999998</v>
      </c>
      <c r="BI176" s="1491">
        <v>15.934064830000001</v>
      </c>
      <c r="BJ176" s="1493">
        <v>0.96499999999999997</v>
      </c>
      <c r="BK176" s="1493">
        <v>0.23688969000000001</v>
      </c>
      <c r="BL176" s="1492">
        <v>375.88900000000001</v>
      </c>
      <c r="BM176" s="1491">
        <v>15.697175140000001</v>
      </c>
    </row>
    <row r="177" spans="1:65">
      <c r="A177" s="409" t="s">
        <v>20</v>
      </c>
      <c r="B177" s="1491">
        <v>12178.953</v>
      </c>
      <c r="C177" s="2024">
        <v>8722.5069999999996</v>
      </c>
      <c r="D177" s="1491">
        <v>3570.1489999999999</v>
      </c>
      <c r="E177" s="1491">
        <v>2646.7840000000001</v>
      </c>
      <c r="F177" s="1491">
        <v>4453.1180000000004</v>
      </c>
      <c r="G177" s="1491">
        <v>1508.902</v>
      </c>
      <c r="H177" s="1491">
        <v>47789.195</v>
      </c>
      <c r="I177" s="1491">
        <v>4465.16994995</v>
      </c>
      <c r="J177" s="1491">
        <v>10799.087</v>
      </c>
      <c r="K177" s="1491">
        <v>2464.5967803200001</v>
      </c>
      <c r="L177" s="1491">
        <v>29.812999999999999</v>
      </c>
      <c r="M177" s="1491">
        <v>114.35463007</v>
      </c>
      <c r="N177" s="1491">
        <v>6.9980000000000002</v>
      </c>
      <c r="O177" s="1491">
        <v>1.7452753999999999</v>
      </c>
      <c r="P177" s="1491">
        <v>13565.433999999999</v>
      </c>
      <c r="Q177" s="1491">
        <v>443.01989438999999</v>
      </c>
      <c r="R177" s="1491">
        <v>12412.120999999999</v>
      </c>
      <c r="S177" s="1491">
        <v>359.64130383999998</v>
      </c>
      <c r="T177" s="1491">
        <v>18935.584999999999</v>
      </c>
      <c r="U177" s="1491">
        <v>1255.6446458</v>
      </c>
      <c r="V177" s="1491">
        <v>30.786999999999999</v>
      </c>
      <c r="W177" s="1495">
        <v>1.158344</v>
      </c>
      <c r="X177" s="1492">
        <v>4421.491</v>
      </c>
      <c r="Y177" s="1492">
        <v>184.65037996999999</v>
      </c>
      <c r="Z177" s="1492">
        <v>48.335999999999999</v>
      </c>
      <c r="AA177" s="1492">
        <v>12.401784060000001</v>
      </c>
      <c r="AB177" s="1492">
        <v>4373.1549999999997</v>
      </c>
      <c r="AC177" s="1492">
        <v>172.24859591000001</v>
      </c>
      <c r="AD177" s="1492">
        <v>41820.373</v>
      </c>
      <c r="AE177" s="1492">
        <v>4149.4503916200001</v>
      </c>
      <c r="AF177" s="1492">
        <v>10401.466</v>
      </c>
      <c r="AG177" s="1492">
        <v>2403.2582567300001</v>
      </c>
      <c r="AH177" s="1492">
        <v>10494.329</v>
      </c>
      <c r="AI177" s="1492">
        <v>428.44242699</v>
      </c>
      <c r="AJ177" s="1492">
        <v>9613.1049999999996</v>
      </c>
      <c r="AK177" s="1492">
        <v>260.03635781000003</v>
      </c>
      <c r="AL177" s="1492">
        <v>16913.564999999999</v>
      </c>
      <c r="AM177" s="1492">
        <v>1155.0434061000001</v>
      </c>
      <c r="AN177" s="1492">
        <v>28.704999999999998</v>
      </c>
      <c r="AO177" s="1493">
        <v>1.044035</v>
      </c>
      <c r="AP177" s="1492">
        <v>3982.308</v>
      </c>
      <c r="AQ177" s="1492">
        <v>161.6622668</v>
      </c>
      <c r="AR177" s="1492">
        <v>46.899000000000001</v>
      </c>
      <c r="AS177" s="1492">
        <v>12.001833830000001</v>
      </c>
      <c r="AT177" s="1492">
        <v>3935.4090000000001</v>
      </c>
      <c r="AU177" s="1492">
        <v>149.66043296999999</v>
      </c>
      <c r="AV177" s="1492">
        <v>5968.8220000000001</v>
      </c>
      <c r="AW177" s="1492">
        <v>315.71955832999998</v>
      </c>
      <c r="AX177" s="1492">
        <v>404.61900000000003</v>
      </c>
      <c r="AY177" s="1492">
        <v>63.083798989999998</v>
      </c>
      <c r="AZ177" s="1492">
        <v>3100.9180000000001</v>
      </c>
      <c r="BA177" s="1492">
        <v>128.93209747</v>
      </c>
      <c r="BB177" s="1492">
        <v>2799.0160000000001</v>
      </c>
      <c r="BC177" s="1492">
        <v>99.604946030000008</v>
      </c>
      <c r="BD177" s="1492">
        <v>2022.02</v>
      </c>
      <c r="BE177" s="1492">
        <v>100.60123969999999</v>
      </c>
      <c r="BF177" s="1494">
        <v>2.0819999999999999</v>
      </c>
      <c r="BG177" s="1493">
        <v>0.11430899999999999</v>
      </c>
      <c r="BH177" s="1492">
        <v>439.18299999999999</v>
      </c>
      <c r="BI177" s="1491">
        <v>22.988113169999998</v>
      </c>
      <c r="BJ177" s="1493">
        <v>1.4370000000000001</v>
      </c>
      <c r="BK177" s="1493">
        <v>0.39995022999999996</v>
      </c>
      <c r="BL177" s="1492">
        <v>437.74599999999998</v>
      </c>
      <c r="BM177" s="1491">
        <v>22.588162939999997</v>
      </c>
    </row>
    <row r="178" spans="1:65">
      <c r="A178" s="409" t="s">
        <v>21</v>
      </c>
      <c r="B178" s="1491">
        <v>12310.733</v>
      </c>
      <c r="C178" s="2024">
        <v>8906.607</v>
      </c>
      <c r="D178" s="1491">
        <v>3558.5070000000001</v>
      </c>
      <c r="E178" s="1491">
        <v>2672.5219999999999</v>
      </c>
      <c r="F178" s="1491">
        <v>4547.201</v>
      </c>
      <c r="G178" s="1491">
        <v>1532.5029999999999</v>
      </c>
      <c r="H178" s="1491">
        <v>45483.639000000003</v>
      </c>
      <c r="I178" s="1491">
        <v>4240.9656866300002</v>
      </c>
      <c r="J178" s="1491">
        <v>9805.94</v>
      </c>
      <c r="K178" s="1491">
        <v>2273.0891979100002</v>
      </c>
      <c r="L178" s="1491">
        <v>32.103999999999999</v>
      </c>
      <c r="M178" s="1491">
        <v>127.39126668999999</v>
      </c>
      <c r="N178" s="1491">
        <v>3.4889999999999999</v>
      </c>
      <c r="O178" s="1491">
        <v>0.86773403999999998</v>
      </c>
      <c r="P178" s="1491">
        <v>13004.019</v>
      </c>
      <c r="Q178" s="1491">
        <v>387.02639916999999</v>
      </c>
      <c r="R178" s="1491">
        <v>11971.075999999999</v>
      </c>
      <c r="S178" s="1491">
        <v>318.89720435999999</v>
      </c>
      <c r="T178" s="1491">
        <v>18301.97</v>
      </c>
      <c r="U178" s="1491">
        <v>1286.86953608</v>
      </c>
      <c r="V178" s="1491">
        <v>37.438000000000002</v>
      </c>
      <c r="W178" s="1495">
        <v>1.3979809999999999</v>
      </c>
      <c r="X178" s="1492">
        <v>4298.6790000000001</v>
      </c>
      <c r="Y178" s="1492">
        <v>164.32357174000001</v>
      </c>
      <c r="Z178" s="1492">
        <v>42.338999999999999</v>
      </c>
      <c r="AA178" s="1492">
        <v>10.598525130000001</v>
      </c>
      <c r="AB178" s="1492">
        <v>4256.34</v>
      </c>
      <c r="AC178" s="1492">
        <v>153.72504661000002</v>
      </c>
      <c r="AD178" s="1492">
        <v>39561.716</v>
      </c>
      <c r="AE178" s="1492">
        <v>3933.1946381799999</v>
      </c>
      <c r="AF178" s="1492">
        <v>9388.2909999999993</v>
      </c>
      <c r="AG178" s="1492">
        <v>2202.2616562200001</v>
      </c>
      <c r="AH178" s="1492">
        <v>10047.998</v>
      </c>
      <c r="AI178" s="1492">
        <v>404.12444471999999</v>
      </c>
      <c r="AJ178" s="1492">
        <v>9259.65</v>
      </c>
      <c r="AK178" s="1492">
        <v>232.69359758000002</v>
      </c>
      <c r="AL178" s="1492">
        <v>16213.691999999999</v>
      </c>
      <c r="AM178" s="1492">
        <v>1179.67088973</v>
      </c>
      <c r="AN178" s="1492">
        <v>36.130000000000003</v>
      </c>
      <c r="AO178" s="1493">
        <v>1.302959</v>
      </c>
      <c r="AP178" s="1492">
        <v>3875.605</v>
      </c>
      <c r="AQ178" s="1492">
        <v>145.83468851000001</v>
      </c>
      <c r="AR178" s="1492">
        <v>41.158999999999999</v>
      </c>
      <c r="AS178" s="1492">
        <v>10.2760438</v>
      </c>
      <c r="AT178" s="1492">
        <v>3834.4459999999999</v>
      </c>
      <c r="AU178" s="1492">
        <v>135.55864470999998</v>
      </c>
      <c r="AV178" s="1492">
        <v>5921.9229999999998</v>
      </c>
      <c r="AW178" s="1492">
        <v>307.77104845000002</v>
      </c>
      <c r="AX178" s="1492">
        <v>421.13799999999998</v>
      </c>
      <c r="AY178" s="1492">
        <v>71.695275730000006</v>
      </c>
      <c r="AZ178" s="1492">
        <v>2988.125</v>
      </c>
      <c r="BA178" s="1492">
        <v>110.29322114</v>
      </c>
      <c r="BB178" s="1492">
        <v>2711.4259999999999</v>
      </c>
      <c r="BC178" s="1492">
        <v>86.203606780000001</v>
      </c>
      <c r="BD178" s="1492">
        <v>2088.2779999999998</v>
      </c>
      <c r="BE178" s="1492">
        <v>107.19864635</v>
      </c>
      <c r="BF178" s="1494">
        <v>1.3080000000000001</v>
      </c>
      <c r="BG178" s="1493">
        <v>9.5021999999999995E-2</v>
      </c>
      <c r="BH178" s="1492">
        <v>423.07400000000001</v>
      </c>
      <c r="BI178" s="1491">
        <v>18.488883229999999</v>
      </c>
      <c r="BJ178" s="1493">
        <v>1.18</v>
      </c>
      <c r="BK178" s="1493">
        <v>0.32248133000000001</v>
      </c>
      <c r="BL178" s="1492">
        <v>421.89400000000001</v>
      </c>
      <c r="BM178" s="1491">
        <v>18.166401899999997</v>
      </c>
    </row>
    <row r="179" spans="1:65">
      <c r="A179" s="409" t="s">
        <v>22</v>
      </c>
      <c r="B179" s="1491">
        <v>12430.844999999999</v>
      </c>
      <c r="C179" s="2024">
        <v>9032.5470000000005</v>
      </c>
      <c r="D179" s="1491">
        <v>3500.9189999999999</v>
      </c>
      <c r="E179" s="1491">
        <v>2673.0929999999998</v>
      </c>
      <c r="F179" s="1491">
        <v>4702.2089999999998</v>
      </c>
      <c r="G179" s="1491">
        <v>1554.624</v>
      </c>
      <c r="H179" s="1491">
        <v>50481.47</v>
      </c>
      <c r="I179" s="1491">
        <v>4595.4119622199996</v>
      </c>
      <c r="J179" s="1491">
        <v>10831.366</v>
      </c>
      <c r="K179" s="1491">
        <v>2444.4923322200002</v>
      </c>
      <c r="L179" s="1491">
        <v>28.701000000000001</v>
      </c>
      <c r="M179" s="1491">
        <v>118.11384375999999</v>
      </c>
      <c r="N179" s="1491">
        <v>3.0459999999999998</v>
      </c>
      <c r="O179" s="1491">
        <v>0.96534030000000004</v>
      </c>
      <c r="P179" s="1491">
        <v>14620.932000000001</v>
      </c>
      <c r="Q179" s="1491">
        <v>435.66796420999998</v>
      </c>
      <c r="R179" s="1491">
        <v>13540.486999999999</v>
      </c>
      <c r="S179" s="1491">
        <v>375.33324082999997</v>
      </c>
      <c r="T179" s="1491">
        <v>20107.528999999999</v>
      </c>
      <c r="U179" s="1491">
        <v>1389.0101637400001</v>
      </c>
      <c r="V179" s="1491">
        <v>42.095999999999997</v>
      </c>
      <c r="W179" s="1495">
        <v>1.92757658</v>
      </c>
      <c r="X179" s="1492">
        <v>4847.8</v>
      </c>
      <c r="Y179" s="1492">
        <v>205.23474141</v>
      </c>
      <c r="Z179" s="1492">
        <v>49.008000000000003</v>
      </c>
      <c r="AA179" s="1492">
        <v>13.197057019999999</v>
      </c>
      <c r="AB179" s="1492">
        <v>4798.7920000000004</v>
      </c>
      <c r="AC179" s="1492">
        <v>192.03768438999998</v>
      </c>
      <c r="AD179" s="1492">
        <v>44028.892999999996</v>
      </c>
      <c r="AE179" s="1492">
        <v>4244.7931059499997</v>
      </c>
      <c r="AF179" s="1492">
        <v>10392.476000000001</v>
      </c>
      <c r="AG179" s="1492">
        <v>2365.9795961300001</v>
      </c>
      <c r="AH179" s="1492">
        <v>11378.927</v>
      </c>
      <c r="AI179" s="1492">
        <v>424.65907224</v>
      </c>
      <c r="AJ179" s="1492">
        <v>10579.423000000001</v>
      </c>
      <c r="AK179" s="1492">
        <v>275.58346818000001</v>
      </c>
      <c r="AL179" s="1492">
        <v>17836.357</v>
      </c>
      <c r="AM179" s="1492">
        <v>1270.2050738299999</v>
      </c>
      <c r="AN179" s="1492">
        <v>40.737000000000002</v>
      </c>
      <c r="AO179" s="1493">
        <v>1.8350715800000001</v>
      </c>
      <c r="AP179" s="1492">
        <v>4380.3959999999997</v>
      </c>
      <c r="AQ179" s="1492">
        <v>182.11429217</v>
      </c>
      <c r="AR179" s="1492">
        <v>47.719000000000001</v>
      </c>
      <c r="AS179" s="1492">
        <v>12.88390908</v>
      </c>
      <c r="AT179" s="1492">
        <v>4332.6769999999997</v>
      </c>
      <c r="AU179" s="1492">
        <v>169.23038309</v>
      </c>
      <c r="AV179" s="1492">
        <v>6452.5770000000002</v>
      </c>
      <c r="AW179" s="1492">
        <v>350.61885626999998</v>
      </c>
      <c r="AX179" s="1492">
        <v>441.93599999999998</v>
      </c>
      <c r="AY179" s="1492">
        <v>79.478076389999998</v>
      </c>
      <c r="AZ179" s="1492">
        <v>3270.7060000000001</v>
      </c>
      <c r="BA179" s="1492">
        <v>129.12273572999999</v>
      </c>
      <c r="BB179" s="1492">
        <v>2961.0639999999999</v>
      </c>
      <c r="BC179" s="1492">
        <v>99.749772650000011</v>
      </c>
      <c r="BD179" s="1492">
        <v>2271.172</v>
      </c>
      <c r="BE179" s="1492">
        <v>118.80508991000001</v>
      </c>
      <c r="BF179" s="1494">
        <v>1.359</v>
      </c>
      <c r="BG179" s="1493">
        <v>9.2505000000000004E-2</v>
      </c>
      <c r="BH179" s="1492">
        <v>467.404</v>
      </c>
      <c r="BI179" s="1491">
        <v>23.120449239999999</v>
      </c>
      <c r="BJ179" s="1493">
        <v>1.2889999999999999</v>
      </c>
      <c r="BK179" s="1493">
        <v>0.31314794000000001</v>
      </c>
      <c r="BL179" s="1492">
        <v>466.11500000000001</v>
      </c>
      <c r="BM179" s="1491">
        <v>22.807301300000002</v>
      </c>
    </row>
    <row r="180" spans="1:65">
      <c r="A180" s="409" t="s">
        <v>23</v>
      </c>
      <c r="B180" s="1491">
        <v>12659.495000000001</v>
      </c>
      <c r="C180" s="2024">
        <v>9227.9840000000004</v>
      </c>
      <c r="D180" s="1491">
        <v>3495.5540000000001</v>
      </c>
      <c r="E180" s="1491">
        <v>2694.768</v>
      </c>
      <c r="F180" s="1491">
        <v>4869.7650000000003</v>
      </c>
      <c r="G180" s="1491">
        <v>1599.4079999999999</v>
      </c>
      <c r="H180" s="1491">
        <v>53123.345000000001</v>
      </c>
      <c r="I180" s="1491">
        <v>5061.4637881199997</v>
      </c>
      <c r="J180" s="1491">
        <v>10825.843999999999</v>
      </c>
      <c r="K180" s="1491">
        <v>2676.7735553399998</v>
      </c>
      <c r="L180" s="1491">
        <v>33.338999999999999</v>
      </c>
      <c r="M180" s="1491">
        <v>137.69376105000001</v>
      </c>
      <c r="N180" s="1491">
        <v>2.8929999999999998</v>
      </c>
      <c r="O180" s="1491">
        <v>1.08100145</v>
      </c>
      <c r="P180" s="1491">
        <v>16542.580999999998</v>
      </c>
      <c r="Q180" s="1491">
        <v>484.36786001000002</v>
      </c>
      <c r="R180" s="1491">
        <v>15404.893</v>
      </c>
      <c r="S180" s="1491">
        <v>405.27243092000003</v>
      </c>
      <c r="T180" s="1491">
        <v>21010.518</v>
      </c>
      <c r="U180" s="1491">
        <v>1542.5254190600001</v>
      </c>
      <c r="V180" s="1491">
        <v>42.290999999999997</v>
      </c>
      <c r="W180" s="1495">
        <v>2.32064351</v>
      </c>
      <c r="X180" s="1492">
        <v>4665.8789999999999</v>
      </c>
      <c r="Y180" s="1492">
        <v>216.70154769999999</v>
      </c>
      <c r="Z180" s="1492">
        <v>47.414999999999999</v>
      </c>
      <c r="AA180" s="1492">
        <v>12.819145279999999</v>
      </c>
      <c r="AB180" s="1492">
        <v>4618.4639999999999</v>
      </c>
      <c r="AC180" s="1492">
        <v>203.88240242000001</v>
      </c>
      <c r="AD180" s="1492">
        <v>46045.739000000001</v>
      </c>
      <c r="AE180" s="1492">
        <v>4675.1080835299999</v>
      </c>
      <c r="AF180" s="1492">
        <v>10348.9</v>
      </c>
      <c r="AG180" s="1492">
        <v>2586.5928015200002</v>
      </c>
      <c r="AH180" s="1492">
        <v>12807.216</v>
      </c>
      <c r="AI180" s="1492">
        <v>482.60943308999998</v>
      </c>
      <c r="AJ180" s="1492">
        <v>11954.764999999999</v>
      </c>
      <c r="AK180" s="1492">
        <v>296.22303343999999</v>
      </c>
      <c r="AL180" s="1492">
        <v>18647.085999999999</v>
      </c>
      <c r="AM180" s="1492">
        <v>1411.5142758699999</v>
      </c>
      <c r="AN180" s="1492">
        <v>39.393999999999998</v>
      </c>
      <c r="AO180" s="1493">
        <v>2.1021415099999996</v>
      </c>
      <c r="AP180" s="1492">
        <v>4203.143</v>
      </c>
      <c r="AQ180" s="1492">
        <v>192.28943154000001</v>
      </c>
      <c r="AR180" s="1492">
        <v>45.902999999999999</v>
      </c>
      <c r="AS180" s="1492">
        <v>12.41282891</v>
      </c>
      <c r="AT180" s="1492">
        <v>4157.24</v>
      </c>
      <c r="AU180" s="1492">
        <v>179.87660263000001</v>
      </c>
      <c r="AV180" s="1492">
        <v>7077.6059999999998</v>
      </c>
      <c r="AW180" s="1492">
        <v>386.35570459000002</v>
      </c>
      <c r="AX180" s="1492">
        <v>479.83699999999999</v>
      </c>
      <c r="AY180" s="1492">
        <v>91.261755269999995</v>
      </c>
      <c r="AZ180" s="1492">
        <v>3768.7040000000002</v>
      </c>
      <c r="BA180" s="1492">
        <v>139.45218797000001</v>
      </c>
      <c r="BB180" s="1492">
        <v>3450.1280000000002</v>
      </c>
      <c r="BC180" s="1492">
        <v>109.04939748000001</v>
      </c>
      <c r="BD180" s="1492">
        <v>2363.4319999999998</v>
      </c>
      <c r="BE180" s="1492">
        <v>131.01114319000001</v>
      </c>
      <c r="BF180" s="1494">
        <v>2.8969999999999998</v>
      </c>
      <c r="BG180" s="1493">
        <v>0.218502</v>
      </c>
      <c r="BH180" s="1492">
        <v>462.73599999999999</v>
      </c>
      <c r="BI180" s="1491">
        <v>24.41211616</v>
      </c>
      <c r="BJ180" s="1493">
        <v>1.512</v>
      </c>
      <c r="BK180" s="1493">
        <v>0.40631636999999998</v>
      </c>
      <c r="BL180" s="1492">
        <v>461.22399999999999</v>
      </c>
      <c r="BM180" s="1491">
        <v>24.005799789999998</v>
      </c>
    </row>
    <row r="181" spans="1:65">
      <c r="A181" s="409" t="s">
        <v>24</v>
      </c>
      <c r="B181" s="1491">
        <v>12843.772000000001</v>
      </c>
      <c r="C181" s="2024">
        <v>9472.4950000000008</v>
      </c>
      <c r="D181" s="1491">
        <v>3501.08</v>
      </c>
      <c r="E181" s="1491">
        <v>2717.81</v>
      </c>
      <c r="F181" s="1491">
        <v>4976.5720000000001</v>
      </c>
      <c r="G181" s="1491">
        <v>1648.31</v>
      </c>
      <c r="H181" s="1491">
        <v>52376.264000000003</v>
      </c>
      <c r="I181" s="1491">
        <v>5143.3901576899998</v>
      </c>
      <c r="J181" s="1491">
        <v>10570.517</v>
      </c>
      <c r="K181" s="1491">
        <v>2726.4976840099998</v>
      </c>
      <c r="L181" s="1491">
        <v>33.234000000000002</v>
      </c>
      <c r="M181" s="1491">
        <v>133.51778625</v>
      </c>
      <c r="N181" s="1491">
        <v>2.6429999999999998</v>
      </c>
      <c r="O181" s="1491">
        <v>0.96894566999999998</v>
      </c>
      <c r="P181" s="1491">
        <v>15936.786</v>
      </c>
      <c r="Q181" s="1491">
        <v>467.28128796999999</v>
      </c>
      <c r="R181" s="1491">
        <v>14778.231</v>
      </c>
      <c r="S181" s="1491">
        <v>393.00190177999997</v>
      </c>
      <c r="T181" s="1491">
        <v>21461.796999999999</v>
      </c>
      <c r="U181" s="1491">
        <v>1583.31870005</v>
      </c>
      <c r="V181" s="1491">
        <v>46.936</v>
      </c>
      <c r="W181" s="1495">
        <v>2.9130280000000002</v>
      </c>
      <c r="X181" s="1492">
        <v>4324.3509999999997</v>
      </c>
      <c r="Y181" s="1492">
        <v>228.89272574</v>
      </c>
      <c r="Z181" s="1492">
        <v>39.418999999999997</v>
      </c>
      <c r="AA181" s="1492">
        <v>13.03851025</v>
      </c>
      <c r="AB181" s="1492">
        <v>4284.9319999999998</v>
      </c>
      <c r="AC181" s="1492">
        <v>215.85421549</v>
      </c>
      <c r="AD181" s="1492">
        <v>45790.500999999997</v>
      </c>
      <c r="AE181" s="1492">
        <v>4776.8940594200003</v>
      </c>
      <c r="AF181" s="1492">
        <v>10138.130999999999</v>
      </c>
      <c r="AG181" s="1492">
        <v>2644.1614146100001</v>
      </c>
      <c r="AH181" s="1492">
        <v>12549.157999999999</v>
      </c>
      <c r="AI181" s="1492">
        <v>468.27135705000001</v>
      </c>
      <c r="AJ181" s="1492">
        <v>11663.144</v>
      </c>
      <c r="AK181" s="1492">
        <v>291.01106483999996</v>
      </c>
      <c r="AL181" s="1492">
        <v>19157.325000000001</v>
      </c>
      <c r="AM181" s="1492">
        <v>1454.8084595800001</v>
      </c>
      <c r="AN181" s="1492">
        <v>43.618000000000002</v>
      </c>
      <c r="AO181" s="1493">
        <v>2.6920959999999998</v>
      </c>
      <c r="AP181" s="1492">
        <v>3902.2689999999998</v>
      </c>
      <c r="AQ181" s="1492">
        <v>206.96073218000001</v>
      </c>
      <c r="AR181" s="1492">
        <v>38.115000000000002</v>
      </c>
      <c r="AS181" s="1492">
        <v>12.69190259</v>
      </c>
      <c r="AT181" s="1492">
        <v>3864.154</v>
      </c>
      <c r="AU181" s="1492">
        <v>194.26882959</v>
      </c>
      <c r="AV181" s="1492">
        <v>6585.7629999999999</v>
      </c>
      <c r="AW181" s="1492">
        <v>366.49609827</v>
      </c>
      <c r="AX181" s="1492">
        <v>435.029</v>
      </c>
      <c r="AY181" s="1492">
        <v>83.305215070000003</v>
      </c>
      <c r="AZ181" s="1492">
        <v>3420.8620000000001</v>
      </c>
      <c r="BA181" s="1492">
        <v>132.52771716999999</v>
      </c>
      <c r="BB181" s="1492">
        <v>3115.087</v>
      </c>
      <c r="BC181" s="1492">
        <v>101.99083693999999</v>
      </c>
      <c r="BD181" s="1492">
        <v>2304.4720000000002</v>
      </c>
      <c r="BE181" s="1492">
        <v>128.51024047000001</v>
      </c>
      <c r="BF181" s="1494">
        <v>3.3180000000000001</v>
      </c>
      <c r="BG181" s="1493">
        <v>0.22093199999999999</v>
      </c>
      <c r="BH181" s="1492">
        <v>422.08199999999999</v>
      </c>
      <c r="BI181" s="1491">
        <v>21.931993559999999</v>
      </c>
      <c r="BJ181" s="1493">
        <v>1.304</v>
      </c>
      <c r="BK181" s="1493">
        <v>0.34660765999999998</v>
      </c>
      <c r="BL181" s="1492">
        <v>420.77800000000002</v>
      </c>
      <c r="BM181" s="1491">
        <v>21.585385899999999</v>
      </c>
    </row>
    <row r="182" spans="1:65">
      <c r="A182" s="409" t="s">
        <v>25</v>
      </c>
      <c r="B182" s="1491">
        <v>13035.458000000001</v>
      </c>
      <c r="C182" s="2024">
        <v>9684.5</v>
      </c>
      <c r="D182" s="1491">
        <v>3513.8760000000002</v>
      </c>
      <c r="E182" s="1491">
        <v>2737.7440000000001</v>
      </c>
      <c r="F182" s="1491">
        <v>5088.6419999999998</v>
      </c>
      <c r="G182" s="1491">
        <v>1695.1959999999999</v>
      </c>
      <c r="H182" s="1491">
        <v>57772.567999999999</v>
      </c>
      <c r="I182" s="1491">
        <v>5276.8131115599999</v>
      </c>
      <c r="J182" s="1491">
        <v>10885.263000000001</v>
      </c>
      <c r="K182" s="1491">
        <v>2605.14152706</v>
      </c>
      <c r="L182" s="1491">
        <v>34.65</v>
      </c>
      <c r="M182" s="1491">
        <v>147.72998067</v>
      </c>
      <c r="N182" s="1491">
        <v>2.5179999999999998</v>
      </c>
      <c r="O182" s="1491">
        <v>0.87707595000000005</v>
      </c>
      <c r="P182" s="1491">
        <v>18580.157999999999</v>
      </c>
      <c r="Q182" s="1491">
        <v>524.39802821000001</v>
      </c>
      <c r="R182" s="1491">
        <v>17385.598000000002</v>
      </c>
      <c r="S182" s="1491">
        <v>445.90049800000003</v>
      </c>
      <c r="T182" s="1491">
        <v>23742.600999999999</v>
      </c>
      <c r="U182" s="1491">
        <v>1727.3385492100001</v>
      </c>
      <c r="V182" s="1491">
        <v>60.33</v>
      </c>
      <c r="W182" s="1495">
        <v>3.2509034300000001</v>
      </c>
      <c r="X182" s="1492">
        <v>4467.0479999999998</v>
      </c>
      <c r="Y182" s="1492">
        <v>268.07704703000002</v>
      </c>
      <c r="Z182" s="1492">
        <v>43.72</v>
      </c>
      <c r="AA182" s="1492">
        <v>14.97322945</v>
      </c>
      <c r="AB182" s="1492">
        <v>4423.3280000000004</v>
      </c>
      <c r="AC182" s="1492">
        <v>253.10381757999997</v>
      </c>
      <c r="AD182" s="1492">
        <v>50031.398000000001</v>
      </c>
      <c r="AE182" s="1492">
        <v>4866.8505273299997</v>
      </c>
      <c r="AF182" s="1492">
        <v>10404.716</v>
      </c>
      <c r="AG182" s="1492">
        <v>2513.7960658900001</v>
      </c>
      <c r="AH182" s="1492">
        <v>14492.710999999999</v>
      </c>
      <c r="AI182" s="1492">
        <v>523.57361717000003</v>
      </c>
      <c r="AJ182" s="1492">
        <v>13578.57</v>
      </c>
      <c r="AK182" s="1492">
        <v>329.69250692999998</v>
      </c>
      <c r="AL182" s="1492">
        <v>21100.739000000001</v>
      </c>
      <c r="AM182" s="1492">
        <v>1585.5412836200001</v>
      </c>
      <c r="AN182" s="1492">
        <v>57.082999999999998</v>
      </c>
      <c r="AO182" s="1493">
        <v>3.0338564300000002</v>
      </c>
      <c r="AP182" s="1492">
        <v>3976.1489999999999</v>
      </c>
      <c r="AQ182" s="1492">
        <v>240.90570421999999</v>
      </c>
      <c r="AR182" s="1492">
        <v>42.133000000000003</v>
      </c>
      <c r="AS182" s="1492">
        <v>14.568034449999999</v>
      </c>
      <c r="AT182" s="1492">
        <v>3934.0160000000001</v>
      </c>
      <c r="AU182" s="1492">
        <v>226.33766976999999</v>
      </c>
      <c r="AV182" s="1492">
        <v>7741.17</v>
      </c>
      <c r="AW182" s="1492">
        <v>409.96258423</v>
      </c>
      <c r="AX182" s="1492">
        <v>483.065</v>
      </c>
      <c r="AY182" s="1492">
        <v>92.222537119999998</v>
      </c>
      <c r="AZ182" s="1492">
        <v>4122.0969999999998</v>
      </c>
      <c r="BA182" s="1492">
        <v>148.55439171</v>
      </c>
      <c r="BB182" s="1492">
        <v>3807.0279999999998</v>
      </c>
      <c r="BC182" s="1492">
        <v>116.20799106999999</v>
      </c>
      <c r="BD182" s="1492">
        <v>2641.8620000000001</v>
      </c>
      <c r="BE182" s="1492">
        <v>141.79726558999999</v>
      </c>
      <c r="BF182" s="1494">
        <v>3.2469999999999999</v>
      </c>
      <c r="BG182" s="1493">
        <v>0.21704699999999999</v>
      </c>
      <c r="BH182" s="1492">
        <v>490.899</v>
      </c>
      <c r="BI182" s="1491">
        <v>27.171342809999999</v>
      </c>
      <c r="BJ182" s="1493">
        <v>1.587</v>
      </c>
      <c r="BK182" s="1493">
        <v>0.40519500000000003</v>
      </c>
      <c r="BL182" s="1492">
        <v>489.31200000000001</v>
      </c>
      <c r="BM182" s="1491">
        <v>26.766147810000003</v>
      </c>
    </row>
    <row r="183" spans="1:65">
      <c r="A183" s="409" t="s">
        <v>26</v>
      </c>
      <c r="B183" s="1491">
        <v>13194.261</v>
      </c>
      <c r="C183" s="2024">
        <v>9886.7199999999993</v>
      </c>
      <c r="D183" s="1491">
        <v>3513.92</v>
      </c>
      <c r="E183" s="1491">
        <v>2738.3580000000002</v>
      </c>
      <c r="F183" s="1491">
        <v>5214.5630000000001</v>
      </c>
      <c r="G183" s="1491">
        <v>1727.42</v>
      </c>
      <c r="H183" s="1491">
        <v>58403.913999999997</v>
      </c>
      <c r="I183" s="1491">
        <v>5189.9611691299997</v>
      </c>
      <c r="J183" s="1491">
        <v>10672.234</v>
      </c>
      <c r="K183" s="1491">
        <v>2543.3662759899998</v>
      </c>
      <c r="L183" s="1491">
        <v>33.414999999999999</v>
      </c>
      <c r="M183" s="1491">
        <v>149.33067858000001</v>
      </c>
      <c r="N183" s="1491">
        <v>2.4780000000000002</v>
      </c>
      <c r="O183" s="1491">
        <v>0.85759346999999997</v>
      </c>
      <c r="P183" s="1491">
        <v>18740.531999999999</v>
      </c>
      <c r="Q183" s="1491">
        <v>507.61121229000003</v>
      </c>
      <c r="R183" s="1491">
        <v>17568.490000000002</v>
      </c>
      <c r="S183" s="1491">
        <v>433.39474094000002</v>
      </c>
      <c r="T183" s="1491">
        <v>24512.512999999999</v>
      </c>
      <c r="U183" s="1491">
        <v>1753.6781955900001</v>
      </c>
      <c r="V183" s="1491">
        <v>59.853000000000002</v>
      </c>
      <c r="W183" s="1495">
        <v>3.3703750000000001</v>
      </c>
      <c r="X183" s="1492">
        <v>4382.8890000000001</v>
      </c>
      <c r="Y183" s="1492">
        <v>231.74683820999999</v>
      </c>
      <c r="Z183" s="1492">
        <v>48.246000000000002</v>
      </c>
      <c r="AA183" s="1492">
        <v>17.06981845</v>
      </c>
      <c r="AB183" s="1492">
        <v>4334.643</v>
      </c>
      <c r="AC183" s="1492">
        <v>214.67701975999998</v>
      </c>
      <c r="AD183" s="1492">
        <v>50923.544000000002</v>
      </c>
      <c r="AE183" s="1492">
        <v>4793.5716648300004</v>
      </c>
      <c r="AF183" s="1492">
        <v>10209.093000000001</v>
      </c>
      <c r="AG183" s="1492">
        <v>2453.94481434</v>
      </c>
      <c r="AH183" s="1492">
        <v>14826.784</v>
      </c>
      <c r="AI183" s="1492">
        <v>514.03196931000002</v>
      </c>
      <c r="AJ183" s="1492">
        <v>13931.367</v>
      </c>
      <c r="AK183" s="1492">
        <v>321.34579744000001</v>
      </c>
      <c r="AL183" s="1492">
        <v>21902.97</v>
      </c>
      <c r="AM183" s="1492">
        <v>1614.56399859</v>
      </c>
      <c r="AN183" s="1492">
        <v>56.616999999999997</v>
      </c>
      <c r="AO183" s="1493">
        <v>3.1275599999999999</v>
      </c>
      <c r="AP183" s="1492">
        <v>3928.08</v>
      </c>
      <c r="AQ183" s="1492">
        <v>207.90332258999999</v>
      </c>
      <c r="AR183" s="1492">
        <v>46.83</v>
      </c>
      <c r="AS183" s="1492">
        <v>16.667971059999999</v>
      </c>
      <c r="AT183" s="1492">
        <v>3881.25</v>
      </c>
      <c r="AU183" s="1492">
        <v>191.23535153</v>
      </c>
      <c r="AV183" s="1492">
        <v>7480.37</v>
      </c>
      <c r="AW183" s="1492">
        <v>396.3895043</v>
      </c>
      <c r="AX183" s="1492">
        <v>465.61900000000003</v>
      </c>
      <c r="AY183" s="1492">
        <v>90.279055119999995</v>
      </c>
      <c r="AZ183" s="1492">
        <v>3947.163</v>
      </c>
      <c r="BA183" s="1492">
        <v>142.90992155999999</v>
      </c>
      <c r="BB183" s="1492">
        <v>3637.123</v>
      </c>
      <c r="BC183" s="1492">
        <v>112.04894349999999</v>
      </c>
      <c r="BD183" s="1492">
        <v>2609.5430000000001</v>
      </c>
      <c r="BE183" s="1492">
        <v>139.11419699999999</v>
      </c>
      <c r="BF183" s="1494">
        <v>3.2360000000000002</v>
      </c>
      <c r="BG183" s="1493">
        <v>0.242815</v>
      </c>
      <c r="BH183" s="1492">
        <v>454.80900000000003</v>
      </c>
      <c r="BI183" s="1491">
        <v>23.843515620000002</v>
      </c>
      <c r="BJ183" s="1493">
        <v>1.4159999999999999</v>
      </c>
      <c r="BK183" s="1493">
        <v>0.40184739000000003</v>
      </c>
      <c r="BL183" s="1492">
        <v>453.39299999999997</v>
      </c>
      <c r="BM183" s="1491">
        <v>23.441668230000001</v>
      </c>
    </row>
    <row r="184" spans="1:65">
      <c r="A184" s="409" t="s">
        <v>27</v>
      </c>
      <c r="B184" s="1491">
        <v>13402.008</v>
      </c>
      <c r="C184" s="2024">
        <v>10044.999</v>
      </c>
      <c r="D184" s="1491">
        <v>3520.0659999999998</v>
      </c>
      <c r="E184" s="1491">
        <v>2750.692</v>
      </c>
      <c r="F184" s="1491">
        <v>5368.6540000000005</v>
      </c>
      <c r="G184" s="1491">
        <v>1762.596</v>
      </c>
      <c r="H184" s="1491">
        <v>62361.794000000002</v>
      </c>
      <c r="I184" s="1491">
        <v>5480.38461035</v>
      </c>
      <c r="J184" s="1491">
        <v>11623.864</v>
      </c>
      <c r="K184" s="1491">
        <v>2768.3117917099999</v>
      </c>
      <c r="L184" s="1491">
        <v>31.808</v>
      </c>
      <c r="M184" s="1491">
        <v>141.19458964</v>
      </c>
      <c r="N184" s="1491">
        <v>2.6779999999999999</v>
      </c>
      <c r="O184" s="1491">
        <v>0.86873120999999998</v>
      </c>
      <c r="P184" s="1491">
        <v>19594.441999999999</v>
      </c>
      <c r="Q184" s="1491">
        <v>549.62459290000004</v>
      </c>
      <c r="R184" s="1491">
        <v>18539.998</v>
      </c>
      <c r="S184" s="1491">
        <v>478.08319075000003</v>
      </c>
      <c r="T184" s="1491">
        <v>26201.514999999999</v>
      </c>
      <c r="U184" s="1491">
        <v>1773.3354037300001</v>
      </c>
      <c r="V184" s="1491">
        <v>63.329000000000001</v>
      </c>
      <c r="W184" s="1495">
        <v>3.2464110000000002</v>
      </c>
      <c r="X184" s="1492">
        <v>4844.1580000000004</v>
      </c>
      <c r="Y184" s="1492">
        <v>243.80309016000001</v>
      </c>
      <c r="Z184" s="1492">
        <v>66.418999999999997</v>
      </c>
      <c r="AA184" s="1492">
        <v>18.5980083</v>
      </c>
      <c r="AB184" s="1492">
        <v>4777.7389999999996</v>
      </c>
      <c r="AC184" s="1492">
        <v>225.20508186000001</v>
      </c>
      <c r="AD184" s="1492">
        <v>54887.158000000003</v>
      </c>
      <c r="AE184" s="1492">
        <v>5081.9348445100004</v>
      </c>
      <c r="AF184" s="1492">
        <v>11157.294</v>
      </c>
      <c r="AG184" s="1492">
        <v>2681.1828607900002</v>
      </c>
      <c r="AH184" s="1492">
        <v>15807.101000000001</v>
      </c>
      <c r="AI184" s="1492">
        <v>545.51804413000002</v>
      </c>
      <c r="AJ184" s="1492">
        <v>14919.834000000001</v>
      </c>
      <c r="AK184" s="1492">
        <v>359.39416167000002</v>
      </c>
      <c r="AL184" s="1492">
        <v>23490.159</v>
      </c>
      <c r="AM184" s="1492">
        <v>1633.3403877799999</v>
      </c>
      <c r="AN184" s="1492">
        <v>61.302999999999997</v>
      </c>
      <c r="AO184" s="1493">
        <v>3.030532</v>
      </c>
      <c r="AP184" s="1492">
        <v>4371.3010000000004</v>
      </c>
      <c r="AQ184" s="1492">
        <v>218.86301981</v>
      </c>
      <c r="AR184" s="1492">
        <v>65.099999999999994</v>
      </c>
      <c r="AS184" s="1492">
        <v>18.264174440000001</v>
      </c>
      <c r="AT184" s="1492">
        <v>4306.201</v>
      </c>
      <c r="AU184" s="1492">
        <v>200.59884536999999</v>
      </c>
      <c r="AV184" s="1492">
        <v>7474.6360000000004</v>
      </c>
      <c r="AW184" s="1492">
        <v>398.44976584</v>
      </c>
      <c r="AX184" s="1492">
        <v>469.24799999999999</v>
      </c>
      <c r="AY184" s="1492">
        <v>87.997662129999995</v>
      </c>
      <c r="AZ184" s="1492">
        <v>3819.1489999999999</v>
      </c>
      <c r="BA184" s="1492">
        <v>145.30113840999999</v>
      </c>
      <c r="BB184" s="1492">
        <v>3620.1640000000002</v>
      </c>
      <c r="BC184" s="1492">
        <v>118.68902908</v>
      </c>
      <c r="BD184" s="1492">
        <v>2711.3560000000002</v>
      </c>
      <c r="BE184" s="1492">
        <v>139.99501595000001</v>
      </c>
      <c r="BF184" s="1494">
        <v>2.0259999999999998</v>
      </c>
      <c r="BG184" s="1493">
        <v>0.21587899999999999</v>
      </c>
      <c r="BH184" s="1492">
        <v>472.85700000000003</v>
      </c>
      <c r="BI184" s="1491">
        <v>24.940070349999999</v>
      </c>
      <c r="BJ184" s="1493">
        <v>1.319</v>
      </c>
      <c r="BK184" s="1493">
        <v>0.33383385999999998</v>
      </c>
      <c r="BL184" s="1492">
        <v>471.53800000000001</v>
      </c>
      <c r="BM184" s="1491">
        <v>24.606236490000001</v>
      </c>
    </row>
    <row r="185" spans="1:65">
      <c r="A185" s="409" t="s">
        <v>28</v>
      </c>
      <c r="B185" s="1491">
        <v>13477.63</v>
      </c>
      <c r="C185" s="2024">
        <v>10179.512000000001</v>
      </c>
      <c r="D185" s="1491">
        <v>3542.61</v>
      </c>
      <c r="E185" s="1491">
        <v>2759.116</v>
      </c>
      <c r="F185" s="1491">
        <v>5378.1120000000001</v>
      </c>
      <c r="G185" s="1491">
        <v>1797.7919999999999</v>
      </c>
      <c r="H185" s="1491">
        <v>65867.608999999997</v>
      </c>
      <c r="I185" s="1491">
        <v>5627.1669312399999</v>
      </c>
      <c r="J185" s="1491">
        <v>11472.339</v>
      </c>
      <c r="K185" s="1491">
        <v>2680.5007407600001</v>
      </c>
      <c r="L185" s="1491">
        <v>28.901</v>
      </c>
      <c r="M185" s="1491">
        <v>140.71640782</v>
      </c>
      <c r="N185" s="1491">
        <v>2.569</v>
      </c>
      <c r="O185" s="1491">
        <v>0.93708769999999997</v>
      </c>
      <c r="P185" s="1491">
        <v>21143.066999999999</v>
      </c>
      <c r="Q185" s="1491">
        <v>613.59077586000001</v>
      </c>
      <c r="R185" s="1491">
        <v>20123.715</v>
      </c>
      <c r="S185" s="1491">
        <v>543.11152536999998</v>
      </c>
      <c r="T185" s="1491">
        <v>27816.97</v>
      </c>
      <c r="U185" s="1491">
        <v>1923.5429791700001</v>
      </c>
      <c r="V185" s="1491">
        <v>60.502000000000002</v>
      </c>
      <c r="W185" s="1495">
        <v>3.1816230000000001</v>
      </c>
      <c r="X185" s="1492">
        <v>5343.2610000000004</v>
      </c>
      <c r="Y185" s="1492">
        <v>264.69731693</v>
      </c>
      <c r="Z185" s="1492">
        <v>66.951999999999998</v>
      </c>
      <c r="AA185" s="1492">
        <v>17.635534449999998</v>
      </c>
      <c r="AB185" s="1492">
        <v>5276.3090000000002</v>
      </c>
      <c r="AC185" s="1492">
        <v>247.06178248000001</v>
      </c>
      <c r="AD185" s="1492">
        <v>58226.038999999997</v>
      </c>
      <c r="AE185" s="1492">
        <v>5211.0261375500004</v>
      </c>
      <c r="AF185" s="1492">
        <v>11035.358</v>
      </c>
      <c r="AG185" s="1492">
        <v>2596.4053328199998</v>
      </c>
      <c r="AH185" s="1492">
        <v>17238.303</v>
      </c>
      <c r="AI185" s="1492">
        <v>592.69528229000002</v>
      </c>
      <c r="AJ185" s="1492">
        <v>16381.751</v>
      </c>
      <c r="AK185" s="1492">
        <v>410.87587080999998</v>
      </c>
      <c r="AL185" s="1492">
        <v>25066.358</v>
      </c>
      <c r="AM185" s="1492">
        <v>1781.61484509</v>
      </c>
      <c r="AN185" s="1492">
        <v>58.39</v>
      </c>
      <c r="AO185" s="1493">
        <v>2.8932000000000002</v>
      </c>
      <c r="AP185" s="1492">
        <v>4827.63</v>
      </c>
      <c r="AQ185" s="1492">
        <v>237.41747735000001</v>
      </c>
      <c r="AR185" s="1492">
        <v>65.507999999999996</v>
      </c>
      <c r="AS185" s="1492">
        <v>17.293039760000003</v>
      </c>
      <c r="AT185" s="1492">
        <v>4762.1220000000003</v>
      </c>
      <c r="AU185" s="1492">
        <v>220.12443759000004</v>
      </c>
      <c r="AV185" s="1492">
        <v>7641.57</v>
      </c>
      <c r="AW185" s="1492">
        <v>416.14079369000001</v>
      </c>
      <c r="AX185" s="1492">
        <v>439.55</v>
      </c>
      <c r="AY185" s="1492">
        <v>85.032495639999993</v>
      </c>
      <c r="AZ185" s="1492">
        <v>3933.665</v>
      </c>
      <c r="BA185" s="1492">
        <v>161.61190139000001</v>
      </c>
      <c r="BB185" s="1492">
        <v>3741.9639999999999</v>
      </c>
      <c r="BC185" s="1492">
        <v>132.23565456</v>
      </c>
      <c r="BD185" s="1492">
        <v>2750.6120000000001</v>
      </c>
      <c r="BE185" s="1492">
        <v>141.92813408000001</v>
      </c>
      <c r="BF185" s="1494">
        <v>2.1120000000000001</v>
      </c>
      <c r="BG185" s="1493">
        <v>0.28842299999999998</v>
      </c>
      <c r="BH185" s="1492">
        <v>515.63099999999997</v>
      </c>
      <c r="BI185" s="1491">
        <v>27.279839580000001</v>
      </c>
      <c r="BJ185" s="1493">
        <v>1.444</v>
      </c>
      <c r="BK185" s="1493">
        <v>0.34249468999999999</v>
      </c>
      <c r="BL185" s="1492">
        <v>514.18700000000001</v>
      </c>
      <c r="BM185" s="1491">
        <v>26.937344890000002</v>
      </c>
    </row>
    <row r="186" spans="1:65">
      <c r="A186" s="409" t="s">
        <v>29</v>
      </c>
      <c r="B186" s="1491">
        <v>13630.909</v>
      </c>
      <c r="C186" s="2024">
        <v>10302.066000000001</v>
      </c>
      <c r="D186" s="1491">
        <v>3547.4850000000001</v>
      </c>
      <c r="E186" s="1491">
        <v>2758.7310000000002</v>
      </c>
      <c r="F186" s="1491">
        <v>5501.5360000000001</v>
      </c>
      <c r="G186" s="1491">
        <v>1823.1569999999999</v>
      </c>
      <c r="H186" s="1491">
        <v>72834.16</v>
      </c>
      <c r="I186" s="1491">
        <v>6610.6877918809996</v>
      </c>
      <c r="J186" s="1491">
        <v>13172.27</v>
      </c>
      <c r="K186" s="1491">
        <v>3222.9080457499999</v>
      </c>
      <c r="L186" s="1491">
        <v>35.548999999999999</v>
      </c>
      <c r="M186" s="1491">
        <v>164.71225620999999</v>
      </c>
      <c r="N186" s="1491">
        <v>2.2719999999999998</v>
      </c>
      <c r="O186" s="1491">
        <v>0.89793288000000004</v>
      </c>
      <c r="P186" s="1491">
        <v>22696.778999999999</v>
      </c>
      <c r="Q186" s="1491">
        <v>650.40745870000001</v>
      </c>
      <c r="R186" s="1491">
        <v>21529.631000000001</v>
      </c>
      <c r="S186" s="1491">
        <v>567.86168275</v>
      </c>
      <c r="T186" s="1491">
        <v>31887.034</v>
      </c>
      <c r="U186" s="1491">
        <v>2329.53604421</v>
      </c>
      <c r="V186" s="1491">
        <v>68.081000000000003</v>
      </c>
      <c r="W186" s="1495">
        <v>3.8741080000000001</v>
      </c>
      <c r="X186" s="1492">
        <v>4972.1750000000002</v>
      </c>
      <c r="Y186" s="1492">
        <v>238.35194613100001</v>
      </c>
      <c r="Z186" s="1492">
        <v>63.134</v>
      </c>
      <c r="AA186" s="1492">
        <v>17.242931170999999</v>
      </c>
      <c r="AB186" s="1492">
        <v>4909.0410000000002</v>
      </c>
      <c r="AC186" s="1492">
        <v>221.10901496</v>
      </c>
      <c r="AD186" s="1492">
        <v>65059.786</v>
      </c>
      <c r="AE186" s="1492">
        <v>6181.8615136509998</v>
      </c>
      <c r="AF186" s="1492">
        <v>12731.535</v>
      </c>
      <c r="AG186" s="1492">
        <v>3134.20463569</v>
      </c>
      <c r="AH186" s="1492">
        <v>18757.111000000001</v>
      </c>
      <c r="AI186" s="1492">
        <v>656.82019836999996</v>
      </c>
      <c r="AJ186" s="1492">
        <v>17744.233</v>
      </c>
      <c r="AK186" s="1492">
        <v>439.22448570999995</v>
      </c>
      <c r="AL186" s="1492">
        <v>28977.870999999999</v>
      </c>
      <c r="AM186" s="1492">
        <v>2172.0006807300001</v>
      </c>
      <c r="AN186" s="1492">
        <v>66.680999999999997</v>
      </c>
      <c r="AO186" s="1493">
        <v>3.7029019999999999</v>
      </c>
      <c r="AP186" s="1492">
        <v>4526.5879999999997</v>
      </c>
      <c r="AQ186" s="1492">
        <v>215.13309686100001</v>
      </c>
      <c r="AR186" s="1492">
        <v>61.878999999999998</v>
      </c>
      <c r="AS186" s="1492">
        <v>16.957719750999999</v>
      </c>
      <c r="AT186" s="1492">
        <v>4464.7089999999998</v>
      </c>
      <c r="AU186" s="1492">
        <v>198.17537710999997</v>
      </c>
      <c r="AV186" s="1492">
        <v>7774.3739999999998</v>
      </c>
      <c r="AW186" s="1492">
        <v>428.82627823000001</v>
      </c>
      <c r="AX186" s="1492">
        <v>443.00700000000001</v>
      </c>
      <c r="AY186" s="1492">
        <v>89.601342939999995</v>
      </c>
      <c r="AZ186" s="1492">
        <v>3975.2170000000001</v>
      </c>
      <c r="BA186" s="1492">
        <v>158.29951654000001</v>
      </c>
      <c r="BB186" s="1492">
        <v>3785.3980000000001</v>
      </c>
      <c r="BC186" s="1492">
        <v>128.63719704000002</v>
      </c>
      <c r="BD186" s="1492">
        <v>2909.163</v>
      </c>
      <c r="BE186" s="1492">
        <v>157.53536348</v>
      </c>
      <c r="BF186" s="1494">
        <v>1.4</v>
      </c>
      <c r="BG186" s="1493">
        <v>0.171206</v>
      </c>
      <c r="BH186" s="1492">
        <v>445.58699999999999</v>
      </c>
      <c r="BI186" s="1491">
        <v>23.21884927</v>
      </c>
      <c r="BJ186" s="1493">
        <v>1.2549999999999999</v>
      </c>
      <c r="BK186" s="1493">
        <v>0.28521141999999999</v>
      </c>
      <c r="BL186" s="1492">
        <v>444.33199999999999</v>
      </c>
      <c r="BM186" s="1491">
        <v>22.93363785</v>
      </c>
    </row>
    <row r="187" spans="1:65">
      <c r="A187" s="409" t="s">
        <v>3500</v>
      </c>
      <c r="B187" s="1496">
        <v>16925.156999999999</v>
      </c>
      <c r="C187" s="2025">
        <v>13339.638999999999</v>
      </c>
      <c r="D187" s="1496">
        <v>3655.0920000000001</v>
      </c>
      <c r="E187" s="1496">
        <v>2880.8829999999998</v>
      </c>
      <c r="F187" s="1496">
        <v>8173.4979999999996</v>
      </c>
      <c r="G187" s="1496">
        <v>2215.6840000000002</v>
      </c>
      <c r="H187" s="1496">
        <f>SUM(H188:H199)</f>
        <v>1205082.99</v>
      </c>
      <c r="I187" s="1496">
        <f t="shared" ref="I187:BM187" si="37">SUM(I188:I199)</f>
        <v>91340.085825999995</v>
      </c>
      <c r="J187" s="1496">
        <f t="shared" si="37"/>
        <v>162301.71300000002</v>
      </c>
      <c r="K187" s="1496">
        <f t="shared" si="37"/>
        <v>37202.663557740008</v>
      </c>
      <c r="L187" s="1496">
        <f t="shared" si="37"/>
        <v>349.37300000000005</v>
      </c>
      <c r="M187" s="1496">
        <f t="shared" si="37"/>
        <v>1886.60533128</v>
      </c>
      <c r="N187" s="1496">
        <f t="shared" si="37"/>
        <v>22.211000000000002</v>
      </c>
      <c r="O187" s="1496">
        <f t="shared" si="37"/>
        <v>9.0123999099999992</v>
      </c>
      <c r="P187" s="1496">
        <f t="shared" si="37"/>
        <v>416557.97700000007</v>
      </c>
      <c r="Q187" s="1496">
        <f t="shared" si="37"/>
        <v>9787.1195679399989</v>
      </c>
      <c r="R187" s="1496">
        <f t="shared" si="37"/>
        <v>401083.95299999998</v>
      </c>
      <c r="S187" s="1496">
        <f t="shared" si="37"/>
        <v>8934.9641197199999</v>
      </c>
      <c r="T187" s="1496">
        <f t="shared" si="37"/>
        <v>563442.97400000005</v>
      </c>
      <c r="U187" s="1496">
        <f t="shared" si="37"/>
        <v>39170.826237410001</v>
      </c>
      <c r="V187" s="1496">
        <f t="shared" si="37"/>
        <v>1092.7850000000001</v>
      </c>
      <c r="W187" s="1496">
        <f t="shared" si="37"/>
        <v>73.268243999999996</v>
      </c>
      <c r="X187" s="1496">
        <f t="shared" si="37"/>
        <v>61315.953999999998</v>
      </c>
      <c r="Y187" s="1496">
        <f t="shared" si="37"/>
        <v>3210.5898987699998</v>
      </c>
      <c r="Z187" s="1496">
        <f t="shared" si="37"/>
        <v>573.38</v>
      </c>
      <c r="AA187" s="1496">
        <f t="shared" si="37"/>
        <v>179.16996559999995</v>
      </c>
      <c r="AB187" s="1496">
        <f t="shared" si="37"/>
        <v>60742.532000000007</v>
      </c>
      <c r="AC187" s="1496">
        <f t="shared" si="37"/>
        <v>3031.4199304500003</v>
      </c>
      <c r="AD187" s="1496">
        <f t="shared" si="37"/>
        <v>1088081.1980000001</v>
      </c>
      <c r="AE187" s="1496">
        <f t="shared" si="37"/>
        <v>85077.418274129988</v>
      </c>
      <c r="AF187" s="1496">
        <f t="shared" si="37"/>
        <v>156277.20000000001</v>
      </c>
      <c r="AG187" s="1496">
        <f t="shared" si="37"/>
        <v>35963.168750249999</v>
      </c>
      <c r="AH187" s="1496">
        <f t="shared" si="37"/>
        <v>358956.17999999993</v>
      </c>
      <c r="AI187" s="1496">
        <f t="shared" si="37"/>
        <v>9699.9712409099993</v>
      </c>
      <c r="AJ187" s="1496">
        <f t="shared" si="37"/>
        <v>345324.43199999997</v>
      </c>
      <c r="AK187" s="1496">
        <f t="shared" si="37"/>
        <v>7252.48028746</v>
      </c>
      <c r="AL187" s="1496">
        <f t="shared" si="37"/>
        <v>516132.96</v>
      </c>
      <c r="AM187" s="1496">
        <f t="shared" si="37"/>
        <v>36464.193178920003</v>
      </c>
      <c r="AN187" s="1496">
        <f t="shared" si="37"/>
        <v>1061.653</v>
      </c>
      <c r="AO187" s="1501">
        <f t="shared" si="37"/>
        <v>69.606965000000002</v>
      </c>
      <c r="AP187" s="1496">
        <f t="shared" si="37"/>
        <v>55653.21</v>
      </c>
      <c r="AQ187" s="1496">
        <f t="shared" si="37"/>
        <v>2880.8565833400003</v>
      </c>
      <c r="AR187" s="1496">
        <f t="shared" si="37"/>
        <v>556.70799999999997</v>
      </c>
      <c r="AS187" s="1496">
        <f t="shared" si="37"/>
        <v>174.75946499999998</v>
      </c>
      <c r="AT187" s="1496">
        <f t="shared" si="37"/>
        <v>55096.502</v>
      </c>
      <c r="AU187" s="1496">
        <f t="shared" si="37"/>
        <v>2706.0971132699997</v>
      </c>
      <c r="AV187" s="1496">
        <f t="shared" si="37"/>
        <v>117001.79200000002</v>
      </c>
      <c r="AW187" s="1496">
        <f t="shared" si="37"/>
        <v>6262.6675518700004</v>
      </c>
      <c r="AX187" s="1496">
        <f t="shared" si="37"/>
        <v>6046.7240000000002</v>
      </c>
      <c r="AY187" s="1496">
        <f t="shared" si="37"/>
        <v>1248.5072074</v>
      </c>
      <c r="AZ187" s="1496">
        <f t="shared" si="37"/>
        <v>57951.17</v>
      </c>
      <c r="BA187" s="1496">
        <f t="shared" si="37"/>
        <v>1973.7536583100002</v>
      </c>
      <c r="BB187" s="1496">
        <f t="shared" si="37"/>
        <v>55759.056000000011</v>
      </c>
      <c r="BC187" s="1496">
        <f t="shared" si="37"/>
        <v>1682.4847977200002</v>
      </c>
      <c r="BD187" s="1496">
        <f t="shared" si="37"/>
        <v>47309.838000000003</v>
      </c>
      <c r="BE187" s="1496">
        <f t="shared" si="37"/>
        <v>2706.6084756199998</v>
      </c>
      <c r="BF187" s="1436">
        <f t="shared" si="37"/>
        <v>31.131999999999984</v>
      </c>
      <c r="BG187" s="1501">
        <f t="shared" si="37"/>
        <v>4.0403070000000003</v>
      </c>
      <c r="BH187" s="1496">
        <f t="shared" si="37"/>
        <v>5662.7440000000006</v>
      </c>
      <c r="BI187" s="1496">
        <f t="shared" si="37"/>
        <v>329.73331383999999</v>
      </c>
      <c r="BJ187" s="1501">
        <f t="shared" si="37"/>
        <v>16.675384999999995</v>
      </c>
      <c r="BK187" s="1501">
        <f t="shared" si="37"/>
        <v>4.410322589999998</v>
      </c>
      <c r="BL187" s="1496">
        <f t="shared" si="37"/>
        <v>5646.0700000000006</v>
      </c>
      <c r="BM187" s="1496">
        <f t="shared" si="37"/>
        <v>325.32303295000003</v>
      </c>
    </row>
    <row r="188" spans="1:65">
      <c r="A188" s="409" t="s">
        <v>18</v>
      </c>
      <c r="B188" s="1491">
        <v>13858.509</v>
      </c>
      <c r="C188" s="2024">
        <v>10489.991</v>
      </c>
      <c r="D188" s="1491">
        <v>3572.6529999999998</v>
      </c>
      <c r="E188" s="1491">
        <v>2759.056</v>
      </c>
      <c r="F188" s="1491">
        <v>5672.56</v>
      </c>
      <c r="G188" s="1491">
        <v>1854.24</v>
      </c>
      <c r="H188" s="1491">
        <v>70725.982999999993</v>
      </c>
      <c r="I188" s="1491">
        <v>5336.05481556</v>
      </c>
      <c r="J188" s="1491">
        <v>10700.950999999999</v>
      </c>
      <c r="K188" s="1491">
        <v>2304.4477488000002</v>
      </c>
      <c r="L188" s="1491">
        <v>24.652999999999999</v>
      </c>
      <c r="M188" s="1491">
        <v>115.91586655</v>
      </c>
      <c r="N188" s="1491">
        <v>1.8280000000000001</v>
      </c>
      <c r="O188" s="1491">
        <v>0.56935888000000001</v>
      </c>
      <c r="P188" s="1491">
        <v>24187.167000000001</v>
      </c>
      <c r="Q188" s="1491">
        <v>627.33697178</v>
      </c>
      <c r="R188" s="1491">
        <v>23035.547999999999</v>
      </c>
      <c r="S188" s="1491">
        <v>561.30554239999992</v>
      </c>
      <c r="T188" s="1491">
        <v>30759.904999999999</v>
      </c>
      <c r="U188" s="1491">
        <v>2032.4047235999999</v>
      </c>
      <c r="V188" s="1491">
        <v>65.272999999999996</v>
      </c>
      <c r="W188" s="1495">
        <v>4.2536940000000003</v>
      </c>
      <c r="X188" s="1492">
        <v>4986.2060000000001</v>
      </c>
      <c r="Y188" s="1492">
        <v>251.12645194999999</v>
      </c>
      <c r="Z188" s="1492">
        <v>61.04</v>
      </c>
      <c r="AA188" s="1492">
        <v>17.776724170000001</v>
      </c>
      <c r="AB188" s="1492">
        <v>4925.1660000000002</v>
      </c>
      <c r="AC188" s="1492">
        <v>233.34972778000002</v>
      </c>
      <c r="AD188" s="1492">
        <v>62688.366000000002</v>
      </c>
      <c r="AE188" s="1492">
        <v>4927.9868306300004</v>
      </c>
      <c r="AF188" s="1492">
        <v>10256.561</v>
      </c>
      <c r="AG188" s="1492">
        <v>2222.2175181399998</v>
      </c>
      <c r="AH188" s="1492">
        <v>19972.346000000001</v>
      </c>
      <c r="AI188" s="1492">
        <v>594.55296181000006</v>
      </c>
      <c r="AJ188" s="1492">
        <v>18985.694</v>
      </c>
      <c r="AK188" s="1492">
        <v>436.75564444000003</v>
      </c>
      <c r="AL188" s="1492">
        <v>27851.444</v>
      </c>
      <c r="AM188" s="1492">
        <v>1880.8828333199999</v>
      </c>
      <c r="AN188" s="1492">
        <v>63.476999999999997</v>
      </c>
      <c r="AO188" s="1493">
        <v>4.0726610000000001</v>
      </c>
      <c r="AP188" s="1492">
        <v>4544.5379999999996</v>
      </c>
      <c r="AQ188" s="1492">
        <v>226.26085635999999</v>
      </c>
      <c r="AR188" s="1492">
        <v>59.59</v>
      </c>
      <c r="AS188" s="1492">
        <v>17.428330690000003</v>
      </c>
      <c r="AT188" s="1492">
        <v>4484.9480000000003</v>
      </c>
      <c r="AU188" s="1492">
        <v>208.83252567000002</v>
      </c>
      <c r="AV188" s="1492">
        <v>8037.6170000000002</v>
      </c>
      <c r="AW188" s="1492">
        <v>408.06798493000002</v>
      </c>
      <c r="AX188" s="1492">
        <v>446.21800000000002</v>
      </c>
      <c r="AY188" s="1492">
        <v>82.799589539999999</v>
      </c>
      <c r="AZ188" s="1492">
        <v>4239.4740000000002</v>
      </c>
      <c r="BA188" s="1492">
        <v>148.69987652</v>
      </c>
      <c r="BB188" s="1492">
        <v>4049.8539999999998</v>
      </c>
      <c r="BC188" s="1492">
        <v>124.54989796</v>
      </c>
      <c r="BD188" s="1492">
        <v>2908.4609999999998</v>
      </c>
      <c r="BE188" s="1492">
        <v>151.52189028000001</v>
      </c>
      <c r="BF188" s="1494">
        <v>1.796</v>
      </c>
      <c r="BG188" s="1493">
        <v>0.181033</v>
      </c>
      <c r="BH188" s="1492">
        <v>441.66800000000001</v>
      </c>
      <c r="BI188" s="1491">
        <v>24.865595590000002</v>
      </c>
      <c r="BJ188" s="1493">
        <v>1.45</v>
      </c>
      <c r="BK188" s="1493">
        <v>0.34839347999999998</v>
      </c>
      <c r="BL188" s="1492">
        <v>440.21800000000002</v>
      </c>
      <c r="BM188" s="1491">
        <v>24.517202109999999</v>
      </c>
    </row>
    <row r="189" spans="1:65">
      <c r="A189" s="409" t="s">
        <v>19</v>
      </c>
      <c r="B189" s="1491">
        <v>14017.331</v>
      </c>
      <c r="C189" s="2024">
        <v>10644.924000000001</v>
      </c>
      <c r="D189" s="1491">
        <v>3593.723</v>
      </c>
      <c r="E189" s="1491">
        <v>2750.3890000000001</v>
      </c>
      <c r="F189" s="1491">
        <v>5791.7510000000002</v>
      </c>
      <c r="G189" s="1491">
        <v>1881.4680000000001</v>
      </c>
      <c r="H189" s="1491">
        <v>72865.319000000003</v>
      </c>
      <c r="I189" s="1491">
        <v>6067.9771899699999</v>
      </c>
      <c r="J189" s="1491">
        <v>11836.324000000001</v>
      </c>
      <c r="K189" s="1491">
        <v>2824.9232472100002</v>
      </c>
      <c r="L189" s="1491">
        <v>28.5</v>
      </c>
      <c r="M189" s="1491">
        <v>133.55106513000001</v>
      </c>
      <c r="N189" s="1491">
        <v>1.8380000000000001</v>
      </c>
      <c r="O189" s="1491">
        <v>0.70753277999999997</v>
      </c>
      <c r="P189" s="1491">
        <v>24048.554</v>
      </c>
      <c r="Q189" s="1491">
        <v>621.85142463</v>
      </c>
      <c r="R189" s="1491">
        <v>23045.252</v>
      </c>
      <c r="S189" s="1491">
        <v>556.36886520000007</v>
      </c>
      <c r="T189" s="1491">
        <v>32577.199000000001</v>
      </c>
      <c r="U189" s="1491">
        <v>2269.86782468</v>
      </c>
      <c r="V189" s="1491">
        <v>71.742000000000004</v>
      </c>
      <c r="W189" s="1495">
        <v>4.0424230000000003</v>
      </c>
      <c r="X189" s="1492">
        <v>4301.1620000000003</v>
      </c>
      <c r="Y189" s="1492">
        <v>213.03367254</v>
      </c>
      <c r="Z189" s="1492">
        <v>45.087000000000003</v>
      </c>
      <c r="AA189" s="1492">
        <v>15.398957800000002</v>
      </c>
      <c r="AB189" s="1492">
        <v>4256.0749999999998</v>
      </c>
      <c r="AC189" s="1492">
        <v>197.63471473999999</v>
      </c>
      <c r="AD189" s="1492">
        <v>65212.436000000002</v>
      </c>
      <c r="AE189" s="1492">
        <v>5666.8075183399997</v>
      </c>
      <c r="AF189" s="1492">
        <v>11428.715</v>
      </c>
      <c r="AG189" s="1492">
        <v>2743.70003228</v>
      </c>
      <c r="AH189" s="1492">
        <v>20103.277999999998</v>
      </c>
      <c r="AI189" s="1492">
        <v>614.30686893999996</v>
      </c>
      <c r="AJ189" s="1492">
        <v>19234.721000000001</v>
      </c>
      <c r="AK189" s="1492">
        <v>438.99946405000003</v>
      </c>
      <c r="AL189" s="1492">
        <v>29694.76</v>
      </c>
      <c r="AM189" s="1492">
        <v>2112.0416190300002</v>
      </c>
      <c r="AN189" s="1492">
        <v>69.619</v>
      </c>
      <c r="AO189" s="1493">
        <v>3.82613</v>
      </c>
      <c r="AP189" s="1492">
        <v>3916.0639999999999</v>
      </c>
      <c r="AQ189" s="1492">
        <v>192.93286809</v>
      </c>
      <c r="AR189" s="1492">
        <v>44.146999999999998</v>
      </c>
      <c r="AS189" s="1492">
        <v>15.193876529999999</v>
      </c>
      <c r="AT189" s="1492">
        <v>3871.9169999999999</v>
      </c>
      <c r="AU189" s="1492">
        <v>177.73899156000002</v>
      </c>
      <c r="AV189" s="1492">
        <v>7652.8829999999998</v>
      </c>
      <c r="AW189" s="1492">
        <v>401.16967162999998</v>
      </c>
      <c r="AX189" s="1492">
        <v>409.447</v>
      </c>
      <c r="AY189" s="1492">
        <v>81.930747710000006</v>
      </c>
      <c r="AZ189" s="1492">
        <v>3973.7759999999998</v>
      </c>
      <c r="BA189" s="1492">
        <v>141.09562081999999</v>
      </c>
      <c r="BB189" s="1492">
        <v>3810.5309999999999</v>
      </c>
      <c r="BC189" s="1492">
        <v>117.36940115</v>
      </c>
      <c r="BD189" s="1492">
        <v>2882.4389999999999</v>
      </c>
      <c r="BE189" s="1492">
        <v>157.82620564999999</v>
      </c>
      <c r="BF189" s="1494">
        <v>2.1230000000000002</v>
      </c>
      <c r="BG189" s="1493">
        <v>0.21629300000000001</v>
      </c>
      <c r="BH189" s="1492">
        <v>385.09800000000001</v>
      </c>
      <c r="BI189" s="1491">
        <v>20.100804449999998</v>
      </c>
      <c r="BJ189" s="1493">
        <v>0.94</v>
      </c>
      <c r="BK189" s="1493">
        <v>0.20508126999999998</v>
      </c>
      <c r="BL189" s="1492">
        <v>384.15800000000002</v>
      </c>
      <c r="BM189" s="1491">
        <v>19.895723180000001</v>
      </c>
    </row>
    <row r="190" spans="1:65">
      <c r="A190" s="409" t="s">
        <v>20</v>
      </c>
      <c r="B190" s="1491">
        <v>14246.165999999999</v>
      </c>
      <c r="C190" s="2024">
        <v>10857.653</v>
      </c>
      <c r="D190" s="1491">
        <v>3605.547</v>
      </c>
      <c r="E190" s="1491">
        <v>2762.2109999999998</v>
      </c>
      <c r="F190" s="1491">
        <v>5962.0709999999999</v>
      </c>
      <c r="G190" s="1491">
        <v>1916.337</v>
      </c>
      <c r="H190" s="1491">
        <v>86182.892999999996</v>
      </c>
      <c r="I190" s="1491">
        <v>7004.24270738</v>
      </c>
      <c r="J190" s="1491">
        <v>13611.455</v>
      </c>
      <c r="K190" s="1491">
        <v>3141.08332943</v>
      </c>
      <c r="L190" s="1491">
        <v>30.571999999999999</v>
      </c>
      <c r="M190" s="1491">
        <v>142.91627614000001</v>
      </c>
      <c r="N190" s="1491">
        <v>2.0510000000000002</v>
      </c>
      <c r="O190" s="1491">
        <v>0.70455634</v>
      </c>
      <c r="P190" s="1491">
        <v>29379.654999999999</v>
      </c>
      <c r="Q190" s="1491">
        <v>769.45546831000001</v>
      </c>
      <c r="R190" s="1491">
        <v>28169.848999999998</v>
      </c>
      <c r="S190" s="1491">
        <v>692.21521527999994</v>
      </c>
      <c r="T190" s="1491">
        <v>38307.733999999997</v>
      </c>
      <c r="U190" s="1491">
        <v>2683.47622374</v>
      </c>
      <c r="V190" s="1491">
        <v>71.289000000000001</v>
      </c>
      <c r="W190" s="1495">
        <v>4.1610909999999999</v>
      </c>
      <c r="X190" s="1492">
        <v>4780.1369999999997</v>
      </c>
      <c r="Y190" s="1492">
        <v>262.44576241999999</v>
      </c>
      <c r="Z190" s="1492">
        <v>39.991999999999997</v>
      </c>
      <c r="AA190" s="1492">
        <v>14.98940181</v>
      </c>
      <c r="AB190" s="1492">
        <v>4740.1450000000004</v>
      </c>
      <c r="AC190" s="1492">
        <v>247.45636061000002</v>
      </c>
      <c r="AD190" s="1492">
        <v>77613.135999999999</v>
      </c>
      <c r="AE190" s="1492">
        <v>6547.7464970399997</v>
      </c>
      <c r="AF190" s="1492">
        <v>13174.588</v>
      </c>
      <c r="AG190" s="1492">
        <v>3055.2418604300001</v>
      </c>
      <c r="AH190" s="1492">
        <v>24903.845000000001</v>
      </c>
      <c r="AI190" s="1492">
        <v>743.99676712999997</v>
      </c>
      <c r="AJ190" s="1492">
        <v>23846.598000000002</v>
      </c>
      <c r="AK190" s="1492">
        <v>549.89933197000005</v>
      </c>
      <c r="AL190" s="1492">
        <v>35126.383000000002</v>
      </c>
      <c r="AM190" s="1492">
        <v>2508.8979279499999</v>
      </c>
      <c r="AN190" s="1492">
        <v>69.566999999999993</v>
      </c>
      <c r="AO190" s="1493">
        <v>3.8488250000000002</v>
      </c>
      <c r="AP190" s="1492">
        <v>4338.7529999999997</v>
      </c>
      <c r="AQ190" s="1492">
        <v>235.76111653000001</v>
      </c>
      <c r="AR190" s="1492">
        <v>38.720999999999997</v>
      </c>
      <c r="AS190" s="1492">
        <v>14.59071134</v>
      </c>
      <c r="AT190" s="1492">
        <v>4300.0320000000002</v>
      </c>
      <c r="AU190" s="1492">
        <v>221.17040519</v>
      </c>
      <c r="AV190" s="1492">
        <v>8569.7569999999996</v>
      </c>
      <c r="AW190" s="1492">
        <v>456.49621034</v>
      </c>
      <c r="AX190" s="1492">
        <v>438.91800000000001</v>
      </c>
      <c r="AY190" s="1492">
        <v>86.54602534</v>
      </c>
      <c r="AZ190" s="1492">
        <v>4506.3819999999996</v>
      </c>
      <c r="BA190" s="1492">
        <v>168.37497732</v>
      </c>
      <c r="BB190" s="1492">
        <v>4323.2510000000002</v>
      </c>
      <c r="BC190" s="1492">
        <v>142.31588331</v>
      </c>
      <c r="BD190" s="1492">
        <v>3181.3510000000001</v>
      </c>
      <c r="BE190" s="1492">
        <v>174.57829579</v>
      </c>
      <c r="BF190" s="1494">
        <v>1.722</v>
      </c>
      <c r="BG190" s="1493">
        <v>0.31226599999999999</v>
      </c>
      <c r="BH190" s="1492">
        <v>441.38400000000001</v>
      </c>
      <c r="BI190" s="1491">
        <v>26.684645889999999</v>
      </c>
      <c r="BJ190" s="1493">
        <v>1.2709999999999999</v>
      </c>
      <c r="BK190" s="1493">
        <v>0.39869046999999996</v>
      </c>
      <c r="BL190" s="1492">
        <v>440.113</v>
      </c>
      <c r="BM190" s="1491">
        <v>26.285955419999997</v>
      </c>
    </row>
    <row r="191" spans="1:65">
      <c r="A191" s="409" t="s">
        <v>21</v>
      </c>
      <c r="B191" s="1491">
        <v>14464.737999999999</v>
      </c>
      <c r="C191" s="2024">
        <v>11054.539000000001</v>
      </c>
      <c r="D191" s="1491">
        <v>3605.8670000000002</v>
      </c>
      <c r="E191" s="1491">
        <v>2777.5790000000002</v>
      </c>
      <c r="F191" s="1491">
        <v>6132.1329999999998</v>
      </c>
      <c r="G191" s="1491">
        <v>1949.1590000000001</v>
      </c>
      <c r="H191" s="1491">
        <v>81237.054000000004</v>
      </c>
      <c r="I191" s="1491">
        <v>6327.7961152899998</v>
      </c>
      <c r="J191" s="1491">
        <v>12203.558999999999</v>
      </c>
      <c r="K191" s="1491">
        <v>2771.6028225</v>
      </c>
      <c r="L191" s="1491">
        <v>29.553999999999998</v>
      </c>
      <c r="M191" s="1491">
        <v>136.13334502000001</v>
      </c>
      <c r="N191" s="1491">
        <v>1.88</v>
      </c>
      <c r="O191" s="1491">
        <v>0.64153636000000003</v>
      </c>
      <c r="P191" s="1491">
        <v>27281.641</v>
      </c>
      <c r="Q191" s="1491">
        <v>664.26916409</v>
      </c>
      <c r="R191" s="1491">
        <v>26174.179</v>
      </c>
      <c r="S191" s="1491">
        <v>599.27859999999998</v>
      </c>
      <c r="T191" s="1491">
        <v>37363.775999999998</v>
      </c>
      <c r="U191" s="1491">
        <v>2535.3431603600002</v>
      </c>
      <c r="V191" s="1491">
        <v>69.394000000000005</v>
      </c>
      <c r="W191" s="1495">
        <v>4.0250899999999996</v>
      </c>
      <c r="X191" s="1492">
        <v>4287.25</v>
      </c>
      <c r="Y191" s="1492">
        <v>215.78099599999999</v>
      </c>
      <c r="Z191" s="1492">
        <v>33.957000000000001</v>
      </c>
      <c r="AA191" s="1492">
        <v>12.744325999999999</v>
      </c>
      <c r="AB191" s="1492">
        <v>4253.29</v>
      </c>
      <c r="AC191" s="1492">
        <v>203.03666899999999</v>
      </c>
      <c r="AD191" s="1492">
        <v>73200.145000000004</v>
      </c>
      <c r="AE191" s="1492">
        <v>5911.0463865700003</v>
      </c>
      <c r="AF191" s="1492">
        <v>11779.183000000001</v>
      </c>
      <c r="AG191" s="1492">
        <v>2690.21631179</v>
      </c>
      <c r="AH191" s="1492">
        <v>23219.587</v>
      </c>
      <c r="AI191" s="1492">
        <v>659.36169428999995</v>
      </c>
      <c r="AJ191" s="1492">
        <v>22241.045999999998</v>
      </c>
      <c r="AK191" s="1492">
        <v>478.69514800000002</v>
      </c>
      <c r="AL191" s="1492">
        <v>34235.883000000002</v>
      </c>
      <c r="AM191" s="1492">
        <v>2363.5570911499999</v>
      </c>
      <c r="AN191" s="1492">
        <v>67.694999999999993</v>
      </c>
      <c r="AO191" s="1493">
        <v>3.8019020000000001</v>
      </c>
      <c r="AP191" s="1492">
        <v>3897.797</v>
      </c>
      <c r="AQ191" s="1492">
        <v>194.10938734000001</v>
      </c>
      <c r="AR191" s="1492">
        <v>33.149000000000001</v>
      </c>
      <c r="AS191" s="1492">
        <v>12.55288</v>
      </c>
      <c r="AT191" s="1492">
        <v>3864.6480000000001</v>
      </c>
      <c r="AU191" s="1492">
        <v>181.55650600000001</v>
      </c>
      <c r="AV191" s="1492">
        <v>8036.9089999999997</v>
      </c>
      <c r="AW191" s="1492">
        <v>416.74972872000001</v>
      </c>
      <c r="AX191" s="1492">
        <v>426.25599999999997</v>
      </c>
      <c r="AY191" s="1492">
        <v>82.02804707</v>
      </c>
      <c r="AZ191" s="1492">
        <v>4091.6080000000002</v>
      </c>
      <c r="BA191" s="1492">
        <v>141.04081482000001</v>
      </c>
      <c r="BB191" s="1492">
        <v>3933.1329999999998</v>
      </c>
      <c r="BC191" s="1492">
        <v>120.583451</v>
      </c>
      <c r="BD191" s="1492">
        <v>3127.7139999999999</v>
      </c>
      <c r="BE191" s="1492">
        <v>171.76169920999999</v>
      </c>
      <c r="BF191" s="1494">
        <v>1.6990000000000001</v>
      </c>
      <c r="BG191" s="1493">
        <v>0.223188</v>
      </c>
      <c r="BH191" s="1492">
        <v>389.45299999999997</v>
      </c>
      <c r="BI191" s="1491">
        <v>21.671609</v>
      </c>
      <c r="BJ191" s="1493">
        <v>0.81100000000000005</v>
      </c>
      <c r="BK191" s="1493">
        <v>0.19144598999999998</v>
      </c>
      <c r="BL191" s="1492">
        <v>388.642</v>
      </c>
      <c r="BM191" s="1491">
        <v>21.480163000000001</v>
      </c>
    </row>
    <row r="192" spans="1:65">
      <c r="A192" s="409" t="s">
        <v>22</v>
      </c>
      <c r="B192" s="1491">
        <v>14741.391</v>
      </c>
      <c r="C192" s="2024">
        <v>11304.799000000001</v>
      </c>
      <c r="D192" s="1491">
        <v>3618.652</v>
      </c>
      <c r="E192" s="1491">
        <v>2783.2289999999998</v>
      </c>
      <c r="F192" s="1491">
        <v>6360.6559999999999</v>
      </c>
      <c r="G192" s="1491">
        <v>1978.854</v>
      </c>
      <c r="H192" s="1491">
        <v>99818.141000000003</v>
      </c>
      <c r="I192" s="1491">
        <v>7552.0955055000004</v>
      </c>
      <c r="J192" s="1491">
        <v>14415.895</v>
      </c>
      <c r="K192" s="1491">
        <v>3200.8631801900001</v>
      </c>
      <c r="L192" s="1491">
        <v>30.687999999999999</v>
      </c>
      <c r="M192" s="1491">
        <v>158.30572882999999</v>
      </c>
      <c r="N192" s="1491">
        <v>2.0939999999999999</v>
      </c>
      <c r="O192" s="1491">
        <v>0.75277567999999995</v>
      </c>
      <c r="P192" s="1491">
        <v>34652.444000000003</v>
      </c>
      <c r="Q192" s="1491">
        <v>826.47456998999996</v>
      </c>
      <c r="R192" s="1491">
        <v>33350.906000000003</v>
      </c>
      <c r="S192" s="1491">
        <v>742.66045429999997</v>
      </c>
      <c r="T192" s="1491">
        <v>45485.932000000001</v>
      </c>
      <c r="U192" s="1491">
        <v>3096.6980323900002</v>
      </c>
      <c r="V192" s="1491">
        <v>99.703999999999994</v>
      </c>
      <c r="W192" s="1495">
        <v>5.9935340000000004</v>
      </c>
      <c r="X192" s="1492">
        <v>5131.384</v>
      </c>
      <c r="Y192" s="1492">
        <v>263.00768441999998</v>
      </c>
      <c r="Z192" s="1492">
        <v>41.976999999999997</v>
      </c>
      <c r="AA192" s="1492">
        <v>15.48611618</v>
      </c>
      <c r="AB192" s="1492">
        <v>5089.4070000000002</v>
      </c>
      <c r="AC192" s="1492">
        <v>247.52156824000002</v>
      </c>
      <c r="AD192" s="1492">
        <v>90066.543000000005</v>
      </c>
      <c r="AE192" s="1492">
        <v>7041.4751683599998</v>
      </c>
      <c r="AF192" s="1492">
        <v>13890.903</v>
      </c>
      <c r="AG192" s="1492">
        <v>3097.2425831800001</v>
      </c>
      <c r="AH192" s="1492">
        <v>29708.657999999999</v>
      </c>
      <c r="AI192" s="1492">
        <v>814.33228823000002</v>
      </c>
      <c r="AJ192" s="1492">
        <v>28560.812999999998</v>
      </c>
      <c r="AK192" s="1492">
        <v>602.73114899999996</v>
      </c>
      <c r="AL192" s="1492">
        <v>41712.006999999998</v>
      </c>
      <c r="AM192" s="1492">
        <v>2887.6886392400002</v>
      </c>
      <c r="AN192" s="1492">
        <v>96.381</v>
      </c>
      <c r="AO192" s="1493">
        <v>5.6098879999999998</v>
      </c>
      <c r="AP192" s="1492">
        <v>4658.5940000000001</v>
      </c>
      <c r="AQ192" s="1492">
        <v>236.60176971000001</v>
      </c>
      <c r="AR192" s="1492">
        <v>40.747</v>
      </c>
      <c r="AS192" s="1492">
        <v>15.079388380000001</v>
      </c>
      <c r="AT192" s="1492">
        <v>4617.8469999999998</v>
      </c>
      <c r="AU192" s="1492">
        <v>221.52238132999997</v>
      </c>
      <c r="AV192" s="1492">
        <v>9751.598</v>
      </c>
      <c r="AW192" s="1492">
        <v>510.62033714</v>
      </c>
      <c r="AX192" s="1492">
        <v>527.08600000000001</v>
      </c>
      <c r="AY192" s="1492">
        <v>104.37337269</v>
      </c>
      <c r="AZ192" s="1492">
        <v>4974.4740000000002</v>
      </c>
      <c r="BA192" s="1492">
        <v>170.44801059</v>
      </c>
      <c r="BB192" s="1492">
        <v>4790.0930000000044</v>
      </c>
      <c r="BC192" s="1492">
        <v>139.92930530000001</v>
      </c>
      <c r="BD192" s="1492">
        <v>3773.9250000000002</v>
      </c>
      <c r="BE192" s="1492">
        <v>209.00939314999999</v>
      </c>
      <c r="BF192" s="1494">
        <v>3.3229999999999933</v>
      </c>
      <c r="BG192" s="1493">
        <v>0.3836460000000006</v>
      </c>
      <c r="BH192" s="1492">
        <v>472.79</v>
      </c>
      <c r="BI192" s="1491">
        <v>26.405914710000001</v>
      </c>
      <c r="BJ192" s="1493">
        <v>1.2299999999999969</v>
      </c>
      <c r="BK192" s="1493">
        <v>0.40672779999999875</v>
      </c>
      <c r="BL192" s="1492">
        <v>471.5600000000004</v>
      </c>
      <c r="BM192" s="1491">
        <v>25.999186910000049</v>
      </c>
    </row>
    <row r="193" spans="1:65">
      <c r="A193" s="409" t="s">
        <v>23</v>
      </c>
      <c r="B193" s="1491">
        <v>15040.03</v>
      </c>
      <c r="C193" s="2024">
        <v>11599.734</v>
      </c>
      <c r="D193" s="1491">
        <v>3630.0509999999999</v>
      </c>
      <c r="E193" s="1491">
        <v>2801.4340000000002</v>
      </c>
      <c r="F193" s="1491">
        <v>6588.37</v>
      </c>
      <c r="G193" s="1491">
        <v>2020.175</v>
      </c>
      <c r="H193" s="1491">
        <v>89105.342000000004</v>
      </c>
      <c r="I193" s="1491">
        <v>6992.0970189400005</v>
      </c>
      <c r="J193" s="1491">
        <v>12585.849</v>
      </c>
      <c r="K193" s="1491">
        <v>2987.3052473600001</v>
      </c>
      <c r="L193" s="1491">
        <v>27.609000000000002</v>
      </c>
      <c r="M193" s="1491">
        <v>148.21523624</v>
      </c>
      <c r="N193" s="1491">
        <v>1.6830000000000001</v>
      </c>
      <c r="O193" s="1491">
        <v>0.66541885000000001</v>
      </c>
      <c r="P193" s="1491">
        <v>31783.24</v>
      </c>
      <c r="Q193" s="1491">
        <v>751.06084162000002</v>
      </c>
      <c r="R193" s="1491">
        <v>30576.085999999999</v>
      </c>
      <c r="S193" s="1491">
        <v>676.79452354</v>
      </c>
      <c r="T193" s="1491">
        <v>40083.050000000003</v>
      </c>
      <c r="U193" s="1491">
        <v>2867.1671545899999</v>
      </c>
      <c r="V193" s="1491">
        <v>78.227999999999994</v>
      </c>
      <c r="W193" s="1495">
        <v>5.7459749999999996</v>
      </c>
      <c r="X193" s="1492">
        <v>4545.683</v>
      </c>
      <c r="Y193" s="1492">
        <v>231.93714528000001</v>
      </c>
      <c r="Z193" s="1492">
        <v>36.859000000000002</v>
      </c>
      <c r="AA193" s="1492">
        <v>12.563790640000001</v>
      </c>
      <c r="AB193" s="1492">
        <v>4508.8239999999996</v>
      </c>
      <c r="AC193" s="1492">
        <v>219.37335463999997</v>
      </c>
      <c r="AD193" s="1492">
        <v>80360.144</v>
      </c>
      <c r="AE193" s="1492">
        <v>6528.84742723</v>
      </c>
      <c r="AF193" s="1492">
        <v>12130.992</v>
      </c>
      <c r="AG193" s="1492">
        <v>2892.2141637899999</v>
      </c>
      <c r="AH193" s="1492">
        <v>27398.415000000001</v>
      </c>
      <c r="AI193" s="1492">
        <v>746.26542365</v>
      </c>
      <c r="AJ193" s="1492">
        <v>26327.594000000001</v>
      </c>
      <c r="AK193" s="1492">
        <v>552.42655400000001</v>
      </c>
      <c r="AL193" s="1492">
        <v>36641.150999999998</v>
      </c>
      <c r="AM193" s="1492">
        <v>2676.8117659999998</v>
      </c>
      <c r="AN193" s="1492">
        <v>76.268000000000001</v>
      </c>
      <c r="AO193" s="1493">
        <v>5.4704639999999998</v>
      </c>
      <c r="AP193" s="1492">
        <v>4113.3180000000002</v>
      </c>
      <c r="AQ193" s="1492">
        <v>208.08560936999999</v>
      </c>
      <c r="AR193" s="1492">
        <v>35.676000000000002</v>
      </c>
      <c r="AS193" s="1492">
        <v>12.24176306</v>
      </c>
      <c r="AT193" s="1492">
        <v>4077.6419999999998</v>
      </c>
      <c r="AU193" s="1492">
        <v>195.84384631</v>
      </c>
      <c r="AV193" s="1492">
        <v>8745.1980000000003</v>
      </c>
      <c r="AW193" s="1492">
        <v>463.24959171</v>
      </c>
      <c r="AX193" s="1492">
        <v>456.54</v>
      </c>
      <c r="AY193" s="1492">
        <v>95.756502420000004</v>
      </c>
      <c r="AZ193" s="1492">
        <v>4412.4340000000002</v>
      </c>
      <c r="BA193" s="1492">
        <v>153.01065421000001</v>
      </c>
      <c r="BB193" s="1492">
        <v>4248.4920000000002</v>
      </c>
      <c r="BC193" s="1492">
        <v>124.367969</v>
      </c>
      <c r="BD193" s="1492">
        <v>3441.8989999999999</v>
      </c>
      <c r="BE193" s="1492">
        <v>190.355388</v>
      </c>
      <c r="BF193" s="1494">
        <v>1.9599999999999937</v>
      </c>
      <c r="BG193" s="1493">
        <v>0.27551099999999984</v>
      </c>
      <c r="BH193" s="1492">
        <v>432.36500000000001</v>
      </c>
      <c r="BI193" s="1491">
        <v>23.851535909999999</v>
      </c>
      <c r="BJ193" s="1493">
        <v>1.1829999999999998</v>
      </c>
      <c r="BK193" s="1493">
        <v>0.32202758000000031</v>
      </c>
      <c r="BL193" s="1492">
        <v>431.18199999999979</v>
      </c>
      <c r="BM193" s="1491">
        <v>23.52950832999997</v>
      </c>
    </row>
    <row r="194" spans="1:65">
      <c r="A194" s="409" t="s">
        <v>24</v>
      </c>
      <c r="B194" s="1491">
        <v>15346.348</v>
      </c>
      <c r="C194" s="2024">
        <v>11866.555</v>
      </c>
      <c r="D194" s="1491">
        <v>3646.5169999999998</v>
      </c>
      <c r="E194" s="1491">
        <v>2828.25</v>
      </c>
      <c r="F194" s="1491">
        <v>6819.2330000000002</v>
      </c>
      <c r="G194" s="1491">
        <v>2052.348</v>
      </c>
      <c r="H194" s="1491">
        <v>111949.804</v>
      </c>
      <c r="I194" s="1491">
        <v>8461.2850210899996</v>
      </c>
      <c r="J194" s="1491">
        <v>14850.141</v>
      </c>
      <c r="K194" s="1491">
        <v>3428.1871837100002</v>
      </c>
      <c r="L194" s="1491">
        <v>29.515000000000001</v>
      </c>
      <c r="M194" s="1491">
        <v>160.50809709000001</v>
      </c>
      <c r="N194" s="1491">
        <v>2.0150000000000001</v>
      </c>
      <c r="O194" s="1491">
        <v>0.86727452999999999</v>
      </c>
      <c r="P194" s="1491">
        <v>40882.317000000003</v>
      </c>
      <c r="Q194" s="1491">
        <v>964.67460057999995</v>
      </c>
      <c r="R194" s="1491">
        <v>39425.398000000001</v>
      </c>
      <c r="S194" s="1491">
        <v>881.20377800000006</v>
      </c>
      <c r="T194" s="1491">
        <v>50416.103000000003</v>
      </c>
      <c r="U194" s="1491">
        <v>3583.175675</v>
      </c>
      <c r="V194" s="1491">
        <v>105.42100000000001</v>
      </c>
      <c r="W194" s="1495">
        <v>7.3879999999999999</v>
      </c>
      <c r="X194" s="1492">
        <v>5664.2920000000004</v>
      </c>
      <c r="Y194" s="1492">
        <v>316.48361199999999</v>
      </c>
      <c r="Z194" s="1492">
        <v>44.274000000000001</v>
      </c>
      <c r="AA194" s="1492">
        <v>15.50671</v>
      </c>
      <c r="AB194" s="1492">
        <v>5620.018</v>
      </c>
      <c r="AC194" s="1492">
        <v>300.976902</v>
      </c>
      <c r="AD194" s="1492">
        <v>101119.447</v>
      </c>
      <c r="AE194" s="1492">
        <v>7885.2856683600003</v>
      </c>
      <c r="AF194" s="1492">
        <v>14296.146000000001</v>
      </c>
      <c r="AG194" s="1492">
        <v>3313.9136804599998</v>
      </c>
      <c r="AH194" s="1492">
        <v>35420.19</v>
      </c>
      <c r="AI194" s="1492">
        <v>933.82414085999994</v>
      </c>
      <c r="AJ194" s="1492">
        <v>34128.389000000003</v>
      </c>
      <c r="AK194" s="1492">
        <v>722.44152499999996</v>
      </c>
      <c r="AL194" s="1492">
        <v>46194.508999999998</v>
      </c>
      <c r="AM194" s="1492">
        <v>3345.98911851</v>
      </c>
      <c r="AN194" s="1492">
        <v>102.601</v>
      </c>
      <c r="AO194" s="1493">
        <v>6.9697149999999999</v>
      </c>
      <c r="AP194" s="1492">
        <v>5106.0010000000002</v>
      </c>
      <c r="AQ194" s="1492">
        <v>284.58901352999999</v>
      </c>
      <c r="AR194" s="1492">
        <v>42.594000000000001</v>
      </c>
      <c r="AS194" s="1492">
        <v>15.008955</v>
      </c>
      <c r="AT194" s="1492">
        <v>5063.4070000000002</v>
      </c>
      <c r="AU194" s="1492">
        <v>269.58005800000001</v>
      </c>
      <c r="AV194" s="1492">
        <v>10830.357</v>
      </c>
      <c r="AW194" s="1492">
        <v>575.99935273000006</v>
      </c>
      <c r="AX194" s="1492">
        <v>556.01</v>
      </c>
      <c r="AY194" s="1492">
        <v>115.14077777999999</v>
      </c>
      <c r="AZ194" s="1492">
        <v>5491.6419999999998</v>
      </c>
      <c r="BA194" s="1492">
        <v>191.35855681000001</v>
      </c>
      <c r="BB194" s="1492">
        <v>5297.009</v>
      </c>
      <c r="BC194" s="1492">
        <v>158.76225199999999</v>
      </c>
      <c r="BD194" s="1492">
        <v>4221.5940000000001</v>
      </c>
      <c r="BE194" s="1492">
        <v>237.18655648999999</v>
      </c>
      <c r="BF194" s="1494">
        <v>2.82</v>
      </c>
      <c r="BG194" s="1493">
        <v>0.41886299999999999</v>
      </c>
      <c r="BH194" s="1492">
        <v>558.29100000000005</v>
      </c>
      <c r="BI194" s="1491">
        <v>31.894598649999999</v>
      </c>
      <c r="BJ194" s="1493">
        <v>1.68</v>
      </c>
      <c r="BK194" s="1493">
        <v>0.497755</v>
      </c>
      <c r="BL194" s="1492">
        <v>556.61099999999999</v>
      </c>
      <c r="BM194" s="1491">
        <v>31.396844000000002</v>
      </c>
    </row>
    <row r="195" spans="1:65">
      <c r="A195" s="409" t="s">
        <v>25</v>
      </c>
      <c r="B195" s="1491">
        <v>15669.379000000001</v>
      </c>
      <c r="C195" s="2024">
        <v>12141.938</v>
      </c>
      <c r="D195" s="1491">
        <v>3660.5439999999999</v>
      </c>
      <c r="E195" s="1491">
        <v>2802.4969999999998</v>
      </c>
      <c r="F195" s="1491">
        <v>7149.0439999999999</v>
      </c>
      <c r="G195" s="1491">
        <v>2057.2939999999999</v>
      </c>
      <c r="H195" s="1491">
        <v>109838.95699999999</v>
      </c>
      <c r="I195" s="1491">
        <v>8098.3709204999996</v>
      </c>
      <c r="J195" s="1491">
        <v>13505.132</v>
      </c>
      <c r="K195" s="1491">
        <v>3095.4694056399999</v>
      </c>
      <c r="L195" s="1491">
        <v>30.481999999999999</v>
      </c>
      <c r="M195" s="1491">
        <v>160.10911532</v>
      </c>
      <c r="N195" s="1491">
        <v>1.6419999999999999</v>
      </c>
      <c r="O195" s="1491">
        <v>0.72827805999999995</v>
      </c>
      <c r="P195" s="1491">
        <v>40868.186000000002</v>
      </c>
      <c r="Q195" s="1491">
        <v>905.41185552000002</v>
      </c>
      <c r="R195" s="1491">
        <v>39596.881999999998</v>
      </c>
      <c r="S195" s="1491">
        <v>842.66776300000004</v>
      </c>
      <c r="T195" s="1491">
        <v>49689.332999999999</v>
      </c>
      <c r="U195" s="1491">
        <v>3595.85264663</v>
      </c>
      <c r="V195" s="1491">
        <v>104.71599999999999</v>
      </c>
      <c r="W195" s="1495">
        <v>7.0928699999999996</v>
      </c>
      <c r="X195" s="1492">
        <v>5639.4660000000003</v>
      </c>
      <c r="Y195" s="1492">
        <v>333.706749</v>
      </c>
      <c r="Z195" s="1492">
        <v>44.634</v>
      </c>
      <c r="AA195" s="1492">
        <v>15.039501</v>
      </c>
      <c r="AB195" s="1492">
        <v>5594.8320000000003</v>
      </c>
      <c r="AC195" s="1492">
        <v>318.66724699999997</v>
      </c>
      <c r="AD195" s="1492">
        <v>98666.922999999995</v>
      </c>
      <c r="AE195" s="1492">
        <v>7514.8882324599999</v>
      </c>
      <c r="AF195" s="1492">
        <v>12952.728999999999</v>
      </c>
      <c r="AG195" s="1492">
        <v>2977.49142072</v>
      </c>
      <c r="AH195" s="1492">
        <v>35323.517</v>
      </c>
      <c r="AI195" s="1492">
        <v>885.49776596000004</v>
      </c>
      <c r="AJ195" s="1492">
        <v>34205.141000000003</v>
      </c>
      <c r="AK195" s="1492">
        <v>693.09484999999995</v>
      </c>
      <c r="AL195" s="1492">
        <v>45208.012999999999</v>
      </c>
      <c r="AM195" s="1492">
        <v>3344.6918342600002</v>
      </c>
      <c r="AN195" s="1492">
        <v>101.931</v>
      </c>
      <c r="AO195" s="1493">
        <v>6.6980300000000002</v>
      </c>
      <c r="AP195" s="1492">
        <v>5080.7330000000002</v>
      </c>
      <c r="AQ195" s="1492">
        <v>300.50918128000001</v>
      </c>
      <c r="AR195" s="1492">
        <v>42.716000000000001</v>
      </c>
      <c r="AS195" s="1492">
        <v>14.454787</v>
      </c>
      <c r="AT195" s="1492">
        <v>5038.0169999999998</v>
      </c>
      <c r="AU195" s="1492">
        <v>286.054393</v>
      </c>
      <c r="AV195" s="1492">
        <v>11172.034</v>
      </c>
      <c r="AW195" s="1492">
        <v>583.48268803999997</v>
      </c>
      <c r="AX195" s="1492">
        <v>554.04499999999996</v>
      </c>
      <c r="AY195" s="1492">
        <v>118.70626298000001</v>
      </c>
      <c r="AZ195" s="1492">
        <v>5575.1509999999998</v>
      </c>
      <c r="BA195" s="1492">
        <v>180.02320488000001</v>
      </c>
      <c r="BB195" s="1492">
        <v>5391.741</v>
      </c>
      <c r="BC195" s="1492">
        <v>149.572912</v>
      </c>
      <c r="BD195" s="1492">
        <v>4481.32</v>
      </c>
      <c r="BE195" s="1492">
        <v>251.16081237</v>
      </c>
      <c r="BF195" s="1494">
        <v>2.7850000000000001</v>
      </c>
      <c r="BG195" s="1493">
        <v>0.39484000000000002</v>
      </c>
      <c r="BH195" s="1492">
        <v>558.73299999999995</v>
      </c>
      <c r="BI195" s="1491">
        <v>33.197566999999999</v>
      </c>
      <c r="BJ195" s="1493">
        <v>1.9179999999999999</v>
      </c>
      <c r="BK195" s="1493">
        <v>0.58471300000000004</v>
      </c>
      <c r="BL195" s="1492">
        <v>556.81500000000005</v>
      </c>
      <c r="BM195" s="1491">
        <v>32.612853000000001</v>
      </c>
    </row>
    <row r="196" spans="1:65">
      <c r="A196" s="409" t="s">
        <v>26</v>
      </c>
      <c r="B196" s="1491">
        <v>15938.96</v>
      </c>
      <c r="C196" s="2024">
        <v>12387.14</v>
      </c>
      <c r="D196" s="1491">
        <v>3593.9989999999998</v>
      </c>
      <c r="E196" s="1491">
        <v>2829.8490000000002</v>
      </c>
      <c r="F196" s="1491">
        <v>7377.1329999999998</v>
      </c>
      <c r="G196" s="1491">
        <v>2138</v>
      </c>
      <c r="H196" s="1491">
        <v>106993.68700000001</v>
      </c>
      <c r="I196" s="1491">
        <v>7815.0436795899996</v>
      </c>
      <c r="J196" s="1491">
        <v>13205.648999999999</v>
      </c>
      <c r="K196" s="1491">
        <v>3020.1305229</v>
      </c>
      <c r="L196" s="1491">
        <v>28.878</v>
      </c>
      <c r="M196" s="1491">
        <v>146.96564000000001</v>
      </c>
      <c r="N196" s="1491">
        <v>1.3460000000000001</v>
      </c>
      <c r="O196" s="1491">
        <v>0.48639141000000002</v>
      </c>
      <c r="P196" s="1491">
        <v>37830.487999999998</v>
      </c>
      <c r="Q196" s="1491">
        <v>828.86119266000003</v>
      </c>
      <c r="R196" s="1491">
        <v>36664.49</v>
      </c>
      <c r="S196" s="1491">
        <v>772.83900000000006</v>
      </c>
      <c r="T196" s="1491">
        <v>50672.94</v>
      </c>
      <c r="U196" s="1491">
        <v>3551.9583200000002</v>
      </c>
      <c r="V196" s="1491">
        <v>93.8</v>
      </c>
      <c r="W196" s="1495">
        <v>6.45242</v>
      </c>
      <c r="X196" s="1492">
        <v>5160.5829999999996</v>
      </c>
      <c r="Y196" s="1492">
        <v>260.18918485</v>
      </c>
      <c r="Z196" s="1492">
        <v>48.201999999999998</v>
      </c>
      <c r="AA196" s="1492">
        <v>14.592449999999999</v>
      </c>
      <c r="AB196" s="1492">
        <v>5112.3810000000003</v>
      </c>
      <c r="AC196" s="1492">
        <v>245.59673744</v>
      </c>
      <c r="AD196" s="1492">
        <v>96478.164000000004</v>
      </c>
      <c r="AE196" s="1492">
        <v>7254.6287572199999</v>
      </c>
      <c r="AF196" s="1492">
        <v>12663.464</v>
      </c>
      <c r="AG196" s="1492">
        <v>2904.21027736</v>
      </c>
      <c r="AH196" s="1492">
        <v>32812.832999999999</v>
      </c>
      <c r="AI196" s="1492">
        <v>819.05356847999997</v>
      </c>
      <c r="AJ196" s="1492">
        <v>31785.77</v>
      </c>
      <c r="AK196" s="1492">
        <v>633.30963999999994</v>
      </c>
      <c r="AL196" s="1492">
        <v>46250.813999999998</v>
      </c>
      <c r="AM196" s="1492">
        <v>3292.4261976900002</v>
      </c>
      <c r="AN196" s="1492">
        <v>91.19</v>
      </c>
      <c r="AO196" s="1493">
        <v>6.4204999999999997</v>
      </c>
      <c r="AP196" s="1492">
        <v>4659.8680000000004</v>
      </c>
      <c r="AQ196" s="1492">
        <v>232.89666052999999</v>
      </c>
      <c r="AR196" s="1492">
        <v>46.78</v>
      </c>
      <c r="AS196" s="1492">
        <v>14.281658</v>
      </c>
      <c r="AT196" s="1492">
        <v>4613.0879999999997</v>
      </c>
      <c r="AU196" s="1492">
        <v>218.615002</v>
      </c>
      <c r="AV196" s="1492">
        <v>10515.522999999999</v>
      </c>
      <c r="AW196" s="1492">
        <v>560.41492237</v>
      </c>
      <c r="AX196" s="1492">
        <v>543.53099999999995</v>
      </c>
      <c r="AY196" s="1492">
        <v>116.40663695000001</v>
      </c>
      <c r="AZ196" s="1492">
        <v>5046.5330000000004</v>
      </c>
      <c r="BA196" s="1492">
        <v>156.77326418000001</v>
      </c>
      <c r="BB196" s="1492">
        <v>4878.72</v>
      </c>
      <c r="BC196" s="1492">
        <v>139.53032999999999</v>
      </c>
      <c r="BD196" s="1492">
        <v>4422.13</v>
      </c>
      <c r="BE196" s="1492">
        <v>259.53212592</v>
      </c>
      <c r="BF196" s="1494">
        <v>2.61</v>
      </c>
      <c r="BG196" s="1493">
        <v>0.41037000000000001</v>
      </c>
      <c r="BH196" s="1492">
        <v>500.71499999999997</v>
      </c>
      <c r="BI196" s="1491">
        <v>27.292524319999998</v>
      </c>
      <c r="BJ196" s="1493">
        <v>1.422385</v>
      </c>
      <c r="BK196" s="1493">
        <v>0.31078899999999998</v>
      </c>
      <c r="BL196" s="1492">
        <v>499.29300000000001</v>
      </c>
      <c r="BM196" s="1491">
        <v>26.981735</v>
      </c>
    </row>
    <row r="197" spans="1:65">
      <c r="A197" s="409" t="s">
        <v>27</v>
      </c>
      <c r="B197" s="1491">
        <v>16209.588</v>
      </c>
      <c r="C197" s="2024">
        <v>12691.853999999999</v>
      </c>
      <c r="D197" s="1491">
        <v>3626.3119999999999</v>
      </c>
      <c r="E197" s="1491">
        <v>2822.2249999999999</v>
      </c>
      <c r="F197" s="1491">
        <v>7609.0839999999998</v>
      </c>
      <c r="G197" s="1491">
        <v>2151.9670000000001</v>
      </c>
      <c r="H197" s="1491">
        <v>120754.42600000001</v>
      </c>
      <c r="I197" s="1491">
        <v>8829.7085741600004</v>
      </c>
      <c r="J197" s="1491">
        <v>15242.12</v>
      </c>
      <c r="K197" s="1491">
        <v>3383.8277263800001</v>
      </c>
      <c r="L197" s="1491">
        <v>28.114999999999998</v>
      </c>
      <c r="M197" s="1491">
        <v>154.02448326000001</v>
      </c>
      <c r="N197" s="1491">
        <v>1.9059999999999999</v>
      </c>
      <c r="O197" s="1491">
        <v>0.74716371000000004</v>
      </c>
      <c r="P197" s="1491">
        <v>40978.031999999999</v>
      </c>
      <c r="Q197" s="1491">
        <v>901.98704989999999</v>
      </c>
      <c r="R197" s="1491">
        <v>39650.983999999997</v>
      </c>
      <c r="S197" s="1491">
        <v>836.09853599999997</v>
      </c>
      <c r="T197" s="1491">
        <v>59178.62</v>
      </c>
      <c r="U197" s="1491">
        <v>4106.5593921999998</v>
      </c>
      <c r="V197" s="1491">
        <v>110.499</v>
      </c>
      <c r="W197" s="1495">
        <v>7.6681229999999996</v>
      </c>
      <c r="X197" s="1492">
        <v>5215.134</v>
      </c>
      <c r="Y197" s="1492">
        <v>274.89463531000001</v>
      </c>
      <c r="Z197" s="1492">
        <v>63.237000000000002</v>
      </c>
      <c r="AA197" s="1492">
        <v>15.675862</v>
      </c>
      <c r="AB197" s="1492">
        <v>5151.8969999999999</v>
      </c>
      <c r="AC197" s="1492">
        <v>259.218772</v>
      </c>
      <c r="AD197" s="1492">
        <v>109684.361</v>
      </c>
      <c r="AE197" s="1492">
        <v>8226.17658252</v>
      </c>
      <c r="AF197" s="1492">
        <v>14662.275</v>
      </c>
      <c r="AG197" s="1492">
        <v>3262.9015440500002</v>
      </c>
      <c r="AH197" s="1492">
        <v>35840.262999999999</v>
      </c>
      <c r="AI197" s="1492">
        <v>892.12192987000003</v>
      </c>
      <c r="AJ197" s="1492">
        <v>34661.910000000003</v>
      </c>
      <c r="AK197" s="1492">
        <v>688.99559699999998</v>
      </c>
      <c r="AL197" s="1492">
        <v>54315.046000000002</v>
      </c>
      <c r="AM197" s="1492">
        <v>3818.1418483100001</v>
      </c>
      <c r="AN197" s="1492">
        <v>107.694</v>
      </c>
      <c r="AO197" s="1493">
        <v>7.2891899999999996</v>
      </c>
      <c r="AP197" s="1492">
        <v>4759.0829999999996</v>
      </c>
      <c r="AQ197" s="1492">
        <v>245.722069</v>
      </c>
      <c r="AR197" s="1492">
        <v>61.753999999999998</v>
      </c>
      <c r="AS197" s="1492">
        <v>15.320204</v>
      </c>
      <c r="AT197" s="1492">
        <v>4697.3289999999997</v>
      </c>
      <c r="AU197" s="1492">
        <v>230.40186499999999</v>
      </c>
      <c r="AV197" s="1492">
        <v>11070.065000000001</v>
      </c>
      <c r="AW197" s="1492">
        <v>603.53199164</v>
      </c>
      <c r="AX197" s="1492">
        <v>581.75099999999998</v>
      </c>
      <c r="AY197" s="1492">
        <v>121.67334604</v>
      </c>
      <c r="AZ197" s="1492">
        <v>5165.884</v>
      </c>
      <c r="BA197" s="1492">
        <v>163.88960329</v>
      </c>
      <c r="BB197" s="1492">
        <v>4989.0739999999996</v>
      </c>
      <c r="BC197" s="1492">
        <v>147.10293899999999</v>
      </c>
      <c r="BD197" s="1492">
        <v>4863.5739999999996</v>
      </c>
      <c r="BE197" s="1492">
        <v>288.41754388999999</v>
      </c>
      <c r="BF197" s="1494">
        <v>2.8050000000000002</v>
      </c>
      <c r="BG197" s="1493">
        <v>0.37893300000000002</v>
      </c>
      <c r="BH197" s="1492">
        <v>456.05099999999999</v>
      </c>
      <c r="BI197" s="1491">
        <v>29.172565420000002</v>
      </c>
      <c r="BJ197" s="1493">
        <v>1.4830000000000001</v>
      </c>
      <c r="BK197" s="1493">
        <v>0.35565799999999997</v>
      </c>
      <c r="BL197" s="1492">
        <v>454.56799999999998</v>
      </c>
      <c r="BM197" s="1491">
        <v>28.816907</v>
      </c>
    </row>
    <row r="198" spans="1:65">
      <c r="A198" s="409" t="s">
        <v>28</v>
      </c>
      <c r="B198" s="1491">
        <v>16565.031999999999</v>
      </c>
      <c r="C198" s="2024">
        <v>13047.371999999999</v>
      </c>
      <c r="D198" s="1491">
        <v>3640.6640000000002</v>
      </c>
      <c r="E198" s="1491">
        <v>2866.1370000000002</v>
      </c>
      <c r="F198" s="1491">
        <v>7879.59</v>
      </c>
      <c r="G198" s="1491">
        <v>2178.6410000000001</v>
      </c>
      <c r="H198" s="1491">
        <v>121365.327</v>
      </c>
      <c r="I198" s="1491">
        <v>8735.4613215600002</v>
      </c>
      <c r="J198" s="1491">
        <v>14169.787</v>
      </c>
      <c r="K198" s="1491">
        <v>3197.2821302399998</v>
      </c>
      <c r="L198" s="1491">
        <v>27.718</v>
      </c>
      <c r="M198" s="1491">
        <v>223.15175963999999</v>
      </c>
      <c r="N198" s="1491">
        <v>1.6539999999999999</v>
      </c>
      <c r="O198" s="1491">
        <v>0.90041828999999995</v>
      </c>
      <c r="P198" s="1491">
        <v>41646.949000000001</v>
      </c>
      <c r="Q198" s="1491">
        <v>938.89967836999995</v>
      </c>
      <c r="R198" s="1491">
        <v>39953.695</v>
      </c>
      <c r="S198" s="1491">
        <v>861.66872499999999</v>
      </c>
      <c r="T198" s="1491">
        <v>59343.135000000002</v>
      </c>
      <c r="U198" s="1491">
        <v>4047.0817160000001</v>
      </c>
      <c r="V198" s="1491">
        <v>115.982</v>
      </c>
      <c r="W198" s="1495">
        <v>7.9442539999999999</v>
      </c>
      <c r="X198" s="1492">
        <v>6060.1019999999999</v>
      </c>
      <c r="Y198" s="1492">
        <v>320.20136500000001</v>
      </c>
      <c r="Z198" s="1492">
        <v>58.604999999999997</v>
      </c>
      <c r="AA198" s="1492">
        <v>14.640045000000001</v>
      </c>
      <c r="AB198" s="1492">
        <v>6001.4970000000003</v>
      </c>
      <c r="AC198" s="1492">
        <v>305.56131900000003</v>
      </c>
      <c r="AD198" s="1492">
        <v>110218.864</v>
      </c>
      <c r="AE198" s="1492">
        <v>8106.8932483099998</v>
      </c>
      <c r="AF198" s="1492">
        <v>13627.117</v>
      </c>
      <c r="AG198" s="1492">
        <v>3081.8081333</v>
      </c>
      <c r="AH198" s="1492">
        <v>36434.453999999998</v>
      </c>
      <c r="AI198" s="1492">
        <v>977.35109173000001</v>
      </c>
      <c r="AJ198" s="1492">
        <v>34934.230000000003</v>
      </c>
      <c r="AK198" s="1492">
        <v>698.20847000000003</v>
      </c>
      <c r="AL198" s="1492">
        <v>54544.794000000002</v>
      </c>
      <c r="AM198" s="1492">
        <v>3756.4108814699998</v>
      </c>
      <c r="AN198" s="1492">
        <v>111.521</v>
      </c>
      <c r="AO198" s="1493">
        <v>7.5824189999999998</v>
      </c>
      <c r="AP198" s="1492">
        <v>5500.9780000000001</v>
      </c>
      <c r="AQ198" s="1492">
        <v>283.740723</v>
      </c>
      <c r="AR198" s="1492">
        <v>56.973999999999997</v>
      </c>
      <c r="AS198" s="1492">
        <v>14.228872000000001</v>
      </c>
      <c r="AT198" s="1492">
        <v>5444.0039999999999</v>
      </c>
      <c r="AU198" s="1492">
        <v>269.51185120999997</v>
      </c>
      <c r="AV198" s="1492">
        <v>11146.463</v>
      </c>
      <c r="AW198" s="1492">
        <v>628.56807325</v>
      </c>
      <c r="AX198" s="1492">
        <v>544.32399999999996</v>
      </c>
      <c r="AY198" s="1492">
        <v>116.37441523</v>
      </c>
      <c r="AZ198" s="1492">
        <v>5240.2129999999997</v>
      </c>
      <c r="BA198" s="1492">
        <v>184.70034627999999</v>
      </c>
      <c r="BB198" s="1492">
        <v>5019</v>
      </c>
      <c r="BC198" s="1492">
        <v>163.46025399999999</v>
      </c>
      <c r="BD198" s="1492">
        <v>4798.34</v>
      </c>
      <c r="BE198" s="1492">
        <v>290.67061863999999</v>
      </c>
      <c r="BF198" s="1494">
        <v>4.4610000000000003</v>
      </c>
      <c r="BG198" s="1493">
        <v>0.36183500000000002</v>
      </c>
      <c r="BH198" s="1492">
        <v>559.12400000000002</v>
      </c>
      <c r="BI198" s="1491">
        <v>36.460641000000003</v>
      </c>
      <c r="BJ198" s="1493">
        <v>1.631</v>
      </c>
      <c r="BK198" s="1493">
        <v>0.41099999999999998</v>
      </c>
      <c r="BL198" s="1492">
        <v>557.49400000000003</v>
      </c>
      <c r="BM198" s="1491">
        <v>36.049684999999997</v>
      </c>
    </row>
    <row r="199" spans="1:65">
      <c r="A199" s="409" t="s">
        <v>29</v>
      </c>
      <c r="B199" s="1491">
        <v>16925.156999999999</v>
      </c>
      <c r="C199" s="2024">
        <v>13339.638999999999</v>
      </c>
      <c r="D199" s="1491">
        <v>3655.0920000000001</v>
      </c>
      <c r="E199" s="1491">
        <v>2880.8829999999998</v>
      </c>
      <c r="F199" s="1491">
        <v>8173.4979999999996</v>
      </c>
      <c r="G199" s="1491">
        <v>2215.6840000000002</v>
      </c>
      <c r="H199" s="1491">
        <v>134246.057</v>
      </c>
      <c r="I199" s="1491">
        <v>10119.95295646</v>
      </c>
      <c r="J199" s="1491">
        <v>15974.851000000001</v>
      </c>
      <c r="K199" s="1491">
        <v>3847.5410133800001</v>
      </c>
      <c r="L199" s="1491">
        <v>33.088999999999999</v>
      </c>
      <c r="M199" s="1491">
        <v>206.80871805999999</v>
      </c>
      <c r="N199" s="1491">
        <v>2.274</v>
      </c>
      <c r="O199" s="1491">
        <v>1.2416950200000001</v>
      </c>
      <c r="P199" s="1491">
        <v>43019.303999999996</v>
      </c>
      <c r="Q199" s="1491">
        <v>986.83675048999999</v>
      </c>
      <c r="R199" s="1491">
        <v>41440.684000000001</v>
      </c>
      <c r="S199" s="1491">
        <v>911.86311699999999</v>
      </c>
      <c r="T199" s="1491">
        <v>69565.247000000003</v>
      </c>
      <c r="U199" s="1491">
        <v>4801.2413682200004</v>
      </c>
      <c r="V199" s="1491">
        <v>106.73699999999999</v>
      </c>
      <c r="W199" s="1495">
        <v>8.5007699999999993</v>
      </c>
      <c r="X199" s="1492">
        <v>5544.5550000000003</v>
      </c>
      <c r="Y199" s="1492">
        <v>267.78264000000001</v>
      </c>
      <c r="Z199" s="1492">
        <v>55.515999999999998</v>
      </c>
      <c r="AA199" s="1492">
        <v>14.756081</v>
      </c>
      <c r="AB199" s="1492">
        <v>5489</v>
      </c>
      <c r="AC199" s="1492">
        <v>253.02655799999999</v>
      </c>
      <c r="AD199" s="1492">
        <v>122772.66899999999</v>
      </c>
      <c r="AE199" s="1492">
        <v>9465.6359570900004</v>
      </c>
      <c r="AF199" s="1492">
        <v>15414.527</v>
      </c>
      <c r="AG199" s="1492">
        <v>3722.0112247500001</v>
      </c>
      <c r="AH199" s="1492">
        <v>37818.794000000002</v>
      </c>
      <c r="AI199" s="1492">
        <v>1019.30673996</v>
      </c>
      <c r="AJ199" s="1492">
        <v>36412.525999999998</v>
      </c>
      <c r="AK199" s="1492">
        <v>756.92291399999999</v>
      </c>
      <c r="AL199" s="1492">
        <v>64358.156000000003</v>
      </c>
      <c r="AM199" s="1492">
        <v>4476.6534219900004</v>
      </c>
      <c r="AN199" s="1492">
        <v>103.709</v>
      </c>
      <c r="AO199" s="1493">
        <v>8.0172410000000003</v>
      </c>
      <c r="AP199" s="1492">
        <v>5077.4830000000002</v>
      </c>
      <c r="AQ199" s="1492">
        <v>239.64732860000001</v>
      </c>
      <c r="AR199" s="1492">
        <v>53.86</v>
      </c>
      <c r="AS199" s="1492">
        <v>14.378038999999999</v>
      </c>
      <c r="AT199" s="1492">
        <v>5023.6229999999996</v>
      </c>
      <c r="AU199" s="1492">
        <v>225.26928799999999</v>
      </c>
      <c r="AV199" s="1492">
        <v>11473.388000000001</v>
      </c>
      <c r="AW199" s="1492">
        <v>654.31699936999996</v>
      </c>
      <c r="AX199" s="1492">
        <v>562.59799999999996</v>
      </c>
      <c r="AY199" s="1492">
        <v>126.77148364999999</v>
      </c>
      <c r="AZ199" s="1492">
        <v>5233.5990000000002</v>
      </c>
      <c r="BA199" s="1492">
        <v>174.33872858999999</v>
      </c>
      <c r="BB199" s="1492">
        <v>5028.1580000000004</v>
      </c>
      <c r="BC199" s="1492">
        <v>154.940203</v>
      </c>
      <c r="BD199" s="1492">
        <v>5207.0910000000003</v>
      </c>
      <c r="BE199" s="1492">
        <v>324.58794623</v>
      </c>
      <c r="BF199" s="1494">
        <v>3.028</v>
      </c>
      <c r="BG199" s="1493">
        <v>0.48352899999999999</v>
      </c>
      <c r="BH199" s="1492">
        <v>467.072</v>
      </c>
      <c r="BI199" s="1491">
        <v>28.135311900000001</v>
      </c>
      <c r="BJ199" s="1493">
        <v>1.6559999999999999</v>
      </c>
      <c r="BK199" s="1493">
        <v>0.37804100000000002</v>
      </c>
      <c r="BL199" s="1492">
        <v>465.416</v>
      </c>
      <c r="BM199" s="1491">
        <v>27.757269999999998</v>
      </c>
    </row>
    <row r="200" spans="1:65">
      <c r="A200" s="409" t="s">
        <v>3971</v>
      </c>
      <c r="B200" s="1496">
        <v>19898.735000000001</v>
      </c>
      <c r="C200" s="2025">
        <v>16271.187</v>
      </c>
      <c r="D200" s="1496">
        <v>3381.3</v>
      </c>
      <c r="E200" s="1496">
        <v>2896.9769999999999</v>
      </c>
      <c r="F200" s="1496">
        <v>11364.099</v>
      </c>
      <c r="G200" s="1496">
        <v>2256.3589999999999</v>
      </c>
      <c r="H200" s="1496">
        <f>SUM(H201:H212)</f>
        <v>1899313.0729999999</v>
      </c>
      <c r="I200" s="1496">
        <f t="shared" ref="I200:BM200" si="38">SUM(I201:I212)</f>
        <v>126195.98845226002</v>
      </c>
      <c r="J200" s="1496">
        <f t="shared" si="38"/>
        <v>177315.19200000004</v>
      </c>
      <c r="K200" s="1496">
        <f t="shared" si="38"/>
        <v>41829.472320110006</v>
      </c>
      <c r="L200" s="1496">
        <f t="shared" si="38"/>
        <v>361.64400000000001</v>
      </c>
      <c r="M200" s="1496">
        <f t="shared" si="38"/>
        <v>2180.8110033399998</v>
      </c>
      <c r="N200" s="1496">
        <f t="shared" si="38"/>
        <v>19.845999999999997</v>
      </c>
      <c r="O200" s="1496">
        <f t="shared" si="38"/>
        <v>10.206181770000001</v>
      </c>
      <c r="P200" s="1496">
        <f t="shared" si="38"/>
        <v>621888.94299999997</v>
      </c>
      <c r="Q200" s="1496">
        <f t="shared" si="38"/>
        <v>12273.954585820002</v>
      </c>
      <c r="R200" s="1496">
        <f t="shared" si="38"/>
        <v>599823.45399999991</v>
      </c>
      <c r="S200" s="1496">
        <f t="shared" si="38"/>
        <v>11534.513827709998</v>
      </c>
      <c r="T200" s="1496">
        <f t="shared" si="38"/>
        <v>1033366.544</v>
      </c>
      <c r="U200" s="1496">
        <f t="shared" si="38"/>
        <v>66515.469995969979</v>
      </c>
      <c r="V200" s="1496">
        <f t="shared" si="38"/>
        <v>1176.6659999999999</v>
      </c>
      <c r="W200" s="1496">
        <f t="shared" si="38"/>
        <v>83.369740999999991</v>
      </c>
      <c r="X200" s="1496">
        <f t="shared" si="38"/>
        <v>65184.238000000005</v>
      </c>
      <c r="Y200" s="1496">
        <f t="shared" si="38"/>
        <v>3302.7040516000002</v>
      </c>
      <c r="Z200" s="1496">
        <f t="shared" si="38"/>
        <v>531.35899999999992</v>
      </c>
      <c r="AA200" s="1496">
        <f t="shared" si="38"/>
        <v>160.62193878000002</v>
      </c>
      <c r="AB200" s="1496">
        <f t="shared" si="38"/>
        <v>64653.183000000005</v>
      </c>
      <c r="AC200" s="1496">
        <f t="shared" si="38"/>
        <v>3141.4142548999998</v>
      </c>
      <c r="AD200" s="1496">
        <f t="shared" si="38"/>
        <v>1747292.6449999998</v>
      </c>
      <c r="AE200" s="1496">
        <f t="shared" si="38"/>
        <v>117411.88543416001</v>
      </c>
      <c r="AF200" s="1496">
        <f t="shared" si="38"/>
        <v>171451.141</v>
      </c>
      <c r="AG200" s="1496">
        <f t="shared" si="38"/>
        <v>40399.228694070007</v>
      </c>
      <c r="AH200" s="1496">
        <f t="shared" si="38"/>
        <v>549974.90299999993</v>
      </c>
      <c r="AI200" s="1496">
        <f t="shared" si="38"/>
        <v>12316.422983779999</v>
      </c>
      <c r="AJ200" s="1496">
        <f t="shared" si="38"/>
        <v>530142.54599999997</v>
      </c>
      <c r="AK200" s="1496">
        <f t="shared" si="38"/>
        <v>9607.4698661699986</v>
      </c>
      <c r="AL200" s="1496">
        <f t="shared" si="38"/>
        <v>964617.45399999991</v>
      </c>
      <c r="AM200" s="1496">
        <f t="shared" si="38"/>
        <v>61651.107438260005</v>
      </c>
      <c r="AN200" s="1496">
        <f t="shared" si="38"/>
        <v>1074.7359999999999</v>
      </c>
      <c r="AO200" s="1501">
        <f t="shared" si="38"/>
        <v>74.157358999999985</v>
      </c>
      <c r="AP200" s="1496">
        <f t="shared" si="38"/>
        <v>60174.411</v>
      </c>
      <c r="AQ200" s="1496">
        <f t="shared" si="38"/>
        <v>2970.9680759400003</v>
      </c>
      <c r="AR200" s="1496">
        <f t="shared" si="38"/>
        <v>514.09199999999998</v>
      </c>
      <c r="AS200" s="1496">
        <f t="shared" si="38"/>
        <v>156.47354738999999</v>
      </c>
      <c r="AT200" s="1496">
        <f t="shared" si="38"/>
        <v>59660.345000000001</v>
      </c>
      <c r="AU200" s="1496">
        <f t="shared" si="38"/>
        <v>2814.6646886799999</v>
      </c>
      <c r="AV200" s="1496">
        <f t="shared" si="38"/>
        <v>152020.42799999999</v>
      </c>
      <c r="AW200" s="1496">
        <f t="shared" si="38"/>
        <v>8784.10301746</v>
      </c>
      <c r="AX200" s="1496">
        <f t="shared" si="38"/>
        <v>5883.8969999999999</v>
      </c>
      <c r="AY200" s="1496">
        <f t="shared" si="38"/>
        <v>1440.4491914</v>
      </c>
      <c r="AZ200" s="1496">
        <f t="shared" si="38"/>
        <v>72275.684000000008</v>
      </c>
      <c r="BA200" s="1496">
        <f t="shared" si="38"/>
        <v>2138.3426042799997</v>
      </c>
      <c r="BB200" s="1496">
        <f t="shared" si="38"/>
        <v>69680.907999999996</v>
      </c>
      <c r="BC200" s="1496">
        <f t="shared" si="38"/>
        <v>1924.04456854</v>
      </c>
      <c r="BD200" s="1496">
        <f t="shared" si="38"/>
        <v>68749.09</v>
      </c>
      <c r="BE200" s="1496">
        <f t="shared" si="38"/>
        <v>4864.3625571499997</v>
      </c>
      <c r="BF200" s="1436">
        <f t="shared" si="38"/>
        <v>101.93</v>
      </c>
      <c r="BG200" s="1501">
        <f t="shared" si="38"/>
        <v>9.2120709999999999</v>
      </c>
      <c r="BH200" s="1496">
        <f t="shared" si="38"/>
        <v>5009.8270000000002</v>
      </c>
      <c r="BI200" s="1496">
        <f t="shared" si="38"/>
        <v>331.73597619000003</v>
      </c>
      <c r="BJ200" s="1501">
        <f t="shared" si="38"/>
        <v>17.267000000000003</v>
      </c>
      <c r="BK200" s="1501">
        <f t="shared" si="38"/>
        <v>5.0405623899999989</v>
      </c>
      <c r="BL200" s="1496">
        <f t="shared" si="38"/>
        <v>4992.58</v>
      </c>
      <c r="BM200" s="1496">
        <f t="shared" si="38"/>
        <v>326.21749307000005</v>
      </c>
    </row>
    <row r="201" spans="1:65">
      <c r="A201" s="409" t="s">
        <v>18</v>
      </c>
      <c r="B201" s="1491">
        <v>17240.879000000001</v>
      </c>
      <c r="C201" s="2024">
        <v>13591.007</v>
      </c>
      <c r="D201" s="1491">
        <v>3659.1370000000002</v>
      </c>
      <c r="E201" s="1491">
        <v>2898.029</v>
      </c>
      <c r="F201" s="1491">
        <v>8446.0720000000001</v>
      </c>
      <c r="G201" s="1491">
        <v>2237.6410000000001</v>
      </c>
      <c r="H201" s="1491">
        <v>128022.59600000001</v>
      </c>
      <c r="I201" s="1491">
        <v>8251.6287882199995</v>
      </c>
      <c r="J201" s="1491">
        <v>13106.066000000001</v>
      </c>
      <c r="K201" s="1491">
        <v>2808.1479143800002</v>
      </c>
      <c r="L201" s="1491">
        <v>23.423999999999999</v>
      </c>
      <c r="M201" s="1491">
        <v>138.89240580000001</v>
      </c>
      <c r="N201" s="1491">
        <v>1.3169999999999999</v>
      </c>
      <c r="O201" s="1491">
        <v>0.62872015000000003</v>
      </c>
      <c r="P201" s="1491">
        <v>43106.97</v>
      </c>
      <c r="Q201" s="1491">
        <v>929.59673467000005</v>
      </c>
      <c r="R201" s="1491">
        <v>41571.517</v>
      </c>
      <c r="S201" s="1491">
        <v>869.75741900000003</v>
      </c>
      <c r="T201" s="1491">
        <v>66298.294999999998</v>
      </c>
      <c r="U201" s="1491">
        <v>4094.4949632500002</v>
      </c>
      <c r="V201" s="1491">
        <v>92.015000000000001</v>
      </c>
      <c r="W201" s="1495">
        <v>7.2034479999999999</v>
      </c>
      <c r="X201" s="1492">
        <v>5394.509</v>
      </c>
      <c r="Y201" s="1492">
        <v>272.66460143</v>
      </c>
      <c r="Z201" s="1492">
        <v>50.646999999999998</v>
      </c>
      <c r="AA201" s="1492">
        <v>14.161599000000001</v>
      </c>
      <c r="AB201" s="1492">
        <v>5343.8620000000001</v>
      </c>
      <c r="AC201" s="1492">
        <v>258.50300199999998</v>
      </c>
      <c r="AD201" s="1492">
        <v>116600.82799999999</v>
      </c>
      <c r="AE201" s="1492">
        <v>7631.85175058</v>
      </c>
      <c r="AF201" s="1492">
        <v>12561.855</v>
      </c>
      <c r="AG201" s="1492">
        <v>2695.2850181200001</v>
      </c>
      <c r="AH201" s="1492">
        <v>37800.224999999999</v>
      </c>
      <c r="AI201" s="1492">
        <v>903.81985429999997</v>
      </c>
      <c r="AJ201" s="1492">
        <v>36439.625999999997</v>
      </c>
      <c r="AK201" s="1492">
        <v>721.34299699999997</v>
      </c>
      <c r="AL201" s="1492">
        <v>61205.464</v>
      </c>
      <c r="AM201" s="1492">
        <v>3782.1262262</v>
      </c>
      <c r="AN201" s="1492">
        <v>86.744</v>
      </c>
      <c r="AO201" s="1493">
        <v>6.710674</v>
      </c>
      <c r="AP201" s="1492">
        <v>4946.54</v>
      </c>
      <c r="AQ201" s="1492">
        <v>243.90997741999999</v>
      </c>
      <c r="AR201" s="1492">
        <v>49.24</v>
      </c>
      <c r="AS201" s="1492">
        <v>13.792495000000001</v>
      </c>
      <c r="AT201" s="1492">
        <v>4897.3</v>
      </c>
      <c r="AU201" s="1492">
        <v>230.117481</v>
      </c>
      <c r="AV201" s="1492">
        <v>11421.768</v>
      </c>
      <c r="AW201" s="1492">
        <v>619.77703699999995</v>
      </c>
      <c r="AX201" s="1492">
        <v>545.52800000000002</v>
      </c>
      <c r="AY201" s="1492">
        <v>113.491</v>
      </c>
      <c r="AZ201" s="1492">
        <v>5330.1689999999999</v>
      </c>
      <c r="BA201" s="1492">
        <v>164.669286</v>
      </c>
      <c r="BB201" s="1492">
        <v>5131.8909999999996</v>
      </c>
      <c r="BC201" s="1492">
        <v>148.414421</v>
      </c>
      <c r="BD201" s="1492">
        <v>5092.8310000000001</v>
      </c>
      <c r="BE201" s="1492">
        <v>312.36873700000001</v>
      </c>
      <c r="BF201" s="1494">
        <v>5.2709999999999999</v>
      </c>
      <c r="BG201" s="1493">
        <v>0.49277399999999999</v>
      </c>
      <c r="BH201" s="1492">
        <v>447.96899999999999</v>
      </c>
      <c r="BI201" s="1491">
        <v>28.754624</v>
      </c>
      <c r="BJ201" s="1493">
        <v>1.407</v>
      </c>
      <c r="BK201" s="1493">
        <v>0.36910300000000001</v>
      </c>
      <c r="BL201" s="1492">
        <v>446.56200000000001</v>
      </c>
      <c r="BM201" s="1491">
        <v>28.38552</v>
      </c>
    </row>
    <row r="202" spans="1:65">
      <c r="A202" s="409" t="s">
        <v>19</v>
      </c>
      <c r="B202" s="1491">
        <v>17342.636999999999</v>
      </c>
      <c r="C202" s="2024">
        <v>13842.178</v>
      </c>
      <c r="D202" s="1491">
        <v>3471.2489999999998</v>
      </c>
      <c r="E202" s="1491">
        <v>2900.346</v>
      </c>
      <c r="F202" s="1491">
        <v>8708.8950000000004</v>
      </c>
      <c r="G202" s="1491">
        <v>2262.1469999999999</v>
      </c>
      <c r="H202" s="1491">
        <v>130233.92600000001</v>
      </c>
      <c r="I202" s="1491">
        <v>9247.7897132800008</v>
      </c>
      <c r="J202" s="1491">
        <v>14055.991</v>
      </c>
      <c r="K202" s="1491">
        <v>3367.66686884</v>
      </c>
      <c r="L202" s="1491">
        <v>28</v>
      </c>
      <c r="M202" s="1491">
        <v>172.01761349</v>
      </c>
      <c r="N202" s="1491">
        <v>1.196</v>
      </c>
      <c r="O202" s="1491">
        <v>0.55355178000000005</v>
      </c>
      <c r="P202" s="1491">
        <v>43229.31</v>
      </c>
      <c r="Q202" s="1491">
        <v>897.10463142000003</v>
      </c>
      <c r="R202" s="1491">
        <v>41698.355000000003</v>
      </c>
      <c r="S202" s="1491">
        <v>838.90421500000002</v>
      </c>
      <c r="T202" s="1491">
        <v>67945.843999999997</v>
      </c>
      <c r="U202" s="1491">
        <v>4561.5483667799999</v>
      </c>
      <c r="V202" s="1491">
        <v>100.953</v>
      </c>
      <c r="W202" s="1495">
        <v>8.4512689999999999</v>
      </c>
      <c r="X202" s="1492">
        <v>4872.6319999999996</v>
      </c>
      <c r="Y202" s="1492">
        <v>240.44741196999999</v>
      </c>
      <c r="Z202" s="1492">
        <v>42.37</v>
      </c>
      <c r="AA202" s="1492">
        <v>13</v>
      </c>
      <c r="AB202" s="1492">
        <v>4830.2619999999997</v>
      </c>
      <c r="AC202" s="1492">
        <v>226.55299600000001</v>
      </c>
      <c r="AD202" s="1492">
        <v>118998.39</v>
      </c>
      <c r="AE202" s="1492">
        <v>8623.2064046699998</v>
      </c>
      <c r="AF202" s="1492">
        <v>13535.518</v>
      </c>
      <c r="AG202" s="1492">
        <v>3249.90716041</v>
      </c>
      <c r="AH202" s="1492">
        <v>37965.358</v>
      </c>
      <c r="AI202" s="1492">
        <v>911.26340755000001</v>
      </c>
      <c r="AJ202" s="1492">
        <v>36601.177000000003</v>
      </c>
      <c r="AK202" s="1492">
        <v>697.38775099999998</v>
      </c>
      <c r="AL202" s="1492">
        <v>62936.499000000003</v>
      </c>
      <c r="AM202" s="1492">
        <v>4238.3767421800003</v>
      </c>
      <c r="AN202" s="1492">
        <v>92.819000000000003</v>
      </c>
      <c r="AO202" s="1493">
        <v>7.7505649999999999</v>
      </c>
      <c r="AP202" s="1492">
        <v>4468.1959999999999</v>
      </c>
      <c r="AQ202" s="1492">
        <v>215.90852953000001</v>
      </c>
      <c r="AR202" s="1492">
        <v>41.238999999999997</v>
      </c>
      <c r="AS202" s="1492">
        <v>13.545</v>
      </c>
      <c r="AT202" s="1492">
        <v>4426.9570000000003</v>
      </c>
      <c r="AU202" s="1492">
        <v>202.36328900000001</v>
      </c>
      <c r="AV202" s="1492">
        <v>11235.536</v>
      </c>
      <c r="AW202" s="1492">
        <v>624.58330861000002</v>
      </c>
      <c r="AX202" s="1492">
        <v>521.66899999999998</v>
      </c>
      <c r="AY202" s="1492">
        <v>118.31326021</v>
      </c>
      <c r="AZ202" s="1492">
        <v>5291.9520000000002</v>
      </c>
      <c r="BA202" s="1492">
        <v>157.85883736</v>
      </c>
      <c r="BB202" s="1492">
        <v>5097.1779999999999</v>
      </c>
      <c r="BC202" s="1492">
        <v>141.51646400000001</v>
      </c>
      <c r="BD202" s="1492">
        <v>5009.3450000000003</v>
      </c>
      <c r="BE202" s="1492">
        <v>323.17162459999997</v>
      </c>
      <c r="BF202" s="1494">
        <v>8.1340000000000003</v>
      </c>
      <c r="BG202" s="1493">
        <v>0.70070399999999999</v>
      </c>
      <c r="BH202" s="1492">
        <v>404.43599999999998</v>
      </c>
      <c r="BI202" s="1491">
        <v>24.538882439999998</v>
      </c>
      <c r="BJ202" s="1493">
        <v>1.131</v>
      </c>
      <c r="BK202" s="1493">
        <v>0.34917500000000001</v>
      </c>
      <c r="BL202" s="1492">
        <v>403.30500000000001</v>
      </c>
      <c r="BM202" s="1491">
        <v>24.189706999999999</v>
      </c>
    </row>
    <row r="203" spans="1:65">
      <c r="A203" s="409" t="s">
        <v>20</v>
      </c>
      <c r="B203" s="1491">
        <v>17421.128000000001</v>
      </c>
      <c r="C203" s="2024">
        <v>14032.291999999999</v>
      </c>
      <c r="D203" s="1491">
        <v>3442.6149999999998</v>
      </c>
      <c r="E203" s="1491">
        <v>2736.123</v>
      </c>
      <c r="F203" s="1491">
        <v>8964.5959999999995</v>
      </c>
      <c r="G203" s="1491">
        <v>2277.7939999999999</v>
      </c>
      <c r="H203" s="1491">
        <v>135880.701</v>
      </c>
      <c r="I203" s="1491">
        <v>9551.3584319099991</v>
      </c>
      <c r="J203" s="1491">
        <v>14553.489</v>
      </c>
      <c r="K203" s="1491">
        <v>3422.1057780400001</v>
      </c>
      <c r="L203" s="1491">
        <v>26.673999999999999</v>
      </c>
      <c r="M203" s="1491">
        <v>148.67584891999999</v>
      </c>
      <c r="N203" s="1491">
        <v>1.294</v>
      </c>
      <c r="O203" s="1491">
        <v>0.81360544999999995</v>
      </c>
      <c r="P203" s="1491">
        <v>44386.892</v>
      </c>
      <c r="Q203" s="1491">
        <v>951.82234559000005</v>
      </c>
      <c r="R203" s="1491">
        <v>42838.800999999999</v>
      </c>
      <c r="S203" s="1491">
        <v>891.19908799999996</v>
      </c>
      <c r="T203" s="1491">
        <v>71448.247000000003</v>
      </c>
      <c r="U203" s="1491">
        <v>4736.8556398199999</v>
      </c>
      <c r="V203" s="1491">
        <v>88.06</v>
      </c>
      <c r="W203" s="1495">
        <v>7.8845039999999997</v>
      </c>
      <c r="X203" s="1492">
        <v>5376.0450000000001</v>
      </c>
      <c r="Y203" s="1492">
        <v>283.20070944999998</v>
      </c>
      <c r="Z203" s="1492">
        <v>44.335000000000001</v>
      </c>
      <c r="AA203" s="1492">
        <v>13.177362</v>
      </c>
      <c r="AB203" s="1492">
        <v>5332</v>
      </c>
      <c r="AC203" s="1492">
        <v>270</v>
      </c>
      <c r="AD203" s="1492">
        <v>124543.80899999999</v>
      </c>
      <c r="AE203" s="1492">
        <v>8906.4118397099992</v>
      </c>
      <c r="AF203" s="1492">
        <v>14055.752</v>
      </c>
      <c r="AG203" s="1492">
        <v>3310.7209714599999</v>
      </c>
      <c r="AH203" s="1492">
        <v>39084.516000000003</v>
      </c>
      <c r="AI203" s="1492">
        <v>928.57251151000003</v>
      </c>
      <c r="AJ203" s="1492">
        <v>37706.993999999999</v>
      </c>
      <c r="AK203" s="1492">
        <v>736.48703799999998</v>
      </c>
      <c r="AL203" s="1492">
        <v>66393.358999999997</v>
      </c>
      <c r="AM203" s="1492">
        <v>4407.6126897000004</v>
      </c>
      <c r="AN203" s="1492">
        <v>80.245999999999995</v>
      </c>
      <c r="AO203" s="1493">
        <v>7.1934959999999997</v>
      </c>
      <c r="AP203" s="1492">
        <v>4929.9359999999997</v>
      </c>
      <c r="AQ203" s="1492">
        <v>252.31217040000001</v>
      </c>
      <c r="AR203" s="1492">
        <v>42.95</v>
      </c>
      <c r="AS203" s="1492">
        <v>12.756135</v>
      </c>
      <c r="AT203" s="1492">
        <v>4887</v>
      </c>
      <c r="AU203" s="1492">
        <v>240</v>
      </c>
      <c r="AV203" s="1492">
        <v>11336.892</v>
      </c>
      <c r="AW203" s="1492">
        <v>644.94659220000005</v>
      </c>
      <c r="AX203" s="1492">
        <v>499.03100000000001</v>
      </c>
      <c r="AY203" s="1492">
        <v>112.19841203</v>
      </c>
      <c r="AZ203" s="1492">
        <v>5329.05</v>
      </c>
      <c r="BA203" s="1492">
        <v>171.92568299999999</v>
      </c>
      <c r="BB203" s="1492">
        <v>5131.8069999999998</v>
      </c>
      <c r="BC203" s="1492">
        <v>154.71204900000001</v>
      </c>
      <c r="BD203" s="1492">
        <v>5054.8879999999999</v>
      </c>
      <c r="BE203" s="1492">
        <v>329.24295011999999</v>
      </c>
      <c r="BF203" s="1494">
        <v>7.8140000000000001</v>
      </c>
      <c r="BG203" s="1493">
        <v>0.69100799999999996</v>
      </c>
      <c r="BH203" s="1492">
        <v>446.10899999999998</v>
      </c>
      <c r="BI203" s="1491">
        <v>30.888539049999999</v>
      </c>
      <c r="BJ203" s="1493">
        <v>1.385</v>
      </c>
      <c r="BK203" s="1493">
        <v>0.42122700000000002</v>
      </c>
      <c r="BL203" s="1492">
        <v>444.72399999999999</v>
      </c>
      <c r="BM203" s="1491">
        <v>30.467312</v>
      </c>
    </row>
    <row r="204" spans="1:65">
      <c r="A204" s="409" t="s">
        <v>21</v>
      </c>
      <c r="B204" s="1491">
        <v>17675.794999999998</v>
      </c>
      <c r="C204" s="2024">
        <v>14304.451999999999</v>
      </c>
      <c r="D204" s="1491">
        <v>3448.9589999999998</v>
      </c>
      <c r="E204" s="1491">
        <v>2741.027</v>
      </c>
      <c r="F204" s="1491">
        <v>9195.9500000000007</v>
      </c>
      <c r="G204" s="1491">
        <v>2289.8589999999999</v>
      </c>
      <c r="H204" s="1491">
        <v>151007.55799999999</v>
      </c>
      <c r="I204" s="1491">
        <v>10019.40798656</v>
      </c>
      <c r="J204" s="1491">
        <v>15344.819</v>
      </c>
      <c r="K204" s="1491">
        <v>3435.2891892399998</v>
      </c>
      <c r="L204" s="1491">
        <v>29.478000000000002</v>
      </c>
      <c r="M204" s="1491">
        <v>177.12103629999999</v>
      </c>
      <c r="N204" s="1491">
        <v>1.601</v>
      </c>
      <c r="O204" s="1491">
        <v>1.05659181</v>
      </c>
      <c r="P204" s="1491">
        <v>51012.83</v>
      </c>
      <c r="Q204" s="1491">
        <v>989.77210449999995</v>
      </c>
      <c r="R204" s="1491">
        <v>49001.620999999999</v>
      </c>
      <c r="S204" s="1491">
        <v>923.33678699999996</v>
      </c>
      <c r="T204" s="1491">
        <v>79270</v>
      </c>
      <c r="U204" s="1491">
        <v>5148.53078267</v>
      </c>
      <c r="V204" s="1491">
        <v>112.578</v>
      </c>
      <c r="W204" s="1495">
        <v>8.2738250000000004</v>
      </c>
      <c r="X204" s="1492">
        <v>5236.2520000000004</v>
      </c>
      <c r="Y204" s="1492">
        <v>259.36445600000002</v>
      </c>
      <c r="Z204" s="1492">
        <v>46.234000000000002</v>
      </c>
      <c r="AA204" s="1492">
        <v>13.593838</v>
      </c>
      <c r="AB204" s="1492">
        <v>5190</v>
      </c>
      <c r="AC204" s="1492">
        <v>245.77</v>
      </c>
      <c r="AD204" s="1492">
        <v>138371.81</v>
      </c>
      <c r="AE204" s="1492">
        <v>9329.0011820100008</v>
      </c>
      <c r="AF204" s="1492">
        <v>14787.579</v>
      </c>
      <c r="AG204" s="1492">
        <v>3310.1489826900001</v>
      </c>
      <c r="AH204" s="1492">
        <v>44885.591</v>
      </c>
      <c r="AI204" s="1492">
        <v>992.27057160000004</v>
      </c>
      <c r="AJ204" s="1492">
        <v>43084.123</v>
      </c>
      <c r="AK204" s="1492">
        <v>766.36503000000005</v>
      </c>
      <c r="AL204" s="1492">
        <v>73759.456999999995</v>
      </c>
      <c r="AM204" s="1492">
        <v>4786.2251858700001</v>
      </c>
      <c r="AN204" s="1492">
        <v>103.765</v>
      </c>
      <c r="AO204" s="1493">
        <v>7.4828840000000003</v>
      </c>
      <c r="AP204" s="1492">
        <v>4835.4179999999997</v>
      </c>
      <c r="AQ204" s="1492">
        <v>232.87355692</v>
      </c>
      <c r="AR204" s="1492">
        <v>44.826999999999998</v>
      </c>
      <c r="AS204" s="1492">
        <v>13.180488</v>
      </c>
      <c r="AT204" s="1492">
        <v>4790.5909999999994</v>
      </c>
      <c r="AU204" s="1492">
        <v>219.69306700000001</v>
      </c>
      <c r="AV204" s="1492">
        <v>12635.748</v>
      </c>
      <c r="AW204" s="1492">
        <v>690.40680454999995</v>
      </c>
      <c r="AX204" s="1492">
        <v>558.84100000000001</v>
      </c>
      <c r="AY204" s="1492">
        <v>126.19679836</v>
      </c>
      <c r="AZ204" s="1492">
        <v>6156.7169999999996</v>
      </c>
      <c r="BA204" s="1492">
        <v>174.62256919999999</v>
      </c>
      <c r="BB204" s="1492">
        <v>5917.4979999999996</v>
      </c>
      <c r="BC204" s="1492">
        <v>156.971757</v>
      </c>
      <c r="BD204" s="1492">
        <v>5510.5429999999997</v>
      </c>
      <c r="BE204" s="1492">
        <v>362.30559679999999</v>
      </c>
      <c r="BF204" s="1494">
        <v>8.8130000000000006</v>
      </c>
      <c r="BG204" s="1493">
        <v>0.79094100000000001</v>
      </c>
      <c r="BH204" s="1492">
        <v>400.834</v>
      </c>
      <c r="BI204" s="1491">
        <v>26.49089919</v>
      </c>
      <c r="BJ204" s="1493">
        <v>1.407</v>
      </c>
      <c r="BK204" s="1493">
        <v>0.41334900000000002</v>
      </c>
      <c r="BL204" s="1492">
        <v>399.42700000000002</v>
      </c>
      <c r="BM204" s="1491">
        <v>26.077549999999999</v>
      </c>
    </row>
    <row r="205" spans="1:65">
      <c r="A205" s="409" t="s">
        <v>22</v>
      </c>
      <c r="B205" s="1491">
        <v>17866.956999999999</v>
      </c>
      <c r="C205" s="2024">
        <v>14479.852999999999</v>
      </c>
      <c r="D205" s="1491">
        <v>3428.8380000000002</v>
      </c>
      <c r="E205" s="1491">
        <v>2722.9270000000001</v>
      </c>
      <c r="F205" s="1491">
        <v>9433.1139999999996</v>
      </c>
      <c r="G205" s="1491">
        <v>2282.078</v>
      </c>
      <c r="H205" s="1491">
        <v>155719.47500000001</v>
      </c>
      <c r="I205" s="1491">
        <v>10215.770695450001</v>
      </c>
      <c r="J205" s="1491">
        <v>15356.949000000001</v>
      </c>
      <c r="K205" s="1491">
        <v>3505.0372305400001</v>
      </c>
      <c r="L205" s="1491">
        <v>30.321000000000002</v>
      </c>
      <c r="M205" s="1491">
        <v>188.95713867000001</v>
      </c>
      <c r="N205" s="1491">
        <v>1.337</v>
      </c>
      <c r="O205" s="1491">
        <v>0.70281190000000004</v>
      </c>
      <c r="P205" s="1491">
        <v>53092.252</v>
      </c>
      <c r="Q205" s="1491">
        <v>1003.34409433</v>
      </c>
      <c r="R205" s="1491">
        <v>51291.69</v>
      </c>
      <c r="S205" s="1491">
        <v>948.43000900000004</v>
      </c>
      <c r="T205" s="1491">
        <v>81847.392999999996</v>
      </c>
      <c r="U205" s="1491">
        <v>5245.6337196000004</v>
      </c>
      <c r="V205" s="1491">
        <v>115.57599999999999</v>
      </c>
      <c r="W205" s="1495">
        <v>9.0691600000000001</v>
      </c>
      <c r="X205" s="1492">
        <v>5275.6469999999999</v>
      </c>
      <c r="Y205" s="1492">
        <v>263.02654000000001</v>
      </c>
      <c r="Z205" s="1492">
        <v>46.976999999999997</v>
      </c>
      <c r="AA205" s="1492">
        <v>14.053424</v>
      </c>
      <c r="AB205" s="1492">
        <v>5228.67</v>
      </c>
      <c r="AC205" s="1492">
        <v>248.97311500000001</v>
      </c>
      <c r="AD205" s="1492">
        <v>142887.56200000001</v>
      </c>
      <c r="AE205" s="1492">
        <v>9514.4745656100004</v>
      </c>
      <c r="AF205" s="1492">
        <v>14832.236999999999</v>
      </c>
      <c r="AG205" s="1492">
        <v>3378.7460690399998</v>
      </c>
      <c r="AH205" s="1492">
        <v>46810.639000000003</v>
      </c>
      <c r="AI205" s="1492">
        <v>1017.01111056</v>
      </c>
      <c r="AJ205" s="1492">
        <v>45199.328000000001</v>
      </c>
      <c r="AK205" s="1492">
        <v>791.04558799999995</v>
      </c>
      <c r="AL205" s="1492">
        <v>76278.057000000001</v>
      </c>
      <c r="AM205" s="1492">
        <v>4874.2527434499998</v>
      </c>
      <c r="AN205" s="1492">
        <v>105.18300000000001</v>
      </c>
      <c r="AO205" s="1493">
        <v>8.1601909999999993</v>
      </c>
      <c r="AP205" s="1492">
        <v>4861.4459999999999</v>
      </c>
      <c r="AQ205" s="1492">
        <v>236.30445155999999</v>
      </c>
      <c r="AR205" s="1492">
        <v>45.473999999999997</v>
      </c>
      <c r="AS205" s="1492">
        <v>13.552671</v>
      </c>
      <c r="AT205" s="1492">
        <v>4815.9719999999998</v>
      </c>
      <c r="AU205" s="1492">
        <v>222.75178</v>
      </c>
      <c r="AV205" s="1492">
        <v>12831.913</v>
      </c>
      <c r="AW205" s="1492">
        <v>701.29612984000005</v>
      </c>
      <c r="AX205" s="1492">
        <v>526.04899999999998</v>
      </c>
      <c r="AY205" s="1492">
        <v>126.9939734</v>
      </c>
      <c r="AZ205" s="1492">
        <v>6311.9340000000002</v>
      </c>
      <c r="BA205" s="1492">
        <v>175.29012244</v>
      </c>
      <c r="BB205" s="1492">
        <v>6092.3620000000001</v>
      </c>
      <c r="BC205" s="1492">
        <v>157.38442000000001</v>
      </c>
      <c r="BD205" s="1492">
        <v>5569.3360000000002</v>
      </c>
      <c r="BE205" s="1492">
        <v>371.38097614999998</v>
      </c>
      <c r="BF205" s="1494">
        <v>10.393000000000001</v>
      </c>
      <c r="BG205" s="1493">
        <v>0.90896900000000003</v>
      </c>
      <c r="BH205" s="1492">
        <v>414.20100000000002</v>
      </c>
      <c r="BI205" s="1491">
        <v>26.722088849999999</v>
      </c>
      <c r="BJ205" s="1493">
        <v>1.5029999999999999</v>
      </c>
      <c r="BK205" s="1493">
        <v>0.500753</v>
      </c>
      <c r="BL205" s="1492">
        <v>412.69799999999998</v>
      </c>
      <c r="BM205" s="1491">
        <v>26.221335</v>
      </c>
    </row>
    <row r="206" spans="1:65">
      <c r="A206" s="409" t="s">
        <v>23</v>
      </c>
      <c r="B206" s="1491">
        <v>18091.272000000001</v>
      </c>
      <c r="C206" s="2024">
        <v>14685.695</v>
      </c>
      <c r="D206" s="1491">
        <v>3439.7269999999999</v>
      </c>
      <c r="E206" s="1491">
        <v>2764.828</v>
      </c>
      <c r="F206" s="1491">
        <v>9611.652</v>
      </c>
      <c r="G206" s="1491">
        <v>2275.0650000000001</v>
      </c>
      <c r="H206" s="1491">
        <v>147665.94699999999</v>
      </c>
      <c r="I206" s="1491">
        <v>9824.2048858500002</v>
      </c>
      <c r="J206" s="1491">
        <v>14140.335999999999</v>
      </c>
      <c r="K206" s="1491">
        <v>3331.8697662099999</v>
      </c>
      <c r="L206" s="1491">
        <v>26.327999999999999</v>
      </c>
      <c r="M206" s="1491">
        <v>160.18342071000001</v>
      </c>
      <c r="N206" s="1491">
        <v>1.212</v>
      </c>
      <c r="O206" s="1491">
        <v>0.66294832000000004</v>
      </c>
      <c r="P206" s="1491">
        <v>50481.726000000002</v>
      </c>
      <c r="Q206" s="1491">
        <v>972.47908741000003</v>
      </c>
      <c r="R206" s="1491">
        <v>48494.623</v>
      </c>
      <c r="S206" s="1491">
        <v>908.93253871000002</v>
      </c>
      <c r="T206" s="1491">
        <v>78485.039000000004</v>
      </c>
      <c r="U206" s="1491">
        <v>5122.4459234400001</v>
      </c>
      <c r="V206" s="1491">
        <v>90.409000000000006</v>
      </c>
      <c r="W206" s="1495">
        <v>7.1860280000000003</v>
      </c>
      <c r="X206" s="1492">
        <v>4440.8969999999999</v>
      </c>
      <c r="Y206" s="1492">
        <v>229.37771176000001</v>
      </c>
      <c r="Z206" s="1492">
        <v>41.058999999999997</v>
      </c>
      <c r="AA206" s="1492">
        <v>11.72933806</v>
      </c>
      <c r="AB206" s="1492">
        <v>4399.8379999999997</v>
      </c>
      <c r="AC206" s="1492">
        <v>217.64837370000001</v>
      </c>
      <c r="AD206" s="1492">
        <v>135796.321</v>
      </c>
      <c r="AE206" s="1492">
        <v>9155.2474534499997</v>
      </c>
      <c r="AF206" s="1492">
        <v>13670.745000000001</v>
      </c>
      <c r="AG206" s="1492">
        <v>3217.5073831899999</v>
      </c>
      <c r="AH206" s="1492">
        <v>44712.983999999997</v>
      </c>
      <c r="AI206" s="1492">
        <v>963.66814110999997</v>
      </c>
      <c r="AJ206" s="1492">
        <v>42933.173999999999</v>
      </c>
      <c r="AK206" s="1492">
        <v>757.76627916999996</v>
      </c>
      <c r="AL206" s="1492">
        <v>73234.323999999993</v>
      </c>
      <c r="AM206" s="1492">
        <v>4761.9673424900002</v>
      </c>
      <c r="AN206" s="1492">
        <v>83.292000000000002</v>
      </c>
      <c r="AO206" s="1493">
        <v>6.3898739999999998</v>
      </c>
      <c r="AP206" s="1492">
        <v>4094.9760000000001</v>
      </c>
      <c r="AQ206" s="1492">
        <v>205.71471266</v>
      </c>
      <c r="AR206" s="1492">
        <v>39.755000000000003</v>
      </c>
      <c r="AS206" s="1492">
        <v>11.390462710000001</v>
      </c>
      <c r="AT206" s="1492">
        <v>4055.2209999999995</v>
      </c>
      <c r="AU206" s="1492">
        <v>194.32424995</v>
      </c>
      <c r="AV206" s="1492">
        <v>11869.626</v>
      </c>
      <c r="AW206" s="1492">
        <v>668.95743240000002</v>
      </c>
      <c r="AX206" s="1492">
        <v>470.803</v>
      </c>
      <c r="AY206" s="1492">
        <v>115.02533133999999</v>
      </c>
      <c r="AZ206" s="1492">
        <v>5795.07</v>
      </c>
      <c r="BA206" s="1492">
        <v>168.99436700999999</v>
      </c>
      <c r="BB206" s="1492">
        <v>5561.4489999999996</v>
      </c>
      <c r="BC206" s="1492">
        <v>151.16625954</v>
      </c>
      <c r="BD206" s="1492">
        <v>5250.7150000000001</v>
      </c>
      <c r="BE206" s="1492">
        <v>360.47858094999998</v>
      </c>
      <c r="BF206" s="1494">
        <v>7.117</v>
      </c>
      <c r="BG206" s="1493">
        <v>0.79615400000000003</v>
      </c>
      <c r="BH206" s="1492">
        <v>345.92099999999999</v>
      </c>
      <c r="BI206" s="1491">
        <v>23.6629991</v>
      </c>
      <c r="BJ206" s="1493">
        <v>1.304</v>
      </c>
      <c r="BK206" s="1493">
        <v>0.33887534999999996</v>
      </c>
      <c r="BL206" s="1492">
        <v>344.61699999999996</v>
      </c>
      <c r="BM206" s="1491">
        <v>23.324123749999998</v>
      </c>
    </row>
    <row r="207" spans="1:65">
      <c r="A207" s="409" t="s">
        <v>24</v>
      </c>
      <c r="B207" s="1491">
        <v>18340.32</v>
      </c>
      <c r="C207" s="2024">
        <v>14911.91</v>
      </c>
      <c r="D207" s="1491">
        <v>3400.723</v>
      </c>
      <c r="E207" s="1491">
        <v>2786.1239999999998</v>
      </c>
      <c r="F207" s="1491">
        <v>9867.23</v>
      </c>
      <c r="G207" s="1491">
        <v>2286.2429999999999</v>
      </c>
      <c r="H207" s="1491">
        <v>172011.85800000001</v>
      </c>
      <c r="I207" s="1491">
        <v>11681.443472860001</v>
      </c>
      <c r="J207" s="1491">
        <v>15838.614</v>
      </c>
      <c r="K207" s="1491">
        <v>3880.82785332</v>
      </c>
      <c r="L207" s="1491">
        <v>32.573999999999998</v>
      </c>
      <c r="M207" s="1491">
        <v>204.41616278000001</v>
      </c>
      <c r="N207" s="1491">
        <v>1.339</v>
      </c>
      <c r="O207" s="1491">
        <v>0.85142435999999999</v>
      </c>
      <c r="P207" s="1491">
        <v>59838.624000000003</v>
      </c>
      <c r="Q207" s="1491">
        <v>1168.3150528399999</v>
      </c>
      <c r="R207" s="1491">
        <v>57418.459000000003</v>
      </c>
      <c r="S207" s="1491">
        <v>1093.373697</v>
      </c>
      <c r="T207" s="1491">
        <v>90756.777000000002</v>
      </c>
      <c r="U207" s="1491">
        <v>6101.5401005000003</v>
      </c>
      <c r="V207" s="1491">
        <v>119.892</v>
      </c>
      <c r="W207" s="1495">
        <v>9.3685109999999998</v>
      </c>
      <c r="X207" s="1492">
        <v>5424.0379999999996</v>
      </c>
      <c r="Y207" s="1492">
        <v>316.12436805999999</v>
      </c>
      <c r="Z207" s="1492">
        <v>44.07</v>
      </c>
      <c r="AA207" s="1492">
        <v>13.374896</v>
      </c>
      <c r="AB207" s="1492">
        <v>5380</v>
      </c>
      <c r="AC207" s="1492">
        <v>303</v>
      </c>
      <c r="AD207" s="1492">
        <v>158302.36499999999</v>
      </c>
      <c r="AE207" s="1492">
        <v>10907.31556332</v>
      </c>
      <c r="AF207" s="1492">
        <v>15342.691000000001</v>
      </c>
      <c r="AG207" s="1492">
        <v>3757.6402997</v>
      </c>
      <c r="AH207" s="1492">
        <v>53036.83</v>
      </c>
      <c r="AI207" s="1492">
        <v>1182.1601490999999</v>
      </c>
      <c r="AJ207" s="1492">
        <v>50858.841</v>
      </c>
      <c r="AK207" s="1492">
        <v>921.51822300000003</v>
      </c>
      <c r="AL207" s="1492">
        <v>84830.213000000003</v>
      </c>
      <c r="AM207" s="1492">
        <v>5675.1899824599996</v>
      </c>
      <c r="AN207" s="1492">
        <v>108.123</v>
      </c>
      <c r="AO207" s="1493">
        <v>8.1156279999999992</v>
      </c>
      <c r="AP207" s="1492">
        <v>4984.5079999999998</v>
      </c>
      <c r="AQ207" s="1492">
        <v>284.20950405999997</v>
      </c>
      <c r="AR207" s="1492">
        <v>42.52</v>
      </c>
      <c r="AS207" s="1492">
        <v>12.937946999999999</v>
      </c>
      <c r="AT207" s="1492">
        <v>4942</v>
      </c>
      <c r="AU207" s="1492">
        <v>271</v>
      </c>
      <c r="AV207" s="1492">
        <v>13709.493</v>
      </c>
      <c r="AW207" s="1492">
        <v>774.12790954000002</v>
      </c>
      <c r="AX207" s="1492">
        <v>497.262</v>
      </c>
      <c r="AY207" s="1492">
        <v>124.03897798</v>
      </c>
      <c r="AZ207" s="1492">
        <v>6834.3680000000004</v>
      </c>
      <c r="BA207" s="1492">
        <v>190.57106651999999</v>
      </c>
      <c r="BB207" s="1492">
        <v>6559.6180000000004</v>
      </c>
      <c r="BC207" s="1492">
        <v>171.85547299999999</v>
      </c>
      <c r="BD207" s="1492">
        <v>5926.5640000000003</v>
      </c>
      <c r="BE207" s="1492">
        <v>426.35011800000001</v>
      </c>
      <c r="BF207" s="1494">
        <v>11.769</v>
      </c>
      <c r="BG207" s="1493">
        <v>1.252883</v>
      </c>
      <c r="BH207" s="1492">
        <v>439.53</v>
      </c>
      <c r="BI207" s="1491">
        <v>31.914864000000001</v>
      </c>
      <c r="BJ207" s="1493">
        <v>1.55</v>
      </c>
      <c r="BK207" s="1493">
        <v>0.43694899999999998</v>
      </c>
      <c r="BL207" s="1492">
        <v>438</v>
      </c>
      <c r="BM207" s="1491">
        <v>31</v>
      </c>
    </row>
    <row r="208" spans="1:65">
      <c r="A208" s="409" t="s">
        <v>25</v>
      </c>
      <c r="B208" s="1491">
        <v>18567.098999999998</v>
      </c>
      <c r="C208" s="2024">
        <v>15128.998</v>
      </c>
      <c r="D208" s="1491">
        <v>3359.9749999999999</v>
      </c>
      <c r="E208" s="1491">
        <v>2791.7750000000001</v>
      </c>
      <c r="F208" s="1491">
        <v>10132.965</v>
      </c>
      <c r="G208" s="1491">
        <v>2282.384</v>
      </c>
      <c r="H208" s="1491">
        <v>162413.27299999999</v>
      </c>
      <c r="I208" s="1491">
        <v>10718.772150360001</v>
      </c>
      <c r="J208" s="1491">
        <v>14114.751</v>
      </c>
      <c r="K208" s="1491">
        <v>3401.0994721400002</v>
      </c>
      <c r="L208" s="1491">
        <v>31.614999999999998</v>
      </c>
      <c r="M208" s="1491">
        <v>190.03787983999999</v>
      </c>
      <c r="N208" s="1491">
        <v>1.3360000000000001</v>
      </c>
      <c r="O208" s="1491">
        <v>0.82201747000000003</v>
      </c>
      <c r="P208" s="1491">
        <v>55280.214</v>
      </c>
      <c r="Q208" s="1491">
        <v>1068.93442858</v>
      </c>
      <c r="R208" s="1491">
        <v>53320.468999999997</v>
      </c>
      <c r="S208" s="1491">
        <v>1004.658383</v>
      </c>
      <c r="T208" s="1491">
        <v>87703.994999999995</v>
      </c>
      <c r="U208" s="1491">
        <v>5737.8918211299997</v>
      </c>
      <c r="V208" s="1491">
        <v>99.072999999999993</v>
      </c>
      <c r="W208" s="1495">
        <v>4.0760310000000004</v>
      </c>
      <c r="X208" s="1492">
        <v>5182.2889999999998</v>
      </c>
      <c r="Y208" s="1492">
        <v>315.9105002</v>
      </c>
      <c r="Z208" s="1492">
        <v>38.448</v>
      </c>
      <c r="AA208" s="1492">
        <v>12.551613</v>
      </c>
      <c r="AB208" s="1492">
        <v>5143.8409999999994</v>
      </c>
      <c r="AC208" s="1492">
        <v>303.35888720000003</v>
      </c>
      <c r="AD208" s="1492">
        <v>149396.23499999999</v>
      </c>
      <c r="AE208" s="1492">
        <v>9967.6933097700003</v>
      </c>
      <c r="AF208" s="1492">
        <v>13661.609</v>
      </c>
      <c r="AG208" s="1492">
        <v>3280.6525355499998</v>
      </c>
      <c r="AH208" s="1492">
        <v>49005.762000000002</v>
      </c>
      <c r="AI208" s="1492">
        <v>1080.7789786400001</v>
      </c>
      <c r="AJ208" s="1492">
        <v>47246.981</v>
      </c>
      <c r="AK208" s="1492">
        <v>845.63635099999999</v>
      </c>
      <c r="AL208" s="1492">
        <v>81887.554000000004</v>
      </c>
      <c r="AM208" s="1492">
        <v>5316.9643231700002</v>
      </c>
      <c r="AN208" s="1492">
        <v>90.537000000000006</v>
      </c>
      <c r="AO208" s="1493">
        <v>3.65449</v>
      </c>
      <c r="AP208" s="1492">
        <v>4750.7730000000001</v>
      </c>
      <c r="AQ208" s="1492">
        <v>285.64298241</v>
      </c>
      <c r="AR208" s="1492">
        <v>36.889000000000003</v>
      </c>
      <c r="AS208" s="1492">
        <v>12.026937999999999</v>
      </c>
      <c r="AT208" s="1492">
        <v>4713.884</v>
      </c>
      <c r="AU208" s="1492">
        <v>273.61404399999998</v>
      </c>
      <c r="AV208" s="1492">
        <v>13017.038</v>
      </c>
      <c r="AW208" s="1492">
        <v>751.07884059000003</v>
      </c>
      <c r="AX208" s="1492">
        <v>454.47800000000001</v>
      </c>
      <c r="AY208" s="1492">
        <v>121.26895406</v>
      </c>
      <c r="AZ208" s="1492">
        <v>6306.067</v>
      </c>
      <c r="BA208" s="1492">
        <v>178.19332978</v>
      </c>
      <c r="BB208" s="1492">
        <v>6073.4880000000003</v>
      </c>
      <c r="BC208" s="1492">
        <v>159.022032</v>
      </c>
      <c r="BD208" s="1492">
        <v>5816.4409999999998</v>
      </c>
      <c r="BE208" s="1492">
        <v>420.92749795999998</v>
      </c>
      <c r="BF208" s="1494">
        <v>8.5359999999999996</v>
      </c>
      <c r="BG208" s="1493">
        <v>0.421541</v>
      </c>
      <c r="BH208" s="1492">
        <v>431.51600000000002</v>
      </c>
      <c r="BI208" s="1491">
        <v>30.267517789999999</v>
      </c>
      <c r="BJ208" s="1493">
        <v>1.5589999999999999</v>
      </c>
      <c r="BK208" s="1493">
        <v>0.522675</v>
      </c>
      <c r="BL208" s="1492">
        <v>429.95699999999999</v>
      </c>
      <c r="BM208" s="1491">
        <v>29.74484279</v>
      </c>
    </row>
    <row r="209" spans="1:65">
      <c r="A209" s="409" t="s">
        <v>26</v>
      </c>
      <c r="B209" s="1491">
        <v>18923.496999999999</v>
      </c>
      <c r="C209" s="2024">
        <v>15455.233</v>
      </c>
      <c r="D209" s="1491">
        <v>3364.9850000000001</v>
      </c>
      <c r="E209" s="1491">
        <v>2834.3069999999998</v>
      </c>
      <c r="F209" s="1491">
        <v>10450.999</v>
      </c>
      <c r="G209" s="1491">
        <v>2273.2060000000001</v>
      </c>
      <c r="H209" s="1491">
        <v>170478.28400000001</v>
      </c>
      <c r="I209" s="1491">
        <v>11143.5872</v>
      </c>
      <c r="J209" s="1491">
        <v>14898.162</v>
      </c>
      <c r="K209" s="1491">
        <v>3541.2698077800001</v>
      </c>
      <c r="L209" s="1491">
        <v>30.545000000000002</v>
      </c>
      <c r="M209" s="1491">
        <v>182.78390643</v>
      </c>
      <c r="N209" s="1491">
        <v>1.556</v>
      </c>
      <c r="O209" s="1491">
        <v>0.96844978999999998</v>
      </c>
      <c r="P209" s="1491">
        <v>55556.523000000001</v>
      </c>
      <c r="Q209" s="1491">
        <v>1076.0532404800001</v>
      </c>
      <c r="R209" s="1491">
        <v>53489.214999999997</v>
      </c>
      <c r="S209" s="1491">
        <v>1010.2007180000001</v>
      </c>
      <c r="T209" s="1491">
        <v>94653.843999999997</v>
      </c>
      <c r="U209" s="1491">
        <v>6069.4422924999999</v>
      </c>
      <c r="V209" s="1491">
        <v>102.178</v>
      </c>
      <c r="W209" s="1495">
        <v>7.6546690000000002</v>
      </c>
      <c r="X209" s="1492">
        <v>5235.4759999999997</v>
      </c>
      <c r="Y209" s="1492">
        <v>265.41483399999998</v>
      </c>
      <c r="Z209" s="1492">
        <v>40.357999999999997</v>
      </c>
      <c r="AA209" s="1492">
        <v>13.278205</v>
      </c>
      <c r="AB209" s="1492">
        <v>5195.1179999999995</v>
      </c>
      <c r="AC209" s="1492">
        <v>252.13662899999997</v>
      </c>
      <c r="AD209" s="1492">
        <v>157172.204</v>
      </c>
      <c r="AE209" s="1492">
        <v>10344.43803922</v>
      </c>
      <c r="AF209" s="1492">
        <v>14426.553</v>
      </c>
      <c r="AG209" s="1492">
        <v>3413.9528605300002</v>
      </c>
      <c r="AH209" s="1492">
        <v>49310.18</v>
      </c>
      <c r="AI209" s="1492">
        <v>1076.45878229</v>
      </c>
      <c r="AJ209" s="1492">
        <v>47452.824000000001</v>
      </c>
      <c r="AK209" s="1492">
        <v>846.67553099999998</v>
      </c>
      <c r="AL209" s="1492">
        <v>88500.888999999996</v>
      </c>
      <c r="AM209" s="1492">
        <v>5608.1889531500001</v>
      </c>
      <c r="AN209" s="1492">
        <v>93.463999999999999</v>
      </c>
      <c r="AO209" s="1493">
        <v>6.5110679999999999</v>
      </c>
      <c r="AP209" s="1492">
        <v>4841.1180000000004</v>
      </c>
      <c r="AQ209" s="1492">
        <v>239.32637525000001</v>
      </c>
      <c r="AR209" s="1492">
        <v>39.003999999999998</v>
      </c>
      <c r="AS209" s="1492">
        <v>12.854335000000001</v>
      </c>
      <c r="AT209" s="1492">
        <v>4802.1140000000005</v>
      </c>
      <c r="AU209" s="1492">
        <v>226.47204025000002</v>
      </c>
      <c r="AV209" s="1492">
        <v>13306.08</v>
      </c>
      <c r="AW209" s="1492">
        <v>799.14916077999999</v>
      </c>
      <c r="AX209" s="1492">
        <v>473.16500000000002</v>
      </c>
      <c r="AY209" s="1492">
        <v>128.28539703999999</v>
      </c>
      <c r="AZ209" s="1492">
        <v>6276.8879999999999</v>
      </c>
      <c r="BA209" s="1492">
        <v>182.37836462000001</v>
      </c>
      <c r="BB209" s="1492">
        <v>6036.3909999999996</v>
      </c>
      <c r="BC209" s="1492">
        <v>163.52518699999999</v>
      </c>
      <c r="BD209" s="1492">
        <v>6152.9549999999999</v>
      </c>
      <c r="BE209" s="1492">
        <v>461.25333934999998</v>
      </c>
      <c r="BF209" s="1494">
        <v>8.7140000000000004</v>
      </c>
      <c r="BG209" s="1493">
        <v>1.1436010000000001</v>
      </c>
      <c r="BH209" s="1492">
        <v>394.358</v>
      </c>
      <c r="BI209" s="1491">
        <v>26.088458769999999</v>
      </c>
      <c r="BJ209" s="1493">
        <v>1.3540000000000001</v>
      </c>
      <c r="BK209" s="1493">
        <v>0.423869</v>
      </c>
      <c r="BL209" s="1492">
        <v>393.00400000000002</v>
      </c>
      <c r="BM209" s="1491">
        <v>25.664589769999999</v>
      </c>
    </row>
    <row r="210" spans="1:65">
      <c r="A210" s="409" t="s">
        <v>27</v>
      </c>
      <c r="B210" s="1491">
        <v>19161.752</v>
      </c>
      <c r="C210" s="2024">
        <v>15752.567999999999</v>
      </c>
      <c r="D210" s="1491">
        <v>3334.8069999999998</v>
      </c>
      <c r="E210" s="1491">
        <v>2853.9960000000001</v>
      </c>
      <c r="F210" s="1491">
        <v>10746.138000000001</v>
      </c>
      <c r="G210" s="1491">
        <v>2226.8110000000001</v>
      </c>
      <c r="H210" s="1491">
        <v>184330.92</v>
      </c>
      <c r="I210" s="1491">
        <v>11599.007332630001</v>
      </c>
      <c r="J210" s="1491">
        <v>15366.647000000001</v>
      </c>
      <c r="K210" s="1491">
        <v>3619.8913774500002</v>
      </c>
      <c r="L210" s="1491">
        <v>33.795999999999999</v>
      </c>
      <c r="M210" s="1491">
        <v>202.43911818999999</v>
      </c>
      <c r="N210" s="1491">
        <v>1.6890000000000001</v>
      </c>
      <c r="O210" s="1491">
        <v>1.07254366</v>
      </c>
      <c r="P210" s="1491">
        <v>59770.947999999997</v>
      </c>
      <c r="Q210" s="1491">
        <v>1138.7510491800001</v>
      </c>
      <c r="R210" s="1491">
        <v>57697.004999999997</v>
      </c>
      <c r="S210" s="1491">
        <v>1069.6500000000001</v>
      </c>
      <c r="T210" s="1491">
        <v>103172.379</v>
      </c>
      <c r="U210" s="1491">
        <v>6358.5727761899998</v>
      </c>
      <c r="V210" s="1491">
        <v>100.032</v>
      </c>
      <c r="W210" s="1495">
        <v>7.22126</v>
      </c>
      <c r="X210" s="1492">
        <v>5885.4290000000001</v>
      </c>
      <c r="Y210" s="1492">
        <v>271.05920795999998</v>
      </c>
      <c r="Z210" s="1492">
        <v>47.88</v>
      </c>
      <c r="AA210" s="1492">
        <v>14.512884720000001</v>
      </c>
      <c r="AB210" s="1492">
        <v>5837.549</v>
      </c>
      <c r="AC210" s="1492">
        <v>256.54632299999997</v>
      </c>
      <c r="AD210" s="1492">
        <v>170372.33799999999</v>
      </c>
      <c r="AE210" s="1492">
        <v>10776.64899808</v>
      </c>
      <c r="AF210" s="1492">
        <v>14899.989</v>
      </c>
      <c r="AG210" s="1492">
        <v>3493.93168023</v>
      </c>
      <c r="AH210" s="1492">
        <v>53210.332000000002</v>
      </c>
      <c r="AI210" s="1492">
        <v>1148.9905787</v>
      </c>
      <c r="AJ210" s="1492">
        <v>51340.046999999999</v>
      </c>
      <c r="AK210" s="1492">
        <v>898.388645</v>
      </c>
      <c r="AL210" s="1492">
        <v>96695.149000000005</v>
      </c>
      <c r="AM210" s="1492">
        <v>5882.19959999</v>
      </c>
      <c r="AN210" s="1492">
        <v>91.870999999999995</v>
      </c>
      <c r="AO210" s="1493">
        <v>6.2484909999999996</v>
      </c>
      <c r="AP210" s="1492">
        <v>5474.9970000000003</v>
      </c>
      <c r="AQ210" s="1492">
        <v>245.27864815999999</v>
      </c>
      <c r="AR210" s="1492">
        <v>46.338999999999999</v>
      </c>
      <c r="AS210" s="1492">
        <v>14.16122468</v>
      </c>
      <c r="AT210" s="1492">
        <v>5428.6580000000004</v>
      </c>
      <c r="AU210" s="1492">
        <v>231.11742348000001</v>
      </c>
      <c r="AV210" s="1492">
        <v>13958.582</v>
      </c>
      <c r="AW210" s="1492">
        <v>822.35833455</v>
      </c>
      <c r="AX210" s="1492">
        <v>468.34699999999998</v>
      </c>
      <c r="AY210" s="1492">
        <v>127.03224088</v>
      </c>
      <c r="AZ210" s="1492">
        <v>6594.4120000000003</v>
      </c>
      <c r="BA210" s="1492">
        <v>192.19958867</v>
      </c>
      <c r="BB210" s="1492">
        <v>6356.9579999999996</v>
      </c>
      <c r="BC210" s="1492">
        <v>171.261967</v>
      </c>
      <c r="BD210" s="1492">
        <v>6477.23</v>
      </c>
      <c r="BE210" s="1492">
        <v>476.37317619999999</v>
      </c>
      <c r="BF210" s="1494">
        <v>8.1609999999999996</v>
      </c>
      <c r="BG210" s="1493">
        <v>0.97276899999999999</v>
      </c>
      <c r="BH210" s="1492">
        <v>410.43200000000002</v>
      </c>
      <c r="BI210" s="1491">
        <v>25.780559799999999</v>
      </c>
      <c r="BJ210" s="1493">
        <v>1.5409999999999999</v>
      </c>
      <c r="BK210" s="1493">
        <v>0.35166003999999995</v>
      </c>
      <c r="BL210" s="1492">
        <v>408.89100000000002</v>
      </c>
      <c r="BM210" s="1491">
        <v>25.428899759999997</v>
      </c>
    </row>
    <row r="211" spans="1:65">
      <c r="A211" s="409" t="s">
        <v>28</v>
      </c>
      <c r="B211" s="1491">
        <v>19463.059000000001</v>
      </c>
      <c r="C211" s="2024">
        <v>16029.584000000001</v>
      </c>
      <c r="D211" s="1491">
        <v>3367.4969999999998</v>
      </c>
      <c r="E211" s="1491">
        <v>2869.5430000000001</v>
      </c>
      <c r="F211" s="1491">
        <v>10978.33</v>
      </c>
      <c r="G211" s="1491">
        <v>2247.6889999999999</v>
      </c>
      <c r="H211" s="1491">
        <v>165875.96900000001</v>
      </c>
      <c r="I211" s="1491">
        <v>10783.639332979999</v>
      </c>
      <c r="J211" s="1491">
        <v>13925.450999999999</v>
      </c>
      <c r="K211" s="1491">
        <v>3359.0756315899998</v>
      </c>
      <c r="L211" s="1491">
        <v>30.95</v>
      </c>
      <c r="M211" s="1491">
        <v>184.87268922000001</v>
      </c>
      <c r="N211" s="1491">
        <v>1.3919999999999999</v>
      </c>
      <c r="O211" s="1491">
        <v>0.86717111000000002</v>
      </c>
      <c r="P211" s="1491">
        <v>49337.35</v>
      </c>
      <c r="Q211" s="1491">
        <v>956.89012778999995</v>
      </c>
      <c r="R211" s="1491">
        <v>47936.254000000001</v>
      </c>
      <c r="S211" s="1491">
        <v>910.63660400000003</v>
      </c>
      <c r="T211" s="1491">
        <v>96213.301000000007</v>
      </c>
      <c r="U211" s="1491">
        <v>5978.23593721</v>
      </c>
      <c r="V211" s="1491">
        <v>70.325999999999993</v>
      </c>
      <c r="W211" s="1495">
        <v>3.235036</v>
      </c>
      <c r="X211" s="1492">
        <v>6297.1989999999996</v>
      </c>
      <c r="Y211" s="1492">
        <v>300.46274005999999</v>
      </c>
      <c r="Z211" s="1492">
        <v>44.426000000000002</v>
      </c>
      <c r="AA211" s="1492">
        <v>13.255943</v>
      </c>
      <c r="AB211" s="1492">
        <v>6252.7730000000001</v>
      </c>
      <c r="AC211" s="1492">
        <v>287.206796</v>
      </c>
      <c r="AD211" s="1492">
        <v>153180.943</v>
      </c>
      <c r="AE211" s="1492">
        <v>9989.6649773600002</v>
      </c>
      <c r="AF211" s="1492">
        <v>13509.352999999999</v>
      </c>
      <c r="AG211" s="1492">
        <v>3249.68798509</v>
      </c>
      <c r="AH211" s="1492">
        <v>43628.815000000002</v>
      </c>
      <c r="AI211" s="1492">
        <v>962.02697908000005</v>
      </c>
      <c r="AJ211" s="1492">
        <v>42348.968999999997</v>
      </c>
      <c r="AK211" s="1492">
        <v>746.45282799999995</v>
      </c>
      <c r="AL211" s="1492">
        <v>90134.99</v>
      </c>
      <c r="AM211" s="1492">
        <v>5506.0641081900003</v>
      </c>
      <c r="AN211" s="1492">
        <v>63.179000000000002</v>
      </c>
      <c r="AO211" s="1493">
        <v>2.6849980000000002</v>
      </c>
      <c r="AP211" s="1492">
        <v>5844.6059999999998</v>
      </c>
      <c r="AQ211" s="1492">
        <v>269.20090699999997</v>
      </c>
      <c r="AR211" s="1492">
        <v>42.709000000000003</v>
      </c>
      <c r="AS211" s="1492">
        <v>12.727881999999999</v>
      </c>
      <c r="AT211" s="1492">
        <v>5801.8969999999999</v>
      </c>
      <c r="AU211" s="1492">
        <v>256.47302400000001</v>
      </c>
      <c r="AV211" s="1492">
        <v>12695.026</v>
      </c>
      <c r="AW211" s="1492">
        <v>793.97435561999998</v>
      </c>
      <c r="AX211" s="1492">
        <v>417.49</v>
      </c>
      <c r="AY211" s="1492">
        <v>110.25481761</v>
      </c>
      <c r="AZ211" s="1492">
        <v>5739.4849999999997</v>
      </c>
      <c r="BA211" s="1492">
        <v>179.735837</v>
      </c>
      <c r="BB211" s="1492">
        <v>5587.2849999999999</v>
      </c>
      <c r="BC211" s="1492">
        <v>161.183775</v>
      </c>
      <c r="BD211" s="1492">
        <v>6078.3109999999997</v>
      </c>
      <c r="BE211" s="1492">
        <v>472.17182902000002</v>
      </c>
      <c r="BF211" s="1494">
        <v>7.1470000000000002</v>
      </c>
      <c r="BG211" s="1493">
        <v>0.55003800000000003</v>
      </c>
      <c r="BH211" s="1492">
        <v>452.59300000000002</v>
      </c>
      <c r="BI211" s="1491">
        <v>31.261833060000001</v>
      </c>
      <c r="BJ211" s="1493">
        <v>1.7170000000000001</v>
      </c>
      <c r="BK211" s="1493">
        <v>0.52805999999999997</v>
      </c>
      <c r="BL211" s="1492">
        <v>450.87599999999998</v>
      </c>
      <c r="BM211" s="1491">
        <v>30.733771000000001</v>
      </c>
    </row>
    <row r="212" spans="1:65">
      <c r="A212" s="409" t="s">
        <v>29</v>
      </c>
      <c r="B212" s="1491">
        <v>19898.735000000001</v>
      </c>
      <c r="C212" s="2024">
        <v>16271.187</v>
      </c>
      <c r="D212" s="1491">
        <v>3381.3</v>
      </c>
      <c r="E212" s="1491">
        <v>2896.9769999999999</v>
      </c>
      <c r="F212" s="1491">
        <v>11364.099</v>
      </c>
      <c r="G212" s="1491">
        <v>2256.3589999999999</v>
      </c>
      <c r="H212" s="1491">
        <v>195672.56599999999</v>
      </c>
      <c r="I212" s="1491">
        <v>13159.378462160001</v>
      </c>
      <c r="J212" s="1491">
        <v>16613.917000000001</v>
      </c>
      <c r="K212" s="1491">
        <v>4157.1914305800001</v>
      </c>
      <c r="L212" s="1491">
        <v>37.939</v>
      </c>
      <c r="M212" s="1491">
        <v>230.41378298999999</v>
      </c>
      <c r="N212" s="1491">
        <v>4.577</v>
      </c>
      <c r="O212" s="1491">
        <v>1.2063459700000001</v>
      </c>
      <c r="P212" s="1491">
        <v>56795.303999999996</v>
      </c>
      <c r="Q212" s="1491">
        <v>1120.89168903</v>
      </c>
      <c r="R212" s="1491">
        <v>55065.445</v>
      </c>
      <c r="S212" s="1491">
        <v>1065.4343690000001</v>
      </c>
      <c r="T212" s="1491">
        <v>115571.43</v>
      </c>
      <c r="U212" s="1491">
        <v>7360.27767288</v>
      </c>
      <c r="V212" s="1491">
        <v>85.573999999999998</v>
      </c>
      <c r="W212" s="1495">
        <v>3.746</v>
      </c>
      <c r="X212" s="1492">
        <v>6563.8249999999998</v>
      </c>
      <c r="Y212" s="1492">
        <v>285.65097071000002</v>
      </c>
      <c r="Z212" s="1492">
        <v>44.555</v>
      </c>
      <c r="AA212" s="1492">
        <v>13.932836</v>
      </c>
      <c r="AB212" s="1492">
        <v>6519.27</v>
      </c>
      <c r="AC212" s="1492">
        <v>271.71813300000002</v>
      </c>
      <c r="AD212" s="1492">
        <v>181669.84</v>
      </c>
      <c r="AE212" s="1492">
        <v>12265.93135038</v>
      </c>
      <c r="AF212" s="1492">
        <v>16167.26</v>
      </c>
      <c r="AG212" s="1492">
        <v>4041.0477480599998</v>
      </c>
      <c r="AH212" s="1492">
        <v>50523.671000000002</v>
      </c>
      <c r="AI212" s="1492">
        <v>1149.4019193399999</v>
      </c>
      <c r="AJ212" s="1492">
        <v>48930.462</v>
      </c>
      <c r="AK212" s="1492">
        <v>878.40360499999997</v>
      </c>
      <c r="AL212" s="1492">
        <v>108761.499</v>
      </c>
      <c r="AM212" s="1492">
        <v>6811.9395414099999</v>
      </c>
      <c r="AN212" s="1492">
        <v>75.513000000000005</v>
      </c>
      <c r="AO212" s="1493">
        <v>3.2549999999999999</v>
      </c>
      <c r="AP212" s="1492">
        <v>6141.8969999999999</v>
      </c>
      <c r="AQ212" s="1492">
        <v>260.28626057000002</v>
      </c>
      <c r="AR212" s="1492">
        <v>43.146000000000001</v>
      </c>
      <c r="AS212" s="1492">
        <v>13.547969</v>
      </c>
      <c r="AT212" s="1492">
        <v>6098.7510000000002</v>
      </c>
      <c r="AU212" s="1492">
        <v>246.73829000000001</v>
      </c>
      <c r="AV212" s="1492">
        <v>14002.726000000001</v>
      </c>
      <c r="AW212" s="1492">
        <v>893.44711178</v>
      </c>
      <c r="AX212" s="1492">
        <v>451.23399999999998</v>
      </c>
      <c r="AY212" s="1492">
        <v>117.35002849</v>
      </c>
      <c r="AZ212" s="1492">
        <v>6309.5720000000001</v>
      </c>
      <c r="BA212" s="1492">
        <v>201.90355267999999</v>
      </c>
      <c r="BB212" s="1492">
        <v>6134.9830000000002</v>
      </c>
      <c r="BC212" s="1492">
        <v>187.030764</v>
      </c>
      <c r="BD212" s="1492">
        <v>6809.9309999999996</v>
      </c>
      <c r="BE212" s="1492">
        <v>548.33813099999998</v>
      </c>
      <c r="BF212" s="1494">
        <v>10.061</v>
      </c>
      <c r="BG212" s="1493">
        <v>0.49068899999999999</v>
      </c>
      <c r="BH212" s="1492">
        <v>421.928</v>
      </c>
      <c r="BI212" s="1491">
        <v>25.36471014</v>
      </c>
      <c r="BJ212" s="1493">
        <v>1.409</v>
      </c>
      <c r="BK212" s="1493">
        <v>0.38486700000000001</v>
      </c>
      <c r="BL212" s="1492">
        <v>420.51900000000001</v>
      </c>
      <c r="BM212" s="1491">
        <v>24.979842000000001</v>
      </c>
    </row>
    <row r="213" spans="1:65">
      <c r="A213" s="409" t="s">
        <v>4202</v>
      </c>
      <c r="B213" s="1496">
        <v>21979.775000000001</v>
      </c>
      <c r="C213" s="2025">
        <v>17992.171999999999</v>
      </c>
      <c r="D213" s="1496">
        <v>3397.5129999999999</v>
      </c>
      <c r="E213" s="1496">
        <v>2869.761</v>
      </c>
      <c r="F213" s="1496">
        <v>13635.888999999999</v>
      </c>
      <c r="G213" s="1496">
        <v>2076.6120000000001</v>
      </c>
      <c r="H213" s="1496">
        <f>SUM(H214:H225)</f>
        <v>2515700.5159999998</v>
      </c>
      <c r="I213" s="1496">
        <f t="shared" ref="I213:BM213" si="39">SUM(I214:I225)</f>
        <v>150812.95135018998</v>
      </c>
      <c r="J213" s="1496">
        <f t="shared" si="39"/>
        <v>178570.89499999999</v>
      </c>
      <c r="K213" s="1496">
        <f t="shared" si="39"/>
        <v>45452.809898329993</v>
      </c>
      <c r="L213" s="1496">
        <f t="shared" si="39"/>
        <v>342.14600000000002</v>
      </c>
      <c r="M213" s="1496">
        <f t="shared" si="39"/>
        <v>2122.2977967600004</v>
      </c>
      <c r="N213" s="1496">
        <f t="shared" si="39"/>
        <v>40.820000000000007</v>
      </c>
      <c r="O213" s="1496">
        <f t="shared" si="39"/>
        <v>16.054255430000001</v>
      </c>
      <c r="P213" s="1496">
        <f t="shared" si="39"/>
        <v>760523.80900000012</v>
      </c>
      <c r="Q213" s="1496">
        <f t="shared" si="39"/>
        <v>12677.900033170001</v>
      </c>
      <c r="R213" s="1496">
        <f t="shared" si="39"/>
        <v>734810.09499999997</v>
      </c>
      <c r="S213" s="1496">
        <f t="shared" si="39"/>
        <v>12071.909188999998</v>
      </c>
      <c r="T213" s="1496">
        <f t="shared" si="39"/>
        <v>1482108.4539999999</v>
      </c>
      <c r="U213" s="1496">
        <f t="shared" si="39"/>
        <v>86366.773384579996</v>
      </c>
      <c r="V213" s="1496">
        <f t="shared" si="39"/>
        <v>780.30800000000011</v>
      </c>
      <c r="W213" s="1496">
        <f t="shared" si="39"/>
        <v>34.409485500000002</v>
      </c>
      <c r="X213" s="1496">
        <f t="shared" si="39"/>
        <v>93334.01499999997</v>
      </c>
      <c r="Y213" s="1496">
        <f t="shared" si="39"/>
        <v>4142.6735827299999</v>
      </c>
      <c r="Z213" s="1496">
        <f t="shared" si="39"/>
        <v>471.31200000000001</v>
      </c>
      <c r="AA213" s="1496">
        <f t="shared" si="39"/>
        <v>148.79669899999999</v>
      </c>
      <c r="AB213" s="1496">
        <f t="shared" si="39"/>
        <v>92862.702999999994</v>
      </c>
      <c r="AC213" s="1496">
        <f t="shared" si="39"/>
        <v>3993.8768804699998</v>
      </c>
      <c r="AD213" s="1496">
        <f t="shared" si="39"/>
        <v>2353774.2890000003</v>
      </c>
      <c r="AE213" s="1496">
        <f t="shared" si="39"/>
        <v>141329.89685712001</v>
      </c>
      <c r="AF213" s="1496">
        <f t="shared" si="39"/>
        <v>173945.03400000001</v>
      </c>
      <c r="AG213" s="1496">
        <f t="shared" si="39"/>
        <v>43996.162893619992</v>
      </c>
      <c r="AH213" s="1496">
        <f t="shared" si="39"/>
        <v>682485.13800000004</v>
      </c>
      <c r="AI213" s="1496">
        <f t="shared" si="39"/>
        <v>12624.393183750002</v>
      </c>
      <c r="AJ213" s="1496">
        <f t="shared" si="39"/>
        <v>658926.61399999994</v>
      </c>
      <c r="AK213" s="1496">
        <f t="shared" si="39"/>
        <v>10104.576339000001</v>
      </c>
      <c r="AL213" s="1496">
        <f t="shared" si="39"/>
        <v>1408791.449</v>
      </c>
      <c r="AM213" s="1496">
        <f t="shared" si="39"/>
        <v>80894.245354610015</v>
      </c>
      <c r="AN213" s="1496">
        <f t="shared" si="39"/>
        <v>711.02600000000007</v>
      </c>
      <c r="AO213" s="1496">
        <f t="shared" si="39"/>
        <v>30.592682799999999</v>
      </c>
      <c r="AP213" s="1496">
        <f t="shared" si="39"/>
        <v>87841.934999999998</v>
      </c>
      <c r="AQ213" s="1496">
        <f t="shared" si="39"/>
        <v>3784.1811395099999</v>
      </c>
      <c r="AR213" s="1496">
        <f t="shared" si="39"/>
        <v>456.44099999999997</v>
      </c>
      <c r="AS213" s="1496">
        <f t="shared" si="39"/>
        <v>144.55366800000002</v>
      </c>
      <c r="AT213" s="1496">
        <f t="shared" si="39"/>
        <v>87385.634999999995</v>
      </c>
      <c r="AU213" s="1496">
        <f t="shared" si="39"/>
        <v>3639.6956786899996</v>
      </c>
      <c r="AV213" s="1496">
        <f t="shared" si="39"/>
        <v>161926.22700000001</v>
      </c>
      <c r="AW213" s="1496">
        <f t="shared" si="39"/>
        <v>9483.0544928100007</v>
      </c>
      <c r="AX213" s="1496">
        <f t="shared" si="39"/>
        <v>4666.6959999999999</v>
      </c>
      <c r="AY213" s="1496">
        <f t="shared" si="39"/>
        <v>1472.7335189299999</v>
      </c>
      <c r="AZ213" s="1496">
        <f t="shared" si="39"/>
        <v>78380.81700000001</v>
      </c>
      <c r="BA213" s="1496">
        <f t="shared" si="39"/>
        <v>2175.80464618</v>
      </c>
      <c r="BB213" s="1496">
        <f t="shared" si="39"/>
        <v>75884.350000000006</v>
      </c>
      <c r="BC213" s="1496">
        <f t="shared" si="39"/>
        <v>1966.9205250400003</v>
      </c>
      <c r="BD213" s="1496">
        <f t="shared" si="39"/>
        <v>73317.005000000005</v>
      </c>
      <c r="BE213" s="1496">
        <f t="shared" si="39"/>
        <v>5472.5280302399997</v>
      </c>
      <c r="BF213" s="1496">
        <f t="shared" si="39"/>
        <v>69.758999999999986</v>
      </c>
      <c r="BG213" s="1496">
        <f t="shared" si="39"/>
        <v>3.8174496999999992</v>
      </c>
      <c r="BH213" s="1496">
        <f t="shared" si="39"/>
        <v>5491.95</v>
      </c>
      <c r="BI213" s="1496">
        <f t="shared" si="39"/>
        <v>358.17084391000003</v>
      </c>
      <c r="BJ213" s="1496">
        <f t="shared" si="39"/>
        <v>15.346000000000004</v>
      </c>
      <c r="BK213" s="1496">
        <f t="shared" si="39"/>
        <v>4.2422038799999999</v>
      </c>
      <c r="BL213" s="1496">
        <f t="shared" si="39"/>
        <v>5477.0050000000001</v>
      </c>
      <c r="BM213" s="1496">
        <f t="shared" si="39"/>
        <v>353.92324162</v>
      </c>
    </row>
    <row r="214" spans="1:65">
      <c r="A214" s="409" t="s">
        <v>18</v>
      </c>
      <c r="B214" s="1491">
        <v>19965.329000000002</v>
      </c>
      <c r="C214" s="2024">
        <v>16352.936</v>
      </c>
      <c r="D214" s="1491">
        <v>3371.2869999999998</v>
      </c>
      <c r="E214" s="1491">
        <v>2870.3890000000001</v>
      </c>
      <c r="F214" s="1491">
        <v>11479.432000000001</v>
      </c>
      <c r="G214" s="1491">
        <v>2244.221</v>
      </c>
      <c r="H214" s="1491">
        <v>179722.31599999999</v>
      </c>
      <c r="I214" s="1491">
        <v>10357.148308690001</v>
      </c>
      <c r="J214" s="1491">
        <v>13620.43</v>
      </c>
      <c r="K214" s="1491">
        <v>2996.3381281500001</v>
      </c>
      <c r="L214" s="1491">
        <v>26.959</v>
      </c>
      <c r="M214" s="1491">
        <v>175.63061364999999</v>
      </c>
      <c r="N214" s="1491">
        <v>4.3650000000000002</v>
      </c>
      <c r="O214" s="1491">
        <v>1.05018137</v>
      </c>
      <c r="P214" s="1491">
        <v>56928.125999999997</v>
      </c>
      <c r="Q214" s="1491">
        <v>1051.9914865000001</v>
      </c>
      <c r="R214" s="1491">
        <v>55295.288999999997</v>
      </c>
      <c r="S214" s="1491">
        <v>1004.37368</v>
      </c>
      <c r="T214" s="1491">
        <v>102657.66</v>
      </c>
      <c r="U214" s="1491">
        <v>5845.4903484799997</v>
      </c>
      <c r="V214" s="1491">
        <v>74.251000000000005</v>
      </c>
      <c r="W214" s="1495">
        <v>3.1206399999999999</v>
      </c>
      <c r="X214" s="1492">
        <v>6410.5249999999996</v>
      </c>
      <c r="Y214" s="1492">
        <v>283.52690999999999</v>
      </c>
      <c r="Z214" s="1492">
        <v>40.926000000000002</v>
      </c>
      <c r="AA214" s="1492">
        <v>13.113295000000001</v>
      </c>
      <c r="AB214" s="1492">
        <v>6369.5989999999993</v>
      </c>
      <c r="AC214" s="1492">
        <v>270.41361499999999</v>
      </c>
      <c r="AD214" s="1492">
        <v>165834.29399999999</v>
      </c>
      <c r="AE214" s="1492">
        <v>9516.9579964099994</v>
      </c>
      <c r="AF214" s="1492">
        <v>13181.588</v>
      </c>
      <c r="AG214" s="1492">
        <v>2881.8275853700002</v>
      </c>
      <c r="AH214" s="1492">
        <v>50411.533000000003</v>
      </c>
      <c r="AI214" s="1492">
        <v>1042.0780909499999</v>
      </c>
      <c r="AJ214" s="1492">
        <v>48920.514000000003</v>
      </c>
      <c r="AK214" s="1492">
        <v>832.66128300000003</v>
      </c>
      <c r="AL214" s="1492">
        <v>96175.899000000005</v>
      </c>
      <c r="AM214" s="1492">
        <v>5332.7264471400003</v>
      </c>
      <c r="AN214" s="1492">
        <v>66.433000000000007</v>
      </c>
      <c r="AO214" s="1493">
        <v>2.7118929999999999</v>
      </c>
      <c r="AP214" s="1492">
        <v>5998.8410000000003</v>
      </c>
      <c r="AQ214" s="1492">
        <v>257.61397994999999</v>
      </c>
      <c r="AR214" s="1492">
        <v>39.716999999999999</v>
      </c>
      <c r="AS214" s="1492">
        <v>12.676411</v>
      </c>
      <c r="AT214" s="1492">
        <v>5959.1240000000007</v>
      </c>
      <c r="AU214" s="1492">
        <v>244.93756894999999</v>
      </c>
      <c r="AV214" s="1492">
        <v>13888.022000000001</v>
      </c>
      <c r="AW214" s="1492">
        <v>840.19031227999994</v>
      </c>
      <c r="AX214" s="1492">
        <v>443.20699999999999</v>
      </c>
      <c r="AY214" s="1492">
        <v>115.56072415</v>
      </c>
      <c r="AZ214" s="1492">
        <v>6543.5519999999997</v>
      </c>
      <c r="BA214" s="1492">
        <v>185.5440092</v>
      </c>
      <c r="BB214" s="1492">
        <v>6374.7749999999996</v>
      </c>
      <c r="BC214" s="1492">
        <v>171.71239600000001</v>
      </c>
      <c r="BD214" s="1492">
        <v>6481.7610000000004</v>
      </c>
      <c r="BE214" s="1492">
        <v>512.76390133999996</v>
      </c>
      <c r="BF214" s="1494">
        <v>7.8179999999999996</v>
      </c>
      <c r="BG214" s="1493">
        <v>0.40874700000000003</v>
      </c>
      <c r="BH214" s="1492">
        <v>411.68400000000003</v>
      </c>
      <c r="BI214" s="1491">
        <v>25.912930589999998</v>
      </c>
      <c r="BJ214" s="1493">
        <v>1.2090000000000001</v>
      </c>
      <c r="BK214" s="1493">
        <v>0.43688399999999999</v>
      </c>
      <c r="BL214" s="1492">
        <v>410.47500000000002</v>
      </c>
      <c r="BM214" s="1491">
        <v>25.476046589999999</v>
      </c>
    </row>
    <row r="215" spans="1:65">
      <c r="A215" s="409" t="s">
        <v>19</v>
      </c>
      <c r="B215" s="1491">
        <v>20238.743999999999</v>
      </c>
      <c r="C215" s="2024">
        <v>16548.080999999998</v>
      </c>
      <c r="D215" s="1491">
        <v>3381.0920000000001</v>
      </c>
      <c r="E215" s="1491">
        <v>2881.9929999999999</v>
      </c>
      <c r="F215" s="1491">
        <v>11711.584000000001</v>
      </c>
      <c r="G215" s="1491">
        <v>2264.0749999999998</v>
      </c>
      <c r="H215" s="1491">
        <v>171143.084</v>
      </c>
      <c r="I215" s="1491">
        <v>10972.57706207</v>
      </c>
      <c r="J215" s="1491">
        <v>13660.538</v>
      </c>
      <c r="K215" s="1491">
        <v>3399.14395259</v>
      </c>
      <c r="L215" s="1491">
        <v>30.637</v>
      </c>
      <c r="M215" s="1491">
        <v>185.62060894999999</v>
      </c>
      <c r="N215" s="1491">
        <v>3.9239999999999999</v>
      </c>
      <c r="O215" s="1491">
        <v>1.08333806</v>
      </c>
      <c r="P215" s="1491">
        <v>50592.296000000002</v>
      </c>
      <c r="Q215" s="1491">
        <v>918.16375483000002</v>
      </c>
      <c r="R215" s="1491">
        <v>49208.921999999999</v>
      </c>
      <c r="S215" s="1491">
        <v>878.12719700000002</v>
      </c>
      <c r="T215" s="1491">
        <v>100716.916</v>
      </c>
      <c r="U215" s="1491">
        <v>6209.9666564999998</v>
      </c>
      <c r="V215" s="1491">
        <v>73.635999999999996</v>
      </c>
      <c r="W215" s="1495">
        <v>3.2901020000000001</v>
      </c>
      <c r="X215" s="1492">
        <v>6065.1369999999997</v>
      </c>
      <c r="Y215" s="1492">
        <v>255.30864904000001</v>
      </c>
      <c r="Z215" s="1492">
        <v>36.084000000000003</v>
      </c>
      <c r="AA215" s="1492">
        <v>11.511965999999999</v>
      </c>
      <c r="AB215" s="1492">
        <v>6029.0529999999999</v>
      </c>
      <c r="AC215" s="1492">
        <v>243.79668304</v>
      </c>
      <c r="AD215" s="1492">
        <v>158649.753</v>
      </c>
      <c r="AE215" s="1492">
        <v>10177.2797914</v>
      </c>
      <c r="AF215" s="1492">
        <v>13260.322</v>
      </c>
      <c r="AG215" s="1492">
        <v>3279.9736184399999</v>
      </c>
      <c r="AH215" s="1492">
        <v>44855.966999999997</v>
      </c>
      <c r="AI215" s="1492">
        <v>940.09788810999999</v>
      </c>
      <c r="AJ215" s="1492">
        <v>43583.250999999997</v>
      </c>
      <c r="AK215" s="1492">
        <v>728.20754199999999</v>
      </c>
      <c r="AL215" s="1492">
        <v>94773.074999999997</v>
      </c>
      <c r="AM215" s="1492">
        <v>5722.3882011100004</v>
      </c>
      <c r="AN215" s="1492">
        <v>66.510000000000005</v>
      </c>
      <c r="AO215" s="1493">
        <v>2.8824049999999999</v>
      </c>
      <c r="AP215" s="1492">
        <v>5693.8789999999999</v>
      </c>
      <c r="AQ215" s="1492">
        <v>231.93767874</v>
      </c>
      <c r="AR215" s="1492">
        <v>35.076999999999998</v>
      </c>
      <c r="AS215" s="1492">
        <v>11.256716000000001</v>
      </c>
      <c r="AT215" s="1492">
        <v>5658.8019999999997</v>
      </c>
      <c r="AU215" s="1492">
        <v>220.68096273999998</v>
      </c>
      <c r="AV215" s="1492">
        <v>12493.331</v>
      </c>
      <c r="AW215" s="1492">
        <v>795.29727066999999</v>
      </c>
      <c r="AX215" s="1492">
        <v>404.14</v>
      </c>
      <c r="AY215" s="1492">
        <v>120.25367221</v>
      </c>
      <c r="AZ215" s="1492">
        <v>5766.9660000000003</v>
      </c>
      <c r="BA215" s="1492">
        <v>163.68647566999999</v>
      </c>
      <c r="BB215" s="1492">
        <v>5625.6710000000003</v>
      </c>
      <c r="BC215" s="1492">
        <v>149.91965503999998</v>
      </c>
      <c r="BD215" s="1492">
        <v>5943.8410000000003</v>
      </c>
      <c r="BE215" s="1492">
        <v>487.57845538999999</v>
      </c>
      <c r="BF215" s="1494">
        <v>7.1260000000000003</v>
      </c>
      <c r="BG215" s="1493">
        <v>0.40769699999999998</v>
      </c>
      <c r="BH215" s="1492">
        <v>371.25799999999998</v>
      </c>
      <c r="BI215" s="1491">
        <v>23.3709703</v>
      </c>
      <c r="BJ215" s="1493">
        <v>1.07</v>
      </c>
      <c r="BK215" s="1493">
        <v>0.255</v>
      </c>
      <c r="BL215" s="1492">
        <v>370.18799999999999</v>
      </c>
      <c r="BM215" s="1491">
        <v>23.115970300000001</v>
      </c>
    </row>
    <row r="216" spans="1:65">
      <c r="A216" s="409" t="s">
        <v>20</v>
      </c>
      <c r="B216" s="1491">
        <v>20459.91</v>
      </c>
      <c r="C216" s="2024">
        <v>16745.827000000001</v>
      </c>
      <c r="D216" s="1491">
        <v>3387.683</v>
      </c>
      <c r="E216" s="1491">
        <v>2906.6329999999998</v>
      </c>
      <c r="F216" s="1491">
        <v>11887.47</v>
      </c>
      <c r="G216" s="1491">
        <v>2278.1239999999998</v>
      </c>
      <c r="H216" s="1491">
        <v>157271.30600000001</v>
      </c>
      <c r="I216" s="1491">
        <v>10222.709234129999</v>
      </c>
      <c r="J216" s="1491">
        <v>12502.633</v>
      </c>
      <c r="K216" s="1491">
        <v>3214.6559287800001</v>
      </c>
      <c r="L216" s="1491">
        <v>26.030999999999999</v>
      </c>
      <c r="M216" s="1491">
        <v>155.42589727999999</v>
      </c>
      <c r="N216" s="1491">
        <v>4.4470000000000001</v>
      </c>
      <c r="O216" s="1491">
        <v>1.0723311799999999</v>
      </c>
      <c r="P216" s="1491">
        <v>46497.288</v>
      </c>
      <c r="Q216" s="1491">
        <v>890.31948223999996</v>
      </c>
      <c r="R216" s="1491">
        <v>45105.167000000001</v>
      </c>
      <c r="S216" s="1491">
        <v>847.83945800000004</v>
      </c>
      <c r="T216" s="1491">
        <v>91967.975000000006</v>
      </c>
      <c r="U216" s="1491">
        <v>5667.7833325900001</v>
      </c>
      <c r="V216" s="1491">
        <v>54.348999999999997</v>
      </c>
      <c r="W216" s="1495">
        <v>2.487895</v>
      </c>
      <c r="X216" s="1492">
        <v>6218.5829999999996</v>
      </c>
      <c r="Y216" s="1492">
        <v>290.96436685999998</v>
      </c>
      <c r="Z216" s="1492">
        <v>37.045000000000002</v>
      </c>
      <c r="AA216" s="1492">
        <v>12.558878</v>
      </c>
      <c r="AB216" s="1492">
        <v>6181.5379999999996</v>
      </c>
      <c r="AC216" s="1492">
        <v>278.40548799999999</v>
      </c>
      <c r="AD216" s="1492">
        <v>146296.459</v>
      </c>
      <c r="AE216" s="1492">
        <v>9514.3842617099999</v>
      </c>
      <c r="AF216" s="1492">
        <v>12156.688</v>
      </c>
      <c r="AG216" s="1492">
        <v>3102.1074590100002</v>
      </c>
      <c r="AH216" s="1492">
        <v>41457.546000000002</v>
      </c>
      <c r="AI216" s="1492">
        <v>887.74294519</v>
      </c>
      <c r="AJ216" s="1492">
        <v>40176.911</v>
      </c>
      <c r="AK216" s="1492">
        <v>705.128378</v>
      </c>
      <c r="AL216" s="1492">
        <v>86786.816999999995</v>
      </c>
      <c r="AM216" s="1492">
        <v>5256.1209110399996</v>
      </c>
      <c r="AN216" s="1492">
        <v>48.267000000000003</v>
      </c>
      <c r="AO216" s="1493">
        <v>2.0867439999999999</v>
      </c>
      <c r="AP216" s="1492">
        <v>5847</v>
      </c>
      <c r="AQ216" s="1492">
        <v>266</v>
      </c>
      <c r="AR216" s="1492">
        <v>35.89</v>
      </c>
      <c r="AS216" s="1492">
        <v>12.209</v>
      </c>
      <c r="AT216" s="1492">
        <v>5811.2510000000002</v>
      </c>
      <c r="AU216" s="1492">
        <v>254.11670699999999</v>
      </c>
      <c r="AV216" s="1492">
        <v>10974.847</v>
      </c>
      <c r="AW216" s="1492">
        <v>708.32497241999999</v>
      </c>
      <c r="AX216" s="1492">
        <v>350.392</v>
      </c>
      <c r="AY216" s="1492">
        <v>113.62080095</v>
      </c>
      <c r="AZ216" s="1492">
        <v>5065.7730000000001</v>
      </c>
      <c r="BA216" s="1492">
        <v>158.00243433</v>
      </c>
      <c r="BB216" s="1492">
        <v>4928.2560000000003</v>
      </c>
      <c r="BC216" s="1492">
        <v>142.71107900000001</v>
      </c>
      <c r="BD216" s="1492">
        <v>5181.1580000000004</v>
      </c>
      <c r="BE216" s="1492">
        <v>411.66242154999998</v>
      </c>
      <c r="BF216" s="1494">
        <v>6.0819999999999999</v>
      </c>
      <c r="BG216" s="1493">
        <v>0.40115000000000001</v>
      </c>
      <c r="BH216" s="1492">
        <v>371.44200000000001</v>
      </c>
      <c r="BI216" s="1491">
        <v>24.638164790000001</v>
      </c>
      <c r="BJ216" s="1493">
        <v>1.155</v>
      </c>
      <c r="BK216" s="1493">
        <v>0.349383</v>
      </c>
      <c r="BL216" s="1492">
        <v>370.28699999999998</v>
      </c>
      <c r="BM216" s="1491">
        <v>24.288781</v>
      </c>
    </row>
    <row r="217" spans="1:65">
      <c r="A217" s="409" t="s">
        <v>21</v>
      </c>
      <c r="B217" s="1491">
        <v>20674.66</v>
      </c>
      <c r="C217" s="2024">
        <v>16960.007000000001</v>
      </c>
      <c r="D217" s="1491">
        <v>3395.748</v>
      </c>
      <c r="E217" s="1491">
        <v>2914.2640000000001</v>
      </c>
      <c r="F217" s="1491">
        <v>12076.369000000001</v>
      </c>
      <c r="G217" s="1491">
        <v>2288.279</v>
      </c>
      <c r="H217" s="1491">
        <v>240333.204</v>
      </c>
      <c r="I217" s="1491">
        <v>14171.77837005</v>
      </c>
      <c r="J217" s="1491">
        <v>17974.098999999998</v>
      </c>
      <c r="K217" s="1491">
        <v>4300.51236806</v>
      </c>
      <c r="L217" s="1491">
        <v>33.369</v>
      </c>
      <c r="M217" s="1491">
        <v>209.63593068</v>
      </c>
      <c r="N217" s="1491">
        <v>4.5880000000000001</v>
      </c>
      <c r="O217" s="1491">
        <v>1.56049365</v>
      </c>
      <c r="P217" s="1491">
        <v>71980.512000000002</v>
      </c>
      <c r="Q217" s="1491">
        <v>1224.1726107899999</v>
      </c>
      <c r="R217" s="1491">
        <v>69938.399999999994</v>
      </c>
      <c r="S217" s="1491">
        <v>1173.493324</v>
      </c>
      <c r="T217" s="1491">
        <v>141415.53899999999</v>
      </c>
      <c r="U217" s="1491">
        <v>8070.5674892300003</v>
      </c>
      <c r="V217" s="1491">
        <v>96.168999999999997</v>
      </c>
      <c r="W217" s="1495">
        <v>4.4569999999999999</v>
      </c>
      <c r="X217" s="1492">
        <v>8828.9279999999999</v>
      </c>
      <c r="Y217" s="1492">
        <v>360.87238503999998</v>
      </c>
      <c r="Z217" s="1492">
        <v>45.536000000000001</v>
      </c>
      <c r="AA217" s="1492">
        <v>13.641576000000001</v>
      </c>
      <c r="AB217" s="1492">
        <v>8783.3919999999998</v>
      </c>
      <c r="AC217" s="1492">
        <v>347.23080893999997</v>
      </c>
      <c r="AD217" s="1492">
        <v>223687.24600000001</v>
      </c>
      <c r="AE217" s="1492">
        <v>13183.269083859999</v>
      </c>
      <c r="AF217" s="1492">
        <v>17452.453000000001</v>
      </c>
      <c r="AG217" s="1492">
        <v>4143.2252556499998</v>
      </c>
      <c r="AH217" s="1492">
        <v>64047.192000000003</v>
      </c>
      <c r="AI217" s="1492">
        <v>1210.95615924</v>
      </c>
      <c r="AJ217" s="1492">
        <v>62176.65</v>
      </c>
      <c r="AK217" s="1492">
        <v>968.37269200000003</v>
      </c>
      <c r="AL217" s="1492">
        <v>133833.93599999999</v>
      </c>
      <c r="AM217" s="1492">
        <v>7499.0875195400004</v>
      </c>
      <c r="AN217" s="1492">
        <v>85.724999999999994</v>
      </c>
      <c r="AO217" s="1493">
        <v>3.7854920000000001</v>
      </c>
      <c r="AP217" s="1492">
        <v>8267.94</v>
      </c>
      <c r="AQ217" s="1492">
        <v>326.21465723</v>
      </c>
      <c r="AR217" s="1492">
        <v>44.2</v>
      </c>
      <c r="AS217" s="1492">
        <v>13.254339</v>
      </c>
      <c r="AT217" s="1492">
        <v>8223.74</v>
      </c>
      <c r="AU217" s="1492">
        <v>312.96031799999997</v>
      </c>
      <c r="AV217" s="1492">
        <v>16645.957999999999</v>
      </c>
      <c r="AW217" s="1492">
        <v>988.50928619000001</v>
      </c>
      <c r="AX217" s="1492">
        <v>526.23400000000004</v>
      </c>
      <c r="AY217" s="1492">
        <v>158.84760606</v>
      </c>
      <c r="AZ217" s="1492">
        <v>7966.6890000000003</v>
      </c>
      <c r="BA217" s="1492">
        <v>222.85238222999999</v>
      </c>
      <c r="BB217" s="1492">
        <v>7761.7520000000004</v>
      </c>
      <c r="BC217" s="1492">
        <v>205.120632</v>
      </c>
      <c r="BD217" s="1492">
        <v>7581.6030000000001</v>
      </c>
      <c r="BE217" s="1492">
        <v>571.47996968999996</v>
      </c>
      <c r="BF217" s="1494">
        <v>10.444000000000001</v>
      </c>
      <c r="BG217" s="1493">
        <v>0.67159999999999997</v>
      </c>
      <c r="BH217" s="1492">
        <v>560.98800000000006</v>
      </c>
      <c r="BI217" s="1491">
        <v>34.657727809999997</v>
      </c>
      <c r="BJ217" s="1493">
        <v>1.3360000000000001</v>
      </c>
      <c r="BK217" s="1493">
        <v>0.387237</v>
      </c>
      <c r="BL217" s="1492">
        <v>559.65200000000004</v>
      </c>
      <c r="BM217" s="1491">
        <v>34.270490000000002</v>
      </c>
    </row>
    <row r="218" spans="1:65">
      <c r="A218" s="409" t="s">
        <v>22</v>
      </c>
      <c r="B218" s="1491">
        <v>20460.912</v>
      </c>
      <c r="C218" s="2024">
        <v>16899</v>
      </c>
      <c r="D218" s="1491">
        <v>3286.09</v>
      </c>
      <c r="E218" s="1491">
        <v>2910.8040000000001</v>
      </c>
      <c r="F218" s="1491">
        <v>12146.947</v>
      </c>
      <c r="G218" s="1491">
        <v>2117.0709999999999</v>
      </c>
      <c r="H218" s="1491">
        <v>208830.198</v>
      </c>
      <c r="I218" s="1491">
        <v>12471.537508040001</v>
      </c>
      <c r="J218" s="1491">
        <v>15392.892</v>
      </c>
      <c r="K218" s="1491">
        <v>3823.4667043099998</v>
      </c>
      <c r="L218" s="1491">
        <v>29.466000000000001</v>
      </c>
      <c r="M218" s="1491">
        <v>191.93743133000001</v>
      </c>
      <c r="N218" s="1491">
        <v>2.8809999999999998</v>
      </c>
      <c r="O218" s="1491">
        <v>1.5235327599999999</v>
      </c>
      <c r="P218" s="1491">
        <v>62369.982000000004</v>
      </c>
      <c r="Q218" s="1491">
        <v>1015.99329949</v>
      </c>
      <c r="R218" s="1491">
        <v>60661</v>
      </c>
      <c r="S218" s="1491">
        <v>975.83799999999997</v>
      </c>
      <c r="T218" s="1491">
        <v>122150.961</v>
      </c>
      <c r="U218" s="1491">
        <v>7053.1425373299999</v>
      </c>
      <c r="V218" s="1491">
        <v>67</v>
      </c>
      <c r="W218" s="1495">
        <v>3.1520000000000001</v>
      </c>
      <c r="X218" s="1492">
        <v>8816.9619999999995</v>
      </c>
      <c r="Y218" s="1492">
        <v>382.32160102</v>
      </c>
      <c r="Z218" s="1492">
        <v>40.405999999999999</v>
      </c>
      <c r="AA218" s="1492">
        <v>12.845686000000001</v>
      </c>
      <c r="AB218" s="1492">
        <v>8776.5560000000005</v>
      </c>
      <c r="AC218" s="1492">
        <v>369.47591399999999</v>
      </c>
      <c r="AD218" s="1492">
        <v>194852.47</v>
      </c>
      <c r="AE218" s="1492">
        <v>11660.206985950001</v>
      </c>
      <c r="AF218" s="1492">
        <v>14960.772000000001</v>
      </c>
      <c r="AG218" s="1492">
        <v>3689.1597399000002</v>
      </c>
      <c r="AH218" s="1492">
        <v>55738.483</v>
      </c>
      <c r="AI218" s="1492">
        <v>1028.9861551199999</v>
      </c>
      <c r="AJ218" s="1492">
        <v>54169.214</v>
      </c>
      <c r="AK218" s="1492">
        <v>814.80017999999995</v>
      </c>
      <c r="AL218" s="1492">
        <v>115783.368</v>
      </c>
      <c r="AM218" s="1492">
        <v>6588.5038620400001</v>
      </c>
      <c r="AN218" s="1492">
        <v>60.843000000000004</v>
      </c>
      <c r="AO218" s="1493">
        <v>2.7930860000000002</v>
      </c>
      <c r="AP218" s="1492">
        <v>8309.0040000000008</v>
      </c>
      <c r="AQ218" s="1492">
        <v>350.76414278999999</v>
      </c>
      <c r="AR218" s="1492">
        <v>38.732999999999997</v>
      </c>
      <c r="AS218" s="1492">
        <v>12.478035</v>
      </c>
      <c r="AT218" s="1492">
        <v>8270.2710000000006</v>
      </c>
      <c r="AU218" s="1492">
        <v>338.0286107</v>
      </c>
      <c r="AV218" s="1492">
        <v>13977.727999999999</v>
      </c>
      <c r="AW218" s="1492">
        <v>811.33052209000004</v>
      </c>
      <c r="AX218" s="1492">
        <v>435.00099999999998</v>
      </c>
      <c r="AY218" s="1492">
        <v>135.83049717</v>
      </c>
      <c r="AZ218" s="1492">
        <v>6660.9650000000001</v>
      </c>
      <c r="BA218" s="1492">
        <v>178.9445757</v>
      </c>
      <c r="BB218" s="1492">
        <v>6492</v>
      </c>
      <c r="BC218" s="1492">
        <v>161.03793099999999</v>
      </c>
      <c r="BD218" s="1492">
        <v>6367.5929999999998</v>
      </c>
      <c r="BE218" s="1492">
        <v>464.63867528999998</v>
      </c>
      <c r="BF218" s="1494">
        <v>6.2110000000000003</v>
      </c>
      <c r="BG218" s="1493">
        <v>0.359315</v>
      </c>
      <c r="BH218" s="1492">
        <v>507.95800000000003</v>
      </c>
      <c r="BI218" s="1491">
        <v>31.557458230000002</v>
      </c>
      <c r="BJ218" s="1493">
        <v>1.6</v>
      </c>
      <c r="BK218" s="1493">
        <v>0.36765100000000001</v>
      </c>
      <c r="BL218" s="1492">
        <v>506.28500000000003</v>
      </c>
      <c r="BM218" s="1491">
        <v>31.189806999999998</v>
      </c>
    </row>
    <row r="219" spans="1:65">
      <c r="A219" s="409" t="s">
        <v>23</v>
      </c>
      <c r="B219" s="1491">
        <v>20641.940999999999</v>
      </c>
      <c r="C219" s="1491">
        <v>17084.13</v>
      </c>
      <c r="D219" s="1491">
        <v>3300.4630000000002</v>
      </c>
      <c r="E219" s="1491">
        <v>2912.9189999999999</v>
      </c>
      <c r="F219" s="1491">
        <v>12310.061</v>
      </c>
      <c r="G219" s="1491">
        <v>2118.498</v>
      </c>
      <c r="H219" s="1491">
        <v>213016.04199999999</v>
      </c>
      <c r="I219" s="1491">
        <v>12943.68524759</v>
      </c>
      <c r="J219" s="1491">
        <v>15585.495999999999</v>
      </c>
      <c r="K219" s="1491">
        <v>3990.9207411699999</v>
      </c>
      <c r="L219" s="1491">
        <v>27.114000000000001</v>
      </c>
      <c r="M219" s="1491">
        <v>155.29306503999999</v>
      </c>
      <c r="N219" s="1491">
        <v>3.4369999999999998</v>
      </c>
      <c r="O219" s="1491">
        <v>2.2786780699999998</v>
      </c>
      <c r="P219" s="1491">
        <v>64705.542000000001</v>
      </c>
      <c r="Q219" s="1491">
        <v>1060.7383148599999</v>
      </c>
      <c r="R219" s="1491">
        <v>62915.461000000003</v>
      </c>
      <c r="S219" s="1491">
        <v>1019.898337</v>
      </c>
      <c r="T219" s="1491">
        <v>124095.891</v>
      </c>
      <c r="U219" s="1491">
        <v>7372.9846909999997</v>
      </c>
      <c r="V219" s="1491">
        <v>56.155999999999999</v>
      </c>
      <c r="W219" s="1495">
        <v>2.693724</v>
      </c>
      <c r="X219" s="1492">
        <v>8542.3909999999996</v>
      </c>
      <c r="Y219" s="1492">
        <v>358.74377428000003</v>
      </c>
      <c r="Z219" s="1492">
        <v>39.893000000000001</v>
      </c>
      <c r="AA219" s="1492">
        <v>12.560288999999999</v>
      </c>
      <c r="AB219" s="1492">
        <v>8502.4979999999996</v>
      </c>
      <c r="AC219" s="1492">
        <v>346.18348400000002</v>
      </c>
      <c r="AD219" s="1492">
        <v>199177.43799999999</v>
      </c>
      <c r="AE219" s="1492">
        <v>12144.132076919999</v>
      </c>
      <c r="AF219" s="1492">
        <v>15175.814</v>
      </c>
      <c r="AG219" s="1492">
        <v>3862.4410366100001</v>
      </c>
      <c r="AH219" s="1492">
        <v>57966.610999999997</v>
      </c>
      <c r="AI219" s="1492">
        <v>1032.5518453499999</v>
      </c>
      <c r="AJ219" s="1492">
        <v>56328.392999999996</v>
      </c>
      <c r="AK219" s="1492">
        <v>851.99704499999996</v>
      </c>
      <c r="AL219" s="1492">
        <v>117937.094</v>
      </c>
      <c r="AM219" s="1492">
        <v>6920.3301697699999</v>
      </c>
      <c r="AN219" s="1492">
        <v>52.47</v>
      </c>
      <c r="AO219" s="1493">
        <v>2.4044639999999999</v>
      </c>
      <c r="AP219" s="1492">
        <v>8045.8829999999998</v>
      </c>
      <c r="AQ219" s="1492">
        <v>326.40916209</v>
      </c>
      <c r="AR219" s="1492">
        <v>38.728000000000002</v>
      </c>
      <c r="AS219" s="1492">
        <v>12.220209000000001</v>
      </c>
      <c r="AT219" s="1492">
        <v>8007.1549999999997</v>
      </c>
      <c r="AU219" s="1492">
        <v>314.18895199999997</v>
      </c>
      <c r="AV219" s="1492">
        <v>13838.603999999999</v>
      </c>
      <c r="AW219" s="1492">
        <v>799.55317066999999</v>
      </c>
      <c r="AX219" s="1492">
        <v>413.13400000000001</v>
      </c>
      <c r="AY219" s="1492">
        <v>130.79064063000001</v>
      </c>
      <c r="AZ219" s="1492">
        <v>6766.0450000000001</v>
      </c>
      <c r="BA219" s="1492">
        <v>183.47953455000001</v>
      </c>
      <c r="BB219" s="1492">
        <v>6587.0680000000002</v>
      </c>
      <c r="BC219" s="1492">
        <v>167.90129200000001</v>
      </c>
      <c r="BD219" s="1492">
        <v>6158.7969999999996</v>
      </c>
      <c r="BE219" s="1492">
        <v>452.6545218</v>
      </c>
      <c r="BF219" s="1494">
        <v>4.109</v>
      </c>
      <c r="BG219" s="1493">
        <v>0.28926000000000002</v>
      </c>
      <c r="BH219" s="1492">
        <v>496.51900000000001</v>
      </c>
      <c r="BI219" s="1491">
        <v>32.339213190000002</v>
      </c>
      <c r="BJ219" s="1493">
        <v>1.65</v>
      </c>
      <c r="BK219" s="1493">
        <v>0.34</v>
      </c>
      <c r="BL219" s="1492">
        <v>495.34300000000002</v>
      </c>
      <c r="BM219" s="1491">
        <v>31.994532</v>
      </c>
    </row>
    <row r="220" spans="1:65">
      <c r="A220" s="409" t="s">
        <v>24</v>
      </c>
      <c r="B220" s="1491">
        <v>20913.331999999999</v>
      </c>
      <c r="C220" s="1491">
        <v>17286</v>
      </c>
      <c r="D220" s="1491">
        <v>3311.4459999999999</v>
      </c>
      <c r="E220" s="1491">
        <v>2938.319</v>
      </c>
      <c r="F220" s="1491">
        <v>12540.725</v>
      </c>
      <c r="G220" s="1491">
        <v>2122.8420000000001</v>
      </c>
      <c r="H220" s="1491">
        <v>217419.03599999999</v>
      </c>
      <c r="I220" s="1491">
        <v>13331.184610189999</v>
      </c>
      <c r="J220" s="1491">
        <v>14894.848</v>
      </c>
      <c r="K220" s="1491">
        <v>4004.5981189499998</v>
      </c>
      <c r="L220" s="1491">
        <v>31.805</v>
      </c>
      <c r="M220" s="1491">
        <v>197.43915623999999</v>
      </c>
      <c r="N220" s="1491">
        <v>3.13</v>
      </c>
      <c r="O220" s="1491">
        <v>2.0632163700000001</v>
      </c>
      <c r="P220" s="1491">
        <v>68785.217999999993</v>
      </c>
      <c r="Q220" s="1491">
        <v>1119.62450042</v>
      </c>
      <c r="R220" s="1491">
        <v>66907.561000000002</v>
      </c>
      <c r="S220" s="1491">
        <v>1076.874</v>
      </c>
      <c r="T220" s="1491">
        <v>125974.41800000001</v>
      </c>
      <c r="U220" s="1491">
        <v>7628.5475631099998</v>
      </c>
      <c r="V220" s="1491">
        <v>72.296000000000006</v>
      </c>
      <c r="W220" s="1495">
        <v>3.2290000000000001</v>
      </c>
      <c r="X220" s="1492">
        <v>7657.3209999999999</v>
      </c>
      <c r="Y220" s="1492">
        <v>375.68261869999998</v>
      </c>
      <c r="Z220" s="1492">
        <v>37.598999999999997</v>
      </c>
      <c r="AA220" s="1492">
        <v>12.247821</v>
      </c>
      <c r="AB220" s="1492">
        <v>7619.7219999999998</v>
      </c>
      <c r="AC220" s="1492">
        <v>363.43479769999999</v>
      </c>
      <c r="AD220" s="1492">
        <v>203268.46</v>
      </c>
      <c r="AE220" s="1492">
        <v>12525.159061460001</v>
      </c>
      <c r="AF220" s="1492">
        <v>14517.887000000001</v>
      </c>
      <c r="AG220" s="1492">
        <v>3883.3532017699999</v>
      </c>
      <c r="AH220" s="1492">
        <v>61755.330999999998</v>
      </c>
      <c r="AI220" s="1492">
        <v>1130.3281515599999</v>
      </c>
      <c r="AJ220" s="1492">
        <v>60019.5</v>
      </c>
      <c r="AK220" s="1492">
        <v>906.51054799999997</v>
      </c>
      <c r="AL220" s="1492">
        <v>119762.77499999999</v>
      </c>
      <c r="AM220" s="1492">
        <v>7165.1950588299997</v>
      </c>
      <c r="AN220" s="1492">
        <v>66.959000000000003</v>
      </c>
      <c r="AO220" s="1493">
        <v>2.8797540000000001</v>
      </c>
      <c r="AP220" s="1492">
        <v>7165.5079999999998</v>
      </c>
      <c r="AQ220" s="1492">
        <v>343.40289489999998</v>
      </c>
      <c r="AR220" s="1492">
        <v>36.331000000000003</v>
      </c>
      <c r="AS220" s="1492">
        <v>11.857324999999999</v>
      </c>
      <c r="AT220" s="1492">
        <v>7129.1769999999997</v>
      </c>
      <c r="AU220" s="1492">
        <v>331.54556989999998</v>
      </c>
      <c r="AV220" s="1492">
        <v>14150.575999999999</v>
      </c>
      <c r="AW220" s="1492">
        <v>806.02554872999997</v>
      </c>
      <c r="AX220" s="1492">
        <v>380.09100000000001</v>
      </c>
      <c r="AY220" s="1492">
        <v>123.30813354999999</v>
      </c>
      <c r="AZ220" s="1492">
        <v>7061.692</v>
      </c>
      <c r="BA220" s="1492">
        <v>186.73550510000001</v>
      </c>
      <c r="BB220" s="1492">
        <v>6888.0609999999997</v>
      </c>
      <c r="BC220" s="1492">
        <v>170.36423099999999</v>
      </c>
      <c r="BD220" s="1492">
        <v>6211.643</v>
      </c>
      <c r="BE220" s="1492">
        <v>463.35250428000001</v>
      </c>
      <c r="BF220" s="1494">
        <v>5.3369999999999997</v>
      </c>
      <c r="BG220" s="1493">
        <v>0.34968199999999999</v>
      </c>
      <c r="BH220" s="1492">
        <v>491.81299999999999</v>
      </c>
      <c r="BI220" s="1491">
        <v>32.279723799999999</v>
      </c>
      <c r="BJ220" s="1493">
        <v>1.268</v>
      </c>
      <c r="BK220" s="1493">
        <v>0.39049499999999998</v>
      </c>
      <c r="BL220" s="1492">
        <v>490.54500000000002</v>
      </c>
      <c r="BM220" s="1491">
        <v>31.889228799999998</v>
      </c>
    </row>
    <row r="221" spans="1:65">
      <c r="A221" s="409" t="s">
        <v>25</v>
      </c>
      <c r="B221" s="1491">
        <v>21129.038</v>
      </c>
      <c r="C221" s="1491">
        <v>17388.273000000001</v>
      </c>
      <c r="D221" s="1491">
        <v>3309.7779999999998</v>
      </c>
      <c r="E221" s="1491">
        <v>2924.6480000000001</v>
      </c>
      <c r="F221" s="1491">
        <v>12782.056</v>
      </c>
      <c r="G221" s="1491">
        <v>2112.556</v>
      </c>
      <c r="H221" s="1491">
        <v>205000.375</v>
      </c>
      <c r="I221" s="1491">
        <v>12383.44603368</v>
      </c>
      <c r="J221" s="1491">
        <v>13756.203</v>
      </c>
      <c r="K221" s="1491">
        <v>3650.2525848099999</v>
      </c>
      <c r="L221" s="1491">
        <v>29.187999999999999</v>
      </c>
      <c r="M221" s="1491">
        <v>175.92260794000001</v>
      </c>
      <c r="N221" s="1491">
        <v>2.9260000000000002</v>
      </c>
      <c r="O221" s="1491">
        <v>1.6998770000000001</v>
      </c>
      <c r="P221" s="1491">
        <v>62894.815000000002</v>
      </c>
      <c r="Q221" s="1491">
        <v>1015.15378345</v>
      </c>
      <c r="R221" s="1491">
        <v>61088.743999999999</v>
      </c>
      <c r="S221" s="1491">
        <v>976.19788000000005</v>
      </c>
      <c r="T221" s="1491">
        <v>121049.34</v>
      </c>
      <c r="U221" s="1491">
        <v>7153.0875383299999</v>
      </c>
      <c r="V221" s="1491">
        <v>55.831000000000003</v>
      </c>
      <c r="W221" s="1495">
        <v>2.5258164999999999</v>
      </c>
      <c r="X221" s="1492">
        <v>7212.0720000000001</v>
      </c>
      <c r="Y221" s="1492">
        <v>384.80382400000002</v>
      </c>
      <c r="Z221" s="1492">
        <v>35.887999999999998</v>
      </c>
      <c r="AA221" s="1492">
        <v>11.487411</v>
      </c>
      <c r="AB221" s="1492">
        <v>7176.1840000000002</v>
      </c>
      <c r="AC221" s="1492">
        <v>373.31641300000001</v>
      </c>
      <c r="AD221" s="1492">
        <v>191924.89</v>
      </c>
      <c r="AE221" s="1492">
        <v>11644.561784</v>
      </c>
      <c r="AF221" s="1492">
        <v>13403.466</v>
      </c>
      <c r="AG221" s="1492">
        <v>3534.6144378499998</v>
      </c>
      <c r="AH221" s="1492">
        <v>56529.21</v>
      </c>
      <c r="AI221" s="1492">
        <v>1021.81250576</v>
      </c>
      <c r="AJ221" s="1492">
        <v>54855.777000000002</v>
      </c>
      <c r="AK221" s="1492">
        <v>823.93152799999996</v>
      </c>
      <c r="AL221" s="1492">
        <v>115189.761</v>
      </c>
      <c r="AM221" s="1492">
        <v>6733.80523214</v>
      </c>
      <c r="AN221" s="1492">
        <v>51.670999999999999</v>
      </c>
      <c r="AO221" s="1493">
        <v>2.3234017999999996</v>
      </c>
      <c r="AP221" s="1492">
        <v>6750.7820000000002</v>
      </c>
      <c r="AQ221" s="1492">
        <v>352.00620671000001</v>
      </c>
      <c r="AR221" s="1492">
        <v>34.454999999999998</v>
      </c>
      <c r="AS221" s="1492">
        <v>11.047464</v>
      </c>
      <c r="AT221" s="1492">
        <v>6716.3270000000002</v>
      </c>
      <c r="AU221" s="1492">
        <v>340.95874199999997</v>
      </c>
      <c r="AV221" s="1492">
        <v>13075.485000000001</v>
      </c>
      <c r="AW221" s="1492">
        <v>738.88424941999995</v>
      </c>
      <c r="AX221" s="1492">
        <v>355.66300000000001</v>
      </c>
      <c r="AY221" s="1492">
        <v>117.33802475</v>
      </c>
      <c r="AZ221" s="1492">
        <v>6394.7929999999997</v>
      </c>
      <c r="BA221" s="1492">
        <v>169.26388563</v>
      </c>
      <c r="BB221" s="1492">
        <v>6232.9669999999996</v>
      </c>
      <c r="BC221" s="1492">
        <v>152.23635200000001</v>
      </c>
      <c r="BD221" s="1492">
        <v>5859.5789999999997</v>
      </c>
      <c r="BE221" s="1492">
        <v>419.28230618999999</v>
      </c>
      <c r="BF221" s="1494">
        <v>4.16</v>
      </c>
      <c r="BG221" s="1493">
        <v>0.2024147</v>
      </c>
      <c r="BH221" s="1492">
        <v>461.29</v>
      </c>
      <c r="BI221" s="1491">
        <v>32.797618149999998</v>
      </c>
      <c r="BJ221" s="1493">
        <v>1.4330000000000001</v>
      </c>
      <c r="BK221" s="1493">
        <v>0.43994687999999998</v>
      </c>
      <c r="BL221" s="1492">
        <v>459.85699999999997</v>
      </c>
      <c r="BM221" s="1491">
        <v>32.357671269999997</v>
      </c>
    </row>
    <row r="222" spans="1:65">
      <c r="A222" s="409" t="s">
        <v>26</v>
      </c>
      <c r="B222" s="1491">
        <v>21367.566999999999</v>
      </c>
      <c r="C222" s="1491">
        <v>17566.523000000001</v>
      </c>
      <c r="D222" s="1491">
        <v>3308.5479999999998</v>
      </c>
      <c r="E222" s="1491">
        <v>2920.933</v>
      </c>
      <c r="F222" s="1491">
        <v>13021.831</v>
      </c>
      <c r="G222" s="1491">
        <v>2116.2550000000001</v>
      </c>
      <c r="H222" s="1491">
        <v>227440.337</v>
      </c>
      <c r="I222" s="1491">
        <v>13352.40625663</v>
      </c>
      <c r="J222" s="1491">
        <v>15311.215</v>
      </c>
      <c r="K222" s="1491">
        <v>3918.8094570799999</v>
      </c>
      <c r="L222" s="1491">
        <v>27.283999999999999</v>
      </c>
      <c r="M222" s="1491">
        <v>167.40887172999999</v>
      </c>
      <c r="N222" s="1491">
        <v>3.1789999999999998</v>
      </c>
      <c r="O222" s="1491">
        <v>1.10580013</v>
      </c>
      <c r="P222" s="1491">
        <v>67207.498000000007</v>
      </c>
      <c r="Q222" s="1491">
        <v>1086.2019751</v>
      </c>
      <c r="R222" s="1491">
        <v>64730.974999999999</v>
      </c>
      <c r="S222" s="1491">
        <v>1037.8433239999999</v>
      </c>
      <c r="T222" s="1491">
        <v>136883.921</v>
      </c>
      <c r="U222" s="1491">
        <v>7807.96618476</v>
      </c>
      <c r="V222" s="1491">
        <v>62.253</v>
      </c>
      <c r="W222" s="1495">
        <v>2.8890030000000002</v>
      </c>
      <c r="X222" s="1492">
        <v>7944.9870000000001</v>
      </c>
      <c r="Y222" s="1492">
        <v>368.02496400000001</v>
      </c>
      <c r="Z222" s="1492">
        <v>40.262999999999998</v>
      </c>
      <c r="AA222" s="1492">
        <v>12.635576</v>
      </c>
      <c r="AB222" s="1492">
        <v>7904.7240000000002</v>
      </c>
      <c r="AC222" s="1492">
        <v>355.389388</v>
      </c>
      <c r="AD222" s="1492">
        <v>213531.508</v>
      </c>
      <c r="AE222" s="1492">
        <v>12574.84416543</v>
      </c>
      <c r="AF222" s="1492">
        <v>14931.52</v>
      </c>
      <c r="AG222" s="1492">
        <v>3797.4441406300002</v>
      </c>
      <c r="AH222" s="1492">
        <v>60516.082999999999</v>
      </c>
      <c r="AI222" s="1492">
        <v>1073.1867904799999</v>
      </c>
      <c r="AJ222" s="1492">
        <v>58208.377</v>
      </c>
      <c r="AK222" s="1492">
        <v>873.709835</v>
      </c>
      <c r="AL222" s="1492">
        <v>130555.417</v>
      </c>
      <c r="AM222" s="1492">
        <v>7364.71052762</v>
      </c>
      <c r="AN222" s="1492">
        <v>59.07</v>
      </c>
      <c r="AO222" s="1493">
        <v>2.7395849999999999</v>
      </c>
      <c r="AP222" s="1492">
        <v>7469.4179999999997</v>
      </c>
      <c r="AQ222" s="1492">
        <v>336.7631217</v>
      </c>
      <c r="AR222" s="1492">
        <v>38.908999999999999</v>
      </c>
      <c r="AS222" s="1492">
        <v>12.248446</v>
      </c>
      <c r="AT222" s="1492">
        <v>7430.509</v>
      </c>
      <c r="AU222" s="1492">
        <v>324.51467400000001</v>
      </c>
      <c r="AV222" s="1492">
        <v>13908.829</v>
      </c>
      <c r="AW222" s="1492">
        <v>777.56209120000005</v>
      </c>
      <c r="AX222" s="1492">
        <v>382.87400000000002</v>
      </c>
      <c r="AY222" s="1492">
        <v>122.47111658</v>
      </c>
      <c r="AZ222" s="1492">
        <v>6718.6989999999996</v>
      </c>
      <c r="BA222" s="1492">
        <v>180.42405635</v>
      </c>
      <c r="BB222" s="1492">
        <v>6522.598</v>
      </c>
      <c r="BC222" s="1492">
        <v>164.133489</v>
      </c>
      <c r="BD222" s="1492">
        <v>6328.5039999999999</v>
      </c>
      <c r="BE222" s="1492">
        <v>443.25565713999998</v>
      </c>
      <c r="BF222" s="1494">
        <v>3.1829999999999998</v>
      </c>
      <c r="BG222" s="1493">
        <v>0.149418</v>
      </c>
      <c r="BH222" s="1492">
        <v>475.56900000000002</v>
      </c>
      <c r="BI222" s="1491">
        <v>31.261842730000001</v>
      </c>
      <c r="BJ222" s="1493">
        <v>1.3540000000000001</v>
      </c>
      <c r="BK222" s="1493">
        <v>0.387129</v>
      </c>
      <c r="BL222" s="1492">
        <v>474.21499999999997</v>
      </c>
      <c r="BM222" s="1491">
        <v>30.873999999999999</v>
      </c>
    </row>
    <row r="223" spans="1:65">
      <c r="A223" s="409" t="s">
        <v>27</v>
      </c>
      <c r="B223" s="1491">
        <v>21701.151000000002</v>
      </c>
      <c r="C223" s="1491">
        <v>17815.495999999999</v>
      </c>
      <c r="D223" s="1491">
        <v>3371.6669999999999</v>
      </c>
      <c r="E223" s="1491">
        <v>2959.5039999999999</v>
      </c>
      <c r="F223" s="1491">
        <v>13258.996999999999</v>
      </c>
      <c r="G223" s="1491">
        <v>2110.9830000000002</v>
      </c>
      <c r="H223" s="1491">
        <v>229873.117</v>
      </c>
      <c r="I223" s="1491">
        <v>13283.47344745</v>
      </c>
      <c r="J223" s="1491">
        <v>15342.028</v>
      </c>
      <c r="K223" s="1491">
        <v>3938.5930405099998</v>
      </c>
      <c r="L223" s="1491">
        <v>26.946000000000002</v>
      </c>
      <c r="M223" s="1491">
        <v>163.69428622999999</v>
      </c>
      <c r="N223" s="1491">
        <v>3.222</v>
      </c>
      <c r="O223" s="1491">
        <v>1.1210676100000001</v>
      </c>
      <c r="P223" s="1491">
        <v>67715.716</v>
      </c>
      <c r="Q223" s="1491">
        <v>1044.81276211</v>
      </c>
      <c r="R223" s="1491">
        <v>65468</v>
      </c>
      <c r="S223" s="1491">
        <v>1005</v>
      </c>
      <c r="T223" s="1491">
        <v>137965.853</v>
      </c>
      <c r="U223" s="1491">
        <v>7776.22787324</v>
      </c>
      <c r="V223" s="1491">
        <v>62.066000000000003</v>
      </c>
      <c r="W223" s="1495">
        <v>2.84</v>
      </c>
      <c r="X223" s="1492">
        <v>8757.2860000000001</v>
      </c>
      <c r="Y223" s="1492">
        <v>356.18469835000002</v>
      </c>
      <c r="Z223" s="1492">
        <v>40.438000000000002</v>
      </c>
      <c r="AA223" s="1492">
        <v>12.092694</v>
      </c>
      <c r="AB223" s="1492">
        <v>8716.848</v>
      </c>
      <c r="AC223" s="1492">
        <v>344.09200435000002</v>
      </c>
      <c r="AD223" s="1492">
        <v>216503.50200000001</v>
      </c>
      <c r="AE223" s="1492">
        <v>12538.54499751</v>
      </c>
      <c r="AF223" s="1492">
        <v>14994.635</v>
      </c>
      <c r="AG223" s="1492">
        <v>3821.8931588199998</v>
      </c>
      <c r="AH223" s="1492">
        <v>61262.612000000001</v>
      </c>
      <c r="AI223" s="1492">
        <v>1037.7664819300001</v>
      </c>
      <c r="AJ223" s="1492">
        <v>59181.54</v>
      </c>
      <c r="AK223" s="1492">
        <v>850.30785000000003</v>
      </c>
      <c r="AL223" s="1492">
        <v>131883.71599999999</v>
      </c>
      <c r="AM223" s="1492">
        <v>7348.79031287</v>
      </c>
      <c r="AN223" s="1492">
        <v>58.456000000000003</v>
      </c>
      <c r="AO223" s="1493">
        <v>2.6874419999999999</v>
      </c>
      <c r="AP223" s="1492">
        <v>8304.0830000000005</v>
      </c>
      <c r="AQ223" s="1492">
        <v>327.40760168999998</v>
      </c>
      <c r="AR223" s="1492">
        <v>39.277000000000001</v>
      </c>
      <c r="AS223" s="1492">
        <v>11.74841</v>
      </c>
      <c r="AT223" s="1492">
        <v>8264.8060000000005</v>
      </c>
      <c r="AU223" s="1492">
        <v>315.65919169</v>
      </c>
      <c r="AV223" s="1492">
        <v>13369.615</v>
      </c>
      <c r="AW223" s="1492">
        <v>744.92844993999995</v>
      </c>
      <c r="AX223" s="1492">
        <v>350.61500000000001</v>
      </c>
      <c r="AY223" s="1492">
        <v>117.8209493</v>
      </c>
      <c r="AZ223" s="1492">
        <v>6480.05</v>
      </c>
      <c r="BA223" s="1492">
        <v>170.74056641000001</v>
      </c>
      <c r="BB223" s="1492">
        <v>6286.8050000000003</v>
      </c>
      <c r="BC223" s="1492">
        <v>154.30828500000001</v>
      </c>
      <c r="BD223" s="1492">
        <v>6082.1369999999997</v>
      </c>
      <c r="BE223" s="1492">
        <v>427.43756037000003</v>
      </c>
      <c r="BF223" s="1494">
        <v>3.61</v>
      </c>
      <c r="BG223" s="1493">
        <v>0.152277</v>
      </c>
      <c r="BH223" s="1492">
        <v>453.20299999999997</v>
      </c>
      <c r="BI223" s="1491">
        <v>28.777096660000002</v>
      </c>
      <c r="BJ223" s="1493">
        <v>1.161</v>
      </c>
      <c r="BK223" s="1493">
        <v>0.34428300000000001</v>
      </c>
      <c r="BL223" s="1492">
        <v>452.04199999999997</v>
      </c>
      <c r="BM223" s="1491">
        <v>28.432813660000001</v>
      </c>
    </row>
    <row r="224" spans="1:65">
      <c r="A224" s="409" t="s">
        <v>28</v>
      </c>
      <c r="B224" s="1491">
        <v>21834.804</v>
      </c>
      <c r="C224" s="1491">
        <v>17930.858</v>
      </c>
      <c r="D224" s="1491">
        <v>3398.0940000000001</v>
      </c>
      <c r="E224" s="1491">
        <v>2935.4319999999998</v>
      </c>
      <c r="F224" s="1491">
        <v>13403.994000000001</v>
      </c>
      <c r="G224" s="1491">
        <v>2097.2840000000001</v>
      </c>
      <c r="H224" s="1491">
        <v>209021.37100000001</v>
      </c>
      <c r="I224" s="1491">
        <v>12044.8418735</v>
      </c>
      <c r="J224" s="1491">
        <v>13779.749</v>
      </c>
      <c r="K224" s="1491">
        <v>3612.5007208699999</v>
      </c>
      <c r="L224" s="1491">
        <v>23.114000000000001</v>
      </c>
      <c r="M224" s="1491">
        <v>141.81478304000001</v>
      </c>
      <c r="N224" s="1491">
        <v>2.5539999999999998</v>
      </c>
      <c r="O224" s="1491">
        <v>0.73211574000000001</v>
      </c>
      <c r="P224" s="1491">
        <v>62466.750999999997</v>
      </c>
      <c r="Q224" s="1491">
        <v>990.24009302000002</v>
      </c>
      <c r="R224" s="1491">
        <v>59250.576000000001</v>
      </c>
      <c r="S224" s="1491">
        <v>917.94498899999996</v>
      </c>
      <c r="T224" s="1491">
        <v>124759.02899999999</v>
      </c>
      <c r="U224" s="1491">
        <v>6947.7413206299998</v>
      </c>
      <c r="V224" s="1491">
        <v>43.331000000000003</v>
      </c>
      <c r="W224" s="1495">
        <v>1.6874260000000001</v>
      </c>
      <c r="X224" s="1492">
        <v>7946.8429999999998</v>
      </c>
      <c r="Y224" s="1492">
        <v>350.12541399999998</v>
      </c>
      <c r="Z224" s="1492">
        <v>36.597999999999999</v>
      </c>
      <c r="AA224" s="1492">
        <v>11.296979</v>
      </c>
      <c r="AB224" s="1492">
        <v>7910.2449999999999</v>
      </c>
      <c r="AC224" s="1492">
        <v>338.82843500000001</v>
      </c>
      <c r="AD224" s="1492">
        <v>197080.78200000001</v>
      </c>
      <c r="AE224" s="1492">
        <v>11360.18679811</v>
      </c>
      <c r="AF224" s="1492">
        <v>13478.445</v>
      </c>
      <c r="AG224" s="1492">
        <v>3508.8979770300002</v>
      </c>
      <c r="AH224" s="1492">
        <v>56549.27</v>
      </c>
      <c r="AI224" s="1492">
        <v>959.18750938000005</v>
      </c>
      <c r="AJ224" s="1492">
        <v>53657.292999999998</v>
      </c>
      <c r="AK224" s="1492">
        <v>767.65013699999997</v>
      </c>
      <c r="AL224" s="1492">
        <v>119480.76300000001</v>
      </c>
      <c r="AM224" s="1492">
        <v>6569.8284784300004</v>
      </c>
      <c r="AN224" s="1492">
        <v>39.034999999999997</v>
      </c>
      <c r="AO224" s="1493">
        <v>1.517658</v>
      </c>
      <c r="AP224" s="1492">
        <v>7533.2690000000002</v>
      </c>
      <c r="AQ224" s="1492">
        <v>320.75517500000001</v>
      </c>
      <c r="AR224" s="1492">
        <v>35.591999999999999</v>
      </c>
      <c r="AS224" s="1492">
        <v>11.03166</v>
      </c>
      <c r="AT224" s="1492">
        <v>7497.6769999999997</v>
      </c>
      <c r="AU224" s="1492">
        <v>309.72351600000002</v>
      </c>
      <c r="AV224" s="1492">
        <v>11940.589</v>
      </c>
      <c r="AW224" s="1492">
        <v>684.65507538999998</v>
      </c>
      <c r="AX224" s="1492">
        <v>303.858</v>
      </c>
      <c r="AY224" s="1492">
        <v>104.33485958</v>
      </c>
      <c r="AZ224" s="1492">
        <v>5940.5950000000003</v>
      </c>
      <c r="BA224" s="1492">
        <v>172.86736668</v>
      </c>
      <c r="BB224" s="1492">
        <v>5593.2830000000004</v>
      </c>
      <c r="BC224" s="1492">
        <v>150.29485199999999</v>
      </c>
      <c r="BD224" s="1492">
        <v>5278.2659999999996</v>
      </c>
      <c r="BE224" s="1492">
        <v>377.9128422</v>
      </c>
      <c r="BF224" s="1494">
        <v>4.2960000000000003</v>
      </c>
      <c r="BG224" s="1493">
        <v>0.169768</v>
      </c>
      <c r="BH224" s="1492">
        <v>413.57400000000001</v>
      </c>
      <c r="BI224" s="1491">
        <v>29.370238929999999</v>
      </c>
      <c r="BJ224" s="1493">
        <v>1.006</v>
      </c>
      <c r="BK224" s="1493">
        <v>0.26532</v>
      </c>
      <c r="BL224" s="1492">
        <v>412.56799999999998</v>
      </c>
      <c r="BM224" s="1491">
        <v>29.104918000000001</v>
      </c>
    </row>
    <row r="225" spans="1:139">
      <c r="A225" s="409" t="s">
        <v>29</v>
      </c>
      <c r="B225" s="1491">
        <v>21979.775000000001</v>
      </c>
      <c r="C225" s="1491">
        <v>17992.171999999999</v>
      </c>
      <c r="D225" s="1491">
        <v>3397.5129999999999</v>
      </c>
      <c r="E225" s="1491">
        <v>2869.761</v>
      </c>
      <c r="F225" s="1491">
        <v>13635.888999999999</v>
      </c>
      <c r="G225" s="1491">
        <v>2076.6120000000001</v>
      </c>
      <c r="H225" s="1491">
        <v>256630.13</v>
      </c>
      <c r="I225" s="1491">
        <v>15278.16339817</v>
      </c>
      <c r="J225" s="1491">
        <v>16750.763999999999</v>
      </c>
      <c r="K225" s="1491">
        <v>4603.0181530500004</v>
      </c>
      <c r="L225" s="1491">
        <v>30.233000000000001</v>
      </c>
      <c r="M225" s="1491">
        <v>202.47454465000001</v>
      </c>
      <c r="N225" s="1491">
        <v>2.1669999999999998</v>
      </c>
      <c r="O225" s="1491">
        <v>0.76362348999999996</v>
      </c>
      <c r="P225" s="1491">
        <v>78380.065000000002</v>
      </c>
      <c r="Q225" s="1491">
        <v>1260.48797036</v>
      </c>
      <c r="R225" s="1491">
        <v>74240</v>
      </c>
      <c r="S225" s="1491">
        <v>1158.479</v>
      </c>
      <c r="T225" s="1491">
        <v>152470.951</v>
      </c>
      <c r="U225" s="1491">
        <v>8833.2678493799995</v>
      </c>
      <c r="V225" s="1491">
        <v>62.97</v>
      </c>
      <c r="W225" s="1495">
        <v>2.0368789999999999</v>
      </c>
      <c r="X225" s="1492">
        <v>8932.98</v>
      </c>
      <c r="Y225" s="1492">
        <v>376.11437744</v>
      </c>
      <c r="Z225" s="1492">
        <v>40.636000000000003</v>
      </c>
      <c r="AA225" s="1492">
        <v>12.804527999999999</v>
      </c>
      <c r="AB225" s="1492">
        <v>8892.3439999999991</v>
      </c>
      <c r="AC225" s="1492">
        <v>363.30984943999999</v>
      </c>
      <c r="AD225" s="1492">
        <v>242967.48699999999</v>
      </c>
      <c r="AE225" s="1492">
        <v>14490.36985436</v>
      </c>
      <c r="AF225" s="1492">
        <v>16431.444</v>
      </c>
      <c r="AG225" s="1492">
        <v>4491.2252825400001</v>
      </c>
      <c r="AH225" s="1492">
        <v>71395.3</v>
      </c>
      <c r="AI225" s="1492">
        <v>1259.6986606800001</v>
      </c>
      <c r="AJ225" s="1492">
        <v>67649.194000000003</v>
      </c>
      <c r="AK225" s="1492">
        <v>981.29932099999996</v>
      </c>
      <c r="AL225" s="1492">
        <v>146628.82800000001</v>
      </c>
      <c r="AM225" s="1492">
        <v>8392.7586340800008</v>
      </c>
      <c r="AN225" s="1492">
        <v>55.587000000000003</v>
      </c>
      <c r="AO225" s="1493">
        <v>1.7807580000000001</v>
      </c>
      <c r="AP225" s="1492">
        <v>8456.3279999999995</v>
      </c>
      <c r="AQ225" s="1492">
        <v>344.90651871</v>
      </c>
      <c r="AR225" s="1492">
        <v>39.531999999999996</v>
      </c>
      <c r="AS225" s="1492">
        <v>12.525653</v>
      </c>
      <c r="AT225" s="1492">
        <v>8416.7960000000003</v>
      </c>
      <c r="AU225" s="1492">
        <v>332.38086571000002</v>
      </c>
      <c r="AV225" s="1492">
        <v>13662.643</v>
      </c>
      <c r="AW225" s="1492">
        <v>787.79354380999996</v>
      </c>
      <c r="AX225" s="1492">
        <v>321.48700000000002</v>
      </c>
      <c r="AY225" s="1492">
        <v>112.556494</v>
      </c>
      <c r="AZ225" s="1492">
        <v>7014.9979999999996</v>
      </c>
      <c r="BA225" s="1492">
        <v>203.26385432999999</v>
      </c>
      <c r="BB225" s="1492">
        <v>6591.1139999999996</v>
      </c>
      <c r="BC225" s="1492">
        <v>177.180331</v>
      </c>
      <c r="BD225" s="1492">
        <v>5842.1229999999996</v>
      </c>
      <c r="BE225" s="1492">
        <v>440.50921499999998</v>
      </c>
      <c r="BF225" s="1494">
        <v>7.383</v>
      </c>
      <c r="BG225" s="1493">
        <v>0.25612099999999999</v>
      </c>
      <c r="BH225" s="1492">
        <v>476.65199999999999</v>
      </c>
      <c r="BI225" s="1491">
        <v>31.207858730000002</v>
      </c>
      <c r="BJ225" s="1493">
        <v>1.1040000000000001</v>
      </c>
      <c r="BK225" s="1493">
        <v>0.27887499999999998</v>
      </c>
      <c r="BL225" s="1492">
        <v>475.548</v>
      </c>
      <c r="BM225" s="1491">
        <v>30.928982999999999</v>
      </c>
    </row>
    <row r="226" spans="1:139">
      <c r="A226" s="580" t="s">
        <v>4465</v>
      </c>
      <c r="B226" s="1491"/>
      <c r="C226" s="1491"/>
      <c r="D226" s="1491"/>
      <c r="E226" s="1491"/>
      <c r="F226" s="1491"/>
      <c r="G226" s="1491"/>
      <c r="H226" s="1491"/>
      <c r="I226" s="1491"/>
      <c r="J226" s="1491"/>
      <c r="K226" s="1491"/>
      <c r="L226" s="1491"/>
      <c r="M226" s="1491"/>
      <c r="N226" s="1491"/>
      <c r="O226" s="1491"/>
      <c r="P226" s="1491"/>
      <c r="Q226" s="1491"/>
      <c r="R226" s="1491"/>
      <c r="S226" s="1491"/>
      <c r="T226" s="1491"/>
      <c r="U226" s="1491"/>
      <c r="V226" s="1491"/>
      <c r="W226" s="1495"/>
      <c r="X226" s="1492"/>
      <c r="Y226" s="1492"/>
      <c r="Z226" s="1492"/>
      <c r="AA226" s="1492"/>
      <c r="AB226" s="1492"/>
      <c r="AC226" s="1492"/>
      <c r="AD226" s="1492"/>
      <c r="AE226" s="1492"/>
      <c r="AF226" s="1492"/>
      <c r="AG226" s="1492"/>
      <c r="AH226" s="1492"/>
      <c r="AI226" s="1492"/>
      <c r="AJ226" s="1492"/>
      <c r="AK226" s="1492"/>
      <c r="AL226" s="1492"/>
      <c r="AM226" s="1492"/>
      <c r="AN226" s="1492"/>
      <c r="AO226" s="1493"/>
      <c r="AP226" s="1492"/>
      <c r="AQ226" s="1492"/>
      <c r="AR226" s="1492"/>
      <c r="AS226" s="1492"/>
      <c r="AT226" s="1492"/>
      <c r="AU226" s="1492"/>
      <c r="AV226" s="1492"/>
      <c r="AW226" s="1492"/>
      <c r="AX226" s="1492"/>
      <c r="AY226" s="1492"/>
      <c r="AZ226" s="1492"/>
      <c r="BA226" s="1492"/>
      <c r="BB226" s="1492"/>
      <c r="BC226" s="1492"/>
      <c r="BD226" s="1492"/>
      <c r="BE226" s="1492"/>
      <c r="BF226" s="1494"/>
      <c r="BG226" s="1493"/>
      <c r="BH226" s="1492"/>
      <c r="BI226" s="1491"/>
      <c r="BJ226" s="1493"/>
      <c r="BK226" s="1493"/>
      <c r="BL226" s="1492"/>
      <c r="BM226" s="1491"/>
    </row>
    <row r="227" spans="1:139">
      <c r="A227" s="580" t="s">
        <v>18</v>
      </c>
      <c r="B227" s="1491">
        <v>22155.918000000001</v>
      </c>
      <c r="C227" s="1491">
        <v>18121</v>
      </c>
      <c r="D227" s="1491">
        <v>3407.7550000000001</v>
      </c>
      <c r="E227" s="1491">
        <v>2864.9609999999998</v>
      </c>
      <c r="F227" s="1491">
        <v>13809.45</v>
      </c>
      <c r="G227" s="1491">
        <v>2073.752</v>
      </c>
      <c r="H227" s="1491">
        <v>217713.12700000001</v>
      </c>
      <c r="I227" s="1491">
        <v>11220.449208399999</v>
      </c>
      <c r="J227" s="1491">
        <v>12373.945</v>
      </c>
      <c r="K227" s="1491">
        <v>3048.72768735</v>
      </c>
      <c r="L227" s="1491">
        <v>22.396000000000001</v>
      </c>
      <c r="M227" s="1491">
        <v>148.61185545999999</v>
      </c>
      <c r="N227" s="1491">
        <v>1.744</v>
      </c>
      <c r="O227" s="1491">
        <v>0.63602539000000002</v>
      </c>
      <c r="P227" s="1491">
        <v>73157.831000000006</v>
      </c>
      <c r="Q227" s="1491">
        <v>1084.8195169999999</v>
      </c>
      <c r="R227" s="1491">
        <v>69465.081000000006</v>
      </c>
      <c r="S227" s="1491">
        <v>998.33634900000004</v>
      </c>
      <c r="T227" s="1491">
        <v>124531.183</v>
      </c>
      <c r="U227" s="1491">
        <v>6599.9407468700001</v>
      </c>
      <c r="V227" s="1491">
        <v>49.07</v>
      </c>
      <c r="W227" s="1495">
        <v>1.60076</v>
      </c>
      <c r="X227" s="1492">
        <v>7576.9579999999996</v>
      </c>
      <c r="Y227" s="1492">
        <v>336.11261545000002</v>
      </c>
      <c r="Z227" s="1492">
        <v>34.35</v>
      </c>
      <c r="AA227" s="1492">
        <v>12</v>
      </c>
      <c r="AB227" s="1492">
        <v>7542.6079999999993</v>
      </c>
      <c r="AC227" s="1492">
        <v>323.27219545000003</v>
      </c>
      <c r="AD227" s="1492">
        <v>205273.69200000001</v>
      </c>
      <c r="AE227" s="1492">
        <v>10573.194833629999</v>
      </c>
      <c r="AF227" s="1492">
        <v>12092.52</v>
      </c>
      <c r="AG227" s="1492">
        <v>2958.02186403</v>
      </c>
      <c r="AH227" s="1492">
        <v>66503.081999999995</v>
      </c>
      <c r="AI227" s="1492">
        <v>1063.5450000000001</v>
      </c>
      <c r="AJ227" s="1492">
        <v>63169.866000000002</v>
      </c>
      <c r="AK227" s="1492">
        <v>849.12858000000006</v>
      </c>
      <c r="AL227" s="1492">
        <v>119453.568</v>
      </c>
      <c r="AM227" s="1492">
        <v>6241.1156278500002</v>
      </c>
      <c r="AN227" s="1492">
        <v>44.259</v>
      </c>
      <c r="AO227" s="1493">
        <v>1.4279999999999999</v>
      </c>
      <c r="AP227" s="1492">
        <v>7180.2629999999999</v>
      </c>
      <c r="AQ227" s="1492">
        <v>309.08318489999999</v>
      </c>
      <c r="AR227" s="1492">
        <v>33.520000000000003</v>
      </c>
      <c r="AS227" s="1492">
        <v>12.080560999999999</v>
      </c>
      <c r="AT227" s="1492">
        <v>7146.7429999999995</v>
      </c>
      <c r="AU227" s="1492">
        <v>297.0026239</v>
      </c>
      <c r="AV227" s="1492">
        <v>12439.434999999999</v>
      </c>
      <c r="AW227" s="1492">
        <v>647.25437477000003</v>
      </c>
      <c r="AX227" s="1492">
        <v>283.16899999999998</v>
      </c>
      <c r="AY227" s="1492">
        <v>91.341848709999994</v>
      </c>
      <c r="AZ227" s="1492">
        <v>6677.1450000000004</v>
      </c>
      <c r="BA227" s="1492">
        <v>169.88552899999999</v>
      </c>
      <c r="BB227" s="1492">
        <v>6295.2150000000001</v>
      </c>
      <c r="BC227" s="1492">
        <v>149.20776799999999</v>
      </c>
      <c r="BD227" s="1492">
        <v>5077.6149999999998</v>
      </c>
      <c r="BE227" s="1492">
        <v>358.82511901999999</v>
      </c>
      <c r="BF227" s="1494">
        <v>4.8109999999999999</v>
      </c>
      <c r="BG227" s="1493">
        <v>0.17244699999999999</v>
      </c>
      <c r="BH227" s="1492">
        <v>396.69499999999999</v>
      </c>
      <c r="BI227" s="1491">
        <v>27.029430000000001</v>
      </c>
      <c r="BJ227" s="1493">
        <v>0.83</v>
      </c>
      <c r="BK227" s="1493">
        <v>0.303481</v>
      </c>
      <c r="BL227" s="1492">
        <v>395.86500000000001</v>
      </c>
      <c r="BM227" s="1491">
        <v>26.725949</v>
      </c>
    </row>
    <row r="228" spans="1:139">
      <c r="A228" s="580" t="s">
        <v>19</v>
      </c>
      <c r="B228" s="1491">
        <v>22347.416000000001</v>
      </c>
      <c r="C228" s="1491">
        <v>18279.027999999998</v>
      </c>
      <c r="D228" s="1491">
        <v>3419.4229999999998</v>
      </c>
      <c r="E228" s="1491">
        <v>2887.587</v>
      </c>
      <c r="F228" s="1491">
        <v>13968.392</v>
      </c>
      <c r="G228" s="1491">
        <v>2072.0140000000001</v>
      </c>
      <c r="H228" s="1491">
        <v>222920.6</v>
      </c>
      <c r="I228" s="1491">
        <v>12205.33258237</v>
      </c>
      <c r="J228" s="1491">
        <v>13513.718000000001</v>
      </c>
      <c r="K228" s="1491">
        <v>3562.7855095199998</v>
      </c>
      <c r="L228" s="1491">
        <v>23.437999999999999</v>
      </c>
      <c r="M228" s="1491">
        <v>156.65406401000001</v>
      </c>
      <c r="N228" s="1491">
        <v>1.77</v>
      </c>
      <c r="O228" s="1491">
        <v>0.63434210999999996</v>
      </c>
      <c r="P228" s="1491">
        <v>75274.722999999998</v>
      </c>
      <c r="Q228" s="1491">
        <v>1026.39696951</v>
      </c>
      <c r="R228" s="1491">
        <v>71591.053</v>
      </c>
      <c r="S228" s="1491">
        <v>941.54992600000003</v>
      </c>
      <c r="T228" s="1491">
        <v>127428.137</v>
      </c>
      <c r="U228" s="1491">
        <v>7171.2600582599998</v>
      </c>
      <c r="V228" s="1491">
        <v>42.140999999999998</v>
      </c>
      <c r="W228" s="1495">
        <v>1.744</v>
      </c>
      <c r="X228" s="1492">
        <v>6636.6729999999998</v>
      </c>
      <c r="Y228" s="1492">
        <v>285.85730970999998</v>
      </c>
      <c r="Z228" s="1492">
        <v>31.452000000000002</v>
      </c>
      <c r="AA228" s="1492">
        <v>11.461039</v>
      </c>
      <c r="AB228" s="1492">
        <v>6605.2209999999995</v>
      </c>
      <c r="AC228" s="1492">
        <v>274.39627070999995</v>
      </c>
      <c r="AD228" s="1492">
        <v>210916.12599999999</v>
      </c>
      <c r="AE228" s="1492">
        <v>11566.200946299999</v>
      </c>
      <c r="AF228" s="1492">
        <v>13244.178</v>
      </c>
      <c r="AG228" s="1492">
        <v>3471.01401171</v>
      </c>
      <c r="AH228" s="1492">
        <v>68804.925000000003</v>
      </c>
      <c r="AI228" s="1492">
        <v>1023.475646</v>
      </c>
      <c r="AJ228" s="1492">
        <v>65470.372000000003</v>
      </c>
      <c r="AK228" s="1492">
        <v>804.13280599999996</v>
      </c>
      <c r="AL228" s="1492">
        <v>122536.398</v>
      </c>
      <c r="AM228" s="1492">
        <v>6806.89075641</v>
      </c>
      <c r="AN228" s="1492">
        <v>37.685000000000002</v>
      </c>
      <c r="AO228" s="1493">
        <v>1.5780149999999999</v>
      </c>
      <c r="AP228" s="1492">
        <v>6292.94</v>
      </c>
      <c r="AQ228" s="1492">
        <v>263.24251630999998</v>
      </c>
      <c r="AR228" s="1492">
        <v>30.678999999999998</v>
      </c>
      <c r="AS228" s="1492">
        <v>11.201934</v>
      </c>
      <c r="AT228" s="1492">
        <v>6262.2609999999995</v>
      </c>
      <c r="AU228" s="1492">
        <v>252.04058230999999</v>
      </c>
      <c r="AV228" s="1492">
        <v>12004.474</v>
      </c>
      <c r="AW228" s="1492">
        <v>639.13163607000001</v>
      </c>
      <c r="AX228" s="1492">
        <v>271.31</v>
      </c>
      <c r="AY228" s="1492">
        <v>92.405839920000005</v>
      </c>
      <c r="AZ228" s="1492">
        <v>6493.2359999999999</v>
      </c>
      <c r="BA228" s="1492">
        <v>159.57538690000001</v>
      </c>
      <c r="BB228" s="1492">
        <v>6120.6809999999996</v>
      </c>
      <c r="BC228" s="1492">
        <v>137.41711900000001</v>
      </c>
      <c r="BD228" s="1492">
        <v>4891.7389999999996</v>
      </c>
      <c r="BE228" s="1492">
        <v>364.36930185</v>
      </c>
      <c r="BF228" s="1494">
        <v>4.4560000000000004</v>
      </c>
      <c r="BG228" s="1493">
        <v>0.16631399999999999</v>
      </c>
      <c r="BH228" s="1492">
        <v>343.733</v>
      </c>
      <c r="BI228" s="1491">
        <v>22.6147934</v>
      </c>
      <c r="BJ228" s="1493">
        <v>0.77300000000000002</v>
      </c>
      <c r="BK228" s="1493">
        <v>0.259104</v>
      </c>
      <c r="BL228" s="1492">
        <v>342.96</v>
      </c>
      <c r="BM228" s="1491">
        <v>22.355689399999999</v>
      </c>
    </row>
    <row r="229" spans="1:139">
      <c r="A229" s="580" t="s">
        <v>20</v>
      </c>
      <c r="B229" s="1491">
        <v>22409.083999999999</v>
      </c>
      <c r="C229" s="1491">
        <v>18332</v>
      </c>
      <c r="D229" s="1491">
        <v>3418.1529999999998</v>
      </c>
      <c r="E229" s="1491">
        <v>2872.8809999999999</v>
      </c>
      <c r="F229" s="1491">
        <v>14046.999</v>
      </c>
      <c r="G229" s="1491">
        <v>2071.0509999999999</v>
      </c>
      <c r="H229" s="1491">
        <v>260628.038</v>
      </c>
      <c r="I229" s="1491">
        <v>14069.630903830001</v>
      </c>
      <c r="J229" s="1491">
        <v>15553.025</v>
      </c>
      <c r="K229" s="1491">
        <v>4030.8797633099998</v>
      </c>
      <c r="L229" s="1491">
        <v>21.283999999999999</v>
      </c>
      <c r="M229" s="1491">
        <v>128.49328331000001</v>
      </c>
      <c r="N229" s="1491">
        <v>2.528</v>
      </c>
      <c r="O229" s="1491">
        <v>0.88878376000000003</v>
      </c>
      <c r="P229" s="1491">
        <v>88653.634999999995</v>
      </c>
      <c r="Q229" s="1491">
        <v>1266.76564773</v>
      </c>
      <c r="R229" s="1491">
        <v>84195.58</v>
      </c>
      <c r="S229" s="1491">
        <v>1157.470998</v>
      </c>
      <c r="T229" s="1491">
        <v>147970.283</v>
      </c>
      <c r="U229" s="1491">
        <v>8290.5580436199998</v>
      </c>
      <c r="V229" s="1491">
        <v>36.652999999999999</v>
      </c>
      <c r="W229" s="1495">
        <v>1.4797880000000001</v>
      </c>
      <c r="X229" s="1492">
        <v>8390.6299999999992</v>
      </c>
      <c r="Y229" s="1492">
        <v>350.5655941</v>
      </c>
      <c r="Z229" s="1492">
        <v>38.030999999999999</v>
      </c>
      <c r="AA229" s="1492">
        <v>13.008545</v>
      </c>
      <c r="AB229" s="1492">
        <v>8352.5989999999983</v>
      </c>
      <c r="AC229" s="1492">
        <v>337.55704909999997</v>
      </c>
      <c r="AD229" s="1492">
        <v>247299.43400000001</v>
      </c>
      <c r="AE229" s="1492">
        <v>13356.08725</v>
      </c>
      <c r="AF229" s="1492">
        <v>15274.843999999999</v>
      </c>
      <c r="AG229" s="1492">
        <v>3938.1288019100002</v>
      </c>
      <c r="AH229" s="1492">
        <v>81310.91</v>
      </c>
      <c r="AI229" s="1492">
        <v>1194.4033246399999</v>
      </c>
      <c r="AJ229" s="1492">
        <v>77272.582999999999</v>
      </c>
      <c r="AK229" s="1492">
        <v>981.86478499999998</v>
      </c>
      <c r="AL229" s="1492">
        <v>142719.27900000001</v>
      </c>
      <c r="AM229" s="1492">
        <v>7899.8868643300002</v>
      </c>
      <c r="AN229" s="1492">
        <v>33.42</v>
      </c>
      <c r="AO229" s="1493">
        <v>1.34189</v>
      </c>
      <c r="AP229" s="1492">
        <v>7960.9809999999998</v>
      </c>
      <c r="AQ229" s="1492">
        <v>322.32636911999998</v>
      </c>
      <c r="AR229" s="1492">
        <v>37.167999999999999</v>
      </c>
      <c r="AS229" s="1492">
        <v>12.76709</v>
      </c>
      <c r="AT229" s="1492">
        <v>7923.8130000000001</v>
      </c>
      <c r="AU229" s="1492">
        <v>309.55927911999999</v>
      </c>
      <c r="AV229" s="1492">
        <v>13328.603999999999</v>
      </c>
      <c r="AW229" s="1492">
        <v>713.54365383000004</v>
      </c>
      <c r="AX229" s="1492">
        <v>280.709</v>
      </c>
      <c r="AY229" s="1492">
        <v>93.639745160000004</v>
      </c>
      <c r="AZ229" s="1492">
        <v>7364.009</v>
      </c>
      <c r="BA229" s="1492">
        <v>200.8556064</v>
      </c>
      <c r="BB229" s="1492">
        <v>6922.9970000000003</v>
      </c>
      <c r="BC229" s="1492">
        <v>175.606212</v>
      </c>
      <c r="BD229" s="1492">
        <v>5251.0039999999999</v>
      </c>
      <c r="BE229" s="1492">
        <v>390.67117929</v>
      </c>
      <c r="BF229" s="1494">
        <v>3.2330000000000001</v>
      </c>
      <c r="BG229" s="1493">
        <v>0.13789799999999999</v>
      </c>
      <c r="BH229" s="1492">
        <v>429.649</v>
      </c>
      <c r="BI229" s="1491">
        <v>28.239224979999999</v>
      </c>
      <c r="BJ229" s="1493">
        <v>0.86299999999999999</v>
      </c>
      <c r="BK229" s="1493">
        <v>0.241455</v>
      </c>
      <c r="BL229" s="1492">
        <v>428.786</v>
      </c>
      <c r="BM229" s="1491">
        <v>27.997769980000001</v>
      </c>
    </row>
    <row r="230" spans="1:139">
      <c r="A230" s="580" t="s">
        <v>21</v>
      </c>
      <c r="B230" s="1491">
        <v>22517.564999999999</v>
      </c>
      <c r="C230" s="1491">
        <v>18399.14</v>
      </c>
      <c r="D230" s="1491">
        <v>3428.9180000000001</v>
      </c>
      <c r="E230" s="1491">
        <v>2861.6680000000001</v>
      </c>
      <c r="F230" s="1491">
        <v>14182.013999999999</v>
      </c>
      <c r="G230" s="1491">
        <v>2044.9649999999999</v>
      </c>
      <c r="H230" s="1491">
        <v>257360.34400000001</v>
      </c>
      <c r="I230" s="1491">
        <v>13223.79213584</v>
      </c>
      <c r="J230" s="1491">
        <v>14134.151</v>
      </c>
      <c r="K230" s="1491">
        <v>3662.8540626899999</v>
      </c>
      <c r="L230" s="1491">
        <v>25.831</v>
      </c>
      <c r="M230" s="1491">
        <v>164.62359021</v>
      </c>
      <c r="N230" s="1491">
        <v>2.2290000000000001</v>
      </c>
      <c r="O230" s="1491">
        <v>0.64692512000000002</v>
      </c>
      <c r="P230" s="1491">
        <v>90029.683000000005</v>
      </c>
      <c r="Q230" s="1491">
        <v>1122.6928851499999</v>
      </c>
      <c r="R230" s="1491">
        <v>85608.244000000006</v>
      </c>
      <c r="S230" s="1491">
        <v>1026.87745</v>
      </c>
      <c r="T230" s="1491">
        <v>145507.55600000001</v>
      </c>
      <c r="U230" s="1491">
        <v>7968.6502915700003</v>
      </c>
      <c r="V230" s="1491">
        <v>48.021000000000001</v>
      </c>
      <c r="W230" s="1495">
        <v>1.832252</v>
      </c>
      <c r="X230" s="1492">
        <v>7612.8729999999996</v>
      </c>
      <c r="Y230" s="1492">
        <v>302.4921291</v>
      </c>
      <c r="Z230" s="1492">
        <v>33.823999999999998</v>
      </c>
      <c r="AA230" s="1492">
        <v>11.038349</v>
      </c>
      <c r="AB230" s="1492">
        <v>7579.0460000000003</v>
      </c>
      <c r="AC230" s="1492">
        <v>291.45377418000004</v>
      </c>
      <c r="AD230" s="1492">
        <v>243646.63500000001</v>
      </c>
      <c r="AE230" s="1492">
        <v>12526.53716159</v>
      </c>
      <c r="AF230" s="1492">
        <v>13843.222</v>
      </c>
      <c r="AG230" s="1492">
        <v>3562.7821206200001</v>
      </c>
      <c r="AH230" s="1492">
        <v>82441.153000000006</v>
      </c>
      <c r="AI230" s="1492">
        <v>1114.23972983</v>
      </c>
      <c r="AJ230" s="1492">
        <v>78453.123000000007</v>
      </c>
      <c r="AK230" s="1492">
        <v>877.44104900000002</v>
      </c>
      <c r="AL230" s="1492">
        <v>140107.34700000001</v>
      </c>
      <c r="AM230" s="1492">
        <v>7570.2164088500003</v>
      </c>
      <c r="AN230" s="1492">
        <v>42.648000000000003</v>
      </c>
      <c r="AO230" s="1493">
        <v>1.6056360000000001</v>
      </c>
      <c r="AP230" s="1492">
        <v>7212.2650000000003</v>
      </c>
      <c r="AQ230" s="1492">
        <v>277.6932663</v>
      </c>
      <c r="AR230" s="1492">
        <v>33.018000000000001</v>
      </c>
      <c r="AS230" s="1492">
        <v>10.835858999999999</v>
      </c>
      <c r="AT230" s="1492">
        <v>7179.2439999999997</v>
      </c>
      <c r="AU230" s="1492">
        <v>266.85740138000006</v>
      </c>
      <c r="AV230" s="1492">
        <v>13713.709000000001</v>
      </c>
      <c r="AW230" s="1492">
        <v>697.25497425000003</v>
      </c>
      <c r="AX230" s="1492">
        <v>293.15800000000002</v>
      </c>
      <c r="AY230" s="1492">
        <v>100.71886719</v>
      </c>
      <c r="AZ230" s="1492">
        <v>7614.3609999999999</v>
      </c>
      <c r="BA230" s="1492">
        <v>173.07674553000001</v>
      </c>
      <c r="BB230" s="1492">
        <v>7155.1210000000001</v>
      </c>
      <c r="BC230" s="1492">
        <v>149.43639999999999</v>
      </c>
      <c r="BD230" s="1492">
        <v>5400.2089999999998</v>
      </c>
      <c r="BE230" s="1492">
        <v>398.43388272999999</v>
      </c>
      <c r="BF230" s="1494">
        <v>5.3730000000000002</v>
      </c>
      <c r="BG230" s="1493">
        <v>0.22661600000000001</v>
      </c>
      <c r="BH230" s="1492">
        <v>400.608</v>
      </c>
      <c r="BI230" s="1491">
        <v>24.798862799999998</v>
      </c>
      <c r="BJ230" s="1493">
        <v>0.80600000000000005</v>
      </c>
      <c r="BK230" s="1493">
        <v>0.202489</v>
      </c>
      <c r="BL230" s="1492">
        <v>399.80200000000002</v>
      </c>
      <c r="BM230" s="1491">
        <v>24.596373799999999</v>
      </c>
    </row>
    <row r="231" spans="1:139">
      <c r="A231" s="580" t="s">
        <v>22</v>
      </c>
      <c r="B231" s="1491">
        <v>22826.951000000001</v>
      </c>
      <c r="C231" s="1491">
        <v>18620</v>
      </c>
      <c r="D231" s="1491">
        <v>3439.317</v>
      </c>
      <c r="E231" s="1491">
        <v>2884.6979999999999</v>
      </c>
      <c r="F231" s="1491">
        <v>14439.163</v>
      </c>
      <c r="G231" s="1491">
        <v>2063.7730000000001</v>
      </c>
      <c r="H231" s="1491">
        <v>243650.97500000001</v>
      </c>
      <c r="I231" s="1491">
        <v>12841.42624226</v>
      </c>
      <c r="J231" s="1491">
        <v>13811.994000000001</v>
      </c>
      <c r="K231" s="1491">
        <v>3692.1750908600002</v>
      </c>
      <c r="L231" s="1491">
        <v>22.693000000000001</v>
      </c>
      <c r="M231" s="1491">
        <v>155.44936332</v>
      </c>
      <c r="N231" s="1491">
        <v>2.052</v>
      </c>
      <c r="O231" s="1491">
        <v>0.69147919000000002</v>
      </c>
      <c r="P231" s="1491">
        <v>84402.870999999999</v>
      </c>
      <c r="Q231" s="1491">
        <v>1057.7119625099999</v>
      </c>
      <c r="R231" s="1491">
        <v>80301.782999999996</v>
      </c>
      <c r="S231" s="1491">
        <v>970.16715099999999</v>
      </c>
      <c r="T231" s="1491">
        <v>138180.17800000001</v>
      </c>
      <c r="U231" s="1491">
        <v>7620.3874117699997</v>
      </c>
      <c r="V231" s="1491">
        <v>36.350999999999999</v>
      </c>
      <c r="W231" s="1495">
        <v>1.482472</v>
      </c>
      <c r="X231" s="1492">
        <v>7194.8360000000002</v>
      </c>
      <c r="Y231" s="1492">
        <v>313.52846261000002</v>
      </c>
      <c r="Z231" s="1492">
        <v>31.891999999999999</v>
      </c>
      <c r="AA231" s="1492">
        <v>10.501595999999999</v>
      </c>
      <c r="AB231" s="1492">
        <v>7162.9440000000004</v>
      </c>
      <c r="AC231" s="1492">
        <v>303.02686661000001</v>
      </c>
      <c r="AD231" s="1492">
        <v>230988.908</v>
      </c>
      <c r="AE231" s="1492">
        <v>12209.99781789</v>
      </c>
      <c r="AF231" s="1492">
        <v>13551.463</v>
      </c>
      <c r="AG231" s="1492">
        <v>3601.4338058500002</v>
      </c>
      <c r="AH231" s="1492">
        <v>77386.703999999998</v>
      </c>
      <c r="AI231" s="1492">
        <v>1052.6798581999999</v>
      </c>
      <c r="AJ231" s="1492">
        <v>73655.168000000005</v>
      </c>
      <c r="AK231" s="1492">
        <v>830.55821200000003</v>
      </c>
      <c r="AL231" s="1492">
        <v>133203.94500000001</v>
      </c>
      <c r="AM231" s="1492">
        <v>7265.9885414399996</v>
      </c>
      <c r="AN231" s="1492">
        <v>32.75</v>
      </c>
      <c r="AO231" s="1493">
        <v>1.338832</v>
      </c>
      <c r="AP231" s="1492">
        <v>6814.0460000000003</v>
      </c>
      <c r="AQ231" s="1492">
        <v>288.55678039999998</v>
      </c>
      <c r="AR231" s="1492">
        <v>31.029</v>
      </c>
      <c r="AS231" s="1492">
        <v>10.266999999999999</v>
      </c>
      <c r="AT231" s="1492">
        <v>6783.0169999999998</v>
      </c>
      <c r="AU231" s="1492">
        <v>278.28978039999998</v>
      </c>
      <c r="AV231" s="1492">
        <v>12662.066999999999</v>
      </c>
      <c r="AW231" s="1492">
        <v>631.42842437000002</v>
      </c>
      <c r="AX231" s="1492">
        <v>262.58300000000003</v>
      </c>
      <c r="AY231" s="1492">
        <v>91.432764199999994</v>
      </c>
      <c r="AZ231" s="1492">
        <v>7038.86</v>
      </c>
      <c r="BA231" s="1492">
        <v>160.48146763</v>
      </c>
      <c r="BB231" s="1492">
        <v>6646.6149999999998</v>
      </c>
      <c r="BC231" s="1492">
        <v>139.60893799999999</v>
      </c>
      <c r="BD231" s="1492">
        <v>4976.2330000000002</v>
      </c>
      <c r="BE231" s="1492">
        <v>354.39887033000002</v>
      </c>
      <c r="BF231" s="1494">
        <v>3.601</v>
      </c>
      <c r="BG231" s="1493">
        <v>0.14399999999999999</v>
      </c>
      <c r="BH231" s="1492">
        <v>380.79</v>
      </c>
      <c r="BI231" s="1491">
        <v>24.971682210000001</v>
      </c>
      <c r="BJ231" s="1493">
        <v>0.86299999999999999</v>
      </c>
      <c r="BK231" s="1493">
        <v>0.23400000000000001</v>
      </c>
      <c r="BL231" s="1492">
        <v>379.92700000000002</v>
      </c>
      <c r="BM231" s="1491">
        <v>24.737682209999999</v>
      </c>
    </row>
    <row r="232" spans="1:139" s="1893" customFormat="1">
      <c r="A232" s="2014" t="s">
        <v>23</v>
      </c>
      <c r="B232" s="1490">
        <v>22797.634999999998</v>
      </c>
      <c r="C232" s="1490">
        <v>18572.830999999998</v>
      </c>
      <c r="D232" s="1490">
        <v>3451.2109999999998</v>
      </c>
      <c r="E232" s="1490">
        <v>2910.1529999999998</v>
      </c>
      <c r="F232" s="1490">
        <v>14391.296</v>
      </c>
      <c r="G232" s="1490">
        <v>2044.9749999999999</v>
      </c>
      <c r="H232" s="1490">
        <v>290780.63799999998</v>
      </c>
      <c r="I232" s="1490">
        <v>14532.24170877</v>
      </c>
      <c r="J232" s="1490">
        <v>15729.357</v>
      </c>
      <c r="K232" s="1490">
        <v>4107.9518382599999</v>
      </c>
      <c r="L232" s="1490">
        <v>22.524000000000001</v>
      </c>
      <c r="M232" s="1490">
        <v>153.71711096999999</v>
      </c>
      <c r="N232" s="1490">
        <v>2.2349999999999999</v>
      </c>
      <c r="O232" s="1490">
        <v>0.86332772999999996</v>
      </c>
      <c r="P232" s="1490">
        <v>108228.69</v>
      </c>
      <c r="Q232" s="1490">
        <v>1324.55627678</v>
      </c>
      <c r="R232" s="1490">
        <v>103567.785</v>
      </c>
      <c r="S232" s="1490">
        <v>1233.870275</v>
      </c>
      <c r="T232" s="1490">
        <v>158025.234</v>
      </c>
      <c r="U232" s="1490">
        <v>8574.89839364</v>
      </c>
      <c r="V232" s="1490">
        <v>42.44</v>
      </c>
      <c r="W232" s="1892">
        <v>1.6758789999999999</v>
      </c>
      <c r="X232" s="1487">
        <v>8730.1579999999994</v>
      </c>
      <c r="Y232" s="1487">
        <v>368.57888238999999</v>
      </c>
      <c r="Z232" s="1487">
        <v>38.06</v>
      </c>
      <c r="AA232" s="1487">
        <v>11.542695999999999</v>
      </c>
      <c r="AB232" s="1487">
        <v>8692.098</v>
      </c>
      <c r="AC232" s="1487">
        <v>357.03618639000001</v>
      </c>
      <c r="AD232" s="1487">
        <v>275478.84100000001</v>
      </c>
      <c r="AE232" s="1487">
        <v>13785.7874605</v>
      </c>
      <c r="AF232" s="1487">
        <v>15430.903</v>
      </c>
      <c r="AG232" s="1487">
        <v>4008.3784548499998</v>
      </c>
      <c r="AH232" s="1487">
        <v>99265.798999999999</v>
      </c>
      <c r="AI232" s="1487">
        <v>1272.8005728400001</v>
      </c>
      <c r="AJ232" s="1487">
        <v>95037.119999999995</v>
      </c>
      <c r="AK232" s="1487">
        <v>1050.2505289999999</v>
      </c>
      <c r="AL232" s="1487">
        <v>152484.10999999999</v>
      </c>
      <c r="AM232" s="1487">
        <v>8165.5275562899997</v>
      </c>
      <c r="AN232" s="1487">
        <v>38.731000000000002</v>
      </c>
      <c r="AO232" s="1488">
        <v>1.5009170000000001</v>
      </c>
      <c r="AP232" s="1487">
        <v>8259.2980000000007</v>
      </c>
      <c r="AQ232" s="1487">
        <v>337.57995951999999</v>
      </c>
      <c r="AR232" s="1487">
        <v>37.042999999999999</v>
      </c>
      <c r="AS232" s="1487">
        <v>11.229501000000001</v>
      </c>
      <c r="AT232" s="1487">
        <v>8222.255000000001</v>
      </c>
      <c r="AU232" s="1487">
        <v>326.35045851999996</v>
      </c>
      <c r="AV232" s="1487">
        <v>15301.797</v>
      </c>
      <c r="AW232" s="1487">
        <v>746.45424826999999</v>
      </c>
      <c r="AX232" s="1487">
        <v>300.68900000000002</v>
      </c>
      <c r="AY232" s="1487">
        <v>100.43671114</v>
      </c>
      <c r="AZ232" s="1487">
        <v>8985.4150000000009</v>
      </c>
      <c r="BA232" s="1487">
        <v>205.47281491000001</v>
      </c>
      <c r="BB232" s="1487">
        <v>8530.6650000000009</v>
      </c>
      <c r="BC232" s="1487">
        <v>183.61974499999999</v>
      </c>
      <c r="BD232" s="1487">
        <v>5541.1239999999998</v>
      </c>
      <c r="BE232" s="1487">
        <v>409.37083734999999</v>
      </c>
      <c r="BF232" s="1489">
        <v>3.7090000000000001</v>
      </c>
      <c r="BG232" s="1488">
        <v>0.17496200000000001</v>
      </c>
      <c r="BH232" s="1487">
        <v>470.86</v>
      </c>
      <c r="BI232" s="1490">
        <v>30.998922870000001</v>
      </c>
      <c r="BJ232" s="1488">
        <v>1.0169999999999999</v>
      </c>
      <c r="BK232" s="1488">
        <v>0.31319399999999997</v>
      </c>
      <c r="BL232" s="1487">
        <v>469.84300000000002</v>
      </c>
      <c r="BM232" s="1490">
        <v>30.685728870000002</v>
      </c>
      <c r="BN232" s="1431"/>
      <c r="BO232" s="1431"/>
      <c r="BP232" s="1431"/>
      <c r="BQ232" s="1431"/>
      <c r="BR232" s="1431"/>
      <c r="BS232" s="1431"/>
      <c r="BT232" s="1431"/>
      <c r="BU232" s="1431"/>
      <c r="BV232" s="1431"/>
      <c r="BW232" s="1431"/>
      <c r="BX232" s="1431"/>
      <c r="BY232" s="1431"/>
      <c r="BZ232" s="1431"/>
      <c r="CA232" s="1431"/>
      <c r="CB232" s="1431"/>
      <c r="CC232" s="1431"/>
      <c r="CD232" s="1431"/>
      <c r="CE232" s="1431"/>
      <c r="CF232" s="1431"/>
      <c r="CG232" s="1431"/>
      <c r="CH232" s="1431"/>
      <c r="CI232" s="1431"/>
      <c r="CJ232" s="1431"/>
      <c r="CK232" s="1431"/>
      <c r="CL232" s="1431"/>
      <c r="CM232" s="1431"/>
      <c r="CN232" s="1431"/>
      <c r="CO232" s="1431"/>
      <c r="CP232" s="1431"/>
      <c r="CQ232" s="1431"/>
      <c r="CR232" s="1431"/>
      <c r="CS232" s="1431"/>
      <c r="CT232" s="1431"/>
      <c r="CU232" s="1431"/>
      <c r="CV232" s="1431"/>
      <c r="CW232" s="1431"/>
      <c r="CX232" s="1431"/>
      <c r="CY232" s="1431"/>
      <c r="CZ232" s="1431"/>
      <c r="DA232" s="1431"/>
      <c r="DB232" s="1431"/>
      <c r="DC232" s="1431"/>
      <c r="DD232" s="1431"/>
      <c r="DE232" s="1431"/>
      <c r="DF232" s="1431"/>
      <c r="DG232" s="1431"/>
      <c r="DH232" s="1431"/>
      <c r="DI232" s="1431"/>
      <c r="DJ232" s="1431"/>
      <c r="DK232" s="1431"/>
      <c r="DL232" s="1431"/>
      <c r="DM232" s="1431"/>
      <c r="DN232" s="1431"/>
      <c r="DO232" s="1431"/>
      <c r="DP232" s="1431"/>
      <c r="DQ232" s="1431"/>
      <c r="DR232" s="1431"/>
      <c r="DS232" s="1431"/>
      <c r="DT232" s="1431"/>
      <c r="DU232" s="1431"/>
      <c r="DV232" s="1431"/>
      <c r="DW232" s="1431"/>
      <c r="DX232" s="1431"/>
      <c r="DY232" s="1431"/>
      <c r="DZ232" s="1431"/>
      <c r="EA232" s="1431"/>
      <c r="EB232" s="1431"/>
      <c r="EC232" s="1431"/>
      <c r="ED232" s="1431"/>
      <c r="EE232" s="1431"/>
      <c r="EF232" s="1431"/>
      <c r="EG232" s="1431"/>
      <c r="EH232" s="1431"/>
      <c r="EI232" s="1431"/>
    </row>
    <row r="233" spans="1:139" s="883" customFormat="1" ht="15.75" customHeight="1">
      <c r="A233" s="2643" t="s">
        <v>4258</v>
      </c>
      <c r="B233" s="2643"/>
      <c r="C233" s="2643"/>
      <c r="D233" s="2643"/>
      <c r="E233" s="2643"/>
      <c r="F233" s="2643"/>
      <c r="G233" s="2643"/>
      <c r="H233" s="2643"/>
      <c r="I233" s="2643"/>
      <c r="J233" s="2643"/>
      <c r="K233" s="2643"/>
      <c r="L233" s="2643"/>
      <c r="M233" s="2643"/>
      <c r="N233" s="2643"/>
      <c r="O233" s="1485"/>
      <c r="P233" s="1485"/>
      <c r="Q233" s="1485"/>
      <c r="R233" s="1484"/>
      <c r="S233" s="1484"/>
      <c r="T233" s="1485"/>
      <c r="U233" s="1485"/>
      <c r="V233" s="1485"/>
      <c r="W233" s="1485"/>
      <c r="X233" s="1485"/>
      <c r="Y233" s="1485"/>
      <c r="Z233" s="1485"/>
      <c r="AA233" s="1485"/>
      <c r="AB233" s="1485"/>
      <c r="AC233" s="1485"/>
      <c r="AD233" s="1485"/>
      <c r="AE233" s="1485"/>
      <c r="AF233" s="1485"/>
      <c r="AG233" s="1485"/>
      <c r="AH233" s="1485"/>
      <c r="AI233" s="1485"/>
      <c r="AJ233" s="1485"/>
      <c r="AK233" s="1485"/>
      <c r="AL233" s="1485"/>
      <c r="AM233" s="1485"/>
      <c r="AN233" s="1431"/>
      <c r="AO233" s="1431"/>
      <c r="AP233" s="1485"/>
      <c r="AQ233" s="1485"/>
      <c r="AR233" s="1485"/>
      <c r="AS233" s="1485"/>
      <c r="AT233" s="1485"/>
      <c r="AU233" s="1485"/>
      <c r="AV233" s="1485"/>
      <c r="AW233" s="1485"/>
      <c r="AX233" s="1485"/>
      <c r="AY233" s="1485"/>
      <c r="AZ233" s="1485"/>
      <c r="BN233" s="1431"/>
      <c r="BO233" s="1431"/>
      <c r="BP233" s="1431"/>
      <c r="BQ233" s="1431"/>
      <c r="BR233" s="1431"/>
      <c r="BS233" s="1431"/>
      <c r="BT233" s="1431"/>
      <c r="BU233" s="1431"/>
      <c r="BV233" s="1431"/>
      <c r="BW233" s="1431"/>
      <c r="BX233" s="1431"/>
      <c r="BY233" s="1431"/>
      <c r="BZ233" s="1431"/>
      <c r="CA233" s="1431"/>
      <c r="CB233" s="1431"/>
      <c r="CC233" s="1431"/>
      <c r="CD233" s="1431"/>
      <c r="CE233" s="1431"/>
      <c r="CF233" s="1431"/>
      <c r="CG233" s="1431"/>
      <c r="CH233" s="1431"/>
      <c r="CI233" s="1431"/>
      <c r="CJ233" s="1431"/>
      <c r="CK233" s="1431"/>
      <c r="CL233" s="1431"/>
      <c r="CM233" s="1431"/>
      <c r="CN233" s="1431"/>
      <c r="CO233" s="1431"/>
      <c r="CP233" s="1431"/>
      <c r="CQ233" s="1431"/>
      <c r="CR233" s="1431"/>
      <c r="CS233" s="1431"/>
      <c r="CT233" s="1431"/>
      <c r="CU233" s="1431"/>
      <c r="CV233" s="1431"/>
      <c r="CW233" s="1431"/>
      <c r="CX233" s="1431"/>
      <c r="CY233" s="1431"/>
      <c r="CZ233" s="1431"/>
      <c r="DA233" s="1431"/>
      <c r="DB233" s="1431"/>
      <c r="DC233" s="1431"/>
      <c r="DD233" s="1431"/>
      <c r="DE233" s="1431"/>
      <c r="DF233" s="1431"/>
      <c r="DG233" s="1431"/>
      <c r="DH233" s="1431"/>
      <c r="DI233" s="1431"/>
      <c r="DJ233" s="1431"/>
      <c r="DK233" s="1431"/>
      <c r="DL233" s="1431"/>
      <c r="DM233" s="1431"/>
      <c r="DN233" s="1431"/>
      <c r="DO233" s="1431"/>
      <c r="DP233" s="1431"/>
      <c r="DQ233" s="1431"/>
      <c r="DR233" s="1431"/>
      <c r="DS233" s="1431"/>
      <c r="DT233" s="1431"/>
      <c r="DU233" s="1431"/>
      <c r="DV233" s="1431"/>
      <c r="DW233" s="1431"/>
      <c r="DX233" s="1431"/>
      <c r="DY233" s="1431"/>
      <c r="DZ233" s="1431"/>
      <c r="EA233" s="1431"/>
      <c r="EB233" s="1431"/>
      <c r="EC233" s="1431"/>
      <c r="ED233" s="1431"/>
      <c r="EE233" s="1431"/>
      <c r="EF233" s="1431"/>
      <c r="EG233" s="1431"/>
      <c r="EH233" s="1431"/>
      <c r="EI233" s="1431"/>
    </row>
    <row r="234" spans="1:139" s="883" customFormat="1" ht="15" customHeight="1">
      <c r="A234" s="2642" t="s">
        <v>3260</v>
      </c>
      <c r="B234" s="2642"/>
      <c r="C234" s="2642"/>
      <c r="D234" s="2642"/>
      <c r="E234" s="2642"/>
      <c r="F234" s="2642"/>
      <c r="G234" s="2642"/>
      <c r="H234" s="2642"/>
      <c r="I234" s="2642"/>
      <c r="J234" s="2642"/>
      <c r="K234" s="2642"/>
      <c r="L234" s="2642"/>
      <c r="M234" s="2642"/>
      <c r="N234" s="2642"/>
      <c r="O234" s="2642"/>
      <c r="P234" s="2642"/>
      <c r="Q234" s="2642"/>
      <c r="R234" s="1431"/>
      <c r="S234" s="1431"/>
      <c r="T234" s="1484"/>
      <c r="U234" s="1484"/>
      <c r="V234" s="1484"/>
      <c r="W234" s="1484"/>
      <c r="X234" s="1484"/>
      <c r="Y234" s="1484"/>
      <c r="Z234" s="1484"/>
      <c r="AA234" s="1484"/>
      <c r="AB234" s="1484"/>
      <c r="AC234" s="1484"/>
      <c r="AD234" s="1484"/>
      <c r="AE234" s="1484"/>
      <c r="AF234" s="1484"/>
      <c r="AG234" s="1484"/>
      <c r="AH234" s="1484"/>
      <c r="AI234" s="1484"/>
      <c r="AJ234" s="1484"/>
      <c r="AK234" s="1484"/>
      <c r="AL234" s="1484"/>
      <c r="AM234" s="1484"/>
      <c r="AN234" s="1431"/>
      <c r="AO234" s="1431"/>
      <c r="AP234" s="1484"/>
      <c r="AQ234" s="1484"/>
      <c r="AR234" s="1484"/>
      <c r="AS234" s="1484"/>
      <c r="AT234" s="1484"/>
      <c r="AU234" s="1484"/>
      <c r="AV234" s="1484"/>
      <c r="AW234" s="1484"/>
      <c r="AX234" s="1484"/>
      <c r="AY234" s="1484"/>
      <c r="AZ234" s="1484"/>
      <c r="BN234" s="1431"/>
      <c r="BO234" s="1431"/>
      <c r="BP234" s="1431"/>
      <c r="BQ234" s="1431"/>
      <c r="BR234" s="1431"/>
      <c r="BS234" s="1431"/>
      <c r="BT234" s="1431"/>
      <c r="BU234" s="1431"/>
      <c r="BV234" s="1431"/>
      <c r="BW234" s="1431"/>
      <c r="BX234" s="1431"/>
      <c r="BY234" s="1431"/>
      <c r="BZ234" s="1431"/>
      <c r="CA234" s="1431"/>
      <c r="CB234" s="1431"/>
      <c r="CC234" s="1431"/>
      <c r="CD234" s="1431"/>
      <c r="CE234" s="1431"/>
      <c r="CF234" s="1431"/>
      <c r="CG234" s="1431"/>
      <c r="CH234" s="1431"/>
      <c r="CI234" s="1431"/>
      <c r="CJ234" s="1431"/>
      <c r="CK234" s="1431"/>
      <c r="CL234" s="1431"/>
      <c r="CM234" s="1431"/>
      <c r="CN234" s="1431"/>
      <c r="CO234" s="1431"/>
      <c r="CP234" s="1431"/>
      <c r="CQ234" s="1431"/>
      <c r="CR234" s="1431"/>
      <c r="CS234" s="1431"/>
      <c r="CT234" s="1431"/>
      <c r="CU234" s="1431"/>
      <c r="CV234" s="1431"/>
      <c r="CW234" s="1431"/>
      <c r="CX234" s="1431"/>
      <c r="CY234" s="1431"/>
      <c r="CZ234" s="1431"/>
      <c r="DA234" s="1431"/>
      <c r="DB234" s="1431"/>
      <c r="DC234" s="1431"/>
      <c r="DD234" s="1431"/>
      <c r="DE234" s="1431"/>
      <c r="DF234" s="1431"/>
      <c r="DG234" s="1431"/>
      <c r="DH234" s="1431"/>
      <c r="DI234" s="1431"/>
      <c r="DJ234" s="1431"/>
      <c r="DK234" s="1431"/>
      <c r="DL234" s="1431"/>
      <c r="DM234" s="1431"/>
      <c r="DN234" s="1431"/>
      <c r="DO234" s="1431"/>
      <c r="DP234" s="1431"/>
      <c r="DQ234" s="1431"/>
      <c r="DR234" s="1431"/>
      <c r="DS234" s="1431"/>
      <c r="DT234" s="1431"/>
      <c r="DU234" s="1431"/>
      <c r="DV234" s="1431"/>
      <c r="DW234" s="1431"/>
      <c r="DX234" s="1431"/>
      <c r="DY234" s="1431"/>
      <c r="DZ234" s="1431"/>
      <c r="EA234" s="1431"/>
      <c r="EB234" s="1431"/>
      <c r="EC234" s="1431"/>
      <c r="ED234" s="1431"/>
      <c r="EE234" s="1431"/>
      <c r="EF234" s="1431"/>
      <c r="EG234" s="1431"/>
      <c r="EH234" s="1431"/>
      <c r="EI234" s="1431"/>
    </row>
    <row r="236" spans="1:139">
      <c r="B236" s="1483"/>
      <c r="C236" s="1483"/>
      <c r="D236" s="1483"/>
      <c r="E236" s="1483"/>
      <c r="F236" s="1483"/>
      <c r="G236" s="1483"/>
      <c r="H236" s="1483"/>
      <c r="I236" s="1483"/>
    </row>
    <row r="238" spans="1:139">
      <c r="AG238" s="1337"/>
    </row>
  </sheetData>
  <mergeCells count="212">
    <mergeCell ref="A234:Q234"/>
    <mergeCell ref="BJ14:BJ15"/>
    <mergeCell ref="BK14:BK15"/>
    <mergeCell ref="BL14:BL15"/>
    <mergeCell ref="W14:W16"/>
    <mergeCell ref="X14:X15"/>
    <mergeCell ref="Y14:Y15"/>
    <mergeCell ref="Z14:Z15"/>
    <mergeCell ref="BM14:BM15"/>
    <mergeCell ref="A233:N233"/>
    <mergeCell ref="AT14:AT15"/>
    <mergeCell ref="AU14:AU15"/>
    <mergeCell ref="BB14:BB15"/>
    <mergeCell ref="BC14:BC15"/>
    <mergeCell ref="BH14:BH15"/>
    <mergeCell ref="BI14:BI15"/>
    <mergeCell ref="V14:V16"/>
    <mergeCell ref="AA14:AA15"/>
    <mergeCell ref="O14:O15"/>
    <mergeCell ref="P14:P15"/>
    <mergeCell ref="Q14:Q15"/>
    <mergeCell ref="R14:S14"/>
    <mergeCell ref="T14:T16"/>
    <mergeCell ref="BF13:BF15"/>
    <mergeCell ref="BG13:BG15"/>
    <mergeCell ref="BH13:BI13"/>
    <mergeCell ref="BJ13:BK13"/>
    <mergeCell ref="BL13:BM13"/>
    <mergeCell ref="BB13:BC13"/>
    <mergeCell ref="BD13:BD15"/>
    <mergeCell ref="BE13:BE15"/>
    <mergeCell ref="L14:L15"/>
    <mergeCell ref="M14:M15"/>
    <mergeCell ref="N14:N15"/>
    <mergeCell ref="AY13:AY15"/>
    <mergeCell ref="AZ13:AZ15"/>
    <mergeCell ref="BA13:BA15"/>
    <mergeCell ref="AP13:AQ13"/>
    <mergeCell ref="AR13:AS13"/>
    <mergeCell ref="AT13:AU13"/>
    <mergeCell ref="AV13:AV15"/>
    <mergeCell ref="AX13:AX15"/>
    <mergeCell ref="AP14:AP15"/>
    <mergeCell ref="U14:U16"/>
    <mergeCell ref="AW13:AW15"/>
    <mergeCell ref="AR14:AR15"/>
    <mergeCell ref="AS14:AS15"/>
    <mergeCell ref="AQ14:AQ15"/>
    <mergeCell ref="T13:U13"/>
    <mergeCell ref="V13:W13"/>
    <mergeCell ref="X13:Y13"/>
    <mergeCell ref="Z13:AA13"/>
    <mergeCell ref="AP11:AU12"/>
    <mergeCell ref="AK14:AK15"/>
    <mergeCell ref="AB13:AC13"/>
    <mergeCell ref="AD13:AD15"/>
    <mergeCell ref="AE13:AE15"/>
    <mergeCell ref="AF13:AF15"/>
    <mergeCell ref="AG13:AG15"/>
    <mergeCell ref="AH13:AH15"/>
    <mergeCell ref="AB14:AB15"/>
    <mergeCell ref="AC14:AC15"/>
    <mergeCell ref="AI13:AI15"/>
    <mergeCell ref="AJ13:AK13"/>
    <mergeCell ref="AL13:AL15"/>
    <mergeCell ref="AM13:AM15"/>
    <mergeCell ref="AN13:AN15"/>
    <mergeCell ref="AO13:AO15"/>
    <mergeCell ref="AJ14:AJ15"/>
    <mergeCell ref="AD11:AE12"/>
    <mergeCell ref="AF11:AO11"/>
    <mergeCell ref="A11:A15"/>
    <mergeCell ref="B11:C12"/>
    <mergeCell ref="D11:G11"/>
    <mergeCell ref="H11:I11"/>
    <mergeCell ref="J11:W11"/>
    <mergeCell ref="X11:AC12"/>
    <mergeCell ref="D12:F12"/>
    <mergeCell ref="G12:G15"/>
    <mergeCell ref="H12:H15"/>
    <mergeCell ref="I12:I15"/>
    <mergeCell ref="R13:S13"/>
    <mergeCell ref="B13:B15"/>
    <mergeCell ref="C13:C15"/>
    <mergeCell ref="D13:D15"/>
    <mergeCell ref="E13:E15"/>
    <mergeCell ref="F13:F15"/>
    <mergeCell ref="J13:K13"/>
    <mergeCell ref="J14:J15"/>
    <mergeCell ref="K14:K15"/>
    <mergeCell ref="L13:M13"/>
    <mergeCell ref="N13:O13"/>
    <mergeCell ref="J12:M12"/>
    <mergeCell ref="N12:W12"/>
    <mergeCell ref="P13:Q13"/>
    <mergeCell ref="BH9:BH10"/>
    <mergeCell ref="BI9:BI10"/>
    <mergeCell ref="BJ9:BJ10"/>
    <mergeCell ref="AF8:AF10"/>
    <mergeCell ref="BH11:BM12"/>
    <mergeCell ref="AN12:AO12"/>
    <mergeCell ref="AX12:AY12"/>
    <mergeCell ref="AZ12:BA12"/>
    <mergeCell ref="BB12:BC12"/>
    <mergeCell ref="BD12:BE12"/>
    <mergeCell ref="BF12:BG12"/>
    <mergeCell ref="AJ12:AK12"/>
    <mergeCell ref="AL12:AM12"/>
    <mergeCell ref="AV11:AW12"/>
    <mergeCell ref="AF12:AG12"/>
    <mergeCell ref="AH12:AI12"/>
    <mergeCell ref="AX11:BG11"/>
    <mergeCell ref="AN8:AN10"/>
    <mergeCell ref="BK9:BK10"/>
    <mergeCell ref="BL9:BL10"/>
    <mergeCell ref="BM9:BM10"/>
    <mergeCell ref="BG8:BG10"/>
    <mergeCell ref="BH8:BI8"/>
    <mergeCell ref="BJ8:BK8"/>
    <mergeCell ref="X9:X10"/>
    <mergeCell ref="Y9:Y10"/>
    <mergeCell ref="M9:M10"/>
    <mergeCell ref="N9:N10"/>
    <mergeCell ref="O9:O10"/>
    <mergeCell ref="P9:P10"/>
    <mergeCell ref="Q9:Q10"/>
    <mergeCell ref="Z9:Z10"/>
    <mergeCell ref="AA9:AA10"/>
    <mergeCell ref="AC9:AC10"/>
    <mergeCell ref="AP9:AP10"/>
    <mergeCell ref="AQ9:AQ10"/>
    <mergeCell ref="AO8:AO10"/>
    <mergeCell ref="AB8:AC8"/>
    <mergeCell ref="AD8:AD10"/>
    <mergeCell ref="AE8:AE10"/>
    <mergeCell ref="BF8:BF10"/>
    <mergeCell ref="AJ8:AK9"/>
    <mergeCell ref="AL8:AL10"/>
    <mergeCell ref="AM8:AM10"/>
    <mergeCell ref="BE8:BE10"/>
    <mergeCell ref="BL8:BM8"/>
    <mergeCell ref="BD8:BD10"/>
    <mergeCell ref="B9:B10"/>
    <mergeCell ref="C9:C10"/>
    <mergeCell ref="J9:J10"/>
    <mergeCell ref="K9:K10"/>
    <mergeCell ref="L9:L10"/>
    <mergeCell ref="D8:D10"/>
    <mergeCell ref="E8:E10"/>
    <mergeCell ref="F8:F10"/>
    <mergeCell ref="AY8:AY10"/>
    <mergeCell ref="AP8:AQ8"/>
    <mergeCell ref="AR8:AS8"/>
    <mergeCell ref="AT8:AU8"/>
    <mergeCell ref="AV8:AV10"/>
    <mergeCell ref="AW8:AW10"/>
    <mergeCell ref="AX8:AX10"/>
    <mergeCell ref="R9:S9"/>
    <mergeCell ref="AR9:AR10"/>
    <mergeCell ref="AS9:AS10"/>
    <mergeCell ref="AT9:AT10"/>
    <mergeCell ref="AU9:AU10"/>
    <mergeCell ref="AI8:AI10"/>
    <mergeCell ref="AB9:AB10"/>
    <mergeCell ref="A2:BM2"/>
    <mergeCell ref="A3:BM3"/>
    <mergeCell ref="A6:A10"/>
    <mergeCell ref="B6:C8"/>
    <mergeCell ref="D6:G6"/>
    <mergeCell ref="H6:I6"/>
    <mergeCell ref="J6:W6"/>
    <mergeCell ref="AF7:AG7"/>
    <mergeCell ref="AH7:AI7"/>
    <mergeCell ref="AJ7:AK7"/>
    <mergeCell ref="AL7:AM7"/>
    <mergeCell ref="AN7:AO7"/>
    <mergeCell ref="AX7:AY7"/>
    <mergeCell ref="AP6:AU7"/>
    <mergeCell ref="AV6:AW7"/>
    <mergeCell ref="AX6:BG6"/>
    <mergeCell ref="AZ7:BA7"/>
    <mergeCell ref="AG8:AG10"/>
    <mergeCell ref="AH8:AH10"/>
    <mergeCell ref="P8:Q8"/>
    <mergeCell ref="R8:S8"/>
    <mergeCell ref="T8:U8"/>
    <mergeCell ref="V8:W8"/>
    <mergeCell ref="X8:Y8"/>
    <mergeCell ref="BB7:BC7"/>
    <mergeCell ref="BD7:BE7"/>
    <mergeCell ref="BF7:BG7"/>
    <mergeCell ref="X6:AC7"/>
    <mergeCell ref="AD6:AE7"/>
    <mergeCell ref="AF6:AO6"/>
    <mergeCell ref="BH6:BM7"/>
    <mergeCell ref="D7:F7"/>
    <mergeCell ref="G7:G10"/>
    <mergeCell ref="H7:H10"/>
    <mergeCell ref="I7:I10"/>
    <mergeCell ref="J7:M7"/>
    <mergeCell ref="N7:W7"/>
    <mergeCell ref="J8:K8"/>
    <mergeCell ref="L8:M8"/>
    <mergeCell ref="N8:O8"/>
    <mergeCell ref="Z8:AA8"/>
    <mergeCell ref="T9:T10"/>
    <mergeCell ref="U9:U10"/>
    <mergeCell ref="V9:V10"/>
    <mergeCell ref="W9:W10"/>
    <mergeCell ref="AZ8:AZ10"/>
    <mergeCell ref="BA8:BA10"/>
    <mergeCell ref="BB8:BC9"/>
  </mergeCells>
  <pageMargins left="0.25" right="0.17" top="0.75" bottom="0.75" header="0.3" footer="0.3"/>
  <pageSetup scale="17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1C14-C9B2-4FA2-A340-929A4CD9F39E}">
  <sheetPr codeName="Sheet51">
    <tabColor rgb="FF92D050"/>
  </sheetPr>
  <dimension ref="A2:O228"/>
  <sheetViews>
    <sheetView showGridLines="0" view="pageBreakPreview" zoomScale="85" zoomScaleSheetLayoutView="85" workbookViewId="0">
      <pane ySplit="11" topLeftCell="A209" activePane="bottomLeft" state="frozen"/>
      <selection activeCell="F40" sqref="F40"/>
      <selection pane="bottomLeft" activeCell="P231" sqref="P231"/>
    </sheetView>
  </sheetViews>
  <sheetFormatPr defaultColWidth="8.85546875" defaultRowHeight="15"/>
  <cols>
    <col min="1" max="1" width="7.85546875" style="67" bestFit="1" customWidth="1"/>
    <col min="2" max="2" width="12.85546875" style="76" customWidth="1"/>
    <col min="3" max="3" width="11.28515625" style="76" customWidth="1"/>
    <col min="4" max="4" width="13.5703125" style="76" customWidth="1"/>
    <col min="5" max="5" width="11.85546875" style="76" customWidth="1"/>
    <col min="6" max="6" width="10.7109375" style="76" bestFit="1" customWidth="1"/>
    <col min="7" max="7" width="10.85546875" style="76" customWidth="1"/>
    <col min="8" max="8" width="10.7109375" style="76" bestFit="1" customWidth="1"/>
    <col min="9" max="9" width="14.5703125" style="76" customWidth="1"/>
    <col min="10" max="10" width="11.140625" style="76" customWidth="1"/>
    <col min="11" max="11" width="13.28515625" style="76" customWidth="1"/>
    <col min="12" max="12" width="12.7109375" style="76" customWidth="1"/>
    <col min="13" max="13" width="13" style="76" customWidth="1"/>
    <col min="14" max="14" width="17.5703125" style="76" customWidth="1"/>
    <col min="15" max="15" width="16" style="76" customWidth="1"/>
    <col min="16" max="16384" width="8.85546875" style="76"/>
  </cols>
  <sheetData>
    <row r="2" spans="1:15" s="1527" customFormat="1" ht="17.25" customHeight="1">
      <c r="A2" s="2645" t="s">
        <v>3348</v>
      </c>
      <c r="B2" s="2645"/>
      <c r="C2" s="2645"/>
      <c r="D2" s="2645"/>
      <c r="E2" s="2645"/>
      <c r="F2" s="2645"/>
      <c r="G2" s="2645"/>
      <c r="H2" s="2645"/>
      <c r="I2" s="2645"/>
      <c r="J2" s="2645"/>
      <c r="K2" s="2645"/>
      <c r="L2" s="2645"/>
      <c r="M2" s="2645"/>
      <c r="N2" s="2645"/>
      <c r="O2" s="2645"/>
    </row>
    <row r="3" spans="1:15" s="1527" customFormat="1" ht="30" customHeight="1">
      <c r="A3" s="2646" t="s">
        <v>3349</v>
      </c>
      <c r="B3" s="2646"/>
      <c r="C3" s="2646"/>
      <c r="D3" s="2646"/>
      <c r="E3" s="2646"/>
      <c r="F3" s="2646"/>
      <c r="G3" s="2646"/>
      <c r="H3" s="2646"/>
      <c r="I3" s="2646"/>
      <c r="J3" s="2646"/>
      <c r="K3" s="2646"/>
      <c r="L3" s="2646"/>
      <c r="M3" s="2646"/>
      <c r="N3" s="2646"/>
      <c r="O3" s="2646"/>
    </row>
    <row r="4" spans="1:15" s="1527" customFormat="1" ht="14.25" customHeight="1">
      <c r="A4" s="492"/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</row>
    <row r="5" spans="1:15" s="1527" customFormat="1" ht="14.25" customHeight="1">
      <c r="A5" s="481"/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1"/>
    </row>
    <row r="6" spans="1:15" s="112" customFormat="1" ht="51" customHeight="1">
      <c r="A6" s="2647" t="s">
        <v>182</v>
      </c>
      <c r="B6" s="2647" t="s">
        <v>1177</v>
      </c>
      <c r="C6" s="2647"/>
      <c r="D6" s="2647"/>
      <c r="E6" s="2647" t="s">
        <v>2577</v>
      </c>
      <c r="F6" s="2647"/>
      <c r="G6" s="2648" t="s">
        <v>3359</v>
      </c>
      <c r="H6" s="2647"/>
      <c r="I6" s="2647" t="s">
        <v>3293</v>
      </c>
      <c r="J6" s="2647" t="s">
        <v>3294</v>
      </c>
      <c r="K6" s="2647"/>
      <c r="L6" s="2647"/>
      <c r="M6" s="2647"/>
      <c r="N6" s="2647" t="s">
        <v>3295</v>
      </c>
      <c r="O6" s="2647" t="s">
        <v>3292</v>
      </c>
    </row>
    <row r="7" spans="1:15" s="112" customFormat="1" ht="60.75" customHeight="1">
      <c r="A7" s="2647"/>
      <c r="B7" s="1426" t="s">
        <v>1012</v>
      </c>
      <c r="C7" s="1426" t="s">
        <v>3290</v>
      </c>
      <c r="D7" s="1426" t="s">
        <v>3292</v>
      </c>
      <c r="E7" s="1426" t="s">
        <v>1142</v>
      </c>
      <c r="F7" s="1426" t="s">
        <v>1042</v>
      </c>
      <c r="G7" s="1426" t="s">
        <v>1141</v>
      </c>
      <c r="H7" s="1426" t="s">
        <v>1238</v>
      </c>
      <c r="I7" s="2647"/>
      <c r="J7" s="1426" t="s">
        <v>1142</v>
      </c>
      <c r="K7" s="1426" t="s">
        <v>3292</v>
      </c>
      <c r="L7" s="1426" t="s">
        <v>1238</v>
      </c>
      <c r="M7" s="1426" t="s">
        <v>3292</v>
      </c>
      <c r="N7" s="2647"/>
      <c r="O7" s="2647"/>
    </row>
    <row r="8" spans="1:15" ht="50.25" customHeight="1">
      <c r="A8" s="2647" t="s">
        <v>283</v>
      </c>
      <c r="B8" s="2359" t="s">
        <v>1255</v>
      </c>
      <c r="C8" s="2359"/>
      <c r="D8" s="2359"/>
      <c r="E8" s="2359" t="s">
        <v>1043</v>
      </c>
      <c r="F8" s="2359"/>
      <c r="G8" s="2359" t="s">
        <v>1044</v>
      </c>
      <c r="H8" s="2359"/>
      <c r="I8" s="2359" t="s">
        <v>1045</v>
      </c>
      <c r="J8" s="2653" t="s">
        <v>3298</v>
      </c>
      <c r="K8" s="2654"/>
      <c r="L8" s="2654"/>
      <c r="M8" s="2655"/>
      <c r="N8" s="2359" t="s">
        <v>3296</v>
      </c>
      <c r="O8" s="2359" t="s">
        <v>3297</v>
      </c>
    </row>
    <row r="9" spans="1:15" ht="59.25" customHeight="1">
      <c r="A9" s="2647"/>
      <c r="B9" s="1422" t="s">
        <v>990</v>
      </c>
      <c r="C9" s="1422" t="s">
        <v>1018</v>
      </c>
      <c r="D9" s="1422" t="s">
        <v>3299</v>
      </c>
      <c r="E9" s="1422" t="s">
        <v>3233</v>
      </c>
      <c r="F9" s="1422" t="s">
        <v>1178</v>
      </c>
      <c r="G9" s="1422" t="s">
        <v>3233</v>
      </c>
      <c r="H9" s="1422" t="s">
        <v>1178</v>
      </c>
      <c r="I9" s="2359"/>
      <c r="J9" s="1422" t="s">
        <v>3233</v>
      </c>
      <c r="K9" s="1422" t="s">
        <v>3299</v>
      </c>
      <c r="L9" s="1422" t="s">
        <v>1046</v>
      </c>
      <c r="M9" s="1422" t="s">
        <v>3299</v>
      </c>
      <c r="N9" s="2359"/>
      <c r="O9" s="2359"/>
    </row>
    <row r="10" spans="1:15" hidden="1">
      <c r="A10" s="67">
        <v>2009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</row>
    <row r="11" spans="1:15" hidden="1">
      <c r="B11" s="178">
        <v>5.2402597402597406</v>
      </c>
      <c r="C11" s="178">
        <v>1.0254129606099112</v>
      </c>
      <c r="D11" s="178">
        <v>1.1302521008403361</v>
      </c>
      <c r="E11" s="178">
        <v>11396.111578557497</v>
      </c>
      <c r="F11" s="1526">
        <v>1372415.6248930632</v>
      </c>
      <c r="G11" s="178">
        <v>25172.043093270368</v>
      </c>
      <c r="H11" s="178">
        <v>2848085.8476977567</v>
      </c>
      <c r="I11" s="1526">
        <v>113.14480263460139</v>
      </c>
      <c r="J11" s="1526">
        <v>152.95148434792654</v>
      </c>
      <c r="K11" s="1526">
        <v>101.5445632798574</v>
      </c>
      <c r="L11" s="1526">
        <v>38339.537599630356</v>
      </c>
      <c r="M11" s="1526">
        <v>11715.915075120958</v>
      </c>
      <c r="N11" s="1526">
        <v>250.6646977836283</v>
      </c>
      <c r="O11" s="178">
        <v>115.37707875932095</v>
      </c>
    </row>
    <row r="12" spans="1:15">
      <c r="A12" s="1522">
        <v>2010</v>
      </c>
      <c r="B12" s="260">
        <v>4.7521141649048628</v>
      </c>
      <c r="C12" s="261">
        <v>1.1421493902439024</v>
      </c>
      <c r="D12" s="261">
        <v>1.2884780739466897</v>
      </c>
      <c r="E12" s="260">
        <v>1238.3886147266671</v>
      </c>
      <c r="F12" s="260">
        <v>178366.50005471692</v>
      </c>
      <c r="G12" s="260">
        <v>2602.6617336152221</v>
      </c>
      <c r="H12" s="260">
        <v>345690.83778012689</v>
      </c>
      <c r="I12" s="260">
        <v>132.82203880561372</v>
      </c>
      <c r="J12" s="260">
        <v>15.780233739837398</v>
      </c>
      <c r="K12" s="260">
        <v>10.397535110346805</v>
      </c>
      <c r="L12" s="260">
        <v>5181.0893686483741</v>
      </c>
      <c r="M12" s="260">
        <v>2053.8550515907136</v>
      </c>
      <c r="N12" s="260">
        <v>328.32779628407206</v>
      </c>
      <c r="O12" s="260">
        <v>197.532879648262</v>
      </c>
    </row>
    <row r="13" spans="1:15" hidden="1">
      <c r="A13" s="1525" t="s">
        <v>18</v>
      </c>
      <c r="B13" s="233">
        <v>5.2640515222482431</v>
      </c>
      <c r="C13" s="234">
        <v>1.0385814947441376</v>
      </c>
      <c r="D13" s="234">
        <v>1.1478360781309842</v>
      </c>
      <c r="E13" s="233">
        <v>564.70286553638562</v>
      </c>
      <c r="F13" s="233">
        <v>72992.081066547151</v>
      </c>
      <c r="G13" s="233">
        <v>1223.708430913349</v>
      </c>
      <c r="H13" s="233">
        <v>143616.09218969557</v>
      </c>
      <c r="I13" s="233">
        <v>117.36136530701491</v>
      </c>
      <c r="J13" s="233">
        <v>6.0762388818297328</v>
      </c>
      <c r="K13" s="233">
        <v>4.3157155623643559</v>
      </c>
      <c r="L13" s="233">
        <v>2474.0041596395981</v>
      </c>
      <c r="M13" s="233">
        <v>735.49445040214482</v>
      </c>
      <c r="N13" s="233">
        <v>407.16045036310408</v>
      </c>
      <c r="O13" s="233">
        <v>170.42236444312971</v>
      </c>
    </row>
    <row r="14" spans="1:15" hidden="1">
      <c r="A14" s="1525" t="s">
        <v>19</v>
      </c>
      <c r="B14" s="233">
        <v>5.2456242707117857</v>
      </c>
      <c r="C14" s="234">
        <v>1.0360682184835215</v>
      </c>
      <c r="D14" s="234">
        <v>1.1457881993118388</v>
      </c>
      <c r="E14" s="233">
        <v>989.82744791234495</v>
      </c>
      <c r="F14" s="233">
        <v>122071.90244899895</v>
      </c>
      <c r="G14" s="233">
        <v>2222.6697782963829</v>
      </c>
      <c r="H14" s="233">
        <v>261380.23045507586</v>
      </c>
      <c r="I14" s="233">
        <v>117.59741955704138</v>
      </c>
      <c r="J14" s="233">
        <v>9.0747868172389943</v>
      </c>
      <c r="K14" s="233">
        <v>4.1531795590671594</v>
      </c>
      <c r="L14" s="233">
        <v>2799.3440527771377</v>
      </c>
      <c r="M14" s="233">
        <v>759.83622913215243</v>
      </c>
      <c r="N14" s="233">
        <v>308.47491066780105</v>
      </c>
      <c r="O14" s="233">
        <v>182.95289628720465</v>
      </c>
    </row>
    <row r="15" spans="1:15" hidden="1">
      <c r="A15" s="1525" t="s">
        <v>20</v>
      </c>
      <c r="B15" s="233">
        <v>5.2425655976676389</v>
      </c>
      <c r="C15" s="234">
        <v>1.0290717637633056</v>
      </c>
      <c r="D15" s="234">
        <v>1.1376692395292927</v>
      </c>
      <c r="E15" s="233">
        <v>1224.2010378062205</v>
      </c>
      <c r="F15" s="233">
        <v>151162.96305085556</v>
      </c>
      <c r="G15" s="233">
        <v>2751.209912536443</v>
      </c>
      <c r="H15" s="233">
        <v>322750.0728338192</v>
      </c>
      <c r="I15" s="233">
        <v>117.31204927808066</v>
      </c>
      <c r="J15" s="233">
        <v>10.740986608675748</v>
      </c>
      <c r="K15" s="233">
        <v>5.2344679235733267</v>
      </c>
      <c r="L15" s="233">
        <v>3325.2271683644271</v>
      </c>
      <c r="M15" s="233">
        <v>766.28747058079205</v>
      </c>
      <c r="N15" s="233">
        <v>309.58302896295982</v>
      </c>
      <c r="O15" s="233">
        <v>146.39261941597368</v>
      </c>
    </row>
    <row r="16" spans="1:15" hidden="1">
      <c r="A16" s="1525" t="s">
        <v>21</v>
      </c>
      <c r="B16" s="233">
        <v>5.1851211072664363</v>
      </c>
      <c r="C16" s="234">
        <v>1.0315511702615878</v>
      </c>
      <c r="D16" s="234">
        <v>1.1395437262357415</v>
      </c>
      <c r="E16" s="233">
        <v>834.48503149642158</v>
      </c>
      <c r="F16" s="233">
        <v>105597.11699043233</v>
      </c>
      <c r="G16" s="233">
        <v>1861.670126874279</v>
      </c>
      <c r="H16" s="233">
        <v>222422.5815109573</v>
      </c>
      <c r="I16" s="233">
        <v>119.47475457663494</v>
      </c>
      <c r="J16" s="233">
        <v>8.6259752179899039</v>
      </c>
      <c r="K16" s="233">
        <v>5.4591888466413181</v>
      </c>
      <c r="L16" s="233">
        <v>2969.6828625516291</v>
      </c>
      <c r="M16" s="233">
        <v>650.88158935361218</v>
      </c>
      <c r="N16" s="233">
        <v>344.27213010746965</v>
      </c>
      <c r="O16" s="233">
        <v>119.22679497597103</v>
      </c>
    </row>
    <row r="17" spans="1:15" hidden="1">
      <c r="A17" s="1525" t="s">
        <v>22</v>
      </c>
      <c r="B17" s="233">
        <v>5.131849315068493</v>
      </c>
      <c r="C17" s="234">
        <v>1.021588455857289</v>
      </c>
      <c r="D17" s="234">
        <v>1.1286718553853878</v>
      </c>
      <c r="E17" s="233">
        <v>964.0443542201848</v>
      </c>
      <c r="F17" s="233">
        <v>120751.99585253188</v>
      </c>
      <c r="G17" s="233">
        <v>2137.933789954338</v>
      </c>
      <c r="H17" s="233">
        <v>254566.53834474887</v>
      </c>
      <c r="I17" s="233">
        <v>119.07129188981381</v>
      </c>
      <c r="J17" s="233">
        <v>10.701170321554368</v>
      </c>
      <c r="K17" s="233">
        <v>7.2166708511172484</v>
      </c>
      <c r="L17" s="233">
        <v>2990.9164049539827</v>
      </c>
      <c r="M17" s="233">
        <v>687.45916394677386</v>
      </c>
      <c r="N17" s="233">
        <v>279.49432773064632</v>
      </c>
      <c r="O17" s="233">
        <v>95.259875104369613</v>
      </c>
    </row>
    <row r="18" spans="1:15" hidden="1">
      <c r="A18" s="1525" t="s">
        <v>23</v>
      </c>
      <c r="B18" s="233">
        <v>5.0596510973550926</v>
      </c>
      <c r="C18" s="234">
        <v>1.0199659671015315</v>
      </c>
      <c r="D18" s="234">
        <v>1.1265505575742387</v>
      </c>
      <c r="E18" s="233">
        <v>843.62435960085816</v>
      </c>
      <c r="F18" s="233">
        <v>109373.99002748072</v>
      </c>
      <c r="G18" s="233">
        <v>1854.6724817107483</v>
      </c>
      <c r="H18" s="233">
        <v>227862.71739448508</v>
      </c>
      <c r="I18" s="233">
        <v>122.85873632216978</v>
      </c>
      <c r="J18" s="233">
        <v>8.3111741349971631</v>
      </c>
      <c r="K18" s="233">
        <v>5.7036712191454706</v>
      </c>
      <c r="L18" s="233">
        <v>2740.0134622802043</v>
      </c>
      <c r="M18" s="233">
        <v>726.46940734243822</v>
      </c>
      <c r="N18" s="233">
        <v>329.67826419884528</v>
      </c>
      <c r="O18" s="233">
        <v>127.36873838448189</v>
      </c>
    </row>
    <row r="19" spans="1:15" hidden="1">
      <c r="A19" s="1525" t="s">
        <v>24</v>
      </c>
      <c r="B19" s="233">
        <v>4.9701492537313436</v>
      </c>
      <c r="C19" s="234">
        <v>1.0253164556962024</v>
      </c>
      <c r="D19" s="234">
        <v>1.1362315177555922</v>
      </c>
      <c r="E19" s="233">
        <v>1045.4981932399176</v>
      </c>
      <c r="F19" s="233">
        <v>137896.62886564928</v>
      </c>
      <c r="G19" s="233">
        <v>2274.3847429519074</v>
      </c>
      <c r="H19" s="233">
        <v>285954.88184079604</v>
      </c>
      <c r="I19" s="233">
        <v>125.72845589425529</v>
      </c>
      <c r="J19" s="233">
        <v>9.7674763370965909</v>
      </c>
      <c r="K19" s="233">
        <v>5.7835207885757614</v>
      </c>
      <c r="L19" s="233">
        <v>3037.6700650017106</v>
      </c>
      <c r="M19" s="233">
        <v>722.47050296979648</v>
      </c>
      <c r="N19" s="233">
        <v>310.99845652706915</v>
      </c>
      <c r="O19" s="233">
        <v>124.91880454495794</v>
      </c>
    </row>
    <row r="20" spans="1:15" hidden="1">
      <c r="A20" s="1525" t="s">
        <v>25</v>
      </c>
      <c r="B20" s="233">
        <v>4.9077510917030569</v>
      </c>
      <c r="C20" s="234">
        <v>1.0226342129208372</v>
      </c>
      <c r="D20" s="234">
        <v>1.1332240988152256</v>
      </c>
      <c r="E20" s="233">
        <v>865.78062009116695</v>
      </c>
      <c r="F20" s="233">
        <v>112485.6238803334</v>
      </c>
      <c r="G20" s="233">
        <v>1783.1211790393013</v>
      </c>
      <c r="H20" s="233">
        <v>214381.75301310042</v>
      </c>
      <c r="I20" s="233">
        <v>120.22837008116502</v>
      </c>
      <c r="J20" s="233">
        <v>8.8188125568698812</v>
      </c>
      <c r="K20" s="233">
        <v>4.4200907486765821</v>
      </c>
      <c r="L20" s="233">
        <v>3245.1651387625111</v>
      </c>
      <c r="M20" s="233">
        <v>369.97458280816738</v>
      </c>
      <c r="N20" s="233">
        <v>367.98209711743084</v>
      </c>
      <c r="O20" s="233">
        <v>83.70293820753372</v>
      </c>
    </row>
    <row r="21" spans="1:15" hidden="1">
      <c r="A21" s="1525" t="s">
        <v>26</v>
      </c>
      <c r="B21" s="233">
        <v>4.8678938819707636</v>
      </c>
      <c r="C21" s="234">
        <v>1.0122720108083765</v>
      </c>
      <c r="D21" s="234">
        <v>1.1217716781035558</v>
      </c>
      <c r="E21" s="233">
        <v>937.0652835066594</v>
      </c>
      <c r="F21" s="233">
        <v>121020.20380817376</v>
      </c>
      <c r="G21" s="233">
        <v>1923.4856524093125</v>
      </c>
      <c r="H21" s="233">
        <v>232186.2691932864</v>
      </c>
      <c r="I21" s="233">
        <v>120.71120411137738</v>
      </c>
      <c r="J21" s="233">
        <v>9.7251745102454397</v>
      </c>
      <c r="K21" s="233">
        <v>4.1267623206487833</v>
      </c>
      <c r="L21" s="233">
        <v>3461.6839596937625</v>
      </c>
      <c r="M21" s="233">
        <v>383.17712289457268</v>
      </c>
      <c r="N21" s="233">
        <v>355.95083214670234</v>
      </c>
      <c r="O21" s="233">
        <v>92.85175474664409</v>
      </c>
    </row>
    <row r="22" spans="1:15" hidden="1">
      <c r="A22" s="1525" t="s">
        <v>27</v>
      </c>
      <c r="B22" s="233">
        <v>4.8131691648822272</v>
      </c>
      <c r="C22" s="234">
        <v>1.1412795125666413</v>
      </c>
      <c r="D22" s="234">
        <v>1.2827792837779997</v>
      </c>
      <c r="E22" s="233">
        <v>952.91010294463888</v>
      </c>
      <c r="F22" s="233">
        <v>124030.56040947778</v>
      </c>
      <c r="G22" s="233">
        <v>1959.0926124197001</v>
      </c>
      <c r="H22" s="233">
        <v>241803.10698072804</v>
      </c>
      <c r="I22" s="233">
        <v>123.42607258473296</v>
      </c>
      <c r="J22" s="233">
        <v>10.955699416095456</v>
      </c>
      <c r="K22" s="233">
        <v>7.0271080039948641</v>
      </c>
      <c r="L22" s="233">
        <v>3360.1768761106878</v>
      </c>
      <c r="M22" s="233">
        <v>832.4496119275218</v>
      </c>
      <c r="N22" s="233">
        <v>306.70582940365432</v>
      </c>
      <c r="O22" s="233">
        <v>118.46261811463262</v>
      </c>
    </row>
    <row r="23" spans="1:15" hidden="1">
      <c r="A23" s="1525" t="s">
        <v>28</v>
      </c>
      <c r="B23" s="233">
        <v>4.7849920170303353</v>
      </c>
      <c r="C23" s="234">
        <v>1.1363751263902933</v>
      </c>
      <c r="D23" s="234">
        <v>1.2805868109955847</v>
      </c>
      <c r="E23" s="233">
        <v>866.88681549175692</v>
      </c>
      <c r="F23" s="233">
        <v>118556.85258185389</v>
      </c>
      <c r="G23" s="233">
        <v>1757.0835550824906</v>
      </c>
      <c r="H23" s="233">
        <v>226897.69736029801</v>
      </c>
      <c r="I23" s="233">
        <v>129.13312898750894</v>
      </c>
      <c r="J23" s="233">
        <v>10.481294236602629</v>
      </c>
      <c r="K23" s="233">
        <v>7.6160091155106109</v>
      </c>
      <c r="L23" s="233">
        <v>3552.9258240647118</v>
      </c>
      <c r="M23" s="233">
        <v>936.62396382281725</v>
      </c>
      <c r="N23" s="233">
        <v>338.9777773490257</v>
      </c>
      <c r="O23" s="233">
        <v>122.98094049222021</v>
      </c>
    </row>
    <row r="24" spans="1:15" hidden="1">
      <c r="A24" s="1525" t="s">
        <v>29</v>
      </c>
      <c r="B24" s="233">
        <v>4.7521141649048628</v>
      </c>
      <c r="C24" s="234">
        <v>1.1421493902439024</v>
      </c>
      <c r="D24" s="234">
        <v>1.2884780739466897</v>
      </c>
      <c r="E24" s="233">
        <v>1238.3886147266671</v>
      </c>
      <c r="F24" s="233">
        <v>178366.50005471692</v>
      </c>
      <c r="G24" s="233">
        <v>2602.6617336152221</v>
      </c>
      <c r="H24" s="233">
        <v>345690.83778012689</v>
      </c>
      <c r="I24" s="233">
        <v>132.82203880561372</v>
      </c>
      <c r="J24" s="233">
        <v>15.780233739837398</v>
      </c>
      <c r="K24" s="233">
        <v>10.397535110346805</v>
      </c>
      <c r="L24" s="233">
        <v>5181.0893686483741</v>
      </c>
      <c r="M24" s="233">
        <v>2053.8550515907136</v>
      </c>
      <c r="N24" s="233">
        <v>328.32779628407206</v>
      </c>
      <c r="O24" s="233">
        <v>197.532879648262</v>
      </c>
    </row>
    <row r="25" spans="1:15" ht="19.5" customHeight="1">
      <c r="A25" s="1522">
        <v>2011</v>
      </c>
      <c r="B25" s="260">
        <v>4.2701688555347088</v>
      </c>
      <c r="C25" s="261">
        <v>0.68865355521936455</v>
      </c>
      <c r="D25" s="261">
        <v>0.77718968755335494</v>
      </c>
      <c r="E25" s="260">
        <v>1106.4532806549171</v>
      </c>
      <c r="F25" s="260">
        <v>168348.50981738092</v>
      </c>
      <c r="G25" s="260">
        <v>2144.4882739212007</v>
      </c>
      <c r="H25" s="260">
        <v>323530.96200750471</v>
      </c>
      <c r="I25" s="260">
        <v>150.86627702371518</v>
      </c>
      <c r="J25" s="260">
        <v>16.699167927382753</v>
      </c>
      <c r="K25" s="260">
        <v>15.821581014171077</v>
      </c>
      <c r="L25" s="260">
        <v>3147.7293494704991</v>
      </c>
      <c r="M25" s="260">
        <v>1095.5109270957828</v>
      </c>
      <c r="N25" s="260">
        <v>188.49617916045713</v>
      </c>
      <c r="O25" s="260">
        <v>69.241558483602574</v>
      </c>
    </row>
    <row r="26" spans="1:15" hidden="1">
      <c r="A26" s="1522" t="s">
        <v>18</v>
      </c>
      <c r="B26" s="260">
        <v>4.7739905610907183</v>
      </c>
      <c r="C26" s="261">
        <v>1.1576805696846388</v>
      </c>
      <c r="D26" s="261">
        <v>1.3152268130598093</v>
      </c>
      <c r="E26" s="260">
        <v>801.96415008712052</v>
      </c>
      <c r="F26" s="260">
        <v>105336.80332163104</v>
      </c>
      <c r="G26" s="260">
        <v>1636.4672260094389</v>
      </c>
      <c r="H26" s="260">
        <v>203601.7196853697</v>
      </c>
      <c r="I26" s="260">
        <v>124.41539705127913</v>
      </c>
      <c r="J26" s="260">
        <v>12.82884028484232</v>
      </c>
      <c r="K26" s="260">
        <v>10.556919965327939</v>
      </c>
      <c r="L26" s="260">
        <v>3183.1895892675484</v>
      </c>
      <c r="M26" s="260">
        <v>958.75480641433103</v>
      </c>
      <c r="N26" s="260">
        <v>248.12761859921099</v>
      </c>
      <c r="O26" s="260">
        <v>90.817663633253503</v>
      </c>
    </row>
    <row r="27" spans="1:15" hidden="1">
      <c r="A27" s="1522" t="s">
        <v>19</v>
      </c>
      <c r="B27" s="260">
        <v>4.7615062761506275</v>
      </c>
      <c r="C27" s="261">
        <v>1.1404233997244144</v>
      </c>
      <c r="D27" s="261">
        <v>1.2917139614074915</v>
      </c>
      <c r="E27" s="260">
        <v>946.87499489456422</v>
      </c>
      <c r="F27" s="260">
        <v>126752.22659312349</v>
      </c>
      <c r="G27" s="260">
        <v>1989.5475941422594</v>
      </c>
      <c r="H27" s="260">
        <v>254570.47904288705</v>
      </c>
      <c r="I27" s="260">
        <v>127.95395284456029</v>
      </c>
      <c r="J27" s="260">
        <v>12.0438431667293</v>
      </c>
      <c r="K27" s="260">
        <v>9.775681044267877</v>
      </c>
      <c r="L27" s="260">
        <v>3501.4769460102721</v>
      </c>
      <c r="M27" s="260">
        <v>914.04598893303069</v>
      </c>
      <c r="N27" s="260">
        <v>290.72754415160279</v>
      </c>
      <c r="O27" s="260">
        <v>93.502026589645709</v>
      </c>
    </row>
    <row r="28" spans="1:15" hidden="1">
      <c r="A28" s="1522" t="s">
        <v>20</v>
      </c>
      <c r="B28" s="260">
        <v>4.7195438050803524</v>
      </c>
      <c r="C28" s="261">
        <v>1.0278875465733319</v>
      </c>
      <c r="D28" s="261">
        <v>1.1486247792076709</v>
      </c>
      <c r="E28" s="260">
        <v>1145.3625658010344</v>
      </c>
      <c r="F28" s="260">
        <v>154510.45655675052</v>
      </c>
      <c r="G28" s="260">
        <v>2396.0533955417313</v>
      </c>
      <c r="H28" s="260">
        <v>308531.89947641268</v>
      </c>
      <c r="I28" s="260">
        <v>128.76670446931158</v>
      </c>
      <c r="J28" s="260">
        <v>14.773399570960821</v>
      </c>
      <c r="K28" s="260">
        <v>12.284632853898561</v>
      </c>
      <c r="L28" s="260">
        <v>3873.3201546799141</v>
      </c>
      <c r="M28" s="260">
        <v>910.45422533434271</v>
      </c>
      <c r="N28" s="260">
        <v>262.18204794876499</v>
      </c>
      <c r="O28" s="260">
        <v>74.113262981677764</v>
      </c>
    </row>
    <row r="29" spans="1:15" hidden="1">
      <c r="A29" s="1522" t="s">
        <v>21</v>
      </c>
      <c r="B29" s="260">
        <v>4.675911658962506</v>
      </c>
      <c r="C29" s="261">
        <v>0.96491785903550609</v>
      </c>
      <c r="D29" s="261">
        <v>1.0732052339974065</v>
      </c>
      <c r="E29" s="260">
        <v>839.58585905230314</v>
      </c>
      <c r="F29" s="260">
        <v>116137.61166865507</v>
      </c>
      <c r="G29" s="260">
        <v>1710.3754494093478</v>
      </c>
      <c r="H29" s="260">
        <v>227303.09914740629</v>
      </c>
      <c r="I29" s="260">
        <v>132.89661005477012</v>
      </c>
      <c r="J29" s="260">
        <v>15.100052994170641</v>
      </c>
      <c r="K29" s="260">
        <v>14.026995166804197</v>
      </c>
      <c r="L29" s="260">
        <v>3370.9133831478539</v>
      </c>
      <c r="M29" s="260">
        <v>945.05395261110448</v>
      </c>
      <c r="N29" s="260">
        <v>223.23851343099201</v>
      </c>
      <c r="O29" s="260">
        <v>67.373941558605267</v>
      </c>
    </row>
    <row r="30" spans="1:15" hidden="1">
      <c r="A30" s="1522" t="s">
        <v>22</v>
      </c>
      <c r="B30" s="260">
        <v>4.6448979591836732</v>
      </c>
      <c r="C30" s="261">
        <v>0.90183259039128283</v>
      </c>
      <c r="D30" s="261">
        <v>1.0312641594925238</v>
      </c>
      <c r="E30" s="260">
        <v>1001.0495950779874</v>
      </c>
      <c r="F30" s="260">
        <v>132822.70464367137</v>
      </c>
      <c r="G30" s="260">
        <v>2045.5622448979591</v>
      </c>
      <c r="H30" s="260">
        <v>263169.48163265304</v>
      </c>
      <c r="I30" s="260">
        <v>128.65386144520917</v>
      </c>
      <c r="J30" s="260">
        <v>16.624764735017337</v>
      </c>
      <c r="K30" s="260">
        <v>16.342093339374717</v>
      </c>
      <c r="L30" s="260">
        <v>3074.8407132243683</v>
      </c>
      <c r="M30" s="260">
        <v>986.94970548255549</v>
      </c>
      <c r="N30" s="260">
        <v>184.95544221132477</v>
      </c>
      <c r="O30" s="260">
        <v>60.393101727340785</v>
      </c>
    </row>
    <row r="31" spans="1:15" hidden="1">
      <c r="A31" s="1522" t="s">
        <v>23</v>
      </c>
      <c r="B31" s="260">
        <v>4.5863979848866503</v>
      </c>
      <c r="C31" s="261">
        <v>0.85813931567536994</v>
      </c>
      <c r="D31" s="261">
        <v>1.0285843407524573</v>
      </c>
      <c r="E31" s="260">
        <v>871.82916868881762</v>
      </c>
      <c r="F31" s="260">
        <v>125578.33964487235</v>
      </c>
      <c r="G31" s="260">
        <v>1755.4952141057934</v>
      </c>
      <c r="H31" s="260">
        <v>241883.51788413097</v>
      </c>
      <c r="I31" s="260">
        <v>137.78648665091382</v>
      </c>
      <c r="J31" s="260">
        <v>14.131586388915071</v>
      </c>
      <c r="K31" s="260">
        <v>14.111173878657779</v>
      </c>
      <c r="L31" s="260">
        <v>2960.489584315204</v>
      </c>
      <c r="M31" s="260">
        <v>1001.4478589989832</v>
      </c>
      <c r="N31" s="260">
        <v>209.49449713851203</v>
      </c>
      <c r="O31" s="260">
        <v>70.96843023907509</v>
      </c>
    </row>
    <row r="32" spans="1:15" hidden="1">
      <c r="A32" s="1522" t="s">
        <v>24</v>
      </c>
      <c r="B32" s="260">
        <v>4.5474525474525471</v>
      </c>
      <c r="C32" s="261">
        <v>0.80766501064584817</v>
      </c>
      <c r="D32" s="261">
        <v>0.91950308049691953</v>
      </c>
      <c r="E32" s="260">
        <v>976.08795341411496</v>
      </c>
      <c r="F32" s="260">
        <v>145689.23348282595</v>
      </c>
      <c r="G32" s="260">
        <v>1984.4045954045955</v>
      </c>
      <c r="H32" s="260">
        <v>288375.97752247751</v>
      </c>
      <c r="I32" s="260">
        <v>145.3211599037248</v>
      </c>
      <c r="J32" s="260">
        <v>12.827448545067424</v>
      </c>
      <c r="K32" s="260">
        <v>12.223613776386223</v>
      </c>
      <c r="L32" s="260">
        <v>2765.7775904897089</v>
      </c>
      <c r="M32" s="260">
        <v>803.54317745682249</v>
      </c>
      <c r="N32" s="260">
        <v>215.6140077874833</v>
      </c>
      <c r="O32" s="260">
        <v>65.736957348007863</v>
      </c>
    </row>
    <row r="33" spans="1:15" hidden="1">
      <c r="A33" s="1522" t="s">
        <v>25</v>
      </c>
      <c r="B33" s="260">
        <v>4.4671246319921494</v>
      </c>
      <c r="C33" s="261">
        <v>0.7723763468227709</v>
      </c>
      <c r="D33" s="261">
        <v>0.87504805843906186</v>
      </c>
      <c r="E33" s="260">
        <v>1071.0480328433848</v>
      </c>
      <c r="F33" s="260">
        <v>155534.32932728028</v>
      </c>
      <c r="G33" s="260">
        <v>2156.8125613346419</v>
      </c>
      <c r="H33" s="260">
        <v>300896.23356231599</v>
      </c>
      <c r="I33" s="260">
        <v>139.50968153492232</v>
      </c>
      <c r="J33" s="260">
        <v>12.793840671926699</v>
      </c>
      <c r="K33" s="260">
        <v>11.556708958093042</v>
      </c>
      <c r="L33" s="260">
        <v>2880.3866972087894</v>
      </c>
      <c r="M33" s="260">
        <v>798.60265282583623</v>
      </c>
      <c r="N33" s="260">
        <v>225.13854682661255</v>
      </c>
      <c r="O33" s="260">
        <v>69.102947536511522</v>
      </c>
    </row>
    <row r="34" spans="1:15" hidden="1">
      <c r="A34" s="1522" t="s">
        <v>26</v>
      </c>
      <c r="B34" s="260">
        <v>4.4280155642023349</v>
      </c>
      <c r="C34" s="261">
        <v>0.74598492297607344</v>
      </c>
      <c r="D34" s="261">
        <v>0.8432752871433864</v>
      </c>
      <c r="E34" s="260">
        <v>975.54150456791649</v>
      </c>
      <c r="F34" s="260">
        <v>140478.02890610616</v>
      </c>
      <c r="G34" s="260">
        <v>1915.5165369649806</v>
      </c>
      <c r="H34" s="260">
        <v>264336.80885214009</v>
      </c>
      <c r="I34" s="260">
        <v>137.99766472962204</v>
      </c>
      <c r="J34" s="260">
        <v>14.100458865945592</v>
      </c>
      <c r="K34" s="260">
        <v>13.585309373842163</v>
      </c>
      <c r="L34" s="260">
        <v>2987.2227958046542</v>
      </c>
      <c r="M34" s="260">
        <v>1058.5535383475362</v>
      </c>
      <c r="N34" s="260">
        <v>211.85287827896002</v>
      </c>
      <c r="O34" s="260">
        <v>77.918986547757839</v>
      </c>
    </row>
    <row r="35" spans="1:15" hidden="1">
      <c r="A35" s="1522" t="s">
        <v>27</v>
      </c>
      <c r="B35" s="260">
        <v>4.3917028461167389</v>
      </c>
      <c r="C35" s="261">
        <v>0.72966257914562793</v>
      </c>
      <c r="D35" s="261">
        <v>0.82869106135081017</v>
      </c>
      <c r="E35" s="260">
        <v>908.7628052105124</v>
      </c>
      <c r="F35" s="260" t="s">
        <v>4532</v>
      </c>
      <c r="G35" s="260">
        <v>1757.5615050651229</v>
      </c>
      <c r="H35" s="260">
        <v>248859.28412928124</v>
      </c>
      <c r="I35" s="260">
        <v>141.59349952311356</v>
      </c>
      <c r="J35" s="260">
        <v>13.723010339023803</v>
      </c>
      <c r="K35" s="260">
        <v>13.398325141088659</v>
      </c>
      <c r="L35" s="260">
        <v>2533.0968982928589</v>
      </c>
      <c r="M35" s="260">
        <v>992.92135445111956</v>
      </c>
      <c r="N35" s="260">
        <v>184.58755300136664</v>
      </c>
      <c r="O35" s="260">
        <v>74.10787124475182</v>
      </c>
    </row>
    <row r="36" spans="1:15" hidden="1">
      <c r="A36" s="1522" t="s">
        <v>28</v>
      </c>
      <c r="B36" s="260">
        <v>4.5203574975173781</v>
      </c>
      <c r="C36" s="261">
        <v>0.71247456565972767</v>
      </c>
      <c r="D36" s="261">
        <v>0.80644875542563554</v>
      </c>
      <c r="E36" s="260">
        <v>897.73440675009761</v>
      </c>
      <c r="F36" s="260">
        <v>134211.24772239994</v>
      </c>
      <c r="G36" s="260">
        <v>1804.2681231380338</v>
      </c>
      <c r="H36" s="260">
        <v>267883.86345580936</v>
      </c>
      <c r="I36" s="260">
        <v>148.47231407596905</v>
      </c>
      <c r="J36" s="260">
        <v>14.872984817655345</v>
      </c>
      <c r="K36" s="260">
        <v>14.368766055452211</v>
      </c>
      <c r="L36" s="260">
        <v>2518.1717013617153</v>
      </c>
      <c r="M36" s="260">
        <v>925.20010629816636</v>
      </c>
      <c r="N36" s="260">
        <v>169.3117912937326</v>
      </c>
      <c r="O36" s="260">
        <v>64.389670116947883</v>
      </c>
    </row>
    <row r="37" spans="1:15" hidden="1">
      <c r="A37" s="1522" t="s">
        <v>29</v>
      </c>
      <c r="B37" s="260">
        <v>4.2701688555347088</v>
      </c>
      <c r="C37" s="261">
        <v>0.68865355521936455</v>
      </c>
      <c r="D37" s="261">
        <v>0.77718968755335494</v>
      </c>
      <c r="E37" s="260">
        <v>1106.4532806549171</v>
      </c>
      <c r="F37" s="260">
        <v>168348.50981738092</v>
      </c>
      <c r="G37" s="260">
        <v>2144.4882739212007</v>
      </c>
      <c r="H37" s="260">
        <v>323530.96200750471</v>
      </c>
      <c r="I37" s="260">
        <v>150.86627702371518</v>
      </c>
      <c r="J37" s="260">
        <v>16.699167927382753</v>
      </c>
      <c r="K37" s="260">
        <v>15.821581014171077</v>
      </c>
      <c r="L37" s="260">
        <v>3147.7293494704991</v>
      </c>
      <c r="M37" s="260">
        <v>1095.5109270957828</v>
      </c>
      <c r="N37" s="260">
        <v>188.49617916045713</v>
      </c>
      <c r="O37" s="260">
        <v>69.241558483602574</v>
      </c>
    </row>
    <row r="38" spans="1:15">
      <c r="A38" s="1522" t="s">
        <v>1288</v>
      </c>
      <c r="B38" s="260">
        <v>4.0628318584070797</v>
      </c>
      <c r="C38" s="261">
        <v>0.24910472056429733</v>
      </c>
      <c r="D38" s="261">
        <v>0.26208077636649063</v>
      </c>
      <c r="E38" s="260">
        <v>1148.7973399929353</v>
      </c>
      <c r="F38" s="260">
        <v>186285.01527623113</v>
      </c>
      <c r="G38" s="260">
        <v>2126.6057522123892</v>
      </c>
      <c r="H38" s="260">
        <v>355559.63185840705</v>
      </c>
      <c r="I38" s="260">
        <v>167.19583848040699</v>
      </c>
      <c r="J38" s="260">
        <v>16.070944112859468</v>
      </c>
      <c r="K38" s="260">
        <v>15.884800913372342</v>
      </c>
      <c r="L38" s="260">
        <v>2003.0825284861639</v>
      </c>
      <c r="M38" s="260">
        <v>607.4346225203368</v>
      </c>
      <c r="N38" s="260">
        <v>124.64000337623972</v>
      </c>
      <c r="O38" s="260">
        <v>38.239989650042048</v>
      </c>
    </row>
    <row r="39" spans="1:15" hidden="1">
      <c r="A39" s="1522" t="s">
        <v>18</v>
      </c>
      <c r="B39" s="1523">
        <v>4.2476722532588456</v>
      </c>
      <c r="C39" s="1524">
        <v>0.66666666666666663</v>
      </c>
      <c r="D39" s="1524">
        <v>0.74946607524231967</v>
      </c>
      <c r="E39" s="1523">
        <v>766.30770642233597</v>
      </c>
      <c r="F39" s="1523">
        <v>114938.5491191597</v>
      </c>
      <c r="G39" s="1523">
        <v>1408.9483240223465</v>
      </c>
      <c r="H39" s="1523">
        <v>208930.22625698324</v>
      </c>
      <c r="I39" s="1523">
        <v>148.28806897652376</v>
      </c>
      <c r="J39" s="1523">
        <v>16.808271226070438</v>
      </c>
      <c r="K39" s="1523">
        <v>16.880072285197961</v>
      </c>
      <c r="L39" s="1523">
        <v>2301.8817039310243</v>
      </c>
      <c r="M39" s="1523">
        <v>954.35493675045177</v>
      </c>
      <c r="N39" s="1523">
        <v>136.94934315200098</v>
      </c>
      <c r="O39" s="1523">
        <v>56.537372626497579</v>
      </c>
    </row>
    <row r="40" spans="1:15" hidden="1">
      <c r="A40" s="1522" t="s">
        <v>19</v>
      </c>
      <c r="B40" s="1523">
        <v>4.2345850718590636</v>
      </c>
      <c r="C40" s="1524">
        <v>0.50206123234210964</v>
      </c>
      <c r="D40" s="1524">
        <v>0.54839097022094141</v>
      </c>
      <c r="E40" s="1523">
        <v>993.73733959159892</v>
      </c>
      <c r="F40" s="1523">
        <v>149942.65153800999</v>
      </c>
      <c r="G40" s="1523">
        <v>1888.9967547519702</v>
      </c>
      <c r="H40" s="1523">
        <v>285457.20723226701</v>
      </c>
      <c r="I40" s="1523">
        <v>151.11577429350757</v>
      </c>
      <c r="J40" s="1523">
        <v>15.053866871873797</v>
      </c>
      <c r="K40" s="1523">
        <v>14.662824207492795</v>
      </c>
      <c r="L40" s="1523">
        <v>1950.640795910515</v>
      </c>
      <c r="M40" s="1523">
        <v>646.79592939481267</v>
      </c>
      <c r="N40" s="1523">
        <v>129.57739114559561</v>
      </c>
      <c r="O40" s="1523">
        <v>44.111278989779876</v>
      </c>
    </row>
    <row r="41" spans="1:15" hidden="1">
      <c r="A41" s="1522" t="s">
        <v>20</v>
      </c>
      <c r="B41" s="1523">
        <v>4.2177121771217712</v>
      </c>
      <c r="C41" s="1524">
        <v>0.43555301514718492</v>
      </c>
      <c r="D41" s="1524">
        <v>0.47020105928935052</v>
      </c>
      <c r="E41" s="1523">
        <v>1131.6675515032853</v>
      </c>
      <c r="F41" s="1523">
        <v>168257.2769406999</v>
      </c>
      <c r="G41" s="1523">
        <v>2132.6785055350551</v>
      </c>
      <c r="H41" s="1523">
        <v>320045.99492619926</v>
      </c>
      <c r="I41" s="1523">
        <v>150.06762345827872</v>
      </c>
      <c r="J41" s="1523">
        <v>15.598599599885681</v>
      </c>
      <c r="K41" s="1523">
        <v>15.351776623643749</v>
      </c>
      <c r="L41" s="1523">
        <v>1966.8048490044775</v>
      </c>
      <c r="M41" s="1523">
        <v>709.07929243585124</v>
      </c>
      <c r="N41" s="1523">
        <v>126.08855278385963</v>
      </c>
      <c r="O41" s="1523">
        <v>46.188744783048506</v>
      </c>
    </row>
    <row r="42" spans="1:15" hidden="1">
      <c r="A42" s="1522" t="s">
        <v>21</v>
      </c>
      <c r="B42" s="1523">
        <v>4.1933119560238206</v>
      </c>
      <c r="C42" s="1524">
        <v>0.31761562749384131</v>
      </c>
      <c r="D42" s="1524">
        <v>0.33569254464776854</v>
      </c>
      <c r="E42" s="1523">
        <v>892.83385640259303</v>
      </c>
      <c r="F42" s="1523">
        <v>136305.70908675203</v>
      </c>
      <c r="G42" s="1523">
        <v>1651.5909299129637</v>
      </c>
      <c r="H42" s="1523">
        <v>255612.92624828219</v>
      </c>
      <c r="I42" s="1523">
        <v>154.76769799271818</v>
      </c>
      <c r="J42" s="1523">
        <v>12.161132507546581</v>
      </c>
      <c r="K42" s="1523">
        <v>11.770912024643367</v>
      </c>
      <c r="L42" s="1523">
        <v>1527.6885604246904</v>
      </c>
      <c r="M42" s="1523">
        <v>468.51498038065205</v>
      </c>
      <c r="N42" s="1523">
        <v>125.62058340180772</v>
      </c>
      <c r="O42" s="1523">
        <v>39.802776488327972</v>
      </c>
    </row>
    <row r="43" spans="1:15" hidden="1">
      <c r="A43" s="1522" t="s">
        <v>22</v>
      </c>
      <c r="B43" s="1523">
        <v>4.1353790613718413</v>
      </c>
      <c r="C43" s="1524">
        <v>0.24638382534817443</v>
      </c>
      <c r="D43" s="1524">
        <v>0.25729286576634752</v>
      </c>
      <c r="E43" s="1523">
        <v>1050.6821570010511</v>
      </c>
      <c r="F43" s="1523">
        <v>153977.24791267593</v>
      </c>
      <c r="G43" s="1523">
        <v>1931.5225631768953</v>
      </c>
      <c r="H43" s="1523">
        <v>295548.23601083033</v>
      </c>
      <c r="I43" s="1523">
        <v>153.01309011100744</v>
      </c>
      <c r="J43" s="1523">
        <v>12.537882454159273</v>
      </c>
      <c r="K43" s="1523">
        <v>12.309037819019007</v>
      </c>
      <c r="L43" s="1523">
        <v>1125.9993547346346</v>
      </c>
      <c r="M43" s="1523">
        <v>417.58323272594549</v>
      </c>
      <c r="N43" s="1523">
        <v>89.807777258359891</v>
      </c>
      <c r="O43" s="1523">
        <v>33.924928890926552</v>
      </c>
    </row>
    <row r="44" spans="1:15" hidden="1">
      <c r="A44" s="1522" t="s">
        <v>23</v>
      </c>
      <c r="B44" s="1523">
        <v>4.1194431971261789</v>
      </c>
      <c r="C44" s="1524">
        <v>0.25265767006334344</v>
      </c>
      <c r="D44" s="1524">
        <v>0.26407599309153712</v>
      </c>
      <c r="E44" s="1523">
        <v>913.03183756968758</v>
      </c>
      <c r="F44" s="1523">
        <v>140141.99058323944</v>
      </c>
      <c r="G44" s="1523">
        <v>1702.9092950157162</v>
      </c>
      <c r="H44" s="1523">
        <v>266527.81589582399</v>
      </c>
      <c r="I44" s="1523">
        <v>156.5132192747613</v>
      </c>
      <c r="J44" s="1523">
        <v>9.3615808317267977</v>
      </c>
      <c r="K44" s="1523">
        <v>9.0654576856649403</v>
      </c>
      <c r="L44" s="1523">
        <v>1088.8220324979345</v>
      </c>
      <c r="M44" s="1523">
        <v>433.17973517559011</v>
      </c>
      <c r="N44" s="1523">
        <v>116.30749678599902</v>
      </c>
      <c r="O44" s="1523">
        <v>47.783548299008679</v>
      </c>
    </row>
    <row r="45" spans="1:15" hidden="1">
      <c r="A45" s="1522" t="s">
        <v>24</v>
      </c>
      <c r="B45" s="1523">
        <v>4.1831435079726651</v>
      </c>
      <c r="C45" s="1524">
        <v>0.25140322536483861</v>
      </c>
      <c r="D45" s="1524">
        <v>0.26242533367629828</v>
      </c>
      <c r="E45" s="1523">
        <v>1043.8182095377865</v>
      </c>
      <c r="F45" s="1523">
        <v>168721.09515053077</v>
      </c>
      <c r="G45" s="1523">
        <v>1979.1649202733486</v>
      </c>
      <c r="H45" s="1523">
        <v>325265.6460136674</v>
      </c>
      <c r="I45" s="1523">
        <v>164.34489247553154</v>
      </c>
      <c r="J45" s="1523">
        <v>10.162856282342634</v>
      </c>
      <c r="K45" s="1523">
        <v>9.8200577324301932</v>
      </c>
      <c r="L45" s="1523">
        <v>1401.82600005476</v>
      </c>
      <c r="M45" s="1523">
        <v>370.13418502958075</v>
      </c>
      <c r="N45" s="1523">
        <v>137.9362219743627</v>
      </c>
      <c r="O45" s="1523">
        <v>37.691650610895415</v>
      </c>
    </row>
    <row r="46" spans="1:15" hidden="1">
      <c r="A46" s="1522" t="s">
        <v>25</v>
      </c>
      <c r="B46" s="1523">
        <v>4.1472448057813915</v>
      </c>
      <c r="C46" s="1524">
        <v>0.25146519143342277</v>
      </c>
      <c r="D46" s="1524">
        <v>0.2625528994624271</v>
      </c>
      <c r="E46" s="1523">
        <v>921.33452918947012</v>
      </c>
      <c r="F46" s="1523">
        <v>148402.12961794625</v>
      </c>
      <c r="G46" s="1523">
        <v>1691.9065040650407</v>
      </c>
      <c r="H46" s="1523">
        <v>268799.26422764227</v>
      </c>
      <c r="I46" s="1523">
        <v>158.87359235384145</v>
      </c>
      <c r="J46" s="1523">
        <v>10.682943528509613</v>
      </c>
      <c r="K46" s="1523">
        <v>10.371268443326089</v>
      </c>
      <c r="L46" s="1523">
        <v>1577.9106644026949</v>
      </c>
      <c r="M46" s="1523">
        <v>410.33255175569025</v>
      </c>
      <c r="N46" s="1523">
        <v>147.70373541634086</v>
      </c>
      <c r="O46" s="1523">
        <v>39.564355507521284</v>
      </c>
    </row>
    <row r="47" spans="1:15" hidden="1">
      <c r="A47" s="1522" t="s">
        <v>26</v>
      </c>
      <c r="B47" s="1523">
        <v>4.1397482014388487</v>
      </c>
      <c r="C47" s="1524">
        <v>0.25085281456051439</v>
      </c>
      <c r="D47" s="1524">
        <v>0.26275864037215674</v>
      </c>
      <c r="E47" s="1523">
        <v>953.20660549981369</v>
      </c>
      <c r="F47" s="1523">
        <v>149269.64497196558</v>
      </c>
      <c r="G47" s="1523">
        <v>1807.0355215827337</v>
      </c>
      <c r="H47" s="1523">
        <v>278554.95098920865</v>
      </c>
      <c r="I47" s="1523">
        <v>154.15023537845556</v>
      </c>
      <c r="J47" s="1523">
        <v>10.400168928123808</v>
      </c>
      <c r="K47" s="1523">
        <v>9.9738291617911479</v>
      </c>
      <c r="L47" s="1523">
        <v>1636.1642144842242</v>
      </c>
      <c r="M47" s="1523">
        <v>417.33605411113331</v>
      </c>
      <c r="N47" s="1523">
        <v>157.32092678415643</v>
      </c>
      <c r="O47" s="1523">
        <v>41.84311234344284</v>
      </c>
    </row>
    <row r="48" spans="1:15" hidden="1">
      <c r="A48" s="1522" t="s">
        <v>27</v>
      </c>
      <c r="B48" s="1523">
        <v>4.1248876909254264</v>
      </c>
      <c r="C48" s="1524">
        <v>0.25049788569090164</v>
      </c>
      <c r="D48" s="1524">
        <v>0.26252287282708142</v>
      </c>
      <c r="E48" s="1523">
        <v>1035.1523357176566</v>
      </c>
      <c r="F48" s="1523">
        <v>160073.5229337952</v>
      </c>
      <c r="G48" s="1523">
        <v>1938.6343216531895</v>
      </c>
      <c r="H48" s="1523">
        <v>303395.60871518421</v>
      </c>
      <c r="I48" s="1523">
        <v>156.49965820086203</v>
      </c>
      <c r="J48" s="1523">
        <v>12.731032601282227</v>
      </c>
      <c r="K48" s="1523">
        <v>12.466176806953339</v>
      </c>
      <c r="L48" s="1523">
        <v>1728.7131087164098</v>
      </c>
      <c r="M48" s="1523">
        <v>508.7700994967978</v>
      </c>
      <c r="N48" s="1523">
        <v>135.78734442501542</v>
      </c>
      <c r="O48" s="1523">
        <v>40.812039438829217</v>
      </c>
    </row>
    <row r="49" spans="1:15" hidden="1">
      <c r="A49" s="1522" t="s">
        <v>28</v>
      </c>
      <c r="B49" s="1523">
        <v>4.0991071428571431</v>
      </c>
      <c r="C49" s="1524">
        <v>0.25168576284194943</v>
      </c>
      <c r="D49" s="1524">
        <v>0.26399470975532618</v>
      </c>
      <c r="E49" s="1523">
        <v>985.30971556257191</v>
      </c>
      <c r="F49" s="1523">
        <v>152732.84347314606</v>
      </c>
      <c r="G49" s="1523">
        <v>1859.1946428571428</v>
      </c>
      <c r="H49" s="1523">
        <v>293751.49553571426</v>
      </c>
      <c r="I49" s="1523">
        <v>157.99932334372889</v>
      </c>
      <c r="J49" s="1523">
        <v>13.213091387533579</v>
      </c>
      <c r="K49" s="1523">
        <v>13.013685632960524</v>
      </c>
      <c r="L49" s="1523">
        <v>1610.2856203059043</v>
      </c>
      <c r="M49" s="1523">
        <v>494.22886058480202</v>
      </c>
      <c r="N49" s="1523">
        <v>121.87046718114679</v>
      </c>
      <c r="O49" s="1523">
        <v>37.977624058555683</v>
      </c>
    </row>
    <row r="50" spans="1:15" hidden="1">
      <c r="A50" s="1522" t="s">
        <v>29</v>
      </c>
      <c r="B50" s="1523">
        <v>4.0628318584070797</v>
      </c>
      <c r="C50" s="1524">
        <v>0.24910472056429733</v>
      </c>
      <c r="D50" s="1524">
        <v>0.26208077636649063</v>
      </c>
      <c r="E50" s="1523">
        <v>1148.7973399929353</v>
      </c>
      <c r="F50" s="1523">
        <v>186285.01527623113</v>
      </c>
      <c r="G50" s="1523">
        <v>2126.6057522123892</v>
      </c>
      <c r="H50" s="1523">
        <v>355559.63185840705</v>
      </c>
      <c r="I50" s="1523">
        <v>167.19583848040699</v>
      </c>
      <c r="J50" s="1523">
        <v>16.070944112859468</v>
      </c>
      <c r="K50" s="1523">
        <v>15.884800913372342</v>
      </c>
      <c r="L50" s="1523">
        <v>2003.0825284861639</v>
      </c>
      <c r="M50" s="1523">
        <v>607.4346225203368</v>
      </c>
      <c r="N50" s="1523">
        <v>124.64000337623972</v>
      </c>
      <c r="O50" s="1523">
        <v>38.239989650042048</v>
      </c>
    </row>
    <row r="51" spans="1:15">
      <c r="A51" s="1522" t="s">
        <v>1410</v>
      </c>
      <c r="B51" s="260">
        <f t="shared" ref="B51:O51" si="0">AVERAGE(B52:B63)</f>
        <v>3.9675708118856918</v>
      </c>
      <c r="C51" s="261">
        <f t="shared" si="0"/>
        <v>0.25998889594315494</v>
      </c>
      <c r="D51" s="261">
        <f t="shared" si="0"/>
        <v>0.27060096946755191</v>
      </c>
      <c r="E51" s="260">
        <f t="shared" si="0"/>
        <v>1048.8757389440268</v>
      </c>
      <c r="F51" s="260">
        <f t="shared" si="0"/>
        <v>158960.36794211017</v>
      </c>
      <c r="G51" s="260">
        <f t="shared" si="0"/>
        <v>1818.6126505699394</v>
      </c>
      <c r="H51" s="260">
        <f t="shared" si="0"/>
        <v>300975.38451166125</v>
      </c>
      <c r="I51" s="260">
        <f t="shared" si="0"/>
        <v>165.01182207424597</v>
      </c>
      <c r="J51" s="260">
        <f t="shared" si="0"/>
        <v>25.523866052473604</v>
      </c>
      <c r="K51" s="260">
        <f t="shared" si="0"/>
        <v>26.553827877137007</v>
      </c>
      <c r="L51" s="260">
        <f t="shared" si="0"/>
        <v>2197.7309176005119</v>
      </c>
      <c r="M51" s="260">
        <f t="shared" si="0"/>
        <v>931.22249904350508</v>
      </c>
      <c r="N51" s="260">
        <f t="shared" si="0"/>
        <v>89.083446437742566</v>
      </c>
      <c r="O51" s="260">
        <f t="shared" si="0"/>
        <v>36.008529103915592</v>
      </c>
    </row>
    <row r="52" spans="1:15">
      <c r="A52" s="1522" t="s">
        <v>18</v>
      </c>
      <c r="B52" s="233">
        <v>4.0610349402919059</v>
      </c>
      <c r="C52" s="234">
        <v>0.24699394754539342</v>
      </c>
      <c r="D52" s="234">
        <v>0.25665967854647098</v>
      </c>
      <c r="E52" s="233">
        <v>848.57453046481726</v>
      </c>
      <c r="F52" s="233">
        <v>123910.98778987651</v>
      </c>
      <c r="G52" s="233">
        <v>1461.3954002653693</v>
      </c>
      <c r="H52" s="233">
        <v>224937.86436532508</v>
      </c>
      <c r="I52" s="233">
        <v>153.91992086774013</v>
      </c>
      <c r="J52" s="233">
        <v>15.974848688634836</v>
      </c>
      <c r="K52" s="233">
        <v>16.084668064290707</v>
      </c>
      <c r="L52" s="233">
        <v>1582.831984936113</v>
      </c>
      <c r="M52" s="233">
        <v>604.3582652690427</v>
      </c>
      <c r="N52" s="233">
        <v>99.082752881547151</v>
      </c>
      <c r="O52" s="233">
        <v>37.573561534090217</v>
      </c>
    </row>
    <row r="53" spans="1:15">
      <c r="A53" s="1522" t="s">
        <v>19</v>
      </c>
      <c r="B53" s="233">
        <v>4.0289600702062307</v>
      </c>
      <c r="C53" s="234">
        <v>0.248605620837169</v>
      </c>
      <c r="D53" s="234">
        <v>0.25852408705690233</v>
      </c>
      <c r="E53" s="233">
        <v>1025.0843104715584</v>
      </c>
      <c r="F53" s="233">
        <v>157464.27030377128</v>
      </c>
      <c r="G53" s="233">
        <v>1923.3650724001754</v>
      </c>
      <c r="H53" s="233">
        <v>309090.19043440104</v>
      </c>
      <c r="I53" s="233">
        <v>160.70281969334405</v>
      </c>
      <c r="J53" s="233">
        <v>16.800102886229489</v>
      </c>
      <c r="K53" s="233">
        <v>16.328406115381366</v>
      </c>
      <c r="L53" s="233">
        <v>1863.1905019764986</v>
      </c>
      <c r="M53" s="233">
        <v>616.24622011994256</v>
      </c>
      <c r="N53" s="233">
        <v>110.90351735308101</v>
      </c>
      <c r="O53" s="233">
        <v>37.740745530541304</v>
      </c>
    </row>
    <row r="54" spans="1:15">
      <c r="A54" s="1522" t="s">
        <v>20</v>
      </c>
      <c r="B54" s="233">
        <v>4.0008714596949888</v>
      </c>
      <c r="C54" s="234">
        <v>0.24639081200021468</v>
      </c>
      <c r="D54" s="234">
        <v>0.25612273361227333</v>
      </c>
      <c r="E54" s="233">
        <v>1070.8452990192791</v>
      </c>
      <c r="F54" s="233">
        <v>167122.63399619737</v>
      </c>
      <c r="G54" s="233">
        <v>1980.5899782135077</v>
      </c>
      <c r="H54" s="233">
        <v>316327.2020043573</v>
      </c>
      <c r="I54" s="233">
        <v>159.71362345763481</v>
      </c>
      <c r="J54" s="233">
        <v>16.373745505286319</v>
      </c>
      <c r="K54" s="233">
        <v>15.917377963737797</v>
      </c>
      <c r="L54" s="233">
        <v>1858.4772076423551</v>
      </c>
      <c r="M54" s="233">
        <v>685.80962343096235</v>
      </c>
      <c r="N54" s="233">
        <v>113.50348684986824</v>
      </c>
      <c r="O54" s="233">
        <v>43.085590163991881</v>
      </c>
    </row>
    <row r="55" spans="1:15">
      <c r="A55" s="1522" t="s">
        <v>21</v>
      </c>
      <c r="B55" s="233">
        <v>4.025740025740026</v>
      </c>
      <c r="C55" s="234">
        <v>0.25307443365695792</v>
      </c>
      <c r="D55" s="234">
        <v>0.26316675079925961</v>
      </c>
      <c r="E55" s="233">
        <v>992.48494940632509</v>
      </c>
      <c r="F55" s="233">
        <v>151094.54896604014</v>
      </c>
      <c r="G55" s="233">
        <v>1746.2385242385242</v>
      </c>
      <c r="H55" s="233">
        <v>279720.5745945946</v>
      </c>
      <c r="I55" s="233">
        <v>160.18463154486372</v>
      </c>
      <c r="J55" s="233">
        <v>20.540965480043148</v>
      </c>
      <c r="K55" s="233">
        <v>20.642127993718098</v>
      </c>
      <c r="L55" s="233">
        <v>1990.1654293419635</v>
      </c>
      <c r="M55" s="233">
        <v>776.05408435694653</v>
      </c>
      <c r="N55" s="233">
        <v>96.887628348119051</v>
      </c>
      <c r="O55" s="233">
        <v>37.595643462394897</v>
      </c>
    </row>
    <row r="56" spans="1:15">
      <c r="A56" s="1522" t="s">
        <v>22</v>
      </c>
      <c r="B56" s="233">
        <v>4.0051216389244555</v>
      </c>
      <c r="C56" s="234">
        <v>0.25310856372218477</v>
      </c>
      <c r="D56" s="234">
        <v>0.26304871895498122</v>
      </c>
      <c r="E56" s="233">
        <v>1085.6783481407731</v>
      </c>
      <c r="F56" s="233">
        <v>161828.79961280973</v>
      </c>
      <c r="G56" s="233">
        <v>1871.6555697823303</v>
      </c>
      <c r="H56" s="233">
        <v>302484.227626974</v>
      </c>
      <c r="I56" s="233">
        <v>161.61319022075855</v>
      </c>
      <c r="J56" s="233">
        <v>24.344140256237356</v>
      </c>
      <c r="K56" s="233">
        <v>24.617788865840669</v>
      </c>
      <c r="L56" s="233">
        <v>2245.0751525286582</v>
      </c>
      <c r="M56" s="233">
        <v>1015.0570213600942</v>
      </c>
      <c r="N56" s="233">
        <v>92.222404607344231</v>
      </c>
      <c r="O56" s="233">
        <v>41.232664188154381</v>
      </c>
    </row>
    <row r="57" spans="1:15">
      <c r="A57" s="1522" t="s">
        <v>23</v>
      </c>
      <c r="B57" s="233">
        <v>3.9745870393900891</v>
      </c>
      <c r="C57" s="234">
        <v>0.25248883388042836</v>
      </c>
      <c r="D57" s="234">
        <v>0.26243078471950332</v>
      </c>
      <c r="E57" s="233">
        <v>826.20841565638761</v>
      </c>
      <c r="F57" s="233">
        <v>122460.99015556816</v>
      </c>
      <c r="G57" s="233">
        <v>1567.0660736975858</v>
      </c>
      <c r="H57" s="233">
        <v>251394.42237611182</v>
      </c>
      <c r="I57" s="233">
        <v>160.42362641603981</v>
      </c>
      <c r="J57" s="233">
        <v>13.079831028359253</v>
      </c>
      <c r="K57" s="233">
        <v>21.864114324067341</v>
      </c>
      <c r="L57" s="233">
        <v>1094.7059726631867</v>
      </c>
      <c r="M57" s="233">
        <v>922.93628502712681</v>
      </c>
      <c r="N57" s="233">
        <v>83.69419836461816</v>
      </c>
      <c r="O57" s="233">
        <v>42.212379214061599</v>
      </c>
    </row>
    <row r="58" spans="1:15">
      <c r="A58" s="1522" t="s">
        <v>24</v>
      </c>
      <c r="B58" s="233">
        <v>3.9628378378378377</v>
      </c>
      <c r="C58" s="234">
        <v>0.25788721556557109</v>
      </c>
      <c r="D58" s="234">
        <v>0.26809130645944634</v>
      </c>
      <c r="E58" s="233">
        <v>1112.9030817678165</v>
      </c>
      <c r="F58" s="233">
        <v>171243.36956655211</v>
      </c>
      <c r="G58" s="233">
        <v>1879.6127533783783</v>
      </c>
      <c r="H58" s="233">
        <v>325708.32902449323</v>
      </c>
      <c r="I58" s="233">
        <v>173.28480477644749</v>
      </c>
      <c r="J58" s="233">
        <v>29.975596350445201</v>
      </c>
      <c r="K58" s="233">
        <v>30.462617489929436</v>
      </c>
      <c r="L58" s="233">
        <v>2376.9593157084751</v>
      </c>
      <c r="M58" s="233">
        <v>918.95183127160522</v>
      </c>
      <c r="N58" s="233">
        <v>79.296481308308401</v>
      </c>
      <c r="O58" s="233">
        <v>30.166542043716348</v>
      </c>
    </row>
    <row r="59" spans="1:15">
      <c r="A59" s="1522" t="s">
        <v>25</v>
      </c>
      <c r="B59" s="233">
        <v>3.9511578947368422</v>
      </c>
      <c r="C59" s="234">
        <v>0.26274674506509871</v>
      </c>
      <c r="D59" s="234">
        <v>0.27332304197128127</v>
      </c>
      <c r="E59" s="233">
        <v>1077.8240852247104</v>
      </c>
      <c r="F59" s="233">
        <v>158483.24213154818</v>
      </c>
      <c r="G59" s="233">
        <v>1801.9515789473685</v>
      </c>
      <c r="H59" s="233">
        <v>293443.84318315785</v>
      </c>
      <c r="I59" s="233">
        <v>162.84779602933426</v>
      </c>
      <c r="J59" s="233">
        <v>28.707881842363154</v>
      </c>
      <c r="K59" s="233">
        <v>29.221973028864358</v>
      </c>
      <c r="L59" s="233">
        <v>2204.7175332493352</v>
      </c>
      <c r="M59" s="233">
        <v>880.26617743861595</v>
      </c>
      <c r="N59" s="233">
        <v>76.798335222207697</v>
      </c>
      <c r="O59" s="233">
        <v>30.1234340531737</v>
      </c>
    </row>
    <row r="60" spans="1:15">
      <c r="A60" s="1522" t="s">
        <v>26</v>
      </c>
      <c r="B60" s="233">
        <v>3.9165275459098496</v>
      </c>
      <c r="C60" s="234">
        <v>0.26695493855257169</v>
      </c>
      <c r="D60" s="234">
        <v>0.27802796871296515</v>
      </c>
      <c r="E60" s="233">
        <v>1050.6456790580639</v>
      </c>
      <c r="F60" s="233">
        <v>155793.5290457386</v>
      </c>
      <c r="G60" s="233">
        <v>1745.3956594323872</v>
      </c>
      <c r="H60" s="233">
        <v>288794.32434891484</v>
      </c>
      <c r="I60" s="233">
        <v>165.46066376882845</v>
      </c>
      <c r="J60" s="233">
        <v>29.189633591260812</v>
      </c>
      <c r="K60" s="233">
        <v>29.769554396776488</v>
      </c>
      <c r="L60" s="233">
        <v>2293.7550412494306</v>
      </c>
      <c r="M60" s="233">
        <v>986.29524324484476</v>
      </c>
      <c r="N60" s="233">
        <v>78.581152246329211</v>
      </c>
      <c r="O60" s="233">
        <v>33.131004586069416</v>
      </c>
    </row>
    <row r="61" spans="1:15">
      <c r="A61" s="1522" t="s">
        <v>27</v>
      </c>
      <c r="B61" s="233">
        <v>3.9392991239048811</v>
      </c>
      <c r="C61" s="234">
        <v>0.2694854305202774</v>
      </c>
      <c r="D61" s="234">
        <v>0.28073435409543629</v>
      </c>
      <c r="E61" s="233">
        <v>1137.6728912972335</v>
      </c>
      <c r="F61" s="233">
        <v>168060.41543325497</v>
      </c>
      <c r="G61" s="233">
        <v>1864.5490196078431</v>
      </c>
      <c r="H61" s="233">
        <v>314103.45306633291</v>
      </c>
      <c r="I61" s="233">
        <v>168.46081801185144</v>
      </c>
      <c r="J61" s="233">
        <v>33.318930334769831</v>
      </c>
      <c r="K61" s="233">
        <v>33.978236955552255</v>
      </c>
      <c r="L61" s="233">
        <v>2521.6195667684578</v>
      </c>
      <c r="M61" s="233">
        <v>1129.3760998959417</v>
      </c>
      <c r="N61" s="233">
        <v>75.681288127579307</v>
      </c>
      <c r="O61" s="233">
        <v>33.238219551335334</v>
      </c>
    </row>
    <row r="62" spans="1:15">
      <c r="A62" s="1522" t="s">
        <v>28</v>
      </c>
      <c r="B62" s="233">
        <v>3.8811696391538781</v>
      </c>
      <c r="C62" s="234">
        <v>0.2809975676406114</v>
      </c>
      <c r="D62" s="234">
        <v>0.29336614728657867</v>
      </c>
      <c r="E62" s="233">
        <v>1090.0382103146635</v>
      </c>
      <c r="F62" s="233">
        <v>167436.40644075809</v>
      </c>
      <c r="G62" s="233">
        <v>1813.9029448361675</v>
      </c>
      <c r="H62" s="233">
        <v>310867.21683533804</v>
      </c>
      <c r="I62" s="233">
        <v>171.38029226994593</v>
      </c>
      <c r="J62" s="233">
        <v>34.990360649830336</v>
      </c>
      <c r="K62" s="233">
        <v>35.810797253660219</v>
      </c>
      <c r="L62" s="233">
        <v>2791.4267724692954</v>
      </c>
      <c r="M62" s="233">
        <v>1150.2597607925511</v>
      </c>
      <c r="N62" s="233">
        <v>79.777022032004425</v>
      </c>
      <c r="O62" s="233">
        <v>32.12047340484672</v>
      </c>
    </row>
    <row r="63" spans="1:15">
      <c r="A63" s="1522" t="s">
        <v>29</v>
      </c>
      <c r="B63" s="233">
        <v>3.8635425268373247</v>
      </c>
      <c r="C63" s="234">
        <v>0.28113264233138052</v>
      </c>
      <c r="D63" s="234">
        <v>0.29371606139552403</v>
      </c>
      <c r="E63" s="233">
        <v>1268.5490665066934</v>
      </c>
      <c r="F63" s="233">
        <v>202625.22186320706</v>
      </c>
      <c r="G63" s="233">
        <v>2167.6292320396365</v>
      </c>
      <c r="H63" s="233">
        <v>394832.96627993393</v>
      </c>
      <c r="I63" s="233">
        <v>182.14967783416299</v>
      </c>
      <c r="J63" s="233">
        <v>42.990356016223522</v>
      </c>
      <c r="K63" s="233">
        <v>43.948272073825294</v>
      </c>
      <c r="L63" s="233">
        <v>3549.8465326723749</v>
      </c>
      <c r="M63" s="233">
        <v>1489.0593763143854</v>
      </c>
      <c r="N63" s="233">
        <v>82.573089911903693</v>
      </c>
      <c r="O63" s="233">
        <v>33.882091514611311</v>
      </c>
    </row>
    <row r="64" spans="1:15">
      <c r="A64" s="1522" t="s">
        <v>1621</v>
      </c>
      <c r="B64" s="260">
        <f t="shared" ref="B64:O64" si="1">AVERAGE(B65:B76)</f>
        <v>3.7898750518508706</v>
      </c>
      <c r="C64" s="261">
        <f t="shared" si="1"/>
        <v>0.19327249707110047</v>
      </c>
      <c r="D64" s="261">
        <f t="shared" si="1"/>
        <v>0.19958051142529451</v>
      </c>
      <c r="E64" s="260">
        <f t="shared" si="1"/>
        <v>1119.3422264511364</v>
      </c>
      <c r="F64" s="260">
        <f t="shared" si="1"/>
        <v>167697.10573573477</v>
      </c>
      <c r="G64" s="260">
        <f t="shared" si="1"/>
        <v>1833.6699570819767</v>
      </c>
      <c r="H64" s="260">
        <f t="shared" si="1"/>
        <v>326885.26737017481</v>
      </c>
      <c r="I64" s="260">
        <f t="shared" si="1"/>
        <v>178.00649372780882</v>
      </c>
      <c r="J64" s="260">
        <f t="shared" si="1"/>
        <v>18.540653332080797</v>
      </c>
      <c r="K64" s="260">
        <f t="shared" si="1"/>
        <v>18.614725183695452</v>
      </c>
      <c r="L64" s="260">
        <f t="shared" si="1"/>
        <v>1874.7050477864352</v>
      </c>
      <c r="M64" s="260">
        <f t="shared" si="1"/>
        <v>690.28203949276656</v>
      </c>
      <c r="N64" s="260">
        <f t="shared" si="1"/>
        <v>105.84855379812051</v>
      </c>
      <c r="O64" s="260">
        <f t="shared" si="1"/>
        <v>38.110028476093213</v>
      </c>
    </row>
    <row r="65" spans="1:15">
      <c r="A65" s="1522" t="s">
        <v>18</v>
      </c>
      <c r="B65" s="233">
        <v>3.8748862225899878</v>
      </c>
      <c r="C65" s="234">
        <v>0.28341957936147677</v>
      </c>
      <c r="D65" s="234">
        <v>0.29643603215800468</v>
      </c>
      <c r="E65" s="233">
        <v>962.01649450771242</v>
      </c>
      <c r="F65" s="233">
        <v>135212.7449164592</v>
      </c>
      <c r="G65" s="233">
        <v>1549.1079851055026</v>
      </c>
      <c r="H65" s="233">
        <v>259307.13061646672</v>
      </c>
      <c r="I65" s="233">
        <v>167.39125555460001</v>
      </c>
      <c r="J65" s="233">
        <v>38.85410803449841</v>
      </c>
      <c r="K65" s="233">
        <v>39.922580236753817</v>
      </c>
      <c r="L65" s="233">
        <v>2453.4491786957178</v>
      </c>
      <c r="M65" s="233">
        <v>1206.0219934164716</v>
      </c>
      <c r="N65" s="233">
        <v>63.145167983712561</v>
      </c>
      <c r="O65" s="233">
        <v>30.20901921329661</v>
      </c>
    </row>
    <row r="66" spans="1:15">
      <c r="A66" s="1522" t="s">
        <v>19</v>
      </c>
      <c r="B66" s="233">
        <v>3.862628759785744</v>
      </c>
      <c r="C66" s="234">
        <v>0.27458481005242963</v>
      </c>
      <c r="D66" s="234">
        <v>0.28669378268448575</v>
      </c>
      <c r="E66" s="233">
        <v>1068.5654408002165</v>
      </c>
      <c r="F66" s="233">
        <v>162086.61735101827</v>
      </c>
      <c r="G66" s="233">
        <v>1823.0659250103008</v>
      </c>
      <c r="H66" s="233">
        <v>322130.48125257518</v>
      </c>
      <c r="I66" s="233">
        <v>176.69711052865796</v>
      </c>
      <c r="J66" s="233">
        <v>23.463050291438446</v>
      </c>
      <c r="K66" s="233">
        <v>23.664638062326066</v>
      </c>
      <c r="L66" s="233">
        <v>2423.2096599396618</v>
      </c>
      <c r="M66" s="233">
        <v>849.66503562800085</v>
      </c>
      <c r="N66" s="233">
        <v>103.27769108622162</v>
      </c>
      <c r="O66" s="233">
        <v>35.904417104974087</v>
      </c>
    </row>
    <row r="67" spans="1:15">
      <c r="A67" s="1522" t="s">
        <v>20</v>
      </c>
      <c r="B67" s="233">
        <v>3.837331150225133</v>
      </c>
      <c r="C67" s="234">
        <v>0.24178788816671826</v>
      </c>
      <c r="D67" s="234">
        <v>0.25055726312976079</v>
      </c>
      <c r="E67" s="233">
        <v>1161.8147237454807</v>
      </c>
      <c r="F67" s="233">
        <v>174077.16242102796</v>
      </c>
      <c r="G67" s="233">
        <v>1978.9128121162505</v>
      </c>
      <c r="H67" s="233">
        <v>348805.72943102743</v>
      </c>
      <c r="I67" s="233">
        <v>176.26129220822739</v>
      </c>
      <c r="J67" s="233">
        <v>22.040828432889715</v>
      </c>
      <c r="K67" s="233">
        <v>22.139462782306563</v>
      </c>
      <c r="L67" s="233">
        <v>2296.6800784070979</v>
      </c>
      <c r="M67" s="233">
        <v>882.62982760924763</v>
      </c>
      <c r="N67" s="233">
        <v>104.20116854500583</v>
      </c>
      <c r="O67" s="233">
        <v>39.866813223427833</v>
      </c>
    </row>
    <row r="68" spans="1:15">
      <c r="A68" s="1522" t="s">
        <v>21</v>
      </c>
      <c r="B68" s="233">
        <v>3.7867688584106491</v>
      </c>
      <c r="C68" s="234">
        <v>0.21938303341902313</v>
      </c>
      <c r="D68" s="234">
        <v>0.22770029349698012</v>
      </c>
      <c r="E68" s="233">
        <v>1074.7061642169701</v>
      </c>
      <c r="F68" s="233">
        <v>158817.53890009847</v>
      </c>
      <c r="G68" s="233">
        <v>1800.7152077450585</v>
      </c>
      <c r="H68" s="233">
        <v>314317.20572811615</v>
      </c>
      <c r="I68" s="233">
        <v>174.55131404244605</v>
      </c>
      <c r="J68" s="233">
        <v>18.859429773311522</v>
      </c>
      <c r="K68" s="233">
        <v>18.898003735416111</v>
      </c>
      <c r="L68" s="233">
        <v>2132.0023136246787</v>
      </c>
      <c r="M68" s="233">
        <v>684.89266742668644</v>
      </c>
      <c r="N68" s="233">
        <v>113.04701887867955</v>
      </c>
      <c r="O68" s="233">
        <v>36.241535191526722</v>
      </c>
    </row>
    <row r="69" spans="1:15">
      <c r="A69" s="1522" t="s">
        <v>22</v>
      </c>
      <c r="B69" s="233">
        <v>3.8179935012185213</v>
      </c>
      <c r="C69" s="234">
        <v>0.19348524144744966</v>
      </c>
      <c r="D69" s="234">
        <v>0.19948853989813242</v>
      </c>
      <c r="E69" s="233">
        <v>1111.7240320688111</v>
      </c>
      <c r="F69" s="233">
        <v>165596.31921209476</v>
      </c>
      <c r="G69" s="233">
        <v>1911.6133225020308</v>
      </c>
      <c r="H69" s="233">
        <v>336060.25060926075</v>
      </c>
      <c r="I69" s="233">
        <v>175.79928255019982</v>
      </c>
      <c r="J69" s="233">
        <v>17.420958379646784</v>
      </c>
      <c r="K69" s="233">
        <v>17.404668930390493</v>
      </c>
      <c r="L69" s="233">
        <v>1866.9512370836935</v>
      </c>
      <c r="M69" s="233">
        <v>656.64957555178273</v>
      </c>
      <c r="N69" s="233">
        <v>107.16696500835947</v>
      </c>
      <c r="O69" s="233">
        <v>37.728357728494295</v>
      </c>
    </row>
    <row r="70" spans="1:15">
      <c r="A70" s="1522" t="s">
        <v>23</v>
      </c>
      <c r="B70" s="233">
        <v>3.8004442649434571</v>
      </c>
      <c r="C70" s="234">
        <v>0.17953370347051303</v>
      </c>
      <c r="D70" s="234">
        <v>0.1846707879501521</v>
      </c>
      <c r="E70" s="233">
        <v>1067.1574156109868</v>
      </c>
      <c r="F70" s="233">
        <v>161616.04650105262</v>
      </c>
      <c r="G70" s="233">
        <v>1809.943861066236</v>
      </c>
      <c r="H70" s="233">
        <v>328729.6155088853</v>
      </c>
      <c r="I70" s="233">
        <v>181.62420535807726</v>
      </c>
      <c r="J70" s="233">
        <v>16.082174269742239</v>
      </c>
      <c r="K70" s="233">
        <v>16.027180845844374</v>
      </c>
      <c r="L70" s="233">
        <v>1732.9052906721615</v>
      </c>
      <c r="M70" s="233">
        <v>596.81150034344034</v>
      </c>
      <c r="N70" s="233">
        <v>107.75317202802181</v>
      </c>
      <c r="O70" s="233">
        <v>37.237459668285034</v>
      </c>
    </row>
    <row r="71" spans="1:15">
      <c r="A71" s="1522" t="s">
        <v>24</v>
      </c>
      <c r="B71" s="233">
        <v>3.8222623345367026</v>
      </c>
      <c r="C71" s="234">
        <v>0.17650033340742385</v>
      </c>
      <c r="D71" s="234">
        <v>0.18138884129975444</v>
      </c>
      <c r="E71" s="233">
        <v>1183.0158915935285</v>
      </c>
      <c r="F71" s="233">
        <v>187070.86570932466</v>
      </c>
      <c r="G71" s="233">
        <v>1897.4107501002809</v>
      </c>
      <c r="H71" s="233">
        <v>361622.99478539912</v>
      </c>
      <c r="I71" s="233">
        <v>190.58761776609879</v>
      </c>
      <c r="J71" s="233">
        <v>17.502685782025637</v>
      </c>
      <c r="K71" s="233">
        <v>17.511621266632403</v>
      </c>
      <c r="L71" s="233">
        <v>1945.7616322145661</v>
      </c>
      <c r="M71" s="233">
        <v>708.56543505986713</v>
      </c>
      <c r="N71" s="233">
        <v>111.16931746628075</v>
      </c>
      <c r="O71" s="233">
        <v>40.462583348008238</v>
      </c>
    </row>
    <row r="72" spans="1:15">
      <c r="A72" s="1522" t="s">
        <v>25</v>
      </c>
      <c r="B72" s="233">
        <v>3.8009561752988046</v>
      </c>
      <c r="C72" s="234">
        <v>0.1681690786342564</v>
      </c>
      <c r="D72" s="234">
        <v>0.17252079566003617</v>
      </c>
      <c r="E72" s="233">
        <v>1082.6538996549702</v>
      </c>
      <c r="F72" s="233">
        <v>161885.9049190612</v>
      </c>
      <c r="G72" s="233">
        <v>1718.8693227091633</v>
      </c>
      <c r="H72" s="233">
        <v>308293.31912350596</v>
      </c>
      <c r="I72" s="233">
        <v>179.35820661316782</v>
      </c>
      <c r="J72" s="233">
        <v>14.876857450071389</v>
      </c>
      <c r="K72" s="233">
        <v>14.841717902350814</v>
      </c>
      <c r="L72" s="233">
        <v>1529.281486312598</v>
      </c>
      <c r="M72" s="233">
        <v>513.51759493670886</v>
      </c>
      <c r="N72" s="233">
        <v>102.79600321808955</v>
      </c>
      <c r="O72" s="233">
        <v>34.599606212389446</v>
      </c>
    </row>
    <row r="73" spans="1:15">
      <c r="A73" s="1522" t="s">
        <v>26</v>
      </c>
      <c r="B73" s="233">
        <v>3.756390090444357</v>
      </c>
      <c r="C73" s="234">
        <v>0.16298691327270556</v>
      </c>
      <c r="D73" s="234">
        <v>0.16704555390399581</v>
      </c>
      <c r="E73" s="233">
        <v>1113.0290925473475</v>
      </c>
      <c r="F73" s="233">
        <v>164243.34385848945</v>
      </c>
      <c r="G73" s="233">
        <v>1829.2819504522217</v>
      </c>
      <c r="H73" s="233">
        <v>317428.34372976801</v>
      </c>
      <c r="I73" s="233">
        <v>173.52619898277337</v>
      </c>
      <c r="J73" s="233">
        <v>14.100701257486051</v>
      </c>
      <c r="K73" s="233">
        <v>14.038594036897788</v>
      </c>
      <c r="L73" s="233">
        <v>1584.4703567336073</v>
      </c>
      <c r="M73" s="233">
        <v>561.73433832298679</v>
      </c>
      <c r="N73" s="233">
        <v>112.36819558122424</v>
      </c>
      <c r="O73" s="233">
        <v>40.013575208925793</v>
      </c>
    </row>
    <row r="74" spans="1:15">
      <c r="A74" s="1522" t="s">
        <v>27</v>
      </c>
      <c r="B74" s="233">
        <v>3.7419405320813772</v>
      </c>
      <c r="C74" s="234">
        <v>0.14875344106256902</v>
      </c>
      <c r="D74" s="234">
        <v>0.15211527450855652</v>
      </c>
      <c r="E74" s="233">
        <v>1144.058504156334</v>
      </c>
      <c r="F74" s="233">
        <v>168713.19078822836</v>
      </c>
      <c r="G74" s="233">
        <v>1818.5449921752738</v>
      </c>
      <c r="H74" s="233">
        <v>318736.66862284823</v>
      </c>
      <c r="I74" s="233">
        <v>175.27015828274207</v>
      </c>
      <c r="J74" s="233">
        <v>12.770455853305753</v>
      </c>
      <c r="K74" s="233">
        <v>12.688895604046058</v>
      </c>
      <c r="L74" s="233">
        <v>1445.1559637308117</v>
      </c>
      <c r="M74" s="233">
        <v>521.96381048412752</v>
      </c>
      <c r="N74" s="233">
        <v>113.16400763851507</v>
      </c>
      <c r="O74" s="233">
        <v>41.135479932366287</v>
      </c>
    </row>
    <row r="75" spans="1:15">
      <c r="A75" s="1522" t="s">
        <v>28</v>
      </c>
      <c r="B75" s="233">
        <v>3.7023588553750963</v>
      </c>
      <c r="C75" s="234">
        <v>0.13941260411206244</v>
      </c>
      <c r="D75" s="234">
        <v>0.14241748107159324</v>
      </c>
      <c r="E75" s="233">
        <v>1117.1628227799818</v>
      </c>
      <c r="F75" s="233">
        <v>164295.98825967751</v>
      </c>
      <c r="G75" s="233">
        <v>1744.7869296210363</v>
      </c>
      <c r="H75" s="233">
        <v>311398.67762320186</v>
      </c>
      <c r="I75" s="233">
        <v>178.47375650093673</v>
      </c>
      <c r="J75" s="233">
        <v>12.540654668297513</v>
      </c>
      <c r="K75" s="233">
        <v>12.437681288767905</v>
      </c>
      <c r="L75" s="233">
        <v>1372.968555785136</v>
      </c>
      <c r="M75" s="233">
        <v>522.71119498713313</v>
      </c>
      <c r="N75" s="233">
        <v>109.48141003004963</v>
      </c>
      <c r="O75" s="233">
        <v>42.026418176447237</v>
      </c>
    </row>
    <row r="76" spans="1:15">
      <c r="A76" s="1522">
        <v>12</v>
      </c>
      <c r="B76" s="233">
        <v>3.6745398773006137</v>
      </c>
      <c r="C76" s="234">
        <v>0.13125333844657802</v>
      </c>
      <c r="D76" s="234">
        <v>0.1339314913420821</v>
      </c>
      <c r="E76" s="233">
        <v>1346.2022357312999</v>
      </c>
      <c r="F76" s="233">
        <v>208749.54599228493</v>
      </c>
      <c r="G76" s="233">
        <v>2121.7864263803681</v>
      </c>
      <c r="H76" s="233">
        <v>395792.79141104297</v>
      </c>
      <c r="I76" s="233">
        <v>186.53752634577842</v>
      </c>
      <c r="J76" s="233">
        <v>13.975935792256173</v>
      </c>
      <c r="K76" s="233">
        <v>13.801657512613028</v>
      </c>
      <c r="L76" s="233">
        <v>1713.624820237492</v>
      </c>
      <c r="M76" s="233">
        <v>578.22150014674435</v>
      </c>
      <c r="N76" s="233">
        <v>122.61252811328613</v>
      </c>
      <c r="O76" s="233">
        <v>41.895076704976965</v>
      </c>
    </row>
    <row r="77" spans="1:15">
      <c r="A77" s="1522" t="s">
        <v>1816</v>
      </c>
      <c r="B77" s="260">
        <f t="shared" ref="B77:O77" si="2">AVERAGE(B78:B89)</f>
        <v>3.6069276249663691</v>
      </c>
      <c r="C77" s="261">
        <f t="shared" si="2"/>
        <v>0.12439566991223994</v>
      </c>
      <c r="D77" s="261">
        <f t="shared" si="2"/>
        <v>0.12689301594729421</v>
      </c>
      <c r="E77" s="260">
        <f t="shared" si="2"/>
        <v>1208.9179410192573</v>
      </c>
      <c r="F77" s="260">
        <f t="shared" si="2"/>
        <v>176924.83016730755</v>
      </c>
      <c r="G77" s="260">
        <f t="shared" si="2"/>
        <v>1774.5348357651894</v>
      </c>
      <c r="H77" s="260">
        <f t="shared" si="2"/>
        <v>315419.86509208026</v>
      </c>
      <c r="I77" s="260">
        <f t="shared" si="2"/>
        <v>177.65804371351831</v>
      </c>
      <c r="J77" s="260">
        <f t="shared" si="2"/>
        <v>10.847596191645097</v>
      </c>
      <c r="K77" s="260">
        <f t="shared" si="2"/>
        <v>10.678102781907095</v>
      </c>
      <c r="L77" s="260">
        <f t="shared" si="2"/>
        <v>1300.2515719748778</v>
      </c>
      <c r="M77" s="260">
        <f t="shared" si="2"/>
        <v>431.83174298256046</v>
      </c>
      <c r="N77" s="260">
        <f t="shared" si="2"/>
        <v>121.24649171886945</v>
      </c>
      <c r="O77" s="260">
        <f t="shared" si="2"/>
        <v>41.096409929990152</v>
      </c>
    </row>
    <row r="78" spans="1:15">
      <c r="A78" s="1522" t="s">
        <v>18</v>
      </c>
      <c r="B78" s="233">
        <v>3.6642475171886937</v>
      </c>
      <c r="C78" s="234">
        <v>0.12862007937359218</v>
      </c>
      <c r="D78" s="234">
        <v>0.13112714945733892</v>
      </c>
      <c r="E78" s="233">
        <v>1066.4763062614538</v>
      </c>
      <c r="F78" s="233">
        <v>149453.21840142462</v>
      </c>
      <c r="G78" s="233">
        <v>1560.7887700534759</v>
      </c>
      <c r="H78" s="233">
        <v>275195.46409472881</v>
      </c>
      <c r="I78" s="233">
        <v>176.31819844866004</v>
      </c>
      <c r="J78" s="233">
        <v>11.854834817118952</v>
      </c>
      <c r="K78" s="233">
        <v>11.731785997430219</v>
      </c>
      <c r="L78" s="233">
        <v>1209.6373484929743</v>
      </c>
      <c r="M78" s="233">
        <v>444.62755952869134</v>
      </c>
      <c r="N78" s="233">
        <v>102.03746970360142</v>
      </c>
      <c r="O78" s="233">
        <v>37.899392268669445</v>
      </c>
    </row>
    <row r="79" spans="1:15">
      <c r="A79" s="1522" t="s">
        <v>19</v>
      </c>
      <c r="B79" s="233">
        <v>3.6620900076277652</v>
      </c>
      <c r="C79" s="234">
        <v>0.12463493464518892</v>
      </c>
      <c r="D79" s="234">
        <v>0.12664872850058034</v>
      </c>
      <c r="E79" s="233">
        <v>1133.5982951818664</v>
      </c>
      <c r="F79" s="233">
        <v>178607.77147745102</v>
      </c>
      <c r="G79" s="233">
        <v>1769.6456903127385</v>
      </c>
      <c r="H79" s="233">
        <v>333717.95881006867</v>
      </c>
      <c r="I79" s="233">
        <v>188.57896845503168</v>
      </c>
      <c r="J79" s="233">
        <v>11.197790786723953</v>
      </c>
      <c r="K79" s="233">
        <v>10.963358657803102</v>
      </c>
      <c r="L79" s="233">
        <v>1610.8430965330149</v>
      </c>
      <c r="M79" s="233">
        <v>404.24219162182123</v>
      </c>
      <c r="N79" s="233">
        <v>143.85365177949413</v>
      </c>
      <c r="O79" s="233">
        <v>36.872112300558953</v>
      </c>
    </row>
    <row r="80" spans="1:15">
      <c r="A80" s="1522" t="s">
        <v>20</v>
      </c>
      <c r="B80" s="233">
        <v>3.6502088872009115</v>
      </c>
      <c r="C80" s="234">
        <v>0.12380363514575363</v>
      </c>
      <c r="D80" s="234">
        <v>0.12609716737296475</v>
      </c>
      <c r="E80" s="233">
        <v>1264.8691228336343</v>
      </c>
      <c r="F80" s="233">
        <v>188301.51254313352</v>
      </c>
      <c r="G80" s="233">
        <v>1963.9263197873149</v>
      </c>
      <c r="H80" s="233">
        <v>348865.11583744775</v>
      </c>
      <c r="I80" s="233">
        <v>177.636560151212</v>
      </c>
      <c r="J80" s="233">
        <v>12.076026329687883</v>
      </c>
      <c r="K80" s="233">
        <v>11.918852254687151</v>
      </c>
      <c r="L80" s="233">
        <v>1507.4846775128492</v>
      </c>
      <c r="M80" s="233">
        <v>451.1754549390572</v>
      </c>
      <c r="N80" s="233">
        <v>124.8328412307968</v>
      </c>
      <c r="O80" s="233">
        <v>37.853934699260165</v>
      </c>
    </row>
    <row r="81" spans="1:15">
      <c r="A81" s="1522" t="s">
        <v>21</v>
      </c>
      <c r="B81" s="233">
        <v>3.640423921271764</v>
      </c>
      <c r="C81" s="234">
        <v>0.12324606927305579</v>
      </c>
      <c r="D81" s="234">
        <v>0.12555316232621891</v>
      </c>
      <c r="E81" s="233">
        <v>1169.6320282193481</v>
      </c>
      <c r="F81" s="233">
        <v>174047.40423263769</v>
      </c>
      <c r="G81" s="233">
        <v>1792.7358062074186</v>
      </c>
      <c r="H81" s="233">
        <v>324691.21801665408</v>
      </c>
      <c r="I81" s="233">
        <v>181.11492886592541</v>
      </c>
      <c r="J81" s="233">
        <v>11.04798882609977</v>
      </c>
      <c r="K81" s="233">
        <v>10.845715031655898</v>
      </c>
      <c r="L81" s="233">
        <v>1434.3017337485103</v>
      </c>
      <c r="M81" s="233">
        <v>389.16773056588994</v>
      </c>
      <c r="N81" s="233">
        <v>129.82469083966811</v>
      </c>
      <c r="O81" s="233">
        <v>35.882164470485151</v>
      </c>
    </row>
    <row r="82" spans="1:15">
      <c r="A82" s="1522" t="s">
        <v>22</v>
      </c>
      <c r="B82" s="233">
        <v>3.6059550561797753</v>
      </c>
      <c r="C82" s="234">
        <v>0.1229240079669067</v>
      </c>
      <c r="D82" s="234">
        <v>0.12521328616761171</v>
      </c>
      <c r="E82" s="233">
        <v>1163.6497117339281</v>
      </c>
      <c r="F82" s="233">
        <v>161765.66912188541</v>
      </c>
      <c r="G82" s="233">
        <v>1768.1636704119851</v>
      </c>
      <c r="H82" s="233">
        <v>306539.74294007488</v>
      </c>
      <c r="I82" s="233">
        <v>173.36615838773039</v>
      </c>
      <c r="J82" s="233">
        <v>11.803725550278331</v>
      </c>
      <c r="K82" s="233">
        <v>11.679667585704625</v>
      </c>
      <c r="L82" s="233">
        <v>1087.2488719932589</v>
      </c>
      <c r="M82" s="233">
        <v>399.70588487749046</v>
      </c>
      <c r="N82" s="233">
        <v>92.1106533155222</v>
      </c>
      <c r="O82" s="233">
        <v>34.222368226190966</v>
      </c>
    </row>
    <row r="83" spans="1:15">
      <c r="A83" s="1522" t="s">
        <v>23</v>
      </c>
      <c r="B83" s="233">
        <v>3.5649278579356269</v>
      </c>
      <c r="C83" s="234">
        <v>0.12312174179699478</v>
      </c>
      <c r="D83" s="234">
        <v>0.12541649312786338</v>
      </c>
      <c r="E83" s="233">
        <v>1141.7952857816269</v>
      </c>
      <c r="F83" s="233">
        <v>161827.04573787161</v>
      </c>
      <c r="G83" s="233">
        <v>1682.6703662597115</v>
      </c>
      <c r="H83" s="233">
        <v>290526.46429892711</v>
      </c>
      <c r="I83" s="233">
        <v>172.65797872504154</v>
      </c>
      <c r="J83" s="233">
        <v>11.279323827046918</v>
      </c>
      <c r="K83" s="233">
        <v>11.167130882965431</v>
      </c>
      <c r="L83" s="233">
        <v>1149.7757461923745</v>
      </c>
      <c r="M83" s="233">
        <v>440.10945960016659</v>
      </c>
      <c r="N83" s="233">
        <v>101.93658448171371</v>
      </c>
      <c r="O83" s="233">
        <v>39.411149042008503</v>
      </c>
    </row>
    <row r="84" spans="1:15">
      <c r="A84" s="1522" t="s">
        <v>24</v>
      </c>
      <c r="B84" s="233">
        <v>3.591918063314711</v>
      </c>
      <c r="C84" s="234">
        <v>0.12370989879295526</v>
      </c>
      <c r="D84" s="234">
        <v>0.12604456642488401</v>
      </c>
      <c r="E84" s="233">
        <v>1256.6415506824828</v>
      </c>
      <c r="F84" s="233">
        <v>191869.33603192266</v>
      </c>
      <c r="G84" s="233">
        <v>1798.2797020484172</v>
      </c>
      <c r="H84" s="233">
        <v>340153.32104283053</v>
      </c>
      <c r="I84" s="233">
        <v>189.15484652101813</v>
      </c>
      <c r="J84" s="233">
        <v>11.877666465706334</v>
      </c>
      <c r="K84" s="233">
        <v>11.73117689341959</v>
      </c>
      <c r="L84" s="233">
        <v>1348.4449005246347</v>
      </c>
      <c r="M84" s="233">
        <v>456.67029994118798</v>
      </c>
      <c r="N84" s="233">
        <v>113.5277627485094</v>
      </c>
      <c r="O84" s="233">
        <v>38.927918664098371</v>
      </c>
    </row>
    <row r="85" spans="1:15">
      <c r="A85" s="1522" t="s">
        <v>25</v>
      </c>
      <c r="B85" s="233">
        <v>3.5693190229459657</v>
      </c>
      <c r="C85" s="234">
        <v>0.12378293737887129</v>
      </c>
      <c r="D85" s="234">
        <v>0.12617153771684239</v>
      </c>
      <c r="E85" s="233">
        <v>1178.0817160867855</v>
      </c>
      <c r="F85" s="233">
        <v>173087.27367799831</v>
      </c>
      <c r="G85" s="233">
        <v>1604.2468541820874</v>
      </c>
      <c r="H85" s="233">
        <v>289607.75582901557</v>
      </c>
      <c r="I85" s="233">
        <v>180.52568099107776</v>
      </c>
      <c r="J85" s="233">
        <v>11.328725629869213</v>
      </c>
      <c r="K85" s="233">
        <v>11.171132159397159</v>
      </c>
      <c r="L85" s="233">
        <v>1249.3194970030675</v>
      </c>
      <c r="M85" s="233">
        <v>417.53196564535966</v>
      </c>
      <c r="N85" s="233">
        <v>110.27890848632818</v>
      </c>
      <c r="O85" s="233">
        <v>37.375975835549639</v>
      </c>
    </row>
    <row r="86" spans="1:15">
      <c r="A86" s="1522" t="s">
        <v>26</v>
      </c>
      <c r="B86" s="233">
        <v>3.5707425193941633</v>
      </c>
      <c r="C86" s="234">
        <v>0.12525592846961253</v>
      </c>
      <c r="D86" s="234">
        <v>0.12770342577056717</v>
      </c>
      <c r="E86" s="233">
        <v>1239.9703079715694</v>
      </c>
      <c r="F86" s="233">
        <v>170415.01305843654</v>
      </c>
      <c r="G86" s="233">
        <v>1718.3387513852974</v>
      </c>
      <c r="H86" s="233">
        <v>287084.40360177314</v>
      </c>
      <c r="I86" s="233">
        <v>167.07090110743897</v>
      </c>
      <c r="J86" s="233">
        <v>11.173862900090709</v>
      </c>
      <c r="K86" s="233">
        <v>11.024520748834075</v>
      </c>
      <c r="L86" s="233">
        <v>1171.7612279383179</v>
      </c>
      <c r="M86" s="233">
        <v>446.15268856270887</v>
      </c>
      <c r="N86" s="233">
        <v>104.86626141876197</v>
      </c>
      <c r="O86" s="233">
        <v>40.469123214257891</v>
      </c>
    </row>
    <row r="87" spans="1:15">
      <c r="A87" s="1522" t="s">
        <v>27</v>
      </c>
      <c r="B87" s="233">
        <v>3.5693471043895242</v>
      </c>
      <c r="C87" s="234">
        <v>0.12577990953049445</v>
      </c>
      <c r="D87" s="234">
        <v>0.13</v>
      </c>
      <c r="E87" s="233">
        <v>1301.9240595836673</v>
      </c>
      <c r="F87" s="233">
        <v>180995.46927898558</v>
      </c>
      <c r="G87" s="233">
        <v>1905.6090003688676</v>
      </c>
      <c r="H87" s="233">
        <v>311765.85836591665</v>
      </c>
      <c r="I87" s="233">
        <v>163.60431668068753</v>
      </c>
      <c r="J87" s="233">
        <v>9.0165860760151819</v>
      </c>
      <c r="K87" s="233">
        <v>8.8359549966207709</v>
      </c>
      <c r="L87" s="233">
        <v>1219.4418171892059</v>
      </c>
      <c r="M87" s="233">
        <v>437.1879842567684</v>
      </c>
      <c r="N87" s="233">
        <v>135.24429389445032</v>
      </c>
      <c r="O87" s="233">
        <v>49.47829458433943</v>
      </c>
    </row>
    <row r="88" spans="1:15">
      <c r="A88" s="1522" t="s">
        <v>28</v>
      </c>
      <c r="B88" s="233">
        <v>3.5945454545454543</v>
      </c>
      <c r="C88" s="234">
        <v>0.12711323973231858</v>
      </c>
      <c r="D88" s="234">
        <v>0.12962546666131428</v>
      </c>
      <c r="E88" s="233">
        <v>1210.2285024274543</v>
      </c>
      <c r="F88" s="233">
        <v>171890.65074508902</v>
      </c>
      <c r="G88" s="233">
        <v>1720.7135435992579</v>
      </c>
      <c r="H88" s="233">
        <v>299381.13728756958</v>
      </c>
      <c r="I88" s="233">
        <v>173.98662223657917</v>
      </c>
      <c r="J88" s="233">
        <v>8.3753969295368069</v>
      </c>
      <c r="K88" s="233">
        <v>8.2035111664191191</v>
      </c>
      <c r="L88" s="233">
        <v>1036.3687434719852</v>
      </c>
      <c r="M88" s="233">
        <v>412.92674762153263</v>
      </c>
      <c r="N88" s="233">
        <v>123.73965702056591</v>
      </c>
      <c r="O88" s="233">
        <v>50.335367289050403</v>
      </c>
    </row>
    <row r="89" spans="1:15">
      <c r="A89" s="1522" t="s">
        <v>29</v>
      </c>
      <c r="B89" s="233">
        <v>3.5994060876020786</v>
      </c>
      <c r="C89" s="234">
        <v>0.12075565684113522</v>
      </c>
      <c r="D89" s="234">
        <v>0.1231152078413448</v>
      </c>
      <c r="E89" s="233">
        <v>1380.1484054672724</v>
      </c>
      <c r="F89" s="233">
        <v>220837.59770085494</v>
      </c>
      <c r="G89" s="233">
        <v>2009.2995545657016</v>
      </c>
      <c r="H89" s="233">
        <v>377509.94097995549</v>
      </c>
      <c r="I89" s="233">
        <v>187.88136399181755</v>
      </c>
      <c r="J89" s="233">
        <v>9.1392261615671035</v>
      </c>
      <c r="K89" s="233">
        <v>8.8644270079479952</v>
      </c>
      <c r="L89" s="233">
        <v>1578.3912030983424</v>
      </c>
      <c r="M89" s="233">
        <v>482.48294863005003</v>
      </c>
      <c r="N89" s="233">
        <v>172.7051257070211</v>
      </c>
      <c r="O89" s="233">
        <v>54.429118565412928</v>
      </c>
    </row>
    <row r="90" spans="1:15">
      <c r="A90" s="1522" t="s">
        <v>1839</v>
      </c>
      <c r="B90" s="260">
        <f t="shared" ref="B90:O90" si="3">AVERAGE(B91:B102)</f>
        <v>3.8290000000000002</v>
      </c>
      <c r="C90" s="261">
        <f t="shared" si="3"/>
        <v>0.13283333333333336</v>
      </c>
      <c r="D90" s="261">
        <f t="shared" si="3"/>
        <v>0.13524999999999998</v>
      </c>
      <c r="E90" s="260">
        <f t="shared" si="3"/>
        <v>1296.1529166666667</v>
      </c>
      <c r="F90" s="260">
        <f t="shared" si="3"/>
        <v>198606.15858333334</v>
      </c>
      <c r="G90" s="260">
        <f t="shared" si="3"/>
        <v>1834.1011666666666</v>
      </c>
      <c r="H90" s="260">
        <f t="shared" si="3"/>
        <v>334941.72324999998</v>
      </c>
      <c r="I90" s="260">
        <f t="shared" si="3"/>
        <v>182.26774999999998</v>
      </c>
      <c r="J90" s="260">
        <f t="shared" si="3"/>
        <v>10.605333333333336</v>
      </c>
      <c r="K90" s="260">
        <f t="shared" si="3"/>
        <v>10.238</v>
      </c>
      <c r="L90" s="260">
        <f t="shared" si="3"/>
        <v>1488.9438333333335</v>
      </c>
      <c r="M90" s="260">
        <f t="shared" si="3"/>
        <v>612.09100000000001</v>
      </c>
      <c r="N90" s="260">
        <f t="shared" si="3"/>
        <v>144.07649999999998</v>
      </c>
      <c r="O90" s="260">
        <f t="shared" si="3"/>
        <v>60.560166666666653</v>
      </c>
    </row>
    <row r="91" spans="1:15">
      <c r="A91" s="1522">
        <v>1</v>
      </c>
      <c r="B91" s="233">
        <v>3.75</v>
      </c>
      <c r="C91" s="234">
        <v>0.124</v>
      </c>
      <c r="D91" s="234">
        <v>0.126</v>
      </c>
      <c r="E91" s="233">
        <v>1103.4290000000001</v>
      </c>
      <c r="F91" s="233">
        <v>162628.766</v>
      </c>
      <c r="G91" s="233">
        <v>1495.327</v>
      </c>
      <c r="H91" s="233">
        <v>256221.932</v>
      </c>
      <c r="I91" s="233">
        <v>171.34800000000001</v>
      </c>
      <c r="J91" s="233">
        <v>8.7460000000000004</v>
      </c>
      <c r="K91" s="233">
        <v>8.4359999999999999</v>
      </c>
      <c r="L91" s="233">
        <v>1485.8989999999999</v>
      </c>
      <c r="M91" s="233">
        <v>474.86500000000001</v>
      </c>
      <c r="N91" s="233">
        <v>169.88499999999999</v>
      </c>
      <c r="O91" s="233">
        <v>56.292000000000002</v>
      </c>
    </row>
    <row r="92" spans="1:15">
      <c r="A92" s="1522">
        <v>2</v>
      </c>
      <c r="B92" s="233">
        <v>3.7690000000000001</v>
      </c>
      <c r="C92" s="234">
        <v>0.126</v>
      </c>
      <c r="D92" s="234">
        <v>0.128</v>
      </c>
      <c r="E92" s="233">
        <v>1207.68</v>
      </c>
      <c r="F92" s="233">
        <v>181998.27799999999</v>
      </c>
      <c r="G92" s="233">
        <v>1741.0450000000001</v>
      </c>
      <c r="H92" s="233">
        <v>312983.10100000002</v>
      </c>
      <c r="I92" s="233">
        <v>179.767</v>
      </c>
      <c r="J92" s="233">
        <v>7.3120000000000003</v>
      </c>
      <c r="K92" s="233">
        <v>6.9619999999999997</v>
      </c>
      <c r="L92" s="233">
        <v>1131.3810000000001</v>
      </c>
      <c r="M92" s="233">
        <v>356.53300000000002</v>
      </c>
      <c r="N92" s="233">
        <v>154.73599999999999</v>
      </c>
      <c r="O92" s="233">
        <v>51.215000000000003</v>
      </c>
    </row>
    <row r="93" spans="1:15">
      <c r="A93" s="1522">
        <v>3</v>
      </c>
      <c r="B93" s="233">
        <v>3.7759999999999998</v>
      </c>
      <c r="C93" s="234">
        <v>0.128</v>
      </c>
      <c r="D93" s="234">
        <v>0.13100000000000001</v>
      </c>
      <c r="E93" s="233">
        <v>1347.675</v>
      </c>
      <c r="F93" s="233">
        <v>201804.728</v>
      </c>
      <c r="G93" s="233">
        <v>1941.462</v>
      </c>
      <c r="H93" s="233">
        <v>347516.88299999997</v>
      </c>
      <c r="I93" s="233">
        <v>178.99799999999999</v>
      </c>
      <c r="J93" s="233">
        <v>8.5980000000000008</v>
      </c>
      <c r="K93" s="233">
        <v>8.1780000000000008</v>
      </c>
      <c r="L93" s="233">
        <v>1344.213</v>
      </c>
      <c r="M93" s="233">
        <v>497.69</v>
      </c>
      <c r="N93" s="233">
        <v>156.339</v>
      </c>
      <c r="O93" s="233">
        <v>60.856999999999999</v>
      </c>
    </row>
    <row r="94" spans="1:15">
      <c r="A94" s="1522">
        <v>4</v>
      </c>
      <c r="B94" s="233">
        <v>3.7890000000000001</v>
      </c>
      <c r="C94" s="234">
        <v>0.13100000000000001</v>
      </c>
      <c r="D94" s="234">
        <v>0.13400000000000001</v>
      </c>
      <c r="E94" s="233">
        <v>1206.627</v>
      </c>
      <c r="F94" s="233">
        <v>178426.39799999999</v>
      </c>
      <c r="G94" s="233">
        <v>1741.8979999999999</v>
      </c>
      <c r="H94" s="233">
        <v>311292.58899999998</v>
      </c>
      <c r="I94" s="233">
        <v>178.709</v>
      </c>
      <c r="J94" s="233">
        <v>10.712999999999999</v>
      </c>
      <c r="K94" s="233">
        <v>10.394</v>
      </c>
      <c r="L94" s="233">
        <v>1205.644</v>
      </c>
      <c r="M94" s="233">
        <v>468.86700000000002</v>
      </c>
      <c r="N94" s="233">
        <v>112.542</v>
      </c>
      <c r="O94" s="233">
        <v>45.11</v>
      </c>
    </row>
    <row r="95" spans="1:15">
      <c r="A95" s="1522">
        <v>5</v>
      </c>
      <c r="B95" s="233">
        <v>3.7629999999999999</v>
      </c>
      <c r="C95" s="234">
        <v>0.13100000000000001</v>
      </c>
      <c r="D95" s="234">
        <v>0.13400000000000001</v>
      </c>
      <c r="E95" s="233">
        <v>1299.7629999999999</v>
      </c>
      <c r="F95" s="233">
        <v>193638.60800000001</v>
      </c>
      <c r="G95" s="233">
        <v>1854.3430000000001</v>
      </c>
      <c r="H95" s="233">
        <v>332526.65600000002</v>
      </c>
      <c r="I95" s="233">
        <v>179.32300000000001</v>
      </c>
      <c r="J95" s="233">
        <v>11.503</v>
      </c>
      <c r="K95" s="233">
        <v>11.238</v>
      </c>
      <c r="L95" s="233">
        <v>1242.1569999999999</v>
      </c>
      <c r="M95" s="233">
        <v>532.96</v>
      </c>
      <c r="N95" s="233">
        <v>107.98699999999999</v>
      </c>
      <c r="O95" s="233">
        <v>47.426000000000002</v>
      </c>
    </row>
    <row r="96" spans="1:15">
      <c r="A96" s="1522">
        <v>6</v>
      </c>
      <c r="B96" s="233">
        <v>3.7360000000000002</v>
      </c>
      <c r="C96" s="234">
        <v>0.13300000000000001</v>
      </c>
      <c r="D96" s="234">
        <v>0.13600000000000001</v>
      </c>
      <c r="E96" s="233">
        <v>1277.9659999999999</v>
      </c>
      <c r="F96" s="233">
        <v>191344.38399999999</v>
      </c>
      <c r="G96" s="233">
        <v>1785.9760000000001</v>
      </c>
      <c r="H96" s="233">
        <v>322138.34600000002</v>
      </c>
      <c r="I96" s="233">
        <v>180.37100000000001</v>
      </c>
      <c r="J96" s="233">
        <v>9.5730000000000004</v>
      </c>
      <c r="K96" s="233">
        <v>9.2840000000000007</v>
      </c>
      <c r="L96" s="233">
        <v>1409.425</v>
      </c>
      <c r="M96" s="233">
        <v>572.93799999999999</v>
      </c>
      <c r="N96" s="233">
        <v>147.22200000000001</v>
      </c>
      <c r="O96" s="233">
        <v>61.713000000000001</v>
      </c>
    </row>
    <row r="97" spans="1:15">
      <c r="A97" s="1522">
        <v>7</v>
      </c>
      <c r="B97" s="233">
        <v>3.823</v>
      </c>
      <c r="C97" s="234">
        <v>0.13800000000000001</v>
      </c>
      <c r="D97" s="234">
        <v>0.14000000000000001</v>
      </c>
      <c r="E97" s="233">
        <v>1294.028</v>
      </c>
      <c r="F97" s="233">
        <v>212515.47399999999</v>
      </c>
      <c r="G97" s="233">
        <v>1878.944</v>
      </c>
      <c r="H97" s="233">
        <v>368425.70400000003</v>
      </c>
      <c r="I97" s="233">
        <v>196.08099999999999</v>
      </c>
      <c r="J97" s="233">
        <v>9.7469999999999999</v>
      </c>
      <c r="K97" s="233">
        <v>9.3949999999999996</v>
      </c>
      <c r="L97" s="233">
        <v>1487.8779999999999</v>
      </c>
      <c r="M97" s="233">
        <v>594.27800000000002</v>
      </c>
      <c r="N97" s="233">
        <v>152.64699999999999</v>
      </c>
      <c r="O97" s="233">
        <v>63.253</v>
      </c>
    </row>
    <row r="98" spans="1:15">
      <c r="A98" s="1522">
        <v>8</v>
      </c>
      <c r="B98" s="233">
        <v>3.81</v>
      </c>
      <c r="C98" s="234">
        <v>0.13900000000000001</v>
      </c>
      <c r="D98" s="234">
        <v>0.14099999999999999</v>
      </c>
      <c r="E98" s="233">
        <v>1291.162</v>
      </c>
      <c r="F98" s="233">
        <v>209195.66699999999</v>
      </c>
      <c r="G98" s="233">
        <v>1711.28</v>
      </c>
      <c r="H98" s="233">
        <v>323911.58299999998</v>
      </c>
      <c r="I98" s="233">
        <v>189.28</v>
      </c>
      <c r="J98" s="233">
        <v>10.513</v>
      </c>
      <c r="K98" s="233">
        <v>10.093</v>
      </c>
      <c r="L98" s="233">
        <v>1840.05</v>
      </c>
      <c r="M98" s="233">
        <v>794.274</v>
      </c>
      <c r="N98" s="233">
        <v>175.02199999999999</v>
      </c>
      <c r="O98" s="233">
        <v>78.695999999999998</v>
      </c>
    </row>
    <row r="99" spans="1:15">
      <c r="A99" s="1522">
        <v>9</v>
      </c>
      <c r="B99" s="233">
        <v>3.8159999999999998</v>
      </c>
      <c r="C99" s="234">
        <v>0.13100000000000001</v>
      </c>
      <c r="D99" s="234">
        <v>0.13300000000000001</v>
      </c>
      <c r="E99" s="233">
        <v>1313.095</v>
      </c>
      <c r="F99" s="233">
        <v>199899.74299999999</v>
      </c>
      <c r="G99" s="233">
        <v>1798.067</v>
      </c>
      <c r="H99" s="233">
        <v>318399.41100000002</v>
      </c>
      <c r="I99" s="233">
        <v>177.07900000000001</v>
      </c>
      <c r="J99" s="233">
        <v>9.1519999999999992</v>
      </c>
      <c r="K99" s="233">
        <v>8.7050000000000001</v>
      </c>
      <c r="L99" s="233">
        <v>1490.442</v>
      </c>
      <c r="M99" s="233">
        <v>701.22199999999998</v>
      </c>
      <c r="N99" s="233">
        <v>162.84700000000001</v>
      </c>
      <c r="O99" s="233">
        <v>80.555000000000007</v>
      </c>
    </row>
    <row r="100" spans="1:15">
      <c r="A100" s="1522">
        <v>10</v>
      </c>
      <c r="B100" s="233">
        <v>3.9790000000000001</v>
      </c>
      <c r="C100" s="234">
        <v>0.14299999999999999</v>
      </c>
      <c r="D100" s="234">
        <v>0.14599999999999999</v>
      </c>
      <c r="E100" s="233">
        <v>1335.7</v>
      </c>
      <c r="F100" s="233">
        <v>201335.45499999999</v>
      </c>
      <c r="G100" s="233">
        <v>1950.133</v>
      </c>
      <c r="H100" s="233">
        <v>348221.83600000001</v>
      </c>
      <c r="I100" s="233">
        <v>178.56299999999999</v>
      </c>
      <c r="J100" s="233">
        <v>10.132</v>
      </c>
      <c r="K100" s="233">
        <v>9.7460000000000004</v>
      </c>
      <c r="L100" s="233">
        <v>1601.5550000000001</v>
      </c>
      <c r="M100" s="233">
        <v>732.27800000000002</v>
      </c>
      <c r="N100" s="233">
        <v>158.06100000000001</v>
      </c>
      <c r="O100" s="233">
        <v>75.135999999999996</v>
      </c>
    </row>
    <row r="101" spans="1:15">
      <c r="A101" s="1522">
        <v>11</v>
      </c>
      <c r="B101" s="233">
        <v>3.97</v>
      </c>
      <c r="C101" s="234">
        <v>0.13400000000000001</v>
      </c>
      <c r="D101" s="234">
        <v>0.13600000000000001</v>
      </c>
      <c r="E101" s="233">
        <v>1357.653</v>
      </c>
      <c r="F101" s="233">
        <v>206130.19</v>
      </c>
      <c r="G101" s="233">
        <v>1904.367</v>
      </c>
      <c r="H101" s="233">
        <v>351055.43800000002</v>
      </c>
      <c r="I101" s="233">
        <v>184.34200000000001</v>
      </c>
      <c r="J101" s="233">
        <v>14.78</v>
      </c>
      <c r="K101" s="233">
        <v>14.45</v>
      </c>
      <c r="L101" s="233">
        <v>1655.5</v>
      </c>
      <c r="M101" s="233">
        <v>773.64599999999996</v>
      </c>
      <c r="N101" s="233">
        <v>112.00700000000001</v>
      </c>
      <c r="O101" s="233">
        <v>53.539000000000001</v>
      </c>
    </row>
    <row r="102" spans="1:15">
      <c r="A102" s="1522" t="s">
        <v>29</v>
      </c>
      <c r="B102" s="233">
        <v>3.9670000000000001</v>
      </c>
      <c r="C102" s="234">
        <v>0.13600000000000001</v>
      </c>
      <c r="D102" s="234">
        <v>0.13800000000000001</v>
      </c>
      <c r="E102" s="233">
        <v>1519.057</v>
      </c>
      <c r="F102" s="233">
        <v>244356.212</v>
      </c>
      <c r="G102" s="233">
        <v>2206.3719999999998</v>
      </c>
      <c r="H102" s="233">
        <v>426607.2</v>
      </c>
      <c r="I102" s="233">
        <v>193.352</v>
      </c>
      <c r="J102" s="233">
        <v>16.495000000000001</v>
      </c>
      <c r="K102" s="233">
        <v>15.975</v>
      </c>
      <c r="L102" s="233">
        <v>1973.182</v>
      </c>
      <c r="M102" s="233">
        <v>845.54100000000005</v>
      </c>
      <c r="N102" s="233">
        <v>119.623</v>
      </c>
      <c r="O102" s="233">
        <v>52.93</v>
      </c>
    </row>
    <row r="103" spans="1:15">
      <c r="A103" s="1522" t="s">
        <v>1902</v>
      </c>
      <c r="B103" s="260">
        <f t="shared" ref="B103:O103" si="4">AVERAGE(B104:B115)</f>
        <v>3.9372499999999993</v>
      </c>
      <c r="C103" s="261">
        <f t="shared" si="4"/>
        <v>0.14283333333333334</v>
      </c>
      <c r="D103" s="261">
        <f t="shared" si="4"/>
        <v>0.14516666666666664</v>
      </c>
      <c r="E103" s="260">
        <f t="shared" si="4"/>
        <v>1444.23775</v>
      </c>
      <c r="F103" s="260">
        <f t="shared" si="4"/>
        <v>220371.14691666665</v>
      </c>
      <c r="G103" s="260">
        <f t="shared" si="4"/>
        <v>2053.6009166666668</v>
      </c>
      <c r="H103" s="260">
        <f t="shared" si="4"/>
        <v>389502.81058333331</v>
      </c>
      <c r="I103" s="260">
        <f t="shared" si="4"/>
        <v>189.29666666666665</v>
      </c>
      <c r="J103" s="260">
        <f t="shared" si="4"/>
        <v>13.943916666666667</v>
      </c>
      <c r="K103" s="260">
        <f t="shared" si="4"/>
        <v>13.700000000000001</v>
      </c>
      <c r="L103" s="260">
        <f t="shared" si="4"/>
        <v>1881.5759166666667</v>
      </c>
      <c r="M103" s="260">
        <f t="shared" si="4"/>
        <v>996.13966666666647</v>
      </c>
      <c r="N103" s="260">
        <f t="shared" si="4"/>
        <v>137.27808333333331</v>
      </c>
      <c r="O103" s="260">
        <f t="shared" si="4"/>
        <v>73.859083333333345</v>
      </c>
    </row>
    <row r="104" spans="1:15">
      <c r="A104" s="1522" t="s">
        <v>18</v>
      </c>
      <c r="B104" s="233">
        <v>3.9569999999999999</v>
      </c>
      <c r="C104" s="234">
        <v>0.13800000000000001</v>
      </c>
      <c r="D104" s="234">
        <v>0.13900000000000001</v>
      </c>
      <c r="E104" s="233">
        <v>1211.8489999999999</v>
      </c>
      <c r="F104" s="233">
        <v>173630.18700000001</v>
      </c>
      <c r="G104" s="233">
        <v>1592.9580000000001</v>
      </c>
      <c r="H104" s="233">
        <v>286441.647</v>
      </c>
      <c r="I104" s="233">
        <v>179.81700000000001</v>
      </c>
      <c r="J104" s="233">
        <v>15.91</v>
      </c>
      <c r="K104" s="233">
        <v>15.782999999999999</v>
      </c>
      <c r="L104" s="233">
        <v>1432.768</v>
      </c>
      <c r="M104" s="233">
        <v>811.50099999999998</v>
      </c>
      <c r="N104" s="233">
        <v>90.052000000000007</v>
      </c>
      <c r="O104" s="233">
        <v>51.414999999999999</v>
      </c>
    </row>
    <row r="105" spans="1:15">
      <c r="A105" s="1522" t="s">
        <v>19</v>
      </c>
      <c r="B105" s="233">
        <v>3.9550000000000001</v>
      </c>
      <c r="C105" s="234">
        <v>0.13800000000000001</v>
      </c>
      <c r="D105" s="234">
        <v>0.14000000000000001</v>
      </c>
      <c r="E105" s="233">
        <v>1320.4580000000001</v>
      </c>
      <c r="F105" s="233">
        <v>205996.69699999999</v>
      </c>
      <c r="G105" s="233">
        <v>1898.0409999999999</v>
      </c>
      <c r="H105" s="233">
        <v>363793.19799999997</v>
      </c>
      <c r="I105" s="233">
        <v>191.66800000000001</v>
      </c>
      <c r="J105" s="233">
        <v>15.743</v>
      </c>
      <c r="K105" s="233">
        <v>15.467000000000001</v>
      </c>
      <c r="L105" s="233">
        <v>1627.3409999999999</v>
      </c>
      <c r="M105" s="233">
        <v>864.28200000000004</v>
      </c>
      <c r="N105" s="233">
        <v>103.367</v>
      </c>
      <c r="O105" s="233">
        <v>55.878</v>
      </c>
    </row>
    <row r="106" spans="1:15">
      <c r="A106" s="1522" t="s">
        <v>20</v>
      </c>
      <c r="B106" s="233">
        <v>3.9409999999999998</v>
      </c>
      <c r="C106" s="234">
        <v>0.13800000000000001</v>
      </c>
      <c r="D106" s="234">
        <v>0.14000000000000001</v>
      </c>
      <c r="E106" s="233">
        <v>1543.8320000000001</v>
      </c>
      <c r="F106" s="233">
        <v>238144.34599999999</v>
      </c>
      <c r="G106" s="233">
        <v>2250.6419999999998</v>
      </c>
      <c r="H106" s="233">
        <v>426296.71</v>
      </c>
      <c r="I106" s="233">
        <v>189.411</v>
      </c>
      <c r="J106" s="233">
        <v>18.391999999999999</v>
      </c>
      <c r="K106" s="233">
        <v>18.048999999999999</v>
      </c>
      <c r="L106" s="233">
        <v>1926.799</v>
      </c>
      <c r="M106" s="233">
        <v>1039.317</v>
      </c>
      <c r="N106" s="233">
        <v>104.765</v>
      </c>
      <c r="O106" s="233">
        <v>57.582999999999998</v>
      </c>
    </row>
    <row r="107" spans="1:15">
      <c r="A107" s="1522" t="s">
        <v>21</v>
      </c>
      <c r="B107" s="233">
        <v>3.9079999999999999</v>
      </c>
      <c r="C107" s="234">
        <v>0.13900000000000001</v>
      </c>
      <c r="D107" s="234">
        <v>0.14099999999999999</v>
      </c>
      <c r="E107" s="233">
        <v>1340.1679999999999</v>
      </c>
      <c r="F107" s="233">
        <v>200185.696</v>
      </c>
      <c r="G107" s="233">
        <v>1903.81</v>
      </c>
      <c r="H107" s="233">
        <v>355584.1</v>
      </c>
      <c r="I107" s="233">
        <v>186.77500000000001</v>
      </c>
      <c r="J107" s="233">
        <v>14.263</v>
      </c>
      <c r="K107" s="233">
        <v>14.055999999999999</v>
      </c>
      <c r="L107" s="233">
        <v>1678.508</v>
      </c>
      <c r="M107" s="233">
        <v>874.96799999999996</v>
      </c>
      <c r="N107" s="233">
        <v>117.68600000000001</v>
      </c>
      <c r="O107" s="233">
        <v>62.25</v>
      </c>
    </row>
    <row r="108" spans="1:15">
      <c r="A108" s="1522" t="s">
        <v>22</v>
      </c>
      <c r="B108" s="233">
        <v>3.9359999999999999</v>
      </c>
      <c r="C108" s="234">
        <v>0.14000000000000001</v>
      </c>
      <c r="D108" s="234">
        <v>0.14199999999999999</v>
      </c>
      <c r="E108" s="233">
        <v>1501.8920000000001</v>
      </c>
      <c r="F108" s="233">
        <v>222599.56200000001</v>
      </c>
      <c r="G108" s="233">
        <v>2129.529</v>
      </c>
      <c r="H108" s="233">
        <v>392693.02500000002</v>
      </c>
      <c r="I108" s="233">
        <v>184.404</v>
      </c>
      <c r="J108" s="233">
        <v>12.529</v>
      </c>
      <c r="K108" s="233">
        <v>12.163</v>
      </c>
      <c r="L108" s="233">
        <v>1966.61</v>
      </c>
      <c r="M108" s="233">
        <v>909.70699999999999</v>
      </c>
      <c r="N108" s="233">
        <v>156.96700000000001</v>
      </c>
      <c r="O108" s="233">
        <v>74.790999999999997</v>
      </c>
    </row>
    <row r="109" spans="1:15">
      <c r="A109" s="1522" t="s">
        <v>23</v>
      </c>
      <c r="B109" s="233">
        <v>3.8969999999999998</v>
      </c>
      <c r="C109" s="234">
        <v>0.14000000000000001</v>
      </c>
      <c r="D109" s="234">
        <v>0.14299999999999999</v>
      </c>
      <c r="E109" s="233">
        <v>1484.202</v>
      </c>
      <c r="F109" s="233">
        <v>228446.29199999999</v>
      </c>
      <c r="G109" s="233">
        <v>2096.373</v>
      </c>
      <c r="H109" s="233">
        <v>403745.52799999999</v>
      </c>
      <c r="I109" s="233">
        <v>192.59200000000001</v>
      </c>
      <c r="J109" s="233">
        <v>12.342000000000001</v>
      </c>
      <c r="K109" s="233">
        <v>12.037000000000001</v>
      </c>
      <c r="L109" s="233">
        <v>1737.702</v>
      </c>
      <c r="M109" s="233">
        <v>841.48599999999999</v>
      </c>
      <c r="N109" s="233">
        <v>140.79900000000001</v>
      </c>
      <c r="O109" s="233">
        <v>69.911000000000001</v>
      </c>
    </row>
    <row r="110" spans="1:15">
      <c r="A110" s="1522" t="s">
        <v>24</v>
      </c>
      <c r="B110" s="233">
        <v>3.8929999999999998</v>
      </c>
      <c r="C110" s="234">
        <v>0.14199999999999999</v>
      </c>
      <c r="D110" s="234">
        <v>0.14399999999999999</v>
      </c>
      <c r="E110" s="233">
        <v>1459.92</v>
      </c>
      <c r="F110" s="233">
        <v>230705.742</v>
      </c>
      <c r="G110" s="233">
        <v>2028.885</v>
      </c>
      <c r="H110" s="233">
        <v>402915.03899999999</v>
      </c>
      <c r="I110" s="233">
        <v>198.589</v>
      </c>
      <c r="J110" s="233">
        <v>12.151999999999999</v>
      </c>
      <c r="K110" s="233">
        <v>11.898</v>
      </c>
      <c r="L110" s="233">
        <v>1778.818</v>
      </c>
      <c r="M110" s="233">
        <v>937.08900000000006</v>
      </c>
      <c r="N110" s="233">
        <v>146.376</v>
      </c>
      <c r="O110" s="233">
        <v>78.757000000000005</v>
      </c>
    </row>
    <row r="111" spans="1:15">
      <c r="A111" s="1522" t="s">
        <v>25</v>
      </c>
      <c r="B111" s="233">
        <v>3.9119999999999999</v>
      </c>
      <c r="C111" s="234">
        <v>0.14399999999999999</v>
      </c>
      <c r="D111" s="234">
        <v>0.14599999999999999</v>
      </c>
      <c r="E111" s="233">
        <v>1451.4290000000001</v>
      </c>
      <c r="F111" s="233">
        <v>222844.69099999999</v>
      </c>
      <c r="G111" s="233">
        <v>1978.182</v>
      </c>
      <c r="H111" s="233">
        <v>374513.821</v>
      </c>
      <c r="I111" s="233">
        <v>189.322</v>
      </c>
      <c r="J111" s="233">
        <v>12.853999999999999</v>
      </c>
      <c r="K111" s="233">
        <v>12.614000000000001</v>
      </c>
      <c r="L111" s="233">
        <v>1872.3889999999999</v>
      </c>
      <c r="M111" s="233">
        <v>1025.095</v>
      </c>
      <c r="N111" s="233">
        <v>145.66200000000001</v>
      </c>
      <c r="O111" s="233">
        <v>81.268000000000001</v>
      </c>
    </row>
    <row r="112" spans="1:15">
      <c r="A112" s="1522" t="s">
        <v>26</v>
      </c>
      <c r="B112" s="233">
        <v>3.93</v>
      </c>
      <c r="C112" s="234">
        <v>0.14599999999999999</v>
      </c>
      <c r="D112" s="234">
        <v>0.14799999999999999</v>
      </c>
      <c r="E112" s="233">
        <v>1403.444</v>
      </c>
      <c r="F112" s="233">
        <v>208917.43299999999</v>
      </c>
      <c r="G112" s="233">
        <v>2012.317</v>
      </c>
      <c r="H112" s="233">
        <v>367295.45500000002</v>
      </c>
      <c r="I112" s="233">
        <v>182.524</v>
      </c>
      <c r="J112" s="233">
        <v>11.869</v>
      </c>
      <c r="K112" s="233">
        <v>11.667999999999999</v>
      </c>
      <c r="L112" s="233">
        <v>1810.7750000000001</v>
      </c>
      <c r="M112" s="233">
        <v>973.18499999999995</v>
      </c>
      <c r="N112" s="233">
        <v>152.56200000000001</v>
      </c>
      <c r="O112" s="233">
        <v>83.406999999999996</v>
      </c>
    </row>
    <row r="113" spans="1:15">
      <c r="A113" s="1522">
        <v>10</v>
      </c>
      <c r="B113" s="233">
        <v>3.9249999999999998</v>
      </c>
      <c r="C113" s="234">
        <v>0.14899999999999999</v>
      </c>
      <c r="D113" s="234">
        <v>0.152</v>
      </c>
      <c r="E113" s="233">
        <v>1527.3779999999999</v>
      </c>
      <c r="F113" s="233">
        <v>225006.02299999999</v>
      </c>
      <c r="G113" s="233">
        <v>2173.6860000000001</v>
      </c>
      <c r="H113" s="233">
        <v>399596.701</v>
      </c>
      <c r="I113" s="233">
        <v>183.834</v>
      </c>
      <c r="J113" s="233">
        <v>13.36</v>
      </c>
      <c r="K113" s="233">
        <v>13.167</v>
      </c>
      <c r="L113" s="233">
        <v>2090.4609999999998</v>
      </c>
      <c r="M113" s="233">
        <v>1165.837</v>
      </c>
      <c r="N113" s="233">
        <v>156.47399999999999</v>
      </c>
      <c r="O113" s="233">
        <v>88.545000000000002</v>
      </c>
    </row>
    <row r="114" spans="1:15">
      <c r="A114" s="1522">
        <v>11</v>
      </c>
      <c r="B114" s="233">
        <v>3.9740000000000002</v>
      </c>
      <c r="C114" s="234">
        <v>0.14899999999999999</v>
      </c>
      <c r="D114" s="234">
        <v>0.153</v>
      </c>
      <c r="E114" s="233">
        <v>1462.7070000000001</v>
      </c>
      <c r="F114" s="233">
        <v>220558.77</v>
      </c>
      <c r="G114" s="233">
        <v>2097.1149999999998</v>
      </c>
      <c r="H114" s="233">
        <v>399217.89</v>
      </c>
      <c r="I114" s="233">
        <v>190.36500000000001</v>
      </c>
      <c r="J114" s="233">
        <v>13.352</v>
      </c>
      <c r="K114" s="233">
        <v>13.19</v>
      </c>
      <c r="L114" s="233">
        <v>2061.8029999999999</v>
      </c>
      <c r="M114" s="233">
        <v>1180.364</v>
      </c>
      <c r="N114" s="233">
        <v>154.41800000000001</v>
      </c>
      <c r="O114" s="233">
        <v>89.488</v>
      </c>
    </row>
    <row r="115" spans="1:15">
      <c r="A115" s="1522" t="s">
        <v>29</v>
      </c>
      <c r="B115" s="233">
        <v>4.0190000000000001</v>
      </c>
      <c r="C115" s="234">
        <v>0.151</v>
      </c>
      <c r="D115" s="234">
        <v>0.154</v>
      </c>
      <c r="E115" s="233">
        <v>1623.5740000000001</v>
      </c>
      <c r="F115" s="233">
        <v>267418.32400000002</v>
      </c>
      <c r="G115" s="233">
        <v>2481.6729999999998</v>
      </c>
      <c r="H115" s="233">
        <v>501940.61300000001</v>
      </c>
      <c r="I115" s="233">
        <v>202.25899999999999</v>
      </c>
      <c r="J115" s="233">
        <v>14.561</v>
      </c>
      <c r="K115" s="233">
        <v>14.308</v>
      </c>
      <c r="L115" s="233">
        <v>2594.9369999999999</v>
      </c>
      <c r="M115" s="233">
        <v>1330.845</v>
      </c>
      <c r="N115" s="233">
        <v>178.209</v>
      </c>
      <c r="O115" s="233">
        <v>93.016000000000005</v>
      </c>
    </row>
    <row r="116" spans="1:15">
      <c r="A116" s="1522" t="s">
        <v>2038</v>
      </c>
      <c r="B116" s="260">
        <f t="shared" ref="B116:O116" si="5">AVERAGE(B117:B128)</f>
        <v>3.9459166666666672</v>
      </c>
      <c r="C116" s="261">
        <f t="shared" si="5"/>
        <v>0.15058333333333329</v>
      </c>
      <c r="D116" s="261">
        <f t="shared" si="5"/>
        <v>0.15441666666666662</v>
      </c>
      <c r="E116" s="260">
        <f t="shared" si="5"/>
        <v>1573.7892499999998</v>
      </c>
      <c r="F116" s="260">
        <f t="shared" si="5"/>
        <v>240445.39141666668</v>
      </c>
      <c r="G116" s="260">
        <f t="shared" si="5"/>
        <v>2237.7081666666668</v>
      </c>
      <c r="H116" s="260">
        <f t="shared" si="5"/>
        <v>440648.23275000014</v>
      </c>
      <c r="I116" s="260">
        <f t="shared" si="5"/>
        <v>196.60683333333336</v>
      </c>
      <c r="J116" s="260">
        <f t="shared" si="5"/>
        <v>19.06175</v>
      </c>
      <c r="K116" s="260">
        <f t="shared" si="5"/>
        <v>19.070583333333335</v>
      </c>
      <c r="L116" s="260">
        <f t="shared" si="5"/>
        <v>2478.6122499999997</v>
      </c>
      <c r="M116" s="260">
        <f t="shared" si="5"/>
        <v>1448.0604999999998</v>
      </c>
      <c r="N116" s="260">
        <f t="shared" si="5"/>
        <v>132.44591666666665</v>
      </c>
      <c r="O116" s="260">
        <f t="shared" si="5"/>
        <v>76.801500000000004</v>
      </c>
    </row>
    <row r="117" spans="1:15">
      <c r="A117" s="1522" t="s">
        <v>18</v>
      </c>
      <c r="B117" s="233">
        <v>4.0060000000000002</v>
      </c>
      <c r="C117" s="233">
        <v>0.151</v>
      </c>
      <c r="D117" s="233">
        <v>0.155</v>
      </c>
      <c r="E117" s="233">
        <v>1389.2159999999999</v>
      </c>
      <c r="F117" s="233">
        <v>197114.17600000001</v>
      </c>
      <c r="G117" s="233">
        <v>1837.674</v>
      </c>
      <c r="H117" s="233">
        <v>341547.28200000001</v>
      </c>
      <c r="I117" s="233">
        <v>185.858</v>
      </c>
      <c r="J117" s="233">
        <v>14.929</v>
      </c>
      <c r="K117" s="233">
        <v>14.835000000000001</v>
      </c>
      <c r="L117" s="233">
        <v>1955.32</v>
      </c>
      <c r="M117" s="233">
        <v>1189.1790000000001</v>
      </c>
      <c r="N117" s="233">
        <v>130.97300000000001</v>
      </c>
      <c r="O117" s="233">
        <v>80.162000000000006</v>
      </c>
    </row>
    <row r="118" spans="1:15">
      <c r="A118" s="1522" t="s">
        <v>19</v>
      </c>
      <c r="B118" s="233">
        <v>3.996</v>
      </c>
      <c r="C118" s="234">
        <v>0.151</v>
      </c>
      <c r="D118" s="234">
        <v>0.155</v>
      </c>
      <c r="E118" s="233">
        <v>1432.037</v>
      </c>
      <c r="F118" s="233">
        <v>226208.546</v>
      </c>
      <c r="G118" s="233">
        <v>2088.4259999999999</v>
      </c>
      <c r="H118" s="233">
        <v>407448.02399999998</v>
      </c>
      <c r="I118" s="233">
        <v>195.09800000000001</v>
      </c>
      <c r="J118" s="233">
        <v>13.638</v>
      </c>
      <c r="K118" s="233">
        <v>13.467000000000001</v>
      </c>
      <c r="L118" s="233">
        <v>2487.3939999999998</v>
      </c>
      <c r="M118" s="233">
        <v>1145.4369999999999</v>
      </c>
      <c r="N118" s="233">
        <v>182.38300000000001</v>
      </c>
      <c r="O118" s="233">
        <v>85.054000000000002</v>
      </c>
    </row>
    <row r="119" spans="1:15">
      <c r="A119" s="1522" t="s">
        <v>20</v>
      </c>
      <c r="B119" s="233">
        <v>3.9790000000000001</v>
      </c>
      <c r="C119" s="234">
        <v>0.152</v>
      </c>
      <c r="D119" s="234">
        <v>0.155</v>
      </c>
      <c r="E119" s="233">
        <v>1676.2950000000001</v>
      </c>
      <c r="F119" s="233">
        <v>256279.264</v>
      </c>
      <c r="G119" s="233">
        <v>2468.5630000000001</v>
      </c>
      <c r="H119" s="233">
        <v>476644.35200000001</v>
      </c>
      <c r="I119" s="233">
        <v>193.08600000000001</v>
      </c>
      <c r="J119" s="233">
        <v>16.379000000000001</v>
      </c>
      <c r="K119" s="233">
        <v>16.204000000000001</v>
      </c>
      <c r="L119" s="233">
        <v>2305.0189999999998</v>
      </c>
      <c r="M119" s="233">
        <v>1404.1569999999999</v>
      </c>
      <c r="N119" s="233">
        <v>140.72999999999999</v>
      </c>
      <c r="O119" s="233">
        <v>86.653999999999996</v>
      </c>
    </row>
    <row r="120" spans="1:15">
      <c r="A120" s="1522" t="s">
        <v>21</v>
      </c>
      <c r="B120" s="233">
        <v>3.9620000000000002</v>
      </c>
      <c r="C120" s="234">
        <v>0.151</v>
      </c>
      <c r="D120" s="234">
        <v>0.155</v>
      </c>
      <c r="E120" s="233">
        <v>1478.2349999999999</v>
      </c>
      <c r="F120" s="233">
        <v>227477.15</v>
      </c>
      <c r="G120" s="233">
        <v>2083.2510000000002</v>
      </c>
      <c r="H120" s="233">
        <v>411027.05800000002</v>
      </c>
      <c r="I120" s="233">
        <v>197.30099999999999</v>
      </c>
      <c r="J120" s="233">
        <v>15.776</v>
      </c>
      <c r="K120" s="233">
        <v>15.653</v>
      </c>
      <c r="L120" s="233">
        <v>2375.6089999999999</v>
      </c>
      <c r="M120" s="233">
        <v>1306.04</v>
      </c>
      <c r="N120" s="233">
        <v>150.58600000000001</v>
      </c>
      <c r="O120" s="233">
        <v>83.435000000000002</v>
      </c>
    </row>
    <row r="121" spans="1:15">
      <c r="A121" s="1522" t="s">
        <v>22</v>
      </c>
      <c r="B121" s="233">
        <v>3.9580000000000002</v>
      </c>
      <c r="C121" s="234">
        <v>0.151</v>
      </c>
      <c r="D121" s="234">
        <v>0.154</v>
      </c>
      <c r="E121" s="233">
        <v>1618.038</v>
      </c>
      <c r="F121" s="233">
        <v>245261.913</v>
      </c>
      <c r="G121" s="233">
        <v>2304.8240000000001</v>
      </c>
      <c r="H121" s="233">
        <v>450194.20600000001</v>
      </c>
      <c r="I121" s="233">
        <v>195.327</v>
      </c>
      <c r="J121" s="233">
        <v>18.617000000000001</v>
      </c>
      <c r="K121" s="233">
        <v>18.565999999999999</v>
      </c>
      <c r="L121" s="233">
        <v>2407.9180000000001</v>
      </c>
      <c r="M121" s="233">
        <v>1427.6310000000001</v>
      </c>
      <c r="N121" s="233">
        <v>129.34</v>
      </c>
      <c r="O121" s="233">
        <v>76.894000000000005</v>
      </c>
    </row>
    <row r="122" spans="1:15">
      <c r="A122" s="1522" t="s">
        <v>23</v>
      </c>
      <c r="B122" s="233">
        <v>3.94</v>
      </c>
      <c r="C122" s="234">
        <v>0.151</v>
      </c>
      <c r="D122" s="234">
        <v>0.155</v>
      </c>
      <c r="E122" s="233">
        <v>1532.479</v>
      </c>
      <c r="F122" s="233">
        <v>231149.95699999999</v>
      </c>
      <c r="G122" s="233">
        <v>2160.2669999999998</v>
      </c>
      <c r="H122" s="233">
        <v>425610.391</v>
      </c>
      <c r="I122" s="233">
        <v>197.017</v>
      </c>
      <c r="J122" s="233">
        <v>18.384</v>
      </c>
      <c r="K122" s="233">
        <v>18.323</v>
      </c>
      <c r="L122" s="233">
        <v>2235.248</v>
      </c>
      <c r="M122" s="233">
        <v>1331.557</v>
      </c>
      <c r="N122" s="233">
        <v>121.58499999999999</v>
      </c>
      <c r="O122" s="233">
        <v>72.67</v>
      </c>
    </row>
    <row r="123" spans="1:15">
      <c r="A123" s="1522" t="s">
        <v>24</v>
      </c>
      <c r="B123" s="233">
        <v>3.948</v>
      </c>
      <c r="C123" s="234">
        <v>0.15</v>
      </c>
      <c r="D123" s="234">
        <v>0.154</v>
      </c>
      <c r="E123" s="233">
        <v>1667.4</v>
      </c>
      <c r="F123" s="233">
        <v>265186.56900000002</v>
      </c>
      <c r="G123" s="233">
        <v>2343.0120000000002</v>
      </c>
      <c r="H123" s="233">
        <v>488675.91600000003</v>
      </c>
      <c r="I123" s="233">
        <v>208.56700000000001</v>
      </c>
      <c r="J123" s="233">
        <v>20.591000000000001</v>
      </c>
      <c r="K123" s="233">
        <v>20.596</v>
      </c>
      <c r="L123" s="233">
        <v>2523.0059999999999</v>
      </c>
      <c r="M123" s="233">
        <v>1550.502</v>
      </c>
      <c r="N123" s="233">
        <v>122.529</v>
      </c>
      <c r="O123" s="233">
        <v>75.281999999999996</v>
      </c>
    </row>
    <row r="124" spans="1:15">
      <c r="A124" s="1522" t="s">
        <v>25</v>
      </c>
      <c r="B124" s="233">
        <v>3.944</v>
      </c>
      <c r="C124" s="234">
        <v>0.15</v>
      </c>
      <c r="D124" s="234">
        <v>0.154</v>
      </c>
      <c r="E124" s="233">
        <v>1566.2539999999999</v>
      </c>
      <c r="F124" s="233">
        <v>244118.049</v>
      </c>
      <c r="G124" s="233">
        <v>2156.6799999999998</v>
      </c>
      <c r="H124" s="233">
        <v>431547.69699999999</v>
      </c>
      <c r="I124" s="233">
        <v>200.09800000000001</v>
      </c>
      <c r="J124" s="233">
        <v>19.794</v>
      </c>
      <c r="K124" s="233">
        <v>19.798999999999999</v>
      </c>
      <c r="L124" s="233">
        <v>2585.3710000000001</v>
      </c>
      <c r="M124" s="233">
        <v>1481.41</v>
      </c>
      <c r="N124" s="233">
        <v>130.61099999999999</v>
      </c>
      <c r="O124" s="233">
        <v>74.822999999999993</v>
      </c>
    </row>
    <row r="125" spans="1:15">
      <c r="A125" s="1522" t="s">
        <v>26</v>
      </c>
      <c r="B125" s="233">
        <v>3.9180000000000001</v>
      </c>
      <c r="C125" s="234">
        <v>0.15</v>
      </c>
      <c r="D125" s="234">
        <v>0.154</v>
      </c>
      <c r="E125" s="233">
        <v>1488</v>
      </c>
      <c r="F125" s="233">
        <v>222287.299</v>
      </c>
      <c r="G125" s="233">
        <v>2169.83</v>
      </c>
      <c r="H125" s="233">
        <v>412033.967</v>
      </c>
      <c r="I125" s="233">
        <v>189.892</v>
      </c>
      <c r="J125" s="233">
        <v>18.844000000000001</v>
      </c>
      <c r="K125" s="233">
        <v>18.952999999999999</v>
      </c>
      <c r="L125" s="233">
        <v>2386.5459999999998</v>
      </c>
      <c r="M125" s="233">
        <v>1383.7650000000001</v>
      </c>
      <c r="N125" s="233">
        <v>126.648</v>
      </c>
      <c r="O125" s="233">
        <v>73.009</v>
      </c>
    </row>
    <row r="126" spans="1:15">
      <c r="A126" s="1522" t="s">
        <v>27</v>
      </c>
      <c r="B126" s="233">
        <v>3.9009999999999998</v>
      </c>
      <c r="C126" s="234">
        <v>0.15</v>
      </c>
      <c r="D126" s="234">
        <v>0.154</v>
      </c>
      <c r="E126" s="233">
        <v>1660.2339999999999</v>
      </c>
      <c r="F126" s="233">
        <v>247291.16399999999</v>
      </c>
      <c r="G126" s="233">
        <v>2344.5770000000002</v>
      </c>
      <c r="H126" s="233">
        <v>453211.68</v>
      </c>
      <c r="I126" s="233">
        <v>193.30199999999999</v>
      </c>
      <c r="J126" s="233">
        <v>23.042999999999999</v>
      </c>
      <c r="K126" s="233">
        <v>23.254000000000001</v>
      </c>
      <c r="L126" s="233">
        <v>2782.0059999999999</v>
      </c>
      <c r="M126" s="233">
        <v>1697.8030000000001</v>
      </c>
      <c r="N126" s="233">
        <v>120.732</v>
      </c>
      <c r="O126" s="233">
        <v>73.010000000000005</v>
      </c>
    </row>
    <row r="127" spans="1:15">
      <c r="A127" s="1522" t="s">
        <v>28</v>
      </c>
      <c r="B127" s="233">
        <v>3.907</v>
      </c>
      <c r="C127" s="234">
        <v>0.15</v>
      </c>
      <c r="D127" s="234">
        <v>0.154</v>
      </c>
      <c r="E127" s="233">
        <v>1602.375</v>
      </c>
      <c r="F127" s="233">
        <v>240804.49400000001</v>
      </c>
      <c r="G127" s="233">
        <v>2267.9830000000002</v>
      </c>
      <c r="H127" s="233">
        <v>447646.03600000002</v>
      </c>
      <c r="I127" s="233">
        <v>197.376</v>
      </c>
      <c r="J127" s="233">
        <v>22.795999999999999</v>
      </c>
      <c r="K127" s="233">
        <v>23.027999999999999</v>
      </c>
      <c r="L127" s="233">
        <v>2547.9949999999999</v>
      </c>
      <c r="M127" s="233">
        <v>1618.527</v>
      </c>
      <c r="N127" s="233">
        <v>111.773</v>
      </c>
      <c r="O127" s="233">
        <v>70.284999999999997</v>
      </c>
    </row>
    <row r="128" spans="1:15">
      <c r="A128" s="1522" t="s">
        <v>29</v>
      </c>
      <c r="B128" s="233">
        <v>3.8919999999999999</v>
      </c>
      <c r="C128" s="234">
        <v>0.15</v>
      </c>
      <c r="D128" s="234">
        <v>0.154</v>
      </c>
      <c r="E128" s="233">
        <v>1774.9079999999999</v>
      </c>
      <c r="F128" s="233">
        <v>282166.11599999998</v>
      </c>
      <c r="G128" s="233">
        <v>2627.4110000000001</v>
      </c>
      <c r="H128" s="233">
        <v>542192.18400000001</v>
      </c>
      <c r="I128" s="233">
        <v>206.36</v>
      </c>
      <c r="J128" s="233">
        <v>25.95</v>
      </c>
      <c r="K128" s="233">
        <v>26.169</v>
      </c>
      <c r="L128" s="233">
        <v>3151.915</v>
      </c>
      <c r="M128" s="233">
        <v>1840.7180000000001</v>
      </c>
      <c r="N128" s="233">
        <v>121.461</v>
      </c>
      <c r="O128" s="233">
        <v>70.34</v>
      </c>
    </row>
    <row r="129" spans="1:15">
      <c r="A129" s="1522" t="s">
        <v>2131</v>
      </c>
      <c r="B129" s="260">
        <f t="shared" ref="B129:O129" si="6">AVERAGE(B130:B141)</f>
        <v>3.7999166666666668</v>
      </c>
      <c r="C129" s="261">
        <f t="shared" si="6"/>
        <v>0.15208333333333332</v>
      </c>
      <c r="D129" s="261">
        <f t="shared" si="6"/>
        <v>0.15591666666666665</v>
      </c>
      <c r="E129" s="260">
        <f t="shared" si="6"/>
        <v>1887.2369166666665</v>
      </c>
      <c r="F129" s="260">
        <f t="shared" si="6"/>
        <v>274370.27283333335</v>
      </c>
      <c r="G129" s="260">
        <f t="shared" si="6"/>
        <v>2415.265166666667</v>
      </c>
      <c r="H129" s="260">
        <f t="shared" si="6"/>
        <v>525390.98608333326</v>
      </c>
      <c r="I129" s="260">
        <f t="shared" si="6"/>
        <v>216.54016666666666</v>
      </c>
      <c r="J129" s="260">
        <f t="shared" si="6"/>
        <v>32.530416666666667</v>
      </c>
      <c r="K129" s="260">
        <f t="shared" si="6"/>
        <v>32.978833333333334</v>
      </c>
      <c r="L129" s="260">
        <f t="shared" si="6"/>
        <v>2948.6278333333339</v>
      </c>
      <c r="M129" s="260">
        <f t="shared" si="6"/>
        <v>1732.7346666666665</v>
      </c>
      <c r="N129" s="260">
        <f t="shared" si="6"/>
        <v>91.575749999999985</v>
      </c>
      <c r="O129" s="260">
        <f t="shared" si="6"/>
        <v>53.417916666666663</v>
      </c>
    </row>
    <row r="130" spans="1:15">
      <c r="A130" s="1522" t="s">
        <v>18</v>
      </c>
      <c r="B130" s="233">
        <v>3.8809999999999998</v>
      </c>
      <c r="C130" s="234">
        <v>0.15</v>
      </c>
      <c r="D130" s="234">
        <v>0.154</v>
      </c>
      <c r="E130" s="233">
        <v>1594.6949999999999</v>
      </c>
      <c r="F130" s="233">
        <v>219634.41699999999</v>
      </c>
      <c r="G130" s="233">
        <v>1995.47</v>
      </c>
      <c r="H130" s="233">
        <v>388792.80900000001</v>
      </c>
      <c r="I130" s="233">
        <v>194.83799999999999</v>
      </c>
      <c r="J130" s="233">
        <v>28.152999999999999</v>
      </c>
      <c r="K130" s="233">
        <v>28.585000000000001</v>
      </c>
      <c r="L130" s="233">
        <v>2513.1170000000002</v>
      </c>
      <c r="M130" s="233">
        <v>1660.403</v>
      </c>
      <c r="N130" s="233">
        <v>89.268000000000001</v>
      </c>
      <c r="O130" s="233">
        <v>58.087000000000003</v>
      </c>
    </row>
    <row r="131" spans="1:15">
      <c r="A131" s="1522" t="s">
        <v>19</v>
      </c>
      <c r="B131" s="233">
        <v>3.8639999999999999</v>
      </c>
      <c r="C131" s="234">
        <v>0.15</v>
      </c>
      <c r="D131" s="234">
        <v>0.154</v>
      </c>
      <c r="E131" s="233">
        <v>1603.808</v>
      </c>
      <c r="F131" s="233">
        <v>232530.21</v>
      </c>
      <c r="G131" s="233">
        <v>2177.134</v>
      </c>
      <c r="H131" s="233">
        <v>437756.97600000002</v>
      </c>
      <c r="I131" s="233">
        <v>201.07</v>
      </c>
      <c r="J131" s="233">
        <v>21.716000000000001</v>
      </c>
      <c r="K131" s="233">
        <v>21.96</v>
      </c>
      <c r="L131" s="233">
        <v>2325.4490000000001</v>
      </c>
      <c r="M131" s="233">
        <v>1432.3240000000001</v>
      </c>
      <c r="N131" s="233">
        <v>107.083</v>
      </c>
      <c r="O131" s="233">
        <v>65.224000000000004</v>
      </c>
    </row>
    <row r="132" spans="1:15">
      <c r="A132" s="1522" t="s">
        <v>20</v>
      </c>
      <c r="B132" s="233">
        <v>3.8519999999999999</v>
      </c>
      <c r="C132" s="234">
        <v>0.15</v>
      </c>
      <c r="D132" s="234">
        <v>0.153</v>
      </c>
      <c r="E132" s="233">
        <v>1842.2180000000001</v>
      </c>
      <c r="F132" s="233">
        <v>267287.11499999999</v>
      </c>
      <c r="G132" s="233">
        <v>2491.357</v>
      </c>
      <c r="H132" s="233">
        <v>505283.93300000002</v>
      </c>
      <c r="I132" s="233">
        <v>202.815</v>
      </c>
      <c r="J132" s="233">
        <v>26.48</v>
      </c>
      <c r="K132" s="233">
        <v>26.786000000000001</v>
      </c>
      <c r="L132" s="233">
        <v>2616.4369999999999</v>
      </c>
      <c r="M132" s="233">
        <v>1728.5219999999999</v>
      </c>
      <c r="N132" s="233">
        <v>98.808000000000007</v>
      </c>
      <c r="O132" s="233">
        <v>64.53</v>
      </c>
    </row>
    <row r="133" spans="1:15">
      <c r="A133" s="1522" t="s">
        <v>21</v>
      </c>
      <c r="B133" s="233">
        <v>3.8380000000000001</v>
      </c>
      <c r="C133" s="234">
        <v>0.15</v>
      </c>
      <c r="D133" s="234">
        <v>0.154</v>
      </c>
      <c r="E133" s="233">
        <v>1816.308</v>
      </c>
      <c r="F133" s="233">
        <v>260743.65299999999</v>
      </c>
      <c r="G133" s="233">
        <v>2340.1460000000002</v>
      </c>
      <c r="H133" s="233">
        <v>486404.12699999998</v>
      </c>
      <c r="I133" s="233">
        <v>207.852</v>
      </c>
      <c r="J133" s="233">
        <v>27.48</v>
      </c>
      <c r="K133" s="233">
        <v>27.742000000000001</v>
      </c>
      <c r="L133" s="233">
        <v>2746.9340000000002</v>
      </c>
      <c r="M133" s="233">
        <v>1629.173</v>
      </c>
      <c r="N133" s="233">
        <v>99.962000000000003</v>
      </c>
      <c r="O133" s="233">
        <v>58.725000000000001</v>
      </c>
    </row>
    <row r="134" spans="1:15">
      <c r="A134" s="1522" t="s">
        <v>22</v>
      </c>
      <c r="B134" s="233">
        <v>3.806</v>
      </c>
      <c r="C134" s="234">
        <v>0.15</v>
      </c>
      <c r="D134" s="234">
        <v>0.153</v>
      </c>
      <c r="E134" s="233">
        <v>1765.1220000000001</v>
      </c>
      <c r="F134" s="233">
        <v>285231.755</v>
      </c>
      <c r="G134" s="233">
        <v>2289.614</v>
      </c>
      <c r="H134" s="233">
        <v>553505.29099999997</v>
      </c>
      <c r="I134" s="233">
        <v>241.74600000000001</v>
      </c>
      <c r="J134" s="233">
        <v>29.192</v>
      </c>
      <c r="K134" s="233">
        <v>29.152999999999999</v>
      </c>
      <c r="L134" s="233">
        <v>3099.9810000000002</v>
      </c>
      <c r="M134" s="233">
        <v>1534.7660000000001</v>
      </c>
      <c r="N134" s="233">
        <v>106.194</v>
      </c>
      <c r="O134" s="233">
        <v>52.645000000000003</v>
      </c>
    </row>
    <row r="135" spans="1:15">
      <c r="A135" s="1522" t="s">
        <v>23</v>
      </c>
      <c r="B135" s="233">
        <v>3.8039999999999998</v>
      </c>
      <c r="C135" s="234">
        <v>0.157</v>
      </c>
      <c r="D135" s="234">
        <v>0.161</v>
      </c>
      <c r="E135" s="233">
        <v>1696.278</v>
      </c>
      <c r="F135" s="233">
        <v>239743.93799999999</v>
      </c>
      <c r="G135" s="233">
        <v>2151.5839999999998</v>
      </c>
      <c r="H135" s="233">
        <v>458932.42599999998</v>
      </c>
      <c r="I135" s="233">
        <v>213.3</v>
      </c>
      <c r="J135" s="233">
        <v>31.024000000000001</v>
      </c>
      <c r="K135" s="233">
        <v>31.532</v>
      </c>
      <c r="L135" s="233">
        <v>2556.0039999999999</v>
      </c>
      <c r="M135" s="233">
        <v>1540.3810000000001</v>
      </c>
      <c r="N135" s="233">
        <v>82.387</v>
      </c>
      <c r="O135" s="233">
        <v>48.851999999999997</v>
      </c>
    </row>
    <row r="136" spans="1:15">
      <c r="A136" s="1522" t="s">
        <v>24</v>
      </c>
      <c r="B136" s="233">
        <v>3.79</v>
      </c>
      <c r="C136" s="234">
        <v>0.156</v>
      </c>
      <c r="D136" s="234">
        <v>0.161</v>
      </c>
      <c r="E136" s="233">
        <v>2030.66</v>
      </c>
      <c r="F136" s="233">
        <v>304614.44500000001</v>
      </c>
      <c r="G136" s="233">
        <v>2649.556</v>
      </c>
      <c r="H136" s="233">
        <v>598377.51699999999</v>
      </c>
      <c r="I136" s="233">
        <v>225.84100000000001</v>
      </c>
      <c r="J136" s="233">
        <v>36.97</v>
      </c>
      <c r="K136" s="233">
        <v>37.67</v>
      </c>
      <c r="L136" s="233">
        <v>3089.9769999999999</v>
      </c>
      <c r="M136" s="233">
        <v>1831.55</v>
      </c>
      <c r="N136" s="233">
        <v>83.581000000000003</v>
      </c>
      <c r="O136" s="233">
        <v>48.621000000000002</v>
      </c>
    </row>
    <row r="137" spans="1:15">
      <c r="A137" s="1522" t="s">
        <v>25</v>
      </c>
      <c r="B137" s="233">
        <v>3.7839999999999998</v>
      </c>
      <c r="C137" s="234">
        <v>0.155</v>
      </c>
      <c r="D137" s="234">
        <v>0.16</v>
      </c>
      <c r="E137" s="233">
        <v>1850.222</v>
      </c>
      <c r="F137" s="233">
        <v>261423.68900000001</v>
      </c>
      <c r="G137" s="233">
        <v>2325.415</v>
      </c>
      <c r="H137" s="233">
        <v>494690.03700000001</v>
      </c>
      <c r="I137" s="233">
        <v>212.732</v>
      </c>
      <c r="J137" s="233">
        <v>33.506</v>
      </c>
      <c r="K137" s="233">
        <v>34.072000000000003</v>
      </c>
      <c r="L137" s="233">
        <v>2865.1320000000001</v>
      </c>
      <c r="M137" s="233">
        <v>1686.739</v>
      </c>
      <c r="N137" s="233">
        <v>85.510999999999996</v>
      </c>
      <c r="O137" s="233">
        <v>49.505000000000003</v>
      </c>
    </row>
    <row r="138" spans="1:15">
      <c r="A138" s="1522" t="s">
        <v>26</v>
      </c>
      <c r="B138" s="233">
        <v>3.7810000000000001</v>
      </c>
      <c r="C138" s="234">
        <v>0.154</v>
      </c>
      <c r="D138" s="234">
        <v>0.158</v>
      </c>
      <c r="E138" s="233">
        <v>1892.5540000000001</v>
      </c>
      <c r="F138" s="233">
        <v>259642.247</v>
      </c>
      <c r="G138" s="233">
        <v>2427.806</v>
      </c>
      <c r="H138" s="233">
        <v>506300.10399999999</v>
      </c>
      <c r="I138" s="233">
        <v>208.542</v>
      </c>
      <c r="J138" s="233">
        <v>34.576999999999998</v>
      </c>
      <c r="K138" s="233">
        <v>35.19</v>
      </c>
      <c r="L138" s="233">
        <v>2817.5990000000002</v>
      </c>
      <c r="M138" s="233">
        <v>1665.3409999999999</v>
      </c>
      <c r="N138" s="233">
        <v>81.486999999999995</v>
      </c>
      <c r="O138" s="233">
        <v>47.323999999999998</v>
      </c>
    </row>
    <row r="139" spans="1:15">
      <c r="A139" s="1522" t="s">
        <v>27</v>
      </c>
      <c r="B139" s="233">
        <v>3.7549999999999999</v>
      </c>
      <c r="C139" s="234">
        <v>0.153</v>
      </c>
      <c r="D139" s="234">
        <v>0.156</v>
      </c>
      <c r="E139" s="233">
        <v>2089.038</v>
      </c>
      <c r="F139" s="233">
        <v>299496.49699999997</v>
      </c>
      <c r="G139" s="233">
        <v>2590.489</v>
      </c>
      <c r="H139" s="233">
        <v>569982.47100000002</v>
      </c>
      <c r="I139" s="233">
        <v>220.029</v>
      </c>
      <c r="J139" s="233">
        <v>37.360999999999997</v>
      </c>
      <c r="K139" s="233">
        <v>37.872</v>
      </c>
      <c r="L139" s="233">
        <v>3307.018</v>
      </c>
      <c r="M139" s="233">
        <v>1780.67</v>
      </c>
      <c r="N139" s="233">
        <v>88.516000000000005</v>
      </c>
      <c r="O139" s="233">
        <v>47.018000000000001</v>
      </c>
    </row>
    <row r="140" spans="1:15">
      <c r="A140" s="1522" t="s">
        <v>28</v>
      </c>
      <c r="B140" s="233">
        <v>3.734</v>
      </c>
      <c r="C140" s="234">
        <v>0.151</v>
      </c>
      <c r="D140" s="234">
        <v>0.155</v>
      </c>
      <c r="E140" s="233">
        <v>2004.566</v>
      </c>
      <c r="F140" s="233">
        <v>287759.38900000002</v>
      </c>
      <c r="G140" s="233">
        <v>2396.6419999999998</v>
      </c>
      <c r="H140" s="233">
        <v>555004.05599999998</v>
      </c>
      <c r="I140" s="233">
        <v>231.57599999999999</v>
      </c>
      <c r="J140" s="233">
        <v>36.953000000000003</v>
      </c>
      <c r="K140" s="233">
        <v>37.521000000000001</v>
      </c>
      <c r="L140" s="233">
        <v>3041.7370000000001</v>
      </c>
      <c r="M140" s="233">
        <v>1799.5360000000001</v>
      </c>
      <c r="N140" s="233">
        <v>82.313000000000002</v>
      </c>
      <c r="O140" s="233">
        <v>47.960999999999999</v>
      </c>
    </row>
    <row r="141" spans="1:15">
      <c r="A141" s="1522" t="s">
        <v>29</v>
      </c>
      <c r="B141" s="233">
        <v>3.71</v>
      </c>
      <c r="C141" s="234">
        <v>0.14899999999999999</v>
      </c>
      <c r="D141" s="234">
        <v>0.152</v>
      </c>
      <c r="E141" s="233">
        <v>2461.3739999999998</v>
      </c>
      <c r="F141" s="233">
        <v>374335.91899999999</v>
      </c>
      <c r="G141" s="233">
        <v>3147.9690000000001</v>
      </c>
      <c r="H141" s="233">
        <v>749662.08600000001</v>
      </c>
      <c r="I141" s="233">
        <v>238.14099999999999</v>
      </c>
      <c r="J141" s="233">
        <v>46.953000000000003</v>
      </c>
      <c r="K141" s="233">
        <v>47.662999999999997</v>
      </c>
      <c r="L141" s="233">
        <v>4404.1490000000003</v>
      </c>
      <c r="M141" s="233">
        <v>2503.4110000000001</v>
      </c>
      <c r="N141" s="233">
        <v>93.799000000000007</v>
      </c>
      <c r="O141" s="233">
        <v>52.523000000000003</v>
      </c>
    </row>
    <row r="142" spans="1:15">
      <c r="A142" s="1522" t="s">
        <v>2362</v>
      </c>
      <c r="B142" s="260">
        <f t="shared" ref="B142:O142" si="7">AVERAGE(B143:B154)</f>
        <v>3.7380833333333334</v>
      </c>
      <c r="C142" s="261">
        <f t="shared" si="7"/>
        <v>0.16974999999999998</v>
      </c>
      <c r="D142" s="261">
        <f t="shared" si="7"/>
        <v>0.17441666666666664</v>
      </c>
      <c r="E142" s="260">
        <f t="shared" si="7"/>
        <v>2134.7916666666665</v>
      </c>
      <c r="F142" s="260">
        <f t="shared" si="7"/>
        <v>276308.78450000001</v>
      </c>
      <c r="G142" s="260">
        <f t="shared" si="7"/>
        <v>2616.0503333333336</v>
      </c>
      <c r="H142" s="260">
        <f t="shared" si="7"/>
        <v>627675.81891666679</v>
      </c>
      <c r="I142" s="260">
        <f t="shared" si="7"/>
        <v>239.34833333333333</v>
      </c>
      <c r="J142" s="260">
        <f t="shared" si="7"/>
        <v>68.733666666666664</v>
      </c>
      <c r="K142" s="260">
        <f t="shared" si="7"/>
        <v>70.336000000000013</v>
      </c>
      <c r="L142" s="260">
        <f t="shared" si="7"/>
        <v>5177.651499999999</v>
      </c>
      <c r="M142" s="260">
        <f t="shared" si="7"/>
        <v>3165.0824999999991</v>
      </c>
      <c r="N142" s="260">
        <f t="shared" si="7"/>
        <v>74.876833333333323</v>
      </c>
      <c r="O142" s="260">
        <f t="shared" si="7"/>
        <v>44.951833333333326</v>
      </c>
    </row>
    <row r="143" spans="1:15">
      <c r="A143" s="1522" t="s">
        <v>18</v>
      </c>
      <c r="B143" s="233">
        <v>3.6960000000000002</v>
      </c>
      <c r="C143" s="234">
        <v>0.14599999999999999</v>
      </c>
      <c r="D143" s="234">
        <v>0.14899999999999999</v>
      </c>
      <c r="E143" s="233">
        <v>1950.2619999999999</v>
      </c>
      <c r="F143" s="233">
        <v>241213.826</v>
      </c>
      <c r="G143" s="233">
        <v>2215.6999999999998</v>
      </c>
      <c r="H143" s="233">
        <v>473391.859</v>
      </c>
      <c r="I143" s="233">
        <v>213.65299999999999</v>
      </c>
      <c r="J143" s="233">
        <v>44.287999999999997</v>
      </c>
      <c r="K143" s="233">
        <v>45.110999999999997</v>
      </c>
      <c r="L143" s="233">
        <v>2926.9630000000002</v>
      </c>
      <c r="M143" s="233">
        <v>1995.864</v>
      </c>
      <c r="N143" s="233">
        <v>66.088999999999999</v>
      </c>
      <c r="O143" s="233">
        <v>44.243000000000002</v>
      </c>
    </row>
    <row r="144" spans="1:15">
      <c r="A144" s="1522" t="s">
        <v>19</v>
      </c>
      <c r="B144" s="233">
        <v>3.6989999999999998</v>
      </c>
      <c r="C144" s="234">
        <v>0.14299999999999999</v>
      </c>
      <c r="D144" s="234">
        <v>0.14699999999999999</v>
      </c>
      <c r="E144" s="233">
        <v>1983.4059999999999</v>
      </c>
      <c r="F144" s="233">
        <v>279015.516</v>
      </c>
      <c r="G144" s="233">
        <v>2487.576</v>
      </c>
      <c r="H144" s="233">
        <v>600466.09</v>
      </c>
      <c r="I144" s="233">
        <v>241.386</v>
      </c>
      <c r="J144" s="233">
        <v>42.773000000000003</v>
      </c>
      <c r="K144" s="233">
        <v>43.433</v>
      </c>
      <c r="L144" s="233">
        <v>2858.174</v>
      </c>
      <c r="M144" s="233">
        <v>1828.8130000000001</v>
      </c>
      <c r="N144" s="233">
        <v>66.822000000000003</v>
      </c>
      <c r="O144" s="233">
        <v>42.106999999999999</v>
      </c>
    </row>
    <row r="145" spans="1:15">
      <c r="A145" s="1522" t="s">
        <v>20</v>
      </c>
      <c r="B145" s="233">
        <v>3.6760000000000002</v>
      </c>
      <c r="C145" s="234">
        <v>0.14099999999999999</v>
      </c>
      <c r="D145" s="234">
        <v>0.14499999999999999</v>
      </c>
      <c r="E145" s="233">
        <v>2285.1660000000002</v>
      </c>
      <c r="F145" s="233">
        <v>332073.44900000002</v>
      </c>
      <c r="G145" s="233">
        <v>2897.5909999999999</v>
      </c>
      <c r="H145" s="233">
        <v>716369.13600000006</v>
      </c>
      <c r="I145" s="233">
        <v>247.22900000000001</v>
      </c>
      <c r="J145" s="233">
        <v>50.906999999999996</v>
      </c>
      <c r="K145" s="233">
        <v>51.68</v>
      </c>
      <c r="L145" s="233">
        <v>4280.3599999999997</v>
      </c>
      <c r="M145" s="233">
        <v>2576.6219999999998</v>
      </c>
      <c r="N145" s="233">
        <v>84.082999999999998</v>
      </c>
      <c r="O145" s="233">
        <v>49.856999999999999</v>
      </c>
    </row>
    <row r="146" spans="1:15">
      <c r="A146" s="1522" t="s">
        <v>21</v>
      </c>
      <c r="B146" s="233">
        <v>3.7320000000000002</v>
      </c>
      <c r="C146" s="234">
        <v>0.17699999999999999</v>
      </c>
      <c r="D146" s="234">
        <v>0.182</v>
      </c>
      <c r="E146" s="233">
        <v>1889.126</v>
      </c>
      <c r="F146" s="233">
        <v>234511.90400000001</v>
      </c>
      <c r="G146" s="233">
        <v>2145.4580000000001</v>
      </c>
      <c r="H146" s="233">
        <v>513394.98300000001</v>
      </c>
      <c r="I146" s="233">
        <v>239.29400000000001</v>
      </c>
      <c r="J146" s="233">
        <v>59.924999999999997</v>
      </c>
      <c r="K146" s="233">
        <v>61.42</v>
      </c>
      <c r="L146" s="233">
        <v>3947.9830000000002</v>
      </c>
      <c r="M146" s="233">
        <v>2981.4459999999999</v>
      </c>
      <c r="N146" s="233">
        <v>65.882000000000005</v>
      </c>
      <c r="O146" s="233">
        <v>48.542000000000002</v>
      </c>
    </row>
    <row r="147" spans="1:15">
      <c r="A147" s="1522" t="s">
        <v>22</v>
      </c>
      <c r="B147" s="233">
        <v>3.851</v>
      </c>
      <c r="C147" s="234">
        <v>0.182</v>
      </c>
      <c r="D147" s="234">
        <v>0.188</v>
      </c>
      <c r="E147" s="233">
        <v>2081.9299999999998</v>
      </c>
      <c r="F147" s="233">
        <v>268332.67200000002</v>
      </c>
      <c r="G147" s="233">
        <v>2871.9209999999998</v>
      </c>
      <c r="H147" s="233">
        <v>667661.78</v>
      </c>
      <c r="I147" s="233">
        <v>232.47900000000001</v>
      </c>
      <c r="J147" s="233">
        <v>67.100999999999999</v>
      </c>
      <c r="K147" s="233">
        <v>68.763000000000005</v>
      </c>
      <c r="L147" s="233">
        <v>4262.7879999999996</v>
      </c>
      <c r="M147" s="233">
        <v>3275.9259999999999</v>
      </c>
      <c r="N147" s="233">
        <v>63.527999999999999</v>
      </c>
      <c r="O147" s="233">
        <v>47.640999999999998</v>
      </c>
    </row>
    <row r="148" spans="1:15">
      <c r="A148" s="1522" t="s">
        <v>23</v>
      </c>
      <c r="B148" s="233">
        <v>3.8319999999999999</v>
      </c>
      <c r="C148" s="234">
        <v>0.18099999999999999</v>
      </c>
      <c r="D148" s="234">
        <v>0.186</v>
      </c>
      <c r="E148" s="233">
        <v>2078.8809999999999</v>
      </c>
      <c r="F148" s="233">
        <v>261440.45699999999</v>
      </c>
      <c r="G148" s="233">
        <v>2577.913</v>
      </c>
      <c r="H148" s="233">
        <v>621880.77300000004</v>
      </c>
      <c r="I148" s="233">
        <v>241.23400000000001</v>
      </c>
      <c r="J148" s="233">
        <v>75.019000000000005</v>
      </c>
      <c r="K148" s="233">
        <v>76.828000000000003</v>
      </c>
      <c r="L148" s="233">
        <v>5349.6540000000005</v>
      </c>
      <c r="M148" s="233">
        <v>3208.0329999999999</v>
      </c>
      <c r="N148" s="233">
        <v>71.311000000000007</v>
      </c>
      <c r="O148" s="233">
        <v>41.756</v>
      </c>
    </row>
    <row r="149" spans="1:15">
      <c r="A149" s="1522" t="s">
        <v>24</v>
      </c>
      <c r="B149" s="233">
        <v>3.8109999999999999</v>
      </c>
      <c r="C149" s="234">
        <v>0.18099999999999999</v>
      </c>
      <c r="D149" s="234">
        <v>0.186</v>
      </c>
      <c r="E149" s="233">
        <v>2127.317</v>
      </c>
      <c r="F149" s="233">
        <v>298611.97200000001</v>
      </c>
      <c r="G149" s="233">
        <v>2747.3209999999999</v>
      </c>
      <c r="H149" s="233">
        <v>682967.49899999995</v>
      </c>
      <c r="I149" s="233">
        <v>248.59399999999999</v>
      </c>
      <c r="J149" s="233">
        <v>70</v>
      </c>
      <c r="K149" s="233">
        <v>71.396000000000001</v>
      </c>
      <c r="L149" s="233">
        <v>8252.5380000000005</v>
      </c>
      <c r="M149" s="233">
        <v>2628.6889999999999</v>
      </c>
      <c r="N149" s="233">
        <v>117.89400000000001</v>
      </c>
      <c r="O149" s="233">
        <v>36.819000000000003</v>
      </c>
    </row>
    <row r="150" spans="1:15">
      <c r="A150" s="1522" t="s">
        <v>25</v>
      </c>
      <c r="B150" s="233">
        <v>3.78</v>
      </c>
      <c r="C150" s="234">
        <v>0.17799999999999999</v>
      </c>
      <c r="D150" s="234">
        <v>0.183</v>
      </c>
      <c r="E150" s="233">
        <v>2283.6379999999999</v>
      </c>
      <c r="F150" s="233">
        <v>278257.89</v>
      </c>
      <c r="G150" s="233">
        <v>2747.6410000000001</v>
      </c>
      <c r="H150" s="233">
        <v>630478.81499999994</v>
      </c>
      <c r="I150" s="233">
        <v>229.46199999999999</v>
      </c>
      <c r="J150" s="233">
        <v>79.040999999999997</v>
      </c>
      <c r="K150" s="233">
        <v>81.075000000000003</v>
      </c>
      <c r="L150" s="233">
        <v>6037.2060000000001</v>
      </c>
      <c r="M150" s="233">
        <v>3257.192</v>
      </c>
      <c r="N150" s="233">
        <v>76.381</v>
      </c>
      <c r="O150" s="233">
        <v>40.174999999999997</v>
      </c>
    </row>
    <row r="151" spans="1:15">
      <c r="A151" s="1522" t="s">
        <v>26</v>
      </c>
      <c r="B151" s="233">
        <v>3.738</v>
      </c>
      <c r="C151" s="234">
        <v>0.17699999999999999</v>
      </c>
      <c r="D151" s="234">
        <v>0.182</v>
      </c>
      <c r="E151" s="233">
        <v>2221.6329999999998</v>
      </c>
      <c r="F151" s="233">
        <v>266339.42099999997</v>
      </c>
      <c r="G151" s="233">
        <v>2593.145</v>
      </c>
      <c r="H151" s="233">
        <v>608992.99100000004</v>
      </c>
      <c r="I151" s="233">
        <v>234.84700000000001</v>
      </c>
      <c r="J151" s="233">
        <v>82.834999999999994</v>
      </c>
      <c r="K151" s="233">
        <v>85.153000000000006</v>
      </c>
      <c r="L151" s="233">
        <v>5581.9989999999998</v>
      </c>
      <c r="M151" s="233">
        <v>3728.123</v>
      </c>
      <c r="N151" s="233">
        <v>67.387</v>
      </c>
      <c r="O151" s="233">
        <v>43.781999999999996</v>
      </c>
    </row>
    <row r="152" spans="1:15">
      <c r="A152" s="1522" t="s">
        <v>27</v>
      </c>
      <c r="B152" s="233">
        <v>3.7210000000000001</v>
      </c>
      <c r="C152" s="234">
        <v>0.17699999999999999</v>
      </c>
      <c r="D152" s="234">
        <v>0.182</v>
      </c>
      <c r="E152" s="233">
        <v>2031.5319999999999</v>
      </c>
      <c r="F152" s="233">
        <v>255771.505</v>
      </c>
      <c r="G152" s="233">
        <v>2571.3560000000002</v>
      </c>
      <c r="H152" s="233">
        <v>618753.46200000006</v>
      </c>
      <c r="I152" s="233">
        <v>240.63300000000001</v>
      </c>
      <c r="J152" s="233">
        <v>75.299000000000007</v>
      </c>
      <c r="K152" s="233">
        <v>77.311999999999998</v>
      </c>
      <c r="L152" s="233">
        <v>5057.3620000000001</v>
      </c>
      <c r="M152" s="233">
        <v>3618.6179999999999</v>
      </c>
      <c r="N152" s="233">
        <v>67.162999999999997</v>
      </c>
      <c r="O152" s="233">
        <v>46.805</v>
      </c>
    </row>
    <row r="153" spans="1:15">
      <c r="A153" s="1522" t="s">
        <v>28</v>
      </c>
      <c r="B153" s="233">
        <v>3.6779999999999999</v>
      </c>
      <c r="C153" s="234">
        <v>0.17699999999999999</v>
      </c>
      <c r="D153" s="234">
        <v>0.182</v>
      </c>
      <c r="E153" s="233">
        <v>2167.6120000000001</v>
      </c>
      <c r="F153" s="233">
        <v>265279.815</v>
      </c>
      <c r="G153" s="233">
        <v>2541.9119999999998</v>
      </c>
      <c r="H153" s="233">
        <v>616317.68799999997</v>
      </c>
      <c r="I153" s="233">
        <v>242.46199999999999</v>
      </c>
      <c r="J153" s="233">
        <v>81.116</v>
      </c>
      <c r="K153" s="233">
        <v>83.224000000000004</v>
      </c>
      <c r="L153" s="233">
        <v>5744.5410000000002</v>
      </c>
      <c r="M153" s="233">
        <v>4074.61</v>
      </c>
      <c r="N153" s="233">
        <v>70.819000000000003</v>
      </c>
      <c r="O153" s="233">
        <v>48.96</v>
      </c>
    </row>
    <row r="154" spans="1:15">
      <c r="A154" s="1522" t="s">
        <v>29</v>
      </c>
      <c r="B154" s="233">
        <v>3.6429999999999998</v>
      </c>
      <c r="C154" s="234">
        <v>0.17699999999999999</v>
      </c>
      <c r="D154" s="234">
        <v>0.18099999999999999</v>
      </c>
      <c r="E154" s="233">
        <v>2516.9969999999998</v>
      </c>
      <c r="F154" s="233">
        <v>334856.98700000002</v>
      </c>
      <c r="G154" s="233">
        <v>2995.07</v>
      </c>
      <c r="H154" s="233">
        <v>781434.75100000005</v>
      </c>
      <c r="I154" s="233">
        <v>260.90699999999998</v>
      </c>
      <c r="J154" s="233">
        <v>96.5</v>
      </c>
      <c r="K154" s="233">
        <v>98.637</v>
      </c>
      <c r="L154" s="233">
        <v>7832.25</v>
      </c>
      <c r="M154" s="233">
        <v>4807.0540000000001</v>
      </c>
      <c r="N154" s="233">
        <v>81.162999999999997</v>
      </c>
      <c r="O154" s="233">
        <v>48.734999999999999</v>
      </c>
    </row>
    <row r="155" spans="1:15">
      <c r="A155" s="1522" t="s">
        <v>2523</v>
      </c>
      <c r="B155" s="260">
        <f t="shared" ref="B155:O155" si="8">AVERAGE(B156:B167)</f>
        <v>3.522333333333334</v>
      </c>
      <c r="C155" s="261">
        <f t="shared" si="8"/>
        <v>0.16933333333333334</v>
      </c>
      <c r="D155" s="261">
        <f t="shared" si="8"/>
        <v>0.17433333333333331</v>
      </c>
      <c r="E155" s="260">
        <f t="shared" si="8"/>
        <v>2795.4788333333331</v>
      </c>
      <c r="F155" s="260">
        <f t="shared" si="8"/>
        <v>298005.08566666668</v>
      </c>
      <c r="G155" s="260">
        <f t="shared" si="8"/>
        <v>2889.7921666666662</v>
      </c>
      <c r="H155" s="260">
        <f t="shared" si="8"/>
        <v>680506.56024999998</v>
      </c>
      <c r="I155" s="260">
        <f t="shared" si="8"/>
        <v>235.66783333333333</v>
      </c>
      <c r="J155" s="260">
        <f t="shared" si="8"/>
        <v>146.26024999999998</v>
      </c>
      <c r="K155" s="260">
        <f t="shared" si="8"/>
        <v>149.98183333333336</v>
      </c>
      <c r="L155" s="260">
        <f t="shared" si="8"/>
        <v>7006.041166666666</v>
      </c>
      <c r="M155" s="260">
        <f t="shared" si="8"/>
        <v>5618.1759166666661</v>
      </c>
      <c r="N155" s="260">
        <f t="shared" si="8"/>
        <v>48.776166666666661</v>
      </c>
      <c r="O155" s="260">
        <f t="shared" si="8"/>
        <v>38.138416666666672</v>
      </c>
    </row>
    <row r="156" spans="1:15">
      <c r="A156" s="1522" t="s">
        <v>18</v>
      </c>
      <c r="B156" s="233">
        <v>3.61</v>
      </c>
      <c r="C156" s="234">
        <v>0.17599999999999999</v>
      </c>
      <c r="D156" s="234">
        <v>0.18</v>
      </c>
      <c r="E156" s="233">
        <v>2155.9749999999999</v>
      </c>
      <c r="F156" s="233">
        <v>232890.69899999999</v>
      </c>
      <c r="G156" s="233">
        <v>2163.6439999999998</v>
      </c>
      <c r="H156" s="233">
        <v>525537.45900000003</v>
      </c>
      <c r="I156" s="233">
        <v>242.89500000000001</v>
      </c>
      <c r="J156" s="233">
        <v>94.531999999999996</v>
      </c>
      <c r="K156" s="233">
        <v>96.79</v>
      </c>
      <c r="L156" s="233">
        <v>5145.7629999999999</v>
      </c>
      <c r="M156" s="233">
        <v>3946.1089999999999</v>
      </c>
      <c r="N156" s="233">
        <v>54.433999999999997</v>
      </c>
      <c r="O156" s="233">
        <v>40.770000000000003</v>
      </c>
    </row>
    <row r="157" spans="1:15">
      <c r="A157" s="1522" t="s">
        <v>19</v>
      </c>
      <c r="B157" s="233">
        <v>3.6019999999999999</v>
      </c>
      <c r="C157" s="234">
        <v>0.17499999999999999</v>
      </c>
      <c r="D157" s="234">
        <v>0.18</v>
      </c>
      <c r="E157" s="233">
        <v>2299.1880000000001</v>
      </c>
      <c r="F157" s="233">
        <v>264972.65500000003</v>
      </c>
      <c r="G157" s="233">
        <v>2666.5039999999999</v>
      </c>
      <c r="H157" s="233">
        <v>639987.26</v>
      </c>
      <c r="I157" s="233">
        <v>240.01</v>
      </c>
      <c r="J157" s="233">
        <v>102.149</v>
      </c>
      <c r="K157" s="233">
        <v>104.515</v>
      </c>
      <c r="L157" s="233">
        <v>5584.5640000000003</v>
      </c>
      <c r="M157" s="233">
        <v>4443.1390000000001</v>
      </c>
      <c r="N157" s="233">
        <v>54.670999999999999</v>
      </c>
      <c r="O157" s="233">
        <v>42.512</v>
      </c>
    </row>
    <row r="158" spans="1:15">
      <c r="A158" s="1522" t="s">
        <v>20</v>
      </c>
      <c r="B158" s="233">
        <v>3.5840000000000001</v>
      </c>
      <c r="C158" s="234">
        <v>0.17299999999999999</v>
      </c>
      <c r="D158" s="234">
        <v>0.17899999999999999</v>
      </c>
      <c r="E158" s="233">
        <v>2770.3870000000002</v>
      </c>
      <c r="F158" s="233">
        <v>313277.12400000001</v>
      </c>
      <c r="G158" s="233">
        <v>3234.4070000000002</v>
      </c>
      <c r="H158" s="233">
        <v>758285.11499999999</v>
      </c>
      <c r="I158" s="233">
        <v>234.44300000000001</v>
      </c>
      <c r="J158" s="233">
        <v>131.988</v>
      </c>
      <c r="K158" s="233">
        <v>135.89400000000001</v>
      </c>
      <c r="L158" s="233">
        <v>7108.3230000000003</v>
      </c>
      <c r="M158" s="233">
        <v>6050.4639999999999</v>
      </c>
      <c r="N158" s="233">
        <v>53.856000000000002</v>
      </c>
      <c r="O158" s="233">
        <v>44.523000000000003</v>
      </c>
    </row>
    <row r="159" spans="1:15">
      <c r="A159" s="1522" t="s">
        <v>21</v>
      </c>
      <c r="B159" s="233">
        <v>3.5760000000000001</v>
      </c>
      <c r="C159" s="234">
        <v>0.17100000000000001</v>
      </c>
      <c r="D159" s="234">
        <v>0.17599999999999999</v>
      </c>
      <c r="E159" s="233">
        <v>2475.8270000000002</v>
      </c>
      <c r="F159" s="233">
        <v>269713.90100000001</v>
      </c>
      <c r="G159" s="233">
        <v>2682.1060000000002</v>
      </c>
      <c r="H159" s="233">
        <v>629135.66899999999</v>
      </c>
      <c r="I159" s="233">
        <v>234.56800000000001</v>
      </c>
      <c r="J159" s="233">
        <v>125.999</v>
      </c>
      <c r="K159" s="233">
        <v>129.25899999999999</v>
      </c>
      <c r="L159" s="233">
        <v>6865.0569999999998</v>
      </c>
      <c r="M159" s="233">
        <v>5412.8050000000003</v>
      </c>
      <c r="N159" s="233">
        <v>54.484999999999999</v>
      </c>
      <c r="O159" s="233">
        <v>41.875999999999998</v>
      </c>
    </row>
    <row r="160" spans="1:15">
      <c r="A160" s="1522" t="s">
        <v>22</v>
      </c>
      <c r="B160" s="233">
        <v>3.5579999999999998</v>
      </c>
      <c r="C160" s="234">
        <v>0.16900000000000001</v>
      </c>
      <c r="D160" s="234">
        <v>0.17399999999999999</v>
      </c>
      <c r="E160" s="233">
        <v>2570.65</v>
      </c>
      <c r="F160" s="233">
        <v>277999.913</v>
      </c>
      <c r="G160" s="233">
        <v>2849.9430000000002</v>
      </c>
      <c r="H160" s="233">
        <v>666810.81599999999</v>
      </c>
      <c r="I160" s="233">
        <v>233.97300000000001</v>
      </c>
      <c r="J160" s="233">
        <v>127.22799999999999</v>
      </c>
      <c r="K160" s="233">
        <v>130.435</v>
      </c>
      <c r="L160" s="233">
        <v>6504.9030000000002</v>
      </c>
      <c r="M160" s="233">
        <v>5380.74</v>
      </c>
      <c r="N160" s="233">
        <v>51.128</v>
      </c>
      <c r="O160" s="233">
        <v>41.252000000000002</v>
      </c>
    </row>
    <row r="161" spans="1:15">
      <c r="A161" s="1522" t="s">
        <v>23</v>
      </c>
      <c r="B161" s="233">
        <v>3.5350000000000001</v>
      </c>
      <c r="C161" s="234">
        <v>0.16800000000000001</v>
      </c>
      <c r="D161" s="234">
        <v>0.17299999999999999</v>
      </c>
      <c r="E161" s="233">
        <v>2686.7170000000001</v>
      </c>
      <c r="F161" s="233">
        <v>282995.21100000001</v>
      </c>
      <c r="G161" s="233">
        <v>2844.694</v>
      </c>
      <c r="H161" s="233">
        <v>655642.22</v>
      </c>
      <c r="I161" s="233">
        <v>230.47900000000001</v>
      </c>
      <c r="J161" s="233">
        <v>144.149</v>
      </c>
      <c r="K161" s="233">
        <v>148.56100000000001</v>
      </c>
      <c r="L161" s="233">
        <v>6809.5169999999998</v>
      </c>
      <c r="M161" s="233">
        <v>5611.1610000000001</v>
      </c>
      <c r="N161" s="233">
        <v>47.24</v>
      </c>
      <c r="O161" s="233">
        <v>37.770000000000003</v>
      </c>
    </row>
    <row r="162" spans="1:15">
      <c r="A162" s="1522" t="s">
        <v>24</v>
      </c>
      <c r="B162" s="233">
        <v>3.512</v>
      </c>
      <c r="C162" s="234">
        <v>0.16800000000000001</v>
      </c>
      <c r="D162" s="234">
        <v>0.17399999999999999</v>
      </c>
      <c r="E162" s="233">
        <v>2773.7629999999999</v>
      </c>
      <c r="F162" s="233">
        <v>310978.13799999998</v>
      </c>
      <c r="G162" s="233">
        <v>2979.806</v>
      </c>
      <c r="H162" s="233">
        <v>733963.00399999996</v>
      </c>
      <c r="I162" s="233">
        <v>246.31200000000001</v>
      </c>
      <c r="J162" s="233">
        <v>149.745</v>
      </c>
      <c r="K162" s="233">
        <v>154.32</v>
      </c>
      <c r="L162" s="233">
        <v>7251.59</v>
      </c>
      <c r="M162" s="233">
        <v>5858.5829999999996</v>
      </c>
      <c r="N162" s="233">
        <v>48.426000000000002</v>
      </c>
      <c r="O162" s="233">
        <v>37.963999999999999</v>
      </c>
    </row>
    <row r="163" spans="1:15">
      <c r="A163" s="1522" t="s">
        <v>25</v>
      </c>
      <c r="B163" s="233">
        <v>3.4889999999999999</v>
      </c>
      <c r="C163" s="234">
        <v>0.17</v>
      </c>
      <c r="D163" s="234">
        <v>0.17499999999999999</v>
      </c>
      <c r="E163" s="233">
        <v>2806.07</v>
      </c>
      <c r="F163" s="233">
        <v>290470.68900000001</v>
      </c>
      <c r="G163" s="233">
        <v>2792.9969999999998</v>
      </c>
      <c r="H163" s="233">
        <v>649184.18599999999</v>
      </c>
      <c r="I163" s="233">
        <v>232.43299999999999</v>
      </c>
      <c r="J163" s="233">
        <v>158.89699999999999</v>
      </c>
      <c r="K163" s="233">
        <v>162.96100000000001</v>
      </c>
      <c r="L163" s="233">
        <v>7191.4740000000002</v>
      </c>
      <c r="M163" s="233">
        <v>5772.1350000000002</v>
      </c>
      <c r="N163" s="233">
        <v>45.259</v>
      </c>
      <c r="O163" s="233">
        <v>35.42</v>
      </c>
    </row>
    <row r="164" spans="1:15">
      <c r="A164" s="1522" t="s">
        <v>26</v>
      </c>
      <c r="B164" s="233">
        <v>3.4780000000000002</v>
      </c>
      <c r="C164" s="234">
        <v>0.16500000000000001</v>
      </c>
      <c r="D164" s="234">
        <v>0.17</v>
      </c>
      <c r="E164" s="233">
        <v>2936.26</v>
      </c>
      <c r="F164" s="233">
        <v>308063.592</v>
      </c>
      <c r="G164" s="233">
        <v>2824.6410000000001</v>
      </c>
      <c r="H164" s="233">
        <v>659357.38800000004</v>
      </c>
      <c r="I164" s="233">
        <v>233.43100000000001</v>
      </c>
      <c r="J164" s="233">
        <v>155.94399999999999</v>
      </c>
      <c r="K164" s="233">
        <v>159.45500000000001</v>
      </c>
      <c r="L164" s="233">
        <v>7089.6769999999997</v>
      </c>
      <c r="M164" s="233">
        <v>5547.8469999999998</v>
      </c>
      <c r="N164" s="233">
        <v>45.463000000000001</v>
      </c>
      <c r="O164" s="233">
        <v>34.792999999999999</v>
      </c>
    </row>
    <row r="165" spans="1:15">
      <c r="A165" s="1522" t="s">
        <v>27</v>
      </c>
      <c r="B165" s="233">
        <v>3.4590000000000001</v>
      </c>
      <c r="C165" s="234">
        <v>0.16500000000000001</v>
      </c>
      <c r="D165" s="234">
        <v>0.17</v>
      </c>
      <c r="E165" s="233">
        <v>3012.27</v>
      </c>
      <c r="F165" s="233">
        <v>309207.03499999997</v>
      </c>
      <c r="G165" s="233">
        <v>2876.6149999999998</v>
      </c>
      <c r="H165" s="233">
        <v>672104.97600000002</v>
      </c>
      <c r="I165" s="233">
        <v>233.64400000000001</v>
      </c>
      <c r="J165" s="233">
        <v>167.16</v>
      </c>
      <c r="K165" s="233">
        <v>170.96700000000001</v>
      </c>
      <c r="L165" s="233">
        <v>7389.6210000000001</v>
      </c>
      <c r="M165" s="233">
        <v>5837.433</v>
      </c>
      <c r="N165" s="233">
        <v>44.207000000000001</v>
      </c>
      <c r="O165" s="233">
        <v>34.143999999999998</v>
      </c>
    </row>
    <row r="166" spans="1:15">
      <c r="A166" s="1522" t="s">
        <v>28</v>
      </c>
      <c r="B166" s="233">
        <v>3.4470000000000001</v>
      </c>
      <c r="C166" s="234">
        <v>0.16600000000000001</v>
      </c>
      <c r="D166" s="234">
        <v>0.17100000000000001</v>
      </c>
      <c r="E166" s="233">
        <v>3384.5149999999999</v>
      </c>
      <c r="F166" s="233">
        <v>334247.266</v>
      </c>
      <c r="G166" s="233">
        <v>3130.2130000000002</v>
      </c>
      <c r="H166" s="233">
        <v>722353.35900000005</v>
      </c>
      <c r="I166" s="233">
        <v>230.768</v>
      </c>
      <c r="J166" s="233">
        <v>192.65799999999999</v>
      </c>
      <c r="K166" s="233">
        <v>197.238</v>
      </c>
      <c r="L166" s="233">
        <v>8009.9229999999998</v>
      </c>
      <c r="M166" s="233">
        <v>6414.9390000000003</v>
      </c>
      <c r="N166" s="233">
        <v>41.576000000000001</v>
      </c>
      <c r="O166" s="233">
        <v>32.524000000000001</v>
      </c>
    </row>
    <row r="167" spans="1:15">
      <c r="A167" s="1522" t="s">
        <v>29</v>
      </c>
      <c r="B167" s="233">
        <v>3.4180000000000001</v>
      </c>
      <c r="C167" s="234">
        <v>0.16600000000000001</v>
      </c>
      <c r="D167" s="234">
        <v>0.17</v>
      </c>
      <c r="E167" s="233">
        <v>3674.1239999999998</v>
      </c>
      <c r="F167" s="233">
        <v>381244.80499999999</v>
      </c>
      <c r="G167" s="233">
        <v>3631.9360000000001</v>
      </c>
      <c r="H167" s="233">
        <v>853717.27099999995</v>
      </c>
      <c r="I167" s="233">
        <v>235.05799999999999</v>
      </c>
      <c r="J167" s="233">
        <v>204.67400000000001</v>
      </c>
      <c r="K167" s="233">
        <v>209.387</v>
      </c>
      <c r="L167" s="233">
        <v>9122.0820000000003</v>
      </c>
      <c r="M167" s="233">
        <v>7142.7560000000003</v>
      </c>
      <c r="N167" s="233">
        <v>44.569000000000003</v>
      </c>
      <c r="O167" s="233">
        <v>34.113</v>
      </c>
    </row>
    <row r="168" spans="1:15">
      <c r="A168" s="1522" t="s">
        <v>2812</v>
      </c>
      <c r="B168" s="260">
        <f t="shared" ref="B168:O168" si="9">AVERAGE(B169:B180)</f>
        <v>3.3787499999999997</v>
      </c>
      <c r="C168" s="261">
        <f t="shared" si="9"/>
        <v>0.14458333333333337</v>
      </c>
      <c r="D168" s="261">
        <f t="shared" si="9"/>
        <v>0.14824999999999999</v>
      </c>
      <c r="E168" s="260">
        <f t="shared" si="9"/>
        <v>4192.1573333333336</v>
      </c>
      <c r="F168" s="260">
        <f t="shared" si="9"/>
        <v>384286.29725</v>
      </c>
      <c r="G168" s="260">
        <f t="shared" si="9"/>
        <v>3551.9205000000002</v>
      </c>
      <c r="H168" s="260">
        <f t="shared" si="9"/>
        <v>842997.35375000013</v>
      </c>
      <c r="I168" s="260">
        <f t="shared" si="9"/>
        <v>236.96275</v>
      </c>
      <c r="J168" s="260">
        <f t="shared" si="9"/>
        <v>232.36483333333334</v>
      </c>
      <c r="K168" s="260">
        <f t="shared" si="9"/>
        <v>238.07666666666668</v>
      </c>
      <c r="L168" s="260">
        <f t="shared" si="9"/>
        <v>8606.4674166666664</v>
      </c>
      <c r="M168" s="260">
        <f t="shared" si="9"/>
        <v>6958.845166666666</v>
      </c>
      <c r="N168" s="260">
        <f t="shared" si="9"/>
        <v>37.219500000000004</v>
      </c>
      <c r="O168" s="260">
        <f t="shared" si="9"/>
        <v>29.348749999999999</v>
      </c>
    </row>
    <row r="169" spans="1:15">
      <c r="A169" s="1522" t="s">
        <v>18</v>
      </c>
      <c r="B169" s="233">
        <v>3.4049999999999998</v>
      </c>
      <c r="C169" s="234">
        <v>0.16500000000000001</v>
      </c>
      <c r="D169" s="234">
        <v>0.16900000000000001</v>
      </c>
      <c r="E169" s="233">
        <v>3282.5369999999998</v>
      </c>
      <c r="F169" s="233">
        <v>298560.01199999999</v>
      </c>
      <c r="G169" s="233">
        <v>2852.712</v>
      </c>
      <c r="H169" s="233">
        <v>637080.55200000003</v>
      </c>
      <c r="I169" s="233">
        <v>223.32499999999999</v>
      </c>
      <c r="J169" s="233">
        <v>200.80199999999999</v>
      </c>
      <c r="K169" s="233">
        <v>205.47499999999999</v>
      </c>
      <c r="L169" s="233">
        <v>7776.6570000000002</v>
      </c>
      <c r="M169" s="233">
        <v>6385.9960000000001</v>
      </c>
      <c r="N169" s="233">
        <v>38.728000000000002</v>
      </c>
      <c r="O169" s="233">
        <v>31.079000000000001</v>
      </c>
    </row>
    <row r="170" spans="1:15">
      <c r="A170" s="1522" t="s">
        <v>19</v>
      </c>
      <c r="B170" s="233">
        <v>3.3940000000000001</v>
      </c>
      <c r="C170" s="234">
        <v>0.16</v>
      </c>
      <c r="D170" s="234">
        <v>0.16400000000000001</v>
      </c>
      <c r="E170" s="233">
        <v>3327.4670000000001</v>
      </c>
      <c r="F170" s="233">
        <v>322226.55800000002</v>
      </c>
      <c r="G170" s="233">
        <v>3128.9960000000001</v>
      </c>
      <c r="H170" s="233">
        <v>735208.75</v>
      </c>
      <c r="I170" s="233">
        <v>234.96600000000001</v>
      </c>
      <c r="J170" s="233">
        <v>195.36799999999999</v>
      </c>
      <c r="K170" s="233">
        <v>199.785</v>
      </c>
      <c r="L170" s="233">
        <v>7172.8249999999998</v>
      </c>
      <c r="M170" s="233">
        <v>5843.6440000000002</v>
      </c>
      <c r="N170" s="233">
        <v>36.713999999999999</v>
      </c>
      <c r="O170" s="233">
        <v>29.25</v>
      </c>
    </row>
    <row r="171" spans="1:15">
      <c r="A171" s="1522" t="s">
        <v>20</v>
      </c>
      <c r="B171" s="233">
        <v>3.3919999999999999</v>
      </c>
      <c r="C171" s="234">
        <v>0.153</v>
      </c>
      <c r="D171" s="234">
        <v>0.156</v>
      </c>
      <c r="E171" s="233">
        <v>3923.9169999999999</v>
      </c>
      <c r="F171" s="233">
        <v>366630.03399999999</v>
      </c>
      <c r="G171" s="233">
        <v>3605.634</v>
      </c>
      <c r="H171" s="233">
        <v>822936.95600000001</v>
      </c>
      <c r="I171" s="233">
        <v>228.23599999999999</v>
      </c>
      <c r="J171" s="233">
        <v>204.292</v>
      </c>
      <c r="K171" s="233">
        <v>208.56399999999999</v>
      </c>
      <c r="L171" s="233">
        <v>8375.5259999999998</v>
      </c>
      <c r="M171" s="233">
        <v>6811.29</v>
      </c>
      <c r="N171" s="233">
        <v>40.997999999999998</v>
      </c>
      <c r="O171" s="233">
        <v>32.658000000000001</v>
      </c>
    </row>
    <row r="172" spans="1:15">
      <c r="A172" s="1522" t="s">
        <v>21</v>
      </c>
      <c r="B172" s="233">
        <v>3.3940000000000001</v>
      </c>
      <c r="C172" s="234">
        <v>0.14899999999999999</v>
      </c>
      <c r="D172" s="234">
        <v>0.152</v>
      </c>
      <c r="E172" s="233">
        <v>3694.6329999999998</v>
      </c>
      <c r="F172" s="233">
        <v>344493.353</v>
      </c>
      <c r="G172" s="233">
        <v>3274.1750000000002</v>
      </c>
      <c r="H172" s="233">
        <v>758997.64099999995</v>
      </c>
      <c r="I172" s="233">
        <v>231.81299999999999</v>
      </c>
      <c r="J172" s="233">
        <v>191.02199999999999</v>
      </c>
      <c r="K172" s="233">
        <v>194.77600000000001</v>
      </c>
      <c r="L172" s="233">
        <v>7537.9179999999997</v>
      </c>
      <c r="M172" s="233">
        <v>5796.9319999999998</v>
      </c>
      <c r="N172" s="233">
        <v>39.460999999999999</v>
      </c>
      <c r="O172" s="233">
        <v>29.762</v>
      </c>
    </row>
    <row r="173" spans="1:15">
      <c r="A173" s="1522" t="s">
        <v>22</v>
      </c>
      <c r="B173" s="233">
        <v>3.3959999999999999</v>
      </c>
      <c r="C173" s="234">
        <v>0.14699999999999999</v>
      </c>
      <c r="D173" s="234">
        <v>0.151</v>
      </c>
      <c r="E173" s="233">
        <v>4060.9850000000001</v>
      </c>
      <c r="F173" s="233">
        <v>369678.16399999999</v>
      </c>
      <c r="G173" s="233">
        <v>3616.2919999999999</v>
      </c>
      <c r="H173" s="233">
        <v>816240.87899999996</v>
      </c>
      <c r="I173" s="233">
        <v>225.71199999999999</v>
      </c>
      <c r="J173" s="233">
        <v>211.471</v>
      </c>
      <c r="K173" s="233">
        <v>217.179</v>
      </c>
      <c r="L173" s="233">
        <v>7993.9629999999997</v>
      </c>
      <c r="M173" s="233">
        <v>6471.4059999999999</v>
      </c>
      <c r="N173" s="233">
        <v>37.802</v>
      </c>
      <c r="O173" s="233">
        <v>29.797999999999998</v>
      </c>
    </row>
    <row r="174" spans="1:15">
      <c r="A174" s="1522" t="s">
        <v>23</v>
      </c>
      <c r="B174" s="233">
        <v>3.395</v>
      </c>
      <c r="C174" s="234">
        <v>0.14399999999999999</v>
      </c>
      <c r="D174" s="234">
        <v>0.14799999999999999</v>
      </c>
      <c r="E174" s="233">
        <v>4196.3239999999996</v>
      </c>
      <c r="F174" s="233">
        <v>399815.61599999998</v>
      </c>
      <c r="G174" s="233">
        <v>3611.9870000000001</v>
      </c>
      <c r="H174" s="233">
        <v>893213.66099999996</v>
      </c>
      <c r="I174" s="233">
        <v>247.291</v>
      </c>
      <c r="J174" s="233">
        <v>234.077</v>
      </c>
      <c r="K174" s="233">
        <v>239.73</v>
      </c>
      <c r="L174" s="233">
        <v>8784.4439999999995</v>
      </c>
      <c r="M174" s="233">
        <v>7019.3149999999996</v>
      </c>
      <c r="N174" s="233">
        <v>37.527999999999999</v>
      </c>
      <c r="O174" s="233">
        <v>29.28</v>
      </c>
    </row>
    <row r="175" spans="1:15">
      <c r="A175" s="1522" t="s">
        <v>24</v>
      </c>
      <c r="B175" s="233">
        <v>3.3849999999999998</v>
      </c>
      <c r="C175" s="903">
        <v>0.14399999999999999</v>
      </c>
      <c r="D175" s="234">
        <v>0.14699999999999999</v>
      </c>
      <c r="E175" s="233">
        <v>4077.95</v>
      </c>
      <c r="F175" s="233">
        <v>400457.91499999998</v>
      </c>
      <c r="G175" s="233">
        <v>3513.8449999999998</v>
      </c>
      <c r="H175" s="233">
        <v>906436.23499999999</v>
      </c>
      <c r="I175" s="233">
        <v>257.96100000000001</v>
      </c>
      <c r="J175" s="233">
        <v>225.047</v>
      </c>
      <c r="K175" s="233">
        <v>230.47399999999999</v>
      </c>
      <c r="L175" s="233">
        <v>8466.3709999999992</v>
      </c>
      <c r="M175" s="233">
        <v>6757.6980000000003</v>
      </c>
      <c r="N175" s="233">
        <v>37.619999999999997</v>
      </c>
      <c r="O175" s="233">
        <v>29.321000000000002</v>
      </c>
    </row>
    <row r="176" spans="1:15">
      <c r="A176" s="1522" t="s">
        <v>25</v>
      </c>
      <c r="B176" s="233">
        <v>3.3690000000000002</v>
      </c>
      <c r="C176" s="903">
        <v>0.14099999999999999</v>
      </c>
      <c r="D176" s="234">
        <v>0.14499999999999999</v>
      </c>
      <c r="E176" s="233">
        <v>4431.9549999999999</v>
      </c>
      <c r="F176" s="233">
        <v>404804.58100000001</v>
      </c>
      <c r="G176" s="233">
        <v>3599.2660000000001</v>
      </c>
      <c r="H176" s="233">
        <v>861493.75300000003</v>
      </c>
      <c r="I176" s="233">
        <v>239.35300000000001</v>
      </c>
      <c r="J176" s="233">
        <v>256.96199999999999</v>
      </c>
      <c r="K176" s="233">
        <v>263.49200000000002</v>
      </c>
      <c r="L176" s="233">
        <v>9278.1540000000005</v>
      </c>
      <c r="M176" s="233">
        <v>7436.6880000000001</v>
      </c>
      <c r="N176" s="233">
        <v>36.106999999999999</v>
      </c>
      <c r="O176" s="233">
        <v>28.224</v>
      </c>
    </row>
    <row r="177" spans="1:15">
      <c r="A177" s="1522" t="s">
        <v>26</v>
      </c>
      <c r="B177" s="233">
        <v>3.367</v>
      </c>
      <c r="C177" s="903">
        <v>0.13700000000000001</v>
      </c>
      <c r="D177" s="234">
        <v>0.14099999999999999</v>
      </c>
      <c r="E177" s="233">
        <v>4426.4629999999997</v>
      </c>
      <c r="F177" s="233">
        <v>393349.89399999997</v>
      </c>
      <c r="G177" s="233">
        <v>3524.17</v>
      </c>
      <c r="H177" s="233">
        <v>839955.05799999996</v>
      </c>
      <c r="I177" s="233">
        <v>238.34100000000001</v>
      </c>
      <c r="J177" s="233">
        <v>252.148</v>
      </c>
      <c r="K177" s="233">
        <v>258.59699999999998</v>
      </c>
      <c r="L177" s="233">
        <v>8823.223</v>
      </c>
      <c r="M177" s="233">
        <v>7004.4319999999998</v>
      </c>
      <c r="N177" s="233">
        <v>34.991999999999997</v>
      </c>
      <c r="O177" s="233">
        <v>27.085999999999999</v>
      </c>
    </row>
    <row r="178" spans="1:15">
      <c r="A178" s="1522" t="s">
        <v>27</v>
      </c>
      <c r="B178" s="233">
        <v>3.3650000000000002</v>
      </c>
      <c r="C178" s="903">
        <v>0.13500000000000001</v>
      </c>
      <c r="D178" s="234">
        <v>0.13900000000000001</v>
      </c>
      <c r="E178" s="233">
        <v>4653.1679999999997</v>
      </c>
      <c r="F178" s="233">
        <v>408922.64899999998</v>
      </c>
      <c r="G178" s="233">
        <v>3833.3470000000002</v>
      </c>
      <c r="H178" s="233">
        <v>913016.98699999996</v>
      </c>
      <c r="I178" s="233">
        <v>238.17699999999999</v>
      </c>
      <c r="J178" s="233">
        <v>259.67899999999997</v>
      </c>
      <c r="K178" s="233">
        <v>266.45699999999999</v>
      </c>
      <c r="L178" s="233">
        <v>9140.3590000000004</v>
      </c>
      <c r="M178" s="233">
        <v>7474.1229999999996</v>
      </c>
      <c r="N178" s="233">
        <v>35.198999999999998</v>
      </c>
      <c r="O178" s="233">
        <v>28.05</v>
      </c>
    </row>
    <row r="179" spans="1:15">
      <c r="A179" s="1522" t="s">
        <v>28</v>
      </c>
      <c r="B179" s="233">
        <v>3.3530000000000002</v>
      </c>
      <c r="C179" s="903">
        <v>0.13200000000000001</v>
      </c>
      <c r="D179" s="234">
        <v>0.13500000000000001</v>
      </c>
      <c r="E179" s="233">
        <v>4887.18</v>
      </c>
      <c r="F179" s="233">
        <v>417519.02500000002</v>
      </c>
      <c r="G179" s="233">
        <v>3768.4430000000002</v>
      </c>
      <c r="H179" s="233">
        <v>880603.55599999998</v>
      </c>
      <c r="I179" s="233">
        <v>233.678</v>
      </c>
      <c r="J179" s="233">
        <v>272.71499999999997</v>
      </c>
      <c r="K179" s="233">
        <v>279.72199999999998</v>
      </c>
      <c r="L179" s="233">
        <v>9716.1959999999999</v>
      </c>
      <c r="M179" s="233">
        <v>8117.7830000000004</v>
      </c>
      <c r="N179" s="233">
        <v>35.628</v>
      </c>
      <c r="O179" s="233">
        <v>29.021000000000001</v>
      </c>
    </row>
    <row r="180" spans="1:15">
      <c r="A180" s="1522" t="s">
        <v>29</v>
      </c>
      <c r="B180" s="233">
        <v>3.33</v>
      </c>
      <c r="C180" s="903">
        <v>0.128</v>
      </c>
      <c r="D180" s="234">
        <v>0.13200000000000001</v>
      </c>
      <c r="E180" s="233">
        <v>5343.3090000000002</v>
      </c>
      <c r="F180" s="233">
        <v>484977.766</v>
      </c>
      <c r="G180" s="233">
        <v>4294.1790000000001</v>
      </c>
      <c r="H180" s="233">
        <v>1050784.2169999999</v>
      </c>
      <c r="I180" s="233">
        <v>244.7</v>
      </c>
      <c r="J180" s="233">
        <v>284.79500000000002</v>
      </c>
      <c r="K180" s="233">
        <v>292.66899999999998</v>
      </c>
      <c r="L180" s="233">
        <v>10211.973</v>
      </c>
      <c r="M180" s="233">
        <v>8386.8349999999991</v>
      </c>
      <c r="N180" s="233">
        <v>35.856999999999999</v>
      </c>
      <c r="O180" s="233">
        <v>28.655999999999999</v>
      </c>
    </row>
    <row r="181" spans="1:15">
      <c r="A181" s="1522" t="s">
        <v>3500</v>
      </c>
      <c r="B181" s="260">
        <f>AVERAGE(B182:B193)</f>
        <v>3.2964166666666661</v>
      </c>
      <c r="C181" s="261">
        <f t="shared" ref="C181:O181" si="10">AVERAGE(C182:C193)</f>
        <v>0.12425000000000004</v>
      </c>
      <c r="D181" s="261">
        <f t="shared" si="10"/>
        <v>0.12808333333333335</v>
      </c>
      <c r="E181" s="260">
        <f t="shared" si="10"/>
        <v>6532.3792500000009</v>
      </c>
      <c r="F181" s="260">
        <f t="shared" si="10"/>
        <v>496061.46533333341</v>
      </c>
      <c r="G181" s="260">
        <f t="shared" si="10"/>
        <v>4377.1187499999996</v>
      </c>
      <c r="H181" s="260">
        <f t="shared" si="10"/>
        <v>1003396.5681666667</v>
      </c>
      <c r="I181" s="260">
        <f t="shared" si="10"/>
        <v>229.06874999999999</v>
      </c>
      <c r="J181" s="260">
        <f t="shared" si="10"/>
        <v>424.16974999999996</v>
      </c>
      <c r="K181" s="260">
        <f t="shared" si="10"/>
        <v>437.53783333333331</v>
      </c>
      <c r="L181" s="260">
        <f t="shared" si="10"/>
        <v>11885.536666666667</v>
      </c>
      <c r="M181" s="260">
        <f t="shared" si="10"/>
        <v>10286.862833333333</v>
      </c>
      <c r="N181" s="260">
        <f t="shared" si="10"/>
        <v>28.313083333333335</v>
      </c>
      <c r="O181" s="260">
        <f t="shared" si="10"/>
        <v>23.747416666666666</v>
      </c>
    </row>
    <row r="182" spans="1:15">
      <c r="A182" s="1522" t="s">
        <v>18</v>
      </c>
      <c r="B182" s="233">
        <v>3.2909999999999999</v>
      </c>
      <c r="C182" s="903">
        <v>0.127</v>
      </c>
      <c r="D182" s="234">
        <v>0.13</v>
      </c>
      <c r="E182" s="233">
        <v>5103.4340000000002</v>
      </c>
      <c r="F182" s="233">
        <v>385038.16100000002</v>
      </c>
      <c r="G182" s="233">
        <v>3478.3159999999998</v>
      </c>
      <c r="H182" s="233">
        <v>749111.83200000005</v>
      </c>
      <c r="I182" s="233">
        <v>215.36600000000001</v>
      </c>
      <c r="J182" s="233">
        <v>303.10199999999998</v>
      </c>
      <c r="K182" s="233">
        <v>311.67</v>
      </c>
      <c r="L182" s="233">
        <v>9304.6170000000002</v>
      </c>
      <c r="M182" s="233">
        <v>8083.7179999999998</v>
      </c>
      <c r="N182" s="233">
        <v>30.698</v>
      </c>
      <c r="O182" s="233">
        <v>25.937000000000001</v>
      </c>
    </row>
    <row r="183" spans="1:15">
      <c r="A183" s="1522" t="s">
        <v>19</v>
      </c>
      <c r="B183" s="233">
        <v>3.2959999999999998</v>
      </c>
      <c r="C183" s="903">
        <v>0.128</v>
      </c>
      <c r="D183" s="234">
        <v>0.13200000000000001</v>
      </c>
      <c r="E183" s="233">
        <v>5198.2309999999998</v>
      </c>
      <c r="F183" s="233">
        <v>432891.054</v>
      </c>
      <c r="G183" s="233">
        <v>3851.0610000000001</v>
      </c>
      <c r="H183" s="233">
        <v>919203.24699999997</v>
      </c>
      <c r="I183" s="233">
        <v>238.68799999999999</v>
      </c>
      <c r="J183" s="233">
        <v>304.27199999999999</v>
      </c>
      <c r="K183" s="233">
        <v>313.14400000000001</v>
      </c>
      <c r="L183" s="233">
        <v>9546.348</v>
      </c>
      <c r="M183" s="233">
        <v>8097.34</v>
      </c>
      <c r="N183" s="233">
        <v>31.373999999999999</v>
      </c>
      <c r="O183" s="233">
        <v>25.858000000000001</v>
      </c>
    </row>
    <row r="184" spans="1:15">
      <c r="A184" s="1522" t="s">
        <v>20</v>
      </c>
      <c r="B184" s="233">
        <v>3.3039999999999998</v>
      </c>
      <c r="C184" s="903">
        <v>0.126</v>
      </c>
      <c r="D184" s="234">
        <v>0.129</v>
      </c>
      <c r="E184" s="233">
        <v>6049.55</v>
      </c>
      <c r="F184" s="233">
        <v>491658.08600000001</v>
      </c>
      <c r="G184" s="233">
        <v>4437.2569999999996</v>
      </c>
      <c r="H184" s="233">
        <v>1024050.81</v>
      </c>
      <c r="I184" s="233">
        <v>230.785</v>
      </c>
      <c r="J184" s="233">
        <v>364.30799999999999</v>
      </c>
      <c r="K184" s="233">
        <v>374.81200000000001</v>
      </c>
      <c r="L184" s="233">
        <v>11301.66</v>
      </c>
      <c r="M184" s="233">
        <v>9816.3610000000008</v>
      </c>
      <c r="N184" s="233">
        <v>31.021999999999998</v>
      </c>
      <c r="O184" s="233">
        <v>26.19</v>
      </c>
    </row>
    <row r="185" spans="1:15">
      <c r="A185" s="1522" t="s">
        <v>21</v>
      </c>
      <c r="B185" s="233">
        <v>3.3039999999999998</v>
      </c>
      <c r="C185" s="903">
        <v>0.126</v>
      </c>
      <c r="D185" s="234">
        <v>0.129</v>
      </c>
      <c r="E185" s="233">
        <v>5616.2129999999997</v>
      </c>
      <c r="F185" s="233">
        <v>437463.58299999998</v>
      </c>
      <c r="G185" s="233">
        <v>3969.248</v>
      </c>
      <c r="H185" s="233">
        <v>901542.88100000005</v>
      </c>
      <c r="I185" s="233">
        <v>227.13200000000001</v>
      </c>
      <c r="J185" s="233">
        <v>345.19600000000003</v>
      </c>
      <c r="K185" s="233">
        <v>355.34100000000001</v>
      </c>
      <c r="L185" s="233">
        <v>10116.566999999999</v>
      </c>
      <c r="M185" s="233">
        <v>8652.0419999999995</v>
      </c>
      <c r="N185" s="233">
        <v>29.306999999999999</v>
      </c>
      <c r="O185" s="233">
        <v>24.349</v>
      </c>
    </row>
    <row r="186" spans="1:15">
      <c r="A186" s="1522" t="s">
        <v>22</v>
      </c>
      <c r="B186" s="233">
        <v>3.3039999999999998</v>
      </c>
      <c r="C186" s="903">
        <v>0.126</v>
      </c>
      <c r="D186" s="234">
        <v>0.129</v>
      </c>
      <c r="E186" s="233">
        <v>6771.2849999999999</v>
      </c>
      <c r="F186" s="233">
        <v>512305.48800000001</v>
      </c>
      <c r="G186" s="233">
        <v>4688.777</v>
      </c>
      <c r="H186" s="233">
        <v>1041175.921</v>
      </c>
      <c r="I186" s="233">
        <v>222.05699999999999</v>
      </c>
      <c r="J186" s="233">
        <v>431.05</v>
      </c>
      <c r="K186" s="233">
        <v>443.68200000000002</v>
      </c>
      <c r="L186" s="233">
        <v>12239.073</v>
      </c>
      <c r="M186" s="233">
        <v>10581.99</v>
      </c>
      <c r="N186" s="233">
        <v>28.393999999999998</v>
      </c>
      <c r="O186" s="233">
        <v>23.85</v>
      </c>
    </row>
    <row r="187" spans="1:15">
      <c r="A187" s="1522" t="s">
        <v>23</v>
      </c>
      <c r="B187" s="233">
        <v>3.294</v>
      </c>
      <c r="C187" s="903">
        <v>0.124</v>
      </c>
      <c r="D187" s="234">
        <v>0.128</v>
      </c>
      <c r="E187" s="233">
        <v>5924.5450000000001</v>
      </c>
      <c r="F187" s="233">
        <v>464899.14</v>
      </c>
      <c r="G187" s="233">
        <v>4085.5349999999999</v>
      </c>
      <c r="H187" s="233">
        <v>969805.47400000005</v>
      </c>
      <c r="I187" s="233">
        <v>237.375</v>
      </c>
      <c r="J187" s="233">
        <v>389.005</v>
      </c>
      <c r="K187" s="233">
        <v>400.79700000000003</v>
      </c>
      <c r="L187" s="233">
        <v>10996.956</v>
      </c>
      <c r="M187" s="233">
        <v>9471.1329999999998</v>
      </c>
      <c r="N187" s="233">
        <v>28.268999999999998</v>
      </c>
      <c r="O187" s="233">
        <v>23.631</v>
      </c>
    </row>
    <row r="188" spans="1:15">
      <c r="A188" s="1522" t="s">
        <v>24</v>
      </c>
      <c r="B188" s="233">
        <v>3.294</v>
      </c>
      <c r="C188" s="903">
        <v>0.124</v>
      </c>
      <c r="D188" s="234">
        <v>0.128</v>
      </c>
      <c r="E188" s="233">
        <v>7294.8819999999996</v>
      </c>
      <c r="F188" s="233">
        <v>551354.95600000001</v>
      </c>
      <c r="G188" s="233">
        <v>4811.1940000000004</v>
      </c>
      <c r="H188" s="233">
        <v>1110804.8130000001</v>
      </c>
      <c r="I188" s="233">
        <v>230.87899999999999</v>
      </c>
      <c r="J188" s="233">
        <v>492.43900000000002</v>
      </c>
      <c r="K188" s="233">
        <v>507.26299999999998</v>
      </c>
      <c r="L188" s="233">
        <v>13543.364</v>
      </c>
      <c r="M188" s="233">
        <v>11969.558999999999</v>
      </c>
      <c r="N188" s="233">
        <v>27.503</v>
      </c>
      <c r="O188" s="233">
        <v>23.596</v>
      </c>
    </row>
    <row r="189" spans="1:15">
      <c r="A189" s="1522" t="s">
        <v>25</v>
      </c>
      <c r="B189" s="233">
        <v>3.294</v>
      </c>
      <c r="C189" s="903">
        <v>0.13</v>
      </c>
      <c r="D189" s="234">
        <v>0.128</v>
      </c>
      <c r="E189" s="233">
        <v>7009.7839999999997</v>
      </c>
      <c r="F189" s="233">
        <v>516827.81599999999</v>
      </c>
      <c r="G189" s="233">
        <v>4351.4089999999997</v>
      </c>
      <c r="H189" s="233">
        <v>997486.36699999997</v>
      </c>
      <c r="I189" s="233">
        <v>229.233</v>
      </c>
      <c r="J189" s="233">
        <v>503.56</v>
      </c>
      <c r="K189" s="233">
        <v>520.79300000000001</v>
      </c>
      <c r="L189" s="233">
        <v>13119.11</v>
      </c>
      <c r="M189" s="233">
        <v>11537.877</v>
      </c>
      <c r="N189" s="233">
        <v>26.053000000000001</v>
      </c>
      <c r="O189" s="233">
        <v>22.154</v>
      </c>
    </row>
    <row r="190" spans="1:15">
      <c r="A190" s="1522" t="s">
        <v>26</v>
      </c>
      <c r="B190" s="233">
        <v>3.294</v>
      </c>
      <c r="C190" s="903">
        <v>0.12</v>
      </c>
      <c r="D190" s="234">
        <v>0.128</v>
      </c>
      <c r="E190" s="233">
        <v>6712.7139999999999</v>
      </c>
      <c r="F190" s="233">
        <v>490310.766</v>
      </c>
      <c r="G190" s="233">
        <v>4234.3680000000004</v>
      </c>
      <c r="H190" s="233">
        <v>968456.85</v>
      </c>
      <c r="I190" s="233">
        <v>228.71299999999999</v>
      </c>
      <c r="J190" s="233">
        <v>462.834</v>
      </c>
      <c r="K190" s="233">
        <v>478.81200000000001</v>
      </c>
      <c r="L190" s="233">
        <v>11929.569</v>
      </c>
      <c r="M190" s="233">
        <v>10490.868</v>
      </c>
      <c r="N190" s="233">
        <v>25.774999999999999</v>
      </c>
      <c r="O190" s="233">
        <v>21.91</v>
      </c>
    </row>
    <row r="191" spans="1:15">
      <c r="A191" s="1522" t="s">
        <v>27</v>
      </c>
      <c r="B191" s="233">
        <v>3.294</v>
      </c>
      <c r="C191" s="903">
        <v>0.12</v>
      </c>
      <c r="D191" s="234">
        <v>0.128</v>
      </c>
      <c r="E191" s="233">
        <v>7449.5680000000002</v>
      </c>
      <c r="F191" s="233">
        <v>544721.34499999997</v>
      </c>
      <c r="G191" s="233">
        <v>4933.3419999999996</v>
      </c>
      <c r="H191" s="233">
        <v>1095331.68</v>
      </c>
      <c r="I191" s="233">
        <v>222.02600000000001</v>
      </c>
      <c r="J191" s="233">
        <v>496.35199999999998</v>
      </c>
      <c r="K191" s="233">
        <v>513.17499999999995</v>
      </c>
      <c r="L191" s="233">
        <v>12782.322</v>
      </c>
      <c r="M191" s="233">
        <v>11295.735000000001</v>
      </c>
      <c r="N191" s="233">
        <v>25.753</v>
      </c>
      <c r="O191" s="233">
        <v>22.010999999999999</v>
      </c>
    </row>
    <row r="192" spans="1:15">
      <c r="A192" s="1522" t="s">
        <v>28</v>
      </c>
      <c r="B192" s="233">
        <v>3.294</v>
      </c>
      <c r="C192" s="903">
        <v>0.12</v>
      </c>
      <c r="D192" s="234">
        <v>0.128</v>
      </c>
      <c r="E192" s="233">
        <v>7326.598</v>
      </c>
      <c r="F192" s="233">
        <v>527343.46200000006</v>
      </c>
      <c r="G192" s="233">
        <v>4550.88</v>
      </c>
      <c r="H192" s="233">
        <v>1027033.574</v>
      </c>
      <c r="I192" s="233">
        <v>225.678</v>
      </c>
      <c r="J192" s="233">
        <v>499.529</v>
      </c>
      <c r="K192" s="233">
        <v>516.28200000000004</v>
      </c>
      <c r="L192" s="233">
        <v>13928.794</v>
      </c>
      <c r="M192" s="233">
        <v>11639.204</v>
      </c>
      <c r="N192" s="233">
        <v>27.884</v>
      </c>
      <c r="O192" s="233">
        <v>22.544</v>
      </c>
    </row>
    <row r="193" spans="1:15">
      <c r="A193" s="1522" t="s">
        <v>29</v>
      </c>
      <c r="B193" s="233">
        <v>3.294</v>
      </c>
      <c r="C193" s="903">
        <v>0.12</v>
      </c>
      <c r="D193" s="234">
        <v>0.12</v>
      </c>
      <c r="E193" s="233">
        <v>7931.7470000000003</v>
      </c>
      <c r="F193" s="233">
        <v>597923.72699999996</v>
      </c>
      <c r="G193" s="233">
        <v>5134.0379999999996</v>
      </c>
      <c r="H193" s="233">
        <v>1236755.3689999999</v>
      </c>
      <c r="I193" s="233">
        <v>240.893</v>
      </c>
      <c r="J193" s="233">
        <v>498.39</v>
      </c>
      <c r="K193" s="233">
        <v>514.68299999999999</v>
      </c>
      <c r="L193" s="233">
        <v>13818.06</v>
      </c>
      <c r="M193" s="233">
        <v>11806.527</v>
      </c>
      <c r="N193" s="233">
        <v>27.725000000000001</v>
      </c>
      <c r="O193" s="233">
        <v>22.939</v>
      </c>
    </row>
    <row r="194" spans="1:15">
      <c r="A194" s="1522" t="s">
        <v>3971</v>
      </c>
      <c r="B194" s="260">
        <f>AVERAGE(B195:B206)</f>
        <v>3.2070833333333333</v>
      </c>
      <c r="C194" s="261">
        <f t="shared" ref="C194:O194" si="11">AVERAGE(C195:C206)</f>
        <v>0.10358333333333332</v>
      </c>
      <c r="D194" s="261">
        <f t="shared" si="11"/>
        <v>0.10641666666666666</v>
      </c>
      <c r="E194" s="260">
        <f t="shared" si="11"/>
        <v>8605.5454166666677</v>
      </c>
      <c r="F194" s="260">
        <f t="shared" si="11"/>
        <v>572129.67299999995</v>
      </c>
      <c r="G194" s="260">
        <f t="shared" si="11"/>
        <v>4630.4988333333331</v>
      </c>
      <c r="H194" s="260">
        <f>AVERAGE(H195:H206)</f>
        <v>1092008.1786666668</v>
      </c>
      <c r="I194" s="260">
        <f t="shared" si="11"/>
        <v>235.64975000000001</v>
      </c>
      <c r="J194" s="260">
        <f t="shared" si="11"/>
        <v>518.86741666666671</v>
      </c>
      <c r="K194" s="260">
        <f t="shared" si="11"/>
        <v>533.49675000000013</v>
      </c>
      <c r="L194" s="260">
        <f t="shared" si="11"/>
        <v>12067.258583333334</v>
      </c>
      <c r="M194" s="260">
        <f t="shared" si="11"/>
        <v>10549.74325</v>
      </c>
      <c r="N194" s="260">
        <f t="shared" si="11"/>
        <v>23.305083333333332</v>
      </c>
      <c r="O194" s="260">
        <f t="shared" si="11"/>
        <v>19.811499999999999</v>
      </c>
    </row>
    <row r="195" spans="1:15">
      <c r="A195" s="1522" t="s">
        <v>18</v>
      </c>
      <c r="B195" s="233">
        <v>3.294</v>
      </c>
      <c r="C195" s="903">
        <v>0.12</v>
      </c>
      <c r="D195" s="234">
        <v>0.12</v>
      </c>
      <c r="E195" s="233">
        <v>7425.5259999999998</v>
      </c>
      <c r="F195" s="233">
        <v>478608.35800000001</v>
      </c>
      <c r="G195" s="233">
        <v>4206.4769999999999</v>
      </c>
      <c r="H195" s="233">
        <v>901404.56799999997</v>
      </c>
      <c r="I195" s="233">
        <v>214.29</v>
      </c>
      <c r="J195" s="233">
        <v>485.971</v>
      </c>
      <c r="K195" s="233">
        <v>501.61700000000002</v>
      </c>
      <c r="L195" s="233">
        <v>12039.179</v>
      </c>
      <c r="M195" s="233">
        <v>10817.314</v>
      </c>
      <c r="N195" s="233">
        <v>24.773</v>
      </c>
      <c r="O195" s="233">
        <v>21.565000000000001</v>
      </c>
    </row>
    <row r="196" spans="1:15">
      <c r="A196" s="1522" t="s">
        <v>19</v>
      </c>
      <c r="B196" s="233">
        <v>3.294</v>
      </c>
      <c r="C196" s="903">
        <v>0.11</v>
      </c>
      <c r="D196" s="234">
        <v>0.12</v>
      </c>
      <c r="E196" s="233">
        <v>7509.4650000000001</v>
      </c>
      <c r="F196" s="233">
        <v>533240.11300000001</v>
      </c>
      <c r="G196" s="233">
        <v>4482.5209999999997</v>
      </c>
      <c r="H196" s="233">
        <v>1074049.879</v>
      </c>
      <c r="I196" s="233">
        <v>239.608</v>
      </c>
      <c r="J196" s="233">
        <v>477.95499999999998</v>
      </c>
      <c r="K196" s="233">
        <v>492.81599999999997</v>
      </c>
      <c r="L196" s="233">
        <v>11812.852999999999</v>
      </c>
      <c r="M196" s="233">
        <v>10227.028</v>
      </c>
      <c r="N196" s="233">
        <v>24.715</v>
      </c>
      <c r="O196" s="233">
        <v>20.751999999999999</v>
      </c>
    </row>
    <row r="197" spans="1:15">
      <c r="A197" s="1522" t="s">
        <v>20</v>
      </c>
      <c r="B197" s="233">
        <v>3.2320000000000002</v>
      </c>
      <c r="C197" s="903">
        <v>0.111</v>
      </c>
      <c r="D197" s="234">
        <v>0.115</v>
      </c>
      <c r="E197" s="233">
        <v>7799.7650000000003</v>
      </c>
      <c r="F197" s="233">
        <v>548262.91599999997</v>
      </c>
      <c r="G197" s="233">
        <v>4617.634</v>
      </c>
      <c r="H197" s="233">
        <v>1085951.581</v>
      </c>
      <c r="I197" s="233">
        <v>235.17500000000001</v>
      </c>
      <c r="J197" s="233">
        <v>484.04500000000002</v>
      </c>
      <c r="K197" s="233">
        <v>498.94200000000001</v>
      </c>
      <c r="L197" s="233">
        <v>11993.877</v>
      </c>
      <c r="M197" s="233">
        <v>10699.200999999999</v>
      </c>
      <c r="N197" s="233">
        <v>24.777999999999999</v>
      </c>
      <c r="O197" s="233">
        <v>21.443999999999999</v>
      </c>
    </row>
    <row r="198" spans="1:15">
      <c r="A198" s="1522" t="s">
        <v>21</v>
      </c>
      <c r="B198" s="233">
        <v>3.2320000000000002</v>
      </c>
      <c r="C198" s="903">
        <v>0.111</v>
      </c>
      <c r="D198" s="234">
        <v>0.11</v>
      </c>
      <c r="E198" s="233">
        <v>8543.1830000000009</v>
      </c>
      <c r="F198" s="233">
        <v>566843.41399999999</v>
      </c>
      <c r="G198" s="233">
        <v>4835.0410000000002</v>
      </c>
      <c r="H198" s="233">
        <v>1082654.625</v>
      </c>
      <c r="I198" s="233">
        <v>223.91800000000001</v>
      </c>
      <c r="J198" s="233">
        <v>549.58699999999999</v>
      </c>
      <c r="K198" s="233">
        <v>565.19500000000005</v>
      </c>
      <c r="L198" s="233">
        <v>12564.261</v>
      </c>
      <c r="M198" s="233">
        <v>10966.153</v>
      </c>
      <c r="N198" s="233">
        <v>22.861000000000001</v>
      </c>
      <c r="O198" s="233">
        <v>19.402000000000001</v>
      </c>
    </row>
    <row r="199" spans="1:15">
      <c r="A199" s="1522" t="s">
        <v>22</v>
      </c>
      <c r="B199" s="233">
        <v>3.2530000000000001</v>
      </c>
      <c r="C199" s="903">
        <v>0.108</v>
      </c>
      <c r="D199" s="234">
        <v>0.111</v>
      </c>
      <c r="E199" s="233">
        <v>8715.5010000000002</v>
      </c>
      <c r="F199" s="233">
        <v>571768.91899999999</v>
      </c>
      <c r="G199" s="233">
        <v>4900.5379999999996</v>
      </c>
      <c r="H199" s="233">
        <v>1118615.202</v>
      </c>
      <c r="I199" s="233">
        <v>228.26400000000001</v>
      </c>
      <c r="J199" s="233">
        <v>560.84400000000005</v>
      </c>
      <c r="K199" s="233">
        <v>576.29999999999995</v>
      </c>
      <c r="L199" s="233">
        <v>12587.772999999999</v>
      </c>
      <c r="M199" s="233">
        <v>10890.998</v>
      </c>
      <c r="N199" s="233">
        <v>22.443999999999999</v>
      </c>
      <c r="O199" s="233">
        <v>18.898</v>
      </c>
    </row>
    <row r="200" spans="1:15">
      <c r="A200" s="1522" t="s">
        <v>23</v>
      </c>
      <c r="B200" s="233">
        <v>3.2280000000000002</v>
      </c>
      <c r="C200" s="903">
        <v>0.104</v>
      </c>
      <c r="D200" s="234">
        <v>0.107</v>
      </c>
      <c r="E200" s="233">
        <v>8162.2759999999998</v>
      </c>
      <c r="F200" s="233">
        <v>543035.60800000001</v>
      </c>
      <c r="G200" s="233">
        <v>4476.59</v>
      </c>
      <c r="H200" s="233">
        <v>1054932.8</v>
      </c>
      <c r="I200" s="233">
        <v>235.655</v>
      </c>
      <c r="J200" s="233">
        <v>516.87599999999998</v>
      </c>
      <c r="K200" s="233">
        <v>531.76700000000005</v>
      </c>
      <c r="L200" s="233">
        <v>11591.135</v>
      </c>
      <c r="M200" s="233">
        <v>10243.954</v>
      </c>
      <c r="N200" s="233">
        <v>22.425000000000001</v>
      </c>
      <c r="O200" s="233">
        <v>19.263999999999999</v>
      </c>
    </row>
    <row r="201" spans="1:15">
      <c r="A201" s="1522" t="s">
        <v>24</v>
      </c>
      <c r="B201" s="233">
        <v>3.2090000000000001</v>
      </c>
      <c r="C201" s="903">
        <v>0.10299999999999999</v>
      </c>
      <c r="D201" s="234">
        <v>0.106</v>
      </c>
      <c r="E201" s="233">
        <v>9378.8909999999996</v>
      </c>
      <c r="F201" s="233">
        <v>636926.91700000002</v>
      </c>
      <c r="G201" s="233">
        <v>4982.6840000000002</v>
      </c>
      <c r="H201" s="233">
        <v>1221037.835</v>
      </c>
      <c r="I201" s="233">
        <v>245.05600000000001</v>
      </c>
      <c r="J201" s="233">
        <v>603.66800000000001</v>
      </c>
      <c r="K201" s="233">
        <v>620.66800000000001</v>
      </c>
      <c r="L201" s="233">
        <v>13840.946</v>
      </c>
      <c r="M201" s="233">
        <v>12118.194</v>
      </c>
      <c r="N201" s="233">
        <v>22.928000000000001</v>
      </c>
      <c r="O201" s="233">
        <v>19.524000000000001</v>
      </c>
    </row>
    <row r="202" spans="1:15">
      <c r="A202" s="1522" t="s">
        <v>25</v>
      </c>
      <c r="B202" s="233">
        <v>3.1909999999999998</v>
      </c>
      <c r="C202" s="903">
        <v>0.10100000000000001</v>
      </c>
      <c r="D202" s="234">
        <v>0.104</v>
      </c>
      <c r="E202" s="233">
        <v>8747.3690000000006</v>
      </c>
      <c r="F202" s="233">
        <v>577299.24</v>
      </c>
      <c r="G202" s="233">
        <v>4414.0360000000001</v>
      </c>
      <c r="H202" s="233">
        <v>1063765.3189999999</v>
      </c>
      <c r="I202" s="233">
        <v>240.99600000000001</v>
      </c>
      <c r="J202" s="233">
        <v>547.28399999999999</v>
      </c>
      <c r="K202" s="233">
        <v>562.75699999999995</v>
      </c>
      <c r="L202" s="233">
        <v>12456.932000000001</v>
      </c>
      <c r="M202" s="233">
        <v>10881.843999999999</v>
      </c>
      <c r="N202" s="233">
        <v>22.760999999999999</v>
      </c>
      <c r="O202" s="233">
        <v>19.337</v>
      </c>
    </row>
    <row r="203" spans="1:15">
      <c r="A203" s="1522" t="s">
        <v>26</v>
      </c>
      <c r="B203" s="233">
        <v>3.1779999999999999</v>
      </c>
      <c r="C203" s="903">
        <v>9.9000000000000005E-2</v>
      </c>
      <c r="D203" s="234">
        <v>0.10199999999999999</v>
      </c>
      <c r="E203" s="233">
        <v>9008.8150000000005</v>
      </c>
      <c r="F203" s="233">
        <v>588875.68200000003</v>
      </c>
      <c r="G203" s="233">
        <v>4637.3230000000003</v>
      </c>
      <c r="H203" s="233">
        <v>1102470.6680000001</v>
      </c>
      <c r="I203" s="233">
        <v>237.739</v>
      </c>
      <c r="J203" s="233">
        <v>537.34299999999996</v>
      </c>
      <c r="K203" s="233">
        <v>552.36699999999996</v>
      </c>
      <c r="L203" s="233">
        <v>12168.791999999999</v>
      </c>
      <c r="M203" s="233">
        <v>10698.588</v>
      </c>
      <c r="N203" s="233">
        <v>22.646000000000001</v>
      </c>
      <c r="O203" s="233">
        <v>19.369</v>
      </c>
    </row>
    <row r="204" spans="1:15">
      <c r="A204" s="1522" t="s">
        <v>27</v>
      </c>
      <c r="B204" s="233">
        <v>3.14</v>
      </c>
      <c r="C204" s="903">
        <v>9.5000000000000001E-2</v>
      </c>
      <c r="D204" s="234">
        <v>9.7000000000000003E-2</v>
      </c>
      <c r="E204" s="233">
        <v>9619.732</v>
      </c>
      <c r="F204" s="233">
        <v>605320.81499999994</v>
      </c>
      <c r="G204" s="233">
        <v>4724.3580000000002</v>
      </c>
      <c r="H204" s="233">
        <v>1113115.254</v>
      </c>
      <c r="I204" s="233">
        <v>235.61199999999999</v>
      </c>
      <c r="J204" s="233">
        <v>554.63599999999997</v>
      </c>
      <c r="K204" s="233">
        <v>569.524</v>
      </c>
      <c r="L204" s="233">
        <v>12438.352000000001</v>
      </c>
      <c r="M204" s="233">
        <v>10850.518</v>
      </c>
      <c r="N204" s="233">
        <v>22.425999999999998</v>
      </c>
      <c r="O204" s="233">
        <v>19.052</v>
      </c>
    </row>
    <row r="205" spans="1:15">
      <c r="A205" s="1522" t="s">
        <v>28</v>
      </c>
      <c r="B205" s="233">
        <v>3.14</v>
      </c>
      <c r="C205" s="903">
        <v>9.5000000000000001E-2</v>
      </c>
      <c r="D205" s="234">
        <v>9.7000000000000003E-2</v>
      </c>
      <c r="E205" s="233">
        <v>8522.6049999999996</v>
      </c>
      <c r="F205" s="233">
        <v>554056.75600000005</v>
      </c>
      <c r="G205" s="233">
        <v>4258.973</v>
      </c>
      <c r="H205" s="233">
        <v>1027505.444</v>
      </c>
      <c r="I205" s="233">
        <v>241.25700000000001</v>
      </c>
      <c r="J205" s="233">
        <v>432.767</v>
      </c>
      <c r="K205" s="233">
        <v>443.60500000000002</v>
      </c>
      <c r="L205" s="233">
        <v>10008.790999999999</v>
      </c>
      <c r="M205" s="233">
        <v>8603.6569999999992</v>
      </c>
      <c r="N205" s="233">
        <v>23.126999999999999</v>
      </c>
      <c r="O205" s="233">
        <v>19.395</v>
      </c>
    </row>
    <row r="206" spans="1:15" ht="13.15" customHeight="1">
      <c r="A206" s="1522" t="s">
        <v>29</v>
      </c>
      <c r="B206" s="233">
        <v>3.0939999999999999</v>
      </c>
      <c r="C206" s="903">
        <v>8.5999999999999993E-2</v>
      </c>
      <c r="D206" s="234">
        <v>8.7999999999999995E-2</v>
      </c>
      <c r="E206" s="233">
        <v>9833.4169999999995</v>
      </c>
      <c r="F206" s="233">
        <v>661317.33799999999</v>
      </c>
      <c r="G206" s="233">
        <v>5029.8109999999997</v>
      </c>
      <c r="H206" s="233">
        <v>1258594.969</v>
      </c>
      <c r="I206" s="233">
        <v>250.227</v>
      </c>
      <c r="J206" s="233">
        <v>475.43299999999999</v>
      </c>
      <c r="K206" s="233">
        <v>486.40300000000002</v>
      </c>
      <c r="L206" s="233">
        <v>11304.212</v>
      </c>
      <c r="M206" s="233">
        <v>9599.4699999999993</v>
      </c>
      <c r="N206" s="233">
        <v>23.777000000000001</v>
      </c>
      <c r="O206" s="233">
        <v>19.736000000000001</v>
      </c>
    </row>
    <row r="207" spans="1:15" ht="13.15" customHeight="1">
      <c r="A207" s="1522" t="s">
        <v>4202</v>
      </c>
      <c r="B207" s="261">
        <f>AVERAGE(B208:B219)</f>
        <v>2.9751666666666665</v>
      </c>
      <c r="C207" s="261">
        <f t="shared" ref="C207:O207" si="12">AVERAGE(C208:C219)</f>
        <v>7.0250000000000007E-2</v>
      </c>
      <c r="D207" s="261">
        <f t="shared" si="12"/>
        <v>7.1750000000000022E-2</v>
      </c>
      <c r="E207" s="261">
        <f t="shared" si="12"/>
        <v>9989.9236666666657</v>
      </c>
      <c r="F207" s="261">
        <f t="shared" si="12"/>
        <v>599157.10399999993</v>
      </c>
      <c r="G207" s="261">
        <f t="shared" si="12"/>
        <v>4318.592333333334</v>
      </c>
      <c r="H207" s="261">
        <f t="shared" si="12"/>
        <v>1098421.2478333332</v>
      </c>
      <c r="I207" s="261">
        <f t="shared" si="12"/>
        <v>254.48858333333331</v>
      </c>
      <c r="J207" s="261">
        <f t="shared" si="12"/>
        <v>432.05541666666664</v>
      </c>
      <c r="K207" s="261">
        <f t="shared" si="12"/>
        <v>440.57908333333324</v>
      </c>
      <c r="L207" s="261">
        <f t="shared" si="12"/>
        <v>8471.3687499999996</v>
      </c>
      <c r="M207" s="261">
        <f t="shared" si="12"/>
        <v>7395.5182499999983</v>
      </c>
      <c r="N207" s="261">
        <f t="shared" si="12"/>
        <v>19.598416666666669</v>
      </c>
      <c r="O207" s="261">
        <f t="shared" si="12"/>
        <v>16.781083333333335</v>
      </c>
    </row>
    <row r="208" spans="1:15" ht="13.15" customHeight="1">
      <c r="A208" s="1522" t="s">
        <v>18</v>
      </c>
      <c r="B208" s="233">
        <v>3.0720000000000001</v>
      </c>
      <c r="C208" s="903">
        <v>8.4000000000000005E-2</v>
      </c>
      <c r="D208" s="234">
        <v>8.5999999999999993E-2</v>
      </c>
      <c r="E208" s="233">
        <v>9001.7209999999995</v>
      </c>
      <c r="F208" s="233">
        <v>518756.70600000001</v>
      </c>
      <c r="G208" s="233">
        <v>4093.989</v>
      </c>
      <c r="H208" s="233">
        <v>900657.54500000004</v>
      </c>
      <c r="I208" s="233">
        <v>219.995</v>
      </c>
      <c r="J208" s="233">
        <v>467.33100000000002</v>
      </c>
      <c r="K208" s="233">
        <v>478.08600000000001</v>
      </c>
      <c r="L208" s="233">
        <v>10072.962</v>
      </c>
      <c r="M208" s="233">
        <v>8834.6970000000001</v>
      </c>
      <c r="N208" s="233">
        <v>21.553999999999998</v>
      </c>
      <c r="O208" s="233">
        <v>18.478999999999999</v>
      </c>
    </row>
    <row r="209" spans="1:15" ht="13.15" customHeight="1">
      <c r="A209" s="1522" t="s">
        <v>19</v>
      </c>
      <c r="B209" s="233">
        <v>3.0459999999999998</v>
      </c>
      <c r="C209" s="903">
        <v>8.2000000000000003E-2</v>
      </c>
      <c r="D209" s="234">
        <v>8.4000000000000005E-2</v>
      </c>
      <c r="E209" s="233">
        <v>8456.2109999999993</v>
      </c>
      <c r="F209" s="233">
        <v>542157.01599999995</v>
      </c>
      <c r="G209" s="233">
        <v>4069.2260000000001</v>
      </c>
      <c r="H209" s="233">
        <v>1012575.1310000001</v>
      </c>
      <c r="I209" s="233">
        <v>248.83699999999999</v>
      </c>
      <c r="J209" s="233">
        <v>407.13600000000002</v>
      </c>
      <c r="K209" s="233">
        <v>416.28100000000001</v>
      </c>
      <c r="L209" s="233">
        <v>8877.2180000000008</v>
      </c>
      <c r="M209" s="233">
        <v>7554.7889999999998</v>
      </c>
      <c r="N209" s="233">
        <v>21.803999999999998</v>
      </c>
      <c r="O209" s="233">
        <v>18.148</v>
      </c>
    </row>
    <row r="210" spans="1:15" ht="13.15" customHeight="1">
      <c r="A210" s="1522" t="s">
        <v>20</v>
      </c>
      <c r="B210" s="233">
        <v>3.032</v>
      </c>
      <c r="C210" s="903">
        <v>8.1000000000000003E-2</v>
      </c>
      <c r="D210" s="234">
        <v>8.3000000000000004E-2</v>
      </c>
      <c r="E210" s="233">
        <v>7686.8029999999999</v>
      </c>
      <c r="F210" s="233">
        <v>499645.85499999998</v>
      </c>
      <c r="G210" s="233">
        <v>3706.9</v>
      </c>
      <c r="H210" s="233">
        <v>953090.77099999995</v>
      </c>
      <c r="I210" s="233">
        <v>257.113</v>
      </c>
      <c r="J210" s="233">
        <v>367.29399999999998</v>
      </c>
      <c r="K210" s="233">
        <v>375.57499999999999</v>
      </c>
      <c r="L210" s="233">
        <v>8255.9930000000004</v>
      </c>
      <c r="M210" s="233">
        <v>7191.4210000000003</v>
      </c>
      <c r="N210" s="233">
        <v>22.478000000000002</v>
      </c>
      <c r="O210" s="233">
        <v>19.148</v>
      </c>
    </row>
    <row r="211" spans="1:15" ht="13.15" customHeight="1">
      <c r="A211" s="1522" t="s">
        <v>21</v>
      </c>
      <c r="B211" s="233">
        <v>3.0139999999999998</v>
      </c>
      <c r="C211" s="903">
        <v>7.9000000000000001E-2</v>
      </c>
      <c r="D211" s="234">
        <v>8.1000000000000003E-2</v>
      </c>
      <c r="E211" s="233">
        <v>11624.53</v>
      </c>
      <c r="F211" s="233">
        <v>685466.09100000001</v>
      </c>
      <c r="G211" s="233">
        <v>5295.6369999999997</v>
      </c>
      <c r="H211" s="233">
        <v>1267179.0460000001</v>
      </c>
      <c r="I211" s="233">
        <v>239.28700000000001</v>
      </c>
      <c r="J211" s="233">
        <v>555.90300000000002</v>
      </c>
      <c r="K211" s="233">
        <v>568.18499999999995</v>
      </c>
      <c r="L211" s="233">
        <v>11068.12</v>
      </c>
      <c r="M211" s="233">
        <v>9663.1219999999994</v>
      </c>
      <c r="N211" s="233">
        <v>19.91</v>
      </c>
      <c r="O211" s="233">
        <v>17.007000000000001</v>
      </c>
    </row>
    <row r="212" spans="1:15" ht="13.15" customHeight="1">
      <c r="A212" s="1522" t="s">
        <v>22</v>
      </c>
      <c r="B212" s="233">
        <v>2.9969999999999999</v>
      </c>
      <c r="C212" s="903">
        <v>7.5999999999999998E-2</v>
      </c>
      <c r="D212" s="234">
        <v>7.8E-2</v>
      </c>
      <c r="E212" s="233">
        <v>10206.299999999999</v>
      </c>
      <c r="F212" s="233">
        <v>609529.89300000004</v>
      </c>
      <c r="G212" s="233">
        <v>4506.9589999999998</v>
      </c>
      <c r="H212" s="233">
        <v>1119727.821</v>
      </c>
      <c r="I212" s="233">
        <v>248.44399999999999</v>
      </c>
      <c r="J212" s="233">
        <v>462.72500000000002</v>
      </c>
      <c r="K212" s="233">
        <v>472.59300000000002</v>
      </c>
      <c r="L212" s="233">
        <v>8957.4549999999999</v>
      </c>
      <c r="M212" s="233">
        <v>7698.4350000000004</v>
      </c>
      <c r="N212" s="233">
        <v>19.358000000000001</v>
      </c>
      <c r="O212" s="233">
        <v>16.29</v>
      </c>
    </row>
    <row r="213" spans="1:15" ht="13.15" customHeight="1">
      <c r="A213" s="1522" t="s">
        <v>23</v>
      </c>
      <c r="B213" s="233">
        <v>2.9969999999999999</v>
      </c>
      <c r="C213" s="903">
        <v>7.0000000000000007E-2</v>
      </c>
      <c r="D213" s="234">
        <v>7.0000000000000007E-2</v>
      </c>
      <c r="E213" s="233">
        <v>10319.574000000001</v>
      </c>
      <c r="F213" s="233">
        <v>627057.56400000001</v>
      </c>
      <c r="G213" s="233">
        <v>4531.6670000000004</v>
      </c>
      <c r="H213" s="233">
        <v>1160813.7849999999</v>
      </c>
      <c r="I213" s="233">
        <v>256.15600000000001</v>
      </c>
      <c r="J213" s="233">
        <v>463.16699999999997</v>
      </c>
      <c r="K213" s="233">
        <v>472.68599999999998</v>
      </c>
      <c r="L213" s="233">
        <v>8684.2649999999994</v>
      </c>
      <c r="M213" s="233">
        <v>7732</v>
      </c>
      <c r="N213" s="233">
        <v>18.75</v>
      </c>
      <c r="O213" s="233">
        <v>16.358000000000001</v>
      </c>
    </row>
    <row r="214" spans="1:15" ht="13.15" customHeight="1">
      <c r="A214" s="1522" t="s">
        <v>24</v>
      </c>
      <c r="B214" s="233">
        <v>2.976</v>
      </c>
      <c r="C214" s="903">
        <v>6.9000000000000006E-2</v>
      </c>
      <c r="D214" s="234">
        <v>7.0999999999999994E-2</v>
      </c>
      <c r="E214" s="233">
        <v>10396.192999999999</v>
      </c>
      <c r="F214" s="233">
        <v>637449.098</v>
      </c>
      <c r="G214" s="233">
        <v>4328.2910000000002</v>
      </c>
      <c r="H214" s="233">
        <v>1164050.3589999999</v>
      </c>
      <c r="I214" s="233">
        <v>268.94</v>
      </c>
      <c r="J214" s="233">
        <v>466.62599999999998</v>
      </c>
      <c r="K214" s="233">
        <v>475.78800000000001</v>
      </c>
      <c r="L214" s="233">
        <v>8930.5769999999993</v>
      </c>
      <c r="M214" s="233">
        <v>7744.4610000000002</v>
      </c>
      <c r="N214" s="233">
        <v>19.138999999999999</v>
      </c>
      <c r="O214" s="233">
        <v>16.277000000000001</v>
      </c>
    </row>
    <row r="215" spans="1:15" ht="13.15" customHeight="1">
      <c r="A215" s="1522" t="s">
        <v>25</v>
      </c>
      <c r="B215" s="233">
        <v>2.9569999999999999</v>
      </c>
      <c r="C215" s="903">
        <v>6.7000000000000004E-2</v>
      </c>
      <c r="D215" s="234">
        <v>6.9000000000000006E-2</v>
      </c>
      <c r="E215" s="233">
        <v>9702.3050000000003</v>
      </c>
      <c r="F215" s="233">
        <v>586086.6</v>
      </c>
      <c r="G215" s="233">
        <v>3970.8890000000001</v>
      </c>
      <c r="H215" s="233">
        <v>1053954.5349999999</v>
      </c>
      <c r="I215" s="233">
        <v>265.42</v>
      </c>
      <c r="J215" s="233">
        <v>413.02800000000002</v>
      </c>
      <c r="K215" s="233">
        <v>420.84199999999998</v>
      </c>
      <c r="L215" s="233">
        <v>7818.1289999999999</v>
      </c>
      <c r="M215" s="233">
        <v>6792.598</v>
      </c>
      <c r="N215" s="233">
        <v>18.928999999999998</v>
      </c>
      <c r="O215" s="233">
        <v>16.140999999999998</v>
      </c>
    </row>
    <row r="216" spans="1:15" ht="13.15" customHeight="1">
      <c r="A216" s="1522" t="s">
        <v>26</v>
      </c>
      <c r="B216" s="233">
        <v>2.9319999999999999</v>
      </c>
      <c r="C216" s="903">
        <v>6.3E-2</v>
      </c>
      <c r="D216" s="234">
        <v>6.4000000000000001E-2</v>
      </c>
      <c r="E216" s="233">
        <v>10644.184999999999</v>
      </c>
      <c r="F216" s="233">
        <v>624891.27800000005</v>
      </c>
      <c r="G216" s="233">
        <v>4380.5469999999996</v>
      </c>
      <c r="H216" s="233">
        <v>1121257.2250000001</v>
      </c>
      <c r="I216" s="233">
        <v>255.96299999999999</v>
      </c>
      <c r="J216" s="233">
        <v>415.24700000000001</v>
      </c>
      <c r="K216" s="233">
        <v>421.93200000000002</v>
      </c>
      <c r="L216" s="233">
        <v>7742.4009999999998</v>
      </c>
      <c r="M216" s="233">
        <v>6819.2359999999999</v>
      </c>
      <c r="N216" s="233">
        <v>18.645</v>
      </c>
      <c r="O216" s="233">
        <v>16.161999999999999</v>
      </c>
    </row>
    <row r="217" spans="1:15" ht="13.15" customHeight="1">
      <c r="A217" s="1522" t="s">
        <v>27</v>
      </c>
      <c r="B217" s="233">
        <v>2.9159999999999999</v>
      </c>
      <c r="C217" s="903">
        <v>5.8999999999999997E-2</v>
      </c>
      <c r="D217" s="234">
        <v>0.06</v>
      </c>
      <c r="E217" s="233">
        <v>10592.669</v>
      </c>
      <c r="F217" s="233">
        <v>612109.16599999997</v>
      </c>
      <c r="G217" s="233">
        <v>4364.4059999999999</v>
      </c>
      <c r="H217" s="233">
        <v>1120510.27</v>
      </c>
      <c r="I217" s="233">
        <v>256.738</v>
      </c>
      <c r="J217" s="233">
        <v>391.78399999999999</v>
      </c>
      <c r="K217" s="233">
        <v>398.25700000000001</v>
      </c>
      <c r="L217" s="233">
        <v>6989.3069999999998</v>
      </c>
      <c r="M217" s="233">
        <v>6144.8729999999996</v>
      </c>
      <c r="N217" s="233">
        <v>17.84</v>
      </c>
      <c r="O217" s="233">
        <v>15.429</v>
      </c>
    </row>
    <row r="218" spans="1:15" ht="13.15" customHeight="1">
      <c r="A218" s="1522" t="s">
        <v>28</v>
      </c>
      <c r="B218" s="233">
        <v>2.891</v>
      </c>
      <c r="C218" s="903">
        <v>5.7000000000000002E-2</v>
      </c>
      <c r="D218" s="234">
        <v>5.8000000000000003E-2</v>
      </c>
      <c r="E218" s="233">
        <v>9572.8529999999992</v>
      </c>
      <c r="F218" s="233">
        <v>551634.98899999994</v>
      </c>
      <c r="G218" s="233">
        <v>3884.527</v>
      </c>
      <c r="H218" s="233">
        <v>1018385.8050000001</v>
      </c>
      <c r="I218" s="233">
        <v>262.16500000000002</v>
      </c>
      <c r="J218" s="233">
        <v>348.79</v>
      </c>
      <c r="K218" s="233">
        <v>354.31099999999998</v>
      </c>
      <c r="L218" s="233">
        <v>6318.61</v>
      </c>
      <c r="M218" s="233">
        <v>5616.6310000000003</v>
      </c>
      <c r="N218" s="233">
        <v>18.116</v>
      </c>
      <c r="O218" s="233">
        <v>15.852</v>
      </c>
    </row>
    <row r="219" spans="1:15" ht="13.15" customHeight="1">
      <c r="A219" s="1522" t="s">
        <v>29</v>
      </c>
      <c r="B219" s="233">
        <v>2.8719999999999999</v>
      </c>
      <c r="C219" s="903">
        <v>5.6000000000000001E-2</v>
      </c>
      <c r="D219" s="234">
        <v>5.7000000000000002E-2</v>
      </c>
      <c r="E219" s="233">
        <v>11675.74</v>
      </c>
      <c r="F219" s="233">
        <v>695100.99199999997</v>
      </c>
      <c r="G219" s="233">
        <v>4690.07</v>
      </c>
      <c r="H219" s="233">
        <v>1288852.6810000001</v>
      </c>
      <c r="I219" s="233">
        <v>274.80500000000001</v>
      </c>
      <c r="J219" s="233">
        <v>425.63400000000001</v>
      </c>
      <c r="K219" s="233">
        <v>432.41300000000001</v>
      </c>
      <c r="L219" s="233">
        <v>7941.3879999999999</v>
      </c>
      <c r="M219" s="233">
        <v>6953.9560000000001</v>
      </c>
      <c r="N219" s="233">
        <v>18.658000000000001</v>
      </c>
      <c r="O219" s="233">
        <v>16.082000000000001</v>
      </c>
    </row>
    <row r="220" spans="1:15" ht="13.15" customHeight="1">
      <c r="A220" s="1522" t="s">
        <v>4465</v>
      </c>
      <c r="B220" s="233"/>
      <c r="C220" s="903"/>
      <c r="D220" s="234"/>
      <c r="E220" s="233"/>
      <c r="F220" s="233"/>
      <c r="G220" s="233"/>
      <c r="H220" s="233"/>
      <c r="I220" s="233"/>
      <c r="J220" s="233"/>
      <c r="K220" s="233"/>
      <c r="L220" s="233"/>
      <c r="M220" s="233"/>
      <c r="N220" s="233"/>
      <c r="O220" s="233"/>
    </row>
    <row r="221" spans="1:15" ht="13.15" customHeight="1">
      <c r="A221" s="1522" t="s">
        <v>18</v>
      </c>
      <c r="B221" s="233">
        <v>2.863</v>
      </c>
      <c r="C221" s="903">
        <v>5.6000000000000001E-2</v>
      </c>
      <c r="D221" s="234">
        <v>5.7000000000000002E-2</v>
      </c>
      <c r="E221" s="233">
        <v>9826.41</v>
      </c>
      <c r="F221" s="233">
        <v>506431.24800000002</v>
      </c>
      <c r="G221" s="233">
        <v>3453.038</v>
      </c>
      <c r="H221" s="233">
        <v>850826.929</v>
      </c>
      <c r="I221" s="233">
        <v>246.4</v>
      </c>
      <c r="J221" s="233">
        <v>398.80900000000003</v>
      </c>
      <c r="K221" s="233">
        <v>405.23500000000001</v>
      </c>
      <c r="L221" s="233">
        <v>6721.8069999999998</v>
      </c>
      <c r="M221" s="233">
        <v>6009.0150000000003</v>
      </c>
      <c r="N221" s="233">
        <v>16.855</v>
      </c>
      <c r="O221" s="233">
        <v>14.827999999999999</v>
      </c>
    </row>
    <row r="222" spans="1:15" ht="13.15" customHeight="1">
      <c r="A222" s="1522" t="s">
        <v>19</v>
      </c>
      <c r="B222" s="233">
        <v>2.8570000000000002</v>
      </c>
      <c r="C222" s="903">
        <v>5.5E-2</v>
      </c>
      <c r="D222" s="234">
        <v>5.6000000000000001E-2</v>
      </c>
      <c r="E222" s="233">
        <v>9975.2289999999994</v>
      </c>
      <c r="F222" s="233">
        <v>546163.03700000001</v>
      </c>
      <c r="G222" s="233">
        <v>3761.616</v>
      </c>
      <c r="H222" s="233">
        <v>991767.28399999999</v>
      </c>
      <c r="I222" s="233">
        <v>263.65499999999997</v>
      </c>
      <c r="J222" s="233">
        <v>406.22399999999999</v>
      </c>
      <c r="K222" s="233">
        <v>412.733</v>
      </c>
      <c r="L222" s="233">
        <v>6382.4160000000002</v>
      </c>
      <c r="M222" s="233">
        <v>5627.7629999999999</v>
      </c>
      <c r="N222" s="233">
        <v>15.712</v>
      </c>
      <c r="O222" s="233">
        <v>13.635</v>
      </c>
    </row>
    <row r="223" spans="1:15" ht="13.15" customHeight="1">
      <c r="A223" s="1522" t="s">
        <v>20</v>
      </c>
      <c r="B223" s="233">
        <v>2.863</v>
      </c>
      <c r="C223" s="903">
        <v>5.6000000000000001E-2</v>
      </c>
      <c r="D223" s="234">
        <v>5.7000000000000002E-2</v>
      </c>
      <c r="E223" s="233">
        <v>11630.464</v>
      </c>
      <c r="F223" s="233">
        <v>627853.90500000003</v>
      </c>
      <c r="G223" s="233">
        <v>4337.8559999999998</v>
      </c>
      <c r="H223" s="233">
        <v>1124308.0160000001</v>
      </c>
      <c r="I223" s="233">
        <v>259.185</v>
      </c>
      <c r="J223" s="233">
        <v>480.90699999999998</v>
      </c>
      <c r="K223" s="233">
        <v>488.673</v>
      </c>
      <c r="L223" s="233">
        <v>7566.8490000000002</v>
      </c>
      <c r="M223" s="233">
        <v>6982.6180000000004</v>
      </c>
      <c r="N223" s="233">
        <v>15.734999999999999</v>
      </c>
      <c r="O223" s="233">
        <v>14.289</v>
      </c>
    </row>
    <row r="224" spans="1:15" ht="13.15" customHeight="1">
      <c r="A224" s="1522" t="s">
        <v>21</v>
      </c>
      <c r="B224" s="233">
        <v>2.863</v>
      </c>
      <c r="C224" s="903">
        <v>5.6000000000000001E-2</v>
      </c>
      <c r="D224" s="234">
        <v>7.0000000000000007E-2</v>
      </c>
      <c r="E224" s="233">
        <v>11429.315000000001</v>
      </c>
      <c r="F224" s="233">
        <v>587265.63600000006</v>
      </c>
      <c r="G224" s="233">
        <v>3942.1030000000001</v>
      </c>
      <c r="H224" s="233">
        <v>1021612.099</v>
      </c>
      <c r="I224" s="233">
        <v>259.154</v>
      </c>
      <c r="J224" s="233">
        <v>562.05700000000002</v>
      </c>
      <c r="K224" s="233">
        <v>572.43100000000004</v>
      </c>
      <c r="L224" s="233">
        <v>8034.43</v>
      </c>
      <c r="M224" s="233">
        <v>7138.3609999999999</v>
      </c>
      <c r="N224" s="233">
        <v>14.295</v>
      </c>
      <c r="O224" s="233">
        <v>12.47</v>
      </c>
    </row>
    <row r="225" spans="1:15" ht="13.15" customHeight="1">
      <c r="A225" s="1522" t="s">
        <v>22</v>
      </c>
      <c r="B225" s="233">
        <v>2.8610000000000002</v>
      </c>
      <c r="C225" s="903">
        <v>6.4000000000000001E-2</v>
      </c>
      <c r="D225" s="234">
        <v>6.5000000000000002E-2</v>
      </c>
      <c r="E225" s="233">
        <v>10673.829</v>
      </c>
      <c r="F225" s="233">
        <v>562555.47400000005</v>
      </c>
      <c r="G225" s="233">
        <v>3847.924</v>
      </c>
      <c r="H225" s="233">
        <v>1028653.6409999999</v>
      </c>
      <c r="I225" s="233">
        <v>267.327</v>
      </c>
      <c r="J225" s="233">
        <v>524.71799999999996</v>
      </c>
      <c r="K225" s="233">
        <v>534.39800000000002</v>
      </c>
      <c r="L225" s="233">
        <v>7539.9870000000001</v>
      </c>
      <c r="M225" s="233">
        <v>6696.9229999999998</v>
      </c>
      <c r="N225" s="233">
        <v>14.37</v>
      </c>
      <c r="O225" s="233">
        <v>12.532</v>
      </c>
    </row>
    <row r="226" spans="1:15" ht="13.15" customHeight="1">
      <c r="A226" s="1522" t="s">
        <v>23</v>
      </c>
      <c r="B226" s="233">
        <v>2.8610000000000002</v>
      </c>
      <c r="C226" s="903">
        <v>6.4000000000000001E-2</v>
      </c>
      <c r="D226" s="234">
        <v>6.5000000000000002E-2</v>
      </c>
      <c r="E226" s="233">
        <v>12754.86</v>
      </c>
      <c r="F226" s="233">
        <v>637445.14300000004</v>
      </c>
      <c r="G226" s="233">
        <v>4380.8389999999999</v>
      </c>
      <c r="H226" s="233">
        <v>1144198.041</v>
      </c>
      <c r="I226" s="233">
        <v>261.18200000000002</v>
      </c>
      <c r="J226" s="233">
        <v>662.73099999999999</v>
      </c>
      <c r="K226" s="233">
        <v>674.86</v>
      </c>
      <c r="L226" s="233">
        <v>9050.2289999999994</v>
      </c>
      <c r="M226" s="233">
        <v>8259.2739999999994</v>
      </c>
      <c r="N226" s="233">
        <v>13.656000000000001</v>
      </c>
      <c r="O226" s="233">
        <v>12.238</v>
      </c>
    </row>
    <row r="227" spans="1:15" s="1521" customFormat="1" ht="15.75" customHeight="1">
      <c r="A227" s="2649" t="s">
        <v>4258</v>
      </c>
      <c r="B227" s="2649"/>
      <c r="C227" s="2649"/>
      <c r="D227" s="2649"/>
      <c r="E227" s="2649"/>
      <c r="F227" s="2649"/>
      <c r="G227" s="2649"/>
      <c r="H227" s="2649"/>
      <c r="I227" s="2649"/>
      <c r="J227" s="2649"/>
      <c r="K227" s="2649"/>
      <c r="L227" s="2649"/>
      <c r="M227" s="2649"/>
      <c r="N227" s="2649"/>
      <c r="O227" s="2650"/>
    </row>
    <row r="228" spans="1:15" s="1521" customFormat="1" ht="15.75">
      <c r="A228" s="2651" t="s">
        <v>3347</v>
      </c>
      <c r="B228" s="2652"/>
      <c r="C228" s="2652"/>
      <c r="D228" s="2652"/>
      <c r="E228" s="2652"/>
      <c r="F228" s="2652"/>
      <c r="G228" s="2652"/>
      <c r="H228" s="2652"/>
      <c r="I228" s="2652"/>
      <c r="J228" s="2652"/>
      <c r="K228" s="2652"/>
      <c r="L228" s="2652"/>
      <c r="M228" s="2652"/>
      <c r="N228" s="2652"/>
      <c r="O228" s="2652"/>
    </row>
  </sheetData>
  <mergeCells count="20">
    <mergeCell ref="N8:N9"/>
    <mergeCell ref="O8:O9"/>
    <mergeCell ref="A227:O227"/>
    <mergeCell ref="A228:O228"/>
    <mergeCell ref="A8:A9"/>
    <mergeCell ref="B8:D8"/>
    <mergeCell ref="E8:F8"/>
    <mergeCell ref="G8:H8"/>
    <mergeCell ref="I8:I9"/>
    <mergeCell ref="J8:M8"/>
    <mergeCell ref="A2:O2"/>
    <mergeCell ref="A3:O3"/>
    <mergeCell ref="A6:A7"/>
    <mergeCell ref="B6:D6"/>
    <mergeCell ref="E6:F6"/>
    <mergeCell ref="G6:H6"/>
    <mergeCell ref="I6:I7"/>
    <mergeCell ref="J6:M6"/>
    <mergeCell ref="N6:N7"/>
    <mergeCell ref="O6:O7"/>
  </mergeCells>
  <pageMargins left="0.7" right="0.7" top="0.3" bottom="0.18" header="0.3" footer="0.3"/>
  <pageSetup scale="2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671D-E1E8-4048-9CE5-1E182BF0AAE6}">
  <sheetPr codeName="Sheet52">
    <tabColor rgb="FF92D050"/>
  </sheetPr>
  <dimension ref="A1:P233"/>
  <sheetViews>
    <sheetView showGridLines="0" view="pageBreakPreview" zoomScale="85" zoomScaleSheetLayoutView="85" workbookViewId="0">
      <pane ySplit="12" topLeftCell="A216" activePane="bottomLeft" state="frozen"/>
      <selection activeCell="F40" sqref="F40"/>
      <selection pane="bottomLeft" activeCell="T226" sqref="T226"/>
    </sheetView>
  </sheetViews>
  <sheetFormatPr defaultColWidth="8.85546875" defaultRowHeight="15"/>
  <cols>
    <col min="1" max="1" width="6.28515625" style="1529" customWidth="1"/>
    <col min="2" max="2" width="16.28515625" style="42" customWidth="1"/>
    <col min="3" max="3" width="10.140625" style="42" bestFit="1" customWidth="1"/>
    <col min="4" max="4" width="12.5703125" style="42" customWidth="1"/>
    <col min="5" max="5" width="7.7109375" style="42" customWidth="1"/>
    <col min="6" max="6" width="14.140625" style="42" customWidth="1"/>
    <col min="7" max="7" width="11.140625" style="42" customWidth="1"/>
    <col min="8" max="8" width="9.5703125" style="42" customWidth="1"/>
    <col min="9" max="9" width="8.5703125" style="42" bestFit="1" customWidth="1"/>
    <col min="10" max="10" width="11.7109375" style="42" customWidth="1"/>
    <col min="11" max="11" width="11.5703125" style="42" customWidth="1"/>
    <col min="12" max="12" width="11.85546875" style="42" customWidth="1"/>
    <col min="13" max="16" width="13.7109375" style="1528" customWidth="1"/>
    <col min="17" max="23" width="8.85546875" style="42" customWidth="1"/>
    <col min="24" max="16384" width="8.85546875" style="42"/>
  </cols>
  <sheetData>
    <row r="1" spans="1:16" ht="9" customHeight="1"/>
    <row r="2" spans="1:16" ht="24" customHeight="1">
      <c r="A2" s="2357" t="s">
        <v>3868</v>
      </c>
      <c r="B2" s="2357"/>
      <c r="C2" s="2357"/>
      <c r="D2" s="2357"/>
      <c r="E2" s="2357"/>
      <c r="F2" s="2357"/>
      <c r="G2" s="2357"/>
      <c r="H2" s="2357"/>
      <c r="I2" s="2357"/>
      <c r="J2" s="2357"/>
      <c r="K2" s="2357"/>
      <c r="L2" s="2357"/>
      <c r="M2" s="2357"/>
      <c r="N2" s="2357"/>
      <c r="O2" s="2357"/>
      <c r="P2" s="2357"/>
    </row>
    <row r="3" spans="1:16" ht="28.5" customHeight="1">
      <c r="A3" s="2358" t="s">
        <v>3869</v>
      </c>
      <c r="B3" s="2358"/>
      <c r="C3" s="2358"/>
      <c r="D3" s="2358"/>
      <c r="E3" s="2358"/>
      <c r="F3" s="2358"/>
      <c r="G3" s="2358"/>
      <c r="H3" s="2358"/>
      <c r="I3" s="2358"/>
      <c r="J3" s="2358"/>
      <c r="K3" s="2358"/>
      <c r="L3" s="2358"/>
      <c r="M3" s="2358"/>
      <c r="N3" s="2358"/>
      <c r="O3" s="2358"/>
      <c r="P3" s="2358"/>
    </row>
    <row r="4" spans="1:16" ht="13.5" customHeight="1">
      <c r="A4" s="490"/>
      <c r="B4" s="490"/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</row>
    <row r="5" spans="1:16" ht="13.5" customHeight="1">
      <c r="A5" s="2676"/>
      <c r="B5" s="2676"/>
      <c r="C5" s="2676"/>
      <c r="D5" s="2676"/>
      <c r="E5" s="2676"/>
      <c r="F5" s="2676"/>
      <c r="G5" s="2676"/>
      <c r="H5" s="2676"/>
      <c r="I5" s="2676"/>
      <c r="J5" s="2676"/>
      <c r="K5" s="2676"/>
      <c r="L5" s="2676"/>
      <c r="M5" s="2676"/>
      <c r="N5" s="2676"/>
      <c r="O5" s="2676"/>
      <c r="P5" s="2676"/>
    </row>
    <row r="6" spans="1:16" ht="14.45" customHeight="1">
      <c r="A6" s="2668" t="s">
        <v>182</v>
      </c>
      <c r="B6" s="2671" t="s">
        <v>3756</v>
      </c>
      <c r="C6" s="2677" t="s">
        <v>144</v>
      </c>
      <c r="D6" s="2677"/>
      <c r="E6" s="2677"/>
      <c r="F6" s="2671" t="s">
        <v>3757</v>
      </c>
      <c r="G6" s="2677" t="s">
        <v>144</v>
      </c>
      <c r="H6" s="2677"/>
      <c r="I6" s="2677"/>
      <c r="J6" s="2647" t="s">
        <v>991</v>
      </c>
      <c r="K6" s="2647"/>
      <c r="L6" s="2647"/>
      <c r="M6" s="2678" t="s">
        <v>3746</v>
      </c>
      <c r="N6" s="2679"/>
      <c r="O6" s="2679"/>
      <c r="P6" s="2680"/>
    </row>
    <row r="7" spans="1:16" ht="69" customHeight="1">
      <c r="A7" s="2669"/>
      <c r="B7" s="2672"/>
      <c r="C7" s="2674" t="s">
        <v>992</v>
      </c>
      <c r="D7" s="2674" t="s">
        <v>993</v>
      </c>
      <c r="E7" s="2674" t="s">
        <v>994</v>
      </c>
      <c r="F7" s="2672"/>
      <c r="G7" s="2674" t="s">
        <v>995</v>
      </c>
      <c r="H7" s="2674" t="s">
        <v>1824</v>
      </c>
      <c r="I7" s="2674" t="s">
        <v>996</v>
      </c>
      <c r="J7" s="2674" t="s">
        <v>992</v>
      </c>
      <c r="K7" s="2674" t="s">
        <v>993</v>
      </c>
      <c r="L7" s="2674" t="s">
        <v>994</v>
      </c>
      <c r="M7" s="2678" t="s">
        <v>3747</v>
      </c>
      <c r="N7" s="2680"/>
      <c r="O7" s="2678" t="s">
        <v>3748</v>
      </c>
      <c r="P7" s="2680"/>
    </row>
    <row r="8" spans="1:16" ht="39" customHeight="1">
      <c r="A8" s="2670"/>
      <c r="B8" s="2673"/>
      <c r="C8" s="2674"/>
      <c r="D8" s="2674"/>
      <c r="E8" s="2674"/>
      <c r="F8" s="2673"/>
      <c r="G8" s="2674"/>
      <c r="H8" s="2674"/>
      <c r="I8" s="2674"/>
      <c r="J8" s="2674"/>
      <c r="K8" s="2674"/>
      <c r="L8" s="2674"/>
      <c r="M8" s="1334" t="s">
        <v>3749</v>
      </c>
      <c r="N8" s="1334" t="s">
        <v>3750</v>
      </c>
      <c r="O8" s="1334" t="s">
        <v>3749</v>
      </c>
      <c r="P8" s="1334" t="s">
        <v>3750</v>
      </c>
    </row>
    <row r="9" spans="1:16" ht="22.5" customHeight="1">
      <c r="A9" s="2657" t="s">
        <v>283</v>
      </c>
      <c r="B9" s="2660" t="s">
        <v>3758</v>
      </c>
      <c r="C9" s="1427"/>
      <c r="D9" s="1428" t="s">
        <v>1179</v>
      </c>
      <c r="E9" s="1429"/>
      <c r="F9" s="2660" t="s">
        <v>3759</v>
      </c>
      <c r="G9" s="2663" t="s">
        <v>149</v>
      </c>
      <c r="H9" s="2664"/>
      <c r="I9" s="2665"/>
      <c r="J9" s="2653" t="s">
        <v>1184</v>
      </c>
      <c r="K9" s="2654"/>
      <c r="L9" s="2655"/>
      <c r="M9" s="2666" t="s">
        <v>3751</v>
      </c>
      <c r="N9" s="2667"/>
      <c r="O9" s="2667"/>
      <c r="P9" s="2667"/>
    </row>
    <row r="10" spans="1:16" ht="23.25" customHeight="1">
      <c r="A10" s="2658"/>
      <c r="B10" s="2661"/>
      <c r="C10" s="2675" t="s">
        <v>1175</v>
      </c>
      <c r="D10" s="2675" t="s">
        <v>1180</v>
      </c>
      <c r="E10" s="2675" t="s">
        <v>1181</v>
      </c>
      <c r="F10" s="2661"/>
      <c r="G10" s="2675" t="s">
        <v>1183</v>
      </c>
      <c r="H10" s="2675" t="s">
        <v>1825</v>
      </c>
      <c r="I10" s="2675" t="s">
        <v>1182</v>
      </c>
      <c r="J10" s="2675" t="s">
        <v>1175</v>
      </c>
      <c r="K10" s="2675" t="s">
        <v>1180</v>
      </c>
      <c r="L10" s="2675" t="s">
        <v>1181</v>
      </c>
      <c r="M10" s="2359" t="s">
        <v>3752</v>
      </c>
      <c r="N10" s="2359"/>
      <c r="O10" s="2359" t="s">
        <v>3753</v>
      </c>
      <c r="P10" s="2359"/>
    </row>
    <row r="11" spans="1:16" ht="50.25" customHeight="1">
      <c r="A11" s="2658"/>
      <c r="B11" s="2661"/>
      <c r="C11" s="2675"/>
      <c r="D11" s="2675"/>
      <c r="E11" s="2675"/>
      <c r="F11" s="2661"/>
      <c r="G11" s="2675"/>
      <c r="H11" s="2675"/>
      <c r="I11" s="2675"/>
      <c r="J11" s="2675"/>
      <c r="K11" s="2675"/>
      <c r="L11" s="2675"/>
      <c r="M11" s="2359"/>
      <c r="N11" s="2359"/>
      <c r="O11" s="2359"/>
      <c r="P11" s="2359"/>
    </row>
    <row r="12" spans="1:16" ht="32.25" customHeight="1">
      <c r="A12" s="2659"/>
      <c r="B12" s="2662"/>
      <c r="C12" s="2675"/>
      <c r="D12" s="2675"/>
      <c r="E12" s="2675"/>
      <c r="F12" s="2662"/>
      <c r="G12" s="2675"/>
      <c r="H12" s="2675"/>
      <c r="I12" s="2675"/>
      <c r="J12" s="2675"/>
      <c r="K12" s="2675"/>
      <c r="L12" s="2675"/>
      <c r="M12" s="1422" t="s">
        <v>3754</v>
      </c>
      <c r="N12" s="1422" t="s">
        <v>3755</v>
      </c>
      <c r="O12" s="1422" t="s">
        <v>3754</v>
      </c>
      <c r="P12" s="1422" t="s">
        <v>3755</v>
      </c>
    </row>
    <row r="13" spans="1:16" ht="15" customHeight="1">
      <c r="A13" s="1542">
        <v>2009</v>
      </c>
      <c r="B13" s="1541">
        <v>1941067</v>
      </c>
      <c r="C13" s="1541">
        <v>1870679</v>
      </c>
      <c r="D13" s="1541">
        <v>37190</v>
      </c>
      <c r="E13" s="1541">
        <v>70388</v>
      </c>
      <c r="F13" s="1541">
        <v>2262771</v>
      </c>
      <c r="G13" s="1541">
        <v>2062134</v>
      </c>
      <c r="H13" s="1541"/>
      <c r="I13" s="1541">
        <v>200637</v>
      </c>
      <c r="J13" s="1541">
        <v>1979434</v>
      </c>
      <c r="K13" s="1541">
        <v>41530</v>
      </c>
      <c r="L13" s="1541">
        <v>82700</v>
      </c>
      <c r="M13" s="1335"/>
      <c r="N13" s="1335"/>
      <c r="O13" s="1335"/>
      <c r="P13" s="1335"/>
    </row>
    <row r="14" spans="1:16" hidden="1">
      <c r="A14" s="1540" t="s">
        <v>981</v>
      </c>
      <c r="B14" s="1538">
        <v>1941067</v>
      </c>
      <c r="C14" s="1538">
        <v>1870679</v>
      </c>
      <c r="D14" s="1538">
        <v>37190</v>
      </c>
      <c r="E14" s="1538">
        <v>70388</v>
      </c>
      <c r="F14" s="1538">
        <v>2262771</v>
      </c>
      <c r="G14" s="1538">
        <v>2062134</v>
      </c>
      <c r="H14" s="1538"/>
      <c r="I14" s="1538">
        <v>200637</v>
      </c>
      <c r="J14" s="1538">
        <v>1979434</v>
      </c>
      <c r="K14" s="1538">
        <v>41530</v>
      </c>
      <c r="L14" s="1538">
        <v>82700</v>
      </c>
      <c r="M14" s="1335"/>
      <c r="N14" s="1335"/>
      <c r="O14" s="1335"/>
      <c r="P14" s="1335"/>
    </row>
    <row r="15" spans="1:16">
      <c r="A15" s="1534">
        <v>2010</v>
      </c>
      <c r="B15" s="1538">
        <v>2588957</v>
      </c>
      <c r="C15" s="1538">
        <v>2494325</v>
      </c>
      <c r="D15" s="1538">
        <v>57965</v>
      </c>
      <c r="E15" s="1538">
        <v>94632</v>
      </c>
      <c r="F15" s="1538">
        <v>3173876</v>
      </c>
      <c r="G15" s="1538">
        <v>2896583</v>
      </c>
      <c r="H15" s="1538"/>
      <c r="I15" s="1538">
        <v>277293</v>
      </c>
      <c r="J15" s="1538">
        <v>2772884</v>
      </c>
      <c r="K15" s="1538">
        <v>68717</v>
      </c>
      <c r="L15" s="1538">
        <v>123699</v>
      </c>
      <c r="M15" s="1335"/>
      <c r="N15" s="1335"/>
      <c r="O15" s="1335"/>
      <c r="P15" s="1335"/>
    </row>
    <row r="16" spans="1:16" hidden="1">
      <c r="A16" s="1534" t="s">
        <v>18</v>
      </c>
      <c r="B16" s="1538">
        <v>1982853</v>
      </c>
      <c r="C16" s="1538">
        <v>1911512</v>
      </c>
      <c r="D16" s="1538">
        <v>37647</v>
      </c>
      <c r="E16" s="1538">
        <v>71341</v>
      </c>
      <c r="F16" s="1538">
        <v>2308743</v>
      </c>
      <c r="G16" s="1538">
        <v>2100858</v>
      </c>
      <c r="H16" s="1538"/>
      <c r="I16" s="1538">
        <v>207885</v>
      </c>
      <c r="J16" s="1538">
        <v>2017075</v>
      </c>
      <c r="K16" s="1538">
        <v>41723</v>
      </c>
      <c r="L16" s="1538">
        <v>83783</v>
      </c>
      <c r="M16" s="1335"/>
      <c r="N16" s="1335"/>
      <c r="O16" s="1335"/>
      <c r="P16" s="1335"/>
    </row>
    <row r="17" spans="1:16" hidden="1">
      <c r="A17" s="1534" t="s">
        <v>19</v>
      </c>
      <c r="B17" s="1538">
        <v>2032673</v>
      </c>
      <c r="C17" s="1538">
        <v>1959886</v>
      </c>
      <c r="D17" s="1538">
        <v>38333</v>
      </c>
      <c r="E17" s="1538">
        <v>72787</v>
      </c>
      <c r="F17" s="1538">
        <v>2367720</v>
      </c>
      <c r="G17" s="1538">
        <v>2150296</v>
      </c>
      <c r="H17" s="1538"/>
      <c r="I17" s="1538">
        <v>217424</v>
      </c>
      <c r="J17" s="1538">
        <v>2065387</v>
      </c>
      <c r="K17" s="1538">
        <v>42540</v>
      </c>
      <c r="L17" s="1538">
        <v>84909</v>
      </c>
      <c r="M17" s="1335"/>
      <c r="N17" s="1335"/>
      <c r="O17" s="1335"/>
      <c r="P17" s="1335"/>
    </row>
    <row r="18" spans="1:16" hidden="1">
      <c r="A18" s="1534" t="s">
        <v>20</v>
      </c>
      <c r="B18" s="1538">
        <v>2071691</v>
      </c>
      <c r="C18" s="1538">
        <v>1996066</v>
      </c>
      <c r="D18" s="1538">
        <v>44110</v>
      </c>
      <c r="E18" s="1538">
        <v>75625</v>
      </c>
      <c r="F18" s="1538">
        <v>2426570</v>
      </c>
      <c r="G18" s="1538">
        <v>2202328</v>
      </c>
      <c r="H18" s="1538"/>
      <c r="I18" s="1538">
        <v>224242</v>
      </c>
      <c r="J18" s="1538">
        <v>2118964</v>
      </c>
      <c r="K18" s="1538">
        <v>48723</v>
      </c>
      <c r="L18" s="1538">
        <v>83364</v>
      </c>
      <c r="M18" s="1335"/>
      <c r="N18" s="1335"/>
      <c r="O18" s="1335"/>
      <c r="P18" s="1335"/>
    </row>
    <row r="19" spans="1:16" hidden="1">
      <c r="A19" s="1534" t="s">
        <v>21</v>
      </c>
      <c r="B19" s="1538">
        <v>2125741</v>
      </c>
      <c r="C19" s="1538">
        <v>2045974</v>
      </c>
      <c r="D19" s="1538">
        <v>50799</v>
      </c>
      <c r="E19" s="1538">
        <v>79767</v>
      </c>
      <c r="F19" s="1538">
        <v>2460337</v>
      </c>
      <c r="G19" s="1538">
        <v>2229516</v>
      </c>
      <c r="H19" s="1538"/>
      <c r="I19" s="1538">
        <v>230821</v>
      </c>
      <c r="J19" s="1538">
        <v>2142588</v>
      </c>
      <c r="K19" s="1538">
        <v>55586</v>
      </c>
      <c r="L19" s="1538">
        <v>86928</v>
      </c>
      <c r="M19" s="1335"/>
      <c r="N19" s="1335"/>
      <c r="O19" s="1335"/>
      <c r="P19" s="1335"/>
    </row>
    <row r="20" spans="1:16" hidden="1">
      <c r="A20" s="1534" t="s">
        <v>22</v>
      </c>
      <c r="B20" s="1538">
        <v>2192577</v>
      </c>
      <c r="C20" s="1538">
        <v>2111006</v>
      </c>
      <c r="D20" s="1538">
        <v>51389</v>
      </c>
      <c r="E20" s="1538">
        <v>81571</v>
      </c>
      <c r="F20" s="1538">
        <v>2537995</v>
      </c>
      <c r="G20" s="1539">
        <v>2291771</v>
      </c>
      <c r="H20" s="1539"/>
      <c r="I20" s="1539">
        <v>241315</v>
      </c>
      <c r="J20" s="1538">
        <v>2205517</v>
      </c>
      <c r="K20" s="1538">
        <v>56321</v>
      </c>
      <c r="L20" s="1538">
        <v>88134</v>
      </c>
      <c r="M20" s="1335"/>
      <c r="N20" s="1335"/>
      <c r="O20" s="1335"/>
      <c r="P20" s="1335"/>
    </row>
    <row r="21" spans="1:16" hidden="1">
      <c r="A21" s="1534" t="s">
        <v>23</v>
      </c>
      <c r="B21" s="1538">
        <v>2247948</v>
      </c>
      <c r="C21" s="1538">
        <v>2165001</v>
      </c>
      <c r="D21" s="1538">
        <v>51983</v>
      </c>
      <c r="E21" s="1538">
        <v>82947</v>
      </c>
      <c r="F21" s="1538">
        <v>2626128</v>
      </c>
      <c r="G21" s="1538">
        <v>2375528</v>
      </c>
      <c r="H21" s="1538"/>
      <c r="I21" s="1538">
        <v>250600</v>
      </c>
      <c r="J21" s="1538">
        <v>2285951</v>
      </c>
      <c r="K21" s="1538">
        <v>57031</v>
      </c>
      <c r="L21" s="1538">
        <v>89577</v>
      </c>
      <c r="M21" s="1335"/>
      <c r="N21" s="1335"/>
      <c r="O21" s="1335"/>
      <c r="P21" s="1335"/>
    </row>
    <row r="22" spans="1:16" hidden="1">
      <c r="A22" s="1534" t="s">
        <v>24</v>
      </c>
      <c r="B22" s="1538">
        <v>2322626</v>
      </c>
      <c r="C22" s="1538">
        <v>2238188</v>
      </c>
      <c r="D22" s="1538">
        <v>53076</v>
      </c>
      <c r="E22" s="1538">
        <v>84438</v>
      </c>
      <c r="F22" s="1538">
        <v>2712546</v>
      </c>
      <c r="G22" s="1538">
        <v>2451885</v>
      </c>
      <c r="H22" s="1538"/>
      <c r="I22" s="1538">
        <v>260661</v>
      </c>
      <c r="J22" s="1538">
        <v>2361082</v>
      </c>
      <c r="K22" s="1538">
        <v>57926</v>
      </c>
      <c r="L22" s="1538">
        <v>90803</v>
      </c>
      <c r="M22" s="1335"/>
      <c r="N22" s="1335"/>
      <c r="O22" s="1335"/>
      <c r="P22" s="1335"/>
    </row>
    <row r="23" spans="1:16" hidden="1">
      <c r="A23" s="1534" t="s">
        <v>25</v>
      </c>
      <c r="B23" s="1538">
        <v>2382378</v>
      </c>
      <c r="C23" s="1538">
        <v>2297127</v>
      </c>
      <c r="D23" s="1538">
        <v>53567</v>
      </c>
      <c r="E23" s="1538">
        <v>85251</v>
      </c>
      <c r="F23" s="1538">
        <v>2798023</v>
      </c>
      <c r="G23" s="1538">
        <v>2530124</v>
      </c>
      <c r="H23" s="1538"/>
      <c r="I23" s="1538">
        <v>267899</v>
      </c>
      <c r="J23" s="1538">
        <v>2438274</v>
      </c>
      <c r="K23" s="1538">
        <v>63333</v>
      </c>
      <c r="L23" s="1538">
        <v>91850</v>
      </c>
      <c r="M23" s="1335"/>
      <c r="N23" s="1335"/>
      <c r="O23" s="1335"/>
      <c r="P23" s="1335"/>
    </row>
    <row r="24" spans="1:16" hidden="1">
      <c r="A24" s="1534" t="s">
        <v>26</v>
      </c>
      <c r="B24" s="1538">
        <v>2383798</v>
      </c>
      <c r="C24" s="1538">
        <v>2383798</v>
      </c>
      <c r="D24" s="1538">
        <v>52936</v>
      </c>
      <c r="E24" s="1538">
        <v>82818</v>
      </c>
      <c r="F24" s="1538">
        <v>2837109</v>
      </c>
      <c r="G24" s="1538">
        <v>2560042</v>
      </c>
      <c r="H24" s="1538"/>
      <c r="I24" s="1538">
        <v>277067</v>
      </c>
      <c r="J24" s="1538">
        <v>2468994</v>
      </c>
      <c r="K24" s="1538">
        <v>62200</v>
      </c>
      <c r="L24" s="1538">
        <v>91048</v>
      </c>
      <c r="M24" s="1335"/>
      <c r="N24" s="1335"/>
      <c r="O24" s="1335"/>
      <c r="P24" s="1335"/>
    </row>
    <row r="25" spans="1:16" hidden="1">
      <c r="A25" s="1534" t="s">
        <v>27</v>
      </c>
      <c r="B25" s="1538">
        <v>2503316</v>
      </c>
      <c r="C25" s="1538">
        <v>2415053</v>
      </c>
      <c r="D25" s="1538">
        <v>64766</v>
      </c>
      <c r="E25" s="1538">
        <v>88263</v>
      </c>
      <c r="F25" s="1538">
        <v>2975397</v>
      </c>
      <c r="G25" s="1538">
        <v>2683341</v>
      </c>
      <c r="H25" s="1538"/>
      <c r="I25" s="1538">
        <v>292056</v>
      </c>
      <c r="J25" s="1538">
        <v>2589037</v>
      </c>
      <c r="K25" s="1538">
        <v>64766</v>
      </c>
      <c r="L25" s="1538">
        <v>94304</v>
      </c>
      <c r="M25" s="1335"/>
      <c r="N25" s="1335"/>
      <c r="O25" s="1335"/>
      <c r="P25" s="1335"/>
    </row>
    <row r="26" spans="1:16" hidden="1">
      <c r="A26" s="1534" t="s">
        <v>28</v>
      </c>
      <c r="B26" s="1538">
        <v>2546604</v>
      </c>
      <c r="C26" s="1538">
        <v>2457313</v>
      </c>
      <c r="D26" s="1538">
        <v>54479</v>
      </c>
      <c r="E26" s="1538">
        <v>89291</v>
      </c>
      <c r="F26" s="1538">
        <v>3057713</v>
      </c>
      <c r="G26" s="1538">
        <v>2757026</v>
      </c>
      <c r="H26" s="1538"/>
      <c r="I26" s="1538">
        <v>300687</v>
      </c>
      <c r="J26" s="1538">
        <v>2661913</v>
      </c>
      <c r="K26" s="1538">
        <v>64616</v>
      </c>
      <c r="L26" s="1538">
        <v>95113</v>
      </c>
      <c r="M26" s="1335"/>
      <c r="N26" s="1335"/>
      <c r="O26" s="1335"/>
      <c r="P26" s="1335"/>
    </row>
    <row r="27" spans="1:16" hidden="1">
      <c r="A27" s="1534" t="s">
        <v>29</v>
      </c>
      <c r="B27" s="1538">
        <v>2588957</v>
      </c>
      <c r="C27" s="1538">
        <v>2494325</v>
      </c>
      <c r="D27" s="1538">
        <v>57965</v>
      </c>
      <c r="E27" s="1538">
        <v>94632</v>
      </c>
      <c r="F27" s="1538">
        <v>3173876</v>
      </c>
      <c r="G27" s="1538">
        <v>2896583</v>
      </c>
      <c r="H27" s="1538"/>
      <c r="I27" s="1538">
        <v>277293</v>
      </c>
      <c r="J27" s="1538">
        <v>2772884</v>
      </c>
      <c r="K27" s="1538">
        <v>68717</v>
      </c>
      <c r="L27" s="1538">
        <v>123699</v>
      </c>
      <c r="M27" s="1335"/>
      <c r="N27" s="1335"/>
      <c r="O27" s="1335"/>
      <c r="P27" s="1335"/>
    </row>
    <row r="28" spans="1:16">
      <c r="A28" s="1537">
        <v>2011</v>
      </c>
      <c r="B28" s="1538">
        <v>2916678</v>
      </c>
      <c r="C28" s="1538">
        <v>2831807</v>
      </c>
      <c r="D28" s="1538">
        <v>53175</v>
      </c>
      <c r="E28" s="1538">
        <v>84871</v>
      </c>
      <c r="F28" s="1538">
        <v>4077125</v>
      </c>
      <c r="G28" s="1538">
        <v>3730551</v>
      </c>
      <c r="H28" s="1538"/>
      <c r="I28" s="1538">
        <v>346574</v>
      </c>
      <c r="J28" s="1538">
        <v>3604632</v>
      </c>
      <c r="K28" s="1538">
        <v>70791</v>
      </c>
      <c r="L28" s="1538">
        <v>125919</v>
      </c>
      <c r="M28" s="1335"/>
      <c r="N28" s="1335"/>
      <c r="O28" s="1335"/>
      <c r="P28" s="1335"/>
    </row>
    <row r="29" spans="1:16" hidden="1">
      <c r="A29" s="1534" t="s">
        <v>18</v>
      </c>
      <c r="B29" s="1538">
        <v>2532935</v>
      </c>
      <c r="C29" s="1538">
        <v>2449042</v>
      </c>
      <c r="D29" s="1538">
        <v>46450</v>
      </c>
      <c r="E29" s="1538">
        <v>83893</v>
      </c>
      <c r="F29" s="1538">
        <v>3273522</v>
      </c>
      <c r="G29" s="1538">
        <v>3009183</v>
      </c>
      <c r="H29" s="1538"/>
      <c r="I29" s="1538">
        <v>264339</v>
      </c>
      <c r="J29" s="1538">
        <v>2885233</v>
      </c>
      <c r="K29" s="1538">
        <v>62677</v>
      </c>
      <c r="L29" s="1538">
        <v>123950</v>
      </c>
      <c r="M29" s="1335"/>
      <c r="N29" s="1335"/>
      <c r="O29" s="1335"/>
      <c r="P29" s="1335"/>
    </row>
    <row r="30" spans="1:16" hidden="1">
      <c r="A30" s="1534" t="s">
        <v>19</v>
      </c>
      <c r="B30" s="1538">
        <v>2576435</v>
      </c>
      <c r="C30" s="1538">
        <v>2493277</v>
      </c>
      <c r="D30" s="1538">
        <v>44825</v>
      </c>
      <c r="E30" s="1538">
        <v>83158</v>
      </c>
      <c r="F30" s="1538">
        <v>3217098</v>
      </c>
      <c r="G30" s="1538">
        <v>2944542</v>
      </c>
      <c r="H30" s="1538"/>
      <c r="I30" s="1538">
        <v>272556</v>
      </c>
      <c r="J30" s="1538">
        <v>2823337</v>
      </c>
      <c r="K30" s="1538">
        <v>61019</v>
      </c>
      <c r="L30" s="1538">
        <v>121205</v>
      </c>
      <c r="M30" s="1335"/>
      <c r="N30" s="1335"/>
      <c r="O30" s="1335"/>
      <c r="P30" s="1335"/>
    </row>
    <row r="31" spans="1:16" hidden="1">
      <c r="A31" s="1534" t="s">
        <v>20</v>
      </c>
      <c r="B31" s="1538">
        <v>2551432</v>
      </c>
      <c r="C31" s="1538">
        <v>2468503</v>
      </c>
      <c r="D31" s="1538">
        <v>41358</v>
      </c>
      <c r="E31" s="1538">
        <v>82929</v>
      </c>
      <c r="F31" s="1538">
        <v>3299264</v>
      </c>
      <c r="G31" s="1538">
        <v>3018754</v>
      </c>
      <c r="H31" s="1538"/>
      <c r="I31" s="1538">
        <v>280510</v>
      </c>
      <c r="J31" s="1538">
        <v>2897219</v>
      </c>
      <c r="K31" s="1538">
        <v>60102</v>
      </c>
      <c r="L31" s="1538">
        <v>121535</v>
      </c>
      <c r="M31" s="1335"/>
      <c r="N31" s="1335"/>
      <c r="O31" s="1335"/>
      <c r="P31" s="1335"/>
    </row>
    <row r="32" spans="1:16" hidden="1">
      <c r="A32" s="1534" t="s">
        <v>21</v>
      </c>
      <c r="B32" s="1538">
        <v>2497754</v>
      </c>
      <c r="C32" s="1538">
        <v>2415694</v>
      </c>
      <c r="D32" s="1538">
        <v>41759</v>
      </c>
      <c r="E32" s="1538">
        <v>82060</v>
      </c>
      <c r="F32" s="1538">
        <v>3294808</v>
      </c>
      <c r="G32" s="1538">
        <v>3006587</v>
      </c>
      <c r="H32" s="1538"/>
      <c r="I32" s="1538">
        <v>288221</v>
      </c>
      <c r="J32" s="1538">
        <v>2886039</v>
      </c>
      <c r="K32" s="1538">
        <v>62954</v>
      </c>
      <c r="L32" s="1538">
        <v>120548</v>
      </c>
      <c r="M32" s="1335"/>
      <c r="N32" s="1335"/>
      <c r="O32" s="1335"/>
      <c r="P32" s="1335"/>
    </row>
    <row r="33" spans="1:16" hidden="1">
      <c r="A33" s="1534" t="s">
        <v>22</v>
      </c>
      <c r="B33" s="1538">
        <v>2582960</v>
      </c>
      <c r="C33" s="1538">
        <v>2498982</v>
      </c>
      <c r="D33" s="1538">
        <v>43583</v>
      </c>
      <c r="E33" s="1538">
        <v>83978</v>
      </c>
      <c r="F33" s="1538">
        <v>3411641</v>
      </c>
      <c r="G33" s="1538">
        <v>3120003</v>
      </c>
      <c r="H33" s="1538"/>
      <c r="I33" s="1538">
        <v>291638</v>
      </c>
      <c r="J33" s="1538">
        <v>2996137</v>
      </c>
      <c r="K33" s="1538">
        <v>64686</v>
      </c>
      <c r="L33" s="1538">
        <v>123866</v>
      </c>
      <c r="M33" s="1335"/>
      <c r="N33" s="1335"/>
      <c r="O33" s="1335"/>
      <c r="P33" s="1335"/>
    </row>
    <row r="34" spans="1:16" hidden="1">
      <c r="A34" s="1534" t="s">
        <v>23</v>
      </c>
      <c r="B34" s="1538">
        <v>2658675</v>
      </c>
      <c r="C34" s="1538">
        <v>2574312</v>
      </c>
      <c r="D34" s="1538">
        <v>44677</v>
      </c>
      <c r="E34" s="1538">
        <v>84363</v>
      </c>
      <c r="F34" s="1538">
        <v>3516574</v>
      </c>
      <c r="G34" s="1538">
        <v>3217030</v>
      </c>
      <c r="H34" s="1538"/>
      <c r="I34" s="1538">
        <v>299544</v>
      </c>
      <c r="J34" s="1538">
        <v>3096908</v>
      </c>
      <c r="K34" s="1538">
        <v>66435</v>
      </c>
      <c r="L34" s="1538">
        <v>120122</v>
      </c>
      <c r="M34" s="1335"/>
      <c r="N34" s="1335"/>
      <c r="O34" s="1335"/>
      <c r="P34" s="1335"/>
    </row>
    <row r="35" spans="1:16" hidden="1">
      <c r="A35" s="1534" t="s">
        <v>24</v>
      </c>
      <c r="B35" s="1538">
        <v>2664188</v>
      </c>
      <c r="C35" s="1538">
        <v>2577896</v>
      </c>
      <c r="D35" s="1538">
        <v>45622</v>
      </c>
      <c r="E35" s="1538">
        <v>86292</v>
      </c>
      <c r="F35" s="1538">
        <v>3615651</v>
      </c>
      <c r="G35" s="1538">
        <v>3308956</v>
      </c>
      <c r="H35" s="1538"/>
      <c r="I35" s="1538">
        <v>306695</v>
      </c>
      <c r="J35" s="1538">
        <v>3180614</v>
      </c>
      <c r="K35" s="1538">
        <v>67479</v>
      </c>
      <c r="L35" s="1538">
        <v>128342</v>
      </c>
      <c r="M35" s="1335"/>
      <c r="N35" s="1335"/>
      <c r="O35" s="1335"/>
      <c r="P35" s="1335"/>
    </row>
    <row r="36" spans="1:16" hidden="1">
      <c r="A36" s="1534" t="s">
        <v>25</v>
      </c>
      <c r="B36" s="1538">
        <v>2746704</v>
      </c>
      <c r="C36" s="1538">
        <v>2660204</v>
      </c>
      <c r="D36" s="1538">
        <v>46097</v>
      </c>
      <c r="E36" s="1538">
        <v>86500</v>
      </c>
      <c r="F36" s="1538">
        <v>3687878</v>
      </c>
      <c r="G36" s="1538">
        <v>3373043</v>
      </c>
      <c r="H36" s="1538"/>
      <c r="I36" s="1538">
        <v>314835</v>
      </c>
      <c r="J36" s="1538">
        <v>3243111</v>
      </c>
      <c r="K36" s="1538">
        <v>66949</v>
      </c>
      <c r="L36" s="1538">
        <v>129932</v>
      </c>
      <c r="M36" s="1335"/>
      <c r="N36" s="1335"/>
      <c r="O36" s="1335"/>
      <c r="P36" s="1335"/>
    </row>
    <row r="37" spans="1:16" hidden="1">
      <c r="A37" s="1534" t="s">
        <v>26</v>
      </c>
      <c r="B37" s="1538">
        <v>2732671</v>
      </c>
      <c r="C37" s="1538">
        <v>2645243</v>
      </c>
      <c r="D37" s="1538">
        <v>46367</v>
      </c>
      <c r="E37" s="1538">
        <v>87428</v>
      </c>
      <c r="F37" s="1538">
        <v>3692107</v>
      </c>
      <c r="G37" s="1538">
        <v>3367163</v>
      </c>
      <c r="H37" s="1538"/>
      <c r="I37" s="1538">
        <v>324944</v>
      </c>
      <c r="J37" s="1538">
        <v>3234314</v>
      </c>
      <c r="K37" s="1538">
        <v>66865</v>
      </c>
      <c r="L37" s="1538">
        <v>132849</v>
      </c>
      <c r="M37" s="1335"/>
      <c r="N37" s="1335"/>
      <c r="O37" s="1335"/>
      <c r="P37" s="1335"/>
    </row>
    <row r="38" spans="1:16" hidden="1">
      <c r="A38" s="1534" t="s">
        <v>27</v>
      </c>
      <c r="B38" s="1538">
        <v>2821827</v>
      </c>
      <c r="C38" s="1538">
        <v>2736328</v>
      </c>
      <c r="D38" s="1538">
        <v>52053</v>
      </c>
      <c r="E38" s="1538">
        <v>85499</v>
      </c>
      <c r="F38" s="1538">
        <v>3896163</v>
      </c>
      <c r="G38" s="1538">
        <v>3566494</v>
      </c>
      <c r="H38" s="1538"/>
      <c r="I38" s="1538">
        <v>329669</v>
      </c>
      <c r="J38" s="1538">
        <v>3431999</v>
      </c>
      <c r="K38" s="1538">
        <v>68612</v>
      </c>
      <c r="L38" s="1538">
        <v>134495</v>
      </c>
      <c r="M38" s="1335"/>
      <c r="N38" s="1335"/>
      <c r="O38" s="1335"/>
      <c r="P38" s="1335"/>
    </row>
    <row r="39" spans="1:16" hidden="1">
      <c r="A39" s="1534" t="s">
        <v>28</v>
      </c>
      <c r="B39" s="1538">
        <v>2868688</v>
      </c>
      <c r="C39" s="1538">
        <v>2783452</v>
      </c>
      <c r="D39" s="1538">
        <v>52678</v>
      </c>
      <c r="E39" s="1538">
        <v>85236</v>
      </c>
      <c r="F39" s="1538">
        <v>3988446</v>
      </c>
      <c r="G39" s="1538">
        <v>3650090</v>
      </c>
      <c r="H39" s="1538"/>
      <c r="I39" s="1538">
        <v>338356</v>
      </c>
      <c r="J39" s="1538">
        <v>3515624</v>
      </c>
      <c r="K39" s="1538">
        <v>69417</v>
      </c>
      <c r="L39" s="1538">
        <v>134466</v>
      </c>
      <c r="M39" s="1335"/>
      <c r="N39" s="1335"/>
      <c r="O39" s="1335"/>
      <c r="P39" s="1335"/>
    </row>
    <row r="40" spans="1:16" hidden="1">
      <c r="A40" s="1534" t="s">
        <v>29</v>
      </c>
      <c r="B40" s="1538">
        <v>2916678</v>
      </c>
      <c r="C40" s="1538">
        <v>2831807</v>
      </c>
      <c r="D40" s="1538">
        <v>53175</v>
      </c>
      <c r="E40" s="1538">
        <v>84871</v>
      </c>
      <c r="F40" s="1538">
        <v>4077125</v>
      </c>
      <c r="G40" s="1538">
        <v>3730551</v>
      </c>
      <c r="H40" s="1538"/>
      <c r="I40" s="1538">
        <v>346574</v>
      </c>
      <c r="J40" s="1538">
        <v>3604632</v>
      </c>
      <c r="K40" s="1538">
        <v>70791</v>
      </c>
      <c r="L40" s="1538">
        <v>125919</v>
      </c>
      <c r="M40" s="1335"/>
      <c r="N40" s="1335"/>
      <c r="O40" s="1335"/>
      <c r="P40" s="1335"/>
    </row>
    <row r="41" spans="1:16">
      <c r="A41" s="1537" t="s">
        <v>1288</v>
      </c>
      <c r="B41" s="1538">
        <v>3702832</v>
      </c>
      <c r="C41" s="1538">
        <v>3609503</v>
      </c>
      <c r="D41" s="1538">
        <v>83858</v>
      </c>
      <c r="E41" s="1538">
        <v>93329</v>
      </c>
      <c r="F41" s="1538">
        <v>5899888</v>
      </c>
      <c r="G41" s="1538">
        <v>5471017</v>
      </c>
      <c r="H41" s="1538"/>
      <c r="I41" s="1538">
        <v>428871</v>
      </c>
      <c r="J41" s="1538">
        <v>5313983</v>
      </c>
      <c r="K41" s="1538">
        <v>92132</v>
      </c>
      <c r="L41" s="1538">
        <v>157034</v>
      </c>
      <c r="M41" s="1335"/>
      <c r="N41" s="1335"/>
      <c r="O41" s="1335"/>
      <c r="P41" s="1335"/>
    </row>
    <row r="42" spans="1:16" hidden="1">
      <c r="A42" s="1534" t="s">
        <v>18</v>
      </c>
      <c r="B42" s="1538">
        <v>2912461</v>
      </c>
      <c r="C42" s="1538">
        <v>2829041</v>
      </c>
      <c r="D42" s="1538">
        <v>52803</v>
      </c>
      <c r="E42" s="1538">
        <v>83420</v>
      </c>
      <c r="F42" s="1538">
        <v>4146445</v>
      </c>
      <c r="G42" s="1538">
        <v>3786037</v>
      </c>
      <c r="H42" s="1538"/>
      <c r="I42" s="1538">
        <v>360408</v>
      </c>
      <c r="J42" s="1538">
        <v>3648841</v>
      </c>
      <c r="K42" s="1538">
        <v>70812</v>
      </c>
      <c r="L42" s="1538">
        <v>137196</v>
      </c>
      <c r="M42" s="1335"/>
      <c r="N42" s="1335"/>
      <c r="O42" s="1335"/>
      <c r="P42" s="1335"/>
    </row>
    <row r="43" spans="1:16" hidden="1">
      <c r="A43" s="1534" t="s">
        <v>19</v>
      </c>
      <c r="B43" s="1538">
        <v>2948643</v>
      </c>
      <c r="C43" s="1538">
        <v>2864224</v>
      </c>
      <c r="D43" s="1538">
        <v>56881</v>
      </c>
      <c r="E43" s="1538">
        <v>84419</v>
      </c>
      <c r="F43" s="1538">
        <v>4236074</v>
      </c>
      <c r="G43" s="1538">
        <v>3870516</v>
      </c>
      <c r="H43" s="1538"/>
      <c r="I43" s="1538">
        <v>365558</v>
      </c>
      <c r="J43" s="1538">
        <v>3731715</v>
      </c>
      <c r="K43" s="1538">
        <v>75139</v>
      </c>
      <c r="L43" s="1538">
        <v>138801</v>
      </c>
      <c r="M43" s="1335"/>
      <c r="N43" s="1335"/>
      <c r="O43" s="1335"/>
      <c r="P43" s="1335"/>
    </row>
    <row r="44" spans="1:16" hidden="1">
      <c r="A44" s="1534" t="s">
        <v>20</v>
      </c>
      <c r="B44" s="1538">
        <v>3002854</v>
      </c>
      <c r="C44" s="1538">
        <v>2917672</v>
      </c>
      <c r="D44" s="1538">
        <v>60914</v>
      </c>
      <c r="E44" s="1538">
        <v>85182</v>
      </c>
      <c r="F44" s="1538">
        <v>4345888</v>
      </c>
      <c r="G44" s="1538">
        <v>3970480</v>
      </c>
      <c r="H44" s="1538"/>
      <c r="I44" s="1538">
        <v>375408</v>
      </c>
      <c r="J44" s="1538">
        <v>3830047</v>
      </c>
      <c r="K44" s="1538">
        <v>79374</v>
      </c>
      <c r="L44" s="1538">
        <v>140433</v>
      </c>
      <c r="M44" s="1335"/>
      <c r="N44" s="1335"/>
      <c r="O44" s="1335"/>
      <c r="P44" s="1335"/>
    </row>
    <row r="45" spans="1:16" hidden="1">
      <c r="A45" s="1534" t="s">
        <v>21</v>
      </c>
      <c r="B45" s="1538">
        <v>3068357</v>
      </c>
      <c r="C45" s="1538">
        <v>2981865</v>
      </c>
      <c r="D45" s="1538">
        <v>65497</v>
      </c>
      <c r="E45" s="1538">
        <v>86492</v>
      </c>
      <c r="F45" s="1538">
        <v>4478163</v>
      </c>
      <c r="G45" s="1538">
        <v>4097355</v>
      </c>
      <c r="H45" s="1538"/>
      <c r="I45" s="1538">
        <v>380808</v>
      </c>
      <c r="J45" s="1538">
        <v>3952487</v>
      </c>
      <c r="K45" s="1538">
        <v>82942</v>
      </c>
      <c r="L45" s="1538">
        <v>144868</v>
      </c>
      <c r="M45" s="1335"/>
      <c r="N45" s="1335"/>
      <c r="O45" s="1335"/>
      <c r="P45" s="1335"/>
    </row>
    <row r="46" spans="1:16" hidden="1">
      <c r="A46" s="1534" t="s">
        <v>22</v>
      </c>
      <c r="B46" s="1538">
        <v>3223003</v>
      </c>
      <c r="C46" s="1538">
        <v>3127593</v>
      </c>
      <c r="D46" s="1538">
        <v>67957</v>
      </c>
      <c r="E46" s="1538">
        <v>95411</v>
      </c>
      <c r="F46" s="1538">
        <v>4723638</v>
      </c>
      <c r="G46" s="1538">
        <v>4331798</v>
      </c>
      <c r="H46" s="1538"/>
      <c r="I46" s="1538">
        <v>391840</v>
      </c>
      <c r="J46" s="1538">
        <v>4180423</v>
      </c>
      <c r="K46" s="1538">
        <v>86888</v>
      </c>
      <c r="L46" s="1538">
        <v>151375</v>
      </c>
      <c r="M46" s="1335"/>
      <c r="N46" s="1335"/>
      <c r="O46" s="1335"/>
      <c r="P46" s="1335"/>
    </row>
    <row r="47" spans="1:16" hidden="1">
      <c r="A47" s="1534" t="s">
        <v>23</v>
      </c>
      <c r="B47" s="1538">
        <v>3290332</v>
      </c>
      <c r="C47" s="1538">
        <v>3194176</v>
      </c>
      <c r="D47" s="1538">
        <v>69007</v>
      </c>
      <c r="E47" s="1538">
        <v>96157</v>
      </c>
      <c r="F47" s="1538">
        <v>4838585</v>
      </c>
      <c r="G47" s="1538">
        <v>4444123</v>
      </c>
      <c r="H47" s="1538"/>
      <c r="I47" s="1538">
        <v>394462</v>
      </c>
      <c r="J47" s="1538">
        <v>4299611</v>
      </c>
      <c r="K47" s="1538">
        <v>87921</v>
      </c>
      <c r="L47" s="1538">
        <v>144512</v>
      </c>
      <c r="M47" s="1335"/>
      <c r="N47" s="1335"/>
      <c r="O47" s="1335"/>
      <c r="P47" s="1335"/>
    </row>
    <row r="48" spans="1:16" hidden="1">
      <c r="A48" s="1534" t="s">
        <v>24</v>
      </c>
      <c r="B48" s="1538">
        <v>3265944</v>
      </c>
      <c r="C48" s="1538">
        <v>3177283</v>
      </c>
      <c r="D48" s="1538">
        <v>67593</v>
      </c>
      <c r="E48" s="1538">
        <v>88662</v>
      </c>
      <c r="F48" s="1538">
        <v>4918895</v>
      </c>
      <c r="G48" s="1538">
        <v>4522489</v>
      </c>
      <c r="H48" s="1538"/>
      <c r="I48" s="1538">
        <v>396406</v>
      </c>
      <c r="J48" s="1538">
        <v>4380219</v>
      </c>
      <c r="K48" s="1538">
        <v>85240</v>
      </c>
      <c r="L48" s="1538">
        <v>142270</v>
      </c>
      <c r="M48" s="1335"/>
      <c r="N48" s="1335"/>
      <c r="O48" s="1335"/>
      <c r="P48" s="1335"/>
    </row>
    <row r="49" spans="1:16" hidden="1">
      <c r="A49" s="1534" t="s">
        <v>25</v>
      </c>
      <c r="B49" s="1538">
        <v>3303798</v>
      </c>
      <c r="C49" s="1538">
        <v>3214431</v>
      </c>
      <c r="D49" s="1538">
        <v>68221</v>
      </c>
      <c r="E49" s="1538">
        <v>89368</v>
      </c>
      <c r="F49" s="1538">
        <v>5046228</v>
      </c>
      <c r="G49" s="1538">
        <v>4643638</v>
      </c>
      <c r="H49" s="1538"/>
      <c r="I49" s="1538">
        <v>402590</v>
      </c>
      <c r="J49" s="1538">
        <v>4492485</v>
      </c>
      <c r="K49" s="1538">
        <v>86016</v>
      </c>
      <c r="L49" s="1538">
        <v>151153</v>
      </c>
      <c r="M49" s="1335"/>
      <c r="N49" s="1335"/>
      <c r="O49" s="1335"/>
      <c r="P49" s="1335"/>
    </row>
    <row r="50" spans="1:16" hidden="1">
      <c r="A50" s="1534" t="s">
        <v>26</v>
      </c>
      <c r="B50" s="1538">
        <v>3402481</v>
      </c>
      <c r="C50" s="1538">
        <v>3312173</v>
      </c>
      <c r="D50" s="1538">
        <v>69916</v>
      </c>
      <c r="E50" s="1538">
        <v>90309</v>
      </c>
      <c r="F50" s="1538">
        <v>5221689</v>
      </c>
      <c r="G50" s="1538">
        <v>4811365</v>
      </c>
      <c r="H50" s="1538"/>
      <c r="I50" s="1538">
        <v>410324</v>
      </c>
      <c r="J50" s="1538">
        <v>4658566</v>
      </c>
      <c r="K50" s="1538">
        <v>87863</v>
      </c>
      <c r="L50" s="1538">
        <v>152799</v>
      </c>
      <c r="M50" s="1335"/>
      <c r="N50" s="1335"/>
      <c r="O50" s="1335"/>
      <c r="P50" s="1335"/>
    </row>
    <row r="51" spans="1:16" hidden="1">
      <c r="A51" s="1534" t="s">
        <v>27</v>
      </c>
      <c r="B51" s="1538">
        <v>3491747</v>
      </c>
      <c r="C51" s="1538">
        <v>3400605</v>
      </c>
      <c r="D51" s="1538">
        <v>70950</v>
      </c>
      <c r="E51" s="1538">
        <v>91142</v>
      </c>
      <c r="F51" s="1538">
        <v>5425651</v>
      </c>
      <c r="G51" s="1538">
        <v>5008463</v>
      </c>
      <c r="H51" s="1538"/>
      <c r="I51" s="1538">
        <v>417188</v>
      </c>
      <c r="J51" s="1538">
        <v>4854085</v>
      </c>
      <c r="K51" s="1538">
        <v>89231</v>
      </c>
      <c r="L51" s="1538">
        <v>154378</v>
      </c>
      <c r="M51" s="1335"/>
      <c r="N51" s="1335"/>
      <c r="O51" s="1335"/>
      <c r="P51" s="1335"/>
    </row>
    <row r="52" spans="1:16" hidden="1">
      <c r="A52" s="1534" t="s">
        <v>28</v>
      </c>
      <c r="B52" s="1538">
        <v>3579947</v>
      </c>
      <c r="C52" s="1538">
        <v>3487918</v>
      </c>
      <c r="D52" s="1538">
        <v>72220</v>
      </c>
      <c r="E52" s="1538">
        <v>92029</v>
      </c>
      <c r="F52" s="1538">
        <v>5632906</v>
      </c>
      <c r="G52" s="1538">
        <v>5211062</v>
      </c>
      <c r="H52" s="1538"/>
      <c r="I52" s="1538">
        <v>421844</v>
      </c>
      <c r="J52" s="1538">
        <v>5054997</v>
      </c>
      <c r="K52" s="1538">
        <v>90448</v>
      </c>
      <c r="L52" s="1538">
        <v>156065</v>
      </c>
      <c r="M52" s="1335"/>
      <c r="N52" s="1335"/>
      <c r="O52" s="1335"/>
      <c r="P52" s="1335"/>
    </row>
    <row r="53" spans="1:16" hidden="1">
      <c r="A53" s="1534" t="s">
        <v>29</v>
      </c>
      <c r="B53" s="1538">
        <v>3702832</v>
      </c>
      <c r="C53" s="1538">
        <v>3609503</v>
      </c>
      <c r="D53" s="1538">
        <v>83858</v>
      </c>
      <c r="E53" s="1538">
        <v>93329</v>
      </c>
      <c r="F53" s="1538">
        <v>5899888</v>
      </c>
      <c r="G53" s="1538">
        <v>5471017</v>
      </c>
      <c r="H53" s="1538"/>
      <c r="I53" s="1538">
        <v>428871</v>
      </c>
      <c r="J53" s="1538">
        <v>5313983</v>
      </c>
      <c r="K53" s="1538">
        <v>92132</v>
      </c>
      <c r="L53" s="1538">
        <v>157034</v>
      </c>
      <c r="M53" s="1335"/>
      <c r="N53" s="1335"/>
      <c r="O53" s="1335"/>
      <c r="P53" s="1335"/>
    </row>
    <row r="54" spans="1:16">
      <c r="A54" s="1537" t="s">
        <v>1410</v>
      </c>
      <c r="B54" s="1538">
        <v>5275532</v>
      </c>
      <c r="C54" s="1538">
        <v>5175865</v>
      </c>
      <c r="D54" s="1538">
        <v>89357</v>
      </c>
      <c r="E54" s="1538">
        <v>99667</v>
      </c>
      <c r="F54" s="1538">
        <v>8999842</v>
      </c>
      <c r="G54" s="1538">
        <v>8459677</v>
      </c>
      <c r="H54" s="1538"/>
      <c r="I54" s="1538">
        <v>540165</v>
      </c>
      <c r="J54" s="1538">
        <v>8269663</v>
      </c>
      <c r="K54" s="1538">
        <v>134113</v>
      </c>
      <c r="L54" s="1538">
        <v>190014</v>
      </c>
      <c r="M54" s="1131"/>
      <c r="N54" s="1131"/>
      <c r="O54" s="1131"/>
      <c r="P54" s="1131"/>
    </row>
    <row r="55" spans="1:16" hidden="1">
      <c r="A55" s="1534" t="s">
        <v>18</v>
      </c>
      <c r="B55" s="1504">
        <v>3794593</v>
      </c>
      <c r="C55" s="1504">
        <v>3700693</v>
      </c>
      <c r="D55" s="1504">
        <v>75212</v>
      </c>
      <c r="E55" s="1504">
        <v>93900</v>
      </c>
      <c r="F55" s="1504">
        <v>5677206</v>
      </c>
      <c r="G55" s="1504">
        <v>5248493</v>
      </c>
      <c r="H55" s="1504"/>
      <c r="I55" s="1504">
        <v>428713</v>
      </c>
      <c r="J55" s="1504">
        <v>5076977</v>
      </c>
      <c r="K55" s="1504">
        <v>93884</v>
      </c>
      <c r="L55" s="1504">
        <v>171516</v>
      </c>
      <c r="M55" s="1131"/>
      <c r="N55" s="1131"/>
      <c r="O55" s="1131"/>
      <c r="P55" s="1131"/>
    </row>
    <row r="56" spans="1:16" hidden="1">
      <c r="A56" s="1534" t="s">
        <v>19</v>
      </c>
      <c r="B56" s="1504">
        <v>3916585</v>
      </c>
      <c r="C56" s="1504">
        <v>3820397</v>
      </c>
      <c r="D56" s="1504">
        <v>79184</v>
      </c>
      <c r="E56" s="1504">
        <v>96188</v>
      </c>
      <c r="F56" s="1504">
        <v>5923980</v>
      </c>
      <c r="G56" s="1504">
        <v>5487185</v>
      </c>
      <c r="H56" s="1504"/>
      <c r="I56" s="1504">
        <v>436795</v>
      </c>
      <c r="J56" s="1504">
        <v>5315173</v>
      </c>
      <c r="K56" s="1504">
        <v>98577</v>
      </c>
      <c r="L56" s="1504">
        <v>172012</v>
      </c>
      <c r="M56" s="1131"/>
      <c r="N56" s="1131"/>
      <c r="O56" s="1131"/>
      <c r="P56" s="1131"/>
    </row>
    <row r="57" spans="1:16" hidden="1">
      <c r="A57" s="1534" t="s">
        <v>20</v>
      </c>
      <c r="B57" s="1504">
        <v>4003943</v>
      </c>
      <c r="C57" s="1504">
        <v>3907170</v>
      </c>
      <c r="D57" s="1504">
        <v>79931</v>
      </c>
      <c r="E57" s="1504">
        <v>96773</v>
      </c>
      <c r="F57" s="1504">
        <v>6241709</v>
      </c>
      <c r="G57" s="1504">
        <v>5777900</v>
      </c>
      <c r="H57" s="1504"/>
      <c r="I57" s="1504">
        <v>463809</v>
      </c>
      <c r="J57" s="1504">
        <v>5601833</v>
      </c>
      <c r="K57" s="1504">
        <v>100485</v>
      </c>
      <c r="L57" s="1504">
        <v>176067</v>
      </c>
      <c r="M57" s="1131"/>
      <c r="N57" s="1131"/>
      <c r="O57" s="1131"/>
      <c r="P57" s="1131"/>
    </row>
    <row r="58" spans="1:16" hidden="1">
      <c r="A58" s="1534" t="s">
        <v>21</v>
      </c>
      <c r="B58" s="1504">
        <v>4157795</v>
      </c>
      <c r="C58" s="1504">
        <v>4060550</v>
      </c>
      <c r="D58" s="1504">
        <v>81332</v>
      </c>
      <c r="E58" s="1504">
        <v>97245</v>
      </c>
      <c r="F58" s="1504">
        <v>6584971</v>
      </c>
      <c r="G58" s="1504">
        <v>6113163</v>
      </c>
      <c r="H58" s="1504"/>
      <c r="I58" s="1504">
        <v>471808</v>
      </c>
      <c r="J58" s="1504">
        <v>5938444</v>
      </c>
      <c r="K58" s="1504">
        <v>102116</v>
      </c>
      <c r="L58" s="1504">
        <v>174719</v>
      </c>
      <c r="M58" s="1131"/>
      <c r="N58" s="1131"/>
      <c r="O58" s="1131"/>
      <c r="P58" s="1131"/>
    </row>
    <row r="59" spans="1:16" hidden="1">
      <c r="A59" s="1534" t="s">
        <v>22</v>
      </c>
      <c r="B59" s="1504">
        <v>4274679</v>
      </c>
      <c r="C59" s="1504">
        <v>4178449</v>
      </c>
      <c r="D59" s="1504">
        <v>82828</v>
      </c>
      <c r="E59" s="1504">
        <v>96230</v>
      </c>
      <c r="F59" s="1504">
        <v>6793012</v>
      </c>
      <c r="G59" s="1504">
        <v>6307822</v>
      </c>
      <c r="H59" s="1504"/>
      <c r="I59" s="1504">
        <v>485190</v>
      </c>
      <c r="J59" s="1504">
        <v>6111312</v>
      </c>
      <c r="K59" s="1504">
        <v>125878</v>
      </c>
      <c r="L59" s="1504">
        <v>196510</v>
      </c>
      <c r="M59" s="1131"/>
      <c r="N59" s="1131"/>
      <c r="O59" s="1131"/>
      <c r="P59" s="1131"/>
    </row>
    <row r="60" spans="1:16" hidden="1">
      <c r="A60" s="1534" t="s">
        <v>23</v>
      </c>
      <c r="B60" s="1504">
        <v>4412251</v>
      </c>
      <c r="C60" s="1504">
        <v>4315208</v>
      </c>
      <c r="D60" s="1504">
        <v>83928</v>
      </c>
      <c r="E60" s="1504">
        <v>97043</v>
      </c>
      <c r="F60" s="1504">
        <v>7078725</v>
      </c>
      <c r="G60" s="1504">
        <v>6594824</v>
      </c>
      <c r="H60" s="1504"/>
      <c r="I60" s="1504">
        <v>483901</v>
      </c>
      <c r="J60" s="1504">
        <v>6420247</v>
      </c>
      <c r="K60" s="1504">
        <v>127261</v>
      </c>
      <c r="L60" s="1504">
        <v>174577</v>
      </c>
      <c r="M60" s="1131"/>
      <c r="N60" s="1131"/>
      <c r="O60" s="1131"/>
      <c r="P60" s="1131"/>
    </row>
    <row r="61" spans="1:16" hidden="1">
      <c r="A61" s="1534" t="s">
        <v>24</v>
      </c>
      <c r="B61" s="1504">
        <v>4615706</v>
      </c>
      <c r="C61" s="1504">
        <v>4517856</v>
      </c>
      <c r="D61" s="1504">
        <v>84524</v>
      </c>
      <c r="E61" s="1504">
        <v>97850</v>
      </c>
      <c r="F61" s="1504">
        <v>7385214</v>
      </c>
      <c r="G61" s="1504">
        <v>6894277</v>
      </c>
      <c r="H61" s="1504"/>
      <c r="I61" s="1504">
        <v>490937</v>
      </c>
      <c r="J61" s="1504">
        <v>6727799</v>
      </c>
      <c r="K61" s="1504">
        <v>127200</v>
      </c>
      <c r="L61" s="1504">
        <v>166478</v>
      </c>
      <c r="M61" s="1131"/>
      <c r="N61" s="1131"/>
      <c r="O61" s="1131"/>
      <c r="P61" s="1131"/>
    </row>
    <row r="62" spans="1:16" hidden="1">
      <c r="A62" s="1534" t="s">
        <v>25</v>
      </c>
      <c r="B62" s="1504">
        <v>4755237</v>
      </c>
      <c r="C62" s="1504">
        <v>4654413</v>
      </c>
      <c r="D62" s="1504">
        <v>85866</v>
      </c>
      <c r="E62" s="1504">
        <v>100824</v>
      </c>
      <c r="F62" s="1504">
        <v>7681665</v>
      </c>
      <c r="G62" s="1504">
        <v>7181640</v>
      </c>
      <c r="H62" s="1504"/>
      <c r="I62" s="1504">
        <v>500025</v>
      </c>
      <c r="J62" s="1504">
        <v>7002609</v>
      </c>
      <c r="K62" s="1504">
        <v>129313</v>
      </c>
      <c r="L62" s="1504">
        <v>179031</v>
      </c>
      <c r="M62" s="1131"/>
      <c r="N62" s="1131"/>
      <c r="O62" s="1131"/>
      <c r="P62" s="1131"/>
    </row>
    <row r="63" spans="1:16" hidden="1">
      <c r="A63" s="1534" t="s">
        <v>26</v>
      </c>
      <c r="B63" s="1504">
        <v>4860358</v>
      </c>
      <c r="C63" s="1504">
        <v>4761452</v>
      </c>
      <c r="D63" s="1504">
        <v>85676</v>
      </c>
      <c r="E63" s="1504">
        <v>98906</v>
      </c>
      <c r="F63" s="1504">
        <v>8009442</v>
      </c>
      <c r="G63" s="1504">
        <v>7502445</v>
      </c>
      <c r="H63" s="1504"/>
      <c r="I63" s="1504">
        <v>506997</v>
      </c>
      <c r="J63" s="1504">
        <v>7324918</v>
      </c>
      <c r="K63" s="1504">
        <v>130797</v>
      </c>
      <c r="L63" s="1504">
        <v>177527</v>
      </c>
      <c r="M63" s="1131"/>
      <c r="N63" s="1131"/>
      <c r="O63" s="1131"/>
      <c r="P63" s="1131"/>
    </row>
    <row r="64" spans="1:16" hidden="1">
      <c r="A64" s="1534" t="s">
        <v>27</v>
      </c>
      <c r="B64" s="1504">
        <v>5110636</v>
      </c>
      <c r="C64" s="1504">
        <v>5009287</v>
      </c>
      <c r="D64" s="1504">
        <v>89288</v>
      </c>
      <c r="E64" s="1504">
        <v>101349</v>
      </c>
      <c r="F64" s="1504">
        <v>8382999</v>
      </c>
      <c r="G64" s="1504">
        <v>7860256</v>
      </c>
      <c r="H64" s="1504"/>
      <c r="I64" s="1504">
        <v>522743</v>
      </c>
      <c r="J64" s="1504">
        <v>7679541</v>
      </c>
      <c r="K64" s="1504">
        <v>131050</v>
      </c>
      <c r="L64" s="1504">
        <v>180715</v>
      </c>
      <c r="M64" s="1131"/>
      <c r="N64" s="1131"/>
      <c r="O64" s="1131"/>
      <c r="P64" s="1131"/>
    </row>
    <row r="65" spans="1:16" hidden="1">
      <c r="A65" s="1534" t="s">
        <v>28</v>
      </c>
      <c r="B65" s="1504">
        <v>5178214</v>
      </c>
      <c r="C65" s="1504">
        <v>5082662</v>
      </c>
      <c r="D65" s="1504">
        <v>87776</v>
      </c>
      <c r="E65" s="1504">
        <v>95552</v>
      </c>
      <c r="F65" s="1504">
        <v>8658990</v>
      </c>
      <c r="G65" s="1504">
        <v>8128804</v>
      </c>
      <c r="H65" s="1504"/>
      <c r="I65" s="1504">
        <v>530186</v>
      </c>
      <c r="J65" s="1504">
        <v>7944250</v>
      </c>
      <c r="K65" s="1504">
        <v>134941</v>
      </c>
      <c r="L65" s="1504">
        <v>184554</v>
      </c>
      <c r="M65" s="1131"/>
      <c r="N65" s="1131"/>
      <c r="O65" s="1131"/>
      <c r="P65" s="1131"/>
    </row>
    <row r="66" spans="1:16" hidden="1">
      <c r="A66" s="1534" t="s">
        <v>29</v>
      </c>
      <c r="B66" s="1504">
        <v>5275532</v>
      </c>
      <c r="C66" s="1504">
        <v>5175865</v>
      </c>
      <c r="D66" s="1504">
        <v>89357</v>
      </c>
      <c r="E66" s="1504">
        <v>99667</v>
      </c>
      <c r="F66" s="1504">
        <v>8999842</v>
      </c>
      <c r="G66" s="1504">
        <v>8459677</v>
      </c>
      <c r="H66" s="1504"/>
      <c r="I66" s="1504">
        <v>540165</v>
      </c>
      <c r="J66" s="1504">
        <v>8269663</v>
      </c>
      <c r="K66" s="1504">
        <v>134113</v>
      </c>
      <c r="L66" s="1504">
        <v>190014</v>
      </c>
      <c r="M66" s="721"/>
      <c r="N66" s="721"/>
      <c r="O66" s="721"/>
      <c r="P66" s="721"/>
    </row>
    <row r="67" spans="1:16">
      <c r="A67" s="1537" t="s">
        <v>1621</v>
      </c>
      <c r="B67" s="1438">
        <v>5146029</v>
      </c>
      <c r="C67" s="1438">
        <v>5049500</v>
      </c>
      <c r="D67" s="1438">
        <v>168941</v>
      </c>
      <c r="E67" s="1438">
        <v>96529</v>
      </c>
      <c r="F67" s="1438">
        <v>13985130</v>
      </c>
      <c r="G67" s="1438">
        <v>10447130</v>
      </c>
      <c r="H67" s="1438">
        <v>3136408</v>
      </c>
      <c r="I67" s="1438">
        <v>401592</v>
      </c>
      <c r="J67" s="1438">
        <v>10271550</v>
      </c>
      <c r="K67" s="1438">
        <v>184280</v>
      </c>
      <c r="L67" s="1438">
        <v>175580</v>
      </c>
      <c r="M67" s="1131"/>
      <c r="N67" s="1131"/>
      <c r="O67" s="1131"/>
      <c r="P67" s="1131"/>
    </row>
    <row r="68" spans="1:16" hidden="1">
      <c r="A68" s="1534" t="s">
        <v>18</v>
      </c>
      <c r="B68" s="1504">
        <v>4839561</v>
      </c>
      <c r="C68" s="1504">
        <v>4741921</v>
      </c>
      <c r="D68" s="1504">
        <v>91741</v>
      </c>
      <c r="E68" s="1504">
        <v>97640</v>
      </c>
      <c r="F68" s="1504">
        <v>9073335</v>
      </c>
      <c r="G68" s="1504">
        <v>8553925</v>
      </c>
      <c r="H68" s="1504"/>
      <c r="I68" s="1504">
        <v>519410</v>
      </c>
      <c r="J68" s="1504">
        <v>8368683</v>
      </c>
      <c r="K68" s="1504">
        <v>138247</v>
      </c>
      <c r="L68" s="1504">
        <v>185242</v>
      </c>
      <c r="M68" s="1131"/>
      <c r="N68" s="1131"/>
      <c r="O68" s="1131"/>
      <c r="P68" s="1131"/>
    </row>
    <row r="69" spans="1:16" hidden="1">
      <c r="A69" s="1534" t="s">
        <v>19</v>
      </c>
      <c r="B69" s="1504">
        <v>4350499</v>
      </c>
      <c r="C69" s="1504">
        <v>4253059</v>
      </c>
      <c r="D69" s="1504">
        <v>87354</v>
      </c>
      <c r="E69" s="1504">
        <v>97440</v>
      </c>
      <c r="F69" s="1504">
        <v>10449446</v>
      </c>
      <c r="G69" s="1504">
        <v>7887474</v>
      </c>
      <c r="H69" s="1504">
        <v>2267892</v>
      </c>
      <c r="I69" s="1504">
        <v>294080</v>
      </c>
      <c r="J69" s="1504">
        <v>7726419</v>
      </c>
      <c r="K69" s="1504">
        <v>129629</v>
      </c>
      <c r="L69" s="1504">
        <v>161055</v>
      </c>
      <c r="M69" s="1131"/>
      <c r="N69" s="1131"/>
      <c r="O69" s="1131"/>
      <c r="P69" s="1131"/>
    </row>
    <row r="70" spans="1:16" hidden="1">
      <c r="A70" s="1534" t="s">
        <v>20</v>
      </c>
      <c r="B70" s="1504">
        <v>4382781</v>
      </c>
      <c r="C70" s="1504">
        <v>4292809</v>
      </c>
      <c r="D70" s="1504">
        <v>91047</v>
      </c>
      <c r="E70" s="1504">
        <v>89972</v>
      </c>
      <c r="F70" s="1504">
        <v>10747591</v>
      </c>
      <c r="G70" s="1504">
        <v>8098597</v>
      </c>
      <c r="H70" s="1504">
        <v>2345808</v>
      </c>
      <c r="I70" s="1504">
        <v>303186</v>
      </c>
      <c r="J70" s="1504">
        <v>7936357</v>
      </c>
      <c r="K70" s="1504">
        <v>136123</v>
      </c>
      <c r="L70" s="1504">
        <v>162240</v>
      </c>
      <c r="M70" s="1131"/>
      <c r="N70" s="1131"/>
      <c r="O70" s="1131"/>
      <c r="P70" s="1131"/>
    </row>
    <row r="71" spans="1:16" hidden="1">
      <c r="A71" s="1534" t="s">
        <v>21</v>
      </c>
      <c r="B71" s="1504">
        <v>4505563</v>
      </c>
      <c r="C71" s="1504">
        <v>4414764</v>
      </c>
      <c r="D71" s="1504">
        <v>103230</v>
      </c>
      <c r="E71" s="1504">
        <v>90799</v>
      </c>
      <c r="F71" s="1504">
        <v>11163629</v>
      </c>
      <c r="G71" s="1504">
        <v>8425491</v>
      </c>
      <c r="H71" s="1504">
        <v>2429275</v>
      </c>
      <c r="I71" s="1504">
        <v>308863</v>
      </c>
      <c r="J71" s="1504">
        <v>8254305</v>
      </c>
      <c r="K71" s="1504">
        <v>144354</v>
      </c>
      <c r="L71" s="1504">
        <v>171186</v>
      </c>
      <c r="M71" s="1131"/>
      <c r="N71" s="1131"/>
      <c r="O71" s="1131"/>
      <c r="P71" s="1131"/>
    </row>
    <row r="72" spans="1:16" hidden="1">
      <c r="A72" s="1534" t="s">
        <v>22</v>
      </c>
      <c r="B72" s="1504">
        <v>4640809</v>
      </c>
      <c r="C72" s="1504">
        <v>4548984</v>
      </c>
      <c r="D72" s="1504">
        <v>114871</v>
      </c>
      <c r="E72" s="1504">
        <v>91825</v>
      </c>
      <c r="F72" s="1504">
        <v>11580494</v>
      </c>
      <c r="G72" s="1504">
        <v>8722149</v>
      </c>
      <c r="H72" s="1504">
        <v>2535111</v>
      </c>
      <c r="I72" s="1504">
        <v>323234</v>
      </c>
      <c r="J72" s="1504">
        <v>8545788</v>
      </c>
      <c r="K72" s="1504">
        <v>151969</v>
      </c>
      <c r="L72" s="1504">
        <v>176361</v>
      </c>
      <c r="M72" s="1131"/>
      <c r="N72" s="1131"/>
      <c r="O72" s="1131"/>
      <c r="P72" s="1131"/>
    </row>
    <row r="73" spans="1:16" hidden="1">
      <c r="A73" s="1534" t="s">
        <v>23</v>
      </c>
      <c r="B73" s="1504">
        <v>4754509</v>
      </c>
      <c r="C73" s="1504">
        <v>4661812</v>
      </c>
      <c r="D73" s="1504">
        <v>119894</v>
      </c>
      <c r="E73" s="1504">
        <v>92697</v>
      </c>
      <c r="F73" s="1504">
        <v>11917159</v>
      </c>
      <c r="G73" s="1504">
        <v>8956740</v>
      </c>
      <c r="H73" s="1504">
        <v>2623989</v>
      </c>
      <c r="I73" s="1504">
        <v>336430</v>
      </c>
      <c r="J73" s="1504">
        <v>8782541</v>
      </c>
      <c r="K73" s="1504">
        <v>161292</v>
      </c>
      <c r="L73" s="1504">
        <v>174199</v>
      </c>
      <c r="M73" s="904"/>
      <c r="N73" s="904"/>
      <c r="O73" s="904"/>
      <c r="P73" s="904"/>
    </row>
    <row r="74" spans="1:16" hidden="1">
      <c r="A74" s="1534" t="s">
        <v>24</v>
      </c>
      <c r="B74" s="1533">
        <v>4877035</v>
      </c>
      <c r="C74" s="1533">
        <v>4783165</v>
      </c>
      <c r="D74" s="1533">
        <v>136195</v>
      </c>
      <c r="E74" s="1533">
        <v>93870</v>
      </c>
      <c r="F74" s="1533">
        <v>12271873</v>
      </c>
      <c r="G74" s="1533">
        <v>9230102</v>
      </c>
      <c r="H74" s="1533">
        <v>2694253</v>
      </c>
      <c r="I74" s="1533">
        <v>347518</v>
      </c>
      <c r="J74" s="1533">
        <v>9054303</v>
      </c>
      <c r="K74" s="1533">
        <v>167157</v>
      </c>
      <c r="L74" s="1533">
        <v>175799</v>
      </c>
      <c r="M74" s="904"/>
      <c r="N74" s="904"/>
      <c r="O74" s="904"/>
      <c r="P74" s="904"/>
    </row>
    <row r="75" spans="1:16" hidden="1">
      <c r="A75" s="1534" t="s">
        <v>25</v>
      </c>
      <c r="B75" s="1533">
        <v>4998381</v>
      </c>
      <c r="C75" s="1533">
        <v>4904285</v>
      </c>
      <c r="D75" s="1533">
        <v>143714</v>
      </c>
      <c r="E75" s="1533">
        <v>94096</v>
      </c>
      <c r="F75" s="1533">
        <v>12634082</v>
      </c>
      <c r="G75" s="1533">
        <v>9481842</v>
      </c>
      <c r="H75" s="1533">
        <v>2794467</v>
      </c>
      <c r="I75" s="1533">
        <v>357773</v>
      </c>
      <c r="J75" s="1533">
        <v>9305220</v>
      </c>
      <c r="K75" s="1533">
        <v>171037</v>
      </c>
      <c r="L75" s="1533">
        <v>176622</v>
      </c>
      <c r="M75" s="904"/>
      <c r="N75" s="904"/>
      <c r="O75" s="904"/>
      <c r="P75" s="904"/>
    </row>
    <row r="76" spans="1:16" hidden="1">
      <c r="A76" s="1534" t="s">
        <v>26</v>
      </c>
      <c r="B76" s="1533">
        <v>5084965</v>
      </c>
      <c r="C76" s="1533">
        <v>4989783</v>
      </c>
      <c r="D76" s="1533">
        <v>149974</v>
      </c>
      <c r="E76" s="1533">
        <v>95182</v>
      </c>
      <c r="F76" s="1533">
        <v>12980149</v>
      </c>
      <c r="G76" s="1533">
        <v>9718336</v>
      </c>
      <c r="H76" s="1533">
        <v>2893596</v>
      </c>
      <c r="I76" s="1533">
        <v>368217</v>
      </c>
      <c r="J76" s="1533">
        <v>9540564</v>
      </c>
      <c r="K76" s="1533">
        <v>174308</v>
      </c>
      <c r="L76" s="1533">
        <v>177772</v>
      </c>
      <c r="M76" s="904"/>
      <c r="N76" s="904"/>
      <c r="O76" s="904"/>
      <c r="P76" s="904"/>
    </row>
    <row r="77" spans="1:16" hidden="1">
      <c r="A77" s="1534" t="s">
        <v>27</v>
      </c>
      <c r="B77" s="1533">
        <v>5238250</v>
      </c>
      <c r="C77" s="1533">
        <v>5138124</v>
      </c>
      <c r="D77" s="1533">
        <v>158888</v>
      </c>
      <c r="E77" s="1533">
        <v>100126</v>
      </c>
      <c r="F77" s="1533">
        <v>13465080</v>
      </c>
      <c r="G77" s="1533">
        <v>10083739</v>
      </c>
      <c r="H77" s="1533">
        <v>3003322</v>
      </c>
      <c r="I77" s="1533">
        <v>378019</v>
      </c>
      <c r="J77" s="1533">
        <v>9901652</v>
      </c>
      <c r="K77" s="1533">
        <v>179977</v>
      </c>
      <c r="L77" s="1533">
        <v>182087</v>
      </c>
      <c r="M77" s="904"/>
      <c r="N77" s="904"/>
      <c r="O77" s="904"/>
      <c r="P77" s="904"/>
    </row>
    <row r="78" spans="1:16" hidden="1">
      <c r="A78" s="1534" t="s">
        <v>28</v>
      </c>
      <c r="B78" s="1533">
        <v>5356242</v>
      </c>
      <c r="C78" s="1533">
        <v>5255866</v>
      </c>
      <c r="D78" s="1533">
        <v>165720</v>
      </c>
      <c r="E78" s="1533">
        <v>100376</v>
      </c>
      <c r="F78" s="1533">
        <v>13894410</v>
      </c>
      <c r="G78" s="1533">
        <v>10435538</v>
      </c>
      <c r="H78" s="1533">
        <v>3070297</v>
      </c>
      <c r="I78" s="1533">
        <v>388575</v>
      </c>
      <c r="J78" s="1533">
        <v>10254295</v>
      </c>
      <c r="K78" s="1533">
        <v>183981</v>
      </c>
      <c r="L78" s="1533">
        <v>181243</v>
      </c>
      <c r="M78" s="904"/>
      <c r="N78" s="904"/>
      <c r="O78" s="904"/>
      <c r="P78" s="904"/>
    </row>
    <row r="79" spans="1:16" hidden="1">
      <c r="A79" s="1534">
        <v>12</v>
      </c>
      <c r="B79" s="1533">
        <v>5146029</v>
      </c>
      <c r="C79" s="1533">
        <v>5049500</v>
      </c>
      <c r="D79" s="1533">
        <v>168941</v>
      </c>
      <c r="E79" s="1533">
        <v>96529</v>
      </c>
      <c r="F79" s="1533">
        <v>13985130</v>
      </c>
      <c r="G79" s="1533">
        <v>10447130</v>
      </c>
      <c r="H79" s="1533">
        <v>3136408</v>
      </c>
      <c r="I79" s="1533">
        <v>401592</v>
      </c>
      <c r="J79" s="1533">
        <v>10271550</v>
      </c>
      <c r="K79" s="1533">
        <v>184280</v>
      </c>
      <c r="L79" s="1533">
        <v>175580</v>
      </c>
      <c r="M79" s="721"/>
      <c r="N79" s="721"/>
      <c r="O79" s="721"/>
      <c r="P79" s="721"/>
    </row>
    <row r="80" spans="1:16">
      <c r="A80" s="1534" t="s">
        <v>1816</v>
      </c>
      <c r="B80" s="1438">
        <v>5716385</v>
      </c>
      <c r="C80" s="1438">
        <v>5607028</v>
      </c>
      <c r="D80" s="1438">
        <v>181202</v>
      </c>
      <c r="E80" s="1438">
        <v>109357</v>
      </c>
      <c r="F80" s="1438">
        <v>16229206</v>
      </c>
      <c r="G80" s="1438">
        <v>12647950</v>
      </c>
      <c r="H80" s="1438">
        <v>3120393</v>
      </c>
      <c r="I80" s="1438">
        <v>460863</v>
      </c>
      <c r="J80" s="1438">
        <v>12462546</v>
      </c>
      <c r="K80" s="1438">
        <v>203949</v>
      </c>
      <c r="L80" s="1438">
        <v>185404</v>
      </c>
      <c r="M80" s="904"/>
      <c r="N80" s="904"/>
      <c r="O80" s="904"/>
      <c r="P80" s="904"/>
    </row>
    <row r="81" spans="1:16">
      <c r="A81" s="1534" t="s">
        <v>18</v>
      </c>
      <c r="B81" s="1533">
        <v>5062382</v>
      </c>
      <c r="C81" s="1533">
        <v>4967148</v>
      </c>
      <c r="D81" s="1533">
        <v>167372</v>
      </c>
      <c r="E81" s="1533">
        <v>95234</v>
      </c>
      <c r="F81" s="1533">
        <v>13807552</v>
      </c>
      <c r="G81" s="1533">
        <v>10396083</v>
      </c>
      <c r="H81" s="1533">
        <v>3024092</v>
      </c>
      <c r="I81" s="1533">
        <v>387377</v>
      </c>
      <c r="J81" s="1533">
        <v>10229764</v>
      </c>
      <c r="K81" s="1533">
        <v>156412</v>
      </c>
      <c r="L81" s="1533">
        <v>166319</v>
      </c>
      <c r="M81" s="904"/>
      <c r="N81" s="904"/>
      <c r="O81" s="904"/>
      <c r="P81" s="904"/>
    </row>
    <row r="82" spans="1:16">
      <c r="A82" s="1534" t="s">
        <v>19</v>
      </c>
      <c r="B82" s="1533">
        <v>5094417</v>
      </c>
      <c r="C82" s="1533">
        <v>4997027</v>
      </c>
      <c r="D82" s="1533">
        <v>168410</v>
      </c>
      <c r="E82" s="1533">
        <v>97390</v>
      </c>
      <c r="F82" s="1533">
        <v>14195742</v>
      </c>
      <c r="G82" s="1533">
        <v>10741162</v>
      </c>
      <c r="H82" s="1533">
        <v>3048363</v>
      </c>
      <c r="I82" s="1533">
        <v>406217</v>
      </c>
      <c r="J82" s="1533">
        <v>10564842</v>
      </c>
      <c r="K82" s="1533">
        <v>191634</v>
      </c>
      <c r="L82" s="1533">
        <v>176320</v>
      </c>
      <c r="M82" s="904"/>
      <c r="N82" s="904"/>
      <c r="O82" s="904"/>
      <c r="P82" s="904"/>
    </row>
    <row r="83" spans="1:16">
      <c r="A83" s="1534" t="s">
        <v>20</v>
      </c>
      <c r="B83" s="1533">
        <v>5137523</v>
      </c>
      <c r="C83" s="1533">
        <v>5035778</v>
      </c>
      <c r="D83" s="1533">
        <v>167855</v>
      </c>
      <c r="E83" s="1533">
        <v>101745</v>
      </c>
      <c r="F83" s="1533">
        <v>14443879</v>
      </c>
      <c r="G83" s="1533">
        <v>10926165</v>
      </c>
      <c r="H83" s="1533">
        <v>3088855</v>
      </c>
      <c r="I83" s="1533">
        <v>428859</v>
      </c>
      <c r="J83" s="1533">
        <v>10746476</v>
      </c>
      <c r="K83" s="1533">
        <v>189678</v>
      </c>
      <c r="L83" s="1533">
        <v>179689</v>
      </c>
      <c r="M83" s="904"/>
      <c r="N83" s="904"/>
      <c r="O83" s="904"/>
      <c r="P83" s="904"/>
    </row>
    <row r="84" spans="1:16">
      <c r="A84" s="1534" t="s">
        <v>21</v>
      </c>
      <c r="B84" s="1533">
        <v>5273663</v>
      </c>
      <c r="C84" s="1533">
        <v>5168438</v>
      </c>
      <c r="D84" s="1533">
        <v>171164</v>
      </c>
      <c r="E84" s="1533">
        <v>105225</v>
      </c>
      <c r="F84" s="1533">
        <v>14688425</v>
      </c>
      <c r="G84" s="1533">
        <v>11153454</v>
      </c>
      <c r="H84" s="1533">
        <v>3115450</v>
      </c>
      <c r="I84" s="1533">
        <v>419521</v>
      </c>
      <c r="J84" s="1533">
        <v>10974586</v>
      </c>
      <c r="K84" s="1533">
        <v>192878</v>
      </c>
      <c r="L84" s="1533">
        <v>178868</v>
      </c>
      <c r="M84" s="904"/>
      <c r="N84" s="904"/>
      <c r="O84" s="904"/>
      <c r="P84" s="904"/>
    </row>
    <row r="85" spans="1:16">
      <c r="A85" s="1534" t="s">
        <v>22</v>
      </c>
      <c r="B85" s="1533">
        <v>5348165</v>
      </c>
      <c r="C85" s="1533">
        <v>5242157</v>
      </c>
      <c r="D85" s="1533">
        <v>173090</v>
      </c>
      <c r="E85" s="1533">
        <v>106008</v>
      </c>
      <c r="F85" s="1533">
        <v>14948439</v>
      </c>
      <c r="G85" s="1533">
        <v>11393849</v>
      </c>
      <c r="H85" s="1533">
        <v>3129415</v>
      </c>
      <c r="I85" s="1533">
        <v>425175</v>
      </c>
      <c r="J85" s="1533">
        <v>11213759</v>
      </c>
      <c r="K85" s="1533">
        <v>195383</v>
      </c>
      <c r="L85" s="1533">
        <v>180090</v>
      </c>
      <c r="M85" s="904"/>
      <c r="N85" s="904"/>
      <c r="O85" s="904"/>
      <c r="P85" s="904"/>
    </row>
    <row r="86" spans="1:16">
      <c r="A86" s="1534" t="s">
        <v>23</v>
      </c>
      <c r="B86" s="1533">
        <v>5413682</v>
      </c>
      <c r="C86" s="1533">
        <v>5307065</v>
      </c>
      <c r="D86" s="1533">
        <v>174695</v>
      </c>
      <c r="E86" s="1533">
        <v>106617</v>
      </c>
      <c r="F86" s="1533">
        <v>15102254</v>
      </c>
      <c r="G86" s="1533">
        <v>11601970</v>
      </c>
      <c r="H86" s="1533">
        <v>3067691</v>
      </c>
      <c r="I86" s="1533">
        <v>432593</v>
      </c>
      <c r="J86" s="1533">
        <v>11420488</v>
      </c>
      <c r="K86" s="1533">
        <v>198022</v>
      </c>
      <c r="L86" s="1533">
        <v>181482</v>
      </c>
      <c r="M86" s="904"/>
      <c r="N86" s="904"/>
      <c r="O86" s="904"/>
      <c r="P86" s="904"/>
    </row>
    <row r="87" spans="1:16">
      <c r="A87" s="1534" t="s">
        <v>24</v>
      </c>
      <c r="B87" s="1533">
        <v>5431083</v>
      </c>
      <c r="C87" s="1533">
        <v>5324835</v>
      </c>
      <c r="D87" s="1533">
        <v>175196</v>
      </c>
      <c r="E87" s="1533">
        <v>106034</v>
      </c>
      <c r="F87" s="1533">
        <v>15316682</v>
      </c>
      <c r="G87" s="1533">
        <v>11761467</v>
      </c>
      <c r="H87" s="1533">
        <v>3118972</v>
      </c>
      <c r="I87" s="1533">
        <v>436243</v>
      </c>
      <c r="J87" s="1533">
        <v>11582152</v>
      </c>
      <c r="K87" s="1533">
        <v>198779</v>
      </c>
      <c r="L87" s="1533">
        <v>179315</v>
      </c>
      <c r="M87" s="904"/>
      <c r="N87" s="904"/>
      <c r="O87" s="904"/>
      <c r="P87" s="904"/>
    </row>
    <row r="88" spans="1:16">
      <c r="A88" s="1534" t="s">
        <v>25</v>
      </c>
      <c r="B88" s="1533">
        <v>5495120</v>
      </c>
      <c r="C88" s="1533">
        <v>5388346</v>
      </c>
      <c r="D88" s="1533">
        <v>171641</v>
      </c>
      <c r="E88" s="1533">
        <v>106774</v>
      </c>
      <c r="F88" s="1533">
        <v>15569158</v>
      </c>
      <c r="G88" s="1533">
        <v>11986947</v>
      </c>
      <c r="H88" s="1533">
        <v>3142999</v>
      </c>
      <c r="I88" s="1533">
        <v>439212</v>
      </c>
      <c r="J88" s="1533">
        <v>11806511</v>
      </c>
      <c r="K88" s="1533">
        <v>200638</v>
      </c>
      <c r="L88" s="1533">
        <v>180436</v>
      </c>
      <c r="M88" s="904"/>
      <c r="N88" s="904"/>
      <c r="O88" s="904"/>
      <c r="P88" s="904"/>
    </row>
    <row r="89" spans="1:16">
      <c r="A89" s="1534" t="s">
        <v>26</v>
      </c>
      <c r="B89" s="1533">
        <v>5560451</v>
      </c>
      <c r="C89" s="1533">
        <v>5453024</v>
      </c>
      <c r="D89" s="1533">
        <v>176958</v>
      </c>
      <c r="E89" s="1533">
        <v>107427</v>
      </c>
      <c r="F89" s="1533">
        <v>15804402</v>
      </c>
      <c r="G89" s="1533">
        <v>12192605</v>
      </c>
      <c r="H89" s="1533">
        <v>3165211</v>
      </c>
      <c r="I89" s="1533">
        <v>446586</v>
      </c>
      <c r="J89" s="1533">
        <v>12011113</v>
      </c>
      <c r="K89" s="1533">
        <v>201654</v>
      </c>
      <c r="L89" s="1533">
        <v>181492</v>
      </c>
      <c r="M89" s="904"/>
      <c r="N89" s="904"/>
      <c r="O89" s="904"/>
      <c r="P89" s="904"/>
    </row>
    <row r="90" spans="1:16">
      <c r="A90" s="1534" t="s">
        <v>27</v>
      </c>
      <c r="B90" s="1533">
        <v>5644834</v>
      </c>
      <c r="C90" s="1533">
        <v>5535793</v>
      </c>
      <c r="D90" s="1533">
        <v>178296</v>
      </c>
      <c r="E90" s="1533">
        <v>109041</v>
      </c>
      <c r="F90" s="1533">
        <v>15957945</v>
      </c>
      <c r="G90" s="1533">
        <v>12366584</v>
      </c>
      <c r="H90" s="1533">
        <v>3135513</v>
      </c>
      <c r="I90" s="1533">
        <v>455848</v>
      </c>
      <c r="J90" s="1533">
        <v>12183363</v>
      </c>
      <c r="K90" s="1533">
        <v>242124</v>
      </c>
      <c r="L90" s="1533">
        <v>183221</v>
      </c>
      <c r="M90" s="904"/>
      <c r="N90" s="904"/>
      <c r="O90" s="904"/>
      <c r="P90" s="904"/>
    </row>
    <row r="91" spans="1:16">
      <c r="A91" s="1534" t="s">
        <v>28</v>
      </c>
      <c r="B91" s="1533">
        <v>5667387</v>
      </c>
      <c r="C91" s="1533">
        <v>5557126</v>
      </c>
      <c r="D91" s="1533">
        <v>176423</v>
      </c>
      <c r="E91" s="1533">
        <v>110261</v>
      </c>
      <c r="F91" s="1533">
        <v>16097280</v>
      </c>
      <c r="G91" s="1533">
        <v>12489859</v>
      </c>
      <c r="H91" s="1533">
        <v>3147708</v>
      </c>
      <c r="I91" s="1533">
        <v>459713</v>
      </c>
      <c r="J91" s="1533">
        <v>12306022</v>
      </c>
      <c r="K91" s="1533">
        <v>200104</v>
      </c>
      <c r="L91" s="1533">
        <v>183837</v>
      </c>
      <c r="M91" s="904"/>
      <c r="N91" s="904"/>
      <c r="O91" s="904"/>
      <c r="P91" s="904"/>
    </row>
    <row r="92" spans="1:16">
      <c r="A92" s="1534" t="s">
        <v>29</v>
      </c>
      <c r="B92" s="1533">
        <v>5716385</v>
      </c>
      <c r="C92" s="1533">
        <v>5607028</v>
      </c>
      <c r="D92" s="1533">
        <v>181202</v>
      </c>
      <c r="E92" s="1533">
        <v>109357</v>
      </c>
      <c r="F92" s="1533">
        <v>16229206</v>
      </c>
      <c r="G92" s="1533">
        <v>12647950</v>
      </c>
      <c r="H92" s="1533">
        <v>3120393</v>
      </c>
      <c r="I92" s="1533">
        <v>460863</v>
      </c>
      <c r="J92" s="1533">
        <v>12462546</v>
      </c>
      <c r="K92" s="1533">
        <v>203949</v>
      </c>
      <c r="L92" s="1533">
        <v>185404</v>
      </c>
      <c r="M92" s="904"/>
      <c r="N92" s="904"/>
      <c r="O92" s="904"/>
      <c r="P92" s="904"/>
    </row>
    <row r="93" spans="1:16">
      <c r="A93" s="1534" t="s">
        <v>1839</v>
      </c>
      <c r="B93" s="1438">
        <v>5386819</v>
      </c>
      <c r="C93" s="1438">
        <v>5314184</v>
      </c>
      <c r="D93" s="1438">
        <v>172868</v>
      </c>
      <c r="E93" s="1438">
        <v>72635</v>
      </c>
      <c r="F93" s="1438">
        <v>15195751</v>
      </c>
      <c r="G93" s="1438">
        <v>12512490</v>
      </c>
      <c r="H93" s="1438">
        <v>2304585</v>
      </c>
      <c r="I93" s="1438">
        <v>378676</v>
      </c>
      <c r="J93" s="1438">
        <v>12379083</v>
      </c>
      <c r="K93" s="1438">
        <v>169626</v>
      </c>
      <c r="L93" s="1438">
        <v>133407</v>
      </c>
      <c r="M93" s="1536"/>
      <c r="N93" s="1536"/>
      <c r="O93" s="1536"/>
      <c r="P93" s="1536"/>
    </row>
    <row r="94" spans="1:16">
      <c r="A94" s="1534" t="s">
        <v>18</v>
      </c>
      <c r="B94" s="1533">
        <v>5420958</v>
      </c>
      <c r="C94" s="1533">
        <v>5334993</v>
      </c>
      <c r="D94" s="1533">
        <v>165406</v>
      </c>
      <c r="E94" s="1533">
        <v>85965</v>
      </c>
      <c r="F94" s="1533">
        <v>15654937</v>
      </c>
      <c r="G94" s="1533">
        <v>12272139</v>
      </c>
      <c r="H94" s="1533">
        <v>2961394</v>
      </c>
      <c r="I94" s="1533">
        <v>421404</v>
      </c>
      <c r="J94" s="1533">
        <v>12114523</v>
      </c>
      <c r="K94" s="1533">
        <v>161078</v>
      </c>
      <c r="L94" s="1533">
        <v>157616</v>
      </c>
      <c r="M94" s="1491"/>
      <c r="N94" s="1491"/>
      <c r="O94" s="1491"/>
      <c r="P94" s="1491"/>
    </row>
    <row r="95" spans="1:16">
      <c r="A95" s="1534" t="s">
        <v>19</v>
      </c>
      <c r="B95" s="1533">
        <v>5499131</v>
      </c>
      <c r="C95" s="1533">
        <v>5412518</v>
      </c>
      <c r="D95" s="1533">
        <v>168737</v>
      </c>
      <c r="E95" s="1533">
        <v>86613</v>
      </c>
      <c r="F95" s="1533">
        <v>15705855</v>
      </c>
      <c r="G95" s="1533">
        <v>12379828</v>
      </c>
      <c r="H95" s="1533">
        <v>2906969</v>
      </c>
      <c r="I95" s="1533">
        <v>419058</v>
      </c>
      <c r="J95" s="1533">
        <v>12219249</v>
      </c>
      <c r="K95" s="1533">
        <v>167231</v>
      </c>
      <c r="L95" s="1533">
        <v>160579</v>
      </c>
      <c r="M95" s="1491"/>
      <c r="N95" s="1491"/>
      <c r="O95" s="1491"/>
      <c r="P95" s="1491"/>
    </row>
    <row r="96" spans="1:16">
      <c r="A96" s="1534" t="s">
        <v>20</v>
      </c>
      <c r="B96" s="1533">
        <v>5547620</v>
      </c>
      <c r="C96" s="1533">
        <v>5458954</v>
      </c>
      <c r="D96" s="1533">
        <v>172796</v>
      </c>
      <c r="E96" s="1533">
        <v>88666</v>
      </c>
      <c r="F96" s="1533">
        <v>15790758</v>
      </c>
      <c r="G96" s="1533">
        <v>12481836</v>
      </c>
      <c r="H96" s="1533">
        <v>2888220</v>
      </c>
      <c r="I96" s="1533">
        <v>420702</v>
      </c>
      <c r="J96" s="1533">
        <v>12318108</v>
      </c>
      <c r="K96" s="1533">
        <v>171004</v>
      </c>
      <c r="L96" s="1533">
        <v>163728</v>
      </c>
      <c r="M96" s="1491"/>
      <c r="N96" s="1491"/>
      <c r="O96" s="1491"/>
      <c r="P96" s="1491"/>
    </row>
    <row r="97" spans="1:16">
      <c r="A97" s="1534" t="s">
        <v>21</v>
      </c>
      <c r="B97" s="1533">
        <v>5558982</v>
      </c>
      <c r="C97" s="1533">
        <v>5469774</v>
      </c>
      <c r="D97" s="1533">
        <v>172903</v>
      </c>
      <c r="E97" s="1533">
        <v>89208</v>
      </c>
      <c r="F97" s="1533">
        <v>15729229</v>
      </c>
      <c r="G97" s="1533">
        <v>12517260</v>
      </c>
      <c r="H97" s="1533">
        <v>2791766</v>
      </c>
      <c r="I97" s="1533">
        <v>420203</v>
      </c>
      <c r="J97" s="1533">
        <v>12351710</v>
      </c>
      <c r="K97" s="1533">
        <v>170874</v>
      </c>
      <c r="L97" s="1533">
        <v>165550</v>
      </c>
      <c r="M97" s="1491"/>
      <c r="N97" s="1491"/>
      <c r="O97" s="1491"/>
      <c r="P97" s="1491"/>
    </row>
    <row r="98" spans="1:16">
      <c r="A98" s="1534" t="s">
        <v>22</v>
      </c>
      <c r="B98" s="1533">
        <v>5562229</v>
      </c>
      <c r="C98" s="1533">
        <v>5475145</v>
      </c>
      <c r="D98" s="1533">
        <v>176607</v>
      </c>
      <c r="E98" s="1533">
        <v>87084</v>
      </c>
      <c r="F98" s="1533">
        <v>15585865</v>
      </c>
      <c r="G98" s="1533">
        <v>12449501</v>
      </c>
      <c r="H98" s="1533">
        <v>2710930</v>
      </c>
      <c r="I98" s="1533">
        <v>425434</v>
      </c>
      <c r="J98" s="1533">
        <v>12320171</v>
      </c>
      <c r="K98" s="1533">
        <v>168559</v>
      </c>
      <c r="L98" s="1533">
        <v>129330</v>
      </c>
      <c r="M98" s="1491"/>
      <c r="N98" s="1491"/>
      <c r="O98" s="1491"/>
      <c r="P98" s="1491"/>
    </row>
    <row r="99" spans="1:16">
      <c r="A99" s="1534" t="s">
        <v>23</v>
      </c>
      <c r="B99" s="1533">
        <v>5756066</v>
      </c>
      <c r="C99" s="1533">
        <v>5666899</v>
      </c>
      <c r="D99" s="1533">
        <v>183623</v>
      </c>
      <c r="E99" s="1533">
        <v>89167</v>
      </c>
      <c r="F99" s="1533">
        <v>15625110</v>
      </c>
      <c r="G99" s="1533">
        <v>12607935</v>
      </c>
      <c r="H99" s="1533">
        <v>2604548</v>
      </c>
      <c r="I99" s="1533">
        <v>412627</v>
      </c>
      <c r="J99" s="1533">
        <v>12474935</v>
      </c>
      <c r="K99" s="1533">
        <v>174077</v>
      </c>
      <c r="L99" s="1533">
        <v>133000</v>
      </c>
      <c r="M99" s="1491"/>
      <c r="N99" s="1491"/>
      <c r="O99" s="1491"/>
      <c r="P99" s="1491"/>
    </row>
    <row r="100" spans="1:16">
      <c r="A100" s="1534" t="s">
        <v>24</v>
      </c>
      <c r="B100" s="1533">
        <v>5433190</v>
      </c>
      <c r="C100" s="1533">
        <v>5359673</v>
      </c>
      <c r="D100" s="1533">
        <v>170882</v>
      </c>
      <c r="E100" s="1533">
        <v>73517</v>
      </c>
      <c r="F100" s="1533">
        <v>15126543</v>
      </c>
      <c r="G100" s="1533">
        <v>12301802</v>
      </c>
      <c r="H100" s="1533">
        <v>2430703</v>
      </c>
      <c r="I100" s="1533">
        <v>394038</v>
      </c>
      <c r="J100" s="1533">
        <v>12179146</v>
      </c>
      <c r="K100" s="1533">
        <v>163950</v>
      </c>
      <c r="L100" s="1533">
        <v>122656</v>
      </c>
      <c r="M100" s="1491"/>
      <c r="N100" s="1491"/>
      <c r="O100" s="1491"/>
      <c r="P100" s="1491"/>
    </row>
    <row r="101" spans="1:16">
      <c r="A101" s="1534" t="s">
        <v>25</v>
      </c>
      <c r="B101" s="1533">
        <v>5497936</v>
      </c>
      <c r="C101" s="1533">
        <v>5423467</v>
      </c>
      <c r="D101" s="1533">
        <v>172465</v>
      </c>
      <c r="E101" s="1533">
        <v>74469</v>
      </c>
      <c r="F101" s="1533">
        <v>15207437</v>
      </c>
      <c r="G101" s="1533">
        <v>12396191</v>
      </c>
      <c r="H101" s="1533">
        <v>2414120</v>
      </c>
      <c r="I101" s="1533">
        <v>397126</v>
      </c>
      <c r="J101" s="1533">
        <v>12270547</v>
      </c>
      <c r="K101" s="1533">
        <v>166107</v>
      </c>
      <c r="L101" s="1533">
        <v>125644</v>
      </c>
      <c r="M101" s="1491"/>
      <c r="N101" s="1491"/>
      <c r="O101" s="1491"/>
      <c r="P101" s="1491"/>
    </row>
    <row r="102" spans="1:16">
      <c r="A102" s="1534" t="s">
        <v>26</v>
      </c>
      <c r="B102" s="1533">
        <v>5546215</v>
      </c>
      <c r="C102" s="1533">
        <v>5471137</v>
      </c>
      <c r="D102" s="1533">
        <v>173790</v>
      </c>
      <c r="E102" s="1533">
        <v>75078</v>
      </c>
      <c r="F102" s="1533">
        <v>15374881</v>
      </c>
      <c r="G102" s="1533">
        <v>12547262</v>
      </c>
      <c r="H102" s="1533">
        <v>2427078</v>
      </c>
      <c r="I102" s="1533">
        <v>400541</v>
      </c>
      <c r="J102" s="1533">
        <v>12417318</v>
      </c>
      <c r="K102" s="1533">
        <v>168386</v>
      </c>
      <c r="L102" s="1533">
        <v>129944</v>
      </c>
      <c r="M102" s="1491"/>
      <c r="N102" s="1491"/>
      <c r="O102" s="1491"/>
      <c r="P102" s="1491"/>
    </row>
    <row r="103" spans="1:16">
      <c r="A103" s="1534" t="s">
        <v>27</v>
      </c>
      <c r="B103" s="1533">
        <v>5342079</v>
      </c>
      <c r="C103" s="1533">
        <v>5270541</v>
      </c>
      <c r="D103" s="1533">
        <v>169778</v>
      </c>
      <c r="E103" s="1533">
        <v>71538</v>
      </c>
      <c r="F103" s="1533">
        <v>15138961</v>
      </c>
      <c r="G103" s="1533">
        <v>12386901</v>
      </c>
      <c r="H103" s="1533">
        <v>2362255</v>
      </c>
      <c r="I103" s="1533">
        <v>389805</v>
      </c>
      <c r="J103" s="1533">
        <v>12259400</v>
      </c>
      <c r="K103" s="1533">
        <v>166320</v>
      </c>
      <c r="L103" s="1533">
        <v>127501</v>
      </c>
      <c r="M103" s="1491"/>
      <c r="N103" s="1491"/>
      <c r="O103" s="1491"/>
      <c r="P103" s="1491"/>
    </row>
    <row r="104" spans="1:16">
      <c r="A104" s="1534" t="s">
        <v>28</v>
      </c>
      <c r="B104" s="1533">
        <v>5366184</v>
      </c>
      <c r="C104" s="1533">
        <v>5293933</v>
      </c>
      <c r="D104" s="1533">
        <v>171284</v>
      </c>
      <c r="E104" s="1533">
        <v>72251</v>
      </c>
      <c r="F104" s="1533">
        <v>15199580</v>
      </c>
      <c r="G104" s="1533">
        <v>12465800</v>
      </c>
      <c r="H104" s="1533">
        <v>2347430</v>
      </c>
      <c r="I104" s="1533">
        <v>386350</v>
      </c>
      <c r="J104" s="1533">
        <v>12333321</v>
      </c>
      <c r="K104" s="1533">
        <v>168739</v>
      </c>
      <c r="L104" s="1533">
        <v>132479</v>
      </c>
      <c r="M104" s="1491"/>
      <c r="N104" s="1491"/>
      <c r="O104" s="1491"/>
      <c r="P104" s="1491"/>
    </row>
    <row r="105" spans="1:16">
      <c r="A105" s="1534" t="s">
        <v>29</v>
      </c>
      <c r="B105" s="1533">
        <v>5386819</v>
      </c>
      <c r="C105" s="1533">
        <v>5314184</v>
      </c>
      <c r="D105" s="1533">
        <v>172868</v>
      </c>
      <c r="E105" s="1533">
        <v>72635</v>
      </c>
      <c r="F105" s="1533">
        <v>15195751</v>
      </c>
      <c r="G105" s="1533">
        <v>12512490</v>
      </c>
      <c r="H105" s="1533">
        <v>2304585</v>
      </c>
      <c r="I105" s="1533">
        <v>378676</v>
      </c>
      <c r="J105" s="1533">
        <v>12379083</v>
      </c>
      <c r="K105" s="1533">
        <v>169626</v>
      </c>
      <c r="L105" s="1533">
        <v>133407</v>
      </c>
      <c r="M105" s="1491"/>
      <c r="N105" s="1491"/>
      <c r="O105" s="1491"/>
      <c r="P105" s="1491"/>
    </row>
    <row r="106" spans="1:16">
      <c r="A106" s="1534" t="s">
        <v>1902</v>
      </c>
      <c r="B106" s="1438">
        <v>5851548</v>
      </c>
      <c r="C106" s="1438">
        <v>5761897</v>
      </c>
      <c r="D106" s="1438">
        <v>232158</v>
      </c>
      <c r="E106" s="1438">
        <v>89651</v>
      </c>
      <c r="F106" s="1438">
        <v>16200529</v>
      </c>
      <c r="G106" s="1438">
        <v>13375811</v>
      </c>
      <c r="H106" s="1438">
        <v>2478933</v>
      </c>
      <c r="I106" s="1438">
        <v>345785</v>
      </c>
      <c r="J106" s="1438">
        <v>13203626</v>
      </c>
      <c r="K106" s="1438">
        <v>245080</v>
      </c>
      <c r="L106" s="1438">
        <v>172185</v>
      </c>
      <c r="M106" s="1536"/>
      <c r="N106" s="1536"/>
      <c r="O106" s="1536"/>
      <c r="P106" s="1536"/>
    </row>
    <row r="107" spans="1:16">
      <c r="A107" s="1534" t="s">
        <v>18</v>
      </c>
      <c r="B107" s="1533">
        <v>5433252</v>
      </c>
      <c r="C107" s="1533">
        <v>5358937</v>
      </c>
      <c r="D107" s="1533">
        <v>175795</v>
      </c>
      <c r="E107" s="1533">
        <v>74315</v>
      </c>
      <c r="F107" s="1533">
        <v>15228759</v>
      </c>
      <c r="G107" s="1533">
        <v>12429486</v>
      </c>
      <c r="H107" s="1533">
        <v>2427867</v>
      </c>
      <c r="I107" s="1533">
        <v>371406</v>
      </c>
      <c r="J107" s="1533">
        <v>12295305</v>
      </c>
      <c r="K107" s="1533">
        <v>171408</v>
      </c>
      <c r="L107" s="1533">
        <v>134181</v>
      </c>
      <c r="M107" s="1491"/>
      <c r="N107" s="1491"/>
      <c r="O107" s="1491"/>
      <c r="P107" s="1491"/>
    </row>
    <row r="108" spans="1:16">
      <c r="A108" s="1534" t="s">
        <v>19</v>
      </c>
      <c r="B108" s="1533">
        <v>5513619</v>
      </c>
      <c r="C108" s="1533">
        <v>5437608</v>
      </c>
      <c r="D108" s="1533">
        <v>189234</v>
      </c>
      <c r="E108" s="1533">
        <v>76011</v>
      </c>
      <c r="F108" s="1533">
        <v>15382371</v>
      </c>
      <c r="G108" s="1533">
        <v>12574892</v>
      </c>
      <c r="H108" s="1533">
        <v>2432814</v>
      </c>
      <c r="I108" s="1533">
        <v>374665</v>
      </c>
      <c r="J108" s="1533">
        <v>12436494</v>
      </c>
      <c r="K108" s="1533">
        <v>188156</v>
      </c>
      <c r="L108" s="1533">
        <v>138398</v>
      </c>
      <c r="M108" s="1491"/>
      <c r="N108" s="1491"/>
      <c r="O108" s="1491"/>
      <c r="P108" s="1491"/>
    </row>
    <row r="109" spans="1:16">
      <c r="A109" s="1534" t="s">
        <v>20</v>
      </c>
      <c r="B109" s="1533">
        <v>5576024</v>
      </c>
      <c r="C109" s="1533">
        <v>5499038</v>
      </c>
      <c r="D109" s="1533">
        <v>193921</v>
      </c>
      <c r="E109" s="1533">
        <v>76986</v>
      </c>
      <c r="F109" s="1533">
        <v>15444417</v>
      </c>
      <c r="G109" s="1533">
        <v>12682717</v>
      </c>
      <c r="H109" s="1533">
        <v>2379133</v>
      </c>
      <c r="I109" s="1533">
        <v>382567</v>
      </c>
      <c r="J109" s="1533">
        <v>12540850</v>
      </c>
      <c r="K109" s="1533">
        <v>193943</v>
      </c>
      <c r="L109" s="1533">
        <v>141867</v>
      </c>
      <c r="M109" s="1491"/>
      <c r="N109" s="1491"/>
      <c r="O109" s="1491"/>
      <c r="P109" s="1491"/>
    </row>
    <row r="110" spans="1:16">
      <c r="A110" s="1534" t="s">
        <v>21</v>
      </c>
      <c r="B110" s="1533">
        <v>5654578</v>
      </c>
      <c r="C110" s="1533">
        <v>5575481</v>
      </c>
      <c r="D110" s="1533">
        <v>200230</v>
      </c>
      <c r="E110" s="1533">
        <v>79097</v>
      </c>
      <c r="F110" s="1533">
        <v>15656358</v>
      </c>
      <c r="G110" s="1533">
        <v>12812232</v>
      </c>
      <c r="H110" s="1533">
        <v>2459169</v>
      </c>
      <c r="I110" s="1533">
        <v>384957</v>
      </c>
      <c r="J110" s="1533">
        <v>12665404</v>
      </c>
      <c r="K110" s="1533">
        <v>201348</v>
      </c>
      <c r="L110" s="1533">
        <v>146828</v>
      </c>
      <c r="M110" s="1491"/>
      <c r="N110" s="1491"/>
      <c r="O110" s="1491"/>
      <c r="P110" s="1491"/>
    </row>
    <row r="111" spans="1:16">
      <c r="A111" s="1534" t="s">
        <v>22</v>
      </c>
      <c r="B111" s="1533">
        <v>5786397</v>
      </c>
      <c r="C111" s="1533">
        <v>5700057</v>
      </c>
      <c r="D111" s="1533">
        <v>206456</v>
      </c>
      <c r="E111" s="1533">
        <v>86340</v>
      </c>
      <c r="F111" s="1533">
        <v>15845740</v>
      </c>
      <c r="G111" s="1533">
        <v>12926984</v>
      </c>
      <c r="H111" s="1533">
        <v>2532322</v>
      </c>
      <c r="I111" s="1533">
        <v>386434</v>
      </c>
      <c r="J111" s="1533">
        <v>12776582</v>
      </c>
      <c r="K111" s="1533">
        <v>206631</v>
      </c>
      <c r="L111" s="1533">
        <v>150402</v>
      </c>
      <c r="M111" s="1491"/>
      <c r="N111" s="1491"/>
      <c r="O111" s="1491"/>
      <c r="P111" s="1491"/>
    </row>
    <row r="112" spans="1:16">
      <c r="A112" s="1534" t="s">
        <v>23</v>
      </c>
      <c r="B112" s="1533">
        <v>5640236</v>
      </c>
      <c r="C112" s="1533">
        <v>5558622</v>
      </c>
      <c r="D112" s="1533">
        <v>210252</v>
      </c>
      <c r="E112" s="1533">
        <v>81614</v>
      </c>
      <c r="F112" s="1533">
        <v>15786014</v>
      </c>
      <c r="G112" s="1533">
        <v>12872818</v>
      </c>
      <c r="H112" s="1533">
        <v>2534472</v>
      </c>
      <c r="I112" s="1533">
        <v>378724</v>
      </c>
      <c r="J112" s="1533">
        <v>12720249</v>
      </c>
      <c r="K112" s="1533">
        <v>215148</v>
      </c>
      <c r="L112" s="1533">
        <v>152569</v>
      </c>
      <c r="M112" s="1491"/>
      <c r="N112" s="1491"/>
      <c r="O112" s="1491"/>
      <c r="P112" s="1491"/>
    </row>
    <row r="113" spans="1:16">
      <c r="A113" s="1534" t="s">
        <v>24</v>
      </c>
      <c r="B113" s="1533">
        <v>5695675</v>
      </c>
      <c r="C113" s="1533">
        <v>5611927</v>
      </c>
      <c r="D113" s="1533">
        <v>217623</v>
      </c>
      <c r="E113" s="1533">
        <v>83748</v>
      </c>
      <c r="F113" s="1533">
        <v>15801506</v>
      </c>
      <c r="G113" s="1533">
        <v>12869620</v>
      </c>
      <c r="H113" s="1533">
        <v>2560721</v>
      </c>
      <c r="I113" s="1533">
        <v>371165</v>
      </c>
      <c r="J113" s="1533">
        <v>12713276</v>
      </c>
      <c r="K113" s="1533">
        <v>225631</v>
      </c>
      <c r="L113" s="1533">
        <v>156344</v>
      </c>
      <c r="M113" s="1491"/>
      <c r="N113" s="1491"/>
      <c r="O113" s="1491"/>
      <c r="P113" s="1491"/>
    </row>
    <row r="114" spans="1:16">
      <c r="A114" s="1534" t="s">
        <v>25</v>
      </c>
      <c r="B114" s="1533">
        <v>5759325</v>
      </c>
      <c r="C114" s="1533">
        <v>5673996</v>
      </c>
      <c r="D114" s="1533">
        <v>220738</v>
      </c>
      <c r="E114" s="1533">
        <v>85329</v>
      </c>
      <c r="F114" s="1533">
        <v>15868068</v>
      </c>
      <c r="G114" s="1533">
        <v>12937255</v>
      </c>
      <c r="H114" s="1533">
        <v>2562496</v>
      </c>
      <c r="I114" s="1533">
        <v>368317</v>
      </c>
      <c r="J114" s="1533">
        <v>12777808</v>
      </c>
      <c r="K114" s="1533">
        <v>229266</v>
      </c>
      <c r="L114" s="1533">
        <v>159447</v>
      </c>
      <c r="M114" s="1491"/>
      <c r="N114" s="1491"/>
      <c r="O114" s="1491"/>
      <c r="P114" s="1491"/>
    </row>
    <row r="115" spans="1:16">
      <c r="A115" s="1534" t="s">
        <v>26</v>
      </c>
      <c r="B115" s="1533">
        <v>5820978</v>
      </c>
      <c r="C115" s="1533">
        <v>5734194</v>
      </c>
      <c r="D115" s="1533">
        <v>224637</v>
      </c>
      <c r="E115" s="1533">
        <v>86784</v>
      </c>
      <c r="F115" s="1533">
        <v>15970997</v>
      </c>
      <c r="G115" s="1533">
        <v>13045018</v>
      </c>
      <c r="H115" s="1533">
        <v>2561045</v>
      </c>
      <c r="I115" s="1533">
        <v>364934</v>
      </c>
      <c r="J115" s="1533">
        <v>12883246</v>
      </c>
      <c r="K115" s="1533">
        <v>232727</v>
      </c>
      <c r="L115" s="1533">
        <v>161772</v>
      </c>
      <c r="M115" s="1491"/>
      <c r="N115" s="1491"/>
      <c r="O115" s="1491"/>
      <c r="P115" s="1491"/>
    </row>
    <row r="116" spans="1:16">
      <c r="A116" s="1534" t="s">
        <v>27</v>
      </c>
      <c r="B116" s="1533">
        <v>5885770</v>
      </c>
      <c r="C116" s="1533">
        <v>5797745</v>
      </c>
      <c r="D116" s="1533">
        <v>226871</v>
      </c>
      <c r="E116" s="1533">
        <v>88025</v>
      </c>
      <c r="F116" s="1533">
        <v>16085249</v>
      </c>
      <c r="G116" s="1533">
        <v>13188960</v>
      </c>
      <c r="H116" s="1533">
        <v>2533428</v>
      </c>
      <c r="I116" s="1533">
        <v>362861</v>
      </c>
      <c r="J116" s="1533">
        <v>13024325</v>
      </c>
      <c r="K116" s="1533">
        <v>236803</v>
      </c>
      <c r="L116" s="1533">
        <v>164635</v>
      </c>
      <c r="M116" s="1491"/>
      <c r="N116" s="1491"/>
      <c r="O116" s="1491"/>
      <c r="P116" s="1491"/>
    </row>
    <row r="117" spans="1:16">
      <c r="A117" s="1534" t="s">
        <v>28</v>
      </c>
      <c r="B117" s="1533">
        <v>5951333</v>
      </c>
      <c r="C117" s="1533">
        <v>5861221</v>
      </c>
      <c r="D117" s="1533">
        <v>230623</v>
      </c>
      <c r="E117" s="1533">
        <v>90112</v>
      </c>
      <c r="F117" s="1533">
        <v>16243942</v>
      </c>
      <c r="G117" s="1533">
        <v>13352318</v>
      </c>
      <c r="H117" s="1533">
        <v>2533913</v>
      </c>
      <c r="I117" s="1533">
        <v>357711</v>
      </c>
      <c r="J117" s="1533">
        <v>13183846</v>
      </c>
      <c r="K117" s="1533">
        <v>241096</v>
      </c>
      <c r="L117" s="1533">
        <v>168472</v>
      </c>
      <c r="M117" s="1491"/>
      <c r="N117" s="1491"/>
      <c r="O117" s="1491"/>
      <c r="P117" s="1491"/>
    </row>
    <row r="118" spans="1:16">
      <c r="A118" s="1534" t="s">
        <v>29</v>
      </c>
      <c r="B118" s="1533">
        <v>5851548</v>
      </c>
      <c r="C118" s="1533">
        <v>5761897</v>
      </c>
      <c r="D118" s="1533">
        <v>232158</v>
      </c>
      <c r="E118" s="1533">
        <v>89651</v>
      </c>
      <c r="F118" s="1533">
        <v>16200529</v>
      </c>
      <c r="G118" s="1533">
        <v>13375811</v>
      </c>
      <c r="H118" s="1533">
        <v>2478933</v>
      </c>
      <c r="I118" s="1533">
        <v>345785</v>
      </c>
      <c r="J118" s="1533">
        <v>13203626</v>
      </c>
      <c r="K118" s="1533">
        <v>245080</v>
      </c>
      <c r="L118" s="1533">
        <v>172185</v>
      </c>
      <c r="M118" s="1491"/>
      <c r="N118" s="1491"/>
      <c r="O118" s="1491"/>
      <c r="P118" s="1491"/>
    </row>
    <row r="119" spans="1:16">
      <c r="A119" s="1534" t="s">
        <v>2038</v>
      </c>
      <c r="B119" s="1438">
        <v>6466071</v>
      </c>
      <c r="C119" s="1438">
        <v>6361580</v>
      </c>
      <c r="D119" s="1438">
        <v>265157</v>
      </c>
      <c r="E119" s="1438">
        <v>104491</v>
      </c>
      <c r="F119" s="1438">
        <v>18083747</v>
      </c>
      <c r="G119" s="1438">
        <v>15088607</v>
      </c>
      <c r="H119" s="1438">
        <v>2627156</v>
      </c>
      <c r="I119" s="1438">
        <v>367984</v>
      </c>
      <c r="J119" s="1438">
        <v>14868962</v>
      </c>
      <c r="K119" s="1438">
        <v>293145</v>
      </c>
      <c r="L119" s="1438">
        <v>219645</v>
      </c>
      <c r="M119" s="1536"/>
      <c r="N119" s="1536"/>
      <c r="O119" s="1536"/>
      <c r="P119" s="1536"/>
    </row>
    <row r="120" spans="1:16">
      <c r="A120" s="1534" t="s">
        <v>18</v>
      </c>
      <c r="B120" s="1533">
        <v>5897622</v>
      </c>
      <c r="C120" s="1533">
        <v>5807526</v>
      </c>
      <c r="D120" s="1533">
        <v>232626</v>
      </c>
      <c r="E120" s="1533">
        <v>90096</v>
      </c>
      <c r="F120" s="1533">
        <v>16308802</v>
      </c>
      <c r="G120" s="1533">
        <v>13481288</v>
      </c>
      <c r="H120" s="1533">
        <v>2484506</v>
      </c>
      <c r="I120" s="1533">
        <v>343008</v>
      </c>
      <c r="J120" s="1533">
        <v>13307488</v>
      </c>
      <c r="K120" s="1533">
        <v>245684</v>
      </c>
      <c r="L120" s="1533">
        <v>173800</v>
      </c>
      <c r="M120" s="1491"/>
      <c r="N120" s="1491"/>
      <c r="O120" s="1491"/>
      <c r="P120" s="1491"/>
    </row>
    <row r="121" spans="1:16">
      <c r="A121" s="1534" t="s">
        <v>19</v>
      </c>
      <c r="B121" s="1533">
        <v>5998010</v>
      </c>
      <c r="C121" s="1533">
        <v>5905555</v>
      </c>
      <c r="D121" s="1533">
        <v>235376</v>
      </c>
      <c r="E121" s="1533">
        <v>92455</v>
      </c>
      <c r="F121" s="1533">
        <v>16487631</v>
      </c>
      <c r="G121" s="1533">
        <v>13719546</v>
      </c>
      <c r="H121" s="1533">
        <v>2433035</v>
      </c>
      <c r="I121" s="1533">
        <v>335050</v>
      </c>
      <c r="J121" s="1533">
        <v>13539189</v>
      </c>
      <c r="K121" s="1533">
        <v>251936</v>
      </c>
      <c r="L121" s="1533">
        <v>180357</v>
      </c>
      <c r="M121" s="1491"/>
      <c r="N121" s="1491"/>
      <c r="O121" s="1491"/>
      <c r="P121" s="1491"/>
    </row>
    <row r="122" spans="1:16">
      <c r="A122" s="1534" t="s">
        <v>20</v>
      </c>
      <c r="B122" s="1533">
        <v>6053946</v>
      </c>
      <c r="C122" s="1533">
        <v>5960281</v>
      </c>
      <c r="D122" s="1533">
        <v>238413</v>
      </c>
      <c r="E122" s="1533">
        <v>93665</v>
      </c>
      <c r="F122" s="1533">
        <v>16632926</v>
      </c>
      <c r="G122" s="1533">
        <v>13863820</v>
      </c>
      <c r="H122" s="1533">
        <v>2434677</v>
      </c>
      <c r="I122" s="1533">
        <v>334429</v>
      </c>
      <c r="J122" s="1533">
        <v>13680922</v>
      </c>
      <c r="K122" s="1533">
        <v>254480</v>
      </c>
      <c r="L122" s="1533">
        <v>182898</v>
      </c>
      <c r="M122" s="1491"/>
      <c r="N122" s="1491"/>
      <c r="O122" s="1491"/>
      <c r="P122" s="1491"/>
    </row>
    <row r="123" spans="1:16">
      <c r="A123" s="1534" t="s">
        <v>21</v>
      </c>
      <c r="B123" s="1533">
        <v>6131113</v>
      </c>
      <c r="C123" s="1533">
        <v>6035788</v>
      </c>
      <c r="D123" s="1533">
        <v>242470</v>
      </c>
      <c r="E123" s="1533">
        <v>95325</v>
      </c>
      <c r="F123" s="1533">
        <v>16840161</v>
      </c>
      <c r="G123" s="1533">
        <v>14055747</v>
      </c>
      <c r="H123" s="1533">
        <v>2450517</v>
      </c>
      <c r="I123" s="1533">
        <v>333897</v>
      </c>
      <c r="J123" s="1533">
        <v>13869342</v>
      </c>
      <c r="K123" s="1533">
        <v>263362</v>
      </c>
      <c r="L123" s="1533">
        <v>186405</v>
      </c>
      <c r="M123" s="1491"/>
      <c r="N123" s="1491"/>
      <c r="O123" s="1491"/>
      <c r="P123" s="1491"/>
    </row>
    <row r="124" spans="1:16">
      <c r="A124" s="1534" t="s">
        <v>22</v>
      </c>
      <c r="B124" s="1533">
        <v>6131530</v>
      </c>
      <c r="C124" s="1533">
        <v>6034427</v>
      </c>
      <c r="D124" s="1533">
        <v>245670</v>
      </c>
      <c r="E124" s="1533">
        <v>97103</v>
      </c>
      <c r="F124" s="1533">
        <v>16933037</v>
      </c>
      <c r="G124" s="1533">
        <v>14131160</v>
      </c>
      <c r="H124" s="1533">
        <v>2466564</v>
      </c>
      <c r="I124" s="1533">
        <v>335313</v>
      </c>
      <c r="J124" s="1533">
        <v>13940677</v>
      </c>
      <c r="K124" s="1533">
        <v>269537</v>
      </c>
      <c r="L124" s="1533">
        <v>190483</v>
      </c>
      <c r="M124" s="1491"/>
      <c r="N124" s="1491"/>
      <c r="O124" s="1491"/>
      <c r="P124" s="1491"/>
    </row>
    <row r="125" spans="1:16">
      <c r="A125" s="1534" t="s">
        <v>23</v>
      </c>
      <c r="B125" s="1533">
        <v>6181725</v>
      </c>
      <c r="C125" s="1533">
        <v>6083539</v>
      </c>
      <c r="D125" s="1533">
        <v>247946</v>
      </c>
      <c r="E125" s="1533">
        <v>98186</v>
      </c>
      <c r="F125" s="1533">
        <v>17092001</v>
      </c>
      <c r="G125" s="1533">
        <v>14273681</v>
      </c>
      <c r="H125" s="1533">
        <v>2484136</v>
      </c>
      <c r="I125" s="1533">
        <v>334184</v>
      </c>
      <c r="J125" s="1533">
        <v>14080323</v>
      </c>
      <c r="K125" s="1533">
        <v>273869</v>
      </c>
      <c r="L125" s="1533">
        <v>193358</v>
      </c>
      <c r="M125" s="1491"/>
      <c r="N125" s="1491"/>
      <c r="O125" s="1491"/>
      <c r="P125" s="1491"/>
    </row>
    <row r="126" spans="1:16">
      <c r="A126" s="1534" t="s">
        <v>24</v>
      </c>
      <c r="B126" s="1533">
        <v>6242262</v>
      </c>
      <c r="C126" s="1533">
        <v>6141804</v>
      </c>
      <c r="D126" s="1533">
        <v>250994</v>
      </c>
      <c r="E126" s="1533">
        <v>100458</v>
      </c>
      <c r="F126" s="1533">
        <v>17310700</v>
      </c>
      <c r="G126" s="1533">
        <v>14448982</v>
      </c>
      <c r="H126" s="1533">
        <v>2520476</v>
      </c>
      <c r="I126" s="1533">
        <v>341242</v>
      </c>
      <c r="J126" s="1533">
        <v>14251965</v>
      </c>
      <c r="K126" s="1533">
        <v>277529</v>
      </c>
      <c r="L126" s="1533">
        <v>197017</v>
      </c>
      <c r="M126" s="1491"/>
      <c r="N126" s="1491"/>
      <c r="O126" s="1491"/>
      <c r="P126" s="1491"/>
    </row>
    <row r="127" spans="1:16">
      <c r="A127" s="1534" t="s">
        <v>25</v>
      </c>
      <c r="B127" s="1533">
        <v>6308260</v>
      </c>
      <c r="C127" s="1533">
        <v>6206402</v>
      </c>
      <c r="D127" s="1533">
        <v>253285</v>
      </c>
      <c r="E127" s="1533">
        <v>101858</v>
      </c>
      <c r="F127" s="1533">
        <v>17484482</v>
      </c>
      <c r="G127" s="1533">
        <v>14595762</v>
      </c>
      <c r="H127" s="1533">
        <v>2542978</v>
      </c>
      <c r="I127" s="1533">
        <v>345742</v>
      </c>
      <c r="J127" s="1533">
        <v>14395591</v>
      </c>
      <c r="K127" s="1533">
        <v>280222</v>
      </c>
      <c r="L127" s="1533">
        <v>200171</v>
      </c>
      <c r="M127" s="1491"/>
      <c r="N127" s="1491"/>
      <c r="O127" s="1491"/>
      <c r="P127" s="1491"/>
    </row>
    <row r="128" spans="1:16">
      <c r="A128" s="1534" t="s">
        <v>26</v>
      </c>
      <c r="B128" s="1533">
        <v>6357628</v>
      </c>
      <c r="C128" s="1533">
        <v>6255130</v>
      </c>
      <c r="D128" s="1533">
        <v>255869</v>
      </c>
      <c r="E128" s="1533">
        <v>102498</v>
      </c>
      <c r="F128" s="1533">
        <v>17620321</v>
      </c>
      <c r="G128" s="1533">
        <v>14710921</v>
      </c>
      <c r="H128" s="1533">
        <v>2560671</v>
      </c>
      <c r="I128" s="1533">
        <v>348729</v>
      </c>
      <c r="J128" s="1533">
        <v>14502274</v>
      </c>
      <c r="K128" s="1533">
        <v>286206</v>
      </c>
      <c r="L128" s="1533">
        <v>208647</v>
      </c>
      <c r="M128" s="1491"/>
      <c r="N128" s="1491"/>
      <c r="O128" s="1491"/>
      <c r="P128" s="1491"/>
    </row>
    <row r="129" spans="1:16">
      <c r="A129" s="1534" t="s">
        <v>27</v>
      </c>
      <c r="B129" s="1533">
        <v>6428920</v>
      </c>
      <c r="C129" s="1533">
        <v>6325372</v>
      </c>
      <c r="D129" s="1533">
        <v>259239</v>
      </c>
      <c r="E129" s="1533">
        <v>103548</v>
      </c>
      <c r="F129" s="1533">
        <v>17810008</v>
      </c>
      <c r="G129" s="1533">
        <v>14867965</v>
      </c>
      <c r="H129" s="1533">
        <v>2586810</v>
      </c>
      <c r="I129" s="1533">
        <v>355233</v>
      </c>
      <c r="J129" s="1533">
        <v>14656201</v>
      </c>
      <c r="K129" s="1533">
        <v>290943</v>
      </c>
      <c r="L129" s="1533">
        <v>211764</v>
      </c>
      <c r="M129" s="1491"/>
      <c r="N129" s="1491"/>
      <c r="O129" s="1491"/>
      <c r="P129" s="1491"/>
    </row>
    <row r="130" spans="1:16">
      <c r="A130" s="1534" t="s">
        <v>28</v>
      </c>
      <c r="B130" s="1533">
        <v>6423125</v>
      </c>
      <c r="C130" s="1533">
        <v>6318030</v>
      </c>
      <c r="D130" s="1533">
        <v>262756</v>
      </c>
      <c r="E130" s="1533">
        <v>105095</v>
      </c>
      <c r="F130" s="1533">
        <v>17905443</v>
      </c>
      <c r="G130" s="1533">
        <v>14948388</v>
      </c>
      <c r="H130" s="1533">
        <v>2596150</v>
      </c>
      <c r="I130" s="1533">
        <v>360905</v>
      </c>
      <c r="J130" s="1533">
        <v>14730794</v>
      </c>
      <c r="K130" s="1533">
        <v>296291</v>
      </c>
      <c r="L130" s="1533">
        <v>217594</v>
      </c>
      <c r="M130" s="1491"/>
      <c r="N130" s="1491"/>
      <c r="O130" s="1491"/>
      <c r="P130" s="1491"/>
    </row>
    <row r="131" spans="1:16">
      <c r="A131" s="1534" t="s">
        <v>29</v>
      </c>
      <c r="B131" s="1533">
        <v>6466071</v>
      </c>
      <c r="C131" s="1533">
        <v>6361580</v>
      </c>
      <c r="D131" s="1533">
        <v>265157</v>
      </c>
      <c r="E131" s="1533">
        <v>104491</v>
      </c>
      <c r="F131" s="1533">
        <v>18083747</v>
      </c>
      <c r="G131" s="1533">
        <v>15088607</v>
      </c>
      <c r="H131" s="1533">
        <v>2627156</v>
      </c>
      <c r="I131" s="1533">
        <v>367984</v>
      </c>
      <c r="J131" s="1533">
        <v>14868962</v>
      </c>
      <c r="K131" s="1533">
        <v>293145</v>
      </c>
      <c r="L131" s="1533">
        <v>219645</v>
      </c>
      <c r="M131" s="1491"/>
      <c r="N131" s="1491"/>
      <c r="O131" s="1491"/>
      <c r="P131" s="1491"/>
    </row>
    <row r="132" spans="1:16">
      <c r="A132" s="1534" t="s">
        <v>2131</v>
      </c>
      <c r="B132" s="1438">
        <v>8478075</v>
      </c>
      <c r="C132" s="1438">
        <v>8360421</v>
      </c>
      <c r="D132" s="1438">
        <v>324237</v>
      </c>
      <c r="E132" s="1438">
        <v>117654</v>
      </c>
      <c r="F132" s="1438">
        <v>21265993</v>
      </c>
      <c r="G132" s="1438">
        <v>17261782</v>
      </c>
      <c r="H132" s="1438">
        <v>3607588</v>
      </c>
      <c r="I132" s="1438">
        <v>396623</v>
      </c>
      <c r="J132" s="1438">
        <v>17033018</v>
      </c>
      <c r="K132" s="1438">
        <v>348287</v>
      </c>
      <c r="L132" s="1438">
        <v>228764</v>
      </c>
      <c r="M132" s="1536"/>
      <c r="N132" s="1536"/>
      <c r="O132" s="1536"/>
      <c r="P132" s="1536"/>
    </row>
    <row r="133" spans="1:16">
      <c r="A133" s="1534" t="s">
        <v>18</v>
      </c>
      <c r="B133" s="1533">
        <v>7021733</v>
      </c>
      <c r="C133" s="1533">
        <v>6915906</v>
      </c>
      <c r="D133" s="1533">
        <v>258828</v>
      </c>
      <c r="E133" s="1533">
        <v>105827</v>
      </c>
      <c r="F133" s="1533">
        <v>17051264</v>
      </c>
      <c r="G133" s="1533">
        <v>14045302</v>
      </c>
      <c r="H133" s="1533">
        <v>2695384</v>
      </c>
      <c r="I133" s="1533">
        <v>310578</v>
      </c>
      <c r="J133" s="1533">
        <v>13852291</v>
      </c>
      <c r="K133" s="1533">
        <v>270143</v>
      </c>
      <c r="L133" s="1533">
        <v>193011</v>
      </c>
      <c r="M133" s="1491"/>
      <c r="N133" s="1491"/>
      <c r="O133" s="1491"/>
      <c r="P133" s="1491"/>
    </row>
    <row r="134" spans="1:16">
      <c r="A134" s="1534" t="s">
        <v>19</v>
      </c>
      <c r="B134" s="1533">
        <v>7305129</v>
      </c>
      <c r="C134" s="1533">
        <v>7195982</v>
      </c>
      <c r="D134" s="1533">
        <v>275770</v>
      </c>
      <c r="E134" s="1533">
        <v>109147</v>
      </c>
      <c r="F134" s="1533">
        <v>17682074</v>
      </c>
      <c r="G134" s="1533">
        <v>14619626</v>
      </c>
      <c r="H134" s="1533">
        <v>2744314</v>
      </c>
      <c r="I134" s="1533">
        <v>318134</v>
      </c>
      <c r="J134" s="1533">
        <v>14411765</v>
      </c>
      <c r="K134" s="1533">
        <v>284663</v>
      </c>
      <c r="L134" s="1533">
        <v>207861</v>
      </c>
      <c r="M134" s="1491"/>
      <c r="N134" s="1491"/>
      <c r="O134" s="1491"/>
      <c r="P134" s="1491"/>
    </row>
    <row r="135" spans="1:16">
      <c r="A135" s="1534" t="s">
        <v>20</v>
      </c>
      <c r="B135" s="1533">
        <v>7423685</v>
      </c>
      <c r="C135" s="1533">
        <v>7312622</v>
      </c>
      <c r="D135" s="1533">
        <v>279069</v>
      </c>
      <c r="E135" s="1533">
        <v>111063</v>
      </c>
      <c r="F135" s="1533">
        <v>17936068</v>
      </c>
      <c r="G135" s="1533">
        <v>14801484</v>
      </c>
      <c r="H135" s="1533">
        <v>2809460</v>
      </c>
      <c r="I135" s="1533">
        <v>325124</v>
      </c>
      <c r="J135" s="1533">
        <v>14591867</v>
      </c>
      <c r="K135" s="1533">
        <v>287323</v>
      </c>
      <c r="L135" s="1533">
        <v>209617</v>
      </c>
      <c r="M135" s="1491"/>
      <c r="N135" s="1491"/>
      <c r="O135" s="1491"/>
      <c r="P135" s="1491"/>
    </row>
    <row r="136" spans="1:16">
      <c r="A136" s="1534" t="s">
        <v>21</v>
      </c>
      <c r="B136" s="1533">
        <v>7522896</v>
      </c>
      <c r="C136" s="1533">
        <v>7410113</v>
      </c>
      <c r="D136" s="1533">
        <v>284345</v>
      </c>
      <c r="E136" s="1533">
        <v>112783</v>
      </c>
      <c r="F136" s="1533">
        <v>18246113</v>
      </c>
      <c r="G136" s="1533">
        <v>15024731</v>
      </c>
      <c r="H136" s="1533">
        <v>2887336</v>
      </c>
      <c r="I136" s="1533">
        <v>334046</v>
      </c>
      <c r="J136" s="1533">
        <v>14810813</v>
      </c>
      <c r="K136" s="1533">
        <v>295082</v>
      </c>
      <c r="L136" s="1533">
        <v>213918</v>
      </c>
      <c r="M136" s="1491"/>
      <c r="N136" s="1491"/>
      <c r="O136" s="1491"/>
      <c r="P136" s="1491"/>
    </row>
    <row r="137" spans="1:16">
      <c r="A137" s="1534" t="s">
        <v>22</v>
      </c>
      <c r="B137" s="1533">
        <v>7662895</v>
      </c>
      <c r="C137" s="1533">
        <v>7548427</v>
      </c>
      <c r="D137" s="1533">
        <v>290915</v>
      </c>
      <c r="E137" s="1533">
        <v>114468</v>
      </c>
      <c r="F137" s="1533">
        <v>18646170</v>
      </c>
      <c r="G137" s="1533">
        <v>15321907</v>
      </c>
      <c r="H137" s="1533">
        <v>2981126</v>
      </c>
      <c r="I137" s="1533">
        <v>343137</v>
      </c>
      <c r="J137" s="1533">
        <v>15103933</v>
      </c>
      <c r="K137" s="1533">
        <v>304316</v>
      </c>
      <c r="L137" s="1533">
        <v>217974</v>
      </c>
      <c r="M137" s="1491"/>
      <c r="N137" s="1491"/>
      <c r="O137" s="1491"/>
      <c r="P137" s="1491"/>
    </row>
    <row r="138" spans="1:16">
      <c r="A138" s="1534" t="s">
        <v>23</v>
      </c>
      <c r="B138" s="1533">
        <v>7784435</v>
      </c>
      <c r="C138" s="1533">
        <v>7669134</v>
      </c>
      <c r="D138" s="1533">
        <v>295265</v>
      </c>
      <c r="E138" s="1533">
        <v>115301</v>
      </c>
      <c r="F138" s="1533">
        <v>18966172</v>
      </c>
      <c r="G138" s="1533">
        <v>15537768</v>
      </c>
      <c r="H138" s="1533">
        <v>3078646</v>
      </c>
      <c r="I138" s="1533">
        <v>349758</v>
      </c>
      <c r="J138" s="1533">
        <v>15319928</v>
      </c>
      <c r="K138" s="1533">
        <v>309233</v>
      </c>
      <c r="L138" s="1533">
        <v>217840</v>
      </c>
      <c r="M138" s="1491"/>
      <c r="N138" s="1491"/>
      <c r="O138" s="1491"/>
      <c r="P138" s="1491"/>
    </row>
    <row r="139" spans="1:16">
      <c r="A139" s="1534" t="s">
        <v>24</v>
      </c>
      <c r="B139" s="1533">
        <v>7903367</v>
      </c>
      <c r="C139" s="1533">
        <v>7786852</v>
      </c>
      <c r="D139" s="1533">
        <v>299524</v>
      </c>
      <c r="E139" s="1533">
        <v>116515</v>
      </c>
      <c r="F139" s="1533">
        <v>19353240</v>
      </c>
      <c r="G139" s="1533">
        <v>15819008</v>
      </c>
      <c r="H139" s="1533">
        <v>3174997</v>
      </c>
      <c r="I139" s="1533">
        <v>359235</v>
      </c>
      <c r="J139" s="1533">
        <v>15599847</v>
      </c>
      <c r="K139" s="1533">
        <v>315713</v>
      </c>
      <c r="L139" s="1533">
        <v>219161</v>
      </c>
      <c r="M139" s="1491"/>
      <c r="N139" s="1491"/>
      <c r="O139" s="1491"/>
      <c r="P139" s="1491"/>
    </row>
    <row r="140" spans="1:16">
      <c r="A140" s="1534" t="s">
        <v>25</v>
      </c>
      <c r="B140" s="1533">
        <v>8016098</v>
      </c>
      <c r="C140" s="1533">
        <v>7898360</v>
      </c>
      <c r="D140" s="1533">
        <v>303405</v>
      </c>
      <c r="E140" s="1533">
        <v>117738</v>
      </c>
      <c r="F140" s="1533">
        <v>19708381</v>
      </c>
      <c r="G140" s="1533">
        <v>16086156</v>
      </c>
      <c r="H140" s="1533">
        <v>3254735</v>
      </c>
      <c r="I140" s="1533">
        <v>367490</v>
      </c>
      <c r="J140" s="1533">
        <v>15863662</v>
      </c>
      <c r="K140" s="1533">
        <v>321049</v>
      </c>
      <c r="L140" s="1533">
        <v>222494</v>
      </c>
      <c r="M140" s="1491"/>
      <c r="N140" s="1491"/>
      <c r="O140" s="1491"/>
      <c r="P140" s="1491"/>
    </row>
    <row r="141" spans="1:16">
      <c r="A141" s="1534" t="s">
        <v>26</v>
      </c>
      <c r="B141" s="1533">
        <v>8153107</v>
      </c>
      <c r="C141" s="1533">
        <v>8036142</v>
      </c>
      <c r="D141" s="1533">
        <v>308829</v>
      </c>
      <c r="E141" s="1533">
        <v>116965</v>
      </c>
      <c r="F141" s="1533">
        <v>20141778</v>
      </c>
      <c r="G141" s="1533">
        <v>16420332</v>
      </c>
      <c r="H141" s="1533">
        <v>3346029</v>
      </c>
      <c r="I141" s="1533">
        <v>375417</v>
      </c>
      <c r="J141" s="1533">
        <v>16199595</v>
      </c>
      <c r="K141" s="1533">
        <v>325692</v>
      </c>
      <c r="L141" s="1533">
        <v>220737</v>
      </c>
      <c r="M141" s="1491"/>
      <c r="N141" s="1491"/>
      <c r="O141" s="1491"/>
      <c r="P141" s="1491"/>
    </row>
    <row r="142" spans="1:16">
      <c r="A142" s="1534" t="s">
        <v>27</v>
      </c>
      <c r="B142" s="1533">
        <v>8280548</v>
      </c>
      <c r="C142" s="1533">
        <v>8161786</v>
      </c>
      <c r="D142" s="1533">
        <v>315373</v>
      </c>
      <c r="E142" s="1533">
        <v>118762</v>
      </c>
      <c r="F142" s="1533">
        <v>20589799</v>
      </c>
      <c r="G142" s="1533">
        <v>16760493</v>
      </c>
      <c r="H142" s="1533">
        <v>3447307</v>
      </c>
      <c r="I142" s="1533">
        <v>381999</v>
      </c>
      <c r="J142" s="1533">
        <v>16535999</v>
      </c>
      <c r="K142" s="1533">
        <v>334618</v>
      </c>
      <c r="L142" s="1533">
        <v>224494</v>
      </c>
      <c r="M142" s="1491"/>
      <c r="N142" s="1491"/>
      <c r="O142" s="1491"/>
      <c r="P142" s="1491"/>
    </row>
    <row r="143" spans="1:16">
      <c r="A143" s="1534" t="s">
        <v>28</v>
      </c>
      <c r="B143" s="1533">
        <v>8405330</v>
      </c>
      <c r="C143" s="1533">
        <v>8289292</v>
      </c>
      <c r="D143" s="1533">
        <v>319554</v>
      </c>
      <c r="E143" s="1533">
        <v>116038</v>
      </c>
      <c r="F143" s="1533">
        <v>20951053</v>
      </c>
      <c r="G143" s="1533">
        <v>17025147</v>
      </c>
      <c r="H143" s="1533">
        <v>3537022</v>
      </c>
      <c r="I143" s="1533">
        <v>388884</v>
      </c>
      <c r="J143" s="1533">
        <v>16800249</v>
      </c>
      <c r="K143" s="1533">
        <v>341473</v>
      </c>
      <c r="L143" s="1533">
        <v>224898</v>
      </c>
      <c r="M143" s="1491"/>
      <c r="N143" s="1491"/>
      <c r="O143" s="1491"/>
      <c r="P143" s="1491"/>
    </row>
    <row r="144" spans="1:16">
      <c r="A144" s="1534" t="s">
        <v>29</v>
      </c>
      <c r="B144" s="1533">
        <v>8478075</v>
      </c>
      <c r="C144" s="1533">
        <v>8360421</v>
      </c>
      <c r="D144" s="1533">
        <v>324237</v>
      </c>
      <c r="E144" s="1533">
        <v>117654</v>
      </c>
      <c r="F144" s="1533">
        <v>21265993</v>
      </c>
      <c r="G144" s="1533">
        <v>17261782</v>
      </c>
      <c r="H144" s="1533">
        <v>3607588</v>
      </c>
      <c r="I144" s="1533">
        <v>396623</v>
      </c>
      <c r="J144" s="1533">
        <v>17033018</v>
      </c>
      <c r="K144" s="1533">
        <v>348287</v>
      </c>
      <c r="L144" s="1533">
        <v>228764</v>
      </c>
      <c r="M144" s="1491"/>
      <c r="N144" s="1491"/>
      <c r="O144" s="1491"/>
      <c r="P144" s="1491"/>
    </row>
    <row r="145" spans="1:16">
      <c r="A145" s="1534" t="s">
        <v>2362</v>
      </c>
      <c r="B145" s="1438">
        <v>10490089</v>
      </c>
      <c r="C145" s="1438">
        <v>10375457</v>
      </c>
      <c r="D145" s="1438">
        <v>393486</v>
      </c>
      <c r="E145" s="1438">
        <v>114632</v>
      </c>
      <c r="F145" s="1438">
        <v>24983255</v>
      </c>
      <c r="G145" s="1438">
        <v>21004323</v>
      </c>
      <c r="H145" s="1438">
        <v>3756323</v>
      </c>
      <c r="I145" s="1438">
        <v>222609</v>
      </c>
      <c r="J145" s="1438">
        <v>20770440</v>
      </c>
      <c r="K145" s="1438">
        <v>459098</v>
      </c>
      <c r="L145" s="1438">
        <v>233883</v>
      </c>
      <c r="M145" s="1496"/>
      <c r="N145" s="1496"/>
      <c r="O145" s="1496"/>
      <c r="P145" s="1496"/>
    </row>
    <row r="146" spans="1:16">
      <c r="A146" s="1534" t="s">
        <v>18</v>
      </c>
      <c r="B146" s="1533">
        <v>8847367</v>
      </c>
      <c r="C146" s="1533">
        <v>8725454</v>
      </c>
      <c r="D146" s="1533">
        <v>336014</v>
      </c>
      <c r="E146" s="1533">
        <v>121913</v>
      </c>
      <c r="F146" s="1533">
        <v>21836167</v>
      </c>
      <c r="G146" s="1533">
        <v>17830599</v>
      </c>
      <c r="H146" s="1533">
        <v>3675470</v>
      </c>
      <c r="I146" s="1533">
        <v>330098</v>
      </c>
      <c r="J146" s="1533">
        <v>17597635</v>
      </c>
      <c r="K146" s="1533">
        <v>359831</v>
      </c>
      <c r="L146" s="1533">
        <v>232964</v>
      </c>
      <c r="M146" s="1491"/>
      <c r="N146" s="1491"/>
      <c r="O146" s="1491"/>
      <c r="P146" s="1491"/>
    </row>
    <row r="147" spans="1:16">
      <c r="A147" s="1534" t="s">
        <v>19</v>
      </c>
      <c r="B147" s="1533">
        <v>8854673</v>
      </c>
      <c r="C147" s="1533">
        <v>8735505</v>
      </c>
      <c r="D147" s="1533">
        <v>297539</v>
      </c>
      <c r="E147" s="1533">
        <v>119168</v>
      </c>
      <c r="F147" s="1533">
        <v>21883121</v>
      </c>
      <c r="G147" s="1533">
        <v>17975980</v>
      </c>
      <c r="H147" s="1533">
        <v>3621954</v>
      </c>
      <c r="I147" s="1533">
        <v>285187</v>
      </c>
      <c r="J147" s="1533">
        <v>17746374</v>
      </c>
      <c r="K147" s="1533">
        <v>339430</v>
      </c>
      <c r="L147" s="1533">
        <v>229606</v>
      </c>
      <c r="M147" s="1491"/>
      <c r="N147" s="1491"/>
      <c r="O147" s="1491"/>
      <c r="P147" s="1491"/>
    </row>
    <row r="148" spans="1:16">
      <c r="A148" s="1534" t="s">
        <v>20</v>
      </c>
      <c r="B148" s="1533">
        <v>9012923</v>
      </c>
      <c r="C148" s="1533">
        <v>8892978</v>
      </c>
      <c r="D148" s="1533">
        <v>301182</v>
      </c>
      <c r="E148" s="1533">
        <v>119945</v>
      </c>
      <c r="F148" s="1533">
        <v>22185201</v>
      </c>
      <c r="G148" s="1533">
        <v>18240004</v>
      </c>
      <c r="H148" s="1533">
        <v>3660336</v>
      </c>
      <c r="I148" s="1533">
        <v>284861</v>
      </c>
      <c r="J148" s="1533">
        <v>18008238</v>
      </c>
      <c r="K148" s="1533">
        <v>343420</v>
      </c>
      <c r="L148" s="1533">
        <v>231766</v>
      </c>
      <c r="M148" s="1491"/>
      <c r="N148" s="1491"/>
      <c r="O148" s="1491"/>
      <c r="P148" s="1491"/>
    </row>
    <row r="149" spans="1:16">
      <c r="A149" s="1534" t="s">
        <v>21</v>
      </c>
      <c r="B149" s="1533">
        <v>9169270</v>
      </c>
      <c r="C149" s="1533">
        <v>9055165</v>
      </c>
      <c r="D149" s="1533">
        <v>321352</v>
      </c>
      <c r="E149" s="1533">
        <v>114105</v>
      </c>
      <c r="F149" s="1533">
        <v>22232752</v>
      </c>
      <c r="G149" s="1533">
        <v>18460960</v>
      </c>
      <c r="H149" s="1533">
        <v>3531368</v>
      </c>
      <c r="I149" s="1533">
        <v>240424</v>
      </c>
      <c r="J149" s="1533">
        <v>18238628</v>
      </c>
      <c r="K149" s="1533">
        <v>366344</v>
      </c>
      <c r="L149" s="1533">
        <v>222332</v>
      </c>
      <c r="M149" s="1491"/>
      <c r="N149" s="1491"/>
      <c r="O149" s="1491"/>
      <c r="P149" s="1491"/>
    </row>
    <row r="150" spans="1:16">
      <c r="A150" s="1534" t="s">
        <v>22</v>
      </c>
      <c r="B150" s="1533">
        <v>9385746</v>
      </c>
      <c r="C150" s="1533">
        <v>9276060</v>
      </c>
      <c r="D150" s="1533">
        <v>323710</v>
      </c>
      <c r="E150" s="1533">
        <v>109686</v>
      </c>
      <c r="F150" s="1533">
        <v>22427400</v>
      </c>
      <c r="G150" s="1533">
        <v>18746064</v>
      </c>
      <c r="H150" s="1533">
        <v>3473970</v>
      </c>
      <c r="I150" s="1533">
        <v>207366</v>
      </c>
      <c r="J150" s="1533">
        <v>18531347</v>
      </c>
      <c r="K150" s="1533">
        <v>372017</v>
      </c>
      <c r="L150" s="1533">
        <v>214717</v>
      </c>
      <c r="M150" s="1491"/>
      <c r="N150" s="1491"/>
      <c r="O150" s="1491"/>
      <c r="P150" s="1491"/>
    </row>
    <row r="151" spans="1:16">
      <c r="A151" s="1534" t="s">
        <v>23</v>
      </c>
      <c r="B151" s="1533">
        <v>9515084</v>
      </c>
      <c r="C151" s="1533">
        <v>9402557</v>
      </c>
      <c r="D151" s="1533">
        <v>336228</v>
      </c>
      <c r="E151" s="1533">
        <v>112527</v>
      </c>
      <c r="F151" s="1533">
        <v>22788021</v>
      </c>
      <c r="G151" s="1533">
        <v>19063808</v>
      </c>
      <c r="H151" s="1533">
        <v>3514430</v>
      </c>
      <c r="I151" s="1533">
        <v>209783</v>
      </c>
      <c r="J151" s="1533">
        <v>18842270</v>
      </c>
      <c r="K151" s="1533">
        <v>388561</v>
      </c>
      <c r="L151" s="1533">
        <v>221538</v>
      </c>
      <c r="M151" s="1491"/>
      <c r="N151" s="1491"/>
      <c r="O151" s="1491"/>
      <c r="P151" s="1491"/>
    </row>
    <row r="152" spans="1:16">
      <c r="A152" s="1534" t="s">
        <v>24</v>
      </c>
      <c r="B152" s="1533">
        <v>9650871</v>
      </c>
      <c r="C152" s="1533">
        <v>9536683</v>
      </c>
      <c r="D152" s="1533">
        <v>344527</v>
      </c>
      <c r="E152" s="1533">
        <v>114188</v>
      </c>
      <c r="F152" s="1533">
        <v>23074287</v>
      </c>
      <c r="G152" s="1533">
        <v>19316960</v>
      </c>
      <c r="H152" s="1533">
        <v>3544171</v>
      </c>
      <c r="I152" s="1533">
        <v>213156</v>
      </c>
      <c r="J152" s="1533">
        <v>19090828</v>
      </c>
      <c r="K152" s="1533">
        <v>398808</v>
      </c>
      <c r="L152" s="1533">
        <v>226132</v>
      </c>
      <c r="M152" s="1491"/>
      <c r="N152" s="1491"/>
      <c r="O152" s="1491"/>
      <c r="P152" s="1491"/>
    </row>
    <row r="153" spans="1:16">
      <c r="A153" s="1534" t="s">
        <v>25</v>
      </c>
      <c r="B153" s="1533">
        <v>9768981</v>
      </c>
      <c r="C153" s="1533">
        <v>9653324</v>
      </c>
      <c r="D153" s="1533">
        <v>356294</v>
      </c>
      <c r="E153" s="1533">
        <v>115657</v>
      </c>
      <c r="F153" s="1533">
        <v>23405942</v>
      </c>
      <c r="G153" s="1533">
        <v>19593829</v>
      </c>
      <c r="H153" s="1533">
        <v>3595476</v>
      </c>
      <c r="I153" s="1533">
        <v>216637</v>
      </c>
      <c r="J153" s="1533">
        <v>19364085</v>
      </c>
      <c r="K153" s="1533">
        <v>412916</v>
      </c>
      <c r="L153" s="1533">
        <v>229744</v>
      </c>
      <c r="M153" s="1491"/>
      <c r="N153" s="1491"/>
      <c r="O153" s="1491"/>
      <c r="P153" s="1491"/>
    </row>
    <row r="154" spans="1:16">
      <c r="A154" s="1534" t="s">
        <v>26</v>
      </c>
      <c r="B154" s="1533">
        <v>9919575</v>
      </c>
      <c r="C154" s="1533">
        <v>9804016</v>
      </c>
      <c r="D154" s="1533">
        <v>369841</v>
      </c>
      <c r="E154" s="1533">
        <v>115559</v>
      </c>
      <c r="F154" s="1533">
        <v>23825469</v>
      </c>
      <c r="G154" s="1533">
        <v>19945255</v>
      </c>
      <c r="H154" s="1533">
        <v>3662049</v>
      </c>
      <c r="I154" s="1533">
        <v>218165</v>
      </c>
      <c r="J154" s="1533">
        <v>19714969</v>
      </c>
      <c r="K154" s="1533">
        <v>429216</v>
      </c>
      <c r="L154" s="1533">
        <v>230286</v>
      </c>
      <c r="M154" s="1491"/>
      <c r="N154" s="1491"/>
      <c r="O154" s="1491"/>
      <c r="P154" s="1491"/>
    </row>
    <row r="155" spans="1:16">
      <c r="A155" s="1534" t="s">
        <v>27</v>
      </c>
      <c r="B155" s="1533">
        <v>10064615</v>
      </c>
      <c r="C155" s="1533">
        <v>9951582</v>
      </c>
      <c r="D155" s="1533">
        <v>379247</v>
      </c>
      <c r="E155" s="1533">
        <v>113033</v>
      </c>
      <c r="F155" s="1533">
        <v>24157090</v>
      </c>
      <c r="G155" s="1533">
        <v>20252313</v>
      </c>
      <c r="H155" s="1533">
        <v>3686931</v>
      </c>
      <c r="I155" s="1533">
        <v>217846</v>
      </c>
      <c r="J155" s="1533">
        <v>20022621</v>
      </c>
      <c r="K155" s="1533">
        <v>441038</v>
      </c>
      <c r="L155" s="1533">
        <v>229692</v>
      </c>
      <c r="M155" s="1491"/>
      <c r="N155" s="1491"/>
      <c r="O155" s="1491"/>
      <c r="P155" s="1491"/>
    </row>
    <row r="156" spans="1:16">
      <c r="A156" s="1534" t="s">
        <v>28</v>
      </c>
      <c r="B156" s="1533">
        <v>10262417</v>
      </c>
      <c r="C156" s="1533">
        <v>10148440</v>
      </c>
      <c r="D156" s="1533">
        <v>386204</v>
      </c>
      <c r="E156" s="1533">
        <v>113977</v>
      </c>
      <c r="F156" s="1533">
        <v>24674957</v>
      </c>
      <c r="G156" s="1533">
        <v>20730086</v>
      </c>
      <c r="H156" s="1533">
        <v>3724812</v>
      </c>
      <c r="I156" s="1533">
        <v>220059</v>
      </c>
      <c r="J156" s="1533">
        <v>20497520</v>
      </c>
      <c r="K156" s="1533">
        <v>451161</v>
      </c>
      <c r="L156" s="1533">
        <v>232566</v>
      </c>
      <c r="M156" s="1491"/>
      <c r="N156" s="1491"/>
      <c r="O156" s="1491"/>
      <c r="P156" s="1491"/>
    </row>
    <row r="157" spans="1:16">
      <c r="A157" s="1534" t="s">
        <v>29</v>
      </c>
      <c r="B157" s="1533">
        <v>10490089</v>
      </c>
      <c r="C157" s="1533">
        <v>10375457</v>
      </c>
      <c r="D157" s="1533">
        <v>393486</v>
      </c>
      <c r="E157" s="1533">
        <v>114632</v>
      </c>
      <c r="F157" s="1533">
        <v>24983255</v>
      </c>
      <c r="G157" s="1533">
        <v>21004323</v>
      </c>
      <c r="H157" s="1533">
        <v>3756323</v>
      </c>
      <c r="I157" s="1533">
        <v>222609</v>
      </c>
      <c r="J157" s="1533">
        <v>20770440</v>
      </c>
      <c r="K157" s="1533">
        <v>459098</v>
      </c>
      <c r="L157" s="1533">
        <v>233883</v>
      </c>
      <c r="M157" s="1491"/>
      <c r="N157" s="1491"/>
      <c r="O157" s="1491"/>
      <c r="P157" s="1491"/>
    </row>
    <row r="158" spans="1:16">
      <c r="A158" s="1534" t="s">
        <v>2523</v>
      </c>
      <c r="B158" s="1535">
        <v>12323105</v>
      </c>
      <c r="C158" s="1535">
        <v>12198027</v>
      </c>
      <c r="D158" s="1535">
        <v>505944</v>
      </c>
      <c r="E158" s="1535">
        <v>125078</v>
      </c>
      <c r="F158" s="1535">
        <v>26729371</v>
      </c>
      <c r="G158" s="1535">
        <v>22175499</v>
      </c>
      <c r="H158" s="1535">
        <v>4297069</v>
      </c>
      <c r="I158" s="1535">
        <v>256803</v>
      </c>
      <c r="J158" s="1535">
        <v>21908618</v>
      </c>
      <c r="K158" s="1535">
        <v>607456</v>
      </c>
      <c r="L158" s="1535">
        <v>266881</v>
      </c>
      <c r="M158" s="1496"/>
      <c r="N158" s="1496"/>
      <c r="O158" s="1496"/>
      <c r="P158" s="1496"/>
    </row>
    <row r="159" spans="1:16">
      <c r="A159" s="1534" t="s">
        <v>18</v>
      </c>
      <c r="B159" s="1533">
        <v>10640004</v>
      </c>
      <c r="C159" s="1533">
        <v>10524810</v>
      </c>
      <c r="D159" s="1533">
        <v>402156</v>
      </c>
      <c r="E159" s="1533">
        <v>115194</v>
      </c>
      <c r="F159" s="1533">
        <v>25190099</v>
      </c>
      <c r="G159" s="1533">
        <v>21255332</v>
      </c>
      <c r="H159" s="1533">
        <v>3708727</v>
      </c>
      <c r="I159" s="1533">
        <v>226040</v>
      </c>
      <c r="J159" s="1533">
        <v>21020200</v>
      </c>
      <c r="K159" s="1533">
        <v>469995</v>
      </c>
      <c r="L159" s="1533">
        <v>235132</v>
      </c>
      <c r="M159" s="1491"/>
      <c r="N159" s="1491"/>
      <c r="O159" s="1491"/>
      <c r="P159" s="1491"/>
    </row>
    <row r="160" spans="1:16">
      <c r="A160" s="1534" t="s">
        <v>19</v>
      </c>
      <c r="B160" s="1533">
        <v>10851189</v>
      </c>
      <c r="C160" s="1533">
        <v>10734666</v>
      </c>
      <c r="D160" s="1533">
        <v>412823</v>
      </c>
      <c r="E160" s="1533">
        <v>116523</v>
      </c>
      <c r="F160" s="1533">
        <v>25592381</v>
      </c>
      <c r="G160" s="1533">
        <v>21619830</v>
      </c>
      <c r="H160" s="1533">
        <v>3745475</v>
      </c>
      <c r="I160" s="1533">
        <v>227076</v>
      </c>
      <c r="J160" s="1533">
        <v>21381486</v>
      </c>
      <c r="K160" s="1533">
        <v>481638</v>
      </c>
      <c r="L160" s="1533">
        <v>238344</v>
      </c>
      <c r="M160" s="1491"/>
      <c r="N160" s="1491"/>
      <c r="O160" s="1491"/>
      <c r="P160" s="1491"/>
    </row>
    <row r="161" spans="1:16">
      <c r="A161" s="1534" t="s">
        <v>20</v>
      </c>
      <c r="B161" s="1533">
        <v>11099948</v>
      </c>
      <c r="C161" s="1533">
        <v>10982334</v>
      </c>
      <c r="D161" s="1533">
        <v>423905</v>
      </c>
      <c r="E161" s="1533">
        <v>117614</v>
      </c>
      <c r="F161" s="1533">
        <v>26094302</v>
      </c>
      <c r="G161" s="1533">
        <v>22049078</v>
      </c>
      <c r="H161" s="1533">
        <v>3814866</v>
      </c>
      <c r="I161" s="1533">
        <v>230358</v>
      </c>
      <c r="J161" s="1533">
        <v>21807720</v>
      </c>
      <c r="K161" s="1533">
        <v>493752</v>
      </c>
      <c r="L161" s="1533">
        <v>241358</v>
      </c>
      <c r="M161" s="1491"/>
      <c r="N161" s="1491"/>
      <c r="O161" s="1491"/>
      <c r="P161" s="1491"/>
    </row>
    <row r="162" spans="1:16">
      <c r="A162" s="1534" t="s">
        <v>21</v>
      </c>
      <c r="B162" s="1533">
        <v>11284213</v>
      </c>
      <c r="C162" s="1533">
        <v>11165689</v>
      </c>
      <c r="D162" s="1533">
        <v>433068</v>
      </c>
      <c r="E162" s="1533">
        <v>118524</v>
      </c>
      <c r="F162" s="1533">
        <v>26574096</v>
      </c>
      <c r="G162" s="1533">
        <v>22457113</v>
      </c>
      <c r="H162" s="1533">
        <v>3882280</v>
      </c>
      <c r="I162" s="1533">
        <v>234703</v>
      </c>
      <c r="J162" s="1533">
        <v>22211793</v>
      </c>
      <c r="K162" s="1533">
        <v>510244</v>
      </c>
      <c r="L162" s="1533">
        <v>245320</v>
      </c>
      <c r="M162" s="1491"/>
      <c r="N162" s="1491"/>
      <c r="O162" s="1491"/>
      <c r="P162" s="1491"/>
    </row>
    <row r="163" spans="1:16">
      <c r="A163" s="1534" t="s">
        <v>22</v>
      </c>
      <c r="B163" s="1533">
        <v>11530008</v>
      </c>
      <c r="C163" s="1533">
        <v>11410286</v>
      </c>
      <c r="D163" s="1533">
        <v>442371</v>
      </c>
      <c r="E163" s="1533">
        <v>119722</v>
      </c>
      <c r="F163" s="1533">
        <v>27103576</v>
      </c>
      <c r="G163" s="1533">
        <v>22918641</v>
      </c>
      <c r="H163" s="1533">
        <v>3947433</v>
      </c>
      <c r="I163" s="1533">
        <v>237502</v>
      </c>
      <c r="J163" s="1533">
        <v>22670104</v>
      </c>
      <c r="K163" s="1533">
        <v>521447</v>
      </c>
      <c r="L163" s="1533">
        <v>248537</v>
      </c>
      <c r="M163" s="1491"/>
      <c r="N163" s="1491"/>
      <c r="O163" s="1491"/>
      <c r="P163" s="1491"/>
    </row>
    <row r="164" spans="1:16">
      <c r="A164" s="1534" t="s">
        <v>23</v>
      </c>
      <c r="B164" s="1533">
        <v>11673507</v>
      </c>
      <c r="C164" s="1533">
        <v>11551417</v>
      </c>
      <c r="D164" s="1533">
        <v>453052</v>
      </c>
      <c r="E164" s="1533">
        <v>122090</v>
      </c>
      <c r="F164" s="1533">
        <v>27552109</v>
      </c>
      <c r="G164" s="1533">
        <v>23284134</v>
      </c>
      <c r="H164" s="1533">
        <v>4026891</v>
      </c>
      <c r="I164" s="1533">
        <v>241084</v>
      </c>
      <c r="J164" s="1533">
        <v>23031837</v>
      </c>
      <c r="K164" s="1533">
        <v>534487</v>
      </c>
      <c r="L164" s="1533">
        <v>252297</v>
      </c>
      <c r="M164" s="1491"/>
      <c r="N164" s="1491"/>
      <c r="O164" s="1491"/>
      <c r="P164" s="1491"/>
    </row>
    <row r="165" spans="1:16">
      <c r="A165" s="1534" t="s">
        <v>24</v>
      </c>
      <c r="B165" s="1533">
        <v>11882012</v>
      </c>
      <c r="C165" s="1533">
        <v>11758799</v>
      </c>
      <c r="D165" s="1533">
        <v>462393</v>
      </c>
      <c r="E165" s="1533">
        <v>123213</v>
      </c>
      <c r="F165" s="1533">
        <v>28042033</v>
      </c>
      <c r="G165" s="1533">
        <v>23705255</v>
      </c>
      <c r="H165" s="1533">
        <v>4091254</v>
      </c>
      <c r="I165" s="1533">
        <v>245524</v>
      </c>
      <c r="J165" s="1533">
        <v>23449860</v>
      </c>
      <c r="K165" s="1533">
        <v>546414</v>
      </c>
      <c r="L165" s="1533">
        <v>255395</v>
      </c>
      <c r="M165" s="1491"/>
      <c r="N165" s="1491"/>
      <c r="O165" s="1491"/>
      <c r="P165" s="1491"/>
    </row>
    <row r="166" spans="1:16">
      <c r="A166" s="1534" t="s">
        <v>25</v>
      </c>
      <c r="B166" s="1533">
        <v>12047088</v>
      </c>
      <c r="C166" s="1533">
        <v>11921530</v>
      </c>
      <c r="D166" s="1533">
        <v>468359</v>
      </c>
      <c r="E166" s="1533">
        <v>125558</v>
      </c>
      <c r="F166" s="1533">
        <v>28530273</v>
      </c>
      <c r="G166" s="1533">
        <v>24102271</v>
      </c>
      <c r="H166" s="1533">
        <v>4178663</v>
      </c>
      <c r="I166" s="1533">
        <v>249339</v>
      </c>
      <c r="J166" s="1533">
        <v>23843681</v>
      </c>
      <c r="K166" s="1533">
        <v>558918</v>
      </c>
      <c r="L166" s="1533">
        <v>258590</v>
      </c>
      <c r="M166" s="1491"/>
      <c r="N166" s="1491"/>
      <c r="O166" s="1491"/>
      <c r="P166" s="1491"/>
    </row>
    <row r="167" spans="1:16">
      <c r="A167" s="1534" t="s">
        <v>26</v>
      </c>
      <c r="B167" s="1533">
        <v>12144104</v>
      </c>
      <c r="C167" s="1533">
        <v>12016438</v>
      </c>
      <c r="D167" s="1533">
        <v>476165</v>
      </c>
      <c r="E167" s="1533">
        <v>127666</v>
      </c>
      <c r="F167" s="1533">
        <v>29042200</v>
      </c>
      <c r="G167" s="1533">
        <v>24540840</v>
      </c>
      <c r="H167" s="1533">
        <v>4251378</v>
      </c>
      <c r="I167" s="1533">
        <v>249982</v>
      </c>
      <c r="J167" s="1533">
        <v>24279305</v>
      </c>
      <c r="K167" s="1533">
        <v>575638</v>
      </c>
      <c r="L167" s="1533">
        <v>261535</v>
      </c>
      <c r="M167" s="1491"/>
      <c r="N167" s="1491"/>
      <c r="O167" s="1491"/>
      <c r="P167" s="1491"/>
    </row>
    <row r="168" spans="1:16">
      <c r="A168" s="1534" t="s">
        <v>27</v>
      </c>
      <c r="B168" s="1533">
        <v>12233783</v>
      </c>
      <c r="C168" s="1533">
        <v>12102788</v>
      </c>
      <c r="D168" s="1533">
        <v>486735</v>
      </c>
      <c r="E168" s="1533">
        <v>130995</v>
      </c>
      <c r="F168" s="1533">
        <v>29549492</v>
      </c>
      <c r="G168" s="1533">
        <v>24940254</v>
      </c>
      <c r="H168" s="1533">
        <v>4356505</v>
      </c>
      <c r="I168" s="1533">
        <v>252733</v>
      </c>
      <c r="J168" s="1533">
        <v>24676073</v>
      </c>
      <c r="K168" s="1533">
        <v>586712</v>
      </c>
      <c r="L168" s="1533">
        <v>264181</v>
      </c>
      <c r="M168" s="1491"/>
      <c r="N168" s="1491"/>
      <c r="O168" s="1491"/>
      <c r="P168" s="1491"/>
    </row>
    <row r="169" spans="1:16">
      <c r="A169" s="1534" t="s">
        <v>28</v>
      </c>
      <c r="B169" s="1533">
        <v>12523424</v>
      </c>
      <c r="C169" s="1533">
        <v>12398087</v>
      </c>
      <c r="D169" s="1533">
        <v>495045</v>
      </c>
      <c r="E169" s="1533">
        <v>125337</v>
      </c>
      <c r="F169" s="1533">
        <v>30055586</v>
      </c>
      <c r="G169" s="1533">
        <v>25363759</v>
      </c>
      <c r="H169" s="1533">
        <v>4437171</v>
      </c>
      <c r="I169" s="1533">
        <v>254656</v>
      </c>
      <c r="J169" s="1533">
        <v>25096926</v>
      </c>
      <c r="K169" s="1533">
        <v>599490</v>
      </c>
      <c r="L169" s="1533">
        <v>266833</v>
      </c>
      <c r="M169" s="1491"/>
      <c r="N169" s="1491"/>
      <c r="O169" s="1491"/>
      <c r="P169" s="1491"/>
    </row>
    <row r="170" spans="1:16">
      <c r="A170" s="1534" t="s">
        <v>29</v>
      </c>
      <c r="B170" s="1533">
        <v>12323105</v>
      </c>
      <c r="C170" s="1533">
        <v>12198027</v>
      </c>
      <c r="D170" s="1533">
        <v>505944</v>
      </c>
      <c r="E170" s="1533">
        <v>125078</v>
      </c>
      <c r="F170" s="1533">
        <v>26729371</v>
      </c>
      <c r="G170" s="1533">
        <v>22175499</v>
      </c>
      <c r="H170" s="1533">
        <v>4297069</v>
      </c>
      <c r="I170" s="1533">
        <v>256803</v>
      </c>
      <c r="J170" s="1533">
        <v>21908618</v>
      </c>
      <c r="K170" s="1533">
        <v>607456</v>
      </c>
      <c r="L170" s="1533">
        <v>266881</v>
      </c>
      <c r="M170" s="1491"/>
      <c r="N170" s="1491"/>
      <c r="O170" s="1491"/>
      <c r="P170" s="1491"/>
    </row>
    <row r="171" spans="1:16">
      <c r="A171" s="1534" t="s">
        <v>2812</v>
      </c>
      <c r="B171" s="1535">
        <v>13535655</v>
      </c>
      <c r="C171" s="1535">
        <v>13395443</v>
      </c>
      <c r="D171" s="1535">
        <v>636770</v>
      </c>
      <c r="E171" s="1535">
        <v>140212</v>
      </c>
      <c r="F171" s="1535">
        <v>32131951</v>
      </c>
      <c r="G171" s="1535">
        <v>25911774</v>
      </c>
      <c r="H171" s="1535">
        <v>5920325</v>
      </c>
      <c r="I171" s="1535">
        <v>299852</v>
      </c>
      <c r="J171" s="1535">
        <v>25603713</v>
      </c>
      <c r="K171" s="1535">
        <v>777151</v>
      </c>
      <c r="L171" s="1535">
        <v>308061</v>
      </c>
      <c r="M171" s="1496">
        <f>(SUM(M172:M183))</f>
        <v>24832.154999999999</v>
      </c>
      <c r="N171" s="1496">
        <f>(SUM(N172:N183))</f>
        <v>203368.70504280005</v>
      </c>
      <c r="O171" s="1496">
        <f>(SUM(O172:O183))</f>
        <v>121487.774</v>
      </c>
      <c r="P171" s="1496">
        <f>(SUM(P172:P183))</f>
        <v>22688.23378336</v>
      </c>
    </row>
    <row r="172" spans="1:16">
      <c r="A172" s="1534" t="s">
        <v>18</v>
      </c>
      <c r="B172" s="1533">
        <v>12629978</v>
      </c>
      <c r="C172" s="1533">
        <v>12503644</v>
      </c>
      <c r="D172" s="1533">
        <v>518523</v>
      </c>
      <c r="E172" s="1533">
        <v>126334</v>
      </c>
      <c r="F172" s="1533">
        <v>27270770</v>
      </c>
      <c r="G172" s="1533">
        <v>22604857</v>
      </c>
      <c r="H172" s="1533">
        <v>4405980</v>
      </c>
      <c r="I172" s="1533">
        <v>259933</v>
      </c>
      <c r="J172" s="1533">
        <v>22337304</v>
      </c>
      <c r="K172" s="1533">
        <v>617661</v>
      </c>
      <c r="L172" s="1533">
        <v>267553</v>
      </c>
      <c r="M172" s="1491">
        <v>1237.432</v>
      </c>
      <c r="N172" s="1491">
        <v>11961.60903784</v>
      </c>
      <c r="O172" s="1491">
        <v>5581.6509999999998</v>
      </c>
      <c r="P172" s="1491">
        <v>963.38066869000011</v>
      </c>
    </row>
    <row r="173" spans="1:16">
      <c r="A173" s="1534" t="s">
        <v>19</v>
      </c>
      <c r="B173" s="1533">
        <v>12770701</v>
      </c>
      <c r="C173" s="1533">
        <v>12644236</v>
      </c>
      <c r="D173" s="1533">
        <v>529967</v>
      </c>
      <c r="E173" s="1533">
        <v>126465</v>
      </c>
      <c r="F173" s="1533">
        <v>27734485</v>
      </c>
      <c r="G173" s="1533">
        <v>22986485</v>
      </c>
      <c r="H173" s="1533">
        <v>4485036</v>
      </c>
      <c r="I173" s="1533">
        <v>262964</v>
      </c>
      <c r="J173" s="1533">
        <v>22716483</v>
      </c>
      <c r="K173" s="1533">
        <v>631689</v>
      </c>
      <c r="L173" s="1533">
        <v>270002</v>
      </c>
      <c r="M173" s="1491">
        <v>1002.496</v>
      </c>
      <c r="N173" s="1491">
        <v>13390.82681903</v>
      </c>
      <c r="O173" s="1491">
        <v>6541.259</v>
      </c>
      <c r="P173" s="1491">
        <v>1136.3528868199999</v>
      </c>
    </row>
    <row r="174" spans="1:16">
      <c r="A174" s="1534" t="s">
        <v>20</v>
      </c>
      <c r="B174" s="1533">
        <v>12956913</v>
      </c>
      <c r="C174" s="1533">
        <v>12829565</v>
      </c>
      <c r="D174" s="1533">
        <v>538819</v>
      </c>
      <c r="E174" s="1533">
        <v>127348</v>
      </c>
      <c r="F174" s="1533">
        <v>28261468</v>
      </c>
      <c r="G174" s="1533">
        <v>23387283</v>
      </c>
      <c r="H174" s="1533">
        <v>4609258</v>
      </c>
      <c r="I174" s="1533">
        <v>264927</v>
      </c>
      <c r="J174" s="1533">
        <v>23114820</v>
      </c>
      <c r="K174" s="1533">
        <v>644070</v>
      </c>
      <c r="L174" s="1533">
        <v>272463</v>
      </c>
      <c r="M174" s="1491">
        <v>1799.155</v>
      </c>
      <c r="N174" s="1491">
        <v>15154.87679412</v>
      </c>
      <c r="O174" s="1491">
        <v>7369.1980000000003</v>
      </c>
      <c r="P174" s="1491">
        <v>2681.2841569899997</v>
      </c>
    </row>
    <row r="175" spans="1:16">
      <c r="A175" s="1534" t="s">
        <v>21</v>
      </c>
      <c r="B175" s="1533">
        <v>13026311</v>
      </c>
      <c r="C175" s="1533">
        <v>12897017</v>
      </c>
      <c r="D175" s="1533">
        <v>551724</v>
      </c>
      <c r="E175" s="1533">
        <v>129294</v>
      </c>
      <c r="F175" s="1533">
        <v>28675008</v>
      </c>
      <c r="G175" s="1533">
        <v>23663879</v>
      </c>
      <c r="H175" s="1533">
        <v>4743154</v>
      </c>
      <c r="I175" s="1533">
        <v>267975</v>
      </c>
      <c r="J175" s="1533">
        <v>23386392</v>
      </c>
      <c r="K175" s="1533">
        <v>659788</v>
      </c>
      <c r="L175" s="1533">
        <v>277487</v>
      </c>
      <c r="M175" s="1491">
        <v>2313.5059999999999</v>
      </c>
      <c r="N175" s="1491">
        <v>18497.929535769999</v>
      </c>
      <c r="O175" s="1491">
        <v>8486.2019999999993</v>
      </c>
      <c r="P175" s="1491">
        <v>2003.2690519300002</v>
      </c>
    </row>
    <row r="176" spans="1:16">
      <c r="A176" s="1534" t="s">
        <v>22</v>
      </c>
      <c r="B176" s="1533">
        <v>13140530</v>
      </c>
      <c r="C176" s="1533">
        <v>13009640</v>
      </c>
      <c r="D176" s="1533">
        <v>563093</v>
      </c>
      <c r="E176" s="1533">
        <v>130890</v>
      </c>
      <c r="F176" s="1533">
        <v>29127369</v>
      </c>
      <c r="G176" s="1533">
        <v>23991179</v>
      </c>
      <c r="H176" s="1533">
        <v>4864806</v>
      </c>
      <c r="I176" s="1533">
        <v>271384</v>
      </c>
      <c r="J176" s="1533">
        <v>23709851</v>
      </c>
      <c r="K176" s="1533">
        <v>674039</v>
      </c>
      <c r="L176" s="1533">
        <v>281328</v>
      </c>
      <c r="M176" s="1491">
        <v>2477.1320000000001</v>
      </c>
      <c r="N176" s="1491">
        <v>16078.76729159</v>
      </c>
      <c r="O176" s="1491">
        <v>9531.8160000000007</v>
      </c>
      <c r="P176" s="1491">
        <v>1798.2032927</v>
      </c>
    </row>
    <row r="177" spans="1:16">
      <c r="A177" s="1534" t="s">
        <v>23</v>
      </c>
      <c r="B177" s="1533">
        <v>13013757</v>
      </c>
      <c r="C177" s="1533">
        <v>12878196</v>
      </c>
      <c r="D177" s="1533">
        <v>574648</v>
      </c>
      <c r="E177" s="1533">
        <v>135561</v>
      </c>
      <c r="F177" s="1533">
        <v>29276612</v>
      </c>
      <c r="G177" s="1533">
        <v>24009998</v>
      </c>
      <c r="H177" s="1533">
        <v>4992220</v>
      </c>
      <c r="I177" s="1533">
        <v>274394</v>
      </c>
      <c r="J177" s="1533">
        <v>23724130</v>
      </c>
      <c r="K177" s="1533">
        <v>687772</v>
      </c>
      <c r="L177" s="1533">
        <v>285868</v>
      </c>
      <c r="M177" s="1491">
        <v>2159.9580000000001</v>
      </c>
      <c r="N177" s="1491">
        <v>17371.786488049998</v>
      </c>
      <c r="O177" s="1491">
        <v>9850.8449999999993</v>
      </c>
      <c r="P177" s="1491">
        <v>1609.3084201900001</v>
      </c>
    </row>
    <row r="178" spans="1:16">
      <c r="A178" s="1534" t="s">
        <v>24</v>
      </c>
      <c r="B178" s="1533">
        <v>13141852</v>
      </c>
      <c r="C178" s="1533">
        <v>13009099</v>
      </c>
      <c r="D178" s="1533">
        <v>582788</v>
      </c>
      <c r="E178" s="1533">
        <v>132753</v>
      </c>
      <c r="F178" s="1533">
        <v>29724430</v>
      </c>
      <c r="G178" s="1533">
        <v>24346057</v>
      </c>
      <c r="H178" s="1533">
        <v>5099370</v>
      </c>
      <c r="I178" s="1533">
        <v>279003</v>
      </c>
      <c r="J178" s="1533">
        <v>24056612</v>
      </c>
      <c r="K178" s="1533">
        <v>700420</v>
      </c>
      <c r="L178" s="1533">
        <v>289445</v>
      </c>
      <c r="M178" s="1491">
        <v>2201.0749999999998</v>
      </c>
      <c r="N178" s="1491">
        <v>17050.269165059999</v>
      </c>
      <c r="O178" s="1491">
        <v>10475.921</v>
      </c>
      <c r="P178" s="1491">
        <v>1457.9264834800001</v>
      </c>
    </row>
    <row r="179" spans="1:16">
      <c r="A179" s="1534" t="s">
        <v>25</v>
      </c>
      <c r="B179" s="1533">
        <v>13316889</v>
      </c>
      <c r="C179" s="1533">
        <v>13182234</v>
      </c>
      <c r="D179" s="1533">
        <v>595198</v>
      </c>
      <c r="E179" s="1533">
        <v>134655</v>
      </c>
      <c r="F179" s="1533">
        <v>30346932</v>
      </c>
      <c r="G179" s="1533">
        <v>24823081</v>
      </c>
      <c r="H179" s="1533">
        <v>5239737</v>
      </c>
      <c r="I179" s="1533">
        <v>284114</v>
      </c>
      <c r="J179" s="1533">
        <v>24528808</v>
      </c>
      <c r="K179" s="1533">
        <v>716861</v>
      </c>
      <c r="L179" s="1533">
        <v>294273</v>
      </c>
      <c r="M179" s="1491">
        <v>2337.7730000000001</v>
      </c>
      <c r="N179" s="1491">
        <v>16989.6739103</v>
      </c>
      <c r="O179" s="1491">
        <v>10517.945</v>
      </c>
      <c r="P179" s="1491">
        <v>1471.5610880699999</v>
      </c>
    </row>
    <row r="180" spans="1:16">
      <c r="A180" s="1534" t="s">
        <v>26</v>
      </c>
      <c r="B180" s="1533">
        <v>13483062</v>
      </c>
      <c r="C180" s="1533">
        <v>13346884</v>
      </c>
      <c r="D180" s="1533">
        <v>607639</v>
      </c>
      <c r="E180" s="1533">
        <v>136178</v>
      </c>
      <c r="F180" s="1533">
        <v>30971047</v>
      </c>
      <c r="G180" s="1533">
        <v>25295328</v>
      </c>
      <c r="H180" s="1533">
        <v>5387201</v>
      </c>
      <c r="I180" s="1533">
        <v>288518</v>
      </c>
      <c r="J180" s="1533">
        <v>24997047</v>
      </c>
      <c r="K180" s="1533">
        <v>733107</v>
      </c>
      <c r="L180" s="1533">
        <v>298281</v>
      </c>
      <c r="M180" s="1491">
        <v>2166.7289999999998</v>
      </c>
      <c r="N180" s="1491">
        <v>16607.460387479998</v>
      </c>
      <c r="O180" s="1491">
        <v>11388.531000000001</v>
      </c>
      <c r="P180" s="1491">
        <v>1623.31405593</v>
      </c>
    </row>
    <row r="181" spans="1:16">
      <c r="A181" s="1534" t="s">
        <v>27</v>
      </c>
      <c r="B181" s="1533">
        <v>13649964</v>
      </c>
      <c r="C181" s="1533">
        <v>13512775</v>
      </c>
      <c r="D181" s="1533">
        <v>618910</v>
      </c>
      <c r="E181" s="1533">
        <v>137189</v>
      </c>
      <c r="F181" s="1533">
        <v>31523433</v>
      </c>
      <c r="G181" s="1533">
        <v>25667364</v>
      </c>
      <c r="H181" s="1533">
        <v>5563798</v>
      </c>
      <c r="I181" s="1533">
        <v>292271</v>
      </c>
      <c r="J181" s="1533">
        <v>25366039</v>
      </c>
      <c r="K181" s="1533">
        <v>749085</v>
      </c>
      <c r="L181" s="1533">
        <v>301325</v>
      </c>
      <c r="M181" s="1491">
        <v>2543.5390000000002</v>
      </c>
      <c r="N181" s="1491">
        <v>18326.319987390001</v>
      </c>
      <c r="O181" s="1491">
        <v>12098.885</v>
      </c>
      <c r="P181" s="1491">
        <v>2109.7513973599998</v>
      </c>
    </row>
    <row r="182" spans="1:16">
      <c r="A182" s="1534" t="s">
        <v>28</v>
      </c>
      <c r="B182" s="1533">
        <v>13730617</v>
      </c>
      <c r="C182" s="1533">
        <v>13592041</v>
      </c>
      <c r="D182" s="1533">
        <v>627957</v>
      </c>
      <c r="E182" s="1533">
        <v>138576</v>
      </c>
      <c r="F182" s="1533">
        <v>31978293</v>
      </c>
      <c r="G182" s="1533">
        <v>25939663</v>
      </c>
      <c r="H182" s="1533">
        <v>5743467</v>
      </c>
      <c r="I182" s="1533">
        <v>295163</v>
      </c>
      <c r="J182" s="1533">
        <v>25635315</v>
      </c>
      <c r="K182" s="1533">
        <v>762579</v>
      </c>
      <c r="L182" s="1533">
        <v>304348</v>
      </c>
      <c r="M182" s="1491">
        <v>2649.51</v>
      </c>
      <c r="N182" s="1491">
        <v>18072.96939717</v>
      </c>
      <c r="O182" s="1491">
        <v>13119.107</v>
      </c>
      <c r="P182" s="1491">
        <v>2008.5986308399999</v>
      </c>
    </row>
    <row r="183" spans="1:16">
      <c r="A183" s="1534" t="s">
        <v>29</v>
      </c>
      <c r="B183" s="1533">
        <v>13535655</v>
      </c>
      <c r="C183" s="1533">
        <v>13395443</v>
      </c>
      <c r="D183" s="1533">
        <v>636770</v>
      </c>
      <c r="E183" s="1533">
        <v>140212</v>
      </c>
      <c r="F183" s="1533">
        <v>32131951</v>
      </c>
      <c r="G183" s="1533">
        <v>25911774</v>
      </c>
      <c r="H183" s="1533">
        <v>5920325</v>
      </c>
      <c r="I183" s="1533">
        <v>299852</v>
      </c>
      <c r="J183" s="1533">
        <v>25603713</v>
      </c>
      <c r="K183" s="1533">
        <v>777151</v>
      </c>
      <c r="L183" s="1533">
        <v>308061</v>
      </c>
      <c r="M183" s="1491">
        <v>1943.85</v>
      </c>
      <c r="N183" s="1491">
        <v>23866.216229000001</v>
      </c>
      <c r="O183" s="1491">
        <v>16526.414000000001</v>
      </c>
      <c r="P183" s="1491">
        <v>3825.2836503600001</v>
      </c>
    </row>
    <row r="184" spans="1:16">
      <c r="A184" s="1534" t="s">
        <v>3500</v>
      </c>
      <c r="B184" s="1535">
        <v>14654384</v>
      </c>
      <c r="C184" s="1535">
        <v>14513660</v>
      </c>
      <c r="D184" s="1535">
        <v>712151</v>
      </c>
      <c r="E184" s="1535">
        <v>140724</v>
      </c>
      <c r="F184" s="1535">
        <v>39590672</v>
      </c>
      <c r="G184" s="1535">
        <v>31492104</v>
      </c>
      <c r="H184" s="1535">
        <v>7772955</v>
      </c>
      <c r="I184" s="1535">
        <v>325613</v>
      </c>
      <c r="J184" s="1535">
        <v>31171813</v>
      </c>
      <c r="K184" s="1535">
        <v>896156</v>
      </c>
      <c r="L184" s="1535">
        <v>320291</v>
      </c>
      <c r="M184" s="1496">
        <f>(SUM(M185:M196))</f>
        <v>21208.202000000005</v>
      </c>
      <c r="N184" s="1496">
        <f t="shared" ref="N184:P184" si="0">(SUM(N185:N196))</f>
        <v>227680.43875112</v>
      </c>
      <c r="O184" s="1496">
        <f t="shared" si="0"/>
        <v>290798.86100000003</v>
      </c>
      <c r="P184" s="1496">
        <f t="shared" si="0"/>
        <v>46249.206362060002</v>
      </c>
    </row>
    <row r="185" spans="1:16">
      <c r="A185" s="1534" t="s">
        <v>18</v>
      </c>
      <c r="B185" s="1533">
        <v>13620931</v>
      </c>
      <c r="C185" s="1533">
        <v>13479616</v>
      </c>
      <c r="D185" s="1533">
        <v>644403</v>
      </c>
      <c r="E185" s="1533">
        <v>141315</v>
      </c>
      <c r="F185" s="1533">
        <v>32616431</v>
      </c>
      <c r="G185" s="1533">
        <v>26219243</v>
      </c>
      <c r="H185" s="1533">
        <v>6093746</v>
      </c>
      <c r="I185" s="1533">
        <v>303442</v>
      </c>
      <c r="J185" s="1533">
        <v>25908273</v>
      </c>
      <c r="K185" s="1533">
        <v>788955</v>
      </c>
      <c r="L185" s="1533">
        <v>310970</v>
      </c>
      <c r="M185" s="1491">
        <v>1621.9</v>
      </c>
      <c r="N185" s="1491">
        <v>16749.332172120001</v>
      </c>
      <c r="O185" s="1491">
        <v>15005.156000000001</v>
      </c>
      <c r="P185" s="1491">
        <v>1997.21891835</v>
      </c>
    </row>
    <row r="186" spans="1:16">
      <c r="A186" s="1534" t="s">
        <v>19</v>
      </c>
      <c r="B186" s="1533">
        <v>13737542</v>
      </c>
      <c r="C186" s="1533">
        <v>13594305</v>
      </c>
      <c r="D186" s="1533">
        <v>651612</v>
      </c>
      <c r="E186" s="1533">
        <v>143237</v>
      </c>
      <c r="F186" s="1533">
        <v>33214685</v>
      </c>
      <c r="G186" s="1533">
        <v>26622633</v>
      </c>
      <c r="H186" s="1533">
        <v>6286367</v>
      </c>
      <c r="I186" s="1533">
        <v>305685</v>
      </c>
      <c r="J186" s="1533">
        <v>26307176</v>
      </c>
      <c r="K186" s="1533">
        <v>802373</v>
      </c>
      <c r="L186" s="1533">
        <v>315457</v>
      </c>
      <c r="M186" s="1491">
        <v>1676.857</v>
      </c>
      <c r="N186" s="1491">
        <v>16391.867533690001</v>
      </c>
      <c r="O186" s="1491">
        <v>15825.008</v>
      </c>
      <c r="P186" s="1491">
        <v>2470.4856664899999</v>
      </c>
    </row>
    <row r="187" spans="1:16">
      <c r="A187" s="1534" t="s">
        <v>20</v>
      </c>
      <c r="B187" s="1533">
        <v>13843001</v>
      </c>
      <c r="C187" s="1533">
        <v>13698214</v>
      </c>
      <c r="D187" s="1533">
        <v>657940</v>
      </c>
      <c r="E187" s="1533">
        <v>144787</v>
      </c>
      <c r="F187" s="1533">
        <v>33831265</v>
      </c>
      <c r="G187" s="1533">
        <v>27025083</v>
      </c>
      <c r="H187" s="1533">
        <v>6497228</v>
      </c>
      <c r="I187" s="1533">
        <v>308954</v>
      </c>
      <c r="J187" s="1533">
        <v>26705930</v>
      </c>
      <c r="K187" s="1533">
        <v>812732</v>
      </c>
      <c r="L187" s="1533">
        <v>319153</v>
      </c>
      <c r="M187" s="1491">
        <v>1781.6869999999999</v>
      </c>
      <c r="N187" s="1491">
        <v>17252.171786529998</v>
      </c>
      <c r="O187" s="1491">
        <v>17776.401999999998</v>
      </c>
      <c r="P187" s="1491">
        <v>2956.0988538899996</v>
      </c>
    </row>
    <row r="188" spans="1:16">
      <c r="A188" s="1534" t="s">
        <v>21</v>
      </c>
      <c r="B188" s="1533">
        <v>13772644</v>
      </c>
      <c r="C188" s="1533">
        <v>13629053</v>
      </c>
      <c r="D188" s="1533">
        <v>659422</v>
      </c>
      <c r="E188" s="1533">
        <v>143591</v>
      </c>
      <c r="F188" s="1533">
        <v>34120423</v>
      </c>
      <c r="G188" s="1533">
        <v>27186197</v>
      </c>
      <c r="H188" s="1533">
        <v>6632703</v>
      </c>
      <c r="I188" s="1533">
        <v>301523</v>
      </c>
      <c r="J188" s="1533">
        <v>26874368</v>
      </c>
      <c r="K188" s="1533">
        <v>816142</v>
      </c>
      <c r="L188" s="1533">
        <v>311829</v>
      </c>
      <c r="M188" s="1491">
        <v>1653.816</v>
      </c>
      <c r="N188" s="1491">
        <v>16923.024148619999</v>
      </c>
      <c r="O188" s="1491">
        <v>18220.264999999999</v>
      </c>
      <c r="P188" s="1491">
        <v>2840.4698740200001</v>
      </c>
    </row>
    <row r="189" spans="1:16">
      <c r="A189" s="1534" t="s">
        <v>22</v>
      </c>
      <c r="B189" s="1533">
        <v>13832763</v>
      </c>
      <c r="C189" s="1533">
        <v>13690176</v>
      </c>
      <c r="D189" s="1533">
        <v>661407</v>
      </c>
      <c r="E189" s="1533">
        <v>142587</v>
      </c>
      <c r="F189" s="1533">
        <v>34751954</v>
      </c>
      <c r="G189" s="1533">
        <v>27571526</v>
      </c>
      <c r="H189" s="1533">
        <v>6877981</v>
      </c>
      <c r="I189" s="1533">
        <v>302447</v>
      </c>
      <c r="J189" s="1533">
        <v>27260275</v>
      </c>
      <c r="K189" s="1533">
        <v>818617</v>
      </c>
      <c r="L189" s="1533">
        <v>311251</v>
      </c>
      <c r="M189" s="1491">
        <v>1804.729</v>
      </c>
      <c r="N189" s="1491">
        <v>18036.0202641</v>
      </c>
      <c r="O189" s="1491">
        <v>21074.742999999999</v>
      </c>
      <c r="P189" s="1491">
        <v>3109.6837274699997</v>
      </c>
    </row>
    <row r="190" spans="1:16">
      <c r="A190" s="1534" t="s">
        <v>23</v>
      </c>
      <c r="B190" s="1533">
        <v>13947162</v>
      </c>
      <c r="C190" s="1533">
        <v>13803878</v>
      </c>
      <c r="D190" s="1533">
        <v>670509</v>
      </c>
      <c r="E190" s="1533">
        <v>143284</v>
      </c>
      <c r="F190" s="1533">
        <v>35204219</v>
      </c>
      <c r="G190" s="1533">
        <v>28041933</v>
      </c>
      <c r="H190" s="1533">
        <v>6857787</v>
      </c>
      <c r="I190" s="1533">
        <v>304499</v>
      </c>
      <c r="J190" s="1533">
        <v>27727572</v>
      </c>
      <c r="K190" s="1533">
        <v>829990</v>
      </c>
      <c r="L190" s="1533">
        <v>314361</v>
      </c>
      <c r="M190" s="1491">
        <v>1685.3309999999999</v>
      </c>
      <c r="N190" s="1491">
        <v>16440.254206860001</v>
      </c>
      <c r="O190" s="1491">
        <v>20781.437000000002</v>
      </c>
      <c r="P190" s="1491">
        <v>3986.0517384899999</v>
      </c>
    </row>
    <row r="191" spans="1:16">
      <c r="A191" s="1534" t="s">
        <v>24</v>
      </c>
      <c r="B191" s="1533">
        <v>14063765</v>
      </c>
      <c r="C191" s="1533">
        <v>13919402</v>
      </c>
      <c r="D191" s="1533">
        <v>670151</v>
      </c>
      <c r="E191" s="1533">
        <v>144363</v>
      </c>
      <c r="F191" s="1533">
        <v>35898162</v>
      </c>
      <c r="G191" s="1533">
        <v>28567680</v>
      </c>
      <c r="H191" s="1533">
        <v>7022421</v>
      </c>
      <c r="I191" s="1533">
        <v>308061</v>
      </c>
      <c r="J191" s="1533">
        <v>28251009</v>
      </c>
      <c r="K191" s="1533">
        <v>832341</v>
      </c>
      <c r="L191" s="1533">
        <v>316671</v>
      </c>
      <c r="M191" s="1491">
        <v>1981.0540000000001</v>
      </c>
      <c r="N191" s="1491">
        <v>20023.121856189999</v>
      </c>
      <c r="O191" s="1491">
        <v>24202.174999999999</v>
      </c>
      <c r="P191" s="1491">
        <v>4153.7315737899999</v>
      </c>
    </row>
    <row r="192" spans="1:16">
      <c r="A192" s="1534" t="s">
        <v>25</v>
      </c>
      <c r="B192" s="1533">
        <v>14215258</v>
      </c>
      <c r="C192" s="1533">
        <v>14068615</v>
      </c>
      <c r="D192" s="1533">
        <v>680843</v>
      </c>
      <c r="E192" s="1533">
        <v>146643</v>
      </c>
      <c r="F192" s="1533">
        <v>36750228</v>
      </c>
      <c r="G192" s="1533">
        <v>29229134</v>
      </c>
      <c r="H192" s="1533">
        <v>7209877</v>
      </c>
      <c r="I192" s="1533">
        <v>311217</v>
      </c>
      <c r="J192" s="1533">
        <v>28907008</v>
      </c>
      <c r="K192" s="1533">
        <v>848357</v>
      </c>
      <c r="L192" s="1533">
        <v>322126</v>
      </c>
      <c r="M192" s="1491">
        <v>1798.191</v>
      </c>
      <c r="N192" s="1491">
        <v>19891.138757200002</v>
      </c>
      <c r="O192" s="1491">
        <v>24880.984</v>
      </c>
      <c r="P192" s="1491">
        <v>4568.9208906399999</v>
      </c>
    </row>
    <row r="193" spans="1:16">
      <c r="A193" s="1534" t="s">
        <v>26</v>
      </c>
      <c r="B193" s="1533">
        <v>14340385</v>
      </c>
      <c r="C193" s="1533">
        <v>14191659</v>
      </c>
      <c r="D193" s="1533">
        <v>684975</v>
      </c>
      <c r="E193" s="1533">
        <v>148726</v>
      </c>
      <c r="F193" s="1533">
        <v>37439220</v>
      </c>
      <c r="G193" s="1533">
        <v>29720212</v>
      </c>
      <c r="H193" s="1533">
        <v>7405317</v>
      </c>
      <c r="I193" s="1533">
        <v>313691</v>
      </c>
      <c r="J193" s="1533">
        <v>29392713</v>
      </c>
      <c r="K193" s="1533">
        <v>853729</v>
      </c>
      <c r="L193" s="1533">
        <v>327499</v>
      </c>
      <c r="M193" s="1491">
        <v>1776.317</v>
      </c>
      <c r="N193" s="1491">
        <v>18778.45133819</v>
      </c>
      <c r="O193" s="1491">
        <v>26994.276000000002</v>
      </c>
      <c r="P193" s="1491">
        <v>4210.5683489699995</v>
      </c>
    </row>
    <row r="194" spans="1:16">
      <c r="A194" s="1534" t="s">
        <v>27</v>
      </c>
      <c r="B194" s="1533">
        <v>14350184</v>
      </c>
      <c r="C194" s="1533">
        <v>14214419</v>
      </c>
      <c r="D194" s="1533">
        <v>685813</v>
      </c>
      <c r="E194" s="1533">
        <v>135765</v>
      </c>
      <c r="F194" s="1533">
        <v>37766627</v>
      </c>
      <c r="G194" s="1533">
        <v>30115193</v>
      </c>
      <c r="H194" s="1533">
        <v>7340629</v>
      </c>
      <c r="I194" s="1533">
        <v>310805</v>
      </c>
      <c r="J194" s="1533">
        <v>29806518</v>
      </c>
      <c r="K194" s="1533">
        <v>857281</v>
      </c>
      <c r="L194" s="1533">
        <v>308675</v>
      </c>
      <c r="M194" s="1491">
        <v>1939.759</v>
      </c>
      <c r="N194" s="1491">
        <v>21431.13010862</v>
      </c>
      <c r="O194" s="1491">
        <v>31385.042000000001</v>
      </c>
      <c r="P194" s="1491">
        <v>5675.3090789500002</v>
      </c>
    </row>
    <row r="195" spans="1:16">
      <c r="A195" s="1534" t="s">
        <v>28</v>
      </c>
      <c r="B195" s="1533">
        <v>14497778</v>
      </c>
      <c r="C195" s="1533">
        <v>14359133</v>
      </c>
      <c r="D195" s="1533">
        <v>698810</v>
      </c>
      <c r="E195" s="1533">
        <v>138645</v>
      </c>
      <c r="F195" s="1533">
        <v>38573764</v>
      </c>
      <c r="G195" s="1533">
        <v>30692696</v>
      </c>
      <c r="H195" s="1533">
        <v>7564897</v>
      </c>
      <c r="I195" s="1533">
        <v>316171</v>
      </c>
      <c r="J195" s="1533">
        <v>30377241</v>
      </c>
      <c r="K195" s="1533">
        <v>876130</v>
      </c>
      <c r="L195" s="1533">
        <v>315455</v>
      </c>
      <c r="M195" s="1491">
        <v>1607</v>
      </c>
      <c r="N195" s="1491">
        <v>18785</v>
      </c>
      <c r="O195" s="1491">
        <v>34065</v>
      </c>
      <c r="P195" s="1491">
        <v>4694</v>
      </c>
    </row>
    <row r="196" spans="1:16">
      <c r="A196" s="1534" t="s">
        <v>29</v>
      </c>
      <c r="B196" s="1533">
        <v>14654384</v>
      </c>
      <c r="C196" s="1533">
        <v>14513660</v>
      </c>
      <c r="D196" s="1533">
        <v>712151</v>
      </c>
      <c r="E196" s="1533">
        <v>140724</v>
      </c>
      <c r="F196" s="1533">
        <v>39590672</v>
      </c>
      <c r="G196" s="1533">
        <v>31492104</v>
      </c>
      <c r="H196" s="1533">
        <v>7772955</v>
      </c>
      <c r="I196" s="1533">
        <v>325613</v>
      </c>
      <c r="J196" s="1533">
        <v>31171813</v>
      </c>
      <c r="K196" s="1533">
        <v>896156</v>
      </c>
      <c r="L196" s="1533">
        <v>320291</v>
      </c>
      <c r="M196" s="1491">
        <v>1881.5609999999999</v>
      </c>
      <c r="N196" s="1491">
        <v>26978.926578999999</v>
      </c>
      <c r="O196" s="1491">
        <v>40588.373</v>
      </c>
      <c r="P196" s="1491">
        <v>5586.6676909999996</v>
      </c>
    </row>
    <row r="197" spans="1:16">
      <c r="A197" s="1534" t="s">
        <v>3971</v>
      </c>
      <c r="B197" s="1535">
        <v>15999555</v>
      </c>
      <c r="C197" s="1535">
        <v>15846654</v>
      </c>
      <c r="D197" s="1535">
        <v>856401</v>
      </c>
      <c r="E197" s="1535">
        <v>152901</v>
      </c>
      <c r="F197" s="1535">
        <v>47278994</v>
      </c>
      <c r="G197" s="1535">
        <v>37016419</v>
      </c>
      <c r="H197" s="1535">
        <v>9761889</v>
      </c>
      <c r="I197" s="1535">
        <v>500686</v>
      </c>
      <c r="J197" s="1535">
        <v>36636593</v>
      </c>
      <c r="K197" s="1535">
        <v>1123177</v>
      </c>
      <c r="L197" s="1535">
        <v>379826</v>
      </c>
      <c r="M197" s="1496">
        <f>(SUM(M198:M209))</f>
        <v>21232.026999999998</v>
      </c>
      <c r="N197" s="1496">
        <f t="shared" ref="N197:P197" si="1">(SUM(N198:N209))</f>
        <v>274743.82792234997</v>
      </c>
      <c r="O197" s="1496">
        <f t="shared" si="1"/>
        <v>627905.08699999994</v>
      </c>
      <c r="P197" s="1496">
        <f t="shared" si="1"/>
        <v>63905.636203410002</v>
      </c>
    </row>
    <row r="198" spans="1:16">
      <c r="A198" s="1534" t="s">
        <v>18</v>
      </c>
      <c r="B198" s="1533">
        <v>14803775</v>
      </c>
      <c r="C198" s="1533">
        <v>14661221</v>
      </c>
      <c r="D198" s="1533">
        <v>721021</v>
      </c>
      <c r="E198" s="1533">
        <v>142554</v>
      </c>
      <c r="F198" s="1533">
        <v>40335951</v>
      </c>
      <c r="G198" s="1533">
        <v>32008338</v>
      </c>
      <c r="H198" s="1533">
        <v>7990254</v>
      </c>
      <c r="I198" s="1533">
        <v>337359</v>
      </c>
      <c r="J198" s="1533">
        <v>31683652</v>
      </c>
      <c r="K198" s="1533">
        <v>911136</v>
      </c>
      <c r="L198" s="1533">
        <v>324686</v>
      </c>
      <c r="M198" s="1491">
        <v>1485.3119999999999</v>
      </c>
      <c r="N198" s="1491">
        <v>18305.638999999999</v>
      </c>
      <c r="O198" s="1491">
        <v>37140.928</v>
      </c>
      <c r="P198" s="1491">
        <v>5273.7156400000003</v>
      </c>
    </row>
    <row r="199" spans="1:16">
      <c r="A199" s="1534" t="s">
        <v>19</v>
      </c>
      <c r="B199" s="1533">
        <v>14883892</v>
      </c>
      <c r="C199" s="1533">
        <v>14739173</v>
      </c>
      <c r="D199" s="1533">
        <v>733799</v>
      </c>
      <c r="E199" s="1533">
        <v>144719</v>
      </c>
      <c r="F199" s="1533">
        <v>40622564</v>
      </c>
      <c r="G199" s="1533">
        <v>32094492</v>
      </c>
      <c r="H199" s="1533">
        <v>8173944</v>
      </c>
      <c r="I199" s="1533">
        <v>354128</v>
      </c>
      <c r="J199" s="1533">
        <v>31764345</v>
      </c>
      <c r="K199" s="1533">
        <v>928129</v>
      </c>
      <c r="L199" s="1533">
        <v>330147</v>
      </c>
      <c r="M199" s="1491">
        <v>1656.731</v>
      </c>
      <c r="N199" s="1491">
        <v>20682.151039</v>
      </c>
      <c r="O199" s="1491">
        <v>40007.923999999999</v>
      </c>
      <c r="P199" s="1491">
        <v>5057.073676</v>
      </c>
    </row>
    <row r="200" spans="1:16">
      <c r="A200" s="1534" t="s">
        <v>20</v>
      </c>
      <c r="B200" s="1533">
        <v>15007377</v>
      </c>
      <c r="C200" s="1533">
        <v>14861378</v>
      </c>
      <c r="D200" s="1533">
        <v>741752</v>
      </c>
      <c r="E200" s="1533">
        <v>145999</v>
      </c>
      <c r="F200" s="1533">
        <v>41098194</v>
      </c>
      <c r="G200" s="1533">
        <v>32351523</v>
      </c>
      <c r="H200" s="1533">
        <v>8377126</v>
      </c>
      <c r="I200" s="1533">
        <v>369545</v>
      </c>
      <c r="J200" s="1533">
        <v>32018142</v>
      </c>
      <c r="K200" s="1533">
        <v>940428</v>
      </c>
      <c r="L200" s="1533">
        <v>333381</v>
      </c>
      <c r="M200" s="1491">
        <v>1504.4590000000001</v>
      </c>
      <c r="N200" s="1491">
        <v>20298</v>
      </c>
      <c r="O200" s="1491">
        <v>44154.73</v>
      </c>
      <c r="P200" s="1491">
        <v>4485.5850490000003</v>
      </c>
    </row>
    <row r="201" spans="1:16">
      <c r="A201" s="1534" t="s">
        <v>21</v>
      </c>
      <c r="B201" s="1533">
        <v>15166546</v>
      </c>
      <c r="C201" s="1533">
        <v>15018598</v>
      </c>
      <c r="D201" s="1533">
        <v>754982</v>
      </c>
      <c r="E201" s="1533">
        <v>147948</v>
      </c>
      <c r="F201" s="1533">
        <v>41877781</v>
      </c>
      <c r="G201" s="1533">
        <v>32901745</v>
      </c>
      <c r="H201" s="1533">
        <v>8590665</v>
      </c>
      <c r="I201" s="1533">
        <v>385371</v>
      </c>
      <c r="J201" s="1533">
        <v>32563007</v>
      </c>
      <c r="K201" s="1533">
        <v>959549</v>
      </c>
      <c r="L201" s="1533">
        <v>338738</v>
      </c>
      <c r="M201" s="1491">
        <v>1747.049</v>
      </c>
      <c r="N201" s="1491">
        <v>21149.500978</v>
      </c>
      <c r="O201" s="1491">
        <v>47857.936999999998</v>
      </c>
      <c r="P201" s="1491">
        <v>5957.0783099999999</v>
      </c>
    </row>
    <row r="202" spans="1:16">
      <c r="A202" s="1534" t="s">
        <v>22</v>
      </c>
      <c r="B202" s="1533">
        <v>15264770</v>
      </c>
      <c r="C202" s="1533">
        <v>15115453</v>
      </c>
      <c r="D202" s="1533">
        <v>762162</v>
      </c>
      <c r="E202" s="1533">
        <v>149317</v>
      </c>
      <c r="F202" s="1533">
        <v>42546665</v>
      </c>
      <c r="G202" s="1533">
        <v>33351679</v>
      </c>
      <c r="H202" s="1533">
        <v>8796179</v>
      </c>
      <c r="I202" s="1533">
        <v>398807</v>
      </c>
      <c r="J202" s="1533">
        <v>33011412</v>
      </c>
      <c r="K202" s="1533">
        <v>969044</v>
      </c>
      <c r="L202" s="1533">
        <v>340267</v>
      </c>
      <c r="M202" s="1491">
        <v>1760.1590000000001</v>
      </c>
      <c r="N202" s="1491">
        <v>23104.006947999998</v>
      </c>
      <c r="O202" s="1491">
        <v>52001.900999999998</v>
      </c>
      <c r="P202" s="1491">
        <v>5298.0846970000002</v>
      </c>
    </row>
    <row r="203" spans="1:16">
      <c r="A203" s="1534" t="s">
        <v>23</v>
      </c>
      <c r="B203" s="1533">
        <v>15410656</v>
      </c>
      <c r="C203" s="1533">
        <v>15259684</v>
      </c>
      <c r="D203" s="1533">
        <v>773536</v>
      </c>
      <c r="E203" s="1533">
        <v>150972</v>
      </c>
      <c r="F203" s="1533">
        <v>43207202</v>
      </c>
      <c r="G203" s="1533">
        <v>33786073</v>
      </c>
      <c r="H203" s="1533">
        <v>9011211</v>
      </c>
      <c r="I203" s="1533">
        <v>409918</v>
      </c>
      <c r="J203" s="1533">
        <v>33441330</v>
      </c>
      <c r="K203" s="1533">
        <v>985705</v>
      </c>
      <c r="L203" s="1533">
        <v>344743</v>
      </c>
      <c r="M203" s="1491">
        <v>1472.905</v>
      </c>
      <c r="N203" s="1491">
        <v>18683.274523930002</v>
      </c>
      <c r="O203" s="1491">
        <v>53724.379000000001</v>
      </c>
      <c r="P203" s="1491">
        <v>5104.9219938300002</v>
      </c>
    </row>
    <row r="204" spans="1:16">
      <c r="A204" s="1534" t="s">
        <v>24</v>
      </c>
      <c r="B204" s="1533">
        <v>15506888</v>
      </c>
      <c r="C204" s="1533">
        <v>15363427</v>
      </c>
      <c r="D204" s="1533">
        <v>784770</v>
      </c>
      <c r="E204" s="1533">
        <v>143461</v>
      </c>
      <c r="F204" s="1533">
        <v>43832229</v>
      </c>
      <c r="G204" s="1533">
        <v>34284167</v>
      </c>
      <c r="H204" s="1533">
        <v>9130630</v>
      </c>
      <c r="I204" s="1533">
        <v>417432</v>
      </c>
      <c r="J204" s="1533">
        <v>33934865</v>
      </c>
      <c r="K204" s="1533">
        <v>1004226</v>
      </c>
      <c r="L204" s="1533">
        <v>349302</v>
      </c>
      <c r="M204" s="1491">
        <v>1926.7460000000001</v>
      </c>
      <c r="N204" s="1491">
        <v>25977.494767240001</v>
      </c>
      <c r="O204" s="1491">
        <v>56289.73</v>
      </c>
      <c r="P204" s="1491">
        <v>5467.2232700000004</v>
      </c>
    </row>
    <row r="205" spans="1:16">
      <c r="A205" s="1534" t="s">
        <v>25</v>
      </c>
      <c r="B205" s="1533">
        <v>15635358</v>
      </c>
      <c r="C205" s="1533">
        <v>15489863</v>
      </c>
      <c r="D205" s="1533">
        <v>797685</v>
      </c>
      <c r="E205" s="1533">
        <v>145495</v>
      </c>
      <c r="F205" s="1533">
        <v>44543116</v>
      </c>
      <c r="G205" s="1533">
        <v>34849252</v>
      </c>
      <c r="H205" s="1533">
        <v>9262379</v>
      </c>
      <c r="I205" s="1533">
        <v>431485</v>
      </c>
      <c r="J205" s="1533">
        <v>34494677</v>
      </c>
      <c r="K205" s="1533">
        <v>1022696</v>
      </c>
      <c r="L205" s="1533">
        <v>354575</v>
      </c>
      <c r="M205" s="1491">
        <v>1802.8969999999999</v>
      </c>
      <c r="N205" s="1491">
        <v>26518.796009639998</v>
      </c>
      <c r="O205" s="1491">
        <v>57665</v>
      </c>
      <c r="P205" s="1491">
        <v>5716</v>
      </c>
    </row>
    <row r="206" spans="1:16">
      <c r="A206" s="1534" t="s">
        <v>26</v>
      </c>
      <c r="B206" s="1533">
        <v>15784885</v>
      </c>
      <c r="C206" s="1533">
        <v>15637628</v>
      </c>
      <c r="D206" s="1533">
        <v>810667</v>
      </c>
      <c r="E206" s="1533">
        <v>147257</v>
      </c>
      <c r="F206" s="1533">
        <v>45359360</v>
      </c>
      <c r="G206" s="1533">
        <v>35457858</v>
      </c>
      <c r="H206" s="1533">
        <v>9455050</v>
      </c>
      <c r="I206" s="1533">
        <v>446452</v>
      </c>
      <c r="J206" s="1533">
        <v>35098079</v>
      </c>
      <c r="K206" s="1533">
        <v>1041172</v>
      </c>
      <c r="L206" s="1533">
        <v>359779</v>
      </c>
      <c r="M206" s="1491">
        <v>1939</v>
      </c>
      <c r="N206" s="1491">
        <v>23885</v>
      </c>
      <c r="O206" s="1491">
        <v>59082</v>
      </c>
      <c r="P206" s="1491">
        <v>5725</v>
      </c>
    </row>
    <row r="207" spans="1:16">
      <c r="A207" s="1534" t="s">
        <v>27</v>
      </c>
      <c r="B207" s="1533">
        <v>15903760</v>
      </c>
      <c r="C207" s="1533">
        <v>15753865</v>
      </c>
      <c r="D207" s="1533">
        <v>825726</v>
      </c>
      <c r="E207" s="1533">
        <v>149895</v>
      </c>
      <c r="F207" s="1533">
        <v>46014547</v>
      </c>
      <c r="G207" s="1533">
        <v>36017130</v>
      </c>
      <c r="H207" s="1533">
        <v>9537139</v>
      </c>
      <c r="I207" s="1533">
        <v>460278</v>
      </c>
      <c r="J207" s="1533">
        <v>35650572</v>
      </c>
      <c r="K207" s="1533">
        <v>1064887</v>
      </c>
      <c r="L207" s="1533">
        <v>366558</v>
      </c>
      <c r="M207" s="1491">
        <v>2027.2429999999999</v>
      </c>
      <c r="N207" s="1491">
        <v>26786.523195540001</v>
      </c>
      <c r="O207" s="1491">
        <v>58889.74</v>
      </c>
      <c r="P207" s="1491">
        <v>5627.5178155800004</v>
      </c>
    </row>
    <row r="208" spans="1:16">
      <c r="A208" s="1534" t="s">
        <v>28</v>
      </c>
      <c r="B208" s="1533">
        <v>15999461</v>
      </c>
      <c r="C208" s="1533">
        <v>15848695</v>
      </c>
      <c r="D208" s="1533">
        <v>840434</v>
      </c>
      <c r="E208" s="1533">
        <v>150766</v>
      </c>
      <c r="F208" s="1533">
        <v>46711153</v>
      </c>
      <c r="G208" s="1533">
        <v>36588125</v>
      </c>
      <c r="H208" s="1533">
        <v>9651055</v>
      </c>
      <c r="I208" s="1533">
        <v>471973</v>
      </c>
      <c r="J208" s="1533">
        <v>36214020</v>
      </c>
      <c r="K208" s="1533">
        <v>1093037</v>
      </c>
      <c r="L208" s="1533">
        <v>374105</v>
      </c>
      <c r="M208" s="1491">
        <v>1881.335</v>
      </c>
      <c r="N208" s="1491">
        <v>23398.564754999999</v>
      </c>
      <c r="O208" s="1491">
        <v>55080.614999999998</v>
      </c>
      <c r="P208" s="1491">
        <v>4519.6614220000001</v>
      </c>
    </row>
    <row r="209" spans="1:16">
      <c r="A209" s="1534" t="s">
        <v>29</v>
      </c>
      <c r="B209" s="1533">
        <v>15999555</v>
      </c>
      <c r="C209" s="1533">
        <v>15846654</v>
      </c>
      <c r="D209" s="1533">
        <v>856401</v>
      </c>
      <c r="E209" s="1533">
        <v>152901</v>
      </c>
      <c r="F209" s="1533">
        <v>47278994</v>
      </c>
      <c r="G209" s="1533">
        <v>37016419</v>
      </c>
      <c r="H209" s="1533">
        <v>9761889</v>
      </c>
      <c r="I209" s="1533">
        <v>500686</v>
      </c>
      <c r="J209" s="1533">
        <v>36636593</v>
      </c>
      <c r="K209" s="1533">
        <v>1123177</v>
      </c>
      <c r="L209" s="1533">
        <v>379826</v>
      </c>
      <c r="M209" s="1491">
        <v>2028.191</v>
      </c>
      <c r="N209" s="1491">
        <v>25954.876705999999</v>
      </c>
      <c r="O209" s="1491">
        <v>66010.202999999994</v>
      </c>
      <c r="P209" s="1491">
        <v>5673.7743300000002</v>
      </c>
    </row>
    <row r="210" spans="1:16">
      <c r="A210" s="1534" t="s">
        <v>4202</v>
      </c>
      <c r="B210" s="1535">
        <v>16236899</v>
      </c>
      <c r="C210" s="1535">
        <v>16071505</v>
      </c>
      <c r="D210" s="1535">
        <v>1031430</v>
      </c>
      <c r="E210" s="1535">
        <v>165394</v>
      </c>
      <c r="F210" s="1535">
        <v>55127301</v>
      </c>
      <c r="G210" s="1535">
        <v>43191501</v>
      </c>
      <c r="H210" s="1535">
        <v>11236842</v>
      </c>
      <c r="I210" s="1535">
        <v>698958</v>
      </c>
      <c r="J210" s="1535">
        <v>42758899</v>
      </c>
      <c r="K210" s="1535">
        <v>1425471</v>
      </c>
      <c r="L210" s="1535">
        <v>432602</v>
      </c>
      <c r="M210" s="1496">
        <v>3096</v>
      </c>
      <c r="N210" s="1496">
        <v>36240</v>
      </c>
      <c r="O210" s="1496">
        <v>92923</v>
      </c>
      <c r="P210" s="1496">
        <v>8711</v>
      </c>
    </row>
    <row r="211" spans="1:16">
      <c r="A211" s="1534" t="s">
        <v>18</v>
      </c>
      <c r="B211" s="1533">
        <v>15963504</v>
      </c>
      <c r="C211" s="1533">
        <v>15815031</v>
      </c>
      <c r="D211" s="1533">
        <v>867966</v>
      </c>
      <c r="E211" s="1533">
        <v>148473</v>
      </c>
      <c r="F211" s="1533">
        <v>47910062</v>
      </c>
      <c r="G211" s="1533">
        <v>37448988</v>
      </c>
      <c r="H211" s="1533">
        <v>9943790</v>
      </c>
      <c r="I211" s="1533">
        <v>517284</v>
      </c>
      <c r="J211" s="1533">
        <v>37064659</v>
      </c>
      <c r="K211" s="1533">
        <v>1148055</v>
      </c>
      <c r="L211" s="1533">
        <v>384329</v>
      </c>
      <c r="M211" s="1491">
        <v>2158.77</v>
      </c>
      <c r="N211" s="1491">
        <v>21242.23</v>
      </c>
      <c r="O211" s="1491">
        <v>55909.641000000003</v>
      </c>
      <c r="P211" s="1491">
        <v>4375.1689919999999</v>
      </c>
    </row>
    <row r="212" spans="1:16">
      <c r="A212" s="1534" t="s">
        <v>19</v>
      </c>
      <c r="B212" s="1533">
        <v>16132172</v>
      </c>
      <c r="C212" s="1533">
        <v>15981848</v>
      </c>
      <c r="D212" s="1533">
        <v>883018</v>
      </c>
      <c r="E212" s="1533">
        <v>150324</v>
      </c>
      <c r="F212" s="1533">
        <v>48573760</v>
      </c>
      <c r="G212" s="1533">
        <v>38000932</v>
      </c>
      <c r="H212" s="1533">
        <v>10040915</v>
      </c>
      <c r="I212" s="1533">
        <v>531913</v>
      </c>
      <c r="J212" s="1533">
        <v>37611859</v>
      </c>
      <c r="K212" s="1533">
        <v>1173221</v>
      </c>
      <c r="L212" s="1533">
        <v>389073</v>
      </c>
      <c r="M212" s="1491">
        <v>2095.88</v>
      </c>
      <c r="N212" s="1491">
        <v>22416.224678999999</v>
      </c>
      <c r="O212" s="1491">
        <v>57679.642</v>
      </c>
      <c r="P212" s="1491">
        <v>4798.5052409999998</v>
      </c>
    </row>
    <row r="213" spans="1:16">
      <c r="A213" s="1534" t="s">
        <v>20</v>
      </c>
      <c r="B213" s="1533">
        <v>16201446</v>
      </c>
      <c r="C213" s="1533">
        <v>16050305</v>
      </c>
      <c r="D213" s="1533">
        <v>892802</v>
      </c>
      <c r="E213" s="1533">
        <v>151141</v>
      </c>
      <c r="F213" s="1533">
        <v>49196924</v>
      </c>
      <c r="G213" s="1533">
        <v>38509534</v>
      </c>
      <c r="H213" s="1533">
        <v>10143919</v>
      </c>
      <c r="I213" s="1533">
        <v>543471</v>
      </c>
      <c r="J213" s="1533">
        <v>38114722</v>
      </c>
      <c r="K213" s="1533">
        <v>1191487</v>
      </c>
      <c r="L213" s="1533">
        <v>394812</v>
      </c>
      <c r="M213" s="1491">
        <v>1722.68</v>
      </c>
      <c r="N213" s="1491">
        <v>19637.791048999999</v>
      </c>
      <c r="O213" s="1491">
        <v>55623.154999999999</v>
      </c>
      <c r="P213" s="1491">
        <v>4557.8663829999996</v>
      </c>
    </row>
    <row r="214" spans="1:16">
      <c r="A214" s="1534" t="s">
        <v>4256</v>
      </c>
      <c r="B214" s="1533">
        <v>15579679</v>
      </c>
      <c r="C214" s="1533">
        <v>15426250</v>
      </c>
      <c r="D214" s="1533">
        <v>907920</v>
      </c>
      <c r="E214" s="1533">
        <v>153429</v>
      </c>
      <c r="F214" s="1533">
        <v>49006282</v>
      </c>
      <c r="G214" s="1533">
        <v>38156972</v>
      </c>
      <c r="H214" s="1533">
        <v>10286635</v>
      </c>
      <c r="I214" s="1533">
        <v>562675</v>
      </c>
      <c r="J214" s="1533">
        <v>37757949</v>
      </c>
      <c r="K214" s="1533">
        <v>1220001</v>
      </c>
      <c r="L214" s="1533">
        <v>399023</v>
      </c>
      <c r="M214" s="1491">
        <v>2576</v>
      </c>
      <c r="N214" s="1491">
        <v>30075</v>
      </c>
      <c r="O214" s="1491">
        <v>81292</v>
      </c>
      <c r="P214" s="1491">
        <v>6552</v>
      </c>
    </row>
    <row r="215" spans="1:16">
      <c r="A215" s="1534" t="s">
        <v>22</v>
      </c>
      <c r="B215" s="1533">
        <v>15639099</v>
      </c>
      <c r="C215" s="1533">
        <v>15483595</v>
      </c>
      <c r="D215" s="1533">
        <v>923401</v>
      </c>
      <c r="E215" s="1533">
        <v>155504</v>
      </c>
      <c r="F215" s="1533">
        <v>49710593</v>
      </c>
      <c r="G215" s="1533">
        <v>38719570</v>
      </c>
      <c r="H215" s="1533">
        <v>10410344</v>
      </c>
      <c r="I215" s="1533">
        <v>580679</v>
      </c>
      <c r="J215" s="1533">
        <v>38314806</v>
      </c>
      <c r="K215" s="1533">
        <v>1244913</v>
      </c>
      <c r="L215" s="1533">
        <v>404764</v>
      </c>
      <c r="M215" s="1491">
        <v>2330.3710000000001</v>
      </c>
      <c r="N215" s="1491">
        <v>27418.315871999999</v>
      </c>
      <c r="O215" s="1491">
        <v>74797.023000000001</v>
      </c>
      <c r="P215" s="1491">
        <v>6062.8431840000003</v>
      </c>
    </row>
    <row r="216" spans="1:16">
      <c r="A216" s="1534" t="s">
        <v>23</v>
      </c>
      <c r="B216" s="1533">
        <v>15676021</v>
      </c>
      <c r="C216" s="1533">
        <v>15519410</v>
      </c>
      <c r="D216" s="1533">
        <v>935112</v>
      </c>
      <c r="E216" s="1533">
        <v>156611</v>
      </c>
      <c r="F216" s="1533">
        <v>50349916</v>
      </c>
      <c r="G216" s="1533">
        <v>39228401</v>
      </c>
      <c r="H216" s="1533">
        <v>10512148</v>
      </c>
      <c r="I216" s="1533">
        <v>609367</v>
      </c>
      <c r="J216" s="1533">
        <v>38819561</v>
      </c>
      <c r="K216" s="1533">
        <v>1265821</v>
      </c>
      <c r="L216" s="1533">
        <v>408840</v>
      </c>
      <c r="M216" s="1491">
        <v>2206</v>
      </c>
      <c r="N216" s="1491">
        <v>25158</v>
      </c>
      <c r="O216" s="1491">
        <v>75971</v>
      </c>
      <c r="P216" s="1491">
        <v>6192</v>
      </c>
    </row>
    <row r="217" spans="1:16">
      <c r="A217" s="1534" t="s">
        <v>24</v>
      </c>
      <c r="B217" s="1533">
        <v>15778802</v>
      </c>
      <c r="C217" s="1533">
        <v>15620243</v>
      </c>
      <c r="D217" s="1533">
        <v>950059</v>
      </c>
      <c r="E217" s="1533">
        <v>158559</v>
      </c>
      <c r="F217" s="1533">
        <v>51071748</v>
      </c>
      <c r="G217" s="1533">
        <v>39791126</v>
      </c>
      <c r="H217" s="1533">
        <v>10645884</v>
      </c>
      <c r="I217" s="1533">
        <v>634738</v>
      </c>
      <c r="J217" s="1533">
        <v>39376766</v>
      </c>
      <c r="K217" s="1533">
        <v>1291737</v>
      </c>
      <c r="L217" s="1533">
        <v>414360</v>
      </c>
      <c r="M217" s="1491">
        <v>2619.8829999999998</v>
      </c>
      <c r="N217" s="1491">
        <v>27516.245843000001</v>
      </c>
      <c r="O217" s="1491">
        <v>76588.004000000001</v>
      </c>
      <c r="P217" s="1491">
        <v>6436.138715</v>
      </c>
    </row>
    <row r="218" spans="1:16">
      <c r="A218" s="1534" t="s">
        <v>25</v>
      </c>
      <c r="B218" s="1533">
        <v>15874203</v>
      </c>
      <c r="C218" s="1533">
        <v>15714624</v>
      </c>
      <c r="D218" s="1533">
        <v>964581</v>
      </c>
      <c r="E218" s="1533">
        <v>159579</v>
      </c>
      <c r="F218" s="1533">
        <v>51637680</v>
      </c>
      <c r="G218" s="1533">
        <v>40208758</v>
      </c>
      <c r="H218" s="1533">
        <v>10774314</v>
      </c>
      <c r="I218" s="1533">
        <v>654608</v>
      </c>
      <c r="J218" s="1533">
        <v>39791796</v>
      </c>
      <c r="K218" s="1533">
        <v>1308629</v>
      </c>
      <c r="L218" s="1533">
        <v>416962</v>
      </c>
      <c r="M218" s="1491">
        <v>2363.598</v>
      </c>
      <c r="N218" s="1491">
        <v>25453.084443509997</v>
      </c>
      <c r="O218" s="1491">
        <v>74174.930999999997</v>
      </c>
      <c r="P218" s="1491">
        <v>6096.4149434499996</v>
      </c>
    </row>
    <row r="219" spans="1:16">
      <c r="A219" s="1534" t="s">
        <v>26</v>
      </c>
      <c r="B219" s="1533">
        <v>15973215</v>
      </c>
      <c r="C219" s="1533">
        <v>15812741</v>
      </c>
      <c r="D219" s="1533">
        <v>980841</v>
      </c>
      <c r="E219" s="1533">
        <v>160474</v>
      </c>
      <c r="F219" s="1533">
        <v>52263302</v>
      </c>
      <c r="G219" s="1533">
        <v>40628513</v>
      </c>
      <c r="H219" s="1533">
        <v>10961903</v>
      </c>
      <c r="I219" s="1533">
        <v>672886</v>
      </c>
      <c r="J219" s="1533">
        <v>40208979</v>
      </c>
      <c r="K219" s="1533">
        <v>1335956</v>
      </c>
      <c r="L219" s="1533">
        <v>419534</v>
      </c>
      <c r="M219" s="1491">
        <v>2508.4769999999999</v>
      </c>
      <c r="N219" s="1491">
        <v>26133.104581</v>
      </c>
      <c r="O219" s="1491">
        <v>80259.904999999999</v>
      </c>
      <c r="P219" s="1491">
        <v>6548.5137690000001</v>
      </c>
    </row>
    <row r="220" spans="1:16">
      <c r="A220" s="1534" t="s">
        <v>27</v>
      </c>
      <c r="B220" s="1533">
        <v>16117990</v>
      </c>
      <c r="C220" s="1533">
        <v>15955302</v>
      </c>
      <c r="D220" s="1533">
        <v>1000165</v>
      </c>
      <c r="E220" s="1533">
        <v>162688</v>
      </c>
      <c r="F220" s="1533">
        <v>53210277</v>
      </c>
      <c r="G220" s="1533">
        <v>41511207</v>
      </c>
      <c r="H220" s="1533">
        <v>11008625</v>
      </c>
      <c r="I220" s="1533">
        <v>690445</v>
      </c>
      <c r="J220" s="1533">
        <v>41086665</v>
      </c>
      <c r="K220" s="1533">
        <v>1369437</v>
      </c>
      <c r="L220" s="1533">
        <v>424542</v>
      </c>
      <c r="M220" s="1491">
        <v>2857</v>
      </c>
      <c r="N220" s="1491">
        <v>26641.553983000002</v>
      </c>
      <c r="O220" s="1491">
        <v>83507.216</v>
      </c>
      <c r="P220" s="1491">
        <v>6564.4474840000003</v>
      </c>
    </row>
    <row r="221" spans="1:16">
      <c r="A221" s="1534" t="s">
        <v>28</v>
      </c>
      <c r="B221" s="1533">
        <v>16231316</v>
      </c>
      <c r="C221" s="1533">
        <v>16067129</v>
      </c>
      <c r="D221" s="1533">
        <v>1014898</v>
      </c>
      <c r="E221" s="1533">
        <v>164187</v>
      </c>
      <c r="F221" s="1533">
        <v>54274856</v>
      </c>
      <c r="G221" s="1533">
        <v>42434457</v>
      </c>
      <c r="H221" s="1533">
        <v>11148044</v>
      </c>
      <c r="I221" s="1533">
        <v>692355</v>
      </c>
      <c r="J221" s="1533">
        <v>42005882</v>
      </c>
      <c r="K221" s="1533">
        <v>1395659</v>
      </c>
      <c r="L221" s="1533">
        <v>428575</v>
      </c>
      <c r="M221" s="1491">
        <v>2479.2449999999999</v>
      </c>
      <c r="N221" s="1491">
        <v>21005.191765</v>
      </c>
      <c r="O221" s="1491">
        <v>78022.671000000002</v>
      </c>
      <c r="P221" s="1491">
        <v>6145.3179959999998</v>
      </c>
    </row>
    <row r="222" spans="1:16">
      <c r="A222" s="1534" t="s">
        <v>29</v>
      </c>
      <c r="B222" s="1533">
        <v>16236899</v>
      </c>
      <c r="C222" s="1533">
        <v>16071505</v>
      </c>
      <c r="D222" s="1533">
        <v>1031430</v>
      </c>
      <c r="E222" s="1533">
        <v>165394</v>
      </c>
      <c r="F222" s="1533">
        <v>55127301</v>
      </c>
      <c r="G222" s="1533">
        <v>43191501</v>
      </c>
      <c r="H222" s="1533">
        <v>11236842</v>
      </c>
      <c r="I222" s="1533">
        <v>698958</v>
      </c>
      <c r="J222" s="1533">
        <v>42758899</v>
      </c>
      <c r="K222" s="1533">
        <v>1425471</v>
      </c>
      <c r="L222" s="1533">
        <v>432602</v>
      </c>
      <c r="M222" s="1491">
        <v>3096</v>
      </c>
      <c r="N222" s="1491">
        <v>36240</v>
      </c>
      <c r="O222" s="1491">
        <v>92923</v>
      </c>
      <c r="P222" s="1491">
        <v>8711</v>
      </c>
    </row>
    <row r="223" spans="1:16">
      <c r="A223" s="1534" t="s">
        <v>4465</v>
      </c>
      <c r="B223" s="1533"/>
      <c r="C223" s="1533"/>
      <c r="D223" s="1533"/>
      <c r="E223" s="1533"/>
      <c r="F223" s="1533"/>
      <c r="G223" s="1533"/>
      <c r="H223" s="1533"/>
      <c r="I223" s="1533"/>
      <c r="J223" s="1533"/>
      <c r="K223" s="1533"/>
      <c r="L223" s="1533"/>
      <c r="M223" s="1491"/>
      <c r="N223" s="1491"/>
      <c r="O223" s="1491"/>
      <c r="P223" s="1491"/>
    </row>
    <row r="224" spans="1:16">
      <c r="A224" s="1534" t="s">
        <v>18</v>
      </c>
      <c r="B224" s="1533">
        <v>16293205</v>
      </c>
      <c r="C224" s="1533">
        <v>16126915</v>
      </c>
      <c r="D224" s="1533">
        <v>1042686</v>
      </c>
      <c r="E224" s="1533">
        <v>166290</v>
      </c>
      <c r="F224" s="1533">
        <v>55913674</v>
      </c>
      <c r="G224" s="1533">
        <v>43924467</v>
      </c>
      <c r="H224" s="1533">
        <v>11281001</v>
      </c>
      <c r="I224" s="1533">
        <v>708206</v>
      </c>
      <c r="J224" s="1533">
        <v>43488612</v>
      </c>
      <c r="K224" s="1533">
        <v>1449143</v>
      </c>
      <c r="L224" s="1533">
        <v>435855</v>
      </c>
      <c r="M224" s="1491">
        <v>2256.9430000000002</v>
      </c>
      <c r="N224" s="1491">
        <v>22819.728005000001</v>
      </c>
      <c r="O224" s="1491">
        <v>76217.680999999997</v>
      </c>
      <c r="P224" s="1491">
        <v>5923.3566719999999</v>
      </c>
    </row>
    <row r="225" spans="1:16">
      <c r="A225" s="1534" t="s">
        <v>19</v>
      </c>
      <c r="B225" s="1533">
        <v>16401533</v>
      </c>
      <c r="C225" s="1533">
        <v>16232940</v>
      </c>
      <c r="D225" s="1533">
        <v>1056737</v>
      </c>
      <c r="E225" s="1533">
        <v>168593</v>
      </c>
      <c r="F225" s="1533">
        <v>56810876</v>
      </c>
      <c r="G225" s="1533">
        <v>44713898</v>
      </c>
      <c r="H225" s="1533">
        <v>11368500</v>
      </c>
      <c r="I225" s="1533">
        <v>728478</v>
      </c>
      <c r="J225" s="1533">
        <v>44272257</v>
      </c>
      <c r="K225" s="1533">
        <v>1477150</v>
      </c>
      <c r="L225" s="1533">
        <v>441641</v>
      </c>
      <c r="M225" s="1491">
        <v>2762.723</v>
      </c>
      <c r="N225" s="1491">
        <v>24644.281715000001</v>
      </c>
      <c r="O225" s="1491">
        <v>79519.745999999999</v>
      </c>
      <c r="P225" s="1491">
        <v>5946.4439430000002</v>
      </c>
    </row>
    <row r="226" spans="1:16">
      <c r="A226" s="1534" t="s">
        <v>20</v>
      </c>
      <c r="B226" s="1533">
        <v>16433185</v>
      </c>
      <c r="C226" s="1533">
        <v>16264779</v>
      </c>
      <c r="D226" s="1533">
        <v>1065700</v>
      </c>
      <c r="E226" s="1533">
        <v>168406</v>
      </c>
      <c r="F226" s="1533">
        <v>56742626</v>
      </c>
      <c r="G226" s="1533">
        <v>44470149</v>
      </c>
      <c r="H226" s="1533">
        <v>11523745</v>
      </c>
      <c r="I226" s="1533">
        <v>748732</v>
      </c>
      <c r="J226" s="1533">
        <v>44028846</v>
      </c>
      <c r="K226" s="1533">
        <v>1493853</v>
      </c>
      <c r="L226" s="1533">
        <v>441303</v>
      </c>
      <c r="M226" s="1491">
        <v>2640</v>
      </c>
      <c r="N226" s="1491">
        <v>24113</v>
      </c>
      <c r="O226" s="1491">
        <v>92407</v>
      </c>
      <c r="P226" s="1491">
        <v>7039</v>
      </c>
    </row>
    <row r="227" spans="1:16">
      <c r="A227" s="1534" t="s">
        <v>21</v>
      </c>
      <c r="B227" s="1533">
        <v>16515754</v>
      </c>
      <c r="C227" s="1533">
        <v>16345326</v>
      </c>
      <c r="D227" s="1533">
        <v>1084905</v>
      </c>
      <c r="E227" s="1533">
        <v>170428</v>
      </c>
      <c r="F227" s="1533">
        <v>57791776</v>
      </c>
      <c r="G227" s="1533">
        <v>45334719</v>
      </c>
      <c r="H227" s="1533">
        <v>11680741</v>
      </c>
      <c r="I227" s="1533">
        <v>776316</v>
      </c>
      <c r="J227" s="1533">
        <v>44887589</v>
      </c>
      <c r="K227" s="1533">
        <v>1529500</v>
      </c>
      <c r="L227" s="1533">
        <v>447130</v>
      </c>
      <c r="M227" s="1491">
        <v>3040.5309999999999</v>
      </c>
      <c r="N227" s="1491">
        <v>28636.864342000001</v>
      </c>
      <c r="O227" s="1491">
        <v>86386.626999999993</v>
      </c>
      <c r="P227" s="1491">
        <v>6333.4343849999996</v>
      </c>
    </row>
    <row r="228" spans="1:16">
      <c r="A228" s="1534" t="s">
        <v>22</v>
      </c>
      <c r="B228" s="1533">
        <v>16555047</v>
      </c>
      <c r="C228" s="1533">
        <v>16383090</v>
      </c>
      <c r="D228" s="1533">
        <v>1097072</v>
      </c>
      <c r="E228" s="1533">
        <v>171957</v>
      </c>
      <c r="F228" s="1533">
        <v>58693078</v>
      </c>
      <c r="G228" s="1533">
        <v>46013502</v>
      </c>
      <c r="H228" s="1533">
        <v>11872829</v>
      </c>
      <c r="I228" s="1533">
        <v>806747</v>
      </c>
      <c r="J228" s="1533">
        <v>45562164</v>
      </c>
      <c r="K228" s="1533">
        <v>1554513</v>
      </c>
      <c r="L228" s="1533">
        <v>451338</v>
      </c>
      <c r="M228" s="1491">
        <v>2635</v>
      </c>
      <c r="N228" s="1491">
        <v>23660</v>
      </c>
      <c r="O228" s="1491">
        <v>85738</v>
      </c>
      <c r="P228" s="1491">
        <v>6188</v>
      </c>
    </row>
    <row r="229" spans="1:16" ht="15" customHeight="1">
      <c r="A229" s="1532" t="s">
        <v>23</v>
      </c>
      <c r="B229" s="1531">
        <v>16629825</v>
      </c>
      <c r="C229" s="1531">
        <v>16456585</v>
      </c>
      <c r="D229" s="1531">
        <v>1112927</v>
      </c>
      <c r="E229" s="1531">
        <v>173240</v>
      </c>
      <c r="F229" s="1531">
        <v>59625018</v>
      </c>
      <c r="G229" s="1531">
        <v>46706564</v>
      </c>
      <c r="H229" s="1531">
        <v>12077740</v>
      </c>
      <c r="I229" s="1531">
        <v>840714</v>
      </c>
      <c r="J229" s="1531">
        <v>46250245</v>
      </c>
      <c r="K229" s="1531">
        <v>1587259</v>
      </c>
      <c r="L229" s="1531">
        <v>456319</v>
      </c>
      <c r="M229" s="1490">
        <v>2965.0590000000002</v>
      </c>
      <c r="N229" s="1490">
        <v>33658.878143000002</v>
      </c>
      <c r="O229" s="1490">
        <v>94463.557000000001</v>
      </c>
      <c r="P229" s="1490">
        <v>7041.1776970000001</v>
      </c>
    </row>
    <row r="230" spans="1:16" ht="33" customHeight="1">
      <c r="A230" s="2656" t="s">
        <v>4257</v>
      </c>
      <c r="B230" s="2656"/>
      <c r="C230" s="2656"/>
      <c r="D230" s="2656"/>
      <c r="E230" s="2656"/>
      <c r="F230" s="2656"/>
      <c r="G230" s="2656"/>
      <c r="H230" s="2656"/>
      <c r="I230" s="2656"/>
      <c r="J230" s="2656"/>
      <c r="K230" s="2656"/>
      <c r="L230" s="2656"/>
      <c r="M230" s="2656"/>
      <c r="N230" s="2656"/>
      <c r="O230" s="2656"/>
      <c r="P230" s="2656"/>
    </row>
    <row r="231" spans="1:16">
      <c r="A231" s="2150" t="s">
        <v>4258</v>
      </c>
      <c r="B231" s="2150"/>
      <c r="C231" s="2150"/>
      <c r="D231" s="2150"/>
      <c r="E231" s="2150"/>
      <c r="F231" s="2150"/>
      <c r="G231" s="2150"/>
      <c r="H231" s="2150"/>
      <c r="I231" s="2150"/>
      <c r="J231" s="2150"/>
      <c r="K231" s="2150"/>
      <c r="L231" s="2150"/>
      <c r="M231" s="42"/>
      <c r="N231" s="42"/>
      <c r="O231" s="42"/>
      <c r="P231" s="42"/>
    </row>
    <row r="232" spans="1:16">
      <c r="A232" s="2150" t="s">
        <v>3350</v>
      </c>
      <c r="B232" s="2151"/>
      <c r="C232" s="2151"/>
      <c r="D232" s="2151"/>
      <c r="E232" s="2151"/>
      <c r="F232" s="2151"/>
      <c r="G232" s="2151"/>
      <c r="H232" s="2151"/>
      <c r="I232" s="2151"/>
      <c r="J232" s="2151"/>
      <c r="K232" s="2151"/>
      <c r="L232" s="2151"/>
      <c r="M232" s="1451"/>
      <c r="N232" s="1530"/>
      <c r="O232" s="1530"/>
      <c r="P232" s="1530"/>
    </row>
    <row r="233" spans="1:16">
      <c r="M233" s="42" t="s">
        <v>2430</v>
      </c>
      <c r="N233" s="42"/>
      <c r="O233" s="42"/>
      <c r="P233" s="42"/>
    </row>
  </sheetData>
  <mergeCells count="41">
    <mergeCell ref="A232:L232"/>
    <mergeCell ref="A2:P2"/>
    <mergeCell ref="A3:P3"/>
    <mergeCell ref="L10:L12"/>
    <mergeCell ref="A231:L231"/>
    <mergeCell ref="E10:E12"/>
    <mergeCell ref="G10:G12"/>
    <mergeCell ref="A5:P5"/>
    <mergeCell ref="C6:E6"/>
    <mergeCell ref="G6:I6"/>
    <mergeCell ref="J6:L6"/>
    <mergeCell ref="M6:P6"/>
    <mergeCell ref="O7:P7"/>
    <mergeCell ref="M7:N7"/>
    <mergeCell ref="F9:F12"/>
    <mergeCell ref="G7:G8"/>
    <mergeCell ref="L7:L8"/>
    <mergeCell ref="C10:C12"/>
    <mergeCell ref="D10:D12"/>
    <mergeCell ref="F6:F8"/>
    <mergeCell ref="K10:K12"/>
    <mergeCell ref="H7:H8"/>
    <mergeCell ref="I7:I8"/>
    <mergeCell ref="J7:J8"/>
    <mergeCell ref="K7:K8"/>
    <mergeCell ref="H10:H12"/>
    <mergeCell ref="I10:I12"/>
    <mergeCell ref="J10:J12"/>
    <mergeCell ref="A6:A8"/>
    <mergeCell ref="B6:B8"/>
    <mergeCell ref="C7:C8"/>
    <mergeCell ref="D7:D8"/>
    <mergeCell ref="E7:E8"/>
    <mergeCell ref="A230:P230"/>
    <mergeCell ref="A9:A12"/>
    <mergeCell ref="B9:B12"/>
    <mergeCell ref="G9:I9"/>
    <mergeCell ref="J9:L9"/>
    <mergeCell ref="M9:P9"/>
    <mergeCell ref="M10:N11"/>
    <mergeCell ref="O10:P11"/>
  </mergeCells>
  <pageMargins left="0.42" right="0.16" top="0.95" bottom="0.75" header="0.3" footer="0.3"/>
  <pageSetup scale="26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8D519-8D46-4DCB-B90D-2A232A6BA197}">
  <sheetPr codeName="Sheet53">
    <tabColor rgb="FF92D050"/>
  </sheetPr>
  <dimension ref="A1:AH25"/>
  <sheetViews>
    <sheetView showGridLines="0" view="pageBreakPreview" zoomScaleNormal="100" zoomScaleSheetLayoutView="100" workbookViewId="0">
      <pane ySplit="10" topLeftCell="A11" activePane="bottomLeft" state="frozen"/>
      <selection activeCell="F40" sqref="F40"/>
      <selection pane="bottomLeft" activeCell="I17" sqref="I17"/>
    </sheetView>
  </sheetViews>
  <sheetFormatPr defaultColWidth="9.140625" defaultRowHeight="15"/>
  <cols>
    <col min="1" max="1" width="63.42578125" style="907" customWidth="1"/>
    <col min="2" max="3" width="23.85546875" style="907" customWidth="1"/>
    <col min="4" max="4" width="60.28515625" style="907" customWidth="1"/>
    <col min="5" max="5" width="10.5703125" style="907" bestFit="1" customWidth="1"/>
    <col min="6" max="16384" width="9.140625" style="907"/>
  </cols>
  <sheetData>
    <row r="1" spans="1:5" ht="9.75" customHeight="1"/>
    <row r="2" spans="1:5" ht="12" customHeight="1">
      <c r="A2" s="2584" t="s">
        <v>3351</v>
      </c>
      <c r="B2" s="2584"/>
      <c r="C2" s="2584"/>
      <c r="D2" s="2584"/>
    </row>
    <row r="3" spans="1:5" ht="25.5" customHeight="1">
      <c r="A3" s="2585" t="s">
        <v>3352</v>
      </c>
      <c r="B3" s="2585"/>
      <c r="C3" s="2585"/>
      <c r="D3" s="2585"/>
    </row>
    <row r="4" spans="1:5" ht="11.25" customHeight="1">
      <c r="A4" s="1133"/>
      <c r="B4" s="1133"/>
      <c r="C4" s="1133"/>
      <c r="D4" s="1133"/>
    </row>
    <row r="5" spans="1:5" ht="11.25" customHeight="1">
      <c r="A5" s="1132"/>
      <c r="B5" s="1132"/>
      <c r="C5" s="1132"/>
      <c r="D5" s="1550"/>
    </row>
    <row r="6" spans="1:5" ht="15.75" customHeight="1">
      <c r="A6" s="2684" t="s">
        <v>3071</v>
      </c>
      <c r="B6" s="2690">
        <v>46203</v>
      </c>
      <c r="C6" s="2691"/>
      <c r="D6" s="2687" t="s">
        <v>3111</v>
      </c>
    </row>
    <row r="7" spans="1:5" ht="15.75">
      <c r="A7" s="2685"/>
      <c r="B7" s="2692" t="s">
        <v>3076</v>
      </c>
      <c r="C7" s="2692"/>
      <c r="D7" s="2688"/>
    </row>
    <row r="8" spans="1:5" ht="31.5">
      <c r="A8" s="2685"/>
      <c r="B8" s="1430" t="s">
        <v>3077</v>
      </c>
      <c r="C8" s="1430" t="s">
        <v>3301</v>
      </c>
      <c r="D8" s="2688"/>
    </row>
    <row r="9" spans="1:5" ht="15.75">
      <c r="A9" s="2685"/>
      <c r="B9" s="2682">
        <v>46203</v>
      </c>
      <c r="C9" s="2683"/>
      <c r="D9" s="2688"/>
    </row>
    <row r="10" spans="1:5" ht="31.5">
      <c r="A10" s="2686"/>
      <c r="B10" s="1162" t="s">
        <v>3125</v>
      </c>
      <c r="C10" s="1162" t="s">
        <v>3306</v>
      </c>
      <c r="D10" s="2689"/>
    </row>
    <row r="11" spans="1:5" ht="31.5">
      <c r="A11" s="1549" t="s">
        <v>3357</v>
      </c>
      <c r="B11" s="1227">
        <v>280006.75099999999</v>
      </c>
      <c r="C11" s="1227">
        <v>14067.966889969999</v>
      </c>
      <c r="D11" s="1548" t="s">
        <v>3234</v>
      </c>
      <c r="E11" s="1146"/>
    </row>
    <row r="12" spans="1:5" ht="15.75">
      <c r="A12" s="1547" t="s">
        <v>3078</v>
      </c>
      <c r="B12" s="1228">
        <v>191346.076</v>
      </c>
      <c r="C12" s="1228">
        <v>9152.1948437299998</v>
      </c>
      <c r="D12" s="1546" t="s">
        <v>3078</v>
      </c>
      <c r="E12" s="1146"/>
    </row>
    <row r="13" spans="1:5" ht="15.75">
      <c r="A13" s="1547" t="s">
        <v>3079</v>
      </c>
      <c r="B13" s="1228">
        <v>88586.695000000007</v>
      </c>
      <c r="C13" s="1228">
        <v>4845.3424158999997</v>
      </c>
      <c r="D13" s="1546" t="s">
        <v>3079</v>
      </c>
      <c r="E13" s="1146"/>
    </row>
    <row r="14" spans="1:5" ht="15.75">
      <c r="A14" s="1547" t="s">
        <v>3080</v>
      </c>
      <c r="B14" s="1228">
        <v>6.41</v>
      </c>
      <c r="C14" s="1228">
        <v>0.84370594999999993</v>
      </c>
      <c r="D14" s="1546" t="s">
        <v>3080</v>
      </c>
      <c r="E14" s="1146"/>
    </row>
    <row r="15" spans="1:5" ht="15.75">
      <c r="A15" s="1547" t="s">
        <v>3081</v>
      </c>
      <c r="B15" s="1228">
        <v>2.0830000000000002</v>
      </c>
      <c r="C15" s="1145">
        <v>0.27216899</v>
      </c>
      <c r="D15" s="1546" t="s">
        <v>3081</v>
      </c>
      <c r="E15" s="1146"/>
    </row>
    <row r="16" spans="1:5" ht="15.75">
      <c r="A16" s="1547" t="s">
        <v>3518</v>
      </c>
      <c r="B16" s="1228">
        <v>65.486000000000004</v>
      </c>
      <c r="C16" s="1145">
        <v>69.3137404</v>
      </c>
      <c r="D16" s="1546" t="s">
        <v>3519</v>
      </c>
      <c r="E16" s="1146"/>
    </row>
    <row r="17" spans="1:34" ht="15.75">
      <c r="A17" s="1547" t="s">
        <v>3082</v>
      </c>
      <c r="B17" s="1919">
        <v>1E-3</v>
      </c>
      <c r="C17" s="2005">
        <v>1.5E-5</v>
      </c>
      <c r="D17" s="1546" t="s">
        <v>3127</v>
      </c>
      <c r="E17" s="1146"/>
    </row>
    <row r="18" spans="1:34" ht="31.5">
      <c r="A18" s="1549" t="s">
        <v>3139</v>
      </c>
      <c r="B18" s="1227">
        <v>1745.0129999999999</v>
      </c>
      <c r="C18" s="1227">
        <v>156.35912962999998</v>
      </c>
      <c r="D18" s="1548" t="s">
        <v>3138</v>
      </c>
      <c r="E18" s="1146"/>
    </row>
    <row r="19" spans="1:34" ht="15.75">
      <c r="A19" s="1547" t="s">
        <v>3078</v>
      </c>
      <c r="B19" s="1228">
        <v>981.14800000000002</v>
      </c>
      <c r="C19" s="1228">
        <v>83.298459890000004</v>
      </c>
      <c r="D19" s="1546" t="s">
        <v>3078</v>
      </c>
      <c r="E19" s="1146"/>
    </row>
    <row r="20" spans="1:34" ht="15.75">
      <c r="A20" s="1547" t="s">
        <v>3079</v>
      </c>
      <c r="B20" s="1228">
        <v>747.68</v>
      </c>
      <c r="C20" s="1228">
        <v>67.394892319999997</v>
      </c>
      <c r="D20" s="1546" t="s">
        <v>3079</v>
      </c>
      <c r="E20" s="1146"/>
    </row>
    <row r="21" spans="1:34" ht="15.75">
      <c r="A21" s="1547" t="s">
        <v>3080</v>
      </c>
      <c r="B21" s="1228">
        <v>1.375</v>
      </c>
      <c r="C21" s="1228">
        <v>0.84750365999999999</v>
      </c>
      <c r="D21" s="1546" t="s">
        <v>3080</v>
      </c>
      <c r="E21" s="1146"/>
    </row>
    <row r="22" spans="1:34" ht="15.75">
      <c r="A22" s="1547" t="s">
        <v>3081</v>
      </c>
      <c r="B22" s="1228">
        <v>2.0219999999999998</v>
      </c>
      <c r="C22" s="1228">
        <v>0.28177676000000001</v>
      </c>
      <c r="D22" s="1546" t="s">
        <v>3081</v>
      </c>
      <c r="E22" s="1146"/>
    </row>
    <row r="23" spans="1:34" ht="15.75">
      <c r="A23" s="1545" t="s">
        <v>3082</v>
      </c>
      <c r="B23" s="1702">
        <v>12.788</v>
      </c>
      <c r="C23" s="1702">
        <v>4.5364969999999998</v>
      </c>
      <c r="D23" s="1544" t="s">
        <v>3127</v>
      </c>
      <c r="E23" s="1146"/>
    </row>
    <row r="24" spans="1:34">
      <c r="A24" s="2681" t="s">
        <v>4260</v>
      </c>
      <c r="B24" s="2681"/>
      <c r="C24" s="2681"/>
    </row>
    <row r="25" spans="1:34" s="883" customFormat="1" ht="16.5" customHeight="1">
      <c r="A25" s="2203" t="s">
        <v>3358</v>
      </c>
      <c r="B25" s="2203"/>
      <c r="C25" s="2203"/>
      <c r="D25" s="2203"/>
      <c r="E25" s="1543"/>
      <c r="F25" s="1543"/>
      <c r="G25" s="1543"/>
      <c r="H25" s="1543"/>
      <c r="I25" s="1543"/>
      <c r="J25" s="1543"/>
      <c r="K25" s="1543"/>
      <c r="L25" s="1543"/>
      <c r="M25" s="1543"/>
      <c r="N25" s="1543"/>
      <c r="O25" s="1543"/>
      <c r="P25" s="1543"/>
      <c r="Q25" s="1543"/>
      <c r="R25" s="1543"/>
      <c r="S25" s="1543"/>
      <c r="T25" s="1543"/>
      <c r="U25" s="1543"/>
      <c r="V25" s="1543"/>
      <c r="W25" s="1543"/>
      <c r="X25" s="1543"/>
      <c r="Y25" s="1543"/>
      <c r="Z25" s="1543"/>
      <c r="AA25" s="1543"/>
      <c r="AB25" s="1543"/>
      <c r="AC25" s="1543"/>
      <c r="AD25" s="1543"/>
      <c r="AE25" s="1543"/>
      <c r="AF25" s="1543"/>
      <c r="AG25" s="1543"/>
      <c r="AH25" s="1543"/>
    </row>
  </sheetData>
  <mergeCells count="9">
    <mergeCell ref="A25:D25"/>
    <mergeCell ref="A24:C24"/>
    <mergeCell ref="B9:C9"/>
    <mergeCell ref="A2:D2"/>
    <mergeCell ref="A3:D3"/>
    <mergeCell ref="A6:A10"/>
    <mergeCell ref="D6:D10"/>
    <mergeCell ref="B6:C6"/>
    <mergeCell ref="B7:C7"/>
  </mergeCells>
  <pageMargins left="0.25" right="0.25" top="0.75" bottom="0.75" header="0.3" footer="0.3"/>
  <pageSetup paperSize="9" scale="80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088D-6B72-49B4-9FB3-64DAE3BCB8EE}">
  <sheetPr codeName="Sheet54">
    <tabColor rgb="FF92D050"/>
  </sheetPr>
  <dimension ref="A1:BX297"/>
  <sheetViews>
    <sheetView showGridLines="0" view="pageBreakPreview" zoomScale="115" zoomScaleNormal="100" zoomScaleSheetLayoutView="115" workbookViewId="0">
      <pane ySplit="67" topLeftCell="A286" activePane="bottomLeft" state="frozen"/>
      <selection activeCell="F40" sqref="F40"/>
      <selection pane="bottomLeft" activeCell="P293" sqref="P293"/>
    </sheetView>
  </sheetViews>
  <sheetFormatPr defaultColWidth="8.85546875" defaultRowHeight="12.75"/>
  <cols>
    <col min="1" max="1" width="7.7109375" style="1432" customWidth="1"/>
    <col min="2" max="7" width="14.42578125" style="1431" customWidth="1"/>
    <col min="8" max="9" width="8.85546875" style="1431"/>
    <col min="10" max="10" width="9.140625" style="1431" bestFit="1" customWidth="1"/>
    <col min="11" max="73" width="8.85546875" style="1431"/>
    <col min="74" max="74" width="0" style="1431" hidden="1" customWidth="1"/>
    <col min="75" max="16384" width="8.85546875" style="1431"/>
  </cols>
  <sheetData>
    <row r="1" spans="1:76" ht="5.25" customHeight="1">
      <c r="A1" s="2694"/>
      <c r="B1" s="2694"/>
      <c r="C1" s="2694"/>
      <c r="D1" s="2694"/>
      <c r="E1" s="2694"/>
      <c r="F1" s="2694"/>
      <c r="G1" s="2694"/>
    </row>
    <row r="2" spans="1:76" s="1449" customFormat="1" ht="18" customHeight="1">
      <c r="A2" s="2185" t="s">
        <v>3353</v>
      </c>
      <c r="B2" s="2185"/>
      <c r="C2" s="2185"/>
      <c r="D2" s="2185"/>
      <c r="E2" s="2185"/>
      <c r="F2" s="2185"/>
      <c r="G2" s="2185"/>
    </row>
    <row r="3" spans="1:76" ht="22.5" customHeight="1">
      <c r="A3" s="2186" t="s">
        <v>3354</v>
      </c>
      <c r="B3" s="2186"/>
      <c r="C3" s="2186"/>
      <c r="D3" s="2186"/>
      <c r="E3" s="2186"/>
      <c r="F3" s="2186"/>
      <c r="G3" s="2186"/>
    </row>
    <row r="4" spans="1:76" ht="10.5" customHeight="1">
      <c r="A4" s="488"/>
      <c r="B4" s="488"/>
      <c r="C4" s="488"/>
      <c r="D4" s="488"/>
      <c r="E4" s="488"/>
      <c r="F4" s="488"/>
      <c r="G4" s="488"/>
    </row>
    <row r="5" spans="1:76" ht="10.5" customHeight="1">
      <c r="A5" s="1448"/>
      <c r="B5" s="1448"/>
      <c r="C5" s="1448"/>
      <c r="D5" s="1448"/>
      <c r="E5" s="1448"/>
      <c r="F5" s="1448"/>
      <c r="G5" s="1448"/>
    </row>
    <row r="6" spans="1:76">
      <c r="A6" s="2145" t="s">
        <v>182</v>
      </c>
      <c r="B6" s="2695" t="s">
        <v>1001</v>
      </c>
      <c r="C6" s="2695"/>
      <c r="D6" s="2695"/>
      <c r="E6" s="2695"/>
      <c r="F6" s="2695"/>
      <c r="G6" s="2695"/>
    </row>
    <row r="7" spans="1:76" ht="15.75" customHeight="1">
      <c r="A7" s="2145"/>
      <c r="B7" s="2696" t="s">
        <v>1002</v>
      </c>
      <c r="C7" s="2696"/>
      <c r="D7" s="2696"/>
      <c r="E7" s="2696" t="s">
        <v>1003</v>
      </c>
      <c r="F7" s="2696"/>
      <c r="G7" s="2696"/>
    </row>
    <row r="8" spans="1:76" ht="52.5" customHeight="1">
      <c r="A8" s="2145"/>
      <c r="B8" s="1231" t="s">
        <v>2766</v>
      </c>
      <c r="C8" s="1231" t="s">
        <v>2769</v>
      </c>
      <c r="D8" s="1231" t="s">
        <v>2768</v>
      </c>
      <c r="E8" s="1231" t="s">
        <v>2766</v>
      </c>
      <c r="F8" s="1231" t="s">
        <v>2767</v>
      </c>
      <c r="G8" s="1231" t="s">
        <v>2770</v>
      </c>
      <c r="BW8" s="90" t="s">
        <v>2049</v>
      </c>
      <c r="BX8" s="291" t="s">
        <v>2050</v>
      </c>
    </row>
    <row r="9" spans="1:76">
      <c r="A9" s="2546" t="s">
        <v>283</v>
      </c>
      <c r="B9" s="2697" t="s">
        <v>1023</v>
      </c>
      <c r="C9" s="2697"/>
      <c r="D9" s="2697"/>
      <c r="E9" s="2697"/>
      <c r="F9" s="2697"/>
      <c r="G9" s="2697"/>
      <c r="BS9" s="1431">
        <f>BS11+BS23+BS33+BS41</f>
        <v>0</v>
      </c>
      <c r="BW9" s="1431">
        <f>BW11+BW23+BW33+BW41</f>
        <v>622</v>
      </c>
      <c r="BX9" s="1441">
        <f>BS9+BT9+BU9+BW9</f>
        <v>622</v>
      </c>
    </row>
    <row r="10" spans="1:76" ht="16.5" customHeight="1">
      <c r="A10" s="2546"/>
      <c r="B10" s="2698" t="s">
        <v>1004</v>
      </c>
      <c r="C10" s="2698"/>
      <c r="D10" s="2698"/>
      <c r="E10" s="2698" t="s">
        <v>1005</v>
      </c>
      <c r="F10" s="2698"/>
      <c r="G10" s="2698"/>
      <c r="BX10" s="1441"/>
    </row>
    <row r="11" spans="1:76" ht="57" customHeight="1">
      <c r="A11" s="2546"/>
      <c r="B11" s="1423" t="s">
        <v>988</v>
      </c>
      <c r="C11" s="1423" t="s">
        <v>989</v>
      </c>
      <c r="D11" s="1423" t="s">
        <v>1007</v>
      </c>
      <c r="E11" s="1423" t="s">
        <v>988</v>
      </c>
      <c r="F11" s="1423" t="s">
        <v>2771</v>
      </c>
      <c r="G11" s="1423" t="s">
        <v>1007</v>
      </c>
      <c r="BW11" s="1431">
        <f>BW13+BW18</f>
        <v>1713</v>
      </c>
      <c r="BX11" s="1441">
        <f>BS11+BT11+BU11+BW11</f>
        <v>1713</v>
      </c>
    </row>
    <row r="12" spans="1:76" hidden="1">
      <c r="A12" s="1447">
        <v>2001</v>
      </c>
      <c r="B12" s="1563"/>
      <c r="C12" s="1563"/>
      <c r="D12" s="1563"/>
      <c r="E12" s="1563"/>
      <c r="F12" s="1563"/>
      <c r="G12" s="1562"/>
      <c r="BX12" s="1441"/>
    </row>
    <row r="13" spans="1:76" hidden="1">
      <c r="A13" s="1443">
        <v>2002</v>
      </c>
      <c r="B13" s="1560"/>
      <c r="C13" s="1561"/>
      <c r="D13" s="1561"/>
      <c r="E13" s="1560"/>
      <c r="F13" s="1560"/>
      <c r="G13" s="1559"/>
      <c r="BW13" s="1431">
        <f>BW15+BW16</f>
        <v>4361</v>
      </c>
      <c r="BX13" s="1441">
        <f>BS13+BT13+BU13+BW13</f>
        <v>4361</v>
      </c>
    </row>
    <row r="14" spans="1:76" hidden="1">
      <c r="A14" s="1443">
        <f>A13+1</f>
        <v>2003</v>
      </c>
      <c r="B14" s="1560"/>
      <c r="C14" s="1561"/>
      <c r="D14" s="1561"/>
      <c r="E14" s="1560"/>
      <c r="F14" s="1560"/>
      <c r="G14" s="1559"/>
      <c r="BX14" s="1441"/>
    </row>
    <row r="15" spans="1:76" hidden="1">
      <c r="A15" s="1443">
        <f>A14+1</f>
        <v>2004</v>
      </c>
      <c r="B15" s="1560"/>
      <c r="C15" s="1561"/>
      <c r="D15" s="1561"/>
      <c r="E15" s="1560"/>
      <c r="F15" s="1560"/>
      <c r="G15" s="1559"/>
      <c r="BW15" s="1431">
        <v>3917</v>
      </c>
      <c r="BX15" s="1441">
        <f>BS15+BT15+BU15+BW15</f>
        <v>3917</v>
      </c>
    </row>
    <row r="16" spans="1:76" hidden="1">
      <c r="A16" s="113">
        <v>2005</v>
      </c>
      <c r="B16" s="1557"/>
      <c r="C16" s="1557"/>
      <c r="D16" s="1557"/>
      <c r="E16" s="1557"/>
      <c r="F16" s="1557"/>
      <c r="G16" s="1556"/>
      <c r="BW16" s="1431">
        <v>444</v>
      </c>
      <c r="BX16" s="1441">
        <f>BS16+BT16+BU16+BW16</f>
        <v>444</v>
      </c>
    </row>
    <row r="17" spans="1:76" ht="1.5" hidden="1" customHeight="1">
      <c r="A17" s="111" t="s">
        <v>18</v>
      </c>
      <c r="B17" s="1557"/>
      <c r="C17" s="1557"/>
      <c r="D17" s="1557"/>
      <c r="E17" s="1557"/>
      <c r="F17" s="1557"/>
      <c r="G17" s="1556"/>
      <c r="BX17" s="1441"/>
    </row>
    <row r="18" spans="1:76" hidden="1">
      <c r="A18" s="111" t="s">
        <v>19</v>
      </c>
      <c r="B18" s="1557"/>
      <c r="C18" s="1557"/>
      <c r="D18" s="1557"/>
      <c r="E18" s="1557"/>
      <c r="F18" s="1557"/>
      <c r="G18" s="1556"/>
      <c r="BW18" s="1431">
        <f>BW20+BW21</f>
        <v>-2648</v>
      </c>
      <c r="BX18" s="1441">
        <f>BS18+BT18+BU18+BW18</f>
        <v>-2648</v>
      </c>
    </row>
    <row r="19" spans="1:76" hidden="1">
      <c r="A19" s="111" t="s">
        <v>20</v>
      </c>
      <c r="B19" s="1558"/>
      <c r="C19" s="1557"/>
      <c r="D19" s="1557"/>
      <c r="E19" s="1557"/>
      <c r="F19" s="1557"/>
      <c r="G19" s="1556"/>
      <c r="BX19" s="1441"/>
    </row>
    <row r="20" spans="1:76" hidden="1">
      <c r="A20" s="111" t="s">
        <v>21</v>
      </c>
      <c r="B20" s="1558"/>
      <c r="C20" s="1557"/>
      <c r="D20" s="1557"/>
      <c r="E20" s="1557"/>
      <c r="F20" s="1557"/>
      <c r="G20" s="1556"/>
      <c r="BW20" s="1431">
        <v>-367</v>
      </c>
      <c r="BX20" s="1441">
        <f>BS20+BT20+BU20+BW20</f>
        <v>-367</v>
      </c>
    </row>
    <row r="21" spans="1:76" hidden="1">
      <c r="A21" s="111" t="s">
        <v>22</v>
      </c>
      <c r="B21" s="1558"/>
      <c r="C21" s="1557"/>
      <c r="D21" s="1557"/>
      <c r="E21" s="1557"/>
      <c r="F21" s="1557"/>
      <c r="G21" s="1556"/>
      <c r="BW21" s="1431">
        <v>-2281</v>
      </c>
      <c r="BX21" s="1441">
        <f>BS21+BT21+BU21+BW21</f>
        <v>-2281</v>
      </c>
    </row>
    <row r="22" spans="1:76" hidden="1">
      <c r="A22" s="111" t="s">
        <v>23</v>
      </c>
      <c r="B22" s="1557"/>
      <c r="C22" s="1557"/>
      <c r="D22" s="1557"/>
      <c r="E22" s="1557"/>
      <c r="F22" s="1557"/>
      <c r="G22" s="1556"/>
      <c r="BX22" s="1441"/>
    </row>
    <row r="23" spans="1:76" hidden="1">
      <c r="A23" s="111" t="s">
        <v>24</v>
      </c>
      <c r="B23" s="1557"/>
      <c r="C23" s="1557"/>
      <c r="D23" s="1557"/>
      <c r="E23" s="1557"/>
      <c r="F23" s="1557"/>
      <c r="G23" s="1556"/>
      <c r="BW23" s="1431">
        <f>BW25+BW26</f>
        <v>-797</v>
      </c>
      <c r="BX23" s="1441">
        <f>BS23+BT23+BU23+BW23</f>
        <v>-797</v>
      </c>
    </row>
    <row r="24" spans="1:76" hidden="1">
      <c r="A24" s="111" t="s">
        <v>25</v>
      </c>
      <c r="B24" s="1557"/>
      <c r="C24" s="1557"/>
      <c r="D24" s="1557"/>
      <c r="E24" s="1557"/>
      <c r="F24" s="1557"/>
      <c r="G24" s="1556"/>
      <c r="BX24" s="1441"/>
    </row>
    <row r="25" spans="1:76" hidden="1">
      <c r="A25" s="111" t="s">
        <v>26</v>
      </c>
      <c r="B25" s="1557"/>
      <c r="C25" s="1557"/>
      <c r="D25" s="1557"/>
      <c r="E25" s="1557"/>
      <c r="F25" s="1557"/>
      <c r="G25" s="1556"/>
      <c r="BW25" s="1431">
        <v>-644</v>
      </c>
      <c r="BX25" s="1441">
        <f>BS25+BT25+BU25+BW25</f>
        <v>-644</v>
      </c>
    </row>
    <row r="26" spans="1:76" hidden="1">
      <c r="A26" s="111" t="s">
        <v>27</v>
      </c>
      <c r="B26" s="1440"/>
      <c r="C26" s="1557"/>
      <c r="D26" s="1557"/>
      <c r="E26" s="1557"/>
      <c r="F26" s="1557"/>
      <c r="G26" s="1554"/>
      <c r="BW26" s="1431">
        <v>-153</v>
      </c>
      <c r="BX26" s="1441">
        <f>BS26+BT26+BU26+BW26</f>
        <v>-153</v>
      </c>
    </row>
    <row r="27" spans="1:76" hidden="1">
      <c r="A27" s="111" t="s">
        <v>28</v>
      </c>
      <c r="B27" s="1440"/>
      <c r="C27" s="1557"/>
      <c r="D27" s="1557"/>
      <c r="E27" s="1440"/>
      <c r="F27" s="1440"/>
      <c r="G27" s="1554"/>
      <c r="BX27" s="1441"/>
    </row>
    <row r="28" spans="1:76" hidden="1">
      <c r="A28" s="111" t="s">
        <v>29</v>
      </c>
      <c r="B28" s="1440"/>
      <c r="C28" s="1557"/>
      <c r="D28" s="1557"/>
      <c r="E28" s="1440"/>
      <c r="F28" s="1440"/>
      <c r="G28" s="1554"/>
      <c r="BX28" s="1441"/>
    </row>
    <row r="29" spans="1:76" hidden="1">
      <c r="A29" s="113">
        <v>2006</v>
      </c>
      <c r="B29" s="1557"/>
      <c r="C29" s="1557"/>
      <c r="D29" s="1557"/>
      <c r="E29" s="1557"/>
      <c r="F29" s="1557"/>
      <c r="G29" s="1556"/>
      <c r="BX29" s="1441"/>
    </row>
    <row r="30" spans="1:76" ht="0.75" hidden="1" customHeight="1">
      <c r="A30" s="111" t="s">
        <v>18</v>
      </c>
      <c r="B30" s="1557"/>
      <c r="C30" s="1557"/>
      <c r="D30" s="1557"/>
      <c r="E30" s="1557"/>
      <c r="F30" s="1557"/>
      <c r="G30" s="1556"/>
      <c r="BW30" s="1431">
        <v>-31</v>
      </c>
      <c r="BX30" s="1441">
        <f>BS30+BT30+BU30+BW30</f>
        <v>-31</v>
      </c>
    </row>
    <row r="31" spans="1:76" hidden="1">
      <c r="A31" s="111" t="s">
        <v>19</v>
      </c>
      <c r="B31" s="1557"/>
      <c r="C31" s="1557"/>
      <c r="D31" s="1557"/>
      <c r="E31" s="1557"/>
      <c r="F31" s="1557"/>
      <c r="G31" s="1556"/>
      <c r="BW31" s="1431">
        <v>-440</v>
      </c>
      <c r="BX31" s="1441">
        <f>BS31+BT31+BU31+BW31</f>
        <v>-440</v>
      </c>
    </row>
    <row r="32" spans="1:76" hidden="1">
      <c r="A32" s="111" t="s">
        <v>20</v>
      </c>
      <c r="B32" s="1558"/>
      <c r="C32" s="1557"/>
      <c r="D32" s="1557"/>
      <c r="E32" s="1557"/>
      <c r="F32" s="1557"/>
      <c r="G32" s="1556"/>
      <c r="BX32" s="1441"/>
    </row>
    <row r="33" spans="1:76" hidden="1">
      <c r="A33" s="111" t="s">
        <v>21</v>
      </c>
      <c r="B33" s="1558"/>
      <c r="C33" s="1557"/>
      <c r="D33" s="1557"/>
      <c r="E33" s="1557"/>
      <c r="F33" s="1557"/>
      <c r="G33" s="1556"/>
      <c r="BW33" s="1431">
        <f>BW35+BW36</f>
        <v>-498</v>
      </c>
      <c r="BX33" s="1441">
        <f>BS33+BT33+BU33+BW33</f>
        <v>-498</v>
      </c>
    </row>
    <row r="34" spans="1:76" hidden="1">
      <c r="A34" s="111" t="s">
        <v>22</v>
      </c>
      <c r="B34" s="1558"/>
      <c r="C34" s="1557"/>
      <c r="D34" s="1557"/>
      <c r="E34" s="1557"/>
      <c r="F34" s="1557"/>
      <c r="G34" s="1556"/>
      <c r="BX34" s="1441"/>
    </row>
    <row r="35" spans="1:76" hidden="1">
      <c r="A35" s="111" t="s">
        <v>23</v>
      </c>
      <c r="B35" s="1557"/>
      <c r="C35" s="1557"/>
      <c r="D35" s="1557"/>
      <c r="E35" s="1557"/>
      <c r="F35" s="1557"/>
      <c r="G35" s="1556"/>
      <c r="BW35" s="1431">
        <v>-521</v>
      </c>
      <c r="BX35" s="1441">
        <f>BS35+BT35+BU35+BW35</f>
        <v>-521</v>
      </c>
    </row>
    <row r="36" spans="1:76" hidden="1">
      <c r="A36" s="111" t="s">
        <v>24</v>
      </c>
      <c r="B36" s="1557"/>
      <c r="C36" s="1557"/>
      <c r="D36" s="1557"/>
      <c r="E36" s="1557"/>
      <c r="F36" s="1557"/>
      <c r="G36" s="1556"/>
      <c r="BW36" s="1431">
        <v>23</v>
      </c>
      <c r="BX36" s="1441">
        <f>BS36+BT36+BU36+BW36</f>
        <v>23</v>
      </c>
    </row>
    <row r="37" spans="1:76" hidden="1">
      <c r="A37" s="111" t="s">
        <v>25</v>
      </c>
      <c r="B37" s="1557"/>
      <c r="C37" s="1557"/>
      <c r="D37" s="1557"/>
      <c r="E37" s="1557"/>
      <c r="F37" s="1557"/>
      <c r="G37" s="1556"/>
      <c r="BX37" s="1441"/>
    </row>
    <row r="38" spans="1:76" hidden="1">
      <c r="A38" s="111" t="s">
        <v>26</v>
      </c>
      <c r="B38" s="1557"/>
      <c r="C38" s="1557"/>
      <c r="D38" s="1557"/>
      <c r="E38" s="1557"/>
      <c r="F38" s="1557"/>
      <c r="G38" s="1556"/>
      <c r="BW38" s="1431">
        <v>433</v>
      </c>
      <c r="BX38" s="1441">
        <f>BS38+BT38+BU38+BW38</f>
        <v>433</v>
      </c>
    </row>
    <row r="39" spans="1:76" hidden="1">
      <c r="A39" s="111" t="s">
        <v>27</v>
      </c>
      <c r="B39" s="1440"/>
      <c r="C39" s="1440"/>
      <c r="D39" s="1440"/>
      <c r="E39" s="1440"/>
      <c r="F39" s="1440"/>
      <c r="G39" s="1554"/>
      <c r="BW39" s="1431">
        <v>-931</v>
      </c>
      <c r="BX39" s="1441">
        <f>BS39+BT39+BU39+BW39</f>
        <v>-931</v>
      </c>
    </row>
    <row r="40" spans="1:76" hidden="1">
      <c r="A40" s="111" t="s">
        <v>28</v>
      </c>
      <c r="B40" s="1440"/>
      <c r="C40" s="1440"/>
      <c r="D40" s="1440"/>
      <c r="E40" s="1440"/>
      <c r="F40" s="1440"/>
      <c r="G40" s="1554"/>
      <c r="BX40" s="1441"/>
    </row>
    <row r="41" spans="1:76" hidden="1">
      <c r="A41" s="111" t="s">
        <v>29</v>
      </c>
      <c r="B41" s="1440"/>
      <c r="C41" s="1440"/>
      <c r="D41" s="1440"/>
      <c r="E41" s="1440"/>
      <c r="F41" s="1440"/>
      <c r="G41" s="1554"/>
      <c r="BW41" s="1431">
        <v>204</v>
      </c>
      <c r="BX41" s="1441">
        <f>BS41+BT41+BU41+BW41</f>
        <v>204</v>
      </c>
    </row>
    <row r="42" spans="1:76" hidden="1">
      <c r="A42" s="111" t="s">
        <v>121</v>
      </c>
      <c r="B42" s="1440"/>
      <c r="C42" s="1440"/>
      <c r="D42" s="1440"/>
      <c r="E42" s="1440"/>
      <c r="F42" s="1440"/>
      <c r="G42" s="1554"/>
      <c r="BW42" s="1431">
        <v>200</v>
      </c>
      <c r="BX42" s="1441">
        <f>BS42+BT42+BU42+BW42</f>
        <v>200</v>
      </c>
    </row>
    <row r="43" spans="1:76" hidden="1">
      <c r="A43" s="111" t="s">
        <v>18</v>
      </c>
      <c r="B43" s="1440"/>
      <c r="C43" s="1440"/>
      <c r="D43" s="1440"/>
      <c r="E43" s="1440"/>
      <c r="F43" s="1440"/>
      <c r="G43" s="1554"/>
      <c r="BX43" s="1441"/>
    </row>
    <row r="44" spans="1:76" hidden="1">
      <c r="A44" s="111" t="s">
        <v>19</v>
      </c>
      <c r="B44" s="1440"/>
      <c r="C44" s="1440"/>
      <c r="D44" s="1440"/>
      <c r="E44" s="1440"/>
      <c r="F44" s="1440"/>
      <c r="G44" s="1554"/>
      <c r="BW44" s="1431">
        <v>295</v>
      </c>
      <c r="BX44" s="1441">
        <f>BS44+BT44+BU44+BW44</f>
        <v>295</v>
      </c>
    </row>
    <row r="45" spans="1:76" hidden="1">
      <c r="A45" s="111" t="s">
        <v>20</v>
      </c>
      <c r="B45" s="1440"/>
      <c r="C45" s="1440"/>
      <c r="D45" s="1440"/>
      <c r="E45" s="1440"/>
      <c r="F45" s="1440"/>
      <c r="G45" s="1554"/>
      <c r="BW45" s="1431">
        <v>-95</v>
      </c>
      <c r="BX45" s="1441">
        <f>BS45+BT45+BU45+BW45</f>
        <v>-95</v>
      </c>
    </row>
    <row r="46" spans="1:76" hidden="1">
      <c r="A46" s="111" t="s">
        <v>21</v>
      </c>
      <c r="B46" s="1440"/>
      <c r="C46" s="1440"/>
      <c r="D46" s="1440"/>
      <c r="E46" s="1440"/>
      <c r="F46" s="1440"/>
      <c r="G46" s="1554"/>
      <c r="BX46" s="1441"/>
    </row>
    <row r="47" spans="1:76" hidden="1">
      <c r="A47" s="111" t="s">
        <v>22</v>
      </c>
      <c r="B47" s="1440"/>
      <c r="C47" s="1440"/>
      <c r="D47" s="1440"/>
      <c r="E47" s="1440"/>
      <c r="F47" s="1440"/>
      <c r="G47" s="1554"/>
      <c r="BW47" s="1431">
        <v>0</v>
      </c>
      <c r="BX47" s="1441">
        <f>BS47+BT47+BU47+BW47</f>
        <v>0</v>
      </c>
    </row>
    <row r="48" spans="1:76" hidden="1">
      <c r="A48" s="111" t="s">
        <v>23</v>
      </c>
      <c r="B48" s="1440"/>
      <c r="C48" s="1440"/>
      <c r="D48" s="1440"/>
      <c r="E48" s="1440"/>
      <c r="F48" s="1440"/>
      <c r="G48" s="1554"/>
      <c r="BX48" s="1441"/>
    </row>
    <row r="49" spans="1:76" hidden="1">
      <c r="A49" s="111" t="s">
        <v>24</v>
      </c>
      <c r="B49" s="1440"/>
      <c r="C49" s="1440"/>
      <c r="D49" s="1440"/>
      <c r="E49" s="1440"/>
      <c r="F49" s="1440"/>
      <c r="G49" s="1554"/>
      <c r="BW49" s="1431">
        <f>BW50-BW54</f>
        <v>481</v>
      </c>
      <c r="BX49" s="1441">
        <f>BS49+BT49+BU49+BW49</f>
        <v>481</v>
      </c>
    </row>
    <row r="50" spans="1:76" hidden="1">
      <c r="A50" s="111" t="s">
        <v>25</v>
      </c>
      <c r="B50" s="1440"/>
      <c r="C50" s="1440"/>
      <c r="D50" s="1440"/>
      <c r="E50" s="1440"/>
      <c r="F50" s="1440"/>
      <c r="G50" s="1554"/>
      <c r="BW50" s="1431">
        <f>BW52+BW53</f>
        <v>965</v>
      </c>
      <c r="BX50" s="1441">
        <f>BS50+BT50+BU50+BW50</f>
        <v>965</v>
      </c>
    </row>
    <row r="51" spans="1:76" hidden="1">
      <c r="A51" s="111" t="s">
        <v>26</v>
      </c>
      <c r="B51" s="1440"/>
      <c r="C51" s="1440"/>
      <c r="D51" s="1440"/>
      <c r="E51" s="1440"/>
      <c r="F51" s="1440"/>
      <c r="G51" s="1554"/>
      <c r="BX51" s="1441"/>
    </row>
    <row r="52" spans="1:76" hidden="1">
      <c r="A52" s="111" t="s">
        <v>27</v>
      </c>
      <c r="B52" s="1440" t="s">
        <v>1008</v>
      </c>
      <c r="C52" s="1440"/>
      <c r="D52" s="1440"/>
      <c r="E52" s="1440"/>
      <c r="F52" s="1440"/>
      <c r="G52" s="1554"/>
      <c r="BW52" s="1431">
        <v>954</v>
      </c>
      <c r="BX52" s="1441">
        <f>BS52+BT52+BU52+BW52</f>
        <v>954</v>
      </c>
    </row>
    <row r="53" spans="1:76" hidden="1">
      <c r="A53" s="111" t="s">
        <v>28</v>
      </c>
      <c r="B53" s="1440"/>
      <c r="C53" s="1440"/>
      <c r="D53" s="1440"/>
      <c r="E53" s="1440"/>
      <c r="F53" s="1440"/>
      <c r="G53" s="1554"/>
      <c r="BW53" s="1431">
        <v>11</v>
      </c>
      <c r="BX53" s="1441">
        <f>BS53+BT53+BU53+BW53</f>
        <v>11</v>
      </c>
    </row>
    <row r="54" spans="1:76" hidden="1">
      <c r="A54" s="111" t="s">
        <v>29</v>
      </c>
      <c r="B54" s="1440"/>
      <c r="C54" s="1440"/>
      <c r="D54" s="1440"/>
      <c r="E54" s="1440"/>
      <c r="F54" s="1440"/>
      <c r="G54" s="1554"/>
      <c r="BW54" s="1431">
        <f>BW56+BW57+BW58+BW59</f>
        <v>484</v>
      </c>
      <c r="BX54" s="1441">
        <f>BS54+BT54+BU54+BW54</f>
        <v>484</v>
      </c>
    </row>
    <row r="55" spans="1:76" hidden="1">
      <c r="A55" s="111" t="s">
        <v>114</v>
      </c>
      <c r="B55" s="1440"/>
      <c r="C55" s="1440"/>
      <c r="D55" s="1440"/>
      <c r="E55" s="1440"/>
      <c r="F55" s="1440"/>
      <c r="G55" s="1554"/>
      <c r="BX55" s="1441"/>
    </row>
    <row r="56" spans="1:76" hidden="1">
      <c r="A56" s="111" t="s">
        <v>18</v>
      </c>
      <c r="B56" s="1440"/>
      <c r="C56" s="1440"/>
      <c r="D56" s="1440"/>
      <c r="E56" s="1440"/>
      <c r="F56" s="1440"/>
      <c r="G56" s="1554"/>
      <c r="BW56" s="1431">
        <v>1214</v>
      </c>
      <c r="BX56" s="1441">
        <f t="shared" ref="BX56:BX61" si="0">BS56+BT56+BU56+BW56</f>
        <v>1214</v>
      </c>
    </row>
    <row r="57" spans="1:76" hidden="1">
      <c r="A57" s="111" t="s">
        <v>19</v>
      </c>
      <c r="B57" s="1440"/>
      <c r="C57" s="1440"/>
      <c r="D57" s="1440"/>
      <c r="E57" s="1440"/>
      <c r="F57" s="1440"/>
      <c r="G57" s="1554"/>
      <c r="BW57" s="1431">
        <v>-745</v>
      </c>
      <c r="BX57" s="1441">
        <f t="shared" si="0"/>
        <v>-745</v>
      </c>
    </row>
    <row r="58" spans="1:76" hidden="1">
      <c r="A58" s="111" t="s">
        <v>20</v>
      </c>
      <c r="B58" s="1440"/>
      <c r="C58" s="1440"/>
      <c r="D58" s="1440"/>
      <c r="E58" s="1440"/>
      <c r="F58" s="1440"/>
      <c r="G58" s="1554"/>
      <c r="BW58" s="1431">
        <v>0</v>
      </c>
      <c r="BX58" s="1441">
        <f t="shared" si="0"/>
        <v>0</v>
      </c>
    </row>
    <row r="59" spans="1:76" hidden="1">
      <c r="A59" s="111" t="s">
        <v>21</v>
      </c>
      <c r="B59" s="1440"/>
      <c r="C59" s="1440"/>
      <c r="D59" s="1440"/>
      <c r="E59" s="1440"/>
      <c r="F59" s="1440"/>
      <c r="G59" s="1554"/>
      <c r="BW59" s="1431">
        <v>15</v>
      </c>
      <c r="BX59" s="1441">
        <f t="shared" si="0"/>
        <v>15</v>
      </c>
    </row>
    <row r="60" spans="1:76" hidden="1">
      <c r="A60" s="111" t="s">
        <v>22</v>
      </c>
      <c r="B60" s="1440"/>
      <c r="C60" s="1440"/>
      <c r="D60" s="1440"/>
      <c r="E60" s="1440"/>
      <c r="F60" s="1440"/>
      <c r="G60" s="1554"/>
      <c r="BW60" s="1431">
        <v>-372</v>
      </c>
      <c r="BX60" s="1441">
        <f t="shared" si="0"/>
        <v>-372</v>
      </c>
    </row>
    <row r="61" spans="1:76" hidden="1">
      <c r="A61" s="111" t="s">
        <v>23</v>
      </c>
      <c r="B61" s="1440"/>
      <c r="C61" s="1440"/>
      <c r="D61" s="1440"/>
      <c r="E61" s="1440"/>
      <c r="F61" s="1440"/>
      <c r="G61" s="1554"/>
      <c r="BW61" s="1431">
        <v>-231</v>
      </c>
      <c r="BX61" s="1441">
        <f t="shared" si="0"/>
        <v>-231</v>
      </c>
    </row>
    <row r="62" spans="1:76" hidden="1">
      <c r="A62" s="111" t="s">
        <v>24</v>
      </c>
      <c r="B62" s="1440"/>
      <c r="C62" s="1440"/>
      <c r="D62" s="1440"/>
      <c r="E62" s="1440"/>
      <c r="F62" s="1440"/>
      <c r="G62" s="1554"/>
      <c r="BX62" s="1441"/>
    </row>
    <row r="63" spans="1:76" hidden="1">
      <c r="A63" s="111" t="s">
        <v>25</v>
      </c>
      <c r="B63" s="1440"/>
      <c r="C63" s="1440"/>
      <c r="D63" s="1440"/>
      <c r="E63" s="1440"/>
      <c r="F63" s="1440"/>
      <c r="G63" s="1554"/>
      <c r="BW63" s="1431">
        <f>BW9+BW47-BW49+BW60-BW61</f>
        <v>0</v>
      </c>
      <c r="BX63" s="1441">
        <f>BS63+BT63+BU63+BW63</f>
        <v>0</v>
      </c>
    </row>
    <row r="64" spans="1:76" hidden="1">
      <c r="A64" s="111" t="s">
        <v>26</v>
      </c>
      <c r="B64" s="1440"/>
      <c r="C64" s="1440"/>
      <c r="D64" s="1440"/>
      <c r="E64" s="1440"/>
      <c r="F64" s="1440"/>
      <c r="G64" s="1554"/>
    </row>
    <row r="65" spans="1:7" hidden="1">
      <c r="A65" s="111" t="s">
        <v>27</v>
      </c>
      <c r="B65" s="1440"/>
      <c r="C65" s="1440"/>
      <c r="D65" s="1440"/>
      <c r="E65" s="1440"/>
      <c r="F65" s="1440"/>
      <c r="G65" s="1554"/>
    </row>
    <row r="66" spans="1:7" hidden="1">
      <c r="A66" s="111" t="s">
        <v>28</v>
      </c>
      <c r="B66" s="1440"/>
      <c r="C66" s="1440"/>
      <c r="D66" s="1440"/>
      <c r="E66" s="1440"/>
      <c r="F66" s="1440"/>
      <c r="G66" s="1554"/>
    </row>
    <row r="67" spans="1:7" hidden="1">
      <c r="A67" s="111" t="s">
        <v>29</v>
      </c>
      <c r="B67" s="1440"/>
      <c r="C67" s="1555"/>
      <c r="D67" s="1555"/>
      <c r="E67" s="1440"/>
      <c r="F67" s="1440"/>
      <c r="G67" s="1554"/>
    </row>
    <row r="68" spans="1:7">
      <c r="A68" s="1439" t="s">
        <v>43</v>
      </c>
      <c r="B68" s="258">
        <f>SUM(B69:B80)</f>
        <v>1295.3400000000001</v>
      </c>
      <c r="C68" s="258">
        <f>SUM(C69:C80)</f>
        <v>722.2</v>
      </c>
      <c r="D68" s="258">
        <f t="shared" ref="D68:D81" si="1">+C68/B68*1000</f>
        <v>557.53701730819705</v>
      </c>
      <c r="E68" s="258">
        <f>SUM(E69:E80)</f>
        <v>326.85000000000002</v>
      </c>
      <c r="F68" s="258">
        <f>SUM(F69:F80)</f>
        <v>149.05000000000001</v>
      </c>
      <c r="G68" s="258">
        <f t="shared" ref="G68:G81" si="2">+F68/E68*1000</f>
        <v>456.01958084748355</v>
      </c>
    </row>
    <row r="69" spans="1:7" hidden="1">
      <c r="A69" s="37" t="s">
        <v>18</v>
      </c>
      <c r="B69" s="1506">
        <v>82.89</v>
      </c>
      <c r="C69" s="1506">
        <v>47.7</v>
      </c>
      <c r="D69" s="614">
        <f t="shared" si="1"/>
        <v>575.46145494028235</v>
      </c>
      <c r="E69" s="1506">
        <v>28.639999999999997</v>
      </c>
      <c r="F69" s="1506">
        <v>10.4</v>
      </c>
      <c r="G69" s="614">
        <f t="shared" si="2"/>
        <v>363.12849162011179</v>
      </c>
    </row>
    <row r="70" spans="1:7" hidden="1">
      <c r="A70" s="37" t="s">
        <v>19</v>
      </c>
      <c r="B70" s="1506">
        <v>79.09</v>
      </c>
      <c r="C70" s="1506">
        <v>38.6</v>
      </c>
      <c r="D70" s="614">
        <f t="shared" si="1"/>
        <v>488.05158679984828</v>
      </c>
      <c r="E70" s="1506">
        <v>31.66</v>
      </c>
      <c r="F70" s="1506">
        <v>11.7</v>
      </c>
      <c r="G70" s="614">
        <f t="shared" si="2"/>
        <v>369.55148452305747</v>
      </c>
    </row>
    <row r="71" spans="1:7" hidden="1">
      <c r="A71" s="37" t="s">
        <v>20</v>
      </c>
      <c r="B71" s="1506">
        <v>86.92</v>
      </c>
      <c r="C71" s="1506">
        <v>42.9</v>
      </c>
      <c r="D71" s="614">
        <f t="shared" si="1"/>
        <v>493.55729406350662</v>
      </c>
      <c r="E71" s="1506">
        <v>25.29</v>
      </c>
      <c r="F71" s="1506">
        <v>10.1</v>
      </c>
      <c r="G71" s="614">
        <f t="shared" si="2"/>
        <v>399.36733886911821</v>
      </c>
    </row>
    <row r="72" spans="1:7" hidden="1">
      <c r="A72" s="37" t="s">
        <v>21</v>
      </c>
      <c r="B72" s="1506">
        <v>100.11</v>
      </c>
      <c r="C72" s="1506">
        <v>47.5</v>
      </c>
      <c r="D72" s="614">
        <f t="shared" si="1"/>
        <v>474.47807411846969</v>
      </c>
      <c r="E72" s="1506">
        <v>28.91</v>
      </c>
      <c r="F72" s="1506">
        <v>10.3</v>
      </c>
      <c r="G72" s="614">
        <f t="shared" si="2"/>
        <v>356.27810446212391</v>
      </c>
    </row>
    <row r="73" spans="1:7" hidden="1">
      <c r="A73" s="37" t="s">
        <v>22</v>
      </c>
      <c r="B73" s="1506">
        <v>97.78</v>
      </c>
      <c r="C73" s="1506">
        <v>61.4</v>
      </c>
      <c r="D73" s="614">
        <f t="shared" si="1"/>
        <v>627.94027408467991</v>
      </c>
      <c r="E73" s="1506">
        <v>24.43</v>
      </c>
      <c r="F73" s="1506">
        <v>11.4</v>
      </c>
      <c r="G73" s="614">
        <f t="shared" si="2"/>
        <v>466.63937781416291</v>
      </c>
    </row>
    <row r="74" spans="1:7" hidden="1">
      <c r="A74" s="37" t="s">
        <v>23</v>
      </c>
      <c r="B74" s="1506">
        <v>115.48</v>
      </c>
      <c r="C74" s="1506">
        <v>66.5</v>
      </c>
      <c r="D74" s="614">
        <f t="shared" si="1"/>
        <v>575.85729130585389</v>
      </c>
      <c r="E74" s="1506">
        <v>27.279999999999998</v>
      </c>
      <c r="F74" s="1506">
        <v>10.8</v>
      </c>
      <c r="G74" s="614">
        <f t="shared" si="2"/>
        <v>395.89442815249271</v>
      </c>
    </row>
    <row r="75" spans="1:7" hidden="1">
      <c r="A75" s="37" t="s">
        <v>24</v>
      </c>
      <c r="B75" s="1506">
        <v>128.52000000000001</v>
      </c>
      <c r="C75" s="1506">
        <v>70.3</v>
      </c>
      <c r="D75" s="614">
        <f t="shared" si="1"/>
        <v>546.99657640834107</v>
      </c>
      <c r="E75" s="1506">
        <v>28.93</v>
      </c>
      <c r="F75" s="1506">
        <v>12.02</v>
      </c>
      <c r="G75" s="614">
        <f t="shared" si="2"/>
        <v>415.48565502938123</v>
      </c>
    </row>
    <row r="76" spans="1:7" hidden="1">
      <c r="A76" s="37" t="s">
        <v>25</v>
      </c>
      <c r="B76" s="1506">
        <v>126.50999999999999</v>
      </c>
      <c r="C76" s="1506">
        <v>66.599999999999994</v>
      </c>
      <c r="D76" s="614">
        <f t="shared" si="1"/>
        <v>526.44059758121887</v>
      </c>
      <c r="E76" s="1506">
        <v>29.16</v>
      </c>
      <c r="F76" s="1506">
        <v>11.3</v>
      </c>
      <c r="G76" s="614">
        <f t="shared" si="2"/>
        <v>387.51714677640609</v>
      </c>
    </row>
    <row r="77" spans="1:7" hidden="1">
      <c r="A77" s="37" t="s">
        <v>26</v>
      </c>
      <c r="B77" s="1506">
        <v>127.57</v>
      </c>
      <c r="C77" s="1506">
        <v>71.2</v>
      </c>
      <c r="D77" s="614">
        <f t="shared" si="1"/>
        <v>558.12495100729018</v>
      </c>
      <c r="E77" s="1506">
        <v>23.81</v>
      </c>
      <c r="F77" s="1506">
        <v>13.04</v>
      </c>
      <c r="G77" s="614">
        <f t="shared" si="2"/>
        <v>547.66904661906756</v>
      </c>
    </row>
    <row r="78" spans="1:7" hidden="1">
      <c r="A78" s="37" t="s">
        <v>27</v>
      </c>
      <c r="B78" s="1506">
        <v>121.75</v>
      </c>
      <c r="C78" s="1506">
        <v>74.599999999999994</v>
      </c>
      <c r="D78" s="614">
        <f t="shared" si="1"/>
        <v>612.73100616016416</v>
      </c>
      <c r="E78" s="1506">
        <v>25.02</v>
      </c>
      <c r="F78" s="1506">
        <v>13.1</v>
      </c>
      <c r="G78" s="614">
        <f t="shared" si="2"/>
        <v>523.58113509192651</v>
      </c>
    </row>
    <row r="79" spans="1:7" hidden="1">
      <c r="A79" s="37" t="s">
        <v>28</v>
      </c>
      <c r="B79" s="1506">
        <v>101.76</v>
      </c>
      <c r="C79" s="1506">
        <v>61.6</v>
      </c>
      <c r="D79" s="614">
        <f t="shared" si="1"/>
        <v>605.34591194968561</v>
      </c>
      <c r="E79" s="1506">
        <v>23.169999999999998</v>
      </c>
      <c r="F79" s="1506">
        <v>12.09</v>
      </c>
      <c r="G79" s="614">
        <f t="shared" si="2"/>
        <v>521.79542511868806</v>
      </c>
    </row>
    <row r="80" spans="1:7" hidden="1">
      <c r="A80" s="37" t="s">
        <v>29</v>
      </c>
      <c r="B80" s="1506">
        <v>126.96000000000001</v>
      </c>
      <c r="C80" s="1506">
        <v>73.3</v>
      </c>
      <c r="D80" s="614">
        <f t="shared" si="1"/>
        <v>577.34719596723369</v>
      </c>
      <c r="E80" s="1506">
        <v>30.55</v>
      </c>
      <c r="F80" s="1506">
        <v>22.8</v>
      </c>
      <c r="G80" s="614">
        <f t="shared" si="2"/>
        <v>746.31751227495909</v>
      </c>
    </row>
    <row r="81" spans="1:7">
      <c r="A81" s="37" t="s">
        <v>48</v>
      </c>
      <c r="B81" s="257">
        <f>SUM(B82:B93)</f>
        <v>1627.9299999999998</v>
      </c>
      <c r="C81" s="257">
        <f>SUM(C82:C93)</f>
        <v>876.9</v>
      </c>
      <c r="D81" s="257">
        <f t="shared" si="1"/>
        <v>538.65952467243687</v>
      </c>
      <c r="E81" s="257">
        <f>SUM(E82:E93)</f>
        <v>447.85</v>
      </c>
      <c r="F81" s="257">
        <f>SUM(F82:F93)</f>
        <v>306.60000000000002</v>
      </c>
      <c r="G81" s="257">
        <f t="shared" si="2"/>
        <v>684.60422016300106</v>
      </c>
    </row>
    <row r="82" spans="1:7" hidden="1">
      <c r="A82" s="37" t="s">
        <v>1009</v>
      </c>
      <c r="B82" s="1553">
        <v>91.429999999999993</v>
      </c>
      <c r="C82" s="1553">
        <v>54</v>
      </c>
      <c r="D82" s="456">
        <v>590.61577162856838</v>
      </c>
      <c r="E82" s="1553">
        <v>20.349999999999998</v>
      </c>
      <c r="F82" s="1553">
        <v>18.3</v>
      </c>
      <c r="G82" s="456">
        <v>899.2628992628994</v>
      </c>
    </row>
    <row r="83" spans="1:7" hidden="1">
      <c r="A83" s="37" t="s">
        <v>290</v>
      </c>
      <c r="B83" s="1553">
        <v>89</v>
      </c>
      <c r="C83" s="1553">
        <v>45</v>
      </c>
      <c r="D83" s="456">
        <v>505.61797752808991</v>
      </c>
      <c r="E83" s="1553">
        <v>22</v>
      </c>
      <c r="F83" s="1553">
        <v>14</v>
      </c>
      <c r="G83" s="456">
        <v>636.36363636363637</v>
      </c>
    </row>
    <row r="84" spans="1:7" hidden="1">
      <c r="A84" s="37" t="s">
        <v>289</v>
      </c>
      <c r="B84" s="456">
        <v>124</v>
      </c>
      <c r="C84" s="456">
        <v>62.4</v>
      </c>
      <c r="D84" s="456">
        <v>503.22580645161287</v>
      </c>
      <c r="E84" s="456">
        <v>26</v>
      </c>
      <c r="F84" s="456">
        <v>19.600000000000001</v>
      </c>
      <c r="G84" s="456">
        <v>753.84615384615392</v>
      </c>
    </row>
    <row r="85" spans="1:7" hidden="1">
      <c r="A85" s="37" t="s">
        <v>1010</v>
      </c>
      <c r="B85" s="456">
        <v>134</v>
      </c>
      <c r="C85" s="1553">
        <v>66</v>
      </c>
      <c r="D85" s="456">
        <v>492.53731343283579</v>
      </c>
      <c r="E85" s="456">
        <v>29</v>
      </c>
      <c r="F85" s="1553">
        <v>18</v>
      </c>
      <c r="G85" s="456">
        <v>620.68965517241384</v>
      </c>
    </row>
    <row r="86" spans="1:7" hidden="1">
      <c r="A86" s="37" t="s">
        <v>288</v>
      </c>
      <c r="B86" s="456">
        <v>125</v>
      </c>
      <c r="C86" s="1553">
        <v>63.5</v>
      </c>
      <c r="D86" s="456">
        <v>508</v>
      </c>
      <c r="E86" s="456">
        <v>31</v>
      </c>
      <c r="F86" s="1553">
        <v>19</v>
      </c>
      <c r="G86" s="456">
        <v>612.90322580645159</v>
      </c>
    </row>
    <row r="87" spans="1:7" hidden="1">
      <c r="A87" s="37" t="s">
        <v>1011</v>
      </c>
      <c r="B87" s="456">
        <v>142</v>
      </c>
      <c r="C87" s="1553">
        <v>76</v>
      </c>
      <c r="D87" s="456">
        <v>535.21126760563379</v>
      </c>
      <c r="E87" s="456">
        <v>36</v>
      </c>
      <c r="F87" s="1553">
        <v>21.7</v>
      </c>
      <c r="G87" s="456">
        <v>602.77777777777771</v>
      </c>
    </row>
    <row r="88" spans="1:7" hidden="1">
      <c r="A88" s="37" t="s">
        <v>286</v>
      </c>
      <c r="B88" s="456">
        <v>144.4</v>
      </c>
      <c r="C88" s="1553">
        <v>82.2</v>
      </c>
      <c r="D88" s="456">
        <v>569.25207756232692</v>
      </c>
      <c r="E88" s="456">
        <v>48.5</v>
      </c>
      <c r="F88" s="1553">
        <v>23</v>
      </c>
      <c r="G88" s="456">
        <v>474.2268041237113</v>
      </c>
    </row>
    <row r="89" spans="1:7" hidden="1">
      <c r="A89" s="37" t="s">
        <v>287</v>
      </c>
      <c r="B89" s="456">
        <v>173</v>
      </c>
      <c r="C89" s="1553">
        <v>84.3</v>
      </c>
      <c r="D89" s="456">
        <v>487.28323699421964</v>
      </c>
      <c r="E89" s="456">
        <v>54</v>
      </c>
      <c r="F89" s="1553">
        <v>29.8</v>
      </c>
      <c r="G89" s="456">
        <v>551.85185185185185</v>
      </c>
    </row>
    <row r="90" spans="1:7" hidden="1">
      <c r="A90" s="37" t="s">
        <v>285</v>
      </c>
      <c r="B90" s="456">
        <v>163</v>
      </c>
      <c r="C90" s="1553">
        <v>86.5</v>
      </c>
      <c r="D90" s="456">
        <v>530.67484662576692</v>
      </c>
      <c r="E90" s="456">
        <v>49</v>
      </c>
      <c r="F90" s="1553">
        <v>26.7</v>
      </c>
      <c r="G90" s="456">
        <v>544.89795918367349</v>
      </c>
    </row>
    <row r="91" spans="1:7" hidden="1">
      <c r="A91" s="37" t="s">
        <v>27</v>
      </c>
      <c r="B91" s="456">
        <v>146.1</v>
      </c>
      <c r="C91" s="1553">
        <v>86.9</v>
      </c>
      <c r="D91" s="456">
        <v>594.7980835044491</v>
      </c>
      <c r="E91" s="456">
        <v>40</v>
      </c>
      <c r="F91" s="1553">
        <v>32.5</v>
      </c>
      <c r="G91" s="456">
        <v>812.5</v>
      </c>
    </row>
    <row r="92" spans="1:7" hidden="1">
      <c r="A92" s="37" t="s">
        <v>28</v>
      </c>
      <c r="B92" s="456">
        <v>143</v>
      </c>
      <c r="C92" s="1553">
        <v>81.099999999999994</v>
      </c>
      <c r="D92" s="456">
        <v>567.13286713286709</v>
      </c>
      <c r="E92" s="456">
        <v>46</v>
      </c>
      <c r="F92" s="1553">
        <v>41.4</v>
      </c>
      <c r="G92" s="456">
        <v>900</v>
      </c>
    </row>
    <row r="93" spans="1:7" hidden="1">
      <c r="A93" s="37" t="s">
        <v>29</v>
      </c>
      <c r="B93" s="456">
        <v>153</v>
      </c>
      <c r="C93" s="1553">
        <v>89</v>
      </c>
      <c r="D93" s="456">
        <v>581.69934640522877</v>
      </c>
      <c r="E93" s="456">
        <v>46</v>
      </c>
      <c r="F93" s="1553">
        <v>42.6</v>
      </c>
      <c r="G93" s="456">
        <v>926.08695652173913</v>
      </c>
    </row>
    <row r="94" spans="1:7">
      <c r="A94" s="37" t="s">
        <v>1024</v>
      </c>
      <c r="B94" s="257">
        <f>SUM(B95:B106)</f>
        <v>1834.67</v>
      </c>
      <c r="C94" s="257">
        <f>SUM(C95:C106)</f>
        <v>1046.1599999999999</v>
      </c>
      <c r="D94" s="257">
        <f>+C94/B94*1000</f>
        <v>570.2169872511131</v>
      </c>
      <c r="E94" s="257">
        <f>SUM(E95:E106)</f>
        <v>464.8</v>
      </c>
      <c r="F94" s="257">
        <f>SUM(F95:F106)</f>
        <v>416.428</v>
      </c>
      <c r="G94" s="257">
        <f>+F94/E94*1000</f>
        <v>895.92943201376931</v>
      </c>
    </row>
    <row r="95" spans="1:7" hidden="1">
      <c r="A95" s="37" t="s">
        <v>18</v>
      </c>
      <c r="B95" s="456">
        <v>111</v>
      </c>
      <c r="C95" s="1553">
        <v>72.8</v>
      </c>
      <c r="D95" s="456">
        <v>655.85585585585579</v>
      </c>
      <c r="E95" s="456">
        <v>29</v>
      </c>
      <c r="F95" s="1553">
        <v>24.6</v>
      </c>
      <c r="G95" s="456">
        <v>848.27586206896558</v>
      </c>
    </row>
    <row r="96" spans="1:7" hidden="1">
      <c r="A96" s="37" t="s">
        <v>19</v>
      </c>
      <c r="B96" s="456">
        <v>111</v>
      </c>
      <c r="C96" s="1553">
        <v>62</v>
      </c>
      <c r="D96" s="456">
        <v>558.5585585585585</v>
      </c>
      <c r="E96" s="456">
        <v>28.1</v>
      </c>
      <c r="F96" s="1553">
        <v>27.1</v>
      </c>
      <c r="G96" s="456">
        <v>964.41281138790032</v>
      </c>
    </row>
    <row r="97" spans="1:7" hidden="1">
      <c r="A97" s="37" t="s">
        <v>20</v>
      </c>
      <c r="B97" s="456">
        <v>136</v>
      </c>
      <c r="C97" s="1553">
        <v>70.2</v>
      </c>
      <c r="D97" s="456">
        <v>516.17647058823536</v>
      </c>
      <c r="E97" s="456">
        <v>32.9</v>
      </c>
      <c r="F97" s="1553">
        <v>29.1</v>
      </c>
      <c r="G97" s="456">
        <v>884.49848024316111</v>
      </c>
    </row>
    <row r="98" spans="1:7" hidden="1">
      <c r="A98" s="37" t="s">
        <v>21</v>
      </c>
      <c r="B98" s="456">
        <v>146</v>
      </c>
      <c r="C98" s="1553">
        <v>77.900000000000006</v>
      </c>
      <c r="D98" s="456">
        <v>533.56164383561645</v>
      </c>
      <c r="E98" s="456">
        <v>36</v>
      </c>
      <c r="F98" s="1553">
        <v>32.799999999999997</v>
      </c>
      <c r="G98" s="456">
        <v>911.11111111111097</v>
      </c>
    </row>
    <row r="99" spans="1:7" hidden="1">
      <c r="A99" s="37" t="s">
        <v>22</v>
      </c>
      <c r="B99" s="456">
        <v>174</v>
      </c>
      <c r="C99" s="1553">
        <v>84.8</v>
      </c>
      <c r="D99" s="456">
        <v>487.35632183908046</v>
      </c>
      <c r="E99" s="456">
        <v>32.200000000000003</v>
      </c>
      <c r="F99" s="1553">
        <v>31.3</v>
      </c>
      <c r="G99" s="456">
        <v>972.04968944099369</v>
      </c>
    </row>
    <row r="100" spans="1:7" hidden="1">
      <c r="A100" s="37" t="s">
        <v>23</v>
      </c>
      <c r="B100" s="456">
        <v>172.77</v>
      </c>
      <c r="C100" s="1553">
        <v>98.36</v>
      </c>
      <c r="D100" s="456">
        <v>569.31180181744514</v>
      </c>
      <c r="E100" s="456">
        <v>35.9</v>
      </c>
      <c r="F100" s="1553">
        <v>30.128</v>
      </c>
      <c r="G100" s="456">
        <v>839.2200557103065</v>
      </c>
    </row>
    <row r="101" spans="1:7" hidden="1">
      <c r="A101" s="37" t="s">
        <v>24</v>
      </c>
      <c r="B101" s="456">
        <v>185</v>
      </c>
      <c r="C101" s="1553">
        <v>103</v>
      </c>
      <c r="D101" s="456">
        <v>556.75675675675677</v>
      </c>
      <c r="E101" s="456">
        <v>37</v>
      </c>
      <c r="F101" s="1553">
        <v>32.1</v>
      </c>
      <c r="G101" s="456">
        <v>867.56756756756761</v>
      </c>
    </row>
    <row r="102" spans="1:7" hidden="1">
      <c r="A102" s="37" t="s">
        <v>25</v>
      </c>
      <c r="B102" s="456">
        <v>159</v>
      </c>
      <c r="C102" s="1553">
        <v>94</v>
      </c>
      <c r="D102" s="456">
        <v>591.19496855345915</v>
      </c>
      <c r="E102" s="456">
        <v>47.2</v>
      </c>
      <c r="F102" s="1553">
        <v>34.299999999999997</v>
      </c>
      <c r="G102" s="456">
        <v>726.69491525423723</v>
      </c>
    </row>
    <row r="103" spans="1:7" hidden="1">
      <c r="A103" s="37" t="s">
        <v>26</v>
      </c>
      <c r="B103" s="456">
        <v>179.9</v>
      </c>
      <c r="C103" s="1553">
        <v>102.4</v>
      </c>
      <c r="D103" s="456">
        <v>569.20511395219569</v>
      </c>
      <c r="E103" s="456">
        <v>41.5</v>
      </c>
      <c r="F103" s="1553">
        <v>35</v>
      </c>
      <c r="G103" s="456">
        <v>843.37349397590367</v>
      </c>
    </row>
    <row r="104" spans="1:7" hidden="1">
      <c r="A104" s="37" t="s">
        <v>27</v>
      </c>
      <c r="B104" s="456">
        <v>155</v>
      </c>
      <c r="C104" s="1553">
        <v>96.1</v>
      </c>
      <c r="D104" s="456">
        <v>620</v>
      </c>
      <c r="E104" s="456">
        <v>45</v>
      </c>
      <c r="F104" s="1553">
        <v>45.7</v>
      </c>
      <c r="G104" s="456">
        <v>1015.5555555555555</v>
      </c>
    </row>
    <row r="105" spans="1:7" hidden="1">
      <c r="A105" s="37" t="s">
        <v>28</v>
      </c>
      <c r="B105" s="456">
        <v>147</v>
      </c>
      <c r="C105" s="1553">
        <v>95.8</v>
      </c>
      <c r="D105" s="456">
        <v>651.7006802721088</v>
      </c>
      <c r="E105" s="456">
        <v>45</v>
      </c>
      <c r="F105" s="1553">
        <v>41.7</v>
      </c>
      <c r="G105" s="456">
        <v>926.66666666666674</v>
      </c>
    </row>
    <row r="106" spans="1:7" hidden="1">
      <c r="A106" s="37" t="s">
        <v>29</v>
      </c>
      <c r="B106" s="456">
        <v>158</v>
      </c>
      <c r="C106" s="1553">
        <v>88.8</v>
      </c>
      <c r="D106" s="456">
        <v>562.02531645569616</v>
      </c>
      <c r="E106" s="456">
        <v>55</v>
      </c>
      <c r="F106" s="1553">
        <v>52.6</v>
      </c>
      <c r="G106" s="456">
        <v>956.36363636363637</v>
      </c>
    </row>
    <row r="107" spans="1:7">
      <c r="A107" s="37" t="s">
        <v>1288</v>
      </c>
      <c r="B107" s="257">
        <f>SUM(B108:B119)</f>
        <v>2082.34</v>
      </c>
      <c r="C107" s="257">
        <f>SUM(C108:C119)</f>
        <v>1245.8020000000001</v>
      </c>
      <c r="D107" s="257">
        <f>+C107/B107*1000</f>
        <v>598.27021523862572</v>
      </c>
      <c r="E107" s="257">
        <f>SUM(E108:E119)</f>
        <v>695.59999999999991</v>
      </c>
      <c r="F107" s="257">
        <f>SUM(F108:F119)</f>
        <v>542.51499999999999</v>
      </c>
      <c r="G107" s="257">
        <f>+F107/E107*1000</f>
        <v>779.92380678550899</v>
      </c>
    </row>
    <row r="108" spans="1:7" hidden="1">
      <c r="A108" s="37" t="s">
        <v>18</v>
      </c>
      <c r="B108" s="614">
        <v>113</v>
      </c>
      <c r="C108" s="1506">
        <v>67.2</v>
      </c>
      <c r="D108" s="614">
        <v>594.69026548672571</v>
      </c>
      <c r="E108" s="614">
        <v>44</v>
      </c>
      <c r="F108" s="1506">
        <v>38.6</v>
      </c>
      <c r="G108" s="614">
        <v>877.27272727272737</v>
      </c>
    </row>
    <row r="109" spans="1:7" hidden="1">
      <c r="A109" s="37" t="s">
        <v>19</v>
      </c>
      <c r="B109" s="614">
        <v>123.09</v>
      </c>
      <c r="C109" s="1506">
        <v>84.197999999999993</v>
      </c>
      <c r="D109" s="614">
        <v>684.03607116743831</v>
      </c>
      <c r="E109" s="614">
        <v>48.13</v>
      </c>
      <c r="F109" s="1506">
        <v>45.182000000000002</v>
      </c>
      <c r="G109" s="614">
        <v>938.74922086017034</v>
      </c>
    </row>
    <row r="110" spans="1:7" hidden="1">
      <c r="A110" s="37" t="s">
        <v>20</v>
      </c>
      <c r="B110" s="614">
        <v>143.69999999999999</v>
      </c>
      <c r="C110" s="1506">
        <v>81</v>
      </c>
      <c r="D110" s="614">
        <v>563.67432150313152</v>
      </c>
      <c r="E110" s="614">
        <v>49.6</v>
      </c>
      <c r="F110" s="1506">
        <v>38.700000000000003</v>
      </c>
      <c r="G110" s="614">
        <v>780.24193548387098</v>
      </c>
    </row>
    <row r="111" spans="1:7" hidden="1">
      <c r="A111" s="37" t="s">
        <v>21</v>
      </c>
      <c r="B111" s="614">
        <v>154</v>
      </c>
      <c r="C111" s="1506">
        <v>86.751999999999995</v>
      </c>
      <c r="D111" s="614">
        <v>563.32467532467535</v>
      </c>
      <c r="E111" s="614">
        <v>51.61</v>
      </c>
      <c r="F111" s="1506">
        <v>40.075000000000003</v>
      </c>
      <c r="G111" s="614">
        <v>776.49680294516577</v>
      </c>
    </row>
    <row r="112" spans="1:7" hidden="1">
      <c r="A112" s="37" t="s">
        <v>22</v>
      </c>
      <c r="B112" s="614">
        <v>171.6</v>
      </c>
      <c r="C112" s="1506">
        <v>98.64</v>
      </c>
      <c r="D112" s="614">
        <v>574.82517482517483</v>
      </c>
      <c r="E112" s="614">
        <v>56.32</v>
      </c>
      <c r="F112" s="1506">
        <v>54.935000000000002</v>
      </c>
      <c r="G112" s="614">
        <v>975.40838068181824</v>
      </c>
    </row>
    <row r="113" spans="1:7" hidden="1">
      <c r="A113" s="37" t="s">
        <v>23</v>
      </c>
      <c r="B113" s="614">
        <v>166.82</v>
      </c>
      <c r="C113" s="1506">
        <v>100.2</v>
      </c>
      <c r="D113" s="614">
        <v>600.64740438796321</v>
      </c>
      <c r="E113" s="614">
        <v>51.16</v>
      </c>
      <c r="F113" s="1506">
        <v>49.228999999999999</v>
      </c>
      <c r="G113" s="614">
        <v>962.25566849100858</v>
      </c>
    </row>
    <row r="114" spans="1:7" hidden="1">
      <c r="A114" s="37" t="s">
        <v>24</v>
      </c>
      <c r="B114" s="614">
        <v>189.5</v>
      </c>
      <c r="C114" s="1506">
        <v>101.5</v>
      </c>
      <c r="D114" s="614">
        <v>535.62005277044852</v>
      </c>
      <c r="E114" s="614">
        <v>55.6</v>
      </c>
      <c r="F114" s="1506">
        <v>53.8</v>
      </c>
      <c r="G114" s="614">
        <v>967.62589928057548</v>
      </c>
    </row>
    <row r="115" spans="1:7" hidden="1">
      <c r="A115" s="37" t="s">
        <v>25</v>
      </c>
      <c r="B115" s="614">
        <v>206.3</v>
      </c>
      <c r="C115" s="1506">
        <v>126.95399999999999</v>
      </c>
      <c r="D115" s="614">
        <v>615.38536112457575</v>
      </c>
      <c r="E115" s="614">
        <v>44.26</v>
      </c>
      <c r="F115" s="1506">
        <v>41.171999999999997</v>
      </c>
      <c r="G115" s="614">
        <v>930.23045639403529</v>
      </c>
    </row>
    <row r="116" spans="1:7" hidden="1">
      <c r="A116" s="37" t="s">
        <v>26</v>
      </c>
      <c r="B116" s="614">
        <v>196.85</v>
      </c>
      <c r="C116" s="1506">
        <v>121.125</v>
      </c>
      <c r="D116" s="614">
        <v>615.31623063246127</v>
      </c>
      <c r="E116" s="614">
        <v>63.17</v>
      </c>
      <c r="F116" s="1506">
        <v>40.692999999999998</v>
      </c>
      <c r="G116" s="614">
        <v>644.18236504669937</v>
      </c>
    </row>
    <row r="117" spans="1:7" hidden="1">
      <c r="A117" s="37" t="s">
        <v>27</v>
      </c>
      <c r="B117" s="614">
        <v>219.14</v>
      </c>
      <c r="C117" s="1506">
        <v>129.4</v>
      </c>
      <c r="D117" s="614">
        <v>590.49009765446749</v>
      </c>
      <c r="E117" s="614">
        <v>71</v>
      </c>
      <c r="F117" s="1506">
        <v>48.585999999999999</v>
      </c>
      <c r="G117" s="614">
        <v>684.30985915492954</v>
      </c>
    </row>
    <row r="118" spans="1:7" hidden="1">
      <c r="A118" s="37" t="s">
        <v>28</v>
      </c>
      <c r="B118" s="614">
        <v>197.81</v>
      </c>
      <c r="C118" s="1506">
        <v>124.43300000000001</v>
      </c>
      <c r="D118" s="614">
        <v>629.05313179313487</v>
      </c>
      <c r="E118" s="614">
        <v>76.430000000000007</v>
      </c>
      <c r="F118" s="1506">
        <v>41.177999999999997</v>
      </c>
      <c r="G118" s="614">
        <v>538.76749967290323</v>
      </c>
    </row>
    <row r="119" spans="1:7" hidden="1">
      <c r="A119" s="37" t="s">
        <v>29</v>
      </c>
      <c r="B119" s="614">
        <v>200.53</v>
      </c>
      <c r="C119" s="1506">
        <v>124.4</v>
      </c>
      <c r="D119" s="614">
        <v>620.35605645040653</v>
      </c>
      <c r="E119" s="614">
        <v>84.32</v>
      </c>
      <c r="F119" s="1506">
        <v>50.365000000000002</v>
      </c>
      <c r="G119" s="614">
        <v>597.30787476280841</v>
      </c>
    </row>
    <row r="120" spans="1:7">
      <c r="A120" s="37">
        <v>2013</v>
      </c>
      <c r="B120" s="257">
        <f>SUM(B121:B132)</f>
        <v>2526.13</v>
      </c>
      <c r="C120" s="257">
        <f>SUM(C121:C132)</f>
        <v>1565.5319999999999</v>
      </c>
      <c r="D120" s="257">
        <f>+C120/B120*1000</f>
        <v>619.73532636879338</v>
      </c>
      <c r="E120" s="257">
        <f>SUM(E121:E132)</f>
        <v>985.85099999999989</v>
      </c>
      <c r="F120" s="257">
        <f>SUM(F121:F132)</f>
        <v>779.57799999999997</v>
      </c>
      <c r="G120" s="257">
        <f>+F120/E120*1000</f>
        <v>790.76655600085621</v>
      </c>
    </row>
    <row r="121" spans="1:7" hidden="1">
      <c r="A121" s="37">
        <v>1</v>
      </c>
      <c r="B121" s="614">
        <v>156.279</v>
      </c>
      <c r="C121" s="1506">
        <v>89.822000000000003</v>
      </c>
      <c r="D121" s="614">
        <v>574.75412563428233</v>
      </c>
      <c r="E121" s="614">
        <v>65.950999999999993</v>
      </c>
      <c r="F121" s="1506">
        <v>38.4</v>
      </c>
      <c r="G121" s="614">
        <v>582.25045867386393</v>
      </c>
    </row>
    <row r="122" spans="1:7" hidden="1">
      <c r="A122" s="37">
        <v>2</v>
      </c>
      <c r="B122" s="614">
        <v>164.3</v>
      </c>
      <c r="C122" s="1506">
        <v>93.7</v>
      </c>
      <c r="D122" s="614">
        <v>570.2982349360924</v>
      </c>
      <c r="E122" s="614">
        <v>73.8</v>
      </c>
      <c r="F122" s="1506">
        <v>44.1</v>
      </c>
      <c r="G122" s="614">
        <v>597.56097560975616</v>
      </c>
    </row>
    <row r="123" spans="1:7" hidden="1">
      <c r="A123" s="37">
        <v>3</v>
      </c>
      <c r="B123" s="614">
        <v>176.709</v>
      </c>
      <c r="C123" s="1506">
        <v>94.1</v>
      </c>
      <c r="D123" s="614">
        <v>532.51390704491564</v>
      </c>
      <c r="E123" s="614">
        <v>73.099999999999994</v>
      </c>
      <c r="F123" s="1506">
        <v>43.4</v>
      </c>
      <c r="G123" s="614">
        <v>593.70725034199734</v>
      </c>
    </row>
    <row r="124" spans="1:7" hidden="1">
      <c r="A124" s="37">
        <v>4</v>
      </c>
      <c r="B124" s="614">
        <v>209.9</v>
      </c>
      <c r="C124" s="1506">
        <v>121.9</v>
      </c>
      <c r="D124" s="614">
        <v>580.75273939971419</v>
      </c>
      <c r="E124" s="614">
        <v>87.7</v>
      </c>
      <c r="F124" s="1506">
        <v>60.878</v>
      </c>
      <c r="G124" s="614">
        <v>694.16191562143672</v>
      </c>
    </row>
    <row r="125" spans="1:7" hidden="1">
      <c r="A125" s="37">
        <v>5</v>
      </c>
      <c r="B125" s="614">
        <v>215.24199999999999</v>
      </c>
      <c r="C125" s="1506">
        <v>133.29499999999999</v>
      </c>
      <c r="D125" s="614">
        <v>619.27969448341867</v>
      </c>
      <c r="E125" s="614">
        <v>88.1</v>
      </c>
      <c r="F125" s="1506">
        <v>60.7</v>
      </c>
      <c r="G125" s="614">
        <v>688.98978433598188</v>
      </c>
    </row>
    <row r="126" spans="1:7" hidden="1">
      <c r="A126" s="37">
        <v>6</v>
      </c>
      <c r="B126" s="614">
        <v>217.3</v>
      </c>
      <c r="C126" s="1506">
        <v>131.30000000000001</v>
      </c>
      <c r="D126" s="614">
        <v>604.23377818683855</v>
      </c>
      <c r="E126" s="614">
        <v>74.7</v>
      </c>
      <c r="F126" s="1506">
        <v>62.3</v>
      </c>
      <c r="G126" s="614">
        <v>834.00267737617128</v>
      </c>
    </row>
    <row r="127" spans="1:7" hidden="1">
      <c r="A127" s="37">
        <v>7</v>
      </c>
      <c r="B127" s="614">
        <v>245.5</v>
      </c>
      <c r="C127" s="1506">
        <v>162.25700000000001</v>
      </c>
      <c r="D127" s="614">
        <v>660.92464358452139</v>
      </c>
      <c r="E127" s="614">
        <v>81</v>
      </c>
      <c r="F127" s="1506">
        <v>76.5</v>
      </c>
      <c r="G127" s="614">
        <v>944.44444444444446</v>
      </c>
    </row>
    <row r="128" spans="1:7" hidden="1">
      <c r="A128" s="37">
        <v>8</v>
      </c>
      <c r="B128" s="614">
        <v>237</v>
      </c>
      <c r="C128" s="1506">
        <v>148.4</v>
      </c>
      <c r="D128" s="614">
        <v>626.16033755274259</v>
      </c>
      <c r="E128" s="614">
        <v>74</v>
      </c>
      <c r="F128" s="1506">
        <v>84</v>
      </c>
      <c r="G128" s="614">
        <v>1135.135135135135</v>
      </c>
    </row>
    <row r="129" spans="1:7" hidden="1">
      <c r="A129" s="37">
        <v>9</v>
      </c>
      <c r="B129" s="614">
        <v>234.1</v>
      </c>
      <c r="C129" s="1506">
        <v>145.6</v>
      </c>
      <c r="D129" s="614">
        <v>621.95642887654844</v>
      </c>
      <c r="E129" s="614">
        <v>83.3</v>
      </c>
      <c r="F129" s="1506">
        <v>69.8</v>
      </c>
      <c r="G129" s="614">
        <v>837.93517406962781</v>
      </c>
    </row>
    <row r="130" spans="1:7" hidden="1">
      <c r="A130" s="37">
        <v>10</v>
      </c>
      <c r="B130" s="614">
        <v>236.9</v>
      </c>
      <c r="C130" s="1506">
        <v>155.9</v>
      </c>
      <c r="D130" s="614">
        <v>658.0835795694386</v>
      </c>
      <c r="E130" s="614">
        <v>94.8</v>
      </c>
      <c r="F130" s="1506">
        <v>86.9</v>
      </c>
      <c r="G130" s="614">
        <v>916.66666666666674</v>
      </c>
    </row>
    <row r="131" spans="1:7" hidden="1">
      <c r="A131" s="37">
        <v>11</v>
      </c>
      <c r="B131" s="614">
        <v>214.9</v>
      </c>
      <c r="C131" s="1506">
        <v>148.15799999999999</v>
      </c>
      <c r="D131" s="614">
        <v>689.42764076314552</v>
      </c>
      <c r="E131" s="614">
        <v>88.2</v>
      </c>
      <c r="F131" s="1506">
        <v>72.2</v>
      </c>
      <c r="G131" s="614">
        <v>818.59410430839011</v>
      </c>
    </row>
    <row r="132" spans="1:7" hidden="1">
      <c r="A132" s="37">
        <v>12</v>
      </c>
      <c r="B132" s="614">
        <v>218</v>
      </c>
      <c r="C132" s="1506">
        <v>141.1</v>
      </c>
      <c r="D132" s="614">
        <v>647.24770642201838</v>
      </c>
      <c r="E132" s="614">
        <v>101.2</v>
      </c>
      <c r="F132" s="1506">
        <v>80.400000000000006</v>
      </c>
      <c r="G132" s="614">
        <v>794.46640316205537</v>
      </c>
    </row>
    <row r="133" spans="1:7">
      <c r="A133" s="37">
        <v>2014</v>
      </c>
      <c r="B133" s="257">
        <f>SUM(B134:B145)</f>
        <v>2626.8220000000001</v>
      </c>
      <c r="C133" s="257">
        <f>SUM(C134:C145)</f>
        <v>1634.1690000000001</v>
      </c>
      <c r="D133" s="257">
        <f>+C133/B133*1000</f>
        <v>622.10876869464312</v>
      </c>
      <c r="E133" s="257">
        <f>SUM(E134:E145)</f>
        <v>1306.9160000000002</v>
      </c>
      <c r="F133" s="257">
        <f>SUM(F134:F145)</f>
        <v>979.65899999999988</v>
      </c>
      <c r="G133" s="257">
        <f>+F133/E133*1000</f>
        <v>749.59599545800938</v>
      </c>
    </row>
    <row r="134" spans="1:7" hidden="1">
      <c r="A134" s="37">
        <v>1</v>
      </c>
      <c r="B134" s="614">
        <v>194.4</v>
      </c>
      <c r="C134" s="1506">
        <v>122</v>
      </c>
      <c r="D134" s="614">
        <v>627.57201646090527</v>
      </c>
      <c r="E134" s="614">
        <v>78.239999999999995</v>
      </c>
      <c r="F134" s="1506">
        <v>64.099999999999994</v>
      </c>
      <c r="G134" s="614">
        <v>819.27402862985684</v>
      </c>
    </row>
    <row r="135" spans="1:7" hidden="1">
      <c r="A135" s="37">
        <v>2</v>
      </c>
      <c r="B135" s="614">
        <v>189.1</v>
      </c>
      <c r="C135" s="1506">
        <v>108.5</v>
      </c>
      <c r="D135" s="614">
        <v>573.77049180327867</v>
      </c>
      <c r="E135" s="614">
        <v>101.6</v>
      </c>
      <c r="F135" s="1506">
        <v>100.8</v>
      </c>
      <c r="G135" s="614">
        <v>992.12598425196848</v>
      </c>
    </row>
    <row r="136" spans="1:7" hidden="1">
      <c r="A136" s="37">
        <v>3</v>
      </c>
      <c r="B136" s="614">
        <v>199.7</v>
      </c>
      <c r="C136" s="1506">
        <v>114.9</v>
      </c>
      <c r="D136" s="614">
        <v>575.36304456685036</v>
      </c>
      <c r="E136" s="614">
        <v>104.8</v>
      </c>
      <c r="F136" s="1506">
        <v>65.7</v>
      </c>
      <c r="G136" s="614">
        <v>626.90839694656495</v>
      </c>
    </row>
    <row r="137" spans="1:7" hidden="1">
      <c r="A137" s="37">
        <v>4</v>
      </c>
      <c r="B137" s="614">
        <v>237.22200000000001</v>
      </c>
      <c r="C137" s="1506">
        <v>138.76900000000001</v>
      </c>
      <c r="D137" s="614">
        <v>584.97525524614082</v>
      </c>
      <c r="E137" s="614">
        <v>119.57599999999999</v>
      </c>
      <c r="F137" s="1506">
        <v>88.858999999999995</v>
      </c>
      <c r="G137" s="614">
        <v>743.11734796280189</v>
      </c>
    </row>
    <row r="138" spans="1:7" hidden="1">
      <c r="A138" s="37">
        <v>5</v>
      </c>
      <c r="B138" s="614">
        <v>229.7</v>
      </c>
      <c r="C138" s="1506">
        <v>145.5</v>
      </c>
      <c r="D138" s="614">
        <v>633.43491510666092</v>
      </c>
      <c r="E138" s="614">
        <v>123.6</v>
      </c>
      <c r="F138" s="1506">
        <v>87.2</v>
      </c>
      <c r="G138" s="614">
        <v>705.50161812297745</v>
      </c>
    </row>
    <row r="139" spans="1:7" hidden="1">
      <c r="A139" s="37">
        <v>6</v>
      </c>
      <c r="B139" s="614">
        <v>235</v>
      </c>
      <c r="C139" s="1506">
        <v>154.6</v>
      </c>
      <c r="D139" s="614">
        <v>657.87234042553189</v>
      </c>
      <c r="E139" s="614">
        <v>103</v>
      </c>
      <c r="F139" s="1506">
        <v>72.5</v>
      </c>
      <c r="G139" s="614">
        <v>703.88349514563106</v>
      </c>
    </row>
    <row r="140" spans="1:7" hidden="1">
      <c r="A140" s="37">
        <v>7</v>
      </c>
      <c r="B140" s="614">
        <v>239.3</v>
      </c>
      <c r="C140" s="1506">
        <v>158.80000000000001</v>
      </c>
      <c r="D140" s="614">
        <v>663.60217300459681</v>
      </c>
      <c r="E140" s="614">
        <v>102.3</v>
      </c>
      <c r="F140" s="1506">
        <v>78.400000000000006</v>
      </c>
      <c r="G140" s="614">
        <v>766.37341153470197</v>
      </c>
    </row>
    <row r="141" spans="1:7" hidden="1">
      <c r="A141" s="37">
        <v>8</v>
      </c>
      <c r="B141" s="614">
        <v>232.8</v>
      </c>
      <c r="C141" s="1506">
        <v>148.19999999999999</v>
      </c>
      <c r="D141" s="614">
        <v>636.59793814432987</v>
      </c>
      <c r="E141" s="614">
        <v>94.6</v>
      </c>
      <c r="F141" s="1506">
        <v>75</v>
      </c>
      <c r="G141" s="614">
        <v>792.81183932346732</v>
      </c>
    </row>
    <row r="142" spans="1:7" hidden="1">
      <c r="A142" s="37">
        <v>9</v>
      </c>
      <c r="B142" s="614">
        <v>245.6</v>
      </c>
      <c r="C142" s="1506">
        <v>151.4</v>
      </c>
      <c r="D142" s="614">
        <v>616.44951140065155</v>
      </c>
      <c r="E142" s="614">
        <v>107.6</v>
      </c>
      <c r="F142" s="1506">
        <v>83.8</v>
      </c>
      <c r="G142" s="614">
        <v>778.81040892193312</v>
      </c>
    </row>
    <row r="143" spans="1:7" hidden="1">
      <c r="A143" s="37">
        <v>10</v>
      </c>
      <c r="B143" s="614">
        <v>233</v>
      </c>
      <c r="C143" s="1506">
        <v>145.1</v>
      </c>
      <c r="D143" s="614">
        <v>622.7467811158798</v>
      </c>
      <c r="E143" s="614">
        <v>113.2</v>
      </c>
      <c r="F143" s="1506">
        <v>77.400000000000006</v>
      </c>
      <c r="G143" s="614">
        <v>683.74558303886931</v>
      </c>
    </row>
    <row r="144" spans="1:7" hidden="1">
      <c r="A144" s="37">
        <v>11</v>
      </c>
      <c r="B144" s="614">
        <v>190.3</v>
      </c>
      <c r="C144" s="1506">
        <v>125</v>
      </c>
      <c r="D144" s="614">
        <v>656.85759327377821</v>
      </c>
      <c r="E144" s="614">
        <v>111.7</v>
      </c>
      <c r="F144" s="1506">
        <v>84.1</v>
      </c>
      <c r="G144" s="614">
        <v>752.90957923008045</v>
      </c>
    </row>
    <row r="145" spans="1:7" hidden="1">
      <c r="A145" s="37">
        <v>12</v>
      </c>
      <c r="B145" s="614">
        <v>200.7</v>
      </c>
      <c r="C145" s="1506">
        <v>121.4</v>
      </c>
      <c r="D145" s="614">
        <v>604.88290981564535</v>
      </c>
      <c r="E145" s="614">
        <v>146.69999999999999</v>
      </c>
      <c r="F145" s="1506">
        <v>101.8</v>
      </c>
      <c r="G145" s="614">
        <v>693.93319700068173</v>
      </c>
    </row>
    <row r="146" spans="1:7">
      <c r="A146" s="37">
        <v>2015</v>
      </c>
      <c r="B146" s="257">
        <f>SUM(B147:B158)</f>
        <v>2280.172</v>
      </c>
      <c r="C146" s="257">
        <f>SUM(C147:C158)</f>
        <v>1251.2218320000002</v>
      </c>
      <c r="D146" s="257">
        <f>+C146/B146*1000</f>
        <v>548.74010907949059</v>
      </c>
      <c r="E146" s="257">
        <f>SUM(E147:E158)</f>
        <v>1278.3770000000002</v>
      </c>
      <c r="F146" s="257">
        <f>SUM(F147:F158)</f>
        <v>800.83499999999992</v>
      </c>
      <c r="G146" s="257">
        <f>+F146/E146*1000</f>
        <v>626.44665853656613</v>
      </c>
    </row>
    <row r="147" spans="1:7" hidden="1">
      <c r="A147" s="37">
        <v>1</v>
      </c>
      <c r="B147" s="614">
        <v>148.4</v>
      </c>
      <c r="C147" s="1506">
        <v>77.2</v>
      </c>
      <c r="D147" s="614">
        <v>520.21563342318052</v>
      </c>
      <c r="E147" s="614">
        <v>107.9</v>
      </c>
      <c r="F147" s="1506">
        <v>65.293000000000006</v>
      </c>
      <c r="G147" s="614">
        <v>605.12511584800745</v>
      </c>
    </row>
    <row r="148" spans="1:7" hidden="1">
      <c r="A148" s="37" t="s">
        <v>290</v>
      </c>
      <c r="B148" s="614">
        <v>151.19999999999999</v>
      </c>
      <c r="C148" s="1506">
        <v>79.3</v>
      </c>
      <c r="D148" s="614">
        <v>524.47089947089955</v>
      </c>
      <c r="E148" s="614">
        <v>116.2</v>
      </c>
      <c r="F148" s="1506">
        <v>70.599999999999994</v>
      </c>
      <c r="G148" s="614">
        <v>607.57314974182441</v>
      </c>
    </row>
    <row r="149" spans="1:7" hidden="1">
      <c r="A149" s="37" t="s">
        <v>289</v>
      </c>
      <c r="B149" s="614">
        <v>159.9</v>
      </c>
      <c r="C149" s="1506">
        <v>84.244</v>
      </c>
      <c r="D149" s="614">
        <v>526.85428392745462</v>
      </c>
      <c r="E149" s="614">
        <v>98.1</v>
      </c>
      <c r="F149" s="1506">
        <v>60.488</v>
      </c>
      <c r="G149" s="614">
        <v>616.59531090723749</v>
      </c>
    </row>
    <row r="150" spans="1:7" hidden="1">
      <c r="A150" s="37" t="s">
        <v>1010</v>
      </c>
      <c r="B150" s="614">
        <v>200.3</v>
      </c>
      <c r="C150" s="1506">
        <v>107.19</v>
      </c>
      <c r="D150" s="614">
        <v>535.9</v>
      </c>
      <c r="E150" s="614">
        <v>116.7</v>
      </c>
      <c r="F150" s="1506">
        <v>65.14</v>
      </c>
      <c r="G150" s="614">
        <v>557.79999999999995</v>
      </c>
    </row>
    <row r="151" spans="1:7" hidden="1">
      <c r="A151" s="37" t="s">
        <v>288</v>
      </c>
      <c r="B151" s="614">
        <v>199.05199999999999</v>
      </c>
      <c r="C151" s="1506">
        <v>111.957832</v>
      </c>
      <c r="D151" s="614">
        <v>557.70000000000005</v>
      </c>
      <c r="E151" s="614">
        <v>107.05500000000001</v>
      </c>
      <c r="F151" s="1506">
        <v>59.588999999999999</v>
      </c>
      <c r="G151" s="614">
        <v>556</v>
      </c>
    </row>
    <row r="152" spans="1:7" hidden="1">
      <c r="A152" s="37" t="s">
        <v>1011</v>
      </c>
      <c r="B152" s="614">
        <v>213.38</v>
      </c>
      <c r="C152" s="1506">
        <v>127.7</v>
      </c>
      <c r="D152" s="614">
        <v>531.20000000000005</v>
      </c>
      <c r="E152" s="614">
        <v>108.7</v>
      </c>
      <c r="F152" s="1506">
        <v>65.704999999999998</v>
      </c>
      <c r="G152" s="614">
        <v>604</v>
      </c>
    </row>
    <row r="153" spans="1:7" hidden="1">
      <c r="A153" s="37" t="s">
        <v>286</v>
      </c>
      <c r="B153" s="614">
        <v>206.47</v>
      </c>
      <c r="C153" s="1506">
        <v>120.7</v>
      </c>
      <c r="D153" s="614">
        <v>585.9</v>
      </c>
      <c r="E153" s="614">
        <v>98.13</v>
      </c>
      <c r="F153" s="1506">
        <v>74.5</v>
      </c>
      <c r="G153" s="614">
        <v>759.4</v>
      </c>
    </row>
    <row r="154" spans="1:7" hidden="1">
      <c r="A154" s="37">
        <v>8</v>
      </c>
      <c r="B154" s="614">
        <v>195.1</v>
      </c>
      <c r="C154" s="1506">
        <v>107.5</v>
      </c>
      <c r="D154" s="614">
        <v>550.99948744233734</v>
      </c>
      <c r="E154" s="614">
        <v>95.9</v>
      </c>
      <c r="F154" s="1506">
        <v>68.900000000000006</v>
      </c>
      <c r="G154" s="614">
        <v>718.45672575599588</v>
      </c>
    </row>
    <row r="155" spans="1:7" hidden="1">
      <c r="A155" s="37">
        <v>9</v>
      </c>
      <c r="B155" s="614">
        <v>203.3</v>
      </c>
      <c r="C155" s="1506">
        <v>100.5</v>
      </c>
      <c r="D155" s="614">
        <v>494.34333497294637</v>
      </c>
      <c r="E155" s="614">
        <v>98.262</v>
      </c>
      <c r="F155" s="1506">
        <v>65.55</v>
      </c>
      <c r="G155" s="614">
        <v>667.09409537766373</v>
      </c>
    </row>
    <row r="156" spans="1:7" hidden="1">
      <c r="A156" s="37">
        <v>10</v>
      </c>
      <c r="B156" s="614">
        <v>206.2</v>
      </c>
      <c r="C156" s="1506">
        <v>112.3</v>
      </c>
      <c r="D156" s="614">
        <v>544.6168768186227</v>
      </c>
      <c r="E156" s="614">
        <v>109.93</v>
      </c>
      <c r="F156" s="1506">
        <v>66.77</v>
      </c>
      <c r="G156" s="614">
        <v>607.38651869371404</v>
      </c>
    </row>
    <row r="157" spans="1:7" hidden="1">
      <c r="A157" s="37">
        <v>11</v>
      </c>
      <c r="B157" s="614">
        <v>181.1</v>
      </c>
      <c r="C157" s="1506">
        <v>92.2</v>
      </c>
      <c r="D157" s="614">
        <v>509.23161967938091</v>
      </c>
      <c r="E157" s="614">
        <v>104.6</v>
      </c>
      <c r="F157" s="1506">
        <v>61.8</v>
      </c>
      <c r="G157" s="614">
        <v>590.82217973231354</v>
      </c>
    </row>
    <row r="158" spans="1:7" hidden="1">
      <c r="A158" s="37">
        <v>12</v>
      </c>
      <c r="B158" s="614">
        <v>215.77</v>
      </c>
      <c r="C158" s="1506">
        <v>130.43</v>
      </c>
      <c r="D158" s="614">
        <v>604.64037122969842</v>
      </c>
      <c r="E158" s="614">
        <v>116.9</v>
      </c>
      <c r="F158" s="1506">
        <v>76.5</v>
      </c>
      <c r="G158" s="614">
        <v>654.40547476475615</v>
      </c>
    </row>
    <row r="159" spans="1:7">
      <c r="A159" s="37" t="s">
        <v>1839</v>
      </c>
      <c r="B159" s="257">
        <f>SUM(B160:B171)</f>
        <v>5681.6500000000015</v>
      </c>
      <c r="C159" s="257">
        <f>SUM(C160:C171)</f>
        <v>1869.0000000000002</v>
      </c>
      <c r="D159" s="257">
        <f>+C159/B159*1000</f>
        <v>328.95373703061608</v>
      </c>
      <c r="E159" s="257">
        <f>SUM(E160:E171)</f>
        <v>3901.13</v>
      </c>
      <c r="F159" s="257">
        <f>SUM(F160:F171)</f>
        <v>882.84</v>
      </c>
      <c r="G159" s="257">
        <f>+F159/E159*1000</f>
        <v>226.30366073419754</v>
      </c>
    </row>
    <row r="160" spans="1:7">
      <c r="A160" s="37">
        <v>1</v>
      </c>
      <c r="B160" s="614">
        <v>360.86</v>
      </c>
      <c r="C160" s="1506">
        <v>99.69</v>
      </c>
      <c r="D160" s="614">
        <v>276.25672005764</v>
      </c>
      <c r="E160" s="614">
        <v>259.13</v>
      </c>
      <c r="F160" s="1506">
        <v>54.89</v>
      </c>
      <c r="G160" s="614">
        <v>211.82418091305499</v>
      </c>
    </row>
    <row r="161" spans="1:9">
      <c r="A161" s="37">
        <v>2</v>
      </c>
      <c r="B161" s="614">
        <v>407.78</v>
      </c>
      <c r="C161" s="1506">
        <v>111.59</v>
      </c>
      <c r="D161" s="614">
        <v>273.65245965961998</v>
      </c>
      <c r="E161" s="614">
        <v>292.91000000000003</v>
      </c>
      <c r="F161" s="1506">
        <v>65.69</v>
      </c>
      <c r="G161" s="614">
        <v>224.26683964357699</v>
      </c>
    </row>
    <row r="162" spans="1:9">
      <c r="A162" s="37" t="s">
        <v>289</v>
      </c>
      <c r="B162" s="614">
        <v>419.04</v>
      </c>
      <c r="C162" s="1506">
        <v>123.33</v>
      </c>
      <c r="D162" s="614">
        <v>294.31557846506303</v>
      </c>
      <c r="E162" s="614">
        <v>280.64</v>
      </c>
      <c r="F162" s="1506">
        <v>64.87</v>
      </c>
      <c r="G162" s="614">
        <v>231.15022805017099</v>
      </c>
    </row>
    <row r="163" spans="1:9">
      <c r="A163" s="37" t="s">
        <v>1010</v>
      </c>
      <c r="B163" s="614">
        <v>460.21</v>
      </c>
      <c r="C163" s="1506">
        <v>135.37</v>
      </c>
      <c r="D163" s="614">
        <v>294.14832359140399</v>
      </c>
      <c r="E163" s="614">
        <v>318.32</v>
      </c>
      <c r="F163" s="1506">
        <v>73.069999999999993</v>
      </c>
      <c r="G163" s="614">
        <v>229.54888162854999</v>
      </c>
    </row>
    <row r="164" spans="1:9">
      <c r="A164" s="37" t="s">
        <v>288</v>
      </c>
      <c r="B164" s="614">
        <v>481.06</v>
      </c>
      <c r="C164" s="1506">
        <v>150.57</v>
      </c>
      <c r="D164" s="614">
        <v>312.99629983785798</v>
      </c>
      <c r="E164" s="614">
        <v>328.46</v>
      </c>
      <c r="F164" s="1506">
        <v>76.36</v>
      </c>
      <c r="G164" s="614">
        <v>232.47884065030701</v>
      </c>
    </row>
    <row r="165" spans="1:9">
      <c r="A165" s="37" t="s">
        <v>1011</v>
      </c>
      <c r="B165" s="614">
        <v>494.32</v>
      </c>
      <c r="C165" s="1506">
        <v>194.14</v>
      </c>
      <c r="D165" s="614">
        <v>392.74154393914898</v>
      </c>
      <c r="E165" s="614">
        <v>330.85</v>
      </c>
      <c r="F165" s="1506">
        <v>82.39</v>
      </c>
      <c r="G165" s="614">
        <v>249.025238023273</v>
      </c>
    </row>
    <row r="166" spans="1:9">
      <c r="A166" s="37" t="s">
        <v>286</v>
      </c>
      <c r="B166" s="614">
        <v>457.44</v>
      </c>
      <c r="C166" s="1506">
        <v>158.6</v>
      </c>
      <c r="D166" s="614">
        <v>346.71213711087802</v>
      </c>
      <c r="E166" s="614">
        <v>299.81</v>
      </c>
      <c r="F166" s="1506">
        <v>68.2</v>
      </c>
      <c r="G166" s="614">
        <v>227.47740235482499</v>
      </c>
    </row>
    <row r="167" spans="1:9">
      <c r="A167" s="37" t="s">
        <v>287</v>
      </c>
      <c r="B167" s="614">
        <v>513.63</v>
      </c>
      <c r="C167" s="1506">
        <v>193.04</v>
      </c>
      <c r="D167" s="614">
        <v>375.83474485524602</v>
      </c>
      <c r="E167" s="614">
        <v>332.29</v>
      </c>
      <c r="F167" s="1506">
        <v>90.48</v>
      </c>
      <c r="G167" s="614">
        <v>272.292274820187</v>
      </c>
    </row>
    <row r="168" spans="1:9" s="352" customFormat="1">
      <c r="A168" s="37">
        <v>9</v>
      </c>
      <c r="B168" s="614">
        <v>495.55</v>
      </c>
      <c r="C168" s="1506">
        <v>167.66</v>
      </c>
      <c r="D168" s="614">
        <v>338.33114721017103</v>
      </c>
      <c r="E168" s="614">
        <v>318.51</v>
      </c>
      <c r="F168" s="1506">
        <v>68.61</v>
      </c>
      <c r="G168" s="614">
        <v>215.409249317133</v>
      </c>
    </row>
    <row r="169" spans="1:9" s="352" customFormat="1">
      <c r="A169" s="37">
        <v>10</v>
      </c>
      <c r="B169" s="614">
        <v>513.52</v>
      </c>
      <c r="C169" s="1506">
        <v>176.15</v>
      </c>
      <c r="D169" s="614">
        <v>343.02461442592301</v>
      </c>
      <c r="E169" s="614">
        <v>358.94</v>
      </c>
      <c r="F169" s="1506">
        <v>76.459999999999994</v>
      </c>
      <c r="G169" s="614">
        <v>213.01610296985601</v>
      </c>
      <c r="I169" s="353"/>
    </row>
    <row r="170" spans="1:9" s="352" customFormat="1">
      <c r="A170" s="37">
        <v>11</v>
      </c>
      <c r="B170" s="614">
        <v>508.97</v>
      </c>
      <c r="C170" s="1506">
        <v>168.15</v>
      </c>
      <c r="D170" s="614">
        <v>330.37310646992898</v>
      </c>
      <c r="E170" s="614">
        <v>372.63</v>
      </c>
      <c r="F170" s="1506">
        <v>75.599999999999994</v>
      </c>
      <c r="G170" s="614">
        <v>202.882215602608</v>
      </c>
      <c r="I170" s="353"/>
    </row>
    <row r="171" spans="1:9" s="352" customFormat="1">
      <c r="A171" s="37" t="s">
        <v>29</v>
      </c>
      <c r="B171" s="614">
        <v>569.27</v>
      </c>
      <c r="C171" s="1506">
        <v>190.71</v>
      </c>
      <c r="D171" s="614">
        <v>335.00799269239599</v>
      </c>
      <c r="E171" s="614">
        <v>408.64</v>
      </c>
      <c r="F171" s="1506">
        <v>86.22</v>
      </c>
      <c r="G171" s="614">
        <v>210.99256068911501</v>
      </c>
      <c r="I171" s="353"/>
    </row>
    <row r="172" spans="1:9" s="352" customFormat="1">
      <c r="A172" s="37" t="s">
        <v>1902</v>
      </c>
      <c r="B172" s="257">
        <f>SUM(B173:B184)</f>
        <v>6453.6600000000008</v>
      </c>
      <c r="C172" s="257">
        <f>SUM(C173:C184)</f>
        <v>2321.3999999999996</v>
      </c>
      <c r="D172" s="257">
        <f t="shared" ref="D172:D203" si="3">+C172/B172*1000</f>
        <v>359.70286628052912</v>
      </c>
      <c r="E172" s="257">
        <f>SUM(E173:E184)</f>
        <v>4308.5300000000007</v>
      </c>
      <c r="F172" s="257">
        <f>SUM(F173:F184)</f>
        <v>931.51</v>
      </c>
      <c r="G172" s="257">
        <f t="shared" ref="G172:G203" si="4">+F172/E172*1000</f>
        <v>216.20134941615814</v>
      </c>
      <c r="I172" s="353"/>
    </row>
    <row r="173" spans="1:9" s="352" customFormat="1">
      <c r="A173" s="37" t="s">
        <v>18</v>
      </c>
      <c r="B173" s="614">
        <v>428.2</v>
      </c>
      <c r="C173" s="1506">
        <v>152.37</v>
      </c>
      <c r="D173" s="457">
        <f t="shared" si="3"/>
        <v>355.83839327417098</v>
      </c>
      <c r="E173" s="614">
        <v>298.52</v>
      </c>
      <c r="F173" s="1506">
        <v>61.46</v>
      </c>
      <c r="G173" s="457">
        <f t="shared" si="4"/>
        <v>205.88235294117649</v>
      </c>
      <c r="I173" s="353"/>
    </row>
    <row r="174" spans="1:9" s="352" customFormat="1">
      <c r="A174" s="37" t="s">
        <v>19</v>
      </c>
      <c r="B174" s="614">
        <v>444.72</v>
      </c>
      <c r="C174" s="1506">
        <v>146.16999999999999</v>
      </c>
      <c r="D174" s="457">
        <f t="shared" si="3"/>
        <v>328.67871919409964</v>
      </c>
      <c r="E174" s="614">
        <v>317.20999999999998</v>
      </c>
      <c r="F174" s="1506">
        <v>75.48</v>
      </c>
      <c r="G174" s="457">
        <f t="shared" si="4"/>
        <v>237.94962327795469</v>
      </c>
      <c r="I174" s="353"/>
    </row>
    <row r="175" spans="1:9" s="352" customFormat="1">
      <c r="A175" s="37" t="s">
        <v>20</v>
      </c>
      <c r="B175" s="614">
        <v>499.38</v>
      </c>
      <c r="C175" s="1506">
        <v>163.16</v>
      </c>
      <c r="D175" s="457">
        <f t="shared" si="3"/>
        <v>326.72513917257402</v>
      </c>
      <c r="E175" s="614">
        <v>331.23</v>
      </c>
      <c r="F175" s="1506">
        <v>69.08</v>
      </c>
      <c r="G175" s="457">
        <f t="shared" si="4"/>
        <v>208.55598828608518</v>
      </c>
      <c r="I175" s="353"/>
    </row>
    <row r="176" spans="1:9" s="352" customFormat="1">
      <c r="A176" s="37" t="s">
        <v>21</v>
      </c>
      <c r="B176" s="614">
        <v>522.55999999999995</v>
      </c>
      <c r="C176" s="1506">
        <v>177.17</v>
      </c>
      <c r="D176" s="457">
        <f t="shared" si="3"/>
        <v>339.04240661359466</v>
      </c>
      <c r="E176" s="614">
        <v>339.18</v>
      </c>
      <c r="F176" s="1506">
        <v>75.42</v>
      </c>
      <c r="G176" s="457">
        <f t="shared" si="4"/>
        <v>222.35980895099948</v>
      </c>
      <c r="I176" s="353"/>
    </row>
    <row r="177" spans="1:10" s="352" customFormat="1">
      <c r="A177" s="37" t="s">
        <v>22</v>
      </c>
      <c r="B177" s="614">
        <v>548.83000000000004</v>
      </c>
      <c r="C177" s="1506">
        <v>202.45</v>
      </c>
      <c r="D177" s="457">
        <f t="shared" si="3"/>
        <v>368.8756081118014</v>
      </c>
      <c r="E177" s="614">
        <v>370.2</v>
      </c>
      <c r="F177" s="1506">
        <v>79.38</v>
      </c>
      <c r="G177" s="457">
        <f t="shared" si="4"/>
        <v>214.42463533225285</v>
      </c>
      <c r="I177" s="353"/>
    </row>
    <row r="178" spans="1:10" s="352" customFormat="1">
      <c r="A178" s="37" t="s">
        <v>23</v>
      </c>
      <c r="B178" s="614">
        <v>520.5</v>
      </c>
      <c r="C178" s="1506">
        <v>206.61</v>
      </c>
      <c r="D178" s="457">
        <f t="shared" si="3"/>
        <v>396.94524495677234</v>
      </c>
      <c r="E178" s="614">
        <v>338.63</v>
      </c>
      <c r="F178" s="1506">
        <v>73.78</v>
      </c>
      <c r="G178" s="457">
        <f t="shared" si="4"/>
        <v>217.87791985352746</v>
      </c>
      <c r="I178" s="353"/>
      <c r="J178" s="354"/>
    </row>
    <row r="179" spans="1:10" s="352" customFormat="1">
      <c r="A179" s="37" t="s">
        <v>24</v>
      </c>
      <c r="B179" s="614">
        <v>551.04999999999995</v>
      </c>
      <c r="C179" s="1506">
        <v>194.72</v>
      </c>
      <c r="D179" s="457">
        <f t="shared" si="3"/>
        <v>353.3617639052718</v>
      </c>
      <c r="E179" s="614">
        <v>362.81</v>
      </c>
      <c r="F179" s="1506">
        <v>70.180000000000007</v>
      </c>
      <c r="G179" s="457">
        <f t="shared" si="4"/>
        <v>193.43458008323918</v>
      </c>
      <c r="I179" s="353"/>
    </row>
    <row r="180" spans="1:10" s="352" customFormat="1">
      <c r="A180" s="37" t="s">
        <v>25</v>
      </c>
      <c r="B180" s="614">
        <v>586.45000000000005</v>
      </c>
      <c r="C180" s="1506">
        <v>214.25</v>
      </c>
      <c r="D180" s="457">
        <f t="shared" si="3"/>
        <v>365.33378804672179</v>
      </c>
      <c r="E180" s="614">
        <v>362.59</v>
      </c>
      <c r="F180" s="1506">
        <v>82.75</v>
      </c>
      <c r="G180" s="457">
        <f t="shared" si="4"/>
        <v>228.21920075015859</v>
      </c>
      <c r="I180" s="353"/>
    </row>
    <row r="181" spans="1:10" s="352" customFormat="1">
      <c r="A181" s="37" t="s">
        <v>26</v>
      </c>
      <c r="B181" s="614">
        <v>561.64</v>
      </c>
      <c r="C181" s="1506">
        <v>205.61</v>
      </c>
      <c r="D181" s="457">
        <f t="shared" si="3"/>
        <v>366.0885976782281</v>
      </c>
      <c r="E181" s="614">
        <v>359.26</v>
      </c>
      <c r="F181" s="1506">
        <v>80.11</v>
      </c>
      <c r="G181" s="457">
        <f t="shared" si="4"/>
        <v>222.98613817291098</v>
      </c>
      <c r="I181" s="353"/>
    </row>
    <row r="182" spans="1:10" s="352" customFormat="1">
      <c r="A182" s="37" t="s">
        <v>27</v>
      </c>
      <c r="B182" s="614">
        <v>600.76</v>
      </c>
      <c r="C182" s="1506">
        <v>222.06</v>
      </c>
      <c r="D182" s="457">
        <f t="shared" si="3"/>
        <v>369.63179972035419</v>
      </c>
      <c r="E182" s="614">
        <v>402.59</v>
      </c>
      <c r="F182" s="1506">
        <v>90.89</v>
      </c>
      <c r="G182" s="457">
        <f t="shared" si="4"/>
        <v>225.76318338756553</v>
      </c>
      <c r="I182" s="353"/>
    </row>
    <row r="183" spans="1:10" s="352" customFormat="1">
      <c r="A183" s="37" t="s">
        <v>28</v>
      </c>
      <c r="B183" s="614">
        <v>561.14</v>
      </c>
      <c r="C183" s="1506">
        <v>224.16</v>
      </c>
      <c r="D183" s="457">
        <f t="shared" si="3"/>
        <v>399.47250240581673</v>
      </c>
      <c r="E183" s="614">
        <v>387.15</v>
      </c>
      <c r="F183" s="1506">
        <v>83.04</v>
      </c>
      <c r="G183" s="457">
        <f t="shared" si="4"/>
        <v>214.49050755521117</v>
      </c>
      <c r="I183" s="353"/>
    </row>
    <row r="184" spans="1:10" s="352" customFormat="1">
      <c r="A184" s="37" t="s">
        <v>29</v>
      </c>
      <c r="B184" s="614">
        <v>628.42999999999995</v>
      </c>
      <c r="C184" s="1506">
        <v>212.67</v>
      </c>
      <c r="D184" s="457">
        <f t="shared" si="3"/>
        <v>338.41477968906639</v>
      </c>
      <c r="E184" s="614">
        <v>439.16</v>
      </c>
      <c r="F184" s="1506">
        <v>89.94</v>
      </c>
      <c r="G184" s="457">
        <f t="shared" si="4"/>
        <v>204.80007286638124</v>
      </c>
      <c r="I184" s="353"/>
    </row>
    <row r="185" spans="1:10" s="352" customFormat="1">
      <c r="A185" s="37" t="s">
        <v>2038</v>
      </c>
      <c r="B185" s="257">
        <f>SUM(B186:B197)</f>
        <v>6500.88</v>
      </c>
      <c r="C185" s="257">
        <f>SUM(C186:C197)</f>
        <v>2495.7000000000003</v>
      </c>
      <c r="D185" s="257">
        <f t="shared" si="3"/>
        <v>383.90187174659434</v>
      </c>
      <c r="E185" s="257">
        <f>SUM(E186:E197)</f>
        <v>4107.7300000000005</v>
      </c>
      <c r="F185" s="257">
        <f>SUM(F186:F197)</f>
        <v>1006.5</v>
      </c>
      <c r="G185" s="257">
        <f t="shared" si="4"/>
        <v>245.02584152317701</v>
      </c>
      <c r="I185" s="353"/>
    </row>
    <row r="186" spans="1:10" s="352" customFormat="1">
      <c r="A186" s="37" t="s">
        <v>18</v>
      </c>
      <c r="B186" s="614">
        <v>498.78</v>
      </c>
      <c r="C186" s="614">
        <v>173.88</v>
      </c>
      <c r="D186" s="457">
        <f t="shared" si="3"/>
        <v>348.61060988812704</v>
      </c>
      <c r="E186" s="614">
        <v>335.16</v>
      </c>
      <c r="F186" s="614">
        <v>69.900000000000006</v>
      </c>
      <c r="G186" s="457">
        <f t="shared" si="4"/>
        <v>208.55710705334766</v>
      </c>
      <c r="I186" s="353"/>
    </row>
    <row r="187" spans="1:10" s="352" customFormat="1">
      <c r="A187" s="37" t="s">
        <v>19</v>
      </c>
      <c r="B187" s="614">
        <v>496.04</v>
      </c>
      <c r="C187" s="1506">
        <v>170.68</v>
      </c>
      <c r="D187" s="457">
        <f t="shared" si="3"/>
        <v>344.08515442303042</v>
      </c>
      <c r="E187" s="614">
        <v>342.47</v>
      </c>
      <c r="F187" s="1506">
        <v>74.2</v>
      </c>
      <c r="G187" s="457">
        <f t="shared" si="4"/>
        <v>216.66131339971383</v>
      </c>
      <c r="I187" s="353"/>
    </row>
    <row r="188" spans="1:10" s="352" customFormat="1">
      <c r="A188" s="37" t="s">
        <v>20</v>
      </c>
      <c r="B188" s="614">
        <v>528.1</v>
      </c>
      <c r="C188" s="1506">
        <v>177.57</v>
      </c>
      <c r="D188" s="457">
        <f t="shared" si="3"/>
        <v>336.24313576974055</v>
      </c>
      <c r="E188" s="614">
        <v>345.22</v>
      </c>
      <c r="F188" s="1506">
        <v>74.11</v>
      </c>
      <c r="G188" s="457">
        <f t="shared" si="4"/>
        <v>214.67470019118244</v>
      </c>
      <c r="I188" s="353"/>
    </row>
    <row r="189" spans="1:10" s="352" customFormat="1">
      <c r="A189" s="37" t="s">
        <v>21</v>
      </c>
      <c r="B189" s="614">
        <v>521.29</v>
      </c>
      <c r="C189" s="1506">
        <v>189.61</v>
      </c>
      <c r="D189" s="457">
        <f t="shared" si="3"/>
        <v>363.73227953730174</v>
      </c>
      <c r="E189" s="614">
        <v>341.21</v>
      </c>
      <c r="F189" s="1506">
        <v>84.39</v>
      </c>
      <c r="G189" s="457">
        <f t="shared" si="4"/>
        <v>247.32569385422468</v>
      </c>
      <c r="I189" s="353"/>
    </row>
    <row r="190" spans="1:10" s="352" customFormat="1">
      <c r="A190" s="37" t="s">
        <v>22</v>
      </c>
      <c r="B190" s="614">
        <v>580.13</v>
      </c>
      <c r="C190" s="1506">
        <v>233.08</v>
      </c>
      <c r="D190" s="457">
        <f t="shared" si="3"/>
        <v>401.77201661696523</v>
      </c>
      <c r="E190" s="614">
        <v>363.26</v>
      </c>
      <c r="F190" s="1506">
        <v>88.9</v>
      </c>
      <c r="G190" s="457">
        <f t="shared" si="4"/>
        <v>244.72829378406652</v>
      </c>
      <c r="I190" s="353"/>
    </row>
    <row r="191" spans="1:10" s="352" customFormat="1">
      <c r="A191" s="37" t="s">
        <v>23</v>
      </c>
      <c r="B191" s="614">
        <v>529.84</v>
      </c>
      <c r="C191" s="1506">
        <v>224.94</v>
      </c>
      <c r="D191" s="457">
        <f t="shared" si="3"/>
        <v>424.54325834214103</v>
      </c>
      <c r="E191" s="614">
        <v>311.05</v>
      </c>
      <c r="F191" s="1506">
        <v>76.540000000000006</v>
      </c>
      <c r="G191" s="457">
        <f t="shared" si="4"/>
        <v>246.06976370358464</v>
      </c>
      <c r="I191" s="353"/>
    </row>
    <row r="192" spans="1:10" s="352" customFormat="1">
      <c r="A192" s="37" t="s">
        <v>24</v>
      </c>
      <c r="B192" s="614">
        <v>552.80999999999995</v>
      </c>
      <c r="C192" s="1506">
        <v>229.44</v>
      </c>
      <c r="D192" s="457">
        <f t="shared" si="3"/>
        <v>415.04314321376245</v>
      </c>
      <c r="E192" s="614">
        <v>322.27999999999997</v>
      </c>
      <c r="F192" s="1506">
        <v>81.84</v>
      </c>
      <c r="G192" s="457">
        <f t="shared" si="4"/>
        <v>253.94067270696291</v>
      </c>
      <c r="I192" s="353"/>
    </row>
    <row r="193" spans="1:9" s="352" customFormat="1">
      <c r="A193" s="37" t="s">
        <v>25</v>
      </c>
      <c r="B193" s="614">
        <v>543.9</v>
      </c>
      <c r="C193" s="1506">
        <v>215.83</v>
      </c>
      <c r="D193" s="457">
        <f t="shared" si="3"/>
        <v>396.81926824783972</v>
      </c>
      <c r="E193" s="614">
        <v>309.05</v>
      </c>
      <c r="F193" s="1506">
        <v>87.26</v>
      </c>
      <c r="G193" s="457">
        <f t="shared" si="4"/>
        <v>282.34913444426468</v>
      </c>
      <c r="I193" s="353"/>
    </row>
    <row r="194" spans="1:9" s="352" customFormat="1">
      <c r="A194" s="37" t="s">
        <v>26</v>
      </c>
      <c r="B194" s="614">
        <v>528.25</v>
      </c>
      <c r="C194" s="1506">
        <v>189.25</v>
      </c>
      <c r="D194" s="457">
        <f t="shared" si="3"/>
        <v>358.2584003786086</v>
      </c>
      <c r="E194" s="614">
        <v>330.43</v>
      </c>
      <c r="F194" s="1506">
        <v>86.11</v>
      </c>
      <c r="G194" s="457">
        <f t="shared" si="4"/>
        <v>260.59982447114368</v>
      </c>
      <c r="I194" s="353"/>
    </row>
    <row r="195" spans="1:9" s="352" customFormat="1">
      <c r="A195" s="37" t="s">
        <v>27</v>
      </c>
      <c r="B195" s="614">
        <v>586.62</v>
      </c>
      <c r="C195" s="1506">
        <v>228.14</v>
      </c>
      <c r="D195" s="457">
        <f t="shared" si="3"/>
        <v>388.90593569943059</v>
      </c>
      <c r="E195" s="614">
        <v>376.63</v>
      </c>
      <c r="F195" s="1506">
        <v>99.26</v>
      </c>
      <c r="G195" s="457">
        <f t="shared" si="4"/>
        <v>263.54777898733505</v>
      </c>
      <c r="I195" s="353"/>
    </row>
    <row r="196" spans="1:9" s="352" customFormat="1">
      <c r="A196" s="37" t="s">
        <v>28</v>
      </c>
      <c r="B196" s="614">
        <v>546.16999999999996</v>
      </c>
      <c r="C196" s="1506">
        <v>205.65</v>
      </c>
      <c r="D196" s="457">
        <f t="shared" si="3"/>
        <v>376.53111668528118</v>
      </c>
      <c r="E196" s="614">
        <v>346.6</v>
      </c>
      <c r="F196" s="1506">
        <v>90.51</v>
      </c>
      <c r="G196" s="457">
        <f t="shared" si="4"/>
        <v>261.13675706866707</v>
      </c>
      <c r="I196" s="353"/>
    </row>
    <row r="197" spans="1:9" s="352" customFormat="1">
      <c r="A197" s="37" t="s">
        <v>29</v>
      </c>
      <c r="B197" s="614">
        <v>588.95000000000005</v>
      </c>
      <c r="C197" s="1506">
        <v>257.63</v>
      </c>
      <c r="D197" s="457">
        <f t="shared" si="3"/>
        <v>437.4395109941421</v>
      </c>
      <c r="E197" s="614">
        <v>384.37</v>
      </c>
      <c r="F197" s="1506">
        <v>93.48</v>
      </c>
      <c r="G197" s="457">
        <f t="shared" si="4"/>
        <v>243.20316361838854</v>
      </c>
      <c r="I197" s="353"/>
    </row>
    <row r="198" spans="1:9" s="352" customFormat="1">
      <c r="A198" s="37" t="s">
        <v>2131</v>
      </c>
      <c r="B198" s="1437">
        <f>SUM(B199:B210)</f>
        <v>7278.68</v>
      </c>
      <c r="C198" s="1437">
        <f>SUM(C199:C210)</f>
        <v>2698.35</v>
      </c>
      <c r="D198" s="257">
        <f t="shared" si="3"/>
        <v>370.71969093297133</v>
      </c>
      <c r="E198" s="1437">
        <f>SUM(E199:E210)</f>
        <v>4755.3300000000008</v>
      </c>
      <c r="F198" s="1437">
        <f>SUM(F199:F210)</f>
        <v>1327.39</v>
      </c>
      <c r="G198" s="257">
        <f t="shared" si="4"/>
        <v>279.13730487684342</v>
      </c>
      <c r="I198" s="353"/>
    </row>
    <row r="199" spans="1:9" s="352" customFormat="1">
      <c r="A199" s="311" t="s">
        <v>18</v>
      </c>
      <c r="B199" s="457">
        <v>545.72</v>
      </c>
      <c r="C199" s="457">
        <v>202.41</v>
      </c>
      <c r="D199" s="457">
        <f t="shared" si="3"/>
        <v>370.90449314666864</v>
      </c>
      <c r="E199" s="457">
        <v>355.07</v>
      </c>
      <c r="F199" s="457">
        <v>100.33</v>
      </c>
      <c r="G199" s="457">
        <f t="shared" si="4"/>
        <v>282.56400146449994</v>
      </c>
      <c r="I199" s="353"/>
    </row>
    <row r="200" spans="1:9" s="352" customFormat="1">
      <c r="A200" s="311" t="s">
        <v>19</v>
      </c>
      <c r="B200" s="457">
        <v>539.85</v>
      </c>
      <c r="C200" s="457">
        <v>185.26</v>
      </c>
      <c r="D200" s="457">
        <f t="shared" si="3"/>
        <v>343.16939890710381</v>
      </c>
      <c r="E200" s="457">
        <v>369.42</v>
      </c>
      <c r="F200" s="457">
        <v>94.83</v>
      </c>
      <c r="G200" s="457">
        <f t="shared" si="4"/>
        <v>256.69969140815329</v>
      </c>
      <c r="I200" s="353"/>
    </row>
    <row r="201" spans="1:9" s="352" customFormat="1">
      <c r="A201" s="311" t="s">
        <v>20</v>
      </c>
      <c r="B201" s="457">
        <v>566.27</v>
      </c>
      <c r="C201" s="457">
        <v>189.53</v>
      </c>
      <c r="D201" s="457">
        <f t="shared" si="3"/>
        <v>334.69899517897824</v>
      </c>
      <c r="E201" s="457">
        <v>362.29</v>
      </c>
      <c r="F201" s="457">
        <v>92.07</v>
      </c>
      <c r="G201" s="457">
        <f t="shared" si="4"/>
        <v>254.13342902095005</v>
      </c>
      <c r="I201" s="353"/>
    </row>
    <row r="202" spans="1:9" s="352" customFormat="1">
      <c r="A202" s="311" t="s">
        <v>21</v>
      </c>
      <c r="B202" s="457">
        <v>598.04</v>
      </c>
      <c r="C202" s="457">
        <v>212.71</v>
      </c>
      <c r="D202" s="457">
        <f t="shared" si="3"/>
        <v>355.67854992977061</v>
      </c>
      <c r="E202" s="457">
        <v>377.23</v>
      </c>
      <c r="F202" s="457">
        <v>103.24</v>
      </c>
      <c r="G202" s="457">
        <f t="shared" si="4"/>
        <v>273.67918776343339</v>
      </c>
      <c r="I202" s="353"/>
    </row>
    <row r="203" spans="1:9" s="352" customFormat="1">
      <c r="A203" s="311" t="s">
        <v>22</v>
      </c>
      <c r="B203" s="457">
        <v>735.77</v>
      </c>
      <c r="C203" s="457">
        <v>246.8</v>
      </c>
      <c r="D203" s="457">
        <f t="shared" si="3"/>
        <v>335.43090911562041</v>
      </c>
      <c r="E203" s="457">
        <v>537.28</v>
      </c>
      <c r="F203" s="457">
        <v>124.43</v>
      </c>
      <c r="G203" s="457">
        <f t="shared" si="4"/>
        <v>231.59246575342468</v>
      </c>
      <c r="I203" s="353"/>
    </row>
    <row r="204" spans="1:9" s="352" customFormat="1">
      <c r="A204" s="311" t="s">
        <v>23</v>
      </c>
      <c r="B204" s="457">
        <v>613.37</v>
      </c>
      <c r="C204" s="457">
        <v>220.76</v>
      </c>
      <c r="D204" s="457">
        <f t="shared" ref="D204:D235" si="5">+C204/B204*1000</f>
        <v>359.91326605474671</v>
      </c>
      <c r="E204" s="457">
        <v>394.96</v>
      </c>
      <c r="F204" s="457">
        <v>95.11</v>
      </c>
      <c r="G204" s="457">
        <f t="shared" ref="G204:G235" si="6">+F204/E204*1000</f>
        <v>240.80919586793601</v>
      </c>
      <c r="I204" s="353"/>
    </row>
    <row r="205" spans="1:9" s="352" customFormat="1">
      <c r="A205" s="311" t="s">
        <v>24</v>
      </c>
      <c r="B205" s="457">
        <v>682.6</v>
      </c>
      <c r="C205" s="457">
        <v>257.11</v>
      </c>
      <c r="D205" s="457">
        <f t="shared" si="5"/>
        <v>376.66276003515969</v>
      </c>
      <c r="E205" s="457">
        <v>449.52</v>
      </c>
      <c r="F205" s="457">
        <v>118.71</v>
      </c>
      <c r="G205" s="457">
        <f t="shared" si="6"/>
        <v>264.08168713294179</v>
      </c>
      <c r="I205" s="353"/>
    </row>
    <row r="206" spans="1:9">
      <c r="A206" s="37" t="s">
        <v>25</v>
      </c>
      <c r="B206" s="614">
        <v>606.6</v>
      </c>
      <c r="C206" s="1506">
        <v>237.66</v>
      </c>
      <c r="D206" s="457">
        <f t="shared" si="5"/>
        <v>391.79030662710187</v>
      </c>
      <c r="E206" s="614">
        <v>354.15</v>
      </c>
      <c r="F206" s="1506">
        <v>111.67</v>
      </c>
      <c r="G206" s="457">
        <f t="shared" si="6"/>
        <v>315.31836792319638</v>
      </c>
      <c r="H206" s="352"/>
    </row>
    <row r="207" spans="1:9">
      <c r="A207" s="37" t="s">
        <v>26</v>
      </c>
      <c r="B207" s="614">
        <v>603.34</v>
      </c>
      <c r="C207" s="1506">
        <v>237.01</v>
      </c>
      <c r="D207" s="457">
        <f t="shared" si="5"/>
        <v>392.82991348161892</v>
      </c>
      <c r="E207" s="614">
        <v>383.09</v>
      </c>
      <c r="F207" s="1506">
        <v>119.84</v>
      </c>
      <c r="G207" s="457">
        <f t="shared" si="6"/>
        <v>312.82466261191888</v>
      </c>
      <c r="H207" s="352"/>
    </row>
    <row r="208" spans="1:9">
      <c r="A208" s="37" t="s">
        <v>27</v>
      </c>
      <c r="B208" s="614">
        <v>607.58000000000004</v>
      </c>
      <c r="C208" s="1506">
        <v>244.54</v>
      </c>
      <c r="D208" s="457">
        <f t="shared" si="5"/>
        <v>402.48197768195132</v>
      </c>
      <c r="E208" s="614">
        <v>393.15</v>
      </c>
      <c r="F208" s="1506">
        <v>125.12</v>
      </c>
      <c r="G208" s="457">
        <f t="shared" si="6"/>
        <v>318.25003179448055</v>
      </c>
      <c r="H208" s="352"/>
    </row>
    <row r="209" spans="1:8">
      <c r="A209" s="37" t="s">
        <v>28</v>
      </c>
      <c r="B209" s="614">
        <v>559.20000000000005</v>
      </c>
      <c r="C209" s="1506">
        <v>220.2</v>
      </c>
      <c r="D209" s="457">
        <f t="shared" si="5"/>
        <v>393.77682403433471</v>
      </c>
      <c r="E209" s="614">
        <v>364.04</v>
      </c>
      <c r="F209" s="1506">
        <v>114.94</v>
      </c>
      <c r="G209" s="457">
        <f t="shared" si="6"/>
        <v>315.73453466652012</v>
      </c>
      <c r="H209" s="352"/>
    </row>
    <row r="210" spans="1:8">
      <c r="A210" s="37" t="s">
        <v>29</v>
      </c>
      <c r="B210" s="614">
        <v>620.34</v>
      </c>
      <c r="C210" s="1506">
        <v>244.36</v>
      </c>
      <c r="D210" s="457">
        <f t="shared" si="5"/>
        <v>393.9130154431441</v>
      </c>
      <c r="E210" s="614">
        <v>415.13</v>
      </c>
      <c r="F210" s="1506">
        <v>127.1</v>
      </c>
      <c r="G210" s="457">
        <f t="shared" si="6"/>
        <v>306.16915183195624</v>
      </c>
      <c r="H210" s="352"/>
    </row>
    <row r="211" spans="1:8">
      <c r="A211" s="37" t="s">
        <v>2362</v>
      </c>
      <c r="B211" s="1437">
        <f>SUM(B212:B223)</f>
        <v>6564.4700000000012</v>
      </c>
      <c r="C211" s="1437">
        <f>SUM(C212:C223)</f>
        <v>2446.4199999999996</v>
      </c>
      <c r="D211" s="257">
        <f t="shared" si="5"/>
        <v>372.67593575718973</v>
      </c>
      <c r="E211" s="1437">
        <f>SUM(E212:E223)</f>
        <v>4566.619999999999</v>
      </c>
      <c r="F211" s="1437">
        <f>SUM(F212:F223)</f>
        <v>1396.98</v>
      </c>
      <c r="G211" s="1437">
        <f t="shared" si="6"/>
        <v>305.91115529647755</v>
      </c>
      <c r="H211" s="352"/>
    </row>
    <row r="212" spans="1:8">
      <c r="A212" s="37" t="s">
        <v>18</v>
      </c>
      <c r="B212" s="614">
        <v>492.9</v>
      </c>
      <c r="C212" s="1506">
        <v>196.58</v>
      </c>
      <c r="D212" s="457">
        <f t="shared" si="5"/>
        <v>398.8232907283425</v>
      </c>
      <c r="E212" s="614">
        <v>343.32</v>
      </c>
      <c r="F212" s="1506">
        <v>99.24</v>
      </c>
      <c r="G212" s="457">
        <f t="shared" si="6"/>
        <v>289.05976931142959</v>
      </c>
      <c r="H212" s="352"/>
    </row>
    <row r="213" spans="1:8">
      <c r="A213" s="37" t="s">
        <v>19</v>
      </c>
      <c r="B213" s="614">
        <v>505.09</v>
      </c>
      <c r="C213" s="1506">
        <v>200.66</v>
      </c>
      <c r="D213" s="457">
        <f t="shared" si="5"/>
        <v>397.2757330376765</v>
      </c>
      <c r="E213" s="614">
        <v>352.22</v>
      </c>
      <c r="F213" s="1506">
        <v>119.96</v>
      </c>
      <c r="G213" s="457">
        <f t="shared" si="6"/>
        <v>340.58259042643795</v>
      </c>
      <c r="H213" s="352"/>
    </row>
    <row r="214" spans="1:8">
      <c r="A214" s="37" t="s">
        <v>20</v>
      </c>
      <c r="B214" s="614">
        <v>479.03</v>
      </c>
      <c r="C214" s="1506">
        <v>158.37</v>
      </c>
      <c r="D214" s="457">
        <f t="shared" si="5"/>
        <v>330.60559881427054</v>
      </c>
      <c r="E214" s="614">
        <v>332.75</v>
      </c>
      <c r="F214" s="1506">
        <v>102.64</v>
      </c>
      <c r="G214" s="457">
        <f t="shared" si="6"/>
        <v>308.45980465815177</v>
      </c>
      <c r="H214" s="352"/>
    </row>
    <row r="215" spans="1:8">
      <c r="A215" s="37" t="s">
        <v>21</v>
      </c>
      <c r="B215" s="614">
        <v>822.65</v>
      </c>
      <c r="C215" s="1506">
        <v>203.86</v>
      </c>
      <c r="D215" s="457">
        <f t="shared" si="5"/>
        <v>247.80891022913755</v>
      </c>
      <c r="E215" s="614">
        <v>769.92</v>
      </c>
      <c r="F215" s="1506">
        <v>173.14</v>
      </c>
      <c r="G215" s="457">
        <f t="shared" si="6"/>
        <v>224.88050706566915</v>
      </c>
      <c r="H215" s="352"/>
    </row>
    <row r="216" spans="1:8">
      <c r="A216" s="37" t="s">
        <v>22</v>
      </c>
      <c r="B216" s="614">
        <v>598.46</v>
      </c>
      <c r="C216" s="1506">
        <v>186.82</v>
      </c>
      <c r="D216" s="457">
        <f t="shared" si="5"/>
        <v>312.16789760384984</v>
      </c>
      <c r="E216" s="614">
        <v>435.24</v>
      </c>
      <c r="F216" s="1506">
        <v>117.33</v>
      </c>
      <c r="G216" s="457">
        <f t="shared" si="6"/>
        <v>269.5754066721808</v>
      </c>
      <c r="H216" s="352"/>
    </row>
    <row r="217" spans="1:8">
      <c r="A217" s="37" t="s">
        <v>23</v>
      </c>
      <c r="B217" s="614">
        <v>534.09</v>
      </c>
      <c r="C217" s="1506">
        <v>230.3</v>
      </c>
      <c r="D217" s="457">
        <f t="shared" si="5"/>
        <v>431.20073395869605</v>
      </c>
      <c r="E217" s="614">
        <v>343.75</v>
      </c>
      <c r="F217" s="1506">
        <v>113.45</v>
      </c>
      <c r="G217" s="457">
        <f t="shared" si="6"/>
        <v>330.0363636363636</v>
      </c>
      <c r="H217" s="352"/>
    </row>
    <row r="218" spans="1:8">
      <c r="A218" s="37" t="s">
        <v>24</v>
      </c>
      <c r="B218" s="614">
        <v>558</v>
      </c>
      <c r="C218" s="1506">
        <v>228.61</v>
      </c>
      <c r="D218" s="457">
        <f t="shared" si="5"/>
        <v>409.69534050179215</v>
      </c>
      <c r="E218" s="614">
        <v>349.69</v>
      </c>
      <c r="F218" s="1506">
        <v>112.98</v>
      </c>
      <c r="G218" s="457">
        <f t="shared" si="6"/>
        <v>323.08616202922593</v>
      </c>
      <c r="H218" s="352"/>
    </row>
    <row r="219" spans="1:8">
      <c r="A219" s="37" t="s">
        <v>25</v>
      </c>
      <c r="B219" s="614">
        <v>530.91999999999996</v>
      </c>
      <c r="C219" s="1506">
        <v>213.27</v>
      </c>
      <c r="D219" s="457">
        <f t="shared" si="5"/>
        <v>401.69893769306117</v>
      </c>
      <c r="E219" s="614">
        <v>329.83</v>
      </c>
      <c r="F219" s="1506">
        <v>115.52</v>
      </c>
      <c r="G219" s="457">
        <f t="shared" si="6"/>
        <v>350.24103325955798</v>
      </c>
      <c r="H219" s="352"/>
    </row>
    <row r="220" spans="1:8">
      <c r="A220" s="37" t="s">
        <v>26</v>
      </c>
      <c r="B220" s="614">
        <v>529.20000000000005</v>
      </c>
      <c r="C220" s="1506">
        <v>215.79</v>
      </c>
      <c r="D220" s="457">
        <f t="shared" si="5"/>
        <v>407.76643990929699</v>
      </c>
      <c r="E220" s="614">
        <v>332.85</v>
      </c>
      <c r="F220" s="1506">
        <v>117.9</v>
      </c>
      <c r="G220" s="457">
        <f t="shared" si="6"/>
        <v>354.21360973411447</v>
      </c>
      <c r="H220" s="352"/>
    </row>
    <row r="221" spans="1:8">
      <c r="A221" s="37" t="s">
        <v>27</v>
      </c>
      <c r="B221" s="614">
        <v>501.85</v>
      </c>
      <c r="C221" s="1506">
        <v>197.22</v>
      </c>
      <c r="D221" s="457">
        <f t="shared" si="5"/>
        <v>392.98595197768253</v>
      </c>
      <c r="E221" s="614">
        <v>324.27</v>
      </c>
      <c r="F221" s="1506">
        <v>106.31</v>
      </c>
      <c r="G221" s="457">
        <f t="shared" si="6"/>
        <v>327.84408055015882</v>
      </c>
      <c r="H221" s="352"/>
    </row>
    <row r="222" spans="1:8">
      <c r="A222" s="37" t="s">
        <v>28</v>
      </c>
      <c r="B222" s="614">
        <v>478.14</v>
      </c>
      <c r="C222" s="1506">
        <v>197.65</v>
      </c>
      <c r="D222" s="457">
        <f t="shared" si="5"/>
        <v>413.37265236123318</v>
      </c>
      <c r="E222" s="614">
        <v>312.20999999999998</v>
      </c>
      <c r="F222" s="1506">
        <v>105.19</v>
      </c>
      <c r="G222" s="457">
        <f t="shared" si="6"/>
        <v>336.92066237468373</v>
      </c>
      <c r="H222" s="352"/>
    </row>
    <row r="223" spans="1:8">
      <c r="A223" s="37" t="s">
        <v>29</v>
      </c>
      <c r="B223" s="614">
        <v>534.14</v>
      </c>
      <c r="C223" s="1506">
        <v>217.29</v>
      </c>
      <c r="D223" s="457">
        <f t="shared" si="5"/>
        <v>406.80345976710225</v>
      </c>
      <c r="E223" s="614">
        <v>340.57</v>
      </c>
      <c r="F223" s="1506">
        <v>113.32</v>
      </c>
      <c r="G223" s="457">
        <f t="shared" si="6"/>
        <v>332.73629503479458</v>
      </c>
      <c r="H223" s="352"/>
    </row>
    <row r="224" spans="1:8">
      <c r="A224" s="1438">
        <v>2021</v>
      </c>
      <c r="B224" s="1437">
        <f>SUM(B225:B236)</f>
        <v>4813.2079999999996</v>
      </c>
      <c r="C224" s="1437">
        <f>SUM(C225:C236)</f>
        <v>2546.4567491099997</v>
      </c>
      <c r="D224" s="456">
        <f t="shared" si="5"/>
        <v>529.05603686979669</v>
      </c>
      <c r="E224" s="1437">
        <f>SUM(E225:E236)</f>
        <v>2893.1859999999997</v>
      </c>
      <c r="F224" s="1437">
        <f>SUM(F225:F236)</f>
        <v>1633.50937935</v>
      </c>
      <c r="G224" s="1437">
        <f t="shared" si="6"/>
        <v>564.60572508991822</v>
      </c>
      <c r="H224" s="352"/>
    </row>
    <row r="225" spans="1:8">
      <c r="A225" s="37" t="s">
        <v>18</v>
      </c>
      <c r="B225" s="614">
        <v>372.91</v>
      </c>
      <c r="C225" s="1506">
        <v>184.25</v>
      </c>
      <c r="D225" s="457">
        <f t="shared" si="5"/>
        <v>494.08704513153305</v>
      </c>
      <c r="E225" s="614">
        <v>235.91</v>
      </c>
      <c r="F225" s="1506">
        <v>115.63</v>
      </c>
      <c r="G225" s="457">
        <f t="shared" si="6"/>
        <v>490.14454664914587</v>
      </c>
      <c r="H225" s="352"/>
    </row>
    <row r="226" spans="1:8">
      <c r="A226" s="37" t="s">
        <v>19</v>
      </c>
      <c r="B226" s="614">
        <v>394.41</v>
      </c>
      <c r="C226" s="1506">
        <v>187.43</v>
      </c>
      <c r="D226" s="457">
        <f t="shared" si="5"/>
        <v>475.21614563525264</v>
      </c>
      <c r="E226" s="614">
        <v>252.19</v>
      </c>
      <c r="F226" s="1506">
        <v>120.67</v>
      </c>
      <c r="G226" s="457">
        <f t="shared" si="6"/>
        <v>478.48844125460965</v>
      </c>
      <c r="H226" s="352"/>
    </row>
    <row r="227" spans="1:8">
      <c r="A227" s="37" t="s">
        <v>20</v>
      </c>
      <c r="B227" s="614">
        <v>435.2</v>
      </c>
      <c r="C227" s="1506">
        <v>208.33</v>
      </c>
      <c r="D227" s="457">
        <f t="shared" si="5"/>
        <v>478.69944852941182</v>
      </c>
      <c r="E227" s="614">
        <v>264.94</v>
      </c>
      <c r="F227" s="1506">
        <v>140.11000000000001</v>
      </c>
      <c r="G227" s="457">
        <f t="shared" si="6"/>
        <v>528.83671774741458</v>
      </c>
      <c r="H227" s="352"/>
    </row>
    <row r="228" spans="1:8">
      <c r="A228" s="37" t="s">
        <v>21</v>
      </c>
      <c r="B228" s="614">
        <v>429.77</v>
      </c>
      <c r="C228" s="1506">
        <v>210.4</v>
      </c>
      <c r="D228" s="457">
        <f t="shared" si="5"/>
        <v>489.56418549456686</v>
      </c>
      <c r="E228" s="614">
        <v>272.64</v>
      </c>
      <c r="F228" s="1506">
        <v>145.91</v>
      </c>
      <c r="G228" s="457">
        <f t="shared" si="6"/>
        <v>535.17458920187801</v>
      </c>
      <c r="H228" s="352"/>
    </row>
    <row r="229" spans="1:8">
      <c r="A229" s="37" t="s">
        <v>22</v>
      </c>
      <c r="B229" s="614">
        <v>386.58</v>
      </c>
      <c r="C229" s="1506">
        <v>198.31</v>
      </c>
      <c r="D229" s="457">
        <f t="shared" si="5"/>
        <v>512.98566920171766</v>
      </c>
      <c r="E229" s="614">
        <v>224.42</v>
      </c>
      <c r="F229" s="1506">
        <v>124.48</v>
      </c>
      <c r="G229" s="457">
        <f t="shared" si="6"/>
        <v>554.67427145530701</v>
      </c>
      <c r="H229" s="352"/>
    </row>
    <row r="230" spans="1:8">
      <c r="A230" s="37" t="s">
        <v>23</v>
      </c>
      <c r="B230" s="614">
        <v>413.01</v>
      </c>
      <c r="C230" s="1506">
        <v>231.38</v>
      </c>
      <c r="D230" s="457">
        <f t="shared" si="5"/>
        <v>560.22856589428829</v>
      </c>
      <c r="E230" s="614">
        <v>235.11</v>
      </c>
      <c r="F230" s="1506">
        <v>139.58000000000001</v>
      </c>
      <c r="G230" s="457">
        <f t="shared" si="6"/>
        <v>593.67955425120158</v>
      </c>
      <c r="H230" s="352"/>
    </row>
    <row r="231" spans="1:8">
      <c r="A231" s="37" t="s">
        <v>24</v>
      </c>
      <c r="B231" s="614">
        <v>413.1</v>
      </c>
      <c r="C231" s="1506">
        <v>224.57</v>
      </c>
      <c r="D231" s="457">
        <f t="shared" si="5"/>
        <v>543.6213991769547</v>
      </c>
      <c r="E231" s="614">
        <v>220.62</v>
      </c>
      <c r="F231" s="1506">
        <v>129.97</v>
      </c>
      <c r="G231" s="457">
        <f t="shared" si="6"/>
        <v>589.1125011331701</v>
      </c>
      <c r="H231" s="352"/>
    </row>
    <row r="232" spans="1:8">
      <c r="A232" s="37" t="s">
        <v>25</v>
      </c>
      <c r="B232" s="614">
        <v>407.14</v>
      </c>
      <c r="C232" s="1506">
        <v>224.23</v>
      </c>
      <c r="D232" s="457">
        <f t="shared" si="5"/>
        <v>550.74421574888243</v>
      </c>
      <c r="E232" s="614">
        <v>216.92</v>
      </c>
      <c r="F232" s="1506">
        <v>136.49</v>
      </c>
      <c r="G232" s="457">
        <f t="shared" si="6"/>
        <v>629.21814493822615</v>
      </c>
      <c r="H232" s="352"/>
    </row>
    <row r="233" spans="1:8">
      <c r="A233" s="37" t="s">
        <v>26</v>
      </c>
      <c r="B233" s="614">
        <v>396.89</v>
      </c>
      <c r="C233" s="1506">
        <v>227.57</v>
      </c>
      <c r="D233" s="457">
        <f t="shared" si="5"/>
        <v>573.38305323893269</v>
      </c>
      <c r="E233" s="614">
        <v>229.12</v>
      </c>
      <c r="F233" s="1506">
        <v>145.34</v>
      </c>
      <c r="G233" s="457">
        <f t="shared" si="6"/>
        <v>634.34008379888269</v>
      </c>
      <c r="H233" s="352"/>
    </row>
    <row r="234" spans="1:8">
      <c r="A234" s="37" t="s">
        <v>27</v>
      </c>
      <c r="B234" s="614">
        <v>384.79</v>
      </c>
      <c r="C234" s="1506">
        <v>224.1</v>
      </c>
      <c r="D234" s="457">
        <f t="shared" si="5"/>
        <v>582.39559240104984</v>
      </c>
      <c r="E234" s="614">
        <v>232.4</v>
      </c>
      <c r="F234" s="1506">
        <v>139.84</v>
      </c>
      <c r="G234" s="457">
        <f t="shared" si="6"/>
        <v>601.72117039586919</v>
      </c>
      <c r="H234" s="352"/>
    </row>
    <row r="235" spans="1:8">
      <c r="A235" s="37" t="s">
        <v>28</v>
      </c>
      <c r="B235" s="614">
        <v>366.42599999999999</v>
      </c>
      <c r="C235" s="1506">
        <v>207.66679133</v>
      </c>
      <c r="D235" s="457">
        <f t="shared" si="5"/>
        <v>566.73596123091704</v>
      </c>
      <c r="E235" s="614">
        <v>236.941</v>
      </c>
      <c r="F235" s="1506">
        <v>141.02753023</v>
      </c>
      <c r="G235" s="457">
        <f t="shared" si="6"/>
        <v>595.20104258022036</v>
      </c>
      <c r="H235" s="1249"/>
    </row>
    <row r="236" spans="1:8">
      <c r="A236" s="37" t="s">
        <v>29</v>
      </c>
      <c r="B236" s="614">
        <v>412.98200000000003</v>
      </c>
      <c r="C236" s="1506">
        <v>218.21995777999999</v>
      </c>
      <c r="D236" s="457">
        <f t="shared" ref="D236:D249" si="7">+C236/B236*1000</f>
        <v>528.40065131167933</v>
      </c>
      <c r="E236" s="614">
        <v>271.97500000000002</v>
      </c>
      <c r="F236" s="1506">
        <v>154.46184912000001</v>
      </c>
      <c r="G236" s="457">
        <f t="shared" ref="G236:G249" si="8">+F236/E236*1000</f>
        <v>567.92664443423109</v>
      </c>
      <c r="H236" s="352"/>
    </row>
    <row r="237" spans="1:8">
      <c r="A237" s="37" t="s">
        <v>2812</v>
      </c>
      <c r="B237" s="456">
        <f>SUM(B238:B249)</f>
        <v>6331.2919999999995</v>
      </c>
      <c r="C237" s="456">
        <f>SUM(C238:C249)</f>
        <v>5798.6409711300003</v>
      </c>
      <c r="D237" s="456">
        <f t="shared" si="7"/>
        <v>915.8700895693961</v>
      </c>
      <c r="E237" s="456">
        <f>SUM(E238:E249)</f>
        <v>2179.0069999999996</v>
      </c>
      <c r="F237" s="456">
        <f>SUM(F238:F249)</f>
        <v>1004.3912651399999</v>
      </c>
      <c r="G237" s="456">
        <f t="shared" si="8"/>
        <v>460.93989837572803</v>
      </c>
      <c r="H237" s="352"/>
    </row>
    <row r="238" spans="1:8">
      <c r="A238" s="37" t="s">
        <v>18</v>
      </c>
      <c r="B238" s="614">
        <v>303.33300000000003</v>
      </c>
      <c r="C238" s="1506">
        <v>152.37088474999999</v>
      </c>
      <c r="D238" s="457">
        <f t="shared" si="7"/>
        <v>502.32215007928573</v>
      </c>
      <c r="E238" s="614">
        <v>197.20099999999999</v>
      </c>
      <c r="F238" s="1506">
        <v>106.54380983999999</v>
      </c>
      <c r="G238" s="457">
        <f t="shared" si="8"/>
        <v>540.28027160105671</v>
      </c>
      <c r="H238" s="352"/>
    </row>
    <row r="239" spans="1:8">
      <c r="A239" s="37" t="s">
        <v>19</v>
      </c>
      <c r="B239" s="614">
        <v>294.709</v>
      </c>
      <c r="C239" s="1506">
        <v>141.55654557</v>
      </c>
      <c r="D239" s="457">
        <f t="shared" si="7"/>
        <v>480.32651045607702</v>
      </c>
      <c r="E239" s="614">
        <v>199.304</v>
      </c>
      <c r="F239" s="1506">
        <v>92.19608848</v>
      </c>
      <c r="G239" s="457">
        <f t="shared" si="8"/>
        <v>462.59025649259422</v>
      </c>
      <c r="H239" s="352"/>
    </row>
    <row r="240" spans="1:8">
      <c r="A240" s="37" t="s">
        <v>20</v>
      </c>
      <c r="B240" s="614">
        <v>269.529</v>
      </c>
      <c r="C240" s="1506">
        <v>112.2229392</v>
      </c>
      <c r="D240" s="457">
        <f t="shared" si="7"/>
        <v>416.36684438409225</v>
      </c>
      <c r="E240" s="614">
        <v>186.846</v>
      </c>
      <c r="F240" s="1506">
        <v>84.521736809999993</v>
      </c>
      <c r="G240" s="457">
        <f t="shared" si="8"/>
        <v>452.36042949808927</v>
      </c>
      <c r="H240" s="352"/>
    </row>
    <row r="241" spans="1:8">
      <c r="A241" s="37" t="s">
        <v>21</v>
      </c>
      <c r="B241" s="614">
        <v>559.97299999999996</v>
      </c>
      <c r="C241" s="1506">
        <v>646.4460752</v>
      </c>
      <c r="D241" s="457">
        <f t="shared" si="7"/>
        <v>1154.423651140323</v>
      </c>
      <c r="E241" s="614">
        <v>207.535</v>
      </c>
      <c r="F241" s="1506">
        <v>90.209881050000007</v>
      </c>
      <c r="G241" s="457">
        <f t="shared" si="8"/>
        <v>434.67309634519484</v>
      </c>
      <c r="H241" s="352"/>
    </row>
    <row r="242" spans="1:8">
      <c r="A242" s="37" t="s">
        <v>22</v>
      </c>
      <c r="B242" s="614">
        <v>615.47</v>
      </c>
      <c r="C242" s="1506">
        <v>744.53237643</v>
      </c>
      <c r="D242" s="457">
        <f t="shared" si="7"/>
        <v>1209.6972662030644</v>
      </c>
      <c r="E242" s="614">
        <v>186.26499999999999</v>
      </c>
      <c r="F242" s="1506">
        <v>80.02442112</v>
      </c>
      <c r="G242" s="457">
        <f t="shared" si="8"/>
        <v>429.62672063994847</v>
      </c>
      <c r="H242" s="352"/>
    </row>
    <row r="243" spans="1:8">
      <c r="A243" s="37" t="s">
        <v>23</v>
      </c>
      <c r="B243" s="614">
        <v>722.01700000000005</v>
      </c>
      <c r="C243" s="1506">
        <v>829.83250585999997</v>
      </c>
      <c r="D243" s="457">
        <f t="shared" si="7"/>
        <v>1149.325439511812</v>
      </c>
      <c r="E243" s="614">
        <v>184.346</v>
      </c>
      <c r="F243" s="1506">
        <v>82.359443659999997</v>
      </c>
      <c r="G243" s="457">
        <f t="shared" si="8"/>
        <v>446.76555856921226</v>
      </c>
      <c r="H243" s="352"/>
    </row>
    <row r="244" spans="1:8">
      <c r="A244" s="37" t="s">
        <v>24</v>
      </c>
      <c r="B244" s="614">
        <v>649.16099999999994</v>
      </c>
      <c r="C244" s="1506">
        <v>588.11941747000003</v>
      </c>
      <c r="D244" s="457">
        <f t="shared" si="7"/>
        <v>905.96850006392879</v>
      </c>
      <c r="E244" s="614">
        <v>163.708</v>
      </c>
      <c r="F244" s="1506">
        <v>67.36881846</v>
      </c>
      <c r="G244" s="457">
        <f t="shared" si="8"/>
        <v>411.5181815183131</v>
      </c>
      <c r="H244" s="352"/>
    </row>
    <row r="245" spans="1:8">
      <c r="A245" s="37" t="s">
        <v>25</v>
      </c>
      <c r="B245" s="614">
        <v>674.63099999999997</v>
      </c>
      <c r="C245" s="1506">
        <v>545.95442357000002</v>
      </c>
      <c r="D245" s="457">
        <f t="shared" si="7"/>
        <v>809.26376577714348</v>
      </c>
      <c r="E245" s="614">
        <v>174.93299999999999</v>
      </c>
      <c r="F245" s="1506">
        <v>79.7483766</v>
      </c>
      <c r="G245" s="457">
        <f t="shared" si="8"/>
        <v>455.87954588328108</v>
      </c>
      <c r="H245" s="352"/>
    </row>
    <row r="246" spans="1:8">
      <c r="A246" s="37" t="s">
        <v>26</v>
      </c>
      <c r="B246" s="614">
        <v>646.678</v>
      </c>
      <c r="C246" s="1506">
        <v>658.87638109</v>
      </c>
      <c r="D246" s="457">
        <f t="shared" si="7"/>
        <v>1018.8631453211646</v>
      </c>
      <c r="E246" s="614">
        <v>182.74299999999999</v>
      </c>
      <c r="F246" s="1506">
        <v>84.375534549999998</v>
      </c>
      <c r="G246" s="457">
        <f t="shared" si="8"/>
        <v>461.71691692705059</v>
      </c>
      <c r="H246" s="352"/>
    </row>
    <row r="247" spans="1:8">
      <c r="A247" s="37" t="s">
        <v>27</v>
      </c>
      <c r="B247" s="614">
        <v>593.06600000000003</v>
      </c>
      <c r="C247" s="1506">
        <v>504.36361791000002</v>
      </c>
      <c r="D247" s="457">
        <f t="shared" si="7"/>
        <v>850.43421458994442</v>
      </c>
      <c r="E247" s="614">
        <v>165.745</v>
      </c>
      <c r="F247" s="1506">
        <v>73.313266970000001</v>
      </c>
      <c r="G247" s="457">
        <f t="shared" si="8"/>
        <v>442.32566273492415</v>
      </c>
      <c r="H247" s="352"/>
    </row>
    <row r="248" spans="1:8">
      <c r="A248" s="37" t="s">
        <v>28</v>
      </c>
      <c r="B248" s="614">
        <v>494.35199999999998</v>
      </c>
      <c r="C248" s="1506">
        <v>474.49482920999998</v>
      </c>
      <c r="D248" s="457">
        <f t="shared" si="7"/>
        <v>959.8319197859015</v>
      </c>
      <c r="E248" s="614">
        <v>154.41399999999999</v>
      </c>
      <c r="F248" s="1506">
        <v>73.858214610000005</v>
      </c>
      <c r="G248" s="457">
        <f t="shared" si="8"/>
        <v>478.31294189646025</v>
      </c>
      <c r="H248" s="352"/>
    </row>
    <row r="249" spans="1:8">
      <c r="A249" s="37" t="s">
        <v>29</v>
      </c>
      <c r="B249" s="614">
        <v>508.37299999999999</v>
      </c>
      <c r="C249" s="1506">
        <v>399.87097487</v>
      </c>
      <c r="D249" s="457">
        <f t="shared" si="7"/>
        <v>786.57004772086634</v>
      </c>
      <c r="E249" s="614">
        <v>175.96700000000001</v>
      </c>
      <c r="F249" s="1506">
        <v>89.871672989999993</v>
      </c>
      <c r="G249" s="457">
        <f t="shared" si="8"/>
        <v>510.73026755016559</v>
      </c>
      <c r="H249" s="352"/>
    </row>
    <row r="250" spans="1:8">
      <c r="A250" s="37" t="s">
        <v>3500</v>
      </c>
      <c r="B250" s="456">
        <f>SUM(B251:B262)</f>
        <v>4686.4080000000004</v>
      </c>
      <c r="C250" s="1553">
        <f>SUM(C251:C262)</f>
        <v>2468.00024046</v>
      </c>
      <c r="D250" s="456">
        <f t="shared" ref="D250" si="9">+C250/B250*1000</f>
        <v>526.62940155018509</v>
      </c>
      <c r="E250" s="456">
        <f>SUM(E251:E262)</f>
        <v>1400.829</v>
      </c>
      <c r="F250" s="1553">
        <f>SUM(F251:F262)</f>
        <v>616.44565897000007</v>
      </c>
      <c r="G250" s="456">
        <f t="shared" ref="G250" si="10">+F250/E250*1000</f>
        <v>440.05775078185854</v>
      </c>
      <c r="H250" s="352"/>
    </row>
    <row r="251" spans="1:8">
      <c r="A251" s="37" t="s">
        <v>18</v>
      </c>
      <c r="B251" s="614">
        <v>415.26</v>
      </c>
      <c r="C251" s="1506">
        <v>249.83574229000001</v>
      </c>
      <c r="D251" s="457">
        <f t="shared" ref="D251:D293" si="11">+C251/B251*1000</f>
        <v>601.63690769638299</v>
      </c>
      <c r="E251" s="614">
        <v>119.70699999999999</v>
      </c>
      <c r="F251" s="1506">
        <v>62.400749519999998</v>
      </c>
      <c r="G251" s="457">
        <f t="shared" ref="G251:G293" si="12">+F251/E251*1000</f>
        <v>521.27903564536746</v>
      </c>
      <c r="H251" s="352"/>
    </row>
    <row r="252" spans="1:8">
      <c r="A252" s="37" t="s">
        <v>19</v>
      </c>
      <c r="B252" s="614">
        <v>392.39400000000001</v>
      </c>
      <c r="C252" s="1506">
        <v>212.59366778</v>
      </c>
      <c r="D252" s="457">
        <f t="shared" si="11"/>
        <v>541.78623470287516</v>
      </c>
      <c r="E252" s="614">
        <v>133.548</v>
      </c>
      <c r="F252" s="1506">
        <v>61.735612639999999</v>
      </c>
      <c r="G252" s="457">
        <f t="shared" si="12"/>
        <v>462.27283553478901</v>
      </c>
      <c r="H252" s="352"/>
    </row>
    <row r="253" spans="1:8">
      <c r="A253" s="37" t="s">
        <v>20</v>
      </c>
      <c r="B253" s="614">
        <v>399.89600000000002</v>
      </c>
      <c r="C253" s="1506">
        <v>210.3562125</v>
      </c>
      <c r="D253" s="457">
        <f t="shared" si="11"/>
        <v>526.02729834757031</v>
      </c>
      <c r="E253" s="614">
        <v>125.99</v>
      </c>
      <c r="F253" s="1506">
        <v>50.700010370000001</v>
      </c>
      <c r="G253" s="457">
        <f t="shared" si="12"/>
        <v>402.41297222001748</v>
      </c>
      <c r="H253" s="352"/>
    </row>
    <row r="254" spans="1:8">
      <c r="A254" s="37" t="s">
        <v>21</v>
      </c>
      <c r="B254" s="614">
        <v>373.75400000000002</v>
      </c>
      <c r="C254" s="1506">
        <v>180.35123949999999</v>
      </c>
      <c r="D254" s="457">
        <f t="shared" si="11"/>
        <v>482.53995810078283</v>
      </c>
      <c r="E254" s="614">
        <v>122.78100000000001</v>
      </c>
      <c r="F254" s="1506">
        <v>50.281178599999997</v>
      </c>
      <c r="G254" s="457">
        <f t="shared" si="12"/>
        <v>409.51921388488444</v>
      </c>
      <c r="H254" s="352"/>
    </row>
    <row r="255" spans="1:8">
      <c r="A255" s="37" t="s">
        <v>22</v>
      </c>
      <c r="B255" s="614">
        <v>418.06</v>
      </c>
      <c r="C255" s="1506">
        <v>229.08531984000001</v>
      </c>
      <c r="D255" s="457">
        <f t="shared" si="11"/>
        <v>547.97234808400708</v>
      </c>
      <c r="E255" s="614">
        <v>120.601</v>
      </c>
      <c r="F255" s="1506">
        <v>50.590260970000003</v>
      </c>
      <c r="G255" s="457">
        <f t="shared" si="12"/>
        <v>419.48458943126508</v>
      </c>
      <c r="H255" s="352"/>
    </row>
    <row r="256" spans="1:8">
      <c r="A256" s="37" t="s">
        <v>23</v>
      </c>
      <c r="B256" s="614">
        <v>375.71499999999997</v>
      </c>
      <c r="C256" s="1506">
        <v>217.55322293</v>
      </c>
      <c r="D256" s="457">
        <f t="shared" si="11"/>
        <v>579.03789555913397</v>
      </c>
      <c r="E256" s="614">
        <v>102.861</v>
      </c>
      <c r="F256" s="1506">
        <v>44.577700720000003</v>
      </c>
      <c r="G256" s="457">
        <f t="shared" si="12"/>
        <v>433.37806087827261</v>
      </c>
      <c r="H256" s="352"/>
    </row>
    <row r="257" spans="1:8">
      <c r="A257" s="37" t="s">
        <v>24</v>
      </c>
      <c r="B257" s="614">
        <v>412.56099999999998</v>
      </c>
      <c r="C257" s="1506">
        <v>209.15187133000001</v>
      </c>
      <c r="D257" s="457">
        <f t="shared" si="11"/>
        <v>506.95987097665562</v>
      </c>
      <c r="E257" s="614">
        <v>109.43600000000001</v>
      </c>
      <c r="F257" s="1506">
        <v>47.313207759999997</v>
      </c>
      <c r="G257" s="457">
        <f t="shared" si="12"/>
        <v>432.33677912204388</v>
      </c>
      <c r="H257" s="352"/>
    </row>
    <row r="258" spans="1:8">
      <c r="A258" s="37" t="s">
        <v>25</v>
      </c>
      <c r="B258" s="614">
        <v>383.67099999999999</v>
      </c>
      <c r="C258" s="1506">
        <v>185.69631903999999</v>
      </c>
      <c r="D258" s="457">
        <f t="shared" si="11"/>
        <v>483.9988402563655</v>
      </c>
      <c r="E258" s="614">
        <v>104.146</v>
      </c>
      <c r="F258" s="1506">
        <v>48.244791480000004</v>
      </c>
      <c r="G258" s="457">
        <f t="shared" si="12"/>
        <v>463.24190540203182</v>
      </c>
      <c r="H258" s="352"/>
    </row>
    <row r="259" spans="1:8">
      <c r="A259" s="37" t="s">
        <v>26</v>
      </c>
      <c r="B259" s="614">
        <v>387.21199999999999</v>
      </c>
      <c r="C259" s="1506">
        <v>189.42261429999999</v>
      </c>
      <c r="D259" s="457">
        <f t="shared" si="11"/>
        <v>489.19613622511696</v>
      </c>
      <c r="E259" s="614">
        <v>105.923</v>
      </c>
      <c r="F259" s="1506">
        <v>49.061813780000001</v>
      </c>
      <c r="G259" s="457">
        <f t="shared" si="12"/>
        <v>463.18376348857186</v>
      </c>
      <c r="H259" s="352"/>
    </row>
    <row r="260" spans="1:8">
      <c r="A260" s="37" t="s">
        <v>27</v>
      </c>
      <c r="B260" s="614">
        <v>382.46699999999998</v>
      </c>
      <c r="C260" s="1506">
        <v>192.15268778000001</v>
      </c>
      <c r="D260" s="457">
        <f t="shared" si="11"/>
        <v>502.4033126518105</v>
      </c>
      <c r="E260" s="614">
        <v>110.934</v>
      </c>
      <c r="F260" s="1506">
        <v>52.022195889999999</v>
      </c>
      <c r="G260" s="457">
        <f t="shared" si="12"/>
        <v>468.94726495033086</v>
      </c>
      <c r="H260" s="352"/>
    </row>
    <row r="261" spans="1:8">
      <c r="A261" s="37" t="s">
        <v>28</v>
      </c>
      <c r="B261" s="614">
        <v>353.798</v>
      </c>
      <c r="C261" s="1506">
        <v>191.02361851000001</v>
      </c>
      <c r="D261" s="457">
        <f t="shared" si="11"/>
        <v>539.92283311381073</v>
      </c>
      <c r="E261" s="614">
        <v>113.093</v>
      </c>
      <c r="F261" s="1506">
        <v>47.87313803</v>
      </c>
      <c r="G261" s="457">
        <f t="shared" si="12"/>
        <v>423.30770277559179</v>
      </c>
      <c r="H261" s="352"/>
    </row>
    <row r="262" spans="1:8">
      <c r="A262" s="37" t="s">
        <v>29</v>
      </c>
      <c r="B262" s="614">
        <v>391.62</v>
      </c>
      <c r="C262" s="1506">
        <v>200.77772465999999</v>
      </c>
      <c r="D262" s="457">
        <f t="shared" si="11"/>
        <v>512.68506373525361</v>
      </c>
      <c r="E262" s="614">
        <v>131.809</v>
      </c>
      <c r="F262" s="1506">
        <v>51.644999210000002</v>
      </c>
      <c r="G262" s="457">
        <f t="shared" si="12"/>
        <v>391.8169412559082</v>
      </c>
      <c r="H262" s="352"/>
    </row>
    <row r="263" spans="1:8">
      <c r="A263" s="37" t="s">
        <v>3971</v>
      </c>
      <c r="B263" s="456">
        <f>SUM(B264:B275)</f>
        <v>3368.3410000000003</v>
      </c>
      <c r="C263" s="1553">
        <f>SUM(C264:C275)</f>
        <v>1674.3405065800002</v>
      </c>
      <c r="D263" s="456">
        <f t="shared" si="11"/>
        <v>497.08165134705786</v>
      </c>
      <c r="E263" s="1553">
        <f>SUM(E264:E275)</f>
        <v>1195.2909999999999</v>
      </c>
      <c r="F263" s="1553">
        <f>SUM(F264:F275)</f>
        <v>527.86242253</v>
      </c>
      <c r="G263" s="456">
        <f t="shared" si="12"/>
        <v>441.61833606209706</v>
      </c>
      <c r="H263" s="352"/>
    </row>
    <row r="264" spans="1:8">
      <c r="A264" s="37" t="s">
        <v>18</v>
      </c>
      <c r="B264" s="614">
        <v>305.99900000000002</v>
      </c>
      <c r="C264" s="1506">
        <v>166.51175799000001</v>
      </c>
      <c r="D264" s="457">
        <f t="shared" si="11"/>
        <v>544.15785015637312</v>
      </c>
      <c r="E264" s="614">
        <v>94.406999999999996</v>
      </c>
      <c r="F264" s="1506">
        <v>41.366510009999999</v>
      </c>
      <c r="G264" s="457">
        <f t="shared" si="12"/>
        <v>438.17206361816392</v>
      </c>
      <c r="H264" s="352"/>
    </row>
    <row r="265" spans="1:8">
      <c r="A265" s="37" t="s">
        <v>19</v>
      </c>
      <c r="B265" s="614">
        <v>299.14400000000001</v>
      </c>
      <c r="C265" s="1506">
        <v>151.43853899000001</v>
      </c>
      <c r="D265" s="457">
        <f t="shared" si="11"/>
        <v>506.23960029283552</v>
      </c>
      <c r="E265" s="614">
        <v>103.57</v>
      </c>
      <c r="F265" s="1506">
        <v>45.991003550000002</v>
      </c>
      <c r="G265" s="457">
        <f t="shared" si="12"/>
        <v>444.05719368543015</v>
      </c>
      <c r="H265" s="352"/>
    </row>
    <row r="266" spans="1:8">
      <c r="A266" s="37" t="s">
        <v>20</v>
      </c>
      <c r="B266" s="614">
        <v>292.435</v>
      </c>
      <c r="C266" s="1506">
        <v>147.2847811</v>
      </c>
      <c r="D266" s="457">
        <f t="shared" si="11"/>
        <v>503.64963530357176</v>
      </c>
      <c r="E266" s="614">
        <v>98.117000000000004</v>
      </c>
      <c r="F266" s="1506">
        <v>41.628518149999998</v>
      </c>
      <c r="G266" s="457">
        <f t="shared" si="12"/>
        <v>424.27426592741313</v>
      </c>
      <c r="H266" s="352"/>
    </row>
    <row r="267" spans="1:8">
      <c r="A267" s="37" t="s">
        <v>21</v>
      </c>
      <c r="B267" s="614">
        <v>301.52300000000002</v>
      </c>
      <c r="C267" s="1506">
        <v>142.26402234</v>
      </c>
      <c r="D267" s="457">
        <f t="shared" si="11"/>
        <v>471.81814435383035</v>
      </c>
      <c r="E267" s="614">
        <v>102.79</v>
      </c>
      <c r="F267" s="1506">
        <v>44.060229339999999</v>
      </c>
      <c r="G267" s="457">
        <f t="shared" si="12"/>
        <v>428.6431495281642</v>
      </c>
      <c r="H267" s="352"/>
    </row>
    <row r="268" spans="1:8">
      <c r="A268" s="37" t="s">
        <v>22</v>
      </c>
      <c r="B268" s="614">
        <v>291.00400000000002</v>
      </c>
      <c r="C268" s="1506">
        <v>143.95348996999999</v>
      </c>
      <c r="D268" s="457">
        <f t="shared" si="11"/>
        <v>494.67873283528741</v>
      </c>
      <c r="E268" s="614">
        <v>102.371</v>
      </c>
      <c r="F268" s="1506">
        <v>47.106674099999999</v>
      </c>
      <c r="G268" s="457">
        <f t="shared" si="12"/>
        <v>460.15643199734302</v>
      </c>
      <c r="H268" s="352"/>
    </row>
    <row r="269" spans="1:8">
      <c r="A269" s="37" t="s">
        <v>23</v>
      </c>
      <c r="B269" s="614">
        <v>274.52100000000002</v>
      </c>
      <c r="C269" s="1506">
        <v>141.64653079999999</v>
      </c>
      <c r="D269" s="457">
        <f t="shared" si="11"/>
        <v>515.97703199390935</v>
      </c>
      <c r="E269" s="614">
        <v>88.361999999999995</v>
      </c>
      <c r="F269" s="1506">
        <v>39.134088220000002</v>
      </c>
      <c r="G269" s="457">
        <f t="shared" si="12"/>
        <v>442.88368552092533</v>
      </c>
      <c r="H269" s="352"/>
    </row>
    <row r="270" spans="1:8">
      <c r="A270" s="37" t="s">
        <v>24</v>
      </c>
      <c r="B270" s="614">
        <v>298.03100000000001</v>
      </c>
      <c r="C270" s="1506">
        <v>165.12173564</v>
      </c>
      <c r="D270" s="457">
        <f t="shared" si="11"/>
        <v>554.04214876975891</v>
      </c>
      <c r="E270" s="614">
        <v>96.31</v>
      </c>
      <c r="F270" s="1506">
        <v>43.731526940000002</v>
      </c>
      <c r="G270" s="457">
        <f t="shared" si="12"/>
        <v>454.07046973315335</v>
      </c>
      <c r="H270" s="352"/>
    </row>
    <row r="271" spans="1:8">
      <c r="A271" s="37" t="s">
        <v>25</v>
      </c>
      <c r="B271" s="614">
        <v>270.58800000000002</v>
      </c>
      <c r="C271" s="1506">
        <v>143.74786696000001</v>
      </c>
      <c r="D271" s="457">
        <f t="shared" si="11"/>
        <v>531.24257897615564</v>
      </c>
      <c r="E271" s="614">
        <v>91.346999999999994</v>
      </c>
      <c r="F271" s="1506">
        <v>43.540949820000002</v>
      </c>
      <c r="G271" s="457">
        <f t="shared" si="12"/>
        <v>476.6544037571021</v>
      </c>
      <c r="H271" s="352"/>
    </row>
    <row r="272" spans="1:8">
      <c r="A272" s="37" t="s">
        <v>26</v>
      </c>
      <c r="B272" s="614">
        <v>260.79000000000002</v>
      </c>
      <c r="C272" s="1506">
        <v>130.35828308000001</v>
      </c>
      <c r="D272" s="457">
        <f t="shared" si="11"/>
        <v>499.85920886537059</v>
      </c>
      <c r="E272" s="614">
        <v>90.698999999999998</v>
      </c>
      <c r="F272" s="1506">
        <v>46.949138750000003</v>
      </c>
      <c r="G272" s="457">
        <f t="shared" si="12"/>
        <v>517.63678485981097</v>
      </c>
      <c r="H272" s="352"/>
    </row>
    <row r="273" spans="1:8">
      <c r="A273" s="37" t="s">
        <v>27</v>
      </c>
      <c r="B273" s="614">
        <v>254.72200000000001</v>
      </c>
      <c r="C273" s="1506">
        <v>122.30809094</v>
      </c>
      <c r="D273" s="457">
        <f t="shared" si="11"/>
        <v>480.1630441814998</v>
      </c>
      <c r="E273" s="614">
        <v>98.159000000000006</v>
      </c>
      <c r="F273" s="1506">
        <v>47.524231180000001</v>
      </c>
      <c r="G273" s="457">
        <f t="shared" si="12"/>
        <v>484.15561670351167</v>
      </c>
      <c r="H273" s="352"/>
    </row>
    <row r="274" spans="1:8">
      <c r="A274" s="37" t="s">
        <v>28</v>
      </c>
      <c r="B274" s="614">
        <v>235.95699999999999</v>
      </c>
      <c r="C274" s="1506">
        <v>106.39337284</v>
      </c>
      <c r="D274" s="457">
        <f t="shared" si="11"/>
        <v>450.90153222832976</v>
      </c>
      <c r="E274" s="614">
        <v>99.863</v>
      </c>
      <c r="F274" s="1506">
        <v>41.267470889999998</v>
      </c>
      <c r="G274" s="457">
        <f t="shared" si="12"/>
        <v>413.24084886294219</v>
      </c>
      <c r="H274" s="352"/>
    </row>
    <row r="275" spans="1:8">
      <c r="A275" s="37" t="s">
        <v>29</v>
      </c>
      <c r="B275" s="614">
        <v>283.62700000000001</v>
      </c>
      <c r="C275" s="1506">
        <v>113.31203592999999</v>
      </c>
      <c r="D275" s="457">
        <f t="shared" si="11"/>
        <v>399.5107515504518</v>
      </c>
      <c r="E275" s="614">
        <v>129.29599999999999</v>
      </c>
      <c r="F275" s="1506">
        <v>45.562081579999997</v>
      </c>
      <c r="G275" s="457">
        <f t="shared" si="12"/>
        <v>352.38585555624303</v>
      </c>
      <c r="H275" s="352"/>
    </row>
    <row r="276" spans="1:8">
      <c r="A276" s="37" t="s">
        <v>4202</v>
      </c>
      <c r="B276" s="456">
        <f>SUM(B277:B288)</f>
        <v>3280.2140000000004</v>
      </c>
      <c r="C276" s="1553">
        <f>SUM(C277:C288)</f>
        <v>1758.8224140499999</v>
      </c>
      <c r="D276" s="456">
        <f t="shared" ref="D276" si="13">+C276/B276*1000</f>
        <v>536.19136253000556</v>
      </c>
      <c r="E276" s="456">
        <f>SUM(E277:E288)</f>
        <v>978.86199999999997</v>
      </c>
      <c r="F276" s="1553">
        <f>SUM(F277:F288)</f>
        <v>490.24431240000001</v>
      </c>
      <c r="G276" s="456">
        <f t="shared" ref="G276" si="14">+F276/E276*1000</f>
        <v>500.83087544515979</v>
      </c>
      <c r="H276" s="352"/>
    </row>
    <row r="277" spans="1:8">
      <c r="A277" s="37" t="s">
        <v>18</v>
      </c>
      <c r="B277" s="614">
        <v>211.91499999999999</v>
      </c>
      <c r="C277" s="1506">
        <v>96.376816289999994</v>
      </c>
      <c r="D277" s="457">
        <f t="shared" si="11"/>
        <v>454.78996904419222</v>
      </c>
      <c r="E277" s="614">
        <v>83.206000000000003</v>
      </c>
      <c r="F277" s="1506">
        <v>36.276753839999998</v>
      </c>
      <c r="G277" s="457">
        <f t="shared" si="12"/>
        <v>435.98723457442969</v>
      </c>
      <c r="H277" s="352"/>
    </row>
    <row r="278" spans="1:8">
      <c r="A278" s="37" t="s">
        <v>19</v>
      </c>
      <c r="B278" s="614">
        <v>254.58600000000001</v>
      </c>
      <c r="C278" s="1506">
        <v>111.7894715</v>
      </c>
      <c r="D278" s="457">
        <f t="shared" si="11"/>
        <v>439.10298091803946</v>
      </c>
      <c r="E278" s="614">
        <v>86.46</v>
      </c>
      <c r="F278" s="1506">
        <v>37.054554670000002</v>
      </c>
      <c r="G278" s="457">
        <f t="shared" si="12"/>
        <v>428.5745393245432</v>
      </c>
      <c r="H278" s="352"/>
    </row>
    <row r="279" spans="1:8">
      <c r="A279" s="37" t="s">
        <v>20</v>
      </c>
      <c r="B279" s="614">
        <v>271.43099999999998</v>
      </c>
      <c r="C279" s="1506">
        <v>111.53838048</v>
      </c>
      <c r="D279" s="457">
        <f t="shared" si="11"/>
        <v>410.92719873559031</v>
      </c>
      <c r="E279" s="614">
        <v>88.629000000000005</v>
      </c>
      <c r="F279" s="1506">
        <v>37.043082460000001</v>
      </c>
      <c r="G279" s="457">
        <f t="shared" si="12"/>
        <v>417.95667851380477</v>
      </c>
      <c r="H279" s="352"/>
    </row>
    <row r="280" spans="1:8">
      <c r="A280" s="37" t="s">
        <v>21</v>
      </c>
      <c r="B280" s="614">
        <v>336.637</v>
      </c>
      <c r="C280" s="1506">
        <v>164.62510692000001</v>
      </c>
      <c r="D280" s="457">
        <f t="shared" si="11"/>
        <v>489.02855871457984</v>
      </c>
      <c r="E280" s="614">
        <v>94.653000000000006</v>
      </c>
      <c r="F280" s="1506">
        <v>48.268414270000001</v>
      </c>
      <c r="G280" s="457">
        <f t="shared" si="12"/>
        <v>509.95123524875061</v>
      </c>
      <c r="H280" s="352"/>
    </row>
    <row r="281" spans="1:8">
      <c r="A281" s="37" t="s">
        <v>22</v>
      </c>
      <c r="B281" s="614">
        <v>300.49599999999998</v>
      </c>
      <c r="C281" s="1506">
        <v>157.07192094999999</v>
      </c>
      <c r="D281" s="457">
        <f t="shared" si="11"/>
        <v>522.70885785501309</v>
      </c>
      <c r="E281" s="614">
        <v>87.789000000000001</v>
      </c>
      <c r="F281" s="1506">
        <v>43.206012149999999</v>
      </c>
      <c r="G281" s="457">
        <f t="shared" si="12"/>
        <v>492.15747018419165</v>
      </c>
      <c r="H281" s="352"/>
    </row>
    <row r="282" spans="1:8">
      <c r="A282" s="37" t="s">
        <v>23</v>
      </c>
      <c r="B282" s="614">
        <v>296.84500000000003</v>
      </c>
      <c r="C282" s="1506">
        <v>162.71457709000001</v>
      </c>
      <c r="D282" s="457">
        <f t="shared" si="11"/>
        <v>548.14659869628929</v>
      </c>
      <c r="E282" s="614">
        <v>80.542000000000002</v>
      </c>
      <c r="F282" s="1506">
        <v>38.164642229999998</v>
      </c>
      <c r="G282" s="457">
        <f t="shared" si="12"/>
        <v>473.84770964217427</v>
      </c>
      <c r="H282" s="352"/>
    </row>
    <row r="283" spans="1:8">
      <c r="A283" s="37" t="s">
        <v>24</v>
      </c>
      <c r="B283" s="614">
        <v>304.19900000000001</v>
      </c>
      <c r="C283" s="1506">
        <v>186.05766123999999</v>
      </c>
      <c r="D283" s="457">
        <f t="shared" si="11"/>
        <v>611.63140325905078</v>
      </c>
      <c r="E283" s="614">
        <v>89.370999999999995</v>
      </c>
      <c r="F283" s="1506">
        <v>40.757806690000002</v>
      </c>
      <c r="G283" s="457">
        <f t="shared" si="12"/>
        <v>456.05181423504274</v>
      </c>
      <c r="H283" s="352"/>
    </row>
    <row r="284" spans="1:8">
      <c r="A284" s="37" t="s">
        <v>25</v>
      </c>
      <c r="B284" s="614">
        <v>271.30599999999998</v>
      </c>
      <c r="C284" s="1506">
        <v>163.64217348</v>
      </c>
      <c r="D284" s="457">
        <f t="shared" si="11"/>
        <v>603.16459451689241</v>
      </c>
      <c r="E284" s="614">
        <v>65.09</v>
      </c>
      <c r="F284" s="1506">
        <v>38.173049040000002</v>
      </c>
      <c r="G284" s="457">
        <f t="shared" si="12"/>
        <v>586.46564817944375</v>
      </c>
      <c r="H284" s="352"/>
    </row>
    <row r="285" spans="1:8">
      <c r="A285" s="37" t="s">
        <v>26</v>
      </c>
      <c r="B285" s="614">
        <v>255.84700000000001</v>
      </c>
      <c r="C285" s="1506">
        <v>152.90851893000001</v>
      </c>
      <c r="D285" s="457">
        <f t="shared" si="11"/>
        <v>597.65609497082244</v>
      </c>
      <c r="E285" s="614">
        <v>65.150999999999996</v>
      </c>
      <c r="F285" s="1506">
        <v>43.199002270000001</v>
      </c>
      <c r="G285" s="457">
        <f t="shared" si="12"/>
        <v>663.05969624410989</v>
      </c>
      <c r="H285" s="352"/>
    </row>
    <row r="286" spans="1:8">
      <c r="A286" s="37" t="s">
        <v>27</v>
      </c>
      <c r="B286" s="614">
        <v>259.255</v>
      </c>
      <c r="C286" s="1506">
        <v>156.11448390000001</v>
      </c>
      <c r="D286" s="457">
        <f t="shared" si="11"/>
        <v>602.16575919461536</v>
      </c>
      <c r="E286" s="614">
        <v>67.638999999999996</v>
      </c>
      <c r="F286" s="1506">
        <v>42.697942580000003</v>
      </c>
      <c r="G286" s="457">
        <f t="shared" si="12"/>
        <v>631.26217980750755</v>
      </c>
      <c r="H286" s="352"/>
    </row>
    <row r="287" spans="1:8">
      <c r="A287" s="37" t="s">
        <v>28</v>
      </c>
      <c r="B287" s="614">
        <v>229.22200000000001</v>
      </c>
      <c r="C287" s="1506">
        <v>133.68467108999999</v>
      </c>
      <c r="D287" s="457">
        <f t="shared" si="11"/>
        <v>583.21047320937782</v>
      </c>
      <c r="E287" s="614">
        <v>66.688000000000002</v>
      </c>
      <c r="F287" s="1506">
        <v>37.695688629999999</v>
      </c>
      <c r="G287" s="457">
        <f t="shared" si="12"/>
        <v>565.25444802663151</v>
      </c>
      <c r="H287" s="352"/>
    </row>
    <row r="288" spans="1:8">
      <c r="A288" s="37" t="s">
        <v>29</v>
      </c>
      <c r="B288" s="614">
        <v>288.47500000000002</v>
      </c>
      <c r="C288" s="1506">
        <v>162.29863218</v>
      </c>
      <c r="D288" s="457">
        <f t="shared" si="11"/>
        <v>562.60900313718685</v>
      </c>
      <c r="E288" s="614">
        <v>103.64400000000001</v>
      </c>
      <c r="F288" s="1506">
        <v>47.707363569999998</v>
      </c>
      <c r="G288" s="457">
        <f t="shared" si="12"/>
        <v>460.30029302226848</v>
      </c>
      <c r="H288" s="352"/>
    </row>
    <row r="289" spans="1:8">
      <c r="A289" s="37" t="s">
        <v>4465</v>
      </c>
      <c r="B289" s="614"/>
      <c r="C289" s="1506"/>
      <c r="D289" s="457"/>
      <c r="E289" s="614"/>
      <c r="F289" s="1506"/>
      <c r="G289" s="457"/>
      <c r="H289" s="352"/>
    </row>
    <row r="290" spans="1:8">
      <c r="A290" s="37" t="s">
        <v>18</v>
      </c>
      <c r="B290" s="614">
        <v>209.29599999999999</v>
      </c>
      <c r="C290" s="1506">
        <v>120.65030333</v>
      </c>
      <c r="D290" s="457">
        <f t="shared" si="11"/>
        <v>576.4577599667457</v>
      </c>
      <c r="E290" s="614">
        <v>57.267000000000003</v>
      </c>
      <c r="F290" s="1506">
        <v>36.407169089999996</v>
      </c>
      <c r="G290" s="457">
        <f t="shared" si="12"/>
        <v>635.74430457331448</v>
      </c>
      <c r="H290" s="352"/>
    </row>
    <row r="291" spans="1:8">
      <c r="A291" s="37" t="s">
        <v>19</v>
      </c>
      <c r="B291" s="614">
        <v>208.33500000000001</v>
      </c>
      <c r="C291" s="1506">
        <v>120.5088243</v>
      </c>
      <c r="D291" s="457">
        <f t="shared" si="11"/>
        <v>578.43772913816679</v>
      </c>
      <c r="E291" s="614">
        <v>63.661000000000001</v>
      </c>
      <c r="F291" s="1506">
        <v>38.908486949999997</v>
      </c>
      <c r="G291" s="457">
        <f t="shared" si="12"/>
        <v>611.18246571684392</v>
      </c>
      <c r="H291" s="352"/>
    </row>
    <row r="292" spans="1:8">
      <c r="A292" s="37" t="s">
        <v>20</v>
      </c>
      <c r="B292" s="614">
        <v>237.99199999999999</v>
      </c>
      <c r="C292" s="1506">
        <v>123.20518924</v>
      </c>
      <c r="D292" s="457">
        <f t="shared" si="11"/>
        <v>517.68626357188475</v>
      </c>
      <c r="E292" s="614">
        <v>65.792000000000002</v>
      </c>
      <c r="F292" s="1506">
        <v>38.275892939999999</v>
      </c>
      <c r="G292" s="457">
        <f t="shared" si="12"/>
        <v>581.77123267266529</v>
      </c>
      <c r="H292" s="352"/>
    </row>
    <row r="293" spans="1:8">
      <c r="A293" s="37" t="s">
        <v>21</v>
      </c>
      <c r="B293" s="614">
        <v>239.995</v>
      </c>
      <c r="C293" s="1506">
        <v>149.56245763000001</v>
      </c>
      <c r="D293" s="457">
        <f t="shared" si="11"/>
        <v>623.18988991437334</v>
      </c>
      <c r="E293" s="614">
        <v>66.372</v>
      </c>
      <c r="F293" s="1506">
        <v>42.917225449999997</v>
      </c>
      <c r="G293" s="457">
        <f t="shared" si="12"/>
        <v>646.61642635448675</v>
      </c>
      <c r="H293" s="352"/>
    </row>
    <row r="294" spans="1:8">
      <c r="A294" s="37" t="s">
        <v>22</v>
      </c>
      <c r="B294" s="614">
        <v>246.624</v>
      </c>
      <c r="C294" s="1506">
        <v>189.69184852999999</v>
      </c>
      <c r="D294" s="457">
        <v>769.1540504168288</v>
      </c>
      <c r="E294" s="614">
        <v>67.929000000000002</v>
      </c>
      <c r="F294" s="1506">
        <v>39.713042029999997</v>
      </c>
      <c r="G294" s="457">
        <v>584.62574202476105</v>
      </c>
      <c r="H294" s="352"/>
    </row>
    <row r="295" spans="1:8" ht="12" customHeight="1">
      <c r="A295" s="574" t="s">
        <v>23</v>
      </c>
      <c r="B295" s="617">
        <v>306.30700000000002</v>
      </c>
      <c r="C295" s="1552">
        <v>289.57979180000001</v>
      </c>
      <c r="D295" s="1170">
        <v>945.39070866810096</v>
      </c>
      <c r="E295" s="617">
        <v>66.341999999999999</v>
      </c>
      <c r="F295" s="1552">
        <v>42.638540980000002</v>
      </c>
      <c r="G295" s="1170">
        <v>642.70810316240102</v>
      </c>
      <c r="H295" s="352"/>
    </row>
    <row r="296" spans="1:8" ht="13.5">
      <c r="A296" s="2693" t="s">
        <v>4258</v>
      </c>
      <c r="B296" s="2693"/>
      <c r="C296" s="2693"/>
      <c r="D296" s="2693"/>
      <c r="E296" s="2693"/>
      <c r="F296" s="2693"/>
      <c r="G296" s="2693"/>
      <c r="H296" s="1551"/>
    </row>
    <row r="297" spans="1:8" ht="13.5">
      <c r="A297" s="2693" t="s">
        <v>3255</v>
      </c>
      <c r="B297" s="2693"/>
      <c r="C297" s="2693"/>
      <c r="D297" s="2693"/>
      <c r="E297" s="2693"/>
      <c r="F297" s="2693"/>
      <c r="G297" s="2693"/>
    </row>
  </sheetData>
  <mergeCells count="13">
    <mergeCell ref="A296:G296"/>
    <mergeCell ref="A297:G297"/>
    <mergeCell ref="A1:G1"/>
    <mergeCell ref="A2:G2"/>
    <mergeCell ref="A3:G3"/>
    <mergeCell ref="A6:A8"/>
    <mergeCell ref="B6:G6"/>
    <mergeCell ref="B7:D7"/>
    <mergeCell ref="E7:G7"/>
    <mergeCell ref="A9:A11"/>
    <mergeCell ref="B9:G9"/>
    <mergeCell ref="B10:D10"/>
    <mergeCell ref="E10:G10"/>
  </mergeCells>
  <pageMargins left="0.7" right="0.7" top="0.75" bottom="0.75" header="0.3" footer="0.3"/>
  <pageSetup paperSize="9" scale="12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BEB6-6B4D-4658-B096-157848EFC34D}">
  <sheetPr codeName="Sheet55">
    <tabColor rgb="FF92D050"/>
  </sheetPr>
  <dimension ref="A1:BX85"/>
  <sheetViews>
    <sheetView showGridLines="0" view="pageBreakPreview" zoomScaleNormal="100" zoomScaleSheetLayoutView="100" workbookViewId="0">
      <pane ySplit="12" topLeftCell="A70" activePane="bottomLeft" state="frozen"/>
      <selection activeCell="F40" sqref="F40"/>
      <selection pane="bottomLeft" activeCell="R72" sqref="R72"/>
    </sheetView>
  </sheetViews>
  <sheetFormatPr defaultColWidth="8.85546875" defaultRowHeight="12.75"/>
  <cols>
    <col min="1" max="1" width="9.140625" style="1432" customWidth="1"/>
    <col min="2" max="7" width="15.7109375" style="1431" customWidth="1"/>
    <col min="8" max="9" width="8.85546875" style="1431"/>
    <col min="10" max="10" width="9.140625" style="1431" bestFit="1" customWidth="1"/>
    <col min="11" max="73" width="8.85546875" style="1431"/>
    <col min="74" max="74" width="0" style="1431" hidden="1" customWidth="1"/>
    <col min="75" max="16384" width="8.85546875" style="1431"/>
  </cols>
  <sheetData>
    <row r="1" spans="1:76" ht="12" customHeight="1">
      <c r="A1" s="2185" t="s">
        <v>3762</v>
      </c>
      <c r="B1" s="2185"/>
      <c r="C1" s="2185"/>
      <c r="D1" s="2185"/>
      <c r="E1" s="2185"/>
      <c r="F1" s="2185"/>
      <c r="G1" s="2185"/>
    </row>
    <row r="2" spans="1:76" s="1449" customFormat="1" ht="15.75" customHeight="1">
      <c r="A2" s="2185"/>
      <c r="B2" s="2185"/>
      <c r="C2" s="2185"/>
      <c r="D2" s="2185"/>
      <c r="E2" s="2185"/>
      <c r="F2" s="2185"/>
      <c r="G2" s="2185"/>
    </row>
    <row r="3" spans="1:76" ht="18.75" customHeight="1">
      <c r="A3" s="2700" t="s">
        <v>3763</v>
      </c>
      <c r="B3" s="2700"/>
      <c r="C3" s="2700"/>
      <c r="D3" s="2700"/>
      <c r="E3" s="2700"/>
      <c r="F3" s="2700"/>
      <c r="G3" s="2700"/>
    </row>
    <row r="4" spans="1:76" ht="9" customHeight="1">
      <c r="A4" s="1564"/>
      <c r="B4" s="1564"/>
      <c r="C4" s="1564"/>
      <c r="D4" s="1564"/>
      <c r="E4" s="1564"/>
      <c r="F4" s="1564"/>
      <c r="G4" s="1564"/>
    </row>
    <row r="5" spans="1:76" ht="10.5" customHeight="1">
      <c r="A5" s="488"/>
      <c r="B5" s="488"/>
      <c r="C5" s="488"/>
      <c r="D5" s="488"/>
      <c r="E5" s="488"/>
      <c r="F5" s="488"/>
      <c r="G5" s="488"/>
    </row>
    <row r="6" spans="1:76" ht="10.5" customHeight="1">
      <c r="A6" s="1448"/>
      <c r="B6" s="1448"/>
      <c r="C6" s="1448"/>
      <c r="D6" s="1448"/>
      <c r="E6" s="1448"/>
      <c r="F6" s="1448"/>
      <c r="G6" s="1448"/>
    </row>
    <row r="7" spans="1:76" ht="9" customHeight="1">
      <c r="A7" s="2145" t="s">
        <v>182</v>
      </c>
      <c r="B7" s="2145" t="s">
        <v>4198</v>
      </c>
      <c r="C7" s="2145"/>
      <c r="D7" s="2145"/>
      <c r="E7" s="2145" t="s">
        <v>4199</v>
      </c>
      <c r="F7" s="2145"/>
      <c r="G7" s="2145"/>
    </row>
    <row r="8" spans="1:76">
      <c r="A8" s="2145"/>
      <c r="B8" s="2145"/>
      <c r="C8" s="2145"/>
      <c r="D8" s="2145"/>
      <c r="E8" s="2145"/>
      <c r="F8" s="2145"/>
      <c r="G8" s="2145"/>
    </row>
    <row r="9" spans="1:76" ht="23.25" customHeight="1">
      <c r="A9" s="2145"/>
      <c r="B9" s="1231" t="s">
        <v>3764</v>
      </c>
      <c r="C9" s="1231" t="s">
        <v>236</v>
      </c>
      <c r="D9" s="1231" t="s">
        <v>3462</v>
      </c>
      <c r="E9" s="1231" t="s">
        <v>3764</v>
      </c>
      <c r="F9" s="1231" t="s">
        <v>236</v>
      </c>
      <c r="G9" s="1231" t="s">
        <v>3462</v>
      </c>
      <c r="BW9" s="90" t="s">
        <v>2049</v>
      </c>
      <c r="BX9" s="291" t="s">
        <v>2050</v>
      </c>
    </row>
    <row r="10" spans="1:76" ht="12.75" customHeight="1">
      <c r="A10" s="2198" t="s">
        <v>283</v>
      </c>
      <c r="B10" s="2198" t="s">
        <v>988</v>
      </c>
      <c r="C10" s="2198"/>
      <c r="D10" s="2198"/>
      <c r="E10" s="2198" t="s">
        <v>3765</v>
      </c>
      <c r="F10" s="2198"/>
      <c r="G10" s="2198"/>
      <c r="BS10" s="1431" t="e">
        <f>BS12+#REF!+#REF!+#REF!</f>
        <v>#REF!</v>
      </c>
      <c r="BW10" s="1431" t="e">
        <f>BW12+#REF!+#REF!+#REF!</f>
        <v>#REF!</v>
      </c>
      <c r="BX10" s="1441" t="e">
        <f>BS10+BT10+BU10+BW10</f>
        <v>#REF!</v>
      </c>
    </row>
    <row r="11" spans="1:76" ht="12" customHeight="1">
      <c r="A11" s="2198"/>
      <c r="B11" s="2198"/>
      <c r="C11" s="2198"/>
      <c r="D11" s="2198"/>
      <c r="E11" s="2198"/>
      <c r="F11" s="2198"/>
      <c r="G11" s="2198"/>
      <c r="BX11" s="1441"/>
    </row>
    <row r="12" spans="1:76" ht="20.25" customHeight="1">
      <c r="A12" s="2198"/>
      <c r="B12" s="1421" t="s">
        <v>3766</v>
      </c>
      <c r="C12" s="1421" t="s">
        <v>3767</v>
      </c>
      <c r="D12" s="1421" t="s">
        <v>3768</v>
      </c>
      <c r="E12" s="1421" t="s">
        <v>3766</v>
      </c>
      <c r="F12" s="1421" t="s">
        <v>3767</v>
      </c>
      <c r="G12" s="1421" t="s">
        <v>3768</v>
      </c>
      <c r="BW12" s="1431" t="e">
        <f>#REF!+#REF!</f>
        <v>#REF!</v>
      </c>
      <c r="BX12" s="1441" t="e">
        <f>BS12+BT12+BU12+BW12</f>
        <v>#REF!</v>
      </c>
    </row>
    <row r="13" spans="1:76">
      <c r="A13" s="1496">
        <v>2021</v>
      </c>
      <c r="B13" s="1496">
        <f t="shared" ref="B13:G13" si="0">SUM(B14:B25)</f>
        <v>91853.839000000007</v>
      </c>
      <c r="C13" s="1436">
        <f t="shared" si="0"/>
        <v>89.864000000000004</v>
      </c>
      <c r="D13" s="1436">
        <f t="shared" si="0"/>
        <v>45.247</v>
      </c>
      <c r="E13" s="1496">
        <f t="shared" si="0"/>
        <v>4705.9855538499996</v>
      </c>
      <c r="F13" s="1436">
        <f t="shared" si="0"/>
        <v>19.104749730000002</v>
      </c>
      <c r="G13" s="1436">
        <f t="shared" si="0"/>
        <v>5.3257566700000005</v>
      </c>
      <c r="BX13" s="1441"/>
    </row>
    <row r="14" spans="1:76">
      <c r="A14" s="37" t="s">
        <v>18</v>
      </c>
      <c r="B14" s="1491">
        <v>5638.7470000000003</v>
      </c>
      <c r="C14" s="614">
        <v>5.73</v>
      </c>
      <c r="D14" s="614">
        <v>1.921</v>
      </c>
      <c r="E14" s="1491">
        <v>290.90560776999996</v>
      </c>
      <c r="F14" s="614">
        <v>1.1702147700000001</v>
      </c>
      <c r="G14" s="614">
        <v>0.24410524</v>
      </c>
      <c r="BX14" s="1441"/>
    </row>
    <row r="15" spans="1:76">
      <c r="A15" s="37" t="s">
        <v>19</v>
      </c>
      <c r="B15" s="1491">
        <v>5573.2020000000002</v>
      </c>
      <c r="C15" s="614">
        <v>5.5209999999999999</v>
      </c>
      <c r="D15" s="614">
        <v>1.8720000000000001</v>
      </c>
      <c r="E15" s="1491">
        <v>287.51812044000002</v>
      </c>
      <c r="F15" s="614">
        <v>1.1242425199999999</v>
      </c>
      <c r="G15" s="614">
        <v>0.21491028000000001</v>
      </c>
      <c r="BX15" s="1441"/>
    </row>
    <row r="16" spans="1:76">
      <c r="A16" s="37" t="s">
        <v>20</v>
      </c>
      <c r="B16" s="1491">
        <v>6869.3850000000002</v>
      </c>
      <c r="C16" s="614">
        <v>6.83</v>
      </c>
      <c r="D16" s="614">
        <v>3.0169999999999999</v>
      </c>
      <c r="E16" s="1491">
        <v>356.80157874999998</v>
      </c>
      <c r="F16" s="614">
        <v>1.4227481199999998</v>
      </c>
      <c r="G16" s="614">
        <v>0.31602637</v>
      </c>
      <c r="BX16" s="1441"/>
    </row>
    <row r="17" spans="1:76">
      <c r="A17" s="37" t="s">
        <v>21</v>
      </c>
      <c r="B17" s="1491">
        <v>6391.94</v>
      </c>
      <c r="C17" s="614">
        <v>6.8949999999999996</v>
      </c>
      <c r="D17" s="614">
        <v>2.4860000000000002</v>
      </c>
      <c r="E17" s="1491">
        <v>325.24615839000001</v>
      </c>
      <c r="F17" s="614">
        <v>1.3785201100000002</v>
      </c>
      <c r="G17" s="614">
        <v>0.31007686000000001</v>
      </c>
      <c r="BX17" s="1441"/>
    </row>
    <row r="18" spans="1:76">
      <c r="A18" s="37" t="s">
        <v>22</v>
      </c>
      <c r="B18" s="1491">
        <v>6517.3270000000002</v>
      </c>
      <c r="C18" s="614">
        <v>6.1909999999999998</v>
      </c>
      <c r="D18" s="614">
        <v>2.4020000000000001</v>
      </c>
      <c r="E18" s="1491">
        <v>333.95033794</v>
      </c>
      <c r="F18" s="614">
        <v>1.2291442000000001</v>
      </c>
      <c r="G18" s="614">
        <v>0.30204331000000001</v>
      </c>
      <c r="BX18" s="1441"/>
    </row>
    <row r="19" spans="1:76">
      <c r="A19" s="37" t="s">
        <v>23</v>
      </c>
      <c r="B19" s="1491">
        <v>7728.8959999999997</v>
      </c>
      <c r="C19" s="614">
        <v>6.9420000000000002</v>
      </c>
      <c r="D19" s="614">
        <v>3.601</v>
      </c>
      <c r="E19" s="1491">
        <v>384.80414675999998</v>
      </c>
      <c r="F19" s="614">
        <v>1.6051996399999999</v>
      </c>
      <c r="G19" s="614">
        <v>0.53680695999999994</v>
      </c>
      <c r="BX19" s="1441"/>
    </row>
    <row r="20" spans="1:76">
      <c r="A20" s="37" t="s">
        <v>24</v>
      </c>
      <c r="B20" s="1491">
        <v>7464.8180000000002</v>
      </c>
      <c r="C20" s="614">
        <v>7.0170000000000003</v>
      </c>
      <c r="D20" s="614">
        <v>4.3209999999999997</v>
      </c>
      <c r="E20" s="1491">
        <v>393.91488482</v>
      </c>
      <c r="F20" s="614">
        <v>1.5555110599999999</v>
      </c>
      <c r="G20" s="614">
        <v>0.47327085999999996</v>
      </c>
      <c r="BX20" s="1441"/>
    </row>
    <row r="21" spans="1:76">
      <c r="A21" s="37" t="s">
        <v>25</v>
      </c>
      <c r="B21" s="1491">
        <v>8143.0169999999998</v>
      </c>
      <c r="C21" s="614">
        <v>8.1639999999999997</v>
      </c>
      <c r="D21" s="614">
        <v>5.3209999999999997</v>
      </c>
      <c r="E21" s="1491">
        <v>419.70021362</v>
      </c>
      <c r="F21" s="614">
        <v>1.9100890299999997</v>
      </c>
      <c r="G21" s="614">
        <v>0.58777029999999997</v>
      </c>
      <c r="BX21" s="1441"/>
    </row>
    <row r="22" spans="1:76">
      <c r="A22" s="37" t="s">
        <v>26</v>
      </c>
      <c r="B22" s="1491">
        <v>8144.3530000000001</v>
      </c>
      <c r="C22" s="614">
        <v>7.8319999999999999</v>
      </c>
      <c r="D22" s="614">
        <v>4.6779999999999999</v>
      </c>
      <c r="E22" s="1491">
        <v>423.56470293000001</v>
      </c>
      <c r="F22" s="614">
        <v>1.7376005000000001</v>
      </c>
      <c r="G22" s="614">
        <v>0.50008386999999999</v>
      </c>
      <c r="BX22" s="1441"/>
    </row>
    <row r="23" spans="1:76">
      <c r="A23" s="37" t="s">
        <v>27</v>
      </c>
      <c r="B23" s="1491">
        <v>8679.6530000000002</v>
      </c>
      <c r="C23" s="614">
        <v>7.8659999999999997</v>
      </c>
      <c r="D23" s="614">
        <v>4.4649999999999999</v>
      </c>
      <c r="E23" s="1491">
        <v>433.16883010000004</v>
      </c>
      <c r="F23" s="614">
        <v>1.7006910200000001</v>
      </c>
      <c r="G23" s="614">
        <v>0.52075527999999993</v>
      </c>
      <c r="BX23" s="1441"/>
    </row>
    <row r="24" spans="1:76">
      <c r="A24" s="37" t="s">
        <v>28</v>
      </c>
      <c r="B24" s="1491">
        <v>10059.825999999999</v>
      </c>
      <c r="C24" s="614">
        <v>10.34</v>
      </c>
      <c r="D24" s="614">
        <v>5.2039999999999997</v>
      </c>
      <c r="E24" s="1491">
        <v>498.49068463999998</v>
      </c>
      <c r="F24" s="614">
        <v>2.0796970099999998</v>
      </c>
      <c r="G24" s="614">
        <v>0.59922401000000003</v>
      </c>
      <c r="BX24" s="1441"/>
    </row>
    <row r="25" spans="1:76">
      <c r="A25" s="1496">
        <v>12</v>
      </c>
      <c r="B25" s="1491">
        <v>10642.674999999999</v>
      </c>
      <c r="C25" s="614">
        <v>10.536</v>
      </c>
      <c r="D25" s="614">
        <v>5.9589999999999996</v>
      </c>
      <c r="E25" s="1491">
        <v>557.9202876899999</v>
      </c>
      <c r="F25" s="614">
        <v>2.19109175</v>
      </c>
      <c r="G25" s="614">
        <v>0.72068332999999996</v>
      </c>
      <c r="BX25" s="1441"/>
    </row>
    <row r="26" spans="1:76">
      <c r="A26" s="37" t="s">
        <v>2812</v>
      </c>
      <c r="B26" s="1496">
        <f t="shared" ref="B26:G26" si="1">SUM(B27:B38)</f>
        <v>206759.17899999997</v>
      </c>
      <c r="C26" s="456">
        <f t="shared" si="1"/>
        <v>150.17400000000001</v>
      </c>
      <c r="D26" s="456">
        <f t="shared" si="1"/>
        <v>106.012</v>
      </c>
      <c r="E26" s="1496">
        <f t="shared" si="1"/>
        <v>10111.560517090002</v>
      </c>
      <c r="F26" s="456">
        <f t="shared" si="1"/>
        <v>39.060613859999997</v>
      </c>
      <c r="G26" s="456">
        <f t="shared" si="1"/>
        <v>14.79198055</v>
      </c>
      <c r="BX26" s="1441"/>
    </row>
    <row r="27" spans="1:76">
      <c r="A27" s="37" t="s">
        <v>18</v>
      </c>
      <c r="B27" s="1491">
        <v>11152.299000000001</v>
      </c>
      <c r="C27" s="614">
        <v>11.388999999999999</v>
      </c>
      <c r="D27" s="614">
        <v>5.9720000000000004</v>
      </c>
      <c r="E27" s="1491">
        <v>550.32223004999992</v>
      </c>
      <c r="F27" s="614">
        <v>2.3447657099999999</v>
      </c>
      <c r="G27" s="614">
        <v>0.61725246999999994</v>
      </c>
      <c r="BX27" s="1441"/>
    </row>
    <row r="28" spans="1:76">
      <c r="A28" s="37" t="s">
        <v>19</v>
      </c>
      <c r="B28" s="1491">
        <v>11686.228999999999</v>
      </c>
      <c r="C28" s="614">
        <v>9.9329999999999998</v>
      </c>
      <c r="D28" s="614">
        <v>5.5339999999999998</v>
      </c>
      <c r="E28" s="1491">
        <v>568.58432073000006</v>
      </c>
      <c r="F28" s="614">
        <v>2.2234407300000001</v>
      </c>
      <c r="G28" s="614">
        <v>0.59065721999999998</v>
      </c>
      <c r="BX28" s="1441"/>
    </row>
    <row r="29" spans="1:76">
      <c r="A29" s="37" t="s">
        <v>20</v>
      </c>
      <c r="B29" s="1491">
        <v>14430.772000000001</v>
      </c>
      <c r="C29" s="614">
        <v>11.138</v>
      </c>
      <c r="D29" s="614">
        <v>7.0049999999999999</v>
      </c>
      <c r="E29" s="1491">
        <v>694.52381525999999</v>
      </c>
      <c r="F29" s="614">
        <v>2.3907309700000003</v>
      </c>
      <c r="G29" s="614">
        <v>0.69591379000000009</v>
      </c>
      <c r="BX29" s="1441"/>
    </row>
    <row r="30" spans="1:76">
      <c r="A30" s="37" t="s">
        <v>21</v>
      </c>
      <c r="B30" s="1491">
        <v>13996.174000000001</v>
      </c>
      <c r="C30" s="614">
        <v>10.464</v>
      </c>
      <c r="D30" s="614">
        <v>5.3970000000000002</v>
      </c>
      <c r="E30" s="1491">
        <v>664.72949320000009</v>
      </c>
      <c r="F30" s="614">
        <v>2.0551839599999999</v>
      </c>
      <c r="G30" s="614">
        <v>0.62898645999999991</v>
      </c>
      <c r="BX30" s="1441"/>
    </row>
    <row r="31" spans="1:76">
      <c r="A31" s="37" t="s">
        <v>22</v>
      </c>
      <c r="B31" s="1491">
        <v>15780.759</v>
      </c>
      <c r="C31" s="614">
        <v>11.367000000000001</v>
      </c>
      <c r="D31" s="614">
        <v>6.8129999999999997</v>
      </c>
      <c r="E31" s="1491">
        <v>768.40689305000001</v>
      </c>
      <c r="F31" s="614">
        <v>2.4702857900000001</v>
      </c>
      <c r="G31" s="614">
        <v>0.78324634999999998</v>
      </c>
      <c r="BX31" s="1441"/>
    </row>
    <row r="32" spans="1:76">
      <c r="A32" s="37" t="s">
        <v>23</v>
      </c>
      <c r="B32" s="1491">
        <v>17487.065999999999</v>
      </c>
      <c r="C32" s="614">
        <v>13.319000000000001</v>
      </c>
      <c r="D32" s="614">
        <v>8.7289999999999992</v>
      </c>
      <c r="E32" s="1491">
        <v>857.55308088000015</v>
      </c>
      <c r="F32" s="614">
        <v>3.20356635</v>
      </c>
      <c r="G32" s="614">
        <v>1.4129091999999999</v>
      </c>
      <c r="BX32" s="1441"/>
    </row>
    <row r="33" spans="1:76">
      <c r="A33" s="37" t="s">
        <v>24</v>
      </c>
      <c r="B33" s="1491">
        <v>16800.405999999999</v>
      </c>
      <c r="C33" s="614">
        <v>12.061</v>
      </c>
      <c r="D33" s="614">
        <v>9.9920000000000009</v>
      </c>
      <c r="E33" s="1491">
        <v>859.35125220000009</v>
      </c>
      <c r="F33" s="614">
        <v>3.6872409400000001</v>
      </c>
      <c r="G33" s="614">
        <v>1.6272106400000002</v>
      </c>
      <c r="BX33" s="1441"/>
    </row>
    <row r="34" spans="1:76">
      <c r="A34" s="37" t="s">
        <v>25</v>
      </c>
      <c r="B34" s="1491">
        <v>20282.184000000001</v>
      </c>
      <c r="C34" s="614">
        <v>13.693</v>
      </c>
      <c r="D34" s="614">
        <v>10.942</v>
      </c>
      <c r="E34" s="1491">
        <v>975.81339326</v>
      </c>
      <c r="F34" s="614">
        <v>4.1412117299999993</v>
      </c>
      <c r="G34" s="614">
        <v>1.5859583500000001</v>
      </c>
      <c r="BX34" s="1441"/>
    </row>
    <row r="35" spans="1:76">
      <c r="A35" s="37" t="s">
        <v>26</v>
      </c>
      <c r="B35" s="1491">
        <v>19496.096000000001</v>
      </c>
      <c r="C35" s="614">
        <v>13.458</v>
      </c>
      <c r="D35" s="614">
        <v>10.792</v>
      </c>
      <c r="E35" s="1491">
        <v>949.24418721000006</v>
      </c>
      <c r="F35" s="614">
        <v>3.8169907199999997</v>
      </c>
      <c r="G35" s="614">
        <v>1.68519083</v>
      </c>
      <c r="BX35" s="1441"/>
    </row>
    <row r="36" spans="1:76">
      <c r="A36" s="37" t="s">
        <v>27</v>
      </c>
      <c r="B36" s="1491">
        <v>19891.609</v>
      </c>
      <c r="C36" s="614">
        <v>13.958</v>
      </c>
      <c r="D36" s="614">
        <v>11.263999999999999</v>
      </c>
      <c r="E36" s="1491">
        <v>986.68313869000008</v>
      </c>
      <c r="F36" s="614">
        <v>4.3296773699999997</v>
      </c>
      <c r="G36" s="614">
        <v>1.69251493</v>
      </c>
      <c r="BX36" s="1441"/>
    </row>
    <row r="37" spans="1:76">
      <c r="A37" s="37" t="s">
        <v>28</v>
      </c>
      <c r="B37" s="1491">
        <v>21986.008000000002</v>
      </c>
      <c r="C37" s="614">
        <v>14.601000000000001</v>
      </c>
      <c r="D37" s="614">
        <v>12.375</v>
      </c>
      <c r="E37" s="1491">
        <v>1062.7264637599999</v>
      </c>
      <c r="F37" s="614">
        <v>4.4191229199999995</v>
      </c>
      <c r="G37" s="614">
        <v>1.7330697900000001</v>
      </c>
      <c r="BX37" s="1441"/>
    </row>
    <row r="38" spans="1:76">
      <c r="A38" s="1496">
        <v>12</v>
      </c>
      <c r="B38" s="1491">
        <v>23769.577000000001</v>
      </c>
      <c r="C38" s="614">
        <v>14.792999999999999</v>
      </c>
      <c r="D38" s="614">
        <v>11.196999999999999</v>
      </c>
      <c r="E38" s="1491">
        <v>1173.6222487999999</v>
      </c>
      <c r="F38" s="614">
        <v>3.97839667</v>
      </c>
      <c r="G38" s="614">
        <v>1.7390705200000001</v>
      </c>
      <c r="BX38" s="1441"/>
    </row>
    <row r="39" spans="1:76">
      <c r="A39" s="37" t="s">
        <v>3500</v>
      </c>
      <c r="B39" s="1496">
        <f>SUM(B40:B51)</f>
        <v>394100.16300000006</v>
      </c>
      <c r="C39" s="1436">
        <f t="shared" ref="C39:G39" si="2">SUM(C40:C51)</f>
        <v>195.62100000000001</v>
      </c>
      <c r="D39" s="1436">
        <f t="shared" si="2"/>
        <v>149.23900000000003</v>
      </c>
      <c r="E39" s="1496">
        <f t="shared" si="2"/>
        <v>18920.899127060002</v>
      </c>
      <c r="F39" s="1436">
        <f t="shared" si="2"/>
        <v>51.244729919999997</v>
      </c>
      <c r="G39" s="1436">
        <f t="shared" si="2"/>
        <v>22.650426450000001</v>
      </c>
      <c r="H39" s="352"/>
    </row>
    <row r="40" spans="1:76">
      <c r="A40" s="37" t="s">
        <v>18</v>
      </c>
      <c r="B40" s="1491">
        <v>25019.954000000002</v>
      </c>
      <c r="C40" s="614">
        <v>14.661</v>
      </c>
      <c r="D40" s="614">
        <v>11.7</v>
      </c>
      <c r="E40" s="1497">
        <v>1164.3941651</v>
      </c>
      <c r="F40" s="614">
        <v>3.6257551100000005</v>
      </c>
      <c r="G40" s="614">
        <v>1.5461675299999997</v>
      </c>
      <c r="H40" s="352"/>
    </row>
    <row r="41" spans="1:76">
      <c r="A41" s="37" t="s">
        <v>19</v>
      </c>
      <c r="B41" s="1491">
        <v>24638.855</v>
      </c>
      <c r="C41" s="614">
        <v>13.817</v>
      </c>
      <c r="D41" s="614">
        <v>10.573</v>
      </c>
      <c r="E41" s="1497">
        <v>1181.5560661700001</v>
      </c>
      <c r="F41" s="614">
        <v>3.5521899499999998</v>
      </c>
      <c r="G41" s="614">
        <v>1.59492619</v>
      </c>
      <c r="H41" s="352"/>
    </row>
    <row r="42" spans="1:76">
      <c r="A42" s="37" t="s">
        <v>20</v>
      </c>
      <c r="B42" s="1491">
        <v>28822.878000000001</v>
      </c>
      <c r="C42" s="614">
        <v>14.162000000000001</v>
      </c>
      <c r="D42" s="614">
        <v>11.486000000000001</v>
      </c>
      <c r="E42" s="1497">
        <v>1383.1330404300002</v>
      </c>
      <c r="F42" s="614">
        <v>3.8591079000000006</v>
      </c>
      <c r="G42" s="614">
        <v>1.7010388999999999</v>
      </c>
      <c r="H42" s="352"/>
    </row>
    <row r="43" spans="1:76">
      <c r="A43" s="37" t="s">
        <v>21</v>
      </c>
      <c r="B43" s="1491">
        <v>27516.266</v>
      </c>
      <c r="C43" s="614">
        <v>13.039</v>
      </c>
      <c r="D43" s="614">
        <v>9.7899999999999991</v>
      </c>
      <c r="E43" s="1497">
        <v>1269.4686323699998</v>
      </c>
      <c r="F43" s="614">
        <v>3.44374066</v>
      </c>
      <c r="G43" s="614">
        <v>1.51835941</v>
      </c>
      <c r="H43" s="352"/>
    </row>
    <row r="44" spans="1:76">
      <c r="A44" s="37" t="s">
        <v>22</v>
      </c>
      <c r="B44" s="1491">
        <v>34770.608</v>
      </c>
      <c r="C44" s="614">
        <v>16.302</v>
      </c>
      <c r="D44" s="614">
        <v>13.118</v>
      </c>
      <c r="E44" s="1497">
        <v>1584.5950614799997</v>
      </c>
      <c r="F44" s="614">
        <v>4.32890745</v>
      </c>
      <c r="G44" s="614">
        <v>2.0925969100000001</v>
      </c>
      <c r="H44" s="352"/>
    </row>
    <row r="45" spans="1:76">
      <c r="A45" s="37" t="s">
        <v>23</v>
      </c>
      <c r="B45" s="1491">
        <v>27569.958999999999</v>
      </c>
      <c r="C45" s="614">
        <v>13.164</v>
      </c>
      <c r="D45" s="614">
        <v>10.221</v>
      </c>
      <c r="E45" s="1497">
        <v>1327.1979059600001</v>
      </c>
      <c r="F45" s="614">
        <v>3.6951623899999997</v>
      </c>
      <c r="G45" s="614">
        <v>1.69013601</v>
      </c>
      <c r="H45" s="352"/>
    </row>
    <row r="46" spans="1:76">
      <c r="A46" s="37" t="s">
        <v>24</v>
      </c>
      <c r="B46" s="1491">
        <v>37759.99</v>
      </c>
      <c r="C46" s="614">
        <v>18.841000000000001</v>
      </c>
      <c r="D46" s="614">
        <v>16.280999999999999</v>
      </c>
      <c r="E46" s="1497">
        <v>1820.3955726700001</v>
      </c>
      <c r="F46" s="614">
        <v>5.083335550000001</v>
      </c>
      <c r="G46" s="614">
        <v>2.8477400499999996</v>
      </c>
      <c r="H46" s="352"/>
    </row>
    <row r="47" spans="1:76">
      <c r="A47" s="37" t="s">
        <v>25</v>
      </c>
      <c r="B47" s="1491">
        <v>35723.472999999998</v>
      </c>
      <c r="C47" s="614">
        <v>17.446999999999999</v>
      </c>
      <c r="D47" s="614">
        <v>13.667</v>
      </c>
      <c r="E47" s="1497">
        <v>1718.3169999900001</v>
      </c>
      <c r="F47" s="614">
        <v>4.9063846599999996</v>
      </c>
      <c r="G47" s="614">
        <v>2.1747030100000004</v>
      </c>
      <c r="H47" s="352"/>
    </row>
    <row r="48" spans="1:76">
      <c r="A48" s="37" t="s">
        <v>26</v>
      </c>
      <c r="B48" s="1491">
        <v>34643.084999999999</v>
      </c>
      <c r="C48" s="614">
        <v>16.931999999999999</v>
      </c>
      <c r="D48" s="614">
        <v>13.313000000000001</v>
      </c>
      <c r="E48" s="1497">
        <v>1667.8559160499999</v>
      </c>
      <c r="F48" s="614">
        <v>4.7803670299999999</v>
      </c>
      <c r="G48" s="614">
        <v>2.1266176699999999</v>
      </c>
      <c r="H48" s="352"/>
    </row>
    <row r="49" spans="1:8">
      <c r="A49" s="37" t="s">
        <v>27</v>
      </c>
      <c r="B49" s="1491">
        <v>38409.798000000003</v>
      </c>
      <c r="C49" s="614">
        <v>18.669</v>
      </c>
      <c r="D49" s="614">
        <v>13.324999999999999</v>
      </c>
      <c r="E49" s="1497">
        <v>1909.9995778200002</v>
      </c>
      <c r="F49" s="614">
        <v>4.7925978600000008</v>
      </c>
      <c r="G49" s="614">
        <v>1.9981397700000001</v>
      </c>
      <c r="H49" s="352"/>
    </row>
    <row r="50" spans="1:8">
      <c r="A50" s="37" t="s">
        <v>28</v>
      </c>
      <c r="B50" s="1491">
        <v>38232.258000000002</v>
      </c>
      <c r="C50" s="614">
        <v>19.294</v>
      </c>
      <c r="D50" s="614">
        <v>13.103999999999999</v>
      </c>
      <c r="E50" s="1497">
        <v>1857.82768943</v>
      </c>
      <c r="F50" s="614">
        <v>4.7031482000000002</v>
      </c>
      <c r="G50" s="614">
        <v>1.78959154</v>
      </c>
      <c r="H50" s="352"/>
    </row>
    <row r="51" spans="1:8">
      <c r="A51" s="37" t="s">
        <v>29</v>
      </c>
      <c r="B51" s="1491">
        <v>40993.038999999997</v>
      </c>
      <c r="C51" s="614">
        <v>19.292999999999999</v>
      </c>
      <c r="D51" s="614">
        <v>12.661</v>
      </c>
      <c r="E51" s="1497">
        <v>2036.1584995900002</v>
      </c>
      <c r="F51" s="614">
        <v>4.4740331600000003</v>
      </c>
      <c r="G51" s="614">
        <v>1.57040946</v>
      </c>
      <c r="H51" s="352"/>
    </row>
    <row r="52" spans="1:8">
      <c r="A52" s="37" t="s">
        <v>3971</v>
      </c>
      <c r="B52" s="1496">
        <f>SUM(B53:B64)</f>
        <v>646973.50600000005</v>
      </c>
      <c r="C52" s="1496">
        <f t="shared" ref="C52:G52" si="3">SUM(C53:C64)</f>
        <v>292.65300000000002</v>
      </c>
      <c r="D52" s="1496">
        <f t="shared" si="3"/>
        <v>565.35899999999992</v>
      </c>
      <c r="E52" s="1496">
        <f t="shared" si="3"/>
        <v>30630.956348240001</v>
      </c>
      <c r="F52" s="1496">
        <f t="shared" si="3"/>
        <v>69.329295270000017</v>
      </c>
      <c r="G52" s="1496">
        <f t="shared" si="3"/>
        <v>29.579761730000005</v>
      </c>
      <c r="H52" s="352"/>
    </row>
    <row r="53" spans="1:8">
      <c r="A53" s="37" t="s">
        <v>18</v>
      </c>
      <c r="B53" s="1491">
        <v>42523.406000000003</v>
      </c>
      <c r="C53" s="614">
        <v>19.628</v>
      </c>
      <c r="D53" s="614">
        <v>12.505000000000001</v>
      </c>
      <c r="E53" s="1497">
        <v>2012.46664302</v>
      </c>
      <c r="F53" s="614">
        <v>4.7112102800000004</v>
      </c>
      <c r="G53" s="614">
        <v>1.48889198</v>
      </c>
      <c r="H53" s="352"/>
    </row>
    <row r="54" spans="1:8">
      <c r="A54" s="37" t="s">
        <v>19</v>
      </c>
      <c r="B54" s="1491">
        <v>41794.902000000002</v>
      </c>
      <c r="C54" s="614">
        <v>18.853999999999999</v>
      </c>
      <c r="D54" s="614">
        <v>11.500999999999999</v>
      </c>
      <c r="E54" s="1497">
        <v>2002.2396229799999</v>
      </c>
      <c r="F54" s="614">
        <v>4.7014315700000004</v>
      </c>
      <c r="G54" s="614">
        <v>1.4806760000000001</v>
      </c>
      <c r="H54" s="352"/>
    </row>
    <row r="55" spans="1:8">
      <c r="A55" s="37" t="s">
        <v>20</v>
      </c>
      <c r="B55" s="1491">
        <v>43362.548000000003</v>
      </c>
      <c r="C55" s="614">
        <v>19.231999999999999</v>
      </c>
      <c r="D55" s="614">
        <v>81.521000000000001</v>
      </c>
      <c r="E55" s="1497">
        <v>2107.3654302800001</v>
      </c>
      <c r="F55" s="614">
        <v>4.8899753100000005</v>
      </c>
      <c r="G55" s="614">
        <v>2.7468100600000001</v>
      </c>
      <c r="H55" s="352"/>
    </row>
    <row r="56" spans="1:8">
      <c r="A56" s="37" t="s">
        <v>21</v>
      </c>
      <c r="B56" s="1491">
        <v>49847.35</v>
      </c>
      <c r="C56" s="614">
        <v>22.047999999999998</v>
      </c>
      <c r="D56" s="614">
        <v>166.358</v>
      </c>
      <c r="E56" s="1497">
        <v>2325.5930802600001</v>
      </c>
      <c r="F56" s="614">
        <v>5.3585556600000004</v>
      </c>
      <c r="G56" s="614">
        <v>4.6606832800000007</v>
      </c>
      <c r="H56" s="352"/>
    </row>
    <row r="57" spans="1:8">
      <c r="A57" s="37" t="s">
        <v>22</v>
      </c>
      <c r="B57" s="1491">
        <v>50278.159</v>
      </c>
      <c r="C57" s="614">
        <v>21.184000000000001</v>
      </c>
      <c r="D57" s="614">
        <v>165.779</v>
      </c>
      <c r="E57" s="1497">
        <v>2363.6581869299998</v>
      </c>
      <c r="F57" s="614">
        <v>5.2643279299999994</v>
      </c>
      <c r="G57" s="614">
        <v>5.29221143</v>
      </c>
      <c r="H57" s="352"/>
    </row>
    <row r="58" spans="1:8">
      <c r="A58" s="37" t="s">
        <v>23</v>
      </c>
      <c r="B58" s="1491">
        <v>47753.788999999997</v>
      </c>
      <c r="C58" s="614">
        <v>21.399000000000001</v>
      </c>
      <c r="D58" s="614">
        <v>32.606000000000002</v>
      </c>
      <c r="E58" s="1497">
        <v>2290.2307874600001</v>
      </c>
      <c r="F58" s="614">
        <v>5.0453814900000005</v>
      </c>
      <c r="G58" s="614">
        <v>2.1381296700000001</v>
      </c>
      <c r="H58" s="352"/>
    </row>
    <row r="59" spans="1:8">
      <c r="A59" s="37" t="s">
        <v>24</v>
      </c>
      <c r="B59" s="1491">
        <v>55819.945</v>
      </c>
      <c r="C59" s="614">
        <v>25.21</v>
      </c>
      <c r="D59" s="614">
        <v>13.487</v>
      </c>
      <c r="E59" s="1497">
        <v>2715.0441817300002</v>
      </c>
      <c r="F59" s="614">
        <v>6.1761789</v>
      </c>
      <c r="G59" s="614">
        <v>1.9351980899999999</v>
      </c>
      <c r="H59" s="352"/>
    </row>
    <row r="60" spans="1:8">
      <c r="A60" s="37" t="s">
        <v>25</v>
      </c>
      <c r="B60" s="1491">
        <v>56270.457999999999</v>
      </c>
      <c r="C60" s="614">
        <v>31.507999999999999</v>
      </c>
      <c r="D60" s="614">
        <v>16.475000000000001</v>
      </c>
      <c r="E60" s="1497">
        <v>2636.5564721799997</v>
      </c>
      <c r="F60" s="614">
        <v>6.5271282900000003</v>
      </c>
      <c r="G60" s="614">
        <v>2.0884503400000001</v>
      </c>
      <c r="H60" s="352"/>
    </row>
    <row r="61" spans="1:8">
      <c r="A61" s="37" t="s">
        <v>26</v>
      </c>
      <c r="B61" s="1491">
        <v>64646.574000000001</v>
      </c>
      <c r="C61" s="614">
        <v>34.372</v>
      </c>
      <c r="D61" s="614">
        <v>17.658000000000001</v>
      </c>
      <c r="E61" s="1497">
        <v>3011.0556942999997</v>
      </c>
      <c r="F61" s="614">
        <v>6.9329172300000002</v>
      </c>
      <c r="G61" s="614">
        <v>1.9958984399999999</v>
      </c>
      <c r="H61" s="352"/>
    </row>
    <row r="62" spans="1:8">
      <c r="A62" s="37" t="s">
        <v>27</v>
      </c>
      <c r="B62" s="1491">
        <v>67034.520999999993</v>
      </c>
      <c r="C62" s="614">
        <v>27.571999999999999</v>
      </c>
      <c r="D62" s="614">
        <v>15.938000000000001</v>
      </c>
      <c r="E62" s="1497">
        <v>3099.5926005900001</v>
      </c>
      <c r="F62" s="614">
        <v>6.6750724399999992</v>
      </c>
      <c r="G62" s="614">
        <v>1.9315011399999999</v>
      </c>
      <c r="H62" s="352"/>
    </row>
    <row r="63" spans="1:8">
      <c r="A63" s="37" t="s">
        <v>28</v>
      </c>
      <c r="B63" s="1491">
        <v>60045.067000000003</v>
      </c>
      <c r="C63" s="614">
        <v>24.431999999999999</v>
      </c>
      <c r="D63" s="614">
        <v>14.958</v>
      </c>
      <c r="E63" s="1497">
        <v>2841.8500574300001</v>
      </c>
      <c r="F63" s="614">
        <v>6.4253215099999998</v>
      </c>
      <c r="G63" s="614">
        <v>1.7911675499999999</v>
      </c>
      <c r="H63" s="352"/>
    </row>
    <row r="64" spans="1:8">
      <c r="A64" s="37" t="s">
        <v>29</v>
      </c>
      <c r="B64" s="1491">
        <v>67596.786999999997</v>
      </c>
      <c r="C64" s="614">
        <v>27.213999999999999</v>
      </c>
      <c r="D64" s="614">
        <v>16.573</v>
      </c>
      <c r="E64" s="1497">
        <v>3225.3035910800004</v>
      </c>
      <c r="F64" s="614">
        <v>6.6217946599999999</v>
      </c>
      <c r="G64" s="614">
        <v>2.0301437500000001</v>
      </c>
      <c r="H64" s="352"/>
    </row>
    <row r="65" spans="1:8">
      <c r="A65" s="37" t="s">
        <v>4202</v>
      </c>
      <c r="B65" s="1436">
        <f>SUM(B66:B77)</f>
        <v>871198.79500000016</v>
      </c>
      <c r="C65" s="1436">
        <f t="shared" ref="C65:G65" si="4">SUM(C66:C77)</f>
        <v>318.90699999999998</v>
      </c>
      <c r="D65" s="1436">
        <f t="shared" si="4"/>
        <v>194.71600000000001</v>
      </c>
      <c r="E65" s="1436">
        <f t="shared" si="4"/>
        <v>40327.632523380009</v>
      </c>
      <c r="F65" s="1436">
        <f t="shared" si="4"/>
        <v>79.804409100000001</v>
      </c>
      <c r="G65" s="1436">
        <f t="shared" si="4"/>
        <v>23.644055399999999</v>
      </c>
      <c r="H65" s="352"/>
    </row>
    <row r="66" spans="1:8">
      <c r="A66" s="37" t="s">
        <v>18</v>
      </c>
      <c r="B66" s="1491">
        <v>69898.797999999995</v>
      </c>
      <c r="C66" s="614">
        <v>28.571999999999999</v>
      </c>
      <c r="D66" s="614">
        <v>16.533999999999999</v>
      </c>
      <c r="E66" s="1497">
        <v>3038.3477450400005</v>
      </c>
      <c r="F66" s="614">
        <v>7.0410188199999997</v>
      </c>
      <c r="G66" s="614">
        <v>2.0263377399999998</v>
      </c>
      <c r="H66" s="352"/>
    </row>
    <row r="67" spans="1:8">
      <c r="A67" s="37" t="s">
        <v>19</v>
      </c>
      <c r="B67" s="1491">
        <v>60461.953999999998</v>
      </c>
      <c r="C67" s="614">
        <v>24.643000000000001</v>
      </c>
      <c r="D67" s="614">
        <v>14.891</v>
      </c>
      <c r="E67" s="1497">
        <v>2824.71930858</v>
      </c>
      <c r="F67" s="614">
        <v>6.0567118099999995</v>
      </c>
      <c r="G67" s="614">
        <v>1.76487065</v>
      </c>
      <c r="H67" s="352"/>
    </row>
    <row r="68" spans="1:8">
      <c r="A68" s="37" t="s">
        <v>20</v>
      </c>
      <c r="B68" s="1491">
        <v>68369.312999999995</v>
      </c>
      <c r="C68" s="614">
        <v>18.178999999999998</v>
      </c>
      <c r="D68" s="614">
        <v>9.9670000000000005</v>
      </c>
      <c r="E68" s="1497">
        <v>3224.97073116</v>
      </c>
      <c r="F68" s="614">
        <v>4.8521387499999999</v>
      </c>
      <c r="G68" s="614">
        <v>1.21275011</v>
      </c>
      <c r="H68" s="352"/>
    </row>
    <row r="69" spans="1:8">
      <c r="A69" s="37" t="s">
        <v>21</v>
      </c>
      <c r="B69" s="1491">
        <v>71155.797000000006</v>
      </c>
      <c r="C69" s="614">
        <v>36.344999999999999</v>
      </c>
      <c r="D69" s="614">
        <v>20.984999999999999</v>
      </c>
      <c r="E69" s="1497">
        <v>3176.9656402800001</v>
      </c>
      <c r="F69" s="614">
        <v>9.80939592</v>
      </c>
      <c r="G69" s="614">
        <v>2.5525379400000001</v>
      </c>
      <c r="H69" s="352"/>
    </row>
    <row r="70" spans="1:8">
      <c r="A70" s="37" t="s">
        <v>22</v>
      </c>
      <c r="B70" s="1491">
        <v>71960.107999999993</v>
      </c>
      <c r="C70" s="614">
        <v>26.800999999999998</v>
      </c>
      <c r="D70" s="614">
        <v>14.672000000000001</v>
      </c>
      <c r="E70" s="1497">
        <v>3307.5423133300001</v>
      </c>
      <c r="F70" s="614">
        <v>6.65297451</v>
      </c>
      <c r="G70" s="614">
        <v>1.85358672</v>
      </c>
      <c r="H70" s="352"/>
    </row>
    <row r="71" spans="1:8">
      <c r="A71" s="37" t="s">
        <v>23</v>
      </c>
      <c r="B71" s="1491">
        <v>74015.952999999994</v>
      </c>
      <c r="C71" s="614">
        <v>27.794</v>
      </c>
      <c r="D71" s="614">
        <v>16.577000000000002</v>
      </c>
      <c r="E71" s="1497">
        <v>3514.2876328400002</v>
      </c>
      <c r="F71" s="614">
        <v>6.8416474599999999</v>
      </c>
      <c r="G71" s="614">
        <v>2.0723440600000003</v>
      </c>
      <c r="H71" s="352"/>
    </row>
    <row r="72" spans="1:8">
      <c r="A72" s="37" t="s">
        <v>24</v>
      </c>
      <c r="B72" s="1491">
        <v>75283.585999999996</v>
      </c>
      <c r="C72" s="614">
        <v>27.923999999999999</v>
      </c>
      <c r="D72" s="614">
        <v>17.045000000000002</v>
      </c>
      <c r="E72" s="1497">
        <v>3589.42007921</v>
      </c>
      <c r="F72" s="614">
        <v>7.4007604399999991</v>
      </c>
      <c r="G72" s="614">
        <v>2.3378756600000004</v>
      </c>
      <c r="H72" s="352"/>
    </row>
    <row r="73" spans="1:8">
      <c r="A73" s="37" t="s">
        <v>25</v>
      </c>
      <c r="B73" s="1491">
        <v>71070.255999999994</v>
      </c>
      <c r="C73" s="614">
        <v>26.940999999999999</v>
      </c>
      <c r="D73" s="614">
        <v>16.239000000000001</v>
      </c>
      <c r="E73" s="1497">
        <v>3403.2723145800001</v>
      </c>
      <c r="F73" s="614">
        <v>6.6546105400000002</v>
      </c>
      <c r="G73" s="614">
        <v>2.0509733100000003</v>
      </c>
      <c r="H73" s="352"/>
    </row>
    <row r="74" spans="1:8">
      <c r="A74" s="37" t="s">
        <v>26</v>
      </c>
      <c r="B74" s="1491">
        <v>79345.236000000004</v>
      </c>
      <c r="C74" s="614">
        <v>28.385000000000002</v>
      </c>
      <c r="D74" s="614">
        <v>16.741</v>
      </c>
      <c r="E74" s="1497">
        <v>3667.6665187600001</v>
      </c>
      <c r="F74" s="614">
        <v>6.8951719700000007</v>
      </c>
      <c r="G74" s="614">
        <v>2.0210249500000002</v>
      </c>
      <c r="H74" s="352"/>
    </row>
    <row r="75" spans="1:8">
      <c r="A75" s="37" t="s">
        <v>27</v>
      </c>
      <c r="B75" s="1491">
        <v>77606.466</v>
      </c>
      <c r="C75" s="614">
        <v>24.388999999999999</v>
      </c>
      <c r="D75" s="614">
        <v>16.893999999999998</v>
      </c>
      <c r="E75" s="1497">
        <v>3543.9114883799998</v>
      </c>
      <c r="F75" s="614">
        <v>6.0059715100000002</v>
      </c>
      <c r="G75" s="614">
        <v>1.83944704</v>
      </c>
      <c r="H75" s="352"/>
    </row>
    <row r="76" spans="1:8">
      <c r="A76" s="37" t="s">
        <v>28</v>
      </c>
      <c r="B76" s="1491">
        <v>69223.517999999996</v>
      </c>
      <c r="C76" s="614">
        <v>24.952999999999999</v>
      </c>
      <c r="D76" s="614">
        <v>16.376000000000001</v>
      </c>
      <c r="E76" s="1497">
        <v>3153.0001860500001</v>
      </c>
      <c r="F76" s="614">
        <v>5.6781978099999995</v>
      </c>
      <c r="G76" s="614">
        <v>1.8708385099999998</v>
      </c>
      <c r="H76" s="352"/>
    </row>
    <row r="77" spans="1:8">
      <c r="A77" s="37" t="s">
        <v>29</v>
      </c>
      <c r="B77" s="1491">
        <v>82807.81</v>
      </c>
      <c r="C77" s="614">
        <v>23.981000000000002</v>
      </c>
      <c r="D77" s="614">
        <v>17.795000000000002</v>
      </c>
      <c r="E77" s="1497">
        <v>3883.5285651700001</v>
      </c>
      <c r="F77" s="614">
        <v>5.9158095599999996</v>
      </c>
      <c r="G77" s="614">
        <v>2.0414687099999997</v>
      </c>
      <c r="H77" s="352"/>
    </row>
    <row r="78" spans="1:8">
      <c r="A78" s="37" t="s">
        <v>4465</v>
      </c>
      <c r="B78" s="1491"/>
      <c r="C78" s="614"/>
      <c r="D78" s="614"/>
      <c r="E78" s="1497"/>
      <c r="F78" s="614"/>
      <c r="G78" s="614"/>
      <c r="H78" s="352"/>
    </row>
    <row r="79" spans="1:8">
      <c r="A79" s="37" t="s">
        <v>18</v>
      </c>
      <c r="B79" s="1491">
        <v>74261.763999999996</v>
      </c>
      <c r="C79" s="614">
        <v>21.422999999999998</v>
      </c>
      <c r="D79" s="614">
        <v>15.388</v>
      </c>
      <c r="E79" s="1497">
        <v>3268.5454720399998</v>
      </c>
      <c r="F79" s="614">
        <v>5.6363232099999996</v>
      </c>
      <c r="G79" s="614">
        <v>1.5931821600000002</v>
      </c>
      <c r="H79" s="352"/>
    </row>
    <row r="80" spans="1:8">
      <c r="A80" s="37" t="s">
        <v>19</v>
      </c>
      <c r="B80" s="1491">
        <v>70959.731</v>
      </c>
      <c r="C80" s="614">
        <v>22.872</v>
      </c>
      <c r="D80" s="614">
        <v>15.702</v>
      </c>
      <c r="E80" s="1497">
        <v>3124.8943705500001</v>
      </c>
      <c r="F80" s="614">
        <v>5.0960945500000001</v>
      </c>
      <c r="G80" s="614">
        <v>1.771979</v>
      </c>
      <c r="H80" s="352"/>
    </row>
    <row r="81" spans="1:31">
      <c r="A81" s="37" t="s">
        <v>20</v>
      </c>
      <c r="B81" s="1491">
        <v>82753.02</v>
      </c>
      <c r="C81" s="614">
        <v>27.145</v>
      </c>
      <c r="D81" s="614">
        <v>19.120999999999999</v>
      </c>
      <c r="E81" s="1497">
        <v>3629.61883614</v>
      </c>
      <c r="F81" s="614">
        <v>6.1054773400000002</v>
      </c>
      <c r="G81" s="614">
        <v>1.9697866899999998</v>
      </c>
      <c r="H81" s="352"/>
    </row>
    <row r="82" spans="1:31">
      <c r="A82" s="37" t="s">
        <v>21</v>
      </c>
      <c r="B82" s="1491">
        <v>74448.782000000007</v>
      </c>
      <c r="C82" s="614">
        <v>24.614999999999998</v>
      </c>
      <c r="D82" s="614">
        <v>15.88</v>
      </c>
      <c r="E82" s="1497">
        <v>2875.3491387100003</v>
      </c>
      <c r="F82" s="614">
        <v>5.5592976399999996</v>
      </c>
      <c r="G82" s="614">
        <v>1.73969828</v>
      </c>
      <c r="H82" s="352"/>
    </row>
    <row r="83" spans="1:31">
      <c r="A83" s="37" t="s">
        <v>22</v>
      </c>
      <c r="B83" s="1491">
        <v>74483.464999999997</v>
      </c>
      <c r="C83" s="614">
        <v>21.155000000000001</v>
      </c>
      <c r="D83" s="614">
        <v>13.492000000000001</v>
      </c>
      <c r="E83" s="1497">
        <v>2997.5822514499996</v>
      </c>
      <c r="F83" s="614">
        <v>5.2412350999999999</v>
      </c>
      <c r="G83" s="614">
        <v>1.5178238899999998</v>
      </c>
      <c r="H83" s="352"/>
    </row>
    <row r="84" spans="1:31">
      <c r="A84" s="574" t="s">
        <v>23</v>
      </c>
      <c r="B84" s="1490">
        <v>81098.857000000004</v>
      </c>
      <c r="C84" s="617">
        <v>27.803999999999998</v>
      </c>
      <c r="D84" s="617">
        <v>17.978000000000002</v>
      </c>
      <c r="E84" s="1486">
        <v>3017.5683322199998</v>
      </c>
      <c r="F84" s="617">
        <v>6.7888764699999999</v>
      </c>
      <c r="G84" s="617">
        <v>2.0714178300000001</v>
      </c>
      <c r="H84" s="352"/>
    </row>
    <row r="85" spans="1:31" s="883" customFormat="1" ht="13.5" customHeight="1">
      <c r="A85" s="2699" t="s">
        <v>2678</v>
      </c>
      <c r="B85" s="2699"/>
      <c r="C85" s="2699"/>
      <c r="D85" s="2699"/>
      <c r="E85" s="2699"/>
      <c r="F85" s="2699"/>
      <c r="G85" s="2699"/>
      <c r="H85" s="1433"/>
      <c r="I85" s="1433"/>
      <c r="J85" s="1433"/>
      <c r="K85" s="1433"/>
      <c r="L85" s="1433"/>
      <c r="M85" s="1433"/>
      <c r="N85" s="1433"/>
      <c r="O85" s="1433"/>
      <c r="P85" s="1433"/>
      <c r="Q85" s="1433"/>
      <c r="R85" s="1433"/>
      <c r="S85" s="1433"/>
      <c r="T85" s="1433"/>
      <c r="U85" s="1433"/>
      <c r="V85" s="1433"/>
      <c r="W85" s="1433"/>
      <c r="X85" s="1433"/>
      <c r="Y85" s="1433"/>
      <c r="Z85" s="1433"/>
      <c r="AA85" s="1433"/>
      <c r="AB85" s="1433"/>
      <c r="AC85" s="1433"/>
      <c r="AD85" s="1433"/>
      <c r="AE85" s="1433"/>
    </row>
  </sheetData>
  <mergeCells count="9">
    <mergeCell ref="A85:G85"/>
    <mergeCell ref="A1:G2"/>
    <mergeCell ref="A3:G3"/>
    <mergeCell ref="A7:A9"/>
    <mergeCell ref="B7:D8"/>
    <mergeCell ref="E7:G8"/>
    <mergeCell ref="A10:A12"/>
    <mergeCell ref="B10:D11"/>
    <mergeCell ref="E10:G11"/>
  </mergeCells>
  <pageMargins left="0.7" right="0.7" top="0.75" bottom="0.75" header="0.3" footer="0.3"/>
  <pageSetup paperSize="9" scale="12" orientation="portrait" verticalDpi="4294967295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>
    <tabColor rgb="FF92D050"/>
  </sheetPr>
  <dimension ref="A1:CU29"/>
  <sheetViews>
    <sheetView showGridLines="0" view="pageBreakPreview" zoomScale="55" zoomScaleNormal="90" zoomScaleSheetLayoutView="55" workbookViewId="0">
      <pane xSplit="16" topLeftCell="BZ1" activePane="topRight" state="frozen"/>
      <selection activeCell="F40" sqref="F40"/>
      <selection pane="topRight" activeCell="DA35" sqref="DA35"/>
    </sheetView>
  </sheetViews>
  <sheetFormatPr defaultColWidth="9.140625" defaultRowHeight="15.75"/>
  <cols>
    <col min="1" max="1" width="76.140625" style="970" customWidth="1"/>
    <col min="2" max="16" width="18" style="970" hidden="1" customWidth="1"/>
    <col min="17" max="17" width="18" style="971" customWidth="1"/>
    <col min="18" max="20" width="18" style="971" hidden="1" customWidth="1"/>
    <col min="21" max="21" width="17.28515625" style="971" hidden="1" customWidth="1"/>
    <col min="22" max="24" width="17.7109375" style="971" hidden="1" customWidth="1"/>
    <col min="25" max="25" width="18" style="971" hidden="1" customWidth="1"/>
    <col min="26" max="28" width="17.7109375" style="971" hidden="1" customWidth="1"/>
    <col min="29" max="29" width="17.7109375" style="971" customWidth="1"/>
    <col min="30" max="40" width="17.7109375" style="971" hidden="1" customWidth="1"/>
    <col min="41" max="41" width="17.7109375" style="971" customWidth="1"/>
    <col min="42" max="52" width="17.7109375" style="971" hidden="1" customWidth="1"/>
    <col min="53" max="53" width="17.7109375" style="971" customWidth="1"/>
    <col min="54" max="64" width="17.7109375" style="971" hidden="1" customWidth="1"/>
    <col min="65" max="65" width="17.7109375" style="971" customWidth="1"/>
    <col min="66" max="76" width="17.7109375" style="971" hidden="1" customWidth="1"/>
    <col min="77" max="83" width="17.7109375" style="971" customWidth="1"/>
    <col min="84" max="95" width="17.28515625" style="971" customWidth="1"/>
    <col min="96" max="96" width="77.7109375" style="971" customWidth="1"/>
    <col min="97" max="97" width="11" style="972" customWidth="1"/>
    <col min="98" max="98" width="18.42578125" style="971" customWidth="1"/>
    <col min="99" max="16384" width="9.140625" style="971"/>
  </cols>
  <sheetData>
    <row r="1" spans="1:97" ht="11.45" customHeight="1">
      <c r="W1" s="971" t="s">
        <v>2505</v>
      </c>
    </row>
    <row r="2" spans="1:97" s="973" customFormat="1" ht="31.5" customHeight="1">
      <c r="A2" s="2703" t="s">
        <v>3263</v>
      </c>
      <c r="B2" s="2703"/>
      <c r="C2" s="2703"/>
      <c r="D2" s="2703"/>
      <c r="E2" s="2703"/>
      <c r="F2" s="2703"/>
      <c r="G2" s="2703"/>
      <c r="H2" s="2703"/>
      <c r="I2" s="2703"/>
      <c r="J2" s="2703"/>
      <c r="K2" s="2703"/>
      <c r="L2" s="2703"/>
      <c r="M2" s="2703"/>
      <c r="N2" s="2703"/>
      <c r="O2" s="2703"/>
      <c r="P2" s="2703"/>
      <c r="Q2" s="2703"/>
      <c r="R2" s="2703"/>
      <c r="S2" s="2703"/>
      <c r="T2" s="2703"/>
      <c r="U2" s="2703"/>
      <c r="V2" s="2703"/>
      <c r="W2" s="2703"/>
      <c r="X2" s="2703"/>
      <c r="Y2" s="2703"/>
      <c r="Z2" s="2703"/>
      <c r="AA2" s="2703"/>
      <c r="AB2" s="2703"/>
      <c r="AC2" s="2703"/>
      <c r="AD2" s="2703"/>
      <c r="AE2" s="2703"/>
      <c r="AF2" s="2703"/>
      <c r="AG2" s="2703"/>
      <c r="AH2" s="2703"/>
      <c r="AI2" s="2703"/>
      <c r="AJ2" s="2703"/>
      <c r="AK2" s="2703"/>
      <c r="AL2" s="2703"/>
      <c r="AM2" s="2703"/>
      <c r="AN2" s="2703"/>
      <c r="AO2" s="2703"/>
      <c r="AP2" s="2703"/>
      <c r="AQ2" s="2703"/>
      <c r="AR2" s="2703"/>
      <c r="AS2" s="2703"/>
      <c r="AT2" s="2703"/>
      <c r="AU2" s="2703"/>
      <c r="AV2" s="2703"/>
      <c r="AW2" s="2703"/>
      <c r="AX2" s="2703"/>
      <c r="AY2" s="2703"/>
      <c r="AZ2" s="2703"/>
      <c r="BA2" s="2703"/>
      <c r="BB2" s="2703"/>
      <c r="BC2" s="2703"/>
      <c r="BD2" s="2703"/>
      <c r="BE2" s="2703"/>
      <c r="BF2" s="2703"/>
      <c r="BG2" s="2703"/>
      <c r="BH2" s="2703"/>
      <c r="BI2" s="2703"/>
      <c r="BJ2" s="2703"/>
      <c r="BK2" s="2703"/>
      <c r="BL2" s="2703"/>
      <c r="BM2" s="2703"/>
      <c r="BN2" s="2703"/>
      <c r="BO2" s="2703"/>
      <c r="BP2" s="2703"/>
      <c r="BQ2" s="2703"/>
      <c r="BR2" s="2703"/>
      <c r="BS2" s="2703"/>
      <c r="BT2" s="2703"/>
      <c r="BU2" s="2703"/>
      <c r="BV2" s="2703"/>
      <c r="BW2" s="2703"/>
      <c r="BX2" s="2703"/>
      <c r="BY2" s="2703"/>
      <c r="BZ2" s="2703"/>
      <c r="CA2" s="2703"/>
      <c r="CB2" s="2703"/>
      <c r="CC2" s="2703"/>
      <c r="CD2" s="2703"/>
      <c r="CE2" s="2703"/>
      <c r="CF2" s="2703"/>
      <c r="CG2" s="2703"/>
      <c r="CH2" s="2703"/>
      <c r="CI2" s="2703"/>
      <c r="CJ2" s="2703"/>
      <c r="CK2" s="2703"/>
      <c r="CL2" s="2703"/>
      <c r="CM2" s="2703"/>
      <c r="CN2" s="2703"/>
      <c r="CO2" s="2703"/>
      <c r="CP2" s="2703"/>
      <c r="CQ2" s="2703"/>
      <c r="CR2" s="2703"/>
      <c r="CS2" s="974"/>
    </row>
    <row r="3" spans="1:97" s="973" customFormat="1" ht="36" customHeight="1">
      <c r="A3" s="2704" t="s">
        <v>3264</v>
      </c>
      <c r="B3" s="2704"/>
      <c r="C3" s="2704"/>
      <c r="D3" s="2704"/>
      <c r="E3" s="2704"/>
      <c r="F3" s="2704"/>
      <c r="G3" s="2704"/>
      <c r="H3" s="2704"/>
      <c r="I3" s="2704"/>
      <c r="J3" s="2704"/>
      <c r="K3" s="2704"/>
      <c r="L3" s="2704"/>
      <c r="M3" s="2704"/>
      <c r="N3" s="2704"/>
      <c r="O3" s="2704"/>
      <c r="P3" s="2704"/>
      <c r="Q3" s="2704"/>
      <c r="R3" s="2704"/>
      <c r="S3" s="2704"/>
      <c r="T3" s="2704"/>
      <c r="U3" s="2704"/>
      <c r="V3" s="2704"/>
      <c r="W3" s="2704"/>
      <c r="X3" s="2704"/>
      <c r="Y3" s="2704"/>
      <c r="Z3" s="2704"/>
      <c r="AA3" s="2704"/>
      <c r="AB3" s="2704"/>
      <c r="AC3" s="2704"/>
      <c r="AD3" s="2704"/>
      <c r="AE3" s="2704"/>
      <c r="AF3" s="2704"/>
      <c r="AG3" s="2704"/>
      <c r="AH3" s="2704"/>
      <c r="AI3" s="2704"/>
      <c r="AJ3" s="2704"/>
      <c r="AK3" s="2704"/>
      <c r="AL3" s="2704"/>
      <c r="AM3" s="2704"/>
      <c r="AN3" s="2704"/>
      <c r="AO3" s="2704"/>
      <c r="AP3" s="2704"/>
      <c r="AQ3" s="2704"/>
      <c r="AR3" s="2704"/>
      <c r="AS3" s="2704"/>
      <c r="AT3" s="2704"/>
      <c r="AU3" s="2704"/>
      <c r="AV3" s="2704"/>
      <c r="AW3" s="2704"/>
      <c r="AX3" s="2704"/>
      <c r="AY3" s="2704"/>
      <c r="AZ3" s="2704"/>
      <c r="BA3" s="2704"/>
      <c r="BB3" s="2704"/>
      <c r="BC3" s="2704"/>
      <c r="BD3" s="2704"/>
      <c r="BE3" s="2704"/>
      <c r="BF3" s="2704"/>
      <c r="BG3" s="2704"/>
      <c r="BH3" s="2704"/>
      <c r="BI3" s="2704"/>
      <c r="BJ3" s="2704"/>
      <c r="BK3" s="2704"/>
      <c r="BL3" s="2704"/>
      <c r="BM3" s="2704"/>
      <c r="BN3" s="2704"/>
      <c r="BO3" s="2704"/>
      <c r="BP3" s="2704"/>
      <c r="BQ3" s="2704"/>
      <c r="BR3" s="2704"/>
      <c r="BS3" s="2704"/>
      <c r="BT3" s="2704"/>
      <c r="BU3" s="2704"/>
      <c r="BV3" s="2704"/>
      <c r="BW3" s="2704"/>
      <c r="BX3" s="2704"/>
      <c r="BY3" s="2704"/>
      <c r="BZ3" s="2704"/>
      <c r="CA3" s="2704"/>
      <c r="CB3" s="2704"/>
      <c r="CC3" s="2704"/>
      <c r="CD3" s="2704"/>
      <c r="CE3" s="2704"/>
      <c r="CF3" s="2704"/>
      <c r="CG3" s="2704"/>
      <c r="CH3" s="2704"/>
      <c r="CI3" s="2704"/>
      <c r="CJ3" s="2704"/>
      <c r="CK3" s="2704"/>
      <c r="CL3" s="2704"/>
      <c r="CM3" s="2704"/>
      <c r="CN3" s="2704"/>
      <c r="CO3" s="2704"/>
      <c r="CP3" s="2704"/>
      <c r="CQ3" s="2704"/>
      <c r="CR3" s="2704"/>
      <c r="CS3" s="974"/>
    </row>
    <row r="4" spans="1:97" s="973" customFormat="1" ht="24" customHeight="1">
      <c r="A4" s="1277"/>
      <c r="B4" s="1277"/>
      <c r="C4" s="1277"/>
      <c r="D4" s="1277"/>
      <c r="E4" s="1277"/>
      <c r="F4" s="1277"/>
      <c r="G4" s="1277"/>
      <c r="H4" s="1277"/>
      <c r="I4" s="1277"/>
      <c r="J4" s="1277"/>
      <c r="K4" s="1277"/>
      <c r="L4" s="1277"/>
      <c r="M4" s="1277"/>
      <c r="N4" s="1277"/>
      <c r="O4" s="1277"/>
      <c r="P4" s="1277"/>
      <c r="Q4" s="1277"/>
      <c r="R4" s="1277"/>
      <c r="S4" s="1277"/>
      <c r="T4" s="1277"/>
      <c r="U4" s="1277"/>
      <c r="V4" s="1277"/>
      <c r="W4" s="1277"/>
      <c r="X4" s="1277"/>
      <c r="Y4" s="1277"/>
      <c r="Z4" s="1277"/>
      <c r="AA4" s="1277"/>
      <c r="AB4" s="1277"/>
      <c r="AC4" s="1277"/>
      <c r="AD4" s="1277"/>
      <c r="AE4" s="1277"/>
      <c r="AF4" s="1277"/>
      <c r="AG4" s="1277"/>
      <c r="AH4" s="1277"/>
      <c r="AI4" s="1277"/>
      <c r="AJ4" s="1277"/>
      <c r="AK4" s="1277"/>
      <c r="AL4" s="1277"/>
      <c r="AM4" s="1277"/>
      <c r="AN4" s="1277"/>
      <c r="AO4" s="1277"/>
      <c r="AP4" s="1277"/>
      <c r="AQ4" s="1277"/>
      <c r="AR4" s="1277"/>
      <c r="AS4" s="1277"/>
      <c r="AT4" s="1277"/>
      <c r="AU4" s="1277"/>
      <c r="AV4" s="1277"/>
      <c r="AW4" s="1277"/>
      <c r="AX4" s="1277"/>
      <c r="AY4" s="1277"/>
      <c r="AZ4" s="1277"/>
      <c r="BA4" s="1277"/>
      <c r="BB4" s="1277"/>
      <c r="BC4" s="1277"/>
      <c r="BD4" s="1277"/>
      <c r="BE4" s="1277"/>
      <c r="BF4" s="1277"/>
      <c r="BG4" s="1277"/>
      <c r="BH4" s="1277"/>
      <c r="BI4" s="1277"/>
      <c r="BJ4" s="1277"/>
      <c r="BK4" s="1277"/>
      <c r="BL4" s="1277"/>
      <c r="BM4" s="1277"/>
      <c r="BN4" s="1277"/>
      <c r="BO4" s="1277"/>
      <c r="BP4" s="1277"/>
      <c r="BQ4" s="1277"/>
      <c r="BR4" s="1277"/>
      <c r="BS4" s="1277"/>
      <c r="BT4" s="1277"/>
      <c r="BU4" s="1277"/>
      <c r="BV4" s="1277"/>
      <c r="BW4" s="1277"/>
      <c r="BX4" s="1277"/>
      <c r="BY4" s="1277"/>
      <c r="BZ4" s="1277"/>
      <c r="CA4" s="1277"/>
      <c r="CB4" s="1277"/>
      <c r="CC4" s="1277"/>
      <c r="CD4" s="1277"/>
      <c r="CE4" s="1277"/>
      <c r="CF4" s="1277"/>
      <c r="CG4" s="1277"/>
      <c r="CH4" s="1277"/>
      <c r="CI4" s="1277"/>
      <c r="CJ4" s="1277"/>
      <c r="CK4" s="1277"/>
      <c r="CL4" s="1277"/>
      <c r="CM4" s="1277"/>
      <c r="CN4" s="1277"/>
      <c r="CO4" s="1277"/>
      <c r="CP4" s="1277"/>
      <c r="CQ4" s="1277"/>
      <c r="CR4" s="1277"/>
      <c r="CS4" s="974"/>
    </row>
    <row r="5" spans="1:97" s="973" customFormat="1" ht="24" customHeight="1" thickBot="1">
      <c r="A5" s="1278"/>
      <c r="B5" s="1278"/>
      <c r="C5" s="1278"/>
      <c r="D5" s="1278"/>
      <c r="E5" s="1278"/>
      <c r="F5" s="1278"/>
      <c r="G5" s="1278"/>
      <c r="H5" s="1278"/>
      <c r="I5" s="1278"/>
      <c r="J5" s="1278"/>
      <c r="K5" s="1278"/>
      <c r="L5" s="1278"/>
      <c r="M5" s="1278"/>
      <c r="N5" s="1278"/>
      <c r="O5" s="1278"/>
      <c r="P5" s="1278"/>
      <c r="Q5" s="1278"/>
      <c r="R5" s="1278"/>
      <c r="S5" s="1278"/>
      <c r="T5" s="1278"/>
      <c r="U5" s="1278"/>
      <c r="V5" s="1278"/>
      <c r="W5" s="1278"/>
      <c r="X5" s="1278"/>
      <c r="Y5" s="1278"/>
      <c r="Z5" s="1278"/>
      <c r="AA5" s="1278"/>
      <c r="AB5" s="1278"/>
      <c r="AC5" s="1278"/>
      <c r="AD5" s="1278"/>
      <c r="AE5" s="1278"/>
      <c r="AF5" s="1278"/>
      <c r="AG5" s="1278"/>
      <c r="AH5" s="1278"/>
      <c r="AI5" s="1278"/>
      <c r="AJ5" s="1278"/>
      <c r="AK5" s="1278"/>
      <c r="AL5" s="1278"/>
      <c r="AM5" s="1278"/>
      <c r="AN5" s="1278"/>
      <c r="AO5" s="1278"/>
      <c r="AP5" s="1278"/>
      <c r="AQ5" s="1278"/>
      <c r="AR5" s="1278"/>
      <c r="AS5" s="1278"/>
      <c r="AT5" s="1278"/>
      <c r="AU5" s="1278"/>
      <c r="AV5" s="1278"/>
      <c r="AW5" s="1278"/>
      <c r="AX5" s="1278"/>
      <c r="AY5" s="1278"/>
      <c r="AZ5" s="1278"/>
      <c r="BA5" s="1278"/>
      <c r="BB5" s="1278"/>
      <c r="BC5" s="1278"/>
      <c r="BD5" s="1278"/>
      <c r="BE5" s="1278"/>
      <c r="BF5" s="1278"/>
      <c r="BG5" s="1278"/>
      <c r="BH5" s="1278"/>
      <c r="BI5" s="1278"/>
      <c r="BJ5" s="1278"/>
      <c r="BK5" s="1278"/>
      <c r="BL5" s="1278"/>
      <c r="BM5" s="1278"/>
      <c r="BN5" s="1278"/>
      <c r="BO5" s="1278"/>
      <c r="BP5" s="1278"/>
      <c r="BQ5" s="1278"/>
      <c r="BR5" s="1278"/>
      <c r="BS5" s="1278"/>
      <c r="BT5" s="1278"/>
      <c r="BU5" s="1278"/>
      <c r="BV5" s="1278"/>
      <c r="BW5" s="1278"/>
      <c r="BX5" s="1278"/>
      <c r="BY5" s="1278"/>
      <c r="BZ5" s="1278"/>
      <c r="CA5" s="1278"/>
      <c r="CB5" s="1278"/>
      <c r="CC5" s="1278"/>
      <c r="CD5" s="1278"/>
      <c r="CE5" s="1278"/>
      <c r="CF5" s="1278"/>
      <c r="CG5" s="1278"/>
      <c r="CH5" s="1278"/>
      <c r="CI5" s="1278"/>
      <c r="CJ5" s="1278"/>
      <c r="CK5" s="1278"/>
      <c r="CL5" s="1278"/>
      <c r="CM5" s="1278"/>
      <c r="CN5" s="1278"/>
      <c r="CO5" s="1278"/>
      <c r="CP5" s="1278"/>
      <c r="CQ5" s="1278"/>
      <c r="CR5" s="1278"/>
      <c r="CS5" s="974"/>
    </row>
    <row r="6" spans="1:97" ht="51" customHeight="1" thickBot="1">
      <c r="A6" s="975"/>
      <c r="B6" s="976">
        <v>43373</v>
      </c>
      <c r="C6" s="977">
        <v>43404</v>
      </c>
      <c r="D6" s="978">
        <v>43434</v>
      </c>
      <c r="E6" s="979">
        <v>43465</v>
      </c>
      <c r="F6" s="980">
        <v>43496</v>
      </c>
      <c r="G6" s="980">
        <v>43524</v>
      </c>
      <c r="H6" s="980">
        <v>43555</v>
      </c>
      <c r="I6" s="980">
        <v>43585</v>
      </c>
      <c r="J6" s="980">
        <v>43616</v>
      </c>
      <c r="K6" s="980">
        <v>43646</v>
      </c>
      <c r="L6" s="980">
        <v>43677</v>
      </c>
      <c r="M6" s="980">
        <v>43708</v>
      </c>
      <c r="N6" s="980">
        <v>43738</v>
      </c>
      <c r="O6" s="980">
        <v>43769</v>
      </c>
      <c r="P6" s="980">
        <v>43799</v>
      </c>
      <c r="Q6" s="980">
        <v>43830</v>
      </c>
      <c r="R6" s="980">
        <v>43861</v>
      </c>
      <c r="S6" s="980">
        <v>43890</v>
      </c>
      <c r="T6" s="980">
        <v>43921</v>
      </c>
      <c r="U6" s="980" t="s">
        <v>2564</v>
      </c>
      <c r="V6" s="980" t="s">
        <v>2565</v>
      </c>
      <c r="W6" s="980">
        <v>44012</v>
      </c>
      <c r="X6" s="980">
        <v>44043</v>
      </c>
      <c r="Y6" s="980">
        <v>44074</v>
      </c>
      <c r="Z6" s="980">
        <v>44104</v>
      </c>
      <c r="AA6" s="980">
        <v>44135</v>
      </c>
      <c r="AB6" s="980">
        <v>44165</v>
      </c>
      <c r="AC6" s="980">
        <v>44196</v>
      </c>
      <c r="AD6" s="980">
        <v>44227</v>
      </c>
      <c r="AE6" s="980">
        <v>44255</v>
      </c>
      <c r="AF6" s="980">
        <v>44286</v>
      </c>
      <c r="AG6" s="980">
        <v>44316</v>
      </c>
      <c r="AH6" s="980">
        <v>44347</v>
      </c>
      <c r="AI6" s="980">
        <v>44377</v>
      </c>
      <c r="AJ6" s="980">
        <v>44408</v>
      </c>
      <c r="AK6" s="980">
        <v>44439</v>
      </c>
      <c r="AL6" s="980">
        <v>44469</v>
      </c>
      <c r="AM6" s="980">
        <v>44500</v>
      </c>
      <c r="AN6" s="980">
        <v>44530</v>
      </c>
      <c r="AO6" s="980">
        <v>44561</v>
      </c>
      <c r="AP6" s="980">
        <v>44592</v>
      </c>
      <c r="AQ6" s="980">
        <v>44620</v>
      </c>
      <c r="AR6" s="980">
        <v>44651</v>
      </c>
      <c r="AS6" s="980">
        <v>44681</v>
      </c>
      <c r="AT6" s="980">
        <v>44712</v>
      </c>
      <c r="AU6" s="980">
        <v>44742</v>
      </c>
      <c r="AV6" s="980">
        <v>44773</v>
      </c>
      <c r="AW6" s="980">
        <v>44804</v>
      </c>
      <c r="AX6" s="980">
        <v>44834</v>
      </c>
      <c r="AY6" s="980">
        <v>44865</v>
      </c>
      <c r="AZ6" s="1079">
        <v>44895</v>
      </c>
      <c r="BA6" s="1079">
        <v>44926</v>
      </c>
      <c r="BB6" s="1079">
        <v>44957</v>
      </c>
      <c r="BC6" s="1079">
        <v>44985</v>
      </c>
      <c r="BD6" s="980">
        <v>45016</v>
      </c>
      <c r="BE6" s="980">
        <v>45046</v>
      </c>
      <c r="BF6" s="980">
        <v>45077</v>
      </c>
      <c r="BG6" s="980">
        <v>45107</v>
      </c>
      <c r="BH6" s="980">
        <v>45138</v>
      </c>
      <c r="BI6" s="980">
        <v>45169</v>
      </c>
      <c r="BJ6" s="980">
        <v>45199</v>
      </c>
      <c r="BK6" s="980">
        <v>45230</v>
      </c>
      <c r="BL6" s="980">
        <v>45260</v>
      </c>
      <c r="BM6" s="980">
        <v>45291</v>
      </c>
      <c r="BN6" s="980">
        <v>45322</v>
      </c>
      <c r="BO6" s="980">
        <v>45351</v>
      </c>
      <c r="BP6" s="980">
        <v>45382</v>
      </c>
      <c r="BQ6" s="980">
        <v>45412</v>
      </c>
      <c r="BR6" s="980">
        <v>45443</v>
      </c>
      <c r="BS6" s="980">
        <v>45473</v>
      </c>
      <c r="BT6" s="980">
        <v>45504</v>
      </c>
      <c r="BU6" s="980">
        <v>45535</v>
      </c>
      <c r="BV6" s="980">
        <v>45565</v>
      </c>
      <c r="BW6" s="980">
        <v>45596</v>
      </c>
      <c r="BX6" s="980">
        <v>45626</v>
      </c>
      <c r="BY6" s="980">
        <v>45657</v>
      </c>
      <c r="BZ6" s="980">
        <v>45688</v>
      </c>
      <c r="CA6" s="980">
        <v>45716</v>
      </c>
      <c r="CB6" s="980">
        <v>45747</v>
      </c>
      <c r="CC6" s="980">
        <v>45777</v>
      </c>
      <c r="CD6" s="980">
        <v>45808</v>
      </c>
      <c r="CE6" s="980">
        <v>45838</v>
      </c>
      <c r="CF6" s="980">
        <v>45869</v>
      </c>
      <c r="CG6" s="980">
        <v>45900</v>
      </c>
      <c r="CH6" s="980">
        <v>45930</v>
      </c>
      <c r="CI6" s="980">
        <v>45961</v>
      </c>
      <c r="CJ6" s="980">
        <v>45991</v>
      </c>
      <c r="CK6" s="980">
        <v>46022</v>
      </c>
      <c r="CL6" s="980">
        <v>46053</v>
      </c>
      <c r="CM6" s="980">
        <v>46081</v>
      </c>
      <c r="CN6" s="980">
        <v>46112</v>
      </c>
      <c r="CO6" s="980">
        <v>46142</v>
      </c>
      <c r="CP6" s="980">
        <v>46173</v>
      </c>
      <c r="CQ6" s="980">
        <v>46203</v>
      </c>
      <c r="CR6" s="1279"/>
    </row>
    <row r="7" spans="1:97" ht="42" customHeight="1">
      <c r="A7" s="981" t="s">
        <v>2224</v>
      </c>
      <c r="B7" s="982">
        <v>30</v>
      </c>
      <c r="C7" s="983">
        <v>30</v>
      </c>
      <c r="D7" s="983">
        <v>30</v>
      </c>
      <c r="E7" s="984">
        <v>30</v>
      </c>
      <c r="F7" s="985">
        <v>30</v>
      </c>
      <c r="G7" s="985">
        <v>30</v>
      </c>
      <c r="H7" s="985">
        <v>30</v>
      </c>
      <c r="I7" s="985">
        <v>30</v>
      </c>
      <c r="J7" s="985">
        <v>30</v>
      </c>
      <c r="K7" s="985">
        <v>30</v>
      </c>
      <c r="L7" s="985">
        <v>30</v>
      </c>
      <c r="M7" s="985">
        <v>30</v>
      </c>
      <c r="N7" s="985">
        <v>30</v>
      </c>
      <c r="O7" s="985">
        <v>30</v>
      </c>
      <c r="P7" s="985">
        <v>30</v>
      </c>
      <c r="Q7" s="985">
        <v>30</v>
      </c>
      <c r="R7" s="985">
        <v>30</v>
      </c>
      <c r="S7" s="985">
        <v>30</v>
      </c>
      <c r="T7" s="985">
        <v>30</v>
      </c>
      <c r="U7" s="985">
        <v>28</v>
      </c>
      <c r="V7" s="985">
        <v>26</v>
      </c>
      <c r="W7" s="985">
        <v>26</v>
      </c>
      <c r="X7" s="985">
        <v>26</v>
      </c>
      <c r="Y7" s="985">
        <v>26</v>
      </c>
      <c r="Z7" s="985">
        <v>26</v>
      </c>
      <c r="AA7" s="985">
        <v>26</v>
      </c>
      <c r="AB7" s="985">
        <v>26</v>
      </c>
      <c r="AC7" s="985">
        <v>26</v>
      </c>
      <c r="AD7" s="985">
        <v>26</v>
      </c>
      <c r="AE7" s="985">
        <v>26</v>
      </c>
      <c r="AF7" s="985">
        <v>26</v>
      </c>
      <c r="AG7" s="985">
        <v>26</v>
      </c>
      <c r="AH7" s="985">
        <v>26</v>
      </c>
      <c r="AI7" s="985">
        <v>26</v>
      </c>
      <c r="AJ7" s="985">
        <v>26</v>
      </c>
      <c r="AK7" s="985">
        <v>26</v>
      </c>
      <c r="AL7" s="985">
        <v>26</v>
      </c>
      <c r="AM7" s="985">
        <v>26</v>
      </c>
      <c r="AN7" s="985">
        <v>26</v>
      </c>
      <c r="AO7" s="985">
        <v>26</v>
      </c>
      <c r="AP7" s="985">
        <v>26</v>
      </c>
      <c r="AQ7" s="985">
        <v>26</v>
      </c>
      <c r="AR7" s="985">
        <v>26</v>
      </c>
      <c r="AS7" s="985">
        <v>26</v>
      </c>
      <c r="AT7" s="985">
        <v>26</v>
      </c>
      <c r="AU7" s="985">
        <v>26</v>
      </c>
      <c r="AV7" s="985">
        <v>26</v>
      </c>
      <c r="AW7" s="985">
        <v>26</v>
      </c>
      <c r="AX7" s="985">
        <v>26</v>
      </c>
      <c r="AY7" s="985">
        <v>25</v>
      </c>
      <c r="AZ7" s="1250">
        <v>25</v>
      </c>
      <c r="BA7" s="1250">
        <v>25</v>
      </c>
      <c r="BB7" s="1250">
        <v>25</v>
      </c>
      <c r="BC7" s="1250">
        <v>25</v>
      </c>
      <c r="BD7" s="1282">
        <v>25</v>
      </c>
      <c r="BE7" s="1282">
        <v>25</v>
      </c>
      <c r="BF7" s="1282">
        <v>24</v>
      </c>
      <c r="BG7" s="1282">
        <v>24</v>
      </c>
      <c r="BH7" s="1282">
        <v>24</v>
      </c>
      <c r="BI7" s="1282">
        <v>24</v>
      </c>
      <c r="BJ7" s="1282">
        <v>24</v>
      </c>
      <c r="BK7" s="1282">
        <v>23</v>
      </c>
      <c r="BL7" s="1282">
        <v>23</v>
      </c>
      <c r="BM7" s="1282">
        <v>23</v>
      </c>
      <c r="BN7" s="1282">
        <v>23</v>
      </c>
      <c r="BO7" s="1282">
        <v>23</v>
      </c>
      <c r="BP7" s="1282">
        <v>23</v>
      </c>
      <c r="BQ7" s="1282">
        <v>23</v>
      </c>
      <c r="BR7" s="1282">
        <v>23</v>
      </c>
      <c r="BS7" s="1282">
        <v>23</v>
      </c>
      <c r="BT7" s="1282">
        <v>22</v>
      </c>
      <c r="BU7" s="1282">
        <v>22</v>
      </c>
      <c r="BV7" s="1282">
        <v>22</v>
      </c>
      <c r="BW7" s="1282">
        <v>22</v>
      </c>
      <c r="BX7" s="1282">
        <v>22</v>
      </c>
      <c r="BY7" s="1282">
        <v>22</v>
      </c>
      <c r="BZ7" s="1282">
        <v>22</v>
      </c>
      <c r="CA7" s="1282">
        <v>22</v>
      </c>
      <c r="CB7" s="1282">
        <v>22</v>
      </c>
      <c r="CC7" s="1282">
        <v>22</v>
      </c>
      <c r="CD7" s="1282">
        <v>22</v>
      </c>
      <c r="CE7" s="1282">
        <v>22</v>
      </c>
      <c r="CF7" s="1282">
        <v>22</v>
      </c>
      <c r="CG7" s="1282">
        <v>22</v>
      </c>
      <c r="CH7" s="1282">
        <v>22</v>
      </c>
      <c r="CI7" s="1282">
        <v>22</v>
      </c>
      <c r="CJ7" s="1282">
        <v>22</v>
      </c>
      <c r="CK7" s="1282">
        <v>22</v>
      </c>
      <c r="CL7" s="1282">
        <v>22</v>
      </c>
      <c r="CM7" s="1282">
        <v>22</v>
      </c>
      <c r="CN7" s="1282">
        <v>22</v>
      </c>
      <c r="CO7" s="1282">
        <v>22</v>
      </c>
      <c r="CP7" s="1282">
        <v>22</v>
      </c>
      <c r="CQ7" s="1282">
        <v>22</v>
      </c>
      <c r="CR7" s="1280" t="s">
        <v>3544</v>
      </c>
    </row>
    <row r="8" spans="1:97" ht="42" customHeight="1">
      <c r="A8" s="986" t="s">
        <v>152</v>
      </c>
      <c r="B8" s="987">
        <v>2</v>
      </c>
      <c r="C8" s="988">
        <v>2</v>
      </c>
      <c r="D8" s="988">
        <v>2</v>
      </c>
      <c r="E8" s="989">
        <v>2</v>
      </c>
      <c r="F8" s="990">
        <v>2</v>
      </c>
      <c r="G8" s="990">
        <v>2</v>
      </c>
      <c r="H8" s="990">
        <v>2</v>
      </c>
      <c r="I8" s="990">
        <v>2</v>
      </c>
      <c r="J8" s="990">
        <v>2</v>
      </c>
      <c r="K8" s="990">
        <v>2</v>
      </c>
      <c r="L8" s="990">
        <v>2</v>
      </c>
      <c r="M8" s="990">
        <v>2</v>
      </c>
      <c r="N8" s="990">
        <v>2</v>
      </c>
      <c r="O8" s="990">
        <v>2</v>
      </c>
      <c r="P8" s="990">
        <v>2</v>
      </c>
      <c r="Q8" s="990">
        <v>2</v>
      </c>
      <c r="R8" s="990">
        <v>2</v>
      </c>
      <c r="S8" s="990">
        <v>2</v>
      </c>
      <c r="T8" s="990">
        <v>2</v>
      </c>
      <c r="U8" s="990">
        <v>2</v>
      </c>
      <c r="V8" s="990">
        <v>2</v>
      </c>
      <c r="W8" s="990">
        <v>2</v>
      </c>
      <c r="X8" s="990">
        <v>2</v>
      </c>
      <c r="Y8" s="990">
        <v>2</v>
      </c>
      <c r="Z8" s="990">
        <v>2</v>
      </c>
      <c r="AA8" s="990">
        <v>2</v>
      </c>
      <c r="AB8" s="990">
        <v>2</v>
      </c>
      <c r="AC8" s="990">
        <v>2</v>
      </c>
      <c r="AD8" s="990">
        <v>2</v>
      </c>
      <c r="AE8" s="990">
        <v>2</v>
      </c>
      <c r="AF8" s="990">
        <v>2</v>
      </c>
      <c r="AG8" s="990">
        <v>2</v>
      </c>
      <c r="AH8" s="990">
        <v>2</v>
      </c>
      <c r="AI8" s="990">
        <v>2</v>
      </c>
      <c r="AJ8" s="990">
        <v>2</v>
      </c>
      <c r="AK8" s="990">
        <v>2</v>
      </c>
      <c r="AL8" s="990">
        <v>2</v>
      </c>
      <c r="AM8" s="990">
        <v>2</v>
      </c>
      <c r="AN8" s="990">
        <v>2</v>
      </c>
      <c r="AO8" s="990">
        <v>2</v>
      </c>
      <c r="AP8" s="990">
        <v>2</v>
      </c>
      <c r="AQ8" s="990">
        <v>2</v>
      </c>
      <c r="AR8" s="990">
        <v>2</v>
      </c>
      <c r="AS8" s="990">
        <v>2</v>
      </c>
      <c r="AT8" s="990">
        <v>2</v>
      </c>
      <c r="AU8" s="990">
        <v>2</v>
      </c>
      <c r="AV8" s="990">
        <v>2</v>
      </c>
      <c r="AW8" s="990">
        <v>2</v>
      </c>
      <c r="AX8" s="990">
        <v>2</v>
      </c>
      <c r="AY8" s="990">
        <v>2</v>
      </c>
      <c r="AZ8" s="1251">
        <v>2</v>
      </c>
      <c r="BA8" s="1251">
        <v>2</v>
      </c>
      <c r="BB8" s="1251">
        <v>2</v>
      </c>
      <c r="BC8" s="1251">
        <v>2</v>
      </c>
      <c r="BD8" s="1020">
        <v>2</v>
      </c>
      <c r="BE8" s="1020">
        <v>2</v>
      </c>
      <c r="BF8" s="1020">
        <v>2</v>
      </c>
      <c r="BG8" s="1020">
        <v>2</v>
      </c>
      <c r="BH8" s="1020">
        <v>2</v>
      </c>
      <c r="BI8" s="1020">
        <v>2</v>
      </c>
      <c r="BJ8" s="1020">
        <v>2</v>
      </c>
      <c r="BK8" s="1020">
        <v>2</v>
      </c>
      <c r="BL8" s="1020">
        <v>2</v>
      </c>
      <c r="BM8" s="1020">
        <v>2</v>
      </c>
      <c r="BN8" s="1020">
        <v>2</v>
      </c>
      <c r="BO8" s="1020">
        <v>2</v>
      </c>
      <c r="BP8" s="1020">
        <v>2</v>
      </c>
      <c r="BQ8" s="1020">
        <v>2</v>
      </c>
      <c r="BR8" s="1020">
        <v>2</v>
      </c>
      <c r="BS8" s="1020">
        <v>2</v>
      </c>
      <c r="BT8" s="1020">
        <v>2</v>
      </c>
      <c r="BU8" s="1020">
        <v>2</v>
      </c>
      <c r="BV8" s="1020">
        <v>2</v>
      </c>
      <c r="BW8" s="1020">
        <v>2</v>
      </c>
      <c r="BX8" s="1020">
        <v>2</v>
      </c>
      <c r="BY8" s="1020">
        <v>2</v>
      </c>
      <c r="BZ8" s="1020">
        <v>2</v>
      </c>
      <c r="CA8" s="1020">
        <v>2</v>
      </c>
      <c r="CB8" s="1020">
        <v>2</v>
      </c>
      <c r="CC8" s="1020">
        <v>2</v>
      </c>
      <c r="CD8" s="1020">
        <v>2</v>
      </c>
      <c r="CE8" s="1020">
        <v>2</v>
      </c>
      <c r="CF8" s="1020">
        <v>2</v>
      </c>
      <c r="CG8" s="1020">
        <v>2</v>
      </c>
      <c r="CH8" s="1020">
        <v>2</v>
      </c>
      <c r="CI8" s="1020">
        <v>2</v>
      </c>
      <c r="CJ8" s="1020">
        <v>2</v>
      </c>
      <c r="CK8" s="1020">
        <v>2</v>
      </c>
      <c r="CL8" s="1020">
        <v>2</v>
      </c>
      <c r="CM8" s="1020">
        <v>2</v>
      </c>
      <c r="CN8" s="1020">
        <v>2</v>
      </c>
      <c r="CO8" s="1020">
        <v>2</v>
      </c>
      <c r="CP8" s="1020">
        <v>2</v>
      </c>
      <c r="CQ8" s="1020">
        <v>2</v>
      </c>
      <c r="CR8" s="1281" t="s">
        <v>3545</v>
      </c>
    </row>
    <row r="9" spans="1:97" ht="42" customHeight="1">
      <c r="A9" s="986" t="s">
        <v>153</v>
      </c>
      <c r="B9" s="987">
        <v>28</v>
      </c>
      <c r="C9" s="988">
        <v>28</v>
      </c>
      <c r="D9" s="988">
        <v>28</v>
      </c>
      <c r="E9" s="989">
        <v>28</v>
      </c>
      <c r="F9" s="990">
        <v>28</v>
      </c>
      <c r="G9" s="990">
        <v>28</v>
      </c>
      <c r="H9" s="990">
        <v>28</v>
      </c>
      <c r="I9" s="990">
        <v>28</v>
      </c>
      <c r="J9" s="990">
        <v>28</v>
      </c>
      <c r="K9" s="990">
        <v>28</v>
      </c>
      <c r="L9" s="990">
        <v>28</v>
      </c>
      <c r="M9" s="990">
        <v>28</v>
      </c>
      <c r="N9" s="990">
        <v>28</v>
      </c>
      <c r="O9" s="990">
        <v>28</v>
      </c>
      <c r="P9" s="990">
        <v>28</v>
      </c>
      <c r="Q9" s="990">
        <v>28</v>
      </c>
      <c r="R9" s="990">
        <v>28</v>
      </c>
      <c r="S9" s="990">
        <v>28</v>
      </c>
      <c r="T9" s="990">
        <v>28</v>
      </c>
      <c r="U9" s="990">
        <v>26</v>
      </c>
      <c r="V9" s="990">
        <v>24</v>
      </c>
      <c r="W9" s="990">
        <v>24</v>
      </c>
      <c r="X9" s="990">
        <v>24</v>
      </c>
      <c r="Y9" s="990">
        <v>24</v>
      </c>
      <c r="Z9" s="990">
        <v>24</v>
      </c>
      <c r="AA9" s="990">
        <v>24</v>
      </c>
      <c r="AB9" s="990">
        <v>24</v>
      </c>
      <c r="AC9" s="990">
        <v>24</v>
      </c>
      <c r="AD9" s="990">
        <v>24</v>
      </c>
      <c r="AE9" s="990">
        <v>24</v>
      </c>
      <c r="AF9" s="990">
        <v>24</v>
      </c>
      <c r="AG9" s="990">
        <v>24</v>
      </c>
      <c r="AH9" s="990">
        <v>24</v>
      </c>
      <c r="AI9" s="990">
        <v>24</v>
      </c>
      <c r="AJ9" s="990">
        <v>24</v>
      </c>
      <c r="AK9" s="990">
        <v>24</v>
      </c>
      <c r="AL9" s="990">
        <v>24</v>
      </c>
      <c r="AM9" s="990">
        <v>24</v>
      </c>
      <c r="AN9" s="990">
        <v>24</v>
      </c>
      <c r="AO9" s="990">
        <v>24</v>
      </c>
      <c r="AP9" s="990">
        <v>24</v>
      </c>
      <c r="AQ9" s="990">
        <v>24</v>
      </c>
      <c r="AR9" s="990">
        <v>24</v>
      </c>
      <c r="AS9" s="990">
        <v>24</v>
      </c>
      <c r="AT9" s="990">
        <v>24</v>
      </c>
      <c r="AU9" s="990">
        <v>24</v>
      </c>
      <c r="AV9" s="990">
        <v>24</v>
      </c>
      <c r="AW9" s="990">
        <v>24</v>
      </c>
      <c r="AX9" s="990">
        <v>24</v>
      </c>
      <c r="AY9" s="990">
        <v>23</v>
      </c>
      <c r="AZ9" s="1251">
        <v>23</v>
      </c>
      <c r="BA9" s="1251">
        <v>23</v>
      </c>
      <c r="BB9" s="1251">
        <v>23</v>
      </c>
      <c r="BC9" s="1251">
        <v>23</v>
      </c>
      <c r="BD9" s="1020">
        <v>23</v>
      </c>
      <c r="BE9" s="1020">
        <v>23</v>
      </c>
      <c r="BF9" s="1020">
        <v>22</v>
      </c>
      <c r="BG9" s="1020">
        <v>22</v>
      </c>
      <c r="BH9" s="1020">
        <v>22</v>
      </c>
      <c r="BI9" s="1020">
        <v>22</v>
      </c>
      <c r="BJ9" s="1020">
        <v>22</v>
      </c>
      <c r="BK9" s="1020">
        <v>21</v>
      </c>
      <c r="BL9" s="1020">
        <v>21</v>
      </c>
      <c r="BM9" s="1020">
        <v>21</v>
      </c>
      <c r="BN9" s="1020">
        <v>21</v>
      </c>
      <c r="BO9" s="1020">
        <v>21</v>
      </c>
      <c r="BP9" s="1020">
        <v>21</v>
      </c>
      <c r="BQ9" s="1020">
        <v>21</v>
      </c>
      <c r="BR9" s="1020">
        <v>21</v>
      </c>
      <c r="BS9" s="1020">
        <v>21</v>
      </c>
      <c r="BT9" s="1020">
        <v>20</v>
      </c>
      <c r="BU9" s="1020">
        <v>20</v>
      </c>
      <c r="BV9" s="1020">
        <v>20</v>
      </c>
      <c r="BW9" s="1020">
        <v>20</v>
      </c>
      <c r="BX9" s="1020">
        <v>20</v>
      </c>
      <c r="BY9" s="1020">
        <v>20</v>
      </c>
      <c r="BZ9" s="1020">
        <v>20</v>
      </c>
      <c r="CA9" s="1020">
        <v>20</v>
      </c>
      <c r="CB9" s="1020">
        <v>20</v>
      </c>
      <c r="CC9" s="1020">
        <v>20</v>
      </c>
      <c r="CD9" s="1020">
        <v>20</v>
      </c>
      <c r="CE9" s="1020">
        <v>20</v>
      </c>
      <c r="CF9" s="1020">
        <v>20</v>
      </c>
      <c r="CG9" s="1020">
        <v>20</v>
      </c>
      <c r="CH9" s="1020">
        <v>20</v>
      </c>
      <c r="CI9" s="1020">
        <v>20</v>
      </c>
      <c r="CJ9" s="1020">
        <v>20</v>
      </c>
      <c r="CK9" s="1020">
        <v>20</v>
      </c>
      <c r="CL9" s="1020">
        <v>20</v>
      </c>
      <c r="CM9" s="1020">
        <v>20</v>
      </c>
      <c r="CN9" s="1020">
        <v>20</v>
      </c>
      <c r="CO9" s="1020">
        <v>20</v>
      </c>
      <c r="CP9" s="1020">
        <v>20</v>
      </c>
      <c r="CQ9" s="1020">
        <v>20</v>
      </c>
      <c r="CR9" s="1281" t="s">
        <v>161</v>
      </c>
    </row>
    <row r="10" spans="1:97" ht="42" customHeight="1">
      <c r="A10" s="986" t="s">
        <v>2223</v>
      </c>
      <c r="B10" s="987">
        <v>15</v>
      </c>
      <c r="C10" s="988">
        <v>15</v>
      </c>
      <c r="D10" s="988">
        <v>15</v>
      </c>
      <c r="E10" s="989">
        <v>15</v>
      </c>
      <c r="F10" s="990">
        <v>15</v>
      </c>
      <c r="G10" s="990">
        <v>15</v>
      </c>
      <c r="H10" s="990">
        <v>15</v>
      </c>
      <c r="I10" s="990">
        <v>15</v>
      </c>
      <c r="J10" s="990">
        <v>15</v>
      </c>
      <c r="K10" s="990">
        <v>14</v>
      </c>
      <c r="L10" s="990">
        <v>14</v>
      </c>
      <c r="M10" s="990">
        <v>14</v>
      </c>
      <c r="N10" s="990">
        <v>14</v>
      </c>
      <c r="O10" s="990">
        <v>14</v>
      </c>
      <c r="P10" s="990">
        <v>14</v>
      </c>
      <c r="Q10" s="990">
        <v>14</v>
      </c>
      <c r="R10" s="990">
        <v>14</v>
      </c>
      <c r="S10" s="990">
        <v>14</v>
      </c>
      <c r="T10" s="990">
        <v>14</v>
      </c>
      <c r="U10" s="990">
        <v>13</v>
      </c>
      <c r="V10" s="990">
        <v>12</v>
      </c>
      <c r="W10" s="990">
        <v>12</v>
      </c>
      <c r="X10" s="990">
        <v>12</v>
      </c>
      <c r="Y10" s="990">
        <v>12</v>
      </c>
      <c r="Z10" s="990">
        <v>12</v>
      </c>
      <c r="AA10" s="990">
        <v>12</v>
      </c>
      <c r="AB10" s="990">
        <v>12</v>
      </c>
      <c r="AC10" s="990">
        <v>12</v>
      </c>
      <c r="AD10" s="990">
        <v>12</v>
      </c>
      <c r="AE10" s="990">
        <v>12</v>
      </c>
      <c r="AF10" s="990">
        <v>12</v>
      </c>
      <c r="AG10" s="990">
        <v>12</v>
      </c>
      <c r="AH10" s="990">
        <v>12</v>
      </c>
      <c r="AI10" s="990">
        <v>12</v>
      </c>
      <c r="AJ10" s="990">
        <v>12</v>
      </c>
      <c r="AK10" s="990">
        <v>12</v>
      </c>
      <c r="AL10" s="990">
        <v>12</v>
      </c>
      <c r="AM10" s="990">
        <v>12</v>
      </c>
      <c r="AN10" s="990">
        <v>12</v>
      </c>
      <c r="AO10" s="990">
        <v>12</v>
      </c>
      <c r="AP10" s="990">
        <v>12</v>
      </c>
      <c r="AQ10" s="990">
        <v>12</v>
      </c>
      <c r="AR10" s="990">
        <v>12</v>
      </c>
      <c r="AS10" s="990">
        <v>12</v>
      </c>
      <c r="AT10" s="990">
        <v>12</v>
      </c>
      <c r="AU10" s="990">
        <v>12</v>
      </c>
      <c r="AV10" s="990">
        <v>12</v>
      </c>
      <c r="AW10" s="990">
        <v>12</v>
      </c>
      <c r="AX10" s="990">
        <v>12</v>
      </c>
      <c r="AY10" s="990">
        <v>11</v>
      </c>
      <c r="AZ10" s="1251">
        <v>11</v>
      </c>
      <c r="BA10" s="1251">
        <v>10</v>
      </c>
      <c r="BB10" s="1251">
        <v>10</v>
      </c>
      <c r="BC10" s="1251">
        <v>10</v>
      </c>
      <c r="BD10" s="1020">
        <v>10</v>
      </c>
      <c r="BE10" s="1020">
        <v>10</v>
      </c>
      <c r="BF10" s="1020">
        <v>9</v>
      </c>
      <c r="BG10" s="1020">
        <v>9</v>
      </c>
      <c r="BH10" s="1020">
        <v>9</v>
      </c>
      <c r="BI10" s="1020">
        <v>9</v>
      </c>
      <c r="BJ10" s="1020">
        <v>9</v>
      </c>
      <c r="BK10" s="1020">
        <v>9</v>
      </c>
      <c r="BL10" s="1020">
        <v>9</v>
      </c>
      <c r="BM10" s="1020">
        <v>9</v>
      </c>
      <c r="BN10" s="1020">
        <v>9</v>
      </c>
      <c r="BO10" s="1020">
        <v>9</v>
      </c>
      <c r="BP10" s="1020">
        <v>9</v>
      </c>
      <c r="BQ10" s="1020">
        <v>9</v>
      </c>
      <c r="BR10" s="1020">
        <v>9</v>
      </c>
      <c r="BS10" s="1020">
        <v>9</v>
      </c>
      <c r="BT10" s="1020">
        <v>9</v>
      </c>
      <c r="BU10" s="1020">
        <v>9</v>
      </c>
      <c r="BV10" s="1020">
        <v>9</v>
      </c>
      <c r="BW10" s="1020">
        <v>9</v>
      </c>
      <c r="BX10" s="1020">
        <v>9</v>
      </c>
      <c r="BY10" s="1020">
        <v>9</v>
      </c>
      <c r="BZ10" s="1020">
        <v>9</v>
      </c>
      <c r="CA10" s="1020">
        <v>9</v>
      </c>
      <c r="CB10" s="1020">
        <v>9</v>
      </c>
      <c r="CC10" s="1020">
        <v>9</v>
      </c>
      <c r="CD10" s="1020">
        <v>9</v>
      </c>
      <c r="CE10" s="1020">
        <v>9</v>
      </c>
      <c r="CF10" s="1020">
        <v>9</v>
      </c>
      <c r="CG10" s="1020">
        <v>9</v>
      </c>
      <c r="CH10" s="1020">
        <v>9</v>
      </c>
      <c r="CI10" s="1020">
        <v>9</v>
      </c>
      <c r="CJ10" s="1020">
        <v>9</v>
      </c>
      <c r="CK10" s="1020">
        <v>9</v>
      </c>
      <c r="CL10" s="1020">
        <v>9</v>
      </c>
      <c r="CM10" s="1020">
        <v>9</v>
      </c>
      <c r="CN10" s="1020">
        <v>9</v>
      </c>
      <c r="CO10" s="1020">
        <v>9</v>
      </c>
      <c r="CP10" s="1020">
        <v>9</v>
      </c>
      <c r="CQ10" s="1020">
        <v>9</v>
      </c>
      <c r="CR10" s="1281" t="s">
        <v>3546</v>
      </c>
    </row>
    <row r="11" spans="1:97" ht="52.15" customHeight="1">
      <c r="A11" s="991" t="s">
        <v>2530</v>
      </c>
      <c r="B11" s="987">
        <v>8</v>
      </c>
      <c r="C11" s="988">
        <v>8</v>
      </c>
      <c r="D11" s="988">
        <v>8</v>
      </c>
      <c r="E11" s="989">
        <v>8</v>
      </c>
      <c r="F11" s="990">
        <v>8</v>
      </c>
      <c r="G11" s="990">
        <v>8</v>
      </c>
      <c r="H11" s="990">
        <v>8</v>
      </c>
      <c r="I11" s="990">
        <v>8</v>
      </c>
      <c r="J11" s="990">
        <v>8</v>
      </c>
      <c r="K11" s="990">
        <v>8</v>
      </c>
      <c r="L11" s="990">
        <v>8</v>
      </c>
      <c r="M11" s="990">
        <v>8</v>
      </c>
      <c r="N11" s="990">
        <v>8</v>
      </c>
      <c r="O11" s="990">
        <v>7</v>
      </c>
      <c r="P11" s="990">
        <v>7</v>
      </c>
      <c r="Q11" s="990">
        <v>7</v>
      </c>
      <c r="R11" s="990">
        <v>7</v>
      </c>
      <c r="S11" s="990">
        <v>7</v>
      </c>
      <c r="T11" s="990">
        <v>7</v>
      </c>
      <c r="U11" s="990">
        <v>7</v>
      </c>
      <c r="V11" s="990">
        <v>7</v>
      </c>
      <c r="W11" s="990">
        <v>7</v>
      </c>
      <c r="X11" s="990">
        <v>7</v>
      </c>
      <c r="Y11" s="990">
        <v>7</v>
      </c>
      <c r="Z11" s="990">
        <v>7</v>
      </c>
      <c r="AA11" s="990">
        <v>7</v>
      </c>
      <c r="AB11" s="990">
        <v>7</v>
      </c>
      <c r="AC11" s="990">
        <v>7</v>
      </c>
      <c r="AD11" s="990">
        <v>7</v>
      </c>
      <c r="AE11" s="990">
        <v>7</v>
      </c>
      <c r="AF11" s="990">
        <v>7</v>
      </c>
      <c r="AG11" s="990">
        <v>7</v>
      </c>
      <c r="AH11" s="990">
        <v>7</v>
      </c>
      <c r="AI11" s="990">
        <v>7</v>
      </c>
      <c r="AJ11" s="990">
        <v>7</v>
      </c>
      <c r="AK11" s="990">
        <v>7</v>
      </c>
      <c r="AL11" s="990">
        <v>7</v>
      </c>
      <c r="AM11" s="990">
        <v>7</v>
      </c>
      <c r="AN11" s="990">
        <v>7</v>
      </c>
      <c r="AO11" s="990">
        <v>7</v>
      </c>
      <c r="AP11" s="990">
        <v>7</v>
      </c>
      <c r="AQ11" s="990">
        <v>7</v>
      </c>
      <c r="AR11" s="990">
        <v>7</v>
      </c>
      <c r="AS11" s="990">
        <v>7</v>
      </c>
      <c r="AT11" s="990">
        <v>7</v>
      </c>
      <c r="AU11" s="990">
        <v>7</v>
      </c>
      <c r="AV11" s="990">
        <v>7</v>
      </c>
      <c r="AW11" s="990">
        <v>7</v>
      </c>
      <c r="AX11" s="990">
        <v>7</v>
      </c>
      <c r="AY11" s="990">
        <v>6</v>
      </c>
      <c r="AZ11" s="1251">
        <v>6</v>
      </c>
      <c r="BA11" s="1251">
        <v>6</v>
      </c>
      <c r="BB11" s="1251">
        <v>6</v>
      </c>
      <c r="BC11" s="1251">
        <v>6</v>
      </c>
      <c r="BD11" s="1020">
        <v>6</v>
      </c>
      <c r="BE11" s="1020">
        <v>6</v>
      </c>
      <c r="BF11" s="1020">
        <v>6</v>
      </c>
      <c r="BG11" s="1020">
        <v>5</v>
      </c>
      <c r="BH11" s="1020">
        <v>5</v>
      </c>
      <c r="BI11" s="1020">
        <v>5</v>
      </c>
      <c r="BJ11" s="1020">
        <v>5</v>
      </c>
      <c r="BK11" s="1020">
        <v>5</v>
      </c>
      <c r="BL11" s="1020">
        <v>5</v>
      </c>
      <c r="BM11" s="1020">
        <v>5</v>
      </c>
      <c r="BN11" s="1020">
        <v>5</v>
      </c>
      <c r="BO11" s="1020">
        <v>5</v>
      </c>
      <c r="BP11" s="1020">
        <v>5</v>
      </c>
      <c r="BQ11" s="1020">
        <v>5</v>
      </c>
      <c r="BR11" s="1020">
        <v>5</v>
      </c>
      <c r="BS11" s="1020">
        <v>5</v>
      </c>
      <c r="BT11" s="1020">
        <v>5</v>
      </c>
      <c r="BU11" s="1020">
        <v>5</v>
      </c>
      <c r="BV11" s="1020">
        <v>5</v>
      </c>
      <c r="BW11" s="1020">
        <v>5</v>
      </c>
      <c r="BX11" s="1020">
        <v>5</v>
      </c>
      <c r="BY11" s="1020">
        <v>5</v>
      </c>
      <c r="BZ11" s="1020">
        <v>5</v>
      </c>
      <c r="CA11" s="1020">
        <v>5</v>
      </c>
      <c r="CB11" s="1020">
        <v>5</v>
      </c>
      <c r="CC11" s="1020">
        <v>5</v>
      </c>
      <c r="CD11" s="1020">
        <v>5</v>
      </c>
      <c r="CE11" s="1020">
        <v>5</v>
      </c>
      <c r="CF11" s="1020">
        <v>5</v>
      </c>
      <c r="CG11" s="1020">
        <v>5</v>
      </c>
      <c r="CH11" s="1020">
        <v>5</v>
      </c>
      <c r="CI11" s="1020">
        <v>5</v>
      </c>
      <c r="CJ11" s="1020">
        <v>5</v>
      </c>
      <c r="CK11" s="1020">
        <v>5</v>
      </c>
      <c r="CL11" s="1020">
        <v>5</v>
      </c>
      <c r="CM11" s="1020">
        <v>5</v>
      </c>
      <c r="CN11" s="1020">
        <v>5</v>
      </c>
      <c r="CO11" s="1020">
        <v>5</v>
      </c>
      <c r="CP11" s="1020">
        <v>5</v>
      </c>
      <c r="CQ11" s="1020">
        <v>5</v>
      </c>
      <c r="CR11" s="1283" t="s">
        <v>3547</v>
      </c>
    </row>
    <row r="12" spans="1:97" ht="42" customHeight="1">
      <c r="A12" s="991" t="s">
        <v>2506</v>
      </c>
      <c r="B12" s="987">
        <v>2</v>
      </c>
      <c r="C12" s="988">
        <v>2</v>
      </c>
      <c r="D12" s="988">
        <v>2</v>
      </c>
      <c r="E12" s="989">
        <v>2</v>
      </c>
      <c r="F12" s="990">
        <v>2</v>
      </c>
      <c r="G12" s="990">
        <v>2</v>
      </c>
      <c r="H12" s="990">
        <v>2</v>
      </c>
      <c r="I12" s="990">
        <v>2</v>
      </c>
      <c r="J12" s="990">
        <v>2</v>
      </c>
      <c r="K12" s="990">
        <v>2</v>
      </c>
      <c r="L12" s="990">
        <v>2</v>
      </c>
      <c r="M12" s="990">
        <v>2</v>
      </c>
      <c r="N12" s="990">
        <v>2</v>
      </c>
      <c r="O12" s="990">
        <v>2</v>
      </c>
      <c r="P12" s="990">
        <v>2</v>
      </c>
      <c r="Q12" s="990">
        <v>2</v>
      </c>
      <c r="R12" s="990">
        <v>2</v>
      </c>
      <c r="S12" s="990">
        <v>2</v>
      </c>
      <c r="T12" s="990">
        <v>2</v>
      </c>
      <c r="U12" s="990">
        <v>2</v>
      </c>
      <c r="V12" s="990">
        <v>2</v>
      </c>
      <c r="W12" s="990">
        <v>2</v>
      </c>
      <c r="X12" s="990">
        <v>2</v>
      </c>
      <c r="Y12" s="990">
        <v>2</v>
      </c>
      <c r="Z12" s="990">
        <v>2</v>
      </c>
      <c r="AA12" s="990">
        <v>2</v>
      </c>
      <c r="AB12" s="990">
        <v>2</v>
      </c>
      <c r="AC12" s="990">
        <v>2</v>
      </c>
      <c r="AD12" s="990">
        <v>2</v>
      </c>
      <c r="AE12" s="990">
        <v>2</v>
      </c>
      <c r="AF12" s="990">
        <v>2</v>
      </c>
      <c r="AG12" s="990">
        <v>2</v>
      </c>
      <c r="AH12" s="990">
        <v>2</v>
      </c>
      <c r="AI12" s="990">
        <v>2</v>
      </c>
      <c r="AJ12" s="990">
        <v>2</v>
      </c>
      <c r="AK12" s="990">
        <v>2</v>
      </c>
      <c r="AL12" s="990">
        <v>2</v>
      </c>
      <c r="AM12" s="990">
        <v>2</v>
      </c>
      <c r="AN12" s="990">
        <v>2</v>
      </c>
      <c r="AO12" s="990">
        <v>2</v>
      </c>
      <c r="AP12" s="990">
        <v>2</v>
      </c>
      <c r="AQ12" s="990">
        <v>2</v>
      </c>
      <c r="AR12" s="990">
        <v>2</v>
      </c>
      <c r="AS12" s="990">
        <v>2</v>
      </c>
      <c r="AT12" s="990">
        <v>2</v>
      </c>
      <c r="AU12" s="990">
        <v>2</v>
      </c>
      <c r="AV12" s="990">
        <v>2</v>
      </c>
      <c r="AW12" s="990">
        <v>2</v>
      </c>
      <c r="AX12" s="990">
        <v>2</v>
      </c>
      <c r="AY12" s="990">
        <v>1</v>
      </c>
      <c r="AZ12" s="1251">
        <v>1</v>
      </c>
      <c r="BA12" s="1251">
        <v>1</v>
      </c>
      <c r="BB12" s="1251">
        <v>1</v>
      </c>
      <c r="BC12" s="1251">
        <v>1</v>
      </c>
      <c r="BD12" s="1020">
        <v>1</v>
      </c>
      <c r="BE12" s="1020">
        <v>1</v>
      </c>
      <c r="BF12" s="1020">
        <v>1</v>
      </c>
      <c r="BG12" s="1020">
        <v>1</v>
      </c>
      <c r="BH12" s="1020">
        <v>1</v>
      </c>
      <c r="BI12" s="1020">
        <v>1</v>
      </c>
      <c r="BJ12" s="1020">
        <v>1</v>
      </c>
      <c r="BK12" s="1020">
        <v>1</v>
      </c>
      <c r="BL12" s="1020">
        <v>1</v>
      </c>
      <c r="BM12" s="1020">
        <v>1</v>
      </c>
      <c r="BN12" s="1020">
        <v>1</v>
      </c>
      <c r="BO12" s="1020">
        <v>1</v>
      </c>
      <c r="BP12" s="1020">
        <v>1</v>
      </c>
      <c r="BQ12" s="1020">
        <v>1</v>
      </c>
      <c r="BR12" s="1020">
        <v>1</v>
      </c>
      <c r="BS12" s="1020">
        <v>1</v>
      </c>
      <c r="BT12" s="1020">
        <v>1</v>
      </c>
      <c r="BU12" s="1020">
        <v>1</v>
      </c>
      <c r="BV12" s="1020">
        <v>1</v>
      </c>
      <c r="BW12" s="1020">
        <v>1</v>
      </c>
      <c r="BX12" s="1020">
        <v>1</v>
      </c>
      <c r="BY12" s="1020">
        <v>1</v>
      </c>
      <c r="BZ12" s="1020">
        <v>1</v>
      </c>
      <c r="CA12" s="1020">
        <v>1</v>
      </c>
      <c r="CB12" s="1020">
        <v>1</v>
      </c>
      <c r="CC12" s="1020">
        <v>1</v>
      </c>
      <c r="CD12" s="1020">
        <v>1</v>
      </c>
      <c r="CE12" s="1020">
        <v>1</v>
      </c>
      <c r="CF12" s="1020">
        <v>1</v>
      </c>
      <c r="CG12" s="1020">
        <v>1</v>
      </c>
      <c r="CH12" s="1020">
        <v>1</v>
      </c>
      <c r="CI12" s="1020">
        <v>1</v>
      </c>
      <c r="CJ12" s="1020">
        <v>1</v>
      </c>
      <c r="CK12" s="1020">
        <v>1</v>
      </c>
      <c r="CL12" s="1020">
        <v>1</v>
      </c>
      <c r="CM12" s="1020">
        <v>1</v>
      </c>
      <c r="CN12" s="1020">
        <v>1</v>
      </c>
      <c r="CO12" s="1020">
        <v>1</v>
      </c>
      <c r="CP12" s="1020">
        <v>1</v>
      </c>
      <c r="CQ12" s="1020">
        <v>1</v>
      </c>
      <c r="CR12" s="1283" t="s">
        <v>3548</v>
      </c>
    </row>
    <row r="13" spans="1:97" ht="54.6" customHeight="1" thickBot="1">
      <c r="A13" s="992" t="s">
        <v>2218</v>
      </c>
      <c r="B13" s="993">
        <v>7</v>
      </c>
      <c r="C13" s="994">
        <v>7</v>
      </c>
      <c r="D13" s="994">
        <v>7</v>
      </c>
      <c r="E13" s="995">
        <v>7</v>
      </c>
      <c r="F13" s="996">
        <v>7</v>
      </c>
      <c r="G13" s="996">
        <v>7</v>
      </c>
      <c r="H13" s="996">
        <v>7</v>
      </c>
      <c r="I13" s="996">
        <v>7</v>
      </c>
      <c r="J13" s="996">
        <v>7</v>
      </c>
      <c r="K13" s="996">
        <v>6</v>
      </c>
      <c r="L13" s="996">
        <v>6</v>
      </c>
      <c r="M13" s="996">
        <v>6</v>
      </c>
      <c r="N13" s="996">
        <v>6</v>
      </c>
      <c r="O13" s="996">
        <v>6</v>
      </c>
      <c r="P13" s="996">
        <v>7</v>
      </c>
      <c r="Q13" s="996">
        <v>7</v>
      </c>
      <c r="R13" s="996">
        <v>7</v>
      </c>
      <c r="S13" s="996">
        <v>7</v>
      </c>
      <c r="T13" s="996">
        <v>7</v>
      </c>
      <c r="U13" s="996">
        <v>6</v>
      </c>
      <c r="V13" s="996">
        <v>5</v>
      </c>
      <c r="W13" s="996">
        <v>5</v>
      </c>
      <c r="X13" s="996">
        <v>5</v>
      </c>
      <c r="Y13" s="996">
        <v>5</v>
      </c>
      <c r="Z13" s="996">
        <v>5</v>
      </c>
      <c r="AA13" s="996">
        <v>5</v>
      </c>
      <c r="AB13" s="996">
        <v>5</v>
      </c>
      <c r="AC13" s="996">
        <v>5</v>
      </c>
      <c r="AD13" s="996">
        <v>5</v>
      </c>
      <c r="AE13" s="996">
        <v>5</v>
      </c>
      <c r="AF13" s="996">
        <v>5</v>
      </c>
      <c r="AG13" s="996">
        <v>5</v>
      </c>
      <c r="AH13" s="996">
        <v>5</v>
      </c>
      <c r="AI13" s="996">
        <v>5</v>
      </c>
      <c r="AJ13" s="996">
        <v>5</v>
      </c>
      <c r="AK13" s="996">
        <v>5</v>
      </c>
      <c r="AL13" s="996">
        <v>5</v>
      </c>
      <c r="AM13" s="996">
        <v>5</v>
      </c>
      <c r="AN13" s="996">
        <v>5</v>
      </c>
      <c r="AO13" s="996">
        <v>5</v>
      </c>
      <c r="AP13" s="996">
        <v>5</v>
      </c>
      <c r="AQ13" s="996">
        <v>5</v>
      </c>
      <c r="AR13" s="996">
        <v>5</v>
      </c>
      <c r="AS13" s="996">
        <v>5</v>
      </c>
      <c r="AT13" s="996">
        <v>5</v>
      </c>
      <c r="AU13" s="996">
        <v>5</v>
      </c>
      <c r="AV13" s="996">
        <v>5</v>
      </c>
      <c r="AW13" s="996">
        <v>5</v>
      </c>
      <c r="AX13" s="996">
        <v>5</v>
      </c>
      <c r="AY13" s="996">
        <v>5</v>
      </c>
      <c r="AZ13" s="1252">
        <v>5</v>
      </c>
      <c r="BA13" s="1252">
        <v>4</v>
      </c>
      <c r="BB13" s="1252">
        <v>4</v>
      </c>
      <c r="BC13" s="1252">
        <v>4</v>
      </c>
      <c r="BD13" s="1008">
        <v>4</v>
      </c>
      <c r="BE13" s="1008">
        <v>4</v>
      </c>
      <c r="BF13" s="1008">
        <v>3</v>
      </c>
      <c r="BG13" s="1008">
        <v>3</v>
      </c>
      <c r="BH13" s="1008">
        <v>3</v>
      </c>
      <c r="BI13" s="1008">
        <v>3</v>
      </c>
      <c r="BJ13" s="1008">
        <v>3</v>
      </c>
      <c r="BK13" s="1008">
        <v>3</v>
      </c>
      <c r="BL13" s="1008">
        <v>3</v>
      </c>
      <c r="BM13" s="1008">
        <v>3</v>
      </c>
      <c r="BN13" s="1008">
        <v>3</v>
      </c>
      <c r="BO13" s="1008">
        <v>3</v>
      </c>
      <c r="BP13" s="1008">
        <v>3</v>
      </c>
      <c r="BQ13" s="1008">
        <v>3</v>
      </c>
      <c r="BR13" s="1008">
        <v>3</v>
      </c>
      <c r="BS13" s="1008">
        <v>3</v>
      </c>
      <c r="BT13" s="1008">
        <v>3</v>
      </c>
      <c r="BU13" s="1008">
        <v>3</v>
      </c>
      <c r="BV13" s="1008">
        <v>3</v>
      </c>
      <c r="BW13" s="1008">
        <v>3</v>
      </c>
      <c r="BX13" s="1008">
        <v>3</v>
      </c>
      <c r="BY13" s="1008">
        <v>3</v>
      </c>
      <c r="BZ13" s="1008">
        <v>3</v>
      </c>
      <c r="CA13" s="1008">
        <v>3</v>
      </c>
      <c r="CB13" s="1008">
        <v>3</v>
      </c>
      <c r="CC13" s="1008">
        <v>3</v>
      </c>
      <c r="CD13" s="1008">
        <v>3</v>
      </c>
      <c r="CE13" s="1008">
        <v>3</v>
      </c>
      <c r="CF13" s="1008">
        <v>3</v>
      </c>
      <c r="CG13" s="1008">
        <v>3</v>
      </c>
      <c r="CH13" s="1008">
        <v>3</v>
      </c>
      <c r="CI13" s="1008">
        <v>3</v>
      </c>
      <c r="CJ13" s="1008">
        <v>3</v>
      </c>
      <c r="CK13" s="1008">
        <v>3</v>
      </c>
      <c r="CL13" s="1008">
        <v>3</v>
      </c>
      <c r="CM13" s="1008">
        <v>3</v>
      </c>
      <c r="CN13" s="1008">
        <v>3</v>
      </c>
      <c r="CO13" s="1008">
        <v>3</v>
      </c>
      <c r="CP13" s="1008">
        <v>3</v>
      </c>
      <c r="CQ13" s="1008">
        <v>3</v>
      </c>
      <c r="CR13" s="1284" t="s">
        <v>3549</v>
      </c>
    </row>
    <row r="14" spans="1:97" ht="13.9" customHeight="1" thickBot="1">
      <c r="A14" s="997"/>
      <c r="B14" s="998"/>
      <c r="C14" s="998"/>
      <c r="D14" s="998"/>
      <c r="E14" s="998"/>
      <c r="F14" s="998"/>
      <c r="G14" s="998"/>
      <c r="H14" s="998"/>
      <c r="I14" s="998"/>
      <c r="J14" s="998"/>
      <c r="K14" s="998"/>
      <c r="L14" s="998"/>
      <c r="M14" s="998"/>
      <c r="N14" s="998"/>
      <c r="O14" s="998"/>
      <c r="P14" s="998"/>
      <c r="Q14" s="998"/>
      <c r="R14" s="998"/>
      <c r="S14" s="998"/>
      <c r="T14" s="998"/>
      <c r="U14" s="998"/>
      <c r="V14" s="998"/>
      <c r="W14" s="998"/>
      <c r="X14" s="998"/>
      <c r="Y14" s="998"/>
      <c r="Z14" s="998"/>
      <c r="AA14" s="998"/>
      <c r="AB14" s="998"/>
      <c r="AC14" s="998"/>
      <c r="AD14" s="998"/>
      <c r="AE14" s="998"/>
      <c r="AF14" s="998"/>
      <c r="AG14" s="998"/>
      <c r="AH14" s="998"/>
      <c r="AI14" s="998"/>
      <c r="AJ14" s="998"/>
      <c r="AK14" s="998"/>
      <c r="AL14" s="998"/>
      <c r="AM14" s="998"/>
      <c r="AN14" s="998"/>
      <c r="AO14" s="998"/>
      <c r="AP14" s="998"/>
      <c r="AQ14" s="998"/>
      <c r="AR14" s="998"/>
      <c r="AS14" s="998"/>
      <c r="AT14" s="998"/>
      <c r="AU14" s="998"/>
      <c r="AV14" s="998"/>
      <c r="AW14" s="998"/>
      <c r="AX14" s="998"/>
      <c r="AY14" s="998"/>
      <c r="AZ14" s="998"/>
      <c r="BA14" s="998"/>
      <c r="BB14" s="998"/>
      <c r="BC14" s="998"/>
      <c r="BD14" s="998"/>
      <c r="BE14" s="998"/>
      <c r="BF14" s="998"/>
      <c r="BG14" s="998"/>
      <c r="BH14" s="998"/>
      <c r="BI14" s="998"/>
      <c r="BJ14" s="998"/>
      <c r="BK14" s="998"/>
      <c r="BL14" s="998"/>
      <c r="BM14" s="998"/>
      <c r="BN14" s="998"/>
      <c r="BO14" s="998"/>
      <c r="BP14" s="998"/>
      <c r="BQ14" s="998"/>
      <c r="BR14" s="998"/>
      <c r="BS14" s="998"/>
      <c r="BT14" s="998"/>
      <c r="BU14" s="998"/>
      <c r="BV14" s="998"/>
      <c r="BW14" s="998"/>
      <c r="BX14" s="998"/>
      <c r="BY14" s="998"/>
      <c r="BZ14" s="998"/>
      <c r="CA14" s="998"/>
      <c r="CB14" s="998"/>
      <c r="CC14" s="998"/>
      <c r="CD14" s="998"/>
      <c r="CE14" s="998"/>
      <c r="CF14" s="998"/>
      <c r="CG14" s="998"/>
      <c r="CH14" s="998"/>
      <c r="CI14" s="998"/>
      <c r="CJ14" s="998"/>
      <c r="CK14" s="998"/>
      <c r="CL14" s="998"/>
      <c r="CM14" s="998"/>
      <c r="CN14" s="998"/>
      <c r="CO14" s="998"/>
      <c r="CP14" s="998"/>
      <c r="CQ14" s="998"/>
      <c r="CR14" s="998"/>
    </row>
    <row r="15" spans="1:97" ht="74.25" customHeight="1">
      <c r="A15" s="999" t="s">
        <v>2222</v>
      </c>
      <c r="B15" s="1000">
        <v>0</v>
      </c>
      <c r="C15" s="1001">
        <v>0</v>
      </c>
      <c r="D15" s="1001">
        <v>0</v>
      </c>
      <c r="E15" s="1002">
        <v>0</v>
      </c>
      <c r="F15" s="1003">
        <v>0</v>
      </c>
      <c r="G15" s="1003">
        <v>0</v>
      </c>
      <c r="H15" s="1003">
        <v>0</v>
      </c>
      <c r="I15" s="1003">
        <v>0</v>
      </c>
      <c r="J15" s="1003">
        <v>0</v>
      </c>
      <c r="K15" s="1003">
        <v>0</v>
      </c>
      <c r="L15" s="1003">
        <v>0</v>
      </c>
      <c r="M15" s="1003">
        <v>0</v>
      </c>
      <c r="N15" s="1003">
        <v>0</v>
      </c>
      <c r="O15" s="1003">
        <v>0</v>
      </c>
      <c r="P15" s="1003">
        <v>0</v>
      </c>
      <c r="Q15" s="1003">
        <v>0</v>
      </c>
      <c r="R15" s="1003">
        <v>0</v>
      </c>
      <c r="S15" s="1003">
        <v>0</v>
      </c>
      <c r="T15" s="1003">
        <v>0</v>
      </c>
      <c r="U15" s="1003">
        <v>0</v>
      </c>
      <c r="V15" s="1003">
        <v>0</v>
      </c>
      <c r="W15" s="1003">
        <v>0</v>
      </c>
      <c r="X15" s="1003">
        <v>0</v>
      </c>
      <c r="Y15" s="1003">
        <v>0</v>
      </c>
      <c r="Z15" s="1003">
        <v>0</v>
      </c>
      <c r="AA15" s="1003">
        <v>0</v>
      </c>
      <c r="AB15" s="1003">
        <v>0</v>
      </c>
      <c r="AC15" s="1003">
        <v>0</v>
      </c>
      <c r="AD15" s="1003">
        <v>0</v>
      </c>
      <c r="AE15" s="1003">
        <v>0</v>
      </c>
      <c r="AF15" s="1003">
        <v>0</v>
      </c>
      <c r="AG15" s="1003">
        <v>0</v>
      </c>
      <c r="AH15" s="1003">
        <v>0</v>
      </c>
      <c r="AI15" s="1003">
        <v>0</v>
      </c>
      <c r="AJ15" s="1003">
        <v>0</v>
      </c>
      <c r="AK15" s="1003">
        <v>0</v>
      </c>
      <c r="AL15" s="1003">
        <v>0</v>
      </c>
      <c r="AM15" s="1003">
        <v>0</v>
      </c>
      <c r="AN15" s="1003">
        <v>0</v>
      </c>
      <c r="AO15" s="1003">
        <v>0</v>
      </c>
      <c r="AP15" s="1003">
        <v>0</v>
      </c>
      <c r="AQ15" s="1003">
        <v>0</v>
      </c>
      <c r="AR15" s="1004">
        <v>0</v>
      </c>
      <c r="AS15" s="1004">
        <v>0</v>
      </c>
      <c r="AT15" s="1004">
        <v>0</v>
      </c>
      <c r="AU15" s="1004">
        <v>0</v>
      </c>
      <c r="AV15" s="1004">
        <v>0</v>
      </c>
      <c r="AW15" s="1004">
        <v>0</v>
      </c>
      <c r="AX15" s="1004">
        <v>0</v>
      </c>
      <c r="AY15" s="1004">
        <v>0</v>
      </c>
      <c r="AZ15" s="1004">
        <v>0</v>
      </c>
      <c r="BA15" s="1004">
        <v>0</v>
      </c>
      <c r="BB15" s="1004">
        <v>0</v>
      </c>
      <c r="BC15" s="1004">
        <v>0</v>
      </c>
      <c r="BD15" s="1004">
        <v>0</v>
      </c>
      <c r="BE15" s="1004">
        <v>0</v>
      </c>
      <c r="BF15" s="1004">
        <v>0</v>
      </c>
      <c r="BG15" s="1004">
        <v>0</v>
      </c>
      <c r="BH15" s="1004">
        <v>0</v>
      </c>
      <c r="BI15" s="1004">
        <v>0</v>
      </c>
      <c r="BJ15" s="1004">
        <v>0</v>
      </c>
      <c r="BK15" s="1004">
        <v>0</v>
      </c>
      <c r="BL15" s="1004">
        <v>0</v>
      </c>
      <c r="BM15" s="1004">
        <v>0</v>
      </c>
      <c r="BN15" s="1004">
        <v>0</v>
      </c>
      <c r="BO15" s="1004">
        <v>0</v>
      </c>
      <c r="BP15" s="1004">
        <v>0</v>
      </c>
      <c r="BQ15" s="1004">
        <v>0</v>
      </c>
      <c r="BR15" s="1004">
        <v>0</v>
      </c>
      <c r="BS15" s="1004">
        <v>0</v>
      </c>
      <c r="BT15" s="1004">
        <v>0</v>
      </c>
      <c r="BU15" s="1004">
        <v>0</v>
      </c>
      <c r="BV15" s="1004">
        <v>0</v>
      </c>
      <c r="BW15" s="1004">
        <v>0</v>
      </c>
      <c r="BX15" s="1004">
        <v>0</v>
      </c>
      <c r="BY15" s="1004">
        <v>0</v>
      </c>
      <c r="BZ15" s="1004">
        <v>0</v>
      </c>
      <c r="CA15" s="1004">
        <v>0</v>
      </c>
      <c r="CB15" s="1004">
        <v>0</v>
      </c>
      <c r="CC15" s="1004">
        <v>0</v>
      </c>
      <c r="CD15" s="1004">
        <v>0</v>
      </c>
      <c r="CE15" s="1004">
        <v>0</v>
      </c>
      <c r="CF15" s="1004">
        <v>0</v>
      </c>
      <c r="CG15" s="1004">
        <v>0</v>
      </c>
      <c r="CH15" s="1004">
        <v>0</v>
      </c>
      <c r="CI15" s="1004">
        <v>0</v>
      </c>
      <c r="CJ15" s="1004">
        <v>0</v>
      </c>
      <c r="CK15" s="1004">
        <v>0</v>
      </c>
      <c r="CL15" s="1004">
        <v>0</v>
      </c>
      <c r="CM15" s="1004">
        <v>0</v>
      </c>
      <c r="CN15" s="1004">
        <v>0</v>
      </c>
      <c r="CO15" s="1004">
        <v>0</v>
      </c>
      <c r="CP15" s="1004">
        <v>0</v>
      </c>
      <c r="CQ15" s="1004">
        <v>0</v>
      </c>
      <c r="CR15" s="1285" t="s">
        <v>3550</v>
      </c>
    </row>
    <row r="16" spans="1:97" ht="72.75" customHeight="1" thickBot="1">
      <c r="A16" s="1005" t="s">
        <v>2221</v>
      </c>
      <c r="B16" s="1006">
        <v>0</v>
      </c>
      <c r="C16" s="1007">
        <v>0</v>
      </c>
      <c r="D16" s="1007">
        <v>0</v>
      </c>
      <c r="E16" s="995">
        <v>0</v>
      </c>
      <c r="F16" s="996">
        <v>0</v>
      </c>
      <c r="G16" s="996">
        <v>0</v>
      </c>
      <c r="H16" s="996">
        <v>0</v>
      </c>
      <c r="I16" s="996">
        <v>0</v>
      </c>
      <c r="J16" s="996">
        <v>0</v>
      </c>
      <c r="K16" s="996">
        <v>0</v>
      </c>
      <c r="L16" s="996">
        <v>0</v>
      </c>
      <c r="M16" s="996">
        <v>0</v>
      </c>
      <c r="N16" s="996">
        <v>0</v>
      </c>
      <c r="O16" s="996">
        <v>0</v>
      </c>
      <c r="P16" s="996">
        <v>0</v>
      </c>
      <c r="Q16" s="996">
        <v>0</v>
      </c>
      <c r="R16" s="996">
        <v>0</v>
      </c>
      <c r="S16" s="996">
        <v>0</v>
      </c>
      <c r="T16" s="996">
        <v>0</v>
      </c>
      <c r="U16" s="996">
        <v>2</v>
      </c>
      <c r="V16" s="996">
        <v>4</v>
      </c>
      <c r="W16" s="996">
        <v>4</v>
      </c>
      <c r="X16" s="996">
        <v>4</v>
      </c>
      <c r="Y16" s="996">
        <v>4</v>
      </c>
      <c r="Z16" s="996">
        <v>4</v>
      </c>
      <c r="AA16" s="996">
        <v>4</v>
      </c>
      <c r="AB16" s="996">
        <v>4</v>
      </c>
      <c r="AC16" s="996">
        <v>4</v>
      </c>
      <c r="AD16" s="996">
        <v>0</v>
      </c>
      <c r="AE16" s="996">
        <v>0</v>
      </c>
      <c r="AF16" s="996">
        <v>0</v>
      </c>
      <c r="AG16" s="996">
        <v>0</v>
      </c>
      <c r="AH16" s="996">
        <v>0</v>
      </c>
      <c r="AI16" s="996">
        <v>0</v>
      </c>
      <c r="AJ16" s="996">
        <v>0</v>
      </c>
      <c r="AK16" s="996">
        <v>0</v>
      </c>
      <c r="AL16" s="996">
        <v>0</v>
      </c>
      <c r="AM16" s="996">
        <v>0</v>
      </c>
      <c r="AN16" s="996">
        <v>0</v>
      </c>
      <c r="AO16" s="996">
        <v>0</v>
      </c>
      <c r="AP16" s="996">
        <v>0</v>
      </c>
      <c r="AQ16" s="996">
        <v>0</v>
      </c>
      <c r="AR16" s="1008">
        <v>0</v>
      </c>
      <c r="AS16" s="1008">
        <v>0</v>
      </c>
      <c r="AT16" s="1008">
        <v>0</v>
      </c>
      <c r="AU16" s="1008">
        <v>0</v>
      </c>
      <c r="AV16" s="1008">
        <v>0</v>
      </c>
      <c r="AW16" s="1008">
        <v>0</v>
      </c>
      <c r="AX16" s="1008">
        <v>0</v>
      </c>
      <c r="AY16" s="1008">
        <v>1</v>
      </c>
      <c r="AZ16" s="1008">
        <v>1</v>
      </c>
      <c r="BA16" s="1008">
        <v>1</v>
      </c>
      <c r="BB16" s="1008">
        <v>0</v>
      </c>
      <c r="BC16" s="1008">
        <v>0</v>
      </c>
      <c r="BD16" s="1008">
        <v>0</v>
      </c>
      <c r="BE16" s="1008">
        <v>0</v>
      </c>
      <c r="BF16" s="1008">
        <v>1</v>
      </c>
      <c r="BG16" s="1008">
        <v>1</v>
      </c>
      <c r="BH16" s="1008">
        <v>1</v>
      </c>
      <c r="BI16" s="1008">
        <v>1</v>
      </c>
      <c r="BJ16" s="1008">
        <v>1</v>
      </c>
      <c r="BK16" s="1008">
        <v>2</v>
      </c>
      <c r="BL16" s="1008">
        <v>2</v>
      </c>
      <c r="BM16" s="1008">
        <v>2</v>
      </c>
      <c r="BN16" s="1008">
        <v>0</v>
      </c>
      <c r="BO16" s="1008">
        <v>0</v>
      </c>
      <c r="BP16" s="1008">
        <v>0</v>
      </c>
      <c r="BQ16" s="1008">
        <v>0</v>
      </c>
      <c r="BR16" s="1008">
        <v>0</v>
      </c>
      <c r="BS16" s="1008">
        <v>0</v>
      </c>
      <c r="BT16" s="1008">
        <v>1</v>
      </c>
      <c r="BU16" s="1008">
        <v>1</v>
      </c>
      <c r="BV16" s="1008">
        <v>1</v>
      </c>
      <c r="BW16" s="1008">
        <v>1</v>
      </c>
      <c r="BX16" s="1008">
        <v>1</v>
      </c>
      <c r="BY16" s="1008">
        <v>1</v>
      </c>
      <c r="BZ16" s="1008">
        <v>0</v>
      </c>
      <c r="CA16" s="1008">
        <v>0</v>
      </c>
      <c r="CB16" s="1008">
        <v>0</v>
      </c>
      <c r="CC16" s="1008">
        <v>0</v>
      </c>
      <c r="CD16" s="1008">
        <v>0</v>
      </c>
      <c r="CE16" s="1008">
        <v>0</v>
      </c>
      <c r="CF16" s="1008">
        <v>0</v>
      </c>
      <c r="CG16" s="1008">
        <v>0</v>
      </c>
      <c r="CH16" s="1008">
        <v>0</v>
      </c>
      <c r="CI16" s="1008">
        <v>0</v>
      </c>
      <c r="CJ16" s="1008">
        <v>0</v>
      </c>
      <c r="CK16" s="1008">
        <v>0</v>
      </c>
      <c r="CL16" s="1008">
        <v>0</v>
      </c>
      <c r="CM16" s="1008">
        <v>0</v>
      </c>
      <c r="CN16" s="1008">
        <v>0</v>
      </c>
      <c r="CO16" s="1008">
        <v>0</v>
      </c>
      <c r="CP16" s="1008">
        <v>0</v>
      </c>
      <c r="CQ16" s="1008">
        <v>0</v>
      </c>
      <c r="CR16" s="1286" t="s">
        <v>3551</v>
      </c>
    </row>
    <row r="17" spans="1:99" ht="14.45" customHeight="1" thickBot="1">
      <c r="A17" s="2701"/>
      <c r="B17" s="2702"/>
      <c r="C17" s="2702"/>
      <c r="D17" s="2702"/>
      <c r="E17" s="2702"/>
      <c r="F17" s="2702"/>
      <c r="G17" s="2702"/>
      <c r="H17" s="2702"/>
      <c r="I17" s="2702"/>
      <c r="J17" s="2702"/>
      <c r="K17" s="2702"/>
      <c r="L17" s="2702"/>
      <c r="M17" s="2702"/>
      <c r="N17" s="2702"/>
      <c r="O17" s="2702"/>
      <c r="P17" s="2702"/>
      <c r="Q17" s="2702"/>
      <c r="R17" s="2702"/>
      <c r="S17" s="2702"/>
      <c r="T17" s="2702"/>
      <c r="U17" s="2702"/>
      <c r="V17" s="2702"/>
      <c r="W17" s="2702"/>
      <c r="X17" s="2702"/>
      <c r="Y17" s="2702"/>
      <c r="Z17" s="2702"/>
      <c r="AA17" s="2702"/>
      <c r="AB17" s="2702"/>
      <c r="AC17" s="2702"/>
      <c r="AD17" s="2702"/>
      <c r="AE17" s="2702"/>
      <c r="AF17" s="2702"/>
      <c r="AG17" s="2702"/>
      <c r="AH17" s="2702"/>
      <c r="AI17" s="2702"/>
      <c r="AJ17" s="2702"/>
      <c r="AK17" s="2702"/>
      <c r="AL17" s="2702"/>
      <c r="AM17" s="2702"/>
      <c r="AN17" s="2702"/>
      <c r="AO17" s="2702"/>
      <c r="AP17" s="2702"/>
      <c r="AQ17" s="2702"/>
      <c r="AR17" s="2702"/>
      <c r="AS17" s="2702"/>
      <c r="AT17" s="2702"/>
      <c r="AU17" s="2702"/>
      <c r="AV17" s="2702"/>
      <c r="AW17" s="2702"/>
      <c r="AX17" s="2702"/>
      <c r="AY17" s="2702"/>
      <c r="AZ17" s="2702"/>
      <c r="BA17" s="2702"/>
      <c r="BB17" s="2702"/>
      <c r="BC17" s="2702"/>
      <c r="BD17" s="2702"/>
      <c r="BE17" s="2702"/>
      <c r="BF17" s="2702"/>
      <c r="BG17" s="2702"/>
      <c r="BH17" s="2702"/>
      <c r="BI17" s="2702"/>
      <c r="BJ17" s="2702"/>
      <c r="BK17" s="2702"/>
      <c r="BL17" s="2702"/>
      <c r="BM17" s="2702"/>
      <c r="BN17" s="2702"/>
      <c r="BO17" s="2702"/>
      <c r="BP17" s="2702"/>
      <c r="BQ17" s="2702"/>
      <c r="BR17" s="2702"/>
      <c r="BS17" s="2702"/>
      <c r="BT17" s="2702"/>
      <c r="BU17" s="2702"/>
      <c r="BV17" s="2702"/>
      <c r="BW17" s="2702"/>
      <c r="BX17" s="2702"/>
      <c r="BY17" s="2702"/>
      <c r="BZ17" s="2702"/>
      <c r="CA17" s="2702"/>
      <c r="CB17" s="2702"/>
      <c r="CC17" s="2702"/>
      <c r="CD17" s="2702"/>
      <c r="CE17" s="2702"/>
      <c r="CF17" s="2702"/>
      <c r="CG17" s="2702"/>
      <c r="CH17" s="2702"/>
      <c r="CI17" s="2702"/>
      <c r="CJ17" s="2702"/>
      <c r="CK17" s="2702"/>
      <c r="CL17" s="2702"/>
      <c r="CM17" s="2702"/>
      <c r="CN17" s="2702"/>
      <c r="CO17" s="2702"/>
      <c r="CP17" s="2702"/>
      <c r="CQ17" s="2702"/>
      <c r="CR17" s="2702"/>
    </row>
    <row r="18" spans="1:99" ht="40.9" customHeight="1">
      <c r="A18" s="1009" t="s">
        <v>2220</v>
      </c>
      <c r="B18" s="1010">
        <v>511</v>
      </c>
      <c r="C18" s="1011">
        <v>508</v>
      </c>
      <c r="D18" s="1012">
        <v>508</v>
      </c>
      <c r="E18" s="1013">
        <v>508</v>
      </c>
      <c r="F18" s="1004">
        <v>508</v>
      </c>
      <c r="G18" s="1004">
        <v>509</v>
      </c>
      <c r="H18" s="1004">
        <v>512</v>
      </c>
      <c r="I18" s="1004">
        <v>512</v>
      </c>
      <c r="J18" s="1004">
        <v>512</v>
      </c>
      <c r="K18" s="1004">
        <v>513</v>
      </c>
      <c r="L18" s="1004">
        <v>514</v>
      </c>
      <c r="M18" s="1004">
        <v>514</v>
      </c>
      <c r="N18" s="1004">
        <v>515</v>
      </c>
      <c r="O18" s="1004">
        <v>515</v>
      </c>
      <c r="P18" s="1004">
        <v>509</v>
      </c>
      <c r="Q18" s="1004">
        <v>509</v>
      </c>
      <c r="R18" s="1004">
        <v>508</v>
      </c>
      <c r="S18" s="1004">
        <v>507</v>
      </c>
      <c r="T18" s="1004">
        <v>506</v>
      </c>
      <c r="U18" s="1004">
        <v>467</v>
      </c>
      <c r="V18" s="1004">
        <v>439</v>
      </c>
      <c r="W18" s="1004">
        <v>440</v>
      </c>
      <c r="X18" s="1004">
        <v>440</v>
      </c>
      <c r="Y18" s="1004">
        <v>440</v>
      </c>
      <c r="Z18" s="1004">
        <v>443</v>
      </c>
      <c r="AA18" s="1004">
        <v>444</v>
      </c>
      <c r="AB18" s="1004">
        <v>446</v>
      </c>
      <c r="AC18" s="1004">
        <v>455</v>
      </c>
      <c r="AD18" s="1004">
        <v>456</v>
      </c>
      <c r="AE18" s="1004">
        <v>456</v>
      </c>
      <c r="AF18" s="1004">
        <v>458</v>
      </c>
      <c r="AG18" s="1004">
        <v>462</v>
      </c>
      <c r="AH18" s="1004">
        <v>465</v>
      </c>
      <c r="AI18" s="1004">
        <v>465</v>
      </c>
      <c r="AJ18" s="1004">
        <v>465</v>
      </c>
      <c r="AK18" s="1004">
        <v>466</v>
      </c>
      <c r="AL18" s="1004">
        <v>466</v>
      </c>
      <c r="AM18" s="1004">
        <v>473</v>
      </c>
      <c r="AN18" s="1004">
        <v>474</v>
      </c>
      <c r="AO18" s="1004">
        <v>479</v>
      </c>
      <c r="AP18" s="1004">
        <v>480</v>
      </c>
      <c r="AQ18" s="1004">
        <v>481</v>
      </c>
      <c r="AR18" s="1004">
        <v>486</v>
      </c>
      <c r="AS18" s="1014">
        <v>487</v>
      </c>
      <c r="AT18" s="1014">
        <v>491</v>
      </c>
      <c r="AU18" s="1014">
        <v>492</v>
      </c>
      <c r="AV18" s="1014">
        <v>480</v>
      </c>
      <c r="AW18" s="1014">
        <v>483</v>
      </c>
      <c r="AX18" s="1014">
        <v>481</v>
      </c>
      <c r="AY18" s="1014">
        <v>483</v>
      </c>
      <c r="AZ18" s="1014">
        <v>484</v>
      </c>
      <c r="BA18" s="1014">
        <v>487</v>
      </c>
      <c r="BB18" s="1014">
        <v>489</v>
      </c>
      <c r="BC18" s="1014">
        <v>490</v>
      </c>
      <c r="BD18" s="1290">
        <v>491</v>
      </c>
      <c r="BE18" s="1290">
        <v>493</v>
      </c>
      <c r="BF18" s="1290">
        <v>483</v>
      </c>
      <c r="BG18" s="1290">
        <v>486</v>
      </c>
      <c r="BH18" s="1290">
        <v>486</v>
      </c>
      <c r="BI18" s="1290">
        <v>488</v>
      </c>
      <c r="BJ18" s="1290">
        <v>491</v>
      </c>
      <c r="BK18" s="1290">
        <v>471</v>
      </c>
      <c r="BL18" s="1290">
        <v>474</v>
      </c>
      <c r="BM18" s="1290">
        <v>475</v>
      </c>
      <c r="BN18" s="1290">
        <v>475</v>
      </c>
      <c r="BO18" s="1290">
        <v>475</v>
      </c>
      <c r="BP18" s="1290">
        <v>476</v>
      </c>
      <c r="BQ18" s="1290">
        <v>480</v>
      </c>
      <c r="BR18" s="1290">
        <v>483</v>
      </c>
      <c r="BS18" s="1290">
        <v>486</v>
      </c>
      <c r="BT18" s="1290">
        <v>487</v>
      </c>
      <c r="BU18" s="1290">
        <v>481</v>
      </c>
      <c r="BV18" s="1290">
        <v>482</v>
      </c>
      <c r="BW18" s="1290">
        <v>481</v>
      </c>
      <c r="BX18" s="1290">
        <v>483</v>
      </c>
      <c r="BY18" s="1290">
        <v>485</v>
      </c>
      <c r="BZ18" s="1290">
        <v>485</v>
      </c>
      <c r="CA18" s="1290">
        <v>488</v>
      </c>
      <c r="CB18" s="1290">
        <v>491</v>
      </c>
      <c r="CC18" s="1290">
        <v>494</v>
      </c>
      <c r="CD18" s="1290">
        <v>494</v>
      </c>
      <c r="CE18" s="1290">
        <v>496</v>
      </c>
      <c r="CF18" s="1290">
        <v>498</v>
      </c>
      <c r="CG18" s="1290">
        <v>498</v>
      </c>
      <c r="CH18" s="1290">
        <v>499</v>
      </c>
      <c r="CI18" s="1290">
        <v>500</v>
      </c>
      <c r="CJ18" s="1290">
        <v>501</v>
      </c>
      <c r="CK18" s="1290">
        <v>502</v>
      </c>
      <c r="CL18" s="1290">
        <v>504</v>
      </c>
      <c r="CM18" s="1290">
        <v>505</v>
      </c>
      <c r="CN18" s="1290">
        <v>505</v>
      </c>
      <c r="CO18" s="1290">
        <v>505</v>
      </c>
      <c r="CP18" s="1290">
        <v>499</v>
      </c>
      <c r="CQ18" s="1290">
        <v>504</v>
      </c>
      <c r="CR18" s="1287" t="s">
        <v>3552</v>
      </c>
    </row>
    <row r="19" spans="1:99" ht="40.9" customHeight="1">
      <c r="A19" s="1015" t="s">
        <v>2219</v>
      </c>
      <c r="B19" s="1016">
        <v>143</v>
      </c>
      <c r="C19" s="1017">
        <v>140</v>
      </c>
      <c r="D19" s="1018">
        <v>141</v>
      </c>
      <c r="E19" s="1019">
        <v>130</v>
      </c>
      <c r="F19" s="1020">
        <v>130</v>
      </c>
      <c r="G19" s="1020">
        <v>130</v>
      </c>
      <c r="H19" s="1020">
        <v>129</v>
      </c>
      <c r="I19" s="1020">
        <v>128</v>
      </c>
      <c r="J19" s="1020">
        <v>129</v>
      </c>
      <c r="K19" s="1020">
        <v>129</v>
      </c>
      <c r="L19" s="1020">
        <v>128</v>
      </c>
      <c r="M19" s="1020">
        <v>129</v>
      </c>
      <c r="N19" s="1020">
        <v>129</v>
      </c>
      <c r="O19" s="1020">
        <v>130</v>
      </c>
      <c r="P19" s="1020">
        <v>133</v>
      </c>
      <c r="Q19" s="1020">
        <v>133</v>
      </c>
      <c r="R19" s="1020">
        <v>132</v>
      </c>
      <c r="S19" s="1020">
        <v>127</v>
      </c>
      <c r="T19" s="1020">
        <v>126</v>
      </c>
      <c r="U19" s="1020">
        <v>117</v>
      </c>
      <c r="V19" s="1020">
        <v>115</v>
      </c>
      <c r="W19" s="1020">
        <v>117</v>
      </c>
      <c r="X19" s="1020">
        <v>116</v>
      </c>
      <c r="Y19" s="1020">
        <v>116</v>
      </c>
      <c r="Z19" s="1020">
        <v>116</v>
      </c>
      <c r="AA19" s="1020">
        <v>116</v>
      </c>
      <c r="AB19" s="1020">
        <v>115</v>
      </c>
      <c r="AC19" s="1020">
        <v>109</v>
      </c>
      <c r="AD19" s="1020">
        <v>108</v>
      </c>
      <c r="AE19" s="1020">
        <v>108</v>
      </c>
      <c r="AF19" s="1020">
        <v>105</v>
      </c>
      <c r="AG19" s="1020">
        <v>102</v>
      </c>
      <c r="AH19" s="1020">
        <v>100</v>
      </c>
      <c r="AI19" s="1020">
        <v>101</v>
      </c>
      <c r="AJ19" s="1020">
        <v>102</v>
      </c>
      <c r="AK19" s="1020">
        <v>103</v>
      </c>
      <c r="AL19" s="1020">
        <v>103</v>
      </c>
      <c r="AM19" s="1020">
        <v>97</v>
      </c>
      <c r="AN19" s="1020">
        <v>97</v>
      </c>
      <c r="AO19" s="1020">
        <v>97</v>
      </c>
      <c r="AP19" s="1020">
        <v>97</v>
      </c>
      <c r="AQ19" s="1020">
        <v>97</v>
      </c>
      <c r="AR19" s="1020">
        <v>95</v>
      </c>
      <c r="AS19" s="1021">
        <v>97</v>
      </c>
      <c r="AT19" s="1021">
        <v>96</v>
      </c>
      <c r="AU19" s="1021">
        <v>96</v>
      </c>
      <c r="AV19" s="1021">
        <v>95</v>
      </c>
      <c r="AW19" s="1021">
        <v>94</v>
      </c>
      <c r="AX19" s="1021">
        <v>93</v>
      </c>
      <c r="AY19" s="1021">
        <v>94</v>
      </c>
      <c r="AZ19" s="1021">
        <v>94</v>
      </c>
      <c r="BA19" s="1021">
        <v>91</v>
      </c>
      <c r="BB19" s="1021">
        <v>92</v>
      </c>
      <c r="BC19" s="1021">
        <v>94</v>
      </c>
      <c r="BD19" s="1291">
        <v>94</v>
      </c>
      <c r="BE19" s="1291">
        <v>94</v>
      </c>
      <c r="BF19" s="1291">
        <v>86</v>
      </c>
      <c r="BG19" s="1291">
        <v>86</v>
      </c>
      <c r="BH19" s="1291">
        <v>86</v>
      </c>
      <c r="BI19" s="1291">
        <v>89</v>
      </c>
      <c r="BJ19" s="1291">
        <v>88</v>
      </c>
      <c r="BK19" s="1291">
        <v>86</v>
      </c>
      <c r="BL19" s="1291">
        <v>86</v>
      </c>
      <c r="BM19" s="1291">
        <v>96</v>
      </c>
      <c r="BN19" s="1291">
        <v>104</v>
      </c>
      <c r="BO19" s="1291">
        <v>104</v>
      </c>
      <c r="BP19" s="1291">
        <v>103</v>
      </c>
      <c r="BQ19" s="1291">
        <v>103</v>
      </c>
      <c r="BR19" s="1291">
        <v>97</v>
      </c>
      <c r="BS19" s="1291">
        <v>91</v>
      </c>
      <c r="BT19" s="1291">
        <v>92</v>
      </c>
      <c r="BU19" s="1291">
        <v>88</v>
      </c>
      <c r="BV19" s="1291">
        <v>88</v>
      </c>
      <c r="BW19" s="1291">
        <v>88</v>
      </c>
      <c r="BX19" s="1291">
        <v>88</v>
      </c>
      <c r="BY19" s="1291">
        <v>88</v>
      </c>
      <c r="BZ19" s="1291">
        <v>88</v>
      </c>
      <c r="CA19" s="1291">
        <v>89</v>
      </c>
      <c r="CB19" s="1291">
        <v>85</v>
      </c>
      <c r="CC19" s="1291">
        <v>87</v>
      </c>
      <c r="CD19" s="1291">
        <v>87</v>
      </c>
      <c r="CE19" s="1291">
        <v>86</v>
      </c>
      <c r="CF19" s="1291">
        <v>86</v>
      </c>
      <c r="CG19" s="1291">
        <v>87</v>
      </c>
      <c r="CH19" s="1291">
        <v>86</v>
      </c>
      <c r="CI19" s="1291">
        <v>87</v>
      </c>
      <c r="CJ19" s="1291">
        <v>85</v>
      </c>
      <c r="CK19" s="1291">
        <v>87</v>
      </c>
      <c r="CL19" s="1291">
        <v>85</v>
      </c>
      <c r="CM19" s="1291">
        <v>85</v>
      </c>
      <c r="CN19" s="1291">
        <v>85</v>
      </c>
      <c r="CO19" s="1291">
        <v>85</v>
      </c>
      <c r="CP19" s="1291">
        <v>84</v>
      </c>
      <c r="CQ19" s="1291">
        <v>83</v>
      </c>
      <c r="CR19" s="1288" t="s">
        <v>3553</v>
      </c>
    </row>
    <row r="20" spans="1:99" ht="40.9" customHeight="1">
      <c r="A20" s="1015" t="s">
        <v>2507</v>
      </c>
      <c r="B20" s="1016">
        <v>2479</v>
      </c>
      <c r="C20" s="1017">
        <v>2492</v>
      </c>
      <c r="D20" s="1018">
        <v>2490</v>
      </c>
      <c r="E20" s="1019">
        <v>2502</v>
      </c>
      <c r="F20" s="1020">
        <v>2510</v>
      </c>
      <c r="G20" s="1020">
        <v>2524</v>
      </c>
      <c r="H20" s="1020">
        <v>2535</v>
      </c>
      <c r="I20" s="1020">
        <v>2544</v>
      </c>
      <c r="J20" s="1020">
        <v>2568</v>
      </c>
      <c r="K20" s="1020">
        <v>2571</v>
      </c>
      <c r="L20" s="1020">
        <v>2582</v>
      </c>
      <c r="M20" s="1020">
        <v>2588</v>
      </c>
      <c r="N20" s="1020">
        <v>2592</v>
      </c>
      <c r="O20" s="1020">
        <v>2612</v>
      </c>
      <c r="P20" s="1020">
        <v>2627</v>
      </c>
      <c r="Q20" s="1020">
        <v>2647</v>
      </c>
      <c r="R20" s="1020">
        <v>2659</v>
      </c>
      <c r="S20" s="1020">
        <v>2658</v>
      </c>
      <c r="T20" s="1020">
        <v>2677</v>
      </c>
      <c r="U20" s="1020">
        <v>2636</v>
      </c>
      <c r="V20" s="1020">
        <v>2552</v>
      </c>
      <c r="W20" s="1020">
        <v>2569</v>
      </c>
      <c r="X20" s="1020">
        <v>2585</v>
      </c>
      <c r="Y20" s="1020">
        <v>2608</v>
      </c>
      <c r="Z20" s="1020">
        <v>2640</v>
      </c>
      <c r="AA20" s="1020">
        <v>2655</v>
      </c>
      <c r="AB20" s="1020">
        <v>2688</v>
      </c>
      <c r="AC20" s="1020">
        <v>2715</v>
      </c>
      <c r="AD20" s="1020">
        <v>2740</v>
      </c>
      <c r="AE20" s="1020">
        <v>2747</v>
      </c>
      <c r="AF20" s="1020">
        <v>2765</v>
      </c>
      <c r="AG20" s="1020">
        <v>2771</v>
      </c>
      <c r="AH20" s="1020">
        <v>2785</v>
      </c>
      <c r="AI20" s="1020">
        <v>2804</v>
      </c>
      <c r="AJ20" s="1020">
        <v>2824</v>
      </c>
      <c r="AK20" s="1020">
        <v>2844</v>
      </c>
      <c r="AL20" s="1020">
        <v>2854</v>
      </c>
      <c r="AM20" s="1020">
        <v>2870</v>
      </c>
      <c r="AN20" s="1020">
        <v>2882</v>
      </c>
      <c r="AO20" s="1020">
        <v>2907</v>
      </c>
      <c r="AP20" s="1020">
        <v>2920</v>
      </c>
      <c r="AQ20" s="1020">
        <v>2931</v>
      </c>
      <c r="AR20" s="1021">
        <v>2934</v>
      </c>
      <c r="AS20" s="1021">
        <v>2933</v>
      </c>
      <c r="AT20" s="1021">
        <v>2933</v>
      </c>
      <c r="AU20" s="1021">
        <v>2935</v>
      </c>
      <c r="AV20" s="1021">
        <v>2944</v>
      </c>
      <c r="AW20" s="1021">
        <v>2960</v>
      </c>
      <c r="AX20" s="1021">
        <v>2964</v>
      </c>
      <c r="AY20" s="1021">
        <v>2965</v>
      </c>
      <c r="AZ20" s="1021">
        <v>2975</v>
      </c>
      <c r="BA20" s="1021">
        <v>2997</v>
      </c>
      <c r="BB20" s="1021">
        <v>3006</v>
      </c>
      <c r="BC20" s="1021">
        <v>3003</v>
      </c>
      <c r="BD20" s="1291">
        <v>2996</v>
      </c>
      <c r="BE20" s="1291">
        <v>3002</v>
      </c>
      <c r="BF20" s="1291">
        <v>3003</v>
      </c>
      <c r="BG20" s="1291">
        <v>3009</v>
      </c>
      <c r="BH20" s="1291">
        <v>3015</v>
      </c>
      <c r="BI20" s="1291">
        <v>3032</v>
      </c>
      <c r="BJ20" s="1291">
        <v>3047</v>
      </c>
      <c r="BK20" s="1291">
        <v>3018</v>
      </c>
      <c r="BL20" s="1291">
        <v>3042</v>
      </c>
      <c r="BM20" s="1291">
        <v>3040</v>
      </c>
      <c r="BN20" s="1291">
        <v>3044</v>
      </c>
      <c r="BO20" s="1291">
        <v>3064</v>
      </c>
      <c r="BP20" s="1291">
        <v>3080</v>
      </c>
      <c r="BQ20" s="1291">
        <v>3102</v>
      </c>
      <c r="BR20" s="1291">
        <v>3061</v>
      </c>
      <c r="BS20" s="1291">
        <v>3086</v>
      </c>
      <c r="BT20" s="1291">
        <v>3106</v>
      </c>
      <c r="BU20" s="1291">
        <v>3125</v>
      </c>
      <c r="BV20" s="1291">
        <v>3140</v>
      </c>
      <c r="BW20" s="1291">
        <v>3180</v>
      </c>
      <c r="BX20" s="1291">
        <v>3200</v>
      </c>
      <c r="BY20" s="1291">
        <v>3230</v>
      </c>
      <c r="BZ20" s="1291">
        <v>3253</v>
      </c>
      <c r="CA20" s="1291">
        <v>3274</v>
      </c>
      <c r="CB20" s="1291">
        <v>3290</v>
      </c>
      <c r="CC20" s="1291">
        <v>3311</v>
      </c>
      <c r="CD20" s="1291">
        <v>3332</v>
      </c>
      <c r="CE20" s="1291">
        <v>3355</v>
      </c>
      <c r="CF20" s="1291">
        <v>3357</v>
      </c>
      <c r="CG20" s="1291">
        <v>3379</v>
      </c>
      <c r="CH20" s="1291">
        <v>3410</v>
      </c>
      <c r="CI20" s="1291">
        <v>3430</v>
      </c>
      <c r="CJ20" s="1291">
        <v>3462</v>
      </c>
      <c r="CK20" s="1291">
        <v>3486</v>
      </c>
      <c r="CL20" s="1291">
        <v>3498</v>
      </c>
      <c r="CM20" s="1291">
        <v>3507</v>
      </c>
      <c r="CN20" s="1291">
        <v>3500</v>
      </c>
      <c r="CO20" s="1291">
        <v>3498</v>
      </c>
      <c r="CP20" s="1291">
        <v>3502</v>
      </c>
      <c r="CQ20" s="1291">
        <v>3503</v>
      </c>
      <c r="CR20" s="1288" t="s">
        <v>3554</v>
      </c>
      <c r="CS20" s="1022"/>
      <c r="CT20" s="1023"/>
      <c r="CU20" s="1024"/>
    </row>
    <row r="21" spans="1:99" ht="38.450000000000003" customHeight="1" thickBot="1">
      <c r="A21" s="1025" t="s">
        <v>2508</v>
      </c>
      <c r="B21" s="1026">
        <v>17066</v>
      </c>
      <c r="C21" s="1027">
        <v>17211</v>
      </c>
      <c r="D21" s="1028">
        <v>17321</v>
      </c>
      <c r="E21" s="1029">
        <v>17415</v>
      </c>
      <c r="F21" s="1008">
        <v>17588</v>
      </c>
      <c r="G21" s="1008">
        <v>17683</v>
      </c>
      <c r="H21" s="1008">
        <v>17749</v>
      </c>
      <c r="I21" s="1008">
        <v>17982</v>
      </c>
      <c r="J21" s="1008">
        <v>18191</v>
      </c>
      <c r="K21" s="1008">
        <v>18288</v>
      </c>
      <c r="L21" s="1008">
        <v>18434</v>
      </c>
      <c r="M21" s="1008">
        <v>18711</v>
      </c>
      <c r="N21" s="1008">
        <v>18911</v>
      </c>
      <c r="O21" s="1008">
        <v>19108</v>
      </c>
      <c r="P21" s="1008">
        <v>19241</v>
      </c>
      <c r="Q21" s="1008">
        <v>19460</v>
      </c>
      <c r="R21" s="1008">
        <v>19572</v>
      </c>
      <c r="S21" s="1008">
        <v>19757</v>
      </c>
      <c r="T21" s="1008">
        <v>19846</v>
      </c>
      <c r="U21" s="1008">
        <v>19162</v>
      </c>
      <c r="V21" s="1008">
        <v>18391</v>
      </c>
      <c r="W21" s="1008">
        <v>18400</v>
      </c>
      <c r="X21" s="1008">
        <v>18478</v>
      </c>
      <c r="Y21" s="1008">
        <v>18489</v>
      </c>
      <c r="Z21" s="1008">
        <v>18555</v>
      </c>
      <c r="AA21" s="1008">
        <v>18536</v>
      </c>
      <c r="AB21" s="1008">
        <v>18630</v>
      </c>
      <c r="AC21" s="1008">
        <v>18708</v>
      </c>
      <c r="AD21" s="1008">
        <v>18724</v>
      </c>
      <c r="AE21" s="1008">
        <v>18724</v>
      </c>
      <c r="AF21" s="1008">
        <v>18767</v>
      </c>
      <c r="AG21" s="1008">
        <v>18893</v>
      </c>
      <c r="AH21" s="1008">
        <v>18901</v>
      </c>
      <c r="AI21" s="1008">
        <v>18993</v>
      </c>
      <c r="AJ21" s="1008">
        <v>19169</v>
      </c>
      <c r="AK21" s="1008">
        <v>19344</v>
      </c>
      <c r="AL21" s="1008">
        <v>19488</v>
      </c>
      <c r="AM21" s="1008">
        <v>19835</v>
      </c>
      <c r="AN21" s="1008">
        <v>20035</v>
      </c>
      <c r="AO21" s="1008">
        <v>20329</v>
      </c>
      <c r="AP21" s="1008">
        <v>20601</v>
      </c>
      <c r="AQ21" s="1030">
        <v>20834</v>
      </c>
      <c r="AR21" s="1008">
        <v>21031</v>
      </c>
      <c r="AS21" s="1030">
        <v>21227</v>
      </c>
      <c r="AT21" s="1030">
        <v>21379</v>
      </c>
      <c r="AU21" s="1030">
        <v>21526</v>
      </c>
      <c r="AV21" s="1030">
        <v>21729</v>
      </c>
      <c r="AW21" s="1030">
        <v>21947</v>
      </c>
      <c r="AX21" s="1030">
        <v>22116</v>
      </c>
      <c r="AY21" s="1030">
        <v>22302</v>
      </c>
      <c r="AZ21" s="1030">
        <v>22551</v>
      </c>
      <c r="BA21" s="1030">
        <v>22777</v>
      </c>
      <c r="BB21" s="1030">
        <v>22870</v>
      </c>
      <c r="BC21" s="1030">
        <v>23040</v>
      </c>
      <c r="BD21" s="1292">
        <v>23164</v>
      </c>
      <c r="BE21" s="1292">
        <v>23258</v>
      </c>
      <c r="BF21" s="1292">
        <v>23124</v>
      </c>
      <c r="BG21" s="1292">
        <v>23241</v>
      </c>
      <c r="BH21" s="1292">
        <v>23319</v>
      </c>
      <c r="BI21" s="1292">
        <v>23491</v>
      </c>
      <c r="BJ21" s="1292">
        <v>23530</v>
      </c>
      <c r="BK21" s="1292">
        <v>23292</v>
      </c>
      <c r="BL21" s="1292">
        <v>23354</v>
      </c>
      <c r="BM21" s="1292">
        <v>23569</v>
      </c>
      <c r="BN21" s="1292">
        <v>23633</v>
      </c>
      <c r="BO21" s="1292">
        <v>23878</v>
      </c>
      <c r="BP21" s="1292">
        <v>24036</v>
      </c>
      <c r="BQ21" s="1292">
        <v>24110</v>
      </c>
      <c r="BR21" s="1292">
        <v>24188</v>
      </c>
      <c r="BS21" s="1292">
        <v>24223</v>
      </c>
      <c r="BT21" s="1292">
        <v>24322</v>
      </c>
      <c r="BU21" s="1292">
        <v>24523</v>
      </c>
      <c r="BV21" s="1292">
        <v>24696</v>
      </c>
      <c r="BW21" s="1292">
        <v>25066</v>
      </c>
      <c r="BX21" s="1292">
        <v>25219</v>
      </c>
      <c r="BY21" s="1292">
        <v>25363</v>
      </c>
      <c r="BZ21" s="1292">
        <v>25452</v>
      </c>
      <c r="CA21" s="1292">
        <v>25634</v>
      </c>
      <c r="CB21" s="1292">
        <v>25755</v>
      </c>
      <c r="CC21" s="1292">
        <v>25939</v>
      </c>
      <c r="CD21" s="1292">
        <v>25965</v>
      </c>
      <c r="CE21" s="1292">
        <v>26071</v>
      </c>
      <c r="CF21" s="1292">
        <v>26127</v>
      </c>
      <c r="CG21" s="1292">
        <v>26735</v>
      </c>
      <c r="CH21" s="1292">
        <v>26872</v>
      </c>
      <c r="CI21" s="1292">
        <v>26921</v>
      </c>
      <c r="CJ21" s="1292">
        <v>27020</v>
      </c>
      <c r="CK21" s="1292">
        <v>27389</v>
      </c>
      <c r="CL21" s="1292">
        <v>27235</v>
      </c>
      <c r="CM21" s="1292">
        <v>27277</v>
      </c>
      <c r="CN21" s="1292">
        <v>27241</v>
      </c>
      <c r="CO21" s="1292">
        <v>27389</v>
      </c>
      <c r="CP21" s="1292">
        <v>27374</v>
      </c>
      <c r="CQ21" s="1292">
        <v>27462</v>
      </c>
      <c r="CR21" s="1289" t="s">
        <v>3555</v>
      </c>
      <c r="CS21" s="1022"/>
      <c r="CT21" s="1187"/>
      <c r="CU21" s="1024"/>
    </row>
    <row r="22" spans="1:99" s="1263" customFormat="1" ht="32.25" customHeight="1">
      <c r="A22" s="1293" t="s">
        <v>3262</v>
      </c>
      <c r="B22" s="1293"/>
      <c r="C22" s="1293"/>
      <c r="D22" s="1293"/>
      <c r="E22" s="1293"/>
      <c r="F22" s="1293"/>
      <c r="G22" s="1293"/>
      <c r="H22" s="1293"/>
      <c r="I22" s="1293"/>
      <c r="J22" s="1293"/>
      <c r="K22" s="1293"/>
      <c r="L22" s="1293"/>
      <c r="M22" s="1293"/>
      <c r="N22" s="1293"/>
      <c r="O22" s="1293"/>
      <c r="P22" s="1293"/>
      <c r="Q22" s="1293"/>
      <c r="R22" s="1293"/>
      <c r="S22" s="1293"/>
      <c r="T22" s="1293"/>
      <c r="U22" s="1293"/>
      <c r="V22" s="1293"/>
      <c r="W22" s="1293"/>
      <c r="X22" s="1293"/>
      <c r="Y22" s="1293"/>
      <c r="Z22" s="1293"/>
      <c r="AA22" s="1293"/>
      <c r="AB22" s="1293"/>
      <c r="AC22" s="1293"/>
      <c r="AD22" s="1293"/>
      <c r="AE22" s="1293"/>
      <c r="AF22" s="1293"/>
      <c r="AG22" s="1293"/>
      <c r="AH22" s="1293"/>
      <c r="AI22" s="1293"/>
      <c r="AJ22" s="1293"/>
      <c r="AK22" s="1293"/>
      <c r="AL22" s="1293"/>
      <c r="AM22" s="1293"/>
      <c r="AN22" s="1293"/>
      <c r="AO22" s="1293"/>
      <c r="AP22" s="1293"/>
      <c r="AQ22" s="1293"/>
      <c r="AR22" s="1293"/>
      <c r="AS22" s="1293"/>
      <c r="AT22" s="1293"/>
      <c r="AU22" s="1293"/>
      <c r="AV22" s="1293"/>
      <c r="AW22" s="1293"/>
      <c r="AX22" s="1293"/>
      <c r="AY22" s="1293"/>
      <c r="AZ22" s="1293"/>
      <c r="BA22" s="1293"/>
      <c r="BB22" s="1293"/>
      <c r="BC22" s="1293"/>
      <c r="BD22" s="1293"/>
      <c r="BE22" s="1293"/>
      <c r="BF22" s="1293"/>
      <c r="BG22" s="1293"/>
      <c r="BH22" s="1293"/>
      <c r="BI22" s="1293"/>
      <c r="BJ22" s="1293"/>
      <c r="BK22" s="1293"/>
      <c r="BL22" s="1293"/>
      <c r="BM22" s="1293"/>
      <c r="BN22" s="1293"/>
      <c r="BO22" s="1293"/>
      <c r="BP22" s="1293"/>
      <c r="BQ22" s="1293"/>
      <c r="BR22" s="1293"/>
      <c r="BS22" s="1293"/>
      <c r="BT22" s="1293"/>
      <c r="BU22" s="1293"/>
      <c r="BV22" s="1293"/>
      <c r="BW22" s="1293"/>
      <c r="BX22" s="1293"/>
      <c r="BY22" s="1293"/>
      <c r="BZ22" s="1293"/>
      <c r="CA22" s="1293"/>
      <c r="CB22" s="1293"/>
      <c r="CC22" s="1293"/>
      <c r="CD22" s="1293"/>
      <c r="CE22" s="1293"/>
      <c r="CF22" s="1293"/>
      <c r="CG22" s="1293"/>
      <c r="CH22" s="1293"/>
      <c r="CI22" s="1293"/>
      <c r="CJ22" s="1293"/>
      <c r="CK22" s="1293"/>
      <c r="CL22" s="1293"/>
      <c r="CM22" s="1293"/>
      <c r="CN22" s="1293"/>
      <c r="CO22" s="1293"/>
      <c r="CP22" s="1293"/>
      <c r="CQ22" s="1293"/>
      <c r="CR22" s="1293"/>
    </row>
    <row r="29" spans="1:99">
      <c r="AT29" s="1031"/>
      <c r="AU29" s="1031"/>
      <c r="AV29" s="1031"/>
      <c r="AW29" s="1031"/>
      <c r="AX29" s="1031"/>
      <c r="AY29" s="1031"/>
      <c r="AZ29" s="1031"/>
      <c r="BA29" s="1031"/>
      <c r="BB29" s="1031"/>
      <c r="BC29" s="1031"/>
      <c r="BD29" s="1031"/>
      <c r="BE29" s="1031"/>
      <c r="BF29" s="1031"/>
      <c r="BG29" s="1031"/>
      <c r="BH29" s="1031"/>
      <c r="BI29" s="1031"/>
      <c r="BJ29" s="1031"/>
      <c r="BK29" s="1031"/>
      <c r="BL29" s="1031"/>
      <c r="BM29" s="1031"/>
      <c r="BN29" s="1031"/>
      <c r="BO29" s="1031"/>
      <c r="BP29" s="1031"/>
      <c r="BQ29" s="1031"/>
      <c r="BR29" s="1031"/>
      <c r="BS29" s="1031"/>
      <c r="BT29" s="1031"/>
      <c r="BU29" s="1031"/>
      <c r="BV29" s="1031"/>
      <c r="BW29" s="1031"/>
      <c r="BX29" s="1031"/>
      <c r="BY29" s="1031"/>
      <c r="BZ29" s="1031"/>
      <c r="CA29" s="1031"/>
      <c r="CB29" s="1031"/>
      <c r="CC29" s="1031"/>
      <c r="CD29" s="1031"/>
      <c r="CE29" s="1031"/>
      <c r="CF29" s="1031"/>
      <c r="CG29" s="1031"/>
      <c r="CH29" s="1031"/>
      <c r="CI29" s="1031"/>
      <c r="CJ29" s="1031"/>
      <c r="CK29" s="1031"/>
      <c r="CL29" s="1031"/>
      <c r="CM29" s="1031"/>
      <c r="CN29" s="1031"/>
      <c r="CO29" s="1031"/>
      <c r="CP29" s="1031"/>
      <c r="CQ29" s="1031"/>
    </row>
  </sheetData>
  <mergeCells count="3">
    <mergeCell ref="A17:CR17"/>
    <mergeCell ref="A2:CR2"/>
    <mergeCell ref="A3:CR3"/>
  </mergeCells>
  <pageMargins left="0.5" right="0.5" top="0.4" bottom="0.5" header="0.3" footer="0.3"/>
  <pageSetup paperSize="9" scale="22" orientation="landscape" horizontalDpi="4294967295" verticalDpi="4294967295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>
    <tabColor rgb="FF92D050"/>
    <pageSetUpPr fitToPage="1"/>
  </sheetPr>
  <dimension ref="A1:FG52"/>
  <sheetViews>
    <sheetView showGridLines="0" view="pageBreakPreview" zoomScale="55" zoomScaleNormal="100" zoomScaleSheetLayoutView="55" workbookViewId="0">
      <pane xSplit="49" ySplit="7" topLeftCell="EH8" activePane="bottomRight" state="frozen"/>
      <selection activeCell="F40" sqref="F40"/>
      <selection pane="topRight" activeCell="F40" sqref="F40"/>
      <selection pane="bottomLeft" activeCell="F40" sqref="F40"/>
      <selection pane="bottomRight" activeCell="FK50" sqref="FK50"/>
    </sheetView>
  </sheetViews>
  <sheetFormatPr defaultColWidth="9.140625" defaultRowHeight="16.5"/>
  <cols>
    <col min="1" max="1" width="62.7109375" style="895" customWidth="1"/>
    <col min="2" max="19" width="16.7109375" style="895" hidden="1" customWidth="1"/>
    <col min="20" max="25" width="16.28515625" style="895" hidden="1" customWidth="1"/>
    <col min="26" max="33" width="17.28515625" style="895" hidden="1" customWidth="1"/>
    <col min="34" max="34" width="17" style="895" hidden="1" customWidth="1"/>
    <col min="35" max="35" width="17.28515625" style="895" hidden="1" customWidth="1"/>
    <col min="36" max="36" width="18.42578125" style="895" hidden="1" customWidth="1"/>
    <col min="37" max="42" width="17" style="895" hidden="1" customWidth="1"/>
    <col min="43" max="43" width="16.7109375" style="895" hidden="1" customWidth="1"/>
    <col min="44" max="45" width="16.85546875" style="895" hidden="1" customWidth="1"/>
    <col min="46" max="49" width="17" style="895" hidden="1" customWidth="1"/>
    <col min="50" max="51" width="17" style="895" customWidth="1"/>
    <col min="52" max="73" width="17" style="895" hidden="1" customWidth="1"/>
    <col min="74" max="75" width="17" style="895" customWidth="1"/>
    <col min="76" max="97" width="17" style="895" hidden="1" customWidth="1"/>
    <col min="98" max="99" width="17" style="895" customWidth="1"/>
    <col min="100" max="121" width="17" style="895" hidden="1" customWidth="1"/>
    <col min="122" max="159" width="17" style="895" customWidth="1"/>
    <col min="160" max="160" width="60.28515625" style="895" customWidth="1"/>
    <col min="161" max="161" width="12.140625" style="895" bestFit="1" customWidth="1"/>
    <col min="162" max="162" width="12.7109375" style="895" bestFit="1" customWidth="1"/>
    <col min="163" max="163" width="11.140625" style="895" bestFit="1" customWidth="1"/>
    <col min="164" max="16384" width="9.140625" style="895"/>
  </cols>
  <sheetData>
    <row r="1" spans="1:160" ht="15.75" customHeight="1"/>
    <row r="2" spans="1:160" ht="23.45" customHeight="1">
      <c r="A2" s="2715" t="s">
        <v>2509</v>
      </c>
      <c r="B2" s="2715"/>
      <c r="C2" s="2715"/>
      <c r="D2" s="2715"/>
      <c r="E2" s="2715"/>
      <c r="F2" s="2715"/>
      <c r="G2" s="2715"/>
      <c r="H2" s="2715"/>
      <c r="I2" s="2715"/>
      <c r="J2" s="2715"/>
      <c r="K2" s="2715"/>
      <c r="L2" s="2715"/>
      <c r="M2" s="2715"/>
      <c r="N2" s="2715"/>
      <c r="O2" s="2715"/>
      <c r="P2" s="2715"/>
      <c r="Q2" s="2715"/>
      <c r="R2" s="2715"/>
      <c r="S2" s="2715"/>
      <c r="T2" s="2715"/>
      <c r="U2" s="2715"/>
      <c r="V2" s="2715"/>
      <c r="W2" s="2715"/>
      <c r="X2" s="2715"/>
      <c r="Y2" s="2715"/>
      <c r="Z2" s="2715"/>
      <c r="AA2" s="2715"/>
      <c r="AB2" s="2715"/>
      <c r="AC2" s="2715"/>
      <c r="AD2" s="2715"/>
      <c r="AE2" s="2715"/>
      <c r="AF2" s="2715"/>
      <c r="AG2" s="2715"/>
      <c r="AH2" s="2715"/>
      <c r="AI2" s="2715"/>
      <c r="AJ2" s="2715"/>
      <c r="AK2" s="2715"/>
      <c r="AL2" s="2715"/>
      <c r="AM2" s="2715"/>
      <c r="AN2" s="2715"/>
      <c r="AO2" s="2715"/>
      <c r="AP2" s="2715"/>
      <c r="AQ2" s="2715"/>
      <c r="AR2" s="2715"/>
      <c r="AS2" s="2715"/>
      <c r="AT2" s="2715"/>
      <c r="AU2" s="2715"/>
      <c r="AV2" s="2715"/>
      <c r="AW2" s="2715"/>
      <c r="AX2" s="2715"/>
      <c r="AY2" s="2715"/>
      <c r="AZ2" s="2715"/>
      <c r="BA2" s="2715"/>
      <c r="BB2" s="2715"/>
      <c r="BC2" s="2715"/>
      <c r="BD2" s="2715"/>
      <c r="BE2" s="2715"/>
      <c r="BF2" s="2715"/>
      <c r="BG2" s="2715"/>
      <c r="BH2" s="2715"/>
      <c r="BI2" s="2715"/>
      <c r="BJ2" s="2715"/>
      <c r="BK2" s="2715"/>
      <c r="BL2" s="2715"/>
      <c r="BM2" s="2715"/>
      <c r="BN2" s="2715"/>
      <c r="BO2" s="2715"/>
      <c r="BP2" s="2715"/>
      <c r="BQ2" s="2715"/>
      <c r="BR2" s="2715"/>
      <c r="BS2" s="2715"/>
      <c r="BT2" s="2715"/>
      <c r="BU2" s="2715"/>
      <c r="BV2" s="2715"/>
      <c r="BW2" s="2715"/>
      <c r="BX2" s="2715"/>
      <c r="BY2" s="2715"/>
      <c r="BZ2" s="2715"/>
      <c r="CA2" s="2715"/>
      <c r="CB2" s="2715"/>
      <c r="CC2" s="2715"/>
      <c r="CD2" s="2715"/>
      <c r="CE2" s="2715"/>
      <c r="CF2" s="2715"/>
      <c r="CG2" s="2715"/>
      <c r="CH2" s="2715"/>
      <c r="CI2" s="2715"/>
      <c r="CJ2" s="2715"/>
      <c r="CK2" s="2715"/>
      <c r="CL2" s="2715"/>
      <c r="CM2" s="2715"/>
      <c r="CN2" s="2715"/>
      <c r="CO2" s="2715"/>
      <c r="CP2" s="2715"/>
      <c r="CQ2" s="2715"/>
      <c r="CR2" s="2715"/>
      <c r="CS2" s="2715"/>
      <c r="CT2" s="2715"/>
      <c r="CU2" s="2715"/>
      <c r="CV2" s="2715"/>
      <c r="CW2" s="2715"/>
      <c r="CX2" s="2715"/>
      <c r="CY2" s="2715"/>
      <c r="CZ2" s="2715"/>
      <c r="DA2" s="2715"/>
      <c r="DB2" s="2715"/>
      <c r="DC2" s="2715"/>
      <c r="DD2" s="2715"/>
      <c r="DE2" s="2715"/>
      <c r="DF2" s="2715"/>
      <c r="DG2" s="2715"/>
      <c r="DH2" s="2715"/>
      <c r="DI2" s="2715"/>
      <c r="DJ2" s="2715"/>
      <c r="DK2" s="2715"/>
      <c r="DL2" s="2715"/>
      <c r="DM2" s="2715"/>
      <c r="DN2" s="2715"/>
      <c r="DO2" s="2715"/>
      <c r="DP2" s="2715"/>
      <c r="DQ2" s="2715"/>
      <c r="DR2" s="2715"/>
      <c r="DS2" s="2715"/>
      <c r="DT2" s="2715"/>
      <c r="DU2" s="2715"/>
      <c r="DV2" s="2715"/>
      <c r="DW2" s="2715"/>
      <c r="DX2" s="2715"/>
      <c r="DY2" s="2715"/>
      <c r="DZ2" s="2715"/>
      <c r="EA2" s="2715"/>
      <c r="EB2" s="2715"/>
      <c r="EC2" s="2715"/>
      <c r="ED2" s="2715"/>
      <c r="EE2" s="2715"/>
      <c r="EF2" s="2715"/>
      <c r="EG2" s="2715"/>
      <c r="EH2" s="2715"/>
      <c r="EI2" s="2715"/>
      <c r="EJ2" s="2715"/>
      <c r="EK2" s="2715"/>
      <c r="EL2" s="2715"/>
      <c r="EM2" s="2715"/>
      <c r="EN2" s="2715"/>
      <c r="EO2" s="2715"/>
      <c r="EP2" s="2715"/>
      <c r="EQ2" s="2715"/>
      <c r="ER2" s="2715"/>
      <c r="ES2" s="2715"/>
      <c r="ET2" s="2715"/>
      <c r="EU2" s="2715"/>
      <c r="EV2" s="2715"/>
      <c r="EW2" s="2715"/>
      <c r="EX2" s="2715"/>
      <c r="EY2" s="2715"/>
      <c r="EZ2" s="2715"/>
      <c r="FA2" s="2715"/>
      <c r="FB2" s="2715"/>
      <c r="FC2" s="2715"/>
      <c r="FD2" s="2715"/>
    </row>
    <row r="3" spans="1:160" ht="37.5" customHeight="1">
      <c r="A3" s="2716" t="s">
        <v>3265</v>
      </c>
      <c r="B3" s="2716"/>
      <c r="C3" s="2716"/>
      <c r="D3" s="2716"/>
      <c r="E3" s="2716"/>
      <c r="F3" s="2716"/>
      <c r="G3" s="2716"/>
      <c r="H3" s="2716"/>
      <c r="I3" s="2716"/>
      <c r="J3" s="2716"/>
      <c r="K3" s="2716"/>
      <c r="L3" s="2716"/>
      <c r="M3" s="2716"/>
      <c r="N3" s="2716"/>
      <c r="O3" s="2716"/>
      <c r="P3" s="2716"/>
      <c r="Q3" s="2716"/>
      <c r="R3" s="2716"/>
      <c r="S3" s="2716"/>
      <c r="T3" s="2716"/>
      <c r="U3" s="2716"/>
      <c r="V3" s="2716"/>
      <c r="W3" s="2716"/>
      <c r="X3" s="2716"/>
      <c r="Y3" s="2716"/>
      <c r="Z3" s="2716"/>
      <c r="AA3" s="2716"/>
      <c r="AB3" s="2716"/>
      <c r="AC3" s="2716"/>
      <c r="AD3" s="2716"/>
      <c r="AE3" s="2716"/>
      <c r="AF3" s="2716"/>
      <c r="AG3" s="2716"/>
      <c r="AH3" s="2716"/>
      <c r="AI3" s="2716"/>
      <c r="AJ3" s="2716"/>
      <c r="AK3" s="2716"/>
      <c r="AL3" s="2716"/>
      <c r="AM3" s="2716"/>
      <c r="AN3" s="2716"/>
      <c r="AO3" s="2716"/>
      <c r="AP3" s="2716"/>
      <c r="AQ3" s="2716"/>
      <c r="AR3" s="2716"/>
      <c r="AS3" s="2716"/>
      <c r="AT3" s="2716"/>
      <c r="AU3" s="2716"/>
      <c r="AV3" s="2716"/>
      <c r="AW3" s="2716"/>
      <c r="AX3" s="2716"/>
      <c r="AY3" s="2716"/>
      <c r="AZ3" s="2716"/>
      <c r="BA3" s="2716"/>
      <c r="BB3" s="2716"/>
      <c r="BC3" s="2716"/>
      <c r="BD3" s="2716"/>
      <c r="BE3" s="2716"/>
      <c r="BF3" s="2716"/>
      <c r="BG3" s="2716"/>
      <c r="BH3" s="2716"/>
      <c r="BI3" s="2716"/>
      <c r="BJ3" s="2716"/>
      <c r="BK3" s="2716"/>
      <c r="BL3" s="2716"/>
      <c r="BM3" s="2716"/>
      <c r="BN3" s="2716"/>
      <c r="BO3" s="2716"/>
      <c r="BP3" s="2716"/>
      <c r="BQ3" s="2716"/>
      <c r="BR3" s="2716"/>
      <c r="BS3" s="2716"/>
      <c r="BT3" s="2716"/>
      <c r="BU3" s="2716"/>
      <c r="BV3" s="2716"/>
      <c r="BW3" s="2716"/>
      <c r="BX3" s="2716"/>
      <c r="BY3" s="2716"/>
      <c r="BZ3" s="2716"/>
      <c r="CA3" s="2716"/>
      <c r="CB3" s="2716"/>
      <c r="CC3" s="2716"/>
      <c r="CD3" s="2716"/>
      <c r="CE3" s="2716"/>
      <c r="CF3" s="2716"/>
      <c r="CG3" s="2716"/>
      <c r="CH3" s="2716"/>
      <c r="CI3" s="2716"/>
      <c r="CJ3" s="2716"/>
      <c r="CK3" s="2716"/>
      <c r="CL3" s="2716"/>
      <c r="CM3" s="2716"/>
      <c r="CN3" s="2716"/>
      <c r="CO3" s="2716"/>
      <c r="CP3" s="2716"/>
      <c r="CQ3" s="2716"/>
      <c r="CR3" s="2716"/>
      <c r="CS3" s="2716"/>
      <c r="CT3" s="2716"/>
      <c r="CU3" s="2716"/>
      <c r="CV3" s="2716"/>
      <c r="CW3" s="2716"/>
      <c r="CX3" s="2716"/>
      <c r="CY3" s="2716"/>
      <c r="CZ3" s="2716"/>
      <c r="DA3" s="2716"/>
      <c r="DB3" s="2716"/>
      <c r="DC3" s="2716"/>
      <c r="DD3" s="2716"/>
      <c r="DE3" s="2716"/>
      <c r="DF3" s="2716"/>
      <c r="DG3" s="2716"/>
      <c r="DH3" s="2716"/>
      <c r="DI3" s="2716"/>
      <c r="DJ3" s="2716"/>
      <c r="DK3" s="2716"/>
      <c r="DL3" s="2716"/>
      <c r="DM3" s="2716"/>
      <c r="DN3" s="2716"/>
      <c r="DO3" s="2716"/>
      <c r="DP3" s="2716"/>
      <c r="DQ3" s="2716"/>
      <c r="DR3" s="2716"/>
      <c r="DS3" s="2716"/>
      <c r="DT3" s="2716"/>
      <c r="DU3" s="2716"/>
      <c r="DV3" s="2716"/>
      <c r="DW3" s="2716"/>
      <c r="DX3" s="2716"/>
      <c r="DY3" s="2716"/>
      <c r="DZ3" s="2716"/>
      <c r="EA3" s="2716"/>
      <c r="EB3" s="2716"/>
      <c r="EC3" s="2716"/>
      <c r="ED3" s="2716"/>
      <c r="EE3" s="2716"/>
      <c r="EF3" s="2716"/>
      <c r="EG3" s="2716"/>
      <c r="EH3" s="2716"/>
      <c r="EI3" s="2716"/>
      <c r="EJ3" s="2716"/>
      <c r="EK3" s="2716"/>
      <c r="EL3" s="2716"/>
      <c r="EM3" s="2716"/>
      <c r="EN3" s="2716"/>
      <c r="EO3" s="2716"/>
      <c r="EP3" s="2716"/>
      <c r="EQ3" s="2716"/>
      <c r="ER3" s="2716"/>
      <c r="ES3" s="2716"/>
      <c r="ET3" s="2716"/>
      <c r="EU3" s="2716"/>
      <c r="EV3" s="2716"/>
      <c r="EW3" s="2716"/>
      <c r="EX3" s="2716"/>
      <c r="EY3" s="2716"/>
      <c r="EZ3" s="2716"/>
      <c r="FA3" s="2716"/>
      <c r="FB3" s="2716"/>
      <c r="FC3" s="2716"/>
      <c r="FD3" s="2716"/>
    </row>
    <row r="4" spans="1:160" ht="19.5" customHeight="1">
      <c r="A4" s="1294"/>
      <c r="B4" s="1294"/>
      <c r="C4" s="1294"/>
      <c r="D4" s="1294"/>
      <c r="E4" s="1294"/>
      <c r="F4" s="1294"/>
      <c r="G4" s="1294"/>
      <c r="H4" s="1294"/>
      <c r="I4" s="1294"/>
      <c r="J4" s="1294"/>
      <c r="K4" s="1294"/>
      <c r="L4" s="1294"/>
      <c r="M4" s="1294"/>
      <c r="N4" s="1294"/>
      <c r="O4" s="1294"/>
      <c r="P4" s="1294"/>
      <c r="Q4" s="1294"/>
      <c r="R4" s="1294"/>
      <c r="S4" s="1294"/>
      <c r="T4" s="1294"/>
      <c r="U4" s="1294"/>
      <c r="V4" s="1294"/>
      <c r="W4" s="1294"/>
      <c r="X4" s="1294"/>
      <c r="Y4" s="1294"/>
      <c r="Z4" s="1294"/>
      <c r="AA4" s="1294"/>
      <c r="AB4" s="1294"/>
      <c r="AC4" s="1294"/>
      <c r="AD4" s="1294"/>
      <c r="AE4" s="1294"/>
      <c r="AF4" s="1294"/>
      <c r="AG4" s="1294"/>
      <c r="AH4" s="1294"/>
      <c r="AI4" s="1294"/>
      <c r="AJ4" s="1294"/>
      <c r="AK4" s="1294"/>
      <c r="AL4" s="1294"/>
      <c r="AM4" s="1294"/>
      <c r="AN4" s="1294"/>
      <c r="AO4" s="1294"/>
      <c r="AP4" s="1294"/>
      <c r="AQ4" s="1294"/>
      <c r="AR4" s="1294"/>
      <c r="AS4" s="1294"/>
      <c r="AT4" s="1294"/>
      <c r="AU4" s="1294"/>
      <c r="AV4" s="1294"/>
      <c r="AW4" s="1294"/>
      <c r="AX4" s="1294"/>
      <c r="AY4" s="1294"/>
      <c r="AZ4" s="1294"/>
      <c r="BA4" s="1294"/>
      <c r="BB4" s="1294"/>
      <c r="BC4" s="1294"/>
      <c r="BD4" s="1294"/>
      <c r="BE4" s="1294"/>
      <c r="BF4" s="1294"/>
      <c r="BG4" s="1294"/>
      <c r="BH4" s="1294"/>
      <c r="BI4" s="1294"/>
      <c r="BJ4" s="1294"/>
      <c r="BK4" s="1294"/>
      <c r="BL4" s="1294"/>
      <c r="BM4" s="1294"/>
      <c r="BN4" s="1294"/>
      <c r="BO4" s="1294"/>
      <c r="BP4" s="1294"/>
      <c r="BQ4" s="1294"/>
      <c r="BR4" s="1294"/>
      <c r="BS4" s="1294"/>
      <c r="BT4" s="1294"/>
      <c r="BU4" s="1294"/>
      <c r="BV4" s="1294"/>
      <c r="BW4" s="1294"/>
      <c r="BX4" s="1294"/>
      <c r="BY4" s="1294"/>
      <c r="BZ4" s="1294"/>
      <c r="CA4" s="1294"/>
      <c r="CB4" s="1294"/>
      <c r="CC4" s="1294"/>
      <c r="CD4" s="1294"/>
      <c r="CE4" s="1294"/>
      <c r="CF4" s="1294"/>
      <c r="CG4" s="1294"/>
      <c r="CH4" s="1294"/>
      <c r="CI4" s="1294"/>
      <c r="CJ4" s="1294"/>
      <c r="CK4" s="1294"/>
      <c r="CL4" s="1294"/>
      <c r="CM4" s="1294"/>
      <c r="CN4" s="1294"/>
      <c r="CO4" s="1294"/>
      <c r="CP4" s="1294"/>
      <c r="CQ4" s="1294"/>
      <c r="CR4" s="1294"/>
      <c r="CS4" s="1294"/>
      <c r="CT4" s="1294"/>
      <c r="CU4" s="1294"/>
      <c r="CV4" s="1294"/>
      <c r="CW4" s="1294"/>
      <c r="CX4" s="1294"/>
      <c r="CY4" s="1294"/>
      <c r="CZ4" s="1294"/>
      <c r="DA4" s="1294"/>
      <c r="DB4" s="1294"/>
      <c r="DC4" s="1294"/>
      <c r="DD4" s="1294"/>
      <c r="DE4" s="1294"/>
      <c r="DF4" s="1294"/>
      <c r="DG4" s="1294"/>
      <c r="DH4" s="1294"/>
      <c r="DI4" s="1294"/>
      <c r="DJ4" s="1294"/>
      <c r="DK4" s="1294"/>
      <c r="DL4" s="1294"/>
      <c r="DM4" s="1294"/>
      <c r="DN4" s="1294"/>
      <c r="DO4" s="1294"/>
      <c r="DP4" s="1294"/>
      <c r="DQ4" s="1294"/>
      <c r="DR4" s="1294"/>
      <c r="DS4" s="1294"/>
      <c r="DT4" s="1294"/>
      <c r="DU4" s="1294"/>
      <c r="DV4" s="1294"/>
      <c r="DW4" s="1294"/>
      <c r="DX4" s="1294"/>
      <c r="DY4" s="1294"/>
      <c r="DZ4" s="1294"/>
      <c r="EA4" s="1294"/>
      <c r="EB4" s="1294"/>
      <c r="EC4" s="1294"/>
      <c r="ED4" s="1294"/>
      <c r="EE4" s="1294"/>
      <c r="EF4" s="1294"/>
      <c r="EG4" s="1294"/>
      <c r="EH4" s="1294"/>
      <c r="EI4" s="1294"/>
      <c r="EJ4" s="1294"/>
      <c r="EK4" s="1294"/>
      <c r="EL4" s="1294"/>
      <c r="EM4" s="1294"/>
      <c r="EN4" s="1294"/>
      <c r="EO4" s="1294"/>
      <c r="EP4" s="1294"/>
      <c r="EQ4" s="1294"/>
      <c r="ER4" s="1294"/>
      <c r="ES4" s="1294"/>
      <c r="ET4" s="1294"/>
      <c r="EU4" s="1294"/>
      <c r="EV4" s="1294"/>
      <c r="EW4" s="1294"/>
      <c r="EX4" s="1294"/>
      <c r="EY4" s="1294"/>
      <c r="EZ4" s="1294"/>
      <c r="FA4" s="1294"/>
      <c r="FB4" s="1294"/>
      <c r="FC4" s="1294"/>
      <c r="FD4" s="1294"/>
    </row>
    <row r="5" spans="1:160" ht="19.5" customHeight="1" thickBot="1">
      <c r="A5" s="2717" t="s">
        <v>8</v>
      </c>
      <c r="B5" s="2717"/>
      <c r="C5" s="2717"/>
      <c r="D5" s="2717"/>
      <c r="E5" s="2717"/>
      <c r="F5" s="2717"/>
      <c r="G5" s="2717"/>
      <c r="H5" s="2717"/>
      <c r="I5" s="2717"/>
      <c r="J5" s="2717"/>
      <c r="K5" s="2717"/>
      <c r="L5" s="2717"/>
      <c r="M5" s="2717"/>
      <c r="N5" s="2717"/>
      <c r="O5" s="2717"/>
      <c r="P5" s="2717"/>
      <c r="Q5" s="2717"/>
      <c r="R5" s="2717"/>
      <c r="S5" s="2717"/>
      <c r="T5" s="2717"/>
      <c r="U5" s="2717"/>
      <c r="V5" s="2717"/>
      <c r="W5" s="2717"/>
      <c r="X5" s="2717"/>
      <c r="Y5" s="2717"/>
      <c r="Z5" s="2717"/>
      <c r="AA5" s="2717"/>
      <c r="AB5" s="2717"/>
      <c r="AC5" s="2717"/>
      <c r="AD5" s="2717"/>
      <c r="AE5" s="2717"/>
      <c r="AF5" s="2717"/>
      <c r="AG5" s="2717"/>
      <c r="AH5" s="2717"/>
      <c r="AI5" s="2717"/>
      <c r="AJ5" s="2717"/>
      <c r="AK5" s="2717"/>
      <c r="AL5" s="2717"/>
      <c r="AM5" s="2717"/>
      <c r="AN5" s="2717"/>
      <c r="AO5" s="2717"/>
      <c r="AP5" s="2717"/>
      <c r="AQ5" s="2717"/>
      <c r="AR5" s="2717"/>
      <c r="AS5" s="2717"/>
      <c r="AT5" s="2717"/>
      <c r="AU5" s="2717"/>
      <c r="AV5" s="2717"/>
      <c r="AW5" s="2717"/>
      <c r="AX5" s="2717"/>
      <c r="AY5" s="2717"/>
      <c r="AZ5" s="2717"/>
      <c r="BA5" s="2717"/>
      <c r="BB5" s="2717"/>
      <c r="BC5" s="2717"/>
      <c r="BD5" s="2717"/>
      <c r="BE5" s="2717"/>
      <c r="BF5" s="2717"/>
      <c r="BG5" s="2717"/>
      <c r="BH5" s="2717"/>
      <c r="BI5" s="2717"/>
      <c r="BJ5" s="2717"/>
      <c r="BK5" s="2717"/>
      <c r="BL5" s="2717"/>
      <c r="BM5" s="2717"/>
      <c r="BN5" s="2717"/>
      <c r="BO5" s="2717"/>
      <c r="BP5" s="2717"/>
      <c r="BQ5" s="2717"/>
      <c r="BR5" s="2717"/>
      <c r="BS5" s="2717"/>
      <c r="BT5" s="2717"/>
      <c r="BU5" s="2717"/>
      <c r="BV5" s="2717"/>
      <c r="BW5" s="2717"/>
      <c r="BX5" s="2717"/>
      <c r="BY5" s="2717"/>
      <c r="BZ5" s="2717"/>
      <c r="CA5" s="2717"/>
      <c r="CB5" s="2717"/>
      <c r="CC5" s="2717"/>
      <c r="CD5" s="2717"/>
      <c r="CE5" s="2717"/>
      <c r="CF5" s="2717"/>
      <c r="CG5" s="2717"/>
      <c r="CH5" s="2717"/>
      <c r="CI5" s="2717"/>
      <c r="CJ5" s="2717"/>
      <c r="CK5" s="2717"/>
      <c r="CL5" s="2717"/>
      <c r="CM5" s="2717"/>
      <c r="CN5" s="2717"/>
      <c r="CO5" s="2717"/>
      <c r="CP5" s="2717"/>
      <c r="CQ5" s="2717"/>
      <c r="CR5" s="2717"/>
      <c r="CS5" s="2717"/>
      <c r="CT5" s="2717"/>
      <c r="CU5" s="2717"/>
      <c r="CV5" s="2717"/>
      <c r="CW5" s="2717"/>
      <c r="CX5" s="2717"/>
      <c r="CY5" s="2717"/>
      <c r="CZ5" s="2717"/>
      <c r="DA5" s="2717"/>
      <c r="DB5" s="2717"/>
      <c r="DC5" s="2717"/>
      <c r="DD5" s="2717"/>
      <c r="DE5" s="2717"/>
      <c r="DF5" s="2717"/>
      <c r="DG5" s="2717"/>
      <c r="DH5" s="2717"/>
      <c r="DI5" s="2717"/>
      <c r="DJ5" s="2717"/>
      <c r="DK5" s="2717"/>
      <c r="DL5" s="2717"/>
      <c r="DM5" s="2717"/>
      <c r="DN5" s="2717"/>
      <c r="DO5" s="2717"/>
      <c r="DP5" s="2717"/>
      <c r="DQ5" s="2717"/>
      <c r="DR5" s="2717"/>
      <c r="DS5" s="2717"/>
      <c r="DT5" s="2717"/>
      <c r="DU5" s="2717"/>
      <c r="DV5" s="2717"/>
      <c r="DW5" s="2717"/>
      <c r="DX5" s="2717"/>
      <c r="DY5" s="2717"/>
      <c r="DZ5" s="2717"/>
      <c r="EA5" s="2717"/>
      <c r="EB5" s="2717"/>
      <c r="EC5" s="2717"/>
      <c r="ED5" s="2717"/>
      <c r="EE5" s="2717"/>
      <c r="EF5" s="2717"/>
      <c r="EG5" s="2717"/>
      <c r="EH5" s="2717"/>
      <c r="EI5" s="2717"/>
      <c r="EJ5" s="2717"/>
      <c r="EK5" s="2717"/>
      <c r="EL5" s="2717"/>
      <c r="EM5" s="2717"/>
      <c r="EN5" s="2717"/>
      <c r="EO5" s="2717"/>
      <c r="EP5" s="2717"/>
      <c r="EQ5" s="2717"/>
      <c r="ER5" s="2717"/>
      <c r="ES5" s="2717"/>
      <c r="ET5" s="2717"/>
      <c r="EU5" s="2717"/>
      <c r="EV5" s="2717"/>
      <c r="EW5" s="2717"/>
      <c r="EX5" s="2717"/>
      <c r="EY5" s="2717"/>
      <c r="EZ5" s="2717"/>
      <c r="FA5" s="2717"/>
      <c r="FB5" s="2717"/>
      <c r="FC5" s="2717"/>
      <c r="FD5" s="2717"/>
    </row>
    <row r="6" spans="1:160" s="1033" customFormat="1" ht="26.25" customHeight="1" thickBot="1">
      <c r="A6" s="2718" t="s">
        <v>2259</v>
      </c>
      <c r="B6" s="2712">
        <v>43830</v>
      </c>
      <c r="C6" s="2709"/>
      <c r="D6" s="2708">
        <v>43861</v>
      </c>
      <c r="E6" s="2709"/>
      <c r="F6" s="2708">
        <v>43890</v>
      </c>
      <c r="G6" s="2709"/>
      <c r="H6" s="2708">
        <v>43921</v>
      </c>
      <c r="I6" s="2709"/>
      <c r="J6" s="2708">
        <v>43951</v>
      </c>
      <c r="K6" s="2709"/>
      <c r="L6" s="2708">
        <v>43982</v>
      </c>
      <c r="M6" s="2709"/>
      <c r="N6" s="2705">
        <v>44012</v>
      </c>
      <c r="O6" s="2706"/>
      <c r="P6" s="2705">
        <v>44043</v>
      </c>
      <c r="Q6" s="2706"/>
      <c r="R6" s="2705">
        <v>44074</v>
      </c>
      <c r="S6" s="2706"/>
      <c r="T6" s="2705">
        <v>44104</v>
      </c>
      <c r="U6" s="2706"/>
      <c r="V6" s="2705">
        <v>44135</v>
      </c>
      <c r="W6" s="2706"/>
      <c r="X6" s="2705">
        <v>44165</v>
      </c>
      <c r="Y6" s="2706"/>
      <c r="Z6" s="2705">
        <v>44196</v>
      </c>
      <c r="AA6" s="2706"/>
      <c r="AB6" s="2705">
        <v>44227</v>
      </c>
      <c r="AC6" s="2706"/>
      <c r="AD6" s="2705">
        <v>44255</v>
      </c>
      <c r="AE6" s="2706"/>
      <c r="AF6" s="2705">
        <v>44286</v>
      </c>
      <c r="AG6" s="2706"/>
      <c r="AH6" s="2705">
        <v>44316</v>
      </c>
      <c r="AI6" s="2706"/>
      <c r="AJ6" s="2705">
        <v>44347</v>
      </c>
      <c r="AK6" s="2706"/>
      <c r="AL6" s="2705">
        <v>44377</v>
      </c>
      <c r="AM6" s="2706"/>
      <c r="AN6" s="2705">
        <v>44408</v>
      </c>
      <c r="AO6" s="2706"/>
      <c r="AP6" s="2708">
        <v>44439</v>
      </c>
      <c r="AQ6" s="2709"/>
      <c r="AR6" s="2710">
        <v>44469</v>
      </c>
      <c r="AS6" s="2710"/>
      <c r="AT6" s="2711">
        <v>44500</v>
      </c>
      <c r="AU6" s="2711"/>
      <c r="AV6" s="2705">
        <v>44530</v>
      </c>
      <c r="AW6" s="2706"/>
      <c r="AX6" s="2705">
        <v>44561</v>
      </c>
      <c r="AY6" s="2706"/>
      <c r="AZ6" s="2705">
        <v>44592</v>
      </c>
      <c r="BA6" s="2706"/>
      <c r="BB6" s="2705">
        <v>44620</v>
      </c>
      <c r="BC6" s="2706"/>
      <c r="BD6" s="2705">
        <v>44651</v>
      </c>
      <c r="BE6" s="2706"/>
      <c r="BF6" s="2705">
        <v>44681</v>
      </c>
      <c r="BG6" s="2706"/>
      <c r="BH6" s="2705">
        <v>44712</v>
      </c>
      <c r="BI6" s="2706"/>
      <c r="BJ6" s="2705">
        <v>44742</v>
      </c>
      <c r="BK6" s="2706"/>
      <c r="BL6" s="2705">
        <v>44773</v>
      </c>
      <c r="BM6" s="2706"/>
      <c r="BN6" s="2705">
        <v>44804</v>
      </c>
      <c r="BO6" s="2706"/>
      <c r="BP6" s="2705">
        <v>44834</v>
      </c>
      <c r="BQ6" s="2706"/>
      <c r="BR6" s="2705">
        <v>44865</v>
      </c>
      <c r="BS6" s="2706"/>
      <c r="BT6" s="2705">
        <v>44895</v>
      </c>
      <c r="BU6" s="2706"/>
      <c r="BV6" s="2705">
        <v>44926</v>
      </c>
      <c r="BW6" s="2706"/>
      <c r="BX6" s="2705">
        <v>44957</v>
      </c>
      <c r="BY6" s="2706"/>
      <c r="BZ6" s="2705">
        <v>44985</v>
      </c>
      <c r="CA6" s="2706"/>
      <c r="CB6" s="2705">
        <v>45016</v>
      </c>
      <c r="CC6" s="2707"/>
      <c r="CD6" s="2705">
        <v>45046</v>
      </c>
      <c r="CE6" s="2707"/>
      <c r="CF6" s="2705">
        <v>45077</v>
      </c>
      <c r="CG6" s="2707"/>
      <c r="CH6" s="2705">
        <v>45107</v>
      </c>
      <c r="CI6" s="2707"/>
      <c r="CJ6" s="2705">
        <v>45138</v>
      </c>
      <c r="CK6" s="2706"/>
      <c r="CL6" s="2705">
        <v>45169</v>
      </c>
      <c r="CM6" s="2707"/>
      <c r="CN6" s="2705">
        <v>45199</v>
      </c>
      <c r="CO6" s="2707"/>
      <c r="CP6" s="2705">
        <v>45230</v>
      </c>
      <c r="CQ6" s="2707"/>
      <c r="CR6" s="2705">
        <v>45260</v>
      </c>
      <c r="CS6" s="2707"/>
      <c r="CT6" s="2705">
        <v>45291</v>
      </c>
      <c r="CU6" s="2707"/>
      <c r="CV6" s="2705">
        <v>45322</v>
      </c>
      <c r="CW6" s="2707"/>
      <c r="CX6" s="2705">
        <v>45351</v>
      </c>
      <c r="CY6" s="2707"/>
      <c r="CZ6" s="2705">
        <v>45382</v>
      </c>
      <c r="DA6" s="2707"/>
      <c r="DB6" s="2705">
        <v>45412</v>
      </c>
      <c r="DC6" s="2707"/>
      <c r="DD6" s="2705">
        <v>45443</v>
      </c>
      <c r="DE6" s="2706"/>
      <c r="DF6" s="2705">
        <v>45473</v>
      </c>
      <c r="DG6" s="2706"/>
      <c r="DH6" s="2705">
        <v>45504</v>
      </c>
      <c r="DI6" s="2706"/>
      <c r="DJ6" s="2705">
        <v>45535</v>
      </c>
      <c r="DK6" s="2706"/>
      <c r="DL6" s="2705">
        <v>45565</v>
      </c>
      <c r="DM6" s="2706"/>
      <c r="DN6" s="2705">
        <v>45596</v>
      </c>
      <c r="DO6" s="2706"/>
      <c r="DP6" s="2705">
        <v>45626</v>
      </c>
      <c r="DQ6" s="2706"/>
      <c r="DR6" s="2705">
        <v>45657</v>
      </c>
      <c r="DS6" s="2706"/>
      <c r="DT6" s="2705">
        <v>45688</v>
      </c>
      <c r="DU6" s="2706"/>
      <c r="DV6" s="2705">
        <v>45716</v>
      </c>
      <c r="DW6" s="2706"/>
      <c r="DX6" s="2705">
        <v>45747</v>
      </c>
      <c r="DY6" s="2706"/>
      <c r="DZ6" s="2705">
        <v>45777</v>
      </c>
      <c r="EA6" s="2706"/>
      <c r="EB6" s="2705">
        <v>45808</v>
      </c>
      <c r="EC6" s="2706"/>
      <c r="ED6" s="2705">
        <v>45838</v>
      </c>
      <c r="EE6" s="2706"/>
      <c r="EF6" s="2705">
        <v>45869</v>
      </c>
      <c r="EG6" s="2706"/>
      <c r="EH6" s="2705">
        <v>45900</v>
      </c>
      <c r="EI6" s="2706"/>
      <c r="EJ6" s="2705">
        <v>45930</v>
      </c>
      <c r="EK6" s="2706"/>
      <c r="EL6" s="2705">
        <v>45961</v>
      </c>
      <c r="EM6" s="2706"/>
      <c r="EN6" s="2705">
        <v>45991</v>
      </c>
      <c r="EO6" s="2706"/>
      <c r="EP6" s="2705">
        <v>46022</v>
      </c>
      <c r="EQ6" s="2706"/>
      <c r="ER6" s="2705">
        <v>46053</v>
      </c>
      <c r="ES6" s="2706"/>
      <c r="ET6" s="2705">
        <v>46081</v>
      </c>
      <c r="EU6" s="2706"/>
      <c r="EV6" s="2705">
        <v>46112</v>
      </c>
      <c r="EW6" s="2706"/>
      <c r="EX6" s="2705">
        <v>46142</v>
      </c>
      <c r="EY6" s="2706"/>
      <c r="EZ6" s="2705">
        <v>46173</v>
      </c>
      <c r="FA6" s="2706"/>
      <c r="FB6" s="2705">
        <v>46203</v>
      </c>
      <c r="FC6" s="2706"/>
      <c r="FD6" s="2720" t="s">
        <v>3569</v>
      </c>
    </row>
    <row r="7" spans="1:160" s="1033" customFormat="1" ht="52.5" customHeight="1" thickBot="1">
      <c r="A7" s="2719"/>
      <c r="B7" s="1034" t="s">
        <v>155</v>
      </c>
      <c r="C7" s="1261" t="s">
        <v>2980</v>
      </c>
      <c r="D7" s="1261" t="s">
        <v>155</v>
      </c>
      <c r="E7" s="1261" t="s">
        <v>2980</v>
      </c>
      <c r="F7" s="1261" t="s">
        <v>155</v>
      </c>
      <c r="G7" s="1261" t="s">
        <v>2980</v>
      </c>
      <c r="H7" s="1261" t="s">
        <v>155</v>
      </c>
      <c r="I7" s="1261" t="s">
        <v>2980</v>
      </c>
      <c r="J7" s="1261" t="s">
        <v>155</v>
      </c>
      <c r="K7" s="1261" t="s">
        <v>2980</v>
      </c>
      <c r="L7" s="1261" t="s">
        <v>155</v>
      </c>
      <c r="M7" s="1260" t="s">
        <v>2980</v>
      </c>
      <c r="N7" s="1260" t="s">
        <v>155</v>
      </c>
      <c r="O7" s="1260" t="s">
        <v>2980</v>
      </c>
      <c r="P7" s="1260" t="s">
        <v>155</v>
      </c>
      <c r="Q7" s="1260" t="s">
        <v>2980</v>
      </c>
      <c r="R7" s="1260" t="s">
        <v>155</v>
      </c>
      <c r="S7" s="1260" t="s">
        <v>2980</v>
      </c>
      <c r="T7" s="1260" t="s">
        <v>155</v>
      </c>
      <c r="U7" s="1260" t="s">
        <v>2980</v>
      </c>
      <c r="V7" s="1260" t="s">
        <v>155</v>
      </c>
      <c r="W7" s="1260" t="s">
        <v>2980</v>
      </c>
      <c r="X7" s="1260" t="s">
        <v>155</v>
      </c>
      <c r="Y7" s="1260" t="s">
        <v>2980</v>
      </c>
      <c r="Z7" s="1260" t="s">
        <v>155</v>
      </c>
      <c r="AA7" s="1260" t="s">
        <v>2980</v>
      </c>
      <c r="AB7" s="1260" t="s">
        <v>155</v>
      </c>
      <c r="AC7" s="1260" t="s">
        <v>2980</v>
      </c>
      <c r="AD7" s="1260" t="s">
        <v>155</v>
      </c>
      <c r="AE7" s="1260" t="s">
        <v>2980</v>
      </c>
      <c r="AF7" s="1260" t="s">
        <v>155</v>
      </c>
      <c r="AG7" s="1260" t="s">
        <v>2980</v>
      </c>
      <c r="AH7" s="1260" t="s">
        <v>155</v>
      </c>
      <c r="AI7" s="1260" t="s">
        <v>2980</v>
      </c>
      <c r="AJ7" s="1260" t="s">
        <v>155</v>
      </c>
      <c r="AK7" s="1260" t="s">
        <v>2980</v>
      </c>
      <c r="AL7" s="1260" t="s">
        <v>155</v>
      </c>
      <c r="AM7" s="1260" t="s">
        <v>2980</v>
      </c>
      <c r="AN7" s="1260" t="s">
        <v>155</v>
      </c>
      <c r="AO7" s="1261" t="s">
        <v>2980</v>
      </c>
      <c r="AP7" s="1261" t="s">
        <v>155</v>
      </c>
      <c r="AQ7" s="1261" t="s">
        <v>2980</v>
      </c>
      <c r="AR7" s="1261" t="s">
        <v>155</v>
      </c>
      <c r="AS7" s="1261" t="s">
        <v>2980</v>
      </c>
      <c r="AT7" s="1260" t="s">
        <v>155</v>
      </c>
      <c r="AU7" s="1261" t="s">
        <v>2980</v>
      </c>
      <c r="AV7" s="1260" t="s">
        <v>155</v>
      </c>
      <c r="AW7" s="1260" t="s">
        <v>2980</v>
      </c>
      <c r="AX7" s="1260" t="s">
        <v>155</v>
      </c>
      <c r="AY7" s="1260" t="s">
        <v>2980</v>
      </c>
      <c r="AZ7" s="1260" t="s">
        <v>155</v>
      </c>
      <c r="BA7" s="1260" t="s">
        <v>2980</v>
      </c>
      <c r="BB7" s="1260" t="s">
        <v>155</v>
      </c>
      <c r="BC7" s="1260" t="s">
        <v>2980</v>
      </c>
      <c r="BD7" s="1260" t="s">
        <v>155</v>
      </c>
      <c r="BE7" s="1260" t="s">
        <v>2980</v>
      </c>
      <c r="BF7" s="1260" t="s">
        <v>155</v>
      </c>
      <c r="BG7" s="1260" t="s">
        <v>2980</v>
      </c>
      <c r="BH7" s="1260" t="s">
        <v>155</v>
      </c>
      <c r="BI7" s="1260" t="s">
        <v>2980</v>
      </c>
      <c r="BJ7" s="1260" t="s">
        <v>155</v>
      </c>
      <c r="BK7" s="1260" t="s">
        <v>2980</v>
      </c>
      <c r="BL7" s="1260" t="s">
        <v>155</v>
      </c>
      <c r="BM7" s="1260" t="s">
        <v>2980</v>
      </c>
      <c r="BN7" s="1260" t="s">
        <v>155</v>
      </c>
      <c r="BO7" s="1260" t="s">
        <v>2980</v>
      </c>
      <c r="BP7" s="1260" t="s">
        <v>155</v>
      </c>
      <c r="BQ7" s="1260" t="s">
        <v>2980</v>
      </c>
      <c r="BR7" s="1260" t="s">
        <v>155</v>
      </c>
      <c r="BS7" s="1260" t="s">
        <v>2980</v>
      </c>
      <c r="BT7" s="1260" t="s">
        <v>155</v>
      </c>
      <c r="BU7" s="1260" t="s">
        <v>2980</v>
      </c>
      <c r="BV7" s="1260" t="s">
        <v>155</v>
      </c>
      <c r="BW7" s="1260" t="s">
        <v>2980</v>
      </c>
      <c r="BX7" s="1260" t="s">
        <v>155</v>
      </c>
      <c r="BY7" s="1260" t="s">
        <v>2980</v>
      </c>
      <c r="BZ7" s="1260" t="s">
        <v>155</v>
      </c>
      <c r="CA7" s="1260" t="s">
        <v>2980</v>
      </c>
      <c r="CB7" s="1260" t="s">
        <v>155</v>
      </c>
      <c r="CC7" s="1331" t="s">
        <v>2980</v>
      </c>
      <c r="CD7" s="1331" t="s">
        <v>155</v>
      </c>
      <c r="CE7" s="1331" t="s">
        <v>2980</v>
      </c>
      <c r="CF7" s="1260" t="s">
        <v>155</v>
      </c>
      <c r="CG7" s="1331" t="s">
        <v>2980</v>
      </c>
      <c r="CH7" s="1331" t="s">
        <v>155</v>
      </c>
      <c r="CI7" s="1331" t="s">
        <v>2980</v>
      </c>
      <c r="CJ7" s="1331" t="s">
        <v>155</v>
      </c>
      <c r="CK7" s="1331" t="s">
        <v>2980</v>
      </c>
      <c r="CL7" s="1260" t="s">
        <v>155</v>
      </c>
      <c r="CM7" s="1331" t="s">
        <v>2980</v>
      </c>
      <c r="CN7" s="1331" t="s">
        <v>155</v>
      </c>
      <c r="CO7" s="1331" t="s">
        <v>2980</v>
      </c>
      <c r="CP7" s="1331" t="s">
        <v>155</v>
      </c>
      <c r="CQ7" s="1331" t="s">
        <v>2980</v>
      </c>
      <c r="CR7" s="1331" t="s">
        <v>155</v>
      </c>
      <c r="CS7" s="1331" t="s">
        <v>2980</v>
      </c>
      <c r="CT7" s="1260" t="s">
        <v>155</v>
      </c>
      <c r="CU7" s="1331" t="s">
        <v>2980</v>
      </c>
      <c r="CV7" s="1260" t="s">
        <v>155</v>
      </c>
      <c r="CW7" s="1331" t="s">
        <v>2980</v>
      </c>
      <c r="CX7" s="1331" t="s">
        <v>155</v>
      </c>
      <c r="CY7" s="1331" t="s">
        <v>2980</v>
      </c>
      <c r="CZ7" s="1260" t="s">
        <v>155</v>
      </c>
      <c r="DA7" s="1331" t="s">
        <v>2980</v>
      </c>
      <c r="DB7" s="1260" t="s">
        <v>155</v>
      </c>
      <c r="DC7" s="1331" t="s">
        <v>2980</v>
      </c>
      <c r="DD7" s="1260" t="s">
        <v>155</v>
      </c>
      <c r="DE7" s="1260" t="s">
        <v>2980</v>
      </c>
      <c r="DF7" s="1260" t="s">
        <v>155</v>
      </c>
      <c r="DG7" s="1260" t="s">
        <v>2980</v>
      </c>
      <c r="DH7" s="1260" t="s">
        <v>155</v>
      </c>
      <c r="DI7" s="1260" t="s">
        <v>2980</v>
      </c>
      <c r="DJ7" s="1260" t="s">
        <v>155</v>
      </c>
      <c r="DK7" s="1260" t="s">
        <v>2980</v>
      </c>
      <c r="DL7" s="1260" t="s">
        <v>155</v>
      </c>
      <c r="DM7" s="1260" t="s">
        <v>2980</v>
      </c>
      <c r="DN7" s="1260" t="s">
        <v>155</v>
      </c>
      <c r="DO7" s="1260" t="s">
        <v>2980</v>
      </c>
      <c r="DP7" s="1260" t="s">
        <v>155</v>
      </c>
      <c r="DQ7" s="1260" t="s">
        <v>2980</v>
      </c>
      <c r="DR7" s="1260" t="s">
        <v>155</v>
      </c>
      <c r="DS7" s="1260" t="s">
        <v>2980</v>
      </c>
      <c r="DT7" s="1260" t="s">
        <v>155</v>
      </c>
      <c r="DU7" s="1260" t="s">
        <v>2980</v>
      </c>
      <c r="DV7" s="1260" t="s">
        <v>155</v>
      </c>
      <c r="DW7" s="1260" t="s">
        <v>2980</v>
      </c>
      <c r="DX7" s="1260" t="s">
        <v>155</v>
      </c>
      <c r="DY7" s="1260" t="s">
        <v>2980</v>
      </c>
      <c r="DZ7" s="1260" t="s">
        <v>155</v>
      </c>
      <c r="EA7" s="1260" t="s">
        <v>2980</v>
      </c>
      <c r="EB7" s="1260" t="s">
        <v>155</v>
      </c>
      <c r="EC7" s="1260" t="s">
        <v>2980</v>
      </c>
      <c r="ED7" s="1260" t="s">
        <v>155</v>
      </c>
      <c r="EE7" s="1260" t="s">
        <v>2980</v>
      </c>
      <c r="EF7" s="1260" t="s">
        <v>155</v>
      </c>
      <c r="EG7" s="1260" t="s">
        <v>2980</v>
      </c>
      <c r="EH7" s="1260" t="s">
        <v>155</v>
      </c>
      <c r="EI7" s="1260" t="s">
        <v>2980</v>
      </c>
      <c r="EJ7" s="1260" t="s">
        <v>155</v>
      </c>
      <c r="EK7" s="1260" t="s">
        <v>2980</v>
      </c>
      <c r="EL7" s="1260" t="s">
        <v>155</v>
      </c>
      <c r="EM7" s="1260" t="s">
        <v>2980</v>
      </c>
      <c r="EN7" s="1260" t="s">
        <v>155</v>
      </c>
      <c r="EO7" s="1260" t="s">
        <v>2980</v>
      </c>
      <c r="EP7" s="1260" t="s">
        <v>155</v>
      </c>
      <c r="EQ7" s="1260" t="s">
        <v>2980</v>
      </c>
      <c r="ER7" s="1260" t="s">
        <v>155</v>
      </c>
      <c r="ES7" s="1260" t="s">
        <v>2980</v>
      </c>
      <c r="ET7" s="1260" t="s">
        <v>155</v>
      </c>
      <c r="EU7" s="1260" t="s">
        <v>2980</v>
      </c>
      <c r="EV7" s="1260" t="s">
        <v>155</v>
      </c>
      <c r="EW7" s="1260" t="s">
        <v>2980</v>
      </c>
      <c r="EX7" s="1260" t="s">
        <v>155</v>
      </c>
      <c r="EY7" s="1260" t="s">
        <v>2980</v>
      </c>
      <c r="EZ7" s="1260" t="s">
        <v>155</v>
      </c>
      <c r="FA7" s="1260" t="s">
        <v>2980</v>
      </c>
      <c r="FB7" s="1260" t="s">
        <v>155</v>
      </c>
      <c r="FC7" s="1260" t="s">
        <v>2980</v>
      </c>
      <c r="FD7" s="2721"/>
    </row>
    <row r="8" spans="1:160" ht="18.600000000000001" customHeight="1">
      <c r="A8" s="1035" t="s">
        <v>2258</v>
      </c>
      <c r="B8" s="1036">
        <v>1531.4880966400001</v>
      </c>
      <c r="C8" s="1036">
        <v>626.90463707790002</v>
      </c>
      <c r="D8" s="1036">
        <v>1389.3557949000001</v>
      </c>
      <c r="E8" s="1036">
        <v>614.65612881803997</v>
      </c>
      <c r="F8" s="1036">
        <v>1368.61145076</v>
      </c>
      <c r="G8" s="1036">
        <v>580.17640123375998</v>
      </c>
      <c r="H8" s="1036">
        <v>1785.45268298</v>
      </c>
      <c r="I8" s="1036">
        <v>852.50717125821996</v>
      </c>
      <c r="J8" s="1036">
        <v>1309.8722827900001</v>
      </c>
      <c r="K8" s="1036">
        <v>541.41617791214003</v>
      </c>
      <c r="L8" s="1036">
        <v>1510.2247848899999</v>
      </c>
      <c r="M8" s="1036">
        <v>579.26289798217999</v>
      </c>
      <c r="N8" s="1036">
        <v>1372.0811168</v>
      </c>
      <c r="O8" s="1036">
        <v>566.50580871679995</v>
      </c>
      <c r="P8" s="1036">
        <v>1456.6425868599999</v>
      </c>
      <c r="Q8" s="1036">
        <v>570.44021806418004</v>
      </c>
      <c r="R8" s="1036">
        <v>1410.8233962500001</v>
      </c>
      <c r="S8" s="1036">
        <v>617.39885775352002</v>
      </c>
      <c r="T8" s="1036">
        <v>1294.22425101</v>
      </c>
      <c r="U8" s="1036">
        <v>547.63281807392002</v>
      </c>
      <c r="V8" s="1036">
        <v>1267.7982907200001</v>
      </c>
      <c r="W8" s="1036">
        <v>472.15632846940002</v>
      </c>
      <c r="X8" s="1036">
        <v>1295.7898208193401</v>
      </c>
      <c r="Y8" s="1036">
        <v>488.58666516334</v>
      </c>
      <c r="Z8" s="1036">
        <v>1532.1894442099999</v>
      </c>
      <c r="AA8" s="1036">
        <v>466.14869922169999</v>
      </c>
      <c r="AB8" s="1036">
        <v>1610.7715664899999</v>
      </c>
      <c r="AC8" s="1036">
        <v>626.75812583421998</v>
      </c>
      <c r="AD8" s="1036">
        <v>1643.3609415999999</v>
      </c>
      <c r="AE8" s="1036">
        <v>662.90422842895998</v>
      </c>
      <c r="AF8" s="1036">
        <v>1884.4648175299999</v>
      </c>
      <c r="AG8" s="1036">
        <v>643.02350338628003</v>
      </c>
      <c r="AH8" s="1036">
        <v>1689.60980728</v>
      </c>
      <c r="AI8" s="1036">
        <v>730.87489969772002</v>
      </c>
      <c r="AJ8" s="1036">
        <v>1795.747566</v>
      </c>
      <c r="AK8" s="1036">
        <v>815.41662273908003</v>
      </c>
      <c r="AL8" s="1036">
        <v>1839.35551829</v>
      </c>
      <c r="AM8" s="1036">
        <v>835.34099000135996</v>
      </c>
      <c r="AN8" s="1036">
        <v>1778.84714493</v>
      </c>
      <c r="AO8" s="1036">
        <v>750.51318752947998</v>
      </c>
      <c r="AP8" s="1036">
        <v>1710.73168586</v>
      </c>
      <c r="AQ8" s="1036">
        <v>718.45621489354005</v>
      </c>
      <c r="AR8" s="1036">
        <v>1858.2229344499999</v>
      </c>
      <c r="AS8" s="1036">
        <v>801.75684039116004</v>
      </c>
      <c r="AT8" s="1036">
        <v>1777.3173773399999</v>
      </c>
      <c r="AU8" s="1036">
        <v>679.32004671567995</v>
      </c>
      <c r="AV8" s="1036">
        <v>1793.4689266400001</v>
      </c>
      <c r="AW8" s="1036">
        <v>641.04440296799999</v>
      </c>
      <c r="AX8" s="1036">
        <v>1803.2288125115999</v>
      </c>
      <c r="AY8" s="1036">
        <v>434.92272168160002</v>
      </c>
      <c r="AZ8" s="1036">
        <v>1836.54001714626</v>
      </c>
      <c r="BA8" s="1036">
        <v>591.64806061126001</v>
      </c>
      <c r="BB8" s="1036">
        <v>1629.3280488041</v>
      </c>
      <c r="BC8" s="1036">
        <v>545.79175239409994</v>
      </c>
      <c r="BD8" s="1036">
        <v>1794.2225001910999</v>
      </c>
      <c r="BE8" s="1036">
        <v>523.39104323360004</v>
      </c>
      <c r="BF8" s="1036">
        <v>1730.47792077438</v>
      </c>
      <c r="BG8" s="1036">
        <v>545.21124030537999</v>
      </c>
      <c r="BH8" s="1036">
        <v>1691.62588552688</v>
      </c>
      <c r="BI8" s="1036">
        <v>482.13387763638002</v>
      </c>
      <c r="BJ8" s="1036">
        <v>1669.72924068</v>
      </c>
      <c r="BK8" s="1036">
        <v>488.32559719</v>
      </c>
      <c r="BL8" s="1036">
        <v>1866.6990510902399</v>
      </c>
      <c r="BM8" s="1036">
        <v>548.12112787123999</v>
      </c>
      <c r="BN8" s="1036">
        <v>1924.70815586608</v>
      </c>
      <c r="BO8" s="1036">
        <v>578.84528790557999</v>
      </c>
      <c r="BP8" s="1036">
        <v>1911.1703022452</v>
      </c>
      <c r="BQ8" s="1036">
        <v>547.2613321632</v>
      </c>
      <c r="BR8" s="1036">
        <v>1918.4816629769</v>
      </c>
      <c r="BS8" s="1036">
        <v>517.28021927689997</v>
      </c>
      <c r="BT8" s="1036">
        <v>2005.7385535629001</v>
      </c>
      <c r="BU8" s="1036">
        <v>568.66990430290002</v>
      </c>
      <c r="BV8" s="1036">
        <v>1957.7547057336001</v>
      </c>
      <c r="BW8" s="1036">
        <v>540.79567358860004</v>
      </c>
      <c r="BX8" s="1036">
        <v>1924.134635287</v>
      </c>
      <c r="BY8" s="1036">
        <v>624.70317215700004</v>
      </c>
      <c r="BZ8" s="1036">
        <v>1875.3266360609</v>
      </c>
      <c r="CA8" s="1036">
        <v>624.07602515439999</v>
      </c>
      <c r="CB8" s="1036">
        <v>2139.4680679717999</v>
      </c>
      <c r="CC8" s="1303">
        <v>659.28287605180003</v>
      </c>
      <c r="CD8" s="1303">
        <v>2033.432148286</v>
      </c>
      <c r="CE8" s="1303">
        <v>700.34176892799996</v>
      </c>
      <c r="CF8" s="1036">
        <v>2070.9064977110002</v>
      </c>
      <c r="CG8" s="1303">
        <v>744.01845545100002</v>
      </c>
      <c r="CH8" s="1303">
        <v>2219.2808927880001</v>
      </c>
      <c r="CI8" s="1303">
        <v>864.23103490649999</v>
      </c>
      <c r="CJ8" s="1303">
        <v>2013.43897939</v>
      </c>
      <c r="CK8" s="1303">
        <v>653.09108212800004</v>
      </c>
      <c r="CL8" s="1036">
        <v>1967.8860712600001</v>
      </c>
      <c r="CM8" s="1303">
        <v>600.32039185799999</v>
      </c>
      <c r="CN8" s="1303">
        <v>2017.3843448699999</v>
      </c>
      <c r="CO8" s="1303">
        <v>601.38884627250002</v>
      </c>
      <c r="CP8" s="1303">
        <v>1976.1390925000001</v>
      </c>
      <c r="CQ8" s="1303">
        <v>574.14395734000004</v>
      </c>
      <c r="CR8" s="1303">
        <v>2010.8646022800001</v>
      </c>
      <c r="CS8" s="1303">
        <v>715.16066557500005</v>
      </c>
      <c r="CT8" s="1036">
        <v>1877.0198841399999</v>
      </c>
      <c r="CU8" s="1303">
        <v>431.95687389300002</v>
      </c>
      <c r="CV8" s="1036">
        <v>2089.0126929940998</v>
      </c>
      <c r="CW8" s="1303">
        <v>518.79651956409998</v>
      </c>
      <c r="CX8" s="1303">
        <v>2107.7997221174001</v>
      </c>
      <c r="CY8" s="1303">
        <v>650.06644799740002</v>
      </c>
      <c r="CZ8" s="1036">
        <v>2308.1989776099999</v>
      </c>
      <c r="DA8" s="1303">
        <v>559.12280830999998</v>
      </c>
      <c r="DB8" s="1036">
        <v>1994.7001641446</v>
      </c>
      <c r="DC8" s="1303">
        <v>519.39452225560001</v>
      </c>
      <c r="DD8" s="1036">
        <v>1847.1108814700001</v>
      </c>
      <c r="DE8" s="1036">
        <v>530.06898174000003</v>
      </c>
      <c r="DF8" s="1036">
        <v>2311.8995902187698</v>
      </c>
      <c r="DG8" s="1036">
        <v>649.67200620879998</v>
      </c>
      <c r="DH8" s="1036">
        <v>2111.0114001099701</v>
      </c>
      <c r="DI8" s="1036">
        <v>647.40005760996701</v>
      </c>
      <c r="DJ8" s="1036">
        <v>2005.1666527583</v>
      </c>
      <c r="DK8" s="1036">
        <v>492.22266301830001</v>
      </c>
      <c r="DL8" s="1036">
        <v>1923.5057367194599</v>
      </c>
      <c r="DM8" s="1036">
        <v>509.01939142949999</v>
      </c>
      <c r="DN8" s="1036">
        <v>1928.8883662563001</v>
      </c>
      <c r="DO8" s="1036">
        <v>445.0160206763</v>
      </c>
      <c r="DP8" s="1036">
        <v>2106.0995465381102</v>
      </c>
      <c r="DQ8" s="1036">
        <v>458.96538487960999</v>
      </c>
      <c r="DR8" s="1036">
        <v>2019.3609829899999</v>
      </c>
      <c r="DS8" s="1036">
        <v>427.99538716000001</v>
      </c>
      <c r="DT8" s="1036">
        <v>2029.5116517368799</v>
      </c>
      <c r="DU8" s="1036">
        <v>414.04476131688</v>
      </c>
      <c r="DV8" s="1036">
        <v>2020.4674976783399</v>
      </c>
      <c r="DW8" s="1036">
        <v>537.61771373833994</v>
      </c>
      <c r="DX8" s="1036">
        <v>2705.58369146937</v>
      </c>
      <c r="DY8" s="1036">
        <v>621.28700142936896</v>
      </c>
      <c r="DZ8" s="1036">
        <v>2307.16844858284</v>
      </c>
      <c r="EA8" s="1036">
        <v>604.41381223283997</v>
      </c>
      <c r="EB8" s="1036">
        <v>2226.0830842328</v>
      </c>
      <c r="EC8" s="1036">
        <v>757.3398100828</v>
      </c>
      <c r="ED8" s="1036">
        <v>2215.3593896010002</v>
      </c>
      <c r="EE8" s="1036">
        <v>636.59088600099994</v>
      </c>
      <c r="EF8" s="1036">
        <v>2130.0064284700002</v>
      </c>
      <c r="EG8" s="1036">
        <v>552.49867141000004</v>
      </c>
      <c r="EH8" s="1036">
        <v>2006.3126681071999</v>
      </c>
      <c r="EI8" s="1036">
        <v>593.92497084720003</v>
      </c>
      <c r="EJ8" s="1036">
        <v>2273.0953570186002</v>
      </c>
      <c r="EK8" s="1036">
        <v>663.74404542859997</v>
      </c>
      <c r="EL8" s="1036">
        <v>2136.5735809376001</v>
      </c>
      <c r="EM8" s="1036">
        <v>535.9998055776</v>
      </c>
      <c r="EN8" s="1036">
        <v>2246.2475051657998</v>
      </c>
      <c r="EO8" s="1036">
        <v>712.16565210579995</v>
      </c>
      <c r="EP8" s="1036">
        <v>2060.3745865639999</v>
      </c>
      <c r="EQ8" s="1036">
        <v>444.63626727399998</v>
      </c>
      <c r="ER8" s="1036">
        <v>2388.0441190393999</v>
      </c>
      <c r="ES8" s="1036">
        <v>489.5450914594</v>
      </c>
      <c r="ET8" s="1036">
        <v>2117.9968663200002</v>
      </c>
      <c r="EU8" s="1036">
        <v>501.33095307999997</v>
      </c>
      <c r="EV8" s="1036">
        <v>2408.24133798</v>
      </c>
      <c r="EW8" s="1036">
        <v>553.71722736000004</v>
      </c>
      <c r="EX8" s="1036">
        <v>2121.7019489899999</v>
      </c>
      <c r="EY8" s="1036">
        <v>572.12469404000001</v>
      </c>
      <c r="EZ8" s="1036">
        <v>2034.9009456900001</v>
      </c>
      <c r="FA8" s="1036">
        <v>550.09541148000005</v>
      </c>
      <c r="FB8" s="1036">
        <v>2112.1535048000001</v>
      </c>
      <c r="FC8" s="1036">
        <v>622.41644051000003</v>
      </c>
      <c r="FD8" s="1035" t="s">
        <v>3556</v>
      </c>
    </row>
    <row r="9" spans="1:160" ht="18" customHeight="1">
      <c r="A9" s="1035" t="s">
        <v>4289</v>
      </c>
      <c r="B9" s="1037">
        <v>2600.7363181946798</v>
      </c>
      <c r="C9" s="1037">
        <v>910.21302709948202</v>
      </c>
      <c r="D9" s="1037">
        <v>2485.4244102100001</v>
      </c>
      <c r="E9" s="1037">
        <v>1034.83553489273</v>
      </c>
      <c r="F9" s="1037">
        <v>2918.5611143800002</v>
      </c>
      <c r="G9" s="1037">
        <v>1212.0822296102499</v>
      </c>
      <c r="H9" s="1037">
        <v>1818.02810475</v>
      </c>
      <c r="I9" s="1037">
        <v>1239.77148312853</v>
      </c>
      <c r="J9" s="1037">
        <v>2218.4078706599998</v>
      </c>
      <c r="K9" s="1037">
        <v>1669.1541927215901</v>
      </c>
      <c r="L9" s="1037">
        <v>2445.2771597400001</v>
      </c>
      <c r="M9" s="1037">
        <v>1486.7799338772099</v>
      </c>
      <c r="N9" s="1037">
        <v>2583.9483715199999</v>
      </c>
      <c r="O9" s="1037">
        <v>1438.4483617783601</v>
      </c>
      <c r="P9" s="1037">
        <v>2060.20277003</v>
      </c>
      <c r="Q9" s="1037">
        <v>1047.3331617787901</v>
      </c>
      <c r="R9" s="1037">
        <v>2287.29012848</v>
      </c>
      <c r="S9" s="1037">
        <v>1058.97670395568</v>
      </c>
      <c r="T9" s="1037">
        <v>2491.46853921</v>
      </c>
      <c r="U9" s="1037">
        <v>905.00751018861797</v>
      </c>
      <c r="V9" s="1037">
        <v>2569.3207591199998</v>
      </c>
      <c r="W9" s="1037">
        <v>1284.58208153276</v>
      </c>
      <c r="X9" s="1037">
        <v>2139.50647759905</v>
      </c>
      <c r="Y9" s="1037">
        <v>1334.12896374969</v>
      </c>
      <c r="Z9" s="1037">
        <v>3071.02961512</v>
      </c>
      <c r="AA9" s="1037">
        <v>1379.20364569701</v>
      </c>
      <c r="AB9" s="1037">
        <v>2716.20890504</v>
      </c>
      <c r="AC9" s="1037">
        <v>1275.0516882811</v>
      </c>
      <c r="AD9" s="1037">
        <v>2630.0339823600002</v>
      </c>
      <c r="AE9" s="1037">
        <v>1241.3162294440499</v>
      </c>
      <c r="AF9" s="1037">
        <v>2781.5621897699998</v>
      </c>
      <c r="AG9" s="1037">
        <v>1318.5927766950999</v>
      </c>
      <c r="AH9" s="1037">
        <v>2965.93595615</v>
      </c>
      <c r="AI9" s="1037">
        <v>1249.2560175441199</v>
      </c>
      <c r="AJ9" s="1037">
        <v>3349.0987366999998</v>
      </c>
      <c r="AK9" s="1037">
        <v>1174.68531489414</v>
      </c>
      <c r="AL9" s="1037">
        <v>3272.2789938000001</v>
      </c>
      <c r="AM9" s="1037">
        <v>1255.1152997163599</v>
      </c>
      <c r="AN9" s="1037">
        <v>3360.1842249400001</v>
      </c>
      <c r="AO9" s="1037">
        <v>1291.9490041295601</v>
      </c>
      <c r="AP9" s="1037">
        <v>3327.9858799399999</v>
      </c>
      <c r="AQ9" s="1037">
        <v>1187.21581039634</v>
      </c>
      <c r="AR9" s="1037">
        <v>3445.65407581</v>
      </c>
      <c r="AS9" s="1037">
        <v>1068.9830086362001</v>
      </c>
      <c r="AT9" s="1037">
        <v>3675.5005553300002</v>
      </c>
      <c r="AU9" s="1037">
        <v>1275.2701303205399</v>
      </c>
      <c r="AV9" s="1037">
        <v>3242.2822204300001</v>
      </c>
      <c r="AW9" s="1037">
        <v>1004.85318651032</v>
      </c>
      <c r="AX9" s="1037">
        <v>7213.8780164722803</v>
      </c>
      <c r="AY9" s="1037">
        <v>1634.10913010229</v>
      </c>
      <c r="AZ9" s="1037">
        <v>3643.42293634</v>
      </c>
      <c r="BA9" s="1037">
        <v>1217.53403143267</v>
      </c>
      <c r="BB9" s="1037">
        <v>3550.2084537000001</v>
      </c>
      <c r="BC9" s="1037">
        <v>1233.3953815699999</v>
      </c>
      <c r="BD9" s="1037">
        <v>4399.8360006367702</v>
      </c>
      <c r="BE9" s="1037">
        <v>1882.2478269767801</v>
      </c>
      <c r="BF9" s="1037">
        <v>3829.39891632024</v>
      </c>
      <c r="BG9" s="1037">
        <v>1361.40331424955</v>
      </c>
      <c r="BH9" s="1037">
        <v>4544.9221885024699</v>
      </c>
      <c r="BI9" s="1037">
        <v>2190.29174246086</v>
      </c>
      <c r="BJ9" s="1037">
        <v>4458.2947054400001</v>
      </c>
      <c r="BK9" s="1037">
        <v>1781.12067493111</v>
      </c>
      <c r="BL9" s="1037">
        <v>4361.1062698547503</v>
      </c>
      <c r="BM9" s="1037">
        <v>1806.6985187366199</v>
      </c>
      <c r="BN9" s="1037">
        <v>4206.28767982507</v>
      </c>
      <c r="BO9" s="1037">
        <v>1596.4806409109201</v>
      </c>
      <c r="BP9" s="1037">
        <v>4026.2283311098499</v>
      </c>
      <c r="BQ9" s="1037">
        <v>1535.4172714014601</v>
      </c>
      <c r="BR9" s="1037">
        <v>4261.2745949404598</v>
      </c>
      <c r="BS9" s="1037">
        <v>1694.38911928838</v>
      </c>
      <c r="BT9" s="1037">
        <v>4499.2271693979601</v>
      </c>
      <c r="BU9" s="1037">
        <v>1979.62806257796</v>
      </c>
      <c r="BV9" s="1037">
        <v>6327.7451841388902</v>
      </c>
      <c r="BW9" s="1037">
        <v>3727.2403475288902</v>
      </c>
      <c r="BX9" s="1037">
        <v>3956.5522691401102</v>
      </c>
      <c r="BY9" s="1037">
        <v>1731.0101350401101</v>
      </c>
      <c r="BZ9" s="1037">
        <v>3895.75518526407</v>
      </c>
      <c r="CA9" s="1037">
        <v>1616.4674134426</v>
      </c>
      <c r="CB9" s="1037">
        <v>4368.8052558995496</v>
      </c>
      <c r="CC9" s="1304">
        <v>1936.9888692895499</v>
      </c>
      <c r="CD9" s="1304">
        <v>3788.50353461334</v>
      </c>
      <c r="CE9" s="1304">
        <v>1406.3974395523901</v>
      </c>
      <c r="CF9" s="1037">
        <v>3863.35456570733</v>
      </c>
      <c r="CG9" s="1304">
        <v>1868.2716309673301</v>
      </c>
      <c r="CH9" s="1304">
        <v>3974.25869536552</v>
      </c>
      <c r="CI9" s="1304">
        <v>1512.95571560552</v>
      </c>
      <c r="CJ9" s="1304">
        <v>3401.7566103300001</v>
      </c>
      <c r="CK9" s="1304">
        <v>1330.1998638974501</v>
      </c>
      <c r="CL9" s="1037">
        <v>3719.3003540999998</v>
      </c>
      <c r="CM9" s="1304">
        <v>1677.3510236355801</v>
      </c>
      <c r="CN9" s="1304">
        <v>3182.1485690700001</v>
      </c>
      <c r="CO9" s="1304">
        <v>1497.4089995020499</v>
      </c>
      <c r="CP9" s="1304">
        <v>3659.7565370799998</v>
      </c>
      <c r="CQ9" s="1304">
        <v>1657.68551080165</v>
      </c>
      <c r="CR9" s="1304">
        <v>3515.4764399999999</v>
      </c>
      <c r="CS9" s="1304">
        <v>1654.8348376470799</v>
      </c>
      <c r="CT9" s="1037">
        <v>6390.2963165312103</v>
      </c>
      <c r="CU9" s="1304">
        <v>2943.53312416784</v>
      </c>
      <c r="CV9" s="1037">
        <v>5668.1274842800003</v>
      </c>
      <c r="CW9" s="1304">
        <v>2472.04680809</v>
      </c>
      <c r="CX9" s="1304">
        <v>6266.3377870699996</v>
      </c>
      <c r="CY9" s="1304">
        <v>2861.0085383220699</v>
      </c>
      <c r="CZ9" s="1037">
        <v>6751.9994102700002</v>
      </c>
      <c r="DA9" s="1304">
        <v>3568.7396747952698</v>
      </c>
      <c r="DB9" s="1037">
        <v>6084.2923334461402</v>
      </c>
      <c r="DC9" s="1304">
        <v>2888.4054659580702</v>
      </c>
      <c r="DD9" s="1037">
        <v>6085.2160280899998</v>
      </c>
      <c r="DE9" s="1037">
        <v>2909.8202588200002</v>
      </c>
      <c r="DF9" s="1037">
        <v>6326.5393068242502</v>
      </c>
      <c r="DG9" s="1037">
        <v>3204.4810308599999</v>
      </c>
      <c r="DH9" s="1037">
        <v>5991.0426335399998</v>
      </c>
      <c r="DI9" s="1037">
        <v>2649.6917931928001</v>
      </c>
      <c r="DJ9" s="1037">
        <v>5763.22830625407</v>
      </c>
      <c r="DK9" s="1037">
        <v>2648.7873719140798</v>
      </c>
      <c r="DL9" s="1037">
        <v>6131.7922521569399</v>
      </c>
      <c r="DM9" s="1037">
        <v>2585.8978159169401</v>
      </c>
      <c r="DN9" s="1037">
        <v>5447.6508948054297</v>
      </c>
      <c r="DO9" s="1037">
        <v>2225.0620239954301</v>
      </c>
      <c r="DP9" s="1037">
        <v>5767.2040286498304</v>
      </c>
      <c r="DQ9" s="1037">
        <v>2472.51661746741</v>
      </c>
      <c r="DR9" s="1037">
        <v>6211.7210515407696</v>
      </c>
      <c r="DS9" s="1037">
        <v>2780.4732690400001</v>
      </c>
      <c r="DT9" s="1037">
        <v>5535.4905042229402</v>
      </c>
      <c r="DU9" s="1037">
        <v>2339.98131684294</v>
      </c>
      <c r="DV9" s="1037">
        <v>5322.0723720334399</v>
      </c>
      <c r="DW9" s="1037">
        <v>2537.9176456734399</v>
      </c>
      <c r="DX9" s="1037">
        <v>5476.8210754976599</v>
      </c>
      <c r="DY9" s="1037">
        <v>2189.6315419676598</v>
      </c>
      <c r="DZ9" s="1037">
        <v>5136.4225693083999</v>
      </c>
      <c r="EA9" s="1037">
        <v>2203.0360306184002</v>
      </c>
      <c r="EB9" s="1037">
        <v>5537.99678614601</v>
      </c>
      <c r="EC9" s="1037">
        <v>2591.1281307660101</v>
      </c>
      <c r="ED9" s="1037">
        <v>5926.0985643577396</v>
      </c>
      <c r="EE9" s="1037">
        <v>2661.1098553299998</v>
      </c>
      <c r="EF9" s="1037">
        <v>5538.03180428</v>
      </c>
      <c r="EG9" s="1037">
        <v>2544.3252188699998</v>
      </c>
      <c r="EH9" s="1037">
        <v>5009.2795016514101</v>
      </c>
      <c r="EI9" s="1037">
        <v>2141.5101212599998</v>
      </c>
      <c r="EJ9" s="1037">
        <v>4940.44819927156</v>
      </c>
      <c r="EK9" s="1037">
        <v>2044.91337570156</v>
      </c>
      <c r="EL9" s="1037">
        <v>4674.3842813900001</v>
      </c>
      <c r="EM9" s="1037">
        <v>1985.5793139699999</v>
      </c>
      <c r="EN9" s="1037">
        <v>5406.6532491648004</v>
      </c>
      <c r="EO9" s="1037">
        <v>2099.89539694</v>
      </c>
      <c r="EP9" s="1037">
        <v>5124.5652332413802</v>
      </c>
      <c r="EQ9" s="1037">
        <v>2251.9837155099999</v>
      </c>
      <c r="ER9" s="1037">
        <v>5007.5243250294197</v>
      </c>
      <c r="ES9" s="1037">
        <v>1939.9341946894201</v>
      </c>
      <c r="ET9" s="1037">
        <v>4967.3670526100004</v>
      </c>
      <c r="EU9" s="1037">
        <v>1841.4037696299999</v>
      </c>
      <c r="EV9" s="1037">
        <v>5504.7718505800003</v>
      </c>
      <c r="EW9" s="1037">
        <v>2008.0692490900001</v>
      </c>
      <c r="EX9" s="1037">
        <v>5234.39290342</v>
      </c>
      <c r="EY9" s="1037">
        <v>1845.87754049</v>
      </c>
      <c r="EZ9" s="1037">
        <v>5519.6983942099996</v>
      </c>
      <c r="FA9" s="1037">
        <v>1813.13190912</v>
      </c>
      <c r="FB9" s="1037">
        <v>5757.7897201799997</v>
      </c>
      <c r="FC9" s="1037">
        <v>1896.9989841300001</v>
      </c>
      <c r="FD9" s="1035" t="s">
        <v>3626</v>
      </c>
    </row>
    <row r="10" spans="1:160" ht="41.25" customHeight="1">
      <c r="A10" s="1035" t="s">
        <v>2257</v>
      </c>
      <c r="B10" s="1037">
        <v>3266.6515646668199</v>
      </c>
      <c r="C10" s="1037">
        <v>3266.6256252268199</v>
      </c>
      <c r="D10" s="1037">
        <v>3388.7044909951301</v>
      </c>
      <c r="E10" s="1037">
        <v>3388.5082907351298</v>
      </c>
      <c r="F10" s="1037">
        <v>2829.9754869573599</v>
      </c>
      <c r="G10" s="1037">
        <v>2829.9514136873599</v>
      </c>
      <c r="H10" s="1037">
        <v>2905.4908033126799</v>
      </c>
      <c r="I10" s="1037">
        <v>2905.47043913268</v>
      </c>
      <c r="J10" s="1037">
        <v>3090.7401775058001</v>
      </c>
      <c r="K10" s="1037">
        <v>3075.2703340458002</v>
      </c>
      <c r="L10" s="1037">
        <v>3625.3734355492202</v>
      </c>
      <c r="M10" s="1037">
        <v>3625.3634344092202</v>
      </c>
      <c r="N10" s="1037">
        <v>2775.6263988462401</v>
      </c>
      <c r="O10" s="1037">
        <v>2773.2096861862401</v>
      </c>
      <c r="P10" s="1037">
        <v>2626.32325570168</v>
      </c>
      <c r="Q10" s="1037">
        <v>2625.01714423168</v>
      </c>
      <c r="R10" s="1037">
        <v>3010.3052973244498</v>
      </c>
      <c r="S10" s="1037">
        <v>3001.1731523244498</v>
      </c>
      <c r="T10" s="1037">
        <v>2508.8593140017902</v>
      </c>
      <c r="U10" s="1037">
        <v>2508.8406051717898</v>
      </c>
      <c r="V10" s="1037">
        <v>2727.5275234707901</v>
      </c>
      <c r="W10" s="1037">
        <v>2727.4949200807901</v>
      </c>
      <c r="X10" s="1037">
        <v>2975.1097915527198</v>
      </c>
      <c r="Y10" s="1037">
        <v>2975.09613535273</v>
      </c>
      <c r="Z10" s="1037">
        <v>3493.8779535697399</v>
      </c>
      <c r="AA10" s="1037">
        <v>3493.8590983397398</v>
      </c>
      <c r="AB10" s="1037">
        <v>3271.8205328147401</v>
      </c>
      <c r="AC10" s="1037">
        <v>3270.54572352474</v>
      </c>
      <c r="AD10" s="1037">
        <v>3075.78428431673</v>
      </c>
      <c r="AE10" s="1037">
        <v>3075.5748967767299</v>
      </c>
      <c r="AF10" s="1037">
        <v>3072.5448353691099</v>
      </c>
      <c r="AG10" s="1037">
        <v>3072.53409443911</v>
      </c>
      <c r="AH10" s="1037">
        <v>2950.78711728386</v>
      </c>
      <c r="AI10" s="1037">
        <v>2950.7746270938601</v>
      </c>
      <c r="AJ10" s="1037">
        <v>3352.56058962624</v>
      </c>
      <c r="AK10" s="1037">
        <v>3352.3720058762401</v>
      </c>
      <c r="AL10" s="1037">
        <v>2724.41422435292</v>
      </c>
      <c r="AM10" s="1037">
        <v>2724.3916458129202</v>
      </c>
      <c r="AN10" s="1037">
        <v>3231.18212608163</v>
      </c>
      <c r="AO10" s="1037">
        <v>3231.1693972416301</v>
      </c>
      <c r="AP10" s="1037">
        <v>3023.4830854485399</v>
      </c>
      <c r="AQ10" s="1037">
        <v>3023.1120925585401</v>
      </c>
      <c r="AR10" s="1037">
        <v>3521.2367100255801</v>
      </c>
      <c r="AS10" s="1037">
        <v>3521.0062309355799</v>
      </c>
      <c r="AT10" s="1037">
        <v>3175.9189783941001</v>
      </c>
      <c r="AU10" s="1037">
        <v>3175.5415187040999</v>
      </c>
      <c r="AV10" s="1037">
        <v>4084.7606297633902</v>
      </c>
      <c r="AW10" s="1037">
        <v>4084.7369527333899</v>
      </c>
      <c r="AX10" s="1037">
        <v>4605.7446833397198</v>
      </c>
      <c r="AY10" s="1037">
        <v>4605.3960890397202</v>
      </c>
      <c r="AZ10" s="1037">
        <v>4841.53257329997</v>
      </c>
      <c r="BA10" s="1037">
        <v>4841.1776097599704</v>
      </c>
      <c r="BB10" s="1037">
        <v>4534.10832532328</v>
      </c>
      <c r="BC10" s="1037">
        <v>4534.0298918232802</v>
      </c>
      <c r="BD10" s="1037">
        <v>4841.7527588334897</v>
      </c>
      <c r="BE10" s="1037">
        <v>4841.5986628534902</v>
      </c>
      <c r="BF10" s="1037">
        <v>5298.4699095770402</v>
      </c>
      <c r="BG10" s="1037">
        <v>5298.3480016870399</v>
      </c>
      <c r="BH10" s="1037">
        <v>4694.1557424611301</v>
      </c>
      <c r="BI10" s="1037">
        <v>4693.0525439611301</v>
      </c>
      <c r="BJ10" s="1037">
        <v>5022.9879502939402</v>
      </c>
      <c r="BK10" s="1037">
        <v>5017.9853298839398</v>
      </c>
      <c r="BL10" s="1037">
        <v>4903.5298222132897</v>
      </c>
      <c r="BM10" s="1037">
        <v>4898.2410324132898</v>
      </c>
      <c r="BN10" s="1037">
        <v>4841.4535496697299</v>
      </c>
      <c r="BO10" s="1037">
        <v>4836.30751313972</v>
      </c>
      <c r="BP10" s="1037">
        <v>3241.9769976600501</v>
      </c>
      <c r="BQ10" s="1037">
        <v>3241.3807417400499</v>
      </c>
      <c r="BR10" s="1037">
        <v>3163.0856309557098</v>
      </c>
      <c r="BS10" s="1037">
        <v>3160.7931378057101</v>
      </c>
      <c r="BT10" s="1037">
        <v>3151.5385419602799</v>
      </c>
      <c r="BU10" s="1037">
        <v>3151.0860854202801</v>
      </c>
      <c r="BV10" s="1037">
        <v>3115.1342913021099</v>
      </c>
      <c r="BW10" s="1037">
        <v>3114.7831079321099</v>
      </c>
      <c r="BX10" s="1037">
        <v>3283.84837085649</v>
      </c>
      <c r="BY10" s="1037">
        <v>3283.5443891964901</v>
      </c>
      <c r="BZ10" s="1037">
        <v>3330.9482390434</v>
      </c>
      <c r="CA10" s="1037">
        <v>3330.8330166134001</v>
      </c>
      <c r="CB10" s="1037">
        <v>2453.6111856421699</v>
      </c>
      <c r="CC10" s="1304">
        <v>2453.45353334217</v>
      </c>
      <c r="CD10" s="1304">
        <v>3069.7937658787901</v>
      </c>
      <c r="CE10" s="1304">
        <v>3068.5219399887901</v>
      </c>
      <c r="CF10" s="1037">
        <v>2413.2367081926</v>
      </c>
      <c r="CG10" s="1304">
        <v>2412.5058908726</v>
      </c>
      <c r="CH10" s="1304">
        <v>2175.0305991468899</v>
      </c>
      <c r="CI10" s="1304">
        <v>2172.6711307568899</v>
      </c>
      <c r="CJ10" s="1304">
        <v>2065.5879347780901</v>
      </c>
      <c r="CK10" s="1304">
        <v>2065.18131356809</v>
      </c>
      <c r="CL10" s="1037">
        <v>2079.1085459115402</v>
      </c>
      <c r="CM10" s="1304">
        <v>2073.0916889515402</v>
      </c>
      <c r="CN10" s="1304">
        <v>2472.8379995475102</v>
      </c>
      <c r="CO10" s="1304">
        <v>2472.7469351875102</v>
      </c>
      <c r="CP10" s="1304">
        <v>2438.5438190141599</v>
      </c>
      <c r="CQ10" s="1304">
        <v>2438.43214464416</v>
      </c>
      <c r="CR10" s="1304">
        <v>2146.4016919851101</v>
      </c>
      <c r="CS10" s="1304">
        <v>2146.0223282751099</v>
      </c>
      <c r="CT10" s="1037">
        <v>2251.1927178932901</v>
      </c>
      <c r="CU10" s="1304">
        <v>2250.7606427732899</v>
      </c>
      <c r="CV10" s="1037">
        <v>2101.7114473861998</v>
      </c>
      <c r="CW10" s="1304">
        <v>2101.3091941562002</v>
      </c>
      <c r="CX10" s="1304">
        <v>1839.21653160284</v>
      </c>
      <c r="CY10" s="1304">
        <v>1838.6749989028399</v>
      </c>
      <c r="CZ10" s="1037">
        <v>1936.7888135903199</v>
      </c>
      <c r="DA10" s="1304">
        <v>1936.3195603603201</v>
      </c>
      <c r="DB10" s="1037">
        <v>2288.5123958484201</v>
      </c>
      <c r="DC10" s="1304">
        <v>2287.50019093842</v>
      </c>
      <c r="DD10" s="1037">
        <v>2123.01885972837</v>
      </c>
      <c r="DE10" s="1037">
        <v>2121.99728070837</v>
      </c>
      <c r="DF10" s="1037">
        <v>1886.7673451163801</v>
      </c>
      <c r="DG10" s="1037">
        <v>1885.7299043763801</v>
      </c>
      <c r="DH10" s="1037">
        <v>1420.7834477930201</v>
      </c>
      <c r="DI10" s="1037">
        <v>1419.36776764302</v>
      </c>
      <c r="DJ10" s="1037">
        <v>1690.3130375721801</v>
      </c>
      <c r="DK10" s="1037">
        <v>1689.83866309218</v>
      </c>
      <c r="DL10" s="1037">
        <v>1964.0964696342301</v>
      </c>
      <c r="DM10" s="1037">
        <v>1963.53239137423</v>
      </c>
      <c r="DN10" s="1037">
        <v>1708.7418388820499</v>
      </c>
      <c r="DO10" s="1037">
        <v>1708.21679277205</v>
      </c>
      <c r="DP10" s="1037">
        <v>1941.7240121428299</v>
      </c>
      <c r="DQ10" s="1037">
        <v>1941.1736408128299</v>
      </c>
      <c r="DR10" s="1037">
        <v>1754.2110443118199</v>
      </c>
      <c r="DS10" s="1037">
        <v>1753.2219402718199</v>
      </c>
      <c r="DT10" s="1037">
        <v>2146.63386318925</v>
      </c>
      <c r="DU10" s="1037">
        <v>2146.0258527092501</v>
      </c>
      <c r="DV10" s="1037">
        <v>2093.3446590682802</v>
      </c>
      <c r="DW10" s="1037">
        <v>2092.48798679828</v>
      </c>
      <c r="DX10" s="1037">
        <v>2575.4417856874202</v>
      </c>
      <c r="DY10" s="1037">
        <v>2573.8727154074199</v>
      </c>
      <c r="DZ10" s="1037">
        <v>2123.4052673759602</v>
      </c>
      <c r="EA10" s="1037">
        <v>2122.7846499659599</v>
      </c>
      <c r="EB10" s="1037">
        <v>2637.8825019578699</v>
      </c>
      <c r="EC10" s="1037">
        <v>2637.7517672178701</v>
      </c>
      <c r="ED10" s="1037">
        <v>2642.2790390661198</v>
      </c>
      <c r="EE10" s="1037">
        <v>2639.25474837612</v>
      </c>
      <c r="EF10" s="1037">
        <v>2050.2382134538202</v>
      </c>
      <c r="EG10" s="1037">
        <v>2049.9808284138198</v>
      </c>
      <c r="EH10" s="1037">
        <v>1991.9573014745099</v>
      </c>
      <c r="EI10" s="1037">
        <v>1991.59705650451</v>
      </c>
      <c r="EJ10" s="1037">
        <v>1735.65842183872</v>
      </c>
      <c r="EK10" s="1037">
        <v>1733.9116515487201</v>
      </c>
      <c r="EL10" s="1037">
        <v>2028.8469360858001</v>
      </c>
      <c r="EM10" s="1037">
        <v>2027.8915118158</v>
      </c>
      <c r="EN10" s="1037">
        <v>2108.9824267814301</v>
      </c>
      <c r="EO10" s="1037">
        <v>2108.4678059514299</v>
      </c>
      <c r="EP10" s="1037">
        <v>1610.82252518889</v>
      </c>
      <c r="EQ10" s="1037">
        <v>1608.1904043488901</v>
      </c>
      <c r="ER10" s="1037">
        <v>1612.2550566826999</v>
      </c>
      <c r="ES10" s="1037">
        <v>1611.4426873427001</v>
      </c>
      <c r="ET10" s="1037">
        <v>1348.20995146571</v>
      </c>
      <c r="EU10" s="1037">
        <v>1347.6467508257099</v>
      </c>
      <c r="EV10" s="1037">
        <v>2205.6504706330702</v>
      </c>
      <c r="EW10" s="1037">
        <v>2203.7885783230699</v>
      </c>
      <c r="EX10" s="1037">
        <v>1589.8550048447901</v>
      </c>
      <c r="EY10" s="1037">
        <v>1589.2319259147901</v>
      </c>
      <c r="EZ10" s="1037">
        <v>1670.41662675266</v>
      </c>
      <c r="FA10" s="1037">
        <v>1668.99687243266</v>
      </c>
      <c r="FB10" s="1037">
        <v>1744.26039344124</v>
      </c>
      <c r="FC10" s="1037">
        <v>1743.60602806924</v>
      </c>
      <c r="FD10" s="1035" t="s">
        <v>3557</v>
      </c>
    </row>
    <row r="11" spans="1:160" ht="35.25" customHeight="1">
      <c r="A11" s="1035" t="s">
        <v>2256</v>
      </c>
      <c r="B11" s="1037">
        <v>5538.1630043100004</v>
      </c>
      <c r="C11" s="1037">
        <v>2345.9925722900002</v>
      </c>
      <c r="D11" s="1037">
        <v>5586.9349708399996</v>
      </c>
      <c r="E11" s="1037">
        <v>1943.3510885799999</v>
      </c>
      <c r="F11" s="1037">
        <v>5789.6601259999998</v>
      </c>
      <c r="G11" s="1037">
        <v>2337.3632488100002</v>
      </c>
      <c r="H11" s="1037">
        <v>5870.6348787899997</v>
      </c>
      <c r="I11" s="1037">
        <v>2360.8568679</v>
      </c>
      <c r="J11" s="1037">
        <v>5377.31768543</v>
      </c>
      <c r="K11" s="1037">
        <v>2137.7224859900002</v>
      </c>
      <c r="L11" s="1037">
        <v>4809.6911896700003</v>
      </c>
      <c r="M11" s="1037">
        <v>1825.75188987</v>
      </c>
      <c r="N11" s="1037">
        <v>5030.5989135500004</v>
      </c>
      <c r="O11" s="1037">
        <v>2048.3890722800002</v>
      </c>
      <c r="P11" s="1037">
        <v>4797.85293336</v>
      </c>
      <c r="Q11" s="1037">
        <v>1864.66703607</v>
      </c>
      <c r="R11" s="1037">
        <v>4544.4334059399998</v>
      </c>
      <c r="S11" s="1037">
        <v>1663.4870426499999</v>
      </c>
      <c r="T11" s="1037">
        <v>4162.9454568700003</v>
      </c>
      <c r="U11" s="1037">
        <v>1183.10875657</v>
      </c>
      <c r="V11" s="1037">
        <v>4162.2632767100004</v>
      </c>
      <c r="W11" s="1037">
        <v>1132.17921729</v>
      </c>
      <c r="X11" s="1037">
        <v>4139.0531717699996</v>
      </c>
      <c r="Y11" s="1037">
        <v>1246.0574632299999</v>
      </c>
      <c r="Z11" s="1037">
        <v>4155.7474352500003</v>
      </c>
      <c r="AA11" s="1037">
        <v>1228.4337656600001</v>
      </c>
      <c r="AB11" s="1037">
        <v>4057.6053180899999</v>
      </c>
      <c r="AC11" s="1037">
        <v>1440.2305471899999</v>
      </c>
      <c r="AD11" s="1037">
        <v>4086.42593016</v>
      </c>
      <c r="AE11" s="1037">
        <v>1489.3704719499999</v>
      </c>
      <c r="AF11" s="1037">
        <v>3962.5102365100001</v>
      </c>
      <c r="AG11" s="1037">
        <v>1365.1783012799999</v>
      </c>
      <c r="AH11" s="1037">
        <v>4052.97100667</v>
      </c>
      <c r="AI11" s="1037">
        <v>1437.60055117</v>
      </c>
      <c r="AJ11" s="1037">
        <v>3957.31014972</v>
      </c>
      <c r="AK11" s="1037">
        <v>1344.72090587</v>
      </c>
      <c r="AL11" s="1037">
        <v>3813.0659948699999</v>
      </c>
      <c r="AM11" s="1037">
        <v>1298.5462949499999</v>
      </c>
      <c r="AN11" s="1037">
        <v>3709.9755411800002</v>
      </c>
      <c r="AO11" s="1037">
        <v>1256.51710871</v>
      </c>
      <c r="AP11" s="1037">
        <v>3789.9735141299998</v>
      </c>
      <c r="AQ11" s="1037">
        <v>1327.3149089799999</v>
      </c>
      <c r="AR11" s="1037">
        <v>3840.5901892563802</v>
      </c>
      <c r="AS11" s="1037">
        <v>1370.80700644637</v>
      </c>
      <c r="AT11" s="1037">
        <v>3848.0346975038101</v>
      </c>
      <c r="AU11" s="1037">
        <v>1373.2778156638101</v>
      </c>
      <c r="AV11" s="1037">
        <v>3742.8739952635801</v>
      </c>
      <c r="AW11" s="1037">
        <v>1266.2085822535801</v>
      </c>
      <c r="AX11" s="1037">
        <v>1879.25830318971</v>
      </c>
      <c r="AY11" s="1037">
        <v>1583.9556747597101</v>
      </c>
      <c r="AZ11" s="1037">
        <v>3622.0099253264898</v>
      </c>
      <c r="BA11" s="1037">
        <v>1094.14992348649</v>
      </c>
      <c r="BB11" s="1037">
        <v>3628.8809684453799</v>
      </c>
      <c r="BC11" s="1037">
        <v>1103.86877853538</v>
      </c>
      <c r="BD11" s="1037">
        <v>3810.2134332913101</v>
      </c>
      <c r="BE11" s="1037">
        <v>1292.62051811131</v>
      </c>
      <c r="BF11" s="1037">
        <v>3956.22827393751</v>
      </c>
      <c r="BG11" s="1037">
        <v>1398.97022282751</v>
      </c>
      <c r="BH11" s="1037">
        <v>4359.1260361602999</v>
      </c>
      <c r="BI11" s="1037">
        <v>1951.6044946303</v>
      </c>
      <c r="BJ11" s="1037">
        <v>4094.2086527372999</v>
      </c>
      <c r="BK11" s="1037">
        <v>1737.4500204673</v>
      </c>
      <c r="BL11" s="1037">
        <v>3658.2574213457001</v>
      </c>
      <c r="BM11" s="1037">
        <v>2001.9903706257001</v>
      </c>
      <c r="BN11" s="1037">
        <v>4271.5199212133002</v>
      </c>
      <c r="BO11" s="1037">
        <v>2115.7408390332998</v>
      </c>
      <c r="BP11" s="1037">
        <v>6609.4830000192096</v>
      </c>
      <c r="BQ11" s="1037">
        <v>4146.0441037292103</v>
      </c>
      <c r="BR11" s="1037">
        <v>6303.9104897705602</v>
      </c>
      <c r="BS11" s="1037">
        <v>3833.2167668905599</v>
      </c>
      <c r="BT11" s="1037">
        <v>5823.8262627164904</v>
      </c>
      <c r="BU11" s="1037">
        <v>3313.4169333364898</v>
      </c>
      <c r="BV11" s="1037">
        <v>4998.3949876026099</v>
      </c>
      <c r="BW11" s="1037">
        <v>3019.5488868826101</v>
      </c>
      <c r="BX11" s="1037">
        <v>5151.9164315646003</v>
      </c>
      <c r="BY11" s="1037">
        <v>3027.7353580946001</v>
      </c>
      <c r="BZ11" s="1037">
        <v>5086.0036881403503</v>
      </c>
      <c r="CA11" s="1037">
        <v>2340.0288591103499</v>
      </c>
      <c r="CB11" s="1037">
        <v>4169.4732184403501</v>
      </c>
      <c r="CC11" s="1304">
        <v>1921.47890228035</v>
      </c>
      <c r="CD11" s="1304">
        <v>4265.6938841644896</v>
      </c>
      <c r="CE11" s="1304">
        <v>2064.13217026449</v>
      </c>
      <c r="CF11" s="1037">
        <v>4860.4164793474802</v>
      </c>
      <c r="CG11" s="1304">
        <v>2707.6626870874802</v>
      </c>
      <c r="CH11" s="1304">
        <v>3760.8453597668399</v>
      </c>
      <c r="CI11" s="1304">
        <v>2027.53451976684</v>
      </c>
      <c r="CJ11" s="1304">
        <v>3840.40724896764</v>
      </c>
      <c r="CK11" s="1304">
        <v>1776.3537389676401</v>
      </c>
      <c r="CL11" s="1037">
        <v>3636.1772634546101</v>
      </c>
      <c r="CM11" s="1304">
        <v>1552.65816251461</v>
      </c>
      <c r="CN11" s="1304">
        <v>3512.2560737306299</v>
      </c>
      <c r="CO11" s="1304">
        <v>1583.55769197063</v>
      </c>
      <c r="CP11" s="1304">
        <v>3651.59962771238</v>
      </c>
      <c r="CQ11" s="1304">
        <v>1762.2733777123799</v>
      </c>
      <c r="CR11" s="1304">
        <v>3424.0741832114199</v>
      </c>
      <c r="CS11" s="1304">
        <v>1485.34794321142</v>
      </c>
      <c r="CT11" s="1037">
        <v>4006.6052270135001</v>
      </c>
      <c r="CU11" s="1304">
        <v>1888.2687770135001</v>
      </c>
      <c r="CV11" s="1037">
        <v>4047.0221984</v>
      </c>
      <c r="CW11" s="1304">
        <v>1917.59579629</v>
      </c>
      <c r="CX11" s="1304">
        <v>3208.4395950713201</v>
      </c>
      <c r="CY11" s="1304">
        <v>1486.9488947213199</v>
      </c>
      <c r="CZ11" s="1037">
        <v>3395.71153157766</v>
      </c>
      <c r="DA11" s="1304">
        <v>1859.65885157766</v>
      </c>
      <c r="DB11" s="1037">
        <v>3779.0268972303402</v>
      </c>
      <c r="DC11" s="1304">
        <v>2343.19496060034</v>
      </c>
      <c r="DD11" s="1037">
        <v>2868.79057645375</v>
      </c>
      <c r="DE11" s="1037">
        <v>1409.19888761375</v>
      </c>
      <c r="DF11" s="1037">
        <v>2430.3962936100002</v>
      </c>
      <c r="DG11" s="1037">
        <v>1379.1046047699999</v>
      </c>
      <c r="DH11" s="1037">
        <v>2265.7157325899998</v>
      </c>
      <c r="DI11" s="1037">
        <v>1290.97830737</v>
      </c>
      <c r="DJ11" s="1037">
        <v>2241.64792416</v>
      </c>
      <c r="DK11" s="1037">
        <v>1272.5377441600001</v>
      </c>
      <c r="DL11" s="1037">
        <v>2167.00866653</v>
      </c>
      <c r="DM11" s="1037">
        <v>1258.66247653</v>
      </c>
      <c r="DN11" s="1037">
        <v>2276.8991959800001</v>
      </c>
      <c r="DO11" s="1037">
        <v>1338.0680459800001</v>
      </c>
      <c r="DP11" s="1037">
        <v>2378.4498643799998</v>
      </c>
      <c r="DQ11" s="1037">
        <v>1428.1493043800001</v>
      </c>
      <c r="DR11" s="1037">
        <v>3138.9255062000002</v>
      </c>
      <c r="DS11" s="1037">
        <v>2313.2175062000001</v>
      </c>
      <c r="DT11" s="1037">
        <v>2335.1894681399999</v>
      </c>
      <c r="DU11" s="1037">
        <v>2081.0814681400002</v>
      </c>
      <c r="DV11" s="1037">
        <v>2421.3863066785898</v>
      </c>
      <c r="DW11" s="1037">
        <v>1828.1971266800001</v>
      </c>
      <c r="DX11" s="1037">
        <v>2457.8721422499998</v>
      </c>
      <c r="DY11" s="1037">
        <v>2120.2641422500001</v>
      </c>
      <c r="DZ11" s="1037">
        <v>2383.8606942000001</v>
      </c>
      <c r="EA11" s="1037">
        <v>2020.6526942</v>
      </c>
      <c r="EB11" s="1037">
        <v>2669.5916663799999</v>
      </c>
      <c r="EC11" s="1037">
        <v>2294.8836663799998</v>
      </c>
      <c r="ED11" s="1037">
        <v>3351.8067594700001</v>
      </c>
      <c r="EE11" s="1037">
        <v>1483.1987594699999</v>
      </c>
      <c r="EF11" s="1037">
        <v>2855.805277384</v>
      </c>
      <c r="EG11" s="1037">
        <v>1800.697277384</v>
      </c>
      <c r="EH11" s="1037">
        <v>4110.0801637800396</v>
      </c>
      <c r="EI11" s="1037">
        <v>1721.14249578004</v>
      </c>
      <c r="EJ11" s="1037">
        <v>3800.1181155999998</v>
      </c>
      <c r="EK11" s="1037">
        <v>1792.2601126</v>
      </c>
      <c r="EL11" s="1037">
        <v>4731.3215725</v>
      </c>
      <c r="EM11" s="1037">
        <v>1932.3715725</v>
      </c>
      <c r="EN11" s="1037">
        <v>5912.41803033</v>
      </c>
      <c r="EO11" s="1037">
        <v>2365.9680293299998</v>
      </c>
      <c r="EP11" s="1037">
        <v>4886.0590961799999</v>
      </c>
      <c r="EQ11" s="1037">
        <v>2087.45909618</v>
      </c>
      <c r="ER11" s="1037">
        <v>4835.0722940699998</v>
      </c>
      <c r="ES11" s="1037">
        <v>2297.6456680699998</v>
      </c>
      <c r="ET11" s="1037">
        <v>4935.7285111000001</v>
      </c>
      <c r="EU11" s="1037">
        <v>2054.5763391</v>
      </c>
      <c r="EV11" s="1037">
        <v>5022.0668532999998</v>
      </c>
      <c r="EW11" s="1037">
        <v>2418.6168373</v>
      </c>
      <c r="EX11" s="1037">
        <v>5573.0375504499998</v>
      </c>
      <c r="EY11" s="1037">
        <v>2260.58754645</v>
      </c>
      <c r="EZ11" s="1037">
        <v>5337.2914363</v>
      </c>
      <c r="FA11" s="1037">
        <v>1931.8509183000001</v>
      </c>
      <c r="FB11" s="1037">
        <v>6228.0999009699999</v>
      </c>
      <c r="FC11" s="1037">
        <v>2116.7998979700001</v>
      </c>
      <c r="FD11" s="1035" t="s">
        <v>3558</v>
      </c>
    </row>
    <row r="12" spans="1:160" ht="18.75" customHeight="1">
      <c r="A12" s="1035" t="s">
        <v>2255</v>
      </c>
      <c r="B12" s="1037">
        <v>3261.3124309700002</v>
      </c>
      <c r="C12" s="1037">
        <v>1827.5045921000001</v>
      </c>
      <c r="D12" s="1037">
        <v>2979.698719385</v>
      </c>
      <c r="E12" s="1037">
        <v>1698.5436084200001</v>
      </c>
      <c r="F12" s="1037">
        <v>2973.5388128599998</v>
      </c>
      <c r="G12" s="1037">
        <v>1592.3532011</v>
      </c>
      <c r="H12" s="1037">
        <v>2866.5675957620001</v>
      </c>
      <c r="I12" s="1037">
        <v>1838.8278665769999</v>
      </c>
      <c r="J12" s="1037">
        <v>3414.8720979320001</v>
      </c>
      <c r="K12" s="1037">
        <v>1873.9242129419999</v>
      </c>
      <c r="L12" s="1037">
        <v>3197.6180010019998</v>
      </c>
      <c r="M12" s="1037">
        <v>1862.2832984219999</v>
      </c>
      <c r="N12" s="1037">
        <v>3321.8205165720001</v>
      </c>
      <c r="O12" s="1037">
        <v>1953.997111182</v>
      </c>
      <c r="P12" s="1037">
        <v>3674.05421037</v>
      </c>
      <c r="Q12" s="1037">
        <v>2133.0112883699999</v>
      </c>
      <c r="R12" s="1037">
        <v>3847.3852259499999</v>
      </c>
      <c r="S12" s="1037">
        <v>2248.0056144099999</v>
      </c>
      <c r="T12" s="1037">
        <v>3990.3647315203002</v>
      </c>
      <c r="U12" s="1037">
        <v>2221.8072455679999</v>
      </c>
      <c r="V12" s="1037">
        <v>4333.4680092079998</v>
      </c>
      <c r="W12" s="1037">
        <v>2373.2834002979998</v>
      </c>
      <c r="X12" s="1037">
        <v>4465.8332347699998</v>
      </c>
      <c r="Y12" s="1037">
        <v>2300.7272777100002</v>
      </c>
      <c r="Z12" s="1037">
        <v>4334.9635927999998</v>
      </c>
      <c r="AA12" s="1037">
        <v>2175.8531112659998</v>
      </c>
      <c r="AB12" s="1037">
        <v>4677.874355936</v>
      </c>
      <c r="AC12" s="1037">
        <v>2177.5789105859999</v>
      </c>
      <c r="AD12" s="1037">
        <v>4830.7010032480002</v>
      </c>
      <c r="AE12" s="1037">
        <v>2255.5880078979999</v>
      </c>
      <c r="AF12" s="1037">
        <v>4726.4529615270003</v>
      </c>
      <c r="AG12" s="1037">
        <v>2270.2551077369999</v>
      </c>
      <c r="AH12" s="1037">
        <v>4790.4027964569996</v>
      </c>
      <c r="AI12" s="1037">
        <v>2341.403763197</v>
      </c>
      <c r="AJ12" s="1037">
        <v>4753.3249078669996</v>
      </c>
      <c r="AK12" s="1037">
        <v>2467.2122014269999</v>
      </c>
      <c r="AL12" s="1037">
        <v>4960.3463562280003</v>
      </c>
      <c r="AM12" s="1037">
        <v>2453.5605965979998</v>
      </c>
      <c r="AN12" s="1037">
        <v>4650.5843679480004</v>
      </c>
      <c r="AO12" s="1037">
        <v>2361.7490708179998</v>
      </c>
      <c r="AP12" s="1037">
        <v>4862.8134720079997</v>
      </c>
      <c r="AQ12" s="1037">
        <v>2555.9511281579998</v>
      </c>
      <c r="AR12" s="1037">
        <v>4770.6447488809999</v>
      </c>
      <c r="AS12" s="1037">
        <v>2480.8618113110001</v>
      </c>
      <c r="AT12" s="1037">
        <v>4705.16842115492</v>
      </c>
      <c r="AU12" s="1037">
        <v>2483.0080601949198</v>
      </c>
      <c r="AV12" s="1037">
        <v>4754.6364792759996</v>
      </c>
      <c r="AW12" s="1037">
        <v>2482.4100305860002</v>
      </c>
      <c r="AX12" s="1037">
        <v>4890.0810217150001</v>
      </c>
      <c r="AY12" s="1037">
        <v>2566.7975040649999</v>
      </c>
      <c r="AZ12" s="1037">
        <v>5205.9083193850001</v>
      </c>
      <c r="BA12" s="1037">
        <v>2502.2081843329102</v>
      </c>
      <c r="BB12" s="1037">
        <v>5814.1634687879996</v>
      </c>
      <c r="BC12" s="1037">
        <v>2772.1820277724801</v>
      </c>
      <c r="BD12" s="1037">
        <v>5589.574230485</v>
      </c>
      <c r="BE12" s="1037">
        <v>2609.5604846249998</v>
      </c>
      <c r="BF12" s="1037">
        <v>5555.4712238740003</v>
      </c>
      <c r="BG12" s="1037">
        <v>2636.4976120840001</v>
      </c>
      <c r="BH12" s="1037">
        <v>5626.7004755170001</v>
      </c>
      <c r="BI12" s="1037">
        <v>2643.1080970369999</v>
      </c>
      <c r="BJ12" s="1037">
        <v>5819.5890554480002</v>
      </c>
      <c r="BK12" s="1037">
        <v>2790.5299099379999</v>
      </c>
      <c r="BL12" s="1037">
        <v>5859.7051713580004</v>
      </c>
      <c r="BM12" s="1037">
        <v>2962.9776105679998</v>
      </c>
      <c r="BN12" s="1037">
        <v>5964.44012608094</v>
      </c>
      <c r="BO12" s="1037">
        <v>3089.848258691</v>
      </c>
      <c r="BP12" s="1037">
        <v>6198.577029004</v>
      </c>
      <c r="BQ12" s="1037">
        <v>3390.191186084</v>
      </c>
      <c r="BR12" s="1037">
        <v>6576.3781529500002</v>
      </c>
      <c r="BS12" s="1037">
        <v>3454.5674931240001</v>
      </c>
      <c r="BT12" s="1037">
        <v>7079.5986473659996</v>
      </c>
      <c r="BU12" s="1037">
        <v>3734.005978226</v>
      </c>
      <c r="BV12" s="1037">
        <v>8337.695806533</v>
      </c>
      <c r="BW12" s="1037">
        <v>4052.54702817</v>
      </c>
      <c r="BX12" s="1037">
        <v>8315.8070334580007</v>
      </c>
      <c r="BY12" s="1037">
        <v>3988.126616048</v>
      </c>
      <c r="BZ12" s="1037">
        <v>7769.0335272479997</v>
      </c>
      <c r="CA12" s="1037">
        <v>3820.4921899780002</v>
      </c>
      <c r="CB12" s="1037">
        <v>7671.7335730459999</v>
      </c>
      <c r="CC12" s="1304">
        <v>3835.4427079460002</v>
      </c>
      <c r="CD12" s="1304">
        <v>7712.5423704169998</v>
      </c>
      <c r="CE12" s="1304">
        <v>3813.0073495484398</v>
      </c>
      <c r="CF12" s="1037">
        <v>7441.9537087364997</v>
      </c>
      <c r="CG12" s="1304">
        <v>3285.770171659</v>
      </c>
      <c r="CH12" s="1304">
        <v>7797.6727632480997</v>
      </c>
      <c r="CI12" s="1304">
        <v>3388.9921926830002</v>
      </c>
      <c r="CJ12" s="1304">
        <v>7709.9259508929999</v>
      </c>
      <c r="CK12" s="1304">
        <v>3101.5521866829999</v>
      </c>
      <c r="CL12" s="1037">
        <v>7622.1619553230003</v>
      </c>
      <c r="CM12" s="1304">
        <v>2978.5529519830002</v>
      </c>
      <c r="CN12" s="1304">
        <v>7839.8673120699996</v>
      </c>
      <c r="CO12" s="1304">
        <v>2965.0583147699999</v>
      </c>
      <c r="CP12" s="1304">
        <v>7338.4281834900003</v>
      </c>
      <c r="CQ12" s="1304">
        <v>2960.6093990712702</v>
      </c>
      <c r="CR12" s="1304">
        <v>7203.1837625400003</v>
      </c>
      <c r="CS12" s="1304">
        <v>2957.4447966840598</v>
      </c>
      <c r="CT12" s="1037">
        <v>7097.9912139899998</v>
      </c>
      <c r="CU12" s="1304">
        <v>3041.5355331430001</v>
      </c>
      <c r="CV12" s="1037">
        <v>7128.6384359800004</v>
      </c>
      <c r="CW12" s="1304">
        <v>3114.5406665330001</v>
      </c>
      <c r="CX12" s="1304">
        <v>7383.0259066199997</v>
      </c>
      <c r="CY12" s="1304">
        <v>3153.9132922499998</v>
      </c>
      <c r="CZ12" s="1037">
        <v>6877.3607085240001</v>
      </c>
      <c r="DA12" s="1304">
        <v>2345.882195399</v>
      </c>
      <c r="DB12" s="1037">
        <v>7119.8331997879995</v>
      </c>
      <c r="DC12" s="1304">
        <v>2658.2280189130001</v>
      </c>
      <c r="DD12" s="1037">
        <v>7697.1399460149996</v>
      </c>
      <c r="DE12" s="1037">
        <v>3408.5020025929998</v>
      </c>
      <c r="DF12" s="1037">
        <v>7514.6723768290003</v>
      </c>
      <c r="DG12" s="1037">
        <v>3183.045238834</v>
      </c>
      <c r="DH12" s="1037">
        <v>7960.0263264470004</v>
      </c>
      <c r="DI12" s="1037">
        <v>3486.7464798204801</v>
      </c>
      <c r="DJ12" s="1037">
        <v>7653.8403053680004</v>
      </c>
      <c r="DK12" s="1037">
        <v>3271.525485528</v>
      </c>
      <c r="DL12" s="1037">
        <v>7610.0469045150003</v>
      </c>
      <c r="DM12" s="1037">
        <v>3757.8796315650002</v>
      </c>
      <c r="DN12" s="1037">
        <v>7352.1652878200002</v>
      </c>
      <c r="DO12" s="1037">
        <v>4463.9541293900002</v>
      </c>
      <c r="DP12" s="1037">
        <v>6857.3094253380004</v>
      </c>
      <c r="DQ12" s="1037">
        <v>3013.4537935100002</v>
      </c>
      <c r="DR12" s="1037">
        <v>9363.6337122280001</v>
      </c>
      <c r="DS12" s="1037">
        <v>3888.6380038759999</v>
      </c>
      <c r="DT12" s="1037">
        <v>9578.3243521269997</v>
      </c>
      <c r="DU12" s="1037">
        <v>4301.4727653549999</v>
      </c>
      <c r="DV12" s="1037">
        <v>9374.1222020296991</v>
      </c>
      <c r="DW12" s="1037">
        <v>4295.654401709</v>
      </c>
      <c r="DX12" s="1037">
        <v>9430.0715513587002</v>
      </c>
      <c r="DY12" s="1037">
        <v>4377.5130788590004</v>
      </c>
      <c r="DZ12" s="1037">
        <v>9542.5587672460006</v>
      </c>
      <c r="EA12" s="1037">
        <v>4601.9835905569998</v>
      </c>
      <c r="EB12" s="1037">
        <v>9789.4134972259999</v>
      </c>
      <c r="EC12" s="1037">
        <v>4830.1986800559998</v>
      </c>
      <c r="ED12" s="1037">
        <v>9947.8678246050004</v>
      </c>
      <c r="EE12" s="1037">
        <v>4837.4850776550002</v>
      </c>
      <c r="EF12" s="1037">
        <v>9190.2153891189992</v>
      </c>
      <c r="EG12" s="1037">
        <v>4059.313858989</v>
      </c>
      <c r="EH12" s="1037">
        <v>9605.7360517470006</v>
      </c>
      <c r="EI12" s="1037">
        <v>4553.3959545670004</v>
      </c>
      <c r="EJ12" s="1037">
        <v>9352.3287632770007</v>
      </c>
      <c r="EK12" s="1037">
        <v>4463.6724124470002</v>
      </c>
      <c r="EL12" s="1037">
        <v>9014.1989417160003</v>
      </c>
      <c r="EM12" s="1037">
        <v>4172.5543765559996</v>
      </c>
      <c r="EN12" s="1037">
        <v>8806.7112434800001</v>
      </c>
      <c r="EO12" s="1037">
        <v>4120.1836748171299</v>
      </c>
      <c r="EP12" s="1037">
        <v>9604.4683073100005</v>
      </c>
      <c r="EQ12" s="1037">
        <v>4650.8849324560497</v>
      </c>
      <c r="ER12" s="1037">
        <v>8881.5271431330002</v>
      </c>
      <c r="ES12" s="1037">
        <v>4362.1703938417304</v>
      </c>
      <c r="ET12" s="1037">
        <v>9169.3371147529997</v>
      </c>
      <c r="EU12" s="1037">
        <v>4780.5370435730001</v>
      </c>
      <c r="EV12" s="1037">
        <v>7919.7529132780001</v>
      </c>
      <c r="EW12" s="1037">
        <v>3646.1532318579998</v>
      </c>
      <c r="EX12" s="1037">
        <v>7429.5541497089998</v>
      </c>
      <c r="EY12" s="1037">
        <v>3290.1092782779501</v>
      </c>
      <c r="EZ12" s="1037">
        <v>7643.9771602500005</v>
      </c>
      <c r="FA12" s="1037">
        <v>3467.4641944800001</v>
      </c>
      <c r="FB12" s="1037">
        <v>7720.5316049980001</v>
      </c>
      <c r="FC12" s="1037">
        <v>3545.6989969880001</v>
      </c>
      <c r="FD12" s="1035" t="s">
        <v>3559</v>
      </c>
    </row>
    <row r="13" spans="1:160" ht="41.25" customHeight="1">
      <c r="A13" s="1035" t="s">
        <v>2254</v>
      </c>
      <c r="B13" s="1037">
        <v>304.82624741000001</v>
      </c>
      <c r="C13" s="1037">
        <v>133.36205180000002</v>
      </c>
      <c r="D13" s="1037">
        <v>315.39288590400002</v>
      </c>
      <c r="E13" s="1037">
        <v>141.57897972399999</v>
      </c>
      <c r="F13" s="1037">
        <v>332.54405205900002</v>
      </c>
      <c r="G13" s="1037">
        <v>147.041784509</v>
      </c>
      <c r="H13" s="1037">
        <v>358.15847389300001</v>
      </c>
      <c r="I13" s="1037">
        <v>145.796980953</v>
      </c>
      <c r="J13" s="1037">
        <v>340.19160758700002</v>
      </c>
      <c r="K13" s="1037">
        <v>139.941709777</v>
      </c>
      <c r="L13" s="1037">
        <v>289.44401098999998</v>
      </c>
      <c r="M13" s="1037">
        <v>125.96959622</v>
      </c>
      <c r="N13" s="1037">
        <v>269.37254539899999</v>
      </c>
      <c r="O13" s="1037">
        <v>109.45099836899999</v>
      </c>
      <c r="P13" s="1037">
        <v>272.86217131800004</v>
      </c>
      <c r="Q13" s="1037">
        <v>108.04582351799999</v>
      </c>
      <c r="R13" s="1037">
        <v>265.88835444899996</v>
      </c>
      <c r="S13" s="1037">
        <v>106.58884489900001</v>
      </c>
      <c r="T13" s="1037">
        <v>264.99220915900003</v>
      </c>
      <c r="U13" s="1037">
        <v>103.57346671900001</v>
      </c>
      <c r="V13" s="1037">
        <v>243.919341339</v>
      </c>
      <c r="W13" s="1037">
        <v>96.450848229000002</v>
      </c>
      <c r="X13" s="1037">
        <v>242.33152621899998</v>
      </c>
      <c r="Y13" s="1037">
        <v>83.945950518999993</v>
      </c>
      <c r="Z13" s="1037">
        <v>259.69731968330001</v>
      </c>
      <c r="AA13" s="1037">
        <v>86.537330859000008</v>
      </c>
      <c r="AB13" s="1037">
        <v>251.44434331899998</v>
      </c>
      <c r="AC13" s="1037">
        <v>85.883140628999996</v>
      </c>
      <c r="AD13" s="1037">
        <v>216.08575369900001</v>
      </c>
      <c r="AE13" s="1037">
        <v>49.145216429000001</v>
      </c>
      <c r="AF13" s="1037">
        <v>213.271578089</v>
      </c>
      <c r="AG13" s="1037">
        <v>45.375157289000001</v>
      </c>
      <c r="AH13" s="1037">
        <v>216.90192650900002</v>
      </c>
      <c r="AI13" s="1037">
        <v>44.578865469</v>
      </c>
      <c r="AJ13" s="1037">
        <v>216.52116044900001</v>
      </c>
      <c r="AK13" s="1037">
        <v>46.754112108999998</v>
      </c>
      <c r="AL13" s="1037">
        <v>221.12811425899997</v>
      </c>
      <c r="AM13" s="1037">
        <v>46.451464608999999</v>
      </c>
      <c r="AN13" s="1037">
        <v>227.74018557900001</v>
      </c>
      <c r="AO13" s="1037">
        <v>47.556060449</v>
      </c>
      <c r="AP13" s="1037">
        <v>256.078503549</v>
      </c>
      <c r="AQ13" s="1037">
        <v>50.727748519000002</v>
      </c>
      <c r="AR13" s="1037">
        <v>279.77919726900001</v>
      </c>
      <c r="AS13" s="1037">
        <v>56.439356899000003</v>
      </c>
      <c r="AT13" s="1037">
        <v>290.109702239</v>
      </c>
      <c r="AU13" s="1037">
        <v>56.006596731000002</v>
      </c>
      <c r="AV13" s="1037">
        <v>288.898726329</v>
      </c>
      <c r="AW13" s="1037">
        <v>62.261001899000007</v>
      </c>
      <c r="AX13" s="1037">
        <v>323.493680649</v>
      </c>
      <c r="AY13" s="1037">
        <v>66.462824658999907</v>
      </c>
      <c r="AZ13" s="1037">
        <v>325.69115675900002</v>
      </c>
      <c r="BA13" s="1037">
        <v>65.811652429000006</v>
      </c>
      <c r="BB13" s="1037">
        <v>340.824744549</v>
      </c>
      <c r="BC13" s="1037">
        <v>70.400038168999998</v>
      </c>
      <c r="BD13" s="1037">
        <v>350.17826880999996</v>
      </c>
      <c r="BE13" s="1037">
        <v>78.033101490000007</v>
      </c>
      <c r="BF13" s="1037">
        <v>350.80770802999996</v>
      </c>
      <c r="BG13" s="1037">
        <v>78.989542999999998</v>
      </c>
      <c r="BH13" s="1037">
        <v>355.52126543999998</v>
      </c>
      <c r="BI13" s="1037">
        <v>80.873252400000013</v>
      </c>
      <c r="BJ13" s="1037">
        <v>346.42021833000001</v>
      </c>
      <c r="BK13" s="1037">
        <v>75.254714030000002</v>
      </c>
      <c r="BL13" s="1037">
        <v>346.72243993000001</v>
      </c>
      <c r="BM13" s="1037">
        <v>72.462608899999992</v>
      </c>
      <c r="BN13" s="1037">
        <v>342.54701390000002</v>
      </c>
      <c r="BO13" s="1037">
        <v>73.098770720000005</v>
      </c>
      <c r="BP13" s="1037">
        <v>365.32851277999998</v>
      </c>
      <c r="BQ13" s="1037">
        <v>74.057057399999991</v>
      </c>
      <c r="BR13" s="1037">
        <v>373.67803863</v>
      </c>
      <c r="BS13" s="1037">
        <v>77.652717569999993</v>
      </c>
      <c r="BT13" s="1037">
        <v>402.81914418999997</v>
      </c>
      <c r="BU13" s="1037">
        <v>98.253323899999998</v>
      </c>
      <c r="BV13" s="1037">
        <v>382.90305689000002</v>
      </c>
      <c r="BW13" s="1037">
        <v>84.579327243281995</v>
      </c>
      <c r="BX13" s="1037">
        <v>387.72079058000003</v>
      </c>
      <c r="BY13" s="1037">
        <v>79.515633132282005</v>
      </c>
      <c r="BZ13" s="1037">
        <v>390.32155021</v>
      </c>
      <c r="CA13" s="1037">
        <v>87.491934134060003</v>
      </c>
      <c r="CB13" s="1037">
        <v>396.95742548999999</v>
      </c>
      <c r="CC13" s="1304">
        <v>91.155313384059994</v>
      </c>
      <c r="CD13" s="1304">
        <v>442.4956717</v>
      </c>
      <c r="CE13" s="1304">
        <v>108.27310548811199</v>
      </c>
      <c r="CF13" s="1037">
        <v>421.48153926800001</v>
      </c>
      <c r="CG13" s="1304">
        <v>91.795030230913994</v>
      </c>
      <c r="CH13" s="1304">
        <v>415.320691748</v>
      </c>
      <c r="CI13" s="1304">
        <v>95.699934742105995</v>
      </c>
      <c r="CJ13" s="1304">
        <v>410.68058734800002</v>
      </c>
      <c r="CK13" s="1304">
        <v>86.3617786911</v>
      </c>
      <c r="CL13" s="1037">
        <v>418.06672852000003</v>
      </c>
      <c r="CM13" s="1304">
        <v>88.033330530000001</v>
      </c>
      <c r="CN13" s="1304">
        <v>392.39908788000002</v>
      </c>
      <c r="CO13" s="1304">
        <v>80.617958659999999</v>
      </c>
      <c r="CP13" s="1304">
        <v>387.45367549999997</v>
      </c>
      <c r="CQ13" s="1304">
        <v>81.655155480000005</v>
      </c>
      <c r="CR13" s="1304">
        <v>405.08882762799999</v>
      </c>
      <c r="CS13" s="1304">
        <v>97.407828739999999</v>
      </c>
      <c r="CT13" s="1037">
        <v>420.15787518000002</v>
      </c>
      <c r="CU13" s="1304">
        <v>111.90494246999999</v>
      </c>
      <c r="CV13" s="1037">
        <v>421.72359784000002</v>
      </c>
      <c r="CW13" s="1304">
        <v>122.57152028</v>
      </c>
      <c r="CX13" s="1304">
        <v>420.35546147000002</v>
      </c>
      <c r="CY13" s="1304">
        <v>123.78470485</v>
      </c>
      <c r="CZ13" s="1037">
        <v>401.96262798999999</v>
      </c>
      <c r="DA13" s="1304">
        <v>125.19844326</v>
      </c>
      <c r="DB13" s="1037">
        <v>436.65177</v>
      </c>
      <c r="DC13" s="1304">
        <v>148.51094999</v>
      </c>
      <c r="DD13" s="1037">
        <v>440.38430269999998</v>
      </c>
      <c r="DE13" s="1037">
        <v>150.54193731999999</v>
      </c>
      <c r="DF13" s="1037">
        <v>465.61568733000001</v>
      </c>
      <c r="DG13" s="1037">
        <v>171.82179346999999</v>
      </c>
      <c r="DH13" s="1037">
        <v>467.69249332999999</v>
      </c>
      <c r="DI13" s="1037">
        <v>173.02327814</v>
      </c>
      <c r="DJ13" s="1037">
        <v>486.75899357999998</v>
      </c>
      <c r="DK13" s="1037">
        <v>189.44250646200001</v>
      </c>
      <c r="DL13" s="1037">
        <v>513.23729232000005</v>
      </c>
      <c r="DM13" s="1037">
        <v>189.49671706000001</v>
      </c>
      <c r="DN13" s="1037">
        <v>509.46485898999998</v>
      </c>
      <c r="DO13" s="1037">
        <v>183.05123659</v>
      </c>
      <c r="DP13" s="1037">
        <v>482.14144529999999</v>
      </c>
      <c r="DQ13" s="1037">
        <v>158.07132783</v>
      </c>
      <c r="DR13" s="1037">
        <v>429.51861645999998</v>
      </c>
      <c r="DS13" s="1037">
        <v>152.12574523000001</v>
      </c>
      <c r="DT13" s="1037">
        <v>449.51098488000002</v>
      </c>
      <c r="DU13" s="1037">
        <v>132.94269337</v>
      </c>
      <c r="DV13" s="1037">
        <v>456.43741318000002</v>
      </c>
      <c r="DW13" s="1037">
        <v>138.63389558</v>
      </c>
      <c r="DX13" s="1037">
        <v>460.50518450999999</v>
      </c>
      <c r="DY13" s="1037">
        <v>143.56889215000001</v>
      </c>
      <c r="DZ13" s="1037">
        <v>436.68195050000003</v>
      </c>
      <c r="EA13" s="1037">
        <v>142.69520917</v>
      </c>
      <c r="EB13" s="1037">
        <v>483.66051113999998</v>
      </c>
      <c r="EC13" s="1037">
        <v>186.77498328999999</v>
      </c>
      <c r="ED13" s="1037">
        <v>473.92987862000001</v>
      </c>
      <c r="EE13" s="1037">
        <v>173.59741274000001</v>
      </c>
      <c r="EF13" s="1037">
        <v>483.66591125000002</v>
      </c>
      <c r="EG13" s="1037">
        <v>173.08671873</v>
      </c>
      <c r="EH13" s="1037">
        <v>488.80507244099999</v>
      </c>
      <c r="EI13" s="1037">
        <v>158.41365779099999</v>
      </c>
      <c r="EJ13" s="1037">
        <v>491.48216437999997</v>
      </c>
      <c r="EK13" s="1037">
        <v>152.32757477999999</v>
      </c>
      <c r="EL13" s="1037">
        <v>494.01132596999997</v>
      </c>
      <c r="EM13" s="1037">
        <v>144.38875766999999</v>
      </c>
      <c r="EN13" s="1037">
        <v>509.33127538000002</v>
      </c>
      <c r="EO13" s="1037">
        <v>146.68835092</v>
      </c>
      <c r="EP13" s="1037">
        <v>525.78250017000005</v>
      </c>
      <c r="EQ13" s="1037">
        <v>145.17442219</v>
      </c>
      <c r="ER13" s="1037">
        <v>538.23073453400002</v>
      </c>
      <c r="ES13" s="1037">
        <v>145.784864844</v>
      </c>
      <c r="ET13" s="1037">
        <v>530.78326791400002</v>
      </c>
      <c r="EU13" s="1037">
        <v>141.86311532400001</v>
      </c>
      <c r="EV13" s="1037">
        <v>538.78844561400001</v>
      </c>
      <c r="EW13" s="1037">
        <v>139.19512731399999</v>
      </c>
      <c r="EX13" s="1037">
        <v>571.93546919400001</v>
      </c>
      <c r="EY13" s="1037">
        <v>154.666531964</v>
      </c>
      <c r="EZ13" s="1037">
        <v>609.72626395099996</v>
      </c>
      <c r="FA13" s="1037">
        <v>161.008486651</v>
      </c>
      <c r="FB13" s="1037">
        <v>619.30321873054595</v>
      </c>
      <c r="FC13" s="1037">
        <v>155.71775061</v>
      </c>
      <c r="FD13" s="1035" t="s">
        <v>3560</v>
      </c>
    </row>
    <row r="14" spans="1:160" ht="21" customHeight="1">
      <c r="A14" s="1226" t="s">
        <v>2253</v>
      </c>
      <c r="B14" s="1037">
        <v>287.65466417524999</v>
      </c>
      <c r="C14" s="1037">
        <v>125.10778404525</v>
      </c>
      <c r="D14" s="1037">
        <v>298.33283016925003</v>
      </c>
      <c r="E14" s="1037">
        <v>133.38623946925</v>
      </c>
      <c r="F14" s="1037">
        <v>315.39708632424998</v>
      </c>
      <c r="G14" s="1037">
        <v>138.86038425424999</v>
      </c>
      <c r="H14" s="1037">
        <v>341.02416330825002</v>
      </c>
      <c r="I14" s="1037">
        <v>137.62823584825</v>
      </c>
      <c r="J14" s="1037">
        <v>324.42533758474997</v>
      </c>
      <c r="K14" s="1037">
        <v>135.70773467225001</v>
      </c>
      <c r="L14" s="1037">
        <v>274.10181672524999</v>
      </c>
      <c r="M14" s="1037">
        <v>121.73561861524999</v>
      </c>
      <c r="N14" s="1037">
        <v>254.18423313425001</v>
      </c>
      <c r="O14" s="1037">
        <v>105.21702076425001</v>
      </c>
      <c r="P14" s="1037">
        <v>257.51997205325</v>
      </c>
      <c r="Q14" s="1037">
        <v>103.81184591325001</v>
      </c>
      <c r="R14" s="1037">
        <v>249.23225447425</v>
      </c>
      <c r="S14" s="1037">
        <v>101.57341479425</v>
      </c>
      <c r="T14" s="1037">
        <v>248.40361989424997</v>
      </c>
      <c r="U14" s="1037">
        <v>98.593094114250007</v>
      </c>
      <c r="V14" s="1037">
        <v>229.46530599425</v>
      </c>
      <c r="W14" s="1037">
        <v>93.605034544250003</v>
      </c>
      <c r="X14" s="1037">
        <v>228.30538587425002</v>
      </c>
      <c r="Y14" s="1037">
        <v>81.528026834249999</v>
      </c>
      <c r="Z14" s="1037">
        <v>244.67803233855</v>
      </c>
      <c r="AA14" s="1037">
        <v>82.626267174249989</v>
      </c>
      <c r="AB14" s="1037">
        <v>236.42506047424999</v>
      </c>
      <c r="AC14" s="1037">
        <v>81.972076944250006</v>
      </c>
      <c r="AD14" s="1037">
        <v>201.06647234425</v>
      </c>
      <c r="AE14" s="1037">
        <v>45.234152744249997</v>
      </c>
      <c r="AF14" s="1037">
        <v>198.25229274424998</v>
      </c>
      <c r="AG14" s="1037">
        <v>41.464093604249996</v>
      </c>
      <c r="AH14" s="1037">
        <v>201.25872445599998</v>
      </c>
      <c r="AI14" s="1037">
        <v>40.043885076000002</v>
      </c>
      <c r="AJ14" s="1037">
        <v>200.5714614195</v>
      </c>
      <c r="AK14" s="1037">
        <v>41.9126347395</v>
      </c>
      <c r="AL14" s="1037">
        <v>204.3377784555</v>
      </c>
      <c r="AM14" s="1037">
        <v>40.769355465499999</v>
      </c>
      <c r="AN14" s="1037">
        <v>210.17820241000001</v>
      </c>
      <c r="AO14" s="1037">
        <v>41.19652894</v>
      </c>
      <c r="AP14" s="1037">
        <v>237.91075288000002</v>
      </c>
      <c r="AQ14" s="1037">
        <v>43.668214509999999</v>
      </c>
      <c r="AR14" s="1037">
        <v>260.91144659999998</v>
      </c>
      <c r="AS14" s="1037">
        <v>48.679822889999997</v>
      </c>
      <c r="AT14" s="1037">
        <v>271.24195156999997</v>
      </c>
      <c r="AU14" s="1037">
        <v>48.247062721999995</v>
      </c>
      <c r="AV14" s="1037">
        <v>268.63097815999998</v>
      </c>
      <c r="AW14" s="1037">
        <v>53.101470390000003</v>
      </c>
      <c r="AX14" s="1037">
        <v>302.71380925</v>
      </c>
      <c r="AY14" s="1037">
        <v>56.791169919999902</v>
      </c>
      <c r="AZ14" s="1037">
        <v>304.93880502000002</v>
      </c>
      <c r="BA14" s="1037">
        <v>56.139997690000001</v>
      </c>
      <c r="BB14" s="1037">
        <v>320.07239281</v>
      </c>
      <c r="BC14" s="1037">
        <v>60.728383430000001</v>
      </c>
      <c r="BD14" s="1037">
        <v>333.14757180999999</v>
      </c>
      <c r="BE14" s="1037">
        <v>72.08310148999999</v>
      </c>
      <c r="BF14" s="1037">
        <v>333.77701103000004</v>
      </c>
      <c r="BG14" s="1037">
        <v>73.039543000000009</v>
      </c>
      <c r="BH14" s="1037">
        <v>338.49056844</v>
      </c>
      <c r="BI14" s="1037">
        <v>74.923252399999996</v>
      </c>
      <c r="BJ14" s="1037">
        <v>334.44592633000002</v>
      </c>
      <c r="BK14" s="1037">
        <v>75.254714030000002</v>
      </c>
      <c r="BL14" s="1037">
        <v>334.74814792999996</v>
      </c>
      <c r="BM14" s="1037">
        <v>72.462608899999992</v>
      </c>
      <c r="BN14" s="1037">
        <v>330.57272189999998</v>
      </c>
      <c r="BO14" s="1037">
        <v>73.098770720000005</v>
      </c>
      <c r="BP14" s="1037">
        <v>353.35422077999999</v>
      </c>
      <c r="BQ14" s="1037">
        <v>74.057057399999991</v>
      </c>
      <c r="BR14" s="1037">
        <v>361.43714163000004</v>
      </c>
      <c r="BS14" s="1037">
        <v>77.652717569999993</v>
      </c>
      <c r="BT14" s="1037">
        <v>390.31164719000003</v>
      </c>
      <c r="BU14" s="1037">
        <v>98.253323899999998</v>
      </c>
      <c r="BV14" s="1037">
        <v>370.92876489000002</v>
      </c>
      <c r="BW14" s="1037">
        <v>84.579327243281995</v>
      </c>
      <c r="BX14" s="1037">
        <v>374.92639258000003</v>
      </c>
      <c r="BY14" s="1037">
        <v>79.515633132282005</v>
      </c>
      <c r="BZ14" s="1037">
        <v>377.55756321000001</v>
      </c>
      <c r="CA14" s="1037">
        <v>87.491934134060003</v>
      </c>
      <c r="CB14" s="1037">
        <v>386.02302849</v>
      </c>
      <c r="CC14" s="1304">
        <v>91.155313384059994</v>
      </c>
      <c r="CD14" s="1304">
        <v>431.59210969999998</v>
      </c>
      <c r="CE14" s="1304">
        <v>108.27310548811199</v>
      </c>
      <c r="CF14" s="1037">
        <v>410.60895926799998</v>
      </c>
      <c r="CG14" s="1304">
        <v>91.795030230913994</v>
      </c>
      <c r="CH14" s="1304">
        <v>404.57340974800002</v>
      </c>
      <c r="CI14" s="1304">
        <v>95.699934742105995</v>
      </c>
      <c r="CJ14" s="1304">
        <v>400.31035484799997</v>
      </c>
      <c r="CK14" s="1304">
        <v>86.3617786911</v>
      </c>
      <c r="CL14" s="1037">
        <v>407.72544275319001</v>
      </c>
      <c r="CM14" s="1304">
        <v>88.033330530000001</v>
      </c>
      <c r="CN14" s="1304">
        <v>381.98555497000001</v>
      </c>
      <c r="CO14" s="1304">
        <v>80.576725749999994</v>
      </c>
      <c r="CP14" s="1304">
        <v>377.09021960500002</v>
      </c>
      <c r="CQ14" s="1304">
        <v>81.623291585000004</v>
      </c>
      <c r="CR14" s="1304">
        <v>394.36704298799998</v>
      </c>
      <c r="CS14" s="1304">
        <v>97.407828739999999</v>
      </c>
      <c r="CT14" s="1037">
        <v>409.61784554000002</v>
      </c>
      <c r="CU14" s="1304">
        <v>111.90494246999999</v>
      </c>
      <c r="CV14" s="1037">
        <v>411.21787619999998</v>
      </c>
      <c r="CW14" s="1304">
        <v>122.57152028</v>
      </c>
      <c r="CX14" s="1304">
        <v>405.56169283000003</v>
      </c>
      <c r="CY14" s="1304">
        <v>123.78470485</v>
      </c>
      <c r="CZ14" s="1037">
        <v>387.19935735000001</v>
      </c>
      <c r="DA14" s="1304">
        <v>125.19844326</v>
      </c>
      <c r="DB14" s="1037">
        <v>421.92432836</v>
      </c>
      <c r="DC14" s="1304">
        <v>148.51094999</v>
      </c>
      <c r="DD14" s="1037">
        <v>425.60680805999999</v>
      </c>
      <c r="DE14" s="1037">
        <v>150.54193731999999</v>
      </c>
      <c r="DF14" s="1037">
        <v>450.47839132000001</v>
      </c>
      <c r="DG14" s="1037">
        <v>171.19835409999999</v>
      </c>
      <c r="DH14" s="1037">
        <v>452.37152232</v>
      </c>
      <c r="DI14" s="1037">
        <v>172.39983877</v>
      </c>
      <c r="DJ14" s="1037">
        <v>471.48018857</v>
      </c>
      <c r="DK14" s="1037">
        <v>188.81906709200001</v>
      </c>
      <c r="DL14" s="1037">
        <v>497.73846030999999</v>
      </c>
      <c r="DM14" s="1037">
        <v>188.87327769000001</v>
      </c>
      <c r="DN14" s="1037">
        <v>494.02615598</v>
      </c>
      <c r="DO14" s="1037">
        <v>182.42779722</v>
      </c>
      <c r="DP14" s="1037">
        <v>466.71486128999999</v>
      </c>
      <c r="DQ14" s="1037">
        <v>157.44788846</v>
      </c>
      <c r="DR14" s="1037">
        <v>428.99066546</v>
      </c>
      <c r="DS14" s="1037">
        <v>152.12574523000001</v>
      </c>
      <c r="DT14" s="1037">
        <v>449.06256488000002</v>
      </c>
      <c r="DU14" s="1037">
        <v>132.94269337</v>
      </c>
      <c r="DV14" s="1037">
        <v>455.99833518000003</v>
      </c>
      <c r="DW14" s="1037">
        <v>138.63389558</v>
      </c>
      <c r="DX14" s="1037">
        <v>460.07753351000002</v>
      </c>
      <c r="DY14" s="1037">
        <v>143.56889215000001</v>
      </c>
      <c r="DZ14" s="1037">
        <v>435.82190750000001</v>
      </c>
      <c r="EA14" s="1037">
        <v>142.69520917</v>
      </c>
      <c r="EB14" s="1037">
        <v>482.85873914000001</v>
      </c>
      <c r="EC14" s="1037">
        <v>186.77498328999999</v>
      </c>
      <c r="ED14" s="1037">
        <v>473.19797862000001</v>
      </c>
      <c r="EE14" s="1037">
        <v>173.59741274000001</v>
      </c>
      <c r="EF14" s="1037">
        <v>482.99897125000001</v>
      </c>
      <c r="EG14" s="1037">
        <v>173.08671873</v>
      </c>
      <c r="EH14" s="1037">
        <v>488.19421244099999</v>
      </c>
      <c r="EI14" s="1037">
        <v>158.41365779099999</v>
      </c>
      <c r="EJ14" s="1037">
        <v>490.92791688</v>
      </c>
      <c r="EK14" s="1037">
        <v>152.32757477999999</v>
      </c>
      <c r="EL14" s="1037">
        <v>493.51360597000001</v>
      </c>
      <c r="EM14" s="1037">
        <v>144.38875766999999</v>
      </c>
      <c r="EN14" s="1037">
        <v>508.87561538</v>
      </c>
      <c r="EO14" s="1037">
        <v>146.68835092</v>
      </c>
      <c r="EP14" s="1037">
        <v>525.49940016999994</v>
      </c>
      <c r="EQ14" s="1037">
        <v>145.17442219</v>
      </c>
      <c r="ER14" s="1037">
        <v>537.94763453400003</v>
      </c>
      <c r="ES14" s="1037">
        <v>145.784864844</v>
      </c>
      <c r="ET14" s="1037">
        <v>530.50016791400003</v>
      </c>
      <c r="EU14" s="1037">
        <v>141.86311532400001</v>
      </c>
      <c r="EV14" s="1037">
        <v>538.50049561399999</v>
      </c>
      <c r="EW14" s="1037">
        <v>139.19512731399999</v>
      </c>
      <c r="EX14" s="1037">
        <v>569.468029194</v>
      </c>
      <c r="EY14" s="1037">
        <v>154.666531964</v>
      </c>
      <c r="EZ14" s="1037">
        <v>605.97450095099998</v>
      </c>
      <c r="FA14" s="1037">
        <v>161.008486651</v>
      </c>
      <c r="FB14" s="1037">
        <v>615.63635573054603</v>
      </c>
      <c r="FC14" s="1037">
        <v>155.71775061</v>
      </c>
      <c r="FD14" s="1035" t="s">
        <v>3561</v>
      </c>
    </row>
    <row r="15" spans="1:160" ht="21" customHeight="1">
      <c r="A15" s="1035" t="s">
        <v>2252</v>
      </c>
      <c r="B15" s="1037">
        <v>14900.9352388034</v>
      </c>
      <c r="C15" s="1037">
        <v>5255.0493990095702</v>
      </c>
      <c r="D15" s="1037">
        <v>15116.37144325</v>
      </c>
      <c r="E15" s="1037">
        <v>5463.90050651404</v>
      </c>
      <c r="F15" s="1037">
        <v>15299.108394364601</v>
      </c>
      <c r="G15" s="1037">
        <v>5456.7006125895996</v>
      </c>
      <c r="H15" s="1037">
        <v>15232.732370605599</v>
      </c>
      <c r="I15" s="1037">
        <v>5151.7250265306202</v>
      </c>
      <c r="J15" s="1037">
        <v>14742.1609655675</v>
      </c>
      <c r="K15" s="1037">
        <v>4919.7774075725201</v>
      </c>
      <c r="L15" s="1037">
        <v>14361.020016311701</v>
      </c>
      <c r="M15" s="1037">
        <v>4789.2151611806603</v>
      </c>
      <c r="N15" s="1037">
        <v>14169.7916186724</v>
      </c>
      <c r="O15" s="1037">
        <v>4602.79582988122</v>
      </c>
      <c r="P15" s="1037">
        <v>14204.4497066817</v>
      </c>
      <c r="Q15" s="1037">
        <v>4622.0779867639203</v>
      </c>
      <c r="R15" s="1037">
        <v>14304.2281735577</v>
      </c>
      <c r="S15" s="1037">
        <v>4590.84287693024</v>
      </c>
      <c r="T15" s="1037">
        <v>14497.027014687999</v>
      </c>
      <c r="U15" s="1037">
        <v>4613.75238415899</v>
      </c>
      <c r="V15" s="1037">
        <v>14409.3148820396</v>
      </c>
      <c r="W15" s="1037">
        <v>4483.4114157965596</v>
      </c>
      <c r="X15" s="1037">
        <v>14304.6445922701</v>
      </c>
      <c r="Y15" s="1037">
        <v>4360.2208185650497</v>
      </c>
      <c r="Z15" s="1037">
        <v>14156.979535426801</v>
      </c>
      <c r="AA15" s="1037">
        <v>4277.45925788153</v>
      </c>
      <c r="AB15" s="1037">
        <v>14213.695562521099</v>
      </c>
      <c r="AC15" s="1037">
        <v>4238.7366870808901</v>
      </c>
      <c r="AD15" s="1037">
        <v>14246.0991235827</v>
      </c>
      <c r="AE15" s="1037">
        <v>4163.0408165457202</v>
      </c>
      <c r="AF15" s="1037">
        <v>14352.3548978935</v>
      </c>
      <c r="AG15" s="1037">
        <v>4105.4263350335004</v>
      </c>
      <c r="AH15" s="1037">
        <v>14611.8145951636</v>
      </c>
      <c r="AI15" s="1037">
        <v>4103.57628516162</v>
      </c>
      <c r="AJ15" s="1037">
        <v>14691.399157010501</v>
      </c>
      <c r="AK15" s="1037">
        <v>4092.4866728019701</v>
      </c>
      <c r="AL15" s="1037">
        <v>14856.889780031601</v>
      </c>
      <c r="AM15" s="1037">
        <v>4057.01400755854</v>
      </c>
      <c r="AN15" s="1037">
        <v>14966.4982082432</v>
      </c>
      <c r="AO15" s="1037">
        <v>4063.5204313531999</v>
      </c>
      <c r="AP15" s="1037">
        <v>15206.8490947091</v>
      </c>
      <c r="AQ15" s="1037">
        <v>4128.6368770058498</v>
      </c>
      <c r="AR15" s="1037">
        <v>15538.669058032599</v>
      </c>
      <c r="AS15" s="1037">
        <v>4194.2397540725697</v>
      </c>
      <c r="AT15" s="1037">
        <v>15997.290905959901</v>
      </c>
      <c r="AU15" s="1037">
        <v>4446.0568909999001</v>
      </c>
      <c r="AV15" s="1037">
        <v>16281.9655474426</v>
      </c>
      <c r="AW15" s="1037">
        <v>4374.1023055524101</v>
      </c>
      <c r="AX15" s="1037">
        <v>16659.1139423282</v>
      </c>
      <c r="AY15" s="1037">
        <v>4363.2291728801802</v>
      </c>
      <c r="AZ15" s="1037">
        <v>16781.439074845301</v>
      </c>
      <c r="BA15" s="1037">
        <v>4364.1928036587697</v>
      </c>
      <c r="BB15" s="1037">
        <v>17126.533211405698</v>
      </c>
      <c r="BC15" s="1037">
        <v>4374.5311283063502</v>
      </c>
      <c r="BD15" s="1037">
        <v>17528.185609502601</v>
      </c>
      <c r="BE15" s="1037">
        <v>4446.4410717138999</v>
      </c>
      <c r="BF15" s="1037">
        <v>17840.380523788201</v>
      </c>
      <c r="BG15" s="1037">
        <v>4384.8223481534196</v>
      </c>
      <c r="BH15" s="1037">
        <v>18098.283291124499</v>
      </c>
      <c r="BI15" s="1037">
        <v>4408.4187724256099</v>
      </c>
      <c r="BJ15" s="1037">
        <v>18320.0215140129</v>
      </c>
      <c r="BK15" s="1037">
        <v>4271.7779155776598</v>
      </c>
      <c r="BL15" s="1037">
        <v>18487.445165762001</v>
      </c>
      <c r="BM15" s="1037">
        <v>4278.4106697905299</v>
      </c>
      <c r="BN15" s="1037">
        <v>18638.6347982097</v>
      </c>
      <c r="BO15" s="1037">
        <v>4173.8036330370096</v>
      </c>
      <c r="BP15" s="1037">
        <v>19157.176561456799</v>
      </c>
      <c r="BQ15" s="1037">
        <v>4247.7426480550403</v>
      </c>
      <c r="BR15" s="1037">
        <v>19470.7845801437</v>
      </c>
      <c r="BS15" s="1037">
        <v>4296.0958375217497</v>
      </c>
      <c r="BT15" s="1037">
        <v>19674.178382202601</v>
      </c>
      <c r="BU15" s="1037">
        <v>4163.9043623781699</v>
      </c>
      <c r="BV15" s="1037">
        <v>19594.3555676619</v>
      </c>
      <c r="BW15" s="1037">
        <v>3932.38811171111</v>
      </c>
      <c r="BX15" s="1037">
        <v>19669.591816208002</v>
      </c>
      <c r="BY15" s="1037">
        <v>3954.2349919118101</v>
      </c>
      <c r="BZ15" s="1037">
        <v>19757.429416209201</v>
      </c>
      <c r="CA15" s="1037">
        <v>3919.1413503174899</v>
      </c>
      <c r="CB15" s="1037">
        <v>20038.596163516901</v>
      </c>
      <c r="CC15" s="1304">
        <v>3982.1267265384199</v>
      </c>
      <c r="CD15" s="1304">
        <v>20379.627516663699</v>
      </c>
      <c r="CE15" s="1304">
        <v>3974.92287219011</v>
      </c>
      <c r="CF15" s="1037">
        <v>20659.269192317901</v>
      </c>
      <c r="CG15" s="1304">
        <v>3998.8409779178901</v>
      </c>
      <c r="CH15" s="1304">
        <v>21296.236125417599</v>
      </c>
      <c r="CI15" s="1304">
        <v>4240.4855867319302</v>
      </c>
      <c r="CJ15" s="1304">
        <v>21371.9913058085</v>
      </c>
      <c r="CK15" s="1304">
        <v>4078.6533600825701</v>
      </c>
      <c r="CL15" s="1037">
        <v>21814.187154987401</v>
      </c>
      <c r="CM15" s="1304">
        <v>4140.8167096778798</v>
      </c>
      <c r="CN15" s="1304">
        <v>22281.884370937401</v>
      </c>
      <c r="CO15" s="1304">
        <v>4243.7725367286102</v>
      </c>
      <c r="CP15" s="1304">
        <v>22459.711090514498</v>
      </c>
      <c r="CQ15" s="1304">
        <v>4424.1599339703498</v>
      </c>
      <c r="CR15" s="1304">
        <v>22881.231065023101</v>
      </c>
      <c r="CS15" s="1304">
        <v>4425.4043504279998</v>
      </c>
      <c r="CT15" s="1037">
        <v>23182.953697219102</v>
      </c>
      <c r="CU15" s="1304">
        <v>4366.8311645082103</v>
      </c>
      <c r="CV15" s="1037">
        <v>23566.352779695699</v>
      </c>
      <c r="CW15" s="1304">
        <v>4682.0332947120096</v>
      </c>
      <c r="CX15" s="1304">
        <v>23833.019223279101</v>
      </c>
      <c r="CY15" s="1304">
        <v>4662.6753218635404</v>
      </c>
      <c r="CZ15" s="1037">
        <v>24102.613418345802</v>
      </c>
      <c r="DA15" s="1304">
        <v>4641.3582650816998</v>
      </c>
      <c r="DB15" s="1037">
        <v>24644.4506134642</v>
      </c>
      <c r="DC15" s="1304">
        <v>4614.6320121285298</v>
      </c>
      <c r="DD15" s="1037">
        <v>25158.180641573301</v>
      </c>
      <c r="DE15" s="1037">
        <v>4607.6107927173498</v>
      </c>
      <c r="DF15" s="1037">
        <v>25429.517085801599</v>
      </c>
      <c r="DG15" s="1037">
        <v>4588.3815383803803</v>
      </c>
      <c r="DH15" s="1037">
        <v>25694.709418321701</v>
      </c>
      <c r="DI15" s="1037">
        <v>4533.1390247830204</v>
      </c>
      <c r="DJ15" s="1037">
        <v>26075.610911602202</v>
      </c>
      <c r="DK15" s="1037">
        <v>4538.0759415423399</v>
      </c>
      <c r="DL15" s="1037">
        <v>26705.971771929599</v>
      </c>
      <c r="DM15" s="1037">
        <v>4613.2557068873703</v>
      </c>
      <c r="DN15" s="1037">
        <v>27080.522900335</v>
      </c>
      <c r="DO15" s="1037">
        <v>4587.1974646149802</v>
      </c>
      <c r="DP15" s="1037">
        <v>27368.147624521502</v>
      </c>
      <c r="DQ15" s="1037">
        <v>4573.8121267629604</v>
      </c>
      <c r="DR15" s="1037">
        <v>27477.675039954898</v>
      </c>
      <c r="DS15" s="1037">
        <v>4434.5058798459304</v>
      </c>
      <c r="DT15" s="1037">
        <v>27514.700383449701</v>
      </c>
      <c r="DU15" s="1037">
        <v>4354.18426768679</v>
      </c>
      <c r="DV15" s="1037">
        <v>27592.367553362601</v>
      </c>
      <c r="DW15" s="1037">
        <v>4267.1978415862004</v>
      </c>
      <c r="DX15" s="1037">
        <v>27877.1196313092</v>
      </c>
      <c r="DY15" s="1037">
        <v>4311.3500950707803</v>
      </c>
      <c r="DZ15" s="1037">
        <v>28096.518235267398</v>
      </c>
      <c r="EA15" s="1037">
        <v>4264.2771735973902</v>
      </c>
      <c r="EB15" s="1037">
        <v>28386.504129197201</v>
      </c>
      <c r="EC15" s="1037">
        <v>4203.0375547199701</v>
      </c>
      <c r="ED15" s="1037">
        <v>28472.146123891998</v>
      </c>
      <c r="EE15" s="1037">
        <v>4152.3496993607796</v>
      </c>
      <c r="EF15" s="1037">
        <v>28498.1842470388</v>
      </c>
      <c r="EG15" s="1037">
        <v>4055.2159807494199</v>
      </c>
      <c r="EH15" s="1037">
        <v>28704.910095241499</v>
      </c>
      <c r="EI15" s="1037">
        <v>3989.86991217584</v>
      </c>
      <c r="EJ15" s="1037">
        <v>29276.3049504384</v>
      </c>
      <c r="EK15" s="1037">
        <v>4155.0319529790404</v>
      </c>
      <c r="EL15" s="1037">
        <v>29403.857282561301</v>
      </c>
      <c r="EM15" s="1037">
        <v>4130.9801354388301</v>
      </c>
      <c r="EN15" s="1037">
        <v>29685.529301418101</v>
      </c>
      <c r="EO15" s="1037">
        <v>4194.9301790212003</v>
      </c>
      <c r="EP15" s="1037">
        <v>30063.0489266441</v>
      </c>
      <c r="EQ15" s="1037">
        <v>4260.4368510127797</v>
      </c>
      <c r="ER15" s="1037">
        <v>29980.053041606399</v>
      </c>
      <c r="ES15" s="1037">
        <v>4241.0690793651802</v>
      </c>
      <c r="ET15" s="1037">
        <v>30118.856462940199</v>
      </c>
      <c r="EU15" s="1037">
        <v>4239.7620303139201</v>
      </c>
      <c r="EV15" s="1037">
        <v>30290.348657762301</v>
      </c>
      <c r="EW15" s="1037">
        <v>4287.3780355218196</v>
      </c>
      <c r="EX15" s="1037">
        <v>30609.2152235668</v>
      </c>
      <c r="EY15" s="1037">
        <v>4264.9394382513901</v>
      </c>
      <c r="EZ15" s="1037">
        <v>30885.825462703</v>
      </c>
      <c r="FA15" s="1037">
        <v>4221.2731913094703</v>
      </c>
      <c r="FB15" s="1037">
        <v>31821.3419132212</v>
      </c>
      <c r="FC15" s="1037">
        <v>4969.1141539590899</v>
      </c>
      <c r="FD15" s="1035" t="s">
        <v>3562</v>
      </c>
    </row>
    <row r="16" spans="1:160" ht="33.75" customHeight="1">
      <c r="A16" s="1226" t="s">
        <v>2251</v>
      </c>
      <c r="B16" s="1037">
        <v>1449.7417154759301</v>
      </c>
      <c r="C16" s="1037">
        <v>498.28579506678301</v>
      </c>
      <c r="D16" s="1037">
        <v>1458.1459824137801</v>
      </c>
      <c r="E16" s="1037">
        <v>498.31907026911801</v>
      </c>
      <c r="F16" s="1037">
        <v>1469.7561275718999</v>
      </c>
      <c r="G16" s="1037">
        <v>500.10657429888198</v>
      </c>
      <c r="H16" s="1037">
        <v>1473.0343068222801</v>
      </c>
      <c r="I16" s="1037">
        <v>492.49658738057201</v>
      </c>
      <c r="J16" s="1037">
        <v>1457.03075033503</v>
      </c>
      <c r="K16" s="1037">
        <v>484.696724370185</v>
      </c>
      <c r="L16" s="1037">
        <v>1322.3237211676601</v>
      </c>
      <c r="M16" s="1037">
        <v>419.68479147410898</v>
      </c>
      <c r="N16" s="1037">
        <v>1301.45503835301</v>
      </c>
      <c r="O16" s="1037">
        <v>393.493015825707</v>
      </c>
      <c r="P16" s="1037">
        <v>1303.4412588105399</v>
      </c>
      <c r="Q16" s="1037">
        <v>395.56343413770099</v>
      </c>
      <c r="R16" s="1037">
        <v>1338.2565160438801</v>
      </c>
      <c r="S16" s="1037">
        <v>399.70377908726903</v>
      </c>
      <c r="T16" s="1037">
        <v>1328.1037160635101</v>
      </c>
      <c r="U16" s="1037">
        <v>381.531009022175</v>
      </c>
      <c r="V16" s="1037">
        <v>1267.71839602711</v>
      </c>
      <c r="W16" s="1037">
        <v>320.67137892418202</v>
      </c>
      <c r="X16" s="1037">
        <v>1198.7273990983899</v>
      </c>
      <c r="Y16" s="1037">
        <v>268.72951789314197</v>
      </c>
      <c r="Z16" s="1037">
        <v>1136.63295221046</v>
      </c>
      <c r="AA16" s="1037">
        <v>240.67283329458101</v>
      </c>
      <c r="AB16" s="1037">
        <v>1149.64498618729</v>
      </c>
      <c r="AC16" s="1037">
        <v>220.85740804279899</v>
      </c>
      <c r="AD16" s="1037">
        <v>1166.1220926993301</v>
      </c>
      <c r="AE16" s="1037">
        <v>221.26698104887799</v>
      </c>
      <c r="AF16" s="1037">
        <v>1162.74997710805</v>
      </c>
      <c r="AG16" s="1037">
        <v>217.66316501577299</v>
      </c>
      <c r="AH16" s="1037">
        <v>1176.8770689053699</v>
      </c>
      <c r="AI16" s="1037">
        <v>208.83879953595999</v>
      </c>
      <c r="AJ16" s="1037">
        <v>1190.4179051989299</v>
      </c>
      <c r="AK16" s="1037">
        <v>208.44171208102</v>
      </c>
      <c r="AL16" s="1037">
        <v>1199.21026390616</v>
      </c>
      <c r="AM16" s="1037">
        <v>207.28421445094301</v>
      </c>
      <c r="AN16" s="1037">
        <v>1208.90495224757</v>
      </c>
      <c r="AO16" s="1037">
        <v>208.10924230318199</v>
      </c>
      <c r="AP16" s="1037">
        <v>1224.94657969078</v>
      </c>
      <c r="AQ16" s="1037">
        <v>211.35853581502599</v>
      </c>
      <c r="AR16" s="1037">
        <v>1226.580169734</v>
      </c>
      <c r="AS16" s="1037">
        <v>211.558020329431</v>
      </c>
      <c r="AT16" s="1037">
        <v>1177.41271715263</v>
      </c>
      <c r="AU16" s="1037">
        <v>208.09509049162801</v>
      </c>
      <c r="AV16" s="1037">
        <v>1184.96772755801</v>
      </c>
      <c r="AW16" s="1037">
        <v>208.03804792716301</v>
      </c>
      <c r="AX16" s="1037">
        <v>1145.7826870798001</v>
      </c>
      <c r="AY16" s="1037">
        <v>194.692931509728</v>
      </c>
      <c r="AZ16" s="1037">
        <v>1148.6364393599499</v>
      </c>
      <c r="BA16" s="1037">
        <v>192.73271052707199</v>
      </c>
      <c r="BB16" s="1037">
        <v>1150.3472334364201</v>
      </c>
      <c r="BC16" s="1037">
        <v>182.978075154701</v>
      </c>
      <c r="BD16" s="1037">
        <v>1178.18063830867</v>
      </c>
      <c r="BE16" s="1037">
        <v>180.75841243680301</v>
      </c>
      <c r="BF16" s="1037">
        <v>1194.43061149446</v>
      </c>
      <c r="BG16" s="1037">
        <v>181.27327068404</v>
      </c>
      <c r="BH16" s="1037">
        <v>1213.5286662490701</v>
      </c>
      <c r="BI16" s="1037">
        <v>180.133843811167</v>
      </c>
      <c r="BJ16" s="1037">
        <v>1216.5279655729901</v>
      </c>
      <c r="BK16" s="1037">
        <v>179.30713139930401</v>
      </c>
      <c r="BL16" s="1037">
        <v>1212.04261110783</v>
      </c>
      <c r="BM16" s="1037">
        <v>180.86966336735401</v>
      </c>
      <c r="BN16" s="1037">
        <v>1164.9630263265001</v>
      </c>
      <c r="BO16" s="1037">
        <v>157.97182611172599</v>
      </c>
      <c r="BP16" s="1037">
        <v>1166.7712553428501</v>
      </c>
      <c r="BQ16" s="1037">
        <v>152.94873287391201</v>
      </c>
      <c r="BR16" s="1037">
        <v>1185.32108616762</v>
      </c>
      <c r="BS16" s="1037">
        <v>151.61866995601</v>
      </c>
      <c r="BT16" s="1037">
        <v>1205.4410889512401</v>
      </c>
      <c r="BU16" s="1037">
        <v>152.42865911851499</v>
      </c>
      <c r="BV16" s="1037">
        <v>1158.7711385754701</v>
      </c>
      <c r="BW16" s="1037">
        <v>132.34266079228701</v>
      </c>
      <c r="BX16" s="1037">
        <v>1160.47494282142</v>
      </c>
      <c r="BY16" s="1037">
        <v>122.663618235012</v>
      </c>
      <c r="BZ16" s="1037">
        <v>1194.8597070742501</v>
      </c>
      <c r="CA16" s="1037">
        <v>133.28202272350001</v>
      </c>
      <c r="CB16" s="1037">
        <v>1195.1402684356599</v>
      </c>
      <c r="CC16" s="1304">
        <v>134.073036597168</v>
      </c>
      <c r="CD16" s="1304">
        <v>1213.34720782357</v>
      </c>
      <c r="CE16" s="1304">
        <v>132.76165535990901</v>
      </c>
      <c r="CF16" s="1037">
        <v>1230.6425286446399</v>
      </c>
      <c r="CG16" s="1304">
        <v>138.57842734366801</v>
      </c>
      <c r="CH16" s="1304">
        <v>1233.8304421696701</v>
      </c>
      <c r="CI16" s="1304">
        <v>140.279036901463</v>
      </c>
      <c r="CJ16" s="1304">
        <v>1254.65943260381</v>
      </c>
      <c r="CK16" s="1304">
        <v>137.18760100963701</v>
      </c>
      <c r="CL16" s="1037">
        <v>1289.9658645539801</v>
      </c>
      <c r="CM16" s="1304">
        <v>140.72901377996101</v>
      </c>
      <c r="CN16" s="1304">
        <v>1294.5686332676601</v>
      </c>
      <c r="CO16" s="1304">
        <v>130.01420512239301</v>
      </c>
      <c r="CP16" s="1304">
        <v>1346.55466990841</v>
      </c>
      <c r="CQ16" s="1304">
        <v>137.77301385707301</v>
      </c>
      <c r="CR16" s="1304">
        <v>1370.02321572351</v>
      </c>
      <c r="CS16" s="1304">
        <v>134.51755421220699</v>
      </c>
      <c r="CT16" s="1037">
        <v>1338.2861314069501</v>
      </c>
      <c r="CU16" s="1304">
        <v>128.75053772344299</v>
      </c>
      <c r="CV16" s="1037">
        <v>1366.71787902443</v>
      </c>
      <c r="CW16" s="1304">
        <v>129.83522170036801</v>
      </c>
      <c r="CX16" s="1304">
        <v>1384.19945565443</v>
      </c>
      <c r="CY16" s="1304">
        <v>129.45646486504299</v>
      </c>
      <c r="CZ16" s="1037">
        <v>1394.9731744932101</v>
      </c>
      <c r="DA16" s="1304">
        <v>127.986678214866</v>
      </c>
      <c r="DB16" s="1037">
        <v>1419.15587391282</v>
      </c>
      <c r="DC16" s="1304">
        <v>123.252459572598</v>
      </c>
      <c r="DD16" s="1037">
        <v>1438.3047830210501</v>
      </c>
      <c r="DE16" s="1037">
        <v>125.362644762464</v>
      </c>
      <c r="DF16" s="1037">
        <v>1458.8598248128101</v>
      </c>
      <c r="DG16" s="1037">
        <v>127.09614189003599</v>
      </c>
      <c r="DH16" s="1037">
        <v>1495.23430326271</v>
      </c>
      <c r="DI16" s="1037">
        <v>127.088226583145</v>
      </c>
      <c r="DJ16" s="1037">
        <v>1528.0747930380601</v>
      </c>
      <c r="DK16" s="1037">
        <v>128.38286829898999</v>
      </c>
      <c r="DL16" s="1037">
        <v>1538.03900757307</v>
      </c>
      <c r="DM16" s="1037">
        <v>121.433836651859</v>
      </c>
      <c r="DN16" s="1037">
        <v>1564.7443891110699</v>
      </c>
      <c r="DO16" s="1037">
        <v>115.71588568381</v>
      </c>
      <c r="DP16" s="1037">
        <v>1601.94511923657</v>
      </c>
      <c r="DQ16" s="1037">
        <v>111.52702846581001</v>
      </c>
      <c r="DR16" s="1037">
        <v>1552.5047716197</v>
      </c>
      <c r="DS16" s="1037">
        <v>105.500593121329</v>
      </c>
      <c r="DT16" s="1037">
        <v>1604.3242916801701</v>
      </c>
      <c r="DU16" s="1037">
        <v>108.62567321031</v>
      </c>
      <c r="DV16" s="1037">
        <v>1582.41158240555</v>
      </c>
      <c r="DW16" s="1037">
        <v>107.933269097639</v>
      </c>
      <c r="DX16" s="1037">
        <v>1600.80190534286</v>
      </c>
      <c r="DY16" s="1037">
        <v>112.871764861408</v>
      </c>
      <c r="DZ16" s="1037">
        <v>1653.95839037052</v>
      </c>
      <c r="EA16" s="1037">
        <v>115.42465045201</v>
      </c>
      <c r="EB16" s="1037">
        <v>1684.41701497901</v>
      </c>
      <c r="EC16" s="1037">
        <v>113.492761913813</v>
      </c>
      <c r="ED16" s="1037">
        <v>1689.58449788239</v>
      </c>
      <c r="EE16" s="1037">
        <v>117.562304982264</v>
      </c>
      <c r="EF16" s="1037">
        <v>1705.6666187826299</v>
      </c>
      <c r="EG16" s="1037">
        <v>118.69971582973</v>
      </c>
      <c r="EH16" s="1037">
        <v>1723.44935429875</v>
      </c>
      <c r="EI16" s="1037">
        <v>116.24100912372199</v>
      </c>
      <c r="EJ16" s="1037">
        <v>1728.5990525878001</v>
      </c>
      <c r="EK16" s="1037">
        <v>113.40513076618301</v>
      </c>
      <c r="EL16" s="1037">
        <v>1751.1770690383501</v>
      </c>
      <c r="EM16" s="1037">
        <v>110.59679205871799</v>
      </c>
      <c r="EN16" s="1037">
        <v>1765.8718832095401</v>
      </c>
      <c r="EO16" s="1037">
        <v>109.617069666172</v>
      </c>
      <c r="EP16" s="1037">
        <v>1751.62929330836</v>
      </c>
      <c r="EQ16" s="1037">
        <v>111.58582504589999</v>
      </c>
      <c r="ER16" s="1037">
        <v>1778.17856081016</v>
      </c>
      <c r="ES16" s="1037">
        <v>112.93929447014099</v>
      </c>
      <c r="ET16" s="1037">
        <v>1813.7177979507801</v>
      </c>
      <c r="EU16" s="1037">
        <v>120.821344297557</v>
      </c>
      <c r="EV16" s="1037">
        <v>1838.08528191819</v>
      </c>
      <c r="EW16" s="1037">
        <v>119.662934239507</v>
      </c>
      <c r="EX16" s="1037">
        <v>1874.33352673523</v>
      </c>
      <c r="EY16" s="1037">
        <v>126.92153616261901</v>
      </c>
      <c r="EZ16" s="1037">
        <v>1894.8940996291401</v>
      </c>
      <c r="FA16" s="1037">
        <v>125.792546292861</v>
      </c>
      <c r="FB16" s="1037">
        <v>1933.3475628619599</v>
      </c>
      <c r="FC16" s="1037">
        <v>130.31199111181201</v>
      </c>
      <c r="FD16" s="1035" t="s">
        <v>3563</v>
      </c>
    </row>
    <row r="17" spans="1:163" ht="21" customHeight="1">
      <c r="A17" s="1226" t="s">
        <v>2250</v>
      </c>
      <c r="B17" s="1037">
        <v>13451.1935233275</v>
      </c>
      <c r="C17" s="1037">
        <v>4756.7636039427898</v>
      </c>
      <c r="D17" s="1037">
        <v>13658.2254608363</v>
      </c>
      <c r="E17" s="1037">
        <v>4965.58143624492</v>
      </c>
      <c r="F17" s="1037">
        <v>13829.352266792701</v>
      </c>
      <c r="G17" s="1037">
        <v>4956.5940382907202</v>
      </c>
      <c r="H17" s="1037">
        <v>13759.6980637833</v>
      </c>
      <c r="I17" s="1037">
        <v>4659.2284391500498</v>
      </c>
      <c r="J17" s="1037">
        <v>13285.130215232501</v>
      </c>
      <c r="K17" s="1037">
        <v>4435.08068320234</v>
      </c>
      <c r="L17" s="1037">
        <v>13038.696295144</v>
      </c>
      <c r="M17" s="1037">
        <v>4369.5303697065501</v>
      </c>
      <c r="N17" s="1037">
        <v>12868.336580319399</v>
      </c>
      <c r="O17" s="1037">
        <v>4209.3028140555098</v>
      </c>
      <c r="P17" s="1037">
        <v>12901.0084478712</v>
      </c>
      <c r="Q17" s="1037">
        <v>4226.5145526262204</v>
      </c>
      <c r="R17" s="1037">
        <v>12965.971657513899</v>
      </c>
      <c r="S17" s="1037">
        <v>4191.1390978429699</v>
      </c>
      <c r="T17" s="1037">
        <v>13168.923298624501</v>
      </c>
      <c r="U17" s="1037">
        <v>4232.2213751368099</v>
      </c>
      <c r="V17" s="1037">
        <v>13141.5964860124</v>
      </c>
      <c r="W17" s="1037">
        <v>4162.7400368723802</v>
      </c>
      <c r="X17" s="1037">
        <v>13105.917193171699</v>
      </c>
      <c r="Y17" s="1037">
        <v>4091.4913006719098</v>
      </c>
      <c r="Z17" s="1037">
        <v>13020.3465832164</v>
      </c>
      <c r="AA17" s="1037">
        <v>4036.78642458695</v>
      </c>
      <c r="AB17" s="1037">
        <v>13064.050576333801</v>
      </c>
      <c r="AC17" s="1037">
        <v>4017.8792790380899</v>
      </c>
      <c r="AD17" s="1037">
        <v>13079.977030883399</v>
      </c>
      <c r="AE17" s="1037">
        <v>3941.7738354968401</v>
      </c>
      <c r="AF17" s="1037">
        <v>13189.604920785399</v>
      </c>
      <c r="AG17" s="1037">
        <v>3887.7631700177299</v>
      </c>
      <c r="AH17" s="1037">
        <v>13434.9375262583</v>
      </c>
      <c r="AI17" s="1037">
        <v>3894.7374856256602</v>
      </c>
      <c r="AJ17" s="1037">
        <v>13500.9812518115</v>
      </c>
      <c r="AK17" s="1037">
        <v>3884.0449607209498</v>
      </c>
      <c r="AL17" s="1037">
        <v>13657.679516125399</v>
      </c>
      <c r="AM17" s="1037">
        <v>3849.7297931076</v>
      </c>
      <c r="AN17" s="1037">
        <v>13757.5932559956</v>
      </c>
      <c r="AO17" s="1037">
        <v>3855.4111890500099</v>
      </c>
      <c r="AP17" s="1037">
        <v>13981.902515018301</v>
      </c>
      <c r="AQ17" s="1037">
        <v>3917.2783411908299</v>
      </c>
      <c r="AR17" s="1037">
        <v>14312.0888882986</v>
      </c>
      <c r="AS17" s="1037">
        <v>3982.6817337431398</v>
      </c>
      <c r="AT17" s="1037">
        <v>14819.878188807301</v>
      </c>
      <c r="AU17" s="1037">
        <v>4237.9618005082702</v>
      </c>
      <c r="AV17" s="1037">
        <v>15096.9978198846</v>
      </c>
      <c r="AW17" s="1037">
        <v>4166.0642576252503</v>
      </c>
      <c r="AX17" s="1037">
        <v>15513.3312552484</v>
      </c>
      <c r="AY17" s="1037">
        <v>4168.5362413704497</v>
      </c>
      <c r="AZ17" s="1037">
        <v>15632.802635485399</v>
      </c>
      <c r="BA17" s="1037">
        <v>4171.4600931317</v>
      </c>
      <c r="BB17" s="1037">
        <v>15976.1859779693</v>
      </c>
      <c r="BC17" s="1037">
        <v>4191.5530531516497</v>
      </c>
      <c r="BD17" s="1037">
        <v>16350.004971193899</v>
      </c>
      <c r="BE17" s="1037">
        <v>4265.6826592771004</v>
      </c>
      <c r="BF17" s="1037">
        <v>16645.949912293701</v>
      </c>
      <c r="BG17" s="1037">
        <v>4203.5490774693799</v>
      </c>
      <c r="BH17" s="1037">
        <v>16884.754624875499</v>
      </c>
      <c r="BI17" s="1037">
        <v>4228.2849286144501</v>
      </c>
      <c r="BJ17" s="1037">
        <v>17103.493548439899</v>
      </c>
      <c r="BK17" s="1037">
        <v>4092.4707841783602</v>
      </c>
      <c r="BL17" s="1037">
        <v>17275.4025546542</v>
      </c>
      <c r="BM17" s="1037">
        <v>4097.5410064231701</v>
      </c>
      <c r="BN17" s="1037">
        <v>17473.671771883201</v>
      </c>
      <c r="BO17" s="1037">
        <v>4015.83180692528</v>
      </c>
      <c r="BP17" s="1037">
        <v>17990.405306113898</v>
      </c>
      <c r="BQ17" s="1037">
        <v>4094.7939151811302</v>
      </c>
      <c r="BR17" s="1037">
        <v>18285.463493976102</v>
      </c>
      <c r="BS17" s="1037">
        <v>4144.4771675657403</v>
      </c>
      <c r="BT17" s="1037">
        <v>18468.737293251299</v>
      </c>
      <c r="BU17" s="1037">
        <v>4011.4757032596599</v>
      </c>
      <c r="BV17" s="1037">
        <v>18435.584429086499</v>
      </c>
      <c r="BW17" s="1037">
        <v>3800.0454509188198</v>
      </c>
      <c r="BX17" s="1037">
        <v>18509.1168733866</v>
      </c>
      <c r="BY17" s="1037">
        <v>3831.5713736767998</v>
      </c>
      <c r="BZ17" s="1037">
        <v>18562.569709134899</v>
      </c>
      <c r="CA17" s="1037">
        <v>3785.8593275939902</v>
      </c>
      <c r="CB17" s="1037">
        <v>18843.455895081199</v>
      </c>
      <c r="CC17" s="1304">
        <v>3848.05368994126</v>
      </c>
      <c r="CD17" s="1304">
        <v>19166.2803088402</v>
      </c>
      <c r="CE17" s="1304">
        <v>3842.1612168301999</v>
      </c>
      <c r="CF17" s="1037">
        <v>19428.6266636732</v>
      </c>
      <c r="CG17" s="1304">
        <v>3860.2625505742199</v>
      </c>
      <c r="CH17" s="1304">
        <v>20062.405683247998</v>
      </c>
      <c r="CI17" s="1304">
        <v>4100.2065498304701</v>
      </c>
      <c r="CJ17" s="1304">
        <v>20117.331873204701</v>
      </c>
      <c r="CK17" s="1304">
        <v>3941.4657590729298</v>
      </c>
      <c r="CL17" s="1037">
        <v>20524.221290433499</v>
      </c>
      <c r="CM17" s="1304">
        <v>4000.0876958979202</v>
      </c>
      <c r="CN17" s="1304">
        <v>20987.315737669702</v>
      </c>
      <c r="CO17" s="1304">
        <v>4113.7583316062201</v>
      </c>
      <c r="CP17" s="1304">
        <v>21113.156420606101</v>
      </c>
      <c r="CQ17" s="1304">
        <v>4286.3869201132802</v>
      </c>
      <c r="CR17" s="1304">
        <v>21511.207849299499</v>
      </c>
      <c r="CS17" s="1304">
        <v>4290.8867962157901</v>
      </c>
      <c r="CT17" s="1037">
        <v>21844.6675658122</v>
      </c>
      <c r="CU17" s="1304">
        <v>4238.0806267847702</v>
      </c>
      <c r="CV17" s="1037">
        <v>22199.634900671299</v>
      </c>
      <c r="CW17" s="1304">
        <v>4552.1980730116502</v>
      </c>
      <c r="CX17" s="1304">
        <v>22448.8197676247</v>
      </c>
      <c r="CY17" s="1304">
        <v>4533.2188569985001</v>
      </c>
      <c r="CZ17" s="1037">
        <v>22707.640243852598</v>
      </c>
      <c r="DA17" s="1304">
        <v>4513.3715868668296</v>
      </c>
      <c r="DB17" s="1037">
        <v>23225.294739551398</v>
      </c>
      <c r="DC17" s="1304">
        <v>4491.3795525559299</v>
      </c>
      <c r="DD17" s="1037">
        <v>23719.875858552201</v>
      </c>
      <c r="DE17" s="1037">
        <v>4482.2481479548896</v>
      </c>
      <c r="DF17" s="1037">
        <v>23970.657260988799</v>
      </c>
      <c r="DG17" s="1037">
        <v>4461.2853964903397</v>
      </c>
      <c r="DH17" s="1037">
        <v>24199.475115058998</v>
      </c>
      <c r="DI17" s="1037">
        <v>4406.0507981998699</v>
      </c>
      <c r="DJ17" s="1037">
        <v>24547.5361185642</v>
      </c>
      <c r="DK17" s="1037">
        <v>4409.6930732433502</v>
      </c>
      <c r="DL17" s="1037">
        <v>25167.932764356599</v>
      </c>
      <c r="DM17" s="1037">
        <v>4491.8218702355098</v>
      </c>
      <c r="DN17" s="1037">
        <v>25515.7785112239</v>
      </c>
      <c r="DO17" s="1037">
        <v>4471.4815789311697</v>
      </c>
      <c r="DP17" s="1037">
        <v>25766.202505284899</v>
      </c>
      <c r="DQ17" s="1037">
        <v>4462.2850982971504</v>
      </c>
      <c r="DR17" s="1037">
        <v>25925.1702683351</v>
      </c>
      <c r="DS17" s="1037">
        <v>4329.0052867246004</v>
      </c>
      <c r="DT17" s="1037">
        <v>25910.376091769602</v>
      </c>
      <c r="DU17" s="1037">
        <v>4245.5585944764798</v>
      </c>
      <c r="DV17" s="1037">
        <v>26009.955970956998</v>
      </c>
      <c r="DW17" s="1037">
        <v>4159.2645724885597</v>
      </c>
      <c r="DX17" s="1037">
        <v>26276.317725966401</v>
      </c>
      <c r="DY17" s="1037">
        <v>4198.4783302093701</v>
      </c>
      <c r="DZ17" s="1037">
        <v>26442.559844896899</v>
      </c>
      <c r="EA17" s="1037">
        <v>4148.8525231453796</v>
      </c>
      <c r="EB17" s="1037">
        <v>26702.0871142182</v>
      </c>
      <c r="EC17" s="1037">
        <v>4089.5447928061599</v>
      </c>
      <c r="ED17" s="1037">
        <v>26782.561626009701</v>
      </c>
      <c r="EE17" s="1037">
        <v>4034.7873943785198</v>
      </c>
      <c r="EF17" s="1037">
        <v>26792.517628256101</v>
      </c>
      <c r="EG17" s="1037">
        <v>3936.51626491969</v>
      </c>
      <c r="EH17" s="1037">
        <v>26981.460740942701</v>
      </c>
      <c r="EI17" s="1037">
        <v>3873.6289030521202</v>
      </c>
      <c r="EJ17" s="1037">
        <v>27547.705897850599</v>
      </c>
      <c r="EK17" s="1037">
        <v>4041.6268222128601</v>
      </c>
      <c r="EL17" s="1037">
        <v>27652.680213522999</v>
      </c>
      <c r="EM17" s="1037">
        <v>4020.3833433801101</v>
      </c>
      <c r="EN17" s="1037">
        <v>27919.657418208499</v>
      </c>
      <c r="EO17" s="1037">
        <v>4085.3131093550301</v>
      </c>
      <c r="EP17" s="1037">
        <v>28311.419633335801</v>
      </c>
      <c r="EQ17" s="1037">
        <v>4148.8510259668801</v>
      </c>
      <c r="ER17" s="1037">
        <v>28201.874480796199</v>
      </c>
      <c r="ES17" s="1037">
        <v>4128.1297848950398</v>
      </c>
      <c r="ET17" s="1037">
        <v>28305.138664989401</v>
      </c>
      <c r="EU17" s="1037">
        <v>4118.9406860163699</v>
      </c>
      <c r="EV17" s="1037">
        <v>28452.263375844101</v>
      </c>
      <c r="EW17" s="1037">
        <v>4167.7151012823097</v>
      </c>
      <c r="EX17" s="1037">
        <v>28734.881696831599</v>
      </c>
      <c r="EY17" s="1037">
        <v>4138.0179020887699</v>
      </c>
      <c r="EZ17" s="1037">
        <v>28990.9313630738</v>
      </c>
      <c r="FA17" s="1037">
        <v>4095.4806450166102</v>
      </c>
      <c r="FB17" s="1037">
        <v>29887.9943503592</v>
      </c>
      <c r="FC17" s="1037">
        <v>4838.8021628472798</v>
      </c>
      <c r="FD17" s="1035" t="s">
        <v>3564</v>
      </c>
    </row>
    <row r="18" spans="1:163" ht="21" customHeight="1">
      <c r="A18" s="1035" t="s">
        <v>2249</v>
      </c>
      <c r="B18" s="1037">
        <v>987.36059518219997</v>
      </c>
      <c r="C18" s="1037">
        <v>0</v>
      </c>
      <c r="D18" s="1037">
        <v>984.56140181066405</v>
      </c>
      <c r="E18" s="1037">
        <v>0</v>
      </c>
      <c r="F18" s="1037">
        <v>985.24260966300005</v>
      </c>
      <c r="G18" s="1037">
        <v>0</v>
      </c>
      <c r="H18" s="1037">
        <v>985.97731761950001</v>
      </c>
      <c r="I18" s="1037">
        <v>0</v>
      </c>
      <c r="J18" s="1037">
        <v>878.64424370760003</v>
      </c>
      <c r="K18" s="1037">
        <v>0</v>
      </c>
      <c r="L18" s="1037">
        <v>730.72212846970001</v>
      </c>
      <c r="M18" s="1037">
        <v>0</v>
      </c>
      <c r="N18" s="1037">
        <v>736.56234744999995</v>
      </c>
      <c r="O18" s="1037">
        <v>0</v>
      </c>
      <c r="P18" s="1037">
        <v>734.69590585540004</v>
      </c>
      <c r="Q18" s="1037">
        <v>0</v>
      </c>
      <c r="R18" s="1037">
        <v>732.58739179999998</v>
      </c>
      <c r="S18" s="1037">
        <v>0</v>
      </c>
      <c r="T18" s="1037">
        <v>731.78239412999994</v>
      </c>
      <c r="U18" s="1037">
        <v>0</v>
      </c>
      <c r="V18" s="1037">
        <v>737.10694173310003</v>
      </c>
      <c r="W18" s="1037">
        <v>0</v>
      </c>
      <c r="X18" s="1037">
        <v>740.89298027349605</v>
      </c>
      <c r="Y18" s="1037">
        <v>0</v>
      </c>
      <c r="Z18" s="1037">
        <v>741.40586125599998</v>
      </c>
      <c r="AA18" s="1037">
        <v>0</v>
      </c>
      <c r="AB18" s="1037">
        <v>736.69978213399997</v>
      </c>
      <c r="AC18" s="1037">
        <v>0</v>
      </c>
      <c r="AD18" s="1037">
        <v>739.42584847559999</v>
      </c>
      <c r="AE18" s="1037">
        <v>0</v>
      </c>
      <c r="AF18" s="1037">
        <v>737.50619250620002</v>
      </c>
      <c r="AG18" s="1037">
        <v>0</v>
      </c>
      <c r="AH18" s="1037">
        <v>740.15345294300005</v>
      </c>
      <c r="AI18" s="1037">
        <v>0</v>
      </c>
      <c r="AJ18" s="1037">
        <v>745.41227366999999</v>
      </c>
      <c r="AK18" s="1037">
        <v>0</v>
      </c>
      <c r="AL18" s="1037">
        <v>757.32569586572095</v>
      </c>
      <c r="AM18" s="1037">
        <v>0</v>
      </c>
      <c r="AN18" s="1037">
        <v>753.67448890169999</v>
      </c>
      <c r="AO18" s="1037">
        <v>0</v>
      </c>
      <c r="AP18" s="1037">
        <v>761.45348493999995</v>
      </c>
      <c r="AQ18" s="1037">
        <v>0</v>
      </c>
      <c r="AR18" s="1037">
        <v>765.69292516099995</v>
      </c>
      <c r="AS18" s="1037">
        <v>0</v>
      </c>
      <c r="AT18" s="1037">
        <v>764.62387394999996</v>
      </c>
      <c r="AU18" s="1037">
        <v>0</v>
      </c>
      <c r="AV18" s="1037">
        <v>763.7510644509</v>
      </c>
      <c r="AW18" s="1037">
        <v>0</v>
      </c>
      <c r="AX18" s="1037">
        <v>774.79322986299997</v>
      </c>
      <c r="AY18" s="1037">
        <v>0</v>
      </c>
      <c r="AZ18" s="1037">
        <v>772.93976327799999</v>
      </c>
      <c r="BA18" s="1037">
        <v>0</v>
      </c>
      <c r="BB18" s="1037">
        <v>780.77817801699996</v>
      </c>
      <c r="BC18" s="1037">
        <v>0</v>
      </c>
      <c r="BD18" s="1037">
        <v>781.32122232580002</v>
      </c>
      <c r="BE18" s="1037">
        <v>0</v>
      </c>
      <c r="BF18" s="1037">
        <v>781.70646635692299</v>
      </c>
      <c r="BG18" s="1037">
        <v>0</v>
      </c>
      <c r="BH18" s="1037">
        <v>782.7977226905</v>
      </c>
      <c r="BI18" s="1037">
        <v>0</v>
      </c>
      <c r="BJ18" s="1037">
        <v>785.41163827790001</v>
      </c>
      <c r="BK18" s="1037">
        <v>0</v>
      </c>
      <c r="BL18" s="1037">
        <v>784.06695910591202</v>
      </c>
      <c r="BM18" s="1037">
        <v>0</v>
      </c>
      <c r="BN18" s="1037">
        <v>786.95375922239998</v>
      </c>
      <c r="BO18" s="1037">
        <v>0</v>
      </c>
      <c r="BP18" s="1037">
        <v>792.01221928120003</v>
      </c>
      <c r="BQ18" s="1037">
        <v>0</v>
      </c>
      <c r="BR18" s="1037">
        <v>793.05651869634005</v>
      </c>
      <c r="BS18" s="1037">
        <v>0</v>
      </c>
      <c r="BT18" s="1037">
        <v>809.67860204258</v>
      </c>
      <c r="BU18" s="1037">
        <v>0</v>
      </c>
      <c r="BV18" s="1037">
        <v>812.64262287556005</v>
      </c>
      <c r="BW18" s="1037">
        <v>0</v>
      </c>
      <c r="BX18" s="1037">
        <v>810.66294384260505</v>
      </c>
      <c r="BY18" s="1037"/>
      <c r="BZ18" s="1037">
        <v>814.21814944744006</v>
      </c>
      <c r="CA18" s="1037"/>
      <c r="CB18" s="1037">
        <v>816.72999144578</v>
      </c>
      <c r="CC18" s="1304"/>
      <c r="CD18" s="1304">
        <v>814.80586888489995</v>
      </c>
      <c r="CE18" s="1304"/>
      <c r="CF18" s="1037">
        <v>826.83107294882996</v>
      </c>
      <c r="CG18" s="1304">
        <v>0</v>
      </c>
      <c r="CH18" s="1304">
        <v>820.90118034240004</v>
      </c>
      <c r="CI18" s="1304"/>
      <c r="CJ18" s="1304">
        <v>819.78602143361002</v>
      </c>
      <c r="CK18" s="1304"/>
      <c r="CL18" s="1037">
        <v>823.06132938335497</v>
      </c>
      <c r="CM18" s="1304"/>
      <c r="CN18" s="1304">
        <v>822.18144749149997</v>
      </c>
      <c r="CO18" s="1304"/>
      <c r="CP18" s="1304">
        <v>741.735732815495</v>
      </c>
      <c r="CQ18" s="1304"/>
      <c r="CR18" s="1304">
        <v>742.32263225949498</v>
      </c>
      <c r="CS18" s="1304"/>
      <c r="CT18" s="1037">
        <v>749.34262953958603</v>
      </c>
      <c r="CU18" s="1304"/>
      <c r="CV18" s="1037">
        <v>746.90482790999999</v>
      </c>
      <c r="CW18" s="1304"/>
      <c r="CX18" s="1304">
        <v>720.86274358872504</v>
      </c>
      <c r="CY18" s="1304"/>
      <c r="CZ18" s="1037">
        <v>722.03834926399998</v>
      </c>
      <c r="DA18" s="1304"/>
      <c r="DB18" s="1037">
        <v>732.11158392596894</v>
      </c>
      <c r="DC18" s="1304"/>
      <c r="DD18" s="1037">
        <v>738.27352484602704</v>
      </c>
      <c r="DE18" s="1037"/>
      <c r="DF18" s="1037">
        <v>739.93129620798697</v>
      </c>
      <c r="DG18" s="1037"/>
      <c r="DH18" s="1037">
        <v>743.01515209527395</v>
      </c>
      <c r="DI18" s="1037"/>
      <c r="DJ18" s="1037">
        <v>748.92026180105597</v>
      </c>
      <c r="DK18" s="1037"/>
      <c r="DL18" s="1037">
        <v>755.85896198589603</v>
      </c>
      <c r="DM18" s="1037"/>
      <c r="DN18" s="1037">
        <v>755.42932547126497</v>
      </c>
      <c r="DO18" s="1037"/>
      <c r="DP18" s="1037">
        <v>757.85232602574001</v>
      </c>
      <c r="DQ18" s="1037"/>
      <c r="DR18" s="1037">
        <v>769.53645255954905</v>
      </c>
      <c r="DS18" s="1037"/>
      <c r="DT18" s="1037">
        <v>771.82590520340898</v>
      </c>
      <c r="DU18" s="1037"/>
      <c r="DV18" s="1037">
        <v>772.34909978231599</v>
      </c>
      <c r="DW18" s="1037"/>
      <c r="DX18" s="1037">
        <v>766.39607855557006</v>
      </c>
      <c r="DY18" s="1037"/>
      <c r="DZ18" s="1037">
        <v>770.64196540434898</v>
      </c>
      <c r="EA18" s="1037"/>
      <c r="EB18" s="1037">
        <v>766.59860383488103</v>
      </c>
      <c r="EC18" s="1037"/>
      <c r="ED18" s="1037">
        <v>765.511404132596</v>
      </c>
      <c r="EE18" s="1037"/>
      <c r="EF18" s="1037">
        <v>775.86915949406205</v>
      </c>
      <c r="EG18" s="1037"/>
      <c r="EH18" s="1037">
        <v>782.78087745493599</v>
      </c>
      <c r="EI18" s="1037"/>
      <c r="EJ18" s="1037">
        <v>795.70085098541904</v>
      </c>
      <c r="EK18" s="1037"/>
      <c r="EL18" s="1037">
        <v>827.29468466755895</v>
      </c>
      <c r="EM18" s="1037"/>
      <c r="EN18" s="1037">
        <v>849.553821128903</v>
      </c>
      <c r="EO18" s="1037"/>
      <c r="EP18" s="1037">
        <v>879.42678619165201</v>
      </c>
      <c r="EQ18" s="1037"/>
      <c r="ER18" s="1037">
        <v>874.89620290260802</v>
      </c>
      <c r="ES18" s="1037"/>
      <c r="ET18" s="1037">
        <v>874.37559299675002</v>
      </c>
      <c r="EU18" s="1037"/>
      <c r="EV18" s="1037">
        <v>866.78485022852396</v>
      </c>
      <c r="EW18" s="1037"/>
      <c r="EX18" s="1037">
        <v>866.15311520463104</v>
      </c>
      <c r="EY18" s="1037"/>
      <c r="EZ18" s="1037">
        <v>862.89102514427304</v>
      </c>
      <c r="FA18" s="1037"/>
      <c r="FB18" s="1037">
        <v>876.41609729208199</v>
      </c>
      <c r="FC18" s="1037"/>
      <c r="FD18" s="1035" t="s">
        <v>3565</v>
      </c>
    </row>
    <row r="19" spans="1:163" ht="21" customHeight="1">
      <c r="A19" s="1035" t="s">
        <v>2248</v>
      </c>
      <c r="B19" s="1037">
        <v>167.768590749834</v>
      </c>
      <c r="C19" s="1037">
        <v>0</v>
      </c>
      <c r="D19" s="1037">
        <v>166.25573933370401</v>
      </c>
      <c r="E19" s="1037">
        <v>0</v>
      </c>
      <c r="F19" s="1037">
        <v>165.20179726624201</v>
      </c>
      <c r="G19" s="1037">
        <v>0</v>
      </c>
      <c r="H19" s="1037">
        <v>165.25849240713799</v>
      </c>
      <c r="I19" s="1037">
        <v>0</v>
      </c>
      <c r="J19" s="1037">
        <v>160.057844999461</v>
      </c>
      <c r="K19" s="1037">
        <v>0</v>
      </c>
      <c r="L19" s="1037">
        <v>146.97498478871199</v>
      </c>
      <c r="M19" s="1037">
        <v>0</v>
      </c>
      <c r="N19" s="1037">
        <v>130.77730252773799</v>
      </c>
      <c r="O19" s="1037">
        <v>0</v>
      </c>
      <c r="P19" s="1037">
        <v>130.629067570373</v>
      </c>
      <c r="Q19" s="1037">
        <v>0</v>
      </c>
      <c r="R19" s="1037">
        <v>129.99666467599999</v>
      </c>
      <c r="S19" s="1037">
        <v>11.2878753549995</v>
      </c>
      <c r="T19" s="1037">
        <v>132.85629335482301</v>
      </c>
      <c r="U19" s="1037">
        <v>0</v>
      </c>
      <c r="V19" s="1037">
        <v>135.34661978850201</v>
      </c>
      <c r="W19" s="1037">
        <v>0</v>
      </c>
      <c r="X19" s="1037">
        <v>133.723627897874</v>
      </c>
      <c r="Y19" s="1037">
        <v>0</v>
      </c>
      <c r="Z19" s="1037">
        <v>146.360106886572</v>
      </c>
      <c r="AA19" s="1037">
        <v>0</v>
      </c>
      <c r="AB19" s="1037">
        <v>147.34566323111699</v>
      </c>
      <c r="AC19" s="1037">
        <v>0</v>
      </c>
      <c r="AD19" s="1037">
        <v>146.188425163853</v>
      </c>
      <c r="AE19" s="1037">
        <v>0</v>
      </c>
      <c r="AF19" s="1037">
        <v>146.13858530850101</v>
      </c>
      <c r="AG19" s="1037">
        <v>0</v>
      </c>
      <c r="AH19" s="1037">
        <v>149.33572174474301</v>
      </c>
      <c r="AI19" s="1037">
        <v>0</v>
      </c>
      <c r="AJ19" s="1037">
        <v>149.27212675000001</v>
      </c>
      <c r="AK19" s="1037">
        <v>0</v>
      </c>
      <c r="AL19" s="1037">
        <v>148.47907741599701</v>
      </c>
      <c r="AM19" s="1037">
        <v>0</v>
      </c>
      <c r="AN19" s="1037">
        <v>146.86446055851499</v>
      </c>
      <c r="AO19" s="1037">
        <v>0</v>
      </c>
      <c r="AP19" s="1037">
        <v>150.17044832011899</v>
      </c>
      <c r="AQ19" s="1037">
        <v>0</v>
      </c>
      <c r="AR19" s="1037">
        <v>150.441849658492</v>
      </c>
      <c r="AS19" s="1037">
        <v>0</v>
      </c>
      <c r="AT19" s="1037">
        <v>149.829109145377</v>
      </c>
      <c r="AU19" s="1037">
        <v>0</v>
      </c>
      <c r="AV19" s="1037">
        <v>151.011153722459</v>
      </c>
      <c r="AW19" s="1037">
        <v>0</v>
      </c>
      <c r="AX19" s="1037">
        <v>154.90288136132</v>
      </c>
      <c r="AY19" s="1037">
        <v>0</v>
      </c>
      <c r="AZ19" s="1037">
        <v>152.83626966211</v>
      </c>
      <c r="BA19" s="1037">
        <v>9.6080854799999997</v>
      </c>
      <c r="BB19" s="1037">
        <v>150.82991383155101</v>
      </c>
      <c r="BC19" s="1037">
        <v>9.3835297900000008</v>
      </c>
      <c r="BD19" s="1037">
        <v>149.045258658298</v>
      </c>
      <c r="BE19" s="1037">
        <v>9.3374711999999995</v>
      </c>
      <c r="BF19" s="1037">
        <v>147.88058556452501</v>
      </c>
      <c r="BG19" s="1037">
        <v>0</v>
      </c>
      <c r="BH19" s="1037">
        <v>145.622181519782</v>
      </c>
      <c r="BI19" s="1037">
        <v>0</v>
      </c>
      <c r="BJ19" s="1037">
        <v>144.08006700823901</v>
      </c>
      <c r="BK19" s="1037">
        <v>0</v>
      </c>
      <c r="BL19" s="1037">
        <v>150.27255581724401</v>
      </c>
      <c r="BM19" s="1037">
        <v>0</v>
      </c>
      <c r="BN19" s="1037">
        <v>149.00737794762099</v>
      </c>
      <c r="BO19" s="1037">
        <v>0</v>
      </c>
      <c r="BP19" s="1037">
        <v>148.71786166836401</v>
      </c>
      <c r="BQ19" s="1037">
        <v>0</v>
      </c>
      <c r="BR19" s="1037">
        <v>147.025055686949</v>
      </c>
      <c r="BS19" s="1037">
        <v>0</v>
      </c>
      <c r="BT19" s="1037">
        <v>146.78168935981199</v>
      </c>
      <c r="BU19" s="1037">
        <v>0</v>
      </c>
      <c r="BV19" s="1037">
        <v>152.27937762449201</v>
      </c>
      <c r="BW19" s="1037">
        <v>0</v>
      </c>
      <c r="BX19" s="1037">
        <v>150.04970461488199</v>
      </c>
      <c r="BY19" s="1037">
        <v>0</v>
      </c>
      <c r="BZ19" s="1037">
        <v>149.27340958999801</v>
      </c>
      <c r="CA19" s="1037">
        <v>0</v>
      </c>
      <c r="CB19" s="1037">
        <v>147.39294702798</v>
      </c>
      <c r="CC19" s="1304">
        <v>0</v>
      </c>
      <c r="CD19" s="1304">
        <v>145.77256479243999</v>
      </c>
      <c r="CE19" s="1304">
        <v>0</v>
      </c>
      <c r="CF19" s="1037">
        <v>144.32286195246999</v>
      </c>
      <c r="CG19" s="1304">
        <v>0</v>
      </c>
      <c r="CH19" s="1304">
        <v>142.882607445872</v>
      </c>
      <c r="CI19" s="1304">
        <v>0</v>
      </c>
      <c r="CJ19" s="1304">
        <v>143.763722762502</v>
      </c>
      <c r="CK19" s="1304">
        <v>0</v>
      </c>
      <c r="CL19" s="1037">
        <v>142.86717506340099</v>
      </c>
      <c r="CM19" s="1304">
        <v>0</v>
      </c>
      <c r="CN19" s="1304">
        <v>142.784406937992</v>
      </c>
      <c r="CO19" s="1304">
        <v>0</v>
      </c>
      <c r="CP19" s="1304">
        <v>145.26508303250401</v>
      </c>
      <c r="CQ19" s="1304">
        <v>0</v>
      </c>
      <c r="CR19" s="1304">
        <v>147.44655010613599</v>
      </c>
      <c r="CS19" s="1304">
        <v>0</v>
      </c>
      <c r="CT19" s="1037">
        <v>152.38937225000001</v>
      </c>
      <c r="CU19" s="1304">
        <v>0</v>
      </c>
      <c r="CV19" s="1037">
        <v>151.45493726790801</v>
      </c>
      <c r="CW19" s="1304">
        <v>0</v>
      </c>
      <c r="CX19" s="1304">
        <v>149.13613835500399</v>
      </c>
      <c r="CY19" s="1304">
        <v>0</v>
      </c>
      <c r="CZ19" s="1037">
        <v>148.04369026758101</v>
      </c>
      <c r="DA19" s="1304">
        <v>0</v>
      </c>
      <c r="DB19" s="1037">
        <v>147.87132583600001</v>
      </c>
      <c r="DC19" s="1304">
        <v>0</v>
      </c>
      <c r="DD19" s="1037">
        <v>147.48943164358101</v>
      </c>
      <c r="DE19" s="1037">
        <v>0</v>
      </c>
      <c r="DF19" s="1037">
        <v>148.39965391176699</v>
      </c>
      <c r="DG19" s="1037">
        <v>0</v>
      </c>
      <c r="DH19" s="1037">
        <v>148.279851095927</v>
      </c>
      <c r="DI19" s="1037">
        <v>0</v>
      </c>
      <c r="DJ19" s="1037">
        <v>150.733955451003</v>
      </c>
      <c r="DK19" s="1037">
        <v>0</v>
      </c>
      <c r="DL19" s="1037">
        <v>154.03712798450101</v>
      </c>
      <c r="DM19" s="1037">
        <v>0</v>
      </c>
      <c r="DN19" s="1037">
        <v>154.08787244000001</v>
      </c>
      <c r="DO19" s="1037">
        <v>0</v>
      </c>
      <c r="DP19" s="1037">
        <v>154.08232125249901</v>
      </c>
      <c r="DQ19" s="1037">
        <v>0</v>
      </c>
      <c r="DR19" s="1037">
        <v>163.90810281999899</v>
      </c>
      <c r="DS19" s="1037">
        <v>0</v>
      </c>
      <c r="DT19" s="1037">
        <v>164.126548999996</v>
      </c>
      <c r="DU19" s="1037">
        <v>0</v>
      </c>
      <c r="DV19" s="1037">
        <v>162.29195044850101</v>
      </c>
      <c r="DW19" s="1037">
        <v>0</v>
      </c>
      <c r="DX19" s="1037">
        <v>162.94530965499999</v>
      </c>
      <c r="DY19" s="1037">
        <v>0</v>
      </c>
      <c r="DZ19" s="1037">
        <v>162.53159432399801</v>
      </c>
      <c r="EA19" s="1037">
        <v>0</v>
      </c>
      <c r="EB19" s="1037">
        <v>164.10671117650699</v>
      </c>
      <c r="EC19" s="1037">
        <v>0</v>
      </c>
      <c r="ED19" s="1037">
        <v>163.42823238899899</v>
      </c>
      <c r="EE19" s="1037">
        <v>0</v>
      </c>
      <c r="EF19" s="1037">
        <v>163.39617996800101</v>
      </c>
      <c r="EG19" s="1037">
        <v>0</v>
      </c>
      <c r="EH19" s="1037">
        <v>160.87405489949899</v>
      </c>
      <c r="EI19" s="1037">
        <v>0</v>
      </c>
      <c r="EJ19" s="1037">
        <v>160.832877119209</v>
      </c>
      <c r="EK19" s="1037">
        <v>0</v>
      </c>
      <c r="EL19" s="1037">
        <v>170.18859348300001</v>
      </c>
      <c r="EM19" s="1037">
        <v>0</v>
      </c>
      <c r="EN19" s="1037">
        <v>171.079028278002</v>
      </c>
      <c r="EO19" s="1037">
        <v>0</v>
      </c>
      <c r="EP19" s="1037">
        <v>178.1522819281</v>
      </c>
      <c r="EQ19" s="1037">
        <v>0</v>
      </c>
      <c r="ER19" s="1037">
        <v>178.525427433999</v>
      </c>
      <c r="ES19" s="1037">
        <v>0</v>
      </c>
      <c r="ET19" s="1037">
        <v>178.09178910649899</v>
      </c>
      <c r="EU19" s="1037">
        <v>0</v>
      </c>
      <c r="EV19" s="1037">
        <v>175.323918466501</v>
      </c>
      <c r="EW19" s="1037">
        <v>0</v>
      </c>
      <c r="EX19" s="1037">
        <v>175.81616304850101</v>
      </c>
      <c r="EY19" s="1037">
        <v>0</v>
      </c>
      <c r="EZ19" s="1037">
        <v>177.92885185900101</v>
      </c>
      <c r="FA19" s="1037">
        <v>0</v>
      </c>
      <c r="FB19" s="1037">
        <v>176.50311210999999</v>
      </c>
      <c r="FC19" s="1037">
        <v>0</v>
      </c>
      <c r="FD19" s="1035" t="s">
        <v>3566</v>
      </c>
    </row>
    <row r="20" spans="1:163" ht="21" customHeight="1" thickBot="1">
      <c r="A20" s="1038" t="s">
        <v>2247</v>
      </c>
      <c r="B20" s="1039">
        <v>1630.3428095235072</v>
      </c>
      <c r="C20" s="1039">
        <v>555.85891563069504</v>
      </c>
      <c r="D20" s="1039">
        <v>1925.73396181516</v>
      </c>
      <c r="E20" s="1039">
        <v>718.08271804040294</v>
      </c>
      <c r="F20" s="1039">
        <v>2020.3606786126302</v>
      </c>
      <c r="G20" s="1039">
        <v>806.06588651974198</v>
      </c>
      <c r="H20" s="1039">
        <v>1720.7767657633701</v>
      </c>
      <c r="I20" s="1039">
        <v>508.165106082242</v>
      </c>
      <c r="J20" s="1039">
        <v>1213.3147520919881</v>
      </c>
      <c r="K20" s="1039">
        <v>96.614264746660979</v>
      </c>
      <c r="L20" s="1039">
        <v>1482.1102937704302</v>
      </c>
      <c r="M20" s="1039">
        <v>65.877058466994995</v>
      </c>
      <c r="N20" s="1039">
        <v>1467.09546851351</v>
      </c>
      <c r="O20" s="1039">
        <v>201.19833495928108</v>
      </c>
      <c r="P20" s="1039">
        <v>1864.5368909217</v>
      </c>
      <c r="Q20" s="1039">
        <v>510.39888618901398</v>
      </c>
      <c r="R20" s="1039">
        <v>1887.90846643399</v>
      </c>
      <c r="S20" s="1039">
        <v>510.67839442422996</v>
      </c>
      <c r="T20" s="1039">
        <v>1889.1011301616827</v>
      </c>
      <c r="U20" s="1039">
        <v>697.57115980768697</v>
      </c>
      <c r="V20" s="1039">
        <v>1381.1988445282079</v>
      </c>
      <c r="W20" s="1039">
        <v>108.509446278197</v>
      </c>
      <c r="X20" s="1039">
        <v>1518.8392359343002</v>
      </c>
      <c r="Y20" s="1039">
        <v>122.38861225561203</v>
      </c>
      <c r="Z20" s="1039">
        <v>1314.710633445191</v>
      </c>
      <c r="AA20" s="1039">
        <v>91.508087302832024</v>
      </c>
      <c r="AB20" s="1039">
        <v>1426.0154839193631</v>
      </c>
      <c r="AC20" s="1039">
        <v>143.44240452723801</v>
      </c>
      <c r="AD20" s="1039">
        <v>1770.482284936525</v>
      </c>
      <c r="AE20" s="1039">
        <v>400.91171106124705</v>
      </c>
      <c r="AF20" s="1039">
        <v>1822.3671662176912</v>
      </c>
      <c r="AG20" s="1039">
        <v>470.25462671528004</v>
      </c>
      <c r="AH20" s="1039">
        <v>1821.296717086072</v>
      </c>
      <c r="AI20" s="1039">
        <v>357.86892044115802</v>
      </c>
      <c r="AJ20" s="1039">
        <v>2006.44840960997</v>
      </c>
      <c r="AK20" s="1039">
        <v>220.672778855416</v>
      </c>
      <c r="AL20" s="1039">
        <v>1692.5744383153242</v>
      </c>
      <c r="AM20" s="1039">
        <v>272.13289177187505</v>
      </c>
      <c r="AN20" s="1039">
        <v>2069.0471946356001</v>
      </c>
      <c r="AO20" s="1039">
        <v>419.71128214723501</v>
      </c>
      <c r="AP20" s="1039">
        <v>1580.31954298662</v>
      </c>
      <c r="AQ20" s="1039">
        <v>103.948251919618</v>
      </c>
      <c r="AR20" s="1039">
        <v>1601.0581881173248</v>
      </c>
      <c r="AS20" s="1039">
        <v>154.03142847996401</v>
      </c>
      <c r="AT20" s="1039">
        <v>1776.04093342329</v>
      </c>
      <c r="AU20" s="1039">
        <v>442.70366575240706</v>
      </c>
      <c r="AV20" s="1039">
        <v>1706.0481858599819</v>
      </c>
      <c r="AW20" s="1039">
        <v>359.86856623459397</v>
      </c>
      <c r="AX20" s="1039">
        <v>1324.2799281068237</v>
      </c>
      <c r="AY20" s="1039">
        <v>109.61402381053801</v>
      </c>
      <c r="AZ20" s="1039">
        <v>1969.3291022200999</v>
      </c>
      <c r="BA20" s="1039">
        <v>590.16851063183503</v>
      </c>
      <c r="BB20" s="1039">
        <v>2098.8693365891809</v>
      </c>
      <c r="BC20" s="1039">
        <v>485.79369038068893</v>
      </c>
      <c r="BD20" s="1039">
        <v>1624.1203213206359</v>
      </c>
      <c r="BE20" s="1039">
        <v>329.34814933408398</v>
      </c>
      <c r="BF20" s="1039">
        <v>1869.7243989802996</v>
      </c>
      <c r="BG20" s="1039">
        <v>541.59656813187701</v>
      </c>
      <c r="BH20" s="1039">
        <v>2303.3531646416</v>
      </c>
      <c r="BI20" s="1039">
        <v>704.16704098980108</v>
      </c>
      <c r="BJ20" s="1039">
        <v>2487.8872879404298</v>
      </c>
      <c r="BK20" s="1039">
        <v>803.58318896670698</v>
      </c>
      <c r="BL20" s="1039">
        <v>2395.9462816404903</v>
      </c>
      <c r="BM20" s="1039">
        <v>982.24027924254005</v>
      </c>
      <c r="BN20" s="1039">
        <v>2456.0453059292199</v>
      </c>
      <c r="BO20" s="1039">
        <v>1008.347012172157</v>
      </c>
      <c r="BP20" s="1039">
        <v>2361.4599099124198</v>
      </c>
      <c r="BQ20" s="1039">
        <v>753.62473671915495</v>
      </c>
      <c r="BR20" s="1039">
        <v>2850.5401410037398</v>
      </c>
      <c r="BS20" s="1039">
        <v>892.18237161351908</v>
      </c>
      <c r="BT20" s="1039">
        <v>3114.8577947291901</v>
      </c>
      <c r="BU20" s="1039">
        <v>1308.1810151696791</v>
      </c>
      <c r="BV20" s="1039">
        <v>2546.7639805048502</v>
      </c>
      <c r="BW20" s="1039">
        <v>725.08887332853305</v>
      </c>
      <c r="BX20" s="1039">
        <v>3384.9115863929401</v>
      </c>
      <c r="BY20" s="1039">
        <v>1650.0258984999</v>
      </c>
      <c r="BZ20" s="1039">
        <v>3847.9038144170299</v>
      </c>
      <c r="CA20" s="1039">
        <v>2066.9991791125299</v>
      </c>
      <c r="CB20" s="1039">
        <v>3846.512592086</v>
      </c>
      <c r="CC20" s="1305">
        <v>2124.7467501808701</v>
      </c>
      <c r="CD20" s="1305">
        <v>4154.2345938428898</v>
      </c>
      <c r="CE20" s="1305">
        <v>2313.7052064958798</v>
      </c>
      <c r="CF20" s="1039">
        <v>4461.52094298461</v>
      </c>
      <c r="CG20" s="1305">
        <v>2428.17074734378</v>
      </c>
      <c r="CH20" s="1305">
        <v>3860.4160528131401</v>
      </c>
      <c r="CI20" s="1305">
        <v>2056.4570320817102</v>
      </c>
      <c r="CJ20" s="1305">
        <v>4368.0230086539004</v>
      </c>
      <c r="CK20" s="1305">
        <v>2030.5273133875901</v>
      </c>
      <c r="CL20" s="1039">
        <v>4436.1770522061097</v>
      </c>
      <c r="CM20" s="1305">
        <v>1840.58837840715</v>
      </c>
      <c r="CN20" s="1305">
        <v>4171.7382755536401</v>
      </c>
      <c r="CO20" s="1305">
        <v>1234.2183073894</v>
      </c>
      <c r="CP20" s="1305">
        <v>4704.8505909799496</v>
      </c>
      <c r="CQ20" s="1305">
        <v>1375.26549302838</v>
      </c>
      <c r="CR20" s="1305">
        <v>5077.13327947179</v>
      </c>
      <c r="CS20" s="1305">
        <v>1351.72306806542</v>
      </c>
      <c r="CT20" s="1039">
        <v>4399.0734454433596</v>
      </c>
      <c r="CU20" s="1305">
        <v>1646.34269082739</v>
      </c>
      <c r="CV20" s="1039">
        <v>4753.0468522347901</v>
      </c>
      <c r="CW20" s="1305">
        <v>1814.39588750078</v>
      </c>
      <c r="CX20" s="1305">
        <v>4206.4784198423504</v>
      </c>
      <c r="CY20" s="1305">
        <v>1521.5622423831201</v>
      </c>
      <c r="CZ20" s="1039">
        <v>3674.9628667455299</v>
      </c>
      <c r="DA20" s="1305">
        <v>1397.4112361098901</v>
      </c>
      <c r="DB20" s="1039">
        <v>3428.0477721411498</v>
      </c>
      <c r="DC20" s="1305">
        <v>1402.5359995742201</v>
      </c>
      <c r="DD20" s="1039">
        <v>3494.9517471935601</v>
      </c>
      <c r="DE20" s="1039">
        <v>1276.6546807432001</v>
      </c>
      <c r="DF20" s="1039">
        <v>4548.3783788889396</v>
      </c>
      <c r="DG20" s="1039">
        <v>1370.3765947187701</v>
      </c>
      <c r="DH20" s="1039">
        <v>3797.5728925375402</v>
      </c>
      <c r="DI20" s="1039">
        <v>1267.6966912432599</v>
      </c>
      <c r="DJ20" s="1039">
        <v>4294.8792293194101</v>
      </c>
      <c r="DK20" s="1039">
        <v>1906.5683865931401</v>
      </c>
      <c r="DL20" s="1039">
        <v>4468.8220246418596</v>
      </c>
      <c r="DM20" s="1039">
        <v>1494.82593367702</v>
      </c>
      <c r="DN20" s="1039">
        <v>4064.0834680152402</v>
      </c>
      <c r="DO20" s="1039">
        <v>1658.8106084037299</v>
      </c>
      <c r="DP20" s="1039">
        <v>3968.97809101655</v>
      </c>
      <c r="DQ20" s="1039">
        <v>1769.0048045065901</v>
      </c>
      <c r="DR20" s="1039">
        <v>3225.9439359877201</v>
      </c>
      <c r="DS20" s="1039">
        <v>551.645912290507</v>
      </c>
      <c r="DT20" s="1039">
        <v>4170.1980547756502</v>
      </c>
      <c r="DU20" s="1039">
        <v>1521.76021901482</v>
      </c>
      <c r="DV20" s="1039">
        <v>4929.6619273604201</v>
      </c>
      <c r="DW20" s="1039">
        <v>1873.8257699542901</v>
      </c>
      <c r="DX20" s="1039">
        <v>4544.1054383798701</v>
      </c>
      <c r="DY20" s="1039">
        <v>1314.8528467849501</v>
      </c>
      <c r="DZ20" s="1039">
        <v>5302.1736256309896</v>
      </c>
      <c r="EA20" s="1039">
        <v>1425.9109311683401</v>
      </c>
      <c r="EB20" s="1039">
        <v>5573.1168892106698</v>
      </c>
      <c r="EC20" s="1039">
        <v>1763.27797993595</v>
      </c>
      <c r="ED20" s="1039">
        <v>4466.0280677748897</v>
      </c>
      <c r="EE20" s="1039">
        <v>1365.5094324724701</v>
      </c>
      <c r="EF20" s="1039">
        <v>5721.0369901406502</v>
      </c>
      <c r="EG20" s="1039">
        <v>1968.1889165330299</v>
      </c>
      <c r="EH20" s="1039">
        <v>4535.6766259280503</v>
      </c>
      <c r="EI20" s="1039">
        <v>2225.2570130634599</v>
      </c>
      <c r="EJ20" s="1039">
        <v>5041.1707085145699</v>
      </c>
      <c r="EK20" s="1039">
        <v>2405.8882965657099</v>
      </c>
      <c r="EL20" s="1039">
        <v>4612.8745261981803</v>
      </c>
      <c r="EM20" s="1039">
        <v>2098.6720652622798</v>
      </c>
      <c r="EN20" s="1039">
        <v>4818.3964153016404</v>
      </c>
      <c r="EO20" s="1039">
        <v>2374.1543941831301</v>
      </c>
      <c r="EP20" s="1039">
        <v>3905.42776999328</v>
      </c>
      <c r="EQ20" s="1039">
        <v>1595.1072830620301</v>
      </c>
      <c r="ER20" s="1039">
        <v>4418.1504733445099</v>
      </c>
      <c r="ES20" s="1039">
        <v>1503.6751326988499</v>
      </c>
      <c r="ET20" s="1039">
        <v>4706.0475181248603</v>
      </c>
      <c r="EU20" s="1039">
        <v>1825.5274330940099</v>
      </c>
      <c r="EV20" s="1039">
        <v>4867.4084545835804</v>
      </c>
      <c r="EW20" s="1039">
        <v>1669.42115613079</v>
      </c>
      <c r="EX20" s="1039">
        <v>5060.9508318853595</v>
      </c>
      <c r="EY20" s="1039">
        <v>1853.62831612178</v>
      </c>
      <c r="EZ20" s="1039">
        <v>6339.7324425974302</v>
      </c>
      <c r="FA20" s="1039">
        <v>2499.77141881548</v>
      </c>
      <c r="FB20" s="1039">
        <v>5820.9941028612602</v>
      </c>
      <c r="FC20" s="1039">
        <v>2230.1454567311598</v>
      </c>
      <c r="FD20" s="1038" t="s">
        <v>3567</v>
      </c>
    </row>
    <row r="21" spans="1:163" ht="21" customHeight="1" thickBot="1">
      <c r="A21" s="1040" t="s">
        <v>2246</v>
      </c>
      <c r="B21" s="1041">
        <v>32722.7715977398</v>
      </c>
      <c r="C21" s="1041">
        <v>14414.970757412901</v>
      </c>
      <c r="D21" s="1041">
        <v>32863.227780295201</v>
      </c>
      <c r="E21" s="1041">
        <v>14496.9450452005</v>
      </c>
      <c r="F21" s="1041">
        <v>33195.901429616199</v>
      </c>
      <c r="G21" s="1041">
        <v>14453.4468035061</v>
      </c>
      <c r="H21" s="1041">
        <v>32218.908868476301</v>
      </c>
      <c r="I21" s="1041">
        <v>14502.455609077</v>
      </c>
      <c r="J21" s="1041">
        <v>31272.782507934098</v>
      </c>
      <c r="K21" s="1041">
        <v>13964.890086232799</v>
      </c>
      <c r="L21" s="1041">
        <v>31260.790089749298</v>
      </c>
      <c r="M21" s="1041">
        <v>13936.5845013494</v>
      </c>
      <c r="N21" s="1041">
        <v>30541.031249233201</v>
      </c>
      <c r="O21" s="1041">
        <v>13296.2682099225</v>
      </c>
      <c r="P21" s="1041">
        <v>30503.466040593601</v>
      </c>
      <c r="Q21" s="1041">
        <v>13081.1941332431</v>
      </c>
      <c r="R21" s="1041">
        <v>31065.933888842599</v>
      </c>
      <c r="S21" s="1041">
        <v>13403.720153510099</v>
      </c>
      <c r="T21" s="1041">
        <v>30618.9290287773</v>
      </c>
      <c r="U21" s="1041">
        <v>12394.782564631099</v>
      </c>
      <c r="V21" s="1041">
        <v>30685.092057285299</v>
      </c>
      <c r="W21" s="1041">
        <v>12354.550465365801</v>
      </c>
      <c r="X21" s="1041">
        <v>30742.970919662701</v>
      </c>
      <c r="Y21" s="1041">
        <v>12640.004444967501</v>
      </c>
      <c r="Z21" s="1041">
        <v>32055.309258092399</v>
      </c>
      <c r="AA21" s="1041">
        <v>12954.4190992485</v>
      </c>
      <c r="AB21" s="1041">
        <v>31944.817244463298</v>
      </c>
      <c r="AC21" s="1041">
        <v>13033.4587559256</v>
      </c>
      <c r="AD21" s="1041">
        <v>32203.4462034883</v>
      </c>
      <c r="AE21" s="1041">
        <v>13112.6735338001</v>
      </c>
      <c r="AF21" s="1041">
        <v>32521.404198268199</v>
      </c>
      <c r="AG21" s="1041">
        <v>13069.0656738747</v>
      </c>
      <c r="AH21" s="1041">
        <v>32796.6888263289</v>
      </c>
      <c r="AI21" s="1041">
        <v>13002.5601498455</v>
      </c>
      <c r="AJ21" s="1041">
        <v>33810.727473174302</v>
      </c>
      <c r="AK21" s="1041">
        <v>13301.0374251223</v>
      </c>
      <c r="AL21" s="1041">
        <v>33069.857593718902</v>
      </c>
      <c r="AM21" s="1041">
        <v>12729.586867423601</v>
      </c>
      <c r="AN21" s="1041">
        <v>33668.131007581098</v>
      </c>
      <c r="AO21" s="1041">
        <v>13208.216768565901</v>
      </c>
      <c r="AP21" s="1041">
        <v>33426.7443815316</v>
      </c>
      <c r="AQ21" s="1041">
        <v>12876.9449626069</v>
      </c>
      <c r="AR21" s="1041">
        <v>34526.541956258297</v>
      </c>
      <c r="AS21" s="1041">
        <v>13428.8078828334</v>
      </c>
      <c r="AT21" s="1041">
        <v>34963.554086618802</v>
      </c>
      <c r="AU21" s="1041">
        <v>13715.330100581699</v>
      </c>
      <c r="AV21" s="1041">
        <v>35604.461453450996</v>
      </c>
      <c r="AW21" s="1041">
        <v>14058.2874493011</v>
      </c>
      <c r="AX21" s="1041">
        <v>38462.211941057802</v>
      </c>
      <c r="AY21" s="1041">
        <v>15160.1225547493</v>
      </c>
      <c r="AZ21" s="1041">
        <v>37982.260347163297</v>
      </c>
      <c r="BA21" s="1041">
        <v>15074.0944965568</v>
      </c>
      <c r="BB21" s="1041">
        <v>38483.425064277799</v>
      </c>
      <c r="BC21" s="1041">
        <v>14936.7264888476</v>
      </c>
      <c r="BD21" s="1041">
        <v>39673.238268746303</v>
      </c>
      <c r="BE21" s="1041">
        <v>15825.8699171014</v>
      </c>
      <c r="BF21" s="1041">
        <v>40149.084618708599</v>
      </c>
      <c r="BG21" s="1041">
        <v>16058.6155797547</v>
      </c>
      <c r="BH21" s="1041">
        <v>41371.5485903351</v>
      </c>
      <c r="BI21" s="1041">
        <v>16967.565977729901</v>
      </c>
      <c r="BJ21" s="1041">
        <v>41920.128072595697</v>
      </c>
      <c r="BK21" s="1041">
        <v>16786.720219585401</v>
      </c>
      <c r="BL21" s="1041">
        <v>41589.734235009797</v>
      </c>
      <c r="BM21" s="1041">
        <v>17370.2725547806</v>
      </c>
      <c r="BN21" s="1041">
        <v>42404.660369537502</v>
      </c>
      <c r="BO21" s="1041">
        <v>17314.500129497999</v>
      </c>
      <c r="BP21" s="1041">
        <v>43633.385177794204</v>
      </c>
      <c r="BQ21" s="1041">
        <v>17782.770344418201</v>
      </c>
      <c r="BR21" s="1041">
        <v>44660.662882586701</v>
      </c>
      <c r="BS21" s="1041">
        <v>17774.5589931348</v>
      </c>
      <c r="BT21" s="1041">
        <v>45490.196201576502</v>
      </c>
      <c r="BU21" s="1041">
        <v>18164.717006193001</v>
      </c>
      <c r="BV21" s="1041">
        <v>47054.924150291597</v>
      </c>
      <c r="BW21" s="1041">
        <v>19064.628695592801</v>
      </c>
      <c r="BX21" s="1041">
        <v>45861.926241123198</v>
      </c>
      <c r="BY21" s="1041">
        <v>18216.232575845199</v>
      </c>
      <c r="BZ21" s="1041">
        <v>45708.5899215561</v>
      </c>
      <c r="CA21" s="1041">
        <v>17672.247945139301</v>
      </c>
      <c r="CB21" s="1041">
        <v>44843.205755130803</v>
      </c>
      <c r="CC21" s="1306">
        <v>16870.602642416099</v>
      </c>
      <c r="CD21" s="1306">
        <v>45582.651149420002</v>
      </c>
      <c r="CE21" s="1306">
        <v>17316.540197096299</v>
      </c>
      <c r="CF21" s="1041">
        <v>45921.778460522102</v>
      </c>
      <c r="CG21" s="1306">
        <v>17398.4571641863</v>
      </c>
      <c r="CH21" s="1306">
        <v>45218.267243912698</v>
      </c>
      <c r="CI21" s="1306">
        <v>16218.748110373001</v>
      </c>
      <c r="CJ21" s="1306">
        <v>44880.3317052614</v>
      </c>
      <c r="CK21" s="1306">
        <v>14984.733036395801</v>
      </c>
      <c r="CL21" s="1041">
        <v>45358.686479888704</v>
      </c>
      <c r="CM21" s="1306">
        <v>14810.683623777801</v>
      </c>
      <c r="CN21" s="1306">
        <v>45530.499721911001</v>
      </c>
      <c r="CO21" s="1306">
        <v>14548.7141524483</v>
      </c>
      <c r="CP21" s="1306">
        <v>46146.565306835597</v>
      </c>
      <c r="CQ21" s="1306">
        <v>15136.4200942961</v>
      </c>
      <c r="CR21" s="1306">
        <v>46172.478034141503</v>
      </c>
      <c r="CS21" s="1306">
        <v>14698.8282644139</v>
      </c>
      <c r="CT21" s="1041">
        <v>49178.196218153098</v>
      </c>
      <c r="CU21" s="1306">
        <v>16552.3832110728</v>
      </c>
      <c r="CV21" s="1041">
        <v>49296.7716533243</v>
      </c>
      <c r="CW21" s="1306">
        <v>16613.454465425701</v>
      </c>
      <c r="CX21" s="1306">
        <v>48735.6783047223</v>
      </c>
      <c r="CY21" s="1306">
        <v>16169.177976425301</v>
      </c>
      <c r="CZ21" s="1041">
        <v>48909.943949051602</v>
      </c>
      <c r="DA21" s="1306">
        <v>16305.704356679</v>
      </c>
      <c r="DB21" s="1041">
        <v>49221.614740272002</v>
      </c>
      <c r="DC21" s="1306">
        <v>16739.149660785599</v>
      </c>
      <c r="DD21" s="1041">
        <v>49147.4736620525</v>
      </c>
      <c r="DE21" s="1041">
        <v>16289.0321774932</v>
      </c>
      <c r="DF21" s="1041">
        <v>50328.119893915798</v>
      </c>
      <c r="DG21" s="1041">
        <v>16304.893130358299</v>
      </c>
      <c r="DH21" s="1041">
        <v>49089.294073587698</v>
      </c>
      <c r="DI21" s="1041">
        <v>15340.3317338494</v>
      </c>
      <c r="DJ21" s="1041">
        <v>49567.745979818203</v>
      </c>
      <c r="DK21" s="1041">
        <v>15879.9924546411</v>
      </c>
      <c r="DL21" s="1041">
        <v>50840.8393688344</v>
      </c>
      <c r="DM21" s="1041">
        <v>16250.5127884182</v>
      </c>
      <c r="DN21" s="1041">
        <v>49697.750916874204</v>
      </c>
      <c r="DO21" s="1041">
        <v>16493.036997368701</v>
      </c>
      <c r="DP21" s="1041">
        <v>50164.6169819184</v>
      </c>
      <c r="DQ21" s="1041">
        <v>15702.9965323136</v>
      </c>
      <c r="DR21" s="1041">
        <v>53001.401722433002</v>
      </c>
      <c r="DS21" s="1041">
        <v>16196.3230507929</v>
      </c>
      <c r="DT21" s="1041">
        <v>53090.739005044699</v>
      </c>
      <c r="DU21" s="1041">
        <v>17182.867671225398</v>
      </c>
      <c r="DV21" s="1041">
        <v>53561.650321216599</v>
      </c>
      <c r="DW21" s="1041">
        <v>17463.599112621901</v>
      </c>
      <c r="DX21" s="1041">
        <v>54855.6323323299</v>
      </c>
      <c r="DY21" s="1041">
        <v>17539.468549057801</v>
      </c>
      <c r="DZ21" s="1041">
        <v>54607.1446844694</v>
      </c>
      <c r="EA21" s="1041">
        <v>17270.3294410579</v>
      </c>
      <c r="EB21" s="1041">
        <v>56549.735593522899</v>
      </c>
      <c r="EC21" s="1041">
        <v>19150.8998105348</v>
      </c>
      <c r="ED21" s="1041">
        <v>56734.138886025998</v>
      </c>
      <c r="EE21" s="1041">
        <v>17831.533566423099</v>
      </c>
      <c r="EF21" s="1041">
        <v>55700.116041815701</v>
      </c>
      <c r="EG21" s="1041">
        <v>17084.607755249501</v>
      </c>
      <c r="EH21" s="1041">
        <v>55672.352198426401</v>
      </c>
      <c r="EI21" s="1041">
        <v>17258.8701728653</v>
      </c>
      <c r="EJ21" s="1041">
        <v>56137.987108355599</v>
      </c>
      <c r="EK21" s="1041">
        <v>17298.3442912844</v>
      </c>
      <c r="EL21" s="1041">
        <v>56341.876936471097</v>
      </c>
      <c r="EM21" s="1041">
        <v>16917.840746731799</v>
      </c>
      <c r="EN21" s="1041">
        <v>58748.574753219102</v>
      </c>
      <c r="EO21" s="1041">
        <v>18012.836413602501</v>
      </c>
      <c r="EP21" s="1041">
        <v>57086.215620103001</v>
      </c>
      <c r="EQ21" s="1041">
        <v>16932.287146987899</v>
      </c>
      <c r="ER21" s="1752">
        <v>56935.817156965903</v>
      </c>
      <c r="ES21" s="1752">
        <v>16478.327817841098</v>
      </c>
      <c r="ET21" s="1752">
        <v>57132.793229380201</v>
      </c>
      <c r="EU21" s="1752">
        <v>16611.826090643099</v>
      </c>
      <c r="EV21" s="1752">
        <v>57960.764520507801</v>
      </c>
      <c r="EW21" s="1752">
        <v>16806.676508658202</v>
      </c>
      <c r="EX21" s="1752">
        <v>57355.811393577802</v>
      </c>
      <c r="EY21" s="1752">
        <v>15704.2437353473</v>
      </c>
      <c r="EZ21" s="1752">
        <v>59183.742746828197</v>
      </c>
      <c r="FA21" s="1752">
        <v>16187.7998562958</v>
      </c>
      <c r="FB21" s="1752">
        <v>60940.379142742298</v>
      </c>
      <c r="FC21" s="1752">
        <v>17150.1857178557</v>
      </c>
      <c r="FD21" s="1040" t="s">
        <v>3568</v>
      </c>
      <c r="FF21" s="1032"/>
    </row>
    <row r="22" spans="1:163" ht="16.149999999999999" customHeight="1">
      <c r="A22" s="1297"/>
      <c r="B22" s="1298"/>
      <c r="C22" s="1298"/>
      <c r="D22" s="1298"/>
      <c r="E22" s="1298"/>
      <c r="F22" s="1298"/>
      <c r="G22" s="1298"/>
      <c r="H22" s="1298"/>
      <c r="I22" s="1298"/>
      <c r="J22" s="1298"/>
      <c r="K22" s="1298"/>
      <c r="L22" s="1298"/>
      <c r="M22" s="1298"/>
      <c r="N22" s="1298"/>
      <c r="O22" s="1298"/>
      <c r="P22" s="1298"/>
      <c r="Q22" s="1298"/>
      <c r="R22" s="1298"/>
      <c r="S22" s="1298"/>
      <c r="T22" s="1298"/>
      <c r="U22" s="1298"/>
      <c r="V22" s="1298"/>
      <c r="W22" s="1298"/>
      <c r="X22" s="1298"/>
      <c r="Y22" s="1298"/>
      <c r="Z22" s="1298"/>
      <c r="AA22" s="1298"/>
      <c r="AB22" s="1298"/>
      <c r="AC22" s="1298"/>
      <c r="AD22" s="1298"/>
      <c r="AE22" s="1298"/>
      <c r="AF22" s="1298"/>
      <c r="AG22" s="1298"/>
      <c r="AH22" s="1298"/>
      <c r="AI22" s="1298"/>
      <c r="AJ22" s="1298"/>
      <c r="AK22" s="1298"/>
      <c r="AL22" s="1298"/>
      <c r="AM22" s="1298"/>
      <c r="AN22" s="1298"/>
      <c r="AO22" s="1298"/>
      <c r="AP22" s="1298"/>
      <c r="AQ22" s="1298"/>
      <c r="AR22" s="1298"/>
      <c r="AS22" s="1298"/>
      <c r="AT22" s="1298"/>
      <c r="AU22" s="1298"/>
      <c r="AV22" s="1298"/>
      <c r="AW22" s="1298"/>
      <c r="AX22" s="1298"/>
      <c r="AY22" s="1298"/>
      <c r="AZ22" s="1298"/>
      <c r="BA22" s="1298"/>
      <c r="BB22" s="1298"/>
      <c r="BC22" s="1298"/>
      <c r="BD22" s="1298"/>
      <c r="BE22" s="1298"/>
      <c r="BF22" s="1298"/>
      <c r="BG22" s="1298"/>
      <c r="BH22" s="1298"/>
      <c r="BI22" s="1298"/>
      <c r="BJ22" s="1298"/>
      <c r="BK22" s="1298"/>
      <c r="BL22" s="1298"/>
      <c r="BM22" s="1298"/>
      <c r="BN22" s="1298"/>
      <c r="BO22" s="1298"/>
      <c r="BP22" s="1298"/>
      <c r="BQ22" s="1298"/>
      <c r="BR22" s="1298"/>
      <c r="BS22" s="1298"/>
      <c r="BT22" s="1298"/>
      <c r="BU22" s="1298"/>
      <c r="BV22" s="1298"/>
      <c r="BW22" s="1298"/>
      <c r="BX22" s="1298"/>
      <c r="BY22" s="1298"/>
      <c r="BZ22" s="1298"/>
      <c r="CA22" s="1298"/>
      <c r="CB22" s="1298"/>
      <c r="CC22" s="1298"/>
      <c r="CD22" s="1298"/>
      <c r="CE22" s="1298"/>
      <c r="CF22" s="1298"/>
      <c r="CG22" s="1298"/>
      <c r="CH22" s="1298"/>
      <c r="CI22" s="1298"/>
      <c r="CJ22" s="1298"/>
      <c r="CK22" s="1298"/>
      <c r="CL22" s="1298"/>
      <c r="CM22" s="1298"/>
      <c r="CN22" s="1298"/>
      <c r="CO22" s="1298"/>
      <c r="CP22" s="1298"/>
      <c r="CQ22" s="1298"/>
      <c r="CR22" s="1298"/>
      <c r="CS22" s="1298"/>
      <c r="CT22" s="1298"/>
      <c r="CU22" s="1298"/>
      <c r="CV22" s="1298"/>
      <c r="CW22" s="1298"/>
      <c r="CX22" s="1298"/>
      <c r="CY22" s="1298"/>
      <c r="CZ22" s="1298"/>
      <c r="DA22" s="1298"/>
      <c r="DB22" s="1298"/>
      <c r="DC22" s="1298"/>
      <c r="DD22" s="1298"/>
      <c r="DE22" s="1298"/>
      <c r="DF22" s="1298"/>
      <c r="DG22" s="1298"/>
      <c r="DH22" s="1298"/>
      <c r="DI22" s="1298"/>
      <c r="DJ22" s="1298"/>
      <c r="DK22" s="1298"/>
      <c r="DL22" s="1298"/>
      <c r="DM22" s="1298"/>
      <c r="DN22" s="1298"/>
      <c r="DO22" s="1298"/>
      <c r="DP22" s="1298"/>
      <c r="DQ22" s="1298"/>
      <c r="DR22" s="1298"/>
      <c r="DS22" s="1298"/>
      <c r="DT22" s="1298"/>
      <c r="DU22" s="1298"/>
      <c r="DV22" s="1298"/>
      <c r="DW22" s="1298"/>
      <c r="DX22" s="1298"/>
      <c r="DY22" s="1298"/>
      <c r="DZ22" s="1298"/>
      <c r="EA22" s="1298"/>
      <c r="EB22" s="1298"/>
      <c r="EC22" s="1298"/>
      <c r="ED22" s="1298"/>
      <c r="EE22" s="1298"/>
      <c r="EF22" s="1298"/>
      <c r="EG22" s="1298"/>
      <c r="EH22" s="1298"/>
      <c r="EI22" s="1298"/>
      <c r="EJ22" s="1298"/>
      <c r="EK22" s="1298"/>
      <c r="EL22" s="1298"/>
      <c r="EM22" s="1298"/>
      <c r="EN22" s="1298"/>
      <c r="EO22" s="1298"/>
      <c r="EP22" s="1298"/>
      <c r="EQ22" s="1298"/>
      <c r="ER22" s="1298"/>
      <c r="ES22" s="1298"/>
      <c r="ET22" s="1298"/>
      <c r="EU22" s="1298"/>
      <c r="EV22" s="1298"/>
      <c r="EW22" s="1298"/>
      <c r="EX22" s="1298"/>
      <c r="EY22" s="1298"/>
      <c r="EZ22" s="1298"/>
      <c r="FA22" s="1298"/>
      <c r="FB22" s="1298"/>
      <c r="FC22" s="1298"/>
      <c r="FD22" s="1298"/>
    </row>
    <row r="23" spans="1:163" ht="16.149999999999999" customHeight="1" thickBot="1">
      <c r="A23" s="2724"/>
      <c r="B23" s="2725"/>
      <c r="C23" s="2725"/>
      <c r="D23" s="2725"/>
      <c r="E23" s="2725"/>
      <c r="F23" s="2725"/>
      <c r="G23" s="2725"/>
      <c r="H23" s="2725"/>
      <c r="I23" s="2725"/>
      <c r="J23" s="2725"/>
      <c r="K23" s="2725"/>
      <c r="L23" s="2725"/>
      <c r="M23" s="2725"/>
      <c r="N23" s="2725"/>
      <c r="O23" s="2725"/>
      <c r="P23" s="2725"/>
      <c r="Q23" s="2725"/>
      <c r="R23" s="2725"/>
      <c r="S23" s="2725"/>
      <c r="T23" s="2725"/>
      <c r="U23" s="2725"/>
      <c r="V23" s="2725"/>
      <c r="W23" s="2725"/>
      <c r="X23" s="2725"/>
      <c r="Y23" s="2725"/>
      <c r="Z23" s="2725"/>
      <c r="AA23" s="2725"/>
      <c r="AB23" s="2725"/>
      <c r="AC23" s="2725"/>
      <c r="AD23" s="2725"/>
      <c r="AE23" s="2725"/>
      <c r="AF23" s="2725"/>
      <c r="AG23" s="2725"/>
      <c r="AH23" s="2725"/>
      <c r="AI23" s="2725"/>
      <c r="AJ23" s="2725"/>
      <c r="AK23" s="2725"/>
      <c r="AL23" s="2725"/>
      <c r="AM23" s="2725"/>
      <c r="AN23" s="2725"/>
      <c r="AO23" s="2725"/>
      <c r="AP23" s="2725"/>
      <c r="AQ23" s="2725"/>
      <c r="AR23" s="2725"/>
      <c r="AS23" s="2725"/>
      <c r="AT23" s="2725"/>
      <c r="AU23" s="2725"/>
      <c r="AV23" s="2725"/>
      <c r="AW23" s="2725"/>
      <c r="AX23" s="2725"/>
      <c r="AY23" s="2725"/>
      <c r="AZ23" s="2725"/>
      <c r="BA23" s="2725"/>
      <c r="BB23" s="2725"/>
      <c r="BC23" s="2725"/>
      <c r="BD23" s="2725"/>
      <c r="BE23" s="2725"/>
      <c r="BF23" s="2725"/>
      <c r="BG23" s="2725"/>
      <c r="BH23" s="2725"/>
      <c r="BI23" s="2725"/>
      <c r="BJ23" s="2725"/>
      <c r="BK23" s="2725"/>
      <c r="BL23" s="2725"/>
      <c r="BM23" s="2725"/>
      <c r="BN23" s="2725"/>
      <c r="BO23" s="2725"/>
      <c r="BP23" s="2725"/>
      <c r="BQ23" s="2725"/>
      <c r="BR23" s="2725"/>
      <c r="BS23" s="2725"/>
      <c r="BT23" s="2725"/>
      <c r="BU23" s="2725"/>
      <c r="BV23" s="2725"/>
      <c r="BW23" s="2725"/>
      <c r="BX23" s="2725"/>
      <c r="BY23" s="2725"/>
      <c r="BZ23" s="2725"/>
      <c r="CA23" s="2725"/>
      <c r="CB23" s="2725"/>
      <c r="CC23" s="2725"/>
      <c r="CD23" s="2725"/>
      <c r="CE23" s="2725"/>
      <c r="CF23" s="2725"/>
      <c r="CG23" s="2725"/>
      <c r="CH23" s="2725"/>
      <c r="CI23" s="2725"/>
      <c r="CJ23" s="2725"/>
      <c r="CK23" s="2725"/>
      <c r="CL23" s="2725"/>
      <c r="CM23" s="2725"/>
      <c r="CN23" s="2725"/>
      <c r="CO23" s="2725"/>
      <c r="CP23" s="2725"/>
      <c r="CQ23" s="2725"/>
      <c r="CR23" s="2725"/>
      <c r="CS23" s="2725"/>
      <c r="CT23" s="2725"/>
      <c r="CU23" s="2725"/>
      <c r="CV23" s="2725"/>
      <c r="CW23" s="2725"/>
      <c r="CX23" s="2725"/>
      <c r="CY23" s="2725"/>
      <c r="CZ23" s="2725"/>
      <c r="DA23" s="2725"/>
      <c r="DB23" s="2725"/>
      <c r="DC23" s="2725"/>
      <c r="DD23" s="2725"/>
      <c r="DE23" s="2725"/>
      <c r="DF23" s="2725"/>
      <c r="DG23" s="2725"/>
      <c r="DH23" s="2725"/>
      <c r="DI23" s="2725"/>
      <c r="DJ23" s="2725"/>
      <c r="DK23" s="2725"/>
      <c r="DL23" s="2725"/>
      <c r="DM23" s="2725"/>
      <c r="DN23" s="2725"/>
      <c r="DO23" s="2725"/>
      <c r="DP23" s="2725"/>
      <c r="DQ23" s="2725"/>
      <c r="DR23" s="2725"/>
      <c r="DS23" s="2725"/>
      <c r="DT23" s="2725"/>
      <c r="DU23" s="2725"/>
      <c r="DV23" s="2725"/>
      <c r="DW23" s="2725"/>
      <c r="DX23" s="2725"/>
      <c r="DY23" s="2725"/>
      <c r="DZ23" s="2725"/>
      <c r="EA23" s="2725"/>
      <c r="EB23" s="2725"/>
      <c r="EC23" s="2725"/>
      <c r="ED23" s="2725"/>
      <c r="EE23" s="2725"/>
      <c r="EF23" s="2725"/>
      <c r="EG23" s="2725"/>
      <c r="EH23" s="2725"/>
      <c r="EI23" s="2725"/>
      <c r="EJ23" s="2725"/>
      <c r="EK23" s="2725"/>
      <c r="EL23" s="2725"/>
      <c r="EM23" s="2725"/>
      <c r="EN23" s="2725"/>
      <c r="EO23" s="2725"/>
      <c r="EP23" s="2725"/>
      <c r="EQ23" s="2725"/>
      <c r="ER23" s="2725"/>
      <c r="ES23" s="2725"/>
      <c r="ET23" s="2725"/>
      <c r="EU23" s="2725"/>
      <c r="EV23" s="2725"/>
      <c r="EW23" s="2725"/>
      <c r="EX23" s="2725"/>
      <c r="EY23" s="2725"/>
      <c r="EZ23" s="2725"/>
      <c r="FA23" s="2725"/>
      <c r="FB23" s="2725"/>
      <c r="FC23" s="2725"/>
      <c r="FD23" s="2725"/>
    </row>
    <row r="24" spans="1:163" s="1033" customFormat="1" ht="26.25" customHeight="1" thickBot="1">
      <c r="A24" s="2720" t="s">
        <v>2245</v>
      </c>
      <c r="B24" s="2712">
        <v>43830</v>
      </c>
      <c r="C24" s="2709"/>
      <c r="D24" s="2708">
        <v>43861</v>
      </c>
      <c r="E24" s="2709"/>
      <c r="F24" s="2708">
        <v>43890</v>
      </c>
      <c r="G24" s="2709"/>
      <c r="H24" s="2708">
        <v>43921</v>
      </c>
      <c r="I24" s="2709"/>
      <c r="J24" s="2708">
        <v>43951</v>
      </c>
      <c r="K24" s="2709"/>
      <c r="L24" s="2708">
        <v>43982</v>
      </c>
      <c r="M24" s="2709"/>
      <c r="N24" s="2705">
        <v>44012</v>
      </c>
      <c r="O24" s="2706"/>
      <c r="P24" s="2705">
        <v>44043</v>
      </c>
      <c r="Q24" s="2706"/>
      <c r="R24" s="2705">
        <v>44074</v>
      </c>
      <c r="S24" s="2706"/>
      <c r="T24" s="2705">
        <v>44104</v>
      </c>
      <c r="U24" s="2706"/>
      <c r="V24" s="2705">
        <v>44135</v>
      </c>
      <c r="W24" s="2706"/>
      <c r="X24" s="2705">
        <v>44165</v>
      </c>
      <c r="Y24" s="2706"/>
      <c r="Z24" s="2705">
        <v>44196</v>
      </c>
      <c r="AA24" s="2706"/>
      <c r="AB24" s="2705">
        <v>44227</v>
      </c>
      <c r="AC24" s="2706"/>
      <c r="AD24" s="2705">
        <v>44255</v>
      </c>
      <c r="AE24" s="2706"/>
      <c r="AF24" s="2705">
        <v>44286</v>
      </c>
      <c r="AG24" s="2706"/>
      <c r="AH24" s="2705">
        <v>44316</v>
      </c>
      <c r="AI24" s="2706"/>
      <c r="AJ24" s="2705">
        <v>44347</v>
      </c>
      <c r="AK24" s="2706"/>
      <c r="AL24" s="2705">
        <v>44377</v>
      </c>
      <c r="AM24" s="2706"/>
      <c r="AN24" s="2705">
        <v>44408</v>
      </c>
      <c r="AO24" s="2706"/>
      <c r="AP24" s="2708">
        <v>44439</v>
      </c>
      <c r="AQ24" s="2709"/>
      <c r="AR24" s="2708">
        <v>44469</v>
      </c>
      <c r="AS24" s="2709"/>
      <c r="AT24" s="2707">
        <v>44500</v>
      </c>
      <c r="AU24" s="2706"/>
      <c r="AV24" s="2705">
        <v>44530</v>
      </c>
      <c r="AW24" s="2706"/>
      <c r="AX24" s="2705">
        <v>44561</v>
      </c>
      <c r="AY24" s="2706"/>
      <c r="AZ24" s="2705">
        <v>44592</v>
      </c>
      <c r="BA24" s="2706"/>
      <c r="BB24" s="2705">
        <v>44620</v>
      </c>
      <c r="BC24" s="2706"/>
      <c r="BD24" s="2705">
        <v>44651</v>
      </c>
      <c r="BE24" s="2706"/>
      <c r="BF24" s="2705">
        <v>44681</v>
      </c>
      <c r="BG24" s="2706"/>
      <c r="BH24" s="2705">
        <v>44712</v>
      </c>
      <c r="BI24" s="2706"/>
      <c r="BJ24" s="2705">
        <v>44742</v>
      </c>
      <c r="BK24" s="2706"/>
      <c r="BL24" s="2705">
        <v>44773</v>
      </c>
      <c r="BM24" s="2706"/>
      <c r="BN24" s="2705">
        <v>44804</v>
      </c>
      <c r="BO24" s="2706"/>
      <c r="BP24" s="2705">
        <v>44834</v>
      </c>
      <c r="BQ24" s="2706"/>
      <c r="BR24" s="2705">
        <v>44865</v>
      </c>
      <c r="BS24" s="2706"/>
      <c r="BT24" s="2705">
        <v>44895</v>
      </c>
      <c r="BU24" s="2706"/>
      <c r="BV24" s="2705">
        <v>44926</v>
      </c>
      <c r="BW24" s="2706"/>
      <c r="BX24" s="2705">
        <v>44957</v>
      </c>
      <c r="BY24" s="2706"/>
      <c r="BZ24" s="2705">
        <v>44985</v>
      </c>
      <c r="CA24" s="2706"/>
      <c r="CB24" s="2705">
        <v>45016</v>
      </c>
      <c r="CC24" s="2707"/>
      <c r="CD24" s="2705">
        <v>45046</v>
      </c>
      <c r="CE24" s="2707"/>
      <c r="CF24" s="2705">
        <v>45077</v>
      </c>
      <c r="CG24" s="2707"/>
      <c r="CH24" s="2705">
        <v>45107</v>
      </c>
      <c r="CI24" s="2707"/>
      <c r="CJ24" s="2705">
        <v>45138</v>
      </c>
      <c r="CK24" s="2707"/>
      <c r="CL24" s="2705">
        <v>45169</v>
      </c>
      <c r="CM24" s="2707"/>
      <c r="CN24" s="2705">
        <v>45199</v>
      </c>
      <c r="CO24" s="2707"/>
      <c r="CP24" s="2705">
        <v>45230</v>
      </c>
      <c r="CQ24" s="2707"/>
      <c r="CR24" s="2705">
        <v>45260</v>
      </c>
      <c r="CS24" s="2707"/>
      <c r="CT24" s="2705">
        <v>45291</v>
      </c>
      <c r="CU24" s="2707"/>
      <c r="CV24" s="2705">
        <v>45322</v>
      </c>
      <c r="CW24" s="2707"/>
      <c r="CX24" s="2705">
        <v>45351</v>
      </c>
      <c r="CY24" s="2707"/>
      <c r="CZ24" s="2705">
        <v>45382</v>
      </c>
      <c r="DA24" s="2707"/>
      <c r="DB24" s="2705">
        <v>45412</v>
      </c>
      <c r="DC24" s="2707"/>
      <c r="DD24" s="2705">
        <v>45443</v>
      </c>
      <c r="DE24" s="2707"/>
      <c r="DF24" s="2705">
        <v>45473</v>
      </c>
      <c r="DG24" s="2707"/>
      <c r="DH24" s="2705">
        <v>45504</v>
      </c>
      <c r="DI24" s="2706"/>
      <c r="DJ24" s="2705">
        <v>45535</v>
      </c>
      <c r="DK24" s="2706"/>
      <c r="DL24" s="2705">
        <v>45565</v>
      </c>
      <c r="DM24" s="2706"/>
      <c r="DN24" s="2705">
        <v>45596</v>
      </c>
      <c r="DO24" s="2706"/>
      <c r="DP24" s="2705">
        <v>45626</v>
      </c>
      <c r="DQ24" s="2706"/>
      <c r="DR24" s="2705">
        <v>45657</v>
      </c>
      <c r="DS24" s="2706"/>
      <c r="DT24" s="2705">
        <v>45688</v>
      </c>
      <c r="DU24" s="2706"/>
      <c r="DV24" s="2705">
        <v>45716</v>
      </c>
      <c r="DW24" s="2706"/>
      <c r="DX24" s="2705">
        <v>45747</v>
      </c>
      <c r="DY24" s="2706"/>
      <c r="DZ24" s="2705">
        <v>45777</v>
      </c>
      <c r="EA24" s="2706"/>
      <c r="EB24" s="2705">
        <v>45808</v>
      </c>
      <c r="EC24" s="2706"/>
      <c r="ED24" s="2705">
        <v>45838</v>
      </c>
      <c r="EE24" s="2706"/>
      <c r="EF24" s="2705">
        <v>45869</v>
      </c>
      <c r="EG24" s="2706"/>
      <c r="EH24" s="2705">
        <v>45900</v>
      </c>
      <c r="EI24" s="2706"/>
      <c r="EJ24" s="2705">
        <v>45930</v>
      </c>
      <c r="EK24" s="2706"/>
      <c r="EL24" s="2705">
        <v>45961</v>
      </c>
      <c r="EM24" s="2706"/>
      <c r="EN24" s="2705">
        <v>45991</v>
      </c>
      <c r="EO24" s="2706"/>
      <c r="EP24" s="2705">
        <v>46022</v>
      </c>
      <c r="EQ24" s="2706"/>
      <c r="ER24" s="2705">
        <f>ER6</f>
        <v>46053</v>
      </c>
      <c r="ES24" s="2706"/>
      <c r="ET24" s="2705">
        <v>46081</v>
      </c>
      <c r="EU24" s="2706"/>
      <c r="EV24" s="2705">
        <v>46112</v>
      </c>
      <c r="EW24" s="2706"/>
      <c r="EX24" s="2705">
        <v>46142</v>
      </c>
      <c r="EY24" s="2706"/>
      <c r="EZ24" s="2705">
        <v>46173</v>
      </c>
      <c r="FA24" s="2706"/>
      <c r="FB24" s="2705">
        <v>46203</v>
      </c>
      <c r="FC24" s="2706"/>
      <c r="FD24" s="2720" t="s">
        <v>3570</v>
      </c>
      <c r="FF24" s="1188"/>
    </row>
    <row r="25" spans="1:163" s="1033" customFormat="1" ht="61.5" customHeight="1" thickBot="1">
      <c r="A25" s="2721"/>
      <c r="B25" s="1042" t="s">
        <v>155</v>
      </c>
      <c r="C25" s="1043" t="s">
        <v>2980</v>
      </c>
      <c r="D25" s="1043" t="s">
        <v>155</v>
      </c>
      <c r="E25" s="1043" t="s">
        <v>2980</v>
      </c>
      <c r="F25" s="1043" t="s">
        <v>155</v>
      </c>
      <c r="G25" s="1043" t="s">
        <v>2980</v>
      </c>
      <c r="H25" s="1043" t="s">
        <v>155</v>
      </c>
      <c r="I25" s="1043" t="s">
        <v>2980</v>
      </c>
      <c r="J25" s="1043" t="s">
        <v>155</v>
      </c>
      <c r="K25" s="1043" t="s">
        <v>2980</v>
      </c>
      <c r="L25" s="1043" t="s">
        <v>155</v>
      </c>
      <c r="M25" s="1044" t="s">
        <v>2980</v>
      </c>
      <c r="N25" s="1044" t="s">
        <v>155</v>
      </c>
      <c r="O25" s="1044" t="s">
        <v>2980</v>
      </c>
      <c r="P25" s="1044" t="s">
        <v>155</v>
      </c>
      <c r="Q25" s="1044" t="s">
        <v>2980</v>
      </c>
      <c r="R25" s="1044" t="s">
        <v>155</v>
      </c>
      <c r="S25" s="1044" t="s">
        <v>2980</v>
      </c>
      <c r="T25" s="1044" t="s">
        <v>155</v>
      </c>
      <c r="U25" s="1044" t="s">
        <v>2980</v>
      </c>
      <c r="V25" s="1044" t="s">
        <v>155</v>
      </c>
      <c r="W25" s="1044" t="s">
        <v>2980</v>
      </c>
      <c r="X25" s="1044" t="s">
        <v>155</v>
      </c>
      <c r="Y25" s="1044" t="s">
        <v>2980</v>
      </c>
      <c r="Z25" s="1044" t="s">
        <v>155</v>
      </c>
      <c r="AA25" s="1044" t="s">
        <v>2980</v>
      </c>
      <c r="AB25" s="1044" t="s">
        <v>155</v>
      </c>
      <c r="AC25" s="1044" t="s">
        <v>2980</v>
      </c>
      <c r="AD25" s="1044" t="s">
        <v>155</v>
      </c>
      <c r="AE25" s="1044" t="s">
        <v>2980</v>
      </c>
      <c r="AF25" s="1044" t="s">
        <v>155</v>
      </c>
      <c r="AG25" s="1044" t="s">
        <v>2980</v>
      </c>
      <c r="AH25" s="1044" t="s">
        <v>155</v>
      </c>
      <c r="AI25" s="1044" t="s">
        <v>2980</v>
      </c>
      <c r="AJ25" s="1044" t="s">
        <v>155</v>
      </c>
      <c r="AK25" s="1044" t="s">
        <v>2980</v>
      </c>
      <c r="AL25" s="1044" t="s">
        <v>155</v>
      </c>
      <c r="AM25" s="1044" t="s">
        <v>2980</v>
      </c>
      <c r="AN25" s="1044" t="s">
        <v>155</v>
      </c>
      <c r="AO25" s="1043" t="s">
        <v>2980</v>
      </c>
      <c r="AP25" s="1043" t="s">
        <v>155</v>
      </c>
      <c r="AQ25" s="1043" t="s">
        <v>2980</v>
      </c>
      <c r="AR25" s="1043" t="s">
        <v>155</v>
      </c>
      <c r="AS25" s="1043" t="s">
        <v>2980</v>
      </c>
      <c r="AT25" s="1044" t="s">
        <v>155</v>
      </c>
      <c r="AU25" s="1043" t="s">
        <v>2980</v>
      </c>
      <c r="AV25" s="1044" t="s">
        <v>155</v>
      </c>
      <c r="AW25" s="1044" t="s">
        <v>2980</v>
      </c>
      <c r="AX25" s="1044" t="s">
        <v>155</v>
      </c>
      <c r="AY25" s="1044" t="s">
        <v>2980</v>
      </c>
      <c r="AZ25" s="1044" t="s">
        <v>155</v>
      </c>
      <c r="BA25" s="1044" t="s">
        <v>2980</v>
      </c>
      <c r="BB25" s="1044" t="s">
        <v>155</v>
      </c>
      <c r="BC25" s="1044" t="s">
        <v>2980</v>
      </c>
      <c r="BD25" s="1044" t="s">
        <v>155</v>
      </c>
      <c r="BE25" s="1044" t="s">
        <v>2980</v>
      </c>
      <c r="BF25" s="1044" t="s">
        <v>155</v>
      </c>
      <c r="BG25" s="1044" t="s">
        <v>2980</v>
      </c>
      <c r="BH25" s="1044" t="s">
        <v>155</v>
      </c>
      <c r="BI25" s="1044" t="s">
        <v>2980</v>
      </c>
      <c r="BJ25" s="1044" t="s">
        <v>155</v>
      </c>
      <c r="BK25" s="1044" t="s">
        <v>2980</v>
      </c>
      <c r="BL25" s="1044" t="s">
        <v>155</v>
      </c>
      <c r="BM25" s="1044" t="s">
        <v>2980</v>
      </c>
      <c r="BN25" s="1044" t="s">
        <v>155</v>
      </c>
      <c r="BO25" s="1044" t="s">
        <v>2980</v>
      </c>
      <c r="BP25" s="1044" t="s">
        <v>155</v>
      </c>
      <c r="BQ25" s="1044" t="s">
        <v>2980</v>
      </c>
      <c r="BR25" s="1044" t="s">
        <v>155</v>
      </c>
      <c r="BS25" s="1044" t="s">
        <v>2980</v>
      </c>
      <c r="BT25" s="1044" t="s">
        <v>155</v>
      </c>
      <c r="BU25" s="1044" t="s">
        <v>2980</v>
      </c>
      <c r="BV25" s="1044" t="s">
        <v>155</v>
      </c>
      <c r="BW25" s="1044" t="s">
        <v>2980</v>
      </c>
      <c r="BX25" s="1044" t="s">
        <v>155</v>
      </c>
      <c r="BY25" s="1044" t="s">
        <v>2980</v>
      </c>
      <c r="BZ25" s="1044" t="s">
        <v>155</v>
      </c>
      <c r="CA25" s="1044" t="s">
        <v>2980</v>
      </c>
      <c r="CB25" s="1044" t="s">
        <v>155</v>
      </c>
      <c r="CC25" s="1302" t="s">
        <v>2980</v>
      </c>
      <c r="CD25" s="1302" t="s">
        <v>155</v>
      </c>
      <c r="CE25" s="1302" t="s">
        <v>2980</v>
      </c>
      <c r="CF25" s="1044" t="s">
        <v>155</v>
      </c>
      <c r="CG25" s="1302" t="s">
        <v>2980</v>
      </c>
      <c r="CH25" s="1302" t="s">
        <v>155</v>
      </c>
      <c r="CI25" s="1302" t="s">
        <v>2980</v>
      </c>
      <c r="CJ25" s="1044" t="s">
        <v>155</v>
      </c>
      <c r="CK25" s="1302" t="s">
        <v>2980</v>
      </c>
      <c r="CL25" s="1044" t="s">
        <v>155</v>
      </c>
      <c r="CM25" s="1302" t="s">
        <v>2980</v>
      </c>
      <c r="CN25" s="1302" t="s">
        <v>155</v>
      </c>
      <c r="CO25" s="1302" t="s">
        <v>2980</v>
      </c>
      <c r="CP25" s="1044" t="s">
        <v>155</v>
      </c>
      <c r="CQ25" s="1302" t="s">
        <v>2980</v>
      </c>
      <c r="CR25" s="1302" t="s">
        <v>155</v>
      </c>
      <c r="CS25" s="1302" t="s">
        <v>2980</v>
      </c>
      <c r="CT25" s="1044" t="s">
        <v>155</v>
      </c>
      <c r="CU25" s="1302" t="s">
        <v>2980</v>
      </c>
      <c r="CV25" s="1044" t="s">
        <v>155</v>
      </c>
      <c r="CW25" s="1302" t="s">
        <v>2980</v>
      </c>
      <c r="CX25" s="1044" t="s">
        <v>155</v>
      </c>
      <c r="CY25" s="1302" t="s">
        <v>2980</v>
      </c>
      <c r="CZ25" s="1044" t="s">
        <v>155</v>
      </c>
      <c r="DA25" s="1302" t="s">
        <v>2980</v>
      </c>
      <c r="DB25" s="1044" t="s">
        <v>155</v>
      </c>
      <c r="DC25" s="1302" t="s">
        <v>2980</v>
      </c>
      <c r="DD25" s="1044" t="s">
        <v>155</v>
      </c>
      <c r="DE25" s="1302" t="s">
        <v>2980</v>
      </c>
      <c r="DF25" s="1044" t="s">
        <v>155</v>
      </c>
      <c r="DG25" s="1302" t="s">
        <v>2980</v>
      </c>
      <c r="DH25" s="1044" t="s">
        <v>155</v>
      </c>
      <c r="DI25" s="1044" t="s">
        <v>2980</v>
      </c>
      <c r="DJ25" s="1044" t="s">
        <v>155</v>
      </c>
      <c r="DK25" s="1044" t="s">
        <v>2980</v>
      </c>
      <c r="DL25" s="1044" t="s">
        <v>155</v>
      </c>
      <c r="DM25" s="1044" t="s">
        <v>2980</v>
      </c>
      <c r="DN25" s="1044" t="s">
        <v>155</v>
      </c>
      <c r="DO25" s="1044" t="s">
        <v>2980</v>
      </c>
      <c r="DP25" s="1044" t="s">
        <v>155</v>
      </c>
      <c r="DQ25" s="1044" t="s">
        <v>2980</v>
      </c>
      <c r="DR25" s="1044" t="s">
        <v>155</v>
      </c>
      <c r="DS25" s="1044" t="s">
        <v>2980</v>
      </c>
      <c r="DT25" s="1044" t="s">
        <v>155</v>
      </c>
      <c r="DU25" s="1044" t="s">
        <v>2980</v>
      </c>
      <c r="DV25" s="1044" t="s">
        <v>155</v>
      </c>
      <c r="DW25" s="1044" t="s">
        <v>2980</v>
      </c>
      <c r="DX25" s="1044" t="s">
        <v>155</v>
      </c>
      <c r="DY25" s="1044" t="s">
        <v>2980</v>
      </c>
      <c r="DZ25" s="1044" t="s">
        <v>155</v>
      </c>
      <c r="EA25" s="1044" t="s">
        <v>2980</v>
      </c>
      <c r="EB25" s="1044" t="s">
        <v>155</v>
      </c>
      <c r="EC25" s="1044" t="s">
        <v>2980</v>
      </c>
      <c r="ED25" s="1044" t="s">
        <v>155</v>
      </c>
      <c r="EE25" s="1044" t="s">
        <v>2980</v>
      </c>
      <c r="EF25" s="1044" t="s">
        <v>155</v>
      </c>
      <c r="EG25" s="1044" t="s">
        <v>2980</v>
      </c>
      <c r="EH25" s="1044" t="s">
        <v>155</v>
      </c>
      <c r="EI25" s="1044" t="s">
        <v>2980</v>
      </c>
      <c r="EJ25" s="1044" t="s">
        <v>155</v>
      </c>
      <c r="EK25" s="1044" t="s">
        <v>2980</v>
      </c>
      <c r="EL25" s="1044" t="s">
        <v>155</v>
      </c>
      <c r="EM25" s="1044" t="s">
        <v>2980</v>
      </c>
      <c r="EN25" s="1044" t="s">
        <v>155</v>
      </c>
      <c r="EO25" s="1044" t="s">
        <v>2980</v>
      </c>
      <c r="EP25" s="1044" t="s">
        <v>155</v>
      </c>
      <c r="EQ25" s="1044" t="s">
        <v>2980</v>
      </c>
      <c r="ER25" s="1044" t="s">
        <v>155</v>
      </c>
      <c r="ES25" s="1044" t="s">
        <v>2980</v>
      </c>
      <c r="ET25" s="1044" t="s">
        <v>155</v>
      </c>
      <c r="EU25" s="1044" t="s">
        <v>2980</v>
      </c>
      <c r="EV25" s="1044" t="s">
        <v>155</v>
      </c>
      <c r="EW25" s="1044" t="s">
        <v>2980</v>
      </c>
      <c r="EX25" s="1044" t="s">
        <v>155</v>
      </c>
      <c r="EY25" s="1044" t="s">
        <v>2980</v>
      </c>
      <c r="EZ25" s="1044" t="s">
        <v>155</v>
      </c>
      <c r="FA25" s="1044" t="s">
        <v>2980</v>
      </c>
      <c r="FB25" s="1044" t="s">
        <v>155</v>
      </c>
      <c r="FC25" s="1044" t="s">
        <v>2980</v>
      </c>
      <c r="FD25" s="2721"/>
    </row>
    <row r="26" spans="1:163" ht="19.899999999999999" customHeight="1">
      <c r="A26" s="1045" t="s">
        <v>2244</v>
      </c>
      <c r="B26" s="1046">
        <v>21326.682102355</v>
      </c>
      <c r="C26" s="1046">
        <v>12206.423349385001</v>
      </c>
      <c r="D26" s="1046">
        <v>21660.473465005001</v>
      </c>
      <c r="E26" s="1046">
        <v>12501.982035655001</v>
      </c>
      <c r="F26" s="1046">
        <v>21790.705627815001</v>
      </c>
      <c r="G26" s="1046">
        <v>12490.660262834999</v>
      </c>
      <c r="H26" s="1046">
        <v>20586.610487645001</v>
      </c>
      <c r="I26" s="1046">
        <v>12169.275003045001</v>
      </c>
      <c r="J26" s="1046">
        <v>19940.056643234999</v>
      </c>
      <c r="K26" s="1046">
        <v>11648.261367335001</v>
      </c>
      <c r="L26" s="1046">
        <v>19949.349668735002</v>
      </c>
      <c r="M26" s="1046">
        <v>11463.3235201692</v>
      </c>
      <c r="N26" s="1046">
        <v>19381.768847374999</v>
      </c>
      <c r="O26" s="1046">
        <v>11036.2878269173</v>
      </c>
      <c r="P26" s="1046">
        <v>19367.366617525</v>
      </c>
      <c r="Q26" s="1046">
        <v>10743.1006522648</v>
      </c>
      <c r="R26" s="1046">
        <v>19569.724060205001</v>
      </c>
      <c r="S26" s="1046">
        <v>10927.6526748861</v>
      </c>
      <c r="T26" s="1046">
        <v>19377.425613980002</v>
      </c>
      <c r="U26" s="1046">
        <v>10434.665403832099</v>
      </c>
      <c r="V26" s="1046">
        <v>19407.537831900001</v>
      </c>
      <c r="W26" s="1046">
        <v>10422.3928430043</v>
      </c>
      <c r="X26" s="1046">
        <v>19312.724955720001</v>
      </c>
      <c r="Y26" s="1046">
        <v>10573.4087285038</v>
      </c>
      <c r="Z26" s="1046">
        <v>20722.939527580002</v>
      </c>
      <c r="AA26" s="1046">
        <v>11030.769439903001</v>
      </c>
      <c r="AB26" s="1046">
        <v>20292.943368155</v>
      </c>
      <c r="AC26" s="1046">
        <v>10712.110306279999</v>
      </c>
      <c r="AD26" s="1046">
        <v>20653.798704295001</v>
      </c>
      <c r="AE26" s="1046">
        <v>10710.416969100101</v>
      </c>
      <c r="AF26" s="1046">
        <v>21050.493444495001</v>
      </c>
      <c r="AG26" s="1046">
        <v>10750.4024524835</v>
      </c>
      <c r="AH26" s="1046">
        <v>21357.134023875002</v>
      </c>
      <c r="AI26" s="1046">
        <v>10582.401500763501</v>
      </c>
      <c r="AJ26" s="1046">
        <v>22065.495127664999</v>
      </c>
      <c r="AK26" s="1046">
        <v>10673.4431722478</v>
      </c>
      <c r="AL26" s="1046">
        <v>22125.043188644999</v>
      </c>
      <c r="AM26" s="1046">
        <v>10961.608304615</v>
      </c>
      <c r="AN26" s="1046">
        <v>22849.282289865001</v>
      </c>
      <c r="AO26" s="1046">
        <v>11579.7143857762</v>
      </c>
      <c r="AP26" s="1046">
        <v>22749.710369674802</v>
      </c>
      <c r="AQ26" s="1046">
        <v>11183.4897822448</v>
      </c>
      <c r="AR26" s="1046">
        <v>23650.040902735</v>
      </c>
      <c r="AS26" s="1046">
        <v>11684.851405920699</v>
      </c>
      <c r="AT26" s="1046">
        <v>24026.152705205401</v>
      </c>
      <c r="AU26" s="1046">
        <v>11860.455829340501</v>
      </c>
      <c r="AV26" s="1046">
        <v>24743.616630134999</v>
      </c>
      <c r="AW26" s="1046">
        <v>12142.504536013301</v>
      </c>
      <c r="AX26" s="1046">
        <v>26938.315908053999</v>
      </c>
      <c r="AY26" s="1046">
        <v>12827.630379693601</v>
      </c>
      <c r="AZ26" s="1046">
        <v>26954.0384782113</v>
      </c>
      <c r="BA26" s="1046">
        <v>13364.2384487786</v>
      </c>
      <c r="BB26" s="1046">
        <v>27055.5158204</v>
      </c>
      <c r="BC26" s="1046">
        <v>13439.468633738899</v>
      </c>
      <c r="BD26" s="1046">
        <v>28259.152839019102</v>
      </c>
      <c r="BE26" s="1046">
        <v>14033.8758462184</v>
      </c>
      <c r="BF26" s="1046">
        <v>28613.701051943499</v>
      </c>
      <c r="BG26" s="1046">
        <v>14097.6525655596</v>
      </c>
      <c r="BH26" s="1046">
        <v>29737.604667420899</v>
      </c>
      <c r="BI26" s="1046">
        <v>14631.4544308287</v>
      </c>
      <c r="BJ26" s="1046">
        <v>29982.0754501548</v>
      </c>
      <c r="BK26" s="1046">
        <v>14531.1770474982</v>
      </c>
      <c r="BL26" s="1046">
        <v>29600.539912042401</v>
      </c>
      <c r="BM26" s="1046">
        <v>14465.207010197901</v>
      </c>
      <c r="BN26" s="1046">
        <v>30437.2152682497</v>
      </c>
      <c r="BO26" s="1046">
        <v>14535.6146543376</v>
      </c>
      <c r="BP26" s="1046">
        <v>31373.681937013302</v>
      </c>
      <c r="BQ26" s="1046">
        <v>14895.707788242</v>
      </c>
      <c r="BR26" s="1046">
        <v>32192.095291781199</v>
      </c>
      <c r="BS26" s="1046">
        <v>14994.2902785162</v>
      </c>
      <c r="BT26" s="1046">
        <v>32860.857928113801</v>
      </c>
      <c r="BU26" s="1046">
        <v>15627.4790304907</v>
      </c>
      <c r="BV26" s="1046">
        <v>33762.562900746503</v>
      </c>
      <c r="BW26" s="1046">
        <v>15893.300352092299</v>
      </c>
      <c r="BX26" s="1046">
        <v>32968.760235367903</v>
      </c>
      <c r="BY26" s="1046">
        <v>15674.155936970001</v>
      </c>
      <c r="BZ26" s="1046">
        <v>32560.809615864</v>
      </c>
      <c r="CA26" s="1046">
        <v>15550.1986023102</v>
      </c>
      <c r="CB26" s="1046">
        <v>31933.185341749999</v>
      </c>
      <c r="CC26" s="1307">
        <v>14289.7679359501</v>
      </c>
      <c r="CD26" s="1307">
        <v>32366.92196896</v>
      </c>
      <c r="CE26" s="1307">
        <v>14451.33542093</v>
      </c>
      <c r="CF26" s="1046">
        <v>32678.744620510999</v>
      </c>
      <c r="CG26" s="1307">
        <v>14507.418817354601</v>
      </c>
      <c r="CH26" s="1307">
        <v>32056.7139322806</v>
      </c>
      <c r="CI26" s="1307">
        <v>13356.255721543899</v>
      </c>
      <c r="CJ26" s="1046">
        <v>31841.103618010002</v>
      </c>
      <c r="CK26" s="1307">
        <v>12853.7319246635</v>
      </c>
      <c r="CL26" s="1046">
        <v>31998.689850999999</v>
      </c>
      <c r="CM26" s="1307">
        <v>12554.4548352805</v>
      </c>
      <c r="CN26" s="1307">
        <v>32174.24504365</v>
      </c>
      <c r="CO26" s="1307">
        <v>12303.9899109817</v>
      </c>
      <c r="CP26" s="1046">
        <v>33081.901325480001</v>
      </c>
      <c r="CQ26" s="1307">
        <v>13148.2701235943</v>
      </c>
      <c r="CR26" s="1307">
        <v>33225.739510439998</v>
      </c>
      <c r="CS26" s="1307">
        <v>12628.463498507699</v>
      </c>
      <c r="CT26" s="1046">
        <v>34550.080116010002</v>
      </c>
      <c r="CU26" s="1307">
        <v>13278.111602475101</v>
      </c>
      <c r="CV26" s="1046">
        <v>34995.408944214498</v>
      </c>
      <c r="CW26" s="1307">
        <v>14104.522084213701</v>
      </c>
      <c r="CX26" s="1046">
        <v>34959.32922598</v>
      </c>
      <c r="CY26" s="1307">
        <v>13585.8956284747</v>
      </c>
      <c r="CZ26" s="1046">
        <v>34812.780260170002</v>
      </c>
      <c r="DA26" s="1307">
        <v>13782.251695982301</v>
      </c>
      <c r="DB26" s="1046">
        <v>35361.128396929998</v>
      </c>
      <c r="DC26" s="1307">
        <v>14389.2339966744</v>
      </c>
      <c r="DD26" s="1307">
        <v>34835.217896943599</v>
      </c>
      <c r="DE26" s="1307">
        <v>13779.970917263499</v>
      </c>
      <c r="DF26" s="1046">
        <v>35185.008938997402</v>
      </c>
      <c r="DG26" s="1307">
        <v>13619.9053152222</v>
      </c>
      <c r="DH26" s="1046">
        <v>34381.346759280001</v>
      </c>
      <c r="DI26" s="1046">
        <v>13120.212921652001</v>
      </c>
      <c r="DJ26" s="1046">
        <v>35003.897003550002</v>
      </c>
      <c r="DK26" s="1046">
        <v>13795.5904153501</v>
      </c>
      <c r="DL26" s="1046">
        <v>36058.899709500001</v>
      </c>
      <c r="DM26" s="1046">
        <v>14026.8973999589</v>
      </c>
      <c r="DN26" s="1046">
        <v>34373.8624079</v>
      </c>
      <c r="DO26" s="1046">
        <v>13570.3899206326</v>
      </c>
      <c r="DP26" s="1046">
        <v>35191.957082590001</v>
      </c>
      <c r="DQ26" s="1046">
        <v>13893.9450245221</v>
      </c>
      <c r="DR26" s="1046">
        <v>37696.576788179998</v>
      </c>
      <c r="DS26" s="1046">
        <v>14147.012508011299</v>
      </c>
      <c r="DT26" s="1046">
        <v>36960.955486059996</v>
      </c>
      <c r="DU26" s="1046">
        <v>15063.3198247075</v>
      </c>
      <c r="DV26" s="1046">
        <v>37837.042063314402</v>
      </c>
      <c r="DW26" s="1046">
        <v>15503.9360123525</v>
      </c>
      <c r="DX26" s="1046">
        <v>37293.08247945</v>
      </c>
      <c r="DY26" s="1046">
        <v>15409.0419400099</v>
      </c>
      <c r="DZ26" s="1046">
        <v>36747.506575910003</v>
      </c>
      <c r="EA26" s="1046">
        <v>15323.4799639962</v>
      </c>
      <c r="EB26" s="1046">
        <v>38179.342080609997</v>
      </c>
      <c r="EC26" s="1046">
        <v>16681.567928164499</v>
      </c>
      <c r="ED26" s="1046">
        <v>37353.278738450099</v>
      </c>
      <c r="EE26" s="1046">
        <v>15224.580196279099</v>
      </c>
      <c r="EF26" s="1046">
        <v>36650.871967060099</v>
      </c>
      <c r="EG26" s="1046">
        <v>14736.285914933</v>
      </c>
      <c r="EH26" s="1046">
        <v>36517.82778983</v>
      </c>
      <c r="EI26" s="1046">
        <v>14670.787182968499</v>
      </c>
      <c r="EJ26" s="1046">
        <v>36587.821395630097</v>
      </c>
      <c r="EK26" s="1046">
        <v>14503.1339637817</v>
      </c>
      <c r="EL26" s="1046">
        <v>36062.923288650098</v>
      </c>
      <c r="EM26" s="1046">
        <v>14164.666793459201</v>
      </c>
      <c r="EN26" s="1046">
        <v>37202.020960442103</v>
      </c>
      <c r="EO26" s="1046">
        <v>14913.6293951302</v>
      </c>
      <c r="EP26" s="1046">
        <v>38221.862083514497</v>
      </c>
      <c r="EQ26" s="1046">
        <v>13605.404410024899</v>
      </c>
      <c r="ER26" s="1046">
        <v>36805.312463931499</v>
      </c>
      <c r="ES26" s="1046">
        <v>13917.676611876699</v>
      </c>
      <c r="ET26" s="1046">
        <v>37290.647329059902</v>
      </c>
      <c r="EU26" s="1046">
        <v>14030.8102923017</v>
      </c>
      <c r="EV26" s="1046">
        <v>37568.393475112498</v>
      </c>
      <c r="EW26" s="1046">
        <v>13762.6470387398</v>
      </c>
      <c r="EX26" s="1046">
        <v>37770.757483421403</v>
      </c>
      <c r="EY26" s="1046">
        <v>13483.5836671247</v>
      </c>
      <c r="EZ26" s="1046">
        <v>38548.279575802197</v>
      </c>
      <c r="FA26" s="1046">
        <v>13507.4405613046</v>
      </c>
      <c r="FB26" s="1046">
        <v>39743.657267700801</v>
      </c>
      <c r="FC26" s="1046">
        <v>13521.8871205468</v>
      </c>
      <c r="FD26" s="1045" t="s">
        <v>3571</v>
      </c>
      <c r="FE26" s="1377"/>
      <c r="FF26" s="1032"/>
      <c r="FG26" s="1072"/>
    </row>
    <row r="27" spans="1:163" ht="19.899999999999999" customHeight="1">
      <c r="A27" s="1035" t="s">
        <v>2243</v>
      </c>
      <c r="B27" s="1037">
        <v>8507.9661916500008</v>
      </c>
      <c r="C27" s="1037">
        <v>4486.0544129500004</v>
      </c>
      <c r="D27" s="1037">
        <v>8425.0119079699998</v>
      </c>
      <c r="E27" s="1037">
        <v>4367.11187832</v>
      </c>
      <c r="F27" s="1037">
        <v>8571.981684549999</v>
      </c>
      <c r="G27" s="1037">
        <v>4549.6280764000003</v>
      </c>
      <c r="H27" s="1037">
        <v>8158.7243008499991</v>
      </c>
      <c r="I27" s="1037">
        <v>4526.7130002600006</v>
      </c>
      <c r="J27" s="1037">
        <v>7657.5636028499903</v>
      </c>
      <c r="K27" s="1037">
        <v>4252.4612538199999</v>
      </c>
      <c r="L27" s="1037">
        <v>7551.0428301499996</v>
      </c>
      <c r="M27" s="1037">
        <v>4106.6702645483401</v>
      </c>
      <c r="N27" s="1037">
        <v>7592.3477487700002</v>
      </c>
      <c r="O27" s="1037">
        <v>4129.9709945102604</v>
      </c>
      <c r="P27" s="1037">
        <v>7675.4436402899992</v>
      </c>
      <c r="Q27" s="1037">
        <v>4067.07445412176</v>
      </c>
      <c r="R27" s="1037">
        <v>7763.7258724999992</v>
      </c>
      <c r="S27" s="1037">
        <v>4273.5706767087195</v>
      </c>
      <c r="T27" s="1037">
        <v>7716.0314098600002</v>
      </c>
      <c r="U27" s="1037">
        <v>4203.9365644755298</v>
      </c>
      <c r="V27" s="1037">
        <v>7760.6720044699996</v>
      </c>
      <c r="W27" s="1037">
        <v>4156.6368707422598</v>
      </c>
      <c r="X27" s="1037">
        <v>7797.8231756599907</v>
      </c>
      <c r="Y27" s="1037">
        <v>4148.2632922815001</v>
      </c>
      <c r="Z27" s="1037">
        <v>8044.6634494699993</v>
      </c>
      <c r="AA27" s="1037">
        <v>4130.2778696697296</v>
      </c>
      <c r="AB27" s="1037">
        <v>8083.9919509199999</v>
      </c>
      <c r="AC27" s="1037">
        <v>4140.2237829224705</v>
      </c>
      <c r="AD27" s="1037">
        <v>8247.5165492699998</v>
      </c>
      <c r="AE27" s="1037">
        <v>4181.0871245256894</v>
      </c>
      <c r="AF27" s="1037">
        <v>8012.7626280799996</v>
      </c>
      <c r="AG27" s="1037">
        <v>4080.7633278785102</v>
      </c>
      <c r="AH27" s="1037">
        <v>8219.9180516699998</v>
      </c>
      <c r="AI27" s="1037">
        <v>4047.4006464884897</v>
      </c>
      <c r="AJ27" s="1037">
        <v>8478.035226420001</v>
      </c>
      <c r="AK27" s="1037">
        <v>3869.5815576628302</v>
      </c>
      <c r="AL27" s="1037">
        <v>8270.6716737200004</v>
      </c>
      <c r="AM27" s="1037">
        <v>3828.0251335100002</v>
      </c>
      <c r="AN27" s="1037">
        <v>8439.4801630000002</v>
      </c>
      <c r="AO27" s="1037">
        <v>3819.6880278911794</v>
      </c>
      <c r="AP27" s="1037">
        <v>8400.1808412397895</v>
      </c>
      <c r="AQ27" s="1037">
        <v>3804.2124958197901</v>
      </c>
      <c r="AR27" s="1037">
        <v>8663.6280245599992</v>
      </c>
      <c r="AS27" s="1037">
        <v>3831.3558314342299</v>
      </c>
      <c r="AT27" s="1037">
        <v>8713.8264041303992</v>
      </c>
      <c r="AU27" s="1037">
        <v>3822.2773082717899</v>
      </c>
      <c r="AV27" s="1037">
        <v>8880.9196912400002</v>
      </c>
      <c r="AW27" s="1037">
        <v>3774.94315531948</v>
      </c>
      <c r="AX27" s="1037">
        <v>9032.4343592139503</v>
      </c>
      <c r="AY27" s="1037">
        <v>3765.4688264242905</v>
      </c>
      <c r="AZ27" s="1037">
        <v>9456.8728554912996</v>
      </c>
      <c r="BA27" s="1037">
        <v>3765.3077951691198</v>
      </c>
      <c r="BB27" s="1037">
        <v>9869.7287334299999</v>
      </c>
      <c r="BC27" s="1037">
        <v>4032.62235523872</v>
      </c>
      <c r="BD27" s="1037">
        <v>10200.770097725079</v>
      </c>
      <c r="BE27" s="1037">
        <v>4364.5279128458096</v>
      </c>
      <c r="BF27" s="1037">
        <v>10340.441990019521</v>
      </c>
      <c r="BG27" s="1037">
        <v>4145.3469300618099</v>
      </c>
      <c r="BH27" s="1037">
        <v>10388.957972849999</v>
      </c>
      <c r="BI27" s="1037">
        <v>4336.0891332399997</v>
      </c>
      <c r="BJ27" s="1037">
        <v>10378.57864829</v>
      </c>
      <c r="BK27" s="1037">
        <v>4233.7704299502202</v>
      </c>
      <c r="BL27" s="1037">
        <v>10605.50772667511</v>
      </c>
      <c r="BM27" s="1037">
        <v>4284.6138262262502</v>
      </c>
      <c r="BN27" s="1037">
        <v>10631.982555091399</v>
      </c>
      <c r="BO27" s="1037">
        <v>4284.0933153640799</v>
      </c>
      <c r="BP27" s="1037">
        <v>10993.00100432703</v>
      </c>
      <c r="BQ27" s="1037">
        <v>4374.3071655334998</v>
      </c>
      <c r="BR27" s="1037">
        <v>11256.57910438718</v>
      </c>
      <c r="BS27" s="1037">
        <v>4409.4683538424797</v>
      </c>
      <c r="BT27" s="1037">
        <v>11339.89209504674</v>
      </c>
      <c r="BU27" s="1037">
        <v>4474.2164876267398</v>
      </c>
      <c r="BV27" s="1037">
        <v>11482.954058515301</v>
      </c>
      <c r="BW27" s="1037">
        <v>4568.8829403788495</v>
      </c>
      <c r="BX27" s="1037">
        <v>11686.75474631</v>
      </c>
      <c r="BY27" s="1037">
        <v>4595.9067602599998</v>
      </c>
      <c r="BZ27" s="1037">
        <v>11653.923635339999</v>
      </c>
      <c r="CA27" s="1037">
        <v>4570.7468919622797</v>
      </c>
      <c r="CB27" s="1037">
        <v>11719.45163123</v>
      </c>
      <c r="CC27" s="1304">
        <v>4533.9901328769902</v>
      </c>
      <c r="CD27" s="1304">
        <v>11955.43092742</v>
      </c>
      <c r="CE27" s="1304">
        <v>4511.4810946899997</v>
      </c>
      <c r="CF27" s="1037">
        <v>12142.99951345</v>
      </c>
      <c r="CG27" s="1304">
        <v>4671.6808838146198</v>
      </c>
      <c r="CH27" s="1304">
        <v>12472.5061308776</v>
      </c>
      <c r="CI27" s="1304">
        <v>4628.11005617091</v>
      </c>
      <c r="CJ27" s="1037">
        <v>12429.34306207</v>
      </c>
      <c r="CK27" s="1304">
        <v>4594.0430889220697</v>
      </c>
      <c r="CL27" s="1037">
        <v>12275.991355530001</v>
      </c>
      <c r="CM27" s="1304">
        <v>4528.7148786605603</v>
      </c>
      <c r="CN27" s="1304">
        <v>12418.427660969999</v>
      </c>
      <c r="CO27" s="1304">
        <v>4422.7094264916896</v>
      </c>
      <c r="CP27" s="1037">
        <v>12271.147393740001</v>
      </c>
      <c r="CQ27" s="1304">
        <v>4392.6634605930303</v>
      </c>
      <c r="CR27" s="1304">
        <v>12253.54616944</v>
      </c>
      <c r="CS27" s="1304">
        <v>4259.7200856976497</v>
      </c>
      <c r="CT27" s="1037">
        <v>12582.168386130001</v>
      </c>
      <c r="CU27" s="1304">
        <v>4271.1964002016502</v>
      </c>
      <c r="CV27" s="1037">
        <v>12831.2376878</v>
      </c>
      <c r="CW27" s="1304">
        <v>4555.5993108642697</v>
      </c>
      <c r="CX27" s="1037">
        <v>13003.61020762</v>
      </c>
      <c r="CY27" s="1304">
        <v>4655.3645736526996</v>
      </c>
      <c r="CZ27" s="1037">
        <v>12868.519788649999</v>
      </c>
      <c r="DA27" s="1304">
        <v>4588.1140903944897</v>
      </c>
      <c r="DB27" s="1037">
        <v>13210.362929839999</v>
      </c>
      <c r="DC27" s="1304">
        <v>4592.6440760260302</v>
      </c>
      <c r="DD27" s="1304">
        <v>13399.5151021036</v>
      </c>
      <c r="DE27" s="1304">
        <v>4714.8812945435102</v>
      </c>
      <c r="DF27" s="1037">
        <v>13880.25798988</v>
      </c>
      <c r="DG27" s="1304">
        <v>4779.8424596695704</v>
      </c>
      <c r="DH27" s="1037">
        <v>13661.02702159</v>
      </c>
      <c r="DI27" s="1037">
        <v>4679.3276024420102</v>
      </c>
      <c r="DJ27" s="1037">
        <v>13891.80374684</v>
      </c>
      <c r="DK27" s="1037">
        <v>4781.6527548501499</v>
      </c>
      <c r="DL27" s="1037">
        <v>13849.10416424</v>
      </c>
      <c r="DM27" s="1037">
        <v>4785.9991815077001</v>
      </c>
      <c r="DN27" s="1037">
        <v>13969.52878362</v>
      </c>
      <c r="DO27" s="1037">
        <v>4753.1444008935596</v>
      </c>
      <c r="DP27" s="1037">
        <v>13859.878145369999</v>
      </c>
      <c r="DQ27" s="1037">
        <v>4825.1160274420499</v>
      </c>
      <c r="DR27" s="1037">
        <v>14299.093513350001</v>
      </c>
      <c r="DS27" s="1037">
        <v>4899.0294030003997</v>
      </c>
      <c r="DT27" s="1037">
        <v>14385.417604050001</v>
      </c>
      <c r="DU27" s="1037">
        <v>4888.3848200788798</v>
      </c>
      <c r="DV27" s="1037">
        <v>14525.3550746643</v>
      </c>
      <c r="DW27" s="1037">
        <v>4876.1147309624002</v>
      </c>
      <c r="DX27" s="1037">
        <v>14744.062806829999</v>
      </c>
      <c r="DY27" s="1037">
        <v>4959.0322299988202</v>
      </c>
      <c r="DZ27" s="1037">
        <v>14547.922594690001</v>
      </c>
      <c r="EA27" s="1037">
        <v>4902.7962373862101</v>
      </c>
      <c r="EB27" s="1037">
        <v>14734.247636440001</v>
      </c>
      <c r="EC27" s="1037">
        <v>4899.1585646907997</v>
      </c>
      <c r="ED27" s="1037">
        <v>15060.73464121</v>
      </c>
      <c r="EE27" s="1037">
        <v>4964.8520758289997</v>
      </c>
      <c r="EF27" s="1037">
        <v>15113.8851092201</v>
      </c>
      <c r="EG27" s="1037">
        <v>4954.79427483367</v>
      </c>
      <c r="EH27" s="1037">
        <v>15086.04784691</v>
      </c>
      <c r="EI27" s="1037">
        <v>4936.4721516663103</v>
      </c>
      <c r="EJ27" s="1037">
        <v>15376.9586942401</v>
      </c>
      <c r="EK27" s="1037">
        <v>4972.1722381258796</v>
      </c>
      <c r="EL27" s="1037">
        <v>15548.9780948301</v>
      </c>
      <c r="EM27" s="1037">
        <v>4938.8208346501197</v>
      </c>
      <c r="EN27" s="1037">
        <v>15847.6786245697</v>
      </c>
      <c r="EO27" s="1037">
        <v>5146.2945486857197</v>
      </c>
      <c r="EP27" s="1037">
        <v>16323.463994228499</v>
      </c>
      <c r="EQ27" s="1037">
        <v>5139.9887127366101</v>
      </c>
      <c r="ER27" s="1037">
        <v>16305.4849351433</v>
      </c>
      <c r="ES27" s="1037">
        <v>5164.6192159185503</v>
      </c>
      <c r="ET27" s="1037">
        <v>16865.2856667667</v>
      </c>
      <c r="EU27" s="1037">
        <v>5239.1233916985002</v>
      </c>
      <c r="EV27" s="1037">
        <v>16588.250164208101</v>
      </c>
      <c r="EW27" s="1037">
        <v>5130.7593106958602</v>
      </c>
      <c r="EX27" s="1037">
        <v>17272.128866036601</v>
      </c>
      <c r="EY27" s="1037">
        <v>5213.83995132991</v>
      </c>
      <c r="EZ27" s="1037">
        <v>17426.095591501598</v>
      </c>
      <c r="FA27" s="1037">
        <v>5162.0852321939401</v>
      </c>
      <c r="FB27" s="1037">
        <v>17428.463041527699</v>
      </c>
      <c r="FC27" s="1037">
        <v>4952.3868698737297</v>
      </c>
      <c r="FD27" s="1035" t="s">
        <v>3572</v>
      </c>
      <c r="FE27" s="1749"/>
      <c r="FF27" s="1032"/>
      <c r="FG27" s="1072"/>
    </row>
    <row r="28" spans="1:163" ht="19.899999999999999" customHeight="1">
      <c r="A28" s="1035" t="s">
        <v>2242</v>
      </c>
      <c r="B28" s="1037">
        <v>5658.6364632955401</v>
      </c>
      <c r="C28" s="1037">
        <v>3101.3466812255401</v>
      </c>
      <c r="D28" s="1037">
        <v>5636.0755152274496</v>
      </c>
      <c r="E28" s="1037">
        <v>3012.14752427745</v>
      </c>
      <c r="F28" s="1037">
        <v>5578.04240606847</v>
      </c>
      <c r="G28" s="1037">
        <v>2957.8504355484702</v>
      </c>
      <c r="H28" s="1037">
        <v>5415.8776676592297</v>
      </c>
      <c r="I28" s="1037">
        <v>3053.1510260792302</v>
      </c>
      <c r="J28" s="1037">
        <v>4899.2239992077903</v>
      </c>
      <c r="K28" s="1037">
        <v>2834.7912728378001</v>
      </c>
      <c r="L28" s="1037">
        <v>4675.7654578771098</v>
      </c>
      <c r="M28" s="1037">
        <v>2770.5241486026198</v>
      </c>
      <c r="N28" s="1037">
        <v>4670.1055015066204</v>
      </c>
      <c r="O28" s="1037">
        <v>2752.64901065916</v>
      </c>
      <c r="P28" s="1037">
        <v>4697.2526127053297</v>
      </c>
      <c r="Q28" s="1037">
        <v>2666.36757907938</v>
      </c>
      <c r="R28" s="1037">
        <v>4953.9521524070096</v>
      </c>
      <c r="S28" s="1037">
        <v>2862.15727309574</v>
      </c>
      <c r="T28" s="1037">
        <v>4894.7348306304702</v>
      </c>
      <c r="U28" s="1037">
        <v>2797.2750865362</v>
      </c>
      <c r="V28" s="1037">
        <v>4874.7295025118401</v>
      </c>
      <c r="W28" s="1037">
        <v>2781.84826629912</v>
      </c>
      <c r="X28" s="1037">
        <v>4760.8359977397304</v>
      </c>
      <c r="Y28" s="1037">
        <v>2681.4078408784499</v>
      </c>
      <c r="Z28" s="1037">
        <v>4789.2452372411599</v>
      </c>
      <c r="AA28" s="1037">
        <v>2651.2523601488801</v>
      </c>
      <c r="AB28" s="1037">
        <v>4756.8735388277501</v>
      </c>
      <c r="AC28" s="1037">
        <v>2581.0710465910602</v>
      </c>
      <c r="AD28" s="1037">
        <v>4784.8133582194796</v>
      </c>
      <c r="AE28" s="1037">
        <v>2559.7618265855099</v>
      </c>
      <c r="AF28" s="1037">
        <v>4805.9520057207101</v>
      </c>
      <c r="AG28" s="1037">
        <v>2499.7372854792202</v>
      </c>
      <c r="AH28" s="1037">
        <v>4900.0844712032904</v>
      </c>
      <c r="AI28" s="1037">
        <v>2479.7215357117798</v>
      </c>
      <c r="AJ28" s="1037">
        <v>4981.2711391236699</v>
      </c>
      <c r="AK28" s="1037">
        <v>2499.2712871065</v>
      </c>
      <c r="AL28" s="1037">
        <v>5007.2120268307799</v>
      </c>
      <c r="AM28" s="1037">
        <v>2466.6824688107799</v>
      </c>
      <c r="AN28" s="1037">
        <v>5089.4609964806896</v>
      </c>
      <c r="AO28" s="1037">
        <v>2458.6869742918698</v>
      </c>
      <c r="AP28" s="1037">
        <v>5167.5324045123998</v>
      </c>
      <c r="AQ28" s="1037">
        <v>2466.7911414924001</v>
      </c>
      <c r="AR28" s="1037">
        <v>5237.9675451324601</v>
      </c>
      <c r="AS28" s="1037">
        <v>2445.4128843124599</v>
      </c>
      <c r="AT28" s="1037">
        <v>5260.771494177</v>
      </c>
      <c r="AU28" s="1037">
        <v>2404.13771542208</v>
      </c>
      <c r="AV28" s="1037">
        <v>5267.678796018</v>
      </c>
      <c r="AW28" s="1037">
        <v>2374.4785728099</v>
      </c>
      <c r="AX28" s="1037">
        <v>5339.0398734929504</v>
      </c>
      <c r="AY28" s="1037">
        <v>2380.8110381625702</v>
      </c>
      <c r="AZ28" s="1037">
        <v>5391.4378529303003</v>
      </c>
      <c r="BA28" s="1037">
        <v>2390.3481385702999</v>
      </c>
      <c r="BB28" s="1037">
        <v>5426.5532741280003</v>
      </c>
      <c r="BC28" s="1037">
        <v>2370.0736807032999</v>
      </c>
      <c r="BD28" s="1037">
        <v>5501.5926134696701</v>
      </c>
      <c r="BE28" s="1037">
        <v>2423.9236082678199</v>
      </c>
      <c r="BF28" s="1037">
        <v>5575.4546336834401</v>
      </c>
      <c r="BG28" s="1037">
        <v>2412.4923879994799</v>
      </c>
      <c r="BH28" s="1037">
        <v>5658.1501285470003</v>
      </c>
      <c r="BI28" s="1037">
        <v>2419.5385666369998</v>
      </c>
      <c r="BJ28" s="1037">
        <v>5736.3621133790002</v>
      </c>
      <c r="BK28" s="1037">
        <v>2400.6560975389998</v>
      </c>
      <c r="BL28" s="1037">
        <v>5814.8316768921104</v>
      </c>
      <c r="BM28" s="1037">
        <v>2405.6351858070302</v>
      </c>
      <c r="BN28" s="1037">
        <v>5880.0165887554003</v>
      </c>
      <c r="BO28" s="1037">
        <v>2381.9161691477598</v>
      </c>
      <c r="BP28" s="1037">
        <v>5964.2026268640302</v>
      </c>
      <c r="BQ28" s="1037">
        <v>2390.0988637978799</v>
      </c>
      <c r="BR28" s="1037">
        <v>5973.9945534448098</v>
      </c>
      <c r="BS28" s="1037">
        <v>2340.7853844801102</v>
      </c>
      <c r="BT28" s="1037">
        <v>6058.0030830406204</v>
      </c>
      <c r="BU28" s="1037">
        <v>2372.96273323062</v>
      </c>
      <c r="BV28" s="1037">
        <v>6204.0822370750002</v>
      </c>
      <c r="BW28" s="1037">
        <v>2418.190791855</v>
      </c>
      <c r="BX28" s="1037">
        <v>6196.2918759479999</v>
      </c>
      <c r="BY28" s="1037">
        <v>2327.7845687079998</v>
      </c>
      <c r="BZ28" s="1037">
        <v>6336.0719709080004</v>
      </c>
      <c r="CA28" s="1037">
        <v>2464.4481205975799</v>
      </c>
      <c r="CB28" s="1037">
        <v>6311.4585102450001</v>
      </c>
      <c r="CC28" s="1304">
        <v>2406.9501258149999</v>
      </c>
      <c r="CD28" s="1304">
        <v>6376.2080115950002</v>
      </c>
      <c r="CE28" s="1304">
        <v>2422.3224269249999</v>
      </c>
      <c r="CF28" s="1037">
        <v>6454.0134113249997</v>
      </c>
      <c r="CG28" s="1304">
        <v>2408.9654444396201</v>
      </c>
      <c r="CH28" s="1304">
        <v>6595.5416784551298</v>
      </c>
      <c r="CI28" s="1304">
        <v>2431.08388114847</v>
      </c>
      <c r="CJ28" s="1037">
        <v>6645.6260492310003</v>
      </c>
      <c r="CK28" s="1304">
        <v>2415.54030014417</v>
      </c>
      <c r="CL28" s="1037">
        <v>6691.5127939029999</v>
      </c>
      <c r="CM28" s="1304">
        <v>2395.3388395521802</v>
      </c>
      <c r="CN28" s="1304">
        <v>6745.3674408930001</v>
      </c>
      <c r="CO28" s="1304">
        <v>2377.9447602846799</v>
      </c>
      <c r="CP28" s="1037">
        <v>6597.7447482500002</v>
      </c>
      <c r="CQ28" s="1304">
        <v>2344.73053729</v>
      </c>
      <c r="CR28" s="1304">
        <v>6736.5456473300001</v>
      </c>
      <c r="CS28" s="1304">
        <v>2356.8446933376499</v>
      </c>
      <c r="CT28" s="1037">
        <v>6882.0549302299996</v>
      </c>
      <c r="CU28" s="1304">
        <v>2360.5934122138901</v>
      </c>
      <c r="CV28" s="1037">
        <v>7113.21038804</v>
      </c>
      <c r="CW28" s="1304">
        <v>2482.4885045917899</v>
      </c>
      <c r="CX28" s="1037">
        <v>7174.2242221099996</v>
      </c>
      <c r="CY28" s="1304">
        <v>2495.0188347517801</v>
      </c>
      <c r="CZ28" s="1037">
        <v>7226.6625527799997</v>
      </c>
      <c r="DA28" s="1304">
        <v>2511.7049256627201</v>
      </c>
      <c r="DB28" s="1037">
        <v>7414.09781656</v>
      </c>
      <c r="DC28" s="1304">
        <v>2545.2779046238802</v>
      </c>
      <c r="DD28" s="1304">
        <v>7625.45866965</v>
      </c>
      <c r="DE28" s="1304">
        <v>2650.4697476435099</v>
      </c>
      <c r="DF28" s="1037">
        <v>7750.6270980899999</v>
      </c>
      <c r="DG28" s="1304">
        <v>2752.9983393795701</v>
      </c>
      <c r="DH28" s="1037">
        <v>8067.6597960099998</v>
      </c>
      <c r="DI28" s="1037">
        <v>2786.2716615220102</v>
      </c>
      <c r="DJ28" s="1037">
        <v>8215.48434026</v>
      </c>
      <c r="DK28" s="1037">
        <v>2846.6332583601502</v>
      </c>
      <c r="DL28" s="1037">
        <v>8242.7756749599994</v>
      </c>
      <c r="DM28" s="1037">
        <v>2871.0064533612999</v>
      </c>
      <c r="DN28" s="1037">
        <v>8314.7993405500001</v>
      </c>
      <c r="DO28" s="1037">
        <v>2867.8671537095602</v>
      </c>
      <c r="DP28" s="1037">
        <v>8371.3908408299994</v>
      </c>
      <c r="DQ28" s="1037">
        <v>2904.6249632920499</v>
      </c>
      <c r="DR28" s="1037">
        <v>8600.8335662900008</v>
      </c>
      <c r="DS28" s="1037">
        <v>3020.6948322203998</v>
      </c>
      <c r="DT28" s="1037">
        <v>8746.8197070599999</v>
      </c>
      <c r="DU28" s="1037">
        <v>3039.95807076854</v>
      </c>
      <c r="DV28" s="1037">
        <v>8804.6199594499994</v>
      </c>
      <c r="DW28" s="1037">
        <v>3063.4934648580502</v>
      </c>
      <c r="DX28" s="1037">
        <v>9009.34797162</v>
      </c>
      <c r="DY28" s="1037">
        <v>3130.31078654882</v>
      </c>
      <c r="DZ28" s="1037">
        <v>9135.7486602099998</v>
      </c>
      <c r="EA28" s="1037">
        <v>3133.74262705621</v>
      </c>
      <c r="EB28" s="1037">
        <v>9198.4813601599999</v>
      </c>
      <c r="EC28" s="1037">
        <v>3086.7628341968102</v>
      </c>
      <c r="ED28" s="1037">
        <v>9408.0486587399992</v>
      </c>
      <c r="EE28" s="1037">
        <v>3163.8663107890002</v>
      </c>
      <c r="EF28" s="1037">
        <v>9519.8581176299995</v>
      </c>
      <c r="EG28" s="1037">
        <v>3172.6537063422402</v>
      </c>
      <c r="EH28" s="1037">
        <v>9560.7506758300005</v>
      </c>
      <c r="EI28" s="1037">
        <v>3123.81831083211</v>
      </c>
      <c r="EJ28" s="1037">
        <v>9720.2391309499999</v>
      </c>
      <c r="EK28" s="1037">
        <v>3121.70756418574</v>
      </c>
      <c r="EL28" s="1037">
        <v>9883.6356211500006</v>
      </c>
      <c r="EM28" s="1037">
        <v>3134.8941424997101</v>
      </c>
      <c r="EN28" s="1037">
        <v>9963.9115813900007</v>
      </c>
      <c r="EO28" s="1037">
        <v>3098.0568156776999</v>
      </c>
      <c r="EP28" s="1037">
        <v>10315.971029216</v>
      </c>
      <c r="EQ28" s="1037">
        <v>3241.5586959390698</v>
      </c>
      <c r="ER28" s="1037">
        <v>10475.9148465571</v>
      </c>
      <c r="ES28" s="1037">
        <v>3233.1974656004199</v>
      </c>
      <c r="ET28" s="1037">
        <v>10686.229109584599</v>
      </c>
      <c r="EU28" s="1037">
        <v>3234.1896527932399</v>
      </c>
      <c r="EV28" s="1037">
        <v>10758.0659312814</v>
      </c>
      <c r="EW28" s="1037">
        <v>3222.05409866329</v>
      </c>
      <c r="EX28" s="1037">
        <v>10979.9172982297</v>
      </c>
      <c r="EY28" s="1037">
        <v>3218.3484563611601</v>
      </c>
      <c r="EZ28" s="1037">
        <v>11215.23292633</v>
      </c>
      <c r="FA28" s="1037">
        <v>3283.8179358821699</v>
      </c>
      <c r="FB28" s="1037">
        <v>11344.7992977048</v>
      </c>
      <c r="FC28" s="1037">
        <v>3230.4173168389798</v>
      </c>
      <c r="FD28" s="1035" t="s">
        <v>3573</v>
      </c>
      <c r="FF28" s="1032"/>
      <c r="FG28" s="1072"/>
    </row>
    <row r="29" spans="1:163" ht="19.899999999999999" customHeight="1">
      <c r="A29" s="1035" t="s">
        <v>2241</v>
      </c>
      <c r="B29" s="1037">
        <v>2849.3297283544598</v>
      </c>
      <c r="C29" s="1037">
        <v>1384.70773172446</v>
      </c>
      <c r="D29" s="1037">
        <v>2788.9363927425502</v>
      </c>
      <c r="E29" s="1037">
        <v>1354.96435404255</v>
      </c>
      <c r="F29" s="1037">
        <v>2993.93927848153</v>
      </c>
      <c r="G29" s="1037">
        <v>1591.7776408515299</v>
      </c>
      <c r="H29" s="1037">
        <v>2742.8466331907698</v>
      </c>
      <c r="I29" s="1037">
        <v>1473.56197418077</v>
      </c>
      <c r="J29" s="1037">
        <v>2758.3396036422</v>
      </c>
      <c r="K29" s="1037">
        <v>1417.6699809822001</v>
      </c>
      <c r="L29" s="1037">
        <v>2875.2773722728898</v>
      </c>
      <c r="M29" s="1037">
        <v>1336.1461159457201</v>
      </c>
      <c r="N29" s="1037">
        <v>2922.2422472633798</v>
      </c>
      <c r="O29" s="1037">
        <v>1377.3219838511</v>
      </c>
      <c r="P29" s="1037">
        <v>2978.1910275846699</v>
      </c>
      <c r="Q29" s="1037">
        <v>1400.70687504238</v>
      </c>
      <c r="R29" s="1037">
        <v>2809.7737200929901</v>
      </c>
      <c r="S29" s="1037">
        <v>1411.4134036129799</v>
      </c>
      <c r="T29" s="1037">
        <v>2821.2965792295299</v>
      </c>
      <c r="U29" s="1037">
        <v>1406.6614779393301</v>
      </c>
      <c r="V29" s="1037">
        <v>2885.9425019581599</v>
      </c>
      <c r="W29" s="1037">
        <v>1374.78860444314</v>
      </c>
      <c r="X29" s="1037">
        <v>3036.9871779202599</v>
      </c>
      <c r="Y29" s="1037">
        <v>1466.85545140305</v>
      </c>
      <c r="Z29" s="1037">
        <v>3255.4182122288398</v>
      </c>
      <c r="AA29" s="1037">
        <v>1479.0255095208499</v>
      </c>
      <c r="AB29" s="1037">
        <v>3327.1184120922499</v>
      </c>
      <c r="AC29" s="1037">
        <v>1559.1527363314101</v>
      </c>
      <c r="AD29" s="1037">
        <v>3462.7031910505202</v>
      </c>
      <c r="AE29" s="1037">
        <v>1621.32529794018</v>
      </c>
      <c r="AF29" s="1037">
        <v>3206.8106223592899</v>
      </c>
      <c r="AG29" s="1037">
        <v>1581.02604239929</v>
      </c>
      <c r="AH29" s="1037">
        <v>3319.8335804667099</v>
      </c>
      <c r="AI29" s="1037">
        <v>1567.6791107767101</v>
      </c>
      <c r="AJ29" s="1037">
        <v>3496.7640872963302</v>
      </c>
      <c r="AK29" s="1037">
        <v>1370.3102705563299</v>
      </c>
      <c r="AL29" s="1037">
        <v>3263.45964688922</v>
      </c>
      <c r="AM29" s="1037">
        <v>1361.34266469922</v>
      </c>
      <c r="AN29" s="1037">
        <v>3350.0191665193101</v>
      </c>
      <c r="AO29" s="1037">
        <v>1361.0010535993099</v>
      </c>
      <c r="AP29" s="1037">
        <v>3232.6484367273902</v>
      </c>
      <c r="AQ29" s="1037">
        <v>1337.42135432739</v>
      </c>
      <c r="AR29" s="1037">
        <v>3425.6604794275399</v>
      </c>
      <c r="AS29" s="1037">
        <v>1385.94294712177</v>
      </c>
      <c r="AT29" s="1037">
        <v>3453.0549099534001</v>
      </c>
      <c r="AU29" s="1037">
        <v>1418.13959284971</v>
      </c>
      <c r="AV29" s="1037">
        <v>3613.2408952219998</v>
      </c>
      <c r="AW29" s="1037">
        <v>1400.4645825095799</v>
      </c>
      <c r="AX29" s="1037">
        <v>3693.3944857209999</v>
      </c>
      <c r="AY29" s="1037">
        <v>1384.65778826172</v>
      </c>
      <c r="AZ29" s="1037">
        <v>4065.4350025610001</v>
      </c>
      <c r="BA29" s="1037">
        <v>1374.9596565988199</v>
      </c>
      <c r="BB29" s="1037">
        <v>4443.1754593019996</v>
      </c>
      <c r="BC29" s="1037">
        <v>1662.5486745354201</v>
      </c>
      <c r="BD29" s="1037">
        <v>4699.1774842554096</v>
      </c>
      <c r="BE29" s="1037">
        <v>1940.60430457799</v>
      </c>
      <c r="BF29" s="1037">
        <v>4764.9873563360798</v>
      </c>
      <c r="BG29" s="1037">
        <v>1732.85454206233</v>
      </c>
      <c r="BH29" s="1037">
        <v>4730.8078443029999</v>
      </c>
      <c r="BI29" s="1037">
        <v>1916.5505666030001</v>
      </c>
      <c r="BJ29" s="1037">
        <v>4642.2165349110001</v>
      </c>
      <c r="BK29" s="1037">
        <v>1833.1143324112199</v>
      </c>
      <c r="BL29" s="1037">
        <v>4790.6760497830001</v>
      </c>
      <c r="BM29" s="1037">
        <v>1878.97864041922</v>
      </c>
      <c r="BN29" s="1037">
        <v>4751.9659663359998</v>
      </c>
      <c r="BO29" s="1037">
        <v>1902.1771462163199</v>
      </c>
      <c r="BP29" s="1037">
        <v>5028.7983774630002</v>
      </c>
      <c r="BQ29" s="1037">
        <v>1984.2083017356199</v>
      </c>
      <c r="BR29" s="1037">
        <v>5282.5845509423698</v>
      </c>
      <c r="BS29" s="1037">
        <v>2068.6829693623699</v>
      </c>
      <c r="BT29" s="1037">
        <v>5281.8890120061196</v>
      </c>
      <c r="BU29" s="1037">
        <v>2101.2537543961198</v>
      </c>
      <c r="BV29" s="1037">
        <v>5278.8618214402604</v>
      </c>
      <c r="BW29" s="1037">
        <v>2150.6921485238499</v>
      </c>
      <c r="BX29" s="1037">
        <v>5490.4428703619997</v>
      </c>
      <c r="BY29" s="1037">
        <v>2268.122191552</v>
      </c>
      <c r="BZ29" s="1037">
        <v>5317.8416644319996</v>
      </c>
      <c r="CA29" s="1037">
        <v>2106.2987713646999</v>
      </c>
      <c r="CB29" s="1037">
        <v>5408.0031209850004</v>
      </c>
      <c r="CC29" s="1304">
        <v>2127.0400070619899</v>
      </c>
      <c r="CD29" s="1304">
        <v>5579.2229158250002</v>
      </c>
      <c r="CE29" s="1304">
        <v>2089.1586677649998</v>
      </c>
      <c r="CF29" s="1037">
        <v>5688.9861021249999</v>
      </c>
      <c r="CG29" s="1304">
        <v>2262.7154393750002</v>
      </c>
      <c r="CH29" s="1304">
        <v>5876.9644524224404</v>
      </c>
      <c r="CI29" s="1304">
        <v>2197.0261750224399</v>
      </c>
      <c r="CJ29" s="1037">
        <v>5783.7170128389998</v>
      </c>
      <c r="CK29" s="1304">
        <v>2178.5027887778901</v>
      </c>
      <c r="CL29" s="1037">
        <v>5584.4785616270001</v>
      </c>
      <c r="CM29" s="1304">
        <v>2133.3760391083802</v>
      </c>
      <c r="CN29" s="1304">
        <v>5673.0402200770004</v>
      </c>
      <c r="CO29" s="1304">
        <v>2044.7646662069999</v>
      </c>
      <c r="CP29" s="1037">
        <v>5673.4026454900004</v>
      </c>
      <c r="CQ29" s="1304">
        <v>2047.9329233030301</v>
      </c>
      <c r="CR29" s="1304">
        <v>5516.9805221099996</v>
      </c>
      <c r="CS29" s="1304">
        <v>1902.87539236</v>
      </c>
      <c r="CT29" s="1037">
        <v>5700.1134559000002</v>
      </c>
      <c r="CU29" s="1304">
        <v>1910.6029879877599</v>
      </c>
      <c r="CV29" s="1037">
        <v>5718.0272997599996</v>
      </c>
      <c r="CW29" s="1304">
        <v>2073.1108062724702</v>
      </c>
      <c r="CX29" s="1037">
        <v>5829.38598551</v>
      </c>
      <c r="CY29" s="1304">
        <v>2160.34573890092</v>
      </c>
      <c r="CZ29" s="1037">
        <v>5641.8572358700003</v>
      </c>
      <c r="DA29" s="1304">
        <v>2076.40916473177</v>
      </c>
      <c r="DB29" s="1037">
        <v>5796.2651132800002</v>
      </c>
      <c r="DC29" s="1304">
        <v>2047.36617140215</v>
      </c>
      <c r="DD29" s="1304">
        <v>5774.0564324536099</v>
      </c>
      <c r="DE29" s="1304">
        <v>2064.4115468999998</v>
      </c>
      <c r="DF29" s="1037">
        <v>6129.6308917899996</v>
      </c>
      <c r="DG29" s="1304">
        <v>2026.8441202900001</v>
      </c>
      <c r="DH29" s="1037">
        <v>5593.2672255799998</v>
      </c>
      <c r="DI29" s="1037">
        <v>1893.05594092</v>
      </c>
      <c r="DJ29" s="1037">
        <v>5676.3194065799998</v>
      </c>
      <c r="DK29" s="1037">
        <v>1935.0194964899999</v>
      </c>
      <c r="DL29" s="1037">
        <v>5606.3284892800002</v>
      </c>
      <c r="DM29" s="1037">
        <v>1914.9927281463999</v>
      </c>
      <c r="DN29" s="1037">
        <v>5654.7294430700003</v>
      </c>
      <c r="DO29" s="1037">
        <v>1885.2772471839901</v>
      </c>
      <c r="DP29" s="1037">
        <v>5488.48730454</v>
      </c>
      <c r="DQ29" s="1037">
        <v>1920.4910641500001</v>
      </c>
      <c r="DR29" s="1037">
        <v>5698.2599470599998</v>
      </c>
      <c r="DS29" s="1037">
        <v>1878.3345707799999</v>
      </c>
      <c r="DT29" s="1037">
        <v>5638.5978969899998</v>
      </c>
      <c r="DU29" s="1037">
        <v>1848.42674931034</v>
      </c>
      <c r="DV29" s="1037">
        <v>5720.7351152143501</v>
      </c>
      <c r="DW29" s="1037">
        <v>1812.6212661043501</v>
      </c>
      <c r="DX29" s="1037">
        <v>5734.7148352100003</v>
      </c>
      <c r="DY29" s="1037">
        <v>1828.7214434499999</v>
      </c>
      <c r="DZ29" s="1037">
        <v>5412.1739344799998</v>
      </c>
      <c r="EA29" s="1037">
        <v>1769.0536103300001</v>
      </c>
      <c r="EB29" s="1037">
        <v>5535.7662762800001</v>
      </c>
      <c r="EC29" s="1037">
        <v>1812.395730494</v>
      </c>
      <c r="ED29" s="1037">
        <v>5652.6859824700005</v>
      </c>
      <c r="EE29" s="1037">
        <v>1800.9857650399999</v>
      </c>
      <c r="EF29" s="1037">
        <v>5594.0269915900899</v>
      </c>
      <c r="EG29" s="1037">
        <v>1782.14056849143</v>
      </c>
      <c r="EH29" s="1037">
        <v>5525.2971710800002</v>
      </c>
      <c r="EI29" s="1037">
        <v>1812.6538408342001</v>
      </c>
      <c r="EJ29" s="1037">
        <v>5656.7195632900903</v>
      </c>
      <c r="EK29" s="1037">
        <v>1850.4646739401501</v>
      </c>
      <c r="EL29" s="1037">
        <v>5665.3424736800898</v>
      </c>
      <c r="EM29" s="1037">
        <v>1803.92669215041</v>
      </c>
      <c r="EN29" s="1037">
        <v>5883.7670431796496</v>
      </c>
      <c r="EO29" s="1037">
        <v>2048.2377330080199</v>
      </c>
      <c r="EP29" s="1037">
        <v>6007.4929650125096</v>
      </c>
      <c r="EQ29" s="1037">
        <v>1898.43001679755</v>
      </c>
      <c r="ER29" s="1037">
        <v>5829.5700885862398</v>
      </c>
      <c r="ES29" s="1037">
        <v>1931.4217503181401</v>
      </c>
      <c r="ET29" s="1037">
        <v>6179.0565571821598</v>
      </c>
      <c r="EU29" s="1037">
        <v>2004.93373890526</v>
      </c>
      <c r="EV29" s="1037">
        <v>5830.1842329266401</v>
      </c>
      <c r="EW29" s="1037">
        <v>1908.70521203257</v>
      </c>
      <c r="EX29" s="1037">
        <v>6292.2115678069604</v>
      </c>
      <c r="EY29" s="1037">
        <v>1995.49149496875</v>
      </c>
      <c r="EZ29" s="1037">
        <v>6210.8626651715804</v>
      </c>
      <c r="FA29" s="1037">
        <v>1878.26729631177</v>
      </c>
      <c r="FB29" s="1037">
        <v>6083.66374382296</v>
      </c>
      <c r="FC29" s="1037">
        <v>1721.9695530347601</v>
      </c>
      <c r="FD29" s="1035" t="s">
        <v>3574</v>
      </c>
      <c r="FF29" s="1032"/>
      <c r="FG29" s="1072"/>
    </row>
    <row r="30" spans="1:163" ht="19.899999999999999" customHeight="1">
      <c r="A30" s="1035" t="s">
        <v>4290</v>
      </c>
      <c r="B30" s="1037">
        <v>12818.715910704999</v>
      </c>
      <c r="C30" s="1037">
        <v>7720.3689364350003</v>
      </c>
      <c r="D30" s="1037">
        <v>13235.461557035</v>
      </c>
      <c r="E30" s="1037">
        <v>8134.8701573350008</v>
      </c>
      <c r="F30" s="1037">
        <v>13218.723943265</v>
      </c>
      <c r="G30" s="1037">
        <v>7941.0321864349989</v>
      </c>
      <c r="H30" s="1037">
        <v>12427.886186795</v>
      </c>
      <c r="I30" s="1037">
        <v>7642.562002785</v>
      </c>
      <c r="J30" s="1037">
        <v>12282.493040384999</v>
      </c>
      <c r="K30" s="1037">
        <v>7395.8001135149998</v>
      </c>
      <c r="L30" s="1037">
        <v>12398.306838585</v>
      </c>
      <c r="M30" s="1037">
        <v>7356.6532556208203</v>
      </c>
      <c r="N30" s="1037">
        <v>11789.421098605</v>
      </c>
      <c r="O30" s="1037">
        <v>6906.3168324070102</v>
      </c>
      <c r="P30" s="1037">
        <v>11691.922977235001</v>
      </c>
      <c r="Q30" s="1037">
        <v>6676.0261981430795</v>
      </c>
      <c r="R30" s="1037">
        <v>11805.998187705001</v>
      </c>
      <c r="S30" s="1037">
        <v>6654.0819981774202</v>
      </c>
      <c r="T30" s="1037">
        <v>11661.394204120001</v>
      </c>
      <c r="U30" s="1037">
        <v>6230.7288393565996</v>
      </c>
      <c r="V30" s="1037">
        <v>11646.865827430001</v>
      </c>
      <c r="W30" s="1037">
        <v>6265.7559722620208</v>
      </c>
      <c r="X30" s="1037">
        <v>11514.901780060001</v>
      </c>
      <c r="Y30" s="1037">
        <v>6425.1454362223503</v>
      </c>
      <c r="Z30" s="1037">
        <v>12678.276078110001</v>
      </c>
      <c r="AA30" s="1037">
        <v>6900.49157023322</v>
      </c>
      <c r="AB30" s="1037">
        <v>12208.951417235001</v>
      </c>
      <c r="AC30" s="1037">
        <v>6571.8865233574797</v>
      </c>
      <c r="AD30" s="1037">
        <v>12406.282155025001</v>
      </c>
      <c r="AE30" s="1037">
        <v>6529.3298445744294</v>
      </c>
      <c r="AF30" s="1037">
        <v>13037.730816414998</v>
      </c>
      <c r="AG30" s="1037">
        <v>6669.6391246049998</v>
      </c>
      <c r="AH30" s="1037">
        <v>13137.215972205</v>
      </c>
      <c r="AI30" s="1037">
        <v>6535.0008542750002</v>
      </c>
      <c r="AJ30" s="1037">
        <v>13587.459901245002</v>
      </c>
      <c r="AK30" s="1037">
        <v>6803.8616145850001</v>
      </c>
      <c r="AL30" s="1037">
        <v>13854.371514925</v>
      </c>
      <c r="AM30" s="1037">
        <v>7133.5831711049996</v>
      </c>
      <c r="AN30" s="1037">
        <v>14409.802126865001</v>
      </c>
      <c r="AO30" s="1037">
        <v>7760.0263578850008</v>
      </c>
      <c r="AP30" s="1037">
        <v>14349.529528435</v>
      </c>
      <c r="AQ30" s="1037">
        <v>7379.2772864250001</v>
      </c>
      <c r="AR30" s="1037">
        <v>14986.412878175001</v>
      </c>
      <c r="AS30" s="1037">
        <v>7853.4955744864892</v>
      </c>
      <c r="AT30" s="1037">
        <v>15312.326301075</v>
      </c>
      <c r="AU30" s="1037">
        <v>8038.1785210687503</v>
      </c>
      <c r="AV30" s="1037">
        <v>15862.696938895</v>
      </c>
      <c r="AW30" s="1037">
        <v>8367.5613806937999</v>
      </c>
      <c r="AX30" s="1037">
        <v>17905.88154884</v>
      </c>
      <c r="AY30" s="1037">
        <v>9062.1615532693304</v>
      </c>
      <c r="AZ30" s="1037">
        <v>17497.16562272</v>
      </c>
      <c r="BA30" s="1037">
        <v>9598.9306536094609</v>
      </c>
      <c r="BB30" s="1037">
        <v>17185.787086970002</v>
      </c>
      <c r="BC30" s="1037">
        <v>9406.8462785002212</v>
      </c>
      <c r="BD30" s="1037">
        <v>18058.382741294001</v>
      </c>
      <c r="BE30" s="1037">
        <v>9669.3479333725791</v>
      </c>
      <c r="BF30" s="1037">
        <v>18273.259061924</v>
      </c>
      <c r="BG30" s="1037">
        <v>9952.3056354977798</v>
      </c>
      <c r="BH30" s="1037">
        <v>19348.6466945709</v>
      </c>
      <c r="BI30" s="1037">
        <v>10295.36529758872</v>
      </c>
      <c r="BJ30" s="1037">
        <v>19603.4968018648</v>
      </c>
      <c r="BK30" s="1037">
        <v>10297.406617548018</v>
      </c>
      <c r="BL30" s="1037">
        <v>18995.032185367298</v>
      </c>
      <c r="BM30" s="1037">
        <v>10180.59318397164</v>
      </c>
      <c r="BN30" s="1037">
        <v>19805.232713158301</v>
      </c>
      <c r="BO30" s="1037">
        <v>10251.52133897356</v>
      </c>
      <c r="BP30" s="1037">
        <v>20380.6809326863</v>
      </c>
      <c r="BQ30" s="1037">
        <v>10521.40062270855</v>
      </c>
      <c r="BR30" s="1037">
        <v>20935.516187393998</v>
      </c>
      <c r="BS30" s="1037">
        <v>10584.82192467371</v>
      </c>
      <c r="BT30" s="1037">
        <v>21520.965833067101</v>
      </c>
      <c r="BU30" s="1037">
        <v>11153.262542863999</v>
      </c>
      <c r="BV30" s="1037">
        <v>22279.618842231201</v>
      </c>
      <c r="BW30" s="1037">
        <v>11324.417411713499</v>
      </c>
      <c r="BX30" s="1037">
        <v>21282.025489057902</v>
      </c>
      <c r="BY30" s="1037">
        <v>11078.24917671</v>
      </c>
      <c r="BZ30" s="1037">
        <v>20906.885980523999</v>
      </c>
      <c r="CA30" s="1037">
        <v>10979.451710347999</v>
      </c>
      <c r="CB30" s="1037">
        <v>20213.733710519999</v>
      </c>
      <c r="CC30" s="1304">
        <v>9755.7778030730897</v>
      </c>
      <c r="CD30" s="1304">
        <v>20411.491041540001</v>
      </c>
      <c r="CE30" s="1304">
        <v>9939.8543262399999</v>
      </c>
      <c r="CF30" s="1037">
        <v>20535.745107061</v>
      </c>
      <c r="CG30" s="1304">
        <v>9835.7379335400001</v>
      </c>
      <c r="CH30" s="1304">
        <v>19584.207801403001</v>
      </c>
      <c r="CI30" s="1304">
        <v>8728.1456653730002</v>
      </c>
      <c r="CJ30" s="1037">
        <v>19411.76055594</v>
      </c>
      <c r="CK30" s="1304">
        <v>8259.6888357414191</v>
      </c>
      <c r="CL30" s="1037">
        <v>19722.698495469998</v>
      </c>
      <c r="CM30" s="1304">
        <v>8025.7399566199902</v>
      </c>
      <c r="CN30" s="1304">
        <v>19755.837382680002</v>
      </c>
      <c r="CO30" s="1304">
        <v>7881.2804844900002</v>
      </c>
      <c r="CP30" s="1037">
        <v>20810.753931740001</v>
      </c>
      <c r="CQ30" s="1304">
        <v>8755.6066630012501</v>
      </c>
      <c r="CR30" s="1304">
        <v>20972.193340999998</v>
      </c>
      <c r="CS30" s="1304">
        <v>8368.7434128099994</v>
      </c>
      <c r="CT30" s="1037">
        <v>21967.911729880001</v>
      </c>
      <c r="CU30" s="1304">
        <v>9006.9152022734997</v>
      </c>
      <c r="CV30" s="1037">
        <v>22164.171256414498</v>
      </c>
      <c r="CW30" s="1304">
        <v>9548.9227733493899</v>
      </c>
      <c r="CX30" s="1037">
        <v>21955.71901836</v>
      </c>
      <c r="CY30" s="1304">
        <v>8930.5310548219604</v>
      </c>
      <c r="CZ30" s="1037">
        <v>21944.26047152</v>
      </c>
      <c r="DA30" s="1304">
        <v>9194.1376055878609</v>
      </c>
      <c r="DB30" s="1037">
        <v>22150.665467089999</v>
      </c>
      <c r="DC30" s="1304">
        <v>9796.58992064833</v>
      </c>
      <c r="DD30" s="1304">
        <v>21435.702794839999</v>
      </c>
      <c r="DE30" s="1304">
        <v>9065.0896227199992</v>
      </c>
      <c r="DF30" s="1037">
        <v>21304.750949117399</v>
      </c>
      <c r="DG30" s="1304">
        <v>8840.0628555526691</v>
      </c>
      <c r="DH30" s="1037">
        <v>20720.319737689999</v>
      </c>
      <c r="DI30" s="1037">
        <v>8440.8853192099996</v>
      </c>
      <c r="DJ30" s="1037">
        <v>21112.093256709999</v>
      </c>
      <c r="DK30" s="1037">
        <v>9013.9376604999998</v>
      </c>
      <c r="DL30" s="1037">
        <v>22209.79554526</v>
      </c>
      <c r="DM30" s="1037">
        <v>9240.8982184511606</v>
      </c>
      <c r="DN30" s="1037">
        <v>20404.33362428</v>
      </c>
      <c r="DO30" s="1037">
        <v>8817.24551973903</v>
      </c>
      <c r="DP30" s="1037">
        <v>21332.078937220002</v>
      </c>
      <c r="DQ30" s="1037">
        <v>9068.8289970799997</v>
      </c>
      <c r="DR30" s="1037">
        <v>23397.48327483</v>
      </c>
      <c r="DS30" s="1037">
        <v>9247.9831050108696</v>
      </c>
      <c r="DT30" s="1037">
        <v>22575.537882010001</v>
      </c>
      <c r="DU30" s="1037">
        <v>10174.9350046286</v>
      </c>
      <c r="DV30" s="1037">
        <v>23311.686988650101</v>
      </c>
      <c r="DW30" s="1037">
        <v>10627.821281390099</v>
      </c>
      <c r="DX30" s="1037">
        <v>22549.019672620001</v>
      </c>
      <c r="DY30" s="1037">
        <v>10450.009710011</v>
      </c>
      <c r="DZ30" s="1037">
        <v>22199.583981219999</v>
      </c>
      <c r="EA30" s="1037">
        <v>10420.683726609999</v>
      </c>
      <c r="EB30" s="1037">
        <v>23445.094444170001</v>
      </c>
      <c r="EC30" s="1037">
        <v>11782.4093634737</v>
      </c>
      <c r="ED30" s="1037">
        <v>22292.544097240101</v>
      </c>
      <c r="EE30" s="1037">
        <v>10259.7281204501</v>
      </c>
      <c r="EF30" s="1037">
        <v>21536.986857839998</v>
      </c>
      <c r="EG30" s="1037">
        <v>9781.4916400993206</v>
      </c>
      <c r="EH30" s="1037">
        <v>21431.779942919999</v>
      </c>
      <c r="EI30" s="1037">
        <v>9734.3150313021597</v>
      </c>
      <c r="EJ30" s="1037">
        <v>21210.86270139</v>
      </c>
      <c r="EK30" s="1037">
        <v>9530.9617256558104</v>
      </c>
      <c r="EL30" s="1037">
        <v>20513.94519382</v>
      </c>
      <c r="EM30" s="1037">
        <v>9225.8459588090791</v>
      </c>
      <c r="EN30" s="1037">
        <v>21354.342335872399</v>
      </c>
      <c r="EO30" s="1037">
        <v>9767.3348464444807</v>
      </c>
      <c r="EP30" s="1037">
        <v>21898.398089286002</v>
      </c>
      <c r="EQ30" s="1037">
        <v>8465.4156972882392</v>
      </c>
      <c r="ER30" s="1037">
        <v>20499.827528788199</v>
      </c>
      <c r="ES30" s="1037">
        <v>8753.0573959581598</v>
      </c>
      <c r="ET30" s="1037">
        <v>20425.361662293199</v>
      </c>
      <c r="EU30" s="1037">
        <v>8791.6869006031593</v>
      </c>
      <c r="EV30" s="1037">
        <v>20980.143310904401</v>
      </c>
      <c r="EW30" s="1037">
        <v>8631.8877280439101</v>
      </c>
      <c r="EX30" s="1037">
        <v>20498.628617384798</v>
      </c>
      <c r="EY30" s="1037">
        <v>8269.7437157947898</v>
      </c>
      <c r="EZ30" s="1037">
        <v>21122.183984300598</v>
      </c>
      <c r="FA30" s="1037">
        <v>8345.35532911062</v>
      </c>
      <c r="FB30" s="1037">
        <v>22315.194226173</v>
      </c>
      <c r="FC30" s="1037">
        <v>8569.5002506730307</v>
      </c>
      <c r="FD30" s="1035" t="s">
        <v>3627</v>
      </c>
      <c r="FF30" s="1032"/>
      <c r="FG30" s="1072"/>
    </row>
    <row r="31" spans="1:163" ht="19.899999999999999" customHeight="1">
      <c r="A31" s="1035" t="s">
        <v>2240</v>
      </c>
      <c r="B31" s="1037">
        <v>2605.632430785</v>
      </c>
      <c r="C31" s="1037">
        <v>2382.6164468349998</v>
      </c>
      <c r="D31" s="1037">
        <v>2260.6001364849999</v>
      </c>
      <c r="E31" s="1037">
        <v>2083.371422535</v>
      </c>
      <c r="F31" s="1037">
        <v>2605.7393998450002</v>
      </c>
      <c r="G31" s="1037">
        <v>2408.6889228149998</v>
      </c>
      <c r="H31" s="1037">
        <v>2411.1356402850001</v>
      </c>
      <c r="I31" s="1037">
        <v>2231.7058432550002</v>
      </c>
      <c r="J31" s="1037">
        <v>2429.483437375</v>
      </c>
      <c r="K31" s="1037">
        <v>2181.2059713449999</v>
      </c>
      <c r="L31" s="1037">
        <v>2340.9509213649999</v>
      </c>
      <c r="M31" s="1037">
        <v>2094.5010173350001</v>
      </c>
      <c r="N31" s="1037">
        <v>2549.281817305</v>
      </c>
      <c r="O31" s="1037">
        <v>2301.191623275</v>
      </c>
      <c r="P31" s="1037">
        <v>2592.8545816850001</v>
      </c>
      <c r="Q31" s="1037">
        <v>2332.4359476549998</v>
      </c>
      <c r="R31" s="1037">
        <v>2206.1379737450002</v>
      </c>
      <c r="S31" s="1037">
        <v>1948.595340605</v>
      </c>
      <c r="T31" s="1037">
        <v>1934.8432226</v>
      </c>
      <c r="U31" s="1037">
        <v>1571.96863246</v>
      </c>
      <c r="V31" s="1037">
        <v>1937.1434986700001</v>
      </c>
      <c r="W31" s="1037">
        <v>1662.2143385300001</v>
      </c>
      <c r="X31" s="1037">
        <v>2084.3042833099998</v>
      </c>
      <c r="Y31" s="1037">
        <v>1667.5833131700001</v>
      </c>
      <c r="Z31" s="1037">
        <v>2039.0041034599999</v>
      </c>
      <c r="AA31" s="1037">
        <v>1741.4113133200001</v>
      </c>
      <c r="AB31" s="1037">
        <v>2122.7036180549999</v>
      </c>
      <c r="AC31" s="1037">
        <v>1739.5043933899999</v>
      </c>
      <c r="AD31" s="1037">
        <v>2058.1809057149999</v>
      </c>
      <c r="AE31" s="1037">
        <v>1657.037388145</v>
      </c>
      <c r="AF31" s="1037">
        <v>2119.2776282149998</v>
      </c>
      <c r="AG31" s="1037">
        <v>1683.974145165</v>
      </c>
      <c r="AH31" s="1037">
        <v>2118.7239517749999</v>
      </c>
      <c r="AI31" s="1037">
        <v>1705.6937062049999</v>
      </c>
      <c r="AJ31" s="1037">
        <v>2248.0628259949999</v>
      </c>
      <c r="AK31" s="1037">
        <v>1846.9172489949999</v>
      </c>
      <c r="AL31" s="1037">
        <v>2072.9087116350001</v>
      </c>
      <c r="AM31" s="1037">
        <v>1662.2346946350001</v>
      </c>
      <c r="AN31" s="1037">
        <v>2290.118500905</v>
      </c>
      <c r="AO31" s="1037">
        <v>1860.2016339050001</v>
      </c>
      <c r="AP31" s="1037">
        <v>2229.2640762350002</v>
      </c>
      <c r="AQ31" s="1037">
        <v>1860.5797192350001</v>
      </c>
      <c r="AR31" s="1037">
        <v>2091.8701283149999</v>
      </c>
      <c r="AS31" s="1037">
        <v>1663.7679883149999</v>
      </c>
      <c r="AT31" s="1037">
        <v>2081.1034593149998</v>
      </c>
      <c r="AU31" s="1037">
        <v>1648.504192315</v>
      </c>
      <c r="AV31" s="1037">
        <v>2075.1545063449998</v>
      </c>
      <c r="AW31" s="1037">
        <v>1623.9433579449999</v>
      </c>
      <c r="AX31" s="1037">
        <v>2052.5525210000001</v>
      </c>
      <c r="AY31" s="1037">
        <v>1598.7773026</v>
      </c>
      <c r="AZ31" s="1037">
        <v>2024.4199134800001</v>
      </c>
      <c r="BA31" s="1037">
        <v>1576.9024050800001</v>
      </c>
      <c r="BB31" s="1037">
        <v>2016.8563443600001</v>
      </c>
      <c r="BC31" s="1037">
        <v>1582.07607596</v>
      </c>
      <c r="BD31" s="1037">
        <v>1934.044031334</v>
      </c>
      <c r="BE31" s="1037">
        <v>1520.5625439339999</v>
      </c>
      <c r="BF31" s="1037">
        <v>1912.1496058739999</v>
      </c>
      <c r="BG31" s="1037">
        <v>1488.525797474</v>
      </c>
      <c r="BH31" s="1037">
        <v>1873.3525037049999</v>
      </c>
      <c r="BI31" s="1037">
        <v>1440.1944053049999</v>
      </c>
      <c r="BJ31" s="1037">
        <v>2250.8323201849998</v>
      </c>
      <c r="BK31" s="1037">
        <v>1761.958749855</v>
      </c>
      <c r="BL31" s="1037">
        <v>2392.246542544</v>
      </c>
      <c r="BM31" s="1037">
        <v>1769.391132214</v>
      </c>
      <c r="BN31" s="1037">
        <v>2403.2237505640001</v>
      </c>
      <c r="BO31" s="1037">
        <v>1766.720910234</v>
      </c>
      <c r="BP31" s="1037">
        <v>2388.3390784839999</v>
      </c>
      <c r="BQ31" s="1037">
        <v>1757.374037624</v>
      </c>
      <c r="BR31" s="1037">
        <v>2450.1731224139999</v>
      </c>
      <c r="BS31" s="1037">
        <v>1787.916433414</v>
      </c>
      <c r="BT31" s="1037">
        <v>2469.8834878739999</v>
      </c>
      <c r="BU31" s="1037">
        <v>1777.505798874</v>
      </c>
      <c r="BV31" s="1037">
        <v>2577.778223754</v>
      </c>
      <c r="BW31" s="1037">
        <v>1806.754754754</v>
      </c>
      <c r="BX31" s="1037">
        <v>2463.12152522</v>
      </c>
      <c r="BY31" s="1037">
        <v>1757.1726462199999</v>
      </c>
      <c r="BZ31" s="1037">
        <v>2844.651611194</v>
      </c>
      <c r="CA31" s="1037">
        <v>2048.9305321940001</v>
      </c>
      <c r="CB31" s="1037">
        <v>2893.9651612900002</v>
      </c>
      <c r="CC31" s="1304">
        <v>2056.7239412899999</v>
      </c>
      <c r="CD31" s="1304">
        <v>2965.9256805300001</v>
      </c>
      <c r="CE31" s="1304">
        <v>2082.8629455300002</v>
      </c>
      <c r="CF31" s="1037">
        <v>3043.4810976600002</v>
      </c>
      <c r="CG31" s="1304">
        <v>2060.1226120299998</v>
      </c>
      <c r="CH31" s="1304">
        <v>3478.324287763</v>
      </c>
      <c r="CI31" s="1304">
        <v>2354.2539533529998</v>
      </c>
      <c r="CJ31" s="1037">
        <v>3595.3718442300001</v>
      </c>
      <c r="CK31" s="1304">
        <v>2376.2828469800002</v>
      </c>
      <c r="CL31" s="1037">
        <v>3783.1365950999998</v>
      </c>
      <c r="CM31" s="1304">
        <v>2409.0972072200002</v>
      </c>
      <c r="CN31" s="1304">
        <v>3859.7432993100001</v>
      </c>
      <c r="CO31" s="1304">
        <v>2419.0604319099998</v>
      </c>
      <c r="CP31" s="1037">
        <v>3977.5567397</v>
      </c>
      <c r="CQ31" s="1304">
        <v>2368.2097632300001</v>
      </c>
      <c r="CR31" s="1304">
        <v>4127.8273398800002</v>
      </c>
      <c r="CS31" s="1304">
        <v>2448.0963308400001</v>
      </c>
      <c r="CT31" s="1037">
        <v>4499.5109948299996</v>
      </c>
      <c r="CU31" s="1304">
        <v>2663.39424246</v>
      </c>
      <c r="CV31" s="1037">
        <v>4664.38734484</v>
      </c>
      <c r="CW31" s="1304">
        <v>3007.04047726</v>
      </c>
      <c r="CX31" s="1037">
        <v>4918.3782980300002</v>
      </c>
      <c r="CY31" s="1304">
        <v>3194.54447807</v>
      </c>
      <c r="CZ31" s="1037">
        <v>4859.7511706300002</v>
      </c>
      <c r="DA31" s="1304">
        <v>3001.3769324800001</v>
      </c>
      <c r="DB31" s="1037">
        <v>4888.5475029600002</v>
      </c>
      <c r="DC31" s="1304">
        <v>2947.51424481</v>
      </c>
      <c r="DD31" s="1304">
        <v>5133.8285193399997</v>
      </c>
      <c r="DE31" s="1304">
        <v>3087.9493165600002</v>
      </c>
      <c r="DF31" s="1037">
        <v>5051.8630892199999</v>
      </c>
      <c r="DG31" s="1304">
        <v>2852.1186439799999</v>
      </c>
      <c r="DH31" s="1037">
        <v>5328.7550086299998</v>
      </c>
      <c r="DI31" s="1037">
        <v>3096.1035089900001</v>
      </c>
      <c r="DJ31" s="1037">
        <v>5281.3029643899999</v>
      </c>
      <c r="DK31" s="1037">
        <v>2960.9661247499998</v>
      </c>
      <c r="DL31" s="1037">
        <v>5400.8893349299997</v>
      </c>
      <c r="DM31" s="1037">
        <v>2984.7621652900002</v>
      </c>
      <c r="DN31" s="1037">
        <v>5424.5047430300001</v>
      </c>
      <c r="DO31" s="1037">
        <v>2959.1717033899999</v>
      </c>
      <c r="DP31" s="1037">
        <v>5498.2521256199998</v>
      </c>
      <c r="DQ31" s="1037">
        <v>2941.3716459799998</v>
      </c>
      <c r="DR31" s="1037">
        <v>5817.2264351000003</v>
      </c>
      <c r="DS31" s="1037">
        <v>3051.5220566900002</v>
      </c>
      <c r="DT31" s="1037">
        <v>5904.4417439099998</v>
      </c>
      <c r="DU31" s="1037">
        <v>3080.4712967700002</v>
      </c>
      <c r="DV31" s="1037">
        <v>5959.8853055099999</v>
      </c>
      <c r="DW31" s="1037">
        <v>3017.8985553699999</v>
      </c>
      <c r="DX31" s="1037">
        <v>5749.84135092</v>
      </c>
      <c r="DY31" s="1037">
        <v>3028.2832057800001</v>
      </c>
      <c r="DZ31" s="1037">
        <v>5367.3987241300001</v>
      </c>
      <c r="EA31" s="1037">
        <v>2815.3078389900002</v>
      </c>
      <c r="EB31" s="1037">
        <v>5221.2044518800003</v>
      </c>
      <c r="EC31" s="1037">
        <v>2765.1806083699998</v>
      </c>
      <c r="ED31" s="1037">
        <v>5244.3620173999998</v>
      </c>
      <c r="EE31" s="1037">
        <v>2946.4716767</v>
      </c>
      <c r="EF31" s="1037">
        <v>5395.8446284800002</v>
      </c>
      <c r="EG31" s="1037">
        <v>2983.4427796</v>
      </c>
      <c r="EH31" s="1037">
        <v>5261.6408102900004</v>
      </c>
      <c r="EI31" s="1037">
        <v>2982.9994743000002</v>
      </c>
      <c r="EJ31" s="1037">
        <v>5226.9661829200004</v>
      </c>
      <c r="EK31" s="1037">
        <v>3043.95114693</v>
      </c>
      <c r="EL31" s="1037">
        <v>5277.1331722699997</v>
      </c>
      <c r="EM31" s="1037">
        <v>3001.503213</v>
      </c>
      <c r="EN31" s="1037">
        <v>5310.41125139</v>
      </c>
      <c r="EO31" s="1037">
        <v>3016.2361224299998</v>
      </c>
      <c r="EP31" s="1037">
        <v>5316.42404695</v>
      </c>
      <c r="EQ31" s="1037">
        <v>3038.4004139899998</v>
      </c>
      <c r="ER31" s="1037">
        <v>5384.7491092199998</v>
      </c>
      <c r="ES31" s="1037">
        <v>3082.1454552099999</v>
      </c>
      <c r="ET31" s="1037">
        <v>5242.7072486300003</v>
      </c>
      <c r="EU31" s="1037">
        <v>3077.5021490200002</v>
      </c>
      <c r="EV31" s="1037">
        <v>5116.5385016399996</v>
      </c>
      <c r="EW31" s="1037">
        <v>2930.88158703</v>
      </c>
      <c r="EX31" s="1037">
        <v>5155.7633275600001</v>
      </c>
      <c r="EY31" s="1037">
        <v>2920.7160815699999</v>
      </c>
      <c r="EZ31" s="1037">
        <v>5274.6930374000003</v>
      </c>
      <c r="FA31" s="1037">
        <v>2897.2858001899999</v>
      </c>
      <c r="FB31" s="1037">
        <v>5419.5763169900001</v>
      </c>
      <c r="FC31" s="1037">
        <v>3001.8863166599999</v>
      </c>
      <c r="FD31" s="1035" t="s">
        <v>3575</v>
      </c>
      <c r="FF31" s="1032"/>
      <c r="FG31" s="1072"/>
    </row>
    <row r="32" spans="1:163" ht="19.899999999999999" customHeight="1">
      <c r="A32" s="1035" t="s">
        <v>4291</v>
      </c>
      <c r="B32" s="1037">
        <v>10213.08347992</v>
      </c>
      <c r="C32" s="1037">
        <v>5337.7524896000004</v>
      </c>
      <c r="D32" s="1037">
        <v>10974.86142055</v>
      </c>
      <c r="E32" s="1037">
        <v>6051.4987348000004</v>
      </c>
      <c r="F32" s="1037">
        <v>10612.98454342</v>
      </c>
      <c r="G32" s="1037">
        <v>5532.3432636199996</v>
      </c>
      <c r="H32" s="1037">
        <v>10016.75054651</v>
      </c>
      <c r="I32" s="1037">
        <v>5410.8561595299998</v>
      </c>
      <c r="J32" s="1037">
        <v>9853.0096030099994</v>
      </c>
      <c r="K32" s="1037">
        <v>5214.5941421699999</v>
      </c>
      <c r="L32" s="1037">
        <v>10057.35591722</v>
      </c>
      <c r="M32" s="1037">
        <v>5262.1522382858202</v>
      </c>
      <c r="N32" s="1037">
        <v>9240.1392813000002</v>
      </c>
      <c r="O32" s="1037">
        <v>4605.1252091320102</v>
      </c>
      <c r="P32" s="1037">
        <v>9099.0683955500008</v>
      </c>
      <c r="Q32" s="1037">
        <v>4343.5902504880796</v>
      </c>
      <c r="R32" s="1037">
        <v>9599.8602139600007</v>
      </c>
      <c r="S32" s="1037">
        <v>4705.48665757242</v>
      </c>
      <c r="T32" s="1037">
        <v>9726.5509815200003</v>
      </c>
      <c r="U32" s="1037">
        <v>4658.7602068965998</v>
      </c>
      <c r="V32" s="1037">
        <v>9709.7223287600009</v>
      </c>
      <c r="W32" s="1037">
        <v>4603.5416337320203</v>
      </c>
      <c r="X32" s="1037">
        <v>9430.5974967500006</v>
      </c>
      <c r="Y32" s="1037">
        <v>4757.5621230523502</v>
      </c>
      <c r="Z32" s="1037">
        <v>10639.271974650001</v>
      </c>
      <c r="AA32" s="1037">
        <v>5159.0802569132202</v>
      </c>
      <c r="AB32" s="1037">
        <v>10086.247799180001</v>
      </c>
      <c r="AC32" s="1037">
        <v>4832.3821299674801</v>
      </c>
      <c r="AD32" s="1037">
        <v>10348.101249310001</v>
      </c>
      <c r="AE32" s="1037">
        <v>4872.2924564294299</v>
      </c>
      <c r="AF32" s="1037">
        <v>10918.453188199999</v>
      </c>
      <c r="AG32" s="1037">
        <v>4985.66497944</v>
      </c>
      <c r="AH32" s="1037">
        <v>11018.49202043</v>
      </c>
      <c r="AI32" s="1037">
        <v>4829.30714807</v>
      </c>
      <c r="AJ32" s="1037">
        <v>11339.397075250001</v>
      </c>
      <c r="AK32" s="1037">
        <v>4956.9443655900004</v>
      </c>
      <c r="AL32" s="1037">
        <v>11781.46280329</v>
      </c>
      <c r="AM32" s="1037">
        <v>5471.3484764699997</v>
      </c>
      <c r="AN32" s="1037">
        <v>12119.68362596</v>
      </c>
      <c r="AO32" s="1037">
        <v>5899.8247239800003</v>
      </c>
      <c r="AP32" s="1037">
        <v>12120.265452199999</v>
      </c>
      <c r="AQ32" s="1037">
        <v>5518.69756719</v>
      </c>
      <c r="AR32" s="1037">
        <v>12894.54274986</v>
      </c>
      <c r="AS32" s="1037">
        <v>6189.7275861714897</v>
      </c>
      <c r="AT32" s="1037">
        <v>13231.22284176</v>
      </c>
      <c r="AU32" s="1037">
        <v>6389.6743287537502</v>
      </c>
      <c r="AV32" s="1037">
        <v>13787.542432550001</v>
      </c>
      <c r="AW32" s="1037">
        <v>6743.6180227488003</v>
      </c>
      <c r="AX32" s="1037">
        <v>15853.32902784</v>
      </c>
      <c r="AY32" s="1037">
        <v>7463.38425066933</v>
      </c>
      <c r="AZ32" s="1037">
        <v>15472.74570924</v>
      </c>
      <c r="BA32" s="1037">
        <v>8022.0282485294601</v>
      </c>
      <c r="BB32" s="1037">
        <v>15168.93074261</v>
      </c>
      <c r="BC32" s="1037">
        <v>7824.7702025402205</v>
      </c>
      <c r="BD32" s="1037">
        <v>16124.33870996</v>
      </c>
      <c r="BE32" s="1037">
        <v>8148.7853894385798</v>
      </c>
      <c r="BF32" s="1037">
        <v>16361.109456050001</v>
      </c>
      <c r="BG32" s="1037">
        <v>8463.77983802378</v>
      </c>
      <c r="BH32" s="1037">
        <v>17475.294190865901</v>
      </c>
      <c r="BI32" s="1037">
        <v>8855.1708922837206</v>
      </c>
      <c r="BJ32" s="1037">
        <v>17352.6644816798</v>
      </c>
      <c r="BK32" s="1037">
        <v>8535.4478676930194</v>
      </c>
      <c r="BL32" s="1037">
        <v>16602.785642823299</v>
      </c>
      <c r="BM32" s="1037">
        <v>8411.2020517576402</v>
      </c>
      <c r="BN32" s="1037">
        <v>17402.0089625943</v>
      </c>
      <c r="BO32" s="1037">
        <v>8484.8004287395597</v>
      </c>
      <c r="BP32" s="1037">
        <v>17992.341854202299</v>
      </c>
      <c r="BQ32" s="1037">
        <v>8764.0265850845499</v>
      </c>
      <c r="BR32" s="1037">
        <v>18485.343064979999</v>
      </c>
      <c r="BS32" s="1037">
        <v>8796.9054912597094</v>
      </c>
      <c r="BT32" s="1037">
        <v>19051.082345193099</v>
      </c>
      <c r="BU32" s="1037">
        <v>9375.7567439899994</v>
      </c>
      <c r="BV32" s="1037">
        <v>19701.840618477199</v>
      </c>
      <c r="BW32" s="1037">
        <v>9517.6626569594991</v>
      </c>
      <c r="BX32" s="1037">
        <v>18818.9039638379</v>
      </c>
      <c r="BY32" s="1037">
        <v>9321.0765304899996</v>
      </c>
      <c r="BZ32" s="1037">
        <v>18062.234369329999</v>
      </c>
      <c r="CA32" s="1037">
        <v>8930.5211781539492</v>
      </c>
      <c r="CB32" s="1037">
        <v>17319.74854923</v>
      </c>
      <c r="CC32" s="1304">
        <v>7699.0538617830798</v>
      </c>
      <c r="CD32" s="1304">
        <v>17445.565361010002</v>
      </c>
      <c r="CE32" s="1304">
        <v>7856.9913807100002</v>
      </c>
      <c r="CF32" s="1037">
        <v>17492.244009401002</v>
      </c>
      <c r="CG32" s="1304">
        <v>7775.6153215100003</v>
      </c>
      <c r="CH32" s="1304">
        <v>16105.883513639999</v>
      </c>
      <c r="CI32" s="1304">
        <v>6373.8917120200003</v>
      </c>
      <c r="CJ32" s="1037">
        <v>15816.38871171</v>
      </c>
      <c r="CK32" s="1304">
        <v>5883.4059887614203</v>
      </c>
      <c r="CL32" s="1037">
        <v>15939.561900369999</v>
      </c>
      <c r="CM32" s="1304">
        <v>5616.64274939999</v>
      </c>
      <c r="CN32" s="1304">
        <v>15896.08408337</v>
      </c>
      <c r="CO32" s="1304">
        <v>5462.2200525799999</v>
      </c>
      <c r="CP32" s="1037">
        <v>16833.207192040001</v>
      </c>
      <c r="CQ32" s="1304">
        <v>6387.39689977125</v>
      </c>
      <c r="CR32" s="1304">
        <v>16844.366001120001</v>
      </c>
      <c r="CS32" s="1304">
        <v>5920.6470819699998</v>
      </c>
      <c r="CT32" s="1037">
        <v>17468.40073505</v>
      </c>
      <c r="CU32" s="1304">
        <v>6343.5209598134998</v>
      </c>
      <c r="CV32" s="1037">
        <v>17499.783911574501</v>
      </c>
      <c r="CW32" s="1304">
        <v>6541.8822960893904</v>
      </c>
      <c r="CX32" s="1037">
        <v>17037.340720330001</v>
      </c>
      <c r="CY32" s="1304">
        <v>5735.9865767519696</v>
      </c>
      <c r="CZ32" s="1037">
        <v>17084.50930089</v>
      </c>
      <c r="DA32" s="1304">
        <v>6192.7606731078604</v>
      </c>
      <c r="DB32" s="1037">
        <v>17262.217964129999</v>
      </c>
      <c r="DC32" s="1304">
        <v>6849.0756758383304</v>
      </c>
      <c r="DD32" s="1304">
        <v>16301.8742755</v>
      </c>
      <c r="DE32" s="1304">
        <v>5977.1403061600004</v>
      </c>
      <c r="DF32" s="1037">
        <v>16252.887859897401</v>
      </c>
      <c r="DG32" s="1304">
        <v>5987.9442115726797</v>
      </c>
      <c r="DH32" s="1037">
        <v>15391.464729060001</v>
      </c>
      <c r="DI32" s="1037">
        <v>5344.7818102199999</v>
      </c>
      <c r="DJ32" s="1037">
        <v>15830.79029232</v>
      </c>
      <c r="DK32" s="1037">
        <v>6052.9715357499999</v>
      </c>
      <c r="DL32" s="1037">
        <v>16808.906210329998</v>
      </c>
      <c r="DM32" s="1037">
        <v>6256.1360531611699</v>
      </c>
      <c r="DN32" s="1037">
        <v>14979.82888125</v>
      </c>
      <c r="DO32" s="1037">
        <v>5858.0738163490296</v>
      </c>
      <c r="DP32" s="1037">
        <v>15833.8268116</v>
      </c>
      <c r="DQ32" s="1037">
        <v>6127.4573510999999</v>
      </c>
      <c r="DR32" s="1037">
        <v>17580.256839729998</v>
      </c>
      <c r="DS32" s="1037">
        <v>6196.4610483208698</v>
      </c>
      <c r="DT32" s="1037">
        <v>16671.096138100002</v>
      </c>
      <c r="DU32" s="1037">
        <v>7094.4637078586002</v>
      </c>
      <c r="DV32" s="1037">
        <v>17351.8016831401</v>
      </c>
      <c r="DW32" s="1037">
        <v>7609.9227260200696</v>
      </c>
      <c r="DX32" s="1037">
        <v>16799.178321700001</v>
      </c>
      <c r="DY32" s="1037">
        <v>7421.7265042310501</v>
      </c>
      <c r="DZ32" s="1037">
        <v>16832.185257090001</v>
      </c>
      <c r="EA32" s="1037">
        <v>7605.37588762</v>
      </c>
      <c r="EB32" s="1037">
        <v>18223.889992289998</v>
      </c>
      <c r="EC32" s="1037">
        <v>9017.2287551037007</v>
      </c>
      <c r="ED32" s="1037">
        <v>17048.182079840099</v>
      </c>
      <c r="EE32" s="1037">
        <v>7313.2564437500796</v>
      </c>
      <c r="EF32" s="1037">
        <v>16141.142229360001</v>
      </c>
      <c r="EG32" s="1037">
        <v>6798.0488604993097</v>
      </c>
      <c r="EH32" s="1037">
        <v>16170.13913263</v>
      </c>
      <c r="EI32" s="1037">
        <v>6751.3155570021599</v>
      </c>
      <c r="EJ32" s="1037">
        <v>15983.896518469999</v>
      </c>
      <c r="EK32" s="1037">
        <v>6487.0105787257999</v>
      </c>
      <c r="EL32" s="1037">
        <v>15236.81202155</v>
      </c>
      <c r="EM32" s="1037">
        <v>6224.34274580908</v>
      </c>
      <c r="EN32" s="1037">
        <v>16043.931084482399</v>
      </c>
      <c r="EO32" s="1037">
        <v>6751.0987240144696</v>
      </c>
      <c r="EP32" s="1037">
        <v>16581.974042336002</v>
      </c>
      <c r="EQ32" s="1037">
        <v>5427.0152832982403</v>
      </c>
      <c r="ER32" s="1751">
        <v>15115.078419568201</v>
      </c>
      <c r="ES32" s="1751">
        <v>5670.9119407481503</v>
      </c>
      <c r="ET32" s="1751">
        <v>15182.6544136632</v>
      </c>
      <c r="EU32" s="1751">
        <v>5714.1847515831596</v>
      </c>
      <c r="EV32" s="1751">
        <v>15863.6048092644</v>
      </c>
      <c r="EW32" s="1751">
        <v>5701.0061410139097</v>
      </c>
      <c r="EX32" s="1751">
        <v>15342.8652898248</v>
      </c>
      <c r="EY32" s="1751">
        <v>5349.0276342247798</v>
      </c>
      <c r="EZ32" s="1751">
        <v>15847.4909469006</v>
      </c>
      <c r="FA32" s="1751">
        <v>5448.0695289206196</v>
      </c>
      <c r="FB32" s="1751">
        <v>16895.617909183002</v>
      </c>
      <c r="FC32" s="1751">
        <v>5567.6139340130303</v>
      </c>
      <c r="FD32" s="1035" t="s">
        <v>3628</v>
      </c>
      <c r="FF32" s="1032"/>
      <c r="FG32" s="1072"/>
    </row>
    <row r="33" spans="1:163" ht="45" customHeight="1">
      <c r="A33" s="1035" t="s">
        <v>2239</v>
      </c>
      <c r="B33" s="1037">
        <v>129.95150220000002</v>
      </c>
      <c r="C33" s="1037">
        <v>19.143010879999999</v>
      </c>
      <c r="D33" s="1037">
        <v>163.5</v>
      </c>
      <c r="E33" s="1037">
        <v>21.52852524</v>
      </c>
      <c r="F33" s="1037">
        <v>122.4</v>
      </c>
      <c r="G33" s="1037">
        <v>22.062280520000002</v>
      </c>
      <c r="H33" s="1037">
        <v>93</v>
      </c>
      <c r="I33" s="1037">
        <v>23.282899359999998</v>
      </c>
      <c r="J33" s="1037">
        <v>100.5</v>
      </c>
      <c r="K33" s="1037">
        <v>24.534427040000001</v>
      </c>
      <c r="L33" s="1037">
        <v>110.3</v>
      </c>
      <c r="M33" s="1037">
        <v>26.108711199999998</v>
      </c>
      <c r="N33" s="1037">
        <v>114.1</v>
      </c>
      <c r="O33" s="1037">
        <v>31.476227949999998</v>
      </c>
      <c r="P33" s="1037">
        <v>98.8</v>
      </c>
      <c r="Q33" s="1037">
        <v>22.170521489999999</v>
      </c>
      <c r="R33" s="1037">
        <v>110.7</v>
      </c>
      <c r="S33" s="1037">
        <v>22.122007010000001</v>
      </c>
      <c r="T33" s="1037">
        <v>118.2</v>
      </c>
      <c r="U33" s="1037">
        <v>19.109452080000001</v>
      </c>
      <c r="V33" s="1037">
        <v>109.6</v>
      </c>
      <c r="W33" s="1037">
        <v>18.60909706</v>
      </c>
      <c r="X33" s="1037">
        <v>110.42</v>
      </c>
      <c r="Y33" s="1037">
        <v>18.62141798</v>
      </c>
      <c r="Z33" s="1037">
        <v>133.19999999999999</v>
      </c>
      <c r="AA33" s="1037">
        <v>20.974967110000001</v>
      </c>
      <c r="AB33" s="1037">
        <v>123.3</v>
      </c>
      <c r="AC33" s="1037">
        <v>20.114467319999999</v>
      </c>
      <c r="AD33" s="1037">
        <v>132.4</v>
      </c>
      <c r="AE33" s="1037">
        <v>20.606501120000001</v>
      </c>
      <c r="AF33" s="1037">
        <v>134.69999999999999</v>
      </c>
      <c r="AG33" s="1037">
        <v>20.919112539999997</v>
      </c>
      <c r="AH33" s="1037">
        <v>133</v>
      </c>
      <c r="AI33" s="1037">
        <v>20.316024290000001</v>
      </c>
      <c r="AJ33" s="1037">
        <v>157.19999999999999</v>
      </c>
      <c r="AK33" s="1037">
        <v>23.936149480000001</v>
      </c>
      <c r="AL33" s="1037">
        <v>164.74</v>
      </c>
      <c r="AM33" s="1037">
        <v>25.645431030000001</v>
      </c>
      <c r="AN33" s="1037">
        <v>166.4</v>
      </c>
      <c r="AO33" s="1037">
        <v>25.645431030000001</v>
      </c>
      <c r="AP33" s="1037">
        <v>158.9</v>
      </c>
      <c r="AQ33" s="1037">
        <v>23.883466810000002</v>
      </c>
      <c r="AR33" s="1037">
        <v>174.5</v>
      </c>
      <c r="AS33" s="1037">
        <v>21.670352080000001</v>
      </c>
      <c r="AT33" s="1037">
        <v>173.6</v>
      </c>
      <c r="AU33" s="1037">
        <v>21.75412145</v>
      </c>
      <c r="AV33" s="1037">
        <v>170.8</v>
      </c>
      <c r="AW33" s="1037">
        <v>21.987883790000001</v>
      </c>
      <c r="AX33" s="1037">
        <v>209</v>
      </c>
      <c r="AY33" s="1037">
        <v>23.822197200000002</v>
      </c>
      <c r="AZ33" s="1037">
        <v>178.9</v>
      </c>
      <c r="BA33" s="1037">
        <v>21.797542870000001</v>
      </c>
      <c r="BB33" s="1037">
        <v>166.9</v>
      </c>
      <c r="BC33" s="1037">
        <v>21.582182509999999</v>
      </c>
      <c r="BD33" s="1037">
        <v>171.3</v>
      </c>
      <c r="BE33" s="1037">
        <v>22.603369010000002</v>
      </c>
      <c r="BF33" s="1037">
        <v>175</v>
      </c>
      <c r="BG33" s="1037">
        <v>22.521953230000001</v>
      </c>
      <c r="BH33" s="1037">
        <v>204.2</v>
      </c>
      <c r="BI33" s="1037">
        <v>28.5717517</v>
      </c>
      <c r="BJ33" s="1037">
        <v>217.6</v>
      </c>
      <c r="BK33" s="1037">
        <v>28.53345633</v>
      </c>
      <c r="BL33" s="1037">
        <v>211.6</v>
      </c>
      <c r="BM33" s="1037">
        <v>29.721467109999999</v>
      </c>
      <c r="BN33" s="1037">
        <v>226.4</v>
      </c>
      <c r="BO33" s="1037">
        <v>26.136257789999998</v>
      </c>
      <c r="BP33" s="1037">
        <v>232.7</v>
      </c>
      <c r="BQ33" s="1037">
        <v>27.6</v>
      </c>
      <c r="BR33" s="1037">
        <v>243.4</v>
      </c>
      <c r="BS33" s="1037">
        <v>31.8</v>
      </c>
      <c r="BT33" s="1037">
        <v>248.7</v>
      </c>
      <c r="BU33" s="1037">
        <v>31.8</v>
      </c>
      <c r="BV33" s="1037">
        <v>260.01</v>
      </c>
      <c r="BW33" s="1037">
        <v>34.700000000000003</v>
      </c>
      <c r="BX33" s="1037">
        <v>241.7</v>
      </c>
      <c r="BY33" s="1037">
        <v>33.1</v>
      </c>
      <c r="BZ33" s="1037">
        <v>247.9</v>
      </c>
      <c r="CA33" s="1037">
        <v>32.6</v>
      </c>
      <c r="CB33" s="1037">
        <v>244.9</v>
      </c>
      <c r="CC33" s="1304">
        <v>32.700000000000003</v>
      </c>
      <c r="CD33" s="1304">
        <v>256.2</v>
      </c>
      <c r="CE33" s="1304">
        <v>34.799999999999997</v>
      </c>
      <c r="CF33" s="1037">
        <v>257.7</v>
      </c>
      <c r="CG33" s="1304">
        <v>42.2</v>
      </c>
      <c r="CH33" s="1304">
        <v>276.3</v>
      </c>
      <c r="CI33" s="1304">
        <v>33.299999999999997</v>
      </c>
      <c r="CJ33" s="1037">
        <v>276.2</v>
      </c>
      <c r="CK33" s="1304">
        <v>36.5</v>
      </c>
      <c r="CL33" s="1037">
        <v>304.10000000000002</v>
      </c>
      <c r="CM33" s="1304">
        <v>33.6</v>
      </c>
      <c r="CN33" s="1304">
        <v>287.05</v>
      </c>
      <c r="CO33" s="1304">
        <v>31.2</v>
      </c>
      <c r="CP33" s="1037">
        <v>292.93867286</v>
      </c>
      <c r="CQ33" s="1304">
        <v>29.702603989999997</v>
      </c>
      <c r="CR33" s="1304">
        <v>271.37</v>
      </c>
      <c r="CS33" s="1304">
        <v>30</v>
      </c>
      <c r="CT33" s="1037">
        <v>365.6</v>
      </c>
      <c r="CU33" s="1304">
        <v>30.5</v>
      </c>
      <c r="CV33" s="1037">
        <v>284.93504696000002</v>
      </c>
      <c r="CW33" s="1304">
        <v>29.67</v>
      </c>
      <c r="CX33" s="1037">
        <v>263.60000000000002</v>
      </c>
      <c r="CY33" s="1304">
        <v>32.369999999999997</v>
      </c>
      <c r="CZ33" s="1037">
        <v>282.01094147999999</v>
      </c>
      <c r="DA33" s="1304">
        <v>33.004457280000004</v>
      </c>
      <c r="DB33" s="1037">
        <v>286.67</v>
      </c>
      <c r="DC33" s="1304">
        <v>31.22</v>
      </c>
      <c r="DD33" s="1304">
        <v>279.10000000000002</v>
      </c>
      <c r="DE33" s="1304">
        <v>31.21</v>
      </c>
      <c r="DF33" s="1037">
        <v>300.39999999999998</v>
      </c>
      <c r="DG33" s="1304">
        <v>31.2</v>
      </c>
      <c r="DH33" s="1751">
        <v>302.3</v>
      </c>
      <c r="DI33" s="1751">
        <v>31.1</v>
      </c>
      <c r="DJ33" s="1751">
        <v>293.74</v>
      </c>
      <c r="DK33" s="1751">
        <v>32.24</v>
      </c>
      <c r="DL33" s="1751">
        <v>314.84951448999999</v>
      </c>
      <c r="DM33" s="1751">
        <v>31.25</v>
      </c>
      <c r="DN33" s="1751">
        <v>296.45999999999998</v>
      </c>
      <c r="DO33" s="1751">
        <v>31.14</v>
      </c>
      <c r="DP33" s="1751">
        <v>375.7</v>
      </c>
      <c r="DQ33" s="1751">
        <v>29.96</v>
      </c>
      <c r="DR33" s="1751">
        <v>362.8</v>
      </c>
      <c r="DS33" s="1751">
        <v>32.872138369601487</v>
      </c>
      <c r="DT33" s="1751">
        <v>313.23665826999996</v>
      </c>
      <c r="DU33" s="1751">
        <v>29.181756910000004</v>
      </c>
      <c r="DV33" s="1751">
        <v>310.5108216399999</v>
      </c>
      <c r="DW33" s="1751">
        <v>26.951389980000005</v>
      </c>
      <c r="DX33" s="1751">
        <v>329.93784812000001</v>
      </c>
      <c r="DY33" s="1751">
        <v>24.821375730000003</v>
      </c>
      <c r="DZ33" s="1751">
        <v>305.7</v>
      </c>
      <c r="EA33" s="1751">
        <v>26.94</v>
      </c>
      <c r="EB33" s="1751">
        <v>328.76</v>
      </c>
      <c r="EC33" s="1751">
        <v>27.89</v>
      </c>
      <c r="ED33" s="1751">
        <v>376.23825674</v>
      </c>
      <c r="EE33" s="1751">
        <v>28.129747040000005</v>
      </c>
      <c r="EF33" s="1751">
        <v>342.17</v>
      </c>
      <c r="EG33" s="1751">
        <v>29.12</v>
      </c>
      <c r="EH33" s="1751">
        <v>374.50253128999998</v>
      </c>
      <c r="EI33" s="1751">
        <v>28.596246059999999</v>
      </c>
      <c r="EJ33" s="1751">
        <v>417.85031464000002</v>
      </c>
      <c r="EK33" s="1751">
        <v>34.665229319999995</v>
      </c>
      <c r="EL33" s="1751">
        <v>358.13545188000001</v>
      </c>
      <c r="EM33" s="1751">
        <v>24.886654929999999</v>
      </c>
      <c r="EN33" s="1751">
        <v>334.10769177000003</v>
      </c>
      <c r="EO33" s="1751">
        <v>24.45399767</v>
      </c>
      <c r="EP33" s="1751">
        <v>448.94635620999998</v>
      </c>
      <c r="EQ33" s="1751">
        <v>29.585434039999996</v>
      </c>
      <c r="ER33" s="1751">
        <v>361.08771930999995</v>
      </c>
      <c r="ES33" s="1751">
        <v>26.122481719999996</v>
      </c>
      <c r="ET33" s="1751">
        <v>344.02643324000007</v>
      </c>
      <c r="EU33" s="1751">
        <v>27.45966657</v>
      </c>
      <c r="EV33" s="1751">
        <v>372.16392323999997</v>
      </c>
      <c r="EW33" s="1751">
        <v>28.77683974</v>
      </c>
      <c r="EX33" s="1751">
        <v>369.79250334000005</v>
      </c>
      <c r="EY33" s="1751">
        <v>26.79705379</v>
      </c>
      <c r="EZ33" s="1751">
        <v>373.70775253999994</v>
      </c>
      <c r="FA33" s="1751">
        <v>27.404532110000002</v>
      </c>
      <c r="FB33" s="1037">
        <v>395.14569914000003</v>
      </c>
      <c r="FC33" s="1037">
        <v>26.221996210000004</v>
      </c>
      <c r="FD33" s="1035" t="s">
        <v>3629</v>
      </c>
    </row>
    <row r="34" spans="1:163" ht="19.899999999999999" customHeight="1">
      <c r="A34" s="1035" t="s">
        <v>2238</v>
      </c>
      <c r="B34" s="1037">
        <v>326.14865974999998</v>
      </c>
      <c r="C34" s="1037">
        <v>0</v>
      </c>
      <c r="D34" s="1037">
        <v>343.56948649999998</v>
      </c>
      <c r="E34" s="1037">
        <v>0</v>
      </c>
      <c r="F34" s="1037">
        <v>348.07110497000002</v>
      </c>
      <c r="G34" s="1037">
        <v>0</v>
      </c>
      <c r="H34" s="1037">
        <v>350.74512256999998</v>
      </c>
      <c r="I34" s="1037">
        <v>0</v>
      </c>
      <c r="J34" s="1037">
        <v>438.34958712000002</v>
      </c>
      <c r="K34" s="1037">
        <v>0</v>
      </c>
      <c r="L34" s="1037">
        <v>397.70456969000003</v>
      </c>
      <c r="M34" s="1037">
        <v>0</v>
      </c>
      <c r="N34" s="1037">
        <v>382.40186720000003</v>
      </c>
      <c r="O34" s="1037">
        <v>0</v>
      </c>
      <c r="P34" s="1037">
        <v>382.17073699000002</v>
      </c>
      <c r="Q34" s="1037">
        <v>0</v>
      </c>
      <c r="R34" s="1037">
        <v>382.03773698999998</v>
      </c>
      <c r="S34" s="1037">
        <v>0</v>
      </c>
      <c r="T34" s="1037">
        <v>384.83773699</v>
      </c>
      <c r="U34" s="1037">
        <v>0</v>
      </c>
      <c r="V34" s="1037">
        <v>375.83773699</v>
      </c>
      <c r="W34" s="1037">
        <v>0</v>
      </c>
      <c r="X34" s="1037">
        <v>375.73773698999997</v>
      </c>
      <c r="Y34" s="1037">
        <v>0</v>
      </c>
      <c r="Z34" s="1037">
        <v>374.41500698999999</v>
      </c>
      <c r="AA34" s="1037">
        <v>0</v>
      </c>
      <c r="AB34" s="1037">
        <v>374.13773699000001</v>
      </c>
      <c r="AC34" s="1037">
        <v>0</v>
      </c>
      <c r="AD34" s="1037">
        <v>373.58773699</v>
      </c>
      <c r="AE34" s="1037">
        <v>0</v>
      </c>
      <c r="AF34" s="1037">
        <v>371.40262299</v>
      </c>
      <c r="AG34" s="1037">
        <v>0</v>
      </c>
      <c r="AH34" s="1037">
        <v>371.30262298999997</v>
      </c>
      <c r="AI34" s="1037">
        <v>0</v>
      </c>
      <c r="AJ34" s="1037">
        <v>371.30262298999997</v>
      </c>
      <c r="AK34" s="1037">
        <v>2.77450284920633E-6</v>
      </c>
      <c r="AL34" s="1037">
        <v>371.10262298999999</v>
      </c>
      <c r="AM34" s="1037">
        <v>0</v>
      </c>
      <c r="AN34" s="1037">
        <v>371.00073699000001</v>
      </c>
      <c r="AO34" s="1037">
        <v>0</v>
      </c>
      <c r="AP34" s="1037">
        <v>370.90073697000003</v>
      </c>
      <c r="AQ34" s="1037">
        <v>0</v>
      </c>
      <c r="AR34" s="1037">
        <v>370.80073697</v>
      </c>
      <c r="AS34" s="1037">
        <v>0</v>
      </c>
      <c r="AT34" s="1037">
        <v>370.24878697000003</v>
      </c>
      <c r="AU34" s="1037">
        <v>0</v>
      </c>
      <c r="AV34" s="1037">
        <v>324.21888412999999</v>
      </c>
      <c r="AW34" s="1037">
        <v>0</v>
      </c>
      <c r="AX34" s="1037">
        <v>319.05832810999999</v>
      </c>
      <c r="AY34" s="1037">
        <v>0</v>
      </c>
      <c r="AZ34" s="1037">
        <v>317.26032810999999</v>
      </c>
      <c r="BA34" s="1037">
        <v>0</v>
      </c>
      <c r="BB34" s="1037">
        <v>317.16032811000002</v>
      </c>
      <c r="BC34" s="1037">
        <v>0</v>
      </c>
      <c r="BD34" s="1037">
        <v>317.16032811000002</v>
      </c>
      <c r="BE34" s="1037">
        <v>0</v>
      </c>
      <c r="BF34" s="1037">
        <v>325.96032810999998</v>
      </c>
      <c r="BG34" s="1037">
        <v>0</v>
      </c>
      <c r="BH34" s="1037">
        <v>290.86032811000001</v>
      </c>
      <c r="BI34" s="1037">
        <v>69.003859773000002</v>
      </c>
      <c r="BJ34" s="1037">
        <v>280.98227810999998</v>
      </c>
      <c r="BK34" s="1037">
        <v>0</v>
      </c>
      <c r="BL34" s="1037">
        <v>275.42858404999998</v>
      </c>
      <c r="BM34" s="1037">
        <v>82.396163313000002</v>
      </c>
      <c r="BN34" s="1037">
        <v>274.67858404999998</v>
      </c>
      <c r="BO34" s="1037">
        <v>0</v>
      </c>
      <c r="BP34" s="1037">
        <v>270.92857405000001</v>
      </c>
      <c r="BQ34" s="1037">
        <v>0</v>
      </c>
      <c r="BR34" s="1037">
        <v>268.62858404999997</v>
      </c>
      <c r="BS34" s="1037">
        <v>0</v>
      </c>
      <c r="BT34" s="1037">
        <v>222.36971765000001</v>
      </c>
      <c r="BU34" s="1037">
        <v>0</v>
      </c>
      <c r="BV34" s="1037">
        <v>217.04051163</v>
      </c>
      <c r="BW34" s="1037">
        <v>0</v>
      </c>
      <c r="BX34" s="1037">
        <v>215.01116163</v>
      </c>
      <c r="BY34" s="1037">
        <v>0</v>
      </c>
      <c r="BZ34" s="1037">
        <v>214.71116162999999</v>
      </c>
      <c r="CA34" s="1037">
        <v>0</v>
      </c>
      <c r="CB34" s="1037">
        <v>118.86116163</v>
      </c>
      <c r="CC34" s="1304">
        <v>0</v>
      </c>
      <c r="CD34" s="1304">
        <v>108.56116163</v>
      </c>
      <c r="CE34" s="1304">
        <v>0</v>
      </c>
      <c r="CF34" s="1037">
        <v>107.66116163</v>
      </c>
      <c r="CG34" s="1304">
        <v>0</v>
      </c>
      <c r="CH34" s="1304">
        <v>107.66116163</v>
      </c>
      <c r="CI34" s="1304">
        <v>0</v>
      </c>
      <c r="CJ34" s="1037">
        <v>107.66116163</v>
      </c>
      <c r="CK34" s="1304">
        <v>0</v>
      </c>
      <c r="CL34" s="1037">
        <v>107.66116163</v>
      </c>
      <c r="CM34" s="1304">
        <v>0</v>
      </c>
      <c r="CN34" s="1304">
        <v>107.66116163</v>
      </c>
      <c r="CO34" s="1304">
        <v>0</v>
      </c>
      <c r="CP34" s="1037">
        <v>91.961361629999999</v>
      </c>
      <c r="CQ34" s="1304">
        <v>0</v>
      </c>
      <c r="CR34" s="1304">
        <v>50.60039845</v>
      </c>
      <c r="CS34" s="1304">
        <v>0</v>
      </c>
      <c r="CT34" s="1037">
        <v>47.13453243</v>
      </c>
      <c r="CU34" s="1304">
        <v>0</v>
      </c>
      <c r="CV34" s="1037">
        <v>47.13453243</v>
      </c>
      <c r="CW34" s="1304">
        <v>0</v>
      </c>
      <c r="CX34" s="1037">
        <v>47.13453243</v>
      </c>
      <c r="CY34" s="1304">
        <v>0</v>
      </c>
      <c r="CZ34" s="1037">
        <v>47.13453243</v>
      </c>
      <c r="DA34" s="1304">
        <v>0</v>
      </c>
      <c r="DB34" s="1037">
        <v>47.13453243</v>
      </c>
      <c r="DC34" s="1304">
        <v>0</v>
      </c>
      <c r="DD34" s="1304">
        <v>47.13453243</v>
      </c>
      <c r="DE34" s="1304">
        <v>0</v>
      </c>
      <c r="DF34" s="1037">
        <v>47.13453243</v>
      </c>
      <c r="DG34" s="1304">
        <v>0</v>
      </c>
      <c r="DH34" s="1037">
        <v>44.818226490000001</v>
      </c>
      <c r="DI34" s="1037">
        <v>0</v>
      </c>
      <c r="DJ34" s="1037">
        <v>44.818226490000001</v>
      </c>
      <c r="DK34" s="1037">
        <v>0</v>
      </c>
      <c r="DL34" s="1037">
        <v>44.818226490000001</v>
      </c>
      <c r="DM34" s="1037">
        <v>0</v>
      </c>
      <c r="DN34" s="1037">
        <v>44.818226490000001</v>
      </c>
      <c r="DO34" s="1037">
        <v>0</v>
      </c>
      <c r="DP34" s="1037">
        <v>3.4658660000000001</v>
      </c>
      <c r="DQ34" s="1037">
        <v>0</v>
      </c>
      <c r="DR34" s="1037">
        <v>0</v>
      </c>
      <c r="DS34" s="1037">
        <v>0</v>
      </c>
      <c r="DT34" s="1037">
        <v>0</v>
      </c>
      <c r="DU34" s="1037">
        <v>0</v>
      </c>
      <c r="DV34" s="1037">
        <v>0</v>
      </c>
      <c r="DW34" s="1037">
        <v>0</v>
      </c>
      <c r="DX34" s="1037">
        <v>0.49080000000000001</v>
      </c>
      <c r="DY34" s="1037">
        <v>0</v>
      </c>
      <c r="DZ34" s="1037">
        <v>0.48615999999999998</v>
      </c>
      <c r="EA34" s="1037">
        <v>0</v>
      </c>
      <c r="EB34" s="1037">
        <v>0.48148999999999997</v>
      </c>
      <c r="EC34" s="1037">
        <v>0</v>
      </c>
      <c r="ED34" s="1037">
        <v>0.47678999999999999</v>
      </c>
      <c r="EE34" s="1037">
        <v>0</v>
      </c>
      <c r="EF34" s="1037">
        <v>0.47205999999999998</v>
      </c>
      <c r="EG34" s="1037">
        <v>0</v>
      </c>
      <c r="EH34" s="1037">
        <v>0.46729999999999999</v>
      </c>
      <c r="EI34" s="1037">
        <v>0</v>
      </c>
      <c r="EJ34" s="1037">
        <v>0.46729999999999999</v>
      </c>
      <c r="EK34" s="1037">
        <v>0</v>
      </c>
      <c r="EL34" s="1037">
        <v>0.45771000000000001</v>
      </c>
      <c r="EM34" s="1037">
        <v>0</v>
      </c>
      <c r="EN34" s="1037">
        <v>0.45286999999999999</v>
      </c>
      <c r="EO34" s="1037">
        <v>0</v>
      </c>
      <c r="EP34" s="1037">
        <v>0.44799</v>
      </c>
      <c r="EQ34" s="1037">
        <v>0</v>
      </c>
      <c r="ER34" s="1037">
        <v>0.44308999999999998</v>
      </c>
      <c r="ES34" s="1037">
        <v>0</v>
      </c>
      <c r="ET34" s="1037">
        <v>0.43815999999999999</v>
      </c>
      <c r="EU34" s="1037">
        <v>0</v>
      </c>
      <c r="EV34" s="1037">
        <v>0.43319999999999997</v>
      </c>
      <c r="EW34" s="1037">
        <v>0</v>
      </c>
      <c r="EX34" s="1037">
        <v>0.42820999999999998</v>
      </c>
      <c r="EY34" s="1037">
        <v>0</v>
      </c>
      <c r="EZ34" s="1037">
        <v>0.42319000000000001</v>
      </c>
      <c r="FA34" s="1037">
        <v>0</v>
      </c>
      <c r="FB34" s="1037">
        <v>0.41814000000000001</v>
      </c>
      <c r="FC34" s="1037">
        <v>0</v>
      </c>
      <c r="FD34" s="1035" t="s">
        <v>3576</v>
      </c>
    </row>
    <row r="35" spans="1:163" ht="19.899999999999999" customHeight="1">
      <c r="A35" s="1035" t="s">
        <v>2237</v>
      </c>
      <c r="B35" s="1037">
        <v>234.95188440999999</v>
      </c>
      <c r="C35" s="1037">
        <v>195.12327683000001</v>
      </c>
      <c r="D35" s="1037">
        <v>268.88079490000001</v>
      </c>
      <c r="E35" s="1037">
        <v>221.43274323</v>
      </c>
      <c r="F35" s="1037">
        <v>206.90925983</v>
      </c>
      <c r="G35" s="1037">
        <v>157.21659851999999</v>
      </c>
      <c r="H35" s="1037">
        <v>344.54410624000002</v>
      </c>
      <c r="I35" s="1037">
        <v>280.95656596999999</v>
      </c>
      <c r="J35" s="1037">
        <v>230.08420482</v>
      </c>
      <c r="K35" s="1037">
        <v>166.74980052000001</v>
      </c>
      <c r="L35" s="1037">
        <v>229.87628418</v>
      </c>
      <c r="M35" s="1037">
        <v>167.22694964999999</v>
      </c>
      <c r="N35" s="1037">
        <v>243.38250004</v>
      </c>
      <c r="O35" s="1037">
        <v>178.9507323405</v>
      </c>
      <c r="P35" s="1037">
        <v>210.99147250999999</v>
      </c>
      <c r="Q35" s="1037">
        <v>149.1312587553</v>
      </c>
      <c r="R35" s="1037">
        <v>221.34554524000001</v>
      </c>
      <c r="S35" s="1037">
        <v>152.62385587</v>
      </c>
      <c r="T35" s="1037">
        <v>220.34780151999999</v>
      </c>
      <c r="U35" s="1037">
        <v>152.3323612332</v>
      </c>
      <c r="V35" s="1037">
        <v>208.16022624114899</v>
      </c>
      <c r="W35" s="1037">
        <v>144.91526914714899</v>
      </c>
      <c r="X35" s="1037">
        <v>182.2740847</v>
      </c>
      <c r="Y35" s="1037">
        <v>119.2670949874</v>
      </c>
      <c r="Z35" s="1037">
        <v>232.02204954000001</v>
      </c>
      <c r="AA35" s="1037">
        <v>189.21168436299999</v>
      </c>
      <c r="AB35" s="1037">
        <v>220.95203647</v>
      </c>
      <c r="AC35" s="1037">
        <v>172.33375380769999</v>
      </c>
      <c r="AD35" s="1037">
        <v>233.29354089</v>
      </c>
      <c r="AE35" s="1037">
        <v>178.90467731909999</v>
      </c>
      <c r="AF35" s="1037">
        <v>233.55590319000001</v>
      </c>
      <c r="AG35" s="1037">
        <v>175.27538393680001</v>
      </c>
      <c r="AH35" s="1037">
        <v>262.92395310000001</v>
      </c>
      <c r="AI35" s="1037">
        <v>200.91243184999999</v>
      </c>
      <c r="AJ35" s="1037">
        <v>286.38107255675197</v>
      </c>
      <c r="AK35" s="1037">
        <v>226.143744995752</v>
      </c>
      <c r="AL35" s="1037">
        <v>227.63048746999999</v>
      </c>
      <c r="AM35" s="1037">
        <v>166.36580282</v>
      </c>
      <c r="AN35" s="1037">
        <v>213.98056588</v>
      </c>
      <c r="AO35" s="1037">
        <v>155.09159245699999</v>
      </c>
      <c r="AP35" s="1037">
        <v>193.33207709999999</v>
      </c>
      <c r="AQ35" s="1037">
        <v>132.359420296</v>
      </c>
      <c r="AR35" s="1037">
        <v>195.54766022000001</v>
      </c>
      <c r="AS35" s="1037">
        <v>134.833952616</v>
      </c>
      <c r="AT35" s="1037">
        <v>229.77275931</v>
      </c>
      <c r="AU35" s="1037">
        <v>169.78752703999999</v>
      </c>
      <c r="AV35" s="1037">
        <v>192.38832054</v>
      </c>
      <c r="AW35" s="1037">
        <v>133.339844629</v>
      </c>
      <c r="AX35" s="1037">
        <v>195.48950944804801</v>
      </c>
      <c r="AY35" s="1037">
        <v>141.84033955804799</v>
      </c>
      <c r="AZ35" s="1037">
        <v>210.17104859193799</v>
      </c>
      <c r="BA35" s="1037">
        <v>155.87378210193799</v>
      </c>
      <c r="BB35" s="1037">
        <v>210.29747437797201</v>
      </c>
      <c r="BC35" s="1037">
        <v>148.599841717972</v>
      </c>
      <c r="BD35" s="1037">
        <v>296.44900424076098</v>
      </c>
      <c r="BE35" s="1037">
        <v>237.555931030761</v>
      </c>
      <c r="BF35" s="1037">
        <v>357.15524324896302</v>
      </c>
      <c r="BG35" s="1037">
        <v>297.89144419896297</v>
      </c>
      <c r="BH35" s="1037">
        <v>418.65025798083002</v>
      </c>
      <c r="BI35" s="1037">
        <v>358.81315937083002</v>
      </c>
      <c r="BJ35" s="1037">
        <v>559.52983333999998</v>
      </c>
      <c r="BK35" s="1037">
        <v>467.95474130999997</v>
      </c>
      <c r="BL35" s="1037">
        <v>359.25306677860902</v>
      </c>
      <c r="BM35" s="1037">
        <v>293.142836318609</v>
      </c>
      <c r="BN35" s="1037">
        <v>426.36335369865299</v>
      </c>
      <c r="BO35" s="1037">
        <v>335.14947911865301</v>
      </c>
      <c r="BP35" s="1037">
        <v>568.23708756689996</v>
      </c>
      <c r="BQ35" s="1037">
        <v>477.3479928269</v>
      </c>
      <c r="BR35" s="1037">
        <v>567.73249526209895</v>
      </c>
      <c r="BS35" s="1037">
        <v>491.89208173209897</v>
      </c>
      <c r="BT35" s="1037">
        <v>512.93045197336403</v>
      </c>
      <c r="BU35" s="1037">
        <v>438.47528286336399</v>
      </c>
      <c r="BV35" s="1037">
        <v>560.36944358786104</v>
      </c>
      <c r="BW35" s="1037">
        <v>480.54995175786098</v>
      </c>
      <c r="BX35" s="1037">
        <v>479.70377755999999</v>
      </c>
      <c r="BY35" s="1037">
        <v>393.29119588999998</v>
      </c>
      <c r="BZ35" s="1037">
        <v>450.34329334276703</v>
      </c>
      <c r="CA35" s="1037">
        <v>370.052596772767</v>
      </c>
      <c r="CB35" s="1037">
        <v>420.296261081978</v>
      </c>
      <c r="CC35" s="1304">
        <v>347.80271800197801</v>
      </c>
      <c r="CD35" s="1304">
        <v>681.54565356000001</v>
      </c>
      <c r="CE35" s="1304">
        <v>598.38687166</v>
      </c>
      <c r="CF35" s="1037">
        <v>645.88828195999997</v>
      </c>
      <c r="CG35" s="1304">
        <v>568.15523129999997</v>
      </c>
      <c r="CH35" s="1304">
        <v>705.55861109</v>
      </c>
      <c r="CI35" s="1304">
        <v>622.76777428000003</v>
      </c>
      <c r="CJ35" s="1037">
        <v>353.30424454000001</v>
      </c>
      <c r="CK35" s="1304">
        <v>280.71941493000003</v>
      </c>
      <c r="CL35" s="1037">
        <v>385.36184363000001</v>
      </c>
      <c r="CM35" s="1304">
        <v>320.32537150000002</v>
      </c>
      <c r="CN35" s="1304">
        <v>291.11862941999999</v>
      </c>
      <c r="CO35" s="1304">
        <v>221.80893753000001</v>
      </c>
      <c r="CP35" s="1037">
        <v>287.04156884000002</v>
      </c>
      <c r="CQ35" s="1304">
        <v>213.65329657999999</v>
      </c>
      <c r="CR35" s="1304">
        <v>260.19356936999998</v>
      </c>
      <c r="CS35" s="1304">
        <v>178.33082769999999</v>
      </c>
      <c r="CT35" s="1037">
        <v>343.33583450162303</v>
      </c>
      <c r="CU35" s="1304">
        <v>256.12987224162299</v>
      </c>
      <c r="CV35" s="1037">
        <v>518.63267185999996</v>
      </c>
      <c r="CW35" s="1304">
        <v>382.52940505999999</v>
      </c>
      <c r="CX35" s="1037">
        <v>382.68585009999998</v>
      </c>
      <c r="CY35" s="1304">
        <v>284.44013920999998</v>
      </c>
      <c r="CZ35" s="1037">
        <v>489.97655817999998</v>
      </c>
      <c r="DA35" s="1304">
        <v>363.12353215000002</v>
      </c>
      <c r="DB35" s="1037">
        <v>375.67761967000001</v>
      </c>
      <c r="DC35" s="1304">
        <v>263.61012027999999</v>
      </c>
      <c r="DD35" s="1304">
        <v>448.13467419500398</v>
      </c>
      <c r="DE35" s="1304">
        <v>345.45475230500398</v>
      </c>
      <c r="DF35" s="1037">
        <v>609.41857464488203</v>
      </c>
      <c r="DG35" s="1304">
        <v>494.11057509488199</v>
      </c>
      <c r="DH35" s="1037">
        <v>472.60974920556498</v>
      </c>
      <c r="DI35" s="1037">
        <v>354.75169313556501</v>
      </c>
      <c r="DJ35" s="1037">
        <v>434.12147990003399</v>
      </c>
      <c r="DK35" s="1037">
        <v>324.41635245999998</v>
      </c>
      <c r="DL35" s="1037">
        <v>533.81886970999994</v>
      </c>
      <c r="DM35" s="1037">
        <v>446.40402124000002</v>
      </c>
      <c r="DN35" s="1037">
        <v>504.14701959000001</v>
      </c>
      <c r="DO35" s="1037">
        <v>424.56517924000002</v>
      </c>
      <c r="DP35" s="1037">
        <v>420.89486676000001</v>
      </c>
      <c r="DQ35" s="1037">
        <v>289.14824313999998</v>
      </c>
      <c r="DR35" s="1037">
        <v>697.75613200999999</v>
      </c>
      <c r="DS35" s="1037">
        <v>464.38529198999998</v>
      </c>
      <c r="DT35" s="1037">
        <v>864.15347244999998</v>
      </c>
      <c r="DU35" s="1037">
        <v>614.42949812999996</v>
      </c>
      <c r="DV35" s="1037">
        <v>750.86938647364798</v>
      </c>
      <c r="DW35" s="1037">
        <v>481.752498803648</v>
      </c>
      <c r="DX35" s="1037">
        <v>889.71546123979203</v>
      </c>
      <c r="DY35" s="1037">
        <v>637.07869806979204</v>
      </c>
      <c r="DZ35" s="1037">
        <v>685.00168755000004</v>
      </c>
      <c r="EA35" s="1037">
        <v>398.97197813999998</v>
      </c>
      <c r="EB35" s="1037">
        <v>568.60497741999995</v>
      </c>
      <c r="EC35" s="1037">
        <v>296.96631823000001</v>
      </c>
      <c r="ED35" s="1037">
        <v>441.97412250000002</v>
      </c>
      <c r="EE35" s="1037">
        <v>226.97404349999999</v>
      </c>
      <c r="EF35" s="1037">
        <v>469.65096418000002</v>
      </c>
      <c r="EG35" s="1037">
        <v>376.20791481999998</v>
      </c>
      <c r="EH35" s="1037">
        <v>520.15928858999996</v>
      </c>
      <c r="EI35" s="1037">
        <v>456.08448650999998</v>
      </c>
      <c r="EJ35" s="1037">
        <v>584.66811921364001</v>
      </c>
      <c r="EK35" s="1037">
        <v>535.39374592364004</v>
      </c>
      <c r="EL35" s="1037">
        <v>527.51271991999999</v>
      </c>
      <c r="EM35" s="1037">
        <v>474.03195226000003</v>
      </c>
      <c r="EN35" s="1037">
        <v>498.57234342599799</v>
      </c>
      <c r="EO35" s="1037">
        <v>459.28840834599799</v>
      </c>
      <c r="EP35" s="1037">
        <v>482.24680180472501</v>
      </c>
      <c r="EQ35" s="1037">
        <v>433.10524420472501</v>
      </c>
      <c r="ER35" s="1037">
        <v>437.65199401953998</v>
      </c>
      <c r="ES35" s="1037">
        <v>398.99137783954001</v>
      </c>
      <c r="ET35" s="1037">
        <v>405.85996764747699</v>
      </c>
      <c r="EU35" s="1037">
        <v>368.01706483747699</v>
      </c>
      <c r="EV35" s="1037">
        <v>547.50190282872302</v>
      </c>
      <c r="EW35" s="1037">
        <v>499.27694028872298</v>
      </c>
      <c r="EX35" s="1037">
        <v>409.44450135179301</v>
      </c>
      <c r="EY35" s="1037">
        <v>361.62520844179301</v>
      </c>
      <c r="EZ35" s="1037">
        <v>472.19201678569698</v>
      </c>
      <c r="FA35" s="1037">
        <v>439.31558593569702</v>
      </c>
      <c r="FB35" s="1037">
        <v>630.700335546877</v>
      </c>
      <c r="FC35" s="1037">
        <v>593.49372848687699</v>
      </c>
      <c r="FD35" s="1035" t="s">
        <v>3577</v>
      </c>
    </row>
    <row r="36" spans="1:163" ht="19.899999999999999" customHeight="1">
      <c r="A36" s="1035" t="s">
        <v>2236</v>
      </c>
      <c r="B36" s="1037">
        <v>1205.473989455</v>
      </c>
      <c r="C36" s="1037">
        <v>805.22246830500001</v>
      </c>
      <c r="D36" s="1037">
        <v>1192.509263935</v>
      </c>
      <c r="E36" s="1037">
        <v>786.42368431499995</v>
      </c>
      <c r="F36" s="1037">
        <v>1216.232269005</v>
      </c>
      <c r="G36" s="1037">
        <v>784.45135568499995</v>
      </c>
      <c r="H36" s="1037">
        <v>1438.5786233650001</v>
      </c>
      <c r="I36" s="1037">
        <v>885.936082425</v>
      </c>
      <c r="J36" s="1037">
        <v>1465.889575205</v>
      </c>
      <c r="K36" s="1037">
        <v>904.29541955499997</v>
      </c>
      <c r="L36" s="1037">
        <v>1429.892652705</v>
      </c>
      <c r="M36" s="1037">
        <v>883.25552543499998</v>
      </c>
      <c r="N36" s="1037">
        <v>1187.458369665</v>
      </c>
      <c r="O36" s="1037">
        <v>711.32252476500003</v>
      </c>
      <c r="P36" s="1037">
        <v>1202.164976215</v>
      </c>
      <c r="Q36" s="1037">
        <v>708.80436991500005</v>
      </c>
      <c r="R36" s="1037">
        <v>1184.3007328450001</v>
      </c>
      <c r="S36" s="1037">
        <v>697.36764365500005</v>
      </c>
      <c r="T36" s="1037">
        <v>1179.843269555</v>
      </c>
      <c r="U36" s="1037">
        <v>690.97068072499997</v>
      </c>
      <c r="V36" s="1037">
        <v>1127.4725294249999</v>
      </c>
      <c r="W36" s="1037">
        <v>644.60388046499997</v>
      </c>
      <c r="X36" s="1037">
        <v>1118.5774672150001</v>
      </c>
      <c r="Y36" s="1037">
        <v>640.782915495</v>
      </c>
      <c r="Z36" s="1037">
        <v>1078.2126508649999</v>
      </c>
      <c r="AA36" s="1037">
        <v>612.19329358499999</v>
      </c>
      <c r="AB36" s="1037">
        <v>1046.630043415</v>
      </c>
      <c r="AC36" s="1037">
        <v>601.56651486500004</v>
      </c>
      <c r="AD36" s="1037">
        <v>965.36994664500003</v>
      </c>
      <c r="AE36" s="1037">
        <v>550.44659183500005</v>
      </c>
      <c r="AF36" s="1037">
        <v>908.68387406500005</v>
      </c>
      <c r="AG36" s="1037">
        <v>537.42387948500004</v>
      </c>
      <c r="AH36" s="1037">
        <v>955.93976571500002</v>
      </c>
      <c r="AI36" s="1037">
        <v>551.17753047500003</v>
      </c>
      <c r="AJ36" s="1037">
        <v>999.89554780499998</v>
      </c>
      <c r="AK36" s="1037">
        <v>564.06212595500006</v>
      </c>
      <c r="AL36" s="1037">
        <v>1014.010982045</v>
      </c>
      <c r="AM36" s="1047">
        <v>566.90805074000002</v>
      </c>
      <c r="AN36" s="1047">
        <v>1069.9918661849999</v>
      </c>
      <c r="AO36" s="1037">
        <v>588.38387067999997</v>
      </c>
      <c r="AP36" s="1037">
        <v>1063.778419125</v>
      </c>
      <c r="AQ36" s="1037">
        <v>581.90072110000006</v>
      </c>
      <c r="AR36" s="1037">
        <v>1077.887039985</v>
      </c>
      <c r="AS36" s="1037">
        <v>593.22481114000004</v>
      </c>
      <c r="AT36" s="1047">
        <v>1072.896557845</v>
      </c>
      <c r="AU36" s="1037">
        <v>604.24897705000001</v>
      </c>
      <c r="AV36" s="1047">
        <v>1058.8683553349999</v>
      </c>
      <c r="AW36" s="1047">
        <v>589.63482986999998</v>
      </c>
      <c r="AX36" s="1047">
        <v>1071.31309487</v>
      </c>
      <c r="AY36" s="1047">
        <v>588.18314038999995</v>
      </c>
      <c r="AZ36" s="1047">
        <v>1023.18830723</v>
      </c>
      <c r="BA36" s="1047">
        <v>558.39187200000003</v>
      </c>
      <c r="BB36" s="1047">
        <v>1132.71004343</v>
      </c>
      <c r="BC36" s="1047">
        <v>608.69567030999997</v>
      </c>
      <c r="BD36" s="1047">
        <v>1174.58826924</v>
      </c>
      <c r="BE36" s="1047">
        <v>642.55953366999995</v>
      </c>
      <c r="BF36" s="1047">
        <v>1208.5517743</v>
      </c>
      <c r="BG36" s="1047">
        <v>662.27499895999995</v>
      </c>
      <c r="BH36" s="1047">
        <v>1156.9450921</v>
      </c>
      <c r="BI36" s="1047">
        <v>645.37396493999995</v>
      </c>
      <c r="BJ36" s="1047">
        <v>1137.444400285</v>
      </c>
      <c r="BK36" s="1047">
        <v>627.08549602999994</v>
      </c>
      <c r="BL36" s="1047">
        <v>1260.52278357</v>
      </c>
      <c r="BM36" s="1047">
        <v>726.49160674999996</v>
      </c>
      <c r="BN36" s="1047">
        <v>1247.4559421500001</v>
      </c>
      <c r="BO36" s="1047">
        <v>714.97885938000002</v>
      </c>
      <c r="BP36" s="1047">
        <v>1305.91164054</v>
      </c>
      <c r="BQ36" s="1047">
        <v>695.96127035999996</v>
      </c>
      <c r="BR36" s="1047">
        <v>1335.9250557600001</v>
      </c>
      <c r="BS36" s="1047">
        <v>676.69708051999999</v>
      </c>
      <c r="BT36" s="1047">
        <v>1380.1945748200001</v>
      </c>
      <c r="BU36" s="1047">
        <v>681.65315321000003</v>
      </c>
      <c r="BV36" s="1047">
        <v>1254.20160315</v>
      </c>
      <c r="BW36" s="1047">
        <v>626.84823133999998</v>
      </c>
      <c r="BX36" s="1047">
        <v>1438.2071495600001</v>
      </c>
      <c r="BY36" s="1047">
        <v>711.15557320000005</v>
      </c>
      <c r="BZ36" s="1047">
        <v>1510.36250853</v>
      </c>
      <c r="CA36" s="1047">
        <v>685.32684826000002</v>
      </c>
      <c r="CB36" s="1047">
        <v>1545.3613018000001</v>
      </c>
      <c r="CC36" s="1308">
        <v>721.14666957999998</v>
      </c>
      <c r="CD36" s="1308">
        <v>1504.0649733400001</v>
      </c>
      <c r="CE36" s="1308">
        <v>709.91041559999996</v>
      </c>
      <c r="CF36" s="1047">
        <v>1472.09690948</v>
      </c>
      <c r="CG36" s="1308">
        <v>692.05065702000002</v>
      </c>
      <c r="CH36" s="1308">
        <v>1156.86397932</v>
      </c>
      <c r="CI36" s="1308">
        <v>598.56722861000003</v>
      </c>
      <c r="CJ36" s="1047">
        <v>1236.89441807</v>
      </c>
      <c r="CK36" s="1308">
        <v>603.56538533000003</v>
      </c>
      <c r="CL36" s="1047">
        <v>1288.7812035100001</v>
      </c>
      <c r="CM36" s="1308">
        <v>607.09491251999998</v>
      </c>
      <c r="CN36" s="1308">
        <v>1151.2962495199999</v>
      </c>
      <c r="CO36" s="1308">
        <v>665.84418252</v>
      </c>
      <c r="CP36" s="1047">
        <v>1024.9306739199999</v>
      </c>
      <c r="CQ36" s="1308">
        <v>533.97309504999998</v>
      </c>
      <c r="CR36" s="1308">
        <v>1048.5644678599999</v>
      </c>
      <c r="CS36" s="1308">
        <v>561.73233622999999</v>
      </c>
      <c r="CT36" s="1047">
        <v>1533.52993877838</v>
      </c>
      <c r="CU36" s="1308">
        <v>712.735014588377</v>
      </c>
      <c r="CV36" s="1047">
        <v>1482.5003056200001</v>
      </c>
      <c r="CW36" s="1308">
        <v>686.23458608999999</v>
      </c>
      <c r="CX36" s="1047">
        <v>1289.83510262</v>
      </c>
      <c r="CY36" s="1308">
        <v>632.14260081999998</v>
      </c>
      <c r="CZ36" s="1047">
        <v>1295.90409224</v>
      </c>
      <c r="DA36" s="1308">
        <v>583.34362829999998</v>
      </c>
      <c r="DB36" s="1047">
        <v>1314.4067910900001</v>
      </c>
      <c r="DC36" s="1308">
        <v>614.08372295000004</v>
      </c>
      <c r="DD36" s="1308">
        <v>1663.684242755</v>
      </c>
      <c r="DE36" s="1308">
        <v>669.98971295499598</v>
      </c>
      <c r="DF36" s="1047">
        <v>1770.3710409351199</v>
      </c>
      <c r="DG36" s="1308">
        <v>635.68457858511795</v>
      </c>
      <c r="DH36" s="1047">
        <v>1505.3309100500001</v>
      </c>
      <c r="DI36" s="1047">
        <v>563.72432859000003</v>
      </c>
      <c r="DJ36" s="1047">
        <v>1364.6618282100001</v>
      </c>
      <c r="DK36" s="1047">
        <v>583.13900287000001</v>
      </c>
      <c r="DL36" s="1047">
        <v>1538.35593692</v>
      </c>
      <c r="DM36" s="1047">
        <v>566.13386834000005</v>
      </c>
      <c r="DN36" s="1047">
        <v>1827.00870657</v>
      </c>
      <c r="DO36" s="1047">
        <v>563.18601799999999</v>
      </c>
      <c r="DP36" s="1047">
        <v>1756.74616234</v>
      </c>
      <c r="DQ36" s="1047">
        <v>731.85014109999997</v>
      </c>
      <c r="DR36" s="1047">
        <v>1659.0977167399999</v>
      </c>
      <c r="DS36" s="1047">
        <v>883.08947945</v>
      </c>
      <c r="DT36" s="1047">
        <v>1986.54390397</v>
      </c>
      <c r="DU36" s="1047">
        <v>701.52014225000005</v>
      </c>
      <c r="DV36" s="1047">
        <v>1420.00333759</v>
      </c>
      <c r="DW36" s="1047">
        <v>662.74094932000003</v>
      </c>
      <c r="DX36" s="1047">
        <v>1942.2665898499999</v>
      </c>
      <c r="DY36" s="1047">
        <v>770.58092322000005</v>
      </c>
      <c r="DZ36" s="1047">
        <v>1883.4668487500001</v>
      </c>
      <c r="EA36" s="1047">
        <v>832.90452151</v>
      </c>
      <c r="EB36" s="1047">
        <v>1661.35957147</v>
      </c>
      <c r="EC36" s="1047">
        <v>871.37750742000003</v>
      </c>
      <c r="ED36" s="1047">
        <v>1954.54446177</v>
      </c>
      <c r="EE36" s="1047">
        <v>981.66720859999998</v>
      </c>
      <c r="EF36" s="1047">
        <v>1715.0587005499999</v>
      </c>
      <c r="EG36" s="1047">
        <v>762.64614859999995</v>
      </c>
      <c r="EH36" s="1047">
        <v>1921.1898793600001</v>
      </c>
      <c r="EI36" s="1047">
        <v>869.82250060000001</v>
      </c>
      <c r="EJ36" s="1047">
        <v>2119.67921935</v>
      </c>
      <c r="EK36" s="1047">
        <v>860.36525789999996</v>
      </c>
      <c r="EL36" s="1047">
        <v>2142.2076919000001</v>
      </c>
      <c r="EM36" s="1047">
        <v>872.65605565999999</v>
      </c>
      <c r="EN36" s="1047">
        <v>2184.1026545899999</v>
      </c>
      <c r="EO36" s="1047">
        <v>927.84375202000001</v>
      </c>
      <c r="EP36" s="1047">
        <v>2217.31670042</v>
      </c>
      <c r="EQ36" s="1047">
        <v>1051.1627620199999</v>
      </c>
      <c r="ER36" s="1047">
        <v>3330.09301581</v>
      </c>
      <c r="ES36" s="1047">
        <v>942.25504202000002</v>
      </c>
      <c r="ET36" s="1047">
        <v>2856.2437064699998</v>
      </c>
      <c r="EU36" s="1047">
        <v>939.05028202000005</v>
      </c>
      <c r="EV36" s="1047">
        <v>2539.9723380999999</v>
      </c>
      <c r="EW36" s="1047">
        <v>881.97303889</v>
      </c>
      <c r="EX36" s="1047">
        <v>2374.3070055600001</v>
      </c>
      <c r="EY36" s="1047">
        <v>882.39389592999999</v>
      </c>
      <c r="EZ36" s="1047">
        <v>2383.7182077799998</v>
      </c>
      <c r="FA36" s="1047">
        <v>860.53782593000005</v>
      </c>
      <c r="FB36" s="1047">
        <v>2584.90022417</v>
      </c>
      <c r="FC36" s="1047">
        <v>984.50013593000006</v>
      </c>
      <c r="FD36" s="1035" t="s">
        <v>3578</v>
      </c>
    </row>
    <row r="37" spans="1:163" ht="19.899999999999999" customHeight="1">
      <c r="A37" s="1035" t="s">
        <v>2235</v>
      </c>
      <c r="B37" s="1037">
        <v>74.492667049999994</v>
      </c>
      <c r="C37" s="1037">
        <v>22.424890000000001</v>
      </c>
      <c r="D37" s="1037">
        <v>69.192667049999997</v>
      </c>
      <c r="E37" s="1037">
        <v>22.424890000000001</v>
      </c>
      <c r="F37" s="1037">
        <v>72.794947050000005</v>
      </c>
      <c r="G37" s="1037">
        <v>20.92717</v>
      </c>
      <c r="H37" s="1037">
        <v>85.794947050000005</v>
      </c>
      <c r="I37" s="1037">
        <v>20.92717</v>
      </c>
      <c r="J37" s="1037">
        <v>89.42494705</v>
      </c>
      <c r="K37" s="1037">
        <v>20.92717</v>
      </c>
      <c r="L37" s="1037">
        <v>74.903480889999997</v>
      </c>
      <c r="M37" s="1037">
        <v>20.92717</v>
      </c>
      <c r="N37" s="1037">
        <v>68.207170000000005</v>
      </c>
      <c r="O37" s="1037">
        <v>14.977169999999999</v>
      </c>
      <c r="P37" s="1037">
        <v>71.307169999999999</v>
      </c>
      <c r="Q37" s="1037">
        <v>14.977169999999999</v>
      </c>
      <c r="R37" s="1037">
        <v>68.179450000000003</v>
      </c>
      <c r="S37" s="1037">
        <v>13.47945</v>
      </c>
      <c r="T37" s="1037">
        <v>68.179450000000003</v>
      </c>
      <c r="U37" s="1037">
        <v>13.47945</v>
      </c>
      <c r="V37" s="1037">
        <v>48.679450000000003</v>
      </c>
      <c r="W37" s="1037">
        <v>13.47945</v>
      </c>
      <c r="X37" s="1037">
        <v>48.679450000000003</v>
      </c>
      <c r="Y37" s="1037">
        <v>13.47945</v>
      </c>
      <c r="Z37" s="1037">
        <v>48.679450000000003</v>
      </c>
      <c r="AA37" s="1037">
        <v>13.47945</v>
      </c>
      <c r="AB37" s="1037">
        <v>48.679450000000003</v>
      </c>
      <c r="AC37" s="1037">
        <v>13.47945</v>
      </c>
      <c r="AD37" s="1037">
        <v>34.18</v>
      </c>
      <c r="AE37" s="1037">
        <v>0</v>
      </c>
      <c r="AF37" s="1037">
        <v>29.18</v>
      </c>
      <c r="AG37" s="1037">
        <v>0</v>
      </c>
      <c r="AH37" s="1037">
        <v>34.28</v>
      </c>
      <c r="AI37" s="1037">
        <v>0</v>
      </c>
      <c r="AJ37" s="1037">
        <v>34.28</v>
      </c>
      <c r="AK37" s="1037">
        <v>0</v>
      </c>
      <c r="AL37" s="1037">
        <v>34.28</v>
      </c>
      <c r="AM37" s="1047">
        <v>0</v>
      </c>
      <c r="AN37" s="1047">
        <v>33.713333329999998</v>
      </c>
      <c r="AO37" s="1037">
        <v>0</v>
      </c>
      <c r="AP37" s="1037">
        <v>42.693333000000003</v>
      </c>
      <c r="AQ37" s="1037">
        <v>0</v>
      </c>
      <c r="AR37" s="1037">
        <v>71.081563000000003</v>
      </c>
      <c r="AS37" s="1037">
        <v>13.38823</v>
      </c>
      <c r="AT37" s="1047">
        <v>75.729456999999996</v>
      </c>
      <c r="AU37" s="1037">
        <v>18.602789999999999</v>
      </c>
      <c r="AV37" s="1047">
        <v>66.750027000000003</v>
      </c>
      <c r="AW37" s="1047">
        <v>9.6233599999999999</v>
      </c>
      <c r="AX37" s="1047">
        <v>130.02509699999999</v>
      </c>
      <c r="AY37" s="1047">
        <v>13.07343</v>
      </c>
      <c r="AZ37" s="1047">
        <v>125.51833999999999</v>
      </c>
      <c r="BA37" s="1047">
        <v>9.1333400000000005</v>
      </c>
      <c r="BB37" s="1047">
        <v>131.25149999999999</v>
      </c>
      <c r="BC37" s="1047">
        <v>7.3864999999999998</v>
      </c>
      <c r="BD37" s="1047">
        <v>141.54510999999999</v>
      </c>
      <c r="BE37" s="1047">
        <v>17.680109999999999</v>
      </c>
      <c r="BF37" s="1047">
        <v>147.47660300000001</v>
      </c>
      <c r="BG37" s="1047">
        <v>17.803270000000001</v>
      </c>
      <c r="BH37" s="1047">
        <v>148.56580299999999</v>
      </c>
      <c r="BI37" s="1047">
        <v>18.892469999999999</v>
      </c>
      <c r="BJ37" s="1047">
        <v>143.96605299999999</v>
      </c>
      <c r="BK37" s="1047">
        <v>14.292719999999999</v>
      </c>
      <c r="BL37" s="1047">
        <v>141.75351699999999</v>
      </c>
      <c r="BM37" s="1047">
        <v>12.646850000000001</v>
      </c>
      <c r="BN37" s="1047">
        <v>135.758657</v>
      </c>
      <c r="BO37" s="1047">
        <v>12.671989999999999</v>
      </c>
      <c r="BP37" s="1047">
        <v>145.760617</v>
      </c>
      <c r="BQ37" s="1047">
        <v>12.67395</v>
      </c>
      <c r="BR37" s="1047">
        <v>144.68964</v>
      </c>
      <c r="BS37" s="1047">
        <v>12.169639999999999</v>
      </c>
      <c r="BT37" s="1047">
        <v>144.85840999999999</v>
      </c>
      <c r="BU37" s="1047">
        <v>12.33841</v>
      </c>
      <c r="BV37" s="1047">
        <v>137.77612999999999</v>
      </c>
      <c r="BW37" s="1047">
        <v>16.756129999999999</v>
      </c>
      <c r="BX37" s="1047">
        <v>134.297303</v>
      </c>
      <c r="BY37" s="1047">
        <v>14.343970000000001</v>
      </c>
      <c r="BZ37" s="1047">
        <v>127.252343</v>
      </c>
      <c r="CA37" s="1047">
        <v>8.3190100000000005</v>
      </c>
      <c r="CB37" s="1047">
        <v>134.31285299999999</v>
      </c>
      <c r="CC37" s="1308">
        <v>8.1545199999999998</v>
      </c>
      <c r="CD37" s="1308">
        <v>150.68659700000001</v>
      </c>
      <c r="CE37" s="1308">
        <v>7.8699300000000001</v>
      </c>
      <c r="CF37" s="1047">
        <v>147.350437</v>
      </c>
      <c r="CG37" s="1308">
        <v>7.6797800000000001</v>
      </c>
      <c r="CH37" s="1308">
        <v>130.843197</v>
      </c>
      <c r="CI37" s="1308">
        <v>7.4775400000000003</v>
      </c>
      <c r="CJ37" s="1047">
        <v>124.88963</v>
      </c>
      <c r="CK37" s="1308">
        <v>3.36564</v>
      </c>
      <c r="CL37" s="1047">
        <v>119.65858</v>
      </c>
      <c r="CM37" s="1308">
        <v>3.1345900000000002</v>
      </c>
      <c r="CN37" s="1308">
        <v>93.281530000000004</v>
      </c>
      <c r="CO37" s="1308">
        <v>3.03254</v>
      </c>
      <c r="CP37" s="1047">
        <v>92.057069999999996</v>
      </c>
      <c r="CQ37" s="1308">
        <v>3.0830799999999998</v>
      </c>
      <c r="CR37" s="1308">
        <v>84.521280000000004</v>
      </c>
      <c r="CS37" s="1308">
        <v>3.14229</v>
      </c>
      <c r="CT37" s="1047">
        <v>89.090320000000006</v>
      </c>
      <c r="CU37" s="1308">
        <v>2.9863300000000002</v>
      </c>
      <c r="CV37" s="1047">
        <v>87.755629999999996</v>
      </c>
      <c r="CW37" s="1308">
        <v>2.9266399999999999</v>
      </c>
      <c r="CX37" s="1047">
        <v>107.10448</v>
      </c>
      <c r="CY37" s="1308">
        <v>2.77549</v>
      </c>
      <c r="CZ37" s="1047">
        <v>90.611069999999998</v>
      </c>
      <c r="DA37" s="1308">
        <v>6.05708</v>
      </c>
      <c r="DB37" s="1047">
        <v>95.219579999999993</v>
      </c>
      <c r="DC37" s="1308">
        <v>5.9405900000000003</v>
      </c>
      <c r="DD37" s="1308">
        <v>91.812839999999994</v>
      </c>
      <c r="DE37" s="1308">
        <v>2.5338500000000002</v>
      </c>
      <c r="DF37" s="1047">
        <v>90.590310000000002</v>
      </c>
      <c r="DG37" s="1308">
        <v>2.5863200000000002</v>
      </c>
      <c r="DH37" s="1047">
        <v>88.307010000000005</v>
      </c>
      <c r="DI37" s="1047">
        <v>7.5780200000000004</v>
      </c>
      <c r="DJ37" s="1047">
        <v>93.608140000000006</v>
      </c>
      <c r="DK37" s="1047">
        <v>7.3262700000000001</v>
      </c>
      <c r="DL37" s="1047">
        <v>116.01008</v>
      </c>
      <c r="DM37" s="1047">
        <v>9.7525600000000008</v>
      </c>
      <c r="DN37" s="1047">
        <v>109.46997</v>
      </c>
      <c r="DO37" s="1047">
        <v>4.4874499999999999</v>
      </c>
      <c r="DP37" s="1047">
        <v>116.42446</v>
      </c>
      <c r="DQ37" s="1047">
        <v>5.0669399999999998</v>
      </c>
      <c r="DR37" s="1047">
        <v>86.457149999999999</v>
      </c>
      <c r="DS37" s="1047">
        <v>7.3536200000000003</v>
      </c>
      <c r="DT37" s="1047">
        <v>117.24541000000001</v>
      </c>
      <c r="DU37" s="1047">
        <v>5.0628900000000003</v>
      </c>
      <c r="DV37" s="1047">
        <v>130.10533000000001</v>
      </c>
      <c r="DW37" s="1047">
        <v>5.1728100000000001</v>
      </c>
      <c r="DX37" s="1047">
        <v>130.13506000000001</v>
      </c>
      <c r="DY37" s="1047">
        <v>5.2025399999999999</v>
      </c>
      <c r="DZ37" s="1047">
        <v>88.396109999999993</v>
      </c>
      <c r="EA37" s="1047">
        <v>5.0925799999999999</v>
      </c>
      <c r="EB37" s="1047">
        <v>463.54343999999998</v>
      </c>
      <c r="EC37" s="1047">
        <v>354.73991000000001</v>
      </c>
      <c r="ED37" s="1047">
        <v>460.11128000000002</v>
      </c>
      <c r="EE37" s="1047">
        <v>354.93275</v>
      </c>
      <c r="EF37" s="1047">
        <v>464.64156000000003</v>
      </c>
      <c r="EG37" s="1047">
        <v>359.46303</v>
      </c>
      <c r="EH37" s="1047">
        <v>459.86750999999998</v>
      </c>
      <c r="EI37" s="1047">
        <v>359.56398000000002</v>
      </c>
      <c r="EJ37" s="1047">
        <v>459.78748999999999</v>
      </c>
      <c r="EK37" s="1047">
        <v>359.48396000000002</v>
      </c>
      <c r="EL37" s="1047">
        <v>460.28953999999999</v>
      </c>
      <c r="EM37" s="1047">
        <v>364.98601000000002</v>
      </c>
      <c r="EN37" s="1047">
        <v>458.95969000000002</v>
      </c>
      <c r="EO37" s="1047">
        <v>364.93115999999998</v>
      </c>
      <c r="EP37" s="1047">
        <v>539.10527000000002</v>
      </c>
      <c r="EQ37" s="1047">
        <v>449.97674000000001</v>
      </c>
      <c r="ER37" s="1047">
        <v>539.15153999999995</v>
      </c>
      <c r="ES37" s="1047">
        <v>450.02301</v>
      </c>
      <c r="ET37" s="1047">
        <v>531.51504</v>
      </c>
      <c r="EU37" s="1047">
        <v>449.81151</v>
      </c>
      <c r="EV37" s="1047">
        <v>568.58527000000004</v>
      </c>
      <c r="EW37" s="1047">
        <v>453.38173999999998</v>
      </c>
      <c r="EX37" s="1047">
        <v>215.37907000000001</v>
      </c>
      <c r="EY37" s="1047">
        <v>100.17554</v>
      </c>
      <c r="EZ37" s="1047">
        <v>657.98252666999997</v>
      </c>
      <c r="FA37" s="1047">
        <v>533.58732999999995</v>
      </c>
      <c r="FB37" s="1047">
        <v>645.01319666999996</v>
      </c>
      <c r="FC37" s="1047">
        <v>528.51800000000003</v>
      </c>
      <c r="FD37" s="1035" t="s">
        <v>3579</v>
      </c>
      <c r="FG37" s="1072"/>
    </row>
    <row r="38" spans="1:163" ht="19.899999999999999" customHeight="1">
      <c r="A38" s="1035" t="s">
        <v>2234</v>
      </c>
      <c r="B38" s="1037">
        <v>1991.5959309699999</v>
      </c>
      <c r="C38" s="1037">
        <v>62.311436069999999</v>
      </c>
      <c r="D38" s="1037">
        <v>1994.0447383000001</v>
      </c>
      <c r="E38" s="1037">
        <v>193.48326104</v>
      </c>
      <c r="F38" s="1037">
        <v>2023.6703067399999</v>
      </c>
      <c r="G38" s="1037">
        <v>62.313036070000003</v>
      </c>
      <c r="H38" s="1037">
        <v>2057.5875685999999</v>
      </c>
      <c r="I38" s="1037">
        <v>60.02246117</v>
      </c>
      <c r="J38" s="1037">
        <v>1992.57476993</v>
      </c>
      <c r="K38" s="1037">
        <v>60.02246117</v>
      </c>
      <c r="L38" s="1037">
        <v>1994.19371813</v>
      </c>
      <c r="M38" s="1037">
        <v>60.022453759999998</v>
      </c>
      <c r="N38" s="1037">
        <v>1996.0020677499999</v>
      </c>
      <c r="O38" s="1037">
        <v>57.685599760999999</v>
      </c>
      <c r="P38" s="1037">
        <v>2008.1033840699999</v>
      </c>
      <c r="Q38" s="1037">
        <v>57.685599760999999</v>
      </c>
      <c r="R38" s="1037">
        <v>2015.27253086</v>
      </c>
      <c r="S38" s="1037">
        <v>44.085599760000001</v>
      </c>
      <c r="T38" s="1037">
        <v>2042.0841490800001</v>
      </c>
      <c r="U38" s="1037">
        <v>43.067935030000001</v>
      </c>
      <c r="V38" s="1037">
        <v>2062.4535470300002</v>
      </c>
      <c r="W38" s="1037">
        <v>43.067884030000002</v>
      </c>
      <c r="X38" s="1037">
        <v>2082.6156929099998</v>
      </c>
      <c r="Y38" s="1037">
        <v>43.067884030999998</v>
      </c>
      <c r="Z38" s="1037">
        <v>2099.0267408499999</v>
      </c>
      <c r="AA38" s="1037">
        <v>36.521122847999997</v>
      </c>
      <c r="AB38" s="1037">
        <v>2099.2303352499998</v>
      </c>
      <c r="AC38" s="1037">
        <v>39.921122848000003</v>
      </c>
      <c r="AD38" s="1037">
        <v>2106.6827942</v>
      </c>
      <c r="AE38" s="1037">
        <v>39.921122848000003</v>
      </c>
      <c r="AF38" s="1037">
        <v>2130.2433788899998</v>
      </c>
      <c r="AG38" s="1037">
        <v>39.423464848000002</v>
      </c>
      <c r="AH38" s="1037">
        <v>2161.5614141000001</v>
      </c>
      <c r="AI38" s="1037">
        <v>39.423464848000002</v>
      </c>
      <c r="AJ38" s="1037">
        <v>2181.5851008599998</v>
      </c>
      <c r="AK38" s="1037">
        <v>47.923464848000002</v>
      </c>
      <c r="AL38" s="1037">
        <v>2201.3824807199999</v>
      </c>
      <c r="AM38" s="1047">
        <v>49.019964848000001</v>
      </c>
      <c r="AN38" s="1047">
        <v>2236.9734742000001</v>
      </c>
      <c r="AO38" s="1037">
        <v>49.019964848000001</v>
      </c>
      <c r="AP38" s="1037">
        <v>2262.0172760199998</v>
      </c>
      <c r="AQ38" s="1037">
        <v>49.019964848000001</v>
      </c>
      <c r="AR38" s="1037">
        <v>2287.3991594200002</v>
      </c>
      <c r="AS38" s="1037">
        <v>49.019964848000001</v>
      </c>
      <c r="AT38" s="1047">
        <v>2308.7758762499998</v>
      </c>
      <c r="AU38" s="1037">
        <v>49.019964848000001</v>
      </c>
      <c r="AV38" s="1047">
        <v>2335.1223580199999</v>
      </c>
      <c r="AW38" s="1047">
        <v>49.019964848000001</v>
      </c>
      <c r="AX38" s="1047">
        <v>2380.7902084900002</v>
      </c>
      <c r="AY38" s="1047">
        <v>49.019964848000001</v>
      </c>
      <c r="AZ38" s="1047">
        <v>2384.4248082399999</v>
      </c>
      <c r="BA38" s="1047">
        <v>49.019964848000001</v>
      </c>
      <c r="BB38" s="1047">
        <v>2394.6327143799999</v>
      </c>
      <c r="BC38" s="1047">
        <v>49.019964848000001</v>
      </c>
      <c r="BD38" s="1047">
        <v>2422.67623753</v>
      </c>
      <c r="BE38" s="1047">
        <v>49.019964848000001</v>
      </c>
      <c r="BF38" s="1047">
        <v>2481.2654238800001</v>
      </c>
      <c r="BG38" s="1047">
        <v>43.913333299999998</v>
      </c>
      <c r="BH38" s="1047">
        <v>2507.88645473</v>
      </c>
      <c r="BI38" s="1047">
        <v>43.913333299999998</v>
      </c>
      <c r="BJ38" s="1047">
        <v>2527.3387315999998</v>
      </c>
      <c r="BK38" s="1047">
        <v>50.713333300000002</v>
      </c>
      <c r="BL38" s="1047">
        <v>2555.8420504999999</v>
      </c>
      <c r="BM38" s="1047">
        <v>55.813333299999996</v>
      </c>
      <c r="BN38" s="1047">
        <v>2564.66511593</v>
      </c>
      <c r="BO38" s="1047">
        <v>64.313333299999996</v>
      </c>
      <c r="BP38" s="1047">
        <v>2608.7272801300001</v>
      </c>
      <c r="BQ38" s="1047">
        <v>64.313333299999996</v>
      </c>
      <c r="BR38" s="1047">
        <v>2656.3770637100001</v>
      </c>
      <c r="BS38" s="1047">
        <v>64.313333299999996</v>
      </c>
      <c r="BT38" s="1047">
        <v>2672.2577377699999</v>
      </c>
      <c r="BU38" s="1047">
        <v>50.79943944</v>
      </c>
      <c r="BV38" s="1047">
        <v>2701.09393172</v>
      </c>
      <c r="BW38" s="1047">
        <v>59.21443944</v>
      </c>
      <c r="BX38" s="1047">
        <v>2681.3224838400001</v>
      </c>
      <c r="BY38" s="1047">
        <v>59.29943944</v>
      </c>
      <c r="BZ38" s="1047">
        <v>2734.0961901300002</v>
      </c>
      <c r="CA38" s="1047">
        <v>88.199439440000006</v>
      </c>
      <c r="CB38" s="1047">
        <v>2759.1433795200001</v>
      </c>
      <c r="CC38" s="1308">
        <v>94.788639439999997</v>
      </c>
      <c r="CD38" s="1308">
        <v>2844.6755539699998</v>
      </c>
      <c r="CE38" s="1308">
        <v>97.508639439999996</v>
      </c>
      <c r="CF38" s="1047">
        <v>2867.49136873</v>
      </c>
      <c r="CG38" s="1308">
        <v>98.783639440000002</v>
      </c>
      <c r="CH38" s="1308">
        <v>2895.0998305200001</v>
      </c>
      <c r="CI38" s="1308">
        <v>105.07363943999999</v>
      </c>
      <c r="CJ38" s="1047">
        <v>2918.4541028799999</v>
      </c>
      <c r="CK38" s="1308">
        <v>105.07363943999999</v>
      </c>
      <c r="CL38" s="1047">
        <v>2957.6044099400001</v>
      </c>
      <c r="CM38" s="1308">
        <v>105.07363943999999</v>
      </c>
      <c r="CN38" s="1308">
        <v>3029.8323162500001</v>
      </c>
      <c r="CO38" s="1308">
        <v>105.07363943999999</v>
      </c>
      <c r="CP38" s="1047">
        <v>2927.59141473</v>
      </c>
      <c r="CQ38" s="1308">
        <v>105.07363943999999</v>
      </c>
      <c r="CR38" s="1308">
        <v>3025.35744527</v>
      </c>
      <c r="CS38" s="1308">
        <v>102.94863943999999</v>
      </c>
      <c r="CT38" s="1047">
        <v>3077.7950090499999</v>
      </c>
      <c r="CU38" s="1308">
        <v>98.415306099999995</v>
      </c>
      <c r="CV38" s="1047">
        <v>3063.03833093</v>
      </c>
      <c r="CW38" s="1308">
        <v>90.885496099999997</v>
      </c>
      <c r="CX38" s="1047">
        <v>3062.2009270100002</v>
      </c>
      <c r="CY38" s="1308">
        <v>90.885496099999997</v>
      </c>
      <c r="CZ38" s="1047">
        <v>3098.00876075</v>
      </c>
      <c r="DA38" s="1308">
        <v>89.958737799999994</v>
      </c>
      <c r="DB38" s="1047">
        <v>3181.2432142399998</v>
      </c>
      <c r="DC38" s="1308">
        <v>97.586127869999999</v>
      </c>
      <c r="DD38" s="1308">
        <v>3213.6829313899998</v>
      </c>
      <c r="DE38" s="1308">
        <v>85.871506600000004</v>
      </c>
      <c r="DF38" s="1047">
        <v>3219.7505554999998</v>
      </c>
      <c r="DG38" s="1308">
        <v>82.159000579999997</v>
      </c>
      <c r="DH38" s="1047">
        <v>3207.83179599</v>
      </c>
      <c r="DI38" s="1047">
        <v>78.029190580000005</v>
      </c>
      <c r="DJ38" s="1047">
        <v>3259.3495290300002</v>
      </c>
      <c r="DK38" s="1047">
        <v>79.729190579999994</v>
      </c>
      <c r="DL38" s="1047">
        <v>3332.7990627899999</v>
      </c>
      <c r="DM38" s="1047">
        <v>83.866953159999994</v>
      </c>
      <c r="DN38" s="1047">
        <v>3348.4429272900002</v>
      </c>
      <c r="DO38" s="1047">
        <v>96.560784620000007</v>
      </c>
      <c r="DP38" s="1047">
        <v>3375.4580194</v>
      </c>
      <c r="DQ38" s="1047">
        <v>109.02877422</v>
      </c>
      <c r="DR38" s="1047">
        <v>3484.0405532899999</v>
      </c>
      <c r="DS38" s="1047">
        <v>108.60347504000001</v>
      </c>
      <c r="DT38" s="1047">
        <v>3486.2491947899998</v>
      </c>
      <c r="DU38" s="1047">
        <v>112.95091504</v>
      </c>
      <c r="DV38" s="1047">
        <v>3564.48619912</v>
      </c>
      <c r="DW38" s="1047">
        <v>112.95056504</v>
      </c>
      <c r="DX38" s="1047">
        <v>3592.7821241400002</v>
      </c>
      <c r="DY38" s="1047">
        <v>113.27396503999999</v>
      </c>
      <c r="DZ38" s="1047">
        <v>3664.8422187900001</v>
      </c>
      <c r="EA38" s="1047">
        <v>106.83744978999999</v>
      </c>
      <c r="EB38" s="1047">
        <v>3688.9979393499998</v>
      </c>
      <c r="EC38" s="1047">
        <v>105.64228146000001</v>
      </c>
      <c r="ED38" s="1047">
        <v>3785.8318206200001</v>
      </c>
      <c r="EE38" s="1047">
        <v>104.98205332000001</v>
      </c>
      <c r="EF38" s="1047">
        <v>3832.1446367600001</v>
      </c>
      <c r="EG38" s="1047">
        <v>98.900243320000001</v>
      </c>
      <c r="EH38" s="1047">
        <v>3916.43871726</v>
      </c>
      <c r="EI38" s="1047">
        <v>120.08839688</v>
      </c>
      <c r="EJ38" s="1047">
        <v>4003.6836659999999</v>
      </c>
      <c r="EK38" s="1047">
        <v>169.24024331999999</v>
      </c>
      <c r="EL38" s="1047">
        <v>4110.48319618</v>
      </c>
      <c r="EM38" s="1047">
        <v>231.62519331999999</v>
      </c>
      <c r="EN38" s="1047">
        <v>4165.2719077499996</v>
      </c>
      <c r="EO38" s="1047">
        <v>231.66719332</v>
      </c>
      <c r="EP38" s="1047">
        <v>4256.52587933</v>
      </c>
      <c r="EQ38" s="1047">
        <v>257.21575999999999</v>
      </c>
      <c r="ER38" s="1047">
        <v>4263.8504889699998</v>
      </c>
      <c r="ES38" s="1047">
        <v>253.45133999999999</v>
      </c>
      <c r="ET38" s="1047">
        <v>4251.83966925</v>
      </c>
      <c r="EU38" s="1047">
        <v>255.89294000000001</v>
      </c>
      <c r="EV38" s="1047">
        <v>4285.9171601799999</v>
      </c>
      <c r="EW38" s="1047">
        <v>286.90413999999998</v>
      </c>
      <c r="EX38" s="1047">
        <v>4392.0321463800001</v>
      </c>
      <c r="EY38" s="1047">
        <v>299.50549000000001</v>
      </c>
      <c r="EZ38" s="1047">
        <v>4498.8148773299999</v>
      </c>
      <c r="FA38" s="1047">
        <v>305.36369000000002</v>
      </c>
      <c r="FB38" s="1047">
        <v>4586.8853745599999</v>
      </c>
      <c r="FC38" s="1047">
        <v>308.07008999999999</v>
      </c>
      <c r="FD38" s="1035" t="s">
        <v>3580</v>
      </c>
    </row>
    <row r="39" spans="1:163" ht="19.899999999999999" customHeight="1">
      <c r="A39" s="1035" t="s">
        <v>2233</v>
      </c>
      <c r="B39" s="1037">
        <v>1747.6720299999999</v>
      </c>
      <c r="C39" s="1037">
        <v>1747.4940300000001</v>
      </c>
      <c r="D39" s="1037">
        <v>1747.67128</v>
      </c>
      <c r="E39" s="1037">
        <v>1747.4940300000001</v>
      </c>
      <c r="F39" s="1037">
        <v>1747.67028</v>
      </c>
      <c r="G39" s="1037">
        <v>1747.4940300000001</v>
      </c>
      <c r="H39" s="1037">
        <v>1747.6698799999999</v>
      </c>
      <c r="I39" s="1037">
        <v>1747.4940300000001</v>
      </c>
      <c r="J39" s="1037">
        <v>1747.66923</v>
      </c>
      <c r="K39" s="1037">
        <v>1747.4940300000001</v>
      </c>
      <c r="L39" s="1037">
        <v>1749.6681325899999</v>
      </c>
      <c r="M39" s="1037">
        <v>1747.49403259</v>
      </c>
      <c r="N39" s="1037">
        <v>1749.6668825899999</v>
      </c>
      <c r="O39" s="1037">
        <v>1747.494032591</v>
      </c>
      <c r="P39" s="1037">
        <v>1749.66648259</v>
      </c>
      <c r="Q39" s="1037">
        <v>1747.494032591</v>
      </c>
      <c r="R39" s="1037">
        <v>1749.66423259</v>
      </c>
      <c r="S39" s="1037">
        <v>1747.49403259</v>
      </c>
      <c r="T39" s="1037">
        <v>1725.36198259</v>
      </c>
      <c r="U39" s="1037">
        <v>1723.69403259</v>
      </c>
      <c r="V39" s="1037">
        <v>1706.70143259</v>
      </c>
      <c r="W39" s="1037">
        <v>1705.20143259</v>
      </c>
      <c r="X39" s="1037">
        <v>1706.70143259</v>
      </c>
      <c r="Y39" s="1037">
        <v>1705.201432591</v>
      </c>
      <c r="Z39" s="1037">
        <v>1729.65143259</v>
      </c>
      <c r="AA39" s="1037">
        <v>1728.151432591</v>
      </c>
      <c r="AB39" s="1037">
        <v>1728.1764325900001</v>
      </c>
      <c r="AC39" s="1037">
        <v>1728.151432591</v>
      </c>
      <c r="AD39" s="1037">
        <v>1728.1764325900001</v>
      </c>
      <c r="AE39" s="1037">
        <v>1728.151432591</v>
      </c>
      <c r="AF39" s="1037">
        <v>1726.0434325900001</v>
      </c>
      <c r="AG39" s="1037">
        <v>1726.0434325910001</v>
      </c>
      <c r="AH39" s="1037">
        <v>1726.0434325900001</v>
      </c>
      <c r="AI39" s="1037">
        <v>1726.0434325910001</v>
      </c>
      <c r="AJ39" s="1037">
        <v>1726.0434325900001</v>
      </c>
      <c r="AK39" s="1037">
        <v>1726.0434325910001</v>
      </c>
      <c r="AL39" s="1037">
        <v>876.04343258999995</v>
      </c>
      <c r="AM39" s="1047">
        <v>876.04343259100006</v>
      </c>
      <c r="AN39" s="1047">
        <v>876.04343258999995</v>
      </c>
      <c r="AO39" s="1037">
        <v>876.04343259100006</v>
      </c>
      <c r="AP39" s="1037">
        <v>876.04343258999995</v>
      </c>
      <c r="AQ39" s="1037">
        <v>876.04343259100006</v>
      </c>
      <c r="AR39" s="1037">
        <v>876.04343258999995</v>
      </c>
      <c r="AS39" s="1037">
        <v>876.04343259100006</v>
      </c>
      <c r="AT39" s="1047">
        <v>891.41143259</v>
      </c>
      <c r="AU39" s="1037">
        <v>891.41143259099999</v>
      </c>
      <c r="AV39" s="1047">
        <v>891.41143259</v>
      </c>
      <c r="AW39" s="1047">
        <v>891.41143259099999</v>
      </c>
      <c r="AX39" s="1047">
        <v>894.44653258999995</v>
      </c>
      <c r="AY39" s="1047">
        <v>884.44653259100005</v>
      </c>
      <c r="AZ39" s="1047">
        <v>942.20197258999997</v>
      </c>
      <c r="BA39" s="1047">
        <v>930.61005800099997</v>
      </c>
      <c r="BB39" s="1047">
        <v>880.84143724</v>
      </c>
      <c r="BC39" s="1047">
        <v>844.54143724100004</v>
      </c>
      <c r="BD39" s="1047">
        <v>893.67917244</v>
      </c>
      <c r="BE39" s="1047">
        <v>857.17117244099995</v>
      </c>
      <c r="BF39" s="1047">
        <v>861.22150260000001</v>
      </c>
      <c r="BG39" s="1047">
        <v>825.47150260000001</v>
      </c>
      <c r="BH39" s="1047">
        <v>858.29285652999999</v>
      </c>
      <c r="BI39" s="1047">
        <v>805.54285652999999</v>
      </c>
      <c r="BJ39" s="1047">
        <v>883.68211259999998</v>
      </c>
      <c r="BK39" s="1047">
        <v>802.93211259999998</v>
      </c>
      <c r="BL39" s="1047">
        <v>883.66386433000002</v>
      </c>
      <c r="BM39" s="1047">
        <v>802.91386433000002</v>
      </c>
      <c r="BN39" s="1047">
        <v>883.58562259999997</v>
      </c>
      <c r="BO39" s="1047">
        <v>802.89562260000002</v>
      </c>
      <c r="BP39" s="1047">
        <v>871.49637259999997</v>
      </c>
      <c r="BQ39" s="1047">
        <v>785.82637260000001</v>
      </c>
      <c r="BR39" s="1047">
        <v>878.32912260000001</v>
      </c>
      <c r="BS39" s="1047">
        <v>792.65912260000005</v>
      </c>
      <c r="BT39" s="1047">
        <v>893.70890259999999</v>
      </c>
      <c r="BU39" s="1047">
        <v>808.08090259999994</v>
      </c>
      <c r="BV39" s="1047">
        <v>821.2798626</v>
      </c>
      <c r="BW39" s="1047">
        <v>735.67186260000005</v>
      </c>
      <c r="BX39" s="1047">
        <v>819.58402260000003</v>
      </c>
      <c r="BY39" s="1047">
        <v>733.97602259999996</v>
      </c>
      <c r="BZ39" s="1047">
        <v>811.49012259999995</v>
      </c>
      <c r="CA39" s="1047">
        <v>725.8821226</v>
      </c>
      <c r="CB39" s="1047">
        <v>810.25127259999999</v>
      </c>
      <c r="CC39" s="1308">
        <v>725.86527260000003</v>
      </c>
      <c r="CD39" s="1308">
        <v>810.40102260000003</v>
      </c>
      <c r="CE39" s="1308">
        <v>726.01502259999995</v>
      </c>
      <c r="CF39" s="1047">
        <v>809.77557260000003</v>
      </c>
      <c r="CG39" s="1308">
        <v>725.38957259999995</v>
      </c>
      <c r="CH39" s="1308">
        <v>807.7553226</v>
      </c>
      <c r="CI39" s="1308">
        <v>725.36932260000003</v>
      </c>
      <c r="CJ39" s="1047">
        <v>793.3490726</v>
      </c>
      <c r="CK39" s="1308">
        <v>725.3490726</v>
      </c>
      <c r="CL39" s="1047">
        <v>793.57702259999996</v>
      </c>
      <c r="CM39" s="1308">
        <v>725.57702259999996</v>
      </c>
      <c r="CN39" s="1308">
        <v>807.59927259999995</v>
      </c>
      <c r="CO39" s="1308">
        <v>725.59927259999995</v>
      </c>
      <c r="CP39" s="1047">
        <v>791.39502259999995</v>
      </c>
      <c r="CQ39" s="1308">
        <v>709.39502259999995</v>
      </c>
      <c r="CR39" s="1308">
        <v>789.05137260000004</v>
      </c>
      <c r="CS39" s="1308">
        <v>709.54137260000005</v>
      </c>
      <c r="CT39" s="1047">
        <v>777.3726226</v>
      </c>
      <c r="CU39" s="1308">
        <v>709.14712259999999</v>
      </c>
      <c r="CV39" s="1047">
        <v>777.52237260000004</v>
      </c>
      <c r="CW39" s="1308">
        <v>709.29687260000003</v>
      </c>
      <c r="CX39" s="1047">
        <v>763.54232260000003</v>
      </c>
      <c r="CY39" s="1308">
        <v>710.31682260000002</v>
      </c>
      <c r="CZ39" s="1047">
        <v>758.88587259999997</v>
      </c>
      <c r="DA39" s="1308">
        <v>710.66037259999996</v>
      </c>
      <c r="DB39" s="1047">
        <v>803.36562260000005</v>
      </c>
      <c r="DC39" s="1308">
        <v>770.14012260000004</v>
      </c>
      <c r="DD39" s="1308">
        <v>802.90437510000004</v>
      </c>
      <c r="DE39" s="1308">
        <v>761.61987260000001</v>
      </c>
      <c r="DF39" s="1047">
        <v>903.49782259999995</v>
      </c>
      <c r="DG39" s="1308">
        <v>774.25122260000001</v>
      </c>
      <c r="DH39" s="1047">
        <v>954.47757260000003</v>
      </c>
      <c r="DI39" s="1047">
        <v>825.23097259999997</v>
      </c>
      <c r="DJ39" s="1047">
        <v>954.45731260000002</v>
      </c>
      <c r="DK39" s="1047">
        <v>825.21071259999997</v>
      </c>
      <c r="DL39" s="1047">
        <v>501.2562666</v>
      </c>
      <c r="DM39" s="1047">
        <v>387.70566259999998</v>
      </c>
      <c r="DN39" s="1047">
        <v>555.23601359999998</v>
      </c>
      <c r="DO39" s="1047">
        <v>421.68541260000001</v>
      </c>
      <c r="DP39" s="1047">
        <v>555.21576359999995</v>
      </c>
      <c r="DQ39" s="1047">
        <v>421.66516259100001</v>
      </c>
      <c r="DR39" s="1047">
        <v>657.0842136</v>
      </c>
      <c r="DS39" s="1047">
        <v>423.53361260000003</v>
      </c>
      <c r="DT39" s="1047">
        <v>699.56396559999996</v>
      </c>
      <c r="DU39" s="1047">
        <v>466.01336259999999</v>
      </c>
      <c r="DV39" s="1047">
        <v>713.14371559999995</v>
      </c>
      <c r="DW39" s="1047">
        <v>479.59311259999998</v>
      </c>
      <c r="DX39" s="1047">
        <v>721.6292651</v>
      </c>
      <c r="DY39" s="1047">
        <v>488.07866259999997</v>
      </c>
      <c r="DZ39" s="1047">
        <v>721.60090460000004</v>
      </c>
      <c r="EA39" s="1047">
        <v>488.05030260000001</v>
      </c>
      <c r="EB39" s="1047">
        <v>719.99632199999996</v>
      </c>
      <c r="EC39" s="1047">
        <v>455.13051999999999</v>
      </c>
      <c r="ED39" s="1047">
        <v>636.12607200000002</v>
      </c>
      <c r="EE39" s="1047">
        <v>471.26026999999999</v>
      </c>
      <c r="EF39" s="1047">
        <v>635.93573761000005</v>
      </c>
      <c r="EG39" s="1047">
        <v>471.06993561000002</v>
      </c>
      <c r="EH39" s="1047">
        <v>681.24517561000005</v>
      </c>
      <c r="EI39" s="1047">
        <v>476.20351561000001</v>
      </c>
      <c r="EJ39" s="1047">
        <v>780.39523560999999</v>
      </c>
      <c r="EK39" s="1047">
        <v>471.02943561000001</v>
      </c>
      <c r="EL39" s="1047">
        <v>783.54581560999998</v>
      </c>
      <c r="EM39" s="1047">
        <v>470.21311560999999</v>
      </c>
      <c r="EN39" s="1047">
        <v>749.54581560999998</v>
      </c>
      <c r="EO39" s="1047">
        <v>436.21311560999999</v>
      </c>
      <c r="EP39" s="1047">
        <v>751.90131560999998</v>
      </c>
      <c r="EQ39" s="1047">
        <v>436.06861560999999</v>
      </c>
      <c r="ER39" s="1047">
        <v>744.57601561000001</v>
      </c>
      <c r="ES39" s="1047">
        <v>428.74331561000002</v>
      </c>
      <c r="ET39" s="1047">
        <v>744.67604811000001</v>
      </c>
      <c r="EU39" s="1047">
        <v>428.74331561000002</v>
      </c>
      <c r="EV39" s="1047">
        <v>754.67604560999996</v>
      </c>
      <c r="EW39" s="1047">
        <v>428.74331561000002</v>
      </c>
      <c r="EX39" s="1047">
        <v>754.67604560999996</v>
      </c>
      <c r="EY39" s="1047">
        <v>428.74331561000002</v>
      </c>
      <c r="EZ39" s="1047">
        <v>725.27549999999997</v>
      </c>
      <c r="FA39" s="1047">
        <v>427.89339999999999</v>
      </c>
      <c r="FB39" s="1047">
        <v>735.27549999999997</v>
      </c>
      <c r="FC39" s="1047">
        <v>427.89339999999999</v>
      </c>
      <c r="FD39" s="1035" t="s">
        <v>3581</v>
      </c>
    </row>
    <row r="40" spans="1:163" ht="19.899999999999999" customHeight="1" thickBot="1">
      <c r="A40" s="1038" t="s">
        <v>2232</v>
      </c>
      <c r="B40" s="1048">
        <v>1232.7608181684568</v>
      </c>
      <c r="C40" s="1048">
        <v>593.00923535000004</v>
      </c>
      <c r="D40" s="1048">
        <v>942.67924958078493</v>
      </c>
      <c r="E40" s="1048">
        <v>386.22801181191306</v>
      </c>
      <c r="F40" s="1048">
        <v>1098.84030713488</v>
      </c>
      <c r="G40" s="1048">
        <v>415.87815560000001</v>
      </c>
      <c r="H40" s="1048">
        <v>866.37256658908905</v>
      </c>
      <c r="I40" s="1048">
        <v>305.87570597000001</v>
      </c>
      <c r="J40" s="1048">
        <v>807.3060651574001</v>
      </c>
      <c r="K40" s="1048">
        <v>328.6894413</v>
      </c>
      <c r="L40" s="1039">
        <v>875.75833742220004</v>
      </c>
      <c r="M40" s="1039">
        <v>322.65037169913501</v>
      </c>
      <c r="N40" s="1039">
        <v>929.55158460189705</v>
      </c>
      <c r="O40" s="1039">
        <v>307.06819269526</v>
      </c>
      <c r="P40" s="1039">
        <v>856.34888121438291</v>
      </c>
      <c r="Q40" s="1039">
        <v>286.24200996243701</v>
      </c>
      <c r="R40" s="1039">
        <v>1160.9985301929401</v>
      </c>
      <c r="S40" s="1039">
        <v>535.35833443999991</v>
      </c>
      <c r="T40" s="1039">
        <v>996.54811064860394</v>
      </c>
      <c r="U40" s="1039">
        <v>229.11929028913897</v>
      </c>
      <c r="V40" s="1039">
        <v>1154.492287637715</v>
      </c>
      <c r="W40" s="1039">
        <v>231.11402126000002</v>
      </c>
      <c r="X40" s="1039">
        <v>1254.5346365937501</v>
      </c>
      <c r="Y40" s="1039">
        <v>247.07466127999999</v>
      </c>
      <c r="Z40" s="1039">
        <v>1071.1132113595361</v>
      </c>
      <c r="AA40" s="1039">
        <v>246.69778587399998</v>
      </c>
      <c r="AB40" s="1039">
        <v>1413.3278970781503</v>
      </c>
      <c r="AC40" s="1039">
        <v>399.705752566</v>
      </c>
      <c r="AD40" s="1039">
        <v>1342.5744866432301</v>
      </c>
      <c r="AE40" s="1039">
        <v>308.76178086800002</v>
      </c>
      <c r="AF40" s="1039">
        <v>1222.4318534318099</v>
      </c>
      <c r="AG40" s="1039">
        <v>284.20651355000001</v>
      </c>
      <c r="AH40" s="1039">
        <v>1196.3760829235998</v>
      </c>
      <c r="AI40" s="1039">
        <v>308.20415137100002</v>
      </c>
      <c r="AJ40" s="1039">
        <v>1393.2599373325099</v>
      </c>
      <c r="AK40" s="1039">
        <v>389.433415121</v>
      </c>
      <c r="AL40" s="1039">
        <v>1370.6532682457</v>
      </c>
      <c r="AM40" s="1049">
        <v>504.918647792</v>
      </c>
      <c r="AN40" s="1049">
        <v>1248.6975850617</v>
      </c>
      <c r="AO40" s="1039">
        <v>232.2612827152</v>
      </c>
      <c r="AP40" s="1039">
        <v>1054.5439397145101</v>
      </c>
      <c r="AQ40" s="1039">
        <v>232.18103711000001</v>
      </c>
      <c r="AR40" s="1039">
        <v>1126.3814638638839</v>
      </c>
      <c r="AS40" s="1039">
        <v>305.14338709899999</v>
      </c>
      <c r="AT40" s="1049">
        <v>1053.790017662222</v>
      </c>
      <c r="AU40" s="1039">
        <v>367.55525785330002</v>
      </c>
      <c r="AV40" s="1049">
        <v>1020.017222411901</v>
      </c>
      <c r="AW40" s="1049">
        <v>316.716475124</v>
      </c>
      <c r="AX40" s="1049">
        <v>1563.4389219991001</v>
      </c>
      <c r="AY40" s="1049">
        <v>658.28203002576504</v>
      </c>
      <c r="AZ40" s="1049">
        <v>997.44176829724915</v>
      </c>
      <c r="BA40" s="1049">
        <v>224.964973355475</v>
      </c>
      <c r="BB40" s="1049">
        <v>1299.52951269032</v>
      </c>
      <c r="BC40" s="1049">
        <v>207.62104543217501</v>
      </c>
      <c r="BD40" s="1049">
        <v>1226.4743743270599</v>
      </c>
      <c r="BE40" s="1049">
        <v>309.27019842293498</v>
      </c>
      <c r="BF40" s="1049">
        <v>1163.8475759883302</v>
      </c>
      <c r="BG40" s="1049">
        <v>331.15122000100899</v>
      </c>
      <c r="BH40" s="1049">
        <v>1174.15030354858</v>
      </c>
      <c r="BI40" s="1049">
        <v>316.76159756667499</v>
      </c>
      <c r="BJ40" s="1049">
        <v>1259.20681119652</v>
      </c>
      <c r="BK40" s="1049">
        <v>303.45238163900001</v>
      </c>
      <c r="BL40" s="1049">
        <v>1373.50464222957</v>
      </c>
      <c r="BM40" s="1049">
        <v>529.64704529972801</v>
      </c>
      <c r="BN40" s="1049">
        <v>1168.20845986633</v>
      </c>
      <c r="BO40" s="1049">
        <v>287.85847820019598</v>
      </c>
      <c r="BP40" s="1049">
        <v>1143.5731430391102</v>
      </c>
      <c r="BQ40" s="1049">
        <v>283.57323813373603</v>
      </c>
      <c r="BR40" s="1049">
        <v>1186.9841620029199</v>
      </c>
      <c r="BS40" s="1049">
        <v>279.94102871939998</v>
      </c>
      <c r="BT40" s="1049">
        <v>1283.0466903465499</v>
      </c>
      <c r="BU40" s="1049">
        <v>273.18491201507197</v>
      </c>
      <c r="BV40" s="1049">
        <v>1978.50602698536</v>
      </c>
      <c r="BW40" s="1049">
        <v>840.067722315163</v>
      </c>
      <c r="BX40" s="1049">
        <v>1463.3458516549699</v>
      </c>
      <c r="BY40" s="1049">
        <v>275.223678430299</v>
      </c>
      <c r="BZ40" s="1049">
        <v>1563.45837559902</v>
      </c>
      <c r="CA40" s="1049">
        <v>255.13526551342099</v>
      </c>
      <c r="CB40" s="1049">
        <v>1272.5185162484199</v>
      </c>
      <c r="CC40" s="1309">
        <v>286.18398062649999</v>
      </c>
      <c r="CD40" s="1309">
        <v>1304.39699547194</v>
      </c>
      <c r="CE40" s="1309">
        <v>223.62499245294001</v>
      </c>
      <c r="CF40" s="1049">
        <v>1355.56903980225</v>
      </c>
      <c r="CG40" s="1309">
        <v>234.96886961854599</v>
      </c>
      <c r="CH40" s="1309">
        <v>1445.0644235611401</v>
      </c>
      <c r="CI40" s="1309">
        <v>322.47437264869598</v>
      </c>
      <c r="CJ40" s="1049">
        <v>1665.5360803840299</v>
      </c>
      <c r="CK40" s="1309">
        <v>237.43016633799999</v>
      </c>
      <c r="CL40" s="1049">
        <v>1822.7272920743001</v>
      </c>
      <c r="CM40" s="1309">
        <v>240.27699337999999</v>
      </c>
      <c r="CN40" s="1309">
        <v>1884.0657011562701</v>
      </c>
      <c r="CO40" s="1309">
        <v>236.89763645599999</v>
      </c>
      <c r="CP40" s="1049">
        <v>1936.16089963122</v>
      </c>
      <c r="CQ40" s="1309">
        <v>214.48008824999999</v>
      </c>
      <c r="CR40" s="1309">
        <v>1676.3173277707899</v>
      </c>
      <c r="CS40" s="1309">
        <v>246.01275967199999</v>
      </c>
      <c r="CT40" s="1049">
        <v>2696.5030285564999</v>
      </c>
      <c r="CU40" s="1309">
        <v>1029.788874909</v>
      </c>
      <c r="CV40" s="1049">
        <v>2172.4017842286999</v>
      </c>
      <c r="CW40" s="1309">
        <v>336.35762125299999</v>
      </c>
      <c r="CX40" s="1049">
        <v>1936.6028650533101</v>
      </c>
      <c r="CY40" s="1309">
        <v>365.49561118499997</v>
      </c>
      <c r="CZ40" s="1049">
        <v>2019.1883555065499</v>
      </c>
      <c r="DA40" s="1309">
        <v>650.27704991300004</v>
      </c>
      <c r="DB40" s="1049">
        <v>1719.5145863267401</v>
      </c>
      <c r="DC40" s="1309">
        <v>227.11216566100001</v>
      </c>
      <c r="DD40" s="1309">
        <v>1715.2231745026399</v>
      </c>
      <c r="DE40" s="1309">
        <v>275.29025672300003</v>
      </c>
      <c r="DF40" s="1049">
        <v>2260.5359205750001</v>
      </c>
      <c r="DG40" s="1309">
        <v>246.72084676200001</v>
      </c>
      <c r="DH40" s="1049">
        <v>2219.5507737263802</v>
      </c>
      <c r="DI40" s="1049">
        <v>281.22238917599998</v>
      </c>
      <c r="DJ40" s="1049">
        <v>2101.1484456104899</v>
      </c>
      <c r="DK40" s="1049">
        <v>250.92790905199999</v>
      </c>
      <c r="DL40" s="1049">
        <v>2424.0959218785501</v>
      </c>
      <c r="DM40" s="1049">
        <v>317.85974401999999</v>
      </c>
      <c r="DN40" s="1049">
        <v>2491.6038344444601</v>
      </c>
      <c r="DO40" s="1049">
        <v>369.90123950700098</v>
      </c>
      <c r="DP40" s="1049">
        <v>2242.43465183233</v>
      </c>
      <c r="DQ40" s="1049">
        <v>307.60078551599997</v>
      </c>
      <c r="DR40" s="1049">
        <v>2101.9503563507501</v>
      </c>
      <c r="DS40" s="1049">
        <v>587.20205402700003</v>
      </c>
      <c r="DT40" s="1049">
        <v>2287.5914620731</v>
      </c>
      <c r="DU40" s="1049">
        <v>386.04336407300002</v>
      </c>
      <c r="DV40" s="1049">
        <v>2332.7878455762002</v>
      </c>
      <c r="DW40" s="1049">
        <v>495.66587099300102</v>
      </c>
      <c r="DX40" s="1049">
        <v>3390.6709566679501</v>
      </c>
      <c r="DY40" s="1049">
        <v>546.14794148099998</v>
      </c>
      <c r="DZ40" s="1049">
        <v>3834.2410534321002</v>
      </c>
      <c r="EA40" s="1049">
        <v>373.19803097290799</v>
      </c>
      <c r="EB40" s="1049">
        <v>4407.9285881828</v>
      </c>
      <c r="EC40" s="1049">
        <v>516.41869710700098</v>
      </c>
      <c r="ED40" s="1049">
        <v>5155.8313898880997</v>
      </c>
      <c r="EE40" s="1049">
        <v>485.246184284999</v>
      </c>
      <c r="EF40" s="1049">
        <v>4920.9511628395603</v>
      </c>
      <c r="EG40" s="1049">
        <v>458.994470584</v>
      </c>
      <c r="EH40" s="1049">
        <v>4578.0896749727299</v>
      </c>
      <c r="EI40" s="1049">
        <v>488.94033582999998</v>
      </c>
      <c r="EJ40" s="1049">
        <v>4431.2758640365</v>
      </c>
      <c r="EK40" s="1049">
        <v>422.82040778999999</v>
      </c>
      <c r="EL40" s="1049">
        <v>5094.6068951954003</v>
      </c>
      <c r="EM40" s="1049">
        <v>509.11034837</v>
      </c>
      <c r="EN40" s="1049">
        <v>6258.5149554221998</v>
      </c>
      <c r="EO40" s="1049">
        <v>853.89534543699995</v>
      </c>
      <c r="EP40" s="1049">
        <v>3274.3423594641099</v>
      </c>
      <c r="EQ40" s="1049">
        <v>760.32135267000001</v>
      </c>
      <c r="ER40" s="1049">
        <v>3407.6479499407301</v>
      </c>
      <c r="ES40" s="1049">
        <v>592.88079229000004</v>
      </c>
      <c r="ET40" s="1049">
        <v>3536.13178102445</v>
      </c>
      <c r="EU40" s="1049">
        <v>525.97844336000003</v>
      </c>
      <c r="EV40" s="1049">
        <v>4027.02242710888</v>
      </c>
      <c r="EW40" s="1049">
        <v>818.50962058488199</v>
      </c>
      <c r="EX40" s="1049">
        <v>3778.4381276254499</v>
      </c>
      <c r="EY40" s="1049">
        <v>500.10850952000101</v>
      </c>
      <c r="EZ40" s="1049">
        <v>4325.4847188918202</v>
      </c>
      <c r="FA40" s="1049">
        <v>539.39213924000001</v>
      </c>
      <c r="FB40" s="1049">
        <v>4367.9306028643596</v>
      </c>
      <c r="FC40" s="1049">
        <v>1262.846768421</v>
      </c>
      <c r="FD40" s="1038" t="s">
        <v>3582</v>
      </c>
    </row>
    <row r="41" spans="1:163" ht="19.899999999999999" customHeight="1" thickBot="1">
      <c r="A41" s="1050" t="s">
        <v>2231</v>
      </c>
      <c r="B41" s="1041">
        <v>28139.7780821585</v>
      </c>
      <c r="C41" s="1041">
        <v>15632.00868594</v>
      </c>
      <c r="D41" s="1041">
        <v>28219.0209452708</v>
      </c>
      <c r="E41" s="1041">
        <v>15859.4686560519</v>
      </c>
      <c r="F41" s="1041">
        <v>28504.894102544898</v>
      </c>
      <c r="G41" s="1041">
        <v>15678.94060871</v>
      </c>
      <c r="H41" s="1041">
        <v>27477.903302059101</v>
      </c>
      <c r="I41" s="1041">
        <v>15470.487018579999</v>
      </c>
      <c r="J41" s="1041">
        <v>26711.3550225174</v>
      </c>
      <c r="K41" s="1041">
        <v>14876.439689880001</v>
      </c>
      <c r="L41" s="1041">
        <v>26701.346844342199</v>
      </c>
      <c r="M41" s="1041">
        <v>14664.9000233033</v>
      </c>
      <c r="N41" s="1041">
        <v>25938.4392892219</v>
      </c>
      <c r="O41" s="1041">
        <v>14053.78607907</v>
      </c>
      <c r="P41" s="1041">
        <v>25848.119721114399</v>
      </c>
      <c r="Q41" s="1041">
        <v>13707.4350932496</v>
      </c>
      <c r="R41" s="1041">
        <v>26351.522818922898</v>
      </c>
      <c r="S41" s="1041">
        <v>14118.0615912011</v>
      </c>
      <c r="T41" s="1041">
        <v>25994.628114363601</v>
      </c>
      <c r="U41" s="1041">
        <v>13287.3291536995</v>
      </c>
      <c r="V41" s="1041">
        <v>26091.335041813902</v>
      </c>
      <c r="W41" s="1041">
        <v>13204.7747804964</v>
      </c>
      <c r="X41" s="1041">
        <v>26081.8454567187</v>
      </c>
      <c r="Y41" s="1041">
        <v>13342.282166888301</v>
      </c>
      <c r="Z41" s="1041">
        <v>27356.060069774499</v>
      </c>
      <c r="AA41" s="1041">
        <v>13857.024209163999</v>
      </c>
      <c r="AB41" s="1041">
        <v>27224.077299948101</v>
      </c>
      <c r="AC41" s="1041">
        <v>13667.268332957699</v>
      </c>
      <c r="AD41" s="1041">
        <v>27437.663642253199</v>
      </c>
      <c r="AE41" s="1041">
        <v>13516.602574561201</v>
      </c>
      <c r="AF41" s="1041">
        <v>27672.034509651799</v>
      </c>
      <c r="AG41" s="1041">
        <v>13512.775126894299</v>
      </c>
      <c r="AH41" s="1041">
        <v>28065.561295293599</v>
      </c>
      <c r="AI41" s="1041">
        <v>13408.162511898499</v>
      </c>
      <c r="AJ41" s="1041">
        <v>29058.2428417993</v>
      </c>
      <c r="AK41" s="1041">
        <v>13627.049358533101</v>
      </c>
      <c r="AL41" s="1041">
        <v>28220.146462705699</v>
      </c>
      <c r="AM41" s="1041">
        <v>13124.864203405999</v>
      </c>
      <c r="AN41" s="1041">
        <v>28899.683284101699</v>
      </c>
      <c r="AO41" s="1041">
        <v>13480.514529067401</v>
      </c>
      <c r="AP41" s="1041">
        <v>28613.019584194299</v>
      </c>
      <c r="AQ41" s="1041">
        <v>13054.994358189801</v>
      </c>
      <c r="AR41" s="1041">
        <v>29655.181958783902</v>
      </c>
      <c r="AS41" s="1041">
        <v>13656.5051842147</v>
      </c>
      <c r="AT41" s="1041">
        <v>30028.777592832601</v>
      </c>
      <c r="AU41" s="1041">
        <v>13961.081778722801</v>
      </c>
      <c r="AV41" s="1041">
        <v>30632.393230161899</v>
      </c>
      <c r="AW41" s="1041">
        <v>14132.2504430753</v>
      </c>
      <c r="AX41" s="1041">
        <v>33492.8776005611</v>
      </c>
      <c r="AY41" s="1041">
        <v>15162.4758171064</v>
      </c>
      <c r="AZ41" s="1041">
        <v>32954.245051270504</v>
      </c>
      <c r="BA41" s="1041">
        <v>15292.232439085001</v>
      </c>
      <c r="BB41" s="1041">
        <v>33421.9388306283</v>
      </c>
      <c r="BC41" s="1041">
        <v>15305.3330932881</v>
      </c>
      <c r="BD41" s="1041">
        <v>34731.7253349069</v>
      </c>
      <c r="BE41" s="1041">
        <v>16147.132756631099</v>
      </c>
      <c r="BF41" s="1041">
        <v>35159.179503070802</v>
      </c>
      <c r="BG41" s="1041">
        <v>16276.1583346196</v>
      </c>
      <c r="BH41" s="1041">
        <v>36292.955763420301</v>
      </c>
      <c r="BI41" s="1041">
        <v>16889.755672309198</v>
      </c>
      <c r="BJ41" s="1041">
        <v>36774.225670286301</v>
      </c>
      <c r="BK41" s="1041">
        <v>16797.607832377202</v>
      </c>
      <c r="BL41" s="1041">
        <v>36450.508420500599</v>
      </c>
      <c r="BM41" s="1041">
        <v>16968.258709509199</v>
      </c>
      <c r="BN41" s="1041">
        <v>37137.931003544698</v>
      </c>
      <c r="BO41" s="1041">
        <v>16753.482416936498</v>
      </c>
      <c r="BP41" s="1041">
        <v>38288.316651939298</v>
      </c>
      <c r="BQ41" s="1041">
        <v>17215.403945462702</v>
      </c>
      <c r="BR41" s="1041">
        <v>39230.6614151662</v>
      </c>
      <c r="BS41" s="1041">
        <v>17311.962565387701</v>
      </c>
      <c r="BT41" s="1041">
        <v>39970.324413273702</v>
      </c>
      <c r="BU41" s="1041">
        <v>17892.011130619201</v>
      </c>
      <c r="BV41" s="1041">
        <v>41432.830410419701</v>
      </c>
      <c r="BW41" s="1041">
        <v>18652.408689545398</v>
      </c>
      <c r="BX41" s="1041">
        <v>40200.2319852129</v>
      </c>
      <c r="BY41" s="1041">
        <v>17861.4458165303</v>
      </c>
      <c r="BZ41" s="1041">
        <v>39972.523610695796</v>
      </c>
      <c r="CA41" s="1041">
        <v>17683.1138848964</v>
      </c>
      <c r="CB41" s="1041">
        <v>38993.930087630397</v>
      </c>
      <c r="CC41" s="1306">
        <v>16473.7097361985</v>
      </c>
      <c r="CD41" s="1306">
        <v>39771.253926531899</v>
      </c>
      <c r="CE41" s="1306">
        <v>16814.651292682898</v>
      </c>
      <c r="CF41" s="1041">
        <v>40084.577391713203</v>
      </c>
      <c r="CG41" s="1306">
        <v>16834.446567333202</v>
      </c>
      <c r="CH41" s="1306">
        <v>39305.560458001703</v>
      </c>
      <c r="CI41" s="1306">
        <v>15737.9855991226</v>
      </c>
      <c r="CJ41" s="1041">
        <v>39041.192328113997</v>
      </c>
      <c r="CK41" s="1306">
        <v>14809.2352433015</v>
      </c>
      <c r="CL41" s="1041">
        <v>39474.061364384303</v>
      </c>
      <c r="CM41" s="1306">
        <v>14555.937364720499</v>
      </c>
      <c r="CN41" s="1306">
        <v>39539.119904226303</v>
      </c>
      <c r="CO41" s="1306">
        <v>14262.246119527699</v>
      </c>
      <c r="CP41" s="1041">
        <v>40232.959336831198</v>
      </c>
      <c r="CQ41" s="1306">
        <v>14927.9283455143</v>
      </c>
      <c r="CR41" s="1306">
        <v>40160.355371760801</v>
      </c>
      <c r="CS41" s="1306">
        <v>14430.171724149701</v>
      </c>
      <c r="CT41" s="1041">
        <v>43114.841401926496</v>
      </c>
      <c r="CU41" s="1306">
        <v>16087.3141229142</v>
      </c>
      <c r="CV41" s="1041">
        <v>43144.394571883196</v>
      </c>
      <c r="CW41" s="1306">
        <v>16312.7527053167</v>
      </c>
      <c r="CX41" s="1041">
        <v>42548.435305793297</v>
      </c>
      <c r="CY41" s="1306">
        <v>15671.951788389701</v>
      </c>
      <c r="CZ41" s="1041">
        <v>42612.489501876596</v>
      </c>
      <c r="DA41" s="1306">
        <v>16185.6720967453</v>
      </c>
      <c r="DB41" s="1041">
        <v>42897.690343286697</v>
      </c>
      <c r="DC41" s="1306">
        <v>16367.7068460354</v>
      </c>
      <c r="DD41" s="1306">
        <v>42817.794667316302</v>
      </c>
      <c r="DE41" s="1306">
        <v>15920.730868446501</v>
      </c>
      <c r="DF41" s="1041">
        <v>44086.307695682401</v>
      </c>
      <c r="DG41" s="1306">
        <v>15855.417858844199</v>
      </c>
      <c r="DH41" s="1752">
        <v>42874.272797341997</v>
      </c>
      <c r="DI41" s="1752">
        <v>15230.7495157336</v>
      </c>
      <c r="DJ41" s="1752">
        <v>43256.041965390497</v>
      </c>
      <c r="DK41" s="1752">
        <v>15866.3398529121</v>
      </c>
      <c r="DL41" s="1752">
        <v>44550.044073888603</v>
      </c>
      <c r="DM41" s="1752">
        <v>15838.6202093189</v>
      </c>
      <c r="DN41" s="1752">
        <v>43254.589105884501</v>
      </c>
      <c r="DO41" s="1752">
        <v>15450.7760045996</v>
      </c>
      <c r="DP41" s="1752">
        <v>43662.596872522299</v>
      </c>
      <c r="DQ41" s="1752">
        <v>15758.3050710891</v>
      </c>
      <c r="DR41" s="1752">
        <v>46382.962910170703</v>
      </c>
      <c r="DS41" s="1752">
        <v>16621.180041118299</v>
      </c>
      <c r="DT41" s="1752">
        <v>46402.302894943103</v>
      </c>
      <c r="DU41" s="1752">
        <v>17349.3399968005</v>
      </c>
      <c r="DV41" s="1752">
        <v>46748.437877674303</v>
      </c>
      <c r="DW41" s="1752">
        <v>17741.811819109102</v>
      </c>
      <c r="DX41" s="1752">
        <v>47960.772736447703</v>
      </c>
      <c r="DY41" s="1752">
        <v>17969.404670420699</v>
      </c>
      <c r="DZ41" s="1752">
        <v>47625.541559032099</v>
      </c>
      <c r="EA41" s="1752">
        <v>17528.534827009102</v>
      </c>
      <c r="EB41" s="1752">
        <v>49690.254409032801</v>
      </c>
      <c r="EC41" s="1752">
        <v>19281.843162381501</v>
      </c>
      <c r="ED41" s="1752">
        <v>49788.174675228198</v>
      </c>
      <c r="EE41" s="1752">
        <v>17849.642705984101</v>
      </c>
      <c r="EF41" s="1752">
        <v>48689.7267889996</v>
      </c>
      <c r="EG41" s="1752">
        <v>17263.567657866999</v>
      </c>
      <c r="EH41" s="1752">
        <v>48595.285335622699</v>
      </c>
      <c r="EI41" s="1752">
        <v>17441.490398398499</v>
      </c>
      <c r="EJ41" s="1752">
        <v>48967.7782898402</v>
      </c>
      <c r="EK41" s="1752">
        <v>17321.467014325299</v>
      </c>
      <c r="EL41" s="1752">
        <v>49182.026857455501</v>
      </c>
      <c r="EM41" s="1752">
        <v>17087.289468679199</v>
      </c>
      <c r="EN41" s="1752">
        <v>51517.441197240201</v>
      </c>
      <c r="EO41" s="1752">
        <v>18187.4683698632</v>
      </c>
      <c r="EP41" s="1752">
        <v>49743.748400143399</v>
      </c>
      <c r="EQ41" s="1752">
        <v>16993.254884529601</v>
      </c>
      <c r="ER41" s="1752">
        <v>49528.726558281698</v>
      </c>
      <c r="ES41" s="1752">
        <v>16984.021489636201</v>
      </c>
      <c r="ET41" s="1752">
        <v>49617.351701561798</v>
      </c>
      <c r="EU41" s="1752">
        <v>16998.303848129101</v>
      </c>
      <c r="EV41" s="1752">
        <v>50292.501818940102</v>
      </c>
      <c r="EW41" s="1752">
        <v>17131.435834113399</v>
      </c>
      <c r="EX41" s="1752">
        <v>49695.462589948598</v>
      </c>
      <c r="EY41" s="1752">
        <v>16056.135626626499</v>
      </c>
      <c r="EZ41" s="1752">
        <v>51612.170613259703</v>
      </c>
      <c r="FA41" s="1752">
        <v>16613.530532410299</v>
      </c>
      <c r="FB41" s="1752">
        <v>53294.780641511999</v>
      </c>
      <c r="FC41" s="1752">
        <v>17627.209243384601</v>
      </c>
      <c r="FD41" s="1050" t="s">
        <v>3583</v>
      </c>
      <c r="FF41" s="1032"/>
    </row>
    <row r="42" spans="1:163" ht="16.149999999999999" customHeight="1" thickBot="1">
      <c r="A42" s="2726"/>
      <c r="B42" s="2727"/>
      <c r="C42" s="2727"/>
      <c r="D42" s="2727"/>
      <c r="E42" s="2727"/>
      <c r="F42" s="2727"/>
      <c r="G42" s="2727"/>
      <c r="H42" s="2727"/>
      <c r="I42" s="2727"/>
      <c r="J42" s="2727"/>
      <c r="K42" s="2727"/>
      <c r="L42" s="2727"/>
      <c r="M42" s="2727"/>
      <c r="N42" s="2727"/>
      <c r="O42" s="2727"/>
      <c r="P42" s="2727"/>
      <c r="Q42" s="2727"/>
      <c r="R42" s="2727"/>
      <c r="S42" s="2727"/>
      <c r="T42" s="2727"/>
      <c r="U42" s="2727"/>
      <c r="V42" s="2727"/>
      <c r="W42" s="2727"/>
      <c r="X42" s="2727"/>
      <c r="Y42" s="2727"/>
      <c r="Z42" s="2727"/>
      <c r="AA42" s="2727"/>
      <c r="AB42" s="2727"/>
      <c r="AC42" s="2727"/>
      <c r="AD42" s="2727"/>
      <c r="AE42" s="2727"/>
      <c r="AF42" s="2727"/>
      <c r="AG42" s="2727"/>
      <c r="AH42" s="2727"/>
      <c r="AI42" s="2727"/>
      <c r="AJ42" s="2727"/>
      <c r="AK42" s="2727"/>
      <c r="AL42" s="2727"/>
      <c r="AM42" s="2727"/>
      <c r="AN42" s="2727"/>
      <c r="AO42" s="2727"/>
      <c r="AP42" s="2727"/>
      <c r="AQ42" s="2727"/>
      <c r="AR42" s="2727"/>
      <c r="AS42" s="2727"/>
      <c r="AT42" s="2727"/>
      <c r="AU42" s="2727"/>
      <c r="AV42" s="2727"/>
      <c r="AW42" s="2727"/>
      <c r="AX42" s="2727"/>
      <c r="AY42" s="2727"/>
      <c r="AZ42" s="2727"/>
      <c r="BA42" s="2727"/>
      <c r="BB42" s="2727"/>
      <c r="BC42" s="2727"/>
      <c r="BD42" s="2727"/>
      <c r="BE42" s="2727"/>
      <c r="BF42" s="2727"/>
      <c r="BG42" s="2727"/>
      <c r="BH42" s="2727"/>
      <c r="BI42" s="2727"/>
      <c r="BJ42" s="2727"/>
      <c r="BK42" s="2727"/>
      <c r="BL42" s="2727"/>
      <c r="BM42" s="2727"/>
      <c r="BN42" s="2727"/>
      <c r="BO42" s="2727"/>
      <c r="BP42" s="2727"/>
      <c r="BQ42" s="2727"/>
      <c r="BR42" s="2727"/>
      <c r="BS42" s="2727"/>
      <c r="BT42" s="2727"/>
      <c r="BU42" s="2727"/>
      <c r="BV42" s="2727"/>
      <c r="BW42" s="2727"/>
      <c r="BX42" s="2727"/>
      <c r="BY42" s="2727"/>
      <c r="BZ42" s="2727"/>
      <c r="CA42" s="2727"/>
      <c r="CB42" s="2727"/>
      <c r="CC42" s="2727"/>
      <c r="CD42" s="2727"/>
      <c r="CE42" s="2727"/>
      <c r="CF42" s="2727"/>
      <c r="CG42" s="2727"/>
      <c r="CH42" s="2727"/>
      <c r="CI42" s="2727"/>
      <c r="CJ42" s="2727"/>
      <c r="CK42" s="2727"/>
      <c r="CL42" s="2727"/>
      <c r="CM42" s="2727"/>
      <c r="CN42" s="2727"/>
      <c r="CO42" s="2727"/>
      <c r="CP42" s="2727"/>
      <c r="CQ42" s="2727"/>
      <c r="CR42" s="2727"/>
      <c r="CS42" s="2727"/>
      <c r="CT42" s="2727"/>
      <c r="CU42" s="2727"/>
      <c r="CV42" s="2727"/>
      <c r="CW42" s="2727"/>
      <c r="CX42" s="2727"/>
      <c r="CY42" s="2727"/>
      <c r="CZ42" s="2727"/>
      <c r="DA42" s="2727"/>
      <c r="DB42" s="2727"/>
      <c r="DC42" s="2727"/>
      <c r="DD42" s="2727"/>
      <c r="DE42" s="2727"/>
      <c r="DF42" s="2727"/>
      <c r="DG42" s="2727"/>
      <c r="DH42" s="2727"/>
      <c r="DI42" s="2727"/>
      <c r="DJ42" s="2727"/>
      <c r="DK42" s="2727"/>
      <c r="DL42" s="2727"/>
      <c r="DM42" s="2727"/>
      <c r="DN42" s="2727"/>
      <c r="DO42" s="2727"/>
      <c r="DP42" s="2727"/>
      <c r="DQ42" s="2727"/>
      <c r="DR42" s="2727"/>
      <c r="DS42" s="2727"/>
      <c r="DT42" s="2727"/>
      <c r="DU42" s="2727"/>
      <c r="DV42" s="2727"/>
      <c r="DW42" s="2727"/>
      <c r="DX42" s="2727"/>
      <c r="DY42" s="2727"/>
      <c r="DZ42" s="2727"/>
      <c r="EA42" s="2727"/>
      <c r="EB42" s="2727"/>
      <c r="EC42" s="2727"/>
      <c r="ED42" s="2727"/>
      <c r="EE42" s="2727"/>
      <c r="EF42" s="2727"/>
      <c r="EG42" s="2727"/>
      <c r="EH42" s="2727"/>
      <c r="EI42" s="2727"/>
      <c r="EJ42" s="2727"/>
      <c r="EK42" s="2727"/>
      <c r="EL42" s="2727"/>
      <c r="EM42" s="2727"/>
      <c r="EN42" s="2727"/>
      <c r="EO42" s="2727"/>
      <c r="EP42" s="2727"/>
      <c r="EQ42" s="2727"/>
      <c r="ER42" s="2727"/>
      <c r="ES42" s="2727"/>
      <c r="ET42" s="2727"/>
      <c r="EU42" s="2727"/>
      <c r="EV42" s="2727"/>
      <c r="EW42" s="2727"/>
      <c r="EX42" s="2727"/>
      <c r="EY42" s="2727"/>
      <c r="EZ42" s="2727"/>
      <c r="FA42" s="2727"/>
      <c r="FB42" s="2727"/>
      <c r="FC42" s="2727"/>
      <c r="FD42" s="2727"/>
    </row>
    <row r="43" spans="1:163" s="1033" customFormat="1" ht="26.25" customHeight="1" thickBot="1">
      <c r="A43" s="2722" t="s">
        <v>2230</v>
      </c>
      <c r="B43" s="2712">
        <v>43830</v>
      </c>
      <c r="C43" s="2709"/>
      <c r="D43" s="2708">
        <v>43861</v>
      </c>
      <c r="E43" s="2709"/>
      <c r="F43" s="2708">
        <v>43890</v>
      </c>
      <c r="G43" s="2709"/>
      <c r="H43" s="2708">
        <v>43921</v>
      </c>
      <c r="I43" s="2709"/>
      <c r="J43" s="2708">
        <v>43951</v>
      </c>
      <c r="K43" s="2709"/>
      <c r="L43" s="2708">
        <v>43982</v>
      </c>
      <c r="M43" s="2709"/>
      <c r="N43" s="2705">
        <v>44012</v>
      </c>
      <c r="O43" s="2706"/>
      <c r="P43" s="2705">
        <v>44043</v>
      </c>
      <c r="Q43" s="2706"/>
      <c r="R43" s="2705">
        <v>44074</v>
      </c>
      <c r="S43" s="2706"/>
      <c r="T43" s="2705">
        <v>44104</v>
      </c>
      <c r="U43" s="2706"/>
      <c r="V43" s="2705">
        <v>44135</v>
      </c>
      <c r="W43" s="2706"/>
      <c r="X43" s="2705">
        <v>44165</v>
      </c>
      <c r="Y43" s="2706"/>
      <c r="Z43" s="2705">
        <v>44196</v>
      </c>
      <c r="AA43" s="2706"/>
      <c r="AB43" s="2705">
        <v>44227</v>
      </c>
      <c r="AC43" s="2706"/>
      <c r="AD43" s="2705">
        <v>44255</v>
      </c>
      <c r="AE43" s="2706"/>
      <c r="AF43" s="2705">
        <v>44286</v>
      </c>
      <c r="AG43" s="2706"/>
      <c r="AH43" s="2705">
        <v>44316</v>
      </c>
      <c r="AI43" s="2706"/>
      <c r="AJ43" s="2705">
        <v>44347</v>
      </c>
      <c r="AK43" s="2706"/>
      <c r="AL43" s="2705">
        <v>44377</v>
      </c>
      <c r="AM43" s="2706"/>
      <c r="AN43" s="2705">
        <v>44408</v>
      </c>
      <c r="AO43" s="2706"/>
      <c r="AP43" s="2708">
        <v>44439</v>
      </c>
      <c r="AQ43" s="2709"/>
      <c r="AR43" s="2708">
        <v>44469</v>
      </c>
      <c r="AS43" s="2709"/>
      <c r="AT43" s="2707">
        <v>44500</v>
      </c>
      <c r="AU43" s="2706"/>
      <c r="AV43" s="2705">
        <v>44530</v>
      </c>
      <c r="AW43" s="2706"/>
      <c r="AX43" s="2705">
        <v>44561</v>
      </c>
      <c r="AY43" s="2706"/>
      <c r="AZ43" s="2705">
        <v>44592</v>
      </c>
      <c r="BA43" s="2706"/>
      <c r="BB43" s="2705">
        <v>44620</v>
      </c>
      <c r="BC43" s="2706"/>
      <c r="BD43" s="2705">
        <v>44651</v>
      </c>
      <c r="BE43" s="2706"/>
      <c r="BF43" s="2705">
        <v>44681</v>
      </c>
      <c r="BG43" s="2706"/>
      <c r="BH43" s="2705">
        <v>44712</v>
      </c>
      <c r="BI43" s="2706"/>
      <c r="BJ43" s="2705">
        <v>44742</v>
      </c>
      <c r="BK43" s="2706"/>
      <c r="BL43" s="2705">
        <v>44773</v>
      </c>
      <c r="BM43" s="2706"/>
      <c r="BN43" s="2705">
        <v>44804</v>
      </c>
      <c r="BO43" s="2706"/>
      <c r="BP43" s="2705">
        <v>44834</v>
      </c>
      <c r="BQ43" s="2706"/>
      <c r="BR43" s="2705">
        <v>44865</v>
      </c>
      <c r="BS43" s="2706"/>
      <c r="BT43" s="2705">
        <v>44895</v>
      </c>
      <c r="BU43" s="2706"/>
      <c r="BV43" s="2705">
        <v>44926</v>
      </c>
      <c r="BW43" s="2706"/>
      <c r="BX43" s="2705">
        <v>44957</v>
      </c>
      <c r="BY43" s="2706"/>
      <c r="BZ43" s="2705">
        <v>44985</v>
      </c>
      <c r="CA43" s="2706"/>
      <c r="CB43" s="2705">
        <v>45016</v>
      </c>
      <c r="CC43" s="2707"/>
      <c r="CD43" s="2705">
        <v>45046</v>
      </c>
      <c r="CE43" s="2707"/>
      <c r="CF43" s="2705">
        <v>45077</v>
      </c>
      <c r="CG43" s="2707"/>
      <c r="CH43" s="2705">
        <v>45107</v>
      </c>
      <c r="CI43" s="2707"/>
      <c r="CJ43" s="2705">
        <v>45138</v>
      </c>
      <c r="CK43" s="2707"/>
      <c r="CL43" s="2705">
        <v>45169</v>
      </c>
      <c r="CM43" s="2707"/>
      <c r="CN43" s="2705">
        <v>45199</v>
      </c>
      <c r="CO43" s="2707"/>
      <c r="CP43" s="2705">
        <v>45230</v>
      </c>
      <c r="CQ43" s="2707"/>
      <c r="CR43" s="2705">
        <v>45260</v>
      </c>
      <c r="CS43" s="2707"/>
      <c r="CT43" s="2705">
        <v>45291</v>
      </c>
      <c r="CU43" s="2707"/>
      <c r="CV43" s="2705">
        <v>45322</v>
      </c>
      <c r="CW43" s="2707"/>
      <c r="CX43" s="2705">
        <v>45351</v>
      </c>
      <c r="CY43" s="2707"/>
      <c r="CZ43" s="2705">
        <v>45382</v>
      </c>
      <c r="DA43" s="2707"/>
      <c r="DB43" s="2705">
        <v>45412</v>
      </c>
      <c r="DC43" s="2707"/>
      <c r="DD43" s="2705">
        <v>45443</v>
      </c>
      <c r="DE43" s="2707"/>
      <c r="DF43" s="2705">
        <v>45473</v>
      </c>
      <c r="DG43" s="2707"/>
      <c r="DH43" s="2705">
        <v>45504</v>
      </c>
      <c r="DI43" s="2706"/>
      <c r="DJ43" s="2705">
        <v>45535</v>
      </c>
      <c r="DK43" s="2706"/>
      <c r="DL43" s="2705">
        <v>45565</v>
      </c>
      <c r="DM43" s="2706"/>
      <c r="DN43" s="2705">
        <v>45596</v>
      </c>
      <c r="DO43" s="2729"/>
      <c r="DP43" s="2705">
        <v>45626</v>
      </c>
      <c r="DQ43" s="2729"/>
      <c r="DR43" s="2705">
        <v>45657</v>
      </c>
      <c r="DS43" s="2729"/>
      <c r="DT43" s="2728">
        <v>45688</v>
      </c>
      <c r="DU43" s="2706"/>
      <c r="DV43" s="2705">
        <v>45716</v>
      </c>
      <c r="DW43" s="2729"/>
      <c r="DX43" s="2705">
        <v>45747</v>
      </c>
      <c r="DY43" s="2706"/>
      <c r="DZ43" s="2705">
        <v>45777</v>
      </c>
      <c r="EA43" s="2706"/>
      <c r="EB43" s="2705">
        <v>45808</v>
      </c>
      <c r="EC43" s="2706"/>
      <c r="ED43" s="2705">
        <v>45838</v>
      </c>
      <c r="EE43" s="2706"/>
      <c r="EF43" s="2705">
        <v>45869</v>
      </c>
      <c r="EG43" s="2706"/>
      <c r="EH43" s="2705">
        <v>45900</v>
      </c>
      <c r="EI43" s="2706"/>
      <c r="EJ43" s="2705">
        <v>45930</v>
      </c>
      <c r="EK43" s="2706"/>
      <c r="EL43" s="2705">
        <v>45961</v>
      </c>
      <c r="EM43" s="2706"/>
      <c r="EN43" s="2705">
        <v>45991</v>
      </c>
      <c r="EO43" s="2706"/>
      <c r="EP43" s="2705">
        <v>46022</v>
      </c>
      <c r="EQ43" s="2706"/>
      <c r="ER43" s="2705">
        <f>ER6</f>
        <v>46053</v>
      </c>
      <c r="ES43" s="2706"/>
      <c r="ET43" s="2705">
        <v>46081</v>
      </c>
      <c r="EU43" s="2706"/>
      <c r="EV43" s="2705">
        <v>46112</v>
      </c>
      <c r="EW43" s="2706"/>
      <c r="EX43" s="2705">
        <v>46142</v>
      </c>
      <c r="EY43" s="2706"/>
      <c r="EZ43" s="2705">
        <v>46173</v>
      </c>
      <c r="FA43" s="2706"/>
      <c r="FB43" s="2705">
        <v>46203</v>
      </c>
      <c r="FC43" s="2706"/>
      <c r="FD43" s="2722" t="s">
        <v>3584</v>
      </c>
    </row>
    <row r="44" spans="1:163" s="1033" customFormat="1" ht="42.75" customHeight="1" thickBot="1">
      <c r="A44" s="2723"/>
      <c r="B44" s="1042" t="s">
        <v>155</v>
      </c>
      <c r="C44" s="1043" t="s">
        <v>2980</v>
      </c>
      <c r="D44" s="1043" t="s">
        <v>155</v>
      </c>
      <c r="E44" s="1043" t="s">
        <v>2980</v>
      </c>
      <c r="F44" s="1043" t="s">
        <v>155</v>
      </c>
      <c r="G44" s="1043" t="s">
        <v>2980</v>
      </c>
      <c r="H44" s="1043" t="s">
        <v>155</v>
      </c>
      <c r="I44" s="1043" t="s">
        <v>2980</v>
      </c>
      <c r="J44" s="1043" t="s">
        <v>155</v>
      </c>
      <c r="K44" s="1043" t="s">
        <v>2980</v>
      </c>
      <c r="L44" s="1043" t="s">
        <v>155</v>
      </c>
      <c r="M44" s="1044" t="s">
        <v>2980</v>
      </c>
      <c r="N44" s="1044" t="s">
        <v>155</v>
      </c>
      <c r="O44" s="1044" t="s">
        <v>2980</v>
      </c>
      <c r="P44" s="1044" t="s">
        <v>155</v>
      </c>
      <c r="Q44" s="1044" t="s">
        <v>2980</v>
      </c>
      <c r="R44" s="1044" t="s">
        <v>155</v>
      </c>
      <c r="S44" s="1044" t="s">
        <v>2980</v>
      </c>
      <c r="T44" s="1044" t="s">
        <v>155</v>
      </c>
      <c r="U44" s="1044" t="s">
        <v>2980</v>
      </c>
      <c r="V44" s="1044" t="s">
        <v>155</v>
      </c>
      <c r="W44" s="1044" t="s">
        <v>2980</v>
      </c>
      <c r="X44" s="1044" t="s">
        <v>155</v>
      </c>
      <c r="Y44" s="1044" t="s">
        <v>2980</v>
      </c>
      <c r="Z44" s="1044" t="s">
        <v>155</v>
      </c>
      <c r="AA44" s="1044" t="s">
        <v>2980</v>
      </c>
      <c r="AB44" s="1044" t="s">
        <v>155</v>
      </c>
      <c r="AC44" s="1044" t="s">
        <v>2980</v>
      </c>
      <c r="AD44" s="1044" t="s">
        <v>155</v>
      </c>
      <c r="AE44" s="1044" t="s">
        <v>2980</v>
      </c>
      <c r="AF44" s="1044" t="s">
        <v>155</v>
      </c>
      <c r="AG44" s="1044" t="s">
        <v>2980</v>
      </c>
      <c r="AH44" s="1044" t="s">
        <v>155</v>
      </c>
      <c r="AI44" s="1044" t="s">
        <v>2980</v>
      </c>
      <c r="AJ44" s="1044" t="s">
        <v>155</v>
      </c>
      <c r="AK44" s="1044" t="s">
        <v>2980</v>
      </c>
      <c r="AL44" s="1044" t="s">
        <v>155</v>
      </c>
      <c r="AM44" s="1044" t="s">
        <v>2980</v>
      </c>
      <c r="AN44" s="1044" t="s">
        <v>155</v>
      </c>
      <c r="AO44" s="1043" t="s">
        <v>2980</v>
      </c>
      <c r="AP44" s="1043" t="s">
        <v>155</v>
      </c>
      <c r="AQ44" s="1043" t="s">
        <v>2980</v>
      </c>
      <c r="AR44" s="1043" t="s">
        <v>155</v>
      </c>
      <c r="AS44" s="1043" t="s">
        <v>2980</v>
      </c>
      <c r="AT44" s="1044" t="s">
        <v>155</v>
      </c>
      <c r="AU44" s="1043" t="s">
        <v>2980</v>
      </c>
      <c r="AV44" s="1044" t="s">
        <v>155</v>
      </c>
      <c r="AW44" s="1044" t="s">
        <v>2980</v>
      </c>
      <c r="AX44" s="1044" t="s">
        <v>155</v>
      </c>
      <c r="AY44" s="1044" t="s">
        <v>2980</v>
      </c>
      <c r="AZ44" s="1044" t="s">
        <v>155</v>
      </c>
      <c r="BA44" s="1044" t="s">
        <v>2980</v>
      </c>
      <c r="BB44" s="1044" t="s">
        <v>155</v>
      </c>
      <c r="BC44" s="1044" t="s">
        <v>2980</v>
      </c>
      <c r="BD44" s="1044" t="s">
        <v>155</v>
      </c>
      <c r="BE44" s="1044" t="s">
        <v>2980</v>
      </c>
      <c r="BF44" s="1044" t="s">
        <v>155</v>
      </c>
      <c r="BG44" s="1044" t="s">
        <v>2980</v>
      </c>
      <c r="BH44" s="1044" t="s">
        <v>155</v>
      </c>
      <c r="BI44" s="1044" t="s">
        <v>2980</v>
      </c>
      <c r="BJ44" s="1044" t="s">
        <v>155</v>
      </c>
      <c r="BK44" s="1044" t="s">
        <v>2980</v>
      </c>
      <c r="BL44" s="1044" t="s">
        <v>155</v>
      </c>
      <c r="BM44" s="1044" t="s">
        <v>2980</v>
      </c>
      <c r="BN44" s="1044" t="s">
        <v>155</v>
      </c>
      <c r="BO44" s="1044" t="s">
        <v>2980</v>
      </c>
      <c r="BP44" s="1044" t="s">
        <v>155</v>
      </c>
      <c r="BQ44" s="1044" t="s">
        <v>2980</v>
      </c>
      <c r="BR44" s="1044" t="s">
        <v>155</v>
      </c>
      <c r="BS44" s="1044" t="s">
        <v>2980</v>
      </c>
      <c r="BT44" s="1044" t="s">
        <v>155</v>
      </c>
      <c r="BU44" s="1044" t="s">
        <v>2980</v>
      </c>
      <c r="BV44" s="1044" t="s">
        <v>155</v>
      </c>
      <c r="BW44" s="1044" t="s">
        <v>2980</v>
      </c>
      <c r="BX44" s="1044" t="s">
        <v>155</v>
      </c>
      <c r="BY44" s="1044" t="s">
        <v>2980</v>
      </c>
      <c r="BZ44" s="1044" t="s">
        <v>155</v>
      </c>
      <c r="CA44" s="1044" t="s">
        <v>2980</v>
      </c>
      <c r="CB44" s="1044" t="s">
        <v>155</v>
      </c>
      <c r="CC44" s="1302" t="s">
        <v>2980</v>
      </c>
      <c r="CD44" s="1302" t="s">
        <v>155</v>
      </c>
      <c r="CE44" s="1302" t="s">
        <v>2980</v>
      </c>
      <c r="CF44" s="1044" t="s">
        <v>155</v>
      </c>
      <c r="CG44" s="1302" t="s">
        <v>2980</v>
      </c>
      <c r="CH44" s="1302" t="s">
        <v>155</v>
      </c>
      <c r="CI44" s="1302" t="s">
        <v>2980</v>
      </c>
      <c r="CJ44" s="1044" t="s">
        <v>155</v>
      </c>
      <c r="CK44" s="1302" t="s">
        <v>2980</v>
      </c>
      <c r="CL44" s="1044" t="s">
        <v>155</v>
      </c>
      <c r="CM44" s="1302" t="s">
        <v>2980</v>
      </c>
      <c r="CN44" s="1302" t="s">
        <v>155</v>
      </c>
      <c r="CO44" s="1302" t="s">
        <v>2980</v>
      </c>
      <c r="CP44" s="1044" t="s">
        <v>155</v>
      </c>
      <c r="CQ44" s="1302" t="s">
        <v>2980</v>
      </c>
      <c r="CR44" s="1302" t="s">
        <v>155</v>
      </c>
      <c r="CS44" s="1302" t="s">
        <v>2980</v>
      </c>
      <c r="CT44" s="1044" t="s">
        <v>155</v>
      </c>
      <c r="CU44" s="1302" t="s">
        <v>2980</v>
      </c>
      <c r="CV44" s="1044" t="s">
        <v>155</v>
      </c>
      <c r="CW44" s="1302" t="s">
        <v>2980</v>
      </c>
      <c r="CX44" s="1044" t="s">
        <v>155</v>
      </c>
      <c r="CY44" s="1302" t="s">
        <v>2980</v>
      </c>
      <c r="CZ44" s="1044" t="s">
        <v>155</v>
      </c>
      <c r="DA44" s="1302" t="s">
        <v>2980</v>
      </c>
      <c r="DB44" s="1044" t="s">
        <v>155</v>
      </c>
      <c r="DC44" s="1302" t="s">
        <v>2980</v>
      </c>
      <c r="DD44" s="1044" t="s">
        <v>155</v>
      </c>
      <c r="DE44" s="1302" t="s">
        <v>2980</v>
      </c>
      <c r="DF44" s="1044" t="s">
        <v>155</v>
      </c>
      <c r="DG44" s="1302" t="s">
        <v>2980</v>
      </c>
      <c r="DH44" s="1044" t="s">
        <v>155</v>
      </c>
      <c r="DI44" s="1044" t="s">
        <v>2980</v>
      </c>
      <c r="DJ44" s="1044" t="s">
        <v>155</v>
      </c>
      <c r="DK44" s="1044" t="s">
        <v>2980</v>
      </c>
      <c r="DL44" s="1044" t="s">
        <v>155</v>
      </c>
      <c r="DM44" s="1044" t="s">
        <v>2980</v>
      </c>
      <c r="DN44" s="1044" t="s">
        <v>155</v>
      </c>
      <c r="DO44" s="1044" t="s">
        <v>2980</v>
      </c>
      <c r="DP44" s="1044" t="s">
        <v>155</v>
      </c>
      <c r="DQ44" s="1044" t="s">
        <v>2980</v>
      </c>
      <c r="DR44" s="1044" t="s">
        <v>155</v>
      </c>
      <c r="DS44" s="1044" t="s">
        <v>2980</v>
      </c>
      <c r="DT44" s="1044" t="s">
        <v>155</v>
      </c>
      <c r="DU44" s="1044" t="s">
        <v>2980</v>
      </c>
      <c r="DV44" s="1044" t="s">
        <v>155</v>
      </c>
      <c r="DW44" s="1044" t="s">
        <v>2980</v>
      </c>
      <c r="DX44" s="1044" t="s">
        <v>155</v>
      </c>
      <c r="DY44" s="1044" t="s">
        <v>2980</v>
      </c>
      <c r="DZ44" s="1044" t="s">
        <v>155</v>
      </c>
      <c r="EA44" s="1044" t="s">
        <v>2980</v>
      </c>
      <c r="EB44" s="1044" t="s">
        <v>155</v>
      </c>
      <c r="EC44" s="1044" t="s">
        <v>2980</v>
      </c>
      <c r="ED44" s="1044" t="s">
        <v>155</v>
      </c>
      <c r="EE44" s="1044" t="s">
        <v>2980</v>
      </c>
      <c r="EF44" s="1044" t="s">
        <v>155</v>
      </c>
      <c r="EG44" s="1044" t="s">
        <v>2980</v>
      </c>
      <c r="EH44" s="1044" t="s">
        <v>155</v>
      </c>
      <c r="EI44" s="1044" t="s">
        <v>2980</v>
      </c>
      <c r="EJ44" s="1044" t="s">
        <v>155</v>
      </c>
      <c r="EK44" s="1044" t="s">
        <v>2980</v>
      </c>
      <c r="EL44" s="1044" t="s">
        <v>155</v>
      </c>
      <c r="EM44" s="1044" t="s">
        <v>2980</v>
      </c>
      <c r="EN44" s="1044" t="s">
        <v>155</v>
      </c>
      <c r="EO44" s="1044" t="s">
        <v>2980</v>
      </c>
      <c r="EP44" s="1044" t="s">
        <v>155</v>
      </c>
      <c r="EQ44" s="1044" t="s">
        <v>2980</v>
      </c>
      <c r="ER44" s="1044" t="s">
        <v>155</v>
      </c>
      <c r="ES44" s="1044" t="s">
        <v>2980</v>
      </c>
      <c r="ET44" s="1044" t="s">
        <v>155</v>
      </c>
      <c r="EU44" s="1044" t="s">
        <v>2980</v>
      </c>
      <c r="EV44" s="1044" t="s">
        <v>155</v>
      </c>
      <c r="EW44" s="1044" t="s">
        <v>2980</v>
      </c>
      <c r="EX44" s="1044" t="s">
        <v>155</v>
      </c>
      <c r="EY44" s="1044" t="s">
        <v>2980</v>
      </c>
      <c r="EZ44" s="1044" t="s">
        <v>155</v>
      </c>
      <c r="FA44" s="1044" t="s">
        <v>2980</v>
      </c>
      <c r="FB44" s="1044" t="s">
        <v>155</v>
      </c>
      <c r="FC44" s="1044" t="s">
        <v>2980</v>
      </c>
      <c r="FD44" s="2723"/>
    </row>
    <row r="45" spans="1:163" ht="18" customHeight="1">
      <c r="A45" s="1051" t="s">
        <v>2229</v>
      </c>
      <c r="B45" s="1052">
        <v>4257.9617134878599</v>
      </c>
      <c r="C45" s="1052">
        <v>0</v>
      </c>
      <c r="D45" s="1052">
        <v>4307.4198431908098</v>
      </c>
      <c r="E45" s="1052">
        <v>0</v>
      </c>
      <c r="F45" s="1052">
        <v>4348.6656216912697</v>
      </c>
      <c r="G45" s="1052">
        <v>0</v>
      </c>
      <c r="H45" s="1052">
        <v>4408.1519801664499</v>
      </c>
      <c r="I45" s="1052">
        <v>0</v>
      </c>
      <c r="J45" s="1052">
        <v>4243.3272628137202</v>
      </c>
      <c r="K45" s="1052">
        <v>0</v>
      </c>
      <c r="L45" s="1052">
        <v>4244.4240898530197</v>
      </c>
      <c r="M45" s="1052">
        <v>0</v>
      </c>
      <c r="N45" s="1052">
        <v>4291.1048650420198</v>
      </c>
      <c r="O45" s="1052">
        <v>0</v>
      </c>
      <c r="P45" s="1052">
        <v>4336.1320081519198</v>
      </c>
      <c r="Q45" s="1052">
        <v>0</v>
      </c>
      <c r="R45" s="1052">
        <v>4387.7121877811296</v>
      </c>
      <c r="S45" s="1052">
        <v>0</v>
      </c>
      <c r="T45" s="1052">
        <v>4303.3896301985797</v>
      </c>
      <c r="U45" s="1052">
        <v>0</v>
      </c>
      <c r="V45" s="1052">
        <v>4279.4154486283096</v>
      </c>
      <c r="W45" s="1052">
        <v>0</v>
      </c>
      <c r="X45" s="1052">
        <v>4349.5690064605496</v>
      </c>
      <c r="Y45" s="1052">
        <v>0</v>
      </c>
      <c r="Z45" s="1052">
        <v>4382.8843674853097</v>
      </c>
      <c r="AA45" s="1052">
        <v>0</v>
      </c>
      <c r="AB45" s="1052">
        <v>4391.0314089588001</v>
      </c>
      <c r="AC45" s="1052">
        <v>0</v>
      </c>
      <c r="AD45" s="1052">
        <v>4438.8555008718004</v>
      </c>
      <c r="AE45" s="1052">
        <v>0</v>
      </c>
      <c r="AF45" s="1052">
        <v>4518.53998906787</v>
      </c>
      <c r="AG45" s="1052">
        <v>0</v>
      </c>
      <c r="AH45" s="1052">
        <v>4401.09138321707</v>
      </c>
      <c r="AI45" s="1052">
        <v>0</v>
      </c>
      <c r="AJ45" s="1052">
        <v>4421.8851639925397</v>
      </c>
      <c r="AK45" s="1052">
        <v>0</v>
      </c>
      <c r="AL45" s="1052">
        <v>4518.9997558170398</v>
      </c>
      <c r="AM45" s="1052">
        <v>0</v>
      </c>
      <c r="AN45" s="1052">
        <v>4434.5737748400397</v>
      </c>
      <c r="AO45" s="1052">
        <v>0</v>
      </c>
      <c r="AP45" s="1052">
        <v>4480.9567757552004</v>
      </c>
      <c r="AQ45" s="1052">
        <v>0</v>
      </c>
      <c r="AR45" s="1052">
        <v>4532.36760503</v>
      </c>
      <c r="AS45" s="1052">
        <v>0</v>
      </c>
      <c r="AT45" s="1052">
        <v>4590.7742666201702</v>
      </c>
      <c r="AU45" s="1052">
        <v>0</v>
      </c>
      <c r="AV45" s="1052">
        <v>4620.2757534499997</v>
      </c>
      <c r="AW45" s="1052">
        <v>0</v>
      </c>
      <c r="AX45" s="1052">
        <v>4607.7813907157497</v>
      </c>
      <c r="AY45" s="1052">
        <v>0</v>
      </c>
      <c r="AZ45" s="1052">
        <v>4663.7094914863001</v>
      </c>
      <c r="BA45" s="1052">
        <v>0</v>
      </c>
      <c r="BB45" s="1052">
        <v>4707.9533749744996</v>
      </c>
      <c r="BC45" s="1052">
        <v>0</v>
      </c>
      <c r="BD45" s="1052">
        <v>4620.9125135297099</v>
      </c>
      <c r="BE45" s="1052">
        <v>0</v>
      </c>
      <c r="BF45" s="1052">
        <v>4663.9026236007003</v>
      </c>
      <c r="BG45" s="1052">
        <v>0</v>
      </c>
      <c r="BH45" s="1052">
        <v>4743.8985605159996</v>
      </c>
      <c r="BI45" s="1052">
        <v>0</v>
      </c>
      <c r="BJ45" s="1052">
        <v>4803.7141631643199</v>
      </c>
      <c r="BK45" s="1052">
        <v>0</v>
      </c>
      <c r="BL45" s="1052">
        <v>4790.9808576415398</v>
      </c>
      <c r="BM45" s="1052">
        <v>0</v>
      </c>
      <c r="BN45" s="1052">
        <v>4899.7445418115403</v>
      </c>
      <c r="BO45" s="1052">
        <v>0</v>
      </c>
      <c r="BP45" s="1052">
        <v>4971.4914196085201</v>
      </c>
      <c r="BQ45" s="1052">
        <v>0</v>
      </c>
      <c r="BR45" s="1052">
        <v>5048.8744589048201</v>
      </c>
      <c r="BS45" s="1052">
        <v>0</v>
      </c>
      <c r="BT45" s="1052">
        <v>5142.3962917609997</v>
      </c>
      <c r="BU45" s="1052">
        <v>0</v>
      </c>
      <c r="BV45" s="1052">
        <v>5207.63643744614</v>
      </c>
      <c r="BW45" s="1052">
        <v>0</v>
      </c>
      <c r="BX45" s="1052">
        <v>5236.1981715687498</v>
      </c>
      <c r="BY45" s="1052"/>
      <c r="BZ45" s="1052">
        <v>5301.7027492553798</v>
      </c>
      <c r="CA45" s="1052"/>
      <c r="CB45" s="1052">
        <v>5411.9166524537504</v>
      </c>
      <c r="CC45" s="1310"/>
      <c r="CD45" s="1310">
        <v>5361.5744234999502</v>
      </c>
      <c r="CE45" s="1310"/>
      <c r="CF45" s="1052">
        <v>5389.7448504111098</v>
      </c>
      <c r="CG45" s="1310">
        <v>0</v>
      </c>
      <c r="CH45" s="1310">
        <v>5477.3464039471701</v>
      </c>
      <c r="CI45" s="1310"/>
      <c r="CJ45" s="1052">
        <v>5399.0546256961197</v>
      </c>
      <c r="CK45" s="1310"/>
      <c r="CL45" s="1052">
        <v>5437.7777928482901</v>
      </c>
      <c r="CM45" s="1310"/>
      <c r="CN45" s="1310">
        <v>5546.4778823828001</v>
      </c>
      <c r="CO45" s="1310"/>
      <c r="CP45" s="1052">
        <v>5480.8700956451603</v>
      </c>
      <c r="CQ45" s="1310"/>
      <c r="CR45" s="1310">
        <v>5570.1332107211902</v>
      </c>
      <c r="CS45" s="1310"/>
      <c r="CT45" s="1052">
        <v>5581.3410573281999</v>
      </c>
      <c r="CU45" s="1310"/>
      <c r="CV45" s="1052">
        <v>5680.9214189100003</v>
      </c>
      <c r="CW45" s="1310"/>
      <c r="CX45" s="1052">
        <v>5716.5546972900001</v>
      </c>
      <c r="CY45" s="1310"/>
      <c r="CZ45" s="1052">
        <v>5821.9903960600004</v>
      </c>
      <c r="DA45" s="1310"/>
      <c r="DB45" s="1052">
        <v>5838.2680155792104</v>
      </c>
      <c r="DC45" s="1310"/>
      <c r="DD45" s="1310">
        <v>5841.5926527399997</v>
      </c>
      <c r="DE45" s="1310"/>
      <c r="DF45" s="1052">
        <v>5733.2961809357703</v>
      </c>
      <c r="DG45" s="1310"/>
      <c r="DH45" s="1052">
        <v>5708.7442634199997</v>
      </c>
      <c r="DI45" s="1052"/>
      <c r="DJ45" s="1052">
        <v>5794.8773088400003</v>
      </c>
      <c r="DK45" s="1052"/>
      <c r="DL45" s="1052">
        <v>5759.8403099300003</v>
      </c>
      <c r="DM45" s="1052"/>
      <c r="DN45" s="1052">
        <v>5900.2633529699997</v>
      </c>
      <c r="DO45" s="1052"/>
      <c r="DP45" s="1052">
        <v>5953.0753427</v>
      </c>
      <c r="DQ45" s="1052"/>
      <c r="DR45" s="1052">
        <v>6031.8599192399997</v>
      </c>
      <c r="DS45" s="1052"/>
      <c r="DT45" s="1052">
        <v>6102.8099311699998</v>
      </c>
      <c r="DU45" s="1052"/>
      <c r="DV45" s="1052">
        <v>6196.7976533392903</v>
      </c>
      <c r="DW45" s="1052"/>
      <c r="DX45" s="1052">
        <v>6268.97680459</v>
      </c>
      <c r="DY45" s="1052"/>
      <c r="DZ45" s="1052">
        <v>6358.8472553000001</v>
      </c>
      <c r="EA45" s="1052"/>
      <c r="EB45" s="1052">
        <v>6235.7771877699997</v>
      </c>
      <c r="EC45" s="1052"/>
      <c r="ED45" s="1052">
        <v>6337.5444428246101</v>
      </c>
      <c r="EE45" s="1052"/>
      <c r="EF45" s="1052">
        <v>6401.76144716</v>
      </c>
      <c r="EG45" s="1052"/>
      <c r="EH45" s="1052">
        <v>6463.8964836300001</v>
      </c>
      <c r="EI45" s="1052"/>
      <c r="EJ45" s="1052">
        <v>6547.22595327</v>
      </c>
      <c r="EK45" s="1052"/>
      <c r="EL45" s="1052">
        <v>6534.6898887400002</v>
      </c>
      <c r="EM45" s="1052"/>
      <c r="EN45" s="1052">
        <v>6606.7299979899999</v>
      </c>
      <c r="EO45" s="1052"/>
      <c r="EP45" s="1052">
        <v>6698.8034423680001</v>
      </c>
      <c r="EQ45" s="1052"/>
      <c r="ER45" s="1052">
        <v>6763.8354775196003</v>
      </c>
      <c r="ES45" s="1052"/>
      <c r="ET45" s="1052">
        <v>6873.3637983889002</v>
      </c>
      <c r="EU45" s="1052"/>
      <c r="EV45" s="1052">
        <v>7055.502729156</v>
      </c>
      <c r="EW45" s="1052"/>
      <c r="EX45" s="1052">
        <v>7040.7025265845195</v>
      </c>
      <c r="EY45" s="1052"/>
      <c r="EZ45" s="1052">
        <v>6945.2791051518298</v>
      </c>
      <c r="FA45" s="1052"/>
      <c r="FB45" s="1052">
        <v>7020.5608106011996</v>
      </c>
      <c r="FC45" s="1052"/>
      <c r="FD45" s="1051" t="s">
        <v>3585</v>
      </c>
    </row>
    <row r="46" spans="1:163" ht="18" customHeight="1">
      <c r="A46" s="1053" t="s">
        <v>2228</v>
      </c>
      <c r="B46" s="1037">
        <v>325.03180210104398</v>
      </c>
      <c r="C46" s="1037">
        <v>0</v>
      </c>
      <c r="D46" s="1037">
        <v>336.78699184043597</v>
      </c>
      <c r="E46" s="1037">
        <v>0</v>
      </c>
      <c r="F46" s="1037">
        <v>342.34170538846399</v>
      </c>
      <c r="G46" s="1037">
        <v>0</v>
      </c>
      <c r="H46" s="1037">
        <v>332.85358624824198</v>
      </c>
      <c r="I46" s="1037">
        <v>0</v>
      </c>
      <c r="J46" s="1037">
        <v>318.10022260447101</v>
      </c>
      <c r="K46" s="1037">
        <v>0</v>
      </c>
      <c r="L46" s="1037">
        <v>315.01915555888797</v>
      </c>
      <c r="M46" s="1037">
        <v>0</v>
      </c>
      <c r="N46" s="1037">
        <v>311.48709497001698</v>
      </c>
      <c r="O46" s="1037">
        <v>0</v>
      </c>
      <c r="P46" s="1037">
        <v>319.21431133750201</v>
      </c>
      <c r="Q46" s="1037">
        <v>0</v>
      </c>
      <c r="R46" s="1037">
        <v>326.69888213528901</v>
      </c>
      <c r="S46" s="1037">
        <v>0</v>
      </c>
      <c r="T46" s="1037">
        <v>320.911284207476</v>
      </c>
      <c r="U46" s="1037">
        <v>0</v>
      </c>
      <c r="V46" s="1037">
        <v>314.34156685697099</v>
      </c>
      <c r="W46" s="1037">
        <v>0</v>
      </c>
      <c r="X46" s="1037">
        <v>311.55645648043901</v>
      </c>
      <c r="Y46" s="1037">
        <v>0</v>
      </c>
      <c r="Z46" s="1037">
        <v>316.36482083149002</v>
      </c>
      <c r="AA46" s="1037">
        <v>0</v>
      </c>
      <c r="AB46" s="1037">
        <v>329.70853555387498</v>
      </c>
      <c r="AC46" s="1037">
        <v>0</v>
      </c>
      <c r="AD46" s="1037">
        <v>326.92706036094899</v>
      </c>
      <c r="AE46" s="1037">
        <v>0</v>
      </c>
      <c r="AF46" s="1037">
        <v>330.82969954752099</v>
      </c>
      <c r="AG46" s="1037">
        <v>0</v>
      </c>
      <c r="AH46" s="1037">
        <v>330.03614782129199</v>
      </c>
      <c r="AI46" s="1037">
        <v>0</v>
      </c>
      <c r="AJ46" s="1037">
        <v>330.59946738031601</v>
      </c>
      <c r="AK46" s="1037">
        <v>0</v>
      </c>
      <c r="AL46" s="1037">
        <v>330.71137519555299</v>
      </c>
      <c r="AM46" s="1037">
        <v>0</v>
      </c>
      <c r="AN46" s="1037">
        <v>333.87394864008098</v>
      </c>
      <c r="AO46" s="1037">
        <v>0</v>
      </c>
      <c r="AP46" s="1037">
        <v>332.76802157315302</v>
      </c>
      <c r="AQ46" s="1037">
        <v>0</v>
      </c>
      <c r="AR46" s="1037">
        <v>338.99239245506402</v>
      </c>
      <c r="AS46" s="1037">
        <v>0</v>
      </c>
      <c r="AT46" s="1037">
        <v>344.00222716598199</v>
      </c>
      <c r="AU46" s="1037">
        <v>0</v>
      </c>
      <c r="AV46" s="1037">
        <v>351.79246984295202</v>
      </c>
      <c r="AW46" s="1037">
        <v>0</v>
      </c>
      <c r="AX46" s="1037">
        <v>361.552949783972</v>
      </c>
      <c r="AY46" s="1037">
        <v>0</v>
      </c>
      <c r="AZ46" s="1037">
        <v>364.30580440991702</v>
      </c>
      <c r="BA46" s="1037">
        <v>0</v>
      </c>
      <c r="BB46" s="1037">
        <v>353.53285867689101</v>
      </c>
      <c r="BC46" s="1037">
        <v>0</v>
      </c>
      <c r="BD46" s="1037">
        <v>320.60042030748701</v>
      </c>
      <c r="BE46" s="1037">
        <v>0</v>
      </c>
      <c r="BF46" s="1037">
        <v>326.00249203760097</v>
      </c>
      <c r="BG46" s="1037">
        <v>0</v>
      </c>
      <c r="BH46" s="1037">
        <v>334.69426640193598</v>
      </c>
      <c r="BI46" s="1037">
        <v>0</v>
      </c>
      <c r="BJ46" s="1037">
        <v>342.18823913773502</v>
      </c>
      <c r="BK46" s="1037">
        <v>0</v>
      </c>
      <c r="BL46" s="1037">
        <v>348.24495686271501</v>
      </c>
      <c r="BM46" s="1037">
        <v>0</v>
      </c>
      <c r="BN46" s="1037">
        <v>366.98482419269101</v>
      </c>
      <c r="BO46" s="1037">
        <v>0</v>
      </c>
      <c r="BP46" s="1037">
        <v>373.57710624446099</v>
      </c>
      <c r="BQ46" s="1037">
        <v>0</v>
      </c>
      <c r="BR46" s="1037">
        <v>381.12700851278402</v>
      </c>
      <c r="BS46" s="1037">
        <v>0</v>
      </c>
      <c r="BT46" s="1037">
        <v>377.47549654156398</v>
      </c>
      <c r="BU46" s="1037">
        <v>0</v>
      </c>
      <c r="BV46" s="1037">
        <v>414.45730242658999</v>
      </c>
      <c r="BW46" s="1037">
        <v>0</v>
      </c>
      <c r="BX46" s="1037">
        <v>425.49608434322897</v>
      </c>
      <c r="BY46" s="1037"/>
      <c r="BZ46" s="1037">
        <v>434.36356160323498</v>
      </c>
      <c r="CA46" s="1037"/>
      <c r="CB46" s="1037">
        <v>437.35901504557302</v>
      </c>
      <c r="CC46" s="1304"/>
      <c r="CD46" s="1304">
        <v>449.82279939222798</v>
      </c>
      <c r="CE46" s="1304"/>
      <c r="CF46" s="1037">
        <v>447.45621840171202</v>
      </c>
      <c r="CG46" s="1304">
        <v>0</v>
      </c>
      <c r="CH46" s="1304">
        <v>435.36038196325597</v>
      </c>
      <c r="CI46" s="1304"/>
      <c r="CJ46" s="1037">
        <v>440.08475146019799</v>
      </c>
      <c r="CK46" s="1304"/>
      <c r="CL46" s="1037">
        <v>446.84732265707902</v>
      </c>
      <c r="CM46" s="1304"/>
      <c r="CN46" s="1304">
        <v>444.90193530170001</v>
      </c>
      <c r="CO46" s="1304"/>
      <c r="CP46" s="1037">
        <v>425.66816141328098</v>
      </c>
      <c r="CQ46" s="1304"/>
      <c r="CR46" s="1304">
        <v>441.999451656818</v>
      </c>
      <c r="CS46" s="1304"/>
      <c r="CT46" s="1037">
        <v>482.05375889790503</v>
      </c>
      <c r="CU46" s="1304"/>
      <c r="CV46" s="1037">
        <v>471.45566252566698</v>
      </c>
      <c r="CW46" s="1304"/>
      <c r="CX46" s="1037">
        <v>470.68830164068999</v>
      </c>
      <c r="CY46" s="1304"/>
      <c r="CZ46" s="1037">
        <v>475.46405111495397</v>
      </c>
      <c r="DA46" s="1304"/>
      <c r="DB46" s="1037">
        <v>485.65638139947703</v>
      </c>
      <c r="DC46" s="1304"/>
      <c r="DD46" s="1304">
        <v>488.08634199437103</v>
      </c>
      <c r="DE46" s="1304"/>
      <c r="DF46" s="1037">
        <v>508.51601728853501</v>
      </c>
      <c r="DG46" s="1304"/>
      <c r="DH46" s="1037">
        <v>506.27701282757801</v>
      </c>
      <c r="DI46" s="1037"/>
      <c r="DJ46" s="1037">
        <v>516.80670558598604</v>
      </c>
      <c r="DK46" s="1037"/>
      <c r="DL46" s="1037">
        <v>530.94498501451403</v>
      </c>
      <c r="DM46" s="1037"/>
      <c r="DN46" s="1037">
        <v>542.89845802222601</v>
      </c>
      <c r="DO46" s="1037"/>
      <c r="DP46" s="1037">
        <v>548.94476669664004</v>
      </c>
      <c r="DQ46" s="1037"/>
      <c r="DR46" s="1037">
        <v>586.57889303078002</v>
      </c>
      <c r="DS46" s="1037"/>
      <c r="DT46" s="1037">
        <v>585.62617888402497</v>
      </c>
      <c r="DU46" s="1037"/>
      <c r="DV46" s="1037">
        <v>616.41479020480494</v>
      </c>
      <c r="DW46" s="1037"/>
      <c r="DX46" s="1037">
        <v>625.88279129441901</v>
      </c>
      <c r="DY46" s="1037"/>
      <c r="DZ46" s="1037">
        <v>622.75587013230904</v>
      </c>
      <c r="EA46" s="1037"/>
      <c r="EB46" s="1037">
        <v>623.70399671745304</v>
      </c>
      <c r="EC46" s="1037"/>
      <c r="ED46" s="1037">
        <v>608.41976797664597</v>
      </c>
      <c r="EE46" s="1037"/>
      <c r="EF46" s="1037">
        <v>608.62780565394405</v>
      </c>
      <c r="EG46" s="1037"/>
      <c r="EH46" s="1037">
        <v>613.170379176094</v>
      </c>
      <c r="EI46" s="1037"/>
      <c r="EJ46" s="1037">
        <v>622.982865248905</v>
      </c>
      <c r="EK46" s="1037"/>
      <c r="EL46" s="1037">
        <v>625.16019027003495</v>
      </c>
      <c r="EM46" s="1037"/>
      <c r="EN46" s="1037">
        <v>624.403557990992</v>
      </c>
      <c r="EO46" s="1037"/>
      <c r="EP46" s="1037">
        <v>643.66377759083502</v>
      </c>
      <c r="EQ46" s="1037"/>
      <c r="ER46" s="1037">
        <v>643.255121156884</v>
      </c>
      <c r="ES46" s="1037"/>
      <c r="ET46" s="1037">
        <v>642.07772943241503</v>
      </c>
      <c r="EU46" s="1037"/>
      <c r="EV46" s="1037">
        <v>612.75997241215896</v>
      </c>
      <c r="EW46" s="1037"/>
      <c r="EX46" s="1037">
        <v>619.64627705298403</v>
      </c>
      <c r="EY46" s="1037"/>
      <c r="EZ46" s="1037">
        <v>626.29302841140304</v>
      </c>
      <c r="FA46" s="1037"/>
      <c r="FB46" s="1037">
        <v>625.03769062524202</v>
      </c>
      <c r="FC46" s="1037"/>
      <c r="FD46" s="1053" t="s">
        <v>3586</v>
      </c>
    </row>
    <row r="47" spans="1:163" ht="24.75" customHeight="1" thickBot="1">
      <c r="A47" s="1054" t="s">
        <v>2227</v>
      </c>
      <c r="B47" s="1055">
        <v>4582.9935155889098</v>
      </c>
      <c r="C47" s="1055">
        <v>0</v>
      </c>
      <c r="D47" s="1055">
        <v>4644.2068350312502</v>
      </c>
      <c r="E47" s="1055">
        <v>0</v>
      </c>
      <c r="F47" s="1055">
        <v>4691.0073270797402</v>
      </c>
      <c r="G47" s="1055">
        <v>0</v>
      </c>
      <c r="H47" s="1055">
        <v>4741.0055664146903</v>
      </c>
      <c r="I47" s="1055">
        <v>0</v>
      </c>
      <c r="J47" s="1055">
        <v>4561.4274854181904</v>
      </c>
      <c r="K47" s="1055">
        <v>0</v>
      </c>
      <c r="L47" s="1056">
        <v>4559.4432454118996</v>
      </c>
      <c r="M47" s="1056">
        <v>0</v>
      </c>
      <c r="N47" s="1056">
        <v>4602.5919600120296</v>
      </c>
      <c r="O47" s="1056">
        <v>0</v>
      </c>
      <c r="P47" s="1056">
        <v>4655.3463194894202</v>
      </c>
      <c r="Q47" s="1056">
        <v>0</v>
      </c>
      <c r="R47" s="1056">
        <v>4714.4110699164203</v>
      </c>
      <c r="S47" s="1056">
        <v>0</v>
      </c>
      <c r="T47" s="1056">
        <v>4624.3009144060497</v>
      </c>
      <c r="U47" s="1056">
        <v>0</v>
      </c>
      <c r="V47" s="1056">
        <v>4593.7570154852801</v>
      </c>
      <c r="W47" s="1056">
        <v>0</v>
      </c>
      <c r="X47" s="1056">
        <v>4661.1254629409896</v>
      </c>
      <c r="Y47" s="1056">
        <v>0</v>
      </c>
      <c r="Z47" s="1056">
        <v>4699.2491883168004</v>
      </c>
      <c r="AA47" s="1056">
        <v>0</v>
      </c>
      <c r="AB47" s="1056">
        <v>4720.7399445126703</v>
      </c>
      <c r="AC47" s="1056">
        <v>0</v>
      </c>
      <c r="AD47" s="1056">
        <v>4765.7825612327497</v>
      </c>
      <c r="AE47" s="1056">
        <v>0</v>
      </c>
      <c r="AF47" s="1056">
        <v>4849.3696886153903</v>
      </c>
      <c r="AG47" s="1056">
        <v>0</v>
      </c>
      <c r="AH47" s="1056">
        <v>4731.1275310383598</v>
      </c>
      <c r="AI47" s="1056">
        <v>0</v>
      </c>
      <c r="AJ47" s="1056">
        <v>4752.4846313728603</v>
      </c>
      <c r="AK47" s="1056">
        <v>0</v>
      </c>
      <c r="AL47" s="1056">
        <v>4849.7111310125902</v>
      </c>
      <c r="AM47" s="1056">
        <v>0</v>
      </c>
      <c r="AN47" s="1056">
        <v>4768.4477234801197</v>
      </c>
      <c r="AO47" s="1056">
        <v>0</v>
      </c>
      <c r="AP47" s="1056">
        <v>4813.7247973283502</v>
      </c>
      <c r="AQ47" s="1056">
        <v>0</v>
      </c>
      <c r="AR47" s="1056">
        <v>4871.3599974850604</v>
      </c>
      <c r="AS47" s="1056">
        <v>0</v>
      </c>
      <c r="AT47" s="1056">
        <v>4934.7764937861502</v>
      </c>
      <c r="AU47" s="1056">
        <v>0</v>
      </c>
      <c r="AV47" s="1056">
        <v>4972.0682232929503</v>
      </c>
      <c r="AW47" s="1056">
        <v>0</v>
      </c>
      <c r="AX47" s="1056">
        <v>4969.3343404997204</v>
      </c>
      <c r="AY47" s="1056">
        <v>0</v>
      </c>
      <c r="AZ47" s="1056">
        <v>5028.0152958962199</v>
      </c>
      <c r="BA47" s="1056">
        <v>0</v>
      </c>
      <c r="BB47" s="1056">
        <v>5061.4862336513897</v>
      </c>
      <c r="BC47" s="1056">
        <v>0</v>
      </c>
      <c r="BD47" s="1056">
        <v>4941.5129338371898</v>
      </c>
      <c r="BE47" s="1056">
        <v>0</v>
      </c>
      <c r="BF47" s="1056">
        <v>4989.9051156383002</v>
      </c>
      <c r="BG47" s="1056">
        <v>0</v>
      </c>
      <c r="BH47" s="1056">
        <v>5078.5928269179403</v>
      </c>
      <c r="BI47" s="1056">
        <v>0</v>
      </c>
      <c r="BJ47" s="1056">
        <v>5145.9024023020602</v>
      </c>
      <c r="BK47" s="1056">
        <v>0</v>
      </c>
      <c r="BL47" s="1056">
        <v>5139.2258145042497</v>
      </c>
      <c r="BM47" s="1056">
        <v>0</v>
      </c>
      <c r="BN47" s="1056">
        <v>5266.7293660042296</v>
      </c>
      <c r="BO47" s="1056">
        <v>0</v>
      </c>
      <c r="BP47" s="1056">
        <v>5345.0685258529802</v>
      </c>
      <c r="BQ47" s="1056">
        <v>0</v>
      </c>
      <c r="BR47" s="1056">
        <v>5430.00146741761</v>
      </c>
      <c r="BS47" s="1056">
        <v>0</v>
      </c>
      <c r="BT47" s="1056">
        <v>5519.8717883025702</v>
      </c>
      <c r="BU47" s="1056">
        <v>0</v>
      </c>
      <c r="BV47" s="1056">
        <v>5622.0937398727301</v>
      </c>
      <c r="BW47" s="1056">
        <v>0</v>
      </c>
      <c r="BX47" s="1056">
        <v>5661.6942559119798</v>
      </c>
      <c r="BY47" s="1056"/>
      <c r="BZ47" s="1056">
        <v>5736.0663108586104</v>
      </c>
      <c r="CA47" s="1056"/>
      <c r="CB47" s="1056">
        <v>5849.2756674993298</v>
      </c>
      <c r="CC47" s="1311"/>
      <c r="CD47" s="1311">
        <v>5811.3972228921803</v>
      </c>
      <c r="CE47" s="1311"/>
      <c r="CF47" s="1056">
        <v>5837.2010688128203</v>
      </c>
      <c r="CG47" s="1311">
        <v>0</v>
      </c>
      <c r="CH47" s="1311">
        <v>5912.70678591042</v>
      </c>
      <c r="CI47" s="1311"/>
      <c r="CJ47" s="1056">
        <v>5839.1393771563198</v>
      </c>
      <c r="CK47" s="1311"/>
      <c r="CL47" s="1056">
        <v>5884.6251155053696</v>
      </c>
      <c r="CM47" s="1311"/>
      <c r="CN47" s="1311">
        <v>5991.3798176845003</v>
      </c>
      <c r="CO47" s="1311"/>
      <c r="CP47" s="1056">
        <v>5913.6259700084402</v>
      </c>
      <c r="CQ47" s="1311"/>
      <c r="CR47" s="1311">
        <v>6012.1326623780096</v>
      </c>
      <c r="CS47" s="1311"/>
      <c r="CT47" s="1056">
        <v>6063.3548162261104</v>
      </c>
      <c r="CU47" s="1311"/>
      <c r="CV47" s="1056">
        <v>6152.3770814356703</v>
      </c>
      <c r="CW47" s="1311"/>
      <c r="CX47" s="1056">
        <v>6187.2529989306904</v>
      </c>
      <c r="CY47" s="1311"/>
      <c r="CZ47" s="1056">
        <v>6297.4544471749596</v>
      </c>
      <c r="DA47" s="1311"/>
      <c r="DB47" s="1056">
        <v>6323.9243969786903</v>
      </c>
      <c r="DC47" s="1311"/>
      <c r="DD47" s="1311">
        <v>6329.6789947343696</v>
      </c>
      <c r="DE47" s="1311"/>
      <c r="DF47" s="1056">
        <v>6241.8121982243001</v>
      </c>
      <c r="DG47" s="1311"/>
      <c r="DH47" s="1056">
        <v>6215.0212762475803</v>
      </c>
      <c r="DI47" s="1056"/>
      <c r="DJ47" s="1056">
        <v>6311.6840144259904</v>
      </c>
      <c r="DK47" s="1056"/>
      <c r="DL47" s="1056">
        <v>6290.7852949445096</v>
      </c>
      <c r="DM47" s="1056"/>
      <c r="DN47" s="1056">
        <v>6443.1618109922201</v>
      </c>
      <c r="DO47" s="1056"/>
      <c r="DP47" s="1056">
        <v>6502.0201093966398</v>
      </c>
      <c r="DQ47" s="1056"/>
      <c r="DR47" s="1056">
        <v>6618.4388122707796</v>
      </c>
      <c r="DS47" s="1056"/>
      <c r="DT47" s="1056">
        <v>6688.43611005402</v>
      </c>
      <c r="DU47" s="1056"/>
      <c r="DV47" s="1056">
        <v>6813.2124435441001</v>
      </c>
      <c r="DW47" s="1056"/>
      <c r="DX47" s="1056">
        <v>6894.8595958844198</v>
      </c>
      <c r="DY47" s="1056"/>
      <c r="DZ47" s="1056">
        <v>6981.6031254323098</v>
      </c>
      <c r="EA47" s="1056"/>
      <c r="EB47" s="1056">
        <v>6859.4811844874503</v>
      </c>
      <c r="EC47" s="1056"/>
      <c r="ED47" s="1056">
        <v>6945.9642108012604</v>
      </c>
      <c r="EE47" s="1056"/>
      <c r="EF47" s="1056">
        <v>7010.3892528139404</v>
      </c>
      <c r="EG47" s="1056"/>
      <c r="EH47" s="1056">
        <v>7077.0668628061003</v>
      </c>
      <c r="EI47" s="1056"/>
      <c r="EJ47" s="1056">
        <v>7170.2088185189004</v>
      </c>
      <c r="EK47" s="1056"/>
      <c r="EL47" s="1056">
        <v>7159.8500790100397</v>
      </c>
      <c r="EM47" s="1056"/>
      <c r="EN47" s="1056">
        <v>7231.1335559809904</v>
      </c>
      <c r="EO47" s="1056"/>
      <c r="EP47" s="1056">
        <v>7342.4672199588304</v>
      </c>
      <c r="EQ47" s="1056"/>
      <c r="ER47" s="1056">
        <v>7407.0905986764801</v>
      </c>
      <c r="ES47" s="1056"/>
      <c r="ET47" s="1056">
        <v>7515.4415278213201</v>
      </c>
      <c r="EU47" s="1056"/>
      <c r="EV47" s="1056">
        <v>7668.2627015681601</v>
      </c>
      <c r="EW47" s="1056"/>
      <c r="EX47" s="1056">
        <v>7660.3488036375002</v>
      </c>
      <c r="EY47" s="1056"/>
      <c r="EZ47" s="1056">
        <v>7571.54213356323</v>
      </c>
      <c r="FA47" s="1056"/>
      <c r="FB47" s="1056">
        <v>7645.59850122644</v>
      </c>
      <c r="FC47" s="1056"/>
      <c r="FD47" s="1054" t="s">
        <v>3587</v>
      </c>
    </row>
    <row r="48" spans="1:163" s="1071" customFormat="1" ht="39.75" customHeight="1" thickBot="1">
      <c r="A48" s="1295" t="s">
        <v>2226</v>
      </c>
      <c r="B48" s="1296">
        <v>32722.7715977474</v>
      </c>
      <c r="C48" s="1296">
        <v>15632.00868594</v>
      </c>
      <c r="D48" s="1296">
        <v>32863.227780301997</v>
      </c>
      <c r="E48" s="1296">
        <v>15859.4686560519</v>
      </c>
      <c r="F48" s="1296">
        <v>33195.901429624602</v>
      </c>
      <c r="G48" s="1296">
        <v>15678.94060871</v>
      </c>
      <c r="H48" s="1296">
        <v>32218.908868473802</v>
      </c>
      <c r="I48" s="1296">
        <v>15470.487018579999</v>
      </c>
      <c r="J48" s="1296">
        <v>31272.782507935601</v>
      </c>
      <c r="K48" s="1296">
        <v>14876.439689880001</v>
      </c>
      <c r="L48" s="1296">
        <v>31260.7900897541</v>
      </c>
      <c r="M48" s="1296">
        <v>14664.9000233033</v>
      </c>
      <c r="N48" s="1296">
        <v>30541.0312492339</v>
      </c>
      <c r="O48" s="1296">
        <v>14053.78607907</v>
      </c>
      <c r="P48" s="1296">
        <v>30503.466040603798</v>
      </c>
      <c r="Q48" s="1296">
        <v>13707.4350932496</v>
      </c>
      <c r="R48" s="1296">
        <v>31065.933888839401</v>
      </c>
      <c r="S48" s="1296">
        <v>14118.0615912011</v>
      </c>
      <c r="T48" s="1296">
        <v>30618.9290287697</v>
      </c>
      <c r="U48" s="1296">
        <v>13287.3291536995</v>
      </c>
      <c r="V48" s="1296">
        <v>30685.092057299102</v>
      </c>
      <c r="W48" s="1296">
        <v>13204.7747804964</v>
      </c>
      <c r="X48" s="1296">
        <v>30742.9709196597</v>
      </c>
      <c r="Y48" s="1296">
        <v>13342.282166888301</v>
      </c>
      <c r="Z48" s="1296">
        <v>32055.3092580913</v>
      </c>
      <c r="AA48" s="1296">
        <v>13857.024209163999</v>
      </c>
      <c r="AB48" s="1296">
        <v>31944.817244460799</v>
      </c>
      <c r="AC48" s="1296">
        <v>13667.268332957699</v>
      </c>
      <c r="AD48" s="1296">
        <v>32203.446203486001</v>
      </c>
      <c r="AE48" s="1296">
        <v>13516.602574561201</v>
      </c>
      <c r="AF48" s="1296">
        <v>32521.404198267199</v>
      </c>
      <c r="AG48" s="1296">
        <v>13512.775126894299</v>
      </c>
      <c r="AH48" s="1296">
        <v>32796.688826332</v>
      </c>
      <c r="AI48" s="1296">
        <v>13408.162511898499</v>
      </c>
      <c r="AJ48" s="1296">
        <v>33810.727473172097</v>
      </c>
      <c r="AK48" s="1296">
        <v>13627.049358533101</v>
      </c>
      <c r="AL48" s="1296">
        <v>33069.857593718298</v>
      </c>
      <c r="AM48" s="1296">
        <v>13124.864203405999</v>
      </c>
      <c r="AN48" s="1296">
        <v>33668.131007581796</v>
      </c>
      <c r="AO48" s="1296">
        <v>13480.514529067401</v>
      </c>
      <c r="AP48" s="1296">
        <v>33426.744381522702</v>
      </c>
      <c r="AQ48" s="1296">
        <v>13054.994358189801</v>
      </c>
      <c r="AR48" s="1296">
        <v>34526.541956268899</v>
      </c>
      <c r="AS48" s="1296">
        <v>13656.5051842147</v>
      </c>
      <c r="AT48" s="1296">
        <v>34963.554086618802</v>
      </c>
      <c r="AU48" s="1296">
        <v>13961.081778722801</v>
      </c>
      <c r="AV48" s="1296">
        <v>35604.461453454896</v>
      </c>
      <c r="AW48" s="1296">
        <v>14132.2504430753</v>
      </c>
      <c r="AX48" s="1296">
        <v>38462.211941060799</v>
      </c>
      <c r="AY48" s="1296">
        <v>15162.4758171064</v>
      </c>
      <c r="AZ48" s="1296">
        <v>37982.260347166703</v>
      </c>
      <c r="BA48" s="1296">
        <v>15292.232439085001</v>
      </c>
      <c r="BB48" s="1296">
        <v>38483.425064279698</v>
      </c>
      <c r="BC48" s="1296">
        <v>15305.3330932881</v>
      </c>
      <c r="BD48" s="1296">
        <v>39673.238268744099</v>
      </c>
      <c r="BE48" s="1296">
        <v>16147.132756631099</v>
      </c>
      <c r="BF48" s="1296">
        <v>40149.084618709101</v>
      </c>
      <c r="BG48" s="1296">
        <v>16276.1583346196</v>
      </c>
      <c r="BH48" s="1296">
        <v>41371.5485903382</v>
      </c>
      <c r="BI48" s="1296">
        <v>16889.755672309198</v>
      </c>
      <c r="BJ48" s="1296">
        <v>41920.128072588399</v>
      </c>
      <c r="BK48" s="1296">
        <v>16797.607832377202</v>
      </c>
      <c r="BL48" s="1296">
        <v>41589.734235004798</v>
      </c>
      <c r="BM48" s="1296">
        <v>16968.258709509199</v>
      </c>
      <c r="BN48" s="1296">
        <v>42404.660369548903</v>
      </c>
      <c r="BO48" s="1296">
        <v>16753.482416936498</v>
      </c>
      <c r="BP48" s="1296">
        <v>43633.385177792297</v>
      </c>
      <c r="BQ48" s="1296">
        <v>17215.403945462702</v>
      </c>
      <c r="BR48" s="1296">
        <v>44660.662882583798</v>
      </c>
      <c r="BS48" s="1296">
        <v>17311.962565387701</v>
      </c>
      <c r="BT48" s="1296">
        <v>45490.196201576298</v>
      </c>
      <c r="BU48" s="1296">
        <v>17892.011130619201</v>
      </c>
      <c r="BV48" s="1296">
        <v>47054.924150292398</v>
      </c>
      <c r="BW48" s="1296">
        <v>18652.408689545398</v>
      </c>
      <c r="BX48" s="1296">
        <v>45861.9262411249</v>
      </c>
      <c r="BY48" s="1296">
        <v>17861.4458165303</v>
      </c>
      <c r="BZ48" s="1296">
        <v>45708.589921554398</v>
      </c>
      <c r="CA48" s="1296">
        <v>17683.1138848964</v>
      </c>
      <c r="CB48" s="1296">
        <v>44843.205755129697</v>
      </c>
      <c r="CC48" s="1312">
        <v>16473.7097361985</v>
      </c>
      <c r="CD48" s="1312">
        <v>45582.651149424099</v>
      </c>
      <c r="CE48" s="1312">
        <v>16814.651292682898</v>
      </c>
      <c r="CF48" s="1296">
        <v>45921.778460526097</v>
      </c>
      <c r="CG48" s="1312">
        <v>16834.446567333202</v>
      </c>
      <c r="CH48" s="1312">
        <v>45218.267243912102</v>
      </c>
      <c r="CI48" s="1312">
        <v>15737.9855991226</v>
      </c>
      <c r="CJ48" s="1296">
        <v>44880.331705270299</v>
      </c>
      <c r="CK48" s="1312">
        <v>14809.2352433015</v>
      </c>
      <c r="CL48" s="1296">
        <v>45358.6864798897</v>
      </c>
      <c r="CM48" s="1312">
        <v>14555.937364720499</v>
      </c>
      <c r="CN48" s="1312">
        <v>45530.499721910797</v>
      </c>
      <c r="CO48" s="1312">
        <v>14262.246119527699</v>
      </c>
      <c r="CP48" s="1296">
        <v>46146.565306839599</v>
      </c>
      <c r="CQ48" s="1312">
        <v>14927.9283455143</v>
      </c>
      <c r="CR48" s="1312">
        <v>46172.478034138803</v>
      </c>
      <c r="CS48" s="1312">
        <v>14430.171724149701</v>
      </c>
      <c r="CT48" s="1296">
        <v>49178.196218152603</v>
      </c>
      <c r="CU48" s="1312">
        <v>16087.3141229142</v>
      </c>
      <c r="CV48" s="1296">
        <v>49296.7716533188</v>
      </c>
      <c r="CW48" s="1312">
        <v>16312.7527053167</v>
      </c>
      <c r="CX48" s="1296">
        <v>48735.678304724002</v>
      </c>
      <c r="CY48" s="1312">
        <v>15671.951788389701</v>
      </c>
      <c r="CZ48" s="1296">
        <v>48909.9439490515</v>
      </c>
      <c r="DA48" s="1312">
        <v>16185.6720967453</v>
      </c>
      <c r="DB48" s="1296">
        <v>49221.614740265402</v>
      </c>
      <c r="DC48" s="1312">
        <v>16367.7068460354</v>
      </c>
      <c r="DD48" s="1312">
        <v>49147.473662050601</v>
      </c>
      <c r="DE48" s="1312">
        <v>15920.730868446501</v>
      </c>
      <c r="DF48" s="1296">
        <v>50328.119893906704</v>
      </c>
      <c r="DG48" s="1312">
        <v>15855.417858844199</v>
      </c>
      <c r="DH48" s="1041">
        <v>49089.294073589503</v>
      </c>
      <c r="DI48" s="1041">
        <v>15230.7495157336</v>
      </c>
      <c r="DJ48" s="1041">
        <v>49567.7459798165</v>
      </c>
      <c r="DK48" s="1041">
        <v>15866.3398529121</v>
      </c>
      <c r="DL48" s="1041">
        <v>50840.839368833003</v>
      </c>
      <c r="DM48" s="1041">
        <v>15838.6202093189</v>
      </c>
      <c r="DN48" s="1041">
        <v>49697.750916876699</v>
      </c>
      <c r="DO48" s="1041">
        <v>15450.7760045996</v>
      </c>
      <c r="DP48" s="1041">
        <v>50164.616981919004</v>
      </c>
      <c r="DQ48" s="1041">
        <v>15758.3050710891</v>
      </c>
      <c r="DR48" s="1041">
        <v>53001.4017224415</v>
      </c>
      <c r="DS48" s="1041">
        <v>16621.180041118299</v>
      </c>
      <c r="DT48" s="1041">
        <v>53090.7390049971</v>
      </c>
      <c r="DU48" s="1041">
        <v>17349.3399968005</v>
      </c>
      <c r="DV48" s="1041">
        <v>53561.650321218403</v>
      </c>
      <c r="DW48" s="1041">
        <v>17741.811819109102</v>
      </c>
      <c r="DX48" s="1041">
        <v>54855.632332332199</v>
      </c>
      <c r="DY48" s="1041">
        <v>17969.404670420699</v>
      </c>
      <c r="DZ48" s="1041">
        <v>54607.144684464402</v>
      </c>
      <c r="EA48" s="1041">
        <v>17528.534827009102</v>
      </c>
      <c r="EB48" s="1041">
        <v>56549.735593520301</v>
      </c>
      <c r="EC48" s="1041">
        <v>19281.843162381501</v>
      </c>
      <c r="ED48" s="1041">
        <v>56734.138886029403</v>
      </c>
      <c r="EE48" s="1041">
        <v>17849.642705984101</v>
      </c>
      <c r="EF48" s="1041">
        <v>55700.116041813599</v>
      </c>
      <c r="EG48" s="1041">
        <v>17263.567657866999</v>
      </c>
      <c r="EH48" s="1041">
        <v>55672.352198428802</v>
      </c>
      <c r="EI48" s="1041">
        <v>17441.490398398499</v>
      </c>
      <c r="EJ48" s="1041">
        <v>56137.987108359099</v>
      </c>
      <c r="EK48" s="1041">
        <v>17321.467014325299</v>
      </c>
      <c r="EL48" s="1041">
        <v>56341.876936465502</v>
      </c>
      <c r="EM48" s="1041">
        <v>17087.289468679199</v>
      </c>
      <c r="EN48" s="1041">
        <v>58748.574753221299</v>
      </c>
      <c r="EO48" s="1041">
        <v>18187.4683698632</v>
      </c>
      <c r="EP48" s="1041">
        <v>57086.215620102201</v>
      </c>
      <c r="EQ48" s="1041">
        <v>16993.254884529601</v>
      </c>
      <c r="ER48" s="1041">
        <v>56935.817156958299</v>
      </c>
      <c r="ES48" s="1041">
        <v>16984.021489636201</v>
      </c>
      <c r="ET48" s="1041">
        <v>57132.793229383104</v>
      </c>
      <c r="EU48" s="1041">
        <v>16998.303848129101</v>
      </c>
      <c r="EV48" s="1041">
        <v>57960.764520508201</v>
      </c>
      <c r="EW48" s="1041">
        <v>17131.435834113399</v>
      </c>
      <c r="EX48" s="1041">
        <v>57355.811393586097</v>
      </c>
      <c r="EY48" s="1041">
        <v>16056.135626626499</v>
      </c>
      <c r="EZ48" s="1041">
        <v>59183.7427468229</v>
      </c>
      <c r="FA48" s="1041">
        <v>16613.530532410299</v>
      </c>
      <c r="FB48" s="1041">
        <v>60940.379142738399</v>
      </c>
      <c r="FC48" s="1041">
        <v>17627.209243384601</v>
      </c>
      <c r="FD48" s="1313" t="s">
        <v>3588</v>
      </c>
    </row>
    <row r="49" spans="1:99" s="932" customFormat="1" ht="20.25" customHeight="1">
      <c r="A49" s="2713" t="s">
        <v>3625</v>
      </c>
      <c r="B49" s="2713"/>
      <c r="C49" s="2713"/>
      <c r="D49" s="2713"/>
      <c r="E49" s="2713"/>
      <c r="F49" s="2713"/>
      <c r="G49" s="2713"/>
      <c r="H49" s="2713"/>
      <c r="I49" s="2713"/>
      <c r="J49" s="2713"/>
      <c r="K49" s="2713"/>
      <c r="L49" s="2713"/>
      <c r="M49" s="2713"/>
      <c r="N49" s="2713"/>
      <c r="O49" s="2713"/>
      <c r="P49" s="2713"/>
      <c r="Q49" s="2713"/>
      <c r="R49" s="2713"/>
      <c r="S49" s="2713"/>
      <c r="T49" s="2713"/>
      <c r="U49" s="2713"/>
      <c r="V49" s="2713"/>
      <c r="W49" s="2713"/>
      <c r="X49" s="2713"/>
      <c r="Y49" s="2713"/>
      <c r="Z49" s="2713"/>
      <c r="AA49" s="2713"/>
      <c r="AB49" s="2713"/>
      <c r="AC49" s="2713"/>
      <c r="AD49" s="2713"/>
      <c r="AE49" s="2713"/>
      <c r="AF49" s="2713"/>
      <c r="AG49" s="2713"/>
      <c r="AH49" s="2713"/>
      <c r="AI49" s="2713"/>
      <c r="AJ49" s="2713"/>
      <c r="AK49" s="2713"/>
      <c r="AL49" s="2713"/>
      <c r="AM49" s="2713"/>
      <c r="AN49" s="2713"/>
      <c r="AO49" s="2713"/>
      <c r="AP49" s="2713"/>
      <c r="AQ49" s="2713"/>
      <c r="AR49" s="2713"/>
      <c r="AS49" s="2713"/>
      <c r="AT49" s="2713"/>
      <c r="AU49" s="2713"/>
      <c r="AV49" s="2713"/>
      <c r="AW49" s="2713"/>
      <c r="AX49" s="2713"/>
      <c r="AY49" s="2713"/>
      <c r="AZ49" s="2713"/>
      <c r="BA49" s="2713"/>
      <c r="BB49" s="2713"/>
      <c r="BC49" s="2713"/>
      <c r="BD49" s="2713"/>
      <c r="BE49" s="2713"/>
      <c r="BF49" s="2713"/>
      <c r="BG49" s="2713"/>
      <c r="BH49" s="2713"/>
      <c r="BI49" s="2713"/>
      <c r="BJ49" s="2713"/>
      <c r="BK49" s="2713"/>
      <c r="BL49" s="2713"/>
      <c r="BM49" s="2713"/>
      <c r="BN49" s="2713"/>
      <c r="BO49" s="2713"/>
      <c r="BP49" s="2713"/>
      <c r="BQ49" s="2713"/>
      <c r="BR49" s="2713"/>
      <c r="BS49" s="2713"/>
      <c r="BT49" s="2713"/>
      <c r="BU49" s="2713"/>
      <c r="BV49" s="2713"/>
      <c r="BW49" s="2713"/>
      <c r="BX49" s="2713"/>
      <c r="BY49" s="2713"/>
      <c r="BZ49" s="2713"/>
      <c r="CA49" s="2713"/>
      <c r="CB49" s="2713"/>
      <c r="CC49" s="2713"/>
      <c r="CD49" s="2713"/>
      <c r="CE49" s="2713"/>
      <c r="CF49" s="2713"/>
      <c r="CG49" s="2713"/>
      <c r="CH49" s="2713"/>
      <c r="CI49" s="2713"/>
      <c r="CJ49" s="2713"/>
      <c r="CK49" s="2713"/>
      <c r="CL49" s="2713"/>
      <c r="CM49" s="2713"/>
      <c r="CN49" s="2713"/>
      <c r="CO49" s="2713"/>
      <c r="CP49" s="2713"/>
      <c r="CQ49" s="2713"/>
      <c r="CR49" s="2713"/>
      <c r="CS49" s="2713"/>
      <c r="CT49" s="2713"/>
      <c r="CU49" s="2713"/>
    </row>
    <row r="50" spans="1:99" s="1057" customFormat="1" ht="35.25" customHeight="1">
      <c r="A50" s="2714" t="s">
        <v>4292</v>
      </c>
      <c r="B50" s="2714"/>
      <c r="C50" s="2714"/>
      <c r="D50" s="2714"/>
      <c r="E50" s="2714"/>
      <c r="F50" s="2714"/>
      <c r="G50" s="2714"/>
      <c r="H50" s="2714"/>
      <c r="I50" s="2714"/>
      <c r="J50" s="2714"/>
      <c r="K50" s="2714"/>
      <c r="L50" s="2714"/>
      <c r="M50" s="2714"/>
      <c r="N50" s="2714"/>
      <c r="O50" s="2714"/>
      <c r="P50" s="2714"/>
      <c r="Q50" s="2714"/>
      <c r="R50" s="2714"/>
      <c r="S50" s="2714"/>
      <c r="T50" s="2714"/>
      <c r="U50" s="2714"/>
      <c r="V50" s="2714"/>
      <c r="W50" s="2714"/>
      <c r="X50" s="2714"/>
      <c r="Y50" s="2714"/>
      <c r="Z50" s="2714"/>
      <c r="AA50" s="2714"/>
      <c r="AB50" s="2714"/>
      <c r="AC50" s="2714"/>
      <c r="AD50" s="2714"/>
      <c r="AE50" s="2714"/>
      <c r="AF50" s="2714"/>
      <c r="AG50" s="2714"/>
      <c r="AH50" s="2714"/>
      <c r="AI50" s="2714"/>
      <c r="AJ50" s="2714"/>
      <c r="AK50" s="2714"/>
      <c r="AL50" s="2714"/>
      <c r="AM50" s="2714"/>
      <c r="AN50" s="2714"/>
      <c r="AO50" s="2714"/>
      <c r="AP50" s="2714"/>
      <c r="AQ50" s="2714"/>
      <c r="AR50" s="2714"/>
      <c r="AS50" s="2714"/>
      <c r="AT50" s="2714"/>
      <c r="AU50" s="2714"/>
      <c r="AV50" s="2714"/>
      <c r="AW50" s="2714"/>
      <c r="AX50" s="2714"/>
      <c r="AY50" s="2714"/>
      <c r="AZ50" s="2714"/>
      <c r="BA50" s="2714"/>
      <c r="BB50" s="2714"/>
      <c r="BC50" s="2714"/>
      <c r="BD50" s="2714"/>
      <c r="BE50" s="2714"/>
      <c r="BF50" s="2714"/>
      <c r="BG50" s="2714"/>
      <c r="BH50" s="2714"/>
      <c r="BI50" s="2714"/>
      <c r="BJ50" s="2714"/>
      <c r="BK50" s="2714"/>
      <c r="BL50" s="2714"/>
      <c r="BM50" s="2714"/>
      <c r="BN50" s="2714"/>
      <c r="BO50" s="2714"/>
      <c r="BP50" s="2714"/>
      <c r="BQ50" s="2714"/>
      <c r="BR50" s="2714"/>
      <c r="BS50" s="2714"/>
      <c r="BT50" s="2714"/>
      <c r="BU50" s="2714"/>
      <c r="BV50" s="2714"/>
      <c r="BW50" s="2714"/>
      <c r="BX50" s="2714"/>
      <c r="BY50" s="2714"/>
      <c r="BZ50" s="2714"/>
      <c r="CA50" s="2714"/>
      <c r="CB50" s="2714"/>
      <c r="CC50" s="2714"/>
      <c r="CD50" s="2714"/>
      <c r="CE50" s="2714"/>
      <c r="CF50" s="2714"/>
      <c r="CG50" s="2714"/>
      <c r="CH50" s="2714"/>
      <c r="CI50" s="2714"/>
      <c r="CJ50" s="2714"/>
      <c r="CK50" s="2714"/>
      <c r="CL50" s="2714"/>
      <c r="CM50" s="2714"/>
      <c r="CN50" s="2714"/>
      <c r="CO50" s="2714"/>
      <c r="CP50" s="2714"/>
      <c r="CQ50" s="2714"/>
      <c r="CR50" s="2714"/>
      <c r="CS50" s="2714"/>
      <c r="CT50" s="2714"/>
      <c r="CU50" s="2714"/>
    </row>
    <row r="51" spans="1:99" s="1058" customFormat="1" ht="33" customHeight="1">
      <c r="A51" s="2714" t="s">
        <v>4293</v>
      </c>
      <c r="B51" s="2714"/>
      <c r="C51" s="2714"/>
      <c r="D51" s="2714"/>
      <c r="E51" s="2714"/>
      <c r="F51" s="2714"/>
      <c r="G51" s="2714"/>
      <c r="H51" s="2714"/>
      <c r="I51" s="2714"/>
      <c r="J51" s="2714"/>
      <c r="K51" s="2714"/>
      <c r="L51" s="2714"/>
      <c r="M51" s="2714"/>
      <c r="N51" s="2714"/>
      <c r="O51" s="2714"/>
      <c r="P51" s="2714"/>
      <c r="Q51" s="2714"/>
      <c r="R51" s="2714"/>
      <c r="S51" s="2714"/>
      <c r="T51" s="2714"/>
      <c r="U51" s="2714"/>
      <c r="V51" s="2714"/>
      <c r="W51" s="2714"/>
      <c r="X51" s="2714"/>
      <c r="Y51" s="2714"/>
      <c r="Z51" s="2714"/>
      <c r="AA51" s="2714"/>
      <c r="AB51" s="2714"/>
      <c r="AC51" s="2714"/>
      <c r="AD51" s="2714"/>
      <c r="AE51" s="2714"/>
      <c r="AF51" s="2714"/>
      <c r="AG51" s="2714"/>
      <c r="AH51" s="2714"/>
      <c r="AI51" s="2714"/>
      <c r="AJ51" s="2714"/>
      <c r="AK51" s="2714"/>
      <c r="AL51" s="2714"/>
      <c r="AM51" s="2714"/>
      <c r="AN51" s="2714"/>
      <c r="AO51" s="2714"/>
      <c r="AP51" s="2714"/>
      <c r="AQ51" s="2714"/>
      <c r="AR51" s="2714"/>
      <c r="AS51" s="2714"/>
      <c r="AT51" s="2714"/>
      <c r="AU51" s="2714"/>
      <c r="AV51" s="2714"/>
      <c r="AW51" s="2714"/>
      <c r="AX51" s="2714"/>
      <c r="AY51" s="2714"/>
      <c r="AZ51" s="2714"/>
      <c r="BA51" s="2714"/>
      <c r="BB51" s="2714"/>
      <c r="BC51" s="2714"/>
      <c r="BD51" s="2714"/>
      <c r="BE51" s="2714"/>
      <c r="BF51" s="2714"/>
      <c r="BG51" s="2714"/>
      <c r="BH51" s="2714"/>
      <c r="BI51" s="2714"/>
      <c r="BJ51" s="2714"/>
      <c r="BK51" s="2714"/>
      <c r="BL51" s="2714"/>
      <c r="BM51" s="2714"/>
      <c r="BN51" s="2714"/>
      <c r="BO51" s="2714"/>
      <c r="BP51" s="2714"/>
      <c r="BQ51" s="2714"/>
      <c r="BR51" s="2714"/>
      <c r="BS51" s="2714"/>
      <c r="BT51" s="2714"/>
      <c r="BU51" s="2714"/>
      <c r="BV51" s="2714"/>
      <c r="BW51" s="2714"/>
      <c r="BX51" s="2714"/>
      <c r="BY51" s="2714"/>
      <c r="BZ51" s="2714"/>
      <c r="CA51" s="2714"/>
      <c r="CB51" s="2714"/>
      <c r="CC51" s="2714"/>
      <c r="CD51" s="2714"/>
      <c r="CE51" s="2714"/>
      <c r="CF51" s="2714"/>
      <c r="CG51" s="2714"/>
      <c r="CH51" s="2714"/>
      <c r="CI51" s="2714"/>
      <c r="CJ51" s="2714"/>
      <c r="CK51" s="2714"/>
      <c r="CL51" s="2714"/>
      <c r="CM51" s="2714"/>
      <c r="CN51" s="2714"/>
      <c r="CO51" s="2714"/>
      <c r="CP51" s="2714"/>
      <c r="CQ51" s="2714"/>
      <c r="CR51" s="2714"/>
      <c r="CS51" s="2714"/>
      <c r="CT51" s="2714"/>
      <c r="CU51" s="2714"/>
    </row>
    <row r="52" spans="1:99" s="1263" customFormat="1" ht="20.25" customHeight="1">
      <c r="A52" s="1264" t="s">
        <v>3260</v>
      </c>
      <c r="B52" s="1262"/>
      <c r="C52" s="1262"/>
      <c r="D52" s="1262"/>
      <c r="E52" s="1262"/>
      <c r="F52" s="1262"/>
      <c r="G52" s="1262"/>
      <c r="H52" s="1262"/>
      <c r="I52" s="1262"/>
      <c r="J52" s="1262"/>
      <c r="K52" s="1262"/>
      <c r="L52" s="1262"/>
      <c r="M52" s="1262"/>
      <c r="N52" s="1262"/>
      <c r="O52" s="1262"/>
      <c r="P52" s="1262"/>
      <c r="Q52" s="1262"/>
      <c r="R52" s="1262"/>
      <c r="S52" s="1262"/>
      <c r="T52" s="1262"/>
      <c r="U52" s="1262"/>
      <c r="V52" s="1262"/>
      <c r="W52" s="1262"/>
      <c r="X52" s="1262"/>
      <c r="Y52" s="1262"/>
      <c r="Z52" s="1262"/>
      <c r="AA52" s="1262"/>
      <c r="AB52" s="1262"/>
      <c r="AC52" s="1262"/>
      <c r="AD52" s="1262"/>
      <c r="AE52" s="1262"/>
      <c r="AF52" s="1262"/>
      <c r="AG52" s="1262"/>
      <c r="AH52" s="1262"/>
    </row>
  </sheetData>
  <mergeCells count="251">
    <mergeCell ref="EZ6:FA6"/>
    <mergeCell ref="EZ24:FA24"/>
    <mergeCell ref="EZ43:FA43"/>
    <mergeCell ref="EX6:EY6"/>
    <mergeCell ref="EX24:EY24"/>
    <mergeCell ref="EX43:EY43"/>
    <mergeCell ref="ET6:EU6"/>
    <mergeCell ref="ET24:EU24"/>
    <mergeCell ref="ET43:EU43"/>
    <mergeCell ref="EP6:EQ6"/>
    <mergeCell ref="EP24:EQ24"/>
    <mergeCell ref="EP43:EQ43"/>
    <mergeCell ref="EV6:EW6"/>
    <mergeCell ref="EV24:EW24"/>
    <mergeCell ref="EV43:EW43"/>
    <mergeCell ref="EN6:EO6"/>
    <mergeCell ref="EN24:EO24"/>
    <mergeCell ref="EN43:EO43"/>
    <mergeCell ref="ER6:ES6"/>
    <mergeCell ref="ER24:ES24"/>
    <mergeCell ref="ER43:ES43"/>
    <mergeCell ref="EJ6:EK6"/>
    <mergeCell ref="EJ24:EK24"/>
    <mergeCell ref="EJ43:EK43"/>
    <mergeCell ref="ED6:EE6"/>
    <mergeCell ref="ED24:EE24"/>
    <mergeCell ref="ED43:EE43"/>
    <mergeCell ref="EL6:EM6"/>
    <mergeCell ref="EL24:EM24"/>
    <mergeCell ref="EL43:EM43"/>
    <mergeCell ref="EB6:EC6"/>
    <mergeCell ref="EB24:EC24"/>
    <mergeCell ref="EB43:EC43"/>
    <mergeCell ref="EH43:EI43"/>
    <mergeCell ref="EH24:EI24"/>
    <mergeCell ref="EH6:EI6"/>
    <mergeCell ref="EF6:EG6"/>
    <mergeCell ref="EF24:EG24"/>
    <mergeCell ref="EF43:EG43"/>
    <mergeCell ref="DX6:DY6"/>
    <mergeCell ref="DX24:DY24"/>
    <mergeCell ref="DX43:DY43"/>
    <mergeCell ref="DZ6:EA6"/>
    <mergeCell ref="DZ24:EA24"/>
    <mergeCell ref="DZ43:EA43"/>
    <mergeCell ref="DV6:DW6"/>
    <mergeCell ref="DV24:DW24"/>
    <mergeCell ref="DV43:DW43"/>
    <mergeCell ref="DT6:DU6"/>
    <mergeCell ref="DT24:DU24"/>
    <mergeCell ref="DT43:DU43"/>
    <mergeCell ref="DH6:DI6"/>
    <mergeCell ref="DH24:DI24"/>
    <mergeCell ref="DH43:DI43"/>
    <mergeCell ref="DN6:DO6"/>
    <mergeCell ref="DN24:DO24"/>
    <mergeCell ref="DN43:DO43"/>
    <mergeCell ref="DL6:DM6"/>
    <mergeCell ref="DL24:DM24"/>
    <mergeCell ref="DL43:DM43"/>
    <mergeCell ref="DP6:DQ6"/>
    <mergeCell ref="DP24:DQ24"/>
    <mergeCell ref="DP43:DQ43"/>
    <mergeCell ref="DR43:DS43"/>
    <mergeCell ref="DR24:DS24"/>
    <mergeCell ref="DR6:DS6"/>
    <mergeCell ref="DF6:DG6"/>
    <mergeCell ref="DF24:DG24"/>
    <mergeCell ref="DF43:DG43"/>
    <mergeCell ref="DJ6:DK6"/>
    <mergeCell ref="DJ24:DK24"/>
    <mergeCell ref="DJ43:DK43"/>
    <mergeCell ref="DD6:DE6"/>
    <mergeCell ref="DD24:DE24"/>
    <mergeCell ref="DD43:DE43"/>
    <mergeCell ref="DB6:DC6"/>
    <mergeCell ref="DB24:DC24"/>
    <mergeCell ref="DB43:DC43"/>
    <mergeCell ref="CZ6:DA6"/>
    <mergeCell ref="CZ24:DA24"/>
    <mergeCell ref="CZ43:DA43"/>
    <mergeCell ref="CX6:CY6"/>
    <mergeCell ref="CX24:CY24"/>
    <mergeCell ref="CX43:CY43"/>
    <mergeCell ref="CV6:CW6"/>
    <mergeCell ref="CV24:CW24"/>
    <mergeCell ref="CV43:CW43"/>
    <mergeCell ref="CR6:CS6"/>
    <mergeCell ref="CR24:CS24"/>
    <mergeCell ref="CR43:CS43"/>
    <mergeCell ref="CN43:CO43"/>
    <mergeCell ref="CT6:CU6"/>
    <mergeCell ref="CT24:CU24"/>
    <mergeCell ref="CT43:CU43"/>
    <mergeCell ref="CP6:CQ6"/>
    <mergeCell ref="CP24:CQ24"/>
    <mergeCell ref="CP43:CQ43"/>
    <mergeCell ref="A2:FD2"/>
    <mergeCell ref="A3:FD3"/>
    <mergeCell ref="A5:FD5"/>
    <mergeCell ref="A6:A7"/>
    <mergeCell ref="A24:A25"/>
    <mergeCell ref="A43:A44"/>
    <mergeCell ref="FD6:FD7"/>
    <mergeCell ref="A23:FD23"/>
    <mergeCell ref="FD24:FD25"/>
    <mergeCell ref="A42:FD42"/>
    <mergeCell ref="FD43:FD44"/>
    <mergeCell ref="BX43:BY43"/>
    <mergeCell ref="FB43:FC43"/>
    <mergeCell ref="AJ43:AK43"/>
    <mergeCell ref="AL43:AM43"/>
    <mergeCell ref="P43:Q43"/>
    <mergeCell ref="CL24:CM24"/>
    <mergeCell ref="CL43:CM43"/>
    <mergeCell ref="CJ43:CK43"/>
    <mergeCell ref="CH43:CI43"/>
    <mergeCell ref="CH24:CI24"/>
    <mergeCell ref="BT43:BU43"/>
    <mergeCell ref="BV43:BW43"/>
    <mergeCell ref="CF6:CG6"/>
    <mergeCell ref="B43:C43"/>
    <mergeCell ref="R43:S43"/>
    <mergeCell ref="T43:U43"/>
    <mergeCell ref="A49:CU49"/>
    <mergeCell ref="A50:CU50"/>
    <mergeCell ref="A51:CU51"/>
    <mergeCell ref="BN43:BO43"/>
    <mergeCell ref="BP43:BQ43"/>
    <mergeCell ref="AN43:AO43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F43:BG43"/>
    <mergeCell ref="BH43:BI43"/>
    <mergeCell ref="BJ43:BK43"/>
    <mergeCell ref="AB43:AC43"/>
    <mergeCell ref="AD43:AE43"/>
    <mergeCell ref="AF43:AG43"/>
    <mergeCell ref="AH43:AI43"/>
    <mergeCell ref="D43:E43"/>
    <mergeCell ref="F43:G43"/>
    <mergeCell ref="H43:I43"/>
    <mergeCell ref="J43:K43"/>
    <mergeCell ref="L43:M43"/>
    <mergeCell ref="N43:O43"/>
    <mergeCell ref="V43:W43"/>
    <mergeCell ref="X43:Y43"/>
    <mergeCell ref="Z43:AA43"/>
    <mergeCell ref="FB6:FC6"/>
    <mergeCell ref="B24:C24"/>
    <mergeCell ref="D24:E24"/>
    <mergeCell ref="F24:G24"/>
    <mergeCell ref="H24:I24"/>
    <mergeCell ref="J24:K24"/>
    <mergeCell ref="L24:M24"/>
    <mergeCell ref="N24:O24"/>
    <mergeCell ref="BL6:BM6"/>
    <mergeCell ref="BN6:BO6"/>
    <mergeCell ref="BP6:BQ6"/>
    <mergeCell ref="BR6:BS6"/>
    <mergeCell ref="BT6:BU6"/>
    <mergeCell ref="BV6:BW6"/>
    <mergeCell ref="AZ6:BA6"/>
    <mergeCell ref="BB6:BC6"/>
    <mergeCell ref="AR24:AS24"/>
    <mergeCell ref="BX24:BY24"/>
    <mergeCell ref="FB24:FC24"/>
    <mergeCell ref="CJ6:CK6"/>
    <mergeCell ref="CJ24:CK24"/>
    <mergeCell ref="CL6:CM6"/>
    <mergeCell ref="CN6:CO6"/>
    <mergeCell ref="CN24:CO24"/>
    <mergeCell ref="B6:C6"/>
    <mergeCell ref="D6:E6"/>
    <mergeCell ref="F6:G6"/>
    <mergeCell ref="H6:I6"/>
    <mergeCell ref="J6:K6"/>
    <mergeCell ref="L6:M6"/>
    <mergeCell ref="N6:O6"/>
    <mergeCell ref="AH6:AI6"/>
    <mergeCell ref="AJ6:AK6"/>
    <mergeCell ref="X6:Y6"/>
    <mergeCell ref="Z6:AA6"/>
    <mergeCell ref="AB6:AC6"/>
    <mergeCell ref="AD6:AE6"/>
    <mergeCell ref="AF6:AG6"/>
    <mergeCell ref="R6:S6"/>
    <mergeCell ref="T6:U6"/>
    <mergeCell ref="V6:W6"/>
    <mergeCell ref="P6:Q6"/>
    <mergeCell ref="AB24:AC24"/>
    <mergeCell ref="P24:Q24"/>
    <mergeCell ref="R24:S24"/>
    <mergeCell ref="AN24:AO24"/>
    <mergeCell ref="AD24:AE24"/>
    <mergeCell ref="T24:U24"/>
    <mergeCell ref="V24:W24"/>
    <mergeCell ref="X24:Y24"/>
    <mergeCell ref="Z24:AA24"/>
    <mergeCell ref="AF24:AG24"/>
    <mergeCell ref="AH24:AI24"/>
    <mergeCell ref="AJ24:AK24"/>
    <mergeCell ref="AL6:AM6"/>
    <mergeCell ref="BF24:BG24"/>
    <mergeCell ref="BH6:BI6"/>
    <mergeCell ref="BJ6:BK6"/>
    <mergeCell ref="AN6:AO6"/>
    <mergeCell ref="AP6:AQ6"/>
    <mergeCell ref="AR6:AS6"/>
    <mergeCell ref="AT6:AU6"/>
    <mergeCell ref="AV6:AW6"/>
    <mergeCell ref="AX6:AY6"/>
    <mergeCell ref="BF6:BG6"/>
    <mergeCell ref="BD6:BE6"/>
    <mergeCell ref="AP24:AQ24"/>
    <mergeCell ref="AZ24:BA24"/>
    <mergeCell ref="BB24:BC24"/>
    <mergeCell ref="BD24:BE24"/>
    <mergeCell ref="AL24:AM24"/>
    <mergeCell ref="AT24:AU24"/>
    <mergeCell ref="AV24:AW24"/>
    <mergeCell ref="AX24:AY24"/>
    <mergeCell ref="BH24:BI24"/>
    <mergeCell ref="BJ24:BK24"/>
    <mergeCell ref="BR24:BS24"/>
    <mergeCell ref="BL43:BM43"/>
    <mergeCell ref="CH6:CI6"/>
    <mergeCell ref="BZ43:CA43"/>
    <mergeCell ref="BR43:BS43"/>
    <mergeCell ref="BL24:BM24"/>
    <mergeCell ref="BN24:BO24"/>
    <mergeCell ref="BP24:BQ24"/>
    <mergeCell ref="CF24:CG24"/>
    <mergeCell ref="CF43:CG43"/>
    <mergeCell ref="CD6:CE6"/>
    <mergeCell ref="CD24:CE24"/>
    <mergeCell ref="CD43:CE43"/>
    <mergeCell ref="CB6:CC6"/>
    <mergeCell ref="CB24:CC24"/>
    <mergeCell ref="CB43:CC43"/>
    <mergeCell ref="BT24:BU24"/>
    <mergeCell ref="BV24:BW24"/>
    <mergeCell ref="BX6:BY6"/>
    <mergeCell ref="BZ6:CA6"/>
    <mergeCell ref="BZ24:CA24"/>
  </mergeCells>
  <pageMargins left="0.5" right="0.4" top="0.3" bottom="0.3" header="0.3" footer="0.3"/>
  <pageSetup paperSize="9" scale="16" orientation="landscape" r:id="rId1"/>
  <colBreaks count="1" manualBreakCount="1">
    <brk id="41" max="52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>
    <tabColor rgb="FF92D050"/>
  </sheetPr>
  <dimension ref="A1:CH34"/>
  <sheetViews>
    <sheetView showGridLines="0" view="pageBreakPreview" zoomScale="40" zoomScaleNormal="70" zoomScaleSheetLayoutView="40" workbookViewId="0">
      <pane xSplit="1" topLeftCell="AX1" activePane="topRight" state="frozen"/>
      <selection activeCell="F40" sqref="F40"/>
      <selection pane="topRight" activeCell="BO43" sqref="BO43"/>
    </sheetView>
  </sheetViews>
  <sheetFormatPr defaultColWidth="9.140625" defaultRowHeight="18"/>
  <cols>
    <col min="1" max="1" width="126.85546875" style="1059" customWidth="1"/>
    <col min="2" max="2" width="22.7109375" style="1073" customWidth="1"/>
    <col min="3" max="13" width="22.7109375" style="895" hidden="1" customWidth="1"/>
    <col min="14" max="14" width="22.7109375" style="895" customWidth="1"/>
    <col min="15" max="25" width="22.7109375" style="895" hidden="1" customWidth="1"/>
    <col min="26" max="26" width="22.7109375" style="895" customWidth="1"/>
    <col min="27" max="37" width="22.7109375" style="895" hidden="1" customWidth="1"/>
    <col min="38" max="38" width="22.7109375" style="895" customWidth="1"/>
    <col min="39" max="49" width="22.7109375" style="895" hidden="1" customWidth="1"/>
    <col min="50" max="50" width="22.7109375" style="895" customWidth="1"/>
    <col min="51" max="61" width="22.7109375" style="895" hidden="1" customWidth="1"/>
    <col min="62" max="80" width="22.7109375" style="895" customWidth="1"/>
    <col min="81" max="81" width="113.7109375" style="895" customWidth="1"/>
    <col min="82" max="82" width="13.7109375" style="1032" customWidth="1"/>
    <col min="83" max="83" width="15.28515625" style="895" customWidth="1"/>
    <col min="84" max="84" width="19.7109375" style="1032" customWidth="1"/>
    <col min="85" max="85" width="9.140625" style="895"/>
    <col min="86" max="86" width="9.140625" style="1032"/>
    <col min="87" max="16384" width="9.140625" style="895"/>
  </cols>
  <sheetData>
    <row r="1" spans="1:86" ht="15" customHeight="1">
      <c r="B1" s="1060"/>
      <c r="C1" s="1060"/>
      <c r="D1" s="1060"/>
      <c r="E1" s="1060"/>
      <c r="F1" s="1060"/>
      <c r="G1" s="1060"/>
      <c r="H1" s="1060"/>
      <c r="I1" s="1060"/>
      <c r="J1" s="1060"/>
      <c r="K1" s="1060"/>
      <c r="L1" s="1060"/>
      <c r="M1" s="1060"/>
      <c r="N1" s="1060"/>
      <c r="O1" s="1060"/>
      <c r="P1" s="1060"/>
      <c r="Q1" s="1060"/>
      <c r="R1" s="1060"/>
      <c r="S1" s="1060"/>
      <c r="T1" s="1060"/>
      <c r="U1" s="1060"/>
      <c r="V1" s="1060"/>
      <c r="W1" s="1060"/>
      <c r="X1" s="1060"/>
      <c r="Y1" s="1060"/>
      <c r="Z1" s="1060"/>
      <c r="AA1" s="1060"/>
      <c r="AB1" s="1060"/>
      <c r="AC1" s="1060"/>
      <c r="AD1" s="1060"/>
      <c r="AE1" s="1060"/>
      <c r="AF1" s="1060"/>
      <c r="AG1" s="1060"/>
      <c r="AH1" s="1060"/>
      <c r="AI1" s="1060"/>
      <c r="AJ1" s="1060"/>
      <c r="AK1" s="1060"/>
      <c r="AL1" s="1060"/>
      <c r="AM1" s="1060"/>
      <c r="AN1" s="1060"/>
      <c r="AO1" s="1060"/>
      <c r="AP1" s="1060"/>
      <c r="AQ1" s="1060"/>
      <c r="AR1" s="1060"/>
      <c r="AS1" s="1060"/>
      <c r="AT1" s="1060"/>
      <c r="AU1" s="1060"/>
      <c r="AV1" s="1060"/>
      <c r="AW1" s="1060"/>
      <c r="AX1" s="1060"/>
      <c r="AY1" s="1060"/>
      <c r="AZ1" s="1060"/>
      <c r="BA1" s="1060"/>
      <c r="BB1" s="1060"/>
      <c r="BC1" s="1060"/>
      <c r="BD1" s="1060"/>
      <c r="BE1" s="1060"/>
      <c r="BF1" s="1060"/>
      <c r="BG1" s="1060"/>
      <c r="BH1" s="1060"/>
      <c r="BI1" s="1060"/>
      <c r="BJ1" s="1060"/>
      <c r="BK1" s="1060"/>
      <c r="BL1" s="1060"/>
      <c r="BM1" s="1060"/>
      <c r="BN1" s="1060"/>
      <c r="BO1" s="1060"/>
      <c r="BP1" s="1060"/>
      <c r="BQ1" s="1060"/>
      <c r="BR1" s="1060"/>
      <c r="BS1" s="1060"/>
      <c r="BT1" s="1060"/>
      <c r="BU1" s="1060"/>
      <c r="BV1" s="1060"/>
      <c r="BW1" s="1060"/>
      <c r="BX1" s="1060"/>
      <c r="BY1" s="1060"/>
      <c r="BZ1" s="1060"/>
      <c r="CA1" s="1060"/>
      <c r="CB1" s="1060"/>
    </row>
    <row r="2" spans="1:86" s="1061" customFormat="1" ht="36" customHeight="1">
      <c r="A2" s="2731" t="s">
        <v>2510</v>
      </c>
      <c r="B2" s="2731"/>
      <c r="C2" s="2731"/>
      <c r="D2" s="2731"/>
      <c r="E2" s="2731"/>
      <c r="F2" s="2731"/>
      <c r="G2" s="2731"/>
      <c r="H2" s="2731"/>
      <c r="I2" s="2731"/>
      <c r="J2" s="2731"/>
      <c r="K2" s="2731"/>
      <c r="L2" s="2731"/>
      <c r="M2" s="2731"/>
      <c r="N2" s="2731"/>
      <c r="O2" s="2731"/>
      <c r="P2" s="2731"/>
      <c r="Q2" s="2731"/>
      <c r="R2" s="2731"/>
      <c r="S2" s="2731"/>
      <c r="T2" s="2731"/>
      <c r="U2" s="2731"/>
      <c r="V2" s="2731"/>
      <c r="W2" s="2731"/>
      <c r="X2" s="2731"/>
      <c r="Y2" s="2731"/>
      <c r="Z2" s="2731"/>
      <c r="AA2" s="2731"/>
      <c r="AB2" s="2731"/>
      <c r="AC2" s="2731"/>
      <c r="AD2" s="2731"/>
      <c r="AE2" s="2731"/>
      <c r="AF2" s="2731"/>
      <c r="AG2" s="2731"/>
      <c r="AH2" s="2731"/>
      <c r="AI2" s="2731"/>
      <c r="AJ2" s="2731"/>
      <c r="AK2" s="2731"/>
      <c r="AL2" s="2731"/>
      <c r="AM2" s="2731"/>
      <c r="AN2" s="2731"/>
      <c r="AO2" s="2731"/>
      <c r="AP2" s="2731"/>
      <c r="AQ2" s="2731"/>
      <c r="AR2" s="2731"/>
      <c r="AS2" s="2731"/>
      <c r="AT2" s="2731"/>
      <c r="AU2" s="2731"/>
      <c r="AV2" s="2731"/>
      <c r="AW2" s="2731"/>
      <c r="AX2" s="2731"/>
      <c r="AY2" s="2731"/>
      <c r="AZ2" s="2731"/>
      <c r="BA2" s="2731"/>
      <c r="BB2" s="2731"/>
      <c r="BC2" s="2731"/>
      <c r="BD2" s="2731"/>
      <c r="BE2" s="2731"/>
      <c r="BF2" s="2731"/>
      <c r="BG2" s="2731"/>
      <c r="BH2" s="2731"/>
      <c r="BI2" s="2731"/>
      <c r="BJ2" s="2731"/>
      <c r="BK2" s="2731"/>
      <c r="BL2" s="2731"/>
      <c r="BM2" s="2731"/>
      <c r="BN2" s="2731"/>
      <c r="BO2" s="2731"/>
      <c r="BP2" s="2731"/>
      <c r="BQ2" s="2731"/>
      <c r="BR2" s="2731"/>
      <c r="BS2" s="2731"/>
      <c r="BT2" s="2731"/>
      <c r="BU2" s="2731"/>
      <c r="BV2" s="2731"/>
      <c r="BW2" s="2731"/>
      <c r="BX2" s="2731"/>
      <c r="BY2" s="2731"/>
      <c r="BZ2" s="2731"/>
      <c r="CA2" s="2731"/>
      <c r="CB2" s="2731"/>
      <c r="CC2" s="2731"/>
      <c r="CD2" s="1062"/>
      <c r="CF2" s="1062"/>
      <c r="CH2" s="1062"/>
    </row>
    <row r="3" spans="1:86" s="1061" customFormat="1" ht="46.5" customHeight="1">
      <c r="A3" s="2732" t="s">
        <v>3266</v>
      </c>
      <c r="B3" s="2732"/>
      <c r="C3" s="2732"/>
      <c r="D3" s="2732"/>
      <c r="E3" s="2732"/>
      <c r="F3" s="2732"/>
      <c r="G3" s="2732"/>
      <c r="H3" s="2732"/>
      <c r="I3" s="2732"/>
      <c r="J3" s="2732"/>
      <c r="K3" s="2732"/>
      <c r="L3" s="2732"/>
      <c r="M3" s="2732"/>
      <c r="N3" s="2732"/>
      <c r="O3" s="2732"/>
      <c r="P3" s="2732"/>
      <c r="Q3" s="2732"/>
      <c r="R3" s="2732"/>
      <c r="S3" s="2732"/>
      <c r="T3" s="2732"/>
      <c r="U3" s="2732"/>
      <c r="V3" s="2732"/>
      <c r="W3" s="2732"/>
      <c r="X3" s="2732"/>
      <c r="Y3" s="2732"/>
      <c r="Z3" s="2732"/>
      <c r="AA3" s="2732"/>
      <c r="AB3" s="2732"/>
      <c r="AC3" s="2732"/>
      <c r="AD3" s="2732"/>
      <c r="AE3" s="2732"/>
      <c r="AF3" s="2732"/>
      <c r="AG3" s="2732"/>
      <c r="AH3" s="2732"/>
      <c r="AI3" s="2732"/>
      <c r="AJ3" s="2732"/>
      <c r="AK3" s="2732"/>
      <c r="AL3" s="2732"/>
      <c r="AM3" s="2732"/>
      <c r="AN3" s="2732"/>
      <c r="AO3" s="2732"/>
      <c r="AP3" s="2732"/>
      <c r="AQ3" s="2732"/>
      <c r="AR3" s="2732"/>
      <c r="AS3" s="2732"/>
      <c r="AT3" s="2732"/>
      <c r="AU3" s="2732"/>
      <c r="AV3" s="2732"/>
      <c r="AW3" s="2732"/>
      <c r="AX3" s="2732"/>
      <c r="AY3" s="2732"/>
      <c r="AZ3" s="2732"/>
      <c r="BA3" s="2732"/>
      <c r="BB3" s="2732"/>
      <c r="BC3" s="2732"/>
      <c r="BD3" s="2732"/>
      <c r="BE3" s="2732"/>
      <c r="BF3" s="2732"/>
      <c r="BG3" s="2732"/>
      <c r="BH3" s="2732"/>
      <c r="BI3" s="2732"/>
      <c r="BJ3" s="2732"/>
      <c r="BK3" s="2732"/>
      <c r="BL3" s="2732"/>
      <c r="BM3" s="2732"/>
      <c r="BN3" s="2732"/>
      <c r="BO3" s="2732"/>
      <c r="BP3" s="2732"/>
      <c r="BQ3" s="2732"/>
      <c r="BR3" s="2732"/>
      <c r="BS3" s="2732"/>
      <c r="BT3" s="2732"/>
      <c r="BU3" s="2732"/>
      <c r="BV3" s="2732"/>
      <c r="BW3" s="2732"/>
      <c r="BX3" s="2732"/>
      <c r="BY3" s="2732"/>
      <c r="BZ3" s="2732"/>
      <c r="CA3" s="2732"/>
      <c r="CB3" s="2732"/>
      <c r="CC3" s="2732"/>
      <c r="CD3" s="1062"/>
      <c r="CF3" s="1062"/>
      <c r="CH3" s="1062"/>
    </row>
    <row r="4" spans="1:86" ht="22.5" customHeight="1">
      <c r="A4" s="1063"/>
      <c r="B4" s="1063"/>
      <c r="C4" s="1063"/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299"/>
      <c r="O4" s="1299"/>
      <c r="P4" s="1299"/>
      <c r="Q4" s="1299"/>
      <c r="R4" s="1299"/>
      <c r="S4" s="1299"/>
      <c r="T4" s="1299"/>
      <c r="U4" s="1299"/>
      <c r="V4" s="1299"/>
      <c r="W4" s="1299"/>
      <c r="X4" s="1299"/>
      <c r="Y4" s="1299"/>
      <c r="Z4" s="1299"/>
      <c r="AA4" s="1299"/>
      <c r="AB4" s="1299"/>
      <c r="AC4" s="1299"/>
      <c r="AD4" s="1299"/>
      <c r="AE4" s="1299"/>
      <c r="AF4" s="1299"/>
      <c r="AG4" s="1299"/>
      <c r="AH4" s="1299"/>
      <c r="AI4" s="1299"/>
      <c r="AJ4" s="1299"/>
      <c r="AK4" s="1299"/>
      <c r="AL4" s="1299"/>
      <c r="AM4" s="1299"/>
      <c r="AN4" s="1299"/>
      <c r="AO4" s="1299"/>
      <c r="AP4" s="1299"/>
      <c r="AQ4" s="1299"/>
      <c r="AR4" s="1299"/>
      <c r="AS4" s="1299"/>
      <c r="AT4" s="1299"/>
      <c r="AU4" s="1299"/>
      <c r="AV4" s="1299"/>
      <c r="AW4" s="1299"/>
      <c r="AX4" s="1299"/>
      <c r="AY4" s="1299"/>
      <c r="AZ4" s="1299"/>
      <c r="BA4" s="1299"/>
      <c r="BB4" s="1299"/>
      <c r="BC4" s="1299"/>
      <c r="BD4" s="1299"/>
      <c r="BE4" s="1299"/>
      <c r="BF4" s="1299"/>
      <c r="BG4" s="1299"/>
      <c r="BH4" s="1299"/>
      <c r="BI4" s="1299"/>
      <c r="BJ4" s="1299"/>
      <c r="BK4" s="1299"/>
      <c r="BL4" s="1299"/>
      <c r="BM4" s="1299"/>
      <c r="BN4" s="1299"/>
      <c r="BO4" s="1299"/>
      <c r="BP4" s="1299"/>
      <c r="BQ4" s="1299"/>
      <c r="BR4" s="1299"/>
      <c r="BS4" s="1299"/>
      <c r="BT4" s="1299"/>
      <c r="BU4" s="1299"/>
      <c r="BV4" s="1299"/>
      <c r="BW4" s="1299"/>
      <c r="BX4" s="1299"/>
      <c r="BY4" s="1299"/>
      <c r="BZ4" s="1299"/>
      <c r="CA4" s="1299"/>
      <c r="CB4" s="1299"/>
      <c r="CC4" s="1299"/>
    </row>
    <row r="5" spans="1:86" ht="22.5" customHeight="1" thickBot="1">
      <c r="A5" s="1189"/>
      <c r="B5" s="1189"/>
      <c r="C5" s="1189"/>
      <c r="D5" s="1189"/>
      <c r="E5" s="1189"/>
      <c r="F5" s="1189"/>
      <c r="G5" s="1189"/>
      <c r="H5" s="1189"/>
      <c r="I5" s="1189"/>
      <c r="J5" s="1189"/>
      <c r="K5" s="1189"/>
      <c r="L5" s="1189"/>
      <c r="M5" s="1189"/>
      <c r="N5" s="1189"/>
      <c r="O5" s="1189"/>
      <c r="P5" s="1189"/>
      <c r="Q5" s="1189"/>
      <c r="R5" s="1189"/>
      <c r="S5" s="1189"/>
      <c r="T5" s="1189"/>
      <c r="U5" s="1189"/>
      <c r="V5" s="1189"/>
      <c r="W5" s="1189"/>
      <c r="X5" s="1189"/>
      <c r="Y5" s="1189"/>
      <c r="Z5" s="1189"/>
      <c r="AA5" s="1189"/>
      <c r="AB5" s="1189"/>
      <c r="AC5" s="1189"/>
      <c r="AD5" s="1189"/>
      <c r="AE5" s="1189"/>
      <c r="AF5" s="1189"/>
      <c r="AG5" s="1189"/>
      <c r="AH5" s="1189"/>
      <c r="AI5" s="2730" t="s">
        <v>8</v>
      </c>
      <c r="AJ5" s="2730"/>
      <c r="AK5" s="2730"/>
      <c r="AL5" s="2730"/>
      <c r="AM5" s="2730"/>
      <c r="AN5" s="2730"/>
      <c r="AO5" s="2730"/>
      <c r="AP5" s="2730"/>
      <c r="AQ5" s="2730"/>
      <c r="AR5" s="2730"/>
      <c r="AS5" s="2730"/>
      <c r="AT5" s="2730"/>
      <c r="AU5" s="2730"/>
      <c r="AV5" s="2730"/>
      <c r="AW5" s="2730"/>
      <c r="AX5" s="2730"/>
      <c r="AY5" s="2730"/>
      <c r="AZ5" s="2730"/>
      <c r="BA5" s="2730"/>
      <c r="BB5" s="2730"/>
      <c r="BC5" s="2730"/>
      <c r="BD5" s="2730"/>
      <c r="BE5" s="2730"/>
      <c r="BF5" s="2730"/>
      <c r="BG5" s="2730"/>
      <c r="BH5" s="2730"/>
      <c r="BI5" s="2730"/>
      <c r="BJ5" s="2730"/>
      <c r="BK5" s="2730"/>
      <c r="BL5" s="2730"/>
      <c r="BM5" s="2730"/>
      <c r="BN5" s="2730"/>
      <c r="BO5" s="2730"/>
      <c r="BP5" s="2730"/>
      <c r="BQ5" s="2730"/>
      <c r="BR5" s="2730"/>
      <c r="BS5" s="2730"/>
      <c r="BT5" s="2730"/>
      <c r="BU5" s="2730"/>
      <c r="BV5" s="2730"/>
      <c r="BW5" s="2730"/>
      <c r="BX5" s="2730"/>
      <c r="BY5" s="2730"/>
      <c r="BZ5" s="2730"/>
      <c r="CA5" s="2730"/>
      <c r="CB5" s="2730"/>
      <c r="CC5" s="2730"/>
    </row>
    <row r="6" spans="1:86" s="1067" customFormat="1" ht="39.6" customHeight="1" thickBot="1">
      <c r="A6" s="1064" t="s">
        <v>2268</v>
      </c>
      <c r="B6" s="1065">
        <v>43830</v>
      </c>
      <c r="C6" s="1065">
        <v>43861</v>
      </c>
      <c r="D6" s="1065">
        <v>43890</v>
      </c>
      <c r="E6" s="1065">
        <v>43921</v>
      </c>
      <c r="F6" s="1065">
        <v>43951</v>
      </c>
      <c r="G6" s="1065">
        <v>43982</v>
      </c>
      <c r="H6" s="1065">
        <v>44012</v>
      </c>
      <c r="I6" s="1065">
        <v>44043</v>
      </c>
      <c r="J6" s="1065">
        <v>44074</v>
      </c>
      <c r="K6" s="1065">
        <v>44104</v>
      </c>
      <c r="L6" s="1065">
        <v>44135</v>
      </c>
      <c r="M6" s="1065">
        <v>44165</v>
      </c>
      <c r="N6" s="1065">
        <v>44196</v>
      </c>
      <c r="O6" s="1065">
        <v>44227</v>
      </c>
      <c r="P6" s="1065">
        <v>44255</v>
      </c>
      <c r="Q6" s="1065">
        <v>44286</v>
      </c>
      <c r="R6" s="1065">
        <v>44316</v>
      </c>
      <c r="S6" s="1065">
        <v>44347</v>
      </c>
      <c r="T6" s="1065">
        <v>44377</v>
      </c>
      <c r="U6" s="1065">
        <v>44408</v>
      </c>
      <c r="V6" s="1065">
        <v>44439</v>
      </c>
      <c r="W6" s="1065">
        <v>44469</v>
      </c>
      <c r="X6" s="1065">
        <v>44500</v>
      </c>
      <c r="Y6" s="1066">
        <v>44530</v>
      </c>
      <c r="Z6" s="1066">
        <v>44561</v>
      </c>
      <c r="AA6" s="1065">
        <v>44592</v>
      </c>
      <c r="AB6" s="1065">
        <v>44620</v>
      </c>
      <c r="AC6" s="1065">
        <v>44651</v>
      </c>
      <c r="AD6" s="1065">
        <v>44681</v>
      </c>
      <c r="AE6" s="1065">
        <v>44712</v>
      </c>
      <c r="AF6" s="1065">
        <v>44742</v>
      </c>
      <c r="AG6" s="1065">
        <v>44773</v>
      </c>
      <c r="AH6" s="1065">
        <v>44804</v>
      </c>
      <c r="AI6" s="1065">
        <v>44834</v>
      </c>
      <c r="AJ6" s="1065">
        <v>44865</v>
      </c>
      <c r="AK6" s="1065">
        <v>44895</v>
      </c>
      <c r="AL6" s="1065">
        <v>44926</v>
      </c>
      <c r="AM6" s="1065">
        <v>44957</v>
      </c>
      <c r="AN6" s="1065">
        <v>44985</v>
      </c>
      <c r="AO6" s="1065">
        <v>45016</v>
      </c>
      <c r="AP6" s="1065">
        <v>45046</v>
      </c>
      <c r="AQ6" s="1065">
        <v>45077</v>
      </c>
      <c r="AR6" s="1065">
        <v>45107</v>
      </c>
      <c r="AS6" s="1065">
        <v>45138</v>
      </c>
      <c r="AT6" s="1065">
        <v>45169</v>
      </c>
      <c r="AU6" s="1065">
        <v>45199</v>
      </c>
      <c r="AV6" s="1065">
        <v>45230</v>
      </c>
      <c r="AW6" s="1065">
        <v>45260</v>
      </c>
      <c r="AX6" s="1065">
        <v>45291</v>
      </c>
      <c r="AY6" s="1065">
        <v>45322</v>
      </c>
      <c r="AZ6" s="1065">
        <v>45351</v>
      </c>
      <c r="BA6" s="1065">
        <v>45382</v>
      </c>
      <c r="BB6" s="1065">
        <v>45412</v>
      </c>
      <c r="BC6" s="1065">
        <v>45443</v>
      </c>
      <c r="BD6" s="1065">
        <v>45473</v>
      </c>
      <c r="BE6" s="1065">
        <v>45504</v>
      </c>
      <c r="BF6" s="1065">
        <v>45535</v>
      </c>
      <c r="BG6" s="1065">
        <v>45565</v>
      </c>
      <c r="BH6" s="1065">
        <v>45596</v>
      </c>
      <c r="BI6" s="1065">
        <v>45626</v>
      </c>
      <c r="BJ6" s="1065">
        <v>45657</v>
      </c>
      <c r="BK6" s="1065">
        <v>45688</v>
      </c>
      <c r="BL6" s="1065">
        <v>45716</v>
      </c>
      <c r="BM6" s="1065">
        <v>45747</v>
      </c>
      <c r="BN6" s="1065">
        <v>45777</v>
      </c>
      <c r="BO6" s="1065">
        <v>45808</v>
      </c>
      <c r="BP6" s="1065">
        <v>45838</v>
      </c>
      <c r="BQ6" s="1065">
        <v>45869</v>
      </c>
      <c r="BR6" s="1065">
        <v>45900</v>
      </c>
      <c r="BS6" s="1065">
        <v>45930</v>
      </c>
      <c r="BT6" s="1065">
        <v>45961</v>
      </c>
      <c r="BU6" s="1065">
        <v>45991</v>
      </c>
      <c r="BV6" s="1065">
        <v>46022</v>
      </c>
      <c r="BW6" s="2004">
        <v>46053</v>
      </c>
      <c r="BX6" s="2004">
        <v>46081</v>
      </c>
      <c r="BY6" s="2004">
        <v>46112</v>
      </c>
      <c r="BZ6" s="2004">
        <v>46142</v>
      </c>
      <c r="CA6" s="2004">
        <v>46173</v>
      </c>
      <c r="CB6" s="2004">
        <v>46203</v>
      </c>
      <c r="CC6" s="1300" t="s">
        <v>3589</v>
      </c>
      <c r="CD6" s="1068"/>
      <c r="CF6" s="1068"/>
      <c r="CH6" s="1068"/>
    </row>
    <row r="7" spans="1:86" s="1071" customFormat="1" ht="37.5" customHeight="1">
      <c r="A7" s="1403" t="s">
        <v>2267</v>
      </c>
      <c r="B7" s="1404">
        <v>1922.18350958</v>
      </c>
      <c r="C7" s="1404">
        <v>167.36582049</v>
      </c>
      <c r="D7" s="1404">
        <v>334.03538810999999</v>
      </c>
      <c r="E7" s="1404">
        <v>501.55130761999999</v>
      </c>
      <c r="F7" s="1404">
        <v>653.89601643000003</v>
      </c>
      <c r="G7" s="1404">
        <v>799.19558998000002</v>
      </c>
      <c r="H7" s="1404">
        <v>954.68306960999996</v>
      </c>
      <c r="I7" s="1404">
        <v>1109.78274633</v>
      </c>
      <c r="J7" s="1404">
        <v>1267.7251774399999</v>
      </c>
      <c r="K7" s="1404">
        <v>1427.51534152</v>
      </c>
      <c r="L7" s="1404">
        <v>1592.1122517900001</v>
      </c>
      <c r="M7" s="1404">
        <v>1759.35523304</v>
      </c>
      <c r="N7" s="1404">
        <v>1920.5161872599999</v>
      </c>
      <c r="O7" s="1404">
        <v>163.09612456799999</v>
      </c>
      <c r="P7" s="1404">
        <v>324.87427970300001</v>
      </c>
      <c r="Q7" s="1404">
        <v>495.287322179</v>
      </c>
      <c r="R7" s="1404">
        <v>662.59111928000004</v>
      </c>
      <c r="S7" s="1404">
        <v>835.10041541999999</v>
      </c>
      <c r="T7" s="1404">
        <v>1008.6153288100001</v>
      </c>
      <c r="U7" s="1404">
        <v>1184.6435380999999</v>
      </c>
      <c r="V7" s="1404">
        <v>1361.9870598699999</v>
      </c>
      <c r="W7" s="1404">
        <v>1545.79392233</v>
      </c>
      <c r="X7" s="1404">
        <v>1731.0328692400001</v>
      </c>
      <c r="Y7" s="1405">
        <v>1917.1504370099999</v>
      </c>
      <c r="Z7" s="1405">
        <v>2107.0247210399998</v>
      </c>
      <c r="AA7" s="1404">
        <v>189.15087209000001</v>
      </c>
      <c r="AB7" s="1404">
        <v>394.89526642999999</v>
      </c>
      <c r="AC7" s="1404">
        <v>604.17413112999998</v>
      </c>
      <c r="AD7" s="1404">
        <v>815.30793409000103</v>
      </c>
      <c r="AE7" s="1404">
        <v>1033.65586794</v>
      </c>
      <c r="AF7" s="1404">
        <v>1257.9714598979999</v>
      </c>
      <c r="AG7" s="1404">
        <v>1484.7675196499999</v>
      </c>
      <c r="AH7" s="1404">
        <v>1715.8009238300001</v>
      </c>
      <c r="AI7" s="1404">
        <v>1956.58075216</v>
      </c>
      <c r="AJ7" s="1404">
        <v>2211.5007660199999</v>
      </c>
      <c r="AK7" s="1404">
        <v>2470.2828386599999</v>
      </c>
      <c r="AL7" s="1404">
        <v>2738.8418421199999</v>
      </c>
      <c r="AM7" s="1404">
        <v>273.57439110000001</v>
      </c>
      <c r="AN7" s="1404">
        <v>549.5502735</v>
      </c>
      <c r="AO7" s="1404">
        <v>827.37658457999999</v>
      </c>
      <c r="AP7" s="1404">
        <v>1097.0944851162001</v>
      </c>
      <c r="AQ7" s="1404">
        <v>1385.9437322199999</v>
      </c>
      <c r="AR7" s="1404">
        <v>1668.7046987199999</v>
      </c>
      <c r="AS7" s="1404">
        <v>1976.19627056186</v>
      </c>
      <c r="AT7" s="1404">
        <v>2279.5175655057601</v>
      </c>
      <c r="AU7" s="1404">
        <v>2582.4460880603201</v>
      </c>
      <c r="AV7" s="1404">
        <v>2861.9390447081701</v>
      </c>
      <c r="AW7" s="1404">
        <v>3177.7258157361998</v>
      </c>
      <c r="AX7" s="1404">
        <v>3492.8988118673801</v>
      </c>
      <c r="AY7" s="1404">
        <v>320.986386051507</v>
      </c>
      <c r="AZ7" s="1404">
        <v>641.746127</v>
      </c>
      <c r="BA7" s="1404">
        <v>962.60027495999998</v>
      </c>
      <c r="BB7" s="1404">
        <v>1294.8679822292099</v>
      </c>
      <c r="BC7" s="1404">
        <v>1626.1919689199999</v>
      </c>
      <c r="BD7" s="1404">
        <v>1962.8785777325099</v>
      </c>
      <c r="BE7" s="1404">
        <v>2302.3561390998102</v>
      </c>
      <c r="BF7" s="1404">
        <v>2648.4693894366001</v>
      </c>
      <c r="BG7" s="1404">
        <v>2883.3558067899999</v>
      </c>
      <c r="BH7" s="1404">
        <v>3241.9586031499998</v>
      </c>
      <c r="BI7" s="1404">
        <v>3598.6330944800002</v>
      </c>
      <c r="BJ7" s="1404">
        <v>3969.80626199888</v>
      </c>
      <c r="BK7" s="1404">
        <v>377.24140877999997</v>
      </c>
      <c r="BL7" s="1404">
        <v>752.58851484000002</v>
      </c>
      <c r="BM7" s="1404">
        <v>1134.8575458099999</v>
      </c>
      <c r="BN7" s="1404">
        <v>1533.50248042</v>
      </c>
      <c r="BO7" s="1404">
        <v>1956.0462794299999</v>
      </c>
      <c r="BP7" s="1404">
        <v>2374.2844111200002</v>
      </c>
      <c r="BQ7" s="1404">
        <v>2814.09479345</v>
      </c>
      <c r="BR7" s="1404">
        <v>3237.7369606900002</v>
      </c>
      <c r="BS7" s="1404">
        <v>3666.7751384635399</v>
      </c>
      <c r="BT7" s="1404">
        <v>4105.6042739779996</v>
      </c>
      <c r="BU7" s="1404">
        <v>4554.1609344259996</v>
      </c>
      <c r="BV7" s="1404">
        <v>5000.9813215118202</v>
      </c>
      <c r="BW7" s="1404">
        <v>446.57423798000002</v>
      </c>
      <c r="BX7" s="1404">
        <v>886.67522236871105</v>
      </c>
      <c r="BY7" s="1404">
        <v>1342.12004418891</v>
      </c>
      <c r="BZ7" s="1404">
        <v>1798.6426311099999</v>
      </c>
      <c r="CA7" s="1404">
        <v>2259.1288458190002</v>
      </c>
      <c r="CB7" s="1404">
        <v>2733.2374065660001</v>
      </c>
      <c r="CC7" s="1406" t="s">
        <v>3590</v>
      </c>
      <c r="CD7" s="1070"/>
      <c r="CE7" s="1069"/>
      <c r="CF7" s="1070"/>
      <c r="CH7" s="1070"/>
    </row>
    <row r="8" spans="1:86" s="1071" customFormat="1" ht="37.5" customHeight="1">
      <c r="A8" s="1407" t="s">
        <v>2981</v>
      </c>
      <c r="B8" s="1408">
        <v>1421.5616915840001</v>
      </c>
      <c r="C8" s="1408">
        <v>131.11049270999999</v>
      </c>
      <c r="D8" s="1408">
        <v>264.19833334999998</v>
      </c>
      <c r="E8" s="1408">
        <v>399.2930715</v>
      </c>
      <c r="F8" s="1408">
        <v>520.10729892999996</v>
      </c>
      <c r="G8" s="1408">
        <v>633.62716278000005</v>
      </c>
      <c r="H8" s="1408">
        <v>758.46006046000002</v>
      </c>
      <c r="I8" s="1408">
        <v>881.24205788999996</v>
      </c>
      <c r="J8" s="1408">
        <v>1005.48281518</v>
      </c>
      <c r="K8" s="1408">
        <v>1132.10757388</v>
      </c>
      <c r="L8" s="1408">
        <v>1261.49743994</v>
      </c>
      <c r="M8" s="1408">
        <v>1393.6233150600001</v>
      </c>
      <c r="N8" s="1408">
        <v>1519.5306910300001</v>
      </c>
      <c r="O8" s="1408">
        <v>129.73309539799999</v>
      </c>
      <c r="P8" s="1408">
        <v>259.34639728299999</v>
      </c>
      <c r="Q8" s="1408">
        <v>394.15448168900002</v>
      </c>
      <c r="R8" s="1408">
        <v>527.68435718000001</v>
      </c>
      <c r="S8" s="1408">
        <v>665.04112633</v>
      </c>
      <c r="T8" s="1408">
        <v>805.71367308000004</v>
      </c>
      <c r="U8" s="1408">
        <v>948.36307151000005</v>
      </c>
      <c r="V8" s="1408">
        <v>1092.1127882200001</v>
      </c>
      <c r="W8" s="1408">
        <v>1242.4459611899999</v>
      </c>
      <c r="X8" s="1408">
        <v>1394.2931615699999</v>
      </c>
      <c r="Y8" s="1409">
        <v>1549.30984177</v>
      </c>
      <c r="Z8" s="1409">
        <v>1708.13883403</v>
      </c>
      <c r="AA8" s="1408">
        <v>158.20366501000001</v>
      </c>
      <c r="AB8" s="1408">
        <v>330.25666576999998</v>
      </c>
      <c r="AC8" s="1408">
        <v>501.421078010001</v>
      </c>
      <c r="AD8" s="1408">
        <v>674.32692543000098</v>
      </c>
      <c r="AE8" s="1408">
        <v>852.82972173000098</v>
      </c>
      <c r="AF8" s="1408">
        <v>1036.260445638</v>
      </c>
      <c r="AG8" s="1408">
        <v>1220.9233130800001</v>
      </c>
      <c r="AH8" s="1408">
        <v>1408.56574669</v>
      </c>
      <c r="AI8" s="1408">
        <v>1597.3454924299999</v>
      </c>
      <c r="AJ8" s="1408">
        <v>1795.6375033100001</v>
      </c>
      <c r="AK8" s="1408">
        <v>1993.34529484</v>
      </c>
      <c r="AL8" s="1408">
        <v>2194.4326419700001</v>
      </c>
      <c r="AM8" s="1408">
        <v>199.90132969999999</v>
      </c>
      <c r="AN8" s="1408">
        <v>404.82448291999998</v>
      </c>
      <c r="AO8" s="1408">
        <v>610.40047375999995</v>
      </c>
      <c r="AP8" s="1408">
        <v>810.02508126619603</v>
      </c>
      <c r="AQ8" s="1408">
        <v>1020.91702002</v>
      </c>
      <c r="AR8" s="1408">
        <v>1234.6859653700001</v>
      </c>
      <c r="AS8" s="1408">
        <v>1456.8567157218599</v>
      </c>
      <c r="AT8" s="1408">
        <v>1680.17393438576</v>
      </c>
      <c r="AU8" s="1408">
        <v>1903.1041786912399</v>
      </c>
      <c r="AV8" s="1408">
        <v>2101.7817550090899</v>
      </c>
      <c r="AW8" s="1408">
        <v>2336.6044774071102</v>
      </c>
      <c r="AX8" s="1408">
        <v>2573.7654502482901</v>
      </c>
      <c r="AY8" s="1408">
        <v>239.74393975479799</v>
      </c>
      <c r="AZ8" s="1408">
        <v>482.19490633542199</v>
      </c>
      <c r="BA8" s="1408">
        <v>729.13556042880498</v>
      </c>
      <c r="BB8" s="1408">
        <v>984.00768559689698</v>
      </c>
      <c r="BC8" s="1408">
        <v>1245.0169048569301</v>
      </c>
      <c r="BD8" s="1408">
        <v>1508.7679865908499</v>
      </c>
      <c r="BE8" s="1408">
        <v>1774.50027543684</v>
      </c>
      <c r="BF8" s="1408">
        <v>2048.8062521738302</v>
      </c>
      <c r="BG8" s="1408">
        <v>2232.6640800334499</v>
      </c>
      <c r="BH8" s="1408">
        <v>2518.8665417570701</v>
      </c>
      <c r="BI8" s="1408">
        <v>2807.7415887658599</v>
      </c>
      <c r="BJ8" s="1408">
        <v>3105.9405265241198</v>
      </c>
      <c r="BK8" s="1408">
        <v>294.87568012157499</v>
      </c>
      <c r="BL8" s="1408">
        <v>593.41393548143299</v>
      </c>
      <c r="BM8" s="1408">
        <v>897.75352956999996</v>
      </c>
      <c r="BN8" s="1408">
        <v>1206.7734978000001</v>
      </c>
      <c r="BO8" s="1408">
        <v>1540.723829</v>
      </c>
      <c r="BP8" s="1408">
        <v>1869.39257965</v>
      </c>
      <c r="BQ8" s="1408">
        <v>2212.7636613499999</v>
      </c>
      <c r="BR8" s="1408">
        <v>2544.6863860799999</v>
      </c>
      <c r="BS8" s="1408">
        <v>2887.0095409135401</v>
      </c>
      <c r="BT8" s="1408">
        <v>3234.6253361700001</v>
      </c>
      <c r="BU8" s="1408">
        <v>3585.0777325899999</v>
      </c>
      <c r="BV8" s="1408">
        <v>3946.6306205328201</v>
      </c>
      <c r="BW8" s="1408">
        <v>356.32546050000002</v>
      </c>
      <c r="BX8" s="1408">
        <v>714.75740183000005</v>
      </c>
      <c r="BY8" s="1408">
        <v>1081.3700246999999</v>
      </c>
      <c r="BZ8" s="1408">
        <v>1449.51507889</v>
      </c>
      <c r="CA8" s="1408">
        <v>1825.2440259800001</v>
      </c>
      <c r="CB8" s="1408">
        <v>2205.4051463001001</v>
      </c>
      <c r="CC8" s="1410" t="s">
        <v>3591</v>
      </c>
      <c r="CD8" s="1070"/>
      <c r="CE8" s="1069"/>
      <c r="CF8" s="1070"/>
      <c r="CH8" s="1070"/>
    </row>
    <row r="9" spans="1:86" s="1071" customFormat="1" ht="37.5" customHeight="1">
      <c r="A9" s="1411" t="s">
        <v>2982</v>
      </c>
      <c r="B9" s="1408">
        <v>44.026935348824097</v>
      </c>
      <c r="C9" s="1408">
        <v>4.6270340250172097</v>
      </c>
      <c r="D9" s="1408">
        <v>11.4544652022563</v>
      </c>
      <c r="E9" s="1408">
        <v>18.397967333355101</v>
      </c>
      <c r="F9" s="1408">
        <v>23.7770484480621</v>
      </c>
      <c r="G9" s="1408">
        <v>24.5471354302233</v>
      </c>
      <c r="H9" s="1408">
        <v>33.031389219522502</v>
      </c>
      <c r="I9" s="1408">
        <v>36.932245490731198</v>
      </c>
      <c r="J9" s="1408">
        <v>43.959787634119998</v>
      </c>
      <c r="K9" s="1408">
        <v>46.576227493418401</v>
      </c>
      <c r="L9" s="1408">
        <v>59.835957608528403</v>
      </c>
      <c r="M9" s="1408">
        <v>63.516491246918399</v>
      </c>
      <c r="N9" s="1408">
        <v>59.893042865429003</v>
      </c>
      <c r="O9" s="1408">
        <v>10.041754534100001</v>
      </c>
      <c r="P9" s="1408">
        <v>12.8088974888555</v>
      </c>
      <c r="Q9" s="1408">
        <v>14.558249609418001</v>
      </c>
      <c r="R9" s="1408">
        <v>12.648174050610001</v>
      </c>
      <c r="S9" s="1408">
        <v>14.236606472376501</v>
      </c>
      <c r="T9" s="1408">
        <v>15.173885405736</v>
      </c>
      <c r="U9" s="1408">
        <v>19.373225177868601</v>
      </c>
      <c r="V9" s="1408">
        <v>23.782275569883002</v>
      </c>
      <c r="W9" s="1408">
        <v>29.270552907037001</v>
      </c>
      <c r="X9" s="1408">
        <v>32.712899379935003</v>
      </c>
      <c r="Y9" s="1409">
        <v>31.664223531739999</v>
      </c>
      <c r="Z9" s="1409">
        <v>31.0856740926037</v>
      </c>
      <c r="AA9" s="1408">
        <v>4.47476270791541</v>
      </c>
      <c r="AB9" s="1408">
        <v>8.6984154809312209</v>
      </c>
      <c r="AC9" s="1408">
        <v>13.5441543823937</v>
      </c>
      <c r="AD9" s="1408">
        <v>13.8401624087554</v>
      </c>
      <c r="AE9" s="1408">
        <v>18.926761087097798</v>
      </c>
      <c r="AF9" s="1408">
        <v>22.1309346062</v>
      </c>
      <c r="AG9" s="1408">
        <v>27.701147217489201</v>
      </c>
      <c r="AH9" s="1408">
        <v>35.068537723368998</v>
      </c>
      <c r="AI9" s="1408">
        <v>37.052122632554799</v>
      </c>
      <c r="AJ9" s="1408">
        <v>41.535722500609197</v>
      </c>
      <c r="AK9" s="1408">
        <v>43.536139644071099</v>
      </c>
      <c r="AL9" s="1408">
        <v>40.462978024433802</v>
      </c>
      <c r="AM9" s="1408">
        <v>5.81591245141421</v>
      </c>
      <c r="AN9" s="1408">
        <v>12.4301786819554</v>
      </c>
      <c r="AO9" s="1408">
        <v>17.501649871033401</v>
      </c>
      <c r="AP9" s="1408">
        <v>22.5923985143035</v>
      </c>
      <c r="AQ9" s="1408">
        <v>26.4979943227119</v>
      </c>
      <c r="AR9" s="1408">
        <v>28.745792063661501</v>
      </c>
      <c r="AS9" s="1408">
        <v>33.552286157753002</v>
      </c>
      <c r="AT9" s="1408">
        <v>38.264516985956803</v>
      </c>
      <c r="AU9" s="1408">
        <v>40.020571388956803</v>
      </c>
      <c r="AV9" s="1408">
        <v>42.314191302417903</v>
      </c>
      <c r="AW9" s="1408">
        <v>43.881391879480397</v>
      </c>
      <c r="AX9" s="1408">
        <v>44.818891366930899</v>
      </c>
      <c r="AY9" s="1408">
        <v>7.3585658551320101</v>
      </c>
      <c r="AZ9" s="1408">
        <v>12.7415447994485</v>
      </c>
      <c r="BA9" s="1408">
        <v>17.834101450736</v>
      </c>
      <c r="BB9" s="1408">
        <v>21.791722423039801</v>
      </c>
      <c r="BC9" s="1408">
        <v>25.301407515039699</v>
      </c>
      <c r="BD9" s="1408">
        <v>31.635662751164599</v>
      </c>
      <c r="BE9" s="1408">
        <v>24.816987264366102</v>
      </c>
      <c r="BF9" s="1408">
        <v>36.094682598366099</v>
      </c>
      <c r="BG9" s="1408">
        <v>36.383522752875102</v>
      </c>
      <c r="BH9" s="1408">
        <v>25.564188347054898</v>
      </c>
      <c r="BI9" s="1408">
        <v>28.073225102204901</v>
      </c>
      <c r="BJ9" s="1408">
        <v>35.0189420393624</v>
      </c>
      <c r="BK9" s="1408">
        <v>25.831970952802902</v>
      </c>
      <c r="BL9" s="1408">
        <v>8.7942135686262706</v>
      </c>
      <c r="BM9" s="1408">
        <v>19.338963624726301</v>
      </c>
      <c r="BN9" s="1408">
        <v>21.609831681449901</v>
      </c>
      <c r="BO9" s="1408">
        <v>29.791138693773899</v>
      </c>
      <c r="BP9" s="1408">
        <v>33.640605571508402</v>
      </c>
      <c r="BQ9" s="1408">
        <v>3.8734391216900899</v>
      </c>
      <c r="BR9" s="1408">
        <v>45.096771787177097</v>
      </c>
      <c r="BS9" s="1408">
        <v>43.719524917655399</v>
      </c>
      <c r="BT9" s="1408">
        <v>45.442698587413197</v>
      </c>
      <c r="BU9" s="1408">
        <v>50.240765086053898</v>
      </c>
      <c r="BV9" s="1408">
        <v>47.371279056889897</v>
      </c>
      <c r="BW9" s="1408">
        <v>8.9249997872329505</v>
      </c>
      <c r="BX9" s="1408">
        <v>15.2324403856289</v>
      </c>
      <c r="BY9" s="1408">
        <v>21.874951790723301</v>
      </c>
      <c r="BZ9" s="1408">
        <v>25.408562517797701</v>
      </c>
      <c r="CA9" s="1408">
        <v>33.892981715811999</v>
      </c>
      <c r="CB9" s="1408">
        <v>38.613864371664199</v>
      </c>
      <c r="CC9" s="1412" t="s">
        <v>3592</v>
      </c>
      <c r="CD9" s="1070"/>
      <c r="CE9" s="1069"/>
      <c r="CF9" s="1070"/>
      <c r="CH9" s="1070"/>
    </row>
    <row r="10" spans="1:86" s="1071" customFormat="1" ht="37.5" customHeight="1">
      <c r="A10" s="1407" t="s">
        <v>2983</v>
      </c>
      <c r="B10" s="1408">
        <v>278.14437040599978</v>
      </c>
      <c r="C10" s="1408">
        <v>20.81439391</v>
      </c>
      <c r="D10" s="1408">
        <v>40.705028419999984</v>
      </c>
      <c r="E10" s="1408">
        <v>59.397419890000016</v>
      </c>
      <c r="F10" s="1408">
        <v>77.389534550000022</v>
      </c>
      <c r="G10" s="1408">
        <v>92.957434800000001</v>
      </c>
      <c r="H10" s="1408">
        <v>108.64220639000001</v>
      </c>
      <c r="I10" s="1408">
        <v>123.82178992</v>
      </c>
      <c r="J10" s="1408">
        <v>139.21802933000001</v>
      </c>
      <c r="K10" s="1408">
        <v>152.10475198999998</v>
      </c>
      <c r="L10" s="1408">
        <v>166.28208188000002</v>
      </c>
      <c r="M10" s="1408">
        <v>180.29035636</v>
      </c>
      <c r="N10" s="1408">
        <v>194.16260339000002</v>
      </c>
      <c r="O10" s="1408">
        <v>12.71505099</v>
      </c>
      <c r="P10" s="1408">
        <v>24.047755650000003</v>
      </c>
      <c r="Q10" s="1408">
        <v>36.372481909999998</v>
      </c>
      <c r="R10" s="1408">
        <v>48.357049529999998</v>
      </c>
      <c r="S10" s="1408">
        <v>60.866308199999999</v>
      </c>
      <c r="T10" s="1408">
        <v>71.873093999999995</v>
      </c>
      <c r="U10" s="1408">
        <v>83.223068149999989</v>
      </c>
      <c r="V10" s="1408">
        <v>94.705080080000002</v>
      </c>
      <c r="W10" s="1408">
        <v>105.87100833000001</v>
      </c>
      <c r="X10" s="1408">
        <v>117.41803273000001</v>
      </c>
      <c r="Y10" s="1409">
        <v>128.11040939</v>
      </c>
      <c r="Z10" s="1409">
        <v>137.74457970882258</v>
      </c>
      <c r="AA10" s="1408">
        <v>9.3992107399999991</v>
      </c>
      <c r="AB10" s="1408">
        <v>20.22420447</v>
      </c>
      <c r="AC10" s="1408">
        <v>31.536524610000001</v>
      </c>
      <c r="AD10" s="1408">
        <v>43.589743569999996</v>
      </c>
      <c r="AE10" s="1408">
        <v>57.278620749999995</v>
      </c>
      <c r="AF10" s="1408">
        <v>71.827452120000004</v>
      </c>
      <c r="AG10" s="1408">
        <v>86.747746829999997</v>
      </c>
      <c r="AH10" s="1408">
        <v>103.89231793</v>
      </c>
      <c r="AI10" s="1408">
        <v>125.57658256000001</v>
      </c>
      <c r="AJ10" s="1408">
        <v>150.01074874999998</v>
      </c>
      <c r="AK10" s="1408">
        <v>175.57222056000001</v>
      </c>
      <c r="AL10" s="1408">
        <v>202.70640779000001</v>
      </c>
      <c r="AM10" s="1408">
        <v>26.455791189999999</v>
      </c>
      <c r="AN10" s="1408">
        <v>52.272527910000001</v>
      </c>
      <c r="AO10" s="1408">
        <v>79.408409910000003</v>
      </c>
      <c r="AP10" s="1408">
        <v>106.40535190999999</v>
      </c>
      <c r="AQ10" s="1408">
        <v>137.03044426</v>
      </c>
      <c r="AR10" s="1408">
        <v>164.36272582000001</v>
      </c>
      <c r="AS10" s="1408">
        <v>199.52559661999999</v>
      </c>
      <c r="AT10" s="1408">
        <v>229.71598587</v>
      </c>
      <c r="AU10" s="1408">
        <v>260.06894892000003</v>
      </c>
      <c r="AV10" s="1408">
        <v>287.89653010000001</v>
      </c>
      <c r="AW10" s="1408">
        <v>320.56932941999997</v>
      </c>
      <c r="AX10" s="1408">
        <v>351.32536374</v>
      </c>
      <c r="AY10" s="1408">
        <v>32.855981336709199</v>
      </c>
      <c r="AZ10" s="1408">
        <v>63.598601114578301</v>
      </c>
      <c r="BA10" s="1408">
        <v>90.597341141195002</v>
      </c>
      <c r="BB10" s="1408">
        <v>120.08199637231399</v>
      </c>
      <c r="BC10" s="1408">
        <v>141.46581090306799</v>
      </c>
      <c r="BD10" s="1408">
        <v>165.920825951659</v>
      </c>
      <c r="BE10" s="1408">
        <v>183.53057664297</v>
      </c>
      <c r="BF10" s="1408">
        <v>205.92675297277401</v>
      </c>
      <c r="BG10" s="1408">
        <v>220.50821973654499</v>
      </c>
      <c r="BH10" s="1408">
        <v>244.26015390292599</v>
      </c>
      <c r="BI10" s="1408">
        <v>266.32908643413799</v>
      </c>
      <c r="BJ10" s="1408">
        <v>287.62488978475898</v>
      </c>
      <c r="BK10" s="1408">
        <v>20.902461138425</v>
      </c>
      <c r="BL10" s="1408">
        <v>41.184844688566699</v>
      </c>
      <c r="BM10" s="1408">
        <v>62.47201355</v>
      </c>
      <c r="BN10" s="1408">
        <v>86.861653160000003</v>
      </c>
      <c r="BO10" s="1408">
        <v>108.26637728999999</v>
      </c>
      <c r="BP10" s="1408">
        <v>137.47381211000001</v>
      </c>
      <c r="BQ10" s="1408">
        <v>172.77830600999999</v>
      </c>
      <c r="BR10" s="1408">
        <v>205.79486818999999</v>
      </c>
      <c r="BS10" s="1408">
        <v>238.63434520000001</v>
      </c>
      <c r="BT10" s="1408">
        <v>270.33615963</v>
      </c>
      <c r="BU10" s="1408">
        <v>305.31713709000002</v>
      </c>
      <c r="BV10" s="1408">
        <v>343.71758110000002</v>
      </c>
      <c r="BW10" s="1408">
        <v>33.500238359999997</v>
      </c>
      <c r="BX10" s="1408">
        <v>64.325576889999994</v>
      </c>
      <c r="BY10" s="1408">
        <v>100.8803728</v>
      </c>
      <c r="BZ10" s="1408">
        <v>137.04329494999999</v>
      </c>
      <c r="CA10" s="1408">
        <v>175.80114270999999</v>
      </c>
      <c r="CB10" s="1408">
        <v>220.18564974</v>
      </c>
      <c r="CC10" s="1410" t="s">
        <v>3593</v>
      </c>
      <c r="CD10" s="1070"/>
      <c r="CE10" s="1069"/>
      <c r="CF10" s="1070"/>
      <c r="CH10" s="1070"/>
    </row>
    <row r="11" spans="1:86" s="1071" customFormat="1" ht="37.5" customHeight="1">
      <c r="A11" s="1407" t="s">
        <v>2984</v>
      </c>
      <c r="B11" s="1408">
        <v>170.87955628999998</v>
      </c>
      <c r="C11" s="1408">
        <v>10.943830250000001</v>
      </c>
      <c r="D11" s="1408">
        <v>20.616287159999999</v>
      </c>
      <c r="E11" s="1408">
        <v>30.958997199999999</v>
      </c>
      <c r="F11" s="1408">
        <v>42.031088159999996</v>
      </c>
      <c r="G11" s="1408">
        <v>55.224163910000001</v>
      </c>
      <c r="H11" s="1408">
        <v>67.875867979999995</v>
      </c>
      <c r="I11" s="1408">
        <v>82.373402190000007</v>
      </c>
      <c r="J11" s="1408">
        <v>98.018741070000004</v>
      </c>
      <c r="K11" s="1408">
        <v>115.39330385</v>
      </c>
      <c r="L11" s="1408">
        <v>134.14191305</v>
      </c>
      <c r="M11" s="1408">
        <v>152.22158433000001</v>
      </c>
      <c r="N11" s="1408">
        <v>171.06510257000002</v>
      </c>
      <c r="O11" s="1408">
        <v>18.308235940000003</v>
      </c>
      <c r="P11" s="1408">
        <v>36.872118659999998</v>
      </c>
      <c r="Q11" s="1408">
        <v>57.96633988</v>
      </c>
      <c r="R11" s="1408">
        <v>77.447171040000001</v>
      </c>
      <c r="S11" s="1408">
        <v>97.913995830000005</v>
      </c>
      <c r="T11" s="1408">
        <v>117.44729229000001</v>
      </c>
      <c r="U11" s="1408">
        <v>137.12717845999998</v>
      </c>
      <c r="V11" s="1408">
        <v>157.02902245999999</v>
      </c>
      <c r="W11" s="1408">
        <v>177.01464837</v>
      </c>
      <c r="X11" s="1408">
        <v>196.25123473000002</v>
      </c>
      <c r="Y11" s="1409">
        <v>214.89037901</v>
      </c>
      <c r="Z11" s="1409">
        <v>233.94449924842701</v>
      </c>
      <c r="AA11" s="1408">
        <v>19.67357578</v>
      </c>
      <c r="AB11" s="1408">
        <v>40.543343759999999</v>
      </c>
      <c r="AC11" s="1408">
        <v>63.551696229999997</v>
      </c>
      <c r="AD11" s="1408">
        <v>85.717649960000003</v>
      </c>
      <c r="AE11" s="1408">
        <v>108.25741988</v>
      </c>
      <c r="AF11" s="1408">
        <v>129.75279</v>
      </c>
      <c r="AG11" s="1408">
        <v>151.52512707</v>
      </c>
      <c r="AH11" s="1408">
        <v>173.49937875000001</v>
      </c>
      <c r="AI11" s="1408">
        <v>196.23909086</v>
      </c>
      <c r="AJ11" s="1408">
        <v>220.49407858000001</v>
      </c>
      <c r="AK11" s="1408">
        <v>246.17794873000003</v>
      </c>
      <c r="AL11" s="1408">
        <v>275.12436678999995</v>
      </c>
      <c r="AM11" s="1408">
        <v>34.603138379999997</v>
      </c>
      <c r="AN11" s="1408">
        <v>67.047470579999995</v>
      </c>
      <c r="AO11" s="1408">
        <v>101.3831795</v>
      </c>
      <c r="AP11" s="1408">
        <v>133.21380685</v>
      </c>
      <c r="AQ11" s="1408">
        <v>167.71254127</v>
      </c>
      <c r="AR11" s="1408">
        <v>200.29875987</v>
      </c>
      <c r="AS11" s="1408">
        <v>238.78305362</v>
      </c>
      <c r="AT11" s="1408">
        <v>278.34161674000001</v>
      </c>
      <c r="AU11" s="1408">
        <v>317.1893</v>
      </c>
      <c r="AV11" s="1408">
        <v>358.65066990000003</v>
      </c>
      <c r="AW11" s="1408">
        <v>395.86968931000001</v>
      </c>
      <c r="AX11" s="1408">
        <v>432.27679770999998</v>
      </c>
      <c r="AY11" s="1408">
        <v>36.226071259999998</v>
      </c>
      <c r="AZ11" s="1408">
        <v>71.480219880000007</v>
      </c>
      <c r="BA11" s="1408">
        <v>106.90059036</v>
      </c>
      <c r="BB11" s="1408">
        <v>141.54675685999999</v>
      </c>
      <c r="BC11" s="1408">
        <v>177.97698317000001</v>
      </c>
      <c r="BD11" s="1408">
        <v>214.63071059999999</v>
      </c>
      <c r="BE11" s="1408">
        <v>254.94963349</v>
      </c>
      <c r="BF11" s="1408">
        <v>291.02724573</v>
      </c>
      <c r="BG11" s="1408">
        <v>323.4756605</v>
      </c>
      <c r="BH11" s="1408">
        <v>359.22673764000001</v>
      </c>
      <c r="BI11" s="1408">
        <v>392.71446350000002</v>
      </c>
      <c r="BJ11" s="1408">
        <v>429.32632551</v>
      </c>
      <c r="BK11" s="1408">
        <v>46.902866609999997</v>
      </c>
      <c r="BL11" s="1408">
        <v>89.855155019999998</v>
      </c>
      <c r="BM11" s="1408">
        <v>132.54189690000001</v>
      </c>
      <c r="BN11" s="1408">
        <v>183.36839275</v>
      </c>
      <c r="BO11" s="1408">
        <v>230.44944287999999</v>
      </c>
      <c r="BP11" s="1408">
        <v>278.01381685000001</v>
      </c>
      <c r="BQ11" s="1408">
        <v>326.34724226999998</v>
      </c>
      <c r="BR11" s="1408">
        <v>371.72409414999998</v>
      </c>
      <c r="BS11" s="1408">
        <v>417.49289637999999</v>
      </c>
      <c r="BT11" s="1408">
        <v>463.06692914799999</v>
      </c>
      <c r="BU11" s="1408">
        <v>505.86839138599998</v>
      </c>
      <c r="BV11" s="1408">
        <v>546.43123766899998</v>
      </c>
      <c r="BW11" s="1408">
        <v>45.555375789999999</v>
      </c>
      <c r="BX11" s="1408">
        <v>86.625622248710997</v>
      </c>
      <c r="BY11" s="1408">
        <v>128.48357485890901</v>
      </c>
      <c r="BZ11" s="1408">
        <v>164.01824436000001</v>
      </c>
      <c r="CA11" s="1408">
        <v>198.629921709</v>
      </c>
      <c r="CB11" s="1408">
        <v>235.03216271599999</v>
      </c>
      <c r="CC11" s="1410" t="s">
        <v>3594</v>
      </c>
      <c r="CD11" s="1070"/>
      <c r="CE11" s="1069"/>
      <c r="CF11" s="1070"/>
      <c r="CH11" s="1070"/>
    </row>
    <row r="12" spans="1:86" s="1071" customFormat="1" ht="37.5" customHeight="1">
      <c r="A12" s="1407" t="s">
        <v>2985</v>
      </c>
      <c r="B12" s="1408">
        <v>51.597891300000128</v>
      </c>
      <c r="C12" s="1408">
        <v>4.497103620000015</v>
      </c>
      <c r="D12" s="1408">
        <v>8.5157391800000184</v>
      </c>
      <c r="E12" s="1408">
        <v>11.901819029999977</v>
      </c>
      <c r="F12" s="1408">
        <v>14.368094790000058</v>
      </c>
      <c r="G12" s="1408">
        <v>17.386828489999971</v>
      </c>
      <c r="H12" s="1408">
        <v>19.704934779999931</v>
      </c>
      <c r="I12" s="1408">
        <v>22.345496330000046</v>
      </c>
      <c r="J12" s="1408">
        <v>25.005591859999925</v>
      </c>
      <c r="K12" s="1408">
        <v>27.909711799999997</v>
      </c>
      <c r="L12" s="1408">
        <v>30.190816920000003</v>
      </c>
      <c r="M12" s="1408">
        <v>33.219977289999918</v>
      </c>
      <c r="N12" s="1408">
        <v>35.757790269999816</v>
      </c>
      <c r="O12" s="1408">
        <v>2.3397422399999996</v>
      </c>
      <c r="P12" s="1408">
        <v>4.6080081100000285</v>
      </c>
      <c r="Q12" s="1408">
        <v>6.7940186999999739</v>
      </c>
      <c r="R12" s="1408">
        <v>9.102541530000039</v>
      </c>
      <c r="S12" s="1408">
        <v>11.278985059999997</v>
      </c>
      <c r="T12" s="1408">
        <v>13.581269440000028</v>
      </c>
      <c r="U12" s="1408">
        <v>15.930219979999862</v>
      </c>
      <c r="V12" s="1408">
        <v>18.140169109999846</v>
      </c>
      <c r="W12" s="1408">
        <v>20.462304440000054</v>
      </c>
      <c r="X12" s="1408">
        <v>23.070440210000129</v>
      </c>
      <c r="Y12" s="1409">
        <v>24.839806839999852</v>
      </c>
      <c r="Z12" s="1409">
        <v>27.196808052750214</v>
      </c>
      <c r="AA12" s="1408">
        <v>1.8744205599999972</v>
      </c>
      <c r="AB12" s="1408">
        <v>3.871052430000006</v>
      </c>
      <c r="AC12" s="1408">
        <v>7.6648322799989828</v>
      </c>
      <c r="AD12" s="1408">
        <v>11.673615130000044</v>
      </c>
      <c r="AE12" s="1408">
        <v>15.290105579999036</v>
      </c>
      <c r="AF12" s="1408">
        <v>20.130772139999948</v>
      </c>
      <c r="AG12" s="1408">
        <v>25.57133266999989</v>
      </c>
      <c r="AH12" s="1408">
        <v>29.843480460000137</v>
      </c>
      <c r="AI12" s="1408">
        <v>37.419586310000028</v>
      </c>
      <c r="AJ12" s="1408">
        <v>45.358435379999889</v>
      </c>
      <c r="AK12" s="1408">
        <v>55.187374529999943</v>
      </c>
      <c r="AL12" s="1408">
        <v>66.578425569999865</v>
      </c>
      <c r="AM12" s="1408">
        <v>12.61413183</v>
      </c>
      <c r="AN12" s="1408">
        <v>25.405792089999998</v>
      </c>
      <c r="AO12" s="1408">
        <v>36.184521410000002</v>
      </c>
      <c r="AP12" s="1408">
        <v>47.450245090000003</v>
      </c>
      <c r="AQ12" s="1408">
        <v>60.28372667</v>
      </c>
      <c r="AR12" s="1408">
        <v>69.357247659999999</v>
      </c>
      <c r="AS12" s="1408">
        <v>81.0309046</v>
      </c>
      <c r="AT12" s="1408">
        <v>91.286028509999994</v>
      </c>
      <c r="AU12" s="1408">
        <v>102.083660449083</v>
      </c>
      <c r="AV12" s="1408">
        <v>113.61008969908301</v>
      </c>
      <c r="AW12" s="1408">
        <v>124.682319599083</v>
      </c>
      <c r="AX12" s="1408">
        <v>135.53120016908301</v>
      </c>
      <c r="AY12" s="1408">
        <v>12.1603937</v>
      </c>
      <c r="AZ12" s="1408">
        <v>24.472399670000001</v>
      </c>
      <c r="BA12" s="1408">
        <v>35.966783030000002</v>
      </c>
      <c r="BB12" s="1408">
        <v>49.2315434</v>
      </c>
      <c r="BC12" s="1408">
        <v>61.732269989999999</v>
      </c>
      <c r="BD12" s="1408">
        <v>73.559054590000002</v>
      </c>
      <c r="BE12" s="1408">
        <v>89.375653529999994</v>
      </c>
      <c r="BF12" s="1408">
        <v>102.70913856</v>
      </c>
      <c r="BG12" s="1408">
        <v>106.70784652</v>
      </c>
      <c r="BH12" s="1408">
        <v>119.60516985</v>
      </c>
      <c r="BI12" s="1408">
        <v>131.84795578000001</v>
      </c>
      <c r="BJ12" s="1408">
        <v>146.91452018000001</v>
      </c>
      <c r="BK12" s="1408">
        <v>14.56040091</v>
      </c>
      <c r="BL12" s="1408">
        <v>28.134579649999999</v>
      </c>
      <c r="BM12" s="1408">
        <v>42.090105790000003</v>
      </c>
      <c r="BN12" s="1408">
        <v>56.498936710000002</v>
      </c>
      <c r="BO12" s="1408">
        <v>76.606630260000003</v>
      </c>
      <c r="BP12" s="1408">
        <v>89.404202510000104</v>
      </c>
      <c r="BQ12" s="1408">
        <v>102.20558382</v>
      </c>
      <c r="BR12" s="1408">
        <v>115.53161227</v>
      </c>
      <c r="BS12" s="1408">
        <v>123.63835597000001</v>
      </c>
      <c r="BT12" s="1408">
        <v>137.57584903</v>
      </c>
      <c r="BU12" s="1408">
        <v>157.89767336</v>
      </c>
      <c r="BV12" s="1408">
        <v>164.20188221000001</v>
      </c>
      <c r="BW12" s="1408">
        <v>11.193163330000001</v>
      </c>
      <c r="BX12" s="1408">
        <v>20.966621400000001</v>
      </c>
      <c r="BY12" s="1408">
        <v>31.386071829999999</v>
      </c>
      <c r="BZ12" s="1408">
        <v>48.066012909999998</v>
      </c>
      <c r="CA12" s="1408">
        <v>59.45375542</v>
      </c>
      <c r="CB12" s="1408">
        <v>72.614447809901407</v>
      </c>
      <c r="CC12" s="1410" t="s">
        <v>3595</v>
      </c>
      <c r="CD12" s="1070"/>
      <c r="CE12" s="1069"/>
      <c r="CF12" s="1070"/>
      <c r="CH12" s="1070"/>
    </row>
    <row r="13" spans="1:86" s="1071" customFormat="1" ht="37.5" customHeight="1">
      <c r="A13" s="1411" t="s">
        <v>2266</v>
      </c>
      <c r="B13" s="1408">
        <v>547.88021661000005</v>
      </c>
      <c r="C13" s="1408">
        <v>47.601786760000003</v>
      </c>
      <c r="D13" s="1408">
        <v>92.444297849999998</v>
      </c>
      <c r="E13" s="1408">
        <v>134.87535634</v>
      </c>
      <c r="F13" s="1408">
        <v>170.1848809</v>
      </c>
      <c r="G13" s="1408">
        <v>201.17893853000001</v>
      </c>
      <c r="H13" s="1408">
        <v>241.16265116</v>
      </c>
      <c r="I13" s="1408">
        <v>281.64015332000002</v>
      </c>
      <c r="J13" s="1408">
        <v>322.29072158999998</v>
      </c>
      <c r="K13" s="1408">
        <v>362.44819914999999</v>
      </c>
      <c r="L13" s="1408">
        <v>408.2261939</v>
      </c>
      <c r="M13" s="1408">
        <v>451.20833531</v>
      </c>
      <c r="N13" s="1408">
        <v>492.54256068000001</v>
      </c>
      <c r="O13" s="1408">
        <v>43.443109620000001</v>
      </c>
      <c r="P13" s="1408">
        <v>85.745534340000006</v>
      </c>
      <c r="Q13" s="1408">
        <v>129.00739529000001</v>
      </c>
      <c r="R13" s="1408">
        <v>173.7585871</v>
      </c>
      <c r="S13" s="1408">
        <v>219.24497445</v>
      </c>
      <c r="T13" s="1408">
        <v>262.58779770000001</v>
      </c>
      <c r="U13" s="1408">
        <v>307.07677116000002</v>
      </c>
      <c r="V13" s="1408">
        <v>352.74422120000003</v>
      </c>
      <c r="W13" s="1408">
        <v>397.05689237000001</v>
      </c>
      <c r="X13" s="1408">
        <v>448.01144536999999</v>
      </c>
      <c r="Y13" s="1409">
        <v>490.94436571</v>
      </c>
      <c r="Z13" s="1409">
        <v>538.42681282000001</v>
      </c>
      <c r="AA13" s="1408">
        <v>46.312053810000002</v>
      </c>
      <c r="AB13" s="1408">
        <v>96.010953529999995</v>
      </c>
      <c r="AC13" s="1408">
        <v>143.36095099000099</v>
      </c>
      <c r="AD13" s="1408">
        <v>192.94012753750101</v>
      </c>
      <c r="AE13" s="1408">
        <v>245.10555164000101</v>
      </c>
      <c r="AF13" s="1408">
        <v>297.61723190000203</v>
      </c>
      <c r="AG13" s="1408">
        <v>352.61466219000198</v>
      </c>
      <c r="AH13" s="1408">
        <v>409.78643362000298</v>
      </c>
      <c r="AI13" s="1408">
        <v>467.41806101000299</v>
      </c>
      <c r="AJ13" s="1408">
        <v>528.74461715000302</v>
      </c>
      <c r="AK13" s="1408">
        <v>592.79980589000502</v>
      </c>
      <c r="AL13" s="1408">
        <v>657.80020985000499</v>
      </c>
      <c r="AM13" s="1408">
        <v>67.181827190000007</v>
      </c>
      <c r="AN13" s="1408">
        <v>134.01506075</v>
      </c>
      <c r="AO13" s="1408">
        <v>200.28434100000001</v>
      </c>
      <c r="AP13" s="1408">
        <v>268.35041928999999</v>
      </c>
      <c r="AQ13" s="1408">
        <v>335.23474764700001</v>
      </c>
      <c r="AR13" s="1408">
        <v>405.52060576999997</v>
      </c>
      <c r="AS13" s="1408">
        <v>478.29792848800003</v>
      </c>
      <c r="AT13" s="1408">
        <v>553.73419890000002</v>
      </c>
      <c r="AU13" s="1408">
        <v>628.74312277000001</v>
      </c>
      <c r="AV13" s="1408">
        <v>677.88667132</v>
      </c>
      <c r="AW13" s="1408">
        <v>755.74668654000004</v>
      </c>
      <c r="AX13" s="1408">
        <v>839.36268940000002</v>
      </c>
      <c r="AY13" s="1408">
        <v>86.44751334</v>
      </c>
      <c r="AZ13" s="1408">
        <v>172.47825943000001</v>
      </c>
      <c r="BA13" s="1408">
        <v>259.73728591999998</v>
      </c>
      <c r="BB13" s="1408">
        <v>352.42137148</v>
      </c>
      <c r="BC13" s="1408">
        <v>450.74913791699998</v>
      </c>
      <c r="BD13" s="1408">
        <v>551.85641078000003</v>
      </c>
      <c r="BE13" s="1408">
        <v>660.59799349000002</v>
      </c>
      <c r="BF13" s="1408">
        <v>773.95167844000002</v>
      </c>
      <c r="BG13" s="1408">
        <v>848.30375327000002</v>
      </c>
      <c r="BH13" s="1408">
        <v>969.43167086000005</v>
      </c>
      <c r="BI13" s="1408">
        <v>1091.20564565</v>
      </c>
      <c r="BJ13" s="1408">
        <v>1214.7349744600001</v>
      </c>
      <c r="BK13" s="1408">
        <v>134.17234056000001</v>
      </c>
      <c r="BL13" s="1408">
        <v>262.75726338999999</v>
      </c>
      <c r="BM13" s="1408">
        <v>399.01294909000001</v>
      </c>
      <c r="BN13" s="1408">
        <v>541.50303165000003</v>
      </c>
      <c r="BO13" s="1408">
        <v>695.05955673000005</v>
      </c>
      <c r="BP13" s="1408">
        <v>853.71448323000004</v>
      </c>
      <c r="BQ13" s="1408">
        <v>1020.52427406</v>
      </c>
      <c r="BR13" s="1408">
        <v>1176.5925597299999</v>
      </c>
      <c r="BS13" s="1408">
        <v>1341.1123708</v>
      </c>
      <c r="BT13" s="1408">
        <v>1507.9270423</v>
      </c>
      <c r="BU13" s="1408">
        <v>1676.1710019</v>
      </c>
      <c r="BV13" s="1408">
        <v>1847.8976494200001</v>
      </c>
      <c r="BW13" s="1408">
        <v>165.73417703999999</v>
      </c>
      <c r="BX13" s="1408">
        <v>327.86217317000001</v>
      </c>
      <c r="BY13" s="1408">
        <v>495.38432728999999</v>
      </c>
      <c r="BZ13" s="1408">
        <v>663.44912889298098</v>
      </c>
      <c r="CA13" s="1408">
        <v>831.90633281999999</v>
      </c>
      <c r="CB13" s="1408">
        <v>1006.50553743</v>
      </c>
      <c r="CC13" s="1412" t="s">
        <v>3596</v>
      </c>
      <c r="CD13" s="1070"/>
      <c r="CE13" s="1069"/>
      <c r="CF13" s="1070"/>
      <c r="CH13" s="1070"/>
    </row>
    <row r="14" spans="1:86" s="1071" customFormat="1" ht="37.5" customHeight="1">
      <c r="A14" s="1407" t="s">
        <v>2265</v>
      </c>
      <c r="B14" s="1408">
        <v>372.35475868999998</v>
      </c>
      <c r="C14" s="1408">
        <v>32.638438540000003</v>
      </c>
      <c r="D14" s="1408">
        <v>64.860481120000003</v>
      </c>
      <c r="E14" s="1408">
        <v>91.535804799999994</v>
      </c>
      <c r="F14" s="1408">
        <v>111.35617584000001</v>
      </c>
      <c r="G14" s="1408">
        <v>130.03879531999999</v>
      </c>
      <c r="H14" s="1408">
        <v>154.39488537</v>
      </c>
      <c r="I14" s="1408">
        <v>179.08557185000001</v>
      </c>
      <c r="J14" s="1408">
        <v>204.44773873</v>
      </c>
      <c r="K14" s="1408">
        <v>231.0388222</v>
      </c>
      <c r="L14" s="1408">
        <v>258.34628736000002</v>
      </c>
      <c r="M14" s="1408">
        <v>285.69008399000001</v>
      </c>
      <c r="N14" s="1408">
        <v>312.86389374999999</v>
      </c>
      <c r="O14" s="1408">
        <v>27.616060740000002</v>
      </c>
      <c r="P14" s="1408">
        <v>54.527394999999999</v>
      </c>
      <c r="Q14" s="1408">
        <v>82.558359159999995</v>
      </c>
      <c r="R14" s="1408">
        <v>111.41453525</v>
      </c>
      <c r="S14" s="1408">
        <v>141.69789879999999</v>
      </c>
      <c r="T14" s="1408">
        <v>172.92726016</v>
      </c>
      <c r="U14" s="1408">
        <v>201.62411054</v>
      </c>
      <c r="V14" s="1408">
        <v>231.9696299</v>
      </c>
      <c r="W14" s="1408">
        <v>263.70316704999999</v>
      </c>
      <c r="X14" s="1408">
        <v>296.42873539999999</v>
      </c>
      <c r="Y14" s="1409">
        <v>329.21707875999999</v>
      </c>
      <c r="Z14" s="1409">
        <v>362.26719543000002</v>
      </c>
      <c r="AA14" s="1408">
        <v>33.059568220000003</v>
      </c>
      <c r="AB14" s="1408">
        <v>66.187438589999999</v>
      </c>
      <c r="AC14" s="1408">
        <v>100.00116489000099</v>
      </c>
      <c r="AD14" s="1408">
        <v>134.32201600000101</v>
      </c>
      <c r="AE14" s="1408">
        <v>169.772595660001</v>
      </c>
      <c r="AF14" s="1408">
        <v>205.925754900002</v>
      </c>
      <c r="AG14" s="1408">
        <v>244.98202833000201</v>
      </c>
      <c r="AH14" s="1408">
        <v>284.60583688000298</v>
      </c>
      <c r="AI14" s="1408">
        <v>324.35249061000297</v>
      </c>
      <c r="AJ14" s="1408">
        <v>367.64522229000301</v>
      </c>
      <c r="AK14" s="1408">
        <v>412.55570776000502</v>
      </c>
      <c r="AL14" s="1408">
        <v>458.98606618000503</v>
      </c>
      <c r="AM14" s="1408">
        <v>48.041807550000001</v>
      </c>
      <c r="AN14" s="1408">
        <v>96.255995170000006</v>
      </c>
      <c r="AO14" s="1408">
        <v>142.78879875999999</v>
      </c>
      <c r="AP14" s="1408">
        <v>190.46716581999999</v>
      </c>
      <c r="AQ14" s="1408">
        <v>237.84861348999999</v>
      </c>
      <c r="AR14" s="1408">
        <v>288.48219508</v>
      </c>
      <c r="AS14" s="1408">
        <v>341.40717395799999</v>
      </c>
      <c r="AT14" s="1408">
        <v>395.17018883999998</v>
      </c>
      <c r="AU14" s="1408">
        <v>449.89676867999998</v>
      </c>
      <c r="AV14" s="1408">
        <v>479.94500348999998</v>
      </c>
      <c r="AW14" s="1408">
        <v>536.54010631000006</v>
      </c>
      <c r="AX14" s="1408">
        <v>595.96840538000004</v>
      </c>
      <c r="AY14" s="1408">
        <v>62.114248443333402</v>
      </c>
      <c r="AZ14" s="1408">
        <v>125.46146073</v>
      </c>
      <c r="BA14" s="1408">
        <v>191.41553549</v>
      </c>
      <c r="BB14" s="1408">
        <v>260.94340198999998</v>
      </c>
      <c r="BC14" s="1408">
        <v>332.72201811666702</v>
      </c>
      <c r="BD14" s="1408">
        <v>406.98525861333297</v>
      </c>
      <c r="BE14" s="1408">
        <v>487.59240027666698</v>
      </c>
      <c r="BF14" s="1408">
        <v>570.38297234000004</v>
      </c>
      <c r="BG14" s="1408">
        <v>636.43153443000006</v>
      </c>
      <c r="BH14" s="1408">
        <v>725.79966029000002</v>
      </c>
      <c r="BI14" s="1408">
        <v>813.43260320000002</v>
      </c>
      <c r="BJ14" s="1408">
        <v>905.43108104999999</v>
      </c>
      <c r="BK14" s="1408">
        <v>100.77819739</v>
      </c>
      <c r="BL14" s="1408">
        <v>197.60492787999999</v>
      </c>
      <c r="BM14" s="1408">
        <v>298.92437430000001</v>
      </c>
      <c r="BN14" s="1408">
        <v>392.46131980000001</v>
      </c>
      <c r="BO14" s="1408">
        <v>498.64611735</v>
      </c>
      <c r="BP14" s="1408">
        <v>608.09201228999996</v>
      </c>
      <c r="BQ14" s="1408">
        <v>717.44745144000001</v>
      </c>
      <c r="BR14" s="1408">
        <v>827.45295328999998</v>
      </c>
      <c r="BS14" s="1408">
        <v>938.13004811999997</v>
      </c>
      <c r="BT14" s="1408">
        <v>1052.7705374</v>
      </c>
      <c r="BU14" s="1408">
        <v>1164.19738003</v>
      </c>
      <c r="BV14" s="1408">
        <v>1281.9649607199999</v>
      </c>
      <c r="BW14" s="1408">
        <v>117.72143145</v>
      </c>
      <c r="BX14" s="1408">
        <v>235.00845906000001</v>
      </c>
      <c r="BY14" s="1408">
        <v>357.08096356999999</v>
      </c>
      <c r="BZ14" s="1408">
        <v>480.55035296</v>
      </c>
      <c r="CA14" s="1408">
        <v>603.60614168500001</v>
      </c>
      <c r="CB14" s="1408">
        <v>731.18915183000001</v>
      </c>
      <c r="CC14" s="1410" t="s">
        <v>3597</v>
      </c>
      <c r="CD14" s="1070"/>
      <c r="CE14" s="1069"/>
      <c r="CF14" s="1070"/>
      <c r="CH14" s="1070"/>
    </row>
    <row r="15" spans="1:86" s="1071" customFormat="1" ht="37.5" customHeight="1">
      <c r="A15" s="1411" t="s">
        <v>2986</v>
      </c>
      <c r="B15" s="1408">
        <v>343.07353831333302</v>
      </c>
      <c r="C15" s="1408">
        <v>30.22530742</v>
      </c>
      <c r="D15" s="1408">
        <v>60.708178750000002</v>
      </c>
      <c r="E15" s="1408">
        <v>85.421183190000008</v>
      </c>
      <c r="F15" s="1408">
        <v>104.67940378</v>
      </c>
      <c r="G15" s="1408">
        <v>123.42655450999999</v>
      </c>
      <c r="H15" s="1408">
        <v>145.33799035999999</v>
      </c>
      <c r="I15" s="1408">
        <v>168.68256138999999</v>
      </c>
      <c r="J15" s="1408">
        <v>192.38071596999998</v>
      </c>
      <c r="K15" s="1408">
        <v>217.00514679999998</v>
      </c>
      <c r="L15" s="1408">
        <v>242.35503927000002</v>
      </c>
      <c r="M15" s="1408">
        <v>266.33716489</v>
      </c>
      <c r="N15" s="1408">
        <v>292.18078932999998</v>
      </c>
      <c r="O15" s="1408">
        <v>27.032718729999999</v>
      </c>
      <c r="P15" s="1408">
        <v>52.899305409999997</v>
      </c>
      <c r="Q15" s="1408">
        <v>80.029680000000013</v>
      </c>
      <c r="R15" s="1408">
        <v>107.86792407</v>
      </c>
      <c r="S15" s="1408">
        <v>137.00142996</v>
      </c>
      <c r="T15" s="1408">
        <v>167.19063990999999</v>
      </c>
      <c r="U15" s="1408">
        <v>194.94359341999998</v>
      </c>
      <c r="V15" s="1408">
        <v>223.64797007999999</v>
      </c>
      <c r="W15" s="1408">
        <v>254.40946406</v>
      </c>
      <c r="X15" s="1408">
        <v>285.96194958000001</v>
      </c>
      <c r="Y15" s="1409">
        <v>317.42608853000002</v>
      </c>
      <c r="Z15" s="1409">
        <v>349.51441993999998</v>
      </c>
      <c r="AA15" s="1408">
        <v>31.760313889999999</v>
      </c>
      <c r="AB15" s="1408">
        <v>63.199327120000007</v>
      </c>
      <c r="AC15" s="1408">
        <v>95.277764980000001</v>
      </c>
      <c r="AD15" s="1408">
        <v>128.14272854999999</v>
      </c>
      <c r="AE15" s="1408">
        <v>162.93416773000001</v>
      </c>
      <c r="AF15" s="1408">
        <v>193.62540927000001</v>
      </c>
      <c r="AG15" s="1408">
        <v>229.53965640999999</v>
      </c>
      <c r="AH15" s="1408">
        <v>265.69480062999997</v>
      </c>
      <c r="AI15" s="1408">
        <v>301.98941665000001</v>
      </c>
      <c r="AJ15" s="1408">
        <v>339.79040101999999</v>
      </c>
      <c r="AK15" s="1408">
        <v>378.66234365000003</v>
      </c>
      <c r="AL15" s="1408">
        <v>418.67921678000005</v>
      </c>
      <c r="AM15" s="1408">
        <v>37.74582255</v>
      </c>
      <c r="AN15" s="1408">
        <v>75.985990220000005</v>
      </c>
      <c r="AO15" s="1408">
        <v>115.60642398</v>
      </c>
      <c r="AP15" s="1408">
        <v>155.74324211000001</v>
      </c>
      <c r="AQ15" s="1408">
        <v>196.2995981</v>
      </c>
      <c r="AR15" s="1408">
        <v>239.09904176000001</v>
      </c>
      <c r="AS15" s="1408">
        <v>285.20958350799998</v>
      </c>
      <c r="AT15" s="1408">
        <v>331.23423338999999</v>
      </c>
      <c r="AU15" s="1408">
        <v>378.72485756999998</v>
      </c>
      <c r="AV15" s="1408">
        <v>401.43263174999998</v>
      </c>
      <c r="AW15" s="1408">
        <v>450.40125374000002</v>
      </c>
      <c r="AX15" s="1408">
        <v>499.50625821</v>
      </c>
      <c r="AY15" s="1408">
        <v>53.235416653333303</v>
      </c>
      <c r="AZ15" s="1408">
        <v>107.07922381</v>
      </c>
      <c r="BA15" s="1408">
        <v>164.71606568999999</v>
      </c>
      <c r="BB15" s="1408">
        <v>224.12078306999999</v>
      </c>
      <c r="BC15" s="1408">
        <v>285.412365696667</v>
      </c>
      <c r="BD15" s="1408">
        <v>350.426169463333</v>
      </c>
      <c r="BE15" s="1408">
        <v>418.79182404666699</v>
      </c>
      <c r="BF15" s="1408">
        <v>489.47364879000003</v>
      </c>
      <c r="BG15" s="1408">
        <v>547.15882725999995</v>
      </c>
      <c r="BH15" s="1408">
        <v>622.90406925000002</v>
      </c>
      <c r="BI15" s="1408">
        <v>703.39523986999995</v>
      </c>
      <c r="BJ15" s="1408">
        <v>779.43911607999996</v>
      </c>
      <c r="BK15" s="1408">
        <v>47.17023262</v>
      </c>
      <c r="BL15" s="1408">
        <v>171.58228668000001</v>
      </c>
      <c r="BM15" s="1408">
        <v>259.94857430000002</v>
      </c>
      <c r="BN15" s="1408">
        <v>308.48939134</v>
      </c>
      <c r="BO15" s="1408">
        <v>395.69815850999998</v>
      </c>
      <c r="BP15" s="1408">
        <v>481.12396868000002</v>
      </c>
      <c r="BQ15" s="1408">
        <v>569.18829299000004</v>
      </c>
      <c r="BR15" s="1408">
        <v>658.44571718999998</v>
      </c>
      <c r="BS15" s="1408">
        <v>739.53894704000004</v>
      </c>
      <c r="BT15" s="1408">
        <v>829.32592503000001</v>
      </c>
      <c r="BU15" s="1408">
        <v>918.87914822000005</v>
      </c>
      <c r="BV15" s="1408">
        <v>1003.27010408</v>
      </c>
      <c r="BW15" s="1408">
        <v>95.360740140000004</v>
      </c>
      <c r="BX15" s="1408">
        <v>196.40915088</v>
      </c>
      <c r="BY15" s="1408">
        <v>290.12913681999999</v>
      </c>
      <c r="BZ15" s="1408">
        <v>387.17905862499998</v>
      </c>
      <c r="CA15" s="1408">
        <v>485.07791236999998</v>
      </c>
      <c r="CB15" s="1408">
        <v>584.62730094999995</v>
      </c>
      <c r="CC15" s="1412" t="s">
        <v>3598</v>
      </c>
      <c r="CD15" s="1070"/>
      <c r="CE15" s="1069"/>
      <c r="CF15" s="1070"/>
      <c r="CH15" s="1070"/>
    </row>
    <row r="16" spans="1:86" s="1071" customFormat="1" ht="37.5" customHeight="1">
      <c r="A16" s="1407" t="s">
        <v>2987</v>
      </c>
      <c r="B16" s="1408">
        <v>100.50703</v>
      </c>
      <c r="C16" s="1408">
        <v>8.1771599899999998</v>
      </c>
      <c r="D16" s="1408">
        <v>16.49925605</v>
      </c>
      <c r="E16" s="1408">
        <v>25.3591804</v>
      </c>
      <c r="F16" s="1408">
        <v>34.263219140000004</v>
      </c>
      <c r="G16" s="1408">
        <v>40.053230639999995</v>
      </c>
      <c r="H16" s="1408">
        <v>48.629548030000009</v>
      </c>
      <c r="I16" s="1408">
        <v>56.659804829999992</v>
      </c>
      <c r="J16" s="1408">
        <v>64.762398860000005</v>
      </c>
      <c r="K16" s="1408">
        <v>73.518683440000004</v>
      </c>
      <c r="L16" s="1408">
        <v>81.162522670000001</v>
      </c>
      <c r="M16" s="1408">
        <v>88.874423700000008</v>
      </c>
      <c r="N16" s="1408">
        <v>96.76730053</v>
      </c>
      <c r="O16" s="1408">
        <v>7.3612604800000003</v>
      </c>
      <c r="P16" s="1408">
        <v>14.928021879999999</v>
      </c>
      <c r="Q16" s="1408">
        <v>22.412648499999996</v>
      </c>
      <c r="R16" s="1408">
        <v>29.711434059999998</v>
      </c>
      <c r="S16" s="1408">
        <v>37.205600490000002</v>
      </c>
      <c r="T16" s="1408">
        <v>43.096359100000001</v>
      </c>
      <c r="U16" s="1408">
        <v>51.055666349999996</v>
      </c>
      <c r="V16" s="1408">
        <v>62.337085939999994</v>
      </c>
      <c r="W16" s="1408">
        <v>70.624915720000004</v>
      </c>
      <c r="X16" s="1408">
        <v>80.056743279999992</v>
      </c>
      <c r="Y16" s="1409">
        <v>87.95810990999999</v>
      </c>
      <c r="Z16" s="1409">
        <v>96.900946187854814</v>
      </c>
      <c r="AA16" s="1408">
        <v>7.7462051599999997</v>
      </c>
      <c r="AB16" s="1408">
        <v>19.115000430000002</v>
      </c>
      <c r="AC16" s="1408">
        <v>27.803757099999981</v>
      </c>
      <c r="AD16" s="1408">
        <v>34.895005579999996</v>
      </c>
      <c r="AE16" s="1408">
        <v>44.770328589999998</v>
      </c>
      <c r="AF16" s="1408">
        <v>54.941426290000003</v>
      </c>
      <c r="AG16" s="1408">
        <v>65.32609909</v>
      </c>
      <c r="AH16" s="1408">
        <v>76.160271469999998</v>
      </c>
      <c r="AI16" s="1408">
        <v>88.205393169999994</v>
      </c>
      <c r="AJ16" s="1408">
        <v>99.284737100000015</v>
      </c>
      <c r="AK16" s="1408">
        <v>110.53454195999998</v>
      </c>
      <c r="AL16" s="1408">
        <v>122.24876301</v>
      </c>
      <c r="AM16" s="1408">
        <v>12.269709649999999</v>
      </c>
      <c r="AN16" s="1408">
        <v>24.106857089999998</v>
      </c>
      <c r="AO16" s="1408">
        <v>36.718360850000003</v>
      </c>
      <c r="AP16" s="1408">
        <v>49.850404320000003</v>
      </c>
      <c r="AQ16" s="1408">
        <v>62.827472069999999</v>
      </c>
      <c r="AR16" s="1408">
        <v>75.143789479999995</v>
      </c>
      <c r="AS16" s="1408">
        <v>87.632992790000003</v>
      </c>
      <c r="AT16" s="1408">
        <v>100.99677293000001</v>
      </c>
      <c r="AU16" s="1408">
        <v>114.10363549</v>
      </c>
      <c r="AV16" s="1408">
        <v>124.39091703</v>
      </c>
      <c r="AW16" s="1408">
        <v>136.74628003000001</v>
      </c>
      <c r="AX16" s="1408">
        <v>146.54393855000001</v>
      </c>
      <c r="AY16" s="1408">
        <v>17.049983080000001</v>
      </c>
      <c r="AZ16" s="1408">
        <v>32.251625629999999</v>
      </c>
      <c r="BA16" s="1408">
        <v>47.153013970000003</v>
      </c>
      <c r="BB16" s="1408">
        <v>62.160082279999997</v>
      </c>
      <c r="BC16" s="1408">
        <v>79.310652570000002</v>
      </c>
      <c r="BD16" s="1408">
        <v>97.520652119999994</v>
      </c>
      <c r="BE16" s="1408">
        <v>107.11642797</v>
      </c>
      <c r="BF16" s="1408">
        <v>125.52384253</v>
      </c>
      <c r="BG16" s="1408">
        <v>135.16100906</v>
      </c>
      <c r="BH16" s="1408">
        <v>155.29924399000001</v>
      </c>
      <c r="BI16" s="1408">
        <v>176.05728647000001</v>
      </c>
      <c r="BJ16" s="1408">
        <v>196.45353057</v>
      </c>
      <c r="BK16" s="1408">
        <v>19.96386416</v>
      </c>
      <c r="BL16" s="1408">
        <v>39.683880899999998</v>
      </c>
      <c r="BM16" s="1408">
        <v>59.817046040000001</v>
      </c>
      <c r="BN16" s="1408">
        <v>84.582868099999999</v>
      </c>
      <c r="BO16" s="1408">
        <v>113.57789963</v>
      </c>
      <c r="BP16" s="1408">
        <v>135.99246886</v>
      </c>
      <c r="BQ16" s="1408">
        <v>161.68184724</v>
      </c>
      <c r="BR16" s="1408">
        <v>184.7693769</v>
      </c>
      <c r="BS16" s="1408">
        <v>216.21641937000001</v>
      </c>
      <c r="BT16" s="1408">
        <v>242.93169981</v>
      </c>
      <c r="BU16" s="1408">
        <v>272.56772715</v>
      </c>
      <c r="BV16" s="1408">
        <v>302.61714764999999</v>
      </c>
      <c r="BW16" s="1408">
        <v>33.144092890000003</v>
      </c>
      <c r="BX16" s="1408">
        <v>64.501712350000005</v>
      </c>
      <c r="BY16" s="1408">
        <v>95.626664869999999</v>
      </c>
      <c r="BZ16" s="1408">
        <v>125.42912160298</v>
      </c>
      <c r="CA16" s="1408">
        <v>155.286013655</v>
      </c>
      <c r="CB16" s="1408">
        <v>187.79346086999999</v>
      </c>
      <c r="CC16" s="1410" t="s">
        <v>3599</v>
      </c>
      <c r="CD16" s="1070"/>
      <c r="CE16" s="1069"/>
      <c r="CF16" s="1070"/>
      <c r="CH16" s="1070"/>
    </row>
    <row r="17" spans="1:86" s="1071" customFormat="1" ht="37.5" customHeight="1">
      <c r="A17" s="1407" t="s">
        <v>3251</v>
      </c>
      <c r="B17" s="1408">
        <v>75.018427920000008</v>
      </c>
      <c r="C17" s="1408">
        <v>6.7861882299999996</v>
      </c>
      <c r="D17" s="1408">
        <v>11.084560679999999</v>
      </c>
      <c r="E17" s="1413">
        <v>17.980371139999999</v>
      </c>
      <c r="F17" s="1413">
        <v>24.56548592</v>
      </c>
      <c r="G17" s="1414">
        <v>31.086912570000003</v>
      </c>
      <c r="H17" s="1414">
        <v>38.138217759999996</v>
      </c>
      <c r="I17" s="1414">
        <v>45.894776639999996</v>
      </c>
      <c r="J17" s="1414">
        <v>53.080583999999995</v>
      </c>
      <c r="K17" s="1414">
        <v>57.890693510000006</v>
      </c>
      <c r="L17" s="1414">
        <v>68.717383869999992</v>
      </c>
      <c r="M17" s="1408">
        <v>76.643827619999996</v>
      </c>
      <c r="N17" s="1408">
        <v>82.911366399999991</v>
      </c>
      <c r="O17" s="1408">
        <v>8.465788400000001</v>
      </c>
      <c r="P17" s="1415">
        <v>16.290117460000001</v>
      </c>
      <c r="Q17" s="1415">
        <v>24.03638763</v>
      </c>
      <c r="R17" s="1415">
        <v>32.632617789999998</v>
      </c>
      <c r="S17" s="1415">
        <v>40.341475160000002</v>
      </c>
      <c r="T17" s="1415">
        <v>46.564178439999992</v>
      </c>
      <c r="U17" s="1415">
        <v>54.39699427</v>
      </c>
      <c r="V17" s="1415">
        <v>58.437505360000003</v>
      </c>
      <c r="W17" s="1415">
        <v>62.728809599999998</v>
      </c>
      <c r="X17" s="1415">
        <v>71.525966690000004</v>
      </c>
      <c r="Y17" s="1416">
        <v>73.769177040000002</v>
      </c>
      <c r="Z17" s="1416">
        <v>79.258671202145322</v>
      </c>
      <c r="AA17" s="1414">
        <v>5.5062804300000003</v>
      </c>
      <c r="AB17" s="1414">
        <v>10.708514510000001</v>
      </c>
      <c r="AC17" s="1414">
        <v>15.556029000000001</v>
      </c>
      <c r="AD17" s="1414">
        <v>23.7231059575</v>
      </c>
      <c r="AE17" s="1414">
        <v>30.562627389999999</v>
      </c>
      <c r="AF17" s="1414">
        <v>36.750050710000004</v>
      </c>
      <c r="AG17" s="1414">
        <v>42.306534769999999</v>
      </c>
      <c r="AH17" s="1414">
        <v>49.020325270000001</v>
      </c>
      <c r="AI17" s="1414">
        <v>54.860177229999991</v>
      </c>
      <c r="AJ17" s="1414">
        <v>61.814657760000003</v>
      </c>
      <c r="AK17" s="1414">
        <v>69.709556169999999</v>
      </c>
      <c r="AL17" s="1414">
        <v>76.565380660000002</v>
      </c>
      <c r="AM17" s="1414">
        <v>6.87030999</v>
      </c>
      <c r="AN17" s="1414">
        <v>13.65220849</v>
      </c>
      <c r="AO17" s="1414">
        <v>20.777181389999999</v>
      </c>
      <c r="AP17" s="1414">
        <v>28.032849150000001</v>
      </c>
      <c r="AQ17" s="1414">
        <v>34.558662087000002</v>
      </c>
      <c r="AR17" s="1414">
        <v>41.894621209999997</v>
      </c>
      <c r="AS17" s="1414">
        <v>49.257761739999999</v>
      </c>
      <c r="AT17" s="1414">
        <v>57.567237130000002</v>
      </c>
      <c r="AU17" s="1414">
        <v>64.742718600000003</v>
      </c>
      <c r="AV17" s="1414">
        <v>73.550750800000003</v>
      </c>
      <c r="AW17" s="1414">
        <v>82.460300200000006</v>
      </c>
      <c r="AX17" s="1414">
        <v>96.850345469999993</v>
      </c>
      <c r="AY17" s="1414">
        <v>7.28328181666667</v>
      </c>
      <c r="AZ17" s="1414">
        <v>14.765173069999999</v>
      </c>
      <c r="BA17" s="1414">
        <v>21.168736460000002</v>
      </c>
      <c r="BB17" s="1414">
        <v>29.317887209999899</v>
      </c>
      <c r="BC17" s="1414">
        <v>38.716467230333301</v>
      </c>
      <c r="BD17" s="1414">
        <v>47.350500046666703</v>
      </c>
      <c r="BE17" s="1414">
        <v>65.889165243333295</v>
      </c>
      <c r="BF17" s="1414">
        <v>78.044863570000004</v>
      </c>
      <c r="BG17" s="1414">
        <v>76.711209780000004</v>
      </c>
      <c r="BH17" s="1414">
        <v>88.332766579999998</v>
      </c>
      <c r="BI17" s="1414">
        <v>101.71575598</v>
      </c>
      <c r="BJ17" s="1414">
        <v>112.85036284</v>
      </c>
      <c r="BK17" s="1414">
        <v>13.43027901</v>
      </c>
      <c r="BL17" s="1414">
        <v>25.468454609999998</v>
      </c>
      <c r="BM17" s="1414">
        <v>40.271528750000002</v>
      </c>
      <c r="BN17" s="1414">
        <v>64.45884375</v>
      </c>
      <c r="BO17" s="1414">
        <v>82.835539749999995</v>
      </c>
      <c r="BP17" s="1414">
        <v>109.63000208</v>
      </c>
      <c r="BQ17" s="1414">
        <v>141.39497538000001</v>
      </c>
      <c r="BR17" s="1414">
        <v>164.37022954</v>
      </c>
      <c r="BS17" s="1414">
        <v>186.76590331</v>
      </c>
      <c r="BT17" s="1414">
        <v>212.22480508999999</v>
      </c>
      <c r="BU17" s="1414">
        <v>239.40589471999999</v>
      </c>
      <c r="BV17" s="1414">
        <v>263.31554104999998</v>
      </c>
      <c r="BW17" s="1414">
        <v>14.8686527</v>
      </c>
      <c r="BX17" s="1414">
        <v>28.35200176</v>
      </c>
      <c r="BY17" s="1414">
        <v>42.676698850000001</v>
      </c>
      <c r="BZ17" s="1414">
        <v>57.469654329999997</v>
      </c>
      <c r="CA17" s="1414">
        <v>73.014177480000001</v>
      </c>
      <c r="CB17" s="1414">
        <v>87.52292473</v>
      </c>
      <c r="CC17" s="1410" t="s">
        <v>3600</v>
      </c>
      <c r="CD17" s="1070"/>
      <c r="CE17" s="1069"/>
      <c r="CF17" s="1070"/>
      <c r="CH17" s="1070"/>
    </row>
    <row r="18" spans="1:86" s="1071" customFormat="1" ht="37.5" customHeight="1">
      <c r="A18" s="1411" t="s">
        <v>2988</v>
      </c>
      <c r="B18" s="1408">
        <v>1330.2763576211801</v>
      </c>
      <c r="C18" s="1408">
        <v>115.136999704983</v>
      </c>
      <c r="D18" s="1408">
        <v>230.136625057744</v>
      </c>
      <c r="E18" s="1408">
        <v>348.27798394664501</v>
      </c>
      <c r="F18" s="1408">
        <v>459.934087081938</v>
      </c>
      <c r="G18" s="1408">
        <v>573.46951601977696</v>
      </c>
      <c r="H18" s="1408">
        <v>680.48902923047797</v>
      </c>
      <c r="I18" s="1408">
        <v>791.21034751926902</v>
      </c>
      <c r="J18" s="1408">
        <v>901.47466821588</v>
      </c>
      <c r="K18" s="1408">
        <v>1018.49091487658</v>
      </c>
      <c r="L18" s="1408">
        <v>1124.0501002814699</v>
      </c>
      <c r="M18" s="1408">
        <v>1244.6304064830799</v>
      </c>
      <c r="N18" s="1408">
        <v>1368.0805837145699</v>
      </c>
      <c r="O18" s="1408">
        <v>109.6112604139</v>
      </c>
      <c r="P18" s="1408">
        <v>226.31984787414501</v>
      </c>
      <c r="Q18" s="1408">
        <v>351.72167727958202</v>
      </c>
      <c r="R18" s="1408">
        <v>476.18435812938998</v>
      </c>
      <c r="S18" s="1408">
        <v>601.61883449762297</v>
      </c>
      <c r="T18" s="1408">
        <v>730.85364570426395</v>
      </c>
      <c r="U18" s="1408">
        <v>858.19354176213096</v>
      </c>
      <c r="V18" s="1408">
        <v>985.46056310011704</v>
      </c>
      <c r="W18" s="1408">
        <v>1119.46647705296</v>
      </c>
      <c r="X18" s="1408">
        <v>1250.3085244900601</v>
      </c>
      <c r="Y18" s="1409">
        <v>1394.5418477682599</v>
      </c>
      <c r="Z18" s="1409">
        <v>1537.5122341274</v>
      </c>
      <c r="AA18" s="1408">
        <v>138.36405557208499</v>
      </c>
      <c r="AB18" s="1408">
        <v>290.18589741906902</v>
      </c>
      <c r="AC18" s="1408">
        <v>447.26902575760602</v>
      </c>
      <c r="AD18" s="1408">
        <v>608.52764414374496</v>
      </c>
      <c r="AE18" s="1408">
        <v>769.62355521290203</v>
      </c>
      <c r="AF18" s="1408">
        <v>938.22329339179998</v>
      </c>
      <c r="AG18" s="1408">
        <v>1104.45171024251</v>
      </c>
      <c r="AH18" s="1408">
        <v>1270.9459524866299</v>
      </c>
      <c r="AI18" s="1408">
        <v>1452.11056851745</v>
      </c>
      <c r="AJ18" s="1408">
        <v>1641.22042636939</v>
      </c>
      <c r="AK18" s="1408">
        <v>1833.94689312593</v>
      </c>
      <c r="AL18" s="1408">
        <v>2040.5786542455701</v>
      </c>
      <c r="AM18" s="1408">
        <v>200.57665145858601</v>
      </c>
      <c r="AN18" s="1408">
        <v>403.10503406804497</v>
      </c>
      <c r="AO18" s="1408">
        <v>609.59059370896705</v>
      </c>
      <c r="AP18" s="1408">
        <v>806.15166731189299</v>
      </c>
      <c r="AQ18" s="1408">
        <v>1024.21099025029</v>
      </c>
      <c r="AR18" s="1408">
        <v>1234.4383008863399</v>
      </c>
      <c r="AS18" s="1408">
        <v>1464.3460559161099</v>
      </c>
      <c r="AT18" s="1408">
        <v>1687.51884961981</v>
      </c>
      <c r="AU18" s="1408">
        <v>1913.68239390136</v>
      </c>
      <c r="AV18" s="1408">
        <v>2141.7381820857599</v>
      </c>
      <c r="AW18" s="1408">
        <v>2378.0977373167202</v>
      </c>
      <c r="AX18" s="1408">
        <v>2608.7172311004401</v>
      </c>
      <c r="AY18" s="1408">
        <v>227.18030685637501</v>
      </c>
      <c r="AZ18" s="1408">
        <v>456.52632277055102</v>
      </c>
      <c r="BA18" s="1408">
        <v>685.02888758926395</v>
      </c>
      <c r="BB18" s="1408">
        <v>920.65488832617098</v>
      </c>
      <c r="BC18" s="1408">
        <v>1150.1414234879601</v>
      </c>
      <c r="BD18" s="1408">
        <v>1379.3865042013499</v>
      </c>
      <c r="BE18" s="1408">
        <v>1616.94115834544</v>
      </c>
      <c r="BF18" s="1408">
        <v>1838.4230283982399</v>
      </c>
      <c r="BG18" s="1408">
        <v>1998.66853076712</v>
      </c>
      <c r="BH18" s="1408">
        <v>2246.9627439429401</v>
      </c>
      <c r="BI18" s="1408">
        <v>2479.3542237278002</v>
      </c>
      <c r="BJ18" s="1408">
        <v>2720.05234549952</v>
      </c>
      <c r="BK18" s="1408">
        <v>217.23709726719699</v>
      </c>
      <c r="BL18" s="1408">
        <v>481.03703788137398</v>
      </c>
      <c r="BM18" s="1408">
        <v>716.50563309527399</v>
      </c>
      <c r="BN18" s="1408">
        <v>970.38961708855004</v>
      </c>
      <c r="BO18" s="1408">
        <v>1231.1955840062301</v>
      </c>
      <c r="BP18" s="1408">
        <v>1486.92932231849</v>
      </c>
      <c r="BQ18" s="1408">
        <v>1789.6970802683099</v>
      </c>
      <c r="BR18" s="1408">
        <v>2016.0476291728201</v>
      </c>
      <c r="BS18" s="1408">
        <v>2281.9432427458901</v>
      </c>
      <c r="BT18" s="1408">
        <v>2552.23453309059</v>
      </c>
      <c r="BU18" s="1408">
        <v>2827.7491674399498</v>
      </c>
      <c r="BV18" s="1408">
        <v>3105.7123930349298</v>
      </c>
      <c r="BW18" s="1408">
        <v>271.91506115276701</v>
      </c>
      <c r="BX18" s="1408">
        <v>543.58060881308199</v>
      </c>
      <c r="BY18" s="1408">
        <v>824.860765108186</v>
      </c>
      <c r="BZ18" s="1408">
        <v>1109.7849396992201</v>
      </c>
      <c r="CA18" s="1408">
        <v>1393.3295312831899</v>
      </c>
      <c r="CB18" s="1408">
        <v>1688.11800476433</v>
      </c>
      <c r="CC18" s="1412" t="s">
        <v>3601</v>
      </c>
      <c r="CD18" s="1070"/>
      <c r="CE18" s="1069"/>
      <c r="CF18" s="1070"/>
      <c r="CH18" s="1070"/>
    </row>
    <row r="19" spans="1:86" s="1071" customFormat="1" ht="37.5" customHeight="1">
      <c r="A19" s="1411" t="s">
        <v>2264</v>
      </c>
      <c r="B19" s="1408">
        <v>723.72507134</v>
      </c>
      <c r="C19" s="1408">
        <v>50.10405317</v>
      </c>
      <c r="D19" s="1408">
        <v>109.88105006000001</v>
      </c>
      <c r="E19" s="1408">
        <v>173.97197801999999</v>
      </c>
      <c r="F19" s="1408">
        <v>222.00232753</v>
      </c>
      <c r="G19" s="1408">
        <v>263.08640856</v>
      </c>
      <c r="H19" s="1408">
        <v>319.45122091000002</v>
      </c>
      <c r="I19" s="1408">
        <v>373.30741052000002</v>
      </c>
      <c r="J19" s="1408">
        <v>425.78752899</v>
      </c>
      <c r="K19" s="1408">
        <v>484.31416364</v>
      </c>
      <c r="L19" s="1408">
        <v>538.63744197000005</v>
      </c>
      <c r="M19" s="1408">
        <v>590.80885416000001</v>
      </c>
      <c r="N19" s="1408">
        <v>672.09659682999995</v>
      </c>
      <c r="O19" s="1408">
        <v>49.649908021999998</v>
      </c>
      <c r="P19" s="1408">
        <v>104.888694007</v>
      </c>
      <c r="Q19" s="1408">
        <v>170.78305272099999</v>
      </c>
      <c r="R19" s="1408">
        <v>236.32745337</v>
      </c>
      <c r="S19" s="1408">
        <v>334.17356974</v>
      </c>
      <c r="T19" s="1408">
        <v>418.90089870000003</v>
      </c>
      <c r="U19" s="1408">
        <v>487.94976728</v>
      </c>
      <c r="V19" s="1408">
        <v>575.12139235999996</v>
      </c>
      <c r="W19" s="1408">
        <v>625.12020948999998</v>
      </c>
      <c r="X19" s="1408">
        <v>701.99568292000004</v>
      </c>
      <c r="Y19" s="1409">
        <v>776.06907005999994</v>
      </c>
      <c r="Z19" s="1409">
        <v>875.97401637999997</v>
      </c>
      <c r="AA19" s="1408">
        <v>74.478056850000002</v>
      </c>
      <c r="AB19" s="1408">
        <v>143.99798763000001</v>
      </c>
      <c r="AC19" s="1408">
        <v>225.87735233999999</v>
      </c>
      <c r="AD19" s="1408">
        <v>327.38652169</v>
      </c>
      <c r="AE19" s="1408">
        <v>426.00718202000002</v>
      </c>
      <c r="AF19" s="1408">
        <v>533.87349017999998</v>
      </c>
      <c r="AG19" s="1408">
        <v>646.67816355000002</v>
      </c>
      <c r="AH19" s="1408">
        <v>762.32143624000003</v>
      </c>
      <c r="AI19" s="1408">
        <v>869.92494148369701</v>
      </c>
      <c r="AJ19" s="1408">
        <v>971.18270125000004</v>
      </c>
      <c r="AK19" s="1408">
        <v>1077.7916701900001</v>
      </c>
      <c r="AL19" s="1408">
        <v>1215.9753310640101</v>
      </c>
      <c r="AM19" s="1408">
        <v>84.614915719999999</v>
      </c>
      <c r="AN19" s="1408">
        <v>177.94012014</v>
      </c>
      <c r="AO19" s="1408">
        <v>275.51184685999999</v>
      </c>
      <c r="AP19" s="1408">
        <v>374.93552029976303</v>
      </c>
      <c r="AQ19" s="1408">
        <v>480.36249457000002</v>
      </c>
      <c r="AR19" s="1408">
        <v>598.49614171999997</v>
      </c>
      <c r="AS19" s="1408">
        <v>738.05869712000003</v>
      </c>
      <c r="AT19" s="1408">
        <v>860.94677231000003</v>
      </c>
      <c r="AU19" s="1408">
        <v>988.53276723120996</v>
      </c>
      <c r="AV19" s="1408">
        <v>1086.8048615800001</v>
      </c>
      <c r="AW19" s="1408">
        <v>1215.6781739400001</v>
      </c>
      <c r="AX19" s="1408">
        <v>1368.2014305</v>
      </c>
      <c r="AY19" s="1408">
        <v>141.71190128000001</v>
      </c>
      <c r="AZ19" s="1408">
        <v>269.55600559999999</v>
      </c>
      <c r="BA19" s="1408">
        <v>391.88048381999999</v>
      </c>
      <c r="BB19" s="1408">
        <v>521.64006601999995</v>
      </c>
      <c r="BC19" s="1408">
        <v>674.71817357999998</v>
      </c>
      <c r="BD19" s="1408">
        <v>799.84754427943301</v>
      </c>
      <c r="BE19" s="1408">
        <v>939.02291739054294</v>
      </c>
      <c r="BF19" s="1408">
        <v>1093.5971002834001</v>
      </c>
      <c r="BG19" s="1408">
        <v>1222.13856508</v>
      </c>
      <c r="BH19" s="1408">
        <v>1365.2869222899999</v>
      </c>
      <c r="BI19" s="1408">
        <v>1503.8895695199999</v>
      </c>
      <c r="BJ19" s="1408">
        <v>1715.7480432100001</v>
      </c>
      <c r="BK19" s="1408">
        <v>166.56050823000001</v>
      </c>
      <c r="BL19" s="1408">
        <v>305.11142193000001</v>
      </c>
      <c r="BM19" s="1408">
        <v>420.79739956999998</v>
      </c>
      <c r="BN19" s="1408">
        <v>592.27817450999999</v>
      </c>
      <c r="BO19" s="1408">
        <v>745.40017704000002</v>
      </c>
      <c r="BP19" s="1408">
        <v>900.63889641000003</v>
      </c>
      <c r="BQ19" s="1408">
        <v>1074.0433389299999</v>
      </c>
      <c r="BR19" s="1408">
        <v>1216.31785171</v>
      </c>
      <c r="BS19" s="1408">
        <v>1378.84370067646</v>
      </c>
      <c r="BT19" s="1408">
        <v>1539.3718197820001</v>
      </c>
      <c r="BU19" s="1408">
        <v>1669.343833634</v>
      </c>
      <c r="BV19" s="1408">
        <v>1970.1081493409999</v>
      </c>
      <c r="BW19" s="1408">
        <v>140.63142916999999</v>
      </c>
      <c r="BX19" s="1408">
        <v>281.02357435128903</v>
      </c>
      <c r="BY19" s="1408">
        <v>480.74443884109098</v>
      </c>
      <c r="BZ19" s="1408">
        <v>638.84756718000006</v>
      </c>
      <c r="CA19" s="1408">
        <v>785.21533941099995</v>
      </c>
      <c r="CB19" s="1408">
        <v>1010.575433614</v>
      </c>
      <c r="CC19" s="1412" t="s">
        <v>3602</v>
      </c>
      <c r="CD19" s="1070"/>
      <c r="CE19" s="1069"/>
      <c r="CF19" s="1070"/>
      <c r="CH19" s="1070"/>
    </row>
    <row r="20" spans="1:86" s="1071" customFormat="1" ht="39" customHeight="1">
      <c r="A20" s="1407" t="s">
        <v>2989</v>
      </c>
      <c r="B20" s="1408">
        <v>186.68414805</v>
      </c>
      <c r="C20" s="1408">
        <v>13.394629009999999</v>
      </c>
      <c r="D20" s="1408">
        <v>29.199419970000001</v>
      </c>
      <c r="E20" s="1408">
        <v>45.36901142</v>
      </c>
      <c r="F20" s="1408">
        <v>55.969749880000002</v>
      </c>
      <c r="G20" s="1408">
        <v>67.057290219999999</v>
      </c>
      <c r="H20" s="1408">
        <v>81.098202229999998</v>
      </c>
      <c r="I20" s="1408">
        <v>94.437360179999999</v>
      </c>
      <c r="J20" s="1408">
        <v>109.21975577000001</v>
      </c>
      <c r="K20" s="1408">
        <v>124.09366328999999</v>
      </c>
      <c r="L20" s="1408">
        <v>139.21853557</v>
      </c>
      <c r="M20" s="1408">
        <v>153.19281568</v>
      </c>
      <c r="N20" s="1408">
        <v>171.14248430000001</v>
      </c>
      <c r="O20" s="1408">
        <v>12.84472285</v>
      </c>
      <c r="P20" s="1408">
        <v>26.720168770000001</v>
      </c>
      <c r="Q20" s="1408">
        <v>43.178762210000002</v>
      </c>
      <c r="R20" s="1408">
        <v>60.956473879999997</v>
      </c>
      <c r="S20" s="1408">
        <v>77.94523753</v>
      </c>
      <c r="T20" s="1408">
        <v>96.286128090000005</v>
      </c>
      <c r="U20" s="1408">
        <v>116.09409288000001</v>
      </c>
      <c r="V20" s="1408">
        <v>137.69048563999999</v>
      </c>
      <c r="W20" s="1408">
        <v>156.79305823000001</v>
      </c>
      <c r="X20" s="1408">
        <v>177.79038704000001</v>
      </c>
      <c r="Y20" s="1409">
        <v>198.84579409</v>
      </c>
      <c r="Z20" s="1409">
        <v>226.36177473999999</v>
      </c>
      <c r="AA20" s="1408">
        <v>19.168760219999999</v>
      </c>
      <c r="AB20" s="1408">
        <v>39.299219770000001</v>
      </c>
      <c r="AC20" s="1408">
        <v>60.479556479999999</v>
      </c>
      <c r="AD20" s="1408">
        <v>88.582194009999995</v>
      </c>
      <c r="AE20" s="1408">
        <v>113.7535245</v>
      </c>
      <c r="AF20" s="1408">
        <v>141.14848989000001</v>
      </c>
      <c r="AG20" s="1408">
        <v>169.38462415000001</v>
      </c>
      <c r="AH20" s="1408">
        <v>199.54030897000001</v>
      </c>
      <c r="AI20" s="1408">
        <v>228.52173404000001</v>
      </c>
      <c r="AJ20" s="1408">
        <v>254.20364762</v>
      </c>
      <c r="AK20" s="1408">
        <v>284.59550589000003</v>
      </c>
      <c r="AL20" s="1408">
        <v>321.27369529999999</v>
      </c>
      <c r="AM20" s="1408">
        <v>25.641852400000001</v>
      </c>
      <c r="AN20" s="1408">
        <v>52.439446349999997</v>
      </c>
      <c r="AO20" s="1408">
        <v>81.653791510000005</v>
      </c>
      <c r="AP20" s="1408">
        <v>109.59905307</v>
      </c>
      <c r="AQ20" s="1408">
        <v>139.49856833999999</v>
      </c>
      <c r="AR20" s="1408">
        <v>167.82577462</v>
      </c>
      <c r="AS20" s="1408">
        <v>201.80971101</v>
      </c>
      <c r="AT20" s="1408">
        <v>235.63819358000001</v>
      </c>
      <c r="AU20" s="1408">
        <v>266.69982691000001</v>
      </c>
      <c r="AV20" s="1408">
        <v>285.95622150000003</v>
      </c>
      <c r="AW20" s="1408">
        <v>318.06758323000003</v>
      </c>
      <c r="AX20" s="1408">
        <v>355.77988392999998</v>
      </c>
      <c r="AY20" s="1408">
        <v>30.51965418</v>
      </c>
      <c r="AZ20" s="1408">
        <v>66.669648789999997</v>
      </c>
      <c r="BA20" s="1408">
        <v>98.035466349999993</v>
      </c>
      <c r="BB20" s="1408">
        <v>132.12592463999999</v>
      </c>
      <c r="BC20" s="1408">
        <v>166.18544218</v>
      </c>
      <c r="BD20" s="1408">
        <v>196.67803544</v>
      </c>
      <c r="BE20" s="1408">
        <v>233.31045083000001</v>
      </c>
      <c r="BF20" s="1408">
        <v>273.25785411999999</v>
      </c>
      <c r="BG20" s="1408">
        <v>295.62971878000002</v>
      </c>
      <c r="BH20" s="1408">
        <v>331.93714082999998</v>
      </c>
      <c r="BI20" s="1408">
        <v>364.46753981000001</v>
      </c>
      <c r="BJ20" s="1408">
        <v>404.54622710000001</v>
      </c>
      <c r="BK20" s="1408">
        <v>32.266484900000002</v>
      </c>
      <c r="BL20" s="1408">
        <v>62.979825140000003</v>
      </c>
      <c r="BM20" s="1408">
        <v>91.438397159999994</v>
      </c>
      <c r="BN20" s="1408">
        <v>139.19595670000001</v>
      </c>
      <c r="BO20" s="1408">
        <v>168.27736278</v>
      </c>
      <c r="BP20" s="1408">
        <v>202.87988547</v>
      </c>
      <c r="BQ20" s="1408">
        <v>243.93518198000001</v>
      </c>
      <c r="BR20" s="1408">
        <v>280.29564464999999</v>
      </c>
      <c r="BS20" s="1408">
        <v>318.36584393999999</v>
      </c>
      <c r="BT20" s="1408">
        <v>359.28716632999999</v>
      </c>
      <c r="BU20" s="1408">
        <v>383.17508535000002</v>
      </c>
      <c r="BV20" s="1408">
        <v>444.49404186999999</v>
      </c>
      <c r="BW20" s="1408">
        <v>33.253999190000002</v>
      </c>
      <c r="BX20" s="1408">
        <v>68.693036860000007</v>
      </c>
      <c r="BY20" s="1408">
        <v>105.13913468</v>
      </c>
      <c r="BZ20" s="1408">
        <v>144.21897337999999</v>
      </c>
      <c r="CA20" s="1408">
        <v>179.4144436</v>
      </c>
      <c r="CB20" s="1408">
        <v>220.96833272000001</v>
      </c>
      <c r="CC20" s="1410" t="s">
        <v>3603</v>
      </c>
      <c r="CD20" s="1070"/>
      <c r="CE20" s="1069"/>
      <c r="CF20" s="1070"/>
      <c r="CH20" s="1070"/>
    </row>
    <row r="21" spans="1:86" s="1071" customFormat="1" ht="60.6" customHeight="1">
      <c r="A21" s="1407" t="s">
        <v>2990</v>
      </c>
      <c r="B21" s="1408">
        <v>168.50584155000001</v>
      </c>
      <c r="C21" s="1408">
        <v>11.842949969999999</v>
      </c>
      <c r="D21" s="1408">
        <v>26.075209820000001</v>
      </c>
      <c r="E21" s="1408">
        <v>43.796617650000002</v>
      </c>
      <c r="F21" s="1408">
        <v>59.64914761</v>
      </c>
      <c r="G21" s="1408">
        <v>68.468686109999993</v>
      </c>
      <c r="H21" s="1408">
        <v>80.581506950000005</v>
      </c>
      <c r="I21" s="1408">
        <v>95.937457760000001</v>
      </c>
      <c r="J21" s="1408">
        <v>106.63835553</v>
      </c>
      <c r="K21" s="1408">
        <v>116.33579262000001</v>
      </c>
      <c r="L21" s="1408">
        <v>128.50035224000001</v>
      </c>
      <c r="M21" s="1408">
        <v>137.65809715</v>
      </c>
      <c r="N21" s="1408">
        <v>156.76925575999999</v>
      </c>
      <c r="O21" s="1408">
        <v>10.18230724</v>
      </c>
      <c r="P21" s="1408">
        <v>19.980012240000001</v>
      </c>
      <c r="Q21" s="1408">
        <v>33.260520100000001</v>
      </c>
      <c r="R21" s="1408">
        <v>47.85459298</v>
      </c>
      <c r="S21" s="1408">
        <v>59.56152874</v>
      </c>
      <c r="T21" s="1408">
        <v>73.609874219999995</v>
      </c>
      <c r="U21" s="1408">
        <v>86.788413219999995</v>
      </c>
      <c r="V21" s="1408">
        <v>100.1220883</v>
      </c>
      <c r="W21" s="1408">
        <v>110.86573491999999</v>
      </c>
      <c r="X21" s="1408">
        <v>125.50100479</v>
      </c>
      <c r="Y21" s="1409">
        <v>137.78194912999999</v>
      </c>
      <c r="Z21" s="1409">
        <v>157.8306121</v>
      </c>
      <c r="AA21" s="1408">
        <v>12.33654284</v>
      </c>
      <c r="AB21" s="1408">
        <v>25.408078809999999</v>
      </c>
      <c r="AC21" s="1408">
        <v>56.851026580000003</v>
      </c>
      <c r="AD21" s="1408">
        <v>84.312422920000003</v>
      </c>
      <c r="AE21" s="1408">
        <v>111.31033970999999</v>
      </c>
      <c r="AF21" s="1408">
        <v>138.69608628</v>
      </c>
      <c r="AG21" s="1408">
        <v>160.70929251000001</v>
      </c>
      <c r="AH21" s="1408">
        <v>181.92576338000001</v>
      </c>
      <c r="AI21" s="1408">
        <v>202.18185968369701</v>
      </c>
      <c r="AJ21" s="1408">
        <v>233.13907388999999</v>
      </c>
      <c r="AK21" s="1408">
        <v>255.66029254</v>
      </c>
      <c r="AL21" s="1408">
        <v>286.33099561400701</v>
      </c>
      <c r="AM21" s="1408">
        <v>17.683631850000001</v>
      </c>
      <c r="AN21" s="1408">
        <v>32.424450950000001</v>
      </c>
      <c r="AO21" s="1408">
        <v>54.975092570000001</v>
      </c>
      <c r="AP21" s="1408">
        <v>72.146414829763401</v>
      </c>
      <c r="AQ21" s="1408">
        <v>90.281781859999995</v>
      </c>
      <c r="AR21" s="1408">
        <v>108.77284811</v>
      </c>
      <c r="AS21" s="1408">
        <v>130.26371947000001</v>
      </c>
      <c r="AT21" s="1408">
        <v>154.27928643999999</v>
      </c>
      <c r="AU21" s="1408">
        <v>173.90764640121</v>
      </c>
      <c r="AV21" s="1408">
        <v>191.57406854000001</v>
      </c>
      <c r="AW21" s="1408">
        <v>215.98782842</v>
      </c>
      <c r="AX21" s="1408">
        <v>247.87508219</v>
      </c>
      <c r="AY21" s="1408">
        <v>21.401234800000001</v>
      </c>
      <c r="AZ21" s="1408">
        <v>41.00595388</v>
      </c>
      <c r="BA21" s="1408">
        <v>61.495145049999998</v>
      </c>
      <c r="BB21" s="1408">
        <v>81.534350660000001</v>
      </c>
      <c r="BC21" s="1408">
        <v>103.27100518</v>
      </c>
      <c r="BD21" s="1408">
        <v>122.830253399433</v>
      </c>
      <c r="BE21" s="1408">
        <v>148.03543179054299</v>
      </c>
      <c r="BF21" s="1408">
        <v>174.08907086339801</v>
      </c>
      <c r="BG21" s="1408">
        <v>193.14183312</v>
      </c>
      <c r="BH21" s="1408">
        <v>219.08753580999999</v>
      </c>
      <c r="BI21" s="1408">
        <v>239.08816984000001</v>
      </c>
      <c r="BJ21" s="1408">
        <v>272.65720521999998</v>
      </c>
      <c r="BK21" s="1408">
        <v>27.662878580000001</v>
      </c>
      <c r="BL21" s="1408">
        <v>52.7679591099999</v>
      </c>
      <c r="BM21" s="1408">
        <v>72.272391080000006</v>
      </c>
      <c r="BN21" s="1408">
        <v>98.586297849999994</v>
      </c>
      <c r="BO21" s="1408">
        <v>117.55136649000001</v>
      </c>
      <c r="BP21" s="1408">
        <v>135.84775798999999</v>
      </c>
      <c r="BQ21" s="1408">
        <v>156.82202122999999</v>
      </c>
      <c r="BR21" s="1408">
        <v>180.32995392999999</v>
      </c>
      <c r="BS21" s="1408">
        <v>201.28387040645899</v>
      </c>
      <c r="BT21" s="1408">
        <v>223.98548658999999</v>
      </c>
      <c r="BU21" s="1408">
        <v>246.19716144</v>
      </c>
      <c r="BV21" s="1408">
        <v>279.43220868999998</v>
      </c>
      <c r="BW21" s="1408">
        <v>21.283630519999999</v>
      </c>
      <c r="BX21" s="1408">
        <v>39.212135930000002</v>
      </c>
      <c r="BY21" s="1408">
        <v>59.22247376</v>
      </c>
      <c r="BZ21" s="1408">
        <v>83.20764552</v>
      </c>
      <c r="CA21" s="1408">
        <v>105.12954675</v>
      </c>
      <c r="CB21" s="1408">
        <v>136.17366828999999</v>
      </c>
      <c r="CC21" s="1410" t="s">
        <v>3604</v>
      </c>
      <c r="CD21" s="1070"/>
      <c r="CE21" s="1069"/>
      <c r="CF21" s="1070"/>
      <c r="CH21" s="1070"/>
    </row>
    <row r="22" spans="1:86" ht="37.5" customHeight="1">
      <c r="A22" s="1407" t="s">
        <v>2991</v>
      </c>
      <c r="B22" s="1408">
        <v>-0.54753797000000004</v>
      </c>
      <c r="C22" s="1408">
        <v>2.0100000000000001E-3</v>
      </c>
      <c r="D22" s="1408">
        <v>1.8521300000000001</v>
      </c>
      <c r="E22" s="1408">
        <v>4.0109250000000003</v>
      </c>
      <c r="F22" s="1408">
        <v>1.8438950000000001</v>
      </c>
      <c r="G22" s="1408">
        <v>1.67620955</v>
      </c>
      <c r="H22" s="1408">
        <v>1.43372955</v>
      </c>
      <c r="I22" s="1408">
        <v>1.4391395499999999</v>
      </c>
      <c r="J22" s="1408">
        <v>1.2869895499999999</v>
      </c>
      <c r="K22" s="1408">
        <v>2.9185083399999998</v>
      </c>
      <c r="L22" s="1408">
        <v>2.7590395499999998</v>
      </c>
      <c r="M22" s="1408">
        <v>2.4870295499999999</v>
      </c>
      <c r="N22" s="1408">
        <v>2.3576914000000002</v>
      </c>
      <c r="O22" s="1408">
        <v>-0.17444999999999999</v>
      </c>
      <c r="P22" s="1408">
        <v>-0.32443</v>
      </c>
      <c r="Q22" s="1408">
        <v>-0.42041000000000001</v>
      </c>
      <c r="R22" s="1408">
        <v>-0.58995675999999997</v>
      </c>
      <c r="S22" s="1408">
        <v>-0.94005444999999999</v>
      </c>
      <c r="T22" s="1408">
        <v>-1.3904926</v>
      </c>
      <c r="U22" s="1408">
        <v>-0.27386493000000001</v>
      </c>
      <c r="V22" s="1408">
        <v>-0.39068492999999999</v>
      </c>
      <c r="W22" s="1408">
        <v>-0.82508493000000005</v>
      </c>
      <c r="X22" s="1408">
        <v>-0.93461492999999995</v>
      </c>
      <c r="Y22" s="1409">
        <v>-2.0675649300000001</v>
      </c>
      <c r="Z22" s="1409">
        <v>-2.48050579</v>
      </c>
      <c r="AA22" s="1408">
        <v>-1.35442701</v>
      </c>
      <c r="AB22" s="1408">
        <v>-5.1600870099999998</v>
      </c>
      <c r="AC22" s="1408">
        <v>-21.30193478</v>
      </c>
      <c r="AD22" s="1408">
        <v>-22.49786478</v>
      </c>
      <c r="AE22" s="1408">
        <v>-25.639624779999998</v>
      </c>
      <c r="AF22" s="1408">
        <v>-31.02257621</v>
      </c>
      <c r="AG22" s="1408">
        <v>-27.051972989999999</v>
      </c>
      <c r="AH22" s="1408">
        <v>-26.05298299</v>
      </c>
      <c r="AI22" s="1408">
        <v>-33.808582989999998</v>
      </c>
      <c r="AJ22" s="1408">
        <v>-35.336192990000001</v>
      </c>
      <c r="AK22" s="1408">
        <v>-30.896342990000001</v>
      </c>
      <c r="AL22" s="1408">
        <v>-18.225327069999999</v>
      </c>
      <c r="AM22" s="1408">
        <v>0.62390999999999996</v>
      </c>
      <c r="AN22" s="1408">
        <v>0.44738</v>
      </c>
      <c r="AO22" s="1408">
        <v>-2.31785</v>
      </c>
      <c r="AP22" s="1408">
        <v>-2.9508999999999999</v>
      </c>
      <c r="AQ22" s="1408">
        <v>-5.9270050799999998</v>
      </c>
      <c r="AR22" s="1408">
        <v>-6.5710610699999998</v>
      </c>
      <c r="AS22" s="1408">
        <v>-6.98760256</v>
      </c>
      <c r="AT22" s="1408">
        <v>-7.3640724000000004</v>
      </c>
      <c r="AU22" s="1408">
        <v>-7.5979955700000001</v>
      </c>
      <c r="AV22" s="1408">
        <v>-7.8069487400000002</v>
      </c>
      <c r="AW22" s="1408">
        <v>-8.5330419099999997</v>
      </c>
      <c r="AX22" s="1408">
        <v>-9.1156950800000001</v>
      </c>
      <c r="AY22" s="1408">
        <v>-0.47388317000000002</v>
      </c>
      <c r="AZ22" s="1408">
        <v>-8.7791630000000107E-2</v>
      </c>
      <c r="BA22" s="1408">
        <v>-0.37377163000000002</v>
      </c>
      <c r="BB22" s="1408">
        <v>-0.35057649000000002</v>
      </c>
      <c r="BC22" s="1408">
        <v>-0.32017115000000002</v>
      </c>
      <c r="BD22" s="1408">
        <v>0.60493026000000005</v>
      </c>
      <c r="BE22" s="1408">
        <v>0.78889500999999995</v>
      </c>
      <c r="BF22" s="1408">
        <v>1.2012250099999999</v>
      </c>
      <c r="BG22" s="1408">
        <v>1.6466402600000001</v>
      </c>
      <c r="BH22" s="1408">
        <v>1.7661902599999999</v>
      </c>
      <c r="BI22" s="1408">
        <v>2.55128026</v>
      </c>
      <c r="BJ22" s="1408">
        <v>3.1250836400000002</v>
      </c>
      <c r="BK22" s="1408">
        <v>0.40515000000000001</v>
      </c>
      <c r="BL22" s="1408">
        <v>0.75239999999999996</v>
      </c>
      <c r="BM22" s="1408">
        <v>1.09267</v>
      </c>
      <c r="BN22" s="1408">
        <v>2.0552999999999999</v>
      </c>
      <c r="BO22" s="1408">
        <v>2.3836300000000001</v>
      </c>
      <c r="BP22" s="1408">
        <v>2.6690999999999998</v>
      </c>
      <c r="BQ22" s="1408">
        <v>4.1139099999999997</v>
      </c>
      <c r="BR22" s="1408">
        <v>4.36843</v>
      </c>
      <c r="BS22" s="1408">
        <v>3.6430199999999999</v>
      </c>
      <c r="BT22" s="1408">
        <v>3.8420500999999998</v>
      </c>
      <c r="BU22" s="1408">
        <v>4.0555500999999996</v>
      </c>
      <c r="BV22" s="1408">
        <v>6.0937400999999998</v>
      </c>
      <c r="BW22" s="1408">
        <v>0.14263999999999999</v>
      </c>
      <c r="BX22" s="1408">
        <v>0.29366999999999999</v>
      </c>
      <c r="BY22" s="1408">
        <v>0.46861999999999998</v>
      </c>
      <c r="BZ22" s="1408">
        <v>0.84846999999999995</v>
      </c>
      <c r="CA22" s="1408">
        <v>1.1843900000000001</v>
      </c>
      <c r="CB22" s="1408">
        <v>1.4678199999999999</v>
      </c>
      <c r="CC22" s="1410" t="s">
        <v>3605</v>
      </c>
      <c r="CD22" s="1070"/>
      <c r="CE22" s="1069"/>
      <c r="CF22" s="1070"/>
    </row>
    <row r="23" spans="1:86" ht="37.5" customHeight="1">
      <c r="A23" s="1407" t="s">
        <v>2992</v>
      </c>
      <c r="B23" s="1408">
        <v>369.08261971000002</v>
      </c>
      <c r="C23" s="1408">
        <v>24.86446419</v>
      </c>
      <c r="D23" s="1408">
        <v>52.754290269999998</v>
      </c>
      <c r="E23" s="1408">
        <v>80.79542395</v>
      </c>
      <c r="F23" s="1408">
        <v>104.53953504</v>
      </c>
      <c r="G23" s="1408">
        <v>125.88422268000001</v>
      </c>
      <c r="H23" s="1408">
        <v>156.33778218</v>
      </c>
      <c r="I23" s="1408">
        <v>181.49345303000004</v>
      </c>
      <c r="J23" s="1408">
        <v>208.64242813999999</v>
      </c>
      <c r="K23" s="1408">
        <v>240.96619939000001</v>
      </c>
      <c r="L23" s="1408">
        <v>268.15951461000009</v>
      </c>
      <c r="M23" s="1408">
        <v>297.47091178000005</v>
      </c>
      <c r="N23" s="1408">
        <v>341.82716536999999</v>
      </c>
      <c r="O23" s="1408">
        <v>26.797327931999995</v>
      </c>
      <c r="P23" s="1408">
        <v>58.512942996999996</v>
      </c>
      <c r="Q23" s="1408">
        <v>94.764180410999984</v>
      </c>
      <c r="R23" s="1408">
        <v>128.10634327</v>
      </c>
      <c r="S23" s="1408">
        <v>197.60685792000001</v>
      </c>
      <c r="T23" s="1408">
        <v>250.39538899000004</v>
      </c>
      <c r="U23" s="1408">
        <v>285.34112611</v>
      </c>
      <c r="V23" s="1408">
        <v>337.69950334999999</v>
      </c>
      <c r="W23" s="1408">
        <v>358.28650126999992</v>
      </c>
      <c r="X23" s="1408">
        <v>399.63890601999998</v>
      </c>
      <c r="Y23" s="1409">
        <v>441.50889176999993</v>
      </c>
      <c r="Z23" s="1409">
        <v>494.26213532999998</v>
      </c>
      <c r="AA23" s="1408">
        <v>44.327180800000008</v>
      </c>
      <c r="AB23" s="1408">
        <v>84.450776059999995</v>
      </c>
      <c r="AC23" s="1408">
        <v>129.84870405999999</v>
      </c>
      <c r="AD23" s="1408">
        <v>176.98976954</v>
      </c>
      <c r="AE23" s="1408">
        <v>226.58294259000004</v>
      </c>
      <c r="AF23" s="1408">
        <v>285.05149021999995</v>
      </c>
      <c r="AG23" s="1408">
        <v>343.63621988</v>
      </c>
      <c r="AH23" s="1408">
        <v>406.90834688000001</v>
      </c>
      <c r="AI23" s="1408">
        <v>473.02993075000006</v>
      </c>
      <c r="AJ23" s="1408">
        <v>519.17617273000008</v>
      </c>
      <c r="AK23" s="1408">
        <v>568.43221475000007</v>
      </c>
      <c r="AL23" s="1408">
        <v>626.5959672200031</v>
      </c>
      <c r="AM23" s="1408">
        <v>40.665521470000002</v>
      </c>
      <c r="AN23" s="1408">
        <v>92.628842840000004</v>
      </c>
      <c r="AO23" s="1408">
        <v>141.20081278000001</v>
      </c>
      <c r="AP23" s="1408">
        <v>196.1409524</v>
      </c>
      <c r="AQ23" s="1408">
        <v>256.50914945</v>
      </c>
      <c r="AR23" s="1408">
        <v>328.46858006000002</v>
      </c>
      <c r="AS23" s="1408">
        <v>412.97286919999999</v>
      </c>
      <c r="AT23" s="1408">
        <v>478.39336469</v>
      </c>
      <c r="AU23" s="1408">
        <v>555.52328949000002</v>
      </c>
      <c r="AV23" s="1408">
        <v>617.08152027999995</v>
      </c>
      <c r="AW23" s="1408">
        <v>690.15580420000003</v>
      </c>
      <c r="AX23" s="1408">
        <v>773.66215946</v>
      </c>
      <c r="AY23" s="1408">
        <v>90.264895469999999</v>
      </c>
      <c r="AZ23" s="1408">
        <v>161.96819456</v>
      </c>
      <c r="BA23" s="1408">
        <v>232.72364404999999</v>
      </c>
      <c r="BB23" s="1408">
        <v>308.33036721000002</v>
      </c>
      <c r="BC23" s="1408">
        <v>405.58189736999998</v>
      </c>
      <c r="BD23" s="1408">
        <v>479.73432517999998</v>
      </c>
      <c r="BE23" s="1408">
        <v>556.88813975999994</v>
      </c>
      <c r="BF23" s="1408">
        <v>645.04895028999999</v>
      </c>
      <c r="BG23" s="1408">
        <v>731.72037292000005</v>
      </c>
      <c r="BH23" s="1408">
        <v>812.49605539000004</v>
      </c>
      <c r="BI23" s="1408">
        <v>897.78257960999997</v>
      </c>
      <c r="BJ23" s="1408">
        <v>1035.4195272500001</v>
      </c>
      <c r="BK23" s="1408">
        <v>106.22599475</v>
      </c>
      <c r="BL23" s="1408">
        <v>188.61123767999999</v>
      </c>
      <c r="BM23" s="1408">
        <v>255.99394133000001</v>
      </c>
      <c r="BN23" s="1408">
        <v>352.44061995999999</v>
      </c>
      <c r="BO23" s="1408">
        <v>457.18781776999998</v>
      </c>
      <c r="BP23" s="1408">
        <v>559.24215294999999</v>
      </c>
      <c r="BQ23" s="1408">
        <v>669.17222572000003</v>
      </c>
      <c r="BR23" s="1408">
        <v>751.32382313000005</v>
      </c>
      <c r="BS23" s="1408">
        <v>855.55096633000005</v>
      </c>
      <c r="BT23" s="1408">
        <v>952.25711676200001</v>
      </c>
      <c r="BU23" s="1408">
        <v>1035.9160367439999</v>
      </c>
      <c r="BV23" s="1408">
        <v>1240.0881586810001</v>
      </c>
      <c r="BW23" s="1408">
        <v>85.95115946</v>
      </c>
      <c r="BX23" s="1408">
        <v>172.82473156128901</v>
      </c>
      <c r="BY23" s="1408">
        <v>315.914210401091</v>
      </c>
      <c r="BZ23" s="1408">
        <v>410.57247827999998</v>
      </c>
      <c r="CA23" s="1408">
        <v>499.48695906099999</v>
      </c>
      <c r="CB23" s="1408">
        <v>651.96561260399994</v>
      </c>
      <c r="CC23" s="1410" t="s">
        <v>3606</v>
      </c>
      <c r="CD23" s="1070"/>
      <c r="CE23" s="1069"/>
      <c r="CF23" s="1070"/>
    </row>
    <row r="24" spans="1:86" ht="37.5" customHeight="1">
      <c r="A24" s="1411" t="s">
        <v>2263</v>
      </c>
      <c r="B24" s="1408">
        <v>1205.0047307</v>
      </c>
      <c r="C24" s="1408">
        <v>93.864179759999999</v>
      </c>
      <c r="D24" s="1408">
        <v>193.78675548000001</v>
      </c>
      <c r="E24" s="1408">
        <v>304.61036446000003</v>
      </c>
      <c r="F24" s="1408">
        <v>400.33708194000002</v>
      </c>
      <c r="G24" s="1408">
        <v>476.36899991299998</v>
      </c>
      <c r="H24" s="1408">
        <v>569.25034900000003</v>
      </c>
      <c r="I24" s="1408">
        <v>657.42629749000002</v>
      </c>
      <c r="J24" s="1408">
        <v>752.51954788</v>
      </c>
      <c r="K24" s="1408">
        <v>843.88076945</v>
      </c>
      <c r="L24" s="1408">
        <v>1001.19561645</v>
      </c>
      <c r="M24" s="1408">
        <v>1093.0970190099999</v>
      </c>
      <c r="N24" s="1408">
        <v>1236.5084193800001</v>
      </c>
      <c r="O24" s="1408">
        <v>91.50855507</v>
      </c>
      <c r="P24" s="1408">
        <v>195.03937794999999</v>
      </c>
      <c r="Q24" s="1408">
        <v>301.70303510999997</v>
      </c>
      <c r="R24" s="1408">
        <v>410.91653262</v>
      </c>
      <c r="S24" s="1408">
        <v>524.60471001999997</v>
      </c>
      <c r="T24" s="1408">
        <v>647.20792501000005</v>
      </c>
      <c r="U24" s="1408">
        <v>771.45668995999995</v>
      </c>
      <c r="V24" s="1408">
        <v>916.82324942000002</v>
      </c>
      <c r="W24" s="1408">
        <v>1020.76941966</v>
      </c>
      <c r="X24" s="1408">
        <v>1142.1282048200001</v>
      </c>
      <c r="Y24" s="1409">
        <v>1286.6848744599999</v>
      </c>
      <c r="Z24" s="1409">
        <v>1470.7307884100001</v>
      </c>
      <c r="AA24" s="1408">
        <v>123.38693252</v>
      </c>
      <c r="AB24" s="1408">
        <v>272.37857061</v>
      </c>
      <c r="AC24" s="1408">
        <v>397.76033982000001</v>
      </c>
      <c r="AD24" s="1408">
        <v>546.92157110999995</v>
      </c>
      <c r="AE24" s="1408">
        <v>691.97949572000005</v>
      </c>
      <c r="AF24" s="1408">
        <v>857.816877858</v>
      </c>
      <c r="AG24" s="1408">
        <v>1009.69939694</v>
      </c>
      <c r="AH24" s="1408">
        <v>1183.32035372</v>
      </c>
      <c r="AI24" s="1408">
        <v>1345.10494606</v>
      </c>
      <c r="AJ24" s="1408">
        <v>1495.7351140599999</v>
      </c>
      <c r="AK24" s="1408">
        <v>1672.4158395899999</v>
      </c>
      <c r="AL24" s="1408">
        <v>1885.2014401987999</v>
      </c>
      <c r="AM24" s="1408">
        <v>150.65794267999999</v>
      </c>
      <c r="AN24" s="1408">
        <v>330.43185029</v>
      </c>
      <c r="AO24" s="1408">
        <v>493.08991058999999</v>
      </c>
      <c r="AP24" s="1408">
        <v>668.14647749000005</v>
      </c>
      <c r="AQ24" s="1408">
        <v>860.44429917000002</v>
      </c>
      <c r="AR24" s="1408">
        <v>1060.5913207200001</v>
      </c>
      <c r="AS24" s="1408">
        <v>1271.0127258800001</v>
      </c>
      <c r="AT24" s="1408">
        <v>1484.4651947499999</v>
      </c>
      <c r="AU24" s="1408">
        <v>1674.9537305700001</v>
      </c>
      <c r="AV24" s="1408">
        <v>1858.9993981499999</v>
      </c>
      <c r="AW24" s="1408">
        <v>2072.5774321600002</v>
      </c>
      <c r="AX24" s="1408">
        <v>2335.6930176300002</v>
      </c>
      <c r="AY24" s="1408">
        <v>225.33954061</v>
      </c>
      <c r="AZ24" s="1408">
        <v>427.80804696000001</v>
      </c>
      <c r="BA24" s="1408">
        <v>632.31611039999996</v>
      </c>
      <c r="BB24" s="1408">
        <v>857.28972190000002</v>
      </c>
      <c r="BC24" s="1408">
        <v>1092.24521426</v>
      </c>
      <c r="BD24" s="1408">
        <v>1303.7490499400001</v>
      </c>
      <c r="BE24" s="1408">
        <v>1539.9485244699999</v>
      </c>
      <c r="BF24" s="1408">
        <v>1783.85299285</v>
      </c>
      <c r="BG24" s="1408">
        <v>1952.1255452099999</v>
      </c>
      <c r="BH24" s="1408">
        <v>2189.8009959864999</v>
      </c>
      <c r="BI24" s="1408">
        <v>2447.4278913399999</v>
      </c>
      <c r="BJ24" s="1408">
        <v>2772.57303121</v>
      </c>
      <c r="BK24" s="1408">
        <v>261.25995533999998</v>
      </c>
      <c r="BL24" s="1408">
        <v>510.91855822000002</v>
      </c>
      <c r="BM24" s="1408">
        <v>734.60847434000004</v>
      </c>
      <c r="BN24" s="1408">
        <v>998.27408060000005</v>
      </c>
      <c r="BO24" s="1408">
        <v>1268.4240810399999</v>
      </c>
      <c r="BP24" s="1408">
        <v>1506.55549609935</v>
      </c>
      <c r="BQ24" s="1408">
        <v>1777.8343325999999</v>
      </c>
      <c r="BR24" s="1408">
        <v>2044.9083845600001</v>
      </c>
      <c r="BS24" s="1408">
        <v>2287.6367411393499</v>
      </c>
      <c r="BT24" s="1408">
        <v>2561.87550690135</v>
      </c>
      <c r="BU24" s="1408">
        <v>2845.5086067799998</v>
      </c>
      <c r="BV24" s="1408">
        <v>3213.8190031499998</v>
      </c>
      <c r="BW24" s="1408">
        <v>257.55818458840002</v>
      </c>
      <c r="BX24" s="1408">
        <v>523.43581477910004</v>
      </c>
      <c r="BY24" s="1408">
        <v>784.63812780260002</v>
      </c>
      <c r="BZ24" s="1408">
        <v>1089.9590437004999</v>
      </c>
      <c r="CA24" s="1408">
        <v>1341.0229012431701</v>
      </c>
      <c r="CB24" s="1408">
        <v>1612.2091399438</v>
      </c>
      <c r="CC24" s="1412" t="s">
        <v>3607</v>
      </c>
      <c r="CD24" s="1070"/>
      <c r="CE24" s="1069"/>
      <c r="CF24" s="1070"/>
    </row>
    <row r="25" spans="1:86" ht="37.5" customHeight="1">
      <c r="A25" s="1407" t="s">
        <v>2993</v>
      </c>
      <c r="B25" s="1408">
        <v>237.43996727000001</v>
      </c>
      <c r="C25" s="1408">
        <v>18.25410836</v>
      </c>
      <c r="D25" s="1408">
        <v>38.829479220000003</v>
      </c>
      <c r="E25" s="1408">
        <v>60.393550939999997</v>
      </c>
      <c r="F25" s="1408">
        <v>77.585830459999997</v>
      </c>
      <c r="G25" s="1408">
        <v>94.198738770000006</v>
      </c>
      <c r="H25" s="1408">
        <v>112.20862031</v>
      </c>
      <c r="I25" s="1408">
        <v>131.65729454000001</v>
      </c>
      <c r="J25" s="1408">
        <v>151.78302866999999</v>
      </c>
      <c r="K25" s="1408">
        <v>171.99550185000001</v>
      </c>
      <c r="L25" s="1408">
        <v>192.72367937999999</v>
      </c>
      <c r="M25" s="1408">
        <v>212.72268643000001</v>
      </c>
      <c r="N25" s="1408">
        <v>238.01116367</v>
      </c>
      <c r="O25" s="1408">
        <v>18.065429689999998</v>
      </c>
      <c r="P25" s="1408">
        <v>37.149464979999998</v>
      </c>
      <c r="Q25" s="1408">
        <v>58.571727639999999</v>
      </c>
      <c r="R25" s="1408">
        <v>78.696574279999993</v>
      </c>
      <c r="S25" s="1408">
        <v>101.00260914</v>
      </c>
      <c r="T25" s="1408">
        <v>121.26807291</v>
      </c>
      <c r="U25" s="1408">
        <v>142.05498567000001</v>
      </c>
      <c r="V25" s="1408">
        <v>165.23612021</v>
      </c>
      <c r="W25" s="1408">
        <v>187.68358456999999</v>
      </c>
      <c r="X25" s="1408">
        <v>210.41885551999999</v>
      </c>
      <c r="Y25" s="1409">
        <v>237.42387188000001</v>
      </c>
      <c r="Z25" s="1409">
        <v>264.39299384999998</v>
      </c>
      <c r="AA25" s="1408">
        <v>22.37645861</v>
      </c>
      <c r="AB25" s="1408">
        <v>44.45244632</v>
      </c>
      <c r="AC25" s="1408">
        <v>68.281960699999999</v>
      </c>
      <c r="AD25" s="1408">
        <v>92.748986540000004</v>
      </c>
      <c r="AE25" s="1408">
        <v>116.04332137999999</v>
      </c>
      <c r="AF25" s="1408">
        <v>140.15483115999999</v>
      </c>
      <c r="AG25" s="1408">
        <v>163.31928772000001</v>
      </c>
      <c r="AH25" s="1408">
        <v>191.75112554</v>
      </c>
      <c r="AI25" s="1408">
        <v>217.45383164</v>
      </c>
      <c r="AJ25" s="1408">
        <v>244.99032853</v>
      </c>
      <c r="AK25" s="1408">
        <v>271.03678737000001</v>
      </c>
      <c r="AL25" s="1408">
        <v>303.38572993999998</v>
      </c>
      <c r="AM25" s="1408">
        <v>24.380705800000001</v>
      </c>
      <c r="AN25" s="1408">
        <v>50.696051570000002</v>
      </c>
      <c r="AO25" s="1408">
        <v>77.175199430000006</v>
      </c>
      <c r="AP25" s="1408">
        <v>104.11225202999999</v>
      </c>
      <c r="AQ25" s="1408">
        <v>131.46900825</v>
      </c>
      <c r="AR25" s="1408">
        <v>159.20555485</v>
      </c>
      <c r="AS25" s="1408">
        <v>188.21645985000001</v>
      </c>
      <c r="AT25" s="1408">
        <v>218.34092097999999</v>
      </c>
      <c r="AU25" s="1408">
        <v>246.4704327</v>
      </c>
      <c r="AV25" s="1408">
        <v>272.23801003</v>
      </c>
      <c r="AW25" s="1408">
        <v>301.94605093000001</v>
      </c>
      <c r="AX25" s="1408">
        <v>337.13559880999998</v>
      </c>
      <c r="AY25" s="1408">
        <v>25.757036620000001</v>
      </c>
      <c r="AZ25" s="1408">
        <v>55.383691630000001</v>
      </c>
      <c r="BA25" s="1408">
        <v>86.60914502</v>
      </c>
      <c r="BB25" s="1408">
        <v>120.155013</v>
      </c>
      <c r="BC25" s="1408">
        <v>151.5905544</v>
      </c>
      <c r="BD25" s="1408">
        <v>183.38369495000001</v>
      </c>
      <c r="BE25" s="1408">
        <v>215.64183369</v>
      </c>
      <c r="BF25" s="1408">
        <v>247.54877092999999</v>
      </c>
      <c r="BG25" s="1408">
        <v>275.95819785999998</v>
      </c>
      <c r="BH25" s="1408">
        <v>307.99635723649999</v>
      </c>
      <c r="BI25" s="1408">
        <v>339.18623471000001</v>
      </c>
      <c r="BJ25" s="1408">
        <v>385.49565646999997</v>
      </c>
      <c r="BK25" s="1408">
        <v>31.472188490000001</v>
      </c>
      <c r="BL25" s="1408">
        <v>64.593665990000005</v>
      </c>
      <c r="BM25" s="1408">
        <v>100.81790044</v>
      </c>
      <c r="BN25" s="1408">
        <v>133.40889637000001</v>
      </c>
      <c r="BO25" s="1408">
        <v>172.92150355000001</v>
      </c>
      <c r="BP25" s="1408">
        <v>206.60135457000001</v>
      </c>
      <c r="BQ25" s="1408">
        <v>245.41237013</v>
      </c>
      <c r="BR25" s="1408">
        <v>281.3007781</v>
      </c>
      <c r="BS25" s="1408">
        <v>317.04307626999997</v>
      </c>
      <c r="BT25" s="1408">
        <v>354.66442685999999</v>
      </c>
      <c r="BU25" s="1408">
        <v>388.89260918999997</v>
      </c>
      <c r="BV25" s="1408">
        <v>415.30635833000002</v>
      </c>
      <c r="BW25" s="1408">
        <v>32.357313339999997</v>
      </c>
      <c r="BX25" s="1408">
        <v>67.411101619999997</v>
      </c>
      <c r="BY25" s="1408">
        <v>102.52222709999999</v>
      </c>
      <c r="BZ25" s="1408">
        <v>147.33185545000001</v>
      </c>
      <c r="CA25" s="1408">
        <v>181.83509655</v>
      </c>
      <c r="CB25" s="1408">
        <v>216.57595703999999</v>
      </c>
      <c r="CC25" s="1410" t="s">
        <v>3608</v>
      </c>
      <c r="CD25" s="1070"/>
      <c r="CE25" s="1069"/>
      <c r="CF25" s="1070"/>
    </row>
    <row r="26" spans="1:86" ht="37.5" customHeight="1">
      <c r="A26" s="1407" t="s">
        <v>2994</v>
      </c>
      <c r="B26" s="1408">
        <v>180.65592217</v>
      </c>
      <c r="C26" s="1408">
        <v>16.41282374</v>
      </c>
      <c r="D26" s="1408">
        <v>31.2781281</v>
      </c>
      <c r="E26" s="1408">
        <v>49.986383510000003</v>
      </c>
      <c r="F26" s="1408">
        <v>66.051115449999998</v>
      </c>
      <c r="G26" s="1408">
        <v>74.556124229999995</v>
      </c>
      <c r="H26" s="1408">
        <v>89.523589680000001</v>
      </c>
      <c r="I26" s="1408">
        <v>107.40585101000001</v>
      </c>
      <c r="J26" s="1408">
        <v>121.83489401999999</v>
      </c>
      <c r="K26" s="1408">
        <v>136.85528952999999</v>
      </c>
      <c r="L26" s="1408">
        <v>158.57203118999999</v>
      </c>
      <c r="M26" s="1408">
        <v>172.75164538000001</v>
      </c>
      <c r="N26" s="1408">
        <v>203.56105511000001</v>
      </c>
      <c r="O26" s="1408">
        <v>13.80656228</v>
      </c>
      <c r="P26" s="1408">
        <v>37.01860456</v>
      </c>
      <c r="Q26" s="1408">
        <v>55.394225159999998</v>
      </c>
      <c r="R26" s="1408">
        <v>81.527954820000005</v>
      </c>
      <c r="S26" s="1408">
        <v>102.50523948</v>
      </c>
      <c r="T26" s="1408">
        <v>126.29914362</v>
      </c>
      <c r="U26" s="1408">
        <v>155.51404973000001</v>
      </c>
      <c r="V26" s="1408">
        <v>185.14258104999999</v>
      </c>
      <c r="W26" s="1408">
        <v>211.87817122000001</v>
      </c>
      <c r="X26" s="1408">
        <v>238.52946019999999</v>
      </c>
      <c r="Y26" s="1409">
        <v>275.44589753999998</v>
      </c>
      <c r="Z26" s="1409">
        <v>317.32130560000002</v>
      </c>
      <c r="AA26" s="1408">
        <v>27.550809709999999</v>
      </c>
      <c r="AB26" s="1408">
        <v>68.732866200000004</v>
      </c>
      <c r="AC26" s="1408">
        <v>98.580780070000003</v>
      </c>
      <c r="AD26" s="1408">
        <v>136.39904496</v>
      </c>
      <c r="AE26" s="1408">
        <v>173.84113486000001</v>
      </c>
      <c r="AF26" s="1408">
        <v>207.41865077</v>
      </c>
      <c r="AG26" s="1408">
        <v>247.02888265999999</v>
      </c>
      <c r="AH26" s="1408">
        <v>304.78627571999999</v>
      </c>
      <c r="AI26" s="1408">
        <v>343.22379377999999</v>
      </c>
      <c r="AJ26" s="1408">
        <v>384.19431407000002</v>
      </c>
      <c r="AK26" s="1408">
        <v>433.92067693000001</v>
      </c>
      <c r="AL26" s="1408">
        <v>492.3743508</v>
      </c>
      <c r="AM26" s="1408">
        <v>43.909567369999998</v>
      </c>
      <c r="AN26" s="1408">
        <v>94.038931919999996</v>
      </c>
      <c r="AO26" s="1408">
        <v>142.34057627999999</v>
      </c>
      <c r="AP26" s="1408">
        <v>187.81973020999999</v>
      </c>
      <c r="AQ26" s="1408">
        <v>258.54602397000002</v>
      </c>
      <c r="AR26" s="1408">
        <v>306.86452917999998</v>
      </c>
      <c r="AS26" s="1408">
        <v>369.92214849999999</v>
      </c>
      <c r="AT26" s="1408">
        <v>450.40595736</v>
      </c>
      <c r="AU26" s="1408">
        <v>509.45697987</v>
      </c>
      <c r="AV26" s="1408">
        <v>579.97677693000003</v>
      </c>
      <c r="AW26" s="1408">
        <v>663.92385830000001</v>
      </c>
      <c r="AX26" s="1408">
        <v>736.56952896999996</v>
      </c>
      <c r="AY26" s="1408">
        <v>68.992679429999995</v>
      </c>
      <c r="AZ26" s="1408">
        <v>137.04900047999999</v>
      </c>
      <c r="BA26" s="1408">
        <v>194.98954959</v>
      </c>
      <c r="BB26" s="1408">
        <v>272.17070919999998</v>
      </c>
      <c r="BC26" s="1408">
        <v>361.56276546999999</v>
      </c>
      <c r="BD26" s="1408">
        <v>429.12986715</v>
      </c>
      <c r="BE26" s="1408">
        <v>513.59086708999996</v>
      </c>
      <c r="BF26" s="1408">
        <v>603.49470283000005</v>
      </c>
      <c r="BG26" s="1408">
        <v>658.93853903000002</v>
      </c>
      <c r="BH26" s="1408">
        <v>749.61083770000005</v>
      </c>
      <c r="BI26" s="1408">
        <v>850.86157326</v>
      </c>
      <c r="BJ26" s="1408">
        <v>931.62153682999997</v>
      </c>
      <c r="BK26" s="1408">
        <v>83.830898120000001</v>
      </c>
      <c r="BL26" s="1408">
        <v>168.48080311999999</v>
      </c>
      <c r="BM26" s="1408">
        <v>241.72491869999999</v>
      </c>
      <c r="BN26" s="1408">
        <v>336.78502529999997</v>
      </c>
      <c r="BO26" s="1408">
        <v>434.64543121000003</v>
      </c>
      <c r="BP26" s="1408">
        <v>516.30877227999997</v>
      </c>
      <c r="BQ26" s="1408">
        <v>619.25138329000004</v>
      </c>
      <c r="BR26" s="1408">
        <v>712.29033733999995</v>
      </c>
      <c r="BS26" s="1408">
        <v>787.65142664999996</v>
      </c>
      <c r="BT26" s="1408">
        <v>881.16364772999998</v>
      </c>
      <c r="BU26" s="1408">
        <v>984.80371194999998</v>
      </c>
      <c r="BV26" s="1408">
        <v>1115.66390589</v>
      </c>
      <c r="BW26" s="1408">
        <v>90.535815810000003</v>
      </c>
      <c r="BX26" s="1408">
        <v>180.62149391</v>
      </c>
      <c r="BY26" s="1408">
        <v>261.64396108</v>
      </c>
      <c r="BZ26" s="1408">
        <v>370.24063410999997</v>
      </c>
      <c r="CA26" s="1408">
        <v>461.30650184000001</v>
      </c>
      <c r="CB26" s="1408">
        <v>548.89327926999999</v>
      </c>
      <c r="CC26" s="1410" t="s">
        <v>3609</v>
      </c>
      <c r="CD26" s="1070"/>
      <c r="CE26" s="1069"/>
      <c r="CF26" s="1070"/>
    </row>
    <row r="27" spans="1:86" ht="37.5" customHeight="1">
      <c r="A27" s="1407" t="s">
        <v>2995</v>
      </c>
      <c r="B27" s="1408">
        <v>786.90884125999992</v>
      </c>
      <c r="C27" s="1408">
        <v>59.197247660000002</v>
      </c>
      <c r="D27" s="1408">
        <v>123.67914816000001</v>
      </c>
      <c r="E27" s="1408">
        <v>194.23043000999999</v>
      </c>
      <c r="F27" s="1408">
        <v>256.70013603000001</v>
      </c>
      <c r="G27" s="1408">
        <v>307.61413691299998</v>
      </c>
      <c r="H27" s="1408">
        <v>367.51813901000003</v>
      </c>
      <c r="I27" s="1408">
        <v>418.36315194000002</v>
      </c>
      <c r="J27" s="1408">
        <v>478.90162519</v>
      </c>
      <c r="K27" s="1408">
        <v>535.02997806999997</v>
      </c>
      <c r="L27" s="1408">
        <v>649.89990588000001</v>
      </c>
      <c r="M27" s="1408">
        <v>707.62268719999997</v>
      </c>
      <c r="N27" s="1408">
        <v>794.93620060000001</v>
      </c>
      <c r="O27" s="1408">
        <v>59.636563100000004</v>
      </c>
      <c r="P27" s="1408">
        <v>120.87130841</v>
      </c>
      <c r="Q27" s="1408">
        <v>187.73708231000001</v>
      </c>
      <c r="R27" s="1408">
        <v>250.69200352000001</v>
      </c>
      <c r="S27" s="1408">
        <v>321.09686139999997</v>
      </c>
      <c r="T27" s="1408">
        <v>399.64070848</v>
      </c>
      <c r="U27" s="1408">
        <v>473.88765455999999</v>
      </c>
      <c r="V27" s="1408">
        <v>566.44454815999995</v>
      </c>
      <c r="W27" s="1408">
        <v>621.20766387000003</v>
      </c>
      <c r="X27" s="1408">
        <v>693.17988909999997</v>
      </c>
      <c r="Y27" s="1409">
        <v>773.81510503999993</v>
      </c>
      <c r="Z27" s="1409">
        <v>889.01648896000006</v>
      </c>
      <c r="AA27" s="1408">
        <v>73.459664199999992</v>
      </c>
      <c r="AB27" s="1408">
        <v>159.19325809</v>
      </c>
      <c r="AC27" s="1408">
        <v>230.89759905</v>
      </c>
      <c r="AD27" s="1408">
        <v>317.77353961</v>
      </c>
      <c r="AE27" s="1408">
        <v>402.09503948000003</v>
      </c>
      <c r="AF27" s="1408">
        <v>510.24339592800004</v>
      </c>
      <c r="AG27" s="1408">
        <v>599.35122655999999</v>
      </c>
      <c r="AH27" s="1408">
        <v>686.78295246000005</v>
      </c>
      <c r="AI27" s="1408">
        <v>784.42732063999995</v>
      </c>
      <c r="AJ27" s="1408">
        <v>866.55047146000004</v>
      </c>
      <c r="AK27" s="1408">
        <v>967.45837529000005</v>
      </c>
      <c r="AL27" s="1408">
        <v>1089.4413594588</v>
      </c>
      <c r="AM27" s="1408">
        <v>82.367669509999999</v>
      </c>
      <c r="AN27" s="1408">
        <v>185.69686680000001</v>
      </c>
      <c r="AO27" s="1408">
        <v>273.57413487999997</v>
      </c>
      <c r="AP27" s="1408">
        <v>376.21449525000003</v>
      </c>
      <c r="AQ27" s="1408">
        <v>470.42926695</v>
      </c>
      <c r="AR27" s="1408">
        <v>594.52123669000002</v>
      </c>
      <c r="AS27" s="1408">
        <v>712.87411753000004</v>
      </c>
      <c r="AT27" s="1408">
        <v>815.71831641000006</v>
      </c>
      <c r="AU27" s="1408">
        <v>919.02631799999995</v>
      </c>
      <c r="AV27" s="1408">
        <v>1006.78461119</v>
      </c>
      <c r="AW27" s="1408">
        <v>1106.7075229300001</v>
      </c>
      <c r="AX27" s="1408">
        <v>1261.9878898500001</v>
      </c>
      <c r="AY27" s="1408">
        <v>130.58982456000001</v>
      </c>
      <c r="AZ27" s="1408">
        <v>235.37535485000001</v>
      </c>
      <c r="BA27" s="1408">
        <v>350.71741579000002</v>
      </c>
      <c r="BB27" s="1408">
        <v>464.96399969999999</v>
      </c>
      <c r="BC27" s="1408">
        <v>579.09189438999999</v>
      </c>
      <c r="BD27" s="1408">
        <v>691.23548784000002</v>
      </c>
      <c r="BE27" s="1408">
        <v>810.71582368999998</v>
      </c>
      <c r="BF27" s="1408">
        <v>932.80951908999998</v>
      </c>
      <c r="BG27" s="1408">
        <v>1017.22880832</v>
      </c>
      <c r="BH27" s="1408">
        <v>1132.19380105</v>
      </c>
      <c r="BI27" s="1408">
        <v>1257.38008337</v>
      </c>
      <c r="BJ27" s="1408">
        <v>1455.4558379099999</v>
      </c>
      <c r="BK27" s="1408">
        <v>145.95686873</v>
      </c>
      <c r="BL27" s="1408">
        <v>277.84408911000003</v>
      </c>
      <c r="BM27" s="1408">
        <v>392.06565519999998</v>
      </c>
      <c r="BN27" s="1408">
        <v>528.08015893000004</v>
      </c>
      <c r="BO27" s="1408">
        <v>660.85714628000005</v>
      </c>
      <c r="BP27" s="1408">
        <v>783.64536924934998</v>
      </c>
      <c r="BQ27" s="1408">
        <v>913.17057918</v>
      </c>
      <c r="BR27" s="1408">
        <v>1051.31726912</v>
      </c>
      <c r="BS27" s="1408">
        <v>1182.94223821935</v>
      </c>
      <c r="BT27" s="1408">
        <v>1326.0474323113499</v>
      </c>
      <c r="BU27" s="1408">
        <v>1471.81228564</v>
      </c>
      <c r="BV27" s="1408">
        <v>1682.8487389300001</v>
      </c>
      <c r="BW27" s="1408">
        <v>134.6650554384</v>
      </c>
      <c r="BX27" s="1408">
        <v>275.4032192491</v>
      </c>
      <c r="BY27" s="1408">
        <v>420.47193962260002</v>
      </c>
      <c r="BZ27" s="1408">
        <v>572.38655414050004</v>
      </c>
      <c r="CA27" s="1408">
        <v>697.88130285317402</v>
      </c>
      <c r="CB27" s="1408">
        <v>846.73990363380005</v>
      </c>
      <c r="CC27" s="1410" t="s">
        <v>3610</v>
      </c>
      <c r="CD27" s="1070"/>
      <c r="CE27" s="1069"/>
      <c r="CF27" s="1070"/>
    </row>
    <row r="28" spans="1:86" ht="37.5" customHeight="1">
      <c r="A28" s="1411" t="s">
        <v>2996</v>
      </c>
      <c r="B28" s="1408">
        <v>848.99669826117599</v>
      </c>
      <c r="C28" s="1408">
        <v>71.3768731149828</v>
      </c>
      <c r="D28" s="1408">
        <v>146.23091963774399</v>
      </c>
      <c r="E28" s="1408">
        <v>217.639597506645</v>
      </c>
      <c r="F28" s="1408">
        <v>281.59933267193799</v>
      </c>
      <c r="G28" s="1408">
        <v>360.18692466677697</v>
      </c>
      <c r="H28" s="1408">
        <v>430.68990114047699</v>
      </c>
      <c r="I28" s="1408">
        <v>507.09146054926902</v>
      </c>
      <c r="J28" s="1408">
        <v>574.74264932588005</v>
      </c>
      <c r="K28" s="1408">
        <v>658.92430906658103</v>
      </c>
      <c r="L28" s="1408">
        <v>661.49192580147201</v>
      </c>
      <c r="M28" s="1408">
        <v>742.34224163308102</v>
      </c>
      <c r="N28" s="1408">
        <v>803.66876116457104</v>
      </c>
      <c r="O28" s="1408">
        <v>67.752613365900004</v>
      </c>
      <c r="P28" s="1408">
        <v>136.16916393114499</v>
      </c>
      <c r="Q28" s="1408">
        <v>220.80169489058201</v>
      </c>
      <c r="R28" s="1408">
        <v>301.59527887938998</v>
      </c>
      <c r="S28" s="1408">
        <v>411.187694217623</v>
      </c>
      <c r="T28" s="1408">
        <v>502.54661939426398</v>
      </c>
      <c r="U28" s="1408">
        <v>574.68661908213198</v>
      </c>
      <c r="V28" s="1408">
        <v>643.75870604011698</v>
      </c>
      <c r="W28" s="1408">
        <v>723.81726688296305</v>
      </c>
      <c r="X28" s="1408">
        <v>810.17600259006497</v>
      </c>
      <c r="Y28" s="1409">
        <v>883.92604336826003</v>
      </c>
      <c r="Z28" s="1409">
        <v>942.75546209739605</v>
      </c>
      <c r="AA28" s="1408">
        <v>89.455179902084595</v>
      </c>
      <c r="AB28" s="1408">
        <v>161.80531443906901</v>
      </c>
      <c r="AC28" s="1408">
        <v>275.38603827760602</v>
      </c>
      <c r="AD28" s="1408">
        <v>388.99259472374501</v>
      </c>
      <c r="AE28" s="1408">
        <v>503.651241512902</v>
      </c>
      <c r="AF28" s="1408">
        <v>614.27990571379996</v>
      </c>
      <c r="AG28" s="1408">
        <v>741.43047685251099</v>
      </c>
      <c r="AH28" s="1408">
        <v>849.94703500663104</v>
      </c>
      <c r="AI28" s="1408">
        <v>976.93056394114205</v>
      </c>
      <c r="AJ28" s="1408">
        <v>1116.6680135593899</v>
      </c>
      <c r="AK28" s="1408">
        <v>1239.32272372593</v>
      </c>
      <c r="AL28" s="1408">
        <v>1371.3525451107701</v>
      </c>
      <c r="AM28" s="1408">
        <v>134.53362449858599</v>
      </c>
      <c r="AN28" s="1408">
        <v>250.61330391804501</v>
      </c>
      <c r="AO28" s="1408">
        <v>392.012529978967</v>
      </c>
      <c r="AP28" s="1408">
        <v>512.94071012165602</v>
      </c>
      <c r="AQ28" s="1408">
        <v>644.12918565028804</v>
      </c>
      <c r="AR28" s="1408">
        <v>772.34312188633896</v>
      </c>
      <c r="AS28" s="1408">
        <v>931.392027156106</v>
      </c>
      <c r="AT28" s="1408">
        <v>1064.0004271798</v>
      </c>
      <c r="AU28" s="1408">
        <v>1227.26143056257</v>
      </c>
      <c r="AV28" s="1408">
        <v>1369.5436455157601</v>
      </c>
      <c r="AW28" s="1408">
        <v>1521.1984790967199</v>
      </c>
      <c r="AX28" s="1408">
        <v>1641.2256439704399</v>
      </c>
      <c r="AY28" s="1408">
        <v>143.55266752637499</v>
      </c>
      <c r="AZ28" s="1408">
        <v>298.274281410551</v>
      </c>
      <c r="BA28" s="1408">
        <v>444.59326100926398</v>
      </c>
      <c r="BB28" s="1408">
        <v>585.00523244617102</v>
      </c>
      <c r="BC28" s="1408">
        <v>732.61438280796006</v>
      </c>
      <c r="BD28" s="1408">
        <v>875.48499854078</v>
      </c>
      <c r="BE28" s="1408">
        <v>1016.01555126598</v>
      </c>
      <c r="BF28" s="1408">
        <v>1148.16713583163</v>
      </c>
      <c r="BG28" s="1408">
        <v>1268.6815506371199</v>
      </c>
      <c r="BH28" s="1408">
        <v>1422.4486702464401</v>
      </c>
      <c r="BI28" s="1408">
        <v>1535.8159019078</v>
      </c>
      <c r="BJ28" s="1408">
        <v>1663.2273574995199</v>
      </c>
      <c r="BK28" s="1408">
        <v>122.53765015719701</v>
      </c>
      <c r="BL28" s="1408">
        <v>275.22990159137402</v>
      </c>
      <c r="BM28" s="1408">
        <v>402.69455832527399</v>
      </c>
      <c r="BN28" s="1408">
        <v>564.39371099854998</v>
      </c>
      <c r="BO28" s="1408">
        <v>708.17168000622598</v>
      </c>
      <c r="BP28" s="1408">
        <v>881.01272262914199</v>
      </c>
      <c r="BQ28" s="1408">
        <v>1085.9060865983099</v>
      </c>
      <c r="BR28" s="1408">
        <v>1187.45709632282</v>
      </c>
      <c r="BS28" s="1408">
        <v>1373.15020228299</v>
      </c>
      <c r="BT28" s="1408">
        <v>1529.7308459712399</v>
      </c>
      <c r="BU28" s="1408">
        <v>1651.58439429395</v>
      </c>
      <c r="BV28" s="1408">
        <v>1862.0015392259299</v>
      </c>
      <c r="BW28" s="1408">
        <v>154.988305734367</v>
      </c>
      <c r="BX28" s="1408">
        <v>301.16836838527098</v>
      </c>
      <c r="BY28" s="1408">
        <v>520.96707614667696</v>
      </c>
      <c r="BZ28" s="1408">
        <v>658.67346317872205</v>
      </c>
      <c r="CA28" s="1408">
        <v>837.52196945101502</v>
      </c>
      <c r="CB28" s="1408">
        <v>1086.48429843453</v>
      </c>
      <c r="CC28" s="1412" t="s">
        <v>3611</v>
      </c>
      <c r="CD28" s="1070"/>
      <c r="CE28" s="1069"/>
      <c r="CF28" s="1070"/>
    </row>
    <row r="29" spans="1:86" ht="46.5">
      <c r="A29" s="1411" t="s">
        <v>2269</v>
      </c>
      <c r="B29" s="1408">
        <v>177.34499791117599</v>
      </c>
      <c r="C29" s="1408">
        <v>16.242572235418201</v>
      </c>
      <c r="D29" s="1408">
        <v>30.430880138179099</v>
      </c>
      <c r="E29" s="1408">
        <v>29.697367464352102</v>
      </c>
      <c r="F29" s="1408">
        <v>74.369605122373301</v>
      </c>
      <c r="G29" s="1408">
        <v>-19.951893959787899</v>
      </c>
      <c r="H29" s="1408">
        <v>-21.824867169087099</v>
      </c>
      <c r="I29" s="1408">
        <v>-16.176723660731199</v>
      </c>
      <c r="J29" s="1408">
        <v>30.263432035880001</v>
      </c>
      <c r="K29" s="1408">
        <v>24.067968296581601</v>
      </c>
      <c r="L29" s="1408">
        <v>49.217731341471598</v>
      </c>
      <c r="M29" s="1408">
        <v>48.4831851530816</v>
      </c>
      <c r="N29" s="1408">
        <v>70.973846814571004</v>
      </c>
      <c r="O29" s="1408">
        <v>33.334368355899997</v>
      </c>
      <c r="P29" s="1408">
        <v>46.894571211144502</v>
      </c>
      <c r="Q29" s="1408">
        <v>38.989450090581997</v>
      </c>
      <c r="R29" s="1408">
        <v>63.600950559389901</v>
      </c>
      <c r="S29" s="1408">
        <v>87.514921667623497</v>
      </c>
      <c r="T29" s="1408">
        <v>73.616707304263997</v>
      </c>
      <c r="U29" s="1408">
        <v>94.019531012131296</v>
      </c>
      <c r="V29" s="1408">
        <v>107.398332560117</v>
      </c>
      <c r="W29" s="1408">
        <v>125.00757962296299</v>
      </c>
      <c r="X29" s="1408">
        <v>130.89559369989499</v>
      </c>
      <c r="Y29" s="1409">
        <v>149.14367176825999</v>
      </c>
      <c r="Z29" s="1409">
        <v>168.90138739739601</v>
      </c>
      <c r="AA29" s="1408">
        <v>16.8359898320846</v>
      </c>
      <c r="AB29" s="1408">
        <v>24.6412677190688</v>
      </c>
      <c r="AC29" s="1408">
        <v>59.896751617606299</v>
      </c>
      <c r="AD29" s="1408">
        <v>83.770097413744594</v>
      </c>
      <c r="AE29" s="1408">
        <v>98.944505992902194</v>
      </c>
      <c r="AF29" s="1408">
        <v>124.68711521371</v>
      </c>
      <c r="AG29" s="1408">
        <v>134.321765392511</v>
      </c>
      <c r="AH29" s="1408">
        <v>124.374670816631</v>
      </c>
      <c r="AI29" s="1408">
        <v>136.30783473744501</v>
      </c>
      <c r="AJ29" s="1408">
        <v>168.326829449391</v>
      </c>
      <c r="AK29" s="1408">
        <v>183.01486318592899</v>
      </c>
      <c r="AL29" s="1408">
        <v>195.528384595566</v>
      </c>
      <c r="AM29" s="1408">
        <v>21.471067398585799</v>
      </c>
      <c r="AN29" s="1408">
        <v>50.572409228044599</v>
      </c>
      <c r="AO29" s="1408">
        <v>55.859081218966601</v>
      </c>
      <c r="AP29" s="1408">
        <v>79.113892295696502</v>
      </c>
      <c r="AQ29" s="1408">
        <v>101.306077912788</v>
      </c>
      <c r="AR29" s="1408">
        <v>78.895459915338506</v>
      </c>
      <c r="AS29" s="1408">
        <v>113.13687968424701</v>
      </c>
      <c r="AT29" s="1408">
        <v>152.962724616543</v>
      </c>
      <c r="AU29" s="1408">
        <v>180.62487707704301</v>
      </c>
      <c r="AV29" s="1408">
        <v>226.10931857558199</v>
      </c>
      <c r="AW29" s="1408">
        <v>271.83653743052002</v>
      </c>
      <c r="AX29" s="1408">
        <v>259.34369627306899</v>
      </c>
      <c r="AY29" s="1408">
        <v>21.892886624868002</v>
      </c>
      <c r="AZ29" s="1408">
        <v>41.922403240551397</v>
      </c>
      <c r="BA29" s="1408">
        <v>61.867669959263402</v>
      </c>
      <c r="BB29" s="1408">
        <v>89.661863256960302</v>
      </c>
      <c r="BC29" s="1408">
        <v>107.78323166796</v>
      </c>
      <c r="BD29" s="1408">
        <v>139.74187843883499</v>
      </c>
      <c r="BE29" s="1408">
        <v>182.19940946563401</v>
      </c>
      <c r="BF29" s="1408">
        <v>203.18397904163399</v>
      </c>
      <c r="BG29" s="1408">
        <v>253.07063456712501</v>
      </c>
      <c r="BH29" s="1408">
        <v>299.38287212644502</v>
      </c>
      <c r="BI29" s="1408">
        <v>341.63354208779498</v>
      </c>
      <c r="BJ29" s="1408">
        <v>328.922702040638</v>
      </c>
      <c r="BK29" s="1408">
        <v>27.8788526971971</v>
      </c>
      <c r="BL29" s="1408">
        <v>52.205597241373802</v>
      </c>
      <c r="BM29" s="1408">
        <v>87.975202115273703</v>
      </c>
      <c r="BN29" s="1408">
        <v>134.88394148854999</v>
      </c>
      <c r="BO29" s="1408">
        <v>168.85352635622601</v>
      </c>
      <c r="BP29" s="1408">
        <v>170.79686206914201</v>
      </c>
      <c r="BQ29" s="1408">
        <v>238.05075070831001</v>
      </c>
      <c r="BR29" s="1408">
        <v>225.941139532823</v>
      </c>
      <c r="BS29" s="1408">
        <v>248.11618861299499</v>
      </c>
      <c r="BT29" s="1408">
        <v>301.20691042123701</v>
      </c>
      <c r="BU29" s="1408">
        <v>326.86102599394599</v>
      </c>
      <c r="BV29" s="1408">
        <v>383.33827691510999</v>
      </c>
      <c r="BW29" s="1408">
        <v>42.376957332767098</v>
      </c>
      <c r="BX29" s="1408">
        <v>63.955679944370999</v>
      </c>
      <c r="BY29" s="1408">
        <v>64.506472888676797</v>
      </c>
      <c r="BZ29" s="1408">
        <v>115.728535192202</v>
      </c>
      <c r="CA29" s="1408">
        <v>145.64584702418799</v>
      </c>
      <c r="CB29" s="1408">
        <v>198.74406767833599</v>
      </c>
      <c r="CC29" s="1412" t="s">
        <v>3612</v>
      </c>
      <c r="CD29" s="1070"/>
      <c r="CE29" s="1069"/>
      <c r="CF29" s="1070"/>
    </row>
    <row r="30" spans="1:86" ht="37.5" customHeight="1">
      <c r="A30" s="1411" t="s">
        <v>2262</v>
      </c>
      <c r="B30" s="1408">
        <v>21.3236887891</v>
      </c>
      <c r="C30" s="1408">
        <v>2.5629899999999998E-3</v>
      </c>
      <c r="D30" s="1408">
        <v>-2.0076600000000001E-3</v>
      </c>
      <c r="E30" s="1408">
        <v>-1.318164E-2</v>
      </c>
      <c r="F30" s="1408">
        <v>-1.369164E-2</v>
      </c>
      <c r="G30" s="1408">
        <v>7.3081400000000003E-3</v>
      </c>
      <c r="H30" s="1408">
        <v>7.8834849999999998E-2</v>
      </c>
      <c r="I30" s="1408">
        <v>0.13244167000000001</v>
      </c>
      <c r="J30" s="1408">
        <v>0.14898167000000001</v>
      </c>
      <c r="K30" s="1408">
        <v>0.14809367000000001</v>
      </c>
      <c r="L30" s="1408">
        <v>0.33169419</v>
      </c>
      <c r="M30" s="1408">
        <v>0.34329819</v>
      </c>
      <c r="N30" s="1408">
        <v>0.62938432</v>
      </c>
      <c r="O30" s="1408">
        <v>-4.7499999999999999E-3</v>
      </c>
      <c r="P30" s="1408">
        <v>2.3E-3</v>
      </c>
      <c r="Q30" s="1408">
        <v>-0.89840078000000001</v>
      </c>
      <c r="R30" s="1408">
        <v>7.9673740000000007E-2</v>
      </c>
      <c r="S30" s="1408">
        <v>0.141148</v>
      </c>
      <c r="T30" s="1408">
        <v>0.141568</v>
      </c>
      <c r="U30" s="1408">
        <v>0.109539</v>
      </c>
      <c r="V30" s="1408">
        <v>0.71880500000000003</v>
      </c>
      <c r="W30" s="1408">
        <v>0.57383499999999998</v>
      </c>
      <c r="X30" s="1408">
        <v>0.55928900000000004</v>
      </c>
      <c r="Y30" s="1409">
        <v>0.88912800000000003</v>
      </c>
      <c r="Z30" s="1409">
        <v>0.75910639999999996</v>
      </c>
      <c r="AA30" s="1408">
        <v>7.9399999999999991E-3</v>
      </c>
      <c r="AB30" s="1408">
        <v>5.2060000000000002E-2</v>
      </c>
      <c r="AC30" s="1408">
        <v>7.3649999999999993E-2</v>
      </c>
      <c r="AD30" s="1408">
        <v>-4.0758950000000002E-2</v>
      </c>
      <c r="AE30" s="1408">
        <v>-4.1524949999999998E-2</v>
      </c>
      <c r="AF30" s="1408">
        <v>-0.44082094999999999</v>
      </c>
      <c r="AG30" s="1408">
        <v>-0.41664095000000001</v>
      </c>
      <c r="AH30" s="1408">
        <v>-0.41060485000000002</v>
      </c>
      <c r="AI30" s="1408">
        <v>-0.48273885</v>
      </c>
      <c r="AJ30" s="1408">
        <v>-0.46676885000000001</v>
      </c>
      <c r="AK30" s="1408">
        <v>-0.30323885</v>
      </c>
      <c r="AL30" s="1408">
        <v>0.13809104999999999</v>
      </c>
      <c r="AM30" s="1408">
        <v>-7.2609999999999994E-2</v>
      </c>
      <c r="AN30" s="1408">
        <v>-4.777E-2</v>
      </c>
      <c r="AO30" s="1408">
        <v>8.9349999999999999E-2</v>
      </c>
      <c r="AP30" s="1408">
        <v>0.28335199999999999</v>
      </c>
      <c r="AQ30" s="1408">
        <v>0.36943793000000003</v>
      </c>
      <c r="AR30" s="1408">
        <v>1.12921793</v>
      </c>
      <c r="AS30" s="1408">
        <v>0.42236611000000002</v>
      </c>
      <c r="AT30" s="1408">
        <v>0.56522311000000003</v>
      </c>
      <c r="AU30" s="1408">
        <v>0.93518270999999997</v>
      </c>
      <c r="AV30" s="1408">
        <v>2.61077285</v>
      </c>
      <c r="AW30" s="1408">
        <v>2.6354948500000002</v>
      </c>
      <c r="AX30" s="1408">
        <v>2.7122951099999999</v>
      </c>
      <c r="AY30" s="1408">
        <v>-0.12204022</v>
      </c>
      <c r="AZ30" s="1408">
        <v>1.6371337800000001</v>
      </c>
      <c r="BA30" s="1408">
        <v>1.6607637799999999</v>
      </c>
      <c r="BB30" s="1408">
        <v>2.06242378</v>
      </c>
      <c r="BC30" s="1408">
        <v>2.28462633</v>
      </c>
      <c r="BD30" s="1408">
        <v>2.3634963299999998</v>
      </c>
      <c r="BE30" s="1408">
        <v>2.3756020000000002</v>
      </c>
      <c r="BF30" s="1408">
        <v>2.4924020699999998</v>
      </c>
      <c r="BG30" s="1408">
        <v>4.5878617200000003</v>
      </c>
      <c r="BH30" s="1408">
        <v>4.5357417199999999</v>
      </c>
      <c r="BI30" s="1408">
        <v>4.59690172</v>
      </c>
      <c r="BJ30" s="1408">
        <v>4.3411868599999996</v>
      </c>
      <c r="BK30" s="1408">
        <v>3.8119999999999999E-3</v>
      </c>
      <c r="BL30" s="1408">
        <v>1.0991000000000001E-2</v>
      </c>
      <c r="BM30" s="1408">
        <v>0.26743751999999998</v>
      </c>
      <c r="BN30" s="1408">
        <v>0.38190501999999998</v>
      </c>
      <c r="BO30" s="1408">
        <v>0.37754872</v>
      </c>
      <c r="BP30" s="1408">
        <v>0.49483533000000002</v>
      </c>
      <c r="BQ30" s="1408">
        <v>0.63276034999999997</v>
      </c>
      <c r="BR30" s="1408">
        <v>0.64085734999999999</v>
      </c>
      <c r="BS30" s="1408">
        <v>0.15701485000000001</v>
      </c>
      <c r="BT30" s="1408">
        <v>-5.567515E-2</v>
      </c>
      <c r="BU30" s="1408">
        <v>-0.32707514999999998</v>
      </c>
      <c r="BV30" s="1408">
        <v>-0.24249418</v>
      </c>
      <c r="BW30" s="1408">
        <v>5.3839999999999999E-2</v>
      </c>
      <c r="BX30" s="1408">
        <v>0.106901</v>
      </c>
      <c r="BY30" s="1408">
        <v>0.12434099999999999</v>
      </c>
      <c r="BZ30" s="1408">
        <v>-0.243509</v>
      </c>
      <c r="CA30" s="1408">
        <v>-8.2669999999999896E-3</v>
      </c>
      <c r="CB30" s="1408">
        <v>-0.28611199999999998</v>
      </c>
      <c r="CC30" s="1412" t="s">
        <v>3613</v>
      </c>
      <c r="CD30" s="1070"/>
      <c r="CE30" s="1069"/>
      <c r="CF30" s="1070"/>
    </row>
    <row r="31" spans="1:86" ht="37.5" customHeight="1">
      <c r="A31" s="1411" t="s">
        <v>2997</v>
      </c>
      <c r="B31" s="1408">
        <v>692.9753891391</v>
      </c>
      <c r="C31" s="1408">
        <v>55.1368638695646</v>
      </c>
      <c r="D31" s="1408">
        <v>115.798031839565</v>
      </c>
      <c r="E31" s="1408">
        <v>187.92904840229301</v>
      </c>
      <c r="F31" s="1408">
        <v>207.21603590956499</v>
      </c>
      <c r="G31" s="1408">
        <v>380.14612676656498</v>
      </c>
      <c r="H31" s="1408">
        <v>452.59360315956502</v>
      </c>
      <c r="I31" s="1408">
        <v>523.40062588000001</v>
      </c>
      <c r="J31" s="1408">
        <v>544.62819895999996</v>
      </c>
      <c r="K31" s="1408">
        <v>635.00443443999995</v>
      </c>
      <c r="L31" s="1408">
        <v>612.60588865</v>
      </c>
      <c r="M31" s="1408">
        <v>694.20235466999998</v>
      </c>
      <c r="N31" s="1408">
        <v>733.32429866999996</v>
      </c>
      <c r="O31" s="1408">
        <v>34.413495009999998</v>
      </c>
      <c r="P31" s="1408">
        <v>89.276892720000006</v>
      </c>
      <c r="Q31" s="1408">
        <v>180.91384402</v>
      </c>
      <c r="R31" s="1408">
        <v>238.07400206</v>
      </c>
      <c r="S31" s="1408">
        <v>323.81392054999998</v>
      </c>
      <c r="T31" s="1408">
        <v>429.07148009000002</v>
      </c>
      <c r="U31" s="1408">
        <v>480.77662707000002</v>
      </c>
      <c r="V31" s="1408">
        <v>537.07917848</v>
      </c>
      <c r="W31" s="1408">
        <v>599.38352225999995</v>
      </c>
      <c r="X31" s="1408">
        <v>679.83969789016999</v>
      </c>
      <c r="Y31" s="1409">
        <v>735.67149959999995</v>
      </c>
      <c r="Z31" s="1409">
        <v>774.61318110000002</v>
      </c>
      <c r="AA31" s="1408">
        <v>72.627130070000007</v>
      </c>
      <c r="AB31" s="1408">
        <v>137.21610672</v>
      </c>
      <c r="AC31" s="1408">
        <v>215.56293665999999</v>
      </c>
      <c r="AD31" s="1408">
        <v>305.18173836</v>
      </c>
      <c r="AE31" s="1408">
        <v>404.66521057</v>
      </c>
      <c r="AF31" s="1408">
        <v>489.15196955008997</v>
      </c>
      <c r="AG31" s="1408">
        <v>606.69207051000001</v>
      </c>
      <c r="AH31" s="1408">
        <v>725.16175934</v>
      </c>
      <c r="AI31" s="1408">
        <v>840.13999035369704</v>
      </c>
      <c r="AJ31" s="1408">
        <v>947.87441525999998</v>
      </c>
      <c r="AK31" s="1408">
        <v>1056.00462169</v>
      </c>
      <c r="AL31" s="1408">
        <v>1175.96225156521</v>
      </c>
      <c r="AM31" s="1408">
        <v>112.98994709999999</v>
      </c>
      <c r="AN31" s="1408">
        <v>199.99312469</v>
      </c>
      <c r="AO31" s="1408">
        <v>336.24279876000003</v>
      </c>
      <c r="AP31" s="1408">
        <v>434.11016982595902</v>
      </c>
      <c r="AQ31" s="1408">
        <v>543.19254566749999</v>
      </c>
      <c r="AR31" s="1408">
        <v>694.57687990099998</v>
      </c>
      <c r="AS31" s="1408">
        <v>818.67751358185899</v>
      </c>
      <c r="AT31" s="1408">
        <v>911.60292567326201</v>
      </c>
      <c r="AU31" s="1408">
        <v>1047.5717361955301</v>
      </c>
      <c r="AV31" s="1408">
        <v>1146.0450997901701</v>
      </c>
      <c r="AW31" s="1408">
        <v>1251.9974365162</v>
      </c>
      <c r="AX31" s="1408">
        <v>1384.5942428073699</v>
      </c>
      <c r="AY31" s="1408">
        <v>121.537740681507</v>
      </c>
      <c r="AZ31" s="1408">
        <v>257.98901195000002</v>
      </c>
      <c r="BA31" s="1408">
        <v>384.38635483000098</v>
      </c>
      <c r="BB31" s="1408">
        <v>497.40579296921101</v>
      </c>
      <c r="BC31" s="1408">
        <v>627.11577747000001</v>
      </c>
      <c r="BD31" s="1408">
        <v>738.10661643194499</v>
      </c>
      <c r="BE31" s="1408">
        <v>836.19174380035099</v>
      </c>
      <c r="BF31" s="1408">
        <v>947.47555885999998</v>
      </c>
      <c r="BG31" s="1408">
        <v>1020.19877779</v>
      </c>
      <c r="BH31" s="1408">
        <v>1127.60153984</v>
      </c>
      <c r="BI31" s="1408">
        <v>1198.7792615400001</v>
      </c>
      <c r="BJ31" s="1408">
        <v>1338.6458423188801</v>
      </c>
      <c r="BK31" s="1408">
        <v>94.662609459999999</v>
      </c>
      <c r="BL31" s="1408">
        <v>223.03529535000001</v>
      </c>
      <c r="BM31" s="1408">
        <v>314.98679372999999</v>
      </c>
      <c r="BN31" s="1408">
        <v>429.89167452999999</v>
      </c>
      <c r="BO31" s="1408">
        <v>539.69570237000005</v>
      </c>
      <c r="BP31" s="1408">
        <v>710.71069589000001</v>
      </c>
      <c r="BQ31" s="1408">
        <v>848.48809624</v>
      </c>
      <c r="BR31" s="1408">
        <v>962.15681414000096</v>
      </c>
      <c r="BS31" s="1408">
        <v>1125.1910285199999</v>
      </c>
      <c r="BT31" s="1408">
        <v>1228.4682604</v>
      </c>
      <c r="BU31" s="1408">
        <v>1324.39629315</v>
      </c>
      <c r="BV31" s="1408">
        <v>1478.4207681308201</v>
      </c>
      <c r="BW31" s="1408">
        <v>112.66518840160001</v>
      </c>
      <c r="BX31" s="1408">
        <v>237.31958944089999</v>
      </c>
      <c r="BY31" s="1408">
        <v>456.58494425800001</v>
      </c>
      <c r="BZ31" s="1408">
        <v>542.70141898652003</v>
      </c>
      <c r="CA31" s="1408">
        <v>691.86785542682605</v>
      </c>
      <c r="CB31" s="1408">
        <v>887.45411875619902</v>
      </c>
      <c r="CC31" s="1412" t="s">
        <v>3614</v>
      </c>
      <c r="CD31" s="1070"/>
      <c r="CE31" s="1069"/>
      <c r="CF31" s="1070"/>
    </row>
    <row r="32" spans="1:86" ht="37.5" customHeight="1">
      <c r="A32" s="1411" t="s">
        <v>2261</v>
      </c>
      <c r="B32" s="1408">
        <v>156.04059493928199</v>
      </c>
      <c r="C32" s="1408">
        <v>5.7093485580000003</v>
      </c>
      <c r="D32" s="1408">
        <v>17.893637861799998</v>
      </c>
      <c r="E32" s="1408">
        <v>24.967664163799899</v>
      </c>
      <c r="F32" s="1408">
        <v>51.089239383799999</v>
      </c>
      <c r="G32" s="1408">
        <v>65.69319883</v>
      </c>
      <c r="H32" s="1408">
        <v>80.943094384000005</v>
      </c>
      <c r="I32" s="1408">
        <v>95.276950020000001</v>
      </c>
      <c r="J32" s="1408">
        <v>106.969110138272</v>
      </c>
      <c r="K32" s="1408">
        <v>122.197403035414</v>
      </c>
      <c r="L32" s="1408">
        <v>134.61685801269101</v>
      </c>
      <c r="M32" s="1408">
        <v>146.08238875269799</v>
      </c>
      <c r="N32" s="1408">
        <v>165.51335235793999</v>
      </c>
      <c r="O32" s="1408">
        <v>8.9811244299999995</v>
      </c>
      <c r="P32" s="1408">
        <v>16.221602445999601</v>
      </c>
      <c r="Q32" s="1408">
        <v>32.145205439999998</v>
      </c>
      <c r="R32" s="1408">
        <v>43.406834699999997</v>
      </c>
      <c r="S32" s="1408">
        <v>50.5974801759996</v>
      </c>
      <c r="T32" s="1408">
        <v>62.754082292999797</v>
      </c>
      <c r="U32" s="1408">
        <v>71.908650949999995</v>
      </c>
      <c r="V32" s="1408">
        <v>81.902188005599797</v>
      </c>
      <c r="W32" s="1408">
        <v>93.757336800000004</v>
      </c>
      <c r="X32" s="1408">
        <v>109.75815436000001</v>
      </c>
      <c r="Y32" s="1409">
        <v>121.55951423</v>
      </c>
      <c r="Z32" s="1409">
        <v>165.63430950424899</v>
      </c>
      <c r="AA32" s="1408">
        <v>14.014161339999999</v>
      </c>
      <c r="AB32" s="1408">
        <v>29.487833139999999</v>
      </c>
      <c r="AC32" s="1408">
        <v>41.623565229279997</v>
      </c>
      <c r="AD32" s="1408">
        <v>57.065285788599901</v>
      </c>
      <c r="AE32" s="1408">
        <v>73.126903389999995</v>
      </c>
      <c r="AF32" s="1408">
        <v>88.320747921767904</v>
      </c>
      <c r="AG32" s="1408">
        <v>114.13200504</v>
      </c>
      <c r="AH32" s="1408">
        <v>135.7587704</v>
      </c>
      <c r="AI32" s="1408">
        <v>156.95243816000001</v>
      </c>
      <c r="AJ32" s="1408">
        <v>177.99964438999999</v>
      </c>
      <c r="AK32" s="1408">
        <v>196.62167792</v>
      </c>
      <c r="AL32" s="1408">
        <v>261.48940542857201</v>
      </c>
      <c r="AM32" s="1408">
        <v>22.724642800000002</v>
      </c>
      <c r="AN32" s="1408">
        <v>44.247696339999997</v>
      </c>
      <c r="AO32" s="1408">
        <v>68.379251339999996</v>
      </c>
      <c r="AP32" s="1408">
        <v>88.916096640000006</v>
      </c>
      <c r="AQ32" s="1408">
        <v>106.095774140345</v>
      </c>
      <c r="AR32" s="1408">
        <v>131.26798825</v>
      </c>
      <c r="AS32" s="1408">
        <v>163.38384014129599</v>
      </c>
      <c r="AT32" s="1408">
        <v>187.42952873999999</v>
      </c>
      <c r="AU32" s="1408">
        <v>214.72093387000001</v>
      </c>
      <c r="AV32" s="1408">
        <v>237.84263820999999</v>
      </c>
      <c r="AW32" s="1408">
        <v>254.55454438000001</v>
      </c>
      <c r="AX32" s="1408">
        <v>308.17390952737298</v>
      </c>
      <c r="AY32" s="1408">
        <v>21.888439241510799</v>
      </c>
      <c r="AZ32" s="1408">
        <v>48.14531719</v>
      </c>
      <c r="BA32" s="1408">
        <v>72.909126069999999</v>
      </c>
      <c r="BB32" s="1408">
        <v>89.895233300000001</v>
      </c>
      <c r="BC32" s="1408">
        <v>107.42397403</v>
      </c>
      <c r="BD32" s="1408">
        <v>124.12896913617899</v>
      </c>
      <c r="BE32" s="1408">
        <v>153.43532203035099</v>
      </c>
      <c r="BF32" s="1408">
        <v>175.14741710999999</v>
      </c>
      <c r="BG32" s="1408">
        <v>190.60161595</v>
      </c>
      <c r="BH32" s="1408">
        <v>213.92877587000001</v>
      </c>
      <c r="BI32" s="1408">
        <v>232.29450783999999</v>
      </c>
      <c r="BJ32" s="1408">
        <v>294.31227305888302</v>
      </c>
      <c r="BK32" s="1408">
        <v>23.712567119999999</v>
      </c>
      <c r="BL32" s="1408">
        <v>43.597530840704103</v>
      </c>
      <c r="BM32" s="1408">
        <v>61.652528179999997</v>
      </c>
      <c r="BN32" s="1408">
        <v>90.117202649999996</v>
      </c>
      <c r="BO32" s="1408">
        <v>108.96970591</v>
      </c>
      <c r="BP32" s="1408">
        <v>134.10650283538499</v>
      </c>
      <c r="BQ32" s="1408">
        <v>165.65071949</v>
      </c>
      <c r="BR32" s="1408">
        <v>187.85812781000001</v>
      </c>
      <c r="BS32" s="1408">
        <v>214.53969365</v>
      </c>
      <c r="BT32" s="1408">
        <v>241.62923006</v>
      </c>
      <c r="BU32" s="1408">
        <v>265.51715356</v>
      </c>
      <c r="BV32" s="1408">
        <v>316.781440972822</v>
      </c>
      <c r="BW32" s="1408">
        <v>32.539038159999997</v>
      </c>
      <c r="BX32" s="1408">
        <v>47.665118329999999</v>
      </c>
      <c r="BY32" s="1408">
        <v>84.581475280000006</v>
      </c>
      <c r="BZ32" s="1408">
        <v>104.22214083</v>
      </c>
      <c r="CA32" s="1408">
        <v>134.74269357</v>
      </c>
      <c r="CB32" s="1408">
        <v>171.14223312999999</v>
      </c>
      <c r="CC32" s="1412" t="s">
        <v>3615</v>
      </c>
      <c r="CD32" s="1070"/>
      <c r="CE32" s="1069"/>
      <c r="CF32" s="1070"/>
      <c r="CG32" s="1072"/>
    </row>
    <row r="33" spans="1:84" ht="37.5" customHeight="1" thickBot="1">
      <c r="A33" s="1417" t="s">
        <v>2260</v>
      </c>
      <c r="B33" s="1418">
        <v>536.93479419981895</v>
      </c>
      <c r="C33" s="1418">
        <v>49.427515311564598</v>
      </c>
      <c r="D33" s="1418">
        <v>97.904393977764599</v>
      </c>
      <c r="E33" s="1418">
        <v>162.961384238493</v>
      </c>
      <c r="F33" s="1418">
        <v>156.126796525765</v>
      </c>
      <c r="G33" s="1418">
        <v>314.452927936565</v>
      </c>
      <c r="H33" s="1418">
        <v>371.65050877556502</v>
      </c>
      <c r="I33" s="1418">
        <v>428.12367585999999</v>
      </c>
      <c r="J33" s="1418">
        <v>437.65908882172801</v>
      </c>
      <c r="K33" s="1418">
        <v>512.80703140458502</v>
      </c>
      <c r="L33" s="1418">
        <v>477.98903063730899</v>
      </c>
      <c r="M33" s="1418">
        <v>548.11996591730201</v>
      </c>
      <c r="N33" s="1418">
        <v>567.81094631205997</v>
      </c>
      <c r="O33" s="1418">
        <v>25.432370580000001</v>
      </c>
      <c r="P33" s="1418">
        <v>73.055290274000399</v>
      </c>
      <c r="Q33" s="1418">
        <v>148.76863857999999</v>
      </c>
      <c r="R33" s="1418">
        <v>194.66716736000001</v>
      </c>
      <c r="S33" s="1418">
        <v>273.216440374</v>
      </c>
      <c r="T33" s="1418">
        <v>366.31739779700001</v>
      </c>
      <c r="U33" s="1418">
        <v>408.86797611999998</v>
      </c>
      <c r="V33" s="1418">
        <v>455.17699047439999</v>
      </c>
      <c r="W33" s="1418">
        <v>505.62618545999999</v>
      </c>
      <c r="X33" s="1418">
        <v>570.08154353017005</v>
      </c>
      <c r="Y33" s="1419">
        <v>614.11198536999996</v>
      </c>
      <c r="Z33" s="1419">
        <v>608.978871595751</v>
      </c>
      <c r="AA33" s="1418">
        <v>58.612968729999999</v>
      </c>
      <c r="AB33" s="1418">
        <v>107.72827358000001</v>
      </c>
      <c r="AC33" s="1418">
        <v>173.93937143072</v>
      </c>
      <c r="AD33" s="1418">
        <v>248.1164525714</v>
      </c>
      <c r="AE33" s="1418">
        <v>331.53830718</v>
      </c>
      <c r="AF33" s="1418">
        <v>400.831221628322</v>
      </c>
      <c r="AG33" s="1418">
        <v>492.56006546999998</v>
      </c>
      <c r="AH33" s="1418">
        <v>589.40298894</v>
      </c>
      <c r="AI33" s="1418">
        <v>683.187552193697</v>
      </c>
      <c r="AJ33" s="1418">
        <v>769.87477087000002</v>
      </c>
      <c r="AK33" s="1418">
        <v>859.38294377</v>
      </c>
      <c r="AL33" s="1418">
        <v>914.47284613663396</v>
      </c>
      <c r="AM33" s="1418">
        <v>90.265304299999997</v>
      </c>
      <c r="AN33" s="1418">
        <v>155.74542835</v>
      </c>
      <c r="AO33" s="1419">
        <v>267.86354741999997</v>
      </c>
      <c r="AP33" s="1419">
        <v>345.19407318596001</v>
      </c>
      <c r="AQ33" s="1419">
        <v>437.096771527155</v>
      </c>
      <c r="AR33" s="1419">
        <v>563.30889165099995</v>
      </c>
      <c r="AS33" s="1419">
        <v>655.293673440563</v>
      </c>
      <c r="AT33" s="1419">
        <v>724.17339693326198</v>
      </c>
      <c r="AU33" s="1419">
        <v>832.85080232553003</v>
      </c>
      <c r="AV33" s="1419">
        <v>908.20246158017403</v>
      </c>
      <c r="AW33" s="1419">
        <v>997.44289213619595</v>
      </c>
      <c r="AX33" s="1419">
        <v>1076.42033328</v>
      </c>
      <c r="AY33" s="1419">
        <v>99.649301439996194</v>
      </c>
      <c r="AZ33" s="1419">
        <v>209.84369476000001</v>
      </c>
      <c r="BA33" s="1419">
        <v>311.47722876000103</v>
      </c>
      <c r="BB33" s="1419">
        <v>407.51055966921098</v>
      </c>
      <c r="BC33" s="1419">
        <v>519.69180343999994</v>
      </c>
      <c r="BD33" s="1419">
        <v>613.97764729576602</v>
      </c>
      <c r="BE33" s="1419">
        <v>682.75642176999997</v>
      </c>
      <c r="BF33" s="1419">
        <v>772.32814174999999</v>
      </c>
      <c r="BG33" s="1419">
        <v>829.59716184000001</v>
      </c>
      <c r="BH33" s="1419">
        <v>913.67276397000001</v>
      </c>
      <c r="BI33" s="1419">
        <v>966.48475370000006</v>
      </c>
      <c r="BJ33" s="1419">
        <v>1044.3335692600001</v>
      </c>
      <c r="BK33" s="1419">
        <v>70.950042339999996</v>
      </c>
      <c r="BL33" s="1419">
        <v>179.43776450929599</v>
      </c>
      <c r="BM33" s="1419">
        <v>253.33426555</v>
      </c>
      <c r="BN33" s="1419">
        <v>339.77447188000002</v>
      </c>
      <c r="BO33" s="1419">
        <v>430.72599645999998</v>
      </c>
      <c r="BP33" s="1419">
        <v>576.60419305461505</v>
      </c>
      <c r="BQ33" s="1419">
        <v>682.83737674999998</v>
      </c>
      <c r="BR33" s="1419">
        <v>774.29868633000001</v>
      </c>
      <c r="BS33" s="1419">
        <v>910.65133487000003</v>
      </c>
      <c r="BT33" s="1419">
        <v>986.83903034000002</v>
      </c>
      <c r="BU33" s="1419">
        <v>1058.87913959</v>
      </c>
      <c r="BV33" s="1419">
        <v>1161.639327158</v>
      </c>
      <c r="BW33" s="1419">
        <v>80.126150241599703</v>
      </c>
      <c r="BX33" s="1419">
        <v>189.6544711109</v>
      </c>
      <c r="BY33" s="1419">
        <v>372.003468978</v>
      </c>
      <c r="BZ33" s="1419">
        <v>438.47927815652002</v>
      </c>
      <c r="CA33" s="1419">
        <v>557.12516185682603</v>
      </c>
      <c r="CB33" s="1419">
        <v>716.311885626199</v>
      </c>
      <c r="CC33" s="1420" t="s">
        <v>3616</v>
      </c>
      <c r="CD33" s="1070"/>
      <c r="CE33" s="1069"/>
      <c r="CF33" s="1070"/>
    </row>
    <row r="34" spans="1:84" s="1263" customFormat="1" ht="52.9" customHeight="1" thickTop="1">
      <c r="A34" s="1265" t="s">
        <v>3261</v>
      </c>
      <c r="B34" s="1262"/>
      <c r="C34" s="1262"/>
      <c r="D34" s="1262"/>
      <c r="E34" s="1262"/>
      <c r="F34" s="1262"/>
      <c r="G34" s="1262"/>
      <c r="H34" s="1262"/>
      <c r="I34" s="1262"/>
      <c r="J34" s="1262"/>
      <c r="K34" s="1262"/>
      <c r="L34" s="1262"/>
      <c r="M34" s="1262"/>
      <c r="N34" s="1262"/>
      <c r="O34" s="1262"/>
      <c r="P34" s="1262"/>
      <c r="Q34" s="1262"/>
      <c r="R34" s="1262"/>
      <c r="S34" s="1262"/>
      <c r="T34" s="1262"/>
      <c r="U34" s="1262"/>
      <c r="V34" s="1262"/>
      <c r="W34" s="1262"/>
      <c r="X34" s="1262"/>
      <c r="Y34" s="1262"/>
      <c r="Z34" s="1262"/>
      <c r="AA34" s="1262"/>
      <c r="AB34" s="1262"/>
      <c r="AC34" s="1262"/>
      <c r="AD34" s="1262"/>
      <c r="AE34" s="1262"/>
      <c r="AF34" s="1262"/>
      <c r="AG34" s="1262"/>
      <c r="AH34" s="1262"/>
      <c r="AI34" s="1262"/>
      <c r="AJ34" s="1262"/>
      <c r="AK34" s="1262"/>
    </row>
  </sheetData>
  <mergeCells count="3">
    <mergeCell ref="AI5:CC5"/>
    <mergeCell ref="A2:CC2"/>
    <mergeCell ref="A3:CC3"/>
  </mergeCells>
  <pageMargins left="0.5" right="0.5" top="0.5" bottom="0.5" header="0.3" footer="0.3"/>
  <pageSetup paperSize="9" scale="15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>
    <tabColor rgb="FF92D050"/>
  </sheetPr>
  <dimension ref="A1:CF21"/>
  <sheetViews>
    <sheetView showGridLines="0" view="pageBreakPreview" zoomScale="70" zoomScaleNormal="90" zoomScaleSheetLayoutView="70" workbookViewId="0">
      <pane xSplit="1" topLeftCell="BK1" activePane="topRight" state="frozen"/>
      <selection activeCell="F40" sqref="F40"/>
      <selection pane="topRight" activeCell="BV31" sqref="BV31"/>
    </sheetView>
  </sheetViews>
  <sheetFormatPr defaultColWidth="9.140625" defaultRowHeight="18"/>
  <cols>
    <col min="1" max="1" width="47.7109375" style="1073" customWidth="1"/>
    <col min="2" max="2" width="16.85546875" style="895" customWidth="1"/>
    <col min="3" max="11" width="18.140625" style="895" hidden="1" customWidth="1"/>
    <col min="12" max="13" width="16.85546875" style="895" hidden="1" customWidth="1"/>
    <col min="14" max="14" width="16.85546875" style="895" customWidth="1"/>
    <col min="15" max="25" width="16.85546875" style="895" hidden="1" customWidth="1"/>
    <col min="26" max="26" width="16.85546875" style="895" bestFit="1" customWidth="1"/>
    <col min="27" max="37" width="16.85546875" style="895" hidden="1" customWidth="1"/>
    <col min="38" max="38" width="16.85546875" style="895" bestFit="1" customWidth="1"/>
    <col min="39" max="49" width="16.85546875" style="895" hidden="1" customWidth="1"/>
    <col min="50" max="50" width="16.85546875" style="895" customWidth="1"/>
    <col min="51" max="61" width="16.85546875" style="895" hidden="1" customWidth="1"/>
    <col min="62" max="67" width="16.85546875" style="895" customWidth="1"/>
    <col min="68" max="69" width="16.85546875" style="895" bestFit="1" customWidth="1"/>
    <col min="70" max="79" width="16.85546875" style="895" customWidth="1"/>
    <col min="80" max="80" width="16.85546875" style="895" bestFit="1" customWidth="1"/>
    <col min="81" max="81" width="34.28515625" style="895" customWidth="1"/>
    <col min="82" max="82" width="19.85546875" style="895" customWidth="1"/>
    <col min="83" max="83" width="9.140625" style="1032"/>
    <col min="84" max="16384" width="9.140625" style="895"/>
  </cols>
  <sheetData>
    <row r="1" spans="1:84" ht="6" customHeight="1">
      <c r="M1" s="1074"/>
    </row>
    <row r="2" spans="1:84" s="896" customFormat="1" ht="30.6" customHeight="1">
      <c r="A2" s="2734" t="s">
        <v>2515</v>
      </c>
      <c r="B2" s="2734"/>
      <c r="C2" s="2734"/>
      <c r="D2" s="2734"/>
      <c r="E2" s="2734"/>
      <c r="F2" s="2734"/>
      <c r="G2" s="2734"/>
      <c r="H2" s="2734"/>
      <c r="I2" s="2734"/>
      <c r="J2" s="2734"/>
      <c r="K2" s="2734"/>
      <c r="L2" s="2734"/>
      <c r="M2" s="2734"/>
      <c r="N2" s="2734"/>
      <c r="O2" s="2734"/>
      <c r="P2" s="2734"/>
      <c r="Q2" s="2734"/>
      <c r="R2" s="2734"/>
      <c r="S2" s="2734"/>
      <c r="T2" s="2734"/>
      <c r="U2" s="2734"/>
      <c r="V2" s="2734"/>
      <c r="W2" s="2734"/>
      <c r="X2" s="2734"/>
      <c r="Y2" s="2734"/>
      <c r="Z2" s="2734"/>
      <c r="AA2" s="2734"/>
      <c r="AB2" s="2734"/>
      <c r="AC2" s="2734"/>
      <c r="AD2" s="2734"/>
      <c r="AE2" s="2734"/>
      <c r="AF2" s="2734"/>
      <c r="AG2" s="2734"/>
      <c r="AH2" s="2734"/>
      <c r="AI2" s="2734"/>
      <c r="AJ2" s="2734"/>
      <c r="AK2" s="2734"/>
      <c r="AL2" s="2734"/>
      <c r="AM2" s="2734"/>
      <c r="AN2" s="2734"/>
      <c r="AO2" s="2734"/>
      <c r="AP2" s="2734"/>
      <c r="AQ2" s="2734"/>
      <c r="AR2" s="2734"/>
      <c r="AS2" s="2734"/>
      <c r="AT2" s="2734"/>
      <c r="AU2" s="2734"/>
      <c r="AV2" s="2734"/>
      <c r="AW2" s="2734"/>
      <c r="AX2" s="2734"/>
      <c r="AY2" s="2734"/>
      <c r="AZ2" s="2734"/>
      <c r="BA2" s="2734"/>
      <c r="BB2" s="2734"/>
      <c r="BC2" s="2734"/>
      <c r="BD2" s="2734"/>
      <c r="BE2" s="2734"/>
      <c r="BF2" s="2734"/>
      <c r="BG2" s="2734"/>
      <c r="BH2" s="2734"/>
      <c r="BI2" s="2734"/>
      <c r="BJ2" s="2734"/>
      <c r="BK2" s="2734"/>
      <c r="BL2" s="2734"/>
      <c r="BM2" s="2734"/>
      <c r="BN2" s="2734"/>
      <c r="BO2" s="2734"/>
      <c r="BP2" s="2734"/>
      <c r="BQ2" s="2734"/>
      <c r="BR2" s="2734"/>
      <c r="BS2" s="2734"/>
      <c r="BT2" s="2734"/>
      <c r="BU2" s="2734"/>
      <c r="BV2" s="2734"/>
      <c r="BW2" s="2734"/>
      <c r="BX2" s="2734"/>
      <c r="BY2" s="2734"/>
      <c r="BZ2" s="2734"/>
      <c r="CA2" s="2734"/>
      <c r="CB2" s="2734"/>
      <c r="CC2" s="2734"/>
      <c r="CE2" s="1075"/>
    </row>
    <row r="3" spans="1:84" s="896" customFormat="1" ht="44.25" customHeight="1">
      <c r="A3" s="2735" t="s">
        <v>3267</v>
      </c>
      <c r="B3" s="2735"/>
      <c r="C3" s="2735"/>
      <c r="D3" s="2735"/>
      <c r="E3" s="2735"/>
      <c r="F3" s="2735"/>
      <c r="G3" s="2735"/>
      <c r="H3" s="2735"/>
      <c r="I3" s="2735"/>
      <c r="J3" s="2735"/>
      <c r="K3" s="2735"/>
      <c r="L3" s="2735"/>
      <c r="M3" s="2735"/>
      <c r="N3" s="2735"/>
      <c r="O3" s="2735"/>
      <c r="P3" s="2735"/>
      <c r="Q3" s="2735"/>
      <c r="R3" s="2735"/>
      <c r="S3" s="2735"/>
      <c r="T3" s="2735"/>
      <c r="U3" s="2735"/>
      <c r="V3" s="2735"/>
      <c r="W3" s="2735"/>
      <c r="X3" s="2735"/>
      <c r="Y3" s="2735"/>
      <c r="Z3" s="2735"/>
      <c r="AA3" s="2735"/>
      <c r="AB3" s="2735"/>
      <c r="AC3" s="2735"/>
      <c r="AD3" s="2735"/>
      <c r="AE3" s="2735"/>
      <c r="AF3" s="2735"/>
      <c r="AG3" s="2735"/>
      <c r="AH3" s="2735"/>
      <c r="AI3" s="2735"/>
      <c r="AJ3" s="2735"/>
      <c r="AK3" s="2735"/>
      <c r="AL3" s="2735"/>
      <c r="AM3" s="2735"/>
      <c r="AN3" s="2735"/>
      <c r="AO3" s="2735"/>
      <c r="AP3" s="2735"/>
      <c r="AQ3" s="2735"/>
      <c r="AR3" s="2735"/>
      <c r="AS3" s="2735"/>
      <c r="AT3" s="2735"/>
      <c r="AU3" s="2735"/>
      <c r="AV3" s="2735"/>
      <c r="AW3" s="2735"/>
      <c r="AX3" s="2735"/>
      <c r="AY3" s="2735"/>
      <c r="AZ3" s="2735"/>
      <c r="BA3" s="2735"/>
      <c r="BB3" s="2735"/>
      <c r="BC3" s="2735"/>
      <c r="BD3" s="2735"/>
      <c r="BE3" s="2735"/>
      <c r="BF3" s="2735"/>
      <c r="BG3" s="2735"/>
      <c r="BH3" s="2735"/>
      <c r="BI3" s="2735"/>
      <c r="BJ3" s="2735"/>
      <c r="BK3" s="2735"/>
      <c r="BL3" s="2735"/>
      <c r="BM3" s="2735"/>
      <c r="BN3" s="2735"/>
      <c r="BO3" s="2735"/>
      <c r="BP3" s="2735"/>
      <c r="BQ3" s="2735"/>
      <c r="BR3" s="2735"/>
      <c r="BS3" s="2735"/>
      <c r="BT3" s="2735"/>
      <c r="BU3" s="2735"/>
      <c r="BV3" s="2735"/>
      <c r="BW3" s="2735"/>
      <c r="BX3" s="2735"/>
      <c r="BY3" s="2735"/>
      <c r="BZ3" s="2735"/>
      <c r="CA3" s="2735"/>
      <c r="CB3" s="2735"/>
      <c r="CC3" s="2735"/>
      <c r="CE3" s="1075"/>
    </row>
    <row r="4" spans="1:84" s="896" customFormat="1" ht="20.25" customHeight="1">
      <c r="A4" s="1076"/>
      <c r="B4" s="1076"/>
      <c r="C4" s="1076"/>
      <c r="D4" s="1076"/>
      <c r="E4" s="1076"/>
      <c r="F4" s="1076"/>
      <c r="G4" s="1076"/>
      <c r="H4" s="1076"/>
      <c r="I4" s="1076"/>
      <c r="J4" s="1076"/>
      <c r="K4" s="1076"/>
      <c r="L4" s="1076"/>
      <c r="M4" s="1076"/>
      <c r="N4" s="1076"/>
      <c r="O4" s="1076"/>
      <c r="P4" s="1076"/>
      <c r="Q4" s="1076"/>
      <c r="R4" s="1076"/>
      <c r="S4" s="1076"/>
      <c r="T4" s="1076"/>
      <c r="U4" s="1076"/>
      <c r="V4" s="1076"/>
      <c r="W4" s="1076"/>
      <c r="X4" s="1076"/>
      <c r="Y4" s="1076"/>
      <c r="Z4" s="1076"/>
      <c r="AA4" s="1076"/>
      <c r="AB4" s="1076"/>
      <c r="AC4" s="1076"/>
      <c r="AD4" s="1076"/>
      <c r="AE4" s="1076"/>
      <c r="AF4" s="1076"/>
      <c r="AG4" s="1076"/>
      <c r="AH4" s="1076"/>
      <c r="AI4" s="1076"/>
      <c r="AJ4" s="1076"/>
      <c r="AK4" s="1076"/>
      <c r="AL4" s="1076"/>
      <c r="AM4" s="1076"/>
      <c r="AN4" s="1103"/>
      <c r="AO4" s="1103"/>
      <c r="AP4" s="1103"/>
      <c r="AQ4" s="1103"/>
      <c r="AR4" s="1103"/>
      <c r="AS4" s="1103"/>
      <c r="AT4" s="1103"/>
      <c r="AU4" s="1103"/>
      <c r="AV4" s="1103"/>
      <c r="AW4" s="1103"/>
      <c r="AX4" s="1103"/>
      <c r="AY4" s="1103"/>
      <c r="AZ4" s="1103"/>
      <c r="BA4" s="1103"/>
      <c r="BB4" s="1103"/>
      <c r="BC4" s="1103"/>
      <c r="BD4" s="1103"/>
      <c r="BE4" s="1103"/>
      <c r="BF4" s="1103"/>
      <c r="BG4" s="1103"/>
      <c r="BH4" s="1103"/>
      <c r="BI4" s="1103"/>
      <c r="BJ4" s="1103"/>
      <c r="BK4" s="1103"/>
      <c r="BL4" s="1103"/>
      <c r="BM4" s="1103"/>
      <c r="BN4" s="1103"/>
      <c r="BO4" s="1103"/>
      <c r="BP4" s="1103"/>
      <c r="BQ4" s="1103"/>
      <c r="BR4" s="1103"/>
      <c r="BS4" s="1103"/>
      <c r="BT4" s="1103"/>
      <c r="BU4" s="1103"/>
      <c r="BV4" s="1103"/>
      <c r="BW4" s="1103"/>
      <c r="BX4" s="1103"/>
      <c r="BY4" s="1103"/>
      <c r="BZ4" s="1103"/>
      <c r="CA4" s="1103"/>
      <c r="CB4" s="1103"/>
      <c r="CC4" s="1103"/>
      <c r="CE4" s="1075"/>
    </row>
    <row r="5" spans="1:84" s="896" customFormat="1" ht="20.25" customHeight="1" thickBot="1">
      <c r="A5" s="2736" t="s">
        <v>8</v>
      </c>
      <c r="B5" s="2736"/>
      <c r="C5" s="2736"/>
      <c r="D5" s="2736"/>
      <c r="E5" s="2736"/>
      <c r="F5" s="2736"/>
      <c r="G5" s="2736"/>
      <c r="H5" s="2736"/>
      <c r="I5" s="2736"/>
      <c r="J5" s="2736"/>
      <c r="K5" s="2736"/>
      <c r="L5" s="2736"/>
      <c r="M5" s="2736"/>
      <c r="N5" s="2736"/>
      <c r="O5" s="2736"/>
      <c r="P5" s="2736"/>
      <c r="Q5" s="2736"/>
      <c r="R5" s="2736"/>
      <c r="S5" s="2736"/>
      <c r="T5" s="2736"/>
      <c r="U5" s="2736"/>
      <c r="V5" s="2736"/>
      <c r="W5" s="2736"/>
      <c r="X5" s="2736"/>
      <c r="Y5" s="2736"/>
      <c r="Z5" s="2736"/>
      <c r="AA5" s="2736"/>
      <c r="AB5" s="2736"/>
      <c r="AC5" s="2736"/>
      <c r="AD5" s="2736"/>
      <c r="AE5" s="2736"/>
      <c r="AF5" s="2736"/>
      <c r="AG5" s="2736"/>
      <c r="AH5" s="2736"/>
      <c r="AI5" s="2736"/>
      <c r="AJ5" s="2736"/>
      <c r="AK5" s="2736"/>
      <c r="AL5" s="2736"/>
      <c r="AM5" s="2736"/>
      <c r="AN5" s="2736"/>
      <c r="AO5" s="2736"/>
      <c r="AP5" s="2736"/>
      <c r="AQ5" s="2736"/>
      <c r="AR5" s="2736"/>
      <c r="AS5" s="2736"/>
      <c r="AT5" s="2736"/>
      <c r="AU5" s="2736"/>
      <c r="AV5" s="2736"/>
      <c r="AW5" s="2736"/>
      <c r="AX5" s="2736"/>
      <c r="AY5" s="2736"/>
      <c r="AZ5" s="2736"/>
      <c r="BA5" s="2736"/>
      <c r="BB5" s="2736"/>
      <c r="BC5" s="2736"/>
      <c r="BD5" s="2736"/>
      <c r="BE5" s="2736"/>
      <c r="BF5" s="2736"/>
      <c r="BG5" s="2736"/>
      <c r="BH5" s="2736"/>
      <c r="BI5" s="2736"/>
      <c r="BJ5" s="2736"/>
      <c r="BK5" s="2736"/>
      <c r="BL5" s="2736"/>
      <c r="BM5" s="2736"/>
      <c r="BN5" s="2736"/>
      <c r="BO5" s="2736"/>
      <c r="BP5" s="2736"/>
      <c r="BQ5" s="2736"/>
      <c r="BR5" s="2736"/>
      <c r="BS5" s="2736"/>
      <c r="BT5" s="2736"/>
      <c r="BU5" s="2736"/>
      <c r="BV5" s="2736"/>
      <c r="BW5" s="2736"/>
      <c r="BX5" s="2736"/>
      <c r="BY5" s="2736"/>
      <c r="BZ5" s="2736"/>
      <c r="CA5" s="2736"/>
      <c r="CB5" s="2736"/>
      <c r="CC5" s="2736"/>
      <c r="CE5" s="1075"/>
    </row>
    <row r="6" spans="1:84" ht="49.5" customHeight="1" thickBot="1">
      <c r="A6" s="1077" t="s">
        <v>2511</v>
      </c>
      <c r="B6" s="1078">
        <v>43830</v>
      </c>
      <c r="C6" s="980">
        <v>43861</v>
      </c>
      <c r="D6" s="980">
        <v>43890</v>
      </c>
      <c r="E6" s="980">
        <v>43921</v>
      </c>
      <c r="F6" s="980" t="s">
        <v>2566</v>
      </c>
      <c r="G6" s="980" t="s">
        <v>2576</v>
      </c>
      <c r="H6" s="980">
        <v>44012</v>
      </c>
      <c r="I6" s="980">
        <v>44043</v>
      </c>
      <c r="J6" s="980">
        <v>44074</v>
      </c>
      <c r="K6" s="980">
        <v>44104</v>
      </c>
      <c r="L6" s="980">
        <v>44135</v>
      </c>
      <c r="M6" s="980">
        <v>44165</v>
      </c>
      <c r="N6" s="980">
        <v>44196</v>
      </c>
      <c r="O6" s="980">
        <v>44227</v>
      </c>
      <c r="P6" s="980">
        <v>44255</v>
      </c>
      <c r="Q6" s="980">
        <v>44286</v>
      </c>
      <c r="R6" s="980">
        <v>44316</v>
      </c>
      <c r="S6" s="980">
        <v>44347</v>
      </c>
      <c r="T6" s="980">
        <v>44377</v>
      </c>
      <c r="U6" s="980">
        <v>44408</v>
      </c>
      <c r="V6" s="980">
        <v>44439</v>
      </c>
      <c r="W6" s="980">
        <v>44469</v>
      </c>
      <c r="X6" s="1079">
        <v>44500</v>
      </c>
      <c r="Y6" s="1079">
        <v>44530</v>
      </c>
      <c r="Z6" s="1079">
        <v>44561</v>
      </c>
      <c r="AA6" s="1079">
        <v>44592</v>
      </c>
      <c r="AB6" s="1079">
        <v>44620</v>
      </c>
      <c r="AC6" s="1079">
        <v>44651</v>
      </c>
      <c r="AD6" s="980">
        <v>44681</v>
      </c>
      <c r="AE6" s="980">
        <v>44712</v>
      </c>
      <c r="AF6" s="980">
        <v>44742</v>
      </c>
      <c r="AG6" s="980">
        <v>44773</v>
      </c>
      <c r="AH6" s="980">
        <v>44804</v>
      </c>
      <c r="AI6" s="980">
        <v>44834</v>
      </c>
      <c r="AJ6" s="980">
        <v>44865</v>
      </c>
      <c r="AK6" s="980">
        <v>44895</v>
      </c>
      <c r="AL6" s="980">
        <v>44926</v>
      </c>
      <c r="AM6" s="980">
        <v>44957</v>
      </c>
      <c r="AN6" s="980">
        <v>44985</v>
      </c>
      <c r="AO6" s="980">
        <v>45016</v>
      </c>
      <c r="AP6" s="980">
        <v>45046</v>
      </c>
      <c r="AQ6" s="980">
        <v>45077</v>
      </c>
      <c r="AR6" s="980">
        <v>45107</v>
      </c>
      <c r="AS6" s="980">
        <v>45138</v>
      </c>
      <c r="AT6" s="980">
        <v>45169</v>
      </c>
      <c r="AU6" s="980">
        <v>45199</v>
      </c>
      <c r="AV6" s="980">
        <v>45230</v>
      </c>
      <c r="AW6" s="980">
        <v>45260</v>
      </c>
      <c r="AX6" s="980">
        <v>45291</v>
      </c>
      <c r="AY6" s="980">
        <v>45322</v>
      </c>
      <c r="AZ6" s="980">
        <v>45351</v>
      </c>
      <c r="BA6" s="980">
        <v>45382</v>
      </c>
      <c r="BB6" s="980">
        <v>45412</v>
      </c>
      <c r="BC6" s="980">
        <v>45443</v>
      </c>
      <c r="BD6" s="980">
        <v>45473</v>
      </c>
      <c r="BE6" s="980">
        <v>45504</v>
      </c>
      <c r="BF6" s="980">
        <v>45535</v>
      </c>
      <c r="BG6" s="980">
        <v>45565</v>
      </c>
      <c r="BH6" s="980">
        <v>45596</v>
      </c>
      <c r="BI6" s="980">
        <v>45626</v>
      </c>
      <c r="BJ6" s="980">
        <v>45657</v>
      </c>
      <c r="BK6" s="980">
        <v>45688</v>
      </c>
      <c r="BL6" s="1079">
        <v>45716</v>
      </c>
      <c r="BM6" s="1079">
        <v>45747</v>
      </c>
      <c r="BN6" s="1079">
        <v>45777</v>
      </c>
      <c r="BO6" s="1079">
        <v>45808</v>
      </c>
      <c r="BP6" s="980">
        <v>45838</v>
      </c>
      <c r="BQ6" s="980">
        <v>45869</v>
      </c>
      <c r="BR6" s="980">
        <v>45900</v>
      </c>
      <c r="BS6" s="980">
        <v>45930</v>
      </c>
      <c r="BT6" s="980">
        <v>45961</v>
      </c>
      <c r="BU6" s="980">
        <v>45991</v>
      </c>
      <c r="BV6" s="980">
        <v>46022</v>
      </c>
      <c r="BW6" s="980">
        <v>46053</v>
      </c>
      <c r="BX6" s="980">
        <v>46081</v>
      </c>
      <c r="BY6" s="980">
        <v>46112</v>
      </c>
      <c r="BZ6" s="980">
        <v>46142</v>
      </c>
      <c r="CA6" s="980">
        <v>46173</v>
      </c>
      <c r="CB6" s="980">
        <v>46203</v>
      </c>
      <c r="CC6" s="1272" t="s">
        <v>3538</v>
      </c>
    </row>
    <row r="7" spans="1:84" ht="47.25" customHeight="1">
      <c r="A7" s="1080" t="s">
        <v>3252</v>
      </c>
      <c r="B7" s="1081">
        <f>14900935.2388034/1000</f>
        <v>14900.9352388034</v>
      </c>
      <c r="C7" s="1082">
        <f>15116371.44325/1000</f>
        <v>15116.37144325</v>
      </c>
      <c r="D7" s="1082">
        <v>15299</v>
      </c>
      <c r="E7" s="1082">
        <v>15232.732370605599</v>
      </c>
      <c r="F7" s="1082">
        <v>14742.1609655675</v>
      </c>
      <c r="G7" s="1082">
        <v>14361.020016311701</v>
      </c>
      <c r="H7" s="1082">
        <v>14169.7916186724</v>
      </c>
      <c r="I7" s="1082">
        <v>14204.549706681701</v>
      </c>
      <c r="J7" s="1082">
        <v>14304.2281735577</v>
      </c>
      <c r="K7" s="1082">
        <v>14497.027014687999</v>
      </c>
      <c r="L7" s="1082">
        <v>14409.3148820396</v>
      </c>
      <c r="M7" s="1082">
        <v>14304.744592270101</v>
      </c>
      <c r="N7" s="1082">
        <v>14156.9795354296</v>
      </c>
      <c r="O7" s="1082">
        <v>14213.7955625211</v>
      </c>
      <c r="P7" s="1082">
        <v>14246.099123587101</v>
      </c>
      <c r="Q7" s="1082">
        <v>14352.3548978935</v>
      </c>
      <c r="R7" s="1082">
        <v>14611.8145951636</v>
      </c>
      <c r="S7" s="1082">
        <v>14691.399157010501</v>
      </c>
      <c r="T7" s="1082">
        <v>14856.889780031601</v>
      </c>
      <c r="U7" s="1082">
        <v>14966.4982082432</v>
      </c>
      <c r="V7" s="1082">
        <v>15206.8490947091</v>
      </c>
      <c r="W7" s="1082">
        <v>15538.669058032599</v>
      </c>
      <c r="X7" s="1083">
        <v>15997.255905959901</v>
      </c>
      <c r="Y7" s="1083">
        <v>16281.9655474426</v>
      </c>
      <c r="Z7" s="1083">
        <v>16659.1139423282</v>
      </c>
      <c r="AA7" s="1083">
        <v>16781.439074845301</v>
      </c>
      <c r="AB7" s="1083">
        <v>17126.533211405698</v>
      </c>
      <c r="AC7" s="1083">
        <v>17528.185609502601</v>
      </c>
      <c r="AD7" s="1082">
        <v>17840.380523788201</v>
      </c>
      <c r="AE7" s="1082">
        <v>18098.283291124499</v>
      </c>
      <c r="AF7" s="1082">
        <v>18320.0215140129</v>
      </c>
      <c r="AG7" s="1082">
        <v>18487.445165762099</v>
      </c>
      <c r="AH7" s="1082">
        <v>18638.6347982097</v>
      </c>
      <c r="AI7" s="1082">
        <v>19157.176561456799</v>
      </c>
      <c r="AJ7" s="1082">
        <v>19470.7845801437</v>
      </c>
      <c r="AK7" s="1082">
        <v>19674.178382202601</v>
      </c>
      <c r="AL7" s="1082">
        <v>19594.3555676619</v>
      </c>
      <c r="AM7" s="1082">
        <v>19669.591816208002</v>
      </c>
      <c r="AN7" s="1082">
        <v>19757.429416209201</v>
      </c>
      <c r="AO7" s="1082">
        <v>20038.596163516901</v>
      </c>
      <c r="AP7" s="1082">
        <v>20379.627516663699</v>
      </c>
      <c r="AQ7" s="1082">
        <v>20659.269192317901</v>
      </c>
      <c r="AR7" s="1082">
        <v>21296.236125417599</v>
      </c>
      <c r="AS7" s="1082">
        <v>21371.9913058085</v>
      </c>
      <c r="AT7" s="1082">
        <v>21814.187154987401</v>
      </c>
      <c r="AU7" s="1082">
        <v>22281.884370937401</v>
      </c>
      <c r="AV7" s="1082">
        <v>22459.711090514498</v>
      </c>
      <c r="AW7" s="1082">
        <v>22881.231065023101</v>
      </c>
      <c r="AX7" s="1082">
        <v>23182.953697219102</v>
      </c>
      <c r="AY7" s="1082">
        <v>23566.352779695699</v>
      </c>
      <c r="AZ7" s="1082">
        <v>23833.019223279101</v>
      </c>
      <c r="BA7" s="1082">
        <v>24102.613418345802</v>
      </c>
      <c r="BB7" s="1082">
        <v>24644.4506134642</v>
      </c>
      <c r="BC7" s="1082">
        <v>25158.180641573301</v>
      </c>
      <c r="BD7" s="1082">
        <v>25429.517085801599</v>
      </c>
      <c r="BE7" s="1082">
        <v>25694.7094183232</v>
      </c>
      <c r="BF7" s="1082">
        <v>26075.610911605701</v>
      </c>
      <c r="BG7" s="1082">
        <v>26705.971771927601</v>
      </c>
      <c r="BH7" s="1082">
        <v>27080.522900335</v>
      </c>
      <c r="BI7" s="1082">
        <v>27368.147624521502</v>
      </c>
      <c r="BJ7" s="1082">
        <v>27477.675039954898</v>
      </c>
      <c r="BK7" s="1082">
        <v>27514.700383449701</v>
      </c>
      <c r="BL7" s="1083">
        <v>27592.3675533604</v>
      </c>
      <c r="BM7" s="1083">
        <v>27877.1196313092</v>
      </c>
      <c r="BN7" s="1083">
        <v>28096.518235267398</v>
      </c>
      <c r="BO7" s="1083">
        <v>28386.504129201199</v>
      </c>
      <c r="BP7" s="1082">
        <v>28472.146123891998</v>
      </c>
      <c r="BQ7" s="1082">
        <v>28498.1842470388</v>
      </c>
      <c r="BR7" s="1082">
        <v>28704.910095241499</v>
      </c>
      <c r="BS7" s="1082">
        <v>29276.3049504384</v>
      </c>
      <c r="BT7" s="1082">
        <v>29403.857282561301</v>
      </c>
      <c r="BU7" s="1082">
        <v>29685.529301418101</v>
      </c>
      <c r="BV7" s="1082">
        <v>30063.0489266408</v>
      </c>
      <c r="BW7" s="1082">
        <v>29980.053041598701</v>
      </c>
      <c r="BX7" s="1082">
        <v>30118.856462943499</v>
      </c>
      <c r="BY7" s="1082">
        <v>30290.3486577656</v>
      </c>
      <c r="BZ7" s="1082">
        <v>30609.2152235635</v>
      </c>
      <c r="CA7" s="1082">
        <v>30885.825462703</v>
      </c>
      <c r="CB7" s="1082">
        <v>31821.3419132212</v>
      </c>
      <c r="CC7" s="1273" t="s">
        <v>3617</v>
      </c>
      <c r="CD7" s="1190"/>
    </row>
    <row r="8" spans="1:84" ht="21.75" customHeight="1">
      <c r="A8" s="1084" t="s">
        <v>2737</v>
      </c>
      <c r="B8" s="1085"/>
      <c r="C8" s="1086"/>
      <c r="D8" s="1086"/>
      <c r="E8" s="1086"/>
      <c r="F8" s="1086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7"/>
      <c r="Y8" s="1087"/>
      <c r="Z8" s="1087"/>
      <c r="AA8" s="1087"/>
      <c r="AB8" s="1087"/>
      <c r="AC8" s="1087"/>
      <c r="AD8" s="1086"/>
      <c r="AE8" s="1086"/>
      <c r="AF8" s="1086"/>
      <c r="AG8" s="1086"/>
      <c r="AH8" s="1086"/>
      <c r="AI8" s="1086"/>
      <c r="AJ8" s="1086"/>
      <c r="AK8" s="1086"/>
      <c r="AL8" s="1086"/>
      <c r="AM8" s="1086"/>
      <c r="AN8" s="1086"/>
      <c r="AO8" s="1086"/>
      <c r="AP8" s="1086"/>
      <c r="AQ8" s="1086"/>
      <c r="AR8" s="1086"/>
      <c r="AS8" s="1086"/>
      <c r="AT8" s="1086"/>
      <c r="AU8" s="1086"/>
      <c r="AV8" s="1086"/>
      <c r="AW8" s="1086"/>
      <c r="AX8" s="1086"/>
      <c r="AY8" s="1086"/>
      <c r="AZ8" s="1086"/>
      <c r="BA8" s="1086"/>
      <c r="BB8" s="1086"/>
      <c r="BC8" s="1086"/>
      <c r="BD8" s="1086"/>
      <c r="BE8" s="1086"/>
      <c r="BF8" s="1086"/>
      <c r="BG8" s="1086"/>
      <c r="BH8" s="1086"/>
      <c r="BI8" s="1086"/>
      <c r="BJ8" s="1086"/>
      <c r="BK8" s="1086"/>
      <c r="BL8" s="1087"/>
      <c r="BM8" s="1087"/>
      <c r="BN8" s="1087"/>
      <c r="BO8" s="1087"/>
      <c r="BP8" s="1086"/>
      <c r="BQ8" s="1086"/>
      <c r="BR8" s="1086"/>
      <c r="BS8" s="1086"/>
      <c r="BT8" s="1086"/>
      <c r="BU8" s="1086"/>
      <c r="BV8" s="1086"/>
      <c r="BW8" s="1086"/>
      <c r="BX8" s="1086"/>
      <c r="BY8" s="1086"/>
      <c r="BZ8" s="1086"/>
      <c r="CA8" s="1086"/>
      <c r="CB8" s="1086"/>
      <c r="CC8" s="1275" t="s">
        <v>3618</v>
      </c>
      <c r="CD8" s="1190"/>
    </row>
    <row r="9" spans="1:84" ht="42.6" customHeight="1">
      <c r="A9" s="1088" t="s">
        <v>2512</v>
      </c>
      <c r="B9" s="1089">
        <f>9031554.58035958/1000</f>
        <v>9031.5545803595796</v>
      </c>
      <c r="C9" s="1090">
        <f>9204734.07254856/1000</f>
        <v>9204.734072548561</v>
      </c>
      <c r="D9" s="1090">
        <v>9320</v>
      </c>
      <c r="E9" s="1090">
        <v>9365.6810480739696</v>
      </c>
      <c r="F9" s="1090">
        <v>9086.2111487842103</v>
      </c>
      <c r="G9" s="1090">
        <v>8803.5204885051407</v>
      </c>
      <c r="H9" s="1090">
        <v>8623.7086235222305</v>
      </c>
      <c r="I9" s="1090">
        <v>8627.8520207464298</v>
      </c>
      <c r="J9" s="1090">
        <v>8644.8504572669099</v>
      </c>
      <c r="K9" s="1090">
        <v>8741.1131108438294</v>
      </c>
      <c r="L9" s="1090">
        <v>8679.7547216399598</v>
      </c>
      <c r="M9" s="1090">
        <v>8576.4199081765</v>
      </c>
      <c r="N9" s="1090">
        <v>8478.2732420388493</v>
      </c>
      <c r="O9" s="1090">
        <v>8456.6530172459898</v>
      </c>
      <c r="P9" s="1090">
        <v>8530.7241070030104</v>
      </c>
      <c r="Q9" s="1090">
        <v>8565.19977037832</v>
      </c>
      <c r="R9" s="1090">
        <v>8687.9569847346193</v>
      </c>
      <c r="S9" s="1090">
        <v>8681.3914955681503</v>
      </c>
      <c r="T9" s="1090">
        <v>8729.4295989843304</v>
      </c>
      <c r="U9" s="1090">
        <v>8728.4506807199505</v>
      </c>
      <c r="V9" s="1090">
        <v>8810.0314103063192</v>
      </c>
      <c r="W9" s="1090">
        <v>9002.3337944931809</v>
      </c>
      <c r="X9" s="1091">
        <v>9352.3577934536406</v>
      </c>
      <c r="Y9" s="1091">
        <v>9526.2215396708107</v>
      </c>
      <c r="Z9" s="1091">
        <v>9740.0273733666909</v>
      </c>
      <c r="AA9" s="1091">
        <v>9746.5470725668401</v>
      </c>
      <c r="AB9" s="1091">
        <v>9972.8923026190005</v>
      </c>
      <c r="AC9" s="1091">
        <v>10182.345403994599</v>
      </c>
      <c r="AD9" s="1090">
        <v>10328.283719864699</v>
      </c>
      <c r="AE9" s="1090">
        <v>10414.01018178</v>
      </c>
      <c r="AF9" s="1090">
        <v>10481.711144418799</v>
      </c>
      <c r="AG9" s="1090">
        <v>10497.0466317302</v>
      </c>
      <c r="AH9" s="1090">
        <v>10491.951041574381</v>
      </c>
      <c r="AI9" s="1090">
        <v>10780.9439636307</v>
      </c>
      <c r="AJ9" s="1090">
        <v>10912.557114003699</v>
      </c>
      <c r="AK9" s="1090">
        <v>10975.828657382412</v>
      </c>
      <c r="AL9" s="1090">
        <v>10855.0619328595</v>
      </c>
      <c r="AM9" s="1090">
        <v>10845.560779616701</v>
      </c>
      <c r="AN9" s="1090">
        <v>10835.578601880799</v>
      </c>
      <c r="AO9" s="1090">
        <v>10971.3967768488</v>
      </c>
      <c r="AP9" s="1090">
        <v>11107.957597250899</v>
      </c>
      <c r="AQ9" s="1090">
        <v>11170.8055462252</v>
      </c>
      <c r="AR9" s="1090">
        <v>11650.5031040751</v>
      </c>
      <c r="AS9" s="1090">
        <v>11622.688762838899</v>
      </c>
      <c r="AT9" s="1090">
        <v>11821.791771283601</v>
      </c>
      <c r="AU9" s="1090">
        <v>12078.6747372461</v>
      </c>
      <c r="AV9" s="1090">
        <v>12246.3869346131</v>
      </c>
      <c r="AW9" s="1090">
        <v>12421.2469256614</v>
      </c>
      <c r="AX9" s="1090">
        <v>12616.787114836399</v>
      </c>
      <c r="AY9" s="1090">
        <v>12912.916752994601</v>
      </c>
      <c r="AZ9" s="1090">
        <v>13063.7357667661</v>
      </c>
      <c r="BA9" s="1090">
        <v>13201.539828995899</v>
      </c>
      <c r="BB9" s="1090">
        <v>13476.3615803586</v>
      </c>
      <c r="BC9" s="1090">
        <v>13784.729112602799</v>
      </c>
      <c r="BD9" s="1090">
        <v>13874.820979424099</v>
      </c>
      <c r="BE9" s="1090">
        <v>13910.090151055099</v>
      </c>
      <c r="BF9" s="1090">
        <v>13999.8433346194</v>
      </c>
      <c r="BG9" s="1090">
        <v>14407.8515522007</v>
      </c>
      <c r="BH9" s="1090">
        <v>14628.148740021799</v>
      </c>
      <c r="BI9" s="1090">
        <v>14746.682807200599</v>
      </c>
      <c r="BJ9" s="1090">
        <v>14787.1851946734</v>
      </c>
      <c r="BK9" s="1090">
        <v>14709.9177021613</v>
      </c>
      <c r="BL9" s="1091">
        <v>14776.9784619727</v>
      </c>
      <c r="BM9" s="1091">
        <v>14935.0383741286</v>
      </c>
      <c r="BN9" s="1091">
        <v>14952.6763686257</v>
      </c>
      <c r="BO9" s="1091">
        <v>15099.9752762721</v>
      </c>
      <c r="BP9" s="1090">
        <v>15143.677952681999</v>
      </c>
      <c r="BQ9" s="1090">
        <v>15055.8041583171</v>
      </c>
      <c r="BR9" s="1090">
        <v>15091.8031698048</v>
      </c>
      <c r="BS9" s="1090">
        <v>15544.5605541035</v>
      </c>
      <c r="BT9" s="1090">
        <v>15623.432278091201</v>
      </c>
      <c r="BU9" s="1090">
        <v>15804.785106637801</v>
      </c>
      <c r="BV9" s="1090">
        <v>16106.290412771999</v>
      </c>
      <c r="BW9" s="1090">
        <v>15948.8555238715</v>
      </c>
      <c r="BX9" s="1090">
        <v>16057.9538532386</v>
      </c>
      <c r="BY9" s="1090">
        <v>16214.8339298847</v>
      </c>
      <c r="BZ9" s="1090">
        <v>16312.6030860848</v>
      </c>
      <c r="CA9" s="1090">
        <v>16401.738228320501</v>
      </c>
      <c r="CB9" s="1090">
        <v>17179.523389481899</v>
      </c>
      <c r="CC9" s="1274" t="s">
        <v>3540</v>
      </c>
      <c r="CD9" s="1190"/>
      <c r="CF9" s="1032"/>
    </row>
    <row r="10" spans="1:84" ht="42.6" customHeight="1">
      <c r="A10" s="1088" t="s">
        <v>2513</v>
      </c>
      <c r="B10" s="1089">
        <v>4075.2996161158203</v>
      </c>
      <c r="C10" s="1090">
        <v>4117</v>
      </c>
      <c r="D10" s="1090">
        <f>D7-D9-D11</f>
        <v>4140</v>
      </c>
      <c r="E10" s="1090">
        <f>E7-E9-E11</f>
        <v>3997.54851016563</v>
      </c>
      <c r="F10" s="1090">
        <v>3813.58604906131</v>
      </c>
      <c r="G10" s="1090">
        <v>3732.38447763052</v>
      </c>
      <c r="H10" s="1090">
        <v>3684.02008196421</v>
      </c>
      <c r="I10" s="1090">
        <v>3676.3274270513098</v>
      </c>
      <c r="J10" s="1090">
        <v>3736.93684552583</v>
      </c>
      <c r="K10" s="1090">
        <v>3808.5589581781601</v>
      </c>
      <c r="L10" s="1090">
        <v>3746.7136044906001</v>
      </c>
      <c r="M10" s="1090">
        <v>3730.9140567115501</v>
      </c>
      <c r="N10" s="1090">
        <v>3661.2341626307798</v>
      </c>
      <c r="O10" s="1090">
        <v>3702.5870864801</v>
      </c>
      <c r="P10" s="1090">
        <v>3634.0159463651098</v>
      </c>
      <c r="Q10" s="1090">
        <v>3680.4317218861702</v>
      </c>
      <c r="R10" s="1090">
        <v>3777.7684898810098</v>
      </c>
      <c r="S10" s="1090">
        <v>3847.31420429032</v>
      </c>
      <c r="T10" s="1090">
        <v>3939.8826836162102</v>
      </c>
      <c r="U10" s="1090">
        <v>4024.6339624112502</v>
      </c>
      <c r="V10" s="1090">
        <v>4132.9137579377402</v>
      </c>
      <c r="W10" s="1090">
        <v>4238.9990447283999</v>
      </c>
      <c r="X10" s="1091">
        <v>4314.6982107272597</v>
      </c>
      <c r="Y10" s="1091">
        <v>4400.38210608383</v>
      </c>
      <c r="Z10" s="1091">
        <v>4518.4305427454801</v>
      </c>
      <c r="AA10" s="1091">
        <v>4616.9806062794896</v>
      </c>
      <c r="AB10" s="1091">
        <v>4691.8332097017501</v>
      </c>
      <c r="AC10" s="1091">
        <v>4831.3088795529302</v>
      </c>
      <c r="AD10" s="1090">
        <v>4940.5627041954604</v>
      </c>
      <c r="AE10" s="1090">
        <v>5075.3588169995501</v>
      </c>
      <c r="AF10" s="1090">
        <v>5189.8011099740997</v>
      </c>
      <c r="AG10" s="1090">
        <v>5315.0369886608596</v>
      </c>
      <c r="AH10" s="1090">
        <v>5416.56866060632</v>
      </c>
      <c r="AI10" s="1090">
        <v>5601.5897617810597</v>
      </c>
      <c r="AJ10" s="1090">
        <v>5696.7086805500403</v>
      </c>
      <c r="AK10" s="1090">
        <v>5771.671512477189</v>
      </c>
      <c r="AL10" s="1090">
        <v>5754.1449353284897</v>
      </c>
      <c r="AM10" s="1090">
        <v>5811.8651133032299</v>
      </c>
      <c r="AN10" s="1090">
        <v>5863.5669439863896</v>
      </c>
      <c r="AO10" s="1090">
        <v>5942.4446307431099</v>
      </c>
      <c r="AP10" s="1090">
        <v>6072.3402430998103</v>
      </c>
      <c r="AQ10" s="1090">
        <v>6224.5267704956696</v>
      </c>
      <c r="AR10" s="1090">
        <v>6324.7371684745403</v>
      </c>
      <c r="AS10" s="1090">
        <v>6376.0409298506102</v>
      </c>
      <c r="AT10" s="1090">
        <v>6532.51545105487</v>
      </c>
      <c r="AU10" s="1090">
        <v>6680.1144876922299</v>
      </c>
      <c r="AV10" s="1090">
        <v>6751.3345430823701</v>
      </c>
      <c r="AW10" s="1090">
        <v>6869.7115985856499</v>
      </c>
      <c r="AX10" s="1090">
        <v>6937.0024464386797</v>
      </c>
      <c r="AY10" s="1090">
        <v>7007.9614491870998</v>
      </c>
      <c r="AZ10" s="1090">
        <v>7077.30996172904</v>
      </c>
      <c r="BA10" s="1090">
        <v>7141.92909568086</v>
      </c>
      <c r="BB10" s="1090">
        <v>7326.9540633665501</v>
      </c>
      <c r="BC10" s="1090">
        <v>7480.1594621014701</v>
      </c>
      <c r="BD10" s="1090">
        <v>7633.8314563884196</v>
      </c>
      <c r="BE10" s="1090">
        <v>7765.1402645091503</v>
      </c>
      <c r="BF10" s="1090">
        <v>7978.8146839872697</v>
      </c>
      <c r="BG10" s="1090">
        <v>8152.78570888792</v>
      </c>
      <c r="BH10" s="1090">
        <v>8277.7967586541708</v>
      </c>
      <c r="BI10" s="1090">
        <v>8422.88027564191</v>
      </c>
      <c r="BJ10" s="1090">
        <v>8444.9624314924895</v>
      </c>
      <c r="BK10" s="1090">
        <v>8551.6756340093798</v>
      </c>
      <c r="BL10" s="1091">
        <v>8543.9989992216706</v>
      </c>
      <c r="BM10" s="1091">
        <v>8603.6107015626203</v>
      </c>
      <c r="BN10" s="1091">
        <v>8747.6487526637102</v>
      </c>
      <c r="BO10" s="1091">
        <v>8881.9275138840894</v>
      </c>
      <c r="BP10" s="1090">
        <v>8898.2671142100608</v>
      </c>
      <c r="BQ10" s="1090">
        <v>9002.1798212016893</v>
      </c>
      <c r="BR10" s="1090">
        <v>9114.4983337866997</v>
      </c>
      <c r="BS10" s="1090">
        <v>9183.5256496059192</v>
      </c>
      <c r="BT10" s="1090">
        <v>9232.4042414380801</v>
      </c>
      <c r="BU10" s="1090">
        <v>9318.8273343383007</v>
      </c>
      <c r="BV10" s="1090">
        <v>9354.2426414767797</v>
      </c>
      <c r="BW10" s="1090">
        <v>9425.9202456051808</v>
      </c>
      <c r="BX10" s="1090">
        <v>9467.5017518429795</v>
      </c>
      <c r="BY10" s="1090">
        <v>9490.9110301789806</v>
      </c>
      <c r="BZ10" s="1090">
        <v>9629.4295123167394</v>
      </c>
      <c r="CA10" s="1090">
        <v>9775.8879977105098</v>
      </c>
      <c r="CB10" s="1090">
        <v>9917.3246057673496</v>
      </c>
      <c r="CC10" s="1274" t="s">
        <v>3541</v>
      </c>
      <c r="CD10" s="1190"/>
    </row>
    <row r="11" spans="1:84" ht="42.6" customHeight="1" thickBot="1">
      <c r="A11" s="1092" t="s">
        <v>2514</v>
      </c>
      <c r="B11" s="1093">
        <v>1794.041042328</v>
      </c>
      <c r="C11" s="1094">
        <v>1794.7</v>
      </c>
      <c r="D11" s="1094">
        <v>1839</v>
      </c>
      <c r="E11" s="1094">
        <v>1869.5028123659999</v>
      </c>
      <c r="F11" s="1094">
        <v>1842.3637677219999</v>
      </c>
      <c r="G11" s="1094">
        <v>1825.1150501760001</v>
      </c>
      <c r="H11" s="1094">
        <v>1862.0629131860001</v>
      </c>
      <c r="I11" s="1094">
        <v>1900.280258884</v>
      </c>
      <c r="J11" s="1094">
        <v>1922.440870765</v>
      </c>
      <c r="K11" s="1094">
        <v>1947.354945666</v>
      </c>
      <c r="L11" s="1094">
        <v>1982.846555909</v>
      </c>
      <c r="M11" s="1094">
        <v>1997.3506273820001</v>
      </c>
      <c r="N11" s="1094">
        <v>2017.47213076</v>
      </c>
      <c r="O11" s="1094">
        <v>2054.4554587950001</v>
      </c>
      <c r="P11" s="1094">
        <v>2081.3590702189999</v>
      </c>
      <c r="Q11" s="1094">
        <v>2106.8234056289998</v>
      </c>
      <c r="R11" s="1094">
        <v>2146.0491205479998</v>
      </c>
      <c r="S11" s="1094">
        <v>2162.6934571520001</v>
      </c>
      <c r="T11" s="1094">
        <v>2187.5774974310002</v>
      </c>
      <c r="U11" s="1094">
        <v>2213.413565112</v>
      </c>
      <c r="V11" s="1094">
        <v>2263.903926465</v>
      </c>
      <c r="W11" s="1094">
        <v>2297.4362188109999</v>
      </c>
      <c r="X11" s="1095">
        <v>2330.2099017790001</v>
      </c>
      <c r="Y11" s="1095">
        <v>2355.3619016880002</v>
      </c>
      <c r="Z11" s="1095">
        <v>2400.6560262160001</v>
      </c>
      <c r="AA11" s="1095">
        <v>2417.911395999</v>
      </c>
      <c r="AB11" s="1095">
        <v>2461.807699085</v>
      </c>
      <c r="AC11" s="1095">
        <v>2514.5513259549998</v>
      </c>
      <c r="AD11" s="1094">
        <v>2571.534099728</v>
      </c>
      <c r="AE11" s="1094">
        <v>2608.9142923449999</v>
      </c>
      <c r="AF11" s="1094">
        <v>2648.5092596200002</v>
      </c>
      <c r="AG11" s="1094">
        <v>2675.3615453709999</v>
      </c>
      <c r="AH11" s="1094">
        <v>2730.0150960289998</v>
      </c>
      <c r="AI11" s="1094">
        <v>2774.6528360450002</v>
      </c>
      <c r="AJ11" s="1094">
        <v>2861.5187855899999</v>
      </c>
      <c r="AK11" s="1094">
        <v>2926.6782123429998</v>
      </c>
      <c r="AL11" s="1094">
        <v>2985.1586994740001</v>
      </c>
      <c r="AM11" s="1094">
        <v>3012.1659232880002</v>
      </c>
      <c r="AN11" s="1094">
        <v>3058.1838703419999</v>
      </c>
      <c r="AO11" s="1094">
        <v>3124.7547559250002</v>
      </c>
      <c r="AP11" s="1094">
        <v>3199.3296763130002</v>
      </c>
      <c r="AQ11" s="1094">
        <v>3263.9568755969999</v>
      </c>
      <c r="AR11" s="1094">
        <v>3320.9958528679999</v>
      </c>
      <c r="AS11" s="1094">
        <v>3373.2616131189998</v>
      </c>
      <c r="AT11" s="1094">
        <v>3459.8799326489998</v>
      </c>
      <c r="AU11" s="1094">
        <v>3523.0951459990001</v>
      </c>
      <c r="AV11" s="1094">
        <v>3461.9896128189998</v>
      </c>
      <c r="AW11" s="1094">
        <v>3590.2625407760002</v>
      </c>
      <c r="AX11" s="1094">
        <v>3629.164135944</v>
      </c>
      <c r="AY11" s="1094">
        <v>3645.474577514</v>
      </c>
      <c r="AZ11" s="1094">
        <v>3691.9734947840002</v>
      </c>
      <c r="BA11" s="1094">
        <v>3759.1544936690002</v>
      </c>
      <c r="BB11" s="1094">
        <v>3841.1349697390001</v>
      </c>
      <c r="BC11" s="1094">
        <v>3893.2920668689999</v>
      </c>
      <c r="BD11" s="1094">
        <v>3920.8446499890001</v>
      </c>
      <c r="BE11" s="1094">
        <v>4019.4790027590002</v>
      </c>
      <c r="BF11" s="1094">
        <v>4096.9528929990001</v>
      </c>
      <c r="BG11" s="1094">
        <v>4145.3345108390004</v>
      </c>
      <c r="BH11" s="1094">
        <v>4174.5774016590003</v>
      </c>
      <c r="BI11" s="1094">
        <v>4198.5845416789998</v>
      </c>
      <c r="BJ11" s="1094">
        <v>4245.5274137890001</v>
      </c>
      <c r="BK11" s="1094">
        <v>4253.1070472789997</v>
      </c>
      <c r="BL11" s="1095">
        <v>4271.3900921659997</v>
      </c>
      <c r="BM11" s="1095">
        <v>4338.4705556179997</v>
      </c>
      <c r="BN11" s="1095">
        <v>4396.1931139779999</v>
      </c>
      <c r="BO11" s="1095">
        <v>4404.6013390449998</v>
      </c>
      <c r="BP11" s="1094">
        <v>4430.2010570000002</v>
      </c>
      <c r="BQ11" s="1094">
        <v>4440.2002675200001</v>
      </c>
      <c r="BR11" s="1094">
        <v>4498.6085916499997</v>
      </c>
      <c r="BS11" s="1094">
        <v>4548.2187467289996</v>
      </c>
      <c r="BT11" s="1094">
        <v>4548.0207630320001</v>
      </c>
      <c r="BU11" s="1094">
        <v>4561.9168604420001</v>
      </c>
      <c r="BV11" s="1094">
        <v>4602.5158723920003</v>
      </c>
      <c r="BW11" s="1094">
        <v>4605.2772721219999</v>
      </c>
      <c r="BX11" s="1094">
        <v>4593.4008578619996</v>
      </c>
      <c r="BY11" s="1094">
        <v>4584.6036977020003</v>
      </c>
      <c r="BZ11" s="1094">
        <v>4667.1826251619996</v>
      </c>
      <c r="CA11" s="1094">
        <v>4708.1992366719996</v>
      </c>
      <c r="CB11" s="1094">
        <v>4724.4939179720004</v>
      </c>
      <c r="CC11" s="1276" t="s">
        <v>3619</v>
      </c>
      <c r="CD11" s="1190"/>
    </row>
    <row r="12" spans="1:84" s="1097" customFormat="1" ht="126" customHeight="1">
      <c r="A12" s="2733" t="s">
        <v>3620</v>
      </c>
      <c r="B12" s="2733"/>
      <c r="C12" s="2733"/>
      <c r="D12" s="2733"/>
      <c r="E12" s="2733"/>
      <c r="F12" s="2733"/>
      <c r="G12" s="2733"/>
      <c r="H12" s="2733"/>
      <c r="I12" s="2733"/>
      <c r="J12" s="2733"/>
      <c r="K12" s="2733"/>
      <c r="L12" s="2733"/>
      <c r="M12" s="2733"/>
      <c r="N12" s="2733"/>
      <c r="O12" s="2733"/>
      <c r="P12" s="2733"/>
      <c r="Q12" s="2733"/>
      <c r="R12" s="2733"/>
      <c r="S12" s="2733"/>
      <c r="T12" s="2733"/>
      <c r="U12" s="2733"/>
      <c r="V12" s="2733"/>
      <c r="W12" s="2733"/>
      <c r="X12" s="2733"/>
      <c r="Y12" s="2733"/>
      <c r="Z12" s="2733"/>
      <c r="AA12" s="2733"/>
      <c r="AB12" s="2733"/>
      <c r="AC12" s="2733"/>
      <c r="AD12" s="1096"/>
      <c r="AE12" s="1096"/>
      <c r="AF12" s="1096"/>
      <c r="AG12" s="1096"/>
      <c r="AH12" s="1096"/>
      <c r="AI12" s="1096"/>
      <c r="AJ12" s="1096"/>
      <c r="AK12" s="1096"/>
      <c r="AL12" s="1096"/>
      <c r="AM12" s="1096"/>
      <c r="AN12" s="1096"/>
      <c r="AO12" s="1096"/>
      <c r="AP12" s="1096"/>
      <c r="AQ12" s="1096"/>
      <c r="AR12" s="1096"/>
      <c r="AS12" s="1096"/>
      <c r="AT12" s="1096"/>
      <c r="AU12" s="1096"/>
      <c r="AV12" s="1096"/>
      <c r="AW12" s="1096"/>
      <c r="AX12" s="1096"/>
      <c r="AY12" s="1096"/>
      <c r="AZ12" s="1096"/>
      <c r="BA12" s="1096"/>
      <c r="BB12" s="1096"/>
      <c r="BC12" s="1096"/>
      <c r="BD12" s="1096"/>
      <c r="BE12" s="1096"/>
      <c r="BF12" s="1096"/>
      <c r="BG12" s="1096"/>
      <c r="BH12" s="1096"/>
      <c r="BI12" s="1096"/>
      <c r="BJ12" s="1096"/>
      <c r="BK12" s="1096"/>
      <c r="BL12" s="1096"/>
      <c r="BM12" s="1096"/>
      <c r="BN12" s="1096"/>
      <c r="BO12" s="1096"/>
      <c r="BP12" s="1096"/>
      <c r="BQ12" s="1096"/>
      <c r="BR12" s="1096"/>
      <c r="BS12" s="1096"/>
      <c r="BT12" s="1096"/>
      <c r="BU12" s="1096"/>
      <c r="BV12" s="1096"/>
      <c r="BW12" s="1096"/>
      <c r="BX12" s="1096"/>
      <c r="BY12" s="1096"/>
      <c r="BZ12" s="1096"/>
      <c r="CA12" s="1096"/>
      <c r="CB12" s="1096"/>
      <c r="CE12" s="1098"/>
    </row>
    <row r="13" spans="1:84" s="1263" customFormat="1" ht="19.5" customHeight="1">
      <c r="A13" s="1265" t="s">
        <v>3261</v>
      </c>
      <c r="B13" s="1262"/>
      <c r="C13" s="1262"/>
      <c r="D13" s="1262"/>
      <c r="E13" s="1262"/>
      <c r="F13" s="1262"/>
      <c r="G13" s="1262"/>
      <c r="H13" s="1262"/>
      <c r="I13" s="1262"/>
      <c r="J13" s="1262"/>
      <c r="K13" s="1262"/>
      <c r="L13" s="1262"/>
      <c r="M13" s="1262"/>
      <c r="N13" s="1262"/>
      <c r="O13" s="1262"/>
      <c r="P13" s="1262"/>
      <c r="Q13" s="1262"/>
      <c r="R13" s="1262"/>
      <c r="S13" s="1262"/>
      <c r="T13" s="1262"/>
      <c r="U13" s="1262"/>
      <c r="V13" s="1262"/>
      <c r="W13" s="1262"/>
      <c r="X13" s="1262"/>
      <c r="Y13" s="1262"/>
      <c r="Z13" s="1262"/>
      <c r="AA13" s="1262"/>
      <c r="AB13" s="1262"/>
      <c r="AC13" s="1262"/>
      <c r="AD13" s="1262"/>
      <c r="AE13" s="1262"/>
      <c r="AF13" s="1262"/>
      <c r="AG13" s="1262"/>
      <c r="AH13" s="1262"/>
      <c r="AI13" s="1262"/>
      <c r="AJ13" s="1262"/>
      <c r="AK13" s="1262"/>
    </row>
    <row r="14" spans="1:84">
      <c r="AL14" s="1327"/>
    </row>
    <row r="15" spans="1:84">
      <c r="AH15" s="1032"/>
      <c r="AI15" s="1032"/>
      <c r="AJ15" s="1032"/>
      <c r="AK15" s="1032"/>
      <c r="AL15" s="1032"/>
      <c r="AM15" s="1032"/>
      <c r="AN15" s="1032"/>
      <c r="AO15" s="1032"/>
      <c r="AP15" s="1032"/>
      <c r="AQ15" s="1032"/>
      <c r="AR15" s="1032"/>
      <c r="AS15" s="1032"/>
      <c r="AT15" s="1032"/>
      <c r="AU15" s="1032"/>
      <c r="AV15" s="1032"/>
      <c r="AW15" s="1032"/>
      <c r="AX15" s="1032"/>
      <c r="AY15" s="1032"/>
      <c r="AZ15" s="1032"/>
      <c r="BA15" s="1032"/>
      <c r="BB15" s="1032"/>
      <c r="BC15" s="1032"/>
      <c r="BD15" s="1032"/>
      <c r="BE15" s="1032"/>
      <c r="BF15" s="1032"/>
      <c r="BG15" s="1032"/>
      <c r="BH15" s="1032"/>
      <c r="BI15" s="1032"/>
      <c r="BJ15" s="1032"/>
      <c r="BK15" s="1032"/>
      <c r="BL15" s="1032"/>
      <c r="BM15" s="1032"/>
      <c r="BN15" s="1032"/>
      <c r="BO15" s="1032"/>
      <c r="BP15" s="1032"/>
      <c r="BQ15" s="1032"/>
      <c r="BR15" s="1032"/>
      <c r="BS15" s="1032"/>
      <c r="BT15" s="1032"/>
      <c r="BU15" s="1032"/>
      <c r="BV15" s="1032"/>
      <c r="BW15" s="1032"/>
      <c r="BX15" s="1032"/>
      <c r="BY15" s="1032"/>
      <c r="BZ15" s="1032"/>
      <c r="CA15" s="1032"/>
      <c r="CB15" s="1032"/>
    </row>
    <row r="16" spans="1:84">
      <c r="N16" s="1032"/>
      <c r="O16" s="1032"/>
      <c r="P16" s="1032"/>
      <c r="Q16" s="1032"/>
      <c r="R16" s="1032"/>
      <c r="S16" s="1032"/>
      <c r="T16" s="1032"/>
      <c r="U16" s="1032"/>
      <c r="V16" s="1032"/>
      <c r="W16" s="1032"/>
      <c r="X16" s="1032"/>
      <c r="Y16" s="1032"/>
      <c r="Z16" s="1032"/>
      <c r="AA16" s="1032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72"/>
      <c r="AM16" s="1072"/>
      <c r="AN16" s="1072"/>
      <c r="AO16" s="1072"/>
      <c r="AP16" s="1072"/>
      <c r="AQ16" s="1072"/>
      <c r="AR16" s="1072"/>
      <c r="AS16" s="1072"/>
      <c r="AT16" s="1072"/>
      <c r="AU16" s="1072"/>
      <c r="AV16" s="1072"/>
      <c r="AW16" s="1072"/>
      <c r="AX16" s="1072"/>
      <c r="AY16" s="1072"/>
      <c r="AZ16" s="1072"/>
      <c r="BA16" s="1072"/>
      <c r="BB16" s="1072"/>
      <c r="BC16" s="1072"/>
      <c r="BD16" s="1072"/>
      <c r="BE16" s="1072"/>
      <c r="BF16" s="1072"/>
      <c r="BG16" s="1072"/>
      <c r="BH16" s="1072"/>
      <c r="BI16" s="1072"/>
      <c r="BJ16" s="1072"/>
      <c r="BK16" s="1072"/>
      <c r="BL16" s="1072"/>
      <c r="BM16" s="1072"/>
      <c r="BN16" s="1072"/>
      <c r="BO16" s="1072"/>
      <c r="BP16" s="1072"/>
      <c r="BQ16" s="1072"/>
      <c r="BR16" s="1072"/>
      <c r="BS16" s="1072"/>
      <c r="BT16" s="1072"/>
      <c r="BU16" s="1072"/>
      <c r="BV16" s="1072"/>
      <c r="BW16" s="1072"/>
      <c r="BX16" s="1072"/>
      <c r="BY16" s="1072"/>
      <c r="BZ16" s="1072"/>
      <c r="CA16" s="1072"/>
      <c r="CB16" s="1072"/>
    </row>
    <row r="17" spans="32:32">
      <c r="AF17" s="1032"/>
    </row>
    <row r="18" spans="32:32">
      <c r="AF18" s="1032"/>
    </row>
    <row r="21" spans="32:32">
      <c r="AF21" s="1099"/>
    </row>
  </sheetData>
  <mergeCells count="4">
    <mergeCell ref="A12:AC12"/>
    <mergeCell ref="A2:CC2"/>
    <mergeCell ref="A3:CC3"/>
    <mergeCell ref="A5:CC5"/>
  </mergeCells>
  <pageMargins left="0.5" right="0.5" top="0.5" bottom="0.5" header="0.3" footer="0.3"/>
  <pageSetup paperSize="9" scale="27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9EF79-FAA0-4FBB-81E2-D2EE39C53607}">
  <sheetPr codeName="Sheet5">
    <tabColor rgb="FF92D050"/>
  </sheetPr>
  <dimension ref="A1:DK154"/>
  <sheetViews>
    <sheetView showGridLines="0" view="pageBreakPreview" zoomScale="70" zoomScaleSheetLayoutView="70" workbookViewId="0">
      <selection activeCell="F40" sqref="F40"/>
    </sheetView>
  </sheetViews>
  <sheetFormatPr defaultColWidth="9.140625" defaultRowHeight="12.75"/>
  <cols>
    <col min="1" max="1" width="46.85546875" style="1753" customWidth="1"/>
    <col min="2" max="7" width="9.140625" style="1753" hidden="1" customWidth="1"/>
    <col min="8" max="51" width="11" style="1753" hidden="1" customWidth="1"/>
    <col min="52" max="52" width="8.85546875" style="1753" hidden="1" customWidth="1"/>
    <col min="53" max="53" width="8.140625" style="1753" hidden="1" customWidth="1"/>
    <col min="54" max="56" width="8.7109375" style="1753" hidden="1" customWidth="1"/>
    <col min="57" max="57" width="9.140625" style="1753" hidden="1" customWidth="1"/>
    <col min="58" max="58" width="8.85546875" style="1753" hidden="1" customWidth="1"/>
    <col min="59" max="70" width="9.42578125" style="1753" hidden="1" customWidth="1"/>
    <col min="71" max="71" width="9.28515625" style="1753" hidden="1" customWidth="1"/>
    <col min="72" max="72" width="13.42578125" style="1753" hidden="1" customWidth="1"/>
    <col min="73" max="87" width="10.85546875" style="1753" hidden="1" customWidth="1"/>
    <col min="88" max="88" width="10.85546875" style="1753" customWidth="1"/>
    <col min="89" max="91" width="10.85546875" style="1753" hidden="1" customWidth="1"/>
    <col min="92" max="113" width="10.85546875" style="1753" customWidth="1"/>
    <col min="114" max="114" width="46.85546875" style="1753" customWidth="1"/>
    <col min="115" max="115" width="9.140625" style="1753" customWidth="1"/>
    <col min="116" max="176" width="9.140625" style="1753"/>
    <col min="177" max="177" width="9.140625" style="1753" customWidth="1"/>
    <col min="178" max="16384" width="9.140625" style="1753"/>
  </cols>
  <sheetData>
    <row r="1" spans="1:114" ht="9.75" customHeight="1">
      <c r="DJ1" s="1845"/>
    </row>
    <row r="2" spans="1:114" s="1846" customFormat="1" ht="25.5" customHeight="1">
      <c r="A2" s="2094" t="s">
        <v>2706</v>
      </c>
      <c r="B2" s="2094"/>
      <c r="C2" s="2094"/>
      <c r="D2" s="2094"/>
      <c r="E2" s="2094"/>
      <c r="F2" s="2094"/>
      <c r="G2" s="2094"/>
      <c r="H2" s="2094"/>
      <c r="I2" s="2094"/>
      <c r="J2" s="2094"/>
      <c r="K2" s="2094"/>
      <c r="L2" s="2094"/>
      <c r="M2" s="2094"/>
      <c r="N2" s="2094"/>
      <c r="O2" s="2094"/>
      <c r="P2" s="2094"/>
      <c r="Q2" s="2094"/>
      <c r="R2" s="2094"/>
      <c r="S2" s="2094"/>
      <c r="T2" s="2094"/>
      <c r="U2" s="2094"/>
      <c r="V2" s="2094"/>
      <c r="W2" s="2094"/>
      <c r="X2" s="2094"/>
      <c r="Y2" s="2094"/>
      <c r="Z2" s="2094"/>
      <c r="AA2" s="2094"/>
      <c r="AB2" s="2094"/>
      <c r="AC2" s="2094"/>
      <c r="AD2" s="2094"/>
      <c r="AE2" s="2094"/>
      <c r="AF2" s="2094"/>
      <c r="AG2" s="2094"/>
      <c r="AH2" s="2094"/>
      <c r="AI2" s="2094"/>
      <c r="AJ2" s="2094"/>
      <c r="AK2" s="2094"/>
      <c r="AL2" s="2094"/>
      <c r="AM2" s="2094"/>
      <c r="AN2" s="2094"/>
      <c r="AO2" s="2094"/>
      <c r="AP2" s="2094"/>
      <c r="AQ2" s="2094"/>
      <c r="AR2" s="2094"/>
      <c r="AS2" s="2094"/>
      <c r="AT2" s="2094"/>
      <c r="AU2" s="2094"/>
      <c r="AV2" s="2094"/>
      <c r="AW2" s="2094"/>
      <c r="AX2" s="2094"/>
      <c r="AY2" s="2094"/>
      <c r="AZ2" s="2094"/>
      <c r="BA2" s="2094"/>
      <c r="BB2" s="2094"/>
      <c r="BC2" s="2094"/>
      <c r="BD2" s="2094"/>
      <c r="BE2" s="2094"/>
      <c r="BF2" s="2094"/>
      <c r="BG2" s="2094"/>
      <c r="BH2" s="2094"/>
      <c r="BI2" s="2094"/>
      <c r="BJ2" s="2094"/>
      <c r="BK2" s="2094"/>
      <c r="BL2" s="2094"/>
      <c r="BM2" s="2094"/>
      <c r="BN2" s="2094"/>
      <c r="BO2" s="2094"/>
      <c r="BP2" s="2094"/>
      <c r="BQ2" s="2094"/>
      <c r="BR2" s="2094"/>
      <c r="BS2" s="2094"/>
      <c r="BT2" s="2094"/>
      <c r="BU2" s="2094"/>
      <c r="BV2" s="2094"/>
      <c r="BW2" s="2094"/>
      <c r="BX2" s="2094"/>
      <c r="BY2" s="2094"/>
      <c r="BZ2" s="2094"/>
      <c r="CA2" s="2094"/>
      <c r="CB2" s="2094"/>
      <c r="CC2" s="2094"/>
      <c r="CD2" s="2094"/>
      <c r="CE2" s="2094"/>
      <c r="CF2" s="2094"/>
      <c r="CG2" s="2094"/>
      <c r="CH2" s="2094"/>
      <c r="CI2" s="2094"/>
      <c r="CJ2" s="2094"/>
      <c r="CK2" s="2094"/>
      <c r="CL2" s="2094"/>
      <c r="CM2" s="2094"/>
      <c r="CN2" s="2094"/>
      <c r="CO2" s="2094"/>
      <c r="CP2" s="2094"/>
      <c r="CQ2" s="2094"/>
      <c r="CR2" s="2094"/>
      <c r="CS2" s="2094"/>
      <c r="CT2" s="2094"/>
      <c r="CU2" s="2094"/>
      <c r="CV2" s="2094"/>
      <c r="CW2" s="2094"/>
      <c r="CX2" s="2094"/>
      <c r="CY2" s="2094"/>
      <c r="CZ2" s="2094"/>
      <c r="DA2" s="2094"/>
      <c r="DB2" s="2094"/>
      <c r="DC2" s="2094"/>
      <c r="DD2" s="2094"/>
      <c r="DE2" s="2094"/>
      <c r="DF2" s="2094"/>
      <c r="DG2" s="2094"/>
      <c r="DH2" s="2094"/>
      <c r="DI2" s="2094"/>
      <c r="DJ2" s="2094"/>
    </row>
    <row r="3" spans="1:114" s="1846" customFormat="1" ht="25.5" customHeight="1">
      <c r="A3" s="2095" t="s">
        <v>2707</v>
      </c>
      <c r="B3" s="2095"/>
      <c r="C3" s="2095"/>
      <c r="D3" s="2095"/>
      <c r="E3" s="2095"/>
      <c r="F3" s="2095"/>
      <c r="G3" s="2095"/>
      <c r="H3" s="2095"/>
      <c r="I3" s="2095"/>
      <c r="J3" s="2095"/>
      <c r="K3" s="2095"/>
      <c r="L3" s="2095"/>
      <c r="M3" s="2095"/>
      <c r="N3" s="2095"/>
      <c r="O3" s="2095"/>
      <c r="P3" s="2095"/>
      <c r="Q3" s="2095"/>
      <c r="R3" s="2095"/>
      <c r="S3" s="2095"/>
      <c r="T3" s="2095"/>
      <c r="U3" s="2095"/>
      <c r="V3" s="2095"/>
      <c r="W3" s="2095"/>
      <c r="X3" s="2095"/>
      <c r="Y3" s="2095"/>
      <c r="Z3" s="2095"/>
      <c r="AA3" s="2095"/>
      <c r="AB3" s="2095"/>
      <c r="AC3" s="2095"/>
      <c r="AD3" s="2095"/>
      <c r="AE3" s="2095"/>
      <c r="AF3" s="2095"/>
      <c r="AG3" s="2095"/>
      <c r="AH3" s="2095"/>
      <c r="AI3" s="2095"/>
      <c r="AJ3" s="2095"/>
      <c r="AK3" s="2095"/>
      <c r="AL3" s="2095"/>
      <c r="AM3" s="2095"/>
      <c r="AN3" s="2095"/>
      <c r="AO3" s="2095"/>
      <c r="AP3" s="2095"/>
      <c r="AQ3" s="2095"/>
      <c r="AR3" s="2095"/>
      <c r="AS3" s="2095"/>
      <c r="AT3" s="2095"/>
      <c r="AU3" s="2095"/>
      <c r="AV3" s="2095"/>
      <c r="AW3" s="2095"/>
      <c r="AX3" s="2095"/>
      <c r="AY3" s="2095"/>
      <c r="AZ3" s="2095"/>
      <c r="BA3" s="2095"/>
      <c r="BB3" s="2095"/>
      <c r="BC3" s="2095"/>
      <c r="BD3" s="2095"/>
      <c r="BE3" s="2095"/>
      <c r="BF3" s="2095"/>
      <c r="BG3" s="2095"/>
      <c r="BH3" s="2095"/>
      <c r="BI3" s="2095"/>
      <c r="BJ3" s="2095"/>
      <c r="BK3" s="2095"/>
      <c r="BL3" s="2095"/>
      <c r="BM3" s="2095"/>
      <c r="BN3" s="2095"/>
      <c r="BO3" s="2095"/>
      <c r="BP3" s="2095"/>
      <c r="BQ3" s="2095"/>
      <c r="BR3" s="2095"/>
      <c r="BS3" s="2095"/>
      <c r="BT3" s="2095"/>
      <c r="BU3" s="2095"/>
      <c r="BV3" s="2095"/>
      <c r="BW3" s="2095"/>
      <c r="BX3" s="2095"/>
      <c r="BY3" s="2095"/>
      <c r="BZ3" s="2095"/>
      <c r="CA3" s="2095"/>
      <c r="CB3" s="2095"/>
      <c r="CC3" s="2095"/>
      <c r="CD3" s="2095"/>
      <c r="CE3" s="2095"/>
      <c r="CF3" s="2095"/>
      <c r="CG3" s="2095"/>
      <c r="CH3" s="2095"/>
      <c r="CI3" s="2095"/>
      <c r="CJ3" s="2095"/>
      <c r="CK3" s="2095"/>
      <c r="CL3" s="2095"/>
      <c r="CM3" s="2095"/>
      <c r="CN3" s="2095"/>
      <c r="CO3" s="2095"/>
      <c r="CP3" s="2095"/>
      <c r="CQ3" s="2095"/>
      <c r="CR3" s="2095"/>
      <c r="CS3" s="2095"/>
      <c r="CT3" s="2095"/>
      <c r="CU3" s="2095"/>
      <c r="CV3" s="2095"/>
      <c r="CW3" s="2095"/>
      <c r="CX3" s="2095"/>
      <c r="CY3" s="2095"/>
      <c r="CZ3" s="2095"/>
      <c r="DA3" s="2095"/>
      <c r="DB3" s="2095"/>
      <c r="DC3" s="2095"/>
      <c r="DD3" s="2095"/>
      <c r="DE3" s="2095"/>
      <c r="DF3" s="2095"/>
      <c r="DG3" s="2095"/>
      <c r="DH3" s="2095"/>
      <c r="DI3" s="2095"/>
      <c r="DJ3" s="2095"/>
    </row>
    <row r="4" spans="1:114" s="1846" customFormat="1" ht="16.5" customHeight="1">
      <c r="A4" s="1754"/>
      <c r="B4" s="1754"/>
      <c r="C4" s="1754"/>
      <c r="D4" s="1754"/>
      <c r="E4" s="1754"/>
      <c r="F4" s="1754"/>
      <c r="G4" s="1754"/>
      <c r="H4" s="1754"/>
      <c r="I4" s="1754"/>
      <c r="J4" s="1754"/>
      <c r="K4" s="1754"/>
      <c r="L4" s="1754"/>
      <c r="M4" s="1754"/>
      <c r="N4" s="1754"/>
      <c r="O4" s="1754"/>
      <c r="P4" s="1754"/>
      <c r="Q4" s="1754"/>
      <c r="R4" s="1754"/>
      <c r="S4" s="1754"/>
      <c r="T4" s="1754"/>
      <c r="U4" s="1754"/>
      <c r="V4" s="1754"/>
      <c r="W4" s="1754"/>
      <c r="X4" s="1754"/>
      <c r="Y4" s="1754"/>
      <c r="Z4" s="1754"/>
      <c r="AA4" s="1754"/>
      <c r="AB4" s="1754"/>
      <c r="AC4" s="1754"/>
      <c r="AD4" s="1754"/>
      <c r="AE4" s="1754"/>
      <c r="AF4" s="1754"/>
      <c r="AG4" s="1754"/>
      <c r="AH4" s="1754"/>
      <c r="AI4" s="1754"/>
      <c r="AJ4" s="1754"/>
      <c r="AK4" s="1754"/>
      <c r="AL4" s="1754"/>
      <c r="AM4" s="1754"/>
      <c r="AN4" s="1754"/>
      <c r="AO4" s="1754"/>
      <c r="AP4" s="1754"/>
      <c r="AQ4" s="1754"/>
      <c r="AR4" s="1754"/>
      <c r="AS4" s="1754"/>
      <c r="AT4" s="1754"/>
      <c r="AU4" s="1754"/>
      <c r="AV4" s="1754"/>
      <c r="AW4" s="1754"/>
      <c r="AX4" s="1754"/>
      <c r="AY4" s="1754"/>
      <c r="AZ4" s="1754"/>
      <c r="BA4" s="1754"/>
      <c r="BB4" s="1754"/>
      <c r="BC4" s="1754"/>
      <c r="BD4" s="1754"/>
      <c r="BE4" s="1754"/>
      <c r="BF4" s="1754"/>
      <c r="BG4" s="1754"/>
      <c r="BH4" s="1754"/>
      <c r="BI4" s="1754"/>
      <c r="BJ4" s="1754"/>
      <c r="BK4" s="1754"/>
      <c r="BL4" s="1754"/>
      <c r="BM4" s="1754"/>
      <c r="BN4" s="1754"/>
      <c r="BO4" s="1754"/>
      <c r="BP4" s="1754"/>
      <c r="BQ4" s="1754"/>
      <c r="BR4" s="1754"/>
      <c r="BS4" s="1754"/>
      <c r="BT4" s="1754"/>
      <c r="BU4" s="1754"/>
      <c r="BV4" s="1754"/>
      <c r="BW4" s="1754"/>
      <c r="BX4" s="1754"/>
      <c r="BY4" s="1754"/>
      <c r="BZ4" s="1754"/>
      <c r="CA4" s="1754"/>
      <c r="CB4" s="1754"/>
      <c r="CC4" s="1754"/>
      <c r="CD4" s="1754"/>
      <c r="CE4" s="1754"/>
      <c r="CF4" s="1754"/>
      <c r="CG4" s="1754"/>
      <c r="CH4" s="1754"/>
      <c r="CI4" s="1754"/>
      <c r="CJ4" s="1754"/>
      <c r="CK4" s="1754"/>
      <c r="CL4" s="1754"/>
      <c r="CM4" s="1754"/>
      <c r="CN4" s="1754"/>
      <c r="CO4" s="1754"/>
      <c r="CP4" s="1754"/>
      <c r="CQ4" s="1754"/>
      <c r="CR4" s="1754"/>
      <c r="CS4" s="1754"/>
      <c r="CT4" s="1754"/>
      <c r="CU4" s="1754"/>
      <c r="CV4" s="1754"/>
      <c r="CW4" s="1754"/>
      <c r="CX4" s="1754"/>
      <c r="CY4" s="1754"/>
      <c r="CZ4" s="1754"/>
      <c r="DA4" s="1754"/>
      <c r="DB4" s="1754"/>
      <c r="DC4" s="1754"/>
      <c r="DD4" s="1754"/>
      <c r="DE4" s="1754"/>
      <c r="DF4" s="1754"/>
      <c r="DG4" s="1754"/>
      <c r="DH4" s="1754"/>
      <c r="DI4" s="1754"/>
      <c r="DJ4" s="1754"/>
    </row>
    <row r="5" spans="1:114" ht="16.5" customHeight="1">
      <c r="A5" s="2096"/>
      <c r="B5" s="2096"/>
      <c r="C5" s="2096"/>
      <c r="D5" s="2096"/>
      <c r="E5" s="2096"/>
      <c r="F5" s="2096"/>
      <c r="G5" s="2096"/>
      <c r="H5" s="2096"/>
      <c r="I5" s="2096"/>
      <c r="J5" s="2096"/>
      <c r="K5" s="2096"/>
      <c r="L5" s="2096"/>
      <c r="M5" s="2096"/>
      <c r="N5" s="2096"/>
      <c r="O5" s="2096"/>
      <c r="P5" s="2096"/>
      <c r="Q5" s="2096"/>
      <c r="R5" s="2096"/>
      <c r="S5" s="2096"/>
      <c r="T5" s="2096"/>
      <c r="U5" s="2096"/>
      <c r="V5" s="2096"/>
      <c r="W5" s="2096"/>
      <c r="X5" s="2096"/>
      <c r="Y5" s="2096"/>
      <c r="Z5" s="2096"/>
      <c r="AA5" s="2096"/>
      <c r="AB5" s="2096"/>
      <c r="AC5" s="2096"/>
      <c r="AD5" s="2096"/>
      <c r="AE5" s="2096"/>
      <c r="AF5" s="2096"/>
      <c r="AG5" s="2096"/>
      <c r="AH5" s="2096"/>
      <c r="AI5" s="2096"/>
      <c r="AJ5" s="2096"/>
      <c r="AK5" s="2096"/>
      <c r="AL5" s="2096"/>
      <c r="AM5" s="2096"/>
      <c r="AN5" s="2096"/>
      <c r="AO5" s="2096"/>
      <c r="AP5" s="2096"/>
      <c r="AQ5" s="2096"/>
      <c r="AR5" s="2096"/>
      <c r="AS5" s="2096"/>
      <c r="AT5" s="2096"/>
      <c r="AU5" s="2096"/>
      <c r="AV5" s="2096"/>
      <c r="AW5" s="2096"/>
      <c r="AX5" s="2096"/>
      <c r="AY5" s="2096"/>
      <c r="AZ5" s="2096"/>
      <c r="BA5" s="2096"/>
      <c r="BB5" s="2096"/>
      <c r="BC5" s="2096"/>
      <c r="BD5" s="2096"/>
      <c r="BE5" s="2096"/>
      <c r="BF5" s="2096"/>
      <c r="BG5" s="2096"/>
      <c r="BH5" s="2096"/>
      <c r="BI5" s="2096"/>
      <c r="BJ5" s="2096"/>
      <c r="BK5" s="2096"/>
      <c r="BL5" s="2096"/>
      <c r="BM5" s="2096"/>
      <c r="BN5" s="2096"/>
      <c r="BO5" s="2096"/>
      <c r="BP5" s="2096"/>
      <c r="BQ5" s="2096"/>
      <c r="BR5" s="2096"/>
      <c r="BS5" s="2096"/>
      <c r="BT5" s="2096"/>
      <c r="BU5" s="2096"/>
      <c r="BV5" s="2096"/>
      <c r="BW5" s="2096"/>
      <c r="BX5" s="2096"/>
      <c r="BY5" s="2096"/>
      <c r="BZ5" s="2096"/>
      <c r="CA5" s="2096"/>
      <c r="CB5" s="2096"/>
      <c r="CC5" s="2096"/>
      <c r="CD5" s="2096"/>
      <c r="CE5" s="2096"/>
      <c r="CF5" s="2096"/>
      <c r="CG5" s="1755"/>
      <c r="CH5" s="1755"/>
      <c r="CI5" s="1755"/>
      <c r="CJ5" s="1755"/>
      <c r="CK5" s="1755"/>
      <c r="CL5" s="1755"/>
      <c r="CM5" s="1755"/>
      <c r="CN5" s="1755"/>
      <c r="CO5" s="1755"/>
      <c r="CP5" s="1755"/>
      <c r="CQ5" s="1755"/>
      <c r="CR5" s="1755"/>
      <c r="CS5" s="1755"/>
      <c r="CT5" s="1755"/>
      <c r="CU5" s="1755"/>
      <c r="CV5" s="1755"/>
      <c r="CW5" s="1755"/>
      <c r="CX5" s="1755"/>
      <c r="CY5" s="1755"/>
      <c r="CZ5" s="1755"/>
      <c r="DA5" s="1755"/>
      <c r="DB5" s="1755"/>
      <c r="DC5" s="1755"/>
      <c r="DD5" s="1755"/>
      <c r="DE5" s="1755"/>
      <c r="DF5" s="1755"/>
      <c r="DG5" s="1755"/>
      <c r="DH5" s="1755"/>
      <c r="DI5" s="1755"/>
      <c r="DJ5" s="1847" t="s">
        <v>63</v>
      </c>
    </row>
    <row r="6" spans="1:114" s="1849" customFormat="1" ht="25.5">
      <c r="A6" s="506"/>
      <c r="B6" s="1844">
        <v>1995</v>
      </c>
      <c r="C6" s="1842">
        <v>1996</v>
      </c>
      <c r="D6" s="1842">
        <v>1997</v>
      </c>
      <c r="E6" s="1842">
        <v>1998</v>
      </c>
      <c r="F6" s="1842">
        <v>1999</v>
      </c>
      <c r="G6" s="1842">
        <v>2000</v>
      </c>
      <c r="H6" s="507" t="s">
        <v>1548</v>
      </c>
      <c r="I6" s="507" t="s">
        <v>1549</v>
      </c>
      <c r="J6" s="507" t="s">
        <v>1550</v>
      </c>
      <c r="K6" s="507" t="s">
        <v>1551</v>
      </c>
      <c r="L6" s="507" t="s">
        <v>1552</v>
      </c>
      <c r="M6" s="507" t="s">
        <v>1553</v>
      </c>
      <c r="N6" s="507" t="s">
        <v>1554</v>
      </c>
      <c r="O6" s="507" t="s">
        <v>1555</v>
      </c>
      <c r="P6" s="507" t="s">
        <v>1556</v>
      </c>
      <c r="Q6" s="507" t="s">
        <v>1557</v>
      </c>
      <c r="R6" s="507" t="s">
        <v>1558</v>
      </c>
      <c r="S6" s="507" t="s">
        <v>1559</v>
      </c>
      <c r="T6" s="507" t="s">
        <v>1560</v>
      </c>
      <c r="U6" s="507" t="s">
        <v>64</v>
      </c>
      <c r="V6" s="507" t="s">
        <v>65</v>
      </c>
      <c r="W6" s="507" t="s">
        <v>1561</v>
      </c>
      <c r="X6" s="507" t="s">
        <v>1562</v>
      </c>
      <c r="Y6" s="507" t="s">
        <v>66</v>
      </c>
      <c r="Z6" s="507" t="s">
        <v>67</v>
      </c>
      <c r="AA6" s="507" t="s">
        <v>68</v>
      </c>
      <c r="AB6" s="507" t="s">
        <v>1563</v>
      </c>
      <c r="AC6" s="507" t="s">
        <v>69</v>
      </c>
      <c r="AD6" s="507" t="s">
        <v>70</v>
      </c>
      <c r="AE6" s="507" t="s">
        <v>1564</v>
      </c>
      <c r="AF6" s="508" t="s">
        <v>1565</v>
      </c>
      <c r="AG6" s="507" t="s">
        <v>1566</v>
      </c>
      <c r="AH6" s="507" t="s">
        <v>1567</v>
      </c>
      <c r="AI6" s="507" t="s">
        <v>1568</v>
      </c>
      <c r="AJ6" s="508" t="s">
        <v>1569</v>
      </c>
      <c r="AK6" s="507" t="s">
        <v>1570</v>
      </c>
      <c r="AL6" s="507" t="s">
        <v>1571</v>
      </c>
      <c r="AM6" s="507" t="s">
        <v>1572</v>
      </c>
      <c r="AN6" s="508" t="s">
        <v>1573</v>
      </c>
      <c r="AO6" s="507" t="s">
        <v>1574</v>
      </c>
      <c r="AP6" s="507" t="s">
        <v>1575</v>
      </c>
      <c r="AQ6" s="507" t="s">
        <v>1576</v>
      </c>
      <c r="AR6" s="508" t="s">
        <v>1577</v>
      </c>
      <c r="AS6" s="507" t="s">
        <v>1578</v>
      </c>
      <c r="AT6" s="507" t="s">
        <v>1579</v>
      </c>
      <c r="AU6" s="507" t="s">
        <v>1580</v>
      </c>
      <c r="AV6" s="508" t="s">
        <v>1581</v>
      </c>
      <c r="AW6" s="507" t="s">
        <v>1582</v>
      </c>
      <c r="AX6" s="507" t="s">
        <v>1583</v>
      </c>
      <c r="AY6" s="507" t="s">
        <v>1584</v>
      </c>
      <c r="AZ6" s="508" t="s">
        <v>1476</v>
      </c>
      <c r="BA6" s="507" t="s">
        <v>1513</v>
      </c>
      <c r="BB6" s="508" t="s">
        <v>1585</v>
      </c>
      <c r="BC6" s="508" t="s">
        <v>1586</v>
      </c>
      <c r="BD6" s="1848">
        <v>2012</v>
      </c>
      <c r="BE6" s="508" t="s">
        <v>1450</v>
      </c>
      <c r="BF6" s="507" t="s">
        <v>1512</v>
      </c>
      <c r="BG6" s="507" t="s">
        <v>1587</v>
      </c>
      <c r="BH6" s="508" t="s">
        <v>1631</v>
      </c>
      <c r="BI6" s="1848">
        <v>2013</v>
      </c>
      <c r="BJ6" s="508" t="s">
        <v>1654</v>
      </c>
      <c r="BK6" s="508" t="s">
        <v>1692</v>
      </c>
      <c r="BL6" s="508" t="s">
        <v>1737</v>
      </c>
      <c r="BM6" s="508" t="s">
        <v>1819</v>
      </c>
      <c r="BN6" s="508">
        <v>2014</v>
      </c>
      <c r="BO6" s="508" t="s">
        <v>1831</v>
      </c>
      <c r="BP6" s="508" t="s">
        <v>1832</v>
      </c>
      <c r="BQ6" s="508" t="s">
        <v>1836</v>
      </c>
      <c r="BR6" s="1848" t="s">
        <v>1837</v>
      </c>
      <c r="BS6" s="509" t="s">
        <v>1845</v>
      </c>
      <c r="BT6" s="1848" t="s">
        <v>1846</v>
      </c>
      <c r="BU6" s="508" t="s">
        <v>1853</v>
      </c>
      <c r="BV6" s="508" t="s">
        <v>1857</v>
      </c>
      <c r="BW6" s="508" t="s">
        <v>1914</v>
      </c>
      <c r="BX6" s="508" t="s">
        <v>1915</v>
      </c>
      <c r="BY6" s="508" t="s">
        <v>1940</v>
      </c>
      <c r="BZ6" s="508" t="s">
        <v>1984</v>
      </c>
      <c r="CA6" s="508" t="s">
        <v>2029</v>
      </c>
      <c r="CB6" s="508" t="s">
        <v>2049</v>
      </c>
      <c r="CC6" s="508" t="s">
        <v>2070</v>
      </c>
      <c r="CD6" s="508" t="s">
        <v>2093</v>
      </c>
      <c r="CE6" s="508" t="s">
        <v>2123</v>
      </c>
      <c r="CF6" s="508" t="s">
        <v>2142</v>
      </c>
      <c r="CG6" s="508" t="s">
        <v>2165</v>
      </c>
      <c r="CH6" s="508" t="s">
        <v>2197</v>
      </c>
      <c r="CI6" s="508" t="s">
        <v>2213</v>
      </c>
      <c r="CJ6" s="508" t="s">
        <v>2371</v>
      </c>
      <c r="CK6" s="508" t="s">
        <v>2406</v>
      </c>
      <c r="CL6" s="508" t="s">
        <v>2439</v>
      </c>
      <c r="CM6" s="508" t="s">
        <v>2495</v>
      </c>
      <c r="CN6" s="508" t="s">
        <v>2546</v>
      </c>
      <c r="CO6" s="508" t="s">
        <v>2570</v>
      </c>
      <c r="CP6" s="508" t="s">
        <v>2600</v>
      </c>
      <c r="CQ6" s="508" t="s">
        <v>2791</v>
      </c>
      <c r="CR6" s="508" t="s">
        <v>2828</v>
      </c>
      <c r="CS6" s="508" t="s">
        <v>2862</v>
      </c>
      <c r="CT6" s="508" t="s">
        <v>2875</v>
      </c>
      <c r="CU6" s="508" t="s">
        <v>3405</v>
      </c>
      <c r="CV6" s="508" t="s">
        <v>3525</v>
      </c>
      <c r="CW6" s="508" t="s">
        <v>3714</v>
      </c>
      <c r="CX6" s="508" t="s">
        <v>3838</v>
      </c>
      <c r="CY6" s="508" t="s">
        <v>3921</v>
      </c>
      <c r="CZ6" s="508" t="s">
        <v>4006</v>
      </c>
      <c r="DA6" s="508" t="s">
        <v>4051</v>
      </c>
      <c r="DB6" s="508" t="s">
        <v>4110</v>
      </c>
      <c r="DC6" s="508" t="s">
        <v>4137</v>
      </c>
      <c r="DD6" s="508" t="s">
        <v>4213</v>
      </c>
      <c r="DE6" s="508" t="s">
        <v>4288</v>
      </c>
      <c r="DF6" s="508" t="s">
        <v>4383</v>
      </c>
      <c r="DG6" s="508" t="s">
        <v>4498</v>
      </c>
      <c r="DH6" s="508" t="s">
        <v>4499</v>
      </c>
      <c r="DI6" s="508" t="s">
        <v>4545</v>
      </c>
      <c r="DJ6" s="1843"/>
    </row>
    <row r="7" spans="1:114" s="1855" customFormat="1" ht="33" customHeight="1">
      <c r="A7" s="1850" t="s">
        <v>71</v>
      </c>
      <c r="B7" s="1851">
        <v>-400</v>
      </c>
      <c r="C7" s="1851">
        <v>-931</v>
      </c>
      <c r="D7" s="1851">
        <v>-915</v>
      </c>
      <c r="E7" s="1851">
        <v>-1364</v>
      </c>
      <c r="F7" s="1851">
        <v>-600</v>
      </c>
      <c r="G7" s="1851">
        <v>-168</v>
      </c>
      <c r="H7" s="1851">
        <v>-1.1329999999999814</v>
      </c>
      <c r="I7" s="1851">
        <v>44.692000000000007</v>
      </c>
      <c r="J7" s="1851">
        <v>-25.413999999999987</v>
      </c>
      <c r="K7" s="1851">
        <v>-70</v>
      </c>
      <c r="L7" s="1851">
        <v>-174.12700000000001</v>
      </c>
      <c r="M7" s="1851">
        <v>-185</v>
      </c>
      <c r="N7" s="1851">
        <v>-161</v>
      </c>
      <c r="O7" s="1851">
        <v>-248.70700000000002</v>
      </c>
      <c r="P7" s="1851">
        <v>-275.61200000000002</v>
      </c>
      <c r="Q7" s="1851">
        <v>-454.43099999999998</v>
      </c>
      <c r="R7" s="1851">
        <v>-560</v>
      </c>
      <c r="S7" s="1851">
        <v>-731</v>
      </c>
      <c r="T7" s="1851">
        <v>-738.29</v>
      </c>
      <c r="U7" s="1851">
        <v>-543.18200000000013</v>
      </c>
      <c r="V7" s="1851">
        <v>-678.36000000000013</v>
      </c>
      <c r="W7" s="1851">
        <v>-629</v>
      </c>
      <c r="X7" s="1851">
        <v>-542</v>
      </c>
      <c r="Y7" s="1851">
        <v>-136.4919999999999</v>
      </c>
      <c r="Z7" s="1851">
        <v>262</v>
      </c>
      <c r="AA7" s="1851">
        <v>583</v>
      </c>
      <c r="AB7" s="1851">
        <v>525.5630000000001</v>
      </c>
      <c r="AC7" s="1851">
        <v>597.33999999999992</v>
      </c>
      <c r="AD7" s="1851">
        <v>906.49199999999996</v>
      </c>
      <c r="AE7" s="1851">
        <v>1745.4219999999998</v>
      </c>
      <c r="AF7" s="1851">
        <v>1978.3820000000003</v>
      </c>
      <c r="AG7" s="1851">
        <v>2007.3820000000007</v>
      </c>
      <c r="AH7" s="1851">
        <v>1891</v>
      </c>
      <c r="AI7" s="1851">
        <v>3123</v>
      </c>
      <c r="AJ7" s="1851">
        <v>3686</v>
      </c>
      <c r="AK7" s="1851">
        <v>6030.7419999999993</v>
      </c>
      <c r="AL7" s="1851">
        <v>5079.1380000000008</v>
      </c>
      <c r="AM7" s="1851">
        <v>1658</v>
      </c>
      <c r="AN7" s="1851">
        <v>1794.3510000000001</v>
      </c>
      <c r="AO7" s="1851">
        <v>2689.5110000000004</v>
      </c>
      <c r="AP7" s="1851">
        <v>2712.451</v>
      </c>
      <c r="AQ7" s="1851">
        <v>3220.3869999999997</v>
      </c>
      <c r="AR7" s="1851">
        <v>3902.2039999999997</v>
      </c>
      <c r="AS7" s="1851">
        <v>4048.4090000000001</v>
      </c>
      <c r="AT7" s="1851">
        <v>4018.7980000000002</v>
      </c>
      <c r="AU7" s="1851">
        <v>3052</v>
      </c>
      <c r="AV7" s="1851">
        <v>4823.1350000000002</v>
      </c>
      <c r="AW7" s="1851">
        <v>5400.1100000000006</v>
      </c>
      <c r="AX7" s="1851">
        <v>4209</v>
      </c>
      <c r="AY7" s="1851">
        <v>2724</v>
      </c>
      <c r="AZ7" s="1851">
        <f t="shared" ref="AZ7:CB7" si="0">AZ9+AZ21+AZ31+AZ39</f>
        <v>4642</v>
      </c>
      <c r="BA7" s="1851">
        <f t="shared" si="0"/>
        <v>3498</v>
      </c>
      <c r="BB7" s="1851">
        <f t="shared" si="0"/>
        <v>3289</v>
      </c>
      <c r="BC7" s="1851">
        <f t="shared" si="0"/>
        <v>3453</v>
      </c>
      <c r="BD7" s="1852">
        <f t="shared" si="0"/>
        <v>14882</v>
      </c>
      <c r="BE7" s="1851">
        <v>4049</v>
      </c>
      <c r="BF7" s="1851">
        <v>2399</v>
      </c>
      <c r="BG7" s="1851">
        <v>2809</v>
      </c>
      <c r="BH7" s="1851">
        <v>3061</v>
      </c>
      <c r="BI7" s="1852">
        <f t="shared" si="0"/>
        <v>12318</v>
      </c>
      <c r="BJ7" s="1851">
        <f t="shared" si="0"/>
        <v>3333</v>
      </c>
      <c r="BK7" s="1851">
        <f t="shared" si="0"/>
        <v>3166</v>
      </c>
      <c r="BL7" s="1851">
        <f t="shared" si="0"/>
        <v>2793</v>
      </c>
      <c r="BM7" s="1851">
        <f t="shared" si="0"/>
        <v>1139</v>
      </c>
      <c r="BN7" s="1852">
        <f t="shared" si="0"/>
        <v>10431</v>
      </c>
      <c r="BO7" s="1851">
        <f t="shared" si="0"/>
        <v>108</v>
      </c>
      <c r="BP7" s="1851">
        <f t="shared" si="0"/>
        <v>-45</v>
      </c>
      <c r="BQ7" s="1851">
        <f t="shared" si="0"/>
        <v>177</v>
      </c>
      <c r="BR7" s="276">
        <f t="shared" si="0"/>
        <v>240</v>
      </c>
      <c r="BS7" s="1853">
        <f t="shared" si="0"/>
        <v>-463</v>
      </c>
      <c r="BT7" s="277">
        <f t="shared" si="0"/>
        <v>-223</v>
      </c>
      <c r="BU7" s="1853">
        <f t="shared" si="0"/>
        <v>-392</v>
      </c>
      <c r="BV7" s="1853">
        <f t="shared" si="0"/>
        <v>-409</v>
      </c>
      <c r="BW7" s="1853">
        <f t="shared" si="0"/>
        <v>-312</v>
      </c>
      <c r="BX7" s="1851">
        <f t="shared" si="0"/>
        <v>-251</v>
      </c>
      <c r="BY7" s="1851">
        <f t="shared" si="0"/>
        <v>381</v>
      </c>
      <c r="BZ7" s="1851">
        <f t="shared" si="0"/>
        <v>405</v>
      </c>
      <c r="CA7" s="1851">
        <f t="shared" si="0"/>
        <v>277</v>
      </c>
      <c r="CB7" s="1851">
        <f t="shared" si="0"/>
        <v>622</v>
      </c>
      <c r="CC7" s="1851">
        <v>1556</v>
      </c>
      <c r="CD7" s="1851">
        <v>1967</v>
      </c>
      <c r="CE7" s="1851">
        <v>1565</v>
      </c>
      <c r="CF7" s="1851">
        <f>CF9+CF21+CF31+CF39</f>
        <v>963</v>
      </c>
      <c r="CG7" s="1851">
        <v>1603</v>
      </c>
      <c r="CH7" s="1851">
        <v>1459</v>
      </c>
      <c r="CI7" s="1851">
        <v>941</v>
      </c>
      <c r="CJ7" s="1851">
        <v>362</v>
      </c>
      <c r="CK7" s="1851">
        <v>646</v>
      </c>
      <c r="CL7" s="1851">
        <f>CL9+CL21+CL31+CL39</f>
        <v>-48</v>
      </c>
      <c r="CM7" s="1851">
        <v>-806</v>
      </c>
      <c r="CN7" s="1851">
        <v>-20</v>
      </c>
      <c r="CO7" s="1851">
        <v>628</v>
      </c>
      <c r="CP7" s="1851">
        <v>1250.7179999999994</v>
      </c>
      <c r="CQ7" s="1851">
        <v>2060.6770000000001</v>
      </c>
      <c r="CR7" s="1851">
        <v>4352.1850000000004</v>
      </c>
      <c r="CS7" s="1851">
        <v>3952.7579999999998</v>
      </c>
      <c r="CT7" s="1851">
        <v>6378.1180000000013</v>
      </c>
      <c r="CU7" s="1851">
        <v>7379.7510000000002</v>
      </c>
      <c r="CV7" s="1851">
        <v>5767.4539999999988</v>
      </c>
      <c r="CW7" s="1851">
        <v>3376.2000000000012</v>
      </c>
      <c r="CX7" s="1851">
        <v>1778.4260000000015</v>
      </c>
      <c r="CY7" s="1851">
        <v>1519.2969999999966</v>
      </c>
      <c r="CZ7" s="1851">
        <v>1655.4450000000004</v>
      </c>
      <c r="DA7" s="1851">
        <v>1729.7519999999995</v>
      </c>
      <c r="DB7" s="1757">
        <v>895.53400000000045</v>
      </c>
      <c r="DC7" s="1757">
        <v>1327.5900000000017</v>
      </c>
      <c r="DD7" s="1756">
        <v>718.23199999999508</v>
      </c>
      <c r="DE7" s="1756">
        <v>1142.876</v>
      </c>
      <c r="DF7" s="1756">
        <v>1174.5130000000004</v>
      </c>
      <c r="DG7" s="1756">
        <v>682.82600000000093</v>
      </c>
      <c r="DH7" s="1756">
        <v>474.83899999999994</v>
      </c>
      <c r="DI7" s="1756">
        <v>1663.9539999999997</v>
      </c>
      <c r="DJ7" s="1854" t="s">
        <v>72</v>
      </c>
    </row>
    <row r="8" spans="1:114" s="1855" customFormat="1" ht="12.75" customHeight="1">
      <c r="A8" s="1856"/>
      <c r="B8" s="1857"/>
      <c r="H8" s="1757"/>
      <c r="I8" s="1757"/>
      <c r="J8" s="1757"/>
      <c r="K8" s="1757"/>
      <c r="L8" s="1757"/>
      <c r="M8" s="1757"/>
      <c r="N8" s="1757"/>
      <c r="O8" s="1757"/>
      <c r="P8" s="1757"/>
      <c r="Q8" s="1757"/>
      <c r="R8" s="1757"/>
      <c r="S8" s="1757"/>
      <c r="T8" s="1757"/>
      <c r="U8" s="1757"/>
      <c r="V8" s="1757"/>
      <c r="W8" s="1757"/>
      <c r="X8" s="1757"/>
      <c r="Y8" s="1757"/>
      <c r="Z8" s="1757"/>
      <c r="AA8" s="1757"/>
      <c r="AB8" s="1757"/>
      <c r="AC8" s="1757"/>
      <c r="AD8" s="1757"/>
      <c r="AE8" s="1757"/>
      <c r="AF8" s="1757"/>
      <c r="AG8" s="1757"/>
      <c r="AH8" s="1757"/>
      <c r="AI8" s="1757"/>
      <c r="AJ8" s="1757"/>
      <c r="AK8" s="1757"/>
      <c r="AL8" s="1757"/>
      <c r="AM8" s="1757"/>
      <c r="AN8" s="1757"/>
      <c r="AO8" s="1757"/>
      <c r="AP8" s="1757"/>
      <c r="AQ8" s="1757"/>
      <c r="AR8" s="1757"/>
      <c r="AS8" s="1757"/>
      <c r="AT8" s="1757"/>
      <c r="AU8" s="1757"/>
      <c r="AV8" s="1757"/>
      <c r="AW8" s="1757"/>
      <c r="AX8" s="1757"/>
      <c r="AY8" s="1757"/>
      <c r="AZ8" s="1757"/>
      <c r="BA8" s="1757"/>
      <c r="BB8" s="1757"/>
      <c r="BC8" s="1858"/>
      <c r="BD8" s="278"/>
      <c r="BE8" s="1757"/>
      <c r="BF8" s="1757"/>
      <c r="BG8" s="1757"/>
      <c r="BH8" s="1858"/>
      <c r="BI8" s="278"/>
      <c r="BJ8" s="1757"/>
      <c r="BK8" s="1757"/>
      <c r="BL8" s="1757"/>
      <c r="BM8" s="1757"/>
      <c r="BN8" s="276"/>
      <c r="BO8" s="1757"/>
      <c r="BP8" s="1757"/>
      <c r="BQ8" s="1858"/>
      <c r="BR8" s="278"/>
      <c r="BS8" s="279"/>
      <c r="BT8" s="278"/>
      <c r="BU8" s="279"/>
      <c r="BV8" s="279"/>
      <c r="BW8" s="1757"/>
      <c r="BX8" s="1757"/>
      <c r="BY8" s="1757"/>
      <c r="BZ8" s="1757"/>
      <c r="CA8" s="1757"/>
      <c r="CB8" s="1757"/>
      <c r="CC8" s="1757"/>
      <c r="CD8" s="1757"/>
      <c r="CE8" s="1757"/>
      <c r="CF8" s="1757"/>
      <c r="CG8" s="1757"/>
      <c r="CH8" s="1757"/>
      <c r="CI8" s="1757"/>
      <c r="CJ8" s="1757"/>
      <c r="CK8" s="1757"/>
      <c r="CL8" s="1757"/>
      <c r="CM8" s="1757"/>
      <c r="CN8" s="1757"/>
      <c r="CO8" s="1757"/>
      <c r="CP8" s="1757"/>
      <c r="CQ8" s="1757"/>
      <c r="CR8" s="1757"/>
      <c r="CS8" s="1757"/>
      <c r="CT8" s="1757"/>
      <c r="CU8" s="1757"/>
      <c r="CV8" s="1757"/>
      <c r="CW8" s="1757"/>
      <c r="CX8" s="1757"/>
      <c r="CY8" s="1757"/>
      <c r="CZ8" s="1757"/>
      <c r="DA8" s="1757"/>
      <c r="DB8" s="1757"/>
      <c r="DC8" s="1757"/>
      <c r="DD8" s="1757"/>
      <c r="DE8" s="1757"/>
      <c r="DF8" s="1757"/>
      <c r="DG8" s="1757"/>
      <c r="DH8" s="1757"/>
      <c r="DI8" s="1757"/>
      <c r="DJ8" s="1859"/>
    </row>
    <row r="9" spans="1:114" s="1855" customFormat="1" ht="11.25" customHeight="1">
      <c r="A9" s="1856" t="s">
        <v>73</v>
      </c>
      <c r="B9" s="1757">
        <v>-373</v>
      </c>
      <c r="C9" s="1757">
        <v>-694</v>
      </c>
      <c r="D9" s="1757">
        <v>-567</v>
      </c>
      <c r="E9" s="1757">
        <v>-1046</v>
      </c>
      <c r="F9" s="1757">
        <v>-408</v>
      </c>
      <c r="G9" s="1757">
        <v>319</v>
      </c>
      <c r="H9" s="1757">
        <v>210</v>
      </c>
      <c r="I9" s="1757">
        <v>197.69200000000001</v>
      </c>
      <c r="J9" s="1757">
        <v>126.09000000000003</v>
      </c>
      <c r="K9" s="1757">
        <v>80</v>
      </c>
      <c r="L9" s="1757">
        <v>61.87299999999999</v>
      </c>
      <c r="M9" s="1757">
        <v>84</v>
      </c>
      <c r="N9" s="1757">
        <v>164</v>
      </c>
      <c r="O9" s="1757">
        <v>172</v>
      </c>
      <c r="P9" s="1757">
        <v>188.42399999999998</v>
      </c>
      <c r="Q9" s="1757">
        <v>3</v>
      </c>
      <c r="R9" s="1757">
        <v>-144</v>
      </c>
      <c r="S9" s="1757">
        <v>-145</v>
      </c>
      <c r="T9" s="1757">
        <v>19.710000000000036</v>
      </c>
      <c r="U9" s="1757">
        <v>105.50099999999986</v>
      </c>
      <c r="V9" s="1757">
        <v>-93.379000000000019</v>
      </c>
      <c r="W9" s="1757">
        <v>129</v>
      </c>
      <c r="X9" s="1757">
        <v>7</v>
      </c>
      <c r="Y9" s="1757">
        <v>687.76600000000008</v>
      </c>
      <c r="Z9" s="1757">
        <v>990</v>
      </c>
      <c r="AA9" s="1757">
        <v>1615</v>
      </c>
      <c r="AB9" s="1757">
        <v>1536.5630000000001</v>
      </c>
      <c r="AC9" s="1757">
        <v>1715.2069999999999</v>
      </c>
      <c r="AD9" s="1757">
        <v>2194.087</v>
      </c>
      <c r="AE9" s="1757">
        <v>2366.7759999999998</v>
      </c>
      <c r="AF9" s="1757">
        <v>2849.2850000000003</v>
      </c>
      <c r="AG9" s="1757">
        <v>3788.0810000000006</v>
      </c>
      <c r="AH9" s="1757">
        <v>3499</v>
      </c>
      <c r="AI9" s="1757">
        <v>5069</v>
      </c>
      <c r="AJ9" s="1757">
        <v>5819</v>
      </c>
      <c r="AK9" s="1757">
        <v>8202.973</v>
      </c>
      <c r="AL9" s="1757">
        <v>6725.7270000000008</v>
      </c>
      <c r="AM9" s="1757">
        <v>2265</v>
      </c>
      <c r="AN9" s="1757">
        <v>2109.634</v>
      </c>
      <c r="AO9" s="1757">
        <v>3808.2470000000003</v>
      </c>
      <c r="AP9" s="1757">
        <v>4256.0709999999999</v>
      </c>
      <c r="AQ9" s="1757">
        <v>4652.7609999999995</v>
      </c>
      <c r="AR9" s="1757">
        <v>5040.5879999999997</v>
      </c>
      <c r="AS9" s="1757">
        <v>5185</v>
      </c>
      <c r="AT9" s="1757">
        <v>5184.3040000000001</v>
      </c>
      <c r="AU9" s="1757">
        <v>4302</v>
      </c>
      <c r="AV9" s="1757">
        <v>6551.1350000000002</v>
      </c>
      <c r="AW9" s="1757">
        <v>7129.6110000000008</v>
      </c>
      <c r="AX9" s="1757">
        <v>5932</v>
      </c>
      <c r="AY9" s="1757">
        <v>4726</v>
      </c>
      <c r="AZ9" s="1757">
        <f>AZ11+AZ16</f>
        <v>6823</v>
      </c>
      <c r="BA9" s="1757">
        <f t="shared" ref="BA9:CB9" si="1">BA11+BA16</f>
        <v>5558</v>
      </c>
      <c r="BB9" s="1757">
        <f t="shared" si="1"/>
        <v>5095</v>
      </c>
      <c r="BC9" s="1757">
        <f t="shared" si="1"/>
        <v>4705</v>
      </c>
      <c r="BD9" s="276">
        <f>BD11+BD16</f>
        <v>22181</v>
      </c>
      <c r="BE9" s="1757">
        <v>5893</v>
      </c>
      <c r="BF9" s="1757">
        <v>4591</v>
      </c>
      <c r="BG9" s="1757">
        <v>4925</v>
      </c>
      <c r="BH9" s="1757">
        <v>5213</v>
      </c>
      <c r="BI9" s="276">
        <f>BI11+BI16</f>
        <v>20622</v>
      </c>
      <c r="BJ9" s="1757">
        <f t="shared" si="1"/>
        <v>5544</v>
      </c>
      <c r="BK9" s="1757">
        <f t="shared" si="1"/>
        <v>5584</v>
      </c>
      <c r="BL9" s="1757">
        <f>BL11+BL16</f>
        <v>5080</v>
      </c>
      <c r="BM9" s="1757">
        <f t="shared" si="1"/>
        <v>2720</v>
      </c>
      <c r="BN9" s="276">
        <f>BN11+BN16</f>
        <v>18928</v>
      </c>
      <c r="BO9" s="1757">
        <f t="shared" si="1"/>
        <v>1758</v>
      </c>
      <c r="BP9" s="1757">
        <f t="shared" si="1"/>
        <v>2000</v>
      </c>
      <c r="BQ9" s="1757">
        <f t="shared" si="1"/>
        <v>1544</v>
      </c>
      <c r="BR9" s="1757">
        <f>BR11+BR16</f>
        <v>5302</v>
      </c>
      <c r="BS9" s="1757">
        <f t="shared" si="1"/>
        <v>510</v>
      </c>
      <c r="BT9" s="276">
        <f t="shared" si="1"/>
        <v>5812</v>
      </c>
      <c r="BU9" s="1757">
        <f t="shared" si="1"/>
        <v>622</v>
      </c>
      <c r="BV9" s="1756">
        <f t="shared" si="1"/>
        <v>1312</v>
      </c>
      <c r="BW9" s="1756">
        <f t="shared" si="1"/>
        <v>981</v>
      </c>
      <c r="BX9" s="1757">
        <f t="shared" si="1"/>
        <v>1291</v>
      </c>
      <c r="BY9" s="1757">
        <f t="shared" si="1"/>
        <v>1890</v>
      </c>
      <c r="BZ9" s="1757">
        <f t="shared" si="1"/>
        <v>1589</v>
      </c>
      <c r="CA9" s="1757">
        <f t="shared" si="1"/>
        <v>923</v>
      </c>
      <c r="CB9" s="1757">
        <f t="shared" si="1"/>
        <v>1713</v>
      </c>
      <c r="CC9" s="1757">
        <v>2414</v>
      </c>
      <c r="CD9" s="1757">
        <v>2605</v>
      </c>
      <c r="CE9" s="1757">
        <v>2316</v>
      </c>
      <c r="CF9" s="1757">
        <f>CF11+CF16</f>
        <v>2506</v>
      </c>
      <c r="CG9" s="1757">
        <v>2486</v>
      </c>
      <c r="CH9" s="1757">
        <v>2402</v>
      </c>
      <c r="CI9" s="1757">
        <v>2009</v>
      </c>
      <c r="CJ9" s="1757">
        <v>1636</v>
      </c>
      <c r="CK9" s="1757">
        <v>1873</v>
      </c>
      <c r="CL9" s="1757">
        <f>CL11+CL16</f>
        <v>414</v>
      </c>
      <c r="CM9" s="1757">
        <v>56</v>
      </c>
      <c r="CN9" s="1757">
        <v>168</v>
      </c>
      <c r="CO9" s="1757">
        <v>1549</v>
      </c>
      <c r="CP9" s="1757">
        <v>1970.0589999999993</v>
      </c>
      <c r="CQ9" s="1757">
        <v>2887.3269999999998</v>
      </c>
      <c r="CR9" s="1757">
        <v>4867.2270000000008</v>
      </c>
      <c r="CS9" s="1757">
        <v>5447.0630000000001</v>
      </c>
      <c r="CT9" s="1757">
        <v>7575.3100000000022</v>
      </c>
      <c r="CU9" s="1757">
        <v>8669.9889999999996</v>
      </c>
      <c r="CV9" s="1757">
        <v>7005.1179999999995</v>
      </c>
      <c r="CW9" s="1757">
        <v>4720.6570000000011</v>
      </c>
      <c r="CX9" s="1757">
        <v>2768.2780000000016</v>
      </c>
      <c r="CY9" s="1757">
        <v>2487.5269999999964</v>
      </c>
      <c r="CZ9" s="1757">
        <v>2829.1010000000006</v>
      </c>
      <c r="DA9" s="1757">
        <v>2669.4389999999994</v>
      </c>
      <c r="DB9" s="1757">
        <v>1953.9130000000005</v>
      </c>
      <c r="DC9" s="1757">
        <v>2380.6070000000018</v>
      </c>
      <c r="DD9" s="1756">
        <v>1820.9849999999951</v>
      </c>
      <c r="DE9" s="1756">
        <v>2445.46</v>
      </c>
      <c r="DF9" s="1756">
        <v>1715.9520000000002</v>
      </c>
      <c r="DG9" s="1756">
        <v>1437.5500000000011</v>
      </c>
      <c r="DH9" s="1756">
        <v>779.59599999999955</v>
      </c>
      <c r="DI9" s="1756">
        <v>2038.9019999999996</v>
      </c>
      <c r="DJ9" s="1859" t="s">
        <v>74</v>
      </c>
    </row>
    <row r="10" spans="1:114" s="1855" customFormat="1" ht="12.75" customHeight="1">
      <c r="A10" s="1856"/>
      <c r="B10" s="1857"/>
      <c r="H10" s="1757"/>
      <c r="I10" s="1757"/>
      <c r="J10" s="1757"/>
      <c r="K10" s="1757"/>
      <c r="L10" s="1757"/>
      <c r="M10" s="1757"/>
      <c r="N10" s="1757"/>
      <c r="O10" s="1757"/>
      <c r="P10" s="1757"/>
      <c r="Q10" s="1757"/>
      <c r="R10" s="1757"/>
      <c r="S10" s="1757"/>
      <c r="T10" s="1757"/>
      <c r="U10" s="1757"/>
      <c r="V10" s="1757"/>
      <c r="W10" s="1757"/>
      <c r="X10" s="1757"/>
      <c r="Y10" s="1757"/>
      <c r="Z10" s="1757"/>
      <c r="AA10" s="1757"/>
      <c r="AB10" s="1757"/>
      <c r="AC10" s="1757"/>
      <c r="AD10" s="1757"/>
      <c r="AE10" s="1757"/>
      <c r="AF10" s="1757"/>
      <c r="AG10" s="1757"/>
      <c r="AH10" s="1757"/>
      <c r="AI10" s="1757"/>
      <c r="AJ10" s="1757"/>
      <c r="AK10" s="1757"/>
      <c r="AL10" s="1757"/>
      <c r="AM10" s="1757"/>
      <c r="AN10" s="1757"/>
      <c r="AO10" s="1757"/>
      <c r="AP10" s="1757"/>
      <c r="AQ10" s="1757"/>
      <c r="AR10" s="1757"/>
      <c r="AS10" s="1757"/>
      <c r="AT10" s="1757"/>
      <c r="AU10" s="1757"/>
      <c r="AV10" s="1757"/>
      <c r="AW10" s="1757"/>
      <c r="AX10" s="1757"/>
      <c r="AY10" s="1757"/>
      <c r="AZ10" s="1757"/>
      <c r="BA10" s="1757"/>
      <c r="BB10" s="1757"/>
      <c r="BC10" s="1858"/>
      <c r="BD10" s="278"/>
      <c r="BE10" s="1757"/>
      <c r="BF10" s="1757"/>
      <c r="BG10" s="1757"/>
      <c r="BH10" s="1858"/>
      <c r="BI10" s="278"/>
      <c r="BJ10" s="1757"/>
      <c r="BK10" s="1757"/>
      <c r="BL10" s="1757"/>
      <c r="BM10" s="1757"/>
      <c r="BN10" s="276"/>
      <c r="BO10" s="1757"/>
      <c r="BP10" s="1757"/>
      <c r="BQ10" s="1858"/>
      <c r="BR10" s="278"/>
      <c r="BS10" s="279"/>
      <c r="BT10" s="278"/>
      <c r="BU10" s="279"/>
      <c r="BV10" s="279"/>
      <c r="BW10" s="1757"/>
      <c r="BX10" s="1757"/>
      <c r="BY10" s="1757"/>
      <c r="BZ10" s="1757"/>
      <c r="CA10" s="1757"/>
      <c r="CB10" s="1757"/>
      <c r="CC10" s="1757"/>
      <c r="CD10" s="1757"/>
      <c r="CE10" s="1757"/>
      <c r="CF10" s="1757"/>
      <c r="CG10" s="1757"/>
      <c r="CH10" s="1757"/>
      <c r="CI10" s="1757"/>
      <c r="CJ10" s="1757"/>
      <c r="CK10" s="1757"/>
      <c r="CL10" s="1757"/>
      <c r="CM10" s="1757"/>
      <c r="CN10" s="1757"/>
      <c r="CO10" s="1757"/>
      <c r="CP10" s="1757"/>
      <c r="CQ10" s="1757"/>
      <c r="CR10" s="1757"/>
      <c r="CS10" s="1757"/>
      <c r="CT10" s="1757"/>
      <c r="CU10" s="1757"/>
      <c r="CV10" s="1757"/>
      <c r="CW10" s="1757"/>
      <c r="CX10" s="1757"/>
      <c r="CY10" s="1757"/>
      <c r="CZ10" s="1757"/>
      <c r="DA10" s="1757"/>
      <c r="DB10" s="1757"/>
      <c r="DC10" s="1757"/>
      <c r="DD10" s="1757"/>
      <c r="DE10" s="1757"/>
      <c r="DF10" s="1757"/>
      <c r="DG10" s="1757"/>
      <c r="DH10" s="1757"/>
      <c r="DI10" s="1757"/>
      <c r="DJ10" s="1859"/>
    </row>
    <row r="11" spans="1:114" s="1855" customFormat="1">
      <c r="A11" s="1860" t="s">
        <v>75</v>
      </c>
      <c r="B11" s="1757">
        <v>612</v>
      </c>
      <c r="C11" s="1757">
        <v>644</v>
      </c>
      <c r="D11" s="1757">
        <v>808</v>
      </c>
      <c r="E11" s="1757">
        <v>678</v>
      </c>
      <c r="F11" s="1757">
        <v>1025</v>
      </c>
      <c r="G11" s="1757">
        <v>1858</v>
      </c>
      <c r="H11" s="1757">
        <v>527</v>
      </c>
      <c r="I11" s="1757">
        <v>531</v>
      </c>
      <c r="J11" s="1757">
        <v>540.40300000000002</v>
      </c>
      <c r="K11" s="1757">
        <v>481</v>
      </c>
      <c r="L11" s="1757">
        <v>450.40899999999999</v>
      </c>
      <c r="M11" s="1757">
        <v>489</v>
      </c>
      <c r="N11" s="1757">
        <v>631</v>
      </c>
      <c r="O11" s="1757">
        <v>735</v>
      </c>
      <c r="P11" s="1757">
        <v>675</v>
      </c>
      <c r="Q11" s="1757">
        <v>681</v>
      </c>
      <c r="R11" s="1757">
        <v>537</v>
      </c>
      <c r="S11" s="1757">
        <v>732</v>
      </c>
      <c r="T11" s="1757">
        <v>731.71</v>
      </c>
      <c r="U11" s="1757">
        <v>946.31399999999996</v>
      </c>
      <c r="V11" s="1757">
        <v>910.45299999999997</v>
      </c>
      <c r="W11" s="1757">
        <v>1154</v>
      </c>
      <c r="X11" s="1757">
        <v>1124</v>
      </c>
      <c r="Y11" s="1757">
        <v>1696.9760000000001</v>
      </c>
      <c r="Z11" s="1757">
        <v>2205</v>
      </c>
      <c r="AA11" s="1757">
        <v>2623</v>
      </c>
      <c r="AB11" s="1757">
        <v>2462.7060000000001</v>
      </c>
      <c r="AC11" s="1757">
        <v>2946.2069999999999</v>
      </c>
      <c r="AD11" s="1757">
        <v>3639.944</v>
      </c>
      <c r="AE11" s="1757">
        <v>3954.7759999999998</v>
      </c>
      <c r="AF11" s="1757">
        <v>4033.2850000000003</v>
      </c>
      <c r="AG11" s="1757">
        <v>5204.5610000000006</v>
      </c>
      <c r="AH11" s="1757">
        <v>5053</v>
      </c>
      <c r="AI11" s="1757">
        <v>6951</v>
      </c>
      <c r="AJ11" s="1757">
        <v>7233</v>
      </c>
      <c r="AK11" s="1757">
        <v>9992.2469999999994</v>
      </c>
      <c r="AL11" s="1757">
        <v>9001.3450000000012</v>
      </c>
      <c r="AM11" s="1757">
        <v>4336</v>
      </c>
      <c r="AN11" s="1757">
        <v>3568.634</v>
      </c>
      <c r="AO11" s="1757">
        <v>5249.9110000000001</v>
      </c>
      <c r="AP11" s="1757">
        <v>5937</v>
      </c>
      <c r="AQ11" s="1757">
        <v>6300.7609999999995</v>
      </c>
      <c r="AR11" s="1757">
        <v>6255.4250000000002</v>
      </c>
      <c r="AS11" s="1757">
        <v>6910</v>
      </c>
      <c r="AT11" s="1757">
        <v>6842.3040000000001</v>
      </c>
      <c r="AU11" s="1757">
        <v>6367</v>
      </c>
      <c r="AV11" s="1757">
        <v>8514.1350000000002</v>
      </c>
      <c r="AW11" s="1757">
        <v>9681.4380000000001</v>
      </c>
      <c r="AX11" s="1757">
        <v>8555</v>
      </c>
      <c r="AY11" s="1757">
        <v>7643</v>
      </c>
      <c r="AZ11" s="1757">
        <f>AZ13+AZ14</f>
        <v>8963</v>
      </c>
      <c r="BA11" s="1757">
        <f t="shared" ref="BA11:BX11" si="2">BA13+BA14</f>
        <v>8038</v>
      </c>
      <c r="BB11" s="1757">
        <f t="shared" si="2"/>
        <v>7561</v>
      </c>
      <c r="BC11" s="1757">
        <f t="shared" si="2"/>
        <v>7812</v>
      </c>
      <c r="BD11" s="276">
        <f>BD13+BD14</f>
        <v>32374</v>
      </c>
      <c r="BE11" s="1757">
        <v>8294</v>
      </c>
      <c r="BF11" s="1757">
        <v>7566</v>
      </c>
      <c r="BG11" s="1757">
        <v>7951</v>
      </c>
      <c r="BH11" s="1757">
        <v>7966</v>
      </c>
      <c r="BI11" s="276">
        <f>BI13+BI14</f>
        <v>31777</v>
      </c>
      <c r="BJ11" s="1757">
        <f t="shared" si="2"/>
        <v>7504</v>
      </c>
      <c r="BK11" s="1757">
        <f t="shared" si="2"/>
        <v>8090</v>
      </c>
      <c r="BL11" s="1757">
        <f t="shared" si="2"/>
        <v>7338</v>
      </c>
      <c r="BM11" s="1757">
        <f t="shared" si="2"/>
        <v>5328</v>
      </c>
      <c r="BN11" s="276">
        <f>BN13+BN14</f>
        <v>28260</v>
      </c>
      <c r="BO11" s="1757">
        <f t="shared" si="2"/>
        <v>4250</v>
      </c>
      <c r="BP11" s="1757">
        <f t="shared" si="2"/>
        <v>4427</v>
      </c>
      <c r="BQ11" s="1757">
        <f t="shared" si="2"/>
        <v>3646</v>
      </c>
      <c r="BR11" s="276">
        <f t="shared" si="2"/>
        <v>12323</v>
      </c>
      <c r="BS11" s="1756">
        <f t="shared" si="2"/>
        <v>3263</v>
      </c>
      <c r="BT11" s="278">
        <f>BT13+BT14</f>
        <v>15586</v>
      </c>
      <c r="BU11" s="1756">
        <f t="shared" si="2"/>
        <v>2552</v>
      </c>
      <c r="BV11" s="1756">
        <f t="shared" si="2"/>
        <v>3709</v>
      </c>
      <c r="BW11" s="1756">
        <f t="shared" si="2"/>
        <v>3274</v>
      </c>
      <c r="BX11" s="1757">
        <f t="shared" si="2"/>
        <v>3675</v>
      </c>
      <c r="BY11" s="1757">
        <f>BY13+BY14</f>
        <v>3556</v>
      </c>
      <c r="BZ11" s="1757">
        <f>BZ13+BZ14</f>
        <v>3555</v>
      </c>
      <c r="CA11" s="1757">
        <f>CA13+CA14</f>
        <v>3681</v>
      </c>
      <c r="CB11" s="1757">
        <f>CB13+CB14</f>
        <v>4360</v>
      </c>
      <c r="CC11" s="1757">
        <v>4580</v>
      </c>
      <c r="CD11" s="1757">
        <v>5338</v>
      </c>
      <c r="CE11" s="1757">
        <v>5311</v>
      </c>
      <c r="CF11" s="1757">
        <f>CF13+CF14</f>
        <v>5565</v>
      </c>
      <c r="CG11" s="1757">
        <v>4747</v>
      </c>
      <c r="CH11" s="1757">
        <v>5187</v>
      </c>
      <c r="CI11" s="1757">
        <v>5086</v>
      </c>
      <c r="CJ11" s="1757">
        <v>4848</v>
      </c>
      <c r="CK11" s="1757">
        <v>4463</v>
      </c>
      <c r="CL11" s="1757">
        <f>CL13+CL14</f>
        <v>2614</v>
      </c>
      <c r="CM11" s="1757">
        <v>2686</v>
      </c>
      <c r="CN11" s="1757">
        <v>2825</v>
      </c>
      <c r="CO11" s="1757">
        <v>3841</v>
      </c>
      <c r="CP11" s="1757">
        <v>4512.1579999999994</v>
      </c>
      <c r="CQ11" s="1757">
        <v>5540.0969999999998</v>
      </c>
      <c r="CR11" s="1757">
        <v>7799.0259999999998</v>
      </c>
      <c r="CS11" s="1757">
        <v>8124.2920000000004</v>
      </c>
      <c r="CT11" s="1757">
        <v>10777.524000000001</v>
      </c>
      <c r="CU11" s="1757">
        <v>12325.09</v>
      </c>
      <c r="CV11" s="1757">
        <v>10979.79</v>
      </c>
      <c r="CW11" s="1757">
        <v>8483.7800000000007</v>
      </c>
      <c r="CX11" s="1757">
        <v>6673.5320000000011</v>
      </c>
      <c r="CY11" s="1757">
        <v>6669.1059999999979</v>
      </c>
      <c r="CZ11" s="1757">
        <v>7375.6959999999999</v>
      </c>
      <c r="DA11" s="1757">
        <v>6184.4939999999997</v>
      </c>
      <c r="DB11" s="1757">
        <v>6168.009</v>
      </c>
      <c r="DC11" s="1757">
        <v>6912.5600000000013</v>
      </c>
      <c r="DD11" s="1756">
        <v>6726.9649999999965</v>
      </c>
      <c r="DE11" s="1756">
        <v>6212.87</v>
      </c>
      <c r="DF11" s="1756">
        <v>6013.1260000000002</v>
      </c>
      <c r="DG11" s="1756">
        <v>5969.0290000000005</v>
      </c>
      <c r="DH11" s="1756">
        <v>5879.5730000000003</v>
      </c>
      <c r="DI11" s="1756">
        <v>5949.82</v>
      </c>
      <c r="DJ11" s="1859" t="s">
        <v>76</v>
      </c>
    </row>
    <row r="12" spans="1:114" s="1855" customFormat="1" ht="12.75" customHeight="1">
      <c r="A12" s="1860"/>
      <c r="B12" s="1857"/>
      <c r="H12" s="1757"/>
      <c r="I12" s="1757"/>
      <c r="J12" s="1757"/>
      <c r="K12" s="1757"/>
      <c r="L12" s="1757"/>
      <c r="M12" s="1757"/>
      <c r="N12" s="1757"/>
      <c r="O12" s="1757"/>
      <c r="P12" s="1757"/>
      <c r="Q12" s="1757"/>
      <c r="R12" s="1757"/>
      <c r="S12" s="1757"/>
      <c r="T12" s="1757"/>
      <c r="U12" s="1757"/>
      <c r="V12" s="1757"/>
      <c r="W12" s="1757"/>
      <c r="X12" s="1757"/>
      <c r="Y12" s="1757"/>
      <c r="Z12" s="1757"/>
      <c r="AA12" s="1757"/>
      <c r="AB12" s="1757"/>
      <c r="AC12" s="1757"/>
      <c r="AD12" s="1757"/>
      <c r="AE12" s="1757"/>
      <c r="AF12" s="1757"/>
      <c r="AG12" s="1757"/>
      <c r="AH12" s="1757"/>
      <c r="AI12" s="1757"/>
      <c r="AJ12" s="1757"/>
      <c r="AK12" s="1757"/>
      <c r="AL12" s="1757"/>
      <c r="AM12" s="1757"/>
      <c r="AN12" s="1757"/>
      <c r="AO12" s="1757"/>
      <c r="AP12" s="1757"/>
      <c r="AQ12" s="1757"/>
      <c r="AR12" s="1757"/>
      <c r="AS12" s="1757"/>
      <c r="AT12" s="1757"/>
      <c r="AU12" s="1757"/>
      <c r="AV12" s="1757"/>
      <c r="AW12" s="1757"/>
      <c r="AX12" s="1757"/>
      <c r="AY12" s="1757"/>
      <c r="AZ12" s="1757"/>
      <c r="BA12" s="1757"/>
      <c r="BB12" s="1757"/>
      <c r="BC12" s="1858"/>
      <c r="BD12" s="278"/>
      <c r="BE12" s="1757"/>
      <c r="BF12" s="1757"/>
      <c r="BG12" s="1757"/>
      <c r="BH12" s="1858"/>
      <c r="BI12" s="278"/>
      <c r="BJ12" s="1757"/>
      <c r="BK12" s="1757"/>
      <c r="BL12" s="1757"/>
      <c r="BM12" s="1757"/>
      <c r="BN12" s="276"/>
      <c r="BO12" s="1757"/>
      <c r="BP12" s="1757"/>
      <c r="BQ12" s="1858"/>
      <c r="BR12" s="278"/>
      <c r="BS12" s="279"/>
      <c r="BT12" s="278"/>
      <c r="BU12" s="279"/>
      <c r="BV12" s="279"/>
      <c r="BW12" s="1757"/>
      <c r="BX12" s="1757"/>
      <c r="BY12" s="1757"/>
      <c r="BZ12" s="1757"/>
      <c r="CA12" s="1757"/>
      <c r="CB12" s="1757"/>
      <c r="CC12" s="1757"/>
      <c r="CD12" s="1757"/>
      <c r="CE12" s="1757"/>
      <c r="CF12" s="1757"/>
      <c r="CG12" s="1757"/>
      <c r="CH12" s="1757"/>
      <c r="CI12" s="1757"/>
      <c r="CJ12" s="1757"/>
      <c r="CK12" s="1757"/>
      <c r="CL12" s="1757"/>
      <c r="CM12" s="1757"/>
      <c r="CN12" s="1757"/>
      <c r="CO12" s="1757"/>
      <c r="CP12" s="1757"/>
      <c r="CQ12" s="1757"/>
      <c r="CR12" s="1757"/>
      <c r="CS12" s="1757"/>
      <c r="CT12" s="1757"/>
      <c r="CU12" s="1757"/>
      <c r="CV12" s="1757"/>
      <c r="CW12" s="1757"/>
      <c r="CX12" s="1757"/>
      <c r="CY12" s="1757"/>
      <c r="CZ12" s="1757"/>
      <c r="DA12" s="1757"/>
      <c r="DB12" s="1757"/>
      <c r="DC12" s="1757"/>
      <c r="DD12" s="1757"/>
      <c r="DE12" s="1757"/>
      <c r="DF12" s="1757"/>
      <c r="DG12" s="1757"/>
      <c r="DH12" s="1757"/>
      <c r="DI12" s="1757"/>
      <c r="DJ12" s="1859"/>
    </row>
    <row r="13" spans="1:114" s="1855" customFormat="1">
      <c r="A13" s="1861" t="s">
        <v>77</v>
      </c>
      <c r="B13" s="1857">
        <v>305</v>
      </c>
      <c r="C13" s="1855">
        <v>416</v>
      </c>
      <c r="D13" s="1855">
        <v>453</v>
      </c>
      <c r="E13" s="1855">
        <v>436</v>
      </c>
      <c r="F13" s="1855">
        <v>801</v>
      </c>
      <c r="G13" s="1855">
        <v>1579</v>
      </c>
      <c r="H13" s="1757">
        <v>304</v>
      </c>
      <c r="I13" s="1757">
        <v>306</v>
      </c>
      <c r="J13" s="1757">
        <v>237.886</v>
      </c>
      <c r="K13" s="1757">
        <v>262</v>
      </c>
      <c r="L13" s="1757">
        <v>219</v>
      </c>
      <c r="M13" s="1757">
        <v>230</v>
      </c>
      <c r="N13" s="1757">
        <v>342</v>
      </c>
      <c r="O13" s="1757">
        <v>385</v>
      </c>
      <c r="P13" s="1757">
        <v>326</v>
      </c>
      <c r="Q13" s="1757">
        <v>400</v>
      </c>
      <c r="R13" s="1757">
        <v>265</v>
      </c>
      <c r="S13" s="1757">
        <v>346</v>
      </c>
      <c r="T13" s="1757">
        <v>375</v>
      </c>
      <c r="U13" s="1757">
        <v>388.78300000000002</v>
      </c>
      <c r="V13" s="1757">
        <v>455.03100000000001</v>
      </c>
      <c r="W13" s="1757">
        <v>560</v>
      </c>
      <c r="X13" s="1757">
        <v>1000</v>
      </c>
      <c r="Y13" s="1757">
        <v>1496.269</v>
      </c>
      <c r="Z13" s="1757">
        <v>2032</v>
      </c>
      <c r="AA13" s="1757">
        <v>2355</v>
      </c>
      <c r="AB13" s="1757">
        <v>2278.2750000000001</v>
      </c>
      <c r="AC13" s="1757">
        <v>2651.5749999999998</v>
      </c>
      <c r="AD13" s="1757">
        <v>3412.06</v>
      </c>
      <c r="AE13" s="1757">
        <v>3733.43</v>
      </c>
      <c r="AF13" s="1757">
        <v>3790.8090000000002</v>
      </c>
      <c r="AG13" s="1757">
        <v>4887.2380000000003</v>
      </c>
      <c r="AH13" s="1757">
        <v>4832</v>
      </c>
      <c r="AI13" s="1757">
        <v>6680</v>
      </c>
      <c r="AJ13" s="1757">
        <v>6978</v>
      </c>
      <c r="AK13" s="1757">
        <v>9581</v>
      </c>
      <c r="AL13" s="1757">
        <v>8573.5650000000005</v>
      </c>
      <c r="AM13" s="1757">
        <v>4011</v>
      </c>
      <c r="AN13" s="1757">
        <v>3416.7730000000001</v>
      </c>
      <c r="AO13" s="1757">
        <v>5021.62</v>
      </c>
      <c r="AP13" s="1757">
        <v>5580</v>
      </c>
      <c r="AQ13" s="1757">
        <v>5951.4589999999998</v>
      </c>
      <c r="AR13" s="1757">
        <v>5913.6390000000001</v>
      </c>
      <c r="AS13" s="1757">
        <v>6576</v>
      </c>
      <c r="AT13" s="1757">
        <v>6616.3040000000001</v>
      </c>
      <c r="AU13" s="1757">
        <v>6002</v>
      </c>
      <c r="AV13" s="1757">
        <v>8199.5540000000001</v>
      </c>
      <c r="AW13" s="1757">
        <v>9266.0319999999992</v>
      </c>
      <c r="AX13" s="1757">
        <v>8248</v>
      </c>
      <c r="AY13" s="1757">
        <v>7158</v>
      </c>
      <c r="AZ13" s="1757">
        <v>8619</v>
      </c>
      <c r="BA13" s="1757">
        <v>7586</v>
      </c>
      <c r="BB13" s="1757">
        <v>7238</v>
      </c>
      <c r="BC13" s="1858">
        <v>7258</v>
      </c>
      <c r="BD13" s="278">
        <f>SUM(AZ13:BC13)</f>
        <v>30701</v>
      </c>
      <c r="BE13" s="1757">
        <v>7842</v>
      </c>
      <c r="BF13" s="1757">
        <v>7115</v>
      </c>
      <c r="BG13" s="1757">
        <v>7588</v>
      </c>
      <c r="BH13" s="1858">
        <v>7458</v>
      </c>
      <c r="BI13" s="278">
        <f t="shared" ref="BI13:BI59" si="3">SUM(BE13:BH13)</f>
        <v>30003</v>
      </c>
      <c r="BJ13" s="1757">
        <v>7139</v>
      </c>
      <c r="BK13" s="1757">
        <v>7661</v>
      </c>
      <c r="BL13" s="1757">
        <v>6952</v>
      </c>
      <c r="BM13" s="1757">
        <v>4875</v>
      </c>
      <c r="BN13" s="276">
        <f t="shared" ref="BN13:BN59" si="4">SUM(BJ13:BM13)</f>
        <v>26627</v>
      </c>
      <c r="BO13" s="1757">
        <v>3797</v>
      </c>
      <c r="BP13" s="1757">
        <v>4053</v>
      </c>
      <c r="BQ13" s="1858">
        <v>3357</v>
      </c>
      <c r="BR13" s="278">
        <f t="shared" ref="BR13:BR60" si="5">SUM(BO13:BQ13)</f>
        <v>11207</v>
      </c>
      <c r="BS13" s="1756">
        <v>2881</v>
      </c>
      <c r="BT13" s="278">
        <f>BR13+BS13</f>
        <v>14088</v>
      </c>
      <c r="BU13" s="1756">
        <v>2323</v>
      </c>
      <c r="BV13" s="1756">
        <v>3393</v>
      </c>
      <c r="BW13" s="1757">
        <v>3035</v>
      </c>
      <c r="BX13" s="1757">
        <v>3299</v>
      </c>
      <c r="BY13" s="1757">
        <v>3302</v>
      </c>
      <c r="BZ13" s="1757">
        <v>3096</v>
      </c>
      <c r="CA13" s="1757">
        <v>3364</v>
      </c>
      <c r="CB13" s="1757">
        <v>3917</v>
      </c>
      <c r="CC13" s="1757">
        <v>4242</v>
      </c>
      <c r="CD13" s="1757">
        <v>4862</v>
      </c>
      <c r="CE13" s="1757">
        <v>4974</v>
      </c>
      <c r="CF13" s="1757">
        <v>5098</v>
      </c>
      <c r="CG13" s="1757">
        <v>4351</v>
      </c>
      <c r="CH13" s="1757">
        <v>4638</v>
      </c>
      <c r="CI13" s="1757">
        <v>4690</v>
      </c>
      <c r="CJ13" s="1757">
        <v>4338</v>
      </c>
      <c r="CK13" s="1757">
        <v>4052</v>
      </c>
      <c r="CL13" s="1757">
        <f>6189-CK13</f>
        <v>2137</v>
      </c>
      <c r="CM13" s="1757">
        <v>2358</v>
      </c>
      <c r="CN13" s="1757">
        <v>2270</v>
      </c>
      <c r="CO13" s="1757">
        <v>3384</v>
      </c>
      <c r="CP13" s="1757">
        <v>3905.7799999999997</v>
      </c>
      <c r="CQ13" s="1757">
        <v>4924.4759999999997</v>
      </c>
      <c r="CR13" s="1757">
        <v>6930.6669999999995</v>
      </c>
      <c r="CS13" s="1757">
        <v>7416.64</v>
      </c>
      <c r="CT13" s="1757">
        <v>10074.204000000002</v>
      </c>
      <c r="CU13" s="1757">
        <v>11696.456</v>
      </c>
      <c r="CV13" s="1757">
        <v>10079.565000000001</v>
      </c>
      <c r="CW13" s="1757">
        <v>7584.2550000000001</v>
      </c>
      <c r="CX13" s="1757">
        <v>5833.6240000000007</v>
      </c>
      <c r="CY13" s="1757">
        <v>6017.0959999999977</v>
      </c>
      <c r="CZ13" s="1757">
        <v>6500.0010000000002</v>
      </c>
      <c r="DA13" s="1757">
        <v>5520.8779999999997</v>
      </c>
      <c r="DB13" s="1757">
        <v>5262.9659999999994</v>
      </c>
      <c r="DC13" s="1757">
        <v>6096.1630000000014</v>
      </c>
      <c r="DD13" s="1757">
        <v>5870.9859999999962</v>
      </c>
      <c r="DE13" s="1757">
        <v>5470.7389999999996</v>
      </c>
      <c r="DF13" s="1757">
        <v>5066.6080000000002</v>
      </c>
      <c r="DG13" s="1757">
        <v>5127.5450000000001</v>
      </c>
      <c r="DH13" s="1757">
        <v>4940.21</v>
      </c>
      <c r="DI13" s="1757">
        <v>5137.125</v>
      </c>
      <c r="DJ13" s="1859" t="s">
        <v>78</v>
      </c>
    </row>
    <row r="14" spans="1:114" s="1855" customFormat="1" ht="12.75" customHeight="1">
      <c r="A14" s="1861" t="s">
        <v>79</v>
      </c>
      <c r="B14" s="1857">
        <v>307</v>
      </c>
      <c r="C14" s="1855">
        <v>228</v>
      </c>
      <c r="D14" s="1855">
        <v>355</v>
      </c>
      <c r="E14" s="1855">
        <v>242</v>
      </c>
      <c r="F14" s="1855">
        <v>224</v>
      </c>
      <c r="G14" s="1855">
        <v>279</v>
      </c>
      <c r="H14" s="1757">
        <v>223</v>
      </c>
      <c r="I14" s="1757">
        <v>225</v>
      </c>
      <c r="J14" s="1757">
        <v>302.517</v>
      </c>
      <c r="K14" s="1757">
        <v>219</v>
      </c>
      <c r="L14" s="1757">
        <v>231.40899999999999</v>
      </c>
      <c r="M14" s="1757">
        <v>259</v>
      </c>
      <c r="N14" s="1757">
        <v>289</v>
      </c>
      <c r="O14" s="1757">
        <v>350</v>
      </c>
      <c r="P14" s="1757">
        <v>349</v>
      </c>
      <c r="Q14" s="1757">
        <v>281</v>
      </c>
      <c r="R14" s="1757">
        <v>272</v>
      </c>
      <c r="S14" s="1757">
        <v>386</v>
      </c>
      <c r="T14" s="1757">
        <v>356.71</v>
      </c>
      <c r="U14" s="1757">
        <v>557.53099999999995</v>
      </c>
      <c r="V14" s="1757">
        <v>455.42200000000003</v>
      </c>
      <c r="W14" s="1757">
        <v>594</v>
      </c>
      <c r="X14" s="1757">
        <v>124</v>
      </c>
      <c r="Y14" s="1757">
        <v>200.70699999999999</v>
      </c>
      <c r="Z14" s="1757">
        <v>173</v>
      </c>
      <c r="AA14" s="1757">
        <v>268</v>
      </c>
      <c r="AB14" s="1757">
        <v>184.43100000000001</v>
      </c>
      <c r="AC14" s="1757">
        <v>294.63200000000001</v>
      </c>
      <c r="AD14" s="1757">
        <v>227.88399999999999</v>
      </c>
      <c r="AE14" s="1757">
        <v>221.346</v>
      </c>
      <c r="AF14" s="1757">
        <v>242.476</v>
      </c>
      <c r="AG14" s="1757">
        <v>317.32299999999998</v>
      </c>
      <c r="AH14" s="1757">
        <v>221</v>
      </c>
      <c r="AI14" s="1757">
        <v>271</v>
      </c>
      <c r="AJ14" s="1757">
        <v>255</v>
      </c>
      <c r="AK14" s="1757">
        <v>411.24700000000001</v>
      </c>
      <c r="AL14" s="1757">
        <v>427.78</v>
      </c>
      <c r="AM14" s="1757">
        <v>325</v>
      </c>
      <c r="AN14" s="1757">
        <v>151.86099999999999</v>
      </c>
      <c r="AO14" s="1757">
        <v>228.291</v>
      </c>
      <c r="AP14" s="1757">
        <v>357</v>
      </c>
      <c r="AQ14" s="1757">
        <v>349.30200000000002</v>
      </c>
      <c r="AR14" s="1757">
        <v>341.786</v>
      </c>
      <c r="AS14" s="1757">
        <v>334</v>
      </c>
      <c r="AT14" s="1757">
        <v>226</v>
      </c>
      <c r="AU14" s="1757">
        <v>365</v>
      </c>
      <c r="AV14" s="1757">
        <v>314.58100000000002</v>
      </c>
      <c r="AW14" s="1757">
        <v>415.40600000000001</v>
      </c>
      <c r="AX14" s="1757">
        <v>307</v>
      </c>
      <c r="AY14" s="1757">
        <v>485</v>
      </c>
      <c r="AZ14" s="1757">
        <v>344</v>
      </c>
      <c r="BA14" s="1757">
        <v>452</v>
      </c>
      <c r="BB14" s="1757">
        <v>323</v>
      </c>
      <c r="BC14" s="1858">
        <v>554</v>
      </c>
      <c r="BD14" s="278">
        <f>SUM(AZ14:BC14)</f>
        <v>1673</v>
      </c>
      <c r="BE14" s="1757">
        <v>452</v>
      </c>
      <c r="BF14" s="1757">
        <v>451</v>
      </c>
      <c r="BG14" s="1757">
        <v>363</v>
      </c>
      <c r="BH14" s="1858">
        <v>508</v>
      </c>
      <c r="BI14" s="278">
        <f t="shared" si="3"/>
        <v>1774</v>
      </c>
      <c r="BJ14" s="1757">
        <v>365</v>
      </c>
      <c r="BK14" s="1757">
        <v>429</v>
      </c>
      <c r="BL14" s="1757">
        <v>386</v>
      </c>
      <c r="BM14" s="1757">
        <v>453</v>
      </c>
      <c r="BN14" s="276">
        <f t="shared" si="4"/>
        <v>1633</v>
      </c>
      <c r="BO14" s="1757">
        <v>453</v>
      </c>
      <c r="BP14" s="1757">
        <v>374</v>
      </c>
      <c r="BQ14" s="1858">
        <v>289</v>
      </c>
      <c r="BR14" s="278">
        <f t="shared" si="5"/>
        <v>1116</v>
      </c>
      <c r="BS14" s="1756">
        <v>382</v>
      </c>
      <c r="BT14" s="278">
        <f>BR14+BS14</f>
        <v>1498</v>
      </c>
      <c r="BU14" s="1756">
        <v>229</v>
      </c>
      <c r="BV14" s="1756">
        <v>316</v>
      </c>
      <c r="BW14" s="1757">
        <v>239</v>
      </c>
      <c r="BX14" s="1757">
        <v>376</v>
      </c>
      <c r="BY14" s="1757">
        <v>254</v>
      </c>
      <c r="BZ14" s="1757">
        <v>459</v>
      </c>
      <c r="CA14" s="1757">
        <v>317</v>
      </c>
      <c r="CB14" s="1757">
        <v>443</v>
      </c>
      <c r="CC14" s="1757">
        <v>338</v>
      </c>
      <c r="CD14" s="1757">
        <v>476</v>
      </c>
      <c r="CE14" s="1757">
        <v>337</v>
      </c>
      <c r="CF14" s="1757">
        <v>467</v>
      </c>
      <c r="CG14" s="1757">
        <v>396</v>
      </c>
      <c r="CH14" s="1757">
        <v>549</v>
      </c>
      <c r="CI14" s="1757">
        <v>396</v>
      </c>
      <c r="CJ14" s="1757">
        <v>510</v>
      </c>
      <c r="CK14" s="1757">
        <v>411</v>
      </c>
      <c r="CL14" s="1757">
        <f>888-CK14</f>
        <v>477</v>
      </c>
      <c r="CM14" s="1757">
        <v>328</v>
      </c>
      <c r="CN14" s="1757">
        <v>555</v>
      </c>
      <c r="CO14" s="1757">
        <v>457</v>
      </c>
      <c r="CP14" s="1757">
        <v>606.37800000000004</v>
      </c>
      <c r="CQ14" s="1757">
        <v>615.62099999999998</v>
      </c>
      <c r="CR14" s="1757">
        <v>868.35900000000004</v>
      </c>
      <c r="CS14" s="1757">
        <v>707.65200000000004</v>
      </c>
      <c r="CT14" s="1757">
        <v>703.31999999999994</v>
      </c>
      <c r="CU14" s="1757">
        <v>628.63400000000001</v>
      </c>
      <c r="CV14" s="1757">
        <v>900.22500000000014</v>
      </c>
      <c r="CW14" s="1757">
        <v>899.52499999999998</v>
      </c>
      <c r="CX14" s="1757">
        <v>839.90800000000002</v>
      </c>
      <c r="CY14" s="1757">
        <v>652.01000000000022</v>
      </c>
      <c r="CZ14" s="1757">
        <v>875.69499999999971</v>
      </c>
      <c r="DA14" s="1757">
        <v>663.61599999999999</v>
      </c>
      <c r="DB14" s="1757">
        <v>905.04300000000012</v>
      </c>
      <c r="DC14" s="1757">
        <v>816.39699999999993</v>
      </c>
      <c r="DD14" s="1757">
        <v>855.97899999999981</v>
      </c>
      <c r="DE14" s="1757">
        <v>742.13099999999997</v>
      </c>
      <c r="DF14" s="1757">
        <v>946.51799999999992</v>
      </c>
      <c r="DG14" s="1757">
        <v>841.48400000000004</v>
      </c>
      <c r="DH14" s="1757">
        <v>939.36300000000017</v>
      </c>
      <c r="DI14" s="1757">
        <v>812.69500000000005</v>
      </c>
      <c r="DJ14" s="1859" t="s">
        <v>80</v>
      </c>
    </row>
    <row r="15" spans="1:114" s="1855" customFormat="1" ht="12.75" customHeight="1">
      <c r="A15" s="1861"/>
      <c r="B15" s="1857"/>
      <c r="H15" s="1757"/>
      <c r="I15" s="1757"/>
      <c r="J15" s="1757"/>
      <c r="K15" s="1757"/>
      <c r="L15" s="1757"/>
      <c r="M15" s="1757"/>
      <c r="N15" s="1757"/>
      <c r="O15" s="1757"/>
      <c r="P15" s="1757"/>
      <c r="Q15" s="1757"/>
      <c r="R15" s="1757"/>
      <c r="S15" s="1757"/>
      <c r="T15" s="1757"/>
      <c r="U15" s="1757"/>
      <c r="V15" s="1757"/>
      <c r="W15" s="1757"/>
      <c r="X15" s="1757"/>
      <c r="Y15" s="1757"/>
      <c r="Z15" s="1757"/>
      <c r="AA15" s="1757"/>
      <c r="AB15" s="1757"/>
      <c r="AC15" s="1757"/>
      <c r="AD15" s="1757"/>
      <c r="AE15" s="1757"/>
      <c r="AF15" s="1757"/>
      <c r="AG15" s="1757"/>
      <c r="AH15" s="1757"/>
      <c r="AI15" s="1757"/>
      <c r="AJ15" s="1757"/>
      <c r="AK15" s="1757"/>
      <c r="AL15" s="1757"/>
      <c r="AM15" s="1757"/>
      <c r="AN15" s="1757"/>
      <c r="AO15" s="1757"/>
      <c r="AP15" s="1757"/>
      <c r="AQ15" s="1757"/>
      <c r="AR15" s="1757"/>
      <c r="AS15" s="1757"/>
      <c r="AT15" s="1757"/>
      <c r="AU15" s="1757"/>
      <c r="AV15" s="1757"/>
      <c r="AW15" s="1757"/>
      <c r="AX15" s="1757"/>
      <c r="AY15" s="1757"/>
      <c r="AZ15" s="1757"/>
      <c r="BA15" s="1757"/>
      <c r="BB15" s="1757"/>
      <c r="BC15" s="1858"/>
      <c r="BD15" s="278"/>
      <c r="BE15" s="1757"/>
      <c r="BF15" s="1757"/>
      <c r="BG15" s="1757"/>
      <c r="BH15" s="1858"/>
      <c r="BI15" s="278"/>
      <c r="BJ15" s="1757"/>
      <c r="BK15" s="1757"/>
      <c r="BL15" s="1757"/>
      <c r="BM15" s="1757"/>
      <c r="BN15" s="276"/>
      <c r="BO15" s="1757"/>
      <c r="BP15" s="1757"/>
      <c r="BQ15" s="1858"/>
      <c r="BR15" s="278"/>
      <c r="BS15" s="1756"/>
      <c r="BT15" s="278"/>
      <c r="BU15" s="1756"/>
      <c r="BV15" s="1756"/>
      <c r="BW15" s="1757"/>
      <c r="BX15" s="1757"/>
      <c r="BY15" s="1757"/>
      <c r="BZ15" s="1757"/>
      <c r="CA15" s="1757"/>
      <c r="CB15" s="1757"/>
      <c r="CC15" s="1757"/>
      <c r="CD15" s="1757"/>
      <c r="CE15" s="1757"/>
      <c r="CF15" s="1757"/>
      <c r="CG15" s="1757"/>
      <c r="CH15" s="1757"/>
      <c r="CI15" s="1757"/>
      <c r="CJ15" s="1757"/>
      <c r="CK15" s="1757"/>
      <c r="CL15" s="1757"/>
      <c r="CM15" s="1757"/>
      <c r="CN15" s="1757"/>
      <c r="CO15" s="1757"/>
      <c r="CP15" s="1757"/>
      <c r="CQ15" s="1757"/>
      <c r="CR15" s="1757"/>
      <c r="CS15" s="1757"/>
      <c r="CT15" s="1757"/>
      <c r="CU15" s="1757"/>
      <c r="CV15" s="1757"/>
      <c r="CW15" s="1757"/>
      <c r="CX15" s="1757"/>
      <c r="CY15" s="1757"/>
      <c r="CZ15" s="1757"/>
      <c r="DA15" s="1757"/>
      <c r="DB15" s="1757"/>
      <c r="DC15" s="1757"/>
      <c r="DD15" s="1757"/>
      <c r="DE15" s="1757"/>
      <c r="DF15" s="1757"/>
      <c r="DG15" s="1757"/>
      <c r="DH15" s="1757"/>
      <c r="DI15" s="1757"/>
      <c r="DJ15" s="1859"/>
    </row>
    <row r="16" spans="1:114" s="1855" customFormat="1">
      <c r="A16" s="1860" t="s">
        <v>81</v>
      </c>
      <c r="B16" s="1757">
        <v>-985</v>
      </c>
      <c r="C16" s="1757">
        <v>-1338</v>
      </c>
      <c r="D16" s="1757">
        <v>-1375</v>
      </c>
      <c r="E16" s="1757">
        <v>-1724</v>
      </c>
      <c r="F16" s="1757">
        <v>-1433</v>
      </c>
      <c r="G16" s="1757">
        <v>-1539</v>
      </c>
      <c r="H16" s="1757">
        <v>-317</v>
      </c>
      <c r="I16" s="1757">
        <v>-333.30799999999999</v>
      </c>
      <c r="J16" s="1757">
        <v>-414.31299999999999</v>
      </c>
      <c r="K16" s="1757">
        <v>-401</v>
      </c>
      <c r="L16" s="1757">
        <v>-388.536</v>
      </c>
      <c r="M16" s="1757">
        <v>-405</v>
      </c>
      <c r="N16" s="1757">
        <v>-467</v>
      </c>
      <c r="O16" s="1757">
        <v>-563</v>
      </c>
      <c r="P16" s="1757">
        <v>-486.57600000000002</v>
      </c>
      <c r="Q16" s="1757">
        <v>-678</v>
      </c>
      <c r="R16" s="1757">
        <v>-681</v>
      </c>
      <c r="S16" s="1757">
        <v>-877</v>
      </c>
      <c r="T16" s="1757">
        <v>-712</v>
      </c>
      <c r="U16" s="1757">
        <v>-840.8130000000001</v>
      </c>
      <c r="V16" s="1757">
        <v>-1003.832</v>
      </c>
      <c r="W16" s="1757">
        <v>-1025</v>
      </c>
      <c r="X16" s="1757">
        <v>-1117</v>
      </c>
      <c r="Y16" s="1757">
        <v>-1009.21</v>
      </c>
      <c r="Z16" s="1757">
        <v>-1215</v>
      </c>
      <c r="AA16" s="1757">
        <v>-1008</v>
      </c>
      <c r="AB16" s="1757">
        <v>-926.14300000000003</v>
      </c>
      <c r="AC16" s="1757">
        <v>-1231</v>
      </c>
      <c r="AD16" s="1757">
        <v>-1445.857</v>
      </c>
      <c r="AE16" s="1757">
        <v>-1588</v>
      </c>
      <c r="AF16" s="1757">
        <v>-1184</v>
      </c>
      <c r="AG16" s="1757">
        <v>-1416.48</v>
      </c>
      <c r="AH16" s="1757">
        <v>-1554</v>
      </c>
      <c r="AI16" s="1757">
        <v>-1882</v>
      </c>
      <c r="AJ16" s="1757">
        <v>-1414</v>
      </c>
      <c r="AK16" s="1757">
        <v>-1789.2740000000001</v>
      </c>
      <c r="AL16" s="1757">
        <v>-2275.6179999999999</v>
      </c>
      <c r="AM16" s="1757">
        <v>-2071</v>
      </c>
      <c r="AN16" s="1757">
        <v>-1459</v>
      </c>
      <c r="AO16" s="1757">
        <v>-1441.664</v>
      </c>
      <c r="AP16" s="1757">
        <v>-1680.9290000000001</v>
      </c>
      <c r="AQ16" s="1757">
        <v>-1648</v>
      </c>
      <c r="AR16" s="1757">
        <v>-1214.837</v>
      </c>
      <c r="AS16" s="1757">
        <v>-1725</v>
      </c>
      <c r="AT16" s="1757">
        <v>-1658</v>
      </c>
      <c r="AU16" s="1757">
        <v>-2065</v>
      </c>
      <c r="AV16" s="1757">
        <v>-1963</v>
      </c>
      <c r="AW16" s="1757">
        <v>-2551.8269999999998</v>
      </c>
      <c r="AX16" s="1757">
        <v>-2623</v>
      </c>
      <c r="AY16" s="1757">
        <v>-2917</v>
      </c>
      <c r="AZ16" s="1757">
        <f>AZ18+AZ19</f>
        <v>-2140</v>
      </c>
      <c r="BA16" s="1757">
        <f t="shared" ref="BA16:BQ16" si="6">BA18+BA19</f>
        <v>-2480</v>
      </c>
      <c r="BB16" s="1757">
        <f t="shared" si="6"/>
        <v>-2466</v>
      </c>
      <c r="BC16" s="1757">
        <f t="shared" si="6"/>
        <v>-3107</v>
      </c>
      <c r="BD16" s="276">
        <f t="shared" si="6"/>
        <v>-10193</v>
      </c>
      <c r="BE16" s="1757">
        <v>-2401</v>
      </c>
      <c r="BF16" s="1757">
        <v>-2975</v>
      </c>
      <c r="BG16" s="1757">
        <v>-3026</v>
      </c>
      <c r="BH16" s="1757">
        <v>-2753</v>
      </c>
      <c r="BI16" s="276">
        <f t="shared" si="6"/>
        <v>-11155</v>
      </c>
      <c r="BJ16" s="1757">
        <f t="shared" si="6"/>
        <v>-1960</v>
      </c>
      <c r="BK16" s="1757">
        <f t="shared" si="6"/>
        <v>-2506</v>
      </c>
      <c r="BL16" s="1757">
        <f t="shared" si="6"/>
        <v>-2258</v>
      </c>
      <c r="BM16" s="1757">
        <f t="shared" si="6"/>
        <v>-2608</v>
      </c>
      <c r="BN16" s="276">
        <f>BN18+BN19</f>
        <v>-9332</v>
      </c>
      <c r="BO16" s="1757">
        <f t="shared" si="6"/>
        <v>-2492</v>
      </c>
      <c r="BP16" s="1757">
        <f t="shared" si="6"/>
        <v>-2427</v>
      </c>
      <c r="BQ16" s="1757">
        <f t="shared" si="6"/>
        <v>-2102</v>
      </c>
      <c r="BR16" s="276">
        <f>BR18+BR19</f>
        <v>-7021</v>
      </c>
      <c r="BS16" s="1756">
        <f t="shared" ref="BS16:BY16" si="7">BS18+BS19</f>
        <v>-2753</v>
      </c>
      <c r="BT16" s="278">
        <f>BT18+BT19</f>
        <v>-9774</v>
      </c>
      <c r="BU16" s="1756">
        <f t="shared" si="7"/>
        <v>-1930</v>
      </c>
      <c r="BV16" s="1756">
        <f t="shared" si="7"/>
        <v>-2397</v>
      </c>
      <c r="BW16" s="1756">
        <f t="shared" si="7"/>
        <v>-2293</v>
      </c>
      <c r="BX16" s="1757">
        <f t="shared" si="7"/>
        <v>-2384</v>
      </c>
      <c r="BY16" s="1757">
        <f t="shared" si="7"/>
        <v>-1666</v>
      </c>
      <c r="BZ16" s="1757">
        <f>BZ18+BZ19</f>
        <v>-1966</v>
      </c>
      <c r="CA16" s="1757">
        <f>CA18+CA19</f>
        <v>-2758</v>
      </c>
      <c r="CB16" s="1757">
        <f>CB18+CB19</f>
        <v>-2647</v>
      </c>
      <c r="CC16" s="1757">
        <v>-2166</v>
      </c>
      <c r="CD16" s="1757">
        <v>-2733</v>
      </c>
      <c r="CE16" s="1757">
        <v>-2995</v>
      </c>
      <c r="CF16" s="1757">
        <f>CF18+CF19</f>
        <v>-3059</v>
      </c>
      <c r="CG16" s="1757">
        <v>-2261</v>
      </c>
      <c r="CH16" s="1757">
        <v>-2785</v>
      </c>
      <c r="CI16" s="1757">
        <v>-3077</v>
      </c>
      <c r="CJ16" s="1757">
        <v>-3212</v>
      </c>
      <c r="CK16" s="1757">
        <v>-2590</v>
      </c>
      <c r="CL16" s="1757">
        <f>CL18+CL19</f>
        <v>-2200</v>
      </c>
      <c r="CM16" s="1757">
        <v>-2630</v>
      </c>
      <c r="CN16" s="1757">
        <v>-2657</v>
      </c>
      <c r="CO16" s="1757">
        <v>-2292</v>
      </c>
      <c r="CP16" s="1757">
        <v>-2542.0990000000002</v>
      </c>
      <c r="CQ16" s="1757">
        <v>-2652.77</v>
      </c>
      <c r="CR16" s="1757">
        <v>-2931.7989999999995</v>
      </c>
      <c r="CS16" s="1757">
        <v>-2677.2290000000003</v>
      </c>
      <c r="CT16" s="1757">
        <v>-3202.213999999999</v>
      </c>
      <c r="CU16" s="1757">
        <v>-3655.1010000000001</v>
      </c>
      <c r="CV16" s="1757">
        <v>-3974.6720000000014</v>
      </c>
      <c r="CW16" s="1757">
        <v>-3763.123</v>
      </c>
      <c r="CX16" s="1757">
        <v>-3905.2539999999995</v>
      </c>
      <c r="CY16" s="1757">
        <v>-4181.5790000000015</v>
      </c>
      <c r="CZ16" s="1757">
        <v>-4546.5949999999993</v>
      </c>
      <c r="DA16" s="1757">
        <v>-3515.0550000000003</v>
      </c>
      <c r="DB16" s="1757">
        <v>-4214.0959999999995</v>
      </c>
      <c r="DC16" s="1757">
        <v>-4531.9529999999995</v>
      </c>
      <c r="DD16" s="1756">
        <v>-4905.9800000000014</v>
      </c>
      <c r="DE16" s="1756">
        <v>-3767.41</v>
      </c>
      <c r="DF16" s="1756">
        <v>-4297.174</v>
      </c>
      <c r="DG16" s="1756">
        <v>-4531.4789999999994</v>
      </c>
      <c r="DH16" s="1756">
        <v>-5099.9770000000008</v>
      </c>
      <c r="DI16" s="1756">
        <v>-3910.9180000000001</v>
      </c>
      <c r="DJ16" s="1859" t="s">
        <v>82</v>
      </c>
    </row>
    <row r="17" spans="1:115" ht="12.75" customHeight="1">
      <c r="A17" s="1760"/>
      <c r="B17" s="1862"/>
      <c r="H17" s="1757"/>
      <c r="I17" s="1757"/>
      <c r="J17" s="1757"/>
      <c r="K17" s="1757"/>
      <c r="L17" s="1757"/>
      <c r="M17" s="1757"/>
      <c r="N17" s="1757"/>
      <c r="O17" s="1757"/>
      <c r="P17" s="1757"/>
      <c r="Q17" s="1757"/>
      <c r="R17" s="1757"/>
      <c r="S17" s="1757"/>
      <c r="T17" s="1757"/>
      <c r="U17" s="1757"/>
      <c r="V17" s="1757"/>
      <c r="W17" s="1757"/>
      <c r="X17" s="1757"/>
      <c r="Y17" s="1757"/>
      <c r="Z17" s="1757"/>
      <c r="AA17" s="1757"/>
      <c r="AB17" s="1757"/>
      <c r="AC17" s="1757"/>
      <c r="AD17" s="1757"/>
      <c r="AE17" s="1757"/>
      <c r="AF17" s="1757"/>
      <c r="AG17" s="1757"/>
      <c r="AH17" s="1757"/>
      <c r="AI17" s="1757"/>
      <c r="AJ17" s="1757"/>
      <c r="AK17" s="1757"/>
      <c r="AL17" s="1757"/>
      <c r="AM17" s="1757"/>
      <c r="AN17" s="1757"/>
      <c r="AO17" s="1757"/>
      <c r="AP17" s="1757"/>
      <c r="AQ17" s="1757"/>
      <c r="AR17" s="1757"/>
      <c r="AS17" s="1757"/>
      <c r="AT17" s="1757"/>
      <c r="AU17" s="1757"/>
      <c r="AV17" s="1757"/>
      <c r="AW17" s="1757"/>
      <c r="AX17" s="1757"/>
      <c r="AY17" s="1757"/>
      <c r="AZ17" s="1757"/>
      <c r="BA17" s="1757"/>
      <c r="BB17" s="1757"/>
      <c r="BC17" s="1858"/>
      <c r="BD17" s="278"/>
      <c r="BE17" s="1757"/>
      <c r="BF17" s="1757"/>
      <c r="BG17" s="1757"/>
      <c r="BH17" s="1858"/>
      <c r="BI17" s="278"/>
      <c r="BJ17" s="1757"/>
      <c r="BK17" s="1757"/>
      <c r="BL17" s="1757"/>
      <c r="BM17" s="1757"/>
      <c r="BN17" s="276"/>
      <c r="BO17" s="1757"/>
      <c r="BP17" s="1757"/>
      <c r="BQ17" s="1858"/>
      <c r="BR17" s="278"/>
      <c r="BS17" s="1756"/>
      <c r="BT17" s="278"/>
      <c r="BU17" s="1756"/>
      <c r="BV17" s="1756"/>
      <c r="BW17" s="1757"/>
      <c r="BX17" s="1757"/>
      <c r="BY17" s="1757"/>
      <c r="BZ17" s="1757"/>
      <c r="CA17" s="1757"/>
      <c r="CB17" s="1757"/>
      <c r="CC17" s="1757"/>
      <c r="CD17" s="1757"/>
      <c r="CE17" s="1757"/>
      <c r="CF17" s="1757"/>
      <c r="CG17" s="1757"/>
      <c r="CH17" s="1757"/>
      <c r="CI17" s="1757"/>
      <c r="CJ17" s="1757"/>
      <c r="CK17" s="1757"/>
      <c r="CL17" s="1757"/>
      <c r="CM17" s="1757"/>
      <c r="CN17" s="1757"/>
      <c r="CO17" s="1757"/>
      <c r="CP17" s="1757"/>
      <c r="CQ17" s="1757"/>
      <c r="CR17" s="1757"/>
      <c r="CS17" s="1757"/>
      <c r="CT17" s="1757"/>
      <c r="CU17" s="1757"/>
      <c r="CV17" s="1757"/>
      <c r="CW17" s="1757"/>
      <c r="CX17" s="1757"/>
      <c r="CY17" s="1757"/>
      <c r="CZ17" s="1757"/>
      <c r="DA17" s="1757"/>
      <c r="DB17" s="1757"/>
      <c r="DC17" s="1757"/>
      <c r="DD17" s="1757"/>
      <c r="DE17" s="1757"/>
      <c r="DF17" s="1757"/>
      <c r="DG17" s="1757"/>
      <c r="DH17" s="1757"/>
      <c r="DI17" s="1757"/>
      <c r="DJ17" s="1863"/>
      <c r="DK17" s="1855"/>
    </row>
    <row r="18" spans="1:115" s="1855" customFormat="1">
      <c r="A18" s="1861" t="s">
        <v>77</v>
      </c>
      <c r="B18" s="1857">
        <v>-64</v>
      </c>
      <c r="C18" s="1855">
        <v>-213</v>
      </c>
      <c r="D18" s="1855">
        <v>-256</v>
      </c>
      <c r="E18" s="1855">
        <v>-356</v>
      </c>
      <c r="F18" s="1855">
        <v>-195</v>
      </c>
      <c r="G18" s="1855">
        <v>-147</v>
      </c>
      <c r="H18" s="1757">
        <v>-21</v>
      </c>
      <c r="I18" s="1757">
        <v>-39.56</v>
      </c>
      <c r="J18" s="1757">
        <v>-39.575000000000003</v>
      </c>
      <c r="K18" s="1757">
        <v>-39</v>
      </c>
      <c r="L18" s="1757">
        <v>-26</v>
      </c>
      <c r="M18" s="1757">
        <v>-55</v>
      </c>
      <c r="N18" s="1757">
        <v>-109</v>
      </c>
      <c r="O18" s="1757">
        <v>-146</v>
      </c>
      <c r="P18" s="1757">
        <v>-127.34</v>
      </c>
      <c r="Q18" s="1757">
        <v>-306</v>
      </c>
      <c r="R18" s="1757">
        <v>-283</v>
      </c>
      <c r="S18" s="1757">
        <v>-393</v>
      </c>
      <c r="T18" s="1757">
        <v>-265</v>
      </c>
      <c r="U18" s="1757">
        <v>-350.27300000000002</v>
      </c>
      <c r="V18" s="1757">
        <v>-541.85199999999998</v>
      </c>
      <c r="W18" s="1757">
        <v>-466</v>
      </c>
      <c r="X18" s="1757">
        <v>-768</v>
      </c>
      <c r="Y18" s="1757">
        <v>-441.55</v>
      </c>
      <c r="Z18" s="1757">
        <v>-448</v>
      </c>
      <c r="AA18" s="1757">
        <v>-269</v>
      </c>
      <c r="AB18" s="1757">
        <v>-360.589</v>
      </c>
      <c r="AC18" s="1757">
        <v>-467</v>
      </c>
      <c r="AD18" s="1757">
        <v>-470.17700000000002</v>
      </c>
      <c r="AE18" s="1757">
        <v>-454</v>
      </c>
      <c r="AF18" s="1757">
        <v>-306</v>
      </c>
      <c r="AG18" s="1757">
        <v>-283.33499999999998</v>
      </c>
      <c r="AH18" s="1757">
        <v>-367</v>
      </c>
      <c r="AI18" s="1757">
        <v>-336</v>
      </c>
      <c r="AJ18" s="1757">
        <v>-196</v>
      </c>
      <c r="AK18" s="1757">
        <v>-255.28700000000001</v>
      </c>
      <c r="AL18" s="1757">
        <v>-306.57100000000003</v>
      </c>
      <c r="AM18" s="1757">
        <v>-307</v>
      </c>
      <c r="AN18" s="1757">
        <v>-202</v>
      </c>
      <c r="AO18" s="1757">
        <v>-166.60599999999999</v>
      </c>
      <c r="AP18" s="1757">
        <v>-172.44300000000001</v>
      </c>
      <c r="AQ18" s="1757">
        <v>-159</v>
      </c>
      <c r="AR18" s="1757">
        <v>-127.55500000000001</v>
      </c>
      <c r="AS18" s="1757">
        <v>-244</v>
      </c>
      <c r="AT18" s="1757">
        <v>-223</v>
      </c>
      <c r="AU18" s="1757">
        <v>-243</v>
      </c>
      <c r="AV18" s="1757">
        <v>-199</v>
      </c>
      <c r="AW18" s="1757">
        <v>-262.178</v>
      </c>
      <c r="AX18" s="1757">
        <v>-277</v>
      </c>
      <c r="AY18" s="1757">
        <v>-397</v>
      </c>
      <c r="AZ18" s="1757">
        <v>-191</v>
      </c>
      <c r="BA18" s="1757">
        <v>-317</v>
      </c>
      <c r="BB18" s="1757">
        <v>-261</v>
      </c>
      <c r="BC18" s="1858">
        <v>-275</v>
      </c>
      <c r="BD18" s="278">
        <f>SUM(AZ18:BC18)</f>
        <v>-1044</v>
      </c>
      <c r="BE18" s="1757">
        <v>-282</v>
      </c>
      <c r="BF18" s="1757">
        <v>-237</v>
      </c>
      <c r="BG18" s="1757">
        <v>-292</v>
      </c>
      <c r="BH18" s="1858">
        <v>-356</v>
      </c>
      <c r="BI18" s="278">
        <f t="shared" si="3"/>
        <v>-1167</v>
      </c>
      <c r="BJ18" s="1757">
        <v>-272</v>
      </c>
      <c r="BK18" s="1757">
        <v>-409</v>
      </c>
      <c r="BL18" s="1757">
        <v>-326</v>
      </c>
      <c r="BM18" s="1757">
        <v>-431</v>
      </c>
      <c r="BN18" s="276">
        <f t="shared" si="4"/>
        <v>-1438</v>
      </c>
      <c r="BO18" s="1757">
        <v>-344</v>
      </c>
      <c r="BP18" s="1757">
        <v>-590</v>
      </c>
      <c r="BQ18" s="1858">
        <v>-571</v>
      </c>
      <c r="BR18" s="278">
        <f t="shared" si="5"/>
        <v>-1505</v>
      </c>
      <c r="BS18" s="1756">
        <v>-899</v>
      </c>
      <c r="BT18" s="278">
        <f>BR18+BS18</f>
        <v>-2404</v>
      </c>
      <c r="BU18" s="1756">
        <v>-771</v>
      </c>
      <c r="BV18" s="1756">
        <v>-476</v>
      </c>
      <c r="BW18" s="1757">
        <v>-573</v>
      </c>
      <c r="BX18" s="1757">
        <v>-509</v>
      </c>
      <c r="BY18" s="1757">
        <v>-274</v>
      </c>
      <c r="BZ18" s="1757">
        <v>-260</v>
      </c>
      <c r="CA18" s="1757">
        <v>-442</v>
      </c>
      <c r="CB18" s="1757">
        <v>-366</v>
      </c>
      <c r="CC18" s="1757">
        <v>-339</v>
      </c>
      <c r="CD18" s="1757">
        <v>-343</v>
      </c>
      <c r="CE18" s="1757">
        <v>-484</v>
      </c>
      <c r="CF18" s="1757">
        <v>-580</v>
      </c>
      <c r="CG18" s="1757">
        <v>-360</v>
      </c>
      <c r="CH18" s="1757">
        <v>-472</v>
      </c>
      <c r="CI18" s="1757">
        <v>-492</v>
      </c>
      <c r="CJ18" s="1757">
        <v>-557</v>
      </c>
      <c r="CK18" s="1757">
        <v>-453</v>
      </c>
      <c r="CL18" s="1757">
        <f>-819-CK18</f>
        <v>-366</v>
      </c>
      <c r="CM18" s="1757">
        <v>-548</v>
      </c>
      <c r="CN18" s="1757">
        <v>-509</v>
      </c>
      <c r="CO18" s="1757">
        <v>-404</v>
      </c>
      <c r="CP18" s="1757">
        <v>-432.16899999999998</v>
      </c>
      <c r="CQ18" s="1757">
        <v>-404.13900000000001</v>
      </c>
      <c r="CR18" s="1757">
        <v>-384.41000000000008</v>
      </c>
      <c r="CS18" s="1757">
        <v>-331.54500000000002</v>
      </c>
      <c r="CT18" s="1757">
        <v>-722.01599999999985</v>
      </c>
      <c r="CU18" s="1757">
        <v>-594.04300000000012</v>
      </c>
      <c r="CV18" s="1757">
        <v>-891.42100000000005</v>
      </c>
      <c r="CW18" s="1757">
        <v>-848.75400000000002</v>
      </c>
      <c r="CX18" s="1757">
        <v>-1117.3119999999999</v>
      </c>
      <c r="CY18" s="1757">
        <v>-869.58200000000011</v>
      </c>
      <c r="CZ18" s="1757">
        <v>-12.85799999999972</v>
      </c>
      <c r="DA18" s="1757">
        <v>-505.76</v>
      </c>
      <c r="DB18" s="1757">
        <v>-632.57399999999996</v>
      </c>
      <c r="DC18" s="1757">
        <v>-645.42499999999995</v>
      </c>
      <c r="DD18" s="1757">
        <v>-685.07200000000012</v>
      </c>
      <c r="DE18" s="1757">
        <v>-510.36200000000002</v>
      </c>
      <c r="DF18" s="1757">
        <v>-603.94899999999984</v>
      </c>
      <c r="DG18" s="1757">
        <v>-593.2170000000001</v>
      </c>
      <c r="DH18" s="1757">
        <v>-818.83600000000001</v>
      </c>
      <c r="DI18" s="1757">
        <v>-404.00900000000001</v>
      </c>
      <c r="DJ18" s="1859" t="s">
        <v>78</v>
      </c>
    </row>
    <row r="19" spans="1:115" s="1855" customFormat="1">
      <c r="A19" s="1861" t="s">
        <v>79</v>
      </c>
      <c r="B19" s="1857">
        <v>-921</v>
      </c>
      <c r="C19" s="1855">
        <v>-1125</v>
      </c>
      <c r="D19" s="1855">
        <v>-1119</v>
      </c>
      <c r="E19" s="1855">
        <v>-1368</v>
      </c>
      <c r="F19" s="1855">
        <v>-1238</v>
      </c>
      <c r="G19" s="1855">
        <v>-1392</v>
      </c>
      <c r="H19" s="1757">
        <v>-296</v>
      </c>
      <c r="I19" s="1757">
        <v>-293.74799999999999</v>
      </c>
      <c r="J19" s="1757">
        <v>-374.738</v>
      </c>
      <c r="K19" s="1757">
        <v>-362</v>
      </c>
      <c r="L19" s="1757">
        <v>-362.536</v>
      </c>
      <c r="M19" s="1757">
        <v>-350</v>
      </c>
      <c r="N19" s="1757">
        <v>-358</v>
      </c>
      <c r="O19" s="1757">
        <v>-417</v>
      </c>
      <c r="P19" s="1757">
        <v>-359.23599999999999</v>
      </c>
      <c r="Q19" s="1757">
        <v>-372</v>
      </c>
      <c r="R19" s="1757">
        <v>-398</v>
      </c>
      <c r="S19" s="1757">
        <v>-484</v>
      </c>
      <c r="T19" s="1757">
        <v>-447</v>
      </c>
      <c r="U19" s="1757">
        <v>-490.54</v>
      </c>
      <c r="V19" s="1757">
        <v>-461.98</v>
      </c>
      <c r="W19" s="1757">
        <v>-559</v>
      </c>
      <c r="X19" s="1757">
        <v>-349</v>
      </c>
      <c r="Y19" s="1757">
        <v>-567.66</v>
      </c>
      <c r="Z19" s="1757">
        <v>-767</v>
      </c>
      <c r="AA19" s="1757">
        <v>-739</v>
      </c>
      <c r="AB19" s="1757">
        <v>-565.55399999999997</v>
      </c>
      <c r="AC19" s="1757">
        <v>-764</v>
      </c>
      <c r="AD19" s="1757">
        <v>-975.68</v>
      </c>
      <c r="AE19" s="1757">
        <v>-1134</v>
      </c>
      <c r="AF19" s="1757">
        <v>-878</v>
      </c>
      <c r="AG19" s="1757">
        <v>-1133.145</v>
      </c>
      <c r="AH19" s="1757">
        <v>-1187</v>
      </c>
      <c r="AI19" s="1757">
        <v>-1546</v>
      </c>
      <c r="AJ19" s="1757">
        <v>-1218</v>
      </c>
      <c r="AK19" s="1757">
        <v>-1533.9870000000001</v>
      </c>
      <c r="AL19" s="1757">
        <v>-1969.047</v>
      </c>
      <c r="AM19" s="1757">
        <v>-1764</v>
      </c>
      <c r="AN19" s="1757">
        <v>-1257</v>
      </c>
      <c r="AO19" s="1757">
        <v>-1275.058</v>
      </c>
      <c r="AP19" s="1757">
        <v>-1508.4860000000001</v>
      </c>
      <c r="AQ19" s="1757">
        <v>-1489</v>
      </c>
      <c r="AR19" s="1757">
        <v>-1087.2819999999999</v>
      </c>
      <c r="AS19" s="1757">
        <v>-1481</v>
      </c>
      <c r="AT19" s="1757">
        <v>-1435</v>
      </c>
      <c r="AU19" s="1757">
        <v>-1822</v>
      </c>
      <c r="AV19" s="1757">
        <v>-1764</v>
      </c>
      <c r="AW19" s="1757">
        <v>-2289.6489999999999</v>
      </c>
      <c r="AX19" s="1757">
        <v>-2346</v>
      </c>
      <c r="AY19" s="1757">
        <v>-2520</v>
      </c>
      <c r="AZ19" s="1757">
        <v>-1949</v>
      </c>
      <c r="BA19" s="1757">
        <v>-2163</v>
      </c>
      <c r="BB19" s="1757">
        <v>-2205</v>
      </c>
      <c r="BC19" s="1858">
        <v>-2832</v>
      </c>
      <c r="BD19" s="278">
        <f>SUM(AZ19:BC19)</f>
        <v>-9149</v>
      </c>
      <c r="BE19" s="1757">
        <v>-2119</v>
      </c>
      <c r="BF19" s="1757">
        <v>-2738</v>
      </c>
      <c r="BG19" s="1757">
        <v>-2734</v>
      </c>
      <c r="BH19" s="1858">
        <v>-2397</v>
      </c>
      <c r="BI19" s="278">
        <f t="shared" si="3"/>
        <v>-9988</v>
      </c>
      <c r="BJ19" s="1757">
        <v>-1688</v>
      </c>
      <c r="BK19" s="1757">
        <v>-2097</v>
      </c>
      <c r="BL19" s="1757">
        <v>-1932</v>
      </c>
      <c r="BM19" s="1757">
        <v>-2177</v>
      </c>
      <c r="BN19" s="276">
        <f t="shared" si="4"/>
        <v>-7894</v>
      </c>
      <c r="BO19" s="1757">
        <v>-2148</v>
      </c>
      <c r="BP19" s="1757">
        <v>-1837</v>
      </c>
      <c r="BQ19" s="1858">
        <v>-1531</v>
      </c>
      <c r="BR19" s="278">
        <f t="shared" si="5"/>
        <v>-5516</v>
      </c>
      <c r="BS19" s="1756">
        <v>-1854</v>
      </c>
      <c r="BT19" s="278">
        <f>BR19+BS19</f>
        <v>-7370</v>
      </c>
      <c r="BU19" s="1756">
        <v>-1159</v>
      </c>
      <c r="BV19" s="1756">
        <v>-1921</v>
      </c>
      <c r="BW19" s="1757">
        <v>-1720</v>
      </c>
      <c r="BX19" s="1757">
        <v>-1875</v>
      </c>
      <c r="BY19" s="1757">
        <v>-1392</v>
      </c>
      <c r="BZ19" s="1757">
        <v>-1706</v>
      </c>
      <c r="CA19" s="1757">
        <v>-2316</v>
      </c>
      <c r="CB19" s="1757">
        <v>-2281</v>
      </c>
      <c r="CC19" s="1757">
        <v>-1827</v>
      </c>
      <c r="CD19" s="1757">
        <v>-2390</v>
      </c>
      <c r="CE19" s="1757">
        <v>-2511</v>
      </c>
      <c r="CF19" s="1757">
        <v>-2479</v>
      </c>
      <c r="CG19" s="1757">
        <v>-1901</v>
      </c>
      <c r="CH19" s="1757">
        <v>-2313</v>
      </c>
      <c r="CI19" s="1757">
        <v>-2585</v>
      </c>
      <c r="CJ19" s="1757">
        <v>-2655</v>
      </c>
      <c r="CK19" s="1757">
        <v>-2137</v>
      </c>
      <c r="CL19" s="1757">
        <f>-3971-CK19</f>
        <v>-1834</v>
      </c>
      <c r="CM19" s="1757">
        <v>-2082</v>
      </c>
      <c r="CN19" s="1757">
        <v>-2148</v>
      </c>
      <c r="CO19" s="1757">
        <v>-1888</v>
      </c>
      <c r="CP19" s="1757">
        <v>-2109.9300000000003</v>
      </c>
      <c r="CQ19" s="1757">
        <v>-2248.6309999999999</v>
      </c>
      <c r="CR19" s="1757">
        <v>-2547.3890000000006</v>
      </c>
      <c r="CS19" s="1757">
        <v>-2345.6840000000002</v>
      </c>
      <c r="CT19" s="1757">
        <v>-2480.1979999999994</v>
      </c>
      <c r="CU19" s="1757">
        <v>-3061.058</v>
      </c>
      <c r="CV19" s="1757">
        <v>-3083.2510000000011</v>
      </c>
      <c r="CW19" s="1757">
        <v>-2914.3690000000001</v>
      </c>
      <c r="CX19" s="1757">
        <v>-2787.9419999999996</v>
      </c>
      <c r="CY19" s="1757">
        <v>-3311.9970000000012</v>
      </c>
      <c r="CZ19" s="1757">
        <v>-4533.7369999999992</v>
      </c>
      <c r="DA19" s="1757">
        <v>-3009.2950000000001</v>
      </c>
      <c r="DB19" s="1757">
        <v>-3581.5219999999999</v>
      </c>
      <c r="DC19" s="1757">
        <v>-3886.5279999999993</v>
      </c>
      <c r="DD19" s="1757">
        <v>-4220.9080000000013</v>
      </c>
      <c r="DE19" s="1757">
        <v>-3257.0479999999998</v>
      </c>
      <c r="DF19" s="1757">
        <v>-3693.2250000000004</v>
      </c>
      <c r="DG19" s="1757">
        <v>-3938.2619999999997</v>
      </c>
      <c r="DH19" s="1757">
        <v>-4281.1410000000005</v>
      </c>
      <c r="DI19" s="1757">
        <v>-3506.9090000000001</v>
      </c>
      <c r="DJ19" s="1859" t="s">
        <v>80</v>
      </c>
    </row>
    <row r="20" spans="1:115" s="1855" customFormat="1">
      <c r="A20" s="1861"/>
      <c r="B20" s="1857"/>
      <c r="H20" s="1757"/>
      <c r="I20" s="1757"/>
      <c r="J20" s="1757"/>
      <c r="K20" s="1757"/>
      <c r="L20" s="1757"/>
      <c r="M20" s="1757"/>
      <c r="N20" s="1757"/>
      <c r="O20" s="1757"/>
      <c r="P20" s="1757"/>
      <c r="Q20" s="1757"/>
      <c r="R20" s="1757"/>
      <c r="S20" s="1757"/>
      <c r="T20" s="1757"/>
      <c r="U20" s="1757"/>
      <c r="V20" s="1757"/>
      <c r="W20" s="1757"/>
      <c r="X20" s="1757"/>
      <c r="Y20" s="1757"/>
      <c r="Z20" s="1757"/>
      <c r="AA20" s="1757"/>
      <c r="AB20" s="1757"/>
      <c r="AC20" s="1757"/>
      <c r="AD20" s="1757"/>
      <c r="AE20" s="1757"/>
      <c r="AF20" s="1757"/>
      <c r="AG20" s="1757"/>
      <c r="AH20" s="1757"/>
      <c r="AI20" s="1757"/>
      <c r="AJ20" s="1757"/>
      <c r="AK20" s="1757"/>
      <c r="AL20" s="1757"/>
      <c r="AM20" s="1757"/>
      <c r="AN20" s="1757"/>
      <c r="AO20" s="1757"/>
      <c r="AP20" s="1757"/>
      <c r="AQ20" s="1757"/>
      <c r="AR20" s="1757"/>
      <c r="AS20" s="1757"/>
      <c r="AT20" s="1757"/>
      <c r="AU20" s="1757"/>
      <c r="AV20" s="1757"/>
      <c r="AW20" s="1757"/>
      <c r="AX20" s="1757"/>
      <c r="AY20" s="1757"/>
      <c r="AZ20" s="1757"/>
      <c r="BA20" s="1757"/>
      <c r="BB20" s="1757"/>
      <c r="BC20" s="1858"/>
      <c r="BD20" s="278"/>
      <c r="BE20" s="1757"/>
      <c r="BF20" s="1757"/>
      <c r="BG20" s="1757"/>
      <c r="BH20" s="1858"/>
      <c r="BI20" s="278"/>
      <c r="BJ20" s="1757"/>
      <c r="BK20" s="1757"/>
      <c r="BL20" s="1757"/>
      <c r="BM20" s="1757"/>
      <c r="BN20" s="276"/>
      <c r="BO20" s="1757"/>
      <c r="BP20" s="1757"/>
      <c r="BQ20" s="1858"/>
      <c r="BR20" s="278"/>
      <c r="BS20" s="1756"/>
      <c r="BT20" s="278"/>
      <c r="BU20" s="1756"/>
      <c r="BV20" s="1756"/>
      <c r="BW20" s="1757"/>
      <c r="BX20" s="1757"/>
      <c r="BY20" s="1757"/>
      <c r="BZ20" s="1757"/>
      <c r="CA20" s="1757"/>
      <c r="CB20" s="1757"/>
      <c r="CC20" s="1757"/>
      <c r="CD20" s="1757"/>
      <c r="CE20" s="1757"/>
      <c r="CF20" s="1757"/>
      <c r="CG20" s="1757"/>
      <c r="CH20" s="1757"/>
      <c r="CI20" s="1757"/>
      <c r="CJ20" s="1757"/>
      <c r="CK20" s="1757"/>
      <c r="CL20" s="1757"/>
      <c r="CM20" s="1757"/>
      <c r="CN20" s="1757"/>
      <c r="CO20" s="1757"/>
      <c r="CP20" s="1757"/>
      <c r="CQ20" s="1757"/>
      <c r="CR20" s="1757"/>
      <c r="CS20" s="1757"/>
      <c r="CT20" s="1757"/>
      <c r="CU20" s="1757"/>
      <c r="CV20" s="1757"/>
      <c r="CW20" s="1757"/>
      <c r="CX20" s="1757"/>
      <c r="CY20" s="1757"/>
      <c r="CZ20" s="1757"/>
      <c r="DA20" s="1757"/>
      <c r="DB20" s="1757"/>
      <c r="DC20" s="1757"/>
      <c r="DD20" s="1757"/>
      <c r="DE20" s="1757"/>
      <c r="DF20" s="1757"/>
      <c r="DG20" s="1757"/>
      <c r="DH20" s="1757"/>
      <c r="DI20" s="1757"/>
      <c r="DJ20" s="1859"/>
    </row>
    <row r="21" spans="1:115" s="1855" customFormat="1">
      <c r="A21" s="1861" t="s">
        <v>83</v>
      </c>
      <c r="B21" s="1757">
        <v>-132</v>
      </c>
      <c r="C21" s="1757">
        <v>-291</v>
      </c>
      <c r="D21" s="1757">
        <v>-384</v>
      </c>
      <c r="E21" s="1757">
        <v>-369</v>
      </c>
      <c r="F21" s="1757">
        <v>-228</v>
      </c>
      <c r="G21" s="1757">
        <v>-225</v>
      </c>
      <c r="H21" s="1757">
        <v>-114</v>
      </c>
      <c r="I21" s="1757">
        <v>-72</v>
      </c>
      <c r="J21" s="1757">
        <v>-98</v>
      </c>
      <c r="K21" s="1757">
        <v>-91</v>
      </c>
      <c r="L21" s="1757">
        <v>-184</v>
      </c>
      <c r="M21" s="1757">
        <v>-203</v>
      </c>
      <c r="N21" s="1757">
        <v>-240</v>
      </c>
      <c r="O21" s="1757">
        <v>-309</v>
      </c>
      <c r="P21" s="1757">
        <v>-379</v>
      </c>
      <c r="Q21" s="1757">
        <v>-378.12</v>
      </c>
      <c r="R21" s="1757">
        <v>-341</v>
      </c>
      <c r="S21" s="1757">
        <v>-517</v>
      </c>
      <c r="T21" s="1757">
        <v>-651</v>
      </c>
      <c r="U21" s="1757">
        <v>-531.78599999999994</v>
      </c>
      <c r="V21" s="1757">
        <v>-481</v>
      </c>
      <c r="W21" s="1757">
        <v>-574</v>
      </c>
      <c r="X21" s="1757">
        <v>-410</v>
      </c>
      <c r="Y21" s="1757">
        <v>-595.82899999999995</v>
      </c>
      <c r="Z21" s="1757">
        <v>-433</v>
      </c>
      <c r="AA21" s="1757">
        <v>-532</v>
      </c>
      <c r="AB21" s="1757">
        <v>-519</v>
      </c>
      <c r="AC21" s="1757">
        <v>-458.2</v>
      </c>
      <c r="AD21" s="1757">
        <v>-505.01900000000001</v>
      </c>
      <c r="AE21" s="1757">
        <v>-441.35399999999998</v>
      </c>
      <c r="AF21" s="1757">
        <v>-532.6</v>
      </c>
      <c r="AG21" s="1757">
        <v>-513</v>
      </c>
      <c r="AH21" s="1757">
        <v>-534</v>
      </c>
      <c r="AI21" s="1757">
        <v>-551</v>
      </c>
      <c r="AJ21" s="1757">
        <v>-508</v>
      </c>
      <c r="AK21" s="1757">
        <v>-591</v>
      </c>
      <c r="AL21" s="1757">
        <v>-686</v>
      </c>
      <c r="AM21" s="1757">
        <v>-558</v>
      </c>
      <c r="AN21" s="1757">
        <v>-268</v>
      </c>
      <c r="AO21" s="1757">
        <v>-332</v>
      </c>
      <c r="AP21" s="1757">
        <v>-318</v>
      </c>
      <c r="AQ21" s="1757">
        <v>-695</v>
      </c>
      <c r="AR21" s="1757">
        <v>-417</v>
      </c>
      <c r="AS21" s="1757">
        <v>-359.10899999999998</v>
      </c>
      <c r="AT21" s="1757">
        <v>-376</v>
      </c>
      <c r="AU21" s="1757">
        <v>-581</v>
      </c>
      <c r="AV21" s="1757">
        <v>-523</v>
      </c>
      <c r="AW21" s="1757">
        <v>-668</v>
      </c>
      <c r="AX21" s="1757">
        <v>-818</v>
      </c>
      <c r="AY21" s="1757">
        <v>-987</v>
      </c>
      <c r="AZ21" s="1757">
        <f>AZ23+AZ24</f>
        <v>-934</v>
      </c>
      <c r="BA21" s="1757">
        <f t="shared" ref="BA21:BQ21" si="8">BA23+BA24</f>
        <v>-835</v>
      </c>
      <c r="BB21" s="1757">
        <f t="shared" si="8"/>
        <v>-608</v>
      </c>
      <c r="BC21" s="1757">
        <f t="shared" si="8"/>
        <v>-546</v>
      </c>
      <c r="BD21" s="276">
        <f t="shared" si="8"/>
        <v>-2923</v>
      </c>
      <c r="BE21" s="1757">
        <v>-648</v>
      </c>
      <c r="BF21" s="1757">
        <v>-1397</v>
      </c>
      <c r="BG21" s="1757">
        <v>-1106</v>
      </c>
      <c r="BH21" s="1757">
        <v>-1038</v>
      </c>
      <c r="BI21" s="276">
        <f t="shared" si="8"/>
        <v>-4189</v>
      </c>
      <c r="BJ21" s="1757">
        <f t="shared" si="8"/>
        <v>-1443</v>
      </c>
      <c r="BK21" s="1757">
        <f t="shared" si="8"/>
        <v>-1656</v>
      </c>
      <c r="BL21" s="1757">
        <f t="shared" si="8"/>
        <v>-1608</v>
      </c>
      <c r="BM21" s="1757">
        <f t="shared" si="8"/>
        <v>-1383</v>
      </c>
      <c r="BN21" s="276">
        <f t="shared" si="8"/>
        <v>-6090</v>
      </c>
      <c r="BO21" s="1757">
        <f t="shared" si="8"/>
        <v>-1133</v>
      </c>
      <c r="BP21" s="1757">
        <f t="shared" si="8"/>
        <v>-1270</v>
      </c>
      <c r="BQ21" s="1757">
        <f t="shared" si="8"/>
        <v>-1030</v>
      </c>
      <c r="BR21" s="276">
        <f>BR23+BR24</f>
        <v>-3433</v>
      </c>
      <c r="BS21" s="1756">
        <f t="shared" ref="BS21:BX21" si="9">BS23+BS24</f>
        <v>-795</v>
      </c>
      <c r="BT21" s="278">
        <f>BT23+BT24</f>
        <v>-4228</v>
      </c>
      <c r="BU21" s="1756">
        <f t="shared" si="9"/>
        <v>-699</v>
      </c>
      <c r="BV21" s="1756">
        <f t="shared" si="9"/>
        <v>-1057</v>
      </c>
      <c r="BW21" s="1756">
        <f t="shared" si="9"/>
        <v>-515</v>
      </c>
      <c r="BX21" s="1757">
        <f t="shared" si="9"/>
        <v>-884</v>
      </c>
      <c r="BY21" s="1757">
        <f>BY23+BY24</f>
        <v>-1037</v>
      </c>
      <c r="BZ21" s="1757">
        <f>BZ23+BZ24</f>
        <v>-982</v>
      </c>
      <c r="CA21" s="1757">
        <f>CA23+CA24</f>
        <v>-564</v>
      </c>
      <c r="CB21" s="1757">
        <f>CB23+CB24</f>
        <v>-796</v>
      </c>
      <c r="CC21" s="1757">
        <v>-497</v>
      </c>
      <c r="CD21" s="1757">
        <v>-457</v>
      </c>
      <c r="CE21" s="1757">
        <v>-355</v>
      </c>
      <c r="CF21" s="1757">
        <f>CF23+CF24</f>
        <v>-753</v>
      </c>
      <c r="CG21" s="1757">
        <v>-500</v>
      </c>
      <c r="CH21" s="1757">
        <v>-744</v>
      </c>
      <c r="CI21" s="1757">
        <v>-597</v>
      </c>
      <c r="CJ21" s="1757">
        <v>-775</v>
      </c>
      <c r="CK21" s="1757">
        <v>-826</v>
      </c>
      <c r="CL21" s="1757">
        <f>CL23+CL24</f>
        <v>-503</v>
      </c>
      <c r="CM21" s="1757">
        <v>-723</v>
      </c>
      <c r="CN21" s="1757">
        <v>-789</v>
      </c>
      <c r="CO21" s="1757">
        <v>-818</v>
      </c>
      <c r="CP21" s="1757">
        <v>-482.27300000000002</v>
      </c>
      <c r="CQ21" s="1757">
        <v>-464.65699999999993</v>
      </c>
      <c r="CR21" s="1757">
        <v>-357.96800000000019</v>
      </c>
      <c r="CS21" s="1757">
        <v>-627.54999999999995</v>
      </c>
      <c r="CT21" s="1757">
        <v>-704.18500000000006</v>
      </c>
      <c r="CU21" s="1757">
        <v>-615.80200000000002</v>
      </c>
      <c r="CV21" s="1757">
        <v>-750.28600000000006</v>
      </c>
      <c r="CW21" s="1757">
        <v>-686.82500000000005</v>
      </c>
      <c r="CX21" s="1757">
        <v>-426.96899999999994</v>
      </c>
      <c r="CY21" s="1757">
        <v>-633.92699999999991</v>
      </c>
      <c r="CZ21" s="1757">
        <v>-586.92700000000002</v>
      </c>
      <c r="DA21" s="1757">
        <v>-552.17600000000004</v>
      </c>
      <c r="DB21" s="1757">
        <v>-559.59599999999989</v>
      </c>
      <c r="DC21" s="1757">
        <v>-451.74200000000008</v>
      </c>
      <c r="DD21" s="1756">
        <v>-487.33099999999985</v>
      </c>
      <c r="DE21" s="1756">
        <v>-752.87400000000002</v>
      </c>
      <c r="DF21" s="1756">
        <v>-295.26299999999992</v>
      </c>
      <c r="DG21" s="1756">
        <v>-315.00200000000018</v>
      </c>
      <c r="DH21" s="1756">
        <v>-296.0229999999998</v>
      </c>
      <c r="DI21" s="1756">
        <v>-590.38099999999997</v>
      </c>
      <c r="DJ21" s="1859" t="s">
        <v>84</v>
      </c>
    </row>
    <row r="22" spans="1:115" s="1855" customFormat="1">
      <c r="A22" s="1861"/>
      <c r="B22" s="1857"/>
      <c r="H22" s="1757"/>
      <c r="I22" s="1757"/>
      <c r="J22" s="1757"/>
      <c r="K22" s="1757"/>
      <c r="L22" s="1757"/>
      <c r="M22" s="1757"/>
      <c r="N22" s="1757"/>
      <c r="O22" s="1757"/>
      <c r="P22" s="1757"/>
      <c r="Q22" s="1757"/>
      <c r="R22" s="1757"/>
      <c r="S22" s="1757"/>
      <c r="T22" s="1757"/>
      <c r="U22" s="1757"/>
      <c r="V22" s="1757"/>
      <c r="W22" s="1757"/>
      <c r="X22" s="1757"/>
      <c r="Y22" s="1757"/>
      <c r="Z22" s="1757"/>
      <c r="AA22" s="1757"/>
      <c r="AB22" s="1757"/>
      <c r="AC22" s="1757"/>
      <c r="AD22" s="1757"/>
      <c r="AE22" s="1757"/>
      <c r="AF22" s="1757"/>
      <c r="AG22" s="1757"/>
      <c r="AH22" s="1757"/>
      <c r="AI22" s="1757"/>
      <c r="AJ22" s="1757"/>
      <c r="AK22" s="1757"/>
      <c r="AL22" s="1757"/>
      <c r="AM22" s="1757"/>
      <c r="AN22" s="1757"/>
      <c r="AO22" s="1757"/>
      <c r="AP22" s="1757"/>
      <c r="AQ22" s="1757"/>
      <c r="AR22" s="1757"/>
      <c r="AS22" s="1757"/>
      <c r="AT22" s="1757"/>
      <c r="AU22" s="1757"/>
      <c r="AV22" s="1757"/>
      <c r="AW22" s="1757"/>
      <c r="AX22" s="1757"/>
      <c r="AY22" s="1757"/>
      <c r="AZ22" s="1757"/>
      <c r="BA22" s="1757"/>
      <c r="BB22" s="1757"/>
      <c r="BC22" s="1858"/>
      <c r="BD22" s="278"/>
      <c r="BE22" s="1757"/>
      <c r="BF22" s="1757"/>
      <c r="BG22" s="1757"/>
      <c r="BH22" s="1858"/>
      <c r="BI22" s="278"/>
      <c r="BJ22" s="1757"/>
      <c r="BK22" s="1757"/>
      <c r="BL22" s="1757"/>
      <c r="BM22" s="1757"/>
      <c r="BN22" s="276"/>
      <c r="BO22" s="1757"/>
      <c r="BP22" s="1757"/>
      <c r="BQ22" s="1858"/>
      <c r="BR22" s="278"/>
      <c r="BS22" s="1756"/>
      <c r="BT22" s="278"/>
      <c r="BU22" s="1756"/>
      <c r="BV22" s="1756"/>
      <c r="BW22" s="1757"/>
      <c r="BX22" s="1757"/>
      <c r="BY22" s="1757"/>
      <c r="BZ22" s="1757"/>
      <c r="CA22" s="1757"/>
      <c r="CB22" s="1757"/>
      <c r="CC22" s="1757"/>
      <c r="CD22" s="1757"/>
      <c r="CE22" s="1757"/>
      <c r="CF22" s="1757"/>
      <c r="CG22" s="1757"/>
      <c r="CH22" s="1757"/>
      <c r="CI22" s="1757"/>
      <c r="CJ22" s="1757"/>
      <c r="CK22" s="1757"/>
      <c r="CL22" s="1757"/>
      <c r="CM22" s="1757"/>
      <c r="CN22" s="1757"/>
      <c r="CO22" s="1757"/>
      <c r="CP22" s="1757"/>
      <c r="CQ22" s="1757"/>
      <c r="CR22" s="1757"/>
      <c r="CS22" s="1757"/>
      <c r="CT22" s="1757"/>
      <c r="CU22" s="1757"/>
      <c r="CV22" s="1757"/>
      <c r="CW22" s="1757"/>
      <c r="CX22" s="1757"/>
      <c r="CY22" s="1757"/>
      <c r="CZ22" s="1757"/>
      <c r="DA22" s="1757"/>
      <c r="DB22" s="1757"/>
      <c r="DC22" s="1757"/>
      <c r="DD22" s="1757"/>
      <c r="DE22" s="1757"/>
      <c r="DF22" s="1757"/>
      <c r="DG22" s="1757"/>
      <c r="DH22" s="1757"/>
      <c r="DI22" s="1757"/>
      <c r="DJ22" s="1859"/>
    </row>
    <row r="23" spans="1:115" s="1855" customFormat="1">
      <c r="A23" s="1861" t="s">
        <v>77</v>
      </c>
      <c r="B23" s="1857"/>
      <c r="C23" s="1855">
        <v>-166</v>
      </c>
      <c r="D23" s="1855">
        <v>-310</v>
      </c>
      <c r="E23" s="1855">
        <v>-286</v>
      </c>
      <c r="F23" s="1855">
        <v>-189</v>
      </c>
      <c r="G23" s="1855">
        <v>-150</v>
      </c>
      <c r="H23" s="1757">
        <v>-81</v>
      </c>
      <c r="I23" s="1757">
        <v>-51</v>
      </c>
      <c r="J23" s="1757">
        <v>-102</v>
      </c>
      <c r="K23" s="1757">
        <v>-93</v>
      </c>
      <c r="L23" s="1757">
        <v>-167</v>
      </c>
      <c r="M23" s="1757">
        <v>-206</v>
      </c>
      <c r="N23" s="1757">
        <v>-229</v>
      </c>
      <c r="O23" s="1757">
        <v>-243</v>
      </c>
      <c r="P23" s="1757">
        <v>-377</v>
      </c>
      <c r="Q23" s="1757">
        <v>-346</v>
      </c>
      <c r="R23" s="1757">
        <v>-314</v>
      </c>
      <c r="S23" s="1757">
        <v>-474</v>
      </c>
      <c r="T23" s="1757">
        <v>-577</v>
      </c>
      <c r="U23" s="1757">
        <v>-476.4</v>
      </c>
      <c r="V23" s="1757">
        <v>-405</v>
      </c>
      <c r="W23" s="1757">
        <v>-450</v>
      </c>
      <c r="X23" s="1757">
        <v>-322</v>
      </c>
      <c r="Y23" s="1757">
        <v>-502.9</v>
      </c>
      <c r="Z23" s="1757">
        <v>-352</v>
      </c>
      <c r="AA23" s="1757">
        <v>-481</v>
      </c>
      <c r="AB23" s="1757">
        <v>-412</v>
      </c>
      <c r="AC23" s="1757">
        <v>-388.2</v>
      </c>
      <c r="AD23" s="1757">
        <v>-444.6</v>
      </c>
      <c r="AE23" s="1757">
        <v>-357.7</v>
      </c>
      <c r="AF23" s="1757">
        <v>-415.6</v>
      </c>
      <c r="AG23" s="1757">
        <v>-516</v>
      </c>
      <c r="AH23" s="1757">
        <v>-469</v>
      </c>
      <c r="AI23" s="1757">
        <v>-482</v>
      </c>
      <c r="AJ23" s="1757">
        <v>-537</v>
      </c>
      <c r="AK23" s="1757">
        <v>-516</v>
      </c>
      <c r="AL23" s="1757">
        <v>-509</v>
      </c>
      <c r="AM23" s="1757">
        <v>-408</v>
      </c>
      <c r="AN23" s="1757">
        <v>-269</v>
      </c>
      <c r="AO23" s="1757">
        <v>-321</v>
      </c>
      <c r="AP23" s="1757">
        <v>-269</v>
      </c>
      <c r="AQ23" s="1757">
        <v>-346</v>
      </c>
      <c r="AR23" s="1757">
        <v>-344</v>
      </c>
      <c r="AS23" s="1757">
        <v>-257.89999999999998</v>
      </c>
      <c r="AT23" s="1757">
        <v>-247</v>
      </c>
      <c r="AU23" s="1757">
        <v>-391</v>
      </c>
      <c r="AV23" s="1757">
        <v>-365</v>
      </c>
      <c r="AW23" s="1757">
        <v>-380</v>
      </c>
      <c r="AX23" s="1757">
        <v>-388</v>
      </c>
      <c r="AY23" s="1757">
        <v>-462</v>
      </c>
      <c r="AZ23" s="1757">
        <v>-558</v>
      </c>
      <c r="BA23" s="1757">
        <v>-423</v>
      </c>
      <c r="BB23" s="1757">
        <v>-539</v>
      </c>
      <c r="BC23" s="1858">
        <v>-578</v>
      </c>
      <c r="BD23" s="278">
        <f>SUM(AZ23:BC23)</f>
        <v>-2098</v>
      </c>
      <c r="BE23" s="1757">
        <v>-567</v>
      </c>
      <c r="BF23" s="1757">
        <v>-722</v>
      </c>
      <c r="BG23" s="1757">
        <v>-746</v>
      </c>
      <c r="BH23" s="1858">
        <v>-531</v>
      </c>
      <c r="BI23" s="278">
        <f t="shared" si="3"/>
        <v>-2566</v>
      </c>
      <c r="BJ23" s="1757">
        <v>-1030</v>
      </c>
      <c r="BK23" s="1757">
        <v>-976</v>
      </c>
      <c r="BL23" s="1757">
        <v>-918</v>
      </c>
      <c r="BM23" s="1757">
        <v>-1135</v>
      </c>
      <c r="BN23" s="276">
        <f t="shared" si="4"/>
        <v>-4059</v>
      </c>
      <c r="BO23" s="1757">
        <v>-933</v>
      </c>
      <c r="BP23" s="1757">
        <v>-808</v>
      </c>
      <c r="BQ23" s="1858">
        <v>-747</v>
      </c>
      <c r="BR23" s="278">
        <f t="shared" si="5"/>
        <v>-2488</v>
      </c>
      <c r="BS23" s="1756">
        <v>-575</v>
      </c>
      <c r="BT23" s="278">
        <f>BR23+BS23</f>
        <v>-3063</v>
      </c>
      <c r="BU23" s="1756">
        <v>-645</v>
      </c>
      <c r="BV23" s="1756">
        <v>-727</v>
      </c>
      <c r="BW23" s="1757">
        <v>-586</v>
      </c>
      <c r="BX23" s="1757">
        <v>-783</v>
      </c>
      <c r="BY23" s="1757">
        <v>-917</v>
      </c>
      <c r="BZ23" s="1757">
        <v>-928</v>
      </c>
      <c r="CA23" s="1757">
        <v>-614</v>
      </c>
      <c r="CB23" s="1757">
        <v>-643</v>
      </c>
      <c r="CC23" s="1757">
        <v>-482</v>
      </c>
      <c r="CD23" s="1757">
        <v>-494</v>
      </c>
      <c r="CE23" s="1757">
        <v>-282</v>
      </c>
      <c r="CF23" s="1757">
        <v>-454</v>
      </c>
      <c r="CG23" s="1757">
        <v>-378</v>
      </c>
      <c r="CH23" s="1757">
        <v>-515</v>
      </c>
      <c r="CI23" s="1757">
        <v>-435</v>
      </c>
      <c r="CJ23" s="1757">
        <v>-511</v>
      </c>
      <c r="CK23" s="1757">
        <v>-634</v>
      </c>
      <c r="CL23" s="1757">
        <f>-1223-CK23</f>
        <v>-589</v>
      </c>
      <c r="CM23" s="1757">
        <v>-618</v>
      </c>
      <c r="CN23" s="1757">
        <v>-576</v>
      </c>
      <c r="CO23" s="1757">
        <v>-680</v>
      </c>
      <c r="CP23" s="1757">
        <v>-296.71500000000003</v>
      </c>
      <c r="CQ23" s="1757">
        <v>-325.34599999999989</v>
      </c>
      <c r="CR23" s="1757">
        <v>-343.18000000000006</v>
      </c>
      <c r="CS23" s="1757">
        <v>-477.32</v>
      </c>
      <c r="CT23" s="1757">
        <v>-490.85100000000006</v>
      </c>
      <c r="CU23" s="1757">
        <v>-457.30400000000003</v>
      </c>
      <c r="CV23" s="1757">
        <v>-557.18100000000004</v>
      </c>
      <c r="CW23" s="1757">
        <v>-508.637</v>
      </c>
      <c r="CX23" s="1757">
        <v>-470.47999999999996</v>
      </c>
      <c r="CY23" s="1757">
        <v>-524.54099999999994</v>
      </c>
      <c r="CZ23" s="1757">
        <v>-558.41300000000001</v>
      </c>
      <c r="DA23" s="1757">
        <v>-475.52300000000002</v>
      </c>
      <c r="DB23" s="1757">
        <v>-445.32499999999993</v>
      </c>
      <c r="DC23" s="1757">
        <v>-446.45700000000011</v>
      </c>
      <c r="DD23" s="1757">
        <v>-475.75099999999986</v>
      </c>
      <c r="DE23" s="1757">
        <v>-375.291</v>
      </c>
      <c r="DF23" s="1757">
        <v>-329.95099999999996</v>
      </c>
      <c r="DG23" s="1757">
        <v>-377.20600000000019</v>
      </c>
      <c r="DH23" s="1757">
        <v>-544.08499999999981</v>
      </c>
      <c r="DI23" s="1757">
        <v>-441.601</v>
      </c>
      <c r="DJ23" s="1859" t="s">
        <v>78</v>
      </c>
    </row>
    <row r="24" spans="1:115" s="1855" customFormat="1">
      <c r="A24" s="1861" t="s">
        <v>79</v>
      </c>
      <c r="B24" s="1857">
        <v>-132</v>
      </c>
      <c r="C24" s="1855">
        <v>-125</v>
      </c>
      <c r="D24" s="1855">
        <v>-74</v>
      </c>
      <c r="E24" s="1855">
        <v>-83</v>
      </c>
      <c r="F24" s="1855">
        <v>-39</v>
      </c>
      <c r="G24" s="1855">
        <v>-75</v>
      </c>
      <c r="H24" s="1757">
        <v>-33</v>
      </c>
      <c r="I24" s="1757">
        <v>-21</v>
      </c>
      <c r="J24" s="1757">
        <v>4</v>
      </c>
      <c r="K24" s="1757">
        <v>2</v>
      </c>
      <c r="L24" s="1757">
        <v>-17</v>
      </c>
      <c r="M24" s="1757">
        <v>3</v>
      </c>
      <c r="N24" s="1757">
        <v>-11</v>
      </c>
      <c r="O24" s="1757">
        <v>-66</v>
      </c>
      <c r="P24" s="1757">
        <v>-2</v>
      </c>
      <c r="Q24" s="1757">
        <v>-32.119999999999997</v>
      </c>
      <c r="R24" s="1757">
        <v>-27</v>
      </c>
      <c r="S24" s="1757">
        <v>-43</v>
      </c>
      <c r="T24" s="1757">
        <v>-74</v>
      </c>
      <c r="U24" s="1757">
        <v>-55.386000000000003</v>
      </c>
      <c r="V24" s="1757">
        <v>-76</v>
      </c>
      <c r="W24" s="1757">
        <v>-124</v>
      </c>
      <c r="X24" s="1757">
        <v>-88</v>
      </c>
      <c r="Y24" s="1757">
        <v>-92.929000000000002</v>
      </c>
      <c r="Z24" s="1757">
        <v>-81</v>
      </c>
      <c r="AA24" s="1757">
        <v>-51</v>
      </c>
      <c r="AB24" s="1757">
        <v>-107</v>
      </c>
      <c r="AC24" s="1757">
        <v>-70</v>
      </c>
      <c r="AD24" s="1757">
        <v>-60.418999999999997</v>
      </c>
      <c r="AE24" s="1757">
        <v>-83.653999999999996</v>
      </c>
      <c r="AF24" s="1757">
        <v>-117</v>
      </c>
      <c r="AG24" s="1757">
        <v>3</v>
      </c>
      <c r="AH24" s="1757">
        <v>-65</v>
      </c>
      <c r="AI24" s="1757">
        <v>-69</v>
      </c>
      <c r="AJ24" s="1757">
        <v>29</v>
      </c>
      <c r="AK24" s="1757">
        <v>-75</v>
      </c>
      <c r="AL24" s="1757">
        <v>-177</v>
      </c>
      <c r="AM24" s="1757">
        <v>-150</v>
      </c>
      <c r="AN24" s="1757">
        <v>1</v>
      </c>
      <c r="AO24" s="1757">
        <v>-11</v>
      </c>
      <c r="AP24" s="1757">
        <v>-49</v>
      </c>
      <c r="AQ24" s="1757">
        <v>-349</v>
      </c>
      <c r="AR24" s="1757">
        <v>-73</v>
      </c>
      <c r="AS24" s="1757">
        <v>-101.209</v>
      </c>
      <c r="AT24" s="1757">
        <v>-129</v>
      </c>
      <c r="AU24" s="1757">
        <v>-190</v>
      </c>
      <c r="AV24" s="1757">
        <v>-158</v>
      </c>
      <c r="AW24" s="1757">
        <v>-288</v>
      </c>
      <c r="AX24" s="1757">
        <v>-430</v>
      </c>
      <c r="AY24" s="1757">
        <v>-525</v>
      </c>
      <c r="AZ24" s="1757">
        <v>-376</v>
      </c>
      <c r="BA24" s="1757">
        <v>-412</v>
      </c>
      <c r="BB24" s="1757">
        <v>-69</v>
      </c>
      <c r="BC24" s="1858">
        <v>32</v>
      </c>
      <c r="BD24" s="278">
        <f>SUM(AZ24:BC24)</f>
        <v>-825</v>
      </c>
      <c r="BE24" s="1757">
        <v>-81</v>
      </c>
      <c r="BF24" s="1757">
        <v>-675</v>
      </c>
      <c r="BG24" s="1757">
        <v>-360</v>
      </c>
      <c r="BH24" s="1858">
        <v>-507</v>
      </c>
      <c r="BI24" s="278">
        <f t="shared" si="3"/>
        <v>-1623</v>
      </c>
      <c r="BJ24" s="1757">
        <v>-413</v>
      </c>
      <c r="BK24" s="1757">
        <v>-680</v>
      </c>
      <c r="BL24" s="1757">
        <v>-690</v>
      </c>
      <c r="BM24" s="1757">
        <v>-248</v>
      </c>
      <c r="BN24" s="276">
        <f t="shared" si="4"/>
        <v>-2031</v>
      </c>
      <c r="BO24" s="1757">
        <v>-200</v>
      </c>
      <c r="BP24" s="1757">
        <v>-462</v>
      </c>
      <c r="BQ24" s="1858">
        <v>-283</v>
      </c>
      <c r="BR24" s="278">
        <f t="shared" si="5"/>
        <v>-945</v>
      </c>
      <c r="BS24" s="1756">
        <v>-220</v>
      </c>
      <c r="BT24" s="278">
        <f>BR24+BS24</f>
        <v>-1165</v>
      </c>
      <c r="BU24" s="1756">
        <v>-54</v>
      </c>
      <c r="BV24" s="1756">
        <v>-330</v>
      </c>
      <c r="BW24" s="1757">
        <v>71</v>
      </c>
      <c r="BX24" s="1757">
        <v>-101</v>
      </c>
      <c r="BY24" s="1757">
        <v>-120</v>
      </c>
      <c r="BZ24" s="1757">
        <v>-54</v>
      </c>
      <c r="CA24" s="1757">
        <v>50</v>
      </c>
      <c r="CB24" s="1757">
        <v>-153</v>
      </c>
      <c r="CC24" s="1757">
        <v>-15</v>
      </c>
      <c r="CD24" s="1757">
        <v>37</v>
      </c>
      <c r="CE24" s="1757">
        <v>-73</v>
      </c>
      <c r="CF24" s="1757">
        <v>-299</v>
      </c>
      <c r="CG24" s="1757">
        <v>-122</v>
      </c>
      <c r="CH24" s="1757">
        <v>-229</v>
      </c>
      <c r="CI24" s="1757">
        <v>-162</v>
      </c>
      <c r="CJ24" s="1757">
        <v>-264</v>
      </c>
      <c r="CK24" s="1757">
        <v>-192</v>
      </c>
      <c r="CL24" s="1757">
        <f>-106-CK24</f>
        <v>86</v>
      </c>
      <c r="CM24" s="1757">
        <v>-105</v>
      </c>
      <c r="CN24" s="1757">
        <v>-213</v>
      </c>
      <c r="CO24" s="1757">
        <v>-138</v>
      </c>
      <c r="CP24" s="1757">
        <v>-185.55799999999996</v>
      </c>
      <c r="CQ24" s="1757">
        <v>-139.31100000000004</v>
      </c>
      <c r="CR24" s="1757">
        <v>-14.787999999999982</v>
      </c>
      <c r="CS24" s="1757">
        <v>-150.22999999999999</v>
      </c>
      <c r="CT24" s="1757">
        <v>-213.33400000000003</v>
      </c>
      <c r="CU24" s="1757">
        <v>-158.49799999999999</v>
      </c>
      <c r="CV24" s="1757">
        <v>-193.10500000000002</v>
      </c>
      <c r="CW24" s="1757">
        <v>-178.18799999999999</v>
      </c>
      <c r="CX24" s="1757">
        <v>43.510999999999996</v>
      </c>
      <c r="CY24" s="1757">
        <v>-109.386</v>
      </c>
      <c r="CZ24" s="1757">
        <v>-28.514000000000038</v>
      </c>
      <c r="DA24" s="1757">
        <v>-76.653000000000006</v>
      </c>
      <c r="DB24" s="1757">
        <v>-114.271</v>
      </c>
      <c r="DC24" s="1757">
        <v>-5.2849999999999966</v>
      </c>
      <c r="DD24" s="1757">
        <v>-11.57999999999997</v>
      </c>
      <c r="DE24" s="1757">
        <v>-377.58300000000003</v>
      </c>
      <c r="DF24" s="1757">
        <v>34.688000000000045</v>
      </c>
      <c r="DG24" s="1757">
        <v>62.204000000000008</v>
      </c>
      <c r="DH24" s="1757">
        <v>248.06199999999998</v>
      </c>
      <c r="DI24" s="1757">
        <v>-148.78</v>
      </c>
      <c r="DJ24" s="1859" t="s">
        <v>80</v>
      </c>
    </row>
    <row r="25" spans="1:115" s="1855" customFormat="1">
      <c r="A25" s="1861"/>
      <c r="B25" s="1857"/>
      <c r="H25" s="1757"/>
      <c r="I25" s="1757"/>
      <c r="J25" s="1757"/>
      <c r="K25" s="1757"/>
      <c r="L25" s="1757"/>
      <c r="M25" s="1757"/>
      <c r="N25" s="1757"/>
      <c r="O25" s="1757"/>
      <c r="P25" s="1757"/>
      <c r="Q25" s="1757"/>
      <c r="R25" s="1757"/>
      <c r="S25" s="1757"/>
      <c r="T25" s="1757"/>
      <c r="U25" s="1757"/>
      <c r="V25" s="1757"/>
      <c r="W25" s="1757"/>
      <c r="X25" s="1757"/>
      <c r="Y25" s="1757"/>
      <c r="Z25" s="1757"/>
      <c r="AA25" s="1757"/>
      <c r="AB25" s="1757"/>
      <c r="AC25" s="1757"/>
      <c r="AD25" s="1757"/>
      <c r="AE25" s="1757"/>
      <c r="AF25" s="1757"/>
      <c r="AG25" s="1757"/>
      <c r="AH25" s="1757"/>
      <c r="AI25" s="1757"/>
      <c r="AJ25" s="1757"/>
      <c r="AK25" s="1757"/>
      <c r="AL25" s="1757"/>
      <c r="AM25" s="1757"/>
      <c r="AN25" s="1757"/>
      <c r="AO25" s="1757"/>
      <c r="AP25" s="1757"/>
      <c r="AQ25" s="1757"/>
      <c r="AR25" s="1757"/>
      <c r="AS25" s="1757"/>
      <c r="AT25" s="1757"/>
      <c r="AU25" s="1757"/>
      <c r="AV25" s="1757"/>
      <c r="AW25" s="1757"/>
      <c r="AX25" s="1757"/>
      <c r="AY25" s="1757"/>
      <c r="AZ25" s="1757"/>
      <c r="BA25" s="1757"/>
      <c r="BB25" s="1757"/>
      <c r="BC25" s="1858"/>
      <c r="BD25" s="278"/>
      <c r="BE25" s="1757"/>
      <c r="BF25" s="1757"/>
      <c r="BG25" s="1757"/>
      <c r="BH25" s="1858"/>
      <c r="BI25" s="278"/>
      <c r="BJ25" s="1757"/>
      <c r="BK25" s="1757"/>
      <c r="BL25" s="1757"/>
      <c r="BM25" s="1757"/>
      <c r="BN25" s="276"/>
      <c r="BO25" s="1757"/>
      <c r="BP25" s="1757"/>
      <c r="BQ25" s="1858"/>
      <c r="BR25" s="278"/>
      <c r="BS25" s="1756"/>
      <c r="BT25" s="278"/>
      <c r="BU25" s="1756"/>
      <c r="BV25" s="1756"/>
      <c r="BW25" s="1757"/>
      <c r="BX25" s="1757"/>
      <c r="BY25" s="1757"/>
      <c r="BZ25" s="1757"/>
      <c r="CA25" s="1757"/>
      <c r="CB25" s="1757"/>
      <c r="CC25" s="1757"/>
      <c r="CD25" s="1757"/>
      <c r="CE25" s="1757"/>
      <c r="CF25" s="1757"/>
      <c r="CG25" s="1757"/>
      <c r="CH25" s="1757"/>
      <c r="CI25" s="1757"/>
      <c r="CJ25" s="1757"/>
      <c r="CK25" s="1757"/>
      <c r="CL25" s="1757"/>
      <c r="CM25" s="1757"/>
      <c r="CN25" s="1757"/>
      <c r="CO25" s="1757"/>
      <c r="CP25" s="1757"/>
      <c r="CQ25" s="1757"/>
      <c r="CR25" s="1757"/>
      <c r="CS25" s="1757"/>
      <c r="CT25" s="1757"/>
      <c r="CU25" s="1757"/>
      <c r="CV25" s="1757"/>
      <c r="CW25" s="1757"/>
      <c r="CX25" s="1757"/>
      <c r="CY25" s="1757"/>
      <c r="CZ25" s="1757"/>
      <c r="DA25" s="1757"/>
      <c r="DB25" s="1757"/>
      <c r="DC25" s="1757"/>
      <c r="DD25" s="1757"/>
      <c r="DE25" s="1757"/>
      <c r="DF25" s="1757"/>
      <c r="DG25" s="1757"/>
      <c r="DH25" s="1757"/>
      <c r="DI25" s="1757"/>
      <c r="DJ25" s="1859"/>
    </row>
    <row r="26" spans="1:115" s="1855" customFormat="1" ht="13.5">
      <c r="A26" s="1864" t="s">
        <v>85</v>
      </c>
      <c r="B26" s="1857"/>
      <c r="H26" s="1757"/>
      <c r="I26" s="1757"/>
      <c r="J26" s="1757"/>
      <c r="K26" s="1757"/>
      <c r="L26" s="1757"/>
      <c r="M26" s="1757"/>
      <c r="N26" s="1757"/>
      <c r="O26" s="1757"/>
      <c r="P26" s="1757"/>
      <c r="Q26" s="1757"/>
      <c r="R26" s="1757"/>
      <c r="S26" s="1757"/>
      <c r="T26" s="1757"/>
      <c r="U26" s="1757"/>
      <c r="V26" s="1757"/>
      <c r="W26" s="1757"/>
      <c r="X26" s="1757"/>
      <c r="Y26" s="1757"/>
      <c r="Z26" s="1757"/>
      <c r="AA26" s="1757"/>
      <c r="AB26" s="1757"/>
      <c r="AC26" s="1757"/>
      <c r="AD26" s="1757"/>
      <c r="AE26" s="1757"/>
      <c r="AF26" s="1757"/>
      <c r="AG26" s="1757"/>
      <c r="AH26" s="1757"/>
      <c r="AI26" s="1757"/>
      <c r="AJ26" s="1757"/>
      <c r="AK26" s="1757"/>
      <c r="AL26" s="1757"/>
      <c r="AM26" s="1757"/>
      <c r="AN26" s="1757"/>
      <c r="AO26" s="1757"/>
      <c r="AP26" s="1757"/>
      <c r="AQ26" s="1757"/>
      <c r="AR26" s="1757"/>
      <c r="AS26" s="1757"/>
      <c r="AT26" s="1757"/>
      <c r="AU26" s="1757"/>
      <c r="AV26" s="1757"/>
      <c r="AW26" s="1757"/>
      <c r="AX26" s="1757"/>
      <c r="AY26" s="1757"/>
      <c r="AZ26" s="1757"/>
      <c r="BA26" s="1757"/>
      <c r="BB26" s="1757"/>
      <c r="BC26" s="1858"/>
      <c r="BD26" s="278"/>
      <c r="BE26" s="1757"/>
      <c r="BF26" s="1757"/>
      <c r="BG26" s="1757"/>
      <c r="BH26" s="1858"/>
      <c r="BI26" s="278"/>
      <c r="BJ26" s="1757"/>
      <c r="BK26" s="1757"/>
      <c r="BL26" s="1757"/>
      <c r="BM26" s="1757"/>
      <c r="BN26" s="276"/>
      <c r="BO26" s="1757"/>
      <c r="BP26" s="1757"/>
      <c r="BQ26" s="1858"/>
      <c r="BR26" s="278"/>
      <c r="BS26" s="1756"/>
      <c r="BT26" s="278"/>
      <c r="BU26" s="1756"/>
      <c r="BV26" s="1756"/>
      <c r="BW26" s="1757"/>
      <c r="BX26" s="1757"/>
      <c r="BY26" s="1757"/>
      <c r="BZ26" s="1757"/>
      <c r="CA26" s="1757"/>
      <c r="CB26" s="1757"/>
      <c r="CC26" s="1757"/>
      <c r="CD26" s="1757"/>
      <c r="CE26" s="1757"/>
      <c r="CF26" s="1757"/>
      <c r="CG26" s="1757"/>
      <c r="CH26" s="1757"/>
      <c r="CI26" s="1757"/>
      <c r="CJ26" s="1757"/>
      <c r="CK26" s="1757"/>
      <c r="CL26" s="1757"/>
      <c r="CM26" s="1757"/>
      <c r="CN26" s="1757"/>
      <c r="CO26" s="1757"/>
      <c r="CP26" s="1757"/>
      <c r="CQ26" s="1757"/>
      <c r="CR26" s="1757"/>
      <c r="CS26" s="1757"/>
      <c r="CT26" s="1757"/>
      <c r="CU26" s="1757"/>
      <c r="CV26" s="1757"/>
      <c r="CW26" s="1757"/>
      <c r="CX26" s="1757"/>
      <c r="CY26" s="1757"/>
      <c r="CZ26" s="1757"/>
      <c r="DA26" s="1757"/>
      <c r="DB26" s="1757"/>
      <c r="DC26" s="1757"/>
      <c r="DD26" s="1757"/>
      <c r="DE26" s="1757"/>
      <c r="DF26" s="1757"/>
      <c r="DG26" s="1757"/>
      <c r="DH26" s="1757"/>
      <c r="DI26" s="1757"/>
      <c r="DJ26" s="1865" t="s">
        <v>86</v>
      </c>
    </row>
    <row r="27" spans="1:115">
      <c r="A27" s="1760"/>
      <c r="B27" s="1862"/>
      <c r="H27" s="1757"/>
      <c r="I27" s="1757"/>
      <c r="J27" s="1757"/>
      <c r="K27" s="1757"/>
      <c r="L27" s="1757"/>
      <c r="M27" s="1757"/>
      <c r="N27" s="1757"/>
      <c r="O27" s="1757"/>
      <c r="P27" s="1757"/>
      <c r="Q27" s="1757"/>
      <c r="R27" s="1757"/>
      <c r="S27" s="1757"/>
      <c r="T27" s="1757"/>
      <c r="U27" s="1757"/>
      <c r="V27" s="1757"/>
      <c r="W27" s="1757"/>
      <c r="X27" s="1757"/>
      <c r="Y27" s="1757"/>
      <c r="Z27" s="1757"/>
      <c r="AA27" s="1757"/>
      <c r="AB27" s="1757"/>
      <c r="AC27" s="1757"/>
      <c r="AD27" s="1757"/>
      <c r="AE27" s="1757"/>
      <c r="AF27" s="1757"/>
      <c r="AG27" s="1757"/>
      <c r="AH27" s="1757"/>
      <c r="AI27" s="1757"/>
      <c r="AJ27" s="1757"/>
      <c r="AK27" s="1757"/>
      <c r="AL27" s="1757"/>
      <c r="AM27" s="1757"/>
      <c r="AN27" s="1757"/>
      <c r="AO27" s="1757"/>
      <c r="AP27" s="1757"/>
      <c r="AQ27" s="1757"/>
      <c r="AR27" s="1757"/>
      <c r="AS27" s="1757"/>
      <c r="AT27" s="1757"/>
      <c r="AU27" s="1757"/>
      <c r="AV27" s="1757"/>
      <c r="AW27" s="1757"/>
      <c r="AX27" s="1757"/>
      <c r="AY27" s="1757"/>
      <c r="AZ27" s="1757"/>
      <c r="BA27" s="1757"/>
      <c r="BB27" s="1757"/>
      <c r="BC27" s="1858"/>
      <c r="BD27" s="278"/>
      <c r="BE27" s="1757"/>
      <c r="BF27" s="1757"/>
      <c r="BG27" s="1757"/>
      <c r="BH27" s="1858"/>
      <c r="BI27" s="278"/>
      <c r="BJ27" s="1757"/>
      <c r="BK27" s="1757"/>
      <c r="BL27" s="1757"/>
      <c r="BM27" s="1757"/>
      <c r="BN27" s="276"/>
      <c r="BO27" s="1757"/>
      <c r="BP27" s="1757"/>
      <c r="BQ27" s="1858"/>
      <c r="BR27" s="278"/>
      <c r="BS27" s="1756"/>
      <c r="BT27" s="278"/>
      <c r="BU27" s="1756"/>
      <c r="BV27" s="1756"/>
      <c r="BW27" s="1757"/>
      <c r="BX27" s="1757"/>
      <c r="BY27" s="1757"/>
      <c r="BZ27" s="1757"/>
      <c r="CA27" s="1757"/>
      <c r="CB27" s="1757"/>
      <c r="CC27" s="1757"/>
      <c r="CD27" s="1757"/>
      <c r="CE27" s="1757"/>
      <c r="CF27" s="1757"/>
      <c r="CG27" s="1757"/>
      <c r="CH27" s="1757"/>
      <c r="CI27" s="1757"/>
      <c r="CJ27" s="1757"/>
      <c r="CK27" s="1757"/>
      <c r="CL27" s="1757"/>
      <c r="CM27" s="1757"/>
      <c r="CN27" s="1757"/>
      <c r="CO27" s="1757"/>
      <c r="CP27" s="1757"/>
      <c r="CQ27" s="1757"/>
      <c r="CR27" s="1757"/>
      <c r="CS27" s="1757"/>
      <c r="CT27" s="1757"/>
      <c r="CU27" s="1757"/>
      <c r="CV27" s="1757"/>
      <c r="CW27" s="1757"/>
      <c r="CX27" s="1757"/>
      <c r="CY27" s="1757"/>
      <c r="CZ27" s="1757"/>
      <c r="DA27" s="1757"/>
      <c r="DB27" s="1757"/>
      <c r="DC27" s="1757"/>
      <c r="DD27" s="1757"/>
      <c r="DE27" s="1757"/>
      <c r="DF27" s="1757"/>
      <c r="DG27" s="1757"/>
      <c r="DH27" s="1757"/>
      <c r="DI27" s="1757"/>
      <c r="DJ27" s="1863"/>
      <c r="DK27" s="1855"/>
    </row>
    <row r="28" spans="1:115" s="1855" customFormat="1">
      <c r="A28" s="1866" t="s">
        <v>87</v>
      </c>
      <c r="B28" s="1857">
        <v>-16</v>
      </c>
      <c r="C28" s="1855">
        <v>-62</v>
      </c>
      <c r="D28" s="1855">
        <v>-12</v>
      </c>
      <c r="E28" s="1855">
        <v>-65</v>
      </c>
      <c r="F28" s="1855">
        <v>46</v>
      </c>
      <c r="G28" s="1855">
        <v>-25</v>
      </c>
      <c r="H28" s="1757">
        <v>-16</v>
      </c>
      <c r="I28" s="1757">
        <v>-4</v>
      </c>
      <c r="J28" s="1757">
        <v>16</v>
      </c>
      <c r="K28" s="1757">
        <v>9</v>
      </c>
      <c r="L28" s="1757">
        <v>2</v>
      </c>
      <c r="M28" s="1757">
        <v>19</v>
      </c>
      <c r="N28" s="1757">
        <v>17</v>
      </c>
      <c r="O28" s="1757">
        <v>1</v>
      </c>
      <c r="P28" s="1757">
        <v>1</v>
      </c>
      <c r="Q28" s="1757">
        <v>3</v>
      </c>
      <c r="R28" s="1757">
        <v>0.49199999999999999</v>
      </c>
      <c r="S28" s="1757">
        <v>5</v>
      </c>
      <c r="T28" s="1757">
        <v>-22</v>
      </c>
      <c r="U28" s="1757">
        <v>-10</v>
      </c>
      <c r="V28" s="1757">
        <v>-23</v>
      </c>
      <c r="W28" s="1757">
        <v>-28</v>
      </c>
      <c r="X28" s="1757">
        <v>-52</v>
      </c>
      <c r="Y28" s="1757">
        <v>-26</v>
      </c>
      <c r="Z28" s="1757">
        <v>-43</v>
      </c>
      <c r="AA28" s="1757">
        <v>-18</v>
      </c>
      <c r="AB28" s="1757">
        <v>-22</v>
      </c>
      <c r="AC28" s="1757">
        <v>-27</v>
      </c>
      <c r="AD28" s="1757">
        <v>-18</v>
      </c>
      <c r="AE28" s="1757">
        <v>-35</v>
      </c>
      <c r="AF28" s="1757">
        <v>-7</v>
      </c>
      <c r="AG28" s="1757">
        <v>32</v>
      </c>
      <c r="AH28" s="1757">
        <v>4</v>
      </c>
      <c r="AI28" s="1757">
        <v>28</v>
      </c>
      <c r="AJ28" s="1757">
        <v>58</v>
      </c>
      <c r="AK28" s="1757">
        <v>2</v>
      </c>
      <c r="AL28" s="1757">
        <v>20</v>
      </c>
      <c r="AM28" s="1757">
        <v>32</v>
      </c>
      <c r="AN28" s="1757">
        <v>44</v>
      </c>
      <c r="AO28" s="1757">
        <v>26</v>
      </c>
      <c r="AP28" s="1757">
        <v>-46</v>
      </c>
      <c r="AQ28" s="1757">
        <v>-164</v>
      </c>
      <c r="AR28" s="1757">
        <v>-45</v>
      </c>
      <c r="AS28" s="1757">
        <v>-37</v>
      </c>
      <c r="AT28" s="1757">
        <v>-39</v>
      </c>
      <c r="AU28" s="1757">
        <v>-35</v>
      </c>
      <c r="AV28" s="1757">
        <v>15</v>
      </c>
      <c r="AW28" s="1757">
        <v>-52</v>
      </c>
      <c r="AX28" s="1757">
        <v>-41</v>
      </c>
      <c r="AY28" s="1757">
        <v>-113</v>
      </c>
      <c r="AZ28" s="1757">
        <v>-89</v>
      </c>
      <c r="BA28" s="1757">
        <v>-124</v>
      </c>
      <c r="BB28" s="1757">
        <v>-28</v>
      </c>
      <c r="BC28" s="1858">
        <v>13</v>
      </c>
      <c r="BD28" s="278">
        <f>SUM(AZ28:BC28)</f>
        <v>-228</v>
      </c>
      <c r="BE28" s="1757">
        <v>-16</v>
      </c>
      <c r="BF28" s="1757">
        <v>-109</v>
      </c>
      <c r="BG28" s="1757">
        <v>1</v>
      </c>
      <c r="BH28" s="1858">
        <v>-43</v>
      </c>
      <c r="BI28" s="278">
        <f t="shared" si="3"/>
        <v>-167</v>
      </c>
      <c r="BJ28" s="1757">
        <v>40</v>
      </c>
      <c r="BK28" s="1757">
        <v>-13</v>
      </c>
      <c r="BL28" s="1757">
        <v>21</v>
      </c>
      <c r="BM28" s="1757">
        <v>82</v>
      </c>
      <c r="BN28" s="276">
        <f t="shared" si="4"/>
        <v>130</v>
      </c>
      <c r="BO28" s="1757">
        <v>-19</v>
      </c>
      <c r="BP28" s="1757">
        <v>285</v>
      </c>
      <c r="BQ28" s="1858">
        <v>144</v>
      </c>
      <c r="BR28" s="278">
        <f t="shared" si="5"/>
        <v>410</v>
      </c>
      <c r="BS28" s="1756">
        <v>98</v>
      </c>
      <c r="BT28" s="278">
        <f>BR28+BS28</f>
        <v>508</v>
      </c>
      <c r="BU28" s="1756">
        <v>65</v>
      </c>
      <c r="BV28" s="1756">
        <v>67</v>
      </c>
      <c r="BW28" s="1757">
        <v>51</v>
      </c>
      <c r="BX28" s="1757">
        <v>-7</v>
      </c>
      <c r="BY28" s="1757">
        <v>17</v>
      </c>
      <c r="BZ28" s="1757">
        <v>-42</v>
      </c>
      <c r="CA28" s="1757">
        <v>-21</v>
      </c>
      <c r="CB28" s="1757">
        <v>-31</v>
      </c>
      <c r="CC28" s="1757">
        <v>-31</v>
      </c>
      <c r="CD28" s="1757">
        <v>-26</v>
      </c>
      <c r="CE28" s="1757">
        <v>-133</v>
      </c>
      <c r="CF28" s="1757">
        <v>-107</v>
      </c>
      <c r="CG28" s="1757">
        <v>19</v>
      </c>
      <c r="CH28" s="1757">
        <v>-133</v>
      </c>
      <c r="CI28" s="1757">
        <v>-93</v>
      </c>
      <c r="CJ28" s="1757">
        <v>-143</v>
      </c>
      <c r="CK28" s="1757">
        <v>-92</v>
      </c>
      <c r="CL28" s="1757">
        <f>57-CK28</f>
        <v>149</v>
      </c>
      <c r="CM28" s="1757">
        <v>160</v>
      </c>
      <c r="CN28" s="1757">
        <v>126</v>
      </c>
      <c r="CO28" s="1757">
        <v>209</v>
      </c>
      <c r="CP28" s="1757">
        <v>180.42100000000002</v>
      </c>
      <c r="CQ28" s="1757">
        <v>174.77499999999998</v>
      </c>
      <c r="CR28" s="1757">
        <v>266.90499999999997</v>
      </c>
      <c r="CS28" s="1757">
        <v>230.64</v>
      </c>
      <c r="CT28" s="1757">
        <v>214.98900000000003</v>
      </c>
      <c r="CU28" s="1757">
        <v>766.09399999999994</v>
      </c>
      <c r="CV28" s="1757">
        <v>1020.793</v>
      </c>
      <c r="CW28" s="1757">
        <v>263.95800000000003</v>
      </c>
      <c r="CX28" s="1757">
        <v>308.85999999999996</v>
      </c>
      <c r="CY28" s="1757">
        <v>244.08600000000001</v>
      </c>
      <c r="CZ28" s="1757">
        <v>343.35599999999999</v>
      </c>
      <c r="DA28" s="1757">
        <v>278.72699999999998</v>
      </c>
      <c r="DB28" s="1757">
        <v>281.02700000000004</v>
      </c>
      <c r="DC28" s="1757">
        <v>302.29899999999998</v>
      </c>
      <c r="DD28" s="1757">
        <v>430.00300000000004</v>
      </c>
      <c r="DE28" s="1757">
        <v>328.27499999999998</v>
      </c>
      <c r="DF28" s="1757">
        <v>528.07900000000006</v>
      </c>
      <c r="DG28" s="1757">
        <v>438.5</v>
      </c>
      <c r="DH28" s="1757">
        <v>631.09999999999991</v>
      </c>
      <c r="DI28" s="1757">
        <v>506.774</v>
      </c>
      <c r="DJ28" s="1859" t="s">
        <v>88</v>
      </c>
    </row>
    <row r="29" spans="1:115" s="1855" customFormat="1">
      <c r="A29" s="1861" t="s">
        <v>89</v>
      </c>
      <c r="B29" s="1857">
        <v>-17</v>
      </c>
      <c r="C29" s="1855">
        <v>-57</v>
      </c>
      <c r="D29" s="1855">
        <v>-172</v>
      </c>
      <c r="E29" s="1855">
        <v>-124</v>
      </c>
      <c r="F29" s="1855">
        <v>-173</v>
      </c>
      <c r="G29" s="1855">
        <v>-86</v>
      </c>
      <c r="H29" s="1757">
        <v>-42</v>
      </c>
      <c r="I29" s="1757">
        <v>-42</v>
      </c>
      <c r="J29" s="1757">
        <v>-54</v>
      </c>
      <c r="K29" s="1757">
        <v>-43</v>
      </c>
      <c r="L29" s="1757">
        <v>-83</v>
      </c>
      <c r="M29" s="1757">
        <v>-119</v>
      </c>
      <c r="N29" s="1757">
        <v>-183</v>
      </c>
      <c r="O29" s="1757">
        <v>-174.25399999999999</v>
      </c>
      <c r="P29" s="1757">
        <v>-227</v>
      </c>
      <c r="Q29" s="1757">
        <v>-235</v>
      </c>
      <c r="R29" s="1757">
        <v>-221</v>
      </c>
      <c r="S29" s="1757">
        <v>-337</v>
      </c>
      <c r="T29" s="1757">
        <v>-428</v>
      </c>
      <c r="U29" s="1757">
        <v>-320</v>
      </c>
      <c r="V29" s="1757">
        <v>-283</v>
      </c>
      <c r="W29" s="1757">
        <v>-333</v>
      </c>
      <c r="X29" s="1757">
        <v>-272</v>
      </c>
      <c r="Y29" s="1757">
        <v>-483</v>
      </c>
      <c r="Z29" s="1757">
        <v>-317</v>
      </c>
      <c r="AA29" s="1757">
        <v>-417</v>
      </c>
      <c r="AB29" s="1757">
        <v>-331</v>
      </c>
      <c r="AC29" s="1757">
        <v>-291</v>
      </c>
      <c r="AD29" s="1757">
        <v>-351</v>
      </c>
      <c r="AE29" s="1757">
        <v>-281</v>
      </c>
      <c r="AF29" s="1757">
        <v>-302</v>
      </c>
      <c r="AG29" s="1757">
        <v>-386</v>
      </c>
      <c r="AH29" s="1757">
        <v>-383</v>
      </c>
      <c r="AI29" s="1757">
        <v>-354</v>
      </c>
      <c r="AJ29" s="1757">
        <v>-378</v>
      </c>
      <c r="AK29" s="1757">
        <v>-343</v>
      </c>
      <c r="AL29" s="1757">
        <v>-324</v>
      </c>
      <c r="AM29" s="1757">
        <v>-287</v>
      </c>
      <c r="AN29" s="1757">
        <v>-170</v>
      </c>
      <c r="AO29" s="1757">
        <v>-171</v>
      </c>
      <c r="AP29" s="1757">
        <v>-38</v>
      </c>
      <c r="AQ29" s="1757">
        <v>-222</v>
      </c>
      <c r="AR29" s="1757">
        <v>-27</v>
      </c>
      <c r="AS29" s="1757">
        <v>-65</v>
      </c>
      <c r="AT29" s="1757">
        <v>-21</v>
      </c>
      <c r="AU29" s="1757">
        <v>-59</v>
      </c>
      <c r="AV29" s="1757">
        <v>-71</v>
      </c>
      <c r="AW29" s="1757">
        <v>-24</v>
      </c>
      <c r="AX29" s="1757">
        <v>-153</v>
      </c>
      <c r="AY29" s="1757">
        <v>-151</v>
      </c>
      <c r="AZ29" s="1757">
        <v>-114</v>
      </c>
      <c r="BA29" s="1757">
        <v>-63</v>
      </c>
      <c r="BB29" s="1757">
        <v>5</v>
      </c>
      <c r="BC29" s="1858">
        <v>-69</v>
      </c>
      <c r="BD29" s="278">
        <f>SUM(AZ29:BC29)</f>
        <v>-241</v>
      </c>
      <c r="BE29" s="1757">
        <v>-346</v>
      </c>
      <c r="BF29" s="1757">
        <v>-402</v>
      </c>
      <c r="BG29" s="1757">
        <v>-429</v>
      </c>
      <c r="BH29" s="1858">
        <v>-327</v>
      </c>
      <c r="BI29" s="278">
        <f t="shared" si="3"/>
        <v>-1504</v>
      </c>
      <c r="BJ29" s="1757">
        <v>-757</v>
      </c>
      <c r="BK29" s="1757">
        <v>-1085</v>
      </c>
      <c r="BL29" s="1757">
        <v>-926</v>
      </c>
      <c r="BM29" s="1757">
        <v>-1094</v>
      </c>
      <c r="BN29" s="276">
        <f t="shared" si="4"/>
        <v>-3862</v>
      </c>
      <c r="BO29" s="1757">
        <v>-918</v>
      </c>
      <c r="BP29" s="1757">
        <v>-1017</v>
      </c>
      <c r="BQ29" s="1858">
        <v>-883</v>
      </c>
      <c r="BR29" s="278">
        <f t="shared" si="5"/>
        <v>-2818</v>
      </c>
      <c r="BS29" s="1756">
        <v>-679</v>
      </c>
      <c r="BT29" s="278">
        <f>BR29+BS29</f>
        <v>-3497</v>
      </c>
      <c r="BU29" s="1756">
        <v>-723</v>
      </c>
      <c r="BV29" s="1756">
        <v>-798</v>
      </c>
      <c r="BW29" s="1757">
        <v>-647</v>
      </c>
      <c r="BX29" s="1757">
        <v>-777</v>
      </c>
      <c r="BY29" s="1757">
        <v>-739</v>
      </c>
      <c r="BZ29" s="1757">
        <v>-716</v>
      </c>
      <c r="CA29" s="1757">
        <v>-522</v>
      </c>
      <c r="CB29" s="1757">
        <v>-440</v>
      </c>
      <c r="CC29" s="1757">
        <v>-396</v>
      </c>
      <c r="CD29" s="1757">
        <v>-333</v>
      </c>
      <c r="CE29" s="1757">
        <v>-303</v>
      </c>
      <c r="CF29" s="1757">
        <v>-245</v>
      </c>
      <c r="CG29" s="1757">
        <v>-214</v>
      </c>
      <c r="CH29" s="1757">
        <v>-276</v>
      </c>
      <c r="CI29" s="1757">
        <v>-247</v>
      </c>
      <c r="CJ29" s="1757">
        <v>-265</v>
      </c>
      <c r="CK29" s="1757">
        <v>-263</v>
      </c>
      <c r="CL29" s="1757">
        <f>-543-CK29</f>
        <v>-280</v>
      </c>
      <c r="CM29" s="1757">
        <v>-303</v>
      </c>
      <c r="CN29" s="1757">
        <v>-267</v>
      </c>
      <c r="CO29" s="1757">
        <v>-630</v>
      </c>
      <c r="CP29" s="1757">
        <v>-360.05499999999995</v>
      </c>
      <c r="CQ29" s="1757">
        <v>-331.64100000000002</v>
      </c>
      <c r="CR29" s="1757">
        <v>-332.85700000000014</v>
      </c>
      <c r="CS29" s="1757">
        <v>-268.75799999999998</v>
      </c>
      <c r="CT29" s="1757">
        <v>-256.09499999999997</v>
      </c>
      <c r="CU29" s="1757">
        <v>-297.495</v>
      </c>
      <c r="CV29" s="1757">
        <v>-312.61500000000001</v>
      </c>
      <c r="CW29" s="1757">
        <v>-328.887</v>
      </c>
      <c r="CX29" s="1757">
        <v>-352.33499999999998</v>
      </c>
      <c r="CY29" s="1757">
        <v>-362.79600000000005</v>
      </c>
      <c r="CZ29" s="1757">
        <v>-387.07500000000005</v>
      </c>
      <c r="DA29" s="1757">
        <v>-329.74400000000003</v>
      </c>
      <c r="DB29" s="1757">
        <v>-358.06399999999996</v>
      </c>
      <c r="DC29" s="1757">
        <v>-271.93000000000006</v>
      </c>
      <c r="DD29" s="1757">
        <v>-316.57999999999993</v>
      </c>
      <c r="DE29" s="1757">
        <v>-305.58199999999999</v>
      </c>
      <c r="DF29" s="1757">
        <v>-377.00599999999997</v>
      </c>
      <c r="DG29" s="1757">
        <v>-421.74099999999999</v>
      </c>
      <c r="DH29" s="1757">
        <v>-452.57500000000005</v>
      </c>
      <c r="DI29" s="1757">
        <v>-467.334</v>
      </c>
      <c r="DJ29" s="1859" t="s">
        <v>90</v>
      </c>
    </row>
    <row r="30" spans="1:115" s="1855" customFormat="1">
      <c r="A30" s="1861"/>
      <c r="B30" s="1857"/>
      <c r="H30" s="1757"/>
      <c r="I30" s="1757"/>
      <c r="J30" s="1757"/>
      <c r="K30" s="1757"/>
      <c r="L30" s="1757"/>
      <c r="M30" s="1757"/>
      <c r="N30" s="1757"/>
      <c r="O30" s="1757"/>
      <c r="P30" s="1757"/>
      <c r="Q30" s="1757"/>
      <c r="R30" s="1757"/>
      <c r="S30" s="1757"/>
      <c r="T30" s="1757"/>
      <c r="U30" s="1757"/>
      <c r="V30" s="1757"/>
      <c r="W30" s="1757"/>
      <c r="X30" s="1757"/>
      <c r="Y30" s="1757"/>
      <c r="Z30" s="1757"/>
      <c r="AA30" s="1757"/>
      <c r="AB30" s="1757"/>
      <c r="AC30" s="1757"/>
      <c r="AD30" s="1757"/>
      <c r="AE30" s="1757"/>
      <c r="AF30" s="1757"/>
      <c r="AG30" s="1757"/>
      <c r="AH30" s="1757"/>
      <c r="AI30" s="1757"/>
      <c r="AJ30" s="1757"/>
      <c r="AK30" s="1757"/>
      <c r="AL30" s="1757"/>
      <c r="AM30" s="1757"/>
      <c r="AN30" s="1757"/>
      <c r="AO30" s="1757"/>
      <c r="AP30" s="1757"/>
      <c r="AQ30" s="1757"/>
      <c r="AR30" s="1757"/>
      <c r="AS30" s="1757"/>
      <c r="AT30" s="1757"/>
      <c r="AU30" s="1757"/>
      <c r="AV30" s="1757"/>
      <c r="AW30" s="1757"/>
      <c r="AX30" s="1757"/>
      <c r="AY30" s="1757"/>
      <c r="AZ30" s="1757"/>
      <c r="BA30" s="1757"/>
      <c r="BB30" s="1757"/>
      <c r="BC30" s="1858"/>
      <c r="BD30" s="278"/>
      <c r="BE30" s="1757"/>
      <c r="BF30" s="1757"/>
      <c r="BG30" s="1757"/>
      <c r="BH30" s="1858"/>
      <c r="BI30" s="278"/>
      <c r="BJ30" s="1757"/>
      <c r="BK30" s="1757"/>
      <c r="BL30" s="1757"/>
      <c r="BM30" s="1757"/>
      <c r="BN30" s="276"/>
      <c r="BO30" s="1757"/>
      <c r="BP30" s="1757"/>
      <c r="BQ30" s="1858"/>
      <c r="BR30" s="278"/>
      <c r="BS30" s="1756"/>
      <c r="BT30" s="278"/>
      <c r="BU30" s="1756"/>
      <c r="BV30" s="1756"/>
      <c r="BW30" s="1757"/>
      <c r="BX30" s="1757"/>
      <c r="BY30" s="1757"/>
      <c r="BZ30" s="1757"/>
      <c r="CA30" s="1757"/>
      <c r="CB30" s="1757"/>
      <c r="CC30" s="1757"/>
      <c r="CD30" s="1757"/>
      <c r="CE30" s="1757"/>
      <c r="CF30" s="1757"/>
      <c r="CG30" s="1757"/>
      <c r="CH30" s="1757"/>
      <c r="CI30" s="1757"/>
      <c r="CJ30" s="1757"/>
      <c r="CK30" s="1757"/>
      <c r="CL30" s="1757"/>
      <c r="CM30" s="1757"/>
      <c r="CN30" s="1757"/>
      <c r="CO30" s="1757"/>
      <c r="CP30" s="1757"/>
      <c r="CQ30" s="1757"/>
      <c r="CR30" s="1757"/>
      <c r="CS30" s="1757"/>
      <c r="CT30" s="1757"/>
      <c r="CU30" s="1757"/>
      <c r="CV30" s="1757"/>
      <c r="CW30" s="1757"/>
      <c r="CX30" s="1757"/>
      <c r="CY30" s="1757"/>
      <c r="CZ30" s="1757"/>
      <c r="DA30" s="1757"/>
      <c r="DB30" s="1757"/>
      <c r="DC30" s="1757"/>
      <c r="DD30" s="1757"/>
      <c r="DE30" s="1757"/>
      <c r="DF30" s="1757"/>
      <c r="DG30" s="1757"/>
      <c r="DH30" s="1757"/>
      <c r="DI30" s="1757"/>
      <c r="DJ30" s="1859"/>
    </row>
    <row r="31" spans="1:115" s="1855" customFormat="1">
      <c r="A31" s="1861" t="s">
        <v>1477</v>
      </c>
      <c r="B31" s="1757">
        <v>-6</v>
      </c>
      <c r="C31" s="1757">
        <v>-12</v>
      </c>
      <c r="D31" s="1757">
        <v>-9</v>
      </c>
      <c r="E31" s="1757">
        <v>-13</v>
      </c>
      <c r="F31" s="1757">
        <v>-45</v>
      </c>
      <c r="G31" s="1757">
        <v>-335</v>
      </c>
      <c r="H31" s="1757">
        <v>-101.133</v>
      </c>
      <c r="I31" s="1757">
        <v>-107</v>
      </c>
      <c r="J31" s="1757">
        <v>-77.504000000000005</v>
      </c>
      <c r="K31" s="1757">
        <v>-81</v>
      </c>
      <c r="L31" s="1757">
        <v>-71</v>
      </c>
      <c r="M31" s="1757">
        <v>-96</v>
      </c>
      <c r="N31" s="1757">
        <v>-96</v>
      </c>
      <c r="O31" s="1757">
        <v>-121.252</v>
      </c>
      <c r="P31" s="1757">
        <v>-97.823999999999998</v>
      </c>
      <c r="Q31" s="1757">
        <v>-128.31099999999998</v>
      </c>
      <c r="R31" s="1757">
        <v>-105</v>
      </c>
      <c r="S31" s="1757">
        <v>-111</v>
      </c>
      <c r="T31" s="1757">
        <v>-144</v>
      </c>
      <c r="U31" s="1757">
        <v>-176.89699999999999</v>
      </c>
      <c r="V31" s="1757">
        <v>-160.42000000000002</v>
      </c>
      <c r="W31" s="1757">
        <v>-219</v>
      </c>
      <c r="X31" s="1757">
        <v>-233</v>
      </c>
      <c r="Y31" s="1757">
        <v>-329.47899999999998</v>
      </c>
      <c r="Z31" s="1757">
        <v>-447</v>
      </c>
      <c r="AA31" s="1757">
        <v>-636</v>
      </c>
      <c r="AB31" s="1757">
        <v>-592</v>
      </c>
      <c r="AC31" s="1757">
        <v>-773.66700000000003</v>
      </c>
      <c r="AD31" s="1757">
        <v>-945.46199999999999</v>
      </c>
      <c r="AE31" s="1757">
        <v>-369</v>
      </c>
      <c r="AF31" s="1757">
        <v>-546.74699999999996</v>
      </c>
      <c r="AG31" s="1757">
        <v>-1468.2239999999999</v>
      </c>
      <c r="AH31" s="1757">
        <v>-1388</v>
      </c>
      <c r="AI31" s="1757">
        <v>-1677</v>
      </c>
      <c r="AJ31" s="1757">
        <v>-1857</v>
      </c>
      <c r="AK31" s="1757">
        <v>-1846.5909999999999</v>
      </c>
      <c r="AL31" s="1757">
        <v>-1216</v>
      </c>
      <c r="AM31" s="1757">
        <v>-346</v>
      </c>
      <c r="AN31" s="1757">
        <v>-214.28299999999999</v>
      </c>
      <c r="AO31" s="1757">
        <v>-947.08</v>
      </c>
      <c r="AP31" s="1757">
        <v>-1376.62</v>
      </c>
      <c r="AQ31" s="1757">
        <v>-981</v>
      </c>
      <c r="AR31" s="1757">
        <v>-795.38400000000001</v>
      </c>
      <c r="AS31" s="1757">
        <v>-922.48199999999997</v>
      </c>
      <c r="AT31" s="1757">
        <v>-968</v>
      </c>
      <c r="AU31" s="1757">
        <v>-781</v>
      </c>
      <c r="AV31" s="1757">
        <v>-1347</v>
      </c>
      <c r="AW31" s="1757">
        <v>-1257.519</v>
      </c>
      <c r="AX31" s="1757">
        <v>-1099</v>
      </c>
      <c r="AY31" s="1757">
        <v>-1157</v>
      </c>
      <c r="AZ31" s="1757">
        <f>AZ33+AZ34</f>
        <v>-1285</v>
      </c>
      <c r="BA31" s="1757">
        <f t="shared" ref="BA31:BX31" si="10">BA33+BA34</f>
        <v>-1067</v>
      </c>
      <c r="BB31" s="1757">
        <f t="shared" si="10"/>
        <v>-1139</v>
      </c>
      <c r="BC31" s="1757">
        <f t="shared" si="10"/>
        <v>-835</v>
      </c>
      <c r="BD31" s="276">
        <f>BD33+BD34</f>
        <v>-4326</v>
      </c>
      <c r="BE31" s="1757">
        <v>-1160</v>
      </c>
      <c r="BF31" s="1757">
        <v>-837</v>
      </c>
      <c r="BG31" s="1757">
        <v>-1055</v>
      </c>
      <c r="BH31" s="1757">
        <v>-1069</v>
      </c>
      <c r="BI31" s="276">
        <f>BI33+BI34</f>
        <v>-4121</v>
      </c>
      <c r="BJ31" s="1757">
        <f t="shared" si="10"/>
        <v>-754</v>
      </c>
      <c r="BK31" s="1757">
        <f t="shared" si="10"/>
        <v>-827</v>
      </c>
      <c r="BL31" s="1757">
        <f t="shared" si="10"/>
        <v>-824</v>
      </c>
      <c r="BM31" s="1757">
        <f t="shared" si="10"/>
        <v>-176</v>
      </c>
      <c r="BN31" s="276">
        <f>BN33+BN34</f>
        <v>-2581</v>
      </c>
      <c r="BO31" s="1757">
        <f t="shared" si="10"/>
        <v>-485</v>
      </c>
      <c r="BP31" s="1757">
        <f t="shared" si="10"/>
        <v>-829</v>
      </c>
      <c r="BQ31" s="1757">
        <f t="shared" si="10"/>
        <v>-482</v>
      </c>
      <c r="BR31" s="276">
        <f t="shared" si="10"/>
        <v>-1796</v>
      </c>
      <c r="BS31" s="1756">
        <f t="shared" si="10"/>
        <v>-232</v>
      </c>
      <c r="BT31" s="278">
        <f>BT33+BT34</f>
        <v>-2028</v>
      </c>
      <c r="BU31" s="1756">
        <f t="shared" si="10"/>
        <v>-358</v>
      </c>
      <c r="BV31" s="1756">
        <f t="shared" si="10"/>
        <v>-645</v>
      </c>
      <c r="BW31" s="1756">
        <f t="shared" si="10"/>
        <v>-795</v>
      </c>
      <c r="BX31" s="1757">
        <f t="shared" si="10"/>
        <v>-674</v>
      </c>
      <c r="BY31" s="1757">
        <f>BY33+BY34</f>
        <v>-587</v>
      </c>
      <c r="BZ31" s="1757">
        <f>BZ33+BZ34</f>
        <v>-380</v>
      </c>
      <c r="CA31" s="1757">
        <f>CA33+CA34</f>
        <v>-294</v>
      </c>
      <c r="CB31" s="1757">
        <f>CB33+CB34</f>
        <v>-499</v>
      </c>
      <c r="CC31" s="1757">
        <v>-528</v>
      </c>
      <c r="CD31" s="1757">
        <v>-378</v>
      </c>
      <c r="CE31" s="1757">
        <v>-583</v>
      </c>
      <c r="CF31" s="1757">
        <f>CF33+CF34</f>
        <v>-970</v>
      </c>
      <c r="CG31" s="1757">
        <v>-516</v>
      </c>
      <c r="CH31" s="1757">
        <v>-334</v>
      </c>
      <c r="CI31" s="1757">
        <v>-597</v>
      </c>
      <c r="CJ31" s="1757">
        <v>-614</v>
      </c>
      <c r="CK31" s="1757">
        <v>-457</v>
      </c>
      <c r="CL31" s="1757">
        <f>CL33+CL34</f>
        <v>-49</v>
      </c>
      <c r="CM31" s="1757">
        <v>-294</v>
      </c>
      <c r="CN31" s="1757">
        <v>344</v>
      </c>
      <c r="CO31" s="1757">
        <v>-200</v>
      </c>
      <c r="CP31" s="1757">
        <v>-358.36099999999999</v>
      </c>
      <c r="CQ31" s="1757">
        <v>-506.80399999999997</v>
      </c>
      <c r="CR31" s="1757">
        <v>-253.45100000000002</v>
      </c>
      <c r="CS31" s="1757">
        <v>-961.76</v>
      </c>
      <c r="CT31" s="1757">
        <v>-1691.6910000000003</v>
      </c>
      <c r="CU31" s="1757">
        <v>-1651.4219999999998</v>
      </c>
      <c r="CV31" s="1757">
        <v>-1182.105</v>
      </c>
      <c r="CW31" s="1757">
        <v>-955.87999999999988</v>
      </c>
      <c r="CX31" s="1757">
        <v>-861.69600000000014</v>
      </c>
      <c r="CY31" s="1757">
        <v>-572.63</v>
      </c>
      <c r="CZ31" s="1757">
        <v>-808.91099999999983</v>
      </c>
      <c r="DA31" s="1757">
        <v>-566.42900000000009</v>
      </c>
      <c r="DB31" s="1757">
        <v>-663.31700000000001</v>
      </c>
      <c r="DC31" s="1757">
        <v>-748.77599999999995</v>
      </c>
      <c r="DD31" s="1757">
        <v>-756.21300000000019</v>
      </c>
      <c r="DE31" s="1757">
        <v>-656.24099999999999</v>
      </c>
      <c r="DF31" s="1757">
        <v>-421.87700000000007</v>
      </c>
      <c r="DG31" s="1757">
        <v>-625.84</v>
      </c>
      <c r="DH31" s="1757">
        <v>-282.52199999999976</v>
      </c>
      <c r="DI31" s="1757">
        <v>37.603000000000009</v>
      </c>
      <c r="DJ31" s="1859" t="s">
        <v>1478</v>
      </c>
    </row>
    <row r="32" spans="1:115" s="1855" customFormat="1">
      <c r="A32" s="1861"/>
      <c r="B32" s="1857"/>
      <c r="H32" s="1757"/>
      <c r="I32" s="1757"/>
      <c r="J32" s="1757"/>
      <c r="K32" s="1757"/>
      <c r="L32" s="1757"/>
      <c r="M32" s="1757"/>
      <c r="N32" s="1757"/>
      <c r="O32" s="1757"/>
      <c r="P32" s="1757"/>
      <c r="Q32" s="1757"/>
      <c r="R32" s="1757"/>
      <c r="S32" s="1757"/>
      <c r="T32" s="1757"/>
      <c r="U32" s="1757"/>
      <c r="V32" s="1757"/>
      <c r="W32" s="1757"/>
      <c r="X32" s="1757"/>
      <c r="Y32" s="1757"/>
      <c r="Z32" s="1757"/>
      <c r="AA32" s="1757"/>
      <c r="AB32" s="1757"/>
      <c r="AC32" s="1757"/>
      <c r="AD32" s="1757"/>
      <c r="AE32" s="1757"/>
      <c r="AF32" s="1757"/>
      <c r="AG32" s="1757"/>
      <c r="AH32" s="1757"/>
      <c r="AI32" s="1757"/>
      <c r="AJ32" s="1757"/>
      <c r="AK32" s="1757"/>
      <c r="AL32" s="1757"/>
      <c r="AM32" s="1757"/>
      <c r="AN32" s="1757"/>
      <c r="AO32" s="1757"/>
      <c r="AP32" s="1757"/>
      <c r="AQ32" s="1757"/>
      <c r="AR32" s="1757"/>
      <c r="AS32" s="1757"/>
      <c r="AT32" s="1757"/>
      <c r="AU32" s="1757"/>
      <c r="AV32" s="1757"/>
      <c r="AW32" s="1757"/>
      <c r="AX32" s="1757"/>
      <c r="AY32" s="1757"/>
      <c r="AZ32" s="1757"/>
      <c r="BA32" s="1757"/>
      <c r="BB32" s="1757"/>
      <c r="BC32" s="1858"/>
      <c r="BD32" s="278"/>
      <c r="BE32" s="1757"/>
      <c r="BF32" s="1757"/>
      <c r="BG32" s="1757"/>
      <c r="BH32" s="1858"/>
      <c r="BI32" s="278"/>
      <c r="BJ32" s="1757"/>
      <c r="BK32" s="1757"/>
      <c r="BL32" s="1757"/>
      <c r="BM32" s="1757"/>
      <c r="BN32" s="276"/>
      <c r="BO32" s="1757"/>
      <c r="BP32" s="1757"/>
      <c r="BQ32" s="1858"/>
      <c r="BR32" s="278"/>
      <c r="BS32" s="1756"/>
      <c r="BT32" s="278"/>
      <c r="BU32" s="1756"/>
      <c r="BV32" s="1756"/>
      <c r="BW32" s="1756"/>
      <c r="BX32" s="1757"/>
      <c r="BY32" s="1757"/>
      <c r="BZ32" s="1757"/>
      <c r="CA32" s="1757"/>
      <c r="CB32" s="1757"/>
      <c r="CC32" s="1757"/>
      <c r="CD32" s="1757"/>
      <c r="CE32" s="1757"/>
      <c r="CF32" s="1757"/>
      <c r="CG32" s="1757"/>
      <c r="CH32" s="1757"/>
      <c r="CI32" s="1757"/>
      <c r="CJ32" s="1757"/>
      <c r="CK32" s="1757"/>
      <c r="CL32" s="1757"/>
      <c r="CM32" s="1757"/>
      <c r="CN32" s="1757"/>
      <c r="CO32" s="1757"/>
      <c r="CP32" s="1757"/>
      <c r="CQ32" s="1757"/>
      <c r="CR32" s="1757"/>
      <c r="CS32" s="1757"/>
      <c r="CT32" s="1757"/>
      <c r="CU32" s="1757"/>
      <c r="CV32" s="1757"/>
      <c r="CW32" s="1757"/>
      <c r="CX32" s="1757"/>
      <c r="CY32" s="1757"/>
      <c r="CZ32" s="1757"/>
      <c r="DA32" s="1757"/>
      <c r="DB32" s="1757"/>
      <c r="DC32" s="1757"/>
      <c r="DD32" s="1757"/>
      <c r="DE32" s="1757"/>
      <c r="DF32" s="1757"/>
      <c r="DG32" s="1757"/>
      <c r="DH32" s="1757"/>
      <c r="DI32" s="1757"/>
      <c r="DJ32" s="1859"/>
    </row>
    <row r="33" spans="1:114" s="1855" customFormat="1">
      <c r="A33" s="1861" t="s">
        <v>77</v>
      </c>
      <c r="B33" s="1857"/>
      <c r="C33" s="1855">
        <v>-14</v>
      </c>
      <c r="D33" s="1855">
        <v>-19</v>
      </c>
      <c r="E33" s="1855">
        <v>-27</v>
      </c>
      <c r="F33" s="1855">
        <v>-51</v>
      </c>
      <c r="G33" s="1855">
        <v>-361</v>
      </c>
      <c r="H33" s="1757">
        <v>-102.133</v>
      </c>
      <c r="I33" s="1757">
        <v>-106</v>
      </c>
      <c r="J33" s="1757">
        <v>-79</v>
      </c>
      <c r="K33" s="1757">
        <v>-84</v>
      </c>
      <c r="L33" s="1757">
        <v>-70</v>
      </c>
      <c r="M33" s="1757">
        <v>-91</v>
      </c>
      <c r="N33" s="1757">
        <v>-95</v>
      </c>
      <c r="O33" s="1757">
        <v>-125.69799999999999</v>
      </c>
      <c r="P33" s="1757">
        <v>-103.824</v>
      </c>
      <c r="Q33" s="1757">
        <v>-136.55099999999999</v>
      </c>
      <c r="R33" s="1757">
        <v>-87</v>
      </c>
      <c r="S33" s="1757">
        <v>-110</v>
      </c>
      <c r="T33" s="1757">
        <v>-135</v>
      </c>
      <c r="U33" s="1757">
        <v>-140.45099999999999</v>
      </c>
      <c r="V33" s="1757">
        <v>-151.28</v>
      </c>
      <c r="W33" s="1757">
        <v>-192</v>
      </c>
      <c r="X33" s="1757">
        <v>-247</v>
      </c>
      <c r="Y33" s="1757">
        <v>-356.41199999999998</v>
      </c>
      <c r="Z33" s="1757">
        <v>-406</v>
      </c>
      <c r="AA33" s="1757">
        <v>-638</v>
      </c>
      <c r="AB33" s="1757">
        <v>-597</v>
      </c>
      <c r="AC33" s="1757">
        <v>-724.24599999999998</v>
      </c>
      <c r="AD33" s="1757">
        <v>-940.024</v>
      </c>
      <c r="AE33" s="1757">
        <v>-391</v>
      </c>
      <c r="AF33" s="1757">
        <v>-589.76599999999996</v>
      </c>
      <c r="AG33" s="1757">
        <v>-1471.2239999999999</v>
      </c>
      <c r="AH33" s="1757">
        <v>-1389</v>
      </c>
      <c r="AI33" s="1757">
        <v>-1660</v>
      </c>
      <c r="AJ33" s="1757">
        <v>-1912</v>
      </c>
      <c r="AK33" s="1757">
        <v>-1797.5909999999999</v>
      </c>
      <c r="AL33" s="1757">
        <v>-1086</v>
      </c>
      <c r="AM33" s="1757">
        <v>-473</v>
      </c>
      <c r="AN33" s="1757">
        <v>-162.76</v>
      </c>
      <c r="AO33" s="1757">
        <v>-992.29100000000005</v>
      </c>
      <c r="AP33" s="1757">
        <v>-1308.174</v>
      </c>
      <c r="AQ33" s="1757">
        <v>-844</v>
      </c>
      <c r="AR33" s="1757">
        <v>-702.73</v>
      </c>
      <c r="AS33" s="1757">
        <v>-761.68100000000004</v>
      </c>
      <c r="AT33" s="1757">
        <v>-835</v>
      </c>
      <c r="AU33" s="1757">
        <v>-867</v>
      </c>
      <c r="AV33" s="1757">
        <v>-1330</v>
      </c>
      <c r="AW33" s="1757">
        <v>-1231</v>
      </c>
      <c r="AX33" s="1757">
        <v>-1054</v>
      </c>
      <c r="AY33" s="1757">
        <v>-1008</v>
      </c>
      <c r="AZ33" s="1757">
        <v>-1269</v>
      </c>
      <c r="BA33" s="1757">
        <v>-967</v>
      </c>
      <c r="BB33" s="1757">
        <v>-1052</v>
      </c>
      <c r="BC33" s="1858">
        <v>-840</v>
      </c>
      <c r="BD33" s="278">
        <f>SUM(AZ33:BC33)</f>
        <v>-4128</v>
      </c>
      <c r="BE33" s="1757">
        <v>-1154</v>
      </c>
      <c r="BF33" s="1757">
        <v>-858</v>
      </c>
      <c r="BG33" s="1757">
        <v>-1046</v>
      </c>
      <c r="BH33" s="1858">
        <v>-1069</v>
      </c>
      <c r="BI33" s="278">
        <f t="shared" si="3"/>
        <v>-4127</v>
      </c>
      <c r="BJ33" s="1757">
        <v>-856</v>
      </c>
      <c r="BK33" s="1757">
        <v>-963</v>
      </c>
      <c r="BL33" s="1757">
        <v>-913</v>
      </c>
      <c r="BM33" s="1757">
        <v>-353</v>
      </c>
      <c r="BN33" s="276">
        <f t="shared" si="4"/>
        <v>-3085</v>
      </c>
      <c r="BO33" s="1757">
        <v>-373</v>
      </c>
      <c r="BP33" s="1757">
        <v>-902</v>
      </c>
      <c r="BQ33" s="1858">
        <v>-496</v>
      </c>
      <c r="BR33" s="278">
        <f t="shared" si="5"/>
        <v>-1771</v>
      </c>
      <c r="BS33" s="1756">
        <v>-300</v>
      </c>
      <c r="BT33" s="278">
        <f>BR33+BS33</f>
        <v>-2071</v>
      </c>
      <c r="BU33" s="1756">
        <v>-385</v>
      </c>
      <c r="BV33" s="1756">
        <v>-686</v>
      </c>
      <c r="BW33" s="1756">
        <v>-870</v>
      </c>
      <c r="BX33" s="1757">
        <v>-645</v>
      </c>
      <c r="BY33" s="1757">
        <v>-595</v>
      </c>
      <c r="BZ33" s="1757">
        <v>-445</v>
      </c>
      <c r="CA33" s="1757">
        <v>-286</v>
      </c>
      <c r="CB33" s="1757">
        <v>-521</v>
      </c>
      <c r="CC33" s="1757">
        <v>-582</v>
      </c>
      <c r="CD33" s="1757">
        <v>-585</v>
      </c>
      <c r="CE33" s="1757">
        <v>-629</v>
      </c>
      <c r="CF33" s="1757">
        <v>-1053</v>
      </c>
      <c r="CG33" s="1757">
        <v>-645</v>
      </c>
      <c r="CH33" s="1757">
        <v>-471</v>
      </c>
      <c r="CI33" s="1757">
        <v>-730</v>
      </c>
      <c r="CJ33" s="1757">
        <v>-959</v>
      </c>
      <c r="CK33" s="1757">
        <v>-567</v>
      </c>
      <c r="CL33" s="1757">
        <f>-888-CK33</f>
        <v>-321</v>
      </c>
      <c r="CM33" s="1757">
        <v>-471</v>
      </c>
      <c r="CN33" s="1757">
        <v>-79</v>
      </c>
      <c r="CO33" s="1757">
        <v>-377</v>
      </c>
      <c r="CP33" s="1757">
        <v>-511.72299999999996</v>
      </c>
      <c r="CQ33" s="1757">
        <v>-591.26699999999994</v>
      </c>
      <c r="CR33" s="1757">
        <v>-377.3330000000002</v>
      </c>
      <c r="CS33" s="1757">
        <v>-1125.405</v>
      </c>
      <c r="CT33" s="1757">
        <v>-1790.0290000000002</v>
      </c>
      <c r="CU33" s="1757">
        <v>-1751.1019999999999</v>
      </c>
      <c r="CV33" s="1757">
        <v>-1411.3150000000001</v>
      </c>
      <c r="CW33" s="1757">
        <v>-1163.6469999999999</v>
      </c>
      <c r="CX33" s="1757">
        <v>-1091.5970000000002</v>
      </c>
      <c r="CY33" s="1757">
        <v>-779.01099999999997</v>
      </c>
      <c r="CZ33" s="1757">
        <v>-898.66899999999987</v>
      </c>
      <c r="DA33" s="1757">
        <v>-906.49400000000003</v>
      </c>
      <c r="DB33" s="1757">
        <v>-869.99899999999991</v>
      </c>
      <c r="DC33" s="1757">
        <v>-837.09100000000001</v>
      </c>
      <c r="DD33" s="1757">
        <v>-768.51300000000026</v>
      </c>
      <c r="DE33" s="1757">
        <v>-703.91700000000003</v>
      </c>
      <c r="DF33" s="1757">
        <v>-686.84800000000007</v>
      </c>
      <c r="DG33" s="1757">
        <v>-780.83100000000002</v>
      </c>
      <c r="DH33" s="1757">
        <v>-448.93899999999974</v>
      </c>
      <c r="DI33" s="1757">
        <v>-155.833</v>
      </c>
      <c r="DJ33" s="1859" t="s">
        <v>78</v>
      </c>
    </row>
    <row r="34" spans="1:114" s="1855" customFormat="1">
      <c r="A34" s="1861" t="s">
        <v>79</v>
      </c>
      <c r="B34" s="1857">
        <v>-6</v>
      </c>
      <c r="C34" s="1855">
        <v>2</v>
      </c>
      <c r="D34" s="1855">
        <v>10</v>
      </c>
      <c r="E34" s="1855">
        <v>14</v>
      </c>
      <c r="F34" s="1855">
        <v>6</v>
      </c>
      <c r="G34" s="1855">
        <v>26</v>
      </c>
      <c r="H34" s="1757">
        <v>1</v>
      </c>
      <c r="I34" s="1757">
        <v>-1</v>
      </c>
      <c r="J34" s="1757">
        <v>1.496</v>
      </c>
      <c r="K34" s="1757">
        <v>3</v>
      </c>
      <c r="L34" s="1757">
        <v>-1</v>
      </c>
      <c r="M34" s="1757">
        <v>-5</v>
      </c>
      <c r="N34" s="1757">
        <v>-1</v>
      </c>
      <c r="O34" s="1757">
        <v>4.4459999999999997</v>
      </c>
      <c r="P34" s="1757">
        <v>6</v>
      </c>
      <c r="Q34" s="1757">
        <v>8.24</v>
      </c>
      <c r="R34" s="1757">
        <v>-18</v>
      </c>
      <c r="S34" s="1757">
        <v>-1</v>
      </c>
      <c r="T34" s="1757">
        <v>-9</v>
      </c>
      <c r="U34" s="1757">
        <v>-36.445999999999998</v>
      </c>
      <c r="V34" s="1757">
        <v>-9.14</v>
      </c>
      <c r="W34" s="1757">
        <v>-27</v>
      </c>
      <c r="X34" s="1757">
        <v>14</v>
      </c>
      <c r="Y34" s="1757">
        <v>26.933</v>
      </c>
      <c r="Z34" s="1757">
        <v>-41</v>
      </c>
      <c r="AA34" s="1757">
        <v>2</v>
      </c>
      <c r="AB34" s="1757">
        <v>5</v>
      </c>
      <c r="AC34" s="1757">
        <v>-49.420999999999999</v>
      </c>
      <c r="AD34" s="1757">
        <v>-5.4379999999999997</v>
      </c>
      <c r="AE34" s="1757">
        <v>22</v>
      </c>
      <c r="AF34" s="1757">
        <v>43.018999999999998</v>
      </c>
      <c r="AG34" s="1757">
        <v>3</v>
      </c>
      <c r="AH34" s="1757">
        <v>1</v>
      </c>
      <c r="AI34" s="1757">
        <v>-17</v>
      </c>
      <c r="AJ34" s="1757">
        <v>55</v>
      </c>
      <c r="AK34" s="1757">
        <v>-49</v>
      </c>
      <c r="AL34" s="1757">
        <v>-130</v>
      </c>
      <c r="AM34" s="1757">
        <v>127</v>
      </c>
      <c r="AN34" s="1757">
        <v>-51.523000000000003</v>
      </c>
      <c r="AO34" s="1757">
        <v>45.210999999999999</v>
      </c>
      <c r="AP34" s="1757">
        <v>-68.445999999999998</v>
      </c>
      <c r="AQ34" s="1757">
        <v>-137</v>
      </c>
      <c r="AR34" s="1757">
        <v>-92.653999999999996</v>
      </c>
      <c r="AS34" s="1757">
        <v>-160.80099999999999</v>
      </c>
      <c r="AT34" s="1757">
        <v>-133</v>
      </c>
      <c r="AU34" s="1757">
        <v>86</v>
      </c>
      <c r="AV34" s="1757">
        <v>-17</v>
      </c>
      <c r="AW34" s="1757">
        <v>-26.518999999999998</v>
      </c>
      <c r="AX34" s="1757">
        <v>-45</v>
      </c>
      <c r="AY34" s="1757">
        <v>-149</v>
      </c>
      <c r="AZ34" s="1757">
        <v>-16</v>
      </c>
      <c r="BA34" s="1757">
        <v>-100</v>
      </c>
      <c r="BB34" s="1757">
        <v>-87</v>
      </c>
      <c r="BC34" s="1858">
        <v>5</v>
      </c>
      <c r="BD34" s="278">
        <f>SUM(AZ34:BC34)</f>
        <v>-198</v>
      </c>
      <c r="BE34" s="1757">
        <v>-6</v>
      </c>
      <c r="BF34" s="1757">
        <v>21</v>
      </c>
      <c r="BG34" s="1757">
        <v>-9</v>
      </c>
      <c r="BH34" s="1858">
        <v>0</v>
      </c>
      <c r="BI34" s="278">
        <f t="shared" si="3"/>
        <v>6</v>
      </c>
      <c r="BJ34" s="1757">
        <v>102</v>
      </c>
      <c r="BK34" s="1757">
        <v>136</v>
      </c>
      <c r="BL34" s="1757">
        <v>89</v>
      </c>
      <c r="BM34" s="1757">
        <v>177</v>
      </c>
      <c r="BN34" s="276">
        <f t="shared" si="4"/>
        <v>504</v>
      </c>
      <c r="BO34" s="1757">
        <v>-112</v>
      </c>
      <c r="BP34" s="1757">
        <v>73</v>
      </c>
      <c r="BQ34" s="1858">
        <v>14</v>
      </c>
      <c r="BR34" s="278">
        <f t="shared" si="5"/>
        <v>-25</v>
      </c>
      <c r="BS34" s="1756">
        <v>68</v>
      </c>
      <c r="BT34" s="278">
        <f>BR34+BS34</f>
        <v>43</v>
      </c>
      <c r="BU34" s="1756">
        <v>27</v>
      </c>
      <c r="BV34" s="1756">
        <v>41</v>
      </c>
      <c r="BW34" s="1756">
        <v>75</v>
      </c>
      <c r="BX34" s="1757">
        <v>-29</v>
      </c>
      <c r="BY34" s="1757">
        <v>8</v>
      </c>
      <c r="BZ34" s="1757">
        <v>65</v>
      </c>
      <c r="CA34" s="1757">
        <v>-8</v>
      </c>
      <c r="CB34" s="1757">
        <v>22</v>
      </c>
      <c r="CC34" s="1757">
        <v>54</v>
      </c>
      <c r="CD34" s="1757">
        <v>207</v>
      </c>
      <c r="CE34" s="1757">
        <v>46</v>
      </c>
      <c r="CF34" s="1757">
        <v>83</v>
      </c>
      <c r="CG34" s="1757">
        <v>129</v>
      </c>
      <c r="CH34" s="1757">
        <v>137</v>
      </c>
      <c r="CI34" s="1757">
        <v>133</v>
      </c>
      <c r="CJ34" s="1757">
        <v>345</v>
      </c>
      <c r="CK34" s="1757">
        <v>110</v>
      </c>
      <c r="CL34" s="1757">
        <f>382-CK34</f>
        <v>272</v>
      </c>
      <c r="CM34" s="1757">
        <v>177</v>
      </c>
      <c r="CN34" s="1757">
        <v>423</v>
      </c>
      <c r="CO34" s="1757">
        <v>177</v>
      </c>
      <c r="CP34" s="1757">
        <v>153.36199999999999</v>
      </c>
      <c r="CQ34" s="1757">
        <v>84.462999999999965</v>
      </c>
      <c r="CR34" s="1757">
        <v>123.88200000000003</v>
      </c>
      <c r="CS34" s="1757">
        <v>163.64500000000001</v>
      </c>
      <c r="CT34" s="1757">
        <v>98.337999999999994</v>
      </c>
      <c r="CU34" s="1757">
        <v>99.68</v>
      </c>
      <c r="CV34" s="1757">
        <v>229.21000000000004</v>
      </c>
      <c r="CW34" s="1757">
        <v>207.767</v>
      </c>
      <c r="CX34" s="1757">
        <v>229.90100000000001</v>
      </c>
      <c r="CY34" s="1757">
        <v>206.38099999999997</v>
      </c>
      <c r="CZ34" s="1757">
        <v>89.758000000000038</v>
      </c>
      <c r="DA34" s="1757">
        <v>340.065</v>
      </c>
      <c r="DB34" s="1757">
        <v>206.68199999999996</v>
      </c>
      <c r="DC34" s="1757">
        <v>88.315000000000055</v>
      </c>
      <c r="DD34" s="1757">
        <v>12.300000000000011</v>
      </c>
      <c r="DE34" s="1757">
        <v>47.676000000000002</v>
      </c>
      <c r="DF34" s="1757">
        <v>264.971</v>
      </c>
      <c r="DG34" s="1757">
        <v>154.99099999999999</v>
      </c>
      <c r="DH34" s="1757">
        <v>166.41699999999997</v>
      </c>
      <c r="DI34" s="1757">
        <v>193.43600000000001</v>
      </c>
      <c r="DJ34" s="1859" t="s">
        <v>80</v>
      </c>
    </row>
    <row r="35" spans="1:114" s="1855" customFormat="1">
      <c r="A35" s="1861"/>
      <c r="B35" s="1857"/>
      <c r="H35" s="1757"/>
      <c r="I35" s="1757"/>
      <c r="J35" s="1757"/>
      <c r="K35" s="1757"/>
      <c r="L35" s="1757"/>
      <c r="M35" s="1757"/>
      <c r="N35" s="1757"/>
      <c r="O35" s="1757"/>
      <c r="P35" s="1757"/>
      <c r="Q35" s="1757"/>
      <c r="R35" s="1757"/>
      <c r="S35" s="1757"/>
      <c r="T35" s="1757"/>
      <c r="U35" s="1757"/>
      <c r="V35" s="1757"/>
      <c r="W35" s="1757"/>
      <c r="X35" s="1757"/>
      <c r="Y35" s="1757"/>
      <c r="Z35" s="1757"/>
      <c r="AA35" s="1757"/>
      <c r="AB35" s="1757"/>
      <c r="AC35" s="1757"/>
      <c r="AD35" s="1757"/>
      <c r="AE35" s="1757"/>
      <c r="AF35" s="1757"/>
      <c r="AG35" s="1757"/>
      <c r="AH35" s="1757"/>
      <c r="AI35" s="1757"/>
      <c r="AJ35" s="1757"/>
      <c r="AK35" s="1757"/>
      <c r="AL35" s="1757"/>
      <c r="AM35" s="1757"/>
      <c r="AN35" s="1757"/>
      <c r="AO35" s="1757"/>
      <c r="AP35" s="1757"/>
      <c r="AQ35" s="1757"/>
      <c r="AR35" s="1757"/>
      <c r="AS35" s="1757"/>
      <c r="AT35" s="1757"/>
      <c r="AU35" s="1757"/>
      <c r="AV35" s="1757"/>
      <c r="AW35" s="1757"/>
      <c r="AX35" s="1757"/>
      <c r="AY35" s="1757"/>
      <c r="AZ35" s="1757"/>
      <c r="BA35" s="1757"/>
      <c r="BB35" s="1757"/>
      <c r="BC35" s="1858"/>
      <c r="BD35" s="278"/>
      <c r="BE35" s="1757"/>
      <c r="BF35" s="1757"/>
      <c r="BG35" s="1757"/>
      <c r="BH35" s="1858"/>
      <c r="BI35" s="278"/>
      <c r="BJ35" s="1757"/>
      <c r="BK35" s="1757"/>
      <c r="BL35" s="1757"/>
      <c r="BM35" s="1757"/>
      <c r="BN35" s="276"/>
      <c r="BO35" s="1757"/>
      <c r="BP35" s="1757"/>
      <c r="BQ35" s="1858"/>
      <c r="BR35" s="278"/>
      <c r="BS35" s="1756"/>
      <c r="BT35" s="278"/>
      <c r="BU35" s="1756"/>
      <c r="BV35" s="1756"/>
      <c r="BW35" s="1756"/>
      <c r="BX35" s="1757"/>
      <c r="BY35" s="1757"/>
      <c r="BZ35" s="1757"/>
      <c r="CA35" s="1757"/>
      <c r="CB35" s="1757"/>
      <c r="CC35" s="1757"/>
      <c r="CD35" s="1757"/>
      <c r="CE35" s="1757"/>
      <c r="CF35" s="1757"/>
      <c r="CG35" s="1757"/>
      <c r="CH35" s="1757"/>
      <c r="CI35" s="1757"/>
      <c r="CJ35" s="1757"/>
      <c r="CK35" s="1757"/>
      <c r="CL35" s="1757"/>
      <c r="CM35" s="1757"/>
      <c r="CN35" s="1757"/>
      <c r="CO35" s="1757"/>
      <c r="CP35" s="1757"/>
      <c r="CQ35" s="1757"/>
      <c r="CR35" s="1757"/>
      <c r="CS35" s="1757"/>
      <c r="CT35" s="1757"/>
      <c r="CU35" s="1757"/>
      <c r="CV35" s="1757"/>
      <c r="CW35" s="1757"/>
      <c r="CX35" s="1757"/>
      <c r="CY35" s="1757"/>
      <c r="CZ35" s="1757"/>
      <c r="DA35" s="1757"/>
      <c r="DB35" s="1757"/>
      <c r="DC35" s="1757"/>
      <c r="DD35" s="1757"/>
      <c r="DE35" s="1757"/>
      <c r="DF35" s="1757"/>
      <c r="DG35" s="1757"/>
      <c r="DH35" s="1757"/>
      <c r="DI35" s="1757"/>
      <c r="DJ35" s="1859"/>
    </row>
    <row r="36" spans="1:114" s="1855" customFormat="1">
      <c r="A36" s="1861" t="s">
        <v>1145</v>
      </c>
      <c r="B36" s="1857">
        <v>10</v>
      </c>
      <c r="C36" s="1855">
        <v>15</v>
      </c>
      <c r="D36" s="1855">
        <v>23</v>
      </c>
      <c r="E36" s="1855">
        <v>38</v>
      </c>
      <c r="F36" s="1855">
        <v>34</v>
      </c>
      <c r="G36" s="1855">
        <v>56</v>
      </c>
      <c r="H36" s="1757">
        <v>12</v>
      </c>
      <c r="I36" s="1757">
        <v>10</v>
      </c>
      <c r="J36" s="1757">
        <v>8</v>
      </c>
      <c r="K36" s="1757">
        <v>12</v>
      </c>
      <c r="L36" s="1757">
        <v>6</v>
      </c>
      <c r="M36" s="1757">
        <v>8</v>
      </c>
      <c r="N36" s="1757">
        <v>8</v>
      </c>
      <c r="O36" s="1757">
        <v>16</v>
      </c>
      <c r="P36" s="1757">
        <v>13</v>
      </c>
      <c r="Q36" s="1757">
        <v>24</v>
      </c>
      <c r="R36" s="1757">
        <v>3</v>
      </c>
      <c r="S36" s="1757">
        <v>13</v>
      </c>
      <c r="T36" s="1757">
        <v>14</v>
      </c>
      <c r="U36" s="1757">
        <v>5</v>
      </c>
      <c r="V36" s="1757">
        <v>30</v>
      </c>
      <c r="W36" s="1757">
        <v>17</v>
      </c>
      <c r="X36" s="1757">
        <v>42</v>
      </c>
      <c r="Y36" s="1757">
        <v>67</v>
      </c>
      <c r="Z36" s="1757">
        <v>51</v>
      </c>
      <c r="AA36" s="1757">
        <v>82</v>
      </c>
      <c r="AB36" s="1757">
        <v>56</v>
      </c>
      <c r="AC36" s="1757">
        <v>67</v>
      </c>
      <c r="AD36" s="1757">
        <v>75</v>
      </c>
      <c r="AE36" s="1757">
        <v>82</v>
      </c>
      <c r="AF36" s="1757">
        <v>72</v>
      </c>
      <c r="AG36" s="1757">
        <v>71</v>
      </c>
      <c r="AH36" s="1757">
        <v>91</v>
      </c>
      <c r="AI36" s="1757">
        <v>93</v>
      </c>
      <c r="AJ36" s="1757">
        <v>1001</v>
      </c>
      <c r="AK36" s="1757">
        <v>71</v>
      </c>
      <c r="AL36" s="1757">
        <v>137</v>
      </c>
      <c r="AM36" s="1757">
        <v>286</v>
      </c>
      <c r="AN36" s="1757">
        <v>134</v>
      </c>
      <c r="AO36" s="1757">
        <v>179</v>
      </c>
      <c r="AP36" s="1757">
        <v>162</v>
      </c>
      <c r="AQ36" s="1757">
        <v>76</v>
      </c>
      <c r="AR36" s="1757">
        <v>103</v>
      </c>
      <c r="AS36" s="1757">
        <v>27</v>
      </c>
      <c r="AT36" s="1757">
        <v>171</v>
      </c>
      <c r="AU36" s="1757">
        <v>375</v>
      </c>
      <c r="AV36" s="1757">
        <v>176</v>
      </c>
      <c r="AW36" s="1757">
        <v>213</v>
      </c>
      <c r="AX36" s="1757">
        <v>273</v>
      </c>
      <c r="AY36" s="1757">
        <v>356</v>
      </c>
      <c r="AZ36" s="1757">
        <v>219</v>
      </c>
      <c r="BA36" s="1757">
        <v>345</v>
      </c>
      <c r="BB36" s="1757">
        <v>235</v>
      </c>
      <c r="BC36" s="1858">
        <v>293</v>
      </c>
      <c r="BD36" s="278">
        <f>SUM(AZ36:BC36)</f>
        <v>1092</v>
      </c>
      <c r="BE36" s="1757">
        <v>182</v>
      </c>
      <c r="BF36" s="1757">
        <v>252</v>
      </c>
      <c r="BG36" s="1757">
        <v>286</v>
      </c>
      <c r="BH36" s="1858">
        <v>308</v>
      </c>
      <c r="BI36" s="278">
        <f t="shared" si="3"/>
        <v>1028</v>
      </c>
      <c r="BJ36" s="1757">
        <v>294</v>
      </c>
      <c r="BK36" s="1757">
        <v>509</v>
      </c>
      <c r="BL36" s="1757">
        <v>382</v>
      </c>
      <c r="BM36" s="1757">
        <v>489</v>
      </c>
      <c r="BN36" s="276">
        <f t="shared" si="4"/>
        <v>1674</v>
      </c>
      <c r="BO36" s="1757">
        <v>247</v>
      </c>
      <c r="BP36" s="1757">
        <v>405</v>
      </c>
      <c r="BQ36" s="1858">
        <v>289</v>
      </c>
      <c r="BR36" s="278">
        <f t="shared" si="5"/>
        <v>941</v>
      </c>
      <c r="BS36" s="1756">
        <v>317</v>
      </c>
      <c r="BT36" s="278">
        <f>BR36+BS36</f>
        <v>1258</v>
      </c>
      <c r="BU36" s="1756">
        <v>209</v>
      </c>
      <c r="BV36" s="1756">
        <v>239</v>
      </c>
      <c r="BW36" s="1756">
        <v>297</v>
      </c>
      <c r="BX36" s="1757">
        <v>176</v>
      </c>
      <c r="BY36" s="1757">
        <v>170</v>
      </c>
      <c r="BZ36" s="1757">
        <v>197</v>
      </c>
      <c r="CA36" s="1757">
        <v>485</v>
      </c>
      <c r="CB36" s="1757">
        <v>433</v>
      </c>
      <c r="CC36" s="1757">
        <v>461</v>
      </c>
      <c r="CD36" s="1757">
        <v>407</v>
      </c>
      <c r="CE36" s="1757">
        <v>401</v>
      </c>
      <c r="CF36" s="1757">
        <v>362</v>
      </c>
      <c r="CG36" s="1757">
        <v>330</v>
      </c>
      <c r="CH36" s="1757">
        <v>385</v>
      </c>
      <c r="CI36" s="1757">
        <v>269</v>
      </c>
      <c r="CJ36" s="1757">
        <v>606</v>
      </c>
      <c r="CK36" s="1757">
        <v>302</v>
      </c>
      <c r="CL36" s="1757">
        <f>722-CK36</f>
        <v>420</v>
      </c>
      <c r="CM36" s="1757">
        <v>442</v>
      </c>
      <c r="CN36" s="1757">
        <v>692</v>
      </c>
      <c r="CO36" s="1757">
        <v>483</v>
      </c>
      <c r="CP36" s="1757">
        <v>395.96299999999997</v>
      </c>
      <c r="CQ36" s="1757">
        <v>435.6579999999999</v>
      </c>
      <c r="CR36" s="1757">
        <v>501.23900000000003</v>
      </c>
      <c r="CS36" s="1757">
        <v>400.40899999999999</v>
      </c>
      <c r="CT36" s="1757">
        <v>277.75700000000006</v>
      </c>
      <c r="CU36" s="1757">
        <v>397.50199999999984</v>
      </c>
      <c r="CV36" s="1757">
        <v>466.31599999999997</v>
      </c>
      <c r="CW36" s="1757">
        <v>406.09899999999999</v>
      </c>
      <c r="CX36" s="1757">
        <v>430.96700000000004</v>
      </c>
      <c r="CY36" s="1757">
        <v>611.18900000000008</v>
      </c>
      <c r="CZ36" s="1757">
        <v>520.85499999999979</v>
      </c>
      <c r="DA36" s="1757">
        <v>560.149</v>
      </c>
      <c r="DB36" s="1757">
        <v>665.24999999999989</v>
      </c>
      <c r="DC36" s="1757">
        <v>700.15700000000004</v>
      </c>
      <c r="DD36" s="1757">
        <v>668.1819999999999</v>
      </c>
      <c r="DE36" s="1757">
        <v>614.78700000000003</v>
      </c>
      <c r="DF36" s="1757">
        <v>743.5</v>
      </c>
      <c r="DG36" s="1757">
        <v>795.90100000000007</v>
      </c>
      <c r="DH36" s="1757">
        <v>747.55800000000022</v>
      </c>
      <c r="DI36" s="1757">
        <v>1090.6010000000001</v>
      </c>
      <c r="DJ36" s="1859" t="s">
        <v>1147</v>
      </c>
    </row>
    <row r="37" spans="1:114" s="1855" customFormat="1">
      <c r="A37" s="1861" t="s">
        <v>1298</v>
      </c>
      <c r="B37" s="1857">
        <v>-16</v>
      </c>
      <c r="C37" s="1855">
        <v>-27</v>
      </c>
      <c r="D37" s="1855">
        <v>-32</v>
      </c>
      <c r="E37" s="1855">
        <v>-51</v>
      </c>
      <c r="F37" s="1855">
        <v>-79</v>
      </c>
      <c r="G37" s="1855">
        <v>-391</v>
      </c>
      <c r="H37" s="1757">
        <v>-113</v>
      </c>
      <c r="I37" s="1757">
        <v>-117</v>
      </c>
      <c r="J37" s="1757">
        <v>-86</v>
      </c>
      <c r="K37" s="1757">
        <v>-93</v>
      </c>
      <c r="L37" s="1757">
        <v>-77</v>
      </c>
      <c r="M37" s="1757">
        <v>-104</v>
      </c>
      <c r="N37" s="1757">
        <v>-104</v>
      </c>
      <c r="O37" s="1757">
        <v>-137</v>
      </c>
      <c r="P37" s="1757">
        <v>-111</v>
      </c>
      <c r="Q37" s="1757">
        <v>-152</v>
      </c>
      <c r="R37" s="1757">
        <v>-108</v>
      </c>
      <c r="S37" s="1757">
        <v>-124</v>
      </c>
      <c r="T37" s="1757">
        <v>-158</v>
      </c>
      <c r="U37" s="1757">
        <v>-182</v>
      </c>
      <c r="V37" s="1757">
        <v>-190</v>
      </c>
      <c r="W37" s="1757">
        <v>-236</v>
      </c>
      <c r="X37" s="1757">
        <v>-276</v>
      </c>
      <c r="Y37" s="1757">
        <v>-841</v>
      </c>
      <c r="Z37" s="1757">
        <v>-498</v>
      </c>
      <c r="AA37" s="1757">
        <v>-451</v>
      </c>
      <c r="AB37" s="1757">
        <v>-648</v>
      </c>
      <c r="AC37" s="1757">
        <v>-841</v>
      </c>
      <c r="AD37" s="1757">
        <v>-1021</v>
      </c>
      <c r="AE37" s="1757">
        <v>-451</v>
      </c>
      <c r="AF37" s="1757">
        <v>-618</v>
      </c>
      <c r="AG37" s="1757">
        <v>-1539</v>
      </c>
      <c r="AH37" s="1757">
        <v>-1479</v>
      </c>
      <c r="AI37" s="1757">
        <v>-1770</v>
      </c>
      <c r="AJ37" s="1757">
        <v>-1958</v>
      </c>
      <c r="AK37" s="1757">
        <v>-1918</v>
      </c>
      <c r="AL37" s="1757">
        <v>-1353</v>
      </c>
      <c r="AM37" s="1757">
        <v>-633</v>
      </c>
      <c r="AN37" s="1757">
        <v>-349</v>
      </c>
      <c r="AO37" s="1757">
        <v>-1127</v>
      </c>
      <c r="AP37" s="1757">
        <v>-1538</v>
      </c>
      <c r="AQ37" s="1757">
        <v>-1057</v>
      </c>
      <c r="AR37" s="1757">
        <v>-898</v>
      </c>
      <c r="AS37" s="1757">
        <v>-950</v>
      </c>
      <c r="AT37" s="1757">
        <v>-1139</v>
      </c>
      <c r="AU37" s="1757">
        <v>-1156</v>
      </c>
      <c r="AV37" s="1757">
        <v>-1523</v>
      </c>
      <c r="AW37" s="1757">
        <v>-1470</v>
      </c>
      <c r="AX37" s="1757">
        <v>-1372</v>
      </c>
      <c r="AY37" s="1757">
        <v>-1513</v>
      </c>
      <c r="AZ37" s="1757">
        <v>-1504</v>
      </c>
      <c r="BA37" s="1757">
        <v>-1412</v>
      </c>
      <c r="BB37" s="1757">
        <v>-1374</v>
      </c>
      <c r="BC37" s="1858">
        <v>-1128</v>
      </c>
      <c r="BD37" s="278">
        <f>SUM(AZ37:BC37)</f>
        <v>-5418</v>
      </c>
      <c r="BE37" s="1757">
        <v>-1342</v>
      </c>
      <c r="BF37" s="1757">
        <v>-1089</v>
      </c>
      <c r="BG37" s="1757">
        <v>-1341</v>
      </c>
      <c r="BH37" s="1858">
        <v>-1377</v>
      </c>
      <c r="BI37" s="278">
        <f t="shared" si="3"/>
        <v>-5149</v>
      </c>
      <c r="BJ37" s="1757">
        <v>-1047</v>
      </c>
      <c r="BK37" s="1757">
        <v>-1336</v>
      </c>
      <c r="BL37" s="1757">
        <v>-1206</v>
      </c>
      <c r="BM37" s="1757">
        <v>-665</v>
      </c>
      <c r="BN37" s="276">
        <f t="shared" si="4"/>
        <v>-4254</v>
      </c>
      <c r="BO37" s="1757">
        <v>-732</v>
      </c>
      <c r="BP37" s="1757">
        <v>-1234</v>
      </c>
      <c r="BQ37" s="1858">
        <v>-771</v>
      </c>
      <c r="BR37" s="278">
        <f t="shared" si="5"/>
        <v>-2737</v>
      </c>
      <c r="BS37" s="1756">
        <v>-549</v>
      </c>
      <c r="BT37" s="278">
        <f>BR37+BS37</f>
        <v>-3286</v>
      </c>
      <c r="BU37" s="1756">
        <v>-567</v>
      </c>
      <c r="BV37" s="1756">
        <v>-884</v>
      </c>
      <c r="BW37" s="1756">
        <v>-1092</v>
      </c>
      <c r="BX37" s="1757">
        <v>-850</v>
      </c>
      <c r="BY37" s="1757">
        <v>-757</v>
      </c>
      <c r="BZ37" s="1757">
        <v>-577</v>
      </c>
      <c r="CA37" s="1757">
        <v>-779</v>
      </c>
      <c r="CB37" s="1757">
        <v>-932</v>
      </c>
      <c r="CC37" s="1757">
        <v>-989</v>
      </c>
      <c r="CD37" s="1757">
        <v>-785</v>
      </c>
      <c r="CE37" s="1757">
        <v>-984</v>
      </c>
      <c r="CF37" s="1757">
        <v>-1332</v>
      </c>
      <c r="CG37" s="1757">
        <v>-846</v>
      </c>
      <c r="CH37" s="1757">
        <v>-720</v>
      </c>
      <c r="CI37" s="1757">
        <v>-866</v>
      </c>
      <c r="CJ37" s="1757">
        <v>-1219</v>
      </c>
      <c r="CK37" s="1757">
        <v>-759</v>
      </c>
      <c r="CL37" s="1757">
        <f>-1228-CK37</f>
        <v>-469</v>
      </c>
      <c r="CM37" s="1757">
        <v>-736</v>
      </c>
      <c r="CN37" s="1757">
        <v>-348</v>
      </c>
      <c r="CO37" s="1757">
        <v>-683</v>
      </c>
      <c r="CP37" s="1757">
        <v>-755</v>
      </c>
      <c r="CQ37" s="1757">
        <v>-942.46199999999976</v>
      </c>
      <c r="CR37" s="1757">
        <v>-754.01400000000035</v>
      </c>
      <c r="CS37" s="1757">
        <v>-1362.1690000000001</v>
      </c>
      <c r="CT37" s="1757">
        <v>-1969.4480000000001</v>
      </c>
      <c r="CU37" s="1757">
        <v>-2048.924</v>
      </c>
      <c r="CV37" s="1757">
        <v>-1648.421</v>
      </c>
      <c r="CW37" s="1757">
        <v>-1361.979</v>
      </c>
      <c r="CX37" s="1757">
        <v>-1292.6629999999998</v>
      </c>
      <c r="CY37" s="1757">
        <v>-1183.819</v>
      </c>
      <c r="CZ37" s="1757">
        <v>-1329.7660000000005</v>
      </c>
      <c r="DA37" s="1757">
        <v>-1126.578</v>
      </c>
      <c r="DB37" s="1757">
        <v>-1328.567</v>
      </c>
      <c r="DC37" s="1757">
        <v>-1448.933</v>
      </c>
      <c r="DD37" s="1757">
        <v>-1424.3950000000004</v>
      </c>
      <c r="DE37" s="1757">
        <v>-1271.028</v>
      </c>
      <c r="DF37" s="1757">
        <v>-1165.3770000000002</v>
      </c>
      <c r="DG37" s="1757">
        <v>-1421.7410000000002</v>
      </c>
      <c r="DH37" s="1757">
        <v>-1030.0799999999992</v>
      </c>
      <c r="DI37" s="1757">
        <v>-1052.998</v>
      </c>
      <c r="DJ37" s="1859" t="s">
        <v>1148</v>
      </c>
    </row>
    <row r="38" spans="1:114" s="1855" customFormat="1">
      <c r="A38" s="1861"/>
      <c r="B38" s="1857"/>
      <c r="H38" s="1757"/>
      <c r="I38" s="1757"/>
      <c r="J38" s="1867"/>
      <c r="K38" s="1757"/>
      <c r="L38" s="1757"/>
      <c r="M38" s="1757"/>
      <c r="N38" s="1757"/>
      <c r="O38" s="1757"/>
      <c r="P38" s="1757"/>
      <c r="Q38" s="1757"/>
      <c r="R38" s="1757"/>
      <c r="S38" s="1757"/>
      <c r="T38" s="1757"/>
      <c r="U38" s="1757"/>
      <c r="V38" s="1757"/>
      <c r="W38" s="1757"/>
      <c r="X38" s="1757"/>
      <c r="Y38" s="1757"/>
      <c r="Z38" s="1757"/>
      <c r="AA38" s="1757"/>
      <c r="AB38" s="1757"/>
      <c r="AC38" s="1757"/>
      <c r="AD38" s="1757"/>
      <c r="AE38" s="1757"/>
      <c r="AF38" s="1757"/>
      <c r="AG38" s="1757"/>
      <c r="AH38" s="1757"/>
      <c r="AI38" s="1757"/>
      <c r="AJ38" s="1757"/>
      <c r="AK38" s="1757"/>
      <c r="AL38" s="1757"/>
      <c r="AM38" s="1757"/>
      <c r="AN38" s="1757"/>
      <c r="AO38" s="1757"/>
      <c r="AP38" s="1757"/>
      <c r="AQ38" s="1757"/>
      <c r="AR38" s="1757"/>
      <c r="AS38" s="1757"/>
      <c r="AT38" s="1757"/>
      <c r="AU38" s="1757"/>
      <c r="AV38" s="1757"/>
      <c r="AW38" s="1757"/>
      <c r="AX38" s="1757"/>
      <c r="AY38" s="1757"/>
      <c r="AZ38" s="1757"/>
      <c r="BA38" s="1757"/>
      <c r="BB38" s="1757"/>
      <c r="BC38" s="1858"/>
      <c r="BD38" s="278"/>
      <c r="BE38" s="1757"/>
      <c r="BF38" s="1757"/>
      <c r="BG38" s="1757"/>
      <c r="BH38" s="1858"/>
      <c r="BI38" s="278"/>
      <c r="BJ38" s="1757"/>
      <c r="BK38" s="1757"/>
      <c r="BL38" s="1757"/>
      <c r="BM38" s="1757"/>
      <c r="BN38" s="276"/>
      <c r="BO38" s="1757"/>
      <c r="BP38" s="1757"/>
      <c r="BQ38" s="1858"/>
      <c r="BR38" s="278"/>
      <c r="BS38" s="1756"/>
      <c r="BT38" s="278"/>
      <c r="BU38" s="1756"/>
      <c r="BV38" s="1756"/>
      <c r="BW38" s="1756"/>
      <c r="BX38" s="1757"/>
      <c r="BY38" s="1757"/>
      <c r="BZ38" s="1757"/>
      <c r="CA38" s="1757"/>
      <c r="CB38" s="1757"/>
      <c r="CC38" s="1757"/>
      <c r="CD38" s="1757"/>
      <c r="CE38" s="1757"/>
      <c r="CF38" s="1757"/>
      <c r="CG38" s="1757"/>
      <c r="CH38" s="1757"/>
      <c r="CI38" s="1757"/>
      <c r="CJ38" s="1757"/>
      <c r="CK38" s="1757"/>
      <c r="CL38" s="1757"/>
      <c r="CM38" s="1757"/>
      <c r="CN38" s="1757"/>
      <c r="CO38" s="1757"/>
      <c r="CP38" s="1757"/>
      <c r="CQ38" s="1757"/>
      <c r="CR38" s="1757"/>
      <c r="CS38" s="1757"/>
      <c r="CT38" s="1757"/>
      <c r="CU38" s="1757"/>
      <c r="CV38" s="1757"/>
      <c r="CW38" s="1757"/>
      <c r="CX38" s="1757"/>
      <c r="CY38" s="1757"/>
      <c r="CZ38" s="1757"/>
      <c r="DA38" s="1757"/>
      <c r="DB38" s="1757"/>
      <c r="DC38" s="1757"/>
      <c r="DD38" s="1757"/>
      <c r="DE38" s="1757"/>
      <c r="DF38" s="1757"/>
      <c r="DG38" s="1757"/>
      <c r="DH38" s="1757"/>
      <c r="DI38" s="1757"/>
      <c r="DJ38" s="1859"/>
    </row>
    <row r="39" spans="1:114" s="1855" customFormat="1">
      <c r="A39" s="1861" t="s">
        <v>1479</v>
      </c>
      <c r="B39" s="1857">
        <v>111</v>
      </c>
      <c r="C39" s="1855">
        <v>66</v>
      </c>
      <c r="D39" s="1855">
        <v>45</v>
      </c>
      <c r="E39" s="1855">
        <v>64</v>
      </c>
      <c r="F39" s="1855">
        <v>81</v>
      </c>
      <c r="G39" s="1855">
        <v>73</v>
      </c>
      <c r="H39" s="1757">
        <v>4</v>
      </c>
      <c r="I39" s="1757">
        <v>26</v>
      </c>
      <c r="J39" s="1757">
        <v>24</v>
      </c>
      <c r="K39" s="1757">
        <v>22</v>
      </c>
      <c r="L39" s="1757">
        <v>19</v>
      </c>
      <c r="M39" s="1757">
        <v>30</v>
      </c>
      <c r="N39" s="1757">
        <v>11</v>
      </c>
      <c r="O39" s="1757">
        <v>9.5449999999999999</v>
      </c>
      <c r="P39" s="1757">
        <v>12.788</v>
      </c>
      <c r="Q39" s="1757">
        <v>49</v>
      </c>
      <c r="R39" s="1757">
        <v>30</v>
      </c>
      <c r="S39" s="1757">
        <v>42</v>
      </c>
      <c r="T39" s="1757">
        <v>37</v>
      </c>
      <c r="U39" s="1757">
        <v>60</v>
      </c>
      <c r="V39" s="1757">
        <v>56.439</v>
      </c>
      <c r="W39" s="1757">
        <v>35</v>
      </c>
      <c r="X39" s="1757">
        <v>94</v>
      </c>
      <c r="Y39" s="1757">
        <v>101.05</v>
      </c>
      <c r="Z39" s="1757">
        <v>152</v>
      </c>
      <c r="AA39" s="1757">
        <v>136</v>
      </c>
      <c r="AB39" s="1757">
        <v>100</v>
      </c>
      <c r="AC39" s="1757">
        <v>114</v>
      </c>
      <c r="AD39" s="1757">
        <v>162.886</v>
      </c>
      <c r="AE39" s="1757">
        <v>189</v>
      </c>
      <c r="AF39" s="1757">
        <v>208.44399999999999</v>
      </c>
      <c r="AG39" s="1757">
        <v>200.52500000000001</v>
      </c>
      <c r="AH39" s="1757">
        <v>314</v>
      </c>
      <c r="AI39" s="1757">
        <v>282</v>
      </c>
      <c r="AJ39" s="1757">
        <v>232</v>
      </c>
      <c r="AK39" s="1757">
        <v>265.36</v>
      </c>
      <c r="AL39" s="1757">
        <v>255.411</v>
      </c>
      <c r="AM39" s="1757">
        <v>297</v>
      </c>
      <c r="AN39" s="1757">
        <v>167</v>
      </c>
      <c r="AO39" s="1757">
        <v>160.34399999999999</v>
      </c>
      <c r="AP39" s="1757">
        <v>151</v>
      </c>
      <c r="AQ39" s="1757">
        <v>243.626</v>
      </c>
      <c r="AR39" s="1757">
        <v>74</v>
      </c>
      <c r="AS39" s="1757">
        <v>145</v>
      </c>
      <c r="AT39" s="1757">
        <v>178.494</v>
      </c>
      <c r="AU39" s="1757">
        <v>112</v>
      </c>
      <c r="AV39" s="1757">
        <v>142</v>
      </c>
      <c r="AW39" s="1757">
        <v>196.018</v>
      </c>
      <c r="AX39" s="1757">
        <v>194</v>
      </c>
      <c r="AY39" s="1757">
        <v>142</v>
      </c>
      <c r="AZ39" s="1757">
        <v>38</v>
      </c>
      <c r="BA39" s="1757">
        <v>-158</v>
      </c>
      <c r="BB39" s="1757">
        <v>-59</v>
      </c>
      <c r="BC39" s="1858">
        <v>129</v>
      </c>
      <c r="BD39" s="278">
        <f>SUM(AZ39:BC39)</f>
        <v>-50</v>
      </c>
      <c r="BE39" s="1757">
        <v>-36</v>
      </c>
      <c r="BF39" s="1757">
        <v>42</v>
      </c>
      <c r="BG39" s="1757">
        <v>45</v>
      </c>
      <c r="BH39" s="1858">
        <v>-45</v>
      </c>
      <c r="BI39" s="278">
        <f t="shared" si="3"/>
        <v>6</v>
      </c>
      <c r="BJ39" s="1757">
        <v>-14</v>
      </c>
      <c r="BK39" s="1757">
        <v>65</v>
      </c>
      <c r="BL39" s="1757">
        <v>145</v>
      </c>
      <c r="BM39" s="1757">
        <v>-22</v>
      </c>
      <c r="BN39" s="276">
        <f t="shared" si="4"/>
        <v>174</v>
      </c>
      <c r="BO39" s="1757">
        <v>-32</v>
      </c>
      <c r="BP39" s="1757">
        <v>54</v>
      </c>
      <c r="BQ39" s="1858">
        <v>145</v>
      </c>
      <c r="BR39" s="278">
        <f t="shared" si="5"/>
        <v>167</v>
      </c>
      <c r="BS39" s="1756">
        <v>54</v>
      </c>
      <c r="BT39" s="278">
        <f>BR39+BS39</f>
        <v>221</v>
      </c>
      <c r="BU39" s="1756">
        <v>43</v>
      </c>
      <c r="BV39" s="1756">
        <v>-19</v>
      </c>
      <c r="BW39" s="1756">
        <v>17</v>
      </c>
      <c r="BX39" s="1757">
        <v>16</v>
      </c>
      <c r="BY39" s="1757">
        <v>115</v>
      </c>
      <c r="BZ39" s="1757">
        <v>178</v>
      </c>
      <c r="CA39" s="1757">
        <v>212</v>
      </c>
      <c r="CB39" s="1757">
        <v>204</v>
      </c>
      <c r="CC39" s="1757">
        <v>167</v>
      </c>
      <c r="CD39" s="1757">
        <v>197</v>
      </c>
      <c r="CE39" s="1757">
        <v>187</v>
      </c>
      <c r="CF39" s="1757">
        <v>180</v>
      </c>
      <c r="CG39" s="1757">
        <v>133</v>
      </c>
      <c r="CH39" s="1757">
        <v>135</v>
      </c>
      <c r="CI39" s="1757">
        <v>126</v>
      </c>
      <c r="CJ39" s="1757">
        <v>115</v>
      </c>
      <c r="CK39" s="1757">
        <v>56</v>
      </c>
      <c r="CL39" s="1757">
        <f>146-CK39</f>
        <v>90</v>
      </c>
      <c r="CM39" s="1757">
        <v>155</v>
      </c>
      <c r="CN39" s="1757">
        <v>257</v>
      </c>
      <c r="CO39" s="1757">
        <v>97</v>
      </c>
      <c r="CP39" s="1757">
        <v>121.29300000000001</v>
      </c>
      <c r="CQ39" s="1757">
        <v>144.81100000000001</v>
      </c>
      <c r="CR39" s="1757">
        <v>96.215000000000003</v>
      </c>
      <c r="CS39" s="1757">
        <v>95.004999999999995</v>
      </c>
      <c r="CT39" s="1757">
        <v>1198.6840000000002</v>
      </c>
      <c r="CU39" s="1757">
        <v>976.9860000000001</v>
      </c>
      <c r="CV39" s="1757">
        <v>694.72699999999986</v>
      </c>
      <c r="CW39" s="1757">
        <v>298.24799999999999</v>
      </c>
      <c r="CX39" s="1757">
        <v>298.81300000000005</v>
      </c>
      <c r="CY39" s="1757">
        <v>238.327</v>
      </c>
      <c r="CZ39" s="1757">
        <v>222.18199999999979</v>
      </c>
      <c r="DA39" s="1757">
        <v>178.91800000000001</v>
      </c>
      <c r="DB39" s="1757">
        <v>164.53399999999999</v>
      </c>
      <c r="DC39" s="1757">
        <v>147.50099999999998</v>
      </c>
      <c r="DD39" s="1757">
        <v>140.79100000000005</v>
      </c>
      <c r="DE39" s="1757">
        <v>106.53100000000001</v>
      </c>
      <c r="DF39" s="1757">
        <v>175.70100000000002</v>
      </c>
      <c r="DG39" s="1757">
        <v>186.11799999999999</v>
      </c>
      <c r="DH39" s="1757">
        <v>273.78799999999995</v>
      </c>
      <c r="DI39" s="1757">
        <v>177.83</v>
      </c>
      <c r="DJ39" s="1859" t="s">
        <v>1480</v>
      </c>
    </row>
    <row r="40" spans="1:114" s="1855" customFormat="1">
      <c r="A40" s="1860" t="s">
        <v>91</v>
      </c>
      <c r="B40" s="1855">
        <v>23</v>
      </c>
      <c r="C40" s="1855">
        <v>-20.528000000000002</v>
      </c>
      <c r="D40" s="1855">
        <v>-16.170999999999996</v>
      </c>
      <c r="E40" s="1855">
        <v>-1.0990000000000038</v>
      </c>
      <c r="F40" s="1855">
        <v>9.2659999999999982</v>
      </c>
      <c r="G40" s="1855">
        <v>3.5640000000000001</v>
      </c>
      <c r="H40" s="1756">
        <v>0</v>
      </c>
      <c r="I40" s="1756">
        <v>0</v>
      </c>
      <c r="J40" s="1756">
        <v>9.5310000000000024</v>
      </c>
      <c r="K40" s="1756">
        <v>0</v>
      </c>
      <c r="L40" s="1756">
        <v>5</v>
      </c>
      <c r="M40" s="1756">
        <v>17</v>
      </c>
      <c r="N40" s="1756">
        <v>-2.2719999999999985</v>
      </c>
      <c r="O40" s="1756">
        <v>-5.4859999999999971</v>
      </c>
      <c r="P40" s="1756">
        <v>4</v>
      </c>
      <c r="Q40" s="1756">
        <v>35</v>
      </c>
      <c r="R40" s="1756">
        <v>19.135999999999999</v>
      </c>
      <c r="S40" s="1756">
        <v>18.696999999999999</v>
      </c>
      <c r="T40" s="1756">
        <v>28</v>
      </c>
      <c r="U40" s="1756">
        <v>39</v>
      </c>
      <c r="V40" s="1756">
        <v>35.620000000000005</v>
      </c>
      <c r="W40" s="1756">
        <v>24</v>
      </c>
      <c r="X40" s="1756">
        <v>52</v>
      </c>
      <c r="Y40" s="1756">
        <v>86</v>
      </c>
      <c r="Z40" s="1756">
        <v>113</v>
      </c>
      <c r="AA40" s="1756">
        <v>113</v>
      </c>
      <c r="AB40" s="1756">
        <v>91</v>
      </c>
      <c r="AC40" s="1756">
        <v>98</v>
      </c>
      <c r="AD40" s="1756">
        <v>154</v>
      </c>
      <c r="AE40" s="1756">
        <v>170</v>
      </c>
      <c r="AF40" s="1756">
        <v>195</v>
      </c>
      <c r="AG40" s="1756">
        <v>188</v>
      </c>
      <c r="AH40" s="1756">
        <v>275.69099999999997</v>
      </c>
      <c r="AI40" s="1756">
        <v>259</v>
      </c>
      <c r="AJ40" s="1756">
        <v>222</v>
      </c>
      <c r="AK40" s="1756">
        <v>256</v>
      </c>
      <c r="AL40" s="1756">
        <v>252</v>
      </c>
      <c r="AM40" s="1756">
        <v>286.08</v>
      </c>
      <c r="AN40" s="1756">
        <v>165</v>
      </c>
      <c r="AO40" s="1756">
        <v>154</v>
      </c>
      <c r="AP40" s="1756">
        <v>143</v>
      </c>
      <c r="AQ40" s="1756">
        <v>198</v>
      </c>
      <c r="AR40" s="1756">
        <v>70</v>
      </c>
      <c r="AS40" s="1756">
        <v>139</v>
      </c>
      <c r="AT40" s="1756">
        <v>182</v>
      </c>
      <c r="AU40" s="1756">
        <v>107</v>
      </c>
      <c r="AV40" s="1756">
        <v>142.29900000000001</v>
      </c>
      <c r="AW40" s="1756">
        <v>185.52199999999999</v>
      </c>
      <c r="AX40" s="1756">
        <v>188</v>
      </c>
      <c r="AY40" s="1756">
        <v>117</v>
      </c>
      <c r="AZ40" s="1756">
        <f>AZ42+AZ43</f>
        <v>42</v>
      </c>
      <c r="BA40" s="1756">
        <f t="shared" ref="BA40:BV40" si="11">BA42+BA43</f>
        <v>-170</v>
      </c>
      <c r="BB40" s="1756">
        <f t="shared" si="11"/>
        <v>-51</v>
      </c>
      <c r="BC40" s="1756">
        <f t="shared" si="11"/>
        <v>139</v>
      </c>
      <c r="BD40" s="278">
        <f>BD42+BD43</f>
        <v>-40</v>
      </c>
      <c r="BE40" s="1756">
        <v>-32</v>
      </c>
      <c r="BF40" s="1756">
        <v>48</v>
      </c>
      <c r="BG40" s="1756">
        <v>42</v>
      </c>
      <c r="BH40" s="1756">
        <v>-57</v>
      </c>
      <c r="BI40" s="278">
        <f t="shared" si="11"/>
        <v>1</v>
      </c>
      <c r="BJ40" s="1756">
        <f t="shared" si="11"/>
        <v>-17</v>
      </c>
      <c r="BK40" s="1756">
        <f t="shared" si="11"/>
        <v>33</v>
      </c>
      <c r="BL40" s="1756">
        <f t="shared" si="11"/>
        <v>152</v>
      </c>
      <c r="BM40" s="1756">
        <f t="shared" si="11"/>
        <v>18</v>
      </c>
      <c r="BN40" s="1756">
        <f>BN42+BN43</f>
        <v>186</v>
      </c>
      <c r="BO40" s="1756">
        <f t="shared" si="11"/>
        <v>-31</v>
      </c>
      <c r="BP40" s="1756">
        <f t="shared" si="11"/>
        <v>59</v>
      </c>
      <c r="BQ40" s="1756">
        <f t="shared" si="11"/>
        <v>153</v>
      </c>
      <c r="BR40" s="1756">
        <f t="shared" si="11"/>
        <v>181</v>
      </c>
      <c r="BS40" s="1756">
        <f t="shared" si="11"/>
        <v>59</v>
      </c>
      <c r="BT40" s="278">
        <f t="shared" si="11"/>
        <v>240</v>
      </c>
      <c r="BU40" s="1756">
        <f t="shared" si="11"/>
        <v>46</v>
      </c>
      <c r="BV40" s="1756">
        <f t="shared" si="11"/>
        <v>-5</v>
      </c>
      <c r="BW40" s="1756">
        <v>24</v>
      </c>
      <c r="BX40" s="1757">
        <v>10</v>
      </c>
      <c r="BY40" s="1757">
        <v>125</v>
      </c>
      <c r="BZ40" s="1757">
        <v>168</v>
      </c>
      <c r="CA40" s="1757">
        <v>184</v>
      </c>
      <c r="CB40" s="1757">
        <v>200</v>
      </c>
      <c r="CC40" s="1757">
        <v>159</v>
      </c>
      <c r="CD40" s="1757">
        <v>199</v>
      </c>
      <c r="CE40" s="1757">
        <v>184</v>
      </c>
      <c r="CF40" s="1757">
        <v>176</v>
      </c>
      <c r="CG40" s="1757">
        <v>126</v>
      </c>
      <c r="CH40" s="1757">
        <v>125</v>
      </c>
      <c r="CI40" s="1757">
        <v>131</v>
      </c>
      <c r="CJ40" s="1757">
        <v>121</v>
      </c>
      <c r="CK40" s="1757">
        <v>66</v>
      </c>
      <c r="CL40" s="1757">
        <f>151-CK40</f>
        <v>85</v>
      </c>
      <c r="CM40" s="1757">
        <v>148</v>
      </c>
      <c r="CN40" s="1757">
        <v>238</v>
      </c>
      <c r="CO40" s="1757">
        <v>105</v>
      </c>
      <c r="CP40" s="1757">
        <v>130.61600000000001</v>
      </c>
      <c r="CQ40" s="1757">
        <v>134.87299999999999</v>
      </c>
      <c r="CR40" s="1757">
        <v>101.39000000000001</v>
      </c>
      <c r="CS40" s="1757">
        <v>88.423000000000002</v>
      </c>
      <c r="CT40" s="1757">
        <v>1215.2239999999999</v>
      </c>
      <c r="CU40" s="1757">
        <v>954.096</v>
      </c>
      <c r="CV40" s="1757">
        <v>697.57600000000002</v>
      </c>
      <c r="CW40" s="1757">
        <v>319.13900000000001</v>
      </c>
      <c r="CX40" s="1757">
        <v>316.90099999999995</v>
      </c>
      <c r="CY40" s="1757">
        <v>242.995</v>
      </c>
      <c r="CZ40" s="1757">
        <v>225.65400000000011</v>
      </c>
      <c r="DA40" s="1757">
        <v>162.935</v>
      </c>
      <c r="DB40" s="1757">
        <v>145.26900000000001</v>
      </c>
      <c r="DC40" s="1757">
        <v>132.01999999999998</v>
      </c>
      <c r="DD40" s="1757">
        <v>115.89000000000004</v>
      </c>
      <c r="DE40" s="1757">
        <v>116.82</v>
      </c>
      <c r="DF40" s="1757">
        <v>178.95699999999999</v>
      </c>
      <c r="DG40" s="1757">
        <v>192.77600000000001</v>
      </c>
      <c r="DH40" s="1757">
        <v>183.29999999999995</v>
      </c>
      <c r="DI40" s="1757">
        <v>192.98099999999999</v>
      </c>
      <c r="DJ40" s="1859" t="s">
        <v>92</v>
      </c>
    </row>
    <row r="41" spans="1:114" s="1855" customFormat="1">
      <c r="A41" s="1860"/>
      <c r="B41" s="1857"/>
      <c r="H41" s="1757"/>
      <c r="I41" s="1757"/>
      <c r="J41" s="1757"/>
      <c r="K41" s="1757"/>
      <c r="L41" s="1757"/>
      <c r="M41" s="1757"/>
      <c r="N41" s="1757"/>
      <c r="O41" s="1757"/>
      <c r="P41" s="1757"/>
      <c r="Q41" s="1757"/>
      <c r="R41" s="1757"/>
      <c r="S41" s="1757"/>
      <c r="T41" s="1757"/>
      <c r="U41" s="1757"/>
      <c r="V41" s="1757"/>
      <c r="W41" s="1757"/>
      <c r="X41" s="1757"/>
      <c r="Y41" s="1757"/>
      <c r="Z41" s="1757"/>
      <c r="AA41" s="1757"/>
      <c r="AB41" s="1757"/>
      <c r="AC41" s="1757"/>
      <c r="AD41" s="1757"/>
      <c r="AE41" s="1757"/>
      <c r="AF41" s="1757"/>
      <c r="AG41" s="1757"/>
      <c r="AH41" s="1757"/>
      <c r="AI41" s="1757"/>
      <c r="AJ41" s="1757"/>
      <c r="AK41" s="1757"/>
      <c r="AL41" s="1757"/>
      <c r="AM41" s="1757"/>
      <c r="AN41" s="1757"/>
      <c r="AO41" s="1757"/>
      <c r="AP41" s="1757"/>
      <c r="AQ41" s="1757"/>
      <c r="AR41" s="1757"/>
      <c r="AS41" s="1757"/>
      <c r="AT41" s="1757"/>
      <c r="AU41" s="1757"/>
      <c r="AV41" s="1757"/>
      <c r="AW41" s="1757"/>
      <c r="AX41" s="1757"/>
      <c r="AY41" s="1757"/>
      <c r="AZ41" s="1757"/>
      <c r="BA41" s="1757"/>
      <c r="BB41" s="1757"/>
      <c r="BC41" s="1858"/>
      <c r="BD41" s="278"/>
      <c r="BE41" s="1757"/>
      <c r="BF41" s="1757"/>
      <c r="BG41" s="1757"/>
      <c r="BH41" s="1858"/>
      <c r="BI41" s="278"/>
      <c r="BJ41" s="1757"/>
      <c r="BK41" s="1757"/>
      <c r="BL41" s="1757"/>
      <c r="BM41" s="1757"/>
      <c r="BN41" s="276"/>
      <c r="BO41" s="1757"/>
      <c r="BP41" s="1757"/>
      <c r="BQ41" s="1858"/>
      <c r="BR41" s="278"/>
      <c r="BS41" s="1756"/>
      <c r="BT41" s="278"/>
      <c r="BU41" s="1756"/>
      <c r="BV41" s="1756"/>
      <c r="BW41" s="1756"/>
      <c r="BX41" s="1757"/>
      <c r="BY41" s="1757"/>
      <c r="BZ41" s="1757"/>
      <c r="CA41" s="1757"/>
      <c r="CB41" s="1757"/>
      <c r="CC41" s="1757"/>
      <c r="CD41" s="1757"/>
      <c r="CE41" s="1757"/>
      <c r="CF41" s="1757"/>
      <c r="CG41" s="1757"/>
      <c r="CH41" s="1757"/>
      <c r="CI41" s="1757"/>
      <c r="CJ41" s="1757"/>
      <c r="CK41" s="1757"/>
      <c r="CL41" s="1757"/>
      <c r="CM41" s="1757"/>
      <c r="CN41" s="1757"/>
      <c r="CO41" s="1757"/>
      <c r="CP41" s="1757"/>
      <c r="CQ41" s="1757"/>
      <c r="CR41" s="1757"/>
      <c r="CS41" s="1757"/>
      <c r="CT41" s="1757"/>
      <c r="CU41" s="1757"/>
      <c r="CV41" s="1757"/>
      <c r="CW41" s="1757"/>
      <c r="CX41" s="1757"/>
      <c r="CY41" s="1757"/>
      <c r="CZ41" s="1757"/>
      <c r="DA41" s="1757"/>
      <c r="DB41" s="1757"/>
      <c r="DC41" s="1757"/>
      <c r="DD41" s="1757"/>
      <c r="DE41" s="1757"/>
      <c r="DF41" s="1757"/>
      <c r="DG41" s="1757"/>
      <c r="DH41" s="1757"/>
      <c r="DI41" s="1757"/>
      <c r="DJ41" s="1859"/>
    </row>
    <row r="42" spans="1:114" s="1855" customFormat="1">
      <c r="A42" s="1861" t="s">
        <v>1145</v>
      </c>
      <c r="B42" s="1857">
        <v>35</v>
      </c>
      <c r="C42" s="1855">
        <v>19.861999999999998</v>
      </c>
      <c r="D42" s="1855">
        <v>30.01</v>
      </c>
      <c r="E42" s="1855">
        <v>74.738</v>
      </c>
      <c r="F42" s="1855">
        <v>54.491999999999997</v>
      </c>
      <c r="G42" s="1855">
        <v>57.131999999999998</v>
      </c>
      <c r="H42" s="1757"/>
      <c r="I42" s="1757"/>
      <c r="J42" s="1757">
        <v>29.318000000000001</v>
      </c>
      <c r="K42" s="1757">
        <v>15</v>
      </c>
      <c r="L42" s="1757">
        <v>37</v>
      </c>
      <c r="M42" s="1757">
        <v>45</v>
      </c>
      <c r="N42" s="1757">
        <v>27.422000000000001</v>
      </c>
      <c r="O42" s="1757">
        <v>53.31</v>
      </c>
      <c r="P42" s="1757">
        <v>28</v>
      </c>
      <c r="Q42" s="1757">
        <v>50</v>
      </c>
      <c r="R42" s="1757">
        <v>36</v>
      </c>
      <c r="S42" s="1757">
        <v>40.427</v>
      </c>
      <c r="T42" s="1757">
        <v>41</v>
      </c>
      <c r="U42" s="1757">
        <v>53</v>
      </c>
      <c r="V42" s="1757">
        <v>52.484000000000002</v>
      </c>
      <c r="W42" s="1757">
        <v>45</v>
      </c>
      <c r="X42" s="1757">
        <v>71</v>
      </c>
      <c r="Y42" s="1757">
        <v>109</v>
      </c>
      <c r="Z42" s="1757">
        <v>171</v>
      </c>
      <c r="AA42" s="1757">
        <v>140</v>
      </c>
      <c r="AB42" s="1757">
        <v>116</v>
      </c>
      <c r="AC42" s="1757">
        <v>146</v>
      </c>
      <c r="AD42" s="1757">
        <v>188</v>
      </c>
      <c r="AE42" s="1757">
        <v>213</v>
      </c>
      <c r="AF42" s="1757">
        <v>253</v>
      </c>
      <c r="AG42" s="1757">
        <v>259</v>
      </c>
      <c r="AH42" s="1757">
        <v>348.33199999999999</v>
      </c>
      <c r="AI42" s="1757">
        <v>331</v>
      </c>
      <c r="AJ42" s="1757">
        <v>305</v>
      </c>
      <c r="AK42" s="1757">
        <v>349</v>
      </c>
      <c r="AL42" s="1757">
        <v>352</v>
      </c>
      <c r="AM42" s="1757">
        <v>409.548</v>
      </c>
      <c r="AN42" s="1757">
        <v>269</v>
      </c>
      <c r="AO42" s="1757">
        <v>273</v>
      </c>
      <c r="AP42" s="1757">
        <v>304</v>
      </c>
      <c r="AQ42" s="1757">
        <v>336</v>
      </c>
      <c r="AR42" s="1757">
        <v>259</v>
      </c>
      <c r="AS42" s="1757">
        <v>312</v>
      </c>
      <c r="AT42" s="1757">
        <v>388</v>
      </c>
      <c r="AU42" s="1757">
        <v>379</v>
      </c>
      <c r="AV42" s="1757">
        <v>367.512</v>
      </c>
      <c r="AW42" s="1757">
        <v>473.18299999999999</v>
      </c>
      <c r="AX42" s="1757">
        <v>483</v>
      </c>
      <c r="AY42" s="1757">
        <v>447</v>
      </c>
      <c r="AZ42" s="1757">
        <v>401</v>
      </c>
      <c r="BA42" s="1757">
        <v>395</v>
      </c>
      <c r="BB42" s="1757">
        <v>433</v>
      </c>
      <c r="BC42" s="1858">
        <v>623</v>
      </c>
      <c r="BD42" s="278">
        <f>SUM(AZ42:BC42)</f>
        <v>1852</v>
      </c>
      <c r="BE42" s="1757">
        <v>330</v>
      </c>
      <c r="BF42" s="1757">
        <v>363</v>
      </c>
      <c r="BG42" s="1757">
        <v>439</v>
      </c>
      <c r="BH42" s="1858">
        <v>448</v>
      </c>
      <c r="BI42" s="278">
        <f t="shared" si="3"/>
        <v>1580</v>
      </c>
      <c r="BJ42" s="1757">
        <v>350</v>
      </c>
      <c r="BK42" s="1757">
        <v>448</v>
      </c>
      <c r="BL42" s="1757">
        <v>528</v>
      </c>
      <c r="BM42" s="1757">
        <v>382</v>
      </c>
      <c r="BN42" s="276">
        <f t="shared" si="4"/>
        <v>1708</v>
      </c>
      <c r="BO42" s="1757">
        <v>234</v>
      </c>
      <c r="BP42" s="1757">
        <v>311</v>
      </c>
      <c r="BQ42" s="1858">
        <v>351</v>
      </c>
      <c r="BR42" s="278">
        <f t="shared" si="5"/>
        <v>896</v>
      </c>
      <c r="BS42" s="1756">
        <v>286</v>
      </c>
      <c r="BT42" s="278">
        <f>BR42+BS42</f>
        <v>1182</v>
      </c>
      <c r="BU42" s="1756">
        <v>179</v>
      </c>
      <c r="BV42" s="1756">
        <v>110</v>
      </c>
      <c r="BW42" s="1756">
        <v>143</v>
      </c>
      <c r="BX42" s="1757">
        <v>132</v>
      </c>
      <c r="BY42" s="1757">
        <v>202</v>
      </c>
      <c r="BZ42" s="1757">
        <v>254</v>
      </c>
      <c r="CA42" s="1757">
        <v>269</v>
      </c>
      <c r="CB42" s="1757">
        <v>295</v>
      </c>
      <c r="CC42" s="1757">
        <v>242</v>
      </c>
      <c r="CD42" s="1757">
        <v>286</v>
      </c>
      <c r="CE42" s="1757">
        <v>275</v>
      </c>
      <c r="CF42" s="1757">
        <v>276</v>
      </c>
      <c r="CG42" s="1757">
        <v>215</v>
      </c>
      <c r="CH42" s="1757">
        <v>228</v>
      </c>
      <c r="CI42" s="1757">
        <v>250</v>
      </c>
      <c r="CJ42" s="1757">
        <v>241</v>
      </c>
      <c r="CK42" s="1757">
        <v>188</v>
      </c>
      <c r="CL42" s="1757">
        <f>372-CK42</f>
        <v>184</v>
      </c>
      <c r="CM42" s="1757">
        <v>310</v>
      </c>
      <c r="CN42" s="1757">
        <v>412</v>
      </c>
      <c r="CO42" s="1757">
        <v>227</v>
      </c>
      <c r="CP42" s="1757">
        <v>264.76300000000003</v>
      </c>
      <c r="CQ42" s="1757">
        <v>281.06599999999997</v>
      </c>
      <c r="CR42" s="1757">
        <v>360.56200000000007</v>
      </c>
      <c r="CS42" s="1757">
        <v>239.971</v>
      </c>
      <c r="CT42" s="1757">
        <v>1364.317</v>
      </c>
      <c r="CU42" s="1757">
        <v>1174.971</v>
      </c>
      <c r="CV42" s="1757">
        <v>840.85800000000017</v>
      </c>
      <c r="CW42" s="1757">
        <v>451.53899999999999</v>
      </c>
      <c r="CX42" s="1757">
        <v>439.21100000000001</v>
      </c>
      <c r="CY42" s="1757">
        <v>390.00399999999991</v>
      </c>
      <c r="CZ42" s="1757">
        <v>374.06100000000015</v>
      </c>
      <c r="DA42" s="1757">
        <v>294.42</v>
      </c>
      <c r="DB42" s="1757">
        <v>273.38399999999996</v>
      </c>
      <c r="DC42" s="1757">
        <v>280.70200000000006</v>
      </c>
      <c r="DD42" s="1757">
        <v>234.3669999999999</v>
      </c>
      <c r="DE42" s="1757">
        <v>229.494</v>
      </c>
      <c r="DF42" s="1757">
        <v>304.46299999999997</v>
      </c>
      <c r="DG42" s="1757">
        <v>315.95299999999997</v>
      </c>
      <c r="DH42" s="1757">
        <v>327.08199999999999</v>
      </c>
      <c r="DI42" s="1757">
        <v>296.91699999999997</v>
      </c>
      <c r="DJ42" s="1859" t="s">
        <v>1147</v>
      </c>
    </row>
    <row r="43" spans="1:114" s="1855" customFormat="1">
      <c r="A43" s="1861" t="s">
        <v>1298</v>
      </c>
      <c r="B43" s="1857">
        <v>-12</v>
      </c>
      <c r="C43" s="1855">
        <v>-40.39</v>
      </c>
      <c r="D43" s="1855">
        <v>-46.180999999999997</v>
      </c>
      <c r="E43" s="1855">
        <v>-75.837000000000003</v>
      </c>
      <c r="F43" s="1855">
        <v>-45.225999999999999</v>
      </c>
      <c r="G43" s="1855">
        <v>-53.567999999999998</v>
      </c>
      <c r="H43" s="1757"/>
      <c r="I43" s="1757"/>
      <c r="J43" s="1757">
        <v>-19.786999999999999</v>
      </c>
      <c r="K43" s="1757">
        <v>-15</v>
      </c>
      <c r="L43" s="1757">
        <v>-32</v>
      </c>
      <c r="M43" s="1757">
        <v>-28</v>
      </c>
      <c r="N43" s="1757">
        <v>-29.693999999999999</v>
      </c>
      <c r="O43" s="1757">
        <v>-58.795999999999999</v>
      </c>
      <c r="P43" s="1757">
        <v>-24</v>
      </c>
      <c r="Q43" s="1757">
        <v>-15</v>
      </c>
      <c r="R43" s="1757">
        <v>-16.864000000000001</v>
      </c>
      <c r="S43" s="1757">
        <v>-21.73</v>
      </c>
      <c r="T43" s="1757">
        <v>-13</v>
      </c>
      <c r="U43" s="1757">
        <v>-14</v>
      </c>
      <c r="V43" s="1757">
        <v>-16.864000000000001</v>
      </c>
      <c r="W43" s="1757">
        <v>-21</v>
      </c>
      <c r="X43" s="1757">
        <v>-19</v>
      </c>
      <c r="Y43" s="1757">
        <v>-23</v>
      </c>
      <c r="Z43" s="1757">
        <v>-58</v>
      </c>
      <c r="AA43" s="1757">
        <v>-27</v>
      </c>
      <c r="AB43" s="1757">
        <v>-25</v>
      </c>
      <c r="AC43" s="1757">
        <v>-48</v>
      </c>
      <c r="AD43" s="1757">
        <v>-34</v>
      </c>
      <c r="AE43" s="1757">
        <v>-43</v>
      </c>
      <c r="AF43" s="1757">
        <v>-58</v>
      </c>
      <c r="AG43" s="1757">
        <v>-71</v>
      </c>
      <c r="AH43" s="1757">
        <v>-72.641000000000005</v>
      </c>
      <c r="AI43" s="1757">
        <v>-72</v>
      </c>
      <c r="AJ43" s="1757">
        <v>-83</v>
      </c>
      <c r="AK43" s="1757">
        <v>-93</v>
      </c>
      <c r="AL43" s="1757">
        <v>-100</v>
      </c>
      <c r="AM43" s="1757">
        <v>-123.468</v>
      </c>
      <c r="AN43" s="1757">
        <v>-104</v>
      </c>
      <c r="AO43" s="1757">
        <v>-119</v>
      </c>
      <c r="AP43" s="1757">
        <v>-161</v>
      </c>
      <c r="AQ43" s="1757">
        <v>-138</v>
      </c>
      <c r="AR43" s="1757">
        <v>-189</v>
      </c>
      <c r="AS43" s="1757">
        <v>-173</v>
      </c>
      <c r="AT43" s="1757">
        <v>-206</v>
      </c>
      <c r="AU43" s="1757">
        <v>-272</v>
      </c>
      <c r="AV43" s="1757">
        <v>-225.21299999999999</v>
      </c>
      <c r="AW43" s="1757">
        <v>-287.661</v>
      </c>
      <c r="AX43" s="1757">
        <v>-295</v>
      </c>
      <c r="AY43" s="1757">
        <v>-330</v>
      </c>
      <c r="AZ43" s="1757">
        <v>-359</v>
      </c>
      <c r="BA43" s="1757">
        <v>-565</v>
      </c>
      <c r="BB43" s="1757">
        <v>-484</v>
      </c>
      <c r="BC43" s="1858">
        <v>-484</v>
      </c>
      <c r="BD43" s="278">
        <f>SUM(AZ43:BC43)</f>
        <v>-1892</v>
      </c>
      <c r="BE43" s="1757">
        <v>-362</v>
      </c>
      <c r="BF43" s="1757">
        <v>-315</v>
      </c>
      <c r="BG43" s="1757">
        <v>-397</v>
      </c>
      <c r="BH43" s="1858">
        <v>-505</v>
      </c>
      <c r="BI43" s="278">
        <f t="shared" si="3"/>
        <v>-1579</v>
      </c>
      <c r="BJ43" s="1757">
        <v>-367</v>
      </c>
      <c r="BK43" s="1757">
        <v>-415</v>
      </c>
      <c r="BL43" s="1757">
        <v>-376</v>
      </c>
      <c r="BM43" s="1757">
        <v>-364</v>
      </c>
      <c r="BN43" s="276">
        <f t="shared" si="4"/>
        <v>-1522</v>
      </c>
      <c r="BO43" s="1757">
        <v>-265</v>
      </c>
      <c r="BP43" s="1757">
        <v>-252</v>
      </c>
      <c r="BQ43" s="1858">
        <v>-198</v>
      </c>
      <c r="BR43" s="278">
        <f t="shared" si="5"/>
        <v>-715</v>
      </c>
      <c r="BS43" s="1756">
        <v>-227</v>
      </c>
      <c r="BT43" s="278">
        <f>BR43+BS43</f>
        <v>-942</v>
      </c>
      <c r="BU43" s="1756">
        <v>-133</v>
      </c>
      <c r="BV43" s="1756">
        <v>-115</v>
      </c>
      <c r="BW43" s="1756">
        <v>-119</v>
      </c>
      <c r="BX43" s="1757">
        <v>-122</v>
      </c>
      <c r="BY43" s="1757">
        <v>-77</v>
      </c>
      <c r="BZ43" s="1757">
        <v>-86</v>
      </c>
      <c r="CA43" s="1757">
        <v>-85</v>
      </c>
      <c r="CB43" s="1757">
        <v>-95</v>
      </c>
      <c r="CC43" s="1757">
        <v>-83</v>
      </c>
      <c r="CD43" s="1757">
        <v>-87</v>
      </c>
      <c r="CE43" s="1757">
        <v>-91</v>
      </c>
      <c r="CF43" s="1757">
        <v>-100</v>
      </c>
      <c r="CG43" s="1757">
        <v>-89</v>
      </c>
      <c r="CH43" s="1757">
        <v>-103</v>
      </c>
      <c r="CI43" s="1757">
        <v>-119</v>
      </c>
      <c r="CJ43" s="1757">
        <v>-120</v>
      </c>
      <c r="CK43" s="1757">
        <v>-122</v>
      </c>
      <c r="CL43" s="1757">
        <f>-221-CK43</f>
        <v>-99</v>
      </c>
      <c r="CM43" s="1757">
        <v>-162</v>
      </c>
      <c r="CN43" s="1757">
        <v>-174</v>
      </c>
      <c r="CO43" s="1757">
        <v>-122</v>
      </c>
      <c r="CP43" s="1757">
        <v>-134.14699999999999</v>
      </c>
      <c r="CQ43" s="1757">
        <v>-146.19300000000001</v>
      </c>
      <c r="CR43" s="1757">
        <v>-259.17199999999991</v>
      </c>
      <c r="CS43" s="1757">
        <v>-151.548</v>
      </c>
      <c r="CT43" s="1757">
        <v>-149.09300000000002</v>
      </c>
      <c r="CU43" s="1757">
        <v>-220.87499999999994</v>
      </c>
      <c r="CV43" s="1757">
        <v>-143.28200000000004</v>
      </c>
      <c r="CW43" s="1757">
        <v>-132.4</v>
      </c>
      <c r="CX43" s="1757">
        <v>-122.31</v>
      </c>
      <c r="CY43" s="1757">
        <v>-147.00899999999999</v>
      </c>
      <c r="CZ43" s="1757">
        <v>-148.40699999999998</v>
      </c>
      <c r="DA43" s="1757">
        <v>-131.48500000000001</v>
      </c>
      <c r="DB43" s="1757">
        <v>-128.11500000000001</v>
      </c>
      <c r="DC43" s="1757">
        <v>-148.68199999999996</v>
      </c>
      <c r="DD43" s="1757">
        <v>-118.47700000000003</v>
      </c>
      <c r="DE43" s="1757">
        <v>-112.67400000000001</v>
      </c>
      <c r="DF43" s="1757">
        <v>-125.506</v>
      </c>
      <c r="DG43" s="1757">
        <v>-123.17700000000002</v>
      </c>
      <c r="DH43" s="1757">
        <v>-143.78200000000001</v>
      </c>
      <c r="DI43" s="1757">
        <v>-103.93600000000001</v>
      </c>
      <c r="DJ43" s="1859" t="s">
        <v>1148</v>
      </c>
    </row>
    <row r="44" spans="1:114" s="1855" customFormat="1">
      <c r="A44" s="1861"/>
      <c r="B44" s="1857"/>
      <c r="H44" s="1757"/>
      <c r="I44" s="1757"/>
      <c r="J44" s="1757"/>
      <c r="K44" s="1757"/>
      <c r="L44" s="1757"/>
      <c r="M44" s="1757"/>
      <c r="N44" s="1757"/>
      <c r="O44" s="1757"/>
      <c r="P44" s="1757"/>
      <c r="Q44" s="1757"/>
      <c r="R44" s="1757"/>
      <c r="S44" s="1757"/>
      <c r="T44" s="1757"/>
      <c r="U44" s="1757"/>
      <c r="V44" s="1757"/>
      <c r="W44" s="1757"/>
      <c r="X44" s="1757"/>
      <c r="Y44" s="1757"/>
      <c r="Z44" s="1757"/>
      <c r="AA44" s="1757"/>
      <c r="AB44" s="1757"/>
      <c r="AC44" s="1757"/>
      <c r="AD44" s="1757"/>
      <c r="AE44" s="1757"/>
      <c r="AF44" s="1757"/>
      <c r="AG44" s="1757"/>
      <c r="AH44" s="1757"/>
      <c r="AI44" s="1757"/>
      <c r="AJ44" s="1757"/>
      <c r="AK44" s="1757"/>
      <c r="AL44" s="1757"/>
      <c r="AM44" s="1757"/>
      <c r="AN44" s="1757"/>
      <c r="AO44" s="1757"/>
      <c r="AP44" s="1757"/>
      <c r="AQ44" s="1757"/>
      <c r="AR44" s="1757"/>
      <c r="AS44" s="1757"/>
      <c r="AT44" s="1757"/>
      <c r="AU44" s="1757"/>
      <c r="AV44" s="1757"/>
      <c r="AW44" s="1757"/>
      <c r="AX44" s="1757"/>
      <c r="AY44" s="1757"/>
      <c r="AZ44" s="1757"/>
      <c r="BA44" s="1757"/>
      <c r="BB44" s="1757"/>
      <c r="BC44" s="1858"/>
      <c r="BD44" s="278"/>
      <c r="BE44" s="1757"/>
      <c r="BF44" s="1757"/>
      <c r="BG44" s="1757"/>
      <c r="BH44" s="1858"/>
      <c r="BI44" s="278"/>
      <c r="BJ44" s="1757"/>
      <c r="BK44" s="1757"/>
      <c r="BL44" s="1757"/>
      <c r="BM44" s="1757"/>
      <c r="BN44" s="276"/>
      <c r="BO44" s="1757"/>
      <c r="BP44" s="1757"/>
      <c r="BQ44" s="1858"/>
      <c r="BR44" s="278"/>
      <c r="BS44" s="1756"/>
      <c r="BT44" s="278"/>
      <c r="BU44" s="1756"/>
      <c r="BV44" s="1756"/>
      <c r="BW44" s="1756"/>
      <c r="BX44" s="1757"/>
      <c r="BY44" s="1757"/>
      <c r="BZ44" s="1757"/>
      <c r="CA44" s="1757"/>
      <c r="CB44" s="1757"/>
      <c r="CC44" s="1757"/>
      <c r="CD44" s="1757"/>
      <c r="CE44" s="1757"/>
      <c r="CF44" s="1757"/>
      <c r="CG44" s="1757"/>
      <c r="CH44" s="1757"/>
      <c r="CI44" s="1757"/>
      <c r="CJ44" s="1757"/>
      <c r="CK44" s="1757"/>
      <c r="CL44" s="1757"/>
      <c r="CM44" s="1757"/>
      <c r="CN44" s="1757"/>
      <c r="CO44" s="1757"/>
      <c r="CP44" s="1757"/>
      <c r="CQ44" s="1757"/>
      <c r="CR44" s="1757"/>
      <c r="CS44" s="1757"/>
      <c r="CT44" s="1757"/>
      <c r="CU44" s="1757"/>
      <c r="CV44" s="1757"/>
      <c r="CW44" s="1757"/>
      <c r="CX44" s="1757"/>
      <c r="CY44" s="1757"/>
      <c r="CZ44" s="1757"/>
      <c r="DA44" s="1757"/>
      <c r="DB44" s="1757"/>
      <c r="DC44" s="1757"/>
      <c r="DD44" s="1757"/>
      <c r="DE44" s="1757"/>
      <c r="DF44" s="1757"/>
      <c r="DG44" s="1757"/>
      <c r="DH44" s="1757"/>
      <c r="DI44" s="1757"/>
      <c r="DJ44" s="1859"/>
    </row>
    <row r="45" spans="1:114" s="1855" customFormat="1">
      <c r="A45" s="1861" t="s">
        <v>1451</v>
      </c>
      <c r="B45" s="1857">
        <v>-2</v>
      </c>
      <c r="D45" s="1855">
        <v>1</v>
      </c>
      <c r="E45" s="1855">
        <v>-1</v>
      </c>
      <c r="H45" s="1757"/>
      <c r="I45" s="1757"/>
      <c r="J45" s="1757"/>
      <c r="K45" s="1757"/>
      <c r="L45" s="1757">
        <v>0</v>
      </c>
      <c r="M45" s="1757">
        <v>0</v>
      </c>
      <c r="N45" s="1757">
        <v>0</v>
      </c>
      <c r="O45" s="1757">
        <v>0</v>
      </c>
      <c r="P45" s="1757">
        <v>0</v>
      </c>
      <c r="Q45" s="1757">
        <v>0</v>
      </c>
      <c r="R45" s="1757">
        <v>0</v>
      </c>
      <c r="S45" s="1757">
        <v>0</v>
      </c>
      <c r="T45" s="1757">
        <v>0</v>
      </c>
      <c r="U45" s="1757">
        <v>0</v>
      </c>
      <c r="V45" s="1757">
        <v>0</v>
      </c>
      <c r="W45" s="1757">
        <v>0</v>
      </c>
      <c r="X45" s="1757">
        <v>0</v>
      </c>
      <c r="Y45" s="1757">
        <v>0</v>
      </c>
      <c r="Z45" s="1757">
        <v>0</v>
      </c>
      <c r="AA45" s="1757">
        <v>0</v>
      </c>
      <c r="AB45" s="1757">
        <v>0</v>
      </c>
      <c r="AC45" s="1757">
        <v>0</v>
      </c>
      <c r="AD45" s="1757">
        <v>0</v>
      </c>
      <c r="AE45" s="1757">
        <v>0</v>
      </c>
      <c r="AF45" s="1757">
        <v>1</v>
      </c>
      <c r="AG45" s="1757">
        <v>3</v>
      </c>
      <c r="AH45" s="1757">
        <v>1</v>
      </c>
      <c r="AI45" s="1757">
        <v>4</v>
      </c>
      <c r="AJ45" s="1757">
        <v>1</v>
      </c>
      <c r="AK45" s="1757">
        <v>0</v>
      </c>
      <c r="AL45" s="1757">
        <v>0</v>
      </c>
      <c r="AM45" s="1757">
        <v>0</v>
      </c>
      <c r="AN45" s="1757">
        <v>0</v>
      </c>
      <c r="AO45" s="1757">
        <v>0</v>
      </c>
      <c r="AP45" s="1757">
        <v>0</v>
      </c>
      <c r="AQ45" s="1757">
        <v>0</v>
      </c>
      <c r="AR45" s="1757">
        <v>0</v>
      </c>
      <c r="AS45" s="1757">
        <v>0</v>
      </c>
      <c r="AT45" s="1757">
        <v>0</v>
      </c>
      <c r="AU45" s="1757">
        <v>0</v>
      </c>
      <c r="AV45" s="1757">
        <v>-3</v>
      </c>
      <c r="AW45" s="1757">
        <v>-4</v>
      </c>
      <c r="AX45" s="1757">
        <v>10</v>
      </c>
      <c r="AY45" s="1757">
        <v>-2</v>
      </c>
      <c r="AZ45" s="1757">
        <v>-3</v>
      </c>
      <c r="BA45" s="1757">
        <v>-2</v>
      </c>
      <c r="BB45" s="1757">
        <v>-2</v>
      </c>
      <c r="BC45" s="1858">
        <v>0</v>
      </c>
      <c r="BD45" s="278">
        <f>SUM(AZ45:BC45)</f>
        <v>-7</v>
      </c>
      <c r="BE45" s="1757">
        <v>-3</v>
      </c>
      <c r="BF45" s="1757">
        <v>-1</v>
      </c>
      <c r="BG45" s="1757">
        <v>-2</v>
      </c>
      <c r="BH45" s="1858">
        <v>-6</v>
      </c>
      <c r="BI45" s="278">
        <f t="shared" si="3"/>
        <v>-12</v>
      </c>
      <c r="BJ45" s="1757">
        <v>-2</v>
      </c>
      <c r="BK45" s="1757">
        <v>-2</v>
      </c>
      <c r="BL45" s="1757">
        <v>-1</v>
      </c>
      <c r="BM45" s="1757">
        <v>-2</v>
      </c>
      <c r="BN45" s="276">
        <f t="shared" si="4"/>
        <v>-7</v>
      </c>
      <c r="BO45" s="1757">
        <v>0</v>
      </c>
      <c r="BP45" s="1757">
        <v>-2</v>
      </c>
      <c r="BQ45" s="1858">
        <v>-1</v>
      </c>
      <c r="BR45" s="278">
        <f t="shared" si="5"/>
        <v>-3</v>
      </c>
      <c r="BS45" s="1756">
        <v>-41</v>
      </c>
      <c r="BT45" s="278">
        <f>BR45+BS45</f>
        <v>-44</v>
      </c>
      <c r="BU45" s="1756">
        <v>-40</v>
      </c>
      <c r="BV45" s="1756">
        <v>0</v>
      </c>
      <c r="BW45" s="1756">
        <v>0</v>
      </c>
      <c r="BX45" s="1757">
        <v>0</v>
      </c>
      <c r="BY45" s="1757">
        <v>0</v>
      </c>
      <c r="BZ45" s="1757">
        <v>0</v>
      </c>
      <c r="CA45" s="1757">
        <v>100</v>
      </c>
      <c r="CB45" s="1757">
        <v>0</v>
      </c>
      <c r="CC45" s="1757">
        <v>0</v>
      </c>
      <c r="CD45" s="1757">
        <v>1</v>
      </c>
      <c r="CE45" s="1757">
        <v>1</v>
      </c>
      <c r="CF45" s="1757">
        <v>0</v>
      </c>
      <c r="CG45" s="1757">
        <v>-2</v>
      </c>
      <c r="CH45" s="1757">
        <v>0</v>
      </c>
      <c r="CI45" s="1757">
        <v>-2</v>
      </c>
      <c r="CJ45" s="1757">
        <v>-15</v>
      </c>
      <c r="CK45" s="1757">
        <v>0</v>
      </c>
      <c r="CL45" s="1757">
        <f>-8-CK45</f>
        <v>-8</v>
      </c>
      <c r="CM45" s="1757">
        <v>0</v>
      </c>
      <c r="CN45" s="1757">
        <v>1</v>
      </c>
      <c r="CO45" s="1757">
        <v>0</v>
      </c>
      <c r="CP45" s="1757">
        <v>-5.1459999999999999</v>
      </c>
      <c r="CQ45" s="1757">
        <v>3.6999999999999998E-2</v>
      </c>
      <c r="CR45" s="1757">
        <v>0.94299999999999951</v>
      </c>
      <c r="CS45" s="1757">
        <v>-0.32700000000000001</v>
      </c>
      <c r="CT45" s="1757">
        <v>0.253</v>
      </c>
      <c r="CU45" s="1757">
        <v>2.0659999999999998</v>
      </c>
      <c r="CV45" s="1757">
        <v>-1.994</v>
      </c>
      <c r="CW45" s="1757">
        <v>3.3879999999999999</v>
      </c>
      <c r="CX45" s="1757">
        <v>-10.154999999999999</v>
      </c>
      <c r="CY45" s="1757">
        <v>-1.6619999999999999</v>
      </c>
      <c r="CZ45" s="1757">
        <v>-1.1890000000000001</v>
      </c>
      <c r="DA45" s="1757">
        <v>-0.66400000000000003</v>
      </c>
      <c r="DB45" s="1757">
        <v>1.19</v>
      </c>
      <c r="DC45" s="1757">
        <v>-0.60899999999999987</v>
      </c>
      <c r="DD45" s="1757">
        <v>-1.3620000000000001</v>
      </c>
      <c r="DE45" s="1757">
        <v>-0.73399999999999999</v>
      </c>
      <c r="DF45" s="1757">
        <v>-1.661</v>
      </c>
      <c r="DG45" s="1757">
        <v>-3.1999999999999997</v>
      </c>
      <c r="DH45" s="1757">
        <v>-2.3090000000000006</v>
      </c>
      <c r="DI45" s="1757">
        <v>-1.169</v>
      </c>
      <c r="DJ45" s="1859" t="s">
        <v>1452</v>
      </c>
    </row>
    <row r="46" spans="1:114" s="1855" customFormat="1">
      <c r="A46" s="1861"/>
      <c r="B46" s="1857"/>
      <c r="H46" s="1757"/>
      <c r="I46" s="1757"/>
      <c r="J46" s="1757"/>
      <c r="K46" s="1757"/>
      <c r="L46" s="1757"/>
      <c r="M46" s="1757"/>
      <c r="N46" s="1757"/>
      <c r="O46" s="1757"/>
      <c r="P46" s="1757"/>
      <c r="Q46" s="1757"/>
      <c r="R46" s="1757"/>
      <c r="S46" s="1757"/>
      <c r="T46" s="1757"/>
      <c r="U46" s="1757"/>
      <c r="V46" s="1757"/>
      <c r="W46" s="1757"/>
      <c r="X46" s="1757"/>
      <c r="Y46" s="1757"/>
      <c r="Z46" s="1757"/>
      <c r="AA46" s="1757"/>
      <c r="AB46" s="1757"/>
      <c r="AC46" s="1757"/>
      <c r="AD46" s="1757"/>
      <c r="AE46" s="1757"/>
      <c r="AF46" s="1757"/>
      <c r="AG46" s="1757"/>
      <c r="AH46" s="1757"/>
      <c r="AI46" s="1757"/>
      <c r="AJ46" s="1757"/>
      <c r="AK46" s="1757"/>
      <c r="AL46" s="1757"/>
      <c r="AM46" s="1757"/>
      <c r="AN46" s="1757"/>
      <c r="AO46" s="1757"/>
      <c r="AP46" s="1757"/>
      <c r="AQ46" s="1757"/>
      <c r="AR46" s="1757"/>
      <c r="AS46" s="1757"/>
      <c r="AT46" s="1757"/>
      <c r="AU46" s="1757"/>
      <c r="AV46" s="1757"/>
      <c r="AW46" s="1757"/>
      <c r="AX46" s="1757"/>
      <c r="AY46" s="1757"/>
      <c r="AZ46" s="1757"/>
      <c r="BA46" s="1757"/>
      <c r="BB46" s="1757"/>
      <c r="BC46" s="1858"/>
      <c r="BD46" s="278"/>
      <c r="BE46" s="1757"/>
      <c r="BF46" s="1757"/>
      <c r="BG46" s="1757"/>
      <c r="BH46" s="1858"/>
      <c r="BI46" s="278"/>
      <c r="BJ46" s="1757"/>
      <c r="BK46" s="1757"/>
      <c r="BL46" s="1757"/>
      <c r="BM46" s="1757"/>
      <c r="BN46" s="276"/>
      <c r="BO46" s="1757"/>
      <c r="BP46" s="1757"/>
      <c r="BQ46" s="1858"/>
      <c r="BR46" s="278"/>
      <c r="BS46" s="1756"/>
      <c r="BT46" s="278"/>
      <c r="BU46" s="1756"/>
      <c r="BV46" s="1756"/>
      <c r="BW46" s="1756"/>
      <c r="BX46" s="1757"/>
      <c r="BY46" s="1757"/>
      <c r="BZ46" s="1757"/>
      <c r="CA46" s="1757"/>
      <c r="CB46" s="1757"/>
      <c r="CC46" s="1757"/>
      <c r="CD46" s="1757"/>
      <c r="CE46" s="1757"/>
      <c r="CF46" s="1757"/>
      <c r="CG46" s="1757"/>
      <c r="CH46" s="1757"/>
      <c r="CI46" s="1757"/>
      <c r="CJ46" s="1757"/>
      <c r="CK46" s="1757"/>
      <c r="CL46" s="1757"/>
      <c r="CM46" s="1757"/>
      <c r="CN46" s="1757"/>
      <c r="CO46" s="1757"/>
      <c r="CP46" s="1757"/>
      <c r="CQ46" s="1757"/>
      <c r="CR46" s="1757"/>
      <c r="CS46" s="1757"/>
      <c r="CT46" s="1757"/>
      <c r="CU46" s="1757"/>
      <c r="CV46" s="1757"/>
      <c r="CW46" s="1757"/>
      <c r="CX46" s="1757"/>
      <c r="CY46" s="1757"/>
      <c r="CZ46" s="1757"/>
      <c r="DA46" s="1757"/>
      <c r="DB46" s="1757"/>
      <c r="DC46" s="1757"/>
      <c r="DD46" s="1757"/>
      <c r="DE46" s="1757"/>
      <c r="DF46" s="1757"/>
      <c r="DG46" s="1757"/>
      <c r="DH46" s="1757"/>
      <c r="DI46" s="1757"/>
      <c r="DJ46" s="1859"/>
    </row>
    <row r="47" spans="1:114" s="1855" customFormat="1">
      <c r="A47" s="1861" t="s">
        <v>1453</v>
      </c>
      <c r="B47" s="1757">
        <v>-502</v>
      </c>
      <c r="C47" s="1757">
        <v>-895</v>
      </c>
      <c r="D47" s="1757">
        <v>-1203</v>
      </c>
      <c r="E47" s="1757">
        <v>-1366</v>
      </c>
      <c r="F47" s="1757">
        <v>-828</v>
      </c>
      <c r="G47" s="1757">
        <v>-442</v>
      </c>
      <c r="H47" s="1757">
        <v>-31.586999999999989</v>
      </c>
      <c r="I47" s="1757">
        <v>6</v>
      </c>
      <c r="J47" s="1757">
        <v>-185</v>
      </c>
      <c r="K47" s="1757">
        <v>-107</v>
      </c>
      <c r="L47" s="1757">
        <v>-245</v>
      </c>
      <c r="M47" s="1757">
        <v>-280</v>
      </c>
      <c r="N47" s="1757">
        <v>-222</v>
      </c>
      <c r="O47" s="1757">
        <v>-333.17</v>
      </c>
      <c r="P47" s="1757">
        <v>-325.29899999999998</v>
      </c>
      <c r="Q47" s="1757">
        <v>-569</v>
      </c>
      <c r="R47" s="1757">
        <v>-624.47900000000004</v>
      </c>
      <c r="S47" s="1757">
        <v>-843</v>
      </c>
      <c r="T47" s="1757">
        <v>-774</v>
      </c>
      <c r="U47" s="1757">
        <v>-637</v>
      </c>
      <c r="V47" s="1757">
        <v>-695</v>
      </c>
      <c r="W47" s="1757">
        <v>-922.625</v>
      </c>
      <c r="X47" s="1757">
        <v>-527</v>
      </c>
      <c r="Y47" s="1757">
        <v>-378.47299999999996</v>
      </c>
      <c r="Z47" s="1757">
        <v>2</v>
      </c>
      <c r="AA47" s="1757">
        <v>376.43900000000008</v>
      </c>
      <c r="AB47" s="1757">
        <v>395</v>
      </c>
      <c r="AC47" s="1757">
        <v>91</v>
      </c>
      <c r="AD47" s="1757">
        <v>245.12799999999999</v>
      </c>
      <c r="AE47" s="1757">
        <v>1000</v>
      </c>
      <c r="AF47" s="1757">
        <v>1421.655</v>
      </c>
      <c r="AG47" s="1757">
        <v>1048</v>
      </c>
      <c r="AH47" s="1757">
        <v>997</v>
      </c>
      <c r="AI47" s="1757">
        <v>2291</v>
      </c>
      <c r="AJ47" s="1757">
        <v>1896</v>
      </c>
      <c r="AK47" s="1757">
        <v>1291</v>
      </c>
      <c r="AL47" s="1757">
        <v>-7.8849999999999909</v>
      </c>
      <c r="AM47" s="1757">
        <v>-541</v>
      </c>
      <c r="AN47" s="1757">
        <v>2980</v>
      </c>
      <c r="AO47" s="1757">
        <v>979</v>
      </c>
      <c r="AP47" s="1757">
        <v>867</v>
      </c>
      <c r="AQ47" s="1757">
        <v>1202</v>
      </c>
      <c r="AR47" s="1757">
        <v>1196.6589999999999</v>
      </c>
      <c r="AS47" s="1757">
        <v>1109</v>
      </c>
      <c r="AT47" s="1757">
        <v>321</v>
      </c>
      <c r="AU47" s="1757">
        <v>970.61500000000001</v>
      </c>
      <c r="AV47" s="1757">
        <v>1804</v>
      </c>
      <c r="AW47" s="1757">
        <v>1046.8179999999998</v>
      </c>
      <c r="AX47" s="1757">
        <v>666</v>
      </c>
      <c r="AY47" s="1757">
        <v>521</v>
      </c>
      <c r="AZ47" s="1757">
        <f t="shared" ref="AZ47:BX47" si="12">AZ48-AZ52</f>
        <v>1766</v>
      </c>
      <c r="BA47" s="1757">
        <f t="shared" si="12"/>
        <v>2659</v>
      </c>
      <c r="BB47" s="1757">
        <f t="shared" si="12"/>
        <v>926</v>
      </c>
      <c r="BC47" s="1757">
        <f t="shared" si="12"/>
        <v>2743</v>
      </c>
      <c r="BD47" s="276">
        <f t="shared" si="12"/>
        <v>8094</v>
      </c>
      <c r="BE47" s="1757">
        <v>2631</v>
      </c>
      <c r="BF47" s="1757">
        <v>648.96</v>
      </c>
      <c r="BG47" s="1757">
        <v>1776</v>
      </c>
      <c r="BH47" s="1757">
        <v>1434</v>
      </c>
      <c r="BI47" s="276">
        <f t="shared" si="12"/>
        <v>6489.96</v>
      </c>
      <c r="BJ47" s="1757">
        <f t="shared" si="12"/>
        <v>610</v>
      </c>
      <c r="BK47" s="1757">
        <f t="shared" si="12"/>
        <v>1001</v>
      </c>
      <c r="BL47" s="1757">
        <f t="shared" si="12"/>
        <v>495</v>
      </c>
      <c r="BM47" s="1757">
        <f t="shared" si="12"/>
        <v>1313</v>
      </c>
      <c r="BN47" s="276">
        <f t="shared" si="12"/>
        <v>3419</v>
      </c>
      <c r="BO47" s="1757">
        <f t="shared" si="12"/>
        <v>4415</v>
      </c>
      <c r="BP47" s="1757">
        <f t="shared" si="12"/>
        <v>1857</v>
      </c>
      <c r="BQ47" s="1757">
        <f t="shared" si="12"/>
        <v>307</v>
      </c>
      <c r="BR47" s="276">
        <f t="shared" si="12"/>
        <v>6579</v>
      </c>
      <c r="BS47" s="1756">
        <f t="shared" si="12"/>
        <v>2447</v>
      </c>
      <c r="BT47" s="278">
        <f>BT48-BT52</f>
        <v>9026</v>
      </c>
      <c r="BU47" s="1756">
        <f t="shared" si="12"/>
        <v>2036</v>
      </c>
      <c r="BV47" s="1756">
        <f t="shared" si="12"/>
        <v>145</v>
      </c>
      <c r="BW47" s="1756">
        <f t="shared" si="12"/>
        <v>-207</v>
      </c>
      <c r="BX47" s="1757">
        <f t="shared" si="12"/>
        <v>787</v>
      </c>
      <c r="BY47" s="1757">
        <f>BY48-BY52</f>
        <v>-308</v>
      </c>
      <c r="BZ47" s="1757">
        <f>BZ48-BZ52</f>
        <v>-90</v>
      </c>
      <c r="CA47" s="1757">
        <f>CA48-CA52</f>
        <v>119</v>
      </c>
      <c r="CB47" s="1757">
        <f>CB48-CB52</f>
        <v>480</v>
      </c>
      <c r="CC47" s="1757">
        <v>463</v>
      </c>
      <c r="CD47" s="1757">
        <v>1327</v>
      </c>
      <c r="CE47" s="1757">
        <v>674</v>
      </c>
      <c r="CF47" s="1757">
        <f>CF48-CF52</f>
        <v>727</v>
      </c>
      <c r="CG47" s="1757">
        <v>215</v>
      </c>
      <c r="CH47" s="1757">
        <v>-274</v>
      </c>
      <c r="CI47" s="1757">
        <v>399</v>
      </c>
      <c r="CJ47" s="1757">
        <v>-475</v>
      </c>
      <c r="CK47" s="1757">
        <v>1394</v>
      </c>
      <c r="CL47" s="1757">
        <f>CL48-CL52</f>
        <v>-445</v>
      </c>
      <c r="CM47" s="1757">
        <v>1157</v>
      </c>
      <c r="CN47" s="1757">
        <v>295</v>
      </c>
      <c r="CO47" s="1757">
        <v>-15</v>
      </c>
      <c r="CP47" s="1757">
        <v>592.95299999999975</v>
      </c>
      <c r="CQ47" s="1757">
        <v>878.94800000000009</v>
      </c>
      <c r="CR47" s="1757">
        <v>3595.4850000000001</v>
      </c>
      <c r="CS47" s="1757">
        <v>1195.6099999999997</v>
      </c>
      <c r="CT47" s="1757">
        <v>4102.4380500000007</v>
      </c>
      <c r="CU47" s="1757">
        <v>4297.241</v>
      </c>
      <c r="CV47" s="1757">
        <v>2889.8699500000002</v>
      </c>
      <c r="CW47" s="1757">
        <v>-1302.6109999999999</v>
      </c>
      <c r="CX47" s="1757">
        <v>794.03800000000035</v>
      </c>
      <c r="CY47" s="1757">
        <v>109.87799999999987</v>
      </c>
      <c r="CZ47" s="1757">
        <v>4682.6909999999998</v>
      </c>
      <c r="DA47" s="1757">
        <v>1594.5180000000003</v>
      </c>
      <c r="DB47" s="1757">
        <v>614.89000000000033</v>
      </c>
      <c r="DC47" s="1757">
        <v>1361.0759999999991</v>
      </c>
      <c r="DD47" s="1756">
        <v>1430.6510000000003</v>
      </c>
      <c r="DE47" s="1756">
        <v>1224.6860000000001</v>
      </c>
      <c r="DF47" s="1756">
        <v>1534.2230000000004</v>
      </c>
      <c r="DG47" s="1756">
        <v>1304.5559999999994</v>
      </c>
      <c r="DH47" s="1756">
        <v>900.39100000000008</v>
      </c>
      <c r="DI47" s="1756">
        <v>2176.585</v>
      </c>
      <c r="DJ47" s="1859" t="s">
        <v>1454</v>
      </c>
    </row>
    <row r="48" spans="1:114" s="1855" customFormat="1" ht="25.5">
      <c r="A48" s="1861" t="s">
        <v>1455</v>
      </c>
      <c r="B48" s="1757">
        <v>24</v>
      </c>
      <c r="C48" s="1757">
        <v>217</v>
      </c>
      <c r="D48" s="1757">
        <v>103</v>
      </c>
      <c r="E48" s="1757">
        <v>-22</v>
      </c>
      <c r="F48" s="1757">
        <v>81</v>
      </c>
      <c r="G48" s="1757">
        <v>115</v>
      </c>
      <c r="H48" s="1757">
        <v>70</v>
      </c>
      <c r="I48" s="1757">
        <v>43</v>
      </c>
      <c r="J48" s="1757">
        <v>67</v>
      </c>
      <c r="K48" s="1757">
        <v>-7</v>
      </c>
      <c r="L48" s="1757">
        <v>57</v>
      </c>
      <c r="M48" s="1757">
        <v>31</v>
      </c>
      <c r="N48" s="1757">
        <v>114</v>
      </c>
      <c r="O48" s="1757">
        <v>225.35399999999998</v>
      </c>
      <c r="P48" s="1757">
        <v>187</v>
      </c>
      <c r="Q48" s="1757">
        <v>204</v>
      </c>
      <c r="R48" s="1757">
        <v>235</v>
      </c>
      <c r="S48" s="1757">
        <v>353</v>
      </c>
      <c r="T48" s="1757">
        <v>1275</v>
      </c>
      <c r="U48" s="1757">
        <v>22</v>
      </c>
      <c r="V48" s="1757">
        <v>217</v>
      </c>
      <c r="W48" s="1757">
        <v>-57.931000000000012</v>
      </c>
      <c r="X48" s="1757">
        <v>451</v>
      </c>
      <c r="Y48" s="1757">
        <v>713.41499999999996</v>
      </c>
      <c r="Z48" s="1757">
        <v>285</v>
      </c>
      <c r="AA48" s="1757">
        <v>708</v>
      </c>
      <c r="AB48" s="1757">
        <v>589</v>
      </c>
      <c r="AC48" s="1757">
        <v>659</v>
      </c>
      <c r="AD48" s="1757">
        <v>152.541</v>
      </c>
      <c r="AE48" s="1757">
        <v>346</v>
      </c>
      <c r="AF48" s="1757">
        <v>655</v>
      </c>
      <c r="AG48" s="1757">
        <v>929</v>
      </c>
      <c r="AH48" s="1757">
        <v>427</v>
      </c>
      <c r="AI48" s="1757">
        <v>-78</v>
      </c>
      <c r="AJ48" s="1757">
        <v>1304</v>
      </c>
      <c r="AK48" s="1757">
        <v>1752</v>
      </c>
      <c r="AL48" s="1757">
        <v>1244.115</v>
      </c>
      <c r="AM48" s="1757">
        <v>162</v>
      </c>
      <c r="AN48" s="1757">
        <v>2949</v>
      </c>
      <c r="AO48" s="1757">
        <v>944</v>
      </c>
      <c r="AP48" s="1757">
        <v>627</v>
      </c>
      <c r="AQ48" s="1757">
        <v>1544</v>
      </c>
      <c r="AR48" s="1757">
        <v>1881.6589999999999</v>
      </c>
      <c r="AS48" s="1757">
        <v>1321</v>
      </c>
      <c r="AT48" s="1757">
        <v>1088</v>
      </c>
      <c r="AU48" s="1757">
        <v>1699</v>
      </c>
      <c r="AV48" s="1757">
        <v>2573</v>
      </c>
      <c r="AW48" s="1757">
        <v>1647.8519999999999</v>
      </c>
      <c r="AX48" s="1757">
        <v>1404</v>
      </c>
      <c r="AY48" s="1757">
        <v>1213</v>
      </c>
      <c r="AZ48" s="1757">
        <f>AZ50+AZ51</f>
        <v>2939</v>
      </c>
      <c r="BA48" s="1757">
        <f t="shared" ref="BA48:BQ48" si="13">BA50+BA51</f>
        <v>3009</v>
      </c>
      <c r="BB48" s="1757">
        <f t="shared" si="13"/>
        <v>2634</v>
      </c>
      <c r="BC48" s="1757">
        <f t="shared" si="13"/>
        <v>3283</v>
      </c>
      <c r="BD48" s="276">
        <f t="shared" si="13"/>
        <v>11865</v>
      </c>
      <c r="BE48" s="1757">
        <v>3975</v>
      </c>
      <c r="BF48" s="1757">
        <v>1607</v>
      </c>
      <c r="BG48" s="1757">
        <v>3189</v>
      </c>
      <c r="BH48" s="1757">
        <v>3000</v>
      </c>
      <c r="BI48" s="276">
        <f>BI50+BI51</f>
        <v>11771</v>
      </c>
      <c r="BJ48" s="1757">
        <f t="shared" si="13"/>
        <v>3447</v>
      </c>
      <c r="BK48" s="1757">
        <f t="shared" si="13"/>
        <v>2716</v>
      </c>
      <c r="BL48" s="1757">
        <f t="shared" si="13"/>
        <v>1915</v>
      </c>
      <c r="BM48" s="1757">
        <f t="shared" si="13"/>
        <v>3614</v>
      </c>
      <c r="BN48" s="276">
        <f>BN50+BN51</f>
        <v>11692</v>
      </c>
      <c r="BO48" s="1757">
        <f t="shared" si="13"/>
        <v>6367</v>
      </c>
      <c r="BP48" s="1757">
        <f t="shared" si="13"/>
        <v>2568</v>
      </c>
      <c r="BQ48" s="1757">
        <f t="shared" si="13"/>
        <v>796</v>
      </c>
      <c r="BR48" s="276">
        <f>BR50+BR51</f>
        <v>9731</v>
      </c>
      <c r="BS48" s="1756">
        <f t="shared" ref="BS48:CA48" si="14">BS50+BS51</f>
        <v>3990</v>
      </c>
      <c r="BT48" s="278">
        <f t="shared" si="14"/>
        <v>13721</v>
      </c>
      <c r="BU48" s="1756">
        <f t="shared" si="14"/>
        <v>3098</v>
      </c>
      <c r="BV48" s="1756">
        <f t="shared" si="14"/>
        <v>975</v>
      </c>
      <c r="BW48" s="1756">
        <f t="shared" si="14"/>
        <v>500</v>
      </c>
      <c r="BX48" s="1757">
        <f t="shared" si="14"/>
        <v>2672</v>
      </c>
      <c r="BY48" s="1757">
        <f>BY50+BY51</f>
        <v>2346</v>
      </c>
      <c r="BZ48" s="1757">
        <f t="shared" si="14"/>
        <v>995</v>
      </c>
      <c r="CA48" s="1757">
        <f t="shared" si="14"/>
        <v>1114</v>
      </c>
      <c r="CB48" s="1757">
        <f>CB50+CB51</f>
        <v>964</v>
      </c>
      <c r="CC48" s="1757">
        <v>986</v>
      </c>
      <c r="CD48" s="1757">
        <v>1714</v>
      </c>
      <c r="CE48" s="1757">
        <v>645</v>
      </c>
      <c r="CF48" s="1757">
        <f>CF50+CF51</f>
        <v>1441</v>
      </c>
      <c r="CG48" s="1757">
        <v>1255</v>
      </c>
      <c r="CH48" s="1757">
        <v>-671</v>
      </c>
      <c r="CI48" s="1757">
        <v>6</v>
      </c>
      <c r="CJ48" s="1757">
        <v>661</v>
      </c>
      <c r="CK48" s="1757">
        <v>1527</v>
      </c>
      <c r="CL48" s="1757">
        <f>CL50+CL51</f>
        <v>-724</v>
      </c>
      <c r="CM48" s="1757">
        <v>-290</v>
      </c>
      <c r="CN48" s="1757">
        <v>720</v>
      </c>
      <c r="CO48" s="1757">
        <v>524</v>
      </c>
      <c r="CP48" s="1757">
        <v>171.19400000000002</v>
      </c>
      <c r="CQ48" s="1757">
        <v>44.460000000000022</v>
      </c>
      <c r="CR48" s="1757">
        <v>1823.6800000000003</v>
      </c>
      <c r="CS48" s="1757">
        <v>848.89699999999993</v>
      </c>
      <c r="CT48" s="1757">
        <v>2527.38805</v>
      </c>
      <c r="CU48" s="1757">
        <v>2370.2570000000005</v>
      </c>
      <c r="CV48" s="1757">
        <v>2033.0519499999998</v>
      </c>
      <c r="CW48" s="1757">
        <v>-1118.3579999999999</v>
      </c>
      <c r="CX48" s="1757">
        <v>1108.366</v>
      </c>
      <c r="CY48" s="1757">
        <v>-335.09200000000033</v>
      </c>
      <c r="CZ48" s="1757">
        <v>3598.6910000000007</v>
      </c>
      <c r="DA48" s="1757">
        <v>-463.887</v>
      </c>
      <c r="DB48" s="1757">
        <v>592.42900000000009</v>
      </c>
      <c r="DC48" s="1757">
        <v>1262.338</v>
      </c>
      <c r="DD48" s="1756">
        <v>1316.7370000000001</v>
      </c>
      <c r="DE48" s="1756">
        <v>1179.5880000000002</v>
      </c>
      <c r="DF48" s="1756">
        <v>1809.3440000000001</v>
      </c>
      <c r="DG48" s="1756">
        <v>1490.4090000000001</v>
      </c>
      <c r="DH48" s="1756">
        <v>883.452</v>
      </c>
      <c r="DI48" s="1756">
        <v>181.55499999999984</v>
      </c>
      <c r="DJ48" s="1859" t="s">
        <v>1456</v>
      </c>
    </row>
    <row r="49" spans="1:115" s="1855" customFormat="1">
      <c r="A49" s="1860" t="s">
        <v>1457</v>
      </c>
      <c r="B49" s="1857"/>
      <c r="H49" s="1757"/>
      <c r="I49" s="1757"/>
      <c r="J49" s="1757"/>
      <c r="K49" s="1757"/>
      <c r="L49" s="1757"/>
      <c r="M49" s="1757"/>
      <c r="N49" s="1757"/>
      <c r="O49" s="1757"/>
      <c r="P49" s="1757"/>
      <c r="Q49" s="1757"/>
      <c r="R49" s="1757"/>
      <c r="S49" s="1757"/>
      <c r="T49" s="1757"/>
      <c r="U49" s="1757"/>
      <c r="V49" s="1757"/>
      <c r="W49" s="1757"/>
      <c r="X49" s="1757"/>
      <c r="Y49" s="1757"/>
      <c r="Z49" s="1757"/>
      <c r="AA49" s="1757"/>
      <c r="AB49" s="1757"/>
      <c r="AC49" s="1757"/>
      <c r="AD49" s="1757"/>
      <c r="AE49" s="1757"/>
      <c r="AF49" s="1757"/>
      <c r="AG49" s="1757"/>
      <c r="AH49" s="1757"/>
      <c r="AI49" s="1757"/>
      <c r="AJ49" s="1757"/>
      <c r="AK49" s="1757"/>
      <c r="AL49" s="1757"/>
      <c r="AM49" s="1757"/>
      <c r="AN49" s="1757"/>
      <c r="AO49" s="1757"/>
      <c r="AP49" s="1757"/>
      <c r="AQ49" s="1757"/>
      <c r="AR49" s="1757"/>
      <c r="AS49" s="1757"/>
      <c r="AT49" s="1757"/>
      <c r="AU49" s="1757"/>
      <c r="AV49" s="1757"/>
      <c r="AW49" s="1757"/>
      <c r="AX49" s="1757"/>
      <c r="AY49" s="1757"/>
      <c r="AZ49" s="1757"/>
      <c r="BA49" s="1757"/>
      <c r="BB49" s="1757"/>
      <c r="BC49" s="1858"/>
      <c r="BD49" s="278"/>
      <c r="BE49" s="1757"/>
      <c r="BF49" s="1757"/>
      <c r="BG49" s="1757"/>
      <c r="BH49" s="1858"/>
      <c r="BI49" s="278"/>
      <c r="BJ49" s="1757"/>
      <c r="BK49" s="1757"/>
      <c r="BL49" s="1757"/>
      <c r="BM49" s="1757"/>
      <c r="BN49" s="276"/>
      <c r="BO49" s="1757"/>
      <c r="BP49" s="1757"/>
      <c r="BQ49" s="1858"/>
      <c r="BR49" s="278"/>
      <c r="BS49" s="1756"/>
      <c r="BT49" s="278"/>
      <c r="BU49" s="1756"/>
      <c r="BV49" s="1756"/>
      <c r="BW49" s="1756"/>
      <c r="BX49" s="1757"/>
      <c r="BY49" s="1757"/>
      <c r="BZ49" s="1757"/>
      <c r="CA49" s="1757"/>
      <c r="CB49" s="1757"/>
      <c r="CC49" s="1757"/>
      <c r="CD49" s="1757"/>
      <c r="CE49" s="1757"/>
      <c r="CF49" s="1757"/>
      <c r="CG49" s="1757"/>
      <c r="CH49" s="1757"/>
      <c r="CI49" s="1757"/>
      <c r="CJ49" s="1757"/>
      <c r="CK49" s="1757"/>
      <c r="CL49" s="1757"/>
      <c r="CM49" s="1757"/>
      <c r="CN49" s="1757"/>
      <c r="CO49" s="1757"/>
      <c r="CP49" s="1757"/>
      <c r="CQ49" s="1757"/>
      <c r="CR49" s="1757"/>
      <c r="CS49" s="1757"/>
      <c r="CT49" s="1757"/>
      <c r="CU49" s="1757"/>
      <c r="CV49" s="1757"/>
      <c r="CW49" s="1757"/>
      <c r="CX49" s="1757"/>
      <c r="CY49" s="1757"/>
      <c r="CZ49" s="1757"/>
      <c r="DA49" s="1757"/>
      <c r="DB49" s="1757"/>
      <c r="DC49" s="1757"/>
      <c r="DD49" s="1757"/>
      <c r="DE49" s="1757"/>
      <c r="DF49" s="1757"/>
      <c r="DG49" s="1757"/>
      <c r="DH49" s="1757"/>
      <c r="DI49" s="1757"/>
      <c r="DJ49" s="1859" t="s">
        <v>1458</v>
      </c>
    </row>
    <row r="50" spans="1:115" s="1855" customFormat="1">
      <c r="A50" s="1861" t="s">
        <v>1459</v>
      </c>
      <c r="B50" s="1857"/>
      <c r="G50" s="1855">
        <v>1</v>
      </c>
      <c r="H50" s="1757"/>
      <c r="I50" s="1757"/>
      <c r="J50" s="1757">
        <v>0</v>
      </c>
      <c r="K50" s="1757">
        <v>0</v>
      </c>
      <c r="L50" s="1757">
        <v>27</v>
      </c>
      <c r="M50" s="1757">
        <v>29</v>
      </c>
      <c r="N50" s="1757">
        <v>57</v>
      </c>
      <c r="O50" s="1757">
        <v>213</v>
      </c>
      <c r="P50" s="1757">
        <v>71</v>
      </c>
      <c r="Q50" s="1757">
        <v>274</v>
      </c>
      <c r="R50" s="1757">
        <v>210</v>
      </c>
      <c r="S50" s="1757">
        <v>379</v>
      </c>
      <c r="T50" s="1757">
        <v>383</v>
      </c>
      <c r="U50" s="1757">
        <v>287</v>
      </c>
      <c r="V50" s="1757">
        <v>366</v>
      </c>
      <c r="W50" s="1757">
        <v>168</v>
      </c>
      <c r="X50" s="1757">
        <v>306</v>
      </c>
      <c r="Y50" s="1757">
        <v>220.41499999999999</v>
      </c>
      <c r="Z50" s="1757">
        <v>256</v>
      </c>
      <c r="AA50" s="1757">
        <v>438</v>
      </c>
      <c r="AB50" s="1757">
        <v>140</v>
      </c>
      <c r="AC50" s="1757">
        <v>382</v>
      </c>
      <c r="AD50" s="1757">
        <v>103.541</v>
      </c>
      <c r="AE50" s="1757">
        <v>80</v>
      </c>
      <c r="AF50" s="1757">
        <v>30</v>
      </c>
      <c r="AG50" s="1757">
        <v>345</v>
      </c>
      <c r="AH50" s="1757">
        <v>-161</v>
      </c>
      <c r="AI50" s="1757">
        <v>73</v>
      </c>
      <c r="AJ50" s="1757">
        <v>159</v>
      </c>
      <c r="AK50" s="1757">
        <v>38</v>
      </c>
      <c r="AL50" s="1757">
        <v>81.114999999999995</v>
      </c>
      <c r="AM50" s="1757">
        <v>278</v>
      </c>
      <c r="AN50" s="1757">
        <v>53</v>
      </c>
      <c r="AO50" s="1757">
        <v>91</v>
      </c>
      <c r="AP50" s="1757">
        <v>82</v>
      </c>
      <c r="AQ50" s="1757">
        <v>100</v>
      </c>
      <c r="AR50" s="1757">
        <v>47.243000000000002</v>
      </c>
      <c r="AS50" s="1757">
        <v>63</v>
      </c>
      <c r="AT50" s="1757">
        <v>60</v>
      </c>
      <c r="AU50" s="1757">
        <v>62</v>
      </c>
      <c r="AV50" s="1757">
        <v>25</v>
      </c>
      <c r="AW50" s="1757">
        <v>65.176000000000002</v>
      </c>
      <c r="AX50" s="1757">
        <v>256</v>
      </c>
      <c r="AY50" s="1757">
        <v>187</v>
      </c>
      <c r="AZ50" s="1757">
        <v>207</v>
      </c>
      <c r="BA50" s="1757">
        <v>482</v>
      </c>
      <c r="BB50" s="1757">
        <v>236</v>
      </c>
      <c r="BC50" s="1858">
        <v>267</v>
      </c>
      <c r="BD50" s="278">
        <f>SUM(AZ50:BC50)</f>
        <v>1192</v>
      </c>
      <c r="BE50" s="1757">
        <v>185</v>
      </c>
      <c r="BF50" s="1757">
        <v>260</v>
      </c>
      <c r="BG50" s="1757">
        <v>342</v>
      </c>
      <c r="BH50" s="1858">
        <v>703</v>
      </c>
      <c r="BI50" s="278">
        <f t="shared" si="3"/>
        <v>1490</v>
      </c>
      <c r="BJ50" s="1757">
        <v>164</v>
      </c>
      <c r="BK50" s="1757">
        <v>321</v>
      </c>
      <c r="BL50" s="1757">
        <v>944</v>
      </c>
      <c r="BM50" s="1757">
        <v>780</v>
      </c>
      <c r="BN50" s="276">
        <f t="shared" si="4"/>
        <v>2209</v>
      </c>
      <c r="BO50" s="1757">
        <v>1064</v>
      </c>
      <c r="BP50" s="1757">
        <v>633</v>
      </c>
      <c r="BQ50" s="1858">
        <v>927</v>
      </c>
      <c r="BR50" s="278">
        <f t="shared" si="5"/>
        <v>2624</v>
      </c>
      <c r="BS50" s="1756">
        <v>636</v>
      </c>
      <c r="BT50" s="278">
        <f>BR50+BS50</f>
        <v>3260</v>
      </c>
      <c r="BU50" s="1756">
        <v>810</v>
      </c>
      <c r="BV50" s="1756">
        <v>680</v>
      </c>
      <c r="BW50" s="1756">
        <v>597</v>
      </c>
      <c r="BX50" s="1757">
        <v>487</v>
      </c>
      <c r="BY50" s="1757">
        <v>531</v>
      </c>
      <c r="BZ50" s="1757">
        <v>504</v>
      </c>
      <c r="CA50" s="1757">
        <v>576</v>
      </c>
      <c r="CB50" s="1757">
        <v>953</v>
      </c>
      <c r="CC50" s="1757">
        <v>562</v>
      </c>
      <c r="CD50" s="1757">
        <v>758</v>
      </c>
      <c r="CE50" s="1757">
        <v>242</v>
      </c>
      <c r="CF50" s="1757">
        <v>199</v>
      </c>
      <c r="CG50" s="1757">
        <v>817</v>
      </c>
      <c r="CH50" s="1757">
        <v>427</v>
      </c>
      <c r="CI50" s="1757">
        <v>421</v>
      </c>
      <c r="CJ50" s="1757">
        <v>767</v>
      </c>
      <c r="CK50" s="1757">
        <v>337</v>
      </c>
      <c r="CL50" s="1757">
        <f>519-CK50</f>
        <v>182</v>
      </c>
      <c r="CM50" s="1757">
        <v>1</v>
      </c>
      <c r="CN50" s="1757">
        <v>305</v>
      </c>
      <c r="CO50" s="1757">
        <v>106</v>
      </c>
      <c r="CP50" s="1757">
        <v>76.540999999999997</v>
      </c>
      <c r="CQ50" s="1757">
        <v>-50.513999999999982</v>
      </c>
      <c r="CR50" s="1757">
        <v>-55.04000000000002</v>
      </c>
      <c r="CS50" s="1757">
        <v>-36.271999999999998</v>
      </c>
      <c r="CT50" s="1757">
        <v>99.037999999999997</v>
      </c>
      <c r="CU50" s="1757">
        <v>-22.672999999999995</v>
      </c>
      <c r="CV50" s="1757">
        <v>132.11700000000002</v>
      </c>
      <c r="CW50" s="1757">
        <v>58.587000000000003</v>
      </c>
      <c r="CX50" s="1757">
        <v>-161.048</v>
      </c>
      <c r="CY50" s="1757">
        <v>1857.2239999999999</v>
      </c>
      <c r="CZ50" s="1757">
        <v>120.46199999999999</v>
      </c>
      <c r="DA50" s="1757">
        <v>-11.865</v>
      </c>
      <c r="DB50" s="1757">
        <v>433.29500000000002</v>
      </c>
      <c r="DC50" s="1757">
        <v>162.52399999999994</v>
      </c>
      <c r="DD50" s="1757">
        <v>158.48500000000001</v>
      </c>
      <c r="DE50" s="1757">
        <v>-144.13</v>
      </c>
      <c r="DF50" s="1757">
        <v>660.47500000000002</v>
      </c>
      <c r="DG50" s="1757">
        <v>406.36599999999987</v>
      </c>
      <c r="DH50" s="1757">
        <v>-12.509</v>
      </c>
      <c r="DI50" s="1757">
        <v>879.17499999999995</v>
      </c>
      <c r="DJ50" s="1859" t="s">
        <v>1460</v>
      </c>
    </row>
    <row r="51" spans="1:115" s="1855" customFormat="1" ht="12.75" customHeight="1">
      <c r="A51" s="1861" t="s">
        <v>1461</v>
      </c>
      <c r="B51" s="1857">
        <v>24</v>
      </c>
      <c r="C51" s="1855">
        <v>217</v>
      </c>
      <c r="D51" s="1855">
        <v>103</v>
      </c>
      <c r="E51" s="1855">
        <v>-22</v>
      </c>
      <c r="F51" s="1855">
        <v>81</v>
      </c>
      <c r="G51" s="1855">
        <v>114</v>
      </c>
      <c r="H51" s="1757">
        <v>70</v>
      </c>
      <c r="I51" s="1757">
        <v>43</v>
      </c>
      <c r="J51" s="1757">
        <v>67</v>
      </c>
      <c r="K51" s="1757">
        <v>-7</v>
      </c>
      <c r="L51" s="1757">
        <v>30</v>
      </c>
      <c r="M51" s="1757">
        <v>2</v>
      </c>
      <c r="N51" s="1757">
        <v>57</v>
      </c>
      <c r="O51" s="1757">
        <v>12.353999999999999</v>
      </c>
      <c r="P51" s="1757">
        <v>116</v>
      </c>
      <c r="Q51" s="1757">
        <v>-70</v>
      </c>
      <c r="R51" s="1757">
        <v>25</v>
      </c>
      <c r="S51" s="1757">
        <v>-26</v>
      </c>
      <c r="T51" s="1757">
        <v>892</v>
      </c>
      <c r="U51" s="1757">
        <v>-265</v>
      </c>
      <c r="V51" s="1757">
        <v>-149</v>
      </c>
      <c r="W51" s="1757">
        <v>-225.93100000000001</v>
      </c>
      <c r="X51" s="1757">
        <v>145</v>
      </c>
      <c r="Y51" s="1757">
        <v>493</v>
      </c>
      <c r="Z51" s="1757">
        <v>29</v>
      </c>
      <c r="AA51" s="1757">
        <v>270</v>
      </c>
      <c r="AB51" s="1757">
        <v>449</v>
      </c>
      <c r="AC51" s="1757">
        <v>277</v>
      </c>
      <c r="AD51" s="1757">
        <v>49</v>
      </c>
      <c r="AE51" s="1757">
        <v>266</v>
      </c>
      <c r="AF51" s="1757">
        <v>625</v>
      </c>
      <c r="AG51" s="1757">
        <v>584</v>
      </c>
      <c r="AH51" s="1757">
        <v>588</v>
      </c>
      <c r="AI51" s="1757">
        <v>-151</v>
      </c>
      <c r="AJ51" s="1757">
        <v>1145</v>
      </c>
      <c r="AK51" s="1757">
        <v>1714</v>
      </c>
      <c r="AL51" s="1757">
        <v>1163</v>
      </c>
      <c r="AM51" s="1757">
        <v>-116</v>
      </c>
      <c r="AN51" s="1757">
        <v>2896</v>
      </c>
      <c r="AO51" s="1757">
        <v>853</v>
      </c>
      <c r="AP51" s="1757">
        <v>545</v>
      </c>
      <c r="AQ51" s="1757">
        <v>1444</v>
      </c>
      <c r="AR51" s="1757">
        <v>1834.4159999999999</v>
      </c>
      <c r="AS51" s="1757">
        <v>1258</v>
      </c>
      <c r="AT51" s="1757">
        <v>1028</v>
      </c>
      <c r="AU51" s="1757">
        <v>1637</v>
      </c>
      <c r="AV51" s="1757">
        <v>2548</v>
      </c>
      <c r="AW51" s="1757">
        <v>1582.6759999999999</v>
      </c>
      <c r="AX51" s="1757">
        <v>1148</v>
      </c>
      <c r="AY51" s="1757">
        <v>1026</v>
      </c>
      <c r="AZ51" s="1757">
        <v>2732</v>
      </c>
      <c r="BA51" s="1757">
        <v>2527</v>
      </c>
      <c r="BB51" s="1757">
        <v>2398</v>
      </c>
      <c r="BC51" s="1858">
        <v>3016</v>
      </c>
      <c r="BD51" s="278">
        <f>SUM(AZ51:BC51)</f>
        <v>10673</v>
      </c>
      <c r="BE51" s="1757">
        <v>3790</v>
      </c>
      <c r="BF51" s="1757">
        <v>1347</v>
      </c>
      <c r="BG51" s="1757">
        <v>2847</v>
      </c>
      <c r="BH51" s="1858">
        <v>2297</v>
      </c>
      <c r="BI51" s="278">
        <f t="shared" si="3"/>
        <v>10281</v>
      </c>
      <c r="BJ51" s="1757">
        <v>3283</v>
      </c>
      <c r="BK51" s="1757">
        <v>2395</v>
      </c>
      <c r="BL51" s="1757">
        <v>971</v>
      </c>
      <c r="BM51" s="1757">
        <v>2834</v>
      </c>
      <c r="BN51" s="276">
        <f t="shared" si="4"/>
        <v>9483</v>
      </c>
      <c r="BO51" s="1757">
        <v>5303</v>
      </c>
      <c r="BP51" s="1757">
        <v>1935</v>
      </c>
      <c r="BQ51" s="1858">
        <v>-131</v>
      </c>
      <c r="BR51" s="278">
        <f t="shared" si="5"/>
        <v>7107</v>
      </c>
      <c r="BS51" s="1756">
        <v>3354</v>
      </c>
      <c r="BT51" s="278">
        <f>BR51+BS51</f>
        <v>10461</v>
      </c>
      <c r="BU51" s="1756">
        <v>2288</v>
      </c>
      <c r="BV51" s="1756">
        <v>295</v>
      </c>
      <c r="BW51" s="1756">
        <v>-97</v>
      </c>
      <c r="BX51" s="1757">
        <v>2185</v>
      </c>
      <c r="BY51" s="1757">
        <v>1815</v>
      </c>
      <c r="BZ51" s="1757">
        <v>491</v>
      </c>
      <c r="CA51" s="1757">
        <v>538</v>
      </c>
      <c r="CB51" s="1757">
        <v>11</v>
      </c>
      <c r="CC51" s="1757">
        <v>424</v>
      </c>
      <c r="CD51" s="1757">
        <v>956</v>
      </c>
      <c r="CE51" s="1757">
        <v>403</v>
      </c>
      <c r="CF51" s="1757">
        <v>1242</v>
      </c>
      <c r="CG51" s="1757">
        <v>438</v>
      </c>
      <c r="CH51" s="1757">
        <v>-1098</v>
      </c>
      <c r="CI51" s="1757">
        <v>-415</v>
      </c>
      <c r="CJ51" s="1757">
        <v>-106</v>
      </c>
      <c r="CK51" s="1757">
        <v>1190</v>
      </c>
      <c r="CL51" s="1757">
        <f>284-CK51</f>
        <v>-906</v>
      </c>
      <c r="CM51" s="1757">
        <v>-291</v>
      </c>
      <c r="CN51" s="1757">
        <v>415</v>
      </c>
      <c r="CO51" s="1757">
        <v>418</v>
      </c>
      <c r="CP51" s="1757">
        <v>94.653000000000006</v>
      </c>
      <c r="CQ51" s="1757">
        <v>94.974000000000004</v>
      </c>
      <c r="CR51" s="1757">
        <v>1878.7200000000003</v>
      </c>
      <c r="CS51" s="1757">
        <v>885.16899999999998</v>
      </c>
      <c r="CT51" s="1757">
        <v>2428.35005</v>
      </c>
      <c r="CU51" s="1757">
        <v>2392.9300000000003</v>
      </c>
      <c r="CV51" s="1757">
        <v>1900.9349499999998</v>
      </c>
      <c r="CW51" s="1757">
        <v>-1176.9449999999999</v>
      </c>
      <c r="CX51" s="1757">
        <v>1269.414</v>
      </c>
      <c r="CY51" s="1757">
        <v>-2192.3160000000003</v>
      </c>
      <c r="CZ51" s="1757">
        <v>3478.2290000000007</v>
      </c>
      <c r="DA51" s="1757">
        <v>-452.02199999999999</v>
      </c>
      <c r="DB51" s="1757">
        <v>159.13400000000001</v>
      </c>
      <c r="DC51" s="1757">
        <v>1099.8140000000001</v>
      </c>
      <c r="DD51" s="1757">
        <v>1158.2520000000002</v>
      </c>
      <c r="DE51" s="1757">
        <v>1323.7180000000001</v>
      </c>
      <c r="DF51" s="1757">
        <v>1148.8689999999999</v>
      </c>
      <c r="DG51" s="1757">
        <v>1084.0430000000003</v>
      </c>
      <c r="DH51" s="1757">
        <v>895.96100000000001</v>
      </c>
      <c r="DI51" s="1757">
        <v>-697.62000000000012</v>
      </c>
      <c r="DJ51" s="1859" t="s">
        <v>1462</v>
      </c>
    </row>
    <row r="52" spans="1:115" ht="28.5" customHeight="1">
      <c r="A52" s="1868" t="s">
        <v>1463</v>
      </c>
      <c r="B52" s="1757">
        <v>526</v>
      </c>
      <c r="C52" s="1757">
        <v>1112</v>
      </c>
      <c r="D52" s="1757">
        <v>1306</v>
      </c>
      <c r="E52" s="1757">
        <v>1344</v>
      </c>
      <c r="F52" s="1757">
        <v>909</v>
      </c>
      <c r="G52" s="1757">
        <v>557</v>
      </c>
      <c r="H52" s="1757">
        <v>101.58699999999999</v>
      </c>
      <c r="I52" s="1757">
        <v>37</v>
      </c>
      <c r="J52" s="1757">
        <v>252</v>
      </c>
      <c r="K52" s="1757">
        <v>100</v>
      </c>
      <c r="L52" s="1757">
        <v>302</v>
      </c>
      <c r="M52" s="1757">
        <v>311</v>
      </c>
      <c r="N52" s="1757">
        <v>336</v>
      </c>
      <c r="O52" s="1757">
        <v>558.524</v>
      </c>
      <c r="P52" s="1757">
        <v>512.29899999999998</v>
      </c>
      <c r="Q52" s="1757">
        <v>773</v>
      </c>
      <c r="R52" s="1757">
        <v>859.47900000000004</v>
      </c>
      <c r="S52" s="1757">
        <v>1196</v>
      </c>
      <c r="T52" s="1757">
        <v>2049</v>
      </c>
      <c r="U52" s="1757">
        <v>659</v>
      </c>
      <c r="V52" s="1757">
        <v>912</v>
      </c>
      <c r="W52" s="1757">
        <v>864.69399999999996</v>
      </c>
      <c r="X52" s="1757">
        <v>978</v>
      </c>
      <c r="Y52" s="1757">
        <v>1091.8879999999999</v>
      </c>
      <c r="Z52" s="1757">
        <v>283</v>
      </c>
      <c r="AA52" s="1757">
        <v>331.56099999999992</v>
      </c>
      <c r="AB52" s="1757">
        <v>194</v>
      </c>
      <c r="AC52" s="1757">
        <v>568</v>
      </c>
      <c r="AD52" s="1757">
        <v>-92.586999999999989</v>
      </c>
      <c r="AE52" s="1757">
        <v>-654</v>
      </c>
      <c r="AF52" s="1757">
        <v>-766.65499999999997</v>
      </c>
      <c r="AG52" s="1757">
        <v>-119</v>
      </c>
      <c r="AH52" s="1757">
        <v>-570</v>
      </c>
      <c r="AI52" s="1757">
        <v>-2369</v>
      </c>
      <c r="AJ52" s="1757">
        <v>-592</v>
      </c>
      <c r="AK52" s="1757">
        <v>461</v>
      </c>
      <c r="AL52" s="1757">
        <v>1252</v>
      </c>
      <c r="AM52" s="1757">
        <v>703</v>
      </c>
      <c r="AN52" s="1757">
        <v>-31</v>
      </c>
      <c r="AO52" s="1757">
        <v>-35</v>
      </c>
      <c r="AP52" s="1757">
        <v>-240</v>
      </c>
      <c r="AQ52" s="1757">
        <v>342</v>
      </c>
      <c r="AR52" s="1757">
        <v>685</v>
      </c>
      <c r="AS52" s="1757">
        <v>212</v>
      </c>
      <c r="AT52" s="1757">
        <v>767</v>
      </c>
      <c r="AU52" s="1757">
        <v>728.38499999999999</v>
      </c>
      <c r="AV52" s="1757">
        <v>769</v>
      </c>
      <c r="AW52" s="1757">
        <v>601.03399999999999</v>
      </c>
      <c r="AX52" s="1757">
        <v>738</v>
      </c>
      <c r="AY52" s="1757">
        <v>692</v>
      </c>
      <c r="AZ52" s="1757">
        <f>AZ54+AZ55+AZ56+AZ57</f>
        <v>1173</v>
      </c>
      <c r="BA52" s="1757">
        <f t="shared" ref="BA52:BQ52" si="15">BA54+BA55+BA56+BA57</f>
        <v>350</v>
      </c>
      <c r="BB52" s="1757">
        <f t="shared" si="15"/>
        <v>1708</v>
      </c>
      <c r="BC52" s="1757">
        <f t="shared" si="15"/>
        <v>540</v>
      </c>
      <c r="BD52" s="276">
        <f>BD54+BD55+BD56+BD57</f>
        <v>3771</v>
      </c>
      <c r="BE52" s="1757">
        <v>1344</v>
      </c>
      <c r="BF52" s="1757">
        <v>958.04</v>
      </c>
      <c r="BG52" s="1757">
        <v>1413</v>
      </c>
      <c r="BH52" s="1757">
        <v>1566</v>
      </c>
      <c r="BI52" s="276">
        <f>BI54+BI55+BI56+BI57</f>
        <v>5281.04</v>
      </c>
      <c r="BJ52" s="1757">
        <f t="shared" si="15"/>
        <v>2837</v>
      </c>
      <c r="BK52" s="1757">
        <f t="shared" si="15"/>
        <v>1715</v>
      </c>
      <c r="BL52" s="1757">
        <f t="shared" si="15"/>
        <v>1420</v>
      </c>
      <c r="BM52" s="1757">
        <f t="shared" si="15"/>
        <v>2301</v>
      </c>
      <c r="BN52" s="276">
        <f t="shared" si="15"/>
        <v>8273</v>
      </c>
      <c r="BO52" s="1757">
        <f t="shared" si="15"/>
        <v>1952</v>
      </c>
      <c r="BP52" s="1757">
        <f t="shared" si="15"/>
        <v>711</v>
      </c>
      <c r="BQ52" s="1757">
        <f t="shared" si="15"/>
        <v>489</v>
      </c>
      <c r="BR52" s="276">
        <f>BR54+BR55+BR56+BR57</f>
        <v>3152</v>
      </c>
      <c r="BS52" s="1756">
        <f>BS54+BS55+BS56+BS57</f>
        <v>1543</v>
      </c>
      <c r="BT52" s="278">
        <f>BT54+BT55+BT56+BT57</f>
        <v>4695</v>
      </c>
      <c r="BU52" s="1756">
        <f t="shared" ref="BU52:CA52" si="16">BU54+BU55+BU56+BU57</f>
        <v>1062</v>
      </c>
      <c r="BV52" s="1756">
        <f t="shared" si="16"/>
        <v>830</v>
      </c>
      <c r="BW52" s="1756">
        <f t="shared" si="16"/>
        <v>707</v>
      </c>
      <c r="BX52" s="1757">
        <f t="shared" si="16"/>
        <v>1885</v>
      </c>
      <c r="BY52" s="1757">
        <f t="shared" si="16"/>
        <v>2654</v>
      </c>
      <c r="BZ52" s="1757">
        <f t="shared" si="16"/>
        <v>1085</v>
      </c>
      <c r="CA52" s="1757">
        <f t="shared" si="16"/>
        <v>995</v>
      </c>
      <c r="CB52" s="1757">
        <f>CB54+CB55+CB56+CB57</f>
        <v>484</v>
      </c>
      <c r="CC52" s="1757">
        <v>523</v>
      </c>
      <c r="CD52" s="1757">
        <v>387</v>
      </c>
      <c r="CE52" s="1757">
        <v>-29</v>
      </c>
      <c r="CF52" s="1757">
        <f>CF54+CF55+CF56+CF57</f>
        <v>714</v>
      </c>
      <c r="CG52" s="1757">
        <v>1040</v>
      </c>
      <c r="CH52" s="1757">
        <v>-397</v>
      </c>
      <c r="CI52" s="1757">
        <v>-393</v>
      </c>
      <c r="CJ52" s="1757">
        <v>1136</v>
      </c>
      <c r="CK52" s="1757">
        <v>133</v>
      </c>
      <c r="CL52" s="1757">
        <f>CL54+CL55+CL56+CL57</f>
        <v>-279</v>
      </c>
      <c r="CM52" s="1757">
        <v>-1447</v>
      </c>
      <c r="CN52" s="1757">
        <v>425</v>
      </c>
      <c r="CO52" s="1757">
        <v>539</v>
      </c>
      <c r="CP52" s="1757">
        <v>-421.75899999999979</v>
      </c>
      <c r="CQ52" s="1757">
        <v>-834.48800000000006</v>
      </c>
      <c r="CR52" s="1757">
        <v>-1771.8049999999998</v>
      </c>
      <c r="CS52" s="1757">
        <v>-346.71299999999985</v>
      </c>
      <c r="CT52" s="1757">
        <v>-1575.0500000000006</v>
      </c>
      <c r="CU52" s="1757">
        <v>-1926.983999999999</v>
      </c>
      <c r="CV52" s="1757">
        <v>-856.81800000000021</v>
      </c>
      <c r="CW52" s="1757">
        <v>184.25300000000004</v>
      </c>
      <c r="CX52" s="1757">
        <v>314.32799999999963</v>
      </c>
      <c r="CY52" s="1757">
        <v>-444.9700000000002</v>
      </c>
      <c r="CZ52" s="1757">
        <v>-1083.9999999999989</v>
      </c>
      <c r="DA52" s="1757">
        <v>-2058.4050000000002</v>
      </c>
      <c r="DB52" s="1757">
        <v>-22.46100000000024</v>
      </c>
      <c r="DC52" s="1757">
        <v>-98.737999999999033</v>
      </c>
      <c r="DD52" s="1756">
        <v>-113.91400000000029</v>
      </c>
      <c r="DE52" s="1756">
        <v>-45.097999999999871</v>
      </c>
      <c r="DF52" s="1756">
        <v>275.12099999999958</v>
      </c>
      <c r="DG52" s="1756">
        <v>185.85300000000069</v>
      </c>
      <c r="DH52" s="1756">
        <v>-16.93900000000005</v>
      </c>
      <c r="DI52" s="1756">
        <v>-1995.0300000000002</v>
      </c>
      <c r="DJ52" s="1869" t="s">
        <v>1464</v>
      </c>
      <c r="DK52" s="1855"/>
    </row>
    <row r="53" spans="1:115">
      <c r="A53" s="1868" t="s">
        <v>1465</v>
      </c>
      <c r="B53" s="1870"/>
      <c r="C53" s="1849"/>
      <c r="D53" s="1849" t="s">
        <v>93</v>
      </c>
      <c r="E53" s="1849" t="s">
        <v>93</v>
      </c>
      <c r="F53" s="1849" t="s">
        <v>93</v>
      </c>
      <c r="G53" s="1849"/>
      <c r="H53" s="1757"/>
      <c r="I53" s="1757"/>
      <c r="J53" s="1757"/>
      <c r="K53" s="1757"/>
      <c r="L53" s="1757"/>
      <c r="M53" s="1757"/>
      <c r="N53" s="1757"/>
      <c r="O53" s="1757"/>
      <c r="P53" s="1757"/>
      <c r="Q53" s="1757"/>
      <c r="R53" s="1757"/>
      <c r="S53" s="1757"/>
      <c r="T53" s="1757"/>
      <c r="U53" s="1757"/>
      <c r="V53" s="1757"/>
      <c r="W53" s="1757"/>
      <c r="X53" s="1757"/>
      <c r="Y53" s="1757"/>
      <c r="Z53" s="1757"/>
      <c r="AA53" s="1757"/>
      <c r="AB53" s="1757"/>
      <c r="AC53" s="1757"/>
      <c r="AD53" s="1757"/>
      <c r="AE53" s="1757"/>
      <c r="AF53" s="1757"/>
      <c r="AG53" s="1757"/>
      <c r="AH53" s="1757"/>
      <c r="AI53" s="1757"/>
      <c r="AJ53" s="1757"/>
      <c r="AK53" s="1757"/>
      <c r="AL53" s="1757"/>
      <c r="AM53" s="1757"/>
      <c r="AN53" s="1757"/>
      <c r="AO53" s="1757"/>
      <c r="AP53" s="1757"/>
      <c r="AQ53" s="1757"/>
      <c r="AR53" s="1757"/>
      <c r="AS53" s="1757"/>
      <c r="AT53" s="1757"/>
      <c r="AU53" s="1757"/>
      <c r="AV53" s="1757"/>
      <c r="AW53" s="1757"/>
      <c r="AX53" s="1757"/>
      <c r="AY53" s="1757"/>
      <c r="AZ53" s="1757"/>
      <c r="BA53" s="1757"/>
      <c r="BB53" s="1757"/>
      <c r="BC53" s="1858"/>
      <c r="BD53" s="278"/>
      <c r="BE53" s="1757"/>
      <c r="BF53" s="1757"/>
      <c r="BG53" s="1757"/>
      <c r="BH53" s="1858"/>
      <c r="BI53" s="278"/>
      <c r="BJ53" s="1757"/>
      <c r="BK53" s="1757"/>
      <c r="BL53" s="1757"/>
      <c r="BM53" s="1757"/>
      <c r="BN53" s="276"/>
      <c r="BO53" s="1757"/>
      <c r="BP53" s="1757"/>
      <c r="BQ53" s="1858"/>
      <c r="BR53" s="278"/>
      <c r="BS53" s="1756"/>
      <c r="BT53" s="278"/>
      <c r="BU53" s="1756"/>
      <c r="BV53" s="1756"/>
      <c r="BW53" s="1756"/>
      <c r="BX53" s="1757"/>
      <c r="BY53" s="1757"/>
      <c r="BZ53" s="1757"/>
      <c r="CA53" s="1757"/>
      <c r="CB53" s="1757"/>
      <c r="CC53" s="1757"/>
      <c r="CD53" s="1757"/>
      <c r="CE53" s="1757"/>
      <c r="CF53" s="1757"/>
      <c r="CG53" s="1757"/>
      <c r="CH53" s="1757"/>
      <c r="CI53" s="1757"/>
      <c r="CJ53" s="1757"/>
      <c r="CK53" s="1757"/>
      <c r="CL53" s="1757"/>
      <c r="CM53" s="1757"/>
      <c r="CN53" s="1757"/>
      <c r="CO53" s="1757"/>
      <c r="CP53" s="1757"/>
      <c r="CQ53" s="1757"/>
      <c r="CR53" s="1757"/>
      <c r="CS53" s="1757"/>
      <c r="CT53" s="1757"/>
      <c r="CU53" s="1757"/>
      <c r="CV53" s="1757"/>
      <c r="CW53" s="1757"/>
      <c r="CX53" s="1757"/>
      <c r="CY53" s="1757"/>
      <c r="CZ53" s="1757"/>
      <c r="DA53" s="1757"/>
      <c r="DB53" s="1757"/>
      <c r="DC53" s="1757"/>
      <c r="DD53" s="1757"/>
      <c r="DE53" s="1757"/>
      <c r="DF53" s="1757"/>
      <c r="DG53" s="1757"/>
      <c r="DH53" s="1757"/>
      <c r="DI53" s="1757"/>
      <c r="DJ53" s="1859" t="s">
        <v>1458</v>
      </c>
      <c r="DK53" s="1855"/>
    </row>
    <row r="54" spans="1:115" ht="24.75" customHeight="1">
      <c r="A54" s="1861" t="s">
        <v>1466</v>
      </c>
      <c r="B54" s="1870">
        <v>155</v>
      </c>
      <c r="C54" s="1849">
        <v>591</v>
      </c>
      <c r="D54" s="1849">
        <v>1068</v>
      </c>
      <c r="E54" s="1849">
        <v>1085</v>
      </c>
      <c r="F54" s="1849">
        <v>691</v>
      </c>
      <c r="G54" s="1849">
        <v>588</v>
      </c>
      <c r="H54" s="1757">
        <v>173</v>
      </c>
      <c r="I54" s="1757">
        <v>168</v>
      </c>
      <c r="J54" s="1757">
        <v>244</v>
      </c>
      <c r="K54" s="1757">
        <v>228</v>
      </c>
      <c r="L54" s="1757">
        <v>325</v>
      </c>
      <c r="M54" s="1757">
        <v>434</v>
      </c>
      <c r="N54" s="1757">
        <v>528</v>
      </c>
      <c r="O54" s="1757">
        <v>738</v>
      </c>
      <c r="P54" s="1757">
        <v>681.29899999999998</v>
      </c>
      <c r="Q54" s="1757">
        <v>921</v>
      </c>
      <c r="R54" s="1757">
        <v>989.47900000000004</v>
      </c>
      <c r="S54" s="1757">
        <v>1357</v>
      </c>
      <c r="T54" s="1757">
        <v>1469</v>
      </c>
      <c r="U54" s="1757">
        <v>1157</v>
      </c>
      <c r="V54" s="1757">
        <v>1014</v>
      </c>
      <c r="W54" s="1757">
        <v>1057.694</v>
      </c>
      <c r="X54" s="1757">
        <v>939</v>
      </c>
      <c r="Y54" s="1757">
        <v>1118</v>
      </c>
      <c r="Z54" s="1757">
        <v>1031</v>
      </c>
      <c r="AA54" s="1757">
        <v>1388</v>
      </c>
      <c r="AB54" s="1757">
        <v>1020</v>
      </c>
      <c r="AC54" s="1757">
        <v>1394</v>
      </c>
      <c r="AD54" s="1757">
        <v>1075</v>
      </c>
      <c r="AE54" s="1757">
        <v>980</v>
      </c>
      <c r="AF54" s="1757">
        <v>970</v>
      </c>
      <c r="AG54" s="1757">
        <v>1025</v>
      </c>
      <c r="AH54" s="1757">
        <v>1179</v>
      </c>
      <c r="AI54" s="1757">
        <v>1115</v>
      </c>
      <c r="AJ54" s="1757">
        <v>1006</v>
      </c>
      <c r="AK54" s="1757">
        <v>1053</v>
      </c>
      <c r="AL54" s="1757">
        <v>900</v>
      </c>
      <c r="AM54" s="1757">
        <v>1023</v>
      </c>
      <c r="AN54" s="1757">
        <v>761</v>
      </c>
      <c r="AO54" s="1757">
        <v>758</v>
      </c>
      <c r="AP54" s="1757">
        <v>586</v>
      </c>
      <c r="AQ54" s="1757">
        <v>794</v>
      </c>
      <c r="AR54" s="1757">
        <v>705</v>
      </c>
      <c r="AS54" s="1757">
        <v>755</v>
      </c>
      <c r="AT54" s="1757">
        <v>812</v>
      </c>
      <c r="AU54" s="1757">
        <v>1075.385</v>
      </c>
      <c r="AV54" s="1757">
        <v>820</v>
      </c>
      <c r="AW54" s="1757">
        <v>1180.56</v>
      </c>
      <c r="AX54" s="1757">
        <v>1108</v>
      </c>
      <c r="AY54" s="1757">
        <v>1336</v>
      </c>
      <c r="AZ54" s="1757">
        <v>1161</v>
      </c>
      <c r="BA54" s="1757">
        <v>1335</v>
      </c>
      <c r="BB54" s="1757">
        <v>1477</v>
      </c>
      <c r="BC54" s="1858">
        <v>1317</v>
      </c>
      <c r="BD54" s="278">
        <f t="shared" ref="BD54:BD59" si="17">SUM(AZ54:BC54)</f>
        <v>5290</v>
      </c>
      <c r="BE54" s="1757">
        <v>1420</v>
      </c>
      <c r="BF54" s="1757">
        <v>1546</v>
      </c>
      <c r="BG54" s="1757">
        <v>1678</v>
      </c>
      <c r="BH54" s="1858">
        <v>1646</v>
      </c>
      <c r="BI54" s="278">
        <f t="shared" si="3"/>
        <v>6290</v>
      </c>
      <c r="BJ54" s="1757">
        <v>1911</v>
      </c>
      <c r="BK54" s="1757">
        <v>1956</v>
      </c>
      <c r="BL54" s="1757">
        <v>1951</v>
      </c>
      <c r="BM54" s="1757">
        <v>2231</v>
      </c>
      <c r="BN54" s="276">
        <f t="shared" si="4"/>
        <v>8049</v>
      </c>
      <c r="BO54" s="1757">
        <v>1845</v>
      </c>
      <c r="BP54" s="1757">
        <v>1956</v>
      </c>
      <c r="BQ54" s="1858">
        <v>1936</v>
      </c>
      <c r="BR54" s="278">
        <f t="shared" si="5"/>
        <v>5737</v>
      </c>
      <c r="BS54" s="1756">
        <v>1746</v>
      </c>
      <c r="BT54" s="278">
        <f t="shared" ref="BT54:BT60" si="18">BR54+BS54</f>
        <v>7483</v>
      </c>
      <c r="BU54" s="1756">
        <v>1632</v>
      </c>
      <c r="BV54" s="1756">
        <v>2061</v>
      </c>
      <c r="BW54" s="1756">
        <v>1737</v>
      </c>
      <c r="BX54" s="1757">
        <v>1894</v>
      </c>
      <c r="BY54" s="1757">
        <v>1623</v>
      </c>
      <c r="BZ54" s="1757">
        <v>1501</v>
      </c>
      <c r="CA54" s="1757">
        <v>1376</v>
      </c>
      <c r="CB54" s="1757">
        <v>1214</v>
      </c>
      <c r="CC54" s="1757">
        <v>1018</v>
      </c>
      <c r="CD54" s="1757">
        <v>1035</v>
      </c>
      <c r="CE54" s="1757">
        <v>880</v>
      </c>
      <c r="CF54" s="1757">
        <v>1176</v>
      </c>
      <c r="CG54" s="1757">
        <v>809</v>
      </c>
      <c r="CH54" s="1757">
        <v>915</v>
      </c>
      <c r="CI54" s="1757">
        <v>946</v>
      </c>
      <c r="CJ54" s="1757">
        <v>1605</v>
      </c>
      <c r="CK54" s="1757">
        <v>1188</v>
      </c>
      <c r="CL54" s="1757">
        <f>2107-CK54</f>
        <v>919</v>
      </c>
      <c r="CM54" s="1757">
        <v>1284</v>
      </c>
      <c r="CN54" s="1757">
        <v>1136</v>
      </c>
      <c r="CO54" s="1757">
        <v>1401</v>
      </c>
      <c r="CP54" s="1757">
        <v>1234.7620000000002</v>
      </c>
      <c r="CQ54" s="1757">
        <v>1028.9939999999997</v>
      </c>
      <c r="CR54" s="1757">
        <v>1130.5149999999999</v>
      </c>
      <c r="CS54" s="1757">
        <v>1814.146</v>
      </c>
      <c r="CT54" s="1757">
        <v>1406.4460000000001</v>
      </c>
      <c r="CU54" s="1757">
        <v>1357.2679999999996</v>
      </c>
      <c r="CV54" s="1757">
        <v>1697.9900000000007</v>
      </c>
      <c r="CW54" s="1757">
        <v>1501.4690000000001</v>
      </c>
      <c r="CX54" s="1757">
        <v>1478.0569999999998</v>
      </c>
      <c r="CY54" s="1757">
        <v>1392.7039999999997</v>
      </c>
      <c r="CZ54" s="1757">
        <v>2285.8380000000006</v>
      </c>
      <c r="DA54" s="1757">
        <v>1508.52</v>
      </c>
      <c r="DB54" s="1757">
        <v>1469.6689999999999</v>
      </c>
      <c r="DC54" s="1757">
        <v>1544.3890000000006</v>
      </c>
      <c r="DD54" s="1757">
        <v>2523.6389999999997</v>
      </c>
      <c r="DE54" s="1757">
        <v>1518.9760000000001</v>
      </c>
      <c r="DF54" s="1757">
        <v>1703.5079999999998</v>
      </c>
      <c r="DG54" s="1757">
        <v>1513.5790000000002</v>
      </c>
      <c r="DH54" s="1757">
        <v>1859.2330000000006</v>
      </c>
      <c r="DI54" s="1757">
        <v>1720.136</v>
      </c>
      <c r="DJ54" s="1869" t="s">
        <v>1467</v>
      </c>
      <c r="DK54" s="1855"/>
    </row>
    <row r="55" spans="1:115" ht="31.5" customHeight="1">
      <c r="A55" s="1861" t="s">
        <v>1468</v>
      </c>
      <c r="B55" s="1862"/>
      <c r="D55" s="1849">
        <v>-17</v>
      </c>
      <c r="E55" s="1849">
        <v>-137</v>
      </c>
      <c r="F55" s="1849">
        <v>-336</v>
      </c>
      <c r="G55" s="1849">
        <v>-558</v>
      </c>
      <c r="H55" s="1757">
        <v>-170.251</v>
      </c>
      <c r="I55" s="1757">
        <v>-178</v>
      </c>
      <c r="J55" s="1757">
        <v>-130</v>
      </c>
      <c r="K55" s="1757">
        <v>-115</v>
      </c>
      <c r="L55" s="1757">
        <v>-119</v>
      </c>
      <c r="M55" s="1757">
        <v>-127</v>
      </c>
      <c r="N55" s="1757">
        <v>-182</v>
      </c>
      <c r="O55" s="1757">
        <v>-204.476</v>
      </c>
      <c r="P55" s="1757">
        <v>-175</v>
      </c>
      <c r="Q55" s="1757">
        <v>-210</v>
      </c>
      <c r="R55" s="1757">
        <v>-148</v>
      </c>
      <c r="S55" s="1757">
        <v>-190</v>
      </c>
      <c r="T55" s="1757">
        <v>-205</v>
      </c>
      <c r="U55" s="1757">
        <v>-345</v>
      </c>
      <c r="V55" s="1757">
        <v>-319</v>
      </c>
      <c r="W55" s="1757">
        <v>-294</v>
      </c>
      <c r="X55" s="1757">
        <v>-332</v>
      </c>
      <c r="Y55" s="1757">
        <v>-610.11199999999997</v>
      </c>
      <c r="Z55" s="1757">
        <v>-864</v>
      </c>
      <c r="AA55" s="1757">
        <v>-989.72400000000005</v>
      </c>
      <c r="AB55" s="1757">
        <v>-930</v>
      </c>
      <c r="AC55" s="1757">
        <v>-950</v>
      </c>
      <c r="AD55" s="1757">
        <v>-1357.587</v>
      </c>
      <c r="AE55" s="1757">
        <v>-1832</v>
      </c>
      <c r="AF55" s="1757">
        <v>-1792.655</v>
      </c>
      <c r="AG55" s="1757">
        <v>-2195</v>
      </c>
      <c r="AH55" s="1757">
        <v>-2119</v>
      </c>
      <c r="AI55" s="1757">
        <v>-2998</v>
      </c>
      <c r="AJ55" s="1757">
        <v>-2025</v>
      </c>
      <c r="AK55" s="1757">
        <v>-783</v>
      </c>
      <c r="AL55" s="1757">
        <v>-550</v>
      </c>
      <c r="AM55" s="1757">
        <v>-614</v>
      </c>
      <c r="AN55" s="1757">
        <v>-606</v>
      </c>
      <c r="AO55" s="1757">
        <v>-675</v>
      </c>
      <c r="AP55" s="1757">
        <v>-502</v>
      </c>
      <c r="AQ55" s="1757">
        <v>-644</v>
      </c>
      <c r="AR55" s="1757">
        <v>-611</v>
      </c>
      <c r="AS55" s="1757">
        <v>-582</v>
      </c>
      <c r="AT55" s="1757">
        <v>-583</v>
      </c>
      <c r="AU55" s="1757">
        <v>-1011</v>
      </c>
      <c r="AV55" s="1757">
        <v>-718</v>
      </c>
      <c r="AW55" s="1757">
        <v>-694</v>
      </c>
      <c r="AX55" s="1757">
        <v>-712</v>
      </c>
      <c r="AY55" s="1757">
        <v>-875</v>
      </c>
      <c r="AZ55" s="1757">
        <v>-746</v>
      </c>
      <c r="BA55" s="1757">
        <v>-817</v>
      </c>
      <c r="BB55" s="1757">
        <v>-615</v>
      </c>
      <c r="BC55" s="1858">
        <v>-1110</v>
      </c>
      <c r="BD55" s="278">
        <f t="shared" si="17"/>
        <v>-3288</v>
      </c>
      <c r="BE55" s="1757">
        <v>-841</v>
      </c>
      <c r="BF55" s="1757">
        <v>-871</v>
      </c>
      <c r="BG55" s="1757">
        <v>-952</v>
      </c>
      <c r="BH55" s="1858">
        <v>-998</v>
      </c>
      <c r="BI55" s="278">
        <f t="shared" si="3"/>
        <v>-3662</v>
      </c>
      <c r="BJ55" s="1757">
        <v>-970</v>
      </c>
      <c r="BK55" s="1757">
        <v>-826</v>
      </c>
      <c r="BL55" s="1757">
        <v>-858</v>
      </c>
      <c r="BM55" s="1757">
        <v>-982</v>
      </c>
      <c r="BN55" s="276">
        <f t="shared" si="4"/>
        <v>-3636</v>
      </c>
      <c r="BO55" s="1757">
        <v>-829</v>
      </c>
      <c r="BP55" s="1757">
        <v>-830</v>
      </c>
      <c r="BQ55" s="1858">
        <v>-856</v>
      </c>
      <c r="BR55" s="278">
        <f t="shared" si="5"/>
        <v>-2515</v>
      </c>
      <c r="BS55" s="1756">
        <v>-923</v>
      </c>
      <c r="BT55" s="278">
        <f t="shared" si="18"/>
        <v>-3438</v>
      </c>
      <c r="BU55" s="1756">
        <v>-768</v>
      </c>
      <c r="BV55" s="1756">
        <v>-779</v>
      </c>
      <c r="BW55" s="1756">
        <v>-541</v>
      </c>
      <c r="BX55" s="1757">
        <v>-736</v>
      </c>
      <c r="BY55" s="1757">
        <v>-683</v>
      </c>
      <c r="BZ55" s="1757">
        <v>-757</v>
      </c>
      <c r="CA55" s="1757">
        <v>-663</v>
      </c>
      <c r="CB55" s="1757">
        <v>-745</v>
      </c>
      <c r="CC55" s="1757">
        <v>-889</v>
      </c>
      <c r="CD55" s="1757">
        <v>-824</v>
      </c>
      <c r="CE55" s="1757">
        <v>-687</v>
      </c>
      <c r="CF55" s="1757">
        <v>-756</v>
      </c>
      <c r="CG55" s="1757">
        <v>-741</v>
      </c>
      <c r="CH55" s="1757">
        <v>-655</v>
      </c>
      <c r="CI55" s="1757">
        <v>-970</v>
      </c>
      <c r="CJ55" s="1757">
        <v>-856</v>
      </c>
      <c r="CK55" s="1757">
        <v>-1000</v>
      </c>
      <c r="CL55" s="1757">
        <f>-1857-CK55</f>
        <v>-857</v>
      </c>
      <c r="CM55" s="1757">
        <v>-1861</v>
      </c>
      <c r="CN55" s="1757">
        <v>-754</v>
      </c>
      <c r="CO55" s="1757">
        <v>-1280</v>
      </c>
      <c r="CP55" s="1757">
        <v>-1279.473</v>
      </c>
      <c r="CQ55" s="1757">
        <v>-1722.7979999999998</v>
      </c>
      <c r="CR55" s="1757">
        <v>-2677.6930000000002</v>
      </c>
      <c r="CS55" s="1757">
        <v>-2842.0279999999998</v>
      </c>
      <c r="CT55" s="1757">
        <v>-2414.2240000000006</v>
      </c>
      <c r="CU55" s="1757">
        <v>-2981.1989999999987</v>
      </c>
      <c r="CV55" s="1757">
        <v>-2965.0580000000009</v>
      </c>
      <c r="CW55" s="1757">
        <v>-2108.058</v>
      </c>
      <c r="CX55" s="1757">
        <v>-1539.5500000000002</v>
      </c>
      <c r="CY55" s="1757">
        <v>-1463.1559999999999</v>
      </c>
      <c r="CZ55" s="1757">
        <v>-1765.4889999999996</v>
      </c>
      <c r="DA55" s="1757">
        <v>-1867.181</v>
      </c>
      <c r="DB55" s="1757">
        <v>-1485.0940000000001</v>
      </c>
      <c r="DC55" s="1757">
        <v>-1405.9299999999998</v>
      </c>
      <c r="DD55" s="1757">
        <v>-2514.511</v>
      </c>
      <c r="DE55" s="1757">
        <v>-1758.607</v>
      </c>
      <c r="DF55" s="1757">
        <v>-1659.7020000000002</v>
      </c>
      <c r="DG55" s="1757">
        <v>-1622.9529999999995</v>
      </c>
      <c r="DH55" s="1757">
        <v>-1630.2800000000007</v>
      </c>
      <c r="DI55" s="1757">
        <v>-1654.287</v>
      </c>
      <c r="DJ55" s="1863" t="s">
        <v>1469</v>
      </c>
      <c r="DK55" s="1855"/>
    </row>
    <row r="56" spans="1:115">
      <c r="A56" s="1861" t="s">
        <v>1470</v>
      </c>
      <c r="B56" s="1870">
        <v>175</v>
      </c>
      <c r="C56" s="1849">
        <v>37</v>
      </c>
      <c r="D56" s="1849">
        <v>64</v>
      </c>
      <c r="E56" s="1849">
        <v>75</v>
      </c>
      <c r="F56" s="1849">
        <v>155</v>
      </c>
      <c r="G56" s="1849">
        <v>100</v>
      </c>
      <c r="H56" s="1757"/>
      <c r="I56" s="1757"/>
      <c r="J56" s="1757">
        <v>5</v>
      </c>
      <c r="K56" s="1757">
        <v>1</v>
      </c>
      <c r="L56" s="1757"/>
      <c r="M56" s="1757"/>
      <c r="N56" s="1757"/>
      <c r="O56" s="1757"/>
      <c r="P56" s="1757"/>
      <c r="Q56" s="1757">
        <v>49</v>
      </c>
      <c r="R56" s="1757"/>
      <c r="S56" s="1757">
        <v>10</v>
      </c>
      <c r="T56" s="1757">
        <v>2</v>
      </c>
      <c r="U56" s="1757"/>
      <c r="V56" s="1757"/>
      <c r="W56" s="1757">
        <v>20</v>
      </c>
      <c r="X56" s="1757"/>
      <c r="Y56" s="1757"/>
      <c r="Z56" s="1757">
        <v>1</v>
      </c>
      <c r="AA56" s="1757"/>
      <c r="AB56" s="1757"/>
      <c r="AC56" s="1757">
        <v>1</v>
      </c>
      <c r="AD56" s="1757">
        <v>16</v>
      </c>
      <c r="AE56" s="1757"/>
      <c r="AF56" s="1757">
        <v>1</v>
      </c>
      <c r="AG56" s="1757">
        <v>40</v>
      </c>
      <c r="AH56" s="1757">
        <v>5</v>
      </c>
      <c r="AI56" s="1757">
        <v>22</v>
      </c>
      <c r="AJ56" s="1757"/>
      <c r="AK56" s="1757"/>
      <c r="AL56" s="1757">
        <v>3</v>
      </c>
      <c r="AM56" s="1757"/>
      <c r="AN56" s="1757"/>
      <c r="AO56" s="1757"/>
      <c r="AP56" s="1757">
        <v>1</v>
      </c>
      <c r="AQ56" s="1757"/>
      <c r="AR56" s="1757"/>
      <c r="AS56" s="1757"/>
      <c r="AT56" s="1757"/>
      <c r="AU56" s="1757">
        <v>2</v>
      </c>
      <c r="AV56" s="1757"/>
      <c r="AW56" s="1757"/>
      <c r="AX56" s="1757">
        <v>20</v>
      </c>
      <c r="AY56" s="1757"/>
      <c r="AZ56" s="1757">
        <v>2</v>
      </c>
      <c r="BA56" s="1757"/>
      <c r="BB56" s="1757"/>
      <c r="BC56" s="1858"/>
      <c r="BD56" s="278">
        <f t="shared" si="17"/>
        <v>2</v>
      </c>
      <c r="BE56" s="1757"/>
      <c r="BF56" s="1757">
        <v>0.04</v>
      </c>
      <c r="BG56" s="1757"/>
      <c r="BH56" s="1858">
        <v>2</v>
      </c>
      <c r="BI56" s="278">
        <f t="shared" si="3"/>
        <v>2.04</v>
      </c>
      <c r="BJ56" s="1757">
        <v>17</v>
      </c>
      <c r="BK56" s="1757"/>
      <c r="BL56" s="1757"/>
      <c r="BM56" s="1757"/>
      <c r="BN56" s="276">
        <f t="shared" si="4"/>
        <v>17</v>
      </c>
      <c r="BO56" s="1757"/>
      <c r="BP56" s="1757">
        <v>2</v>
      </c>
      <c r="BQ56" s="1858"/>
      <c r="BR56" s="278">
        <f t="shared" si="5"/>
        <v>2</v>
      </c>
      <c r="BS56" s="1756"/>
      <c r="BT56" s="278">
        <f t="shared" si="18"/>
        <v>2</v>
      </c>
      <c r="BU56" s="1756"/>
      <c r="BV56" s="1756"/>
      <c r="BW56" s="1756"/>
      <c r="BX56" s="1757"/>
      <c r="BY56" s="1757"/>
      <c r="BZ56" s="1757">
        <v>1</v>
      </c>
      <c r="CA56" s="1757">
        <v>0</v>
      </c>
      <c r="CB56" s="1757">
        <v>0</v>
      </c>
      <c r="CC56" s="1757">
        <v>450</v>
      </c>
      <c r="CD56" s="1757">
        <v>0</v>
      </c>
      <c r="CE56" s="1757">
        <v>0</v>
      </c>
      <c r="CF56" s="1757">
        <v>0</v>
      </c>
      <c r="CG56" s="1757">
        <v>451</v>
      </c>
      <c r="CH56" s="1757">
        <v>0</v>
      </c>
      <c r="CI56" s="1757">
        <v>0</v>
      </c>
      <c r="CJ56" s="1757">
        <v>0</v>
      </c>
      <c r="CK56" s="1757">
        <v>452</v>
      </c>
      <c r="CL56" s="1757">
        <f>452-CK56</f>
        <v>0</v>
      </c>
      <c r="CM56" s="1757">
        <v>0</v>
      </c>
      <c r="CN56" s="1757">
        <v>0</v>
      </c>
      <c r="CO56" s="1757">
        <v>451</v>
      </c>
      <c r="CP56" s="1757">
        <v>1.5989999999999895</v>
      </c>
      <c r="CQ56" s="1757">
        <v>2</v>
      </c>
      <c r="CR56" s="1757">
        <v>2.4279999999999973</v>
      </c>
      <c r="CS56" s="1757">
        <v>450.178</v>
      </c>
      <c r="CT56" s="1757">
        <v>2</v>
      </c>
      <c r="CU56" s="1757">
        <v>0</v>
      </c>
      <c r="CV56" s="1757">
        <v>0</v>
      </c>
      <c r="CW56" s="1757">
        <v>450.18799999999999</v>
      </c>
      <c r="CX56" s="1757">
        <v>0</v>
      </c>
      <c r="CY56" s="1757">
        <v>20.833000000000027</v>
      </c>
      <c r="CZ56" s="1757">
        <v>0</v>
      </c>
      <c r="DA56" s="1757">
        <v>456.404</v>
      </c>
      <c r="DB56" s="1757">
        <v>0</v>
      </c>
      <c r="DC56" s="1757">
        <v>1.3709999999999809</v>
      </c>
      <c r="DD56" s="1757">
        <v>-1.9095836023552692E-14</v>
      </c>
      <c r="DE56" s="1757">
        <v>450.19799999999998</v>
      </c>
      <c r="DF56" s="1757">
        <v>0</v>
      </c>
      <c r="DG56" s="1757">
        <v>0</v>
      </c>
      <c r="DH56" s="1757">
        <v>0.23499999999999999</v>
      </c>
      <c r="DI56" s="1757">
        <v>0.439</v>
      </c>
      <c r="DJ56" s="1869" t="s">
        <v>1471</v>
      </c>
      <c r="DK56" s="1855"/>
    </row>
    <row r="57" spans="1:115">
      <c r="A57" s="1861" t="s">
        <v>1472</v>
      </c>
      <c r="B57" s="1870">
        <v>196</v>
      </c>
      <c r="C57" s="1849">
        <v>484</v>
      </c>
      <c r="D57" s="1849">
        <v>191</v>
      </c>
      <c r="E57" s="1849">
        <v>321</v>
      </c>
      <c r="F57" s="1849">
        <v>399</v>
      </c>
      <c r="G57" s="1849">
        <v>427</v>
      </c>
      <c r="H57" s="1757">
        <v>98.837999999999994</v>
      </c>
      <c r="I57" s="1757">
        <v>47</v>
      </c>
      <c r="J57" s="1757">
        <v>133</v>
      </c>
      <c r="K57" s="1757">
        <v>-14</v>
      </c>
      <c r="L57" s="1757">
        <v>96</v>
      </c>
      <c r="M57" s="1757">
        <v>4</v>
      </c>
      <c r="N57" s="1757">
        <v>-10</v>
      </c>
      <c r="O57" s="1757">
        <v>25</v>
      </c>
      <c r="P57" s="1757">
        <v>6</v>
      </c>
      <c r="Q57" s="1757">
        <v>13</v>
      </c>
      <c r="R57" s="1757">
        <v>18</v>
      </c>
      <c r="S57" s="1757">
        <v>19</v>
      </c>
      <c r="T57" s="1757">
        <v>783</v>
      </c>
      <c r="U57" s="1757">
        <v>-153</v>
      </c>
      <c r="V57" s="1757">
        <v>217</v>
      </c>
      <c r="W57" s="1757">
        <v>81</v>
      </c>
      <c r="X57" s="1757">
        <v>371</v>
      </c>
      <c r="Y57" s="1757">
        <v>584</v>
      </c>
      <c r="Z57" s="1757">
        <v>115</v>
      </c>
      <c r="AA57" s="1757">
        <v>-66.715000000000003</v>
      </c>
      <c r="AB57" s="1757">
        <v>104</v>
      </c>
      <c r="AC57" s="1757">
        <v>123</v>
      </c>
      <c r="AD57" s="1757">
        <v>174</v>
      </c>
      <c r="AE57" s="1757">
        <v>198</v>
      </c>
      <c r="AF57" s="1757">
        <v>55</v>
      </c>
      <c r="AG57" s="1757">
        <v>1011</v>
      </c>
      <c r="AH57" s="1757">
        <v>365</v>
      </c>
      <c r="AI57" s="1757">
        <v>-508</v>
      </c>
      <c r="AJ57" s="1757">
        <v>427</v>
      </c>
      <c r="AK57" s="1757">
        <v>191</v>
      </c>
      <c r="AL57" s="1757">
        <v>899</v>
      </c>
      <c r="AM57" s="1757">
        <v>294</v>
      </c>
      <c r="AN57" s="1757">
        <v>-186</v>
      </c>
      <c r="AO57" s="1757">
        <v>-118</v>
      </c>
      <c r="AP57" s="1757">
        <v>-325</v>
      </c>
      <c r="AQ57" s="1757">
        <v>192</v>
      </c>
      <c r="AR57" s="1757">
        <v>591</v>
      </c>
      <c r="AS57" s="1757">
        <v>39</v>
      </c>
      <c r="AT57" s="1757">
        <v>538</v>
      </c>
      <c r="AU57" s="1757">
        <v>662</v>
      </c>
      <c r="AV57" s="1757">
        <v>667</v>
      </c>
      <c r="AW57" s="1757">
        <v>114.474</v>
      </c>
      <c r="AX57" s="1757">
        <v>322</v>
      </c>
      <c r="AY57" s="1757">
        <v>231</v>
      </c>
      <c r="AZ57" s="1757">
        <v>756</v>
      </c>
      <c r="BA57" s="1757">
        <v>-168</v>
      </c>
      <c r="BB57" s="1757">
        <v>846</v>
      </c>
      <c r="BC57" s="1858">
        <v>333</v>
      </c>
      <c r="BD57" s="278">
        <f t="shared" si="17"/>
        <v>1767</v>
      </c>
      <c r="BE57" s="1757">
        <v>765</v>
      </c>
      <c r="BF57" s="1757">
        <v>283</v>
      </c>
      <c r="BG57" s="1757">
        <v>687</v>
      </c>
      <c r="BH57" s="1858">
        <v>916</v>
      </c>
      <c r="BI57" s="278">
        <f>SUM(BE57:BH57)</f>
        <v>2651</v>
      </c>
      <c r="BJ57" s="1757">
        <v>1879</v>
      </c>
      <c r="BK57" s="1757">
        <v>585</v>
      </c>
      <c r="BL57" s="1757">
        <v>327</v>
      </c>
      <c r="BM57" s="1757">
        <v>1052</v>
      </c>
      <c r="BN57" s="276">
        <f t="shared" si="4"/>
        <v>3843</v>
      </c>
      <c r="BO57" s="1757">
        <v>936</v>
      </c>
      <c r="BP57" s="1757">
        <v>-417</v>
      </c>
      <c r="BQ57" s="1858">
        <v>-591</v>
      </c>
      <c r="BR57" s="278">
        <f t="shared" si="5"/>
        <v>-72</v>
      </c>
      <c r="BS57" s="1756">
        <v>720</v>
      </c>
      <c r="BT57" s="278">
        <f t="shared" si="18"/>
        <v>648</v>
      </c>
      <c r="BU57" s="1756">
        <v>198</v>
      </c>
      <c r="BV57" s="1756">
        <v>-452</v>
      </c>
      <c r="BW57" s="1756">
        <v>-489</v>
      </c>
      <c r="BX57" s="1757">
        <v>727</v>
      </c>
      <c r="BY57" s="1757">
        <v>1714</v>
      </c>
      <c r="BZ57" s="1757">
        <v>340</v>
      </c>
      <c r="CA57" s="1757">
        <v>282</v>
      </c>
      <c r="CB57" s="1757">
        <v>15</v>
      </c>
      <c r="CC57" s="1757">
        <v>-56</v>
      </c>
      <c r="CD57" s="1757">
        <v>176</v>
      </c>
      <c r="CE57" s="1757">
        <v>-222</v>
      </c>
      <c r="CF57" s="1757">
        <v>294</v>
      </c>
      <c r="CG57" s="1757">
        <v>521</v>
      </c>
      <c r="CH57" s="1757">
        <v>-657</v>
      </c>
      <c r="CI57" s="1757">
        <v>-369</v>
      </c>
      <c r="CJ57" s="1757">
        <v>387</v>
      </c>
      <c r="CK57" s="1757">
        <v>-507</v>
      </c>
      <c r="CL57" s="1757">
        <f>-848-CK57</f>
        <v>-341</v>
      </c>
      <c r="CM57" s="1757">
        <v>-870</v>
      </c>
      <c r="CN57" s="1757">
        <v>43</v>
      </c>
      <c r="CO57" s="1757">
        <v>-33</v>
      </c>
      <c r="CP57" s="1757">
        <v>-378.64699999999999</v>
      </c>
      <c r="CQ57" s="1757">
        <v>-142.684</v>
      </c>
      <c r="CR57" s="1757">
        <v>-227.05499999999995</v>
      </c>
      <c r="CS57" s="1757">
        <v>230.99100000000001</v>
      </c>
      <c r="CT57" s="1757">
        <v>-569.27200000000005</v>
      </c>
      <c r="CU57" s="1757">
        <v>-303.05299999999994</v>
      </c>
      <c r="CV57" s="1757">
        <v>410.24999999999994</v>
      </c>
      <c r="CW57" s="1757">
        <v>340.654</v>
      </c>
      <c r="CX57" s="1757">
        <v>375.82100000000003</v>
      </c>
      <c r="CY57" s="1757">
        <v>-395.351</v>
      </c>
      <c r="CZ57" s="1757">
        <v>-1604.3489999999999</v>
      </c>
      <c r="DA57" s="1757">
        <v>-2156.1480000000001</v>
      </c>
      <c r="DB57" s="1757">
        <v>-7.03600000000006</v>
      </c>
      <c r="DC57" s="1757">
        <v>-238.56799999999976</v>
      </c>
      <c r="DD57" s="1757">
        <v>-123.04199999999997</v>
      </c>
      <c r="DE57" s="1757">
        <v>-255.66499999999999</v>
      </c>
      <c r="DF57" s="1757">
        <v>231.315</v>
      </c>
      <c r="DG57" s="1757">
        <v>295.22700000000003</v>
      </c>
      <c r="DH57" s="1757">
        <v>-246.12700000000004</v>
      </c>
      <c r="DI57" s="1757">
        <v>-2061.3180000000002</v>
      </c>
      <c r="DJ57" s="1859" t="s">
        <v>1473</v>
      </c>
      <c r="DK57" s="1855"/>
    </row>
    <row r="58" spans="1:115" ht="16.5" customHeight="1">
      <c r="A58" s="1871" t="s">
        <v>3526</v>
      </c>
      <c r="B58" s="1870">
        <v>62</v>
      </c>
      <c r="C58" s="1849">
        <v>29</v>
      </c>
      <c r="D58" s="1849">
        <v>-45</v>
      </c>
      <c r="E58" s="1849">
        <v>-20</v>
      </c>
      <c r="F58" s="1849"/>
      <c r="G58" s="1849"/>
      <c r="H58" s="1757"/>
      <c r="I58" s="1757"/>
      <c r="J58" s="1757"/>
      <c r="K58" s="1757"/>
      <c r="L58" s="1757"/>
      <c r="M58" s="1757">
        <v>-43</v>
      </c>
      <c r="N58" s="1757">
        <v>-20</v>
      </c>
      <c r="O58" s="1757">
        <v>-52</v>
      </c>
      <c r="P58" s="1757">
        <v>-58</v>
      </c>
      <c r="Q58" s="1757">
        <v>-4</v>
      </c>
      <c r="R58" s="1757">
        <v>-42</v>
      </c>
      <c r="S58" s="1757">
        <v>-33</v>
      </c>
      <c r="T58" s="1757">
        <v>-29</v>
      </c>
      <c r="U58" s="1757">
        <v>-6</v>
      </c>
      <c r="V58" s="1757">
        <v>88</v>
      </c>
      <c r="W58" s="1757">
        <v>-109</v>
      </c>
      <c r="X58" s="1757">
        <v>-27</v>
      </c>
      <c r="Y58" s="1757">
        <v>-28</v>
      </c>
      <c r="Z58" s="1757">
        <v>-13</v>
      </c>
      <c r="AA58" s="1757">
        <v>-18</v>
      </c>
      <c r="AB58" s="1757">
        <v>-100</v>
      </c>
      <c r="AC58" s="1757">
        <v>3</v>
      </c>
      <c r="AD58" s="1757">
        <v>-57</v>
      </c>
      <c r="AE58" s="1757">
        <v>-173</v>
      </c>
      <c r="AF58" s="1757">
        <v>-116</v>
      </c>
      <c r="AG58" s="1757">
        <v>-55</v>
      </c>
      <c r="AH58" s="1757">
        <v>-111</v>
      </c>
      <c r="AI58" s="1757">
        <v>-72</v>
      </c>
      <c r="AJ58" s="1757">
        <v>-30</v>
      </c>
      <c r="AK58" s="1757">
        <v>-451</v>
      </c>
      <c r="AL58" s="1757">
        <v>-324</v>
      </c>
      <c r="AM58" s="1757">
        <v>-962</v>
      </c>
      <c r="AN58" s="1757">
        <v>-857</v>
      </c>
      <c r="AO58" s="1757">
        <v>-151</v>
      </c>
      <c r="AP58" s="1757">
        <v>-428</v>
      </c>
      <c r="AQ58" s="1757">
        <v>-261</v>
      </c>
      <c r="AR58" s="1757">
        <v>-133</v>
      </c>
      <c r="AS58" s="1757">
        <v>-505</v>
      </c>
      <c r="AT58" s="1757">
        <v>-400</v>
      </c>
      <c r="AU58" s="1757">
        <v>76</v>
      </c>
      <c r="AV58" s="1757">
        <v>78</v>
      </c>
      <c r="AW58" s="1757">
        <v>107</v>
      </c>
      <c r="AX58" s="1757">
        <v>-669</v>
      </c>
      <c r="AY58" s="1757">
        <v>-278</v>
      </c>
      <c r="AZ58" s="1757">
        <v>-455</v>
      </c>
      <c r="BA58" s="1757">
        <v>669</v>
      </c>
      <c r="BB58" s="1757">
        <v>-1807</v>
      </c>
      <c r="BC58" s="1858">
        <v>-233</v>
      </c>
      <c r="BD58" s="278">
        <f t="shared" si="17"/>
        <v>-1826</v>
      </c>
      <c r="BE58" s="1757">
        <v>259</v>
      </c>
      <c r="BF58" s="1757">
        <v>-1104</v>
      </c>
      <c r="BG58" s="1757">
        <v>-59</v>
      </c>
      <c r="BH58" s="1858">
        <v>-1071</v>
      </c>
      <c r="BI58" s="278">
        <f t="shared" si="3"/>
        <v>-1975</v>
      </c>
      <c r="BJ58" s="1757">
        <v>61</v>
      </c>
      <c r="BK58" s="1757">
        <v>-574</v>
      </c>
      <c r="BL58" s="1757">
        <v>-1281</v>
      </c>
      <c r="BM58" s="1757">
        <v>-1017</v>
      </c>
      <c r="BN58" s="276">
        <f t="shared" si="4"/>
        <v>-2811</v>
      </c>
      <c r="BO58" s="1757">
        <v>-284</v>
      </c>
      <c r="BP58" s="1757">
        <v>185</v>
      </c>
      <c r="BQ58" s="1858">
        <v>-2701</v>
      </c>
      <c r="BR58" s="278">
        <f t="shared" si="5"/>
        <v>-2800</v>
      </c>
      <c r="BS58" s="1756">
        <v>763</v>
      </c>
      <c r="BT58" s="278">
        <f t="shared" si="18"/>
        <v>-2037</v>
      </c>
      <c r="BU58" s="1756">
        <v>1197</v>
      </c>
      <c r="BV58" s="1756">
        <v>572</v>
      </c>
      <c r="BW58" s="1756">
        <v>167</v>
      </c>
      <c r="BX58" s="1757">
        <v>1689</v>
      </c>
      <c r="BY58" s="1757">
        <v>-225</v>
      </c>
      <c r="BZ58" s="1757">
        <v>472</v>
      </c>
      <c r="CA58" s="1757">
        <v>513</v>
      </c>
      <c r="CB58" s="1757">
        <v>-373</v>
      </c>
      <c r="CC58" s="1757">
        <v>203</v>
      </c>
      <c r="CD58" s="1757">
        <v>482</v>
      </c>
      <c r="CE58" s="1757">
        <v>354</v>
      </c>
      <c r="CF58" s="1757">
        <v>-393</v>
      </c>
      <c r="CG58" s="1757">
        <v>633</v>
      </c>
      <c r="CH58" s="1757">
        <v>-117</v>
      </c>
      <c r="CI58" s="1757">
        <v>-8</v>
      </c>
      <c r="CJ58" s="1757">
        <v>154</v>
      </c>
      <c r="CK58" s="1757">
        <v>-596</v>
      </c>
      <c r="CL58" s="1757">
        <f>-599-CK58</f>
        <v>-3</v>
      </c>
      <c r="CM58" s="1757">
        <v>1117</v>
      </c>
      <c r="CN58" s="1757">
        <v>130</v>
      </c>
      <c r="CO58" s="1757">
        <v>-317</v>
      </c>
      <c r="CP58" s="1757">
        <v>282.77200000000005</v>
      </c>
      <c r="CQ58" s="1757">
        <v>-6.0850000000000009</v>
      </c>
      <c r="CR58" s="1757">
        <v>-113.446</v>
      </c>
      <c r="CS58" s="1757">
        <v>-1184.44</v>
      </c>
      <c r="CT58" s="1757">
        <v>785.20100000000002</v>
      </c>
      <c r="CU58" s="1757">
        <v>-111.72400000000005</v>
      </c>
      <c r="CV58" s="1757">
        <v>-1106.8</v>
      </c>
      <c r="CW58" s="1757">
        <v>-1228.4259999999999</v>
      </c>
      <c r="CX58" s="1757">
        <v>817.0329999999999</v>
      </c>
      <c r="CY58" s="1757">
        <v>-250.79500000000002</v>
      </c>
      <c r="CZ58" s="1757">
        <v>1982.7950000000001</v>
      </c>
      <c r="DA58" s="1757">
        <v>-18.594000000000001</v>
      </c>
      <c r="DB58" s="1757">
        <v>250.25799999999998</v>
      </c>
      <c r="DC58" s="1757">
        <v>-432.35899999999998</v>
      </c>
      <c r="DD58" s="1757">
        <v>94.008999999999958</v>
      </c>
      <c r="DE58" s="1757">
        <v>-330.495</v>
      </c>
      <c r="DF58" s="1757">
        <v>499.50300000000004</v>
      </c>
      <c r="DG58" s="1757">
        <v>-225.63300000000004</v>
      </c>
      <c r="DH58" s="1757">
        <v>109.137</v>
      </c>
      <c r="DI58" s="1757">
        <v>190.89500000000001</v>
      </c>
      <c r="DJ58" s="1869" t="s">
        <v>1146</v>
      </c>
      <c r="DK58" s="1855"/>
    </row>
    <row r="59" spans="1:115" ht="25.5">
      <c r="A59" s="1861" t="s">
        <v>1474</v>
      </c>
      <c r="B59" s="1870">
        <v>162</v>
      </c>
      <c r="C59" s="1849">
        <v>-7</v>
      </c>
      <c r="D59" s="1849">
        <v>244</v>
      </c>
      <c r="E59" s="1849">
        <v>-19</v>
      </c>
      <c r="F59" s="1849">
        <v>228</v>
      </c>
      <c r="G59" s="1849">
        <v>274</v>
      </c>
      <c r="H59" s="1757">
        <v>30</v>
      </c>
      <c r="I59" s="1757">
        <v>39</v>
      </c>
      <c r="J59" s="1757">
        <v>160</v>
      </c>
      <c r="K59" s="1757">
        <v>37</v>
      </c>
      <c r="L59" s="1757">
        <v>71</v>
      </c>
      <c r="M59" s="1757">
        <v>52</v>
      </c>
      <c r="N59" s="1757">
        <v>41</v>
      </c>
      <c r="O59" s="1757">
        <v>32</v>
      </c>
      <c r="P59" s="1757">
        <v>-8</v>
      </c>
      <c r="Q59" s="1757">
        <v>111</v>
      </c>
      <c r="R59" s="1757">
        <v>22.4</v>
      </c>
      <c r="S59" s="1757">
        <v>79</v>
      </c>
      <c r="T59" s="1757">
        <v>7</v>
      </c>
      <c r="U59" s="1757">
        <v>88</v>
      </c>
      <c r="V59" s="1757">
        <v>105</v>
      </c>
      <c r="W59" s="1757">
        <v>185</v>
      </c>
      <c r="X59" s="1757">
        <v>-42</v>
      </c>
      <c r="Y59" s="1757">
        <v>214</v>
      </c>
      <c r="Z59" s="1757">
        <v>247</v>
      </c>
      <c r="AA59" s="1757">
        <v>189</v>
      </c>
      <c r="AB59" s="1757">
        <v>31</v>
      </c>
      <c r="AC59" s="1757">
        <v>509</v>
      </c>
      <c r="AD59" s="1757">
        <v>604.16</v>
      </c>
      <c r="AE59" s="1757">
        <v>572.59</v>
      </c>
      <c r="AF59" s="1757">
        <v>442</v>
      </c>
      <c r="AG59" s="1757">
        <v>907.74</v>
      </c>
      <c r="AH59" s="1757">
        <v>784</v>
      </c>
      <c r="AI59" s="1757">
        <v>764</v>
      </c>
      <c r="AJ59" s="1757">
        <v>1761</v>
      </c>
      <c r="AK59" s="1757">
        <v>4289</v>
      </c>
      <c r="AL59" s="1757">
        <v>4762.84</v>
      </c>
      <c r="AM59" s="1757">
        <v>1237</v>
      </c>
      <c r="AN59" s="1757">
        <v>-2043</v>
      </c>
      <c r="AO59" s="1757">
        <v>1559.7429999999999</v>
      </c>
      <c r="AP59" s="1757">
        <v>1417</v>
      </c>
      <c r="AQ59" s="1757">
        <v>1757</v>
      </c>
      <c r="AR59" s="1757">
        <v>2573</v>
      </c>
      <c r="AS59" s="1757">
        <v>2434</v>
      </c>
      <c r="AT59" s="1757">
        <v>3297.72</v>
      </c>
      <c r="AU59" s="1757">
        <v>2157</v>
      </c>
      <c r="AV59" s="1757">
        <v>3094</v>
      </c>
      <c r="AW59" s="1757">
        <v>4456</v>
      </c>
      <c r="AX59" s="1757">
        <v>2884</v>
      </c>
      <c r="AY59" s="1757">
        <v>1923</v>
      </c>
      <c r="AZ59" s="1757">
        <v>2418</v>
      </c>
      <c r="BA59" s="1757">
        <v>1506</v>
      </c>
      <c r="BB59" s="1757">
        <v>554</v>
      </c>
      <c r="BC59" s="1858">
        <v>477</v>
      </c>
      <c r="BD59" s="278">
        <f t="shared" si="17"/>
        <v>4955</v>
      </c>
      <c r="BE59" s="1757">
        <v>1674</v>
      </c>
      <c r="BF59" s="1757">
        <v>645</v>
      </c>
      <c r="BG59" s="1757">
        <v>972</v>
      </c>
      <c r="BH59" s="1858">
        <v>550</v>
      </c>
      <c r="BI59" s="278">
        <f t="shared" si="3"/>
        <v>3841</v>
      </c>
      <c r="BJ59" s="1757">
        <v>2782</v>
      </c>
      <c r="BK59" s="1757">
        <v>1589</v>
      </c>
      <c r="BL59" s="1757">
        <v>1016</v>
      </c>
      <c r="BM59" s="1757">
        <v>-1193</v>
      </c>
      <c r="BN59" s="276">
        <f t="shared" si="4"/>
        <v>4194</v>
      </c>
      <c r="BO59" s="1757">
        <v>-4591</v>
      </c>
      <c r="BP59" s="1757">
        <v>-1719</v>
      </c>
      <c r="BQ59" s="1858">
        <v>-2832</v>
      </c>
      <c r="BR59" s="278">
        <f t="shared" si="5"/>
        <v>-9142</v>
      </c>
      <c r="BS59" s="1756">
        <v>-2188</v>
      </c>
      <c r="BT59" s="278">
        <f t="shared" si="18"/>
        <v>-11330</v>
      </c>
      <c r="BU59" s="1756">
        <v>-1271</v>
      </c>
      <c r="BV59" s="1756">
        <v>18</v>
      </c>
      <c r="BW59" s="1756">
        <v>62</v>
      </c>
      <c r="BX59" s="1757">
        <v>651</v>
      </c>
      <c r="BY59" s="1757">
        <v>464</v>
      </c>
      <c r="BZ59" s="1757">
        <v>967</v>
      </c>
      <c r="CA59" s="1757">
        <v>771</v>
      </c>
      <c r="CB59" s="1757">
        <v>-231</v>
      </c>
      <c r="CC59" s="1757">
        <v>1296</v>
      </c>
      <c r="CD59" s="1757">
        <v>1123</v>
      </c>
      <c r="CE59" s="1757">
        <v>1246</v>
      </c>
      <c r="CF59" s="1757">
        <v>-157</v>
      </c>
      <c r="CG59" s="1757">
        <v>2019</v>
      </c>
      <c r="CH59" s="1757">
        <v>1616</v>
      </c>
      <c r="CI59" s="1757">
        <v>532</v>
      </c>
      <c r="CJ59" s="1757">
        <v>976</v>
      </c>
      <c r="CK59" s="1757">
        <v>-1344</v>
      </c>
      <c r="CL59" s="1757">
        <f>-958-CK59</f>
        <v>386</v>
      </c>
      <c r="CM59" s="1757">
        <v>-846</v>
      </c>
      <c r="CN59" s="1757">
        <v>-184</v>
      </c>
      <c r="CO59" s="1757">
        <v>326</v>
      </c>
      <c r="CP59" s="1757">
        <v>935.39099999999996</v>
      </c>
      <c r="CQ59" s="1757">
        <v>1175.681</v>
      </c>
      <c r="CR59" s="1757">
        <v>644.37699999999995</v>
      </c>
      <c r="CS59" s="1757">
        <v>1572.3810000000001</v>
      </c>
      <c r="CT59" s="1757">
        <v>3061.134</v>
      </c>
      <c r="CU59" s="1757">
        <v>2972.8519999999999</v>
      </c>
      <c r="CV59" s="1757">
        <v>1768.7899999999991</v>
      </c>
      <c r="CW59" s="1757">
        <v>3453.7730000000001</v>
      </c>
      <c r="CX59" s="1757">
        <v>1791.2659999999996</v>
      </c>
      <c r="CY59" s="1757">
        <v>1156.9620000000004</v>
      </c>
      <c r="CZ59" s="1757">
        <v>-1045.6400000000003</v>
      </c>
      <c r="DA59" s="1757">
        <v>115.976</v>
      </c>
      <c r="DB59" s="1757">
        <v>532.09199999999998</v>
      </c>
      <c r="DC59" s="1757">
        <v>-466.45399999999995</v>
      </c>
      <c r="DD59" s="1757">
        <v>-619.77200000000016</v>
      </c>
      <c r="DE59" s="1757">
        <v>-413.03899999999999</v>
      </c>
      <c r="DF59" s="1757">
        <v>138.13200000000001</v>
      </c>
      <c r="DG59" s="1757">
        <v>-850.5630000000001</v>
      </c>
      <c r="DH59" s="1757">
        <v>-318.72399999999993</v>
      </c>
      <c r="DI59" s="1757">
        <v>-322.90499999999997</v>
      </c>
      <c r="DJ59" s="1859" t="s">
        <v>1475</v>
      </c>
      <c r="DK59" s="1855"/>
    </row>
    <row r="60" spans="1:115" ht="4.5" customHeight="1">
      <c r="A60" s="1861"/>
      <c r="B60" s="1870"/>
      <c r="C60" s="1849"/>
      <c r="D60" s="1849"/>
      <c r="E60" s="1849"/>
      <c r="F60" s="1849"/>
      <c r="G60" s="1849"/>
      <c r="H60" s="1872"/>
      <c r="I60" s="1873"/>
      <c r="J60" s="1874"/>
      <c r="K60" s="1872"/>
      <c r="L60" s="1872"/>
      <c r="M60" s="1873"/>
      <c r="N60" s="1874"/>
      <c r="O60" s="1872"/>
      <c r="P60" s="1872"/>
      <c r="Q60" s="1873"/>
      <c r="R60" s="1874"/>
      <c r="S60" s="1872"/>
      <c r="T60" s="1872"/>
      <c r="U60" s="1873"/>
      <c r="V60" s="1874"/>
      <c r="W60" s="1872"/>
      <c r="X60" s="1872"/>
      <c r="Y60" s="1873"/>
      <c r="Z60" s="1874"/>
      <c r="AA60" s="1872"/>
      <c r="AB60" s="1874"/>
      <c r="AC60" s="1872"/>
      <c r="AD60" s="1874"/>
      <c r="AE60" s="1872"/>
      <c r="AF60" s="1872"/>
      <c r="AG60" s="1872"/>
      <c r="AH60" s="1874"/>
      <c r="AI60" s="1872"/>
      <c r="AJ60" s="1872"/>
      <c r="AK60" s="1872"/>
      <c r="AL60" s="1874"/>
      <c r="AM60" s="1872"/>
      <c r="AN60" s="1872"/>
      <c r="AO60" s="1872"/>
      <c r="AP60" s="1874"/>
      <c r="AQ60" s="1872"/>
      <c r="AR60" s="1872"/>
      <c r="AS60" s="1872"/>
      <c r="AT60" s="1872"/>
      <c r="AU60" s="1872"/>
      <c r="AV60" s="1872"/>
      <c r="AW60" s="1872"/>
      <c r="AX60" s="1872"/>
      <c r="AY60" s="1872"/>
      <c r="AZ60" s="1872"/>
      <c r="BA60" s="1872"/>
      <c r="BB60" s="1872"/>
      <c r="BC60" s="1875"/>
      <c r="BD60" s="278"/>
      <c r="BE60" s="1872"/>
      <c r="BF60" s="1872"/>
      <c r="BG60" s="1872"/>
      <c r="BH60" s="1875"/>
      <c r="BI60" s="278"/>
      <c r="BJ60" s="1872"/>
      <c r="BK60" s="1872"/>
      <c r="BL60" s="1872"/>
      <c r="BM60" s="1872"/>
      <c r="BN60" s="276"/>
      <c r="BO60" s="1872"/>
      <c r="BP60" s="1872"/>
      <c r="BQ60" s="1875"/>
      <c r="BR60" s="278">
        <f t="shared" si="5"/>
        <v>0</v>
      </c>
      <c r="BS60" s="1756"/>
      <c r="BT60" s="278">
        <f t="shared" si="18"/>
        <v>0</v>
      </c>
      <c r="BU60" s="1756"/>
      <c r="BV60" s="1756"/>
      <c r="BW60" s="1756"/>
      <c r="BX60" s="1757"/>
      <c r="BY60" s="1757"/>
      <c r="BZ60" s="1757"/>
      <c r="CA60" s="1757"/>
      <c r="CB60" s="1757"/>
      <c r="CC60" s="1757"/>
      <c r="CD60" s="1757"/>
      <c r="CE60" s="1757"/>
      <c r="CF60" s="1757"/>
      <c r="CG60" s="1757"/>
      <c r="CH60" s="1757"/>
      <c r="CI60" s="1757"/>
      <c r="CJ60" s="1757"/>
      <c r="CK60" s="1757"/>
      <c r="CL60" s="1757"/>
      <c r="CM60" s="1757"/>
      <c r="CN60" s="1757"/>
      <c r="CO60" s="1757"/>
      <c r="CP60" s="1757"/>
      <c r="CQ60" s="1757"/>
      <c r="CR60" s="1757"/>
      <c r="CS60" s="1757"/>
      <c r="CT60" s="1757"/>
      <c r="CU60" s="1757"/>
      <c r="CV60" s="1757"/>
      <c r="CW60" s="1757"/>
      <c r="CX60" s="1757"/>
      <c r="CY60" s="1757"/>
      <c r="CZ60" s="1757"/>
      <c r="DA60" s="1757"/>
      <c r="DB60" s="1757"/>
      <c r="DC60" s="1757"/>
      <c r="DD60" s="1757"/>
      <c r="DE60" s="1757"/>
      <c r="DF60" s="1757"/>
      <c r="DG60" s="1757"/>
      <c r="DH60" s="1757"/>
      <c r="DI60" s="1757"/>
      <c r="DJ60" s="1859"/>
      <c r="DK60" s="1855"/>
    </row>
    <row r="61" spans="1:115">
      <c r="A61" s="1876" t="s">
        <v>94</v>
      </c>
      <c r="B61" s="1758">
        <v>0</v>
      </c>
      <c r="C61" s="1758">
        <v>0</v>
      </c>
      <c r="D61" s="1758">
        <v>0</v>
      </c>
      <c r="E61" s="1758">
        <v>0</v>
      </c>
      <c r="F61" s="1758">
        <v>0</v>
      </c>
      <c r="G61" s="1758">
        <v>0</v>
      </c>
      <c r="H61" s="1758">
        <v>0.45400000000000773</v>
      </c>
      <c r="I61" s="1758">
        <v>-0.30799999999999272</v>
      </c>
      <c r="J61" s="1758">
        <v>-0.41399999999998727</v>
      </c>
      <c r="K61" s="1758">
        <v>0</v>
      </c>
      <c r="L61" s="1758">
        <v>-0.12700000000000955</v>
      </c>
      <c r="M61" s="1758">
        <v>0</v>
      </c>
      <c r="N61" s="1758">
        <v>0</v>
      </c>
      <c r="O61" s="1758">
        <v>0.46299999999999386</v>
      </c>
      <c r="P61" s="1758">
        <v>-0.31300000000004502</v>
      </c>
      <c r="Q61" s="1758">
        <v>-0.43099999999998317</v>
      </c>
      <c r="R61" s="1758">
        <v>7.9000000000043258E-2</v>
      </c>
      <c r="S61" s="1758">
        <v>0</v>
      </c>
      <c r="T61" s="1758">
        <v>-0.28999999999996362</v>
      </c>
      <c r="U61" s="1758">
        <v>-0.18200000000013006</v>
      </c>
      <c r="V61" s="1758">
        <v>-0.36000000000012733</v>
      </c>
      <c r="W61" s="1758">
        <v>-0.375</v>
      </c>
      <c r="X61" s="1758">
        <v>0</v>
      </c>
      <c r="Y61" s="1758">
        <v>-1.8999999999948614E-2</v>
      </c>
      <c r="Z61" s="1758">
        <v>0</v>
      </c>
      <c r="AA61" s="1758">
        <v>-0.43900000000007822</v>
      </c>
      <c r="AB61" s="1758">
        <v>-0.43699999999989814</v>
      </c>
      <c r="AC61" s="1758">
        <v>0.33999999999991815</v>
      </c>
      <c r="AD61" s="1758">
        <v>0.20400000000006457</v>
      </c>
      <c r="AE61" s="1758">
        <v>-0.16800000000023374</v>
      </c>
      <c r="AF61" s="1758">
        <v>-0.2729999999996835</v>
      </c>
      <c r="AG61" s="1758">
        <v>-0.35799999999926513</v>
      </c>
      <c r="AH61" s="1758">
        <v>0</v>
      </c>
      <c r="AI61" s="1758">
        <v>0</v>
      </c>
      <c r="AJ61" s="1758">
        <v>0</v>
      </c>
      <c r="AK61" s="1758">
        <v>-0.25800000000072032</v>
      </c>
      <c r="AL61" s="1758">
        <v>0.18300000000090222</v>
      </c>
      <c r="AM61" s="1758">
        <v>0</v>
      </c>
      <c r="AN61" s="1758">
        <v>0.35100000000011278</v>
      </c>
      <c r="AO61" s="1758">
        <v>-0.23199999999951615</v>
      </c>
      <c r="AP61" s="1758">
        <v>0.45100000000002183</v>
      </c>
      <c r="AQ61" s="1758">
        <v>0.38699999999971624</v>
      </c>
      <c r="AR61" s="1758">
        <v>-0.45499999999992724</v>
      </c>
      <c r="AS61" s="1758">
        <v>0.4090000000001055</v>
      </c>
      <c r="AT61" s="1758">
        <v>7.8000000000429281E-2</v>
      </c>
      <c r="AU61" s="1758">
        <v>0.38500000000021828</v>
      </c>
      <c r="AV61" s="1758">
        <v>0.13500000000021828</v>
      </c>
      <c r="AW61" s="1758">
        <v>0.29200000000128057</v>
      </c>
      <c r="AX61" s="1758">
        <v>0</v>
      </c>
      <c r="AY61" s="1758">
        <v>0</v>
      </c>
      <c r="AZ61" s="1758">
        <f t="shared" ref="AZ61:BM61" si="19">AZ7+AZ45-AZ47+AZ58-AZ59</f>
        <v>0</v>
      </c>
      <c r="BA61" s="1758">
        <f t="shared" si="19"/>
        <v>0</v>
      </c>
      <c r="BB61" s="1758">
        <f t="shared" si="19"/>
        <v>0</v>
      </c>
      <c r="BC61" s="1758">
        <f t="shared" si="19"/>
        <v>0</v>
      </c>
      <c r="BD61" s="280">
        <f t="shared" si="19"/>
        <v>0</v>
      </c>
      <c r="BE61" s="1758">
        <v>0</v>
      </c>
      <c r="BF61" s="1758">
        <v>3.999999999996362E-2</v>
      </c>
      <c r="BG61" s="1758">
        <v>0</v>
      </c>
      <c r="BH61" s="1758">
        <v>0</v>
      </c>
      <c r="BI61" s="280">
        <f t="shared" si="19"/>
        <v>3.999999999996362E-2</v>
      </c>
      <c r="BJ61" s="1758">
        <f t="shared" si="19"/>
        <v>0</v>
      </c>
      <c r="BK61" s="1758">
        <f t="shared" si="19"/>
        <v>0</v>
      </c>
      <c r="BL61" s="1758">
        <f t="shared" si="19"/>
        <v>0</v>
      </c>
      <c r="BM61" s="1758">
        <f t="shared" si="19"/>
        <v>0</v>
      </c>
      <c r="BN61" s="276">
        <f>SUM(BJ61:BM61)</f>
        <v>0</v>
      </c>
      <c r="BO61" s="1758">
        <f t="shared" ref="BO61:CE61" si="20">BO7+BO45-BO47+BO58-BO59</f>
        <v>0</v>
      </c>
      <c r="BP61" s="1758">
        <f t="shared" si="20"/>
        <v>0</v>
      </c>
      <c r="BQ61" s="1877">
        <f t="shared" si="20"/>
        <v>0</v>
      </c>
      <c r="BR61" s="281">
        <f t="shared" si="20"/>
        <v>0</v>
      </c>
      <c r="BS61" s="1878">
        <f t="shared" si="20"/>
        <v>0</v>
      </c>
      <c r="BT61" s="282">
        <f t="shared" si="20"/>
        <v>0</v>
      </c>
      <c r="BU61" s="1878">
        <f t="shared" si="20"/>
        <v>0</v>
      </c>
      <c r="BV61" s="1878">
        <f t="shared" si="20"/>
        <v>0</v>
      </c>
      <c r="BW61" s="1878">
        <f t="shared" si="20"/>
        <v>0</v>
      </c>
      <c r="BX61" s="1758">
        <f t="shared" si="20"/>
        <v>0</v>
      </c>
      <c r="BY61" s="1758">
        <f t="shared" si="20"/>
        <v>0</v>
      </c>
      <c r="BZ61" s="1758">
        <f t="shared" si="20"/>
        <v>0</v>
      </c>
      <c r="CA61" s="1758">
        <f t="shared" si="20"/>
        <v>0</v>
      </c>
      <c r="CB61" s="1758">
        <f t="shared" si="20"/>
        <v>0</v>
      </c>
      <c r="CC61" s="1758">
        <f t="shared" si="20"/>
        <v>0</v>
      </c>
      <c r="CD61" s="1758">
        <f t="shared" si="20"/>
        <v>0</v>
      </c>
      <c r="CE61" s="1758">
        <f t="shared" si="20"/>
        <v>0</v>
      </c>
      <c r="CF61" s="1758">
        <f>CF7+CF45-CF47+CF58-CF59</f>
        <v>0</v>
      </c>
      <c r="CG61" s="1758">
        <v>0</v>
      </c>
      <c r="CH61" s="1758">
        <v>0</v>
      </c>
      <c r="CI61" s="1758">
        <v>0</v>
      </c>
      <c r="CJ61" s="1758">
        <v>0</v>
      </c>
      <c r="CK61" s="1758">
        <v>0</v>
      </c>
      <c r="CL61" s="1758">
        <f>CL7+CL45-CL47+CL58-CL59</f>
        <v>0</v>
      </c>
      <c r="CM61" s="1758">
        <v>0</v>
      </c>
      <c r="CN61" s="1758">
        <v>0</v>
      </c>
      <c r="CO61" s="1758">
        <v>0</v>
      </c>
      <c r="CP61" s="1758">
        <v>0</v>
      </c>
      <c r="CQ61" s="1758">
        <v>0</v>
      </c>
      <c r="CR61" s="1758">
        <v>-0.17999999999949523</v>
      </c>
      <c r="CS61" s="1758">
        <v>0</v>
      </c>
      <c r="CT61" s="1758">
        <v>-4.999999964638846E-5</v>
      </c>
      <c r="CU61" s="1758">
        <v>0</v>
      </c>
      <c r="CV61" s="1758">
        <v>4.9999999873762135E-5</v>
      </c>
      <c r="CW61" s="1758">
        <v>0</v>
      </c>
      <c r="CX61" s="1758">
        <v>0</v>
      </c>
      <c r="CY61" s="1758">
        <v>-3.865352482534945E-12</v>
      </c>
      <c r="CZ61" s="1758">
        <v>0</v>
      </c>
      <c r="DA61" s="1758">
        <v>-7.3896444519050419E-13</v>
      </c>
      <c r="DB61" s="1758">
        <v>0</v>
      </c>
      <c r="DC61" s="1758">
        <v>2.6716406864579767E-12</v>
      </c>
      <c r="DD61" s="1758">
        <v>0</v>
      </c>
      <c r="DE61" s="1758">
        <v>0</v>
      </c>
      <c r="DF61" s="1758">
        <v>0</v>
      </c>
      <c r="DG61" s="1758">
        <v>1.5916157281026244E-12</v>
      </c>
      <c r="DH61" s="1758">
        <v>0</v>
      </c>
      <c r="DI61" s="1878">
        <v>-4.5474735088646412E-13</v>
      </c>
      <c r="DJ61" s="1879" t="s">
        <v>95</v>
      </c>
      <c r="DK61" s="1855"/>
    </row>
    <row r="62" spans="1:115" s="1880" customFormat="1" ht="15.75" customHeight="1">
      <c r="A62" s="2093" t="s">
        <v>2675</v>
      </c>
      <c r="B62" s="2093"/>
      <c r="C62" s="2093"/>
      <c r="D62" s="2093"/>
      <c r="E62" s="2093"/>
      <c r="F62" s="2093"/>
      <c r="G62" s="2093"/>
      <c r="H62" s="2093"/>
      <c r="I62" s="2093"/>
      <c r="J62" s="2093"/>
      <c r="K62" s="2093"/>
      <c r="L62" s="2093"/>
      <c r="M62" s="2093"/>
      <c r="N62" s="2093"/>
      <c r="O62" s="2093"/>
      <c r="P62" s="2093"/>
      <c r="Q62" s="2093"/>
      <c r="R62" s="2093"/>
      <c r="S62" s="2093"/>
      <c r="T62" s="2093"/>
      <c r="U62" s="2093"/>
      <c r="V62" s="2093"/>
      <c r="W62" s="2093"/>
      <c r="X62" s="2093"/>
      <c r="Y62" s="2093"/>
      <c r="Z62" s="2093"/>
      <c r="AA62" s="2093"/>
      <c r="AB62" s="2093"/>
      <c r="AC62" s="2093"/>
      <c r="AD62" s="2093"/>
      <c r="AE62" s="2093"/>
      <c r="AF62" s="2093"/>
      <c r="AG62" s="2093"/>
      <c r="AH62" s="2093"/>
      <c r="AI62" s="2093"/>
      <c r="AJ62" s="2093"/>
      <c r="AK62" s="2093"/>
      <c r="AL62" s="2093"/>
      <c r="AM62" s="2093"/>
      <c r="AN62" s="2093"/>
      <c r="AO62" s="2093"/>
      <c r="AP62" s="2093"/>
      <c r="AQ62" s="2093"/>
      <c r="AR62" s="2093"/>
      <c r="AS62" s="2093"/>
      <c r="AT62" s="2093"/>
      <c r="AU62" s="2093"/>
      <c r="AV62" s="2093"/>
      <c r="AW62" s="2093"/>
      <c r="AX62" s="2093"/>
      <c r="AY62" s="2093"/>
      <c r="AZ62" s="2093"/>
      <c r="BA62" s="2093"/>
      <c r="BB62" s="2093"/>
      <c r="BC62" s="2093"/>
      <c r="BD62" s="2093"/>
      <c r="BE62" s="2093"/>
      <c r="BF62" s="2093"/>
      <c r="BG62" s="2093"/>
      <c r="BH62" s="2093"/>
      <c r="BI62" s="2093"/>
      <c r="BJ62" s="2093"/>
      <c r="BK62" s="2093"/>
      <c r="BL62" s="2093"/>
      <c r="BM62" s="2093"/>
      <c r="BN62" s="2093"/>
      <c r="BO62" s="2093"/>
      <c r="BP62" s="2093"/>
      <c r="BQ62" s="2093"/>
      <c r="BR62" s="2093"/>
      <c r="BS62" s="2093"/>
      <c r="BT62" s="2093"/>
      <c r="BU62" s="2093"/>
      <c r="BV62" s="2093"/>
      <c r="BW62" s="2093"/>
      <c r="BX62" s="2093"/>
      <c r="BY62" s="2093"/>
      <c r="BZ62" s="2093"/>
      <c r="CA62" s="2093"/>
      <c r="CB62" s="2093"/>
      <c r="CC62" s="2093"/>
      <c r="CD62" s="2093"/>
      <c r="CE62" s="2093"/>
      <c r="CF62" s="2093"/>
      <c r="CG62" s="2093"/>
      <c r="CH62" s="2093"/>
      <c r="CI62" s="2093"/>
      <c r="CJ62" s="2093"/>
      <c r="CK62" s="2093"/>
      <c r="CL62" s="2093"/>
      <c r="CM62" s="2093"/>
      <c r="CN62" s="2093"/>
      <c r="CO62" s="2093"/>
      <c r="CP62" s="2093"/>
      <c r="CQ62" s="2093"/>
      <c r="CR62" s="2093"/>
      <c r="CS62" s="2093"/>
      <c r="CT62" s="2093"/>
      <c r="CU62" s="2093"/>
      <c r="CV62" s="2093"/>
      <c r="CW62" s="2093"/>
      <c r="CX62" s="2093"/>
      <c r="CY62" s="2093"/>
      <c r="CZ62" s="2093"/>
      <c r="DA62" s="2093"/>
      <c r="DB62" s="2093"/>
      <c r="DC62" s="2093"/>
      <c r="DD62" s="2093"/>
      <c r="DE62" s="2093"/>
      <c r="DF62" s="2093"/>
      <c r="DG62" s="2093"/>
      <c r="DH62" s="2093"/>
      <c r="DI62" s="2093"/>
      <c r="DJ62" s="2093"/>
    </row>
    <row r="63" spans="1:115" s="1880" customFormat="1" ht="15.75" customHeight="1">
      <c r="A63" s="2093" t="s">
        <v>2673</v>
      </c>
      <c r="B63" s="2093"/>
      <c r="C63" s="2093"/>
      <c r="D63" s="2093"/>
      <c r="E63" s="2093"/>
      <c r="F63" s="2093"/>
      <c r="G63" s="2093"/>
      <c r="H63" s="2093"/>
      <c r="I63" s="2093"/>
      <c r="J63" s="2093"/>
      <c r="K63" s="2093"/>
      <c r="L63" s="2093"/>
      <c r="M63" s="2093"/>
      <c r="N63" s="2093"/>
      <c r="O63" s="2093"/>
      <c r="P63" s="2093"/>
      <c r="Q63" s="2093"/>
      <c r="R63" s="2093"/>
      <c r="S63" s="2093"/>
      <c r="T63" s="2093"/>
      <c r="U63" s="2093"/>
      <c r="V63" s="2093"/>
      <c r="W63" s="2093"/>
      <c r="X63" s="2093"/>
      <c r="Y63" s="2093"/>
      <c r="Z63" s="2093"/>
      <c r="AA63" s="2093"/>
      <c r="AB63" s="2093"/>
      <c r="AC63" s="2093"/>
      <c r="AD63" s="2093"/>
      <c r="AE63" s="2093"/>
      <c r="AF63" s="2093"/>
      <c r="AG63" s="2093"/>
      <c r="AH63" s="2093"/>
      <c r="AI63" s="2093"/>
      <c r="AJ63" s="2093"/>
      <c r="AK63" s="2093"/>
      <c r="AL63" s="2093"/>
      <c r="AM63" s="2093"/>
      <c r="AN63" s="2093"/>
      <c r="AO63" s="2093"/>
      <c r="AP63" s="2093"/>
      <c r="AQ63" s="2093"/>
      <c r="AR63" s="2093"/>
      <c r="AS63" s="2093"/>
      <c r="AT63" s="2093"/>
      <c r="AU63" s="2093"/>
      <c r="AV63" s="2093"/>
      <c r="AW63" s="2093"/>
      <c r="AX63" s="2093"/>
      <c r="AY63" s="2093"/>
      <c r="AZ63" s="2093"/>
      <c r="BA63" s="2093"/>
      <c r="BB63" s="2093"/>
      <c r="BC63" s="2093"/>
      <c r="BD63" s="2093"/>
      <c r="BE63" s="2093"/>
      <c r="BF63" s="2093"/>
      <c r="BG63" s="2093"/>
      <c r="BH63" s="2093"/>
      <c r="BI63" s="2093"/>
      <c r="BJ63" s="2093"/>
      <c r="BK63" s="2093"/>
      <c r="BL63" s="2093"/>
      <c r="BM63" s="2093"/>
      <c r="BN63" s="2093"/>
      <c r="BO63" s="2093"/>
      <c r="BP63" s="2093"/>
      <c r="BQ63" s="2093"/>
      <c r="BR63" s="2093"/>
      <c r="BS63" s="2093"/>
      <c r="BT63" s="2093"/>
      <c r="BU63" s="2093"/>
      <c r="BV63" s="2093"/>
      <c r="BW63" s="2093"/>
      <c r="BX63" s="2093"/>
      <c r="BY63" s="2093"/>
      <c r="BZ63" s="2093"/>
      <c r="CA63" s="2093"/>
      <c r="CB63" s="2093"/>
      <c r="CC63" s="2093"/>
      <c r="CD63" s="2093"/>
      <c r="CE63" s="2093"/>
      <c r="CF63" s="2093"/>
      <c r="CG63" s="2093"/>
      <c r="CH63" s="2093"/>
      <c r="CI63" s="2093"/>
      <c r="CJ63" s="2093"/>
      <c r="CK63" s="2093"/>
      <c r="CL63" s="2093"/>
      <c r="CM63" s="2093"/>
      <c r="CN63" s="2093"/>
      <c r="CO63" s="2093"/>
      <c r="CP63" s="2093"/>
      <c r="CQ63" s="2093"/>
      <c r="CR63" s="2093"/>
      <c r="CS63" s="2093"/>
      <c r="CT63" s="2093"/>
      <c r="CU63" s="2093"/>
      <c r="CV63" s="2093"/>
      <c r="CW63" s="2093"/>
      <c r="CX63" s="2093"/>
      <c r="CY63" s="2093"/>
      <c r="CZ63" s="2093"/>
      <c r="DA63" s="2093"/>
      <c r="DB63" s="2093"/>
      <c r="DC63" s="2093"/>
      <c r="DD63" s="2093"/>
      <c r="DE63" s="2093"/>
      <c r="DF63" s="2093"/>
      <c r="DG63" s="2093"/>
      <c r="DH63" s="2093"/>
      <c r="DI63" s="2093"/>
      <c r="DJ63" s="2093"/>
    </row>
    <row r="64" spans="1:115" s="1880" customFormat="1" ht="15.75" customHeight="1">
      <c r="A64" s="2093" t="s">
        <v>2674</v>
      </c>
      <c r="B64" s="2093"/>
      <c r="C64" s="2093"/>
      <c r="D64" s="2093"/>
      <c r="E64" s="2093"/>
      <c r="F64" s="2093"/>
      <c r="G64" s="2093"/>
      <c r="H64" s="2093"/>
      <c r="I64" s="2093"/>
      <c r="J64" s="2093"/>
      <c r="K64" s="2093"/>
      <c r="L64" s="2093"/>
      <c r="M64" s="2093"/>
      <c r="N64" s="2093"/>
      <c r="O64" s="2093"/>
      <c r="P64" s="2093"/>
      <c r="Q64" s="2093"/>
      <c r="R64" s="2093"/>
      <c r="S64" s="2093"/>
      <c r="T64" s="2093"/>
      <c r="U64" s="2093"/>
      <c r="V64" s="2093"/>
      <c r="W64" s="2093"/>
      <c r="X64" s="2093"/>
      <c r="Y64" s="2093"/>
      <c r="Z64" s="2093"/>
      <c r="AA64" s="2093"/>
      <c r="AB64" s="2093"/>
      <c r="AC64" s="2093"/>
      <c r="AD64" s="2093"/>
      <c r="AE64" s="2093"/>
      <c r="AF64" s="2093"/>
      <c r="AG64" s="2093"/>
      <c r="AH64" s="2093"/>
      <c r="AI64" s="2093"/>
      <c r="AJ64" s="2093"/>
      <c r="AK64" s="2093"/>
      <c r="AL64" s="2093"/>
      <c r="AM64" s="2093"/>
      <c r="AN64" s="2093"/>
      <c r="AO64" s="2093"/>
      <c r="AP64" s="2093"/>
      <c r="AQ64" s="2093"/>
      <c r="AR64" s="2093"/>
      <c r="AS64" s="2093"/>
      <c r="AT64" s="2093"/>
      <c r="AU64" s="2093"/>
      <c r="AV64" s="2093"/>
      <c r="AW64" s="2093"/>
      <c r="AX64" s="2093"/>
      <c r="AY64" s="2093"/>
      <c r="AZ64" s="2093"/>
      <c r="BA64" s="2093"/>
      <c r="BB64" s="2093"/>
      <c r="BC64" s="2093"/>
      <c r="BD64" s="2093"/>
      <c r="BE64" s="2093"/>
      <c r="BF64" s="2093"/>
      <c r="BG64" s="2093"/>
      <c r="BH64" s="2093"/>
      <c r="BI64" s="2093"/>
      <c r="BJ64" s="2093"/>
      <c r="BK64" s="2093"/>
      <c r="BL64" s="2093"/>
      <c r="BM64" s="2093"/>
      <c r="BN64" s="2093"/>
      <c r="BO64" s="2093"/>
      <c r="BP64" s="2093"/>
      <c r="BQ64" s="2093"/>
      <c r="BR64" s="2093"/>
      <c r="BS64" s="2093"/>
      <c r="BT64" s="2093"/>
      <c r="BU64" s="2093"/>
      <c r="BV64" s="2093"/>
      <c r="BW64" s="2093"/>
      <c r="BX64" s="2093"/>
      <c r="BY64" s="2093"/>
      <c r="BZ64" s="2093"/>
      <c r="CA64" s="2093"/>
      <c r="CB64" s="2093"/>
      <c r="CC64" s="2093"/>
      <c r="CD64" s="2093"/>
      <c r="CE64" s="2093"/>
      <c r="CF64" s="2093"/>
      <c r="CG64" s="2093"/>
      <c r="CH64" s="2093"/>
      <c r="CI64" s="2093"/>
      <c r="CJ64" s="2093"/>
      <c r="CK64" s="2093"/>
      <c r="CL64" s="2093"/>
      <c r="CM64" s="2093"/>
      <c r="CN64" s="2093"/>
      <c r="CO64" s="2093"/>
      <c r="CP64" s="2093"/>
      <c r="CQ64" s="2093"/>
      <c r="CR64" s="2093"/>
      <c r="CS64" s="2093"/>
      <c r="CT64" s="2093"/>
      <c r="CU64" s="2093"/>
      <c r="CV64" s="2093"/>
      <c r="CW64" s="2093"/>
      <c r="CX64" s="2093"/>
      <c r="CY64" s="2093"/>
      <c r="CZ64" s="2093"/>
      <c r="DA64" s="2093"/>
      <c r="DB64" s="2093"/>
      <c r="DC64" s="2093"/>
      <c r="DD64" s="2093"/>
      <c r="DE64" s="2093"/>
      <c r="DF64" s="2093"/>
      <c r="DG64" s="2093"/>
      <c r="DH64" s="2093"/>
      <c r="DI64" s="2093"/>
      <c r="DJ64" s="2093"/>
    </row>
    <row r="154" spans="7:8">
      <c r="G154" s="1881"/>
      <c r="H154" s="1881"/>
    </row>
  </sheetData>
  <mergeCells count="6">
    <mergeCell ref="A64:DJ64"/>
    <mergeCell ref="A2:DJ2"/>
    <mergeCell ref="A3:DJ3"/>
    <mergeCell ref="A5:CF5"/>
    <mergeCell ref="A62:DJ62"/>
    <mergeCell ref="A63:DJ63"/>
  </mergeCells>
  <pageMargins left="0.18" right="0.17" top="0.23" bottom="0.24" header="0.17" footer="0.24"/>
  <pageSetup paperSize="8" scale="56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>
    <tabColor rgb="FF92D050"/>
  </sheetPr>
  <dimension ref="A1:CA18"/>
  <sheetViews>
    <sheetView showGridLines="0" view="pageBreakPreview" zoomScale="70" zoomScaleNormal="90" zoomScaleSheetLayoutView="70" workbookViewId="0">
      <pane xSplit="1" topLeftCell="AM1" activePane="topRight" state="frozen"/>
      <selection activeCell="F40" sqref="F40"/>
      <selection pane="topRight" activeCell="AX40" sqref="AX40"/>
    </sheetView>
  </sheetViews>
  <sheetFormatPr defaultColWidth="9.140625" defaultRowHeight="18"/>
  <cols>
    <col min="1" max="1" width="47.7109375" style="1073" customWidth="1"/>
    <col min="2" max="2" width="16.85546875" style="895" bestFit="1" customWidth="1"/>
    <col min="3" max="13" width="16.85546875" style="895" hidden="1" customWidth="1"/>
    <col min="14" max="14" width="16.85546875" style="895" customWidth="1"/>
    <col min="15" max="25" width="16.85546875" style="895" hidden="1" customWidth="1"/>
    <col min="26" max="26" width="16.85546875" style="895" customWidth="1"/>
    <col min="27" max="37" width="16.85546875" style="895" hidden="1" customWidth="1"/>
    <col min="38" max="43" width="16.85546875" style="895" customWidth="1"/>
    <col min="44" max="45" width="16.85546875" style="895" bestFit="1" customWidth="1"/>
    <col min="46" max="55" width="16.85546875" style="895" customWidth="1"/>
    <col min="56" max="56" width="16.85546875" style="895" bestFit="1" customWidth="1"/>
    <col min="57" max="57" width="40.28515625" style="895" customWidth="1"/>
    <col min="58" max="59" width="19.85546875" style="895" customWidth="1"/>
    <col min="60" max="16384" width="9.140625" style="895"/>
  </cols>
  <sheetData>
    <row r="1" spans="1:79" ht="6" customHeight="1"/>
    <row r="2" spans="1:79" s="896" customFormat="1" ht="30.6" customHeight="1">
      <c r="A2" s="2734" t="s">
        <v>2998</v>
      </c>
      <c r="B2" s="2734"/>
      <c r="C2" s="2734"/>
      <c r="D2" s="2734"/>
      <c r="E2" s="2734"/>
      <c r="F2" s="2734"/>
      <c r="G2" s="2734"/>
      <c r="H2" s="2734"/>
      <c r="I2" s="2734"/>
      <c r="J2" s="2734"/>
      <c r="K2" s="2734"/>
      <c r="L2" s="2734"/>
      <c r="M2" s="2734"/>
      <c r="N2" s="2734"/>
      <c r="O2" s="2734"/>
      <c r="P2" s="2734"/>
      <c r="Q2" s="2734"/>
      <c r="R2" s="2734"/>
      <c r="S2" s="2734"/>
      <c r="T2" s="2734"/>
      <c r="U2" s="2734"/>
      <c r="V2" s="2734"/>
      <c r="W2" s="2734"/>
      <c r="X2" s="2734"/>
      <c r="Y2" s="2734"/>
      <c r="Z2" s="2734"/>
      <c r="AA2" s="2734"/>
      <c r="AB2" s="2734"/>
      <c r="AC2" s="2734"/>
      <c r="AD2" s="2734"/>
      <c r="AE2" s="2734"/>
      <c r="AF2" s="2734"/>
      <c r="AG2" s="2734"/>
      <c r="AH2" s="2734"/>
      <c r="AI2" s="2734"/>
      <c r="AJ2" s="2734"/>
      <c r="AK2" s="2734"/>
      <c r="AL2" s="2734"/>
      <c r="AM2" s="2734"/>
      <c r="AN2" s="2734"/>
      <c r="AO2" s="2734"/>
      <c r="AP2" s="2734"/>
      <c r="AQ2" s="2734"/>
      <c r="AR2" s="2734"/>
      <c r="AS2" s="2734"/>
      <c r="AT2" s="2734"/>
      <c r="AU2" s="2734"/>
      <c r="AV2" s="2734"/>
      <c r="AW2" s="2734"/>
      <c r="AX2" s="2734"/>
      <c r="AY2" s="2734"/>
      <c r="AZ2" s="2734"/>
      <c r="BA2" s="2734"/>
      <c r="BB2" s="2734"/>
      <c r="BC2" s="2734"/>
      <c r="BD2" s="2734"/>
      <c r="BE2" s="2734"/>
    </row>
    <row r="3" spans="1:79" s="896" customFormat="1" ht="38.25" customHeight="1">
      <c r="A3" s="2735" t="s">
        <v>3268</v>
      </c>
      <c r="B3" s="2735"/>
      <c r="C3" s="2735"/>
      <c r="D3" s="2735"/>
      <c r="E3" s="2735"/>
      <c r="F3" s="2735"/>
      <c r="G3" s="2735"/>
      <c r="H3" s="2735"/>
      <c r="I3" s="2735"/>
      <c r="J3" s="2735"/>
      <c r="K3" s="2735"/>
      <c r="L3" s="2735"/>
      <c r="M3" s="2735"/>
      <c r="N3" s="2735"/>
      <c r="O3" s="2735"/>
      <c r="P3" s="2735"/>
      <c r="Q3" s="2735"/>
      <c r="R3" s="2735"/>
      <c r="S3" s="2735"/>
      <c r="T3" s="2735"/>
      <c r="U3" s="2735"/>
      <c r="V3" s="2735"/>
      <c r="W3" s="2735"/>
      <c r="X3" s="2735"/>
      <c r="Y3" s="2735"/>
      <c r="Z3" s="2735"/>
      <c r="AA3" s="2735"/>
      <c r="AB3" s="2735"/>
      <c r="AC3" s="2735"/>
      <c r="AD3" s="2735"/>
      <c r="AE3" s="2735"/>
      <c r="AF3" s="2735"/>
      <c r="AG3" s="2735"/>
      <c r="AH3" s="2735"/>
      <c r="AI3" s="2735"/>
      <c r="AJ3" s="2735"/>
      <c r="AK3" s="2735"/>
      <c r="AL3" s="2735"/>
      <c r="AM3" s="2735"/>
      <c r="AN3" s="2735"/>
      <c r="AO3" s="2735"/>
      <c r="AP3" s="2735"/>
      <c r="AQ3" s="2735"/>
      <c r="AR3" s="2735"/>
      <c r="AS3" s="2735"/>
      <c r="AT3" s="2735"/>
      <c r="AU3" s="2735"/>
      <c r="AV3" s="2735"/>
      <c r="AW3" s="2735"/>
      <c r="AX3" s="2735"/>
      <c r="AY3" s="2735"/>
      <c r="AZ3" s="2735"/>
      <c r="BA3" s="2735"/>
      <c r="BB3" s="2735"/>
      <c r="BC3" s="2735"/>
      <c r="BD3" s="2735"/>
      <c r="BE3" s="2735"/>
    </row>
    <row r="4" spans="1:79" s="896" customFormat="1" ht="16.149999999999999" customHeight="1">
      <c r="A4" s="1076"/>
      <c r="B4" s="1076"/>
      <c r="C4" s="1076"/>
      <c r="D4" s="1076"/>
      <c r="E4" s="1076"/>
      <c r="F4" s="1076"/>
      <c r="G4" s="1076"/>
      <c r="H4" s="1076"/>
      <c r="I4" s="1076"/>
      <c r="J4" s="1076"/>
      <c r="K4" s="1076"/>
      <c r="L4" s="1076"/>
      <c r="M4" s="1076"/>
      <c r="N4" s="1076"/>
      <c r="O4" s="1076"/>
      <c r="P4" s="1076"/>
      <c r="Q4" s="1103"/>
      <c r="R4" s="1103"/>
      <c r="S4" s="1103"/>
      <c r="T4" s="1103"/>
      <c r="U4" s="1103"/>
      <c r="V4" s="1103"/>
      <c r="W4" s="1103"/>
      <c r="X4" s="1103"/>
      <c r="Y4" s="1103"/>
      <c r="Z4" s="1103"/>
      <c r="AA4" s="1103"/>
      <c r="AB4" s="1103"/>
      <c r="AC4" s="1103"/>
      <c r="AD4" s="1103"/>
      <c r="AE4" s="1103"/>
      <c r="AF4" s="1103"/>
      <c r="AG4" s="1103"/>
      <c r="AH4" s="1103"/>
      <c r="AI4" s="1103"/>
      <c r="AJ4" s="1103"/>
      <c r="AK4" s="1103"/>
      <c r="AL4" s="1103"/>
      <c r="AM4" s="1103"/>
      <c r="AN4" s="1103"/>
      <c r="AO4" s="1103"/>
      <c r="AP4" s="1103"/>
      <c r="AQ4" s="1103"/>
      <c r="AR4" s="1103"/>
      <c r="AS4" s="1103"/>
      <c r="AT4" s="1103"/>
      <c r="AU4" s="1103"/>
      <c r="AV4" s="1103"/>
      <c r="AW4" s="1103"/>
      <c r="AX4" s="1103"/>
      <c r="AY4" s="1103"/>
      <c r="AZ4" s="1103"/>
      <c r="BA4" s="1103"/>
      <c r="BB4" s="1103"/>
      <c r="BC4" s="1103"/>
      <c r="BD4" s="1103"/>
      <c r="BE4" s="1103"/>
    </row>
    <row r="5" spans="1:79" s="896" customFormat="1" ht="16.149999999999999" customHeight="1" thickBot="1">
      <c r="A5" s="2736" t="s">
        <v>8</v>
      </c>
      <c r="B5" s="2736"/>
      <c r="C5" s="2736"/>
      <c r="D5" s="2736"/>
      <c r="E5" s="2736"/>
      <c r="F5" s="2736"/>
      <c r="G5" s="2736"/>
      <c r="H5" s="2736"/>
      <c r="I5" s="2736"/>
      <c r="J5" s="2736"/>
      <c r="K5" s="2736"/>
      <c r="L5" s="2736"/>
      <c r="M5" s="2736"/>
      <c r="N5" s="2736"/>
      <c r="O5" s="2736"/>
      <c r="P5" s="2736"/>
      <c r="Q5" s="2736"/>
      <c r="R5" s="2736"/>
      <c r="S5" s="2736"/>
      <c r="T5" s="2736"/>
      <c r="U5" s="2736"/>
      <c r="V5" s="2736"/>
      <c r="W5" s="2736"/>
      <c r="X5" s="2736"/>
      <c r="Y5" s="2736"/>
      <c r="Z5" s="2736"/>
      <c r="AA5" s="2736"/>
      <c r="AB5" s="2736"/>
      <c r="AC5" s="2736"/>
      <c r="AD5" s="2736"/>
      <c r="AE5" s="2736"/>
      <c r="AF5" s="2736"/>
      <c r="AG5" s="2736"/>
      <c r="AH5" s="2736"/>
      <c r="AI5" s="2736"/>
      <c r="AJ5" s="2736"/>
      <c r="AK5" s="2736"/>
      <c r="AL5" s="2736"/>
      <c r="AM5" s="2736"/>
      <c r="AN5" s="2736"/>
      <c r="AO5" s="2736"/>
      <c r="AP5" s="2736"/>
      <c r="AQ5" s="2736"/>
      <c r="AR5" s="2736"/>
      <c r="AS5" s="2736"/>
      <c r="AT5" s="2736"/>
      <c r="AU5" s="2736"/>
      <c r="AV5" s="2736"/>
      <c r="AW5" s="2736"/>
      <c r="AX5" s="2736"/>
      <c r="AY5" s="2736"/>
      <c r="AZ5" s="2736"/>
      <c r="BA5" s="2736"/>
      <c r="BB5" s="2736"/>
      <c r="BC5" s="2736"/>
      <c r="BD5" s="2736"/>
      <c r="BE5" s="2736"/>
    </row>
    <row r="6" spans="1:79" ht="49.5" customHeight="1" thickBot="1">
      <c r="A6" s="1077" t="s">
        <v>2511</v>
      </c>
      <c r="B6" s="1079">
        <v>44561</v>
      </c>
      <c r="C6" s="1079">
        <v>44592</v>
      </c>
      <c r="D6" s="1079">
        <v>44620</v>
      </c>
      <c r="E6" s="1079">
        <v>44651</v>
      </c>
      <c r="F6" s="980">
        <v>44681</v>
      </c>
      <c r="G6" s="980">
        <v>44712</v>
      </c>
      <c r="H6" s="980">
        <v>44742</v>
      </c>
      <c r="I6" s="980">
        <v>44773</v>
      </c>
      <c r="J6" s="980">
        <v>44804</v>
      </c>
      <c r="K6" s="980">
        <v>44834</v>
      </c>
      <c r="L6" s="980">
        <v>44865</v>
      </c>
      <c r="M6" s="980">
        <v>44895</v>
      </c>
      <c r="N6" s="980">
        <v>44926</v>
      </c>
      <c r="O6" s="980">
        <v>44957</v>
      </c>
      <c r="P6" s="980">
        <v>44985</v>
      </c>
      <c r="Q6" s="980">
        <v>45016</v>
      </c>
      <c r="R6" s="980">
        <v>45046</v>
      </c>
      <c r="S6" s="980">
        <v>45077</v>
      </c>
      <c r="T6" s="980">
        <v>45107</v>
      </c>
      <c r="U6" s="980">
        <v>45138</v>
      </c>
      <c r="V6" s="980">
        <v>45169</v>
      </c>
      <c r="W6" s="980">
        <v>45199</v>
      </c>
      <c r="X6" s="980">
        <v>45230</v>
      </c>
      <c r="Y6" s="980">
        <v>45260</v>
      </c>
      <c r="Z6" s="980">
        <v>45291</v>
      </c>
      <c r="AA6" s="980">
        <v>45322</v>
      </c>
      <c r="AB6" s="980">
        <v>45351</v>
      </c>
      <c r="AC6" s="980">
        <v>45382</v>
      </c>
      <c r="AD6" s="980">
        <v>45412</v>
      </c>
      <c r="AE6" s="980">
        <v>45443</v>
      </c>
      <c r="AF6" s="980">
        <v>45473</v>
      </c>
      <c r="AG6" s="980">
        <v>45504</v>
      </c>
      <c r="AH6" s="980">
        <v>45535</v>
      </c>
      <c r="AI6" s="980">
        <v>45565</v>
      </c>
      <c r="AJ6" s="980">
        <v>45596</v>
      </c>
      <c r="AK6" s="980">
        <v>45626</v>
      </c>
      <c r="AL6" s="980">
        <v>45657</v>
      </c>
      <c r="AM6" s="980">
        <v>45688</v>
      </c>
      <c r="AN6" s="980">
        <v>45716</v>
      </c>
      <c r="AO6" s="980">
        <v>45747</v>
      </c>
      <c r="AP6" s="980">
        <v>45777</v>
      </c>
      <c r="AQ6" s="980">
        <v>45808</v>
      </c>
      <c r="AR6" s="980">
        <v>45838</v>
      </c>
      <c r="AS6" s="980">
        <v>45869</v>
      </c>
      <c r="AT6" s="980">
        <v>45900</v>
      </c>
      <c r="AU6" s="980">
        <v>45930</v>
      </c>
      <c r="AV6" s="980">
        <v>45961</v>
      </c>
      <c r="AW6" s="980">
        <v>45991</v>
      </c>
      <c r="AX6" s="980">
        <v>46022</v>
      </c>
      <c r="AY6" s="980">
        <v>46053</v>
      </c>
      <c r="AZ6" s="980">
        <v>46081</v>
      </c>
      <c r="BA6" s="980">
        <v>46112</v>
      </c>
      <c r="BB6" s="980">
        <v>46142</v>
      </c>
      <c r="BC6" s="980">
        <v>46173</v>
      </c>
      <c r="BD6" s="980">
        <v>46203</v>
      </c>
      <c r="BE6" s="1272" t="s">
        <v>3538</v>
      </c>
    </row>
    <row r="7" spans="1:79" ht="47.25" customHeight="1">
      <c r="A7" s="1080" t="s">
        <v>3499</v>
      </c>
      <c r="B7" s="1083">
        <v>9740.0273733666909</v>
      </c>
      <c r="C7" s="1083">
        <v>9746.5470725668401</v>
      </c>
      <c r="D7" s="1083">
        <v>9972.8923026190005</v>
      </c>
      <c r="E7" s="1083">
        <v>10182.345403994599</v>
      </c>
      <c r="F7" s="1082">
        <v>10328.283719864699</v>
      </c>
      <c r="G7" s="1082">
        <v>10414.01018178</v>
      </c>
      <c r="H7" s="1082">
        <v>10481.711144418799</v>
      </c>
      <c r="I7" s="1082">
        <v>10497.0466317302</v>
      </c>
      <c r="J7" s="1082">
        <v>10491.951041574381</v>
      </c>
      <c r="K7" s="1082">
        <v>10780.9439636307</v>
      </c>
      <c r="L7" s="1082">
        <v>10912.557114003699</v>
      </c>
      <c r="M7" s="1082">
        <v>10975.828657382412</v>
      </c>
      <c r="N7" s="1082">
        <v>10855.0619328594</v>
      </c>
      <c r="O7" s="1082">
        <v>10845.560779616701</v>
      </c>
      <c r="P7" s="1082">
        <v>10835.578601880799</v>
      </c>
      <c r="Q7" s="1082">
        <v>10971.3967768488</v>
      </c>
      <c r="R7" s="1082">
        <v>11107.957597250899</v>
      </c>
      <c r="S7" s="1082">
        <v>11170.8055462252</v>
      </c>
      <c r="T7" s="1082">
        <v>11650.5031040751</v>
      </c>
      <c r="U7" s="1082">
        <v>11622.688762838899</v>
      </c>
      <c r="V7" s="1082">
        <v>11821.791771283601</v>
      </c>
      <c r="W7" s="1082">
        <v>12078.6747372461</v>
      </c>
      <c r="X7" s="1082">
        <v>12246.3869346131</v>
      </c>
      <c r="Y7" s="1082">
        <v>12421.2469256614</v>
      </c>
      <c r="Z7" s="1082">
        <v>12616.787114836399</v>
      </c>
      <c r="AA7" s="1082">
        <v>12912.916752994601</v>
      </c>
      <c r="AB7" s="1082">
        <v>13063.7357667661</v>
      </c>
      <c r="AC7" s="1082">
        <v>13201.539828995899</v>
      </c>
      <c r="AD7" s="1082">
        <v>13476.3615803586</v>
      </c>
      <c r="AE7" s="1082">
        <v>13784.729112602799</v>
      </c>
      <c r="AF7" s="1082">
        <v>13874.820979424099</v>
      </c>
      <c r="AG7" s="1082">
        <v>13910.090151055099</v>
      </c>
      <c r="AH7" s="1082">
        <v>13999.8433346194</v>
      </c>
      <c r="AI7" s="1082">
        <v>14407.8515522007</v>
      </c>
      <c r="AJ7" s="1082">
        <v>14628.148740021799</v>
      </c>
      <c r="AK7" s="1082">
        <v>14746.682807200599</v>
      </c>
      <c r="AL7" s="1082">
        <v>14787.1851946734</v>
      </c>
      <c r="AM7" s="1082">
        <v>14709.9177021613</v>
      </c>
      <c r="AN7" s="1082">
        <v>14776.9784619727</v>
      </c>
      <c r="AO7" s="1082">
        <v>14935.0383741286</v>
      </c>
      <c r="AP7" s="1082">
        <v>14952.6763686257</v>
      </c>
      <c r="AQ7" s="1082">
        <v>15099.9752762721</v>
      </c>
      <c r="AR7" s="1082">
        <v>15143.677952681999</v>
      </c>
      <c r="AS7" s="1082">
        <v>15055.8041583171</v>
      </c>
      <c r="AT7" s="1082">
        <v>15091.8031698048</v>
      </c>
      <c r="AU7" s="1082">
        <v>15544.5605541035</v>
      </c>
      <c r="AV7" s="1082">
        <v>15623.432278091201</v>
      </c>
      <c r="AW7" s="1082">
        <v>15804.785106637801</v>
      </c>
      <c r="AX7" s="1082">
        <v>16106.290412771999</v>
      </c>
      <c r="AY7" s="1082">
        <v>15948.8555238715</v>
      </c>
      <c r="AZ7" s="1082">
        <v>16057.9538532386</v>
      </c>
      <c r="BA7" s="1082">
        <v>16214.8339298847</v>
      </c>
      <c r="BB7" s="1082">
        <v>16312.6030860848</v>
      </c>
      <c r="BC7" s="1082">
        <v>16401.738228320501</v>
      </c>
      <c r="BD7" s="1082">
        <v>17179.523389481899</v>
      </c>
      <c r="BE7" s="1301" t="s">
        <v>3622</v>
      </c>
      <c r="BF7" s="1032"/>
      <c r="BG7" s="1072"/>
      <c r="BH7" s="1032"/>
    </row>
    <row r="8" spans="1:79" ht="21.75" customHeight="1">
      <c r="A8" s="1084" t="s">
        <v>2737</v>
      </c>
      <c r="B8" s="1087"/>
      <c r="C8" s="1087"/>
      <c r="D8" s="1087"/>
      <c r="E8" s="1087"/>
      <c r="F8" s="1086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  <c r="AA8" s="1086"/>
      <c r="AB8" s="1086"/>
      <c r="AC8" s="1086"/>
      <c r="AD8" s="1086"/>
      <c r="AE8" s="1086"/>
      <c r="AF8" s="1086"/>
      <c r="AG8" s="1086"/>
      <c r="AH8" s="1086"/>
      <c r="AI8" s="1086"/>
      <c r="AJ8" s="1086"/>
      <c r="AK8" s="1086"/>
      <c r="AL8" s="1086"/>
      <c r="AM8" s="1086"/>
      <c r="AN8" s="1086"/>
      <c r="AO8" s="1086"/>
      <c r="AP8" s="1086"/>
      <c r="AQ8" s="1086"/>
      <c r="AR8" s="1086"/>
      <c r="AS8" s="1086"/>
      <c r="AT8" s="1086"/>
      <c r="AU8" s="1086"/>
      <c r="AV8" s="1086"/>
      <c r="AW8" s="1086"/>
      <c r="AX8" s="1086"/>
      <c r="AY8" s="1086"/>
      <c r="AZ8" s="1086"/>
      <c r="BA8" s="1086"/>
      <c r="BB8" s="1086"/>
      <c r="BC8" s="1086"/>
      <c r="BD8" s="1086"/>
      <c r="BE8" s="1275" t="s">
        <v>3618</v>
      </c>
      <c r="BF8" s="1072"/>
    </row>
    <row r="9" spans="1:79" ht="42.6" customHeight="1" thickBot="1">
      <c r="A9" s="1092" t="s">
        <v>2999</v>
      </c>
      <c r="B9" s="1095">
        <v>1213.2649790600001</v>
      </c>
      <c r="C9" s="1095">
        <v>1194.03473207</v>
      </c>
      <c r="D9" s="1095">
        <v>1188.0018740199998</v>
      </c>
      <c r="E9" s="1095">
        <v>1178.7540949200002</v>
      </c>
      <c r="F9" s="1094">
        <v>1184.3395353399999</v>
      </c>
      <c r="G9" s="1094">
        <v>1173.7740077000003</v>
      </c>
      <c r="H9" s="1094">
        <v>1163.45413992</v>
      </c>
      <c r="I9" s="1094">
        <v>1146.4336508100002</v>
      </c>
      <c r="J9" s="1094">
        <v>1146.9040619899999</v>
      </c>
      <c r="K9" s="1094">
        <v>1123.9078739899999</v>
      </c>
      <c r="L9" s="1094">
        <v>1120.1178053400001</v>
      </c>
      <c r="M9" s="1094">
        <v>1040.7</v>
      </c>
      <c r="N9" s="1094">
        <v>1052.23807848</v>
      </c>
      <c r="O9" s="1094">
        <v>1018.78292154</v>
      </c>
      <c r="P9" s="1094">
        <v>998.07317490000003</v>
      </c>
      <c r="Q9" s="1094">
        <v>979.68243436</v>
      </c>
      <c r="R9" s="1094">
        <v>973.64653018000001</v>
      </c>
      <c r="S9" s="1094">
        <v>967.17990672999997</v>
      </c>
      <c r="T9" s="1094">
        <v>986.26658959999997</v>
      </c>
      <c r="U9" s="1094">
        <v>976.83708845000001</v>
      </c>
      <c r="V9" s="1094">
        <v>976.85497240999996</v>
      </c>
      <c r="W9" s="1094">
        <v>976.34565740000005</v>
      </c>
      <c r="X9" s="1094">
        <v>936.97798589000001</v>
      </c>
      <c r="Y9" s="1094">
        <v>941.50774933000002</v>
      </c>
      <c r="Z9" s="1094">
        <v>999.53326133999997</v>
      </c>
      <c r="AA9" s="1094">
        <v>986.40265442999998</v>
      </c>
      <c r="AB9" s="1094">
        <v>964.94928216000005</v>
      </c>
      <c r="AC9" s="1094">
        <v>975.6</v>
      </c>
      <c r="AD9" s="1094">
        <v>928.87722858999996</v>
      </c>
      <c r="AE9" s="1094">
        <v>966.56776902000001</v>
      </c>
      <c r="AF9" s="1094">
        <v>956.17556998999999</v>
      </c>
      <c r="AG9" s="1094">
        <v>949.67319463000001</v>
      </c>
      <c r="AH9" s="1094">
        <v>950.41038851999997</v>
      </c>
      <c r="AI9" s="1094">
        <v>953.413803559999</v>
      </c>
      <c r="AJ9" s="1094">
        <v>945.29</v>
      </c>
      <c r="AK9" s="1094">
        <v>959.27666303000001</v>
      </c>
      <c r="AL9" s="1094">
        <v>999.23067635999996</v>
      </c>
      <c r="AM9" s="1094">
        <v>977.15036689999999</v>
      </c>
      <c r="AN9" s="1094">
        <v>977.36</v>
      </c>
      <c r="AO9" s="1094">
        <v>984.01009205999901</v>
      </c>
      <c r="AP9" s="1094">
        <v>984.67059744580001</v>
      </c>
      <c r="AQ9" s="1094">
        <v>986.42928970000003</v>
      </c>
      <c r="AR9" s="1094">
        <v>1018.77874558</v>
      </c>
      <c r="AS9" s="1094">
        <v>1027.7757477600001</v>
      </c>
      <c r="AT9" s="1094">
        <v>1063.44042855</v>
      </c>
      <c r="AU9" s="1094">
        <v>1110.65816266</v>
      </c>
      <c r="AV9" s="1094">
        <v>1147.7083838200001</v>
      </c>
      <c r="AW9" s="1094">
        <v>1193.7010415699999</v>
      </c>
      <c r="AX9" s="1094">
        <v>1210.7004286700001</v>
      </c>
      <c r="AY9" s="1094">
        <v>1225.74254492</v>
      </c>
      <c r="AZ9" s="1094">
        <v>1199.4571289400001</v>
      </c>
      <c r="BA9" s="1094">
        <v>1188.1435183200001</v>
      </c>
      <c r="BB9" s="1094">
        <v>1206.03253333</v>
      </c>
      <c r="BC9" s="1094">
        <v>1232.5419313</v>
      </c>
      <c r="BD9" s="1094">
        <v>1245.4072401799999</v>
      </c>
      <c r="BE9" s="1276" t="s">
        <v>3621</v>
      </c>
      <c r="BF9" s="1032"/>
      <c r="BG9" s="1072"/>
      <c r="BH9" s="1032"/>
    </row>
    <row r="10" spans="1:79" s="1263" customFormat="1" ht="30" customHeight="1">
      <c r="A10" s="1265" t="s">
        <v>3261</v>
      </c>
      <c r="B10" s="1262"/>
      <c r="C10" s="1262"/>
      <c r="D10" s="1262"/>
      <c r="E10" s="1262"/>
      <c r="F10" s="1262"/>
      <c r="G10" s="1262"/>
      <c r="H10" s="1262"/>
      <c r="I10" s="1262"/>
      <c r="J10" s="1262"/>
      <c r="K10" s="1262"/>
      <c r="L10" s="1262"/>
      <c r="M10" s="1262"/>
      <c r="N10" s="1262"/>
      <c r="O10" s="1262"/>
      <c r="P10" s="1262"/>
      <c r="Q10" s="1262"/>
      <c r="R10" s="1262"/>
      <c r="S10" s="1262"/>
      <c r="T10" s="1262"/>
      <c r="U10" s="1262"/>
      <c r="V10" s="1262"/>
      <c r="W10" s="1262"/>
      <c r="X10" s="1262"/>
      <c r="Y10" s="1262"/>
      <c r="Z10" s="1262"/>
      <c r="AA10" s="1262"/>
      <c r="AB10" s="1262"/>
      <c r="AC10" s="1262"/>
      <c r="AD10" s="1262"/>
      <c r="AE10" s="1262"/>
      <c r="AF10" s="1262"/>
      <c r="AG10" s="1262"/>
      <c r="AH10" s="1262"/>
      <c r="AI10" s="1262"/>
      <c r="AJ10" s="1262"/>
      <c r="AK10" s="1262"/>
      <c r="AL10" s="1262"/>
      <c r="AM10" s="1262"/>
      <c r="AN10" s="1262"/>
      <c r="AO10" s="1262"/>
      <c r="AP10" s="1262"/>
      <c r="AQ10" s="1262"/>
      <c r="AR10" s="1262"/>
      <c r="AS10" s="1262"/>
      <c r="AT10" s="1262"/>
      <c r="AU10" s="1262"/>
      <c r="AV10" s="1262"/>
      <c r="AW10" s="1262"/>
      <c r="AX10" s="1262"/>
      <c r="AY10" s="1262"/>
      <c r="AZ10" s="1262"/>
      <c r="BA10" s="1262"/>
      <c r="BB10" s="1262"/>
      <c r="BC10" s="1262"/>
      <c r="BD10" s="1262"/>
      <c r="BE10" s="1262"/>
      <c r="BF10" s="1262"/>
      <c r="BG10" s="1262"/>
      <c r="BH10" s="1262"/>
      <c r="BI10" s="1262"/>
      <c r="BJ10" s="1262"/>
      <c r="BK10" s="1262"/>
      <c r="BL10" s="1262"/>
      <c r="BM10" s="1262"/>
      <c r="BN10" s="1262"/>
      <c r="BO10" s="1262"/>
      <c r="BP10" s="1262"/>
      <c r="BQ10" s="1262"/>
      <c r="BR10" s="1262"/>
      <c r="BS10" s="1262"/>
      <c r="BT10" s="1262"/>
      <c r="BU10" s="1262"/>
      <c r="BV10" s="1262"/>
      <c r="BW10" s="1262"/>
      <c r="BX10" s="1262"/>
      <c r="BY10" s="1262"/>
      <c r="BZ10" s="1262"/>
      <c r="CA10" s="1262"/>
    </row>
    <row r="12" spans="1:79">
      <c r="B12" s="1100"/>
      <c r="C12" s="1100"/>
      <c r="D12" s="1100"/>
      <c r="E12" s="1100"/>
      <c r="F12" s="1100"/>
      <c r="G12" s="1100"/>
      <c r="H12" s="1100"/>
      <c r="I12" s="1100"/>
      <c r="J12" s="1101"/>
      <c r="K12" s="1101"/>
      <c r="L12" s="1101"/>
      <c r="M12" s="1101"/>
      <c r="N12" s="1101"/>
      <c r="O12" s="1101"/>
      <c r="P12" s="1101"/>
      <c r="Q12" s="1101"/>
      <c r="R12" s="1101"/>
      <c r="S12" s="1101"/>
      <c r="T12" s="1101"/>
      <c r="U12" s="1101"/>
      <c r="V12" s="1101"/>
      <c r="W12" s="1101"/>
      <c r="X12" s="1101"/>
      <c r="Y12" s="1101"/>
      <c r="Z12" s="1101"/>
      <c r="AA12" s="1101"/>
      <c r="AB12" s="1101"/>
      <c r="AC12" s="1101"/>
      <c r="AD12" s="1101"/>
      <c r="AE12" s="1101"/>
      <c r="AF12" s="1101"/>
      <c r="AG12" s="1101"/>
      <c r="AH12" s="1101"/>
      <c r="AI12" s="1101"/>
      <c r="AJ12" s="1101"/>
      <c r="AK12" s="1101"/>
      <c r="AL12" s="1101"/>
      <c r="AM12" s="1101"/>
      <c r="AN12" s="1101"/>
      <c r="AO12" s="1101"/>
      <c r="AP12" s="1101"/>
      <c r="AQ12" s="1101"/>
      <c r="AR12" s="1101"/>
      <c r="AS12" s="1101"/>
      <c r="AT12" s="1101"/>
      <c r="AU12" s="1101"/>
      <c r="AV12" s="1101"/>
      <c r="AW12" s="1101"/>
      <c r="AX12" s="1101"/>
      <c r="AY12" s="1101"/>
      <c r="AZ12" s="1101"/>
      <c r="BA12" s="1101"/>
      <c r="BB12" s="1101"/>
      <c r="BC12" s="1101"/>
      <c r="BD12" s="1101"/>
    </row>
    <row r="13" spans="1:79">
      <c r="H13" s="1032"/>
      <c r="J13" s="1072"/>
      <c r="K13" s="1072"/>
      <c r="L13" s="1072"/>
      <c r="M13" s="1072"/>
      <c r="N13" s="1072"/>
      <c r="O13" s="1072"/>
      <c r="P13" s="1072"/>
      <c r="Q13" s="1072"/>
      <c r="R13" s="1072"/>
      <c r="S13" s="1072"/>
      <c r="T13" s="1072"/>
      <c r="U13" s="1072"/>
      <c r="V13" s="1072"/>
      <c r="W13" s="1072"/>
      <c r="X13" s="1072"/>
      <c r="Y13" s="1072"/>
      <c r="Z13" s="1072"/>
      <c r="AA13" s="1072"/>
      <c r="AB13" s="1072"/>
      <c r="AC13" s="1072"/>
      <c r="AD13" s="1072"/>
      <c r="AE13" s="1072"/>
      <c r="AF13" s="1072"/>
      <c r="AG13" s="1072"/>
      <c r="AH13" s="1072"/>
      <c r="AI13" s="1072"/>
      <c r="AJ13" s="1072"/>
      <c r="AK13" s="1072"/>
      <c r="AL13" s="1072"/>
      <c r="AM13" s="1072"/>
      <c r="AN13" s="1072"/>
      <c r="AO13" s="1072"/>
      <c r="AP13" s="1072"/>
      <c r="AQ13" s="1072"/>
      <c r="AR13" s="1072"/>
      <c r="AS13" s="1072"/>
      <c r="AT13" s="1072"/>
      <c r="AU13" s="1072"/>
      <c r="AV13" s="1072"/>
      <c r="AW13" s="1072"/>
      <c r="AX13" s="1072"/>
      <c r="AY13" s="1072"/>
      <c r="AZ13" s="1072"/>
      <c r="BA13" s="1072"/>
      <c r="BB13" s="1072"/>
      <c r="BC13" s="1072"/>
      <c r="BD13" s="1072"/>
    </row>
    <row r="14" spans="1:79">
      <c r="H14" s="1032"/>
    </row>
    <row r="15" spans="1:79">
      <c r="H15" s="1032"/>
    </row>
    <row r="18" spans="8:8">
      <c r="H18" s="1099"/>
    </row>
  </sheetData>
  <mergeCells count="3">
    <mergeCell ref="A2:BE2"/>
    <mergeCell ref="A3:BE3"/>
    <mergeCell ref="A5:BE5"/>
  </mergeCells>
  <pageMargins left="0.5" right="0.5" top="0.5" bottom="0.5" header="0.3" footer="0.3"/>
  <pageSetup paperSize="9" scale="28" orientation="landscape" horizontalDpi="4294967295" verticalDpi="4294967295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>
    <tabColor rgb="FF92D050"/>
  </sheetPr>
  <dimension ref="A1:BH25"/>
  <sheetViews>
    <sheetView showGridLines="0" view="pageBreakPreview" zoomScale="60" zoomScaleNormal="70" workbookViewId="0">
      <pane xSplit="1" topLeftCell="Z1" activePane="topRight" state="frozen"/>
      <selection activeCell="F40" sqref="F40"/>
      <selection pane="topRight" activeCell="AT38" sqref="AT38"/>
    </sheetView>
  </sheetViews>
  <sheetFormatPr defaultColWidth="9.140625" defaultRowHeight="18"/>
  <cols>
    <col min="1" max="1" width="56.7109375" style="1073" customWidth="1"/>
    <col min="2" max="2" width="16.85546875" style="895" bestFit="1" customWidth="1"/>
    <col min="3" max="13" width="16.85546875" style="895" hidden="1" customWidth="1"/>
    <col min="14" max="14" width="16.85546875" style="895" bestFit="1" customWidth="1"/>
    <col min="15" max="25" width="16.85546875" style="895" hidden="1" customWidth="1"/>
    <col min="26" max="26" width="16.85546875" style="895" customWidth="1"/>
    <col min="27" max="37" width="16.85546875" style="895" hidden="1" customWidth="1"/>
    <col min="38" max="43" width="16.85546875" style="895" customWidth="1"/>
    <col min="44" max="45" width="16.85546875" style="895" bestFit="1" customWidth="1"/>
    <col min="46" max="55" width="16.85546875" style="895" customWidth="1"/>
    <col min="56" max="56" width="16.85546875" style="895" bestFit="1" customWidth="1"/>
    <col min="57" max="57" width="62.42578125" style="1267" customWidth="1"/>
    <col min="58" max="58" width="10.42578125" style="1032" customWidth="1"/>
    <col min="59" max="59" width="12.42578125" style="1267" bestFit="1" customWidth="1"/>
    <col min="60" max="60" width="9.140625" style="1032"/>
    <col min="61" max="16384" width="9.140625" style="895"/>
  </cols>
  <sheetData>
    <row r="1" spans="1:60" ht="8.4499999999999993" customHeight="1"/>
    <row r="2" spans="1:60" s="896" customFormat="1" ht="30.6" customHeight="1">
      <c r="A2" s="2734" t="s">
        <v>3530</v>
      </c>
      <c r="B2" s="2734"/>
      <c r="C2" s="2734"/>
      <c r="D2" s="2734"/>
      <c r="E2" s="2734"/>
      <c r="F2" s="2734"/>
      <c r="G2" s="2734"/>
      <c r="H2" s="2734"/>
      <c r="I2" s="2734"/>
      <c r="J2" s="2734"/>
      <c r="K2" s="2734"/>
      <c r="L2" s="2734"/>
      <c r="M2" s="2734"/>
      <c r="N2" s="2734"/>
      <c r="O2" s="2734"/>
      <c r="P2" s="2734"/>
      <c r="Q2" s="2734"/>
      <c r="R2" s="2734"/>
      <c r="S2" s="2734"/>
      <c r="T2" s="2734"/>
      <c r="U2" s="2734"/>
      <c r="V2" s="2734"/>
      <c r="W2" s="2734"/>
      <c r="X2" s="2734"/>
      <c r="Y2" s="2734"/>
      <c r="Z2" s="2734"/>
      <c r="AA2" s="2734"/>
      <c r="AB2" s="2734"/>
      <c r="AC2" s="2734"/>
      <c r="AD2" s="2734"/>
      <c r="AE2" s="2734"/>
      <c r="AF2" s="2734"/>
      <c r="AG2" s="2734"/>
      <c r="AH2" s="2734"/>
      <c r="AI2" s="2734"/>
      <c r="AJ2" s="2734"/>
      <c r="AK2" s="2734"/>
      <c r="AL2" s="2734"/>
      <c r="AM2" s="2734"/>
      <c r="AN2" s="2734"/>
      <c r="AO2" s="2734"/>
      <c r="AP2" s="2734"/>
      <c r="AQ2" s="2734"/>
      <c r="AR2" s="2734"/>
      <c r="AS2" s="2734"/>
      <c r="AT2" s="2734"/>
      <c r="AU2" s="2734"/>
      <c r="AV2" s="2734"/>
      <c r="AW2" s="2734"/>
      <c r="AX2" s="2734"/>
      <c r="AY2" s="2734"/>
      <c r="AZ2" s="2734"/>
      <c r="BA2" s="2734"/>
      <c r="BB2" s="2734"/>
      <c r="BC2" s="2734"/>
      <c r="BD2" s="2734"/>
      <c r="BE2" s="2734"/>
    </row>
    <row r="3" spans="1:60" s="896" customFormat="1" ht="38.25" customHeight="1">
      <c r="A3" s="2735" t="s">
        <v>3537</v>
      </c>
      <c r="B3" s="2735"/>
      <c r="C3" s="2735"/>
      <c r="D3" s="2735"/>
      <c r="E3" s="2735"/>
      <c r="F3" s="2735"/>
      <c r="G3" s="2735"/>
      <c r="H3" s="2735"/>
      <c r="I3" s="2735"/>
      <c r="J3" s="2735"/>
      <c r="K3" s="2735"/>
      <c r="L3" s="2735"/>
      <c r="M3" s="2735"/>
      <c r="N3" s="2735"/>
      <c r="O3" s="2735"/>
      <c r="P3" s="2735"/>
      <c r="Q3" s="2735"/>
      <c r="R3" s="2735"/>
      <c r="S3" s="2735"/>
      <c r="T3" s="2735"/>
      <c r="U3" s="2735"/>
      <c r="V3" s="2735"/>
      <c r="W3" s="2735"/>
      <c r="X3" s="2735"/>
      <c r="Y3" s="2735"/>
      <c r="Z3" s="2735"/>
      <c r="AA3" s="2735"/>
      <c r="AB3" s="2735"/>
      <c r="AC3" s="2735"/>
      <c r="AD3" s="2735"/>
      <c r="AE3" s="2735"/>
      <c r="AF3" s="2735"/>
      <c r="AG3" s="2735"/>
      <c r="AH3" s="2735"/>
      <c r="AI3" s="2735"/>
      <c r="AJ3" s="2735"/>
      <c r="AK3" s="2735"/>
      <c r="AL3" s="2735"/>
      <c r="AM3" s="2735"/>
      <c r="AN3" s="2735"/>
      <c r="AO3" s="2735"/>
      <c r="AP3" s="2735"/>
      <c r="AQ3" s="2735"/>
      <c r="AR3" s="2735"/>
      <c r="AS3" s="2735"/>
      <c r="AT3" s="2735"/>
      <c r="AU3" s="2735"/>
      <c r="AV3" s="2735"/>
      <c r="AW3" s="2735"/>
      <c r="AX3" s="2735"/>
      <c r="AY3" s="2735"/>
      <c r="AZ3" s="2735"/>
      <c r="BA3" s="2735"/>
      <c r="BB3" s="2735"/>
      <c r="BC3" s="2735"/>
      <c r="BD3" s="2735"/>
      <c r="BE3" s="2735"/>
    </row>
    <row r="4" spans="1:60" s="896" customFormat="1" ht="19.899999999999999" customHeight="1">
      <c r="A4" s="1076"/>
      <c r="B4" s="1076"/>
      <c r="C4" s="1076"/>
      <c r="D4" s="1076"/>
      <c r="E4" s="1076"/>
      <c r="F4" s="1076"/>
      <c r="G4" s="1076"/>
      <c r="H4" s="1076"/>
      <c r="I4" s="1076"/>
      <c r="J4" s="1076"/>
      <c r="K4" s="1076"/>
      <c r="L4" s="2737"/>
      <c r="M4" s="2737"/>
      <c r="N4" s="2737"/>
      <c r="O4" s="2737"/>
      <c r="P4" s="2737"/>
      <c r="Q4" s="2737"/>
      <c r="R4" s="2737"/>
      <c r="S4" s="2737"/>
      <c r="T4" s="2737"/>
      <c r="U4" s="2737"/>
      <c r="V4" s="2737"/>
      <c r="W4" s="2737"/>
      <c r="X4" s="2737"/>
      <c r="Y4" s="2737"/>
      <c r="Z4" s="2737"/>
      <c r="AA4" s="2737"/>
      <c r="AB4" s="2737"/>
      <c r="AC4" s="2737"/>
      <c r="AD4" s="2737"/>
      <c r="AE4" s="2737"/>
      <c r="AF4" s="2737"/>
      <c r="AG4" s="2737"/>
      <c r="AH4" s="2737"/>
      <c r="AI4" s="2737"/>
      <c r="AJ4" s="2737"/>
      <c r="AK4" s="2737"/>
      <c r="AL4" s="2737"/>
      <c r="AM4" s="2737"/>
      <c r="AN4" s="2737"/>
      <c r="AO4" s="2737"/>
      <c r="AP4" s="2737"/>
      <c r="AQ4" s="2737"/>
      <c r="AR4" s="2737"/>
      <c r="AS4" s="2737"/>
      <c r="AT4" s="2737"/>
      <c r="AU4" s="2737"/>
      <c r="AV4" s="2737"/>
      <c r="AW4" s="2737"/>
      <c r="AX4" s="2737"/>
      <c r="AY4" s="2737"/>
      <c r="AZ4" s="2737"/>
      <c r="BA4" s="2737"/>
      <c r="BB4" s="2737"/>
      <c r="BC4" s="2737"/>
      <c r="BD4" s="2737"/>
      <c r="BE4" s="2737"/>
      <c r="BF4" s="1075"/>
      <c r="BG4" s="1268"/>
      <c r="BH4" s="1075"/>
    </row>
    <row r="5" spans="1:60" s="896" customFormat="1" ht="19.899999999999999" customHeight="1" thickBot="1">
      <c r="A5" s="2738" t="s">
        <v>3633</v>
      </c>
      <c r="B5" s="2738"/>
      <c r="C5" s="2738"/>
      <c r="D5" s="2738"/>
      <c r="E5" s="2738"/>
      <c r="F5" s="2738"/>
      <c r="G5" s="2738"/>
      <c r="H5" s="2738"/>
      <c r="I5" s="2738"/>
      <c r="J5" s="2738"/>
      <c r="K5" s="2738"/>
      <c r="L5" s="2738"/>
      <c r="M5" s="2738"/>
      <c r="N5" s="2738"/>
      <c r="O5" s="2738"/>
      <c r="P5" s="2738"/>
      <c r="Q5" s="2738"/>
      <c r="R5" s="2738"/>
      <c r="S5" s="2738"/>
      <c r="T5" s="2738"/>
      <c r="U5" s="2738"/>
      <c r="V5" s="2738"/>
      <c r="W5" s="2738"/>
      <c r="X5" s="2738"/>
      <c r="Y5" s="2738"/>
      <c r="Z5" s="2738"/>
      <c r="AA5" s="2738"/>
      <c r="AB5" s="2738"/>
      <c r="AC5" s="2738"/>
      <c r="AD5" s="2738"/>
      <c r="AE5" s="2738"/>
      <c r="AF5" s="2738"/>
      <c r="AG5" s="2738"/>
      <c r="AH5" s="2738"/>
      <c r="AI5" s="2738"/>
      <c r="AJ5" s="2738"/>
      <c r="AK5" s="2738"/>
      <c r="AL5" s="2738"/>
      <c r="AM5" s="2738"/>
      <c r="AN5" s="2738"/>
      <c r="AO5" s="2738"/>
      <c r="AP5" s="2738"/>
      <c r="AQ5" s="2738"/>
      <c r="AR5" s="2738"/>
      <c r="AS5" s="2738"/>
      <c r="AT5" s="2738"/>
      <c r="AU5" s="2738"/>
      <c r="AV5" s="2738"/>
      <c r="AW5" s="2738"/>
      <c r="AX5" s="2738"/>
      <c r="AY5" s="2738"/>
      <c r="AZ5" s="2738"/>
      <c r="BA5" s="2738"/>
      <c r="BB5" s="2738"/>
      <c r="BC5" s="2738"/>
      <c r="BD5" s="2738"/>
      <c r="BE5" s="2738"/>
      <c r="BF5" s="1075"/>
      <c r="BG5" s="1268"/>
      <c r="BH5" s="1075"/>
    </row>
    <row r="6" spans="1:60" ht="39.75" customHeight="1" thickBot="1">
      <c r="A6" s="1077"/>
      <c r="B6" s="1079">
        <v>44561</v>
      </c>
      <c r="C6" s="1079">
        <v>44592</v>
      </c>
      <c r="D6" s="1079">
        <v>44620</v>
      </c>
      <c r="E6" s="1079">
        <v>44651</v>
      </c>
      <c r="F6" s="980">
        <v>44681</v>
      </c>
      <c r="G6" s="980">
        <v>44712</v>
      </c>
      <c r="H6" s="980">
        <v>44742</v>
      </c>
      <c r="I6" s="980">
        <v>44773</v>
      </c>
      <c r="J6" s="980">
        <v>44804</v>
      </c>
      <c r="K6" s="980">
        <v>44834</v>
      </c>
      <c r="L6" s="980">
        <v>44865</v>
      </c>
      <c r="M6" s="980">
        <v>44895</v>
      </c>
      <c r="N6" s="980">
        <v>44926</v>
      </c>
      <c r="O6" s="980">
        <v>44957</v>
      </c>
      <c r="P6" s="980">
        <v>44985</v>
      </c>
      <c r="Q6" s="980">
        <v>45016</v>
      </c>
      <c r="R6" s="980">
        <v>45046</v>
      </c>
      <c r="S6" s="980">
        <v>45077</v>
      </c>
      <c r="T6" s="980">
        <v>45107</v>
      </c>
      <c r="U6" s="980">
        <v>45138</v>
      </c>
      <c r="V6" s="980">
        <v>45169</v>
      </c>
      <c r="W6" s="980">
        <v>45199</v>
      </c>
      <c r="X6" s="980">
        <v>45230</v>
      </c>
      <c r="Y6" s="980">
        <v>45260</v>
      </c>
      <c r="Z6" s="980">
        <v>45291</v>
      </c>
      <c r="AA6" s="980">
        <v>45322</v>
      </c>
      <c r="AB6" s="980">
        <v>45351</v>
      </c>
      <c r="AC6" s="980">
        <v>45382</v>
      </c>
      <c r="AD6" s="980">
        <v>45412</v>
      </c>
      <c r="AE6" s="980">
        <v>45443</v>
      </c>
      <c r="AF6" s="980">
        <v>45473</v>
      </c>
      <c r="AG6" s="980">
        <v>45504</v>
      </c>
      <c r="AH6" s="980">
        <v>45535</v>
      </c>
      <c r="AI6" s="980">
        <v>45565</v>
      </c>
      <c r="AJ6" s="980">
        <v>45596</v>
      </c>
      <c r="AK6" s="980">
        <v>45626</v>
      </c>
      <c r="AL6" s="980">
        <v>45657</v>
      </c>
      <c r="AM6" s="980">
        <v>45688</v>
      </c>
      <c r="AN6" s="980">
        <v>45716</v>
      </c>
      <c r="AO6" s="980">
        <v>45747</v>
      </c>
      <c r="AP6" s="980">
        <v>45777</v>
      </c>
      <c r="AQ6" s="980">
        <v>45808</v>
      </c>
      <c r="AR6" s="980">
        <v>45838</v>
      </c>
      <c r="AS6" s="980">
        <v>45869</v>
      </c>
      <c r="AT6" s="980">
        <v>45900</v>
      </c>
      <c r="AU6" s="980">
        <v>45930</v>
      </c>
      <c r="AV6" s="980">
        <v>45961</v>
      </c>
      <c r="AW6" s="980">
        <v>45991</v>
      </c>
      <c r="AX6" s="980">
        <v>46022</v>
      </c>
      <c r="AY6" s="980">
        <v>46053</v>
      </c>
      <c r="AZ6" s="980">
        <v>46081</v>
      </c>
      <c r="BA6" s="980">
        <v>46112</v>
      </c>
      <c r="BB6" s="980">
        <v>46142</v>
      </c>
      <c r="BC6" s="980">
        <v>46173</v>
      </c>
      <c r="BD6" s="980">
        <v>46203</v>
      </c>
      <c r="BE6" s="1272"/>
      <c r="BG6" s="1032"/>
    </row>
    <row r="7" spans="1:60" ht="32.450000000000003" customHeight="1">
      <c r="A7" s="1080" t="s">
        <v>3531</v>
      </c>
      <c r="B7" s="1316">
        <v>747.96612139727995</v>
      </c>
      <c r="C7" s="1083">
        <v>779.29285103293796</v>
      </c>
      <c r="D7" s="1083">
        <v>776.20331534064997</v>
      </c>
      <c r="E7" s="1083">
        <v>811.55172848992504</v>
      </c>
      <c r="F7" s="1082">
        <v>813.76878466246899</v>
      </c>
      <c r="G7" s="1082">
        <v>847.27041464072897</v>
      </c>
      <c r="H7" s="1082">
        <v>826.04233962329999</v>
      </c>
      <c r="I7" s="1082">
        <v>822.61934763950001</v>
      </c>
      <c r="J7" s="1082">
        <v>778.8957381834</v>
      </c>
      <c r="K7" s="1082">
        <v>785.71793831390005</v>
      </c>
      <c r="L7" s="1082">
        <v>779.49977999309999</v>
      </c>
      <c r="M7" s="1082">
        <v>798.05695644037405</v>
      </c>
      <c r="N7" s="1082">
        <v>735.26483616739995</v>
      </c>
      <c r="O7" s="1082">
        <v>751.44527184477795</v>
      </c>
      <c r="P7" s="1082">
        <v>742.33370600740602</v>
      </c>
      <c r="Q7" s="1082">
        <v>749.51505462765704</v>
      </c>
      <c r="R7" s="1082">
        <v>770.33363209690003</v>
      </c>
      <c r="S7" s="1082">
        <v>710.00904105870006</v>
      </c>
      <c r="T7" s="1082">
        <v>730.40149287207191</v>
      </c>
      <c r="U7" s="1082">
        <v>738.38275498660005</v>
      </c>
      <c r="V7" s="1082">
        <v>777.25982567940298</v>
      </c>
      <c r="W7" s="1082">
        <v>770.15494099260002</v>
      </c>
      <c r="X7" s="1082">
        <v>666.6311036300001</v>
      </c>
      <c r="Y7" s="1082">
        <v>662.68681362250004</v>
      </c>
      <c r="Z7" s="1082">
        <v>614.21490875730001</v>
      </c>
      <c r="AA7" s="1082">
        <v>645.35858085769996</v>
      </c>
      <c r="AB7" s="1082">
        <v>672.80754476545906</v>
      </c>
      <c r="AC7" s="1082">
        <v>660.20954244927998</v>
      </c>
      <c r="AD7" s="1082">
        <v>671.21658381889995</v>
      </c>
      <c r="AE7" s="1082">
        <v>690.30409737310003</v>
      </c>
      <c r="AF7" s="1082">
        <v>672.8145148095</v>
      </c>
      <c r="AG7" s="1082">
        <v>687.70237913719996</v>
      </c>
      <c r="AH7" s="1082">
        <v>706.62908687467996</v>
      </c>
      <c r="AI7" s="1082">
        <v>707.32870994778</v>
      </c>
      <c r="AJ7" s="1082">
        <v>703.256118778928</v>
      </c>
      <c r="AK7" s="1082">
        <v>714.89853491405199</v>
      </c>
      <c r="AL7" s="1082">
        <v>655.092674620092</v>
      </c>
      <c r="AM7" s="1082">
        <v>690.63079405487201</v>
      </c>
      <c r="AN7" s="1082">
        <v>698.55094704806595</v>
      </c>
      <c r="AO7" s="1082">
        <v>709.90896111671395</v>
      </c>
      <c r="AP7" s="1082">
        <v>734.10647075108398</v>
      </c>
      <c r="AQ7" s="1082">
        <v>776.39457462903601</v>
      </c>
      <c r="AR7" s="1082">
        <v>787.02360621764399</v>
      </c>
      <c r="AS7" s="1082">
        <v>791.87263916649999</v>
      </c>
      <c r="AT7" s="1082">
        <v>791.20507881074002</v>
      </c>
      <c r="AU7" s="1082">
        <v>797.61768278830004</v>
      </c>
      <c r="AV7" s="1082">
        <v>805.25845640245996</v>
      </c>
      <c r="AW7" s="1082">
        <v>817.97341871100002</v>
      </c>
      <c r="AX7" s="1082">
        <v>762.56802445588198</v>
      </c>
      <c r="AY7" s="1082">
        <v>793.99546124119195</v>
      </c>
      <c r="AZ7" s="1082">
        <v>826.26902946862003</v>
      </c>
      <c r="BA7" s="1082">
        <v>877.08510554049201</v>
      </c>
      <c r="BB7" s="1082">
        <v>872.12273156061997</v>
      </c>
      <c r="BC7" s="1082">
        <v>909.13968020838001</v>
      </c>
      <c r="BD7" s="1082">
        <v>953.53784904226995</v>
      </c>
      <c r="BE7" s="1273" t="s">
        <v>3539</v>
      </c>
      <c r="BG7" s="1269"/>
    </row>
    <row r="8" spans="1:60" ht="32.450000000000003" customHeight="1">
      <c r="A8" s="1084" t="s">
        <v>2737</v>
      </c>
      <c r="B8" s="1317"/>
      <c r="C8" s="1087"/>
      <c r="D8" s="1087"/>
      <c r="E8" s="1087"/>
      <c r="F8" s="1086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  <c r="AA8" s="1086"/>
      <c r="AB8" s="1086"/>
      <c r="AC8" s="1086"/>
      <c r="AD8" s="1086"/>
      <c r="AE8" s="1086"/>
      <c r="AF8" s="1086"/>
      <c r="AG8" s="1086"/>
      <c r="AH8" s="1086"/>
      <c r="AI8" s="1086"/>
      <c r="AJ8" s="1086"/>
      <c r="AK8" s="1086"/>
      <c r="AL8" s="1086"/>
      <c r="AM8" s="1086"/>
      <c r="AN8" s="1086"/>
      <c r="AO8" s="1086"/>
      <c r="AP8" s="1086"/>
      <c r="AQ8" s="1086"/>
      <c r="AR8" s="1086"/>
      <c r="AS8" s="1086"/>
      <c r="AT8" s="1086"/>
      <c r="AU8" s="1086"/>
      <c r="AV8" s="1086"/>
      <c r="AW8" s="1086"/>
      <c r="AX8" s="1086"/>
      <c r="AY8" s="1086"/>
      <c r="AZ8" s="1086"/>
      <c r="BA8" s="1086"/>
      <c r="BB8" s="1086"/>
      <c r="BC8" s="1086"/>
      <c r="BD8" s="1086"/>
      <c r="BE8" s="1275" t="s">
        <v>3634</v>
      </c>
      <c r="BG8" s="1269"/>
    </row>
    <row r="9" spans="1:60" ht="32.450000000000003" customHeight="1">
      <c r="A9" s="1088" t="s">
        <v>3532</v>
      </c>
      <c r="B9" s="1318">
        <v>498.29190249848</v>
      </c>
      <c r="C9" s="1091">
        <v>530.67220717693795</v>
      </c>
      <c r="D9" s="1091">
        <v>532.50298973514998</v>
      </c>
      <c r="E9" s="1091">
        <v>557.28211234132505</v>
      </c>
      <c r="F9" s="1090">
        <v>555.992058712269</v>
      </c>
      <c r="G9" s="1090">
        <v>577.65940722532901</v>
      </c>
      <c r="H9" s="1090">
        <v>551.007209354</v>
      </c>
      <c r="I9" s="1090">
        <v>551.68533845499996</v>
      </c>
      <c r="J9" s="1090">
        <v>519.47482558399997</v>
      </c>
      <c r="K9" s="1090">
        <v>524.98552926800005</v>
      </c>
      <c r="L9" s="1090">
        <v>525.71011963700005</v>
      </c>
      <c r="M9" s="1090">
        <v>536.69645291971597</v>
      </c>
      <c r="N9" s="1090">
        <v>507.32903583900003</v>
      </c>
      <c r="O9" s="1090">
        <v>512.64201199177796</v>
      </c>
      <c r="P9" s="1090">
        <v>499.34126981800603</v>
      </c>
      <c r="Q9" s="1090">
        <v>506.10128448695707</v>
      </c>
      <c r="R9" s="1090">
        <v>522.72524006200001</v>
      </c>
      <c r="S9" s="1090">
        <v>461.714511754</v>
      </c>
      <c r="T9" s="1090">
        <v>475.447409748072</v>
      </c>
      <c r="U9" s="1090">
        <v>480.42049387600002</v>
      </c>
      <c r="V9" s="1090">
        <v>512.98697795870305</v>
      </c>
      <c r="W9" s="1090">
        <v>515.80820426000002</v>
      </c>
      <c r="X9" s="1090">
        <v>426.73220739499999</v>
      </c>
      <c r="Y9" s="1090">
        <v>421.315803415</v>
      </c>
      <c r="Z9" s="1090">
        <v>377.988852033</v>
      </c>
      <c r="AA9" s="1090">
        <v>401.46852347100003</v>
      </c>
      <c r="AB9" s="1090">
        <v>427.48858154200002</v>
      </c>
      <c r="AC9" s="1090">
        <v>417.39822709499998</v>
      </c>
      <c r="AD9" s="1090">
        <v>409.42128040499995</v>
      </c>
      <c r="AE9" s="1090">
        <v>415.81381619000001</v>
      </c>
      <c r="AF9" s="1090">
        <v>406.30505451499999</v>
      </c>
      <c r="AG9" s="1090">
        <v>410.06144528999999</v>
      </c>
      <c r="AH9" s="1090">
        <v>416.86391601399998</v>
      </c>
      <c r="AI9" s="1090">
        <v>427.80675288600003</v>
      </c>
      <c r="AJ9" s="1090">
        <v>412.68589416999998</v>
      </c>
      <c r="AK9" s="1090">
        <v>412.52743362799998</v>
      </c>
      <c r="AL9" s="1090">
        <v>374.789261447</v>
      </c>
      <c r="AM9" s="1090">
        <v>389.43575179200002</v>
      </c>
      <c r="AN9" s="1090">
        <v>382.45398987200002</v>
      </c>
      <c r="AO9" s="1090">
        <v>391.20868507400002</v>
      </c>
      <c r="AP9" s="1090">
        <v>392.95479993599997</v>
      </c>
      <c r="AQ9" s="1090">
        <v>420.75552320000003</v>
      </c>
      <c r="AR9" s="1090">
        <v>430.82185541500002</v>
      </c>
      <c r="AS9" s="1090">
        <v>446.93195079499998</v>
      </c>
      <c r="AT9" s="1090">
        <v>449.37822564099997</v>
      </c>
      <c r="AU9" s="1090">
        <v>450.85121148399998</v>
      </c>
      <c r="AV9" s="1090">
        <v>447.38727523699998</v>
      </c>
      <c r="AW9" s="1090">
        <v>447.75583388500002</v>
      </c>
      <c r="AX9" s="1090">
        <v>428.83640532999999</v>
      </c>
      <c r="AY9" s="1090">
        <v>461.074256521888</v>
      </c>
      <c r="AZ9" s="1090">
        <v>480.05091560175998</v>
      </c>
      <c r="BA9" s="1090">
        <v>507.43118894775597</v>
      </c>
      <c r="BB9" s="1090">
        <v>498.80556949252798</v>
      </c>
      <c r="BC9" s="1090">
        <v>519.207185794</v>
      </c>
      <c r="BD9" s="1090">
        <v>556.67316534099996</v>
      </c>
      <c r="BE9" s="1328" t="s">
        <v>3635</v>
      </c>
      <c r="BG9" s="1269"/>
    </row>
    <row r="10" spans="1:60" ht="32.450000000000003" customHeight="1">
      <c r="A10" s="1088" t="s">
        <v>2513</v>
      </c>
      <c r="B10" s="1318">
        <v>183.42723290079999</v>
      </c>
      <c r="C10" s="1091">
        <v>183.67880127999999</v>
      </c>
      <c r="D10" s="1091">
        <v>182.24322436750001</v>
      </c>
      <c r="E10" s="1091">
        <v>192.14046256660001</v>
      </c>
      <c r="F10" s="1090">
        <v>200.6043716092</v>
      </c>
      <c r="G10" s="1090">
        <v>211.72637038240001</v>
      </c>
      <c r="H10" s="1090">
        <v>221.6629191543</v>
      </c>
      <c r="I10" s="1090">
        <v>218.89212749449999</v>
      </c>
      <c r="J10" s="1090">
        <v>206.80356287239999</v>
      </c>
      <c r="K10" s="1090">
        <v>210.20191709689999</v>
      </c>
      <c r="L10" s="1090">
        <v>206.0706568471</v>
      </c>
      <c r="M10" s="1090">
        <v>215.20629734865801</v>
      </c>
      <c r="N10" s="1090">
        <v>184.92468152039999</v>
      </c>
      <c r="O10" s="1090">
        <v>193.79783089700001</v>
      </c>
      <c r="P10" s="1090">
        <v>200.25648871839999</v>
      </c>
      <c r="Q10" s="1090">
        <v>197.9862618727</v>
      </c>
      <c r="R10" s="1090">
        <v>202.74704447889999</v>
      </c>
      <c r="S10" s="1090">
        <v>207.57209344669999</v>
      </c>
      <c r="T10" s="1090">
        <v>214.674116156</v>
      </c>
      <c r="U10" s="1090">
        <v>216.49010431260001</v>
      </c>
      <c r="V10" s="1090">
        <v>222.0768853017</v>
      </c>
      <c r="W10" s="1090">
        <v>213.8063567236</v>
      </c>
      <c r="X10" s="1090">
        <v>202.249059096</v>
      </c>
      <c r="Y10" s="1090">
        <v>202.82721531449999</v>
      </c>
      <c r="Z10" s="1090">
        <v>196.7861832083</v>
      </c>
      <c r="AA10" s="1090">
        <v>204.7396170227</v>
      </c>
      <c r="AB10" s="1090">
        <v>206.346214329459</v>
      </c>
      <c r="AC10" s="1090">
        <v>203.83212804528</v>
      </c>
      <c r="AD10" s="1090">
        <v>221.82647892490002</v>
      </c>
      <c r="AE10" s="1090">
        <v>233.04548739410001</v>
      </c>
      <c r="AF10" s="1090">
        <v>226.34870245549999</v>
      </c>
      <c r="AG10" s="1090">
        <v>239.45037601819999</v>
      </c>
      <c r="AH10" s="1090">
        <v>253.47508735168</v>
      </c>
      <c r="AI10" s="1090">
        <v>243.67945425278</v>
      </c>
      <c r="AJ10" s="1090">
        <v>256.03753938992799</v>
      </c>
      <c r="AK10" s="1090">
        <v>267.12407841705198</v>
      </c>
      <c r="AL10" s="1090">
        <v>246.30565822409201</v>
      </c>
      <c r="AM10" s="1090">
        <v>267.21371692387203</v>
      </c>
      <c r="AN10" s="1090">
        <v>282.13023863806598</v>
      </c>
      <c r="AO10" s="1090">
        <v>283.57089258471399</v>
      </c>
      <c r="AP10" s="1090">
        <v>306.42444524708401</v>
      </c>
      <c r="AQ10" s="1090">
        <v>319.61923488403602</v>
      </c>
      <c r="AR10" s="1090">
        <v>320.99097558264401</v>
      </c>
      <c r="AS10" s="1090">
        <v>311.64177551149999</v>
      </c>
      <c r="AT10" s="1090">
        <v>310.19831385973998</v>
      </c>
      <c r="AU10" s="1090">
        <v>314.22562254230002</v>
      </c>
      <c r="AV10" s="1090">
        <v>325.76551974346</v>
      </c>
      <c r="AW10" s="1090">
        <v>339.04097536400002</v>
      </c>
      <c r="AX10" s="1090">
        <v>304.60049256388203</v>
      </c>
      <c r="AY10" s="1090">
        <v>303.87120249730401</v>
      </c>
      <c r="AZ10" s="1090">
        <v>314.85015330485999</v>
      </c>
      <c r="BA10" s="1090">
        <v>333.613636010736</v>
      </c>
      <c r="BB10" s="1090">
        <v>343.12099294609197</v>
      </c>
      <c r="BC10" s="1090">
        <v>358.14456303238001</v>
      </c>
      <c r="BD10" s="1090">
        <v>362.66630177926999</v>
      </c>
      <c r="BE10" s="1274" t="s">
        <v>3541</v>
      </c>
      <c r="BG10" s="1269"/>
    </row>
    <row r="11" spans="1:60" ht="32.450000000000003" customHeight="1" thickBot="1">
      <c r="A11" s="1092" t="s">
        <v>2514</v>
      </c>
      <c r="B11" s="1319">
        <v>66.246985998</v>
      </c>
      <c r="C11" s="1095">
        <v>64.941842575999999</v>
      </c>
      <c r="D11" s="1095">
        <v>61.457101238</v>
      </c>
      <c r="E11" s="1095">
        <v>62.129153582000001</v>
      </c>
      <c r="F11" s="1094">
        <v>57.172354341000002</v>
      </c>
      <c r="G11" s="1094">
        <v>57.884637032999997</v>
      </c>
      <c r="H11" s="1094">
        <v>53.372211114999999</v>
      </c>
      <c r="I11" s="1094">
        <v>52.041881689999997</v>
      </c>
      <c r="J11" s="1094">
        <v>52.617349726999997</v>
      </c>
      <c r="K11" s="1094">
        <v>50.530491949000002</v>
      </c>
      <c r="L11" s="1094">
        <v>47.719003508999997</v>
      </c>
      <c r="M11" s="1094">
        <v>46.154206172000002</v>
      </c>
      <c r="N11" s="1094">
        <v>43.011118807999999</v>
      </c>
      <c r="O11" s="1094">
        <v>45.005428956000003</v>
      </c>
      <c r="P11" s="1094">
        <v>42.735947471000003</v>
      </c>
      <c r="Q11" s="1094">
        <v>45.427508267999997</v>
      </c>
      <c r="R11" s="1094">
        <v>44.861347555999998</v>
      </c>
      <c r="S11" s="1094">
        <v>40.722435857999997</v>
      </c>
      <c r="T11" s="1094">
        <v>40.279966967999997</v>
      </c>
      <c r="U11" s="1094">
        <v>41.472156798</v>
      </c>
      <c r="V11" s="1094">
        <v>42.195962418999997</v>
      </c>
      <c r="W11" s="1094">
        <v>40.540380009000003</v>
      </c>
      <c r="X11" s="1094">
        <v>37.649837138999999</v>
      </c>
      <c r="Y11" s="1094">
        <v>38.543794892999998</v>
      </c>
      <c r="Z11" s="1094">
        <v>39.439873515999999</v>
      </c>
      <c r="AA11" s="1094">
        <v>39.150440363999998</v>
      </c>
      <c r="AB11" s="1094">
        <v>38.972748893999999</v>
      </c>
      <c r="AC11" s="1094">
        <v>38.979187308999997</v>
      </c>
      <c r="AD11" s="1094">
        <v>39.968824488999999</v>
      </c>
      <c r="AE11" s="1094">
        <v>41.444793789000002</v>
      </c>
      <c r="AF11" s="1094">
        <v>40.160757838999999</v>
      </c>
      <c r="AG11" s="1094">
        <v>38.190557828999999</v>
      </c>
      <c r="AH11" s="1094">
        <v>36.290083508999999</v>
      </c>
      <c r="AI11" s="1094">
        <v>35.842502809000003</v>
      </c>
      <c r="AJ11" s="1094">
        <v>34.532685219000001</v>
      </c>
      <c r="AK11" s="1094">
        <v>35.247022868999998</v>
      </c>
      <c r="AL11" s="1094">
        <v>33.997754948999997</v>
      </c>
      <c r="AM11" s="1094">
        <v>33.981325339000001</v>
      </c>
      <c r="AN11" s="1094">
        <v>33.966718538000002</v>
      </c>
      <c r="AO11" s="1094">
        <v>35.129383458</v>
      </c>
      <c r="AP11" s="1094">
        <v>34.727225568000001</v>
      </c>
      <c r="AQ11" s="1094">
        <v>36.019816544999998</v>
      </c>
      <c r="AR11" s="1094">
        <v>35.210775220000002</v>
      </c>
      <c r="AS11" s="1094">
        <v>33.298912860000002</v>
      </c>
      <c r="AT11" s="1094">
        <v>31.628539310000001</v>
      </c>
      <c r="AU11" s="1094">
        <v>32.540848762000003</v>
      </c>
      <c r="AV11" s="1094">
        <v>32.105661421999997</v>
      </c>
      <c r="AW11" s="1094">
        <v>31.176609461999998</v>
      </c>
      <c r="AX11" s="1094">
        <v>29.131126561999999</v>
      </c>
      <c r="AY11" s="1094">
        <v>29.050002222</v>
      </c>
      <c r="AZ11" s="1094">
        <v>31.367960562</v>
      </c>
      <c r="BA11" s="1094">
        <v>36.040280582000001</v>
      </c>
      <c r="BB11" s="1094">
        <v>30.196169122000001</v>
      </c>
      <c r="BC11" s="1094">
        <v>31.787931382</v>
      </c>
      <c r="BD11" s="1094">
        <v>34.198381922000003</v>
      </c>
      <c r="BE11" s="1276" t="s">
        <v>3542</v>
      </c>
      <c r="BG11" s="1269"/>
    </row>
    <row r="12" spans="1:60" ht="35.450000000000003" customHeight="1">
      <c r="A12" s="1080" t="s">
        <v>3533</v>
      </c>
      <c r="B12" s="1320">
        <v>4.490053832685921E-2</v>
      </c>
      <c r="C12" s="1321">
        <v>4.6440016885431389E-2</v>
      </c>
      <c r="D12" s="1321">
        <v>4.5323808584905846E-2</v>
      </c>
      <c r="E12" s="1321">
        <v>4.63019249920925E-2</v>
      </c>
      <c r="F12" s="1321">
        <v>4.5615783904374436E-2</v>
      </c>
      <c r="G12" s="1321">
        <v>4.6816892969526298E-2</v>
      </c>
      <c r="H12" s="1321">
        <v>4.5091428032512107E-2</v>
      </c>
      <c r="I12" s="1321">
        <v>4.4497895721106726E-2</v>
      </c>
      <c r="J12" s="1321">
        <v>4.1790973969877958E-2</v>
      </c>
      <c r="K12" s="1321">
        <v>4.1015869805330091E-2</v>
      </c>
      <c r="L12" s="1321">
        <v>4.0034328189734771E-2</v>
      </c>
      <c r="M12" s="1321">
        <v>4.0563673914957792E-2</v>
      </c>
      <c r="N12" s="1321">
        <v>3.7524318349150772E-2</v>
      </c>
      <c r="O12" s="1321">
        <v>3.8203399382471026E-2</v>
      </c>
      <c r="P12" s="1321">
        <v>3.7572383044850347E-2</v>
      </c>
      <c r="Q12" s="1321">
        <v>3.7403571014233784E-2</v>
      </c>
      <c r="R12" s="1321">
        <v>3.7799200768857309E-2</v>
      </c>
      <c r="S12" s="1329">
        <v>3.4367577790346833E-2</v>
      </c>
      <c r="T12" s="1329">
        <v>3.4297210482199678E-2</v>
      </c>
      <c r="U12" s="1329">
        <v>3.454908550266543E-2</v>
      </c>
      <c r="V12" s="1329">
        <v>3.5630932299106875E-2</v>
      </c>
      <c r="W12" s="1329">
        <v>3.4564174563131864E-2</v>
      </c>
      <c r="X12" s="1329">
        <v>2.9681448406282149E-2</v>
      </c>
      <c r="Y12" s="1329">
        <v>2.8962026201269472E-2</v>
      </c>
      <c r="Z12" s="1329">
        <v>2.6494247315473774E-2</v>
      </c>
      <c r="AA12" s="1329">
        <v>2.7384745823449103E-2</v>
      </c>
      <c r="AB12" s="1329">
        <v>2.8549498136391162E-2</v>
      </c>
      <c r="AC12" s="1329">
        <v>2.7391616460427433E-2</v>
      </c>
      <c r="AD12" s="1329">
        <v>2.7236013265079191E-2</v>
      </c>
      <c r="AE12" s="1329">
        <v>2.7438553972078124E-2</v>
      </c>
      <c r="AF12" s="1329">
        <v>2.6458013832482943E-2</v>
      </c>
      <c r="AG12" s="1329">
        <v>2.6764357126638345E-2</v>
      </c>
      <c r="AH12" s="1329">
        <v>2.7099234195129607E-2</v>
      </c>
      <c r="AI12" s="1329">
        <v>2.6485788122164483E-2</v>
      </c>
      <c r="AJ12" s="1329">
        <v>2.5969074576851259E-2</v>
      </c>
      <c r="AK12" s="1329">
        <v>2.6398993015943881E-2</v>
      </c>
      <c r="AL12" s="1329">
        <v>2.3840906250893898E-2</v>
      </c>
      <c r="AM12" s="1329">
        <v>2.5100429386114329E-2</v>
      </c>
      <c r="AN12" s="1329">
        <v>2.5316817982260872E-2</v>
      </c>
      <c r="AO12" s="1329">
        <v>2.5465649626132996E-2</v>
      </c>
      <c r="AP12" s="1329">
        <v>2.6128022860484421E-2</v>
      </c>
      <c r="AQ12" s="1329">
        <v>2.7350834435098996E-2</v>
      </c>
      <c r="AR12" s="1329">
        <v>2.7641878585233315E-2</v>
      </c>
      <c r="AS12" s="1329">
        <v>2.7786775195994536E-2</v>
      </c>
      <c r="AT12" s="1329">
        <v>2.7563405570181547E-2</v>
      </c>
      <c r="AU12" s="1329">
        <v>2.7244479251687673E-2</v>
      </c>
      <c r="AV12" s="1329">
        <v>2.7386150349737917E-2</v>
      </c>
      <c r="AW12" s="1329">
        <v>2.7554617955622061E-2</v>
      </c>
      <c r="AX12" s="1329">
        <v>2.5365624967603383E-2</v>
      </c>
      <c r="AY12" s="1329">
        <v>2.6484124632451009E-2</v>
      </c>
      <c r="AZ12" s="1329">
        <v>2.743361224504701E-2</v>
      </c>
      <c r="BA12" s="1329">
        <v>2.8955926372793067E-2</v>
      </c>
      <c r="BB12" s="1329">
        <v>2.8492162415495216E-2</v>
      </c>
      <c r="BC12" s="1329">
        <v>2.9435498860350545E-2</v>
      </c>
      <c r="BD12" s="1329">
        <v>2.9965356321007067E-2</v>
      </c>
      <c r="BE12" s="1273" t="s">
        <v>3543</v>
      </c>
      <c r="BG12" s="1269"/>
    </row>
    <row r="13" spans="1:60" ht="35.450000000000003" customHeight="1">
      <c r="A13" s="1084" t="s">
        <v>2737</v>
      </c>
      <c r="B13" s="1317"/>
      <c r="C13" s="1087"/>
      <c r="D13" s="1087"/>
      <c r="E13" s="1087"/>
      <c r="F13" s="1086"/>
      <c r="G13" s="1086"/>
      <c r="H13" s="1086"/>
      <c r="I13" s="1086"/>
      <c r="J13" s="1086"/>
      <c r="K13" s="1086"/>
      <c r="L13" s="1086"/>
      <c r="M13" s="1086"/>
      <c r="N13" s="1086"/>
      <c r="O13" s="1086"/>
      <c r="P13" s="1086"/>
      <c r="Q13" s="1086"/>
      <c r="R13" s="1086"/>
      <c r="S13" s="1086"/>
      <c r="T13" s="1086"/>
      <c r="U13" s="1086"/>
      <c r="V13" s="1086"/>
      <c r="W13" s="1086"/>
      <c r="X13" s="1086"/>
      <c r="Y13" s="1086"/>
      <c r="Z13" s="1086"/>
      <c r="AA13" s="1086"/>
      <c r="AB13" s="1086"/>
      <c r="AC13" s="1086"/>
      <c r="AD13" s="1086"/>
      <c r="AE13" s="1086"/>
      <c r="AF13" s="1086"/>
      <c r="AG13" s="1086"/>
      <c r="AH13" s="1086"/>
      <c r="AI13" s="1086"/>
      <c r="AJ13" s="1086"/>
      <c r="AK13" s="1086"/>
      <c r="AL13" s="1086"/>
      <c r="AM13" s="1086"/>
      <c r="AN13" s="1086"/>
      <c r="AO13" s="1086"/>
      <c r="AP13" s="1086"/>
      <c r="AQ13" s="1086"/>
      <c r="AR13" s="1086"/>
      <c r="AS13" s="1086"/>
      <c r="AT13" s="1086"/>
      <c r="AU13" s="1086"/>
      <c r="AV13" s="1086"/>
      <c r="AW13" s="1086"/>
      <c r="AX13" s="1086"/>
      <c r="AY13" s="1086"/>
      <c r="AZ13" s="1086"/>
      <c r="BA13" s="1086"/>
      <c r="BB13" s="1086"/>
      <c r="BC13" s="1086"/>
      <c r="BD13" s="1086"/>
      <c r="BE13" s="1275" t="s">
        <v>3634</v>
      </c>
      <c r="BG13" s="1269"/>
    </row>
    <row r="14" spans="1:60" ht="48" customHeight="1">
      <c r="A14" s="1088" t="s">
        <v>3534</v>
      </c>
      <c r="B14" s="1322">
        <v>5.1163443964925753E-2</v>
      </c>
      <c r="C14" s="1323">
        <v>5.4451622869223046E-2</v>
      </c>
      <c r="D14" s="1323">
        <v>5.3399260494625719E-2</v>
      </c>
      <c r="E14" s="1323">
        <v>5.4734447875767783E-2</v>
      </c>
      <c r="F14" s="1323">
        <v>5.3835817370095858E-2</v>
      </c>
      <c r="G14" s="1323">
        <v>5.5473353518712937E-2</v>
      </c>
      <c r="H14" s="1323">
        <v>5.2572107479085688E-2</v>
      </c>
      <c r="I14" s="1323">
        <v>5.2559895479167992E-2</v>
      </c>
      <c r="J14" s="1323">
        <v>4.9515170473005417E-2</v>
      </c>
      <c r="K14" s="1323">
        <v>4.8698973456407182E-2</v>
      </c>
      <c r="L14" s="1323">
        <v>4.8174787462269025E-2</v>
      </c>
      <c r="M14" s="1323">
        <v>4.8898034915908703E-2</v>
      </c>
      <c r="N14" s="1323">
        <v>4.6736632087124037E-2</v>
      </c>
      <c r="O14" s="1323">
        <v>4.7267450933034701E-2</v>
      </c>
      <c r="P14" s="1323">
        <v>4.6083489231607093E-2</v>
      </c>
      <c r="Q14" s="1323">
        <v>4.6129157005323371E-2</v>
      </c>
      <c r="R14" s="1323">
        <v>4.7058627608676587E-2</v>
      </c>
      <c r="S14" s="1324">
        <v>4.1332248587034173E-2</v>
      </c>
      <c r="T14" s="1324">
        <v>4.0809174118993242E-2</v>
      </c>
      <c r="U14" s="1324">
        <v>4.1334712103110204E-2</v>
      </c>
      <c r="V14" s="1324">
        <v>4.3393335619800327E-2</v>
      </c>
      <c r="W14" s="1324">
        <v>4.2704039597112511E-2</v>
      </c>
      <c r="X14" s="1324">
        <v>3.484610159031102E-2</v>
      </c>
      <c r="Y14" s="1324">
        <v>3.3918962076552227E-2</v>
      </c>
      <c r="Z14" s="1324">
        <v>2.9959200277582029E-2</v>
      </c>
      <c r="AA14" s="1324">
        <v>3.1090460130000955E-2</v>
      </c>
      <c r="AB14" s="1324">
        <v>3.310550123719045E-2</v>
      </c>
      <c r="AC14" s="1324">
        <v>3.1617389524381492E-2</v>
      </c>
      <c r="AD14" s="1324">
        <v>3.0380698674760953E-2</v>
      </c>
      <c r="AE14" s="1324">
        <v>3.0164815920092247E-2</v>
      </c>
      <c r="AF14" s="1324">
        <v>2.9283625000822495E-2</v>
      </c>
      <c r="AG14" s="1324">
        <v>2.9479423989131823E-2</v>
      </c>
      <c r="AH14" s="1324">
        <v>2.9776327209545369E-2</v>
      </c>
      <c r="AI14" s="1324">
        <v>2.9692612485353896E-2</v>
      </c>
      <c r="AJ14" s="1324">
        <v>2.8211764967969895E-2</v>
      </c>
      <c r="AK14" s="1324">
        <v>2.8200932391352292E-2</v>
      </c>
      <c r="AL14" s="1324">
        <v>2.5345544572066735E-2</v>
      </c>
      <c r="AM14" s="1324">
        <v>2.6474366456501724E-2</v>
      </c>
      <c r="AN14" s="1324">
        <v>2.5881745098039692E-2</v>
      </c>
      <c r="AO14" s="1324">
        <v>2.619401941086914E-2</v>
      </c>
      <c r="AP14" s="1324">
        <v>2.6279897340687006E-2</v>
      </c>
      <c r="AQ14" s="1324">
        <v>2.7864649809140392E-2</v>
      </c>
      <c r="AR14" s="1324">
        <v>2.8448957826569466E-2</v>
      </c>
      <c r="AS14" s="1324">
        <v>2.9685026857107905E-2</v>
      </c>
      <c r="AT14" s="1324">
        <v>2.977631106003964E-2</v>
      </c>
      <c r="AU14" s="1324">
        <v>2.9003792671706174E-2</v>
      </c>
      <c r="AV14" s="1324">
        <v>2.8635658751142212E-2</v>
      </c>
      <c r="AW14" s="1324">
        <v>2.8330396830068161E-2</v>
      </c>
      <c r="AX14" s="1324">
        <v>2.6625398793873753E-2</v>
      </c>
      <c r="AY14" s="1324">
        <v>2.890955127355525E-2</v>
      </c>
      <c r="AZ14" s="1324">
        <v>2.9894899436701417E-2</v>
      </c>
      <c r="BA14" s="1324">
        <v>3.1294257538619405E-2</v>
      </c>
      <c r="BB14" s="1324">
        <v>3.057792596682659E-2</v>
      </c>
      <c r="BC14" s="1324">
        <v>3.1655619579240513E-2</v>
      </c>
      <c r="BD14" s="1324">
        <v>3.2403295057755854E-2</v>
      </c>
      <c r="BE14" s="1274" t="s">
        <v>3630</v>
      </c>
      <c r="BG14" s="1269"/>
    </row>
    <row r="15" spans="1:60" ht="48" customHeight="1">
      <c r="A15" s="1088" t="s">
        <v>3535</v>
      </c>
      <c r="B15" s="1322">
        <v>4.059548067565244E-2</v>
      </c>
      <c r="C15" s="1323">
        <v>3.9783447582528247E-2</v>
      </c>
      <c r="D15" s="1323">
        <v>3.8842771482037602E-2</v>
      </c>
      <c r="E15" s="1323">
        <v>3.9769977941308023E-2</v>
      </c>
      <c r="F15" s="1323">
        <v>4.0603665801285736E-2</v>
      </c>
      <c r="G15" s="1323">
        <v>4.1716648428837898E-2</v>
      </c>
      <c r="H15" s="1323">
        <v>4.2711369298398458E-2</v>
      </c>
      <c r="I15" s="1323">
        <v>4.1183661984252343E-2</v>
      </c>
      <c r="J15" s="1323">
        <v>3.8179214517379184E-2</v>
      </c>
      <c r="K15" s="1323">
        <v>3.7525489871668663E-2</v>
      </c>
      <c r="L15" s="1323">
        <v>3.6173634356742819E-2</v>
      </c>
      <c r="M15" s="1323">
        <v>3.728665030285027E-2</v>
      </c>
      <c r="N15" s="1323">
        <v>3.2137647486949007E-2</v>
      </c>
      <c r="O15" s="1323">
        <v>3.3345204528818312E-2</v>
      </c>
      <c r="P15" s="1323">
        <v>3.4152091282022311E-2</v>
      </c>
      <c r="Q15" s="1323">
        <v>3.3317308645741908E-2</v>
      </c>
      <c r="R15" s="1323">
        <v>3.3388617297801744E-2</v>
      </c>
      <c r="S15" s="1324">
        <v>3.3347449709846884E-2</v>
      </c>
      <c r="T15" s="1324">
        <v>3.3941982162679671E-2</v>
      </c>
      <c r="U15" s="1324">
        <v>3.3953687985135372E-2</v>
      </c>
      <c r="V15" s="1324">
        <v>3.3995615772457001E-2</v>
      </c>
      <c r="W15" s="1324">
        <v>3.2006391075710947E-2</v>
      </c>
      <c r="X15" s="1324">
        <v>2.9956900788338278E-2</v>
      </c>
      <c r="Y15" s="1324">
        <v>2.9524851575466207E-2</v>
      </c>
      <c r="Z15" s="1324">
        <v>2.8367610466870478E-2</v>
      </c>
      <c r="AA15" s="1324">
        <v>2.9215288712304364E-2</v>
      </c>
      <c r="AB15" s="1324">
        <v>2.9444541872215131E-2</v>
      </c>
      <c r="AC15" s="1324">
        <v>2.8540206058409224E-2</v>
      </c>
      <c r="AD15" s="1324">
        <v>3.0275401893672629E-2</v>
      </c>
      <c r="AE15" s="1324">
        <v>3.1155149642843095E-2</v>
      </c>
      <c r="AF15" s="1324">
        <v>2.9650733546924022E-2</v>
      </c>
      <c r="AG15" s="1324">
        <v>3.0836580906672923E-2</v>
      </c>
      <c r="AH15" s="1324">
        <v>3.1768514170454495E-2</v>
      </c>
      <c r="AI15" s="1324">
        <v>2.9889103302093177E-2</v>
      </c>
      <c r="AJ15" s="1324">
        <v>3.093063853280149E-2</v>
      </c>
      <c r="AK15" s="1324">
        <v>3.2269948901292159E-2</v>
      </c>
      <c r="AL15" s="1324">
        <v>2.9165986257746097E-2</v>
      </c>
      <c r="AM15" s="1324">
        <v>3.1246942512784617E-2</v>
      </c>
      <c r="AN15" s="1324">
        <v>3.3020865131628302E-2</v>
      </c>
      <c r="AO15" s="1324">
        <v>3.2959521580074605E-2</v>
      </c>
      <c r="AP15" s="1324">
        <v>3.5029349475626345E-2</v>
      </c>
      <c r="AQ15" s="1324">
        <v>3.5985346016887916E-2</v>
      </c>
      <c r="AR15" s="1324">
        <v>3.6073425472925899E-2</v>
      </c>
      <c r="AS15" s="1324">
        <v>3.4618479268491147E-2</v>
      </c>
      <c r="AT15" s="1324">
        <v>3.4033503819937097E-2</v>
      </c>
      <c r="AU15" s="1324">
        <v>3.4216229641149197E-2</v>
      </c>
      <c r="AV15" s="1324">
        <v>3.5285014739856901E-2</v>
      </c>
      <c r="AW15" s="1324">
        <v>3.6382364776165715E-2</v>
      </c>
      <c r="AX15" s="1324">
        <v>3.2562817134257481E-2</v>
      </c>
      <c r="AY15" s="1324">
        <v>3.2237828729665248E-2</v>
      </c>
      <c r="AZ15" s="1324">
        <v>3.32558854022467E-2</v>
      </c>
      <c r="BA15" s="1324">
        <v>3.5150854849436378E-2</v>
      </c>
      <c r="BB15" s="1324">
        <v>3.5632535915779362E-2</v>
      </c>
      <c r="BC15" s="1324">
        <v>3.6635501871160617E-2</v>
      </c>
      <c r="BD15" s="1324">
        <v>3.6568965542215282E-2</v>
      </c>
      <c r="BE15" s="1274" t="s">
        <v>3631</v>
      </c>
      <c r="BG15" s="1269"/>
    </row>
    <row r="16" spans="1:60" ht="48" customHeight="1" thickBot="1">
      <c r="A16" s="1092" t="s">
        <v>3536</v>
      </c>
      <c r="B16" s="1325">
        <v>2.7595367797202029E-2</v>
      </c>
      <c r="C16" s="1326">
        <v>2.6858652754381929E-2</v>
      </c>
      <c r="D16" s="1326">
        <v>2.4964216847986241E-2</v>
      </c>
      <c r="E16" s="1326">
        <v>2.4708045169572035E-2</v>
      </c>
      <c r="F16" s="1326">
        <v>2.2232780948558028E-2</v>
      </c>
      <c r="G16" s="1326">
        <v>2.2187251303288653E-2</v>
      </c>
      <c r="H16" s="1326">
        <v>2.0151793285652954E-2</v>
      </c>
      <c r="I16" s="1326">
        <v>1.9452279928312718E-2</v>
      </c>
      <c r="J16" s="1326">
        <v>1.9273647901630896E-2</v>
      </c>
      <c r="K16" s="1326">
        <v>1.8211530252674468E-2</v>
      </c>
      <c r="L16" s="1326">
        <v>1.6676110514913533E-2</v>
      </c>
      <c r="M16" s="1326">
        <v>1.5770167686132635E-2</v>
      </c>
      <c r="N16" s="1326">
        <v>1.4408367266789356E-2</v>
      </c>
      <c r="O16" s="1326">
        <v>1.494121841298612E-2</v>
      </c>
      <c r="P16" s="1326">
        <v>1.3974289736287438E-2</v>
      </c>
      <c r="Q16" s="1326">
        <v>1.4537943556006332E-2</v>
      </c>
      <c r="R16" s="1326">
        <v>1.4022108408564981E-2</v>
      </c>
      <c r="S16" s="1330">
        <v>1.2476477765995871E-2</v>
      </c>
      <c r="T16" s="1330">
        <v>1.21288820439852E-2</v>
      </c>
      <c r="U16" s="1330">
        <v>1.2294379017835451E-2</v>
      </c>
      <c r="V16" s="1330">
        <v>1.2195788073689991E-2</v>
      </c>
      <c r="W16" s="1330">
        <v>1.1507035242871499E-2</v>
      </c>
      <c r="X16" s="1330">
        <v>1.0875202224637181E-2</v>
      </c>
      <c r="Y16" s="1330">
        <v>1.0735648007699496E-2</v>
      </c>
      <c r="Z16" s="1330">
        <v>1.086748133692253E-2</v>
      </c>
      <c r="AA16" s="1330">
        <v>1.0739463280168669E-2</v>
      </c>
      <c r="AB16" s="1330">
        <v>1.0690720252005469E-2</v>
      </c>
      <c r="AC16" s="1330">
        <v>1.0369136829743763E-2</v>
      </c>
      <c r="AD16" s="1330">
        <v>1.0405472550139478E-2</v>
      </c>
      <c r="AE16" s="1330">
        <v>1.0645179728920276E-2</v>
      </c>
      <c r="AF16" s="1330">
        <v>1.0242884231363941E-2</v>
      </c>
      <c r="AG16" s="1330">
        <v>9.5013701533919488E-3</v>
      </c>
      <c r="AH16" s="1330">
        <v>8.8578229862036287E-3</v>
      </c>
      <c r="AI16" s="1330">
        <v>8.6464681475719105E-3</v>
      </c>
      <c r="AJ16" s="1330">
        <v>8.2721391643802121E-3</v>
      </c>
      <c r="AK16" s="1330">
        <v>8.4432553232795821E-3</v>
      </c>
      <c r="AL16" s="1330">
        <v>8.0078990512648853E-3</v>
      </c>
      <c r="AM16" s="1330">
        <v>7.9897648851185513E-3</v>
      </c>
      <c r="AN16" s="1330">
        <v>7.952146211205836E-3</v>
      </c>
      <c r="AO16" s="1330">
        <v>8.097181485422331E-3</v>
      </c>
      <c r="AP16" s="1330">
        <v>7.8993858248816197E-3</v>
      </c>
      <c r="AQ16" s="1330">
        <v>8.1777699665345361E-3</v>
      </c>
      <c r="AR16" s="1330">
        <v>7.9478955394958282E-3</v>
      </c>
      <c r="AS16" s="1330">
        <v>7.4994168852204847E-3</v>
      </c>
      <c r="AT16" s="1330">
        <v>7.0307382084110782E-3</v>
      </c>
      <c r="AU16" s="1330">
        <v>7.154635819880655E-3</v>
      </c>
      <c r="AV16" s="1330">
        <v>7.0592600814329441E-3</v>
      </c>
      <c r="AW16" s="1330">
        <v>6.8341029474568993E-3</v>
      </c>
      <c r="AX16" s="1330">
        <v>6.3293918738535696E-3</v>
      </c>
      <c r="AY16" s="1330">
        <v>6.3079811497678759E-3</v>
      </c>
      <c r="AZ16" s="1330">
        <v>6.8289186014129479E-3</v>
      </c>
      <c r="BA16" s="1330">
        <v>7.8611550656090372E-3</v>
      </c>
      <c r="BB16" s="1330">
        <v>6.4698923413034175E-3</v>
      </c>
      <c r="BC16" s="1330">
        <v>6.7516113452474377E-3</v>
      </c>
      <c r="BD16" s="1330">
        <v>7.2385280869786232E-3</v>
      </c>
      <c r="BE16" s="1276" t="s">
        <v>3632</v>
      </c>
      <c r="BG16" s="1269"/>
    </row>
    <row r="17" spans="1:60" s="1097" customFormat="1" ht="45.75" customHeight="1">
      <c r="A17" s="2739" t="s">
        <v>3636</v>
      </c>
      <c r="B17" s="2739"/>
      <c r="C17" s="2739"/>
      <c r="D17" s="2739"/>
      <c r="E17" s="2739"/>
      <c r="F17" s="2739"/>
      <c r="G17" s="2739"/>
      <c r="H17" s="2739"/>
      <c r="I17" s="2739"/>
      <c r="J17" s="2739"/>
      <c r="K17" s="2739"/>
      <c r="L17" s="2739"/>
      <c r="M17" s="2739"/>
      <c r="N17" s="2739"/>
      <c r="O17" s="2739"/>
      <c r="P17" s="2739"/>
      <c r="Q17" s="2739"/>
      <c r="R17" s="2739"/>
      <c r="S17" s="2739"/>
      <c r="T17" s="2739"/>
      <c r="U17" s="2739"/>
      <c r="V17" s="2739"/>
      <c r="W17" s="2739"/>
      <c r="X17" s="2739"/>
      <c r="Y17" s="2739"/>
      <c r="Z17" s="2739"/>
      <c r="AA17" s="2739"/>
      <c r="AB17" s="2739"/>
      <c r="AC17" s="2739"/>
      <c r="AD17" s="2739"/>
      <c r="AE17" s="2739"/>
      <c r="AF17" s="2739"/>
      <c r="AG17" s="2739"/>
      <c r="AH17" s="2739"/>
      <c r="AI17" s="2739"/>
      <c r="AJ17" s="2739"/>
      <c r="AK17" s="2739"/>
      <c r="AL17" s="2739"/>
      <c r="AM17" s="2739"/>
      <c r="AN17" s="2739"/>
      <c r="AO17" s="2739"/>
      <c r="AP17" s="2739"/>
      <c r="AQ17" s="2739"/>
      <c r="AR17" s="2739"/>
      <c r="AS17" s="2739"/>
      <c r="AT17" s="2739"/>
      <c r="AU17" s="2739"/>
      <c r="AV17" s="2739"/>
      <c r="AW17" s="2739"/>
      <c r="AX17" s="2739"/>
      <c r="AY17" s="2739"/>
      <c r="AZ17" s="2739"/>
      <c r="BA17" s="2739"/>
      <c r="BB17" s="2739"/>
      <c r="BC17" s="2739"/>
      <c r="BD17" s="2739"/>
      <c r="BE17" s="2739"/>
      <c r="BF17" s="1098"/>
      <c r="BG17" s="1270"/>
      <c r="BH17" s="1098"/>
    </row>
    <row r="19" spans="1:60" s="1267" customFormat="1">
      <c r="A19" s="1073"/>
      <c r="B19" s="1271"/>
      <c r="C19" s="1271"/>
      <c r="D19" s="1271"/>
      <c r="E19" s="1271"/>
      <c r="F19" s="1271"/>
      <c r="G19" s="1271"/>
      <c r="H19" s="1271"/>
      <c r="I19" s="1271"/>
      <c r="J19" s="1271"/>
      <c r="K19" s="1271"/>
      <c r="L19" s="1271"/>
      <c r="M19" s="1271"/>
      <c r="N19" s="1271"/>
      <c r="O19" s="1271"/>
      <c r="P19" s="1271"/>
      <c r="Q19" s="1271"/>
      <c r="R19" s="1271"/>
      <c r="S19" s="1271"/>
      <c r="T19" s="1271"/>
      <c r="U19" s="1271"/>
      <c r="V19" s="1271"/>
      <c r="W19" s="1271"/>
      <c r="X19" s="1271"/>
      <c r="Y19" s="1271"/>
      <c r="Z19" s="1271"/>
      <c r="AA19" s="1271"/>
      <c r="AB19" s="1271"/>
      <c r="AC19" s="1271"/>
      <c r="AD19" s="1271"/>
      <c r="AE19" s="1271"/>
      <c r="AF19" s="1271"/>
      <c r="AG19" s="1271"/>
      <c r="AH19" s="1271"/>
      <c r="AI19" s="1271"/>
      <c r="AJ19" s="1271"/>
      <c r="AK19" s="1271"/>
      <c r="AL19" s="1271"/>
      <c r="AM19" s="1271"/>
      <c r="AN19" s="1271"/>
      <c r="AO19" s="1271"/>
      <c r="AP19" s="1271"/>
      <c r="AQ19" s="1271"/>
      <c r="AR19" s="1271"/>
      <c r="AS19" s="1271"/>
      <c r="AT19" s="1271"/>
      <c r="AU19" s="1271"/>
      <c r="AV19" s="1271"/>
      <c r="AW19" s="1271"/>
      <c r="AX19" s="1271"/>
      <c r="AY19" s="1271"/>
      <c r="AZ19" s="1271"/>
      <c r="BA19" s="1271"/>
      <c r="BB19" s="1271"/>
      <c r="BC19" s="1271"/>
      <c r="BD19" s="1271"/>
      <c r="BF19" s="1032"/>
      <c r="BH19" s="1032"/>
    </row>
    <row r="20" spans="1:60" s="1267" customFormat="1">
      <c r="A20" s="1073"/>
      <c r="B20" s="1072"/>
      <c r="C20" s="1072"/>
      <c r="D20" s="1072"/>
      <c r="E20" s="1072"/>
      <c r="F20" s="1072"/>
      <c r="G20" s="1072"/>
      <c r="H20" s="1072"/>
      <c r="I20" s="1072"/>
      <c r="J20" s="1072"/>
      <c r="K20" s="1072"/>
      <c r="L20" s="1072"/>
      <c r="M20" s="1072"/>
      <c r="N20" s="1072"/>
      <c r="O20" s="1072"/>
      <c r="P20" s="1072"/>
      <c r="Q20" s="1072"/>
      <c r="R20" s="1072"/>
      <c r="S20" s="1072"/>
      <c r="T20" s="1072"/>
      <c r="U20" s="1072"/>
      <c r="V20" s="1072"/>
      <c r="W20" s="1072"/>
      <c r="X20" s="1072"/>
      <c r="Y20" s="1072"/>
      <c r="Z20" s="1072"/>
      <c r="AA20" s="1072"/>
      <c r="AB20" s="1072"/>
      <c r="AC20" s="1072"/>
      <c r="AD20" s="1072"/>
      <c r="AE20" s="1072"/>
      <c r="AF20" s="1072"/>
      <c r="AG20" s="1072"/>
      <c r="AH20" s="1072"/>
      <c r="AI20" s="1072"/>
      <c r="AJ20" s="1072"/>
      <c r="AK20" s="1072"/>
      <c r="AL20" s="1072"/>
      <c r="AM20" s="1072"/>
      <c r="AN20" s="1072"/>
      <c r="AO20" s="1072"/>
      <c r="AP20" s="1072"/>
      <c r="AQ20" s="1072"/>
      <c r="AR20" s="1072"/>
      <c r="AS20" s="1072"/>
      <c r="AT20" s="1072"/>
      <c r="AU20" s="1072"/>
      <c r="AV20" s="1072"/>
      <c r="AW20" s="1072"/>
      <c r="AX20" s="1072"/>
      <c r="AY20" s="1072"/>
      <c r="AZ20" s="1072"/>
      <c r="BA20" s="1072"/>
      <c r="BB20" s="1072"/>
      <c r="BC20" s="1072"/>
      <c r="BD20" s="1072"/>
      <c r="BF20" s="1032"/>
      <c r="BH20" s="1032"/>
    </row>
    <row r="21" spans="1:60" s="1267" customFormat="1">
      <c r="A21" s="1073"/>
      <c r="B21" s="895"/>
      <c r="C21" s="895"/>
      <c r="D21" s="895"/>
      <c r="E21" s="895"/>
      <c r="F21" s="895"/>
      <c r="G21" s="895"/>
      <c r="H21" s="1032"/>
      <c r="I21" s="895"/>
      <c r="J21" s="895"/>
      <c r="K21" s="895"/>
      <c r="L21" s="895"/>
      <c r="M21" s="895"/>
      <c r="N21" s="895"/>
      <c r="O21" s="895"/>
      <c r="P21" s="895"/>
      <c r="Q21" s="895"/>
      <c r="R21" s="895"/>
      <c r="S21" s="895"/>
      <c r="T21" s="895"/>
      <c r="U21" s="895"/>
      <c r="V21" s="895"/>
      <c r="W21" s="895"/>
      <c r="X21" s="895"/>
      <c r="Y21" s="895"/>
      <c r="Z21" s="895"/>
      <c r="AA21" s="895"/>
      <c r="AB21" s="895"/>
      <c r="AC21" s="895"/>
      <c r="AD21" s="895"/>
      <c r="AE21" s="895"/>
      <c r="AF21" s="895"/>
      <c r="AG21" s="895"/>
      <c r="AH21" s="895"/>
      <c r="AI21" s="895"/>
      <c r="AJ21" s="895"/>
      <c r="AK21" s="895"/>
      <c r="AL21" s="895"/>
      <c r="AM21" s="895"/>
      <c r="AN21" s="895"/>
      <c r="AO21" s="895"/>
      <c r="AP21" s="895"/>
      <c r="AQ21" s="895"/>
      <c r="AR21" s="895"/>
      <c r="AS21" s="895"/>
      <c r="AT21" s="895"/>
      <c r="AU21" s="895"/>
      <c r="AV21" s="895"/>
      <c r="AW21" s="895"/>
      <c r="AX21" s="895"/>
      <c r="AY21" s="895"/>
      <c r="AZ21" s="895"/>
      <c r="BA21" s="895"/>
      <c r="BB21" s="895"/>
      <c r="BC21" s="895"/>
      <c r="BD21" s="895"/>
      <c r="BF21" s="1032"/>
      <c r="BH21" s="1032"/>
    </row>
    <row r="22" spans="1:60" s="1267" customFormat="1">
      <c r="A22" s="1073"/>
      <c r="B22" s="895"/>
      <c r="C22" s="895"/>
      <c r="D22" s="895"/>
      <c r="E22" s="895"/>
      <c r="F22" s="895"/>
      <c r="G22" s="895"/>
      <c r="H22" s="1032"/>
      <c r="I22" s="895"/>
      <c r="J22" s="895"/>
      <c r="K22" s="895"/>
      <c r="L22" s="895"/>
      <c r="M22" s="895"/>
      <c r="N22" s="895"/>
      <c r="O22" s="895"/>
      <c r="P22" s="895"/>
      <c r="Q22" s="895"/>
      <c r="R22" s="895"/>
      <c r="S22" s="895"/>
      <c r="T22" s="895"/>
      <c r="U22" s="895"/>
      <c r="V22" s="895"/>
      <c r="W22" s="895"/>
      <c r="X22" s="895"/>
      <c r="Y22" s="895"/>
      <c r="Z22" s="895"/>
      <c r="AA22" s="895"/>
      <c r="AB22" s="895"/>
      <c r="AC22" s="895"/>
      <c r="AD22" s="895"/>
      <c r="AE22" s="895"/>
      <c r="AF22" s="895"/>
      <c r="AG22" s="895"/>
      <c r="AH22" s="895"/>
      <c r="AI22" s="895"/>
      <c r="AJ22" s="895"/>
      <c r="AK22" s="895"/>
      <c r="AL22" s="895"/>
      <c r="AM22" s="895"/>
      <c r="AN22" s="895"/>
      <c r="AO22" s="895"/>
      <c r="AP22" s="895"/>
      <c r="AQ22" s="895"/>
      <c r="AR22" s="895"/>
      <c r="AS22" s="895"/>
      <c r="AT22" s="895"/>
      <c r="AU22" s="895"/>
      <c r="AV22" s="895"/>
      <c r="AW22" s="895"/>
      <c r="AX22" s="895"/>
      <c r="AY22" s="895"/>
      <c r="AZ22" s="895"/>
      <c r="BA22" s="895"/>
      <c r="BB22" s="895"/>
      <c r="BC22" s="895"/>
      <c r="BD22" s="895"/>
      <c r="BF22" s="1032"/>
      <c r="BH22" s="1032"/>
    </row>
    <row r="25" spans="1:60" s="1267" customFormat="1">
      <c r="A25" s="1073"/>
      <c r="B25" s="895"/>
      <c r="C25" s="895"/>
      <c r="D25" s="895"/>
      <c r="E25" s="895"/>
      <c r="F25" s="895"/>
      <c r="G25" s="895"/>
      <c r="H25" s="1099"/>
      <c r="I25" s="895"/>
      <c r="J25" s="895"/>
      <c r="K25" s="895"/>
      <c r="L25" s="895"/>
      <c r="M25" s="895"/>
      <c r="N25" s="895"/>
      <c r="O25" s="895"/>
      <c r="P25" s="895"/>
      <c r="Q25" s="895"/>
      <c r="R25" s="895"/>
      <c r="S25" s="895"/>
      <c r="T25" s="895"/>
      <c r="U25" s="895"/>
      <c r="V25" s="895"/>
      <c r="W25" s="895"/>
      <c r="X25" s="895"/>
      <c r="Y25" s="895"/>
      <c r="Z25" s="895"/>
      <c r="AA25" s="895"/>
      <c r="AB25" s="895"/>
      <c r="AC25" s="895"/>
      <c r="AD25" s="895"/>
      <c r="AE25" s="895"/>
      <c r="AF25" s="895"/>
      <c r="AG25" s="895"/>
      <c r="AH25" s="895"/>
      <c r="AI25" s="895"/>
      <c r="AJ25" s="895"/>
      <c r="AK25" s="895"/>
      <c r="AL25" s="895"/>
      <c r="AM25" s="895"/>
      <c r="AN25" s="895"/>
      <c r="AO25" s="895"/>
      <c r="AP25" s="895"/>
      <c r="AQ25" s="895"/>
      <c r="AR25" s="895"/>
      <c r="AS25" s="895"/>
      <c r="AT25" s="895"/>
      <c r="AU25" s="895"/>
      <c r="AV25" s="895"/>
      <c r="AW25" s="895"/>
      <c r="AX25" s="895"/>
      <c r="AY25" s="895"/>
      <c r="AZ25" s="895"/>
      <c r="BA25" s="895"/>
      <c r="BB25" s="895"/>
      <c r="BC25" s="895"/>
      <c r="BD25" s="895"/>
      <c r="BF25" s="1032"/>
      <c r="BH25" s="1032"/>
    </row>
  </sheetData>
  <mergeCells count="5">
    <mergeCell ref="A2:BE2"/>
    <mergeCell ref="A3:BE3"/>
    <mergeCell ref="L4:BE4"/>
    <mergeCell ref="A5:BE5"/>
    <mergeCell ref="A17:BE17"/>
  </mergeCells>
  <pageMargins left="0.51181102362204722" right="0.51181102362204722" top="0.35433070866141736" bottom="0.35433070866141736" header="0.31496062992125984" footer="0.31496062992125984"/>
  <pageSetup paperSize="9" scale="27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>
    <tabColor rgb="FF92D050"/>
  </sheetPr>
  <dimension ref="A1:AO23"/>
  <sheetViews>
    <sheetView showGridLines="0" view="pageBreakPreview" zoomScale="70" zoomScaleNormal="100" zoomScaleSheetLayoutView="70" workbookViewId="0">
      <pane xSplit="1" topLeftCell="Z1" activePane="topRight" state="frozen"/>
      <selection activeCell="F40" sqref="F40"/>
      <selection pane="topRight" activeCell="AZ55" sqref="AZ55"/>
    </sheetView>
  </sheetViews>
  <sheetFormatPr defaultColWidth="9.140625" defaultRowHeight="18"/>
  <cols>
    <col min="1" max="1" width="72.85546875" style="1073" customWidth="1"/>
    <col min="2" max="8" width="24.5703125" style="895" hidden="1" customWidth="1"/>
    <col min="9" max="9" width="24.5703125" style="895" customWidth="1"/>
    <col min="10" max="13" width="24.5703125" style="895" hidden="1" customWidth="1"/>
    <col min="14" max="19" width="28.7109375" style="895" hidden="1" customWidth="1"/>
    <col min="20" max="20" width="24.7109375" style="895" hidden="1" customWidth="1"/>
    <col min="21" max="39" width="20.28515625" style="895" customWidth="1"/>
    <col min="40" max="40" width="43.7109375" style="1267" customWidth="1"/>
    <col min="41" max="41" width="9.140625" style="1032"/>
    <col min="42" max="16384" width="9.140625" style="895"/>
  </cols>
  <sheetData>
    <row r="1" spans="1:41" ht="7.9" customHeight="1"/>
    <row r="2" spans="1:41" s="896" customFormat="1" ht="31.9" customHeight="1">
      <c r="A2" s="2734" t="s">
        <v>3796</v>
      </c>
      <c r="B2" s="2734"/>
      <c r="C2" s="2734"/>
      <c r="D2" s="2734"/>
      <c r="E2" s="2734"/>
      <c r="F2" s="2734"/>
      <c r="G2" s="2734"/>
      <c r="H2" s="2734"/>
      <c r="I2" s="2734"/>
      <c r="J2" s="2734"/>
      <c r="K2" s="2734"/>
      <c r="L2" s="2734"/>
      <c r="M2" s="2734"/>
      <c r="N2" s="2734"/>
      <c r="O2" s="2734"/>
      <c r="P2" s="2734"/>
      <c r="Q2" s="2734"/>
      <c r="R2" s="2734"/>
      <c r="S2" s="2734"/>
      <c r="T2" s="2734"/>
      <c r="U2" s="2734"/>
      <c r="V2" s="2734"/>
      <c r="W2" s="2734"/>
      <c r="X2" s="2734"/>
      <c r="Y2" s="2734"/>
      <c r="Z2" s="2734"/>
      <c r="AA2" s="2734"/>
      <c r="AB2" s="2734"/>
      <c r="AC2" s="2734"/>
      <c r="AD2" s="2734"/>
      <c r="AE2" s="2734"/>
      <c r="AF2" s="2734"/>
      <c r="AG2" s="2734"/>
      <c r="AH2" s="2734"/>
      <c r="AI2" s="2734"/>
      <c r="AJ2" s="2734"/>
      <c r="AK2" s="2734"/>
      <c r="AL2" s="2734"/>
      <c r="AM2" s="2734"/>
      <c r="AN2" s="2734"/>
      <c r="AO2" s="1075"/>
    </row>
    <row r="3" spans="1:41" s="896" customFormat="1" ht="31.9" customHeight="1">
      <c r="A3" s="2740" t="s">
        <v>3797</v>
      </c>
      <c r="B3" s="2740"/>
      <c r="C3" s="2740"/>
      <c r="D3" s="2740"/>
      <c r="E3" s="2740"/>
      <c r="F3" s="2740"/>
      <c r="G3" s="2740"/>
      <c r="H3" s="2740"/>
      <c r="I3" s="2740"/>
      <c r="J3" s="2740"/>
      <c r="K3" s="2740"/>
      <c r="L3" s="2740"/>
      <c r="M3" s="2740"/>
      <c r="N3" s="2740"/>
      <c r="O3" s="2740"/>
      <c r="P3" s="2740"/>
      <c r="Q3" s="2740"/>
      <c r="R3" s="2740"/>
      <c r="S3" s="2740"/>
      <c r="T3" s="2740"/>
      <c r="U3" s="2740"/>
      <c r="V3" s="2740"/>
      <c r="W3" s="2740"/>
      <c r="X3" s="2740"/>
      <c r="Y3" s="2740"/>
      <c r="Z3" s="2740"/>
      <c r="AA3" s="2740"/>
      <c r="AB3" s="2740"/>
      <c r="AC3" s="2740"/>
      <c r="AD3" s="2740"/>
      <c r="AE3" s="2740"/>
      <c r="AF3" s="2740"/>
      <c r="AG3" s="2740"/>
      <c r="AH3" s="2740"/>
      <c r="AI3" s="2740"/>
      <c r="AJ3" s="2740"/>
      <c r="AK3" s="2740"/>
      <c r="AL3" s="2740"/>
      <c r="AM3" s="2740"/>
      <c r="AN3" s="2740"/>
      <c r="AO3" s="1075"/>
    </row>
    <row r="4" spans="1:41" s="896" customFormat="1" ht="18" customHeight="1">
      <c r="A4" s="1103"/>
      <c r="B4" s="1103"/>
      <c r="C4" s="1103"/>
      <c r="D4" s="1103"/>
      <c r="E4" s="1103"/>
      <c r="F4" s="1103"/>
      <c r="G4" s="1103"/>
      <c r="H4" s="1103"/>
      <c r="I4" s="1103"/>
      <c r="J4" s="1103"/>
      <c r="K4" s="1103"/>
      <c r="L4" s="1103"/>
      <c r="M4" s="1103"/>
      <c r="N4" s="1103"/>
      <c r="O4" s="1103"/>
      <c r="P4" s="1103"/>
      <c r="Q4" s="1103"/>
      <c r="R4" s="1103"/>
      <c r="S4" s="1103"/>
      <c r="T4" s="1103"/>
      <c r="U4" s="1103"/>
      <c r="V4" s="1103"/>
      <c r="W4" s="1103"/>
      <c r="X4" s="1103"/>
      <c r="Y4" s="1103"/>
      <c r="Z4" s="1103"/>
      <c r="AA4" s="1103"/>
      <c r="AB4" s="1103"/>
      <c r="AC4" s="1103"/>
      <c r="AD4" s="1103"/>
      <c r="AE4" s="1103"/>
      <c r="AF4" s="1103"/>
      <c r="AG4" s="1103"/>
      <c r="AH4" s="1103"/>
      <c r="AI4" s="1103"/>
      <c r="AJ4" s="1103"/>
      <c r="AK4" s="1103"/>
      <c r="AL4" s="1103"/>
      <c r="AM4" s="1103"/>
      <c r="AN4" s="1103"/>
      <c r="AO4" s="1075"/>
    </row>
    <row r="5" spans="1:41" s="896" customFormat="1" ht="18" customHeight="1" thickBot="1">
      <c r="A5" s="1341"/>
      <c r="B5" s="1341"/>
      <c r="C5" s="1341"/>
      <c r="D5" s="1341"/>
      <c r="E5" s="1341"/>
      <c r="F5" s="1341"/>
      <c r="G5" s="1341"/>
      <c r="H5" s="1341"/>
      <c r="I5" s="1341"/>
      <c r="J5" s="1341"/>
      <c r="K5" s="1341"/>
      <c r="L5" s="1341"/>
      <c r="M5" s="1341"/>
      <c r="N5" s="1341"/>
      <c r="O5" s="1341"/>
      <c r="P5" s="1341"/>
      <c r="Q5" s="1341"/>
      <c r="R5" s="1341"/>
      <c r="S5" s="1341"/>
      <c r="T5" s="1341"/>
      <c r="U5" s="1341"/>
      <c r="V5" s="1341"/>
      <c r="W5" s="1341"/>
      <c r="X5" s="1341"/>
      <c r="Y5" s="1341"/>
      <c r="Z5" s="1341"/>
      <c r="AA5" s="1341"/>
      <c r="AB5" s="1341"/>
      <c r="AC5" s="1341"/>
      <c r="AD5" s="1341"/>
      <c r="AE5" s="1341"/>
      <c r="AF5" s="1341"/>
      <c r="AG5" s="1341"/>
      <c r="AH5" s="1341"/>
      <c r="AI5" s="1341"/>
      <c r="AJ5" s="1341"/>
      <c r="AK5" s="1341"/>
      <c r="AL5" s="1341"/>
      <c r="AM5" s="1341"/>
      <c r="AN5" s="1342" t="s">
        <v>8</v>
      </c>
      <c r="AO5" s="1075"/>
    </row>
    <row r="6" spans="1:41" ht="39" customHeight="1" thickBot="1">
      <c r="A6" s="1345" t="s">
        <v>3798</v>
      </c>
      <c r="B6" s="1346">
        <v>45077</v>
      </c>
      <c r="C6" s="1357">
        <v>45107</v>
      </c>
      <c r="D6" s="1357">
        <v>45138</v>
      </c>
      <c r="E6" s="1357">
        <v>45169</v>
      </c>
      <c r="F6" s="1357">
        <v>45199</v>
      </c>
      <c r="G6" s="1357">
        <v>45230</v>
      </c>
      <c r="H6" s="1357">
        <v>45260</v>
      </c>
      <c r="I6" s="1357">
        <v>45291</v>
      </c>
      <c r="J6" s="1357">
        <v>45322</v>
      </c>
      <c r="K6" s="1357">
        <v>45351</v>
      </c>
      <c r="L6" s="1357">
        <v>45382</v>
      </c>
      <c r="M6" s="1357">
        <v>45412</v>
      </c>
      <c r="N6" s="1357">
        <v>45443</v>
      </c>
      <c r="O6" s="1357">
        <v>45473</v>
      </c>
      <c r="P6" s="1346">
        <v>45504</v>
      </c>
      <c r="Q6" s="1346">
        <v>45535</v>
      </c>
      <c r="R6" s="1346">
        <v>45565</v>
      </c>
      <c r="S6" s="1346">
        <v>45596</v>
      </c>
      <c r="T6" s="1346">
        <v>45626</v>
      </c>
      <c r="U6" s="1346">
        <v>45657</v>
      </c>
      <c r="V6" s="1346">
        <v>45688</v>
      </c>
      <c r="W6" s="1346">
        <v>45716</v>
      </c>
      <c r="X6" s="1346">
        <v>45747</v>
      </c>
      <c r="Y6" s="1346">
        <v>45777</v>
      </c>
      <c r="Z6" s="1346">
        <v>45808</v>
      </c>
      <c r="AA6" s="1346">
        <v>45838</v>
      </c>
      <c r="AB6" s="1346">
        <v>45869</v>
      </c>
      <c r="AC6" s="1346">
        <v>45900</v>
      </c>
      <c r="AD6" s="1346">
        <v>45930</v>
      </c>
      <c r="AE6" s="1346">
        <v>45961</v>
      </c>
      <c r="AF6" s="1346">
        <v>45991</v>
      </c>
      <c r="AG6" s="1346">
        <v>46022</v>
      </c>
      <c r="AH6" s="1346">
        <v>46053</v>
      </c>
      <c r="AI6" s="1346">
        <v>46081</v>
      </c>
      <c r="AJ6" s="1346">
        <v>46112</v>
      </c>
      <c r="AK6" s="1346">
        <v>46142</v>
      </c>
      <c r="AL6" s="1346">
        <v>46173</v>
      </c>
      <c r="AM6" s="1346">
        <v>46203</v>
      </c>
      <c r="AN6" s="1378" t="s">
        <v>3789</v>
      </c>
    </row>
    <row r="7" spans="1:41" ht="29.45" customHeight="1">
      <c r="A7" s="1347" t="s">
        <v>3799</v>
      </c>
      <c r="B7" s="1348">
        <v>11170.8055462252</v>
      </c>
      <c r="C7" s="1358">
        <v>11650.5031040751</v>
      </c>
      <c r="D7" s="1358">
        <v>11622.688762838899</v>
      </c>
      <c r="E7" s="1358">
        <v>11821.791771283601</v>
      </c>
      <c r="F7" s="1358">
        <v>12078.6747372461</v>
      </c>
      <c r="G7" s="1358">
        <v>12246.3869346131</v>
      </c>
      <c r="H7" s="1358">
        <v>12421.2469256614</v>
      </c>
      <c r="I7" s="1358">
        <v>12616.787114836399</v>
      </c>
      <c r="J7" s="1358">
        <v>12912.916752994601</v>
      </c>
      <c r="K7" s="1358">
        <v>13063.7357667661</v>
      </c>
      <c r="L7" s="1358">
        <v>13201.539828995899</v>
      </c>
      <c r="M7" s="1358">
        <v>13476.3615803586</v>
      </c>
      <c r="N7" s="1358">
        <v>13784.729112602799</v>
      </c>
      <c r="O7" s="1358">
        <v>13874.820979424099</v>
      </c>
      <c r="P7" s="1348">
        <v>13910.090151055099</v>
      </c>
      <c r="Q7" s="1348">
        <v>13999.8433346194</v>
      </c>
      <c r="R7" s="1348">
        <v>14407.8515522007</v>
      </c>
      <c r="S7" s="1348">
        <v>14628.148740021799</v>
      </c>
      <c r="T7" s="1348">
        <v>14746.682807200599</v>
      </c>
      <c r="U7" s="1348">
        <v>14787.1851946734</v>
      </c>
      <c r="V7" s="1348">
        <v>14709.9177021613</v>
      </c>
      <c r="W7" s="1348">
        <v>14776.9784619727</v>
      </c>
      <c r="X7" s="1348">
        <v>14935.0383741286</v>
      </c>
      <c r="Y7" s="1348">
        <v>14952.6763686257</v>
      </c>
      <c r="Z7" s="1348">
        <v>15099.9752762721</v>
      </c>
      <c r="AA7" s="1348">
        <v>15143.678</v>
      </c>
      <c r="AB7" s="1348">
        <v>15055.804</v>
      </c>
      <c r="AC7" s="1348">
        <v>15091.8031698048</v>
      </c>
      <c r="AD7" s="1348">
        <v>15544.5605541035</v>
      </c>
      <c r="AE7" s="1348">
        <v>15623.432278091201</v>
      </c>
      <c r="AF7" s="1348">
        <v>15804.785106637801</v>
      </c>
      <c r="AG7" s="1348">
        <v>16106.290412771999</v>
      </c>
      <c r="AH7" s="1348">
        <v>15948.8555238715</v>
      </c>
      <c r="AI7" s="1348">
        <v>16057.9538532386</v>
      </c>
      <c r="AJ7" s="1348">
        <v>16214.8339298847</v>
      </c>
      <c r="AK7" s="1348">
        <v>16312.6030860848</v>
      </c>
      <c r="AL7" s="1348">
        <v>16401.7385321152</v>
      </c>
      <c r="AM7" s="1348">
        <v>17179.523389481899</v>
      </c>
      <c r="AN7" s="1379" t="s">
        <v>3790</v>
      </c>
    </row>
    <row r="8" spans="1:41" ht="29.45" customHeight="1">
      <c r="A8" s="1349" t="s">
        <v>2737</v>
      </c>
      <c r="B8" s="1350"/>
      <c r="C8" s="1359"/>
      <c r="D8" s="1359"/>
      <c r="E8" s="1359"/>
      <c r="F8" s="1359"/>
      <c r="G8" s="1359"/>
      <c r="H8" s="1359"/>
      <c r="I8" s="1359"/>
      <c r="J8" s="1359"/>
      <c r="K8" s="1359"/>
      <c r="L8" s="1359"/>
      <c r="M8" s="1359"/>
      <c r="N8" s="1359"/>
      <c r="O8" s="1359"/>
      <c r="P8" s="1359"/>
      <c r="Q8" s="1359"/>
      <c r="R8" s="1359"/>
      <c r="S8" s="1359"/>
      <c r="T8" s="1359"/>
      <c r="U8" s="1359"/>
      <c r="V8" s="1359"/>
      <c r="W8" s="1359"/>
      <c r="X8" s="1359"/>
      <c r="Y8" s="1359"/>
      <c r="Z8" s="1350"/>
      <c r="AA8" s="1350"/>
      <c r="AB8" s="1350"/>
      <c r="AC8" s="1350"/>
      <c r="AD8" s="1350"/>
      <c r="AE8" s="1350"/>
      <c r="AF8" s="1350"/>
      <c r="AG8" s="1350"/>
      <c r="AH8" s="1350"/>
      <c r="AI8" s="1350"/>
      <c r="AJ8" s="1350"/>
      <c r="AK8" s="1350"/>
      <c r="AL8" s="1350"/>
      <c r="AM8" s="1350"/>
      <c r="AN8" s="1380" t="s">
        <v>3791</v>
      </c>
    </row>
    <row r="9" spans="1:41" ht="29.45" customHeight="1">
      <c r="A9" s="1351" t="s">
        <v>3800</v>
      </c>
      <c r="B9" s="1352">
        <f>B7-B10-B11-B12</f>
        <v>4965.0949600451995</v>
      </c>
      <c r="C9" s="1360">
        <v>5312.9069935136904</v>
      </c>
      <c r="D9" s="1360">
        <v>5307.9970474450001</v>
      </c>
      <c r="E9" s="1360">
        <v>5311.447272933</v>
      </c>
      <c r="F9" s="1360">
        <v>5412.3021281589999</v>
      </c>
      <c r="G9" s="1360">
        <v>5722.2503756276283</v>
      </c>
      <c r="H9" s="1360">
        <v>5890.8538757980004</v>
      </c>
      <c r="I9" s="1360">
        <v>6251.7</v>
      </c>
      <c r="J9" s="1360">
        <v>6849.8189641699992</v>
      </c>
      <c r="K9" s="1360">
        <v>7094.2819282799992</v>
      </c>
      <c r="L9" s="1360">
        <v>7341.5830468450004</v>
      </c>
      <c r="M9" s="1360">
        <v>7673.1864936300008</v>
      </c>
      <c r="N9" s="1360">
        <v>7927.8349143599999</v>
      </c>
      <c r="O9" s="1360">
        <v>7965.0230613639997</v>
      </c>
      <c r="P9" s="1352">
        <v>7886.1</v>
      </c>
      <c r="Q9" s="1352">
        <v>7848.0266938760005</v>
      </c>
      <c r="R9" s="1352">
        <v>8133.8038743399993</v>
      </c>
      <c r="S9" s="1352">
        <v>8236.2999999999993</v>
      </c>
      <c r="T9" s="1352">
        <v>8290.9188842996609</v>
      </c>
      <c r="U9" s="1352">
        <v>8297.3330939610205</v>
      </c>
      <c r="V9" s="1352">
        <v>8255.6808044978807</v>
      </c>
      <c r="W9" s="1352">
        <v>8332.2253395448006</v>
      </c>
      <c r="X9" s="1352">
        <v>8361.1952768294796</v>
      </c>
      <c r="Y9" s="1352">
        <v>8399.1081658020903</v>
      </c>
      <c r="Z9" s="1352">
        <v>8486.5333398165203</v>
      </c>
      <c r="AA9" s="1352">
        <v>8507.8883655480804</v>
      </c>
      <c r="AB9" s="1352">
        <v>8221.4191708101607</v>
      </c>
      <c r="AC9" s="1352">
        <v>8034.6687259709997</v>
      </c>
      <c r="AD9" s="1352">
        <v>8256.4100064099803</v>
      </c>
      <c r="AE9" s="1352">
        <v>8285.5478136770398</v>
      </c>
      <c r="AF9" s="1352">
        <v>8363.7801377052001</v>
      </c>
      <c r="AG9" s="1352">
        <v>8550.2099999999991</v>
      </c>
      <c r="AH9" s="1352">
        <v>8346.9814535778405</v>
      </c>
      <c r="AI9" s="1352">
        <v>8389.3032303640393</v>
      </c>
      <c r="AJ9" s="1352">
        <v>8514.2501011530603</v>
      </c>
      <c r="AK9" s="1352">
        <v>8460.7015594500008</v>
      </c>
      <c r="AL9" s="1352">
        <v>8499.4313350136199</v>
      </c>
      <c r="AM9" s="1352">
        <v>9187.4602899199999</v>
      </c>
      <c r="AN9" s="1381" t="s">
        <v>3792</v>
      </c>
    </row>
    <row r="10" spans="1:41" ht="29.45" customHeight="1">
      <c r="A10" s="1351" t="s">
        <v>3801</v>
      </c>
      <c r="B10" s="1352">
        <v>2322.2037080999999</v>
      </c>
      <c r="C10" s="1360">
        <v>2451.6720448400001</v>
      </c>
      <c r="D10" s="1360">
        <v>2444.3434839360002</v>
      </c>
      <c r="E10" s="1360">
        <v>2492.8092125600001</v>
      </c>
      <c r="F10" s="1360">
        <v>2525.8572200849999</v>
      </c>
      <c r="G10" s="1360">
        <v>2313.99519267199</v>
      </c>
      <c r="H10" s="1360">
        <v>2288.7615484600001</v>
      </c>
      <c r="I10" s="1360">
        <v>2149.65</v>
      </c>
      <c r="J10" s="1360">
        <v>1884.59871333</v>
      </c>
      <c r="K10" s="1360">
        <v>1794.60333446</v>
      </c>
      <c r="L10" s="1360">
        <v>1716.8464312896801</v>
      </c>
      <c r="M10" s="1360">
        <v>1608.04953559</v>
      </c>
      <c r="N10" s="1360">
        <v>1676.02115299</v>
      </c>
      <c r="O10" s="1360">
        <v>1717.8607381393799</v>
      </c>
      <c r="P10" s="1352">
        <v>1735.7</v>
      </c>
      <c r="Q10" s="1352">
        <v>1747.37384272139</v>
      </c>
      <c r="R10" s="1352">
        <v>1750.2287423600001</v>
      </c>
      <c r="S10" s="1352">
        <v>1795.1</v>
      </c>
      <c r="T10" s="1352">
        <v>1829.82803018291</v>
      </c>
      <c r="U10" s="1352">
        <v>1834.0254177429101</v>
      </c>
      <c r="V10" s="1352">
        <v>1865.41596229382</v>
      </c>
      <c r="W10" s="1352">
        <v>1947.8586100053201</v>
      </c>
      <c r="X10" s="1352">
        <v>1970.20813049601</v>
      </c>
      <c r="Y10" s="1352">
        <v>1903.9794158640002</v>
      </c>
      <c r="Z10" s="1352">
        <v>1919.215146364</v>
      </c>
      <c r="AA10" s="1352">
        <v>1930.5955733436399</v>
      </c>
      <c r="AB10" s="1352">
        <v>2017.78498122</v>
      </c>
      <c r="AC10" s="1352">
        <v>2137.1194782900002</v>
      </c>
      <c r="AD10" s="1352">
        <v>2250.1698522700003</v>
      </c>
      <c r="AE10" s="1352">
        <v>2266.0519620199998</v>
      </c>
      <c r="AF10" s="1352">
        <v>2279.1867448681</v>
      </c>
      <c r="AG10" s="1352">
        <v>2289.038</v>
      </c>
      <c r="AH10" s="1352">
        <v>2245.5906861931203</v>
      </c>
      <c r="AI10" s="1352">
        <v>2270.2700509241999</v>
      </c>
      <c r="AJ10" s="1352">
        <v>2292.8237819249998</v>
      </c>
      <c r="AK10" s="1352">
        <v>2308.37993232282</v>
      </c>
      <c r="AL10" s="1352">
        <v>2333.7879563594302</v>
      </c>
      <c r="AM10" s="1352">
        <v>2362.2318733011402</v>
      </c>
      <c r="AN10" s="1381" t="s">
        <v>3793</v>
      </c>
    </row>
    <row r="11" spans="1:41" ht="29.45" customHeight="1">
      <c r="A11" s="1351" t="s">
        <v>3802</v>
      </c>
      <c r="B11" s="1352">
        <v>1774.3409387999998</v>
      </c>
      <c r="C11" s="1360">
        <v>1751.1955735500001</v>
      </c>
      <c r="D11" s="1360">
        <v>1662.782720638</v>
      </c>
      <c r="E11" s="1360">
        <v>1720.9657457600001</v>
      </c>
      <c r="F11" s="1360">
        <v>1727.4274609199999</v>
      </c>
      <c r="G11" s="1360">
        <v>1681.41051199548</v>
      </c>
      <c r="H11" s="1360">
        <v>1618.7460157400001</v>
      </c>
      <c r="I11" s="1360">
        <v>1585.5</v>
      </c>
      <c r="J11" s="1360">
        <v>1546.3247116799998</v>
      </c>
      <c r="K11" s="1360">
        <v>1501.4793211699998</v>
      </c>
      <c r="L11" s="1360">
        <v>1464.1572061158399</v>
      </c>
      <c r="M11" s="1360">
        <v>1433.95396787</v>
      </c>
      <c r="N11" s="1360">
        <v>1449.6977928399999</v>
      </c>
      <c r="O11" s="1360">
        <v>1448.55691510564</v>
      </c>
      <c r="P11" s="1352">
        <v>1515.9</v>
      </c>
      <c r="Q11" s="1352">
        <v>1522.3283732300001</v>
      </c>
      <c r="R11" s="1352">
        <v>1571.90756401</v>
      </c>
      <c r="S11" s="1352">
        <v>1572.6</v>
      </c>
      <c r="T11" s="1352">
        <v>1535.6748802167701</v>
      </c>
      <c r="U11" s="1352">
        <v>1548.56800767147</v>
      </c>
      <c r="V11" s="1352">
        <v>1540.2814087915999</v>
      </c>
      <c r="W11" s="1352">
        <v>1488.91378583288</v>
      </c>
      <c r="X11" s="1352">
        <v>1531.4205376850098</v>
      </c>
      <c r="Y11" s="1352">
        <v>1516.03310230641</v>
      </c>
      <c r="Z11" s="1352">
        <v>1504.6650339011999</v>
      </c>
      <c r="AA11" s="1352">
        <v>1503.19999755712</v>
      </c>
      <c r="AB11" s="1352">
        <v>1528.9598928799999</v>
      </c>
      <c r="AC11" s="1352">
        <v>1573.50426111</v>
      </c>
      <c r="AD11" s="1352">
        <v>1619.86559446</v>
      </c>
      <c r="AE11" s="1352">
        <v>1629.3867464699999</v>
      </c>
      <c r="AF11" s="1352">
        <v>1642.0055782951001</v>
      </c>
      <c r="AG11" s="1352">
        <v>1706.94</v>
      </c>
      <c r="AH11" s="1352">
        <v>1695.2151159520402</v>
      </c>
      <c r="AI11" s="1352">
        <v>1721.8195960241601</v>
      </c>
      <c r="AJ11" s="1352">
        <v>1731.8171263500001</v>
      </c>
      <c r="AK11" s="1352">
        <v>1783.5419842699998</v>
      </c>
      <c r="AL11" s="1352">
        <v>1763.1611427405098</v>
      </c>
      <c r="AM11" s="1352">
        <v>1764.34193753</v>
      </c>
      <c r="AN11" s="1381" t="s">
        <v>3794</v>
      </c>
    </row>
    <row r="12" spans="1:41" s="1267" customFormat="1" ht="29.45" customHeight="1" thickBot="1">
      <c r="A12" s="1353" t="s">
        <v>3803</v>
      </c>
      <c r="B12" s="1354">
        <v>2109.1659392800002</v>
      </c>
      <c r="C12" s="1361">
        <v>2134.6876764399999</v>
      </c>
      <c r="D12" s="1361">
        <v>2207.5316801900003</v>
      </c>
      <c r="E12" s="1361">
        <v>2296.5369987700001</v>
      </c>
      <c r="F12" s="1361">
        <v>2413.0601917220001</v>
      </c>
      <c r="G12" s="1361">
        <v>2528.7308543179997</v>
      </c>
      <c r="H12" s="1361">
        <v>2622.8723848</v>
      </c>
      <c r="I12" s="1361">
        <v>2629.9</v>
      </c>
      <c r="J12" s="1361">
        <v>2632.1747660300002</v>
      </c>
      <c r="K12" s="1361">
        <v>2673.3150399900001</v>
      </c>
      <c r="L12" s="1361">
        <v>2678.9442094179999</v>
      </c>
      <c r="M12" s="1361">
        <v>2761.1520653100001</v>
      </c>
      <c r="N12" s="1361">
        <v>2731.17617083</v>
      </c>
      <c r="O12" s="1361">
        <v>2743.2816909200001</v>
      </c>
      <c r="P12" s="1354">
        <v>2772.4</v>
      </c>
      <c r="Q12" s="1354">
        <v>2882.1138899299999</v>
      </c>
      <c r="R12" s="1354">
        <v>2951.9114657999999</v>
      </c>
      <c r="S12" s="1354">
        <v>3024.1</v>
      </c>
      <c r="T12" s="1354">
        <v>3090.2659858479997</v>
      </c>
      <c r="U12" s="1354">
        <v>3107.2586752980001</v>
      </c>
      <c r="V12" s="1354">
        <v>3048.5395265779998</v>
      </c>
      <c r="W12" s="1354">
        <v>3007.9789403680002</v>
      </c>
      <c r="X12" s="1354">
        <v>3072.212841388</v>
      </c>
      <c r="Y12" s="1354">
        <v>3133.5553654546702</v>
      </c>
      <c r="Z12" s="1354">
        <v>3189.5616906282798</v>
      </c>
      <c r="AA12" s="1354">
        <v>3201.9944128800003</v>
      </c>
      <c r="AB12" s="1354">
        <v>3287.64003413</v>
      </c>
      <c r="AC12" s="1354">
        <v>3346.5096435400001</v>
      </c>
      <c r="AD12" s="1354">
        <v>3418.1145049299998</v>
      </c>
      <c r="AE12" s="1354">
        <v>3442.44486783</v>
      </c>
      <c r="AF12" s="1354">
        <v>3519.8130831735998</v>
      </c>
      <c r="AG12" s="1354">
        <v>3560.1019999999999</v>
      </c>
      <c r="AH12" s="1354">
        <v>3661.0682481069998</v>
      </c>
      <c r="AI12" s="1354">
        <v>3676.5608217626</v>
      </c>
      <c r="AJ12" s="1354">
        <v>3675.94387994</v>
      </c>
      <c r="AK12" s="1354">
        <v>3759.9796074700002</v>
      </c>
      <c r="AL12" s="1354">
        <v>3805.35809800165</v>
      </c>
      <c r="AM12" s="1354">
        <v>3865.48946217</v>
      </c>
      <c r="AN12" s="1382" t="s">
        <v>3795</v>
      </c>
      <c r="AO12" s="1032"/>
    </row>
    <row r="13" spans="1:41" s="1344" customFormat="1" ht="60.6" customHeight="1">
      <c r="A13" s="2741" t="s">
        <v>3804</v>
      </c>
      <c r="B13" s="2741"/>
      <c r="C13" s="2741"/>
      <c r="D13" s="2741"/>
      <c r="E13" s="2741"/>
      <c r="F13" s="2741"/>
      <c r="G13" s="2741"/>
      <c r="H13" s="2741"/>
      <c r="I13" s="2741"/>
      <c r="J13" s="2741"/>
      <c r="K13" s="2741"/>
      <c r="L13" s="2741"/>
      <c r="M13" s="2741"/>
      <c r="N13" s="2741"/>
      <c r="O13" s="2741"/>
      <c r="P13" s="2741"/>
      <c r="Q13" s="2741"/>
      <c r="R13" s="2741"/>
      <c r="S13" s="2741"/>
      <c r="T13" s="2741"/>
      <c r="U13" s="2741"/>
      <c r="V13" s="2741"/>
      <c r="W13" s="2741"/>
      <c r="X13" s="2741"/>
      <c r="Y13" s="2741"/>
      <c r="Z13" s="2741"/>
      <c r="AA13" s="2741"/>
      <c r="AB13" s="2741"/>
      <c r="AC13" s="2741"/>
      <c r="AD13" s="2741"/>
      <c r="AE13" s="2741"/>
      <c r="AF13" s="2741"/>
      <c r="AG13" s="2741"/>
      <c r="AH13" s="2741"/>
      <c r="AI13" s="2741"/>
      <c r="AJ13" s="2741"/>
      <c r="AK13" s="2741"/>
      <c r="AL13" s="2741"/>
      <c r="AM13" s="2741"/>
      <c r="AN13" s="2741"/>
      <c r="AO13" s="1343"/>
    </row>
    <row r="14" spans="1:41" s="1267" customFormat="1">
      <c r="A14" s="1073"/>
      <c r="B14" s="1072"/>
      <c r="C14" s="1072"/>
      <c r="D14" s="1072"/>
      <c r="E14" s="1072"/>
      <c r="F14" s="1072"/>
      <c r="G14" s="1072"/>
      <c r="H14" s="1072"/>
      <c r="I14" s="1072"/>
      <c r="J14" s="1072"/>
      <c r="K14" s="1072"/>
      <c r="L14" s="1072"/>
      <c r="M14" s="1072"/>
      <c r="N14" s="1072"/>
      <c r="O14" s="1072"/>
      <c r="P14" s="1072"/>
      <c r="Q14" s="1072"/>
      <c r="R14" s="1072"/>
      <c r="S14" s="1072"/>
      <c r="T14" s="1072"/>
      <c r="U14" s="1072"/>
      <c r="V14" s="1072"/>
      <c r="W14" s="1072"/>
      <c r="X14" s="1072"/>
      <c r="Y14" s="1072"/>
      <c r="Z14" s="1072"/>
      <c r="AA14" s="1072"/>
      <c r="AB14" s="1072"/>
      <c r="AC14" s="1072"/>
      <c r="AD14" s="1072"/>
      <c r="AE14" s="1072"/>
      <c r="AF14" s="1072"/>
      <c r="AG14" s="1072"/>
      <c r="AH14" s="1072"/>
      <c r="AI14" s="1072"/>
      <c r="AJ14" s="1072"/>
      <c r="AK14" s="1072"/>
      <c r="AL14" s="1072"/>
      <c r="AM14" s="1072"/>
      <c r="AO14" s="1032"/>
    </row>
    <row r="15" spans="1:41" s="1267" customFormat="1" ht="28.5">
      <c r="A15" s="1073"/>
      <c r="B15" s="895"/>
      <c r="C15" s="895"/>
      <c r="D15" s="895"/>
      <c r="E15" s="1402"/>
      <c r="F15" s="895"/>
      <c r="G15" s="895"/>
      <c r="H15" s="895"/>
      <c r="I15" s="895"/>
      <c r="J15" s="895"/>
      <c r="K15" s="895"/>
      <c r="L15" s="895"/>
      <c r="M15" s="895"/>
      <c r="N15" s="1895"/>
      <c r="O15" s="1895"/>
      <c r="P15" s="1895"/>
      <c r="Q15" s="1895"/>
      <c r="R15" s="1895"/>
      <c r="S15" s="1895"/>
      <c r="T15" s="1895"/>
      <c r="U15" s="1895"/>
      <c r="V15" s="1895"/>
      <c r="W15" s="1895"/>
      <c r="X15" s="1895"/>
      <c r="Y15" s="1895"/>
      <c r="Z15" s="1895"/>
      <c r="AA15" s="1895"/>
      <c r="AB15" s="1895"/>
      <c r="AC15" s="1895"/>
      <c r="AD15" s="1895"/>
      <c r="AE15" s="1895"/>
      <c r="AF15" s="1895"/>
      <c r="AG15" s="1895"/>
      <c r="AH15" s="1895"/>
      <c r="AI15" s="1895"/>
      <c r="AJ15" s="1895"/>
      <c r="AK15" s="1895"/>
      <c r="AL15" s="1895"/>
      <c r="AM15" s="1895"/>
      <c r="AO15" s="1032"/>
    </row>
    <row r="16" spans="1:41" s="1267" customFormat="1">
      <c r="A16" s="1073"/>
      <c r="B16" s="895"/>
      <c r="C16" s="895"/>
      <c r="D16" s="895"/>
      <c r="E16" s="895"/>
      <c r="F16" s="895"/>
      <c r="G16" s="895"/>
      <c r="H16" s="895"/>
      <c r="I16" s="895"/>
      <c r="J16" s="895"/>
      <c r="K16" s="895"/>
      <c r="L16" s="895"/>
      <c r="M16" s="895"/>
      <c r="N16" s="895"/>
      <c r="O16" s="895"/>
      <c r="P16" s="1595"/>
      <c r="Q16" s="1595"/>
      <c r="R16" s="1595"/>
      <c r="S16" s="1595"/>
      <c r="T16" s="1595"/>
      <c r="U16" s="1595"/>
      <c r="V16" s="1595"/>
      <c r="W16" s="1595"/>
      <c r="X16" s="1595"/>
      <c r="Y16" s="1595"/>
      <c r="Z16" s="1595"/>
      <c r="AA16" s="1595"/>
      <c r="AB16" s="1595"/>
      <c r="AC16" s="1595"/>
      <c r="AD16" s="1595"/>
      <c r="AE16" s="1595"/>
      <c r="AF16" s="1595"/>
      <c r="AG16" s="1595"/>
      <c r="AH16" s="1595"/>
      <c r="AI16" s="1595"/>
      <c r="AJ16" s="1595"/>
      <c r="AK16" s="1595"/>
      <c r="AL16" s="1595"/>
      <c r="AM16" s="1595"/>
      <c r="AO16" s="1032"/>
    </row>
    <row r="17" spans="1:41">
      <c r="P17" s="1401"/>
      <c r="Q17" s="1401"/>
      <c r="R17" s="1401"/>
      <c r="S17" s="1401"/>
      <c r="T17" s="1401"/>
      <c r="U17" s="1401"/>
      <c r="V17" s="1401"/>
      <c r="W17" s="1401"/>
      <c r="X17" s="1401"/>
      <c r="Y17" s="1401"/>
      <c r="Z17" s="1401"/>
      <c r="AA17" s="1401"/>
      <c r="AB17" s="1401"/>
      <c r="AC17" s="1401"/>
      <c r="AD17" s="1401"/>
      <c r="AE17" s="1401"/>
      <c r="AF17" s="1401"/>
      <c r="AG17" s="1401"/>
      <c r="AH17" s="1401"/>
      <c r="AI17" s="1401"/>
      <c r="AJ17" s="1401"/>
      <c r="AK17" s="1401"/>
      <c r="AL17" s="1401"/>
      <c r="AM17" s="1401"/>
    </row>
    <row r="18" spans="1:41">
      <c r="AA18" s="1595"/>
      <c r="AB18" s="1595"/>
      <c r="AC18" s="1595"/>
      <c r="AD18" s="1595"/>
      <c r="AE18" s="1595"/>
      <c r="AF18" s="1595"/>
      <c r="AG18" s="1595"/>
      <c r="AH18" s="1595"/>
      <c r="AI18" s="1595"/>
      <c r="AJ18" s="1595"/>
      <c r="AK18" s="1595"/>
      <c r="AL18" s="1595"/>
      <c r="AM18" s="1595"/>
    </row>
    <row r="19" spans="1:41" s="1267" customFormat="1">
      <c r="A19" s="1073"/>
      <c r="B19" s="895"/>
      <c r="C19" s="895"/>
      <c r="D19" s="895"/>
      <c r="E19" s="895"/>
      <c r="F19" s="895"/>
      <c r="G19" s="895"/>
      <c r="H19" s="895"/>
      <c r="I19" s="895"/>
      <c r="J19" s="895"/>
      <c r="K19" s="895"/>
      <c r="L19" s="895"/>
      <c r="M19" s="895"/>
      <c r="N19" s="895"/>
      <c r="O19" s="895"/>
      <c r="P19" s="895"/>
      <c r="Q19" s="895"/>
      <c r="R19" s="895"/>
      <c r="S19" s="895"/>
      <c r="T19" s="895"/>
      <c r="U19" s="895"/>
      <c r="V19" s="895"/>
      <c r="W19" s="895"/>
      <c r="X19" s="895"/>
      <c r="Y19" s="895"/>
      <c r="Z19" s="895"/>
      <c r="AA19" s="895"/>
      <c r="AB19" s="895"/>
      <c r="AC19" s="895"/>
      <c r="AD19" s="895"/>
      <c r="AE19" s="895"/>
      <c r="AF19" s="895"/>
      <c r="AG19" s="895"/>
      <c r="AH19" s="895"/>
      <c r="AI19" s="895"/>
      <c r="AJ19" s="895"/>
      <c r="AK19" s="895"/>
      <c r="AL19" s="895"/>
      <c r="AM19" s="1749"/>
      <c r="AO19" s="1032"/>
    </row>
    <row r="20" spans="1:41">
      <c r="AA20" s="1894"/>
      <c r="AB20" s="1894"/>
      <c r="AC20" s="1894"/>
      <c r="AD20" s="1894"/>
      <c r="AE20" s="1894"/>
      <c r="AF20" s="1894"/>
      <c r="AG20" s="1894"/>
      <c r="AH20" s="1894"/>
      <c r="AI20" s="1894"/>
      <c r="AJ20" s="1894"/>
      <c r="AK20" s="1894"/>
      <c r="AL20" s="1894"/>
      <c r="AM20" s="1894"/>
    </row>
    <row r="23" spans="1:41">
      <c r="AM23" s="2015"/>
    </row>
  </sheetData>
  <mergeCells count="3">
    <mergeCell ref="A2:AN2"/>
    <mergeCell ref="A3:AN3"/>
    <mergeCell ref="A13:AN13"/>
  </mergeCells>
  <pageMargins left="0.51181102362204722" right="0.51181102362204722" top="0.55118110236220474" bottom="0.55118110236220474" header="0.31496062992125984" footer="0.31496062992125984"/>
  <pageSetup paperSize="9" scale="1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98E89-76EC-4035-B69C-A8E2E09BB5E0}">
  <sheetPr codeName="Sheet63">
    <tabColor rgb="FF92D050"/>
  </sheetPr>
  <dimension ref="A1:AH17"/>
  <sheetViews>
    <sheetView showGridLines="0" view="pageBreakPreview" zoomScale="66" zoomScaleNormal="100" zoomScaleSheetLayoutView="66" workbookViewId="0">
      <pane xSplit="1" ySplit="5" topLeftCell="T6" activePane="bottomRight" state="frozen"/>
      <selection activeCell="F40" sqref="F40"/>
      <selection pane="topRight" activeCell="F40" sqref="F40"/>
      <selection pane="bottomLeft" activeCell="F40" sqref="F40"/>
      <selection pane="bottomRight" activeCell="AH64" sqref="AH64"/>
    </sheetView>
  </sheetViews>
  <sheetFormatPr defaultColWidth="9.140625" defaultRowHeight="18"/>
  <cols>
    <col min="1" max="1" width="64.42578125" style="1073" customWidth="1"/>
    <col min="2" max="2" width="20.5703125" style="895" customWidth="1"/>
    <col min="3" max="13" width="20.5703125" style="895" hidden="1" customWidth="1"/>
    <col min="14" max="32" width="20.5703125" style="895" customWidth="1"/>
    <col min="33" max="33" width="63.42578125" style="1267" bestFit="1" customWidth="1"/>
    <col min="34" max="34" width="12.140625" style="1099" customWidth="1"/>
    <col min="35" max="35" width="12.140625" style="895" customWidth="1"/>
    <col min="36" max="16384" width="9.140625" style="895"/>
  </cols>
  <sheetData>
    <row r="1" spans="1:34" ht="12.6" customHeight="1"/>
    <row r="2" spans="1:34" ht="31.9" customHeight="1">
      <c r="A2" s="2734" t="s">
        <v>4164</v>
      </c>
      <c r="B2" s="2734"/>
      <c r="C2" s="2734"/>
      <c r="D2" s="2734"/>
      <c r="E2" s="2734"/>
      <c r="F2" s="2734"/>
      <c r="G2" s="2734"/>
      <c r="H2" s="2734"/>
      <c r="I2" s="2734"/>
      <c r="J2" s="2734"/>
      <c r="K2" s="2734"/>
      <c r="L2" s="2734"/>
      <c r="M2" s="2734"/>
      <c r="N2" s="2734"/>
      <c r="O2" s="2734"/>
      <c r="P2" s="2734"/>
      <c r="Q2" s="2734"/>
      <c r="R2" s="2734"/>
      <c r="S2" s="2734"/>
      <c r="T2" s="2734"/>
      <c r="U2" s="2734"/>
      <c r="V2" s="2734"/>
      <c r="W2" s="2734"/>
      <c r="X2" s="2734"/>
      <c r="Y2" s="2734"/>
      <c r="Z2" s="2734"/>
      <c r="AA2" s="2734"/>
      <c r="AB2" s="2734"/>
      <c r="AC2" s="2734"/>
      <c r="AD2" s="2734"/>
      <c r="AE2" s="2734"/>
      <c r="AF2" s="2734"/>
      <c r="AG2" s="2734"/>
    </row>
    <row r="3" spans="1:34" s="896" customFormat="1" ht="31.9" customHeight="1">
      <c r="A3" s="2740" t="s">
        <v>4175</v>
      </c>
      <c r="B3" s="2740"/>
      <c r="C3" s="2740"/>
      <c r="D3" s="2740"/>
      <c r="E3" s="2740"/>
      <c r="F3" s="2740"/>
      <c r="G3" s="2740"/>
      <c r="H3" s="2740"/>
      <c r="I3" s="2740"/>
      <c r="J3" s="2740"/>
      <c r="K3" s="2740"/>
      <c r="L3" s="2740"/>
      <c r="M3" s="2740"/>
      <c r="N3" s="2740"/>
      <c r="O3" s="2740"/>
      <c r="P3" s="2740"/>
      <c r="Q3" s="2740"/>
      <c r="R3" s="2740"/>
      <c r="S3" s="2740"/>
      <c r="T3" s="2740"/>
      <c r="U3" s="2740"/>
      <c r="V3" s="2740"/>
      <c r="W3" s="2740"/>
      <c r="X3" s="2740"/>
      <c r="Y3" s="2740"/>
      <c r="Z3" s="2740"/>
      <c r="AA3" s="2740"/>
      <c r="AB3" s="2740"/>
      <c r="AC3" s="2740"/>
      <c r="AD3" s="2740"/>
      <c r="AE3" s="2740"/>
      <c r="AF3" s="2740"/>
      <c r="AG3" s="2740"/>
      <c r="AH3" s="1839"/>
    </row>
    <row r="4" spans="1:34" s="896" customFormat="1" ht="13.15" customHeight="1">
      <c r="A4" s="1103"/>
      <c r="B4" s="1103"/>
      <c r="C4" s="1103"/>
      <c r="D4" s="1103"/>
      <c r="E4" s="1103"/>
      <c r="F4" s="1103"/>
      <c r="G4" s="1103"/>
      <c r="H4" s="1103"/>
      <c r="I4" s="1103"/>
      <c r="J4" s="1103"/>
      <c r="K4" s="1103"/>
      <c r="L4" s="1103"/>
      <c r="M4" s="1103"/>
      <c r="N4" s="1103"/>
      <c r="O4" s="1103"/>
      <c r="P4" s="1103"/>
      <c r="Q4" s="1103"/>
      <c r="R4" s="1103"/>
      <c r="S4" s="1103"/>
      <c r="T4" s="1103"/>
      <c r="U4" s="1103"/>
      <c r="V4" s="1103"/>
      <c r="W4" s="1103"/>
      <c r="X4" s="1103"/>
      <c r="Y4" s="1103"/>
      <c r="Z4" s="1103"/>
      <c r="AA4" s="1103"/>
      <c r="AB4" s="1103"/>
      <c r="AC4" s="1103"/>
      <c r="AD4" s="1103"/>
      <c r="AE4" s="1103"/>
      <c r="AF4" s="1103"/>
      <c r="AG4" s="1103"/>
      <c r="AH4" s="1839"/>
    </row>
    <row r="5" spans="1:34" s="896" customFormat="1" ht="13.15" customHeight="1" thickBot="1">
      <c r="A5" s="2743" t="s">
        <v>8</v>
      </c>
      <c r="B5" s="2743"/>
      <c r="C5" s="2743"/>
      <c r="D5" s="2743"/>
      <c r="E5" s="2743"/>
      <c r="F5" s="2743"/>
      <c r="G5" s="2743"/>
      <c r="H5" s="2743"/>
      <c r="I5" s="2743"/>
      <c r="J5" s="2743"/>
      <c r="K5" s="2743"/>
      <c r="L5" s="2743"/>
      <c r="M5" s="2743"/>
      <c r="N5" s="2743"/>
      <c r="O5" s="2743"/>
      <c r="P5" s="2743"/>
      <c r="Q5" s="2743"/>
      <c r="R5" s="2743"/>
      <c r="S5" s="2743"/>
      <c r="T5" s="2743"/>
      <c r="U5" s="2743"/>
      <c r="V5" s="2743"/>
      <c r="W5" s="2743"/>
      <c r="X5" s="2743"/>
      <c r="Y5" s="2743"/>
      <c r="Z5" s="2743"/>
      <c r="AA5" s="2743"/>
      <c r="AB5" s="2743"/>
      <c r="AC5" s="2743"/>
      <c r="AD5" s="2743"/>
      <c r="AE5" s="2743"/>
      <c r="AF5" s="2743"/>
      <c r="AG5" s="2743"/>
      <c r="AH5" s="1839"/>
    </row>
    <row r="6" spans="1:34" ht="27.6" customHeight="1" thickBot="1">
      <c r="A6" s="1077" t="s">
        <v>4165</v>
      </c>
      <c r="B6" s="980">
        <v>45291</v>
      </c>
      <c r="C6" s="980">
        <v>45322</v>
      </c>
      <c r="D6" s="980">
        <v>45351</v>
      </c>
      <c r="E6" s="980">
        <v>45382</v>
      </c>
      <c r="F6" s="980">
        <v>45412</v>
      </c>
      <c r="G6" s="980">
        <v>45443</v>
      </c>
      <c r="H6" s="980">
        <v>45473</v>
      </c>
      <c r="I6" s="980">
        <v>45504</v>
      </c>
      <c r="J6" s="980">
        <v>45535</v>
      </c>
      <c r="K6" s="980">
        <v>45565</v>
      </c>
      <c r="L6" s="980">
        <v>45596</v>
      </c>
      <c r="M6" s="980">
        <v>45626</v>
      </c>
      <c r="N6" s="980">
        <v>45657</v>
      </c>
      <c r="O6" s="980">
        <v>45688</v>
      </c>
      <c r="P6" s="980">
        <v>45716</v>
      </c>
      <c r="Q6" s="980">
        <v>45747</v>
      </c>
      <c r="R6" s="980">
        <v>45777</v>
      </c>
      <c r="S6" s="980">
        <v>45808</v>
      </c>
      <c r="T6" s="980">
        <v>45838</v>
      </c>
      <c r="U6" s="980">
        <v>45869</v>
      </c>
      <c r="V6" s="980">
        <v>45900</v>
      </c>
      <c r="W6" s="980">
        <v>45930</v>
      </c>
      <c r="X6" s="980">
        <v>45961</v>
      </c>
      <c r="Y6" s="980">
        <v>45991</v>
      </c>
      <c r="Z6" s="980">
        <v>46022</v>
      </c>
      <c r="AA6" s="980">
        <v>46053</v>
      </c>
      <c r="AB6" s="980">
        <v>46081</v>
      </c>
      <c r="AC6" s="980">
        <v>46112</v>
      </c>
      <c r="AD6" s="980">
        <v>46142</v>
      </c>
      <c r="AE6" s="980">
        <v>46173</v>
      </c>
      <c r="AF6" s="980">
        <v>46203</v>
      </c>
      <c r="AG6" s="1077" t="s">
        <v>4176</v>
      </c>
    </row>
    <row r="7" spans="1:34" ht="27.6" customHeight="1">
      <c r="A7" s="1080" t="s">
        <v>3799</v>
      </c>
      <c r="B7" s="1082">
        <f t="shared" ref="B7:L7" si="0">SUM(B8:B14)</f>
        <v>12616.787114836417</v>
      </c>
      <c r="C7" s="1082">
        <f t="shared" si="0"/>
        <v>12912.916752994608</v>
      </c>
      <c r="D7" s="1082">
        <f t="shared" si="0"/>
        <v>13063.73576676606</v>
      </c>
      <c r="E7" s="1082">
        <f t="shared" si="0"/>
        <v>13201.539828995918</v>
      </c>
      <c r="F7" s="1082">
        <f t="shared" si="0"/>
        <v>13476.361580358629</v>
      </c>
      <c r="G7" s="1082">
        <f t="shared" si="0"/>
        <v>13784.729112602781</v>
      </c>
      <c r="H7" s="1082">
        <f t="shared" si="0"/>
        <v>13874.82097942413</v>
      </c>
      <c r="I7" s="1082">
        <f t="shared" si="0"/>
        <v>13910.090151055048</v>
      </c>
      <c r="J7" s="1082">
        <f t="shared" si="0"/>
        <v>13999.843334619391</v>
      </c>
      <c r="K7" s="1082">
        <f t="shared" si="0"/>
        <v>14407.851552202692</v>
      </c>
      <c r="L7" s="1082">
        <f t="shared" si="0"/>
        <v>14628.148740021819</v>
      </c>
      <c r="M7" s="1082">
        <f t="shared" ref="M7" si="1">SUM(M8:M14)</f>
        <v>14746.68280720055</v>
      </c>
      <c r="N7" s="1082">
        <v>14787.185194673299</v>
      </c>
      <c r="O7" s="1083">
        <v>14709.917702161341</v>
      </c>
      <c r="P7" s="1083">
        <v>14776.978461972698</v>
      </c>
      <c r="Q7" s="1083">
        <v>14935.0383741286</v>
      </c>
      <c r="R7" s="1083">
        <v>14952.6763686257</v>
      </c>
      <c r="S7" s="1083">
        <v>15099.9752762721</v>
      </c>
      <c r="T7" s="1082">
        <v>15143.677952681999</v>
      </c>
      <c r="U7" s="1083">
        <v>15055.8041583171</v>
      </c>
      <c r="V7" s="1082">
        <v>15091.8031698048</v>
      </c>
      <c r="W7" s="1082">
        <v>15544.5605541035</v>
      </c>
      <c r="X7" s="1082">
        <v>15623.432278091201</v>
      </c>
      <c r="Y7" s="1082">
        <v>15804.785106637801</v>
      </c>
      <c r="Z7" s="1082">
        <v>16106.290412771999</v>
      </c>
      <c r="AA7" s="1082">
        <v>15948.8555238715</v>
      </c>
      <c r="AB7" s="1082">
        <v>16057.9538532386</v>
      </c>
      <c r="AC7" s="1082">
        <v>16214.8339298847</v>
      </c>
      <c r="AD7" s="1082">
        <v>16312.6030860848</v>
      </c>
      <c r="AE7" s="1082">
        <v>16401.738228320501</v>
      </c>
      <c r="AF7" s="1082">
        <v>17179.523389481899</v>
      </c>
      <c r="AG7" s="1080" t="s">
        <v>3790</v>
      </c>
    </row>
    <row r="8" spans="1:34" ht="27.6" customHeight="1">
      <c r="A8" s="1840" t="s">
        <v>4166</v>
      </c>
      <c r="B8" s="1090">
        <v>2343.9396263204703</v>
      </c>
      <c r="C8" s="1090">
        <v>2668.0445139555904</v>
      </c>
      <c r="D8" s="1090">
        <v>2655.3935994425301</v>
      </c>
      <c r="E8" s="1090">
        <v>2659.6927067710399</v>
      </c>
      <c r="F8" s="1090">
        <v>2665.2521323015199</v>
      </c>
      <c r="G8" s="1090">
        <v>2751.27727908938</v>
      </c>
      <c r="H8" s="1090">
        <v>2734.4750720244701</v>
      </c>
      <c r="I8" s="1090">
        <v>2693.4867345638299</v>
      </c>
      <c r="J8" s="1090">
        <v>2683.75389716675</v>
      </c>
      <c r="K8" s="1090">
        <v>2784.9586214623801</v>
      </c>
      <c r="L8" s="1090">
        <v>2793.8964735807299</v>
      </c>
      <c r="M8" s="1090">
        <v>2751.1715195595102</v>
      </c>
      <c r="N8" s="1090">
        <v>2711.3449856847601</v>
      </c>
      <c r="O8" s="1091">
        <v>2690.0605652603799</v>
      </c>
      <c r="P8" s="1091">
        <v>2702.41190742555</v>
      </c>
      <c r="Q8" s="1091">
        <v>2689.2366236611701</v>
      </c>
      <c r="R8" s="1091">
        <v>2658.3316116667102</v>
      </c>
      <c r="S8" s="1091">
        <v>2668.5844528038301</v>
      </c>
      <c r="T8" s="1090">
        <v>2688.4733998249199</v>
      </c>
      <c r="U8" s="1091">
        <v>2615.9180568832398</v>
      </c>
      <c r="V8" s="1090">
        <v>2571.5975715486902</v>
      </c>
      <c r="W8" s="1090">
        <v>2684.0406512258</v>
      </c>
      <c r="X8" s="1090">
        <v>2691.9895075884901</v>
      </c>
      <c r="Y8" s="1090">
        <v>2677.3307763629</v>
      </c>
      <c r="Z8" s="1090">
        <v>2780.5431203728699</v>
      </c>
      <c r="AA8" s="1090">
        <v>2731.2388137387702</v>
      </c>
      <c r="AB8" s="1090">
        <v>2737.7999194004001</v>
      </c>
      <c r="AC8" s="1090">
        <v>2753.9533397492601</v>
      </c>
      <c r="AD8" s="1090">
        <v>2764.77185900629</v>
      </c>
      <c r="AE8" s="1090">
        <v>2765.7110190693502</v>
      </c>
      <c r="AF8" s="1090">
        <v>2715.88225040508</v>
      </c>
      <c r="AG8" s="1840" t="s">
        <v>4177</v>
      </c>
    </row>
    <row r="9" spans="1:34" ht="27.6" customHeight="1">
      <c r="A9" s="1840" t="s">
        <v>4167</v>
      </c>
      <c r="B9" s="1090">
        <v>1523.2402742149989</v>
      </c>
      <c r="C9" s="1090">
        <v>1528.889020284998</v>
      </c>
      <c r="D9" s="1090">
        <v>1528.5827762550009</v>
      </c>
      <c r="E9" s="1090">
        <v>1530.5981433599979</v>
      </c>
      <c r="F9" s="1090">
        <v>1526.2070615999999</v>
      </c>
      <c r="G9" s="1090">
        <v>1542.1154640100001</v>
      </c>
      <c r="H9" s="1090">
        <v>1540.7925495649999</v>
      </c>
      <c r="I9" s="1090">
        <v>1551.1756168089998</v>
      </c>
      <c r="J9" s="1090">
        <v>1624.7502619559998</v>
      </c>
      <c r="K9" s="1090">
        <v>1678.9850944570001</v>
      </c>
      <c r="L9" s="1090">
        <v>1717.4207279009997</v>
      </c>
      <c r="M9" s="1090">
        <v>1768.6979920199997</v>
      </c>
      <c r="N9" s="1090">
        <v>1786.3454677749999</v>
      </c>
      <c r="O9" s="1091">
        <v>1776.5241135819999</v>
      </c>
      <c r="P9" s="1091">
        <v>1781.7964923120001</v>
      </c>
      <c r="Q9" s="1091">
        <v>1803.3223594729998</v>
      </c>
      <c r="R9" s="1091">
        <v>1810.1343981909999</v>
      </c>
      <c r="S9" s="1091">
        <v>1805.7300039740001</v>
      </c>
      <c r="T9" s="1090">
        <v>1809.36284299</v>
      </c>
      <c r="U9" s="1091">
        <v>1833.2809038820001</v>
      </c>
      <c r="V9" s="1090">
        <v>1889.1143806370001</v>
      </c>
      <c r="W9" s="1090">
        <v>1952.5920619149999</v>
      </c>
      <c r="X9" s="1090">
        <v>1989.435254085</v>
      </c>
      <c r="Y9" s="1090">
        <v>2038.5364490859999</v>
      </c>
      <c r="Z9" s="1090">
        <v>2087.1502392140001</v>
      </c>
      <c r="AA9" s="1090">
        <v>2070.022687962</v>
      </c>
      <c r="AB9" s="1090">
        <v>2070.697838</v>
      </c>
      <c r="AC9" s="1090">
        <v>2063.9887637219999</v>
      </c>
      <c r="AD9" s="1090">
        <v>2040.232839068</v>
      </c>
      <c r="AE9" s="1090">
        <v>2050.7080769660001</v>
      </c>
      <c r="AF9" s="1090">
        <v>1983.7230729349999</v>
      </c>
      <c r="AG9" s="1840" t="s">
        <v>4178</v>
      </c>
    </row>
    <row r="10" spans="1:34" ht="27.6" customHeight="1">
      <c r="A10" s="1840" t="s">
        <v>4168</v>
      </c>
      <c r="B10" s="1090">
        <v>1312.45923507764</v>
      </c>
      <c r="C10" s="1090">
        <v>1321.893857607</v>
      </c>
      <c r="D10" s="1090">
        <v>1263.940078629</v>
      </c>
      <c r="E10" s="1090">
        <v>1295.6504101400001</v>
      </c>
      <c r="F10" s="1090">
        <v>1335.4328588959997</v>
      </c>
      <c r="G10" s="1090">
        <v>1399.568059894</v>
      </c>
      <c r="H10" s="1090">
        <v>1386.95459934</v>
      </c>
      <c r="I10" s="1090">
        <v>1382.7760750999998</v>
      </c>
      <c r="J10" s="1090">
        <v>1352.102548175</v>
      </c>
      <c r="K10" s="1090">
        <v>1443.5526309459999</v>
      </c>
      <c r="L10" s="1090">
        <v>1476.771702322</v>
      </c>
      <c r="M10" s="1090">
        <v>1479.2877153056602</v>
      </c>
      <c r="N10" s="1090">
        <v>1368.9951407943597</v>
      </c>
      <c r="O10" s="1091">
        <v>1372.06675004826</v>
      </c>
      <c r="P10" s="1091">
        <v>1411.12206874512</v>
      </c>
      <c r="Q10" s="1091">
        <v>1457.3439998024801</v>
      </c>
      <c r="R10" s="1091">
        <v>1469.66034905176</v>
      </c>
      <c r="S10" s="1091">
        <v>1486.32391114302</v>
      </c>
      <c r="T10" s="1090">
        <v>1543.49412160572</v>
      </c>
      <c r="U10" s="1091">
        <v>1474.8824882756001</v>
      </c>
      <c r="V10" s="1090">
        <v>1459.3929233000299</v>
      </c>
      <c r="W10" s="1090">
        <v>1502.3849568078001</v>
      </c>
      <c r="X10" s="1090">
        <v>1511.5553177479001</v>
      </c>
      <c r="Y10" s="1090">
        <v>1551.2453139878</v>
      </c>
      <c r="Z10" s="1090">
        <v>1717.1654716549299</v>
      </c>
      <c r="AA10" s="1090">
        <v>1712.8130342275399</v>
      </c>
      <c r="AB10" s="1090">
        <v>1707.35773567504</v>
      </c>
      <c r="AC10" s="1090">
        <v>1756.2902100653901</v>
      </c>
      <c r="AD10" s="1090">
        <v>1708.22370662297</v>
      </c>
      <c r="AE10" s="1090">
        <v>1594.07674313489</v>
      </c>
      <c r="AF10" s="1090">
        <v>1742.44422359634</v>
      </c>
      <c r="AG10" s="1840" t="s">
        <v>4179</v>
      </c>
    </row>
    <row r="11" spans="1:34" ht="27.6" customHeight="1">
      <c r="A11" s="1840" t="s">
        <v>4169</v>
      </c>
      <c r="B11" s="1090">
        <v>1280.42097827</v>
      </c>
      <c r="C11" s="1090">
        <v>1243.94055959</v>
      </c>
      <c r="D11" s="1090">
        <v>1267.4227606500001</v>
      </c>
      <c r="E11" s="1090">
        <v>1275.6791270699998</v>
      </c>
      <c r="F11" s="1090">
        <v>1284.17471198</v>
      </c>
      <c r="G11" s="1090">
        <v>1338.4791985099998</v>
      </c>
      <c r="H11" s="1090">
        <v>1364.3361438200002</v>
      </c>
      <c r="I11" s="1090">
        <v>1361.8388569699998</v>
      </c>
      <c r="J11" s="1090">
        <v>1373.8632783329999</v>
      </c>
      <c r="K11" s="1090">
        <v>1370.8260890299998</v>
      </c>
      <c r="L11" s="1090">
        <v>1457.7923109629999</v>
      </c>
      <c r="M11" s="1090">
        <v>1480.9164941429999</v>
      </c>
      <c r="N11" s="1090">
        <v>1461.1214416329999</v>
      </c>
      <c r="O11" s="1091">
        <v>1473.3510600689999</v>
      </c>
      <c r="P11" s="1091">
        <v>1475.9471336690001</v>
      </c>
      <c r="Q11" s="1091">
        <v>1478.1709171799998</v>
      </c>
      <c r="R11" s="1091">
        <v>1475.261612004</v>
      </c>
      <c r="S11" s="1091">
        <v>1495.7527224089999</v>
      </c>
      <c r="T11" s="1090">
        <v>1588.4156255830001</v>
      </c>
      <c r="U11" s="1091">
        <v>1600.4262698340001</v>
      </c>
      <c r="V11" s="1090">
        <v>1620.24197063</v>
      </c>
      <c r="W11" s="1090">
        <v>1784.7809334599999</v>
      </c>
      <c r="X11" s="1090">
        <v>1793.565383461</v>
      </c>
      <c r="Y11" s="1090">
        <v>1890.4981343090001</v>
      </c>
      <c r="Z11" s="1090">
        <v>1907.10704377</v>
      </c>
      <c r="AA11" s="1090">
        <v>1893.1319278440001</v>
      </c>
      <c r="AB11" s="1090">
        <v>1907.6247609239999</v>
      </c>
      <c r="AC11" s="1090">
        <v>1969.8043495500001</v>
      </c>
      <c r="AD11" s="1090">
        <v>2037.8504741699999</v>
      </c>
      <c r="AE11" s="1090">
        <v>2035.7589968689999</v>
      </c>
      <c r="AF11" s="1090">
        <v>2594.0872505970001</v>
      </c>
      <c r="AG11" s="1840" t="s">
        <v>4180</v>
      </c>
    </row>
    <row r="12" spans="1:34" ht="27.6" customHeight="1">
      <c r="A12" s="1840" t="s">
        <v>4170</v>
      </c>
      <c r="B12" s="1090">
        <v>348.86793111000003</v>
      </c>
      <c r="C12" s="1090">
        <v>340.04047461999994</v>
      </c>
      <c r="D12" s="1090">
        <v>403.10920413000002</v>
      </c>
      <c r="E12" s="1090">
        <v>401.59036877</v>
      </c>
      <c r="F12" s="1090">
        <v>479.71402706000003</v>
      </c>
      <c r="G12" s="1090">
        <v>556.64225926500001</v>
      </c>
      <c r="H12" s="1090">
        <v>564.87891976499998</v>
      </c>
      <c r="I12" s="1090">
        <v>575.13781832500001</v>
      </c>
      <c r="J12" s="1090">
        <v>571.33636271</v>
      </c>
      <c r="K12" s="1090">
        <v>586.06902298</v>
      </c>
      <c r="L12" s="1090">
        <v>572.85428396599991</v>
      </c>
      <c r="M12" s="1090">
        <v>573.94164490599996</v>
      </c>
      <c r="N12" s="1090">
        <v>635.86888147000002</v>
      </c>
      <c r="O12" s="1091">
        <v>623.74203492000004</v>
      </c>
      <c r="P12" s="1091">
        <v>641.13133149999999</v>
      </c>
      <c r="Q12" s="1091">
        <v>656.52671729999997</v>
      </c>
      <c r="R12" s="1091">
        <v>661.15856285999996</v>
      </c>
      <c r="S12" s="1091">
        <v>666.34909446999995</v>
      </c>
      <c r="T12" s="1090">
        <v>670.26040424999997</v>
      </c>
      <c r="U12" s="1091">
        <v>679.78993691999995</v>
      </c>
      <c r="V12" s="1090">
        <v>697.19428646999995</v>
      </c>
      <c r="W12" s="1090">
        <v>721.52534044000004</v>
      </c>
      <c r="X12" s="1090">
        <v>756.04698469000004</v>
      </c>
      <c r="Y12" s="1090">
        <v>746.74636444999999</v>
      </c>
      <c r="Z12" s="1090">
        <v>784.75791560000005</v>
      </c>
      <c r="AA12" s="1090">
        <v>776.76208896000003</v>
      </c>
      <c r="AB12" s="1090">
        <v>764.93183994000003</v>
      </c>
      <c r="AC12" s="1090">
        <v>777.80516956999998</v>
      </c>
      <c r="AD12" s="1090">
        <v>772.72701986000004</v>
      </c>
      <c r="AE12" s="1090">
        <v>770.41564916000004</v>
      </c>
      <c r="AF12" s="1090">
        <v>794.87831927000002</v>
      </c>
      <c r="AG12" s="1840" t="s">
        <v>4181</v>
      </c>
    </row>
    <row r="13" spans="1:34" ht="27.6" customHeight="1">
      <c r="A13" s="1840" t="s">
        <v>4171</v>
      </c>
      <c r="B13" s="1090">
        <v>3605.9391308116296</v>
      </c>
      <c r="C13" s="1090">
        <v>3624.4857388367104</v>
      </c>
      <c r="D13" s="1090">
        <v>3696.8110239607695</v>
      </c>
      <c r="E13" s="1090">
        <v>3778.7441615747998</v>
      </c>
      <c r="F13" s="1090">
        <v>3866.8189561121499</v>
      </c>
      <c r="G13" s="1090">
        <v>3958.6552779496401</v>
      </c>
      <c r="H13" s="1090">
        <v>4002.4926566621598</v>
      </c>
      <c r="I13" s="1090">
        <v>4058.3009725215102</v>
      </c>
      <c r="J13" s="1090">
        <v>4037.8102209220201</v>
      </c>
      <c r="K13" s="1090">
        <v>4087.1303141521403</v>
      </c>
      <c r="L13" s="1090">
        <v>4148.7603918413197</v>
      </c>
      <c r="M13" s="1090">
        <v>4168.8310416962304</v>
      </c>
      <c r="N13" s="1090">
        <v>4248.4360773345197</v>
      </c>
      <c r="O13" s="1091">
        <v>4220.3424108270901</v>
      </c>
      <c r="P13" s="1091">
        <v>4172.6811791052396</v>
      </c>
      <c r="Q13" s="1091">
        <v>4222.6235976632706</v>
      </c>
      <c r="R13" s="1091">
        <v>4210.7158071724198</v>
      </c>
      <c r="S13" s="1091">
        <v>4254.5597607455802</v>
      </c>
      <c r="T13" s="1090">
        <v>4252.0177719766298</v>
      </c>
      <c r="U13" s="1091">
        <v>4253.9392363367997</v>
      </c>
      <c r="V13" s="1090">
        <v>4266.7440457015</v>
      </c>
      <c r="W13" s="1090">
        <v>4296.0938987066202</v>
      </c>
      <c r="X13" s="1090">
        <v>4239.4560732894597</v>
      </c>
      <c r="Y13" s="1090">
        <v>4147.7539803664004</v>
      </c>
      <c r="Z13" s="1090">
        <v>4218.4569043113797</v>
      </c>
      <c r="AA13" s="1090">
        <v>4136.2521306861399</v>
      </c>
      <c r="AB13" s="1090">
        <v>4208.5128859035603</v>
      </c>
      <c r="AC13" s="1090">
        <v>4222.14740746595</v>
      </c>
      <c r="AD13" s="1090">
        <v>4262.5293874915396</v>
      </c>
      <c r="AE13" s="1090">
        <v>4302.5690065133704</v>
      </c>
      <c r="AF13" s="1090">
        <v>4312.3064376254197</v>
      </c>
      <c r="AG13" s="1840" t="s">
        <v>4182</v>
      </c>
    </row>
    <row r="14" spans="1:34" ht="27.6" customHeight="1" thickBot="1">
      <c r="A14" s="1841" t="s">
        <v>4172</v>
      </c>
      <c r="B14" s="1094">
        <v>2201.9199390316799</v>
      </c>
      <c r="C14" s="1094">
        <v>2185.6225881003097</v>
      </c>
      <c r="D14" s="1094">
        <v>2248.4763236987601</v>
      </c>
      <c r="E14" s="1094">
        <v>2259.5849113100794</v>
      </c>
      <c r="F14" s="1094">
        <v>2318.7618324089599</v>
      </c>
      <c r="G14" s="1094">
        <v>2237.9915738847603</v>
      </c>
      <c r="H14" s="1094">
        <v>2280.8910382475001</v>
      </c>
      <c r="I14" s="1094">
        <v>2287.3740767657096</v>
      </c>
      <c r="J14" s="1094">
        <v>2356.22676535662</v>
      </c>
      <c r="K14" s="1094">
        <v>2456.3297791751702</v>
      </c>
      <c r="L14" s="1094">
        <v>2460.6528494477698</v>
      </c>
      <c r="M14" s="1094">
        <v>2523.8363995701498</v>
      </c>
      <c r="N14" s="1094">
        <v>2575.0731999816599</v>
      </c>
      <c r="O14" s="1095">
        <v>2553.8307674546099</v>
      </c>
      <c r="P14" s="1095">
        <v>2591.8883492157797</v>
      </c>
      <c r="Q14" s="1095">
        <v>2627.8141590486789</v>
      </c>
      <c r="R14" s="1095">
        <v>2667.4140276797998</v>
      </c>
      <c r="S14" s="1095">
        <v>2722.6753307266699</v>
      </c>
      <c r="T14" s="1094">
        <v>2591.6537864517304</v>
      </c>
      <c r="U14" s="1095">
        <v>2597.5672661854401</v>
      </c>
      <c r="V14" s="1094">
        <v>2587.5179915175599</v>
      </c>
      <c r="W14" s="1094">
        <v>2603.1427115482397</v>
      </c>
      <c r="X14" s="1094">
        <v>2641.3837572293514</v>
      </c>
      <c r="Y14" s="1094">
        <v>2752.6740880756997</v>
      </c>
      <c r="Z14" s="1094">
        <v>2611.1097178488217</v>
      </c>
      <c r="AA14" s="1094">
        <v>2628.634840453049</v>
      </c>
      <c r="AB14" s="1094">
        <v>2661.0288733955995</v>
      </c>
      <c r="AC14" s="1094">
        <v>2670.8446897621006</v>
      </c>
      <c r="AD14" s="1094">
        <v>2726.267799866001</v>
      </c>
      <c r="AE14" s="1094">
        <v>2882.4987366078904</v>
      </c>
      <c r="AF14" s="1094">
        <v>3036.2018350530598</v>
      </c>
      <c r="AG14" s="1841" t="s">
        <v>4183</v>
      </c>
    </row>
    <row r="15" spans="1:34" ht="3.6" customHeight="1"/>
    <row r="16" spans="1:34" ht="19.149999999999999" customHeight="1">
      <c r="A16" s="2742" t="s">
        <v>4294</v>
      </c>
      <c r="B16" s="2742"/>
      <c r="C16" s="2742"/>
      <c r="D16" s="2742"/>
      <c r="E16" s="2742"/>
      <c r="F16" s="2742"/>
      <c r="G16" s="2742"/>
      <c r="H16" s="2742"/>
      <c r="I16" s="2742"/>
      <c r="J16" s="2742"/>
      <c r="K16" s="2742"/>
      <c r="L16" s="2742"/>
      <c r="M16" s="2742"/>
      <c r="N16" s="2742"/>
      <c r="O16" s="2742"/>
      <c r="P16" s="2742"/>
      <c r="Q16" s="2742"/>
      <c r="R16" s="2742"/>
      <c r="S16" s="2742"/>
      <c r="T16" s="2742"/>
      <c r="U16" s="2742"/>
      <c r="V16" s="2742"/>
      <c r="W16" s="2742"/>
      <c r="X16" s="2742"/>
      <c r="Y16" s="2742"/>
      <c r="Z16" s="2742"/>
      <c r="AA16" s="2742"/>
      <c r="AB16" s="2742"/>
      <c r="AC16" s="2742"/>
      <c r="AD16" s="2742"/>
      <c r="AE16" s="2742"/>
      <c r="AF16" s="2742"/>
      <c r="AG16" s="2742"/>
    </row>
    <row r="17" spans="1:33" ht="21">
      <c r="A17" s="2742" t="s">
        <v>4185</v>
      </c>
      <c r="B17" s="2742"/>
      <c r="C17" s="2742"/>
      <c r="D17" s="2742"/>
      <c r="E17" s="2742"/>
      <c r="F17" s="2742"/>
      <c r="G17" s="2742"/>
      <c r="H17" s="2742"/>
      <c r="I17" s="2742"/>
      <c r="J17" s="2742"/>
      <c r="K17" s="2742"/>
      <c r="L17" s="2742"/>
      <c r="M17" s="2742"/>
      <c r="N17" s="2742"/>
      <c r="O17" s="2742"/>
      <c r="P17" s="2742"/>
      <c r="Q17" s="2742"/>
      <c r="R17" s="2742"/>
      <c r="S17" s="2742"/>
      <c r="T17" s="2742"/>
      <c r="U17" s="2742"/>
      <c r="V17" s="2742"/>
      <c r="W17" s="2742"/>
      <c r="X17" s="2742"/>
      <c r="Y17" s="2742"/>
      <c r="Z17" s="2742"/>
      <c r="AA17" s="2742"/>
      <c r="AB17" s="2742"/>
      <c r="AC17" s="2742"/>
      <c r="AD17" s="2742"/>
      <c r="AE17" s="2742"/>
      <c r="AF17" s="2742"/>
      <c r="AG17" s="2742"/>
    </row>
  </sheetData>
  <mergeCells count="5">
    <mergeCell ref="A17:AG17"/>
    <mergeCell ref="A5:AG5"/>
    <mergeCell ref="A16:AG16"/>
    <mergeCell ref="A2:AG2"/>
    <mergeCell ref="A3:AG3"/>
  </mergeCells>
  <pageMargins left="0.51181102362204722" right="0.51181102362204722" top="0.59055118110236227" bottom="0.59055118110236227" header="0.31496062992125984" footer="0.31496062992125984"/>
  <pageSetup paperSize="9" scale="24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D254-90D1-4810-AEBD-19D8AF348BBD}">
  <sheetPr codeName="Sheet64">
    <tabColor rgb="FF92D050"/>
  </sheetPr>
  <dimension ref="A1:Y12"/>
  <sheetViews>
    <sheetView showGridLines="0" view="pageBreakPreview" zoomScale="70" zoomScaleNormal="100" zoomScaleSheetLayoutView="70" workbookViewId="0">
      <pane xSplit="1" topLeftCell="I1" activePane="topRight" state="frozen"/>
      <selection activeCell="F40" sqref="F40"/>
      <selection pane="topRight" activeCell="X63" sqref="X63"/>
    </sheetView>
  </sheetViews>
  <sheetFormatPr defaultColWidth="9.140625" defaultRowHeight="18"/>
  <cols>
    <col min="1" max="1" width="72" style="1073" customWidth="1"/>
    <col min="2" max="2" width="17.7109375" style="895" customWidth="1"/>
    <col min="3" max="4" width="17.7109375" style="895" hidden="1" customWidth="1"/>
    <col min="5" max="23" width="17.7109375" style="895" customWidth="1"/>
    <col min="24" max="24" width="59.140625" style="1267" bestFit="1" customWidth="1"/>
    <col min="25" max="25" width="9.140625" style="1032"/>
    <col min="26" max="16384" width="9.140625" style="895"/>
  </cols>
  <sheetData>
    <row r="1" spans="1:25" ht="4.9000000000000004" customHeight="1"/>
    <row r="2" spans="1:25" s="896" customFormat="1" ht="26.45" customHeight="1">
      <c r="A2" s="2734" t="s">
        <v>4249</v>
      </c>
      <c r="B2" s="2734"/>
      <c r="C2" s="2734"/>
      <c r="D2" s="2734"/>
      <c r="E2" s="2734"/>
      <c r="F2" s="2734"/>
      <c r="G2" s="2734"/>
      <c r="H2" s="2734"/>
      <c r="I2" s="2734"/>
      <c r="J2" s="2734"/>
      <c r="K2" s="2734"/>
      <c r="L2" s="2734"/>
      <c r="M2" s="2734"/>
      <c r="N2" s="2734"/>
      <c r="O2" s="2734"/>
      <c r="P2" s="2734"/>
      <c r="Q2" s="2734"/>
      <c r="R2" s="2734"/>
      <c r="S2" s="2734"/>
      <c r="T2" s="2734"/>
      <c r="U2" s="2734"/>
      <c r="V2" s="2734"/>
      <c r="W2" s="2734"/>
      <c r="X2" s="2734"/>
      <c r="Y2" s="1075"/>
    </row>
    <row r="3" spans="1:25" s="896" customFormat="1" ht="28.9" customHeight="1">
      <c r="A3" s="2740" t="s">
        <v>4252</v>
      </c>
      <c r="B3" s="2740"/>
      <c r="C3" s="2740"/>
      <c r="D3" s="2740"/>
      <c r="E3" s="2740"/>
      <c r="F3" s="2740"/>
      <c r="G3" s="2740"/>
      <c r="H3" s="2740"/>
      <c r="I3" s="2740"/>
      <c r="J3" s="2740"/>
      <c r="K3" s="2740"/>
      <c r="L3" s="2740"/>
      <c r="M3" s="2740"/>
      <c r="N3" s="2740"/>
      <c r="O3" s="2740"/>
      <c r="P3" s="2740"/>
      <c r="Q3" s="2740"/>
      <c r="R3" s="2740"/>
      <c r="S3" s="2740"/>
      <c r="T3" s="2740"/>
      <c r="U3" s="2740"/>
      <c r="V3" s="2740"/>
      <c r="W3" s="2740"/>
      <c r="X3" s="2740"/>
      <c r="Y3" s="1075"/>
    </row>
    <row r="4" spans="1:25" s="896" customFormat="1" ht="12" customHeight="1">
      <c r="A4" s="1076"/>
      <c r="B4" s="1076"/>
      <c r="C4" s="1076"/>
      <c r="D4" s="1076"/>
      <c r="E4" s="1076"/>
      <c r="F4" s="1076"/>
      <c r="G4" s="1076"/>
      <c r="H4" s="1076"/>
      <c r="I4" s="1076"/>
      <c r="J4" s="1076"/>
      <c r="K4" s="1076"/>
      <c r="L4" s="1076"/>
      <c r="M4" s="1076"/>
      <c r="N4" s="1076"/>
      <c r="O4" s="1076"/>
      <c r="P4" s="1076"/>
      <c r="Q4" s="1076"/>
      <c r="R4" s="1076"/>
      <c r="S4" s="1076"/>
      <c r="T4" s="1076"/>
      <c r="U4" s="1076"/>
      <c r="V4" s="1076"/>
      <c r="W4" s="1076"/>
      <c r="X4" s="1076"/>
      <c r="Y4" s="1075"/>
    </row>
    <row r="5" spans="1:25" s="896" customFormat="1" ht="18.600000000000001" customHeight="1" thickBot="1">
      <c r="A5" s="2744" t="s">
        <v>4253</v>
      </c>
      <c r="B5" s="2744"/>
      <c r="C5" s="2744"/>
      <c r="D5" s="2744"/>
      <c r="E5" s="2744"/>
      <c r="F5" s="2744"/>
      <c r="G5" s="2744"/>
      <c r="H5" s="2744"/>
      <c r="I5" s="2744"/>
      <c r="J5" s="2744"/>
      <c r="K5" s="2744"/>
      <c r="L5" s="2744"/>
      <c r="M5" s="2744"/>
      <c r="N5" s="2744"/>
      <c r="O5" s="2744"/>
      <c r="P5" s="2744"/>
      <c r="Q5" s="2744"/>
      <c r="R5" s="2744"/>
      <c r="S5" s="2744"/>
      <c r="T5" s="2744"/>
      <c r="U5" s="2744"/>
      <c r="V5" s="2744"/>
      <c r="W5" s="2744"/>
      <c r="X5" s="2744"/>
      <c r="Y5" s="1075"/>
    </row>
    <row r="6" spans="1:25" ht="30.6" customHeight="1" thickBot="1">
      <c r="A6" s="1077" t="s">
        <v>4248</v>
      </c>
      <c r="B6" s="980">
        <v>45291</v>
      </c>
      <c r="C6" s="980">
        <v>45473</v>
      </c>
      <c r="D6" s="980">
        <v>45565</v>
      </c>
      <c r="E6" s="1079">
        <v>45657</v>
      </c>
      <c r="F6" s="1079">
        <v>45688</v>
      </c>
      <c r="G6" s="1079">
        <v>45716</v>
      </c>
      <c r="H6" s="1079">
        <v>45747</v>
      </c>
      <c r="I6" s="1079">
        <v>45777</v>
      </c>
      <c r="J6" s="1079">
        <v>45808</v>
      </c>
      <c r="K6" s="1079">
        <v>45838</v>
      </c>
      <c r="L6" s="1079">
        <v>45869</v>
      </c>
      <c r="M6" s="1079">
        <v>45900</v>
      </c>
      <c r="N6" s="1079">
        <v>45930</v>
      </c>
      <c r="O6" s="1079">
        <v>45961</v>
      </c>
      <c r="P6" s="1079">
        <v>45991</v>
      </c>
      <c r="Q6" s="1079">
        <v>46022</v>
      </c>
      <c r="R6" s="1079">
        <v>46053</v>
      </c>
      <c r="S6" s="1079">
        <v>46081</v>
      </c>
      <c r="T6" s="1079">
        <v>46112</v>
      </c>
      <c r="U6" s="1079">
        <v>46142</v>
      </c>
      <c r="V6" s="1079">
        <v>46173</v>
      </c>
      <c r="W6" s="1079">
        <v>46203</v>
      </c>
      <c r="X6" s="1077" t="s">
        <v>3111</v>
      </c>
    </row>
    <row r="7" spans="1:25" ht="48.6" customHeight="1" thickBot="1">
      <c r="A7" s="1941" t="s">
        <v>4254</v>
      </c>
      <c r="B7" s="1942">
        <v>106723</v>
      </c>
      <c r="C7" s="1942">
        <v>130723</v>
      </c>
      <c r="D7" s="1942">
        <v>136578</v>
      </c>
      <c r="E7" s="1943">
        <v>150519</v>
      </c>
      <c r="F7" s="1943">
        <v>154181</v>
      </c>
      <c r="G7" s="1943">
        <v>156196</v>
      </c>
      <c r="H7" s="1943">
        <v>158257</v>
      </c>
      <c r="I7" s="1943">
        <v>161856</v>
      </c>
      <c r="J7" s="1943">
        <v>165061</v>
      </c>
      <c r="K7" s="1943">
        <v>168173</v>
      </c>
      <c r="L7" s="1943">
        <v>173702</v>
      </c>
      <c r="M7" s="1943">
        <v>177651</v>
      </c>
      <c r="N7" s="1943">
        <v>181157</v>
      </c>
      <c r="O7" s="1943">
        <v>185969</v>
      </c>
      <c r="P7" s="1943">
        <v>190928</v>
      </c>
      <c r="Q7" s="1943">
        <v>194134</v>
      </c>
      <c r="R7" s="1943">
        <v>197073</v>
      </c>
      <c r="S7" s="1943">
        <v>202082</v>
      </c>
      <c r="T7" s="1943">
        <v>207469</v>
      </c>
      <c r="U7" s="1943">
        <v>209632</v>
      </c>
      <c r="V7" s="1943">
        <v>216124</v>
      </c>
      <c r="W7" s="1943">
        <v>220609</v>
      </c>
      <c r="X7" s="1941" t="s">
        <v>4255</v>
      </c>
    </row>
    <row r="8" spans="1:25" ht="19.5">
      <c r="A8" s="1265" t="s">
        <v>3261</v>
      </c>
      <c r="X8" s="1269"/>
    </row>
    <row r="9" spans="1:25">
      <c r="X9" s="1269"/>
    </row>
    <row r="10" spans="1:25">
      <c r="B10" s="1101"/>
      <c r="C10" s="1101"/>
      <c r="D10" s="1101"/>
      <c r="E10" s="1101"/>
      <c r="F10" s="1940"/>
      <c r="G10" s="1940"/>
      <c r="H10" s="1940"/>
      <c r="I10" s="1940"/>
      <c r="J10" s="1940"/>
      <c r="K10" s="1940"/>
      <c r="L10" s="1940"/>
      <c r="M10" s="1940"/>
      <c r="N10" s="1940"/>
      <c r="O10" s="1940"/>
      <c r="P10" s="1940"/>
      <c r="Q10" s="1940"/>
      <c r="R10" s="1940"/>
      <c r="S10" s="1940"/>
      <c r="T10" s="1940"/>
      <c r="U10" s="1940"/>
      <c r="V10" s="1940"/>
      <c r="W10" s="1940"/>
    </row>
    <row r="11" spans="1:25">
      <c r="B11" s="1072"/>
      <c r="C11" s="1072"/>
      <c r="D11" s="1072"/>
      <c r="E11" s="1072"/>
      <c r="F11" s="1072"/>
      <c r="G11" s="1072"/>
      <c r="H11" s="1072"/>
      <c r="I11" s="1072"/>
      <c r="J11" s="1072"/>
      <c r="K11" s="1072"/>
      <c r="L11" s="1072"/>
      <c r="M11" s="1072"/>
      <c r="N11" s="1072"/>
      <c r="O11" s="1072"/>
      <c r="P11" s="1072"/>
      <c r="Q11" s="1072"/>
      <c r="R11" s="1072"/>
      <c r="S11" s="1072"/>
      <c r="T11" s="1072"/>
      <c r="U11" s="1072"/>
      <c r="V11" s="1072"/>
      <c r="W11" s="1072"/>
    </row>
    <row r="12" spans="1:25">
      <c r="B12" s="1032"/>
      <c r="C12" s="1032"/>
      <c r="D12" s="1032"/>
      <c r="E12" s="1032"/>
      <c r="F12" s="1032"/>
      <c r="G12" s="1032"/>
      <c r="H12" s="1032"/>
      <c r="I12" s="1032"/>
      <c r="J12" s="1032"/>
      <c r="K12" s="1032"/>
      <c r="L12" s="1032"/>
      <c r="M12" s="1032"/>
      <c r="N12" s="1032"/>
      <c r="O12" s="1032"/>
      <c r="P12" s="1032"/>
      <c r="Q12" s="1032"/>
      <c r="R12" s="1032"/>
      <c r="S12" s="1032"/>
      <c r="T12" s="1032"/>
      <c r="U12" s="1032"/>
      <c r="V12" s="1032"/>
      <c r="W12" s="1032"/>
    </row>
  </sheetData>
  <mergeCells count="3">
    <mergeCell ref="A5:X5"/>
    <mergeCell ref="A2:X2"/>
    <mergeCell ref="A3:X3"/>
  </mergeCells>
  <pageMargins left="0.7" right="0.7" top="0.75" bottom="0.75" header="0.3" footer="0.3"/>
  <pageSetup scale="17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DFE9E-9448-463D-91CF-113385573835}">
  <sheetPr>
    <tabColor rgb="FF92D050"/>
  </sheetPr>
  <dimension ref="A2:MK147"/>
  <sheetViews>
    <sheetView showGridLines="0" view="pageBreakPreview" zoomScale="55" zoomScaleNormal="60" zoomScaleSheetLayoutView="55" workbookViewId="0">
      <pane xSplit="2" ySplit="10" topLeftCell="HZ11" activePane="bottomRight" state="frozen"/>
      <selection activeCell="F40" sqref="F40"/>
      <selection pane="topRight" activeCell="F40" sqref="F40"/>
      <selection pane="bottomLeft" activeCell="F40" sqref="F40"/>
      <selection pane="bottomRight" activeCell="IS49" sqref="IS49"/>
    </sheetView>
  </sheetViews>
  <sheetFormatPr defaultColWidth="9.140625" defaultRowHeight="15"/>
  <cols>
    <col min="1" max="1" width="7.7109375" style="1660" customWidth="1"/>
    <col min="2" max="2" width="93.140625" style="1660" customWidth="1"/>
    <col min="3" max="3" width="18.42578125" style="373" hidden="1" customWidth="1"/>
    <col min="4" max="4" width="18.42578125" style="1660" hidden="1" customWidth="1"/>
    <col min="5" max="14" width="18.42578125" style="1648" hidden="1" customWidth="1"/>
    <col min="15" max="16" width="18.28515625" style="1648" hidden="1" customWidth="1"/>
    <col min="17" max="30" width="18.42578125" style="1648" hidden="1" customWidth="1"/>
    <col min="31" max="31" width="19.28515625" style="1648" hidden="1" customWidth="1"/>
    <col min="32" max="50" width="18.42578125" style="1648" hidden="1" customWidth="1"/>
    <col min="51" max="68" width="18.42578125" style="372" hidden="1" customWidth="1"/>
    <col min="69" max="70" width="18.5703125" style="372" hidden="1" customWidth="1"/>
    <col min="71" max="74" width="18.42578125" style="372" hidden="1" customWidth="1"/>
    <col min="75" max="76" width="18.7109375" style="1648" hidden="1" customWidth="1"/>
    <col min="77" max="78" width="18.28515625" style="1648" hidden="1" customWidth="1"/>
    <col min="79" max="79" width="18.7109375" style="1648" hidden="1" customWidth="1"/>
    <col min="80" max="80" width="16.7109375" style="1648" hidden="1" customWidth="1"/>
    <col min="81" max="81" width="20.28515625" style="1648" hidden="1" customWidth="1"/>
    <col min="82" max="82" width="16.7109375" style="1648" hidden="1" customWidth="1"/>
    <col min="83" max="84" width="20.42578125" style="1648" hidden="1" customWidth="1"/>
    <col min="85" max="96" width="18.7109375" style="1648" hidden="1" customWidth="1"/>
    <col min="97" max="98" width="18.42578125" style="1648" hidden="1" customWidth="1"/>
    <col min="99" max="102" width="18.85546875" style="1648" hidden="1" customWidth="1"/>
    <col min="103" max="108" width="18.7109375" style="1648" hidden="1" customWidth="1"/>
    <col min="109" max="110" width="18.5703125" style="1648" hidden="1" customWidth="1"/>
    <col min="111" max="114" width="18.42578125" style="1648" hidden="1" customWidth="1"/>
    <col min="115" max="118" width="18.28515625" style="1648" hidden="1" customWidth="1"/>
    <col min="119" max="134" width="18.140625" style="1648" hidden="1" customWidth="1"/>
    <col min="135" max="135" width="26.140625" style="1648" hidden="1" customWidth="1"/>
    <col min="136" max="136" width="0.28515625" style="1648" hidden="1" customWidth="1"/>
    <col min="137" max="140" width="18.140625" style="1648" hidden="1" customWidth="1"/>
    <col min="141" max="142" width="18.85546875" style="1648" hidden="1" customWidth="1"/>
    <col min="143" max="143" width="19" style="1648" hidden="1" customWidth="1"/>
    <col min="144" max="144" width="19.5703125" style="1648" hidden="1" customWidth="1"/>
    <col min="145" max="145" width="19" style="1648" hidden="1" customWidth="1"/>
    <col min="146" max="148" width="19.5703125" style="1648" hidden="1" customWidth="1"/>
    <col min="149" max="149" width="22.140625" style="1648" hidden="1" customWidth="1"/>
    <col min="150" max="150" width="21.7109375" style="1648" hidden="1" customWidth="1"/>
    <col min="151" max="151" width="20.28515625" style="1648" hidden="1" customWidth="1"/>
    <col min="152" max="152" width="19.28515625" style="1648" hidden="1" customWidth="1"/>
    <col min="153" max="153" width="20.42578125" style="1648" hidden="1" customWidth="1"/>
    <col min="154" max="155" width="19.42578125" style="1648" hidden="1" customWidth="1"/>
    <col min="156" max="156" width="21.140625" style="1648" hidden="1" customWidth="1"/>
    <col min="157" max="157" width="18.28515625" style="1648" hidden="1" customWidth="1"/>
    <col min="158" max="158" width="20.140625" style="1648" hidden="1" customWidth="1"/>
    <col min="159" max="160" width="20.42578125" style="1648" hidden="1" customWidth="1"/>
    <col min="161" max="163" width="20.140625" style="1648" hidden="1" customWidth="1"/>
    <col min="164" max="192" width="21.140625" style="1648" hidden="1" customWidth="1"/>
    <col min="193" max="220" width="21.42578125" style="1648" hidden="1" customWidth="1"/>
    <col min="221" max="222" width="21.42578125" style="1648" customWidth="1"/>
    <col min="223" max="226" width="21.42578125" style="1648" hidden="1" customWidth="1"/>
    <col min="227" max="228" width="21.42578125" style="1648" customWidth="1"/>
    <col min="229" max="232" width="21.42578125" style="1648" hidden="1" customWidth="1"/>
    <col min="233" max="234" width="21.42578125" style="1648" customWidth="1"/>
    <col min="235" max="238" width="21.42578125" style="1648" hidden="1" customWidth="1"/>
    <col min="239" max="252" width="21.42578125" style="1648" customWidth="1"/>
    <col min="253" max="253" width="92.5703125" style="1660" customWidth="1"/>
    <col min="254" max="16384" width="9.140625" style="1648"/>
  </cols>
  <sheetData>
    <row r="2" spans="1:349" ht="36" customHeight="1">
      <c r="A2" s="2754" t="s">
        <v>4078</v>
      </c>
      <c r="B2" s="2754"/>
      <c r="C2" s="2754"/>
      <c r="D2" s="2754"/>
      <c r="E2" s="2754"/>
      <c r="F2" s="2754"/>
      <c r="G2" s="2754"/>
      <c r="H2" s="2754"/>
      <c r="I2" s="2754"/>
      <c r="J2" s="2754"/>
      <c r="K2" s="2754"/>
      <c r="L2" s="2754"/>
      <c r="M2" s="2754"/>
      <c r="N2" s="2754"/>
      <c r="O2" s="2754"/>
      <c r="P2" s="2754"/>
      <c r="Q2" s="2754"/>
      <c r="R2" s="2754"/>
      <c r="S2" s="2754"/>
      <c r="T2" s="2754"/>
      <c r="U2" s="2754"/>
      <c r="V2" s="2754"/>
      <c r="W2" s="2754"/>
      <c r="X2" s="2754"/>
      <c r="Y2" s="2754"/>
      <c r="Z2" s="2754"/>
      <c r="AA2" s="2754"/>
      <c r="AB2" s="2754"/>
      <c r="AC2" s="2754"/>
      <c r="AD2" s="2754"/>
      <c r="AE2" s="2754"/>
      <c r="AF2" s="2754"/>
      <c r="AG2" s="2754"/>
      <c r="AH2" s="2754"/>
      <c r="AI2" s="2754"/>
      <c r="AJ2" s="2754"/>
      <c r="AK2" s="2754"/>
      <c r="AL2" s="2754"/>
      <c r="AM2" s="2754"/>
      <c r="AN2" s="2754"/>
      <c r="AO2" s="2754"/>
      <c r="AP2" s="2754"/>
      <c r="AQ2" s="2754"/>
      <c r="AR2" s="2754"/>
      <c r="AS2" s="2754"/>
      <c r="AT2" s="2754"/>
      <c r="AU2" s="2754"/>
      <c r="AV2" s="2754"/>
      <c r="AW2" s="2754"/>
      <c r="AX2" s="2754"/>
      <c r="AY2" s="2754"/>
      <c r="AZ2" s="2754"/>
      <c r="BA2" s="2754"/>
      <c r="BB2" s="2754"/>
      <c r="BC2" s="2754"/>
      <c r="BD2" s="2754"/>
      <c r="BE2" s="2754"/>
      <c r="BF2" s="2754"/>
      <c r="BG2" s="2754"/>
      <c r="BH2" s="2754"/>
      <c r="BI2" s="2754"/>
      <c r="BJ2" s="2754"/>
      <c r="BK2" s="2754"/>
      <c r="BL2" s="2754"/>
      <c r="BM2" s="2754"/>
      <c r="BN2" s="2754"/>
      <c r="BO2" s="2754"/>
      <c r="BP2" s="2754"/>
      <c r="BQ2" s="2754"/>
      <c r="BR2" s="2754"/>
      <c r="BS2" s="2754"/>
      <c r="BT2" s="2754"/>
      <c r="BU2" s="2754"/>
      <c r="BV2" s="2754"/>
      <c r="BW2" s="2754"/>
      <c r="BX2" s="2754"/>
      <c r="BY2" s="2754"/>
      <c r="BZ2" s="2754"/>
      <c r="CA2" s="2754"/>
      <c r="CB2" s="2754"/>
      <c r="CC2" s="2754"/>
      <c r="CD2" s="2754"/>
      <c r="CE2" s="2754"/>
      <c r="CF2" s="2754"/>
      <c r="CG2" s="2754"/>
      <c r="CH2" s="2754"/>
      <c r="CI2" s="2754"/>
      <c r="CJ2" s="2754"/>
      <c r="CK2" s="2754"/>
      <c r="CL2" s="2754"/>
      <c r="CM2" s="2754"/>
      <c r="CN2" s="2754"/>
      <c r="CO2" s="2754"/>
      <c r="CP2" s="2754"/>
      <c r="CQ2" s="2754"/>
      <c r="CR2" s="2754"/>
      <c r="CS2" s="2754"/>
      <c r="CT2" s="2754"/>
      <c r="CU2" s="2754"/>
      <c r="CV2" s="2754"/>
      <c r="CW2" s="2754"/>
      <c r="CX2" s="2754"/>
      <c r="CY2" s="2754"/>
      <c r="CZ2" s="2754"/>
      <c r="DA2" s="2754"/>
      <c r="DB2" s="2754"/>
      <c r="DC2" s="2754"/>
      <c r="DD2" s="2754"/>
      <c r="DE2" s="2754"/>
      <c r="DF2" s="2754"/>
      <c r="DG2" s="2754"/>
      <c r="DH2" s="2754"/>
      <c r="DI2" s="2754"/>
      <c r="DJ2" s="2754"/>
      <c r="DK2" s="2754"/>
      <c r="DL2" s="2754"/>
      <c r="DM2" s="2754"/>
      <c r="DN2" s="2754"/>
      <c r="DO2" s="2754"/>
      <c r="DP2" s="2754"/>
      <c r="DQ2" s="2754"/>
      <c r="DR2" s="2754"/>
      <c r="DS2" s="2754"/>
      <c r="DT2" s="2754"/>
      <c r="DU2" s="2754"/>
      <c r="DV2" s="2754"/>
      <c r="DW2" s="2754"/>
      <c r="DX2" s="2754"/>
      <c r="DY2" s="2754"/>
      <c r="DZ2" s="2754"/>
      <c r="EA2" s="2754"/>
      <c r="EB2" s="2754"/>
      <c r="EC2" s="2754"/>
      <c r="ED2" s="2754"/>
      <c r="EE2" s="2754"/>
      <c r="EF2" s="2754"/>
      <c r="EG2" s="2754"/>
      <c r="EH2" s="2754"/>
      <c r="EI2" s="2754"/>
      <c r="EJ2" s="2754"/>
      <c r="EK2" s="2754"/>
      <c r="EL2" s="2754"/>
      <c r="EM2" s="2754"/>
      <c r="EN2" s="2754"/>
      <c r="EO2" s="2754"/>
      <c r="EP2" s="2754"/>
      <c r="EQ2" s="2754"/>
      <c r="ER2" s="2754"/>
      <c r="ES2" s="2754"/>
      <c r="ET2" s="2754"/>
      <c r="EU2" s="2754"/>
      <c r="EV2" s="2754"/>
      <c r="EW2" s="2754"/>
      <c r="EX2" s="2754"/>
      <c r="EY2" s="2754"/>
      <c r="EZ2" s="2754"/>
      <c r="FA2" s="2754"/>
      <c r="FB2" s="2754"/>
      <c r="FC2" s="2754"/>
      <c r="FD2" s="2754"/>
      <c r="FE2" s="2754"/>
      <c r="FF2" s="2754"/>
      <c r="FG2" s="2754"/>
      <c r="FH2" s="2754"/>
      <c r="FI2" s="2754"/>
      <c r="FJ2" s="2754"/>
      <c r="FK2" s="2754"/>
      <c r="FL2" s="2754"/>
      <c r="FM2" s="2754"/>
      <c r="FN2" s="2754"/>
      <c r="FO2" s="2754"/>
      <c r="FP2" s="2754"/>
      <c r="FQ2" s="2754"/>
      <c r="FR2" s="2754"/>
      <c r="FS2" s="2754"/>
      <c r="FT2" s="2754"/>
      <c r="FU2" s="2754"/>
      <c r="FV2" s="2754"/>
      <c r="FW2" s="2754"/>
      <c r="FX2" s="2754"/>
      <c r="FY2" s="2754"/>
      <c r="FZ2" s="2754"/>
      <c r="GA2" s="2754"/>
      <c r="GB2" s="2754"/>
      <c r="GC2" s="2754"/>
      <c r="GD2" s="2754"/>
      <c r="GE2" s="2754"/>
      <c r="GF2" s="2754"/>
      <c r="GG2" s="2754"/>
      <c r="GH2" s="2754"/>
      <c r="GI2" s="2754"/>
      <c r="GJ2" s="2754"/>
      <c r="GK2" s="2754"/>
      <c r="GL2" s="2754"/>
      <c r="GM2" s="2754"/>
      <c r="GN2" s="2754"/>
      <c r="GO2" s="2754"/>
      <c r="GP2" s="2754"/>
      <c r="GQ2" s="2754"/>
      <c r="GR2" s="2754"/>
      <c r="GS2" s="2754"/>
      <c r="GT2" s="2754"/>
      <c r="GU2" s="2754"/>
      <c r="GV2" s="2754"/>
      <c r="GW2" s="2754"/>
      <c r="GX2" s="2754"/>
      <c r="GY2" s="2754"/>
      <c r="GZ2" s="2754"/>
      <c r="HA2" s="2754"/>
      <c r="HB2" s="2754"/>
      <c r="HC2" s="2754"/>
      <c r="HD2" s="2754"/>
      <c r="HE2" s="2754"/>
      <c r="HF2" s="2754"/>
      <c r="HG2" s="2754"/>
      <c r="HH2" s="2754"/>
      <c r="HI2" s="2754"/>
      <c r="HJ2" s="2754"/>
      <c r="HK2" s="2754"/>
      <c r="HL2" s="2754"/>
      <c r="HM2" s="2754"/>
      <c r="HN2" s="2754"/>
      <c r="HO2" s="2754"/>
      <c r="HP2" s="2754"/>
      <c r="HQ2" s="2754"/>
      <c r="HR2" s="2754"/>
      <c r="HS2" s="2754"/>
      <c r="HT2" s="2754"/>
      <c r="HU2" s="2754"/>
      <c r="HV2" s="2754"/>
      <c r="HW2" s="2754"/>
      <c r="HX2" s="2754"/>
      <c r="HY2" s="2754"/>
      <c r="HZ2" s="2754"/>
      <c r="IA2" s="2754"/>
      <c r="IB2" s="2754"/>
      <c r="IC2" s="2754"/>
      <c r="ID2" s="2754"/>
      <c r="IE2" s="2754"/>
      <c r="IF2" s="2754"/>
      <c r="IG2" s="2754"/>
      <c r="IH2" s="2754"/>
      <c r="II2" s="2754"/>
      <c r="IJ2" s="2754"/>
      <c r="IK2" s="2754"/>
      <c r="IL2" s="2754"/>
      <c r="IM2" s="2754"/>
      <c r="IN2" s="2754"/>
      <c r="IO2" s="2754"/>
      <c r="IP2" s="2754"/>
      <c r="IQ2" s="2754"/>
      <c r="IR2" s="2754"/>
      <c r="IS2" s="2754"/>
      <c r="IT2" s="1647"/>
      <c r="IU2" s="1647"/>
      <c r="IV2" s="1647"/>
      <c r="IW2" s="1647"/>
      <c r="IX2" s="1647"/>
      <c r="IY2" s="1647"/>
      <c r="IZ2" s="1647"/>
      <c r="JA2" s="1647"/>
      <c r="JB2" s="1647"/>
      <c r="JC2" s="1647"/>
      <c r="JD2" s="1647"/>
      <c r="JE2" s="1647"/>
      <c r="JF2" s="1647"/>
      <c r="JG2" s="1647"/>
      <c r="JH2" s="1647"/>
      <c r="JI2" s="1647"/>
      <c r="JJ2" s="1647"/>
      <c r="JK2" s="1647"/>
      <c r="JL2" s="1647"/>
      <c r="JM2" s="1647"/>
      <c r="JN2" s="1647"/>
      <c r="JO2" s="1647"/>
      <c r="JP2" s="1647"/>
      <c r="JQ2" s="1647"/>
      <c r="JR2" s="1647"/>
      <c r="JS2" s="1647"/>
      <c r="JT2" s="1647"/>
      <c r="JU2" s="1647"/>
      <c r="JV2" s="1647"/>
      <c r="JW2" s="1647"/>
      <c r="JX2" s="1647"/>
      <c r="JY2" s="1647"/>
      <c r="JZ2" s="1647"/>
      <c r="KA2" s="1647"/>
      <c r="KB2" s="1647"/>
      <c r="KC2" s="1647"/>
      <c r="KD2" s="1647"/>
      <c r="KE2" s="1647"/>
      <c r="KF2" s="1647"/>
      <c r="KG2" s="1647"/>
      <c r="KH2" s="1647"/>
      <c r="KI2" s="1647"/>
      <c r="KJ2" s="1647"/>
      <c r="KK2" s="1647"/>
      <c r="KL2" s="1647"/>
      <c r="KM2" s="1647"/>
      <c r="KN2" s="1647"/>
      <c r="KO2" s="1647"/>
      <c r="KP2" s="1647"/>
      <c r="KQ2" s="1647"/>
      <c r="KR2" s="1647"/>
      <c r="KS2" s="1647"/>
      <c r="KT2" s="1647"/>
      <c r="KU2" s="1647"/>
      <c r="KV2" s="1647"/>
      <c r="KW2" s="1647"/>
      <c r="KX2" s="1647"/>
      <c r="KY2" s="1647"/>
      <c r="KZ2" s="1647"/>
      <c r="LA2" s="1647"/>
      <c r="LB2" s="1647"/>
      <c r="LC2" s="1647"/>
      <c r="LD2" s="1647"/>
      <c r="LE2" s="1647"/>
      <c r="LF2" s="1647"/>
      <c r="LG2" s="1647"/>
      <c r="LH2" s="1647"/>
      <c r="LI2" s="1647"/>
      <c r="LJ2" s="1647"/>
      <c r="LK2" s="1647"/>
      <c r="LL2" s="1647"/>
      <c r="LM2" s="1647"/>
      <c r="LN2" s="1647"/>
      <c r="LO2" s="1647"/>
      <c r="LP2" s="1647"/>
      <c r="LQ2" s="1647"/>
    </row>
    <row r="3" spans="1:349" ht="68.45" customHeight="1">
      <c r="A3" s="2755" t="s">
        <v>4079</v>
      </c>
      <c r="B3" s="2756"/>
      <c r="C3" s="2756"/>
      <c r="D3" s="2756"/>
      <c r="E3" s="2756"/>
      <c r="F3" s="2756"/>
      <c r="G3" s="2756"/>
      <c r="H3" s="2756"/>
      <c r="I3" s="2756"/>
      <c r="J3" s="2756"/>
      <c r="K3" s="2756"/>
      <c r="L3" s="2756"/>
      <c r="M3" s="2756"/>
      <c r="N3" s="2756"/>
      <c r="O3" s="2756"/>
      <c r="P3" s="2756"/>
      <c r="Q3" s="2756"/>
      <c r="R3" s="2756"/>
      <c r="S3" s="2756"/>
      <c r="T3" s="2756"/>
      <c r="U3" s="2756"/>
      <c r="V3" s="2756"/>
      <c r="W3" s="2756"/>
      <c r="X3" s="2756"/>
      <c r="Y3" s="2756"/>
      <c r="Z3" s="2756"/>
      <c r="AA3" s="2756"/>
      <c r="AB3" s="2756"/>
      <c r="AC3" s="2756"/>
      <c r="AD3" s="2756"/>
      <c r="AE3" s="2756"/>
      <c r="AF3" s="2756"/>
      <c r="AG3" s="2756"/>
      <c r="AH3" s="2756"/>
      <c r="AI3" s="2756"/>
      <c r="AJ3" s="2756"/>
      <c r="AK3" s="2756"/>
      <c r="AL3" s="2756"/>
      <c r="AM3" s="2756"/>
      <c r="AN3" s="2756"/>
      <c r="AO3" s="2756"/>
      <c r="AP3" s="2756"/>
      <c r="AQ3" s="2756"/>
      <c r="AR3" s="2756"/>
      <c r="AS3" s="2756"/>
      <c r="AT3" s="2756"/>
      <c r="AU3" s="2756"/>
      <c r="AV3" s="2756"/>
      <c r="AW3" s="2756"/>
      <c r="AX3" s="2756"/>
      <c r="AY3" s="2756"/>
      <c r="AZ3" s="2756"/>
      <c r="BA3" s="2756"/>
      <c r="BB3" s="2756"/>
      <c r="BC3" s="2756"/>
      <c r="BD3" s="2756"/>
      <c r="BE3" s="2756"/>
      <c r="BF3" s="2756"/>
      <c r="BG3" s="2756"/>
      <c r="BH3" s="2756"/>
      <c r="BI3" s="2756"/>
      <c r="BJ3" s="2756"/>
      <c r="BK3" s="2756"/>
      <c r="BL3" s="2756"/>
      <c r="BM3" s="2756"/>
      <c r="BN3" s="2756"/>
      <c r="BO3" s="2756"/>
      <c r="BP3" s="2756"/>
      <c r="BQ3" s="2756"/>
      <c r="BR3" s="2756"/>
      <c r="BS3" s="2756"/>
      <c r="BT3" s="2756"/>
      <c r="BU3" s="2756"/>
      <c r="BV3" s="2756"/>
      <c r="BW3" s="2756"/>
      <c r="BX3" s="2756"/>
      <c r="BY3" s="2756"/>
      <c r="BZ3" s="2756"/>
      <c r="CA3" s="2756"/>
      <c r="CB3" s="2756"/>
      <c r="CC3" s="2756"/>
      <c r="CD3" s="2756"/>
      <c r="CE3" s="2756"/>
      <c r="CF3" s="2756"/>
      <c r="CG3" s="2756"/>
      <c r="CH3" s="2756"/>
      <c r="CI3" s="2756"/>
      <c r="CJ3" s="2756"/>
      <c r="CK3" s="2756"/>
      <c r="CL3" s="2756"/>
      <c r="CM3" s="2756"/>
      <c r="CN3" s="2756"/>
      <c r="CO3" s="2756"/>
      <c r="CP3" s="2756"/>
      <c r="CQ3" s="2756"/>
      <c r="CR3" s="2756"/>
      <c r="CS3" s="2756"/>
      <c r="CT3" s="2756"/>
      <c r="CU3" s="2756"/>
      <c r="CV3" s="2756"/>
      <c r="CW3" s="2756"/>
      <c r="CX3" s="2756"/>
      <c r="CY3" s="2756"/>
      <c r="CZ3" s="2756"/>
      <c r="DA3" s="2756"/>
      <c r="DB3" s="2756"/>
      <c r="DC3" s="2756"/>
      <c r="DD3" s="2756"/>
      <c r="DE3" s="2756"/>
      <c r="DF3" s="2756"/>
      <c r="DG3" s="2756"/>
      <c r="DH3" s="2756"/>
      <c r="DI3" s="2756"/>
      <c r="DJ3" s="2756"/>
      <c r="DK3" s="2756"/>
      <c r="DL3" s="2756"/>
      <c r="DM3" s="2756"/>
      <c r="DN3" s="2756"/>
      <c r="DO3" s="2756"/>
      <c r="DP3" s="2756"/>
      <c r="DQ3" s="2756"/>
      <c r="DR3" s="2756"/>
      <c r="DS3" s="2756"/>
      <c r="DT3" s="2756"/>
      <c r="DU3" s="2756"/>
      <c r="DV3" s="2756"/>
      <c r="DW3" s="2756"/>
      <c r="DX3" s="2756"/>
      <c r="DY3" s="2756"/>
      <c r="DZ3" s="2756"/>
      <c r="EA3" s="2756"/>
      <c r="EB3" s="2756"/>
      <c r="EC3" s="2756"/>
      <c r="ED3" s="2756"/>
      <c r="EE3" s="2756"/>
      <c r="EF3" s="2756"/>
      <c r="EG3" s="2756"/>
      <c r="EH3" s="2756"/>
      <c r="EI3" s="2756"/>
      <c r="EJ3" s="2756"/>
      <c r="EK3" s="2756"/>
      <c r="EL3" s="2756"/>
      <c r="EM3" s="2756"/>
      <c r="EN3" s="2756"/>
      <c r="EO3" s="2756"/>
      <c r="EP3" s="2756"/>
      <c r="EQ3" s="2756"/>
      <c r="ER3" s="2756"/>
      <c r="ES3" s="2756"/>
      <c r="ET3" s="2756"/>
      <c r="EU3" s="2756"/>
      <c r="EV3" s="2756"/>
      <c r="EW3" s="2756"/>
      <c r="EX3" s="2756"/>
      <c r="EY3" s="2756"/>
      <c r="EZ3" s="2756"/>
      <c r="FA3" s="2756"/>
      <c r="FB3" s="2756"/>
      <c r="FC3" s="2756"/>
      <c r="FD3" s="2756"/>
      <c r="FE3" s="2756"/>
      <c r="FF3" s="2756"/>
      <c r="FG3" s="2756"/>
      <c r="FH3" s="2756"/>
      <c r="FI3" s="2756"/>
      <c r="FJ3" s="2756"/>
      <c r="FK3" s="2756"/>
      <c r="FL3" s="2756"/>
      <c r="FM3" s="2756"/>
      <c r="FN3" s="2756"/>
      <c r="FO3" s="2756"/>
      <c r="FP3" s="2756"/>
      <c r="FQ3" s="2756"/>
      <c r="FR3" s="2756"/>
      <c r="FS3" s="2756"/>
      <c r="FT3" s="2756"/>
      <c r="FU3" s="2756"/>
      <c r="FV3" s="2756"/>
      <c r="FW3" s="2756"/>
      <c r="FX3" s="2756"/>
      <c r="FY3" s="2756"/>
      <c r="FZ3" s="2756"/>
      <c r="GA3" s="2756"/>
      <c r="GB3" s="2756"/>
      <c r="GC3" s="2756"/>
      <c r="GD3" s="2756"/>
      <c r="GE3" s="2756"/>
      <c r="GF3" s="2756"/>
      <c r="GG3" s="2756"/>
      <c r="GH3" s="2756"/>
      <c r="GI3" s="2756"/>
      <c r="GJ3" s="2756"/>
      <c r="GK3" s="2756"/>
      <c r="GL3" s="2756"/>
      <c r="GM3" s="2756"/>
      <c r="GN3" s="2756"/>
      <c r="GO3" s="2756"/>
      <c r="GP3" s="2756"/>
      <c r="GQ3" s="2756"/>
      <c r="GR3" s="2756"/>
      <c r="GS3" s="2756"/>
      <c r="GT3" s="2756"/>
      <c r="GU3" s="2756"/>
      <c r="GV3" s="2756"/>
      <c r="GW3" s="2756"/>
      <c r="GX3" s="2756"/>
      <c r="GY3" s="2756"/>
      <c r="GZ3" s="2756"/>
      <c r="HA3" s="2756"/>
      <c r="HB3" s="2756"/>
      <c r="HC3" s="2756"/>
      <c r="HD3" s="2756"/>
      <c r="HE3" s="2756"/>
      <c r="HF3" s="2756"/>
      <c r="HG3" s="2756"/>
      <c r="HH3" s="2756"/>
      <c r="HI3" s="2756"/>
      <c r="HJ3" s="2756"/>
      <c r="HK3" s="2756"/>
      <c r="HL3" s="2756"/>
      <c r="HM3" s="2756"/>
      <c r="HN3" s="2756"/>
      <c r="HO3" s="2756"/>
      <c r="HP3" s="2756"/>
      <c r="HQ3" s="2756"/>
      <c r="HR3" s="2756"/>
      <c r="HS3" s="2756"/>
      <c r="HT3" s="2756"/>
      <c r="HU3" s="2756"/>
      <c r="HV3" s="2756"/>
      <c r="HW3" s="2756"/>
      <c r="HX3" s="2756"/>
      <c r="HY3" s="2756"/>
      <c r="HZ3" s="2756"/>
      <c r="IA3" s="2756"/>
      <c r="IB3" s="2756"/>
      <c r="IC3" s="2756"/>
      <c r="ID3" s="2756"/>
      <c r="IE3" s="2756"/>
      <c r="IF3" s="2756"/>
      <c r="IG3" s="2756"/>
      <c r="IH3" s="2756"/>
      <c r="II3" s="2756"/>
      <c r="IJ3" s="2756"/>
      <c r="IK3" s="2756"/>
      <c r="IL3" s="2756"/>
      <c r="IM3" s="2756"/>
      <c r="IN3" s="2756"/>
      <c r="IO3" s="2756"/>
      <c r="IP3" s="2756"/>
      <c r="IQ3" s="2756"/>
      <c r="IR3" s="2756"/>
      <c r="IS3" s="2756"/>
      <c r="IT3" s="1647"/>
      <c r="IU3" s="1647"/>
      <c r="IV3" s="1647"/>
      <c r="IW3" s="1647"/>
      <c r="IX3" s="1647"/>
      <c r="IY3" s="1647"/>
      <c r="IZ3" s="1647"/>
      <c r="JA3" s="1647"/>
      <c r="JB3" s="1647"/>
      <c r="JC3" s="1647"/>
      <c r="JD3" s="1647"/>
      <c r="JE3" s="1647"/>
      <c r="JF3" s="1647"/>
      <c r="JG3" s="1647"/>
      <c r="JH3" s="1647"/>
      <c r="JI3" s="1647"/>
      <c r="JJ3" s="1647"/>
      <c r="JK3" s="1647"/>
      <c r="JL3" s="1647"/>
      <c r="JM3" s="1647"/>
      <c r="JN3" s="1647"/>
      <c r="JO3" s="1647"/>
      <c r="JP3" s="1647"/>
      <c r="JQ3" s="1647"/>
      <c r="JR3" s="1647"/>
      <c r="JS3" s="1647"/>
      <c r="JT3" s="1647"/>
      <c r="JU3" s="1647"/>
      <c r="JV3" s="1647"/>
      <c r="JW3" s="1647"/>
      <c r="JX3" s="1647"/>
      <c r="JY3" s="1647"/>
      <c r="JZ3" s="1647"/>
      <c r="KA3" s="1647"/>
      <c r="KB3" s="1647"/>
      <c r="KC3" s="1647"/>
      <c r="KD3" s="1647"/>
      <c r="KE3" s="1647"/>
      <c r="KF3" s="1647"/>
      <c r="KG3" s="1647"/>
      <c r="KH3" s="1647"/>
      <c r="KI3" s="1647"/>
      <c r="KJ3" s="1647"/>
      <c r="KK3" s="1647"/>
      <c r="KL3" s="1647"/>
      <c r="KM3" s="1647"/>
      <c r="KN3" s="1647"/>
      <c r="KO3" s="1647"/>
      <c r="KP3" s="1647"/>
      <c r="KQ3" s="1647"/>
      <c r="KR3" s="1647"/>
      <c r="KS3" s="1647"/>
      <c r="KT3" s="1647"/>
      <c r="KU3" s="1647"/>
      <c r="KV3" s="1647"/>
      <c r="KW3" s="1647"/>
      <c r="KX3" s="1647"/>
      <c r="KY3" s="1647"/>
      <c r="KZ3" s="1647"/>
      <c r="LA3" s="1647"/>
      <c r="LB3" s="1647"/>
      <c r="LC3" s="1647"/>
      <c r="LD3" s="1647"/>
      <c r="LE3" s="1647"/>
      <c r="LF3" s="1647"/>
      <c r="LG3" s="1647"/>
      <c r="LH3" s="1647"/>
      <c r="LI3" s="1647"/>
      <c r="LJ3" s="1647"/>
      <c r="LK3" s="1647"/>
      <c r="LL3" s="1647"/>
      <c r="LM3" s="1647"/>
      <c r="LN3" s="1647"/>
      <c r="LO3" s="1647"/>
      <c r="LP3" s="1647"/>
      <c r="LQ3" s="1647"/>
    </row>
    <row r="4" spans="1:349" ht="21" customHeight="1">
      <c r="A4" s="1649"/>
      <c r="B4" s="1649"/>
      <c r="C4" s="1649"/>
      <c r="D4" s="1649"/>
      <c r="E4" s="1649"/>
      <c r="F4" s="1649"/>
      <c r="G4" s="1649"/>
      <c r="H4" s="1649"/>
      <c r="I4" s="1649"/>
      <c r="J4" s="1649"/>
      <c r="K4" s="1649"/>
      <c r="L4" s="1649"/>
      <c r="M4" s="1649"/>
      <c r="N4" s="1649"/>
      <c r="O4" s="1649"/>
      <c r="P4" s="1649"/>
      <c r="Q4" s="1649"/>
      <c r="R4" s="1649"/>
      <c r="S4" s="1649"/>
      <c r="T4" s="1649"/>
      <c r="U4" s="1649"/>
      <c r="V4" s="1649"/>
      <c r="W4" s="1649"/>
      <c r="X4" s="1649"/>
      <c r="Y4" s="1649"/>
      <c r="Z4" s="1649"/>
      <c r="AA4" s="1649"/>
      <c r="AB4" s="1649"/>
      <c r="AC4" s="1649"/>
      <c r="AD4" s="1649"/>
      <c r="AE4" s="1649"/>
      <c r="AF4" s="1649"/>
      <c r="AG4" s="1649"/>
      <c r="AH4" s="1649"/>
      <c r="AI4" s="1649"/>
      <c r="AJ4" s="1649"/>
      <c r="AK4" s="1649"/>
      <c r="AL4" s="1649"/>
      <c r="AM4" s="1649"/>
      <c r="AN4" s="1649"/>
      <c r="AO4" s="1649"/>
      <c r="AP4" s="1649"/>
      <c r="AQ4" s="1649"/>
      <c r="AR4" s="1649"/>
      <c r="AS4" s="1649"/>
      <c r="AT4" s="1649"/>
      <c r="AU4" s="1649"/>
      <c r="AV4" s="1649"/>
      <c r="AW4" s="1649"/>
      <c r="AX4" s="1649"/>
      <c r="AY4" s="1649"/>
      <c r="AZ4" s="1649"/>
      <c r="BA4" s="1649"/>
      <c r="BB4" s="1649"/>
      <c r="BC4" s="1649"/>
      <c r="BD4" s="1649"/>
      <c r="BE4" s="1649"/>
      <c r="BF4" s="1649"/>
      <c r="BG4" s="1649"/>
      <c r="BH4" s="1649"/>
      <c r="BI4" s="1649"/>
      <c r="BJ4" s="1649"/>
      <c r="BK4" s="1649"/>
      <c r="BL4" s="1649"/>
      <c r="BM4" s="1649"/>
      <c r="BN4" s="1649"/>
      <c r="BO4" s="1649"/>
      <c r="BP4" s="1649"/>
      <c r="BQ4" s="1649"/>
      <c r="BR4" s="1649"/>
      <c r="BS4" s="1649"/>
      <c r="BT4" s="1649"/>
      <c r="BU4" s="1649"/>
      <c r="BV4" s="1649"/>
      <c r="BW4" s="1649"/>
      <c r="BX4" s="1649"/>
      <c r="BY4" s="1649"/>
      <c r="BZ4" s="1649"/>
      <c r="CA4" s="1649"/>
      <c r="CB4" s="1649"/>
      <c r="CC4" s="1649"/>
      <c r="CD4" s="1649"/>
      <c r="CE4" s="1649"/>
      <c r="CF4" s="1649"/>
      <c r="CG4" s="1649"/>
      <c r="CH4" s="1649"/>
      <c r="CI4" s="1649"/>
      <c r="CJ4" s="1649"/>
      <c r="CK4" s="1649"/>
      <c r="CL4" s="1649"/>
      <c r="CM4" s="1649"/>
      <c r="CN4" s="1649"/>
      <c r="CO4" s="1649"/>
      <c r="CP4" s="1649"/>
      <c r="CQ4" s="1649"/>
      <c r="CR4" s="1649"/>
      <c r="CS4" s="1649"/>
      <c r="CT4" s="1649"/>
      <c r="CU4" s="1649"/>
      <c r="CV4" s="1649"/>
      <c r="CW4" s="1649"/>
      <c r="CX4" s="1649"/>
      <c r="CY4" s="1649"/>
      <c r="CZ4" s="1649"/>
      <c r="DA4" s="1649"/>
      <c r="DB4" s="1649"/>
      <c r="DC4" s="1649"/>
      <c r="DD4" s="1649"/>
      <c r="DE4" s="1649"/>
      <c r="DF4" s="1649"/>
      <c r="DG4" s="1649"/>
      <c r="DH4" s="1649"/>
      <c r="DI4" s="1649"/>
      <c r="DJ4" s="1649"/>
      <c r="DK4" s="1649"/>
      <c r="DL4" s="1649"/>
      <c r="DM4" s="1649"/>
      <c r="DN4" s="1649"/>
      <c r="DO4" s="1649"/>
      <c r="DP4" s="1649"/>
      <c r="DQ4" s="1649"/>
      <c r="DR4" s="1649"/>
      <c r="DS4" s="1649"/>
      <c r="DT4" s="1649"/>
      <c r="DU4" s="1649"/>
      <c r="DV4" s="1649"/>
      <c r="DW4" s="1649"/>
      <c r="DX4" s="1649"/>
      <c r="DY4" s="1649"/>
      <c r="DZ4" s="1649"/>
      <c r="EA4" s="1649"/>
      <c r="EB4" s="1649"/>
      <c r="EC4" s="1649"/>
      <c r="ED4" s="1649"/>
      <c r="EE4" s="1649"/>
      <c r="EF4" s="1649"/>
      <c r="EG4" s="1649"/>
      <c r="EH4" s="1649"/>
      <c r="EI4" s="1649"/>
      <c r="EJ4" s="1649"/>
      <c r="EK4" s="1649"/>
      <c r="EL4" s="1649"/>
      <c r="EM4" s="1649"/>
      <c r="EN4" s="1649"/>
      <c r="EO4" s="1649"/>
      <c r="EP4" s="1649"/>
      <c r="EQ4" s="1649"/>
      <c r="ER4" s="1649"/>
      <c r="ES4" s="1649"/>
      <c r="ET4" s="1649"/>
      <c r="EU4" s="1649"/>
      <c r="EV4" s="1649"/>
      <c r="EW4" s="1649"/>
      <c r="EX4" s="1649"/>
      <c r="EY4" s="1649"/>
      <c r="EZ4" s="1649"/>
      <c r="FA4" s="1649"/>
      <c r="FB4" s="1649"/>
      <c r="FC4" s="1649"/>
      <c r="FD4" s="1649"/>
      <c r="FE4" s="1649"/>
      <c r="FF4" s="1649"/>
      <c r="FG4" s="1649"/>
      <c r="FH4" s="1649"/>
      <c r="FI4" s="1649"/>
      <c r="FJ4" s="1649"/>
      <c r="FK4" s="1649"/>
      <c r="FL4" s="1649"/>
      <c r="FM4" s="1649"/>
      <c r="FN4" s="1649"/>
      <c r="FO4" s="1649"/>
      <c r="FP4" s="1649"/>
      <c r="FQ4" s="1649"/>
      <c r="FR4" s="1649"/>
      <c r="FS4" s="1649"/>
      <c r="FT4" s="1649"/>
      <c r="FU4" s="1649"/>
      <c r="FV4" s="1649"/>
      <c r="FW4" s="1649"/>
      <c r="FX4" s="1649"/>
      <c r="FY4" s="1649"/>
      <c r="FZ4" s="1649"/>
      <c r="GA4" s="1649"/>
      <c r="GB4" s="1649"/>
      <c r="GC4" s="1649"/>
      <c r="GD4" s="1649"/>
      <c r="GE4" s="1649"/>
      <c r="GF4" s="1649"/>
      <c r="GG4" s="1649"/>
      <c r="GH4" s="1649"/>
      <c r="GI4" s="1649"/>
      <c r="GJ4" s="1649"/>
      <c r="GK4" s="1649"/>
      <c r="GL4" s="1649"/>
      <c r="GM4" s="1649"/>
      <c r="GN4" s="1649"/>
      <c r="GO4" s="1649"/>
      <c r="GP4" s="1649"/>
      <c r="GQ4" s="1649"/>
      <c r="GR4" s="1649"/>
      <c r="GS4" s="1649"/>
      <c r="GT4" s="1649"/>
      <c r="GU4" s="1649"/>
      <c r="GV4" s="1649"/>
      <c r="GW4" s="1649"/>
      <c r="GX4" s="1649"/>
      <c r="GY4" s="1649"/>
      <c r="GZ4" s="1649"/>
      <c r="HA4" s="1649"/>
      <c r="HB4" s="1649"/>
      <c r="HC4" s="1649"/>
      <c r="HD4" s="1649"/>
      <c r="HE4" s="1649"/>
      <c r="HF4" s="1649"/>
      <c r="HG4" s="1649"/>
      <c r="HH4" s="1649"/>
      <c r="HI4" s="1649"/>
      <c r="HJ4" s="1649"/>
      <c r="HK4" s="1649"/>
      <c r="HL4" s="1649"/>
      <c r="HM4" s="1649"/>
      <c r="HN4" s="1649"/>
      <c r="HO4" s="1649"/>
      <c r="HP4" s="1649"/>
      <c r="HQ4" s="1649"/>
      <c r="HR4" s="1649"/>
      <c r="HS4" s="1649"/>
      <c r="HT4" s="1649"/>
      <c r="HU4" s="1649"/>
      <c r="HV4" s="1649"/>
      <c r="HW4" s="1649"/>
      <c r="HX4" s="1649"/>
      <c r="HY4" s="1649"/>
      <c r="HZ4" s="1649"/>
      <c r="IA4" s="1649"/>
      <c r="IB4" s="1649"/>
      <c r="IC4" s="1649"/>
      <c r="ID4" s="1649"/>
      <c r="IE4" s="1649"/>
      <c r="IF4" s="1649"/>
      <c r="IG4" s="1649"/>
      <c r="IH4" s="1649"/>
      <c r="II4" s="1649"/>
      <c r="IJ4" s="1649"/>
      <c r="IK4" s="1649"/>
      <c r="IL4" s="1649"/>
      <c r="IM4" s="1649"/>
      <c r="IN4" s="1649"/>
      <c r="IO4" s="1649"/>
      <c r="IP4" s="1649"/>
      <c r="IQ4" s="1649"/>
      <c r="IR4" s="1649"/>
      <c r="IS4" s="1649"/>
      <c r="IT4" s="1647"/>
      <c r="IU4" s="1647"/>
      <c r="IV4" s="1647"/>
      <c r="IW4" s="1647"/>
      <c r="IX4" s="1647"/>
      <c r="IY4" s="1647"/>
      <c r="IZ4" s="1647"/>
      <c r="JA4" s="1647"/>
      <c r="JB4" s="1647"/>
      <c r="JC4" s="1647"/>
      <c r="JD4" s="1647"/>
      <c r="JE4" s="1647"/>
      <c r="JF4" s="1647"/>
      <c r="JG4" s="1647"/>
      <c r="JH4" s="1647"/>
      <c r="JI4" s="1647"/>
      <c r="JJ4" s="1647"/>
      <c r="JK4" s="1647"/>
      <c r="JL4" s="1647"/>
      <c r="JM4" s="1647"/>
      <c r="JN4" s="1647"/>
      <c r="JO4" s="1647"/>
      <c r="JP4" s="1647"/>
      <c r="JQ4" s="1647"/>
      <c r="JR4" s="1647"/>
      <c r="JS4" s="1647"/>
      <c r="JT4" s="1647"/>
      <c r="JU4" s="1647"/>
      <c r="JV4" s="1647"/>
      <c r="JW4" s="1647"/>
      <c r="JX4" s="1647"/>
      <c r="JY4" s="1647"/>
      <c r="JZ4" s="1647"/>
      <c r="KA4" s="1647"/>
      <c r="KB4" s="1647"/>
      <c r="KC4" s="1647"/>
      <c r="KD4" s="1647"/>
      <c r="KE4" s="1647"/>
      <c r="KF4" s="1647"/>
      <c r="KG4" s="1647"/>
      <c r="KH4" s="1647"/>
      <c r="KI4" s="1647"/>
      <c r="KJ4" s="1647"/>
      <c r="KK4" s="1647"/>
      <c r="KL4" s="1647"/>
      <c r="KM4" s="1647"/>
      <c r="KN4" s="1647"/>
      <c r="KO4" s="1647"/>
      <c r="KP4" s="1647"/>
      <c r="KQ4" s="1647"/>
      <c r="KR4" s="1647"/>
      <c r="KS4" s="1647"/>
      <c r="KT4" s="1647"/>
      <c r="KU4" s="1647"/>
      <c r="KV4" s="1647"/>
      <c r="KW4" s="1647"/>
      <c r="KX4" s="1647"/>
      <c r="KY4" s="1647"/>
      <c r="KZ4" s="1647"/>
      <c r="LA4" s="1647"/>
      <c r="LB4" s="1647"/>
      <c r="LC4" s="1647"/>
      <c r="LD4" s="1647"/>
      <c r="LE4" s="1647"/>
      <c r="LF4" s="1647"/>
      <c r="LG4" s="1647"/>
      <c r="LH4" s="1647"/>
      <c r="LI4" s="1647"/>
      <c r="LJ4" s="1647"/>
      <c r="LK4" s="1647"/>
      <c r="LL4" s="1647"/>
      <c r="LM4" s="1647"/>
      <c r="LN4" s="1647"/>
      <c r="LO4" s="1647"/>
      <c r="LP4" s="1647"/>
      <c r="LQ4" s="1647"/>
    </row>
    <row r="5" spans="1:349" ht="23.25" customHeight="1">
      <c r="A5" s="1103"/>
      <c r="B5" s="1103"/>
      <c r="C5" s="1103"/>
      <c r="D5" s="1103"/>
      <c r="E5" s="1103"/>
      <c r="F5" s="1103"/>
      <c r="G5" s="1103"/>
      <c r="H5" s="1103"/>
      <c r="I5" s="1103"/>
      <c r="J5" s="1103"/>
      <c r="K5" s="1103"/>
      <c r="L5" s="1103"/>
      <c r="M5" s="1103"/>
      <c r="N5" s="1103"/>
      <c r="O5" s="1103"/>
      <c r="P5" s="1103"/>
      <c r="Q5" s="1103"/>
      <c r="R5" s="1103"/>
      <c r="S5" s="1103"/>
      <c r="T5" s="1103"/>
      <c r="U5" s="1103"/>
      <c r="V5" s="1103"/>
      <c r="W5" s="1103"/>
      <c r="X5" s="1103"/>
      <c r="Y5" s="1103"/>
      <c r="Z5" s="1103"/>
      <c r="AA5" s="1103"/>
      <c r="AB5" s="1103"/>
      <c r="AC5" s="1103"/>
      <c r="AD5" s="1103"/>
      <c r="AE5" s="1103"/>
      <c r="AF5" s="1103"/>
      <c r="AG5" s="1103"/>
      <c r="AH5" s="1103"/>
      <c r="AI5" s="1103"/>
      <c r="AJ5" s="1103"/>
      <c r="AK5" s="1103"/>
      <c r="AL5" s="1103"/>
      <c r="AM5" s="1103"/>
      <c r="AN5" s="1103"/>
      <c r="AO5" s="1103"/>
      <c r="AP5" s="1103"/>
      <c r="AQ5" s="1103"/>
      <c r="AR5" s="1103"/>
      <c r="AS5" s="1103"/>
      <c r="AT5" s="1103"/>
      <c r="AU5" s="1103"/>
      <c r="AV5" s="1103"/>
      <c r="AW5" s="1103"/>
      <c r="AX5" s="1103"/>
      <c r="AY5" s="1103"/>
      <c r="AZ5" s="1103"/>
      <c r="BA5" s="1103"/>
      <c r="BB5" s="1103"/>
      <c r="BC5" s="1103"/>
      <c r="BD5" s="1103"/>
      <c r="BE5" s="1103"/>
      <c r="BF5" s="1103"/>
      <c r="BG5" s="1103"/>
      <c r="BH5" s="1103"/>
      <c r="BI5" s="1103"/>
      <c r="BJ5" s="1103"/>
      <c r="BK5" s="1103"/>
      <c r="BL5" s="1103"/>
      <c r="BM5" s="1103"/>
      <c r="BN5" s="1103"/>
      <c r="BO5" s="1103"/>
      <c r="BP5" s="1103"/>
      <c r="BQ5" s="1103"/>
      <c r="BR5" s="1103"/>
      <c r="BS5" s="1103"/>
      <c r="BT5" s="1103"/>
      <c r="BU5" s="1103"/>
      <c r="BV5" s="1103"/>
      <c r="BW5" s="1103"/>
      <c r="BX5" s="1103"/>
      <c r="BY5" s="1103"/>
      <c r="BZ5" s="1103"/>
      <c r="CA5" s="1103"/>
      <c r="CB5" s="1103"/>
      <c r="CC5" s="1103"/>
      <c r="CD5" s="1103"/>
      <c r="CE5" s="1103"/>
      <c r="CF5" s="1103"/>
      <c r="CG5" s="1103"/>
      <c r="CH5" s="1103"/>
      <c r="CI5" s="1103"/>
      <c r="CJ5" s="1103"/>
      <c r="CK5" s="1103"/>
      <c r="CL5" s="1103"/>
      <c r="CM5" s="1103"/>
      <c r="CN5" s="1103"/>
      <c r="CO5" s="1103"/>
      <c r="CP5" s="1103"/>
      <c r="CQ5" s="1103"/>
      <c r="CR5" s="1103"/>
      <c r="CS5" s="1103"/>
      <c r="CT5" s="1103"/>
      <c r="CU5" s="1103"/>
      <c r="CV5" s="1103"/>
      <c r="CW5" s="1103"/>
      <c r="CX5" s="1103"/>
      <c r="CY5" s="1103"/>
      <c r="CZ5" s="1103"/>
      <c r="DA5" s="1103"/>
      <c r="DB5" s="1103"/>
      <c r="DC5" s="1103"/>
      <c r="DD5" s="1103"/>
      <c r="DE5" s="1103"/>
      <c r="DF5" s="1103"/>
      <c r="DG5" s="1103"/>
      <c r="DH5" s="1103"/>
      <c r="DI5" s="1103"/>
      <c r="DJ5" s="1103"/>
      <c r="DK5" s="1103"/>
      <c r="DL5" s="1103"/>
      <c r="DM5" s="1103"/>
      <c r="DN5" s="1103"/>
      <c r="DO5" s="1103"/>
      <c r="DP5" s="1103"/>
      <c r="DQ5" s="1103"/>
      <c r="DR5" s="1103"/>
      <c r="DS5" s="1103"/>
      <c r="DT5" s="1103"/>
      <c r="DU5" s="1103"/>
      <c r="DV5" s="1103"/>
      <c r="DW5" s="1103"/>
      <c r="DX5" s="1103"/>
      <c r="DY5" s="1103"/>
      <c r="DZ5" s="1103"/>
      <c r="EA5" s="1103"/>
      <c r="EB5" s="1103"/>
      <c r="EC5" s="1103"/>
      <c r="ED5" s="1103"/>
      <c r="EE5" s="1103"/>
      <c r="EF5" s="1103"/>
      <c r="EG5" s="1103"/>
      <c r="EH5" s="1103"/>
      <c r="EI5" s="1103"/>
      <c r="EJ5" s="1103"/>
      <c r="EK5" s="1103"/>
      <c r="EL5" s="1103"/>
      <c r="EM5" s="1103"/>
      <c r="EN5" s="1103"/>
      <c r="EO5" s="1103"/>
      <c r="EP5" s="1103"/>
      <c r="EQ5" s="1103"/>
      <c r="ER5" s="1103"/>
      <c r="ES5" s="1103"/>
      <c r="ET5" s="1103"/>
      <c r="EU5" s="1103"/>
      <c r="EV5" s="1103"/>
      <c r="EW5" s="1103"/>
      <c r="EX5" s="1103"/>
      <c r="EY5" s="1103"/>
      <c r="EZ5" s="1103"/>
      <c r="FA5" s="1103"/>
      <c r="FB5" s="1103"/>
      <c r="FC5" s="1103"/>
      <c r="FD5" s="1103"/>
      <c r="FE5" s="1103"/>
      <c r="FF5" s="1103"/>
      <c r="FG5" s="1103"/>
      <c r="FH5" s="1103"/>
      <c r="FI5" s="1103"/>
      <c r="FJ5" s="1103"/>
      <c r="FK5" s="1103"/>
      <c r="FL5" s="1103"/>
      <c r="FM5" s="1103"/>
      <c r="FN5" s="1103"/>
      <c r="FO5" s="1103"/>
      <c r="FP5" s="1103"/>
      <c r="FQ5" s="1103"/>
      <c r="FR5" s="1103"/>
      <c r="FS5" s="1103"/>
      <c r="FT5" s="1103"/>
      <c r="FU5" s="1103"/>
      <c r="FV5" s="1103"/>
      <c r="FW5" s="1103"/>
      <c r="FX5" s="1103"/>
      <c r="FY5" s="1103"/>
      <c r="FZ5" s="1103"/>
      <c r="GA5" s="1103"/>
      <c r="GB5" s="1103"/>
      <c r="GC5" s="1103"/>
      <c r="GD5" s="1103"/>
      <c r="GE5" s="1103"/>
      <c r="GF5" s="1103"/>
      <c r="GG5" s="1103"/>
      <c r="GH5" s="1103"/>
      <c r="GI5" s="1103"/>
      <c r="GJ5" s="1103"/>
      <c r="GK5" s="1103"/>
      <c r="GL5" s="1103"/>
      <c r="GM5" s="1103"/>
      <c r="GN5" s="1103"/>
      <c r="GO5" s="1103"/>
      <c r="GP5" s="1103"/>
      <c r="GQ5" s="1103"/>
      <c r="GR5" s="1103"/>
      <c r="GS5" s="1103"/>
      <c r="GT5" s="1103"/>
      <c r="GU5" s="1103"/>
      <c r="GV5" s="1103"/>
      <c r="GW5" s="1103"/>
      <c r="GX5" s="1103"/>
      <c r="GY5" s="1103"/>
      <c r="GZ5" s="1103"/>
      <c r="HA5" s="1103"/>
      <c r="HB5" s="1103"/>
      <c r="HC5" s="1103"/>
      <c r="HD5" s="1103"/>
      <c r="HE5" s="1103"/>
      <c r="HF5" s="1103"/>
      <c r="HG5" s="1103"/>
      <c r="HH5" s="1103"/>
      <c r="HI5" s="1103"/>
      <c r="HJ5" s="1103"/>
      <c r="HK5" s="1103"/>
      <c r="HL5" s="1103"/>
      <c r="HM5" s="1103"/>
      <c r="HN5" s="1103"/>
      <c r="HO5" s="1103"/>
      <c r="HP5" s="1103"/>
      <c r="HQ5" s="1103"/>
      <c r="HR5" s="1103"/>
      <c r="HS5" s="1103"/>
      <c r="HT5" s="1103"/>
      <c r="HU5" s="1103"/>
      <c r="HV5" s="1103"/>
      <c r="HW5" s="1103"/>
      <c r="HX5" s="1103"/>
      <c r="HY5" s="1103"/>
      <c r="HZ5" s="1103"/>
      <c r="IA5" s="1103"/>
      <c r="IB5" s="1103"/>
      <c r="IC5" s="1103"/>
      <c r="ID5" s="1103"/>
      <c r="IE5" s="1103"/>
      <c r="IF5" s="1103"/>
      <c r="IG5" s="1103"/>
      <c r="IH5" s="1103"/>
      <c r="II5" s="1103"/>
      <c r="IJ5" s="1103"/>
      <c r="IK5" s="1103"/>
      <c r="IL5" s="1103"/>
      <c r="IM5" s="1103"/>
      <c r="IN5" s="1103"/>
      <c r="IO5" s="1103"/>
      <c r="IP5" s="1103"/>
      <c r="IQ5" s="1103"/>
      <c r="IR5" s="1103"/>
      <c r="IS5" s="1103"/>
      <c r="IT5" s="1647"/>
      <c r="IU5" s="1647"/>
      <c r="IV5" s="1647"/>
      <c r="IW5" s="1647"/>
      <c r="IX5" s="1647"/>
      <c r="IY5" s="1647"/>
      <c r="IZ5" s="1647"/>
      <c r="JA5" s="1647"/>
      <c r="JB5" s="1647"/>
      <c r="JC5" s="1647"/>
      <c r="JD5" s="1647"/>
      <c r="JE5" s="1647"/>
      <c r="JF5" s="1647"/>
      <c r="JG5" s="1647"/>
      <c r="JH5" s="1647"/>
      <c r="JI5" s="1647"/>
      <c r="JJ5" s="1647"/>
      <c r="JK5" s="1647"/>
      <c r="JL5" s="1647"/>
      <c r="JM5" s="1647"/>
      <c r="JN5" s="1647"/>
      <c r="JO5" s="1647"/>
      <c r="JP5" s="1647"/>
      <c r="JQ5" s="1647"/>
      <c r="JR5" s="1647"/>
      <c r="JS5" s="1647"/>
      <c r="JT5" s="1647"/>
      <c r="JU5" s="1647"/>
      <c r="JV5" s="1647"/>
      <c r="JW5" s="1647"/>
      <c r="JX5" s="1647"/>
      <c r="JY5" s="1647"/>
      <c r="JZ5" s="1647"/>
      <c r="KA5" s="1647"/>
      <c r="KB5" s="1647"/>
      <c r="KC5" s="1647"/>
      <c r="KD5" s="1647"/>
      <c r="KE5" s="1647"/>
      <c r="KF5" s="1647"/>
      <c r="KG5" s="1647"/>
      <c r="KH5" s="1647"/>
      <c r="KI5" s="1647"/>
      <c r="KJ5" s="1647"/>
      <c r="KK5" s="1647"/>
      <c r="KL5" s="1647"/>
      <c r="KM5" s="1647"/>
      <c r="KN5" s="1647"/>
      <c r="KO5" s="1647"/>
      <c r="KP5" s="1647"/>
      <c r="KQ5" s="1647"/>
      <c r="KR5" s="1647"/>
      <c r="KS5" s="1647"/>
      <c r="KT5" s="1647"/>
      <c r="KU5" s="1647"/>
      <c r="KV5" s="1647"/>
      <c r="KW5" s="1647"/>
      <c r="KX5" s="1647"/>
      <c r="KY5" s="1647"/>
      <c r="KZ5" s="1647"/>
      <c r="LA5" s="1647"/>
      <c r="LB5" s="1647"/>
      <c r="LC5" s="1647"/>
      <c r="LD5" s="1647"/>
      <c r="LE5" s="1647"/>
      <c r="LF5" s="1647"/>
      <c r="LG5" s="1647"/>
      <c r="LH5" s="1647"/>
      <c r="LI5" s="1647"/>
      <c r="LJ5" s="1647"/>
      <c r="LK5" s="1647"/>
      <c r="LL5" s="1647"/>
      <c r="LM5" s="1647"/>
      <c r="LN5" s="1647"/>
      <c r="LO5" s="1647"/>
      <c r="LP5" s="1647"/>
      <c r="LQ5" s="1647"/>
    </row>
    <row r="6" spans="1:349" ht="23.25" customHeight="1">
      <c r="A6" s="1102"/>
      <c r="B6" s="1102"/>
      <c r="C6" s="1102"/>
      <c r="D6" s="1102"/>
      <c r="E6" s="1102"/>
      <c r="F6" s="1102"/>
      <c r="G6" s="1102"/>
      <c r="H6" s="1102"/>
      <c r="I6" s="1102"/>
      <c r="J6" s="1102"/>
      <c r="K6" s="1102"/>
      <c r="L6" s="1102"/>
      <c r="M6" s="1102"/>
      <c r="N6" s="1102"/>
      <c r="O6" s="1102"/>
      <c r="P6" s="1102"/>
      <c r="Q6" s="1102"/>
      <c r="R6" s="1102"/>
      <c r="S6" s="1102"/>
      <c r="T6" s="1102"/>
      <c r="U6" s="1102"/>
      <c r="V6" s="1102"/>
      <c r="W6" s="1102"/>
      <c r="X6" s="1102"/>
      <c r="Y6" s="1102"/>
      <c r="Z6" s="1102"/>
      <c r="AA6" s="1102"/>
      <c r="AB6" s="1102"/>
      <c r="AC6" s="1102"/>
      <c r="AD6" s="1102"/>
      <c r="AE6" s="1102"/>
      <c r="AF6" s="1102"/>
      <c r="AG6" s="1102"/>
      <c r="AH6" s="1102"/>
      <c r="AI6" s="1102"/>
      <c r="AJ6" s="1102"/>
      <c r="AK6" s="1102"/>
      <c r="AL6" s="1102"/>
      <c r="AM6" s="1102"/>
      <c r="AN6" s="1102"/>
      <c r="AO6" s="1102"/>
      <c r="AP6" s="1102"/>
      <c r="AQ6" s="1102"/>
      <c r="AR6" s="1102"/>
      <c r="AS6" s="1102"/>
      <c r="AT6" s="1102"/>
      <c r="AU6" s="1102"/>
      <c r="AV6" s="1102"/>
      <c r="AW6" s="1102"/>
      <c r="AX6" s="1102"/>
      <c r="AY6" s="1102"/>
      <c r="AZ6" s="1102"/>
      <c r="BA6" s="1102"/>
      <c r="BB6" s="1102"/>
      <c r="BC6" s="1102"/>
      <c r="BD6" s="1102"/>
      <c r="BE6" s="1102"/>
      <c r="BF6" s="1102"/>
      <c r="BG6" s="1102"/>
      <c r="BH6" s="1102"/>
      <c r="BI6" s="1102"/>
      <c r="BJ6" s="1102"/>
      <c r="BK6" s="1102"/>
      <c r="BL6" s="1102"/>
      <c r="BM6" s="1102"/>
      <c r="BN6" s="1102"/>
      <c r="BO6" s="1102"/>
      <c r="BP6" s="1102"/>
      <c r="BQ6" s="1102"/>
      <c r="BR6" s="1102"/>
      <c r="BS6" s="1102"/>
      <c r="BT6" s="1102"/>
      <c r="BU6" s="1102"/>
      <c r="BV6" s="1102"/>
      <c r="BW6" s="1102"/>
      <c r="BX6" s="1102"/>
      <c r="BY6" s="1102"/>
      <c r="BZ6" s="1102"/>
      <c r="CA6" s="1102"/>
      <c r="CB6" s="1102"/>
      <c r="CC6" s="1102"/>
      <c r="CD6" s="1102"/>
      <c r="CE6" s="1102"/>
      <c r="CF6" s="1102"/>
      <c r="CG6" s="1102"/>
      <c r="CH6" s="1102"/>
      <c r="CI6" s="1102"/>
      <c r="CJ6" s="1102"/>
      <c r="CK6" s="1102"/>
      <c r="CL6" s="1102"/>
      <c r="CM6" s="1102"/>
      <c r="CN6" s="1102"/>
      <c r="CO6" s="1102"/>
      <c r="CP6" s="1102"/>
      <c r="CQ6" s="1102"/>
      <c r="CR6" s="1102"/>
      <c r="CS6" s="1102"/>
      <c r="CT6" s="1102"/>
      <c r="CU6" s="1102"/>
      <c r="CV6" s="1102"/>
      <c r="CW6" s="1102"/>
      <c r="CX6" s="1102"/>
      <c r="CY6" s="1102"/>
      <c r="CZ6" s="1102"/>
      <c r="DA6" s="1102"/>
      <c r="DB6" s="1102"/>
      <c r="DC6" s="1102"/>
      <c r="DD6" s="1102"/>
      <c r="DE6" s="1102"/>
      <c r="DF6" s="1102"/>
      <c r="DG6" s="1102"/>
      <c r="DH6" s="1102"/>
      <c r="DI6" s="1102"/>
      <c r="DJ6" s="1102"/>
      <c r="DK6" s="1102"/>
      <c r="DL6" s="1102"/>
      <c r="DM6" s="1102"/>
      <c r="DN6" s="1102"/>
      <c r="DO6" s="1102"/>
      <c r="DP6" s="1102"/>
      <c r="DQ6" s="1102"/>
      <c r="DR6" s="1102"/>
      <c r="DS6" s="1102"/>
      <c r="DT6" s="1102"/>
      <c r="DU6" s="1102"/>
      <c r="DV6" s="1102"/>
      <c r="DW6" s="1102"/>
      <c r="DX6" s="1102"/>
      <c r="DY6" s="1102"/>
      <c r="DZ6" s="1102"/>
      <c r="EA6" s="1102"/>
      <c r="EB6" s="1102"/>
      <c r="EC6" s="1102"/>
      <c r="ED6" s="1102"/>
      <c r="EE6" s="1102"/>
      <c r="EF6" s="1102"/>
      <c r="EG6" s="1102"/>
      <c r="EH6" s="1102"/>
      <c r="EI6" s="1102"/>
      <c r="EJ6" s="1102"/>
      <c r="EK6" s="1102"/>
      <c r="EL6" s="1102"/>
      <c r="EM6" s="1102"/>
      <c r="EN6" s="1102"/>
      <c r="EO6" s="1102"/>
      <c r="EP6" s="1102"/>
      <c r="EQ6" s="1102"/>
      <c r="ER6" s="1102"/>
      <c r="ES6" s="1102"/>
      <c r="ET6" s="1102"/>
      <c r="EU6" s="1102"/>
      <c r="EV6" s="1102"/>
      <c r="EW6" s="1102"/>
      <c r="EX6" s="1102"/>
      <c r="EY6" s="1102"/>
      <c r="EZ6" s="1102"/>
      <c r="FA6" s="1102"/>
      <c r="FB6" s="1102"/>
      <c r="FC6" s="1102"/>
      <c r="FD6" s="1102"/>
      <c r="FE6" s="1102"/>
      <c r="FF6" s="1102"/>
      <c r="FG6" s="1102"/>
      <c r="FH6" s="1102"/>
      <c r="FI6" s="1102"/>
      <c r="FJ6" s="1102"/>
      <c r="FK6" s="1102"/>
      <c r="FL6" s="1102"/>
      <c r="FM6" s="1102"/>
      <c r="FN6" s="1102"/>
      <c r="FO6" s="1102"/>
      <c r="FP6" s="1102"/>
      <c r="FQ6" s="1102"/>
      <c r="FR6" s="1102"/>
      <c r="FS6" s="1102"/>
      <c r="FT6" s="1102"/>
      <c r="FU6" s="1102"/>
      <c r="FV6" s="1102"/>
      <c r="FW6" s="1102"/>
      <c r="FX6" s="1102"/>
      <c r="FY6" s="1102"/>
      <c r="FZ6" s="1102"/>
      <c r="GA6" s="1102"/>
      <c r="GB6" s="1102"/>
      <c r="GC6" s="1102"/>
      <c r="GD6" s="1102"/>
      <c r="GE6" s="1102"/>
      <c r="GF6" s="1102"/>
      <c r="GG6" s="1102"/>
      <c r="GH6" s="1102"/>
      <c r="GI6" s="1102"/>
      <c r="GJ6" s="1102"/>
      <c r="GK6" s="1102"/>
      <c r="GL6" s="1102"/>
      <c r="GM6" s="1102"/>
      <c r="GN6" s="1102"/>
      <c r="GO6" s="1102"/>
      <c r="GP6" s="1102"/>
      <c r="GQ6" s="1102"/>
      <c r="GR6" s="1102"/>
      <c r="GS6" s="1102"/>
      <c r="GT6" s="1102"/>
      <c r="GU6" s="1102"/>
      <c r="GV6" s="1102"/>
      <c r="GW6" s="1102"/>
      <c r="GX6" s="1102"/>
      <c r="GY6" s="1102"/>
      <c r="GZ6" s="1102"/>
      <c r="HA6" s="1102"/>
      <c r="HB6" s="1102"/>
      <c r="HC6" s="1102"/>
      <c r="HD6" s="1102"/>
      <c r="HE6" s="1102"/>
      <c r="HF6" s="1102"/>
      <c r="HG6" s="1102"/>
      <c r="HH6" s="1102"/>
      <c r="HI6" s="1102"/>
      <c r="HJ6" s="1102"/>
      <c r="HK6" s="1102"/>
      <c r="HL6" s="1102"/>
      <c r="HM6" s="1102"/>
      <c r="HN6" s="1102"/>
      <c r="HO6" s="1102"/>
      <c r="HP6" s="1102"/>
      <c r="HQ6" s="1102"/>
      <c r="HR6" s="1102"/>
      <c r="HS6" s="1102"/>
      <c r="HT6" s="1102"/>
      <c r="HU6" s="1102"/>
      <c r="HV6" s="1102"/>
      <c r="HW6" s="1102"/>
      <c r="HX6" s="1102"/>
      <c r="HY6" s="1102"/>
      <c r="HZ6" s="1102"/>
      <c r="IA6" s="1102"/>
      <c r="IB6" s="1102"/>
      <c r="IC6" s="1102"/>
      <c r="ID6" s="1102"/>
      <c r="IE6" s="1102"/>
      <c r="IF6" s="1102"/>
      <c r="IG6" s="1102"/>
      <c r="IH6" s="1102"/>
      <c r="II6" s="1102"/>
      <c r="IJ6" s="1102"/>
      <c r="IK6" s="1102"/>
      <c r="IL6" s="1102"/>
      <c r="IM6" s="1102"/>
      <c r="IN6" s="1102"/>
      <c r="IO6" s="1102"/>
      <c r="IP6" s="1102"/>
      <c r="IQ6" s="1102"/>
      <c r="IR6" s="1102"/>
      <c r="IS6" s="1766" t="s">
        <v>3062</v>
      </c>
      <c r="IT6" s="1650"/>
      <c r="IU6" s="1650"/>
      <c r="IV6" s="1650"/>
      <c r="IW6" s="1650"/>
      <c r="IX6" s="1650"/>
      <c r="IY6" s="1650"/>
      <c r="IZ6" s="1650"/>
      <c r="JA6" s="1650"/>
      <c r="JB6" s="1650"/>
      <c r="JC6" s="1650"/>
      <c r="JD6" s="1650"/>
      <c r="JE6" s="1650"/>
      <c r="JF6" s="1650"/>
      <c r="JG6" s="1650"/>
      <c r="JH6" s="1650"/>
      <c r="JI6" s="1650"/>
      <c r="JJ6" s="1650"/>
      <c r="JK6" s="1650"/>
      <c r="JL6" s="1650"/>
      <c r="JM6" s="1650"/>
      <c r="JN6" s="1650"/>
      <c r="JO6" s="1650"/>
      <c r="JP6" s="1650"/>
      <c r="JQ6" s="1650"/>
      <c r="JR6" s="1650"/>
      <c r="JS6" s="1650"/>
      <c r="JT6" s="1650"/>
      <c r="JU6" s="1650"/>
      <c r="JV6" s="1650"/>
      <c r="JW6" s="1650"/>
      <c r="JX6" s="1650"/>
      <c r="JY6" s="1650"/>
      <c r="JZ6" s="1650"/>
      <c r="KA6" s="1650"/>
      <c r="KB6" s="1650"/>
      <c r="KC6" s="1650"/>
      <c r="KD6" s="1650"/>
      <c r="KE6" s="1650"/>
      <c r="KF6" s="1650"/>
      <c r="KG6" s="1650"/>
      <c r="KH6" s="1650"/>
      <c r="KI6" s="1650"/>
      <c r="KJ6" s="1650"/>
      <c r="KK6" s="1650"/>
      <c r="KL6" s="1650"/>
      <c r="KM6" s="1650"/>
      <c r="KN6" s="1650"/>
      <c r="KO6" s="1650"/>
      <c r="KP6" s="1650"/>
      <c r="KQ6" s="1650"/>
      <c r="KR6" s="1650"/>
      <c r="KS6" s="1650"/>
      <c r="KT6" s="1650"/>
      <c r="KU6" s="1650"/>
      <c r="KV6" s="1650"/>
      <c r="KW6" s="1650"/>
      <c r="KX6" s="1650"/>
      <c r="KY6" s="1650"/>
      <c r="KZ6" s="1650"/>
      <c r="LA6" s="1650"/>
      <c r="LB6" s="1650"/>
      <c r="LC6" s="1650"/>
      <c r="LD6" s="1650"/>
      <c r="LE6" s="1650"/>
      <c r="LF6" s="1650"/>
      <c r="LG6" s="1650"/>
      <c r="LH6" s="1650"/>
      <c r="LI6" s="1650"/>
      <c r="LJ6" s="1650"/>
      <c r="LK6" s="1650"/>
      <c r="LL6" s="1650"/>
      <c r="LM6" s="1650"/>
      <c r="LN6" s="1650"/>
      <c r="LO6" s="1650"/>
      <c r="LP6" s="1650"/>
      <c r="LQ6" s="1650"/>
      <c r="LR6" s="1650"/>
      <c r="LS6" s="1650"/>
      <c r="LT6" s="1650"/>
      <c r="LU6" s="1650"/>
      <c r="LV6" s="1650"/>
      <c r="LW6" s="1650"/>
      <c r="LX6" s="1650"/>
      <c r="LY6" s="1650"/>
      <c r="LZ6" s="1650"/>
      <c r="MA6" s="1650"/>
      <c r="MB6" s="1650"/>
      <c r="MC6" s="1650"/>
      <c r="MD6" s="1650"/>
      <c r="ME6" s="1650"/>
      <c r="MF6" s="1650"/>
      <c r="MG6" s="1650"/>
      <c r="MH6" s="1650"/>
      <c r="MI6" s="1650"/>
      <c r="MJ6" s="1650"/>
      <c r="MK6" s="1650"/>
    </row>
    <row r="7" spans="1:349" ht="39" customHeight="1">
      <c r="A7" s="2757"/>
      <c r="B7" s="2757"/>
      <c r="C7" s="2751">
        <v>2016</v>
      </c>
      <c r="D7" s="2751"/>
      <c r="E7" s="2751"/>
      <c r="F7" s="2751"/>
      <c r="G7" s="2751"/>
      <c r="H7" s="2751"/>
      <c r="I7" s="2751"/>
      <c r="J7" s="2751"/>
      <c r="K7" s="2751"/>
      <c r="L7" s="2751"/>
      <c r="M7" s="2751"/>
      <c r="N7" s="2751"/>
      <c r="O7" s="2751"/>
      <c r="P7" s="2751"/>
      <c r="Q7" s="2751"/>
      <c r="R7" s="2751"/>
      <c r="S7" s="2751"/>
      <c r="T7" s="2751"/>
      <c r="U7" s="2751"/>
      <c r="V7" s="2751"/>
      <c r="W7" s="2751"/>
      <c r="X7" s="2751"/>
      <c r="Y7" s="2751"/>
      <c r="Z7" s="2751"/>
      <c r="AA7" s="2751">
        <v>2017</v>
      </c>
      <c r="AB7" s="2751"/>
      <c r="AC7" s="2751"/>
      <c r="AD7" s="2751"/>
      <c r="AE7" s="2751"/>
      <c r="AF7" s="2751"/>
      <c r="AG7" s="2751"/>
      <c r="AH7" s="2751"/>
      <c r="AI7" s="2751"/>
      <c r="AJ7" s="2751"/>
      <c r="AK7" s="2751"/>
      <c r="AL7" s="2751"/>
      <c r="AM7" s="2751"/>
      <c r="AN7" s="2751"/>
      <c r="AO7" s="2751"/>
      <c r="AP7" s="2751"/>
      <c r="AQ7" s="2751"/>
      <c r="AR7" s="2751"/>
      <c r="AS7" s="2751"/>
      <c r="AT7" s="2751"/>
      <c r="AU7" s="2751"/>
      <c r="AV7" s="2751"/>
      <c r="AW7" s="2751"/>
      <c r="AX7" s="2751"/>
      <c r="AY7" s="2751">
        <v>2018</v>
      </c>
      <c r="AZ7" s="2751"/>
      <c r="BA7" s="2751"/>
      <c r="BB7" s="2751"/>
      <c r="BC7" s="2751"/>
      <c r="BD7" s="2751"/>
      <c r="BE7" s="2751"/>
      <c r="BF7" s="2751"/>
      <c r="BG7" s="2751"/>
      <c r="BH7" s="2751"/>
      <c r="BI7" s="2751"/>
      <c r="BJ7" s="2751"/>
      <c r="BK7" s="2751"/>
      <c r="BL7" s="2751"/>
      <c r="BM7" s="2751"/>
      <c r="BN7" s="2751"/>
      <c r="BO7" s="2751"/>
      <c r="BP7" s="2751"/>
      <c r="BQ7" s="2751"/>
      <c r="BR7" s="2751"/>
      <c r="BS7" s="2751"/>
      <c r="BT7" s="2751"/>
      <c r="BU7" s="2751"/>
      <c r="BV7" s="2751"/>
      <c r="BW7" s="2751">
        <v>2019</v>
      </c>
      <c r="BX7" s="2751"/>
      <c r="BY7" s="2751"/>
      <c r="BZ7" s="2751"/>
      <c r="CA7" s="2751"/>
      <c r="CB7" s="2751"/>
      <c r="CC7" s="2751"/>
      <c r="CD7" s="2751"/>
      <c r="CE7" s="2751"/>
      <c r="CF7" s="2751"/>
      <c r="CG7" s="2751"/>
      <c r="CH7" s="2751"/>
      <c r="CI7" s="2751"/>
      <c r="CJ7" s="2751"/>
      <c r="CK7" s="2751"/>
      <c r="CL7" s="2751"/>
      <c r="CM7" s="2751"/>
      <c r="CN7" s="2751"/>
      <c r="CO7" s="2751"/>
      <c r="CP7" s="2751"/>
      <c r="CQ7" s="2751"/>
      <c r="CR7" s="2751"/>
      <c r="CS7" s="2751"/>
      <c r="CT7" s="2751"/>
      <c r="CU7" s="2751">
        <v>2020</v>
      </c>
      <c r="CV7" s="2751"/>
      <c r="CW7" s="2751"/>
      <c r="CX7" s="2751"/>
      <c r="CY7" s="2751"/>
      <c r="CZ7" s="2751"/>
      <c r="DA7" s="2751"/>
      <c r="DB7" s="2751"/>
      <c r="DC7" s="2751"/>
      <c r="DD7" s="2751"/>
      <c r="DE7" s="2751"/>
      <c r="DF7" s="2751"/>
      <c r="DG7" s="2751"/>
      <c r="DH7" s="2751"/>
      <c r="DI7" s="2751"/>
      <c r="DJ7" s="2751"/>
      <c r="DK7" s="2751"/>
      <c r="DL7" s="2751"/>
      <c r="DM7" s="2751"/>
      <c r="DN7" s="2751"/>
      <c r="DO7" s="2751"/>
      <c r="DP7" s="2751"/>
      <c r="DQ7" s="2751"/>
      <c r="DR7" s="2751"/>
      <c r="DS7" s="2751">
        <v>2021</v>
      </c>
      <c r="DT7" s="2751"/>
      <c r="DU7" s="2751"/>
      <c r="DV7" s="2751"/>
      <c r="DW7" s="2751"/>
      <c r="DX7" s="2751"/>
      <c r="DY7" s="2751"/>
      <c r="DZ7" s="2751"/>
      <c r="EA7" s="2751"/>
      <c r="EB7" s="2751"/>
      <c r="EC7" s="2751"/>
      <c r="ED7" s="2751"/>
      <c r="EE7" s="2751"/>
      <c r="EF7" s="2751"/>
      <c r="EG7" s="2751"/>
      <c r="EH7" s="2751"/>
      <c r="EI7" s="2751"/>
      <c r="EJ7" s="2751"/>
      <c r="EK7" s="2751"/>
      <c r="EL7" s="2751"/>
      <c r="EM7" s="2751"/>
      <c r="EN7" s="2751"/>
      <c r="EO7" s="2751"/>
      <c r="EP7" s="2751"/>
      <c r="EQ7" s="2745">
        <v>2022</v>
      </c>
      <c r="ER7" s="2746"/>
      <c r="ES7" s="2746"/>
      <c r="ET7" s="2746"/>
      <c r="EU7" s="2746"/>
      <c r="EV7" s="2746"/>
      <c r="EW7" s="2746"/>
      <c r="EX7" s="2746"/>
      <c r="EY7" s="2746"/>
      <c r="EZ7" s="2746"/>
      <c r="FA7" s="2746"/>
      <c r="FB7" s="2746"/>
      <c r="FC7" s="2746"/>
      <c r="FD7" s="2746"/>
      <c r="FE7" s="2746"/>
      <c r="FF7" s="2746"/>
      <c r="FG7" s="2746"/>
      <c r="FH7" s="2746"/>
      <c r="FI7" s="2746"/>
      <c r="FJ7" s="2746"/>
      <c r="FK7" s="2746"/>
      <c r="FL7" s="2747"/>
      <c r="FM7" s="2745">
        <v>2023</v>
      </c>
      <c r="FN7" s="2746"/>
      <c r="FO7" s="2746"/>
      <c r="FP7" s="2746"/>
      <c r="FQ7" s="2746"/>
      <c r="FR7" s="2746"/>
      <c r="FS7" s="2746"/>
      <c r="FT7" s="2746"/>
      <c r="FU7" s="2746"/>
      <c r="FV7" s="2746"/>
      <c r="FW7" s="2746"/>
      <c r="FX7" s="2746"/>
      <c r="FY7" s="2746"/>
      <c r="FZ7" s="2746"/>
      <c r="GA7" s="2746"/>
      <c r="GB7" s="2746"/>
      <c r="GC7" s="2746"/>
      <c r="GD7" s="2746"/>
      <c r="GE7" s="2746"/>
      <c r="GF7" s="2746"/>
      <c r="GG7" s="2746"/>
      <c r="GH7" s="2746"/>
      <c r="GI7" s="2746"/>
      <c r="GJ7" s="2746"/>
      <c r="GK7" s="2745">
        <v>2024</v>
      </c>
      <c r="GL7" s="2746"/>
      <c r="GM7" s="2746"/>
      <c r="GN7" s="2746"/>
      <c r="GO7" s="2746"/>
      <c r="GP7" s="2746"/>
      <c r="GQ7" s="2746"/>
      <c r="GR7" s="2746"/>
      <c r="GS7" s="2746"/>
      <c r="GT7" s="2746"/>
      <c r="GU7" s="2746"/>
      <c r="GV7" s="2746"/>
      <c r="GW7" s="2746"/>
      <c r="GX7" s="2746"/>
      <c r="GY7" s="2746"/>
      <c r="GZ7" s="2746"/>
      <c r="HA7" s="2746"/>
      <c r="HB7" s="2746"/>
      <c r="HC7" s="2746"/>
      <c r="HD7" s="2746"/>
      <c r="HE7" s="2746"/>
      <c r="HF7" s="2746"/>
      <c r="HG7" s="2746"/>
      <c r="HH7" s="2747"/>
      <c r="HI7" s="2745">
        <v>2025</v>
      </c>
      <c r="HJ7" s="2746"/>
      <c r="HK7" s="2746"/>
      <c r="HL7" s="2746"/>
      <c r="HM7" s="2746"/>
      <c r="HN7" s="2746"/>
      <c r="HO7" s="2746"/>
      <c r="HP7" s="2746"/>
      <c r="HQ7" s="2746"/>
      <c r="HR7" s="2746"/>
      <c r="HS7" s="2746"/>
      <c r="HT7" s="2746"/>
      <c r="HU7" s="2746"/>
      <c r="HV7" s="2746"/>
      <c r="HW7" s="2746"/>
      <c r="HX7" s="2746"/>
      <c r="HY7" s="2746"/>
      <c r="HZ7" s="2746"/>
      <c r="IA7" s="2746"/>
      <c r="IB7" s="2746"/>
      <c r="IC7" s="2746"/>
      <c r="ID7" s="2746"/>
      <c r="IE7" s="2746"/>
      <c r="IF7" s="2747"/>
      <c r="IG7" s="2745">
        <v>2026</v>
      </c>
      <c r="IH7" s="2746"/>
      <c r="II7" s="2746"/>
      <c r="IJ7" s="2746"/>
      <c r="IK7" s="2746"/>
      <c r="IL7" s="2746"/>
      <c r="IM7" s="2746"/>
      <c r="IN7" s="2746"/>
      <c r="IO7" s="2746"/>
      <c r="IP7" s="2746"/>
      <c r="IQ7" s="2746"/>
      <c r="IR7" s="2747"/>
      <c r="IS7" s="2748" t="s">
        <v>3140</v>
      </c>
    </row>
    <row r="8" spans="1:349" s="1651" customFormat="1" ht="36.75" customHeight="1" thickBot="1">
      <c r="A8" s="2751" t="s">
        <v>2343</v>
      </c>
      <c r="B8" s="2748" t="s">
        <v>2342</v>
      </c>
      <c r="C8" s="2753" t="s">
        <v>2314</v>
      </c>
      <c r="D8" s="2753"/>
      <c r="E8" s="2753" t="s">
        <v>3207</v>
      </c>
      <c r="F8" s="2753"/>
      <c r="G8" s="2753" t="s">
        <v>3208</v>
      </c>
      <c r="H8" s="2753"/>
      <c r="I8" s="2753" t="s">
        <v>3209</v>
      </c>
      <c r="J8" s="2753"/>
      <c r="K8" s="2753" t="s">
        <v>3210</v>
      </c>
      <c r="L8" s="2753"/>
      <c r="M8" s="2753" t="s">
        <v>3211</v>
      </c>
      <c r="N8" s="2753"/>
      <c r="O8" s="2753" t="s">
        <v>3212</v>
      </c>
      <c r="P8" s="2753"/>
      <c r="Q8" s="2753" t="s">
        <v>3213</v>
      </c>
      <c r="R8" s="2753"/>
      <c r="S8" s="2753" t="s">
        <v>3214</v>
      </c>
      <c r="T8" s="2753"/>
      <c r="U8" s="2753" t="s">
        <v>3224</v>
      </c>
      <c r="V8" s="2753"/>
      <c r="W8" s="2753" t="s">
        <v>3225</v>
      </c>
      <c r="X8" s="2753"/>
      <c r="Y8" s="2753" t="s">
        <v>3226</v>
      </c>
      <c r="Z8" s="2753"/>
      <c r="AA8" s="2753" t="s">
        <v>2314</v>
      </c>
      <c r="AB8" s="2753"/>
      <c r="AC8" s="2753" t="s">
        <v>3207</v>
      </c>
      <c r="AD8" s="2753"/>
      <c r="AE8" s="2753" t="s">
        <v>3208</v>
      </c>
      <c r="AF8" s="2753"/>
      <c r="AG8" s="2753" t="s">
        <v>3209</v>
      </c>
      <c r="AH8" s="2753"/>
      <c r="AI8" s="2753" t="s">
        <v>3210</v>
      </c>
      <c r="AJ8" s="2753"/>
      <c r="AK8" s="2753" t="s">
        <v>3211</v>
      </c>
      <c r="AL8" s="2753"/>
      <c r="AM8" s="2753" t="s">
        <v>3212</v>
      </c>
      <c r="AN8" s="2753"/>
      <c r="AO8" s="2753" t="s">
        <v>3213</v>
      </c>
      <c r="AP8" s="2753"/>
      <c r="AQ8" s="2753" t="s">
        <v>3214</v>
      </c>
      <c r="AR8" s="2753"/>
      <c r="AS8" s="2753" t="s">
        <v>3224</v>
      </c>
      <c r="AT8" s="2753"/>
      <c r="AU8" s="2753" t="s">
        <v>3225</v>
      </c>
      <c r="AV8" s="2753"/>
      <c r="AW8" s="2753" t="s">
        <v>3226</v>
      </c>
      <c r="AX8" s="2753"/>
      <c r="AY8" s="2753" t="s">
        <v>2314</v>
      </c>
      <c r="AZ8" s="2753"/>
      <c r="BA8" s="2753" t="s">
        <v>3207</v>
      </c>
      <c r="BB8" s="2753"/>
      <c r="BC8" s="2753" t="s">
        <v>3208</v>
      </c>
      <c r="BD8" s="2753"/>
      <c r="BE8" s="2753" t="s">
        <v>3209</v>
      </c>
      <c r="BF8" s="2753"/>
      <c r="BG8" s="2753" t="s">
        <v>3210</v>
      </c>
      <c r="BH8" s="2753"/>
      <c r="BI8" s="2753" t="s">
        <v>3211</v>
      </c>
      <c r="BJ8" s="2753"/>
      <c r="BK8" s="2753" t="s">
        <v>3212</v>
      </c>
      <c r="BL8" s="2753"/>
      <c r="BM8" s="2753" t="s">
        <v>3213</v>
      </c>
      <c r="BN8" s="2753"/>
      <c r="BO8" s="2753" t="s">
        <v>3214</v>
      </c>
      <c r="BP8" s="2753"/>
      <c r="BQ8" s="2753" t="s">
        <v>3224</v>
      </c>
      <c r="BR8" s="2753"/>
      <c r="BS8" s="2753" t="s">
        <v>3225</v>
      </c>
      <c r="BT8" s="2753"/>
      <c r="BU8" s="2753" t="s">
        <v>3226</v>
      </c>
      <c r="BV8" s="2753"/>
      <c r="BW8" s="2753" t="s">
        <v>2314</v>
      </c>
      <c r="BX8" s="2753"/>
      <c r="BY8" s="2753" t="s">
        <v>3207</v>
      </c>
      <c r="BZ8" s="2753"/>
      <c r="CA8" s="2753" t="s">
        <v>3208</v>
      </c>
      <c r="CB8" s="2753"/>
      <c r="CC8" s="2753" t="s">
        <v>3209</v>
      </c>
      <c r="CD8" s="2753"/>
      <c r="CE8" s="2753" t="s">
        <v>3210</v>
      </c>
      <c r="CF8" s="2753"/>
      <c r="CG8" s="2753" t="s">
        <v>3211</v>
      </c>
      <c r="CH8" s="2753"/>
      <c r="CI8" s="2753" t="s">
        <v>3212</v>
      </c>
      <c r="CJ8" s="2753"/>
      <c r="CK8" s="2753" t="s">
        <v>3213</v>
      </c>
      <c r="CL8" s="2753"/>
      <c r="CM8" s="2753" t="s">
        <v>3214</v>
      </c>
      <c r="CN8" s="2753"/>
      <c r="CO8" s="2753" t="s">
        <v>3224</v>
      </c>
      <c r="CP8" s="2753"/>
      <c r="CQ8" s="2753" t="s">
        <v>3225</v>
      </c>
      <c r="CR8" s="2753"/>
      <c r="CS8" s="2753" t="s">
        <v>3226</v>
      </c>
      <c r="CT8" s="2753"/>
      <c r="CU8" s="2753" t="s">
        <v>2314</v>
      </c>
      <c r="CV8" s="2753"/>
      <c r="CW8" s="2753" t="s">
        <v>3207</v>
      </c>
      <c r="CX8" s="2753"/>
      <c r="CY8" s="2753" t="s">
        <v>3208</v>
      </c>
      <c r="CZ8" s="2753"/>
      <c r="DA8" s="2753" t="s">
        <v>3209</v>
      </c>
      <c r="DB8" s="2753"/>
      <c r="DC8" s="2753" t="s">
        <v>3210</v>
      </c>
      <c r="DD8" s="2753"/>
      <c r="DE8" s="2753" t="s">
        <v>3211</v>
      </c>
      <c r="DF8" s="2753"/>
      <c r="DG8" s="2753" t="s">
        <v>3212</v>
      </c>
      <c r="DH8" s="2753"/>
      <c r="DI8" s="2753" t="s">
        <v>3213</v>
      </c>
      <c r="DJ8" s="2753"/>
      <c r="DK8" s="2753" t="s">
        <v>3214</v>
      </c>
      <c r="DL8" s="2753"/>
      <c r="DM8" s="2753" t="s">
        <v>3224</v>
      </c>
      <c r="DN8" s="2753"/>
      <c r="DO8" s="2753" t="s">
        <v>3225</v>
      </c>
      <c r="DP8" s="2753"/>
      <c r="DQ8" s="2753" t="s">
        <v>3226</v>
      </c>
      <c r="DR8" s="2753"/>
      <c r="DS8" s="2753" t="s">
        <v>2314</v>
      </c>
      <c r="DT8" s="2753"/>
      <c r="DU8" s="2753" t="s">
        <v>3207</v>
      </c>
      <c r="DV8" s="2753"/>
      <c r="DW8" s="2753" t="s">
        <v>3208</v>
      </c>
      <c r="DX8" s="2753"/>
      <c r="DY8" s="2753" t="s">
        <v>3209</v>
      </c>
      <c r="DZ8" s="2753"/>
      <c r="EA8" s="2753" t="s">
        <v>3210</v>
      </c>
      <c r="EB8" s="2753"/>
      <c r="EC8" s="2753" t="s">
        <v>3211</v>
      </c>
      <c r="ED8" s="2753"/>
      <c r="EE8" s="2753" t="s">
        <v>3212</v>
      </c>
      <c r="EF8" s="2753"/>
      <c r="EG8" s="2753" t="s">
        <v>3213</v>
      </c>
      <c r="EH8" s="2753"/>
      <c r="EI8" s="2753" t="s">
        <v>3214</v>
      </c>
      <c r="EJ8" s="2753"/>
      <c r="EK8" s="2753" t="s">
        <v>3224</v>
      </c>
      <c r="EL8" s="2753"/>
      <c r="EM8" s="2753" t="s">
        <v>3225</v>
      </c>
      <c r="EN8" s="2753"/>
      <c r="EO8" s="2753" t="s">
        <v>3226</v>
      </c>
      <c r="EP8" s="2753"/>
      <c r="EQ8" s="2758" t="s">
        <v>2314</v>
      </c>
      <c r="ER8" s="2759"/>
      <c r="ES8" s="2758" t="s">
        <v>3207</v>
      </c>
      <c r="ET8" s="2759"/>
      <c r="EU8" s="2758" t="s">
        <v>3208</v>
      </c>
      <c r="EV8" s="2759"/>
      <c r="EW8" s="2758" t="s">
        <v>3209</v>
      </c>
      <c r="EX8" s="2759"/>
      <c r="EY8" s="2758" t="s">
        <v>3210</v>
      </c>
      <c r="EZ8" s="2759"/>
      <c r="FA8" s="2758" t="s">
        <v>3211</v>
      </c>
      <c r="FB8" s="2759"/>
      <c r="FC8" s="2758" t="s">
        <v>3212</v>
      </c>
      <c r="FD8" s="2759"/>
      <c r="FE8" s="2758" t="s">
        <v>3214</v>
      </c>
      <c r="FF8" s="2759"/>
      <c r="FG8" s="2758" t="s">
        <v>3224</v>
      </c>
      <c r="FH8" s="2759"/>
      <c r="FI8" s="2758" t="s">
        <v>3225</v>
      </c>
      <c r="FJ8" s="2759"/>
      <c r="FK8" s="2758" t="s">
        <v>3226</v>
      </c>
      <c r="FL8" s="2759"/>
      <c r="FM8" s="2758" t="s">
        <v>2314</v>
      </c>
      <c r="FN8" s="2759"/>
      <c r="FO8" s="2758" t="s">
        <v>3207</v>
      </c>
      <c r="FP8" s="2759"/>
      <c r="FQ8" s="2758" t="s">
        <v>3208</v>
      </c>
      <c r="FR8" s="2759"/>
      <c r="FS8" s="2758" t="s">
        <v>3209</v>
      </c>
      <c r="FT8" s="2759"/>
      <c r="FU8" s="2758" t="s">
        <v>3210</v>
      </c>
      <c r="FV8" s="2759"/>
      <c r="FW8" s="2758" t="s">
        <v>3211</v>
      </c>
      <c r="FX8" s="2759"/>
      <c r="FY8" s="2758" t="s">
        <v>3825</v>
      </c>
      <c r="FZ8" s="2759"/>
      <c r="GA8" s="2758" t="s">
        <v>3213</v>
      </c>
      <c r="GB8" s="2759"/>
      <c r="GC8" s="2758" t="s">
        <v>3214</v>
      </c>
      <c r="GD8" s="2759"/>
      <c r="GE8" s="2758" t="s">
        <v>3224</v>
      </c>
      <c r="GF8" s="2759"/>
      <c r="GG8" s="2758" t="s">
        <v>3225</v>
      </c>
      <c r="GH8" s="2759"/>
      <c r="GI8" s="2758" t="s">
        <v>3226</v>
      </c>
      <c r="GJ8" s="2759"/>
      <c r="GK8" s="2758" t="s">
        <v>2314</v>
      </c>
      <c r="GL8" s="2759"/>
      <c r="GM8" s="2758" t="s">
        <v>3207</v>
      </c>
      <c r="GN8" s="2759"/>
      <c r="GO8" s="2758" t="s">
        <v>3208</v>
      </c>
      <c r="GP8" s="2759"/>
      <c r="GQ8" s="2758" t="s">
        <v>3209</v>
      </c>
      <c r="GR8" s="2759"/>
      <c r="GS8" s="2758" t="s">
        <v>3210</v>
      </c>
      <c r="GT8" s="2759"/>
      <c r="GU8" s="2758" t="s">
        <v>3211</v>
      </c>
      <c r="GV8" s="2759"/>
      <c r="GW8" s="2758" t="s">
        <v>3825</v>
      </c>
      <c r="GX8" s="2759"/>
      <c r="GY8" s="2758" t="s">
        <v>3213</v>
      </c>
      <c r="GZ8" s="2759"/>
      <c r="HA8" s="2758" t="s">
        <v>3214</v>
      </c>
      <c r="HB8" s="2759"/>
      <c r="HC8" s="2758" t="s">
        <v>3224</v>
      </c>
      <c r="HD8" s="2759"/>
      <c r="HE8" s="2758" t="s">
        <v>3225</v>
      </c>
      <c r="HF8" s="2759"/>
      <c r="HG8" s="2758" t="s">
        <v>3226</v>
      </c>
      <c r="HH8" s="2759"/>
      <c r="HI8" s="2758" t="s">
        <v>2314</v>
      </c>
      <c r="HJ8" s="2759"/>
      <c r="HK8" s="2758" t="s">
        <v>3207</v>
      </c>
      <c r="HL8" s="2759"/>
      <c r="HM8" s="2758" t="s">
        <v>3208</v>
      </c>
      <c r="HN8" s="2759"/>
      <c r="HO8" s="2758" t="s">
        <v>3209</v>
      </c>
      <c r="HP8" s="2759"/>
      <c r="HQ8" s="2758" t="s">
        <v>3210</v>
      </c>
      <c r="HR8" s="2759"/>
      <c r="HS8" s="2758" t="s">
        <v>3211</v>
      </c>
      <c r="HT8" s="2759"/>
      <c r="HU8" s="2758" t="s">
        <v>3825</v>
      </c>
      <c r="HV8" s="2759"/>
      <c r="HW8" s="2758" t="s">
        <v>3213</v>
      </c>
      <c r="HX8" s="2759"/>
      <c r="HY8" s="2758" t="s">
        <v>3214</v>
      </c>
      <c r="HZ8" s="2759"/>
      <c r="IA8" s="2758" t="s">
        <v>3224</v>
      </c>
      <c r="IB8" s="2759"/>
      <c r="IC8" s="2758" t="s">
        <v>3225</v>
      </c>
      <c r="ID8" s="2759"/>
      <c r="IE8" s="2758" t="s">
        <v>3226</v>
      </c>
      <c r="IF8" s="2759"/>
      <c r="IG8" s="2758" t="s">
        <v>2314</v>
      </c>
      <c r="IH8" s="2759"/>
      <c r="II8" s="2758" t="s">
        <v>3207</v>
      </c>
      <c r="IJ8" s="2759"/>
      <c r="IK8" s="2758" t="s">
        <v>3208</v>
      </c>
      <c r="IL8" s="2759"/>
      <c r="IM8" s="2758" t="s">
        <v>3209</v>
      </c>
      <c r="IN8" s="2759"/>
      <c r="IO8" s="2758" t="s">
        <v>3210</v>
      </c>
      <c r="IP8" s="2759"/>
      <c r="IQ8" s="2758" t="s">
        <v>3211</v>
      </c>
      <c r="IR8" s="2759"/>
      <c r="IS8" s="2749"/>
    </row>
    <row r="9" spans="1:349" s="1651" customFormat="1" ht="36.75" customHeight="1">
      <c r="A9" s="2751"/>
      <c r="B9" s="2749"/>
      <c r="C9" s="2760" t="s">
        <v>3141</v>
      </c>
      <c r="D9" s="2761"/>
      <c r="E9" s="2760" t="s">
        <v>3215</v>
      </c>
      <c r="F9" s="2761"/>
      <c r="G9" s="2760" t="s">
        <v>3216</v>
      </c>
      <c r="H9" s="2761"/>
      <c r="I9" s="2760" t="s">
        <v>3217</v>
      </c>
      <c r="J9" s="2761"/>
      <c r="K9" s="2760" t="s">
        <v>3218</v>
      </c>
      <c r="L9" s="2761"/>
      <c r="M9" s="2760" t="s">
        <v>3219</v>
      </c>
      <c r="N9" s="2761"/>
      <c r="O9" s="2760" t="s">
        <v>3220</v>
      </c>
      <c r="P9" s="2761"/>
      <c r="Q9" s="2760" t="s">
        <v>3221</v>
      </c>
      <c r="R9" s="2761"/>
      <c r="S9" s="2760" t="s">
        <v>3222</v>
      </c>
      <c r="T9" s="2761"/>
      <c r="U9" s="2760" t="s">
        <v>3229</v>
      </c>
      <c r="V9" s="2761"/>
      <c r="W9" s="2760" t="s">
        <v>3228</v>
      </c>
      <c r="X9" s="2761"/>
      <c r="Y9" s="2760" t="s">
        <v>3227</v>
      </c>
      <c r="Z9" s="2761"/>
      <c r="AA9" s="2760" t="s">
        <v>3141</v>
      </c>
      <c r="AB9" s="2761"/>
      <c r="AC9" s="2760" t="s">
        <v>3215</v>
      </c>
      <c r="AD9" s="2761"/>
      <c r="AE9" s="2760" t="s">
        <v>3216</v>
      </c>
      <c r="AF9" s="2761"/>
      <c r="AG9" s="2760" t="s">
        <v>3217</v>
      </c>
      <c r="AH9" s="2761"/>
      <c r="AI9" s="2760" t="s">
        <v>3218</v>
      </c>
      <c r="AJ9" s="2761"/>
      <c r="AK9" s="2760" t="s">
        <v>3219</v>
      </c>
      <c r="AL9" s="2761"/>
      <c r="AM9" s="2760" t="s">
        <v>3220</v>
      </c>
      <c r="AN9" s="2761"/>
      <c r="AO9" s="2760" t="s">
        <v>3221</v>
      </c>
      <c r="AP9" s="2761"/>
      <c r="AQ9" s="2760" t="s">
        <v>3222</v>
      </c>
      <c r="AR9" s="2761"/>
      <c r="AS9" s="2760" t="s">
        <v>3229</v>
      </c>
      <c r="AT9" s="2761"/>
      <c r="AU9" s="2760" t="s">
        <v>3228</v>
      </c>
      <c r="AV9" s="2761"/>
      <c r="AW9" s="2760" t="s">
        <v>3227</v>
      </c>
      <c r="AX9" s="2761"/>
      <c r="AY9" s="2760" t="s">
        <v>3141</v>
      </c>
      <c r="AZ9" s="2761"/>
      <c r="BA9" s="2760" t="s">
        <v>3215</v>
      </c>
      <c r="BB9" s="2761"/>
      <c r="BC9" s="2760" t="s">
        <v>3216</v>
      </c>
      <c r="BD9" s="2761"/>
      <c r="BE9" s="2760" t="s">
        <v>3217</v>
      </c>
      <c r="BF9" s="2761"/>
      <c r="BG9" s="2760" t="s">
        <v>3218</v>
      </c>
      <c r="BH9" s="2761"/>
      <c r="BI9" s="2760" t="s">
        <v>3219</v>
      </c>
      <c r="BJ9" s="2761"/>
      <c r="BK9" s="2760" t="s">
        <v>3220</v>
      </c>
      <c r="BL9" s="2761"/>
      <c r="BM9" s="2760" t="s">
        <v>3221</v>
      </c>
      <c r="BN9" s="2761"/>
      <c r="BO9" s="2760" t="s">
        <v>3222</v>
      </c>
      <c r="BP9" s="2761"/>
      <c r="BQ9" s="2760" t="s">
        <v>3229</v>
      </c>
      <c r="BR9" s="2761"/>
      <c r="BS9" s="2760" t="s">
        <v>3228</v>
      </c>
      <c r="BT9" s="2761"/>
      <c r="BU9" s="2760" t="s">
        <v>3227</v>
      </c>
      <c r="BV9" s="2761"/>
      <c r="BW9" s="2760" t="s">
        <v>3141</v>
      </c>
      <c r="BX9" s="2761"/>
      <c r="BY9" s="2760" t="s">
        <v>3215</v>
      </c>
      <c r="BZ9" s="2761"/>
      <c r="CA9" s="2760" t="s">
        <v>3216</v>
      </c>
      <c r="CB9" s="2761"/>
      <c r="CC9" s="2760" t="s">
        <v>3217</v>
      </c>
      <c r="CD9" s="2761"/>
      <c r="CE9" s="2760" t="s">
        <v>3218</v>
      </c>
      <c r="CF9" s="2761"/>
      <c r="CG9" s="2760" t="s">
        <v>3219</v>
      </c>
      <c r="CH9" s="2761"/>
      <c r="CI9" s="2760" t="s">
        <v>3220</v>
      </c>
      <c r="CJ9" s="2761"/>
      <c r="CK9" s="2760" t="s">
        <v>3221</v>
      </c>
      <c r="CL9" s="2761"/>
      <c r="CM9" s="2760" t="s">
        <v>3222</v>
      </c>
      <c r="CN9" s="2761"/>
      <c r="CO9" s="2760" t="s">
        <v>3229</v>
      </c>
      <c r="CP9" s="2761"/>
      <c r="CQ9" s="2760" t="s">
        <v>3228</v>
      </c>
      <c r="CR9" s="2761"/>
      <c r="CS9" s="2760" t="s">
        <v>3227</v>
      </c>
      <c r="CT9" s="2761"/>
      <c r="CU9" s="2760" t="s">
        <v>3141</v>
      </c>
      <c r="CV9" s="2761"/>
      <c r="CW9" s="2760" t="s">
        <v>3215</v>
      </c>
      <c r="CX9" s="2761"/>
      <c r="CY9" s="2760" t="s">
        <v>3216</v>
      </c>
      <c r="CZ9" s="2761"/>
      <c r="DA9" s="2760" t="s">
        <v>3217</v>
      </c>
      <c r="DB9" s="2761"/>
      <c r="DC9" s="2760" t="s">
        <v>3218</v>
      </c>
      <c r="DD9" s="2761"/>
      <c r="DE9" s="2760" t="s">
        <v>3219</v>
      </c>
      <c r="DF9" s="2761"/>
      <c r="DG9" s="2760" t="s">
        <v>3220</v>
      </c>
      <c r="DH9" s="2761"/>
      <c r="DI9" s="2760" t="s">
        <v>3221</v>
      </c>
      <c r="DJ9" s="2761"/>
      <c r="DK9" s="2760" t="s">
        <v>3222</v>
      </c>
      <c r="DL9" s="2761"/>
      <c r="DM9" s="2760" t="s">
        <v>3229</v>
      </c>
      <c r="DN9" s="2761"/>
      <c r="DO9" s="2760" t="s">
        <v>3228</v>
      </c>
      <c r="DP9" s="2761"/>
      <c r="DQ9" s="2760" t="s">
        <v>3227</v>
      </c>
      <c r="DR9" s="2761"/>
      <c r="DS9" s="2753" t="s">
        <v>3141</v>
      </c>
      <c r="DT9" s="2753"/>
      <c r="DU9" s="2753" t="s">
        <v>3215</v>
      </c>
      <c r="DV9" s="2753"/>
      <c r="DW9" s="2753" t="s">
        <v>3216</v>
      </c>
      <c r="DX9" s="2753"/>
      <c r="DY9" s="2753" t="s">
        <v>3217</v>
      </c>
      <c r="DZ9" s="2753"/>
      <c r="EA9" s="2753" t="s">
        <v>3218</v>
      </c>
      <c r="EB9" s="2753"/>
      <c r="EC9" s="2753" t="s">
        <v>3219</v>
      </c>
      <c r="ED9" s="2753"/>
      <c r="EE9" s="2753" t="s">
        <v>3220</v>
      </c>
      <c r="EF9" s="2753"/>
      <c r="EG9" s="2753" t="s">
        <v>3221</v>
      </c>
      <c r="EH9" s="2753"/>
      <c r="EI9" s="2753" t="s">
        <v>3222</v>
      </c>
      <c r="EJ9" s="2753"/>
      <c r="EK9" s="2753" t="s">
        <v>3229</v>
      </c>
      <c r="EL9" s="2753"/>
      <c r="EM9" s="2753" t="s">
        <v>3228</v>
      </c>
      <c r="EN9" s="2753"/>
      <c r="EO9" s="2753" t="s">
        <v>3227</v>
      </c>
      <c r="EP9" s="2753"/>
      <c r="EQ9" s="2758" t="s">
        <v>3141</v>
      </c>
      <c r="ER9" s="2759"/>
      <c r="ES9" s="2758" t="s">
        <v>3215</v>
      </c>
      <c r="ET9" s="2759"/>
      <c r="EU9" s="2758" t="s">
        <v>3216</v>
      </c>
      <c r="EV9" s="2759"/>
      <c r="EW9" s="2758" t="s">
        <v>3217</v>
      </c>
      <c r="EX9" s="2759"/>
      <c r="EY9" s="2758" t="s">
        <v>3218</v>
      </c>
      <c r="EZ9" s="2759"/>
      <c r="FA9" s="2758" t="s">
        <v>3219</v>
      </c>
      <c r="FB9" s="2759"/>
      <c r="FC9" s="2758" t="s">
        <v>3220</v>
      </c>
      <c r="FD9" s="2759"/>
      <c r="FE9" s="2758" t="s">
        <v>3222</v>
      </c>
      <c r="FF9" s="2759"/>
      <c r="FG9" s="2758" t="s">
        <v>3381</v>
      </c>
      <c r="FH9" s="2759"/>
      <c r="FI9" s="2758" t="s">
        <v>3409</v>
      </c>
      <c r="FJ9" s="2759"/>
      <c r="FK9" s="2758" t="s">
        <v>3459</v>
      </c>
      <c r="FL9" s="2759"/>
      <c r="FM9" s="2762" t="s">
        <v>3141</v>
      </c>
      <c r="FN9" s="2763"/>
      <c r="FO9" s="2762" t="s">
        <v>3215</v>
      </c>
      <c r="FP9" s="2763"/>
      <c r="FQ9" s="2762" t="s">
        <v>3216</v>
      </c>
      <c r="FR9" s="2763"/>
      <c r="FS9" s="2762" t="s">
        <v>3217</v>
      </c>
      <c r="FT9" s="2763"/>
      <c r="FU9" s="2762" t="s">
        <v>3218</v>
      </c>
      <c r="FV9" s="2763"/>
      <c r="FW9" s="2762" t="s">
        <v>3219</v>
      </c>
      <c r="FX9" s="2763"/>
      <c r="FY9" s="2762" t="s">
        <v>3220</v>
      </c>
      <c r="FZ9" s="2763"/>
      <c r="GA9" s="2762" t="s">
        <v>3221</v>
      </c>
      <c r="GB9" s="2763"/>
      <c r="GC9" s="2762" t="s">
        <v>3222</v>
      </c>
      <c r="GD9" s="2763"/>
      <c r="GE9" s="2762" t="s">
        <v>3381</v>
      </c>
      <c r="GF9" s="2763"/>
      <c r="GG9" s="2762" t="s">
        <v>3409</v>
      </c>
      <c r="GH9" s="2763"/>
      <c r="GI9" s="2762" t="s">
        <v>3459</v>
      </c>
      <c r="GJ9" s="2763"/>
      <c r="GK9" s="2762" t="s">
        <v>3141</v>
      </c>
      <c r="GL9" s="2763"/>
      <c r="GM9" s="2762" t="s">
        <v>3215</v>
      </c>
      <c r="GN9" s="2763"/>
      <c r="GO9" s="2762" t="s">
        <v>3216</v>
      </c>
      <c r="GP9" s="2763"/>
      <c r="GQ9" s="2762" t="s">
        <v>3217</v>
      </c>
      <c r="GR9" s="2763"/>
      <c r="GS9" s="2762" t="s">
        <v>3218</v>
      </c>
      <c r="GT9" s="2763"/>
      <c r="GU9" s="2762" t="s">
        <v>3219</v>
      </c>
      <c r="GV9" s="2763"/>
      <c r="GW9" s="2762" t="s">
        <v>3220</v>
      </c>
      <c r="GX9" s="2763"/>
      <c r="GY9" s="2762" t="s">
        <v>3221</v>
      </c>
      <c r="GZ9" s="2763"/>
      <c r="HA9" s="2758" t="s">
        <v>3222</v>
      </c>
      <c r="HB9" s="2759"/>
      <c r="HC9" s="2758" t="s">
        <v>3381</v>
      </c>
      <c r="HD9" s="2759"/>
      <c r="HE9" s="2758" t="s">
        <v>3409</v>
      </c>
      <c r="HF9" s="2759"/>
      <c r="HG9" s="2758" t="s">
        <v>3459</v>
      </c>
      <c r="HH9" s="2759"/>
      <c r="HI9" s="2758" t="s">
        <v>3141</v>
      </c>
      <c r="HJ9" s="2759"/>
      <c r="HK9" s="2758" t="s">
        <v>3215</v>
      </c>
      <c r="HL9" s="2759"/>
      <c r="HM9" s="2758" t="s">
        <v>3216</v>
      </c>
      <c r="HN9" s="2759"/>
      <c r="HO9" s="2758" t="s">
        <v>3217</v>
      </c>
      <c r="HP9" s="2759"/>
      <c r="HQ9" s="2758" t="s">
        <v>3218</v>
      </c>
      <c r="HR9" s="2759"/>
      <c r="HS9" s="2758" t="s">
        <v>3219</v>
      </c>
      <c r="HT9" s="2759"/>
      <c r="HU9" s="2758" t="s">
        <v>3220</v>
      </c>
      <c r="HV9" s="2759"/>
      <c r="HW9" s="2758" t="s">
        <v>3221</v>
      </c>
      <c r="HX9" s="2759"/>
      <c r="HY9" s="2758" t="s">
        <v>3222</v>
      </c>
      <c r="HZ9" s="2759"/>
      <c r="IA9" s="2758" t="s">
        <v>3381</v>
      </c>
      <c r="IB9" s="2759"/>
      <c r="IC9" s="2758" t="s">
        <v>3409</v>
      </c>
      <c r="ID9" s="2759"/>
      <c r="IE9" s="2758" t="s">
        <v>3459</v>
      </c>
      <c r="IF9" s="2759"/>
      <c r="IG9" s="2758" t="s">
        <v>3141</v>
      </c>
      <c r="IH9" s="2759"/>
      <c r="II9" s="2758" t="s">
        <v>3215</v>
      </c>
      <c r="IJ9" s="2759"/>
      <c r="IK9" s="2758" t="s">
        <v>3216</v>
      </c>
      <c r="IL9" s="2759"/>
      <c r="IM9" s="2758" t="s">
        <v>3217</v>
      </c>
      <c r="IN9" s="2759"/>
      <c r="IO9" s="2758" t="s">
        <v>3218</v>
      </c>
      <c r="IP9" s="2759"/>
      <c r="IQ9" s="2758" t="s">
        <v>3219</v>
      </c>
      <c r="IR9" s="2759"/>
      <c r="IS9" s="2749"/>
    </row>
    <row r="10" spans="1:349" ht="66.75" customHeight="1">
      <c r="A10" s="2751"/>
      <c r="B10" s="2749"/>
      <c r="C10" s="1150" t="s">
        <v>4384</v>
      </c>
      <c r="D10" s="1150" t="s">
        <v>2341</v>
      </c>
      <c r="E10" s="1150" t="s">
        <v>4384</v>
      </c>
      <c r="F10" s="1150" t="s">
        <v>2341</v>
      </c>
      <c r="G10" s="1150" t="s">
        <v>4384</v>
      </c>
      <c r="H10" s="1150" t="s">
        <v>2341</v>
      </c>
      <c r="I10" s="1150" t="s">
        <v>4384</v>
      </c>
      <c r="J10" s="1150" t="s">
        <v>2341</v>
      </c>
      <c r="K10" s="1150" t="s">
        <v>4384</v>
      </c>
      <c r="L10" s="1150" t="s">
        <v>2341</v>
      </c>
      <c r="M10" s="1150" t="s">
        <v>4384</v>
      </c>
      <c r="N10" s="1150" t="s">
        <v>2341</v>
      </c>
      <c r="O10" s="1150" t="s">
        <v>4384</v>
      </c>
      <c r="P10" s="1150" t="s">
        <v>2341</v>
      </c>
      <c r="Q10" s="1150" t="s">
        <v>4384</v>
      </c>
      <c r="R10" s="1150" t="s">
        <v>2341</v>
      </c>
      <c r="S10" s="1150" t="s">
        <v>4384</v>
      </c>
      <c r="T10" s="1150" t="s">
        <v>2341</v>
      </c>
      <c r="U10" s="1150" t="s">
        <v>4384</v>
      </c>
      <c r="V10" s="1150" t="s">
        <v>2341</v>
      </c>
      <c r="W10" s="1150" t="s">
        <v>4384</v>
      </c>
      <c r="X10" s="1150" t="s">
        <v>2341</v>
      </c>
      <c r="Y10" s="1150" t="s">
        <v>4384</v>
      </c>
      <c r="Z10" s="1150" t="s">
        <v>2341</v>
      </c>
      <c r="AA10" s="1150" t="s">
        <v>4384</v>
      </c>
      <c r="AB10" s="1150" t="s">
        <v>2341</v>
      </c>
      <c r="AC10" s="1150" t="s">
        <v>4384</v>
      </c>
      <c r="AD10" s="1150" t="s">
        <v>2341</v>
      </c>
      <c r="AE10" s="1150" t="s">
        <v>4384</v>
      </c>
      <c r="AF10" s="1150" t="s">
        <v>2341</v>
      </c>
      <c r="AG10" s="1150" t="s">
        <v>4384</v>
      </c>
      <c r="AH10" s="1150" t="s">
        <v>2341</v>
      </c>
      <c r="AI10" s="1150" t="s">
        <v>4384</v>
      </c>
      <c r="AJ10" s="1150" t="s">
        <v>2341</v>
      </c>
      <c r="AK10" s="1150" t="s">
        <v>4384</v>
      </c>
      <c r="AL10" s="1150" t="s">
        <v>2341</v>
      </c>
      <c r="AM10" s="1150" t="s">
        <v>4384</v>
      </c>
      <c r="AN10" s="1150" t="s">
        <v>2341</v>
      </c>
      <c r="AO10" s="1150" t="s">
        <v>4384</v>
      </c>
      <c r="AP10" s="1150" t="s">
        <v>2341</v>
      </c>
      <c r="AQ10" s="1150" t="s">
        <v>4384</v>
      </c>
      <c r="AR10" s="1150" t="s">
        <v>2341</v>
      </c>
      <c r="AS10" s="1150" t="s">
        <v>4384</v>
      </c>
      <c r="AT10" s="1150" t="s">
        <v>2341</v>
      </c>
      <c r="AU10" s="1150" t="s">
        <v>4384</v>
      </c>
      <c r="AV10" s="1150" t="s">
        <v>2341</v>
      </c>
      <c r="AW10" s="1150" t="s">
        <v>4384</v>
      </c>
      <c r="AX10" s="1150" t="s">
        <v>2341</v>
      </c>
      <c r="AY10" s="1150" t="s">
        <v>4384</v>
      </c>
      <c r="AZ10" s="1150" t="s">
        <v>2341</v>
      </c>
      <c r="BA10" s="1150" t="s">
        <v>4384</v>
      </c>
      <c r="BB10" s="1150" t="s">
        <v>2341</v>
      </c>
      <c r="BC10" s="1150" t="s">
        <v>4384</v>
      </c>
      <c r="BD10" s="1150" t="s">
        <v>2341</v>
      </c>
      <c r="BE10" s="1150" t="s">
        <v>4384</v>
      </c>
      <c r="BF10" s="1150" t="s">
        <v>2341</v>
      </c>
      <c r="BG10" s="1150" t="s">
        <v>4384</v>
      </c>
      <c r="BH10" s="1150" t="s">
        <v>2341</v>
      </c>
      <c r="BI10" s="1150" t="s">
        <v>4384</v>
      </c>
      <c r="BJ10" s="1150" t="s">
        <v>2341</v>
      </c>
      <c r="BK10" s="1150" t="s">
        <v>4384</v>
      </c>
      <c r="BL10" s="1150" t="s">
        <v>2341</v>
      </c>
      <c r="BM10" s="1150" t="s">
        <v>4384</v>
      </c>
      <c r="BN10" s="1150" t="s">
        <v>2341</v>
      </c>
      <c r="BO10" s="1150" t="s">
        <v>4384</v>
      </c>
      <c r="BP10" s="1150" t="s">
        <v>2341</v>
      </c>
      <c r="BQ10" s="1150" t="s">
        <v>4384</v>
      </c>
      <c r="BR10" s="1150" t="s">
        <v>2341</v>
      </c>
      <c r="BS10" s="1150" t="s">
        <v>4384</v>
      </c>
      <c r="BT10" s="1150" t="s">
        <v>2341</v>
      </c>
      <c r="BU10" s="1150" t="s">
        <v>4384</v>
      </c>
      <c r="BV10" s="1150" t="s">
        <v>2341</v>
      </c>
      <c r="BW10" s="1150" t="s">
        <v>4384</v>
      </c>
      <c r="BX10" s="1150" t="s">
        <v>2341</v>
      </c>
      <c r="BY10" s="1150" t="s">
        <v>4384</v>
      </c>
      <c r="BZ10" s="1150" t="s">
        <v>2341</v>
      </c>
      <c r="CA10" s="1150" t="s">
        <v>4384</v>
      </c>
      <c r="CB10" s="1150" t="s">
        <v>2341</v>
      </c>
      <c r="CC10" s="1150" t="s">
        <v>4384</v>
      </c>
      <c r="CD10" s="1150" t="s">
        <v>2341</v>
      </c>
      <c r="CE10" s="1150" t="s">
        <v>4384</v>
      </c>
      <c r="CF10" s="1150" t="s">
        <v>2341</v>
      </c>
      <c r="CG10" s="1150" t="s">
        <v>4384</v>
      </c>
      <c r="CH10" s="1150" t="s">
        <v>2341</v>
      </c>
      <c r="CI10" s="1150" t="s">
        <v>4384</v>
      </c>
      <c r="CJ10" s="1150" t="s">
        <v>2341</v>
      </c>
      <c r="CK10" s="1150" t="s">
        <v>4384</v>
      </c>
      <c r="CL10" s="1150" t="s">
        <v>2341</v>
      </c>
      <c r="CM10" s="1150" t="s">
        <v>4384</v>
      </c>
      <c r="CN10" s="1150" t="s">
        <v>2341</v>
      </c>
      <c r="CO10" s="1150" t="s">
        <v>4384</v>
      </c>
      <c r="CP10" s="1150" t="s">
        <v>2341</v>
      </c>
      <c r="CQ10" s="1150" t="s">
        <v>4384</v>
      </c>
      <c r="CR10" s="1150" t="s">
        <v>2341</v>
      </c>
      <c r="CS10" s="1150" t="s">
        <v>4384</v>
      </c>
      <c r="CT10" s="1150" t="s">
        <v>2341</v>
      </c>
      <c r="CU10" s="1150" t="s">
        <v>4384</v>
      </c>
      <c r="CV10" s="1150" t="s">
        <v>2341</v>
      </c>
      <c r="CW10" s="1150" t="s">
        <v>4384</v>
      </c>
      <c r="CX10" s="1150" t="s">
        <v>2341</v>
      </c>
      <c r="CY10" s="1150" t="s">
        <v>4384</v>
      </c>
      <c r="CZ10" s="1150" t="s">
        <v>2341</v>
      </c>
      <c r="DA10" s="1150" t="s">
        <v>4384</v>
      </c>
      <c r="DB10" s="1150" t="s">
        <v>2341</v>
      </c>
      <c r="DC10" s="1150" t="s">
        <v>4384</v>
      </c>
      <c r="DD10" s="1150" t="s">
        <v>2341</v>
      </c>
      <c r="DE10" s="1150" t="s">
        <v>4384</v>
      </c>
      <c r="DF10" s="1150" t="s">
        <v>2341</v>
      </c>
      <c r="DG10" s="1150" t="s">
        <v>4384</v>
      </c>
      <c r="DH10" s="1150" t="s">
        <v>2341</v>
      </c>
      <c r="DI10" s="1150" t="s">
        <v>4384</v>
      </c>
      <c r="DJ10" s="1150" t="s">
        <v>2341</v>
      </c>
      <c r="DK10" s="1150" t="s">
        <v>4384</v>
      </c>
      <c r="DL10" s="1150" t="s">
        <v>2341</v>
      </c>
      <c r="DM10" s="1150" t="s">
        <v>4384</v>
      </c>
      <c r="DN10" s="1150" t="s">
        <v>2341</v>
      </c>
      <c r="DO10" s="1150" t="s">
        <v>4384</v>
      </c>
      <c r="DP10" s="1150" t="s">
        <v>2341</v>
      </c>
      <c r="DQ10" s="1150" t="s">
        <v>4384</v>
      </c>
      <c r="DR10" s="1150" t="s">
        <v>2341</v>
      </c>
      <c r="DS10" s="1150" t="s">
        <v>4384</v>
      </c>
      <c r="DT10" s="1150" t="s">
        <v>2341</v>
      </c>
      <c r="DU10" s="1150" t="s">
        <v>4384</v>
      </c>
      <c r="DV10" s="1150" t="s">
        <v>2341</v>
      </c>
      <c r="DW10" s="1150" t="s">
        <v>4384</v>
      </c>
      <c r="DX10" s="1150" t="s">
        <v>2341</v>
      </c>
      <c r="DY10" s="1150" t="s">
        <v>4384</v>
      </c>
      <c r="DZ10" s="1150" t="s">
        <v>2341</v>
      </c>
      <c r="EA10" s="1150" t="s">
        <v>4384</v>
      </c>
      <c r="EB10" s="1150" t="s">
        <v>2341</v>
      </c>
      <c r="EC10" s="1150" t="s">
        <v>4384</v>
      </c>
      <c r="ED10" s="1150" t="s">
        <v>2341</v>
      </c>
      <c r="EE10" s="1150" t="s">
        <v>4384</v>
      </c>
      <c r="EF10" s="1150" t="s">
        <v>2341</v>
      </c>
      <c r="EG10" s="1150" t="s">
        <v>4384</v>
      </c>
      <c r="EH10" s="1150" t="s">
        <v>2341</v>
      </c>
      <c r="EI10" s="1150" t="s">
        <v>4384</v>
      </c>
      <c r="EJ10" s="1150" t="s">
        <v>2341</v>
      </c>
      <c r="EK10" s="1150" t="s">
        <v>4384</v>
      </c>
      <c r="EL10" s="1150" t="s">
        <v>2341</v>
      </c>
      <c r="EM10" s="1150" t="s">
        <v>4384</v>
      </c>
      <c r="EN10" s="1150" t="s">
        <v>2341</v>
      </c>
      <c r="EO10" s="1150" t="s">
        <v>4384</v>
      </c>
      <c r="EP10" s="1150" t="s">
        <v>2341</v>
      </c>
      <c r="EQ10" s="1150" t="s">
        <v>4384</v>
      </c>
      <c r="ER10" s="1150" t="s">
        <v>2341</v>
      </c>
      <c r="ES10" s="1150" t="s">
        <v>4384</v>
      </c>
      <c r="ET10" s="1150" t="s">
        <v>2341</v>
      </c>
      <c r="EU10" s="1150" t="s">
        <v>4384</v>
      </c>
      <c r="EV10" s="1150" t="s">
        <v>2341</v>
      </c>
      <c r="EW10" s="1150" t="s">
        <v>4384</v>
      </c>
      <c r="EX10" s="1150" t="s">
        <v>2341</v>
      </c>
      <c r="EY10" s="1150" t="s">
        <v>4384</v>
      </c>
      <c r="EZ10" s="1150" t="s">
        <v>2341</v>
      </c>
      <c r="FA10" s="1150" t="s">
        <v>4384</v>
      </c>
      <c r="FB10" s="1150" t="s">
        <v>2341</v>
      </c>
      <c r="FC10" s="1150" t="s">
        <v>4384</v>
      </c>
      <c r="FD10" s="1150" t="s">
        <v>2341</v>
      </c>
      <c r="FE10" s="1150" t="s">
        <v>4384</v>
      </c>
      <c r="FF10" s="1150" t="s">
        <v>2341</v>
      </c>
      <c r="FG10" s="1150" t="s">
        <v>4384</v>
      </c>
      <c r="FH10" s="1150" t="s">
        <v>2341</v>
      </c>
      <c r="FI10" s="1150" t="s">
        <v>4384</v>
      </c>
      <c r="FJ10" s="1150" t="s">
        <v>2341</v>
      </c>
      <c r="FK10" s="1150" t="s">
        <v>4384</v>
      </c>
      <c r="FL10" s="1150" t="s">
        <v>2341</v>
      </c>
      <c r="FM10" s="1150" t="s">
        <v>4384</v>
      </c>
      <c r="FN10" s="1150" t="s">
        <v>2341</v>
      </c>
      <c r="FO10" s="1150" t="s">
        <v>4384</v>
      </c>
      <c r="FP10" s="1150" t="s">
        <v>2341</v>
      </c>
      <c r="FQ10" s="1150" t="s">
        <v>4384</v>
      </c>
      <c r="FR10" s="1150" t="s">
        <v>2341</v>
      </c>
      <c r="FS10" s="1150" t="s">
        <v>4384</v>
      </c>
      <c r="FT10" s="1150" t="s">
        <v>2341</v>
      </c>
      <c r="FU10" s="1150" t="s">
        <v>4384</v>
      </c>
      <c r="FV10" s="1150" t="s">
        <v>2341</v>
      </c>
      <c r="FW10" s="1150" t="s">
        <v>4384</v>
      </c>
      <c r="FX10" s="1150" t="s">
        <v>2341</v>
      </c>
      <c r="FY10" s="1150" t="s">
        <v>4384</v>
      </c>
      <c r="FZ10" s="1150" t="s">
        <v>2341</v>
      </c>
      <c r="GA10" s="1150" t="s">
        <v>4384</v>
      </c>
      <c r="GB10" s="1150" t="s">
        <v>2341</v>
      </c>
      <c r="GC10" s="1150" t="s">
        <v>4384</v>
      </c>
      <c r="GD10" s="1150" t="s">
        <v>2341</v>
      </c>
      <c r="GE10" s="1150" t="s">
        <v>4384</v>
      </c>
      <c r="GF10" s="1150" t="s">
        <v>2341</v>
      </c>
      <c r="GG10" s="1150" t="s">
        <v>4384</v>
      </c>
      <c r="GH10" s="1150" t="s">
        <v>2341</v>
      </c>
      <c r="GI10" s="1150" t="s">
        <v>4384</v>
      </c>
      <c r="GJ10" s="1150" t="s">
        <v>2341</v>
      </c>
      <c r="GK10" s="1150" t="s">
        <v>4384</v>
      </c>
      <c r="GL10" s="1150" t="s">
        <v>2341</v>
      </c>
      <c r="GM10" s="1150" t="s">
        <v>4384</v>
      </c>
      <c r="GN10" s="1150" t="s">
        <v>2341</v>
      </c>
      <c r="GO10" s="1150" t="s">
        <v>4384</v>
      </c>
      <c r="GP10" s="1150" t="s">
        <v>2341</v>
      </c>
      <c r="GQ10" s="1150" t="s">
        <v>4384</v>
      </c>
      <c r="GR10" s="1150" t="s">
        <v>2341</v>
      </c>
      <c r="GS10" s="1150" t="s">
        <v>4384</v>
      </c>
      <c r="GT10" s="1150" t="s">
        <v>2341</v>
      </c>
      <c r="GU10" s="1150" t="s">
        <v>4384</v>
      </c>
      <c r="GV10" s="1150" t="s">
        <v>2341</v>
      </c>
      <c r="GW10" s="1150" t="s">
        <v>4384</v>
      </c>
      <c r="GX10" s="1150" t="s">
        <v>2341</v>
      </c>
      <c r="GY10" s="1150" t="s">
        <v>4384</v>
      </c>
      <c r="GZ10" s="1150" t="s">
        <v>2341</v>
      </c>
      <c r="HA10" s="1150" t="s">
        <v>4384</v>
      </c>
      <c r="HB10" s="1150" t="s">
        <v>2341</v>
      </c>
      <c r="HC10" s="1150" t="s">
        <v>4384</v>
      </c>
      <c r="HD10" s="1150" t="s">
        <v>2341</v>
      </c>
      <c r="HE10" s="1150" t="s">
        <v>4384</v>
      </c>
      <c r="HF10" s="1150" t="s">
        <v>2341</v>
      </c>
      <c r="HG10" s="1150" t="s">
        <v>4384</v>
      </c>
      <c r="HH10" s="1150" t="s">
        <v>2341</v>
      </c>
      <c r="HI10" s="1150" t="s">
        <v>4384</v>
      </c>
      <c r="HJ10" s="1150" t="s">
        <v>2341</v>
      </c>
      <c r="HK10" s="1150" t="s">
        <v>4384</v>
      </c>
      <c r="HL10" s="1150" t="s">
        <v>2341</v>
      </c>
      <c r="HM10" s="1150" t="s">
        <v>4384</v>
      </c>
      <c r="HN10" s="1150" t="s">
        <v>2341</v>
      </c>
      <c r="HO10" s="1150" t="s">
        <v>4384</v>
      </c>
      <c r="HP10" s="1150" t="s">
        <v>2341</v>
      </c>
      <c r="HQ10" s="1150" t="s">
        <v>4384</v>
      </c>
      <c r="HR10" s="1150" t="s">
        <v>2341</v>
      </c>
      <c r="HS10" s="1150" t="s">
        <v>4384</v>
      </c>
      <c r="HT10" s="1150" t="s">
        <v>2341</v>
      </c>
      <c r="HU10" s="1150" t="s">
        <v>4384</v>
      </c>
      <c r="HV10" s="1150" t="s">
        <v>2341</v>
      </c>
      <c r="HW10" s="1150" t="s">
        <v>4384</v>
      </c>
      <c r="HX10" s="1150" t="s">
        <v>2341</v>
      </c>
      <c r="HY10" s="1150" t="s">
        <v>4384</v>
      </c>
      <c r="HZ10" s="1150" t="s">
        <v>2341</v>
      </c>
      <c r="IA10" s="1150" t="s">
        <v>4384</v>
      </c>
      <c r="IB10" s="1150" t="s">
        <v>2341</v>
      </c>
      <c r="IC10" s="1150" t="s">
        <v>4384</v>
      </c>
      <c r="ID10" s="1150" t="s">
        <v>2341</v>
      </c>
      <c r="IE10" s="1150" t="s">
        <v>4384</v>
      </c>
      <c r="IF10" s="1150" t="s">
        <v>2341</v>
      </c>
      <c r="IG10" s="1150" t="s">
        <v>4384</v>
      </c>
      <c r="IH10" s="1150" t="s">
        <v>2341</v>
      </c>
      <c r="II10" s="1150" t="s">
        <v>4384</v>
      </c>
      <c r="IJ10" s="1150" t="s">
        <v>2341</v>
      </c>
      <c r="IK10" s="1150" t="s">
        <v>4384</v>
      </c>
      <c r="IL10" s="1150" t="s">
        <v>2341</v>
      </c>
      <c r="IM10" s="1150" t="s">
        <v>4384</v>
      </c>
      <c r="IN10" s="1150" t="s">
        <v>2341</v>
      </c>
      <c r="IO10" s="1150" t="s">
        <v>4384</v>
      </c>
      <c r="IP10" s="1150" t="s">
        <v>2341</v>
      </c>
      <c r="IQ10" s="1150" t="s">
        <v>4384</v>
      </c>
      <c r="IR10" s="1150" t="s">
        <v>2341</v>
      </c>
      <c r="IS10" s="2749"/>
    </row>
    <row r="11" spans="1:349" ht="66.75" customHeight="1">
      <c r="A11" s="2022"/>
      <c r="B11" s="2752"/>
      <c r="C11" s="1150" t="s">
        <v>3142</v>
      </c>
      <c r="D11" s="1150" t="s">
        <v>3143</v>
      </c>
      <c r="E11" s="1150" t="s">
        <v>3142</v>
      </c>
      <c r="F11" s="1150" t="s">
        <v>3143</v>
      </c>
      <c r="G11" s="1150" t="s">
        <v>3142</v>
      </c>
      <c r="H11" s="1150" t="s">
        <v>3143</v>
      </c>
      <c r="I11" s="1150" t="s">
        <v>3142</v>
      </c>
      <c r="J11" s="1150" t="s">
        <v>3143</v>
      </c>
      <c r="K11" s="1150" t="s">
        <v>3142</v>
      </c>
      <c r="L11" s="1150" t="s">
        <v>3143</v>
      </c>
      <c r="M11" s="1150" t="s">
        <v>3142</v>
      </c>
      <c r="N11" s="1150" t="s">
        <v>3143</v>
      </c>
      <c r="O11" s="1150" t="s">
        <v>3142</v>
      </c>
      <c r="P11" s="1150" t="s">
        <v>3143</v>
      </c>
      <c r="Q11" s="1150" t="s">
        <v>3142</v>
      </c>
      <c r="R11" s="1150" t="s">
        <v>3143</v>
      </c>
      <c r="S11" s="1150" t="s">
        <v>3142</v>
      </c>
      <c r="T11" s="1150" t="s">
        <v>3143</v>
      </c>
      <c r="U11" s="1150" t="s">
        <v>3142</v>
      </c>
      <c r="V11" s="1150" t="s">
        <v>3143</v>
      </c>
      <c r="W11" s="1150" t="s">
        <v>3142</v>
      </c>
      <c r="X11" s="1150" t="s">
        <v>3143</v>
      </c>
      <c r="Y11" s="1150" t="s">
        <v>3142</v>
      </c>
      <c r="Z11" s="1150" t="s">
        <v>3143</v>
      </c>
      <c r="AA11" s="1150" t="s">
        <v>3142</v>
      </c>
      <c r="AB11" s="1150" t="s">
        <v>3143</v>
      </c>
      <c r="AC11" s="1150" t="s">
        <v>3142</v>
      </c>
      <c r="AD11" s="1150" t="s">
        <v>3143</v>
      </c>
      <c r="AE11" s="1150" t="s">
        <v>3142</v>
      </c>
      <c r="AF11" s="1150" t="s">
        <v>3143</v>
      </c>
      <c r="AG11" s="1150" t="s">
        <v>3142</v>
      </c>
      <c r="AH11" s="1150" t="s">
        <v>3143</v>
      </c>
      <c r="AI11" s="1150" t="s">
        <v>3142</v>
      </c>
      <c r="AJ11" s="1150" t="s">
        <v>3143</v>
      </c>
      <c r="AK11" s="1150" t="s">
        <v>3142</v>
      </c>
      <c r="AL11" s="1150" t="s">
        <v>3143</v>
      </c>
      <c r="AM11" s="1150" t="s">
        <v>3142</v>
      </c>
      <c r="AN11" s="1150" t="s">
        <v>3143</v>
      </c>
      <c r="AO11" s="1150" t="s">
        <v>3142</v>
      </c>
      <c r="AP11" s="1150" t="s">
        <v>3143</v>
      </c>
      <c r="AQ11" s="1150" t="s">
        <v>3142</v>
      </c>
      <c r="AR11" s="1150" t="s">
        <v>3143</v>
      </c>
      <c r="AS11" s="1150" t="s">
        <v>3142</v>
      </c>
      <c r="AT11" s="1150" t="s">
        <v>3143</v>
      </c>
      <c r="AU11" s="1150" t="s">
        <v>3142</v>
      </c>
      <c r="AV11" s="1150" t="s">
        <v>3143</v>
      </c>
      <c r="AW11" s="1150" t="s">
        <v>3142</v>
      </c>
      <c r="AX11" s="1150" t="s">
        <v>3143</v>
      </c>
      <c r="AY11" s="1150" t="s">
        <v>3142</v>
      </c>
      <c r="AZ11" s="1150" t="s">
        <v>3143</v>
      </c>
      <c r="BA11" s="1150" t="s">
        <v>3142</v>
      </c>
      <c r="BB11" s="1150" t="s">
        <v>3143</v>
      </c>
      <c r="BC11" s="1150" t="s">
        <v>3142</v>
      </c>
      <c r="BD11" s="1150" t="s">
        <v>3143</v>
      </c>
      <c r="BE11" s="1150" t="s">
        <v>3142</v>
      </c>
      <c r="BF11" s="1150" t="s">
        <v>3143</v>
      </c>
      <c r="BG11" s="1150" t="s">
        <v>3142</v>
      </c>
      <c r="BH11" s="1150" t="s">
        <v>3143</v>
      </c>
      <c r="BI11" s="1150" t="s">
        <v>3142</v>
      </c>
      <c r="BJ11" s="1150" t="s">
        <v>3143</v>
      </c>
      <c r="BK11" s="1150" t="s">
        <v>3142</v>
      </c>
      <c r="BL11" s="1150" t="s">
        <v>3143</v>
      </c>
      <c r="BM11" s="1150" t="s">
        <v>3142</v>
      </c>
      <c r="BN11" s="1150" t="s">
        <v>3143</v>
      </c>
      <c r="BO11" s="1150" t="s">
        <v>3142</v>
      </c>
      <c r="BP11" s="1150" t="s">
        <v>3143</v>
      </c>
      <c r="BQ11" s="1150" t="s">
        <v>3142</v>
      </c>
      <c r="BR11" s="1150" t="s">
        <v>3143</v>
      </c>
      <c r="BS11" s="1150" t="s">
        <v>3142</v>
      </c>
      <c r="BT11" s="1150" t="s">
        <v>3143</v>
      </c>
      <c r="BU11" s="1150" t="s">
        <v>3142</v>
      </c>
      <c r="BV11" s="1150" t="s">
        <v>3143</v>
      </c>
      <c r="BW11" s="1150" t="s">
        <v>3142</v>
      </c>
      <c r="BX11" s="1150" t="s">
        <v>3143</v>
      </c>
      <c r="BY11" s="1150" t="s">
        <v>3142</v>
      </c>
      <c r="BZ11" s="1150" t="s">
        <v>3143</v>
      </c>
      <c r="CA11" s="1150" t="s">
        <v>3142</v>
      </c>
      <c r="CB11" s="1150" t="s">
        <v>3143</v>
      </c>
      <c r="CC11" s="1150" t="s">
        <v>3142</v>
      </c>
      <c r="CD11" s="1150" t="s">
        <v>3143</v>
      </c>
      <c r="CE11" s="1150" t="s">
        <v>3142</v>
      </c>
      <c r="CF11" s="1150" t="s">
        <v>3143</v>
      </c>
      <c r="CG11" s="1150" t="s">
        <v>3142</v>
      </c>
      <c r="CH11" s="1150" t="s">
        <v>3143</v>
      </c>
      <c r="CI11" s="1150" t="s">
        <v>3142</v>
      </c>
      <c r="CJ11" s="1150" t="s">
        <v>3143</v>
      </c>
      <c r="CK11" s="1150" t="s">
        <v>3142</v>
      </c>
      <c r="CL11" s="1150" t="s">
        <v>3143</v>
      </c>
      <c r="CM11" s="1150" t="s">
        <v>3142</v>
      </c>
      <c r="CN11" s="1150" t="s">
        <v>3143</v>
      </c>
      <c r="CO11" s="1150" t="s">
        <v>3142</v>
      </c>
      <c r="CP11" s="1150" t="s">
        <v>3143</v>
      </c>
      <c r="CQ11" s="1150" t="s">
        <v>3142</v>
      </c>
      <c r="CR11" s="1150" t="s">
        <v>3143</v>
      </c>
      <c r="CS11" s="1150" t="s">
        <v>3142</v>
      </c>
      <c r="CT11" s="1150" t="s">
        <v>3143</v>
      </c>
      <c r="CU11" s="1150" t="s">
        <v>3142</v>
      </c>
      <c r="CV11" s="1150" t="s">
        <v>3143</v>
      </c>
      <c r="CW11" s="1150" t="s">
        <v>3142</v>
      </c>
      <c r="CX11" s="1150" t="s">
        <v>3143</v>
      </c>
      <c r="CY11" s="1150" t="s">
        <v>3142</v>
      </c>
      <c r="CZ11" s="1150" t="s">
        <v>3143</v>
      </c>
      <c r="DA11" s="1150" t="s">
        <v>3142</v>
      </c>
      <c r="DB11" s="1150" t="s">
        <v>3143</v>
      </c>
      <c r="DC11" s="1150" t="s">
        <v>3142</v>
      </c>
      <c r="DD11" s="1150" t="s">
        <v>3143</v>
      </c>
      <c r="DE11" s="1150" t="s">
        <v>3142</v>
      </c>
      <c r="DF11" s="1150" t="s">
        <v>3143</v>
      </c>
      <c r="DG11" s="1150" t="s">
        <v>3142</v>
      </c>
      <c r="DH11" s="1150" t="s">
        <v>3143</v>
      </c>
      <c r="DI11" s="1150" t="s">
        <v>3142</v>
      </c>
      <c r="DJ11" s="1150" t="s">
        <v>3143</v>
      </c>
      <c r="DK11" s="1150" t="s">
        <v>3142</v>
      </c>
      <c r="DL11" s="1150" t="s">
        <v>3143</v>
      </c>
      <c r="DM11" s="1150" t="s">
        <v>3142</v>
      </c>
      <c r="DN11" s="1150" t="s">
        <v>3143</v>
      </c>
      <c r="DO11" s="1150" t="s">
        <v>3142</v>
      </c>
      <c r="DP11" s="1150" t="s">
        <v>3143</v>
      </c>
      <c r="DQ11" s="1150" t="s">
        <v>3142</v>
      </c>
      <c r="DR11" s="1150" t="s">
        <v>3143</v>
      </c>
      <c r="DS11" s="1150" t="s">
        <v>3142</v>
      </c>
      <c r="DT11" s="1150" t="s">
        <v>3143</v>
      </c>
      <c r="DU11" s="1150" t="s">
        <v>3142</v>
      </c>
      <c r="DV11" s="1150" t="s">
        <v>3143</v>
      </c>
      <c r="DW11" s="1150" t="s">
        <v>3142</v>
      </c>
      <c r="DX11" s="1150" t="s">
        <v>3143</v>
      </c>
      <c r="DY11" s="1150" t="s">
        <v>3142</v>
      </c>
      <c r="DZ11" s="1150" t="s">
        <v>3143</v>
      </c>
      <c r="EA11" s="1150" t="s">
        <v>3142</v>
      </c>
      <c r="EB11" s="1150" t="s">
        <v>3143</v>
      </c>
      <c r="EC11" s="1150" t="s">
        <v>3142</v>
      </c>
      <c r="ED11" s="1150" t="s">
        <v>3143</v>
      </c>
      <c r="EE11" s="1150" t="s">
        <v>3142</v>
      </c>
      <c r="EF11" s="1150" t="s">
        <v>3143</v>
      </c>
      <c r="EG11" s="1150" t="s">
        <v>3142</v>
      </c>
      <c r="EH11" s="1150" t="s">
        <v>3143</v>
      </c>
      <c r="EI11" s="1150" t="s">
        <v>3142</v>
      </c>
      <c r="EJ11" s="1150" t="s">
        <v>3143</v>
      </c>
      <c r="EK11" s="1150" t="s">
        <v>3142</v>
      </c>
      <c r="EL11" s="1150" t="s">
        <v>3143</v>
      </c>
      <c r="EM11" s="1150" t="s">
        <v>3142</v>
      </c>
      <c r="EN11" s="1150" t="s">
        <v>3143</v>
      </c>
      <c r="EO11" s="1150" t="s">
        <v>3142</v>
      </c>
      <c r="EP11" s="1150" t="s">
        <v>3143</v>
      </c>
      <c r="EQ11" s="1150" t="s">
        <v>3142</v>
      </c>
      <c r="ER11" s="1150" t="s">
        <v>3143</v>
      </c>
      <c r="ES11" s="1150" t="s">
        <v>3142</v>
      </c>
      <c r="ET11" s="1150" t="s">
        <v>3143</v>
      </c>
      <c r="EU11" s="1150" t="s">
        <v>3142</v>
      </c>
      <c r="EV11" s="1150" t="s">
        <v>3143</v>
      </c>
      <c r="EW11" s="1150" t="s">
        <v>3142</v>
      </c>
      <c r="EX11" s="1150" t="s">
        <v>3143</v>
      </c>
      <c r="EY11" s="1150" t="s">
        <v>3142</v>
      </c>
      <c r="EZ11" s="1150" t="s">
        <v>3143</v>
      </c>
      <c r="FA11" s="1150" t="s">
        <v>3142</v>
      </c>
      <c r="FB11" s="1150" t="s">
        <v>3143</v>
      </c>
      <c r="FC11" s="1150" t="s">
        <v>3142</v>
      </c>
      <c r="FD11" s="1150" t="s">
        <v>3143</v>
      </c>
      <c r="FE11" s="1150" t="s">
        <v>3142</v>
      </c>
      <c r="FF11" s="1150" t="s">
        <v>3143</v>
      </c>
      <c r="FG11" s="1150" t="s">
        <v>3142</v>
      </c>
      <c r="FH11" s="1150" t="s">
        <v>3143</v>
      </c>
      <c r="FI11" s="1150" t="s">
        <v>3142</v>
      </c>
      <c r="FJ11" s="1150" t="s">
        <v>3143</v>
      </c>
      <c r="FK11" s="1150" t="s">
        <v>3142</v>
      </c>
      <c r="FL11" s="1150" t="s">
        <v>3143</v>
      </c>
      <c r="FM11" s="1150" t="s">
        <v>3142</v>
      </c>
      <c r="FN11" s="1150" t="s">
        <v>3143</v>
      </c>
      <c r="FO11" s="1150" t="s">
        <v>3142</v>
      </c>
      <c r="FP11" s="1150" t="s">
        <v>3143</v>
      </c>
      <c r="FQ11" s="1150" t="s">
        <v>3142</v>
      </c>
      <c r="FR11" s="1150" t="s">
        <v>3143</v>
      </c>
      <c r="FS11" s="1150" t="s">
        <v>3142</v>
      </c>
      <c r="FT11" s="1150" t="s">
        <v>3143</v>
      </c>
      <c r="FU11" s="1150" t="s">
        <v>3142</v>
      </c>
      <c r="FV11" s="1150" t="s">
        <v>3143</v>
      </c>
      <c r="FW11" s="1150" t="s">
        <v>3142</v>
      </c>
      <c r="FX11" s="1150" t="s">
        <v>3143</v>
      </c>
      <c r="FY11" s="1150" t="s">
        <v>3142</v>
      </c>
      <c r="FZ11" s="1150" t="s">
        <v>3143</v>
      </c>
      <c r="GA11" s="1150" t="s">
        <v>3142</v>
      </c>
      <c r="GB11" s="1150" t="s">
        <v>3143</v>
      </c>
      <c r="GC11" s="1150" t="s">
        <v>3142</v>
      </c>
      <c r="GD11" s="1150" t="s">
        <v>3143</v>
      </c>
      <c r="GE11" s="1150" t="s">
        <v>3142</v>
      </c>
      <c r="GF11" s="1150" t="s">
        <v>3143</v>
      </c>
      <c r="GG11" s="1150" t="s">
        <v>3142</v>
      </c>
      <c r="GH11" s="1150" t="s">
        <v>3143</v>
      </c>
      <c r="GI11" s="1150" t="s">
        <v>3142</v>
      </c>
      <c r="GJ11" s="1150" t="s">
        <v>3143</v>
      </c>
      <c r="GK11" s="1150" t="s">
        <v>3142</v>
      </c>
      <c r="GL11" s="1150" t="s">
        <v>3143</v>
      </c>
      <c r="GM11" s="1150" t="s">
        <v>3142</v>
      </c>
      <c r="GN11" s="1150" t="s">
        <v>3143</v>
      </c>
      <c r="GO11" s="1150" t="s">
        <v>3142</v>
      </c>
      <c r="GP11" s="1150" t="s">
        <v>3143</v>
      </c>
      <c r="GQ11" s="1150" t="s">
        <v>3142</v>
      </c>
      <c r="GR11" s="1150" t="s">
        <v>3143</v>
      </c>
      <c r="GS11" s="1150" t="s">
        <v>3142</v>
      </c>
      <c r="GT11" s="1150" t="s">
        <v>3143</v>
      </c>
      <c r="GU11" s="1150" t="s">
        <v>3142</v>
      </c>
      <c r="GV11" s="1150" t="s">
        <v>3143</v>
      </c>
      <c r="GW11" s="1150" t="s">
        <v>3142</v>
      </c>
      <c r="GX11" s="1150" t="s">
        <v>3143</v>
      </c>
      <c r="GY11" s="1150" t="s">
        <v>3142</v>
      </c>
      <c r="GZ11" s="1150" t="s">
        <v>3143</v>
      </c>
      <c r="HA11" s="1150" t="s">
        <v>3142</v>
      </c>
      <c r="HB11" s="1150" t="s">
        <v>3143</v>
      </c>
      <c r="HC11" s="1150" t="s">
        <v>3142</v>
      </c>
      <c r="HD11" s="1150" t="s">
        <v>3143</v>
      </c>
      <c r="HE11" s="1150" t="s">
        <v>3142</v>
      </c>
      <c r="HF11" s="1150" t="s">
        <v>3143</v>
      </c>
      <c r="HG11" s="1150" t="s">
        <v>3142</v>
      </c>
      <c r="HH11" s="1150" t="s">
        <v>3143</v>
      </c>
      <c r="HI11" s="1150" t="s">
        <v>3142</v>
      </c>
      <c r="HJ11" s="1150" t="s">
        <v>3143</v>
      </c>
      <c r="HK11" s="1150" t="s">
        <v>3142</v>
      </c>
      <c r="HL11" s="1150" t="s">
        <v>3143</v>
      </c>
      <c r="HM11" s="1150" t="s">
        <v>3142</v>
      </c>
      <c r="HN11" s="1150" t="s">
        <v>3143</v>
      </c>
      <c r="HO11" s="1150" t="s">
        <v>3142</v>
      </c>
      <c r="HP11" s="1150" t="s">
        <v>3143</v>
      </c>
      <c r="HQ11" s="1150" t="s">
        <v>3142</v>
      </c>
      <c r="HR11" s="1150" t="s">
        <v>3143</v>
      </c>
      <c r="HS11" s="1150" t="s">
        <v>3142</v>
      </c>
      <c r="HT11" s="1150" t="s">
        <v>3143</v>
      </c>
      <c r="HU11" s="1150" t="s">
        <v>3142</v>
      </c>
      <c r="HV11" s="1150" t="s">
        <v>3143</v>
      </c>
      <c r="HW11" s="1150" t="s">
        <v>3142</v>
      </c>
      <c r="HX11" s="1150" t="s">
        <v>3143</v>
      </c>
      <c r="HY11" s="1150" t="s">
        <v>3142</v>
      </c>
      <c r="HZ11" s="1150" t="s">
        <v>3143</v>
      </c>
      <c r="IA11" s="1150" t="s">
        <v>3142</v>
      </c>
      <c r="IB11" s="1150" t="s">
        <v>3143</v>
      </c>
      <c r="IC11" s="1150" t="s">
        <v>3142</v>
      </c>
      <c r="ID11" s="1150" t="s">
        <v>3143</v>
      </c>
      <c r="IE11" s="1150" t="s">
        <v>3142</v>
      </c>
      <c r="IF11" s="1150" t="s">
        <v>3143</v>
      </c>
      <c r="IG11" s="1150" t="s">
        <v>3142</v>
      </c>
      <c r="IH11" s="1150" t="s">
        <v>3143</v>
      </c>
      <c r="II11" s="1150" t="s">
        <v>3142</v>
      </c>
      <c r="IJ11" s="1150" t="s">
        <v>3143</v>
      </c>
      <c r="IK11" s="1150" t="s">
        <v>3142</v>
      </c>
      <c r="IL11" s="1150" t="s">
        <v>3143</v>
      </c>
      <c r="IM11" s="1150" t="s">
        <v>3142</v>
      </c>
      <c r="IN11" s="1150" t="s">
        <v>3143</v>
      </c>
      <c r="IO11" s="1150" t="s">
        <v>3142</v>
      </c>
      <c r="IP11" s="1150" t="s">
        <v>3143</v>
      </c>
      <c r="IQ11" s="1150" t="s">
        <v>3142</v>
      </c>
      <c r="IR11" s="1150" t="s">
        <v>3143</v>
      </c>
      <c r="IS11" s="2750"/>
    </row>
    <row r="12" spans="1:349" ht="36" customHeight="1">
      <c r="A12" s="1652">
        <v>1</v>
      </c>
      <c r="B12" s="1653" t="s">
        <v>2339</v>
      </c>
      <c r="C12" s="1147">
        <v>521.56506999999999</v>
      </c>
      <c r="D12" s="1147">
        <v>609.97766999999999</v>
      </c>
      <c r="E12" s="1147">
        <v>712.74069999999995</v>
      </c>
      <c r="F12" s="1147">
        <v>1288.4866299999999</v>
      </c>
      <c r="G12" s="1147">
        <v>1120.88346</v>
      </c>
      <c r="H12" s="1147">
        <v>1995.4707100000001</v>
      </c>
      <c r="I12" s="1147">
        <v>1532.0984099999998</v>
      </c>
      <c r="J12" s="1147">
        <v>2661.0898500000003</v>
      </c>
      <c r="K12" s="1147">
        <v>2214.7929599999998</v>
      </c>
      <c r="L12" s="1147">
        <v>3353.1094199999998</v>
      </c>
      <c r="M12" s="1147">
        <v>2434.9430400000001</v>
      </c>
      <c r="N12" s="1147">
        <v>4142.3781300000001</v>
      </c>
      <c r="O12" s="1147">
        <v>2649.8936800000001</v>
      </c>
      <c r="P12" s="1147">
        <v>4797.5999499999998</v>
      </c>
      <c r="Q12" s="1147">
        <v>2942.5696600000001</v>
      </c>
      <c r="R12" s="1147">
        <v>5396.7623700000004</v>
      </c>
      <c r="S12" s="1147">
        <v>3110.21173</v>
      </c>
      <c r="T12" s="1147">
        <v>6073.54889</v>
      </c>
      <c r="U12" s="1147">
        <v>4536.4784500000005</v>
      </c>
      <c r="V12" s="1147">
        <v>6668.9959000000008</v>
      </c>
      <c r="W12" s="1147">
        <v>4995.2904500000004</v>
      </c>
      <c r="X12" s="1147">
        <v>7333.2927300000001</v>
      </c>
      <c r="Y12" s="1147">
        <v>12784.855230000001</v>
      </c>
      <c r="Z12" s="1147">
        <v>7893.5309500000003</v>
      </c>
      <c r="AA12" s="1147">
        <v>785.25903000000005</v>
      </c>
      <c r="AB12" s="1147">
        <v>503.04583000000002</v>
      </c>
      <c r="AC12" s="1147">
        <v>1077.1193700000001</v>
      </c>
      <c r="AD12" s="1147">
        <v>1075.05618</v>
      </c>
      <c r="AE12" s="1147">
        <v>1621.3313600000001</v>
      </c>
      <c r="AF12" s="1147">
        <v>1736.7731999999999</v>
      </c>
      <c r="AG12" s="1147">
        <v>1786.4240500000001</v>
      </c>
      <c r="AH12" s="1147">
        <v>2533.1580899999999</v>
      </c>
      <c r="AI12" s="1147">
        <v>2278.38715</v>
      </c>
      <c r="AJ12" s="1147">
        <v>3233.13418</v>
      </c>
      <c r="AK12" s="1147">
        <v>2638.49458</v>
      </c>
      <c r="AL12" s="1147">
        <v>3896.5978500000001</v>
      </c>
      <c r="AM12" s="1147">
        <v>2953.71765</v>
      </c>
      <c r="AN12" s="1147">
        <v>4556.7329200000004</v>
      </c>
      <c r="AO12" s="1147">
        <v>3248.3417200000004</v>
      </c>
      <c r="AP12" s="1147">
        <v>5161.5096399999993</v>
      </c>
      <c r="AQ12" s="1147">
        <v>3398.6942899999999</v>
      </c>
      <c r="AR12" s="1147">
        <v>5684.6912699999993</v>
      </c>
      <c r="AS12" s="1147">
        <v>4810.6657999999998</v>
      </c>
      <c r="AT12" s="1147">
        <v>6431.1682899999996</v>
      </c>
      <c r="AU12" s="1147">
        <v>5294.1407900000004</v>
      </c>
      <c r="AV12" s="1147">
        <v>7146.0227300000006</v>
      </c>
      <c r="AW12" s="1147">
        <v>12689.677019999999</v>
      </c>
      <c r="AX12" s="1147">
        <v>8098.8740399999997</v>
      </c>
      <c r="AY12" s="1147">
        <v>1068.4988799999999</v>
      </c>
      <c r="AZ12" s="1147">
        <v>467.61790999999999</v>
      </c>
      <c r="BA12" s="1147">
        <v>1307.0958400000002</v>
      </c>
      <c r="BB12" s="1147">
        <v>1025.02531</v>
      </c>
      <c r="BC12" s="1147">
        <v>1832.92</v>
      </c>
      <c r="BD12" s="1147">
        <v>1693.34</v>
      </c>
      <c r="BE12" s="1147">
        <v>2174.2491</v>
      </c>
      <c r="BF12" s="1147">
        <v>2244.2325499999997</v>
      </c>
      <c r="BG12" s="1147">
        <v>2964.4704400000001</v>
      </c>
      <c r="BH12" s="1147">
        <v>2983.4908</v>
      </c>
      <c r="BI12" s="1147">
        <v>3306.9720000000002</v>
      </c>
      <c r="BJ12" s="1147">
        <v>3614.4890499999997</v>
      </c>
      <c r="BK12" s="1147">
        <v>3616.0998100000002</v>
      </c>
      <c r="BL12" s="1147">
        <v>4506.84058</v>
      </c>
      <c r="BM12" s="1147">
        <v>4420.9230199999993</v>
      </c>
      <c r="BN12" s="1147">
        <v>5028.0975499999995</v>
      </c>
      <c r="BO12" s="1147">
        <v>4697.7082599999994</v>
      </c>
      <c r="BP12" s="1147">
        <v>5694.9589699999997</v>
      </c>
      <c r="BQ12" s="1147">
        <v>5485.2294400000001</v>
      </c>
      <c r="BR12" s="1147">
        <v>6452.2487199999996</v>
      </c>
      <c r="BS12" s="1147">
        <v>5717.1427699999995</v>
      </c>
      <c r="BT12" s="1147">
        <v>7074.2125700000006</v>
      </c>
      <c r="BU12" s="1147">
        <v>13169.698199999999</v>
      </c>
      <c r="BV12" s="1147">
        <v>8064.4357699999991</v>
      </c>
      <c r="BW12" s="1147">
        <v>823.37162000000001</v>
      </c>
      <c r="BX12" s="1147">
        <v>669.0027</v>
      </c>
      <c r="BY12" s="1147">
        <v>1127.2551899999999</v>
      </c>
      <c r="BZ12" s="1147">
        <v>1413.05987</v>
      </c>
      <c r="CA12" s="1147">
        <v>1736.9573400000002</v>
      </c>
      <c r="CB12" s="1147">
        <v>2010.8594399999999</v>
      </c>
      <c r="CC12" s="1147">
        <v>2351.6306199999999</v>
      </c>
      <c r="CD12" s="1147">
        <v>2720.62979</v>
      </c>
      <c r="CE12" s="1147">
        <v>3570.2972999999997</v>
      </c>
      <c r="CF12" s="1147">
        <v>3434.6217200000001</v>
      </c>
      <c r="CG12" s="1147">
        <v>4291.0924999999997</v>
      </c>
      <c r="CH12" s="1147">
        <v>4112.9558200000001</v>
      </c>
      <c r="CI12" s="1147">
        <v>4637.6647599999997</v>
      </c>
      <c r="CJ12" s="1147">
        <v>4769.7659400000002</v>
      </c>
      <c r="CK12" s="1147">
        <v>5612.8711800000001</v>
      </c>
      <c r="CL12" s="1147">
        <v>5598.5563300000003</v>
      </c>
      <c r="CM12" s="1147">
        <v>6079.8845300000003</v>
      </c>
      <c r="CN12" s="1147">
        <v>6053.38339</v>
      </c>
      <c r="CO12" s="1147">
        <v>6791.0630099999998</v>
      </c>
      <c r="CP12" s="1147">
        <v>6662.0045300000002</v>
      </c>
      <c r="CQ12" s="1147">
        <v>7491.0893299999998</v>
      </c>
      <c r="CR12" s="1147">
        <v>7616.0454800000007</v>
      </c>
      <c r="CS12" s="1147">
        <v>15124.506079999999</v>
      </c>
      <c r="CT12" s="1147">
        <v>8537.9422400000003</v>
      </c>
      <c r="CU12" s="1147">
        <v>1777.1427800000001</v>
      </c>
      <c r="CV12" s="1147">
        <v>620.85117000000002</v>
      </c>
      <c r="CW12" s="1147">
        <v>2343.3306699999998</v>
      </c>
      <c r="CX12" s="1147">
        <v>1365.5934600000001</v>
      </c>
      <c r="CY12" s="1147">
        <v>3020.1414900000004</v>
      </c>
      <c r="CZ12" s="1147">
        <v>2222.4867000000004</v>
      </c>
      <c r="DA12" s="1147">
        <v>3848.2547100000002</v>
      </c>
      <c r="DB12" s="1147">
        <v>3043.62887</v>
      </c>
      <c r="DC12" s="1147">
        <v>5274.0020300000006</v>
      </c>
      <c r="DD12" s="1147">
        <v>3516.3293399999998</v>
      </c>
      <c r="DE12" s="1147">
        <v>5642.0198200000004</v>
      </c>
      <c r="DF12" s="1147">
        <v>4310.6280999999999</v>
      </c>
      <c r="DG12" s="1147">
        <v>6620.5211799999997</v>
      </c>
      <c r="DH12" s="1147">
        <v>4883.9661599999999</v>
      </c>
      <c r="DI12" s="1147">
        <v>7135.1144699999995</v>
      </c>
      <c r="DJ12" s="1147">
        <v>5426.2384599999996</v>
      </c>
      <c r="DK12" s="1147">
        <v>7596.7114900000006</v>
      </c>
      <c r="DL12" s="1147">
        <v>6101.5162799999998</v>
      </c>
      <c r="DM12" s="1147">
        <v>8269.2507999999998</v>
      </c>
      <c r="DN12" s="1147">
        <v>6918.7916500000001</v>
      </c>
      <c r="DO12" s="1147">
        <v>9415.0806099999991</v>
      </c>
      <c r="DP12" s="1147">
        <v>7646.49604</v>
      </c>
      <c r="DQ12" s="1147">
        <v>17054.060309999997</v>
      </c>
      <c r="DR12" s="1147">
        <v>8475.4506000000001</v>
      </c>
      <c r="DS12" s="1147">
        <v>1684.1983500000001</v>
      </c>
      <c r="DT12" s="1147">
        <v>698.12962000000005</v>
      </c>
      <c r="DU12" s="1147">
        <v>2149.8699900000001</v>
      </c>
      <c r="DV12" s="1147">
        <v>1594.12887</v>
      </c>
      <c r="DW12" s="1147">
        <v>4110.5806299999995</v>
      </c>
      <c r="DX12" s="1147">
        <v>2597.8390800000002</v>
      </c>
      <c r="DY12" s="1147">
        <v>5018.9550899999995</v>
      </c>
      <c r="DZ12" s="1147">
        <v>3447.64392</v>
      </c>
      <c r="EA12" s="1147">
        <v>7208.61924</v>
      </c>
      <c r="EB12" s="1147">
        <v>4430.3219500000005</v>
      </c>
      <c r="EC12" s="1147">
        <v>7949.4733299999998</v>
      </c>
      <c r="ED12" s="1147">
        <v>5478.3557199999996</v>
      </c>
      <c r="EE12" s="1147">
        <v>8768.2642100000012</v>
      </c>
      <c r="EF12" s="1147">
        <v>6129.4859500000002</v>
      </c>
      <c r="EG12" s="1147">
        <v>9953.5638400000007</v>
      </c>
      <c r="EH12" s="1147">
        <v>6967.2487699999992</v>
      </c>
      <c r="EI12" s="1147">
        <v>10398.665630000001</v>
      </c>
      <c r="EJ12" s="1147">
        <v>8338.1301399999993</v>
      </c>
      <c r="EK12" s="1147">
        <v>11234.925869999999</v>
      </c>
      <c r="EL12" s="1147">
        <v>8789.4311899999993</v>
      </c>
      <c r="EM12" s="1147">
        <v>17148.395680000001</v>
      </c>
      <c r="EN12" s="1147">
        <v>10440.9584</v>
      </c>
      <c r="EO12" s="1147">
        <v>19016.587149999999</v>
      </c>
      <c r="EP12" s="1147">
        <v>11740.65589</v>
      </c>
      <c r="EQ12" s="1147">
        <v>1363.6185499999999</v>
      </c>
      <c r="ER12" s="1147">
        <v>905.02423999999996</v>
      </c>
      <c r="ES12" s="1147">
        <v>2465.1511</v>
      </c>
      <c r="ET12" s="1147">
        <v>1576.85401</v>
      </c>
      <c r="EU12" s="1147">
        <v>4862.8275599999997</v>
      </c>
      <c r="EV12" s="1147">
        <v>2753.26397</v>
      </c>
      <c r="EW12" s="1147">
        <v>6245.8725899999999</v>
      </c>
      <c r="EX12" s="1147">
        <v>4199.7800299999999</v>
      </c>
      <c r="EY12" s="1147">
        <v>8542.33475</v>
      </c>
      <c r="EZ12" s="1147">
        <v>5251.13184</v>
      </c>
      <c r="FA12" s="1147">
        <v>9631.5551500000001</v>
      </c>
      <c r="FB12" s="1147">
        <v>6005.8307599999998</v>
      </c>
      <c r="FC12" s="1147">
        <v>11061.14734</v>
      </c>
      <c r="FD12" s="1147">
        <v>7129.4884700000002</v>
      </c>
      <c r="FE12" s="1147">
        <v>13200.974200000001</v>
      </c>
      <c r="FF12" s="1147">
        <v>9626.9398399999991</v>
      </c>
      <c r="FG12" s="1147">
        <v>14531.173129999999</v>
      </c>
      <c r="FH12" s="1147">
        <v>10560.93577</v>
      </c>
      <c r="FI12" s="1147">
        <v>22105.677090000001</v>
      </c>
      <c r="FJ12" s="1147">
        <v>11711.237550000002</v>
      </c>
      <c r="FK12" s="1147">
        <v>24628.466810000002</v>
      </c>
      <c r="FL12" s="1147">
        <v>12826.866169999999</v>
      </c>
      <c r="FM12" s="1147">
        <v>1399.5344499999999</v>
      </c>
      <c r="FN12" s="1147">
        <v>922.97871999999995</v>
      </c>
      <c r="FO12" s="1147">
        <v>2980.1940099999997</v>
      </c>
      <c r="FP12" s="1147">
        <v>2256.9822999999997</v>
      </c>
      <c r="FQ12" s="1147">
        <v>5639.0028199999997</v>
      </c>
      <c r="FR12" s="1147">
        <v>3517.4559399999998</v>
      </c>
      <c r="FS12" s="1147">
        <v>7026.78388</v>
      </c>
      <c r="FT12" s="1147">
        <v>4539.3871300000001</v>
      </c>
      <c r="FU12" s="1147">
        <v>9218.3906300000017</v>
      </c>
      <c r="FV12" s="1147">
        <v>6051.6369000000004</v>
      </c>
      <c r="FW12" s="1147">
        <v>10015.471670000001</v>
      </c>
      <c r="FX12" s="1147">
        <v>7315.9444699999995</v>
      </c>
      <c r="FY12" s="1147">
        <v>10955.146189999999</v>
      </c>
      <c r="FZ12" s="1147">
        <v>8286.8907600000002</v>
      </c>
      <c r="GA12" s="1147">
        <v>11654.341420000001</v>
      </c>
      <c r="GB12" s="1147">
        <v>9620.1559799999995</v>
      </c>
      <c r="GC12" s="1147">
        <v>12358.03818</v>
      </c>
      <c r="GD12" s="1147">
        <v>10718.8809</v>
      </c>
      <c r="GE12" s="1147">
        <v>13336.67592</v>
      </c>
      <c r="GF12" s="1147">
        <v>12104.039709999999</v>
      </c>
      <c r="GG12" s="1147">
        <v>19221.57604</v>
      </c>
      <c r="GH12" s="1147">
        <v>12932.539210000001</v>
      </c>
      <c r="GI12" s="1147">
        <v>21117.220659999999</v>
      </c>
      <c r="GJ12" s="1147">
        <v>15333.10153</v>
      </c>
      <c r="GK12" s="1147">
        <v>1045.58635</v>
      </c>
      <c r="GL12" s="1147">
        <v>898.74401</v>
      </c>
      <c r="GM12" s="1147">
        <v>3199.7561299999998</v>
      </c>
      <c r="GN12" s="1147">
        <v>2225.6363799999999</v>
      </c>
      <c r="GO12" s="1147">
        <v>4987.5853899999993</v>
      </c>
      <c r="GP12" s="1147">
        <v>3260.5203799999999</v>
      </c>
      <c r="GQ12" s="1147">
        <v>6389.9214400000001</v>
      </c>
      <c r="GR12" s="1147">
        <v>4150.9875499999998</v>
      </c>
      <c r="GS12" s="1147">
        <v>8378.5981300000003</v>
      </c>
      <c r="GT12" s="1147">
        <v>5807.4516700000004</v>
      </c>
      <c r="GU12" s="1147">
        <v>8775.8684900000007</v>
      </c>
      <c r="GV12" s="1147">
        <v>6922.7924300000004</v>
      </c>
      <c r="GW12" s="1147">
        <v>9578.4362500000007</v>
      </c>
      <c r="GX12" s="1147">
        <v>7855.9143700000004</v>
      </c>
      <c r="GY12" s="1147">
        <v>10090.92383</v>
      </c>
      <c r="GZ12" s="1147">
        <v>8862.4266299999999</v>
      </c>
      <c r="HA12" s="1147">
        <v>10635.40906</v>
      </c>
      <c r="HB12" s="1147">
        <v>9756.1225400000003</v>
      </c>
      <c r="HC12" s="1147">
        <v>11951.165800000001</v>
      </c>
      <c r="HD12" s="1147">
        <v>10948.98912</v>
      </c>
      <c r="HE12" s="1147">
        <v>17043.892889999999</v>
      </c>
      <c r="HF12" s="1147">
        <v>11979.78933</v>
      </c>
      <c r="HG12" s="1147">
        <v>18717.233540000001</v>
      </c>
      <c r="HH12" s="1147">
        <v>13875.176359999999</v>
      </c>
      <c r="HI12" s="1147">
        <v>2071.6646300000002</v>
      </c>
      <c r="HJ12" s="1147">
        <v>567.84190000000001</v>
      </c>
      <c r="HK12" s="1147">
        <v>2971.7723299999998</v>
      </c>
      <c r="HL12" s="1147">
        <v>1650.3750399999999</v>
      </c>
      <c r="HM12" s="1147">
        <v>4385.3311299999996</v>
      </c>
      <c r="HN12" s="1147">
        <v>2419.9545899999998</v>
      </c>
      <c r="HO12" s="1147">
        <v>5534.4938599999996</v>
      </c>
      <c r="HP12" s="1147">
        <v>3573.46641</v>
      </c>
      <c r="HQ12" s="1147">
        <v>7909.3287600000003</v>
      </c>
      <c r="HR12" s="1147">
        <v>4553.6958299999997</v>
      </c>
      <c r="HS12" s="1147">
        <v>9139.9751199999992</v>
      </c>
      <c r="HT12" s="1147">
        <v>5370.4895100000003</v>
      </c>
      <c r="HU12" s="1147">
        <v>10029.27348</v>
      </c>
      <c r="HV12" s="1147">
        <v>6343.4341199999999</v>
      </c>
      <c r="HW12" s="1147">
        <v>10585.076870000001</v>
      </c>
      <c r="HX12" s="1147">
        <v>7179.77189</v>
      </c>
      <c r="HY12" s="1147">
        <v>11158.850990000001</v>
      </c>
      <c r="HZ12" s="1147">
        <v>8249.8227700000007</v>
      </c>
      <c r="IA12" s="1147">
        <v>13620.23509</v>
      </c>
      <c r="IB12" s="1147">
        <v>9326.4873100000004</v>
      </c>
      <c r="IC12" s="1147">
        <v>18972.64589</v>
      </c>
      <c r="ID12" s="1147">
        <v>10565.144679999999</v>
      </c>
      <c r="IE12" s="1147">
        <v>20738.43274</v>
      </c>
      <c r="IF12" s="1147">
        <v>12014.410459999999</v>
      </c>
      <c r="IG12" s="1147">
        <v>1334.12806</v>
      </c>
      <c r="IH12" s="1147">
        <v>860.92026999999996</v>
      </c>
      <c r="II12" s="1147">
        <v>2787.6478099999999</v>
      </c>
      <c r="IJ12" s="1147">
        <v>1966.7974400000001</v>
      </c>
      <c r="IK12" s="1147">
        <v>3978.5777400000002</v>
      </c>
      <c r="IL12" s="1147">
        <v>3103.7235700000001</v>
      </c>
      <c r="IM12" s="1147">
        <v>5403.5096000000003</v>
      </c>
      <c r="IN12" s="1147">
        <v>4449.8680899999999</v>
      </c>
      <c r="IO12" s="1147">
        <v>7567.6583899999996</v>
      </c>
      <c r="IP12" s="1147">
        <v>5251.2013500000003</v>
      </c>
      <c r="IQ12" s="1147">
        <v>9035.7027500000004</v>
      </c>
      <c r="IR12" s="1147">
        <v>6651.2822299999998</v>
      </c>
      <c r="IS12" s="1654" t="s">
        <v>3144</v>
      </c>
    </row>
    <row r="13" spans="1:349" ht="36" customHeight="1">
      <c r="A13" s="1652">
        <v>2</v>
      </c>
      <c r="B13" s="1653" t="s">
        <v>2337</v>
      </c>
      <c r="C13" s="1147">
        <v>2390.8798999999999</v>
      </c>
      <c r="D13" s="1147">
        <v>2505.3024599999999</v>
      </c>
      <c r="E13" s="1147">
        <v>5850.2064099999998</v>
      </c>
      <c r="F13" s="1147">
        <v>11646.467349999999</v>
      </c>
      <c r="G13" s="1147">
        <v>8496.5671700000003</v>
      </c>
      <c r="H13" s="1147">
        <v>12973.27038</v>
      </c>
      <c r="I13" s="1147">
        <v>12424.70369</v>
      </c>
      <c r="J13" s="1147">
        <v>14209.166300000001</v>
      </c>
      <c r="K13" s="1147">
        <v>20912.710920000001</v>
      </c>
      <c r="L13" s="1147">
        <v>16043.983779999999</v>
      </c>
      <c r="M13" s="1147">
        <v>19956.368710000002</v>
      </c>
      <c r="N13" s="1147">
        <v>16679.921999999999</v>
      </c>
      <c r="O13" s="1147">
        <v>21069.874489999998</v>
      </c>
      <c r="P13" s="1147">
        <v>18680.955750000001</v>
      </c>
      <c r="Q13" s="1147">
        <v>24689.272870000001</v>
      </c>
      <c r="R13" s="1147">
        <v>19900.732760000003</v>
      </c>
      <c r="S13" s="1147">
        <v>27896.805769999999</v>
      </c>
      <c r="T13" s="1147">
        <v>20430.97047</v>
      </c>
      <c r="U13" s="1147">
        <v>30344.682570000001</v>
      </c>
      <c r="V13" s="1147">
        <v>23347.903999999999</v>
      </c>
      <c r="W13" s="1147">
        <v>32194.124030000003</v>
      </c>
      <c r="X13" s="1147">
        <v>25400.923480000001</v>
      </c>
      <c r="Y13" s="1147">
        <v>37435.501389999998</v>
      </c>
      <c r="Z13" s="1147">
        <v>27111.8092</v>
      </c>
      <c r="AA13" s="1147">
        <v>1367.91077</v>
      </c>
      <c r="AB13" s="1147">
        <v>12532.490820000001</v>
      </c>
      <c r="AC13" s="1147">
        <v>4644.7344699999994</v>
      </c>
      <c r="AD13" s="1147">
        <v>17135.831760000001</v>
      </c>
      <c r="AE13" s="1147">
        <v>8205.5029200000008</v>
      </c>
      <c r="AF13" s="1147">
        <v>20574.088100000001</v>
      </c>
      <c r="AG13" s="1147">
        <v>10891.94663</v>
      </c>
      <c r="AH13" s="1147">
        <v>23599.198280000001</v>
      </c>
      <c r="AI13" s="1147">
        <v>13055.021439999999</v>
      </c>
      <c r="AJ13" s="1147">
        <v>24642.244190000001</v>
      </c>
      <c r="AK13" s="1147">
        <v>15893.12384</v>
      </c>
      <c r="AL13" s="1147">
        <v>28672.16907</v>
      </c>
      <c r="AM13" s="1147">
        <v>18259.19843</v>
      </c>
      <c r="AN13" s="1147">
        <v>30517.856680000001</v>
      </c>
      <c r="AO13" s="1147">
        <v>22945.460190000002</v>
      </c>
      <c r="AP13" s="1147">
        <v>32486.458469999998</v>
      </c>
      <c r="AQ13" s="1147">
        <v>25870.45148</v>
      </c>
      <c r="AR13" s="1147">
        <v>38563.497259999996</v>
      </c>
      <c r="AS13" s="1147">
        <v>27881.117409999999</v>
      </c>
      <c r="AT13" s="1147">
        <v>41019.968209999999</v>
      </c>
      <c r="AU13" s="1147">
        <v>31146.226730000002</v>
      </c>
      <c r="AV13" s="1147">
        <v>43444.510049999997</v>
      </c>
      <c r="AW13" s="1147">
        <v>38369.90956</v>
      </c>
      <c r="AX13" s="1147">
        <v>55046.153060000004</v>
      </c>
      <c r="AY13" s="1147">
        <v>3038.9574900000002</v>
      </c>
      <c r="AZ13" s="1147">
        <v>4372.9631100000006</v>
      </c>
      <c r="BA13" s="1147">
        <v>6245.6397999999999</v>
      </c>
      <c r="BB13" s="1147">
        <v>5461.4845999999998</v>
      </c>
      <c r="BC13" s="1147">
        <v>12877.76</v>
      </c>
      <c r="BD13" s="1147">
        <v>6310.89</v>
      </c>
      <c r="BE13" s="1147">
        <v>17396.778559999999</v>
      </c>
      <c r="BF13" s="1147">
        <v>7834.4747500000003</v>
      </c>
      <c r="BG13" s="1147">
        <v>22561.626399999997</v>
      </c>
      <c r="BH13" s="1147">
        <v>8846.0370600000006</v>
      </c>
      <c r="BI13" s="1147">
        <v>28165.661059999999</v>
      </c>
      <c r="BJ13" s="1147">
        <v>9658.2874700000011</v>
      </c>
      <c r="BK13" s="1147">
        <v>32121.042870000001</v>
      </c>
      <c r="BL13" s="1147">
        <v>11244.560939999999</v>
      </c>
      <c r="BM13" s="1147">
        <v>35440.355609999999</v>
      </c>
      <c r="BN13" s="1147">
        <v>11986.39316</v>
      </c>
      <c r="BO13" s="1147">
        <v>41413.962770000006</v>
      </c>
      <c r="BP13" s="1147">
        <v>12557.6353</v>
      </c>
      <c r="BQ13" s="1147">
        <v>46133.215770000003</v>
      </c>
      <c r="BR13" s="1147">
        <v>12937.49583</v>
      </c>
      <c r="BS13" s="1147">
        <v>52892.870909999998</v>
      </c>
      <c r="BT13" s="1147">
        <v>14274.772010000001</v>
      </c>
      <c r="BU13" s="1147">
        <v>60107.412219999998</v>
      </c>
      <c r="BV13" s="1147">
        <v>14720.319960000001</v>
      </c>
      <c r="BW13" s="1147">
        <v>2323.43109</v>
      </c>
      <c r="BX13" s="1147">
        <v>1788.21504</v>
      </c>
      <c r="BY13" s="1147">
        <v>5067.4982399999999</v>
      </c>
      <c r="BZ13" s="1147">
        <v>2485.56781</v>
      </c>
      <c r="CA13" s="1147">
        <v>9285.6196400000008</v>
      </c>
      <c r="CB13" s="1147">
        <v>2705.0421900000001</v>
      </c>
      <c r="CC13" s="1147">
        <v>12370.119259999999</v>
      </c>
      <c r="CD13" s="1147">
        <v>3257.7596600000002</v>
      </c>
      <c r="CE13" s="1147">
        <v>16945.0939</v>
      </c>
      <c r="CF13" s="1147">
        <v>4537.57143</v>
      </c>
      <c r="CG13" s="1147">
        <v>19985.617280000002</v>
      </c>
      <c r="CH13" s="1147">
        <v>6856.8180300000004</v>
      </c>
      <c r="CI13" s="1147">
        <v>22175.636039999998</v>
      </c>
      <c r="CJ13" s="1147">
        <v>7858.2601100000002</v>
      </c>
      <c r="CK13" s="1147">
        <v>25034.061890000001</v>
      </c>
      <c r="CL13" s="1147">
        <v>8358.6703899999993</v>
      </c>
      <c r="CM13" s="1147">
        <v>28628.015190000002</v>
      </c>
      <c r="CN13" s="1147">
        <v>9117.7975700000006</v>
      </c>
      <c r="CO13" s="1147">
        <v>31161.896239999998</v>
      </c>
      <c r="CP13" s="1147">
        <v>10794.176369999999</v>
      </c>
      <c r="CQ13" s="1147">
        <v>35445.099110000003</v>
      </c>
      <c r="CR13" s="1147">
        <v>11422.14661</v>
      </c>
      <c r="CS13" s="1147">
        <v>39086.738389999999</v>
      </c>
      <c r="CT13" s="1147">
        <v>19131.144559999997</v>
      </c>
      <c r="CU13" s="1147">
        <v>2979.27504</v>
      </c>
      <c r="CV13" s="1147">
        <v>1604.7873999999999</v>
      </c>
      <c r="CW13" s="1147">
        <v>6840.7647999999999</v>
      </c>
      <c r="CX13" s="1147">
        <v>3698.7301499999999</v>
      </c>
      <c r="CY13" s="1147">
        <v>11000.527900000001</v>
      </c>
      <c r="CZ13" s="1147">
        <v>4726.4493499999999</v>
      </c>
      <c r="DA13" s="1147">
        <v>15538.515529999999</v>
      </c>
      <c r="DB13" s="1147">
        <v>11042.73741</v>
      </c>
      <c r="DC13" s="1147">
        <v>18050.298329999998</v>
      </c>
      <c r="DD13" s="1147">
        <v>12914.53556</v>
      </c>
      <c r="DE13" s="1147">
        <v>21249.444319999999</v>
      </c>
      <c r="DF13" s="1147">
        <v>16202.00727</v>
      </c>
      <c r="DG13" s="1147">
        <v>24961.94011</v>
      </c>
      <c r="DH13" s="1147">
        <v>19695.211600000002</v>
      </c>
      <c r="DI13" s="1147">
        <v>27461.068340000002</v>
      </c>
      <c r="DJ13" s="1147">
        <v>26126.704710000002</v>
      </c>
      <c r="DK13" s="1147">
        <v>31200.470829999998</v>
      </c>
      <c r="DL13" s="1147">
        <v>30626.640940000001</v>
      </c>
      <c r="DM13" s="1147">
        <v>34268.469669999999</v>
      </c>
      <c r="DN13" s="1147">
        <v>39980.085290000003</v>
      </c>
      <c r="DO13" s="1147">
        <v>38350.810109999999</v>
      </c>
      <c r="DP13" s="1147">
        <v>48737.170989999999</v>
      </c>
      <c r="DQ13" s="1147">
        <v>41498.283590000006</v>
      </c>
      <c r="DR13" s="1147">
        <v>55971.466970000001</v>
      </c>
      <c r="DS13" s="1147">
        <v>3076.01343</v>
      </c>
      <c r="DT13" s="1147">
        <v>3645.1512599999996</v>
      </c>
      <c r="DU13" s="1147">
        <v>7503.2756300000001</v>
      </c>
      <c r="DV13" s="1147">
        <v>7742.6604600000001</v>
      </c>
      <c r="DW13" s="1147">
        <v>10755.582</v>
      </c>
      <c r="DX13" s="1147">
        <v>9739.9566999999988</v>
      </c>
      <c r="DY13" s="1147">
        <v>15485.33705</v>
      </c>
      <c r="DZ13" s="1147">
        <v>13385.390730000001</v>
      </c>
      <c r="EA13" s="1147">
        <v>19644.580539999999</v>
      </c>
      <c r="EB13" s="1147">
        <v>16407.60457</v>
      </c>
      <c r="EC13" s="1147">
        <v>23707.896479999999</v>
      </c>
      <c r="ED13" s="1147">
        <v>19239.317890000002</v>
      </c>
      <c r="EE13" s="1147">
        <v>28303.706420000002</v>
      </c>
      <c r="EF13" s="1147">
        <v>21043.849109999999</v>
      </c>
      <c r="EG13" s="1147">
        <v>31272.29967</v>
      </c>
      <c r="EH13" s="1147">
        <v>21860.566899999998</v>
      </c>
      <c r="EI13" s="1147">
        <v>31824.98832</v>
      </c>
      <c r="EJ13" s="1147">
        <v>24560.621780000001</v>
      </c>
      <c r="EK13" s="1147">
        <v>34193.513299999999</v>
      </c>
      <c r="EL13" s="1147">
        <v>26420.765820000001</v>
      </c>
      <c r="EM13" s="1147">
        <v>39272.155650000001</v>
      </c>
      <c r="EN13" s="1147">
        <v>29666.31277</v>
      </c>
      <c r="EO13" s="1147">
        <v>44060.232259999997</v>
      </c>
      <c r="EP13" s="1147">
        <v>31556.99064</v>
      </c>
      <c r="EQ13" s="1147">
        <v>2699.07735</v>
      </c>
      <c r="ER13" s="1147">
        <v>515.35083999999995</v>
      </c>
      <c r="ES13" s="1147">
        <v>7464.2981799999998</v>
      </c>
      <c r="ET13" s="1147">
        <v>1015.52655</v>
      </c>
      <c r="EU13" s="1147">
        <v>12490.827730000001</v>
      </c>
      <c r="EV13" s="1147">
        <v>2835.3056499999998</v>
      </c>
      <c r="EW13" s="1147">
        <v>17845.246080000001</v>
      </c>
      <c r="EX13" s="1147">
        <v>6923.2946000000002</v>
      </c>
      <c r="EY13" s="1147">
        <v>21965.07201</v>
      </c>
      <c r="EZ13" s="1147">
        <v>9665.8793700000006</v>
      </c>
      <c r="FA13" s="1147">
        <v>25686.582350000001</v>
      </c>
      <c r="FB13" s="1147">
        <v>11681.964900000001</v>
      </c>
      <c r="FC13" s="1147">
        <v>29499.813699999999</v>
      </c>
      <c r="FD13" s="1147">
        <v>13344.093709999999</v>
      </c>
      <c r="FE13" s="1147">
        <v>36557.82619</v>
      </c>
      <c r="FF13" s="1147">
        <v>17114.475549999999</v>
      </c>
      <c r="FG13" s="1147">
        <v>40381.786639999998</v>
      </c>
      <c r="FH13" s="1147">
        <v>18897.70696</v>
      </c>
      <c r="FI13" s="1147">
        <v>45979.875840000001</v>
      </c>
      <c r="FJ13" s="1147">
        <v>27729.3796</v>
      </c>
      <c r="FK13" s="1147">
        <v>53465.867760000001</v>
      </c>
      <c r="FL13" s="1147">
        <v>29992.76757</v>
      </c>
      <c r="FM13" s="1147">
        <v>3416.2914500000002</v>
      </c>
      <c r="FN13" s="1147">
        <v>3036.0753</v>
      </c>
      <c r="FO13" s="1147">
        <v>8222.6132799999996</v>
      </c>
      <c r="FP13" s="1147">
        <v>3754.5316899999998</v>
      </c>
      <c r="FQ13" s="1147">
        <v>15932.76801</v>
      </c>
      <c r="FR13" s="1147">
        <v>5715.3961099999997</v>
      </c>
      <c r="FS13" s="1147">
        <v>22241.849699999999</v>
      </c>
      <c r="FT13" s="1147">
        <v>7651.0874000000003</v>
      </c>
      <c r="FU13" s="1147">
        <v>27497.992129999999</v>
      </c>
      <c r="FV13" s="1147">
        <v>10233.276109999999</v>
      </c>
      <c r="FW13" s="1147">
        <v>32956.883629999997</v>
      </c>
      <c r="FX13" s="1147">
        <v>12809.52944</v>
      </c>
      <c r="FY13" s="1147">
        <v>38365.598490000004</v>
      </c>
      <c r="FZ13" s="1147">
        <v>14152.44173</v>
      </c>
      <c r="GA13" s="1147">
        <v>43594.933109999998</v>
      </c>
      <c r="GB13" s="1147">
        <v>16036.154039999999</v>
      </c>
      <c r="GC13" s="1147">
        <v>48934.154190000001</v>
      </c>
      <c r="GD13" s="1147">
        <v>19086.256969999999</v>
      </c>
      <c r="GE13" s="1147">
        <v>54583.295140000002</v>
      </c>
      <c r="GF13" s="1147">
        <v>21926.064559999999</v>
      </c>
      <c r="GG13" s="1147">
        <v>62409.789669999998</v>
      </c>
      <c r="GH13" s="1147">
        <v>23469.670859999998</v>
      </c>
      <c r="GI13" s="1147">
        <v>71584.057290000012</v>
      </c>
      <c r="GJ13" s="1147">
        <v>25683.30313</v>
      </c>
      <c r="GK13" s="1147">
        <v>5004.0001400000001</v>
      </c>
      <c r="GL13" s="1147">
        <v>3477.3970600000002</v>
      </c>
      <c r="GM13" s="1147">
        <v>12471.00274</v>
      </c>
      <c r="GN13" s="1147">
        <v>6512.9962599999999</v>
      </c>
      <c r="GO13" s="1147">
        <v>22638.090789999998</v>
      </c>
      <c r="GP13" s="1147">
        <v>7247.9737500000001</v>
      </c>
      <c r="GQ13" s="1147">
        <v>33209.505219999999</v>
      </c>
      <c r="GR13" s="1147">
        <v>14019.96681</v>
      </c>
      <c r="GS13" s="1147">
        <v>39479.669710000002</v>
      </c>
      <c r="GT13" s="1147">
        <v>21282.760900000001</v>
      </c>
      <c r="GU13" s="1147">
        <v>44966.837039999999</v>
      </c>
      <c r="GV13" s="1147">
        <v>26550.456770000001</v>
      </c>
      <c r="GW13" s="1147">
        <v>51091.533539999997</v>
      </c>
      <c r="GX13" s="1147">
        <v>31546.706170000001</v>
      </c>
      <c r="GY13" s="1147">
        <v>57532.613140000001</v>
      </c>
      <c r="GZ13" s="1147">
        <v>34448.745730000002</v>
      </c>
      <c r="HA13" s="1147">
        <v>63945.773829999998</v>
      </c>
      <c r="HB13" s="1147">
        <v>36900.724499999997</v>
      </c>
      <c r="HC13" s="1147">
        <v>70814.019419999997</v>
      </c>
      <c r="HD13" s="1147">
        <v>40681.762589999998</v>
      </c>
      <c r="HE13" s="1147">
        <v>80121.508119999999</v>
      </c>
      <c r="HF13" s="1147">
        <v>50229.535680000001</v>
      </c>
      <c r="HG13" s="1147">
        <v>90938.882889999993</v>
      </c>
      <c r="HH13" s="1147">
        <v>53229.62816</v>
      </c>
      <c r="HI13" s="1147">
        <v>7965.3086999999996</v>
      </c>
      <c r="HJ13" s="1147">
        <v>3712.3583899999999</v>
      </c>
      <c r="HK13" s="1147">
        <v>16798.212739999999</v>
      </c>
      <c r="HL13" s="1147">
        <v>6478.5344299999997</v>
      </c>
      <c r="HM13" s="1147">
        <v>27625.359629999999</v>
      </c>
      <c r="HN13" s="1147">
        <v>8200.9651599999997</v>
      </c>
      <c r="HO13" s="1147">
        <v>38287.838790000002</v>
      </c>
      <c r="HP13" s="1147">
        <v>14282.269609999999</v>
      </c>
      <c r="HQ13" s="1147">
        <v>49603.617639999997</v>
      </c>
      <c r="HR13" s="1147">
        <v>22176.283289999999</v>
      </c>
      <c r="HS13" s="1147">
        <v>57376.670899999997</v>
      </c>
      <c r="HT13" s="1147">
        <v>32351.48589</v>
      </c>
      <c r="HU13" s="1147">
        <v>65447.547380000004</v>
      </c>
      <c r="HV13" s="1147">
        <v>38827.577190000004</v>
      </c>
      <c r="HW13" s="1147">
        <v>73157.520940000002</v>
      </c>
      <c r="HX13" s="1147">
        <v>42033.09635</v>
      </c>
      <c r="HY13" s="1147">
        <v>81124.415940000006</v>
      </c>
      <c r="HZ13" s="1147">
        <v>47512.909659999998</v>
      </c>
      <c r="IA13" s="1147">
        <v>89126.301250000004</v>
      </c>
      <c r="IB13" s="1147">
        <v>56312.570310000003</v>
      </c>
      <c r="IC13" s="1147">
        <v>99242.046489999993</v>
      </c>
      <c r="ID13" s="1147">
        <v>63317.351410000003</v>
      </c>
      <c r="IE13" s="1147">
        <v>112491.98940999999</v>
      </c>
      <c r="IF13" s="1147">
        <v>69792.242830000003</v>
      </c>
      <c r="IG13" s="1147">
        <v>6331.5021900000002</v>
      </c>
      <c r="IH13" s="1147">
        <v>4687.9579000000003</v>
      </c>
      <c r="II13" s="1147">
        <v>17427.233370000002</v>
      </c>
      <c r="IJ13" s="1147">
        <v>12482.576859999999</v>
      </c>
      <c r="IK13" s="1147">
        <v>29617.11519</v>
      </c>
      <c r="IL13" s="1147">
        <v>21666.883180000001</v>
      </c>
      <c r="IM13" s="1147">
        <v>39413.561300000001</v>
      </c>
      <c r="IN13" s="1147">
        <v>34734.84186</v>
      </c>
      <c r="IO13" s="1147">
        <v>50417.271670000002</v>
      </c>
      <c r="IP13" s="1147">
        <v>41735.57836</v>
      </c>
      <c r="IQ13" s="1147">
        <v>60045.117630000001</v>
      </c>
      <c r="IR13" s="1147">
        <v>55488.424809999997</v>
      </c>
      <c r="IS13" s="1654" t="s">
        <v>3146</v>
      </c>
    </row>
    <row r="14" spans="1:349" ht="36" customHeight="1">
      <c r="A14" s="1652">
        <v>3</v>
      </c>
      <c r="B14" s="1653" t="s">
        <v>2336</v>
      </c>
      <c r="C14" s="1147">
        <v>4916.9664699999994</v>
      </c>
      <c r="D14" s="1147">
        <v>993.58335</v>
      </c>
      <c r="E14" s="1147">
        <v>7412.0005799999999</v>
      </c>
      <c r="F14" s="1147">
        <v>2268.4632299999998</v>
      </c>
      <c r="G14" s="1147">
        <v>10238.31943</v>
      </c>
      <c r="H14" s="1147">
        <v>3239.9785400000001</v>
      </c>
      <c r="I14" s="1147">
        <v>13009.020279999999</v>
      </c>
      <c r="J14" s="1147">
        <v>4687.5756100000008</v>
      </c>
      <c r="K14" s="1147">
        <v>15370.130349999999</v>
      </c>
      <c r="L14" s="1147">
        <v>5926.3923199999999</v>
      </c>
      <c r="M14" s="1147">
        <v>21328.04232</v>
      </c>
      <c r="N14" s="1147">
        <v>7319.6509599999999</v>
      </c>
      <c r="O14" s="1147">
        <v>24233.06781</v>
      </c>
      <c r="P14" s="1147">
        <v>8681.9582100000007</v>
      </c>
      <c r="Q14" s="1147">
        <v>27464.330979999999</v>
      </c>
      <c r="R14" s="1147">
        <v>10083.454460000001</v>
      </c>
      <c r="S14" s="1147">
        <v>30246.36894</v>
      </c>
      <c r="T14" s="1147">
        <v>11420.43346</v>
      </c>
      <c r="U14" s="1147">
        <v>32140.221000000001</v>
      </c>
      <c r="V14" s="1147">
        <v>12951.161340000001</v>
      </c>
      <c r="W14" s="1147">
        <v>37215.464169999999</v>
      </c>
      <c r="X14" s="1147">
        <v>14266.216779999999</v>
      </c>
      <c r="Y14" s="1147">
        <v>39814.927049999998</v>
      </c>
      <c r="Z14" s="1147">
        <v>15733.20147</v>
      </c>
      <c r="AA14" s="1147">
        <v>2596.3109900000004</v>
      </c>
      <c r="AB14" s="1147">
        <v>1056.8932</v>
      </c>
      <c r="AC14" s="1147">
        <v>5083.2083899999998</v>
      </c>
      <c r="AD14" s="1147">
        <v>2319.54412</v>
      </c>
      <c r="AE14" s="1147">
        <v>7370.5330599999998</v>
      </c>
      <c r="AF14" s="1147">
        <v>3666.0715699999996</v>
      </c>
      <c r="AG14" s="1147">
        <v>10853.474249999999</v>
      </c>
      <c r="AH14" s="1147">
        <v>4935.7428899999995</v>
      </c>
      <c r="AI14" s="1147">
        <v>13207.940399999999</v>
      </c>
      <c r="AJ14" s="1147">
        <v>6347.7152900000001</v>
      </c>
      <c r="AK14" s="1147">
        <v>16648.248599999999</v>
      </c>
      <c r="AL14" s="1147">
        <v>7528.1852399999998</v>
      </c>
      <c r="AM14" s="1147">
        <v>22738.63507</v>
      </c>
      <c r="AN14" s="1147">
        <v>8817.9328000000005</v>
      </c>
      <c r="AO14" s="1147">
        <v>25419.705149999998</v>
      </c>
      <c r="AP14" s="1147">
        <v>10287.75491</v>
      </c>
      <c r="AQ14" s="1147">
        <v>27857.207480000001</v>
      </c>
      <c r="AR14" s="1147">
        <v>11662.064710000001</v>
      </c>
      <c r="AS14" s="1147">
        <v>30549.65683</v>
      </c>
      <c r="AT14" s="1147">
        <v>13004.20823</v>
      </c>
      <c r="AU14" s="1147">
        <v>35453.201479999996</v>
      </c>
      <c r="AV14" s="1147">
        <v>14399.500529999999</v>
      </c>
      <c r="AW14" s="1147">
        <v>39125.941469999998</v>
      </c>
      <c r="AX14" s="1147">
        <v>15794.315909999999</v>
      </c>
      <c r="AY14" s="1147">
        <v>2911.9238700000001</v>
      </c>
      <c r="AZ14" s="1147">
        <v>1677.6398100000001</v>
      </c>
      <c r="BA14" s="1147">
        <v>5346.6092600000002</v>
      </c>
      <c r="BB14" s="1147">
        <v>3358.1210099999998</v>
      </c>
      <c r="BC14" s="1147">
        <v>8425.1299999999992</v>
      </c>
      <c r="BD14" s="1147">
        <v>4554.9799999999996</v>
      </c>
      <c r="BE14" s="1147">
        <v>10906.670689999999</v>
      </c>
      <c r="BF14" s="1147">
        <v>6357.1668399999999</v>
      </c>
      <c r="BG14" s="1147">
        <v>13099.84628</v>
      </c>
      <c r="BH14" s="1147">
        <v>7872.0824000000002</v>
      </c>
      <c r="BI14" s="1147">
        <v>19698.589319999999</v>
      </c>
      <c r="BJ14" s="1147">
        <v>9758.7171799999996</v>
      </c>
      <c r="BK14" s="1147">
        <v>23073.08181</v>
      </c>
      <c r="BL14" s="1147">
        <v>11634.994210000001</v>
      </c>
      <c r="BM14" s="1147">
        <v>26477.661749999999</v>
      </c>
      <c r="BN14" s="1147">
        <v>13159.441419999999</v>
      </c>
      <c r="BO14" s="1147">
        <v>28576.956570000002</v>
      </c>
      <c r="BP14" s="1147">
        <v>14723.995419999999</v>
      </c>
      <c r="BQ14" s="1147">
        <v>31198.52895</v>
      </c>
      <c r="BR14" s="1147">
        <v>16837.080440000002</v>
      </c>
      <c r="BS14" s="1147">
        <v>33725.66491</v>
      </c>
      <c r="BT14" s="1147">
        <v>18482.042249999999</v>
      </c>
      <c r="BU14" s="1147">
        <v>36805.802109999997</v>
      </c>
      <c r="BV14" s="1147">
        <v>20021.92727</v>
      </c>
      <c r="BW14" s="1147">
        <v>6031.8518199999999</v>
      </c>
      <c r="BX14" s="1147">
        <v>1801.1281299999998</v>
      </c>
      <c r="BY14" s="1147">
        <v>8328.2159900000006</v>
      </c>
      <c r="BZ14" s="1147">
        <v>3370.9102699999999</v>
      </c>
      <c r="CA14" s="1147">
        <v>10528.69153</v>
      </c>
      <c r="CB14" s="1147">
        <v>4546.0320700000002</v>
      </c>
      <c r="CC14" s="1147">
        <v>11963.663369999998</v>
      </c>
      <c r="CD14" s="1147">
        <v>6426.6786700000002</v>
      </c>
      <c r="CE14" s="1147">
        <v>14272.991779999998</v>
      </c>
      <c r="CF14" s="1147">
        <v>7739.0788400000001</v>
      </c>
      <c r="CG14" s="1147">
        <v>17633.040069999999</v>
      </c>
      <c r="CH14" s="1147">
        <v>10018.446039999999</v>
      </c>
      <c r="CI14" s="1147">
        <v>23029.390170000002</v>
      </c>
      <c r="CJ14" s="1147">
        <v>11904.59964</v>
      </c>
      <c r="CK14" s="1147">
        <v>25681.91203</v>
      </c>
      <c r="CL14" s="1147">
        <v>13276.478859999999</v>
      </c>
      <c r="CM14" s="1147">
        <v>27876.95666</v>
      </c>
      <c r="CN14" s="1147">
        <v>14701.41749</v>
      </c>
      <c r="CO14" s="1147">
        <v>30458.363590000001</v>
      </c>
      <c r="CP14" s="1147">
        <v>16383.259689999999</v>
      </c>
      <c r="CQ14" s="1147">
        <v>32762.648949999999</v>
      </c>
      <c r="CR14" s="1147">
        <v>17601.312329999997</v>
      </c>
      <c r="CS14" s="1147">
        <v>36883.800560000003</v>
      </c>
      <c r="CT14" s="1147">
        <v>18985.948210000002</v>
      </c>
      <c r="CU14" s="1147">
        <v>3638.1120000000001</v>
      </c>
      <c r="CV14" s="1147">
        <v>1488.05197</v>
      </c>
      <c r="CW14" s="1147">
        <v>6427.4528</v>
      </c>
      <c r="CX14" s="1147">
        <v>3021.1530699999998</v>
      </c>
      <c r="CY14" s="1147">
        <v>7803.7245499999999</v>
      </c>
      <c r="CZ14" s="1147">
        <v>4174.4112599999999</v>
      </c>
      <c r="DA14" s="1147">
        <v>9048.4640299999992</v>
      </c>
      <c r="DB14" s="1147">
        <v>5352.6082999999999</v>
      </c>
      <c r="DC14" s="1147">
        <v>10475.44692</v>
      </c>
      <c r="DD14" s="1147">
        <v>6603.6342300000006</v>
      </c>
      <c r="DE14" s="1147">
        <v>12318.559009999999</v>
      </c>
      <c r="DF14" s="1147">
        <v>7952.0704999999998</v>
      </c>
      <c r="DG14" s="1147">
        <v>13820.86515</v>
      </c>
      <c r="DH14" s="1147">
        <v>9129.4289200000003</v>
      </c>
      <c r="DI14" s="1147">
        <v>16877.213670000001</v>
      </c>
      <c r="DJ14" s="1147">
        <v>10294.209269999999</v>
      </c>
      <c r="DK14" s="1147">
        <v>18720.076010000001</v>
      </c>
      <c r="DL14" s="1147">
        <v>11353.811710000002</v>
      </c>
      <c r="DM14" s="1147">
        <v>20878.212879999999</v>
      </c>
      <c r="DN14" s="1147">
        <v>12309.62074</v>
      </c>
      <c r="DO14" s="1147">
        <v>22612.667010000001</v>
      </c>
      <c r="DP14" s="1147">
        <v>13309.097039999999</v>
      </c>
      <c r="DQ14" s="1147">
        <v>25357.862059999999</v>
      </c>
      <c r="DR14" s="1147">
        <v>14305.60672</v>
      </c>
      <c r="DS14" s="1147">
        <v>3235.6236400000003</v>
      </c>
      <c r="DT14" s="1147">
        <v>862.38689999999997</v>
      </c>
      <c r="DU14" s="1147">
        <v>5068.1894199999997</v>
      </c>
      <c r="DV14" s="1147">
        <v>1677.3193899999999</v>
      </c>
      <c r="DW14" s="1147">
        <v>6488.0418899999995</v>
      </c>
      <c r="DX14" s="1147">
        <v>2638.1171199999999</v>
      </c>
      <c r="DY14" s="1147">
        <v>7908.1280099999994</v>
      </c>
      <c r="DZ14" s="1147">
        <v>3573.9974099999999</v>
      </c>
      <c r="EA14" s="1147">
        <v>9707.7479600000006</v>
      </c>
      <c r="EB14" s="1147">
        <v>4343.4766100000006</v>
      </c>
      <c r="EC14" s="1147">
        <v>11355.282529999999</v>
      </c>
      <c r="ED14" s="1147">
        <v>5335.3253500000001</v>
      </c>
      <c r="EE14" s="1147">
        <v>13516.450490000001</v>
      </c>
      <c r="EF14" s="1147">
        <v>6124.3449800000008</v>
      </c>
      <c r="EG14" s="1147">
        <v>15247.229029999999</v>
      </c>
      <c r="EH14" s="1147">
        <v>6933.2663300000004</v>
      </c>
      <c r="EI14" s="1147">
        <v>17236.853870000003</v>
      </c>
      <c r="EJ14" s="1147">
        <v>7792.6211299999995</v>
      </c>
      <c r="EK14" s="1147">
        <v>19396.95666</v>
      </c>
      <c r="EL14" s="1147">
        <v>8837.0401500000007</v>
      </c>
      <c r="EM14" s="1147">
        <v>22212.963759999999</v>
      </c>
      <c r="EN14" s="1147">
        <v>9581.8424599999998</v>
      </c>
      <c r="EO14" s="1147">
        <v>25113.320390000001</v>
      </c>
      <c r="EP14" s="1147">
        <v>10624.75546</v>
      </c>
      <c r="EQ14" s="1147">
        <v>2630.4606699999999</v>
      </c>
      <c r="ER14" s="1147">
        <v>881.78324999999995</v>
      </c>
      <c r="ES14" s="1147">
        <v>4792.1309199999996</v>
      </c>
      <c r="ET14" s="1147">
        <v>1792.0171499999999</v>
      </c>
      <c r="EU14" s="1147">
        <v>6820.5385500000002</v>
      </c>
      <c r="EV14" s="1147">
        <v>2759.8321700000001</v>
      </c>
      <c r="EW14" s="1147">
        <v>9456.35455</v>
      </c>
      <c r="EX14" s="1147">
        <v>3897.1519499999999</v>
      </c>
      <c r="EY14" s="1147">
        <v>11817.41784</v>
      </c>
      <c r="EZ14" s="1147">
        <v>5431.19056</v>
      </c>
      <c r="FA14" s="1147">
        <v>13316.489519999999</v>
      </c>
      <c r="FB14" s="1147">
        <v>6688.1452300000001</v>
      </c>
      <c r="FC14" s="1147">
        <v>16114.342329999999</v>
      </c>
      <c r="FD14" s="1147">
        <v>7543.9842600000002</v>
      </c>
      <c r="FE14" s="1147">
        <v>22185.69138</v>
      </c>
      <c r="FF14" s="1147">
        <v>10530.16639</v>
      </c>
      <c r="FG14" s="1147">
        <v>24497.585179999998</v>
      </c>
      <c r="FH14" s="1147">
        <v>12593.067069999999</v>
      </c>
      <c r="FI14" s="1147">
        <v>26964.33971</v>
      </c>
      <c r="FJ14" s="1147">
        <v>13970.389300000001</v>
      </c>
      <c r="FK14" s="1147">
        <v>29760.949639999999</v>
      </c>
      <c r="FL14" s="1147">
        <v>15808.13495</v>
      </c>
      <c r="FM14" s="1147">
        <v>2929.10257</v>
      </c>
      <c r="FN14" s="1147">
        <v>1175.5429299999998</v>
      </c>
      <c r="FO14" s="1147">
        <v>5153.46587</v>
      </c>
      <c r="FP14" s="1147">
        <v>2845.30465</v>
      </c>
      <c r="FQ14" s="1147">
        <v>7565.3878299999997</v>
      </c>
      <c r="FR14" s="1147">
        <v>4250.2650999999996</v>
      </c>
      <c r="FS14" s="1147">
        <v>9721.5837699999993</v>
      </c>
      <c r="FT14" s="1147">
        <v>5772.9627300000002</v>
      </c>
      <c r="FU14" s="1147">
        <v>13876.952080000001</v>
      </c>
      <c r="FV14" s="1147">
        <v>7292.1524600000002</v>
      </c>
      <c r="FW14" s="1147">
        <v>16956.192340000001</v>
      </c>
      <c r="FX14" s="1147">
        <v>8457.14</v>
      </c>
      <c r="FY14" s="1147">
        <v>21200.433410000001</v>
      </c>
      <c r="FZ14" s="1147">
        <v>9591.6176999999989</v>
      </c>
      <c r="GA14" s="1147">
        <v>26660.719400000002</v>
      </c>
      <c r="GB14" s="1147">
        <v>11311.832850000001</v>
      </c>
      <c r="GC14" s="1147">
        <v>30886.376399999997</v>
      </c>
      <c r="GD14" s="1147">
        <v>12515.499400000001</v>
      </c>
      <c r="GE14" s="1147">
        <v>34051.29984</v>
      </c>
      <c r="GF14" s="1147">
        <v>14017.54711</v>
      </c>
      <c r="GG14" s="1147">
        <v>39116.781179999998</v>
      </c>
      <c r="GH14" s="1147">
        <v>15314.625190000001</v>
      </c>
      <c r="GI14" s="1147">
        <v>44865.766369999998</v>
      </c>
      <c r="GJ14" s="1147">
        <v>16627.208210000001</v>
      </c>
      <c r="GK14" s="1147">
        <v>4186.6699100000005</v>
      </c>
      <c r="GL14" s="1147">
        <v>1343.3404499999999</v>
      </c>
      <c r="GM14" s="1147">
        <v>8186.3302000000003</v>
      </c>
      <c r="GN14" s="1147">
        <v>3007.96684</v>
      </c>
      <c r="GO14" s="1147">
        <v>12253.25829</v>
      </c>
      <c r="GP14" s="1147">
        <v>4524.8935199999996</v>
      </c>
      <c r="GQ14" s="1147">
        <v>16891.229879999999</v>
      </c>
      <c r="GR14" s="1147">
        <v>6498.6934000000001</v>
      </c>
      <c r="GS14" s="1147">
        <v>21872.487850000001</v>
      </c>
      <c r="GT14" s="1147">
        <v>8653.6881699999994</v>
      </c>
      <c r="GU14" s="1147">
        <v>26766.550790000001</v>
      </c>
      <c r="GV14" s="1147">
        <v>10131.081399999999</v>
      </c>
      <c r="GW14" s="1147">
        <v>33210.965120000001</v>
      </c>
      <c r="GX14" s="1147">
        <v>12262.55755</v>
      </c>
      <c r="GY14" s="1147">
        <v>41472.319150000003</v>
      </c>
      <c r="GZ14" s="1147">
        <v>14387.622069999999</v>
      </c>
      <c r="HA14" s="1147">
        <v>46972.04939</v>
      </c>
      <c r="HB14" s="1147">
        <v>17394.201710000001</v>
      </c>
      <c r="HC14" s="1147">
        <v>52894.132599999997</v>
      </c>
      <c r="HD14" s="1147">
        <v>20685.90583</v>
      </c>
      <c r="HE14" s="1147">
        <v>59130.074050000003</v>
      </c>
      <c r="HF14" s="1147">
        <v>24471.77591</v>
      </c>
      <c r="HG14" s="1147">
        <v>76436.237519999995</v>
      </c>
      <c r="HH14" s="1147">
        <v>29018.411090000001</v>
      </c>
      <c r="HI14" s="1147">
        <v>4918.5545700000002</v>
      </c>
      <c r="HJ14" s="1147">
        <v>2767.7108800000001</v>
      </c>
      <c r="HK14" s="1147">
        <v>9637.3786400000008</v>
      </c>
      <c r="HL14" s="1147">
        <v>5997.1756699999996</v>
      </c>
      <c r="HM14" s="1147">
        <v>14849.09115</v>
      </c>
      <c r="HN14" s="1147">
        <v>8398.0467800000006</v>
      </c>
      <c r="HO14" s="1147">
        <v>20261.52003</v>
      </c>
      <c r="HP14" s="1147">
        <v>12747.759330000001</v>
      </c>
      <c r="HQ14" s="1147">
        <v>25763.940200000001</v>
      </c>
      <c r="HR14" s="1147">
        <v>16622.94744</v>
      </c>
      <c r="HS14" s="1147">
        <v>30598.236229999999</v>
      </c>
      <c r="HT14" s="1147">
        <v>19459.474419999999</v>
      </c>
      <c r="HU14" s="1147">
        <v>37083.529759999998</v>
      </c>
      <c r="HV14" s="1147">
        <v>22877.00071</v>
      </c>
      <c r="HW14" s="1147">
        <v>42708.738210000003</v>
      </c>
      <c r="HX14" s="1147">
        <v>26349.930100000001</v>
      </c>
      <c r="HY14" s="1147">
        <v>48676.998679999997</v>
      </c>
      <c r="HZ14" s="1147">
        <v>29470.991310000001</v>
      </c>
      <c r="IA14" s="1147">
        <v>52942.321779999998</v>
      </c>
      <c r="IB14" s="1147">
        <v>34147.802009999999</v>
      </c>
      <c r="IC14" s="1147">
        <v>56974.528780000001</v>
      </c>
      <c r="ID14" s="1147">
        <v>37010.47019</v>
      </c>
      <c r="IE14" s="1147">
        <v>63803.863069999999</v>
      </c>
      <c r="IF14" s="1147">
        <v>40468.980100000001</v>
      </c>
      <c r="IG14" s="1147">
        <v>3917.38094</v>
      </c>
      <c r="IH14" s="1147">
        <v>3352.8885599999999</v>
      </c>
      <c r="II14" s="1147">
        <v>8336.7068299999992</v>
      </c>
      <c r="IJ14" s="1147">
        <v>7478.6149500000001</v>
      </c>
      <c r="IK14" s="1147">
        <v>13250.76</v>
      </c>
      <c r="IL14" s="1147">
        <v>9688.88976</v>
      </c>
      <c r="IM14" s="1147">
        <v>21842.438880000002</v>
      </c>
      <c r="IN14" s="1147">
        <v>14128.437309999999</v>
      </c>
      <c r="IO14" s="1147">
        <v>27058.075390000002</v>
      </c>
      <c r="IP14" s="1147">
        <v>16943.900130000002</v>
      </c>
      <c r="IQ14" s="1147">
        <v>35347.554700000001</v>
      </c>
      <c r="IR14" s="1147">
        <v>19966.77204</v>
      </c>
      <c r="IS14" s="1654" t="s">
        <v>3147</v>
      </c>
    </row>
    <row r="15" spans="1:349" ht="36" customHeight="1">
      <c r="A15" s="1652">
        <v>4</v>
      </c>
      <c r="B15" s="1653" t="s">
        <v>2334</v>
      </c>
      <c r="C15" s="1147">
        <v>253.33629999999999</v>
      </c>
      <c r="D15" s="1147">
        <v>259.89022</v>
      </c>
      <c r="E15" s="1147">
        <v>547.9239399999999</v>
      </c>
      <c r="F15" s="1147">
        <v>504.71914000000004</v>
      </c>
      <c r="G15" s="1147">
        <v>1369.14492</v>
      </c>
      <c r="H15" s="1147">
        <v>774.48761000000002</v>
      </c>
      <c r="I15" s="1147">
        <v>2034.25821</v>
      </c>
      <c r="J15" s="1147">
        <v>815.42926</v>
      </c>
      <c r="K15" s="1147">
        <v>2292.3925899999999</v>
      </c>
      <c r="L15" s="1147">
        <v>1398.39842</v>
      </c>
      <c r="M15" s="1147">
        <v>2702.3072400000001</v>
      </c>
      <c r="N15" s="1147">
        <v>1587.4230500000001</v>
      </c>
      <c r="O15" s="1147">
        <v>3085.5450799999999</v>
      </c>
      <c r="P15" s="1147">
        <v>1902.0135500000001</v>
      </c>
      <c r="Q15" s="1147">
        <v>3483.50342</v>
      </c>
      <c r="R15" s="1147">
        <v>2221.1866600000003</v>
      </c>
      <c r="S15" s="1147">
        <v>5175.8194400000002</v>
      </c>
      <c r="T15" s="1147">
        <v>2352.4549300000003</v>
      </c>
      <c r="U15" s="1147">
        <v>5443.8615199999995</v>
      </c>
      <c r="V15" s="1147">
        <v>2557.1864399999999</v>
      </c>
      <c r="W15" s="1147">
        <v>5832.1152899999997</v>
      </c>
      <c r="X15" s="1147">
        <v>2891.5966800000001</v>
      </c>
      <c r="Y15" s="1147">
        <v>6414.5510899999999</v>
      </c>
      <c r="Z15" s="1147">
        <v>3254.0662400000001</v>
      </c>
      <c r="AA15" s="1147">
        <v>153.45392000000001</v>
      </c>
      <c r="AB15" s="1147">
        <v>62.651660000000007</v>
      </c>
      <c r="AC15" s="1147">
        <v>379.46803999999997</v>
      </c>
      <c r="AD15" s="1147">
        <v>464.06728999999996</v>
      </c>
      <c r="AE15" s="1147">
        <v>1161.3367800000001</v>
      </c>
      <c r="AF15" s="1147">
        <v>1224.04204</v>
      </c>
      <c r="AG15" s="1147">
        <v>1394.5222699999999</v>
      </c>
      <c r="AH15" s="1147">
        <v>1425.8763000000001</v>
      </c>
      <c r="AI15" s="1147">
        <v>2734.2945800000002</v>
      </c>
      <c r="AJ15" s="1147">
        <v>1620.44094</v>
      </c>
      <c r="AK15" s="1147">
        <v>3236.64633</v>
      </c>
      <c r="AL15" s="1147">
        <v>2214.4834599999999</v>
      </c>
      <c r="AM15" s="1147">
        <v>3791.4593500000001</v>
      </c>
      <c r="AN15" s="1147">
        <v>2466.5057599999996</v>
      </c>
      <c r="AO15" s="1147">
        <v>5635.1958600000007</v>
      </c>
      <c r="AP15" s="1147">
        <v>2645.0745400000001</v>
      </c>
      <c r="AQ15" s="1147">
        <v>6267.2968499999997</v>
      </c>
      <c r="AR15" s="1147">
        <v>2726.3208399999999</v>
      </c>
      <c r="AS15" s="1147">
        <v>6466.0264999999999</v>
      </c>
      <c r="AT15" s="1147">
        <v>2973.5614700000001</v>
      </c>
      <c r="AU15" s="1147">
        <v>6608.7642000000005</v>
      </c>
      <c r="AV15" s="1147">
        <v>3126.9236599999999</v>
      </c>
      <c r="AW15" s="1147">
        <v>7227.6710400000002</v>
      </c>
      <c r="AX15" s="1147">
        <v>3360.6122400000004</v>
      </c>
      <c r="AY15" s="1147">
        <v>181.97653</v>
      </c>
      <c r="AZ15" s="1147">
        <v>237.08617000000001</v>
      </c>
      <c r="BA15" s="1147">
        <v>1484.1703200000002</v>
      </c>
      <c r="BB15" s="1147">
        <v>556.46271999999999</v>
      </c>
      <c r="BC15" s="1147">
        <v>2163.67</v>
      </c>
      <c r="BD15" s="1147">
        <v>410.31</v>
      </c>
      <c r="BE15" s="1147">
        <v>2777.2056000000002</v>
      </c>
      <c r="BF15" s="1147">
        <v>645.03587000000005</v>
      </c>
      <c r="BG15" s="1147">
        <v>3695.1037200000001</v>
      </c>
      <c r="BH15" s="1147">
        <v>864.92100000000005</v>
      </c>
      <c r="BI15" s="1147">
        <v>3998.18136</v>
      </c>
      <c r="BJ15" s="1147">
        <v>992.21291000000008</v>
      </c>
      <c r="BK15" s="1147">
        <v>5007.1372199999996</v>
      </c>
      <c r="BL15" s="1147">
        <v>1281.5297</v>
      </c>
      <c r="BM15" s="1147">
        <v>6762.5851199999997</v>
      </c>
      <c r="BN15" s="1147">
        <v>1465.6601699999999</v>
      </c>
      <c r="BO15" s="1147">
        <v>7219.0470800000003</v>
      </c>
      <c r="BP15" s="1147">
        <v>1785.48622</v>
      </c>
      <c r="BQ15" s="1147">
        <v>7444.5776900000001</v>
      </c>
      <c r="BR15" s="1147">
        <v>1928.7400500000001</v>
      </c>
      <c r="BS15" s="1147">
        <v>7656.2552300000007</v>
      </c>
      <c r="BT15" s="1147">
        <v>2106.69931</v>
      </c>
      <c r="BU15" s="1147">
        <v>8138.6656299999995</v>
      </c>
      <c r="BV15" s="1147">
        <v>2862.5341200000003</v>
      </c>
      <c r="BW15" s="1147">
        <v>419.77965</v>
      </c>
      <c r="BX15" s="1147">
        <v>52.786699999999996</v>
      </c>
      <c r="BY15" s="1147">
        <v>650.03084999999999</v>
      </c>
      <c r="BZ15" s="1147">
        <v>166.90676000000002</v>
      </c>
      <c r="CA15" s="1147">
        <v>1464.4006200000001</v>
      </c>
      <c r="CB15" s="1147">
        <v>306.77424999999999</v>
      </c>
      <c r="CC15" s="1147">
        <v>2245.8063199999997</v>
      </c>
      <c r="CD15" s="1147">
        <v>563.60536999999999</v>
      </c>
      <c r="CE15" s="1147">
        <v>2306.5902599999999</v>
      </c>
      <c r="CF15" s="1147">
        <v>781.66082999999992</v>
      </c>
      <c r="CG15" s="1147">
        <v>2663.3373199999996</v>
      </c>
      <c r="CH15" s="1147">
        <v>1007.67134</v>
      </c>
      <c r="CI15" s="1147">
        <v>3029.3253100000002</v>
      </c>
      <c r="CJ15" s="1147">
        <v>1185.8696299999999</v>
      </c>
      <c r="CK15" s="1147">
        <v>4176.7994200000003</v>
      </c>
      <c r="CL15" s="1147">
        <v>1362.2451899999999</v>
      </c>
      <c r="CM15" s="1147">
        <v>4583.6687999999995</v>
      </c>
      <c r="CN15" s="1147">
        <v>1464.6500900000001</v>
      </c>
      <c r="CO15" s="1147">
        <v>4916.8347100000001</v>
      </c>
      <c r="CP15" s="1147">
        <v>1713.4804199999999</v>
      </c>
      <c r="CQ15" s="1147">
        <v>5111.07251</v>
      </c>
      <c r="CR15" s="1147">
        <v>1859.3883999999998</v>
      </c>
      <c r="CS15" s="1147">
        <v>5631.5512099999996</v>
      </c>
      <c r="CT15" s="1147">
        <v>2019.1693300000002</v>
      </c>
      <c r="CU15" s="1147">
        <v>1697.9931100000001</v>
      </c>
      <c r="CV15" s="1147">
        <v>125.39542</v>
      </c>
      <c r="CW15" s="1147">
        <v>2134.6035699999998</v>
      </c>
      <c r="CX15" s="1147">
        <v>569.44644999999991</v>
      </c>
      <c r="CY15" s="1147">
        <v>3101.1550000000002</v>
      </c>
      <c r="CZ15" s="1147">
        <v>486.36786999999998</v>
      </c>
      <c r="DA15" s="1147">
        <v>3879.1493399999999</v>
      </c>
      <c r="DB15" s="1147">
        <v>549.63684999999998</v>
      </c>
      <c r="DC15" s="1147">
        <v>4400.5550899999998</v>
      </c>
      <c r="DD15" s="1147">
        <v>733.87682999999993</v>
      </c>
      <c r="DE15" s="1147">
        <v>5159.9410199999993</v>
      </c>
      <c r="DF15" s="1147">
        <v>938.79058999999995</v>
      </c>
      <c r="DG15" s="1147">
        <v>5977.5870700000005</v>
      </c>
      <c r="DH15" s="1147">
        <v>1084.6992399999999</v>
      </c>
      <c r="DI15" s="1147">
        <v>6676.5986800000001</v>
      </c>
      <c r="DJ15" s="1147">
        <v>1256.9549</v>
      </c>
      <c r="DK15" s="1147">
        <v>7356.75918</v>
      </c>
      <c r="DL15" s="1147">
        <v>1392.38175</v>
      </c>
      <c r="DM15" s="1147">
        <v>7926.6907000000001</v>
      </c>
      <c r="DN15" s="1147">
        <v>1609.0673999999999</v>
      </c>
      <c r="DO15" s="1147">
        <v>8359.9982600000003</v>
      </c>
      <c r="DP15" s="1147">
        <v>1833.8076599999999</v>
      </c>
      <c r="DQ15" s="1147">
        <v>9042.2850699999999</v>
      </c>
      <c r="DR15" s="1147">
        <v>2136.0991300000001</v>
      </c>
      <c r="DS15" s="1147">
        <v>1969.77567</v>
      </c>
      <c r="DT15" s="1147">
        <v>213.60101999999998</v>
      </c>
      <c r="DU15" s="1147">
        <v>3003.2240999999999</v>
      </c>
      <c r="DV15" s="1147">
        <v>470.56248999999997</v>
      </c>
      <c r="DW15" s="1147">
        <v>4893.2646500000001</v>
      </c>
      <c r="DX15" s="1147">
        <v>711.19280000000003</v>
      </c>
      <c r="DY15" s="1147">
        <v>6001.6634800000002</v>
      </c>
      <c r="DZ15" s="1147">
        <v>1155.7838400000001</v>
      </c>
      <c r="EA15" s="1147">
        <v>6518.2347599999994</v>
      </c>
      <c r="EB15" s="1147">
        <v>1485.7564</v>
      </c>
      <c r="EC15" s="1147">
        <v>7335.1494199999997</v>
      </c>
      <c r="ED15" s="1147">
        <v>1884.00143</v>
      </c>
      <c r="EE15" s="1147">
        <v>8179.8884100000005</v>
      </c>
      <c r="EF15" s="1147">
        <v>2383.6547300000002</v>
      </c>
      <c r="EG15" s="1147">
        <v>9062.2503800000013</v>
      </c>
      <c r="EH15" s="1147">
        <v>2708.3744300000003</v>
      </c>
      <c r="EI15" s="1147">
        <v>9926.031140000001</v>
      </c>
      <c r="EJ15" s="1147">
        <v>3144.26809</v>
      </c>
      <c r="EK15" s="1147">
        <v>10558.029930000001</v>
      </c>
      <c r="EL15" s="1147">
        <v>3590.2330999999999</v>
      </c>
      <c r="EM15" s="1147">
        <v>11147.2127</v>
      </c>
      <c r="EN15" s="1147">
        <v>3875.5511200000001</v>
      </c>
      <c r="EO15" s="1147">
        <v>12023.742109999999</v>
      </c>
      <c r="EP15" s="1147">
        <v>4274.64887</v>
      </c>
      <c r="EQ15" s="1147">
        <v>2570.9342799999999</v>
      </c>
      <c r="ER15" s="1147">
        <v>313.91532999999998</v>
      </c>
      <c r="ES15" s="1147">
        <v>3265.6899899999999</v>
      </c>
      <c r="ET15" s="1147">
        <v>631.32500000000005</v>
      </c>
      <c r="EU15" s="1147">
        <v>4657.3422600000004</v>
      </c>
      <c r="EV15" s="1147">
        <v>970.83370000000002</v>
      </c>
      <c r="EW15" s="1147">
        <v>6163.0390699999998</v>
      </c>
      <c r="EX15" s="1147">
        <v>1434.16021</v>
      </c>
      <c r="EY15" s="1147">
        <v>6976.2106599999997</v>
      </c>
      <c r="EZ15" s="1147">
        <v>1813.53584</v>
      </c>
      <c r="FA15" s="1147">
        <v>8155.9021700000003</v>
      </c>
      <c r="FB15" s="1147">
        <v>2152.9256500000001</v>
      </c>
      <c r="FC15" s="1147">
        <v>9035.3003100000005</v>
      </c>
      <c r="FD15" s="1147">
        <v>2541.3399199999999</v>
      </c>
      <c r="FE15" s="1147">
        <v>11448.320110000001</v>
      </c>
      <c r="FF15" s="1147">
        <v>3536.17263</v>
      </c>
      <c r="FG15" s="1147">
        <v>12325.86839</v>
      </c>
      <c r="FH15" s="1147">
        <v>4113.9287100000001</v>
      </c>
      <c r="FI15" s="1147">
        <v>13415.57316</v>
      </c>
      <c r="FJ15" s="1147">
        <v>4481.8337899999997</v>
      </c>
      <c r="FK15" s="1147">
        <v>14464.40454</v>
      </c>
      <c r="FL15" s="1147">
        <v>4892.7441600000002</v>
      </c>
      <c r="FM15" s="1147">
        <v>2676.5643700000001</v>
      </c>
      <c r="FN15" s="1147">
        <v>455.68511000000001</v>
      </c>
      <c r="FO15" s="1147">
        <v>4147.3698100000001</v>
      </c>
      <c r="FP15" s="1147">
        <v>1054.7651000000001</v>
      </c>
      <c r="FQ15" s="1147">
        <v>5207.6311900000001</v>
      </c>
      <c r="FR15" s="1147">
        <v>1498.5840599999999</v>
      </c>
      <c r="FS15" s="1147">
        <v>5983.1708799999997</v>
      </c>
      <c r="FT15" s="1147">
        <v>2101.8270000000002</v>
      </c>
      <c r="FU15" s="1147">
        <v>7989.55573</v>
      </c>
      <c r="FV15" s="1147">
        <v>2858.4999500000004</v>
      </c>
      <c r="FW15" s="1147">
        <v>9352.8002100000012</v>
      </c>
      <c r="FX15" s="1147">
        <v>3341.3641899999998</v>
      </c>
      <c r="FY15" s="1147">
        <v>10778.639710000001</v>
      </c>
      <c r="FZ15" s="1147">
        <v>5004.2890700000007</v>
      </c>
      <c r="GA15" s="1147">
        <v>12512.90141</v>
      </c>
      <c r="GB15" s="1147">
        <v>21492.01514</v>
      </c>
      <c r="GC15" s="1147">
        <v>14529.038689999999</v>
      </c>
      <c r="GD15" s="1147">
        <v>27458.29711</v>
      </c>
      <c r="GE15" s="1147">
        <v>16197.824119999999</v>
      </c>
      <c r="GF15" s="1147">
        <v>30638.965919999999</v>
      </c>
      <c r="GG15" s="1147">
        <v>18329.547419999999</v>
      </c>
      <c r="GH15" s="1147">
        <v>31514.663430000001</v>
      </c>
      <c r="GI15" s="1147">
        <v>19927.92727</v>
      </c>
      <c r="GJ15" s="1147">
        <v>32275.11795</v>
      </c>
      <c r="GK15" s="1147">
        <v>3481.4876800000002</v>
      </c>
      <c r="GL15" s="1147">
        <v>404.13853</v>
      </c>
      <c r="GM15" s="1147">
        <v>5086.8395</v>
      </c>
      <c r="GN15" s="1147">
        <v>1280.96207</v>
      </c>
      <c r="GO15" s="1147">
        <v>6713.3464000000004</v>
      </c>
      <c r="GP15" s="1147">
        <v>2114.5583700000002</v>
      </c>
      <c r="GQ15" s="1147">
        <v>9059.1534900000006</v>
      </c>
      <c r="GR15" s="1147">
        <v>2884.4622899999999</v>
      </c>
      <c r="GS15" s="1147">
        <v>11161.202960000001</v>
      </c>
      <c r="GT15" s="1147">
        <v>3714.0334899999998</v>
      </c>
      <c r="GU15" s="1147">
        <v>13294.95132</v>
      </c>
      <c r="GV15" s="1147">
        <v>4351.6625100000001</v>
      </c>
      <c r="GW15" s="1147">
        <v>15418.550310000001</v>
      </c>
      <c r="GX15" s="1147">
        <v>5208.3221100000001</v>
      </c>
      <c r="GY15" s="1147">
        <v>17276.499820000001</v>
      </c>
      <c r="GZ15" s="1147">
        <v>6102.8477400000002</v>
      </c>
      <c r="HA15" s="1147">
        <v>19228.207780000001</v>
      </c>
      <c r="HB15" s="1147">
        <v>7199.4272700000001</v>
      </c>
      <c r="HC15" s="1147">
        <v>21345.505420000001</v>
      </c>
      <c r="HD15" s="1147">
        <v>8616.7687499999993</v>
      </c>
      <c r="HE15" s="1147">
        <v>23316.582439999998</v>
      </c>
      <c r="HF15" s="1147">
        <v>10915.86522</v>
      </c>
      <c r="HG15" s="1147">
        <v>24943.185259999998</v>
      </c>
      <c r="HH15" s="1147">
        <v>12098.647650000001</v>
      </c>
      <c r="HI15" s="1147">
        <v>3700.7984799999999</v>
      </c>
      <c r="HJ15" s="1147">
        <v>973.15351999999996</v>
      </c>
      <c r="HK15" s="1147">
        <v>5538.6844199999996</v>
      </c>
      <c r="HL15" s="1147">
        <v>2120.4919199999999</v>
      </c>
      <c r="HM15" s="1147">
        <v>8640.2890200000002</v>
      </c>
      <c r="HN15" s="1147">
        <v>2784.52691</v>
      </c>
      <c r="HO15" s="1147">
        <v>11023.87811</v>
      </c>
      <c r="HP15" s="1147">
        <v>4015.1456400000002</v>
      </c>
      <c r="HQ15" s="1147">
        <v>13815.23086</v>
      </c>
      <c r="HR15" s="1147">
        <v>5093.5936600000005</v>
      </c>
      <c r="HS15" s="1147">
        <v>16580.00158</v>
      </c>
      <c r="HT15" s="1147">
        <v>5906.6558699999996</v>
      </c>
      <c r="HU15" s="1147">
        <v>18912.90149</v>
      </c>
      <c r="HV15" s="1147">
        <v>6912.9283500000001</v>
      </c>
      <c r="HW15" s="1147">
        <v>21661.96241</v>
      </c>
      <c r="HX15" s="1147">
        <v>8038.1216100000001</v>
      </c>
      <c r="HY15" s="1147">
        <v>24760.056519999998</v>
      </c>
      <c r="HZ15" s="1147">
        <v>9011.3030699999999</v>
      </c>
      <c r="IA15" s="1147">
        <v>27773.890739999999</v>
      </c>
      <c r="IB15" s="1147">
        <v>10569.02277</v>
      </c>
      <c r="IC15" s="1147">
        <v>30547.692920000001</v>
      </c>
      <c r="ID15" s="1147">
        <v>11441.625260000001</v>
      </c>
      <c r="IE15" s="1147">
        <v>33189.631379999999</v>
      </c>
      <c r="IF15" s="1147">
        <v>13142.91308</v>
      </c>
      <c r="IG15" s="1147">
        <v>3879.3737599999999</v>
      </c>
      <c r="IH15" s="1147">
        <v>1271.7725</v>
      </c>
      <c r="II15" s="1147">
        <v>6394.13184</v>
      </c>
      <c r="IJ15" s="1147">
        <v>3079.1276499999999</v>
      </c>
      <c r="IK15" s="1147">
        <v>9123.6495500000001</v>
      </c>
      <c r="IL15" s="1147">
        <v>4142.0580600000003</v>
      </c>
      <c r="IM15" s="1147">
        <v>10880.87564</v>
      </c>
      <c r="IN15" s="1147">
        <v>6043.3425800000005</v>
      </c>
      <c r="IO15" s="1147">
        <v>13006.475189999999</v>
      </c>
      <c r="IP15" s="1147">
        <v>7455.02531</v>
      </c>
      <c r="IQ15" s="1147">
        <v>14745.9763</v>
      </c>
      <c r="IR15" s="1147">
        <v>8982.1340799999998</v>
      </c>
      <c r="IS15" s="1654" t="s">
        <v>3148</v>
      </c>
    </row>
    <row r="16" spans="1:349" ht="36" customHeight="1">
      <c r="A16" s="1652">
        <v>5</v>
      </c>
      <c r="B16" s="1653" t="s">
        <v>3063</v>
      </c>
      <c r="C16" s="1147">
        <v>1159.9825700000001</v>
      </c>
      <c r="D16" s="1147">
        <v>562.65356000000008</v>
      </c>
      <c r="E16" s="1147">
        <v>2792.7365600000003</v>
      </c>
      <c r="F16" s="1147">
        <v>1093.8690800000002</v>
      </c>
      <c r="G16" s="1147">
        <v>5119.5651500000004</v>
      </c>
      <c r="H16" s="1147">
        <v>1730.6905900000002</v>
      </c>
      <c r="I16" s="1147">
        <v>7100.6533899999995</v>
      </c>
      <c r="J16" s="1147">
        <v>2350.5508599999998</v>
      </c>
      <c r="K16" s="1147">
        <v>9110.3430800000006</v>
      </c>
      <c r="L16" s="1147">
        <v>2830.6105699999998</v>
      </c>
      <c r="M16" s="1147">
        <v>10591.063259999999</v>
      </c>
      <c r="N16" s="1147">
        <v>3358.8099099999999</v>
      </c>
      <c r="O16" s="1147">
        <v>12637.541150000001</v>
      </c>
      <c r="P16" s="1147">
        <v>3991.5741000000003</v>
      </c>
      <c r="Q16" s="1147">
        <v>14665.597250000001</v>
      </c>
      <c r="R16" s="1147">
        <v>4939.1215999999995</v>
      </c>
      <c r="S16" s="1147">
        <v>16280.44399</v>
      </c>
      <c r="T16" s="1147">
        <v>5741.7251299999998</v>
      </c>
      <c r="U16" s="1147">
        <v>19277.735850000001</v>
      </c>
      <c r="V16" s="1147">
        <v>6427.7234400000007</v>
      </c>
      <c r="W16" s="1147">
        <v>21080.242120000003</v>
      </c>
      <c r="X16" s="1147">
        <v>7076.5058799999997</v>
      </c>
      <c r="Y16" s="1147">
        <v>22720.978280000003</v>
      </c>
      <c r="Z16" s="1147">
        <v>7753.0190499999999</v>
      </c>
      <c r="AA16" s="1147">
        <v>1402.32033</v>
      </c>
      <c r="AB16" s="1147">
        <v>798.93690000000004</v>
      </c>
      <c r="AC16" s="1147">
        <v>3019.5210699999998</v>
      </c>
      <c r="AD16" s="1147">
        <v>1242.3192300000001</v>
      </c>
      <c r="AE16" s="1147">
        <v>5139.5870000000004</v>
      </c>
      <c r="AF16" s="1147">
        <v>1974.42192</v>
      </c>
      <c r="AG16" s="1147">
        <v>7378.45453</v>
      </c>
      <c r="AH16" s="1147">
        <v>2588.57861</v>
      </c>
      <c r="AI16" s="1147">
        <v>9798.3248499999991</v>
      </c>
      <c r="AJ16" s="1147">
        <v>3388.7885099999999</v>
      </c>
      <c r="AK16" s="1147">
        <v>12380.23906</v>
      </c>
      <c r="AL16" s="1147">
        <v>4182.3076200000005</v>
      </c>
      <c r="AM16" s="1147">
        <v>14662.424140000001</v>
      </c>
      <c r="AN16" s="1147">
        <v>5059.6106600000003</v>
      </c>
      <c r="AO16" s="1147">
        <v>16973.111829999998</v>
      </c>
      <c r="AP16" s="1147">
        <v>5955.6987800000006</v>
      </c>
      <c r="AQ16" s="1147">
        <v>18794.638870000002</v>
      </c>
      <c r="AR16" s="1147">
        <v>6672.5100700000003</v>
      </c>
      <c r="AS16" s="1147">
        <v>20551.099149999998</v>
      </c>
      <c r="AT16" s="1147">
        <v>7435.66374</v>
      </c>
      <c r="AU16" s="1147">
        <v>23658.62905</v>
      </c>
      <c r="AV16" s="1147">
        <v>8387.9882600000001</v>
      </c>
      <c r="AW16" s="1147">
        <v>25317.13581</v>
      </c>
      <c r="AX16" s="1147">
        <v>9112.5963900000006</v>
      </c>
      <c r="AY16" s="1147">
        <v>1244.53676</v>
      </c>
      <c r="AZ16" s="1147">
        <v>688.99033999999995</v>
      </c>
      <c r="BA16" s="1147">
        <v>2457.0877999999998</v>
      </c>
      <c r="BB16" s="1147">
        <v>1696.8248000000001</v>
      </c>
      <c r="BC16" s="1147">
        <v>3813.91</v>
      </c>
      <c r="BD16" s="1147">
        <v>2279.84</v>
      </c>
      <c r="BE16" s="1147">
        <v>5345.6351199999999</v>
      </c>
      <c r="BF16" s="1147">
        <v>3022.8549500000004</v>
      </c>
      <c r="BG16" s="1147">
        <v>7223.2515800000001</v>
      </c>
      <c r="BH16" s="1147">
        <v>3625.3953500000002</v>
      </c>
      <c r="BI16" s="1147">
        <v>8740.747589999999</v>
      </c>
      <c r="BJ16" s="1147">
        <v>4175.51253</v>
      </c>
      <c r="BK16" s="1147">
        <v>10325.976970000002</v>
      </c>
      <c r="BL16" s="1147">
        <v>4767.9145099999996</v>
      </c>
      <c r="BM16" s="1147">
        <v>11929.05075</v>
      </c>
      <c r="BN16" s="1147">
        <v>5209.6777199999997</v>
      </c>
      <c r="BO16" s="1147">
        <v>13806.14323</v>
      </c>
      <c r="BP16" s="1147">
        <v>6714.9444899999999</v>
      </c>
      <c r="BQ16" s="1147">
        <v>15487.83986</v>
      </c>
      <c r="BR16" s="1147">
        <v>7213.5005599999995</v>
      </c>
      <c r="BS16" s="1147">
        <v>16602.210609999998</v>
      </c>
      <c r="BT16" s="1147">
        <v>7664.74892</v>
      </c>
      <c r="BU16" s="1147">
        <v>20029.664719999997</v>
      </c>
      <c r="BV16" s="1147">
        <v>8095.7427200000002</v>
      </c>
      <c r="BW16" s="1147">
        <v>1096.2246699999998</v>
      </c>
      <c r="BX16" s="1147">
        <v>430.91167999999999</v>
      </c>
      <c r="BY16" s="1147">
        <v>2163.6363700000002</v>
      </c>
      <c r="BZ16" s="1147">
        <v>816.56097</v>
      </c>
      <c r="CA16" s="1147">
        <v>3099.9076800000003</v>
      </c>
      <c r="CB16" s="1147">
        <v>1217.1698999999999</v>
      </c>
      <c r="CC16" s="1147">
        <v>4573.68037</v>
      </c>
      <c r="CD16" s="1147">
        <v>1613.7360100000001</v>
      </c>
      <c r="CE16" s="1147">
        <v>6190.81891</v>
      </c>
      <c r="CF16" s="1147">
        <v>2099.0297</v>
      </c>
      <c r="CG16" s="1147">
        <v>7263.5461599999999</v>
      </c>
      <c r="CH16" s="1147">
        <v>2349.6643199999999</v>
      </c>
      <c r="CI16" s="1147">
        <v>8637.424289999999</v>
      </c>
      <c r="CJ16" s="1147">
        <v>2758.2348099999999</v>
      </c>
      <c r="CK16" s="1147">
        <v>9796.7947800000002</v>
      </c>
      <c r="CL16" s="1147">
        <v>3108.8229200000001</v>
      </c>
      <c r="CM16" s="1147">
        <v>11330.47712</v>
      </c>
      <c r="CN16" s="1147">
        <v>3418.4608800000001</v>
      </c>
      <c r="CO16" s="1147">
        <v>12603.78601</v>
      </c>
      <c r="CP16" s="1147">
        <v>3851.4993799999997</v>
      </c>
      <c r="CQ16" s="1147">
        <v>13863.613170000001</v>
      </c>
      <c r="CR16" s="1147">
        <v>4232.4142199999997</v>
      </c>
      <c r="CS16" s="1147">
        <v>15288.88452</v>
      </c>
      <c r="CT16" s="1147">
        <v>4812.1137600000002</v>
      </c>
      <c r="CU16" s="1147">
        <v>1319.52396</v>
      </c>
      <c r="CV16" s="1147">
        <v>732.15846999999997</v>
      </c>
      <c r="CW16" s="1147">
        <v>2390.6340099999998</v>
      </c>
      <c r="CX16" s="1147">
        <v>1145.2667900000001</v>
      </c>
      <c r="CY16" s="1147">
        <v>3311.8492500000002</v>
      </c>
      <c r="CZ16" s="1147">
        <v>1512.06122</v>
      </c>
      <c r="DA16" s="1147">
        <v>4053.7283900000002</v>
      </c>
      <c r="DB16" s="1147">
        <v>1935.5978</v>
      </c>
      <c r="DC16" s="1147">
        <v>5195.5028300000004</v>
      </c>
      <c r="DD16" s="1147">
        <v>2326.48551</v>
      </c>
      <c r="DE16" s="1147">
        <v>6519.1265400000002</v>
      </c>
      <c r="DF16" s="1147">
        <v>2672.7448799999997</v>
      </c>
      <c r="DG16" s="1147">
        <v>7259.9504800000004</v>
      </c>
      <c r="DH16" s="1147">
        <v>2972.5459599999999</v>
      </c>
      <c r="DI16" s="1147">
        <v>11952.683199999999</v>
      </c>
      <c r="DJ16" s="1147">
        <v>3664.9167499999999</v>
      </c>
      <c r="DK16" s="1147">
        <v>12915.91224</v>
      </c>
      <c r="DL16" s="1147">
        <v>4529.5151699999997</v>
      </c>
      <c r="DM16" s="1147">
        <v>13792.237560000001</v>
      </c>
      <c r="DN16" s="1147">
        <v>4974.61888</v>
      </c>
      <c r="DO16" s="1147">
        <v>14431.27197</v>
      </c>
      <c r="DP16" s="1147">
        <v>5441.6627900000003</v>
      </c>
      <c r="DQ16" s="1147">
        <v>15912.586369999999</v>
      </c>
      <c r="DR16" s="1147">
        <v>5951.8272699999998</v>
      </c>
      <c r="DS16" s="1147">
        <v>1632.72234</v>
      </c>
      <c r="DT16" s="1147">
        <v>325.50061999999997</v>
      </c>
      <c r="DU16" s="1147">
        <v>2581.8296</v>
      </c>
      <c r="DV16" s="1147">
        <v>835.49797000000001</v>
      </c>
      <c r="DW16" s="1147">
        <v>3408.76883</v>
      </c>
      <c r="DX16" s="1147">
        <v>1173.0946399999998</v>
      </c>
      <c r="DY16" s="1147">
        <v>4151.8834999999999</v>
      </c>
      <c r="DZ16" s="1147">
        <v>3447.6213199999997</v>
      </c>
      <c r="EA16" s="1147">
        <v>4883.1760400000003</v>
      </c>
      <c r="EB16" s="1147">
        <v>3709.7652599999997</v>
      </c>
      <c r="EC16" s="1147">
        <v>5679.7983600000007</v>
      </c>
      <c r="ED16" s="1147">
        <v>4123.4794599999996</v>
      </c>
      <c r="EE16" s="1147">
        <v>6474.8479900000002</v>
      </c>
      <c r="EF16" s="1147">
        <v>4595.8365599999997</v>
      </c>
      <c r="EG16" s="1147">
        <v>7337.7796100000005</v>
      </c>
      <c r="EH16" s="1147">
        <v>5220.5226399999992</v>
      </c>
      <c r="EI16" s="1147">
        <v>8382.4071399999993</v>
      </c>
      <c r="EJ16" s="1147">
        <v>5750.7945399999999</v>
      </c>
      <c r="EK16" s="1147">
        <v>9399.4557399999994</v>
      </c>
      <c r="EL16" s="1147">
        <v>6311.4180500000002</v>
      </c>
      <c r="EM16" s="1147">
        <v>10340.86527</v>
      </c>
      <c r="EN16" s="1147">
        <v>6764.9355800000003</v>
      </c>
      <c r="EO16" s="1147">
        <v>11326.521849999999</v>
      </c>
      <c r="EP16" s="1147">
        <v>7367.4323800000002</v>
      </c>
      <c r="EQ16" s="1147">
        <v>869.44100000000003</v>
      </c>
      <c r="ER16" s="1147">
        <v>495.71850999999998</v>
      </c>
      <c r="ES16" s="1147">
        <v>1968.5004200000001</v>
      </c>
      <c r="ET16" s="1147">
        <v>1058.0874899999999</v>
      </c>
      <c r="EU16" s="1147">
        <v>2849.4867599999902</v>
      </c>
      <c r="EV16" s="1147">
        <v>1703.7780399999999</v>
      </c>
      <c r="EW16" s="1147">
        <v>3800.63553</v>
      </c>
      <c r="EX16" s="1147">
        <v>2395.0767599999999</v>
      </c>
      <c r="EY16" s="1147">
        <v>4882.75666</v>
      </c>
      <c r="EZ16" s="1147">
        <v>3112.2433799999999</v>
      </c>
      <c r="FA16" s="1147">
        <v>5920.5460000000003</v>
      </c>
      <c r="FB16" s="1147">
        <v>3693.5380599999999</v>
      </c>
      <c r="FC16" s="1147">
        <v>7081.3306400000001</v>
      </c>
      <c r="FD16" s="1147">
        <v>4754.9597400000002</v>
      </c>
      <c r="FE16" s="1147">
        <v>9286.2364600000001</v>
      </c>
      <c r="FF16" s="1147">
        <v>6631.0324700000001</v>
      </c>
      <c r="FG16" s="1147">
        <v>9817.6088299999992</v>
      </c>
      <c r="FH16" s="1147">
        <v>7869.8507099999997</v>
      </c>
      <c r="FI16" s="1147">
        <v>10556.41192</v>
      </c>
      <c r="FJ16" s="1147">
        <v>8676.1574199999995</v>
      </c>
      <c r="FK16" s="1147">
        <v>11080.57165</v>
      </c>
      <c r="FL16" s="1147">
        <v>9438.1015499999994</v>
      </c>
      <c r="FM16" s="1147">
        <v>667.91125999999997</v>
      </c>
      <c r="FN16" s="1147">
        <v>781.97136</v>
      </c>
      <c r="FO16" s="1147">
        <v>1240.36922</v>
      </c>
      <c r="FP16" s="1147">
        <v>1689.7715700000001</v>
      </c>
      <c r="FQ16" s="1147">
        <v>2846.7366099999999</v>
      </c>
      <c r="FR16" s="1147">
        <v>2250.4284400000001</v>
      </c>
      <c r="FS16" s="1147">
        <v>3395.5287200000002</v>
      </c>
      <c r="FT16" s="1147">
        <v>2939.7042999999999</v>
      </c>
      <c r="FU16" s="1147">
        <v>4135.5913700000001</v>
      </c>
      <c r="FV16" s="1147">
        <v>3711.3640499999997</v>
      </c>
      <c r="FW16" s="1147">
        <v>4815.5724800000007</v>
      </c>
      <c r="FX16" s="1147">
        <v>5350.5799800000004</v>
      </c>
      <c r="FY16" s="1147">
        <v>5375.5058200000003</v>
      </c>
      <c r="FZ16" s="1147">
        <v>6054.1445100000001</v>
      </c>
      <c r="GA16" s="1147">
        <v>5826.1921499999999</v>
      </c>
      <c r="GB16" s="1147">
        <v>6368.5338599999995</v>
      </c>
      <c r="GC16" s="1147">
        <v>6565.8858700000001</v>
      </c>
      <c r="GD16" s="1147">
        <v>6574.8634699999993</v>
      </c>
      <c r="GE16" s="1147">
        <v>7187.5022600000002</v>
      </c>
      <c r="GF16" s="1147">
        <v>6740.3225499999999</v>
      </c>
      <c r="GG16" s="1147">
        <v>7798.6669099999999</v>
      </c>
      <c r="GH16" s="1147">
        <v>7123.6358700000001</v>
      </c>
      <c r="GI16" s="1147">
        <v>8473.1461600000002</v>
      </c>
      <c r="GJ16" s="1147">
        <v>7330.0941299999995</v>
      </c>
      <c r="GK16" s="1147">
        <v>681.86718999999994</v>
      </c>
      <c r="GL16" s="1147">
        <v>98.319029999999998</v>
      </c>
      <c r="GM16" s="1147">
        <v>2466.4121399999999</v>
      </c>
      <c r="GN16" s="1147">
        <v>252.53412</v>
      </c>
      <c r="GO16" s="1147">
        <v>3000.2290899999998</v>
      </c>
      <c r="GP16" s="1147">
        <v>312.55998</v>
      </c>
      <c r="GQ16" s="1147">
        <v>3695.7590500000001</v>
      </c>
      <c r="GR16" s="1147">
        <v>397.50805000000003</v>
      </c>
      <c r="GS16" s="1147">
        <v>4418.9830899999997</v>
      </c>
      <c r="GT16" s="1147">
        <v>606.60091999999997</v>
      </c>
      <c r="GU16" s="1147">
        <v>5226.2012000000004</v>
      </c>
      <c r="GV16" s="1147">
        <v>872.46042999999997</v>
      </c>
      <c r="GW16" s="1147">
        <v>5797.4052499999998</v>
      </c>
      <c r="GX16" s="1147">
        <v>1031.4619399999999</v>
      </c>
      <c r="GY16" s="1147">
        <v>6358.4856600000003</v>
      </c>
      <c r="GZ16" s="1147">
        <v>1083.22747</v>
      </c>
      <c r="HA16" s="1147">
        <v>7074.8725199999999</v>
      </c>
      <c r="HB16" s="1147">
        <v>1155.5206700000001</v>
      </c>
      <c r="HC16" s="1147">
        <v>7753.7547599999998</v>
      </c>
      <c r="HD16" s="1147">
        <v>1240.39751</v>
      </c>
      <c r="HE16" s="1147">
        <v>8346.6376799999998</v>
      </c>
      <c r="HF16" s="1147">
        <v>1447.8175000000001</v>
      </c>
      <c r="HG16" s="1147">
        <v>9018.8978299999999</v>
      </c>
      <c r="HH16" s="1147">
        <v>1526.8083899999999</v>
      </c>
      <c r="HI16" s="1147">
        <v>743.37973999999997</v>
      </c>
      <c r="HJ16" s="1147">
        <v>159.25076000000001</v>
      </c>
      <c r="HK16" s="1147">
        <v>1422.4582800000001</v>
      </c>
      <c r="HL16" s="1147">
        <v>313.15415999999999</v>
      </c>
      <c r="HM16" s="1147">
        <v>1910.19965</v>
      </c>
      <c r="HN16" s="1147">
        <v>418.69918999999999</v>
      </c>
      <c r="HO16" s="1147">
        <v>3399.5122500000002</v>
      </c>
      <c r="HP16" s="1147">
        <v>614.77831000000003</v>
      </c>
      <c r="HQ16" s="1147">
        <v>4006.5486500000002</v>
      </c>
      <c r="HR16" s="1147">
        <v>775.51124000000004</v>
      </c>
      <c r="HS16" s="1147">
        <v>4651.1090000000004</v>
      </c>
      <c r="HT16" s="1147">
        <v>1061.23694</v>
      </c>
      <c r="HU16" s="1147">
        <v>5229.3567700000003</v>
      </c>
      <c r="HV16" s="1147">
        <v>1149.5166400000001</v>
      </c>
      <c r="HW16" s="1147">
        <v>5731.9511499999999</v>
      </c>
      <c r="HX16" s="1147">
        <v>1200.48532</v>
      </c>
      <c r="HY16" s="1147">
        <v>6358.4627899999996</v>
      </c>
      <c r="HZ16" s="1147">
        <v>1363.7410500000001</v>
      </c>
      <c r="IA16" s="1147">
        <v>7063.2280000000001</v>
      </c>
      <c r="IB16" s="1147">
        <v>1469.4028800000001</v>
      </c>
      <c r="IC16" s="1147">
        <v>7600.9208099999996</v>
      </c>
      <c r="ID16" s="1147">
        <v>1516.1886</v>
      </c>
      <c r="IE16" s="1147">
        <v>8239.3941500000001</v>
      </c>
      <c r="IF16" s="1147">
        <v>1836.1356699999999</v>
      </c>
      <c r="IG16" s="1147">
        <v>727.79864999999995</v>
      </c>
      <c r="IH16" s="1147">
        <v>21.01276</v>
      </c>
      <c r="II16" s="1147">
        <v>1468.93283</v>
      </c>
      <c r="IJ16" s="1147">
        <v>251.25313</v>
      </c>
      <c r="IK16" s="1147">
        <v>1927.0523900000001</v>
      </c>
      <c r="IL16" s="1147">
        <v>359.98674999999997</v>
      </c>
      <c r="IM16" s="1147">
        <v>2471.5570400000001</v>
      </c>
      <c r="IN16" s="1147">
        <v>395.60145</v>
      </c>
      <c r="IO16" s="1147">
        <v>3073.9128700000001</v>
      </c>
      <c r="IP16" s="1147">
        <v>651.61915999999997</v>
      </c>
      <c r="IQ16" s="1147">
        <v>3744.5315599999999</v>
      </c>
      <c r="IR16" s="1147">
        <v>789.41303000000005</v>
      </c>
      <c r="IS16" s="1654" t="s">
        <v>3149</v>
      </c>
    </row>
    <row r="17" spans="1:253" ht="36" customHeight="1">
      <c r="A17" s="1652">
        <v>6</v>
      </c>
      <c r="B17" s="1653" t="s">
        <v>4214</v>
      </c>
      <c r="C17" s="1147">
        <v>8587.5249000000003</v>
      </c>
      <c r="D17" s="1147">
        <v>2.10209</v>
      </c>
      <c r="E17" s="1147">
        <v>8834.6451699999998</v>
      </c>
      <c r="F17" s="1147">
        <v>8.8120899999999995</v>
      </c>
      <c r="G17" s="1147">
        <v>9010.7395500000002</v>
      </c>
      <c r="H17" s="1147">
        <v>11.90034</v>
      </c>
      <c r="I17" s="1147">
        <v>9583.0392200000006</v>
      </c>
      <c r="J17" s="1147">
        <v>16.498930000000001</v>
      </c>
      <c r="K17" s="1147">
        <v>10018.03356</v>
      </c>
      <c r="L17" s="1147">
        <v>39.512370000000004</v>
      </c>
      <c r="M17" s="1147">
        <v>10055.49755</v>
      </c>
      <c r="N17" s="1147">
        <v>39.512370000000004</v>
      </c>
      <c r="O17" s="1147">
        <v>16849.689839999999</v>
      </c>
      <c r="P17" s="1147">
        <v>244.36395999999999</v>
      </c>
      <c r="Q17" s="1147">
        <v>17823.695589999999</v>
      </c>
      <c r="R17" s="1147">
        <v>269.10041999999999</v>
      </c>
      <c r="S17" s="1147">
        <v>18266.21026</v>
      </c>
      <c r="T17" s="1147">
        <v>2219.6949500000001</v>
      </c>
      <c r="U17" s="1147">
        <v>18489.056530000002</v>
      </c>
      <c r="V17" s="1147">
        <v>2622.3478799999998</v>
      </c>
      <c r="W17" s="1147">
        <v>19071.92023</v>
      </c>
      <c r="X17" s="1147">
        <v>2649.7287700000002</v>
      </c>
      <c r="Y17" s="1147">
        <v>19148.016960000001</v>
      </c>
      <c r="Z17" s="1147">
        <v>2653.17677</v>
      </c>
      <c r="AA17" s="1147">
        <v>7161.84656</v>
      </c>
      <c r="AB17" s="1147">
        <v>2.3719999999999999</v>
      </c>
      <c r="AC17" s="1147">
        <v>7287.6731100000006</v>
      </c>
      <c r="AD17" s="1147">
        <v>4.3145500000000006</v>
      </c>
      <c r="AE17" s="1147">
        <v>7335.5731100000003</v>
      </c>
      <c r="AF17" s="1147">
        <v>6.9851800000000006</v>
      </c>
      <c r="AG17" s="1147">
        <v>7969.70046</v>
      </c>
      <c r="AH17" s="1147">
        <v>779.26386000000002</v>
      </c>
      <c r="AI17" s="1147">
        <v>8228.2214600000007</v>
      </c>
      <c r="AJ17" s="1147">
        <v>1568.3018500000001</v>
      </c>
      <c r="AK17" s="1147">
        <v>10309.1849</v>
      </c>
      <c r="AL17" s="1147">
        <v>1238.5169699999999</v>
      </c>
      <c r="AM17" s="1147">
        <v>15474.162420000001</v>
      </c>
      <c r="AN17" s="1147">
        <v>1583.47973</v>
      </c>
      <c r="AO17" s="1147">
        <v>16118.15236</v>
      </c>
      <c r="AP17" s="1147">
        <v>1583.47973</v>
      </c>
      <c r="AQ17" s="1147">
        <v>16705.981949999998</v>
      </c>
      <c r="AR17" s="1147">
        <v>1777.1661799999999</v>
      </c>
      <c r="AS17" s="1147">
        <v>16845.00722</v>
      </c>
      <c r="AT17" s="1147">
        <v>1785.09023</v>
      </c>
      <c r="AU17" s="1147">
        <v>17376.62542</v>
      </c>
      <c r="AV17" s="1147">
        <v>1788.4657999999999</v>
      </c>
      <c r="AW17" s="1147">
        <v>17682.48947</v>
      </c>
      <c r="AX17" s="1147">
        <v>1788.88616</v>
      </c>
      <c r="AY17" s="1147">
        <v>6507.1777499999998</v>
      </c>
      <c r="AZ17" s="1147">
        <v>316.52674000000002</v>
      </c>
      <c r="BA17" s="1147">
        <v>6566.7689199999995</v>
      </c>
      <c r="BB17" s="1147">
        <v>324.44779</v>
      </c>
      <c r="BC17" s="1147">
        <v>6601.39</v>
      </c>
      <c r="BD17" s="1147">
        <v>325.81</v>
      </c>
      <c r="BE17" s="1147">
        <v>7159.0371399999995</v>
      </c>
      <c r="BF17" s="1147">
        <v>394.15474</v>
      </c>
      <c r="BG17" s="1147">
        <v>7542.4961900000008</v>
      </c>
      <c r="BH17" s="1147">
        <v>399.83034000000004</v>
      </c>
      <c r="BI17" s="1147">
        <v>7721.3122000000003</v>
      </c>
      <c r="BJ17" s="1147">
        <v>914.43064000000004</v>
      </c>
      <c r="BK17" s="1147">
        <v>15417.8976</v>
      </c>
      <c r="BL17" s="1147">
        <v>920.15654000000006</v>
      </c>
      <c r="BM17" s="1147">
        <v>15463.26799</v>
      </c>
      <c r="BN17" s="1147">
        <v>927.53654000000006</v>
      </c>
      <c r="BO17" s="1147">
        <v>15686.39191</v>
      </c>
      <c r="BP17" s="1147">
        <v>940.53039000000001</v>
      </c>
      <c r="BQ17" s="1147">
        <v>15950.71342</v>
      </c>
      <c r="BR17" s="1147">
        <v>969.89018999999996</v>
      </c>
      <c r="BS17" s="1147">
        <v>16573.78587</v>
      </c>
      <c r="BT17" s="1147">
        <v>970.83818999999994</v>
      </c>
      <c r="BU17" s="1147">
        <v>17003.25619</v>
      </c>
      <c r="BV17" s="1147">
        <v>1716.9829999999999</v>
      </c>
      <c r="BW17" s="1147">
        <v>6720.6168099999995</v>
      </c>
      <c r="BX17" s="1147">
        <v>30.889880000000002</v>
      </c>
      <c r="BY17" s="1147">
        <v>6802.83097</v>
      </c>
      <c r="BZ17" s="1147">
        <v>40.805070000000001</v>
      </c>
      <c r="CA17" s="1147">
        <v>6836.4721900000004</v>
      </c>
      <c r="CB17" s="1147">
        <v>46.709240000000001</v>
      </c>
      <c r="CC17" s="1147">
        <v>7870.7058799999995</v>
      </c>
      <c r="CD17" s="1147">
        <v>52.68976</v>
      </c>
      <c r="CE17" s="1147">
        <v>8094.4924099999998</v>
      </c>
      <c r="CF17" s="1147">
        <v>4560.0349200000001</v>
      </c>
      <c r="CG17" s="1147">
        <v>8588.2377100000012</v>
      </c>
      <c r="CH17" s="1147">
        <v>5067.1861100000006</v>
      </c>
      <c r="CI17" s="1147">
        <v>16452.144680000001</v>
      </c>
      <c r="CJ17" s="1147">
        <v>5740.3797599999998</v>
      </c>
      <c r="CK17" s="1147">
        <v>17406.550940000001</v>
      </c>
      <c r="CL17" s="1147">
        <v>5749.8136900000009</v>
      </c>
      <c r="CM17" s="1147">
        <v>17479.954519999999</v>
      </c>
      <c r="CN17" s="1147">
        <v>5982.1792400000004</v>
      </c>
      <c r="CO17" s="1147">
        <v>17721.803749999999</v>
      </c>
      <c r="CP17" s="1147">
        <v>5994.5670700000001</v>
      </c>
      <c r="CQ17" s="1147">
        <v>18374.959219999997</v>
      </c>
      <c r="CR17" s="1147">
        <v>6491.3842699999996</v>
      </c>
      <c r="CS17" s="1147">
        <v>18495.234079999998</v>
      </c>
      <c r="CT17" s="1147">
        <v>19930.75806</v>
      </c>
      <c r="CU17" s="1147">
        <v>7881.4256100000002</v>
      </c>
      <c r="CV17" s="1147">
        <v>6.8976899999999999</v>
      </c>
      <c r="CW17" s="1147">
        <v>8024.5651500000004</v>
      </c>
      <c r="CX17" s="1147">
        <v>458.37900999999999</v>
      </c>
      <c r="CY17" s="1147">
        <v>8113.2544200000002</v>
      </c>
      <c r="CZ17" s="1147">
        <v>619.71767</v>
      </c>
      <c r="DA17" s="1147">
        <v>9007.3154300000006</v>
      </c>
      <c r="DB17" s="1147">
        <v>1953.43633</v>
      </c>
      <c r="DC17" s="1147">
        <v>9224.9648900000011</v>
      </c>
      <c r="DD17" s="1147">
        <v>1963.7568000000001</v>
      </c>
      <c r="DE17" s="1147">
        <v>9415.7476800000004</v>
      </c>
      <c r="DF17" s="1147">
        <v>1979.48423</v>
      </c>
      <c r="DG17" s="1147">
        <v>15747.122869999999</v>
      </c>
      <c r="DH17" s="1147">
        <v>2114.8993</v>
      </c>
      <c r="DI17" s="1147">
        <v>16423.605520000001</v>
      </c>
      <c r="DJ17" s="1147">
        <v>2119.8053</v>
      </c>
      <c r="DK17" s="1147">
        <v>16583.832770000001</v>
      </c>
      <c r="DL17" s="1147">
        <v>2123.0852999999997</v>
      </c>
      <c r="DM17" s="1147">
        <v>16561.800009999999</v>
      </c>
      <c r="DN17" s="1147">
        <v>2128.4277400000001</v>
      </c>
      <c r="DO17" s="1147">
        <v>17247.363450000001</v>
      </c>
      <c r="DP17" s="1147">
        <v>2574.8372799999997</v>
      </c>
      <c r="DQ17" s="1147">
        <v>17320.40756</v>
      </c>
      <c r="DR17" s="1147">
        <v>2589.9205499999998</v>
      </c>
      <c r="DS17" s="1147">
        <v>6149.1614600000003</v>
      </c>
      <c r="DT17" s="1147">
        <v>1.4</v>
      </c>
      <c r="DU17" s="1147">
        <v>6175.3119900000002</v>
      </c>
      <c r="DV17" s="1147">
        <v>104.69</v>
      </c>
      <c r="DW17" s="1147">
        <v>6216.1235500000003</v>
      </c>
      <c r="DX17" s="1147">
        <v>127.90486999999999</v>
      </c>
      <c r="DY17" s="1147">
        <v>7033.1428099999994</v>
      </c>
      <c r="DZ17" s="1147">
        <v>136.77486999999999</v>
      </c>
      <c r="EA17" s="1147">
        <v>7216.7802899999997</v>
      </c>
      <c r="EB17" s="1147">
        <v>140.50486999999998</v>
      </c>
      <c r="EC17" s="1147">
        <v>7303.2223600000007</v>
      </c>
      <c r="ED17" s="1147">
        <v>1190.9256499999999</v>
      </c>
      <c r="EE17" s="1147">
        <v>14158.18921</v>
      </c>
      <c r="EF17" s="1147">
        <v>1195.0204699999999</v>
      </c>
      <c r="EG17" s="1147">
        <v>14740.87408</v>
      </c>
      <c r="EH17" s="1147">
        <v>1203.6208700000002</v>
      </c>
      <c r="EI17" s="1147">
        <v>14847.431689999999</v>
      </c>
      <c r="EJ17" s="1147">
        <v>1496.4996299999998</v>
      </c>
      <c r="EK17" s="1147">
        <v>14938.87305</v>
      </c>
      <c r="EL17" s="1147">
        <v>1506.74963</v>
      </c>
      <c r="EM17" s="1147">
        <v>15577.361709999999</v>
      </c>
      <c r="EN17" s="1147">
        <v>1510.56663</v>
      </c>
      <c r="EO17" s="1147">
        <v>15644.016390000001</v>
      </c>
      <c r="EP17" s="1147">
        <v>2712.6354099999999</v>
      </c>
      <c r="EQ17" s="1147">
        <v>5124.9414200000001</v>
      </c>
      <c r="ER17" s="1147">
        <v>0.52</v>
      </c>
      <c r="ES17" s="1147">
        <v>5165.6145999999999</v>
      </c>
      <c r="ET17" s="1147">
        <v>7.6150000000000002</v>
      </c>
      <c r="EU17" s="1147">
        <v>5224.2925800000003</v>
      </c>
      <c r="EV17" s="1147">
        <v>15.92207</v>
      </c>
      <c r="EW17" s="1147">
        <v>6036.40578</v>
      </c>
      <c r="EX17" s="1147">
        <v>34.059049999999999</v>
      </c>
      <c r="EY17" s="1147">
        <v>6264.8075699999999</v>
      </c>
      <c r="EZ17" s="1147">
        <v>47.01905</v>
      </c>
      <c r="FA17" s="1147">
        <v>12909.339239999999</v>
      </c>
      <c r="FB17" s="1147">
        <v>111.85766</v>
      </c>
      <c r="FC17" s="1147">
        <v>18441.77378</v>
      </c>
      <c r="FD17" s="1147">
        <v>103.54783</v>
      </c>
      <c r="FE17" s="1147">
        <v>19355.45033</v>
      </c>
      <c r="FF17" s="1147">
        <v>141.35482999999999</v>
      </c>
      <c r="FG17" s="1147">
        <v>19463.214629999999</v>
      </c>
      <c r="FH17" s="1147">
        <v>149.88482999999999</v>
      </c>
      <c r="FI17" s="1147">
        <v>20094.119710000003</v>
      </c>
      <c r="FJ17" s="1147">
        <v>167.97401000000002</v>
      </c>
      <c r="FK17" s="1147">
        <v>20520.257710000002</v>
      </c>
      <c r="FL17" s="1147">
        <v>184.41526999999999</v>
      </c>
      <c r="FM17" s="1147">
        <v>523.51161999999999</v>
      </c>
      <c r="FN17" s="1147">
        <v>14.941360000000001</v>
      </c>
      <c r="FO17" s="1147">
        <v>565.88117</v>
      </c>
      <c r="FP17" s="1147">
        <v>22.56636</v>
      </c>
      <c r="FQ17" s="1147">
        <v>650.59040000000005</v>
      </c>
      <c r="FR17" s="1147">
        <v>38.875929999999997</v>
      </c>
      <c r="FS17" s="1147">
        <v>1215.17028</v>
      </c>
      <c r="FT17" s="1147">
        <v>70.104609999999994</v>
      </c>
      <c r="FU17" s="1147">
        <v>1407.95793</v>
      </c>
      <c r="FV17" s="1147">
        <v>78.75761</v>
      </c>
      <c r="FW17" s="1147">
        <v>1574.2845400000001</v>
      </c>
      <c r="FX17" s="1147">
        <v>89.715699999999998</v>
      </c>
      <c r="FY17" s="1147">
        <v>14714.878919999999</v>
      </c>
      <c r="FZ17" s="1147">
        <v>110.4473</v>
      </c>
      <c r="GA17" s="1147">
        <v>15155.26921</v>
      </c>
      <c r="GB17" s="1147">
        <v>122.3458</v>
      </c>
      <c r="GC17" s="1147">
        <v>15548.700359999999</v>
      </c>
      <c r="GD17" s="1147">
        <v>166.73732000000001</v>
      </c>
      <c r="GE17" s="1147">
        <v>15548.72668</v>
      </c>
      <c r="GF17" s="1147">
        <v>172.76325</v>
      </c>
      <c r="GG17" s="1147">
        <v>16302.339309999999</v>
      </c>
      <c r="GH17" s="1147">
        <v>615.84204</v>
      </c>
      <c r="GI17" s="1147">
        <v>16513.633119999999</v>
      </c>
      <c r="GJ17" s="1147">
        <v>620.16015000000004</v>
      </c>
      <c r="GK17" s="1147">
        <v>330.15764000000001</v>
      </c>
      <c r="GL17" s="1147">
        <v>66.502549999999999</v>
      </c>
      <c r="GM17" s="1147">
        <v>385.83969999999999</v>
      </c>
      <c r="GN17" s="1147">
        <v>69.154350000000008</v>
      </c>
      <c r="GO17" s="1147">
        <v>528.51324</v>
      </c>
      <c r="GP17" s="1147">
        <v>72.448599999999999</v>
      </c>
      <c r="GQ17" s="1147">
        <v>1192.5651499999999</v>
      </c>
      <c r="GR17" s="1147">
        <v>105.63396</v>
      </c>
      <c r="GS17" s="1147">
        <v>1192.5651499999999</v>
      </c>
      <c r="GT17" s="1147">
        <v>105.63396</v>
      </c>
      <c r="GU17" s="1147">
        <v>1546.41481</v>
      </c>
      <c r="GV17" s="1147">
        <v>235.86610999999999</v>
      </c>
      <c r="GW17" s="1147">
        <v>4874.5017099999995</v>
      </c>
      <c r="GX17" s="1147">
        <v>237.35081</v>
      </c>
      <c r="GY17" s="1147">
        <v>4898.3807800000004</v>
      </c>
      <c r="GZ17" s="1147">
        <v>241.48050000000001</v>
      </c>
      <c r="HA17" s="1147">
        <v>5260.6950500000003</v>
      </c>
      <c r="HB17" s="1147">
        <v>246.71054000000001</v>
      </c>
      <c r="HC17" s="1147">
        <v>5306.0936400000001</v>
      </c>
      <c r="HD17" s="1147">
        <v>247.29485</v>
      </c>
      <c r="HE17" s="1147">
        <v>6089.9344099999998</v>
      </c>
      <c r="HF17" s="1147">
        <v>247.68313000000001</v>
      </c>
      <c r="HG17" s="1147">
        <v>6210.0872499999996</v>
      </c>
      <c r="HH17" s="1147">
        <v>255.89356000000001</v>
      </c>
      <c r="HI17" s="1147">
        <v>424.46039999999999</v>
      </c>
      <c r="HJ17" s="1147">
        <v>2.3083999999999998</v>
      </c>
      <c r="HK17" s="1147">
        <v>454.34911</v>
      </c>
      <c r="HL17" s="1147">
        <v>10.419750000000001</v>
      </c>
      <c r="HM17" s="1147">
        <v>481.69312000000002</v>
      </c>
      <c r="HN17" s="1147">
        <v>11.30775</v>
      </c>
      <c r="HO17" s="1147">
        <v>1065.12094</v>
      </c>
      <c r="HP17" s="1147">
        <v>11.31086</v>
      </c>
      <c r="HQ17" s="1147">
        <v>1213.2049300000001</v>
      </c>
      <c r="HR17" s="1147">
        <v>11.886430000000001</v>
      </c>
      <c r="HS17" s="1147">
        <v>1319.24046</v>
      </c>
      <c r="HT17" s="1147">
        <v>27.190950000000001</v>
      </c>
      <c r="HU17" s="1147">
        <v>3798.9145100000001</v>
      </c>
      <c r="HV17" s="1147">
        <v>62.339500000000001</v>
      </c>
      <c r="HW17" s="1147">
        <v>4172.5456199999999</v>
      </c>
      <c r="HX17" s="1147">
        <v>135.73050000000001</v>
      </c>
      <c r="HY17" s="1147">
        <v>4487.8619600000002</v>
      </c>
      <c r="HZ17" s="1147">
        <v>219.858</v>
      </c>
      <c r="IA17" s="1147">
        <v>4558.7286800000002</v>
      </c>
      <c r="IB17" s="1147">
        <v>222.55341000000001</v>
      </c>
      <c r="IC17" s="1147">
        <v>5436.1302900000001</v>
      </c>
      <c r="ID17" s="1147">
        <v>226.69101000000001</v>
      </c>
      <c r="IE17" s="1147">
        <v>5733.60455</v>
      </c>
      <c r="IF17" s="1147">
        <v>226.69101000000001</v>
      </c>
      <c r="IG17" s="1147">
        <v>435.30410000000001</v>
      </c>
      <c r="IH17" s="1147">
        <v>2.0559999999999998E-2</v>
      </c>
      <c r="II17" s="1147">
        <v>464.69459999999998</v>
      </c>
      <c r="IJ17" s="1147">
        <v>0.43608000000000002</v>
      </c>
      <c r="IK17" s="1147">
        <v>548.84577000000002</v>
      </c>
      <c r="IL17" s="1147">
        <v>0.43608000000000002</v>
      </c>
      <c r="IM17" s="1147">
        <v>1145.08538</v>
      </c>
      <c r="IN17" s="1147">
        <v>0.43608000000000002</v>
      </c>
      <c r="IO17" s="1147">
        <v>1464.4455399999999</v>
      </c>
      <c r="IP17" s="1147">
        <v>3.0860799999999999</v>
      </c>
      <c r="IQ17" s="1147">
        <v>1925.9577999999999</v>
      </c>
      <c r="IR17" s="1147">
        <v>7.0450999999999997</v>
      </c>
      <c r="IS17" s="1654" t="s">
        <v>3152</v>
      </c>
    </row>
    <row r="18" spans="1:253" ht="36" customHeight="1">
      <c r="A18" s="1652">
        <v>7</v>
      </c>
      <c r="B18" s="1653" t="s">
        <v>2331</v>
      </c>
      <c r="C18" s="1147">
        <v>2034.9382499999999</v>
      </c>
      <c r="D18" s="1147">
        <v>108.70399999999999</v>
      </c>
      <c r="E18" s="1147">
        <v>4549.5114400000002</v>
      </c>
      <c r="F18" s="1147">
        <v>318.38202000000001</v>
      </c>
      <c r="G18" s="1147">
        <v>5355.0321199999998</v>
      </c>
      <c r="H18" s="1147">
        <v>501.67986999999999</v>
      </c>
      <c r="I18" s="1147">
        <v>7419.4065000000001</v>
      </c>
      <c r="J18" s="1147">
        <v>702.70462999999995</v>
      </c>
      <c r="K18" s="1147">
        <v>8832.2780399999992</v>
      </c>
      <c r="L18" s="1147">
        <v>939.05246999999997</v>
      </c>
      <c r="M18" s="1147">
        <v>13803.271640000001</v>
      </c>
      <c r="N18" s="1147">
        <v>1333.00596</v>
      </c>
      <c r="O18" s="1147">
        <v>14971.35807</v>
      </c>
      <c r="P18" s="1147">
        <v>1589.8290200000001</v>
      </c>
      <c r="Q18" s="1147">
        <v>16003.849099999999</v>
      </c>
      <c r="R18" s="1147">
        <v>1793.44379</v>
      </c>
      <c r="S18" s="1147">
        <v>18631.454809999999</v>
      </c>
      <c r="T18" s="1147">
        <v>2103.2721900000001</v>
      </c>
      <c r="U18" s="1147">
        <v>19134.041519999999</v>
      </c>
      <c r="V18" s="1147">
        <v>2384.1380399999998</v>
      </c>
      <c r="W18" s="1147">
        <v>20130.978769999998</v>
      </c>
      <c r="X18" s="1147">
        <v>2632.8608799999997</v>
      </c>
      <c r="Y18" s="1147">
        <v>20272.71113</v>
      </c>
      <c r="Z18" s="1147">
        <v>4173.9099200000001</v>
      </c>
      <c r="AA18" s="1147">
        <v>1567.65553</v>
      </c>
      <c r="AB18" s="1147">
        <v>74.222369999999998</v>
      </c>
      <c r="AC18" s="1147">
        <v>4243.4874900000004</v>
      </c>
      <c r="AD18" s="1147">
        <v>362.16492999999997</v>
      </c>
      <c r="AE18" s="1147">
        <v>4852.5891600000004</v>
      </c>
      <c r="AF18" s="1147">
        <v>588.48744999999997</v>
      </c>
      <c r="AG18" s="1147">
        <v>6971.4165800000001</v>
      </c>
      <c r="AH18" s="1147">
        <v>813.35570999999993</v>
      </c>
      <c r="AI18" s="1147">
        <v>8008.6188499999998</v>
      </c>
      <c r="AJ18" s="1147">
        <v>985.04957999999999</v>
      </c>
      <c r="AK18" s="1147">
        <v>8760.2687799999985</v>
      </c>
      <c r="AL18" s="1147">
        <v>11363.505580000001</v>
      </c>
      <c r="AM18" s="1147">
        <v>10713.12356</v>
      </c>
      <c r="AN18" s="1147">
        <v>1553.60006</v>
      </c>
      <c r="AO18" s="1147">
        <v>12175.764710000001</v>
      </c>
      <c r="AP18" s="1147">
        <v>1937.6242299999999</v>
      </c>
      <c r="AQ18" s="1147">
        <v>14394.570460000001</v>
      </c>
      <c r="AR18" s="1147">
        <v>2180.1174000000001</v>
      </c>
      <c r="AS18" s="1147">
        <v>15044.245279999999</v>
      </c>
      <c r="AT18" s="1147">
        <v>2415.0828999999999</v>
      </c>
      <c r="AU18" s="1147">
        <v>16516.097010000001</v>
      </c>
      <c r="AV18" s="1147">
        <v>2741.56151</v>
      </c>
      <c r="AW18" s="1147">
        <v>16854.267589999999</v>
      </c>
      <c r="AX18" s="1147">
        <v>3147.5337200000004</v>
      </c>
      <c r="AY18" s="1147">
        <v>2234.6556499999997</v>
      </c>
      <c r="AZ18" s="1147">
        <v>244.96937</v>
      </c>
      <c r="BA18" s="1147">
        <v>5649.6916200000005</v>
      </c>
      <c r="BB18" s="1147">
        <v>488.74677000000003</v>
      </c>
      <c r="BC18" s="1147">
        <v>10121.16</v>
      </c>
      <c r="BD18" s="1147">
        <v>622.63</v>
      </c>
      <c r="BE18" s="1147">
        <v>12461.31256</v>
      </c>
      <c r="BF18" s="1147">
        <v>885.12126999999998</v>
      </c>
      <c r="BG18" s="1147">
        <v>14038.07769</v>
      </c>
      <c r="BH18" s="1147">
        <v>1241.7217800000001</v>
      </c>
      <c r="BI18" s="1147">
        <v>15023.40508</v>
      </c>
      <c r="BJ18" s="1147">
        <v>1506.7959499999999</v>
      </c>
      <c r="BK18" s="1147">
        <v>16303.51987</v>
      </c>
      <c r="BL18" s="1147">
        <v>1853.33312</v>
      </c>
      <c r="BM18" s="1147">
        <v>20185.569670000001</v>
      </c>
      <c r="BN18" s="1147">
        <v>2211.5339900000004</v>
      </c>
      <c r="BO18" s="1147">
        <v>22139.597899999997</v>
      </c>
      <c r="BP18" s="1147">
        <v>2439.2010099999998</v>
      </c>
      <c r="BQ18" s="1147">
        <v>22970.897000000001</v>
      </c>
      <c r="BR18" s="1147">
        <v>2763.83059</v>
      </c>
      <c r="BS18" s="1147">
        <v>24683.43489</v>
      </c>
      <c r="BT18" s="1147">
        <v>3127.14698</v>
      </c>
      <c r="BU18" s="1147">
        <v>25769.142309999999</v>
      </c>
      <c r="BV18" s="1147">
        <v>3648.01053</v>
      </c>
      <c r="BW18" s="1147">
        <v>2481.0495000000001</v>
      </c>
      <c r="BX18" s="1147">
        <v>213.92898000000002</v>
      </c>
      <c r="BY18" s="1147">
        <v>5549.0999000000002</v>
      </c>
      <c r="BZ18" s="1147">
        <v>392.83689000000004</v>
      </c>
      <c r="CA18" s="1147">
        <v>8624.2535700000008</v>
      </c>
      <c r="CB18" s="1147">
        <v>677.55155000000002</v>
      </c>
      <c r="CC18" s="1147">
        <v>11130.003570000001</v>
      </c>
      <c r="CD18" s="1147">
        <v>951.15003000000002</v>
      </c>
      <c r="CE18" s="1147">
        <v>13445.302800000001</v>
      </c>
      <c r="CF18" s="1147">
        <v>1310.08385</v>
      </c>
      <c r="CG18" s="1147">
        <v>14603.4144</v>
      </c>
      <c r="CH18" s="1147">
        <v>1666.6770200000001</v>
      </c>
      <c r="CI18" s="1147">
        <v>15452.547980000001</v>
      </c>
      <c r="CJ18" s="1147">
        <v>2115.4248700000003</v>
      </c>
      <c r="CK18" s="1147">
        <v>16701.564699999999</v>
      </c>
      <c r="CL18" s="1147">
        <v>2521.6019300000003</v>
      </c>
      <c r="CM18" s="1147">
        <v>18988.238079999999</v>
      </c>
      <c r="CN18" s="1147">
        <v>3038.9032400000001</v>
      </c>
      <c r="CO18" s="1147">
        <v>19778.093940000002</v>
      </c>
      <c r="CP18" s="1147">
        <v>3711.4229500000001</v>
      </c>
      <c r="CQ18" s="1147">
        <v>21017.948850000001</v>
      </c>
      <c r="CR18" s="1147">
        <v>4189.9391999999998</v>
      </c>
      <c r="CS18" s="1147">
        <v>21815.173999999999</v>
      </c>
      <c r="CT18" s="1147">
        <v>5030.2039000000004</v>
      </c>
      <c r="CU18" s="1147">
        <v>2751.5296899999998</v>
      </c>
      <c r="CV18" s="1147">
        <v>320.32468</v>
      </c>
      <c r="CW18" s="1147">
        <v>4021.3005200000002</v>
      </c>
      <c r="CX18" s="1147">
        <v>749.46460000000002</v>
      </c>
      <c r="CY18" s="1147">
        <v>7364.2606599999999</v>
      </c>
      <c r="CZ18" s="1147">
        <v>1114.1268400000001</v>
      </c>
      <c r="DA18" s="1147">
        <v>9501.9770800000006</v>
      </c>
      <c r="DB18" s="1147">
        <v>1382.81846</v>
      </c>
      <c r="DC18" s="1147">
        <v>10478.26059</v>
      </c>
      <c r="DD18" s="1147">
        <v>1855.88148</v>
      </c>
      <c r="DE18" s="1147">
        <v>13101.019550000001</v>
      </c>
      <c r="DF18" s="1147">
        <v>2182.2106699999999</v>
      </c>
      <c r="DG18" s="1147">
        <v>20294.351489999997</v>
      </c>
      <c r="DH18" s="1147">
        <v>2453.26242</v>
      </c>
      <c r="DI18" s="1147">
        <v>22194.402739999998</v>
      </c>
      <c r="DJ18" s="1147">
        <v>2854.4418500000002</v>
      </c>
      <c r="DK18" s="1147">
        <v>25657.887839999999</v>
      </c>
      <c r="DL18" s="1147">
        <v>3350.87554</v>
      </c>
      <c r="DM18" s="1147">
        <v>27503.11044</v>
      </c>
      <c r="DN18" s="1147">
        <v>3762.6462700000002</v>
      </c>
      <c r="DO18" s="1147">
        <v>27893.58596</v>
      </c>
      <c r="DP18" s="1147">
        <v>4282.2189800000006</v>
      </c>
      <c r="DQ18" s="1147">
        <v>28614.54895</v>
      </c>
      <c r="DR18" s="1147">
        <v>4860.7054000000007</v>
      </c>
      <c r="DS18" s="1147">
        <v>3186.9665</v>
      </c>
      <c r="DT18" s="1147">
        <v>270.67649999999998</v>
      </c>
      <c r="DU18" s="1147">
        <v>3851.9827200000004</v>
      </c>
      <c r="DV18" s="1147">
        <v>656.80472999999995</v>
      </c>
      <c r="DW18" s="1147">
        <v>7046.7783600000002</v>
      </c>
      <c r="DX18" s="1147">
        <v>1056.07275</v>
      </c>
      <c r="DY18" s="1147">
        <v>9173.4564399999999</v>
      </c>
      <c r="DZ18" s="1147">
        <v>1414.18292</v>
      </c>
      <c r="EA18" s="1147">
        <v>10453.977869999999</v>
      </c>
      <c r="EB18" s="1147">
        <v>1759.29709</v>
      </c>
      <c r="EC18" s="1147">
        <v>14019.825650000001</v>
      </c>
      <c r="ED18" s="1147">
        <v>2135.3593700000001</v>
      </c>
      <c r="EE18" s="1147">
        <v>14782.41137</v>
      </c>
      <c r="EF18" s="1147">
        <v>2745.2023899999999</v>
      </c>
      <c r="EG18" s="1147">
        <v>16164.55097</v>
      </c>
      <c r="EH18" s="1147">
        <v>3305.2505299999998</v>
      </c>
      <c r="EI18" s="1147">
        <v>18233.249309999999</v>
      </c>
      <c r="EJ18" s="1147">
        <v>3715.0556099999999</v>
      </c>
      <c r="EK18" s="1147">
        <v>22320.767629999998</v>
      </c>
      <c r="EL18" s="1147">
        <v>4179.9508800000003</v>
      </c>
      <c r="EM18" s="1147">
        <v>23722.307110000002</v>
      </c>
      <c r="EN18" s="1147">
        <v>4641.9537799999998</v>
      </c>
      <c r="EO18" s="1147">
        <v>24727.308730000001</v>
      </c>
      <c r="EP18" s="1147">
        <v>5324.4037900000003</v>
      </c>
      <c r="EQ18" s="1147">
        <v>2769.4575100000002</v>
      </c>
      <c r="ER18" s="1147">
        <v>434.94475999999997</v>
      </c>
      <c r="ES18" s="1147">
        <v>3893.5174200000001</v>
      </c>
      <c r="ET18" s="1147">
        <v>778.02341999999999</v>
      </c>
      <c r="EU18" s="1147">
        <v>6392.2154700000001</v>
      </c>
      <c r="EV18" s="1147">
        <v>1207.7311199999999</v>
      </c>
      <c r="EW18" s="1147">
        <v>8502.7692100000004</v>
      </c>
      <c r="EX18" s="1147">
        <v>1955.44192</v>
      </c>
      <c r="EY18" s="1147">
        <v>9462.9444899999999</v>
      </c>
      <c r="EZ18" s="1147">
        <v>2473.2462700000001</v>
      </c>
      <c r="FA18" s="1147">
        <v>10820.31272</v>
      </c>
      <c r="FB18" s="1147">
        <v>3047.6410900000001</v>
      </c>
      <c r="FC18" s="1147">
        <v>13132.812749999999</v>
      </c>
      <c r="FD18" s="1147">
        <v>3468.2575900000002</v>
      </c>
      <c r="FE18" s="1147">
        <v>16757.012269999999</v>
      </c>
      <c r="FF18" s="1147">
        <v>4811.0600100000001</v>
      </c>
      <c r="FG18" s="1147">
        <v>17895.153750000001</v>
      </c>
      <c r="FH18" s="1147">
        <v>5611.1705400000001</v>
      </c>
      <c r="FI18" s="1147">
        <v>19103.979489999998</v>
      </c>
      <c r="FJ18" s="1147">
        <v>6093.6673000000001</v>
      </c>
      <c r="FK18" s="1147">
        <v>21128.799790000001</v>
      </c>
      <c r="FL18" s="1147">
        <v>6748.9545399999997</v>
      </c>
      <c r="FM18" s="1147">
        <v>3151.87383</v>
      </c>
      <c r="FN18" s="1147">
        <v>800.17147999999997</v>
      </c>
      <c r="FO18" s="1147">
        <v>6104.7205700000004</v>
      </c>
      <c r="FP18" s="1147">
        <v>1624.4059399999999</v>
      </c>
      <c r="FQ18" s="1147">
        <v>8106.8852299999999</v>
      </c>
      <c r="FR18" s="1147">
        <v>1969.6034400000001</v>
      </c>
      <c r="FS18" s="1147">
        <v>10421.654839999999</v>
      </c>
      <c r="FT18" s="1147">
        <v>2631.5528999999997</v>
      </c>
      <c r="FU18" s="1147">
        <v>12924.399429999999</v>
      </c>
      <c r="FV18" s="1147">
        <v>3484.2400600000001</v>
      </c>
      <c r="FW18" s="1147">
        <v>15893.295480000001</v>
      </c>
      <c r="FX18" s="1147">
        <v>4155.9766200000004</v>
      </c>
      <c r="FY18" s="1147">
        <v>19011.398120000002</v>
      </c>
      <c r="FZ18" s="1147">
        <v>4779.3784000000005</v>
      </c>
      <c r="GA18" s="1147">
        <v>21956.390899999999</v>
      </c>
      <c r="GB18" s="1147">
        <v>5600.86499</v>
      </c>
      <c r="GC18" s="1147">
        <v>24822.356489999998</v>
      </c>
      <c r="GD18" s="1147">
        <v>6613.5919100000001</v>
      </c>
      <c r="GE18" s="1147">
        <v>26942.66635</v>
      </c>
      <c r="GF18" s="1147">
        <v>7361.5568000000003</v>
      </c>
      <c r="GG18" s="1147">
        <v>31032.585230000001</v>
      </c>
      <c r="GH18" s="1147">
        <v>8146.4604499999996</v>
      </c>
      <c r="GI18" s="1147">
        <v>33855.721649999999</v>
      </c>
      <c r="GJ18" s="1147">
        <v>8969.0511900000001</v>
      </c>
      <c r="GK18" s="1147">
        <v>4071.61168</v>
      </c>
      <c r="GL18" s="1147">
        <v>882.35235999999998</v>
      </c>
      <c r="GM18" s="1147">
        <v>6857.8350799999998</v>
      </c>
      <c r="GN18" s="1147">
        <v>1953.4977200000001</v>
      </c>
      <c r="GO18" s="1147">
        <v>9547.3066099999996</v>
      </c>
      <c r="GP18" s="1147">
        <v>2951.8203599999997</v>
      </c>
      <c r="GQ18" s="1147">
        <v>12268.75902</v>
      </c>
      <c r="GR18" s="1147">
        <v>4182.1030000000001</v>
      </c>
      <c r="GS18" s="1147">
        <v>14888.520699999999</v>
      </c>
      <c r="GT18" s="1147">
        <v>5665.24881</v>
      </c>
      <c r="GU18" s="1147">
        <v>17883.912209999999</v>
      </c>
      <c r="GV18" s="1147">
        <v>6387.5914400000001</v>
      </c>
      <c r="GW18" s="1147">
        <v>21783.739839999998</v>
      </c>
      <c r="GX18" s="1147">
        <v>7461.9008999999996</v>
      </c>
      <c r="GY18" s="1147">
        <v>24489.673999999999</v>
      </c>
      <c r="GZ18" s="1147">
        <v>8690.5138299999999</v>
      </c>
      <c r="HA18" s="1147">
        <v>27353.612440000001</v>
      </c>
      <c r="HB18" s="1147">
        <v>10489.269270000001</v>
      </c>
      <c r="HC18" s="1147">
        <v>29971.50563</v>
      </c>
      <c r="HD18" s="1147">
        <v>12364.256149999999</v>
      </c>
      <c r="HE18" s="1147">
        <v>32397.275949999999</v>
      </c>
      <c r="HF18" s="1147">
        <v>14109.075639999999</v>
      </c>
      <c r="HG18" s="1147">
        <v>36217.459239999996</v>
      </c>
      <c r="HH18" s="1147">
        <v>15699.13992</v>
      </c>
      <c r="HI18" s="1147">
        <v>2912.9209900000001</v>
      </c>
      <c r="HJ18" s="1147">
        <v>1173.8988300000001</v>
      </c>
      <c r="HK18" s="1147">
        <v>5334.6291499999998</v>
      </c>
      <c r="HL18" s="1147">
        <v>2259.55294</v>
      </c>
      <c r="HM18" s="1147">
        <v>7529.3555500000002</v>
      </c>
      <c r="HN18" s="1147">
        <v>3428.3601399999998</v>
      </c>
      <c r="HO18" s="1147">
        <v>10158.17942</v>
      </c>
      <c r="HP18" s="1147">
        <v>5064.0097699999997</v>
      </c>
      <c r="HQ18" s="1147">
        <v>12942.982239999999</v>
      </c>
      <c r="HR18" s="1147">
        <v>6651.4641799999999</v>
      </c>
      <c r="HS18" s="1147">
        <v>15572.60448</v>
      </c>
      <c r="HT18" s="1147">
        <v>7843.1282199999996</v>
      </c>
      <c r="HU18" s="1147">
        <v>18854.410929999998</v>
      </c>
      <c r="HV18" s="1147">
        <v>9239.1158500000001</v>
      </c>
      <c r="HW18" s="1147">
        <v>22887.258600000001</v>
      </c>
      <c r="HX18" s="1147">
        <v>10508.38509</v>
      </c>
      <c r="HY18" s="1147">
        <v>25692.64991</v>
      </c>
      <c r="HZ18" s="1147">
        <v>11835.9665</v>
      </c>
      <c r="IA18" s="1147">
        <v>27901.176810000001</v>
      </c>
      <c r="IB18" s="1147">
        <v>13524.286899999999</v>
      </c>
      <c r="IC18" s="1147">
        <v>30037.990030000001</v>
      </c>
      <c r="ID18" s="1147">
        <v>14594.86377</v>
      </c>
      <c r="IE18" s="1147">
        <v>33150.006990000002</v>
      </c>
      <c r="IF18" s="1147">
        <v>16145.87924</v>
      </c>
      <c r="IG18" s="1147">
        <v>2755.67668</v>
      </c>
      <c r="IH18" s="1147">
        <v>1108.8161700000001</v>
      </c>
      <c r="II18" s="1147">
        <v>5285.2335800000001</v>
      </c>
      <c r="IJ18" s="1147">
        <v>2560.2034399999998</v>
      </c>
      <c r="IK18" s="1147">
        <v>7181.6944800000001</v>
      </c>
      <c r="IL18" s="1147">
        <v>3941.5473999999999</v>
      </c>
      <c r="IM18" s="1147">
        <v>9372.68181</v>
      </c>
      <c r="IN18" s="1147">
        <v>5727.3626299999996</v>
      </c>
      <c r="IO18" s="1147">
        <v>12145.890289999999</v>
      </c>
      <c r="IP18" s="1147">
        <v>7008.4563799999996</v>
      </c>
      <c r="IQ18" s="1147">
        <v>16248.392970000001</v>
      </c>
      <c r="IR18" s="1147">
        <v>8586.1688099999992</v>
      </c>
      <c r="IS18" s="1654" t="s">
        <v>3153</v>
      </c>
    </row>
    <row r="19" spans="1:253" ht="36" customHeight="1">
      <c r="A19" s="1652">
        <v>8</v>
      </c>
      <c r="B19" s="1653" t="s">
        <v>2329</v>
      </c>
      <c r="C19" s="1147">
        <v>7111.36456</v>
      </c>
      <c r="D19" s="1147">
        <v>1750.7861399999999</v>
      </c>
      <c r="E19" s="1147">
        <v>10421.340990000001</v>
      </c>
      <c r="F19" s="1147">
        <v>4956.3202499999998</v>
      </c>
      <c r="G19" s="1147">
        <v>21367.694520000001</v>
      </c>
      <c r="H19" s="1147">
        <v>6092.3665999999994</v>
      </c>
      <c r="I19" s="1147">
        <v>26381.697629999999</v>
      </c>
      <c r="J19" s="1147">
        <v>7331.3699500000002</v>
      </c>
      <c r="K19" s="1147">
        <v>33031.466140000004</v>
      </c>
      <c r="L19" s="1147">
        <v>9984.4656099999993</v>
      </c>
      <c r="M19" s="1147">
        <v>45029.690569999999</v>
      </c>
      <c r="N19" s="1147">
        <v>10661.883210000002</v>
      </c>
      <c r="O19" s="1147">
        <v>49579.820209999998</v>
      </c>
      <c r="P19" s="1147">
        <v>13567.048339999999</v>
      </c>
      <c r="Q19" s="1147">
        <v>55981.736259999998</v>
      </c>
      <c r="R19" s="1147">
        <v>14494.623720000001</v>
      </c>
      <c r="S19" s="1147">
        <v>61803.055780000002</v>
      </c>
      <c r="T19" s="1147">
        <v>25596.74235</v>
      </c>
      <c r="U19" s="1147">
        <v>66981.823520000005</v>
      </c>
      <c r="V19" s="1147">
        <v>32521.267500000002</v>
      </c>
      <c r="W19" s="1147">
        <v>71456.983919999999</v>
      </c>
      <c r="X19" s="1147">
        <v>43726.773209999999</v>
      </c>
      <c r="Y19" s="1147">
        <v>77678.739319999993</v>
      </c>
      <c r="Z19" s="1147">
        <v>45907.276259999999</v>
      </c>
      <c r="AA19" s="1147">
        <v>5628.6600699999999</v>
      </c>
      <c r="AB19" s="1147">
        <v>3559.8864399999998</v>
      </c>
      <c r="AC19" s="1147">
        <v>12549.975570000001</v>
      </c>
      <c r="AD19" s="1147">
        <v>6787.4014699999998</v>
      </c>
      <c r="AE19" s="1147">
        <v>32098.790010000001</v>
      </c>
      <c r="AF19" s="1147">
        <v>7755.2887799999999</v>
      </c>
      <c r="AG19" s="1147">
        <v>52407.826679999998</v>
      </c>
      <c r="AH19" s="1147">
        <v>10109.401970000001</v>
      </c>
      <c r="AI19" s="1147">
        <v>71711.206299999991</v>
      </c>
      <c r="AJ19" s="1147">
        <v>15119.23013</v>
      </c>
      <c r="AK19" s="1147">
        <v>79616.570749999999</v>
      </c>
      <c r="AL19" s="1147">
        <v>22305.654469999998</v>
      </c>
      <c r="AM19" s="1147">
        <v>89261.943700000003</v>
      </c>
      <c r="AN19" s="1147">
        <v>27907.615399999999</v>
      </c>
      <c r="AO19" s="1147">
        <v>101488.01815</v>
      </c>
      <c r="AP19" s="1147">
        <v>33614.4015</v>
      </c>
      <c r="AQ19" s="1147">
        <v>112191.90853</v>
      </c>
      <c r="AR19" s="1147">
        <v>38287.872560000003</v>
      </c>
      <c r="AS19" s="1147">
        <v>123370.84156</v>
      </c>
      <c r="AT19" s="1147">
        <v>39845.771000000001</v>
      </c>
      <c r="AU19" s="1147">
        <v>136797.91284</v>
      </c>
      <c r="AV19" s="1147">
        <v>53901.161220000002</v>
      </c>
      <c r="AW19" s="1147">
        <v>152757.72326</v>
      </c>
      <c r="AX19" s="1147">
        <v>58004.591979999997</v>
      </c>
      <c r="AY19" s="1147">
        <v>14475.66574</v>
      </c>
      <c r="AZ19" s="1147">
        <v>3810.5554300000003</v>
      </c>
      <c r="BA19" s="1147">
        <v>32446.387839999999</v>
      </c>
      <c r="BB19" s="1147">
        <v>7277.8875199999993</v>
      </c>
      <c r="BC19" s="1147">
        <v>55670.28</v>
      </c>
      <c r="BD19" s="1147">
        <v>16122.28</v>
      </c>
      <c r="BE19" s="1147">
        <v>108802.21024</v>
      </c>
      <c r="BF19" s="1147">
        <v>17926.602609999998</v>
      </c>
      <c r="BG19" s="1147">
        <v>128906.96195</v>
      </c>
      <c r="BH19" s="1147">
        <v>21499.141440000003</v>
      </c>
      <c r="BI19" s="1147">
        <v>144613.99130000002</v>
      </c>
      <c r="BJ19" s="1147">
        <v>31646.598670000003</v>
      </c>
      <c r="BK19" s="1147">
        <v>167728.85894999999</v>
      </c>
      <c r="BL19" s="1147">
        <v>42982.870670000004</v>
      </c>
      <c r="BM19" s="1147">
        <v>193453.54598</v>
      </c>
      <c r="BN19" s="1147">
        <v>52883.153590000002</v>
      </c>
      <c r="BO19" s="1147">
        <v>209227.23037</v>
      </c>
      <c r="BP19" s="1147">
        <v>58998.14316</v>
      </c>
      <c r="BQ19" s="1147">
        <v>226793.46322999999</v>
      </c>
      <c r="BR19" s="1147">
        <v>64479.079640000004</v>
      </c>
      <c r="BS19" s="1147">
        <v>244736.54996999999</v>
      </c>
      <c r="BT19" s="1147">
        <v>67300.197150000007</v>
      </c>
      <c r="BU19" s="1147">
        <v>264988.44341000001</v>
      </c>
      <c r="BV19" s="1147">
        <v>71045.488319999989</v>
      </c>
      <c r="BW19" s="1147">
        <v>10875.65128</v>
      </c>
      <c r="BX19" s="1147">
        <v>5786.5189400000008</v>
      </c>
      <c r="BY19" s="1147">
        <v>24222.887839999999</v>
      </c>
      <c r="BZ19" s="1147">
        <v>9350.44974</v>
      </c>
      <c r="CA19" s="1147">
        <v>39673.036820000001</v>
      </c>
      <c r="CB19" s="1147">
        <v>12489.02152</v>
      </c>
      <c r="CC19" s="1147">
        <v>74597.364560000002</v>
      </c>
      <c r="CD19" s="1147">
        <v>17619.540370000002</v>
      </c>
      <c r="CE19" s="1147">
        <v>94118.269799999995</v>
      </c>
      <c r="CF19" s="1147">
        <v>23803.995930000001</v>
      </c>
      <c r="CG19" s="1147">
        <v>109274.99931</v>
      </c>
      <c r="CH19" s="1147">
        <v>30995.156340000001</v>
      </c>
      <c r="CI19" s="1147">
        <v>131978.93851000001</v>
      </c>
      <c r="CJ19" s="1147">
        <v>52729.207190000001</v>
      </c>
      <c r="CK19" s="1147">
        <v>148624.46394999998</v>
      </c>
      <c r="CL19" s="1147">
        <v>56896.903969999999</v>
      </c>
      <c r="CM19" s="1147">
        <v>164442.13846000002</v>
      </c>
      <c r="CN19" s="1147">
        <v>67721.531090000004</v>
      </c>
      <c r="CO19" s="1147">
        <v>180106.52737999998</v>
      </c>
      <c r="CP19" s="1147">
        <v>74393.382259999998</v>
      </c>
      <c r="CQ19" s="1147">
        <v>194819.78725999998</v>
      </c>
      <c r="CR19" s="1147">
        <v>85046.970130000002</v>
      </c>
      <c r="CS19" s="1147">
        <v>212559.13927000001</v>
      </c>
      <c r="CT19" s="1147">
        <v>99505.083610000001</v>
      </c>
      <c r="CU19" s="1147">
        <v>14990.755050000002</v>
      </c>
      <c r="CV19" s="1147">
        <v>10317.388300000001</v>
      </c>
      <c r="CW19" s="1147">
        <v>31803.320789999998</v>
      </c>
      <c r="CX19" s="1147">
        <v>16340.731449999999</v>
      </c>
      <c r="CY19" s="1147">
        <v>53766.30848</v>
      </c>
      <c r="CZ19" s="1147">
        <v>29890.501660000002</v>
      </c>
      <c r="DA19" s="1147">
        <v>95750.372909999991</v>
      </c>
      <c r="DB19" s="1147">
        <v>37517.645640000002</v>
      </c>
      <c r="DC19" s="1147">
        <v>116541.16299</v>
      </c>
      <c r="DD19" s="1147">
        <v>57339.76023</v>
      </c>
      <c r="DE19" s="1147">
        <v>132820.29876999999</v>
      </c>
      <c r="DF19" s="1147">
        <v>91594.828540000002</v>
      </c>
      <c r="DG19" s="1147">
        <v>157504.18812000001</v>
      </c>
      <c r="DH19" s="1147">
        <v>117073.57173000001</v>
      </c>
      <c r="DI19" s="1147">
        <v>175687.96756999998</v>
      </c>
      <c r="DJ19" s="1147">
        <v>135692.19259999998</v>
      </c>
      <c r="DK19" s="1147">
        <v>194018.18998</v>
      </c>
      <c r="DL19" s="1147">
        <v>153373.87114999999</v>
      </c>
      <c r="DM19" s="1147">
        <v>208513.47675</v>
      </c>
      <c r="DN19" s="1147">
        <v>175706.16847999999</v>
      </c>
      <c r="DO19" s="1147">
        <v>224687.27267999999</v>
      </c>
      <c r="DP19" s="1147">
        <v>195758.50913999998</v>
      </c>
      <c r="DQ19" s="1147">
        <v>242631.50380999999</v>
      </c>
      <c r="DR19" s="1147">
        <v>222976.67261000001</v>
      </c>
      <c r="DS19" s="1147">
        <v>16451.372890000002</v>
      </c>
      <c r="DT19" s="1147">
        <v>24799.722460000001</v>
      </c>
      <c r="DU19" s="1147">
        <v>35539.49929</v>
      </c>
      <c r="DV19" s="1147">
        <v>43057.914750000004</v>
      </c>
      <c r="DW19" s="1147">
        <v>53200.697110000001</v>
      </c>
      <c r="DX19" s="1147">
        <v>73603.61626000001</v>
      </c>
      <c r="DY19" s="1147">
        <v>112049.78877</v>
      </c>
      <c r="DZ19" s="1147">
        <v>87592.309129999994</v>
      </c>
      <c r="EA19" s="1147">
        <v>139857.90568</v>
      </c>
      <c r="EB19" s="1147">
        <v>101253.27240999999</v>
      </c>
      <c r="EC19" s="1147">
        <v>159565.20569</v>
      </c>
      <c r="ED19" s="1147">
        <v>120864.04484999999</v>
      </c>
      <c r="EE19" s="1147">
        <v>190209.47081</v>
      </c>
      <c r="EF19" s="1147">
        <v>156590.89887</v>
      </c>
      <c r="EG19" s="1147">
        <v>212689.29696000001</v>
      </c>
      <c r="EH19" s="1147">
        <v>169286.15041</v>
      </c>
      <c r="EI19" s="1147">
        <v>235334.94305</v>
      </c>
      <c r="EJ19" s="1147">
        <v>178248.16876</v>
      </c>
      <c r="EK19" s="1147">
        <v>257859.96617</v>
      </c>
      <c r="EL19" s="1147">
        <v>187553.3083</v>
      </c>
      <c r="EM19" s="1147">
        <v>285244.81215000001</v>
      </c>
      <c r="EN19" s="1147">
        <v>197467.89678000001</v>
      </c>
      <c r="EO19" s="1147">
        <v>313005.82290999999</v>
      </c>
      <c r="EP19" s="1147">
        <v>204973.76217999999</v>
      </c>
      <c r="EQ19" s="1147">
        <v>25320.043399999999</v>
      </c>
      <c r="ER19" s="1147">
        <v>4384.90301</v>
      </c>
      <c r="ES19" s="1147">
        <v>51200.92224</v>
      </c>
      <c r="ET19" s="1147">
        <v>9108.0540099999998</v>
      </c>
      <c r="EU19" s="1147">
        <v>86301.711219999997</v>
      </c>
      <c r="EV19" s="1147">
        <v>14358.62651</v>
      </c>
      <c r="EW19" s="1147">
        <v>149814.75391999999</v>
      </c>
      <c r="EX19" s="1147">
        <v>23898.2124</v>
      </c>
      <c r="EY19" s="1147">
        <v>179671.071</v>
      </c>
      <c r="EZ19" s="1147">
        <v>41505.92325</v>
      </c>
      <c r="FA19" s="1147">
        <v>206649.23219000001</v>
      </c>
      <c r="FB19" s="1147">
        <v>71419.330199999997</v>
      </c>
      <c r="FC19" s="1147">
        <v>247668.15836999999</v>
      </c>
      <c r="FD19" s="1147">
        <v>119324.62454999999</v>
      </c>
      <c r="FE19" s="1147">
        <v>310508.68624000001</v>
      </c>
      <c r="FF19" s="1147">
        <v>159442.33340999999</v>
      </c>
      <c r="FG19" s="1147">
        <v>343083.35593999998</v>
      </c>
      <c r="FH19" s="1147">
        <v>181302.01229000001</v>
      </c>
      <c r="FI19" s="1147">
        <v>376003.00893000001</v>
      </c>
      <c r="FJ19" s="1147">
        <v>200807.16125</v>
      </c>
      <c r="FK19" s="1147">
        <v>413298.10379999998</v>
      </c>
      <c r="FL19" s="1147">
        <v>215366.24960000001</v>
      </c>
      <c r="FM19" s="1147">
        <v>33148.954729999998</v>
      </c>
      <c r="FN19" s="1147">
        <v>16259.291869999999</v>
      </c>
      <c r="FO19" s="1147">
        <v>67580.694329999998</v>
      </c>
      <c r="FP19" s="1147">
        <v>32887.903409999999</v>
      </c>
      <c r="FQ19" s="1147">
        <v>125461.44697999999</v>
      </c>
      <c r="FR19" s="1147">
        <v>48350.414830000002</v>
      </c>
      <c r="FS19" s="1147">
        <v>201305.37008000002</v>
      </c>
      <c r="FT19" s="1147">
        <v>62761.45132</v>
      </c>
      <c r="FU19" s="1147">
        <v>247765.1684</v>
      </c>
      <c r="FV19" s="1147">
        <v>82624.551790000012</v>
      </c>
      <c r="FW19" s="1147">
        <v>281827.76016000001</v>
      </c>
      <c r="FX19" s="1147">
        <v>113380.61442</v>
      </c>
      <c r="FY19" s="1147">
        <v>327010.25675</v>
      </c>
      <c r="FZ19" s="1147">
        <v>150921.31498</v>
      </c>
      <c r="GA19" s="1147">
        <v>362661.03821999999</v>
      </c>
      <c r="GB19" s="1147">
        <v>177122.12220000001</v>
      </c>
      <c r="GC19" s="1147">
        <v>402759.24317999999</v>
      </c>
      <c r="GD19" s="1147">
        <v>200038.39262</v>
      </c>
      <c r="GE19" s="1147">
        <v>437184.17278000002</v>
      </c>
      <c r="GF19" s="1147">
        <v>228204.5385</v>
      </c>
      <c r="GG19" s="1147">
        <v>473789.55265000003</v>
      </c>
      <c r="GH19" s="1147">
        <v>245345.83889000001</v>
      </c>
      <c r="GI19" s="1147">
        <v>517466.65562999999</v>
      </c>
      <c r="GJ19" s="1147">
        <v>266164.22191999998</v>
      </c>
      <c r="GK19" s="1147">
        <v>37810.71284</v>
      </c>
      <c r="GL19" s="1147">
        <v>17791.101429999999</v>
      </c>
      <c r="GM19" s="1147">
        <v>81390.161410000001</v>
      </c>
      <c r="GN19" s="1147">
        <v>51831.354229999997</v>
      </c>
      <c r="GO19" s="1147">
        <v>143590.97815000001</v>
      </c>
      <c r="GP19" s="1147">
        <v>87011.587040000013</v>
      </c>
      <c r="GQ19" s="1147">
        <v>256089.98860000001</v>
      </c>
      <c r="GR19" s="1147">
        <v>111771.18</v>
      </c>
      <c r="GS19" s="1147">
        <v>301866.50423000002</v>
      </c>
      <c r="GT19" s="1147">
        <v>144760.73383000001</v>
      </c>
      <c r="GU19" s="1147">
        <v>339807.2574</v>
      </c>
      <c r="GV19" s="1147">
        <v>201968.74043999999</v>
      </c>
      <c r="GW19" s="1147">
        <v>377769.53490999999</v>
      </c>
      <c r="GX19" s="1147">
        <v>256585.30931000001</v>
      </c>
      <c r="GY19" s="1147">
        <v>414858.72746000002</v>
      </c>
      <c r="GZ19" s="1147">
        <v>290474.53233999998</v>
      </c>
      <c r="HA19" s="1147">
        <v>462236.12790000002</v>
      </c>
      <c r="HB19" s="1147">
        <v>317079.77299000003</v>
      </c>
      <c r="HC19" s="1147">
        <v>500176.70898</v>
      </c>
      <c r="HD19" s="1147">
        <v>356219.50021000003</v>
      </c>
      <c r="HE19" s="1147">
        <v>542309.87774999999</v>
      </c>
      <c r="HF19" s="1147">
        <v>389679.66512000002</v>
      </c>
      <c r="HG19" s="1147">
        <v>594398.55153000006</v>
      </c>
      <c r="HH19" s="1147">
        <v>418779.46486000001</v>
      </c>
      <c r="HI19" s="1147">
        <v>50319.272499999999</v>
      </c>
      <c r="HJ19" s="1147">
        <v>25571.982909999999</v>
      </c>
      <c r="HK19" s="1147">
        <v>100385.33464</v>
      </c>
      <c r="HL19" s="1147">
        <v>60997.941760000002</v>
      </c>
      <c r="HM19" s="1147">
        <v>161831.65254000001</v>
      </c>
      <c r="HN19" s="1147">
        <v>98110.374559999997</v>
      </c>
      <c r="HO19" s="1147">
        <v>281911.42774000001</v>
      </c>
      <c r="HP19" s="1147">
        <v>129594.71896</v>
      </c>
      <c r="HQ19" s="1147">
        <v>345093.74725999997</v>
      </c>
      <c r="HR19" s="1147">
        <v>177453.82638000001</v>
      </c>
      <c r="HS19" s="1147">
        <v>390813.00871000002</v>
      </c>
      <c r="HT19" s="1147">
        <v>263583.34713000001</v>
      </c>
      <c r="HU19" s="1147">
        <v>433890.26585000003</v>
      </c>
      <c r="HV19" s="1147">
        <v>328509.64971999999</v>
      </c>
      <c r="HW19" s="1147">
        <v>481471.58061</v>
      </c>
      <c r="HX19" s="1147">
        <v>375641.30514999997</v>
      </c>
      <c r="HY19" s="1147">
        <v>530838.60552999994</v>
      </c>
      <c r="HZ19" s="1147">
        <v>427061.82572000002</v>
      </c>
      <c r="IA19" s="1147">
        <v>572923.60349999997</v>
      </c>
      <c r="IB19" s="1147">
        <v>479805.55813000002</v>
      </c>
      <c r="IC19" s="1147">
        <v>619179.76054000005</v>
      </c>
      <c r="ID19" s="1147">
        <v>521121.72985</v>
      </c>
      <c r="IE19" s="1147">
        <v>679749.57131999999</v>
      </c>
      <c r="IF19" s="1147">
        <v>561072.82238000003</v>
      </c>
      <c r="IG19" s="1147">
        <v>50349.456879999998</v>
      </c>
      <c r="IH19" s="1147">
        <v>35330.420230000003</v>
      </c>
      <c r="II19" s="1147">
        <v>100681.21742</v>
      </c>
      <c r="IJ19" s="1147">
        <v>86053.035040000002</v>
      </c>
      <c r="IK19" s="1147">
        <v>181639.63417</v>
      </c>
      <c r="IL19" s="1147">
        <v>127103.6635</v>
      </c>
      <c r="IM19" s="1147">
        <v>309833.98443999997</v>
      </c>
      <c r="IN19" s="1147">
        <v>168098.54620000001</v>
      </c>
      <c r="IO19" s="1147">
        <v>370977.82397000003</v>
      </c>
      <c r="IP19" s="1147">
        <v>240535.56644</v>
      </c>
      <c r="IQ19" s="1147">
        <v>421640.79986000003</v>
      </c>
      <c r="IR19" s="1147">
        <v>339536.22933</v>
      </c>
      <c r="IS19" s="1654" t="s">
        <v>3155</v>
      </c>
    </row>
    <row r="20" spans="1:253" ht="36" customHeight="1">
      <c r="A20" s="1652">
        <v>9</v>
      </c>
      <c r="B20" s="1653" t="s">
        <v>2328</v>
      </c>
      <c r="C20" s="1147">
        <v>35221.493179999998</v>
      </c>
      <c r="D20" s="1147">
        <v>3287.5865699999999</v>
      </c>
      <c r="E20" s="1147">
        <v>40925.349040000001</v>
      </c>
      <c r="F20" s="1147">
        <v>6770.9138000000003</v>
      </c>
      <c r="G20" s="1147">
        <v>48840.028490000004</v>
      </c>
      <c r="H20" s="1147">
        <v>9873.5625500000006</v>
      </c>
      <c r="I20" s="1147">
        <v>55038.23861</v>
      </c>
      <c r="J20" s="1147">
        <v>14113.91661</v>
      </c>
      <c r="K20" s="1147">
        <v>59578.875850000004</v>
      </c>
      <c r="L20" s="1147">
        <v>17389.655579999999</v>
      </c>
      <c r="M20" s="1147">
        <v>64610.892590000003</v>
      </c>
      <c r="N20" s="1147">
        <v>20849.758249999999</v>
      </c>
      <c r="O20" s="1147">
        <v>70902.332129999995</v>
      </c>
      <c r="P20" s="1147">
        <v>24222.817190000002</v>
      </c>
      <c r="Q20" s="1147">
        <v>74656.310249999995</v>
      </c>
      <c r="R20" s="1147">
        <v>28436.331559999999</v>
      </c>
      <c r="S20" s="1147">
        <v>81220.484879999989</v>
      </c>
      <c r="T20" s="1147">
        <v>33159.900050000004</v>
      </c>
      <c r="U20" s="1147">
        <v>89523.191800000001</v>
      </c>
      <c r="V20" s="1147">
        <v>37687.068950000001</v>
      </c>
      <c r="W20" s="1147">
        <v>94390.744230000011</v>
      </c>
      <c r="X20" s="1147">
        <v>43066.164389999998</v>
      </c>
      <c r="Y20" s="1147">
        <v>100012.14726000001</v>
      </c>
      <c r="Z20" s="1147">
        <v>47438.605450000003</v>
      </c>
      <c r="AA20" s="1147">
        <v>37674.801590000003</v>
      </c>
      <c r="AB20" s="1147">
        <v>3762.3690699999997</v>
      </c>
      <c r="AC20" s="1147">
        <v>44234.193850000003</v>
      </c>
      <c r="AD20" s="1147">
        <v>6119.3040899999996</v>
      </c>
      <c r="AE20" s="1147">
        <v>49697.404259999996</v>
      </c>
      <c r="AF20" s="1147">
        <v>9121.7510000000002</v>
      </c>
      <c r="AG20" s="1147">
        <v>53372.329279999998</v>
      </c>
      <c r="AH20" s="1147">
        <v>10280.55939</v>
      </c>
      <c r="AI20" s="1147">
        <v>60348.762579999995</v>
      </c>
      <c r="AJ20" s="1147">
        <v>13203.19398</v>
      </c>
      <c r="AK20" s="1147">
        <v>66663.840859999997</v>
      </c>
      <c r="AL20" s="1147">
        <v>19997.520329999999</v>
      </c>
      <c r="AM20" s="1147">
        <v>73787.220549999998</v>
      </c>
      <c r="AN20" s="1147">
        <v>24323.390489999998</v>
      </c>
      <c r="AO20" s="1147">
        <v>83143.308019999997</v>
      </c>
      <c r="AP20" s="1147">
        <v>31831.445920000002</v>
      </c>
      <c r="AQ20" s="1147">
        <v>93613.71087000001</v>
      </c>
      <c r="AR20" s="1147">
        <v>35160.967299999997</v>
      </c>
      <c r="AS20" s="1147">
        <v>99611.436239999995</v>
      </c>
      <c r="AT20" s="1147">
        <v>39974.072560000001</v>
      </c>
      <c r="AU20" s="1147">
        <v>103334.57759</v>
      </c>
      <c r="AV20" s="1147">
        <v>41953.754679999998</v>
      </c>
      <c r="AW20" s="1147">
        <v>107569.00523000001</v>
      </c>
      <c r="AX20" s="1147">
        <v>43439.060829999995</v>
      </c>
      <c r="AY20" s="1147">
        <v>41233.749240000005</v>
      </c>
      <c r="AZ20" s="1147">
        <v>4869.3622000000005</v>
      </c>
      <c r="BA20" s="1147">
        <v>49454.416149999997</v>
      </c>
      <c r="BB20" s="1147">
        <v>8749.8077400000002</v>
      </c>
      <c r="BC20" s="1147">
        <v>65545.34</v>
      </c>
      <c r="BD20" s="1147">
        <v>12188.35</v>
      </c>
      <c r="BE20" s="1147">
        <v>70927.784370000008</v>
      </c>
      <c r="BF20" s="1147">
        <v>18343.085520000001</v>
      </c>
      <c r="BG20" s="1147">
        <v>78001.323269999993</v>
      </c>
      <c r="BH20" s="1147">
        <v>22474.52002</v>
      </c>
      <c r="BI20" s="1147">
        <v>83362.840580000004</v>
      </c>
      <c r="BJ20" s="1147">
        <v>25459.676829999997</v>
      </c>
      <c r="BK20" s="1147">
        <v>89478.11954</v>
      </c>
      <c r="BL20" s="1147">
        <v>29759.360619999999</v>
      </c>
      <c r="BM20" s="1147">
        <v>96584.146420000005</v>
      </c>
      <c r="BN20" s="1147">
        <v>34394.089249999997</v>
      </c>
      <c r="BO20" s="1147">
        <v>108243.28770999999</v>
      </c>
      <c r="BP20" s="1147">
        <v>37152.797250000003</v>
      </c>
      <c r="BQ20" s="1147">
        <v>118064.85301000001</v>
      </c>
      <c r="BR20" s="1147">
        <v>41521.60886</v>
      </c>
      <c r="BS20" s="1147">
        <v>122357.80517000001</v>
      </c>
      <c r="BT20" s="1147">
        <v>47319.964799999994</v>
      </c>
      <c r="BU20" s="1147">
        <v>128007.03637</v>
      </c>
      <c r="BV20" s="1147">
        <v>49520.255770000003</v>
      </c>
      <c r="BW20" s="1147">
        <v>46420.087409999993</v>
      </c>
      <c r="BX20" s="1147">
        <v>1392.1319099999998</v>
      </c>
      <c r="BY20" s="1147">
        <v>57970.750329999995</v>
      </c>
      <c r="BZ20" s="1147">
        <v>5757.9493200000006</v>
      </c>
      <c r="CA20" s="1147">
        <v>64468.551700000004</v>
      </c>
      <c r="CB20" s="1147">
        <v>9043.7795900000001</v>
      </c>
      <c r="CC20" s="1147">
        <v>71970.155350000001</v>
      </c>
      <c r="CD20" s="1147">
        <v>14675.89</v>
      </c>
      <c r="CE20" s="1147">
        <v>81416.358999999997</v>
      </c>
      <c r="CF20" s="1147">
        <v>19792.368999999999</v>
      </c>
      <c r="CG20" s="1147">
        <v>89197.641220000005</v>
      </c>
      <c r="CH20" s="1147">
        <v>25579.25404</v>
      </c>
      <c r="CI20" s="1147">
        <v>96468.642819999994</v>
      </c>
      <c r="CJ20" s="1147">
        <v>25861.174039999998</v>
      </c>
      <c r="CK20" s="1147">
        <v>104745.69085</v>
      </c>
      <c r="CL20" s="1147">
        <v>33210.036039999999</v>
      </c>
      <c r="CM20" s="1147">
        <v>118960.93228000001</v>
      </c>
      <c r="CN20" s="1147">
        <v>38300.608289999996</v>
      </c>
      <c r="CO20" s="1147">
        <v>132632.52528</v>
      </c>
      <c r="CP20" s="1147">
        <v>43645.506390000002</v>
      </c>
      <c r="CQ20" s="1147">
        <v>139270.495</v>
      </c>
      <c r="CR20" s="1147">
        <v>49663.697</v>
      </c>
      <c r="CS20" s="1147">
        <v>150176.91396000001</v>
      </c>
      <c r="CT20" s="1147">
        <v>52797.747080000001</v>
      </c>
      <c r="CU20" s="1147">
        <v>56578.216310000003</v>
      </c>
      <c r="CV20" s="1147">
        <v>5414.6367199999995</v>
      </c>
      <c r="CW20" s="1147">
        <v>67269.746419999996</v>
      </c>
      <c r="CX20" s="1147">
        <v>8810.8865999999998</v>
      </c>
      <c r="CY20" s="1147">
        <v>75930.329549999995</v>
      </c>
      <c r="CZ20" s="1147">
        <v>15308.801369999999</v>
      </c>
      <c r="DA20" s="1147">
        <v>83397.370890000006</v>
      </c>
      <c r="DB20" s="1147">
        <v>20954.808010000001</v>
      </c>
      <c r="DC20" s="1147">
        <v>90581.469799999992</v>
      </c>
      <c r="DD20" s="1147">
        <v>27919.489879999997</v>
      </c>
      <c r="DE20" s="1147">
        <v>100211.72125</v>
      </c>
      <c r="DF20" s="1147">
        <v>31642.384489999997</v>
      </c>
      <c r="DG20" s="1147">
        <v>109920.42668</v>
      </c>
      <c r="DH20" s="1147">
        <v>34843.251779999999</v>
      </c>
      <c r="DI20" s="1147">
        <v>122666.97942</v>
      </c>
      <c r="DJ20" s="1147">
        <v>38614.629810000006</v>
      </c>
      <c r="DK20" s="1147">
        <v>134766.32167999999</v>
      </c>
      <c r="DL20" s="1147">
        <v>52894.339439999996</v>
      </c>
      <c r="DM20" s="1147">
        <v>145939.57534000001</v>
      </c>
      <c r="DN20" s="1147">
        <v>55813.869749999998</v>
      </c>
      <c r="DO20" s="1147">
        <v>151556.59073</v>
      </c>
      <c r="DP20" s="1147">
        <v>58908.248540000001</v>
      </c>
      <c r="DQ20" s="1147">
        <v>163453.35830000002</v>
      </c>
      <c r="DR20" s="1147">
        <v>71452.031080000001</v>
      </c>
      <c r="DS20" s="1147">
        <v>51225.643069999998</v>
      </c>
      <c r="DT20" s="1147">
        <v>7481.6456100000005</v>
      </c>
      <c r="DU20" s="1147">
        <v>65813.631250000006</v>
      </c>
      <c r="DV20" s="1147">
        <v>13047.1054</v>
      </c>
      <c r="DW20" s="1147">
        <v>79291.293489999996</v>
      </c>
      <c r="DX20" s="1147">
        <v>15645.088589999999</v>
      </c>
      <c r="DY20" s="1147">
        <v>87218.987590000004</v>
      </c>
      <c r="DZ20" s="1147">
        <v>19677.47611</v>
      </c>
      <c r="EA20" s="1147">
        <v>95592.521049999996</v>
      </c>
      <c r="EB20" s="1147">
        <v>23134.08268</v>
      </c>
      <c r="EC20" s="1147">
        <v>105765.65452</v>
      </c>
      <c r="ED20" s="1147">
        <v>29825.45939</v>
      </c>
      <c r="EE20" s="1147">
        <v>120692.77292</v>
      </c>
      <c r="EF20" s="1147">
        <v>35113.862789999999</v>
      </c>
      <c r="EG20" s="1147">
        <v>127405.53</v>
      </c>
      <c r="EH20" s="1147">
        <v>49492.572030000003</v>
      </c>
      <c r="EI20" s="1147">
        <v>150625.96319000001</v>
      </c>
      <c r="EJ20" s="1147">
        <v>58448.597310000005</v>
      </c>
      <c r="EK20" s="1147">
        <v>157704.51853999999</v>
      </c>
      <c r="EL20" s="1147">
        <v>64625.092620000003</v>
      </c>
      <c r="EM20" s="1147">
        <v>164598.85021999999</v>
      </c>
      <c r="EN20" s="1147">
        <v>68636.230060000002</v>
      </c>
      <c r="EO20" s="1147">
        <v>179229.35571999999</v>
      </c>
      <c r="EP20" s="1147">
        <v>75010.262520000004</v>
      </c>
      <c r="EQ20" s="1147">
        <v>59855.942369999997</v>
      </c>
      <c r="ER20" s="1147">
        <v>3100.9073800000001</v>
      </c>
      <c r="ES20" s="1147">
        <v>72559.160919999995</v>
      </c>
      <c r="ET20" s="1147">
        <v>11599.663839999999</v>
      </c>
      <c r="EU20" s="1147">
        <v>85361.039309999993</v>
      </c>
      <c r="EV20" s="1147">
        <v>17181.026450000001</v>
      </c>
      <c r="EW20" s="1147">
        <v>96041.835569999996</v>
      </c>
      <c r="EX20" s="1147">
        <v>24904.63798</v>
      </c>
      <c r="EY20" s="1147">
        <v>109335.55128</v>
      </c>
      <c r="EZ20" s="1147">
        <v>30183.416450000001</v>
      </c>
      <c r="FA20" s="1147">
        <v>120607.40051000001</v>
      </c>
      <c r="FB20" s="1147">
        <v>36000.943339999903</v>
      </c>
      <c r="FC20" s="1147">
        <v>137463.38609000001</v>
      </c>
      <c r="FD20" s="1147">
        <v>41588.87066</v>
      </c>
      <c r="FE20" s="1147">
        <v>172884.26991</v>
      </c>
      <c r="FF20" s="1147">
        <v>53466.169620000001</v>
      </c>
      <c r="FG20" s="1147">
        <v>182918.19576</v>
      </c>
      <c r="FH20" s="1147">
        <v>58944.947979999997</v>
      </c>
      <c r="FI20" s="1147">
        <v>194543.34026</v>
      </c>
      <c r="FJ20" s="1147">
        <v>63009.873820000001</v>
      </c>
      <c r="FK20" s="1147">
        <v>215131.84138</v>
      </c>
      <c r="FL20" s="1147">
        <v>66907.458549999996</v>
      </c>
      <c r="FM20" s="1147">
        <v>61892.106020000007</v>
      </c>
      <c r="FN20" s="1147">
        <v>6041.3434699999998</v>
      </c>
      <c r="FO20" s="1147">
        <v>81110.348280000006</v>
      </c>
      <c r="FP20" s="1147">
        <v>11669.42215</v>
      </c>
      <c r="FQ20" s="1147">
        <v>105380.55508000001</v>
      </c>
      <c r="FR20" s="1147">
        <v>17753.11836</v>
      </c>
      <c r="FS20" s="1147">
        <v>121562.28306999999</v>
      </c>
      <c r="FT20" s="1147">
        <v>24134.090850000001</v>
      </c>
      <c r="FU20" s="1147">
        <v>140479.43674999999</v>
      </c>
      <c r="FV20" s="1147">
        <v>30939.653839999999</v>
      </c>
      <c r="FW20" s="1147">
        <v>163423.30710000001</v>
      </c>
      <c r="FX20" s="1147">
        <v>37783.731799999994</v>
      </c>
      <c r="FY20" s="1147">
        <v>188862.28013</v>
      </c>
      <c r="FZ20" s="1147">
        <v>45089.197200000002</v>
      </c>
      <c r="GA20" s="1147">
        <v>207880.78190999999</v>
      </c>
      <c r="GB20" s="1147">
        <v>53843.698850000001</v>
      </c>
      <c r="GC20" s="1147">
        <v>226577.47053999998</v>
      </c>
      <c r="GD20" s="1147">
        <v>67619.783739999999</v>
      </c>
      <c r="GE20" s="1147">
        <v>248986.07190000001</v>
      </c>
      <c r="GF20" s="1147">
        <v>77709.491099999999</v>
      </c>
      <c r="GG20" s="1147">
        <v>265495.34577999997</v>
      </c>
      <c r="GH20" s="1147">
        <v>89525.853730000003</v>
      </c>
      <c r="GI20" s="1147">
        <v>293090.57013000001</v>
      </c>
      <c r="GJ20" s="1147">
        <v>144012.17965000001</v>
      </c>
      <c r="GK20" s="1147">
        <v>68700.63751</v>
      </c>
      <c r="GL20" s="1147">
        <v>8481.7184799999995</v>
      </c>
      <c r="GM20" s="1147">
        <v>90703.944989999989</v>
      </c>
      <c r="GN20" s="1147">
        <v>18027.527529999999</v>
      </c>
      <c r="GO20" s="1147">
        <v>115945.8548</v>
      </c>
      <c r="GP20" s="1147">
        <v>28106.21819</v>
      </c>
      <c r="GQ20" s="1147">
        <v>133640.47946</v>
      </c>
      <c r="GR20" s="1147">
        <v>41896.657570000003</v>
      </c>
      <c r="GS20" s="1147">
        <v>154290.61724000002</v>
      </c>
      <c r="GT20" s="1147">
        <v>54578.63265</v>
      </c>
      <c r="GU20" s="1147">
        <v>171121.23814</v>
      </c>
      <c r="GV20" s="1147">
        <v>64329.61045</v>
      </c>
      <c r="GW20" s="1147">
        <v>205213.24280000001</v>
      </c>
      <c r="GX20" s="1147">
        <v>77155.586850000007</v>
      </c>
      <c r="GY20" s="1147">
        <v>229809.12445999999</v>
      </c>
      <c r="GZ20" s="1147">
        <v>89956.795670000007</v>
      </c>
      <c r="HA20" s="1147">
        <v>247230.81286000001</v>
      </c>
      <c r="HB20" s="1147">
        <v>103261.05398</v>
      </c>
      <c r="HC20" s="1147">
        <v>263549.87964</v>
      </c>
      <c r="HD20" s="1147">
        <v>116203.02244</v>
      </c>
      <c r="HE20" s="1147">
        <v>291099.72287</v>
      </c>
      <c r="HF20" s="1147">
        <v>128695.96759</v>
      </c>
      <c r="HG20" s="1147">
        <v>317559.98196</v>
      </c>
      <c r="HH20" s="1147">
        <v>141291.65947000001</v>
      </c>
      <c r="HI20" s="1147">
        <v>69049.574529999998</v>
      </c>
      <c r="HJ20" s="1147">
        <v>8777.0575200000003</v>
      </c>
      <c r="HK20" s="1147">
        <v>95153.139639999994</v>
      </c>
      <c r="HL20" s="1147">
        <v>18971.63</v>
      </c>
      <c r="HM20" s="1147">
        <v>114881.99460999999</v>
      </c>
      <c r="HN20" s="1147">
        <v>27676.435539999999</v>
      </c>
      <c r="HO20" s="1147">
        <v>135457.30457000001</v>
      </c>
      <c r="HP20" s="1147">
        <v>41848.241000000002</v>
      </c>
      <c r="HQ20" s="1147">
        <v>162853.35821999999</v>
      </c>
      <c r="HR20" s="1147">
        <v>55794.134570000002</v>
      </c>
      <c r="HS20" s="1147">
        <v>182271.09333</v>
      </c>
      <c r="HT20" s="1147">
        <v>64929.339780000002</v>
      </c>
      <c r="HU20" s="1147">
        <v>223285.94949999999</v>
      </c>
      <c r="HV20" s="1147">
        <v>77913.48371</v>
      </c>
      <c r="HW20" s="1147">
        <v>247942.45676999999</v>
      </c>
      <c r="HX20" s="1147">
        <v>90426.452950000006</v>
      </c>
      <c r="HY20" s="1147">
        <v>272931.00429999997</v>
      </c>
      <c r="HZ20" s="1147">
        <v>102969.47552000001</v>
      </c>
      <c r="IA20" s="1147">
        <v>297465.80948</v>
      </c>
      <c r="IB20" s="1147">
        <v>115296.87714</v>
      </c>
      <c r="IC20" s="1147">
        <v>321891.58977999998</v>
      </c>
      <c r="ID20" s="1147">
        <v>126496.33633999999</v>
      </c>
      <c r="IE20" s="1147">
        <v>355162.90917</v>
      </c>
      <c r="IF20" s="1147">
        <v>140665.02784</v>
      </c>
      <c r="IG20" s="1147">
        <v>65501.153400000003</v>
      </c>
      <c r="IH20" s="1147">
        <v>11184.82439</v>
      </c>
      <c r="II20" s="1147">
        <v>99558.938339999993</v>
      </c>
      <c r="IJ20" s="1147">
        <v>24777.410749999999</v>
      </c>
      <c r="IK20" s="1147">
        <v>122315.37115000001</v>
      </c>
      <c r="IL20" s="1147">
        <v>34356.92</v>
      </c>
      <c r="IM20" s="1147">
        <v>149423.65151</v>
      </c>
      <c r="IN20" s="1147">
        <v>52501.687989999999</v>
      </c>
      <c r="IO20" s="1147">
        <v>172310.86583</v>
      </c>
      <c r="IP20" s="1147">
        <v>66753.844010000001</v>
      </c>
      <c r="IQ20" s="1147">
        <v>209113.31330000001</v>
      </c>
      <c r="IR20" s="1147">
        <v>81747.327210000003</v>
      </c>
      <c r="IS20" s="1654" t="s">
        <v>3156</v>
      </c>
    </row>
    <row r="21" spans="1:253" ht="36" customHeight="1">
      <c r="A21" s="1652">
        <v>10</v>
      </c>
      <c r="B21" s="1653" t="s">
        <v>2327</v>
      </c>
      <c r="C21" s="1147">
        <v>3013.17</v>
      </c>
      <c r="D21" s="1147">
        <v>2.1949999999999998</v>
      </c>
      <c r="E21" s="1147">
        <v>5713.4689400000007</v>
      </c>
      <c r="F21" s="1147">
        <v>3412.3323399999999</v>
      </c>
      <c r="G21" s="1147">
        <v>8190.3213099999994</v>
      </c>
      <c r="H21" s="1147">
        <v>3802.55656</v>
      </c>
      <c r="I21" s="1147">
        <v>10889.157499999999</v>
      </c>
      <c r="J21" s="1147">
        <v>4332.0009500000006</v>
      </c>
      <c r="K21" s="1147">
        <v>15406.210999999999</v>
      </c>
      <c r="L21" s="1147">
        <v>8799.2549299999991</v>
      </c>
      <c r="M21" s="1147">
        <v>16947.738000000001</v>
      </c>
      <c r="N21" s="1147">
        <v>9423.5326400000013</v>
      </c>
      <c r="O21" s="1147">
        <v>22483.764999999999</v>
      </c>
      <c r="P21" s="1147">
        <v>11026.849</v>
      </c>
      <c r="Q21" s="1147">
        <v>24731.312999999998</v>
      </c>
      <c r="R21" s="1147">
        <v>14061.576999999999</v>
      </c>
      <c r="S21" s="1147">
        <v>26373.764999999999</v>
      </c>
      <c r="T21" s="1147">
        <v>19001.14</v>
      </c>
      <c r="U21" s="1147">
        <v>27887.284</v>
      </c>
      <c r="V21" s="1147">
        <v>20046.441999999999</v>
      </c>
      <c r="W21" s="1147">
        <v>29672.706999999999</v>
      </c>
      <c r="X21" s="1147">
        <v>21004.513999999999</v>
      </c>
      <c r="Y21" s="1147">
        <v>31737.937999999998</v>
      </c>
      <c r="Z21" s="1147">
        <v>21959.718000000001</v>
      </c>
      <c r="AA21" s="1147">
        <v>1204.0567599999999</v>
      </c>
      <c r="AB21" s="1147">
        <v>1454.6282800000001</v>
      </c>
      <c r="AC21" s="1147">
        <v>3126.2185399999998</v>
      </c>
      <c r="AD21" s="1147">
        <v>2320.38148</v>
      </c>
      <c r="AE21" s="1147">
        <v>4260.9535199999991</v>
      </c>
      <c r="AF21" s="1147">
        <v>3458.8797100000002</v>
      </c>
      <c r="AG21" s="1147">
        <v>5785.2639100000006</v>
      </c>
      <c r="AH21" s="1147">
        <v>4935.2298499999997</v>
      </c>
      <c r="AI21" s="1147">
        <v>7372.5469499999999</v>
      </c>
      <c r="AJ21" s="1147">
        <v>9060.7184699999998</v>
      </c>
      <c r="AK21" s="1147">
        <v>8748.3058699999983</v>
      </c>
      <c r="AL21" s="1147">
        <v>1594.4327900000001</v>
      </c>
      <c r="AM21" s="1147">
        <v>10371.667019999999</v>
      </c>
      <c r="AN21" s="1147">
        <v>12322.83814</v>
      </c>
      <c r="AO21" s="1147">
        <v>12882.168240000001</v>
      </c>
      <c r="AP21" s="1147">
        <v>12949.103519999999</v>
      </c>
      <c r="AQ21" s="1147">
        <v>14145.020060000001</v>
      </c>
      <c r="AR21" s="1147">
        <v>14420.57439</v>
      </c>
      <c r="AS21" s="1147">
        <v>15738.71026</v>
      </c>
      <c r="AT21" s="1147">
        <v>15403.710800000001</v>
      </c>
      <c r="AU21" s="1147">
        <v>18606.235350000003</v>
      </c>
      <c r="AV21" s="1147">
        <v>16153.67282</v>
      </c>
      <c r="AW21" s="1147">
        <v>19893.53772</v>
      </c>
      <c r="AX21" s="1147">
        <v>17582.577219999999</v>
      </c>
      <c r="AY21" s="1147">
        <v>954.92994999999996</v>
      </c>
      <c r="AZ21" s="1147">
        <v>3258.6581099999999</v>
      </c>
      <c r="BA21" s="1147">
        <v>2227.8647999999998</v>
      </c>
      <c r="BB21" s="1147">
        <v>4551.1624599999996</v>
      </c>
      <c r="BC21" s="1147">
        <v>3167.53</v>
      </c>
      <c r="BD21" s="1147">
        <v>5524.63</v>
      </c>
      <c r="BE21" s="1147">
        <v>5283.3115299999999</v>
      </c>
      <c r="BF21" s="1147">
        <v>6410.0361700000003</v>
      </c>
      <c r="BG21" s="1147">
        <v>6438.7109400000008</v>
      </c>
      <c r="BH21" s="1147">
        <v>8682.0191400000003</v>
      </c>
      <c r="BI21" s="1147">
        <v>7452.6360500000001</v>
      </c>
      <c r="BJ21" s="1147">
        <v>9439.6182799999988</v>
      </c>
      <c r="BK21" s="1147">
        <v>9096.3939100000007</v>
      </c>
      <c r="BL21" s="1147">
        <v>10460.183999999999</v>
      </c>
      <c r="BM21" s="1147">
        <v>10859.14278</v>
      </c>
      <c r="BN21" s="1147">
        <v>10952.355970000001</v>
      </c>
      <c r="BO21" s="1147">
        <v>12374.93519</v>
      </c>
      <c r="BP21" s="1147">
        <v>11347.45181</v>
      </c>
      <c r="BQ21" s="1147">
        <v>13643.04083</v>
      </c>
      <c r="BR21" s="1147">
        <v>11724.842689999999</v>
      </c>
      <c r="BS21" s="1147">
        <v>14827.289699999999</v>
      </c>
      <c r="BT21" s="1147">
        <v>12094.945669999999</v>
      </c>
      <c r="BU21" s="1147">
        <v>15897.041359999999</v>
      </c>
      <c r="BV21" s="1147">
        <v>12349.16095</v>
      </c>
      <c r="BW21" s="1147">
        <v>583.78400999999997</v>
      </c>
      <c r="BX21" s="1147">
        <v>257.32846999999998</v>
      </c>
      <c r="BY21" s="1147">
        <v>1766.8981299999998</v>
      </c>
      <c r="BZ21" s="1147">
        <v>470.65962999999999</v>
      </c>
      <c r="CA21" s="1147">
        <v>2579.3276000000001</v>
      </c>
      <c r="CB21" s="1147">
        <v>637.83263999999997</v>
      </c>
      <c r="CC21" s="1147">
        <v>3601.6342500000001</v>
      </c>
      <c r="CD21" s="1147">
        <v>806.89287999999999</v>
      </c>
      <c r="CE21" s="1147">
        <v>5011.8204100000003</v>
      </c>
      <c r="CF21" s="1147">
        <v>2756.1575499999999</v>
      </c>
      <c r="CG21" s="1147">
        <v>5932.2200599999996</v>
      </c>
      <c r="CH21" s="1147">
        <v>3614.96765</v>
      </c>
      <c r="CI21" s="1147">
        <v>7222.9045500000002</v>
      </c>
      <c r="CJ21" s="1147">
        <v>4422.2173499999999</v>
      </c>
      <c r="CK21" s="1147">
        <v>9686.3846400000002</v>
      </c>
      <c r="CL21" s="1147">
        <v>4723.5481900000004</v>
      </c>
      <c r="CM21" s="1147">
        <v>10522.01921</v>
      </c>
      <c r="CN21" s="1147">
        <v>5806.7676900000006</v>
      </c>
      <c r="CO21" s="1147">
        <v>11351.963699999998</v>
      </c>
      <c r="CP21" s="1147">
        <v>6045.0555800000002</v>
      </c>
      <c r="CQ21" s="1147">
        <v>13297.12513</v>
      </c>
      <c r="CR21" s="1147">
        <v>6155.3352699999996</v>
      </c>
      <c r="CS21" s="1147">
        <v>14860.88582</v>
      </c>
      <c r="CT21" s="1147">
        <v>6262.2628299999997</v>
      </c>
      <c r="CU21" s="1147">
        <v>669.35284999999999</v>
      </c>
      <c r="CV21" s="1147">
        <v>393.52616999999998</v>
      </c>
      <c r="CW21" s="1147">
        <v>1758.0514599999999</v>
      </c>
      <c r="CX21" s="1147">
        <v>1242.23395</v>
      </c>
      <c r="CY21" s="1147">
        <v>2393.2751600000001</v>
      </c>
      <c r="CZ21" s="1147">
        <v>1450.2645299999999</v>
      </c>
      <c r="DA21" s="1147">
        <v>3731.9303999999997</v>
      </c>
      <c r="DB21" s="1147">
        <v>1465.4981</v>
      </c>
      <c r="DC21" s="1147">
        <v>5173.9902499999998</v>
      </c>
      <c r="DD21" s="1147">
        <v>1482.0027399999999</v>
      </c>
      <c r="DE21" s="1147">
        <v>6210.3274499999998</v>
      </c>
      <c r="DF21" s="1147">
        <v>1602.05736</v>
      </c>
      <c r="DG21" s="1147">
        <v>8022.9309699999994</v>
      </c>
      <c r="DH21" s="1147">
        <v>1624.03899</v>
      </c>
      <c r="DI21" s="1147">
        <v>10648.850630000001</v>
      </c>
      <c r="DJ21" s="1147">
        <v>1819.72801</v>
      </c>
      <c r="DK21" s="1147">
        <v>11903.947880000002</v>
      </c>
      <c r="DL21" s="1147">
        <v>1939.38932</v>
      </c>
      <c r="DM21" s="1147">
        <v>13451.69075</v>
      </c>
      <c r="DN21" s="1147">
        <v>2404.3788799999998</v>
      </c>
      <c r="DO21" s="1147">
        <v>14636.02577</v>
      </c>
      <c r="DP21" s="1147">
        <v>2527.4334700000004</v>
      </c>
      <c r="DQ21" s="1147">
        <v>15942.26714</v>
      </c>
      <c r="DR21" s="1147">
        <v>4051.9436600000004</v>
      </c>
      <c r="DS21" s="1147">
        <v>793.86986999999999</v>
      </c>
      <c r="DT21" s="1147">
        <v>226.05765</v>
      </c>
      <c r="DU21" s="1147">
        <v>2327.0565899999997</v>
      </c>
      <c r="DV21" s="1147">
        <v>717.25036</v>
      </c>
      <c r="DW21" s="1147">
        <v>3537.4965099999999</v>
      </c>
      <c r="DX21" s="1147">
        <v>841.42061999999999</v>
      </c>
      <c r="DY21" s="1147">
        <v>5131.87464</v>
      </c>
      <c r="DZ21" s="1147">
        <v>1000.25686</v>
      </c>
      <c r="EA21" s="1147">
        <v>6438.9407499999998</v>
      </c>
      <c r="EB21" s="1147">
        <v>1154.7743500000001</v>
      </c>
      <c r="EC21" s="1147">
        <v>7709.9269899999999</v>
      </c>
      <c r="ED21" s="1147">
        <v>1331.7523899999999</v>
      </c>
      <c r="EE21" s="1147">
        <v>10839.239119999998</v>
      </c>
      <c r="EF21" s="1147">
        <v>1509.8169399999999</v>
      </c>
      <c r="EG21" s="1147">
        <v>13109.602359999999</v>
      </c>
      <c r="EH21" s="1147">
        <v>1540.0573200000001</v>
      </c>
      <c r="EI21" s="1147">
        <v>14895.35396</v>
      </c>
      <c r="EJ21" s="1147">
        <v>2253.6467000000002</v>
      </c>
      <c r="EK21" s="1147">
        <v>16496.636579999999</v>
      </c>
      <c r="EL21" s="1147">
        <v>2395.7028599999999</v>
      </c>
      <c r="EM21" s="1147">
        <v>17793.394039999999</v>
      </c>
      <c r="EN21" s="1147">
        <v>2648.2793099999999</v>
      </c>
      <c r="EO21" s="1147">
        <v>19232.154910000001</v>
      </c>
      <c r="EP21" s="1147">
        <v>3119.4384300000002</v>
      </c>
      <c r="EQ21" s="1147">
        <v>969.23221999999998</v>
      </c>
      <c r="ER21" s="1147">
        <v>110.25497</v>
      </c>
      <c r="ES21" s="1147">
        <v>2941.9253199999998</v>
      </c>
      <c r="ET21" s="1147">
        <v>319.40539000000001</v>
      </c>
      <c r="EU21" s="1147">
        <v>4201.0207499999997</v>
      </c>
      <c r="EV21" s="1147">
        <v>473.01152999999999</v>
      </c>
      <c r="EW21" s="1147">
        <v>6107.0601900000001</v>
      </c>
      <c r="EX21" s="1147">
        <v>550.35058000000004</v>
      </c>
      <c r="EY21" s="1147">
        <v>7660.6097200000004</v>
      </c>
      <c r="EZ21" s="1147">
        <v>963.73891000000003</v>
      </c>
      <c r="FA21" s="1147">
        <v>8940.5182700000005</v>
      </c>
      <c r="FB21" s="1147">
        <v>1526.07915</v>
      </c>
      <c r="FC21" s="1147">
        <v>11527.433000000001</v>
      </c>
      <c r="FD21" s="1147">
        <v>1565.72849</v>
      </c>
      <c r="FE21" s="1147">
        <v>14727.61577</v>
      </c>
      <c r="FF21" s="1147">
        <v>1702.6388199999999</v>
      </c>
      <c r="FG21" s="1147">
        <v>17017.731469999999</v>
      </c>
      <c r="FH21" s="1147">
        <v>1930.2742499999999</v>
      </c>
      <c r="FI21" s="1147">
        <v>19163.069199999998</v>
      </c>
      <c r="FJ21" s="1147">
        <v>2259.9180799999999</v>
      </c>
      <c r="FK21" s="1147">
        <v>21241.758949999999</v>
      </c>
      <c r="FL21" s="1147">
        <v>2325.69704</v>
      </c>
      <c r="FM21" s="1147">
        <v>1177.4265399999999</v>
      </c>
      <c r="FN21" s="1147">
        <v>29.763339999999999</v>
      </c>
      <c r="FO21" s="1147">
        <v>4204.4232099999999</v>
      </c>
      <c r="FP21" s="1147">
        <v>685.77191000000005</v>
      </c>
      <c r="FQ21" s="1147">
        <v>5781.83241</v>
      </c>
      <c r="FR21" s="1147">
        <v>867.96416999999997</v>
      </c>
      <c r="FS21" s="1147">
        <v>8021.2286799999993</v>
      </c>
      <c r="FT21" s="1147">
        <v>903.55177000000003</v>
      </c>
      <c r="FU21" s="1147">
        <v>10375.729369999999</v>
      </c>
      <c r="FV21" s="1147">
        <v>1038.87086</v>
      </c>
      <c r="FW21" s="1147">
        <v>11861.04189</v>
      </c>
      <c r="FX21" s="1147">
        <v>1444.5841799999998</v>
      </c>
      <c r="FY21" s="1147">
        <v>14974.525949999999</v>
      </c>
      <c r="FZ21" s="1147">
        <v>1648.67749</v>
      </c>
      <c r="GA21" s="1147">
        <v>17874.11609</v>
      </c>
      <c r="GB21" s="1147">
        <v>2163.67002</v>
      </c>
      <c r="GC21" s="1147">
        <v>19223.95693</v>
      </c>
      <c r="GD21" s="1147">
        <v>2543.0409599999998</v>
      </c>
      <c r="GE21" s="1147">
        <v>21449.04811</v>
      </c>
      <c r="GF21" s="1147">
        <v>2790.5878200000002</v>
      </c>
      <c r="GG21" s="1147">
        <v>23211.83581</v>
      </c>
      <c r="GH21" s="1147">
        <v>3143.6208799999999</v>
      </c>
      <c r="GI21" s="1147">
        <v>25357.100539999999</v>
      </c>
      <c r="GJ21" s="1147">
        <v>3387.03341</v>
      </c>
      <c r="GK21" s="1147">
        <v>971.90337</v>
      </c>
      <c r="GL21" s="1147">
        <v>212.35144</v>
      </c>
      <c r="GM21" s="1147">
        <v>3875.50864</v>
      </c>
      <c r="GN21" s="1147">
        <v>872.16201999999998</v>
      </c>
      <c r="GO21" s="1147">
        <v>5190.1605300000001</v>
      </c>
      <c r="GP21" s="1147">
        <v>1010.80926</v>
      </c>
      <c r="GQ21" s="1147">
        <v>7806.59022</v>
      </c>
      <c r="GR21" s="1147">
        <v>1089.62618</v>
      </c>
      <c r="GS21" s="1147">
        <v>9799.2059399999998</v>
      </c>
      <c r="GT21" s="1147">
        <v>1403.03998</v>
      </c>
      <c r="GU21" s="1147">
        <v>10945.218150000001</v>
      </c>
      <c r="GV21" s="1147">
        <v>3192.3269700000001</v>
      </c>
      <c r="GW21" s="1147">
        <v>13962.943230000001</v>
      </c>
      <c r="GX21" s="1147">
        <v>3260.5934099999999</v>
      </c>
      <c r="GY21" s="1147">
        <v>17549.052970000001</v>
      </c>
      <c r="GZ21" s="1147">
        <v>3313.0545000000002</v>
      </c>
      <c r="HA21" s="1147">
        <v>18944.909670000001</v>
      </c>
      <c r="HB21" s="1147">
        <v>3551.8382200000001</v>
      </c>
      <c r="HC21" s="1147">
        <v>20361.256570000001</v>
      </c>
      <c r="HD21" s="1147">
        <v>3797.3623400000001</v>
      </c>
      <c r="HE21" s="1147">
        <v>23426.38652</v>
      </c>
      <c r="HF21" s="1147">
        <v>4263.3498</v>
      </c>
      <c r="HG21" s="1147">
        <v>25676.96776</v>
      </c>
      <c r="HH21" s="1147">
        <v>4278.8660900000004</v>
      </c>
      <c r="HI21" s="1147">
        <v>1395.7127</v>
      </c>
      <c r="HJ21" s="1147">
        <v>115.90953</v>
      </c>
      <c r="HK21" s="1147">
        <v>4915.1590699999997</v>
      </c>
      <c r="HL21" s="1147">
        <v>148.71206000000001</v>
      </c>
      <c r="HM21" s="1147">
        <v>6535.7178800000002</v>
      </c>
      <c r="HN21" s="1147">
        <v>192.42604</v>
      </c>
      <c r="HO21" s="1147">
        <v>9517.2672199999997</v>
      </c>
      <c r="HP21" s="1147">
        <v>443.59575999999998</v>
      </c>
      <c r="HQ21" s="1147">
        <v>12036.420760000001</v>
      </c>
      <c r="HR21" s="1147">
        <v>582.78638999999998</v>
      </c>
      <c r="HS21" s="1147">
        <v>13304.551289999999</v>
      </c>
      <c r="HT21" s="1147">
        <v>1266.8707999999999</v>
      </c>
      <c r="HU21" s="1147">
        <v>16288.652260000001</v>
      </c>
      <c r="HV21" s="1147">
        <v>2010.1962100000001</v>
      </c>
      <c r="HW21" s="1147">
        <v>21062.79538</v>
      </c>
      <c r="HX21" s="1147">
        <v>2109.0122700000002</v>
      </c>
      <c r="HY21" s="1147">
        <v>22741.58022</v>
      </c>
      <c r="HZ21" s="1147">
        <v>2160.6931300000001</v>
      </c>
      <c r="IA21" s="1147">
        <v>24584.186379999999</v>
      </c>
      <c r="IB21" s="1147">
        <v>2384.5927200000001</v>
      </c>
      <c r="IC21" s="1147">
        <v>28703.581419999999</v>
      </c>
      <c r="ID21" s="1147">
        <v>2534.8977799999998</v>
      </c>
      <c r="IE21" s="1147">
        <v>30847.997459999999</v>
      </c>
      <c r="IF21" s="1147">
        <v>2606.7104100000001</v>
      </c>
      <c r="IG21" s="1147">
        <v>1560.5420300000001</v>
      </c>
      <c r="IH21" s="1147">
        <v>138.60861</v>
      </c>
      <c r="II21" s="1147">
        <v>4789.7960000000003</v>
      </c>
      <c r="IJ21" s="1147">
        <v>497.52474000000001</v>
      </c>
      <c r="IK21" s="1147">
        <v>6626.3472099999999</v>
      </c>
      <c r="IL21" s="1147">
        <v>955.00552000000005</v>
      </c>
      <c r="IM21" s="1147">
        <v>8864.4147099999991</v>
      </c>
      <c r="IN21" s="1147">
        <v>971.31547999999998</v>
      </c>
      <c r="IO21" s="1147">
        <v>11818.23962</v>
      </c>
      <c r="IP21" s="1147">
        <v>1490.7784200000001</v>
      </c>
      <c r="IQ21" s="1147">
        <v>13626.577810000001</v>
      </c>
      <c r="IR21" s="1147">
        <v>1664.2560100000001</v>
      </c>
      <c r="IS21" s="1654" t="s">
        <v>3157</v>
      </c>
    </row>
    <row r="22" spans="1:253" ht="36" customHeight="1">
      <c r="A22" s="1652">
        <v>11</v>
      </c>
      <c r="B22" s="1653" t="s">
        <v>2326</v>
      </c>
      <c r="C22" s="1147">
        <v>1850.1813500000001</v>
      </c>
      <c r="D22" s="1147">
        <v>0</v>
      </c>
      <c r="E22" s="1147">
        <v>1850.1813500000001</v>
      </c>
      <c r="F22" s="1147">
        <v>0</v>
      </c>
      <c r="G22" s="1147">
        <v>1883.80943</v>
      </c>
      <c r="H22" s="1147">
        <v>0</v>
      </c>
      <c r="I22" s="1147">
        <v>1890.9931100000001</v>
      </c>
      <c r="J22" s="1147">
        <v>0</v>
      </c>
      <c r="K22" s="1147">
        <v>2651.5430000000001</v>
      </c>
      <c r="L22" s="1147">
        <v>0</v>
      </c>
      <c r="M22" s="1147">
        <v>3447.6010000000001</v>
      </c>
      <c r="N22" s="1147">
        <v>0</v>
      </c>
      <c r="O22" s="1147">
        <v>3447.7359100000003</v>
      </c>
      <c r="P22" s="1147">
        <v>0</v>
      </c>
      <c r="Q22" s="1147">
        <v>3730.5279999999998</v>
      </c>
      <c r="R22" s="1147">
        <v>0</v>
      </c>
      <c r="S22" s="1147">
        <v>3730.6849999999999</v>
      </c>
      <c r="T22" s="1147">
        <v>0</v>
      </c>
      <c r="U22" s="1147">
        <v>3867.3620000000001</v>
      </c>
      <c r="V22" s="1147">
        <v>0</v>
      </c>
      <c r="W22" s="1147">
        <v>4065.9720000000002</v>
      </c>
      <c r="X22" s="1147">
        <v>0</v>
      </c>
      <c r="Y22" s="1147">
        <v>4643.5673499999994</v>
      </c>
      <c r="Z22" s="1147">
        <v>0</v>
      </c>
      <c r="AA22" s="1147">
        <v>1968.2588700000001</v>
      </c>
      <c r="AB22" s="1147">
        <v>5.08</v>
      </c>
      <c r="AC22" s="1147">
        <v>2543.9088900000002</v>
      </c>
      <c r="AD22" s="1147">
        <v>7.16</v>
      </c>
      <c r="AE22" s="1147">
        <v>2706.7964999999999</v>
      </c>
      <c r="AF22" s="1147">
        <v>8.57</v>
      </c>
      <c r="AG22" s="1147">
        <v>2931.21045</v>
      </c>
      <c r="AH22" s="1147">
        <v>15.855</v>
      </c>
      <c r="AI22" s="1147">
        <v>4219.3986100000002</v>
      </c>
      <c r="AJ22" s="1147">
        <v>48.990169999999999</v>
      </c>
      <c r="AK22" s="1147">
        <v>4914.9258200000004</v>
      </c>
      <c r="AL22" s="1147">
        <v>289.85687000000001</v>
      </c>
      <c r="AM22" s="1147">
        <v>5225.5850399999999</v>
      </c>
      <c r="AN22" s="1147">
        <v>97.446160000000006</v>
      </c>
      <c r="AO22" s="1147">
        <v>5829.8081099999999</v>
      </c>
      <c r="AP22" s="1147">
        <v>148.45320000000001</v>
      </c>
      <c r="AQ22" s="1147">
        <v>7546.8076900000005</v>
      </c>
      <c r="AR22" s="1147">
        <v>200.41863000000001</v>
      </c>
      <c r="AS22" s="1147">
        <v>7984.8627900000001</v>
      </c>
      <c r="AT22" s="1147">
        <v>267.47841</v>
      </c>
      <c r="AU22" s="1147">
        <v>8400.7966799999995</v>
      </c>
      <c r="AV22" s="1147">
        <v>318.11894999999998</v>
      </c>
      <c r="AW22" s="1147">
        <v>10911.34431</v>
      </c>
      <c r="AX22" s="1147">
        <v>423.72563000000002</v>
      </c>
      <c r="AY22" s="1147">
        <v>2507.3971099999999</v>
      </c>
      <c r="AZ22" s="1147">
        <v>107.57234</v>
      </c>
      <c r="BA22" s="1147">
        <v>3072.0745899999997</v>
      </c>
      <c r="BB22" s="1147">
        <v>178.03762</v>
      </c>
      <c r="BC22" s="1147">
        <v>3698.58</v>
      </c>
      <c r="BD22" s="1147">
        <v>261.63</v>
      </c>
      <c r="BE22" s="1147">
        <v>4766.5471799999996</v>
      </c>
      <c r="BF22" s="1147">
        <v>347.15422999999998</v>
      </c>
      <c r="BG22" s="1147">
        <v>6507.2679400000006</v>
      </c>
      <c r="BH22" s="1147">
        <v>591.82269999999994</v>
      </c>
      <c r="BI22" s="1147">
        <v>7434.9830899999997</v>
      </c>
      <c r="BJ22" s="1147">
        <v>687.47811999999999</v>
      </c>
      <c r="BK22" s="1147">
        <v>8432.6401600000008</v>
      </c>
      <c r="BL22" s="1147">
        <v>804.11146999999994</v>
      </c>
      <c r="BM22" s="1147">
        <v>9433.9568800000015</v>
      </c>
      <c r="BN22" s="1147">
        <v>920.53925000000004</v>
      </c>
      <c r="BO22" s="1147">
        <v>11651.59967</v>
      </c>
      <c r="BP22" s="1147">
        <v>1389.52297</v>
      </c>
      <c r="BQ22" s="1147">
        <v>12673.119279999999</v>
      </c>
      <c r="BR22" s="1147">
        <v>1583.6247900000001</v>
      </c>
      <c r="BS22" s="1147">
        <v>13715.48006</v>
      </c>
      <c r="BT22" s="1147">
        <v>1781.6329699999999</v>
      </c>
      <c r="BU22" s="1147">
        <v>16557.412189999999</v>
      </c>
      <c r="BV22" s="1147">
        <v>1962.88004</v>
      </c>
      <c r="BW22" s="1147">
        <v>2793.3012799999997</v>
      </c>
      <c r="BX22" s="1147">
        <v>222.98920000000001</v>
      </c>
      <c r="BY22" s="1147">
        <v>4706.1009400000003</v>
      </c>
      <c r="BZ22" s="1147">
        <v>367.07521999999994</v>
      </c>
      <c r="CA22" s="1147">
        <v>5626.0140199999996</v>
      </c>
      <c r="CB22" s="1147">
        <v>527.53025000000002</v>
      </c>
      <c r="CC22" s="1147">
        <v>7422.6467999999995</v>
      </c>
      <c r="CD22" s="1147">
        <v>788.99052000000006</v>
      </c>
      <c r="CE22" s="1147">
        <v>11567.77385</v>
      </c>
      <c r="CF22" s="1147">
        <v>1025.71108</v>
      </c>
      <c r="CG22" s="1147">
        <v>12720.053679999999</v>
      </c>
      <c r="CH22" s="1147">
        <v>1452.2373500000001</v>
      </c>
      <c r="CI22" s="1147">
        <v>14424.93469</v>
      </c>
      <c r="CJ22" s="1147">
        <v>1740.90085</v>
      </c>
      <c r="CK22" s="1147">
        <v>15495.832390000001</v>
      </c>
      <c r="CL22" s="1147">
        <v>2091.9379300000001</v>
      </c>
      <c r="CM22" s="1147">
        <v>18205.767449999999</v>
      </c>
      <c r="CN22" s="1147">
        <v>2409.73722</v>
      </c>
      <c r="CO22" s="1147">
        <v>19241.834910000001</v>
      </c>
      <c r="CP22" s="1147">
        <v>2592.7546499999999</v>
      </c>
      <c r="CQ22" s="1147">
        <v>20630.255420000001</v>
      </c>
      <c r="CR22" s="1147">
        <v>2875.1189199999999</v>
      </c>
      <c r="CS22" s="1147">
        <v>26786.91347</v>
      </c>
      <c r="CT22" s="1147">
        <v>3269.85815</v>
      </c>
      <c r="CU22" s="1147">
        <v>6975.8847900000001</v>
      </c>
      <c r="CV22" s="1147">
        <v>354.98912999999999</v>
      </c>
      <c r="CW22" s="1147">
        <v>9049.5924900000009</v>
      </c>
      <c r="CX22" s="1147">
        <v>700.52840000000003</v>
      </c>
      <c r="CY22" s="1147">
        <v>10734.73659</v>
      </c>
      <c r="CZ22" s="1147">
        <v>820.10153000000003</v>
      </c>
      <c r="DA22" s="1147">
        <v>12436.81517</v>
      </c>
      <c r="DB22" s="1147">
        <v>989.68706000000009</v>
      </c>
      <c r="DC22" s="1147">
        <v>17579.985379999998</v>
      </c>
      <c r="DD22" s="1147">
        <v>1243.17046</v>
      </c>
      <c r="DE22" s="1147">
        <v>19081.51671</v>
      </c>
      <c r="DF22" s="1147">
        <v>1517.8456699999999</v>
      </c>
      <c r="DG22" s="1147">
        <v>20480.666260000002</v>
      </c>
      <c r="DH22" s="1147">
        <v>1772.6301599999999</v>
      </c>
      <c r="DI22" s="1147">
        <v>21914.058590000001</v>
      </c>
      <c r="DJ22" s="1147">
        <v>2177.1658399999997</v>
      </c>
      <c r="DK22" s="1147">
        <v>24631.674070000001</v>
      </c>
      <c r="DL22" s="1147">
        <v>2483.3299200000001</v>
      </c>
      <c r="DM22" s="1147">
        <v>25811.507839999998</v>
      </c>
      <c r="DN22" s="1147">
        <v>2707.1017299999999</v>
      </c>
      <c r="DO22" s="1147">
        <v>26999.15669</v>
      </c>
      <c r="DP22" s="1147">
        <v>2900.0771400000003</v>
      </c>
      <c r="DQ22" s="1147">
        <v>32838.18131</v>
      </c>
      <c r="DR22" s="1147">
        <v>3360.76089</v>
      </c>
      <c r="DS22" s="1147">
        <v>5878.8135000000002</v>
      </c>
      <c r="DT22" s="1147">
        <v>297.88390999999996</v>
      </c>
      <c r="DU22" s="1147">
        <v>10409.121859999999</v>
      </c>
      <c r="DV22" s="1147">
        <v>783.46928000000003</v>
      </c>
      <c r="DW22" s="1147">
        <v>16231.498939999999</v>
      </c>
      <c r="DX22" s="1147">
        <v>1094.54853</v>
      </c>
      <c r="DY22" s="1147">
        <v>18368.970420000001</v>
      </c>
      <c r="DZ22" s="1147">
        <v>1571.8056200000001</v>
      </c>
      <c r="EA22" s="1147">
        <v>20916.151959999999</v>
      </c>
      <c r="EB22" s="1147">
        <v>2183.0003500000003</v>
      </c>
      <c r="EC22" s="1147">
        <v>24310.32962</v>
      </c>
      <c r="ED22" s="1147">
        <v>2610.3692299999998</v>
      </c>
      <c r="EE22" s="1147">
        <v>25716.23373</v>
      </c>
      <c r="EF22" s="1147">
        <v>2963.7940099999996</v>
      </c>
      <c r="EG22" s="1147">
        <v>27861.340319999999</v>
      </c>
      <c r="EH22" s="1147">
        <v>3642.1509900000001</v>
      </c>
      <c r="EI22" s="1147">
        <v>36318.47982</v>
      </c>
      <c r="EJ22" s="1147">
        <v>4006.0330899999999</v>
      </c>
      <c r="EK22" s="1147">
        <v>37880.395149999902</v>
      </c>
      <c r="EL22" s="1147">
        <v>4476.8529900000003</v>
      </c>
      <c r="EM22" s="1147">
        <v>39109.788200000003</v>
      </c>
      <c r="EN22" s="1147">
        <v>5114.1514999999999</v>
      </c>
      <c r="EO22" s="1147">
        <v>43848.893250000001</v>
      </c>
      <c r="EP22" s="1147">
        <v>5667.4612500000003</v>
      </c>
      <c r="EQ22" s="1147">
        <v>5106.7759599999999</v>
      </c>
      <c r="ER22" s="1147">
        <v>410.63959</v>
      </c>
      <c r="ES22" s="1147">
        <v>7481.5137599999998</v>
      </c>
      <c r="ET22" s="1147">
        <v>881.55969000000005</v>
      </c>
      <c r="EU22" s="1147">
        <v>17711.533619999998</v>
      </c>
      <c r="EV22" s="1147">
        <v>1307.7283399999999</v>
      </c>
      <c r="EW22" s="1147">
        <v>20618.93331</v>
      </c>
      <c r="EX22" s="1147">
        <v>1815.8973599999999</v>
      </c>
      <c r="EY22" s="1147">
        <v>23510.11406</v>
      </c>
      <c r="EZ22" s="1147">
        <v>2252.9793</v>
      </c>
      <c r="FA22" s="1147">
        <v>24905.744180000002</v>
      </c>
      <c r="FB22" s="1147">
        <v>2779.8847599999999</v>
      </c>
      <c r="FC22" s="1147">
        <v>26601.93951</v>
      </c>
      <c r="FD22" s="1147">
        <v>3212.7702100000001</v>
      </c>
      <c r="FE22" s="1147">
        <v>33422.95319</v>
      </c>
      <c r="FF22" s="1147">
        <v>4330.0300999999999</v>
      </c>
      <c r="FG22" s="1147">
        <v>34706.720170000001</v>
      </c>
      <c r="FH22" s="1147">
        <v>4981.8658400000004</v>
      </c>
      <c r="FI22" s="1147">
        <v>36505.90221</v>
      </c>
      <c r="FJ22" s="1147">
        <v>5397.3031200000005</v>
      </c>
      <c r="FK22" s="1147">
        <v>40355.199780000003</v>
      </c>
      <c r="FL22" s="1147">
        <v>6023.2433700000001</v>
      </c>
      <c r="FM22" s="1147">
        <v>1832.4191699999999</v>
      </c>
      <c r="FN22" s="1147">
        <v>625.91935000000001</v>
      </c>
      <c r="FO22" s="1147">
        <v>13391.47006</v>
      </c>
      <c r="FP22" s="1147">
        <v>1424.28169</v>
      </c>
      <c r="FQ22" s="1147">
        <v>29882.534350000002</v>
      </c>
      <c r="FR22" s="1147">
        <v>2070.2272200000002</v>
      </c>
      <c r="FS22" s="1147">
        <v>33787.758700000006</v>
      </c>
      <c r="FT22" s="1147">
        <v>2936.2200699999999</v>
      </c>
      <c r="FU22" s="1147">
        <v>37324.995640000001</v>
      </c>
      <c r="FV22" s="1147">
        <v>3906.71288</v>
      </c>
      <c r="FW22" s="1147">
        <v>39311.313450000001</v>
      </c>
      <c r="FX22" s="1147">
        <v>4556.4034900000006</v>
      </c>
      <c r="FY22" s="1147">
        <v>41430.775729999994</v>
      </c>
      <c r="FZ22" s="1147">
        <v>5354.24071</v>
      </c>
      <c r="GA22" s="1147">
        <v>44160.611069999999</v>
      </c>
      <c r="GB22" s="1147">
        <v>6127.5564800000002</v>
      </c>
      <c r="GC22" s="1147">
        <v>47968.955399999999</v>
      </c>
      <c r="GD22" s="1147">
        <v>6973.7758400000002</v>
      </c>
      <c r="GE22" s="1147">
        <v>50337.086770000002</v>
      </c>
      <c r="GF22" s="1147">
        <v>7895.5179799999996</v>
      </c>
      <c r="GG22" s="1147">
        <v>53629.767010000003</v>
      </c>
      <c r="GH22" s="1147">
        <v>8698.3166399999991</v>
      </c>
      <c r="GI22" s="1147">
        <v>64355.801299999999</v>
      </c>
      <c r="GJ22" s="1147">
        <v>9619.9516400000011</v>
      </c>
      <c r="GK22" s="1147">
        <v>2283.1155699999999</v>
      </c>
      <c r="GL22" s="1147">
        <v>719.16088999999999</v>
      </c>
      <c r="GM22" s="1147">
        <v>9265.3856500000002</v>
      </c>
      <c r="GN22" s="1147">
        <v>1705.6105600000001</v>
      </c>
      <c r="GO22" s="1147">
        <v>27780.963309999999</v>
      </c>
      <c r="GP22" s="1147">
        <v>3002.9472000000001</v>
      </c>
      <c r="GQ22" s="1147">
        <v>36161.658349999998</v>
      </c>
      <c r="GR22" s="1147">
        <v>4492.7753000000002</v>
      </c>
      <c r="GS22" s="1147">
        <v>43767.078829999999</v>
      </c>
      <c r="GT22" s="1147">
        <v>5667.3705099999997</v>
      </c>
      <c r="GU22" s="1147">
        <v>47009.163269999997</v>
      </c>
      <c r="GV22" s="1147">
        <v>6724.0218400000003</v>
      </c>
      <c r="GW22" s="1147">
        <v>52034.819779999998</v>
      </c>
      <c r="GX22" s="1147">
        <v>8000.0991599999998</v>
      </c>
      <c r="GY22" s="1147">
        <v>56074.178379999998</v>
      </c>
      <c r="GZ22" s="1147">
        <v>9222.4769899999992</v>
      </c>
      <c r="HA22" s="1147">
        <v>61422.795030000001</v>
      </c>
      <c r="HB22" s="1147">
        <v>11369.209940000001</v>
      </c>
      <c r="HC22" s="1147">
        <v>66445.625620000006</v>
      </c>
      <c r="HD22" s="1147">
        <v>13048.83633</v>
      </c>
      <c r="HE22" s="1147">
        <v>72998.245670000004</v>
      </c>
      <c r="HF22" s="1147">
        <v>15310.537109999999</v>
      </c>
      <c r="HG22" s="1147">
        <v>79350.834369999997</v>
      </c>
      <c r="HH22" s="1147">
        <v>17351.25174</v>
      </c>
      <c r="HI22" s="1147">
        <v>5601.6929099999998</v>
      </c>
      <c r="HJ22" s="1147">
        <v>1868.71109</v>
      </c>
      <c r="HK22" s="1147">
        <v>19229.070540000001</v>
      </c>
      <c r="HL22" s="1147">
        <v>3516.93379</v>
      </c>
      <c r="HM22" s="1147">
        <v>25181.005710000099</v>
      </c>
      <c r="HN22" s="1147">
        <v>5169.7585017670181</v>
      </c>
      <c r="HO22" s="1147">
        <v>41070.534749999999</v>
      </c>
      <c r="HP22" s="1147">
        <v>7693.2368299999998</v>
      </c>
      <c r="HQ22" s="1147">
        <v>46664.258269999998</v>
      </c>
      <c r="HR22" s="1147">
        <v>10254.29674</v>
      </c>
      <c r="HS22" s="1147">
        <v>49912.470759999997</v>
      </c>
      <c r="HT22" s="1147">
        <v>12550.973</v>
      </c>
      <c r="HU22" s="1147">
        <v>53746.755879999997</v>
      </c>
      <c r="HV22" s="1147">
        <v>15042.664790000001</v>
      </c>
      <c r="HW22" s="1147">
        <v>58515.543389999999</v>
      </c>
      <c r="HX22" s="1147">
        <v>17173.714960000001</v>
      </c>
      <c r="HY22" s="1147">
        <v>63925.015870000003</v>
      </c>
      <c r="HZ22" s="1147">
        <v>19400.562829999999</v>
      </c>
      <c r="IA22" s="1147">
        <v>67151.099849999999</v>
      </c>
      <c r="IB22" s="1147">
        <v>22178.749210000002</v>
      </c>
      <c r="IC22" s="1147">
        <v>71128.894060000006</v>
      </c>
      <c r="ID22" s="1147">
        <v>24175.175670000001</v>
      </c>
      <c r="IE22" s="1147">
        <v>78940.360610000003</v>
      </c>
      <c r="IF22" s="1147">
        <v>27066.878649999999</v>
      </c>
      <c r="IG22" s="1147">
        <v>4228.3221299999996</v>
      </c>
      <c r="IH22" s="1147">
        <v>1854.9226100000001</v>
      </c>
      <c r="II22" s="1147">
        <v>8553.2293900000004</v>
      </c>
      <c r="IJ22" s="1147">
        <v>4325.6314899999998</v>
      </c>
      <c r="IK22" s="1147">
        <v>13354.658949999999</v>
      </c>
      <c r="IL22" s="1147">
        <v>5919.3408799999997</v>
      </c>
      <c r="IM22" s="1147">
        <v>16731.76312</v>
      </c>
      <c r="IN22" s="1147">
        <v>7951.2087899999997</v>
      </c>
      <c r="IO22" s="1147">
        <v>21098.131570000001</v>
      </c>
      <c r="IP22" s="1147">
        <v>10173.65725</v>
      </c>
      <c r="IQ22" s="1147">
        <v>30920.75159</v>
      </c>
      <c r="IR22" s="1147">
        <v>12323.41569</v>
      </c>
      <c r="IS22" s="1654" t="s">
        <v>3158</v>
      </c>
    </row>
    <row r="23" spans="1:253" ht="36" customHeight="1">
      <c r="A23" s="1652">
        <v>12</v>
      </c>
      <c r="B23" s="1653" t="s">
        <v>2323</v>
      </c>
      <c r="C23" s="1147">
        <v>0</v>
      </c>
      <c r="D23" s="1147">
        <v>0</v>
      </c>
      <c r="E23" s="1147">
        <v>0</v>
      </c>
      <c r="F23" s="1147">
        <v>0</v>
      </c>
      <c r="G23" s="1147">
        <v>0</v>
      </c>
      <c r="H23" s="1147">
        <v>0</v>
      </c>
      <c r="I23" s="1147">
        <v>0</v>
      </c>
      <c r="J23" s="1147">
        <v>0</v>
      </c>
      <c r="K23" s="1147">
        <v>0</v>
      </c>
      <c r="L23" s="1147">
        <v>0</v>
      </c>
      <c r="M23" s="1147">
        <v>0</v>
      </c>
      <c r="N23" s="1147">
        <v>0</v>
      </c>
      <c r="O23" s="1147">
        <v>0</v>
      </c>
      <c r="P23" s="1147">
        <v>0</v>
      </c>
      <c r="Q23" s="1147">
        <v>0</v>
      </c>
      <c r="R23" s="1147">
        <v>0</v>
      </c>
      <c r="S23" s="1147">
        <v>0</v>
      </c>
      <c r="T23" s="1147">
        <v>0</v>
      </c>
      <c r="U23" s="1147">
        <v>0</v>
      </c>
      <c r="V23" s="1147">
        <v>0</v>
      </c>
      <c r="W23" s="1147">
        <v>0</v>
      </c>
      <c r="X23" s="1147">
        <v>0</v>
      </c>
      <c r="Y23" s="1147">
        <v>0</v>
      </c>
      <c r="Z23" s="1147">
        <v>0</v>
      </c>
      <c r="AA23" s="1147">
        <v>0</v>
      </c>
      <c r="AB23" s="1147">
        <v>0</v>
      </c>
      <c r="AC23" s="1147">
        <v>0</v>
      </c>
      <c r="AD23" s="1147">
        <v>0</v>
      </c>
      <c r="AE23" s="1147">
        <v>0</v>
      </c>
      <c r="AF23" s="1147">
        <v>0</v>
      </c>
      <c r="AG23" s="1147">
        <v>0</v>
      </c>
      <c r="AH23" s="1147">
        <v>0</v>
      </c>
      <c r="AI23" s="1147">
        <v>0</v>
      </c>
      <c r="AJ23" s="1147">
        <v>0</v>
      </c>
      <c r="AK23" s="1147">
        <v>0</v>
      </c>
      <c r="AL23" s="1147">
        <v>0</v>
      </c>
      <c r="AM23" s="1147">
        <v>0</v>
      </c>
      <c r="AN23" s="1147">
        <v>0</v>
      </c>
      <c r="AO23" s="1147">
        <v>0</v>
      </c>
      <c r="AP23" s="1147">
        <v>0</v>
      </c>
      <c r="AQ23" s="1147">
        <v>0</v>
      </c>
      <c r="AR23" s="1147">
        <v>0</v>
      </c>
      <c r="AS23" s="1147">
        <v>0</v>
      </c>
      <c r="AT23" s="1147">
        <v>0</v>
      </c>
      <c r="AU23" s="1147">
        <v>0</v>
      </c>
      <c r="AV23" s="1147">
        <v>0</v>
      </c>
      <c r="AW23" s="1147">
        <v>0</v>
      </c>
      <c r="AX23" s="1147">
        <v>0</v>
      </c>
      <c r="AY23" s="1147">
        <v>0</v>
      </c>
      <c r="AZ23" s="1147">
        <v>0</v>
      </c>
      <c r="BA23" s="1147">
        <v>0</v>
      </c>
      <c r="BB23" s="1147">
        <v>0</v>
      </c>
      <c r="BC23" s="1147">
        <v>0</v>
      </c>
      <c r="BD23" s="1147">
        <v>0</v>
      </c>
      <c r="BE23" s="1147">
        <v>0</v>
      </c>
      <c r="BF23" s="1147">
        <v>0</v>
      </c>
      <c r="BG23" s="1147">
        <v>0</v>
      </c>
      <c r="BH23" s="1147">
        <v>0</v>
      </c>
      <c r="BI23" s="1147">
        <v>0</v>
      </c>
      <c r="BJ23" s="1147">
        <v>0</v>
      </c>
      <c r="BK23" s="1147">
        <v>0</v>
      </c>
      <c r="BL23" s="1147">
        <v>0</v>
      </c>
      <c r="BM23" s="1147">
        <v>0</v>
      </c>
      <c r="BN23" s="1147">
        <v>0</v>
      </c>
      <c r="BO23" s="1147">
        <v>0</v>
      </c>
      <c r="BP23" s="1147">
        <v>0</v>
      </c>
      <c r="BQ23" s="1147">
        <v>0</v>
      </c>
      <c r="BR23" s="1147">
        <v>0</v>
      </c>
      <c r="BS23" s="1147">
        <v>0</v>
      </c>
      <c r="BT23" s="1147">
        <v>0</v>
      </c>
      <c r="BU23" s="1147">
        <v>0</v>
      </c>
      <c r="BV23" s="1147">
        <v>0</v>
      </c>
      <c r="BW23" s="1147">
        <v>0</v>
      </c>
      <c r="BX23" s="1147">
        <v>0</v>
      </c>
      <c r="BY23" s="1147">
        <v>0</v>
      </c>
      <c r="BZ23" s="1147">
        <v>0</v>
      </c>
      <c r="CA23" s="1147">
        <v>0</v>
      </c>
      <c r="CB23" s="1147">
        <v>0</v>
      </c>
      <c r="CC23" s="1147">
        <v>0</v>
      </c>
      <c r="CD23" s="1147">
        <v>0</v>
      </c>
      <c r="CE23" s="1147">
        <v>176.39022</v>
      </c>
      <c r="CF23" s="1147">
        <v>0</v>
      </c>
      <c r="CG23" s="1147">
        <v>197.20434</v>
      </c>
      <c r="CH23" s="1147">
        <v>0</v>
      </c>
      <c r="CI23" s="1147">
        <v>252.68778</v>
      </c>
      <c r="CJ23" s="1147">
        <v>0</v>
      </c>
      <c r="CK23" s="1147">
        <v>371.32676000000004</v>
      </c>
      <c r="CL23" s="1147">
        <v>0</v>
      </c>
      <c r="CM23" s="1147">
        <v>577.03320999999994</v>
      </c>
      <c r="CN23" s="1147">
        <v>0</v>
      </c>
      <c r="CO23" s="1147">
        <v>870.51594999999998</v>
      </c>
      <c r="CP23" s="1147">
        <v>0</v>
      </c>
      <c r="CQ23" s="1147">
        <v>1297.2740900000001</v>
      </c>
      <c r="CR23" s="1147">
        <v>0</v>
      </c>
      <c r="CS23" s="1147">
        <v>977.30985999999996</v>
      </c>
      <c r="CT23" s="1147">
        <v>0</v>
      </c>
      <c r="CU23" s="1147">
        <v>189.23185999999998</v>
      </c>
      <c r="CV23" s="1147">
        <v>0</v>
      </c>
      <c r="CW23" s="1147">
        <v>312.84636999999998</v>
      </c>
      <c r="CX23" s="1147">
        <v>0</v>
      </c>
      <c r="CY23" s="1147">
        <v>475.33825999999999</v>
      </c>
      <c r="CZ23" s="1147">
        <v>0</v>
      </c>
      <c r="DA23" s="1147">
        <v>671.80943000000002</v>
      </c>
      <c r="DB23" s="1147">
        <v>0</v>
      </c>
      <c r="DC23" s="1147">
        <v>1100.9506999999999</v>
      </c>
      <c r="DD23" s="1147">
        <v>0</v>
      </c>
      <c r="DE23" s="1147">
        <v>1341.2833899999998</v>
      </c>
      <c r="DF23" s="1147">
        <v>0</v>
      </c>
      <c r="DG23" s="1147">
        <v>1689.4921200000001</v>
      </c>
      <c r="DH23" s="1147">
        <v>0</v>
      </c>
      <c r="DI23" s="1147">
        <v>1889.05943</v>
      </c>
      <c r="DJ23" s="1147">
        <v>0</v>
      </c>
      <c r="DK23" s="1147">
        <v>2173.1828300000002</v>
      </c>
      <c r="DL23" s="1147">
        <v>0</v>
      </c>
      <c r="DM23" s="1147">
        <v>3005.6790699999997</v>
      </c>
      <c r="DN23" s="1147">
        <v>0</v>
      </c>
      <c r="DO23" s="1147">
        <v>3245.2032100000001</v>
      </c>
      <c r="DP23" s="1147">
        <v>0</v>
      </c>
      <c r="DQ23" s="1147">
        <v>3671.9475400000001</v>
      </c>
      <c r="DR23" s="1147">
        <v>0</v>
      </c>
      <c r="DS23" s="1147">
        <v>360.00034000000005</v>
      </c>
      <c r="DT23" s="1147">
        <v>72.769779999999997</v>
      </c>
      <c r="DU23" s="1147">
        <v>761.03026</v>
      </c>
      <c r="DV23" s="1147">
        <v>73.222710000000006</v>
      </c>
      <c r="DW23" s="1147">
        <v>1208.81332</v>
      </c>
      <c r="DX23" s="1147">
        <v>73.222710000000006</v>
      </c>
      <c r="DY23" s="1147">
        <v>1491.0692900000001</v>
      </c>
      <c r="DZ23" s="1147">
        <v>73.222710000000006</v>
      </c>
      <c r="EA23" s="1147">
        <v>2121.95921</v>
      </c>
      <c r="EB23" s="1147">
        <v>83.222710000000006</v>
      </c>
      <c r="EC23" s="1147">
        <v>2473.66491</v>
      </c>
      <c r="ED23" s="1147">
        <v>83.499710000000007</v>
      </c>
      <c r="EE23" s="1147">
        <v>3024.6105299999999</v>
      </c>
      <c r="EF23" s="1147">
        <v>83.499710000000007</v>
      </c>
      <c r="EG23" s="1147">
        <v>3554.2550899999997</v>
      </c>
      <c r="EH23" s="1147">
        <v>88.499710000000007</v>
      </c>
      <c r="EI23" s="1147">
        <v>4008.9586099999997</v>
      </c>
      <c r="EJ23" s="1147">
        <v>88.55971000000001</v>
      </c>
      <c r="EK23" s="1147">
        <v>5114.55944</v>
      </c>
      <c r="EL23" s="1147">
        <v>88.559709999999995</v>
      </c>
      <c r="EM23" s="1147">
        <v>5661.9089700000004</v>
      </c>
      <c r="EN23" s="1147">
        <v>121.92345</v>
      </c>
      <c r="EO23" s="1147">
        <v>6294.6871799999999</v>
      </c>
      <c r="EP23" s="1147">
        <v>135.92345</v>
      </c>
      <c r="EQ23" s="1147">
        <v>608.08752000000004</v>
      </c>
      <c r="ER23" s="1147">
        <v>0</v>
      </c>
      <c r="ES23" s="1147">
        <v>1229.0223900000001</v>
      </c>
      <c r="ET23" s="1147">
        <v>3.1242999999999999</v>
      </c>
      <c r="EU23" s="1147">
        <v>1856.9922300000001</v>
      </c>
      <c r="EV23" s="1147">
        <v>4.8166000000000002</v>
      </c>
      <c r="EW23" s="1147">
        <v>2359.0027700000001</v>
      </c>
      <c r="EX23" s="1147">
        <v>131.09447</v>
      </c>
      <c r="EY23" s="1147">
        <v>3075.8826600000002</v>
      </c>
      <c r="EZ23" s="1147">
        <v>136.09447</v>
      </c>
      <c r="FA23" s="1147">
        <v>3739.7153499999999</v>
      </c>
      <c r="FB23" s="1147">
        <v>136.09447</v>
      </c>
      <c r="FC23" s="1147">
        <v>4359.5820100000001</v>
      </c>
      <c r="FD23" s="1147">
        <v>212.69513000000001</v>
      </c>
      <c r="FE23" s="1147">
        <v>5768.5120699999998</v>
      </c>
      <c r="FF23" s="1147">
        <v>334.28498999999999</v>
      </c>
      <c r="FG23" s="1147">
        <v>7062.8437000000004</v>
      </c>
      <c r="FH23" s="1147">
        <v>339.28498999999999</v>
      </c>
      <c r="FI23" s="1147">
        <v>7679.7335000000003</v>
      </c>
      <c r="FJ23" s="1147">
        <v>420.11437999999998</v>
      </c>
      <c r="FK23" s="1147">
        <v>8574.0908600000002</v>
      </c>
      <c r="FL23" s="1147">
        <v>420.11437999999998</v>
      </c>
      <c r="FM23" s="1147">
        <v>700.06043</v>
      </c>
      <c r="FN23" s="1147">
        <v>526.66251</v>
      </c>
      <c r="FO23" s="1147">
        <v>1575.9790600000001</v>
      </c>
      <c r="FP23" s="1147">
        <v>571.77872000000002</v>
      </c>
      <c r="FQ23" s="1147">
        <v>2397.0270999999998</v>
      </c>
      <c r="FR23" s="1147">
        <v>761.39536999999996</v>
      </c>
      <c r="FS23" s="1147">
        <v>3014.12556</v>
      </c>
      <c r="FT23" s="1147">
        <v>870.47050000000002</v>
      </c>
      <c r="FU23" s="1147">
        <v>3885.5582000000004</v>
      </c>
      <c r="FV23" s="1147">
        <v>897.92886999999996</v>
      </c>
      <c r="FW23" s="1147">
        <v>4669.3501299999998</v>
      </c>
      <c r="FX23" s="1147">
        <v>907.35231999999996</v>
      </c>
      <c r="FY23" s="1147">
        <v>5583.1452900000004</v>
      </c>
      <c r="FZ23" s="1147">
        <v>1006.1648100000001</v>
      </c>
      <c r="GA23" s="1147">
        <v>6403.1608900000001</v>
      </c>
      <c r="GB23" s="1147">
        <v>1017.17746</v>
      </c>
      <c r="GC23" s="1147">
        <v>7264.28694</v>
      </c>
      <c r="GD23" s="1147">
        <v>1365.7633600000001</v>
      </c>
      <c r="GE23" s="1147">
        <v>8434.8976299999995</v>
      </c>
      <c r="GF23" s="1147">
        <v>1812.77817</v>
      </c>
      <c r="GG23" s="1147">
        <v>9001.0272100000002</v>
      </c>
      <c r="GH23" s="1147">
        <v>3108.3673699999999</v>
      </c>
      <c r="GI23" s="1147">
        <v>9979.3262799999993</v>
      </c>
      <c r="GJ23" s="1147">
        <v>3486.9117000000001</v>
      </c>
      <c r="GK23" s="1147">
        <v>623.31727000000001</v>
      </c>
      <c r="GL23" s="1147">
        <v>253.83592999999999</v>
      </c>
      <c r="GM23" s="1147">
        <v>1698.0539799999999</v>
      </c>
      <c r="GN23" s="1147">
        <v>1376.3607500000001</v>
      </c>
      <c r="GO23" s="1147">
        <v>2538.35311</v>
      </c>
      <c r="GP23" s="1147">
        <v>1857.0592900000001</v>
      </c>
      <c r="GQ23" s="1147">
        <v>3320.2246700000001</v>
      </c>
      <c r="GR23" s="1147">
        <v>2089.4151499999998</v>
      </c>
      <c r="GS23" s="1147">
        <v>4158.9394199999997</v>
      </c>
      <c r="GT23" s="1147">
        <v>2827.8155200000001</v>
      </c>
      <c r="GU23" s="1147">
        <v>4973.1445599999997</v>
      </c>
      <c r="GV23" s="1147">
        <v>3140.4769299999998</v>
      </c>
      <c r="GW23" s="1147">
        <v>5752.8321699999997</v>
      </c>
      <c r="GX23" s="1147">
        <v>4157.3778000000002</v>
      </c>
      <c r="GY23" s="1147">
        <v>6534.5054700000001</v>
      </c>
      <c r="GZ23" s="1147">
        <v>4295.6682300000002</v>
      </c>
      <c r="HA23" s="1147">
        <v>8071.0487899999998</v>
      </c>
      <c r="HB23" s="1147">
        <v>4847.8527599999998</v>
      </c>
      <c r="HC23" s="1147">
        <v>9323.5113299999994</v>
      </c>
      <c r="HD23" s="1147">
        <v>5205.0987699999996</v>
      </c>
      <c r="HE23" s="1147">
        <v>10231.42706</v>
      </c>
      <c r="HF23" s="1147">
        <v>5557.7624699999997</v>
      </c>
      <c r="HG23" s="1147">
        <v>11366.028550000001</v>
      </c>
      <c r="HH23" s="1147">
        <v>5936.5649199999998</v>
      </c>
      <c r="HI23" s="1147">
        <v>843.83145000000002</v>
      </c>
      <c r="HJ23" s="1147">
        <v>40.452039999999997</v>
      </c>
      <c r="HK23" s="1147">
        <v>1822.1744799999999</v>
      </c>
      <c r="HL23" s="1147">
        <v>2171.1922599999998</v>
      </c>
      <c r="HM23" s="1147">
        <v>2548.7573499999999</v>
      </c>
      <c r="HN23" s="1147">
        <v>2311.1872600000002</v>
      </c>
      <c r="HO23" s="1147">
        <v>3283.05458</v>
      </c>
      <c r="HP23" s="1147">
        <v>2733.0021099999999</v>
      </c>
      <c r="HQ23" s="1147">
        <v>4198.5982899999999</v>
      </c>
      <c r="HR23" s="1147">
        <v>3068.56378</v>
      </c>
      <c r="HS23" s="1147">
        <v>5274.3842699999996</v>
      </c>
      <c r="HT23" s="1147">
        <v>3206.7567199999999</v>
      </c>
      <c r="HU23" s="1147">
        <v>6196.3810000000003</v>
      </c>
      <c r="HV23" s="1147">
        <v>3647.52529</v>
      </c>
      <c r="HW23" s="1147">
        <v>7211.4745800000001</v>
      </c>
      <c r="HX23" s="1147">
        <v>3855.29234</v>
      </c>
      <c r="HY23" s="1147">
        <v>8392.9969799999999</v>
      </c>
      <c r="HZ23" s="1147">
        <v>4078.00459</v>
      </c>
      <c r="IA23" s="1147">
        <v>9714.3896999999997</v>
      </c>
      <c r="IB23" s="1147">
        <v>4236.9320200000002</v>
      </c>
      <c r="IC23" s="1147">
        <v>10614.679620000001</v>
      </c>
      <c r="ID23" s="1147">
        <v>4375.6557700000003</v>
      </c>
      <c r="IE23" s="1147">
        <v>11962.8087</v>
      </c>
      <c r="IF23" s="1147">
        <v>4877.2921900000001</v>
      </c>
      <c r="IG23" s="1147">
        <v>887.40034000000003</v>
      </c>
      <c r="IH23" s="1147">
        <v>519.72203000000002</v>
      </c>
      <c r="II23" s="1147">
        <v>2023.9060899999999</v>
      </c>
      <c r="IJ23" s="1147">
        <v>1519.95713</v>
      </c>
      <c r="IK23" s="1147">
        <v>2971.95624</v>
      </c>
      <c r="IL23" s="1147">
        <v>1894.309</v>
      </c>
      <c r="IM23" s="1147">
        <v>3787.8870000000002</v>
      </c>
      <c r="IN23" s="1147">
        <v>2058.933</v>
      </c>
      <c r="IO23" s="1147">
        <v>4920.3310000000001</v>
      </c>
      <c r="IP23" s="1147">
        <v>2203.788</v>
      </c>
      <c r="IQ23" s="1147">
        <v>6376.6170000000002</v>
      </c>
      <c r="IR23" s="1147">
        <v>2717.462</v>
      </c>
      <c r="IS23" s="1654" t="s">
        <v>3159</v>
      </c>
    </row>
    <row r="24" spans="1:253" ht="36" customHeight="1">
      <c r="A24" s="1652">
        <v>13</v>
      </c>
      <c r="B24" s="1653" t="s">
        <v>2322</v>
      </c>
      <c r="C24" s="1147">
        <v>389.30403999999999</v>
      </c>
      <c r="D24" s="1147">
        <v>424.53881000000001</v>
      </c>
      <c r="E24" s="1147">
        <v>1622.59672</v>
      </c>
      <c r="F24" s="1147">
        <v>843.34849999999994</v>
      </c>
      <c r="G24" s="1147">
        <v>2607.93165</v>
      </c>
      <c r="H24" s="1147">
        <v>1294.9766299999999</v>
      </c>
      <c r="I24" s="1147">
        <v>3473.9028199999998</v>
      </c>
      <c r="J24" s="1147">
        <v>1756.951</v>
      </c>
      <c r="K24" s="1147">
        <v>4092.1628300000002</v>
      </c>
      <c r="L24" s="1147">
        <v>2284.3307300000001</v>
      </c>
      <c r="M24" s="1147">
        <v>4745.2158300000001</v>
      </c>
      <c r="N24" s="1147">
        <v>2804.1221099999998</v>
      </c>
      <c r="O24" s="1147">
        <v>5578.87111</v>
      </c>
      <c r="P24" s="1147">
        <v>3388.1340599999999</v>
      </c>
      <c r="Q24" s="1147">
        <v>6594.7854200000002</v>
      </c>
      <c r="R24" s="1147">
        <v>3986.4850099999999</v>
      </c>
      <c r="S24" s="1147">
        <v>8254.9361499999995</v>
      </c>
      <c r="T24" s="1147">
        <v>4478.0717199999999</v>
      </c>
      <c r="U24" s="1147">
        <v>8900.9582100000007</v>
      </c>
      <c r="V24" s="1147">
        <v>5115.0603200000005</v>
      </c>
      <c r="W24" s="1147">
        <v>9410.1768300000003</v>
      </c>
      <c r="X24" s="1147">
        <v>5721.1536399999995</v>
      </c>
      <c r="Y24" s="1147">
        <v>9846.6520999999993</v>
      </c>
      <c r="Z24" s="1147">
        <v>6562.6436399999993</v>
      </c>
      <c r="AA24" s="1147">
        <v>834.77506999999991</v>
      </c>
      <c r="AB24" s="1147">
        <v>471.89979999999997</v>
      </c>
      <c r="AC24" s="1147">
        <v>834.77506999999991</v>
      </c>
      <c r="AD24" s="1147">
        <v>471.89979999999997</v>
      </c>
      <c r="AE24" s="1147">
        <v>1667.3603899999998</v>
      </c>
      <c r="AF24" s="1147">
        <v>1250.7530400000001</v>
      </c>
      <c r="AG24" s="1147">
        <v>2186.0236099999997</v>
      </c>
      <c r="AH24" s="1147">
        <v>1590.0467599999999</v>
      </c>
      <c r="AI24" s="1147">
        <v>2610.1381299999998</v>
      </c>
      <c r="AJ24" s="1147">
        <v>1955.7376200000001</v>
      </c>
      <c r="AK24" s="1147">
        <v>3024.22208</v>
      </c>
      <c r="AL24" s="1147">
        <v>2312.4667300000001</v>
      </c>
      <c r="AM24" s="1147">
        <v>3914.0229300000001</v>
      </c>
      <c r="AN24" s="1147">
        <v>2633.4336600000001</v>
      </c>
      <c r="AO24" s="1147">
        <v>4826.3329100000001</v>
      </c>
      <c r="AP24" s="1147">
        <v>2965.9942099999998</v>
      </c>
      <c r="AQ24" s="1147">
        <v>5269.12925</v>
      </c>
      <c r="AR24" s="1147">
        <v>3198.1817400000004</v>
      </c>
      <c r="AS24" s="1147">
        <v>6217.2186400000001</v>
      </c>
      <c r="AT24" s="1147">
        <v>3462.7761</v>
      </c>
      <c r="AU24" s="1147">
        <v>7176.9684000000007</v>
      </c>
      <c r="AV24" s="1147">
        <v>3705.8708700000002</v>
      </c>
      <c r="AW24" s="1147">
        <v>7788.8091199999999</v>
      </c>
      <c r="AX24" s="1147">
        <v>3965.2088900000003</v>
      </c>
      <c r="AY24" s="1147">
        <v>543.07258999999999</v>
      </c>
      <c r="AZ24" s="1147">
        <v>236.72676000000001</v>
      </c>
      <c r="BA24" s="1147">
        <v>1039.7770500000001</v>
      </c>
      <c r="BB24" s="1147">
        <v>487.41440999999998</v>
      </c>
      <c r="BC24" s="1147">
        <v>1270.9000000000001</v>
      </c>
      <c r="BD24" s="1147">
        <v>600.92999999999995</v>
      </c>
      <c r="BE24" s="1147">
        <v>2674.2459800000001</v>
      </c>
      <c r="BF24" s="1147">
        <v>1003.4304599999999</v>
      </c>
      <c r="BG24" s="1147">
        <v>2948.3097299999999</v>
      </c>
      <c r="BH24" s="1147">
        <v>1231.6058899999998</v>
      </c>
      <c r="BI24" s="1147">
        <v>3282.61166</v>
      </c>
      <c r="BJ24" s="1147">
        <v>1460.18182</v>
      </c>
      <c r="BK24" s="1147">
        <v>4283.4319699999996</v>
      </c>
      <c r="BL24" s="1147">
        <v>1838.4456499999999</v>
      </c>
      <c r="BM24" s="1147">
        <v>4580.4357099999997</v>
      </c>
      <c r="BN24" s="1147">
        <v>2081.9050299999999</v>
      </c>
      <c r="BO24" s="1147">
        <v>5693.4750199999999</v>
      </c>
      <c r="BP24" s="1147">
        <v>2399.8412600000001</v>
      </c>
      <c r="BQ24" s="1147">
        <v>7076.2993200000001</v>
      </c>
      <c r="BR24" s="1147">
        <v>2772.0853500000003</v>
      </c>
      <c r="BS24" s="1147">
        <v>9544.1149700000005</v>
      </c>
      <c r="BT24" s="1147">
        <v>3347.9925600000001</v>
      </c>
      <c r="BU24" s="1147">
        <v>14495.98345</v>
      </c>
      <c r="BV24" s="1147">
        <v>3809.7135099999996</v>
      </c>
      <c r="BW24" s="1147">
        <v>2028.03781</v>
      </c>
      <c r="BX24" s="1147">
        <v>775.57256000000007</v>
      </c>
      <c r="BY24" s="1147">
        <v>3740.72559</v>
      </c>
      <c r="BZ24" s="1147">
        <v>1379.92444</v>
      </c>
      <c r="CA24" s="1147">
        <v>5698.8968399999994</v>
      </c>
      <c r="CB24" s="1147">
        <v>1962.0823799999998</v>
      </c>
      <c r="CC24" s="1147">
        <v>9368.1746700000003</v>
      </c>
      <c r="CD24" s="1147">
        <v>3047.33527</v>
      </c>
      <c r="CE24" s="1147">
        <v>11132.40653</v>
      </c>
      <c r="CF24" s="1147">
        <v>4398.8942400000005</v>
      </c>
      <c r="CG24" s="1147">
        <v>12680.946089999999</v>
      </c>
      <c r="CH24" s="1147">
        <v>5884.8114000000005</v>
      </c>
      <c r="CI24" s="1147">
        <v>14884.422480000001</v>
      </c>
      <c r="CJ24" s="1147">
        <v>8181.0922899999996</v>
      </c>
      <c r="CK24" s="1147">
        <v>17171.980309999999</v>
      </c>
      <c r="CL24" s="1147">
        <v>9485.1552100000008</v>
      </c>
      <c r="CM24" s="1147">
        <v>19436.932129999997</v>
      </c>
      <c r="CN24" s="1147">
        <v>10894.311810000001</v>
      </c>
      <c r="CO24" s="1147">
        <v>22328.780320000002</v>
      </c>
      <c r="CP24" s="1147">
        <v>12616.943300000001</v>
      </c>
      <c r="CQ24" s="1147">
        <v>25583.025530000003</v>
      </c>
      <c r="CR24" s="1147">
        <v>14209.27972</v>
      </c>
      <c r="CS24" s="1147">
        <v>28340.232940000002</v>
      </c>
      <c r="CT24" s="1147">
        <v>16016.440769999999</v>
      </c>
      <c r="CU24" s="1147">
        <v>3522.0844500000003</v>
      </c>
      <c r="CV24" s="1147">
        <v>1721.5744299999999</v>
      </c>
      <c r="CW24" s="1147">
        <v>5568.2475899999999</v>
      </c>
      <c r="CX24" s="1147">
        <v>3479.6113399999999</v>
      </c>
      <c r="CY24" s="1147">
        <v>6946.0226600000005</v>
      </c>
      <c r="CZ24" s="1147">
        <v>4537.0554000000002</v>
      </c>
      <c r="DA24" s="1147">
        <v>8658.1177299999999</v>
      </c>
      <c r="DB24" s="1147">
        <v>6218.7745300000006</v>
      </c>
      <c r="DC24" s="1147">
        <v>10804.544470000001</v>
      </c>
      <c r="DD24" s="1147">
        <v>7190.7436900000002</v>
      </c>
      <c r="DE24" s="1147">
        <v>13293.44059</v>
      </c>
      <c r="DF24" s="1147">
        <v>8194.8776399999988</v>
      </c>
      <c r="DG24" s="1147">
        <v>16473.566589999999</v>
      </c>
      <c r="DH24" s="1147">
        <v>9392.5951700000005</v>
      </c>
      <c r="DI24" s="1147">
        <v>19255.958760000001</v>
      </c>
      <c r="DJ24" s="1147">
        <v>10696.70091</v>
      </c>
      <c r="DK24" s="1147">
        <v>21781.410879999999</v>
      </c>
      <c r="DL24" s="1147">
        <v>12447.98055</v>
      </c>
      <c r="DM24" s="1147">
        <v>25894.866449999998</v>
      </c>
      <c r="DN24" s="1147">
        <v>14129.129010000001</v>
      </c>
      <c r="DO24" s="1147">
        <v>28560.944879999999</v>
      </c>
      <c r="DP24" s="1147">
        <v>15721.474880000002</v>
      </c>
      <c r="DQ24" s="1147">
        <v>31181.956140000002</v>
      </c>
      <c r="DR24" s="1147">
        <v>17608.499010000003</v>
      </c>
      <c r="DS24" s="1147">
        <v>3143.6603399999999</v>
      </c>
      <c r="DT24" s="1147">
        <v>1506.09923</v>
      </c>
      <c r="DU24" s="1147">
        <v>4900.92947</v>
      </c>
      <c r="DV24" s="1147">
        <v>3154.6903199999997</v>
      </c>
      <c r="DW24" s="1147">
        <v>6636.6639100000002</v>
      </c>
      <c r="DX24" s="1147">
        <v>4794.2320300000001</v>
      </c>
      <c r="DY24" s="1147">
        <v>8868.2341300000007</v>
      </c>
      <c r="DZ24" s="1147">
        <v>6940.21828</v>
      </c>
      <c r="EA24" s="1147">
        <v>10992.85785</v>
      </c>
      <c r="EB24" s="1147">
        <v>8522.3190699999996</v>
      </c>
      <c r="EC24" s="1147">
        <v>13039.77687</v>
      </c>
      <c r="ED24" s="1147">
        <v>10317.661679999999</v>
      </c>
      <c r="EE24" s="1147">
        <v>15301.21155</v>
      </c>
      <c r="EF24" s="1147">
        <v>12129.930319999999</v>
      </c>
      <c r="EG24" s="1147">
        <v>17961.967260000001</v>
      </c>
      <c r="EH24" s="1147">
        <v>13985.054689999999</v>
      </c>
      <c r="EI24" s="1147">
        <v>20627.870629999998</v>
      </c>
      <c r="EJ24" s="1147">
        <v>16037.230970000001</v>
      </c>
      <c r="EK24" s="1147">
        <v>25096.015780000002</v>
      </c>
      <c r="EL24" s="1147">
        <v>17985.17612</v>
      </c>
      <c r="EM24" s="1147">
        <v>27382.182779999999</v>
      </c>
      <c r="EN24" s="1147">
        <v>19473.440050000001</v>
      </c>
      <c r="EO24" s="1147">
        <v>35545.787369999998</v>
      </c>
      <c r="EP24" s="1147">
        <v>21783.81914</v>
      </c>
      <c r="EQ24" s="1147">
        <v>3570.4635699999999</v>
      </c>
      <c r="ER24" s="1147">
        <v>1771.07782</v>
      </c>
      <c r="ES24" s="1147">
        <v>5956.3792100000001</v>
      </c>
      <c r="ET24" s="1147">
        <v>3899.6777499999998</v>
      </c>
      <c r="EU24" s="1147">
        <v>8865.1015499999994</v>
      </c>
      <c r="EV24" s="1147">
        <v>5700.8170600000003</v>
      </c>
      <c r="EW24" s="1147">
        <v>12127.59647</v>
      </c>
      <c r="EX24" s="1147">
        <v>7938.2093599999998</v>
      </c>
      <c r="EY24" s="1147">
        <v>15500.137290000001</v>
      </c>
      <c r="EZ24" s="1147">
        <v>9898.7115799999992</v>
      </c>
      <c r="FA24" s="1147">
        <v>19273.16404</v>
      </c>
      <c r="FB24" s="1147">
        <v>12179.474249999999</v>
      </c>
      <c r="FC24" s="1147">
        <v>22673.585729999999</v>
      </c>
      <c r="FD24" s="1147">
        <v>14487.426520000001</v>
      </c>
      <c r="FE24" s="1147">
        <v>30190.113150000001</v>
      </c>
      <c r="FF24" s="1147">
        <v>19659.789250000002</v>
      </c>
      <c r="FG24" s="1147">
        <v>34199.120280000003</v>
      </c>
      <c r="FH24" s="1147">
        <v>21977.675569999999</v>
      </c>
      <c r="FI24" s="1147">
        <v>38106.395340000003</v>
      </c>
      <c r="FJ24" s="1147">
        <v>24283.259579999998</v>
      </c>
      <c r="FK24" s="1147">
        <v>42273.500549999997</v>
      </c>
      <c r="FL24" s="1147">
        <v>27465.865709999998</v>
      </c>
      <c r="FM24" s="1147">
        <v>4594.9915700000001</v>
      </c>
      <c r="FN24" s="1147">
        <v>2506.53631</v>
      </c>
      <c r="FO24" s="1147">
        <v>6116.4019800000005</v>
      </c>
      <c r="FP24" s="1147">
        <v>5442.0001299999994</v>
      </c>
      <c r="FQ24" s="1147">
        <v>7289.3027099999999</v>
      </c>
      <c r="FR24" s="1147">
        <v>6674.3136100000002</v>
      </c>
      <c r="FS24" s="1147">
        <v>8865.0669699999999</v>
      </c>
      <c r="FT24" s="1147">
        <v>8277.8452600000001</v>
      </c>
      <c r="FU24" s="1147">
        <v>10739.2531</v>
      </c>
      <c r="FV24" s="1147">
        <v>9873.8445600000014</v>
      </c>
      <c r="FW24" s="1147">
        <v>12036.534539999999</v>
      </c>
      <c r="FX24" s="1147">
        <v>11918.46377</v>
      </c>
      <c r="FY24" s="1147">
        <v>13447.323269999999</v>
      </c>
      <c r="FZ24" s="1147">
        <v>15138.01686</v>
      </c>
      <c r="GA24" s="1147">
        <v>15066.87263</v>
      </c>
      <c r="GB24" s="1147">
        <v>16662.764449999999</v>
      </c>
      <c r="GC24" s="1147">
        <v>17093.74224</v>
      </c>
      <c r="GD24" s="1147">
        <v>18061.338500000002</v>
      </c>
      <c r="GE24" s="1147">
        <v>18687.586169999999</v>
      </c>
      <c r="GF24" s="1147">
        <v>19882.644390000001</v>
      </c>
      <c r="GG24" s="1147">
        <v>20073.23589</v>
      </c>
      <c r="GH24" s="1147">
        <v>20947.642240000001</v>
      </c>
      <c r="GI24" s="1147">
        <v>24072.93894</v>
      </c>
      <c r="GJ24" s="1147">
        <v>22055.487280000001</v>
      </c>
      <c r="GK24" s="1147">
        <v>1150.3104900000001</v>
      </c>
      <c r="GL24" s="1147">
        <v>909.56967000000009</v>
      </c>
      <c r="GM24" s="1147">
        <v>3334.33275</v>
      </c>
      <c r="GN24" s="1147">
        <v>1938.2769800000001</v>
      </c>
      <c r="GO24" s="1147">
        <v>5719.5718200000001</v>
      </c>
      <c r="GP24" s="1147">
        <v>3017.2525599999999</v>
      </c>
      <c r="GQ24" s="1147">
        <v>7562.6844199999996</v>
      </c>
      <c r="GR24" s="1147">
        <v>3980.1876400000001</v>
      </c>
      <c r="GS24" s="1147">
        <v>9687.3152300000002</v>
      </c>
      <c r="GT24" s="1147">
        <v>4252.6863599999997</v>
      </c>
      <c r="GU24" s="1147">
        <v>10787.45089</v>
      </c>
      <c r="GV24" s="1147">
        <v>5052.3641699999998</v>
      </c>
      <c r="GW24" s="1147">
        <v>12578.977639999999</v>
      </c>
      <c r="GX24" s="1147">
        <v>5695.2665699999998</v>
      </c>
      <c r="GY24" s="1147">
        <v>14637.68619</v>
      </c>
      <c r="GZ24" s="1147">
        <v>6982.50821</v>
      </c>
      <c r="HA24" s="1147">
        <v>16703.934130000001</v>
      </c>
      <c r="HB24" s="1147">
        <v>7763.2942999999996</v>
      </c>
      <c r="HC24" s="1147">
        <v>19786.988099999999</v>
      </c>
      <c r="HD24" s="1147">
        <v>8697.6419600000008</v>
      </c>
      <c r="HE24" s="1147">
        <v>21031.97337</v>
      </c>
      <c r="HF24" s="1147">
        <v>9648.9037700000008</v>
      </c>
      <c r="HG24" s="1147">
        <v>24699.146580000001</v>
      </c>
      <c r="HH24" s="1147">
        <v>9951.3841300000004</v>
      </c>
      <c r="HI24" s="1147">
        <v>3754.9728300000002</v>
      </c>
      <c r="HJ24" s="1147">
        <v>604.78770999999995</v>
      </c>
      <c r="HK24" s="1147">
        <v>5349.7891399999999</v>
      </c>
      <c r="HL24" s="1147">
        <v>1420.6932999999999</v>
      </c>
      <c r="HM24" s="1147">
        <v>7646.6981400000004</v>
      </c>
      <c r="HN24" s="1147">
        <v>1807.65834</v>
      </c>
      <c r="HO24" s="1147">
        <v>9741.7342000000008</v>
      </c>
      <c r="HP24" s="1147">
        <v>2796.8983199999998</v>
      </c>
      <c r="HQ24" s="1147">
        <v>11445.73955</v>
      </c>
      <c r="HR24" s="1147">
        <v>3437.5963700000002</v>
      </c>
      <c r="HS24" s="1147">
        <v>14181.18894</v>
      </c>
      <c r="HT24" s="1147">
        <v>4704.6005299999997</v>
      </c>
      <c r="HU24" s="1147">
        <v>16305.066779999999</v>
      </c>
      <c r="HV24" s="1147">
        <v>5836.0946299999996</v>
      </c>
      <c r="HW24" s="1147">
        <v>18051.758089999999</v>
      </c>
      <c r="HX24" s="1147">
        <v>6762.73027</v>
      </c>
      <c r="HY24" s="1147">
        <v>20538.181560000001</v>
      </c>
      <c r="HZ24" s="1147">
        <v>7639.26829</v>
      </c>
      <c r="IA24" s="1147">
        <v>22185.329089999999</v>
      </c>
      <c r="IB24" s="1147">
        <v>8922.5929199999991</v>
      </c>
      <c r="IC24" s="1147">
        <v>23227.863840000002</v>
      </c>
      <c r="ID24" s="1147">
        <v>9840.9954799999996</v>
      </c>
      <c r="IE24" s="1147">
        <v>25409.962370000001</v>
      </c>
      <c r="IF24" s="1147">
        <v>10883.02821</v>
      </c>
      <c r="IG24" s="1147">
        <v>3585.6132299999999</v>
      </c>
      <c r="IH24" s="1147">
        <v>763.48578999999995</v>
      </c>
      <c r="II24" s="1147">
        <v>5757.59782</v>
      </c>
      <c r="IJ24" s="1147">
        <v>1680.58744</v>
      </c>
      <c r="IK24" s="1147">
        <v>7282.3477400000002</v>
      </c>
      <c r="IL24" s="1147">
        <v>2398.7088399999998</v>
      </c>
      <c r="IM24" s="1147">
        <v>9550.5657800000008</v>
      </c>
      <c r="IN24" s="1147">
        <v>3334.7404299999998</v>
      </c>
      <c r="IO24" s="1147">
        <v>11039.803760000001</v>
      </c>
      <c r="IP24" s="1147">
        <v>4043.6957900000002</v>
      </c>
      <c r="IQ24" s="1147">
        <v>13572.106589999999</v>
      </c>
      <c r="IR24" s="1147">
        <v>5063.9243999999999</v>
      </c>
      <c r="IS24" s="1654" t="s">
        <v>3160</v>
      </c>
    </row>
    <row r="25" spans="1:253" ht="36" customHeight="1">
      <c r="A25" s="1652">
        <v>14</v>
      </c>
      <c r="B25" s="1653" t="s">
        <v>3064</v>
      </c>
      <c r="C25" s="1147">
        <v>0</v>
      </c>
      <c r="D25" s="1147">
        <v>0</v>
      </c>
      <c r="E25" s="1147">
        <v>0</v>
      </c>
      <c r="F25" s="1147">
        <v>0</v>
      </c>
      <c r="G25" s="1147">
        <v>0</v>
      </c>
      <c r="H25" s="1147">
        <v>0</v>
      </c>
      <c r="I25" s="1147">
        <v>0</v>
      </c>
      <c r="J25" s="1147">
        <v>0</v>
      </c>
      <c r="K25" s="1147">
        <v>0</v>
      </c>
      <c r="L25" s="1147">
        <v>0</v>
      </c>
      <c r="M25" s="1147">
        <v>0</v>
      </c>
      <c r="N25" s="1147">
        <v>0</v>
      </c>
      <c r="O25" s="1147">
        <v>0</v>
      </c>
      <c r="P25" s="1147">
        <v>0</v>
      </c>
      <c r="Q25" s="1147">
        <v>0</v>
      </c>
      <c r="R25" s="1147">
        <v>0</v>
      </c>
      <c r="S25" s="1147">
        <v>0</v>
      </c>
      <c r="T25" s="1147">
        <v>0</v>
      </c>
      <c r="U25" s="1147">
        <v>0</v>
      </c>
      <c r="V25" s="1147">
        <v>0</v>
      </c>
      <c r="W25" s="1147">
        <v>0</v>
      </c>
      <c r="X25" s="1147">
        <v>0</v>
      </c>
      <c r="Y25" s="1147">
        <v>0</v>
      </c>
      <c r="Z25" s="1147">
        <v>0</v>
      </c>
      <c r="AA25" s="1147">
        <v>0</v>
      </c>
      <c r="AB25" s="1147">
        <v>0</v>
      </c>
      <c r="AC25" s="1147">
        <v>0</v>
      </c>
      <c r="AD25" s="1147">
        <v>0</v>
      </c>
      <c r="AE25" s="1147">
        <v>0</v>
      </c>
      <c r="AF25" s="1147">
        <v>0</v>
      </c>
      <c r="AG25" s="1147">
        <v>0</v>
      </c>
      <c r="AH25" s="1147">
        <v>0</v>
      </c>
      <c r="AI25" s="1147">
        <v>0</v>
      </c>
      <c r="AJ25" s="1147">
        <v>0</v>
      </c>
      <c r="AK25" s="1147">
        <v>0</v>
      </c>
      <c r="AL25" s="1147">
        <v>0</v>
      </c>
      <c r="AM25" s="1147">
        <v>0</v>
      </c>
      <c r="AN25" s="1147">
        <v>0</v>
      </c>
      <c r="AO25" s="1147">
        <v>0</v>
      </c>
      <c r="AP25" s="1147">
        <v>0</v>
      </c>
      <c r="AQ25" s="1147">
        <v>0</v>
      </c>
      <c r="AR25" s="1147">
        <v>0</v>
      </c>
      <c r="AS25" s="1147">
        <v>0</v>
      </c>
      <c r="AT25" s="1147">
        <v>0</v>
      </c>
      <c r="AU25" s="1147">
        <v>0</v>
      </c>
      <c r="AV25" s="1147">
        <v>0</v>
      </c>
      <c r="AW25" s="1147">
        <v>0</v>
      </c>
      <c r="AX25" s="1147">
        <v>0</v>
      </c>
      <c r="AY25" s="1147">
        <v>0</v>
      </c>
      <c r="AZ25" s="1147">
        <v>0</v>
      </c>
      <c r="BA25" s="1147">
        <v>0</v>
      </c>
      <c r="BB25" s="1147">
        <v>0</v>
      </c>
      <c r="BC25" s="1147">
        <v>0</v>
      </c>
      <c r="BD25" s="1147">
        <v>0</v>
      </c>
      <c r="BE25" s="1147">
        <v>0</v>
      </c>
      <c r="BF25" s="1147">
        <v>0</v>
      </c>
      <c r="BG25" s="1147">
        <v>0</v>
      </c>
      <c r="BH25" s="1147">
        <v>0</v>
      </c>
      <c r="BI25" s="1147">
        <v>0</v>
      </c>
      <c r="BJ25" s="1147">
        <v>0</v>
      </c>
      <c r="BK25" s="1147">
        <v>0</v>
      </c>
      <c r="BL25" s="1147">
        <v>0</v>
      </c>
      <c r="BM25" s="1147">
        <v>0</v>
      </c>
      <c r="BN25" s="1147">
        <v>0</v>
      </c>
      <c r="BO25" s="1147">
        <v>0</v>
      </c>
      <c r="BP25" s="1147">
        <v>0</v>
      </c>
      <c r="BQ25" s="1147">
        <v>0</v>
      </c>
      <c r="BR25" s="1147">
        <v>0</v>
      </c>
      <c r="BS25" s="1147">
        <v>0</v>
      </c>
      <c r="BT25" s="1147">
        <v>0</v>
      </c>
      <c r="BU25" s="1147">
        <v>0</v>
      </c>
      <c r="BV25" s="1147">
        <v>0</v>
      </c>
      <c r="BW25" s="1147">
        <v>0</v>
      </c>
      <c r="BX25" s="1147">
        <v>0</v>
      </c>
      <c r="BY25" s="1147">
        <v>0</v>
      </c>
      <c r="BZ25" s="1147">
        <v>0</v>
      </c>
      <c r="CA25" s="1147">
        <v>0</v>
      </c>
      <c r="CB25" s="1147">
        <v>0</v>
      </c>
      <c r="CC25" s="1147">
        <v>0</v>
      </c>
      <c r="CD25" s="1147">
        <v>0</v>
      </c>
      <c r="CE25" s="1147">
        <v>0</v>
      </c>
      <c r="CF25" s="1147">
        <v>0</v>
      </c>
      <c r="CG25" s="1147">
        <v>0</v>
      </c>
      <c r="CH25" s="1147">
        <v>0</v>
      </c>
      <c r="CI25" s="1147">
        <v>0</v>
      </c>
      <c r="CJ25" s="1147">
        <v>0</v>
      </c>
      <c r="CK25" s="1147">
        <v>0</v>
      </c>
      <c r="CL25" s="1147">
        <v>0</v>
      </c>
      <c r="CM25" s="1147">
        <v>0</v>
      </c>
      <c r="CN25" s="1147">
        <v>0</v>
      </c>
      <c r="CO25" s="1147">
        <v>0</v>
      </c>
      <c r="CP25" s="1147">
        <v>0</v>
      </c>
      <c r="CQ25" s="1147">
        <v>0</v>
      </c>
      <c r="CR25" s="1147">
        <v>0</v>
      </c>
      <c r="CS25" s="1147">
        <v>0</v>
      </c>
      <c r="CT25" s="1147">
        <v>0</v>
      </c>
      <c r="CU25" s="1147">
        <v>0</v>
      </c>
      <c r="CV25" s="1147">
        <v>0</v>
      </c>
      <c r="CW25" s="1147">
        <v>0</v>
      </c>
      <c r="CX25" s="1147">
        <v>0</v>
      </c>
      <c r="CY25" s="1147">
        <v>0</v>
      </c>
      <c r="CZ25" s="1147">
        <v>0</v>
      </c>
      <c r="DA25" s="1147">
        <v>0</v>
      </c>
      <c r="DB25" s="1147">
        <v>0</v>
      </c>
      <c r="DC25" s="1147">
        <v>0</v>
      </c>
      <c r="DD25" s="1147">
        <v>0</v>
      </c>
      <c r="DE25" s="1147">
        <v>0</v>
      </c>
      <c r="DF25" s="1147">
        <v>0</v>
      </c>
      <c r="DG25" s="1147">
        <v>0</v>
      </c>
      <c r="DH25" s="1147">
        <v>0</v>
      </c>
      <c r="DI25" s="1147">
        <v>0</v>
      </c>
      <c r="DJ25" s="1147">
        <v>0</v>
      </c>
      <c r="DK25" s="1147">
        <v>0</v>
      </c>
      <c r="DL25" s="1147">
        <v>0</v>
      </c>
      <c r="DM25" s="1147">
        <v>0</v>
      </c>
      <c r="DN25" s="1147">
        <v>0</v>
      </c>
      <c r="DO25" s="1147" t="s">
        <v>93</v>
      </c>
      <c r="DP25" s="1147" t="s">
        <v>93</v>
      </c>
      <c r="DQ25" s="1147">
        <v>17.74166</v>
      </c>
      <c r="DR25" s="1147">
        <v>0</v>
      </c>
      <c r="DS25" s="1147">
        <v>14.00234</v>
      </c>
      <c r="DT25" s="1147">
        <v>0</v>
      </c>
      <c r="DU25" s="1147">
        <v>19.379720000000002</v>
      </c>
      <c r="DV25" s="1147">
        <v>0</v>
      </c>
      <c r="DW25" s="1147">
        <v>565.75099999999998</v>
      </c>
      <c r="DX25" s="1147">
        <v>0</v>
      </c>
      <c r="DY25" s="1147">
        <v>1172.7354599999999</v>
      </c>
      <c r="DZ25" s="1147">
        <v>0</v>
      </c>
      <c r="EA25" s="1147">
        <v>1416.1335800000002</v>
      </c>
      <c r="EB25" s="1147">
        <v>0</v>
      </c>
      <c r="EC25" s="1147">
        <v>1874.31908</v>
      </c>
      <c r="ED25" s="1147">
        <v>0</v>
      </c>
      <c r="EE25" s="1147">
        <v>2796.1531</v>
      </c>
      <c r="EF25" s="1147">
        <v>0</v>
      </c>
      <c r="EG25" s="1147">
        <v>3611.8386</v>
      </c>
      <c r="EH25" s="1147">
        <v>29.052619999999997</v>
      </c>
      <c r="EI25" s="1147">
        <v>3983.8288600000001</v>
      </c>
      <c r="EJ25" s="1147">
        <v>42.574400000000004</v>
      </c>
      <c r="EK25" s="1147">
        <v>4661.4078300000001</v>
      </c>
      <c r="EL25" s="1147">
        <v>84.538830000000004</v>
      </c>
      <c r="EM25" s="1147">
        <v>5579.3818000000001</v>
      </c>
      <c r="EN25" s="1147">
        <v>84.538830000000004</v>
      </c>
      <c r="EO25" s="1147">
        <v>11257.000099999999</v>
      </c>
      <c r="EP25" s="1147">
        <v>146.5077</v>
      </c>
      <c r="EQ25" s="1147">
        <v>1516.5707</v>
      </c>
      <c r="ER25" s="1147">
        <v>33.793799999999997</v>
      </c>
      <c r="ES25" s="1147">
        <v>2709.7806999999998</v>
      </c>
      <c r="ET25" s="1147">
        <v>82.248800000000003</v>
      </c>
      <c r="EU25" s="1147">
        <v>3435.13256</v>
      </c>
      <c r="EV25" s="1147">
        <v>119.41831999999999</v>
      </c>
      <c r="EW25" s="1147">
        <v>3710.8131600000002</v>
      </c>
      <c r="EX25" s="1147">
        <v>142.61145999999999</v>
      </c>
      <c r="EY25" s="1147">
        <v>5039.4785000000002</v>
      </c>
      <c r="EZ25" s="1147">
        <v>156.0214</v>
      </c>
      <c r="FA25" s="1147">
        <v>5750.8283000000001</v>
      </c>
      <c r="FB25" s="1147">
        <v>186.34289999999999</v>
      </c>
      <c r="FC25" s="1147">
        <v>6277.4623199999996</v>
      </c>
      <c r="FD25" s="1147">
        <v>192.45815999999999</v>
      </c>
      <c r="FE25" s="1147">
        <v>7740.4384</v>
      </c>
      <c r="FF25" s="1147">
        <v>550.08479999999997</v>
      </c>
      <c r="FG25" s="1147">
        <v>7940.1051799999996</v>
      </c>
      <c r="FH25" s="1147">
        <v>1154.6862900000001</v>
      </c>
      <c r="FI25" s="1147">
        <v>8747.1915600000011</v>
      </c>
      <c r="FJ25" s="1147">
        <v>1393.4622199999999</v>
      </c>
      <c r="FK25" s="1147">
        <v>14135.769840000001</v>
      </c>
      <c r="FL25" s="1147">
        <v>2389.6352700000002</v>
      </c>
      <c r="FM25" s="1147">
        <v>8996.9148999999998</v>
      </c>
      <c r="FN25" s="1147">
        <v>190.803</v>
      </c>
      <c r="FO25" s="1147">
        <v>9039.7718599999989</v>
      </c>
      <c r="FP25" s="1147">
        <v>550.72619999999995</v>
      </c>
      <c r="FQ25" s="1147">
        <v>9566.5236399999994</v>
      </c>
      <c r="FR25" s="1147">
        <v>799.08304999999996</v>
      </c>
      <c r="FS25" s="1147">
        <v>10529.660400000001</v>
      </c>
      <c r="FT25" s="1147">
        <v>1001.6251999999999</v>
      </c>
      <c r="FU25" s="1147">
        <v>12413.093699999999</v>
      </c>
      <c r="FV25" s="1147">
        <v>1102.49668</v>
      </c>
      <c r="FW25" s="1147">
        <v>13154.24856</v>
      </c>
      <c r="FX25" s="1147">
        <v>1174.6430800000001</v>
      </c>
      <c r="FY25" s="1147">
        <v>13612.6134</v>
      </c>
      <c r="FZ25" s="1147">
        <v>1256.058</v>
      </c>
      <c r="GA25" s="1147">
        <v>13713.783240000001</v>
      </c>
      <c r="GB25" s="1147">
        <v>1287.25136</v>
      </c>
      <c r="GC25" s="1147">
        <v>14647.8791</v>
      </c>
      <c r="GD25" s="1147">
        <v>1408.2828300000001</v>
      </c>
      <c r="GE25" s="1147">
        <v>14780.59708</v>
      </c>
      <c r="GF25" s="1147">
        <v>1409.66446</v>
      </c>
      <c r="GG25" s="1147">
        <v>15154.67676</v>
      </c>
      <c r="GH25" s="1147">
        <v>2723.2206999999999</v>
      </c>
      <c r="GI25" s="1147">
        <v>16748.965250000001</v>
      </c>
      <c r="GJ25" s="1147">
        <v>4404.8066399999998</v>
      </c>
      <c r="GK25" s="1147">
        <v>6898.7379500000006</v>
      </c>
      <c r="GL25" s="1147">
        <v>876.57479000000001</v>
      </c>
      <c r="GM25" s="1147">
        <v>7058.0589</v>
      </c>
      <c r="GN25" s="1147">
        <v>1549.08644</v>
      </c>
      <c r="GO25" s="1147">
        <v>7345.9337999999998</v>
      </c>
      <c r="GP25" s="1147">
        <v>1751.7208899999998</v>
      </c>
      <c r="GQ25" s="1147">
        <v>8380.5408599999992</v>
      </c>
      <c r="GR25" s="1147">
        <v>2027.8509300000001</v>
      </c>
      <c r="GS25" s="1147">
        <v>9593.0586000000003</v>
      </c>
      <c r="GT25" s="1147">
        <v>2557.2771499999999</v>
      </c>
      <c r="GU25" s="1147">
        <v>11183.5077</v>
      </c>
      <c r="GV25" s="1147">
        <v>2851.17</v>
      </c>
      <c r="GW25" s="1147">
        <v>11304.506659999999</v>
      </c>
      <c r="GX25" s="1147">
        <v>3238.5999700000002</v>
      </c>
      <c r="GY25" s="1147">
        <v>11916.174800000001</v>
      </c>
      <c r="GZ25" s="1147">
        <v>3459.4774000000002</v>
      </c>
      <c r="HA25" s="1147">
        <v>12268.383</v>
      </c>
      <c r="HB25" s="1147">
        <v>3771.3240000000001</v>
      </c>
      <c r="HC25" s="1147">
        <v>12448.941000000001</v>
      </c>
      <c r="HD25" s="1147">
        <v>4028.5970000000002</v>
      </c>
      <c r="HE25" s="1147">
        <v>12829.227000000001</v>
      </c>
      <c r="HF25" s="1147">
        <v>5612.9059999999999</v>
      </c>
      <c r="HG25" s="1147">
        <v>14080.2472</v>
      </c>
      <c r="HH25" s="1147">
        <v>6407.9220999999998</v>
      </c>
      <c r="HI25" s="1147">
        <v>7612.93336</v>
      </c>
      <c r="HJ25" s="1147">
        <v>907.03800000000001</v>
      </c>
      <c r="HK25" s="1147">
        <v>7908.7730000000001</v>
      </c>
      <c r="HL25" s="1147">
        <v>1170.155</v>
      </c>
      <c r="HM25" s="1147">
        <v>8816.7950000000001</v>
      </c>
      <c r="HN25" s="1147">
        <v>1319.886</v>
      </c>
      <c r="HO25" s="1147">
        <v>9405.2170000000006</v>
      </c>
      <c r="HP25" s="1147">
        <v>3025.7530000000002</v>
      </c>
      <c r="HQ25" s="1147">
        <v>11019.143</v>
      </c>
      <c r="HR25" s="1147">
        <v>4151.3630000000003</v>
      </c>
      <c r="HS25" s="1147">
        <v>13262.815000000001</v>
      </c>
      <c r="HT25" s="1147">
        <v>4443.384</v>
      </c>
      <c r="HU25" s="1147">
        <v>13490.59</v>
      </c>
      <c r="HV25" s="1147">
        <v>4772.29</v>
      </c>
      <c r="HW25" s="1147">
        <v>15395.357</v>
      </c>
      <c r="HX25" s="1147">
        <v>4850.22</v>
      </c>
      <c r="HY25" s="1147">
        <v>15746.573</v>
      </c>
      <c r="HZ25" s="1147">
        <v>4968.9570000000003</v>
      </c>
      <c r="IA25" s="1147">
        <v>16042.422</v>
      </c>
      <c r="IB25" s="1147">
        <v>5297.3779999999997</v>
      </c>
      <c r="IC25" s="1147">
        <v>16049.886</v>
      </c>
      <c r="ID25" s="1147">
        <v>8015.616</v>
      </c>
      <c r="IE25" s="1147">
        <v>17299.883999999998</v>
      </c>
      <c r="IF25" s="1147">
        <v>9155.6820000000007</v>
      </c>
      <c r="IG25" s="1147">
        <v>8948.5580000000009</v>
      </c>
      <c r="IH25" s="1147">
        <v>75.78</v>
      </c>
      <c r="II25" s="1147">
        <v>9722.2049999999999</v>
      </c>
      <c r="IJ25" s="1147">
        <v>198.858</v>
      </c>
      <c r="IK25" s="1147">
        <v>11319.477999999999</v>
      </c>
      <c r="IL25" s="1147">
        <v>264.69</v>
      </c>
      <c r="IM25" s="1147">
        <v>11857.173000000001</v>
      </c>
      <c r="IN25" s="1147">
        <v>301.125</v>
      </c>
      <c r="IO25" s="1147">
        <v>13382.856</v>
      </c>
      <c r="IP25" s="1147">
        <v>358.68900000000002</v>
      </c>
      <c r="IQ25" s="1147">
        <v>16290.960999999999</v>
      </c>
      <c r="IR25" s="1147">
        <v>548.90599999999995</v>
      </c>
      <c r="IS25" s="1654" t="s">
        <v>4215</v>
      </c>
    </row>
    <row r="26" spans="1:253" ht="36" customHeight="1">
      <c r="A26" s="1652">
        <v>15</v>
      </c>
      <c r="B26" s="1653" t="s">
        <v>4216</v>
      </c>
      <c r="C26" s="1147"/>
      <c r="D26" s="1147"/>
      <c r="E26" s="1147"/>
      <c r="F26" s="1147"/>
      <c r="G26" s="1147"/>
      <c r="H26" s="1147"/>
      <c r="I26" s="1147"/>
      <c r="J26" s="1147"/>
      <c r="K26" s="1147"/>
      <c r="L26" s="1147"/>
      <c r="M26" s="1147"/>
      <c r="N26" s="1147"/>
      <c r="O26" s="1147"/>
      <c r="P26" s="1147"/>
      <c r="Q26" s="1147"/>
      <c r="R26" s="1147"/>
      <c r="S26" s="1147"/>
      <c r="T26" s="1147"/>
      <c r="U26" s="1147"/>
      <c r="V26" s="1147"/>
      <c r="W26" s="1147"/>
      <c r="X26" s="1147"/>
      <c r="Y26" s="1147"/>
      <c r="Z26" s="1147"/>
      <c r="AA26" s="1147"/>
      <c r="AB26" s="1147"/>
      <c r="AC26" s="1147"/>
      <c r="AD26" s="1147"/>
      <c r="AE26" s="1147"/>
      <c r="AF26" s="1147"/>
      <c r="AG26" s="1147"/>
      <c r="AH26" s="1147"/>
      <c r="AI26" s="1147"/>
      <c r="AJ26" s="1147"/>
      <c r="AK26" s="1147"/>
      <c r="AL26" s="1147"/>
      <c r="AM26" s="1147"/>
      <c r="AN26" s="1147"/>
      <c r="AO26" s="1147"/>
      <c r="AP26" s="1147"/>
      <c r="AQ26" s="1147"/>
      <c r="AR26" s="1147"/>
      <c r="AS26" s="1147"/>
      <c r="AT26" s="1147"/>
      <c r="AU26" s="1147"/>
      <c r="AV26" s="1147"/>
      <c r="AW26" s="1147"/>
      <c r="AX26" s="1147"/>
      <c r="AY26" s="1147">
        <v>0</v>
      </c>
      <c r="AZ26" s="1147">
        <v>0</v>
      </c>
      <c r="BA26" s="1147">
        <v>0</v>
      </c>
      <c r="BB26" s="1147">
        <v>0</v>
      </c>
      <c r="BC26" s="1147">
        <v>0</v>
      </c>
      <c r="BD26" s="1147">
        <v>0</v>
      </c>
      <c r="BE26" s="1147" t="s">
        <v>93</v>
      </c>
      <c r="BF26" s="1147">
        <v>0</v>
      </c>
      <c r="BG26" s="1147" t="s">
        <v>93</v>
      </c>
      <c r="BH26" s="1147">
        <v>0</v>
      </c>
      <c r="BI26" s="1147" t="s">
        <v>93</v>
      </c>
      <c r="BJ26" s="1147">
        <v>0</v>
      </c>
      <c r="BK26" s="1147" t="s">
        <v>93</v>
      </c>
      <c r="BL26" s="1147">
        <v>0</v>
      </c>
      <c r="BM26" s="1147" t="s">
        <v>93</v>
      </c>
      <c r="BN26" s="1147">
        <v>0</v>
      </c>
      <c r="BO26" s="1147" t="s">
        <v>93</v>
      </c>
      <c r="BP26" s="1147">
        <v>0</v>
      </c>
      <c r="BQ26" s="1147" t="s">
        <v>93</v>
      </c>
      <c r="BR26" s="1147">
        <v>0</v>
      </c>
      <c r="BS26" s="1147" t="s">
        <v>93</v>
      </c>
      <c r="BT26" s="1147">
        <v>0</v>
      </c>
      <c r="BU26" s="1147" t="s">
        <v>93</v>
      </c>
      <c r="BV26" s="1147">
        <v>0</v>
      </c>
      <c r="BW26" s="1147">
        <v>0</v>
      </c>
      <c r="BX26" s="1147">
        <v>0</v>
      </c>
      <c r="BY26" s="1147">
        <v>0</v>
      </c>
      <c r="BZ26" s="1147">
        <v>0</v>
      </c>
      <c r="CA26" s="1147">
        <v>0</v>
      </c>
      <c r="CB26" s="1147">
        <v>0</v>
      </c>
      <c r="CC26" s="1147" t="s">
        <v>93</v>
      </c>
      <c r="CD26" s="1147">
        <v>0</v>
      </c>
      <c r="CE26" s="1147" t="s">
        <v>93</v>
      </c>
      <c r="CF26" s="1147">
        <v>0</v>
      </c>
      <c r="CG26" s="1147" t="s">
        <v>93</v>
      </c>
      <c r="CH26" s="1147">
        <v>0</v>
      </c>
      <c r="CI26" s="1147" t="s">
        <v>93</v>
      </c>
      <c r="CJ26" s="1147">
        <v>0</v>
      </c>
      <c r="CK26" s="1147" t="s">
        <v>93</v>
      </c>
      <c r="CL26" s="1147">
        <v>0</v>
      </c>
      <c r="CM26" s="1147" t="s">
        <v>93</v>
      </c>
      <c r="CN26" s="1147">
        <v>0</v>
      </c>
      <c r="CO26" s="1147" t="s">
        <v>93</v>
      </c>
      <c r="CP26" s="1147">
        <v>0</v>
      </c>
      <c r="CQ26" s="1147" t="s">
        <v>93</v>
      </c>
      <c r="CR26" s="1147">
        <v>0</v>
      </c>
      <c r="CS26" s="1147" t="s">
        <v>93</v>
      </c>
      <c r="CT26" s="1147">
        <v>0</v>
      </c>
      <c r="CU26" s="1147">
        <v>0</v>
      </c>
      <c r="CV26" s="1147">
        <v>0</v>
      </c>
      <c r="CW26" s="1147">
        <v>0</v>
      </c>
      <c r="CX26" s="1147">
        <v>0</v>
      </c>
      <c r="CY26" s="1147">
        <v>0</v>
      </c>
      <c r="CZ26" s="1147">
        <v>0</v>
      </c>
      <c r="DA26" s="1147"/>
      <c r="DB26" s="1147"/>
      <c r="DC26" s="1147"/>
      <c r="DD26" s="1147"/>
      <c r="DE26" s="1147"/>
      <c r="DF26" s="1147"/>
      <c r="DG26" s="1147"/>
      <c r="DH26" s="1147"/>
      <c r="DI26" s="1147"/>
      <c r="DJ26" s="1147"/>
      <c r="DK26" s="1147"/>
      <c r="DL26" s="1147"/>
      <c r="DM26" s="1147"/>
      <c r="DN26" s="1147"/>
      <c r="DO26" s="1147"/>
      <c r="DP26" s="1147"/>
      <c r="DQ26" s="1147"/>
      <c r="DR26" s="1147"/>
      <c r="DS26" s="1147">
        <v>0</v>
      </c>
      <c r="DT26" s="1147">
        <v>0</v>
      </c>
      <c r="DU26" s="1147">
        <v>0</v>
      </c>
      <c r="DV26" s="1147">
        <v>0</v>
      </c>
      <c r="DW26" s="1147">
        <v>76.303060000000002</v>
      </c>
      <c r="DX26" s="1147">
        <v>0</v>
      </c>
      <c r="DY26" s="1147">
        <v>146.98676999999998</v>
      </c>
      <c r="DZ26" s="1147">
        <v>0</v>
      </c>
      <c r="EA26" s="1147">
        <v>212.17366000000001</v>
      </c>
      <c r="EB26" s="1147">
        <v>0</v>
      </c>
      <c r="EC26" s="1147">
        <v>235.73551</v>
      </c>
      <c r="ED26" s="1147">
        <v>0</v>
      </c>
      <c r="EE26" s="1147">
        <v>266.06986999999998</v>
      </c>
      <c r="EF26" s="1147">
        <v>0</v>
      </c>
      <c r="EG26" s="1147">
        <v>305.72841</v>
      </c>
      <c r="EH26" s="1147">
        <v>0</v>
      </c>
      <c r="EI26" s="1147">
        <v>338.96469999999999</v>
      </c>
      <c r="EJ26" s="1147">
        <v>0</v>
      </c>
      <c r="EK26" s="1147">
        <v>382.24315999999999</v>
      </c>
      <c r="EL26" s="1147">
        <v>0</v>
      </c>
      <c r="EM26" s="1147">
        <v>434.05214000000001</v>
      </c>
      <c r="EN26" s="1147">
        <v>0</v>
      </c>
      <c r="EO26" s="1147">
        <v>515.33486000000005</v>
      </c>
      <c r="EP26" s="1147">
        <v>0</v>
      </c>
      <c r="EQ26" s="1147">
        <v>101.67821000000001</v>
      </c>
      <c r="ER26" s="1147">
        <v>0</v>
      </c>
      <c r="ES26" s="1147">
        <v>166.44032000000001</v>
      </c>
      <c r="ET26" s="1147">
        <v>0</v>
      </c>
      <c r="EU26" s="1147">
        <v>340.47985999999997</v>
      </c>
      <c r="EV26" s="1147">
        <v>0</v>
      </c>
      <c r="EW26" s="1147">
        <v>460.65055999999998</v>
      </c>
      <c r="EX26" s="1147">
        <v>0</v>
      </c>
      <c r="EY26" s="1147">
        <v>680.67237999999998</v>
      </c>
      <c r="EZ26" s="1147">
        <v>0</v>
      </c>
      <c r="FA26" s="1147">
        <v>880.89229</v>
      </c>
      <c r="FB26" s="1147">
        <v>2.6585000000000001</v>
      </c>
      <c r="FC26" s="1147">
        <v>1101.7360799999999</v>
      </c>
      <c r="FD26" s="1147">
        <v>2.6585000000000001</v>
      </c>
      <c r="FE26" s="1147">
        <v>1645.55377</v>
      </c>
      <c r="FF26" s="1147">
        <v>2.6585000000000001</v>
      </c>
      <c r="FG26" s="1147">
        <v>2021.4645700000001</v>
      </c>
      <c r="FH26" s="1147">
        <v>2.6585000000000001</v>
      </c>
      <c r="FI26" s="1147">
        <v>2201.8031299999998</v>
      </c>
      <c r="FJ26" s="1147">
        <v>6.8273100000000007</v>
      </c>
      <c r="FK26" s="1147">
        <v>2404.4049300000001</v>
      </c>
      <c r="FL26" s="1147">
        <v>9.1699199999999994</v>
      </c>
      <c r="FM26" s="1147">
        <v>249.57214000000002</v>
      </c>
      <c r="FN26" s="1147">
        <v>0</v>
      </c>
      <c r="FO26" s="1147">
        <v>574.56591000000003</v>
      </c>
      <c r="FP26" s="1147">
        <v>0</v>
      </c>
      <c r="FQ26" s="1147">
        <v>903.20011999999997</v>
      </c>
      <c r="FR26" s="1147">
        <v>0.65654000000000001</v>
      </c>
      <c r="FS26" s="1147">
        <v>1224.0430700000002</v>
      </c>
      <c r="FT26" s="1147">
        <v>3.0203899999999999</v>
      </c>
      <c r="FU26" s="1147">
        <v>1623.80441</v>
      </c>
      <c r="FV26" s="1147">
        <v>3.40991</v>
      </c>
      <c r="FW26" s="1147">
        <v>1952.11337</v>
      </c>
      <c r="FX26" s="1147">
        <v>6.7371000000000008</v>
      </c>
      <c r="FY26" s="1147">
        <v>2449.2265400000001</v>
      </c>
      <c r="FZ26" s="1147">
        <v>8.0933600000000006</v>
      </c>
      <c r="GA26" s="1147">
        <v>2783.93541</v>
      </c>
      <c r="GB26" s="1147">
        <v>8.0933600000000006</v>
      </c>
      <c r="GC26" s="1147">
        <v>3315.7186900000002</v>
      </c>
      <c r="GD26" s="1147">
        <v>13.688090000000001</v>
      </c>
      <c r="GE26" s="1147">
        <v>3936.8247700000002</v>
      </c>
      <c r="GF26" s="1147">
        <v>13.688090000000001</v>
      </c>
      <c r="GG26" s="1147">
        <v>4407.2150799999999</v>
      </c>
      <c r="GH26" s="1147">
        <v>15.00943</v>
      </c>
      <c r="GI26" s="1147">
        <v>4857.1711799999994</v>
      </c>
      <c r="GJ26" s="1147">
        <v>15.00943</v>
      </c>
      <c r="GK26" s="1147">
        <v>601.49929000000009</v>
      </c>
      <c r="GL26" s="1147">
        <v>29.770479999999999</v>
      </c>
      <c r="GM26" s="1147">
        <v>1314.5637199999999</v>
      </c>
      <c r="GN26" s="1147">
        <v>33.811800000000005</v>
      </c>
      <c r="GO26" s="1147">
        <v>1961.7708700000001</v>
      </c>
      <c r="GP26" s="1147">
        <v>40.400370000000002</v>
      </c>
      <c r="GQ26" s="1147">
        <v>2716.9852000000001</v>
      </c>
      <c r="GR26" s="1147">
        <v>50.003630000000001</v>
      </c>
      <c r="GS26" s="1147">
        <v>3630.3973799999999</v>
      </c>
      <c r="GT26" s="1147">
        <v>82.863669999999999</v>
      </c>
      <c r="GU26" s="1147">
        <v>4345.5181899999998</v>
      </c>
      <c r="GV26" s="1147">
        <v>117.44023</v>
      </c>
      <c r="GW26" s="1147">
        <v>5199.3748599999999</v>
      </c>
      <c r="GX26" s="1147">
        <v>154.01034999999999</v>
      </c>
      <c r="GY26" s="1147">
        <v>6047.6679100000001</v>
      </c>
      <c r="GZ26" s="1147">
        <v>697.79610000000002</v>
      </c>
      <c r="HA26" s="1147">
        <v>6940.6785399999999</v>
      </c>
      <c r="HB26" s="1147">
        <v>702.55953999999997</v>
      </c>
      <c r="HC26" s="1147">
        <v>9606.2829999999994</v>
      </c>
      <c r="HD26" s="1147">
        <v>703.04552999999999</v>
      </c>
      <c r="HE26" s="1147">
        <v>10740.933220000001</v>
      </c>
      <c r="HF26" s="1147">
        <v>977.20198000000005</v>
      </c>
      <c r="HG26" s="1147">
        <v>11640.01485</v>
      </c>
      <c r="HH26" s="1147">
        <v>1027.6623999999999</v>
      </c>
      <c r="HI26" s="1147">
        <v>1366.26972</v>
      </c>
      <c r="HJ26" s="1147">
        <v>22.203790000000001</v>
      </c>
      <c r="HK26" s="1147">
        <v>2583.3767600000001</v>
      </c>
      <c r="HL26" s="1147">
        <v>681.26733000000002</v>
      </c>
      <c r="HM26" s="1147">
        <v>3731.1293599999999</v>
      </c>
      <c r="HN26" s="1147">
        <v>705.91886</v>
      </c>
      <c r="HO26" s="1147">
        <v>5035.3717900000001</v>
      </c>
      <c r="HP26" s="1147">
        <v>1284.50919</v>
      </c>
      <c r="HQ26" s="1147">
        <v>6694.2623400000002</v>
      </c>
      <c r="HR26" s="1147">
        <v>2053.4633100000001</v>
      </c>
      <c r="HS26" s="1147">
        <v>7957.1932399999996</v>
      </c>
      <c r="HT26" s="1147">
        <v>2894.06349</v>
      </c>
      <c r="HU26" s="1147">
        <v>9400.2109199999995</v>
      </c>
      <c r="HV26" s="1147">
        <v>3054.9625599999999</v>
      </c>
      <c r="HW26" s="1147">
        <v>10848.74116</v>
      </c>
      <c r="HX26" s="1147">
        <v>3550.4021299999999</v>
      </c>
      <c r="HY26" s="1147">
        <v>12339.87679</v>
      </c>
      <c r="HZ26" s="1147">
        <v>3850.2132200000001</v>
      </c>
      <c r="IA26" s="1147">
        <v>14353.75352</v>
      </c>
      <c r="IB26" s="1147">
        <v>4130.2096000000001</v>
      </c>
      <c r="IC26" s="1147">
        <v>16155.66604</v>
      </c>
      <c r="ID26" s="1147">
        <v>4339.4803199999997</v>
      </c>
      <c r="IE26" s="1147">
        <v>17957.815620000001</v>
      </c>
      <c r="IF26" s="1147">
        <v>4583.0498900000002</v>
      </c>
      <c r="IG26" s="1147">
        <v>2161.7377499999998</v>
      </c>
      <c r="IH26" s="1147">
        <v>237.70047</v>
      </c>
      <c r="II26" s="1147">
        <v>4308.5497500000001</v>
      </c>
      <c r="IJ26" s="1147">
        <v>582.74378999999999</v>
      </c>
      <c r="IK26" s="1147">
        <v>6612.9805200000001</v>
      </c>
      <c r="IL26" s="1147">
        <v>744.10811999999999</v>
      </c>
      <c r="IM26" s="1147">
        <v>9634.2147100000002</v>
      </c>
      <c r="IN26" s="1147">
        <v>1157.92175</v>
      </c>
      <c r="IO26" s="1147">
        <v>12348.583070000001</v>
      </c>
      <c r="IP26" s="1147">
        <v>2145.2411299999999</v>
      </c>
      <c r="IQ26" s="1147">
        <v>14759.308709999999</v>
      </c>
      <c r="IR26" s="1147">
        <v>2641.3983499999999</v>
      </c>
      <c r="IS26" s="1654" t="s">
        <v>3161</v>
      </c>
    </row>
    <row r="27" spans="1:253" s="1657" customFormat="1" ht="55.5" customHeight="1">
      <c r="A27" s="1655"/>
      <c r="B27" s="1656" t="s">
        <v>3065</v>
      </c>
      <c r="C27" s="1148">
        <f>SUM(C29:C41)</f>
        <v>8087.5161999999982</v>
      </c>
      <c r="D27" s="1148">
        <f t="shared" ref="D27:BO27" si="0">SUM(D29:D41)</f>
        <v>2613.1290400000003</v>
      </c>
      <c r="E27" s="1148">
        <f t="shared" si="0"/>
        <v>18022.567799999997</v>
      </c>
      <c r="F27" s="1148">
        <f t="shared" si="0"/>
        <v>6089.8633700000009</v>
      </c>
      <c r="G27" s="1148">
        <f t="shared" si="0"/>
        <v>26782.171439999998</v>
      </c>
      <c r="H27" s="1148">
        <f t="shared" si="0"/>
        <v>9438.047059999999</v>
      </c>
      <c r="I27" s="1148">
        <f t="shared" si="0"/>
        <v>39176.054680000001</v>
      </c>
      <c r="J27" s="1148">
        <f t="shared" si="0"/>
        <v>13522.107899999999</v>
      </c>
      <c r="K27" s="1148">
        <f t="shared" si="0"/>
        <v>55340.117030000009</v>
      </c>
      <c r="L27" s="1148">
        <f t="shared" si="0"/>
        <v>17265.217370000002</v>
      </c>
      <c r="M27" s="1148">
        <f t="shared" si="0"/>
        <v>64919.982929999998</v>
      </c>
      <c r="N27" s="1148">
        <f t="shared" si="0"/>
        <v>21625.596169999997</v>
      </c>
      <c r="O27" s="1148">
        <f t="shared" si="0"/>
        <v>71250.976460000005</v>
      </c>
      <c r="P27" s="1148">
        <f t="shared" si="0"/>
        <v>25084.936009999998</v>
      </c>
      <c r="Q27" s="1148">
        <f t="shared" si="0"/>
        <v>76376.143980000008</v>
      </c>
      <c r="R27" s="1148">
        <f t="shared" si="0"/>
        <v>29043.583579999999</v>
      </c>
      <c r="S27" s="1148">
        <f t="shared" si="0"/>
        <v>81548.489780000004</v>
      </c>
      <c r="T27" s="1148">
        <f t="shared" si="0"/>
        <v>31857.516800000001</v>
      </c>
      <c r="U27" s="1148">
        <f t="shared" si="0"/>
        <v>85418.585309999995</v>
      </c>
      <c r="V27" s="1148">
        <f t="shared" si="0"/>
        <v>35523.594989999998</v>
      </c>
      <c r="W27" s="1148">
        <f t="shared" si="0"/>
        <v>90182.726170000009</v>
      </c>
      <c r="X27" s="1148">
        <f t="shared" si="0"/>
        <v>39031.113919999996</v>
      </c>
      <c r="Y27" s="1148">
        <f t="shared" si="0"/>
        <v>94274.718699999998</v>
      </c>
      <c r="Z27" s="1148">
        <f t="shared" si="0"/>
        <v>43267.230169999995</v>
      </c>
      <c r="AA27" s="1148">
        <f t="shared" si="0"/>
        <v>7652.0331699999997</v>
      </c>
      <c r="AB27" s="1148">
        <f t="shared" si="0"/>
        <v>2282.36958</v>
      </c>
      <c r="AC27" s="1148">
        <f t="shared" si="0"/>
        <v>13430.040130000001</v>
      </c>
      <c r="AD27" s="1148">
        <f t="shared" si="0"/>
        <v>5019.2088899999999</v>
      </c>
      <c r="AE27" s="1148">
        <f t="shared" si="0"/>
        <v>22268.663199999999</v>
      </c>
      <c r="AF27" s="1148">
        <f t="shared" si="0"/>
        <v>8073.4076299999997</v>
      </c>
      <c r="AG27" s="1148">
        <f t="shared" si="0"/>
        <v>27185.898350000003</v>
      </c>
      <c r="AH27" s="1148">
        <f t="shared" si="0"/>
        <v>10614.018690000001</v>
      </c>
      <c r="AI27" s="1148">
        <f t="shared" si="0"/>
        <v>32635.797490000004</v>
      </c>
      <c r="AJ27" s="1148">
        <f t="shared" si="0"/>
        <v>15285.227789999999</v>
      </c>
      <c r="AK27" s="1148">
        <f t="shared" si="0"/>
        <v>38722.034220000001</v>
      </c>
      <c r="AL27" s="1148">
        <f t="shared" si="0"/>
        <v>18748.56466</v>
      </c>
      <c r="AM27" s="1148">
        <f t="shared" si="0"/>
        <v>44807.316350000001</v>
      </c>
      <c r="AN27" s="1148">
        <f t="shared" si="0"/>
        <v>20021.3616</v>
      </c>
      <c r="AO27" s="1148">
        <f t="shared" si="0"/>
        <v>50002.445359999998</v>
      </c>
      <c r="AP27" s="1148">
        <f t="shared" si="0"/>
        <v>22750.758499999996</v>
      </c>
      <c r="AQ27" s="1148">
        <f t="shared" si="0"/>
        <v>58806.492910000001</v>
      </c>
      <c r="AR27" s="1148">
        <f t="shared" si="0"/>
        <v>24830.66966</v>
      </c>
      <c r="AS27" s="1148">
        <f t="shared" si="0"/>
        <v>76446.552479999998</v>
      </c>
      <c r="AT27" s="1148">
        <f t="shared" si="0"/>
        <v>26926.493719999999</v>
      </c>
      <c r="AU27" s="1148">
        <f t="shared" si="0"/>
        <v>81111.651989999998</v>
      </c>
      <c r="AV27" s="1148">
        <f t="shared" si="0"/>
        <v>29561.593429999997</v>
      </c>
      <c r="AW27" s="1148">
        <f t="shared" si="0"/>
        <v>86963.274120000002</v>
      </c>
      <c r="AX27" s="1148">
        <f t="shared" si="0"/>
        <v>32325.444509999998</v>
      </c>
      <c r="AY27" s="1148">
        <f t="shared" si="0"/>
        <v>4458.5800900000004</v>
      </c>
      <c r="AZ27" s="1148">
        <f t="shared" si="0"/>
        <v>2092.4676800000002</v>
      </c>
      <c r="BA27" s="1148">
        <f t="shared" si="0"/>
        <v>10145.917369999999</v>
      </c>
      <c r="BB27" s="1148">
        <f t="shared" si="0"/>
        <v>5009.6243599999998</v>
      </c>
      <c r="BC27" s="1148">
        <f t="shared" si="0"/>
        <v>13691.75</v>
      </c>
      <c r="BD27" s="1148">
        <f t="shared" si="0"/>
        <v>7566.5400000000009</v>
      </c>
      <c r="BE27" s="1148">
        <f t="shared" si="0"/>
        <v>44603.224470000001</v>
      </c>
      <c r="BF27" s="1148">
        <f t="shared" si="0"/>
        <v>10564.80142</v>
      </c>
      <c r="BG27" s="1148">
        <f t="shared" si="0"/>
        <v>48813.296690000003</v>
      </c>
      <c r="BH27" s="1148">
        <f t="shared" si="0"/>
        <v>13874.482960000001</v>
      </c>
      <c r="BI27" s="1148">
        <f t="shared" si="0"/>
        <v>53213.892890000003</v>
      </c>
      <c r="BJ27" s="1148">
        <f t="shared" si="0"/>
        <v>16028.824619999999</v>
      </c>
      <c r="BK27" s="1148">
        <f t="shared" si="0"/>
        <v>62373.982900000003</v>
      </c>
      <c r="BL27" s="1148">
        <f t="shared" si="0"/>
        <v>18876.766749999995</v>
      </c>
      <c r="BM27" s="1148">
        <f t="shared" si="0"/>
        <v>66611.430869999997</v>
      </c>
      <c r="BN27" s="1148">
        <f t="shared" si="0"/>
        <v>21435.253360000002</v>
      </c>
      <c r="BO27" s="1148">
        <f t="shared" si="0"/>
        <v>71509.044190000001</v>
      </c>
      <c r="BP27" s="1148">
        <f t="shared" ref="BP27:EA27" si="1">SUM(BP29:BP41)</f>
        <v>23920.693009999999</v>
      </c>
      <c r="BQ27" s="1148">
        <f t="shared" si="1"/>
        <v>76098.411070000002</v>
      </c>
      <c r="BR27" s="1148">
        <f t="shared" si="1"/>
        <v>26617.136850000003</v>
      </c>
      <c r="BS27" s="1148">
        <f t="shared" si="1"/>
        <v>80414.538949999987</v>
      </c>
      <c r="BT27" s="1148">
        <f t="shared" si="1"/>
        <v>29182.84246</v>
      </c>
      <c r="BU27" s="1148">
        <f t="shared" si="1"/>
        <v>84547.007870000001</v>
      </c>
      <c r="BV27" s="1148">
        <f t="shared" si="1"/>
        <v>31906.25891</v>
      </c>
      <c r="BW27" s="1148">
        <f t="shared" si="1"/>
        <v>3600.0485600000002</v>
      </c>
      <c r="BX27" s="1148">
        <f t="shared" si="1"/>
        <v>2263.4061099999999</v>
      </c>
      <c r="BY27" s="1148">
        <f t="shared" si="1"/>
        <v>6913.7807200000007</v>
      </c>
      <c r="BZ27" s="1148">
        <f t="shared" si="1"/>
        <v>4594.9964300000001</v>
      </c>
      <c r="CA27" s="1148">
        <f t="shared" si="1"/>
        <v>36177.390440000003</v>
      </c>
      <c r="CB27" s="1148">
        <f t="shared" si="1"/>
        <v>6586.3831500000006</v>
      </c>
      <c r="CC27" s="1148">
        <f t="shared" si="1"/>
        <v>39407.702530000002</v>
      </c>
      <c r="CD27" s="1148">
        <f t="shared" si="1"/>
        <v>9192.0504399999991</v>
      </c>
      <c r="CE27" s="1148">
        <f t="shared" si="1"/>
        <v>43016.697240000001</v>
      </c>
      <c r="CF27" s="1148">
        <f t="shared" si="1"/>
        <v>11464.881160000001</v>
      </c>
      <c r="CG27" s="1148">
        <f t="shared" si="1"/>
        <v>46922.886079999997</v>
      </c>
      <c r="CH27" s="1148">
        <f t="shared" si="1"/>
        <v>13343.186030000001</v>
      </c>
      <c r="CI27" s="1148">
        <f t="shared" si="1"/>
        <v>53265.659890000003</v>
      </c>
      <c r="CJ27" s="1148">
        <f t="shared" si="1"/>
        <v>16734.118030000001</v>
      </c>
      <c r="CK27" s="1148">
        <f t="shared" si="1"/>
        <v>56952.529520000004</v>
      </c>
      <c r="CL27" s="1148">
        <f t="shared" si="1"/>
        <v>19146.367079999996</v>
      </c>
      <c r="CM27" s="1148">
        <f t="shared" si="1"/>
        <v>61618.663959999998</v>
      </c>
      <c r="CN27" s="1148">
        <f t="shared" si="1"/>
        <v>21600.035039999999</v>
      </c>
      <c r="CO27" s="1148">
        <f t="shared" si="1"/>
        <v>65136.243549999999</v>
      </c>
      <c r="CP27" s="1148">
        <f t="shared" si="1"/>
        <v>24595.726020000002</v>
      </c>
      <c r="CQ27" s="1148">
        <f t="shared" si="1"/>
        <v>69830.609760000007</v>
      </c>
      <c r="CR27" s="1148">
        <f t="shared" si="1"/>
        <v>27378.969420000001</v>
      </c>
      <c r="CS27" s="1148">
        <f t="shared" si="1"/>
        <v>77055.992180000001</v>
      </c>
      <c r="CT27" s="1148">
        <f t="shared" si="1"/>
        <v>30609.602310000002</v>
      </c>
      <c r="CU27" s="1148">
        <f t="shared" si="1"/>
        <v>5433.6460999999999</v>
      </c>
      <c r="CV27" s="1148">
        <f t="shared" si="1"/>
        <v>2594.8429399999995</v>
      </c>
      <c r="CW27" s="1148">
        <f t="shared" si="1"/>
        <v>39991.96759</v>
      </c>
      <c r="CX27" s="1148">
        <f t="shared" si="1"/>
        <v>5679.0203999999994</v>
      </c>
      <c r="CY27" s="1148">
        <f t="shared" si="1"/>
        <v>43264.787850000001</v>
      </c>
      <c r="CZ27" s="1148">
        <f t="shared" si="1"/>
        <v>7467.14689</v>
      </c>
      <c r="DA27" s="1148">
        <f t="shared" si="1"/>
        <v>46439.968550000005</v>
      </c>
      <c r="DB27" s="1148">
        <f t="shared" si="1"/>
        <v>9736.8302399999993</v>
      </c>
      <c r="DC27" s="1148">
        <f t="shared" si="1"/>
        <v>50221.889219999997</v>
      </c>
      <c r="DD27" s="1148">
        <f t="shared" si="1"/>
        <v>11085.200979999998</v>
      </c>
      <c r="DE27" s="1148">
        <f t="shared" si="1"/>
        <v>52716.295270000002</v>
      </c>
      <c r="DF27" s="1148">
        <f t="shared" si="1"/>
        <v>12776.89683</v>
      </c>
      <c r="DG27" s="1148">
        <f t="shared" si="1"/>
        <v>55553.904739999998</v>
      </c>
      <c r="DH27" s="1148">
        <f t="shared" si="1"/>
        <v>14673.294449999998</v>
      </c>
      <c r="DI27" s="1148">
        <f t="shared" si="1"/>
        <v>58442.354310000002</v>
      </c>
      <c r="DJ27" s="1148">
        <f t="shared" si="1"/>
        <v>16285.03873</v>
      </c>
      <c r="DK27" s="1148">
        <f t="shared" si="1"/>
        <v>61710.162619999996</v>
      </c>
      <c r="DL27" s="1148">
        <f t="shared" si="1"/>
        <v>18520.302080000001</v>
      </c>
      <c r="DM27" s="1148">
        <f t="shared" si="1"/>
        <v>64788.364719999998</v>
      </c>
      <c r="DN27" s="1148">
        <f t="shared" si="1"/>
        <v>20280.00071</v>
      </c>
      <c r="DO27" s="1148">
        <f t="shared" si="1"/>
        <v>67379.198479999992</v>
      </c>
      <c r="DP27" s="1148">
        <f t="shared" si="1"/>
        <v>23881.419739999998</v>
      </c>
      <c r="DQ27" s="1148">
        <f t="shared" si="1"/>
        <v>70207.703099999999</v>
      </c>
      <c r="DR27" s="1148">
        <f t="shared" si="1"/>
        <v>42701.710359999997</v>
      </c>
      <c r="DS27" s="1148">
        <f t="shared" si="1"/>
        <v>3743.0484099999999</v>
      </c>
      <c r="DT27" s="1148">
        <f t="shared" si="1"/>
        <v>15865.10094</v>
      </c>
      <c r="DU27" s="1148">
        <f t="shared" si="1"/>
        <v>7848.7265699999998</v>
      </c>
      <c r="DV27" s="1148">
        <f t="shared" si="1"/>
        <v>25055.890979999996</v>
      </c>
      <c r="DW27" s="1148">
        <f t="shared" si="1"/>
        <v>41781.39673</v>
      </c>
      <c r="DX27" s="1148">
        <f t="shared" si="1"/>
        <v>29225.565910000001</v>
      </c>
      <c r="DY27" s="1148">
        <f t="shared" si="1"/>
        <v>45092.050470000002</v>
      </c>
      <c r="DZ27" s="1148">
        <f t="shared" si="1"/>
        <v>33643.3505</v>
      </c>
      <c r="EA27" s="1148">
        <f t="shared" si="1"/>
        <v>48980.908799999997</v>
      </c>
      <c r="EB27" s="1148">
        <f t="shared" ref="EB27:GM27" si="2">SUM(EB29:EB41)</f>
        <v>36410.902199999997</v>
      </c>
      <c r="EC27" s="1148">
        <f t="shared" si="2"/>
        <v>53273.387239999996</v>
      </c>
      <c r="ED27" s="1148">
        <f t="shared" si="2"/>
        <v>39809.40423</v>
      </c>
      <c r="EE27" s="1148">
        <f t="shared" si="2"/>
        <v>57616.426789999998</v>
      </c>
      <c r="EF27" s="1148">
        <f t="shared" si="2"/>
        <v>43740.644789999998</v>
      </c>
      <c r="EG27" s="1148">
        <f t="shared" si="2"/>
        <v>61722.354359999998</v>
      </c>
      <c r="EH27" s="1148">
        <f t="shared" si="2"/>
        <v>47906.644130000001</v>
      </c>
      <c r="EI27" s="1148">
        <f t="shared" si="2"/>
        <v>65097.460800000001</v>
      </c>
      <c r="EJ27" s="1148">
        <f t="shared" si="2"/>
        <v>53012.764770000002</v>
      </c>
      <c r="EK27" s="1148">
        <f t="shared" si="2"/>
        <v>68256.034110000008</v>
      </c>
      <c r="EL27" s="1148">
        <f t="shared" si="2"/>
        <v>56978.113940000003</v>
      </c>
      <c r="EM27" s="1148">
        <f t="shared" si="2"/>
        <v>71183.004199999996</v>
      </c>
      <c r="EN27" s="1148">
        <f t="shared" si="2"/>
        <v>61488.671969999996</v>
      </c>
      <c r="EO27" s="1148">
        <f t="shared" si="2"/>
        <v>71114.24801000001</v>
      </c>
      <c r="EP27" s="1148">
        <f t="shared" si="2"/>
        <v>65592.360509999999</v>
      </c>
      <c r="EQ27" s="1148">
        <f t="shared" si="2"/>
        <v>1836.2172</v>
      </c>
      <c r="ER27" s="1148">
        <f t="shared" si="2"/>
        <v>2554.63789</v>
      </c>
      <c r="ES27" s="1148">
        <f t="shared" si="2"/>
        <v>3739.6578100000002</v>
      </c>
      <c r="ET27" s="1148">
        <f t="shared" si="2"/>
        <v>4955.8198499999999</v>
      </c>
      <c r="EU27" s="1148">
        <f t="shared" si="2"/>
        <v>5609.1416399999998</v>
      </c>
      <c r="EV27" s="1148">
        <f t="shared" si="2"/>
        <v>8061.0262699999994</v>
      </c>
      <c r="EW27" s="1148">
        <f t="shared" si="2"/>
        <v>7804.0027100000007</v>
      </c>
      <c r="EX27" s="1148">
        <f t="shared" si="2"/>
        <v>10853.60793</v>
      </c>
      <c r="EY27" s="1148">
        <f t="shared" si="2"/>
        <v>10292.840909999999</v>
      </c>
      <c r="EZ27" s="1148">
        <f t="shared" si="2"/>
        <v>13305.193209999999</v>
      </c>
      <c r="FA27" s="1148">
        <f t="shared" si="2"/>
        <v>12065.390340000002</v>
      </c>
      <c r="FB27" s="1148">
        <f t="shared" si="2"/>
        <v>13994.90417</v>
      </c>
      <c r="FC27" s="1148">
        <f t="shared" si="2"/>
        <v>15735.0867</v>
      </c>
      <c r="FD27" s="1148">
        <f t="shared" si="2"/>
        <v>17901.025229999999</v>
      </c>
      <c r="FE27" s="1148">
        <f t="shared" si="2"/>
        <v>21887.690119999999</v>
      </c>
      <c r="FF27" s="1148">
        <f t="shared" si="2"/>
        <v>22121.665710000001</v>
      </c>
      <c r="FG27" s="1148">
        <f t="shared" si="2"/>
        <v>25466.337959999997</v>
      </c>
      <c r="FH27" s="1148">
        <f t="shared" si="2"/>
        <v>23886.448649999998</v>
      </c>
      <c r="FI27" s="1148">
        <f t="shared" si="2"/>
        <v>29153.701219999999</v>
      </c>
      <c r="FJ27" s="1148">
        <f t="shared" si="2"/>
        <v>25349.156309999998</v>
      </c>
      <c r="FK27" s="1148">
        <f t="shared" si="2"/>
        <v>33046.830130000002</v>
      </c>
      <c r="FL27" s="1148">
        <f t="shared" si="2"/>
        <v>27008.177510000001</v>
      </c>
      <c r="FM27" s="1148">
        <f t="shared" si="2"/>
        <v>3458.91777</v>
      </c>
      <c r="FN27" s="1148">
        <f t="shared" si="2"/>
        <v>1507.3473800000002</v>
      </c>
      <c r="FO27" s="1148">
        <f t="shared" si="2"/>
        <v>7004.5247799999997</v>
      </c>
      <c r="FP27" s="1148">
        <f t="shared" si="2"/>
        <v>3490.5833499999999</v>
      </c>
      <c r="FQ27" s="1148">
        <f t="shared" si="2"/>
        <v>11627.912199999999</v>
      </c>
      <c r="FR27" s="1148">
        <f t="shared" si="2"/>
        <v>5047.0546599999998</v>
      </c>
      <c r="FS27" s="1148">
        <f t="shared" si="2"/>
        <v>15723.57474</v>
      </c>
      <c r="FT27" s="1148">
        <f t="shared" si="2"/>
        <v>7025.1564700000008</v>
      </c>
      <c r="FU27" s="1148">
        <f t="shared" si="2"/>
        <v>20128.753239999998</v>
      </c>
      <c r="FV27" s="1148">
        <f t="shared" si="2"/>
        <v>9101.5114300000005</v>
      </c>
      <c r="FW27" s="1148">
        <f t="shared" si="2"/>
        <v>23734.226419999999</v>
      </c>
      <c r="FX27" s="1148">
        <f t="shared" si="2"/>
        <v>10916.399089999999</v>
      </c>
      <c r="FY27" s="1148">
        <f t="shared" si="2"/>
        <v>27857.953309999997</v>
      </c>
      <c r="FZ27" s="1148">
        <f t="shared" si="2"/>
        <v>12769.958140000001</v>
      </c>
      <c r="GA27" s="1148">
        <f t="shared" si="2"/>
        <v>31945.94138</v>
      </c>
      <c r="GB27" s="1148">
        <f t="shared" si="2"/>
        <v>14906.21515</v>
      </c>
      <c r="GC27" s="1148">
        <f t="shared" si="2"/>
        <v>35883.985740000004</v>
      </c>
      <c r="GD27" s="1148">
        <f t="shared" si="2"/>
        <v>16870.700339999999</v>
      </c>
      <c r="GE27" s="1148">
        <f t="shared" si="2"/>
        <v>39847.310530000002</v>
      </c>
      <c r="GF27" s="1148">
        <f t="shared" si="2"/>
        <v>19640.919450000001</v>
      </c>
      <c r="GG27" s="1148">
        <f t="shared" si="2"/>
        <v>40314.80287</v>
      </c>
      <c r="GH27" s="1148">
        <f t="shared" si="2"/>
        <v>21944.692480000002</v>
      </c>
      <c r="GI27" s="1148">
        <f t="shared" si="2"/>
        <v>40633.290219999995</v>
      </c>
      <c r="GJ27" s="1148">
        <f t="shared" si="2"/>
        <v>24131.731610000003</v>
      </c>
      <c r="GK27" s="1148">
        <f t="shared" si="2"/>
        <v>260.13344000000001</v>
      </c>
      <c r="GL27" s="1148">
        <f t="shared" si="2"/>
        <v>2060.52675</v>
      </c>
      <c r="GM27" s="1148">
        <f t="shared" si="2"/>
        <v>568.74527</v>
      </c>
      <c r="GN27" s="1148">
        <f t="shared" ref="GN27:HH27" si="3">SUM(GN29:GN41)</f>
        <v>4156.2611400000005</v>
      </c>
      <c r="GO27" s="1148">
        <f t="shared" si="3"/>
        <v>804.70215000000007</v>
      </c>
      <c r="GP27" s="1148">
        <f t="shared" si="3"/>
        <v>6060.7680899999996</v>
      </c>
      <c r="GQ27" s="1148">
        <f t="shared" si="3"/>
        <v>1088.5772199999999</v>
      </c>
      <c r="GR27" s="1148">
        <f t="shared" si="3"/>
        <v>8572.0696400000015</v>
      </c>
      <c r="GS27" s="1148">
        <f t="shared" si="3"/>
        <v>1268.04494</v>
      </c>
      <c r="GT27" s="1148">
        <f t="shared" si="3"/>
        <v>10589.20326</v>
      </c>
      <c r="GU27" s="1148">
        <f t="shared" si="3"/>
        <v>1355.53305</v>
      </c>
      <c r="GV27" s="1148">
        <f t="shared" si="3"/>
        <v>11327.10808</v>
      </c>
      <c r="GW27" s="1148">
        <f t="shared" si="3"/>
        <v>1435.0383099999999</v>
      </c>
      <c r="GX27" s="1148">
        <f t="shared" si="3"/>
        <v>12446.096880000001</v>
      </c>
      <c r="GY27" s="1148">
        <f t="shared" si="3"/>
        <v>1485.8704499999999</v>
      </c>
      <c r="GZ27" s="1148">
        <f t="shared" si="3"/>
        <v>13542.340680000001</v>
      </c>
      <c r="HA27" s="1148">
        <f t="shared" si="3"/>
        <v>1514.5818099999999</v>
      </c>
      <c r="HB27" s="1148">
        <f t="shared" si="3"/>
        <v>15159.03544</v>
      </c>
      <c r="HC27" s="1148">
        <f t="shared" si="3"/>
        <v>1523.9342099999999</v>
      </c>
      <c r="HD27" s="1148">
        <f t="shared" si="3"/>
        <v>16081.68687</v>
      </c>
      <c r="HE27" s="1148">
        <f t="shared" si="3"/>
        <v>1537.81357</v>
      </c>
      <c r="HF27" s="1148">
        <f t="shared" si="3"/>
        <v>16938.56612</v>
      </c>
      <c r="HG27" s="1148">
        <f t="shared" si="3"/>
        <v>1537.81357</v>
      </c>
      <c r="HH27" s="1148">
        <f t="shared" si="3"/>
        <v>17686.97766</v>
      </c>
      <c r="HI27" s="1148">
        <f t="shared" ref="HI27:IF27" si="4">SUM(HI28:HI41)</f>
        <v>976.85581999999999</v>
      </c>
      <c r="HJ27" s="1148">
        <f t="shared" si="4"/>
        <v>358.61095999999998</v>
      </c>
      <c r="HK27" s="1148">
        <f t="shared" si="4"/>
        <v>1701.89454</v>
      </c>
      <c r="HL27" s="1148">
        <f t="shared" si="4"/>
        <v>686.56826000000001</v>
      </c>
      <c r="HM27" s="1148">
        <f t="shared" si="4"/>
        <v>2488.2731899999999</v>
      </c>
      <c r="HN27" s="1148">
        <f t="shared" si="4"/>
        <v>1073.6911299999999</v>
      </c>
      <c r="HO27" s="1148">
        <f t="shared" si="4"/>
        <v>3313.0659099999998</v>
      </c>
      <c r="HP27" s="1148">
        <f t="shared" si="4"/>
        <v>1603.81421</v>
      </c>
      <c r="HQ27" s="1148">
        <f t="shared" si="4"/>
        <v>4092.42893</v>
      </c>
      <c r="HR27" s="1148">
        <f t="shared" si="4"/>
        <v>2106.4738200000002</v>
      </c>
      <c r="HS27" s="1148">
        <f t="shared" si="4"/>
        <v>4832.9801299999999</v>
      </c>
      <c r="HT27" s="1148">
        <f t="shared" si="4"/>
        <v>2598.8430400000002</v>
      </c>
      <c r="HU27" s="1148">
        <f t="shared" si="4"/>
        <v>5698.18361</v>
      </c>
      <c r="HV27" s="1148">
        <f t="shared" si="4"/>
        <v>3108.1090199999999</v>
      </c>
      <c r="HW27" s="1148">
        <f t="shared" si="4"/>
        <v>6669.6214200000004</v>
      </c>
      <c r="HX27" s="1148">
        <f t="shared" si="4"/>
        <v>3599.4457200000002</v>
      </c>
      <c r="HY27" s="1148">
        <f t="shared" si="4"/>
        <v>7540.8768399999999</v>
      </c>
      <c r="HZ27" s="1148">
        <f t="shared" si="4"/>
        <v>4102.7323699999997</v>
      </c>
      <c r="IA27" s="1148">
        <f t="shared" si="4"/>
        <v>8566.3443000000007</v>
      </c>
      <c r="IB27" s="1148">
        <f t="shared" si="4"/>
        <v>4776.9439000000002</v>
      </c>
      <c r="IC27" s="1148">
        <f t="shared" si="4"/>
        <v>9590.3928300000007</v>
      </c>
      <c r="ID27" s="1148">
        <f t="shared" si="4"/>
        <v>5260.7006600000004</v>
      </c>
      <c r="IE27" s="1148">
        <f t="shared" si="4"/>
        <v>10031.074210000001</v>
      </c>
      <c r="IF27" s="1148">
        <f t="shared" si="4"/>
        <v>5857.3700799999997</v>
      </c>
      <c r="IG27" s="1148">
        <f>SUM(IG28:IG41)</f>
        <v>0</v>
      </c>
      <c r="IH27" s="1148">
        <f t="shared" ref="IH27:IN27" si="5">SUM(IH28:IH41)</f>
        <v>603.10526000000004</v>
      </c>
      <c r="II27" s="1148">
        <f t="shared" si="5"/>
        <v>2.1909900000000002</v>
      </c>
      <c r="IJ27" s="1148">
        <f t="shared" si="5"/>
        <v>1344.85195</v>
      </c>
      <c r="IK27" s="1148">
        <f t="shared" si="5"/>
        <v>2.1909900000000002</v>
      </c>
      <c r="IL27" s="1148">
        <f t="shared" si="5"/>
        <v>1915.4071100000001</v>
      </c>
      <c r="IM27" s="1148">
        <f t="shared" si="5"/>
        <v>2.1909900000000002</v>
      </c>
      <c r="IN27" s="1148">
        <f t="shared" si="5"/>
        <v>2498.0043000000001</v>
      </c>
      <c r="IO27" s="1148">
        <f t="shared" ref="IO27:IP27" si="6">SUM(IO28:IO41)</f>
        <v>2.1909900000000002</v>
      </c>
      <c r="IP27" s="1148">
        <f t="shared" si="6"/>
        <v>2881.3953900000001</v>
      </c>
      <c r="IQ27" s="1148">
        <v>2.1909900000000002</v>
      </c>
      <c r="IR27" s="1148">
        <v>2967.7663699999998</v>
      </c>
      <c r="IS27" s="1750" t="s">
        <v>3162</v>
      </c>
    </row>
    <row r="28" spans="1:253" ht="49.5" hidden="1" customHeight="1">
      <c r="A28" s="1652">
        <v>16</v>
      </c>
      <c r="B28" s="1767" t="s">
        <v>2338</v>
      </c>
      <c r="C28" s="1147">
        <v>758.95065</v>
      </c>
      <c r="D28" s="1147">
        <v>237.81532999999999</v>
      </c>
      <c r="E28" s="1147">
        <v>1206.5170900000001</v>
      </c>
      <c r="F28" s="1147">
        <v>585.33663999999999</v>
      </c>
      <c r="G28" s="1147">
        <v>2012.0612100000001</v>
      </c>
      <c r="H28" s="1147">
        <v>849.55264999999997</v>
      </c>
      <c r="I28" s="1147">
        <v>2780.4427999999998</v>
      </c>
      <c r="J28" s="1147">
        <v>1091.3744299999998</v>
      </c>
      <c r="K28" s="1147">
        <v>3287.3404300000002</v>
      </c>
      <c r="L28" s="1147">
        <v>1354.99206</v>
      </c>
      <c r="M28" s="1147">
        <v>4776.1512400000001</v>
      </c>
      <c r="N28" s="1147">
        <v>1594.8853700000002</v>
      </c>
      <c r="O28" s="1147">
        <v>6595.6164800000006</v>
      </c>
      <c r="P28" s="1147">
        <v>1854.14168</v>
      </c>
      <c r="Q28" s="1147">
        <v>7036.5734900000007</v>
      </c>
      <c r="R28" s="1147">
        <v>2145.0987599999999</v>
      </c>
      <c r="S28" s="1147">
        <v>7798.27963</v>
      </c>
      <c r="T28" s="1147">
        <v>2536.4452799999999</v>
      </c>
      <c r="U28" s="1147">
        <v>8419.4225800000004</v>
      </c>
      <c r="V28" s="1147">
        <v>2804.1086099999998</v>
      </c>
      <c r="W28" s="1147">
        <v>8813.8976899999998</v>
      </c>
      <c r="X28" s="1147">
        <v>3194.5628999999999</v>
      </c>
      <c r="Y28" s="1147">
        <v>9288.9753699999983</v>
      </c>
      <c r="Z28" s="1147">
        <v>3542.4287999999997</v>
      </c>
      <c r="AA28" s="1147">
        <v>722.75606999999991</v>
      </c>
      <c r="AB28" s="1147">
        <v>208.47714999999999</v>
      </c>
      <c r="AC28" s="1147">
        <v>1342.6148600000001</v>
      </c>
      <c r="AD28" s="1147">
        <v>529.86847999999998</v>
      </c>
      <c r="AE28" s="1147">
        <v>2295.2592400000003</v>
      </c>
      <c r="AF28" s="1147">
        <v>852.87394999999992</v>
      </c>
      <c r="AG28" s="1147">
        <v>3057.5969</v>
      </c>
      <c r="AH28" s="1147">
        <v>1098.912</v>
      </c>
      <c r="AI28" s="1147">
        <v>3906.7648399999998</v>
      </c>
      <c r="AJ28" s="1147">
        <v>1441.7331999999999</v>
      </c>
      <c r="AK28" s="1147">
        <v>4602.3380900000002</v>
      </c>
      <c r="AL28" s="1147">
        <v>66.158720000000002</v>
      </c>
      <c r="AM28" s="1147">
        <v>6869.5830800000003</v>
      </c>
      <c r="AN28" s="1147">
        <v>2147.0364399999999</v>
      </c>
      <c r="AO28" s="1147">
        <v>8227.6363700000002</v>
      </c>
      <c r="AP28" s="1147">
        <v>2743.1603399999999</v>
      </c>
      <c r="AQ28" s="1147">
        <v>9490.8142799999987</v>
      </c>
      <c r="AR28" s="1147">
        <v>3214.6781800000003</v>
      </c>
      <c r="AS28" s="1147">
        <v>11136.178390000001</v>
      </c>
      <c r="AT28" s="1147">
        <v>3691.9581800000001</v>
      </c>
      <c r="AU28" s="1147">
        <v>12752.971099999999</v>
      </c>
      <c r="AV28" s="1147">
        <v>4251.1757400000006</v>
      </c>
      <c r="AW28" s="1147">
        <v>13715.792880000001</v>
      </c>
      <c r="AX28" s="1147">
        <v>5020.0168600000006</v>
      </c>
      <c r="AY28" s="1147">
        <v>1398.92399</v>
      </c>
      <c r="AZ28" s="1147">
        <v>606.98356999999999</v>
      </c>
      <c r="BA28" s="1147">
        <v>2712.2449700000002</v>
      </c>
      <c r="BB28" s="1147">
        <v>1322.68976</v>
      </c>
      <c r="BC28" s="1147">
        <v>4236.16</v>
      </c>
      <c r="BD28" s="1147">
        <v>1832.19</v>
      </c>
      <c r="BE28" s="1147">
        <v>6141.1052099999997</v>
      </c>
      <c r="BF28" s="1147">
        <v>2519.9277099999999</v>
      </c>
      <c r="BG28" s="1147">
        <v>8080.5050799999999</v>
      </c>
      <c r="BH28" s="1147">
        <v>3263.0724500000001</v>
      </c>
      <c r="BI28" s="1147">
        <v>10355.49401</v>
      </c>
      <c r="BJ28" s="1147">
        <v>3960.5989900000004</v>
      </c>
      <c r="BK28" s="1147">
        <v>12593.303960000001</v>
      </c>
      <c r="BL28" s="1147">
        <v>4973.6734100000003</v>
      </c>
      <c r="BM28" s="1147">
        <v>14721.571029999999</v>
      </c>
      <c r="BN28" s="1147">
        <v>5925.8159400000004</v>
      </c>
      <c r="BO28" s="1147">
        <v>16299.04016</v>
      </c>
      <c r="BP28" s="1147">
        <v>6846.3999199999998</v>
      </c>
      <c r="BQ28" s="1147">
        <v>18150.404030000002</v>
      </c>
      <c r="BR28" s="1147">
        <v>8159.1861100000006</v>
      </c>
      <c r="BS28" s="1147">
        <v>20443.97409</v>
      </c>
      <c r="BT28" s="1147">
        <v>9411.1755900000007</v>
      </c>
      <c r="BU28" s="1147">
        <v>22437.54723</v>
      </c>
      <c r="BV28" s="1147">
        <v>10609.75986</v>
      </c>
      <c r="BW28" s="1147">
        <v>1997.3262</v>
      </c>
      <c r="BX28" s="1147">
        <v>1471.01171</v>
      </c>
      <c r="BY28" s="1147">
        <v>3809.1153899999999</v>
      </c>
      <c r="BZ28" s="1147">
        <v>2508.2357000000002</v>
      </c>
      <c r="CA28" s="1147">
        <v>5374.5387300000002</v>
      </c>
      <c r="CB28" s="1147">
        <v>3477.5982799999997</v>
      </c>
      <c r="CC28" s="1147">
        <v>6423.19686</v>
      </c>
      <c r="CD28" s="1147">
        <v>4934.2401</v>
      </c>
      <c r="CE28" s="1147">
        <v>8006.8544199999997</v>
      </c>
      <c r="CF28" s="1147">
        <v>6073.4053899999999</v>
      </c>
      <c r="CG28" s="1147">
        <v>9382.5616599999994</v>
      </c>
      <c r="CH28" s="1147">
        <v>7153.3515299999999</v>
      </c>
      <c r="CI28" s="1147">
        <v>11019.08547</v>
      </c>
      <c r="CJ28" s="1147">
        <v>8630.6943300000003</v>
      </c>
      <c r="CK28" s="1147">
        <v>12340.53477</v>
      </c>
      <c r="CL28" s="1147">
        <v>9943.4307499999995</v>
      </c>
      <c r="CM28" s="1147">
        <v>13722.92499</v>
      </c>
      <c r="CN28" s="1147">
        <v>11190.93154</v>
      </c>
      <c r="CO28" s="1147">
        <v>15419.79549</v>
      </c>
      <c r="CP28" s="1147">
        <v>12473.17391</v>
      </c>
      <c r="CQ28" s="1147">
        <v>16761.277439999998</v>
      </c>
      <c r="CR28" s="1147">
        <v>13478.99475</v>
      </c>
      <c r="CS28" s="1147">
        <v>18093.562870000002</v>
      </c>
      <c r="CT28" s="1147">
        <v>14628.429029999999</v>
      </c>
      <c r="CU28" s="1147">
        <v>1621.3779299999999</v>
      </c>
      <c r="CV28" s="1147">
        <v>1051.4322099999999</v>
      </c>
      <c r="CW28" s="1147">
        <v>2807.8135000000002</v>
      </c>
      <c r="CX28" s="1147">
        <v>2032.7641699999999</v>
      </c>
      <c r="CY28" s="1147">
        <v>3538.5835200000001</v>
      </c>
      <c r="CZ28" s="1147">
        <v>2761.7750099999998</v>
      </c>
      <c r="DA28" s="1147">
        <v>5373.1786500000007</v>
      </c>
      <c r="DB28" s="1147">
        <v>3421.0196900000001</v>
      </c>
      <c r="DC28" s="1147">
        <v>6245.2153600000001</v>
      </c>
      <c r="DD28" s="1147">
        <v>3996.16887</v>
      </c>
      <c r="DE28" s="1147">
        <v>7319.5199499999999</v>
      </c>
      <c r="DF28" s="1147">
        <v>4784.3614000000007</v>
      </c>
      <c r="DG28" s="1147">
        <v>8397.61715</v>
      </c>
      <c r="DH28" s="1147">
        <v>5415.6854499999999</v>
      </c>
      <c r="DI28" s="1147">
        <v>9426.6470300000001</v>
      </c>
      <c r="DJ28" s="1147">
        <v>5967.4403899999998</v>
      </c>
      <c r="DK28" s="1147">
        <v>10492.541359999999</v>
      </c>
      <c r="DL28" s="1147">
        <v>6624.7102699999996</v>
      </c>
      <c r="DM28" s="1147">
        <v>11769.283730000001</v>
      </c>
      <c r="DN28" s="1147">
        <v>7311.5651399999997</v>
      </c>
      <c r="DO28" s="1147">
        <v>12814.26391</v>
      </c>
      <c r="DP28" s="1147">
        <v>7931.1194100000002</v>
      </c>
      <c r="DQ28" s="1147">
        <v>13889.36831</v>
      </c>
      <c r="DR28" s="1147">
        <v>8710.42634</v>
      </c>
      <c r="DS28" s="1147">
        <v>1465.94976</v>
      </c>
      <c r="DT28" s="1147">
        <v>574.56593999999996</v>
      </c>
      <c r="DU28" s="1147">
        <v>2492.0214799999999</v>
      </c>
      <c r="DV28" s="1147">
        <v>1198.9430400000001</v>
      </c>
      <c r="DW28" s="1147">
        <v>3539.6148599999997</v>
      </c>
      <c r="DX28" s="1147">
        <v>2022.8599099999999</v>
      </c>
      <c r="DY28" s="1147">
        <v>4793.99208</v>
      </c>
      <c r="DZ28" s="1147">
        <v>2729.2289700000001</v>
      </c>
      <c r="EA28" s="1147">
        <v>5838.3829000000005</v>
      </c>
      <c r="EB28" s="1147">
        <v>3214.6624900000002</v>
      </c>
      <c r="EC28" s="1147">
        <v>6767.6383099999994</v>
      </c>
      <c r="ED28" s="1147">
        <v>3970.5482900000002</v>
      </c>
      <c r="EE28" s="1147">
        <v>7611.5923700000003</v>
      </c>
      <c r="EF28" s="1147">
        <v>4828.8632600000001</v>
      </c>
      <c r="EG28" s="1147">
        <v>8596.6686399999999</v>
      </c>
      <c r="EH28" s="1147">
        <v>5697.3587300000008</v>
      </c>
      <c r="EI28" s="1147">
        <v>9402.4430600000014</v>
      </c>
      <c r="EJ28" s="1147">
        <v>6555.6742100000001</v>
      </c>
      <c r="EK28" s="1147">
        <v>10205.603370000001</v>
      </c>
      <c r="EL28" s="1147">
        <v>7388.2716499999997</v>
      </c>
      <c r="EM28" s="1147">
        <v>11401.470160000001</v>
      </c>
      <c r="EN28" s="1147">
        <v>8331.6942899999995</v>
      </c>
      <c r="EO28" s="1147">
        <v>11942.26446</v>
      </c>
      <c r="EP28" s="1147">
        <v>8695.22588</v>
      </c>
      <c r="EQ28" s="1147">
        <v>907.49677999999994</v>
      </c>
      <c r="ER28" s="1147">
        <v>735.82690000000002</v>
      </c>
      <c r="ES28" s="1147">
        <v>1307.26774</v>
      </c>
      <c r="ET28" s="1147">
        <v>1227.2543700000001</v>
      </c>
      <c r="EU28" s="1147">
        <v>1445.2997600000001</v>
      </c>
      <c r="EV28" s="1147">
        <v>1774.52135</v>
      </c>
      <c r="EW28" s="1147">
        <v>1676.15491</v>
      </c>
      <c r="EX28" s="1147">
        <v>2343.9546799999998</v>
      </c>
      <c r="EY28" s="1147">
        <v>1959.93309</v>
      </c>
      <c r="EZ28" s="1147">
        <v>2836.3603199999998</v>
      </c>
      <c r="FA28" s="1147">
        <v>2351.0983900000001</v>
      </c>
      <c r="FB28" s="1147">
        <v>3315.30312</v>
      </c>
      <c r="FC28" s="1147">
        <v>2726.1724800000002</v>
      </c>
      <c r="FD28" s="1147">
        <v>3754.5696800000001</v>
      </c>
      <c r="FE28" s="1147">
        <v>3652.48864</v>
      </c>
      <c r="FF28" s="1147">
        <v>4613.6577399999996</v>
      </c>
      <c r="FG28" s="1147">
        <v>4296.57089</v>
      </c>
      <c r="FH28" s="1147">
        <v>4980.3851999999997</v>
      </c>
      <c r="FI28" s="1147">
        <v>4808.30087</v>
      </c>
      <c r="FJ28" s="1147">
        <v>5195.5890199999994</v>
      </c>
      <c r="FK28" s="1147">
        <v>5311.9363899999998</v>
      </c>
      <c r="FL28" s="1147">
        <v>5394.8896199999999</v>
      </c>
      <c r="FM28" s="1147">
        <v>997.90572999999995</v>
      </c>
      <c r="FN28" s="1147">
        <v>293.39196999999996</v>
      </c>
      <c r="FO28" s="1147">
        <v>2055.15157</v>
      </c>
      <c r="FP28" s="1147">
        <v>543.59587999999997</v>
      </c>
      <c r="FQ28" s="1147">
        <v>2670.1943700000002</v>
      </c>
      <c r="FR28" s="1147">
        <v>724.85017000000005</v>
      </c>
      <c r="FS28" s="1147">
        <v>3491.4041899999997</v>
      </c>
      <c r="FT28" s="1147">
        <v>981.62671</v>
      </c>
      <c r="FU28" s="1147">
        <v>4647.3428099999992</v>
      </c>
      <c r="FV28" s="1147">
        <v>1237.2860800000001</v>
      </c>
      <c r="FW28" s="1147">
        <v>5411.0336100000004</v>
      </c>
      <c r="FX28" s="1147">
        <v>1422.8828500000002</v>
      </c>
      <c r="FY28" s="1147">
        <v>6171.3185000000003</v>
      </c>
      <c r="FZ28" s="1147">
        <v>1806.2121499999998</v>
      </c>
      <c r="GA28" s="1147">
        <v>7003.4649399999998</v>
      </c>
      <c r="GB28" s="1147">
        <v>2105.8989200000001</v>
      </c>
      <c r="GC28" s="1147">
        <v>7554.9007099999999</v>
      </c>
      <c r="GD28" s="1147">
        <v>2358.06781</v>
      </c>
      <c r="GE28" s="1147">
        <v>8252.9687599999997</v>
      </c>
      <c r="GF28" s="1147">
        <v>2690.6121400000002</v>
      </c>
      <c r="GG28" s="1147">
        <v>8944.9280500000004</v>
      </c>
      <c r="GH28" s="1147">
        <v>2896.31592</v>
      </c>
      <c r="GI28" s="1147">
        <v>9637.8774400000002</v>
      </c>
      <c r="GJ28" s="1147">
        <v>3209.5982000000004</v>
      </c>
      <c r="GK28" s="1147">
        <v>1011.80165</v>
      </c>
      <c r="GL28" s="1147">
        <v>277.73237999999998</v>
      </c>
      <c r="GM28" s="1147">
        <v>1856.0651</v>
      </c>
      <c r="GN28" s="1147">
        <v>641.18318999999997</v>
      </c>
      <c r="GO28" s="1147">
        <v>2593.8459400000002</v>
      </c>
      <c r="GP28" s="1147">
        <v>983.06219999999996</v>
      </c>
      <c r="GQ28" s="1147">
        <v>3366.2017300000002</v>
      </c>
      <c r="GR28" s="1147">
        <v>1345.9974500000001</v>
      </c>
      <c r="GS28" s="1147">
        <v>4300.8569600000001</v>
      </c>
      <c r="GT28" s="1147">
        <v>1685.8775700000001</v>
      </c>
      <c r="GU28" s="1147">
        <v>5172.8830200000002</v>
      </c>
      <c r="GV28" s="1147">
        <v>1928.8177599999999</v>
      </c>
      <c r="GW28" s="1147">
        <v>6192.9396500000003</v>
      </c>
      <c r="GX28" s="1147">
        <v>2320.7267700000002</v>
      </c>
      <c r="GY28" s="1147">
        <v>7078.2872799999996</v>
      </c>
      <c r="GZ28" s="1147">
        <v>2583.59672</v>
      </c>
      <c r="HA28" s="1147">
        <v>7903.2811300000003</v>
      </c>
      <c r="HB28" s="1147">
        <v>3098.1850599999998</v>
      </c>
      <c r="HC28" s="1147">
        <v>8767.4685599999993</v>
      </c>
      <c r="HD28" s="1147">
        <v>3531.0652599999999</v>
      </c>
      <c r="HE28" s="1147">
        <v>9514.0305399999997</v>
      </c>
      <c r="HF28" s="1147">
        <v>3966.8760200000002</v>
      </c>
      <c r="HG28" s="1147">
        <v>10393.84237</v>
      </c>
      <c r="HH28" s="1147">
        <v>4296.75468</v>
      </c>
      <c r="HI28" s="1147">
        <v>976.85581999999999</v>
      </c>
      <c r="HJ28" s="1147">
        <v>358.61095999999998</v>
      </c>
      <c r="HK28" s="1147">
        <v>1701.89454</v>
      </c>
      <c r="HL28" s="1147">
        <v>686.56826000000001</v>
      </c>
      <c r="HM28" s="1147">
        <v>2488.2731899999999</v>
      </c>
      <c r="HN28" s="1147">
        <v>1073.6911299999999</v>
      </c>
      <c r="HO28" s="1147">
        <v>3313.0659099999998</v>
      </c>
      <c r="HP28" s="1147">
        <v>1603.81421</v>
      </c>
      <c r="HQ28" s="1147">
        <v>4092.42893</v>
      </c>
      <c r="HR28" s="1147">
        <v>2106.4738200000002</v>
      </c>
      <c r="HS28" s="1147">
        <v>4832.9801299999999</v>
      </c>
      <c r="HT28" s="1147">
        <v>2598.8430400000002</v>
      </c>
      <c r="HU28" s="1147">
        <v>5698.18361</v>
      </c>
      <c r="HV28" s="1147">
        <v>3108.1090199999999</v>
      </c>
      <c r="HW28" s="1147">
        <v>6669.6214200000004</v>
      </c>
      <c r="HX28" s="1147">
        <v>3599.4457200000002</v>
      </c>
      <c r="HY28" s="1147">
        <v>7540.8768399999999</v>
      </c>
      <c r="HZ28" s="1147">
        <v>4102.7323699999997</v>
      </c>
      <c r="IA28" s="1147">
        <v>8566.3443000000007</v>
      </c>
      <c r="IB28" s="1147">
        <v>4776.9439000000002</v>
      </c>
      <c r="IC28" s="1147">
        <v>9590.3928300000007</v>
      </c>
      <c r="ID28" s="1147">
        <v>5260.7006600000004</v>
      </c>
      <c r="IE28" s="1147">
        <v>10031.074210000001</v>
      </c>
      <c r="IF28" s="1147">
        <v>5857.3700799999997</v>
      </c>
      <c r="IG28" s="1147">
        <v>0</v>
      </c>
      <c r="IH28" s="1147">
        <v>603.10526000000004</v>
      </c>
      <c r="II28" s="1147">
        <v>2.1909900000000002</v>
      </c>
      <c r="IJ28" s="1147">
        <v>1344.85195</v>
      </c>
      <c r="IK28" s="1147">
        <v>2.1909900000000002</v>
      </c>
      <c r="IL28" s="1147">
        <v>1915.4071100000001</v>
      </c>
      <c r="IM28" s="1147">
        <v>2.1909900000000002</v>
      </c>
      <c r="IN28" s="1147">
        <v>2498.0043000000001</v>
      </c>
      <c r="IO28" s="1147">
        <v>2.1909900000000002</v>
      </c>
      <c r="IP28" s="1147">
        <v>2881.3953900000001</v>
      </c>
      <c r="IQ28" s="1147">
        <v>2.1909900000000002</v>
      </c>
      <c r="IR28" s="1147">
        <v>2967.7663699999998</v>
      </c>
      <c r="IS28" s="1654" t="s">
        <v>3145</v>
      </c>
    </row>
    <row r="29" spans="1:253" ht="50.25" hidden="1" customHeight="1">
      <c r="A29" s="1652">
        <v>17</v>
      </c>
      <c r="B29" s="1767" t="s">
        <v>2340</v>
      </c>
      <c r="C29" s="1147">
        <v>3.0487100000000003</v>
      </c>
      <c r="D29" s="1147">
        <v>1.0129999999999999</v>
      </c>
      <c r="E29" s="1147">
        <v>6.33134</v>
      </c>
      <c r="F29" s="1147">
        <v>3.5630000000000002</v>
      </c>
      <c r="G29" s="1147">
        <v>9.8387799999999999</v>
      </c>
      <c r="H29" s="1147">
        <v>8.0772200000000005</v>
      </c>
      <c r="I29" s="1147">
        <v>11.19323</v>
      </c>
      <c r="J29" s="1147">
        <v>11.727219999999999</v>
      </c>
      <c r="K29" s="1147">
        <v>21.486969999999999</v>
      </c>
      <c r="L29" s="1147">
        <v>45.876260000000002</v>
      </c>
      <c r="M29" s="1147">
        <v>44.551679999999998</v>
      </c>
      <c r="N29" s="1147">
        <v>63.088279999999997</v>
      </c>
      <c r="O29" s="1147">
        <v>47.006839999999997</v>
      </c>
      <c r="P29" s="1147">
        <v>76.34254</v>
      </c>
      <c r="Q29" s="1147">
        <v>49.27608</v>
      </c>
      <c r="R29" s="1147">
        <v>124.65864000000001</v>
      </c>
      <c r="S29" s="1147">
        <v>49.560989999999997</v>
      </c>
      <c r="T29" s="1147">
        <v>126.74974</v>
      </c>
      <c r="U29" s="1147">
        <v>54.335209999999996</v>
      </c>
      <c r="V29" s="1147">
        <v>165.59767000000002</v>
      </c>
      <c r="W29" s="1147">
        <v>56.269440000000003</v>
      </c>
      <c r="X29" s="1147">
        <v>180.18667000000002</v>
      </c>
      <c r="Y29" s="1147">
        <v>62.553510000000003</v>
      </c>
      <c r="Z29" s="1147">
        <v>191.91323</v>
      </c>
      <c r="AA29" s="1147">
        <v>5.88131</v>
      </c>
      <c r="AB29" s="1147">
        <v>0</v>
      </c>
      <c r="AC29" s="1147">
        <v>7.80931</v>
      </c>
      <c r="AD29" s="1147">
        <v>4.0999999999999996</v>
      </c>
      <c r="AE29" s="1147">
        <v>8.1026100000000003</v>
      </c>
      <c r="AF29" s="1147">
        <v>15.345000000000001</v>
      </c>
      <c r="AG29" s="1147">
        <v>9.2341200000000008</v>
      </c>
      <c r="AH29" s="1147">
        <v>25.94116</v>
      </c>
      <c r="AI29" s="1147">
        <v>9.28965</v>
      </c>
      <c r="AJ29" s="1147">
        <v>35.649160000000002</v>
      </c>
      <c r="AK29" s="1147">
        <v>12.61617</v>
      </c>
      <c r="AL29" s="1147">
        <v>42.10416</v>
      </c>
      <c r="AM29" s="1147">
        <v>13.32268</v>
      </c>
      <c r="AN29" s="1147">
        <v>50.156160000000007</v>
      </c>
      <c r="AO29" s="1147">
        <v>13.350670000000001</v>
      </c>
      <c r="AP29" s="1147">
        <v>55.721160000000005</v>
      </c>
      <c r="AQ29" s="1147">
        <v>15.8011</v>
      </c>
      <c r="AR29" s="1147">
        <v>58.384160000000001</v>
      </c>
      <c r="AS29" s="1147">
        <v>15.982250000000001</v>
      </c>
      <c r="AT29" s="1147">
        <v>58.384160000000001</v>
      </c>
      <c r="AU29" s="1147">
        <v>16.132249999999999</v>
      </c>
      <c r="AV29" s="1147">
        <v>59.884160000000001</v>
      </c>
      <c r="AW29" s="1147">
        <v>21.548449999999999</v>
      </c>
      <c r="AX29" s="1147">
        <v>72.446160000000006</v>
      </c>
      <c r="AY29" s="1147">
        <v>4.7339099999999998</v>
      </c>
      <c r="AZ29" s="1147">
        <v>3.9485300000000003</v>
      </c>
      <c r="BA29" s="1147">
        <v>11.249540000000001</v>
      </c>
      <c r="BB29" s="1147">
        <v>9.3355300000000003</v>
      </c>
      <c r="BC29" s="1147">
        <v>30.93</v>
      </c>
      <c r="BD29" s="1147">
        <v>9.34</v>
      </c>
      <c r="BE29" s="1147">
        <v>77.822649999999996</v>
      </c>
      <c r="BF29" s="1147">
        <v>17.709529999999997</v>
      </c>
      <c r="BG29" s="1147">
        <v>102.83721000000001</v>
      </c>
      <c r="BH29" s="1147">
        <v>22.356529999999999</v>
      </c>
      <c r="BI29" s="1147">
        <v>145.90029000000001</v>
      </c>
      <c r="BJ29" s="1147">
        <v>27.16253</v>
      </c>
      <c r="BK29" s="1147">
        <v>228.43657000000002</v>
      </c>
      <c r="BL29" s="1147">
        <v>28.840529999999998</v>
      </c>
      <c r="BM29" s="1147">
        <v>314.45161999999999</v>
      </c>
      <c r="BN29" s="1147">
        <v>38.44753</v>
      </c>
      <c r="BO29" s="1147">
        <v>395.32537000000002</v>
      </c>
      <c r="BP29" s="1147">
        <v>51.472529999999999</v>
      </c>
      <c r="BQ29" s="1147">
        <v>508.97315999999995</v>
      </c>
      <c r="BR29" s="1147">
        <v>62.187529999999995</v>
      </c>
      <c r="BS29" s="1147">
        <v>585.47080000000005</v>
      </c>
      <c r="BT29" s="1147">
        <v>83.408529999999999</v>
      </c>
      <c r="BU29" s="1147">
        <v>743.65124000000003</v>
      </c>
      <c r="BV29" s="1147">
        <v>103.54217999999999</v>
      </c>
      <c r="BW29" s="1147">
        <v>38.10615</v>
      </c>
      <c r="BX29" s="1147">
        <v>19.638999999999999</v>
      </c>
      <c r="BY29" s="1147">
        <v>60.62435</v>
      </c>
      <c r="BZ29" s="1147">
        <v>38.268830000000001</v>
      </c>
      <c r="CA29" s="1147">
        <v>90.548469999999995</v>
      </c>
      <c r="CB29" s="1147">
        <v>55.04683</v>
      </c>
      <c r="CC29" s="1147">
        <v>137.49347</v>
      </c>
      <c r="CD29" s="1147">
        <v>62.022829999999999</v>
      </c>
      <c r="CE29" s="1147">
        <v>227.21156999999999</v>
      </c>
      <c r="CF29" s="1147">
        <v>80.830830000000006</v>
      </c>
      <c r="CG29" s="1147">
        <v>289.52570000000003</v>
      </c>
      <c r="CH29" s="1147">
        <v>101.51924000000001</v>
      </c>
      <c r="CI29" s="1147">
        <v>336.4982</v>
      </c>
      <c r="CJ29" s="1147">
        <v>123.56796</v>
      </c>
      <c r="CK29" s="1147">
        <v>352.43128000000002</v>
      </c>
      <c r="CL29" s="1147">
        <v>138.86395999999999</v>
      </c>
      <c r="CM29" s="1147">
        <v>373.3954</v>
      </c>
      <c r="CN29" s="1147">
        <v>161.04195999999999</v>
      </c>
      <c r="CO29" s="1147">
        <v>397.85384000000005</v>
      </c>
      <c r="CP29" s="1147">
        <v>173.51976999999999</v>
      </c>
      <c r="CQ29" s="1147">
        <v>474.94839000000002</v>
      </c>
      <c r="CR29" s="1147">
        <v>176.45114999999998</v>
      </c>
      <c r="CS29" s="1147">
        <v>861.18448999999998</v>
      </c>
      <c r="CT29" s="1147">
        <v>201.91332999999997</v>
      </c>
      <c r="CU29" s="1147">
        <v>223.44798</v>
      </c>
      <c r="CV29" s="1147">
        <v>47.495800000000003</v>
      </c>
      <c r="CW29" s="1147">
        <v>529.04084</v>
      </c>
      <c r="CX29" s="1147">
        <v>117.06689999999999</v>
      </c>
      <c r="CY29" s="1147">
        <v>722.01144999999997</v>
      </c>
      <c r="CZ29" s="1147">
        <v>172.77051999999998</v>
      </c>
      <c r="DA29" s="1147">
        <v>760.99437</v>
      </c>
      <c r="DB29" s="1147">
        <v>221.94055</v>
      </c>
      <c r="DC29" s="1147">
        <v>1072.4381699999999</v>
      </c>
      <c r="DD29" s="1147">
        <v>325.04586</v>
      </c>
      <c r="DE29" s="1147">
        <v>1169.57717</v>
      </c>
      <c r="DF29" s="1147">
        <v>400.96957000000003</v>
      </c>
      <c r="DG29" s="1147">
        <v>1384.9488999999999</v>
      </c>
      <c r="DH29" s="1147">
        <v>474.90357</v>
      </c>
      <c r="DI29" s="1147">
        <v>1660.1088999999999</v>
      </c>
      <c r="DJ29" s="1147">
        <v>554.84455000000003</v>
      </c>
      <c r="DK29" s="1147">
        <v>1880.9815000000001</v>
      </c>
      <c r="DL29" s="1147">
        <v>674.2165</v>
      </c>
      <c r="DM29" s="1147">
        <v>1981.6588999999999</v>
      </c>
      <c r="DN29" s="1147">
        <v>749.40264000000002</v>
      </c>
      <c r="DO29" s="1147">
        <v>1981.6588999999999</v>
      </c>
      <c r="DP29" s="1147">
        <v>808.50090999999998</v>
      </c>
      <c r="DQ29" s="1147">
        <v>1981.6588999999999</v>
      </c>
      <c r="DR29" s="1147">
        <v>876.84315000000004</v>
      </c>
      <c r="DS29" s="1147">
        <v>0</v>
      </c>
      <c r="DT29" s="1147">
        <v>0</v>
      </c>
      <c r="DU29" s="1147">
        <v>0</v>
      </c>
      <c r="DV29" s="1147">
        <v>0</v>
      </c>
      <c r="DW29" s="1147">
        <v>0</v>
      </c>
      <c r="DX29" s="1147">
        <v>0</v>
      </c>
      <c r="DY29" s="1147">
        <v>0</v>
      </c>
      <c r="DZ29" s="1147">
        <v>0</v>
      </c>
      <c r="EA29" s="1147">
        <v>0</v>
      </c>
      <c r="EB29" s="1147">
        <v>0</v>
      </c>
      <c r="EC29" s="1147">
        <v>0</v>
      </c>
      <c r="ED29" s="1147">
        <v>0</v>
      </c>
      <c r="EE29" s="1147">
        <v>0</v>
      </c>
      <c r="EF29" s="1147">
        <v>0</v>
      </c>
      <c r="EG29" s="1147">
        <v>0</v>
      </c>
      <c r="EH29" s="1147">
        <v>0</v>
      </c>
      <c r="EI29" s="1147">
        <v>0</v>
      </c>
      <c r="EJ29" s="1147">
        <v>0</v>
      </c>
      <c r="EK29" s="1147"/>
      <c r="EL29" s="1147"/>
      <c r="EM29" s="1147"/>
      <c r="EN29" s="1147"/>
      <c r="EO29" s="1147"/>
      <c r="EP29" s="1147"/>
      <c r="EQ29" s="1147"/>
      <c r="ER29" s="1147"/>
      <c r="ES29" s="1147">
        <v>0</v>
      </c>
      <c r="ET29" s="1147">
        <v>0</v>
      </c>
      <c r="EU29" s="1147">
        <v>0</v>
      </c>
      <c r="EV29" s="1147">
        <v>0</v>
      </c>
      <c r="EW29" s="1147">
        <v>0</v>
      </c>
      <c r="EX29" s="1147">
        <v>0</v>
      </c>
      <c r="EY29" s="1147">
        <v>0</v>
      </c>
      <c r="EZ29" s="1147">
        <v>0</v>
      </c>
      <c r="FA29" s="1147">
        <v>0</v>
      </c>
      <c r="FB29" s="1147">
        <v>0</v>
      </c>
      <c r="FC29" s="1147">
        <v>0</v>
      </c>
      <c r="FD29" s="1147">
        <v>0</v>
      </c>
      <c r="FE29" s="1147">
        <v>0</v>
      </c>
      <c r="FF29" s="1147">
        <v>0</v>
      </c>
      <c r="FG29" s="1147"/>
      <c r="FH29" s="1147"/>
      <c r="FI29" s="1147"/>
      <c r="FJ29" s="1147"/>
      <c r="FK29" s="1147"/>
      <c r="FL29" s="1147"/>
      <c r="FM29" s="1147"/>
      <c r="FN29" s="1147"/>
      <c r="FO29" s="1147"/>
      <c r="FP29" s="1147"/>
      <c r="FQ29" s="1147"/>
      <c r="FR29" s="1147"/>
      <c r="FS29" s="1147"/>
      <c r="FT29" s="1147"/>
      <c r="FU29" s="1147"/>
      <c r="FV29" s="1147"/>
      <c r="FW29" s="1147"/>
      <c r="FX29" s="1147"/>
      <c r="FY29" s="1147"/>
      <c r="FZ29" s="1147"/>
      <c r="GA29" s="1147"/>
      <c r="GB29" s="1147"/>
      <c r="GC29" s="1147"/>
      <c r="GD29" s="1147"/>
      <c r="GE29" s="1147"/>
      <c r="GF29" s="1147"/>
      <c r="GG29" s="1147"/>
      <c r="GH29" s="1147"/>
      <c r="GI29" s="1147"/>
      <c r="GJ29" s="1147"/>
      <c r="GK29" s="1147"/>
      <c r="GL29" s="1147"/>
      <c r="GM29" s="1147"/>
      <c r="GN29" s="1147"/>
      <c r="GO29" s="1147"/>
      <c r="GP29" s="1147"/>
      <c r="GQ29" s="1147"/>
      <c r="GR29" s="1147"/>
      <c r="GS29" s="1147"/>
      <c r="GT29" s="1147"/>
      <c r="GU29" s="1147"/>
      <c r="GV29" s="1147"/>
      <c r="GW29" s="1147"/>
      <c r="GX29" s="1147"/>
      <c r="GY29" s="1147"/>
      <c r="GZ29" s="1147"/>
      <c r="HA29" s="1147"/>
      <c r="HB29" s="1147"/>
      <c r="HC29" s="1147"/>
      <c r="HD29" s="1147"/>
      <c r="HE29" s="1147"/>
      <c r="HF29" s="1147"/>
      <c r="HG29" s="1147"/>
      <c r="HH29" s="1147"/>
      <c r="HI29" s="1147"/>
      <c r="HJ29" s="1147"/>
      <c r="HK29" s="1147"/>
      <c r="HL29" s="1147"/>
      <c r="HM29" s="1147"/>
      <c r="HN29" s="1147"/>
      <c r="HO29" s="1147"/>
      <c r="HP29" s="1147"/>
      <c r="HQ29" s="1147"/>
      <c r="HR29" s="1147"/>
      <c r="HS29" s="1147"/>
      <c r="HT29" s="1147"/>
      <c r="HU29" s="1147"/>
      <c r="HV29" s="1147"/>
      <c r="HW29" s="1147"/>
      <c r="HX29" s="1147"/>
      <c r="HY29" s="1147"/>
      <c r="HZ29" s="1147"/>
      <c r="IA29" s="1147"/>
      <c r="IB29" s="1147"/>
      <c r="IC29" s="1147"/>
      <c r="ID29" s="1147"/>
      <c r="IE29" s="1147"/>
      <c r="IF29" s="1147"/>
      <c r="IG29" s="1147"/>
      <c r="IH29" s="1147"/>
      <c r="II29" s="1147"/>
      <c r="IJ29" s="1147"/>
      <c r="IK29" s="1147"/>
      <c r="IL29" s="1147"/>
      <c r="IM29" s="1147"/>
      <c r="IN29" s="1147"/>
      <c r="IO29" s="1147"/>
      <c r="IP29" s="1147"/>
      <c r="IQ29" s="1147"/>
      <c r="IR29" s="1147"/>
      <c r="IS29" s="1767" t="s">
        <v>3163</v>
      </c>
    </row>
    <row r="30" spans="1:253" ht="50.25" hidden="1" customHeight="1">
      <c r="A30" s="1652">
        <v>18</v>
      </c>
      <c r="B30" s="1767" t="s">
        <v>2335</v>
      </c>
      <c r="C30" s="1147">
        <v>2610.3433999999997</v>
      </c>
      <c r="D30" s="1147">
        <v>663.91193999999996</v>
      </c>
      <c r="E30" s="1147">
        <v>4213.6011799999997</v>
      </c>
      <c r="F30" s="1147">
        <v>1388.3768700000001</v>
      </c>
      <c r="G30" s="1147">
        <v>6289.2639300000001</v>
      </c>
      <c r="H30" s="1147">
        <v>2028.2899299999999</v>
      </c>
      <c r="I30" s="1147">
        <v>8087.8239899999999</v>
      </c>
      <c r="J30" s="1147">
        <v>2827.0288500000001</v>
      </c>
      <c r="K30" s="1147">
        <v>9862.6862799999999</v>
      </c>
      <c r="L30" s="1147">
        <v>3511.5271400000001</v>
      </c>
      <c r="M30" s="1147">
        <v>11390.966109999999</v>
      </c>
      <c r="N30" s="1147">
        <v>4195.5808899999993</v>
      </c>
      <c r="O30" s="1147">
        <v>12902.401609999999</v>
      </c>
      <c r="P30" s="1147">
        <v>5037.5690800000002</v>
      </c>
      <c r="Q30" s="1147">
        <v>14958.147050000001</v>
      </c>
      <c r="R30" s="1147">
        <v>5842.9366600000003</v>
      </c>
      <c r="S30" s="1147">
        <v>17276.469969999998</v>
      </c>
      <c r="T30" s="1147">
        <v>6760.7666600000002</v>
      </c>
      <c r="U30" s="1147">
        <v>18553.586460000002</v>
      </c>
      <c r="V30" s="1147">
        <v>7676.4734200000003</v>
      </c>
      <c r="W30" s="1147">
        <v>20619.976839999999</v>
      </c>
      <c r="X30" s="1147">
        <v>8634.9602500000001</v>
      </c>
      <c r="Y30" s="1147">
        <v>21968.752</v>
      </c>
      <c r="Z30" s="1147">
        <v>9789.5144899999996</v>
      </c>
      <c r="AA30" s="1147">
        <v>2817.3959399999999</v>
      </c>
      <c r="AB30" s="1147">
        <v>800.09026000000006</v>
      </c>
      <c r="AC30" s="1147">
        <v>4548.9488200000005</v>
      </c>
      <c r="AD30" s="1147">
        <v>1688.1514299999999</v>
      </c>
      <c r="AE30" s="1147">
        <v>6374.26703</v>
      </c>
      <c r="AF30" s="1147">
        <v>2627.1579500000003</v>
      </c>
      <c r="AG30" s="1147">
        <v>8020.4772400000002</v>
      </c>
      <c r="AH30" s="1147">
        <v>3273.9152200000003</v>
      </c>
      <c r="AI30" s="1147">
        <v>9645.7889800000012</v>
      </c>
      <c r="AJ30" s="1147">
        <v>5928.3252999999995</v>
      </c>
      <c r="AK30" s="1147">
        <v>11571.416949999999</v>
      </c>
      <c r="AL30" s="1147">
        <v>6782.4306999999999</v>
      </c>
      <c r="AM30" s="1147">
        <v>13770.065060000001</v>
      </c>
      <c r="AN30" s="1147">
        <v>7617.9925400000002</v>
      </c>
      <c r="AO30" s="1147">
        <v>15674.74294</v>
      </c>
      <c r="AP30" s="1147">
        <v>8614.1502400000008</v>
      </c>
      <c r="AQ30" s="1147">
        <v>17139.255499999999</v>
      </c>
      <c r="AR30" s="1147">
        <v>9421.8351999999995</v>
      </c>
      <c r="AS30" s="1147">
        <v>19201.683649999999</v>
      </c>
      <c r="AT30" s="1147">
        <v>10492.17956</v>
      </c>
      <c r="AU30" s="1147">
        <v>20739.753809999998</v>
      </c>
      <c r="AV30" s="1147">
        <v>11437.74395</v>
      </c>
      <c r="AW30" s="1147">
        <v>22285.599839999999</v>
      </c>
      <c r="AX30" s="1147">
        <v>12333.516539999999</v>
      </c>
      <c r="AY30" s="1147">
        <v>2820.3998500000002</v>
      </c>
      <c r="AZ30" s="1147">
        <v>865.51988000000006</v>
      </c>
      <c r="BA30" s="1147">
        <v>4201.0174299999999</v>
      </c>
      <c r="BB30" s="1147">
        <v>1737.35564</v>
      </c>
      <c r="BC30" s="1147">
        <v>5474.67</v>
      </c>
      <c r="BD30" s="1147">
        <v>2447.9</v>
      </c>
      <c r="BE30" s="1147">
        <v>6876.9059699999998</v>
      </c>
      <c r="BF30" s="1147">
        <v>3195.4832799999999</v>
      </c>
      <c r="BG30" s="1147">
        <v>8228.3628499999995</v>
      </c>
      <c r="BH30" s="1147">
        <v>4065.3136300000001</v>
      </c>
      <c r="BI30" s="1147">
        <v>9654.8206399999999</v>
      </c>
      <c r="BJ30" s="1147">
        <v>4689.4247300000006</v>
      </c>
      <c r="BK30" s="1147">
        <v>11412.932929999999</v>
      </c>
      <c r="BL30" s="1147">
        <v>5571.2129999999997</v>
      </c>
      <c r="BM30" s="1147">
        <v>12696.56501</v>
      </c>
      <c r="BN30" s="1147">
        <v>6363.7454800000005</v>
      </c>
      <c r="BO30" s="1147">
        <v>14432.960150000001</v>
      </c>
      <c r="BP30" s="1147">
        <v>7163.6353300000001</v>
      </c>
      <c r="BQ30" s="1147">
        <v>15898.912679999999</v>
      </c>
      <c r="BR30" s="1147">
        <v>8042.0460300000004</v>
      </c>
      <c r="BS30" s="1147">
        <v>17463.78587</v>
      </c>
      <c r="BT30" s="1147">
        <v>8827.494279999999</v>
      </c>
      <c r="BU30" s="1147">
        <v>18600.715</v>
      </c>
      <c r="BV30" s="1147">
        <v>9562.6042899999993</v>
      </c>
      <c r="BW30" s="1147">
        <v>849.71141</v>
      </c>
      <c r="BX30" s="1147">
        <v>914.17501000000004</v>
      </c>
      <c r="BY30" s="1147">
        <v>913.85189000000003</v>
      </c>
      <c r="BZ30" s="1147">
        <v>1570.4678700000002</v>
      </c>
      <c r="CA30" s="1147">
        <v>962.12578000000008</v>
      </c>
      <c r="CB30" s="1147">
        <v>2085.2177200000001</v>
      </c>
      <c r="CC30" s="1147">
        <v>1000.82111</v>
      </c>
      <c r="CD30" s="1147">
        <v>2766.9774700000003</v>
      </c>
      <c r="CE30" s="1147">
        <v>998.95719999999994</v>
      </c>
      <c r="CF30" s="1147">
        <v>3233.4694199999999</v>
      </c>
      <c r="CG30" s="1147">
        <v>999.55259999999998</v>
      </c>
      <c r="CH30" s="1147">
        <v>3691.8606199999999</v>
      </c>
      <c r="CI30" s="1147">
        <v>1001.0609599999999</v>
      </c>
      <c r="CJ30" s="1147">
        <v>4326.5567300000002</v>
      </c>
      <c r="CK30" s="1147">
        <v>1001.4311</v>
      </c>
      <c r="CL30" s="1147">
        <v>4670.70046</v>
      </c>
      <c r="CM30" s="1147">
        <v>977.56701999999996</v>
      </c>
      <c r="CN30" s="1147">
        <v>5057.9037900000003</v>
      </c>
      <c r="CO30" s="1147">
        <v>972.39697000000001</v>
      </c>
      <c r="CP30" s="1147">
        <v>5569.93552</v>
      </c>
      <c r="CQ30" s="1147">
        <v>979.90734999999995</v>
      </c>
      <c r="CR30" s="1147">
        <v>5794.6406500000003</v>
      </c>
      <c r="CS30" s="1147">
        <v>975.38258999999994</v>
      </c>
      <c r="CT30" s="1147">
        <v>6101.1682499999997</v>
      </c>
      <c r="CU30" s="1147">
        <v>1.8049999999999999</v>
      </c>
      <c r="CV30" s="1147">
        <v>117.92796000000001</v>
      </c>
      <c r="CW30" s="1147">
        <v>1.8049999999999999</v>
      </c>
      <c r="CX30" s="1147">
        <v>156.65797000000001</v>
      </c>
      <c r="CY30" s="1147">
        <v>5.3696099999999998</v>
      </c>
      <c r="CZ30" s="1147">
        <v>200.69623000000001</v>
      </c>
      <c r="DA30" s="1147">
        <v>5.3696099999999998</v>
      </c>
      <c r="DB30" s="1147">
        <v>214.79026000000002</v>
      </c>
      <c r="DC30" s="1147">
        <v>5.3696099999999998</v>
      </c>
      <c r="DD30" s="1147">
        <v>274.46709999999996</v>
      </c>
      <c r="DE30" s="1147">
        <v>5.3696099999999998</v>
      </c>
      <c r="DF30" s="1147">
        <v>414.54854999999998</v>
      </c>
      <c r="DG30" s="1147">
        <v>5.3696099999999998</v>
      </c>
      <c r="DH30" s="1147">
        <v>488.26916999999997</v>
      </c>
      <c r="DI30" s="1147">
        <v>5.3696099999999998</v>
      </c>
      <c r="DJ30" s="1147">
        <v>493.56627000000003</v>
      </c>
      <c r="DK30" s="1147">
        <v>5.3696099999999998</v>
      </c>
      <c r="DL30" s="1147">
        <v>612.24358999999993</v>
      </c>
      <c r="DM30" s="1147">
        <v>5.3696099999999998</v>
      </c>
      <c r="DN30" s="1147">
        <v>626.90670999999998</v>
      </c>
      <c r="DO30" s="1147">
        <v>5.3696099999999998</v>
      </c>
      <c r="DP30" s="1147">
        <v>627.21169999999995</v>
      </c>
      <c r="DQ30" s="1147">
        <v>5.3696099999999998</v>
      </c>
      <c r="DR30" s="1147">
        <v>628.30578000000003</v>
      </c>
      <c r="DS30" s="1147">
        <v>0</v>
      </c>
      <c r="DT30" s="1147">
        <v>0</v>
      </c>
      <c r="DU30" s="1147">
        <v>0</v>
      </c>
      <c r="DV30" s="1147">
        <v>0</v>
      </c>
      <c r="DW30" s="1147">
        <v>0</v>
      </c>
      <c r="DX30" s="1147">
        <v>0</v>
      </c>
      <c r="DY30" s="1147">
        <v>0</v>
      </c>
      <c r="DZ30" s="1147">
        <v>0</v>
      </c>
      <c r="EA30" s="1147">
        <v>0</v>
      </c>
      <c r="EB30" s="1147">
        <v>0</v>
      </c>
      <c r="EC30" s="1147">
        <v>0</v>
      </c>
      <c r="ED30" s="1147">
        <v>0</v>
      </c>
      <c r="EE30" s="1147">
        <v>0</v>
      </c>
      <c r="EF30" s="1147">
        <v>0</v>
      </c>
      <c r="EG30" s="1147">
        <v>0</v>
      </c>
      <c r="EH30" s="1147">
        <v>0</v>
      </c>
      <c r="EI30" s="1147">
        <v>0</v>
      </c>
      <c r="EJ30" s="1147">
        <v>0</v>
      </c>
      <c r="EK30" s="1147"/>
      <c r="EL30" s="1147"/>
      <c r="EM30" s="1147"/>
      <c r="EN30" s="1147"/>
      <c r="EO30" s="1147"/>
      <c r="EP30" s="1147"/>
      <c r="EQ30" s="1147"/>
      <c r="ER30" s="1147"/>
      <c r="ES30" s="1147">
        <v>0</v>
      </c>
      <c r="ET30" s="1147">
        <v>0</v>
      </c>
      <c r="EU30" s="1147">
        <v>0</v>
      </c>
      <c r="EV30" s="1147">
        <v>0</v>
      </c>
      <c r="EW30" s="1147">
        <v>0</v>
      </c>
      <c r="EX30" s="1147">
        <v>0</v>
      </c>
      <c r="EY30" s="1147">
        <v>0</v>
      </c>
      <c r="EZ30" s="1147">
        <v>0</v>
      </c>
      <c r="FA30" s="1147">
        <v>0</v>
      </c>
      <c r="FB30" s="1147">
        <v>0</v>
      </c>
      <c r="FC30" s="1147">
        <v>0</v>
      </c>
      <c r="FD30" s="1147">
        <v>0</v>
      </c>
      <c r="FE30" s="1147">
        <v>0</v>
      </c>
      <c r="FF30" s="1147">
        <v>0</v>
      </c>
      <c r="FG30" s="1147"/>
      <c r="FH30" s="1147"/>
      <c r="FI30" s="1147"/>
      <c r="FJ30" s="1147"/>
      <c r="FK30" s="1147"/>
      <c r="FL30" s="1147"/>
      <c r="FM30" s="1147"/>
      <c r="FN30" s="1147"/>
      <c r="FO30" s="1147"/>
      <c r="FP30" s="1147"/>
      <c r="FQ30" s="1147"/>
      <c r="FR30" s="1147"/>
      <c r="FS30" s="1147"/>
      <c r="FT30" s="1147"/>
      <c r="FU30" s="1147"/>
      <c r="FV30" s="1147"/>
      <c r="FW30" s="1147"/>
      <c r="FX30" s="1147"/>
      <c r="FY30" s="1147"/>
      <c r="FZ30" s="1147"/>
      <c r="GA30" s="1147"/>
      <c r="GB30" s="1147"/>
      <c r="GC30" s="1147"/>
      <c r="GD30" s="1147"/>
      <c r="GE30" s="1147"/>
      <c r="GF30" s="1147"/>
      <c r="GG30" s="1147"/>
      <c r="GH30" s="1147"/>
      <c r="GI30" s="1147"/>
      <c r="GJ30" s="1147"/>
      <c r="GK30" s="1147"/>
      <c r="GL30" s="1147"/>
      <c r="GM30" s="1147"/>
      <c r="GN30" s="1147"/>
      <c r="GO30" s="1147"/>
      <c r="GP30" s="1147"/>
      <c r="GQ30" s="1147"/>
      <c r="GR30" s="1147"/>
      <c r="GS30" s="1147"/>
      <c r="GT30" s="1147"/>
      <c r="GU30" s="1147"/>
      <c r="GV30" s="1147"/>
      <c r="GW30" s="1147"/>
      <c r="GX30" s="1147"/>
      <c r="GY30" s="1147"/>
      <c r="GZ30" s="1147"/>
      <c r="HA30" s="1147"/>
      <c r="HB30" s="1147"/>
      <c r="HC30" s="1147"/>
      <c r="HD30" s="1147"/>
      <c r="HE30" s="1147"/>
      <c r="HF30" s="1147"/>
      <c r="HG30" s="1147"/>
      <c r="HH30" s="1147"/>
      <c r="HI30" s="1147"/>
      <c r="HJ30" s="1147"/>
      <c r="HK30" s="1147"/>
      <c r="HL30" s="1147"/>
      <c r="HM30" s="1147"/>
      <c r="HN30" s="1147"/>
      <c r="HO30" s="1147"/>
      <c r="HP30" s="1147"/>
      <c r="HQ30" s="1147"/>
      <c r="HR30" s="1147"/>
      <c r="HS30" s="1147"/>
      <c r="HT30" s="1147"/>
      <c r="HU30" s="1147"/>
      <c r="HV30" s="1147"/>
      <c r="HW30" s="1147"/>
      <c r="HX30" s="1147"/>
      <c r="HY30" s="1147"/>
      <c r="HZ30" s="1147"/>
      <c r="IA30" s="1147"/>
      <c r="IB30" s="1147"/>
      <c r="IC30" s="1147"/>
      <c r="ID30" s="1147"/>
      <c r="IE30" s="1147"/>
      <c r="IF30" s="1147"/>
      <c r="IG30" s="1147"/>
      <c r="IH30" s="1147"/>
      <c r="II30" s="1147"/>
      <c r="IJ30" s="1147"/>
      <c r="IK30" s="1147"/>
      <c r="IL30" s="1147"/>
      <c r="IM30" s="1147"/>
      <c r="IN30" s="1147"/>
      <c r="IO30" s="1147"/>
      <c r="IP30" s="1147"/>
      <c r="IQ30" s="1147"/>
      <c r="IR30" s="1147"/>
      <c r="IS30" s="1767" t="s">
        <v>3164</v>
      </c>
    </row>
    <row r="31" spans="1:253" ht="50.25" hidden="1" customHeight="1">
      <c r="A31" s="1652">
        <v>19</v>
      </c>
      <c r="B31" s="1767" t="s">
        <v>2324</v>
      </c>
      <c r="C31" s="1147">
        <v>2299.7821099999996</v>
      </c>
      <c r="D31" s="1147">
        <v>589.62686999999994</v>
      </c>
      <c r="E31" s="1147">
        <v>4540.8816200000001</v>
      </c>
      <c r="F31" s="1147">
        <v>1344.1006200000002</v>
      </c>
      <c r="G31" s="1147">
        <v>6745.4568600000002</v>
      </c>
      <c r="H31" s="1147">
        <v>1951.55395</v>
      </c>
      <c r="I31" s="1147">
        <v>8917.9993100000011</v>
      </c>
      <c r="J31" s="1147">
        <v>2644.8922699999998</v>
      </c>
      <c r="K31" s="1147">
        <v>10182.214840000001</v>
      </c>
      <c r="L31" s="1147">
        <v>3334.6583300000002</v>
      </c>
      <c r="M31" s="1147">
        <v>12523.23669</v>
      </c>
      <c r="N31" s="1147">
        <v>4200.1022699999994</v>
      </c>
      <c r="O31" s="1147">
        <v>14642.02348</v>
      </c>
      <c r="P31" s="1147">
        <v>4900.5775100000001</v>
      </c>
      <c r="Q31" s="1147">
        <v>16017.98667</v>
      </c>
      <c r="R31" s="1147">
        <v>5841.2929699999995</v>
      </c>
      <c r="S31" s="1147">
        <v>17423.862960000002</v>
      </c>
      <c r="T31" s="1147">
        <v>6330.8400700000002</v>
      </c>
      <c r="U31" s="1147">
        <v>18327.263059999997</v>
      </c>
      <c r="V31" s="1147">
        <v>7175.0387499999997</v>
      </c>
      <c r="W31" s="1147">
        <v>19545.174609999998</v>
      </c>
      <c r="X31" s="1147">
        <v>7850.2967199999994</v>
      </c>
      <c r="Y31" s="1147">
        <v>20326.929760000003</v>
      </c>
      <c r="Z31" s="1147">
        <v>8607.7336799999994</v>
      </c>
      <c r="AA31" s="1147">
        <v>1361.7548300000001</v>
      </c>
      <c r="AB31" s="1147">
        <v>627.04746999999998</v>
      </c>
      <c r="AC31" s="1147">
        <v>3186.6466399999999</v>
      </c>
      <c r="AD31" s="1147">
        <v>1260.2811299999998</v>
      </c>
      <c r="AE31" s="1147">
        <v>4536.5170099999996</v>
      </c>
      <c r="AF31" s="1147">
        <v>1776.29143</v>
      </c>
      <c r="AG31" s="1147">
        <v>5525.1536999999998</v>
      </c>
      <c r="AH31" s="1147">
        <v>2364.4191499999997</v>
      </c>
      <c r="AI31" s="1147">
        <v>6832.6030700000001</v>
      </c>
      <c r="AJ31" s="1147">
        <v>2735.6639100000002</v>
      </c>
      <c r="AK31" s="1147">
        <v>7562.3390300000001</v>
      </c>
      <c r="AL31" s="1147">
        <v>3114.2554500000001</v>
      </c>
      <c r="AM31" s="1147">
        <v>8428.9510500000015</v>
      </c>
      <c r="AN31" s="1147">
        <v>3635.15011</v>
      </c>
      <c r="AO31" s="1147">
        <v>9399.7016999999996</v>
      </c>
      <c r="AP31" s="1147">
        <v>4124.1620599999997</v>
      </c>
      <c r="AQ31" s="1147">
        <v>10114.34527</v>
      </c>
      <c r="AR31" s="1147">
        <v>4467.3102199999994</v>
      </c>
      <c r="AS31" s="1147">
        <v>11125.20234</v>
      </c>
      <c r="AT31" s="1147">
        <v>4865.8235599999998</v>
      </c>
      <c r="AU31" s="1147">
        <v>11957.929599999999</v>
      </c>
      <c r="AV31" s="1147">
        <v>5132.3392100000001</v>
      </c>
      <c r="AW31" s="1147">
        <v>12594.88012</v>
      </c>
      <c r="AX31" s="1147">
        <v>5555.67659</v>
      </c>
      <c r="AY31" s="1147">
        <v>605.20977000000005</v>
      </c>
      <c r="AZ31" s="1147">
        <v>311.06459000000001</v>
      </c>
      <c r="BA31" s="1147">
        <v>1005.13716</v>
      </c>
      <c r="BB31" s="1147">
        <v>568.40983999999992</v>
      </c>
      <c r="BC31" s="1147">
        <v>1637.31</v>
      </c>
      <c r="BD31" s="1147">
        <v>747.32</v>
      </c>
      <c r="BE31" s="1147">
        <v>2392.6191400000002</v>
      </c>
      <c r="BF31" s="1147">
        <v>1087.2304899999999</v>
      </c>
      <c r="BG31" s="1147">
        <v>3002.8092499999998</v>
      </c>
      <c r="BH31" s="1147">
        <v>1315.9678799999999</v>
      </c>
      <c r="BI31" s="1147">
        <v>3868.19578</v>
      </c>
      <c r="BJ31" s="1147">
        <v>1607.0538000000001</v>
      </c>
      <c r="BK31" s="1147">
        <v>8707.4343800000006</v>
      </c>
      <c r="BL31" s="1147">
        <v>1944.6317799999999</v>
      </c>
      <c r="BM31" s="1147">
        <v>9596.2437699999991</v>
      </c>
      <c r="BN31" s="1147">
        <v>2264.5305400000002</v>
      </c>
      <c r="BO31" s="1147">
        <v>10476.084510000001</v>
      </c>
      <c r="BP31" s="1147">
        <v>2556.37608</v>
      </c>
      <c r="BQ31" s="1147">
        <v>11471.408939999999</v>
      </c>
      <c r="BR31" s="1147">
        <v>2964.4494599999998</v>
      </c>
      <c r="BS31" s="1147">
        <v>12261.932859999999</v>
      </c>
      <c r="BT31" s="1147">
        <v>3321.3731200000002</v>
      </c>
      <c r="BU31" s="1147">
        <v>12930.741900000001</v>
      </c>
      <c r="BV31" s="1147">
        <v>3706.5509400000001</v>
      </c>
      <c r="BW31" s="1147">
        <v>590.42018000000007</v>
      </c>
      <c r="BX31" s="1147">
        <v>291.11660999999998</v>
      </c>
      <c r="BY31" s="1147">
        <v>1168.0069799999999</v>
      </c>
      <c r="BZ31" s="1147">
        <v>607.74781999999993</v>
      </c>
      <c r="CA31" s="1147">
        <v>1892.7424699999999</v>
      </c>
      <c r="CB31" s="1147">
        <v>858.91654000000005</v>
      </c>
      <c r="CC31" s="1147">
        <v>2785.9063799999999</v>
      </c>
      <c r="CD31" s="1147">
        <v>1228.5379599999999</v>
      </c>
      <c r="CE31" s="1147">
        <v>3733.9394300000004</v>
      </c>
      <c r="CF31" s="1147">
        <v>1625.8040700000001</v>
      </c>
      <c r="CG31" s="1147">
        <v>4757.5697300000002</v>
      </c>
      <c r="CH31" s="1147">
        <v>1877.4061999999999</v>
      </c>
      <c r="CI31" s="1147">
        <v>7157.8256500000007</v>
      </c>
      <c r="CJ31" s="1147">
        <v>2423.3432400000002</v>
      </c>
      <c r="CK31" s="1147">
        <v>8631.9623100000008</v>
      </c>
      <c r="CL31" s="1147">
        <v>2768.3218700000002</v>
      </c>
      <c r="CM31" s="1147">
        <v>9952.9000099999994</v>
      </c>
      <c r="CN31" s="1147">
        <v>3283.6202699999999</v>
      </c>
      <c r="CO31" s="1147">
        <v>11207.79493</v>
      </c>
      <c r="CP31" s="1147">
        <v>3900.0910899999999</v>
      </c>
      <c r="CQ31" s="1147">
        <v>12237.052250000001</v>
      </c>
      <c r="CR31" s="1147">
        <v>4596.7853499999992</v>
      </c>
      <c r="CS31" s="1147">
        <v>14059.56466</v>
      </c>
      <c r="CT31" s="1147">
        <v>5453.1170499999998</v>
      </c>
      <c r="CU31" s="1147">
        <v>1699.5826999999999</v>
      </c>
      <c r="CV31" s="1147">
        <v>804.47109999999998</v>
      </c>
      <c r="CW31" s="1147">
        <v>2558.69686</v>
      </c>
      <c r="CX31" s="1147">
        <v>1813.8957499999999</v>
      </c>
      <c r="CY31" s="1147">
        <v>3443.2339900000002</v>
      </c>
      <c r="CZ31" s="1147">
        <v>2313.26143</v>
      </c>
      <c r="DA31" s="1147">
        <v>4351.2008299999998</v>
      </c>
      <c r="DB31" s="1147">
        <v>2955.6591800000001</v>
      </c>
      <c r="DC31" s="1147">
        <v>5441.2290300000004</v>
      </c>
      <c r="DD31" s="1147">
        <v>3373.58437</v>
      </c>
      <c r="DE31" s="1147">
        <v>5441.2290300000004</v>
      </c>
      <c r="DF31" s="1147">
        <v>3508.51575</v>
      </c>
      <c r="DG31" s="1147">
        <v>5242.4320299999999</v>
      </c>
      <c r="DH31" s="1147">
        <v>3933.0540799999999</v>
      </c>
      <c r="DI31" s="1147">
        <v>5242.4320299999999</v>
      </c>
      <c r="DJ31" s="1147">
        <v>4279.4215599999998</v>
      </c>
      <c r="DK31" s="1147">
        <v>5241.9535599999999</v>
      </c>
      <c r="DL31" s="1147">
        <v>4650.9649300000001</v>
      </c>
      <c r="DM31" s="1147">
        <v>5241.9535599999999</v>
      </c>
      <c r="DN31" s="1147">
        <v>4650.9649300000001</v>
      </c>
      <c r="DO31" s="1147">
        <v>5241.9535599999999</v>
      </c>
      <c r="DP31" s="1147">
        <v>4650.9649300000001</v>
      </c>
      <c r="DQ31" s="1147">
        <v>5241.9535599999999</v>
      </c>
      <c r="DR31" s="1147">
        <v>4650.9649300000001</v>
      </c>
      <c r="DS31" s="1147">
        <v>0</v>
      </c>
      <c r="DT31" s="1147">
        <v>0</v>
      </c>
      <c r="DU31" s="1147">
        <v>0</v>
      </c>
      <c r="DV31" s="1147">
        <v>0</v>
      </c>
      <c r="DW31" s="1147">
        <v>0</v>
      </c>
      <c r="DX31" s="1147">
        <v>0</v>
      </c>
      <c r="DY31" s="1147">
        <v>0</v>
      </c>
      <c r="DZ31" s="1147">
        <v>0</v>
      </c>
      <c r="EA31" s="1147">
        <v>0</v>
      </c>
      <c r="EB31" s="1147">
        <v>0</v>
      </c>
      <c r="EC31" s="1147">
        <v>0</v>
      </c>
      <c r="ED31" s="1147">
        <v>0</v>
      </c>
      <c r="EE31" s="1147">
        <v>0</v>
      </c>
      <c r="EF31" s="1147">
        <v>0</v>
      </c>
      <c r="EG31" s="1147">
        <v>0</v>
      </c>
      <c r="EH31" s="1147">
        <v>0</v>
      </c>
      <c r="EI31" s="1147">
        <v>0</v>
      </c>
      <c r="EJ31" s="1147">
        <v>0</v>
      </c>
      <c r="EK31" s="1147"/>
      <c r="EL31" s="1147"/>
      <c r="EM31" s="1147"/>
      <c r="EN31" s="1147"/>
      <c r="EO31" s="1147"/>
      <c r="EP31" s="1147"/>
      <c r="EQ31" s="1147"/>
      <c r="ER31" s="1147"/>
      <c r="ES31" s="1147">
        <v>0</v>
      </c>
      <c r="ET31" s="1147">
        <v>0</v>
      </c>
      <c r="EU31" s="1147">
        <v>0</v>
      </c>
      <c r="EV31" s="1147">
        <v>0</v>
      </c>
      <c r="EW31" s="1147">
        <v>0</v>
      </c>
      <c r="EX31" s="1147">
        <v>0</v>
      </c>
      <c r="EY31" s="1147">
        <v>0</v>
      </c>
      <c r="EZ31" s="1147">
        <v>0</v>
      </c>
      <c r="FA31" s="1147">
        <v>0</v>
      </c>
      <c r="FB31" s="1147">
        <v>0</v>
      </c>
      <c r="FC31" s="1147">
        <v>0</v>
      </c>
      <c r="FD31" s="1147">
        <v>0</v>
      </c>
      <c r="FE31" s="1147">
        <v>0</v>
      </c>
      <c r="FF31" s="1147">
        <v>0</v>
      </c>
      <c r="FG31" s="1147"/>
      <c r="FH31" s="1147"/>
      <c r="FI31" s="1147"/>
      <c r="FJ31" s="1147"/>
      <c r="FK31" s="1147"/>
      <c r="FL31" s="1147"/>
      <c r="FM31" s="1147"/>
      <c r="FN31" s="1147"/>
      <c r="FO31" s="1147"/>
      <c r="FP31" s="1147"/>
      <c r="FQ31" s="1147"/>
      <c r="FR31" s="1147"/>
      <c r="FS31" s="1147"/>
      <c r="FT31" s="1147"/>
      <c r="FU31" s="1147"/>
      <c r="FV31" s="1147"/>
      <c r="FW31" s="1147"/>
      <c r="FX31" s="1147"/>
      <c r="FY31" s="1147"/>
      <c r="FZ31" s="1147"/>
      <c r="GA31" s="1147"/>
      <c r="GB31" s="1147"/>
      <c r="GC31" s="1147"/>
      <c r="GD31" s="1147"/>
      <c r="GE31" s="1147"/>
      <c r="GF31" s="1147"/>
      <c r="GG31" s="1147"/>
      <c r="GH31" s="1147"/>
      <c r="GI31" s="1147"/>
      <c r="GJ31" s="1147"/>
      <c r="GK31" s="1147"/>
      <c r="GL31" s="1147"/>
      <c r="GM31" s="1147"/>
      <c r="GN31" s="1147"/>
      <c r="GO31" s="1147"/>
      <c r="GP31" s="1147"/>
      <c r="GQ31" s="1147"/>
      <c r="GR31" s="1147"/>
      <c r="GS31" s="1147"/>
      <c r="GT31" s="1147"/>
      <c r="GU31" s="1147"/>
      <c r="GV31" s="1147"/>
      <c r="GW31" s="1147"/>
      <c r="GX31" s="1147"/>
      <c r="GY31" s="1147"/>
      <c r="GZ31" s="1147"/>
      <c r="HA31" s="1147"/>
      <c r="HB31" s="1147"/>
      <c r="HC31" s="1147"/>
      <c r="HD31" s="1147"/>
      <c r="HE31" s="1147"/>
      <c r="HF31" s="1147"/>
      <c r="HG31" s="1147"/>
      <c r="HH31" s="1147"/>
      <c r="HI31" s="1147"/>
      <c r="HJ31" s="1147"/>
      <c r="HK31" s="1147"/>
      <c r="HL31" s="1147"/>
      <c r="HM31" s="1147"/>
      <c r="HN31" s="1147"/>
      <c r="HO31" s="1147"/>
      <c r="HP31" s="1147"/>
      <c r="HQ31" s="1147"/>
      <c r="HR31" s="1147"/>
      <c r="HS31" s="1147"/>
      <c r="HT31" s="1147"/>
      <c r="HU31" s="1147"/>
      <c r="HV31" s="1147"/>
      <c r="HW31" s="1147"/>
      <c r="HX31" s="1147"/>
      <c r="HY31" s="1147"/>
      <c r="HZ31" s="1147"/>
      <c r="IA31" s="1147"/>
      <c r="IB31" s="1147"/>
      <c r="IC31" s="1147"/>
      <c r="ID31" s="1147"/>
      <c r="IE31" s="1147"/>
      <c r="IF31" s="1147"/>
      <c r="IG31" s="1147"/>
      <c r="IH31" s="1147"/>
      <c r="II31" s="1147"/>
      <c r="IJ31" s="1147"/>
      <c r="IK31" s="1147"/>
      <c r="IL31" s="1147"/>
      <c r="IM31" s="1147"/>
      <c r="IN31" s="1147"/>
      <c r="IO31" s="1147"/>
      <c r="IP31" s="1147"/>
      <c r="IQ31" s="1147"/>
      <c r="IR31" s="1147"/>
      <c r="IS31" s="1767" t="s">
        <v>3165</v>
      </c>
    </row>
    <row r="32" spans="1:253" ht="50.25" hidden="1" customHeight="1">
      <c r="A32" s="1652">
        <v>20</v>
      </c>
      <c r="B32" s="1767" t="s">
        <v>2321</v>
      </c>
      <c r="C32" s="1147">
        <v>72.10296000000001</v>
      </c>
      <c r="D32" s="1147">
        <v>4.1554099999999998</v>
      </c>
      <c r="E32" s="1147">
        <v>123.15794</v>
      </c>
      <c r="F32" s="1147">
        <v>49.358629999999998</v>
      </c>
      <c r="G32" s="1147">
        <v>207.10479000000001</v>
      </c>
      <c r="H32" s="1147">
        <v>53.704000000000001</v>
      </c>
      <c r="I32" s="1147">
        <v>295.63279999999997</v>
      </c>
      <c r="J32" s="1147">
        <v>54.491080000000004</v>
      </c>
      <c r="K32" s="1147">
        <v>330.38940000000002</v>
      </c>
      <c r="L32" s="1147">
        <v>61.89284</v>
      </c>
      <c r="M32" s="1147">
        <v>417.88484000000005</v>
      </c>
      <c r="N32" s="1147">
        <v>82.184850000000012</v>
      </c>
      <c r="O32" s="1147">
        <v>459.79801000000003</v>
      </c>
      <c r="P32" s="1147">
        <v>109.08419000000001</v>
      </c>
      <c r="Q32" s="1147">
        <v>497.12609000000003</v>
      </c>
      <c r="R32" s="1147">
        <v>116.74577000000001</v>
      </c>
      <c r="S32" s="1147">
        <v>500.11863</v>
      </c>
      <c r="T32" s="1147">
        <v>128.79050000000001</v>
      </c>
      <c r="U32" s="1147">
        <v>506.06952000000001</v>
      </c>
      <c r="V32" s="1147">
        <v>137.57742000000002</v>
      </c>
      <c r="W32" s="1147">
        <v>529.29044999999996</v>
      </c>
      <c r="X32" s="1147">
        <v>141.14212000000001</v>
      </c>
      <c r="Y32" s="1147">
        <v>547.76116000000002</v>
      </c>
      <c r="Z32" s="1147">
        <v>142.87711999999999</v>
      </c>
      <c r="AA32" s="1147">
        <v>20.50348</v>
      </c>
      <c r="AB32" s="1147">
        <v>0</v>
      </c>
      <c r="AC32" s="1147">
        <v>20.50348</v>
      </c>
      <c r="AD32" s="1147">
        <v>12.738020000000001</v>
      </c>
      <c r="AE32" s="1147">
        <v>20.50348</v>
      </c>
      <c r="AF32" s="1147">
        <v>23.474930000000001</v>
      </c>
      <c r="AG32" s="1147">
        <v>20.50348</v>
      </c>
      <c r="AH32" s="1147">
        <v>33.523029999999999</v>
      </c>
      <c r="AI32" s="1147">
        <v>20.50348</v>
      </c>
      <c r="AJ32" s="1147">
        <v>35.924779999999998</v>
      </c>
      <c r="AK32" s="1147">
        <v>20.503049999999998</v>
      </c>
      <c r="AL32" s="1147">
        <v>44.485980000000005</v>
      </c>
      <c r="AM32" s="1147">
        <v>20.50348</v>
      </c>
      <c r="AN32" s="1147">
        <v>35.924779999999998</v>
      </c>
      <c r="AO32" s="1147">
        <v>20.50348</v>
      </c>
      <c r="AP32" s="1147">
        <v>35.924779999999998</v>
      </c>
      <c r="AQ32" s="1147">
        <v>20.50348</v>
      </c>
      <c r="AR32" s="1147">
        <v>35.924779999999998</v>
      </c>
      <c r="AS32" s="1147">
        <v>0</v>
      </c>
      <c r="AT32" s="1147">
        <v>0</v>
      </c>
      <c r="AU32" s="1147">
        <v>0</v>
      </c>
      <c r="AV32" s="1147">
        <v>0</v>
      </c>
      <c r="AW32" s="1147">
        <v>0</v>
      </c>
      <c r="AX32" s="1147">
        <v>0</v>
      </c>
      <c r="AY32" s="1147">
        <v>0</v>
      </c>
      <c r="AZ32" s="1147">
        <v>0</v>
      </c>
      <c r="BA32" s="1147">
        <v>0</v>
      </c>
      <c r="BB32" s="1147">
        <v>0</v>
      </c>
      <c r="BC32" s="1147">
        <v>0</v>
      </c>
      <c r="BD32" s="1147">
        <v>0</v>
      </c>
      <c r="BE32" s="1147">
        <v>0</v>
      </c>
      <c r="BF32" s="1147">
        <v>0</v>
      </c>
      <c r="BG32" s="1147">
        <v>0</v>
      </c>
      <c r="BH32" s="1147">
        <v>0</v>
      </c>
      <c r="BI32" s="1147">
        <v>0</v>
      </c>
      <c r="BJ32" s="1147">
        <v>0</v>
      </c>
      <c r="BK32" s="1147">
        <v>0</v>
      </c>
      <c r="BL32" s="1147">
        <v>0</v>
      </c>
      <c r="BM32" s="1147">
        <v>0</v>
      </c>
      <c r="BN32" s="1147">
        <v>0</v>
      </c>
      <c r="BO32" s="1147">
        <v>0</v>
      </c>
      <c r="BP32" s="1147">
        <v>0</v>
      </c>
      <c r="BQ32" s="1147">
        <v>0</v>
      </c>
      <c r="BR32" s="1147">
        <v>0</v>
      </c>
      <c r="BS32" s="1147">
        <v>0</v>
      </c>
      <c r="BT32" s="1147">
        <v>0</v>
      </c>
      <c r="BU32" s="1147">
        <v>0</v>
      </c>
      <c r="BV32" s="1147">
        <v>0</v>
      </c>
      <c r="BW32" s="1147">
        <v>0</v>
      </c>
      <c r="BX32" s="1147">
        <v>0</v>
      </c>
      <c r="BY32" s="1147">
        <v>0</v>
      </c>
      <c r="BZ32" s="1147">
        <v>0</v>
      </c>
      <c r="CA32" s="1147">
        <v>0</v>
      </c>
      <c r="CB32" s="1147">
        <v>0</v>
      </c>
      <c r="CC32" s="1147">
        <v>0</v>
      </c>
      <c r="CD32" s="1147">
        <v>0</v>
      </c>
      <c r="CE32" s="1147">
        <v>0</v>
      </c>
      <c r="CF32" s="1147">
        <v>0</v>
      </c>
      <c r="CG32" s="1147">
        <v>0</v>
      </c>
      <c r="CH32" s="1147">
        <v>0</v>
      </c>
      <c r="CI32" s="1147">
        <v>0</v>
      </c>
      <c r="CJ32" s="1147">
        <v>0</v>
      </c>
      <c r="CK32" s="1147">
        <v>0</v>
      </c>
      <c r="CL32" s="1147">
        <v>0</v>
      </c>
      <c r="CM32" s="1147">
        <v>0</v>
      </c>
      <c r="CN32" s="1147">
        <v>0</v>
      </c>
      <c r="CO32" s="1147">
        <v>0</v>
      </c>
      <c r="CP32" s="1147">
        <v>0</v>
      </c>
      <c r="CQ32" s="1147"/>
      <c r="CR32" s="1147"/>
      <c r="CS32" s="1147"/>
      <c r="CT32" s="1147"/>
      <c r="CU32" s="1147">
        <v>0</v>
      </c>
      <c r="CV32" s="1147">
        <v>0</v>
      </c>
      <c r="CW32" s="1147">
        <v>0</v>
      </c>
      <c r="CX32" s="1147">
        <v>0</v>
      </c>
      <c r="CY32" s="1147">
        <v>0</v>
      </c>
      <c r="CZ32" s="1147">
        <v>0</v>
      </c>
      <c r="DA32" s="1147">
        <v>0</v>
      </c>
      <c r="DB32" s="1147">
        <v>0</v>
      </c>
      <c r="DC32" s="1147">
        <v>0</v>
      </c>
      <c r="DD32" s="1147">
        <v>0</v>
      </c>
      <c r="DE32" s="1147">
        <v>0</v>
      </c>
      <c r="DF32" s="1147">
        <v>0</v>
      </c>
      <c r="DG32" s="1147">
        <v>0</v>
      </c>
      <c r="DH32" s="1147">
        <v>0</v>
      </c>
      <c r="DI32" s="1147">
        <v>0</v>
      </c>
      <c r="DJ32" s="1147">
        <v>0</v>
      </c>
      <c r="DK32" s="1147">
        <v>0</v>
      </c>
      <c r="DL32" s="1147">
        <v>0</v>
      </c>
      <c r="DM32" s="1147">
        <v>0</v>
      </c>
      <c r="DN32" s="1147">
        <v>0</v>
      </c>
      <c r="DO32" s="1147">
        <v>0</v>
      </c>
      <c r="DP32" s="1147">
        <v>0</v>
      </c>
      <c r="DQ32" s="1147">
        <v>0</v>
      </c>
      <c r="DR32" s="1147">
        <v>0</v>
      </c>
      <c r="DS32" s="1147">
        <v>0</v>
      </c>
      <c r="DT32" s="1147">
        <v>0</v>
      </c>
      <c r="DU32" s="1147">
        <v>0</v>
      </c>
      <c r="DV32" s="1147">
        <v>0</v>
      </c>
      <c r="DW32" s="1147">
        <v>0</v>
      </c>
      <c r="DX32" s="1147">
        <v>0</v>
      </c>
      <c r="DY32" s="1147">
        <v>0</v>
      </c>
      <c r="DZ32" s="1147">
        <v>0</v>
      </c>
      <c r="EA32" s="1147">
        <v>0</v>
      </c>
      <c r="EB32" s="1147">
        <v>0</v>
      </c>
      <c r="EC32" s="1147">
        <v>0</v>
      </c>
      <c r="ED32" s="1147">
        <v>0</v>
      </c>
      <c r="EE32" s="1147">
        <v>0</v>
      </c>
      <c r="EF32" s="1147">
        <v>0</v>
      </c>
      <c r="EG32" s="1147">
        <v>0</v>
      </c>
      <c r="EH32" s="1147">
        <v>0</v>
      </c>
      <c r="EI32" s="1147">
        <v>0</v>
      </c>
      <c r="EJ32" s="1147">
        <v>0</v>
      </c>
      <c r="EK32" s="1147"/>
      <c r="EL32" s="1147"/>
      <c r="EM32" s="1147"/>
      <c r="EN32" s="1147"/>
      <c r="EO32" s="1147"/>
      <c r="EP32" s="1147"/>
      <c r="EQ32" s="1147"/>
      <c r="ER32" s="1147"/>
      <c r="ES32" s="1147">
        <v>0</v>
      </c>
      <c r="ET32" s="1147">
        <v>0</v>
      </c>
      <c r="EU32" s="1147">
        <v>0</v>
      </c>
      <c r="EV32" s="1147">
        <v>0</v>
      </c>
      <c r="EW32" s="1147">
        <v>0</v>
      </c>
      <c r="EX32" s="1147">
        <v>0</v>
      </c>
      <c r="EY32" s="1147">
        <v>0</v>
      </c>
      <c r="EZ32" s="1147">
        <v>0</v>
      </c>
      <c r="FA32" s="1147">
        <v>0</v>
      </c>
      <c r="FB32" s="1147">
        <v>0</v>
      </c>
      <c r="FC32" s="1147">
        <v>0</v>
      </c>
      <c r="FD32" s="1147">
        <v>0</v>
      </c>
      <c r="FE32" s="1147">
        <v>0</v>
      </c>
      <c r="FF32" s="1147">
        <v>0</v>
      </c>
      <c r="FG32" s="1147"/>
      <c r="FH32" s="1147"/>
      <c r="FI32" s="1147"/>
      <c r="FJ32" s="1147"/>
      <c r="FK32" s="1147"/>
      <c r="FL32" s="1147"/>
      <c r="FM32" s="1147"/>
      <c r="FN32" s="1147"/>
      <c r="FO32" s="1147"/>
      <c r="FP32" s="1147"/>
      <c r="FQ32" s="1147"/>
      <c r="FR32" s="1147"/>
      <c r="FS32" s="1147"/>
      <c r="FT32" s="1147"/>
      <c r="FU32" s="1147"/>
      <c r="FV32" s="1147"/>
      <c r="FW32" s="1147"/>
      <c r="FX32" s="1147"/>
      <c r="FY32" s="1147"/>
      <c r="FZ32" s="1147"/>
      <c r="GA32" s="1147"/>
      <c r="GB32" s="1147"/>
      <c r="GC32" s="1147"/>
      <c r="GD32" s="1147"/>
      <c r="GE32" s="1147"/>
      <c r="GF32" s="1147"/>
      <c r="GG32" s="1147"/>
      <c r="GH32" s="1147"/>
      <c r="GI32" s="1147"/>
      <c r="GJ32" s="1147"/>
      <c r="GK32" s="1147"/>
      <c r="GL32" s="1147"/>
      <c r="GM32" s="1147"/>
      <c r="GN32" s="1147"/>
      <c r="GO32" s="1147"/>
      <c r="GP32" s="1147"/>
      <c r="GQ32" s="1147"/>
      <c r="GR32" s="1147"/>
      <c r="GS32" s="1147"/>
      <c r="GT32" s="1147"/>
      <c r="GU32" s="1147"/>
      <c r="GV32" s="1147"/>
      <c r="GW32" s="1147"/>
      <c r="GX32" s="1147"/>
      <c r="GY32" s="1147"/>
      <c r="GZ32" s="1147"/>
      <c r="HA32" s="1147"/>
      <c r="HB32" s="1147"/>
      <c r="HC32" s="1147"/>
      <c r="HD32" s="1147"/>
      <c r="HE32" s="1147"/>
      <c r="HF32" s="1147"/>
      <c r="HG32" s="1147"/>
      <c r="HH32" s="1147"/>
      <c r="HI32" s="1147"/>
      <c r="HJ32" s="1147"/>
      <c r="HK32" s="1147"/>
      <c r="HL32" s="1147"/>
      <c r="HM32" s="1147"/>
      <c r="HN32" s="1147"/>
      <c r="HO32" s="1147"/>
      <c r="HP32" s="1147"/>
      <c r="HQ32" s="1147"/>
      <c r="HR32" s="1147"/>
      <c r="HS32" s="1147"/>
      <c r="HT32" s="1147"/>
      <c r="HU32" s="1147"/>
      <c r="HV32" s="1147"/>
      <c r="HW32" s="1147"/>
      <c r="HX32" s="1147"/>
      <c r="HY32" s="1147"/>
      <c r="HZ32" s="1147"/>
      <c r="IA32" s="1147"/>
      <c r="IB32" s="1147"/>
      <c r="IC32" s="1147"/>
      <c r="ID32" s="1147"/>
      <c r="IE32" s="1147"/>
      <c r="IF32" s="1147"/>
      <c r="IG32" s="1147"/>
      <c r="IH32" s="1147"/>
      <c r="II32" s="1147"/>
      <c r="IJ32" s="1147"/>
      <c r="IK32" s="1147"/>
      <c r="IL32" s="1147"/>
      <c r="IM32" s="1147"/>
      <c r="IN32" s="1147"/>
      <c r="IO32" s="1147"/>
      <c r="IP32" s="1147"/>
      <c r="IQ32" s="1147"/>
      <c r="IR32" s="1147"/>
      <c r="IS32" s="1767" t="s">
        <v>3166</v>
      </c>
    </row>
    <row r="33" spans="1:253" ht="50.25" hidden="1" customHeight="1">
      <c r="A33" s="1652">
        <v>21</v>
      </c>
      <c r="B33" s="1767" t="s">
        <v>2320</v>
      </c>
      <c r="C33" s="1147">
        <v>1400.3737800000001</v>
      </c>
      <c r="D33" s="1147">
        <v>160.62951000000001</v>
      </c>
      <c r="E33" s="1147">
        <v>1502.2473600000001</v>
      </c>
      <c r="F33" s="1147">
        <v>443.05604</v>
      </c>
      <c r="G33" s="1147">
        <v>2944.82494</v>
      </c>
      <c r="H33" s="1147">
        <v>636.19317000000001</v>
      </c>
      <c r="I33" s="1147">
        <v>3076.5879300000001</v>
      </c>
      <c r="J33" s="1147">
        <v>1033.2433100000001</v>
      </c>
      <c r="K33" s="1147">
        <v>3414.7269200000001</v>
      </c>
      <c r="L33" s="1147">
        <v>1296.40202</v>
      </c>
      <c r="M33" s="1147">
        <v>3516.6082000000001</v>
      </c>
      <c r="N33" s="1147">
        <v>1728.6112900000001</v>
      </c>
      <c r="O33" s="1147">
        <v>3687.1349399999999</v>
      </c>
      <c r="P33" s="1147">
        <v>1894.3570099999999</v>
      </c>
      <c r="Q33" s="1147">
        <v>3786.52972</v>
      </c>
      <c r="R33" s="1147">
        <v>2290.1062999999999</v>
      </c>
      <c r="S33" s="1147">
        <v>3900.27936</v>
      </c>
      <c r="T33" s="1147">
        <v>2731.2844799999998</v>
      </c>
      <c r="U33" s="1147">
        <v>3918.2216000000003</v>
      </c>
      <c r="V33" s="1147">
        <v>3407.73641</v>
      </c>
      <c r="W33" s="1147">
        <v>3765.54423</v>
      </c>
      <c r="X33" s="1147">
        <v>4125.7172799999998</v>
      </c>
      <c r="Y33" s="1147">
        <v>3674.6807699999999</v>
      </c>
      <c r="Z33" s="1147">
        <v>4077.2489100000003</v>
      </c>
      <c r="AA33" s="1147">
        <v>0</v>
      </c>
      <c r="AB33" s="1147">
        <v>114.5908</v>
      </c>
      <c r="AC33" s="1147">
        <v>0</v>
      </c>
      <c r="AD33" s="1147">
        <v>166.74985000000001</v>
      </c>
      <c r="AE33" s="1147">
        <v>0</v>
      </c>
      <c r="AF33" s="1147">
        <v>201.02078</v>
      </c>
      <c r="AG33" s="1147">
        <v>0</v>
      </c>
      <c r="AH33" s="1147">
        <v>0</v>
      </c>
      <c r="AI33" s="1147">
        <v>0</v>
      </c>
      <c r="AJ33" s="1147">
        <v>398.94371999999998</v>
      </c>
      <c r="AK33" s="1147">
        <v>0</v>
      </c>
      <c r="AL33" s="1147">
        <v>0</v>
      </c>
      <c r="AM33" s="1147">
        <v>0</v>
      </c>
      <c r="AN33" s="1147">
        <v>0</v>
      </c>
      <c r="AO33" s="1147">
        <v>0</v>
      </c>
      <c r="AP33" s="1147">
        <v>0</v>
      </c>
      <c r="AQ33" s="1147">
        <v>0</v>
      </c>
      <c r="AR33" s="1147">
        <v>0</v>
      </c>
      <c r="AS33" s="1147">
        <v>0</v>
      </c>
      <c r="AT33" s="1147">
        <v>0</v>
      </c>
      <c r="AU33" s="1147">
        <v>0</v>
      </c>
      <c r="AV33" s="1147">
        <v>0</v>
      </c>
      <c r="AW33" s="1147">
        <v>0</v>
      </c>
      <c r="AX33" s="1147">
        <v>0</v>
      </c>
      <c r="AY33" s="1147">
        <v>0</v>
      </c>
      <c r="AZ33" s="1147">
        <v>0</v>
      </c>
      <c r="BA33" s="1147">
        <v>0</v>
      </c>
      <c r="BB33" s="1147">
        <v>0</v>
      </c>
      <c r="BC33" s="1147">
        <v>0</v>
      </c>
      <c r="BD33" s="1147">
        <v>0</v>
      </c>
      <c r="BE33" s="1147">
        <v>0</v>
      </c>
      <c r="BF33" s="1147">
        <v>0</v>
      </c>
      <c r="BG33" s="1147">
        <v>0</v>
      </c>
      <c r="BH33" s="1147">
        <v>0</v>
      </c>
      <c r="BI33" s="1147">
        <v>0</v>
      </c>
      <c r="BJ33" s="1147">
        <v>0</v>
      </c>
      <c r="BK33" s="1147">
        <v>0</v>
      </c>
      <c r="BL33" s="1147">
        <v>0</v>
      </c>
      <c r="BM33" s="1147">
        <v>0</v>
      </c>
      <c r="BN33" s="1147">
        <v>0</v>
      </c>
      <c r="BO33" s="1147">
        <v>0</v>
      </c>
      <c r="BP33" s="1147">
        <v>0</v>
      </c>
      <c r="BQ33" s="1147">
        <v>0</v>
      </c>
      <c r="BR33" s="1147">
        <v>0</v>
      </c>
      <c r="BS33" s="1147">
        <v>0</v>
      </c>
      <c r="BT33" s="1147">
        <v>0</v>
      </c>
      <c r="BU33" s="1147">
        <v>0</v>
      </c>
      <c r="BV33" s="1147">
        <v>0</v>
      </c>
      <c r="BW33" s="1147">
        <v>0</v>
      </c>
      <c r="BX33" s="1147">
        <v>0</v>
      </c>
      <c r="BY33" s="1147">
        <v>0</v>
      </c>
      <c r="BZ33" s="1147">
        <v>0</v>
      </c>
      <c r="CA33" s="1147">
        <v>0</v>
      </c>
      <c r="CB33" s="1147">
        <v>0</v>
      </c>
      <c r="CC33" s="1147">
        <v>0</v>
      </c>
      <c r="CD33" s="1147">
        <v>0</v>
      </c>
      <c r="CE33" s="1147">
        <v>0</v>
      </c>
      <c r="CF33" s="1147">
        <v>0</v>
      </c>
      <c r="CG33" s="1147">
        <v>0</v>
      </c>
      <c r="CH33" s="1147">
        <v>0</v>
      </c>
      <c r="CI33" s="1147">
        <v>0</v>
      </c>
      <c r="CJ33" s="1147">
        <v>0</v>
      </c>
      <c r="CK33" s="1147">
        <v>0</v>
      </c>
      <c r="CL33" s="1147">
        <v>0</v>
      </c>
      <c r="CM33" s="1147">
        <v>0</v>
      </c>
      <c r="CN33" s="1147">
        <v>0</v>
      </c>
      <c r="CO33" s="1147">
        <v>0</v>
      </c>
      <c r="CP33" s="1147">
        <v>0</v>
      </c>
      <c r="CQ33" s="1147">
        <v>0</v>
      </c>
      <c r="CR33" s="1147">
        <v>0</v>
      </c>
      <c r="CS33" s="1147"/>
      <c r="CT33" s="1147"/>
      <c r="CU33" s="1147">
        <v>0</v>
      </c>
      <c r="CV33" s="1147">
        <v>0</v>
      </c>
      <c r="CW33" s="1147">
        <v>0</v>
      </c>
      <c r="CX33" s="1147">
        <v>0</v>
      </c>
      <c r="CY33" s="1147">
        <v>0</v>
      </c>
      <c r="CZ33" s="1147">
        <v>0</v>
      </c>
      <c r="DA33" s="1147">
        <v>0</v>
      </c>
      <c r="DB33" s="1147">
        <v>0</v>
      </c>
      <c r="DC33" s="1147">
        <v>0</v>
      </c>
      <c r="DD33" s="1147">
        <v>0</v>
      </c>
      <c r="DE33" s="1147">
        <v>0</v>
      </c>
      <c r="DF33" s="1147">
        <v>0</v>
      </c>
      <c r="DG33" s="1147">
        <v>0</v>
      </c>
      <c r="DH33" s="1147">
        <v>0</v>
      </c>
      <c r="DI33" s="1147">
        <v>0</v>
      </c>
      <c r="DJ33" s="1147">
        <v>0</v>
      </c>
      <c r="DK33" s="1147">
        <v>0</v>
      </c>
      <c r="DL33" s="1147">
        <v>0</v>
      </c>
      <c r="DM33" s="1147">
        <v>0</v>
      </c>
      <c r="DN33" s="1147">
        <v>0</v>
      </c>
      <c r="DO33" s="1147">
        <v>0</v>
      </c>
      <c r="DP33" s="1147">
        <v>0</v>
      </c>
      <c r="DQ33" s="1147">
        <v>0</v>
      </c>
      <c r="DR33" s="1147">
        <v>0</v>
      </c>
      <c r="DS33" s="1147">
        <v>0</v>
      </c>
      <c r="DT33" s="1147">
        <v>0</v>
      </c>
      <c r="DU33" s="1147">
        <v>0</v>
      </c>
      <c r="DV33" s="1147">
        <v>0</v>
      </c>
      <c r="DW33" s="1147">
        <v>0</v>
      </c>
      <c r="DX33" s="1147">
        <v>0</v>
      </c>
      <c r="DY33" s="1147">
        <v>0</v>
      </c>
      <c r="DZ33" s="1147">
        <v>0</v>
      </c>
      <c r="EA33" s="1147">
        <v>0</v>
      </c>
      <c r="EB33" s="1147">
        <v>0</v>
      </c>
      <c r="EC33" s="1147">
        <v>0</v>
      </c>
      <c r="ED33" s="1147">
        <v>0</v>
      </c>
      <c r="EE33" s="1147">
        <v>0</v>
      </c>
      <c r="EF33" s="1147">
        <v>0</v>
      </c>
      <c r="EG33" s="1147">
        <v>0</v>
      </c>
      <c r="EH33" s="1147">
        <v>0</v>
      </c>
      <c r="EI33" s="1147">
        <v>0</v>
      </c>
      <c r="EJ33" s="1147">
        <v>0</v>
      </c>
      <c r="EK33" s="1147"/>
      <c r="EL33" s="1147"/>
      <c r="EM33" s="1147"/>
      <c r="EN33" s="1147"/>
      <c r="EO33" s="1147"/>
      <c r="EP33" s="1147"/>
      <c r="EQ33" s="1147"/>
      <c r="ER33" s="1147"/>
      <c r="ES33" s="1147">
        <v>0</v>
      </c>
      <c r="ET33" s="1147">
        <v>0</v>
      </c>
      <c r="EU33" s="1147">
        <v>0</v>
      </c>
      <c r="EV33" s="1147">
        <v>0</v>
      </c>
      <c r="EW33" s="1147">
        <v>0</v>
      </c>
      <c r="EX33" s="1147">
        <v>0</v>
      </c>
      <c r="EY33" s="1147">
        <v>0</v>
      </c>
      <c r="EZ33" s="1147">
        <v>0</v>
      </c>
      <c r="FA33" s="1147">
        <v>0</v>
      </c>
      <c r="FB33" s="1147">
        <v>0</v>
      </c>
      <c r="FC33" s="1147">
        <v>0</v>
      </c>
      <c r="FD33" s="1147">
        <v>0</v>
      </c>
      <c r="FE33" s="1147">
        <v>0</v>
      </c>
      <c r="FF33" s="1147">
        <v>0</v>
      </c>
      <c r="FG33" s="1147"/>
      <c r="FH33" s="1147"/>
      <c r="FI33" s="1147"/>
      <c r="FJ33" s="1147"/>
      <c r="FK33" s="1147"/>
      <c r="FL33" s="1147"/>
      <c r="FM33" s="1147"/>
      <c r="FN33" s="1147"/>
      <c r="FO33" s="1147"/>
      <c r="FP33" s="1147"/>
      <c r="FQ33" s="1147"/>
      <c r="FR33" s="1147"/>
      <c r="FS33" s="1147"/>
      <c r="FT33" s="1147"/>
      <c r="FU33" s="1147"/>
      <c r="FV33" s="1147"/>
      <c r="FW33" s="1147"/>
      <c r="FX33" s="1147"/>
      <c r="FY33" s="1147"/>
      <c r="FZ33" s="1147"/>
      <c r="GA33" s="1147"/>
      <c r="GB33" s="1147"/>
      <c r="GC33" s="1147"/>
      <c r="GD33" s="1147"/>
      <c r="GE33" s="1147"/>
      <c r="GF33" s="1147"/>
      <c r="GG33" s="1147"/>
      <c r="GH33" s="1147"/>
      <c r="GI33" s="1147"/>
      <c r="GJ33" s="1147"/>
      <c r="GK33" s="1147"/>
      <c r="GL33" s="1147"/>
      <c r="GM33" s="1147"/>
      <c r="GN33" s="1147"/>
      <c r="GO33" s="1147"/>
      <c r="GP33" s="1147"/>
      <c r="GQ33" s="1147"/>
      <c r="GR33" s="1147"/>
      <c r="GS33" s="1147"/>
      <c r="GT33" s="1147"/>
      <c r="GU33" s="1147"/>
      <c r="GV33" s="1147"/>
      <c r="GW33" s="1147"/>
      <c r="GX33" s="1147"/>
      <c r="GY33" s="1147"/>
      <c r="GZ33" s="1147"/>
      <c r="HA33" s="1147"/>
      <c r="HB33" s="1147"/>
      <c r="HC33" s="1147"/>
      <c r="HD33" s="1147"/>
      <c r="HE33" s="1147"/>
      <c r="HF33" s="1147"/>
      <c r="HG33" s="1147"/>
      <c r="HH33" s="1147"/>
      <c r="HI33" s="1147"/>
      <c r="HJ33" s="1147"/>
      <c r="HK33" s="1147"/>
      <c r="HL33" s="1147"/>
      <c r="HM33" s="1147"/>
      <c r="HN33" s="1147"/>
      <c r="HO33" s="1147"/>
      <c r="HP33" s="1147"/>
      <c r="HQ33" s="1147"/>
      <c r="HR33" s="1147"/>
      <c r="HS33" s="1147"/>
      <c r="HT33" s="1147"/>
      <c r="HU33" s="1147"/>
      <c r="HV33" s="1147"/>
      <c r="HW33" s="1147"/>
      <c r="HX33" s="1147"/>
      <c r="HY33" s="1147"/>
      <c r="HZ33" s="1147"/>
      <c r="IA33" s="1147"/>
      <c r="IB33" s="1147"/>
      <c r="IC33" s="1147"/>
      <c r="ID33" s="1147"/>
      <c r="IE33" s="1147"/>
      <c r="IF33" s="1147"/>
      <c r="IG33" s="1147"/>
      <c r="IH33" s="1147"/>
      <c r="II33" s="1147"/>
      <c r="IJ33" s="1147"/>
      <c r="IK33" s="1147"/>
      <c r="IL33" s="1147"/>
      <c r="IM33" s="1147"/>
      <c r="IN33" s="1147"/>
      <c r="IO33" s="1147"/>
      <c r="IP33" s="1147"/>
      <c r="IQ33" s="1147"/>
      <c r="IR33" s="1147"/>
      <c r="IS33" s="1767" t="s">
        <v>3167</v>
      </c>
    </row>
    <row r="34" spans="1:253" ht="50.25" hidden="1" customHeight="1">
      <c r="A34" s="1652">
        <v>22</v>
      </c>
      <c r="B34" s="1767" t="s">
        <v>2319</v>
      </c>
      <c r="C34" s="1147">
        <v>105.95647</v>
      </c>
      <c r="D34" s="1147">
        <v>165.60902999999999</v>
      </c>
      <c r="E34" s="1147">
        <v>150.23093</v>
      </c>
      <c r="F34" s="1147">
        <v>276.62621000000001</v>
      </c>
      <c r="G34" s="1147">
        <v>236.35157000000001</v>
      </c>
      <c r="H34" s="1147">
        <v>698.21414000000004</v>
      </c>
      <c r="I34" s="1147">
        <v>365.09096999999997</v>
      </c>
      <c r="J34" s="1147">
        <v>774.08409999999992</v>
      </c>
      <c r="K34" s="1147">
        <v>487.45963</v>
      </c>
      <c r="L34" s="1147">
        <v>833.65919999999994</v>
      </c>
      <c r="M34" s="1147">
        <v>593.95050000000003</v>
      </c>
      <c r="N34" s="1147">
        <v>913.3329</v>
      </c>
      <c r="O34" s="1147">
        <v>593.95050000000003</v>
      </c>
      <c r="P34" s="1147">
        <v>947.88546999999994</v>
      </c>
      <c r="Q34" s="1147">
        <v>593.95050000000003</v>
      </c>
      <c r="R34" s="1147">
        <v>1197.0730100000001</v>
      </c>
      <c r="S34" s="1147">
        <v>593.95050000000003</v>
      </c>
      <c r="T34" s="1147">
        <v>1198.23479</v>
      </c>
      <c r="U34" s="1147">
        <v>593.95050000000003</v>
      </c>
      <c r="V34" s="1147">
        <v>1198.23479</v>
      </c>
      <c r="W34" s="1147">
        <v>593.95050000000003</v>
      </c>
      <c r="X34" s="1147">
        <v>1198.23479</v>
      </c>
      <c r="Y34" s="1147">
        <v>593.95050000000003</v>
      </c>
      <c r="Z34" s="1147">
        <v>1294.1794199999999</v>
      </c>
      <c r="AA34" s="1147">
        <v>0</v>
      </c>
      <c r="AB34" s="1147">
        <v>0</v>
      </c>
      <c r="AC34" s="1147">
        <v>0</v>
      </c>
      <c r="AD34" s="1147">
        <v>0</v>
      </c>
      <c r="AE34" s="1147">
        <v>0</v>
      </c>
      <c r="AF34" s="1147">
        <v>0</v>
      </c>
      <c r="AG34" s="1147">
        <v>0</v>
      </c>
      <c r="AH34" s="1147">
        <v>0</v>
      </c>
      <c r="AI34" s="1147">
        <v>0</v>
      </c>
      <c r="AJ34" s="1147">
        <v>0</v>
      </c>
      <c r="AK34" s="1147">
        <v>0</v>
      </c>
      <c r="AL34" s="1147">
        <v>0</v>
      </c>
      <c r="AM34" s="1147">
        <v>0</v>
      </c>
      <c r="AN34" s="1147">
        <v>0</v>
      </c>
      <c r="AO34" s="1147">
        <v>0</v>
      </c>
      <c r="AP34" s="1147">
        <v>0</v>
      </c>
      <c r="AQ34" s="1147">
        <v>0</v>
      </c>
      <c r="AR34" s="1147">
        <v>0</v>
      </c>
      <c r="AS34" s="1147">
        <v>0</v>
      </c>
      <c r="AT34" s="1147">
        <v>0</v>
      </c>
      <c r="AU34" s="1147">
        <v>0</v>
      </c>
      <c r="AV34" s="1147">
        <v>0</v>
      </c>
      <c r="AW34" s="1147">
        <v>0</v>
      </c>
      <c r="AX34" s="1147">
        <v>0</v>
      </c>
      <c r="AY34" s="1147">
        <v>0</v>
      </c>
      <c r="AZ34" s="1147">
        <v>0</v>
      </c>
      <c r="BA34" s="1147">
        <v>0</v>
      </c>
      <c r="BB34" s="1147">
        <v>0</v>
      </c>
      <c r="BC34" s="1147">
        <v>0</v>
      </c>
      <c r="BD34" s="1147">
        <v>0</v>
      </c>
      <c r="BE34" s="1147">
        <v>0</v>
      </c>
      <c r="BF34" s="1147">
        <v>0</v>
      </c>
      <c r="BG34" s="1147">
        <v>0</v>
      </c>
      <c r="BH34" s="1147">
        <v>0</v>
      </c>
      <c r="BI34" s="1147">
        <v>0</v>
      </c>
      <c r="BJ34" s="1147">
        <v>0</v>
      </c>
      <c r="BK34" s="1147">
        <v>0</v>
      </c>
      <c r="BL34" s="1147">
        <v>0</v>
      </c>
      <c r="BM34" s="1147">
        <v>0</v>
      </c>
      <c r="BN34" s="1147">
        <v>0</v>
      </c>
      <c r="BO34" s="1147">
        <v>0</v>
      </c>
      <c r="BP34" s="1147">
        <v>0</v>
      </c>
      <c r="BQ34" s="1147">
        <v>0</v>
      </c>
      <c r="BR34" s="1147">
        <v>0</v>
      </c>
      <c r="BS34" s="1147">
        <v>0</v>
      </c>
      <c r="BT34" s="1147">
        <v>0</v>
      </c>
      <c r="BU34" s="1147">
        <v>0</v>
      </c>
      <c r="BV34" s="1147">
        <v>0</v>
      </c>
      <c r="BW34" s="1147">
        <v>0</v>
      </c>
      <c r="BX34" s="1147">
        <v>0</v>
      </c>
      <c r="BY34" s="1147">
        <v>0</v>
      </c>
      <c r="BZ34" s="1147">
        <v>0</v>
      </c>
      <c r="CA34" s="1147">
        <v>0</v>
      </c>
      <c r="CB34" s="1147">
        <v>0</v>
      </c>
      <c r="CC34" s="1147">
        <v>0</v>
      </c>
      <c r="CD34" s="1147">
        <v>0</v>
      </c>
      <c r="CE34" s="1147">
        <v>0</v>
      </c>
      <c r="CF34" s="1147">
        <v>0</v>
      </c>
      <c r="CG34" s="1147">
        <v>0</v>
      </c>
      <c r="CH34" s="1147">
        <v>0</v>
      </c>
      <c r="CI34" s="1147">
        <v>0</v>
      </c>
      <c r="CJ34" s="1147">
        <v>0</v>
      </c>
      <c r="CK34" s="1147">
        <v>0</v>
      </c>
      <c r="CL34" s="1147">
        <v>0</v>
      </c>
      <c r="CM34" s="1147">
        <v>0</v>
      </c>
      <c r="CN34" s="1147">
        <v>0</v>
      </c>
      <c r="CO34" s="1147">
        <v>0</v>
      </c>
      <c r="CP34" s="1147">
        <v>0</v>
      </c>
      <c r="CQ34" s="1147">
        <v>0</v>
      </c>
      <c r="CR34" s="1147">
        <v>0</v>
      </c>
      <c r="CS34" s="1147"/>
      <c r="CT34" s="1147"/>
      <c r="CU34" s="1147">
        <v>0</v>
      </c>
      <c r="CV34" s="1147">
        <v>0</v>
      </c>
      <c r="CW34" s="1147">
        <v>0</v>
      </c>
      <c r="CX34" s="1147">
        <v>0</v>
      </c>
      <c r="CY34" s="1147">
        <v>0</v>
      </c>
      <c r="CZ34" s="1147">
        <v>0</v>
      </c>
      <c r="DA34" s="1147">
        <v>0</v>
      </c>
      <c r="DB34" s="1147">
        <v>0</v>
      </c>
      <c r="DC34" s="1147">
        <v>0</v>
      </c>
      <c r="DD34" s="1147">
        <v>0</v>
      </c>
      <c r="DE34" s="1147">
        <v>0</v>
      </c>
      <c r="DF34" s="1147">
        <v>0</v>
      </c>
      <c r="DG34" s="1147">
        <v>0</v>
      </c>
      <c r="DH34" s="1147">
        <v>0</v>
      </c>
      <c r="DI34" s="1147">
        <v>0</v>
      </c>
      <c r="DJ34" s="1147">
        <v>0</v>
      </c>
      <c r="DK34" s="1147">
        <v>0</v>
      </c>
      <c r="DL34" s="1147">
        <v>0</v>
      </c>
      <c r="DM34" s="1147">
        <v>0</v>
      </c>
      <c r="DN34" s="1147">
        <v>0</v>
      </c>
      <c r="DO34" s="1147">
        <v>0</v>
      </c>
      <c r="DP34" s="1147">
        <v>0</v>
      </c>
      <c r="DQ34" s="1147">
        <v>0</v>
      </c>
      <c r="DR34" s="1147">
        <v>0</v>
      </c>
      <c r="DS34" s="1147">
        <v>0</v>
      </c>
      <c r="DT34" s="1147">
        <v>0</v>
      </c>
      <c r="DU34" s="1147">
        <v>0</v>
      </c>
      <c r="DV34" s="1147">
        <v>0</v>
      </c>
      <c r="DW34" s="1147">
        <v>0</v>
      </c>
      <c r="DX34" s="1147">
        <v>0</v>
      </c>
      <c r="DY34" s="1147">
        <v>0</v>
      </c>
      <c r="DZ34" s="1147">
        <v>0</v>
      </c>
      <c r="EA34" s="1147">
        <v>0</v>
      </c>
      <c r="EB34" s="1147">
        <v>0</v>
      </c>
      <c r="EC34" s="1147">
        <v>0</v>
      </c>
      <c r="ED34" s="1147">
        <v>0</v>
      </c>
      <c r="EE34" s="1147">
        <v>0</v>
      </c>
      <c r="EF34" s="1147">
        <v>0</v>
      </c>
      <c r="EG34" s="1147">
        <v>0</v>
      </c>
      <c r="EH34" s="1147">
        <v>0</v>
      </c>
      <c r="EI34" s="1147">
        <v>0</v>
      </c>
      <c r="EJ34" s="1147">
        <v>0</v>
      </c>
      <c r="EK34" s="1147"/>
      <c r="EL34" s="1147"/>
      <c r="EM34" s="1147"/>
      <c r="EN34" s="1147"/>
      <c r="EO34" s="1147"/>
      <c r="EP34" s="1147"/>
      <c r="EQ34" s="1147"/>
      <c r="ER34" s="1147"/>
      <c r="ES34" s="1147">
        <v>0</v>
      </c>
      <c r="ET34" s="1147">
        <v>0</v>
      </c>
      <c r="EU34" s="1147">
        <v>0</v>
      </c>
      <c r="EV34" s="1147">
        <v>0</v>
      </c>
      <c r="EW34" s="1147">
        <v>0</v>
      </c>
      <c r="EX34" s="1147">
        <v>0</v>
      </c>
      <c r="EY34" s="1147">
        <v>0</v>
      </c>
      <c r="EZ34" s="1147">
        <v>0</v>
      </c>
      <c r="FA34" s="1147">
        <v>0</v>
      </c>
      <c r="FB34" s="1147">
        <v>0</v>
      </c>
      <c r="FC34" s="1147">
        <v>0</v>
      </c>
      <c r="FD34" s="1147">
        <v>0</v>
      </c>
      <c r="FE34" s="1147">
        <v>0</v>
      </c>
      <c r="FF34" s="1147">
        <v>0</v>
      </c>
      <c r="FG34" s="1147"/>
      <c r="FH34" s="1147"/>
      <c r="FI34" s="1147"/>
      <c r="FJ34" s="1147"/>
      <c r="FK34" s="1147"/>
      <c r="FL34" s="1147"/>
      <c r="FM34" s="1147"/>
      <c r="FN34" s="1147"/>
      <c r="FO34" s="1147"/>
      <c r="FP34" s="1147"/>
      <c r="FQ34" s="1147"/>
      <c r="FR34" s="1147"/>
      <c r="FS34" s="1147"/>
      <c r="FT34" s="1147"/>
      <c r="FU34" s="1147"/>
      <c r="FV34" s="1147"/>
      <c r="FW34" s="1147"/>
      <c r="FX34" s="1147"/>
      <c r="FY34" s="1147"/>
      <c r="FZ34" s="1147"/>
      <c r="GA34" s="1147"/>
      <c r="GB34" s="1147"/>
      <c r="GC34" s="1147"/>
      <c r="GD34" s="1147"/>
      <c r="GE34" s="1147"/>
      <c r="GF34" s="1147"/>
      <c r="GG34" s="1147"/>
      <c r="GH34" s="1147"/>
      <c r="GI34" s="1147"/>
      <c r="GJ34" s="1147"/>
      <c r="GK34" s="1147"/>
      <c r="GL34" s="1147"/>
      <c r="GM34" s="1147"/>
      <c r="GN34" s="1147"/>
      <c r="GO34" s="1147"/>
      <c r="GP34" s="1147"/>
      <c r="GQ34" s="1147"/>
      <c r="GR34" s="1147"/>
      <c r="GS34" s="1147"/>
      <c r="GT34" s="1147"/>
      <c r="GU34" s="1147"/>
      <c r="GV34" s="1147"/>
      <c r="GW34" s="1147"/>
      <c r="GX34" s="1147"/>
      <c r="GY34" s="1147"/>
      <c r="GZ34" s="1147"/>
      <c r="HA34" s="1147"/>
      <c r="HB34" s="1147"/>
      <c r="HC34" s="1147"/>
      <c r="HD34" s="1147"/>
      <c r="HE34" s="1147"/>
      <c r="HF34" s="1147"/>
      <c r="HG34" s="1147"/>
      <c r="HH34" s="1147"/>
      <c r="HI34" s="1147"/>
      <c r="HJ34" s="1147"/>
      <c r="HK34" s="1147"/>
      <c r="HL34" s="1147"/>
      <c r="HM34" s="1147"/>
      <c r="HN34" s="1147"/>
      <c r="HO34" s="1147"/>
      <c r="HP34" s="1147"/>
      <c r="HQ34" s="1147"/>
      <c r="HR34" s="1147"/>
      <c r="HS34" s="1147"/>
      <c r="HT34" s="1147"/>
      <c r="HU34" s="1147"/>
      <c r="HV34" s="1147"/>
      <c r="HW34" s="1147"/>
      <c r="HX34" s="1147"/>
      <c r="HY34" s="1147"/>
      <c r="HZ34" s="1147"/>
      <c r="IA34" s="1147"/>
      <c r="IB34" s="1147"/>
      <c r="IC34" s="1147"/>
      <c r="ID34" s="1147"/>
      <c r="IE34" s="1147"/>
      <c r="IF34" s="1147"/>
      <c r="IG34" s="1147"/>
      <c r="IH34" s="1147"/>
      <c r="II34" s="1147"/>
      <c r="IJ34" s="1147"/>
      <c r="IK34" s="1147"/>
      <c r="IL34" s="1147"/>
      <c r="IM34" s="1147"/>
      <c r="IN34" s="1147"/>
      <c r="IO34" s="1147"/>
      <c r="IP34" s="1147"/>
      <c r="IQ34" s="1147"/>
      <c r="IR34" s="1147"/>
      <c r="IS34" s="1767" t="s">
        <v>3168</v>
      </c>
    </row>
    <row r="35" spans="1:253" ht="50.25" hidden="1" customHeight="1">
      <c r="A35" s="1652">
        <v>23</v>
      </c>
      <c r="B35" s="1767" t="s">
        <v>2318</v>
      </c>
      <c r="C35" s="1147">
        <v>2.0586599999999997</v>
      </c>
      <c r="D35" s="1147">
        <v>0.06</v>
      </c>
      <c r="E35" s="1147">
        <v>79.759230000000002</v>
      </c>
      <c r="F35" s="1147">
        <v>0.26</v>
      </c>
      <c r="G35" s="1147">
        <v>131.02712</v>
      </c>
      <c r="H35" s="1147">
        <v>0.36</v>
      </c>
      <c r="I35" s="1147">
        <v>133.76894000000001</v>
      </c>
      <c r="J35" s="1147">
        <v>0.36</v>
      </c>
      <c r="K35" s="1147">
        <v>178.65335999999999</v>
      </c>
      <c r="L35" s="1147">
        <v>0.65582000000000007</v>
      </c>
      <c r="M35" s="1147">
        <v>195.44431</v>
      </c>
      <c r="N35" s="1147">
        <v>0.65582000000000007</v>
      </c>
      <c r="O35" s="1147">
        <v>201.06</v>
      </c>
      <c r="P35" s="1147">
        <v>0.65582000000000007</v>
      </c>
      <c r="Q35" s="1147">
        <v>219.08505</v>
      </c>
      <c r="R35" s="1147">
        <v>0.75278</v>
      </c>
      <c r="S35" s="1147">
        <v>238.04031000000001</v>
      </c>
      <c r="T35" s="1147">
        <v>0.98778999999999995</v>
      </c>
      <c r="U35" s="1147">
        <v>323.17876000000001</v>
      </c>
      <c r="V35" s="1147">
        <v>0.98778999999999995</v>
      </c>
      <c r="W35" s="1147">
        <v>259.17876000000001</v>
      </c>
      <c r="X35" s="1147">
        <v>0.98778999999999995</v>
      </c>
      <c r="Y35" s="1147">
        <v>259.17876000000001</v>
      </c>
      <c r="Z35" s="1147">
        <v>0.98778999999999995</v>
      </c>
      <c r="AA35" s="1147">
        <v>0</v>
      </c>
      <c r="AB35" s="1147">
        <v>0.18759999999999999</v>
      </c>
      <c r="AC35" s="1147">
        <v>0</v>
      </c>
      <c r="AD35" s="1147">
        <v>1.3350499999999998</v>
      </c>
      <c r="AE35" s="1147">
        <v>0</v>
      </c>
      <c r="AF35" s="1147">
        <v>1.3350499999999998</v>
      </c>
      <c r="AG35" s="1147">
        <v>0</v>
      </c>
      <c r="AH35" s="1147">
        <v>1.3350499999999998</v>
      </c>
      <c r="AI35" s="1147">
        <v>0</v>
      </c>
      <c r="AJ35" s="1147">
        <v>1.3350499999999998</v>
      </c>
      <c r="AK35" s="1147">
        <v>0</v>
      </c>
      <c r="AL35" s="1147">
        <v>0</v>
      </c>
      <c r="AM35" s="1147">
        <v>0</v>
      </c>
      <c r="AN35" s="1147">
        <v>0</v>
      </c>
      <c r="AO35" s="1147">
        <v>0</v>
      </c>
      <c r="AP35" s="1147">
        <v>0</v>
      </c>
      <c r="AQ35" s="1147">
        <v>0</v>
      </c>
      <c r="AR35" s="1147">
        <v>0</v>
      </c>
      <c r="AS35" s="1147">
        <v>0</v>
      </c>
      <c r="AT35" s="1147">
        <v>0</v>
      </c>
      <c r="AU35" s="1147">
        <v>0</v>
      </c>
      <c r="AV35" s="1147">
        <v>0</v>
      </c>
      <c r="AW35" s="1147">
        <v>0</v>
      </c>
      <c r="AX35" s="1147">
        <v>0</v>
      </c>
      <c r="AY35" s="1147">
        <v>0</v>
      </c>
      <c r="AZ35" s="1147">
        <v>0</v>
      </c>
      <c r="BA35" s="1147">
        <v>0</v>
      </c>
      <c r="BB35" s="1147">
        <v>0</v>
      </c>
      <c r="BC35" s="1147">
        <v>0</v>
      </c>
      <c r="BD35" s="1147">
        <v>0</v>
      </c>
      <c r="BE35" s="1147">
        <v>0</v>
      </c>
      <c r="BF35" s="1147">
        <v>0</v>
      </c>
      <c r="BG35" s="1147">
        <v>0</v>
      </c>
      <c r="BH35" s="1147">
        <v>0</v>
      </c>
      <c r="BI35" s="1147">
        <v>0</v>
      </c>
      <c r="BJ35" s="1147">
        <v>0</v>
      </c>
      <c r="BK35" s="1147">
        <v>0</v>
      </c>
      <c r="BL35" s="1147">
        <v>0</v>
      </c>
      <c r="BM35" s="1147">
        <v>0</v>
      </c>
      <c r="BN35" s="1147">
        <v>0</v>
      </c>
      <c r="BO35" s="1147">
        <v>0</v>
      </c>
      <c r="BP35" s="1147">
        <v>0</v>
      </c>
      <c r="BQ35" s="1147">
        <v>0</v>
      </c>
      <c r="BR35" s="1147">
        <v>0</v>
      </c>
      <c r="BS35" s="1147">
        <v>0</v>
      </c>
      <c r="BT35" s="1147">
        <v>0</v>
      </c>
      <c r="BU35" s="1147">
        <v>0</v>
      </c>
      <c r="BV35" s="1147">
        <v>0</v>
      </c>
      <c r="BW35" s="1147">
        <v>0</v>
      </c>
      <c r="BX35" s="1147">
        <v>0</v>
      </c>
      <c r="BY35" s="1147">
        <v>0</v>
      </c>
      <c r="BZ35" s="1147">
        <v>0</v>
      </c>
      <c r="CA35" s="1147">
        <v>0</v>
      </c>
      <c r="CB35" s="1147">
        <v>0</v>
      </c>
      <c r="CC35" s="1147">
        <v>0</v>
      </c>
      <c r="CD35" s="1147">
        <v>0</v>
      </c>
      <c r="CE35" s="1147">
        <v>0</v>
      </c>
      <c r="CF35" s="1147">
        <v>0</v>
      </c>
      <c r="CG35" s="1147">
        <v>0</v>
      </c>
      <c r="CH35" s="1147">
        <v>0</v>
      </c>
      <c r="CI35" s="1147">
        <v>0</v>
      </c>
      <c r="CJ35" s="1147">
        <v>0</v>
      </c>
      <c r="CK35" s="1147">
        <v>0</v>
      </c>
      <c r="CL35" s="1147">
        <v>0</v>
      </c>
      <c r="CM35" s="1147">
        <v>0</v>
      </c>
      <c r="CN35" s="1147">
        <v>0</v>
      </c>
      <c r="CO35" s="1147">
        <v>0</v>
      </c>
      <c r="CP35" s="1147">
        <v>0</v>
      </c>
      <c r="CQ35" s="1147">
        <v>0</v>
      </c>
      <c r="CR35" s="1147">
        <v>0</v>
      </c>
      <c r="CS35" s="1147"/>
      <c r="CT35" s="1147"/>
      <c r="CU35" s="1147">
        <v>0</v>
      </c>
      <c r="CV35" s="1147">
        <v>0</v>
      </c>
      <c r="CW35" s="1147">
        <v>0</v>
      </c>
      <c r="CX35" s="1147">
        <v>0</v>
      </c>
      <c r="CY35" s="1147">
        <v>0</v>
      </c>
      <c r="CZ35" s="1147">
        <v>0</v>
      </c>
      <c r="DA35" s="1147">
        <v>0</v>
      </c>
      <c r="DB35" s="1147">
        <v>0</v>
      </c>
      <c r="DC35" s="1147">
        <v>0</v>
      </c>
      <c r="DD35" s="1147">
        <v>0</v>
      </c>
      <c r="DE35" s="1147">
        <v>0</v>
      </c>
      <c r="DF35" s="1147">
        <v>0</v>
      </c>
      <c r="DG35" s="1147">
        <v>0</v>
      </c>
      <c r="DH35" s="1147">
        <v>0</v>
      </c>
      <c r="DI35" s="1147">
        <v>0</v>
      </c>
      <c r="DJ35" s="1147">
        <v>0</v>
      </c>
      <c r="DK35" s="1147">
        <v>0</v>
      </c>
      <c r="DL35" s="1147">
        <v>0</v>
      </c>
      <c r="DM35" s="1147">
        <v>0</v>
      </c>
      <c r="DN35" s="1147">
        <v>0</v>
      </c>
      <c r="DO35" s="1147">
        <v>0</v>
      </c>
      <c r="DP35" s="1147">
        <v>0</v>
      </c>
      <c r="DQ35" s="1147">
        <v>0</v>
      </c>
      <c r="DR35" s="1147">
        <v>0</v>
      </c>
      <c r="DS35" s="1147">
        <v>0</v>
      </c>
      <c r="DT35" s="1147">
        <v>0</v>
      </c>
      <c r="DU35" s="1147">
        <v>0</v>
      </c>
      <c r="DV35" s="1147">
        <v>0</v>
      </c>
      <c r="DW35" s="1147">
        <v>0</v>
      </c>
      <c r="DX35" s="1147">
        <v>0</v>
      </c>
      <c r="DY35" s="1147">
        <v>0</v>
      </c>
      <c r="DZ35" s="1147">
        <v>0</v>
      </c>
      <c r="EA35" s="1147">
        <v>0</v>
      </c>
      <c r="EB35" s="1147">
        <v>0</v>
      </c>
      <c r="EC35" s="1147">
        <v>0</v>
      </c>
      <c r="ED35" s="1147">
        <v>0</v>
      </c>
      <c r="EE35" s="1147">
        <v>0</v>
      </c>
      <c r="EF35" s="1147">
        <v>0</v>
      </c>
      <c r="EG35" s="1147">
        <v>0</v>
      </c>
      <c r="EH35" s="1147">
        <v>0</v>
      </c>
      <c r="EI35" s="1147">
        <v>0</v>
      </c>
      <c r="EJ35" s="1147">
        <v>0</v>
      </c>
      <c r="EK35" s="1147"/>
      <c r="EL35" s="1147"/>
      <c r="EM35" s="1147"/>
      <c r="EN35" s="1147"/>
      <c r="EO35" s="1147"/>
      <c r="EP35" s="1147"/>
      <c r="EQ35" s="1147"/>
      <c r="ER35" s="1147"/>
      <c r="ES35" s="1147">
        <v>0</v>
      </c>
      <c r="ET35" s="1147">
        <v>0</v>
      </c>
      <c r="EU35" s="1147">
        <v>0</v>
      </c>
      <c r="EV35" s="1147">
        <v>0</v>
      </c>
      <c r="EW35" s="1147">
        <v>0</v>
      </c>
      <c r="EX35" s="1147">
        <v>0</v>
      </c>
      <c r="EY35" s="1147">
        <v>0</v>
      </c>
      <c r="EZ35" s="1147">
        <v>0</v>
      </c>
      <c r="FA35" s="1147">
        <v>0</v>
      </c>
      <c r="FB35" s="1147">
        <v>0</v>
      </c>
      <c r="FC35" s="1147">
        <v>0</v>
      </c>
      <c r="FD35" s="1147">
        <v>0</v>
      </c>
      <c r="FE35" s="1147">
        <v>0</v>
      </c>
      <c r="FF35" s="1147">
        <v>0</v>
      </c>
      <c r="FG35" s="1147"/>
      <c r="FH35" s="1147"/>
      <c r="FI35" s="1147"/>
      <c r="FJ35" s="1147"/>
      <c r="FK35" s="1147"/>
      <c r="FL35" s="1147"/>
      <c r="FM35" s="1147"/>
      <c r="FN35" s="1147"/>
      <c r="FO35" s="1147"/>
      <c r="FP35" s="1147"/>
      <c r="FQ35" s="1147"/>
      <c r="FR35" s="1147"/>
      <c r="FS35" s="1147"/>
      <c r="FT35" s="1147"/>
      <c r="FU35" s="1147"/>
      <c r="FV35" s="1147"/>
      <c r="FW35" s="1147"/>
      <c r="FX35" s="1147"/>
      <c r="FY35" s="1147"/>
      <c r="FZ35" s="1147"/>
      <c r="GA35" s="1147"/>
      <c r="GB35" s="1147"/>
      <c r="GC35" s="1147"/>
      <c r="GD35" s="1147"/>
      <c r="GE35" s="1147"/>
      <c r="GF35" s="1147"/>
      <c r="GG35" s="1147"/>
      <c r="GH35" s="1147"/>
      <c r="GI35" s="1147"/>
      <c r="GJ35" s="1147"/>
      <c r="GK35" s="1147"/>
      <c r="GL35" s="1147"/>
      <c r="GM35" s="1147"/>
      <c r="GN35" s="1147"/>
      <c r="GO35" s="1147"/>
      <c r="GP35" s="1147"/>
      <c r="GQ35" s="1147"/>
      <c r="GR35" s="1147"/>
      <c r="GS35" s="1147"/>
      <c r="GT35" s="1147"/>
      <c r="GU35" s="1147"/>
      <c r="GV35" s="1147"/>
      <c r="GW35" s="1147"/>
      <c r="GX35" s="1147"/>
      <c r="GY35" s="1147"/>
      <c r="GZ35" s="1147"/>
      <c r="HA35" s="1147"/>
      <c r="HB35" s="1147"/>
      <c r="HC35" s="1147"/>
      <c r="HD35" s="1147"/>
      <c r="HE35" s="1147"/>
      <c r="HF35" s="1147"/>
      <c r="HG35" s="1147"/>
      <c r="HH35" s="1147"/>
      <c r="HI35" s="1147"/>
      <c r="HJ35" s="1147"/>
      <c r="HK35" s="1147"/>
      <c r="HL35" s="1147"/>
      <c r="HM35" s="1147"/>
      <c r="HN35" s="1147"/>
      <c r="HO35" s="1147"/>
      <c r="HP35" s="1147"/>
      <c r="HQ35" s="1147"/>
      <c r="HR35" s="1147"/>
      <c r="HS35" s="1147"/>
      <c r="HT35" s="1147"/>
      <c r="HU35" s="1147"/>
      <c r="HV35" s="1147"/>
      <c r="HW35" s="1147"/>
      <c r="HX35" s="1147"/>
      <c r="HY35" s="1147"/>
      <c r="HZ35" s="1147"/>
      <c r="IA35" s="1147"/>
      <c r="IB35" s="1147"/>
      <c r="IC35" s="1147"/>
      <c r="ID35" s="1147"/>
      <c r="IE35" s="1147"/>
      <c r="IF35" s="1147"/>
      <c r="IG35" s="1147"/>
      <c r="IH35" s="1147"/>
      <c r="II35" s="1147"/>
      <c r="IJ35" s="1147"/>
      <c r="IK35" s="1147"/>
      <c r="IL35" s="1147"/>
      <c r="IM35" s="1147"/>
      <c r="IN35" s="1147"/>
      <c r="IO35" s="1147"/>
      <c r="IP35" s="1147"/>
      <c r="IQ35" s="1147"/>
      <c r="IR35" s="1147"/>
      <c r="IS35" s="1767" t="s">
        <v>3169</v>
      </c>
    </row>
    <row r="36" spans="1:253" ht="50.25" hidden="1" customHeight="1">
      <c r="A36" s="1652">
        <v>24</v>
      </c>
      <c r="B36" s="1767" t="s">
        <v>2317</v>
      </c>
      <c r="C36" s="1147">
        <v>312.48942</v>
      </c>
      <c r="D36" s="1147">
        <v>159.70602</v>
      </c>
      <c r="E36" s="1147">
        <v>410.63842999999997</v>
      </c>
      <c r="F36" s="1147">
        <v>294.76346000000001</v>
      </c>
      <c r="G36" s="1147">
        <v>633.87076000000002</v>
      </c>
      <c r="H36" s="1147">
        <v>327.40323000000001</v>
      </c>
      <c r="I36" s="1147">
        <v>847.56209000000001</v>
      </c>
      <c r="J36" s="1147">
        <v>503.86387000000002</v>
      </c>
      <c r="K36" s="1147">
        <v>1023.6065</v>
      </c>
      <c r="L36" s="1147">
        <v>594.37277000000006</v>
      </c>
      <c r="M36" s="1147">
        <v>1019.8405</v>
      </c>
      <c r="N36" s="1147">
        <v>654.51645999999994</v>
      </c>
      <c r="O36" s="1147">
        <v>1019.05426</v>
      </c>
      <c r="P36" s="1147">
        <v>735.78006999999991</v>
      </c>
      <c r="Q36" s="1147">
        <v>1021.13783</v>
      </c>
      <c r="R36" s="1147">
        <v>811.62444999999991</v>
      </c>
      <c r="S36" s="1147">
        <v>1021.13783</v>
      </c>
      <c r="T36" s="1147">
        <v>811.62444999999991</v>
      </c>
      <c r="U36" s="1147">
        <v>1021.13783</v>
      </c>
      <c r="V36" s="1147">
        <v>811.62444999999991</v>
      </c>
      <c r="W36" s="1147">
        <v>1021.13783</v>
      </c>
      <c r="X36" s="1147">
        <v>811.62444999999991</v>
      </c>
      <c r="Y36" s="1147">
        <v>1018.45994</v>
      </c>
      <c r="Z36" s="1147">
        <v>1207.7731999999999</v>
      </c>
      <c r="AA36" s="1147">
        <v>0</v>
      </c>
      <c r="AB36" s="1147">
        <v>0</v>
      </c>
      <c r="AC36" s="1147">
        <v>0</v>
      </c>
      <c r="AD36" s="1147">
        <v>0</v>
      </c>
      <c r="AE36" s="1147">
        <v>0</v>
      </c>
      <c r="AF36" s="1147">
        <v>0</v>
      </c>
      <c r="AG36" s="1147">
        <v>0</v>
      </c>
      <c r="AH36" s="1147">
        <v>0</v>
      </c>
      <c r="AI36" s="1147">
        <v>0</v>
      </c>
      <c r="AJ36" s="1147">
        <v>0</v>
      </c>
      <c r="AK36" s="1147">
        <v>0</v>
      </c>
      <c r="AL36" s="1147">
        <v>0</v>
      </c>
      <c r="AM36" s="1147">
        <v>0</v>
      </c>
      <c r="AN36" s="1147">
        <v>0</v>
      </c>
      <c r="AO36" s="1147">
        <v>0</v>
      </c>
      <c r="AP36" s="1147">
        <v>0</v>
      </c>
      <c r="AQ36" s="1147">
        <v>0</v>
      </c>
      <c r="AR36" s="1147">
        <v>0</v>
      </c>
      <c r="AS36" s="1147">
        <v>0</v>
      </c>
      <c r="AT36" s="1147">
        <v>0</v>
      </c>
      <c r="AU36" s="1147">
        <v>0</v>
      </c>
      <c r="AV36" s="1147">
        <v>0</v>
      </c>
      <c r="AW36" s="1147">
        <v>0</v>
      </c>
      <c r="AX36" s="1147">
        <v>0</v>
      </c>
      <c r="AY36" s="1147">
        <v>0</v>
      </c>
      <c r="AZ36" s="1147">
        <v>0</v>
      </c>
      <c r="BA36" s="1147">
        <v>0</v>
      </c>
      <c r="BB36" s="1147">
        <v>0</v>
      </c>
      <c r="BC36" s="1147">
        <v>0</v>
      </c>
      <c r="BD36" s="1147">
        <v>0</v>
      </c>
      <c r="BE36" s="1147">
        <v>0</v>
      </c>
      <c r="BF36" s="1147">
        <v>0</v>
      </c>
      <c r="BG36" s="1147">
        <v>0</v>
      </c>
      <c r="BH36" s="1147">
        <v>0</v>
      </c>
      <c r="BI36" s="1147">
        <v>0</v>
      </c>
      <c r="BJ36" s="1147">
        <v>0</v>
      </c>
      <c r="BK36" s="1147">
        <v>0</v>
      </c>
      <c r="BL36" s="1147">
        <v>0</v>
      </c>
      <c r="BM36" s="1147">
        <v>0</v>
      </c>
      <c r="BN36" s="1147">
        <v>0</v>
      </c>
      <c r="BO36" s="1147">
        <v>0</v>
      </c>
      <c r="BP36" s="1147">
        <v>0</v>
      </c>
      <c r="BQ36" s="1147">
        <v>0</v>
      </c>
      <c r="BR36" s="1147">
        <v>0</v>
      </c>
      <c r="BS36" s="1147">
        <v>0</v>
      </c>
      <c r="BT36" s="1147">
        <v>0</v>
      </c>
      <c r="BU36" s="1147">
        <v>0</v>
      </c>
      <c r="BV36" s="1147">
        <v>0</v>
      </c>
      <c r="BW36" s="1147">
        <v>0</v>
      </c>
      <c r="BX36" s="1147">
        <v>0</v>
      </c>
      <c r="BY36" s="1147">
        <v>0</v>
      </c>
      <c r="BZ36" s="1147">
        <v>0</v>
      </c>
      <c r="CA36" s="1147">
        <v>0</v>
      </c>
      <c r="CB36" s="1147">
        <v>0</v>
      </c>
      <c r="CC36" s="1147">
        <v>0</v>
      </c>
      <c r="CD36" s="1147">
        <v>0</v>
      </c>
      <c r="CE36" s="1147">
        <v>0</v>
      </c>
      <c r="CF36" s="1147">
        <v>0</v>
      </c>
      <c r="CG36" s="1147">
        <v>0</v>
      </c>
      <c r="CH36" s="1147">
        <v>0</v>
      </c>
      <c r="CI36" s="1147">
        <v>0</v>
      </c>
      <c r="CJ36" s="1147">
        <v>0</v>
      </c>
      <c r="CK36" s="1147">
        <v>0</v>
      </c>
      <c r="CL36" s="1147">
        <v>0</v>
      </c>
      <c r="CM36" s="1147">
        <v>0</v>
      </c>
      <c r="CN36" s="1147">
        <v>0</v>
      </c>
      <c r="CO36" s="1147">
        <v>0</v>
      </c>
      <c r="CP36" s="1147">
        <v>0</v>
      </c>
      <c r="CQ36" s="1147">
        <v>0</v>
      </c>
      <c r="CR36" s="1147">
        <v>0</v>
      </c>
      <c r="CS36" s="1147"/>
      <c r="CT36" s="1147"/>
      <c r="CU36" s="1147">
        <v>0</v>
      </c>
      <c r="CV36" s="1147">
        <v>0</v>
      </c>
      <c r="CW36" s="1147">
        <v>0</v>
      </c>
      <c r="CX36" s="1147">
        <v>0</v>
      </c>
      <c r="CY36" s="1147">
        <v>0</v>
      </c>
      <c r="CZ36" s="1147">
        <v>0</v>
      </c>
      <c r="DA36" s="1147">
        <v>0</v>
      </c>
      <c r="DB36" s="1147">
        <v>0</v>
      </c>
      <c r="DC36" s="1147">
        <v>0</v>
      </c>
      <c r="DD36" s="1147">
        <v>0</v>
      </c>
      <c r="DE36" s="1147">
        <v>0</v>
      </c>
      <c r="DF36" s="1147">
        <v>0</v>
      </c>
      <c r="DG36" s="1147">
        <v>0</v>
      </c>
      <c r="DH36" s="1147">
        <v>0</v>
      </c>
      <c r="DI36" s="1147">
        <v>0</v>
      </c>
      <c r="DJ36" s="1147">
        <v>0</v>
      </c>
      <c r="DK36" s="1147">
        <v>0</v>
      </c>
      <c r="DL36" s="1147">
        <v>0</v>
      </c>
      <c r="DM36" s="1147">
        <v>0</v>
      </c>
      <c r="DN36" s="1147">
        <v>0</v>
      </c>
      <c r="DO36" s="1147">
        <v>0</v>
      </c>
      <c r="DP36" s="1147">
        <v>0</v>
      </c>
      <c r="DQ36" s="1147">
        <v>0</v>
      </c>
      <c r="DR36" s="1147">
        <v>0</v>
      </c>
      <c r="DS36" s="1147">
        <v>0</v>
      </c>
      <c r="DT36" s="1147">
        <v>0</v>
      </c>
      <c r="DU36" s="1147">
        <v>0</v>
      </c>
      <c r="DV36" s="1147">
        <v>0</v>
      </c>
      <c r="DW36" s="1147">
        <v>0</v>
      </c>
      <c r="DX36" s="1147">
        <v>0</v>
      </c>
      <c r="DY36" s="1147">
        <v>0</v>
      </c>
      <c r="DZ36" s="1147">
        <v>0</v>
      </c>
      <c r="EA36" s="1147">
        <v>0</v>
      </c>
      <c r="EB36" s="1147">
        <v>0</v>
      </c>
      <c r="EC36" s="1147">
        <v>0</v>
      </c>
      <c r="ED36" s="1147">
        <v>0</v>
      </c>
      <c r="EE36" s="1147">
        <v>0</v>
      </c>
      <c r="EF36" s="1147">
        <v>0</v>
      </c>
      <c r="EG36" s="1147">
        <v>0</v>
      </c>
      <c r="EH36" s="1147">
        <v>0</v>
      </c>
      <c r="EI36" s="1147">
        <v>0</v>
      </c>
      <c r="EJ36" s="1147">
        <v>0</v>
      </c>
      <c r="EK36" s="1147"/>
      <c r="EL36" s="1147"/>
      <c r="EM36" s="1147"/>
      <c r="EN36" s="1147"/>
      <c r="EO36" s="1147"/>
      <c r="EP36" s="1147"/>
      <c r="EQ36" s="1147"/>
      <c r="ER36" s="1147"/>
      <c r="ES36" s="1147">
        <v>0</v>
      </c>
      <c r="ET36" s="1147">
        <v>0</v>
      </c>
      <c r="EU36" s="1147">
        <v>0</v>
      </c>
      <c r="EV36" s="1147">
        <v>0</v>
      </c>
      <c r="EW36" s="1147">
        <v>0</v>
      </c>
      <c r="EX36" s="1147">
        <v>0</v>
      </c>
      <c r="EY36" s="1147">
        <v>0</v>
      </c>
      <c r="EZ36" s="1147">
        <v>0</v>
      </c>
      <c r="FA36" s="1147">
        <v>0</v>
      </c>
      <c r="FB36" s="1147">
        <v>0</v>
      </c>
      <c r="FC36" s="1147">
        <v>0</v>
      </c>
      <c r="FD36" s="1147">
        <v>0</v>
      </c>
      <c r="FE36" s="1147">
        <v>0</v>
      </c>
      <c r="FF36" s="1147">
        <v>0</v>
      </c>
      <c r="FG36" s="1147"/>
      <c r="FH36" s="1147"/>
      <c r="FI36" s="1147"/>
      <c r="FJ36" s="1147"/>
      <c r="FK36" s="1147"/>
      <c r="FL36" s="1147"/>
      <c r="FM36" s="1147"/>
      <c r="FN36" s="1147"/>
      <c r="FO36" s="1147"/>
      <c r="FP36" s="1147"/>
      <c r="FQ36" s="1147"/>
      <c r="FR36" s="1147"/>
      <c r="FS36" s="1147"/>
      <c r="FT36" s="1147"/>
      <c r="FU36" s="1147"/>
      <c r="FV36" s="1147"/>
      <c r="FW36" s="1147"/>
      <c r="FX36" s="1147"/>
      <c r="FY36" s="1147"/>
      <c r="FZ36" s="1147"/>
      <c r="GA36" s="1147"/>
      <c r="GB36" s="1147"/>
      <c r="GC36" s="1147"/>
      <c r="GD36" s="1147"/>
      <c r="GE36" s="1147"/>
      <c r="GF36" s="1147"/>
      <c r="GG36" s="1147"/>
      <c r="GH36" s="1147"/>
      <c r="GI36" s="1147"/>
      <c r="GJ36" s="1147"/>
      <c r="GK36" s="1147"/>
      <c r="GL36" s="1147"/>
      <c r="GM36" s="1147"/>
      <c r="GN36" s="1147"/>
      <c r="GO36" s="1147"/>
      <c r="GP36" s="1147"/>
      <c r="GQ36" s="1147"/>
      <c r="GR36" s="1147"/>
      <c r="GS36" s="1147"/>
      <c r="GT36" s="1147"/>
      <c r="GU36" s="1147"/>
      <c r="GV36" s="1147"/>
      <c r="GW36" s="1147"/>
      <c r="GX36" s="1147"/>
      <c r="GY36" s="1147"/>
      <c r="GZ36" s="1147"/>
      <c r="HA36" s="1147"/>
      <c r="HB36" s="1147"/>
      <c r="HC36" s="1147"/>
      <c r="HD36" s="1147"/>
      <c r="HE36" s="1147"/>
      <c r="HF36" s="1147"/>
      <c r="HG36" s="1147"/>
      <c r="HH36" s="1147"/>
      <c r="HI36" s="1147"/>
      <c r="HJ36" s="1147"/>
      <c r="HK36" s="1147"/>
      <c r="HL36" s="1147"/>
      <c r="HM36" s="1147"/>
      <c r="HN36" s="1147"/>
      <c r="HO36" s="1147"/>
      <c r="HP36" s="1147"/>
      <c r="HQ36" s="1147"/>
      <c r="HR36" s="1147"/>
      <c r="HS36" s="1147"/>
      <c r="HT36" s="1147"/>
      <c r="HU36" s="1147"/>
      <c r="HV36" s="1147"/>
      <c r="HW36" s="1147"/>
      <c r="HX36" s="1147"/>
      <c r="HY36" s="1147"/>
      <c r="HZ36" s="1147"/>
      <c r="IA36" s="1147"/>
      <c r="IB36" s="1147"/>
      <c r="IC36" s="1147"/>
      <c r="ID36" s="1147"/>
      <c r="IE36" s="1147"/>
      <c r="IF36" s="1147"/>
      <c r="IG36" s="1147"/>
      <c r="IH36" s="1147"/>
      <c r="II36" s="1147"/>
      <c r="IJ36" s="1147"/>
      <c r="IK36" s="1147"/>
      <c r="IL36" s="1147"/>
      <c r="IM36" s="1147"/>
      <c r="IN36" s="1147"/>
      <c r="IO36" s="1147"/>
      <c r="IP36" s="1147"/>
      <c r="IQ36" s="1147"/>
      <c r="IR36" s="1147"/>
      <c r="IS36" s="1767" t="s">
        <v>3170</v>
      </c>
    </row>
    <row r="37" spans="1:253" ht="50.25" hidden="1" customHeight="1">
      <c r="A37" s="1652">
        <v>25</v>
      </c>
      <c r="B37" s="1767" t="s">
        <v>2325</v>
      </c>
      <c r="C37" s="1147">
        <v>49</v>
      </c>
      <c r="D37" s="1147">
        <v>30.452860000000001</v>
      </c>
      <c r="E37" s="1147">
        <v>100.98016</v>
      </c>
      <c r="F37" s="1147">
        <v>94.942740000000001</v>
      </c>
      <c r="G37" s="1147">
        <v>160.97749999999999</v>
      </c>
      <c r="H37" s="1147">
        <v>203.74451999999999</v>
      </c>
      <c r="I37" s="1147">
        <v>391.05821999999995</v>
      </c>
      <c r="J37" s="1147">
        <v>268.93696999999997</v>
      </c>
      <c r="K37" s="1147">
        <v>456.98453000000001</v>
      </c>
      <c r="L37" s="1147">
        <v>352.84728999999999</v>
      </c>
      <c r="M37" s="1147">
        <v>546.21884</v>
      </c>
      <c r="N37" s="1147">
        <v>432.32092999999998</v>
      </c>
      <c r="O37" s="1147">
        <v>701.36056999999994</v>
      </c>
      <c r="P37" s="1147">
        <v>497.43801000000002</v>
      </c>
      <c r="Q37" s="1147">
        <v>764.75831999999991</v>
      </c>
      <c r="R37" s="1147">
        <v>549.37239999999997</v>
      </c>
      <c r="S37" s="1147">
        <v>828.14882999999998</v>
      </c>
      <c r="T37" s="1147">
        <v>603.06878000000006</v>
      </c>
      <c r="U37" s="1147">
        <v>910.31011000000001</v>
      </c>
      <c r="V37" s="1147">
        <v>642.26311999999996</v>
      </c>
      <c r="W37" s="1147">
        <v>956.85563999999999</v>
      </c>
      <c r="X37" s="1147">
        <v>755.95866000000001</v>
      </c>
      <c r="Y37" s="1147">
        <v>1018.51888</v>
      </c>
      <c r="Z37" s="1147">
        <v>855.03906999999992</v>
      </c>
      <c r="AA37" s="1147">
        <v>25.325080000000003</v>
      </c>
      <c r="AB37" s="1147">
        <v>16.174949999999999</v>
      </c>
      <c r="AC37" s="1147">
        <v>55.191429999999997</v>
      </c>
      <c r="AD37" s="1147">
        <v>58.941669999999995</v>
      </c>
      <c r="AE37" s="1147">
        <v>109.27676</v>
      </c>
      <c r="AF37" s="1147">
        <v>113.30364</v>
      </c>
      <c r="AG37" s="1147">
        <v>141.73417999999998</v>
      </c>
      <c r="AH37" s="1147">
        <v>189.49664000000001</v>
      </c>
      <c r="AI37" s="1147">
        <v>209.53251</v>
      </c>
      <c r="AJ37" s="1147">
        <v>269.99648999999999</v>
      </c>
      <c r="AK37" s="1147">
        <v>246.89261999999999</v>
      </c>
      <c r="AL37" s="1147">
        <v>360.47798999999998</v>
      </c>
      <c r="AM37" s="1147">
        <v>281.512</v>
      </c>
      <c r="AN37" s="1147">
        <v>397.24761000000001</v>
      </c>
      <c r="AO37" s="1147">
        <v>372.79732999999999</v>
      </c>
      <c r="AP37" s="1147">
        <v>416.35616999999996</v>
      </c>
      <c r="AQ37" s="1147">
        <v>447.62493000000001</v>
      </c>
      <c r="AR37" s="1147">
        <v>452.73182000000003</v>
      </c>
      <c r="AS37" s="1147">
        <v>517.28206</v>
      </c>
      <c r="AT37" s="1147">
        <v>470.90302000000003</v>
      </c>
      <c r="AU37" s="1147">
        <v>590.88477</v>
      </c>
      <c r="AV37" s="1147">
        <v>506.04583000000002</v>
      </c>
      <c r="AW37" s="1147">
        <v>690.34251000000006</v>
      </c>
      <c r="AX37" s="1147">
        <v>546.89134000000001</v>
      </c>
      <c r="AY37" s="1147">
        <v>77.025279999999995</v>
      </c>
      <c r="AZ37" s="1147">
        <v>10.40527</v>
      </c>
      <c r="BA37" s="1147">
        <v>201.23860000000002</v>
      </c>
      <c r="BB37" s="1147">
        <v>52.144190000000002</v>
      </c>
      <c r="BC37" s="1147">
        <v>265.25</v>
      </c>
      <c r="BD37" s="1147">
        <v>75.28</v>
      </c>
      <c r="BE37" s="1147">
        <v>388.25064000000003</v>
      </c>
      <c r="BF37" s="1147">
        <v>109.75761</v>
      </c>
      <c r="BG37" s="1147">
        <v>536.37089000000003</v>
      </c>
      <c r="BH37" s="1147">
        <v>138.66015999999999</v>
      </c>
      <c r="BI37" s="1147">
        <v>686.50115000000005</v>
      </c>
      <c r="BJ37" s="1147">
        <v>150.72548999999998</v>
      </c>
      <c r="BK37" s="1147">
        <v>870.3043100000001</v>
      </c>
      <c r="BL37" s="1147">
        <v>175.82373999999999</v>
      </c>
      <c r="BM37" s="1147">
        <v>1079.0352800000001</v>
      </c>
      <c r="BN37" s="1147">
        <v>234.08370000000002</v>
      </c>
      <c r="BO37" s="1147">
        <v>1239.58366</v>
      </c>
      <c r="BP37" s="1147">
        <v>251.78676000000002</v>
      </c>
      <c r="BQ37" s="1147">
        <v>1391.9308000000001</v>
      </c>
      <c r="BR37" s="1147">
        <v>274.50909000000001</v>
      </c>
      <c r="BS37" s="1147">
        <v>1531.0980199999999</v>
      </c>
      <c r="BT37" s="1147">
        <v>291.59737999999999</v>
      </c>
      <c r="BU37" s="1147">
        <v>1758.9494399999999</v>
      </c>
      <c r="BV37" s="1147">
        <v>315.95328000000001</v>
      </c>
      <c r="BW37" s="1147">
        <v>180.65432999999999</v>
      </c>
      <c r="BX37" s="1147">
        <v>31.650069999999999</v>
      </c>
      <c r="BY37" s="1147">
        <v>424.64274</v>
      </c>
      <c r="BZ37" s="1147">
        <v>43.448070000000001</v>
      </c>
      <c r="CA37" s="1147">
        <v>557.41575</v>
      </c>
      <c r="CB37" s="1147">
        <v>83.088220000000007</v>
      </c>
      <c r="CC37" s="1147">
        <v>818.14227000000005</v>
      </c>
      <c r="CD37" s="1147">
        <v>115.06631</v>
      </c>
      <c r="CE37" s="1147">
        <v>1059.2552599999999</v>
      </c>
      <c r="CF37" s="1147">
        <v>143.29271</v>
      </c>
      <c r="CG37" s="1147">
        <v>1291.3281899999999</v>
      </c>
      <c r="CH37" s="1147">
        <v>172.01814000000002</v>
      </c>
      <c r="CI37" s="1147">
        <v>1550.0361599999999</v>
      </c>
      <c r="CJ37" s="1147">
        <v>183.87198000000001</v>
      </c>
      <c r="CK37" s="1147">
        <v>1823.6825200000001</v>
      </c>
      <c r="CL37" s="1147">
        <v>254.20414000000002</v>
      </c>
      <c r="CM37" s="1147">
        <v>2064.7484800000002</v>
      </c>
      <c r="CN37" s="1147">
        <v>310.09629999999999</v>
      </c>
      <c r="CO37" s="1147">
        <v>2436.6077</v>
      </c>
      <c r="CP37" s="1147">
        <v>394.90395000000001</v>
      </c>
      <c r="CQ37" s="1147">
        <v>2753.2390299999997</v>
      </c>
      <c r="CR37" s="1147">
        <v>410.82256000000001</v>
      </c>
      <c r="CS37" s="1147">
        <v>3185.0547700000002</v>
      </c>
      <c r="CT37" s="1147">
        <v>477.44553000000002</v>
      </c>
      <c r="CU37" s="1147">
        <v>331.32506999999998</v>
      </c>
      <c r="CV37" s="1147">
        <v>67.692449999999994</v>
      </c>
      <c r="CW37" s="1147">
        <v>705.46328000000005</v>
      </c>
      <c r="CX37" s="1147">
        <v>99.739190000000008</v>
      </c>
      <c r="CY37" s="1147">
        <v>905.53506999999991</v>
      </c>
      <c r="CZ37" s="1147">
        <v>134.31042000000002</v>
      </c>
      <c r="DA37" s="1147">
        <v>990.57875000000001</v>
      </c>
      <c r="DB37" s="1147">
        <v>161.09273999999999</v>
      </c>
      <c r="DC37" s="1147">
        <v>1058.45832</v>
      </c>
      <c r="DD37" s="1147">
        <v>175.82531</v>
      </c>
      <c r="DE37" s="1147">
        <v>1077.9885800000002</v>
      </c>
      <c r="DF37" s="1147">
        <v>234.73455999999999</v>
      </c>
      <c r="DG37" s="1147">
        <v>1077.9183799999998</v>
      </c>
      <c r="DH37" s="1147">
        <v>255.90749</v>
      </c>
      <c r="DI37" s="1147">
        <v>1077.9183799999998</v>
      </c>
      <c r="DJ37" s="1147">
        <v>267.90854999999999</v>
      </c>
      <c r="DK37" s="1147">
        <v>1077.9183799999998</v>
      </c>
      <c r="DL37" s="1147">
        <v>283.30074000000002</v>
      </c>
      <c r="DM37" s="1147">
        <v>1077.9183799999998</v>
      </c>
      <c r="DN37" s="1147">
        <v>308.43376000000001</v>
      </c>
      <c r="DO37" s="1147">
        <v>1077.9183799999998</v>
      </c>
      <c r="DP37" s="1147">
        <v>319.09476000000001</v>
      </c>
      <c r="DQ37" s="1147">
        <v>1077.9183799999998</v>
      </c>
      <c r="DR37" s="1147">
        <v>332.10136999999997</v>
      </c>
      <c r="DS37" s="1147">
        <v>0</v>
      </c>
      <c r="DT37" s="1147">
        <v>8.8947700000000012</v>
      </c>
      <c r="DU37" s="1147">
        <v>0</v>
      </c>
      <c r="DV37" s="1147">
        <v>22.69426</v>
      </c>
      <c r="DW37" s="1147">
        <v>0</v>
      </c>
      <c r="DX37" s="1147">
        <v>37.149480000000004</v>
      </c>
      <c r="DY37" s="1147">
        <v>0</v>
      </c>
      <c r="DZ37" s="1147">
        <v>47.027550000000005</v>
      </c>
      <c r="EA37" s="1147">
        <v>0</v>
      </c>
      <c r="EB37" s="1147">
        <v>97.614369999999994</v>
      </c>
      <c r="EC37" s="1147">
        <v>0</v>
      </c>
      <c r="ED37" s="1147">
        <v>0</v>
      </c>
      <c r="EE37" s="1147">
        <v>0</v>
      </c>
      <c r="EF37" s="1147">
        <v>0</v>
      </c>
      <c r="EG37" s="1147">
        <v>0</v>
      </c>
      <c r="EH37" s="1147">
        <v>0</v>
      </c>
      <c r="EI37" s="1147">
        <v>0</v>
      </c>
      <c r="EJ37" s="1147">
        <v>0</v>
      </c>
      <c r="EK37" s="1147"/>
      <c r="EL37" s="1147"/>
      <c r="EM37" s="1147"/>
      <c r="EN37" s="1147"/>
      <c r="EO37" s="1147"/>
      <c r="EP37" s="1147"/>
      <c r="EQ37" s="1147"/>
      <c r="ER37" s="1147"/>
      <c r="ES37" s="1147">
        <v>0</v>
      </c>
      <c r="ET37" s="1147">
        <v>0</v>
      </c>
      <c r="EU37" s="1147">
        <v>0</v>
      </c>
      <c r="EV37" s="1147">
        <v>0</v>
      </c>
      <c r="EW37" s="1147">
        <v>0</v>
      </c>
      <c r="EX37" s="1147">
        <v>0</v>
      </c>
      <c r="EY37" s="1147">
        <v>0</v>
      </c>
      <c r="EZ37" s="1147">
        <v>0</v>
      </c>
      <c r="FA37" s="1147">
        <v>0</v>
      </c>
      <c r="FB37" s="1147">
        <v>0</v>
      </c>
      <c r="FC37" s="1147">
        <v>0</v>
      </c>
      <c r="FD37" s="1147">
        <v>0</v>
      </c>
      <c r="FE37" s="1147">
        <v>0</v>
      </c>
      <c r="FF37" s="1147">
        <v>0</v>
      </c>
      <c r="FG37" s="1147"/>
      <c r="FH37" s="1147"/>
      <c r="FI37" s="1147"/>
      <c r="FJ37" s="1147"/>
      <c r="FK37" s="1147"/>
      <c r="FL37" s="1147"/>
      <c r="FM37" s="1147"/>
      <c r="FN37" s="1147"/>
      <c r="FO37" s="1147"/>
      <c r="FP37" s="1147"/>
      <c r="FQ37" s="1147"/>
      <c r="FR37" s="1147"/>
      <c r="FS37" s="1147"/>
      <c r="FT37" s="1147"/>
      <c r="FU37" s="1147"/>
      <c r="FV37" s="1147"/>
      <c r="FW37" s="1147"/>
      <c r="FX37" s="1147"/>
      <c r="FY37" s="1147"/>
      <c r="FZ37" s="1147"/>
      <c r="GA37" s="1147"/>
      <c r="GB37" s="1147"/>
      <c r="GC37" s="1147"/>
      <c r="GD37" s="1147"/>
      <c r="GE37" s="1147"/>
      <c r="GF37" s="1147"/>
      <c r="GG37" s="1147"/>
      <c r="GH37" s="1147"/>
      <c r="GI37" s="1147"/>
      <c r="GJ37" s="1147"/>
      <c r="GK37" s="1147"/>
      <c r="GL37" s="1147"/>
      <c r="GM37" s="1147"/>
      <c r="GN37" s="1147"/>
      <c r="GO37" s="1147"/>
      <c r="GP37" s="1147"/>
      <c r="GQ37" s="1147"/>
      <c r="GR37" s="1147"/>
      <c r="GS37" s="1147"/>
      <c r="GT37" s="1147"/>
      <c r="GU37" s="1147"/>
      <c r="GV37" s="1147"/>
      <c r="GW37" s="1147"/>
      <c r="GX37" s="1147"/>
      <c r="GY37" s="1147"/>
      <c r="GZ37" s="1147"/>
      <c r="HA37" s="1147"/>
      <c r="HB37" s="1147"/>
      <c r="HC37" s="1147"/>
      <c r="HD37" s="1147"/>
      <c r="HE37" s="1147"/>
      <c r="HF37" s="1147"/>
      <c r="HG37" s="1147"/>
      <c r="HH37" s="1147"/>
      <c r="HI37" s="1147"/>
      <c r="HJ37" s="1147"/>
      <c r="HK37" s="1147"/>
      <c r="HL37" s="1147"/>
      <c r="HM37" s="1147"/>
      <c r="HN37" s="1147"/>
      <c r="HO37" s="1147"/>
      <c r="HP37" s="1147"/>
      <c r="HQ37" s="1147"/>
      <c r="HR37" s="1147"/>
      <c r="HS37" s="1147"/>
      <c r="HT37" s="1147"/>
      <c r="HU37" s="1147"/>
      <c r="HV37" s="1147"/>
      <c r="HW37" s="1147"/>
      <c r="HX37" s="1147"/>
      <c r="HY37" s="1147"/>
      <c r="HZ37" s="1147"/>
      <c r="IA37" s="1147"/>
      <c r="IB37" s="1147"/>
      <c r="IC37" s="1147"/>
      <c r="ID37" s="1147"/>
      <c r="IE37" s="1147"/>
      <c r="IF37" s="1147"/>
      <c r="IG37" s="1147"/>
      <c r="IH37" s="1147"/>
      <c r="II37" s="1147"/>
      <c r="IJ37" s="1147"/>
      <c r="IK37" s="1147"/>
      <c r="IL37" s="1147"/>
      <c r="IM37" s="1147"/>
      <c r="IN37" s="1147"/>
      <c r="IO37" s="1147"/>
      <c r="IP37" s="1147"/>
      <c r="IQ37" s="1147"/>
      <c r="IR37" s="1147"/>
      <c r="IS37" s="1767" t="s">
        <v>3171</v>
      </c>
    </row>
    <row r="38" spans="1:253" ht="50.25" hidden="1" customHeight="1">
      <c r="A38" s="1652">
        <v>26</v>
      </c>
      <c r="B38" s="1767" t="s">
        <v>2330</v>
      </c>
      <c r="C38" s="1147">
        <v>0</v>
      </c>
      <c r="D38" s="1147">
        <v>0</v>
      </c>
      <c r="E38" s="1147">
        <v>0</v>
      </c>
      <c r="F38" s="1147">
        <v>0</v>
      </c>
      <c r="G38" s="1147">
        <v>0</v>
      </c>
      <c r="H38" s="1147">
        <v>0</v>
      </c>
      <c r="I38" s="1147">
        <v>0</v>
      </c>
      <c r="J38" s="1147">
        <v>0</v>
      </c>
      <c r="K38" s="1147">
        <v>0</v>
      </c>
      <c r="L38" s="1147">
        <v>0</v>
      </c>
      <c r="M38" s="1147">
        <v>0</v>
      </c>
      <c r="N38" s="1147">
        <v>0</v>
      </c>
      <c r="O38" s="1147">
        <v>0</v>
      </c>
      <c r="P38" s="1147">
        <v>0</v>
      </c>
      <c r="Q38" s="1147">
        <v>0</v>
      </c>
      <c r="R38" s="1147">
        <v>0</v>
      </c>
      <c r="S38" s="1147">
        <v>0</v>
      </c>
      <c r="T38" s="1147">
        <v>0</v>
      </c>
      <c r="U38" s="1147">
        <v>0</v>
      </c>
      <c r="V38" s="1147">
        <v>0</v>
      </c>
      <c r="W38" s="1147">
        <v>0</v>
      </c>
      <c r="X38" s="1147">
        <v>0</v>
      </c>
      <c r="Y38" s="1147">
        <v>0</v>
      </c>
      <c r="Z38" s="1147">
        <v>0</v>
      </c>
      <c r="AA38" s="1147">
        <v>0</v>
      </c>
      <c r="AB38" s="1147">
        <v>0</v>
      </c>
      <c r="AC38" s="1147">
        <v>0</v>
      </c>
      <c r="AD38" s="1147">
        <v>0</v>
      </c>
      <c r="AE38" s="1147">
        <v>0</v>
      </c>
      <c r="AF38" s="1147">
        <v>0</v>
      </c>
      <c r="AG38" s="1147">
        <v>0</v>
      </c>
      <c r="AH38" s="1147">
        <v>0</v>
      </c>
      <c r="AI38" s="1147">
        <v>0</v>
      </c>
      <c r="AJ38" s="1147">
        <v>0</v>
      </c>
      <c r="AK38" s="1147">
        <v>0</v>
      </c>
      <c r="AL38" s="1147">
        <v>0</v>
      </c>
      <c r="AM38" s="1147">
        <v>32.401769999999999</v>
      </c>
      <c r="AN38" s="1147">
        <v>6.91</v>
      </c>
      <c r="AO38" s="1147">
        <v>52.894690000000004</v>
      </c>
      <c r="AP38" s="1147">
        <v>6.91</v>
      </c>
      <c r="AQ38" s="1147">
        <v>68.015190000000004</v>
      </c>
      <c r="AR38" s="1147">
        <v>8.0150000000000006</v>
      </c>
      <c r="AS38" s="1147">
        <v>79.663710000000009</v>
      </c>
      <c r="AT38" s="1147">
        <v>8.0150000000000006</v>
      </c>
      <c r="AU38" s="1147">
        <v>92.115490000000008</v>
      </c>
      <c r="AV38" s="1147">
        <v>8.2317499999999999</v>
      </c>
      <c r="AW38" s="1147">
        <v>121.60100999999999</v>
      </c>
      <c r="AX38" s="1147">
        <v>8.2317499999999999</v>
      </c>
      <c r="AY38" s="1147">
        <v>9.14377</v>
      </c>
      <c r="AZ38" s="1147">
        <v>0</v>
      </c>
      <c r="BA38" s="1147">
        <v>45.142980000000001</v>
      </c>
      <c r="BB38" s="1147">
        <v>0</v>
      </c>
      <c r="BC38" s="1147">
        <v>62.87</v>
      </c>
      <c r="BD38" s="1147">
        <v>0</v>
      </c>
      <c r="BE38" s="1147">
        <v>85.248289999999997</v>
      </c>
      <c r="BF38" s="1147">
        <v>2.94902</v>
      </c>
      <c r="BG38" s="1147">
        <v>110.44972</v>
      </c>
      <c r="BH38" s="1147">
        <v>2.94902</v>
      </c>
      <c r="BI38" s="1147">
        <v>127.46372</v>
      </c>
      <c r="BJ38" s="1147">
        <v>3.2599499999999999</v>
      </c>
      <c r="BK38" s="1147">
        <v>150.02312000000001</v>
      </c>
      <c r="BL38" s="1147">
        <v>3.2599499999999999</v>
      </c>
      <c r="BM38" s="1147">
        <v>174.60026000000002</v>
      </c>
      <c r="BN38" s="1147">
        <v>3.2599499999999999</v>
      </c>
      <c r="BO38" s="1147">
        <v>196.57993999999999</v>
      </c>
      <c r="BP38" s="1147">
        <v>3.2599499999999999</v>
      </c>
      <c r="BQ38" s="1147">
        <v>220.99415999999999</v>
      </c>
      <c r="BR38" s="1147">
        <v>3.2599499999999999</v>
      </c>
      <c r="BS38" s="1147">
        <v>238.54531</v>
      </c>
      <c r="BT38" s="1147">
        <v>3.2599499999999999</v>
      </c>
      <c r="BU38" s="1147">
        <v>262.74412999999998</v>
      </c>
      <c r="BV38" s="1147">
        <v>3.2599499999999999</v>
      </c>
      <c r="BW38" s="1147">
        <v>9.7639399999999998</v>
      </c>
      <c r="BX38" s="1147">
        <v>0</v>
      </c>
      <c r="BY38" s="1147">
        <v>35.57132</v>
      </c>
      <c r="BZ38" s="1147">
        <v>0.90024999999999999</v>
      </c>
      <c r="CA38" s="1147">
        <v>79.446070000000006</v>
      </c>
      <c r="CB38" s="1147">
        <v>0.90024999999999999</v>
      </c>
      <c r="CC38" s="1147">
        <v>127.79435000000001</v>
      </c>
      <c r="CD38" s="1147">
        <v>0.90024999999999999</v>
      </c>
      <c r="CE38" s="1147">
        <v>181.43955</v>
      </c>
      <c r="CF38" s="1147">
        <v>0.90024999999999999</v>
      </c>
      <c r="CG38" s="1147">
        <v>229.22848999999999</v>
      </c>
      <c r="CH38" s="1147">
        <v>1.20465</v>
      </c>
      <c r="CI38" s="1147">
        <v>300.18251000000004</v>
      </c>
      <c r="CJ38" s="1147">
        <v>1.20465</v>
      </c>
      <c r="CK38" s="1147">
        <v>352.25569999999999</v>
      </c>
      <c r="CL38" s="1147">
        <v>1.20465</v>
      </c>
      <c r="CM38" s="1147">
        <v>403.58033</v>
      </c>
      <c r="CN38" s="1147">
        <v>1.20465</v>
      </c>
      <c r="CO38" s="1147">
        <v>466.22674000000001</v>
      </c>
      <c r="CP38" s="1147">
        <v>1.5496500000000002</v>
      </c>
      <c r="CQ38" s="1147">
        <v>510.16871000000003</v>
      </c>
      <c r="CR38" s="1147">
        <v>1.5496500000000002</v>
      </c>
      <c r="CS38" s="1147">
        <v>546.17240000000004</v>
      </c>
      <c r="CT38" s="1147">
        <v>1.5496500000000002</v>
      </c>
      <c r="CU38" s="1147">
        <v>121.44628999999999</v>
      </c>
      <c r="CV38" s="1147">
        <v>0</v>
      </c>
      <c r="CW38" s="1147">
        <v>184.60417999999999</v>
      </c>
      <c r="CX38" s="1147">
        <v>0</v>
      </c>
      <c r="CY38" s="1147">
        <v>246.87079</v>
      </c>
      <c r="CZ38" s="1147">
        <v>0</v>
      </c>
      <c r="DA38" s="1147">
        <v>335.83102000000002</v>
      </c>
      <c r="DB38" s="1147">
        <v>0</v>
      </c>
      <c r="DC38" s="1147">
        <v>440.12276000000003</v>
      </c>
      <c r="DD38" s="1147">
        <v>0</v>
      </c>
      <c r="DE38" s="1147">
        <v>624.34874000000002</v>
      </c>
      <c r="DF38" s="1147">
        <v>4.1843000000000004</v>
      </c>
      <c r="DG38" s="1147">
        <v>821.69794999999999</v>
      </c>
      <c r="DH38" s="1147">
        <v>7.5232999999999999</v>
      </c>
      <c r="DI38" s="1147">
        <v>1030.36655</v>
      </c>
      <c r="DJ38" s="1147">
        <v>10.1183</v>
      </c>
      <c r="DK38" s="1147">
        <v>1252.6461000000002</v>
      </c>
      <c r="DL38" s="1147">
        <v>12.343299999999999</v>
      </c>
      <c r="DM38" s="1147">
        <v>1385.5873999999999</v>
      </c>
      <c r="DN38" s="1147">
        <v>22.258299999999998</v>
      </c>
      <c r="DO38" s="1147">
        <v>1518.60032</v>
      </c>
      <c r="DP38" s="1147">
        <v>33.224299999999999</v>
      </c>
      <c r="DQ38" s="1147">
        <v>1671.1081200000001</v>
      </c>
      <c r="DR38" s="1147">
        <v>49.093300000000006</v>
      </c>
      <c r="DS38" s="1147">
        <v>122.84003</v>
      </c>
      <c r="DT38" s="1147">
        <v>23.925000000000001</v>
      </c>
      <c r="DU38" s="1147">
        <v>294.49672999999996</v>
      </c>
      <c r="DV38" s="1147">
        <v>31.356000000000002</v>
      </c>
      <c r="DW38" s="1147">
        <v>438.50209000000001</v>
      </c>
      <c r="DX38" s="1147">
        <v>60.749970000000005</v>
      </c>
      <c r="DY38" s="1147">
        <v>654.29741999999999</v>
      </c>
      <c r="DZ38" s="1147">
        <v>89.837670000000003</v>
      </c>
      <c r="EA38" s="1147">
        <v>817.27958999999998</v>
      </c>
      <c r="EB38" s="1147">
        <v>105.82577000000001</v>
      </c>
      <c r="EC38" s="1147">
        <v>1025.6433999999999</v>
      </c>
      <c r="ED38" s="1147">
        <v>138.10202999999998</v>
      </c>
      <c r="EE38" s="1147">
        <v>1228.9081799999999</v>
      </c>
      <c r="EF38" s="1147">
        <v>177.80635999999998</v>
      </c>
      <c r="EG38" s="1147">
        <v>1563.22966</v>
      </c>
      <c r="EH38" s="1147">
        <v>232.69685999999999</v>
      </c>
      <c r="EI38" s="1147">
        <v>1756.46552</v>
      </c>
      <c r="EJ38" s="1147">
        <v>284.51201000000003</v>
      </c>
      <c r="EK38" s="1147">
        <v>1967.47316</v>
      </c>
      <c r="EL38" s="1147">
        <v>322.07501000000002</v>
      </c>
      <c r="EM38" s="1147">
        <v>2213.2882</v>
      </c>
      <c r="EN38" s="1147">
        <v>357.52100999999999</v>
      </c>
      <c r="EO38" s="1147">
        <v>2509.3546799999999</v>
      </c>
      <c r="EP38" s="1147">
        <v>422.37101000000001</v>
      </c>
      <c r="EQ38" s="1147">
        <v>147.51150999999999</v>
      </c>
      <c r="ER38" s="1147">
        <v>35.400889999999997</v>
      </c>
      <c r="ES38" s="1147">
        <v>336.59217000000001</v>
      </c>
      <c r="ET38" s="1147">
        <v>66.222890000000007</v>
      </c>
      <c r="EU38" s="1147">
        <v>549.94161999999994</v>
      </c>
      <c r="EV38" s="1147">
        <v>87.335890000000006</v>
      </c>
      <c r="EW38" s="1147">
        <v>785.76823000000002</v>
      </c>
      <c r="EX38" s="1147">
        <v>134.73188999999999</v>
      </c>
      <c r="EY38" s="1147">
        <v>993.11243999999999</v>
      </c>
      <c r="EZ38" s="1147">
        <v>170.90615</v>
      </c>
      <c r="FA38" s="1147">
        <v>1228.0506700000001</v>
      </c>
      <c r="FB38" s="1147">
        <v>222.36314999999999</v>
      </c>
      <c r="FC38" s="1147">
        <v>1407.8040100000001</v>
      </c>
      <c r="FD38" s="1147">
        <v>280.38215000000002</v>
      </c>
      <c r="FE38" s="1147">
        <v>1752.9448299999999</v>
      </c>
      <c r="FF38" s="1147">
        <v>401.16908999999998</v>
      </c>
      <c r="FG38" s="1147">
        <v>1951.96306</v>
      </c>
      <c r="FH38" s="1147">
        <v>465.64609000000002</v>
      </c>
      <c r="FI38" s="1147">
        <v>2179.9828900000002</v>
      </c>
      <c r="FJ38" s="1147">
        <v>533.39188999999999</v>
      </c>
      <c r="FK38" s="1147">
        <v>2332.5853200000001</v>
      </c>
      <c r="FL38" s="1147">
        <v>606.98726999999997</v>
      </c>
      <c r="FM38" s="1147">
        <v>143.46218999999999</v>
      </c>
      <c r="FN38" s="1147">
        <v>59.233969999999999</v>
      </c>
      <c r="FO38" s="1147">
        <v>400.93437</v>
      </c>
      <c r="FP38" s="1147">
        <v>129.05611999999999</v>
      </c>
      <c r="FQ38" s="1147">
        <v>659.65823999999998</v>
      </c>
      <c r="FR38" s="1147">
        <v>191.36025000000001</v>
      </c>
      <c r="FS38" s="1147">
        <v>967.99330000000009</v>
      </c>
      <c r="FT38" s="1147">
        <v>257.20332999999999</v>
      </c>
      <c r="FU38" s="1147">
        <v>1281.2086999999999</v>
      </c>
      <c r="FV38" s="1147">
        <v>345.07211999999998</v>
      </c>
      <c r="FW38" s="1147">
        <v>1497.7705900000001</v>
      </c>
      <c r="FX38" s="1147">
        <v>410.15348</v>
      </c>
      <c r="FY38" s="1147">
        <v>1725.2094</v>
      </c>
      <c r="FZ38" s="1147">
        <v>513.45176000000004</v>
      </c>
      <c r="GA38" s="1147">
        <v>1938.2452000000001</v>
      </c>
      <c r="GB38" s="1147">
        <v>624.40961000000004</v>
      </c>
      <c r="GC38" s="1147">
        <v>2126.0997000000002</v>
      </c>
      <c r="GD38" s="1147">
        <v>689.96649000000002</v>
      </c>
      <c r="GE38" s="1147">
        <v>2316.26296</v>
      </c>
      <c r="GF38" s="1147">
        <v>837.22312999999997</v>
      </c>
      <c r="GG38" s="1147">
        <v>2507.52135</v>
      </c>
      <c r="GH38" s="1147">
        <v>1002.53518</v>
      </c>
      <c r="GI38" s="1147">
        <v>2536.4969500000002</v>
      </c>
      <c r="GJ38" s="1147">
        <v>1117.5007000000001</v>
      </c>
      <c r="GK38" s="1147">
        <v>0</v>
      </c>
      <c r="GL38" s="1147">
        <v>2.7492100000000002</v>
      </c>
      <c r="GM38" s="1147">
        <v>0</v>
      </c>
      <c r="GN38" s="1147">
        <v>17.723700000000001</v>
      </c>
      <c r="GO38" s="1147">
        <v>0</v>
      </c>
      <c r="GP38" s="1147">
        <v>17.723700000000001</v>
      </c>
      <c r="GQ38" s="1147">
        <v>0</v>
      </c>
      <c r="GR38" s="1147">
        <v>17.723700000000001</v>
      </c>
      <c r="GS38" s="1147">
        <v>0</v>
      </c>
      <c r="GT38" s="1147">
        <v>17.723700000000001</v>
      </c>
      <c r="GU38" s="1147">
        <v>0</v>
      </c>
      <c r="GV38" s="1147">
        <v>17.723700000000001</v>
      </c>
      <c r="GW38" s="1147">
        <v>0</v>
      </c>
      <c r="GX38" s="1147">
        <v>17.723700000000001</v>
      </c>
      <c r="GY38" s="1147">
        <v>0</v>
      </c>
      <c r="GZ38" s="1147">
        <v>17.723700000000001</v>
      </c>
      <c r="HA38" s="1147">
        <v>0</v>
      </c>
      <c r="HB38" s="1147">
        <v>17.723700000000001</v>
      </c>
      <c r="HC38" s="1147">
        <v>0</v>
      </c>
      <c r="HD38" s="1147">
        <v>17.723700000000001</v>
      </c>
      <c r="HE38" s="1147">
        <v>0</v>
      </c>
      <c r="HF38" s="1147">
        <v>17.723700000000001</v>
      </c>
      <c r="HG38" s="1147">
        <v>0</v>
      </c>
      <c r="HH38" s="1147">
        <v>17.723700000000001</v>
      </c>
      <c r="HI38" s="1147">
        <v>0</v>
      </c>
      <c r="HJ38" s="1147">
        <v>0</v>
      </c>
      <c r="HK38" s="1147">
        <v>0</v>
      </c>
      <c r="HL38" s="1147">
        <v>0</v>
      </c>
      <c r="HM38" s="1147">
        <v>0</v>
      </c>
      <c r="HN38" s="1147">
        <v>0</v>
      </c>
      <c r="HO38" s="1147">
        <v>0</v>
      </c>
      <c r="HP38" s="1147">
        <v>0</v>
      </c>
      <c r="HQ38" s="1147">
        <v>0</v>
      </c>
      <c r="HR38" s="1147">
        <v>0</v>
      </c>
      <c r="HS38" s="1147">
        <v>0</v>
      </c>
      <c r="HT38" s="1147">
        <v>0</v>
      </c>
      <c r="HU38" s="1147">
        <v>0</v>
      </c>
      <c r="HV38" s="1147">
        <v>0</v>
      </c>
      <c r="HW38" s="1147">
        <v>0</v>
      </c>
      <c r="HX38" s="1147">
        <v>0</v>
      </c>
      <c r="HY38" s="1147">
        <v>0</v>
      </c>
      <c r="HZ38" s="1147">
        <v>0</v>
      </c>
      <c r="IA38" s="1147">
        <v>0</v>
      </c>
      <c r="IB38" s="1147">
        <v>0</v>
      </c>
      <c r="IC38" s="1147">
        <v>0</v>
      </c>
      <c r="ID38" s="1147">
        <v>0</v>
      </c>
      <c r="IE38" s="1147">
        <v>0</v>
      </c>
      <c r="IF38" s="1147">
        <v>0</v>
      </c>
      <c r="IG38" s="1147">
        <v>0</v>
      </c>
      <c r="IH38" s="1147">
        <v>0</v>
      </c>
      <c r="II38" s="1147">
        <v>0</v>
      </c>
      <c r="IJ38" s="1147">
        <v>0</v>
      </c>
      <c r="IK38" s="1147">
        <v>0</v>
      </c>
      <c r="IL38" s="1147">
        <v>0</v>
      </c>
      <c r="IM38" s="1147">
        <v>0</v>
      </c>
      <c r="IN38" s="1147">
        <v>0</v>
      </c>
      <c r="IO38" s="1147">
        <v>0</v>
      </c>
      <c r="IP38" s="1147">
        <v>0</v>
      </c>
      <c r="IQ38" s="1147">
        <v>0</v>
      </c>
      <c r="IR38" s="1147">
        <v>0</v>
      </c>
      <c r="IS38" s="1767" t="s">
        <v>3154</v>
      </c>
    </row>
    <row r="39" spans="1:253" ht="63.75" hidden="1" customHeight="1">
      <c r="A39" s="1652">
        <v>27</v>
      </c>
      <c r="B39" s="1767" t="s">
        <v>2332</v>
      </c>
      <c r="C39" s="1147">
        <v>141.34788</v>
      </c>
      <c r="D39" s="1147">
        <v>0.68555999999999995</v>
      </c>
      <c r="E39" s="1147">
        <v>149.15188000000001</v>
      </c>
      <c r="F39" s="1147">
        <v>2.5487600000000001</v>
      </c>
      <c r="G39" s="1147">
        <v>145.54888</v>
      </c>
      <c r="H39" s="1147">
        <v>2.7187600000000001</v>
      </c>
      <c r="I39" s="1147">
        <v>146.85488000000001</v>
      </c>
      <c r="J39" s="1147">
        <v>2.7187600000000001</v>
      </c>
      <c r="K39" s="1147">
        <v>153.86385999999999</v>
      </c>
      <c r="L39" s="1147">
        <v>3.90876</v>
      </c>
      <c r="M39" s="1147">
        <v>1347.4095</v>
      </c>
      <c r="N39" s="1147">
        <v>14.032860000000001</v>
      </c>
      <c r="O39" s="1147">
        <v>2109.39777</v>
      </c>
      <c r="P39" s="1147">
        <v>31.063279999999999</v>
      </c>
      <c r="Q39" s="1147">
        <v>2248.4566099999997</v>
      </c>
      <c r="R39" s="1147">
        <v>54.252189999999999</v>
      </c>
      <c r="S39" s="1147">
        <v>2307.7589500000004</v>
      </c>
      <c r="T39" s="1147">
        <v>72.411720000000003</v>
      </c>
      <c r="U39" s="1147">
        <v>2354.8725899999999</v>
      </c>
      <c r="V39" s="1147">
        <v>126.51475000000001</v>
      </c>
      <c r="W39" s="1147">
        <v>2453.6478700000002</v>
      </c>
      <c r="X39" s="1147">
        <v>165.30703</v>
      </c>
      <c r="Y39" s="1147">
        <v>2637.6515199999999</v>
      </c>
      <c r="Z39" s="1147">
        <v>264.01426000000004</v>
      </c>
      <c r="AA39" s="1147">
        <v>157.3501</v>
      </c>
      <c r="AB39" s="1147">
        <v>16.348969999999998</v>
      </c>
      <c r="AC39" s="1147">
        <v>362.96959999999996</v>
      </c>
      <c r="AD39" s="1147">
        <v>56.608150000000002</v>
      </c>
      <c r="AE39" s="1147">
        <v>3246.0413799999997</v>
      </c>
      <c r="AF39" s="1147">
        <v>71.026429999999991</v>
      </c>
      <c r="AG39" s="1147">
        <v>3566.7099500000004</v>
      </c>
      <c r="AH39" s="1147">
        <v>148.50881000000001</v>
      </c>
      <c r="AI39" s="1147">
        <v>4272.4927400000006</v>
      </c>
      <c r="AJ39" s="1147">
        <v>202.73830999999998</v>
      </c>
      <c r="AK39" s="1147">
        <v>5256.2772599999998</v>
      </c>
      <c r="AL39" s="1147">
        <v>1726.52124</v>
      </c>
      <c r="AM39" s="1147">
        <v>5580.1125899999997</v>
      </c>
      <c r="AN39" s="1147">
        <v>396.22853999999995</v>
      </c>
      <c r="AO39" s="1147">
        <v>6231.5394299999998</v>
      </c>
      <c r="AP39" s="1147">
        <v>539.33483000000001</v>
      </c>
      <c r="AQ39" s="1147">
        <v>6649.6426200000005</v>
      </c>
      <c r="AR39" s="1147">
        <v>702.16804999999999</v>
      </c>
      <c r="AS39" s="1147">
        <v>8150.27664</v>
      </c>
      <c r="AT39" s="1147">
        <v>832.00281000000007</v>
      </c>
      <c r="AU39" s="1147">
        <v>8775.7259600000016</v>
      </c>
      <c r="AV39" s="1147">
        <v>1001.85778</v>
      </c>
      <c r="AW39" s="1147">
        <v>9505.1758599999994</v>
      </c>
      <c r="AX39" s="1147">
        <v>1154.5460399999999</v>
      </c>
      <c r="AY39" s="1147">
        <v>427.98732000000001</v>
      </c>
      <c r="AZ39" s="1147">
        <v>289.54066</v>
      </c>
      <c r="BA39" s="1147">
        <v>914.17912000000001</v>
      </c>
      <c r="BB39" s="1147">
        <v>468.99796000000003</v>
      </c>
      <c r="BC39" s="1147">
        <v>1422.53</v>
      </c>
      <c r="BD39" s="1147">
        <v>706.75</v>
      </c>
      <c r="BE39" s="1147">
        <v>2589.9583199999997</v>
      </c>
      <c r="BF39" s="1147">
        <v>999.34384999999997</v>
      </c>
      <c r="BG39" s="1147">
        <v>2936.9149400000001</v>
      </c>
      <c r="BH39" s="1147">
        <v>1345.59283</v>
      </c>
      <c r="BI39" s="1147">
        <v>3332.1902799999998</v>
      </c>
      <c r="BJ39" s="1147">
        <v>1563.0168600000002</v>
      </c>
      <c r="BK39" s="1147">
        <v>3859.5555099999997</v>
      </c>
      <c r="BL39" s="1147">
        <v>1892.3062399999999</v>
      </c>
      <c r="BM39" s="1147">
        <v>4434.09782</v>
      </c>
      <c r="BN39" s="1147">
        <v>2114.3202200000001</v>
      </c>
      <c r="BO39" s="1147">
        <v>4902.0729800000008</v>
      </c>
      <c r="BP39" s="1147">
        <v>2434.3648199999998</v>
      </c>
      <c r="BQ39" s="1147">
        <v>5243.4988800000001</v>
      </c>
      <c r="BR39" s="1147">
        <v>2725.9726900000001</v>
      </c>
      <c r="BS39" s="1147">
        <v>5661.4722400000001</v>
      </c>
      <c r="BT39" s="1147">
        <v>3048.9768300000001</v>
      </c>
      <c r="BU39" s="1147">
        <v>5836.8337699999993</v>
      </c>
      <c r="BV39" s="1147">
        <v>3327.6202000000003</v>
      </c>
      <c r="BW39" s="1147">
        <v>203.63526000000002</v>
      </c>
      <c r="BX39" s="1147">
        <v>188.68552</v>
      </c>
      <c r="BY39" s="1147">
        <v>384.88141999999999</v>
      </c>
      <c r="BZ39" s="1147">
        <v>374.46375999999998</v>
      </c>
      <c r="CA39" s="1147">
        <v>730.19981000000007</v>
      </c>
      <c r="CB39" s="1147">
        <v>528.17376000000002</v>
      </c>
      <c r="CC39" s="1147">
        <v>1229.29748</v>
      </c>
      <c r="CD39" s="1147">
        <v>699.07746999999995</v>
      </c>
      <c r="CE39" s="1147">
        <v>1866.6668999999999</v>
      </c>
      <c r="CF39" s="1147">
        <v>845.84266000000002</v>
      </c>
      <c r="CG39" s="1147">
        <v>2675.4525099999996</v>
      </c>
      <c r="CH39" s="1147">
        <v>941.71983999999998</v>
      </c>
      <c r="CI39" s="1147">
        <v>3526.5419400000001</v>
      </c>
      <c r="CJ39" s="1147">
        <v>1037.5145</v>
      </c>
      <c r="CK39" s="1147">
        <v>4321.2436500000003</v>
      </c>
      <c r="CL39" s="1147">
        <v>1209.9638600000001</v>
      </c>
      <c r="CM39" s="1147">
        <v>5063.2159499999998</v>
      </c>
      <c r="CN39" s="1147">
        <v>1336.79124</v>
      </c>
      <c r="CO39" s="1147">
        <v>5063.2159499999998</v>
      </c>
      <c r="CP39" s="1147">
        <v>1336.79124</v>
      </c>
      <c r="CQ39" s="1147">
        <v>6558.20003</v>
      </c>
      <c r="CR39" s="1147">
        <v>1681.8945900000001</v>
      </c>
      <c r="CS39" s="1147">
        <v>7222.0112800000006</v>
      </c>
      <c r="CT39" s="1147">
        <v>1894.4679699999999</v>
      </c>
      <c r="CU39" s="1147">
        <v>807.22966000000008</v>
      </c>
      <c r="CV39" s="1147">
        <v>173.71929999999998</v>
      </c>
      <c r="CW39" s="1147">
        <v>1298.6393799999998</v>
      </c>
      <c r="CX39" s="1147">
        <v>417.20657</v>
      </c>
      <c r="CY39" s="1147">
        <v>1844.9422099999999</v>
      </c>
      <c r="CZ39" s="1147">
        <v>581.04704000000004</v>
      </c>
      <c r="DA39" s="1147">
        <v>2367.7634600000001</v>
      </c>
      <c r="DB39" s="1147">
        <v>775.37386000000004</v>
      </c>
      <c r="DC39" s="1147">
        <v>3315.4880400000002</v>
      </c>
      <c r="DD39" s="1147">
        <v>924.15413999999998</v>
      </c>
      <c r="DE39" s="1147">
        <v>4206.6638899999998</v>
      </c>
      <c r="DF39" s="1147">
        <v>1137.77739</v>
      </c>
      <c r="DG39" s="1147">
        <v>5042.8367199999993</v>
      </c>
      <c r="DH39" s="1147">
        <v>1370.64399</v>
      </c>
      <c r="DI39" s="1147">
        <v>5790.0736100000004</v>
      </c>
      <c r="DJ39" s="1147">
        <v>1556.5294799999999</v>
      </c>
      <c r="DK39" s="1147">
        <v>6627.4094400000004</v>
      </c>
      <c r="DL39" s="1147">
        <v>1749.4156200000002</v>
      </c>
      <c r="DM39" s="1147">
        <v>7481.1053099999999</v>
      </c>
      <c r="DN39" s="1147">
        <v>2050.3250900000003</v>
      </c>
      <c r="DO39" s="1147">
        <v>8181.4772999999996</v>
      </c>
      <c r="DP39" s="1147">
        <v>2234.2731400000002</v>
      </c>
      <c r="DQ39" s="1147">
        <v>9044.9548699999996</v>
      </c>
      <c r="DR39" s="1147">
        <v>2442.9103100000002</v>
      </c>
      <c r="DS39" s="1147">
        <v>870.98305000000005</v>
      </c>
      <c r="DT39" s="1147">
        <v>288.53987999999998</v>
      </c>
      <c r="DU39" s="1147">
        <v>1803.9242899999999</v>
      </c>
      <c r="DV39" s="1147">
        <v>600.59746999999993</v>
      </c>
      <c r="DW39" s="1147">
        <v>2681.2152299999998</v>
      </c>
      <c r="DX39" s="1147">
        <v>850.06702000000007</v>
      </c>
      <c r="DY39" s="1147">
        <v>3497.39381</v>
      </c>
      <c r="DZ39" s="1147">
        <v>1239.37663</v>
      </c>
      <c r="EA39" s="1147">
        <v>4428.0069599999997</v>
      </c>
      <c r="EB39" s="1147">
        <v>1464.6732</v>
      </c>
      <c r="EC39" s="1147">
        <v>5304.8152800000007</v>
      </c>
      <c r="ED39" s="1147">
        <v>1789.80061</v>
      </c>
      <c r="EE39" s="1147">
        <v>6264.4035899999999</v>
      </c>
      <c r="EF39" s="1147">
        <v>2108.9316600000002</v>
      </c>
      <c r="EG39" s="1147">
        <v>7262.7110999999995</v>
      </c>
      <c r="EH39" s="1147">
        <v>2507.0811400000002</v>
      </c>
      <c r="EI39" s="1147">
        <v>7989.4599400000006</v>
      </c>
      <c r="EJ39" s="1147">
        <v>3003.4801299999999</v>
      </c>
      <c r="EK39" s="1147">
        <v>8652.0715600000003</v>
      </c>
      <c r="EL39" s="1147">
        <v>3400.6242200000002</v>
      </c>
      <c r="EM39" s="1147">
        <v>9242.5809000000008</v>
      </c>
      <c r="EN39" s="1147">
        <v>3685.4029399999999</v>
      </c>
      <c r="EO39" s="1147">
        <v>9776.4138500000008</v>
      </c>
      <c r="EP39" s="1147">
        <v>4089.2361299999998</v>
      </c>
      <c r="EQ39" s="1147">
        <v>486.43419999999998</v>
      </c>
      <c r="ER39" s="1147">
        <v>367.19961999999998</v>
      </c>
      <c r="ES39" s="1147">
        <v>977.86620000000005</v>
      </c>
      <c r="ET39" s="1147">
        <v>790.55633</v>
      </c>
      <c r="EU39" s="1147">
        <v>1448.0483999999999</v>
      </c>
      <c r="EV39" s="1147">
        <v>1035.528</v>
      </c>
      <c r="EW39" s="1147">
        <v>2034.70949</v>
      </c>
      <c r="EX39" s="1147">
        <v>1454.1623</v>
      </c>
      <c r="EY39" s="1147">
        <v>2753.45199</v>
      </c>
      <c r="EZ39" s="1147">
        <v>1757.33304</v>
      </c>
      <c r="FA39" s="1147">
        <v>3410.5712600000002</v>
      </c>
      <c r="FB39" s="1147">
        <v>2188.0657200000001</v>
      </c>
      <c r="FC39" s="1147">
        <v>4081.3647799999999</v>
      </c>
      <c r="FD39" s="1147">
        <v>2486.8434900000002</v>
      </c>
      <c r="FE39" s="1147">
        <v>5668.7191000000003</v>
      </c>
      <c r="FF39" s="1147">
        <v>3104.1727299999998</v>
      </c>
      <c r="FG39" s="1147">
        <v>6402.1424999999999</v>
      </c>
      <c r="FH39" s="1147">
        <v>3413.6489099999999</v>
      </c>
      <c r="FI39" s="1147">
        <v>7127.8143700000001</v>
      </c>
      <c r="FJ39" s="1147">
        <v>3648.4460600000002</v>
      </c>
      <c r="FK39" s="1147">
        <v>7936.4983700000003</v>
      </c>
      <c r="FL39" s="1147">
        <v>3822.7055700000001</v>
      </c>
      <c r="FM39" s="1147">
        <v>774.51893999999993</v>
      </c>
      <c r="FN39" s="1147">
        <v>294.83843000000002</v>
      </c>
      <c r="FO39" s="1147">
        <v>1678.24728</v>
      </c>
      <c r="FP39" s="1147">
        <v>608.16408000000001</v>
      </c>
      <c r="FQ39" s="1147">
        <v>2542.97451</v>
      </c>
      <c r="FR39" s="1147">
        <v>872.60215000000005</v>
      </c>
      <c r="FS39" s="1147">
        <v>3560.1837700000001</v>
      </c>
      <c r="FT39" s="1147">
        <v>1223.8385800000001</v>
      </c>
      <c r="FU39" s="1147">
        <v>4298.1357699999999</v>
      </c>
      <c r="FV39" s="1147">
        <v>1498.72506</v>
      </c>
      <c r="FW39" s="1147">
        <v>4301.1119000000008</v>
      </c>
      <c r="FX39" s="1147">
        <v>1785.4818400000001</v>
      </c>
      <c r="FY39" s="1147">
        <v>4301.1119000000008</v>
      </c>
      <c r="FZ39" s="1147">
        <v>2041.45445</v>
      </c>
      <c r="GA39" s="1147">
        <v>4301.9365699999998</v>
      </c>
      <c r="GB39" s="1147">
        <v>2319.96074</v>
      </c>
      <c r="GC39" s="1147">
        <v>4302.23657</v>
      </c>
      <c r="GD39" s="1147">
        <v>2599.40814</v>
      </c>
      <c r="GE39" s="1147">
        <v>4302.23657</v>
      </c>
      <c r="GF39" s="1147">
        <v>2879.8480399999999</v>
      </c>
      <c r="GG39" s="1147">
        <v>4302.23657</v>
      </c>
      <c r="GH39" s="1147">
        <v>3143.5763299999999</v>
      </c>
      <c r="GI39" s="1147">
        <v>4302.23657</v>
      </c>
      <c r="GJ39" s="1147">
        <v>3374.3397999999997</v>
      </c>
      <c r="GK39" s="1147">
        <v>0</v>
      </c>
      <c r="GL39" s="1147">
        <v>197.62242999999998</v>
      </c>
      <c r="GM39" s="1147">
        <v>0</v>
      </c>
      <c r="GN39" s="1147">
        <v>397.16848999999996</v>
      </c>
      <c r="GO39" s="1147">
        <v>0</v>
      </c>
      <c r="GP39" s="1147">
        <v>600.54575</v>
      </c>
      <c r="GQ39" s="1147">
        <v>0</v>
      </c>
      <c r="GR39" s="1147">
        <v>800.77844999999991</v>
      </c>
      <c r="GS39" s="1147">
        <v>0</v>
      </c>
      <c r="GT39" s="1147">
        <v>909.45299</v>
      </c>
      <c r="GU39" s="1147">
        <v>0</v>
      </c>
      <c r="GV39" s="1147">
        <v>932.90418999999997</v>
      </c>
      <c r="GW39" s="1147">
        <v>0</v>
      </c>
      <c r="GX39" s="1147">
        <v>1031.54466</v>
      </c>
      <c r="GY39" s="1147">
        <v>0</v>
      </c>
      <c r="GZ39" s="1147">
        <v>1077.17751</v>
      </c>
      <c r="HA39" s="1147">
        <v>0</v>
      </c>
      <c r="HB39" s="1147">
        <v>1089.95334</v>
      </c>
      <c r="HC39" s="1147">
        <v>0</v>
      </c>
      <c r="HD39" s="1147">
        <v>1122.5634</v>
      </c>
      <c r="HE39" s="1147">
        <v>0</v>
      </c>
      <c r="HF39" s="1147">
        <v>1125.9884</v>
      </c>
      <c r="HG39" s="1147">
        <v>0</v>
      </c>
      <c r="HH39" s="1147">
        <v>1132.1523999999999</v>
      </c>
      <c r="HI39" s="1147">
        <v>0</v>
      </c>
      <c r="HJ39" s="1147">
        <v>0</v>
      </c>
      <c r="HK39" s="1147">
        <v>0</v>
      </c>
      <c r="HL39" s="1147">
        <v>0</v>
      </c>
      <c r="HM39" s="1147">
        <v>0</v>
      </c>
      <c r="HN39" s="1147">
        <v>0</v>
      </c>
      <c r="HO39" s="1147">
        <v>0</v>
      </c>
      <c r="HP39" s="1147">
        <v>0</v>
      </c>
      <c r="HQ39" s="1147">
        <v>0</v>
      </c>
      <c r="HR39" s="1147">
        <v>0</v>
      </c>
      <c r="HS39" s="1147">
        <v>0</v>
      </c>
      <c r="HT39" s="1147">
        <v>0</v>
      </c>
      <c r="HU39" s="1147">
        <v>0</v>
      </c>
      <c r="HV39" s="1147">
        <v>0</v>
      </c>
      <c r="HW39" s="1147">
        <v>0</v>
      </c>
      <c r="HX39" s="1147">
        <v>0</v>
      </c>
      <c r="HY39" s="1147">
        <v>0</v>
      </c>
      <c r="HZ39" s="1147">
        <v>0</v>
      </c>
      <c r="IA39" s="1147">
        <v>0</v>
      </c>
      <c r="IB39" s="1147">
        <v>0</v>
      </c>
      <c r="IC39" s="1147">
        <v>0</v>
      </c>
      <c r="ID39" s="1147">
        <v>0</v>
      </c>
      <c r="IE39" s="1147">
        <v>0</v>
      </c>
      <c r="IF39" s="1147">
        <v>0</v>
      </c>
      <c r="IG39" s="1147">
        <v>0</v>
      </c>
      <c r="IH39" s="1147">
        <v>0</v>
      </c>
      <c r="II39" s="1147">
        <v>0</v>
      </c>
      <c r="IJ39" s="1147">
        <v>0</v>
      </c>
      <c r="IK39" s="1147">
        <v>0</v>
      </c>
      <c r="IL39" s="1147">
        <v>0</v>
      </c>
      <c r="IM39" s="1147">
        <v>0</v>
      </c>
      <c r="IN39" s="1147">
        <v>0</v>
      </c>
      <c r="IO39" s="1147">
        <v>0</v>
      </c>
      <c r="IP39" s="1147">
        <v>0</v>
      </c>
      <c r="IQ39" s="1147">
        <v>0</v>
      </c>
      <c r="IR39" s="1147">
        <v>0</v>
      </c>
      <c r="IS39" s="1767" t="s">
        <v>3151</v>
      </c>
    </row>
    <row r="40" spans="1:253" ht="54" hidden="1" customHeight="1">
      <c r="A40" s="1652">
        <v>28</v>
      </c>
      <c r="B40" s="1767" t="s">
        <v>2333</v>
      </c>
      <c r="C40" s="1147">
        <v>53.407809999999998</v>
      </c>
      <c r="D40" s="1147">
        <v>74.833839999999995</v>
      </c>
      <c r="E40" s="1147">
        <v>113.96973</v>
      </c>
      <c r="F40" s="1147">
        <v>132.60004000000001</v>
      </c>
      <c r="G40" s="1147">
        <v>161.48830999999998</v>
      </c>
      <c r="H40" s="1147">
        <v>190.92714000000001</v>
      </c>
      <c r="I40" s="1147">
        <v>223.03832</v>
      </c>
      <c r="J40" s="1147">
        <v>303.09446999999994</v>
      </c>
      <c r="K40" s="1147">
        <v>431.65974</v>
      </c>
      <c r="L40" s="1147">
        <v>367.39694000000003</v>
      </c>
      <c r="M40" s="1147">
        <v>627.33076000000005</v>
      </c>
      <c r="N40" s="1147">
        <v>400.92761999999999</v>
      </c>
      <c r="O40" s="1147">
        <v>676.33947999999998</v>
      </c>
      <c r="P40" s="1147">
        <v>460.71503000000001</v>
      </c>
      <c r="Q40" s="1147">
        <v>745.51906000000008</v>
      </c>
      <c r="R40" s="1147">
        <v>500.91740999999996</v>
      </c>
      <c r="S40" s="1147">
        <v>794.61545000000001</v>
      </c>
      <c r="T40" s="1147">
        <v>560.30781999999999</v>
      </c>
      <c r="U40" s="1147">
        <v>856.60367000000008</v>
      </c>
      <c r="V40" s="1147">
        <v>590.20742000000007</v>
      </c>
      <c r="W40" s="1147">
        <v>903.56899999999996</v>
      </c>
      <c r="X40" s="1147">
        <v>613.53316000000007</v>
      </c>
      <c r="Y40" s="1147">
        <v>941.36590000000001</v>
      </c>
      <c r="Z40" s="1147">
        <v>669.78</v>
      </c>
      <c r="AA40" s="1147">
        <v>62.590429999999998</v>
      </c>
      <c r="AB40" s="1147">
        <v>27.28153</v>
      </c>
      <c r="AC40" s="1147">
        <v>173.77785</v>
      </c>
      <c r="AD40" s="1147">
        <v>60.946589999999993</v>
      </c>
      <c r="AE40" s="1147">
        <v>222.28092999999998</v>
      </c>
      <c r="AF40" s="1147">
        <v>91.172420000000002</v>
      </c>
      <c r="AG40" s="1147">
        <v>374.35967999999997</v>
      </c>
      <c r="AH40" s="1147">
        <v>139.20762999999999</v>
      </c>
      <c r="AI40" s="1147">
        <v>579.75906000000009</v>
      </c>
      <c r="AJ40" s="1147">
        <v>148.61407</v>
      </c>
      <c r="AK40" s="1147">
        <v>824.91714000000002</v>
      </c>
      <c r="AL40" s="1147">
        <v>165.44614000000001</v>
      </c>
      <c r="AM40" s="1147">
        <v>929.77671999999995</v>
      </c>
      <c r="AN40" s="1147">
        <v>176.91185999999999</v>
      </c>
      <c r="AO40" s="1147">
        <v>1025.3651199999999</v>
      </c>
      <c r="AP40" s="1147">
        <v>188.63726</v>
      </c>
      <c r="AQ40" s="1147">
        <v>1075.77082</v>
      </c>
      <c r="AR40" s="1147">
        <v>212.91642999999999</v>
      </c>
      <c r="AS40" s="1147">
        <v>1163.0318300000001</v>
      </c>
      <c r="AT40" s="1147">
        <v>231.56260999999998</v>
      </c>
      <c r="AU40" s="1147">
        <v>1361.3481100000001</v>
      </c>
      <c r="AV40" s="1147">
        <v>263.73975000000002</v>
      </c>
      <c r="AW40" s="1147">
        <v>1299.2503300000001</v>
      </c>
      <c r="AX40" s="1147">
        <v>283.22109</v>
      </c>
      <c r="AY40" s="1147">
        <v>52.072189999999999</v>
      </c>
      <c r="AZ40" s="1147">
        <v>27.822749999999999</v>
      </c>
      <c r="BA40" s="1147">
        <v>119.53653999999999</v>
      </c>
      <c r="BB40" s="1147">
        <v>63.6952</v>
      </c>
      <c r="BC40" s="1147">
        <v>189.27</v>
      </c>
      <c r="BD40" s="1147">
        <v>77.84</v>
      </c>
      <c r="BE40" s="1147">
        <v>267.09146000000004</v>
      </c>
      <c r="BF40" s="1147">
        <v>106.98764</v>
      </c>
      <c r="BG40" s="1147">
        <v>421.19783000000001</v>
      </c>
      <c r="BH40" s="1147">
        <v>124.65091000000001</v>
      </c>
      <c r="BI40" s="1147">
        <v>486.43603000000002</v>
      </c>
      <c r="BJ40" s="1147">
        <v>135.03326000000001</v>
      </c>
      <c r="BK40" s="1147">
        <v>655.02707999999996</v>
      </c>
      <c r="BL40" s="1147">
        <v>145.12451000000001</v>
      </c>
      <c r="BM40" s="1147">
        <v>682.34311000000002</v>
      </c>
      <c r="BN40" s="1147">
        <v>147.30894000000001</v>
      </c>
      <c r="BO40" s="1147">
        <v>708.99957999999992</v>
      </c>
      <c r="BP40" s="1147">
        <v>156.00354000000002</v>
      </c>
      <c r="BQ40" s="1147">
        <v>782.70044999999993</v>
      </c>
      <c r="BR40" s="1147">
        <v>174.14010000000002</v>
      </c>
      <c r="BS40" s="1147">
        <v>865.23185000000001</v>
      </c>
      <c r="BT40" s="1147">
        <v>191.05937</v>
      </c>
      <c r="BU40" s="1147">
        <v>1024.4533900000001</v>
      </c>
      <c r="BV40" s="1147">
        <v>197.47606999999999</v>
      </c>
      <c r="BW40" s="1147">
        <v>60.369289999999999</v>
      </c>
      <c r="BX40" s="1147">
        <v>15.479899999999999</v>
      </c>
      <c r="BY40" s="1147">
        <v>120.54502000000001</v>
      </c>
      <c r="BZ40" s="1147">
        <v>21.193830000000002</v>
      </c>
      <c r="CA40" s="1147">
        <v>175.33708999999999</v>
      </c>
      <c r="CB40" s="1147">
        <v>22.043830000000003</v>
      </c>
      <c r="CC40" s="1147">
        <v>298.42946999999998</v>
      </c>
      <c r="CD40" s="1147">
        <v>40.264150000000001</v>
      </c>
      <c r="CE40" s="1147">
        <v>448.17232999999999</v>
      </c>
      <c r="CF40" s="1147">
        <v>57.804220000000001</v>
      </c>
      <c r="CG40" s="1147">
        <v>522.50585999999998</v>
      </c>
      <c r="CH40" s="1147">
        <v>135.28234</v>
      </c>
      <c r="CI40" s="1147">
        <v>615.69246999999996</v>
      </c>
      <c r="CJ40" s="1147">
        <v>157.47696999999999</v>
      </c>
      <c r="CK40" s="1147">
        <v>814.99595999999997</v>
      </c>
      <c r="CL40" s="1147">
        <v>162.79114000000001</v>
      </c>
      <c r="CM40" s="1147">
        <v>862.33477000000005</v>
      </c>
      <c r="CN40" s="1147">
        <v>187.70683</v>
      </c>
      <c r="CO40" s="1147">
        <v>918.70742000000007</v>
      </c>
      <c r="CP40" s="1147">
        <v>205.2338</v>
      </c>
      <c r="CQ40" s="1147">
        <v>1051.8969999999999</v>
      </c>
      <c r="CR40" s="1147">
        <v>220.25047000000001</v>
      </c>
      <c r="CS40" s="1147">
        <v>1140.1139900000001</v>
      </c>
      <c r="CT40" s="1147">
        <v>239.44653</v>
      </c>
      <c r="CU40" s="1147">
        <v>106.1194</v>
      </c>
      <c r="CV40" s="1147">
        <v>18.994330000000001</v>
      </c>
      <c r="CW40" s="1147">
        <v>258.69204999999999</v>
      </c>
      <c r="CX40" s="1147">
        <v>49.965019999999996</v>
      </c>
      <c r="CY40" s="1147">
        <v>348.56172999999995</v>
      </c>
      <c r="CZ40" s="1147">
        <v>62.073250000000002</v>
      </c>
      <c r="DA40" s="1147">
        <v>448.30051000000003</v>
      </c>
      <c r="DB40" s="1147">
        <v>68.144649999999999</v>
      </c>
      <c r="DC40" s="1147">
        <v>575.02429000000006</v>
      </c>
      <c r="DD40" s="1147">
        <v>78.429199999999994</v>
      </c>
      <c r="DE40" s="1147">
        <v>728.74424999999997</v>
      </c>
      <c r="DF40" s="1147">
        <v>119.52871</v>
      </c>
      <c r="DG40" s="1147">
        <v>920.42714999999998</v>
      </c>
      <c r="DH40" s="1147">
        <v>157.10485</v>
      </c>
      <c r="DI40" s="1147">
        <v>1072.1462300000001</v>
      </c>
      <c r="DJ40" s="1147">
        <v>185.24601999999999</v>
      </c>
      <c r="DK40" s="1147">
        <v>1261.39203</v>
      </c>
      <c r="DL40" s="1147">
        <v>210.80539999999999</v>
      </c>
      <c r="DM40" s="1147">
        <v>1531.6975600000001</v>
      </c>
      <c r="DN40" s="1147">
        <v>312.95728000000003</v>
      </c>
      <c r="DO40" s="1147">
        <v>1802.1344099999999</v>
      </c>
      <c r="DP40" s="1147">
        <v>347.27</v>
      </c>
      <c r="DQ40" s="1147">
        <v>2062.44866</v>
      </c>
      <c r="DR40" s="1147">
        <v>370.71352000000002</v>
      </c>
      <c r="DS40" s="1147">
        <v>163.91732999999999</v>
      </c>
      <c r="DT40" s="1147">
        <v>26.68929</v>
      </c>
      <c r="DU40" s="1147">
        <v>363.30154999999996</v>
      </c>
      <c r="DV40" s="1147">
        <v>77.341250000000002</v>
      </c>
      <c r="DW40" s="1147">
        <v>573.71141</v>
      </c>
      <c r="DX40" s="1147">
        <v>112.88344000000001</v>
      </c>
      <c r="DY40" s="1147">
        <v>979.32823999999994</v>
      </c>
      <c r="DZ40" s="1147">
        <v>174.15664999999998</v>
      </c>
      <c r="EA40" s="1147">
        <v>1538.4012499999999</v>
      </c>
      <c r="EB40" s="1147">
        <v>222.37685999999999</v>
      </c>
      <c r="EC40" s="1147">
        <v>2233.45156</v>
      </c>
      <c r="ED40" s="1147">
        <v>343.26959000000005</v>
      </c>
      <c r="EE40" s="1147">
        <v>2973.3560200000002</v>
      </c>
      <c r="EF40" s="1147">
        <v>461.88677000000001</v>
      </c>
      <c r="EG40" s="1147">
        <v>3454.8265999999999</v>
      </c>
      <c r="EH40" s="1147">
        <v>578.99212999999997</v>
      </c>
      <c r="EI40" s="1147">
        <v>3807.6443399999998</v>
      </c>
      <c r="EJ40" s="1147">
        <v>687.88963000000001</v>
      </c>
      <c r="EK40" s="1147">
        <v>4184.55339</v>
      </c>
      <c r="EL40" s="1147">
        <v>844.93670999999995</v>
      </c>
      <c r="EM40" s="1147">
        <v>4495.8401000000003</v>
      </c>
      <c r="EN40" s="1147">
        <v>1066.7260200000001</v>
      </c>
      <c r="EO40" s="1147">
        <v>4788.6794799999998</v>
      </c>
      <c r="EP40" s="1147">
        <v>1295.9923699999999</v>
      </c>
      <c r="EQ40" s="1147">
        <v>375.29849000000002</v>
      </c>
      <c r="ER40" s="1147">
        <v>156.29938000000001</v>
      </c>
      <c r="ES40" s="1147">
        <v>779.55244000000005</v>
      </c>
      <c r="ET40" s="1147">
        <v>379.41163</v>
      </c>
      <c r="EU40" s="1147">
        <v>1156.0366200000001</v>
      </c>
      <c r="EV40" s="1147">
        <v>585.94137999999998</v>
      </c>
      <c r="EW40" s="1147">
        <v>1661.18299</v>
      </c>
      <c r="EX40" s="1147">
        <v>795.06074000000001</v>
      </c>
      <c r="EY40" s="1147">
        <v>2238.19148</v>
      </c>
      <c r="EZ40" s="1147">
        <v>966.61501999999996</v>
      </c>
      <c r="FA40" s="1147">
        <v>3118.6834100000001</v>
      </c>
      <c r="FB40" s="1147">
        <v>1174.1362999999999</v>
      </c>
      <c r="FC40" s="1147">
        <v>3688.0549099999998</v>
      </c>
      <c r="FD40" s="1147">
        <v>1458.1055899999999</v>
      </c>
      <c r="FE40" s="1147">
        <v>4926.7831900000001</v>
      </c>
      <c r="FF40" s="1147">
        <v>1947.4408900000001</v>
      </c>
      <c r="FG40" s="1147">
        <v>5399.6343999999999</v>
      </c>
      <c r="FH40" s="1147">
        <v>2119.25065</v>
      </c>
      <c r="FI40" s="1147">
        <v>5854.0459600000004</v>
      </c>
      <c r="FJ40" s="1147">
        <v>2286.1803599999998</v>
      </c>
      <c r="FK40" s="1147">
        <v>6344.43444</v>
      </c>
      <c r="FL40" s="1147">
        <v>2490.85167</v>
      </c>
      <c r="FM40" s="1147">
        <v>501.06064000000003</v>
      </c>
      <c r="FN40" s="1147">
        <v>146.99698000000001</v>
      </c>
      <c r="FO40" s="1147">
        <v>1032.44813</v>
      </c>
      <c r="FP40" s="1147">
        <v>453.63815</v>
      </c>
      <c r="FQ40" s="1147">
        <v>1486.1124500000001</v>
      </c>
      <c r="FR40" s="1147">
        <v>602.84425999999996</v>
      </c>
      <c r="FS40" s="1147">
        <v>1902.2606699999999</v>
      </c>
      <c r="FT40" s="1147">
        <v>865.09456</v>
      </c>
      <c r="FU40" s="1147">
        <v>2460.8387699999998</v>
      </c>
      <c r="FV40" s="1147">
        <v>1085.52125</v>
      </c>
      <c r="FW40" s="1147">
        <v>2881.7629300000003</v>
      </c>
      <c r="FX40" s="1147">
        <v>1268.8007700000001</v>
      </c>
      <c r="FY40" s="1147">
        <v>3213.2810099999997</v>
      </c>
      <c r="FZ40" s="1147">
        <v>1534.99793</v>
      </c>
      <c r="GA40" s="1147">
        <v>3714.7586099999999</v>
      </c>
      <c r="GB40" s="1147">
        <v>1819.9918</v>
      </c>
      <c r="GC40" s="1147">
        <v>4080.4864700000003</v>
      </c>
      <c r="GD40" s="1147">
        <v>2014.2647099999999</v>
      </c>
      <c r="GE40" s="1147">
        <v>4368.1329999999998</v>
      </c>
      <c r="GF40" s="1147">
        <v>2579.0212799999999</v>
      </c>
      <c r="GG40" s="1147">
        <v>4644.3669499999996</v>
      </c>
      <c r="GH40" s="1147">
        <v>2817.0949700000001</v>
      </c>
      <c r="GI40" s="1147">
        <v>4933.8787000000002</v>
      </c>
      <c r="GJ40" s="1147">
        <v>2986.2261100000001</v>
      </c>
      <c r="GK40" s="1147">
        <v>260.13344000000001</v>
      </c>
      <c r="GL40" s="1147">
        <v>142.78411</v>
      </c>
      <c r="GM40" s="1147">
        <v>568.74527</v>
      </c>
      <c r="GN40" s="1147">
        <v>281.49095</v>
      </c>
      <c r="GO40" s="1147">
        <v>804.70215000000007</v>
      </c>
      <c r="GP40" s="1147">
        <v>465.53298999999998</v>
      </c>
      <c r="GQ40" s="1147">
        <v>1088.5772199999999</v>
      </c>
      <c r="GR40" s="1147">
        <v>725.58583999999996</v>
      </c>
      <c r="GS40" s="1147">
        <v>1268.04494</v>
      </c>
      <c r="GT40" s="1147">
        <v>820.35350000000005</v>
      </c>
      <c r="GU40" s="1147">
        <v>1355.53305</v>
      </c>
      <c r="GV40" s="1147">
        <v>974.12131999999997</v>
      </c>
      <c r="GW40" s="1147">
        <v>1435.0383099999999</v>
      </c>
      <c r="GX40" s="1147">
        <v>1112.4415799999999</v>
      </c>
      <c r="GY40" s="1147">
        <v>1485.8704499999999</v>
      </c>
      <c r="GZ40" s="1147">
        <v>1220.21253</v>
      </c>
      <c r="HA40" s="1147">
        <v>1514.5818099999999</v>
      </c>
      <c r="HB40" s="1147">
        <v>1349.30765</v>
      </c>
      <c r="HC40" s="1147">
        <v>1523.9342099999999</v>
      </c>
      <c r="HD40" s="1147">
        <v>1465.5161900000001</v>
      </c>
      <c r="HE40" s="1147">
        <v>1537.81357</v>
      </c>
      <c r="HF40" s="1147">
        <v>1617.6999900000001</v>
      </c>
      <c r="HG40" s="1147">
        <v>1537.81357</v>
      </c>
      <c r="HH40" s="1147">
        <v>1730.1401000000001</v>
      </c>
      <c r="HI40" s="1147">
        <v>0</v>
      </c>
      <c r="HJ40" s="1147">
        <v>0</v>
      </c>
      <c r="HK40" s="1147">
        <v>0</v>
      </c>
      <c r="HL40" s="1147">
        <v>0</v>
      </c>
      <c r="HM40" s="1147">
        <v>0</v>
      </c>
      <c r="HN40" s="1147">
        <v>0</v>
      </c>
      <c r="HO40" s="1147">
        <v>0</v>
      </c>
      <c r="HP40" s="1147">
        <v>0</v>
      </c>
      <c r="HQ40" s="1147">
        <v>0</v>
      </c>
      <c r="HR40" s="1147">
        <v>0</v>
      </c>
      <c r="HS40" s="1147">
        <v>0</v>
      </c>
      <c r="HT40" s="1147">
        <v>0</v>
      </c>
      <c r="HU40" s="1147">
        <v>0</v>
      </c>
      <c r="HV40" s="1147">
        <v>0</v>
      </c>
      <c r="HW40" s="1147">
        <v>0</v>
      </c>
      <c r="HX40" s="1147">
        <v>0</v>
      </c>
      <c r="HY40" s="1147">
        <v>0</v>
      </c>
      <c r="HZ40" s="1147">
        <v>0</v>
      </c>
      <c r="IA40" s="1147">
        <v>0</v>
      </c>
      <c r="IB40" s="1147">
        <v>0</v>
      </c>
      <c r="IC40" s="1147">
        <v>0</v>
      </c>
      <c r="ID40" s="1147">
        <v>0</v>
      </c>
      <c r="IE40" s="1147">
        <v>0</v>
      </c>
      <c r="IF40" s="1147">
        <v>0</v>
      </c>
      <c r="IG40" s="1147">
        <v>0</v>
      </c>
      <c r="IH40" s="1147">
        <v>0</v>
      </c>
      <c r="II40" s="1147">
        <v>0</v>
      </c>
      <c r="IJ40" s="1147">
        <v>0</v>
      </c>
      <c r="IK40" s="1147">
        <v>0</v>
      </c>
      <c r="IL40" s="1147">
        <v>0</v>
      </c>
      <c r="IM40" s="1147">
        <v>0</v>
      </c>
      <c r="IN40" s="1147">
        <v>0</v>
      </c>
      <c r="IO40" s="1147">
        <v>0</v>
      </c>
      <c r="IP40" s="1147">
        <v>0</v>
      </c>
      <c r="IQ40" s="1147">
        <v>0</v>
      </c>
      <c r="IR40" s="1147">
        <v>0</v>
      </c>
      <c r="IS40" s="1767" t="s">
        <v>3150</v>
      </c>
    </row>
    <row r="41" spans="1:253" ht="55.5" hidden="1" customHeight="1">
      <c r="A41" s="1652">
        <v>29</v>
      </c>
      <c r="B41" s="1767" t="s">
        <v>4080</v>
      </c>
      <c r="C41" s="1147">
        <v>1037.605</v>
      </c>
      <c r="D41" s="1147">
        <v>762.44500000000005</v>
      </c>
      <c r="E41" s="1147">
        <v>6631.6180000000004</v>
      </c>
      <c r="F41" s="1147">
        <v>2059.6669999999999</v>
      </c>
      <c r="G41" s="1147">
        <v>9116.4179999999997</v>
      </c>
      <c r="H41" s="1147">
        <v>3336.8609999999999</v>
      </c>
      <c r="I41" s="1147">
        <v>16679.444</v>
      </c>
      <c r="J41" s="1147">
        <v>5097.6670000000004</v>
      </c>
      <c r="K41" s="1147">
        <v>28796.384999999998</v>
      </c>
      <c r="L41" s="1147">
        <v>6862.02</v>
      </c>
      <c r="M41" s="1147">
        <v>32696.541000000001</v>
      </c>
      <c r="N41" s="1147">
        <v>8940.2420000000002</v>
      </c>
      <c r="O41" s="1147">
        <v>34211.449000000001</v>
      </c>
      <c r="P41" s="1147">
        <v>10393.468000000001</v>
      </c>
      <c r="Q41" s="1147">
        <v>35474.171000000002</v>
      </c>
      <c r="R41" s="1147">
        <v>11713.851000000001</v>
      </c>
      <c r="S41" s="1147">
        <v>36614.546000000002</v>
      </c>
      <c r="T41" s="1147">
        <v>12532.45</v>
      </c>
      <c r="U41" s="1147">
        <v>37999.055999999997</v>
      </c>
      <c r="V41" s="1147">
        <v>13591.339</v>
      </c>
      <c r="W41" s="1147">
        <v>39478.131000000001</v>
      </c>
      <c r="X41" s="1147">
        <v>14553.165000000001</v>
      </c>
      <c r="Y41" s="1147">
        <v>41224.915999999997</v>
      </c>
      <c r="Z41" s="1147">
        <v>16166.169</v>
      </c>
      <c r="AA41" s="1147">
        <v>3201.232</v>
      </c>
      <c r="AB41" s="1147">
        <v>680.64800000000002</v>
      </c>
      <c r="AC41" s="1147">
        <v>5074.1930000000002</v>
      </c>
      <c r="AD41" s="1147">
        <v>1709.357</v>
      </c>
      <c r="AE41" s="1147">
        <v>7751.674</v>
      </c>
      <c r="AF41" s="1147">
        <v>3153.28</v>
      </c>
      <c r="AG41" s="1147">
        <v>9527.7260000000006</v>
      </c>
      <c r="AH41" s="1147">
        <v>4437.6719999999996</v>
      </c>
      <c r="AI41" s="1147">
        <v>11065.828</v>
      </c>
      <c r="AJ41" s="1147">
        <v>5528.0370000000003</v>
      </c>
      <c r="AK41" s="1147">
        <v>13227.072</v>
      </c>
      <c r="AL41" s="1147">
        <v>6512.8429999999998</v>
      </c>
      <c r="AM41" s="1147">
        <v>15750.671</v>
      </c>
      <c r="AN41" s="1147">
        <v>7704.84</v>
      </c>
      <c r="AO41" s="1147">
        <v>17211.55</v>
      </c>
      <c r="AP41" s="1147">
        <v>8769.5619999999999</v>
      </c>
      <c r="AQ41" s="1147">
        <v>23275.534</v>
      </c>
      <c r="AR41" s="1147">
        <v>9471.384</v>
      </c>
      <c r="AS41" s="1147">
        <v>36193.43</v>
      </c>
      <c r="AT41" s="1147">
        <v>9967.6229999999996</v>
      </c>
      <c r="AU41" s="1147">
        <v>37577.762000000002</v>
      </c>
      <c r="AV41" s="1147">
        <v>11151.751</v>
      </c>
      <c r="AW41" s="1147">
        <v>40444.875999999997</v>
      </c>
      <c r="AX41" s="1147">
        <v>12370.915000000001</v>
      </c>
      <c r="AY41" s="1147">
        <v>462.00799999999998</v>
      </c>
      <c r="AZ41" s="1147">
        <v>584.16600000000005</v>
      </c>
      <c r="BA41" s="1147">
        <v>3648.4160000000002</v>
      </c>
      <c r="BB41" s="1147">
        <v>2109.6860000000001</v>
      </c>
      <c r="BC41" s="1147">
        <v>4608.92</v>
      </c>
      <c r="BD41" s="1147">
        <v>3502.11</v>
      </c>
      <c r="BE41" s="1147">
        <v>31925.328000000001</v>
      </c>
      <c r="BF41" s="1147">
        <v>5045.34</v>
      </c>
      <c r="BG41" s="1147">
        <v>33474.353999999999</v>
      </c>
      <c r="BH41" s="1147">
        <v>6858.9920000000002</v>
      </c>
      <c r="BI41" s="1147">
        <v>34912.385000000002</v>
      </c>
      <c r="BJ41" s="1147">
        <v>7853.1480000000001</v>
      </c>
      <c r="BK41" s="1147">
        <v>36490.269</v>
      </c>
      <c r="BL41" s="1147">
        <v>9115.5669999999991</v>
      </c>
      <c r="BM41" s="1147">
        <v>37634.093999999997</v>
      </c>
      <c r="BN41" s="1147">
        <v>10269.557000000001</v>
      </c>
      <c r="BO41" s="1147">
        <v>39157.438000000002</v>
      </c>
      <c r="BP41" s="1147">
        <v>11303.794</v>
      </c>
      <c r="BQ41" s="1147">
        <v>40579.991999999998</v>
      </c>
      <c r="BR41" s="1147">
        <v>12370.572</v>
      </c>
      <c r="BS41" s="1147">
        <v>41807.002</v>
      </c>
      <c r="BT41" s="1147">
        <v>13415.673000000001</v>
      </c>
      <c r="BU41" s="1147">
        <v>43388.919000000002</v>
      </c>
      <c r="BV41" s="1147">
        <v>14689.252</v>
      </c>
      <c r="BW41" s="1147">
        <v>1667.3879999999999</v>
      </c>
      <c r="BX41" s="1147">
        <v>802.66</v>
      </c>
      <c r="BY41" s="1147">
        <v>3805.6570000000002</v>
      </c>
      <c r="BZ41" s="1147">
        <v>1938.5060000000001</v>
      </c>
      <c r="CA41" s="1147">
        <v>31689.575000000001</v>
      </c>
      <c r="CB41" s="1147">
        <v>2952.9960000000001</v>
      </c>
      <c r="CC41" s="1147">
        <v>33009.817999999999</v>
      </c>
      <c r="CD41" s="1147">
        <v>4279.2039999999997</v>
      </c>
      <c r="CE41" s="1147">
        <v>34501.055</v>
      </c>
      <c r="CF41" s="1147">
        <v>5476.9369999999999</v>
      </c>
      <c r="CG41" s="1147">
        <v>36157.722999999998</v>
      </c>
      <c r="CH41" s="1147">
        <v>6422.1750000000002</v>
      </c>
      <c r="CI41" s="1147">
        <v>38777.822</v>
      </c>
      <c r="CJ41" s="1147">
        <v>8480.5820000000003</v>
      </c>
      <c r="CK41" s="1147">
        <v>39654.527000000002</v>
      </c>
      <c r="CL41" s="1147">
        <v>9940.3169999999991</v>
      </c>
      <c r="CM41" s="1147">
        <v>41920.921999999999</v>
      </c>
      <c r="CN41" s="1147">
        <v>11261.67</v>
      </c>
      <c r="CO41" s="1147">
        <v>43673.440000000002</v>
      </c>
      <c r="CP41" s="1147">
        <v>13013.700999999999</v>
      </c>
      <c r="CQ41" s="1147">
        <v>45265.197</v>
      </c>
      <c r="CR41" s="1147">
        <v>14496.575000000001</v>
      </c>
      <c r="CS41" s="1147">
        <v>49066.508000000002</v>
      </c>
      <c r="CT41" s="1147">
        <v>16240.494000000001</v>
      </c>
      <c r="CU41" s="1147">
        <v>2142.69</v>
      </c>
      <c r="CV41" s="1147">
        <v>1364.5419999999999</v>
      </c>
      <c r="CW41" s="1147">
        <v>34455.025999999998</v>
      </c>
      <c r="CX41" s="1147">
        <v>3024.489</v>
      </c>
      <c r="CY41" s="1147">
        <v>35748.262999999999</v>
      </c>
      <c r="CZ41" s="1147">
        <v>4002.9879999999998</v>
      </c>
      <c r="DA41" s="1147">
        <v>37179.93</v>
      </c>
      <c r="DB41" s="1147">
        <v>5339.8289999999997</v>
      </c>
      <c r="DC41" s="1147">
        <v>38313.758999999998</v>
      </c>
      <c r="DD41" s="1147">
        <v>5933.6949999999997</v>
      </c>
      <c r="DE41" s="1147">
        <v>39462.374000000003</v>
      </c>
      <c r="DF41" s="1147">
        <v>6956.6379999999999</v>
      </c>
      <c r="DG41" s="1147">
        <v>41058.273999999998</v>
      </c>
      <c r="DH41" s="1147">
        <v>7985.8879999999999</v>
      </c>
      <c r="DI41" s="1147">
        <v>42563.938999999998</v>
      </c>
      <c r="DJ41" s="1147">
        <v>8937.4040000000005</v>
      </c>
      <c r="DK41" s="1147">
        <v>44362.491999999998</v>
      </c>
      <c r="DL41" s="1147">
        <v>10327.012000000001</v>
      </c>
      <c r="DM41" s="1147">
        <v>46083.074000000001</v>
      </c>
      <c r="DN41" s="1147">
        <v>11558.752</v>
      </c>
      <c r="DO41" s="1147">
        <v>47570.086000000003</v>
      </c>
      <c r="DP41" s="1147">
        <v>14860.88</v>
      </c>
      <c r="DQ41" s="1147">
        <v>49122.290999999997</v>
      </c>
      <c r="DR41" s="1147">
        <v>33350.777999999998</v>
      </c>
      <c r="DS41" s="1147">
        <v>2585.308</v>
      </c>
      <c r="DT41" s="1147">
        <v>15517.052</v>
      </c>
      <c r="DU41" s="1147">
        <v>5387.0039999999999</v>
      </c>
      <c r="DV41" s="1147">
        <v>24323.901999999998</v>
      </c>
      <c r="DW41" s="1147">
        <v>38087.968000000001</v>
      </c>
      <c r="DX41" s="1147">
        <v>28164.716</v>
      </c>
      <c r="DY41" s="1147">
        <v>39961.031000000003</v>
      </c>
      <c r="DZ41" s="1147">
        <v>32092.952000000001</v>
      </c>
      <c r="EA41" s="1147">
        <v>42197.220999999998</v>
      </c>
      <c r="EB41" s="1147">
        <v>34520.411999999997</v>
      </c>
      <c r="EC41" s="1147">
        <v>44709.476999999999</v>
      </c>
      <c r="ED41" s="1147">
        <v>37538.232000000004</v>
      </c>
      <c r="EE41" s="1147">
        <v>47149.758999999998</v>
      </c>
      <c r="EF41" s="1147">
        <v>40992.019999999997</v>
      </c>
      <c r="EG41" s="1147">
        <v>49441.587</v>
      </c>
      <c r="EH41" s="1147">
        <v>44587.874000000003</v>
      </c>
      <c r="EI41" s="1147">
        <v>51543.891000000003</v>
      </c>
      <c r="EJ41" s="1147">
        <v>49036.883000000002</v>
      </c>
      <c r="EK41" s="1147">
        <v>53451.936000000002</v>
      </c>
      <c r="EL41" s="1147">
        <v>52410.478000000003</v>
      </c>
      <c r="EM41" s="1147">
        <v>55231.294999999998</v>
      </c>
      <c r="EN41" s="1147">
        <v>56379.021999999997</v>
      </c>
      <c r="EO41" s="1147">
        <v>54039.8</v>
      </c>
      <c r="EP41" s="1147">
        <v>59784.760999999999</v>
      </c>
      <c r="EQ41" s="1147">
        <v>826.97299999999996</v>
      </c>
      <c r="ER41" s="1147">
        <v>1995.7380000000001</v>
      </c>
      <c r="ES41" s="1147">
        <v>1645.6469999999999</v>
      </c>
      <c r="ET41" s="1147">
        <v>3719.6289999999999</v>
      </c>
      <c r="EU41" s="1147">
        <v>2455.1149999999998</v>
      </c>
      <c r="EV41" s="1147">
        <v>6352.2209999999995</v>
      </c>
      <c r="EW41" s="1147">
        <v>3322.3420000000001</v>
      </c>
      <c r="EX41" s="1147">
        <v>8469.6530000000002</v>
      </c>
      <c r="EY41" s="1147">
        <v>4308.085</v>
      </c>
      <c r="EZ41" s="1147">
        <v>10410.339</v>
      </c>
      <c r="FA41" s="1147">
        <v>4308.085</v>
      </c>
      <c r="FB41" s="1147">
        <v>10410.339</v>
      </c>
      <c r="FC41" s="1147">
        <v>6557.8630000000003</v>
      </c>
      <c r="FD41" s="1147">
        <v>13675.694</v>
      </c>
      <c r="FE41" s="1147">
        <v>9539.2430000000004</v>
      </c>
      <c r="FF41" s="1147">
        <v>16668.883000000002</v>
      </c>
      <c r="FG41" s="1147">
        <v>11712.598</v>
      </c>
      <c r="FH41" s="1147">
        <v>17887.902999999998</v>
      </c>
      <c r="FI41" s="1147">
        <v>13991.858</v>
      </c>
      <c r="FJ41" s="1147">
        <v>18881.137999999999</v>
      </c>
      <c r="FK41" s="1147">
        <v>16433.312000000002</v>
      </c>
      <c r="FL41" s="1147">
        <v>20087.633000000002</v>
      </c>
      <c r="FM41" s="1147">
        <v>2039.876</v>
      </c>
      <c r="FN41" s="1147">
        <v>1006.278</v>
      </c>
      <c r="FO41" s="1147">
        <v>3892.895</v>
      </c>
      <c r="FP41" s="1147">
        <v>2299.7249999999999</v>
      </c>
      <c r="FQ41" s="1147">
        <v>6939.1670000000004</v>
      </c>
      <c r="FR41" s="1147">
        <v>3380.248</v>
      </c>
      <c r="FS41" s="1147">
        <v>9293.1370000000006</v>
      </c>
      <c r="FT41" s="1147">
        <v>4679.0200000000004</v>
      </c>
      <c r="FU41" s="1147">
        <v>12088.57</v>
      </c>
      <c r="FV41" s="1147">
        <v>6172.1930000000002</v>
      </c>
      <c r="FW41" s="1147">
        <v>15053.581</v>
      </c>
      <c r="FX41" s="1147">
        <v>7451.9629999999997</v>
      </c>
      <c r="FY41" s="1147">
        <v>18618.350999999999</v>
      </c>
      <c r="FZ41" s="1147">
        <v>8680.0540000000001</v>
      </c>
      <c r="GA41" s="1147">
        <v>21991.001</v>
      </c>
      <c r="GB41" s="1147">
        <v>10141.852999999999</v>
      </c>
      <c r="GC41" s="1147">
        <v>25375.163</v>
      </c>
      <c r="GD41" s="1147">
        <v>11567.061</v>
      </c>
      <c r="GE41" s="1147">
        <v>28860.678</v>
      </c>
      <c r="GF41" s="1147">
        <v>13344.826999999999</v>
      </c>
      <c r="GG41" s="1147">
        <v>28860.678</v>
      </c>
      <c r="GH41" s="1147">
        <v>14981.486000000001</v>
      </c>
      <c r="GI41" s="1147">
        <v>28860.678</v>
      </c>
      <c r="GJ41" s="1147">
        <v>16653.665000000001</v>
      </c>
      <c r="GK41" s="1147">
        <v>0</v>
      </c>
      <c r="GL41" s="1147">
        <v>1717.3710000000001</v>
      </c>
      <c r="GM41" s="1147">
        <v>0</v>
      </c>
      <c r="GN41" s="1147">
        <v>3459.8780000000002</v>
      </c>
      <c r="GO41" s="1147">
        <v>0</v>
      </c>
      <c r="GP41" s="1147">
        <v>4976.9656500000001</v>
      </c>
      <c r="GQ41" s="1147">
        <v>0</v>
      </c>
      <c r="GR41" s="1147">
        <v>7027.9816500000006</v>
      </c>
      <c r="GS41" s="1147">
        <v>0</v>
      </c>
      <c r="GT41" s="1147">
        <v>8841.6730700000007</v>
      </c>
      <c r="GU41" s="1147">
        <v>0</v>
      </c>
      <c r="GV41" s="1147">
        <v>9402.35887</v>
      </c>
      <c r="GW41" s="1147">
        <v>0</v>
      </c>
      <c r="GX41" s="1147">
        <v>10284.38694</v>
      </c>
      <c r="GY41" s="1147">
        <v>0</v>
      </c>
      <c r="GZ41" s="1147">
        <v>11227.22694</v>
      </c>
      <c r="HA41" s="1147">
        <v>0</v>
      </c>
      <c r="HB41" s="1147">
        <v>12702.05075</v>
      </c>
      <c r="HC41" s="1147">
        <v>0</v>
      </c>
      <c r="HD41" s="1147">
        <v>13475.88358</v>
      </c>
      <c r="HE41" s="1147">
        <v>0</v>
      </c>
      <c r="HF41" s="1147">
        <v>14177.15403</v>
      </c>
      <c r="HG41" s="1147">
        <v>0</v>
      </c>
      <c r="HH41" s="1147">
        <v>14806.96146</v>
      </c>
      <c r="HI41" s="1147">
        <v>0</v>
      </c>
      <c r="HJ41" s="1147">
        <v>0</v>
      </c>
      <c r="HK41" s="1147">
        <v>0</v>
      </c>
      <c r="HL41" s="1147">
        <v>0</v>
      </c>
      <c r="HM41" s="1147">
        <v>0</v>
      </c>
      <c r="HN41" s="1147">
        <v>0</v>
      </c>
      <c r="HO41" s="1147">
        <v>0</v>
      </c>
      <c r="HP41" s="1147">
        <v>0</v>
      </c>
      <c r="HQ41" s="1147">
        <v>0</v>
      </c>
      <c r="HR41" s="1147">
        <v>0</v>
      </c>
      <c r="HS41" s="1147">
        <v>0</v>
      </c>
      <c r="HT41" s="1147">
        <v>0</v>
      </c>
      <c r="HU41" s="1147">
        <v>0</v>
      </c>
      <c r="HV41" s="1147">
        <v>0</v>
      </c>
      <c r="HW41" s="1147">
        <v>0</v>
      </c>
      <c r="HX41" s="1147">
        <v>0</v>
      </c>
      <c r="HY41" s="1147">
        <v>0</v>
      </c>
      <c r="HZ41" s="1147">
        <v>0</v>
      </c>
      <c r="IA41" s="1147">
        <v>0</v>
      </c>
      <c r="IB41" s="1147">
        <v>0</v>
      </c>
      <c r="IC41" s="1147">
        <v>0</v>
      </c>
      <c r="ID41" s="1147">
        <v>0</v>
      </c>
      <c r="IE41" s="1147">
        <v>0</v>
      </c>
      <c r="IF41" s="1147">
        <v>0</v>
      </c>
      <c r="IG41" s="1147">
        <v>0</v>
      </c>
      <c r="IH41" s="1147">
        <v>0</v>
      </c>
      <c r="II41" s="1147">
        <v>0</v>
      </c>
      <c r="IJ41" s="1147">
        <v>0</v>
      </c>
      <c r="IK41" s="1147">
        <v>0</v>
      </c>
      <c r="IL41" s="1147">
        <v>0</v>
      </c>
      <c r="IM41" s="1147">
        <v>0</v>
      </c>
      <c r="IN41" s="1147">
        <v>0</v>
      </c>
      <c r="IO41" s="1147">
        <v>0</v>
      </c>
      <c r="IP41" s="1147">
        <v>0</v>
      </c>
      <c r="IQ41" s="1147">
        <v>0</v>
      </c>
      <c r="IR41" s="1147">
        <v>0</v>
      </c>
      <c r="IS41" s="1767" t="s">
        <v>4081</v>
      </c>
    </row>
    <row r="42" spans="1:253" ht="66" customHeight="1">
      <c r="A42" s="1658"/>
      <c r="B42" s="1659" t="s">
        <v>2271</v>
      </c>
      <c r="C42" s="1149">
        <f t="shared" ref="C42:BN42" si="7">SUM((C12:C27))</f>
        <v>75538.22279</v>
      </c>
      <c r="D42" s="1149">
        <f t="shared" si="7"/>
        <v>13120.448909999999</v>
      </c>
      <c r="E42" s="1149">
        <f t="shared" si="7"/>
        <v>109255.26964000001</v>
      </c>
      <c r="F42" s="1149">
        <f t="shared" si="7"/>
        <v>39201.977800000001</v>
      </c>
      <c r="G42" s="1149">
        <f t="shared" si="7"/>
        <v>150382.20864</v>
      </c>
      <c r="H42" s="1149">
        <f t="shared" si="7"/>
        <v>51728.987439999997</v>
      </c>
      <c r="I42" s="1149">
        <f t="shared" si="7"/>
        <v>189953.22404999999</v>
      </c>
      <c r="J42" s="1149">
        <f t="shared" si="7"/>
        <v>66499.361850000001</v>
      </c>
      <c r="K42" s="1149">
        <f t="shared" si="7"/>
        <v>238851.05735000002</v>
      </c>
      <c r="L42" s="1149">
        <f t="shared" si="7"/>
        <v>86253.983569999997</v>
      </c>
      <c r="M42" s="1149">
        <f t="shared" si="7"/>
        <v>280572.61468</v>
      </c>
      <c r="N42" s="1149">
        <f t="shared" si="7"/>
        <v>99825.594759999978</v>
      </c>
      <c r="O42" s="1149">
        <f t="shared" si="7"/>
        <v>318740.47094000003</v>
      </c>
      <c r="P42" s="1149">
        <f t="shared" si="7"/>
        <v>117178.07914000002</v>
      </c>
      <c r="Q42" s="1149">
        <f t="shared" si="7"/>
        <v>349143.63578000007</v>
      </c>
      <c r="R42" s="1149">
        <f t="shared" si="7"/>
        <v>134626.40293000001</v>
      </c>
      <c r="S42" s="1149">
        <f t="shared" si="7"/>
        <v>382538.73153000005</v>
      </c>
      <c r="T42" s="1149">
        <f t="shared" si="7"/>
        <v>164435.47094</v>
      </c>
      <c r="U42" s="1149">
        <f t="shared" si="7"/>
        <v>411945.28228000004</v>
      </c>
      <c r="V42" s="1149">
        <f t="shared" si="7"/>
        <v>187852.89079999999</v>
      </c>
      <c r="W42" s="1149">
        <f t="shared" si="7"/>
        <v>439699.44521000003</v>
      </c>
      <c r="X42" s="1149">
        <f t="shared" si="7"/>
        <v>214800.84435999999</v>
      </c>
      <c r="Y42" s="1149">
        <f t="shared" si="7"/>
        <v>476785.3038600001</v>
      </c>
      <c r="Z42" s="1149">
        <f t="shared" si="7"/>
        <v>233708.18711999999</v>
      </c>
      <c r="AA42" s="1149">
        <f t="shared" si="7"/>
        <v>69997.342659999995</v>
      </c>
      <c r="AB42" s="1149">
        <f t="shared" si="7"/>
        <v>26566.845950000003</v>
      </c>
      <c r="AC42" s="1149">
        <f t="shared" si="7"/>
        <v>102454.32399</v>
      </c>
      <c r="AD42" s="1149">
        <f t="shared" si="7"/>
        <v>43328.653790000004</v>
      </c>
      <c r="AE42" s="1149">
        <f t="shared" si="7"/>
        <v>148386.42126999999</v>
      </c>
      <c r="AF42" s="1149">
        <f t="shared" si="7"/>
        <v>59439.519620000014</v>
      </c>
      <c r="AG42" s="1149">
        <f t="shared" si="7"/>
        <v>191114.49105000004</v>
      </c>
      <c r="AH42" s="1149">
        <f t="shared" si="7"/>
        <v>74220.285400000008</v>
      </c>
      <c r="AI42" s="1149">
        <f t="shared" si="7"/>
        <v>236208.65878999999</v>
      </c>
      <c r="AJ42" s="1149">
        <f t="shared" si="7"/>
        <v>96458.772700000001</v>
      </c>
      <c r="AK42" s="1149">
        <f t="shared" si="7"/>
        <v>271556.10569</v>
      </c>
      <c r="AL42" s="1149">
        <f t="shared" si="7"/>
        <v>124344.26164000001</v>
      </c>
      <c r="AM42" s="1149">
        <f t="shared" si="7"/>
        <v>315960.47620999994</v>
      </c>
      <c r="AN42" s="1149">
        <f t="shared" si="7"/>
        <v>141861.80405999999</v>
      </c>
      <c r="AO42" s="1149">
        <f t="shared" si="7"/>
        <v>360687.81261000002</v>
      </c>
      <c r="AP42" s="1149">
        <f t="shared" si="7"/>
        <v>164317.75714999999</v>
      </c>
      <c r="AQ42" s="1149">
        <f t="shared" si="7"/>
        <v>404861.91069000005</v>
      </c>
      <c r="AR42" s="1149">
        <f t="shared" si="7"/>
        <v>185365.05200999998</v>
      </c>
      <c r="AS42" s="1149">
        <f t="shared" si="7"/>
        <v>451517.44016</v>
      </c>
      <c r="AT42" s="1149">
        <f t="shared" si="7"/>
        <v>200945.04566</v>
      </c>
      <c r="AU42" s="1149">
        <f t="shared" si="7"/>
        <v>491481.82753000007</v>
      </c>
      <c r="AV42" s="1149">
        <f t="shared" si="7"/>
        <v>226629.14451000004</v>
      </c>
      <c r="AW42" s="1149">
        <f t="shared" si="7"/>
        <v>543150.78572000004</v>
      </c>
      <c r="AX42" s="1149">
        <f t="shared" si="7"/>
        <v>252089.58058000004</v>
      </c>
      <c r="AY42" s="1149">
        <f t="shared" si="7"/>
        <v>81361.121650000016</v>
      </c>
      <c r="AZ42" s="1149">
        <f t="shared" si="7"/>
        <v>22381.135970000003</v>
      </c>
      <c r="BA42" s="1149">
        <f t="shared" si="7"/>
        <v>127443.50135999999</v>
      </c>
      <c r="BB42" s="1149">
        <f t="shared" si="7"/>
        <v>39165.04711</v>
      </c>
      <c r="BC42" s="1149">
        <f t="shared" si="7"/>
        <v>188880.31999999998</v>
      </c>
      <c r="BD42" s="1149">
        <f t="shared" si="7"/>
        <v>58462.159999999996</v>
      </c>
      <c r="BE42" s="1149">
        <f t="shared" si="7"/>
        <v>295278.21254000004</v>
      </c>
      <c r="BF42" s="1149">
        <f t="shared" si="7"/>
        <v>75978.15138000001</v>
      </c>
      <c r="BG42" s="1149">
        <f t="shared" si="7"/>
        <v>342740.74281999998</v>
      </c>
      <c r="BH42" s="1149">
        <f t="shared" si="7"/>
        <v>94187.070880000014</v>
      </c>
      <c r="BI42" s="1149">
        <f t="shared" si="7"/>
        <v>386015.82418</v>
      </c>
      <c r="BJ42" s="1149">
        <f t="shared" si="7"/>
        <v>115342.82406999999</v>
      </c>
      <c r="BK42" s="1149">
        <f t="shared" si="7"/>
        <v>447258.18357999995</v>
      </c>
      <c r="BL42" s="1149">
        <f t="shared" si="7"/>
        <v>140931.06875999999</v>
      </c>
      <c r="BM42" s="1149">
        <f t="shared" si="7"/>
        <v>502202.07254999998</v>
      </c>
      <c r="BN42" s="1149">
        <f t="shared" si="7"/>
        <v>162655.63699999999</v>
      </c>
      <c r="BO42" s="1149">
        <f t="shared" ref="BO42:DZ42" si="8">SUM((BO12:BO27))</f>
        <v>552239.37987000006</v>
      </c>
      <c r="BP42" s="1149">
        <f t="shared" si="8"/>
        <v>180065.20125999997</v>
      </c>
      <c r="BQ42" s="1149">
        <f t="shared" si="8"/>
        <v>599020.18887000007</v>
      </c>
      <c r="BR42" s="1149">
        <f t="shared" si="8"/>
        <v>197801.16456</v>
      </c>
      <c r="BS42" s="1149">
        <f t="shared" si="8"/>
        <v>643447.14400999981</v>
      </c>
      <c r="BT42" s="1149">
        <f t="shared" si="8"/>
        <v>214728.03584000003</v>
      </c>
      <c r="BU42" s="1149">
        <f t="shared" si="8"/>
        <v>705516.56602999999</v>
      </c>
      <c r="BV42" s="1149">
        <f t="shared" si="8"/>
        <v>229723.71086999998</v>
      </c>
      <c r="BW42" s="1149">
        <f t="shared" si="8"/>
        <v>86197.235509999984</v>
      </c>
      <c r="BX42" s="1149">
        <f t="shared" si="8"/>
        <v>15684.810300000001</v>
      </c>
      <c r="BY42" s="1149">
        <f t="shared" si="8"/>
        <v>129009.71106</v>
      </c>
      <c r="BZ42" s="1149">
        <f t="shared" si="8"/>
        <v>30607.702419999994</v>
      </c>
      <c r="CA42" s="1149">
        <f t="shared" si="8"/>
        <v>195799.51999</v>
      </c>
      <c r="CB42" s="1149">
        <f t="shared" si="8"/>
        <v>42756.768170000003</v>
      </c>
      <c r="CC42" s="1149">
        <f t="shared" si="8"/>
        <v>258873.28755000001</v>
      </c>
      <c r="CD42" s="1149">
        <f t="shared" si="8"/>
        <v>61716.948770000003</v>
      </c>
      <c r="CE42" s="1149">
        <f t="shared" si="8"/>
        <v>311265.30440999998</v>
      </c>
      <c r="CF42" s="1149">
        <f t="shared" si="8"/>
        <v>87704.090249999994</v>
      </c>
      <c r="CG42" s="1149">
        <f t="shared" si="8"/>
        <v>351954.23621999996</v>
      </c>
      <c r="CH42" s="1149">
        <f t="shared" si="8"/>
        <v>111949.03149000001</v>
      </c>
      <c r="CI42" s="1149">
        <f t="shared" si="8"/>
        <v>411912.32394999999</v>
      </c>
      <c r="CJ42" s="1149">
        <f t="shared" si="8"/>
        <v>146001.24451000002</v>
      </c>
      <c r="CK42" s="1149">
        <f t="shared" si="8"/>
        <v>457458.76335999998</v>
      </c>
      <c r="CL42" s="1149">
        <f t="shared" si="8"/>
        <v>165530.13773000002</v>
      </c>
      <c r="CM42" s="1149">
        <f t="shared" si="8"/>
        <v>508730.68159999995</v>
      </c>
      <c r="CN42" s="1149">
        <f t="shared" si="8"/>
        <v>190509.78304000001</v>
      </c>
      <c r="CO42" s="1149">
        <f t="shared" si="8"/>
        <v>555100.23233999999</v>
      </c>
      <c r="CP42" s="1149">
        <f t="shared" si="8"/>
        <v>212999.77860999998</v>
      </c>
      <c r="CQ42" s="1149">
        <f t="shared" si="8"/>
        <v>598795.00333000009</v>
      </c>
      <c r="CR42" s="1149">
        <f t="shared" si="8"/>
        <v>238742.00097000002</v>
      </c>
      <c r="CS42" s="1149">
        <f t="shared" si="8"/>
        <v>663083.2763400001</v>
      </c>
      <c r="CT42" s="1149">
        <f t="shared" si="8"/>
        <v>286908.27480999997</v>
      </c>
      <c r="CU42" s="1149">
        <f t="shared" si="8"/>
        <v>110404.17359999998</v>
      </c>
      <c r="CV42" s="1149">
        <f t="shared" si="8"/>
        <v>25695.424490000001</v>
      </c>
      <c r="CW42" s="1149">
        <f t="shared" si="8"/>
        <v>187936.42423</v>
      </c>
      <c r="CX42" s="1149">
        <f t="shared" si="8"/>
        <v>47261.045670000007</v>
      </c>
      <c r="CY42" s="1149">
        <f t="shared" si="8"/>
        <v>237225.71181999997</v>
      </c>
      <c r="CZ42" s="1149">
        <f t="shared" si="8"/>
        <v>74329.492290000009</v>
      </c>
      <c r="DA42" s="1149">
        <f t="shared" si="8"/>
        <v>305963.78959</v>
      </c>
      <c r="DB42" s="1149">
        <f t="shared" si="8"/>
        <v>102143.70759999998</v>
      </c>
      <c r="DC42" s="1149">
        <f t="shared" si="8"/>
        <v>355103.02349000005</v>
      </c>
      <c r="DD42" s="1149">
        <f t="shared" si="8"/>
        <v>136174.86773</v>
      </c>
      <c r="DE42" s="1149">
        <f t="shared" si="8"/>
        <v>399080.74137</v>
      </c>
      <c r="DF42" s="1149">
        <f t="shared" si="8"/>
        <v>183566.82677000001</v>
      </c>
      <c r="DG42" s="1149">
        <f t="shared" si="8"/>
        <v>464327.51383000007</v>
      </c>
      <c r="DH42" s="1149">
        <f t="shared" si="8"/>
        <v>221713.39588000003</v>
      </c>
      <c r="DI42" s="1149">
        <f t="shared" si="8"/>
        <v>519225.91532999999</v>
      </c>
      <c r="DJ42" s="1149">
        <f t="shared" si="8"/>
        <v>257028.72714</v>
      </c>
      <c r="DK42" s="1149">
        <f t="shared" si="8"/>
        <v>571016.54029999999</v>
      </c>
      <c r="DL42" s="1149">
        <f t="shared" si="8"/>
        <v>301137.03914999997</v>
      </c>
      <c r="DM42" s="1149">
        <f t="shared" si="8"/>
        <v>616604.93297999993</v>
      </c>
      <c r="DN42" s="1149">
        <f t="shared" si="8"/>
        <v>342723.90652999992</v>
      </c>
      <c r="DO42" s="1149">
        <f t="shared" si="8"/>
        <v>655375.16980999988</v>
      </c>
      <c r="DP42" s="1149">
        <f t="shared" si="8"/>
        <v>383522.45368999999</v>
      </c>
      <c r="DQ42" s="1149">
        <f t="shared" si="8"/>
        <v>714744.69291000022</v>
      </c>
      <c r="DR42" s="1149">
        <f t="shared" si="8"/>
        <v>456442.69424999994</v>
      </c>
      <c r="DS42" s="1149">
        <f t="shared" si="8"/>
        <v>102544.87215000001</v>
      </c>
      <c r="DT42" s="1149">
        <f t="shared" si="8"/>
        <v>56266.125500000009</v>
      </c>
      <c r="DU42" s="1149">
        <f t="shared" si="8"/>
        <v>157953.05846</v>
      </c>
      <c r="DV42" s="1149">
        <f t="shared" si="8"/>
        <v>98971.207710000002</v>
      </c>
      <c r="DW42" s="1149">
        <f t="shared" si="8"/>
        <v>245449.05397999997</v>
      </c>
      <c r="DX42" s="1149">
        <f t="shared" si="8"/>
        <v>143321.87261000002</v>
      </c>
      <c r="DY42" s="1149">
        <f t="shared" si="8"/>
        <v>334313.26392000006</v>
      </c>
      <c r="DZ42" s="1149">
        <f t="shared" si="8"/>
        <v>177060.03421999997</v>
      </c>
      <c r="EA42" s="1149">
        <f t="shared" ref="EA42:GL42" si="9">SUM((EA12:EA27))</f>
        <v>392162.66923999996</v>
      </c>
      <c r="EB42" s="1149">
        <f t="shared" si="9"/>
        <v>205018.30051999999</v>
      </c>
      <c r="EC42" s="1149">
        <f t="shared" si="9"/>
        <v>445598.64856</v>
      </c>
      <c r="ED42" s="1149">
        <f t="shared" si="9"/>
        <v>244228.95634999999</v>
      </c>
      <c r="EE42" s="1149">
        <f t="shared" si="9"/>
        <v>520645.94652</v>
      </c>
      <c r="EF42" s="1149">
        <f t="shared" si="9"/>
        <v>296349.84161999996</v>
      </c>
      <c r="EG42" s="1149">
        <f t="shared" si="9"/>
        <v>572000.46094000002</v>
      </c>
      <c r="EH42" s="1149">
        <f t="shared" si="9"/>
        <v>334169.03237000003</v>
      </c>
      <c r="EI42" s="1149">
        <f t="shared" si="9"/>
        <v>642081.45071999996</v>
      </c>
      <c r="EJ42" s="1149">
        <f t="shared" si="9"/>
        <v>366935.56662999996</v>
      </c>
      <c r="EK42" s="1149">
        <f t="shared" si="9"/>
        <v>695494.29893999989</v>
      </c>
      <c r="EL42" s="1149">
        <f t="shared" si="9"/>
        <v>393822.93419</v>
      </c>
      <c r="EM42" s="1149">
        <f t="shared" si="9"/>
        <v>756408.63638000004</v>
      </c>
      <c r="EN42" s="1149">
        <f t="shared" si="9"/>
        <v>421517.25268999988</v>
      </c>
      <c r="EO42" s="1149">
        <f t="shared" si="9"/>
        <v>831955.01318999997</v>
      </c>
      <c r="EP42" s="1149">
        <f t="shared" si="9"/>
        <v>450031.05761999998</v>
      </c>
      <c r="EQ42" s="1149">
        <f t="shared" si="9"/>
        <v>116912.94192999999</v>
      </c>
      <c r="ER42" s="1149">
        <f t="shared" si="9"/>
        <v>15913.471390000001</v>
      </c>
      <c r="ES42" s="1149">
        <f t="shared" si="9"/>
        <v>176999.70530000003</v>
      </c>
      <c r="ET42" s="1149">
        <f t="shared" si="9"/>
        <v>37709.002249999998</v>
      </c>
      <c r="EU42" s="1149">
        <f t="shared" si="9"/>
        <v>256979.68364999996</v>
      </c>
      <c r="EV42" s="1149">
        <f t="shared" si="9"/>
        <v>59453.137800000004</v>
      </c>
      <c r="EW42" s="1149">
        <f t="shared" si="9"/>
        <v>357094.97146999999</v>
      </c>
      <c r="EX42" s="1149">
        <f t="shared" si="9"/>
        <v>91073.586059999987</v>
      </c>
      <c r="EY42" s="1149">
        <f t="shared" si="9"/>
        <v>424677.90177999996</v>
      </c>
      <c r="EZ42" s="1149">
        <f t="shared" si="9"/>
        <v>126196.32488</v>
      </c>
      <c r="FA42" s="1149">
        <f t="shared" si="9"/>
        <v>489253.61261999997</v>
      </c>
      <c r="FB42" s="1149">
        <f t="shared" si="9"/>
        <v>171607.61508999989</v>
      </c>
      <c r="FC42" s="1149">
        <f t="shared" si="9"/>
        <v>577774.89066000003</v>
      </c>
      <c r="FD42" s="1149">
        <f t="shared" si="9"/>
        <v>237373.92897000001</v>
      </c>
      <c r="FE42" s="1149">
        <f t="shared" si="9"/>
        <v>727567.34356000018</v>
      </c>
      <c r="FF42" s="1149">
        <f t="shared" si="9"/>
        <v>314000.85692000005</v>
      </c>
      <c r="FG42" s="1149">
        <f t="shared" si="9"/>
        <v>793328.26557999989</v>
      </c>
      <c r="FH42" s="1149">
        <f t="shared" si="9"/>
        <v>354316.39895</v>
      </c>
      <c r="FI42" s="1149">
        <f t="shared" si="9"/>
        <v>870324.12227000005</v>
      </c>
      <c r="FJ42" s="1149">
        <f t="shared" si="9"/>
        <v>395757.71503999998</v>
      </c>
      <c r="FK42" s="1149">
        <f t="shared" si="9"/>
        <v>965510.81812000007</v>
      </c>
      <c r="FL42" s="1149">
        <f t="shared" si="9"/>
        <v>427807.59555999999</v>
      </c>
      <c r="FM42" s="1149">
        <f t="shared" si="9"/>
        <v>130816.15282</v>
      </c>
      <c r="FN42" s="1149">
        <f t="shared" si="9"/>
        <v>34875.033490000002</v>
      </c>
      <c r="FO42" s="1149">
        <f t="shared" si="9"/>
        <v>219012.79340000002</v>
      </c>
      <c r="FP42" s="1149">
        <f t="shared" si="9"/>
        <v>69970.795170000012</v>
      </c>
      <c r="FQ42" s="1149">
        <f t="shared" si="9"/>
        <v>344239.33668000001</v>
      </c>
      <c r="FR42" s="1149">
        <f t="shared" si="9"/>
        <v>101564.83682999999</v>
      </c>
      <c r="FS42" s="1149">
        <f t="shared" si="9"/>
        <v>464038.85334000003</v>
      </c>
      <c r="FT42" s="1149">
        <f t="shared" si="9"/>
        <v>133620.05789999999</v>
      </c>
      <c r="FU42" s="1149">
        <f t="shared" si="9"/>
        <v>561786.63211000001</v>
      </c>
      <c r="FV42" s="1149">
        <f t="shared" si="9"/>
        <v>173198.90796000004</v>
      </c>
      <c r="FW42" s="1149">
        <f t="shared" si="9"/>
        <v>643534.39597000007</v>
      </c>
      <c r="FX42" s="1149">
        <f t="shared" si="9"/>
        <v>223609.17965000003</v>
      </c>
      <c r="FY42" s="1149">
        <f t="shared" si="9"/>
        <v>755629.70103000011</v>
      </c>
      <c r="FZ42" s="1149">
        <f t="shared" si="9"/>
        <v>281170.93102000002</v>
      </c>
      <c r="GA42" s="1149">
        <f t="shared" si="9"/>
        <v>839850.9884400001</v>
      </c>
      <c r="GB42" s="1149">
        <f t="shared" si="9"/>
        <v>343690.45199000003</v>
      </c>
      <c r="GC42" s="1149">
        <f t="shared" si="9"/>
        <v>928379.78894000011</v>
      </c>
      <c r="GD42" s="1149">
        <f t="shared" si="9"/>
        <v>398028.89335999999</v>
      </c>
      <c r="GE42" s="1149">
        <f t="shared" si="9"/>
        <v>1011491.58605</v>
      </c>
      <c r="GF42" s="1149">
        <f t="shared" si="9"/>
        <v>452321.08985999995</v>
      </c>
      <c r="GG42" s="1149">
        <f t="shared" si="9"/>
        <v>1099288.7448199999</v>
      </c>
      <c r="GH42" s="1149">
        <f t="shared" si="9"/>
        <v>494569.99941000005</v>
      </c>
      <c r="GI42" s="1149">
        <f t="shared" si="9"/>
        <v>1212899.2919899998</v>
      </c>
      <c r="GJ42" s="1149">
        <f t="shared" si="9"/>
        <v>584115.36956999998</v>
      </c>
      <c r="GK42" s="1149">
        <f t="shared" si="9"/>
        <v>138101.74832000001</v>
      </c>
      <c r="GL42" s="1149">
        <f t="shared" si="9"/>
        <v>38505.403849999988</v>
      </c>
      <c r="GM42" s="1149">
        <f t="shared" ref="GM42:IL42" si="10">SUM((GM12:GM27))</f>
        <v>237862.77080000006</v>
      </c>
      <c r="GN42" s="1149">
        <f t="shared" si="10"/>
        <v>96793.199190000014</v>
      </c>
      <c r="GO42" s="1149">
        <f t="shared" si="10"/>
        <v>370546.61835000006</v>
      </c>
      <c r="GP42" s="1149">
        <f t="shared" si="10"/>
        <v>152343.53784999999</v>
      </c>
      <c r="GQ42" s="1149">
        <f t="shared" si="10"/>
        <v>539474.6222499999</v>
      </c>
      <c r="GR42" s="1149">
        <f t="shared" si="10"/>
        <v>208209.12109999996</v>
      </c>
      <c r="GS42" s="1149">
        <f t="shared" si="10"/>
        <v>639453.18940000003</v>
      </c>
      <c r="GT42" s="1149">
        <f t="shared" si="10"/>
        <v>272555.04084999999</v>
      </c>
      <c r="GU42" s="1149">
        <f t="shared" si="10"/>
        <v>719988.76720999996</v>
      </c>
      <c r="GV42" s="1149">
        <f t="shared" si="10"/>
        <v>354155.17019999999</v>
      </c>
      <c r="GW42" s="1149">
        <f t="shared" si="10"/>
        <v>827006.40237999987</v>
      </c>
      <c r="GX42" s="1149">
        <f t="shared" si="10"/>
        <v>436297.15414999996</v>
      </c>
      <c r="GY42" s="1149">
        <f t="shared" si="10"/>
        <v>921031.88446999993</v>
      </c>
      <c r="GZ42" s="1149">
        <f t="shared" si="10"/>
        <v>495761.51409000001</v>
      </c>
      <c r="HA42" s="1149">
        <f t="shared" si="10"/>
        <v>1015803.8918000001</v>
      </c>
      <c r="HB42" s="1149">
        <f t="shared" si="10"/>
        <v>550647.91767000011</v>
      </c>
      <c r="HC42" s="1149">
        <f t="shared" si="10"/>
        <v>1103259.3057200001</v>
      </c>
      <c r="HD42" s="1149">
        <f t="shared" si="10"/>
        <v>618770.16625000001</v>
      </c>
      <c r="HE42" s="1149">
        <f t="shared" si="10"/>
        <v>1212651.5125699998</v>
      </c>
      <c r="HF42" s="1149">
        <f t="shared" si="10"/>
        <v>690086.40236999991</v>
      </c>
      <c r="HG42" s="1149">
        <f t="shared" si="10"/>
        <v>1342791.5699</v>
      </c>
      <c r="HH42" s="1149">
        <f t="shared" si="10"/>
        <v>748415.45850000018</v>
      </c>
      <c r="HI42" s="1149">
        <f t="shared" si="10"/>
        <v>163658.20333000002</v>
      </c>
      <c r="HJ42" s="1149">
        <f t="shared" si="10"/>
        <v>47623.276229999989</v>
      </c>
      <c r="HK42" s="1149">
        <f t="shared" si="10"/>
        <v>281206.19647999998</v>
      </c>
      <c r="HL42" s="1149">
        <f t="shared" si="10"/>
        <v>108594.79767</v>
      </c>
      <c r="HM42" s="1149">
        <f t="shared" si="10"/>
        <v>399083.34303000016</v>
      </c>
      <c r="HN42" s="1149">
        <f t="shared" si="10"/>
        <v>164029.19675176698</v>
      </c>
      <c r="HO42" s="1149">
        <f t="shared" si="10"/>
        <v>588465.52116</v>
      </c>
      <c r="HP42" s="1149">
        <f t="shared" si="10"/>
        <v>231332.50931000005</v>
      </c>
      <c r="HQ42" s="1149">
        <f t="shared" si="10"/>
        <v>719352.80990000011</v>
      </c>
      <c r="HR42" s="1149">
        <f t="shared" si="10"/>
        <v>314787.88643000013</v>
      </c>
      <c r="HS42" s="1149">
        <f t="shared" si="10"/>
        <v>817047.52344000025</v>
      </c>
      <c r="HT42" s="1149">
        <f t="shared" si="10"/>
        <v>432197.84028999996</v>
      </c>
      <c r="HU42" s="1149">
        <f t="shared" si="10"/>
        <v>937657.99011999997</v>
      </c>
      <c r="HV42" s="1149">
        <f t="shared" si="10"/>
        <v>529306.88829000003</v>
      </c>
      <c r="HW42" s="1149">
        <f t="shared" si="10"/>
        <v>1048074.3822</v>
      </c>
      <c r="HX42" s="1149">
        <f t="shared" si="10"/>
        <v>603414.09664999985</v>
      </c>
      <c r="HY42" s="1149">
        <f t="shared" si="10"/>
        <v>1157254.0078799997</v>
      </c>
      <c r="HZ42" s="1149">
        <f t="shared" si="10"/>
        <v>683896.32503000007</v>
      </c>
      <c r="IA42" s="1149">
        <f t="shared" si="10"/>
        <v>1255972.8201699997</v>
      </c>
      <c r="IB42" s="1149">
        <f t="shared" si="10"/>
        <v>772601.9592299998</v>
      </c>
      <c r="IC42" s="1149">
        <f t="shared" si="10"/>
        <v>1365354.2693400001</v>
      </c>
      <c r="ID42" s="1149">
        <f t="shared" si="10"/>
        <v>844832.9227900001</v>
      </c>
      <c r="IE42" s="1149">
        <f t="shared" si="10"/>
        <v>1504709.3057500003</v>
      </c>
      <c r="IF42" s="1149">
        <f t="shared" si="10"/>
        <v>920395.11404000013</v>
      </c>
      <c r="IG42" s="1149">
        <f t="shared" si="10"/>
        <v>156603.94813999996</v>
      </c>
      <c r="IH42" s="1149">
        <f t="shared" si="10"/>
        <v>62011.958110000007</v>
      </c>
      <c r="II42" s="1149">
        <f t="shared" si="10"/>
        <v>277562.21165999997</v>
      </c>
      <c r="IJ42" s="1149">
        <f t="shared" si="10"/>
        <v>148799.60988000003</v>
      </c>
      <c r="IK42" s="1149">
        <f t="shared" si="10"/>
        <v>417752.66009000002</v>
      </c>
      <c r="IL42" s="1149">
        <f t="shared" si="10"/>
        <v>218455.67776999998</v>
      </c>
      <c r="IM42" s="1149">
        <f>SUM((IM12:IM27))</f>
        <v>610215.55490999983</v>
      </c>
      <c r="IN42" s="1149">
        <f>SUM((IN12:IN27))</f>
        <v>304353.37293999997</v>
      </c>
      <c r="IO42" s="1149">
        <f>SUM((IO12:IO27))</f>
        <v>732632.55515000015</v>
      </c>
      <c r="IP42" s="1149">
        <f>SUM((IP12:IP27))</f>
        <v>409635.52220000001</v>
      </c>
      <c r="IQ42" s="1149">
        <v>867395.86056000006</v>
      </c>
      <c r="IR42" s="1149">
        <v>549681.92546000006</v>
      </c>
      <c r="IS42" s="1659" t="s">
        <v>3126</v>
      </c>
    </row>
    <row r="43" spans="1:253" s="1263" customFormat="1" ht="24" customHeight="1">
      <c r="A43" s="1265" t="s">
        <v>3261</v>
      </c>
      <c r="B43" s="1262"/>
      <c r="C43" s="1262"/>
      <c r="D43" s="1262"/>
      <c r="E43" s="1262"/>
      <c r="F43" s="1262"/>
      <c r="G43" s="1262"/>
      <c r="H43" s="1262"/>
      <c r="I43" s="1262"/>
      <c r="J43" s="1262"/>
      <c r="K43" s="1262"/>
      <c r="L43" s="1262"/>
      <c r="M43" s="1262"/>
      <c r="N43" s="1262"/>
      <c r="O43" s="1262"/>
      <c r="P43" s="1262"/>
      <c r="Q43" s="1262"/>
      <c r="R43" s="1262"/>
      <c r="S43" s="1262"/>
      <c r="T43" s="1262"/>
      <c r="U43" s="1262"/>
      <c r="V43" s="1262"/>
      <c r="W43" s="1262"/>
      <c r="X43" s="1262"/>
      <c r="Y43" s="1262"/>
      <c r="Z43" s="1262"/>
      <c r="AA43" s="1262"/>
      <c r="AB43" s="1262"/>
      <c r="AC43" s="1262"/>
      <c r="AD43" s="1262"/>
      <c r="AE43" s="1262"/>
      <c r="AF43" s="1262"/>
      <c r="AG43" s="1262"/>
      <c r="AH43" s="1262"/>
    </row>
    <row r="44" spans="1:253" ht="25.9" customHeight="1">
      <c r="A44" s="1262" t="s">
        <v>4082</v>
      </c>
      <c r="B44" s="1262"/>
    </row>
    <row r="147" spans="117:118" ht="22.5">
      <c r="DM147" s="1128"/>
      <c r="DN147" s="1128"/>
    </row>
  </sheetData>
  <mergeCells count="267">
    <mergeCell ref="IO8:IP8"/>
    <mergeCell ref="IO9:IP9"/>
    <mergeCell ref="IQ9:IR9"/>
    <mergeCell ref="IC9:ID9"/>
    <mergeCell ref="IE9:IF9"/>
    <mergeCell ref="IG9:IH9"/>
    <mergeCell ref="II9:IJ9"/>
    <mergeCell ref="IK9:IL9"/>
    <mergeCell ref="IM9:IN9"/>
    <mergeCell ref="IQ8:IR8"/>
    <mergeCell ref="IC8:ID8"/>
    <mergeCell ref="IE8:IF8"/>
    <mergeCell ref="IG8:IH8"/>
    <mergeCell ref="II8:IJ8"/>
    <mergeCell ref="IK8:IL8"/>
    <mergeCell ref="IM8:IN8"/>
    <mergeCell ref="HQ9:HR9"/>
    <mergeCell ref="HS9:HT9"/>
    <mergeCell ref="HU9:HV9"/>
    <mergeCell ref="HW9:HX9"/>
    <mergeCell ref="HY9:HZ9"/>
    <mergeCell ref="IA9:IB9"/>
    <mergeCell ref="HE9:HF9"/>
    <mergeCell ref="HG9:HH9"/>
    <mergeCell ref="HI9:HJ9"/>
    <mergeCell ref="HK9:HL9"/>
    <mergeCell ref="HM9:HN9"/>
    <mergeCell ref="HO9:HP9"/>
    <mergeCell ref="GS9:GT9"/>
    <mergeCell ref="GU9:GV9"/>
    <mergeCell ref="GW9:GX9"/>
    <mergeCell ref="GY9:GZ9"/>
    <mergeCell ref="HA9:HB9"/>
    <mergeCell ref="HC9:HD9"/>
    <mergeCell ref="GG9:GH9"/>
    <mergeCell ref="GI9:GJ9"/>
    <mergeCell ref="GK9:GL9"/>
    <mergeCell ref="GM9:GN9"/>
    <mergeCell ref="GO9:GP9"/>
    <mergeCell ref="GQ9:GR9"/>
    <mergeCell ref="FU9:FV9"/>
    <mergeCell ref="FW9:FX9"/>
    <mergeCell ref="FY9:FZ9"/>
    <mergeCell ref="GA9:GB9"/>
    <mergeCell ref="GC9:GD9"/>
    <mergeCell ref="GE9:GF9"/>
    <mergeCell ref="FI9:FJ9"/>
    <mergeCell ref="FK9:FL9"/>
    <mergeCell ref="FM9:FN9"/>
    <mergeCell ref="FO9:FP9"/>
    <mergeCell ref="FQ9:FR9"/>
    <mergeCell ref="FS9:FT9"/>
    <mergeCell ref="EW9:EX9"/>
    <mergeCell ref="EY9:EZ9"/>
    <mergeCell ref="FA9:FB9"/>
    <mergeCell ref="FC9:FD9"/>
    <mergeCell ref="FE9:FF9"/>
    <mergeCell ref="FG9:FH9"/>
    <mergeCell ref="EK9:EL9"/>
    <mergeCell ref="EM9:EN9"/>
    <mergeCell ref="EO9:EP9"/>
    <mergeCell ref="EQ9:ER9"/>
    <mergeCell ref="ES9:ET9"/>
    <mergeCell ref="EU9:EV9"/>
    <mergeCell ref="DY9:DZ9"/>
    <mergeCell ref="EA9:EB9"/>
    <mergeCell ref="EC9:ED9"/>
    <mergeCell ref="EE9:EF9"/>
    <mergeCell ref="EG9:EH9"/>
    <mergeCell ref="EI9:EJ9"/>
    <mergeCell ref="DM9:DN9"/>
    <mergeCell ref="DO9:DP9"/>
    <mergeCell ref="DQ9:DR9"/>
    <mergeCell ref="DS9:DT9"/>
    <mergeCell ref="DU9:DV9"/>
    <mergeCell ref="DW9:DX9"/>
    <mergeCell ref="DA9:DB9"/>
    <mergeCell ref="DC9:DD9"/>
    <mergeCell ref="DE9:DF9"/>
    <mergeCell ref="DG9:DH9"/>
    <mergeCell ref="DI9:DJ9"/>
    <mergeCell ref="DK9:DL9"/>
    <mergeCell ref="CO9:CP9"/>
    <mergeCell ref="CQ9:CR9"/>
    <mergeCell ref="CS9:CT9"/>
    <mergeCell ref="CU9:CV9"/>
    <mergeCell ref="CW9:CX9"/>
    <mergeCell ref="CY9:CZ9"/>
    <mergeCell ref="CC9:CD9"/>
    <mergeCell ref="CE9:CF9"/>
    <mergeCell ref="CG9:CH9"/>
    <mergeCell ref="CI9:CJ9"/>
    <mergeCell ref="CK9:CL9"/>
    <mergeCell ref="CM9:CN9"/>
    <mergeCell ref="BQ9:BR9"/>
    <mergeCell ref="BS9:BT9"/>
    <mergeCell ref="BU9:BV9"/>
    <mergeCell ref="BW9:BX9"/>
    <mergeCell ref="BY9:BZ9"/>
    <mergeCell ref="CA9:CB9"/>
    <mergeCell ref="BE9:BF9"/>
    <mergeCell ref="BG9:BH9"/>
    <mergeCell ref="BI9:BJ9"/>
    <mergeCell ref="BK9:BL9"/>
    <mergeCell ref="BM9:BN9"/>
    <mergeCell ref="BO9:BP9"/>
    <mergeCell ref="AS9:AT9"/>
    <mergeCell ref="AU9:AV9"/>
    <mergeCell ref="AW9:AX9"/>
    <mergeCell ref="AY9:AZ9"/>
    <mergeCell ref="BA9:BB9"/>
    <mergeCell ref="BC9:BD9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HQ8:HR8"/>
    <mergeCell ref="HS8:HT8"/>
    <mergeCell ref="HU8:HV8"/>
    <mergeCell ref="HW8:HX8"/>
    <mergeCell ref="HY8:HZ8"/>
    <mergeCell ref="IA8:IB8"/>
    <mergeCell ref="HE8:HF8"/>
    <mergeCell ref="HG8:HH8"/>
    <mergeCell ref="HI8:HJ8"/>
    <mergeCell ref="HK8:HL8"/>
    <mergeCell ref="HM8:HN8"/>
    <mergeCell ref="HO8:HP8"/>
    <mergeCell ref="GS8:GT8"/>
    <mergeCell ref="GU8:GV8"/>
    <mergeCell ref="GW8:GX8"/>
    <mergeCell ref="GY8:GZ8"/>
    <mergeCell ref="HA8:HB8"/>
    <mergeCell ref="HC8:HD8"/>
    <mergeCell ref="GG8:GH8"/>
    <mergeCell ref="GI8:GJ8"/>
    <mergeCell ref="GK8:GL8"/>
    <mergeCell ref="GM8:GN8"/>
    <mergeCell ref="GO8:GP8"/>
    <mergeCell ref="GQ8:GR8"/>
    <mergeCell ref="FU8:FV8"/>
    <mergeCell ref="FW8:FX8"/>
    <mergeCell ref="FY8:FZ8"/>
    <mergeCell ref="GA8:GB8"/>
    <mergeCell ref="GC8:GD8"/>
    <mergeCell ref="GE8:GF8"/>
    <mergeCell ref="FI8:FJ8"/>
    <mergeCell ref="FK8:FL8"/>
    <mergeCell ref="FM8:FN8"/>
    <mergeCell ref="FO8:FP8"/>
    <mergeCell ref="FQ8:FR8"/>
    <mergeCell ref="FS8:FT8"/>
    <mergeCell ref="EW8:EX8"/>
    <mergeCell ref="EY8:EZ8"/>
    <mergeCell ref="FA8:FB8"/>
    <mergeCell ref="FC8:FD8"/>
    <mergeCell ref="FE8:FF8"/>
    <mergeCell ref="FG8:FH8"/>
    <mergeCell ref="EK8:EL8"/>
    <mergeCell ref="EM8:EN8"/>
    <mergeCell ref="EO8:EP8"/>
    <mergeCell ref="EQ8:ER8"/>
    <mergeCell ref="ES8:ET8"/>
    <mergeCell ref="EU8:EV8"/>
    <mergeCell ref="DY8:DZ8"/>
    <mergeCell ref="EA8:EB8"/>
    <mergeCell ref="EC8:ED8"/>
    <mergeCell ref="EE8:EF8"/>
    <mergeCell ref="EG8:EH8"/>
    <mergeCell ref="EI8:EJ8"/>
    <mergeCell ref="DM8:DN8"/>
    <mergeCell ref="DO8:DP8"/>
    <mergeCell ref="DQ8:DR8"/>
    <mergeCell ref="DS8:DT8"/>
    <mergeCell ref="DU8:DV8"/>
    <mergeCell ref="DW8:DX8"/>
    <mergeCell ref="DA8:DB8"/>
    <mergeCell ref="DC8:DD8"/>
    <mergeCell ref="DE8:DF8"/>
    <mergeCell ref="DG8:DH8"/>
    <mergeCell ref="DI8:DJ8"/>
    <mergeCell ref="DK8:DL8"/>
    <mergeCell ref="CO8:CP8"/>
    <mergeCell ref="CQ8:CR8"/>
    <mergeCell ref="CS8:CT8"/>
    <mergeCell ref="CU8:CV8"/>
    <mergeCell ref="CW8:CX8"/>
    <mergeCell ref="CY8:CZ8"/>
    <mergeCell ref="BA8:BB8"/>
    <mergeCell ref="BC8:BD8"/>
    <mergeCell ref="CC8:CD8"/>
    <mergeCell ref="CE8:CF8"/>
    <mergeCell ref="CG8:CH8"/>
    <mergeCell ref="CI8:CJ8"/>
    <mergeCell ref="CK8:CL8"/>
    <mergeCell ref="CM8:CN8"/>
    <mergeCell ref="BQ8:BR8"/>
    <mergeCell ref="BS8:BT8"/>
    <mergeCell ref="BU8:BV8"/>
    <mergeCell ref="BW8:BX8"/>
    <mergeCell ref="BY8:BZ8"/>
    <mergeCell ref="CA8:CB8"/>
    <mergeCell ref="GK7:HH7"/>
    <mergeCell ref="HI7:IF7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BE8:BF8"/>
    <mergeCell ref="BG8:BH8"/>
    <mergeCell ref="BI8:BJ8"/>
    <mergeCell ref="BK8:BL8"/>
    <mergeCell ref="BM8:BN8"/>
    <mergeCell ref="BO8:BP8"/>
    <mergeCell ref="AS8:AT8"/>
    <mergeCell ref="AU8:AV8"/>
    <mergeCell ref="AW8:AX8"/>
    <mergeCell ref="AY8:AZ8"/>
    <mergeCell ref="IG7:IR7"/>
    <mergeCell ref="IS7:IS11"/>
    <mergeCell ref="A8:A10"/>
    <mergeCell ref="B8:B11"/>
    <mergeCell ref="C8:D8"/>
    <mergeCell ref="E8:F8"/>
    <mergeCell ref="G8:H8"/>
    <mergeCell ref="A2:IS2"/>
    <mergeCell ref="A3:IS3"/>
    <mergeCell ref="A7:B7"/>
    <mergeCell ref="C7:Z7"/>
    <mergeCell ref="AA7:AX7"/>
    <mergeCell ref="AY7:BV7"/>
    <mergeCell ref="BW7:CT7"/>
    <mergeCell ref="CU7:DR7"/>
    <mergeCell ref="DS7:EP7"/>
    <mergeCell ref="EQ7:FL7"/>
    <mergeCell ref="I8:J8"/>
    <mergeCell ref="K8:L8"/>
    <mergeCell ref="M8:N8"/>
    <mergeCell ref="O8:P8"/>
    <mergeCell ref="Q8:R8"/>
    <mergeCell ref="S8:T8"/>
    <mergeCell ref="FM7:GJ7"/>
  </mergeCells>
  <pageMargins left="0.32" right="0.24" top="0.75" bottom="0.75" header="0.3" footer="0.3"/>
  <pageSetup scale="13" orientation="landscape" horizontalDpi="4294967295" verticalDpi="4294967295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598A-700B-419D-B09D-4BE6BF335145}">
  <sheetPr>
    <tabColor rgb="FF92D050"/>
  </sheetPr>
  <dimension ref="A2:KN133"/>
  <sheetViews>
    <sheetView showGridLines="0" view="pageBreakPreview" zoomScale="70" zoomScaleNormal="55" zoomScaleSheetLayoutView="70" workbookViewId="0">
      <pane xSplit="1" ySplit="10" topLeftCell="HK28" activePane="bottomRight" state="frozen"/>
      <selection activeCell="F40" sqref="F40"/>
      <selection pane="topRight" activeCell="F40" sqref="F40"/>
      <selection pane="bottomLeft" activeCell="F40" sqref="F40"/>
      <selection pane="bottomRight" activeCell="ID59" sqref="ID59"/>
    </sheetView>
  </sheetViews>
  <sheetFormatPr defaultColWidth="9.140625" defaultRowHeight="15.75"/>
  <cols>
    <col min="1" max="1" width="90.140625" style="1834" customWidth="1"/>
    <col min="2" max="2" width="19.7109375" style="1836" hidden="1" customWidth="1"/>
    <col min="3" max="3" width="19.7109375" style="1838" hidden="1" customWidth="1"/>
    <col min="4" max="4" width="19.7109375" style="1836" hidden="1" customWidth="1"/>
    <col min="5" max="5" width="19.7109375" style="1838" hidden="1" customWidth="1"/>
    <col min="6" max="6" width="19.7109375" style="1836" hidden="1" customWidth="1"/>
    <col min="7" max="7" width="19.7109375" style="1838" hidden="1" customWidth="1"/>
    <col min="8" max="8" width="19.7109375" style="1836" hidden="1" customWidth="1"/>
    <col min="9" max="9" width="19.7109375" style="1838" hidden="1" customWidth="1"/>
    <col min="10" max="10" width="19.7109375" style="1836" hidden="1" customWidth="1"/>
    <col min="11" max="11" width="19.7109375" style="1838" hidden="1" customWidth="1"/>
    <col min="12" max="12" width="19.7109375" style="1836" hidden="1" customWidth="1"/>
    <col min="13" max="13" width="19.7109375" style="1838" hidden="1" customWidth="1"/>
    <col min="14" max="14" width="19.7109375" style="1836" hidden="1" customWidth="1"/>
    <col min="15" max="15" width="19.7109375" style="1838" hidden="1" customWidth="1"/>
    <col min="16" max="16" width="19.7109375" style="1836" hidden="1" customWidth="1"/>
    <col min="17" max="17" width="19.7109375" style="1838" hidden="1" customWidth="1"/>
    <col min="18" max="18" width="20.7109375" style="1836" hidden="1" customWidth="1"/>
    <col min="19" max="19" width="19.7109375" style="1838" hidden="1" customWidth="1"/>
    <col min="20" max="20" width="19.7109375" style="1836" hidden="1" customWidth="1"/>
    <col min="21" max="21" width="19.7109375" style="1838" hidden="1" customWidth="1"/>
    <col min="22" max="22" width="19.7109375" style="1836" hidden="1" customWidth="1"/>
    <col min="23" max="23" width="19.7109375" style="1838" hidden="1" customWidth="1"/>
    <col min="24" max="24" width="19.7109375" style="1836" hidden="1" customWidth="1"/>
    <col min="25" max="25" width="19.7109375" style="1838" hidden="1" customWidth="1"/>
    <col min="26" max="26" width="19.7109375" style="1836" hidden="1" customWidth="1"/>
    <col min="27" max="27" width="19.7109375" style="1838" hidden="1" customWidth="1"/>
    <col min="28" max="28" width="18.140625" style="370" hidden="1" customWidth="1"/>
    <col min="29" max="29" width="19.28515625" style="1769" hidden="1" customWidth="1"/>
    <col min="30" max="30" width="19.140625" style="1769" hidden="1" customWidth="1"/>
    <col min="31" max="31" width="23.42578125" style="1769" hidden="1" customWidth="1"/>
    <col min="32" max="41" width="20.28515625" style="1769" hidden="1" customWidth="1"/>
    <col min="42" max="42" width="17.42578125" style="1769" hidden="1" customWidth="1"/>
    <col min="43" max="48" width="20.28515625" style="1769" hidden="1" customWidth="1"/>
    <col min="49" max="49" width="23.85546875" style="1769" hidden="1" customWidth="1"/>
    <col min="50" max="55" width="20.140625" style="1769" hidden="1" customWidth="1"/>
    <col min="56" max="56" width="20" style="1769" hidden="1" customWidth="1"/>
    <col min="57" max="57" width="20.140625" style="1769" hidden="1" customWidth="1"/>
    <col min="58" max="68" width="20" style="1769" hidden="1" customWidth="1"/>
    <col min="69" max="69" width="23.85546875" style="1769" hidden="1" customWidth="1"/>
    <col min="70" max="75" width="20.140625" style="1769" hidden="1" customWidth="1"/>
    <col min="76" max="85" width="20.28515625" style="1769" hidden="1" customWidth="1"/>
    <col min="86" max="87" width="20.28515625" style="1129" hidden="1" customWidth="1"/>
    <col min="88" max="108" width="20.42578125" style="1769" hidden="1" customWidth="1"/>
    <col min="109" max="115" width="21.140625" style="1769" hidden="1" customWidth="1"/>
    <col min="116" max="116" width="17.7109375" style="1769" hidden="1" customWidth="1"/>
    <col min="117" max="117" width="23.85546875" style="1769" hidden="1" customWidth="1"/>
    <col min="118" max="118" width="17.7109375" style="1769" hidden="1" customWidth="1"/>
    <col min="119" max="119" width="24" style="1769" hidden="1" customWidth="1"/>
    <col min="120" max="120" width="17.7109375" style="1769" hidden="1" customWidth="1"/>
    <col min="121" max="121" width="24" style="1769" hidden="1" customWidth="1"/>
    <col min="122" max="149" width="18.7109375" style="1769" hidden="1" customWidth="1"/>
    <col min="150" max="197" width="21.42578125" style="1769" hidden="1" customWidth="1"/>
    <col min="198" max="199" width="21.42578125" style="1769" customWidth="1"/>
    <col min="200" max="203" width="21.42578125" style="1769" hidden="1" customWidth="1"/>
    <col min="204" max="205" width="21.42578125" style="1769" customWidth="1"/>
    <col min="206" max="209" width="21.42578125" style="1769" hidden="1" customWidth="1"/>
    <col min="210" max="211" width="21.42578125" style="1769" customWidth="1"/>
    <col min="212" max="215" width="21.42578125" style="1769" hidden="1" customWidth="1"/>
    <col min="216" max="229" width="21.42578125" style="1769" customWidth="1"/>
    <col min="230" max="230" width="65.5703125" style="1769" customWidth="1"/>
    <col min="231" max="231" width="9.140625" style="1769"/>
    <col min="232" max="232" width="16" style="1769" bestFit="1" customWidth="1"/>
    <col min="233" max="233" width="9.42578125" style="1769" bestFit="1" customWidth="1"/>
    <col min="234" max="234" width="9.7109375" style="1769" bestFit="1" customWidth="1"/>
    <col min="235" max="16384" width="9.140625" style="1769"/>
  </cols>
  <sheetData>
    <row r="2" spans="1:300" ht="41.25" customHeight="1">
      <c r="A2" s="2754" t="s">
        <v>4021</v>
      </c>
      <c r="B2" s="2754"/>
      <c r="C2" s="2754"/>
      <c r="D2" s="2754"/>
      <c r="E2" s="2754"/>
      <c r="F2" s="2754"/>
      <c r="G2" s="2754"/>
      <c r="H2" s="2754"/>
      <c r="I2" s="2754"/>
      <c r="J2" s="2754"/>
      <c r="K2" s="2754"/>
      <c r="L2" s="2754"/>
      <c r="M2" s="2754"/>
      <c r="N2" s="2754"/>
      <c r="O2" s="2754"/>
      <c r="P2" s="2754"/>
      <c r="Q2" s="2754"/>
      <c r="R2" s="2754"/>
      <c r="S2" s="2754"/>
      <c r="T2" s="2754"/>
      <c r="U2" s="2754"/>
      <c r="V2" s="2754"/>
      <c r="W2" s="2754"/>
      <c r="X2" s="2754"/>
      <c r="Y2" s="2754"/>
      <c r="Z2" s="2754"/>
      <c r="AA2" s="2754"/>
      <c r="AB2" s="2754"/>
      <c r="AC2" s="2754"/>
      <c r="AD2" s="2754"/>
      <c r="AE2" s="2754"/>
      <c r="AF2" s="2754"/>
      <c r="AG2" s="2754"/>
      <c r="AH2" s="2754"/>
      <c r="AI2" s="2754"/>
      <c r="AJ2" s="2754"/>
      <c r="AK2" s="2754"/>
      <c r="AL2" s="2754"/>
      <c r="AM2" s="2754"/>
      <c r="AN2" s="2754"/>
      <c r="AO2" s="2754"/>
      <c r="AP2" s="2754"/>
      <c r="AQ2" s="2754"/>
      <c r="AR2" s="2754"/>
      <c r="AS2" s="2754"/>
      <c r="AT2" s="2754"/>
      <c r="AU2" s="2754"/>
      <c r="AV2" s="2754"/>
      <c r="AW2" s="2754"/>
      <c r="AX2" s="2754"/>
      <c r="AY2" s="2754"/>
      <c r="AZ2" s="2754"/>
      <c r="BA2" s="2754"/>
      <c r="BB2" s="2754"/>
      <c r="BC2" s="2754"/>
      <c r="BD2" s="2754"/>
      <c r="BE2" s="2754"/>
      <c r="BF2" s="2754"/>
      <c r="BG2" s="2754"/>
      <c r="BH2" s="2754"/>
      <c r="BI2" s="2754"/>
      <c r="BJ2" s="2754"/>
      <c r="BK2" s="2754"/>
      <c r="BL2" s="2754"/>
      <c r="BM2" s="2754"/>
      <c r="BN2" s="2754"/>
      <c r="BO2" s="2754"/>
      <c r="BP2" s="2754"/>
      <c r="BQ2" s="2754"/>
      <c r="BR2" s="2754"/>
      <c r="BS2" s="2754"/>
      <c r="BT2" s="2754"/>
      <c r="BU2" s="2754"/>
      <c r="BV2" s="2754"/>
      <c r="BW2" s="2754"/>
      <c r="BX2" s="2754"/>
      <c r="BY2" s="2754"/>
      <c r="BZ2" s="2754"/>
      <c r="CA2" s="2754"/>
      <c r="CB2" s="2754"/>
      <c r="CC2" s="2754"/>
      <c r="CD2" s="2754"/>
      <c r="CE2" s="2754"/>
      <c r="CF2" s="2754"/>
      <c r="CG2" s="2754"/>
      <c r="CH2" s="2754"/>
      <c r="CI2" s="2754"/>
      <c r="CJ2" s="2754"/>
      <c r="CK2" s="2754"/>
      <c r="CL2" s="2754"/>
      <c r="CM2" s="2754"/>
      <c r="CN2" s="2754"/>
      <c r="CO2" s="2754"/>
      <c r="CP2" s="2754"/>
      <c r="CQ2" s="2754"/>
      <c r="CR2" s="2754"/>
      <c r="CS2" s="2754"/>
      <c r="CT2" s="2754"/>
      <c r="CU2" s="2754"/>
      <c r="CV2" s="2754"/>
      <c r="CW2" s="2754"/>
      <c r="CX2" s="2754"/>
      <c r="CY2" s="2754"/>
      <c r="CZ2" s="2754"/>
      <c r="DA2" s="2754"/>
      <c r="DB2" s="2754"/>
      <c r="DC2" s="2754"/>
      <c r="DD2" s="2754"/>
      <c r="DE2" s="2754"/>
      <c r="DF2" s="2754"/>
      <c r="DG2" s="2754"/>
      <c r="DH2" s="2754"/>
      <c r="DI2" s="2754"/>
      <c r="DJ2" s="2754"/>
      <c r="DK2" s="2754"/>
      <c r="DL2" s="2754"/>
      <c r="DM2" s="2754"/>
      <c r="DN2" s="2754"/>
      <c r="DO2" s="2754"/>
      <c r="DP2" s="2754"/>
      <c r="DQ2" s="2754"/>
      <c r="DR2" s="2754"/>
      <c r="DS2" s="2754"/>
      <c r="DT2" s="2754"/>
      <c r="DU2" s="2754"/>
      <c r="DV2" s="2754"/>
      <c r="DW2" s="2754"/>
      <c r="DX2" s="2754"/>
      <c r="DY2" s="2754"/>
      <c r="DZ2" s="2754"/>
      <c r="EA2" s="2754"/>
      <c r="EB2" s="2754"/>
      <c r="EC2" s="2754"/>
      <c r="ED2" s="2754"/>
      <c r="EE2" s="2754"/>
      <c r="EF2" s="2754"/>
      <c r="EG2" s="2754"/>
      <c r="EH2" s="2754"/>
      <c r="EI2" s="2754"/>
      <c r="EJ2" s="2754"/>
      <c r="EK2" s="2754"/>
      <c r="EL2" s="2754"/>
      <c r="EM2" s="2754"/>
      <c r="EN2" s="2754"/>
      <c r="EO2" s="2754"/>
      <c r="EP2" s="2754"/>
      <c r="EQ2" s="2754"/>
      <c r="ER2" s="2754"/>
      <c r="ES2" s="2754"/>
      <c r="ET2" s="2754"/>
      <c r="EU2" s="2754"/>
      <c r="EV2" s="2754"/>
      <c r="EW2" s="2754"/>
      <c r="EX2" s="2754"/>
      <c r="EY2" s="2754"/>
      <c r="EZ2" s="2754"/>
      <c r="FA2" s="2754"/>
      <c r="FB2" s="2754"/>
      <c r="FC2" s="2754"/>
      <c r="FD2" s="2754"/>
      <c r="FE2" s="2754"/>
      <c r="FF2" s="2754"/>
      <c r="FG2" s="2754"/>
      <c r="FH2" s="2754"/>
      <c r="FI2" s="2754"/>
      <c r="FJ2" s="2754"/>
      <c r="FK2" s="2754"/>
      <c r="FL2" s="2754"/>
      <c r="FM2" s="2754"/>
      <c r="FN2" s="2754"/>
      <c r="FO2" s="2754"/>
      <c r="FP2" s="2754"/>
      <c r="FQ2" s="2754"/>
      <c r="FR2" s="2754"/>
      <c r="FS2" s="2754"/>
      <c r="FT2" s="2754"/>
      <c r="FU2" s="2754"/>
      <c r="FV2" s="2754"/>
      <c r="FW2" s="2754"/>
      <c r="FX2" s="2754"/>
      <c r="FY2" s="2754"/>
      <c r="FZ2" s="2754"/>
      <c r="GA2" s="2754"/>
      <c r="GB2" s="2754"/>
      <c r="GC2" s="2754"/>
      <c r="GD2" s="2754"/>
      <c r="GE2" s="2754"/>
      <c r="GF2" s="2754"/>
      <c r="GG2" s="2754"/>
      <c r="GH2" s="2754"/>
      <c r="GI2" s="2754"/>
      <c r="GJ2" s="2754"/>
      <c r="GK2" s="2754"/>
      <c r="GL2" s="2754"/>
      <c r="GM2" s="2754"/>
      <c r="GN2" s="2754"/>
      <c r="GO2" s="2754"/>
      <c r="GP2" s="2754"/>
      <c r="GQ2" s="2754"/>
      <c r="GR2" s="2754"/>
      <c r="GS2" s="2754"/>
      <c r="GT2" s="2754"/>
      <c r="GU2" s="2754"/>
      <c r="GV2" s="2754"/>
      <c r="GW2" s="2754"/>
      <c r="GX2" s="2754"/>
      <c r="GY2" s="2754"/>
      <c r="GZ2" s="2754"/>
      <c r="HA2" s="2754"/>
      <c r="HB2" s="2754"/>
      <c r="HC2" s="2754"/>
      <c r="HD2" s="2754"/>
      <c r="HE2" s="2754"/>
      <c r="HF2" s="2754"/>
      <c r="HG2" s="2754"/>
      <c r="HH2" s="2754"/>
      <c r="HI2" s="2754"/>
      <c r="HJ2" s="2754"/>
      <c r="HK2" s="2754"/>
      <c r="HL2" s="2754"/>
      <c r="HM2" s="2754"/>
      <c r="HN2" s="2754"/>
      <c r="HO2" s="2754"/>
      <c r="HP2" s="2754"/>
      <c r="HQ2" s="2754"/>
      <c r="HR2" s="2754"/>
      <c r="HS2" s="2754"/>
      <c r="HT2" s="2754"/>
      <c r="HU2" s="2754"/>
      <c r="HV2" s="2754"/>
      <c r="HW2" s="1768"/>
      <c r="HX2" s="1768"/>
      <c r="HY2" s="1768"/>
      <c r="HZ2" s="1768"/>
      <c r="IA2" s="1768"/>
      <c r="IB2" s="1768"/>
      <c r="IC2" s="1768"/>
      <c r="ID2" s="1768"/>
      <c r="IE2" s="1768"/>
      <c r="IF2" s="1768"/>
      <c r="IG2" s="1768"/>
      <c r="IH2" s="1768"/>
      <c r="II2" s="1768"/>
      <c r="IJ2" s="1768"/>
      <c r="IK2" s="1768"/>
      <c r="IL2" s="1768"/>
      <c r="IM2" s="1768"/>
      <c r="IN2" s="1768"/>
      <c r="IO2" s="1768"/>
      <c r="IP2" s="1768"/>
      <c r="IQ2" s="1768"/>
      <c r="IR2" s="1768"/>
      <c r="IS2" s="1768"/>
      <c r="IT2" s="1768"/>
      <c r="IU2" s="1768"/>
      <c r="IV2" s="1768"/>
      <c r="IW2" s="1768"/>
      <c r="IX2" s="1768"/>
      <c r="IY2" s="1768"/>
      <c r="IZ2" s="1768"/>
      <c r="JA2" s="1768"/>
      <c r="JB2" s="1768"/>
      <c r="JC2" s="1768"/>
      <c r="JD2" s="1768"/>
      <c r="JE2" s="1768"/>
      <c r="JF2" s="1768"/>
      <c r="JG2" s="1768"/>
      <c r="JH2" s="1768"/>
      <c r="JI2" s="1768"/>
      <c r="JJ2" s="1768"/>
      <c r="JK2" s="1768"/>
      <c r="JL2" s="1768"/>
      <c r="JM2" s="1768"/>
      <c r="JN2" s="1768"/>
      <c r="JO2" s="1768"/>
      <c r="JP2" s="1768"/>
      <c r="JQ2" s="1768"/>
      <c r="JR2" s="1768"/>
      <c r="JS2" s="1768"/>
      <c r="JT2" s="1768"/>
      <c r="JU2" s="1768"/>
      <c r="JV2" s="1768"/>
      <c r="JW2" s="1768"/>
      <c r="JX2" s="1768"/>
      <c r="JY2" s="1768"/>
      <c r="JZ2" s="1768"/>
      <c r="KA2" s="1768"/>
      <c r="KB2" s="1768"/>
      <c r="KC2" s="1768"/>
      <c r="KD2" s="1768"/>
      <c r="KE2" s="1768"/>
      <c r="KF2" s="1768"/>
      <c r="KG2" s="1768"/>
      <c r="KH2" s="1768"/>
      <c r="KI2" s="1768"/>
      <c r="KJ2" s="1768"/>
    </row>
    <row r="3" spans="1:300" ht="47.25" customHeight="1">
      <c r="A3" s="2764" t="s">
        <v>4022</v>
      </c>
      <c r="B3" s="2764"/>
      <c r="C3" s="2764"/>
      <c r="D3" s="2764"/>
      <c r="E3" s="2764"/>
      <c r="F3" s="2764"/>
      <c r="G3" s="2764"/>
      <c r="H3" s="2764"/>
      <c r="I3" s="2764"/>
      <c r="J3" s="2764"/>
      <c r="K3" s="2764"/>
      <c r="L3" s="2764"/>
      <c r="M3" s="2764"/>
      <c r="N3" s="2764"/>
      <c r="O3" s="2764"/>
      <c r="P3" s="2764"/>
      <c r="Q3" s="2764"/>
      <c r="R3" s="2764"/>
      <c r="S3" s="2764"/>
      <c r="T3" s="2764"/>
      <c r="U3" s="2764"/>
      <c r="V3" s="2764"/>
      <c r="W3" s="2764"/>
      <c r="X3" s="2764"/>
      <c r="Y3" s="2764"/>
      <c r="Z3" s="2764"/>
      <c r="AA3" s="2764"/>
      <c r="AB3" s="2764"/>
      <c r="AC3" s="2764"/>
      <c r="AD3" s="2764"/>
      <c r="AE3" s="2764"/>
      <c r="AF3" s="2764"/>
      <c r="AG3" s="2764"/>
      <c r="AH3" s="2764"/>
      <c r="AI3" s="2764"/>
      <c r="AJ3" s="2764"/>
      <c r="AK3" s="2764"/>
      <c r="AL3" s="2764"/>
      <c r="AM3" s="2764"/>
      <c r="AN3" s="2764"/>
      <c r="AO3" s="2764"/>
      <c r="AP3" s="2764"/>
      <c r="AQ3" s="2764"/>
      <c r="AR3" s="2764"/>
      <c r="AS3" s="2764"/>
      <c r="AT3" s="2764"/>
      <c r="AU3" s="2764"/>
      <c r="AV3" s="2764"/>
      <c r="AW3" s="2764"/>
      <c r="AX3" s="2764"/>
      <c r="AY3" s="2764"/>
      <c r="AZ3" s="2764"/>
      <c r="BA3" s="2764"/>
      <c r="BB3" s="2764"/>
      <c r="BC3" s="2764"/>
      <c r="BD3" s="2764"/>
      <c r="BE3" s="2764"/>
      <c r="BF3" s="2764"/>
      <c r="BG3" s="2764"/>
      <c r="BH3" s="2764"/>
      <c r="BI3" s="2764"/>
      <c r="BJ3" s="2764"/>
      <c r="BK3" s="2764"/>
      <c r="BL3" s="2764"/>
      <c r="BM3" s="2764"/>
      <c r="BN3" s="2764"/>
      <c r="BO3" s="2764"/>
      <c r="BP3" s="2764"/>
      <c r="BQ3" s="2764"/>
      <c r="BR3" s="2764"/>
      <c r="BS3" s="2764"/>
      <c r="BT3" s="2764"/>
      <c r="BU3" s="2764"/>
      <c r="BV3" s="2764"/>
      <c r="BW3" s="2764"/>
      <c r="BX3" s="2764"/>
      <c r="BY3" s="2764"/>
      <c r="BZ3" s="2764"/>
      <c r="CA3" s="2764"/>
      <c r="CB3" s="2764"/>
      <c r="CC3" s="2764"/>
      <c r="CD3" s="2764"/>
      <c r="CE3" s="2764"/>
      <c r="CF3" s="2764"/>
      <c r="CG3" s="2764"/>
      <c r="CH3" s="2764"/>
      <c r="CI3" s="2764"/>
      <c r="CJ3" s="2764"/>
      <c r="CK3" s="2764"/>
      <c r="CL3" s="2764"/>
      <c r="CM3" s="2764"/>
      <c r="CN3" s="2764"/>
      <c r="CO3" s="2764"/>
      <c r="CP3" s="2764"/>
      <c r="CQ3" s="2764"/>
      <c r="CR3" s="2764"/>
      <c r="CS3" s="2764"/>
      <c r="CT3" s="2764"/>
      <c r="CU3" s="2764"/>
      <c r="CV3" s="2764"/>
      <c r="CW3" s="2764"/>
      <c r="CX3" s="2764"/>
      <c r="CY3" s="2764"/>
      <c r="CZ3" s="2764"/>
      <c r="DA3" s="2764"/>
      <c r="DB3" s="2764"/>
      <c r="DC3" s="2764"/>
      <c r="DD3" s="2764"/>
      <c r="DE3" s="2764"/>
      <c r="DF3" s="2764"/>
      <c r="DG3" s="2764"/>
      <c r="DH3" s="2764"/>
      <c r="DI3" s="2764"/>
      <c r="DJ3" s="2764"/>
      <c r="DK3" s="2764"/>
      <c r="DL3" s="2764"/>
      <c r="DM3" s="2764"/>
      <c r="DN3" s="2764"/>
      <c r="DO3" s="2764"/>
      <c r="DP3" s="2764"/>
      <c r="DQ3" s="2764"/>
      <c r="DR3" s="2764"/>
      <c r="DS3" s="2764"/>
      <c r="DT3" s="2764"/>
      <c r="DU3" s="2764"/>
      <c r="DV3" s="2764"/>
      <c r="DW3" s="2764"/>
      <c r="DX3" s="2764"/>
      <c r="DY3" s="2764"/>
      <c r="DZ3" s="2764"/>
      <c r="EA3" s="2764"/>
      <c r="EB3" s="2764"/>
      <c r="EC3" s="2764"/>
      <c r="ED3" s="2764"/>
      <c r="EE3" s="2764"/>
      <c r="EF3" s="2764"/>
      <c r="EG3" s="2764"/>
      <c r="EH3" s="2764"/>
      <c r="EI3" s="2764"/>
      <c r="EJ3" s="2764"/>
      <c r="EK3" s="2764"/>
      <c r="EL3" s="2764"/>
      <c r="EM3" s="2764"/>
      <c r="EN3" s="2764"/>
      <c r="EO3" s="2764"/>
      <c r="EP3" s="2764"/>
      <c r="EQ3" s="2764"/>
      <c r="ER3" s="2764"/>
      <c r="ES3" s="2764"/>
      <c r="ET3" s="2764"/>
      <c r="EU3" s="2764"/>
      <c r="EV3" s="2764"/>
      <c r="EW3" s="2764"/>
      <c r="EX3" s="2764"/>
      <c r="EY3" s="2764"/>
      <c r="EZ3" s="2764"/>
      <c r="FA3" s="2764"/>
      <c r="FB3" s="2764"/>
      <c r="FC3" s="2764"/>
      <c r="FD3" s="2764"/>
      <c r="FE3" s="2764"/>
      <c r="FF3" s="2764"/>
      <c r="FG3" s="2764"/>
      <c r="FH3" s="2764"/>
      <c r="FI3" s="2764"/>
      <c r="FJ3" s="2764"/>
      <c r="FK3" s="2764"/>
      <c r="FL3" s="2764"/>
      <c r="FM3" s="2764"/>
      <c r="FN3" s="2764"/>
      <c r="FO3" s="2764"/>
      <c r="FP3" s="2764"/>
      <c r="FQ3" s="2764"/>
      <c r="FR3" s="2764"/>
      <c r="FS3" s="2764"/>
      <c r="FT3" s="2764"/>
      <c r="FU3" s="2764"/>
      <c r="FV3" s="2764"/>
      <c r="FW3" s="2764"/>
      <c r="FX3" s="2764"/>
      <c r="FY3" s="2764"/>
      <c r="FZ3" s="2764"/>
      <c r="GA3" s="2764"/>
      <c r="GB3" s="2764"/>
      <c r="GC3" s="2764"/>
      <c r="GD3" s="2764"/>
      <c r="GE3" s="2764"/>
      <c r="GF3" s="2764"/>
      <c r="GG3" s="2764"/>
      <c r="GH3" s="2764"/>
      <c r="GI3" s="2764"/>
      <c r="GJ3" s="2764"/>
      <c r="GK3" s="2764"/>
      <c r="GL3" s="2764"/>
      <c r="GM3" s="2764"/>
      <c r="GN3" s="2764"/>
      <c r="GO3" s="2764"/>
      <c r="GP3" s="2764"/>
      <c r="GQ3" s="2764"/>
      <c r="GR3" s="2764"/>
      <c r="GS3" s="2764"/>
      <c r="GT3" s="2764"/>
      <c r="GU3" s="2764"/>
      <c r="GV3" s="2764"/>
      <c r="GW3" s="2764"/>
      <c r="GX3" s="2764"/>
      <c r="GY3" s="2764"/>
      <c r="GZ3" s="2764"/>
      <c r="HA3" s="2764"/>
      <c r="HB3" s="2764"/>
      <c r="HC3" s="2764"/>
      <c r="HD3" s="2764"/>
      <c r="HE3" s="2764"/>
      <c r="HF3" s="2764"/>
      <c r="HG3" s="2764"/>
      <c r="HH3" s="2764"/>
      <c r="HI3" s="2764"/>
      <c r="HJ3" s="2764"/>
      <c r="HK3" s="2764"/>
      <c r="HL3" s="2764"/>
      <c r="HM3" s="2764"/>
      <c r="HN3" s="2764"/>
      <c r="HO3" s="2764"/>
      <c r="HP3" s="2764"/>
      <c r="HQ3" s="2764"/>
      <c r="HR3" s="2764"/>
      <c r="HS3" s="2764"/>
      <c r="HT3" s="2764"/>
      <c r="HU3" s="2764"/>
      <c r="HV3" s="2764"/>
      <c r="HW3" s="1768"/>
      <c r="HX3" s="1768"/>
      <c r="HY3" s="1768"/>
      <c r="HZ3" s="1768"/>
      <c r="IA3" s="1768"/>
      <c r="IB3" s="1768"/>
      <c r="IC3" s="1768"/>
      <c r="ID3" s="1768"/>
      <c r="IE3" s="1768"/>
      <c r="IF3" s="1768"/>
      <c r="IG3" s="1768"/>
      <c r="IH3" s="1768"/>
      <c r="II3" s="1768"/>
      <c r="IJ3" s="1768"/>
      <c r="IK3" s="1768"/>
      <c r="IL3" s="1768"/>
      <c r="IM3" s="1768"/>
      <c r="IN3" s="1768"/>
      <c r="IO3" s="1768"/>
      <c r="IP3" s="1768"/>
      <c r="IQ3" s="1768"/>
      <c r="IR3" s="1768"/>
      <c r="IS3" s="1768"/>
      <c r="IT3" s="1768"/>
      <c r="IU3" s="1768"/>
      <c r="IV3" s="1768"/>
      <c r="IW3" s="1768"/>
      <c r="IX3" s="1768"/>
      <c r="IY3" s="1768"/>
      <c r="IZ3" s="1768"/>
      <c r="JA3" s="1768"/>
      <c r="JB3" s="1768"/>
      <c r="JC3" s="1768"/>
      <c r="JD3" s="1768"/>
      <c r="JE3" s="1768"/>
      <c r="JF3" s="1768"/>
      <c r="JG3" s="1768"/>
      <c r="JH3" s="1768"/>
      <c r="JI3" s="1768"/>
      <c r="JJ3" s="1768"/>
      <c r="JK3" s="1768"/>
      <c r="JL3" s="1768"/>
      <c r="JM3" s="1768"/>
      <c r="JN3" s="1768"/>
      <c r="JO3" s="1768"/>
      <c r="JP3" s="1768"/>
      <c r="JQ3" s="1768"/>
      <c r="JR3" s="1768"/>
      <c r="JS3" s="1768"/>
      <c r="JT3" s="1768"/>
      <c r="JU3" s="1768"/>
      <c r="JV3" s="1768"/>
      <c r="JW3" s="1768"/>
      <c r="JX3" s="1768"/>
      <c r="JY3" s="1768"/>
      <c r="JZ3" s="1768"/>
      <c r="KA3" s="1768"/>
      <c r="KB3" s="1768"/>
      <c r="KC3" s="1768"/>
      <c r="KD3" s="1768"/>
      <c r="KE3" s="1768"/>
      <c r="KF3" s="1768"/>
      <c r="KG3" s="1768"/>
      <c r="KH3" s="1768"/>
      <c r="KI3" s="1768"/>
      <c r="KJ3" s="1768"/>
    </row>
    <row r="4" spans="1:300" ht="22.5" customHeight="1">
      <c r="A4" s="1103"/>
      <c r="B4" s="1103"/>
      <c r="C4" s="1103"/>
      <c r="D4" s="1103"/>
      <c r="E4" s="1103"/>
      <c r="F4" s="1103"/>
      <c r="G4" s="1103"/>
      <c r="H4" s="1103"/>
      <c r="I4" s="1103"/>
      <c r="J4" s="1103"/>
      <c r="K4" s="1103"/>
      <c r="L4" s="1103"/>
      <c r="M4" s="1103"/>
      <c r="N4" s="1103"/>
      <c r="O4" s="1103"/>
      <c r="P4" s="1103"/>
      <c r="Q4" s="1103"/>
      <c r="R4" s="1103"/>
      <c r="S4" s="1103"/>
      <c r="T4" s="1103"/>
      <c r="U4" s="1103"/>
      <c r="V4" s="1103"/>
      <c r="W4" s="1103"/>
      <c r="X4" s="1103"/>
      <c r="Y4" s="1103"/>
      <c r="Z4" s="1103"/>
      <c r="AA4" s="1103"/>
      <c r="AB4" s="1103"/>
      <c r="AC4" s="1103"/>
      <c r="AD4" s="1103"/>
      <c r="AE4" s="1103"/>
      <c r="AF4" s="1103"/>
      <c r="AG4" s="1103"/>
      <c r="AH4" s="1103"/>
      <c r="AI4" s="1103"/>
      <c r="AJ4" s="1103"/>
      <c r="AK4" s="1103"/>
      <c r="AL4" s="1103"/>
      <c r="AM4" s="1103"/>
      <c r="AN4" s="1103"/>
      <c r="AO4" s="1103"/>
      <c r="AP4" s="1103"/>
      <c r="AQ4" s="1103"/>
      <c r="AR4" s="1103"/>
      <c r="AS4" s="1103"/>
      <c r="AT4" s="1103"/>
      <c r="AU4" s="1103"/>
      <c r="AV4" s="1103"/>
      <c r="AW4" s="1103"/>
      <c r="AX4" s="1103"/>
      <c r="AY4" s="1103"/>
      <c r="AZ4" s="1103"/>
      <c r="BA4" s="1103"/>
      <c r="BB4" s="1103"/>
      <c r="BC4" s="1103"/>
      <c r="BD4" s="1103"/>
      <c r="BE4" s="1103"/>
      <c r="BF4" s="1103"/>
      <c r="BG4" s="1103"/>
      <c r="BH4" s="1103"/>
      <c r="BI4" s="1103"/>
      <c r="BJ4" s="1103"/>
      <c r="BK4" s="1103"/>
      <c r="BL4" s="1103"/>
      <c r="BM4" s="1103"/>
      <c r="BN4" s="1103"/>
      <c r="BO4" s="1103"/>
      <c r="BP4" s="1103"/>
      <c r="BQ4" s="1103"/>
      <c r="BR4" s="1103"/>
      <c r="BS4" s="1103"/>
      <c r="BT4" s="1103"/>
      <c r="BU4" s="1103"/>
      <c r="BV4" s="1103"/>
      <c r="BW4" s="1103"/>
      <c r="BX4" s="1103"/>
      <c r="BY4" s="1103"/>
      <c r="BZ4" s="1103"/>
      <c r="CA4" s="1103"/>
      <c r="CB4" s="1103"/>
      <c r="CC4" s="1103"/>
      <c r="CD4" s="1103"/>
      <c r="CE4" s="1103"/>
      <c r="CF4" s="1103"/>
      <c r="CG4" s="1103"/>
      <c r="CH4" s="1103"/>
      <c r="CI4" s="1103"/>
      <c r="CJ4" s="1103"/>
      <c r="CK4" s="1103"/>
      <c r="CL4" s="1103"/>
      <c r="CM4" s="1103"/>
      <c r="CN4" s="1103"/>
      <c r="CO4" s="1103"/>
      <c r="CP4" s="1103"/>
      <c r="CQ4" s="1103"/>
      <c r="CR4" s="1103"/>
      <c r="CS4" s="1103"/>
      <c r="CT4" s="1103"/>
      <c r="CU4" s="1103"/>
      <c r="CV4" s="1103"/>
      <c r="CW4" s="1103"/>
      <c r="CX4" s="1103"/>
      <c r="CY4" s="1103"/>
      <c r="CZ4" s="1103"/>
      <c r="DA4" s="1103"/>
      <c r="DB4" s="1103"/>
      <c r="DC4" s="1103"/>
      <c r="DD4" s="1103"/>
      <c r="DE4" s="1103"/>
      <c r="DF4" s="1103"/>
      <c r="DG4" s="1103"/>
      <c r="DH4" s="1103"/>
      <c r="DI4" s="1103"/>
      <c r="DJ4" s="1103"/>
      <c r="DK4" s="1103"/>
      <c r="DL4" s="1103"/>
      <c r="DM4" s="1103"/>
      <c r="DN4" s="1103"/>
      <c r="DO4" s="1103"/>
      <c r="DP4" s="1103"/>
      <c r="DQ4" s="1103"/>
      <c r="DR4" s="1103"/>
      <c r="DS4" s="1103"/>
      <c r="DT4" s="1103"/>
      <c r="DU4" s="1103"/>
      <c r="DV4" s="1103"/>
      <c r="DW4" s="1103"/>
      <c r="DX4" s="1103"/>
      <c r="DY4" s="1103"/>
      <c r="DZ4" s="1103"/>
      <c r="EA4" s="1103"/>
      <c r="EB4" s="1103"/>
      <c r="EC4" s="1103"/>
      <c r="ED4" s="1103"/>
      <c r="EE4" s="1103"/>
      <c r="EF4" s="1103"/>
      <c r="EG4" s="1103"/>
      <c r="EH4" s="1103"/>
      <c r="EI4" s="1103"/>
      <c r="EJ4" s="1103"/>
      <c r="EK4" s="1103"/>
      <c r="EL4" s="1103"/>
      <c r="EM4" s="1103"/>
      <c r="EN4" s="1103"/>
      <c r="EO4" s="1103"/>
      <c r="EP4" s="1103"/>
      <c r="EQ4" s="1103"/>
      <c r="ER4" s="1103"/>
      <c r="ES4" s="1103"/>
      <c r="ET4" s="1103"/>
      <c r="EU4" s="1103"/>
      <c r="EV4" s="1103"/>
      <c r="EW4" s="1103"/>
      <c r="EX4" s="1103"/>
      <c r="EY4" s="1103"/>
      <c r="EZ4" s="1103"/>
      <c r="FA4" s="1103"/>
      <c r="FB4" s="1103"/>
      <c r="FC4" s="1103"/>
      <c r="FD4" s="1103"/>
      <c r="FE4" s="1103"/>
      <c r="FF4" s="1103"/>
      <c r="FG4" s="1103"/>
      <c r="FH4" s="1103"/>
      <c r="FI4" s="1103"/>
      <c r="FJ4" s="1103"/>
      <c r="FK4" s="1103"/>
      <c r="FL4" s="1103"/>
      <c r="FM4" s="1103"/>
      <c r="FN4" s="1103"/>
      <c r="FO4" s="1103"/>
      <c r="FP4" s="1103"/>
      <c r="FQ4" s="1103"/>
      <c r="FR4" s="1103"/>
      <c r="FS4" s="1103"/>
      <c r="FT4" s="1103"/>
      <c r="FU4" s="1103"/>
      <c r="FV4" s="1103"/>
      <c r="FW4" s="1103"/>
      <c r="FX4" s="1103"/>
      <c r="FY4" s="1103"/>
      <c r="FZ4" s="1103"/>
      <c r="GA4" s="1103"/>
      <c r="GB4" s="1103"/>
      <c r="GC4" s="1103"/>
      <c r="GD4" s="1103"/>
      <c r="GE4" s="1103"/>
      <c r="GF4" s="1103"/>
      <c r="GG4" s="1103"/>
      <c r="GH4" s="1103"/>
      <c r="GI4" s="1103"/>
      <c r="GJ4" s="1103"/>
      <c r="GK4" s="1103"/>
      <c r="GL4" s="1103"/>
      <c r="GM4" s="1103"/>
      <c r="GN4" s="1103"/>
      <c r="GO4" s="1103"/>
      <c r="GP4" s="1103"/>
      <c r="GQ4" s="1103"/>
      <c r="GR4" s="1103"/>
      <c r="GS4" s="1103"/>
      <c r="GT4" s="1103"/>
      <c r="GU4" s="1103"/>
      <c r="GV4" s="1103"/>
      <c r="GW4" s="1103"/>
      <c r="GX4" s="1103"/>
      <c r="GY4" s="1103"/>
      <c r="GZ4" s="1103"/>
      <c r="HA4" s="1103"/>
      <c r="HB4" s="1103"/>
      <c r="HC4" s="1103"/>
      <c r="HD4" s="1103"/>
      <c r="HE4" s="1103"/>
      <c r="HF4" s="1103"/>
      <c r="HG4" s="1103"/>
      <c r="HH4" s="1103"/>
      <c r="HI4" s="1103"/>
      <c r="HJ4" s="1103"/>
      <c r="HK4" s="1103"/>
      <c r="HL4" s="1103"/>
      <c r="HM4" s="1103"/>
      <c r="HN4" s="1103"/>
      <c r="HO4" s="1103"/>
      <c r="HP4" s="1103"/>
      <c r="HQ4" s="1103"/>
      <c r="HR4" s="1103"/>
      <c r="HS4" s="1103"/>
      <c r="HT4" s="1103"/>
      <c r="HU4" s="1103"/>
      <c r="HV4" s="1103"/>
      <c r="HW4" s="1768"/>
      <c r="HX4" s="1768"/>
      <c r="HY4" s="1768"/>
      <c r="HZ4" s="1768"/>
      <c r="IA4" s="1768"/>
      <c r="IB4" s="1768"/>
      <c r="IC4" s="1768"/>
      <c r="ID4" s="1768"/>
      <c r="IE4" s="1768"/>
      <c r="IF4" s="1768"/>
      <c r="IG4" s="1768"/>
      <c r="IH4" s="1768"/>
      <c r="II4" s="1768"/>
      <c r="IJ4" s="1768"/>
      <c r="IK4" s="1768"/>
      <c r="IL4" s="1768"/>
      <c r="IM4" s="1768"/>
      <c r="IN4" s="1768"/>
      <c r="IO4" s="1768"/>
      <c r="IP4" s="1768"/>
      <c r="IQ4" s="1768"/>
      <c r="IR4" s="1768"/>
      <c r="IS4" s="1768"/>
      <c r="IT4" s="1768"/>
      <c r="IU4" s="1768"/>
      <c r="IV4" s="1768"/>
      <c r="IW4" s="1768"/>
      <c r="IX4" s="1768"/>
      <c r="IY4" s="1768"/>
      <c r="IZ4" s="1768"/>
      <c r="JA4" s="1768"/>
      <c r="JB4" s="1768"/>
      <c r="JC4" s="1768"/>
      <c r="JD4" s="1768"/>
      <c r="JE4" s="1768"/>
      <c r="JF4" s="1768"/>
      <c r="JG4" s="1768"/>
      <c r="JH4" s="1768"/>
      <c r="JI4" s="1768"/>
      <c r="JJ4" s="1768"/>
      <c r="JK4" s="1768"/>
      <c r="JL4" s="1768"/>
      <c r="JM4" s="1768"/>
      <c r="JN4" s="1768"/>
      <c r="JO4" s="1768"/>
      <c r="JP4" s="1768"/>
      <c r="JQ4" s="1768"/>
      <c r="JR4" s="1768"/>
      <c r="JS4" s="1768"/>
      <c r="JT4" s="1768"/>
      <c r="JU4" s="1768"/>
      <c r="JV4" s="1768"/>
      <c r="JW4" s="1768"/>
      <c r="JX4" s="1768"/>
      <c r="JY4" s="1768"/>
      <c r="JZ4" s="1768"/>
      <c r="KA4" s="1768"/>
      <c r="KB4" s="1768"/>
      <c r="KC4" s="1768"/>
      <c r="KD4" s="1768"/>
      <c r="KE4" s="1768"/>
      <c r="KF4" s="1768"/>
      <c r="KG4" s="1768"/>
      <c r="KH4" s="1768"/>
      <c r="KI4" s="1768"/>
      <c r="KJ4" s="1768"/>
    </row>
    <row r="5" spans="1:300" s="1771" customFormat="1" ht="22.5" customHeight="1">
      <c r="A5" s="1102"/>
      <c r="B5" s="1102"/>
      <c r="C5" s="1102"/>
      <c r="D5" s="1102"/>
      <c r="E5" s="1102"/>
      <c r="F5" s="1102"/>
      <c r="G5" s="1102"/>
      <c r="H5" s="1102"/>
      <c r="I5" s="1102"/>
      <c r="J5" s="1102"/>
      <c r="K5" s="1102"/>
      <c r="L5" s="1102"/>
      <c r="M5" s="1102"/>
      <c r="N5" s="1102"/>
      <c r="O5" s="1102"/>
      <c r="P5" s="1102"/>
      <c r="Q5" s="1102"/>
      <c r="R5" s="1102"/>
      <c r="S5" s="1102"/>
      <c r="T5" s="1102"/>
      <c r="U5" s="1102"/>
      <c r="V5" s="1102"/>
      <c r="W5" s="1102"/>
      <c r="X5" s="1102"/>
      <c r="Y5" s="1102"/>
      <c r="Z5" s="1102"/>
      <c r="AA5" s="1102"/>
      <c r="AB5" s="1102"/>
      <c r="AC5" s="1102"/>
      <c r="AD5" s="1102"/>
      <c r="AE5" s="1102"/>
      <c r="AF5" s="1102"/>
      <c r="AG5" s="1102"/>
      <c r="AH5" s="1102"/>
      <c r="AI5" s="1102"/>
      <c r="AJ5" s="1102"/>
      <c r="AK5" s="1102"/>
      <c r="AL5" s="1102"/>
      <c r="AM5" s="1102"/>
      <c r="AN5" s="1102"/>
      <c r="AO5" s="1102"/>
      <c r="AP5" s="1102"/>
      <c r="AQ5" s="1102"/>
      <c r="AR5" s="1102"/>
      <c r="AS5" s="1102"/>
      <c r="AT5" s="1102"/>
      <c r="AU5" s="1102"/>
      <c r="AV5" s="1102"/>
      <c r="AW5" s="1102"/>
      <c r="AX5" s="1102"/>
      <c r="AY5" s="1102"/>
      <c r="AZ5" s="1102"/>
      <c r="BA5" s="1102"/>
      <c r="BB5" s="1102"/>
      <c r="BC5" s="1102"/>
      <c r="BD5" s="1102"/>
      <c r="BE5" s="1102"/>
      <c r="BF5" s="1102"/>
      <c r="BG5" s="1102"/>
      <c r="BH5" s="1102"/>
      <c r="BI5" s="1102"/>
      <c r="BJ5" s="1102"/>
      <c r="BK5" s="1102"/>
      <c r="BL5" s="1102"/>
      <c r="BM5" s="1102"/>
      <c r="BN5" s="1102"/>
      <c r="BO5" s="1102"/>
      <c r="BP5" s="1102"/>
      <c r="BQ5" s="1102"/>
      <c r="BR5" s="1102"/>
      <c r="BS5" s="1102"/>
      <c r="BT5" s="1102"/>
      <c r="BU5" s="1102"/>
      <c r="BV5" s="1102"/>
      <c r="BW5" s="1102"/>
      <c r="BX5" s="1102"/>
      <c r="BY5" s="1102"/>
      <c r="BZ5" s="1102"/>
      <c r="CA5" s="1102"/>
      <c r="CB5" s="1102"/>
      <c r="CC5" s="1102"/>
      <c r="CD5" s="1102"/>
      <c r="CE5" s="1102"/>
      <c r="CF5" s="1102"/>
      <c r="CG5" s="1102"/>
      <c r="CH5" s="1102"/>
      <c r="CI5" s="1102"/>
      <c r="CJ5" s="1102"/>
      <c r="CK5" s="1102"/>
      <c r="CL5" s="1102"/>
      <c r="CM5" s="1102"/>
      <c r="CN5" s="1102"/>
      <c r="CO5" s="1102"/>
      <c r="CP5" s="1102"/>
      <c r="CQ5" s="1102"/>
      <c r="CR5" s="1102"/>
      <c r="CS5" s="1102"/>
      <c r="CT5" s="1102"/>
      <c r="CU5" s="1102"/>
      <c r="CV5" s="1102"/>
      <c r="CW5" s="1102"/>
      <c r="CX5" s="1102"/>
      <c r="CY5" s="1102"/>
      <c r="CZ5" s="1102"/>
      <c r="DA5" s="1102"/>
      <c r="DB5" s="1102"/>
      <c r="DC5" s="1102"/>
      <c r="DD5" s="1102"/>
      <c r="DE5" s="1102"/>
      <c r="DF5" s="1102"/>
      <c r="DG5" s="1102"/>
      <c r="DH5" s="1102"/>
      <c r="DI5" s="1102"/>
      <c r="DJ5" s="1102"/>
      <c r="DK5" s="1102"/>
      <c r="DL5" s="1102"/>
      <c r="DM5" s="1102"/>
      <c r="DN5" s="1102"/>
      <c r="DO5" s="1102"/>
      <c r="DP5" s="1102"/>
      <c r="DQ5" s="1102"/>
      <c r="DR5" s="1102"/>
      <c r="DS5" s="1102"/>
      <c r="DT5" s="1102"/>
      <c r="DU5" s="1102"/>
      <c r="DV5" s="1102"/>
      <c r="DW5" s="1102"/>
      <c r="DX5" s="1102"/>
      <c r="DY5" s="1102"/>
      <c r="DZ5" s="1102"/>
      <c r="EA5" s="1102"/>
      <c r="EB5" s="1102"/>
      <c r="EC5" s="1102"/>
      <c r="ED5" s="1102"/>
      <c r="EE5" s="1102"/>
      <c r="EF5" s="1102"/>
      <c r="EG5" s="1102"/>
      <c r="EH5" s="1102"/>
      <c r="EI5" s="1102"/>
      <c r="EJ5" s="2736" t="s">
        <v>3096</v>
      </c>
      <c r="EK5" s="2736"/>
      <c r="EL5" s="2736"/>
      <c r="EM5" s="2736"/>
      <c r="EN5" s="2736"/>
      <c r="EO5" s="2736"/>
      <c r="EP5" s="2736"/>
      <c r="EQ5" s="2736"/>
      <c r="ER5" s="2736"/>
      <c r="ES5" s="2736"/>
      <c r="ET5" s="2736"/>
      <c r="EU5" s="2736"/>
      <c r="EV5" s="2736"/>
      <c r="EW5" s="2736"/>
      <c r="EX5" s="2736"/>
      <c r="EY5" s="2736"/>
      <c r="EZ5" s="2736"/>
      <c r="FA5" s="2736"/>
      <c r="FB5" s="2736"/>
      <c r="FC5" s="2736"/>
      <c r="FD5" s="2736"/>
      <c r="FE5" s="2736"/>
      <c r="FF5" s="2736"/>
      <c r="FG5" s="2736"/>
      <c r="FH5" s="2736"/>
      <c r="FI5" s="2736"/>
      <c r="FJ5" s="2736"/>
      <c r="FK5" s="2736"/>
      <c r="FL5" s="2736"/>
      <c r="FM5" s="2736"/>
      <c r="FN5" s="2736"/>
      <c r="FO5" s="2736"/>
      <c r="FP5" s="2736"/>
      <c r="FQ5" s="2736"/>
      <c r="FR5" s="2736"/>
      <c r="FS5" s="2736"/>
      <c r="FT5" s="2736"/>
      <c r="FU5" s="2736"/>
      <c r="FV5" s="2736"/>
      <c r="FW5" s="2736"/>
      <c r="FX5" s="2736"/>
      <c r="FY5" s="2736"/>
      <c r="FZ5" s="2736"/>
      <c r="GA5" s="2736"/>
      <c r="GB5" s="2736"/>
      <c r="GC5" s="2736"/>
      <c r="GD5" s="2736"/>
      <c r="GE5" s="2736"/>
      <c r="GF5" s="2736"/>
      <c r="GG5" s="2736"/>
      <c r="GH5" s="2736"/>
      <c r="GI5" s="2736"/>
      <c r="GJ5" s="2736"/>
      <c r="GK5" s="2736"/>
      <c r="GL5" s="2736"/>
      <c r="GM5" s="2736"/>
      <c r="GN5" s="2736"/>
      <c r="GO5" s="2736"/>
      <c r="GP5" s="2736"/>
      <c r="GQ5" s="2736"/>
      <c r="GR5" s="2736"/>
      <c r="GS5" s="2736"/>
      <c r="GT5" s="2736"/>
      <c r="GU5" s="2736"/>
      <c r="GV5" s="2736"/>
      <c r="GW5" s="2736"/>
      <c r="GX5" s="2736"/>
      <c r="GY5" s="2736"/>
      <c r="GZ5" s="2736"/>
      <c r="HA5" s="2736"/>
      <c r="HB5" s="2736"/>
      <c r="HC5" s="2736"/>
      <c r="HD5" s="2736"/>
      <c r="HE5" s="2736"/>
      <c r="HF5" s="2736"/>
      <c r="HG5" s="2736"/>
      <c r="HH5" s="2736"/>
      <c r="HI5" s="2736"/>
      <c r="HJ5" s="2736"/>
      <c r="HK5" s="2736"/>
      <c r="HL5" s="2736"/>
      <c r="HM5" s="2736"/>
      <c r="HN5" s="2736"/>
      <c r="HO5" s="2736"/>
      <c r="HP5" s="2736"/>
      <c r="HQ5" s="2736"/>
      <c r="HR5" s="2736"/>
      <c r="HS5" s="2736"/>
      <c r="HT5" s="2736"/>
      <c r="HU5" s="2736"/>
      <c r="HV5" s="2736"/>
      <c r="HW5" s="1770"/>
      <c r="HX5" s="1770"/>
      <c r="HY5" s="1770"/>
      <c r="HZ5" s="1770"/>
      <c r="IA5" s="1770"/>
      <c r="IB5" s="1770"/>
      <c r="IC5" s="1770"/>
      <c r="ID5" s="1770"/>
      <c r="IE5" s="1770"/>
      <c r="IF5" s="1770"/>
      <c r="IG5" s="1770"/>
      <c r="IH5" s="1770"/>
      <c r="II5" s="1770"/>
      <c r="IJ5" s="1770"/>
      <c r="IK5" s="1770"/>
      <c r="IL5" s="1770"/>
      <c r="IM5" s="1770"/>
      <c r="IN5" s="1770"/>
      <c r="IO5" s="1770"/>
      <c r="IP5" s="1770"/>
      <c r="IQ5" s="1770"/>
      <c r="IR5" s="1770"/>
      <c r="IS5" s="1770"/>
      <c r="IT5" s="1770"/>
      <c r="IU5" s="1770"/>
      <c r="IV5" s="1770"/>
      <c r="IW5" s="1770"/>
      <c r="IX5" s="1770"/>
      <c r="IY5" s="1770"/>
      <c r="IZ5" s="1770"/>
      <c r="JA5" s="1770"/>
      <c r="JB5" s="1770"/>
      <c r="JC5" s="1770"/>
      <c r="JD5" s="1770"/>
      <c r="JE5" s="1770"/>
      <c r="JF5" s="1770"/>
      <c r="JG5" s="1770"/>
      <c r="JH5" s="1770"/>
      <c r="JI5" s="1770"/>
      <c r="JJ5" s="1770"/>
      <c r="JK5" s="1770"/>
      <c r="JL5" s="1770"/>
      <c r="JM5" s="1770"/>
      <c r="JN5" s="1770"/>
      <c r="JO5" s="1770"/>
      <c r="JP5" s="1770"/>
      <c r="JQ5" s="1770"/>
      <c r="JR5" s="1770"/>
      <c r="JS5" s="1770"/>
      <c r="JT5" s="1770"/>
      <c r="JU5" s="1770"/>
      <c r="JV5" s="1770"/>
      <c r="JW5" s="1770"/>
      <c r="JX5" s="1770"/>
      <c r="JY5" s="1770"/>
      <c r="JZ5" s="1770"/>
      <c r="KA5" s="1770"/>
      <c r="KB5" s="1770"/>
      <c r="KC5" s="1770"/>
      <c r="KD5" s="1770"/>
      <c r="KE5" s="1770"/>
      <c r="KF5" s="1770"/>
      <c r="KG5" s="1770"/>
      <c r="KH5" s="1770"/>
      <c r="KI5" s="1770"/>
      <c r="KJ5" s="1770"/>
      <c r="KK5" s="1770"/>
      <c r="KL5" s="1770"/>
      <c r="KM5" s="1770"/>
      <c r="KN5" s="1770"/>
    </row>
    <row r="6" spans="1:300" s="1773" customFormat="1" ht="27" customHeight="1">
      <c r="A6" s="1772"/>
      <c r="B6" s="2765">
        <v>2017</v>
      </c>
      <c r="C6" s="2765"/>
      <c r="D6" s="2765"/>
      <c r="E6" s="2765"/>
      <c r="F6" s="2765"/>
      <c r="G6" s="2765"/>
      <c r="H6" s="2765"/>
      <c r="I6" s="2765"/>
      <c r="J6" s="2765"/>
      <c r="K6" s="2765"/>
      <c r="L6" s="2765"/>
      <c r="M6" s="2765"/>
      <c r="N6" s="2765"/>
      <c r="O6" s="2765"/>
      <c r="P6" s="2765"/>
      <c r="Q6" s="2765"/>
      <c r="R6" s="2765"/>
      <c r="S6" s="2765"/>
      <c r="T6" s="2765"/>
      <c r="U6" s="2765"/>
      <c r="V6" s="2765"/>
      <c r="W6" s="2765"/>
      <c r="X6" s="2765"/>
      <c r="Y6" s="2765"/>
      <c r="Z6" s="2766">
        <v>2018</v>
      </c>
      <c r="AA6" s="2766"/>
      <c r="AB6" s="2766"/>
      <c r="AC6" s="2766"/>
      <c r="AD6" s="2766"/>
      <c r="AE6" s="2766"/>
      <c r="AF6" s="2766"/>
      <c r="AG6" s="2766"/>
      <c r="AH6" s="2766"/>
      <c r="AI6" s="2766"/>
      <c r="AJ6" s="2766"/>
      <c r="AK6" s="2766"/>
      <c r="AL6" s="2766"/>
      <c r="AM6" s="2766"/>
      <c r="AN6" s="2766"/>
      <c r="AO6" s="2766"/>
      <c r="AP6" s="2766"/>
      <c r="AQ6" s="2766"/>
      <c r="AR6" s="2766"/>
      <c r="AS6" s="2766"/>
      <c r="AT6" s="2766"/>
      <c r="AU6" s="2766"/>
      <c r="AV6" s="2766"/>
      <c r="AW6" s="2766"/>
      <c r="AX6" s="2767">
        <v>2019</v>
      </c>
      <c r="AY6" s="2767"/>
      <c r="AZ6" s="2767"/>
      <c r="BA6" s="2767"/>
      <c r="BB6" s="2767"/>
      <c r="BC6" s="2767"/>
      <c r="BD6" s="2767"/>
      <c r="BE6" s="2767"/>
      <c r="BF6" s="2767"/>
      <c r="BG6" s="2767"/>
      <c r="BH6" s="2767"/>
      <c r="BI6" s="2767"/>
      <c r="BJ6" s="2767"/>
      <c r="BK6" s="2767"/>
      <c r="BL6" s="2767"/>
      <c r="BM6" s="2767"/>
      <c r="BN6" s="2767"/>
      <c r="BO6" s="2767"/>
      <c r="BP6" s="2767"/>
      <c r="BQ6" s="2767"/>
      <c r="BR6" s="2767"/>
      <c r="BS6" s="2767"/>
      <c r="BT6" s="2767"/>
      <c r="BU6" s="2767"/>
      <c r="BV6" s="2766">
        <v>2020</v>
      </c>
      <c r="BW6" s="2766"/>
      <c r="BX6" s="2766"/>
      <c r="BY6" s="2766"/>
      <c r="BZ6" s="2766"/>
      <c r="CA6" s="2766"/>
      <c r="CB6" s="2766"/>
      <c r="CC6" s="2766"/>
      <c r="CD6" s="2766"/>
      <c r="CE6" s="2766"/>
      <c r="CF6" s="2766"/>
      <c r="CG6" s="2766"/>
      <c r="CH6" s="2766"/>
      <c r="CI6" s="2766"/>
      <c r="CJ6" s="2766"/>
      <c r="CK6" s="2766"/>
      <c r="CL6" s="2766"/>
      <c r="CM6" s="2766"/>
      <c r="CN6" s="2766"/>
      <c r="CO6" s="2766"/>
      <c r="CP6" s="2766"/>
      <c r="CQ6" s="2766"/>
      <c r="CR6" s="2766"/>
      <c r="CS6" s="2766"/>
      <c r="CT6" s="2767">
        <v>2021</v>
      </c>
      <c r="CU6" s="2767"/>
      <c r="CV6" s="2767"/>
      <c r="CW6" s="2767"/>
      <c r="CX6" s="2767"/>
      <c r="CY6" s="2767"/>
      <c r="CZ6" s="2767"/>
      <c r="DA6" s="2767"/>
      <c r="DB6" s="2767"/>
      <c r="DC6" s="2767"/>
      <c r="DD6" s="2767"/>
      <c r="DE6" s="2767"/>
      <c r="DF6" s="2767"/>
      <c r="DG6" s="2767"/>
      <c r="DH6" s="2767"/>
      <c r="DI6" s="2767"/>
      <c r="DJ6" s="2767"/>
      <c r="DK6" s="2767"/>
      <c r="DL6" s="2767"/>
      <c r="DM6" s="2767"/>
      <c r="DN6" s="2767"/>
      <c r="DO6" s="2767"/>
      <c r="DP6" s="2767"/>
      <c r="DQ6" s="2767"/>
      <c r="DR6" s="2768">
        <v>2022</v>
      </c>
      <c r="DS6" s="2769"/>
      <c r="DT6" s="2769"/>
      <c r="DU6" s="2769"/>
      <c r="DV6" s="2769"/>
      <c r="DW6" s="2769"/>
      <c r="DX6" s="2769"/>
      <c r="DY6" s="2769"/>
      <c r="DZ6" s="2769"/>
      <c r="EA6" s="2769"/>
      <c r="EB6" s="2769"/>
      <c r="EC6" s="2769"/>
      <c r="ED6" s="2769"/>
      <c r="EE6" s="2769"/>
      <c r="EF6" s="2769"/>
      <c r="EG6" s="2769"/>
      <c r="EH6" s="2769"/>
      <c r="EI6" s="2769"/>
      <c r="EJ6" s="2769"/>
      <c r="EK6" s="2769"/>
      <c r="EL6" s="2769"/>
      <c r="EM6" s="2769"/>
      <c r="EN6" s="2769"/>
      <c r="EO6" s="2770"/>
      <c r="EP6" s="2768">
        <v>2023</v>
      </c>
      <c r="EQ6" s="2769"/>
      <c r="ER6" s="2769"/>
      <c r="ES6" s="2769"/>
      <c r="ET6" s="2769"/>
      <c r="EU6" s="2769"/>
      <c r="EV6" s="2769"/>
      <c r="EW6" s="2769"/>
      <c r="EX6" s="2769"/>
      <c r="EY6" s="2769"/>
      <c r="EZ6" s="2769"/>
      <c r="FA6" s="2769"/>
      <c r="FB6" s="2769"/>
      <c r="FC6" s="2769"/>
      <c r="FD6" s="2769"/>
      <c r="FE6" s="2769"/>
      <c r="FF6" s="2769"/>
      <c r="FG6" s="2769"/>
      <c r="FH6" s="2769"/>
      <c r="FI6" s="2769"/>
      <c r="FJ6" s="2769"/>
      <c r="FK6" s="2769"/>
      <c r="FL6" s="2769"/>
      <c r="FM6" s="2770"/>
      <c r="FN6" s="2768">
        <v>2024</v>
      </c>
      <c r="FO6" s="2769"/>
      <c r="FP6" s="2769"/>
      <c r="FQ6" s="2769"/>
      <c r="FR6" s="2769"/>
      <c r="FS6" s="2769"/>
      <c r="FT6" s="2769"/>
      <c r="FU6" s="2769"/>
      <c r="FV6" s="2769"/>
      <c r="FW6" s="2769"/>
      <c r="FX6" s="2769"/>
      <c r="FY6" s="2769"/>
      <c r="FZ6" s="2769"/>
      <c r="GA6" s="2769"/>
      <c r="GB6" s="2769"/>
      <c r="GC6" s="2769"/>
      <c r="GD6" s="2769"/>
      <c r="GE6" s="2769"/>
      <c r="GF6" s="2769"/>
      <c r="GG6" s="2769"/>
      <c r="GH6" s="2769"/>
      <c r="GI6" s="2769"/>
      <c r="GJ6" s="2769"/>
      <c r="GK6" s="2770"/>
      <c r="GL6" s="2768">
        <v>2025</v>
      </c>
      <c r="GM6" s="2769"/>
      <c r="GN6" s="2769"/>
      <c r="GO6" s="2769"/>
      <c r="GP6" s="2769"/>
      <c r="GQ6" s="2769"/>
      <c r="GR6" s="2769"/>
      <c r="GS6" s="2769"/>
      <c r="GT6" s="2769"/>
      <c r="GU6" s="2769"/>
      <c r="GV6" s="2769"/>
      <c r="GW6" s="2769"/>
      <c r="GX6" s="2769"/>
      <c r="GY6" s="2769"/>
      <c r="GZ6" s="2769"/>
      <c r="HA6" s="2769"/>
      <c r="HB6" s="2769"/>
      <c r="HC6" s="2769"/>
      <c r="HD6" s="2769"/>
      <c r="HE6" s="2769"/>
      <c r="HF6" s="2769"/>
      <c r="HG6" s="2769"/>
      <c r="HH6" s="2769"/>
      <c r="HI6" s="2770"/>
      <c r="HJ6" s="2768">
        <v>2026</v>
      </c>
      <c r="HK6" s="2769"/>
      <c r="HL6" s="2769"/>
      <c r="HM6" s="2769"/>
      <c r="HN6" s="2769"/>
      <c r="HO6" s="2769"/>
      <c r="HP6" s="2769"/>
      <c r="HQ6" s="2769"/>
      <c r="HR6" s="2769"/>
      <c r="HS6" s="2769"/>
      <c r="HT6" s="2769"/>
      <c r="HU6" s="2770"/>
      <c r="HV6" s="2771" t="s">
        <v>3172</v>
      </c>
    </row>
    <row r="7" spans="1:300" s="1774" customFormat="1" ht="21" customHeight="1">
      <c r="A7" s="2773" t="s">
        <v>2315</v>
      </c>
      <c r="B7" s="2776" t="s">
        <v>2314</v>
      </c>
      <c r="C7" s="2776"/>
      <c r="D7" s="2776" t="s">
        <v>3207</v>
      </c>
      <c r="E7" s="2776"/>
      <c r="F7" s="2776" t="s">
        <v>3208</v>
      </c>
      <c r="G7" s="2776"/>
      <c r="H7" s="2776" t="s">
        <v>3209</v>
      </c>
      <c r="I7" s="2776"/>
      <c r="J7" s="2776" t="s">
        <v>3210</v>
      </c>
      <c r="K7" s="2776"/>
      <c r="L7" s="2776" t="s">
        <v>3211</v>
      </c>
      <c r="M7" s="2776"/>
      <c r="N7" s="2776" t="s">
        <v>3212</v>
      </c>
      <c r="O7" s="2776"/>
      <c r="P7" s="2776" t="s">
        <v>3213</v>
      </c>
      <c r="Q7" s="2776"/>
      <c r="R7" s="2776" t="s">
        <v>3214</v>
      </c>
      <c r="S7" s="2776"/>
      <c r="T7" s="2776" t="s">
        <v>3224</v>
      </c>
      <c r="U7" s="2776"/>
      <c r="V7" s="2776" t="s">
        <v>3225</v>
      </c>
      <c r="W7" s="2776"/>
      <c r="X7" s="2776" t="s">
        <v>3226</v>
      </c>
      <c r="Y7" s="2776"/>
      <c r="Z7" s="2776" t="s">
        <v>2314</v>
      </c>
      <c r="AA7" s="2776"/>
      <c r="AB7" s="2776" t="s">
        <v>3207</v>
      </c>
      <c r="AC7" s="2776"/>
      <c r="AD7" s="2776" t="s">
        <v>3208</v>
      </c>
      <c r="AE7" s="2776"/>
      <c r="AF7" s="2776" t="s">
        <v>3209</v>
      </c>
      <c r="AG7" s="2776"/>
      <c r="AH7" s="2776" t="s">
        <v>3210</v>
      </c>
      <c r="AI7" s="2776"/>
      <c r="AJ7" s="2776" t="s">
        <v>3211</v>
      </c>
      <c r="AK7" s="2776"/>
      <c r="AL7" s="2776" t="s">
        <v>3212</v>
      </c>
      <c r="AM7" s="2776"/>
      <c r="AN7" s="2776" t="s">
        <v>3213</v>
      </c>
      <c r="AO7" s="2776"/>
      <c r="AP7" s="2776" t="s">
        <v>3214</v>
      </c>
      <c r="AQ7" s="2776"/>
      <c r="AR7" s="2776" t="s">
        <v>3224</v>
      </c>
      <c r="AS7" s="2776"/>
      <c r="AT7" s="2776" t="s">
        <v>3225</v>
      </c>
      <c r="AU7" s="2776"/>
      <c r="AV7" s="2776" t="s">
        <v>3226</v>
      </c>
      <c r="AW7" s="2776"/>
      <c r="AX7" s="2776" t="s">
        <v>2314</v>
      </c>
      <c r="AY7" s="2776"/>
      <c r="AZ7" s="2776" t="s">
        <v>3207</v>
      </c>
      <c r="BA7" s="2776"/>
      <c r="BB7" s="2776" t="s">
        <v>3208</v>
      </c>
      <c r="BC7" s="2776"/>
      <c r="BD7" s="2776" t="s">
        <v>3209</v>
      </c>
      <c r="BE7" s="2776"/>
      <c r="BF7" s="2776" t="s">
        <v>3210</v>
      </c>
      <c r="BG7" s="2776"/>
      <c r="BH7" s="2776" t="s">
        <v>3211</v>
      </c>
      <c r="BI7" s="2776"/>
      <c r="BJ7" s="2776" t="s">
        <v>3212</v>
      </c>
      <c r="BK7" s="2776"/>
      <c r="BL7" s="2776" t="s">
        <v>3213</v>
      </c>
      <c r="BM7" s="2776"/>
      <c r="BN7" s="2776" t="s">
        <v>3214</v>
      </c>
      <c r="BO7" s="2776"/>
      <c r="BP7" s="2776" t="s">
        <v>3224</v>
      </c>
      <c r="BQ7" s="2776"/>
      <c r="BR7" s="2776" t="s">
        <v>3225</v>
      </c>
      <c r="BS7" s="2776"/>
      <c r="BT7" s="2776" t="s">
        <v>3226</v>
      </c>
      <c r="BU7" s="2776"/>
      <c r="BV7" s="2776" t="s">
        <v>2314</v>
      </c>
      <c r="BW7" s="2776"/>
      <c r="BX7" s="2776" t="s">
        <v>3207</v>
      </c>
      <c r="BY7" s="2776"/>
      <c r="BZ7" s="2776" t="s">
        <v>3208</v>
      </c>
      <c r="CA7" s="2776"/>
      <c r="CB7" s="2776" t="s">
        <v>3209</v>
      </c>
      <c r="CC7" s="2776"/>
      <c r="CD7" s="2776" t="s">
        <v>3210</v>
      </c>
      <c r="CE7" s="2776"/>
      <c r="CF7" s="2776" t="s">
        <v>3211</v>
      </c>
      <c r="CG7" s="2776"/>
      <c r="CH7" s="2776" t="s">
        <v>3212</v>
      </c>
      <c r="CI7" s="2776"/>
      <c r="CJ7" s="2776" t="s">
        <v>3213</v>
      </c>
      <c r="CK7" s="2776"/>
      <c r="CL7" s="2776" t="s">
        <v>3214</v>
      </c>
      <c r="CM7" s="2776"/>
      <c r="CN7" s="2776" t="s">
        <v>3224</v>
      </c>
      <c r="CO7" s="2776"/>
      <c r="CP7" s="2776" t="s">
        <v>3225</v>
      </c>
      <c r="CQ7" s="2776"/>
      <c r="CR7" s="2776" t="s">
        <v>3226</v>
      </c>
      <c r="CS7" s="2776"/>
      <c r="CT7" s="2776" t="s">
        <v>2314</v>
      </c>
      <c r="CU7" s="2776"/>
      <c r="CV7" s="2776" t="s">
        <v>3207</v>
      </c>
      <c r="CW7" s="2776"/>
      <c r="CX7" s="2776" t="s">
        <v>3208</v>
      </c>
      <c r="CY7" s="2776"/>
      <c r="CZ7" s="2776" t="s">
        <v>3209</v>
      </c>
      <c r="DA7" s="2776"/>
      <c r="DB7" s="2776" t="s">
        <v>3210</v>
      </c>
      <c r="DC7" s="2776"/>
      <c r="DD7" s="2776" t="s">
        <v>3211</v>
      </c>
      <c r="DE7" s="2776"/>
      <c r="DF7" s="2776" t="s">
        <v>3212</v>
      </c>
      <c r="DG7" s="2776"/>
      <c r="DH7" s="2776" t="s">
        <v>3213</v>
      </c>
      <c r="DI7" s="2776"/>
      <c r="DJ7" s="2776" t="s">
        <v>3214</v>
      </c>
      <c r="DK7" s="2776"/>
      <c r="DL7" s="2776" t="s">
        <v>3224</v>
      </c>
      <c r="DM7" s="2776"/>
      <c r="DN7" s="2776" t="s">
        <v>3225</v>
      </c>
      <c r="DO7" s="2776"/>
      <c r="DP7" s="2776" t="s">
        <v>3226</v>
      </c>
      <c r="DQ7" s="2776"/>
      <c r="DR7" s="2777" t="s">
        <v>2314</v>
      </c>
      <c r="DS7" s="2777"/>
      <c r="DT7" s="2777" t="s">
        <v>3207</v>
      </c>
      <c r="DU7" s="2777"/>
      <c r="DV7" s="2777" t="s">
        <v>3208</v>
      </c>
      <c r="DW7" s="2777"/>
      <c r="DX7" s="2777" t="s">
        <v>3209</v>
      </c>
      <c r="DY7" s="2777"/>
      <c r="DZ7" s="2777" t="s">
        <v>3210</v>
      </c>
      <c r="EA7" s="2777"/>
      <c r="EB7" s="2777" t="s">
        <v>3211</v>
      </c>
      <c r="EC7" s="2777"/>
      <c r="ED7" s="2777" t="s">
        <v>3212</v>
      </c>
      <c r="EE7" s="2777"/>
      <c r="EF7" s="2777" t="s">
        <v>3213</v>
      </c>
      <c r="EG7" s="2777"/>
      <c r="EH7" s="2777" t="s">
        <v>3214</v>
      </c>
      <c r="EI7" s="2777"/>
      <c r="EJ7" s="2777" t="s">
        <v>3224</v>
      </c>
      <c r="EK7" s="2777"/>
      <c r="EL7" s="2777" t="s">
        <v>3225</v>
      </c>
      <c r="EM7" s="2777"/>
      <c r="EN7" s="2777" t="s">
        <v>3226</v>
      </c>
      <c r="EO7" s="2777"/>
      <c r="EP7" s="2777" t="s">
        <v>2314</v>
      </c>
      <c r="EQ7" s="2777"/>
      <c r="ER7" s="2777" t="s">
        <v>3207</v>
      </c>
      <c r="ES7" s="2777"/>
      <c r="ET7" s="2777" t="s">
        <v>3208</v>
      </c>
      <c r="EU7" s="2777"/>
      <c r="EV7" s="2777" t="s">
        <v>3209</v>
      </c>
      <c r="EW7" s="2777"/>
      <c r="EX7" s="2777" t="s">
        <v>3210</v>
      </c>
      <c r="EY7" s="2777"/>
      <c r="EZ7" s="2777" t="s">
        <v>3211</v>
      </c>
      <c r="FA7" s="2777"/>
      <c r="FB7" s="2777" t="s">
        <v>3825</v>
      </c>
      <c r="FC7" s="2777"/>
      <c r="FD7" s="2777" t="s">
        <v>3213</v>
      </c>
      <c r="FE7" s="2777"/>
      <c r="FF7" s="2777" t="s">
        <v>3214</v>
      </c>
      <c r="FG7" s="2777"/>
      <c r="FH7" s="2777" t="s">
        <v>3224</v>
      </c>
      <c r="FI7" s="2777"/>
      <c r="FJ7" s="2777" t="s">
        <v>3225</v>
      </c>
      <c r="FK7" s="2777"/>
      <c r="FL7" s="2777" t="s">
        <v>3226</v>
      </c>
      <c r="FM7" s="2777"/>
      <c r="FN7" s="2777" t="s">
        <v>2314</v>
      </c>
      <c r="FO7" s="2777"/>
      <c r="FP7" s="2777" t="s">
        <v>3207</v>
      </c>
      <c r="FQ7" s="2777"/>
      <c r="FR7" s="2777" t="s">
        <v>3208</v>
      </c>
      <c r="FS7" s="2777"/>
      <c r="FT7" s="2777" t="s">
        <v>3209</v>
      </c>
      <c r="FU7" s="2777"/>
      <c r="FV7" s="2777" t="s">
        <v>3210</v>
      </c>
      <c r="FW7" s="2777"/>
      <c r="FX7" s="2777" t="s">
        <v>3211</v>
      </c>
      <c r="FY7" s="2777"/>
      <c r="FZ7" s="2777" t="s">
        <v>3825</v>
      </c>
      <c r="GA7" s="2777"/>
      <c r="GB7" s="2777" t="s">
        <v>3213</v>
      </c>
      <c r="GC7" s="2777"/>
      <c r="GD7" s="2777" t="s">
        <v>3214</v>
      </c>
      <c r="GE7" s="2777"/>
      <c r="GF7" s="2777" t="s">
        <v>3224</v>
      </c>
      <c r="GG7" s="2777"/>
      <c r="GH7" s="2777" t="s">
        <v>3225</v>
      </c>
      <c r="GI7" s="2777"/>
      <c r="GJ7" s="2777" t="s">
        <v>3226</v>
      </c>
      <c r="GK7" s="2777"/>
      <c r="GL7" s="2777" t="s">
        <v>2314</v>
      </c>
      <c r="GM7" s="2777"/>
      <c r="GN7" s="2777" t="s">
        <v>3207</v>
      </c>
      <c r="GO7" s="2777"/>
      <c r="GP7" s="2777" t="s">
        <v>3208</v>
      </c>
      <c r="GQ7" s="2777"/>
      <c r="GR7" s="2777" t="s">
        <v>3209</v>
      </c>
      <c r="GS7" s="2777"/>
      <c r="GT7" s="2777" t="s">
        <v>3210</v>
      </c>
      <c r="GU7" s="2777"/>
      <c r="GV7" s="2777" t="s">
        <v>3211</v>
      </c>
      <c r="GW7" s="2777"/>
      <c r="GX7" s="2777" t="s">
        <v>3825</v>
      </c>
      <c r="GY7" s="2777"/>
      <c r="GZ7" s="2777" t="s">
        <v>3213</v>
      </c>
      <c r="HA7" s="2777"/>
      <c r="HB7" s="2777" t="s">
        <v>3214</v>
      </c>
      <c r="HC7" s="2777"/>
      <c r="HD7" s="2777" t="s">
        <v>3224</v>
      </c>
      <c r="HE7" s="2777"/>
      <c r="HF7" s="2777" t="s">
        <v>3225</v>
      </c>
      <c r="HG7" s="2777"/>
      <c r="HH7" s="2777" t="s">
        <v>3226</v>
      </c>
      <c r="HI7" s="2777"/>
      <c r="HJ7" s="2777" t="s">
        <v>2314</v>
      </c>
      <c r="HK7" s="2777"/>
      <c r="HL7" s="2777" t="s">
        <v>3207</v>
      </c>
      <c r="HM7" s="2777"/>
      <c r="HN7" s="2777" t="s">
        <v>3208</v>
      </c>
      <c r="HO7" s="2777"/>
      <c r="HP7" s="2777" t="s">
        <v>3209</v>
      </c>
      <c r="HQ7" s="2777"/>
      <c r="HR7" s="2777" t="s">
        <v>3210</v>
      </c>
      <c r="HS7" s="2777"/>
      <c r="HT7" s="2777" t="s">
        <v>3211</v>
      </c>
      <c r="HU7" s="2777"/>
      <c r="HV7" s="2771"/>
    </row>
    <row r="8" spans="1:300" s="1774" customFormat="1" ht="21" customHeight="1">
      <c r="A8" s="2774"/>
      <c r="B8" s="2778" t="s">
        <v>3141</v>
      </c>
      <c r="C8" s="2779"/>
      <c r="D8" s="2778" t="s">
        <v>3215</v>
      </c>
      <c r="E8" s="2779"/>
      <c r="F8" s="2778" t="s">
        <v>3216</v>
      </c>
      <c r="G8" s="2779"/>
      <c r="H8" s="2778" t="s">
        <v>3217</v>
      </c>
      <c r="I8" s="2779"/>
      <c r="J8" s="2778" t="s">
        <v>3218</v>
      </c>
      <c r="K8" s="2779"/>
      <c r="L8" s="2778" t="s">
        <v>3219</v>
      </c>
      <c r="M8" s="2779"/>
      <c r="N8" s="2778" t="s">
        <v>3220</v>
      </c>
      <c r="O8" s="2779"/>
      <c r="P8" s="2778" t="s">
        <v>3221</v>
      </c>
      <c r="Q8" s="2779"/>
      <c r="R8" s="2778" t="s">
        <v>3222</v>
      </c>
      <c r="S8" s="2779"/>
      <c r="T8" s="2778" t="s">
        <v>3229</v>
      </c>
      <c r="U8" s="2779"/>
      <c r="V8" s="2778" t="s">
        <v>3228</v>
      </c>
      <c r="W8" s="2779"/>
      <c r="X8" s="2778" t="s">
        <v>3227</v>
      </c>
      <c r="Y8" s="2779"/>
      <c r="Z8" s="2776" t="s">
        <v>3141</v>
      </c>
      <c r="AA8" s="2776"/>
      <c r="AB8" s="2776" t="s">
        <v>3215</v>
      </c>
      <c r="AC8" s="2776"/>
      <c r="AD8" s="2776" t="s">
        <v>3216</v>
      </c>
      <c r="AE8" s="2776"/>
      <c r="AF8" s="2776" t="s">
        <v>3217</v>
      </c>
      <c r="AG8" s="2776"/>
      <c r="AH8" s="2776" t="s">
        <v>3218</v>
      </c>
      <c r="AI8" s="2776"/>
      <c r="AJ8" s="2776" t="s">
        <v>3219</v>
      </c>
      <c r="AK8" s="2776"/>
      <c r="AL8" s="2776" t="s">
        <v>3220</v>
      </c>
      <c r="AM8" s="2776"/>
      <c r="AN8" s="2776" t="s">
        <v>3221</v>
      </c>
      <c r="AO8" s="2776"/>
      <c r="AP8" s="2776" t="s">
        <v>3222</v>
      </c>
      <c r="AQ8" s="2776"/>
      <c r="AR8" s="2776" t="s">
        <v>3229</v>
      </c>
      <c r="AS8" s="2776"/>
      <c r="AT8" s="2776" t="s">
        <v>3228</v>
      </c>
      <c r="AU8" s="2776"/>
      <c r="AV8" s="2776" t="s">
        <v>3227</v>
      </c>
      <c r="AW8" s="2776"/>
      <c r="AX8" s="2776" t="s">
        <v>3141</v>
      </c>
      <c r="AY8" s="2776"/>
      <c r="AZ8" s="2776" t="s">
        <v>3215</v>
      </c>
      <c r="BA8" s="2776"/>
      <c r="BB8" s="2776" t="s">
        <v>3216</v>
      </c>
      <c r="BC8" s="2776"/>
      <c r="BD8" s="2776" t="s">
        <v>3217</v>
      </c>
      <c r="BE8" s="2776"/>
      <c r="BF8" s="2776" t="s">
        <v>3218</v>
      </c>
      <c r="BG8" s="2776"/>
      <c r="BH8" s="2776" t="s">
        <v>3219</v>
      </c>
      <c r="BI8" s="2776"/>
      <c r="BJ8" s="2776" t="s">
        <v>3220</v>
      </c>
      <c r="BK8" s="2776"/>
      <c r="BL8" s="2776" t="s">
        <v>3221</v>
      </c>
      <c r="BM8" s="2776"/>
      <c r="BN8" s="2776" t="s">
        <v>3222</v>
      </c>
      <c r="BO8" s="2776"/>
      <c r="BP8" s="2776" t="s">
        <v>3229</v>
      </c>
      <c r="BQ8" s="2776"/>
      <c r="BR8" s="2776" t="s">
        <v>3228</v>
      </c>
      <c r="BS8" s="2776"/>
      <c r="BT8" s="2776" t="s">
        <v>3227</v>
      </c>
      <c r="BU8" s="2776"/>
      <c r="BV8" s="2776" t="s">
        <v>3141</v>
      </c>
      <c r="BW8" s="2776"/>
      <c r="BX8" s="2776" t="s">
        <v>3215</v>
      </c>
      <c r="BY8" s="2776"/>
      <c r="BZ8" s="2776" t="s">
        <v>3216</v>
      </c>
      <c r="CA8" s="2776"/>
      <c r="CB8" s="2776" t="s">
        <v>3217</v>
      </c>
      <c r="CC8" s="2776"/>
      <c r="CD8" s="2776" t="s">
        <v>3218</v>
      </c>
      <c r="CE8" s="2776"/>
      <c r="CF8" s="2776" t="s">
        <v>3219</v>
      </c>
      <c r="CG8" s="2776"/>
      <c r="CH8" s="2776" t="s">
        <v>3220</v>
      </c>
      <c r="CI8" s="2776"/>
      <c r="CJ8" s="2776" t="s">
        <v>3221</v>
      </c>
      <c r="CK8" s="2776"/>
      <c r="CL8" s="2776" t="s">
        <v>3222</v>
      </c>
      <c r="CM8" s="2776"/>
      <c r="CN8" s="2776" t="s">
        <v>3229</v>
      </c>
      <c r="CO8" s="2776"/>
      <c r="CP8" s="2776" t="s">
        <v>3228</v>
      </c>
      <c r="CQ8" s="2776"/>
      <c r="CR8" s="2776" t="s">
        <v>3227</v>
      </c>
      <c r="CS8" s="2776"/>
      <c r="CT8" s="2776" t="s">
        <v>3141</v>
      </c>
      <c r="CU8" s="2776"/>
      <c r="CV8" s="2776" t="s">
        <v>3215</v>
      </c>
      <c r="CW8" s="2776"/>
      <c r="CX8" s="2776" t="s">
        <v>3216</v>
      </c>
      <c r="CY8" s="2776"/>
      <c r="CZ8" s="2776" t="s">
        <v>3217</v>
      </c>
      <c r="DA8" s="2776"/>
      <c r="DB8" s="2776" t="s">
        <v>3218</v>
      </c>
      <c r="DC8" s="2776"/>
      <c r="DD8" s="2776" t="s">
        <v>3219</v>
      </c>
      <c r="DE8" s="2776"/>
      <c r="DF8" s="2776" t="s">
        <v>3220</v>
      </c>
      <c r="DG8" s="2776"/>
      <c r="DH8" s="2776" t="s">
        <v>3221</v>
      </c>
      <c r="DI8" s="2776"/>
      <c r="DJ8" s="2776" t="s">
        <v>3222</v>
      </c>
      <c r="DK8" s="2776"/>
      <c r="DL8" s="2776" t="s">
        <v>3229</v>
      </c>
      <c r="DM8" s="2776"/>
      <c r="DN8" s="2776" t="s">
        <v>3228</v>
      </c>
      <c r="DO8" s="2776"/>
      <c r="DP8" s="2776" t="s">
        <v>3227</v>
      </c>
      <c r="DQ8" s="2776"/>
      <c r="DR8" s="2777" t="s">
        <v>3141</v>
      </c>
      <c r="DS8" s="2777"/>
      <c r="DT8" s="2777" t="s">
        <v>3215</v>
      </c>
      <c r="DU8" s="2777"/>
      <c r="DV8" s="2777" t="s">
        <v>3216</v>
      </c>
      <c r="DW8" s="2777"/>
      <c r="DX8" s="2777" t="s">
        <v>3217</v>
      </c>
      <c r="DY8" s="2777"/>
      <c r="DZ8" s="2777" t="s">
        <v>3218</v>
      </c>
      <c r="EA8" s="2777"/>
      <c r="EB8" s="2777" t="s">
        <v>3219</v>
      </c>
      <c r="EC8" s="2777"/>
      <c r="ED8" s="2777" t="s">
        <v>3220</v>
      </c>
      <c r="EE8" s="2777"/>
      <c r="EF8" s="2777" t="s">
        <v>3221</v>
      </c>
      <c r="EG8" s="2777"/>
      <c r="EH8" s="2777" t="s">
        <v>3222</v>
      </c>
      <c r="EI8" s="2777"/>
      <c r="EJ8" s="2777" t="s">
        <v>3381</v>
      </c>
      <c r="EK8" s="2777"/>
      <c r="EL8" s="2777" t="s">
        <v>3409</v>
      </c>
      <c r="EM8" s="2777"/>
      <c r="EN8" s="2777" t="s">
        <v>3459</v>
      </c>
      <c r="EO8" s="2777"/>
      <c r="EP8" s="2777" t="s">
        <v>3141</v>
      </c>
      <c r="EQ8" s="2777"/>
      <c r="ER8" s="2777" t="s">
        <v>3215</v>
      </c>
      <c r="ES8" s="2777"/>
      <c r="ET8" s="2777" t="s">
        <v>3216</v>
      </c>
      <c r="EU8" s="2777"/>
      <c r="EV8" s="2777" t="s">
        <v>3217</v>
      </c>
      <c r="EW8" s="2777"/>
      <c r="EX8" s="2777" t="s">
        <v>3218</v>
      </c>
      <c r="EY8" s="2777"/>
      <c r="EZ8" s="2777" t="s">
        <v>3219</v>
      </c>
      <c r="FA8" s="2777"/>
      <c r="FB8" s="2777" t="s">
        <v>3220</v>
      </c>
      <c r="FC8" s="2777"/>
      <c r="FD8" s="2777" t="s">
        <v>3221</v>
      </c>
      <c r="FE8" s="2777"/>
      <c r="FF8" s="2777" t="s">
        <v>3222</v>
      </c>
      <c r="FG8" s="2777"/>
      <c r="FH8" s="2777" t="s">
        <v>3381</v>
      </c>
      <c r="FI8" s="2777"/>
      <c r="FJ8" s="2777" t="s">
        <v>3409</v>
      </c>
      <c r="FK8" s="2777"/>
      <c r="FL8" s="2777" t="s">
        <v>3459</v>
      </c>
      <c r="FM8" s="2777"/>
      <c r="FN8" s="2777" t="s">
        <v>3141</v>
      </c>
      <c r="FO8" s="2777"/>
      <c r="FP8" s="2777" t="s">
        <v>3215</v>
      </c>
      <c r="FQ8" s="2777"/>
      <c r="FR8" s="2777" t="s">
        <v>3216</v>
      </c>
      <c r="FS8" s="2777"/>
      <c r="FT8" s="2777" t="s">
        <v>3217</v>
      </c>
      <c r="FU8" s="2777"/>
      <c r="FV8" s="2777" t="s">
        <v>3218</v>
      </c>
      <c r="FW8" s="2777"/>
      <c r="FX8" s="2777" t="s">
        <v>3219</v>
      </c>
      <c r="FY8" s="2777"/>
      <c r="FZ8" s="2777" t="s">
        <v>3220</v>
      </c>
      <c r="GA8" s="2777"/>
      <c r="GB8" s="2777" t="s">
        <v>3221</v>
      </c>
      <c r="GC8" s="2777"/>
      <c r="GD8" s="2777" t="s">
        <v>3222</v>
      </c>
      <c r="GE8" s="2777"/>
      <c r="GF8" s="2777" t="s">
        <v>3381</v>
      </c>
      <c r="GG8" s="2777"/>
      <c r="GH8" s="2777" t="s">
        <v>3409</v>
      </c>
      <c r="GI8" s="2777"/>
      <c r="GJ8" s="2777" t="s">
        <v>3459</v>
      </c>
      <c r="GK8" s="2777"/>
      <c r="GL8" s="2777" t="s">
        <v>3141</v>
      </c>
      <c r="GM8" s="2777"/>
      <c r="GN8" s="2777" t="s">
        <v>3215</v>
      </c>
      <c r="GO8" s="2777"/>
      <c r="GP8" s="2777" t="s">
        <v>3216</v>
      </c>
      <c r="GQ8" s="2777"/>
      <c r="GR8" s="2777" t="s">
        <v>3217</v>
      </c>
      <c r="GS8" s="2777"/>
      <c r="GT8" s="2777" t="s">
        <v>3218</v>
      </c>
      <c r="GU8" s="2777"/>
      <c r="GV8" s="2777" t="s">
        <v>3219</v>
      </c>
      <c r="GW8" s="2777"/>
      <c r="GX8" s="2777" t="s">
        <v>3220</v>
      </c>
      <c r="GY8" s="2777"/>
      <c r="GZ8" s="2777" t="s">
        <v>3221</v>
      </c>
      <c r="HA8" s="2777"/>
      <c r="HB8" s="2777" t="s">
        <v>3222</v>
      </c>
      <c r="HC8" s="2777"/>
      <c r="HD8" s="2777" t="s">
        <v>3381</v>
      </c>
      <c r="HE8" s="2777"/>
      <c r="HF8" s="2777" t="s">
        <v>3409</v>
      </c>
      <c r="HG8" s="2777"/>
      <c r="HH8" s="2777" t="s">
        <v>3459</v>
      </c>
      <c r="HI8" s="2777"/>
      <c r="HJ8" s="2777" t="s">
        <v>3141</v>
      </c>
      <c r="HK8" s="2777"/>
      <c r="HL8" s="2777" t="s">
        <v>3215</v>
      </c>
      <c r="HM8" s="2777"/>
      <c r="HN8" s="2777" t="s">
        <v>3216</v>
      </c>
      <c r="HO8" s="2777"/>
      <c r="HP8" s="2777" t="s">
        <v>3217</v>
      </c>
      <c r="HQ8" s="2777"/>
      <c r="HR8" s="2777" t="s">
        <v>3218</v>
      </c>
      <c r="HS8" s="2777"/>
      <c r="HT8" s="2777" t="s">
        <v>3219</v>
      </c>
      <c r="HU8" s="2777"/>
      <c r="HV8" s="2771"/>
    </row>
    <row r="9" spans="1:300" s="1774" customFormat="1" ht="42">
      <c r="A9" s="2774"/>
      <c r="B9" s="1775" t="s">
        <v>4384</v>
      </c>
      <c r="C9" s="1776" t="s">
        <v>2313</v>
      </c>
      <c r="D9" s="1775" t="s">
        <v>4384</v>
      </c>
      <c r="E9" s="1776" t="s">
        <v>2313</v>
      </c>
      <c r="F9" s="1775" t="s">
        <v>4384</v>
      </c>
      <c r="G9" s="1776" t="s">
        <v>2313</v>
      </c>
      <c r="H9" s="1775" t="s">
        <v>4384</v>
      </c>
      <c r="I9" s="1776" t="s">
        <v>2313</v>
      </c>
      <c r="J9" s="1775" t="s">
        <v>4384</v>
      </c>
      <c r="K9" s="1776" t="s">
        <v>2313</v>
      </c>
      <c r="L9" s="1775" t="s">
        <v>4384</v>
      </c>
      <c r="M9" s="1776" t="s">
        <v>2313</v>
      </c>
      <c r="N9" s="1775" t="s">
        <v>4384</v>
      </c>
      <c r="O9" s="1776" t="s">
        <v>2313</v>
      </c>
      <c r="P9" s="1775" t="s">
        <v>4384</v>
      </c>
      <c r="Q9" s="1776" t="s">
        <v>2313</v>
      </c>
      <c r="R9" s="1775" t="s">
        <v>4384</v>
      </c>
      <c r="S9" s="1776" t="s">
        <v>2313</v>
      </c>
      <c r="T9" s="1775" t="s">
        <v>4384</v>
      </c>
      <c r="U9" s="1776" t="s">
        <v>2313</v>
      </c>
      <c r="V9" s="1775" t="s">
        <v>4384</v>
      </c>
      <c r="W9" s="1776" t="s">
        <v>2313</v>
      </c>
      <c r="X9" s="1775" t="s">
        <v>4384</v>
      </c>
      <c r="Y9" s="1776" t="s">
        <v>2313</v>
      </c>
      <c r="Z9" s="1775" t="s">
        <v>4384</v>
      </c>
      <c r="AA9" s="1776" t="s">
        <v>2313</v>
      </c>
      <c r="AB9" s="1775" t="s">
        <v>4384</v>
      </c>
      <c r="AC9" s="1776" t="s">
        <v>2313</v>
      </c>
      <c r="AD9" s="1775" t="s">
        <v>4384</v>
      </c>
      <c r="AE9" s="1776" t="s">
        <v>2313</v>
      </c>
      <c r="AF9" s="1775" t="s">
        <v>4384</v>
      </c>
      <c r="AG9" s="1776" t="s">
        <v>2313</v>
      </c>
      <c r="AH9" s="1775" t="s">
        <v>4384</v>
      </c>
      <c r="AI9" s="1776" t="s">
        <v>2313</v>
      </c>
      <c r="AJ9" s="1775" t="s">
        <v>4384</v>
      </c>
      <c r="AK9" s="1776" t="s">
        <v>2313</v>
      </c>
      <c r="AL9" s="1775" t="s">
        <v>4384</v>
      </c>
      <c r="AM9" s="1776" t="s">
        <v>2313</v>
      </c>
      <c r="AN9" s="1775" t="s">
        <v>4384</v>
      </c>
      <c r="AO9" s="1776" t="s">
        <v>2313</v>
      </c>
      <c r="AP9" s="1775" t="s">
        <v>4384</v>
      </c>
      <c r="AQ9" s="1776" t="s">
        <v>2313</v>
      </c>
      <c r="AR9" s="1775" t="s">
        <v>4384</v>
      </c>
      <c r="AS9" s="1776" t="s">
        <v>2313</v>
      </c>
      <c r="AT9" s="1775" t="s">
        <v>4384</v>
      </c>
      <c r="AU9" s="1776" t="s">
        <v>2313</v>
      </c>
      <c r="AV9" s="1775" t="s">
        <v>4384</v>
      </c>
      <c r="AW9" s="1776" t="s">
        <v>2313</v>
      </c>
      <c r="AX9" s="1775" t="s">
        <v>4384</v>
      </c>
      <c r="AY9" s="1776" t="s">
        <v>2313</v>
      </c>
      <c r="AZ9" s="1775" t="s">
        <v>4384</v>
      </c>
      <c r="BA9" s="1776" t="s">
        <v>2313</v>
      </c>
      <c r="BB9" s="1775" t="s">
        <v>4384</v>
      </c>
      <c r="BC9" s="1776" t="s">
        <v>2313</v>
      </c>
      <c r="BD9" s="1775" t="s">
        <v>4384</v>
      </c>
      <c r="BE9" s="1776" t="s">
        <v>2313</v>
      </c>
      <c r="BF9" s="1775" t="s">
        <v>4384</v>
      </c>
      <c r="BG9" s="1776" t="s">
        <v>2313</v>
      </c>
      <c r="BH9" s="1775" t="s">
        <v>4384</v>
      </c>
      <c r="BI9" s="1776" t="s">
        <v>2313</v>
      </c>
      <c r="BJ9" s="1775" t="s">
        <v>4384</v>
      </c>
      <c r="BK9" s="1776" t="s">
        <v>2313</v>
      </c>
      <c r="BL9" s="1775" t="s">
        <v>4384</v>
      </c>
      <c r="BM9" s="1776" t="s">
        <v>2313</v>
      </c>
      <c r="BN9" s="1775" t="s">
        <v>4384</v>
      </c>
      <c r="BO9" s="1776" t="s">
        <v>2313</v>
      </c>
      <c r="BP9" s="1775" t="s">
        <v>4384</v>
      </c>
      <c r="BQ9" s="1776" t="s">
        <v>2313</v>
      </c>
      <c r="BR9" s="1775" t="s">
        <v>4384</v>
      </c>
      <c r="BS9" s="1776" t="s">
        <v>2313</v>
      </c>
      <c r="BT9" s="1775" t="s">
        <v>4384</v>
      </c>
      <c r="BU9" s="1776" t="s">
        <v>2313</v>
      </c>
      <c r="BV9" s="1775" t="s">
        <v>4384</v>
      </c>
      <c r="BW9" s="1776" t="s">
        <v>2313</v>
      </c>
      <c r="BX9" s="1775" t="s">
        <v>4384</v>
      </c>
      <c r="BY9" s="1776" t="s">
        <v>2313</v>
      </c>
      <c r="BZ9" s="1775" t="s">
        <v>4384</v>
      </c>
      <c r="CA9" s="1776" t="s">
        <v>2313</v>
      </c>
      <c r="CB9" s="1775" t="s">
        <v>4384</v>
      </c>
      <c r="CC9" s="1776" t="s">
        <v>2313</v>
      </c>
      <c r="CD9" s="1775" t="s">
        <v>4384</v>
      </c>
      <c r="CE9" s="1776" t="s">
        <v>2313</v>
      </c>
      <c r="CF9" s="1775" t="s">
        <v>4384</v>
      </c>
      <c r="CG9" s="1776" t="s">
        <v>2313</v>
      </c>
      <c r="CH9" s="1775" t="s">
        <v>4384</v>
      </c>
      <c r="CI9" s="1776" t="s">
        <v>2313</v>
      </c>
      <c r="CJ9" s="1775" t="s">
        <v>4384</v>
      </c>
      <c r="CK9" s="1776" t="s">
        <v>2313</v>
      </c>
      <c r="CL9" s="1775" t="s">
        <v>4384</v>
      </c>
      <c r="CM9" s="1776" t="s">
        <v>2313</v>
      </c>
      <c r="CN9" s="1775" t="s">
        <v>4384</v>
      </c>
      <c r="CO9" s="1776" t="s">
        <v>2313</v>
      </c>
      <c r="CP9" s="1775" t="s">
        <v>4384</v>
      </c>
      <c r="CQ9" s="1776" t="s">
        <v>2313</v>
      </c>
      <c r="CR9" s="1775" t="s">
        <v>4384</v>
      </c>
      <c r="CS9" s="1776" t="s">
        <v>2313</v>
      </c>
      <c r="CT9" s="1775" t="s">
        <v>4384</v>
      </c>
      <c r="CU9" s="1776" t="s">
        <v>2313</v>
      </c>
      <c r="CV9" s="1775" t="s">
        <v>4384</v>
      </c>
      <c r="CW9" s="1776" t="s">
        <v>2313</v>
      </c>
      <c r="CX9" s="1775" t="s">
        <v>4384</v>
      </c>
      <c r="CY9" s="1776" t="s">
        <v>2313</v>
      </c>
      <c r="CZ9" s="1775" t="s">
        <v>4384</v>
      </c>
      <c r="DA9" s="1776" t="s">
        <v>2313</v>
      </c>
      <c r="DB9" s="1775" t="s">
        <v>4384</v>
      </c>
      <c r="DC9" s="1776" t="s">
        <v>2313</v>
      </c>
      <c r="DD9" s="1775" t="s">
        <v>4384</v>
      </c>
      <c r="DE9" s="1776" t="s">
        <v>2313</v>
      </c>
      <c r="DF9" s="1775" t="s">
        <v>4384</v>
      </c>
      <c r="DG9" s="1776" t="s">
        <v>2313</v>
      </c>
      <c r="DH9" s="1775" t="s">
        <v>4384</v>
      </c>
      <c r="DI9" s="1776" t="s">
        <v>2313</v>
      </c>
      <c r="DJ9" s="1775" t="s">
        <v>4384</v>
      </c>
      <c r="DK9" s="1776" t="s">
        <v>2313</v>
      </c>
      <c r="DL9" s="1775" t="s">
        <v>4384</v>
      </c>
      <c r="DM9" s="1776" t="s">
        <v>2313</v>
      </c>
      <c r="DN9" s="1775" t="s">
        <v>4384</v>
      </c>
      <c r="DO9" s="1776" t="s">
        <v>2313</v>
      </c>
      <c r="DP9" s="1775" t="s">
        <v>4384</v>
      </c>
      <c r="DQ9" s="1776" t="s">
        <v>2313</v>
      </c>
      <c r="DR9" s="1775" t="s">
        <v>4384</v>
      </c>
      <c r="DS9" s="1776" t="s">
        <v>2313</v>
      </c>
      <c r="DT9" s="1775" t="s">
        <v>4384</v>
      </c>
      <c r="DU9" s="1776" t="s">
        <v>2313</v>
      </c>
      <c r="DV9" s="1775" t="s">
        <v>4384</v>
      </c>
      <c r="DW9" s="1776" t="s">
        <v>2313</v>
      </c>
      <c r="DX9" s="1775" t="s">
        <v>4384</v>
      </c>
      <c r="DY9" s="1776" t="s">
        <v>2313</v>
      </c>
      <c r="DZ9" s="1775" t="s">
        <v>4384</v>
      </c>
      <c r="EA9" s="1776" t="s">
        <v>2313</v>
      </c>
      <c r="EB9" s="1775" t="s">
        <v>4384</v>
      </c>
      <c r="EC9" s="1776" t="s">
        <v>2313</v>
      </c>
      <c r="ED9" s="1775" t="s">
        <v>4384</v>
      </c>
      <c r="EE9" s="1776" t="s">
        <v>2313</v>
      </c>
      <c r="EF9" s="1776" t="s">
        <v>4384</v>
      </c>
      <c r="EG9" s="1776" t="s">
        <v>2313</v>
      </c>
      <c r="EH9" s="1775" t="s">
        <v>4384</v>
      </c>
      <c r="EI9" s="1776" t="s">
        <v>2313</v>
      </c>
      <c r="EJ9" s="1775" t="s">
        <v>4384</v>
      </c>
      <c r="EK9" s="1776" t="s">
        <v>2313</v>
      </c>
      <c r="EL9" s="1775" t="s">
        <v>4384</v>
      </c>
      <c r="EM9" s="1776" t="s">
        <v>2313</v>
      </c>
      <c r="EN9" s="1775" t="s">
        <v>4384</v>
      </c>
      <c r="EO9" s="1776" t="s">
        <v>2313</v>
      </c>
      <c r="EP9" s="1775" t="s">
        <v>4384</v>
      </c>
      <c r="EQ9" s="1776" t="s">
        <v>2313</v>
      </c>
      <c r="ER9" s="1775" t="s">
        <v>4384</v>
      </c>
      <c r="ES9" s="1776" t="s">
        <v>2313</v>
      </c>
      <c r="ET9" s="1775" t="s">
        <v>4384</v>
      </c>
      <c r="EU9" s="1776" t="s">
        <v>2313</v>
      </c>
      <c r="EV9" s="1775" t="s">
        <v>4384</v>
      </c>
      <c r="EW9" s="1776" t="s">
        <v>2313</v>
      </c>
      <c r="EX9" s="1775" t="s">
        <v>4384</v>
      </c>
      <c r="EY9" s="1776" t="s">
        <v>2313</v>
      </c>
      <c r="EZ9" s="1775" t="s">
        <v>4384</v>
      </c>
      <c r="FA9" s="1776" t="s">
        <v>2313</v>
      </c>
      <c r="FB9" s="1775" t="s">
        <v>4384</v>
      </c>
      <c r="FC9" s="1776" t="s">
        <v>2313</v>
      </c>
      <c r="FD9" s="1775" t="s">
        <v>4384</v>
      </c>
      <c r="FE9" s="1776" t="s">
        <v>2313</v>
      </c>
      <c r="FF9" s="1775" t="s">
        <v>4384</v>
      </c>
      <c r="FG9" s="1776" t="s">
        <v>2313</v>
      </c>
      <c r="FH9" s="1775" t="s">
        <v>4384</v>
      </c>
      <c r="FI9" s="1776" t="s">
        <v>2313</v>
      </c>
      <c r="FJ9" s="1775" t="s">
        <v>4384</v>
      </c>
      <c r="FK9" s="1776" t="s">
        <v>2313</v>
      </c>
      <c r="FL9" s="1775" t="s">
        <v>4384</v>
      </c>
      <c r="FM9" s="1776" t="s">
        <v>2313</v>
      </c>
      <c r="FN9" s="1775" t="s">
        <v>4384</v>
      </c>
      <c r="FO9" s="1776" t="s">
        <v>2313</v>
      </c>
      <c r="FP9" s="1775" t="s">
        <v>4384</v>
      </c>
      <c r="FQ9" s="1776" t="s">
        <v>2313</v>
      </c>
      <c r="FR9" s="1775" t="s">
        <v>4384</v>
      </c>
      <c r="FS9" s="1776" t="s">
        <v>2313</v>
      </c>
      <c r="FT9" s="1775" t="s">
        <v>4384</v>
      </c>
      <c r="FU9" s="1776" t="s">
        <v>2313</v>
      </c>
      <c r="FV9" s="1775" t="s">
        <v>4384</v>
      </c>
      <c r="FW9" s="1776" t="s">
        <v>2313</v>
      </c>
      <c r="FX9" s="1775" t="s">
        <v>4384</v>
      </c>
      <c r="FY9" s="1776" t="s">
        <v>2313</v>
      </c>
      <c r="FZ9" s="1775" t="s">
        <v>4384</v>
      </c>
      <c r="GA9" s="1776" t="s">
        <v>2313</v>
      </c>
      <c r="GB9" s="1775" t="s">
        <v>4384</v>
      </c>
      <c r="GC9" s="1776" t="s">
        <v>2313</v>
      </c>
      <c r="GD9" s="1775" t="s">
        <v>4384</v>
      </c>
      <c r="GE9" s="1776" t="s">
        <v>2313</v>
      </c>
      <c r="GF9" s="1775" t="s">
        <v>4384</v>
      </c>
      <c r="GG9" s="1776" t="s">
        <v>2313</v>
      </c>
      <c r="GH9" s="1775" t="s">
        <v>4384</v>
      </c>
      <c r="GI9" s="1776" t="s">
        <v>2313</v>
      </c>
      <c r="GJ9" s="1775" t="s">
        <v>4384</v>
      </c>
      <c r="GK9" s="1776" t="s">
        <v>2313</v>
      </c>
      <c r="GL9" s="1775" t="s">
        <v>4384</v>
      </c>
      <c r="GM9" s="1776" t="s">
        <v>2313</v>
      </c>
      <c r="GN9" s="1775" t="s">
        <v>4384</v>
      </c>
      <c r="GO9" s="1776" t="s">
        <v>2313</v>
      </c>
      <c r="GP9" s="1775" t="s">
        <v>4384</v>
      </c>
      <c r="GQ9" s="1776" t="s">
        <v>2313</v>
      </c>
      <c r="GR9" s="1775" t="s">
        <v>4384</v>
      </c>
      <c r="GS9" s="1776" t="s">
        <v>2313</v>
      </c>
      <c r="GT9" s="1775" t="s">
        <v>4384</v>
      </c>
      <c r="GU9" s="1776" t="s">
        <v>2313</v>
      </c>
      <c r="GV9" s="1775" t="s">
        <v>4384</v>
      </c>
      <c r="GW9" s="1776" t="s">
        <v>2313</v>
      </c>
      <c r="GX9" s="1775" t="s">
        <v>4384</v>
      </c>
      <c r="GY9" s="1776" t="s">
        <v>2313</v>
      </c>
      <c r="GZ9" s="1775" t="s">
        <v>4384</v>
      </c>
      <c r="HA9" s="1776" t="s">
        <v>2313</v>
      </c>
      <c r="HB9" s="1775" t="s">
        <v>4384</v>
      </c>
      <c r="HC9" s="1776" t="s">
        <v>2313</v>
      </c>
      <c r="HD9" s="1775" t="s">
        <v>4384</v>
      </c>
      <c r="HE9" s="1776" t="s">
        <v>2313</v>
      </c>
      <c r="HF9" s="1775" t="s">
        <v>4384</v>
      </c>
      <c r="HG9" s="1776" t="s">
        <v>2313</v>
      </c>
      <c r="HH9" s="1775" t="s">
        <v>4384</v>
      </c>
      <c r="HI9" s="1776" t="s">
        <v>2313</v>
      </c>
      <c r="HJ9" s="1775" t="s">
        <v>4384</v>
      </c>
      <c r="HK9" s="1776" t="s">
        <v>2313</v>
      </c>
      <c r="HL9" s="1775" t="s">
        <v>4384</v>
      </c>
      <c r="HM9" s="1776" t="s">
        <v>2313</v>
      </c>
      <c r="HN9" s="1775" t="s">
        <v>4384</v>
      </c>
      <c r="HO9" s="1776" t="s">
        <v>2313</v>
      </c>
      <c r="HP9" s="1775" t="s">
        <v>4384</v>
      </c>
      <c r="HQ9" s="1776" t="s">
        <v>2313</v>
      </c>
      <c r="HR9" s="1775" t="s">
        <v>4384</v>
      </c>
      <c r="HS9" s="1776" t="s">
        <v>2313</v>
      </c>
      <c r="HT9" s="1775" t="s">
        <v>4384</v>
      </c>
      <c r="HU9" s="1776" t="s">
        <v>2313</v>
      </c>
      <c r="HV9" s="2771"/>
    </row>
    <row r="10" spans="1:300" s="1774" customFormat="1" ht="25.5" customHeight="1">
      <c r="A10" s="2775"/>
      <c r="B10" s="1775" t="s">
        <v>3142</v>
      </c>
      <c r="C10" s="1776" t="s">
        <v>3143</v>
      </c>
      <c r="D10" s="1775" t="s">
        <v>3142</v>
      </c>
      <c r="E10" s="1776" t="s">
        <v>3143</v>
      </c>
      <c r="F10" s="1775" t="s">
        <v>3142</v>
      </c>
      <c r="G10" s="1776" t="s">
        <v>3143</v>
      </c>
      <c r="H10" s="1775" t="s">
        <v>3142</v>
      </c>
      <c r="I10" s="1776" t="s">
        <v>3143</v>
      </c>
      <c r="J10" s="1775" t="s">
        <v>3142</v>
      </c>
      <c r="K10" s="1776" t="s">
        <v>3143</v>
      </c>
      <c r="L10" s="1775" t="s">
        <v>3142</v>
      </c>
      <c r="M10" s="1776" t="s">
        <v>3143</v>
      </c>
      <c r="N10" s="1775" t="s">
        <v>3142</v>
      </c>
      <c r="O10" s="1776" t="s">
        <v>3143</v>
      </c>
      <c r="P10" s="1775" t="s">
        <v>3142</v>
      </c>
      <c r="Q10" s="1776" t="s">
        <v>3143</v>
      </c>
      <c r="R10" s="1775" t="s">
        <v>3142</v>
      </c>
      <c r="S10" s="1776" t="s">
        <v>3143</v>
      </c>
      <c r="T10" s="1775" t="s">
        <v>3142</v>
      </c>
      <c r="U10" s="1776" t="s">
        <v>3143</v>
      </c>
      <c r="V10" s="1775" t="s">
        <v>3142</v>
      </c>
      <c r="W10" s="1776" t="s">
        <v>3143</v>
      </c>
      <c r="X10" s="1775" t="s">
        <v>3142</v>
      </c>
      <c r="Y10" s="1776" t="s">
        <v>3143</v>
      </c>
      <c r="Z10" s="1775" t="s">
        <v>3142</v>
      </c>
      <c r="AA10" s="1776" t="s">
        <v>3143</v>
      </c>
      <c r="AB10" s="1775" t="s">
        <v>3142</v>
      </c>
      <c r="AC10" s="1776" t="s">
        <v>3143</v>
      </c>
      <c r="AD10" s="1775" t="s">
        <v>3142</v>
      </c>
      <c r="AE10" s="1776" t="s">
        <v>3143</v>
      </c>
      <c r="AF10" s="1775" t="s">
        <v>3142</v>
      </c>
      <c r="AG10" s="1776" t="s">
        <v>3143</v>
      </c>
      <c r="AH10" s="1775" t="s">
        <v>3142</v>
      </c>
      <c r="AI10" s="1776" t="s">
        <v>3143</v>
      </c>
      <c r="AJ10" s="1775" t="s">
        <v>3142</v>
      </c>
      <c r="AK10" s="1776" t="s">
        <v>3143</v>
      </c>
      <c r="AL10" s="1775" t="s">
        <v>3142</v>
      </c>
      <c r="AM10" s="1776" t="s">
        <v>3143</v>
      </c>
      <c r="AN10" s="1775" t="s">
        <v>3142</v>
      </c>
      <c r="AO10" s="1776" t="s">
        <v>3143</v>
      </c>
      <c r="AP10" s="1775" t="s">
        <v>3142</v>
      </c>
      <c r="AQ10" s="1776" t="s">
        <v>3143</v>
      </c>
      <c r="AR10" s="1775" t="s">
        <v>3142</v>
      </c>
      <c r="AS10" s="1776" t="s">
        <v>3143</v>
      </c>
      <c r="AT10" s="1775" t="s">
        <v>3142</v>
      </c>
      <c r="AU10" s="1776" t="s">
        <v>3143</v>
      </c>
      <c r="AV10" s="1775" t="s">
        <v>3142</v>
      </c>
      <c r="AW10" s="1776" t="s">
        <v>3143</v>
      </c>
      <c r="AX10" s="1775" t="s">
        <v>3142</v>
      </c>
      <c r="AY10" s="1776" t="s">
        <v>3143</v>
      </c>
      <c r="AZ10" s="1775" t="s">
        <v>3142</v>
      </c>
      <c r="BA10" s="1776" t="s">
        <v>3143</v>
      </c>
      <c r="BB10" s="1775" t="s">
        <v>3142</v>
      </c>
      <c r="BC10" s="1776" t="s">
        <v>3143</v>
      </c>
      <c r="BD10" s="1775" t="s">
        <v>3142</v>
      </c>
      <c r="BE10" s="1776" t="s">
        <v>3143</v>
      </c>
      <c r="BF10" s="1775" t="s">
        <v>3142</v>
      </c>
      <c r="BG10" s="1776" t="s">
        <v>3143</v>
      </c>
      <c r="BH10" s="1775" t="s">
        <v>3142</v>
      </c>
      <c r="BI10" s="1776" t="s">
        <v>3143</v>
      </c>
      <c r="BJ10" s="1775" t="s">
        <v>3142</v>
      </c>
      <c r="BK10" s="1776" t="s">
        <v>3143</v>
      </c>
      <c r="BL10" s="1775" t="s">
        <v>3142</v>
      </c>
      <c r="BM10" s="1776" t="s">
        <v>3143</v>
      </c>
      <c r="BN10" s="1775" t="s">
        <v>3142</v>
      </c>
      <c r="BO10" s="1776" t="s">
        <v>3143</v>
      </c>
      <c r="BP10" s="1775" t="s">
        <v>3142</v>
      </c>
      <c r="BQ10" s="1776" t="s">
        <v>3143</v>
      </c>
      <c r="BR10" s="1775" t="s">
        <v>3142</v>
      </c>
      <c r="BS10" s="1776" t="s">
        <v>3143</v>
      </c>
      <c r="BT10" s="1775" t="s">
        <v>3142</v>
      </c>
      <c r="BU10" s="1776" t="s">
        <v>3143</v>
      </c>
      <c r="BV10" s="1775" t="s">
        <v>3142</v>
      </c>
      <c r="BW10" s="1776" t="s">
        <v>3143</v>
      </c>
      <c r="BX10" s="1775" t="s">
        <v>3142</v>
      </c>
      <c r="BY10" s="1776" t="s">
        <v>3143</v>
      </c>
      <c r="BZ10" s="1775" t="s">
        <v>3142</v>
      </c>
      <c r="CA10" s="1776" t="s">
        <v>3143</v>
      </c>
      <c r="CB10" s="1775" t="s">
        <v>3142</v>
      </c>
      <c r="CC10" s="1776" t="s">
        <v>3143</v>
      </c>
      <c r="CD10" s="1775" t="s">
        <v>3142</v>
      </c>
      <c r="CE10" s="1776" t="s">
        <v>3143</v>
      </c>
      <c r="CF10" s="1775" t="s">
        <v>3142</v>
      </c>
      <c r="CG10" s="1776" t="s">
        <v>3143</v>
      </c>
      <c r="CH10" s="1775" t="s">
        <v>3142</v>
      </c>
      <c r="CI10" s="1776" t="s">
        <v>3143</v>
      </c>
      <c r="CJ10" s="1775" t="s">
        <v>3142</v>
      </c>
      <c r="CK10" s="1776" t="s">
        <v>3143</v>
      </c>
      <c r="CL10" s="1775" t="s">
        <v>3142</v>
      </c>
      <c r="CM10" s="1776" t="s">
        <v>3143</v>
      </c>
      <c r="CN10" s="1775" t="s">
        <v>3142</v>
      </c>
      <c r="CO10" s="1776" t="s">
        <v>3143</v>
      </c>
      <c r="CP10" s="1775" t="s">
        <v>3142</v>
      </c>
      <c r="CQ10" s="1776" t="s">
        <v>3143</v>
      </c>
      <c r="CR10" s="1775" t="s">
        <v>3142</v>
      </c>
      <c r="CS10" s="1776" t="s">
        <v>3143</v>
      </c>
      <c r="CT10" s="1775" t="s">
        <v>3142</v>
      </c>
      <c r="CU10" s="1776" t="s">
        <v>3143</v>
      </c>
      <c r="CV10" s="1775" t="s">
        <v>3142</v>
      </c>
      <c r="CW10" s="1776" t="s">
        <v>3143</v>
      </c>
      <c r="CX10" s="1775" t="s">
        <v>3142</v>
      </c>
      <c r="CY10" s="1776" t="s">
        <v>3143</v>
      </c>
      <c r="CZ10" s="1775" t="s">
        <v>3142</v>
      </c>
      <c r="DA10" s="1776" t="s">
        <v>3143</v>
      </c>
      <c r="DB10" s="1775" t="s">
        <v>3142</v>
      </c>
      <c r="DC10" s="1776" t="s">
        <v>3143</v>
      </c>
      <c r="DD10" s="1775" t="s">
        <v>3142</v>
      </c>
      <c r="DE10" s="1776" t="s">
        <v>3143</v>
      </c>
      <c r="DF10" s="1775" t="s">
        <v>3142</v>
      </c>
      <c r="DG10" s="1776" t="s">
        <v>3143</v>
      </c>
      <c r="DH10" s="1775" t="s">
        <v>3142</v>
      </c>
      <c r="DI10" s="1776" t="s">
        <v>3143</v>
      </c>
      <c r="DJ10" s="1775" t="s">
        <v>3142</v>
      </c>
      <c r="DK10" s="1776" t="s">
        <v>3143</v>
      </c>
      <c r="DL10" s="1775" t="s">
        <v>3142</v>
      </c>
      <c r="DM10" s="1776" t="s">
        <v>3143</v>
      </c>
      <c r="DN10" s="1775" t="s">
        <v>3142</v>
      </c>
      <c r="DO10" s="1776" t="s">
        <v>3143</v>
      </c>
      <c r="DP10" s="1775" t="s">
        <v>3142</v>
      </c>
      <c r="DQ10" s="1776" t="s">
        <v>3143</v>
      </c>
      <c r="DR10" s="1775" t="s">
        <v>3142</v>
      </c>
      <c r="DS10" s="1776" t="s">
        <v>3143</v>
      </c>
      <c r="DT10" s="1775" t="s">
        <v>3142</v>
      </c>
      <c r="DU10" s="1776" t="s">
        <v>3143</v>
      </c>
      <c r="DV10" s="1775" t="s">
        <v>3142</v>
      </c>
      <c r="DW10" s="1776" t="s">
        <v>3143</v>
      </c>
      <c r="DX10" s="1775" t="s">
        <v>3142</v>
      </c>
      <c r="DY10" s="1776" t="s">
        <v>3143</v>
      </c>
      <c r="DZ10" s="1775" t="s">
        <v>3142</v>
      </c>
      <c r="EA10" s="1776" t="s">
        <v>3143</v>
      </c>
      <c r="EB10" s="1775" t="s">
        <v>3142</v>
      </c>
      <c r="EC10" s="1776" t="s">
        <v>3143</v>
      </c>
      <c r="ED10" s="1775" t="s">
        <v>3142</v>
      </c>
      <c r="EE10" s="1776" t="s">
        <v>3143</v>
      </c>
      <c r="EF10" s="1776" t="s">
        <v>3142</v>
      </c>
      <c r="EG10" s="1776" t="s">
        <v>3143</v>
      </c>
      <c r="EH10" s="1775" t="s">
        <v>3142</v>
      </c>
      <c r="EI10" s="1776" t="s">
        <v>3143</v>
      </c>
      <c r="EJ10" s="1775" t="s">
        <v>3142</v>
      </c>
      <c r="EK10" s="1776" t="s">
        <v>3143</v>
      </c>
      <c r="EL10" s="1775" t="s">
        <v>3142</v>
      </c>
      <c r="EM10" s="1776" t="s">
        <v>3143</v>
      </c>
      <c r="EN10" s="1775" t="s">
        <v>3142</v>
      </c>
      <c r="EO10" s="1776" t="s">
        <v>3143</v>
      </c>
      <c r="EP10" s="1775" t="s">
        <v>3142</v>
      </c>
      <c r="EQ10" s="1776" t="s">
        <v>3143</v>
      </c>
      <c r="ER10" s="1775" t="s">
        <v>3142</v>
      </c>
      <c r="ES10" s="1776" t="s">
        <v>3143</v>
      </c>
      <c r="ET10" s="1775" t="s">
        <v>3142</v>
      </c>
      <c r="EU10" s="1776" t="s">
        <v>3143</v>
      </c>
      <c r="EV10" s="1775" t="s">
        <v>3142</v>
      </c>
      <c r="EW10" s="1776" t="s">
        <v>3143</v>
      </c>
      <c r="EX10" s="1775" t="s">
        <v>3142</v>
      </c>
      <c r="EY10" s="1776" t="s">
        <v>3143</v>
      </c>
      <c r="EZ10" s="1775" t="s">
        <v>3142</v>
      </c>
      <c r="FA10" s="1776" t="s">
        <v>3143</v>
      </c>
      <c r="FB10" s="1775" t="s">
        <v>3142</v>
      </c>
      <c r="FC10" s="1776" t="s">
        <v>3143</v>
      </c>
      <c r="FD10" s="1775" t="s">
        <v>3142</v>
      </c>
      <c r="FE10" s="1776" t="s">
        <v>3143</v>
      </c>
      <c r="FF10" s="1775" t="s">
        <v>3142</v>
      </c>
      <c r="FG10" s="1776" t="s">
        <v>3143</v>
      </c>
      <c r="FH10" s="1775" t="s">
        <v>3142</v>
      </c>
      <c r="FI10" s="1776" t="s">
        <v>3143</v>
      </c>
      <c r="FJ10" s="1775" t="s">
        <v>3142</v>
      </c>
      <c r="FK10" s="1776" t="s">
        <v>3143</v>
      </c>
      <c r="FL10" s="1775" t="s">
        <v>3142</v>
      </c>
      <c r="FM10" s="1776" t="s">
        <v>3143</v>
      </c>
      <c r="FN10" s="1775" t="s">
        <v>3142</v>
      </c>
      <c r="FO10" s="1776" t="s">
        <v>3143</v>
      </c>
      <c r="FP10" s="1775" t="s">
        <v>3142</v>
      </c>
      <c r="FQ10" s="1776" t="s">
        <v>3143</v>
      </c>
      <c r="FR10" s="1775" t="s">
        <v>3142</v>
      </c>
      <c r="FS10" s="1776" t="s">
        <v>3143</v>
      </c>
      <c r="FT10" s="1775" t="s">
        <v>3142</v>
      </c>
      <c r="FU10" s="1776" t="s">
        <v>3143</v>
      </c>
      <c r="FV10" s="1775" t="s">
        <v>3142</v>
      </c>
      <c r="FW10" s="1776" t="s">
        <v>3143</v>
      </c>
      <c r="FX10" s="1775" t="s">
        <v>3142</v>
      </c>
      <c r="FY10" s="1776" t="s">
        <v>3143</v>
      </c>
      <c r="FZ10" s="1775" t="s">
        <v>3142</v>
      </c>
      <c r="GA10" s="1776" t="s">
        <v>3143</v>
      </c>
      <c r="GB10" s="1775" t="s">
        <v>3142</v>
      </c>
      <c r="GC10" s="1776" t="s">
        <v>3143</v>
      </c>
      <c r="GD10" s="1775" t="s">
        <v>3142</v>
      </c>
      <c r="GE10" s="1776" t="s">
        <v>3143</v>
      </c>
      <c r="GF10" s="1775" t="s">
        <v>3142</v>
      </c>
      <c r="GG10" s="1776" t="s">
        <v>3143</v>
      </c>
      <c r="GH10" s="1775" t="s">
        <v>3142</v>
      </c>
      <c r="GI10" s="1776" t="s">
        <v>3143</v>
      </c>
      <c r="GJ10" s="1775" t="s">
        <v>3142</v>
      </c>
      <c r="GK10" s="1776" t="s">
        <v>3143</v>
      </c>
      <c r="GL10" s="1775" t="s">
        <v>3142</v>
      </c>
      <c r="GM10" s="1776" t="s">
        <v>3143</v>
      </c>
      <c r="GN10" s="1775" t="s">
        <v>3142</v>
      </c>
      <c r="GO10" s="1776" t="s">
        <v>3143</v>
      </c>
      <c r="GP10" s="1775" t="s">
        <v>3142</v>
      </c>
      <c r="GQ10" s="1776" t="s">
        <v>3143</v>
      </c>
      <c r="GR10" s="1775" t="s">
        <v>3142</v>
      </c>
      <c r="GS10" s="1776" t="s">
        <v>3143</v>
      </c>
      <c r="GT10" s="1775" t="s">
        <v>3142</v>
      </c>
      <c r="GU10" s="1776" t="s">
        <v>3143</v>
      </c>
      <c r="GV10" s="1775" t="s">
        <v>3142</v>
      </c>
      <c r="GW10" s="1776" t="s">
        <v>3143</v>
      </c>
      <c r="GX10" s="1775" t="s">
        <v>3142</v>
      </c>
      <c r="GY10" s="1776" t="s">
        <v>3143</v>
      </c>
      <c r="GZ10" s="1775" t="s">
        <v>3142</v>
      </c>
      <c r="HA10" s="1776" t="s">
        <v>3143</v>
      </c>
      <c r="HB10" s="1775" t="s">
        <v>3142</v>
      </c>
      <c r="HC10" s="1776" t="s">
        <v>3143</v>
      </c>
      <c r="HD10" s="1775" t="s">
        <v>3142</v>
      </c>
      <c r="HE10" s="1776" t="s">
        <v>3143</v>
      </c>
      <c r="HF10" s="1775" t="s">
        <v>3142</v>
      </c>
      <c r="HG10" s="1776" t="s">
        <v>3143</v>
      </c>
      <c r="HH10" s="1775" t="s">
        <v>3142</v>
      </c>
      <c r="HI10" s="1776" t="s">
        <v>3143</v>
      </c>
      <c r="HJ10" s="1775" t="s">
        <v>3142</v>
      </c>
      <c r="HK10" s="1776" t="s">
        <v>3143</v>
      </c>
      <c r="HL10" s="1775" t="s">
        <v>3142</v>
      </c>
      <c r="HM10" s="1776" t="s">
        <v>3143</v>
      </c>
      <c r="HN10" s="1775" t="s">
        <v>3142</v>
      </c>
      <c r="HO10" s="1776" t="s">
        <v>3143</v>
      </c>
      <c r="HP10" s="1775" t="s">
        <v>3142</v>
      </c>
      <c r="HQ10" s="1776" t="s">
        <v>3143</v>
      </c>
      <c r="HR10" s="1775" t="s">
        <v>3142</v>
      </c>
      <c r="HS10" s="1776" t="s">
        <v>3143</v>
      </c>
      <c r="HT10" s="1775" t="s">
        <v>3142</v>
      </c>
      <c r="HU10" s="1776" t="s">
        <v>3143</v>
      </c>
      <c r="HV10" s="2772"/>
    </row>
    <row r="11" spans="1:300" s="1774" customFormat="1" ht="22.5" customHeight="1">
      <c r="A11" s="1777" t="s">
        <v>2312</v>
      </c>
      <c r="B11" s="1778">
        <f t="shared" ref="B11:BM11" si="0">B13+B18</f>
        <v>59108.279780000012</v>
      </c>
      <c r="C11" s="1778">
        <f t="shared" si="0"/>
        <v>22825.83741</v>
      </c>
      <c r="D11" s="1778">
        <f t="shared" si="0"/>
        <v>81436.483720438002</v>
      </c>
      <c r="E11" s="1778">
        <f t="shared" si="0"/>
        <v>35909.666469999996</v>
      </c>
      <c r="F11" s="1778">
        <f t="shared" si="0"/>
        <v>111913.34434000001</v>
      </c>
      <c r="G11" s="1778">
        <f t="shared" si="0"/>
        <v>47343.730989999996</v>
      </c>
      <c r="H11" s="1778">
        <f t="shared" si="0"/>
        <v>140766.13191</v>
      </c>
      <c r="I11" s="1778">
        <f t="shared" si="0"/>
        <v>57751.798999999999</v>
      </c>
      <c r="J11" s="1778">
        <f t="shared" si="0"/>
        <v>172647.03302999999</v>
      </c>
      <c r="K11" s="1778">
        <f t="shared" si="0"/>
        <v>75934.496589999995</v>
      </c>
      <c r="L11" s="1778">
        <f t="shared" si="0"/>
        <v>193802.48547999898</v>
      </c>
      <c r="M11" s="1778">
        <f t="shared" si="0"/>
        <v>98573.162280000004</v>
      </c>
      <c r="N11" s="1778">
        <f t="shared" si="0"/>
        <v>223457.58611999999</v>
      </c>
      <c r="O11" s="1778">
        <f t="shared" si="0"/>
        <v>113319.80238000001</v>
      </c>
      <c r="P11" s="1778">
        <f t="shared" si="0"/>
        <v>252978.3707</v>
      </c>
      <c r="Q11" s="1778">
        <f t="shared" si="0"/>
        <v>130746.44103</v>
      </c>
      <c r="R11" s="1778">
        <f t="shared" si="0"/>
        <v>281647.78428000002</v>
      </c>
      <c r="S11" s="1778">
        <f t="shared" si="0"/>
        <v>147725.55063000001</v>
      </c>
      <c r="T11" s="1778">
        <f t="shared" si="0"/>
        <v>307301.93542999995</v>
      </c>
      <c r="U11" s="1778">
        <f t="shared" si="0"/>
        <v>158899.80316000001</v>
      </c>
      <c r="V11" s="1778">
        <f t="shared" si="0"/>
        <v>335764.63698000001</v>
      </c>
      <c r="W11" s="1778">
        <f t="shared" si="0"/>
        <v>179718.84656000001</v>
      </c>
      <c r="X11" s="1778">
        <f t="shared" si="0"/>
        <v>375231.47305000003</v>
      </c>
      <c r="Y11" s="1778">
        <f t="shared" si="0"/>
        <v>199424.8922</v>
      </c>
      <c r="Z11" s="1778">
        <f t="shared" si="0"/>
        <v>71858.84438000001</v>
      </c>
      <c r="AA11" s="1778">
        <f t="shared" si="0"/>
        <v>17992.852439000002</v>
      </c>
      <c r="AB11" s="1778">
        <f t="shared" si="0"/>
        <v>106779.38829</v>
      </c>
      <c r="AC11" s="1778">
        <f t="shared" si="0"/>
        <v>29637.924689999996</v>
      </c>
      <c r="AD11" s="1778">
        <f t="shared" si="0"/>
        <v>157059.21796000001</v>
      </c>
      <c r="AE11" s="1778">
        <f t="shared" si="0"/>
        <v>44436.488689999998</v>
      </c>
      <c r="AF11" s="1778">
        <f t="shared" si="0"/>
        <v>220860.59321999998</v>
      </c>
      <c r="AG11" s="1778">
        <f t="shared" si="0"/>
        <v>56936.578020000001</v>
      </c>
      <c r="AH11" s="1778">
        <f t="shared" si="0"/>
        <v>255408.53672999999</v>
      </c>
      <c r="AI11" s="1778">
        <f t="shared" si="0"/>
        <v>69784.150410000002</v>
      </c>
      <c r="AJ11" s="1778">
        <f t="shared" si="0"/>
        <v>286838.38493000006</v>
      </c>
      <c r="AK11" s="1778">
        <f t="shared" si="0"/>
        <v>87105.885379999992</v>
      </c>
      <c r="AL11" s="1778">
        <f t="shared" si="0"/>
        <v>334477.69801000005</v>
      </c>
      <c r="AM11" s="1778">
        <f t="shared" si="0"/>
        <v>107509.6238</v>
      </c>
      <c r="AN11" s="1778">
        <f t="shared" si="0"/>
        <v>374662.73365000007</v>
      </c>
      <c r="AO11" s="1778">
        <f t="shared" si="0"/>
        <v>124639.48737000002</v>
      </c>
      <c r="AP11" s="1778">
        <f t="shared" si="0"/>
        <v>414944.60618999996</v>
      </c>
      <c r="AQ11" s="1778">
        <f t="shared" si="0"/>
        <v>137320.01965999999</v>
      </c>
      <c r="AR11" s="1778">
        <f t="shared" si="0"/>
        <v>450761.31994000002</v>
      </c>
      <c r="AS11" s="1778">
        <f t="shared" si="0"/>
        <v>149741.78434000001</v>
      </c>
      <c r="AT11" s="1778">
        <f t="shared" si="0"/>
        <v>485320.29032000003</v>
      </c>
      <c r="AU11" s="1778">
        <f t="shared" si="0"/>
        <v>162417.86358999999</v>
      </c>
      <c r="AV11" s="1778">
        <f t="shared" si="0"/>
        <v>536146.87455000007</v>
      </c>
      <c r="AW11" s="1778">
        <f t="shared" si="0"/>
        <v>172564.83457000001</v>
      </c>
      <c r="AX11" s="1778">
        <f t="shared" si="0"/>
        <v>72588.431540000005</v>
      </c>
      <c r="AY11" s="1778">
        <f t="shared" si="0"/>
        <v>10793.73616</v>
      </c>
      <c r="AZ11" s="1778">
        <f t="shared" si="0"/>
        <v>103950.46861000001</v>
      </c>
      <c r="BA11" s="1778">
        <f t="shared" si="0"/>
        <v>21337.961309999999</v>
      </c>
      <c r="BB11" s="1778">
        <f t="shared" si="0"/>
        <v>129931.37953999999</v>
      </c>
      <c r="BC11" s="1778">
        <f t="shared" si="0"/>
        <v>29912.106050000002</v>
      </c>
      <c r="BD11" s="1778">
        <f t="shared" si="0"/>
        <v>176202.44117000001</v>
      </c>
      <c r="BE11" s="1778">
        <f t="shared" si="0"/>
        <v>43346.339839999993</v>
      </c>
      <c r="BF11" s="1778">
        <f t="shared" si="0"/>
        <v>212707.16513000001</v>
      </c>
      <c r="BG11" s="1778">
        <f t="shared" si="0"/>
        <v>64023.06897</v>
      </c>
      <c r="BH11" s="1778">
        <f t="shared" si="0"/>
        <v>241792.75234999997</v>
      </c>
      <c r="BI11" s="1778">
        <f t="shared" si="0"/>
        <v>83268.621169999999</v>
      </c>
      <c r="BJ11" s="1778">
        <f t="shared" si="0"/>
        <v>285603.54849000007</v>
      </c>
      <c r="BK11" s="1778">
        <f t="shared" si="0"/>
        <v>109987.84782</v>
      </c>
      <c r="BL11" s="1778">
        <f t="shared" si="0"/>
        <v>315589.47619000002</v>
      </c>
      <c r="BM11" s="1778">
        <f t="shared" si="0"/>
        <v>124122.9552</v>
      </c>
      <c r="BN11" s="1778">
        <f t="shared" ref="BN11:DY11" si="1">BN13+BN18</f>
        <v>351722.18362999998</v>
      </c>
      <c r="BO11" s="1778">
        <f t="shared" si="1"/>
        <v>143441.67624</v>
      </c>
      <c r="BP11" s="1778">
        <f t="shared" si="1"/>
        <v>387027.81017000001</v>
      </c>
      <c r="BQ11" s="1778">
        <f t="shared" si="1"/>
        <v>159657.07675000001</v>
      </c>
      <c r="BR11" s="1778">
        <f t="shared" si="1"/>
        <v>417814.97445999994</v>
      </c>
      <c r="BS11" s="1778">
        <f t="shared" si="1"/>
        <v>179540.27496000001</v>
      </c>
      <c r="BT11" s="1778">
        <f t="shared" si="1"/>
        <v>456604.20232000004</v>
      </c>
      <c r="BU11" s="1778">
        <f t="shared" si="1"/>
        <v>220910.05273999998</v>
      </c>
      <c r="BV11" s="1778">
        <f t="shared" si="1"/>
        <v>91230.754159999997</v>
      </c>
      <c r="BW11" s="1778">
        <f t="shared" si="1"/>
        <v>19242.320180000002</v>
      </c>
      <c r="BX11" s="1778">
        <f t="shared" si="1"/>
        <v>123466.37974</v>
      </c>
      <c r="BY11" s="1778">
        <f t="shared" si="1"/>
        <v>34198.379480000003</v>
      </c>
      <c r="BZ11" s="1778">
        <f t="shared" si="1"/>
        <v>160517.82574999999</v>
      </c>
      <c r="CA11" s="1778">
        <f t="shared" si="1"/>
        <v>57484.857620000002</v>
      </c>
      <c r="CB11" s="1778">
        <f t="shared" si="1"/>
        <v>209807.27048000001</v>
      </c>
      <c r="CC11" s="1778">
        <f t="shared" si="1"/>
        <v>80282.155119999996</v>
      </c>
      <c r="CD11" s="1778">
        <f t="shared" si="1"/>
        <v>242993.74248999998</v>
      </c>
      <c r="CE11" s="1778">
        <f t="shared" si="1"/>
        <v>110923.35782</v>
      </c>
      <c r="CF11" s="1778">
        <f t="shared" si="1"/>
        <v>274154.15925999999</v>
      </c>
      <c r="CG11" s="1778">
        <f t="shared" si="1"/>
        <v>154018.59525000001</v>
      </c>
      <c r="CH11" s="1778">
        <f t="shared" si="1"/>
        <v>325474.40952999995</v>
      </c>
      <c r="CI11" s="1778">
        <f t="shared" si="1"/>
        <v>188000.64062999998</v>
      </c>
      <c r="CJ11" s="1778">
        <f t="shared" si="1"/>
        <v>365855.32296000002</v>
      </c>
      <c r="CK11" s="1778">
        <f t="shared" si="1"/>
        <v>219085.65304999999</v>
      </c>
      <c r="CL11" s="1778">
        <f t="shared" si="1"/>
        <v>401679.25686999998</v>
      </c>
      <c r="CM11" s="1778">
        <f t="shared" si="1"/>
        <v>257299.08840000001</v>
      </c>
      <c r="CN11" s="1778">
        <f t="shared" si="1"/>
        <v>435222.30601000006</v>
      </c>
      <c r="CO11" s="1778">
        <f t="shared" si="1"/>
        <v>293939.20003000001</v>
      </c>
      <c r="CP11" s="1778">
        <f t="shared" si="1"/>
        <v>461646.02765</v>
      </c>
      <c r="CQ11" s="1778">
        <f t="shared" si="1"/>
        <v>328069.42420999997</v>
      </c>
      <c r="CR11" s="1778">
        <f t="shared" si="1"/>
        <v>502768.70271000004</v>
      </c>
      <c r="CS11" s="1778">
        <f t="shared" si="1"/>
        <v>378741.23450000002</v>
      </c>
      <c r="CT11" s="1778">
        <f t="shared" si="1"/>
        <v>84178.325880000004</v>
      </c>
      <c r="CU11" s="1778">
        <f t="shared" si="1"/>
        <v>37187.69829</v>
      </c>
      <c r="CV11" s="1778">
        <f t="shared" si="1"/>
        <v>117747.58765</v>
      </c>
      <c r="CW11" s="1778">
        <f t="shared" si="1"/>
        <v>67109.673500000004</v>
      </c>
      <c r="CX11" s="1778">
        <f t="shared" si="1"/>
        <v>155647.98918</v>
      </c>
      <c r="CY11" s="1778">
        <f t="shared" si="1"/>
        <v>104330.01140000002</v>
      </c>
      <c r="CZ11" s="1778">
        <f t="shared" si="1"/>
        <v>222416.18964000003</v>
      </c>
      <c r="DA11" s="1778">
        <f t="shared" si="1"/>
        <v>129372.58914</v>
      </c>
      <c r="DB11" s="1778">
        <f t="shared" si="1"/>
        <v>264787.44631000003</v>
      </c>
      <c r="DC11" s="1778">
        <f t="shared" si="1"/>
        <v>151540.48887999999</v>
      </c>
      <c r="DD11" s="1778">
        <f t="shared" si="1"/>
        <v>304513.32678999996</v>
      </c>
      <c r="DE11" s="1778">
        <f t="shared" si="1"/>
        <v>183663.41975</v>
      </c>
      <c r="DF11" s="1778">
        <f t="shared" si="1"/>
        <v>364792.14871999994</v>
      </c>
      <c r="DG11" s="1778">
        <f t="shared" si="1"/>
        <v>228183.79194000002</v>
      </c>
      <c r="DH11" s="1778">
        <f t="shared" si="1"/>
        <v>398829.93345999997</v>
      </c>
      <c r="DI11" s="1778">
        <f t="shared" si="1"/>
        <v>257744.44704</v>
      </c>
      <c r="DJ11" s="1778">
        <f t="shared" si="1"/>
        <v>443835.39465000003</v>
      </c>
      <c r="DK11" s="1778">
        <f t="shared" si="1"/>
        <v>280839.54478300002</v>
      </c>
      <c r="DL11" s="1778">
        <f t="shared" si="1"/>
        <v>482652.29535999999</v>
      </c>
      <c r="DM11" s="1778">
        <f t="shared" si="1"/>
        <v>299848.42320000002</v>
      </c>
      <c r="DN11" s="1778">
        <f t="shared" si="1"/>
        <v>528794.12450999999</v>
      </c>
      <c r="DO11" s="1778">
        <f t="shared" si="1"/>
        <v>319738.47968300001</v>
      </c>
      <c r="DP11" s="1778">
        <f t="shared" si="1"/>
        <v>586594.62865999993</v>
      </c>
      <c r="DQ11" s="1779">
        <f t="shared" si="1"/>
        <v>339265.52567999996</v>
      </c>
      <c r="DR11" s="1780">
        <f t="shared" si="1"/>
        <v>99281.556080000009</v>
      </c>
      <c r="DS11" s="1781">
        <f t="shared" si="1"/>
        <v>9444.8248000000003</v>
      </c>
      <c r="DT11" s="1782">
        <f t="shared" si="1"/>
        <v>143136.26617099997</v>
      </c>
      <c r="DU11" s="1779">
        <f t="shared" si="1"/>
        <v>24463.269250000001</v>
      </c>
      <c r="DV11" s="1783">
        <f t="shared" si="1"/>
        <v>193989.10613999999</v>
      </c>
      <c r="DW11" s="1784">
        <f t="shared" si="1"/>
        <v>38898.655809999997</v>
      </c>
      <c r="DX11" s="1782">
        <f t="shared" si="1"/>
        <v>267745.00729999994</v>
      </c>
      <c r="DY11" s="1779">
        <f t="shared" si="1"/>
        <v>62350.635609999998</v>
      </c>
      <c r="DZ11" s="1783">
        <f t="shared" ref="DZ11:GK11" si="2">DZ13+DZ18</f>
        <v>318065.35183000006</v>
      </c>
      <c r="EA11" s="1784">
        <f t="shared" si="2"/>
        <v>90598.459000000003</v>
      </c>
      <c r="EB11" s="1782">
        <f t="shared" si="2"/>
        <v>366698.12631000008</v>
      </c>
      <c r="EC11" s="1779">
        <f t="shared" si="2"/>
        <v>130249.03214</v>
      </c>
      <c r="ED11" s="1783">
        <f t="shared" si="2"/>
        <v>438710.31428000005</v>
      </c>
      <c r="EE11" s="1784">
        <f t="shared" si="2"/>
        <v>186782.81148000003</v>
      </c>
      <c r="EF11" s="1785">
        <f t="shared" si="2"/>
        <v>493685.8701</v>
      </c>
      <c r="EG11" s="1784">
        <f t="shared" si="2"/>
        <v>220316.80287000001</v>
      </c>
      <c r="EH11" s="1783">
        <f t="shared" si="2"/>
        <v>553565.34953000001</v>
      </c>
      <c r="EI11" s="1786">
        <f t="shared" si="2"/>
        <v>246766.73180000001</v>
      </c>
      <c r="EJ11" s="1785">
        <f t="shared" si="2"/>
        <v>601852.72037</v>
      </c>
      <c r="EK11" s="1784">
        <f t="shared" si="2"/>
        <v>279218.96015000006</v>
      </c>
      <c r="EL11" s="1783">
        <f t="shared" si="2"/>
        <v>657638.55290999997</v>
      </c>
      <c r="EM11" s="1786">
        <f t="shared" si="2"/>
        <v>313746.87060999998</v>
      </c>
      <c r="EN11" s="1783">
        <f t="shared" si="2"/>
        <v>728071.01115999999</v>
      </c>
      <c r="EO11" s="1786">
        <f t="shared" si="2"/>
        <v>337633.16804000002</v>
      </c>
      <c r="EP11" s="1783">
        <f t="shared" si="2"/>
        <v>113490.66243000001</v>
      </c>
      <c r="EQ11" s="1786">
        <f t="shared" si="2"/>
        <v>26870.20695</v>
      </c>
      <c r="ER11" s="1783">
        <f t="shared" si="2"/>
        <v>171427.38548</v>
      </c>
      <c r="ES11" s="1786">
        <f t="shared" si="2"/>
        <v>52591.037230000002</v>
      </c>
      <c r="ET11" s="1783">
        <f t="shared" si="2"/>
        <v>255355.92375000002</v>
      </c>
      <c r="EU11" s="1786">
        <f t="shared" si="2"/>
        <v>78217.819310000006</v>
      </c>
      <c r="EV11" s="1783">
        <f t="shared" si="2"/>
        <v>341853.86812</v>
      </c>
      <c r="EW11" s="1786">
        <f t="shared" si="2"/>
        <v>102501.93807999999</v>
      </c>
      <c r="EX11" s="1783">
        <f t="shared" si="2"/>
        <v>410666.32101000001</v>
      </c>
      <c r="EY11" s="1786">
        <f t="shared" si="2"/>
        <v>133340.32786999998</v>
      </c>
      <c r="EZ11" s="1783">
        <f t="shared" si="2"/>
        <v>470656.02851999999</v>
      </c>
      <c r="FA11" s="1786">
        <f t="shared" si="2"/>
        <v>174824.24132999999</v>
      </c>
      <c r="FB11" s="1783">
        <f t="shared" si="2"/>
        <v>559287.32224999997</v>
      </c>
      <c r="FC11" s="1786">
        <f t="shared" si="2"/>
        <v>221326.00675000003</v>
      </c>
      <c r="FD11" s="1783">
        <f t="shared" si="2"/>
        <v>618920.68718999997</v>
      </c>
      <c r="FE11" s="1786">
        <f t="shared" si="2"/>
        <v>274138.60837999999</v>
      </c>
      <c r="FF11" s="1783">
        <f t="shared" si="2"/>
        <v>686071.20922000008</v>
      </c>
      <c r="FG11" s="1786">
        <f t="shared" si="2"/>
        <v>320151.46427999996</v>
      </c>
      <c r="FH11" s="1783">
        <f t="shared" si="2"/>
        <v>748890.64110000001</v>
      </c>
      <c r="FI11" s="1786">
        <f t="shared" si="2"/>
        <v>364539.6716</v>
      </c>
      <c r="FJ11" s="1783">
        <f t="shared" si="2"/>
        <v>812598.88630999997</v>
      </c>
      <c r="FK11" s="1786">
        <f t="shared" si="2"/>
        <v>398352.01985999994</v>
      </c>
      <c r="FL11" s="1783">
        <f t="shared" si="2"/>
        <v>888104.33716999996</v>
      </c>
      <c r="FM11" s="1786">
        <f t="shared" si="2"/>
        <v>479252.54622000002</v>
      </c>
      <c r="FN11" s="1783">
        <f t="shared" si="2"/>
        <v>118306.60537</v>
      </c>
      <c r="FO11" s="1786">
        <f t="shared" si="2"/>
        <v>30547.419670000003</v>
      </c>
      <c r="FP11" s="1783">
        <f t="shared" si="2"/>
        <v>191047.25730999996</v>
      </c>
      <c r="FQ11" s="1786">
        <f t="shared" si="2"/>
        <v>79822.840609999999</v>
      </c>
      <c r="FR11" s="1783">
        <f t="shared" si="2"/>
        <v>278311.7501</v>
      </c>
      <c r="FS11" s="1786">
        <f t="shared" si="2"/>
        <v>124135.70495999999</v>
      </c>
      <c r="FT11" s="1783">
        <f t="shared" si="2"/>
        <v>410401.06472999998</v>
      </c>
      <c r="FU11" s="1786">
        <f t="shared" si="2"/>
        <v>167184.33017999999</v>
      </c>
      <c r="FV11" s="1783">
        <f t="shared" si="2"/>
        <v>481888.14881000004</v>
      </c>
      <c r="FW11" s="1786">
        <f t="shared" si="2"/>
        <v>220264.61818999998</v>
      </c>
      <c r="FX11" s="1783">
        <f t="shared" si="2"/>
        <v>541063.86011999997</v>
      </c>
      <c r="FY11" s="1786">
        <f t="shared" si="2"/>
        <v>294750.76533000002</v>
      </c>
      <c r="FZ11" s="1783">
        <f t="shared" si="2"/>
        <v>623724.83027999999</v>
      </c>
      <c r="GA11" s="1786">
        <f t="shared" si="2"/>
        <v>366807.18531000003</v>
      </c>
      <c r="GB11" s="1783">
        <f t="shared" si="2"/>
        <v>692837.42812000006</v>
      </c>
      <c r="GC11" s="1786">
        <f t="shared" si="2"/>
        <v>414388.49855000002</v>
      </c>
      <c r="GD11" s="1783">
        <f t="shared" si="2"/>
        <v>765428.60534000001</v>
      </c>
      <c r="GE11" s="1786">
        <f t="shared" si="2"/>
        <v>454801.31605000002</v>
      </c>
      <c r="GF11" s="1783">
        <f t="shared" si="2"/>
        <v>829101.73564999993</v>
      </c>
      <c r="GG11" s="1786">
        <f t="shared" si="2"/>
        <v>510255.71868999995</v>
      </c>
      <c r="GH11" s="1783">
        <f t="shared" si="2"/>
        <v>912557.65986999986</v>
      </c>
      <c r="GI11" s="1786">
        <f t="shared" si="2"/>
        <v>568092.46887999994</v>
      </c>
      <c r="GJ11" s="1783">
        <f t="shared" si="2"/>
        <v>1011329.7610800001</v>
      </c>
      <c r="GK11" s="1786">
        <f t="shared" si="2"/>
        <v>613016.36939999997</v>
      </c>
      <c r="GL11" s="1783">
        <f t="shared" ref="GL11:HQ11" si="3">GL13+GL18</f>
        <v>140601.05796000001</v>
      </c>
      <c r="GM11" s="1786">
        <f t="shared" si="3"/>
        <v>37519.304199999999</v>
      </c>
      <c r="GN11" s="1783">
        <f t="shared" si="3"/>
        <v>220090.17443000001</v>
      </c>
      <c r="GO11" s="1786">
        <f t="shared" si="3"/>
        <v>87366.37698999999</v>
      </c>
      <c r="GP11" s="1783">
        <f t="shared" si="3"/>
        <v>307945.36141000001</v>
      </c>
      <c r="GQ11" s="1786">
        <f t="shared" si="3"/>
        <v>134101.757231767</v>
      </c>
      <c r="GR11" s="1783">
        <f t="shared" si="3"/>
        <v>451855.58370999998</v>
      </c>
      <c r="GS11" s="1786">
        <f t="shared" si="3"/>
        <v>187055.75312000001</v>
      </c>
      <c r="GT11" s="1783">
        <f t="shared" si="3"/>
        <v>548124.53364000004</v>
      </c>
      <c r="GU11" s="1786">
        <f t="shared" si="3"/>
        <v>257364.54573000001</v>
      </c>
      <c r="GV11" s="1783">
        <f t="shared" si="3"/>
        <v>622364.74797999999</v>
      </c>
      <c r="GW11" s="1786">
        <f t="shared" si="3"/>
        <v>363872.38421000005</v>
      </c>
      <c r="GX11" s="1783">
        <f t="shared" si="3"/>
        <v>716301.29232000001</v>
      </c>
      <c r="GY11" s="1786">
        <f t="shared" si="3"/>
        <v>448712.17175999994</v>
      </c>
      <c r="GZ11" s="1783">
        <f t="shared" si="3"/>
        <v>798213.28306000005</v>
      </c>
      <c r="HA11" s="1786">
        <f t="shared" si="3"/>
        <v>510739.40969</v>
      </c>
      <c r="HB11" s="1783">
        <f t="shared" si="3"/>
        <v>881844.1484699999</v>
      </c>
      <c r="HC11" s="1786">
        <f t="shared" si="3"/>
        <v>578474.84751999995</v>
      </c>
      <c r="HD11" s="1783">
        <f t="shared" si="3"/>
        <v>954643.21652000002</v>
      </c>
      <c r="HE11" s="1786">
        <f t="shared" si="3"/>
        <v>651761.40153000003</v>
      </c>
      <c r="HF11" s="1783">
        <f t="shared" si="3"/>
        <v>1034015.2585500001</v>
      </c>
      <c r="HG11" s="1786">
        <f t="shared" si="3"/>
        <v>713141.48776000005</v>
      </c>
      <c r="HH11" s="1783">
        <f t="shared" si="3"/>
        <v>1138898.29406</v>
      </c>
      <c r="HI11" s="1786">
        <f t="shared" si="3"/>
        <v>773824.32988999994</v>
      </c>
      <c r="HJ11" s="1783">
        <f t="shared" si="3"/>
        <v>136456.21274000002</v>
      </c>
      <c r="HK11" s="1786">
        <f t="shared" si="3"/>
        <v>50261.695729999999</v>
      </c>
      <c r="HL11" s="1783">
        <f t="shared" si="3"/>
        <v>234435.81361999997</v>
      </c>
      <c r="HM11" s="1786">
        <f t="shared" si="3"/>
        <v>121771.7916</v>
      </c>
      <c r="HN11" s="1783">
        <f t="shared" si="3"/>
        <v>352277.03115000005</v>
      </c>
      <c r="HO11" s="1786">
        <f t="shared" si="3"/>
        <v>180319.01433999999</v>
      </c>
      <c r="HP11" s="1783">
        <f t="shared" si="3"/>
        <v>518002.22641000006</v>
      </c>
      <c r="HQ11" s="1786">
        <f t="shared" si="3"/>
        <v>250643.03156000003</v>
      </c>
      <c r="HR11" s="1783">
        <f t="shared" ref="HR11:HS11" si="4">HR13+HR18</f>
        <v>614554.77214000002</v>
      </c>
      <c r="HS11" s="1786">
        <f t="shared" si="4"/>
        <v>343682.00951000006</v>
      </c>
      <c r="HT11" s="1783">
        <v>717722.10600999999</v>
      </c>
      <c r="HU11" s="1786">
        <v>470002.87548999989</v>
      </c>
      <c r="HV11" s="1777" t="s">
        <v>3175</v>
      </c>
    </row>
    <row r="12" spans="1:300" s="1774" customFormat="1" ht="22.5" customHeight="1">
      <c r="A12" s="1787" t="s">
        <v>2274</v>
      </c>
      <c r="B12" s="1788"/>
      <c r="C12" s="1788"/>
      <c r="D12" s="1788"/>
      <c r="E12" s="1788"/>
      <c r="F12" s="1788"/>
      <c r="G12" s="1788"/>
      <c r="H12" s="1788"/>
      <c r="I12" s="1788"/>
      <c r="J12" s="1788"/>
      <c r="K12" s="1788"/>
      <c r="L12" s="1788"/>
      <c r="M12" s="1788"/>
      <c r="N12" s="1788"/>
      <c r="O12" s="1788"/>
      <c r="P12" s="1788"/>
      <c r="Q12" s="1788"/>
      <c r="R12" s="1788"/>
      <c r="S12" s="1788"/>
      <c r="T12" s="1788"/>
      <c r="U12" s="1788"/>
      <c r="V12" s="1788"/>
      <c r="W12" s="1788"/>
      <c r="X12" s="1788"/>
      <c r="Y12" s="1788"/>
      <c r="Z12" s="1788"/>
      <c r="AA12" s="1788"/>
      <c r="AB12" s="1788"/>
      <c r="AC12" s="1788"/>
      <c r="AD12" s="1788"/>
      <c r="AE12" s="1788"/>
      <c r="AF12" s="1788"/>
      <c r="AG12" s="1788"/>
      <c r="AH12" s="1788"/>
      <c r="AI12" s="1788"/>
      <c r="AJ12" s="1788"/>
      <c r="AK12" s="1788"/>
      <c r="AL12" s="1788"/>
      <c r="AM12" s="1788"/>
      <c r="AN12" s="1788"/>
      <c r="AO12" s="1788"/>
      <c r="AP12" s="1788"/>
      <c r="AQ12" s="1788"/>
      <c r="AR12" s="1788"/>
      <c r="AS12" s="1788"/>
      <c r="AT12" s="1788"/>
      <c r="AU12" s="1788"/>
      <c r="AV12" s="1788"/>
      <c r="AW12" s="1788"/>
      <c r="AX12" s="1788"/>
      <c r="AY12" s="1788"/>
      <c r="AZ12" s="1788"/>
      <c r="BA12" s="1788"/>
      <c r="BB12" s="1788"/>
      <c r="BC12" s="1788"/>
      <c r="BD12" s="1788"/>
      <c r="BE12" s="1788"/>
      <c r="BF12" s="1788"/>
      <c r="BG12" s="1788"/>
      <c r="BH12" s="1788"/>
      <c r="BI12" s="1788"/>
      <c r="BJ12" s="1788"/>
      <c r="BK12" s="1788"/>
      <c r="BL12" s="1788"/>
      <c r="BM12" s="1788"/>
      <c r="BN12" s="1788"/>
      <c r="BO12" s="1788"/>
      <c r="BP12" s="1788"/>
      <c r="BQ12" s="1788"/>
      <c r="BR12" s="1788"/>
      <c r="BS12" s="1788"/>
      <c r="BT12" s="1788"/>
      <c r="BU12" s="1788"/>
      <c r="BV12" s="1788"/>
      <c r="BW12" s="1788"/>
      <c r="BX12" s="1788"/>
      <c r="BY12" s="1788"/>
      <c r="BZ12" s="1788"/>
      <c r="CA12" s="1788"/>
      <c r="CB12" s="1788"/>
      <c r="CC12" s="1788"/>
      <c r="CD12" s="1788"/>
      <c r="CE12" s="1788"/>
      <c r="CF12" s="1788"/>
      <c r="CG12" s="1788"/>
      <c r="CH12" s="1788"/>
      <c r="CI12" s="1788"/>
      <c r="CJ12" s="1788"/>
      <c r="CK12" s="1788"/>
      <c r="CL12" s="1788"/>
      <c r="CM12" s="1788"/>
      <c r="CN12" s="1788"/>
      <c r="CO12" s="1788"/>
      <c r="CP12" s="1788"/>
      <c r="CQ12" s="1788"/>
      <c r="CR12" s="1788"/>
      <c r="CS12" s="1788"/>
      <c r="CT12" s="1788"/>
      <c r="CU12" s="1788"/>
      <c r="CV12" s="1788"/>
      <c r="CW12" s="1788"/>
      <c r="CX12" s="1788"/>
      <c r="CY12" s="1788"/>
      <c r="CZ12" s="1788"/>
      <c r="DA12" s="1788"/>
      <c r="DB12" s="1788"/>
      <c r="DC12" s="1788"/>
      <c r="DD12" s="1788"/>
      <c r="DE12" s="1788"/>
      <c r="DF12" s="1788"/>
      <c r="DG12" s="1788"/>
      <c r="DH12" s="1788"/>
      <c r="DI12" s="1788"/>
      <c r="DJ12" s="1788"/>
      <c r="DK12" s="1788"/>
      <c r="DL12" s="1788"/>
      <c r="DM12" s="1788"/>
      <c r="DN12" s="1788"/>
      <c r="DO12" s="1788"/>
      <c r="DP12" s="1788"/>
      <c r="DQ12" s="1789"/>
      <c r="DR12" s="1790"/>
      <c r="DS12" s="1791"/>
      <c r="DT12" s="1792"/>
      <c r="DU12" s="1789"/>
      <c r="DV12" s="1790"/>
      <c r="DW12" s="1791"/>
      <c r="DX12" s="1792"/>
      <c r="DY12" s="1789"/>
      <c r="DZ12" s="1790"/>
      <c r="EA12" s="1791"/>
      <c r="EB12" s="1792"/>
      <c r="EC12" s="1789"/>
      <c r="ED12" s="1790"/>
      <c r="EE12" s="1791"/>
      <c r="EF12" s="1790"/>
      <c r="EG12" s="1791"/>
      <c r="EH12" s="1792"/>
      <c r="EI12" s="1791"/>
      <c r="EJ12" s="1792"/>
      <c r="EK12" s="1791"/>
      <c r="EL12" s="1790"/>
      <c r="EM12" s="1793"/>
      <c r="EN12" s="1790"/>
      <c r="EO12" s="1793"/>
      <c r="EP12" s="1790"/>
      <c r="EQ12" s="1793"/>
      <c r="ER12" s="1790"/>
      <c r="ES12" s="1793"/>
      <c r="ET12" s="1790"/>
      <c r="EU12" s="1793"/>
      <c r="EV12" s="1790"/>
      <c r="EW12" s="1793"/>
      <c r="EX12" s="1790"/>
      <c r="EY12" s="1793"/>
      <c r="EZ12" s="1790"/>
      <c r="FA12" s="1793"/>
      <c r="FB12" s="1790"/>
      <c r="FC12" s="1793"/>
      <c r="FD12" s="1790"/>
      <c r="FE12" s="1793"/>
      <c r="FF12" s="1790"/>
      <c r="FG12" s="1793"/>
      <c r="FH12" s="1790"/>
      <c r="FI12" s="1793"/>
      <c r="FJ12" s="1790"/>
      <c r="FK12" s="1793"/>
      <c r="FL12" s="1790"/>
      <c r="FM12" s="1793"/>
      <c r="FN12" s="1790"/>
      <c r="FO12" s="1793"/>
      <c r="FP12" s="1790"/>
      <c r="FQ12" s="1793"/>
      <c r="FR12" s="1790"/>
      <c r="FS12" s="1793"/>
      <c r="FT12" s="1790"/>
      <c r="FU12" s="1793"/>
      <c r="FV12" s="1790"/>
      <c r="FW12" s="1793"/>
      <c r="FX12" s="1790"/>
      <c r="FY12" s="1793"/>
      <c r="FZ12" s="1790"/>
      <c r="GA12" s="1793"/>
      <c r="GB12" s="1790"/>
      <c r="GC12" s="1793"/>
      <c r="GD12" s="1790"/>
      <c r="GE12" s="1793"/>
      <c r="GF12" s="1790"/>
      <c r="GG12" s="1793"/>
      <c r="GH12" s="1790"/>
      <c r="GI12" s="1793"/>
      <c r="GJ12" s="1790"/>
      <c r="GK12" s="1793"/>
      <c r="GL12" s="1790"/>
      <c r="GM12" s="1793"/>
      <c r="GN12" s="1790"/>
      <c r="GO12" s="1793"/>
      <c r="GP12" s="1790"/>
      <c r="GQ12" s="1793"/>
      <c r="GR12" s="1790"/>
      <c r="GS12" s="1793"/>
      <c r="GT12" s="1790"/>
      <c r="GU12" s="1793"/>
      <c r="GV12" s="1790"/>
      <c r="GW12" s="1793"/>
      <c r="GX12" s="1790"/>
      <c r="GY12" s="1793"/>
      <c r="GZ12" s="1790"/>
      <c r="HA12" s="1793"/>
      <c r="HB12" s="1790"/>
      <c r="HC12" s="1793"/>
      <c r="HD12" s="1790"/>
      <c r="HE12" s="1793"/>
      <c r="HF12" s="1790"/>
      <c r="HG12" s="1793"/>
      <c r="HH12" s="1790"/>
      <c r="HI12" s="1793"/>
      <c r="HJ12" s="1790"/>
      <c r="HK12" s="1793"/>
      <c r="HL12" s="1790"/>
      <c r="HM12" s="1793"/>
      <c r="HN12" s="1790"/>
      <c r="HO12" s="1793"/>
      <c r="HP12" s="1790"/>
      <c r="HQ12" s="1793"/>
      <c r="HR12" s="1790"/>
      <c r="HS12" s="1793"/>
      <c r="HT12" s="1790"/>
      <c r="HU12" s="1793"/>
      <c r="HV12" s="1787" t="s">
        <v>3410</v>
      </c>
    </row>
    <row r="13" spans="1:300" s="1774" customFormat="1" ht="22.5" customHeight="1">
      <c r="A13" s="1794" t="s">
        <v>2311</v>
      </c>
      <c r="B13" s="1788">
        <f t="shared" ref="B13:BM13" si="5">SUM(B14:B17)</f>
        <v>6342.8492200000001</v>
      </c>
      <c r="C13" s="1788">
        <f t="shared" si="5"/>
        <v>17166.309270000002</v>
      </c>
      <c r="D13" s="1788">
        <f t="shared" si="5"/>
        <v>15136.20363</v>
      </c>
      <c r="E13" s="1788">
        <f t="shared" si="5"/>
        <v>25599.854559999996</v>
      </c>
      <c r="F13" s="1788">
        <f t="shared" si="5"/>
        <v>34166.324560000001</v>
      </c>
      <c r="G13" s="1788">
        <f t="shared" si="5"/>
        <v>31003.583899999998</v>
      </c>
      <c r="H13" s="1788">
        <f t="shared" si="5"/>
        <v>54343.006259999995</v>
      </c>
      <c r="I13" s="1788">
        <f t="shared" si="5"/>
        <v>37626.183779999999</v>
      </c>
      <c r="J13" s="1788">
        <f t="shared" si="5"/>
        <v>74275.737050000011</v>
      </c>
      <c r="K13" s="1788">
        <f t="shared" si="5"/>
        <v>47643.747820000004</v>
      </c>
      <c r="L13" s="1788">
        <f t="shared" si="5"/>
        <v>84646.730819998993</v>
      </c>
      <c r="M13" s="1788">
        <f t="shared" si="5"/>
        <v>61012.837459999995</v>
      </c>
      <c r="N13" s="1788">
        <f t="shared" si="5"/>
        <v>96297.332630000004</v>
      </c>
      <c r="O13" s="1788">
        <f t="shared" si="5"/>
        <v>69338.036550000004</v>
      </c>
      <c r="P13" s="1788">
        <f t="shared" si="5"/>
        <v>110871.53505999999</v>
      </c>
      <c r="Q13" s="1788">
        <f t="shared" si="5"/>
        <v>77260.153109999999</v>
      </c>
      <c r="R13" s="1788">
        <f t="shared" si="5"/>
        <v>123875.35850000002</v>
      </c>
      <c r="S13" s="1788">
        <f t="shared" si="5"/>
        <v>89051.943490000005</v>
      </c>
      <c r="T13" s="1788">
        <f t="shared" si="5"/>
        <v>138181.25177999996</v>
      </c>
      <c r="U13" s="1788">
        <f t="shared" si="5"/>
        <v>93637.328750000001</v>
      </c>
      <c r="V13" s="1788">
        <f t="shared" si="5"/>
        <v>155559.02755</v>
      </c>
      <c r="W13" s="1788">
        <f t="shared" si="5"/>
        <v>110562.99611000001</v>
      </c>
      <c r="X13" s="1788">
        <f t="shared" si="5"/>
        <v>177855.77153000003</v>
      </c>
      <c r="Y13" s="1788">
        <f t="shared" si="5"/>
        <v>126406.9201</v>
      </c>
      <c r="Z13" s="1788">
        <f t="shared" si="5"/>
        <v>16702.570650000001</v>
      </c>
      <c r="AA13" s="1788">
        <f t="shared" si="5"/>
        <v>10995.473970000001</v>
      </c>
      <c r="AB13" s="1788">
        <f t="shared" si="5"/>
        <v>36224.588850000007</v>
      </c>
      <c r="AC13" s="1788">
        <f t="shared" si="5"/>
        <v>16610.190009999998</v>
      </c>
      <c r="AD13" s="1788">
        <f t="shared" si="5"/>
        <v>63307.579740000008</v>
      </c>
      <c r="AE13" s="1788">
        <f t="shared" si="5"/>
        <v>26711.776180000001</v>
      </c>
      <c r="AF13" s="1788">
        <f t="shared" si="5"/>
        <v>115597.70895999999</v>
      </c>
      <c r="AG13" s="1788">
        <f t="shared" si="5"/>
        <v>30813.443630000002</v>
      </c>
      <c r="AH13" s="1788">
        <f t="shared" si="5"/>
        <v>138086.18336</v>
      </c>
      <c r="AI13" s="1788">
        <f t="shared" si="5"/>
        <v>37356.379289999997</v>
      </c>
      <c r="AJ13" s="1788">
        <f t="shared" si="5"/>
        <v>158932.39964000002</v>
      </c>
      <c r="AK13" s="1788">
        <f t="shared" si="5"/>
        <v>48915.751250000001</v>
      </c>
      <c r="AL13" s="1788">
        <f t="shared" si="5"/>
        <v>185169.27197000003</v>
      </c>
      <c r="AM13" s="1788">
        <f t="shared" si="5"/>
        <v>62643.390529999997</v>
      </c>
      <c r="AN13" s="1788">
        <f t="shared" si="5"/>
        <v>211796.39895000003</v>
      </c>
      <c r="AO13" s="1788">
        <f t="shared" si="5"/>
        <v>73581.876470000017</v>
      </c>
      <c r="AP13" s="1788">
        <f t="shared" si="5"/>
        <v>235020.05383999998</v>
      </c>
      <c r="AQ13" s="1788">
        <f t="shared" si="5"/>
        <v>80542.979149999999</v>
      </c>
      <c r="AR13" s="1788">
        <f t="shared" si="5"/>
        <v>256326.01818000001</v>
      </c>
      <c r="AS13" s="1788">
        <f t="shared" si="5"/>
        <v>86544.231280000007</v>
      </c>
      <c r="AT13" s="1788">
        <f t="shared" si="5"/>
        <v>279417.69367000001</v>
      </c>
      <c r="AU13" s="1788">
        <f t="shared" si="5"/>
        <v>90857.292849999998</v>
      </c>
      <c r="AV13" s="1788">
        <f t="shared" si="5"/>
        <v>305700.39014000003</v>
      </c>
      <c r="AW13" s="1788">
        <f t="shared" si="5"/>
        <v>94978.919219999996</v>
      </c>
      <c r="AX13" s="1788">
        <f t="shared" si="5"/>
        <v>11540.625180000001</v>
      </c>
      <c r="AY13" s="1788">
        <f t="shared" si="5"/>
        <v>7442.02729</v>
      </c>
      <c r="AZ13" s="1788">
        <f t="shared" si="5"/>
        <v>24798.76902</v>
      </c>
      <c r="BA13" s="1788">
        <f t="shared" si="5"/>
        <v>11750.73553</v>
      </c>
      <c r="BB13" s="1788">
        <f t="shared" si="5"/>
        <v>38516.693149999999</v>
      </c>
      <c r="BC13" s="1788">
        <f t="shared" si="5"/>
        <v>15170.13175</v>
      </c>
      <c r="BD13" s="1788">
        <f t="shared" si="5"/>
        <v>72480.792360000007</v>
      </c>
      <c r="BE13" s="1788">
        <f t="shared" si="5"/>
        <v>20970.496669999997</v>
      </c>
      <c r="BF13" s="1788">
        <f t="shared" si="5"/>
        <v>92940.531329999998</v>
      </c>
      <c r="BG13" s="1788">
        <f t="shared" si="5"/>
        <v>30136.017809999998</v>
      </c>
      <c r="BH13" s="1788">
        <f t="shared" si="5"/>
        <v>109976.18386</v>
      </c>
      <c r="BI13" s="1788">
        <f t="shared" si="5"/>
        <v>40147.740559999998</v>
      </c>
      <c r="BJ13" s="1788">
        <f t="shared" si="5"/>
        <v>133858.35436000003</v>
      </c>
      <c r="BK13" s="1788">
        <f t="shared" si="5"/>
        <v>63496.498419999996</v>
      </c>
      <c r="BL13" s="1788">
        <f t="shared" si="5"/>
        <v>151891.33817999999</v>
      </c>
      <c r="BM13" s="1788">
        <f t="shared" si="5"/>
        <v>68201.237639999992</v>
      </c>
      <c r="BN13" s="1788">
        <f t="shared" ref="BN13:DY13" si="6">SUM(BN14:BN17)</f>
        <v>168111.66623</v>
      </c>
      <c r="BO13" s="1788">
        <f t="shared" si="6"/>
        <v>80614.438640000008</v>
      </c>
      <c r="BP13" s="1788">
        <f t="shared" si="6"/>
        <v>185222.50315</v>
      </c>
      <c r="BQ13" s="1788">
        <f t="shared" si="6"/>
        <v>88798.136419999995</v>
      </c>
      <c r="BR13" s="1788">
        <f t="shared" si="6"/>
        <v>202431.24639999997</v>
      </c>
      <c r="BS13" s="1788">
        <f t="shared" si="6"/>
        <v>99869.264420000007</v>
      </c>
      <c r="BT13" s="1788">
        <f t="shared" si="6"/>
        <v>219371.2035</v>
      </c>
      <c r="BU13" s="1788">
        <f t="shared" si="6"/>
        <v>121797.81581</v>
      </c>
      <c r="BV13" s="1788">
        <f t="shared" si="6"/>
        <v>16244.12082</v>
      </c>
      <c r="BW13" s="1788">
        <f t="shared" si="6"/>
        <v>12094.194430000001</v>
      </c>
      <c r="BX13" s="1788">
        <f t="shared" si="6"/>
        <v>33038.876960000001</v>
      </c>
      <c r="BY13" s="1788">
        <f t="shared" si="6"/>
        <v>20865.698179999999</v>
      </c>
      <c r="BZ13" s="1788">
        <f t="shared" si="6"/>
        <v>56441.563319999994</v>
      </c>
      <c r="CA13" s="1788">
        <f t="shared" si="6"/>
        <v>35463.562290000002</v>
      </c>
      <c r="CB13" s="1788">
        <f t="shared" si="6"/>
        <v>93920.360640000014</v>
      </c>
      <c r="CC13" s="1788">
        <f t="shared" si="6"/>
        <v>49322.839679999997</v>
      </c>
      <c r="CD13" s="1788">
        <f t="shared" si="6"/>
        <v>113873.90745</v>
      </c>
      <c r="CE13" s="1788">
        <f t="shared" si="6"/>
        <v>70924.464850000004</v>
      </c>
      <c r="CF13" s="1788">
        <f t="shared" si="6"/>
        <v>131499.29803999999</v>
      </c>
      <c r="CG13" s="1788">
        <f t="shared" si="6"/>
        <v>108316.44255000001</v>
      </c>
      <c r="CH13" s="1788">
        <f t="shared" si="6"/>
        <v>158901.03532</v>
      </c>
      <c r="CI13" s="1788">
        <f t="shared" si="6"/>
        <v>137148.46724</v>
      </c>
      <c r="CJ13" s="1788">
        <f t="shared" si="6"/>
        <v>177747.69000999999</v>
      </c>
      <c r="CK13" s="1788">
        <f t="shared" si="6"/>
        <v>162261.78574999998</v>
      </c>
      <c r="CL13" s="1788">
        <f t="shared" si="6"/>
        <v>197358.11611</v>
      </c>
      <c r="CM13" s="1788">
        <f t="shared" si="6"/>
        <v>184138.75705000001</v>
      </c>
      <c r="CN13" s="1788">
        <f t="shared" si="6"/>
        <v>213943.26452000003</v>
      </c>
      <c r="CO13" s="1788">
        <f t="shared" si="6"/>
        <v>216007.0295</v>
      </c>
      <c r="CP13" s="1788">
        <f t="shared" si="6"/>
        <v>231251.05240999997</v>
      </c>
      <c r="CQ13" s="1788">
        <f t="shared" si="6"/>
        <v>244759.55254999999</v>
      </c>
      <c r="CR13" s="1788">
        <f t="shared" si="6"/>
        <v>249794.27066000001</v>
      </c>
      <c r="CS13" s="1788">
        <f t="shared" si="6"/>
        <v>280441.32857999997</v>
      </c>
      <c r="CT13" s="1788">
        <f t="shared" si="6"/>
        <v>17043.927009999999</v>
      </c>
      <c r="CU13" s="1788">
        <f t="shared" si="6"/>
        <v>28353.520919999999</v>
      </c>
      <c r="CV13" s="1788">
        <f t="shared" si="6"/>
        <v>36191.401409999999</v>
      </c>
      <c r="CW13" s="1788">
        <f t="shared" si="6"/>
        <v>50726.74063</v>
      </c>
      <c r="CX13" s="1788">
        <f t="shared" si="6"/>
        <v>53901.793840000006</v>
      </c>
      <c r="CY13" s="1788">
        <f t="shared" si="6"/>
        <v>83126.091150000007</v>
      </c>
      <c r="CZ13" s="1788">
        <f t="shared" si="6"/>
        <v>108230.18195</v>
      </c>
      <c r="DA13" s="1788">
        <f t="shared" si="6"/>
        <v>100574.87543</v>
      </c>
      <c r="DB13" s="1788">
        <f t="shared" si="6"/>
        <v>136525.88909000001</v>
      </c>
      <c r="DC13" s="1788">
        <f t="shared" si="6"/>
        <v>117202.55712999999</v>
      </c>
      <c r="DD13" s="1788">
        <f t="shared" si="6"/>
        <v>158679.63913</v>
      </c>
      <c r="DE13" s="1788">
        <f t="shared" si="6"/>
        <v>139513.84530000002</v>
      </c>
      <c r="DF13" s="1788">
        <f t="shared" si="6"/>
        <v>193743.15644999998</v>
      </c>
      <c r="DG13" s="1788">
        <f t="shared" si="6"/>
        <v>176909.45979000002</v>
      </c>
      <c r="DH13" s="1788">
        <f t="shared" si="6"/>
        <v>217530.74867</v>
      </c>
      <c r="DI13" s="1788">
        <f t="shared" si="6"/>
        <v>190363.80711999998</v>
      </c>
      <c r="DJ13" s="1788">
        <f t="shared" si="6"/>
        <v>237851.25545</v>
      </c>
      <c r="DK13" s="1788">
        <f t="shared" si="6"/>
        <v>201996.67898300002</v>
      </c>
      <c r="DL13" s="1788">
        <f t="shared" si="6"/>
        <v>262011.25289</v>
      </c>
      <c r="DM13" s="1788">
        <f t="shared" si="6"/>
        <v>213069.69831000001</v>
      </c>
      <c r="DN13" s="1788">
        <f t="shared" si="6"/>
        <v>290897.15429999999</v>
      </c>
      <c r="DO13" s="1788">
        <f t="shared" si="6"/>
        <v>226256.60757299999</v>
      </c>
      <c r="DP13" s="1788">
        <f t="shared" si="6"/>
        <v>319601.90811999998</v>
      </c>
      <c r="DQ13" s="1789">
        <f t="shared" si="6"/>
        <v>235714.46747</v>
      </c>
      <c r="DR13" s="1790">
        <f t="shared" si="6"/>
        <v>25163.185120000002</v>
      </c>
      <c r="DS13" s="1791">
        <f t="shared" si="6"/>
        <v>4849.56664</v>
      </c>
      <c r="DT13" s="1792">
        <f t="shared" si="6"/>
        <v>51359.557260999994</v>
      </c>
      <c r="DU13" s="1789">
        <f t="shared" si="6"/>
        <v>9997.4326899999996</v>
      </c>
      <c r="DV13" s="1790">
        <f t="shared" si="6"/>
        <v>88124.612729999993</v>
      </c>
      <c r="DW13" s="1791">
        <f t="shared" si="6"/>
        <v>16876.57602</v>
      </c>
      <c r="DX13" s="1792">
        <f t="shared" si="6"/>
        <v>146376.30148999998</v>
      </c>
      <c r="DY13" s="1789">
        <f t="shared" si="6"/>
        <v>30276.19988</v>
      </c>
      <c r="DZ13" s="1790">
        <f t="shared" ref="DZ13:FI13" si="7">SUM(DZ14:DZ17)</f>
        <v>176667.53622000004</v>
      </c>
      <c r="EA13" s="1791">
        <f t="shared" si="7"/>
        <v>50798.177510000001</v>
      </c>
      <c r="EB13" s="1792">
        <f t="shared" si="7"/>
        <v>205551.48507000002</v>
      </c>
      <c r="EC13" s="1789">
        <f t="shared" si="7"/>
        <v>83000.493180000005</v>
      </c>
      <c r="ED13" s="1790">
        <f t="shared" si="7"/>
        <v>249015.09822000004</v>
      </c>
      <c r="EE13" s="1791">
        <f t="shared" si="7"/>
        <v>132212.36051000003</v>
      </c>
      <c r="EF13" s="1790">
        <f t="shared" si="7"/>
        <v>282787.05064999999</v>
      </c>
      <c r="EG13" s="1793">
        <f t="shared" si="7"/>
        <v>157361.56406</v>
      </c>
      <c r="EH13" s="1789">
        <f t="shared" si="7"/>
        <v>316057.44425</v>
      </c>
      <c r="EI13" s="1791">
        <f t="shared" si="7"/>
        <v>175935.46615000002</v>
      </c>
      <c r="EJ13" s="1789">
        <f t="shared" si="7"/>
        <v>351438.26105000003</v>
      </c>
      <c r="EK13" s="1791">
        <f t="shared" si="7"/>
        <v>199607.13692000005</v>
      </c>
      <c r="EL13" s="1790">
        <f t="shared" si="7"/>
        <v>385845.50131999998</v>
      </c>
      <c r="EM13" s="1793">
        <f t="shared" si="7"/>
        <v>228054.88599000001</v>
      </c>
      <c r="EN13" s="1790">
        <f t="shared" si="7"/>
        <v>425088.99625999999</v>
      </c>
      <c r="EO13" s="1793">
        <f t="shared" si="7"/>
        <v>244706.29159000001</v>
      </c>
      <c r="EP13" s="1790">
        <f t="shared" si="7"/>
        <v>34315.280610000002</v>
      </c>
      <c r="EQ13" s="1793">
        <f t="shared" si="7"/>
        <v>19673.205310000001</v>
      </c>
      <c r="ER13" s="1790">
        <f t="shared" si="7"/>
        <v>69634.47920999999</v>
      </c>
      <c r="ES13" s="1793">
        <f t="shared" si="7"/>
        <v>37517.202740000001</v>
      </c>
      <c r="ET13" s="1790">
        <f t="shared" si="7"/>
        <v>131378.01579999999</v>
      </c>
      <c r="EU13" s="1793">
        <f t="shared" si="7"/>
        <v>55164.641260000004</v>
      </c>
      <c r="EV13" s="1790">
        <f t="shared" si="7"/>
        <v>205490.01342</v>
      </c>
      <c r="EW13" s="1793">
        <f t="shared" si="7"/>
        <v>71538.630379999988</v>
      </c>
      <c r="EX13" s="1790">
        <f t="shared" si="7"/>
        <v>251889.83469000002</v>
      </c>
      <c r="EY13" s="1793">
        <f t="shared" si="7"/>
        <v>93926.485539999994</v>
      </c>
      <c r="EZ13" s="1790">
        <f t="shared" si="7"/>
        <v>288782.57694</v>
      </c>
      <c r="FA13" s="1793">
        <f t="shared" si="7"/>
        <v>127278.47427000001</v>
      </c>
      <c r="FB13" s="1790">
        <f t="shared" si="7"/>
        <v>338307.00809000002</v>
      </c>
      <c r="FC13" s="1793">
        <f t="shared" si="7"/>
        <v>166259.42191000003</v>
      </c>
      <c r="FD13" s="1790">
        <f t="shared" si="7"/>
        <v>377360.95846000005</v>
      </c>
      <c r="FE13" s="1793">
        <f t="shared" si="7"/>
        <v>194491.45972999997</v>
      </c>
      <c r="FF13" s="1790">
        <f t="shared" si="7"/>
        <v>420845.34465000004</v>
      </c>
      <c r="FG13" s="1793">
        <f t="shared" si="7"/>
        <v>220636.73561999999</v>
      </c>
      <c r="FH13" s="1790">
        <f t="shared" si="7"/>
        <v>459506.82767000003</v>
      </c>
      <c r="FI13" s="1793">
        <f t="shared" si="7"/>
        <v>251730.98883999998</v>
      </c>
      <c r="FJ13" s="1790">
        <f>SUM(FJ14:FJ17)</f>
        <v>498718.58751999994</v>
      </c>
      <c r="FK13" s="1793">
        <f t="shared" ref="FK13:FM13" si="8">SUM(FK14:FK17)</f>
        <v>271629.81005999993</v>
      </c>
      <c r="FL13" s="1790">
        <f>SUM(FL14:FL17)</f>
        <v>545203.24265999999</v>
      </c>
      <c r="FM13" s="1793">
        <f t="shared" si="8"/>
        <v>294793.39156999998</v>
      </c>
      <c r="FN13" s="1790">
        <f>SUM(FN14:FN17)</f>
        <v>40171.874629999998</v>
      </c>
      <c r="FO13" s="1793">
        <f t="shared" ref="FO13:FQ13" si="9">SUM(FO14:FO17)</f>
        <v>21558.633820000003</v>
      </c>
      <c r="FP13" s="1790">
        <f>SUM(FP14:FP17)</f>
        <v>87075.295689999984</v>
      </c>
      <c r="FQ13" s="1793">
        <f t="shared" si="9"/>
        <v>60046.170680000003</v>
      </c>
      <c r="FR13" s="1790">
        <f>SUM(FR14:FR17)</f>
        <v>155320.39272</v>
      </c>
      <c r="FS13" s="1793">
        <f t="shared" ref="FS13:FU13" si="10">SUM(FS14:FS17)</f>
        <v>96417.088799999983</v>
      </c>
      <c r="FT13" s="1790">
        <f>SUM(FT14:FT17)</f>
        <v>269821.14561999997</v>
      </c>
      <c r="FU13" s="1793">
        <f t="shared" si="10"/>
        <v>127993.32618999999</v>
      </c>
      <c r="FV13" s="1790">
        <f>SUM(FV14:FV17)</f>
        <v>316920.49345000001</v>
      </c>
      <c r="FW13" s="1793">
        <f t="shared" ref="FW13:FY13" si="11">SUM(FW14:FW17)</f>
        <v>168883.52479999998</v>
      </c>
      <c r="FX13" s="1790">
        <f>SUM(FX14:FX17)</f>
        <v>357728.20947999996</v>
      </c>
      <c r="FY13" s="1793">
        <f t="shared" si="11"/>
        <v>233093.48538</v>
      </c>
      <c r="FZ13" s="1790">
        <f>SUM(FZ14:FZ17)</f>
        <v>400448.31352999998</v>
      </c>
      <c r="GA13" s="1793">
        <f>SUM(GA14:GA17)</f>
        <v>293517.30962000001</v>
      </c>
      <c r="GB13" s="1790">
        <f>SUM(GB14:GB17)</f>
        <v>442430.10093000002</v>
      </c>
      <c r="GC13" s="1793">
        <f t="shared" ref="GC13:GG13" si="12">SUM(GC14:GC17)</f>
        <v>330806.51192999998</v>
      </c>
      <c r="GD13" s="1790">
        <f>SUM(GD14:GD17)</f>
        <v>495225.93165999994</v>
      </c>
      <c r="GE13" s="1793">
        <f t="shared" ref="GE13" si="13">SUM(GE14:GE17)</f>
        <v>359912.9804</v>
      </c>
      <c r="GF13" s="1790">
        <f>SUM(GF14:GF17)</f>
        <v>540142.82301999989</v>
      </c>
      <c r="GG13" s="1793">
        <f t="shared" si="12"/>
        <v>402902.99412999995</v>
      </c>
      <c r="GH13" s="1790">
        <f>SUM(GH14:GH17)</f>
        <v>587536.52667999989</v>
      </c>
      <c r="GI13" s="1793">
        <f t="shared" ref="GI13:GK13" si="14">SUM(GI14:GI17)</f>
        <v>446502.91918999999</v>
      </c>
      <c r="GJ13" s="1790">
        <f>SUM(GJ14:GJ17)</f>
        <v>643840.87369000004</v>
      </c>
      <c r="GK13" s="1793">
        <f t="shared" si="14"/>
        <v>477471.35200999997</v>
      </c>
      <c r="GL13" s="1790">
        <f>SUM(GL14:GL17)</f>
        <v>55615.270349999999</v>
      </c>
      <c r="GM13" s="1793">
        <f t="shared" ref="GM13" si="15">SUM(GM14:GM17)</f>
        <v>29087.635650000004</v>
      </c>
      <c r="GN13" s="1790">
        <f>SUM(GN14:GN17)</f>
        <v>110089.5189</v>
      </c>
      <c r="GO13" s="1793">
        <f t="shared" ref="GO13:GQ13" si="16">SUM(GO14:GO17)</f>
        <v>69793.818839999993</v>
      </c>
      <c r="GP13" s="1790">
        <f>SUM(GP14:GP17)</f>
        <v>178119.65279000002</v>
      </c>
      <c r="GQ13" s="1793">
        <f t="shared" si="16"/>
        <v>108495.23371999999</v>
      </c>
      <c r="GR13" s="1790">
        <f>SUM(GR14:GR17)</f>
        <v>300476.78065999999</v>
      </c>
      <c r="GS13" s="1793">
        <f t="shared" ref="GS13:GU13" si="17">SUM(GS14:GS17)</f>
        <v>146718.97122000001</v>
      </c>
      <c r="GT13" s="1790">
        <f>SUM(GT14:GT17)</f>
        <v>370546.09347000002</v>
      </c>
      <c r="GU13" s="1793">
        <f t="shared" si="17"/>
        <v>203082.18197999999</v>
      </c>
      <c r="GV13" s="1790">
        <f>SUM(GV14:GV17)</f>
        <v>421844.76879</v>
      </c>
      <c r="GW13" s="1793">
        <f t="shared" ref="GW13:GY13" si="18">SUM(GW14:GW17)</f>
        <v>300619.12190000003</v>
      </c>
      <c r="GX13" s="1790">
        <f>SUM(GX14:GX17)</f>
        <v>472198.71551000007</v>
      </c>
      <c r="GY13" s="1793">
        <f t="shared" si="18"/>
        <v>372666.73219999997</v>
      </c>
      <c r="GZ13" s="1790">
        <f>SUM(GZ14:GZ17)</f>
        <v>526765.92874</v>
      </c>
      <c r="HA13" s="1793">
        <f t="shared" ref="HA13:HC13" si="19">SUM(HA14:HA17)</f>
        <v>423585.74197999999</v>
      </c>
      <c r="HB13" s="1790">
        <f>SUM(HB14:HB17)</f>
        <v>583626.15133999987</v>
      </c>
      <c r="HC13" s="1793">
        <f t="shared" si="19"/>
        <v>480431.69945999997</v>
      </c>
      <c r="HD13" s="1790">
        <f>SUM(HD14:HD17)</f>
        <v>632088.94892999995</v>
      </c>
      <c r="HE13" s="1793">
        <f t="shared" ref="HE13:HG13" si="20">SUM(HE14:HE17)</f>
        <v>541882.52124999999</v>
      </c>
      <c r="HF13" s="1790">
        <f>SUM(HF14:HF17)</f>
        <v>683239.03062000009</v>
      </c>
      <c r="HG13" s="1793">
        <f t="shared" si="20"/>
        <v>590147.18084000004</v>
      </c>
      <c r="HH13" s="1790">
        <f>SUM(HH14:HH17)</f>
        <v>751490.8367499999</v>
      </c>
      <c r="HI13" s="1793">
        <f t="shared" ref="HI13:HK13" si="21">SUM(HI14:HI17)</f>
        <v>636978.90409999993</v>
      </c>
      <c r="HJ13" s="1790">
        <f>SUM(HJ14:HJ17)</f>
        <v>57721.221740000001</v>
      </c>
      <c r="HK13" s="1793">
        <f t="shared" si="21"/>
        <v>40667.870499999997</v>
      </c>
      <c r="HL13" s="1790">
        <f>SUM(HL14:HL17)</f>
        <v>118307.93601999999</v>
      </c>
      <c r="HM13" s="1793">
        <f t="shared" ref="HM13:HO13" si="22">SUM(HM14:HM17)</f>
        <v>100751.17457999999</v>
      </c>
      <c r="HN13" s="1790">
        <f>SUM(HN14:HN17)</f>
        <v>210391.98126</v>
      </c>
      <c r="HO13" s="1793">
        <f t="shared" si="22"/>
        <v>151717.08246999999</v>
      </c>
      <c r="HP13" s="1790">
        <f>SUM(HP14:HP17)</f>
        <v>348739.03157000005</v>
      </c>
      <c r="HQ13" s="1793">
        <f t="shared" ref="HQ13" si="23">SUM(HQ14:HQ17)</f>
        <v>206061.41429000004</v>
      </c>
      <c r="HR13" s="1790">
        <f>SUM(HR14:HR17)</f>
        <v>421936.59599999996</v>
      </c>
      <c r="HS13" s="1793">
        <f t="shared" ref="HS13" si="24">SUM(HS14:HS17)</f>
        <v>286981.09982000006</v>
      </c>
      <c r="HT13" s="1790">
        <v>482633.73203000001</v>
      </c>
      <c r="HU13" s="1793">
        <v>400561.94247999991</v>
      </c>
      <c r="HV13" s="1794" t="s">
        <v>3176</v>
      </c>
    </row>
    <row r="14" spans="1:300" s="1774" customFormat="1" ht="22.5" customHeight="1">
      <c r="A14" s="1795" t="s">
        <v>2310</v>
      </c>
      <c r="B14" s="1796">
        <v>4736.3493099999996</v>
      </c>
      <c r="C14" s="1796">
        <v>16928.319920000002</v>
      </c>
      <c r="D14" s="1796">
        <v>11958.133539999999</v>
      </c>
      <c r="E14" s="1796">
        <v>25125.388199999998</v>
      </c>
      <c r="F14" s="1796">
        <v>28950.939150000002</v>
      </c>
      <c r="G14" s="1796">
        <v>30321.270219999999</v>
      </c>
      <c r="H14" s="1796">
        <v>46938.428009999996</v>
      </c>
      <c r="I14" s="1796">
        <v>36680.167540000002</v>
      </c>
      <c r="J14" s="1796">
        <v>64205.200360000003</v>
      </c>
      <c r="K14" s="1796">
        <v>46504.131130000002</v>
      </c>
      <c r="L14" s="1796">
        <v>71822.30915999999</v>
      </c>
      <c r="M14" s="1796">
        <v>59720.06366</v>
      </c>
      <c r="N14" s="1796">
        <v>79771.370800000004</v>
      </c>
      <c r="O14" s="1796">
        <v>67865.264840000003</v>
      </c>
      <c r="P14" s="1796">
        <v>89397.963390000004</v>
      </c>
      <c r="Q14" s="1796">
        <v>75518.201029999997</v>
      </c>
      <c r="R14" s="1796">
        <v>98672.867670000007</v>
      </c>
      <c r="S14" s="1796">
        <v>87197.060689999998</v>
      </c>
      <c r="T14" s="1796">
        <v>108588.61331999999</v>
      </c>
      <c r="U14" s="1796">
        <v>91552.766940000001</v>
      </c>
      <c r="V14" s="1796">
        <v>121145.33721</v>
      </c>
      <c r="W14" s="1796">
        <v>108337.81808</v>
      </c>
      <c r="X14" s="1796">
        <v>137927.65808000002</v>
      </c>
      <c r="Y14" s="1796">
        <v>124045.57663</v>
      </c>
      <c r="Z14" s="1796">
        <v>12622.55184</v>
      </c>
      <c r="AA14" s="1796">
        <v>10944.42827</v>
      </c>
      <c r="AB14" s="1796">
        <v>27785.358130000001</v>
      </c>
      <c r="AC14" s="1796">
        <v>16461.902109999999</v>
      </c>
      <c r="AD14" s="1796">
        <v>50012.285530000001</v>
      </c>
      <c r="AE14" s="1796">
        <v>26430.17283</v>
      </c>
      <c r="AF14" s="1796">
        <v>96707.759330000001</v>
      </c>
      <c r="AG14" s="1796">
        <v>30290.540780000003</v>
      </c>
      <c r="AH14" s="1796">
        <v>113315.13400000001</v>
      </c>
      <c r="AI14" s="1796">
        <v>36744.186679999999</v>
      </c>
      <c r="AJ14" s="1796">
        <v>130959.08487000001</v>
      </c>
      <c r="AK14" s="1796">
        <v>48186.267220000002</v>
      </c>
      <c r="AL14" s="1796">
        <v>152882.45362000001</v>
      </c>
      <c r="AM14" s="1796">
        <v>61798.108999999997</v>
      </c>
      <c r="AN14" s="1796">
        <v>174619.54207</v>
      </c>
      <c r="AO14" s="1796">
        <v>72477.688180000012</v>
      </c>
      <c r="AP14" s="1796">
        <v>194168.79657000001</v>
      </c>
      <c r="AQ14" s="1796">
        <v>79325.821450000003</v>
      </c>
      <c r="AR14" s="1796">
        <v>211779.19243</v>
      </c>
      <c r="AS14" s="1796">
        <v>85153.934880000001</v>
      </c>
      <c r="AT14" s="1796">
        <v>231565.42068000001</v>
      </c>
      <c r="AU14" s="1796">
        <v>89294.794769999993</v>
      </c>
      <c r="AV14" s="1796">
        <v>253943.49268</v>
      </c>
      <c r="AW14" s="1796">
        <v>93366.017919999998</v>
      </c>
      <c r="AX14" s="1796">
        <v>8363.5464100000008</v>
      </c>
      <c r="AY14" s="1796">
        <v>7339.1547</v>
      </c>
      <c r="AZ14" s="1796">
        <v>18201.75981</v>
      </c>
      <c r="BA14" s="1796">
        <v>11203.240019999999</v>
      </c>
      <c r="BB14" s="1796">
        <v>29055.112639999999</v>
      </c>
      <c r="BC14" s="1796">
        <v>14544.900750000001</v>
      </c>
      <c r="BD14" s="1796">
        <v>59050.441460000002</v>
      </c>
      <c r="BE14" s="1796">
        <v>20536.727159999999</v>
      </c>
      <c r="BF14" s="1796">
        <v>73035.545939999996</v>
      </c>
      <c r="BG14" s="1796">
        <v>29619.191489999997</v>
      </c>
      <c r="BH14" s="1796">
        <v>85055.739629999996</v>
      </c>
      <c r="BI14" s="1796">
        <v>39598.587229999997</v>
      </c>
      <c r="BJ14" s="1796">
        <v>102436.68676000001</v>
      </c>
      <c r="BK14" s="1796">
        <v>62834.111109999998</v>
      </c>
      <c r="BL14" s="1796">
        <v>115247.49</v>
      </c>
      <c r="BM14" s="1796">
        <v>67438.886729999998</v>
      </c>
      <c r="BN14" s="1796">
        <v>126807.99256</v>
      </c>
      <c r="BO14" s="1796">
        <v>79726.48414</v>
      </c>
      <c r="BP14" s="1796">
        <v>138629.07303</v>
      </c>
      <c r="BQ14" s="1796">
        <v>87792.779459999991</v>
      </c>
      <c r="BR14" s="1796">
        <v>151805.63657</v>
      </c>
      <c r="BS14" s="1796">
        <v>98706.257530000003</v>
      </c>
      <c r="BT14" s="1796">
        <v>166110.06164</v>
      </c>
      <c r="BU14" s="1796">
        <v>120547.88182</v>
      </c>
      <c r="BV14" s="1796">
        <v>13288.3712</v>
      </c>
      <c r="BW14" s="1796">
        <v>11928.218510000001</v>
      </c>
      <c r="BX14" s="1796">
        <v>26261.35888</v>
      </c>
      <c r="BY14" s="1796">
        <v>20638.588739999999</v>
      </c>
      <c r="BZ14" s="1796">
        <v>45688.413209999999</v>
      </c>
      <c r="CA14" s="1796">
        <v>35155.503060000003</v>
      </c>
      <c r="CB14" s="1796">
        <v>81418.233560000008</v>
      </c>
      <c r="CC14" s="1796">
        <v>48884.602559999999</v>
      </c>
      <c r="CD14" s="1796">
        <v>98446.82104000001</v>
      </c>
      <c r="CE14" s="1796">
        <v>70402.350330000001</v>
      </c>
      <c r="CF14" s="1796">
        <v>112074.77670999999</v>
      </c>
      <c r="CG14" s="1796">
        <v>107766.48793</v>
      </c>
      <c r="CH14" s="1796">
        <v>135363.68865999999</v>
      </c>
      <c r="CI14" s="1796">
        <v>136519.50167</v>
      </c>
      <c r="CJ14" s="1796">
        <v>148732.27309999999</v>
      </c>
      <c r="CK14" s="1796">
        <v>161425.45971999998</v>
      </c>
      <c r="CL14" s="1796">
        <v>163038.73256999999</v>
      </c>
      <c r="CM14" s="1796">
        <v>183224.44578000001</v>
      </c>
      <c r="CN14" s="1796">
        <v>176260.32143000001</v>
      </c>
      <c r="CO14" s="1796">
        <v>214765.58489</v>
      </c>
      <c r="CP14" s="1796">
        <v>190514.75003</v>
      </c>
      <c r="CQ14" s="1796">
        <v>243321.67403999998</v>
      </c>
      <c r="CR14" s="1796">
        <v>205341.73295999999</v>
      </c>
      <c r="CS14" s="1796">
        <v>275661.67956999998</v>
      </c>
      <c r="CT14" s="1796">
        <v>14084.066490000001</v>
      </c>
      <c r="CU14" s="1796">
        <v>27952.651180000001</v>
      </c>
      <c r="CV14" s="1796">
        <v>29279.31652</v>
      </c>
      <c r="CW14" s="1796">
        <v>50057.222549999999</v>
      </c>
      <c r="CX14" s="1796">
        <v>45488.415789999999</v>
      </c>
      <c r="CY14" s="1796">
        <v>82117.512300000002</v>
      </c>
      <c r="CZ14" s="1796">
        <v>98463.482459999999</v>
      </c>
      <c r="DA14" s="1796">
        <v>99153.496849999996</v>
      </c>
      <c r="DB14" s="1796">
        <v>122966.94887000001</v>
      </c>
      <c r="DC14" s="1796">
        <v>115586.59659999999</v>
      </c>
      <c r="DD14" s="1796">
        <v>140623.30124999999</v>
      </c>
      <c r="DE14" s="1796">
        <v>137731.69127000001</v>
      </c>
      <c r="DF14" s="1796">
        <v>170081.05780000001</v>
      </c>
      <c r="DG14" s="1796">
        <v>174848.79852000001</v>
      </c>
      <c r="DH14" s="1796">
        <v>188301.04778999998</v>
      </c>
      <c r="DI14" s="1796">
        <v>188154.20841999998</v>
      </c>
      <c r="DJ14" s="1796">
        <v>203224.95926999999</v>
      </c>
      <c r="DK14" s="1796">
        <v>199365.95803000001</v>
      </c>
      <c r="DL14" s="1796">
        <v>223122.86571000001</v>
      </c>
      <c r="DM14" s="1796">
        <v>210024.69683</v>
      </c>
      <c r="DN14" s="1796">
        <v>247914.69662999999</v>
      </c>
      <c r="DO14" s="1796">
        <v>222901.69448999999</v>
      </c>
      <c r="DP14" s="1796">
        <v>272925.43375999999</v>
      </c>
      <c r="DQ14" s="1797">
        <v>231719.42752</v>
      </c>
      <c r="DR14" s="1798">
        <v>22694.463250000001</v>
      </c>
      <c r="DS14" s="1799">
        <v>4581.2482</v>
      </c>
      <c r="DT14" s="1800">
        <v>46183.665850999998</v>
      </c>
      <c r="DU14" s="1797">
        <v>9354.3396499999999</v>
      </c>
      <c r="DV14" s="1798">
        <v>80697.018909999999</v>
      </c>
      <c r="DW14" s="1799">
        <v>15984.46787</v>
      </c>
      <c r="DX14" s="1800">
        <v>136694.31099999999</v>
      </c>
      <c r="DY14" s="1797">
        <v>29132.5942</v>
      </c>
      <c r="DZ14" s="1798">
        <v>164810.07902</v>
      </c>
      <c r="EA14" s="1799">
        <v>49286.59779</v>
      </c>
      <c r="EB14" s="1800">
        <v>191585.12546000001</v>
      </c>
      <c r="EC14" s="1797">
        <v>81272.692620000002</v>
      </c>
      <c r="ED14" s="1798">
        <v>232489.70808000001</v>
      </c>
      <c r="EE14" s="1799">
        <v>130339.94904000001</v>
      </c>
      <c r="EF14" s="1798">
        <v>263969.87141000002</v>
      </c>
      <c r="EG14" s="1801">
        <v>155445.63659000001</v>
      </c>
      <c r="EH14" s="1800">
        <v>294363.24794999999</v>
      </c>
      <c r="EI14" s="1799">
        <v>173867.73756000001</v>
      </c>
      <c r="EJ14" s="1800">
        <v>327112.10810000001</v>
      </c>
      <c r="EK14" s="1799">
        <v>197402.21475000001</v>
      </c>
      <c r="EL14" s="1798">
        <v>359275.30101</v>
      </c>
      <c r="EM14" s="1801">
        <v>225664.29461000001</v>
      </c>
      <c r="EN14" s="1798">
        <v>396687.22957999998</v>
      </c>
      <c r="EO14" s="1801">
        <v>242078.27742999999</v>
      </c>
      <c r="EP14" s="1798">
        <v>32304.249769999999</v>
      </c>
      <c r="EQ14" s="1801">
        <v>19572.746070000001</v>
      </c>
      <c r="ER14" s="1798">
        <v>64933.868179999998</v>
      </c>
      <c r="ES14" s="1801">
        <v>37348.930329999996</v>
      </c>
      <c r="ET14" s="1798">
        <v>123830.84278000001</v>
      </c>
      <c r="EU14" s="1801">
        <v>54775.079149999998</v>
      </c>
      <c r="EV14" s="1798">
        <v>195412.91213000001</v>
      </c>
      <c r="EW14" s="1801">
        <v>71061.596839999998</v>
      </c>
      <c r="EX14" s="1798">
        <v>239257.12502000001</v>
      </c>
      <c r="EY14" s="1801">
        <v>93329.346150000012</v>
      </c>
      <c r="EZ14" s="1798">
        <v>273665.49536</v>
      </c>
      <c r="FA14" s="1801">
        <v>126512.71794</v>
      </c>
      <c r="FB14" s="1798">
        <v>319563.03944000002</v>
      </c>
      <c r="FC14" s="1801">
        <v>165433.55033000003</v>
      </c>
      <c r="FD14" s="1798">
        <v>355739.04421000002</v>
      </c>
      <c r="FE14" s="1801">
        <v>193407.91370999999</v>
      </c>
      <c r="FF14" s="1798">
        <v>389781.2182</v>
      </c>
      <c r="FG14" s="1801">
        <v>219342.72477999999</v>
      </c>
      <c r="FH14" s="1798">
        <v>425081.49995000003</v>
      </c>
      <c r="FI14" s="1801">
        <v>249929.91248999999</v>
      </c>
      <c r="FJ14" s="1798">
        <v>461383.13682999997</v>
      </c>
      <c r="FK14" s="1801">
        <v>269542.59318999999</v>
      </c>
      <c r="FL14" s="1798">
        <v>504992.69643000001</v>
      </c>
      <c r="FM14" s="1801">
        <v>292552.02318000002</v>
      </c>
      <c r="FN14" s="1798">
        <v>37870.656510000001</v>
      </c>
      <c r="FO14" s="1801">
        <v>21317.333920000001</v>
      </c>
      <c r="FP14" s="1798">
        <v>80429.659349999987</v>
      </c>
      <c r="FQ14" s="1801">
        <v>59617.741200000004</v>
      </c>
      <c r="FR14" s="1798">
        <v>145030.82115</v>
      </c>
      <c r="FS14" s="1801">
        <v>95666.290259999994</v>
      </c>
      <c r="FT14" s="1798">
        <v>255140.5269</v>
      </c>
      <c r="FU14" s="1801">
        <v>127066.13561</v>
      </c>
      <c r="FV14" s="1798">
        <v>299128.04965</v>
      </c>
      <c r="FW14" s="1801">
        <v>167864.66412</v>
      </c>
      <c r="FX14" s="1798">
        <v>337898.54634</v>
      </c>
      <c r="FY14" s="1801">
        <v>231754.58392999999</v>
      </c>
      <c r="FZ14" s="1798">
        <v>378119.16833000001</v>
      </c>
      <c r="GA14" s="1801">
        <v>291983.88309000002</v>
      </c>
      <c r="GB14" s="1798">
        <v>417506.15091000003</v>
      </c>
      <c r="GC14" s="1801">
        <v>329005.93047000002</v>
      </c>
      <c r="GD14" s="1798">
        <v>460998.62855999998</v>
      </c>
      <c r="GE14" s="1801">
        <v>357663.78909999999</v>
      </c>
      <c r="GF14" s="1798">
        <v>501232.33928999997</v>
      </c>
      <c r="GG14" s="1801">
        <v>400077.18715999997</v>
      </c>
      <c r="GH14" s="1798">
        <v>545606.50850999996</v>
      </c>
      <c r="GI14" s="1801">
        <v>443469.54765000002</v>
      </c>
      <c r="GJ14" s="1798">
        <v>599197.31625999999</v>
      </c>
      <c r="GK14" s="1801">
        <v>474154.56787000003</v>
      </c>
      <c r="GL14" s="1798">
        <v>52700.822240000001</v>
      </c>
      <c r="GM14" s="1801">
        <v>28935.658640000001</v>
      </c>
      <c r="GN14" s="1798">
        <v>103640.1571</v>
      </c>
      <c r="GO14" s="1801">
        <v>68921.743950000004</v>
      </c>
      <c r="GP14" s="1798">
        <v>168454.65808000002</v>
      </c>
      <c r="GQ14" s="1801">
        <v>107372.06598999999</v>
      </c>
      <c r="GR14" s="1798">
        <v>287042.83237999998</v>
      </c>
      <c r="GS14" s="1801">
        <v>145127.16456</v>
      </c>
      <c r="GT14" s="1798">
        <v>353384.83325999998</v>
      </c>
      <c r="GU14" s="1801">
        <v>201005.09518999999</v>
      </c>
      <c r="GV14" s="1798">
        <v>401418.35551000002</v>
      </c>
      <c r="GW14" s="1801">
        <v>298085.51525</v>
      </c>
      <c r="GX14" s="1798">
        <v>447607.97248</v>
      </c>
      <c r="GY14" s="1801">
        <v>369570.29295999999</v>
      </c>
      <c r="GZ14" s="1798">
        <v>498528.37280999997</v>
      </c>
      <c r="HA14" s="1801">
        <v>419914.24712000001</v>
      </c>
      <c r="HB14" s="1798">
        <v>545395.93545999995</v>
      </c>
      <c r="HC14" s="1801">
        <v>476305.84438000002</v>
      </c>
      <c r="HD14" s="1798">
        <v>589494.29656000005</v>
      </c>
      <c r="HE14" s="1801">
        <v>537414.67908000003</v>
      </c>
      <c r="HF14" s="1798">
        <v>636877.26815000002</v>
      </c>
      <c r="HG14" s="1801">
        <v>585085.80893000006</v>
      </c>
      <c r="HH14" s="1798">
        <v>701002.84878999996</v>
      </c>
      <c r="HI14" s="1801">
        <v>631554.19990999997</v>
      </c>
      <c r="HJ14" s="1798">
        <v>53793.078849999998</v>
      </c>
      <c r="HK14" s="1801">
        <v>40047.833839999999</v>
      </c>
      <c r="HL14" s="1798">
        <v>109891.84249</v>
      </c>
      <c r="HM14" s="1801">
        <v>99671.994059999997</v>
      </c>
      <c r="HN14" s="1798">
        <v>197539.0601</v>
      </c>
      <c r="HO14" s="1801">
        <v>150287.96716999999</v>
      </c>
      <c r="HP14" s="1798">
        <v>330751.94646000001</v>
      </c>
      <c r="HQ14" s="1801">
        <v>204174.61657000001</v>
      </c>
      <c r="HR14" s="1798">
        <v>399298.94565000001</v>
      </c>
      <c r="HS14" s="1801">
        <v>284708.29311000003</v>
      </c>
      <c r="HT14" s="1798">
        <v>455722.19033000001</v>
      </c>
      <c r="HU14" s="1801">
        <v>397453.40749999997</v>
      </c>
      <c r="HV14" s="1802" t="s">
        <v>3177</v>
      </c>
      <c r="HX14" s="1803"/>
      <c r="HY14" s="1803"/>
    </row>
    <row r="15" spans="1:300" s="1774" customFormat="1" ht="22.5" customHeight="1">
      <c r="A15" s="1795" t="s">
        <v>2309</v>
      </c>
      <c r="B15" s="1796">
        <v>1544.3743300000001</v>
      </c>
      <c r="C15" s="1796">
        <v>237.98935</v>
      </c>
      <c r="D15" s="1796">
        <v>3039.3586600000003</v>
      </c>
      <c r="E15" s="1796">
        <v>474.46636000000001</v>
      </c>
      <c r="F15" s="1796">
        <v>4981.7330200000006</v>
      </c>
      <c r="G15" s="1796">
        <v>677.31368000000009</v>
      </c>
      <c r="H15" s="1796">
        <v>7075.6160799999998</v>
      </c>
      <c r="I15" s="1796">
        <v>941.01624000000004</v>
      </c>
      <c r="J15" s="1796">
        <v>9636.446539999999</v>
      </c>
      <c r="K15" s="1796">
        <v>1132.1916899999999</v>
      </c>
      <c r="L15" s="1796">
        <v>12275.39293</v>
      </c>
      <c r="M15" s="1796">
        <v>1282.9238</v>
      </c>
      <c r="N15" s="1796">
        <v>15830.84562</v>
      </c>
      <c r="O15" s="1796">
        <v>1462.9217100000001</v>
      </c>
      <c r="P15" s="1796">
        <v>20513.949059999999</v>
      </c>
      <c r="Q15" s="1796">
        <v>1732.1020800000001</v>
      </c>
      <c r="R15" s="1796">
        <v>24095.737430000001</v>
      </c>
      <c r="S15" s="1796">
        <v>1845.0328</v>
      </c>
      <c r="T15" s="1796">
        <v>27849.590489999999</v>
      </c>
      <c r="U15" s="1796">
        <v>2074.7118100000002</v>
      </c>
      <c r="V15" s="1796">
        <v>32490.409469999999</v>
      </c>
      <c r="W15" s="1796">
        <v>2215.3280299999997</v>
      </c>
      <c r="X15" s="1796">
        <v>37942.389490000001</v>
      </c>
      <c r="Y15" s="1796">
        <v>2351.4934700000003</v>
      </c>
      <c r="Z15" s="1796">
        <v>3921.31585</v>
      </c>
      <c r="AA15" s="1796">
        <v>51.045699999999997</v>
      </c>
      <c r="AB15" s="1796">
        <v>8083.0420700000004</v>
      </c>
      <c r="AC15" s="1796">
        <v>148.28790000000001</v>
      </c>
      <c r="AD15" s="1796">
        <v>12746.14205</v>
      </c>
      <c r="AE15" s="1796">
        <v>281.60334999999998</v>
      </c>
      <c r="AF15" s="1796">
        <v>17982.851340000001</v>
      </c>
      <c r="AG15" s="1796">
        <v>522.90284999999994</v>
      </c>
      <c r="AH15" s="1796">
        <v>23382.388300000002</v>
      </c>
      <c r="AI15" s="1796">
        <v>612.19260999999995</v>
      </c>
      <c r="AJ15" s="1796">
        <v>26295.865180000001</v>
      </c>
      <c r="AK15" s="1796">
        <v>729.48403000000008</v>
      </c>
      <c r="AL15" s="1796">
        <v>30306.174640000001</v>
      </c>
      <c r="AM15" s="1796">
        <v>845.28152999999998</v>
      </c>
      <c r="AN15" s="1796">
        <v>34740.928700000004</v>
      </c>
      <c r="AO15" s="1796">
        <v>1104.1882900000001</v>
      </c>
      <c r="AP15" s="1796">
        <v>37960.107880000003</v>
      </c>
      <c r="AQ15" s="1796">
        <v>1217.1577</v>
      </c>
      <c r="AR15" s="1796">
        <v>41424.811900000001</v>
      </c>
      <c r="AS15" s="1796">
        <v>1390.2963999999999</v>
      </c>
      <c r="AT15" s="1796">
        <v>44494.338409999997</v>
      </c>
      <c r="AU15" s="1796">
        <v>1562.4980800000001</v>
      </c>
      <c r="AV15" s="1796">
        <v>48090.492530000003</v>
      </c>
      <c r="AW15" s="1796">
        <v>1612.9013</v>
      </c>
      <c r="AX15" s="1796">
        <v>2925.8253999999997</v>
      </c>
      <c r="AY15" s="1796">
        <v>102.87259</v>
      </c>
      <c r="AZ15" s="1796">
        <v>6048.7129100000002</v>
      </c>
      <c r="BA15" s="1796">
        <v>547.49550999999997</v>
      </c>
      <c r="BB15" s="1796">
        <v>8696.14948</v>
      </c>
      <c r="BC15" s="1796">
        <v>625.23099999999999</v>
      </c>
      <c r="BD15" s="1796">
        <v>12244.29904</v>
      </c>
      <c r="BE15" s="1796">
        <v>433.76951000000003</v>
      </c>
      <c r="BF15" s="1796">
        <v>18187.543850000002</v>
      </c>
      <c r="BG15" s="1796">
        <v>516.82632000000001</v>
      </c>
      <c r="BH15" s="1796">
        <v>22777.426050000002</v>
      </c>
      <c r="BI15" s="1796">
        <v>549.15332999999998</v>
      </c>
      <c r="BJ15" s="1796">
        <v>28633.478320000002</v>
      </c>
      <c r="BK15" s="1796">
        <v>662.38731000000007</v>
      </c>
      <c r="BL15" s="1796">
        <v>33391.308109999998</v>
      </c>
      <c r="BM15" s="1796">
        <v>762.35091</v>
      </c>
      <c r="BN15" s="1796">
        <v>37440.577859999998</v>
      </c>
      <c r="BO15" s="1796">
        <v>887.95450000000005</v>
      </c>
      <c r="BP15" s="1796">
        <v>42296.085209999997</v>
      </c>
      <c r="BQ15" s="1796">
        <v>1005.35696</v>
      </c>
      <c r="BR15" s="1796">
        <v>46150.78645</v>
      </c>
      <c r="BS15" s="1796">
        <v>1163.0068899999999</v>
      </c>
      <c r="BT15" s="1796">
        <v>48537.026100000003</v>
      </c>
      <c r="BU15" s="1796">
        <v>1249.93399</v>
      </c>
      <c r="BV15" s="1796">
        <v>2896.8254900000002</v>
      </c>
      <c r="BW15" s="1796">
        <v>165.97592</v>
      </c>
      <c r="BX15" s="1796">
        <v>6608.1522300000006</v>
      </c>
      <c r="BY15" s="1796">
        <v>227.10944000000001</v>
      </c>
      <c r="BZ15" s="1796">
        <v>10473.311659999999</v>
      </c>
      <c r="CA15" s="1796">
        <v>308.05922999999996</v>
      </c>
      <c r="CB15" s="1796">
        <v>12159.93744</v>
      </c>
      <c r="CC15" s="1796">
        <v>438.23712</v>
      </c>
      <c r="CD15" s="1796">
        <v>15030.577310000001</v>
      </c>
      <c r="CE15" s="1796">
        <v>522.11451999999997</v>
      </c>
      <c r="CF15" s="1796">
        <v>18949.247179999998</v>
      </c>
      <c r="CG15" s="1796">
        <v>549.95461999999998</v>
      </c>
      <c r="CH15" s="1796">
        <v>22993.192050000001</v>
      </c>
      <c r="CI15" s="1796">
        <v>628.96556999999996</v>
      </c>
      <c r="CJ15" s="1796">
        <v>28269.046920000001</v>
      </c>
      <c r="CK15" s="1796">
        <v>836.32603000000006</v>
      </c>
      <c r="CL15" s="1796">
        <v>33252.629959999998</v>
      </c>
      <c r="CM15" s="1796">
        <v>914.31127000000004</v>
      </c>
      <c r="CN15" s="1796">
        <v>36526.570020000006</v>
      </c>
      <c r="CO15" s="1796">
        <v>1241.44461</v>
      </c>
      <c r="CP15" s="1796">
        <v>39506.082049999997</v>
      </c>
      <c r="CQ15" s="1796">
        <v>1437.87851</v>
      </c>
      <c r="CR15" s="1796">
        <v>43130.15885</v>
      </c>
      <c r="CS15" s="1796">
        <v>4779.6490100000001</v>
      </c>
      <c r="CT15" s="1796">
        <v>2870.9665099999997</v>
      </c>
      <c r="CU15" s="1796">
        <v>395.86973999999998</v>
      </c>
      <c r="CV15" s="1796">
        <v>6293.3376600000001</v>
      </c>
      <c r="CW15" s="1796">
        <v>664.51807999999994</v>
      </c>
      <c r="CX15" s="1796">
        <v>7630.7462699999996</v>
      </c>
      <c r="CY15" s="1796">
        <v>1003.57885</v>
      </c>
      <c r="CZ15" s="1796">
        <v>8789.3066500000004</v>
      </c>
      <c r="DA15" s="1796">
        <v>1416.3785800000001</v>
      </c>
      <c r="DB15" s="1796">
        <v>12227.4139</v>
      </c>
      <c r="DC15" s="1796">
        <v>1600.9605300000001</v>
      </c>
      <c r="DD15" s="1796">
        <v>16307.184810000001</v>
      </c>
      <c r="DE15" s="1796">
        <v>1767.1540299999999</v>
      </c>
      <c r="DF15" s="1796">
        <v>21405.42484</v>
      </c>
      <c r="DG15" s="1796">
        <v>2045.6612700000001</v>
      </c>
      <c r="DH15" s="1796">
        <v>26420.384739999998</v>
      </c>
      <c r="DI15" s="1796">
        <v>2189.5987</v>
      </c>
      <c r="DJ15" s="1796">
        <v>31171.489519999999</v>
      </c>
      <c r="DK15" s="1796">
        <v>2610.720953</v>
      </c>
      <c r="DL15" s="1796">
        <v>34879.338909999999</v>
      </c>
      <c r="DM15" s="1796">
        <v>3025.0014799999999</v>
      </c>
      <c r="DN15" s="1796">
        <v>38609.938900000001</v>
      </c>
      <c r="DO15" s="1796">
        <v>3329.9130829999999</v>
      </c>
      <c r="DP15" s="1796">
        <v>41953.43838</v>
      </c>
      <c r="DQ15" s="1797">
        <v>3968.0399499999999</v>
      </c>
      <c r="DR15" s="1798">
        <v>2295.3569299999999</v>
      </c>
      <c r="DS15" s="1799">
        <v>268.31844000000001</v>
      </c>
      <c r="DT15" s="1800">
        <v>4805.47523</v>
      </c>
      <c r="DU15" s="1797">
        <v>643.09303999999997</v>
      </c>
      <c r="DV15" s="1798">
        <v>6887.0745699999998</v>
      </c>
      <c r="DW15" s="1799">
        <v>892.10815000000002</v>
      </c>
      <c r="DX15" s="1800">
        <v>8917.0786700000008</v>
      </c>
      <c r="DY15" s="1797">
        <v>1143.6056799999999</v>
      </c>
      <c r="DZ15" s="1798">
        <v>10901.78752</v>
      </c>
      <c r="EA15" s="1799">
        <v>1506.57972</v>
      </c>
      <c r="EB15" s="1800">
        <v>12816.8568</v>
      </c>
      <c r="EC15" s="1797">
        <v>1677.61608</v>
      </c>
      <c r="ED15" s="1798">
        <v>15204.094520000001</v>
      </c>
      <c r="EE15" s="1799">
        <v>1816.79062</v>
      </c>
      <c r="EF15" s="1798">
        <v>17308.821540000001</v>
      </c>
      <c r="EG15" s="1801">
        <v>1858.4790700000001</v>
      </c>
      <c r="EH15" s="1800">
        <v>19690.365440000001</v>
      </c>
      <c r="EI15" s="1799">
        <v>1982.85616</v>
      </c>
      <c r="EJ15" s="1800">
        <v>21963.018479999999</v>
      </c>
      <c r="EK15" s="1799">
        <v>2112.4565699999998</v>
      </c>
      <c r="EL15" s="1798">
        <v>23977.634109999999</v>
      </c>
      <c r="EM15" s="1801">
        <v>2286.4353700000001</v>
      </c>
      <c r="EN15" s="1798">
        <v>25852.231960000001</v>
      </c>
      <c r="EO15" s="1801">
        <v>2519.5404199999998</v>
      </c>
      <c r="EP15" s="1798">
        <v>1821.70471</v>
      </c>
      <c r="EQ15" s="1801">
        <v>100.45924000000001</v>
      </c>
      <c r="ER15" s="1798">
        <v>4153.6512899999998</v>
      </c>
      <c r="ES15" s="1801">
        <v>164.27304000000001</v>
      </c>
      <c r="ET15" s="1798">
        <v>6562.5130399999998</v>
      </c>
      <c r="EU15" s="1801">
        <v>384.51778000000002</v>
      </c>
      <c r="EV15" s="1798">
        <v>8725.5713099999994</v>
      </c>
      <c r="EW15" s="1801">
        <v>470.56409000000002</v>
      </c>
      <c r="EX15" s="1798">
        <v>11022.1625</v>
      </c>
      <c r="EY15" s="1801">
        <v>588.97349999999994</v>
      </c>
      <c r="EZ15" s="1798">
        <v>13231.0615</v>
      </c>
      <c r="FA15" s="1801">
        <v>744.68898999999999</v>
      </c>
      <c r="FB15" s="1798">
        <v>16356.150730000001</v>
      </c>
      <c r="FC15" s="1801">
        <v>790.15614000000005</v>
      </c>
      <c r="FD15" s="1798">
        <v>18808.553950000001</v>
      </c>
      <c r="FE15" s="1801">
        <v>1018.68429</v>
      </c>
      <c r="FF15" s="1798">
        <v>25362.719350000003</v>
      </c>
      <c r="FG15" s="1801">
        <v>1199.4527399999999</v>
      </c>
      <c r="FH15" s="1798">
        <v>28109.388859999999</v>
      </c>
      <c r="FI15" s="1801">
        <v>1697.9730999999999</v>
      </c>
      <c r="FJ15" s="1798">
        <v>30460.62702</v>
      </c>
      <c r="FK15" s="1801">
        <v>1976.2621899999999</v>
      </c>
      <c r="FL15" s="1798">
        <v>32931.702519999999</v>
      </c>
      <c r="FM15" s="1801">
        <v>2030.2056599999999</v>
      </c>
      <c r="FN15" s="1798">
        <v>1999.3978</v>
      </c>
      <c r="FO15" s="1801">
        <v>233.08044000000001</v>
      </c>
      <c r="FP15" s="1798">
        <v>5282.1114000000007</v>
      </c>
      <c r="FQ15" s="1801">
        <v>378.00101000000001</v>
      </c>
      <c r="FR15" s="1798">
        <v>8131.7620900000002</v>
      </c>
      <c r="FS15" s="1801">
        <v>667.59451000000001</v>
      </c>
      <c r="FT15" s="1798">
        <v>11685.174059999999</v>
      </c>
      <c r="FU15" s="1801">
        <v>817.82500000000005</v>
      </c>
      <c r="FV15" s="1798">
        <v>14148.661029999999</v>
      </c>
      <c r="FW15" s="1801">
        <v>882.32384000000002</v>
      </c>
      <c r="FX15" s="1798">
        <v>15623.715169999999</v>
      </c>
      <c r="FY15" s="1801">
        <v>1084.3796600000001</v>
      </c>
      <c r="FZ15" s="1798">
        <v>17456.023430000001</v>
      </c>
      <c r="GA15" s="1801">
        <v>1260.4317000000001</v>
      </c>
      <c r="GB15" s="1798">
        <v>19416.148450000001</v>
      </c>
      <c r="GC15" s="1801">
        <v>1487.79393</v>
      </c>
      <c r="GD15" s="1798">
        <v>25580.437379999999</v>
      </c>
      <c r="GE15" s="1801">
        <v>1845.3198500000001</v>
      </c>
      <c r="GF15" s="1798">
        <v>29525.93533</v>
      </c>
      <c r="GG15" s="1801">
        <v>2288.2536700000001</v>
      </c>
      <c r="GH15" s="1798">
        <v>32000.92051</v>
      </c>
      <c r="GI15" s="1801">
        <v>2410.6186899999998</v>
      </c>
      <c r="GJ15" s="1798">
        <v>34182.187539999999</v>
      </c>
      <c r="GK15" s="1801">
        <v>2645.85367</v>
      </c>
      <c r="GL15" s="1798">
        <v>2283.3493699999999</v>
      </c>
      <c r="GM15" s="1801">
        <v>71.685010000000005</v>
      </c>
      <c r="GN15" s="1798">
        <v>5287.8683300000002</v>
      </c>
      <c r="GO15" s="1801">
        <v>501.74860999999999</v>
      </c>
      <c r="GP15" s="1798">
        <v>7977.7989800000005</v>
      </c>
      <c r="GQ15" s="1801">
        <v>626.65526999999997</v>
      </c>
      <c r="GR15" s="1798">
        <v>10895.094300000001</v>
      </c>
      <c r="GS15" s="1801">
        <v>897.37332000000004</v>
      </c>
      <c r="GT15" s="1798">
        <v>13661.26928</v>
      </c>
      <c r="GU15" s="1801">
        <v>1151.3654100000001</v>
      </c>
      <c r="GV15" s="1798">
        <v>16133.196449999999</v>
      </c>
      <c r="GW15" s="1801">
        <v>1482.3194800000001</v>
      </c>
      <c r="GX15" s="1798">
        <v>19388.435270000002</v>
      </c>
      <c r="GY15" s="1801">
        <v>1847.45722</v>
      </c>
      <c r="GZ15" s="1798">
        <v>22222.011139999999</v>
      </c>
      <c r="HA15" s="1801">
        <v>2284.5240800000001</v>
      </c>
      <c r="HB15" s="1798">
        <v>28963.061079999999</v>
      </c>
      <c r="HC15" s="1801">
        <v>2552.1984299999999</v>
      </c>
      <c r="HD15" s="1798">
        <v>32273.0789</v>
      </c>
      <c r="HE15" s="1801">
        <v>2781.3443499999998</v>
      </c>
      <c r="HF15" s="1798">
        <v>35141.321210000002</v>
      </c>
      <c r="HG15" s="1801">
        <v>3167.9967900000001</v>
      </c>
      <c r="HH15" s="1798">
        <v>38301.108500000002</v>
      </c>
      <c r="HI15" s="1801">
        <v>3431.0594299999998</v>
      </c>
      <c r="HJ15" s="1798">
        <v>3107.9963699999998</v>
      </c>
      <c r="HK15" s="1801">
        <v>399.08665999999999</v>
      </c>
      <c r="HL15" s="1798">
        <v>6611.8691500000004</v>
      </c>
      <c r="HM15" s="1801">
        <v>720.87773000000004</v>
      </c>
      <c r="HN15" s="1798">
        <v>9902.1118000000006</v>
      </c>
      <c r="HO15" s="1801">
        <v>911.24219000000005</v>
      </c>
      <c r="HP15" s="1798">
        <v>13893.99891</v>
      </c>
      <c r="HQ15" s="1801">
        <v>1200.90841</v>
      </c>
      <c r="HR15" s="1798">
        <v>17541.725200000001</v>
      </c>
      <c r="HS15" s="1801">
        <v>1349.63131</v>
      </c>
      <c r="HT15" s="1798">
        <v>20708.315040000001</v>
      </c>
      <c r="HU15" s="1801">
        <v>2040.0391199999999</v>
      </c>
      <c r="HV15" s="1802" t="s">
        <v>3178</v>
      </c>
    </row>
    <row r="16" spans="1:300" s="1774" customFormat="1" ht="22.5" customHeight="1">
      <c r="A16" s="1802" t="s">
        <v>2308</v>
      </c>
      <c r="B16" s="1796">
        <v>54.472580000000001</v>
      </c>
      <c r="C16" s="1796">
        <v>0</v>
      </c>
      <c r="D16" s="1796">
        <v>122.98082000000001</v>
      </c>
      <c r="E16" s="1796">
        <v>0</v>
      </c>
      <c r="F16" s="1796">
        <v>204.8665</v>
      </c>
      <c r="G16" s="1796">
        <v>0</v>
      </c>
      <c r="H16" s="1796">
        <v>292.69079999999997</v>
      </c>
      <c r="I16" s="1796">
        <v>0</v>
      </c>
      <c r="J16" s="1796">
        <v>388.50900000000001</v>
      </c>
      <c r="K16" s="1796">
        <v>0</v>
      </c>
      <c r="L16" s="1796">
        <v>495.66929118000002</v>
      </c>
      <c r="M16" s="1796">
        <v>0</v>
      </c>
      <c r="N16" s="1796">
        <v>633.37519999999995</v>
      </c>
      <c r="O16" s="1796">
        <v>0</v>
      </c>
      <c r="P16" s="1796">
        <v>855.68485999999996</v>
      </c>
      <c r="Q16" s="1796">
        <v>0</v>
      </c>
      <c r="R16" s="1796">
        <v>1006.3415</v>
      </c>
      <c r="S16" s="1796">
        <v>0</v>
      </c>
      <c r="T16" s="1796">
        <v>1637.2521399999998</v>
      </c>
      <c r="U16" s="1796">
        <v>0</v>
      </c>
      <c r="V16" s="1796">
        <v>1810.2138200000002</v>
      </c>
      <c r="W16" s="1796">
        <v>0</v>
      </c>
      <c r="X16" s="1796">
        <v>1868.2073300000002</v>
      </c>
      <c r="Y16" s="1796">
        <v>0</v>
      </c>
      <c r="Z16" s="1796">
        <v>151.51146</v>
      </c>
      <c r="AA16" s="1796">
        <v>0</v>
      </c>
      <c r="AB16" s="1796">
        <v>341.08987000000002</v>
      </c>
      <c r="AC16" s="1796">
        <v>0</v>
      </c>
      <c r="AD16" s="1796">
        <v>532.88656999999989</v>
      </c>
      <c r="AE16" s="1796">
        <v>0</v>
      </c>
      <c r="AF16" s="1796">
        <v>881.28120999999999</v>
      </c>
      <c r="AG16" s="1796">
        <v>0</v>
      </c>
      <c r="AH16" s="1796">
        <v>1356.4846499999999</v>
      </c>
      <c r="AI16" s="1796">
        <v>0</v>
      </c>
      <c r="AJ16" s="1796">
        <v>1630.7734399999999</v>
      </c>
      <c r="AK16" s="1796">
        <v>0</v>
      </c>
      <c r="AL16" s="1796">
        <v>1923.3008400000001</v>
      </c>
      <c r="AM16" s="1796">
        <v>0</v>
      </c>
      <c r="AN16" s="1796">
        <v>2334.75461</v>
      </c>
      <c r="AO16" s="1796">
        <v>0</v>
      </c>
      <c r="AP16" s="1796">
        <v>2644.56853</v>
      </c>
      <c r="AQ16" s="1796">
        <v>0</v>
      </c>
      <c r="AR16" s="1796">
        <v>2869.9008199999998</v>
      </c>
      <c r="AS16" s="1796">
        <v>0</v>
      </c>
      <c r="AT16" s="1796">
        <v>3100.4574499999999</v>
      </c>
      <c r="AU16" s="1796">
        <v>0</v>
      </c>
      <c r="AV16" s="1796">
        <v>3388.4390600000002</v>
      </c>
      <c r="AW16" s="1796">
        <v>0</v>
      </c>
      <c r="AX16" s="1796">
        <v>244.53064999999998</v>
      </c>
      <c r="AY16" s="1796">
        <v>0</v>
      </c>
      <c r="AZ16" s="1796">
        <v>531.85152000000005</v>
      </c>
      <c r="BA16" s="1796">
        <v>0</v>
      </c>
      <c r="BB16" s="1796">
        <v>742.35668999999996</v>
      </c>
      <c r="BC16" s="1796">
        <v>0</v>
      </c>
      <c r="BD16" s="1796">
        <v>1144.56024</v>
      </c>
      <c r="BE16" s="1796">
        <v>0</v>
      </c>
      <c r="BF16" s="1796">
        <v>1651.3817099999999</v>
      </c>
      <c r="BG16" s="1796">
        <v>0</v>
      </c>
      <c r="BH16" s="1796">
        <v>2048.26413</v>
      </c>
      <c r="BI16" s="1796">
        <v>0</v>
      </c>
      <c r="BJ16" s="1796">
        <v>2645.4960799999999</v>
      </c>
      <c r="BK16" s="1796">
        <v>0</v>
      </c>
      <c r="BL16" s="1796">
        <v>3034.0666699999997</v>
      </c>
      <c r="BM16" s="1796">
        <v>0</v>
      </c>
      <c r="BN16" s="1796">
        <v>3469.9316400000002</v>
      </c>
      <c r="BO16" s="1796">
        <v>0</v>
      </c>
      <c r="BP16" s="1796">
        <v>3862.8373900000001</v>
      </c>
      <c r="BQ16" s="1796">
        <v>0</v>
      </c>
      <c r="BR16" s="1796">
        <v>4150.2928000000002</v>
      </c>
      <c r="BS16" s="1796">
        <v>0</v>
      </c>
      <c r="BT16" s="1796">
        <v>4373.5182599999998</v>
      </c>
      <c r="BU16" s="1796">
        <v>0</v>
      </c>
      <c r="BV16" s="1796">
        <v>38.748220000000003</v>
      </c>
      <c r="BW16" s="1796">
        <v>0</v>
      </c>
      <c r="BX16" s="1796">
        <v>119.57725000000001</v>
      </c>
      <c r="BY16" s="1796">
        <v>0</v>
      </c>
      <c r="BZ16" s="1796">
        <v>156.77452</v>
      </c>
      <c r="CA16" s="1796">
        <v>0</v>
      </c>
      <c r="CB16" s="1796">
        <v>202.77495000000002</v>
      </c>
      <c r="CC16" s="1796">
        <v>0</v>
      </c>
      <c r="CD16" s="1796">
        <v>237.73770999999999</v>
      </c>
      <c r="CE16" s="1796">
        <v>0</v>
      </c>
      <c r="CF16" s="1796">
        <v>287.51284000000004</v>
      </c>
      <c r="CG16" s="1796">
        <v>0</v>
      </c>
      <c r="CH16" s="1796">
        <v>327.95744999999999</v>
      </c>
      <c r="CI16" s="1796">
        <v>0</v>
      </c>
      <c r="CJ16" s="1796">
        <v>427.07625000000002</v>
      </c>
      <c r="CK16" s="1796">
        <v>0</v>
      </c>
      <c r="CL16" s="1796">
        <v>696.96780000000001</v>
      </c>
      <c r="CM16" s="1796">
        <v>0</v>
      </c>
      <c r="CN16" s="1796">
        <v>746.59579000000008</v>
      </c>
      <c r="CO16" s="1796">
        <v>0</v>
      </c>
      <c r="CP16" s="1796">
        <v>792.51585</v>
      </c>
      <c r="CQ16" s="1796">
        <v>0</v>
      </c>
      <c r="CR16" s="1796">
        <v>843.48764000000006</v>
      </c>
      <c r="CS16" s="1796">
        <v>0</v>
      </c>
      <c r="CT16" s="1796">
        <v>41.055620000000005</v>
      </c>
      <c r="CU16" s="1796">
        <v>0</v>
      </c>
      <c r="CV16" s="1796">
        <v>517.84114999999997</v>
      </c>
      <c r="CW16" s="1796">
        <v>0</v>
      </c>
      <c r="CX16" s="1796">
        <v>622.24502000000007</v>
      </c>
      <c r="CY16" s="1796">
        <v>0</v>
      </c>
      <c r="CZ16" s="1796">
        <v>727.50630000000001</v>
      </c>
      <c r="DA16" s="1796">
        <v>0</v>
      </c>
      <c r="DB16" s="1796">
        <v>1031.2154599999999</v>
      </c>
      <c r="DC16" s="1796">
        <v>0</v>
      </c>
      <c r="DD16" s="1796">
        <v>1394.3331000000001</v>
      </c>
      <c r="DE16" s="1796">
        <v>0</v>
      </c>
      <c r="DF16" s="1796">
        <v>1821.38786</v>
      </c>
      <c r="DG16" s="1796">
        <v>0</v>
      </c>
      <c r="DH16" s="1796">
        <v>2265.75956</v>
      </c>
      <c r="DI16" s="1796">
        <v>0</v>
      </c>
      <c r="DJ16" s="1796">
        <v>2674.84852</v>
      </c>
      <c r="DK16" s="1796">
        <v>0</v>
      </c>
      <c r="DL16" s="1796">
        <v>3177.2068199999999</v>
      </c>
      <c r="DM16" s="1796">
        <v>0</v>
      </c>
      <c r="DN16" s="1796">
        <v>3487.6472699999999</v>
      </c>
      <c r="DO16" s="1796">
        <v>0</v>
      </c>
      <c r="DP16" s="1796">
        <v>3783.7116000000001</v>
      </c>
      <c r="DQ16" s="1797">
        <v>0</v>
      </c>
      <c r="DR16" s="1798">
        <v>83.925880000000006</v>
      </c>
      <c r="DS16" s="1799">
        <v>0</v>
      </c>
      <c r="DT16" s="1800">
        <v>199.50855000000001</v>
      </c>
      <c r="DU16" s="1797">
        <v>0</v>
      </c>
      <c r="DV16" s="1798">
        <v>291.90368000000001</v>
      </c>
      <c r="DW16" s="1799">
        <v>0</v>
      </c>
      <c r="DX16" s="1800">
        <v>412.8603</v>
      </c>
      <c r="DY16" s="1797">
        <v>0</v>
      </c>
      <c r="DZ16" s="1798">
        <v>516.12222999999994</v>
      </c>
      <c r="EA16" s="1799">
        <v>0</v>
      </c>
      <c r="EB16" s="1800">
        <v>616.71684000000005</v>
      </c>
      <c r="EC16" s="1797">
        <v>20.184480000000001</v>
      </c>
      <c r="ED16" s="1798">
        <v>709.55384000000004</v>
      </c>
      <c r="EE16" s="1799">
        <v>25.620850000000001</v>
      </c>
      <c r="EF16" s="1798">
        <v>807.56763000000001</v>
      </c>
      <c r="EG16" s="1801">
        <v>27.348400000000002</v>
      </c>
      <c r="EH16" s="1800">
        <v>930.08151999999995</v>
      </c>
      <c r="EI16" s="1799">
        <v>29.672429999999999</v>
      </c>
      <c r="EJ16" s="1800">
        <v>1204.67311</v>
      </c>
      <c r="EK16" s="1799">
        <v>32.265599999999999</v>
      </c>
      <c r="EL16" s="1798">
        <v>1327.15059</v>
      </c>
      <c r="EM16" s="1801">
        <v>43.956009999999999</v>
      </c>
      <c r="EN16" s="1798">
        <v>1208.24533</v>
      </c>
      <c r="EO16" s="1801">
        <v>48.273739999999997</v>
      </c>
      <c r="EP16" s="1798">
        <v>84.52188000000001</v>
      </c>
      <c r="EQ16" s="1801">
        <v>0</v>
      </c>
      <c r="ER16" s="1798">
        <v>265.84258</v>
      </c>
      <c r="ES16" s="1801">
        <v>3.84937</v>
      </c>
      <c r="ET16" s="1798">
        <v>454.24297999999999</v>
      </c>
      <c r="EU16" s="1801">
        <v>4.8943300000000001</v>
      </c>
      <c r="EV16" s="1798">
        <v>571.08981000000006</v>
      </c>
      <c r="EW16" s="1801">
        <v>6.3194499999999998</v>
      </c>
      <c r="EX16" s="1798">
        <v>696.96834000000001</v>
      </c>
      <c r="EY16" s="1801">
        <v>8.0158900000000006</v>
      </c>
      <c r="EZ16" s="1798">
        <v>797.51156000000003</v>
      </c>
      <c r="FA16" s="1801">
        <v>9.5173400000000008</v>
      </c>
      <c r="FB16" s="1798">
        <v>996.32281999999998</v>
      </c>
      <c r="FC16" s="1801">
        <v>20.16544</v>
      </c>
      <c r="FD16" s="1798">
        <v>1170.6956399999999</v>
      </c>
      <c r="FE16" s="1801">
        <v>44.311729999999997</v>
      </c>
      <c r="FF16" s="1798">
        <v>1359.09032</v>
      </c>
      <c r="FG16" s="1801">
        <v>68.008099999999999</v>
      </c>
      <c r="FH16" s="1798">
        <v>1552.7937999999999</v>
      </c>
      <c r="FI16" s="1801">
        <v>69.553250000000006</v>
      </c>
      <c r="FJ16" s="1798">
        <v>1764.0330899999999</v>
      </c>
      <c r="FK16" s="1801">
        <v>77.404679999999999</v>
      </c>
      <c r="FL16" s="1798">
        <v>1928.5048700000002</v>
      </c>
      <c r="FM16" s="1801">
        <v>146.61273</v>
      </c>
      <c r="FN16" s="1798">
        <v>109.31189000000001</v>
      </c>
      <c r="FO16" s="1801">
        <v>8.2194599999999998</v>
      </c>
      <c r="FP16" s="1798">
        <v>670.68444</v>
      </c>
      <c r="FQ16" s="1801">
        <v>36.678470000000004</v>
      </c>
      <c r="FR16" s="1798">
        <v>999.26978999999994</v>
      </c>
      <c r="FS16" s="1801">
        <v>38.954030000000003</v>
      </c>
      <c r="FT16" s="1798">
        <v>1364.86636</v>
      </c>
      <c r="FU16" s="1801">
        <v>40.365580000000001</v>
      </c>
      <c r="FV16" s="1798">
        <v>1705.1242400000001</v>
      </c>
      <c r="FW16" s="1801">
        <v>44.536839999999998</v>
      </c>
      <c r="FX16" s="1798">
        <v>1935.4684600000001</v>
      </c>
      <c r="FY16" s="1801">
        <v>85.771789999999996</v>
      </c>
      <c r="FZ16" s="1798">
        <v>2219.1927500000002</v>
      </c>
      <c r="GA16" s="1801">
        <v>87.744829999999993</v>
      </c>
      <c r="GB16" s="1798">
        <v>2503.3528799999999</v>
      </c>
      <c r="GC16" s="1801">
        <v>89.487530000000007</v>
      </c>
      <c r="GD16" s="1798">
        <v>2810.5189999999998</v>
      </c>
      <c r="GE16" s="1801">
        <v>145.65145000000001</v>
      </c>
      <c r="GF16" s="1798">
        <v>3075.45433</v>
      </c>
      <c r="GG16" s="1801">
        <v>165.08330000000001</v>
      </c>
      <c r="GH16" s="1798">
        <v>3343.91921</v>
      </c>
      <c r="GI16" s="1801">
        <v>193.03285</v>
      </c>
      <c r="GJ16" s="1798">
        <v>3608.4243099999999</v>
      </c>
      <c r="GK16" s="1801">
        <v>198.96046999999999</v>
      </c>
      <c r="GL16" s="1798">
        <v>312.71771000000001</v>
      </c>
      <c r="GM16" s="1801">
        <v>2.2919999999999998</v>
      </c>
      <c r="GN16" s="1798">
        <v>573.10779000000002</v>
      </c>
      <c r="GO16" s="1801">
        <v>80.326279999999997</v>
      </c>
      <c r="GP16" s="1798">
        <v>817.91057999999998</v>
      </c>
      <c r="GQ16" s="1801">
        <v>151.26246</v>
      </c>
      <c r="GR16" s="1798">
        <v>1193.56575</v>
      </c>
      <c r="GS16" s="1801">
        <v>183.68333999999999</v>
      </c>
      <c r="GT16" s="1798">
        <v>1657.8393100000001</v>
      </c>
      <c r="GU16" s="1801">
        <v>205.97138000000001</v>
      </c>
      <c r="GV16" s="1798">
        <v>1983.04232</v>
      </c>
      <c r="GW16" s="1801">
        <v>222.03717</v>
      </c>
      <c r="GX16" s="1798">
        <v>2373.8113800000001</v>
      </c>
      <c r="GY16" s="1801">
        <v>225.38202000000001</v>
      </c>
      <c r="GZ16" s="1798">
        <v>2738.0318699999998</v>
      </c>
      <c r="HA16" s="1801">
        <v>266.62078000000002</v>
      </c>
      <c r="HB16" s="1798">
        <v>3150.5559199999998</v>
      </c>
      <c r="HC16" s="1801">
        <v>362.55664999999999</v>
      </c>
      <c r="HD16" s="1798">
        <v>3557.1146899999999</v>
      </c>
      <c r="HE16" s="1801">
        <v>369.04782</v>
      </c>
      <c r="HF16" s="1798">
        <v>3910.6028999999999</v>
      </c>
      <c r="HG16" s="1801">
        <v>456.87511999999998</v>
      </c>
      <c r="HH16" s="1798">
        <v>4323.8523400000004</v>
      </c>
      <c r="HI16" s="1801">
        <v>478.29476</v>
      </c>
      <c r="HJ16" s="1798">
        <v>194.02001999999999</v>
      </c>
      <c r="HK16" s="1801">
        <v>0</v>
      </c>
      <c r="HL16" s="1798">
        <v>843.37672999999995</v>
      </c>
      <c r="HM16" s="1801">
        <v>14.662789999999999</v>
      </c>
      <c r="HN16" s="1798">
        <v>875.15722000000005</v>
      </c>
      <c r="HO16" s="1801">
        <v>16.98311</v>
      </c>
      <c r="HP16" s="1798">
        <v>1046.4199599999999</v>
      </c>
      <c r="HQ16" s="1801">
        <v>42.499310000000001</v>
      </c>
      <c r="HR16" s="1798">
        <v>1217.4670900000001</v>
      </c>
      <c r="HS16" s="1801">
        <v>44.285400000000003</v>
      </c>
      <c r="HT16" s="1798">
        <v>1467.0633800000001</v>
      </c>
      <c r="HU16" s="1801">
        <v>65.395859999999999</v>
      </c>
      <c r="HV16" s="1804" t="s">
        <v>3411</v>
      </c>
      <c r="HZ16" s="1805"/>
    </row>
    <row r="17" spans="1:232" s="1774" customFormat="1" ht="22.5" customHeight="1">
      <c r="A17" s="1795" t="s">
        <v>2307</v>
      </c>
      <c r="B17" s="1796">
        <v>7.6529999999999996</v>
      </c>
      <c r="C17" s="1796">
        <v>0</v>
      </c>
      <c r="D17" s="1796">
        <v>15.73061</v>
      </c>
      <c r="E17" s="1796">
        <v>0</v>
      </c>
      <c r="F17" s="1796">
        <v>28.785889999999998</v>
      </c>
      <c r="G17" s="1796">
        <v>5</v>
      </c>
      <c r="H17" s="1796">
        <v>36.271370000000005</v>
      </c>
      <c r="I17" s="1796">
        <v>5</v>
      </c>
      <c r="J17" s="1796">
        <v>45.581150000000001</v>
      </c>
      <c r="K17" s="1796">
        <v>7.4249999999999998</v>
      </c>
      <c r="L17" s="1796">
        <v>53.359438819000005</v>
      </c>
      <c r="M17" s="1796">
        <v>9.85</v>
      </c>
      <c r="N17" s="1796">
        <v>61.741010000000003</v>
      </c>
      <c r="O17" s="1796">
        <v>9.85</v>
      </c>
      <c r="P17" s="1796">
        <v>103.93774999999999</v>
      </c>
      <c r="Q17" s="1796">
        <v>9.85</v>
      </c>
      <c r="R17" s="1796">
        <v>100.41189999999999</v>
      </c>
      <c r="S17" s="1796">
        <v>9.85</v>
      </c>
      <c r="T17" s="1796">
        <v>105.79583</v>
      </c>
      <c r="U17" s="1796">
        <v>9.85</v>
      </c>
      <c r="V17" s="1796">
        <v>113.06705000000001</v>
      </c>
      <c r="W17" s="1796">
        <v>9.85</v>
      </c>
      <c r="X17" s="1796">
        <v>117.51663000000001</v>
      </c>
      <c r="Y17" s="1796">
        <v>9.85</v>
      </c>
      <c r="Z17" s="1796">
        <v>7.1914999999999996</v>
      </c>
      <c r="AA17" s="1796">
        <v>0</v>
      </c>
      <c r="AB17" s="1796">
        <v>15.098780000000001</v>
      </c>
      <c r="AC17" s="1796">
        <v>0</v>
      </c>
      <c r="AD17" s="1796">
        <v>16.26559</v>
      </c>
      <c r="AE17" s="1796">
        <v>0</v>
      </c>
      <c r="AF17" s="1796">
        <v>25.817080000000001</v>
      </c>
      <c r="AG17" s="1796">
        <v>0</v>
      </c>
      <c r="AH17" s="1796">
        <v>32.176409999999997</v>
      </c>
      <c r="AI17" s="1796">
        <v>0</v>
      </c>
      <c r="AJ17" s="1796">
        <v>46.67615</v>
      </c>
      <c r="AK17" s="1796">
        <v>0</v>
      </c>
      <c r="AL17" s="1796">
        <v>57.342869999999998</v>
      </c>
      <c r="AM17" s="1796">
        <v>0</v>
      </c>
      <c r="AN17" s="1796">
        <v>101.17357000000001</v>
      </c>
      <c r="AO17" s="1796">
        <v>0</v>
      </c>
      <c r="AP17" s="1796">
        <v>246.58085999999997</v>
      </c>
      <c r="AQ17" s="1796">
        <v>0</v>
      </c>
      <c r="AR17" s="1796">
        <v>252.11303000000001</v>
      </c>
      <c r="AS17" s="1796">
        <v>0</v>
      </c>
      <c r="AT17" s="1796">
        <v>257.47712999999999</v>
      </c>
      <c r="AU17" s="1796">
        <v>0</v>
      </c>
      <c r="AV17" s="1796">
        <v>277.96587</v>
      </c>
      <c r="AW17" s="1796">
        <v>0</v>
      </c>
      <c r="AX17" s="1796">
        <v>6.7227200000000007</v>
      </c>
      <c r="AY17" s="1796">
        <v>0</v>
      </c>
      <c r="AZ17" s="1796">
        <v>16.444780000000002</v>
      </c>
      <c r="BA17" s="1796">
        <v>0</v>
      </c>
      <c r="BB17" s="1796">
        <v>23.074339999999999</v>
      </c>
      <c r="BC17" s="1796">
        <v>0</v>
      </c>
      <c r="BD17" s="1796">
        <v>41.491620000000005</v>
      </c>
      <c r="BE17" s="1796">
        <v>0</v>
      </c>
      <c r="BF17" s="1796">
        <v>66.059830000000005</v>
      </c>
      <c r="BG17" s="1796">
        <v>0</v>
      </c>
      <c r="BH17" s="1796">
        <v>94.754050000000007</v>
      </c>
      <c r="BI17" s="1796">
        <v>0</v>
      </c>
      <c r="BJ17" s="1796">
        <v>142.69320000000002</v>
      </c>
      <c r="BK17" s="1796">
        <v>0</v>
      </c>
      <c r="BL17" s="1796">
        <v>218.4734</v>
      </c>
      <c r="BM17" s="1796">
        <v>0</v>
      </c>
      <c r="BN17" s="1796">
        <v>393.16416999999996</v>
      </c>
      <c r="BO17" s="1796">
        <v>0</v>
      </c>
      <c r="BP17" s="1796">
        <v>434.50752</v>
      </c>
      <c r="BQ17" s="1796">
        <v>0</v>
      </c>
      <c r="BR17" s="1796">
        <v>324.53058000000004</v>
      </c>
      <c r="BS17" s="1796">
        <v>0</v>
      </c>
      <c r="BT17" s="1796">
        <v>350.59750000000003</v>
      </c>
      <c r="BU17" s="1796">
        <v>0</v>
      </c>
      <c r="BV17" s="1796">
        <v>20.175909999999998</v>
      </c>
      <c r="BW17" s="1796">
        <v>0</v>
      </c>
      <c r="BX17" s="1796">
        <v>49.788599999999995</v>
      </c>
      <c r="BY17" s="1796">
        <v>0</v>
      </c>
      <c r="BZ17" s="1796">
        <v>123.06393</v>
      </c>
      <c r="CA17" s="1796">
        <v>0</v>
      </c>
      <c r="CB17" s="1796">
        <v>139.41469000000001</v>
      </c>
      <c r="CC17" s="1796">
        <v>0</v>
      </c>
      <c r="CD17" s="1796">
        <v>158.77139000000003</v>
      </c>
      <c r="CE17" s="1796">
        <v>0</v>
      </c>
      <c r="CF17" s="1796">
        <v>187.76131000000001</v>
      </c>
      <c r="CG17" s="1796">
        <v>0</v>
      </c>
      <c r="CH17" s="1796">
        <v>216.19716</v>
      </c>
      <c r="CI17" s="1796">
        <v>0</v>
      </c>
      <c r="CJ17" s="1796">
        <v>319.29374000000001</v>
      </c>
      <c r="CK17" s="1796">
        <v>0</v>
      </c>
      <c r="CL17" s="1796">
        <v>369.78578000000005</v>
      </c>
      <c r="CM17" s="1796">
        <v>0</v>
      </c>
      <c r="CN17" s="1796">
        <v>409.77728000000002</v>
      </c>
      <c r="CO17" s="1796">
        <v>0</v>
      </c>
      <c r="CP17" s="1796">
        <v>437.70447999999999</v>
      </c>
      <c r="CQ17" s="1796">
        <v>0</v>
      </c>
      <c r="CR17" s="1796">
        <v>478.89121</v>
      </c>
      <c r="CS17" s="1796">
        <v>0</v>
      </c>
      <c r="CT17" s="1796">
        <v>47.838389999999997</v>
      </c>
      <c r="CU17" s="1796">
        <v>5</v>
      </c>
      <c r="CV17" s="1796">
        <v>100.90608</v>
      </c>
      <c r="CW17" s="1796">
        <v>5</v>
      </c>
      <c r="CX17" s="1796">
        <v>160.38676000000001</v>
      </c>
      <c r="CY17" s="1796">
        <v>5</v>
      </c>
      <c r="CZ17" s="1796">
        <v>249.88654</v>
      </c>
      <c r="DA17" s="1796">
        <v>5</v>
      </c>
      <c r="DB17" s="1796">
        <v>300.31085999999999</v>
      </c>
      <c r="DC17" s="1796">
        <v>15</v>
      </c>
      <c r="DD17" s="1796">
        <v>354.81996999999996</v>
      </c>
      <c r="DE17" s="1796">
        <v>15</v>
      </c>
      <c r="DF17" s="1796">
        <v>435.28595000000001</v>
      </c>
      <c r="DG17" s="1796">
        <v>15</v>
      </c>
      <c r="DH17" s="1796">
        <v>543.55657999999994</v>
      </c>
      <c r="DI17" s="1796">
        <v>20</v>
      </c>
      <c r="DJ17" s="1796">
        <v>779.95813999999996</v>
      </c>
      <c r="DK17" s="1796">
        <v>20</v>
      </c>
      <c r="DL17" s="1796">
        <v>831.84145000000001</v>
      </c>
      <c r="DM17" s="1796">
        <v>20</v>
      </c>
      <c r="DN17" s="1796">
        <v>884.87149999999997</v>
      </c>
      <c r="DO17" s="1796">
        <v>25</v>
      </c>
      <c r="DP17" s="1796">
        <v>939.32438000000002</v>
      </c>
      <c r="DQ17" s="1797">
        <v>27</v>
      </c>
      <c r="DR17" s="1798">
        <v>89.439059999999998</v>
      </c>
      <c r="DS17" s="1799">
        <v>0</v>
      </c>
      <c r="DT17" s="1800">
        <v>170.90763000000001</v>
      </c>
      <c r="DU17" s="1797">
        <v>0</v>
      </c>
      <c r="DV17" s="1798">
        <v>248.61556999999999</v>
      </c>
      <c r="DW17" s="1799">
        <v>0</v>
      </c>
      <c r="DX17" s="1800">
        <v>352.05151999999998</v>
      </c>
      <c r="DY17" s="1797">
        <v>0</v>
      </c>
      <c r="DZ17" s="1798">
        <v>439.54745000000003</v>
      </c>
      <c r="EA17" s="1799">
        <v>5</v>
      </c>
      <c r="EB17" s="1800">
        <v>532.78597000000002</v>
      </c>
      <c r="EC17" s="1797">
        <v>30</v>
      </c>
      <c r="ED17" s="1798">
        <v>611.74177999999995</v>
      </c>
      <c r="EE17" s="1799">
        <v>30</v>
      </c>
      <c r="EF17" s="1798">
        <v>700.79007000000001</v>
      </c>
      <c r="EG17" s="1801">
        <v>30.1</v>
      </c>
      <c r="EH17" s="1800">
        <v>1073.7493400000001</v>
      </c>
      <c r="EI17" s="1799">
        <v>55.2</v>
      </c>
      <c r="EJ17" s="1800">
        <v>1158.46136</v>
      </c>
      <c r="EK17" s="1799">
        <v>60.2</v>
      </c>
      <c r="EL17" s="1798">
        <v>1265.41561</v>
      </c>
      <c r="EM17" s="1801">
        <v>60.2</v>
      </c>
      <c r="EN17" s="1798">
        <v>1341.2893899999999</v>
      </c>
      <c r="EO17" s="1801">
        <v>60.2</v>
      </c>
      <c r="EP17" s="1798">
        <v>104.80425</v>
      </c>
      <c r="EQ17" s="1801">
        <v>0</v>
      </c>
      <c r="ER17" s="1798">
        <v>281.11715999999996</v>
      </c>
      <c r="ES17" s="1801">
        <v>0.15</v>
      </c>
      <c r="ET17" s="1798">
        <v>530.41700000000003</v>
      </c>
      <c r="EU17" s="1801">
        <v>0.15</v>
      </c>
      <c r="EV17" s="1798">
        <v>780.44016999999997</v>
      </c>
      <c r="EW17" s="1801">
        <v>0.15</v>
      </c>
      <c r="EX17" s="1798">
        <v>913.57882999999993</v>
      </c>
      <c r="EY17" s="1801">
        <v>0.15</v>
      </c>
      <c r="EZ17" s="1798">
        <v>1088.5085200000001</v>
      </c>
      <c r="FA17" s="1801">
        <v>11.55</v>
      </c>
      <c r="FB17" s="1798">
        <v>1391.4951000000001</v>
      </c>
      <c r="FC17" s="1801">
        <v>15.55</v>
      </c>
      <c r="FD17" s="1798">
        <v>1642.6646599999999</v>
      </c>
      <c r="FE17" s="1801">
        <v>20.55</v>
      </c>
      <c r="FF17" s="1798">
        <v>4342.3167800000001</v>
      </c>
      <c r="FG17" s="1801">
        <v>26.55</v>
      </c>
      <c r="FH17" s="1798">
        <v>4763.1450599999998</v>
      </c>
      <c r="FI17" s="1801">
        <v>33.549999999999997</v>
      </c>
      <c r="FJ17" s="1798">
        <v>5110.7905799999999</v>
      </c>
      <c r="FK17" s="1801">
        <v>33.549999999999997</v>
      </c>
      <c r="FL17" s="1798">
        <v>5350.3388399999994</v>
      </c>
      <c r="FM17" s="1801">
        <v>64.55</v>
      </c>
      <c r="FN17" s="1798">
        <v>192.50843</v>
      </c>
      <c r="FO17" s="1801">
        <v>0</v>
      </c>
      <c r="FP17" s="1798">
        <v>692.84050000000002</v>
      </c>
      <c r="FQ17" s="1801">
        <v>13.75</v>
      </c>
      <c r="FR17" s="1798">
        <v>1158.5396900000001</v>
      </c>
      <c r="FS17" s="1801">
        <v>44.25</v>
      </c>
      <c r="FT17" s="1798">
        <v>1630.5782999999999</v>
      </c>
      <c r="FU17" s="1801">
        <v>69</v>
      </c>
      <c r="FV17" s="1798">
        <v>1938.6585299999999</v>
      </c>
      <c r="FW17" s="1801">
        <v>92</v>
      </c>
      <c r="FX17" s="1798">
        <v>2270.4795100000001</v>
      </c>
      <c r="FY17" s="1801">
        <v>168.75</v>
      </c>
      <c r="FZ17" s="1798">
        <v>2653.92902</v>
      </c>
      <c r="GA17" s="1801">
        <v>185.25</v>
      </c>
      <c r="GB17" s="1798">
        <v>3004.4486900000002</v>
      </c>
      <c r="GC17" s="1801">
        <v>223.3</v>
      </c>
      <c r="GD17" s="1798">
        <v>5836.3467199999996</v>
      </c>
      <c r="GE17" s="1801">
        <v>258.22000000000003</v>
      </c>
      <c r="GF17" s="1798">
        <v>6309.0940700000001</v>
      </c>
      <c r="GG17" s="1801">
        <v>372.47</v>
      </c>
      <c r="GH17" s="1798">
        <v>6585.1784500000003</v>
      </c>
      <c r="GI17" s="1801">
        <v>429.72</v>
      </c>
      <c r="GJ17" s="1798">
        <v>6852.9455799999996</v>
      </c>
      <c r="GK17" s="1801">
        <v>471.97</v>
      </c>
      <c r="GL17" s="1798">
        <v>318.38103000000001</v>
      </c>
      <c r="GM17" s="1801">
        <v>78</v>
      </c>
      <c r="GN17" s="1798">
        <v>588.38567999999998</v>
      </c>
      <c r="GO17" s="1801">
        <v>290</v>
      </c>
      <c r="GP17" s="1798">
        <v>869.28515000000004</v>
      </c>
      <c r="GQ17" s="1801">
        <v>345.25</v>
      </c>
      <c r="GR17" s="1798">
        <v>1345.2882300000001</v>
      </c>
      <c r="GS17" s="1801">
        <v>510.75</v>
      </c>
      <c r="GT17" s="1798">
        <v>1842.1516200000001</v>
      </c>
      <c r="GU17" s="1801">
        <v>719.75</v>
      </c>
      <c r="GV17" s="1798">
        <v>2310.1745099999998</v>
      </c>
      <c r="GW17" s="1801">
        <v>829.25</v>
      </c>
      <c r="GX17" s="1798">
        <v>2828.49638</v>
      </c>
      <c r="GY17" s="1801">
        <v>1023.6</v>
      </c>
      <c r="GZ17" s="1798">
        <v>3277.5129200000001</v>
      </c>
      <c r="HA17" s="1801">
        <v>1120.3499999999999</v>
      </c>
      <c r="HB17" s="1798">
        <v>6116.5988799999996</v>
      </c>
      <c r="HC17" s="1801">
        <v>1211.0999999999999</v>
      </c>
      <c r="HD17" s="1798">
        <v>6764.4587799999999</v>
      </c>
      <c r="HE17" s="1801">
        <v>1317.45</v>
      </c>
      <c r="HF17" s="1798">
        <v>7309.8383599999997</v>
      </c>
      <c r="HG17" s="1801">
        <v>1436.5</v>
      </c>
      <c r="HH17" s="1798">
        <v>7863.0271199999997</v>
      </c>
      <c r="HI17" s="1801">
        <v>1515.35</v>
      </c>
      <c r="HJ17" s="1798">
        <v>626.12649999999996</v>
      </c>
      <c r="HK17" s="1801">
        <v>220.95</v>
      </c>
      <c r="HL17" s="1798">
        <v>960.84765000000004</v>
      </c>
      <c r="HM17" s="1801">
        <v>343.64</v>
      </c>
      <c r="HN17" s="1798">
        <v>2075.6521400000001</v>
      </c>
      <c r="HO17" s="1801">
        <v>500.89</v>
      </c>
      <c r="HP17" s="1798">
        <v>3046.66624</v>
      </c>
      <c r="HQ17" s="1801">
        <v>643.39</v>
      </c>
      <c r="HR17" s="1798">
        <v>3878.4580599999999</v>
      </c>
      <c r="HS17" s="1801">
        <v>878.89</v>
      </c>
      <c r="HT17" s="1798">
        <v>4736.1632799999998</v>
      </c>
      <c r="HU17" s="1801">
        <v>1003.1</v>
      </c>
      <c r="HV17" s="1802" t="s">
        <v>3412</v>
      </c>
    </row>
    <row r="18" spans="1:232" s="1774" customFormat="1" ht="22.5" customHeight="1">
      <c r="A18" s="1794" t="s">
        <v>2306</v>
      </c>
      <c r="B18" s="1788">
        <f t="shared" ref="B18:BM18" si="25">B19+B23</f>
        <v>52765.430560000008</v>
      </c>
      <c r="C18" s="1788">
        <f t="shared" si="25"/>
        <v>5659.5281400000003</v>
      </c>
      <c r="D18" s="1788">
        <f t="shared" si="25"/>
        <v>66300.280090437998</v>
      </c>
      <c r="E18" s="1788">
        <f t="shared" si="25"/>
        <v>10309.81191</v>
      </c>
      <c r="F18" s="1788">
        <f t="shared" si="25"/>
        <v>77747.019780000002</v>
      </c>
      <c r="G18" s="1788">
        <f t="shared" si="25"/>
        <v>16340.14709</v>
      </c>
      <c r="H18" s="1788">
        <f t="shared" si="25"/>
        <v>86423.125650000002</v>
      </c>
      <c r="I18" s="1788">
        <f t="shared" si="25"/>
        <v>20125.61522</v>
      </c>
      <c r="J18" s="1788">
        <f t="shared" si="25"/>
        <v>98371.295979999995</v>
      </c>
      <c r="K18" s="1788">
        <f t="shared" si="25"/>
        <v>28290.748769999998</v>
      </c>
      <c r="L18" s="1788">
        <f t="shared" si="25"/>
        <v>109155.75466000001</v>
      </c>
      <c r="M18" s="1788">
        <f t="shared" si="25"/>
        <v>37560.324820000009</v>
      </c>
      <c r="N18" s="1788">
        <f t="shared" si="25"/>
        <v>127160.25349</v>
      </c>
      <c r="O18" s="1788">
        <f t="shared" si="25"/>
        <v>43981.765830000004</v>
      </c>
      <c r="P18" s="1788">
        <f t="shared" si="25"/>
        <v>142106.83564</v>
      </c>
      <c r="Q18" s="1788">
        <f t="shared" si="25"/>
        <v>53486.287920000002</v>
      </c>
      <c r="R18" s="1788">
        <f t="shared" si="25"/>
        <v>157772.42577999999</v>
      </c>
      <c r="S18" s="1788">
        <f t="shared" si="25"/>
        <v>58673.60714</v>
      </c>
      <c r="T18" s="1788">
        <f t="shared" si="25"/>
        <v>169120.68365000002</v>
      </c>
      <c r="U18" s="1788">
        <f t="shared" si="25"/>
        <v>65262.474409999995</v>
      </c>
      <c r="V18" s="1788">
        <f t="shared" si="25"/>
        <v>180205.60943000001</v>
      </c>
      <c r="W18" s="1788">
        <f t="shared" si="25"/>
        <v>69155.850449999998</v>
      </c>
      <c r="X18" s="1788">
        <f t="shared" si="25"/>
        <v>197375.70152</v>
      </c>
      <c r="Y18" s="1788">
        <f t="shared" si="25"/>
        <v>73017.972099999999</v>
      </c>
      <c r="Z18" s="1788">
        <f t="shared" si="25"/>
        <v>55156.273730000008</v>
      </c>
      <c r="AA18" s="1788">
        <f t="shared" si="25"/>
        <v>6997.3784690000002</v>
      </c>
      <c r="AB18" s="1788">
        <f t="shared" si="25"/>
        <v>70554.799440000003</v>
      </c>
      <c r="AC18" s="1788">
        <f t="shared" si="25"/>
        <v>13027.734679999998</v>
      </c>
      <c r="AD18" s="1788">
        <f t="shared" si="25"/>
        <v>93751.638219999993</v>
      </c>
      <c r="AE18" s="1788">
        <f t="shared" si="25"/>
        <v>17724.712509999998</v>
      </c>
      <c r="AF18" s="1788">
        <f t="shared" si="25"/>
        <v>105262.88425999999</v>
      </c>
      <c r="AG18" s="1788">
        <f t="shared" si="25"/>
        <v>26123.134389999996</v>
      </c>
      <c r="AH18" s="1788">
        <f t="shared" si="25"/>
        <v>117322.35337</v>
      </c>
      <c r="AI18" s="1788">
        <f t="shared" si="25"/>
        <v>32427.771120000001</v>
      </c>
      <c r="AJ18" s="1788">
        <f t="shared" si="25"/>
        <v>127905.98529000001</v>
      </c>
      <c r="AK18" s="1788">
        <f t="shared" si="25"/>
        <v>38190.134129999999</v>
      </c>
      <c r="AL18" s="1788">
        <f t="shared" si="25"/>
        <v>149308.42604000002</v>
      </c>
      <c r="AM18" s="1788">
        <f t="shared" si="25"/>
        <v>44866.233269999997</v>
      </c>
      <c r="AN18" s="1788">
        <f t="shared" si="25"/>
        <v>162866.33470000001</v>
      </c>
      <c r="AO18" s="1788">
        <f t="shared" si="25"/>
        <v>51057.6109</v>
      </c>
      <c r="AP18" s="1788">
        <f t="shared" si="25"/>
        <v>179924.55235000001</v>
      </c>
      <c r="AQ18" s="1788">
        <f t="shared" si="25"/>
        <v>56777.040509999999</v>
      </c>
      <c r="AR18" s="1788">
        <f t="shared" si="25"/>
        <v>194435.30176</v>
      </c>
      <c r="AS18" s="1788">
        <f t="shared" si="25"/>
        <v>63197.553059999998</v>
      </c>
      <c r="AT18" s="1788">
        <f t="shared" si="25"/>
        <v>205902.59664999999</v>
      </c>
      <c r="AU18" s="1788">
        <f t="shared" si="25"/>
        <v>71560.570739999996</v>
      </c>
      <c r="AV18" s="1788">
        <f t="shared" si="25"/>
        <v>230446.48440999998</v>
      </c>
      <c r="AW18" s="1788">
        <f t="shared" si="25"/>
        <v>77585.915349999996</v>
      </c>
      <c r="AX18" s="1788">
        <f t="shared" si="25"/>
        <v>61047.806360000002</v>
      </c>
      <c r="AY18" s="1788">
        <f t="shared" si="25"/>
        <v>3351.7088699999999</v>
      </c>
      <c r="AZ18" s="1788">
        <f t="shared" si="25"/>
        <v>79151.699590000004</v>
      </c>
      <c r="BA18" s="1788">
        <f t="shared" si="25"/>
        <v>9587.2257800000007</v>
      </c>
      <c r="BB18" s="1788">
        <f t="shared" si="25"/>
        <v>91414.686389999988</v>
      </c>
      <c r="BC18" s="1788">
        <f t="shared" si="25"/>
        <v>14741.974300000002</v>
      </c>
      <c r="BD18" s="1788">
        <f t="shared" si="25"/>
        <v>103721.64881000001</v>
      </c>
      <c r="BE18" s="1788">
        <f t="shared" si="25"/>
        <v>22375.843169999996</v>
      </c>
      <c r="BF18" s="1788">
        <f t="shared" si="25"/>
        <v>119766.63380000001</v>
      </c>
      <c r="BG18" s="1788">
        <f t="shared" si="25"/>
        <v>33887.051160000003</v>
      </c>
      <c r="BH18" s="1788">
        <f t="shared" si="25"/>
        <v>131816.56848999998</v>
      </c>
      <c r="BI18" s="1788">
        <f t="shared" si="25"/>
        <v>43120.88061</v>
      </c>
      <c r="BJ18" s="1788">
        <f t="shared" si="25"/>
        <v>151745.19413000002</v>
      </c>
      <c r="BK18" s="1788">
        <f t="shared" si="25"/>
        <v>46491.349399999999</v>
      </c>
      <c r="BL18" s="1788">
        <f t="shared" si="25"/>
        <v>163698.13801000002</v>
      </c>
      <c r="BM18" s="1788">
        <f t="shared" si="25"/>
        <v>55921.717560000005</v>
      </c>
      <c r="BN18" s="1788">
        <f t="shared" ref="BN18:DY18" si="26">BN19+BN23</f>
        <v>183610.51740000001</v>
      </c>
      <c r="BO18" s="1788">
        <f t="shared" si="26"/>
        <v>62827.237600000008</v>
      </c>
      <c r="BP18" s="1788">
        <f t="shared" si="26"/>
        <v>201805.30702000001</v>
      </c>
      <c r="BQ18" s="1788">
        <f t="shared" si="26"/>
        <v>70858.940329999998</v>
      </c>
      <c r="BR18" s="1788">
        <f t="shared" si="26"/>
        <v>215383.72805999999</v>
      </c>
      <c r="BS18" s="1788">
        <f t="shared" si="26"/>
        <v>79671.010539999988</v>
      </c>
      <c r="BT18" s="1788">
        <f t="shared" si="26"/>
        <v>237232.99882000001</v>
      </c>
      <c r="BU18" s="1788">
        <f t="shared" si="26"/>
        <v>99112.236929999985</v>
      </c>
      <c r="BV18" s="1788">
        <f t="shared" si="26"/>
        <v>74986.63334</v>
      </c>
      <c r="BW18" s="1788">
        <f t="shared" si="26"/>
        <v>7148.1257499999992</v>
      </c>
      <c r="BX18" s="1788">
        <f t="shared" si="26"/>
        <v>90427.502779999995</v>
      </c>
      <c r="BY18" s="1788">
        <f t="shared" si="26"/>
        <v>13332.681300000002</v>
      </c>
      <c r="BZ18" s="1788">
        <f t="shared" si="26"/>
        <v>104076.26242999999</v>
      </c>
      <c r="CA18" s="1788">
        <f t="shared" si="26"/>
        <v>22021.295330000001</v>
      </c>
      <c r="CB18" s="1788">
        <f t="shared" si="26"/>
        <v>115886.90983999998</v>
      </c>
      <c r="CC18" s="1788">
        <f t="shared" si="26"/>
        <v>30959.315440000002</v>
      </c>
      <c r="CD18" s="1788">
        <f t="shared" si="26"/>
        <v>129119.83503999999</v>
      </c>
      <c r="CE18" s="1788">
        <f t="shared" si="26"/>
        <v>39998.892970000001</v>
      </c>
      <c r="CF18" s="1788">
        <f t="shared" si="26"/>
        <v>142654.86121999999</v>
      </c>
      <c r="CG18" s="1788">
        <f t="shared" si="26"/>
        <v>45702.152699999999</v>
      </c>
      <c r="CH18" s="1788">
        <f t="shared" si="26"/>
        <v>166573.37420999998</v>
      </c>
      <c r="CI18" s="1788">
        <f t="shared" si="26"/>
        <v>50852.173389999996</v>
      </c>
      <c r="CJ18" s="1788">
        <f t="shared" si="26"/>
        <v>188107.63295</v>
      </c>
      <c r="CK18" s="1788">
        <f t="shared" si="26"/>
        <v>56823.867300000005</v>
      </c>
      <c r="CL18" s="1788">
        <f t="shared" si="26"/>
        <v>204321.14075999998</v>
      </c>
      <c r="CM18" s="1788">
        <f t="shared" si="26"/>
        <v>73160.331350000008</v>
      </c>
      <c r="CN18" s="1788">
        <f t="shared" si="26"/>
        <v>221279.04149000003</v>
      </c>
      <c r="CO18" s="1788">
        <f t="shared" si="26"/>
        <v>77932.170530000003</v>
      </c>
      <c r="CP18" s="1788">
        <f t="shared" si="26"/>
        <v>230394.97524000003</v>
      </c>
      <c r="CQ18" s="1788">
        <f t="shared" si="26"/>
        <v>83309.871660000004</v>
      </c>
      <c r="CR18" s="1788">
        <f t="shared" si="26"/>
        <v>252974.43205000003</v>
      </c>
      <c r="CS18" s="1788">
        <f t="shared" si="26"/>
        <v>98299.905920000019</v>
      </c>
      <c r="CT18" s="1788">
        <f t="shared" si="26"/>
        <v>67134.398870000005</v>
      </c>
      <c r="CU18" s="1788">
        <f t="shared" si="26"/>
        <v>8834.1773699999994</v>
      </c>
      <c r="CV18" s="1788">
        <f t="shared" si="26"/>
        <v>81556.18624000001</v>
      </c>
      <c r="CW18" s="1788">
        <f t="shared" si="26"/>
        <v>16382.932869999999</v>
      </c>
      <c r="CX18" s="1788">
        <f t="shared" si="26"/>
        <v>101746.19534000001</v>
      </c>
      <c r="CY18" s="1788">
        <f t="shared" si="26"/>
        <v>21203.920250000003</v>
      </c>
      <c r="CZ18" s="1788">
        <f t="shared" si="26"/>
        <v>114186.00769000003</v>
      </c>
      <c r="DA18" s="1788">
        <f t="shared" si="26"/>
        <v>28797.71371</v>
      </c>
      <c r="DB18" s="1788">
        <f t="shared" si="26"/>
        <v>128261.55721999999</v>
      </c>
      <c r="DC18" s="1788">
        <f t="shared" si="26"/>
        <v>34337.931749999996</v>
      </c>
      <c r="DD18" s="1788">
        <f t="shared" si="26"/>
        <v>145833.68766</v>
      </c>
      <c r="DE18" s="1788">
        <f t="shared" si="26"/>
        <v>44149.57445</v>
      </c>
      <c r="DF18" s="1788">
        <f t="shared" si="26"/>
        <v>171048.99226999999</v>
      </c>
      <c r="DG18" s="1788">
        <f t="shared" si="26"/>
        <v>51274.332150000002</v>
      </c>
      <c r="DH18" s="1788">
        <f t="shared" si="26"/>
        <v>181299.18479</v>
      </c>
      <c r="DI18" s="1788">
        <f t="shared" si="26"/>
        <v>67380.639920000001</v>
      </c>
      <c r="DJ18" s="1788">
        <f t="shared" si="26"/>
        <v>205984.13920000001</v>
      </c>
      <c r="DK18" s="1788">
        <f t="shared" si="26"/>
        <v>78842.8658</v>
      </c>
      <c r="DL18" s="1788">
        <f t="shared" si="26"/>
        <v>220641.04246999999</v>
      </c>
      <c r="DM18" s="1788">
        <f t="shared" si="26"/>
        <v>86778.724890000012</v>
      </c>
      <c r="DN18" s="1788">
        <f t="shared" si="26"/>
        <v>237896.97021</v>
      </c>
      <c r="DO18" s="1788">
        <f t="shared" si="26"/>
        <v>93481.872109999997</v>
      </c>
      <c r="DP18" s="1788">
        <f t="shared" si="26"/>
        <v>266992.72054000001</v>
      </c>
      <c r="DQ18" s="1789">
        <f t="shared" si="26"/>
        <v>103551.05820999999</v>
      </c>
      <c r="DR18" s="1806">
        <f t="shared" si="26"/>
        <v>74118.37096</v>
      </c>
      <c r="DS18" s="1807">
        <f t="shared" si="26"/>
        <v>4595.2581600000003</v>
      </c>
      <c r="DT18" s="1792">
        <f t="shared" si="26"/>
        <v>91776.708909999987</v>
      </c>
      <c r="DU18" s="1789">
        <f t="shared" si="26"/>
        <v>14465.836560000002</v>
      </c>
      <c r="DV18" s="1790">
        <f t="shared" si="26"/>
        <v>105864.49341000001</v>
      </c>
      <c r="DW18" s="1791">
        <f t="shared" si="26"/>
        <v>22022.07979</v>
      </c>
      <c r="DX18" s="1792">
        <f t="shared" si="26"/>
        <v>121368.70580999998</v>
      </c>
      <c r="DY18" s="1789">
        <f t="shared" si="26"/>
        <v>32074.435729999997</v>
      </c>
      <c r="DZ18" s="1790">
        <f t="shared" ref="DZ18:GK18" si="27">DZ19+DZ23</f>
        <v>141397.81560999999</v>
      </c>
      <c r="EA18" s="1791">
        <f t="shared" si="27"/>
        <v>39800.281489999994</v>
      </c>
      <c r="EB18" s="1792">
        <f t="shared" si="27"/>
        <v>161146.64124000003</v>
      </c>
      <c r="EC18" s="1789">
        <f t="shared" si="27"/>
        <v>47248.538959999998</v>
      </c>
      <c r="ED18" s="1790">
        <f t="shared" si="27"/>
        <v>189695.21606000001</v>
      </c>
      <c r="EE18" s="1791">
        <f t="shared" si="27"/>
        <v>54570.450969999998</v>
      </c>
      <c r="EF18" s="1790">
        <f t="shared" si="27"/>
        <v>210898.81945000001</v>
      </c>
      <c r="EG18" s="1793">
        <f t="shared" si="27"/>
        <v>62955.238810000003</v>
      </c>
      <c r="EH18" s="1790">
        <f t="shared" si="27"/>
        <v>237507.90527999998</v>
      </c>
      <c r="EI18" s="1793">
        <f t="shared" si="27"/>
        <v>70831.265650000001</v>
      </c>
      <c r="EJ18" s="1790">
        <f t="shared" si="27"/>
        <v>250414.45931999997</v>
      </c>
      <c r="EK18" s="1793">
        <f t="shared" si="27"/>
        <v>79611.823229999995</v>
      </c>
      <c r="EL18" s="1790">
        <f t="shared" si="27"/>
        <v>271793.05158999999</v>
      </c>
      <c r="EM18" s="1793">
        <f t="shared" si="27"/>
        <v>85691.984620000003</v>
      </c>
      <c r="EN18" s="1790">
        <f t="shared" si="27"/>
        <v>302982.01489999995</v>
      </c>
      <c r="EO18" s="1793">
        <f t="shared" si="27"/>
        <v>92926.876449999996</v>
      </c>
      <c r="EP18" s="1790">
        <f t="shared" si="27"/>
        <v>79175.38182000001</v>
      </c>
      <c r="EQ18" s="1793">
        <f t="shared" si="27"/>
        <v>7197.0016399999995</v>
      </c>
      <c r="ER18" s="1790">
        <f t="shared" si="27"/>
        <v>101792.90627000001</v>
      </c>
      <c r="ES18" s="1793">
        <f t="shared" si="27"/>
        <v>15073.834490000001</v>
      </c>
      <c r="ET18" s="1790">
        <f t="shared" si="27"/>
        <v>123977.90795000002</v>
      </c>
      <c r="EU18" s="1793">
        <f t="shared" si="27"/>
        <v>23053.178050000002</v>
      </c>
      <c r="EV18" s="1790">
        <f t="shared" si="27"/>
        <v>136363.8547</v>
      </c>
      <c r="EW18" s="1793">
        <f t="shared" si="27"/>
        <v>30963.307700000001</v>
      </c>
      <c r="EX18" s="1790">
        <f t="shared" si="27"/>
        <v>158776.48632</v>
      </c>
      <c r="EY18" s="1793">
        <f t="shared" si="27"/>
        <v>39413.842329999999</v>
      </c>
      <c r="EZ18" s="1790">
        <f t="shared" si="27"/>
        <v>181873.45157999999</v>
      </c>
      <c r="FA18" s="1793">
        <f t="shared" si="27"/>
        <v>47545.767059999998</v>
      </c>
      <c r="FB18" s="1790">
        <f t="shared" si="27"/>
        <v>220980.31416000001</v>
      </c>
      <c r="FC18" s="1793">
        <f t="shared" si="27"/>
        <v>55066.584840000003</v>
      </c>
      <c r="FD18" s="1790">
        <f t="shared" si="27"/>
        <v>241559.72872999997</v>
      </c>
      <c r="FE18" s="1793">
        <f t="shared" si="27"/>
        <v>79647.148650000003</v>
      </c>
      <c r="FF18" s="1790">
        <f t="shared" si="27"/>
        <v>265225.86456999998</v>
      </c>
      <c r="FG18" s="1793">
        <f t="shared" si="27"/>
        <v>99514.728659999993</v>
      </c>
      <c r="FH18" s="1790">
        <f t="shared" si="27"/>
        <v>289383.81342999998</v>
      </c>
      <c r="FI18" s="1793">
        <f t="shared" si="27"/>
        <v>112808.68276</v>
      </c>
      <c r="FJ18" s="1790">
        <f t="shared" si="27"/>
        <v>313880.29879000003</v>
      </c>
      <c r="FK18" s="1793">
        <f t="shared" si="27"/>
        <v>126722.2098</v>
      </c>
      <c r="FL18" s="1790">
        <f t="shared" si="27"/>
        <v>342901.09450999997</v>
      </c>
      <c r="FM18" s="1793">
        <f t="shared" si="27"/>
        <v>184459.15465000001</v>
      </c>
      <c r="FN18" s="1790">
        <f t="shared" si="27"/>
        <v>78134.730740000014</v>
      </c>
      <c r="FO18" s="1793">
        <f t="shared" si="27"/>
        <v>8988.7858500000002</v>
      </c>
      <c r="FP18" s="1790">
        <f t="shared" si="27"/>
        <v>103971.96161999999</v>
      </c>
      <c r="FQ18" s="1793">
        <f t="shared" si="27"/>
        <v>19776.66993</v>
      </c>
      <c r="FR18" s="1790">
        <f t="shared" si="27"/>
        <v>122991.35738</v>
      </c>
      <c r="FS18" s="1793">
        <f t="shared" si="27"/>
        <v>27718.616160000001</v>
      </c>
      <c r="FT18" s="1790">
        <f t="shared" si="27"/>
        <v>140579.91911000002</v>
      </c>
      <c r="FU18" s="1793">
        <f t="shared" si="27"/>
        <v>39191.003989999997</v>
      </c>
      <c r="FV18" s="1790">
        <f t="shared" si="27"/>
        <v>164967.65536000003</v>
      </c>
      <c r="FW18" s="1793">
        <f t="shared" si="27"/>
        <v>51381.093390000002</v>
      </c>
      <c r="FX18" s="1790">
        <f t="shared" si="27"/>
        <v>183335.65064000001</v>
      </c>
      <c r="FY18" s="1793">
        <f t="shared" si="27"/>
        <v>61657.279950000004</v>
      </c>
      <c r="FZ18" s="1790">
        <f t="shared" si="27"/>
        <v>223276.51675000001</v>
      </c>
      <c r="GA18" s="1793">
        <f t="shared" si="27"/>
        <v>73289.875690000001</v>
      </c>
      <c r="GB18" s="1790">
        <f t="shared" si="27"/>
        <v>250407.32719000001</v>
      </c>
      <c r="GC18" s="1793">
        <f t="shared" si="27"/>
        <v>83581.986620000011</v>
      </c>
      <c r="GD18" s="1790">
        <f t="shared" si="27"/>
        <v>270202.67368000001</v>
      </c>
      <c r="GE18" s="1793">
        <f t="shared" si="27"/>
        <v>94888.335649999994</v>
      </c>
      <c r="GF18" s="1790">
        <f t="shared" si="27"/>
        <v>288958.91263000004</v>
      </c>
      <c r="GG18" s="1793">
        <f t="shared" si="27"/>
        <v>107352.72456</v>
      </c>
      <c r="GH18" s="1790">
        <f t="shared" si="27"/>
        <v>325021.13318999996</v>
      </c>
      <c r="GI18" s="1793">
        <f t="shared" si="27"/>
        <v>121589.54968999999</v>
      </c>
      <c r="GJ18" s="1790">
        <f t="shared" si="27"/>
        <v>367488.88739000005</v>
      </c>
      <c r="GK18" s="1793">
        <f t="shared" si="27"/>
        <v>135545.01738999999</v>
      </c>
      <c r="GL18" s="1790">
        <f t="shared" ref="GL18:HQ18" si="28">GL19+GL23</f>
        <v>84985.787609999999</v>
      </c>
      <c r="GM18" s="1793">
        <f t="shared" si="28"/>
        <v>8431.6685499999985</v>
      </c>
      <c r="GN18" s="1790">
        <f t="shared" si="28"/>
        <v>110000.65553</v>
      </c>
      <c r="GO18" s="1793">
        <f t="shared" si="28"/>
        <v>17572.558149999997</v>
      </c>
      <c r="GP18" s="1790">
        <f t="shared" si="28"/>
        <v>129825.70861999999</v>
      </c>
      <c r="GQ18" s="1793">
        <f t="shared" si="28"/>
        <v>25606.523511767009</v>
      </c>
      <c r="GR18" s="1790">
        <f t="shared" si="28"/>
        <v>151378.80304999999</v>
      </c>
      <c r="GS18" s="1793">
        <f t="shared" si="28"/>
        <v>40336.781899999994</v>
      </c>
      <c r="GT18" s="1790">
        <f t="shared" si="28"/>
        <v>177578.44017000002</v>
      </c>
      <c r="GU18" s="1793">
        <f t="shared" si="28"/>
        <v>54282.363750000004</v>
      </c>
      <c r="GV18" s="1790">
        <f t="shared" si="28"/>
        <v>200519.97919000001</v>
      </c>
      <c r="GW18" s="1793">
        <f t="shared" si="28"/>
        <v>63253.262309999991</v>
      </c>
      <c r="GX18" s="1790">
        <f t="shared" si="28"/>
        <v>244102.57681</v>
      </c>
      <c r="GY18" s="1793">
        <f t="shared" si="28"/>
        <v>76045.439559999999</v>
      </c>
      <c r="GZ18" s="1790">
        <f t="shared" si="28"/>
        <v>271447.35432000004</v>
      </c>
      <c r="HA18" s="1793">
        <f t="shared" si="28"/>
        <v>87153.667710000009</v>
      </c>
      <c r="HB18" s="1790">
        <f t="shared" si="28"/>
        <v>298217.99712999997</v>
      </c>
      <c r="HC18" s="1793">
        <f t="shared" si="28"/>
        <v>98043.148060000007</v>
      </c>
      <c r="HD18" s="1790">
        <f t="shared" si="28"/>
        <v>322554.26759000006</v>
      </c>
      <c r="HE18" s="1793">
        <f t="shared" si="28"/>
        <v>109878.88028</v>
      </c>
      <c r="HF18" s="1790">
        <f t="shared" si="28"/>
        <v>350776.22792999999</v>
      </c>
      <c r="HG18" s="1793">
        <f t="shared" si="28"/>
        <v>122994.30692</v>
      </c>
      <c r="HH18" s="1790">
        <f t="shared" si="28"/>
        <v>387407.45731000009</v>
      </c>
      <c r="HI18" s="1793">
        <f t="shared" si="28"/>
        <v>136845.42579000001</v>
      </c>
      <c r="HJ18" s="1790">
        <f t="shared" si="28"/>
        <v>78734.991000000009</v>
      </c>
      <c r="HK18" s="1793">
        <f t="shared" si="28"/>
        <v>9593.8252300000004</v>
      </c>
      <c r="HL18" s="1790">
        <f t="shared" si="28"/>
        <v>116127.87759999999</v>
      </c>
      <c r="HM18" s="1793">
        <f t="shared" si="28"/>
        <v>21020.617020000002</v>
      </c>
      <c r="HN18" s="1790">
        <f t="shared" si="28"/>
        <v>141885.04989000002</v>
      </c>
      <c r="HO18" s="1793">
        <f t="shared" si="28"/>
        <v>28601.93187</v>
      </c>
      <c r="HP18" s="1790">
        <f t="shared" si="28"/>
        <v>169263.19484000001</v>
      </c>
      <c r="HQ18" s="1793">
        <f t="shared" si="28"/>
        <v>44581.617270000002</v>
      </c>
      <c r="HR18" s="1790">
        <f t="shared" ref="HR18:HS18" si="29">HR19+HR23</f>
        <v>192618.17614</v>
      </c>
      <c r="HS18" s="1793">
        <f t="shared" si="29"/>
        <v>56700.909689999993</v>
      </c>
      <c r="HT18" s="1790">
        <v>235088.37398000003</v>
      </c>
      <c r="HU18" s="1793">
        <v>69440.933010000008</v>
      </c>
      <c r="HV18" s="1794" t="s">
        <v>3179</v>
      </c>
    </row>
    <row r="19" spans="1:232" s="1774" customFormat="1" ht="22.5" customHeight="1">
      <c r="A19" s="1794" t="s">
        <v>2305</v>
      </c>
      <c r="B19" s="1788">
        <f t="shared" ref="B19:BM19" si="30">SUM(B20:B22)</f>
        <v>37372.112400000005</v>
      </c>
      <c r="C19" s="1788">
        <f t="shared" si="30"/>
        <v>4248.7987599999997</v>
      </c>
      <c r="D19" s="1788">
        <f t="shared" si="30"/>
        <v>42583.509589999994</v>
      </c>
      <c r="E19" s="1788">
        <f t="shared" si="30"/>
        <v>7537.5465299999996</v>
      </c>
      <c r="F19" s="1788">
        <f t="shared" si="30"/>
        <v>45971.448519999998</v>
      </c>
      <c r="G19" s="1788">
        <f t="shared" si="30"/>
        <v>11674.278690000001</v>
      </c>
      <c r="H19" s="1788">
        <f t="shared" si="30"/>
        <v>49195.233030000003</v>
      </c>
      <c r="I19" s="1788">
        <f t="shared" si="30"/>
        <v>13652.010689999999</v>
      </c>
      <c r="J19" s="1788">
        <f t="shared" si="30"/>
        <v>52182.888779999994</v>
      </c>
      <c r="K19" s="1788">
        <f t="shared" si="30"/>
        <v>17601.215499999998</v>
      </c>
      <c r="L19" s="1788">
        <f t="shared" si="30"/>
        <v>55005.230880000003</v>
      </c>
      <c r="M19" s="1788">
        <f t="shared" si="30"/>
        <v>25035.989460000004</v>
      </c>
      <c r="N19" s="1788">
        <f t="shared" si="30"/>
        <v>59148.509539999999</v>
      </c>
      <c r="O19" s="1788">
        <f t="shared" si="30"/>
        <v>30513.503420000001</v>
      </c>
      <c r="P19" s="1788">
        <f t="shared" si="30"/>
        <v>67618.840830000001</v>
      </c>
      <c r="Q19" s="1788">
        <f t="shared" si="30"/>
        <v>38842.810840000006</v>
      </c>
      <c r="R19" s="1788">
        <f t="shared" si="30"/>
        <v>70587.364690000002</v>
      </c>
      <c r="S19" s="1788">
        <f t="shared" si="30"/>
        <v>42771.857560000004</v>
      </c>
      <c r="T19" s="1788">
        <f t="shared" si="30"/>
        <v>75220.040059999999</v>
      </c>
      <c r="U19" s="1788">
        <f t="shared" si="30"/>
        <v>48387.544749999994</v>
      </c>
      <c r="V19" s="1788">
        <f t="shared" si="30"/>
        <v>78813.529679999992</v>
      </c>
      <c r="W19" s="1788">
        <f t="shared" si="30"/>
        <v>51324.791400000002</v>
      </c>
      <c r="X19" s="1788">
        <f t="shared" si="30"/>
        <v>90538.533469999995</v>
      </c>
      <c r="Y19" s="1788">
        <f t="shared" si="30"/>
        <v>53830.176339999998</v>
      </c>
      <c r="Z19" s="1788">
        <f t="shared" si="30"/>
        <v>40209.123770000006</v>
      </c>
      <c r="AA19" s="1788">
        <f t="shared" si="30"/>
        <v>5522.9358490000004</v>
      </c>
      <c r="AB19" s="1788">
        <f t="shared" si="30"/>
        <v>44504.262790000001</v>
      </c>
      <c r="AC19" s="1788">
        <f t="shared" si="30"/>
        <v>10600.519449999998</v>
      </c>
      <c r="AD19" s="1788">
        <f t="shared" si="30"/>
        <v>48885.591220000002</v>
      </c>
      <c r="AE19" s="1788">
        <f t="shared" si="30"/>
        <v>14770.360949999998</v>
      </c>
      <c r="AF19" s="1788">
        <f t="shared" si="30"/>
        <v>51715.974569999998</v>
      </c>
      <c r="AG19" s="1788">
        <f t="shared" si="30"/>
        <v>22121.669239999996</v>
      </c>
      <c r="AH19" s="1788">
        <f t="shared" si="30"/>
        <v>55675.539490000003</v>
      </c>
      <c r="AI19" s="1788">
        <f t="shared" si="30"/>
        <v>26849.59446</v>
      </c>
      <c r="AJ19" s="1788">
        <f t="shared" si="30"/>
        <v>58432.950960000002</v>
      </c>
      <c r="AK19" s="1788">
        <f t="shared" si="30"/>
        <v>30879.030510000001</v>
      </c>
      <c r="AL19" s="1788">
        <f t="shared" si="30"/>
        <v>62246.382319999997</v>
      </c>
      <c r="AM19" s="1788">
        <f t="shared" si="30"/>
        <v>35972.304459999999</v>
      </c>
      <c r="AN19" s="1788">
        <f t="shared" si="30"/>
        <v>67331.330900000015</v>
      </c>
      <c r="AO19" s="1788">
        <f t="shared" si="30"/>
        <v>41272.039729999997</v>
      </c>
      <c r="AP19" s="1788">
        <f t="shared" si="30"/>
        <v>69798.794620000001</v>
      </c>
      <c r="AQ19" s="1788">
        <f t="shared" si="30"/>
        <v>45171.77968</v>
      </c>
      <c r="AR19" s="1788">
        <f t="shared" si="30"/>
        <v>77190.992299999998</v>
      </c>
      <c r="AS19" s="1788">
        <f t="shared" si="30"/>
        <v>50009.036780000002</v>
      </c>
      <c r="AT19" s="1788">
        <f t="shared" si="30"/>
        <v>81744.13625000001</v>
      </c>
      <c r="AU19" s="1788">
        <f t="shared" si="30"/>
        <v>56650.44264999999</v>
      </c>
      <c r="AV19" s="1788">
        <f t="shared" si="30"/>
        <v>94115.308440000008</v>
      </c>
      <c r="AW19" s="1788">
        <f t="shared" si="30"/>
        <v>60556.948710000004</v>
      </c>
      <c r="AX19" s="1788">
        <f t="shared" si="30"/>
        <v>46005.852270000003</v>
      </c>
      <c r="AY19" s="1788">
        <f t="shared" si="30"/>
        <v>2061.9471199999998</v>
      </c>
      <c r="AZ19" s="1788">
        <f t="shared" si="30"/>
        <v>53141.8511</v>
      </c>
      <c r="BA19" s="1788">
        <f t="shared" si="30"/>
        <v>6869.1354499999998</v>
      </c>
      <c r="BB19" s="1788">
        <f t="shared" si="30"/>
        <v>58355.291659999995</v>
      </c>
      <c r="BC19" s="1788">
        <f t="shared" si="30"/>
        <v>11013.159240000001</v>
      </c>
      <c r="BD19" s="1788">
        <f t="shared" si="30"/>
        <v>61993.944970000004</v>
      </c>
      <c r="BE19" s="1788">
        <f t="shared" si="30"/>
        <v>17298.807819999998</v>
      </c>
      <c r="BF19" s="1788">
        <f t="shared" si="30"/>
        <v>66209.337079999998</v>
      </c>
      <c r="BG19" s="1788">
        <f t="shared" si="30"/>
        <v>22851.866050000004</v>
      </c>
      <c r="BH19" s="1788">
        <f t="shared" si="30"/>
        <v>68738.498389999993</v>
      </c>
      <c r="BI19" s="1788">
        <f t="shared" si="30"/>
        <v>29349.534360000001</v>
      </c>
      <c r="BJ19" s="1788">
        <f t="shared" si="30"/>
        <v>72094.123869999996</v>
      </c>
      <c r="BK19" s="1788">
        <f t="shared" si="30"/>
        <v>30645.434860000001</v>
      </c>
      <c r="BL19" s="1788">
        <f t="shared" si="30"/>
        <v>76503.503180000014</v>
      </c>
      <c r="BM19" s="1788">
        <f t="shared" si="30"/>
        <v>38872.347400000006</v>
      </c>
      <c r="BN19" s="1788">
        <f t="shared" ref="BN19:DY19" si="31">SUM(BN20:BN22)</f>
        <v>79464.257310000001</v>
      </c>
      <c r="BO19" s="1788">
        <f t="shared" si="31"/>
        <v>43947.861150000004</v>
      </c>
      <c r="BP19" s="1788">
        <f t="shared" si="31"/>
        <v>87895.090349999999</v>
      </c>
      <c r="BQ19" s="1788">
        <f t="shared" si="31"/>
        <v>50351.538529999998</v>
      </c>
      <c r="BR19" s="1788">
        <f t="shared" si="31"/>
        <v>92484.691080000004</v>
      </c>
      <c r="BS19" s="1788">
        <f t="shared" si="31"/>
        <v>57665.661219999995</v>
      </c>
      <c r="BT19" s="1788">
        <f t="shared" si="31"/>
        <v>104119.88130000001</v>
      </c>
      <c r="BU19" s="1788">
        <f t="shared" si="31"/>
        <v>61418.520329999999</v>
      </c>
      <c r="BV19" s="1788">
        <f t="shared" si="31"/>
        <v>52312.700140000008</v>
      </c>
      <c r="BW19" s="1788">
        <f t="shared" si="31"/>
        <v>5770.2693399999998</v>
      </c>
      <c r="BX19" s="1788">
        <f t="shared" si="31"/>
        <v>58536.787439999993</v>
      </c>
      <c r="BY19" s="1788">
        <f t="shared" si="31"/>
        <v>10128.889360000001</v>
      </c>
      <c r="BZ19" s="1788">
        <f t="shared" si="31"/>
        <v>64100.895129999997</v>
      </c>
      <c r="CA19" s="1788">
        <f t="shared" si="31"/>
        <v>17082.475310000002</v>
      </c>
      <c r="CB19" s="1788">
        <f t="shared" si="31"/>
        <v>68548.851809999993</v>
      </c>
      <c r="CC19" s="1788">
        <f t="shared" si="31"/>
        <v>23565.561130000002</v>
      </c>
      <c r="CD19" s="1788">
        <f t="shared" si="31"/>
        <v>71941.476269999999</v>
      </c>
      <c r="CE19" s="1788">
        <f t="shared" si="31"/>
        <v>31207.557690000001</v>
      </c>
      <c r="CF19" s="1788">
        <f t="shared" si="31"/>
        <v>73891.928550000011</v>
      </c>
      <c r="CG19" s="1788">
        <f t="shared" si="31"/>
        <v>35839.785349999998</v>
      </c>
      <c r="CH19" s="1788">
        <f t="shared" si="31"/>
        <v>76568.637229999993</v>
      </c>
      <c r="CI19" s="1788">
        <f t="shared" si="31"/>
        <v>39621.402730000002</v>
      </c>
      <c r="CJ19" s="1788">
        <f t="shared" si="31"/>
        <v>79404.565139999992</v>
      </c>
      <c r="CK19" s="1788">
        <f t="shared" si="31"/>
        <v>43912.920020000005</v>
      </c>
      <c r="CL19" s="1788">
        <f t="shared" si="31"/>
        <v>82045.395629999985</v>
      </c>
      <c r="CM19" s="1788">
        <f t="shared" si="31"/>
        <v>47658.800580000003</v>
      </c>
      <c r="CN19" s="1788">
        <f t="shared" si="31"/>
        <v>91184.410970000012</v>
      </c>
      <c r="CO19" s="1788">
        <f t="shared" si="31"/>
        <v>51265.796969999996</v>
      </c>
      <c r="CP19" s="1788">
        <f t="shared" si="31"/>
        <v>94158.971699999995</v>
      </c>
      <c r="CQ19" s="1788">
        <f t="shared" si="31"/>
        <v>54691.918300000005</v>
      </c>
      <c r="CR19" s="1788">
        <f t="shared" si="31"/>
        <v>105894.23261000001</v>
      </c>
      <c r="CS19" s="1788">
        <f t="shared" si="31"/>
        <v>68336.312490000011</v>
      </c>
      <c r="CT19" s="1788">
        <f t="shared" si="31"/>
        <v>51300.774949999999</v>
      </c>
      <c r="CU19" s="1788">
        <f t="shared" si="31"/>
        <v>7758.96155</v>
      </c>
      <c r="CV19" s="1788">
        <f t="shared" si="31"/>
        <v>56114.901080000003</v>
      </c>
      <c r="CW19" s="1788">
        <f t="shared" si="31"/>
        <v>14000.513139999999</v>
      </c>
      <c r="CX19" s="1788">
        <f t="shared" si="31"/>
        <v>62812.205650000004</v>
      </c>
      <c r="CY19" s="1788">
        <f t="shared" si="31"/>
        <v>17094.457780000001</v>
      </c>
      <c r="CZ19" s="1788">
        <f t="shared" si="31"/>
        <v>67497.887520000004</v>
      </c>
      <c r="DA19" s="1788">
        <f t="shared" si="31"/>
        <v>20896.524519999999</v>
      </c>
      <c r="DB19" s="1788">
        <f t="shared" si="31"/>
        <v>71385.375579999993</v>
      </c>
      <c r="DC19" s="1788">
        <f t="shared" si="31"/>
        <v>24848.92885</v>
      </c>
      <c r="DD19" s="1788">
        <f t="shared" si="31"/>
        <v>72750.005999999994</v>
      </c>
      <c r="DE19" s="1788">
        <f t="shared" si="31"/>
        <v>32379.564149999998</v>
      </c>
      <c r="DF19" s="1788">
        <f t="shared" si="31"/>
        <v>75753.515640000012</v>
      </c>
      <c r="DG19" s="1788">
        <f t="shared" si="31"/>
        <v>38000.779880000002</v>
      </c>
      <c r="DH19" s="1788">
        <f t="shared" si="31"/>
        <v>78883.770880000011</v>
      </c>
      <c r="DI19" s="1788">
        <f t="shared" si="31"/>
        <v>52597.885399999999</v>
      </c>
      <c r="DJ19" s="1788">
        <f t="shared" si="31"/>
        <v>88283.580530000007</v>
      </c>
      <c r="DK19" s="1788">
        <f t="shared" si="31"/>
        <v>61957.334000000003</v>
      </c>
      <c r="DL19" s="1788">
        <f t="shared" si="31"/>
        <v>92436.9755</v>
      </c>
      <c r="DM19" s="1788">
        <f t="shared" si="31"/>
        <v>68061.364280000009</v>
      </c>
      <c r="DN19" s="1788">
        <f t="shared" si="31"/>
        <v>100737.11676</v>
      </c>
      <c r="DO19" s="1788">
        <f t="shared" si="31"/>
        <v>72678.363270000002</v>
      </c>
      <c r="DP19" s="1788">
        <f t="shared" si="31"/>
        <v>108360.94007</v>
      </c>
      <c r="DQ19" s="1789">
        <f t="shared" si="31"/>
        <v>79370.927169999995</v>
      </c>
      <c r="DR19" s="1790">
        <f t="shared" si="31"/>
        <v>57474.470570000005</v>
      </c>
      <c r="DS19" s="1807">
        <f t="shared" si="31"/>
        <v>3315.0377400000002</v>
      </c>
      <c r="DT19" s="1792">
        <f t="shared" si="31"/>
        <v>63031.962629999995</v>
      </c>
      <c r="DU19" s="1789">
        <f t="shared" si="31"/>
        <v>11316.880000000001</v>
      </c>
      <c r="DV19" s="1790">
        <f t="shared" si="31"/>
        <v>69010.02234000001</v>
      </c>
      <c r="DW19" s="1791">
        <f t="shared" si="31"/>
        <v>17566.1417</v>
      </c>
      <c r="DX19" s="1792">
        <f t="shared" si="31"/>
        <v>74554.244309999995</v>
      </c>
      <c r="DY19" s="1789">
        <f t="shared" si="31"/>
        <v>25646.957709999999</v>
      </c>
      <c r="DZ19" s="1790">
        <f t="shared" ref="DZ19:GK19" si="32">SUM(DZ20:DZ22)</f>
        <v>78283.455489999993</v>
      </c>
      <c r="EA19" s="1791">
        <f t="shared" si="32"/>
        <v>31667.424629999998</v>
      </c>
      <c r="EB19" s="1792">
        <f t="shared" si="32"/>
        <v>81188.42859000001</v>
      </c>
      <c r="EC19" s="1789">
        <f t="shared" si="32"/>
        <v>37711.865109999999</v>
      </c>
      <c r="ED19" s="1790">
        <f t="shared" si="32"/>
        <v>85507.407389999993</v>
      </c>
      <c r="EE19" s="1791">
        <f t="shared" si="32"/>
        <v>43743.779349999997</v>
      </c>
      <c r="EF19" s="1790">
        <f t="shared" si="32"/>
        <v>90024.429459999985</v>
      </c>
      <c r="EG19" s="1793">
        <f t="shared" si="32"/>
        <v>50469.114970000002</v>
      </c>
      <c r="EH19" s="1790">
        <f t="shared" si="32"/>
        <v>99362.015879999992</v>
      </c>
      <c r="EI19" s="1793">
        <f t="shared" si="32"/>
        <v>56341.236720000001</v>
      </c>
      <c r="EJ19" s="1790">
        <f t="shared" si="32"/>
        <v>102896.23169999999</v>
      </c>
      <c r="EK19" s="1793">
        <f t="shared" si="32"/>
        <v>62218.579299999998</v>
      </c>
      <c r="EL19" s="1790">
        <f t="shared" si="32"/>
        <v>113899.70667</v>
      </c>
      <c r="EM19" s="1793">
        <f t="shared" si="32"/>
        <v>66718.112229999999</v>
      </c>
      <c r="EN19" s="1790">
        <f t="shared" si="32"/>
        <v>121325.39498</v>
      </c>
      <c r="EO19" s="1793">
        <f t="shared" si="32"/>
        <v>70951.105909999998</v>
      </c>
      <c r="EP19" s="1790">
        <f t="shared" si="32"/>
        <v>58264.887490000001</v>
      </c>
      <c r="EQ19" s="1793">
        <f t="shared" si="32"/>
        <v>5676.5604899999998</v>
      </c>
      <c r="ER19" s="1790">
        <f t="shared" si="32"/>
        <v>66073.408439999999</v>
      </c>
      <c r="ES19" s="1793">
        <f t="shared" si="32"/>
        <v>11391.756340000002</v>
      </c>
      <c r="ET19" s="1790">
        <f t="shared" si="32"/>
        <v>72347.584730000017</v>
      </c>
      <c r="EU19" s="1793">
        <f t="shared" si="32"/>
        <v>17141.65797</v>
      </c>
      <c r="EV19" s="1790">
        <f t="shared" si="32"/>
        <v>75095.224599999987</v>
      </c>
      <c r="EW19" s="1793">
        <f t="shared" si="32"/>
        <v>22873.089630000002</v>
      </c>
      <c r="EX19" s="1790">
        <f t="shared" si="32"/>
        <v>82006.900949999996</v>
      </c>
      <c r="EY19" s="1793">
        <f t="shared" si="32"/>
        <v>29097.235810000002</v>
      </c>
      <c r="EZ19" s="1790">
        <f t="shared" si="32"/>
        <v>86230.268629999991</v>
      </c>
      <c r="FA19" s="1793">
        <f t="shared" si="32"/>
        <v>35345.65178</v>
      </c>
      <c r="FB19" s="1790">
        <f t="shared" si="32"/>
        <v>91642.57415</v>
      </c>
      <c r="FC19" s="1793">
        <f t="shared" si="32"/>
        <v>41272.525150000001</v>
      </c>
      <c r="FD19" s="1790">
        <f t="shared" si="32"/>
        <v>98299.336039999995</v>
      </c>
      <c r="FE19" s="1793">
        <f t="shared" si="32"/>
        <v>48945.834940000001</v>
      </c>
      <c r="FF19" s="1790">
        <f t="shared" si="32"/>
        <v>107851.44128</v>
      </c>
      <c r="FG19" s="1793">
        <f t="shared" si="32"/>
        <v>55969.834749999995</v>
      </c>
      <c r="FH19" s="1790">
        <f t="shared" si="32"/>
        <v>112818.34257000001</v>
      </c>
      <c r="FI19" s="1793">
        <f t="shared" si="32"/>
        <v>64126.038759999996</v>
      </c>
      <c r="FJ19" s="1790">
        <f t="shared" si="32"/>
        <v>122722.77893</v>
      </c>
      <c r="FK19" s="1793">
        <f t="shared" si="32"/>
        <v>74151.326990000001</v>
      </c>
      <c r="FL19" s="1790">
        <f t="shared" si="32"/>
        <v>132021.74262</v>
      </c>
      <c r="FM19" s="1793">
        <f t="shared" si="32"/>
        <v>83086.649990000005</v>
      </c>
      <c r="FN19" s="1790">
        <f t="shared" si="32"/>
        <v>52738.81990000001</v>
      </c>
      <c r="FO19" s="1793">
        <f t="shared" si="32"/>
        <v>6269.7092500000008</v>
      </c>
      <c r="FP19" s="1790">
        <f t="shared" si="32"/>
        <v>64245.839520000001</v>
      </c>
      <c r="FQ19" s="1793">
        <f t="shared" si="32"/>
        <v>14353.061879999999</v>
      </c>
      <c r="FR19" s="1790">
        <f t="shared" si="32"/>
        <v>70543.719660000002</v>
      </c>
      <c r="FS19" s="1793">
        <f t="shared" si="32"/>
        <v>20423.46471</v>
      </c>
      <c r="FT19" s="1790">
        <f t="shared" si="32"/>
        <v>74147.255000000005</v>
      </c>
      <c r="FU19" s="1793">
        <f t="shared" si="32"/>
        <v>29143.358389999998</v>
      </c>
      <c r="FV19" s="1790">
        <f t="shared" si="32"/>
        <v>80815.908060000002</v>
      </c>
      <c r="FW19" s="1793">
        <f t="shared" si="32"/>
        <v>38087.87485</v>
      </c>
      <c r="FX19" s="1790">
        <f t="shared" si="32"/>
        <v>85525.614350000003</v>
      </c>
      <c r="FY19" s="1793">
        <f t="shared" si="32"/>
        <v>45427.816180000002</v>
      </c>
      <c r="FZ19" s="1790">
        <f t="shared" si="32"/>
        <v>93151.414140000008</v>
      </c>
      <c r="GA19" s="1793">
        <f t="shared" si="32"/>
        <v>54521.129830000005</v>
      </c>
      <c r="GB19" s="1790">
        <f t="shared" si="32"/>
        <v>100696.22474999999</v>
      </c>
      <c r="GC19" s="1793">
        <f t="shared" si="32"/>
        <v>62498.382510000003</v>
      </c>
      <c r="GD19" s="1790">
        <f t="shared" si="32"/>
        <v>103916.33487999999</v>
      </c>
      <c r="GE19" s="1793">
        <f t="shared" si="32"/>
        <v>71255.674549999996</v>
      </c>
      <c r="GF19" s="1790">
        <f t="shared" si="32"/>
        <v>110124.04721</v>
      </c>
      <c r="GG19" s="1793">
        <f t="shared" si="32"/>
        <v>80406.76771</v>
      </c>
      <c r="GH19" s="1790">
        <f t="shared" si="32"/>
        <v>123384.81478999999</v>
      </c>
      <c r="GI19" s="1793">
        <f t="shared" si="32"/>
        <v>88818.401179999986</v>
      </c>
      <c r="GJ19" s="1790">
        <f t="shared" si="32"/>
        <v>133982.21635</v>
      </c>
      <c r="GK19" s="1793">
        <f t="shared" si="32"/>
        <v>97620.669129999995</v>
      </c>
      <c r="GL19" s="1790">
        <f t="shared" ref="GL19:HQ19" si="33">SUM(GL20:GL22)</f>
        <v>59483.902260000003</v>
      </c>
      <c r="GM19" s="1793">
        <f t="shared" si="33"/>
        <v>5020.9840799999993</v>
      </c>
      <c r="GN19" s="1790">
        <f t="shared" si="33"/>
        <v>69692.056360000002</v>
      </c>
      <c r="GO19" s="1793">
        <f t="shared" si="33"/>
        <v>11546.043289999998</v>
      </c>
      <c r="GP19" s="1790">
        <f t="shared" si="33"/>
        <v>77070.740279999998</v>
      </c>
      <c r="GQ19" s="1793">
        <f t="shared" si="33"/>
        <v>17097.041751767007</v>
      </c>
      <c r="GR19" s="1790">
        <f t="shared" si="33"/>
        <v>80560.87</v>
      </c>
      <c r="GS19" s="1793">
        <f t="shared" si="33"/>
        <v>26955.953769999996</v>
      </c>
      <c r="GT19" s="1790">
        <f t="shared" si="33"/>
        <v>88225.541669999991</v>
      </c>
      <c r="GU19" s="1793">
        <f t="shared" si="33"/>
        <v>36735.547149999999</v>
      </c>
      <c r="GV19" s="1790">
        <f t="shared" si="33"/>
        <v>93559.476200000005</v>
      </c>
      <c r="GW19" s="1793">
        <f t="shared" si="33"/>
        <v>43025.226269999992</v>
      </c>
      <c r="GX19" s="1790">
        <f t="shared" si="33"/>
        <v>99291.395000000004</v>
      </c>
      <c r="GY19" s="1793">
        <f t="shared" si="33"/>
        <v>51498.662750000003</v>
      </c>
      <c r="GZ19" s="1790">
        <f t="shared" si="33"/>
        <v>110155.97889</v>
      </c>
      <c r="HA19" s="1793">
        <f t="shared" si="33"/>
        <v>59553.165800000002</v>
      </c>
      <c r="HB19" s="1790">
        <f t="shared" si="33"/>
        <v>115553.03443</v>
      </c>
      <c r="HC19" s="1793">
        <f t="shared" si="33"/>
        <v>66714.453410000002</v>
      </c>
      <c r="HD19" s="1790">
        <f t="shared" si="33"/>
        <v>126302.60145</v>
      </c>
      <c r="HE19" s="1793">
        <f t="shared" si="33"/>
        <v>74935.638550000003</v>
      </c>
      <c r="HF19" s="1790">
        <f t="shared" si="33"/>
        <v>134185.02974</v>
      </c>
      <c r="HG19" s="1793">
        <f t="shared" si="33"/>
        <v>82411.885020000002</v>
      </c>
      <c r="HH19" s="1790">
        <f t="shared" si="33"/>
        <v>146529.04314000002</v>
      </c>
      <c r="HI19" s="1793">
        <f t="shared" si="33"/>
        <v>90371.654559999995</v>
      </c>
      <c r="HJ19" s="1790">
        <f t="shared" si="33"/>
        <v>52740.176040000006</v>
      </c>
      <c r="HK19" s="1793">
        <f t="shared" si="33"/>
        <v>6944.8742600000005</v>
      </c>
      <c r="HL19" s="1790">
        <f t="shared" si="33"/>
        <v>68249.875139999989</v>
      </c>
      <c r="HM19" s="1793">
        <f t="shared" si="33"/>
        <v>14267.04412</v>
      </c>
      <c r="HN19" s="1790">
        <f t="shared" si="33"/>
        <v>75983.78</v>
      </c>
      <c r="HO19" s="1793">
        <f t="shared" si="33"/>
        <v>19031.961749999999</v>
      </c>
      <c r="HP19" s="1790">
        <f t="shared" si="33"/>
        <v>81034.315320000009</v>
      </c>
      <c r="HQ19" s="1793">
        <f t="shared" si="33"/>
        <v>30206.966660000002</v>
      </c>
      <c r="HR19" s="1790">
        <f t="shared" ref="HR19:HS19" si="34">SUM(HR20:HR22)</f>
        <v>88301.877629999988</v>
      </c>
      <c r="HS19" s="1793">
        <f t="shared" si="34"/>
        <v>38242.705779999997</v>
      </c>
      <c r="HT19" s="1790">
        <v>95680.183659999995</v>
      </c>
      <c r="HU19" s="1793">
        <v>46781.9421</v>
      </c>
      <c r="HV19" s="1794" t="s">
        <v>3180</v>
      </c>
    </row>
    <row r="20" spans="1:232" s="1774" customFormat="1" ht="22.5" customHeight="1">
      <c r="A20" s="1795" t="s">
        <v>2304</v>
      </c>
      <c r="B20" s="1796">
        <v>36855.467840000005</v>
      </c>
      <c r="C20" s="1796">
        <v>4223.4009699999997</v>
      </c>
      <c r="D20" s="1796">
        <v>41592.193479999994</v>
      </c>
      <c r="E20" s="1796">
        <v>7453.8695399999997</v>
      </c>
      <c r="F20" s="1796">
        <v>44552.182160000004</v>
      </c>
      <c r="G20" s="1796">
        <v>11513.764770000002</v>
      </c>
      <c r="H20" s="1796">
        <v>47368.419240000003</v>
      </c>
      <c r="I20" s="1796">
        <v>13374.605599999999</v>
      </c>
      <c r="J20" s="1796">
        <v>49480.949919999999</v>
      </c>
      <c r="K20" s="1796">
        <v>17279.188249999999</v>
      </c>
      <c r="L20" s="1796">
        <v>51652.408880000003</v>
      </c>
      <c r="M20" s="1796">
        <v>24676.620870000002</v>
      </c>
      <c r="N20" s="1796">
        <v>54965.031229999993</v>
      </c>
      <c r="O20" s="1796">
        <v>30063.065139999999</v>
      </c>
      <c r="P20" s="1796">
        <v>62634.10916</v>
      </c>
      <c r="Q20" s="1796">
        <v>38342.955590000005</v>
      </c>
      <c r="R20" s="1796">
        <v>64981.929259999997</v>
      </c>
      <c r="S20" s="1796">
        <v>42117.39183</v>
      </c>
      <c r="T20" s="1796">
        <v>68920.698109999998</v>
      </c>
      <c r="U20" s="1796">
        <v>47669.271719999997</v>
      </c>
      <c r="V20" s="1796">
        <v>72091.449909999996</v>
      </c>
      <c r="W20" s="1796">
        <v>50555.007369999999</v>
      </c>
      <c r="X20" s="1796">
        <v>83165.692020000002</v>
      </c>
      <c r="Y20" s="1796">
        <v>53002.789250000002</v>
      </c>
      <c r="Z20" s="1796">
        <v>39815.647560000005</v>
      </c>
      <c r="AA20" s="1796">
        <v>5501.3439989999997</v>
      </c>
      <c r="AB20" s="1796">
        <v>43646.11735</v>
      </c>
      <c r="AC20" s="1796">
        <v>10549.742969999999</v>
      </c>
      <c r="AD20" s="1796">
        <v>47638.961340000002</v>
      </c>
      <c r="AE20" s="1796">
        <v>14682.801039999998</v>
      </c>
      <c r="AF20" s="1796">
        <v>50025.840640000002</v>
      </c>
      <c r="AG20" s="1796">
        <v>21743.686329999997</v>
      </c>
      <c r="AH20" s="1796">
        <v>53221.124510000001</v>
      </c>
      <c r="AI20" s="1796">
        <v>26380.90913</v>
      </c>
      <c r="AJ20" s="1796">
        <v>55231.308799999999</v>
      </c>
      <c r="AK20" s="1796">
        <v>30274.633429999998</v>
      </c>
      <c r="AL20" s="1796">
        <v>58286.213939999994</v>
      </c>
      <c r="AM20" s="1796">
        <v>35357.156360000001</v>
      </c>
      <c r="AN20" s="1796">
        <v>62535.477770000005</v>
      </c>
      <c r="AO20" s="1796">
        <v>40551.54664</v>
      </c>
      <c r="AP20" s="1796">
        <v>64201.595569999998</v>
      </c>
      <c r="AQ20" s="1796">
        <v>44349.687729999998</v>
      </c>
      <c r="AR20" s="1796">
        <v>71106.855249999993</v>
      </c>
      <c r="AS20" s="1796">
        <v>49084.84635</v>
      </c>
      <c r="AT20" s="1796">
        <v>75050.078959999999</v>
      </c>
      <c r="AU20" s="1796">
        <v>55681.897979999994</v>
      </c>
      <c r="AV20" s="1796">
        <v>87057.252340000006</v>
      </c>
      <c r="AW20" s="1796">
        <v>59484.608919999999</v>
      </c>
      <c r="AX20" s="1796">
        <v>45603.760670000003</v>
      </c>
      <c r="AY20" s="1796">
        <v>2042.38777</v>
      </c>
      <c r="AZ20" s="1796">
        <v>52214.416060000003</v>
      </c>
      <c r="BA20" s="1796">
        <v>6823.1878899999992</v>
      </c>
      <c r="BB20" s="1796">
        <v>56920.007789999996</v>
      </c>
      <c r="BC20" s="1796">
        <v>10916.495570000001</v>
      </c>
      <c r="BD20" s="1796">
        <v>60202.252340000006</v>
      </c>
      <c r="BE20" s="1796">
        <v>17102.411329999999</v>
      </c>
      <c r="BF20" s="1796">
        <v>63773.26483</v>
      </c>
      <c r="BG20" s="1796">
        <v>22575.893190000003</v>
      </c>
      <c r="BH20" s="1796">
        <v>65582.287729999996</v>
      </c>
      <c r="BI20" s="1796">
        <v>29014.568859999999</v>
      </c>
      <c r="BJ20" s="1796">
        <v>67850.978480000005</v>
      </c>
      <c r="BK20" s="1796">
        <v>30198.81954</v>
      </c>
      <c r="BL20" s="1796">
        <v>71341.365900000004</v>
      </c>
      <c r="BM20" s="1796">
        <v>38368.316210000005</v>
      </c>
      <c r="BN20" s="1796">
        <v>73200.919330000004</v>
      </c>
      <c r="BO20" s="1796">
        <v>43322.595600000001</v>
      </c>
      <c r="BP20" s="1796">
        <v>80998.588329999999</v>
      </c>
      <c r="BQ20" s="1796">
        <v>49598.184939999999</v>
      </c>
      <c r="BR20" s="1796">
        <v>84867.158660000001</v>
      </c>
      <c r="BS20" s="1796">
        <v>56829.965979999994</v>
      </c>
      <c r="BT20" s="1796">
        <v>95825.485060000006</v>
      </c>
      <c r="BU20" s="1796">
        <v>60492.939599999998</v>
      </c>
      <c r="BV20" s="1796">
        <v>51808.393630000006</v>
      </c>
      <c r="BW20" s="1796">
        <v>5712.2097000000003</v>
      </c>
      <c r="BX20" s="1796">
        <v>57258.143509999994</v>
      </c>
      <c r="BY20" s="1796">
        <v>10033.067570000001</v>
      </c>
      <c r="BZ20" s="1796">
        <v>62525.213899999995</v>
      </c>
      <c r="CA20" s="1796">
        <v>16917.075230000002</v>
      </c>
      <c r="CB20" s="1796">
        <v>66858.9951</v>
      </c>
      <c r="CC20" s="1796">
        <v>23316.247940000001</v>
      </c>
      <c r="CD20" s="1796">
        <v>69997.879620000007</v>
      </c>
      <c r="CE20" s="1796">
        <v>30914.457420000002</v>
      </c>
      <c r="CF20" s="1796">
        <v>71799.90615000001</v>
      </c>
      <c r="CG20" s="1796">
        <v>35523.535389999997</v>
      </c>
      <c r="CH20" s="1796">
        <v>74212.756599999993</v>
      </c>
      <c r="CI20" s="1796">
        <v>39280.847289999998</v>
      </c>
      <c r="CJ20" s="1796">
        <v>76767.961779999998</v>
      </c>
      <c r="CK20" s="1796">
        <v>43519.488990000005</v>
      </c>
      <c r="CL20" s="1796">
        <v>78638.838569999993</v>
      </c>
      <c r="CM20" s="1796">
        <v>47250.66893</v>
      </c>
      <c r="CN20" s="1796">
        <v>87387.166540000006</v>
      </c>
      <c r="CO20" s="1796">
        <v>50832.521729999993</v>
      </c>
      <c r="CP20" s="1796">
        <v>90236.1875</v>
      </c>
      <c r="CQ20" s="1796">
        <v>54254.09259</v>
      </c>
      <c r="CR20" s="1796">
        <v>101564.62347000001</v>
      </c>
      <c r="CS20" s="1796">
        <v>67869.50877</v>
      </c>
      <c r="CT20" s="1796">
        <v>51090.430200000003</v>
      </c>
      <c r="CU20" s="1796">
        <v>7752.3820999999998</v>
      </c>
      <c r="CV20" s="1796">
        <v>55666.613340000004</v>
      </c>
      <c r="CW20" s="1796">
        <v>13945.85468</v>
      </c>
      <c r="CX20" s="1796">
        <v>62045.569390000004</v>
      </c>
      <c r="CY20" s="1796">
        <v>17033.912319999999</v>
      </c>
      <c r="CZ20" s="1796">
        <v>66485.35252</v>
      </c>
      <c r="DA20" s="1796">
        <v>20774.32978</v>
      </c>
      <c r="DB20" s="1796">
        <v>70035.058709999998</v>
      </c>
      <c r="DC20" s="1796">
        <v>24687.799429999999</v>
      </c>
      <c r="DD20" s="1796">
        <v>70768.554439999993</v>
      </c>
      <c r="DE20" s="1796">
        <v>32196.335789999997</v>
      </c>
      <c r="DF20" s="1796">
        <v>72907.537680000009</v>
      </c>
      <c r="DG20" s="1796">
        <v>37807.230450000003</v>
      </c>
      <c r="DH20" s="1796">
        <v>75354.636760000009</v>
      </c>
      <c r="DI20" s="1796">
        <v>52394.136930000001</v>
      </c>
      <c r="DJ20" s="1796">
        <v>83739.761719999995</v>
      </c>
      <c r="DK20" s="1796">
        <v>61670.384310000001</v>
      </c>
      <c r="DL20" s="1796">
        <v>87470.02347</v>
      </c>
      <c r="DM20" s="1796">
        <v>67722.849260000003</v>
      </c>
      <c r="DN20" s="1796">
        <v>95394.634080000003</v>
      </c>
      <c r="DO20" s="1796">
        <v>72325.116320000001</v>
      </c>
      <c r="DP20" s="1796">
        <v>102649.39958</v>
      </c>
      <c r="DQ20" s="1797">
        <v>78944.396659999999</v>
      </c>
      <c r="DR20" s="1798">
        <v>57123.202160000001</v>
      </c>
      <c r="DS20" s="1808">
        <v>3242.2952100000002</v>
      </c>
      <c r="DT20" s="1800">
        <v>62343.875829999997</v>
      </c>
      <c r="DU20" s="1797">
        <v>11208.108260000001</v>
      </c>
      <c r="DV20" s="1798">
        <v>67850.442890000006</v>
      </c>
      <c r="DW20" s="1799">
        <v>17432.849689999999</v>
      </c>
      <c r="DX20" s="1800">
        <v>72792.863089999999</v>
      </c>
      <c r="DY20" s="1797">
        <v>25484.07243</v>
      </c>
      <c r="DZ20" s="1798">
        <v>75804.024479999993</v>
      </c>
      <c r="EA20" s="1799">
        <v>31436.631300000001</v>
      </c>
      <c r="EB20" s="1800">
        <v>78107.65453</v>
      </c>
      <c r="EC20" s="1797">
        <v>37391.459439999999</v>
      </c>
      <c r="ED20" s="1798">
        <v>81341.680429999993</v>
      </c>
      <c r="EE20" s="1799">
        <v>43342.975619999997</v>
      </c>
      <c r="EF20" s="1798">
        <v>84785.351039999994</v>
      </c>
      <c r="EG20" s="1799">
        <v>50038.000110000001</v>
      </c>
      <c r="EH20" s="1800">
        <v>93074.326220000003</v>
      </c>
      <c r="EI20" s="1799">
        <v>55867.988169999997</v>
      </c>
      <c r="EJ20" s="1800">
        <v>95764.073699999994</v>
      </c>
      <c r="EK20" s="1799">
        <v>61716.063529999999</v>
      </c>
      <c r="EL20" s="1798">
        <v>105546.56829</v>
      </c>
      <c r="EM20" s="1801">
        <v>66127.603069999997</v>
      </c>
      <c r="EN20" s="1798">
        <v>112260.04118</v>
      </c>
      <c r="EO20" s="1801">
        <v>70222.080130000002</v>
      </c>
      <c r="EP20" s="1798">
        <v>57682.179179999999</v>
      </c>
      <c r="EQ20" s="1801">
        <v>5664.7486699999999</v>
      </c>
      <c r="ER20" s="1798">
        <v>64871.050380000001</v>
      </c>
      <c r="ES20" s="1801">
        <v>11308.24567</v>
      </c>
      <c r="ET20" s="1798">
        <v>70543.691990000007</v>
      </c>
      <c r="EU20" s="1801">
        <v>17040.8344</v>
      </c>
      <c r="EV20" s="1798">
        <v>72618.536999999997</v>
      </c>
      <c r="EW20" s="1801">
        <v>22747.871869999999</v>
      </c>
      <c r="EX20" s="1798">
        <v>78222.003649999999</v>
      </c>
      <c r="EY20" s="1801">
        <v>28923.035820000001</v>
      </c>
      <c r="EZ20" s="1798">
        <v>81608.043849999987</v>
      </c>
      <c r="FA20" s="1801">
        <v>35145.801380000004</v>
      </c>
      <c r="FB20" s="1798">
        <v>85651.199040000007</v>
      </c>
      <c r="FC20" s="1801">
        <v>41029.689469999998</v>
      </c>
      <c r="FD20" s="1798">
        <v>91226.537259999997</v>
      </c>
      <c r="FE20" s="1801">
        <v>48633.073960000002</v>
      </c>
      <c r="FF20" s="1798">
        <v>99800.09564</v>
      </c>
      <c r="FG20" s="1801">
        <v>55541.673259999996</v>
      </c>
      <c r="FH20" s="1798">
        <v>103275.73618000001</v>
      </c>
      <c r="FI20" s="1801">
        <v>63662.357889999999</v>
      </c>
      <c r="FJ20" s="1798">
        <v>112547.82079</v>
      </c>
      <c r="FK20" s="1801">
        <v>73497.845560000002</v>
      </c>
      <c r="FL20" s="1798">
        <v>121010.91701</v>
      </c>
      <c r="FM20" s="1801">
        <v>82367.729120000004</v>
      </c>
      <c r="FN20" s="1798">
        <v>52108.096210000003</v>
      </c>
      <c r="FO20" s="1801">
        <v>6233.3559800000003</v>
      </c>
      <c r="FP20" s="1798">
        <v>62933.47337</v>
      </c>
      <c r="FQ20" s="1801">
        <v>14256.17376</v>
      </c>
      <c r="FR20" s="1798">
        <v>68634.600179999994</v>
      </c>
      <c r="FS20" s="1801">
        <v>20262.479729999999</v>
      </c>
      <c r="FT20" s="1798">
        <v>71512.772570000001</v>
      </c>
      <c r="FU20" s="1801">
        <v>28935.530579999999</v>
      </c>
      <c r="FV20" s="1798">
        <v>77129.043019999997</v>
      </c>
      <c r="FW20" s="1801">
        <v>37748.643810000001</v>
      </c>
      <c r="FX20" s="1798">
        <v>81045.480660000001</v>
      </c>
      <c r="FY20" s="1801">
        <v>45059.750970000001</v>
      </c>
      <c r="FZ20" s="1798">
        <v>87146.068920000005</v>
      </c>
      <c r="GA20" s="1801">
        <f>54110.48847+24.24328</f>
        <v>54134.731749999999</v>
      </c>
      <c r="GB20" s="1798">
        <v>93624.766789999994</v>
      </c>
      <c r="GC20" s="1801">
        <v>62082.367409999999</v>
      </c>
      <c r="GD20" s="1798">
        <v>96098.261799999993</v>
      </c>
      <c r="GE20" s="1801">
        <v>70760.612800000003</v>
      </c>
      <c r="GF20" s="1798">
        <v>100958.09883</v>
      </c>
      <c r="GG20" s="1801">
        <v>79860.565019999995</v>
      </c>
      <c r="GH20" s="1798">
        <v>113664.63903999999</v>
      </c>
      <c r="GI20" s="1801">
        <v>88094.620989999996</v>
      </c>
      <c r="GJ20" s="1798">
        <v>123087.07283999999</v>
      </c>
      <c r="GK20" s="1801">
        <v>96642.019209999999</v>
      </c>
      <c r="GL20" s="1798">
        <v>58313.244319999998</v>
      </c>
      <c r="GM20" s="1801">
        <v>4971.3518299999996</v>
      </c>
      <c r="GN20" s="1798">
        <v>67947.686289999998</v>
      </c>
      <c r="GO20" s="1801">
        <v>11486.213019999999</v>
      </c>
      <c r="GP20" s="1798">
        <v>74487.827619999996</v>
      </c>
      <c r="GQ20" s="1801">
        <v>16949.377210000006</v>
      </c>
      <c r="GR20" s="1798">
        <v>77003.543099999995</v>
      </c>
      <c r="GS20" s="1801">
        <v>26787.1361</v>
      </c>
      <c r="GT20" s="1798">
        <v>83729.521089999995</v>
      </c>
      <c r="GU20" s="1801">
        <v>36427.605360000001</v>
      </c>
      <c r="GV20" s="1798">
        <v>88359.29204</v>
      </c>
      <c r="GW20" s="1801">
        <v>42510.436029999997</v>
      </c>
      <c r="GX20" s="1798">
        <v>91646.87096</v>
      </c>
      <c r="GY20" s="1801">
        <v>50820.038330000003</v>
      </c>
      <c r="GZ20" s="1798">
        <v>101368.23705</v>
      </c>
      <c r="HA20" s="1801">
        <v>58846.862670000002</v>
      </c>
      <c r="HB20" s="1798">
        <v>105017.42187999999</v>
      </c>
      <c r="HC20" s="1801">
        <v>65965.94571</v>
      </c>
      <c r="HD20" s="1798">
        <v>114810.4841</v>
      </c>
      <c r="HE20" s="1801">
        <v>74006.042600000001</v>
      </c>
      <c r="HF20" s="1798">
        <v>121900.83671</v>
      </c>
      <c r="HG20" s="1801">
        <v>81311.927960000001</v>
      </c>
      <c r="HH20" s="1798">
        <v>133025.62963000001</v>
      </c>
      <c r="HI20" s="1801">
        <v>89204.155249999996</v>
      </c>
      <c r="HJ20" s="1798">
        <v>51668.901080000003</v>
      </c>
      <c r="HK20" s="1801">
        <v>6853.7156100000002</v>
      </c>
      <c r="HL20" s="1798">
        <v>65766.489939999999</v>
      </c>
      <c r="HM20" s="1801">
        <v>13879.19641</v>
      </c>
      <c r="HN20" s="1798">
        <v>72517.837509999998</v>
      </c>
      <c r="HO20" s="1801">
        <v>18615.524000000001</v>
      </c>
      <c r="HP20" s="1798">
        <v>75736.270090000005</v>
      </c>
      <c r="HQ20" s="1801">
        <v>29752.06856</v>
      </c>
      <c r="HR20" s="1798">
        <v>81590.994149999999</v>
      </c>
      <c r="HS20" s="1801">
        <v>37626.483119999997</v>
      </c>
      <c r="HT20" s="1798">
        <v>87334.815189999994</v>
      </c>
      <c r="HU20" s="1801">
        <v>46088.778359999997</v>
      </c>
      <c r="HV20" s="1802" t="s">
        <v>3413</v>
      </c>
    </row>
    <row r="21" spans="1:232" s="1774" customFormat="1" ht="22.5" customHeight="1">
      <c r="A21" s="1809" t="s">
        <v>2303</v>
      </c>
      <c r="B21" s="1796">
        <v>148.82676000000001</v>
      </c>
      <c r="C21" s="1796">
        <v>4.7051800000000004</v>
      </c>
      <c r="D21" s="1796">
        <v>325.29307</v>
      </c>
      <c r="E21" s="1796">
        <v>27.50065</v>
      </c>
      <c r="F21" s="1796">
        <v>509.81162999999992</v>
      </c>
      <c r="G21" s="1796">
        <v>53.135580000000004</v>
      </c>
      <c r="H21" s="1796">
        <v>705.80830000000003</v>
      </c>
      <c r="I21" s="1796">
        <v>71.145589999999999</v>
      </c>
      <c r="J21" s="1796">
        <v>991.27355</v>
      </c>
      <c r="K21" s="1796">
        <v>117.59075</v>
      </c>
      <c r="L21" s="1796">
        <v>1323.8947599999999</v>
      </c>
      <c r="M21" s="1796">
        <v>129.08305000000001</v>
      </c>
      <c r="N21" s="1796">
        <v>1840.7411299999999</v>
      </c>
      <c r="O21" s="1796">
        <v>146.25514000000001</v>
      </c>
      <c r="P21" s="1796">
        <v>2307.6070299999997</v>
      </c>
      <c r="Q21" s="1796">
        <v>182.02610999999999</v>
      </c>
      <c r="R21" s="1796">
        <v>2507.6607799999997</v>
      </c>
      <c r="S21" s="1796">
        <v>289.49996000000004</v>
      </c>
      <c r="T21" s="1796">
        <v>2750.8502400000002</v>
      </c>
      <c r="U21" s="1796">
        <v>329.20625999999999</v>
      </c>
      <c r="V21" s="1796">
        <v>2943.3612000000003</v>
      </c>
      <c r="W21" s="1796">
        <v>361.02526</v>
      </c>
      <c r="X21" s="1796">
        <v>3100.1843200000003</v>
      </c>
      <c r="Y21" s="1796">
        <v>375.59332000000001</v>
      </c>
      <c r="Z21" s="1796">
        <v>215.6061</v>
      </c>
      <c r="AA21" s="1796">
        <v>11.681940000000001</v>
      </c>
      <c r="AB21" s="1796">
        <v>429.28646000000003</v>
      </c>
      <c r="AC21" s="1796">
        <v>15.478569999999999</v>
      </c>
      <c r="AD21" s="1796">
        <v>636.04300000000001</v>
      </c>
      <c r="AE21" s="1796">
        <v>37.005000000000003</v>
      </c>
      <c r="AF21" s="1796">
        <v>887.69011999999998</v>
      </c>
      <c r="AG21" s="1796">
        <v>292.81799999999998</v>
      </c>
      <c r="AH21" s="1796">
        <v>1211.1149800000001</v>
      </c>
      <c r="AI21" s="1796">
        <v>361.61041999999998</v>
      </c>
      <c r="AJ21" s="1796">
        <v>1643.68319</v>
      </c>
      <c r="AK21" s="1796">
        <v>456.09717000000001</v>
      </c>
      <c r="AL21" s="1796">
        <v>2223.5200199999999</v>
      </c>
      <c r="AM21" s="1796">
        <v>462.34318999999999</v>
      </c>
      <c r="AN21" s="1796">
        <v>2730.8883999999998</v>
      </c>
      <c r="AO21" s="1796">
        <v>533.15953000000002</v>
      </c>
      <c r="AP21" s="1796">
        <v>3061.1123499999999</v>
      </c>
      <c r="AQ21" s="1796">
        <v>603.25081999999998</v>
      </c>
      <c r="AR21" s="1796">
        <v>3350.7155899999998</v>
      </c>
      <c r="AS21" s="1796">
        <v>676.67769999999996</v>
      </c>
      <c r="AT21" s="1796">
        <v>3604.8102799999997</v>
      </c>
      <c r="AU21" s="1796">
        <v>687.94005000000004</v>
      </c>
      <c r="AV21" s="1796">
        <v>3758.14939</v>
      </c>
      <c r="AW21" s="1796">
        <v>749.50563999999997</v>
      </c>
      <c r="AX21" s="1796">
        <v>251.19410999999999</v>
      </c>
      <c r="AY21" s="1796">
        <v>11.15311</v>
      </c>
      <c r="AZ21" s="1796">
        <v>502.67162999999999</v>
      </c>
      <c r="BA21" s="1796">
        <v>24.241319999999998</v>
      </c>
      <c r="BB21" s="1796">
        <v>738.19452999999999</v>
      </c>
      <c r="BC21" s="1796">
        <v>41.537430000000001</v>
      </c>
      <c r="BD21" s="1796">
        <v>1029.89688</v>
      </c>
      <c r="BE21" s="1796">
        <v>110.10025</v>
      </c>
      <c r="BF21" s="1796">
        <v>1427.39068</v>
      </c>
      <c r="BG21" s="1796">
        <v>153.19175000000001</v>
      </c>
      <c r="BH21" s="1796">
        <v>1934.1501499999999</v>
      </c>
      <c r="BI21" s="1796">
        <v>196.28095000000002</v>
      </c>
      <c r="BJ21" s="1796">
        <v>2645.6152700000002</v>
      </c>
      <c r="BK21" s="1796">
        <v>257.39503000000002</v>
      </c>
      <c r="BL21" s="1796">
        <v>3305.7902100000001</v>
      </c>
      <c r="BM21" s="1796">
        <v>285.30090000000001</v>
      </c>
      <c r="BN21" s="1796">
        <v>3796.9089900000004</v>
      </c>
      <c r="BO21" s="1796">
        <v>359.09926000000002</v>
      </c>
      <c r="BP21" s="1796">
        <v>4166.2618700000003</v>
      </c>
      <c r="BQ21" s="1796">
        <v>436.55930000000001</v>
      </c>
      <c r="BR21" s="1796">
        <v>4523.7093399999994</v>
      </c>
      <c r="BS21" s="1796">
        <v>472.68445000000003</v>
      </c>
      <c r="BT21" s="1796">
        <v>4878.0391</v>
      </c>
      <c r="BU21" s="1796">
        <v>481.90397999999999</v>
      </c>
      <c r="BV21" s="1796">
        <v>309.43208000000004</v>
      </c>
      <c r="BW21" s="1796">
        <v>43.024639999999998</v>
      </c>
      <c r="BX21" s="1796">
        <v>655.46632</v>
      </c>
      <c r="BY21" s="1796">
        <v>72.358789999999999</v>
      </c>
      <c r="BZ21" s="1796">
        <v>769.93795999999998</v>
      </c>
      <c r="CA21" s="1796">
        <v>98.505870000000002</v>
      </c>
      <c r="CB21" s="1796">
        <v>782.82281</v>
      </c>
      <c r="CC21" s="1796">
        <v>188.25433999999998</v>
      </c>
      <c r="CD21" s="1796">
        <v>794.46735999999999</v>
      </c>
      <c r="CE21" s="1796">
        <v>219.53742000000003</v>
      </c>
      <c r="CF21" s="1796">
        <v>793.49123999999995</v>
      </c>
      <c r="CG21" s="1796">
        <v>228.99280999999999</v>
      </c>
      <c r="CH21" s="1796">
        <v>852.97125000000005</v>
      </c>
      <c r="CI21" s="1796">
        <v>235.43929</v>
      </c>
      <c r="CJ21" s="1796">
        <v>991.46607999999992</v>
      </c>
      <c r="CK21" s="1796">
        <v>266.00887999999998</v>
      </c>
      <c r="CL21" s="1796">
        <v>1161.7506000000001</v>
      </c>
      <c r="CM21" s="1796">
        <v>275.48809999999997</v>
      </c>
      <c r="CN21" s="1796">
        <v>1276.6858400000001</v>
      </c>
      <c r="CO21" s="1796">
        <v>280.76053000000002</v>
      </c>
      <c r="CP21" s="1796">
        <v>1333.1001799999999</v>
      </c>
      <c r="CQ21" s="1796">
        <v>281.36799999999999</v>
      </c>
      <c r="CR21" s="1796">
        <v>1416.05008</v>
      </c>
      <c r="CS21" s="1796">
        <v>307.68601000000001</v>
      </c>
      <c r="CT21" s="1796">
        <v>103.94686</v>
      </c>
      <c r="CU21" s="1796">
        <v>2.4013200000000001</v>
      </c>
      <c r="CV21" s="1796">
        <v>214.99106</v>
      </c>
      <c r="CW21" s="1796">
        <v>13.411530000000001</v>
      </c>
      <c r="CX21" s="1796">
        <v>330.22353999999996</v>
      </c>
      <c r="CY21" s="1796">
        <v>13.411530000000001</v>
      </c>
      <c r="CZ21" s="1796">
        <v>467.06016999999997</v>
      </c>
      <c r="DA21" s="1796">
        <v>38.060809999999996</v>
      </c>
      <c r="DB21" s="1796">
        <v>602.57673</v>
      </c>
      <c r="DC21" s="1796">
        <v>73.315490000000011</v>
      </c>
      <c r="DD21" s="1796">
        <v>829.31002000000001</v>
      </c>
      <c r="DE21" s="1796">
        <v>88.934429999999992</v>
      </c>
      <c r="DF21" s="1796">
        <v>1308.9730099999999</v>
      </c>
      <c r="DG21" s="1796">
        <v>95.155500000000004</v>
      </c>
      <c r="DH21" s="1796">
        <v>1868.0806699999998</v>
      </c>
      <c r="DI21" s="1796">
        <v>101.99454</v>
      </c>
      <c r="DJ21" s="1796">
        <v>2295.0023799999999</v>
      </c>
      <c r="DK21" s="1796">
        <v>133.02167</v>
      </c>
      <c r="DL21" s="1796">
        <v>2557.0192099999999</v>
      </c>
      <c r="DM21" s="1796">
        <v>155.84827999999999</v>
      </c>
      <c r="DN21" s="1796">
        <v>2773.8145100000002</v>
      </c>
      <c r="DO21" s="1796">
        <v>162.13843</v>
      </c>
      <c r="DP21" s="1796">
        <v>2963.7100399999999</v>
      </c>
      <c r="DQ21" s="1797">
        <v>229.45199</v>
      </c>
      <c r="DR21" s="1798">
        <v>201.46573000000001</v>
      </c>
      <c r="DS21" s="1799">
        <v>0.55259999999999998</v>
      </c>
      <c r="DT21" s="1800">
        <v>385.02166</v>
      </c>
      <c r="DU21" s="1797">
        <v>9.3350299999999997</v>
      </c>
      <c r="DV21" s="1798">
        <v>627.14044000000001</v>
      </c>
      <c r="DW21" s="1799">
        <v>25.57244</v>
      </c>
      <c r="DX21" s="1800">
        <v>949.45851000000005</v>
      </c>
      <c r="DY21" s="1797">
        <v>37.633980000000001</v>
      </c>
      <c r="DZ21" s="1798">
        <v>1484.5909799999999</v>
      </c>
      <c r="EA21" s="1799">
        <v>100.33129</v>
      </c>
      <c r="EB21" s="1800">
        <v>1857.03629</v>
      </c>
      <c r="EC21" s="1797">
        <v>181.19983999999999</v>
      </c>
      <c r="ED21" s="1798">
        <v>2610.2428300000001</v>
      </c>
      <c r="EE21" s="1799">
        <v>226.04856000000001</v>
      </c>
      <c r="EF21" s="1798">
        <v>3407.8195000000001</v>
      </c>
      <c r="EG21" s="1799">
        <v>251.36682999999999</v>
      </c>
      <c r="EH21" s="1800">
        <v>3944.4822800000002</v>
      </c>
      <c r="EI21" s="1799">
        <v>284.74671999999998</v>
      </c>
      <c r="EJ21" s="1800">
        <v>4374.2649600000004</v>
      </c>
      <c r="EK21" s="1799">
        <v>306.55871999999999</v>
      </c>
      <c r="EL21" s="1798">
        <v>4768.5699100000002</v>
      </c>
      <c r="EM21" s="1801">
        <v>380.61676</v>
      </c>
      <c r="EN21" s="1798">
        <v>5173.85419</v>
      </c>
      <c r="EO21" s="1801">
        <v>509.69922000000003</v>
      </c>
      <c r="EP21" s="1798">
        <v>371.1748</v>
      </c>
      <c r="EQ21" s="1801">
        <v>8.0367899999999999</v>
      </c>
      <c r="ER21" s="1798">
        <v>762.78761999999995</v>
      </c>
      <c r="ES21" s="1801">
        <v>61.974910000000001</v>
      </c>
      <c r="ET21" s="1798">
        <v>1148.1283699999999</v>
      </c>
      <c r="EU21" s="1801">
        <v>67.895169999999993</v>
      </c>
      <c r="EV21" s="1798">
        <v>1559.3200999999999</v>
      </c>
      <c r="EW21" s="1801">
        <v>84.431960000000004</v>
      </c>
      <c r="EX21" s="1798">
        <v>2171.50695</v>
      </c>
      <c r="EY21" s="1801">
        <v>103.24786</v>
      </c>
      <c r="EZ21" s="1798">
        <v>2736.22354</v>
      </c>
      <c r="FA21" s="1801">
        <v>116.17917999999999</v>
      </c>
      <c r="FB21" s="1798">
        <v>3721.63033</v>
      </c>
      <c r="FC21" s="1801">
        <v>151.78257000000002</v>
      </c>
      <c r="FD21" s="1798">
        <v>4503.56466</v>
      </c>
      <c r="FE21" s="1801">
        <v>190.90546000000001</v>
      </c>
      <c r="FF21" s="1798">
        <v>4917.5642099999995</v>
      </c>
      <c r="FG21" s="1801">
        <v>292.42399999999998</v>
      </c>
      <c r="FH21" s="1798">
        <v>5290.7333399999998</v>
      </c>
      <c r="FI21" s="1801">
        <v>314.45042999999998</v>
      </c>
      <c r="FJ21" s="1798">
        <v>5641.62</v>
      </c>
      <c r="FK21" s="1801">
        <v>488.50664</v>
      </c>
      <c r="FL21" s="1798">
        <v>6022.2288899999994</v>
      </c>
      <c r="FM21" s="1801">
        <v>543.24384999999995</v>
      </c>
      <c r="FN21" s="1798">
        <v>326.07906000000003</v>
      </c>
      <c r="FO21" s="1801">
        <v>28.421209999999999</v>
      </c>
      <c r="FP21" s="1798">
        <v>692.57231000000002</v>
      </c>
      <c r="FQ21" s="1801">
        <v>77.215729999999994</v>
      </c>
      <c r="FR21" s="1798">
        <v>983.29737999999998</v>
      </c>
      <c r="FS21" s="1801">
        <v>79.991370000000003</v>
      </c>
      <c r="FT21" s="1798">
        <v>1382.51513</v>
      </c>
      <c r="FU21" s="1801">
        <v>84.328249999999997</v>
      </c>
      <c r="FV21" s="1798">
        <v>1956.8891799999999</v>
      </c>
      <c r="FW21" s="1801">
        <v>111.31321</v>
      </c>
      <c r="FX21" s="1798">
        <v>2437.5541800000001</v>
      </c>
      <c r="FY21" s="1801">
        <v>136.83546999999999</v>
      </c>
      <c r="FZ21" s="1798">
        <v>3314.1248500000002</v>
      </c>
      <c r="GA21" s="1801">
        <f>150.79711+0.16073</f>
        <v>150.95784</v>
      </c>
      <c r="GB21" s="1798">
        <v>4098.0801899999997</v>
      </c>
      <c r="GC21" s="1801">
        <v>180.57486</v>
      </c>
      <c r="GD21" s="1798">
        <v>4544.9960000000001</v>
      </c>
      <c r="GE21" s="1801">
        <v>249.52479</v>
      </c>
      <c r="GF21" s="1798">
        <v>4962.6562800000002</v>
      </c>
      <c r="GG21" s="1801">
        <v>299.47618999999997</v>
      </c>
      <c r="GH21" s="1798">
        <v>5280.9005200000001</v>
      </c>
      <c r="GI21" s="1801">
        <v>400.38229999999999</v>
      </c>
      <c r="GJ21" s="1798">
        <v>5579.4660899999999</v>
      </c>
      <c r="GK21" s="1801">
        <v>650.03945999999996</v>
      </c>
      <c r="GL21" s="1798">
        <v>346.86031000000003</v>
      </c>
      <c r="GM21" s="1801">
        <v>49.632249999999999</v>
      </c>
      <c r="GN21" s="1798">
        <v>671.37834999999995</v>
      </c>
      <c r="GO21" s="1801">
        <v>53.365090000000002</v>
      </c>
      <c r="GP21" s="1798">
        <v>975.13514000000123</v>
      </c>
      <c r="GQ21" s="1801">
        <v>70.285121766999978</v>
      </c>
      <c r="GR21" s="1798">
        <v>1394.0656300000001</v>
      </c>
      <c r="GS21" s="1801">
        <v>84.721980000000002</v>
      </c>
      <c r="GT21" s="1798">
        <v>1825.1739500000001</v>
      </c>
      <c r="GU21" s="1801">
        <v>176.61087000000001</v>
      </c>
      <c r="GV21" s="1798">
        <v>2300.7849999999999</v>
      </c>
      <c r="GW21" s="1801">
        <v>265.71983999999998</v>
      </c>
      <c r="GX21" s="1798">
        <v>4002.4362999999998</v>
      </c>
      <c r="GY21" s="1801">
        <v>376.02879000000001</v>
      </c>
      <c r="GZ21" s="1798">
        <v>4462.3848600000001</v>
      </c>
      <c r="HA21" s="1801">
        <v>399.32162</v>
      </c>
      <c r="HB21" s="1798">
        <v>4807.9514300000001</v>
      </c>
      <c r="HC21" s="1801">
        <v>428.60579000000001</v>
      </c>
      <c r="HD21" s="1798">
        <v>5245.3589099999999</v>
      </c>
      <c r="HE21" s="1801">
        <v>545.12753999999995</v>
      </c>
      <c r="HF21" s="1798">
        <v>5574.2482200000004</v>
      </c>
      <c r="HG21" s="1801">
        <v>667.72905000000003</v>
      </c>
      <c r="HH21" s="1798">
        <v>5944.6969799999997</v>
      </c>
      <c r="HI21" s="1801">
        <v>730.73576000000003</v>
      </c>
      <c r="HJ21" s="1798">
        <v>624.29121999999995</v>
      </c>
      <c r="HK21" s="1801">
        <v>34.146560000000001</v>
      </c>
      <c r="HL21" s="1798">
        <v>1209.7592299999999</v>
      </c>
      <c r="HM21" s="1801">
        <v>322.11527999999998</v>
      </c>
      <c r="HN21" s="1798">
        <v>1738.4430400000001</v>
      </c>
      <c r="HO21" s="1801">
        <v>346.78116999999997</v>
      </c>
      <c r="HP21" s="1798">
        <v>2483.5014200000001</v>
      </c>
      <c r="HQ21" s="1801">
        <v>372.94522000000001</v>
      </c>
      <c r="HR21" s="1798">
        <v>3204.38969</v>
      </c>
      <c r="HS21" s="1801">
        <v>498.63589000000002</v>
      </c>
      <c r="HT21" s="1798">
        <v>4305.6939899999998</v>
      </c>
      <c r="HU21" s="1801">
        <v>511.4282</v>
      </c>
      <c r="HV21" s="1810" t="s">
        <v>3181</v>
      </c>
    </row>
    <row r="22" spans="1:232" s="1774" customFormat="1" ht="22.5" customHeight="1">
      <c r="A22" s="1795" t="s">
        <v>2302</v>
      </c>
      <c r="B22" s="1796">
        <v>367.81779999999998</v>
      </c>
      <c r="C22" s="1796">
        <v>20.692610000000002</v>
      </c>
      <c r="D22" s="1796">
        <v>666.02304000000004</v>
      </c>
      <c r="E22" s="1796">
        <v>56.176339999999996</v>
      </c>
      <c r="F22" s="1796">
        <v>909.45472999999993</v>
      </c>
      <c r="G22" s="1796">
        <v>107.37833999999999</v>
      </c>
      <c r="H22" s="1796">
        <v>1121.00549</v>
      </c>
      <c r="I22" s="1796">
        <v>206.2595</v>
      </c>
      <c r="J22" s="1796">
        <v>1710.6653100000001</v>
      </c>
      <c r="K22" s="1796">
        <v>204.4365</v>
      </c>
      <c r="L22" s="1796">
        <v>2028.92724</v>
      </c>
      <c r="M22" s="1796">
        <v>230.28554</v>
      </c>
      <c r="N22" s="1796">
        <v>2342.7371800000001</v>
      </c>
      <c r="O22" s="1796">
        <v>304.18314000000004</v>
      </c>
      <c r="P22" s="1796">
        <v>2677.12464</v>
      </c>
      <c r="Q22" s="1796">
        <v>317.82914</v>
      </c>
      <c r="R22" s="1796">
        <v>3097.7746499999998</v>
      </c>
      <c r="S22" s="1796">
        <v>364.96577000000002</v>
      </c>
      <c r="T22" s="1796">
        <v>3548.4917099999998</v>
      </c>
      <c r="U22" s="1796">
        <v>389.06677000000002</v>
      </c>
      <c r="V22" s="1796">
        <v>3778.71857</v>
      </c>
      <c r="W22" s="1796">
        <v>408.75877000000003</v>
      </c>
      <c r="X22" s="1796">
        <v>4272.6571299999996</v>
      </c>
      <c r="Y22" s="1796">
        <v>451.79376999999999</v>
      </c>
      <c r="Z22" s="1796">
        <v>177.87010999999998</v>
      </c>
      <c r="AA22" s="1796">
        <v>9.90991</v>
      </c>
      <c r="AB22" s="1796">
        <v>428.85897999999997</v>
      </c>
      <c r="AC22" s="1796">
        <v>35.297910000000002</v>
      </c>
      <c r="AD22" s="1796">
        <v>610.58687999999995</v>
      </c>
      <c r="AE22" s="1796">
        <v>50.554910000000007</v>
      </c>
      <c r="AF22" s="1796">
        <v>802.4438100000001</v>
      </c>
      <c r="AG22" s="1796">
        <v>85.164910000000006</v>
      </c>
      <c r="AH22" s="1796">
        <v>1243.3</v>
      </c>
      <c r="AI22" s="1796">
        <v>107.07491</v>
      </c>
      <c r="AJ22" s="1796">
        <v>1557.9589699999999</v>
      </c>
      <c r="AK22" s="1796">
        <v>148.29991000000001</v>
      </c>
      <c r="AL22" s="1796">
        <v>1736.6483599999999</v>
      </c>
      <c r="AM22" s="1796">
        <v>152.80491000000001</v>
      </c>
      <c r="AN22" s="1796">
        <v>2064.9647300000001</v>
      </c>
      <c r="AO22" s="1796">
        <v>187.33356000000001</v>
      </c>
      <c r="AP22" s="1796">
        <v>2536.0867000000003</v>
      </c>
      <c r="AQ22" s="1796">
        <v>218.84112999999999</v>
      </c>
      <c r="AR22" s="1796">
        <v>2733.42146</v>
      </c>
      <c r="AS22" s="1796">
        <v>247.51273</v>
      </c>
      <c r="AT22" s="1796">
        <v>3089.24701</v>
      </c>
      <c r="AU22" s="1796">
        <v>280.60462000000001</v>
      </c>
      <c r="AV22" s="1796">
        <v>3299.9067099999997</v>
      </c>
      <c r="AW22" s="1796">
        <v>322.83415000000002</v>
      </c>
      <c r="AX22" s="1796">
        <v>150.89749</v>
      </c>
      <c r="AY22" s="1796">
        <v>8.4062400000000004</v>
      </c>
      <c r="AZ22" s="1796">
        <v>424.76340999999996</v>
      </c>
      <c r="BA22" s="1796">
        <v>21.706240000000001</v>
      </c>
      <c r="BB22" s="1796">
        <v>697.08933999999999</v>
      </c>
      <c r="BC22" s="1796">
        <v>55.126239999999996</v>
      </c>
      <c r="BD22" s="1796">
        <v>761.79575</v>
      </c>
      <c r="BE22" s="1796">
        <v>86.296240000000012</v>
      </c>
      <c r="BF22" s="1796">
        <v>1008.68157</v>
      </c>
      <c r="BG22" s="1796">
        <v>122.78111</v>
      </c>
      <c r="BH22" s="1796">
        <v>1222.06051</v>
      </c>
      <c r="BI22" s="1796">
        <v>138.68455</v>
      </c>
      <c r="BJ22" s="1796">
        <v>1597.5301200000001</v>
      </c>
      <c r="BK22" s="1796">
        <v>189.22029000000001</v>
      </c>
      <c r="BL22" s="1796">
        <v>1856.34707</v>
      </c>
      <c r="BM22" s="1796">
        <v>218.73029</v>
      </c>
      <c r="BN22" s="1796">
        <v>2466.4289900000003</v>
      </c>
      <c r="BO22" s="1796">
        <v>266.16629</v>
      </c>
      <c r="BP22" s="1796">
        <v>2730.2401500000001</v>
      </c>
      <c r="BQ22" s="1796">
        <v>316.79428999999999</v>
      </c>
      <c r="BR22" s="1796">
        <v>3093.8230800000001</v>
      </c>
      <c r="BS22" s="1796">
        <v>363.01078999999999</v>
      </c>
      <c r="BT22" s="1796">
        <v>3416.3571400000001</v>
      </c>
      <c r="BU22" s="1796">
        <v>443.67675000000003</v>
      </c>
      <c r="BV22" s="1796">
        <v>194.87442999999999</v>
      </c>
      <c r="BW22" s="1796">
        <v>15.035</v>
      </c>
      <c r="BX22" s="1796">
        <v>623.17760999999996</v>
      </c>
      <c r="BY22" s="1796">
        <v>23.463000000000001</v>
      </c>
      <c r="BZ22" s="1796">
        <v>805.74327000000005</v>
      </c>
      <c r="CA22" s="1796">
        <v>66.894210000000001</v>
      </c>
      <c r="CB22" s="1796">
        <v>907.03390000000002</v>
      </c>
      <c r="CC22" s="1796">
        <v>61.05885</v>
      </c>
      <c r="CD22" s="1796">
        <v>1149.1292900000001</v>
      </c>
      <c r="CE22" s="1796">
        <v>73.562850000000012</v>
      </c>
      <c r="CF22" s="1796">
        <v>1298.53116</v>
      </c>
      <c r="CG22" s="1796">
        <v>87.257149999999996</v>
      </c>
      <c r="CH22" s="1796">
        <v>1502.9093799999998</v>
      </c>
      <c r="CI22" s="1796">
        <v>105.11614999999999</v>
      </c>
      <c r="CJ22" s="1796">
        <v>1645.1372799999999</v>
      </c>
      <c r="CK22" s="1796">
        <v>127.42214999999999</v>
      </c>
      <c r="CL22" s="1796">
        <v>2244.8064599999998</v>
      </c>
      <c r="CM22" s="1796">
        <v>132.64354999999998</v>
      </c>
      <c r="CN22" s="1796">
        <v>2520.5585899999996</v>
      </c>
      <c r="CO22" s="1796">
        <v>152.51470999999998</v>
      </c>
      <c r="CP22" s="1796">
        <v>2589.6840200000001</v>
      </c>
      <c r="CQ22" s="1796">
        <v>156.45770999999999</v>
      </c>
      <c r="CR22" s="1796">
        <v>2913.55906</v>
      </c>
      <c r="CS22" s="1796">
        <v>159.11770999999999</v>
      </c>
      <c r="CT22" s="1796">
        <v>106.39789</v>
      </c>
      <c r="CU22" s="1796">
        <v>4.1781300000000003</v>
      </c>
      <c r="CV22" s="1796">
        <v>233.29667999999998</v>
      </c>
      <c r="CW22" s="1796">
        <v>41.246929999999999</v>
      </c>
      <c r="CX22" s="1796">
        <v>436.41271999999998</v>
      </c>
      <c r="CY22" s="1796">
        <v>47.133929999999999</v>
      </c>
      <c r="CZ22" s="1796">
        <v>545.47483</v>
      </c>
      <c r="DA22" s="1796">
        <v>84.133929999999992</v>
      </c>
      <c r="DB22" s="1796">
        <v>747.74014</v>
      </c>
      <c r="DC22" s="1796">
        <v>87.813929999999999</v>
      </c>
      <c r="DD22" s="1796">
        <v>1152.1415400000001</v>
      </c>
      <c r="DE22" s="1796">
        <v>94.293929999999989</v>
      </c>
      <c r="DF22" s="1796">
        <v>1537.00495</v>
      </c>
      <c r="DG22" s="1796">
        <v>98.393929999999997</v>
      </c>
      <c r="DH22" s="1796">
        <v>1661.0534499999999</v>
      </c>
      <c r="DI22" s="1796">
        <v>101.75393</v>
      </c>
      <c r="DJ22" s="1796">
        <v>2248.8164299999999</v>
      </c>
      <c r="DK22" s="1796">
        <v>153.92802</v>
      </c>
      <c r="DL22" s="1796">
        <v>2409.93282</v>
      </c>
      <c r="DM22" s="1796">
        <v>182.66674</v>
      </c>
      <c r="DN22" s="1796">
        <v>2568.6681699999999</v>
      </c>
      <c r="DO22" s="1796">
        <v>191.10852</v>
      </c>
      <c r="DP22" s="1796">
        <v>2747.8304499999999</v>
      </c>
      <c r="DQ22" s="1797">
        <v>197.07852</v>
      </c>
      <c r="DR22" s="1811">
        <v>149.80268000000001</v>
      </c>
      <c r="DS22" s="1799">
        <v>72.189930000000004</v>
      </c>
      <c r="DT22" s="1800">
        <v>303.06513999999999</v>
      </c>
      <c r="DU22" s="1797">
        <v>99.436710000000005</v>
      </c>
      <c r="DV22" s="1798">
        <v>532.43901000000005</v>
      </c>
      <c r="DW22" s="1799">
        <v>107.71957</v>
      </c>
      <c r="DX22" s="1800">
        <v>811.92271000000005</v>
      </c>
      <c r="DY22" s="1797">
        <v>125.2513</v>
      </c>
      <c r="DZ22" s="1798">
        <v>994.84002999999996</v>
      </c>
      <c r="EA22" s="1799">
        <v>130.46204</v>
      </c>
      <c r="EB22" s="1800">
        <v>1223.73777</v>
      </c>
      <c r="EC22" s="1797">
        <v>139.20582999999999</v>
      </c>
      <c r="ED22" s="1798">
        <v>1555.4841300000001</v>
      </c>
      <c r="EE22" s="1799">
        <v>174.75516999999999</v>
      </c>
      <c r="EF22" s="1798">
        <v>1831.25892</v>
      </c>
      <c r="EG22" s="1799">
        <v>179.74803</v>
      </c>
      <c r="EH22" s="1800">
        <v>2343.2073799999998</v>
      </c>
      <c r="EI22" s="1799">
        <v>188.50183000000001</v>
      </c>
      <c r="EJ22" s="1800">
        <v>2757.8930399999999</v>
      </c>
      <c r="EK22" s="1799">
        <v>195.95705000000001</v>
      </c>
      <c r="EL22" s="1798">
        <v>3584.5684700000002</v>
      </c>
      <c r="EM22" s="1801">
        <v>209.89240000000001</v>
      </c>
      <c r="EN22" s="1798">
        <v>3891.4996099999998</v>
      </c>
      <c r="EO22" s="1801">
        <v>219.32656</v>
      </c>
      <c r="EP22" s="1798">
        <v>211.53351000000001</v>
      </c>
      <c r="EQ22" s="1801">
        <v>3.7750300000000001</v>
      </c>
      <c r="ER22" s="1798">
        <v>439.57044000000002</v>
      </c>
      <c r="ES22" s="1801">
        <v>21.53576</v>
      </c>
      <c r="ET22" s="1798">
        <v>655.76436999999999</v>
      </c>
      <c r="EU22" s="1801">
        <v>32.928400000000003</v>
      </c>
      <c r="EV22" s="1798">
        <v>917.36749999999995</v>
      </c>
      <c r="EW22" s="1801">
        <v>40.785800000000002</v>
      </c>
      <c r="EX22" s="1798">
        <v>1613.3903500000001</v>
      </c>
      <c r="EY22" s="1801">
        <v>70.952130000000011</v>
      </c>
      <c r="EZ22" s="1798">
        <v>1886.0012400000001</v>
      </c>
      <c r="FA22" s="1801">
        <v>83.671220000000005</v>
      </c>
      <c r="FB22" s="1798">
        <v>2269.74478</v>
      </c>
      <c r="FC22" s="1801">
        <v>91.053110000000004</v>
      </c>
      <c r="FD22" s="1798">
        <v>2569.2341200000001</v>
      </c>
      <c r="FE22" s="1801">
        <v>121.85552</v>
      </c>
      <c r="FF22" s="1798">
        <v>3133.78143</v>
      </c>
      <c r="FG22" s="1801">
        <v>135.73748999999998</v>
      </c>
      <c r="FH22" s="1798">
        <v>4251.8730500000001</v>
      </c>
      <c r="FI22" s="1801">
        <v>149.23043999999999</v>
      </c>
      <c r="FJ22" s="1798">
        <v>4533.3381399999998</v>
      </c>
      <c r="FK22" s="1801">
        <v>164.97479000000001</v>
      </c>
      <c r="FL22" s="1798">
        <v>4988.5967199999996</v>
      </c>
      <c r="FM22" s="1801">
        <v>175.67702</v>
      </c>
      <c r="FN22" s="1798">
        <v>304.64463000000001</v>
      </c>
      <c r="FO22" s="1801">
        <v>7.9320599999999999</v>
      </c>
      <c r="FP22" s="1798">
        <v>619.79383999999993</v>
      </c>
      <c r="FQ22" s="1801">
        <v>19.67239</v>
      </c>
      <c r="FR22" s="1798">
        <v>925.82209999999998</v>
      </c>
      <c r="FS22" s="1801">
        <v>80.993610000000004</v>
      </c>
      <c r="FT22" s="1798">
        <v>1251.9673</v>
      </c>
      <c r="FU22" s="1801">
        <v>123.49956</v>
      </c>
      <c r="FV22" s="1798">
        <v>1729.97586</v>
      </c>
      <c r="FW22" s="1801">
        <v>227.91783000000001</v>
      </c>
      <c r="FX22" s="1798">
        <v>2042.57951</v>
      </c>
      <c r="FY22" s="1801">
        <v>231.22973999999999</v>
      </c>
      <c r="FZ22" s="1798">
        <v>2691.22037</v>
      </c>
      <c r="GA22" s="1801">
        <v>235.44023999999999</v>
      </c>
      <c r="GB22" s="1798">
        <v>2973.3777700000001</v>
      </c>
      <c r="GC22" s="1801">
        <v>235.44023999999999</v>
      </c>
      <c r="GD22" s="1798">
        <v>3273.07708</v>
      </c>
      <c r="GE22" s="1801">
        <v>245.53695999999999</v>
      </c>
      <c r="GF22" s="1798">
        <v>4203.2920999999997</v>
      </c>
      <c r="GG22" s="1801">
        <v>246.72649999999999</v>
      </c>
      <c r="GH22" s="1798">
        <v>4439.2752300000002</v>
      </c>
      <c r="GI22" s="1801">
        <v>323.39789000000002</v>
      </c>
      <c r="GJ22" s="1798">
        <v>5315.67742</v>
      </c>
      <c r="GK22" s="1801">
        <v>328.61045999999999</v>
      </c>
      <c r="GL22" s="1798">
        <v>823.79763000000003</v>
      </c>
      <c r="GM22" s="1801">
        <v>0</v>
      </c>
      <c r="GN22" s="1798">
        <v>1072.99172</v>
      </c>
      <c r="GO22" s="1801">
        <v>6.4651800000000001</v>
      </c>
      <c r="GP22" s="1798">
        <v>1607.7775200000003</v>
      </c>
      <c r="GQ22" s="1801">
        <v>77.379419999999996</v>
      </c>
      <c r="GR22" s="1798">
        <v>2163.26127</v>
      </c>
      <c r="GS22" s="1801">
        <v>84.095690000000005</v>
      </c>
      <c r="GT22" s="1798">
        <v>2670.84663</v>
      </c>
      <c r="GU22" s="1801">
        <v>131.33091999999999</v>
      </c>
      <c r="GV22" s="1798">
        <v>2899.3991599999999</v>
      </c>
      <c r="GW22" s="1801">
        <v>249.07040000000001</v>
      </c>
      <c r="GX22" s="1798">
        <v>3642.0877399999999</v>
      </c>
      <c r="GY22" s="1801">
        <v>302.59563000000003</v>
      </c>
      <c r="GZ22" s="1798">
        <v>4325.3569799999996</v>
      </c>
      <c r="HA22" s="1801">
        <v>306.98151000000001</v>
      </c>
      <c r="HB22" s="1798">
        <v>5727.6611199999998</v>
      </c>
      <c r="HC22" s="1801">
        <v>319.90190999999999</v>
      </c>
      <c r="HD22" s="1798">
        <v>6246.7584399999996</v>
      </c>
      <c r="HE22" s="1801">
        <v>384.46841000000001</v>
      </c>
      <c r="HF22" s="1798">
        <v>6709.94481</v>
      </c>
      <c r="HG22" s="1801">
        <v>432.22800999999998</v>
      </c>
      <c r="HH22" s="1798">
        <v>7558.7165299999997</v>
      </c>
      <c r="HI22" s="1801">
        <v>436.76355000000001</v>
      </c>
      <c r="HJ22" s="1798">
        <v>446.98374000000001</v>
      </c>
      <c r="HK22" s="1801">
        <v>57.012090000000001</v>
      </c>
      <c r="HL22" s="1798">
        <v>1273.6259700000001</v>
      </c>
      <c r="HM22" s="1801">
        <v>65.732429999999994</v>
      </c>
      <c r="HN22" s="1798">
        <v>1727.49945</v>
      </c>
      <c r="HO22" s="1801">
        <v>69.656580000000005</v>
      </c>
      <c r="HP22" s="1798">
        <v>2814.5438100000001</v>
      </c>
      <c r="HQ22" s="1801">
        <v>81.952879999999993</v>
      </c>
      <c r="HR22" s="1798">
        <v>3506.49379</v>
      </c>
      <c r="HS22" s="1801">
        <v>117.58677</v>
      </c>
      <c r="HT22" s="1798">
        <v>4039.6744800000001</v>
      </c>
      <c r="HU22" s="1801">
        <v>181.73553999999999</v>
      </c>
      <c r="HV22" s="1802" t="s">
        <v>3414</v>
      </c>
    </row>
    <row r="23" spans="1:232" s="1774" customFormat="1" ht="22.5" customHeight="1">
      <c r="A23" s="1794" t="s">
        <v>2301</v>
      </c>
      <c r="B23" s="1788">
        <f t="shared" ref="B23:BM23" si="35">B24+B36+B46+B48</f>
        <v>15393.318160000001</v>
      </c>
      <c r="C23" s="1788">
        <f t="shared" si="35"/>
        <v>1410.7293800000002</v>
      </c>
      <c r="D23" s="1788">
        <f t="shared" si="35"/>
        <v>23716.770500437997</v>
      </c>
      <c r="E23" s="1788">
        <f t="shared" si="35"/>
        <v>2772.2653799999998</v>
      </c>
      <c r="F23" s="1788">
        <f t="shared" si="35"/>
        <v>31775.571260000001</v>
      </c>
      <c r="G23" s="1788">
        <f t="shared" si="35"/>
        <v>4665.8683999999994</v>
      </c>
      <c r="H23" s="1788">
        <f t="shared" si="35"/>
        <v>37227.892619999999</v>
      </c>
      <c r="I23" s="1788">
        <f t="shared" si="35"/>
        <v>6473.6045300000005</v>
      </c>
      <c r="J23" s="1788">
        <f t="shared" si="35"/>
        <v>46188.407200000001</v>
      </c>
      <c r="K23" s="1788">
        <f t="shared" si="35"/>
        <v>10689.53327</v>
      </c>
      <c r="L23" s="1788">
        <f t="shared" si="35"/>
        <v>54150.523780000003</v>
      </c>
      <c r="M23" s="1788">
        <f t="shared" si="35"/>
        <v>12524.335360000001</v>
      </c>
      <c r="N23" s="1788">
        <f t="shared" si="35"/>
        <v>68011.743950000004</v>
      </c>
      <c r="O23" s="1788">
        <f t="shared" si="35"/>
        <v>13468.262409999999</v>
      </c>
      <c r="P23" s="1788">
        <f t="shared" si="35"/>
        <v>74487.994810000004</v>
      </c>
      <c r="Q23" s="1788">
        <f t="shared" si="35"/>
        <v>14643.477079999997</v>
      </c>
      <c r="R23" s="1788">
        <f t="shared" si="35"/>
        <v>87185.061090000003</v>
      </c>
      <c r="S23" s="1788">
        <f t="shared" si="35"/>
        <v>15901.749579999996</v>
      </c>
      <c r="T23" s="1788">
        <f t="shared" si="35"/>
        <v>93900.643590000022</v>
      </c>
      <c r="U23" s="1788">
        <f t="shared" si="35"/>
        <v>16874.929659999998</v>
      </c>
      <c r="V23" s="1788">
        <f t="shared" si="35"/>
        <v>101392.07975</v>
      </c>
      <c r="W23" s="1788">
        <f t="shared" si="35"/>
        <v>17831.059049999996</v>
      </c>
      <c r="X23" s="1788">
        <f t="shared" si="35"/>
        <v>106837.16805000001</v>
      </c>
      <c r="Y23" s="1788">
        <f t="shared" si="35"/>
        <v>19187.795759999997</v>
      </c>
      <c r="Z23" s="1788">
        <f t="shared" si="35"/>
        <v>14947.149960000001</v>
      </c>
      <c r="AA23" s="1788">
        <f t="shared" si="35"/>
        <v>1474.4426199999998</v>
      </c>
      <c r="AB23" s="1788">
        <f t="shared" si="35"/>
        <v>26050.536649999998</v>
      </c>
      <c r="AC23" s="1788">
        <f t="shared" si="35"/>
        <v>2427.2152299999998</v>
      </c>
      <c r="AD23" s="1788">
        <f t="shared" si="35"/>
        <v>44866.046999999999</v>
      </c>
      <c r="AE23" s="1788">
        <f t="shared" si="35"/>
        <v>2954.3515600000001</v>
      </c>
      <c r="AF23" s="1788">
        <f t="shared" si="35"/>
        <v>53546.90969</v>
      </c>
      <c r="AG23" s="1788">
        <f t="shared" si="35"/>
        <v>4001.4651499999995</v>
      </c>
      <c r="AH23" s="1788">
        <f t="shared" si="35"/>
        <v>61646.813880000002</v>
      </c>
      <c r="AI23" s="1788">
        <f t="shared" si="35"/>
        <v>5578.1766600000001</v>
      </c>
      <c r="AJ23" s="1788">
        <f t="shared" si="35"/>
        <v>69473.03433000001</v>
      </c>
      <c r="AK23" s="1788">
        <f t="shared" si="35"/>
        <v>7311.1036200000008</v>
      </c>
      <c r="AL23" s="1788">
        <f t="shared" si="35"/>
        <v>87062.043720000016</v>
      </c>
      <c r="AM23" s="1788">
        <f t="shared" si="35"/>
        <v>8893.9288100000012</v>
      </c>
      <c r="AN23" s="1788">
        <f t="shared" si="35"/>
        <v>95535.003800000006</v>
      </c>
      <c r="AO23" s="1788">
        <f t="shared" si="35"/>
        <v>9785.5711700000011</v>
      </c>
      <c r="AP23" s="1788">
        <f t="shared" si="35"/>
        <v>110125.75773000003</v>
      </c>
      <c r="AQ23" s="1788">
        <f t="shared" si="35"/>
        <v>11605.260829999999</v>
      </c>
      <c r="AR23" s="1788">
        <f t="shared" si="35"/>
        <v>117244.30946</v>
      </c>
      <c r="AS23" s="1788">
        <f t="shared" si="35"/>
        <v>13188.516279999998</v>
      </c>
      <c r="AT23" s="1788">
        <f t="shared" si="35"/>
        <v>124158.46039999998</v>
      </c>
      <c r="AU23" s="1788">
        <f t="shared" si="35"/>
        <v>14910.128089999998</v>
      </c>
      <c r="AV23" s="1788">
        <f t="shared" si="35"/>
        <v>136331.17596999998</v>
      </c>
      <c r="AW23" s="1788">
        <f t="shared" si="35"/>
        <v>17028.966639999999</v>
      </c>
      <c r="AX23" s="1788">
        <f t="shared" si="35"/>
        <v>15041.954090000003</v>
      </c>
      <c r="AY23" s="1788">
        <f t="shared" si="35"/>
        <v>1289.7617500000001</v>
      </c>
      <c r="AZ23" s="1788">
        <f t="shared" si="35"/>
        <v>26009.84849</v>
      </c>
      <c r="BA23" s="1788">
        <f t="shared" si="35"/>
        <v>2718.09033</v>
      </c>
      <c r="BB23" s="1788">
        <f t="shared" si="35"/>
        <v>33059.39473</v>
      </c>
      <c r="BC23" s="1788">
        <f t="shared" si="35"/>
        <v>3728.8150599999999</v>
      </c>
      <c r="BD23" s="1788">
        <f t="shared" si="35"/>
        <v>41727.703840000002</v>
      </c>
      <c r="BE23" s="1788">
        <f t="shared" si="35"/>
        <v>5077.0353499999992</v>
      </c>
      <c r="BF23" s="1788">
        <f t="shared" si="35"/>
        <v>53557.296720000013</v>
      </c>
      <c r="BG23" s="1788">
        <f t="shared" si="35"/>
        <v>11035.18511</v>
      </c>
      <c r="BH23" s="1788">
        <f t="shared" si="35"/>
        <v>63078.070099999997</v>
      </c>
      <c r="BI23" s="1788">
        <f t="shared" si="35"/>
        <v>13771.346249999999</v>
      </c>
      <c r="BJ23" s="1788">
        <f t="shared" si="35"/>
        <v>79651.070260000008</v>
      </c>
      <c r="BK23" s="1788">
        <f t="shared" si="35"/>
        <v>15845.91454</v>
      </c>
      <c r="BL23" s="1788">
        <f t="shared" si="35"/>
        <v>87194.63483000001</v>
      </c>
      <c r="BM23" s="1788">
        <f t="shared" si="35"/>
        <v>17049.370160000002</v>
      </c>
      <c r="BN23" s="1788">
        <f t="shared" ref="BN23:DY23" si="36">BN24+BN36+BN46+BN48</f>
        <v>104146.26009</v>
      </c>
      <c r="BO23" s="1788">
        <f t="shared" si="36"/>
        <v>18879.37645</v>
      </c>
      <c r="BP23" s="1788">
        <f t="shared" si="36"/>
        <v>113910.21667000001</v>
      </c>
      <c r="BQ23" s="1788">
        <f t="shared" si="36"/>
        <v>20507.4018</v>
      </c>
      <c r="BR23" s="1788">
        <f t="shared" si="36"/>
        <v>122899.03698</v>
      </c>
      <c r="BS23" s="1788">
        <f t="shared" si="36"/>
        <v>22005.349319999998</v>
      </c>
      <c r="BT23" s="1788">
        <f t="shared" si="36"/>
        <v>133113.11752</v>
      </c>
      <c r="BU23" s="1788">
        <f t="shared" si="36"/>
        <v>37693.716599999992</v>
      </c>
      <c r="BV23" s="1788">
        <f t="shared" si="36"/>
        <v>22673.933199999999</v>
      </c>
      <c r="BW23" s="1788">
        <f t="shared" si="36"/>
        <v>1377.8564099999999</v>
      </c>
      <c r="BX23" s="1788">
        <f t="shared" si="36"/>
        <v>31890.715340000002</v>
      </c>
      <c r="BY23" s="1788">
        <f t="shared" si="36"/>
        <v>3203.7919400000005</v>
      </c>
      <c r="BZ23" s="1788">
        <f t="shared" si="36"/>
        <v>39975.367299999991</v>
      </c>
      <c r="CA23" s="1788">
        <f t="shared" si="36"/>
        <v>4938.8200200000001</v>
      </c>
      <c r="CB23" s="1788">
        <f t="shared" si="36"/>
        <v>47338.058029999986</v>
      </c>
      <c r="CC23" s="1788">
        <f t="shared" si="36"/>
        <v>7393.7543099999994</v>
      </c>
      <c r="CD23" s="1788">
        <f t="shared" si="36"/>
        <v>57178.358769999992</v>
      </c>
      <c r="CE23" s="1788">
        <f t="shared" si="36"/>
        <v>8791.3352800000011</v>
      </c>
      <c r="CF23" s="1788">
        <f t="shared" si="36"/>
        <v>68762.93266999998</v>
      </c>
      <c r="CG23" s="1788">
        <f t="shared" si="36"/>
        <v>9862.3673499999986</v>
      </c>
      <c r="CH23" s="1788">
        <f t="shared" si="36"/>
        <v>90004.736980000001</v>
      </c>
      <c r="CI23" s="1788">
        <f t="shared" si="36"/>
        <v>11230.770659999998</v>
      </c>
      <c r="CJ23" s="1788">
        <f t="shared" si="36"/>
        <v>108703.06781000002</v>
      </c>
      <c r="CK23" s="1788">
        <f t="shared" si="36"/>
        <v>12910.94728</v>
      </c>
      <c r="CL23" s="1788">
        <f t="shared" si="36"/>
        <v>122275.74513000001</v>
      </c>
      <c r="CM23" s="1788">
        <f t="shared" si="36"/>
        <v>25501.530770000001</v>
      </c>
      <c r="CN23" s="1788">
        <f t="shared" si="36"/>
        <v>130094.63052000004</v>
      </c>
      <c r="CO23" s="1788">
        <f t="shared" si="36"/>
        <v>26666.373560000004</v>
      </c>
      <c r="CP23" s="1788">
        <f t="shared" si="36"/>
        <v>136236.00354000003</v>
      </c>
      <c r="CQ23" s="1788">
        <f t="shared" si="36"/>
        <v>28617.953359999996</v>
      </c>
      <c r="CR23" s="1788">
        <f t="shared" si="36"/>
        <v>147080.19944000003</v>
      </c>
      <c r="CS23" s="1788">
        <f t="shared" si="36"/>
        <v>29963.593430000001</v>
      </c>
      <c r="CT23" s="1788">
        <f t="shared" si="36"/>
        <v>15833.62392</v>
      </c>
      <c r="CU23" s="1788">
        <f t="shared" si="36"/>
        <v>1075.2158200000001</v>
      </c>
      <c r="CV23" s="1788">
        <f t="shared" si="36"/>
        <v>25441.285159999999</v>
      </c>
      <c r="CW23" s="1788">
        <f t="shared" si="36"/>
        <v>2382.4197300000001</v>
      </c>
      <c r="CX23" s="1788">
        <f t="shared" si="36"/>
        <v>38933.989690000002</v>
      </c>
      <c r="CY23" s="1788">
        <f t="shared" si="36"/>
        <v>4109.4624700000004</v>
      </c>
      <c r="CZ23" s="1788">
        <f t="shared" si="36"/>
        <v>46688.120170000017</v>
      </c>
      <c r="DA23" s="1788">
        <f t="shared" si="36"/>
        <v>7901.1891900000001</v>
      </c>
      <c r="DB23" s="1788">
        <f t="shared" si="36"/>
        <v>56876.181639999988</v>
      </c>
      <c r="DC23" s="1788">
        <f t="shared" si="36"/>
        <v>9489.0028999999977</v>
      </c>
      <c r="DD23" s="1788">
        <f t="shared" si="36"/>
        <v>73083.681660000002</v>
      </c>
      <c r="DE23" s="1788">
        <f t="shared" si="36"/>
        <v>11770.010299999998</v>
      </c>
      <c r="DF23" s="1788">
        <f t="shared" si="36"/>
        <v>95295.47662999999</v>
      </c>
      <c r="DG23" s="1788">
        <f t="shared" si="36"/>
        <v>13273.55227</v>
      </c>
      <c r="DH23" s="1788">
        <f t="shared" si="36"/>
        <v>102415.41390999999</v>
      </c>
      <c r="DI23" s="1788">
        <f t="shared" si="36"/>
        <v>14782.754519999999</v>
      </c>
      <c r="DJ23" s="1788">
        <f t="shared" si="36"/>
        <v>117700.55867</v>
      </c>
      <c r="DK23" s="1788">
        <f t="shared" si="36"/>
        <v>16885.531800000001</v>
      </c>
      <c r="DL23" s="1788">
        <f t="shared" si="36"/>
        <v>128204.06697</v>
      </c>
      <c r="DM23" s="1788">
        <f t="shared" si="36"/>
        <v>18717.36061</v>
      </c>
      <c r="DN23" s="1788">
        <f t="shared" si="36"/>
        <v>137159.85345</v>
      </c>
      <c r="DO23" s="1788">
        <f t="shared" si="36"/>
        <v>20803.508839999995</v>
      </c>
      <c r="DP23" s="1788">
        <f t="shared" si="36"/>
        <v>158631.78047</v>
      </c>
      <c r="DQ23" s="1789">
        <f t="shared" si="36"/>
        <v>24180.131039999997</v>
      </c>
      <c r="DR23" s="1790">
        <f t="shared" si="36"/>
        <v>16643.900389999999</v>
      </c>
      <c r="DS23" s="1791">
        <f t="shared" si="36"/>
        <v>1280.2204199999999</v>
      </c>
      <c r="DT23" s="1792">
        <f t="shared" si="36"/>
        <v>28744.746279999999</v>
      </c>
      <c r="DU23" s="1789">
        <f t="shared" si="36"/>
        <v>3148.9565600000001</v>
      </c>
      <c r="DV23" s="1790">
        <f t="shared" si="36"/>
        <v>36854.47107</v>
      </c>
      <c r="DW23" s="1791">
        <f t="shared" si="36"/>
        <v>4455.9380899999996</v>
      </c>
      <c r="DX23" s="1792">
        <f t="shared" si="36"/>
        <v>46814.461499999998</v>
      </c>
      <c r="DY23" s="1789">
        <f t="shared" si="36"/>
        <v>6427.4780200000005</v>
      </c>
      <c r="DZ23" s="1790">
        <f t="shared" ref="DZ23:GK23" si="37">DZ24+DZ36+DZ46+DZ48</f>
        <v>63114.360120000005</v>
      </c>
      <c r="EA23" s="1791">
        <f t="shared" si="37"/>
        <v>8132.8568599999999</v>
      </c>
      <c r="EB23" s="1792">
        <f t="shared" si="37"/>
        <v>79958.212650000001</v>
      </c>
      <c r="EC23" s="1789">
        <f t="shared" si="37"/>
        <v>9536.6738499999992</v>
      </c>
      <c r="ED23" s="1790">
        <f t="shared" si="37"/>
        <v>104187.80867000001</v>
      </c>
      <c r="EE23" s="1791">
        <f t="shared" si="37"/>
        <v>10826.671619999999</v>
      </c>
      <c r="EF23" s="1790">
        <f t="shared" si="37"/>
        <v>120874.38999000001</v>
      </c>
      <c r="EG23" s="1793">
        <f t="shared" si="37"/>
        <v>12486.12384</v>
      </c>
      <c r="EH23" s="1790">
        <f t="shared" si="37"/>
        <v>138145.88939999999</v>
      </c>
      <c r="EI23" s="1793">
        <f t="shared" si="37"/>
        <v>14490.028930000002</v>
      </c>
      <c r="EJ23" s="1790">
        <f t="shared" si="37"/>
        <v>147518.22761999999</v>
      </c>
      <c r="EK23" s="1793">
        <f t="shared" si="37"/>
        <v>17393.243930000001</v>
      </c>
      <c r="EL23" s="1790">
        <f t="shared" si="37"/>
        <v>157893.34492</v>
      </c>
      <c r="EM23" s="1793">
        <f t="shared" si="37"/>
        <v>18973.87239</v>
      </c>
      <c r="EN23" s="1790">
        <f t="shared" si="37"/>
        <v>181656.61991999997</v>
      </c>
      <c r="EO23" s="1793">
        <f t="shared" si="37"/>
        <v>21975.770540000001</v>
      </c>
      <c r="EP23" s="1790">
        <f t="shared" si="37"/>
        <v>20910.494330000001</v>
      </c>
      <c r="EQ23" s="1793">
        <f t="shared" si="37"/>
        <v>1520.4411499999999</v>
      </c>
      <c r="ER23" s="1790">
        <f t="shared" si="37"/>
        <v>35719.49783</v>
      </c>
      <c r="ES23" s="1793">
        <f t="shared" si="37"/>
        <v>3682.0781500000003</v>
      </c>
      <c r="ET23" s="1790">
        <f t="shared" si="37"/>
        <v>51630.323220000006</v>
      </c>
      <c r="EU23" s="1793">
        <f t="shared" si="37"/>
        <v>5911.5200800000002</v>
      </c>
      <c r="EV23" s="1790">
        <f t="shared" si="37"/>
        <v>61268.630100000009</v>
      </c>
      <c r="EW23" s="1793">
        <f t="shared" si="37"/>
        <v>8090.2180699999999</v>
      </c>
      <c r="EX23" s="1790">
        <f t="shared" si="37"/>
        <v>76769.585370000001</v>
      </c>
      <c r="EY23" s="1793">
        <f t="shared" si="37"/>
        <v>10316.606519999999</v>
      </c>
      <c r="EZ23" s="1790">
        <f t="shared" si="37"/>
        <v>95643.182950000017</v>
      </c>
      <c r="FA23" s="1793">
        <f t="shared" si="37"/>
        <v>12200.11528</v>
      </c>
      <c r="FB23" s="1790">
        <f t="shared" si="37"/>
        <v>129337.74001000001</v>
      </c>
      <c r="FC23" s="1793">
        <f t="shared" si="37"/>
        <v>13794.059690000002</v>
      </c>
      <c r="FD23" s="1790">
        <f t="shared" si="37"/>
        <v>143260.39268999998</v>
      </c>
      <c r="FE23" s="1793">
        <f t="shared" si="37"/>
        <v>30701.313709999999</v>
      </c>
      <c r="FF23" s="1790">
        <f t="shared" si="37"/>
        <v>157374.42329000001</v>
      </c>
      <c r="FG23" s="1793">
        <f t="shared" si="37"/>
        <v>43544.893910000006</v>
      </c>
      <c r="FH23" s="1790">
        <f t="shared" si="37"/>
        <v>176565.47085999997</v>
      </c>
      <c r="FI23" s="1793">
        <f t="shared" si="37"/>
        <v>48682.644000000008</v>
      </c>
      <c r="FJ23" s="1790">
        <f t="shared" si="37"/>
        <v>191157.51986</v>
      </c>
      <c r="FK23" s="1793">
        <f t="shared" si="37"/>
        <v>52570.882809999996</v>
      </c>
      <c r="FL23" s="1790">
        <f t="shared" si="37"/>
        <v>210879.35188999999</v>
      </c>
      <c r="FM23" s="1793">
        <f t="shared" si="37"/>
        <v>101372.50466000001</v>
      </c>
      <c r="FN23" s="1790">
        <f t="shared" si="37"/>
        <v>25395.91084</v>
      </c>
      <c r="FO23" s="1793">
        <f t="shared" si="37"/>
        <v>2719.0765999999999</v>
      </c>
      <c r="FP23" s="1790">
        <f t="shared" si="37"/>
        <v>39726.122099999993</v>
      </c>
      <c r="FQ23" s="1793">
        <f t="shared" si="37"/>
        <v>5423.6080499999998</v>
      </c>
      <c r="FR23" s="1790">
        <f t="shared" si="37"/>
        <v>52447.637719999999</v>
      </c>
      <c r="FS23" s="1793">
        <f t="shared" si="37"/>
        <v>7295.1514500000003</v>
      </c>
      <c r="FT23" s="1790">
        <f t="shared" si="37"/>
        <v>66432.664109999998</v>
      </c>
      <c r="FU23" s="1793">
        <f t="shared" si="37"/>
        <v>10047.645600000002</v>
      </c>
      <c r="FV23" s="1790">
        <f t="shared" si="37"/>
        <v>84151.747300000017</v>
      </c>
      <c r="FW23" s="1793">
        <f t="shared" si="37"/>
        <v>13293.21854</v>
      </c>
      <c r="FX23" s="1790">
        <f t="shared" si="37"/>
        <v>97810.036289999989</v>
      </c>
      <c r="FY23" s="1793">
        <f t="shared" si="37"/>
        <v>16229.463770000004</v>
      </c>
      <c r="FZ23" s="1790">
        <f t="shared" si="37"/>
        <v>130125.10261</v>
      </c>
      <c r="GA23" s="1793">
        <f t="shared" si="37"/>
        <v>18768.745859999999</v>
      </c>
      <c r="GB23" s="1790">
        <f t="shared" si="37"/>
        <v>149711.10244000002</v>
      </c>
      <c r="GC23" s="1793">
        <f t="shared" si="37"/>
        <v>21083.604110000004</v>
      </c>
      <c r="GD23" s="1790">
        <f t="shared" si="37"/>
        <v>166286.3388</v>
      </c>
      <c r="GE23" s="1793">
        <f t="shared" si="37"/>
        <v>23632.661100000001</v>
      </c>
      <c r="GF23" s="1790">
        <f t="shared" si="37"/>
        <v>178834.86542000002</v>
      </c>
      <c r="GG23" s="1793">
        <f t="shared" si="37"/>
        <v>26945.956850000002</v>
      </c>
      <c r="GH23" s="1790">
        <f t="shared" si="37"/>
        <v>201636.31839999999</v>
      </c>
      <c r="GI23" s="1793">
        <f t="shared" si="37"/>
        <v>32771.148509999992</v>
      </c>
      <c r="GJ23" s="1790">
        <f t="shared" si="37"/>
        <v>233506.67104000002</v>
      </c>
      <c r="GK23" s="1793">
        <f t="shared" si="37"/>
        <v>37924.348259999992</v>
      </c>
      <c r="GL23" s="1790">
        <f t="shared" ref="GL23:HQ23" si="38">GL24+GL36+GL46+GL48</f>
        <v>25501.88535</v>
      </c>
      <c r="GM23" s="1793">
        <f t="shared" si="38"/>
        <v>3410.6844699999997</v>
      </c>
      <c r="GN23" s="1790">
        <f t="shared" si="38"/>
        <v>40308.599170000001</v>
      </c>
      <c r="GO23" s="1793">
        <f t="shared" si="38"/>
        <v>6026.5148599999993</v>
      </c>
      <c r="GP23" s="1790">
        <f t="shared" si="38"/>
        <v>52754.968339999985</v>
      </c>
      <c r="GQ23" s="1793">
        <f t="shared" si="38"/>
        <v>8509.4817600000006</v>
      </c>
      <c r="GR23" s="1790">
        <f t="shared" si="38"/>
        <v>70817.933049999992</v>
      </c>
      <c r="GS23" s="1793">
        <f t="shared" si="38"/>
        <v>13380.82813</v>
      </c>
      <c r="GT23" s="1790">
        <f t="shared" si="38"/>
        <v>89352.89850000001</v>
      </c>
      <c r="GU23" s="1793">
        <f t="shared" si="38"/>
        <v>17546.816600000002</v>
      </c>
      <c r="GV23" s="1790">
        <f t="shared" si="38"/>
        <v>106960.50299000001</v>
      </c>
      <c r="GW23" s="1793">
        <f t="shared" si="38"/>
        <v>20228.036039999999</v>
      </c>
      <c r="GX23" s="1790">
        <f t="shared" si="38"/>
        <v>144811.18181000001</v>
      </c>
      <c r="GY23" s="1793">
        <f t="shared" si="38"/>
        <v>24546.776809999999</v>
      </c>
      <c r="GZ23" s="1790">
        <f t="shared" si="38"/>
        <v>161291.37543000001</v>
      </c>
      <c r="HA23" s="1793">
        <f t="shared" si="38"/>
        <v>27600.501910000003</v>
      </c>
      <c r="HB23" s="1790">
        <f t="shared" si="38"/>
        <v>182664.96269999997</v>
      </c>
      <c r="HC23" s="1793">
        <f t="shared" si="38"/>
        <v>31328.694650000001</v>
      </c>
      <c r="HD23" s="1790">
        <f t="shared" si="38"/>
        <v>196251.66614000004</v>
      </c>
      <c r="HE23" s="1793">
        <f t="shared" si="38"/>
        <v>34943.241729999994</v>
      </c>
      <c r="HF23" s="1790">
        <f t="shared" si="38"/>
        <v>216591.19819</v>
      </c>
      <c r="HG23" s="1793">
        <f t="shared" si="38"/>
        <v>40582.421899999994</v>
      </c>
      <c r="HH23" s="1790">
        <f t="shared" si="38"/>
        <v>240878.41417000003</v>
      </c>
      <c r="HI23" s="1793">
        <f t="shared" si="38"/>
        <v>46473.771230000006</v>
      </c>
      <c r="HJ23" s="1790">
        <f t="shared" si="38"/>
        <v>25994.814960000003</v>
      </c>
      <c r="HK23" s="1793">
        <f t="shared" si="38"/>
        <v>2648.9509699999999</v>
      </c>
      <c r="HL23" s="1790">
        <f t="shared" si="38"/>
        <v>47878.002460000003</v>
      </c>
      <c r="HM23" s="1793">
        <f t="shared" si="38"/>
        <v>6753.572900000001</v>
      </c>
      <c r="HN23" s="1790">
        <f t="shared" si="38"/>
        <v>65901.26989000001</v>
      </c>
      <c r="HO23" s="1793">
        <f t="shared" si="38"/>
        <v>9569.97012</v>
      </c>
      <c r="HP23" s="1790">
        <f t="shared" si="38"/>
        <v>88228.879520000002</v>
      </c>
      <c r="HQ23" s="1793">
        <f t="shared" si="38"/>
        <v>14374.650609999997</v>
      </c>
      <c r="HR23" s="1790">
        <f t="shared" ref="HR23:HS23" si="39">HR24+HR36+HR46+HR48</f>
        <v>104316.29851000001</v>
      </c>
      <c r="HS23" s="1793">
        <f t="shared" si="39"/>
        <v>18458.203909999997</v>
      </c>
      <c r="HT23" s="1790">
        <v>139408.19032000005</v>
      </c>
      <c r="HU23" s="1793">
        <v>22658.99091</v>
      </c>
      <c r="HV23" s="1794" t="s">
        <v>3182</v>
      </c>
    </row>
    <row r="24" spans="1:232" s="1774" customFormat="1" ht="22.5" customHeight="1">
      <c r="A24" s="1794" t="s">
        <v>2300</v>
      </c>
      <c r="B24" s="1788">
        <f t="shared" ref="B24:AP24" si="40">SUM(B25:B33)</f>
        <v>11386.108340000001</v>
      </c>
      <c r="C24" s="1788">
        <f t="shared" si="40"/>
        <v>1100.4920300000001</v>
      </c>
      <c r="D24" s="1788">
        <f t="shared" si="40"/>
        <v>17993.895695437997</v>
      </c>
      <c r="E24" s="1788">
        <f t="shared" si="40"/>
        <v>2430.1043799999998</v>
      </c>
      <c r="F24" s="1788">
        <f t="shared" si="40"/>
        <v>24251.5249</v>
      </c>
      <c r="G24" s="1788">
        <f t="shared" si="40"/>
        <v>4285.6860899999992</v>
      </c>
      <c r="H24" s="1788">
        <f t="shared" si="40"/>
        <v>28653.276650000003</v>
      </c>
      <c r="I24" s="1788">
        <f t="shared" si="40"/>
        <v>5304.4887900000003</v>
      </c>
      <c r="J24" s="1788">
        <f t="shared" si="40"/>
        <v>35857.903559999999</v>
      </c>
      <c r="K24" s="1788">
        <f t="shared" si="40"/>
        <v>8713.5318900000002</v>
      </c>
      <c r="L24" s="1788">
        <f t="shared" si="40"/>
        <v>42184.332980000007</v>
      </c>
      <c r="M24" s="1788">
        <f t="shared" si="40"/>
        <v>10325.25878</v>
      </c>
      <c r="N24" s="1788">
        <f t="shared" si="40"/>
        <v>53039.93406</v>
      </c>
      <c r="O24" s="1788">
        <f t="shared" si="40"/>
        <v>11300.875789999998</v>
      </c>
      <c r="P24" s="1788">
        <f t="shared" si="40"/>
        <v>58664.854329999995</v>
      </c>
      <c r="Q24" s="1788">
        <f t="shared" si="40"/>
        <v>12467.794279999998</v>
      </c>
      <c r="R24" s="1788">
        <f t="shared" si="40"/>
        <v>70354.558520000006</v>
      </c>
      <c r="S24" s="1788">
        <f t="shared" si="40"/>
        <v>13562.437559999997</v>
      </c>
      <c r="T24" s="1788">
        <f t="shared" si="40"/>
        <v>76070.552490000016</v>
      </c>
      <c r="U24" s="1788">
        <f t="shared" si="40"/>
        <v>14531.876119999997</v>
      </c>
      <c r="V24" s="1788">
        <f t="shared" si="40"/>
        <v>82695.202520000006</v>
      </c>
      <c r="W24" s="1788">
        <f t="shared" si="40"/>
        <v>15455.208359999997</v>
      </c>
      <c r="X24" s="1788">
        <f t="shared" si="40"/>
        <v>87517.481110000008</v>
      </c>
      <c r="Y24" s="1788">
        <f t="shared" si="40"/>
        <v>16397.809709999998</v>
      </c>
      <c r="Z24" s="1788">
        <f t="shared" si="40"/>
        <v>10844.12882</v>
      </c>
      <c r="AA24" s="1788">
        <f t="shared" si="40"/>
        <v>950.20162999999991</v>
      </c>
      <c r="AB24" s="1788">
        <f t="shared" si="40"/>
        <v>20717.01743</v>
      </c>
      <c r="AC24" s="1788">
        <f t="shared" si="40"/>
        <v>1899.5230499999998</v>
      </c>
      <c r="AD24" s="1788">
        <f t="shared" si="40"/>
        <v>36717.747259999996</v>
      </c>
      <c r="AE24" s="1788">
        <f t="shared" si="40"/>
        <v>2416.6979900000001</v>
      </c>
      <c r="AF24" s="1788">
        <f t="shared" si="40"/>
        <v>44395.069949999997</v>
      </c>
      <c r="AG24" s="1788">
        <f t="shared" si="40"/>
        <v>3462.7523199999996</v>
      </c>
      <c r="AH24" s="1788">
        <f t="shared" si="40"/>
        <v>50848.762589999998</v>
      </c>
      <c r="AI24" s="1788">
        <f t="shared" si="40"/>
        <v>4421.5420999999997</v>
      </c>
      <c r="AJ24" s="1788">
        <f t="shared" si="40"/>
        <v>58010.875969999994</v>
      </c>
      <c r="AK24" s="1788">
        <f t="shared" si="40"/>
        <v>5879.1870200000003</v>
      </c>
      <c r="AL24" s="1788">
        <f t="shared" si="40"/>
        <v>69120.539740000022</v>
      </c>
      <c r="AM24" s="1788">
        <f t="shared" si="40"/>
        <v>7069.0427700000009</v>
      </c>
      <c r="AN24" s="1788">
        <f t="shared" si="40"/>
        <v>77160.063850000006</v>
      </c>
      <c r="AO24" s="1788">
        <f t="shared" si="40"/>
        <v>7955.4674000000005</v>
      </c>
      <c r="AP24" s="1788">
        <f t="shared" si="40"/>
        <v>90776.989770000015</v>
      </c>
      <c r="AQ24" s="1788">
        <f t="shared" ref="AQ24:DB24" si="41">SUM(AQ25:AQ33)</f>
        <v>9772.1059299999997</v>
      </c>
      <c r="AR24" s="1788">
        <f t="shared" si="41"/>
        <v>96982.48431</v>
      </c>
      <c r="AS24" s="1788">
        <f t="shared" si="41"/>
        <v>11343.784249999999</v>
      </c>
      <c r="AT24" s="1788">
        <f t="shared" si="41"/>
        <v>103161.36994999998</v>
      </c>
      <c r="AU24" s="1788">
        <f t="shared" si="41"/>
        <v>13062.018929999998</v>
      </c>
      <c r="AV24" s="1788">
        <f t="shared" si="41"/>
        <v>112095.50434</v>
      </c>
      <c r="AW24" s="1788">
        <f t="shared" si="41"/>
        <v>15074.405989999997</v>
      </c>
      <c r="AX24" s="1788">
        <f t="shared" si="41"/>
        <v>10897.221530000003</v>
      </c>
      <c r="AY24" s="1788">
        <f t="shared" si="41"/>
        <v>1281.77251</v>
      </c>
      <c r="AZ24" s="1788">
        <f t="shared" si="41"/>
        <v>19191.785909999999</v>
      </c>
      <c r="BA24" s="1788">
        <f t="shared" si="41"/>
        <v>2513.0135700000001</v>
      </c>
      <c r="BB24" s="1788">
        <f t="shared" si="41"/>
        <v>24782.860700000005</v>
      </c>
      <c r="BC24" s="1788">
        <f t="shared" si="41"/>
        <v>3506.8697999999999</v>
      </c>
      <c r="BD24" s="1788">
        <f t="shared" si="41"/>
        <v>31642.022989999998</v>
      </c>
      <c r="BE24" s="1788">
        <f t="shared" si="41"/>
        <v>4845.968429999999</v>
      </c>
      <c r="BF24" s="1788">
        <f t="shared" si="41"/>
        <v>41290.006760000011</v>
      </c>
      <c r="BG24" s="1788">
        <f t="shared" si="41"/>
        <v>10788.065340000001</v>
      </c>
      <c r="BH24" s="1788">
        <f t="shared" si="41"/>
        <v>50205.568959999997</v>
      </c>
      <c r="BI24" s="1788">
        <f t="shared" si="41"/>
        <v>13484.462309999999</v>
      </c>
      <c r="BJ24" s="1788">
        <f t="shared" si="41"/>
        <v>63536.662080000009</v>
      </c>
      <c r="BK24" s="1788">
        <f t="shared" si="41"/>
        <v>15537.42059</v>
      </c>
      <c r="BL24" s="1788">
        <f t="shared" si="41"/>
        <v>70053.403359999997</v>
      </c>
      <c r="BM24" s="1788">
        <f t="shared" si="41"/>
        <v>16721.815380000004</v>
      </c>
      <c r="BN24" s="1788">
        <f t="shared" si="41"/>
        <v>86051.554629999984</v>
      </c>
      <c r="BO24" s="1788">
        <f t="shared" si="41"/>
        <v>18324.641919999998</v>
      </c>
      <c r="BP24" s="1788">
        <f t="shared" si="41"/>
        <v>94061.578740000012</v>
      </c>
      <c r="BQ24" s="1788">
        <f t="shared" si="41"/>
        <v>19934.997199999998</v>
      </c>
      <c r="BR24" s="1788">
        <f t="shared" si="41"/>
        <v>102254.18617</v>
      </c>
      <c r="BS24" s="1788">
        <f t="shared" si="41"/>
        <v>20933.100609999998</v>
      </c>
      <c r="BT24" s="1788">
        <f t="shared" si="41"/>
        <v>111710.56036</v>
      </c>
      <c r="BU24" s="1788">
        <f t="shared" si="41"/>
        <v>36610.015319999991</v>
      </c>
      <c r="BV24" s="1788">
        <f t="shared" si="41"/>
        <v>17850.02115</v>
      </c>
      <c r="BW24" s="1788">
        <f t="shared" si="41"/>
        <v>1350.8927199999998</v>
      </c>
      <c r="BX24" s="1788">
        <f t="shared" si="41"/>
        <v>24864.223700000002</v>
      </c>
      <c r="BY24" s="1788">
        <f t="shared" si="41"/>
        <v>3138.3972300000005</v>
      </c>
      <c r="BZ24" s="1788">
        <f t="shared" si="41"/>
        <v>31277.029389999996</v>
      </c>
      <c r="CA24" s="1788">
        <f t="shared" si="41"/>
        <v>4612.9468999999999</v>
      </c>
      <c r="CB24" s="1788">
        <f t="shared" si="41"/>
        <v>36962.526249999988</v>
      </c>
      <c r="CC24" s="1788">
        <f t="shared" si="41"/>
        <v>7067.8811899999992</v>
      </c>
      <c r="CD24" s="1788">
        <f t="shared" si="41"/>
        <v>44725.016569999992</v>
      </c>
      <c r="CE24" s="1788">
        <f t="shared" si="41"/>
        <v>8465.4621600000009</v>
      </c>
      <c r="CF24" s="1788">
        <f t="shared" si="41"/>
        <v>55258.609069999984</v>
      </c>
      <c r="CG24" s="1788">
        <f t="shared" si="41"/>
        <v>9530.4143699999986</v>
      </c>
      <c r="CH24" s="1788">
        <f t="shared" si="41"/>
        <v>73096.64966000001</v>
      </c>
      <c r="CI24" s="1788">
        <f t="shared" si="41"/>
        <v>10876.114679999999</v>
      </c>
      <c r="CJ24" s="1788">
        <f t="shared" si="41"/>
        <v>91330.637470000016</v>
      </c>
      <c r="CK24" s="1788">
        <f t="shared" si="41"/>
        <v>12426.4053</v>
      </c>
      <c r="CL24" s="1788">
        <f t="shared" si="41"/>
        <v>103753.46979</v>
      </c>
      <c r="CM24" s="1788">
        <f t="shared" si="41"/>
        <v>24962.893789999998</v>
      </c>
      <c r="CN24" s="1788">
        <f t="shared" si="41"/>
        <v>110735.48052000003</v>
      </c>
      <c r="CO24" s="1788">
        <f t="shared" si="41"/>
        <v>26107.542580000001</v>
      </c>
      <c r="CP24" s="1788">
        <f t="shared" si="41"/>
        <v>116417.77357000002</v>
      </c>
      <c r="CQ24" s="1788">
        <f t="shared" si="41"/>
        <v>28047.481379999994</v>
      </c>
      <c r="CR24" s="1788">
        <f t="shared" si="41"/>
        <v>125751.61469</v>
      </c>
      <c r="CS24" s="1788">
        <f t="shared" si="41"/>
        <v>29373.650450000001</v>
      </c>
      <c r="CT24" s="1788">
        <f t="shared" si="41"/>
        <v>11415.11507</v>
      </c>
      <c r="CU24" s="1788">
        <f t="shared" si="41"/>
        <v>1050.5648200000001</v>
      </c>
      <c r="CV24" s="1788">
        <f t="shared" si="41"/>
        <v>18897.326859999997</v>
      </c>
      <c r="CW24" s="1788">
        <f t="shared" si="41"/>
        <v>2346.1130900000003</v>
      </c>
      <c r="CX24" s="1788">
        <f t="shared" si="41"/>
        <v>29159.631959999999</v>
      </c>
      <c r="CY24" s="1788">
        <f t="shared" si="41"/>
        <v>4037.7578600000002</v>
      </c>
      <c r="CZ24" s="1788">
        <f t="shared" si="41"/>
        <v>36135.02436000001</v>
      </c>
      <c r="DA24" s="1788">
        <f t="shared" si="41"/>
        <v>7796.67688</v>
      </c>
      <c r="DB24" s="1788">
        <f t="shared" si="41"/>
        <v>44636.674429999992</v>
      </c>
      <c r="DC24" s="1788">
        <f t="shared" ref="DC24:FN24" si="42">SUM(DC25:DC33)</f>
        <v>9365.8924899999984</v>
      </c>
      <c r="DD24" s="1788">
        <f t="shared" si="42"/>
        <v>59927.899400000002</v>
      </c>
      <c r="DE24" s="1788">
        <f t="shared" si="42"/>
        <v>11607.268429999998</v>
      </c>
      <c r="DF24" s="1788">
        <f t="shared" si="42"/>
        <v>78823.469389999998</v>
      </c>
      <c r="DG24" s="1788">
        <f t="shared" si="42"/>
        <v>12973.517449999999</v>
      </c>
      <c r="DH24" s="1788">
        <f t="shared" si="42"/>
        <v>85432.300029999999</v>
      </c>
      <c r="DI24" s="1788">
        <f t="shared" si="42"/>
        <v>14448.619699999999</v>
      </c>
      <c r="DJ24" s="1788">
        <f t="shared" si="42"/>
        <v>99889.907500000001</v>
      </c>
      <c r="DK24" s="1788">
        <f t="shared" si="42"/>
        <v>16219.782860000001</v>
      </c>
      <c r="DL24" s="1788">
        <f t="shared" si="42"/>
        <v>109689.57196</v>
      </c>
      <c r="DM24" s="1788">
        <f t="shared" si="42"/>
        <v>18030.966329999999</v>
      </c>
      <c r="DN24" s="1788">
        <f t="shared" si="42"/>
        <v>118143.98946</v>
      </c>
      <c r="DO24" s="1788">
        <f t="shared" si="42"/>
        <v>20095.192279999996</v>
      </c>
      <c r="DP24" s="1788">
        <f t="shared" si="42"/>
        <v>134415.61442999999</v>
      </c>
      <c r="DQ24" s="1789">
        <f t="shared" si="42"/>
        <v>23449.047479999997</v>
      </c>
      <c r="DR24" s="1790">
        <f t="shared" si="42"/>
        <v>12720.157140000001</v>
      </c>
      <c r="DS24" s="1791">
        <f t="shared" si="42"/>
        <v>1267.0559099999998</v>
      </c>
      <c r="DT24" s="1792">
        <f t="shared" si="42"/>
        <v>21420.099409999999</v>
      </c>
      <c r="DU24" s="1789">
        <f t="shared" si="42"/>
        <v>3121.6688600000002</v>
      </c>
      <c r="DV24" s="1790">
        <f t="shared" si="42"/>
        <v>28226.57303</v>
      </c>
      <c r="DW24" s="1791">
        <f t="shared" si="42"/>
        <v>4414.2171899999994</v>
      </c>
      <c r="DX24" s="1792">
        <f t="shared" si="42"/>
        <v>36745.611059999996</v>
      </c>
      <c r="DY24" s="1789">
        <f t="shared" si="42"/>
        <v>6379.8083300000008</v>
      </c>
      <c r="DZ24" s="1790">
        <f t="shared" si="42"/>
        <v>51843.011780000001</v>
      </c>
      <c r="EA24" s="1791">
        <f t="shared" si="42"/>
        <v>8082.1886100000002</v>
      </c>
      <c r="EB24" s="1792">
        <f t="shared" si="42"/>
        <v>65356.346109999999</v>
      </c>
      <c r="EC24" s="1789">
        <f t="shared" si="42"/>
        <v>9479.4524299999994</v>
      </c>
      <c r="ED24" s="1790">
        <f t="shared" si="42"/>
        <v>86598.438910000012</v>
      </c>
      <c r="EE24" s="1791">
        <f t="shared" si="42"/>
        <v>10765.306769999999</v>
      </c>
      <c r="EF24" s="1790">
        <f t="shared" si="42"/>
        <v>101281.32435000001</v>
      </c>
      <c r="EG24" s="1793">
        <f t="shared" si="42"/>
        <v>12406.24303</v>
      </c>
      <c r="EH24" s="1790">
        <f t="shared" si="42"/>
        <v>117250.06581</v>
      </c>
      <c r="EI24" s="1793">
        <f t="shared" si="42"/>
        <v>14373.112340000001</v>
      </c>
      <c r="EJ24" s="1790">
        <f t="shared" si="42"/>
        <v>125638.48787000001</v>
      </c>
      <c r="EK24" s="1793">
        <f t="shared" si="42"/>
        <v>17304.667570000001</v>
      </c>
      <c r="EL24" s="1790">
        <f t="shared" si="42"/>
        <v>134712.01310000001</v>
      </c>
      <c r="EM24" s="1793">
        <f t="shared" si="42"/>
        <v>18885.24309</v>
      </c>
      <c r="EN24" s="1790">
        <f t="shared" si="42"/>
        <v>156997.57859999998</v>
      </c>
      <c r="EO24" s="1793">
        <f t="shared" si="42"/>
        <v>21886.56323</v>
      </c>
      <c r="EP24" s="1790">
        <f t="shared" si="42"/>
        <v>18011.76801</v>
      </c>
      <c r="EQ24" s="1793">
        <f t="shared" si="42"/>
        <v>1477.7156599999998</v>
      </c>
      <c r="ER24" s="1790">
        <f t="shared" si="42"/>
        <v>31125.657670000001</v>
      </c>
      <c r="ES24" s="1793">
        <f t="shared" si="42"/>
        <v>3608.8092900000001</v>
      </c>
      <c r="ET24" s="1790">
        <f t="shared" si="42"/>
        <v>44645.430600000007</v>
      </c>
      <c r="EU24" s="1793">
        <f t="shared" si="42"/>
        <v>5837.3170600000003</v>
      </c>
      <c r="EV24" s="1790">
        <f t="shared" si="42"/>
        <v>51959.116740000005</v>
      </c>
      <c r="EW24" s="1793">
        <f t="shared" si="42"/>
        <v>8009.2009600000001</v>
      </c>
      <c r="EX24" s="1790">
        <f t="shared" si="42"/>
        <v>66183.095190000007</v>
      </c>
      <c r="EY24" s="1793">
        <f t="shared" si="42"/>
        <v>10231.39141</v>
      </c>
      <c r="EZ24" s="1790">
        <f t="shared" si="42"/>
        <v>82929.056130000012</v>
      </c>
      <c r="FA24" s="1793">
        <f t="shared" si="42"/>
        <v>12112.881170000001</v>
      </c>
      <c r="FB24" s="1790">
        <f t="shared" si="42"/>
        <v>110867.38786</v>
      </c>
      <c r="FC24" s="1793">
        <f t="shared" si="42"/>
        <v>13694.619940000002</v>
      </c>
      <c r="FD24" s="1790">
        <f t="shared" si="42"/>
        <v>122774.51852999999</v>
      </c>
      <c r="FE24" s="1793">
        <f t="shared" si="42"/>
        <v>30571.804559999997</v>
      </c>
      <c r="FF24" s="1790">
        <f t="shared" si="42"/>
        <v>135496.80436000001</v>
      </c>
      <c r="FG24" s="1793">
        <f t="shared" si="42"/>
        <v>43407.239430000009</v>
      </c>
      <c r="FH24" s="1790">
        <f t="shared" si="42"/>
        <v>151816.37080999996</v>
      </c>
      <c r="FI24" s="1793">
        <f t="shared" si="42"/>
        <v>48543.21390000001</v>
      </c>
      <c r="FJ24" s="1790">
        <f t="shared" si="42"/>
        <v>164551.27359999999</v>
      </c>
      <c r="FK24" s="1793">
        <f t="shared" si="42"/>
        <v>52427.584109999996</v>
      </c>
      <c r="FL24" s="1790">
        <f t="shared" si="42"/>
        <v>182726.86567999999</v>
      </c>
      <c r="FM24" s="1793">
        <f t="shared" si="42"/>
        <v>101191.1551</v>
      </c>
      <c r="FN24" s="1790">
        <f t="shared" si="42"/>
        <v>21142.006679999999</v>
      </c>
      <c r="FO24" s="1793">
        <f t="shared" ref="FO24:HQ24" si="43">SUM(FO25:FO33)</f>
        <v>2715.5302200000001</v>
      </c>
      <c r="FP24" s="1790">
        <f t="shared" si="43"/>
        <v>33650.428969999994</v>
      </c>
      <c r="FQ24" s="1793">
        <f t="shared" si="43"/>
        <v>5394.9490399999995</v>
      </c>
      <c r="FR24" s="1790">
        <f t="shared" si="43"/>
        <v>43527.020799999998</v>
      </c>
      <c r="FS24" s="1793">
        <f t="shared" si="43"/>
        <v>7245.9091500000004</v>
      </c>
      <c r="FT24" s="1790">
        <f t="shared" si="43"/>
        <v>55158.521609999996</v>
      </c>
      <c r="FU24" s="1793">
        <f t="shared" si="43"/>
        <v>9975.694950000001</v>
      </c>
      <c r="FV24" s="1790">
        <f t="shared" si="43"/>
        <v>70645.487830000013</v>
      </c>
      <c r="FW24" s="1793">
        <f t="shared" si="43"/>
        <v>13214.705759999999</v>
      </c>
      <c r="FX24" s="1790">
        <f t="shared" si="43"/>
        <v>83116.112949999995</v>
      </c>
      <c r="FY24" s="1793">
        <f t="shared" si="43"/>
        <v>16109.857970000003</v>
      </c>
      <c r="FZ24" s="1790">
        <f t="shared" si="43"/>
        <v>112164.20629</v>
      </c>
      <c r="GA24" s="1793">
        <f t="shared" si="43"/>
        <v>18642.375059999998</v>
      </c>
      <c r="GB24" s="1790">
        <f t="shared" si="43"/>
        <v>130055.19643</v>
      </c>
      <c r="GC24" s="1793">
        <f t="shared" si="43"/>
        <v>20932.258530000003</v>
      </c>
      <c r="GD24" s="1790">
        <f t="shared" si="43"/>
        <v>144870.92900999999</v>
      </c>
      <c r="GE24" s="1793">
        <f t="shared" si="43"/>
        <v>23455.94642</v>
      </c>
      <c r="GF24" s="1790">
        <f t="shared" si="43"/>
        <v>155955.11298000001</v>
      </c>
      <c r="GG24" s="1793">
        <f t="shared" si="43"/>
        <v>26758.782350000001</v>
      </c>
      <c r="GH24" s="1790">
        <f t="shared" si="43"/>
        <v>177043.84543999998</v>
      </c>
      <c r="GI24" s="1793">
        <f t="shared" si="43"/>
        <v>32574.149099999995</v>
      </c>
      <c r="GJ24" s="1790">
        <f t="shared" si="43"/>
        <v>204698.39569</v>
      </c>
      <c r="GK24" s="1793">
        <f t="shared" si="43"/>
        <v>37542.687669999992</v>
      </c>
      <c r="GL24" s="1790">
        <f t="shared" si="43"/>
        <v>22457.63263</v>
      </c>
      <c r="GM24" s="1793">
        <f t="shared" si="43"/>
        <v>3403.9076</v>
      </c>
      <c r="GN24" s="1790">
        <f t="shared" si="43"/>
        <v>33068.5671</v>
      </c>
      <c r="GO24" s="1793">
        <f t="shared" si="43"/>
        <v>5993.6199399999996</v>
      </c>
      <c r="GP24" s="1790">
        <f t="shared" si="43"/>
        <v>42885.394209999991</v>
      </c>
      <c r="GQ24" s="1793">
        <f t="shared" si="43"/>
        <v>8461.8258000000005</v>
      </c>
      <c r="GR24" s="1790">
        <f t="shared" si="43"/>
        <v>58824.494919999997</v>
      </c>
      <c r="GS24" s="1793">
        <f t="shared" si="43"/>
        <v>13321.47579</v>
      </c>
      <c r="GT24" s="1790">
        <f t="shared" si="43"/>
        <v>75997.466390000001</v>
      </c>
      <c r="GU24" s="1793">
        <f t="shared" si="43"/>
        <v>17477.724620000001</v>
      </c>
      <c r="GV24" s="1790">
        <f t="shared" si="43"/>
        <v>91130.261339999997</v>
      </c>
      <c r="GW24" s="1793">
        <f t="shared" si="43"/>
        <v>20152.920969999999</v>
      </c>
      <c r="GX24" s="1790">
        <f t="shared" si="43"/>
        <v>122796.72810000001</v>
      </c>
      <c r="GY24" s="1793">
        <f t="shared" si="43"/>
        <v>24458.200420000001</v>
      </c>
      <c r="GZ24" s="1790">
        <f t="shared" si="43"/>
        <v>137758.39990000002</v>
      </c>
      <c r="HA24" s="1793">
        <f t="shared" si="43"/>
        <v>27476.225520000004</v>
      </c>
      <c r="HB24" s="1790">
        <f t="shared" si="43"/>
        <v>155877.25226999997</v>
      </c>
      <c r="HC24" s="1793">
        <f t="shared" si="43"/>
        <v>31177.109970000001</v>
      </c>
      <c r="HD24" s="1790">
        <f t="shared" si="43"/>
        <v>168068.28180000003</v>
      </c>
      <c r="HE24" s="1793">
        <f t="shared" si="43"/>
        <v>34778.735549999998</v>
      </c>
      <c r="HF24" s="1790">
        <f t="shared" si="43"/>
        <v>186318.02481</v>
      </c>
      <c r="HG24" s="1793">
        <f t="shared" si="43"/>
        <v>40414.422919999997</v>
      </c>
      <c r="HH24" s="1790">
        <f t="shared" si="43"/>
        <v>206976.89234000002</v>
      </c>
      <c r="HI24" s="1793">
        <f t="shared" si="43"/>
        <v>46302.285130000004</v>
      </c>
      <c r="HJ24" s="1790">
        <f t="shared" si="43"/>
        <v>22772.179320000003</v>
      </c>
      <c r="HK24" s="1793">
        <f t="shared" si="43"/>
        <v>2633.2759900000001</v>
      </c>
      <c r="HL24" s="1790">
        <f t="shared" si="43"/>
        <v>41953.910990000004</v>
      </c>
      <c r="HM24" s="1793">
        <f t="shared" si="43"/>
        <v>6723.4205900000006</v>
      </c>
      <c r="HN24" s="1790">
        <f t="shared" si="43"/>
        <v>56577.331260000006</v>
      </c>
      <c r="HO24" s="1793">
        <f t="shared" si="43"/>
        <v>9533.5991799999993</v>
      </c>
      <c r="HP24" s="1790">
        <f t="shared" si="43"/>
        <v>74735.412270000001</v>
      </c>
      <c r="HQ24" s="1793">
        <f t="shared" si="43"/>
        <v>14327.844389999997</v>
      </c>
      <c r="HR24" s="1790">
        <f t="shared" ref="HR24:HS24" si="44">SUM(HR25:HR33)</f>
        <v>89390.89417</v>
      </c>
      <c r="HS24" s="1793">
        <f t="shared" si="44"/>
        <v>18408.062499999996</v>
      </c>
      <c r="HT24" s="1790">
        <v>120366.56041000002</v>
      </c>
      <c r="HU24" s="1793">
        <v>22580.311659999999</v>
      </c>
      <c r="HV24" s="1794" t="s">
        <v>3183</v>
      </c>
      <c r="HX24" s="1812"/>
    </row>
    <row r="25" spans="1:232" s="1774" customFormat="1" ht="22.5" customHeight="1">
      <c r="A25" s="1795" t="s">
        <v>2299</v>
      </c>
      <c r="B25" s="1796">
        <v>4720.3086299999995</v>
      </c>
      <c r="C25" s="1796">
        <v>0</v>
      </c>
      <c r="D25" s="1796">
        <v>4860.3086299999995</v>
      </c>
      <c r="E25" s="1796">
        <v>0</v>
      </c>
      <c r="F25" s="1796">
        <v>4720.3086299999995</v>
      </c>
      <c r="G25" s="1796">
        <v>0</v>
      </c>
      <c r="H25" s="1796">
        <v>5379.7733499999995</v>
      </c>
      <c r="I25" s="1796">
        <v>0</v>
      </c>
      <c r="J25" s="1796">
        <v>5380.7863600000001</v>
      </c>
      <c r="K25" s="1796">
        <v>15.593999999999999</v>
      </c>
      <c r="L25" s="1796">
        <v>5056.3874999999998</v>
      </c>
      <c r="M25" s="1796">
        <v>0</v>
      </c>
      <c r="N25" s="1796">
        <v>10089.64767</v>
      </c>
      <c r="O25" s="1796">
        <v>15.593999999999999</v>
      </c>
      <c r="P25" s="1796">
        <v>10069.44291</v>
      </c>
      <c r="Q25" s="1796">
        <v>15.593999999999999</v>
      </c>
      <c r="R25" s="1796">
        <v>10369.00153</v>
      </c>
      <c r="S25" s="1796">
        <v>15.593999999999999</v>
      </c>
      <c r="T25" s="1796">
        <v>10487.315130000001</v>
      </c>
      <c r="U25" s="1796">
        <v>0</v>
      </c>
      <c r="V25" s="1796">
        <v>10535.724779999999</v>
      </c>
      <c r="W25" s="1796">
        <v>0</v>
      </c>
      <c r="X25" s="1796">
        <v>10561.901199999998</v>
      </c>
      <c r="Y25" s="1796">
        <v>0</v>
      </c>
      <c r="Z25" s="1796">
        <v>4253.1487800000004</v>
      </c>
      <c r="AA25" s="1796">
        <v>0</v>
      </c>
      <c r="AB25" s="1796">
        <v>4331.05746</v>
      </c>
      <c r="AC25" s="1796">
        <v>0</v>
      </c>
      <c r="AD25" s="1796">
        <v>4400.4952999999996</v>
      </c>
      <c r="AE25" s="1796">
        <v>0</v>
      </c>
      <c r="AF25" s="1796">
        <v>5115.2739299999994</v>
      </c>
      <c r="AG25" s="1796">
        <v>0</v>
      </c>
      <c r="AH25" s="1796">
        <v>5280.1044900000006</v>
      </c>
      <c r="AI25" s="1796">
        <v>0</v>
      </c>
      <c r="AJ25" s="1796">
        <v>5288.8562599999996</v>
      </c>
      <c r="AK25" s="1796">
        <v>246.5</v>
      </c>
      <c r="AL25" s="1796">
        <v>9841.4102400000011</v>
      </c>
      <c r="AM25" s="1796">
        <v>246.5</v>
      </c>
      <c r="AN25" s="1796">
        <v>9880.8426400000008</v>
      </c>
      <c r="AO25" s="1796">
        <v>246.5</v>
      </c>
      <c r="AP25" s="1796">
        <v>10029.762560000001</v>
      </c>
      <c r="AQ25" s="1796">
        <v>246.5</v>
      </c>
      <c r="AR25" s="1796">
        <v>10083.377409999999</v>
      </c>
      <c r="AS25" s="1796">
        <v>246.5</v>
      </c>
      <c r="AT25" s="1796">
        <v>10185.74418</v>
      </c>
      <c r="AU25" s="1796">
        <v>246.5</v>
      </c>
      <c r="AV25" s="1796">
        <v>10334.85556</v>
      </c>
      <c r="AW25" s="1796">
        <v>873.20961999999997</v>
      </c>
      <c r="AX25" s="1796">
        <v>4369.7519400000001</v>
      </c>
      <c r="AY25" s="1796">
        <v>20.105779999999999</v>
      </c>
      <c r="AZ25" s="1796">
        <v>4972.1195299999999</v>
      </c>
      <c r="BA25" s="1796">
        <v>20.105779999999999</v>
      </c>
      <c r="BB25" s="1796">
        <v>5173.7987000000003</v>
      </c>
      <c r="BC25" s="1796">
        <v>21.184740000000001</v>
      </c>
      <c r="BD25" s="1796">
        <v>5184.6213399999997</v>
      </c>
      <c r="BE25" s="1796">
        <v>21.184740000000001</v>
      </c>
      <c r="BF25" s="1796">
        <v>5184.6213399999997</v>
      </c>
      <c r="BG25" s="1796">
        <v>4521.1847400000006</v>
      </c>
      <c r="BH25" s="1796">
        <v>5439.8606500000005</v>
      </c>
      <c r="BI25" s="1796">
        <v>5026.6389300000001</v>
      </c>
      <c r="BJ25" s="1796">
        <v>10546.62148</v>
      </c>
      <c r="BK25" s="1796">
        <v>5695.2975800000004</v>
      </c>
      <c r="BL25" s="1796">
        <v>10571.84424</v>
      </c>
      <c r="BM25" s="1796">
        <v>5695.2975800000004</v>
      </c>
      <c r="BN25" s="1796">
        <v>10603.503650000001</v>
      </c>
      <c r="BO25" s="1796">
        <v>5695.2975900000001</v>
      </c>
      <c r="BP25" s="1796">
        <v>10616.96508</v>
      </c>
      <c r="BQ25" s="1796">
        <v>5695.2975800000004</v>
      </c>
      <c r="BR25" s="1796">
        <v>10616.96508</v>
      </c>
      <c r="BS25" s="1796">
        <v>5695.2975900000001</v>
      </c>
      <c r="BT25" s="1796">
        <v>10637.270759999999</v>
      </c>
      <c r="BU25" s="1796">
        <v>19227.297579999999</v>
      </c>
      <c r="BV25" s="1796">
        <v>4883.7342500000004</v>
      </c>
      <c r="BW25" s="1796">
        <v>0</v>
      </c>
      <c r="BX25" s="1796">
        <v>5475.1074400000007</v>
      </c>
      <c r="BY25" s="1796">
        <v>412.54192</v>
      </c>
      <c r="BZ25" s="1796">
        <v>5637.3720599999997</v>
      </c>
      <c r="CA25" s="1796">
        <v>330.16346000000004</v>
      </c>
      <c r="CB25" s="1796">
        <v>5637.3720599999997</v>
      </c>
      <c r="CC25" s="1796">
        <v>1647.15346</v>
      </c>
      <c r="CD25" s="1796">
        <v>5637.3720599999997</v>
      </c>
      <c r="CE25" s="1796">
        <v>1647.15346</v>
      </c>
      <c r="CF25" s="1796">
        <v>5644.7466399999994</v>
      </c>
      <c r="CG25" s="1796">
        <v>1647.15346</v>
      </c>
      <c r="CH25" s="1796">
        <v>9347.7946300000003</v>
      </c>
      <c r="CI25" s="1796">
        <v>1647.15346</v>
      </c>
      <c r="CJ25" s="1796">
        <v>15788.293900000001</v>
      </c>
      <c r="CK25" s="1796">
        <v>1647.15346</v>
      </c>
      <c r="CL25" s="1796">
        <v>15788.29191</v>
      </c>
      <c r="CM25" s="1796">
        <v>1647.15346</v>
      </c>
      <c r="CN25" s="1796">
        <v>15703.334720000001</v>
      </c>
      <c r="CO25" s="1796">
        <v>1647.15346</v>
      </c>
      <c r="CP25" s="1796">
        <v>15753.563890000001</v>
      </c>
      <c r="CQ25" s="1796">
        <v>2061.1034599999998</v>
      </c>
      <c r="CR25" s="1796">
        <v>15753.563890000001</v>
      </c>
      <c r="CS25" s="1796">
        <v>2061.1034599999998</v>
      </c>
      <c r="CT25" s="1796">
        <v>3456.9119799999999</v>
      </c>
      <c r="CU25" s="1796">
        <v>0</v>
      </c>
      <c r="CV25" s="1796">
        <v>3456.9119799999999</v>
      </c>
      <c r="CW25" s="1796">
        <v>98.6</v>
      </c>
      <c r="CX25" s="1796">
        <v>4140.8688099999999</v>
      </c>
      <c r="CY25" s="1796">
        <v>98.6</v>
      </c>
      <c r="CZ25" s="1796">
        <v>4140.8688099999999</v>
      </c>
      <c r="DA25" s="1796">
        <v>98.6</v>
      </c>
      <c r="DB25" s="1796">
        <v>4140.8688099999999</v>
      </c>
      <c r="DC25" s="1796">
        <v>98.6</v>
      </c>
      <c r="DD25" s="1796">
        <v>4140.8688099999999</v>
      </c>
      <c r="DE25" s="1796">
        <v>1126.5242700000001</v>
      </c>
      <c r="DF25" s="1796">
        <v>14348.888070000001</v>
      </c>
      <c r="DG25" s="1796">
        <v>1143.5242700000001</v>
      </c>
      <c r="DH25" s="1796">
        <v>14348.888630000001</v>
      </c>
      <c r="DI25" s="1796">
        <v>1143.5242700000001</v>
      </c>
      <c r="DJ25" s="1796">
        <v>15916.83669</v>
      </c>
      <c r="DK25" s="1796">
        <v>1143.5242700000001</v>
      </c>
      <c r="DL25" s="1796">
        <v>15916.83669</v>
      </c>
      <c r="DM25" s="1796">
        <v>1143.5242699999999</v>
      </c>
      <c r="DN25" s="1796">
        <v>15916.83669</v>
      </c>
      <c r="DO25" s="1796">
        <v>1143.5242699999999</v>
      </c>
      <c r="DP25" s="1796">
        <v>15916.83669</v>
      </c>
      <c r="DQ25" s="1797">
        <v>2329.8809200000001</v>
      </c>
      <c r="DR25" s="1798">
        <v>2710.6490800000001</v>
      </c>
      <c r="DS25" s="1799">
        <v>0</v>
      </c>
      <c r="DT25" s="1800">
        <v>2710.6494899999998</v>
      </c>
      <c r="DU25" s="1797">
        <v>0</v>
      </c>
      <c r="DV25" s="1798">
        <v>2710.6494899999998</v>
      </c>
      <c r="DW25" s="1799">
        <v>0</v>
      </c>
      <c r="DX25" s="1800">
        <v>2710.6494899999998</v>
      </c>
      <c r="DY25" s="1797">
        <v>0</v>
      </c>
      <c r="DZ25" s="1798">
        <v>2710.6494899999998</v>
      </c>
      <c r="EA25" s="1799">
        <v>0</v>
      </c>
      <c r="EB25" s="1800">
        <v>7109.8117499999998</v>
      </c>
      <c r="EC25" s="1797">
        <v>0</v>
      </c>
      <c r="ED25" s="1798">
        <v>18878.266490000002</v>
      </c>
      <c r="EE25" s="1799">
        <v>40.799999999999997</v>
      </c>
      <c r="EF25" s="1798">
        <v>21263.646909999999</v>
      </c>
      <c r="EG25" s="1799">
        <v>40.799999999999997</v>
      </c>
      <c r="EH25" s="1800">
        <v>21263.646909999999</v>
      </c>
      <c r="EI25" s="1799">
        <v>40.799999999999997</v>
      </c>
      <c r="EJ25" s="1800">
        <v>21275.907800000001</v>
      </c>
      <c r="EK25" s="1799">
        <v>57.8</v>
      </c>
      <c r="EL25" s="1798">
        <v>21305.202550000002</v>
      </c>
      <c r="EM25" s="1801">
        <v>57.8</v>
      </c>
      <c r="EN25" s="1798">
        <v>21527.34779</v>
      </c>
      <c r="EO25" s="1801">
        <v>74.8</v>
      </c>
      <c r="EP25" s="1798">
        <v>96.162490000000005</v>
      </c>
      <c r="EQ25" s="1801">
        <v>0</v>
      </c>
      <c r="ER25" s="1798">
        <v>96.162490000000005</v>
      </c>
      <c r="ES25" s="1801">
        <v>0</v>
      </c>
      <c r="ET25" s="1798">
        <v>96.162490000000005</v>
      </c>
      <c r="EU25" s="1801">
        <v>0</v>
      </c>
      <c r="EV25" s="1798">
        <v>100.77070999999999</v>
      </c>
      <c r="EW25" s="1801">
        <v>0</v>
      </c>
      <c r="EX25" s="1798">
        <v>1970.77071</v>
      </c>
      <c r="EY25" s="1801">
        <v>0</v>
      </c>
      <c r="EZ25" s="1798">
        <v>1970.77071</v>
      </c>
      <c r="FA25" s="1801">
        <v>0</v>
      </c>
      <c r="FB25" s="1798">
        <v>19866.0465</v>
      </c>
      <c r="FC25" s="1801">
        <v>0</v>
      </c>
      <c r="FD25" s="1798">
        <v>19256.739300000001</v>
      </c>
      <c r="FE25" s="1801">
        <v>0</v>
      </c>
      <c r="FF25" s="1798">
        <v>19267.353300000002</v>
      </c>
      <c r="FG25" s="1801">
        <v>17</v>
      </c>
      <c r="FH25" s="1798">
        <v>19267.353299999999</v>
      </c>
      <c r="FI25" s="1801">
        <v>17</v>
      </c>
      <c r="FJ25" s="1798">
        <v>20020.886890000002</v>
      </c>
      <c r="FK25" s="1801">
        <v>448.32751999999999</v>
      </c>
      <c r="FL25" s="1798">
        <v>22169.913929999999</v>
      </c>
      <c r="FM25" s="1801">
        <v>448.32751999999999</v>
      </c>
      <c r="FN25" s="1798">
        <v>1413.22488</v>
      </c>
      <c r="FO25" s="1801">
        <v>28.27027</v>
      </c>
      <c r="FP25" s="1798">
        <v>2416.3747000000003</v>
      </c>
      <c r="FQ25" s="1801">
        <v>28.27027</v>
      </c>
      <c r="FR25" s="1798">
        <v>2432.4846600000001</v>
      </c>
      <c r="FS25" s="1801">
        <v>28.27027</v>
      </c>
      <c r="FT25" s="1798">
        <v>3622.0216999999998</v>
      </c>
      <c r="FU25" s="1801">
        <v>49.71302</v>
      </c>
      <c r="FV25" s="1798">
        <v>5612.9353000000001</v>
      </c>
      <c r="FW25" s="1801">
        <v>49.734250000000003</v>
      </c>
      <c r="FX25" s="1798">
        <v>5692.1147499999997</v>
      </c>
      <c r="FY25" s="1801">
        <v>793.07318999999995</v>
      </c>
      <c r="FZ25" s="1798">
        <v>21754.686689999999</v>
      </c>
      <c r="GA25" s="1801">
        <v>793.07318999999995</v>
      </c>
      <c r="GB25" s="1798">
        <v>21754.686689999999</v>
      </c>
      <c r="GC25" s="1801">
        <v>793.07318999999995</v>
      </c>
      <c r="GD25" s="1798">
        <v>21763.511210000001</v>
      </c>
      <c r="GE25" s="1801">
        <v>793.07318999999995</v>
      </c>
      <c r="GF25" s="1798">
        <v>21763.511210000001</v>
      </c>
      <c r="GG25" s="1801">
        <v>793.07318999999995</v>
      </c>
      <c r="GH25" s="1798">
        <v>21763.511210000001</v>
      </c>
      <c r="GI25" s="1801">
        <v>793.07318999999995</v>
      </c>
      <c r="GJ25" s="1798">
        <v>21823.20246</v>
      </c>
      <c r="GK25" s="1801">
        <v>793.07320000000004</v>
      </c>
      <c r="GL25" s="1798">
        <v>0</v>
      </c>
      <c r="GM25" s="1801">
        <v>0</v>
      </c>
      <c r="GN25" s="1798">
        <v>0</v>
      </c>
      <c r="GO25" s="1801">
        <v>0</v>
      </c>
      <c r="GP25" s="1798">
        <v>0</v>
      </c>
      <c r="GQ25" s="1801">
        <v>0</v>
      </c>
      <c r="GR25" s="1798">
        <v>0</v>
      </c>
      <c r="GS25" s="1801">
        <v>0</v>
      </c>
      <c r="GT25" s="1798">
        <v>1651.7336</v>
      </c>
      <c r="GU25" s="1801">
        <v>0</v>
      </c>
      <c r="GV25" s="1798">
        <v>1651.7336</v>
      </c>
      <c r="GW25" s="1801">
        <v>0</v>
      </c>
      <c r="GX25" s="1798">
        <v>13621.841839999999</v>
      </c>
      <c r="GY25" s="1801">
        <v>0</v>
      </c>
      <c r="GZ25" s="1798">
        <v>14159.24308</v>
      </c>
      <c r="HA25" s="1801">
        <v>0</v>
      </c>
      <c r="HB25" s="1798">
        <v>14175.02002</v>
      </c>
      <c r="HC25" s="1801">
        <v>0</v>
      </c>
      <c r="HD25" s="1798">
        <v>14175.02002</v>
      </c>
      <c r="HE25" s="1801">
        <v>0</v>
      </c>
      <c r="HF25" s="1798">
        <v>14856.599319999999</v>
      </c>
      <c r="HG25" s="1801">
        <v>0</v>
      </c>
      <c r="HH25" s="1798">
        <v>15298.22126</v>
      </c>
      <c r="HI25" s="1801">
        <v>0</v>
      </c>
      <c r="HJ25" s="1798">
        <v>0.26722000000000001</v>
      </c>
      <c r="HK25" s="1801">
        <v>0</v>
      </c>
      <c r="HL25" s="1798">
        <v>0.29526999999999998</v>
      </c>
      <c r="HM25" s="1801">
        <v>322.80795000000001</v>
      </c>
      <c r="HN25" s="1798">
        <v>58.27825</v>
      </c>
      <c r="HO25" s="1801">
        <v>322.80795000000001</v>
      </c>
      <c r="HP25" s="1798">
        <v>115.40037</v>
      </c>
      <c r="HQ25" s="1801">
        <v>322.80795000000001</v>
      </c>
      <c r="HR25" s="1798">
        <v>887.09997999999996</v>
      </c>
      <c r="HS25" s="1801">
        <v>322.80795000000001</v>
      </c>
      <c r="HT25" s="1798">
        <v>907.67337999999995</v>
      </c>
      <c r="HU25" s="1801">
        <v>322.80795000000001</v>
      </c>
      <c r="HV25" s="1802" t="s">
        <v>3184</v>
      </c>
    </row>
    <row r="26" spans="1:232" s="1774" customFormat="1" ht="22.5" customHeight="1">
      <c r="A26" s="1795" t="s">
        <v>2298</v>
      </c>
      <c r="B26" s="1796">
        <v>2854.4523199999999</v>
      </c>
      <c r="C26" s="1796">
        <v>368.20645999999999</v>
      </c>
      <c r="D26" s="1796">
        <v>5070.6043399999999</v>
      </c>
      <c r="E26" s="1796">
        <v>546.20497</v>
      </c>
      <c r="F26" s="1796">
        <v>7169.9546300000002</v>
      </c>
      <c r="G26" s="1796">
        <v>644.6536000000001</v>
      </c>
      <c r="H26" s="1796">
        <v>8748.302740000001</v>
      </c>
      <c r="I26" s="1796">
        <v>737.04581999999994</v>
      </c>
      <c r="J26" s="1796">
        <v>12527.536189999999</v>
      </c>
      <c r="K26" s="1796">
        <v>1078.29718</v>
      </c>
      <c r="L26" s="1796">
        <v>15965.44533</v>
      </c>
      <c r="M26" s="1796">
        <v>1457.55834</v>
      </c>
      <c r="N26" s="1796">
        <v>19018.723959999999</v>
      </c>
      <c r="O26" s="1796">
        <v>1520.4034299999998</v>
      </c>
      <c r="P26" s="1796">
        <v>21824.591680000001</v>
      </c>
      <c r="Q26" s="1796">
        <v>1864.7352700000001</v>
      </c>
      <c r="R26" s="1796">
        <v>29426.052070000002</v>
      </c>
      <c r="S26" s="1796">
        <v>1956.1366399999999</v>
      </c>
      <c r="T26" s="1796">
        <v>31710.83769</v>
      </c>
      <c r="U26" s="1796">
        <v>2049.9261299999998</v>
      </c>
      <c r="V26" s="1796">
        <v>35218.879350000003</v>
      </c>
      <c r="W26" s="1796">
        <v>2151.4666899999997</v>
      </c>
      <c r="X26" s="1796">
        <v>37813.447919999999</v>
      </c>
      <c r="Y26" s="1796">
        <v>2214.3898499999996</v>
      </c>
      <c r="Z26" s="1796">
        <v>3465.7083899999998</v>
      </c>
      <c r="AA26" s="1796">
        <v>36.875449999999994</v>
      </c>
      <c r="AB26" s="1796">
        <v>8720.9691000000003</v>
      </c>
      <c r="AC26" s="1796">
        <v>111.62860999999999</v>
      </c>
      <c r="AD26" s="1796">
        <v>22863.153870000002</v>
      </c>
      <c r="AE26" s="1796">
        <v>135.18967000000001</v>
      </c>
      <c r="AF26" s="1796">
        <v>25506.073329999999</v>
      </c>
      <c r="AG26" s="1796">
        <v>410.17484000000002</v>
      </c>
      <c r="AH26" s="1796">
        <v>27793.636690000003</v>
      </c>
      <c r="AI26" s="1796">
        <v>443.16640000000001</v>
      </c>
      <c r="AJ26" s="1796">
        <v>31887.73703</v>
      </c>
      <c r="AK26" s="1796">
        <v>476.76499000000001</v>
      </c>
      <c r="AL26" s="1796">
        <v>34456.407490000005</v>
      </c>
      <c r="AM26" s="1796">
        <v>771.71976000000006</v>
      </c>
      <c r="AN26" s="1796">
        <v>39447.605439999999</v>
      </c>
      <c r="AO26" s="1796">
        <v>816.18037000000004</v>
      </c>
      <c r="AP26" s="1796">
        <v>48293.257230000003</v>
      </c>
      <c r="AQ26" s="1796">
        <v>1775.713</v>
      </c>
      <c r="AR26" s="1796">
        <v>50823.553659999998</v>
      </c>
      <c r="AS26" s="1796">
        <v>2043.6151</v>
      </c>
      <c r="AT26" s="1796">
        <v>53670.77289</v>
      </c>
      <c r="AU26" s="1796">
        <v>2673.9180000000001</v>
      </c>
      <c r="AV26" s="1796">
        <v>59373.386460000002</v>
      </c>
      <c r="AW26" s="1796">
        <v>3074.25711</v>
      </c>
      <c r="AX26" s="1796">
        <v>3170.0090699999996</v>
      </c>
      <c r="AY26" s="1796">
        <v>326.49990000000003</v>
      </c>
      <c r="AZ26" s="1796">
        <v>7042.4854699999996</v>
      </c>
      <c r="BA26" s="1796">
        <v>622.07792000000006</v>
      </c>
      <c r="BB26" s="1796">
        <v>10250.33474</v>
      </c>
      <c r="BC26" s="1796">
        <v>734.2319399999999</v>
      </c>
      <c r="BD26" s="1796">
        <v>12967.758159999999</v>
      </c>
      <c r="BE26" s="1796">
        <v>848.68651999999997</v>
      </c>
      <c r="BF26" s="1796">
        <v>18086.584019999998</v>
      </c>
      <c r="BG26" s="1796">
        <v>1096.6253300000001</v>
      </c>
      <c r="BH26" s="1796">
        <v>21054.802769999998</v>
      </c>
      <c r="BI26" s="1796">
        <v>1238.90327</v>
      </c>
      <c r="BJ26" s="1796">
        <v>25559.760920000001</v>
      </c>
      <c r="BK26" s="1796">
        <v>1362.91516</v>
      </c>
      <c r="BL26" s="1796">
        <v>27634.398670000002</v>
      </c>
      <c r="BM26" s="1796">
        <v>1455.13958</v>
      </c>
      <c r="BN26" s="1796">
        <v>37872.909849999996</v>
      </c>
      <c r="BO26" s="1796">
        <v>1686.85653</v>
      </c>
      <c r="BP26" s="1796">
        <v>42035.654270000006</v>
      </c>
      <c r="BQ26" s="1796">
        <v>1832.1260400000001</v>
      </c>
      <c r="BR26" s="1796">
        <v>45924.370759999998</v>
      </c>
      <c r="BS26" s="1796">
        <v>1863.97219</v>
      </c>
      <c r="BT26" s="1796">
        <v>51069.017890000003</v>
      </c>
      <c r="BU26" s="1796">
        <v>2171.6981600000004</v>
      </c>
      <c r="BV26" s="1796">
        <v>3915.71272</v>
      </c>
      <c r="BW26" s="1796">
        <v>330.82452000000001</v>
      </c>
      <c r="BX26" s="1796">
        <v>6338.5014199999996</v>
      </c>
      <c r="BY26" s="1796">
        <v>384.6223</v>
      </c>
      <c r="BZ26" s="1796">
        <v>9556.6000999999997</v>
      </c>
      <c r="CA26" s="1796">
        <v>869.27751999999998</v>
      </c>
      <c r="CB26" s="1796">
        <v>12184.052119999998</v>
      </c>
      <c r="CC26" s="1796">
        <v>948.43584999999996</v>
      </c>
      <c r="CD26" s="1796">
        <v>15540.400750000001</v>
      </c>
      <c r="CE26" s="1796">
        <v>1081.1816799999999</v>
      </c>
      <c r="CF26" s="1796">
        <v>19703.52463</v>
      </c>
      <c r="CG26" s="1796">
        <v>1150.19129</v>
      </c>
      <c r="CH26" s="1796">
        <v>30328.256069999999</v>
      </c>
      <c r="CI26" s="1796">
        <v>1326.66623</v>
      </c>
      <c r="CJ26" s="1796">
        <v>36870.333740000002</v>
      </c>
      <c r="CK26" s="1796">
        <v>1806.5528200000001</v>
      </c>
      <c r="CL26" s="1796">
        <v>43799.565539999996</v>
      </c>
      <c r="CM26" s="1796">
        <v>12965.52025</v>
      </c>
      <c r="CN26" s="1796">
        <v>47443.285899999995</v>
      </c>
      <c r="CO26" s="1796">
        <v>13101.2215</v>
      </c>
      <c r="CP26" s="1796">
        <v>49939.987529999999</v>
      </c>
      <c r="CQ26" s="1796">
        <v>13357.93687</v>
      </c>
      <c r="CR26" s="1796">
        <v>56281.659610000002</v>
      </c>
      <c r="CS26" s="1796">
        <v>13383.299130000001</v>
      </c>
      <c r="CT26" s="1796">
        <v>4313.9287599999998</v>
      </c>
      <c r="CU26" s="1796">
        <v>268.01778000000002</v>
      </c>
      <c r="CV26" s="1796">
        <v>6796.5787499999997</v>
      </c>
      <c r="CW26" s="1796">
        <v>448.69675999999998</v>
      </c>
      <c r="CX26" s="1796">
        <v>12773.14553</v>
      </c>
      <c r="CY26" s="1796">
        <v>423.46731</v>
      </c>
      <c r="CZ26" s="1796">
        <v>15854.969800000001</v>
      </c>
      <c r="DA26" s="1796">
        <v>2677.4093900000003</v>
      </c>
      <c r="DB26" s="1796">
        <v>20403.13336</v>
      </c>
      <c r="DC26" s="1796">
        <v>2789.1127999999999</v>
      </c>
      <c r="DD26" s="1796">
        <v>29387.88121</v>
      </c>
      <c r="DE26" s="1796">
        <v>2890.7373399999997</v>
      </c>
      <c r="DF26" s="1796">
        <v>31488.856609999999</v>
      </c>
      <c r="DG26" s="1796">
        <v>2989.29061</v>
      </c>
      <c r="DH26" s="1796">
        <v>33557.40582</v>
      </c>
      <c r="DI26" s="1796">
        <v>3108.7934799999998</v>
      </c>
      <c r="DJ26" s="1796">
        <v>41879.864560000002</v>
      </c>
      <c r="DK26" s="1796">
        <v>3410.7299600000001</v>
      </c>
      <c r="DL26" s="1796">
        <v>47068.617160000002</v>
      </c>
      <c r="DM26" s="1796">
        <v>3705.9066800000001</v>
      </c>
      <c r="DN26" s="1796">
        <v>48953.995029999998</v>
      </c>
      <c r="DO26" s="1796">
        <v>4060.8981699999999</v>
      </c>
      <c r="DP26" s="1796">
        <v>55792.715989999997</v>
      </c>
      <c r="DQ26" s="1797">
        <v>4412.99611</v>
      </c>
      <c r="DR26" s="1798">
        <v>3406.4238</v>
      </c>
      <c r="DS26" s="1799">
        <v>92.871780000000001</v>
      </c>
      <c r="DT26" s="1800">
        <v>6587.6168100000004</v>
      </c>
      <c r="DU26" s="1797">
        <v>410.13549</v>
      </c>
      <c r="DV26" s="1798">
        <v>9824.0387499999997</v>
      </c>
      <c r="DW26" s="1799">
        <v>508.38362000000001</v>
      </c>
      <c r="DX26" s="1800">
        <v>13294.510389999999</v>
      </c>
      <c r="DY26" s="1797">
        <v>541.73753999999997</v>
      </c>
      <c r="DZ26" s="1798">
        <v>23607.472730000001</v>
      </c>
      <c r="EA26" s="1799">
        <v>768.20460000000003</v>
      </c>
      <c r="EB26" s="1800">
        <v>27913.508460000001</v>
      </c>
      <c r="EC26" s="1797">
        <v>808.20567000000005</v>
      </c>
      <c r="ED26" s="1798">
        <v>32289.330969999999</v>
      </c>
      <c r="EE26" s="1799">
        <v>889.45938999999998</v>
      </c>
      <c r="EF26" s="1798">
        <v>37947.428160000003</v>
      </c>
      <c r="EG26" s="1799">
        <v>1112.4813200000001</v>
      </c>
      <c r="EH26" s="1800">
        <v>47295.331639999997</v>
      </c>
      <c r="EI26" s="1799">
        <v>1182.9741799999999</v>
      </c>
      <c r="EJ26" s="1800">
        <v>51131.116479999997</v>
      </c>
      <c r="EK26" s="1799">
        <v>1263.63519</v>
      </c>
      <c r="EL26" s="1798">
        <v>54748.369449999998</v>
      </c>
      <c r="EM26" s="1801">
        <v>1352.45856</v>
      </c>
      <c r="EN26" s="1798">
        <v>66350.701499999996</v>
      </c>
      <c r="EO26" s="1801">
        <v>1428.4406899999999</v>
      </c>
      <c r="EP26" s="1798">
        <v>4733.7252400000007</v>
      </c>
      <c r="EQ26" s="1801">
        <v>69.275240000000011</v>
      </c>
      <c r="ER26" s="1798">
        <v>12134.438390000001</v>
      </c>
      <c r="ES26" s="1801">
        <v>170.65404999999998</v>
      </c>
      <c r="ET26" s="1798">
        <v>21327.604520000001</v>
      </c>
      <c r="EU26" s="1801">
        <v>274.67198000000002</v>
      </c>
      <c r="EV26" s="1798">
        <v>23341.019199999999</v>
      </c>
      <c r="EW26" s="1801">
        <v>696.25460999999996</v>
      </c>
      <c r="EX26" s="1798">
        <v>28761.570350000002</v>
      </c>
      <c r="EY26" s="1801">
        <v>1296.80592</v>
      </c>
      <c r="EZ26" s="1798">
        <v>38604.993240000003</v>
      </c>
      <c r="FA26" s="1801">
        <v>1708.2707800000001</v>
      </c>
      <c r="FB26" s="1798">
        <v>42914.383459999997</v>
      </c>
      <c r="FC26" s="1801">
        <v>1933.5884900000001</v>
      </c>
      <c r="FD26" s="1798">
        <v>46963.570979999997</v>
      </c>
      <c r="FE26" s="1801">
        <v>16804.472819999999</v>
      </c>
      <c r="FF26" s="1811">
        <v>52603.501980000001</v>
      </c>
      <c r="FG26" s="1801">
        <v>27597.216920000003</v>
      </c>
      <c r="FH26" s="1798">
        <v>63637.409070000002</v>
      </c>
      <c r="FI26" s="1801">
        <v>30246.029190000001</v>
      </c>
      <c r="FJ26" s="1798">
        <v>68051.437409999999</v>
      </c>
      <c r="FK26" s="1801">
        <v>30572.857169999999</v>
      </c>
      <c r="FL26" s="1798">
        <v>74928.075200000007</v>
      </c>
      <c r="FM26" s="1801">
        <v>75415.164400000009</v>
      </c>
      <c r="FN26" s="1798">
        <v>7540.70172</v>
      </c>
      <c r="FO26" s="1801">
        <v>164.46472</v>
      </c>
      <c r="FP26" s="1798">
        <v>11681.038460000002</v>
      </c>
      <c r="FQ26" s="1801">
        <v>391.75274000000002</v>
      </c>
      <c r="FR26" s="1798">
        <v>16621.853950000001</v>
      </c>
      <c r="FS26" s="1801">
        <v>748.67147</v>
      </c>
      <c r="FT26" s="1798">
        <v>20606.616180000001</v>
      </c>
      <c r="FU26" s="1801">
        <v>1114.24981</v>
      </c>
      <c r="FV26" s="1798">
        <v>26221.615420000002</v>
      </c>
      <c r="FW26" s="1801">
        <v>1931.2549799999999</v>
      </c>
      <c r="FX26" s="1798">
        <v>31760.231889999999</v>
      </c>
      <c r="FY26" s="1801">
        <v>2218.4111400000002</v>
      </c>
      <c r="FZ26" s="1798">
        <v>37719.235090000002</v>
      </c>
      <c r="GA26" s="1801">
        <f>2474.41238+5.21068</f>
        <v>2479.6230600000004</v>
      </c>
      <c r="GB26" s="1798">
        <v>47383.263420000003</v>
      </c>
      <c r="GC26" s="1801">
        <v>2559.6572700000002</v>
      </c>
      <c r="GD26" s="1798">
        <v>56152.197560000001</v>
      </c>
      <c r="GE26" s="1801">
        <v>2705.2427499999999</v>
      </c>
      <c r="GF26" s="1798">
        <v>60360.269180000003</v>
      </c>
      <c r="GG26" s="1801">
        <v>2972.0859099999998</v>
      </c>
      <c r="GH26" s="1798">
        <v>72159.191009999995</v>
      </c>
      <c r="GI26" s="1801">
        <v>3500.8559</v>
      </c>
      <c r="GJ26" s="1798">
        <v>88952.945600000006</v>
      </c>
      <c r="GK26" s="1801">
        <v>3768.99521</v>
      </c>
      <c r="GL26" s="1798">
        <v>8560.0033399999993</v>
      </c>
      <c r="GM26" s="1801">
        <v>105.76609000000001</v>
      </c>
      <c r="GN26" s="1798">
        <v>12398.404500000001</v>
      </c>
      <c r="GO26" s="1801">
        <v>162.66596000000001</v>
      </c>
      <c r="GP26" s="1798">
        <v>16646.87712999999</v>
      </c>
      <c r="GQ26" s="1801">
        <v>514.86009000000001</v>
      </c>
      <c r="GR26" s="1798">
        <v>24341.844150000001</v>
      </c>
      <c r="GS26" s="1801">
        <v>913.20768999999996</v>
      </c>
      <c r="GT26" s="1798">
        <v>31740.061969999999</v>
      </c>
      <c r="GU26" s="1801">
        <v>1173.4559200000001</v>
      </c>
      <c r="GV26" s="1798">
        <v>39116.009129999999</v>
      </c>
      <c r="GW26" s="1801">
        <v>1531.8786</v>
      </c>
      <c r="GX26" s="1798">
        <v>50029.817020000002</v>
      </c>
      <c r="GY26" s="1801">
        <v>1743.5399600000001</v>
      </c>
      <c r="GZ26" s="1798">
        <v>54644.74755</v>
      </c>
      <c r="HA26" s="1801">
        <v>1815.7819199999999</v>
      </c>
      <c r="HB26" s="1798">
        <v>64452.981599999999</v>
      </c>
      <c r="HC26" s="1801">
        <v>2339.5730800000001</v>
      </c>
      <c r="HD26" s="1798">
        <v>69105.051560000007</v>
      </c>
      <c r="HE26" s="1801">
        <v>2517.7541099999999</v>
      </c>
      <c r="HF26" s="1798">
        <v>78702.885030000005</v>
      </c>
      <c r="HG26" s="1801">
        <v>2714.19524</v>
      </c>
      <c r="HH26" s="1798">
        <v>85525.112099999998</v>
      </c>
      <c r="HI26" s="1801">
        <v>4010.0798100000002</v>
      </c>
      <c r="HJ26" s="1798">
        <v>7581.3615900000004</v>
      </c>
      <c r="HK26" s="1801">
        <v>81.476789999999994</v>
      </c>
      <c r="HL26" s="1798">
        <v>18306.146379999998</v>
      </c>
      <c r="HM26" s="1801">
        <v>408.59892000000002</v>
      </c>
      <c r="HN26" s="1798">
        <v>22950.651180000001</v>
      </c>
      <c r="HO26" s="1801">
        <v>481.70819</v>
      </c>
      <c r="HP26" s="1798">
        <v>33371.225879999998</v>
      </c>
      <c r="HQ26" s="1801">
        <v>679.29979000000003</v>
      </c>
      <c r="HR26" s="1798">
        <v>38308.139990000003</v>
      </c>
      <c r="HS26" s="1801">
        <v>1406.89203</v>
      </c>
      <c r="HT26" s="1798">
        <v>58614.933929999999</v>
      </c>
      <c r="HU26" s="1801">
        <v>1555.2898299999999</v>
      </c>
      <c r="HV26" s="1802" t="s">
        <v>3415</v>
      </c>
      <c r="HX26" s="1805"/>
    </row>
    <row r="27" spans="1:232" s="1774" customFormat="1" ht="22.5" customHeight="1">
      <c r="A27" s="1151" t="s">
        <v>2297</v>
      </c>
      <c r="B27" s="1796">
        <v>1712.2983899999999</v>
      </c>
      <c r="C27" s="1796">
        <v>731.08556999999996</v>
      </c>
      <c r="D27" s="1796">
        <v>4480.9744299999993</v>
      </c>
      <c r="E27" s="1796">
        <v>1636.44559</v>
      </c>
      <c r="F27" s="1796">
        <v>6089.8972100000001</v>
      </c>
      <c r="G27" s="1796">
        <v>2772.3521399999995</v>
      </c>
      <c r="H27" s="1796">
        <v>7687.5887699999994</v>
      </c>
      <c r="I27" s="1796">
        <v>3713.4522299999999</v>
      </c>
      <c r="J27" s="1796">
        <v>9374.6315799999993</v>
      </c>
      <c r="K27" s="1796">
        <v>4884.9043300000003</v>
      </c>
      <c r="L27" s="1796">
        <v>10560.077810000001</v>
      </c>
      <c r="M27" s="1796">
        <v>5711.9737500000001</v>
      </c>
      <c r="N27" s="1796">
        <v>12230.46135</v>
      </c>
      <c r="O27" s="1796">
        <v>6576.6550199999992</v>
      </c>
      <c r="P27" s="1796">
        <v>14244.819220000001</v>
      </c>
      <c r="Q27" s="1796">
        <v>7392.6246900000006</v>
      </c>
      <c r="R27" s="1796">
        <v>16894.26756</v>
      </c>
      <c r="S27" s="1796">
        <v>8370.9069299999992</v>
      </c>
      <c r="T27" s="1796">
        <v>18496.267319999999</v>
      </c>
      <c r="U27" s="1796">
        <v>9261.3770199999999</v>
      </c>
      <c r="V27" s="1796">
        <v>20531.36837</v>
      </c>
      <c r="W27" s="1796">
        <v>10059.78752</v>
      </c>
      <c r="X27" s="1796">
        <v>22546.881100000002</v>
      </c>
      <c r="Y27" s="1796">
        <v>10873.82043</v>
      </c>
      <c r="Z27" s="1796">
        <v>2075.6687200000001</v>
      </c>
      <c r="AA27" s="1796">
        <v>830.83537999999999</v>
      </c>
      <c r="AB27" s="1796">
        <v>3776.4115499999998</v>
      </c>
      <c r="AC27" s="1796">
        <v>1633.85194</v>
      </c>
      <c r="AD27" s="1796">
        <v>5098.3764900000006</v>
      </c>
      <c r="AE27" s="1796">
        <v>2092.32339</v>
      </c>
      <c r="AF27" s="1796">
        <v>8752.2875899999999</v>
      </c>
      <c r="AG27" s="1796">
        <v>2830.5947099999998</v>
      </c>
      <c r="AH27" s="1796">
        <v>10825.75582</v>
      </c>
      <c r="AI27" s="1796">
        <v>3673.31504</v>
      </c>
      <c r="AJ27" s="1796">
        <v>12553.074570000001</v>
      </c>
      <c r="AK27" s="1796">
        <v>4227.8707599999998</v>
      </c>
      <c r="AL27" s="1796">
        <v>14963.782789999999</v>
      </c>
      <c r="AM27" s="1796">
        <v>5078.5562800000007</v>
      </c>
      <c r="AN27" s="1796">
        <v>17286.21313</v>
      </c>
      <c r="AO27" s="1796">
        <v>5870.1425300000001</v>
      </c>
      <c r="AP27" s="1796">
        <v>20560.59101</v>
      </c>
      <c r="AQ27" s="1796">
        <v>6553.3480099999997</v>
      </c>
      <c r="AR27" s="1796">
        <v>23233.328899999997</v>
      </c>
      <c r="AS27" s="1796">
        <v>7667.09908</v>
      </c>
      <c r="AT27" s="1796">
        <v>25817.671859999999</v>
      </c>
      <c r="AU27" s="1796">
        <v>8738.2193599999991</v>
      </c>
      <c r="AV27" s="1796">
        <v>28449.747950000001</v>
      </c>
      <c r="AW27" s="1796">
        <v>9574.6235399999987</v>
      </c>
      <c r="AX27" s="1796">
        <v>2414.2360699999999</v>
      </c>
      <c r="AY27" s="1796">
        <v>872.02897999999993</v>
      </c>
      <c r="AZ27" s="1796">
        <v>4091.8614400000001</v>
      </c>
      <c r="BA27" s="1796">
        <v>1705.18379</v>
      </c>
      <c r="BB27" s="1796">
        <v>5849.7533099999991</v>
      </c>
      <c r="BC27" s="1796">
        <v>2564.08304</v>
      </c>
      <c r="BD27" s="1796">
        <v>8999.8632699999998</v>
      </c>
      <c r="BE27" s="1796">
        <v>3489.8512099999998</v>
      </c>
      <c r="BF27" s="1796">
        <v>12357.311800000001</v>
      </c>
      <c r="BG27" s="1796">
        <v>4548.4163399999998</v>
      </c>
      <c r="BH27" s="1796">
        <v>16411.53357</v>
      </c>
      <c r="BI27" s="1796">
        <v>5613.6062699999993</v>
      </c>
      <c r="BJ27" s="1796">
        <v>19332.522559999998</v>
      </c>
      <c r="BK27" s="1796">
        <v>6782.3033599999999</v>
      </c>
      <c r="BL27" s="1796">
        <v>22071.511109999999</v>
      </c>
      <c r="BM27" s="1796">
        <v>7844.6509100000003</v>
      </c>
      <c r="BN27" s="1796">
        <v>25852.507369999999</v>
      </c>
      <c r="BO27" s="1796">
        <v>9147.9244199999994</v>
      </c>
      <c r="BP27" s="1796">
        <v>28966.579109999999</v>
      </c>
      <c r="BQ27" s="1796">
        <v>10516.861859999999</v>
      </c>
      <c r="BR27" s="1796">
        <v>32761.302800000001</v>
      </c>
      <c r="BS27" s="1796">
        <v>11426.892539999999</v>
      </c>
      <c r="BT27" s="1796">
        <v>36280.606289999996</v>
      </c>
      <c r="BU27" s="1796">
        <v>13072.253429999999</v>
      </c>
      <c r="BV27" s="1796">
        <v>7040.9058199999999</v>
      </c>
      <c r="BW27" s="1796">
        <v>995.61069999999995</v>
      </c>
      <c r="BX27" s="1796">
        <v>10170.661769999999</v>
      </c>
      <c r="BY27" s="1796">
        <v>2179.2914100000003</v>
      </c>
      <c r="BZ27" s="1796">
        <v>12254.437039999999</v>
      </c>
      <c r="CA27" s="1796">
        <v>3232.73452</v>
      </c>
      <c r="CB27" s="1796">
        <v>14008.78883</v>
      </c>
      <c r="CC27" s="1796">
        <v>4276.9317499999997</v>
      </c>
      <c r="CD27" s="1796">
        <v>17612.56698</v>
      </c>
      <c r="CE27" s="1796">
        <v>5305.1061900000004</v>
      </c>
      <c r="CF27" s="1796">
        <v>21355.07144</v>
      </c>
      <c r="CG27" s="1796">
        <v>6222.6787999999997</v>
      </c>
      <c r="CH27" s="1796">
        <v>23189.66129</v>
      </c>
      <c r="CI27" s="1796">
        <v>7330.0901299999996</v>
      </c>
      <c r="CJ27" s="1796">
        <v>25629.693780000001</v>
      </c>
      <c r="CK27" s="1796">
        <v>8327.8468200000007</v>
      </c>
      <c r="CL27" s="1796">
        <v>29264.769929999999</v>
      </c>
      <c r="CM27" s="1796">
        <v>9636.7668200000007</v>
      </c>
      <c r="CN27" s="1796">
        <v>31954.031149999999</v>
      </c>
      <c r="CO27" s="1796">
        <v>10552.34403</v>
      </c>
      <c r="CP27" s="1796">
        <v>34447.662270000001</v>
      </c>
      <c r="CQ27" s="1796">
        <v>11785.552679999999</v>
      </c>
      <c r="CR27" s="1796">
        <v>36875.872100000001</v>
      </c>
      <c r="CS27" s="1796">
        <v>13039.36536</v>
      </c>
      <c r="CT27" s="1796">
        <v>2705.07744</v>
      </c>
      <c r="CU27" s="1796">
        <v>726.95299999999997</v>
      </c>
      <c r="CV27" s="1796">
        <v>5584.7871500000001</v>
      </c>
      <c r="CW27" s="1796">
        <v>1680.02854</v>
      </c>
      <c r="CX27" s="1796">
        <v>7493.4080000000004</v>
      </c>
      <c r="CY27" s="1796">
        <v>3281.2665400000001</v>
      </c>
      <c r="CZ27" s="1796">
        <v>10269.217470000001</v>
      </c>
      <c r="DA27" s="1796">
        <v>4768.54036</v>
      </c>
      <c r="DB27" s="1796">
        <v>13120.627869999998</v>
      </c>
      <c r="DC27" s="1796">
        <v>6220.8655999999992</v>
      </c>
      <c r="DD27" s="1796">
        <v>18114.261760000001</v>
      </c>
      <c r="DE27" s="1796">
        <v>7266.7930199999992</v>
      </c>
      <c r="DF27" s="1796">
        <v>22388.686280000002</v>
      </c>
      <c r="DG27" s="1796">
        <v>8511.2512699999988</v>
      </c>
      <c r="DH27" s="1796">
        <v>25571.95434</v>
      </c>
      <c r="DI27" s="1796">
        <v>9817.2290199999989</v>
      </c>
      <c r="DJ27" s="1796">
        <v>29092.94498</v>
      </c>
      <c r="DK27" s="1796">
        <v>11160.71881</v>
      </c>
      <c r="DL27" s="1796">
        <v>32435.72883</v>
      </c>
      <c r="DM27" s="1796">
        <v>12508.110839999999</v>
      </c>
      <c r="DN27" s="1796">
        <v>36202.812319999997</v>
      </c>
      <c r="DO27" s="1796">
        <v>14126.59737</v>
      </c>
      <c r="DP27" s="1796">
        <v>39671.959589999999</v>
      </c>
      <c r="DQ27" s="1797">
        <v>15849.2338</v>
      </c>
      <c r="DR27" s="1811">
        <v>2938.7702100000001</v>
      </c>
      <c r="DS27" s="1799">
        <v>1133.72642</v>
      </c>
      <c r="DT27" s="1800">
        <v>6194.2943299999997</v>
      </c>
      <c r="DU27" s="1797">
        <v>2617.1095</v>
      </c>
      <c r="DV27" s="1798">
        <v>8441.0348900000008</v>
      </c>
      <c r="DW27" s="1799">
        <v>3755.2616800000001</v>
      </c>
      <c r="DX27" s="1800">
        <v>12440.50382</v>
      </c>
      <c r="DY27" s="1797">
        <v>5642.9458400000003</v>
      </c>
      <c r="DZ27" s="1798">
        <v>15450.58527</v>
      </c>
      <c r="EA27" s="1799">
        <v>7057.1116700000002</v>
      </c>
      <c r="EB27" s="1800">
        <v>18857.232629999999</v>
      </c>
      <c r="EC27" s="1797">
        <v>8374.8241699999999</v>
      </c>
      <c r="ED27" s="1798">
        <v>22349.864529999999</v>
      </c>
      <c r="EE27" s="1799">
        <v>9520.7954900000004</v>
      </c>
      <c r="EF27" s="1798">
        <v>26527.45953</v>
      </c>
      <c r="EG27" s="1799">
        <v>10824.02684</v>
      </c>
      <c r="EH27" s="1800">
        <v>31186.241480000001</v>
      </c>
      <c r="EI27" s="1799">
        <v>12278.710220000001</v>
      </c>
      <c r="EJ27" s="1800">
        <v>34670.708610000001</v>
      </c>
      <c r="EK27" s="1799">
        <v>13970.1212</v>
      </c>
      <c r="EL27" s="1798">
        <v>38669.148269999998</v>
      </c>
      <c r="EM27" s="1801">
        <v>15214.736559999999</v>
      </c>
      <c r="EN27" s="1798">
        <v>42097.627460000003</v>
      </c>
      <c r="EO27" s="1801">
        <v>16754.824410000001</v>
      </c>
      <c r="EP27" s="1798">
        <v>3509.17416</v>
      </c>
      <c r="EQ27" s="1801">
        <v>1205.6407099999999</v>
      </c>
      <c r="ER27" s="1798">
        <v>6669.0451299999995</v>
      </c>
      <c r="ES27" s="1801">
        <v>2732.2744199999997</v>
      </c>
      <c r="ET27" s="1798">
        <v>9715.4286400000001</v>
      </c>
      <c r="EU27" s="1801">
        <v>4569.5746900000004</v>
      </c>
      <c r="EV27" s="1798">
        <v>13497.400460000001</v>
      </c>
      <c r="EW27" s="1801">
        <v>6089.0961600000001</v>
      </c>
      <c r="EX27" s="1798">
        <v>17994.112659999999</v>
      </c>
      <c r="EY27" s="1801">
        <v>7573.0096399999993</v>
      </c>
      <c r="EZ27" s="1798">
        <v>22380.642110000001</v>
      </c>
      <c r="FA27" s="1801">
        <v>8926.9223999999995</v>
      </c>
      <c r="FB27" s="1798">
        <v>27178.277600000001</v>
      </c>
      <c r="FC27" s="1801">
        <v>10167.586150000001</v>
      </c>
      <c r="FD27" s="1798">
        <v>32547.965520000002</v>
      </c>
      <c r="FE27" s="1801">
        <v>12133.559370000001</v>
      </c>
      <c r="FF27" s="1798">
        <v>37818.500260000001</v>
      </c>
      <c r="FG27" s="1801">
        <v>14006.883980000001</v>
      </c>
      <c r="FH27" s="1798">
        <v>42464.214749999999</v>
      </c>
      <c r="FI27" s="1801">
        <v>16466.117149999998</v>
      </c>
      <c r="FJ27" s="1798">
        <v>47641.989930000003</v>
      </c>
      <c r="FK27" s="1801">
        <v>18271.004959999998</v>
      </c>
      <c r="FL27" s="1798">
        <v>54871.412659999995</v>
      </c>
      <c r="FM27" s="1801">
        <v>20432.70477</v>
      </c>
      <c r="FN27" s="1798">
        <v>4574.1160300000001</v>
      </c>
      <c r="FO27" s="1801">
        <v>1526.4356700000001</v>
      </c>
      <c r="FP27" s="1798">
        <v>9180.9326500000006</v>
      </c>
      <c r="FQ27" s="1801">
        <v>3306.0548199999998</v>
      </c>
      <c r="FR27" s="1798">
        <v>13304.01613</v>
      </c>
      <c r="FS27" s="1801">
        <v>4578.8158599999997</v>
      </c>
      <c r="FT27" s="1798">
        <v>18062.296350000001</v>
      </c>
      <c r="FU27" s="1801">
        <v>6572.6817499999997</v>
      </c>
      <c r="FV27" s="1798">
        <v>23471.534760000002</v>
      </c>
      <c r="FW27" s="1801">
        <v>8425.5092499999992</v>
      </c>
      <c r="FX27" s="1798">
        <v>27390.046910000001</v>
      </c>
      <c r="FY27" s="1801">
        <v>9840.0213600000006</v>
      </c>
      <c r="FZ27" s="1798">
        <v>33809.683389999998</v>
      </c>
      <c r="GA27" s="1801">
        <f>11630.17449+20.01</f>
        <v>11650.18449</v>
      </c>
      <c r="GB27" s="1798">
        <v>39494.639479999998</v>
      </c>
      <c r="GC27" s="1801">
        <v>13601.10806</v>
      </c>
      <c r="GD27" s="1798">
        <v>44636.016430000003</v>
      </c>
      <c r="GE27" s="1801">
        <v>15615.45278</v>
      </c>
      <c r="GF27" s="1798">
        <v>50698.263559999999</v>
      </c>
      <c r="GG27" s="1801">
        <v>18379.078079999999</v>
      </c>
      <c r="GH27" s="1798">
        <v>58516.171990000003</v>
      </c>
      <c r="GI27" s="1801">
        <v>20811.3819</v>
      </c>
      <c r="GJ27" s="1798">
        <v>66031.578410000002</v>
      </c>
      <c r="GK27" s="1801">
        <v>23295.760999999999</v>
      </c>
      <c r="GL27" s="1798">
        <v>5615.5430100000003</v>
      </c>
      <c r="GM27" s="1801">
        <v>2391.1035099999999</v>
      </c>
      <c r="GN27" s="1798">
        <v>11603.08568</v>
      </c>
      <c r="GO27" s="1801">
        <v>4660.5639799999999</v>
      </c>
      <c r="GP27" s="1798">
        <v>15747.591730000006</v>
      </c>
      <c r="GQ27" s="1801">
        <v>6614.6959100000004</v>
      </c>
      <c r="GR27" s="1798">
        <v>22775.098000000002</v>
      </c>
      <c r="GS27" s="1801">
        <v>9255.8859900000007</v>
      </c>
      <c r="GT27" s="1798">
        <v>28520.428830000001</v>
      </c>
      <c r="GU27" s="1801">
        <v>12022.89025</v>
      </c>
      <c r="GV27" s="1798">
        <v>33531.363740000001</v>
      </c>
      <c r="GW27" s="1801">
        <v>14022.43166</v>
      </c>
      <c r="GX27" s="1798">
        <v>40441.579460000001</v>
      </c>
      <c r="GY27" s="1801">
        <v>17441.951939999999</v>
      </c>
      <c r="GZ27" s="1798">
        <v>46622.022340000003</v>
      </c>
      <c r="HA27" s="1801">
        <v>20283.07574</v>
      </c>
      <c r="HB27" s="1798">
        <v>54007.425660000001</v>
      </c>
      <c r="HC27" s="1801">
        <v>23265.041720000001</v>
      </c>
      <c r="HD27" s="1798">
        <v>60676.268510000002</v>
      </c>
      <c r="HE27" s="1801">
        <v>26309.052670000001</v>
      </c>
      <c r="HF27" s="1798">
        <v>67793.23861</v>
      </c>
      <c r="HG27" s="1801">
        <v>29029.265909999998</v>
      </c>
      <c r="HH27" s="1798">
        <v>78626.107019999996</v>
      </c>
      <c r="HI27" s="1801">
        <v>32462.96488</v>
      </c>
      <c r="HJ27" s="1798">
        <v>5452.4305800000002</v>
      </c>
      <c r="HK27" s="1801">
        <v>2428.7779500000001</v>
      </c>
      <c r="HL27" s="1798">
        <v>10253.931790000001</v>
      </c>
      <c r="HM27" s="1801">
        <v>5728.8678300000001</v>
      </c>
      <c r="HN27" s="1798">
        <v>16784.928680000001</v>
      </c>
      <c r="HO27" s="1801">
        <v>8387.0417600000001</v>
      </c>
      <c r="HP27" s="1798">
        <v>23040.046600000001</v>
      </c>
      <c r="HQ27" s="1801">
        <v>12242.317349999999</v>
      </c>
      <c r="HR27" s="1798">
        <v>29052.773219999999</v>
      </c>
      <c r="HS27" s="1801">
        <v>15358.70018</v>
      </c>
      <c r="HT27" s="1798">
        <v>34867.617299999998</v>
      </c>
      <c r="HU27" s="1801">
        <v>18991.141530000001</v>
      </c>
      <c r="HV27" s="1166" t="s">
        <v>3416</v>
      </c>
      <c r="HX27" s="1813"/>
    </row>
    <row r="28" spans="1:232" s="1774" customFormat="1" ht="22.5" customHeight="1">
      <c r="A28" s="1795" t="s">
        <v>2296</v>
      </c>
      <c r="B28" s="1796">
        <v>27.70309</v>
      </c>
      <c r="C28" s="1796">
        <v>0</v>
      </c>
      <c r="D28" s="1796">
        <v>212.72824543800002</v>
      </c>
      <c r="E28" s="1796">
        <v>3.7921999999999998</v>
      </c>
      <c r="F28" s="1796">
        <v>544.63065000000006</v>
      </c>
      <c r="G28" s="1796">
        <v>5.8219200000000004</v>
      </c>
      <c r="H28" s="1796">
        <v>942.77906000000007</v>
      </c>
      <c r="I28" s="1796">
        <v>5.8219200000000004</v>
      </c>
      <c r="J28" s="1796">
        <v>1219.7019299999999</v>
      </c>
      <c r="K28" s="1796">
        <v>16.143059999999998</v>
      </c>
      <c r="L28" s="1796">
        <v>1479.33718</v>
      </c>
      <c r="M28" s="1796">
        <v>23.340730000000001</v>
      </c>
      <c r="N28" s="1796">
        <v>1693.6954099999998</v>
      </c>
      <c r="O28" s="1796">
        <v>31.88401</v>
      </c>
      <c r="P28" s="1796">
        <v>1975.2191699999998</v>
      </c>
      <c r="Q28" s="1796">
        <v>36.550989999999999</v>
      </c>
      <c r="R28" s="1796">
        <v>2300.6860699999997</v>
      </c>
      <c r="S28" s="1796">
        <v>36.976019999999998</v>
      </c>
      <c r="T28" s="1796">
        <v>2661.1942999999997</v>
      </c>
      <c r="U28" s="1796">
        <v>37.749000000000002</v>
      </c>
      <c r="V28" s="1796">
        <v>3010.8397500000001</v>
      </c>
      <c r="W28" s="1796">
        <v>37.749000000000002</v>
      </c>
      <c r="X28" s="1796">
        <v>3257.5207400000004</v>
      </c>
      <c r="Y28" s="1796">
        <v>76.021070000000009</v>
      </c>
      <c r="Z28" s="1796">
        <v>490.39840999999996</v>
      </c>
      <c r="AA28" s="1796">
        <v>2.6299299999999999</v>
      </c>
      <c r="AB28" s="1796">
        <v>1603.92354</v>
      </c>
      <c r="AC28" s="1796">
        <v>3.0243500000000001</v>
      </c>
      <c r="AD28" s="1796">
        <v>1805.70705</v>
      </c>
      <c r="AE28" s="1796">
        <v>19.794630000000002</v>
      </c>
      <c r="AF28" s="1796">
        <v>2121.6337899999999</v>
      </c>
      <c r="AG28" s="1796">
        <v>19.936049999999998</v>
      </c>
      <c r="AH28" s="1796">
        <v>2378.9641499999998</v>
      </c>
      <c r="AI28" s="1796">
        <v>22.127130000000001</v>
      </c>
      <c r="AJ28" s="1796">
        <v>2610.0838799999997</v>
      </c>
      <c r="AK28" s="1796">
        <v>24.535710000000002</v>
      </c>
      <c r="AL28" s="1796">
        <v>2921.6536099999998</v>
      </c>
      <c r="AM28" s="1796">
        <v>39.332989999999995</v>
      </c>
      <c r="AN28" s="1796">
        <v>3105.6515299999996</v>
      </c>
      <c r="AO28" s="1796">
        <v>39.58511</v>
      </c>
      <c r="AP28" s="1796">
        <v>3334.7594399999998</v>
      </c>
      <c r="AQ28" s="1796">
        <v>153.47552999999999</v>
      </c>
      <c r="AR28" s="1796">
        <v>3634.2260000000001</v>
      </c>
      <c r="AS28" s="1796">
        <v>175.45423000000002</v>
      </c>
      <c r="AT28" s="1796">
        <v>3950.88139</v>
      </c>
      <c r="AU28" s="1796">
        <v>175.71092999999999</v>
      </c>
      <c r="AV28" s="1796">
        <v>4199.5760799999998</v>
      </c>
      <c r="AW28" s="1796">
        <v>185.17075</v>
      </c>
      <c r="AX28" s="1796">
        <v>458.62979999999999</v>
      </c>
      <c r="AY28" s="1796">
        <v>1.0679000000000001</v>
      </c>
      <c r="AZ28" s="1796">
        <v>750.35173999999995</v>
      </c>
      <c r="BA28" s="1796">
        <v>13.8222</v>
      </c>
      <c r="BB28" s="1796">
        <v>984.55610000000001</v>
      </c>
      <c r="BC28" s="1796">
        <v>13.8222</v>
      </c>
      <c r="BD28" s="1796">
        <v>1242.2679699999999</v>
      </c>
      <c r="BE28" s="1796">
        <v>184.56765999999999</v>
      </c>
      <c r="BF28" s="1796">
        <v>1522.86295</v>
      </c>
      <c r="BG28" s="1796">
        <v>211.35560000000001</v>
      </c>
      <c r="BH28" s="1796">
        <v>1741.74947</v>
      </c>
      <c r="BI28" s="1796">
        <v>235.98913000000002</v>
      </c>
      <c r="BJ28" s="1796">
        <v>2019.5016900000001</v>
      </c>
      <c r="BK28" s="1796">
        <v>237.77427</v>
      </c>
      <c r="BL28" s="1796">
        <v>2343.9087200000004</v>
      </c>
      <c r="BM28" s="1796">
        <v>254.14526999999998</v>
      </c>
      <c r="BN28" s="1796">
        <v>2726.0600299999996</v>
      </c>
      <c r="BO28" s="1796">
        <v>256.44182999999998</v>
      </c>
      <c r="BP28" s="1796">
        <v>3093.91507</v>
      </c>
      <c r="BQ28" s="1796">
        <v>257.93403000000001</v>
      </c>
      <c r="BR28" s="1796">
        <v>3405.2932500000002</v>
      </c>
      <c r="BS28" s="1796">
        <v>288.94628</v>
      </c>
      <c r="BT28" s="1796">
        <v>3851.9622899999999</v>
      </c>
      <c r="BU28" s="1796">
        <v>289.88764000000003</v>
      </c>
      <c r="BV28" s="1796">
        <v>332.81819999999999</v>
      </c>
      <c r="BW28" s="1796">
        <v>3.1568299999999998</v>
      </c>
      <c r="BX28" s="1796">
        <v>655.20318999999995</v>
      </c>
      <c r="BY28" s="1796">
        <v>25.10717</v>
      </c>
      <c r="BZ28" s="1796">
        <v>982.49026000000003</v>
      </c>
      <c r="CA28" s="1796">
        <v>27.656549999999999</v>
      </c>
      <c r="CB28" s="1796">
        <v>1306.40915</v>
      </c>
      <c r="CC28" s="1796">
        <v>7.05328</v>
      </c>
      <c r="CD28" s="1796">
        <v>1597.4234899999999</v>
      </c>
      <c r="CE28" s="1796">
        <v>18.784119999999998</v>
      </c>
      <c r="CF28" s="1796">
        <v>3519.4227700000001</v>
      </c>
      <c r="CG28" s="1796">
        <v>41.208839999999995</v>
      </c>
      <c r="CH28" s="1796">
        <v>3876.3632400000001</v>
      </c>
      <c r="CI28" s="1796">
        <v>47.200629999999997</v>
      </c>
      <c r="CJ28" s="1796">
        <v>4335.36618</v>
      </c>
      <c r="CK28" s="1796">
        <v>49.13608</v>
      </c>
      <c r="CL28" s="1796">
        <v>4673.6455999999998</v>
      </c>
      <c r="CM28" s="1796">
        <v>49.423989999999996</v>
      </c>
      <c r="CN28" s="1796">
        <v>5042.1835599999995</v>
      </c>
      <c r="CO28" s="1796">
        <v>50.247230000000002</v>
      </c>
      <c r="CP28" s="1796">
        <v>5367.5645999999997</v>
      </c>
      <c r="CQ28" s="1796">
        <v>50.457419999999999</v>
      </c>
      <c r="CR28" s="1796">
        <v>5731.2465000000002</v>
      </c>
      <c r="CS28" s="1796">
        <v>67.490160000000003</v>
      </c>
      <c r="CT28" s="1796">
        <v>567.87279000000001</v>
      </c>
      <c r="CU28" s="1796">
        <v>18.452110000000001</v>
      </c>
      <c r="CV28" s="1796">
        <v>781.73919999999998</v>
      </c>
      <c r="CW28" s="1796">
        <v>51.031349999999996</v>
      </c>
      <c r="CX28" s="1796">
        <v>1324.2650900000001</v>
      </c>
      <c r="CY28" s="1796">
        <v>51.506349999999998</v>
      </c>
      <c r="CZ28" s="1796">
        <v>1742.4875400000001</v>
      </c>
      <c r="DA28" s="1796">
        <v>51.772349999999996</v>
      </c>
      <c r="DB28" s="1796">
        <v>2319.2835499999997</v>
      </c>
      <c r="DC28" s="1796">
        <v>52.052349999999997</v>
      </c>
      <c r="DD28" s="1796">
        <v>2656.5850800000003</v>
      </c>
      <c r="DE28" s="1796">
        <v>74.010289999999998</v>
      </c>
      <c r="DF28" s="1796">
        <v>2923.54792</v>
      </c>
      <c r="DG28" s="1796">
        <v>74.152789999999996</v>
      </c>
      <c r="DH28" s="1796">
        <v>3221.90688</v>
      </c>
      <c r="DI28" s="1796">
        <v>76.861550000000008</v>
      </c>
      <c r="DJ28" s="1796">
        <v>3584.64642</v>
      </c>
      <c r="DK28" s="1796">
        <v>131.42287999999999</v>
      </c>
      <c r="DL28" s="1796">
        <v>3966.1490800000001</v>
      </c>
      <c r="DM28" s="1796">
        <v>248.06058999999999</v>
      </c>
      <c r="DN28" s="1796">
        <v>4459.3626299999996</v>
      </c>
      <c r="DO28" s="1796">
        <v>253.14430999999999</v>
      </c>
      <c r="DP28" s="1796">
        <v>4894.8787400000001</v>
      </c>
      <c r="DQ28" s="1797">
        <v>253.5693</v>
      </c>
      <c r="DR28" s="1798">
        <v>428.34165999999999</v>
      </c>
      <c r="DS28" s="1799">
        <v>0.63061</v>
      </c>
      <c r="DT28" s="1800">
        <v>869.73706000000004</v>
      </c>
      <c r="DU28" s="1797">
        <v>1.2597700000000001</v>
      </c>
      <c r="DV28" s="1798">
        <v>1204.7166</v>
      </c>
      <c r="DW28" s="1799">
        <v>1.94482</v>
      </c>
      <c r="DX28" s="1800">
        <v>1679.2376400000001</v>
      </c>
      <c r="DY28" s="1797">
        <v>3.3911600000000002</v>
      </c>
      <c r="DZ28" s="1798">
        <v>2131.2961300000002</v>
      </c>
      <c r="EA28" s="1799">
        <v>3.8438599999999998</v>
      </c>
      <c r="EB28" s="1800">
        <v>2562.3302399999998</v>
      </c>
      <c r="EC28" s="1797">
        <v>4.9700300000000004</v>
      </c>
      <c r="ED28" s="1798">
        <v>3044.9224199999999</v>
      </c>
      <c r="EE28" s="1799">
        <v>4.9700300000000004</v>
      </c>
      <c r="EF28" s="1798">
        <v>3469.8933900000002</v>
      </c>
      <c r="EG28" s="1799">
        <v>14.777060000000001</v>
      </c>
      <c r="EH28" s="1800">
        <v>3871.7921500000002</v>
      </c>
      <c r="EI28" s="1799">
        <v>33.653509999999997</v>
      </c>
      <c r="EJ28" s="1800">
        <v>4566.02574</v>
      </c>
      <c r="EK28" s="1799">
        <v>33.653509999999997</v>
      </c>
      <c r="EL28" s="1798">
        <v>5077.8429500000002</v>
      </c>
      <c r="EM28" s="1801">
        <v>42.01437</v>
      </c>
      <c r="EN28" s="1798">
        <v>5428.3847599999999</v>
      </c>
      <c r="EO28" s="1801">
        <v>42.01437</v>
      </c>
      <c r="EP28" s="1798">
        <v>620.53247999999996</v>
      </c>
      <c r="EQ28" s="1801">
        <v>0</v>
      </c>
      <c r="ER28" s="1798">
        <v>1162.72434</v>
      </c>
      <c r="ES28" s="1801">
        <v>2.39202</v>
      </c>
      <c r="ET28" s="1798">
        <v>1635.46219</v>
      </c>
      <c r="EU28" s="1801">
        <v>2.39202</v>
      </c>
      <c r="EV28" s="1798">
        <v>2149.13247</v>
      </c>
      <c r="EW28" s="1801">
        <v>27.782</v>
      </c>
      <c r="EX28" s="1798">
        <v>2632.2388500000002</v>
      </c>
      <c r="EY28" s="1801">
        <v>46.783900000000003</v>
      </c>
      <c r="EZ28" s="1798">
        <v>3150.9633699999999</v>
      </c>
      <c r="FA28" s="1801">
        <v>66.987719999999996</v>
      </c>
      <c r="FB28" s="1798">
        <v>3617.6998399999998</v>
      </c>
      <c r="FC28" s="1801">
        <v>67.288520000000005</v>
      </c>
      <c r="FD28" s="1798">
        <v>4011.0313900000001</v>
      </c>
      <c r="FE28" s="1801">
        <v>71.946259999999995</v>
      </c>
      <c r="FF28" s="1798">
        <v>4548.6686900000004</v>
      </c>
      <c r="FG28" s="1801">
        <v>99.761259999999993</v>
      </c>
      <c r="FH28" s="1798">
        <v>5017.8007900000002</v>
      </c>
      <c r="FI28" s="1801">
        <v>126.30866</v>
      </c>
      <c r="FJ28" s="1798">
        <v>5491.8635899999999</v>
      </c>
      <c r="FK28" s="1801">
        <v>134.07932</v>
      </c>
      <c r="FL28" s="1798">
        <v>5987.7356399999999</v>
      </c>
      <c r="FM28" s="1801">
        <v>210.79160999999999</v>
      </c>
      <c r="FN28" s="1798">
        <v>636.68690000000004</v>
      </c>
      <c r="FO28" s="1801">
        <v>74.936000000000007</v>
      </c>
      <c r="FP28" s="1798">
        <v>1034.3004699999999</v>
      </c>
      <c r="FQ28" s="1801">
        <v>74.936000000000007</v>
      </c>
      <c r="FR28" s="1798">
        <v>1484.43408</v>
      </c>
      <c r="FS28" s="1801">
        <v>93.581890000000001</v>
      </c>
      <c r="FT28" s="1798">
        <v>2051.15461</v>
      </c>
      <c r="FU28" s="1801">
        <v>119.19449</v>
      </c>
      <c r="FV28" s="1798">
        <v>2937.0487000000003</v>
      </c>
      <c r="FW28" s="1801">
        <v>158.92518000000001</v>
      </c>
      <c r="FX28" s="1798">
        <v>3693.0243599999999</v>
      </c>
      <c r="FY28" s="1801">
        <v>306.67732999999998</v>
      </c>
      <c r="FZ28" s="1798">
        <v>4178.9071199999998</v>
      </c>
      <c r="GA28" s="1801">
        <v>380.38940000000002</v>
      </c>
      <c r="GB28" s="1798">
        <v>4661.4913399999996</v>
      </c>
      <c r="GC28" s="1801">
        <v>392.3442</v>
      </c>
      <c r="GD28" s="1798">
        <v>5193.9886100000003</v>
      </c>
      <c r="GE28" s="1801">
        <v>404.64425999999997</v>
      </c>
      <c r="GF28" s="1798">
        <v>5799.2668299999996</v>
      </c>
      <c r="GG28" s="1801">
        <v>404.64425999999997</v>
      </c>
      <c r="GH28" s="1798">
        <v>6429.4897700000001</v>
      </c>
      <c r="GI28" s="1801">
        <v>1674.3581999999999</v>
      </c>
      <c r="GJ28" s="1798">
        <v>7010.5948500000004</v>
      </c>
      <c r="GK28" s="1801">
        <v>1762.20814</v>
      </c>
      <c r="GL28" s="1798">
        <v>500.16854000000001</v>
      </c>
      <c r="GM28" s="1801">
        <v>0</v>
      </c>
      <c r="GN28" s="1798">
        <v>809.16524000000004</v>
      </c>
      <c r="GO28" s="1801">
        <v>0.23499999999999999</v>
      </c>
      <c r="GP28" s="1798">
        <v>1280.1260899999997</v>
      </c>
      <c r="GQ28" s="1801">
        <v>12.383799999999999</v>
      </c>
      <c r="GR28" s="1798">
        <v>1904.53883</v>
      </c>
      <c r="GS28" s="1801">
        <v>29.38475</v>
      </c>
      <c r="GT28" s="1798">
        <v>2442.43264</v>
      </c>
      <c r="GU28" s="1801">
        <v>29.38475</v>
      </c>
      <c r="GV28" s="1798">
        <v>2886.5339300000001</v>
      </c>
      <c r="GW28" s="1801">
        <v>36.559379999999997</v>
      </c>
      <c r="GX28" s="1798">
        <v>3889.9375599999998</v>
      </c>
      <c r="GY28" s="1801">
        <v>373.52886999999998</v>
      </c>
      <c r="GZ28" s="1798">
        <v>4431.7827299999999</v>
      </c>
      <c r="HA28" s="1801">
        <v>386.38589000000002</v>
      </c>
      <c r="HB28" s="1798">
        <v>4851.7644</v>
      </c>
      <c r="HC28" s="1801">
        <v>462.77620000000002</v>
      </c>
      <c r="HD28" s="1798">
        <v>5393.8596200000002</v>
      </c>
      <c r="HE28" s="1801">
        <v>503.39</v>
      </c>
      <c r="HF28" s="1798">
        <v>5840.1435799999999</v>
      </c>
      <c r="HG28" s="1801">
        <v>503.39</v>
      </c>
      <c r="HH28" s="1798">
        <v>6454.1341700000003</v>
      </c>
      <c r="HI28" s="1801">
        <v>520.59016999999994</v>
      </c>
      <c r="HJ28" s="1798">
        <v>672.14094999999998</v>
      </c>
      <c r="HK28" s="1801">
        <v>47.241250000000001</v>
      </c>
      <c r="HL28" s="1798">
        <v>1130.92029</v>
      </c>
      <c r="HM28" s="1801">
        <v>47.741250000000001</v>
      </c>
      <c r="HN28" s="1798">
        <v>1519.9443699999999</v>
      </c>
      <c r="HO28" s="1801">
        <v>47.741250000000001</v>
      </c>
      <c r="HP28" s="1798">
        <v>2359.6675399999999</v>
      </c>
      <c r="HQ28" s="1801">
        <v>47.741250000000001</v>
      </c>
      <c r="HR28" s="1798">
        <v>2966.2773200000001</v>
      </c>
      <c r="HS28" s="1801">
        <v>226.42028999999999</v>
      </c>
      <c r="HT28" s="1798">
        <v>3573.2307099999998</v>
      </c>
      <c r="HU28" s="1801">
        <v>426.17329999999998</v>
      </c>
      <c r="HV28" s="1802" t="s">
        <v>3417</v>
      </c>
    </row>
    <row r="29" spans="1:232" s="1774" customFormat="1" ht="22.5" customHeight="1">
      <c r="A29" s="1795" t="s">
        <v>2295</v>
      </c>
      <c r="B29" s="1796">
        <v>0.36</v>
      </c>
      <c r="C29" s="1796">
        <v>1.2</v>
      </c>
      <c r="D29" s="1796">
        <v>0.6</v>
      </c>
      <c r="E29" s="1796">
        <v>7.46</v>
      </c>
      <c r="F29" s="1796">
        <v>2030.0162399999999</v>
      </c>
      <c r="G29" s="1796">
        <v>22.389610000000001</v>
      </c>
      <c r="H29" s="1796">
        <v>1140.3071299999999</v>
      </c>
      <c r="I29" s="1796">
        <v>7.7</v>
      </c>
      <c r="J29" s="1796">
        <v>1142.2051299999998</v>
      </c>
      <c r="K29" s="1796">
        <v>153.2525</v>
      </c>
      <c r="L29" s="1796">
        <v>1145.3861299999999</v>
      </c>
      <c r="M29" s="1796">
        <v>7.8</v>
      </c>
      <c r="N29" s="1796">
        <v>1960.7953200000002</v>
      </c>
      <c r="O29" s="1796">
        <v>31.75337</v>
      </c>
      <c r="P29" s="1796">
        <v>1961.5453200000002</v>
      </c>
      <c r="Q29" s="1796">
        <v>33.70337</v>
      </c>
      <c r="R29" s="1796">
        <v>1962.01532</v>
      </c>
      <c r="S29" s="1796">
        <v>44.238010000000003</v>
      </c>
      <c r="T29" s="1796">
        <v>2802.5363199999997</v>
      </c>
      <c r="U29" s="1796">
        <v>44.238010000000003</v>
      </c>
      <c r="V29" s="1796">
        <v>3008.4646600000001</v>
      </c>
      <c r="W29" s="1796">
        <v>67.619190000000003</v>
      </c>
      <c r="X29" s="1796">
        <v>3009.10266</v>
      </c>
      <c r="Y29" s="1796">
        <v>94.992399999999989</v>
      </c>
      <c r="Z29" s="1796">
        <v>285.27382</v>
      </c>
      <c r="AA29" s="1796">
        <v>79.860869999999991</v>
      </c>
      <c r="AB29" s="1796">
        <v>540.30667000000005</v>
      </c>
      <c r="AC29" s="1796">
        <v>86.647089999999992</v>
      </c>
      <c r="AD29" s="1796">
        <v>540.47867000000008</v>
      </c>
      <c r="AE29" s="1796">
        <v>105.01924000000001</v>
      </c>
      <c r="AF29" s="1796">
        <v>884.57386999999994</v>
      </c>
      <c r="AG29" s="1796">
        <v>137.67565999999999</v>
      </c>
      <c r="AH29" s="1796">
        <v>947.39986999999996</v>
      </c>
      <c r="AI29" s="1796">
        <v>218.56246999999999</v>
      </c>
      <c r="AJ29" s="1796">
        <v>1072.7980700000001</v>
      </c>
      <c r="AK29" s="1796">
        <v>227</v>
      </c>
      <c r="AL29" s="1796">
        <v>1155.1073799999999</v>
      </c>
      <c r="AM29" s="1796">
        <v>256.41818000000001</v>
      </c>
      <c r="AN29" s="1796">
        <v>1358.12193</v>
      </c>
      <c r="AO29" s="1796">
        <v>306.54383000000001</v>
      </c>
      <c r="AP29" s="1796">
        <v>1358.82393</v>
      </c>
      <c r="AQ29" s="1796">
        <v>366.55383</v>
      </c>
      <c r="AR29" s="1796">
        <v>1770.5154299999999</v>
      </c>
      <c r="AS29" s="1796">
        <v>534.60028</v>
      </c>
      <c r="AT29" s="1796">
        <v>1922.51593</v>
      </c>
      <c r="AU29" s="1796">
        <v>551.15508</v>
      </c>
      <c r="AV29" s="1796">
        <v>2040.30018</v>
      </c>
      <c r="AW29" s="1796">
        <v>574.74381999999991</v>
      </c>
      <c r="AX29" s="1796">
        <v>116.78792</v>
      </c>
      <c r="AY29" s="1796">
        <v>62.069949999999999</v>
      </c>
      <c r="AZ29" s="1796">
        <v>116.80110999999999</v>
      </c>
      <c r="BA29" s="1796">
        <v>151.82388</v>
      </c>
      <c r="BB29" s="1796">
        <v>205.79955999999999</v>
      </c>
      <c r="BC29" s="1796">
        <v>173.54787999999999</v>
      </c>
      <c r="BD29" s="1796">
        <v>429.93503999999996</v>
      </c>
      <c r="BE29" s="1796">
        <v>301.67829999999998</v>
      </c>
      <c r="BF29" s="1796">
        <v>481.44457</v>
      </c>
      <c r="BG29" s="1796">
        <v>410.48333000000002</v>
      </c>
      <c r="BH29" s="1796">
        <v>509.43734999999998</v>
      </c>
      <c r="BI29" s="1796">
        <v>504.54572999999999</v>
      </c>
      <c r="BJ29" s="1796">
        <v>736.6327</v>
      </c>
      <c r="BK29" s="1796">
        <v>594.35123999999996</v>
      </c>
      <c r="BL29" s="1796">
        <v>890.08599000000004</v>
      </c>
      <c r="BM29" s="1796">
        <v>607.80306000000007</v>
      </c>
      <c r="BN29" s="1796">
        <v>939.80906000000004</v>
      </c>
      <c r="BO29" s="1796">
        <v>673.34256999999991</v>
      </c>
      <c r="BP29" s="1796">
        <v>1131.7423999999999</v>
      </c>
      <c r="BQ29" s="1796">
        <v>767.99870999999996</v>
      </c>
      <c r="BR29" s="1796">
        <v>1272.76929</v>
      </c>
      <c r="BS29" s="1796">
        <v>793.21303</v>
      </c>
      <c r="BT29" s="1796">
        <v>1438.7856499999998</v>
      </c>
      <c r="BU29" s="1796">
        <v>936.72053000000005</v>
      </c>
      <c r="BV29" s="1796">
        <v>118.85308999999999</v>
      </c>
      <c r="BW29" s="1796">
        <v>21.300669999999997</v>
      </c>
      <c r="BX29" s="1796">
        <v>367.26231999999999</v>
      </c>
      <c r="BY29" s="1796">
        <v>136.83443</v>
      </c>
      <c r="BZ29" s="1796">
        <v>673.45706999999993</v>
      </c>
      <c r="CA29" s="1796">
        <v>153.11485000000002</v>
      </c>
      <c r="CB29" s="1796">
        <v>1119.2323700000002</v>
      </c>
      <c r="CC29" s="1796">
        <v>188.30685</v>
      </c>
      <c r="CD29" s="1796">
        <v>1289.7655199999999</v>
      </c>
      <c r="CE29" s="1796">
        <v>203.8048</v>
      </c>
      <c r="CF29" s="1796">
        <v>1619.1973600000001</v>
      </c>
      <c r="CG29" s="1796">
        <v>259.75006999999999</v>
      </c>
      <c r="CH29" s="1796">
        <v>1680.2640100000001</v>
      </c>
      <c r="CI29" s="1796">
        <v>315.57231999999999</v>
      </c>
      <c r="CJ29" s="1796">
        <v>1913.79468</v>
      </c>
      <c r="CK29" s="1796">
        <v>386.28421000000003</v>
      </c>
      <c r="CL29" s="1796">
        <v>2037.2805900000001</v>
      </c>
      <c r="CM29" s="1796">
        <v>454.59735999999998</v>
      </c>
      <c r="CN29" s="1796">
        <v>2259.7385800000002</v>
      </c>
      <c r="CO29" s="1796">
        <v>547.14445000000001</v>
      </c>
      <c r="CP29" s="1796">
        <v>2674.1125000000002</v>
      </c>
      <c r="CQ29" s="1796">
        <v>582.99904000000004</v>
      </c>
      <c r="CR29" s="1796">
        <v>2841.9871600000001</v>
      </c>
      <c r="CS29" s="1796">
        <v>612.96043000000009</v>
      </c>
      <c r="CT29" s="1796">
        <v>208.86651999999998</v>
      </c>
      <c r="CU29" s="1796">
        <v>37.141930000000002</v>
      </c>
      <c r="CV29" s="1796">
        <v>316.50261</v>
      </c>
      <c r="CW29" s="1796">
        <v>67.756439999999998</v>
      </c>
      <c r="CX29" s="1796">
        <v>743.58100000000002</v>
      </c>
      <c r="CY29" s="1796">
        <v>182.91766000000001</v>
      </c>
      <c r="CZ29" s="1796">
        <v>1083.8000400000001</v>
      </c>
      <c r="DA29" s="1796">
        <v>200.35478000000001</v>
      </c>
      <c r="DB29" s="1796">
        <v>1359.7980299999999</v>
      </c>
      <c r="DC29" s="1796">
        <v>205.26174</v>
      </c>
      <c r="DD29" s="1796">
        <v>1726.14013</v>
      </c>
      <c r="DE29" s="1796">
        <v>249.20351000000002</v>
      </c>
      <c r="DF29" s="1796">
        <v>2720.07159</v>
      </c>
      <c r="DG29" s="1796">
        <v>255.29851000000002</v>
      </c>
      <c r="DH29" s="1796">
        <v>3686.4171200000001</v>
      </c>
      <c r="DI29" s="1796">
        <v>302.21138000000002</v>
      </c>
      <c r="DJ29" s="1796">
        <v>4193.7051200000005</v>
      </c>
      <c r="DK29" s="1796">
        <v>369.60694000000001</v>
      </c>
      <c r="DL29" s="1796">
        <v>4923.2388000000001</v>
      </c>
      <c r="DM29" s="1796">
        <v>421.58395000000002</v>
      </c>
      <c r="DN29" s="1796">
        <v>5687.3663699999997</v>
      </c>
      <c r="DO29" s="1796">
        <v>507.24815999999998</v>
      </c>
      <c r="DP29" s="1796">
        <v>6408.00504</v>
      </c>
      <c r="DQ29" s="1797">
        <v>574.63634999999999</v>
      </c>
      <c r="DR29" s="1798">
        <v>283.71485000000001</v>
      </c>
      <c r="DS29" s="1799">
        <v>39.827100000000002</v>
      </c>
      <c r="DT29" s="1800">
        <v>683.70943</v>
      </c>
      <c r="DU29" s="1797">
        <v>93.164100000000005</v>
      </c>
      <c r="DV29" s="1798">
        <v>1232.94982</v>
      </c>
      <c r="DW29" s="1799">
        <v>148.62707</v>
      </c>
      <c r="DX29" s="1800">
        <v>1388.6489999999999</v>
      </c>
      <c r="DY29" s="1797">
        <v>191.73379</v>
      </c>
      <c r="DZ29" s="1798">
        <v>1579.09349</v>
      </c>
      <c r="EA29" s="1799">
        <v>253.02848</v>
      </c>
      <c r="EB29" s="1800">
        <v>1716.3902499999999</v>
      </c>
      <c r="EC29" s="1797">
        <v>291.45256000000001</v>
      </c>
      <c r="ED29" s="1798">
        <v>2122.9057400000002</v>
      </c>
      <c r="EE29" s="1799">
        <v>309.28185999999999</v>
      </c>
      <c r="EF29" s="1798">
        <v>2410.8784599999999</v>
      </c>
      <c r="EG29" s="1799">
        <v>360.55617999999998</v>
      </c>
      <c r="EH29" s="1800">
        <v>2569.4391700000001</v>
      </c>
      <c r="EI29" s="1799">
        <v>616.85563000000002</v>
      </c>
      <c r="EJ29" s="1800">
        <v>2732.8743300000001</v>
      </c>
      <c r="EK29" s="1799">
        <v>775.71614</v>
      </c>
      <c r="EL29" s="1798">
        <v>3123.8772100000001</v>
      </c>
      <c r="EM29" s="1801">
        <v>913.83430999999996</v>
      </c>
      <c r="EN29" s="1798">
        <v>5598.0770700000003</v>
      </c>
      <c r="EO29" s="1801">
        <v>1085.3997899999999</v>
      </c>
      <c r="EP29" s="1798">
        <v>112.21594</v>
      </c>
      <c r="EQ29" s="1801">
        <v>71.50421</v>
      </c>
      <c r="ER29" s="1798">
        <v>205.07485999999997</v>
      </c>
      <c r="ES29" s="1801">
        <v>245.45148</v>
      </c>
      <c r="ET29" s="1798">
        <v>397.09570000000002</v>
      </c>
      <c r="EU29" s="1801">
        <v>305.62943999999999</v>
      </c>
      <c r="EV29" s="1798">
        <v>1307.1010799999999</v>
      </c>
      <c r="EW29" s="1801">
        <v>402.44662</v>
      </c>
      <c r="EX29" s="1798">
        <v>2001.52802</v>
      </c>
      <c r="EY29" s="1801">
        <v>463.89544000000001</v>
      </c>
      <c r="EZ29" s="1798">
        <v>2235.5152000000003</v>
      </c>
      <c r="FA29" s="1801">
        <v>558.78181999999993</v>
      </c>
      <c r="FB29" s="1798">
        <v>2609.5114800000001</v>
      </c>
      <c r="FC29" s="1801">
        <v>650.78770999999995</v>
      </c>
      <c r="FD29" s="1798">
        <v>2671.0022600000002</v>
      </c>
      <c r="FE29" s="1801">
        <v>668.40700000000004</v>
      </c>
      <c r="FF29" s="1798">
        <v>2954.0456200000003</v>
      </c>
      <c r="FG29" s="1801">
        <v>792.95816000000002</v>
      </c>
      <c r="FH29" s="1798">
        <v>3085.4333000000001</v>
      </c>
      <c r="FI29" s="1801">
        <v>792.95816000000002</v>
      </c>
      <c r="FJ29" s="1798">
        <v>3408.7374399999999</v>
      </c>
      <c r="FK29" s="1801">
        <v>866.6934</v>
      </c>
      <c r="FL29" s="1798">
        <v>3951.1748700000003</v>
      </c>
      <c r="FM29" s="1801">
        <v>1079.7946399999998</v>
      </c>
      <c r="FN29" s="1798">
        <v>302.47415999999998</v>
      </c>
      <c r="FO29" s="1801">
        <v>104.01584</v>
      </c>
      <c r="FP29" s="1798">
        <v>410.75997999999998</v>
      </c>
      <c r="FQ29" s="1801">
        <v>358.85166999999996</v>
      </c>
      <c r="FR29" s="1798">
        <v>625.23392000000001</v>
      </c>
      <c r="FS29" s="1801">
        <v>358.85167000000001</v>
      </c>
      <c r="FT29" s="1798">
        <v>684.90827999999999</v>
      </c>
      <c r="FU29" s="1801">
        <v>532.64362000000006</v>
      </c>
      <c r="FV29" s="1798">
        <v>765.56452000000002</v>
      </c>
      <c r="FW29" s="1801">
        <v>623.91483000000005</v>
      </c>
      <c r="FX29" s="1798">
        <v>1108.6178500000001</v>
      </c>
      <c r="FY29" s="1801">
        <v>693.58804999999995</v>
      </c>
      <c r="FZ29" s="1798">
        <v>1212.99659</v>
      </c>
      <c r="GA29" s="1801">
        <v>752.16007999999999</v>
      </c>
      <c r="GB29" s="1798">
        <v>1391.2744700000001</v>
      </c>
      <c r="GC29" s="1801">
        <v>872.35941000000003</v>
      </c>
      <c r="GD29" s="1798">
        <v>1569.00927</v>
      </c>
      <c r="GE29" s="1801">
        <v>1016.39044</v>
      </c>
      <c r="GF29" s="1798">
        <v>1737.1192699999999</v>
      </c>
      <c r="GG29" s="1801">
        <v>1055.02991</v>
      </c>
      <c r="GH29" s="1798">
        <v>2051.4572699999999</v>
      </c>
      <c r="GI29" s="1801">
        <v>1131.6109100000001</v>
      </c>
      <c r="GJ29" s="1798">
        <v>2103.8168700000001</v>
      </c>
      <c r="GK29" s="1801">
        <v>1330.6795099999999</v>
      </c>
      <c r="GL29" s="1798">
        <v>102.38933</v>
      </c>
      <c r="GM29" s="1801">
        <v>34.511589999999998</v>
      </c>
      <c r="GN29" s="1798">
        <v>202.38927000000001</v>
      </c>
      <c r="GO29" s="1801">
        <v>69.48</v>
      </c>
      <c r="GP29" s="1798">
        <v>251.78013000000001</v>
      </c>
      <c r="GQ29" s="1801">
        <v>95.784000000000006</v>
      </c>
      <c r="GR29" s="1798">
        <v>593.94781</v>
      </c>
      <c r="GS29" s="1801">
        <v>201.50335999999999</v>
      </c>
      <c r="GT29" s="1798">
        <v>1224.28631</v>
      </c>
      <c r="GU29" s="1801">
        <v>270.27569999999997</v>
      </c>
      <c r="GV29" s="1798">
        <v>1973.9259</v>
      </c>
      <c r="GW29" s="1801">
        <v>318.07933000000003</v>
      </c>
      <c r="GX29" s="1798">
        <v>2146.1145200000001</v>
      </c>
      <c r="GY29" s="1801">
        <v>340.44364999999999</v>
      </c>
      <c r="GZ29" s="1798">
        <v>3499.25099</v>
      </c>
      <c r="HA29" s="1801">
        <v>388.25497000000001</v>
      </c>
      <c r="HB29" s="1798">
        <v>3612.9959899999999</v>
      </c>
      <c r="HC29" s="1801">
        <v>418.61297000000002</v>
      </c>
      <c r="HD29" s="1798">
        <v>3908.8449900000001</v>
      </c>
      <c r="HE29" s="1801">
        <v>429.01177000000001</v>
      </c>
      <c r="HF29" s="1798">
        <v>3914.7459899999999</v>
      </c>
      <c r="HG29" s="1801">
        <v>445.86277000000001</v>
      </c>
      <c r="HH29" s="1798">
        <v>4724.61499</v>
      </c>
      <c r="HI29" s="1801">
        <v>557.77626999999995</v>
      </c>
      <c r="HJ29" s="1798">
        <v>7.6260000000000003</v>
      </c>
      <c r="HK29" s="1801">
        <v>50.335999999999999</v>
      </c>
      <c r="HL29" s="1798">
        <v>490.49</v>
      </c>
      <c r="HM29" s="1801">
        <v>89.527640000000005</v>
      </c>
      <c r="HN29" s="1798">
        <v>1211.6289999999999</v>
      </c>
      <c r="HO29" s="1801">
        <v>134.45203000000001</v>
      </c>
      <c r="HP29" s="1798">
        <v>1749.3240000000001</v>
      </c>
      <c r="HQ29" s="1801">
        <v>147.32302999999999</v>
      </c>
      <c r="HR29" s="1798">
        <v>2978.2370000000001</v>
      </c>
      <c r="HS29" s="1801">
        <v>169.49703</v>
      </c>
      <c r="HT29" s="1798">
        <v>4349.41</v>
      </c>
      <c r="HU29" s="1801">
        <v>318.08003000000002</v>
      </c>
      <c r="HV29" s="1802" t="s">
        <v>3185</v>
      </c>
      <c r="HX29" s="1805"/>
    </row>
    <row r="30" spans="1:232" s="1774" customFormat="1" ht="22.5" customHeight="1">
      <c r="A30" s="1795" t="s">
        <v>2294</v>
      </c>
      <c r="B30" s="1796">
        <v>1716.6447599999999</v>
      </c>
      <c r="C30" s="1796">
        <v>0</v>
      </c>
      <c r="D30" s="1796">
        <v>2933.1362300000001</v>
      </c>
      <c r="E30" s="1796">
        <v>0</v>
      </c>
      <c r="F30" s="1796">
        <v>2997.12509</v>
      </c>
      <c r="G30" s="1796">
        <v>0</v>
      </c>
      <c r="H30" s="1796">
        <v>4041.0931499999997</v>
      </c>
      <c r="I30" s="1796">
        <v>0</v>
      </c>
      <c r="J30" s="1796">
        <v>4368.2246799999994</v>
      </c>
      <c r="K30" s="1796">
        <v>0</v>
      </c>
      <c r="L30" s="1796">
        <v>5722.9997599999997</v>
      </c>
      <c r="M30" s="1796">
        <v>0</v>
      </c>
      <c r="N30" s="1796">
        <v>5776.0270799999998</v>
      </c>
      <c r="O30" s="1796">
        <v>0</v>
      </c>
      <c r="P30" s="1796">
        <v>6286.9747600000001</v>
      </c>
      <c r="Q30" s="1796">
        <v>0</v>
      </c>
      <c r="R30" s="1796">
        <v>7087.3877000000002</v>
      </c>
      <c r="S30" s="1796">
        <v>0</v>
      </c>
      <c r="T30" s="1796">
        <v>7228.0081900000005</v>
      </c>
      <c r="U30" s="1796">
        <v>0</v>
      </c>
      <c r="V30" s="1796">
        <v>7497.7897400000002</v>
      </c>
      <c r="W30" s="1796">
        <v>0</v>
      </c>
      <c r="X30" s="1796">
        <v>7595.5167599999995</v>
      </c>
      <c r="Y30" s="1796">
        <v>0</v>
      </c>
      <c r="Z30" s="1796">
        <v>226.05382</v>
      </c>
      <c r="AA30" s="1796">
        <v>0</v>
      </c>
      <c r="AB30" s="1796">
        <v>1562.18019</v>
      </c>
      <c r="AC30" s="1796">
        <v>0</v>
      </c>
      <c r="AD30" s="1796">
        <v>1823.90156</v>
      </c>
      <c r="AE30" s="1796">
        <v>0</v>
      </c>
      <c r="AF30" s="1796">
        <v>1828.6601599999999</v>
      </c>
      <c r="AG30" s="1796">
        <v>0</v>
      </c>
      <c r="AH30" s="1796">
        <v>2849.9023099999999</v>
      </c>
      <c r="AI30" s="1796">
        <v>0</v>
      </c>
      <c r="AJ30" s="1796">
        <v>3814.9195099999997</v>
      </c>
      <c r="AK30" s="1796">
        <v>612.14449999999999</v>
      </c>
      <c r="AL30" s="1796">
        <v>4813.3088699999998</v>
      </c>
      <c r="AM30" s="1796">
        <v>612.14449999999999</v>
      </c>
      <c r="AN30" s="1796">
        <v>5109.3768</v>
      </c>
      <c r="AO30" s="1796">
        <v>612.14449999999999</v>
      </c>
      <c r="AP30" s="1796">
        <v>5831.6918599999999</v>
      </c>
      <c r="AQ30" s="1796">
        <v>612.14449999999999</v>
      </c>
      <c r="AR30" s="1796">
        <v>6054.0389400000004</v>
      </c>
      <c r="AS30" s="1796">
        <v>612.14449999999999</v>
      </c>
      <c r="AT30" s="1796">
        <v>6216.6289800000004</v>
      </c>
      <c r="AU30" s="1796">
        <v>612.14449999999999</v>
      </c>
      <c r="AV30" s="1796">
        <v>6278.0457200000001</v>
      </c>
      <c r="AW30" s="1796">
        <v>612.14449999999999</v>
      </c>
      <c r="AX30" s="1796">
        <v>318.68525</v>
      </c>
      <c r="AY30" s="1796">
        <v>0</v>
      </c>
      <c r="AZ30" s="1796">
        <v>2159.8143599999999</v>
      </c>
      <c r="BA30" s="1796">
        <v>0</v>
      </c>
      <c r="BB30" s="1796">
        <v>2230.49161</v>
      </c>
      <c r="BC30" s="1796">
        <v>0</v>
      </c>
      <c r="BD30" s="1796">
        <v>2672.75828</v>
      </c>
      <c r="BE30" s="1796">
        <v>0</v>
      </c>
      <c r="BF30" s="1796">
        <v>3445.03089</v>
      </c>
      <c r="BG30" s="1796">
        <v>0</v>
      </c>
      <c r="BH30" s="1796">
        <v>4656.5165199999992</v>
      </c>
      <c r="BI30" s="1796">
        <v>864.77897999999993</v>
      </c>
      <c r="BJ30" s="1796">
        <v>4950.7496900000006</v>
      </c>
      <c r="BK30" s="1796">
        <v>864.77897999999993</v>
      </c>
      <c r="BL30" s="1796">
        <v>6037.4538700000003</v>
      </c>
      <c r="BM30" s="1796">
        <v>864.77897999999993</v>
      </c>
      <c r="BN30" s="1796">
        <v>7546.3197699999992</v>
      </c>
      <c r="BO30" s="1796">
        <v>864.77897999999993</v>
      </c>
      <c r="BP30" s="1796">
        <v>7721.55717</v>
      </c>
      <c r="BQ30" s="1796">
        <v>864.77897999999993</v>
      </c>
      <c r="BR30" s="1796">
        <v>7771.2013699999998</v>
      </c>
      <c r="BS30" s="1796">
        <v>864.77897999999993</v>
      </c>
      <c r="BT30" s="1796">
        <v>7916.2648899999995</v>
      </c>
      <c r="BU30" s="1796">
        <v>912.15797999999995</v>
      </c>
      <c r="BV30" s="1796">
        <v>1554.3306</v>
      </c>
      <c r="BW30" s="1796">
        <v>0</v>
      </c>
      <c r="BX30" s="1796">
        <v>1809.8106</v>
      </c>
      <c r="BY30" s="1796">
        <v>0</v>
      </c>
      <c r="BZ30" s="1796">
        <v>2034.6556</v>
      </c>
      <c r="CA30" s="1796">
        <v>0</v>
      </c>
      <c r="CB30" s="1796">
        <v>2521.8819399999998</v>
      </c>
      <c r="CC30" s="1796">
        <v>0</v>
      </c>
      <c r="CD30" s="1796">
        <v>2847.86922</v>
      </c>
      <c r="CE30" s="1796">
        <v>209.43191000000002</v>
      </c>
      <c r="CF30" s="1796">
        <v>3201.3701800000003</v>
      </c>
      <c r="CG30" s="1796">
        <v>209.43191000000002</v>
      </c>
      <c r="CH30" s="1796">
        <v>4480.95568</v>
      </c>
      <c r="CI30" s="1796">
        <v>209.43191000000002</v>
      </c>
      <c r="CJ30" s="1796">
        <v>6536.7949200000003</v>
      </c>
      <c r="CK30" s="1796">
        <v>209.43191000000002</v>
      </c>
      <c r="CL30" s="1796">
        <v>7923.6218600000002</v>
      </c>
      <c r="CM30" s="1796">
        <v>209.43191000000002</v>
      </c>
      <c r="CN30" s="1796">
        <v>7946.3168599999999</v>
      </c>
      <c r="CO30" s="1796">
        <v>209.43191000000002</v>
      </c>
      <c r="CP30" s="1796">
        <v>7759.0219800000004</v>
      </c>
      <c r="CQ30" s="1796">
        <v>209.43191000000002</v>
      </c>
      <c r="CR30" s="1796">
        <v>7784.4913799999995</v>
      </c>
      <c r="CS30" s="1796">
        <v>209.43191000000002</v>
      </c>
      <c r="CT30" s="1796">
        <v>140.49020000000002</v>
      </c>
      <c r="CU30" s="1796">
        <v>0</v>
      </c>
      <c r="CV30" s="1796">
        <v>1890.10663</v>
      </c>
      <c r="CW30" s="1796">
        <v>0</v>
      </c>
      <c r="CX30" s="1796">
        <v>2551.9983900000002</v>
      </c>
      <c r="CY30" s="1796">
        <v>0</v>
      </c>
      <c r="CZ30" s="1796">
        <v>2551.9983900000002</v>
      </c>
      <c r="DA30" s="1796">
        <v>0</v>
      </c>
      <c r="DB30" s="1796">
        <v>2784.1668</v>
      </c>
      <c r="DC30" s="1796">
        <v>0</v>
      </c>
      <c r="DD30" s="1796">
        <v>3249.3090000000002</v>
      </c>
      <c r="DE30" s="1796">
        <v>0</v>
      </c>
      <c r="DF30" s="1796">
        <v>4266.8199599999998</v>
      </c>
      <c r="DG30" s="1796">
        <v>0</v>
      </c>
      <c r="DH30" s="1796">
        <v>4308.5929400000005</v>
      </c>
      <c r="DI30" s="1796">
        <v>0</v>
      </c>
      <c r="DJ30" s="1796">
        <v>4352.3471200000004</v>
      </c>
      <c r="DK30" s="1796">
        <v>0</v>
      </c>
      <c r="DL30" s="1796">
        <v>4422.2294199999997</v>
      </c>
      <c r="DM30" s="1796">
        <v>0</v>
      </c>
      <c r="DN30" s="1796">
        <v>5835.9769399999996</v>
      </c>
      <c r="DO30" s="1796">
        <v>0</v>
      </c>
      <c r="DP30" s="1796">
        <v>5298.7008999999998</v>
      </c>
      <c r="DQ30" s="1797">
        <v>0</v>
      </c>
      <c r="DR30" s="1798">
        <v>1687.96613</v>
      </c>
      <c r="DS30" s="1799">
        <v>0</v>
      </c>
      <c r="DT30" s="1800">
        <v>2112.5030000000002</v>
      </c>
      <c r="DU30" s="1797">
        <v>0</v>
      </c>
      <c r="DV30" s="1798">
        <v>2322.17553</v>
      </c>
      <c r="DW30" s="1799">
        <v>0</v>
      </c>
      <c r="DX30" s="1800">
        <v>2601.6181900000001</v>
      </c>
      <c r="DY30" s="1797">
        <v>0</v>
      </c>
      <c r="DZ30" s="1798">
        <v>2594.30224</v>
      </c>
      <c r="EA30" s="1799">
        <v>0</v>
      </c>
      <c r="EB30" s="1800">
        <v>2843.12608</v>
      </c>
      <c r="EC30" s="1797">
        <v>0</v>
      </c>
      <c r="ED30" s="1798">
        <v>3373.75992</v>
      </c>
      <c r="EE30" s="1799">
        <v>0</v>
      </c>
      <c r="EF30" s="1798">
        <v>4202.3198000000002</v>
      </c>
      <c r="EG30" s="1799">
        <v>0</v>
      </c>
      <c r="EH30" s="1800">
        <v>5271.9582399999999</v>
      </c>
      <c r="EI30" s="1799">
        <v>0</v>
      </c>
      <c r="EJ30" s="1800">
        <v>5388.7128499999999</v>
      </c>
      <c r="EK30" s="1799">
        <v>485.33152000000001</v>
      </c>
      <c r="EL30" s="1798">
        <v>5472.2004500000003</v>
      </c>
      <c r="EM30" s="1801">
        <v>485.33152000000001</v>
      </c>
      <c r="EN30" s="1798">
        <v>6452.4794199999997</v>
      </c>
      <c r="EO30" s="1801">
        <v>821.44885999999997</v>
      </c>
      <c r="EP30" s="1811">
        <v>4.08</v>
      </c>
      <c r="EQ30" s="1801">
        <v>0</v>
      </c>
      <c r="ER30" s="1798">
        <v>1874.1916899999999</v>
      </c>
      <c r="ES30" s="1801">
        <v>109.63167</v>
      </c>
      <c r="ET30" s="1798">
        <v>2143.5436300000001</v>
      </c>
      <c r="EU30" s="1801">
        <v>109.63167</v>
      </c>
      <c r="EV30" s="1798">
        <v>2155.51503</v>
      </c>
      <c r="EW30" s="1801">
        <v>109.63167</v>
      </c>
      <c r="EX30" s="1798">
        <v>2225.6904500000001</v>
      </c>
      <c r="EY30" s="1801">
        <v>109.63167</v>
      </c>
      <c r="EZ30" s="1798">
        <v>3465.20084</v>
      </c>
      <c r="FA30" s="1801">
        <v>109.63167</v>
      </c>
      <c r="FB30" s="1798">
        <v>3476.1297599999998</v>
      </c>
      <c r="FC30" s="1801">
        <v>109.63167</v>
      </c>
      <c r="FD30" s="1798">
        <v>5911.4043799999999</v>
      </c>
      <c r="FE30" s="1801">
        <v>109.63167</v>
      </c>
      <c r="FF30" s="1798">
        <v>6240.8773099999999</v>
      </c>
      <c r="FG30" s="1801">
        <v>109.63167</v>
      </c>
      <c r="FH30" s="1798">
        <v>6246.8273099999997</v>
      </c>
      <c r="FI30" s="1801">
        <v>109.63167</v>
      </c>
      <c r="FJ30" s="1798">
        <v>7748.5812699999997</v>
      </c>
      <c r="FK30" s="1801">
        <v>109.63167</v>
      </c>
      <c r="FL30" s="1798">
        <v>7555.3485899999996</v>
      </c>
      <c r="FM30" s="1801">
        <v>109.63167</v>
      </c>
      <c r="FN30" s="1798">
        <v>18.790099999999999</v>
      </c>
      <c r="FO30" s="1801">
        <v>0</v>
      </c>
      <c r="FP30" s="1798">
        <v>2113.24919</v>
      </c>
      <c r="FQ30" s="1801">
        <v>0</v>
      </c>
      <c r="FR30" s="1798">
        <v>2149.20487</v>
      </c>
      <c r="FS30" s="1801">
        <v>0</v>
      </c>
      <c r="FT30" s="1798">
        <v>2212.7287700000002</v>
      </c>
      <c r="FU30" s="1801">
        <v>0</v>
      </c>
      <c r="FV30" s="1798">
        <v>2582.2803699999999</v>
      </c>
      <c r="FW30" s="1801">
        <v>0</v>
      </c>
      <c r="FX30" s="1798">
        <v>3147.7554300000002</v>
      </c>
      <c r="FY30" s="1801">
        <v>8.5</v>
      </c>
      <c r="FZ30" s="1798">
        <v>3147.7554300000002</v>
      </c>
      <c r="GA30" s="1801">
        <v>8.5</v>
      </c>
      <c r="GB30" s="1798">
        <v>4553.2021100000002</v>
      </c>
      <c r="GC30" s="1801">
        <v>8.5</v>
      </c>
      <c r="GD30" s="1798">
        <v>4565.0936099999999</v>
      </c>
      <c r="GE30" s="1801">
        <v>8.5</v>
      </c>
      <c r="GF30" s="1798">
        <v>4565.0936099999999</v>
      </c>
      <c r="GG30" s="1801">
        <v>8.5</v>
      </c>
      <c r="GH30" s="1798">
        <v>5026.4868699999997</v>
      </c>
      <c r="GI30" s="1801">
        <v>8.5</v>
      </c>
      <c r="GJ30" s="1798">
        <v>6480.0595800000001</v>
      </c>
      <c r="GK30" s="1801">
        <v>1341.6541099999999</v>
      </c>
      <c r="GL30" s="1798">
        <v>0</v>
      </c>
      <c r="GM30" s="1801">
        <v>0</v>
      </c>
      <c r="GN30" s="1798">
        <v>177.65</v>
      </c>
      <c r="GO30" s="1801">
        <v>0</v>
      </c>
      <c r="GP30" s="1798">
        <v>199.75</v>
      </c>
      <c r="GQ30" s="1801">
        <v>0</v>
      </c>
      <c r="GR30" s="1798">
        <v>199.75</v>
      </c>
      <c r="GS30" s="1801">
        <v>0</v>
      </c>
      <c r="GT30" s="1798">
        <v>347.44391000000002</v>
      </c>
      <c r="GU30" s="1801">
        <v>0</v>
      </c>
      <c r="GV30" s="1798">
        <v>347.44391000000002</v>
      </c>
      <c r="GW30" s="1801">
        <v>0</v>
      </c>
      <c r="GX30" s="1798">
        <v>908.44390999999996</v>
      </c>
      <c r="GY30" s="1801">
        <v>0</v>
      </c>
      <c r="GZ30" s="1798">
        <v>2072.7964200000001</v>
      </c>
      <c r="HA30" s="1801">
        <v>0</v>
      </c>
      <c r="HB30" s="1798">
        <v>2211.0368100000001</v>
      </c>
      <c r="HC30" s="1801">
        <v>0</v>
      </c>
      <c r="HD30" s="1798">
        <v>2211.0368100000001</v>
      </c>
      <c r="HE30" s="1801">
        <v>0</v>
      </c>
      <c r="HF30" s="1798">
        <v>2610.6489900000001</v>
      </c>
      <c r="HG30" s="1801">
        <v>0</v>
      </c>
      <c r="HH30" s="1798">
        <v>3279.3105099999998</v>
      </c>
      <c r="HI30" s="1801">
        <v>0</v>
      </c>
      <c r="HJ30" s="1798">
        <v>82.195319999999995</v>
      </c>
      <c r="HK30" s="1801">
        <v>0</v>
      </c>
      <c r="HL30" s="1798">
        <v>2438.1481199999998</v>
      </c>
      <c r="HM30" s="1801">
        <v>0</v>
      </c>
      <c r="HN30" s="1798">
        <v>2571.7866399999998</v>
      </c>
      <c r="HO30" s="1801">
        <v>0</v>
      </c>
      <c r="HP30" s="1798">
        <v>2610.8897400000001</v>
      </c>
      <c r="HQ30" s="1801">
        <v>0</v>
      </c>
      <c r="HR30" s="1798">
        <v>3372.3635199999999</v>
      </c>
      <c r="HS30" s="1801">
        <v>0</v>
      </c>
      <c r="HT30" s="1798">
        <v>4690.7599499999997</v>
      </c>
      <c r="HU30" s="1801">
        <v>0</v>
      </c>
      <c r="HV30" s="1802" t="s">
        <v>3418</v>
      </c>
      <c r="HX30" s="1805"/>
    </row>
    <row r="31" spans="1:232" s="1774" customFormat="1" ht="22.5" customHeight="1">
      <c r="A31" s="1795" t="s">
        <v>2293</v>
      </c>
      <c r="B31" s="1796">
        <v>0</v>
      </c>
      <c r="C31" s="1796">
        <v>0</v>
      </c>
      <c r="D31" s="1796">
        <v>5.8</v>
      </c>
      <c r="E31" s="1796">
        <v>0</v>
      </c>
      <c r="F31" s="1796">
        <v>273.38163000000003</v>
      </c>
      <c r="G31" s="1796">
        <v>0</v>
      </c>
      <c r="H31" s="1796">
        <v>273.38163000000003</v>
      </c>
      <c r="I31" s="1796">
        <v>0</v>
      </c>
      <c r="J31" s="1796">
        <v>273.38163000000003</v>
      </c>
      <c r="K31" s="1796">
        <v>0</v>
      </c>
      <c r="L31" s="1796">
        <v>273.38163000000003</v>
      </c>
      <c r="M31" s="1796">
        <v>0</v>
      </c>
      <c r="N31" s="1796">
        <v>273.38163000000003</v>
      </c>
      <c r="O31" s="1796">
        <v>0</v>
      </c>
      <c r="P31" s="1796">
        <v>273.38163000000003</v>
      </c>
      <c r="Q31" s="1796">
        <v>0</v>
      </c>
      <c r="R31" s="1796">
        <v>273.38163000000003</v>
      </c>
      <c r="S31" s="1796">
        <v>0</v>
      </c>
      <c r="T31" s="1796">
        <v>273.38163000000003</v>
      </c>
      <c r="U31" s="1796">
        <v>0</v>
      </c>
      <c r="V31" s="1796">
        <v>273.38163000000003</v>
      </c>
      <c r="W31" s="1796">
        <v>0</v>
      </c>
      <c r="X31" s="1796">
        <v>310.5428</v>
      </c>
      <c r="Y31" s="1796">
        <v>0</v>
      </c>
      <c r="Z31" s="1796">
        <v>0.87551000000000001</v>
      </c>
      <c r="AA31" s="1796">
        <v>0</v>
      </c>
      <c r="AB31" s="1796">
        <v>121.72931</v>
      </c>
      <c r="AC31" s="1796">
        <v>0</v>
      </c>
      <c r="AD31" s="1796">
        <v>121.72931</v>
      </c>
      <c r="AE31" s="1796">
        <v>0</v>
      </c>
      <c r="AF31" s="1796">
        <v>92.109110000000001</v>
      </c>
      <c r="AG31" s="1796">
        <v>0</v>
      </c>
      <c r="AH31" s="1796">
        <v>92.109110000000001</v>
      </c>
      <c r="AI31" s="1796">
        <v>0</v>
      </c>
      <c r="AJ31" s="1796">
        <v>92.109110000000001</v>
      </c>
      <c r="AK31" s="1796">
        <v>0</v>
      </c>
      <c r="AL31" s="1796">
        <v>92.109110000000001</v>
      </c>
      <c r="AM31" s="1796">
        <v>0</v>
      </c>
      <c r="AN31" s="1796">
        <v>92.109110000000001</v>
      </c>
      <c r="AO31" s="1796">
        <v>0</v>
      </c>
      <c r="AP31" s="1796">
        <v>92.109110000000001</v>
      </c>
      <c r="AQ31" s="1796">
        <v>0</v>
      </c>
      <c r="AR31" s="1796">
        <v>92.109110000000001</v>
      </c>
      <c r="AS31" s="1796">
        <v>0</v>
      </c>
      <c r="AT31" s="1796">
        <v>92.108910000000009</v>
      </c>
      <c r="AU31" s="1796">
        <v>0</v>
      </c>
      <c r="AV31" s="1796">
        <v>106.55367</v>
      </c>
      <c r="AW31" s="1796">
        <v>0</v>
      </c>
      <c r="AX31" s="1796">
        <v>0</v>
      </c>
      <c r="AY31" s="1796">
        <v>0</v>
      </c>
      <c r="AZ31" s="1796">
        <v>0</v>
      </c>
      <c r="BA31" s="1796">
        <v>0</v>
      </c>
      <c r="BB31" s="1796">
        <v>25.406500000000001</v>
      </c>
      <c r="BC31" s="1796">
        <v>0</v>
      </c>
      <c r="BD31" s="1796">
        <v>52.7425</v>
      </c>
      <c r="BE31" s="1796">
        <v>0</v>
      </c>
      <c r="BF31" s="1796">
        <v>52.7425</v>
      </c>
      <c r="BG31" s="1796">
        <v>0</v>
      </c>
      <c r="BH31" s="1796">
        <v>75.000500000000002</v>
      </c>
      <c r="BI31" s="1796">
        <v>0</v>
      </c>
      <c r="BJ31" s="1796">
        <v>75.000500000000002</v>
      </c>
      <c r="BK31" s="1796">
        <v>0</v>
      </c>
      <c r="BL31" s="1796">
        <v>74.830500000000001</v>
      </c>
      <c r="BM31" s="1796">
        <v>0</v>
      </c>
      <c r="BN31" s="1796">
        <v>74.830500000000001</v>
      </c>
      <c r="BO31" s="1796">
        <v>0</v>
      </c>
      <c r="BP31" s="1796">
        <v>47.494500000000002</v>
      </c>
      <c r="BQ31" s="1796">
        <v>0</v>
      </c>
      <c r="BR31" s="1796">
        <v>47.494500000000002</v>
      </c>
      <c r="BS31" s="1796">
        <v>0</v>
      </c>
      <c r="BT31" s="1796">
        <v>47.494500000000002</v>
      </c>
      <c r="BU31" s="1796">
        <v>0</v>
      </c>
      <c r="BV31" s="1796">
        <v>0</v>
      </c>
      <c r="BW31" s="1796">
        <v>0</v>
      </c>
      <c r="BX31" s="1796">
        <v>0</v>
      </c>
      <c r="BY31" s="1796">
        <v>0</v>
      </c>
      <c r="BZ31" s="1796">
        <v>0</v>
      </c>
      <c r="CA31" s="1796">
        <v>0</v>
      </c>
      <c r="CB31" s="1796">
        <v>36.119300000000003</v>
      </c>
      <c r="CC31" s="1796">
        <v>0</v>
      </c>
      <c r="CD31" s="1796">
        <v>36.119300000000003</v>
      </c>
      <c r="CE31" s="1796">
        <v>0</v>
      </c>
      <c r="CF31" s="1796">
        <v>36.119300000000003</v>
      </c>
      <c r="CG31" s="1796">
        <v>0</v>
      </c>
      <c r="CH31" s="1796">
        <v>36.119300000000003</v>
      </c>
      <c r="CI31" s="1796">
        <v>0</v>
      </c>
      <c r="CJ31" s="1796">
        <v>36.119300000000003</v>
      </c>
      <c r="CK31" s="1796">
        <v>0</v>
      </c>
      <c r="CL31" s="1796">
        <v>36.119300000000003</v>
      </c>
      <c r="CM31" s="1796">
        <v>0</v>
      </c>
      <c r="CN31" s="1796">
        <v>36.119300000000003</v>
      </c>
      <c r="CO31" s="1796">
        <v>0</v>
      </c>
      <c r="CP31" s="1796">
        <v>36.119300000000003</v>
      </c>
      <c r="CQ31" s="1796">
        <v>0</v>
      </c>
      <c r="CR31" s="1796">
        <v>36.119300000000003</v>
      </c>
      <c r="CS31" s="1796">
        <v>0</v>
      </c>
      <c r="CT31" s="1796">
        <v>15.888999999999999</v>
      </c>
      <c r="CU31" s="1796">
        <v>0</v>
      </c>
      <c r="CV31" s="1796">
        <v>15.888999999999999</v>
      </c>
      <c r="CW31" s="1796">
        <v>0</v>
      </c>
      <c r="CX31" s="1796">
        <v>15.888999999999999</v>
      </c>
      <c r="CY31" s="1796">
        <v>0</v>
      </c>
      <c r="CZ31" s="1796">
        <v>43.309199999999997</v>
      </c>
      <c r="DA31" s="1796">
        <v>0</v>
      </c>
      <c r="DB31" s="1796">
        <v>43.309199999999997</v>
      </c>
      <c r="DC31" s="1796">
        <v>0</v>
      </c>
      <c r="DD31" s="1796">
        <v>43.309199999999997</v>
      </c>
      <c r="DE31" s="1796">
        <v>0</v>
      </c>
      <c r="DF31" s="1796">
        <v>43.309199999999997</v>
      </c>
      <c r="DG31" s="1796">
        <v>0</v>
      </c>
      <c r="DH31" s="1796">
        <v>43.309199999999997</v>
      </c>
      <c r="DI31" s="1796">
        <v>0</v>
      </c>
      <c r="DJ31" s="1796">
        <v>43.309199999999997</v>
      </c>
      <c r="DK31" s="1796">
        <v>0</v>
      </c>
      <c r="DL31" s="1796">
        <v>72.8142</v>
      </c>
      <c r="DM31" s="1796">
        <v>0</v>
      </c>
      <c r="DN31" s="1796">
        <v>72.8142</v>
      </c>
      <c r="DO31" s="1796">
        <v>0</v>
      </c>
      <c r="DP31" s="1796">
        <v>72.8142</v>
      </c>
      <c r="DQ31" s="1797">
        <v>0</v>
      </c>
      <c r="DR31" s="1798">
        <v>15.888999999999999</v>
      </c>
      <c r="DS31" s="1799">
        <v>0</v>
      </c>
      <c r="DT31" s="1800">
        <v>15.888999999999999</v>
      </c>
      <c r="DU31" s="1797">
        <v>0</v>
      </c>
      <c r="DV31" s="1798">
        <v>15.888999999999999</v>
      </c>
      <c r="DW31" s="1799">
        <v>0</v>
      </c>
      <c r="DX31" s="1800">
        <v>34.496000000000002</v>
      </c>
      <c r="DY31" s="1797">
        <v>0</v>
      </c>
      <c r="DZ31" s="1798">
        <v>34.496000000000002</v>
      </c>
      <c r="EA31" s="1799">
        <v>0</v>
      </c>
      <c r="EB31" s="1800">
        <v>44.492190000000001</v>
      </c>
      <c r="EC31" s="1797">
        <v>0</v>
      </c>
      <c r="ED31" s="1798">
        <v>44.492190000000001</v>
      </c>
      <c r="EE31" s="1799">
        <v>0</v>
      </c>
      <c r="EF31" s="1798">
        <v>44.492190000000001</v>
      </c>
      <c r="EG31" s="1799">
        <v>0</v>
      </c>
      <c r="EH31" s="1800">
        <v>44.492190000000001</v>
      </c>
      <c r="EI31" s="1799">
        <v>0</v>
      </c>
      <c r="EJ31" s="1800">
        <v>72.521190000000004</v>
      </c>
      <c r="EK31" s="1799">
        <v>0</v>
      </c>
      <c r="EL31" s="1798">
        <v>72.521190000000004</v>
      </c>
      <c r="EM31" s="1801">
        <v>0</v>
      </c>
      <c r="EN31" s="1798">
        <v>72.521190000000004</v>
      </c>
      <c r="EO31" s="1801">
        <v>0</v>
      </c>
      <c r="EP31" s="1798">
        <v>15.888999999999999</v>
      </c>
      <c r="EQ31" s="1801">
        <v>0</v>
      </c>
      <c r="ER31" s="1798">
        <v>15.888999999999999</v>
      </c>
      <c r="ES31" s="1801">
        <v>0</v>
      </c>
      <c r="ET31" s="1798">
        <v>15.888999999999999</v>
      </c>
      <c r="EU31" s="1801">
        <v>0</v>
      </c>
      <c r="EV31" s="1798">
        <v>15.888999999999999</v>
      </c>
      <c r="EW31" s="1801">
        <v>0</v>
      </c>
      <c r="EX31" s="1798">
        <v>15.888999999999999</v>
      </c>
      <c r="EY31" s="1801">
        <v>0</v>
      </c>
      <c r="EZ31" s="1798">
        <v>32.507829999999998</v>
      </c>
      <c r="FA31" s="1801">
        <v>0</v>
      </c>
      <c r="FB31" s="1798">
        <v>32.507829999999998</v>
      </c>
      <c r="FC31" s="1801">
        <v>0</v>
      </c>
      <c r="FD31" s="1798">
        <v>32.507829999999998</v>
      </c>
      <c r="FE31" s="1801">
        <v>0</v>
      </c>
      <c r="FF31" s="1798">
        <v>32.507829999999998</v>
      </c>
      <c r="FG31" s="1801">
        <v>0</v>
      </c>
      <c r="FH31" s="1798">
        <v>60.536830000000002</v>
      </c>
      <c r="FI31" s="1801">
        <v>0</v>
      </c>
      <c r="FJ31" s="1798">
        <v>60.536830000000002</v>
      </c>
      <c r="FK31" s="1801">
        <v>0</v>
      </c>
      <c r="FL31" s="1798">
        <v>60.536830000000002</v>
      </c>
      <c r="FM31" s="1801">
        <v>0</v>
      </c>
      <c r="FN31" s="1798">
        <v>9.4</v>
      </c>
      <c r="FO31" s="1801">
        <v>0</v>
      </c>
      <c r="FP31" s="1798">
        <v>9.4</v>
      </c>
      <c r="FQ31" s="1801">
        <v>0</v>
      </c>
      <c r="FR31" s="1798">
        <v>23.750070000000001</v>
      </c>
      <c r="FS31" s="1801">
        <v>0</v>
      </c>
      <c r="FT31" s="1798">
        <v>37.911320000000003</v>
      </c>
      <c r="FU31" s="1801">
        <v>0</v>
      </c>
      <c r="FV31" s="1798">
        <v>37.911319999999996</v>
      </c>
      <c r="FW31" s="1801">
        <v>0</v>
      </c>
      <c r="FX31" s="1798">
        <v>49.781910000000003</v>
      </c>
      <c r="FY31" s="1801">
        <v>0</v>
      </c>
      <c r="FZ31" s="1798">
        <v>49.781910000000003</v>
      </c>
      <c r="GA31" s="1801">
        <v>0</v>
      </c>
      <c r="GB31" s="1798">
        <v>49.781910000000003</v>
      </c>
      <c r="GC31" s="1801">
        <v>0</v>
      </c>
      <c r="GD31" s="1798">
        <v>49.781910000000003</v>
      </c>
      <c r="GE31" s="1801">
        <v>0</v>
      </c>
      <c r="GF31" s="1798">
        <v>77.810910000000007</v>
      </c>
      <c r="GG31" s="1801">
        <v>0</v>
      </c>
      <c r="GH31" s="1798">
        <v>77.810910000000007</v>
      </c>
      <c r="GI31" s="1801">
        <v>0</v>
      </c>
      <c r="GJ31" s="1798">
        <v>77.810910000000007</v>
      </c>
      <c r="GK31" s="1801">
        <v>0</v>
      </c>
      <c r="GL31" s="1798">
        <v>7.7889999999999997</v>
      </c>
      <c r="GM31" s="1801">
        <v>0</v>
      </c>
      <c r="GN31" s="1798">
        <v>7.7889999999999997</v>
      </c>
      <c r="GO31" s="1801">
        <v>0</v>
      </c>
      <c r="GP31" s="1798">
        <v>21.550720000000002</v>
      </c>
      <c r="GQ31" s="1801">
        <v>0</v>
      </c>
      <c r="GR31" s="1798">
        <v>21.550719999999998</v>
      </c>
      <c r="GS31" s="1801">
        <v>0</v>
      </c>
      <c r="GT31" s="1798">
        <v>21.550719999999998</v>
      </c>
      <c r="GU31" s="1801">
        <v>0</v>
      </c>
      <c r="GV31" s="1798">
        <v>21.550719999999998</v>
      </c>
      <c r="GW31" s="1801">
        <v>0</v>
      </c>
      <c r="GX31" s="1798">
        <v>47.617379999999997</v>
      </c>
      <c r="GY31" s="1801">
        <v>0</v>
      </c>
      <c r="GZ31" s="1798">
        <v>47.617379999999997</v>
      </c>
      <c r="HA31" s="1801">
        <v>0</v>
      </c>
      <c r="HB31" s="1798">
        <v>47.617379999999997</v>
      </c>
      <c r="HC31" s="1801">
        <v>0</v>
      </c>
      <c r="HD31" s="1798">
        <v>47.617379999999997</v>
      </c>
      <c r="HE31" s="1801">
        <v>0</v>
      </c>
      <c r="HF31" s="1798">
        <v>47.617379999999997</v>
      </c>
      <c r="HG31" s="1801">
        <v>0</v>
      </c>
      <c r="HH31" s="1798">
        <v>77.117379999999997</v>
      </c>
      <c r="HI31" s="1801">
        <v>0</v>
      </c>
      <c r="HJ31" s="1798">
        <v>35.225659999999998</v>
      </c>
      <c r="HK31" s="1801">
        <v>0</v>
      </c>
      <c r="HL31" s="1798">
        <v>35.225659999999998</v>
      </c>
      <c r="HM31" s="1801">
        <v>0</v>
      </c>
      <c r="HN31" s="1798">
        <v>1305.2256600000001</v>
      </c>
      <c r="HO31" s="1801">
        <v>0</v>
      </c>
      <c r="HP31" s="1798">
        <v>1313.97066</v>
      </c>
      <c r="HQ31" s="1801">
        <v>702.05402000000004</v>
      </c>
      <c r="HR31" s="1798">
        <v>1313.97066</v>
      </c>
      <c r="HS31" s="1801">
        <v>702.05402000000004</v>
      </c>
      <c r="HT31" s="1798">
        <v>1313.97066</v>
      </c>
      <c r="HU31" s="1801">
        <v>702.05402000000004</v>
      </c>
      <c r="HV31" s="1802" t="s">
        <v>3186</v>
      </c>
    </row>
    <row r="32" spans="1:232" s="1774" customFormat="1" ht="22.5" customHeight="1">
      <c r="A32" s="1795" t="s">
        <v>2292</v>
      </c>
      <c r="B32" s="1796">
        <v>4.5549999999999997</v>
      </c>
      <c r="C32" s="1796">
        <v>0</v>
      </c>
      <c r="D32" s="1796">
        <v>8.4459999999999997</v>
      </c>
      <c r="E32" s="1796">
        <v>236.20161999999999</v>
      </c>
      <c r="F32" s="1796">
        <v>6.9480000000000004</v>
      </c>
      <c r="G32" s="1796">
        <v>840.46882000000005</v>
      </c>
      <c r="H32" s="1796">
        <v>7.5709999999999997</v>
      </c>
      <c r="I32" s="1796">
        <v>840.46881999999994</v>
      </c>
      <c r="J32" s="1796">
        <v>1057.29891</v>
      </c>
      <c r="K32" s="1796">
        <v>846.12081999999998</v>
      </c>
      <c r="L32" s="1796">
        <v>1324.1360099999999</v>
      </c>
      <c r="M32" s="1796">
        <v>1405.3659599999999</v>
      </c>
      <c r="N32" s="1796">
        <v>1341.3500100000001</v>
      </c>
      <c r="O32" s="1796">
        <v>1405.3659599999999</v>
      </c>
      <c r="P32" s="1796">
        <v>1324.1360099999999</v>
      </c>
      <c r="Q32" s="1796">
        <v>1405.3659599999999</v>
      </c>
      <c r="R32" s="1796">
        <v>1324.1360099999999</v>
      </c>
      <c r="S32" s="1796">
        <v>1419.3659599999999</v>
      </c>
      <c r="T32" s="1796">
        <v>1324.1360099999999</v>
      </c>
      <c r="U32" s="1796">
        <v>1419.3659599999999</v>
      </c>
      <c r="V32" s="1796">
        <v>1324.9440099999999</v>
      </c>
      <c r="W32" s="1796">
        <v>1419.3659599999999</v>
      </c>
      <c r="X32" s="1796">
        <v>1325.6790100000001</v>
      </c>
      <c r="Y32" s="1796">
        <v>1419.3659599999999</v>
      </c>
      <c r="Z32" s="1796">
        <v>0</v>
      </c>
      <c r="AA32" s="1796">
        <v>0</v>
      </c>
      <c r="AB32" s="1796">
        <v>6.444</v>
      </c>
      <c r="AC32" s="1796">
        <v>64.37106</v>
      </c>
      <c r="AD32" s="1796">
        <v>6.444</v>
      </c>
      <c r="AE32" s="1796">
        <v>64.37106</v>
      </c>
      <c r="AF32" s="1796">
        <v>31.853999999999999</v>
      </c>
      <c r="AG32" s="1796">
        <v>64.37106</v>
      </c>
      <c r="AH32" s="1796">
        <v>617.31925000000001</v>
      </c>
      <c r="AI32" s="1796">
        <v>64.37106</v>
      </c>
      <c r="AJ32" s="1796">
        <v>617.31925000000001</v>
      </c>
      <c r="AK32" s="1796">
        <v>64.37106</v>
      </c>
      <c r="AL32" s="1796">
        <v>617.31925000000001</v>
      </c>
      <c r="AM32" s="1796">
        <v>64.37106</v>
      </c>
      <c r="AN32" s="1796">
        <v>617.31925000000001</v>
      </c>
      <c r="AO32" s="1796">
        <v>64.37106</v>
      </c>
      <c r="AP32" s="1796">
        <v>630.64824999999996</v>
      </c>
      <c r="AQ32" s="1796">
        <v>64.37106</v>
      </c>
      <c r="AR32" s="1796">
        <v>633.78025000000002</v>
      </c>
      <c r="AS32" s="1796">
        <v>64.37106</v>
      </c>
      <c r="AT32" s="1796">
        <v>639.78724999999997</v>
      </c>
      <c r="AU32" s="1796">
        <v>64.37106</v>
      </c>
      <c r="AV32" s="1796">
        <v>639.78724999999997</v>
      </c>
      <c r="AW32" s="1796">
        <v>180.25665000000001</v>
      </c>
      <c r="AX32" s="1796">
        <v>0</v>
      </c>
      <c r="AY32" s="1796">
        <v>0</v>
      </c>
      <c r="AZ32" s="1796">
        <v>4.1059999999999999</v>
      </c>
      <c r="BA32" s="1796">
        <v>0</v>
      </c>
      <c r="BB32" s="1796">
        <v>4.1059999999999999</v>
      </c>
      <c r="BC32" s="1796">
        <v>0</v>
      </c>
      <c r="BD32" s="1796">
        <v>27.58</v>
      </c>
      <c r="BE32" s="1796">
        <v>0</v>
      </c>
      <c r="BF32" s="1796">
        <v>27.58</v>
      </c>
      <c r="BG32" s="1796">
        <v>0</v>
      </c>
      <c r="BH32" s="1796">
        <v>163.79485</v>
      </c>
      <c r="BI32" s="1796">
        <v>0</v>
      </c>
      <c r="BJ32" s="1796">
        <v>157.68185</v>
      </c>
      <c r="BK32" s="1796">
        <v>0</v>
      </c>
      <c r="BL32" s="1796">
        <v>157.68185</v>
      </c>
      <c r="BM32" s="1796">
        <v>0</v>
      </c>
      <c r="BN32" s="1796">
        <v>157.68185</v>
      </c>
      <c r="BO32" s="1796">
        <v>0</v>
      </c>
      <c r="BP32" s="1796">
        <v>167.68185</v>
      </c>
      <c r="BQ32" s="1796">
        <v>0</v>
      </c>
      <c r="BR32" s="1796">
        <v>168.78185000000002</v>
      </c>
      <c r="BS32" s="1796">
        <v>0</v>
      </c>
      <c r="BT32" s="1796">
        <v>183.78185000000002</v>
      </c>
      <c r="BU32" s="1796">
        <v>0</v>
      </c>
      <c r="BV32" s="1796">
        <v>0</v>
      </c>
      <c r="BW32" s="1796">
        <v>0</v>
      </c>
      <c r="BX32" s="1796">
        <v>0</v>
      </c>
      <c r="BY32" s="1796">
        <v>0</v>
      </c>
      <c r="BZ32" s="1796">
        <v>0</v>
      </c>
      <c r="CA32" s="1796">
        <v>0</v>
      </c>
      <c r="CB32" s="1796">
        <v>6.8419999999999996</v>
      </c>
      <c r="CC32" s="1796">
        <v>0</v>
      </c>
      <c r="CD32" s="1796">
        <v>6.8419999999999996</v>
      </c>
      <c r="CE32" s="1796">
        <v>0</v>
      </c>
      <c r="CF32" s="1796">
        <v>6.8419999999999996</v>
      </c>
      <c r="CG32" s="1796">
        <v>0</v>
      </c>
      <c r="CH32" s="1796">
        <v>6.8419999999999996</v>
      </c>
      <c r="CI32" s="1796">
        <v>0</v>
      </c>
      <c r="CJ32" s="1796">
        <v>6.8419999999999996</v>
      </c>
      <c r="CK32" s="1796">
        <v>0</v>
      </c>
      <c r="CL32" s="1796">
        <v>6.8419999999999996</v>
      </c>
      <c r="CM32" s="1796">
        <v>0</v>
      </c>
      <c r="CN32" s="1796">
        <v>6.8419999999999996</v>
      </c>
      <c r="CO32" s="1796">
        <v>0</v>
      </c>
      <c r="CP32" s="1796">
        <v>6.8419999999999996</v>
      </c>
      <c r="CQ32" s="1796">
        <v>0</v>
      </c>
      <c r="CR32" s="1796">
        <v>9.1567399999999992</v>
      </c>
      <c r="CS32" s="1796">
        <v>0</v>
      </c>
      <c r="CT32" s="1796">
        <v>0</v>
      </c>
      <c r="CU32" s="1796">
        <v>0</v>
      </c>
      <c r="CV32" s="1796">
        <v>0.69335999999999998</v>
      </c>
      <c r="CW32" s="1796">
        <v>0</v>
      </c>
      <c r="CX32" s="1796">
        <v>61.281120000000001</v>
      </c>
      <c r="CY32" s="1796">
        <v>0</v>
      </c>
      <c r="CZ32" s="1796">
        <v>392.01365999999996</v>
      </c>
      <c r="DA32" s="1796">
        <v>0</v>
      </c>
      <c r="DB32" s="1796">
        <v>408.28724</v>
      </c>
      <c r="DC32" s="1796">
        <v>0</v>
      </c>
      <c r="DD32" s="1796">
        <v>550.97993999999994</v>
      </c>
      <c r="DE32" s="1796">
        <v>0</v>
      </c>
      <c r="DF32" s="1796">
        <v>583.79175999999995</v>
      </c>
      <c r="DG32" s="1796">
        <v>0</v>
      </c>
      <c r="DH32" s="1796">
        <v>633.60518000000002</v>
      </c>
      <c r="DI32" s="1796">
        <v>0</v>
      </c>
      <c r="DJ32" s="1796">
        <v>638.08204000000001</v>
      </c>
      <c r="DK32" s="1796">
        <v>3.78</v>
      </c>
      <c r="DL32" s="1796">
        <v>695.11854000000005</v>
      </c>
      <c r="DM32" s="1796">
        <v>3.78</v>
      </c>
      <c r="DN32" s="1796">
        <v>825.25639999999999</v>
      </c>
      <c r="DO32" s="1796">
        <v>3.78</v>
      </c>
      <c r="DP32" s="1796">
        <v>6171.0005000000001</v>
      </c>
      <c r="DQ32" s="1797">
        <v>28.731000000000002</v>
      </c>
      <c r="DR32" s="1798">
        <v>1247.6387999999999</v>
      </c>
      <c r="DS32" s="1799">
        <v>0</v>
      </c>
      <c r="DT32" s="1800">
        <v>2146.4238</v>
      </c>
      <c r="DU32" s="1797">
        <v>0</v>
      </c>
      <c r="DV32" s="1798">
        <v>2374.9177399999999</v>
      </c>
      <c r="DW32" s="1799">
        <v>0</v>
      </c>
      <c r="DX32" s="1800">
        <v>2494.8991599999999</v>
      </c>
      <c r="DY32" s="1797">
        <v>0</v>
      </c>
      <c r="DZ32" s="1798">
        <v>3633.32</v>
      </c>
      <c r="EA32" s="1799">
        <v>0</v>
      </c>
      <c r="EB32" s="1800">
        <v>4207.0142999999998</v>
      </c>
      <c r="EC32" s="1797">
        <v>0</v>
      </c>
      <c r="ED32" s="1798">
        <v>4392.4564399999999</v>
      </c>
      <c r="EE32" s="1799">
        <v>0</v>
      </c>
      <c r="EF32" s="1798">
        <v>5312.7656999999999</v>
      </c>
      <c r="EG32" s="1799">
        <v>53.60163</v>
      </c>
      <c r="EH32" s="1800">
        <v>5485.7416000000003</v>
      </c>
      <c r="EI32" s="1799">
        <v>220.11879999999999</v>
      </c>
      <c r="EJ32" s="1800">
        <v>5539.1984400000001</v>
      </c>
      <c r="EK32" s="1799">
        <v>718.41001000000006</v>
      </c>
      <c r="EL32" s="1798">
        <v>5981.4286000000002</v>
      </c>
      <c r="EM32" s="1801">
        <v>819.06777</v>
      </c>
      <c r="EN32" s="1798">
        <v>9209.0169800000003</v>
      </c>
      <c r="EO32" s="1801">
        <v>1679.6351099999999</v>
      </c>
      <c r="EP32" s="1798">
        <v>8919.9886999999999</v>
      </c>
      <c r="EQ32" s="1801">
        <v>131.2955</v>
      </c>
      <c r="ER32" s="1798">
        <v>8880.7057800000002</v>
      </c>
      <c r="ES32" s="1801">
        <v>348.40565000000004</v>
      </c>
      <c r="ET32" s="1798">
        <v>9226.8184399999991</v>
      </c>
      <c r="EU32" s="1801">
        <v>575.41726000000006</v>
      </c>
      <c r="EV32" s="1798">
        <v>9304.8628000000008</v>
      </c>
      <c r="EW32" s="1801">
        <v>683.98990000000003</v>
      </c>
      <c r="EX32" s="1798">
        <v>10493.86916</v>
      </c>
      <c r="EY32" s="1801">
        <v>741.26483999999994</v>
      </c>
      <c r="EZ32" s="1798">
        <v>11001.036840000001</v>
      </c>
      <c r="FA32" s="1801">
        <v>742.28678000000002</v>
      </c>
      <c r="FB32" s="1798">
        <v>11085.4054</v>
      </c>
      <c r="FC32" s="1801">
        <v>765.73739999999998</v>
      </c>
      <c r="FD32" s="1798">
        <v>11125.08446</v>
      </c>
      <c r="FE32" s="1801">
        <v>783.78743999999995</v>
      </c>
      <c r="FF32" s="1798">
        <v>11776.136960000002</v>
      </c>
      <c r="FG32" s="1801">
        <v>783.78743999999995</v>
      </c>
      <c r="FH32" s="1798">
        <v>11777.467259999999</v>
      </c>
      <c r="FI32" s="1801">
        <v>785.16907000000003</v>
      </c>
      <c r="FJ32" s="1798">
        <v>11867.912039999999</v>
      </c>
      <c r="FK32" s="1801">
        <v>2024.9900700000001</v>
      </c>
      <c r="FL32" s="1798">
        <v>12943.339759999999</v>
      </c>
      <c r="FM32" s="1801">
        <v>3494.7404900000001</v>
      </c>
      <c r="FN32" s="1798">
        <v>6646.6128900000003</v>
      </c>
      <c r="FO32" s="1801">
        <v>817.40772000000004</v>
      </c>
      <c r="FP32" s="1798">
        <v>6721.9436599999999</v>
      </c>
      <c r="FQ32" s="1801">
        <v>1235.0835400000001</v>
      </c>
      <c r="FR32" s="1798">
        <v>6803.6132600000001</v>
      </c>
      <c r="FS32" s="1801">
        <v>1437.7179900000001</v>
      </c>
      <c r="FT32" s="1798">
        <v>7798.4545399999997</v>
      </c>
      <c r="FU32" s="1801">
        <v>1587.21226</v>
      </c>
      <c r="FV32" s="1798">
        <v>8934.1675799999994</v>
      </c>
      <c r="FW32" s="1801">
        <v>2025.36727</v>
      </c>
      <c r="FX32" s="1798">
        <v>10188.978440000001</v>
      </c>
      <c r="FY32" s="1801">
        <v>2249.5868999999998</v>
      </c>
      <c r="FZ32" s="1798">
        <v>10205.59866</v>
      </c>
      <c r="GA32" s="1801">
        <v>2578.4448400000001</v>
      </c>
      <c r="GB32" s="1798">
        <v>10681.295599999999</v>
      </c>
      <c r="GC32" s="1801">
        <v>2705.2163999999998</v>
      </c>
      <c r="GD32" s="1798">
        <v>10855.769</v>
      </c>
      <c r="GE32" s="1801">
        <v>2912.643</v>
      </c>
      <c r="GF32" s="1798">
        <v>10868.217000000001</v>
      </c>
      <c r="GG32" s="1801">
        <v>3146.3710000000001</v>
      </c>
      <c r="GH32" s="1798">
        <v>10934.165000000001</v>
      </c>
      <c r="GI32" s="1801">
        <v>4654.3689999999997</v>
      </c>
      <c r="GJ32" s="1798">
        <v>12132.8256</v>
      </c>
      <c r="GK32" s="1801">
        <v>5250.3164999999999</v>
      </c>
      <c r="GL32" s="1798">
        <v>7586.1779999999999</v>
      </c>
      <c r="GM32" s="1801">
        <v>872.52641000000006</v>
      </c>
      <c r="GN32" s="1798">
        <v>7784.5219999999999</v>
      </c>
      <c r="GO32" s="1801">
        <v>1100.675</v>
      </c>
      <c r="GP32" s="1798">
        <v>8652.1569999999992</v>
      </c>
      <c r="GQ32" s="1801">
        <v>1224.1020000000001</v>
      </c>
      <c r="GR32" s="1798">
        <v>8902.2039999999997</v>
      </c>
      <c r="GS32" s="1801">
        <v>2921.4940000000001</v>
      </c>
      <c r="GT32" s="1798">
        <v>9921.4670000000006</v>
      </c>
      <c r="GU32" s="1801">
        <v>3981.7179999999998</v>
      </c>
      <c r="GV32" s="1798">
        <v>11473.638999999999</v>
      </c>
      <c r="GW32" s="1801">
        <v>4243.9719999999998</v>
      </c>
      <c r="GX32" s="1798">
        <v>11583.315000000001</v>
      </c>
      <c r="GY32" s="1801">
        <v>4558.7359999999999</v>
      </c>
      <c r="GZ32" s="1798">
        <v>12152.878000000001</v>
      </c>
      <c r="HA32" s="1801">
        <v>4602.7269999999999</v>
      </c>
      <c r="HB32" s="1798">
        <v>12390.349</v>
      </c>
      <c r="HC32" s="1801">
        <v>4691.1059999999998</v>
      </c>
      <c r="HD32" s="1798">
        <v>12390.349</v>
      </c>
      <c r="HE32" s="1801">
        <v>5019.527</v>
      </c>
      <c r="HF32" s="1798">
        <v>12391.912</v>
      </c>
      <c r="HG32" s="1801">
        <v>7721.7089999999998</v>
      </c>
      <c r="HH32" s="1798">
        <v>12832.040999999999</v>
      </c>
      <c r="HI32" s="1801">
        <v>8750.8739999999998</v>
      </c>
      <c r="HJ32" s="1798">
        <v>8940.9320000000007</v>
      </c>
      <c r="HK32" s="1801">
        <v>25.443999999999999</v>
      </c>
      <c r="HL32" s="1798">
        <v>9231.7150000000001</v>
      </c>
      <c r="HM32" s="1801">
        <v>125.877</v>
      </c>
      <c r="HN32" s="1798">
        <v>10107.849</v>
      </c>
      <c r="HO32" s="1801">
        <v>159.84800000000001</v>
      </c>
      <c r="HP32" s="1798">
        <v>10107.849</v>
      </c>
      <c r="HQ32" s="1801">
        <v>186.30099999999999</v>
      </c>
      <c r="HR32" s="1798">
        <v>10404.619000000001</v>
      </c>
      <c r="HS32" s="1801">
        <v>221.691</v>
      </c>
      <c r="HT32" s="1798">
        <v>11941.550999999999</v>
      </c>
      <c r="HU32" s="1801">
        <v>264.76499999999999</v>
      </c>
      <c r="HV32" s="1802" t="s">
        <v>3187</v>
      </c>
    </row>
    <row r="33" spans="1:233" s="1774" customFormat="1" ht="22.5" customHeight="1">
      <c r="A33" s="1809" t="s">
        <v>2291</v>
      </c>
      <c r="B33" s="1796">
        <v>349.78615000000002</v>
      </c>
      <c r="C33" s="1796">
        <v>0</v>
      </c>
      <c r="D33" s="1796">
        <v>421.29782</v>
      </c>
      <c r="E33" s="1796">
        <v>0</v>
      </c>
      <c r="F33" s="1796">
        <v>419.26282000000003</v>
      </c>
      <c r="G33" s="1796">
        <v>0</v>
      </c>
      <c r="H33" s="1796">
        <v>432.47982000000002</v>
      </c>
      <c r="I33" s="1796">
        <v>0</v>
      </c>
      <c r="J33" s="1796">
        <v>514.13715000000002</v>
      </c>
      <c r="K33" s="1796">
        <v>1719.22</v>
      </c>
      <c r="L33" s="1796">
        <v>657.18163000000004</v>
      </c>
      <c r="M33" s="1796">
        <v>1719.22</v>
      </c>
      <c r="N33" s="1796">
        <v>655.85163</v>
      </c>
      <c r="O33" s="1796">
        <v>1719.22</v>
      </c>
      <c r="P33" s="1796">
        <v>704.74363000000005</v>
      </c>
      <c r="Q33" s="1796">
        <v>1719.22</v>
      </c>
      <c r="R33" s="1796">
        <v>717.63063</v>
      </c>
      <c r="S33" s="1796">
        <v>1719.22</v>
      </c>
      <c r="T33" s="1796">
        <v>1086.8759</v>
      </c>
      <c r="U33" s="1796">
        <v>1719.22</v>
      </c>
      <c r="V33" s="1796">
        <v>1293.81023</v>
      </c>
      <c r="W33" s="1796">
        <v>1719.22</v>
      </c>
      <c r="X33" s="1796">
        <v>1096.8889199999999</v>
      </c>
      <c r="Y33" s="1796">
        <v>1719.22</v>
      </c>
      <c r="Z33" s="1796">
        <v>47.001370000000001</v>
      </c>
      <c r="AA33" s="1796">
        <v>0</v>
      </c>
      <c r="AB33" s="1796">
        <v>53.995609999999999</v>
      </c>
      <c r="AC33" s="1796">
        <v>0</v>
      </c>
      <c r="AD33" s="1796">
        <v>57.461010000000002</v>
      </c>
      <c r="AE33" s="1796">
        <v>0</v>
      </c>
      <c r="AF33" s="1796">
        <v>62.604169999999996</v>
      </c>
      <c r="AG33" s="1796">
        <v>0</v>
      </c>
      <c r="AH33" s="1796">
        <v>63.570900000000002</v>
      </c>
      <c r="AI33" s="1796">
        <v>0</v>
      </c>
      <c r="AJ33" s="1796">
        <v>73.978289999999987</v>
      </c>
      <c r="AK33" s="1796">
        <v>0</v>
      </c>
      <c r="AL33" s="1796">
        <v>259.44099999999997</v>
      </c>
      <c r="AM33" s="1796">
        <v>0</v>
      </c>
      <c r="AN33" s="1796">
        <v>262.82402000000002</v>
      </c>
      <c r="AO33" s="1796">
        <v>0</v>
      </c>
      <c r="AP33" s="1796">
        <v>645.34637999999995</v>
      </c>
      <c r="AQ33" s="1796">
        <v>0</v>
      </c>
      <c r="AR33" s="1796">
        <v>657.55461000000003</v>
      </c>
      <c r="AS33" s="1796">
        <v>0</v>
      </c>
      <c r="AT33" s="1796">
        <v>665.2585600000001</v>
      </c>
      <c r="AU33" s="1796">
        <v>0</v>
      </c>
      <c r="AV33" s="1796">
        <v>673.25146999999993</v>
      </c>
      <c r="AW33" s="1796">
        <v>0</v>
      </c>
      <c r="AX33" s="1796">
        <v>49.121480000000005</v>
      </c>
      <c r="AY33" s="1796">
        <v>0</v>
      </c>
      <c r="AZ33" s="1796">
        <v>54.246259999999999</v>
      </c>
      <c r="BA33" s="1796">
        <v>0</v>
      </c>
      <c r="BB33" s="1796">
        <v>58.614179999999998</v>
      </c>
      <c r="BC33" s="1796">
        <v>0</v>
      </c>
      <c r="BD33" s="1796">
        <v>64.496430000000004</v>
      </c>
      <c r="BE33" s="1796">
        <v>0</v>
      </c>
      <c r="BF33" s="1796">
        <v>131.82868999999999</v>
      </c>
      <c r="BG33" s="1796">
        <v>0</v>
      </c>
      <c r="BH33" s="1796">
        <v>152.87327999999999</v>
      </c>
      <c r="BI33" s="1796">
        <v>0</v>
      </c>
      <c r="BJ33" s="1796">
        <v>158.19068999999999</v>
      </c>
      <c r="BK33" s="1796">
        <v>0</v>
      </c>
      <c r="BL33" s="1796">
        <v>271.68840999999998</v>
      </c>
      <c r="BM33" s="1796">
        <v>0</v>
      </c>
      <c r="BN33" s="1796">
        <v>277.93254999999999</v>
      </c>
      <c r="BO33" s="1796">
        <v>0</v>
      </c>
      <c r="BP33" s="1796">
        <v>279.98928999999998</v>
      </c>
      <c r="BQ33" s="1796">
        <v>0</v>
      </c>
      <c r="BR33" s="1796">
        <v>286.00727000000001</v>
      </c>
      <c r="BS33" s="1796">
        <v>0</v>
      </c>
      <c r="BT33" s="1796">
        <v>285.37624</v>
      </c>
      <c r="BU33" s="1796">
        <v>0</v>
      </c>
      <c r="BV33" s="1796">
        <v>3.6664699999999999</v>
      </c>
      <c r="BW33" s="1796">
        <v>0</v>
      </c>
      <c r="BX33" s="1796">
        <v>47.676960000000001</v>
      </c>
      <c r="BY33" s="1796">
        <v>0</v>
      </c>
      <c r="BZ33" s="1796">
        <v>138.01726000000002</v>
      </c>
      <c r="CA33" s="1796">
        <v>0</v>
      </c>
      <c r="CB33" s="1796">
        <v>141.82848000000001</v>
      </c>
      <c r="CC33" s="1796">
        <v>0</v>
      </c>
      <c r="CD33" s="1796">
        <v>156.65725</v>
      </c>
      <c r="CE33" s="1796">
        <v>0</v>
      </c>
      <c r="CF33" s="1796">
        <v>172.31475</v>
      </c>
      <c r="CG33" s="1796">
        <v>0</v>
      </c>
      <c r="CH33" s="1796">
        <v>150.39344</v>
      </c>
      <c r="CI33" s="1796">
        <v>0</v>
      </c>
      <c r="CJ33" s="1796">
        <v>213.39896999999999</v>
      </c>
      <c r="CK33" s="1796">
        <v>0</v>
      </c>
      <c r="CL33" s="1796">
        <v>223.33305999999999</v>
      </c>
      <c r="CM33" s="1796">
        <v>0</v>
      </c>
      <c r="CN33" s="1796">
        <v>343.62844999999999</v>
      </c>
      <c r="CO33" s="1796">
        <v>0</v>
      </c>
      <c r="CP33" s="1796">
        <v>432.89949999999999</v>
      </c>
      <c r="CQ33" s="1796">
        <v>0</v>
      </c>
      <c r="CR33" s="1796">
        <v>437.51801</v>
      </c>
      <c r="CS33" s="1796">
        <v>0</v>
      </c>
      <c r="CT33" s="1796">
        <v>6.0783800000000001</v>
      </c>
      <c r="CU33" s="1796">
        <v>0</v>
      </c>
      <c r="CV33" s="1796">
        <v>54.118180000000002</v>
      </c>
      <c r="CW33" s="1796">
        <v>0</v>
      </c>
      <c r="CX33" s="1796">
        <v>55.19502</v>
      </c>
      <c r="CY33" s="1796">
        <v>0</v>
      </c>
      <c r="CZ33" s="1796">
        <v>56.359449999999995</v>
      </c>
      <c r="DA33" s="1796">
        <v>0</v>
      </c>
      <c r="DB33" s="1796">
        <v>57.199570000000001</v>
      </c>
      <c r="DC33" s="1796">
        <v>0</v>
      </c>
      <c r="DD33" s="1796">
        <v>58.564269999999993</v>
      </c>
      <c r="DE33" s="1796">
        <v>0</v>
      </c>
      <c r="DF33" s="1796">
        <v>59.497999999999998</v>
      </c>
      <c r="DG33" s="1796">
        <v>0</v>
      </c>
      <c r="DH33" s="1796">
        <v>60.219919999999995</v>
      </c>
      <c r="DI33" s="1796">
        <v>0</v>
      </c>
      <c r="DJ33" s="1796">
        <v>188.17137</v>
      </c>
      <c r="DK33" s="1796">
        <v>0</v>
      </c>
      <c r="DL33" s="1796">
        <v>188.83923999999999</v>
      </c>
      <c r="DM33" s="1796">
        <v>0</v>
      </c>
      <c r="DN33" s="1796">
        <v>189.56888000000001</v>
      </c>
      <c r="DO33" s="1796">
        <v>0</v>
      </c>
      <c r="DP33" s="1796">
        <v>188.70277999999999</v>
      </c>
      <c r="DQ33" s="1797">
        <v>0</v>
      </c>
      <c r="DR33" s="1798">
        <v>0.76361000000000001</v>
      </c>
      <c r="DS33" s="1799">
        <v>0</v>
      </c>
      <c r="DT33" s="1800">
        <v>99.276489999999995</v>
      </c>
      <c r="DU33" s="1797">
        <v>0</v>
      </c>
      <c r="DV33" s="1798">
        <v>100.20121</v>
      </c>
      <c r="DW33" s="1799">
        <v>0</v>
      </c>
      <c r="DX33" s="1800">
        <v>101.04737</v>
      </c>
      <c r="DY33" s="1797">
        <v>0</v>
      </c>
      <c r="DZ33" s="1798">
        <v>101.79643</v>
      </c>
      <c r="EA33" s="1799">
        <v>0</v>
      </c>
      <c r="EB33" s="1800">
        <v>102.44020999999999</v>
      </c>
      <c r="EC33" s="1797">
        <v>0</v>
      </c>
      <c r="ED33" s="1798">
        <v>102.44020999999999</v>
      </c>
      <c r="EE33" s="1799">
        <v>0</v>
      </c>
      <c r="EF33" s="1798">
        <v>102.44020999999999</v>
      </c>
      <c r="EG33" s="1799">
        <v>0</v>
      </c>
      <c r="EH33" s="1800">
        <v>261.42243000000002</v>
      </c>
      <c r="EI33" s="1799">
        <v>0</v>
      </c>
      <c r="EJ33" s="1800">
        <v>261.42243000000002</v>
      </c>
      <c r="EK33" s="1799">
        <v>0</v>
      </c>
      <c r="EL33" s="1798">
        <v>261.42243000000002</v>
      </c>
      <c r="EM33" s="1801">
        <v>0</v>
      </c>
      <c r="EN33" s="1798">
        <v>261.42243000000002</v>
      </c>
      <c r="EO33" s="1801">
        <v>0</v>
      </c>
      <c r="EP33" s="1798">
        <v>0</v>
      </c>
      <c r="EQ33" s="1801">
        <v>0</v>
      </c>
      <c r="ER33" s="1798">
        <v>87.425989999999999</v>
      </c>
      <c r="ES33" s="1801">
        <v>0</v>
      </c>
      <c r="ET33" s="1798">
        <v>87.425989999999999</v>
      </c>
      <c r="EU33" s="1801">
        <v>0</v>
      </c>
      <c r="EV33" s="1798">
        <v>87.425989999999999</v>
      </c>
      <c r="EW33" s="1801">
        <v>0</v>
      </c>
      <c r="EX33" s="1798">
        <v>87.425989999999999</v>
      </c>
      <c r="EY33" s="1801">
        <v>0</v>
      </c>
      <c r="EZ33" s="1798">
        <v>87.425989999999999</v>
      </c>
      <c r="FA33" s="1801">
        <v>0</v>
      </c>
      <c r="FB33" s="1798">
        <v>87.425989999999999</v>
      </c>
      <c r="FC33" s="1801">
        <v>0</v>
      </c>
      <c r="FD33" s="1798">
        <v>255.21241000000001</v>
      </c>
      <c r="FE33" s="1801">
        <v>0</v>
      </c>
      <c r="FF33" s="1798">
        <v>255.21241000000001</v>
      </c>
      <c r="FG33" s="1801">
        <v>0</v>
      </c>
      <c r="FH33" s="1798">
        <v>259.32819999999998</v>
      </c>
      <c r="FI33" s="1801">
        <v>0</v>
      </c>
      <c r="FJ33" s="1798">
        <v>259.32819999999998</v>
      </c>
      <c r="FK33" s="1801">
        <v>0</v>
      </c>
      <c r="FL33" s="1798">
        <v>259.32820000000004</v>
      </c>
      <c r="FM33" s="1801">
        <v>0</v>
      </c>
      <c r="FN33" s="1798">
        <v>0</v>
      </c>
      <c r="FO33" s="1801">
        <v>0</v>
      </c>
      <c r="FP33" s="1798">
        <v>82.429860000000005</v>
      </c>
      <c r="FQ33" s="1801">
        <v>0</v>
      </c>
      <c r="FR33" s="1798">
        <v>82.429860000000005</v>
      </c>
      <c r="FS33" s="1801">
        <v>0</v>
      </c>
      <c r="FT33" s="1798">
        <v>82.429860000000005</v>
      </c>
      <c r="FU33" s="1801">
        <v>0</v>
      </c>
      <c r="FV33" s="1798">
        <v>82.429860000000005</v>
      </c>
      <c r="FW33" s="1801">
        <v>0</v>
      </c>
      <c r="FX33" s="1798">
        <v>85.561409999999995</v>
      </c>
      <c r="FY33" s="1801">
        <v>0</v>
      </c>
      <c r="FZ33" s="1798">
        <v>85.561409999999995</v>
      </c>
      <c r="GA33" s="1801">
        <v>0</v>
      </c>
      <c r="GB33" s="1798">
        <v>85.561409999999995</v>
      </c>
      <c r="GC33" s="1801">
        <v>0</v>
      </c>
      <c r="GD33" s="1798">
        <v>85.561409999999995</v>
      </c>
      <c r="GE33" s="1801">
        <v>0</v>
      </c>
      <c r="GF33" s="1798">
        <v>85.561409999999995</v>
      </c>
      <c r="GG33" s="1801">
        <v>0</v>
      </c>
      <c r="GH33" s="1798">
        <v>85.561409999999995</v>
      </c>
      <c r="GI33" s="1801">
        <v>0</v>
      </c>
      <c r="GJ33" s="1798">
        <v>85.561409999999995</v>
      </c>
      <c r="GK33" s="1801">
        <v>0</v>
      </c>
      <c r="GL33" s="1798">
        <v>85.561409999999995</v>
      </c>
      <c r="GM33" s="1801">
        <v>0</v>
      </c>
      <c r="GN33" s="1798">
        <v>85.561409999999995</v>
      </c>
      <c r="GO33" s="1801">
        <v>0</v>
      </c>
      <c r="GP33" s="1798">
        <v>85.561409999999995</v>
      </c>
      <c r="GQ33" s="1801">
        <v>0</v>
      </c>
      <c r="GR33" s="1798">
        <v>85.561409999999995</v>
      </c>
      <c r="GS33" s="1801">
        <v>0</v>
      </c>
      <c r="GT33" s="1798">
        <v>128.06141</v>
      </c>
      <c r="GU33" s="1801">
        <v>0</v>
      </c>
      <c r="GV33" s="1798">
        <v>128.06141</v>
      </c>
      <c r="GW33" s="1801">
        <v>0</v>
      </c>
      <c r="GX33" s="1798">
        <v>128.06141</v>
      </c>
      <c r="GY33" s="1801">
        <v>0</v>
      </c>
      <c r="GZ33" s="1798">
        <v>128.06141</v>
      </c>
      <c r="HA33" s="1801">
        <v>0</v>
      </c>
      <c r="HB33" s="1798">
        <v>128.06141</v>
      </c>
      <c r="HC33" s="1801">
        <v>0</v>
      </c>
      <c r="HD33" s="1798">
        <v>160.23391000000001</v>
      </c>
      <c r="HE33" s="1801">
        <v>0</v>
      </c>
      <c r="HF33" s="1798">
        <v>160.23391000000001</v>
      </c>
      <c r="HG33" s="1801">
        <v>0</v>
      </c>
      <c r="HH33" s="1798">
        <v>160.23391000000001</v>
      </c>
      <c r="HI33" s="1801">
        <v>0</v>
      </c>
      <c r="HJ33" s="1798">
        <v>0</v>
      </c>
      <c r="HK33" s="1801">
        <v>0</v>
      </c>
      <c r="HL33" s="1798">
        <v>67.038480000000007</v>
      </c>
      <c r="HM33" s="1801">
        <v>0</v>
      </c>
      <c r="HN33" s="1798">
        <v>67.038480000000007</v>
      </c>
      <c r="HO33" s="1801">
        <v>0</v>
      </c>
      <c r="HP33" s="1798">
        <v>67.038480000000007</v>
      </c>
      <c r="HQ33" s="1801">
        <v>0</v>
      </c>
      <c r="HR33" s="1798">
        <v>107.41348000000001</v>
      </c>
      <c r="HS33" s="1801">
        <v>0</v>
      </c>
      <c r="HT33" s="1798">
        <v>107.41348000000001</v>
      </c>
      <c r="HU33" s="1801">
        <v>0</v>
      </c>
      <c r="HV33" s="1810" t="s">
        <v>3188</v>
      </c>
    </row>
    <row r="34" spans="1:233" s="1774" customFormat="1" ht="22.5" customHeight="1">
      <c r="A34" s="1795" t="s">
        <v>2290</v>
      </c>
      <c r="B34" s="1796">
        <v>349.78615000000002</v>
      </c>
      <c r="C34" s="1796">
        <v>0</v>
      </c>
      <c r="D34" s="1796">
        <v>421.29782</v>
      </c>
      <c r="E34" s="1796">
        <v>0</v>
      </c>
      <c r="F34" s="1796">
        <v>419.26282000000003</v>
      </c>
      <c r="G34" s="1796">
        <v>0</v>
      </c>
      <c r="H34" s="1796">
        <v>432.47982000000002</v>
      </c>
      <c r="I34" s="1796">
        <v>0</v>
      </c>
      <c r="J34" s="1796">
        <v>514.13715000000002</v>
      </c>
      <c r="K34" s="1796">
        <v>1719.22</v>
      </c>
      <c r="L34" s="1796">
        <v>655.64662999999996</v>
      </c>
      <c r="M34" s="1796">
        <v>1719.22</v>
      </c>
      <c r="N34" s="1796">
        <v>655.85163</v>
      </c>
      <c r="O34" s="1796">
        <v>1719.22</v>
      </c>
      <c r="P34" s="1796">
        <v>655.85163</v>
      </c>
      <c r="Q34" s="1796">
        <v>1719.22</v>
      </c>
      <c r="R34" s="1796">
        <v>668.73863000000006</v>
      </c>
      <c r="S34" s="1796">
        <v>1719.22</v>
      </c>
      <c r="T34" s="1796">
        <v>1037.9838999999999</v>
      </c>
      <c r="U34" s="1796">
        <v>1719.22</v>
      </c>
      <c r="V34" s="1796">
        <v>1244.91823</v>
      </c>
      <c r="W34" s="1796">
        <v>1719.22</v>
      </c>
      <c r="X34" s="1796">
        <v>1047.99692</v>
      </c>
      <c r="Y34" s="1796">
        <v>1719.22</v>
      </c>
      <c r="Z34" s="1796">
        <v>47.001370000000001</v>
      </c>
      <c r="AA34" s="1796">
        <v>0</v>
      </c>
      <c r="AB34" s="1796">
        <v>53.995609999999999</v>
      </c>
      <c r="AC34" s="1796">
        <v>0</v>
      </c>
      <c r="AD34" s="1796">
        <v>57.461010000000002</v>
      </c>
      <c r="AE34" s="1796">
        <v>0</v>
      </c>
      <c r="AF34" s="1796">
        <v>62.604169999999996</v>
      </c>
      <c r="AG34" s="1796">
        <v>0</v>
      </c>
      <c r="AH34" s="1796">
        <v>63.570900000000002</v>
      </c>
      <c r="AI34" s="1796">
        <v>0</v>
      </c>
      <c r="AJ34" s="1796">
        <v>73.978289999999987</v>
      </c>
      <c r="AK34" s="1796">
        <v>0</v>
      </c>
      <c r="AL34" s="1796">
        <v>213.11799999999999</v>
      </c>
      <c r="AM34" s="1796">
        <v>0</v>
      </c>
      <c r="AN34" s="1796">
        <v>216.50101999999998</v>
      </c>
      <c r="AO34" s="1796">
        <v>0</v>
      </c>
      <c r="AP34" s="1796">
        <v>599.03337999999997</v>
      </c>
      <c r="AQ34" s="1796">
        <v>0</v>
      </c>
      <c r="AR34" s="1796">
        <v>611.25161000000003</v>
      </c>
      <c r="AS34" s="1796">
        <v>0</v>
      </c>
      <c r="AT34" s="1796">
        <v>618.93556000000001</v>
      </c>
      <c r="AU34" s="1796">
        <v>0</v>
      </c>
      <c r="AV34" s="1796">
        <v>626.92846999999995</v>
      </c>
      <c r="AW34" s="1796">
        <v>0</v>
      </c>
      <c r="AX34" s="1796">
        <v>49.121480000000005</v>
      </c>
      <c r="AY34" s="1796">
        <v>0</v>
      </c>
      <c r="AZ34" s="1796">
        <v>54.246259999999999</v>
      </c>
      <c r="BA34" s="1796">
        <v>0</v>
      </c>
      <c r="BB34" s="1796">
        <v>58.614179999999998</v>
      </c>
      <c r="BC34" s="1796">
        <v>0</v>
      </c>
      <c r="BD34" s="1796">
        <v>64.496430000000004</v>
      </c>
      <c r="BE34" s="1796">
        <v>0</v>
      </c>
      <c r="BF34" s="1796">
        <v>131.82868999999999</v>
      </c>
      <c r="BG34" s="1796">
        <v>0</v>
      </c>
      <c r="BH34" s="1796">
        <v>152.87327999999999</v>
      </c>
      <c r="BI34" s="1796">
        <v>0</v>
      </c>
      <c r="BJ34" s="1796">
        <v>158.19068999999999</v>
      </c>
      <c r="BK34" s="1796">
        <v>0</v>
      </c>
      <c r="BL34" s="1796">
        <v>271.68840999999998</v>
      </c>
      <c r="BM34" s="1796">
        <v>0</v>
      </c>
      <c r="BN34" s="1796">
        <v>277.93254999999999</v>
      </c>
      <c r="BO34" s="1796">
        <v>0</v>
      </c>
      <c r="BP34" s="1796">
        <v>279.98928999999998</v>
      </c>
      <c r="BQ34" s="1796">
        <v>0</v>
      </c>
      <c r="BR34" s="1796">
        <v>286.00727000000001</v>
      </c>
      <c r="BS34" s="1796">
        <v>0</v>
      </c>
      <c r="BT34" s="1796">
        <v>285.37624</v>
      </c>
      <c r="BU34" s="1796">
        <v>0</v>
      </c>
      <c r="BV34" s="1796">
        <v>3.6664699999999999</v>
      </c>
      <c r="BW34" s="1796">
        <v>0</v>
      </c>
      <c r="BX34" s="1796">
        <v>47.676960000000001</v>
      </c>
      <c r="BY34" s="1796">
        <v>0</v>
      </c>
      <c r="BZ34" s="1796">
        <v>138.01726000000002</v>
      </c>
      <c r="CA34" s="1796">
        <v>0</v>
      </c>
      <c r="CB34" s="1796">
        <v>141.82848000000001</v>
      </c>
      <c r="CC34" s="1796">
        <v>0</v>
      </c>
      <c r="CD34" s="1796">
        <v>156.65725</v>
      </c>
      <c r="CE34" s="1796">
        <v>0</v>
      </c>
      <c r="CF34" s="1796">
        <v>172.31475</v>
      </c>
      <c r="CG34" s="1796">
        <v>0</v>
      </c>
      <c r="CH34" s="1796">
        <v>150.39344</v>
      </c>
      <c r="CI34" s="1796">
        <v>0</v>
      </c>
      <c r="CJ34" s="1796">
        <v>213.39896999999999</v>
      </c>
      <c r="CK34" s="1796">
        <v>0</v>
      </c>
      <c r="CL34" s="1796">
        <v>223.33305999999999</v>
      </c>
      <c r="CM34" s="1796">
        <v>0</v>
      </c>
      <c r="CN34" s="1796">
        <v>343.62844999999999</v>
      </c>
      <c r="CO34" s="1796">
        <v>0</v>
      </c>
      <c r="CP34" s="1796">
        <v>432.89949999999999</v>
      </c>
      <c r="CQ34" s="1796">
        <v>0</v>
      </c>
      <c r="CR34" s="1796">
        <v>437.51801</v>
      </c>
      <c r="CS34" s="1796">
        <v>0</v>
      </c>
      <c r="CT34" s="1796">
        <v>6.0783800000000001</v>
      </c>
      <c r="CU34" s="1796">
        <v>0</v>
      </c>
      <c r="CV34" s="1796">
        <v>54.118180000000002</v>
      </c>
      <c r="CW34" s="1796">
        <v>0</v>
      </c>
      <c r="CX34" s="1796">
        <v>55.19502</v>
      </c>
      <c r="CY34" s="1796">
        <v>0</v>
      </c>
      <c r="CZ34" s="1796">
        <v>56.359449999999995</v>
      </c>
      <c r="DA34" s="1796">
        <v>0</v>
      </c>
      <c r="DB34" s="1796">
        <v>57.199570000000001</v>
      </c>
      <c r="DC34" s="1796">
        <v>0</v>
      </c>
      <c r="DD34" s="1796">
        <v>58.564269999999993</v>
      </c>
      <c r="DE34" s="1796">
        <v>0</v>
      </c>
      <c r="DF34" s="1796">
        <v>59.497999999999998</v>
      </c>
      <c r="DG34" s="1796">
        <v>0</v>
      </c>
      <c r="DH34" s="1796">
        <v>60.219919999999995</v>
      </c>
      <c r="DI34" s="1796">
        <v>0</v>
      </c>
      <c r="DJ34" s="1796">
        <v>188.17137</v>
      </c>
      <c r="DK34" s="1796">
        <v>0</v>
      </c>
      <c r="DL34" s="1796">
        <v>188.83923999999999</v>
      </c>
      <c r="DM34" s="1796">
        <v>0</v>
      </c>
      <c r="DN34" s="1796">
        <v>189.56888000000001</v>
      </c>
      <c r="DO34" s="1796">
        <v>0</v>
      </c>
      <c r="DP34" s="1796">
        <v>188.70277999999999</v>
      </c>
      <c r="DQ34" s="1797">
        <v>0</v>
      </c>
      <c r="DR34" s="1798">
        <v>0.76361000000000001</v>
      </c>
      <c r="DS34" s="1799">
        <v>0</v>
      </c>
      <c r="DT34" s="1800">
        <v>99.276489999999995</v>
      </c>
      <c r="DU34" s="1797">
        <v>0</v>
      </c>
      <c r="DV34" s="1798">
        <v>100.20121</v>
      </c>
      <c r="DW34" s="1799">
        <v>0</v>
      </c>
      <c r="DX34" s="1800">
        <v>101.04737</v>
      </c>
      <c r="DY34" s="1797">
        <v>0</v>
      </c>
      <c r="DZ34" s="1798">
        <v>101.79643</v>
      </c>
      <c r="EA34" s="1799">
        <v>0</v>
      </c>
      <c r="EB34" s="1800">
        <v>102.44020999999999</v>
      </c>
      <c r="EC34" s="1797">
        <v>0</v>
      </c>
      <c r="ED34" s="1798">
        <v>102.44020999999999</v>
      </c>
      <c r="EE34" s="1799">
        <v>0</v>
      </c>
      <c r="EF34" s="1798">
        <v>102.44020999999999</v>
      </c>
      <c r="EG34" s="1799">
        <v>0</v>
      </c>
      <c r="EH34" s="1800">
        <v>261.42243000000002</v>
      </c>
      <c r="EI34" s="1799">
        <v>0</v>
      </c>
      <c r="EJ34" s="1800">
        <v>261.42243000000002</v>
      </c>
      <c r="EK34" s="1799">
        <v>0</v>
      </c>
      <c r="EL34" s="1798">
        <v>261.42243000000002</v>
      </c>
      <c r="EM34" s="1801">
        <v>0</v>
      </c>
      <c r="EN34" s="1798">
        <v>261.42243000000002</v>
      </c>
      <c r="EO34" s="1801">
        <v>0</v>
      </c>
      <c r="EP34" s="1798">
        <v>0</v>
      </c>
      <c r="EQ34" s="1801">
        <v>0</v>
      </c>
      <c r="ER34" s="1798">
        <v>87.425989999999999</v>
      </c>
      <c r="ES34" s="1801">
        <v>0</v>
      </c>
      <c r="ET34" s="1798">
        <v>87.425989999999999</v>
      </c>
      <c r="EU34" s="1801">
        <v>0</v>
      </c>
      <c r="EV34" s="1798">
        <v>87.425989999999999</v>
      </c>
      <c r="EW34" s="1801">
        <v>0</v>
      </c>
      <c r="EX34" s="1798">
        <v>87.425989999999999</v>
      </c>
      <c r="EY34" s="1801">
        <v>0</v>
      </c>
      <c r="EZ34" s="1798">
        <v>87.425989999999999</v>
      </c>
      <c r="FA34" s="1801">
        <v>0</v>
      </c>
      <c r="FB34" s="1798">
        <v>87.425989999999999</v>
      </c>
      <c r="FC34" s="1801">
        <v>0</v>
      </c>
      <c r="FD34" s="1798">
        <v>255.21241000000001</v>
      </c>
      <c r="FE34" s="1801">
        <v>0</v>
      </c>
      <c r="FF34" s="1798">
        <v>255.21241000000001</v>
      </c>
      <c r="FG34" s="1801">
        <v>0</v>
      </c>
      <c r="FH34" s="1798">
        <v>259.32819999999998</v>
      </c>
      <c r="FI34" s="1801">
        <v>0</v>
      </c>
      <c r="FJ34" s="1798">
        <v>259.32819999999998</v>
      </c>
      <c r="FK34" s="1801">
        <v>0</v>
      </c>
      <c r="FL34" s="1798">
        <v>259.32820000000004</v>
      </c>
      <c r="FM34" s="1801">
        <v>0</v>
      </c>
      <c r="FN34" s="1798">
        <v>0</v>
      </c>
      <c r="FO34" s="1801">
        <v>0</v>
      </c>
      <c r="FP34" s="1798">
        <v>82.429860000000005</v>
      </c>
      <c r="FQ34" s="1801">
        <v>0</v>
      </c>
      <c r="FR34" s="1798">
        <v>82.429860000000005</v>
      </c>
      <c r="FS34" s="1801">
        <v>0</v>
      </c>
      <c r="FT34" s="1798">
        <v>82.429860000000005</v>
      </c>
      <c r="FU34" s="1801">
        <v>0</v>
      </c>
      <c r="FV34" s="1798">
        <v>82.429860000000005</v>
      </c>
      <c r="FW34" s="1801">
        <v>0</v>
      </c>
      <c r="FX34" s="1798">
        <v>85.561409999999995</v>
      </c>
      <c r="FY34" s="1801">
        <v>0</v>
      </c>
      <c r="FZ34" s="1798">
        <v>85.561409999999995</v>
      </c>
      <c r="GA34" s="1801">
        <v>0</v>
      </c>
      <c r="GB34" s="1798">
        <v>85.561409999999995</v>
      </c>
      <c r="GC34" s="1801">
        <v>0</v>
      </c>
      <c r="GD34" s="1798">
        <v>85.561409999999995</v>
      </c>
      <c r="GE34" s="1801">
        <v>0</v>
      </c>
      <c r="GF34" s="1798">
        <v>85.561409999999995</v>
      </c>
      <c r="GG34" s="1801">
        <v>0</v>
      </c>
      <c r="GH34" s="1798">
        <v>85.561409999999995</v>
      </c>
      <c r="GI34" s="1801">
        <v>0</v>
      </c>
      <c r="GJ34" s="1798">
        <v>85.561409999999995</v>
      </c>
      <c r="GK34" s="1801" t="s">
        <v>115</v>
      </c>
      <c r="GL34" s="1798">
        <v>85.561409999999995</v>
      </c>
      <c r="GM34" s="1801">
        <v>0</v>
      </c>
      <c r="GN34" s="1798">
        <v>85.561409999999995</v>
      </c>
      <c r="GO34" s="1801">
        <v>0</v>
      </c>
      <c r="GP34" s="1798">
        <v>85.561410000000009</v>
      </c>
      <c r="GQ34" s="1801">
        <v>0</v>
      </c>
      <c r="GR34" s="1798">
        <v>85.561409999999995</v>
      </c>
      <c r="GS34" s="1801">
        <v>0</v>
      </c>
      <c r="GT34" s="1798">
        <v>85.561409999999995</v>
      </c>
      <c r="GU34" s="1801">
        <v>0</v>
      </c>
      <c r="GV34" s="1798">
        <v>85.561409999999995</v>
      </c>
      <c r="GW34" s="1801">
        <v>0</v>
      </c>
      <c r="GX34" s="1798">
        <v>85.561409999999995</v>
      </c>
      <c r="GY34" s="1801">
        <v>0</v>
      </c>
      <c r="GZ34" s="1798">
        <v>85.561409999999995</v>
      </c>
      <c r="HA34" s="1801">
        <v>0</v>
      </c>
      <c r="HB34" s="1798">
        <v>85.561409999999995</v>
      </c>
      <c r="HC34" s="1801">
        <v>0</v>
      </c>
      <c r="HD34" s="1798">
        <v>85.561409999999995</v>
      </c>
      <c r="HE34" s="1801">
        <v>0</v>
      </c>
      <c r="HF34" s="1798">
        <v>85.561409999999995</v>
      </c>
      <c r="HG34" s="1801">
        <v>0</v>
      </c>
      <c r="HH34" s="1798">
        <v>85.561409999999995</v>
      </c>
      <c r="HI34" s="1801">
        <v>0</v>
      </c>
      <c r="HJ34" s="1798">
        <v>0</v>
      </c>
      <c r="HK34" s="1801">
        <v>0</v>
      </c>
      <c r="HL34" s="1798">
        <v>67.038480000000007</v>
      </c>
      <c r="HM34" s="1801">
        <v>0</v>
      </c>
      <c r="HN34" s="1798">
        <v>67.038480000000007</v>
      </c>
      <c r="HO34" s="1801">
        <v>0</v>
      </c>
      <c r="HP34" s="1798">
        <v>67.038480000000007</v>
      </c>
      <c r="HQ34" s="1801">
        <v>0</v>
      </c>
      <c r="HR34" s="1798">
        <v>67.038480000000007</v>
      </c>
      <c r="HS34" s="1801">
        <v>0</v>
      </c>
      <c r="HT34" s="1798">
        <v>67.038480000000007</v>
      </c>
      <c r="HU34" s="1801">
        <v>0</v>
      </c>
      <c r="HV34" s="1804" t="s">
        <v>3419</v>
      </c>
    </row>
    <row r="35" spans="1:233" s="1774" customFormat="1" ht="22.5" customHeight="1">
      <c r="A35" s="1795" t="s">
        <v>2289</v>
      </c>
      <c r="B35" s="1796">
        <v>0</v>
      </c>
      <c r="C35" s="1796">
        <v>0</v>
      </c>
      <c r="D35" s="1796">
        <v>0</v>
      </c>
      <c r="E35" s="1796">
        <v>0</v>
      </c>
      <c r="F35" s="1796">
        <v>0</v>
      </c>
      <c r="G35" s="1796">
        <v>0</v>
      </c>
      <c r="H35" s="1796">
        <v>0</v>
      </c>
      <c r="I35" s="1796">
        <v>0</v>
      </c>
      <c r="J35" s="1796">
        <v>0</v>
      </c>
      <c r="K35" s="1796">
        <v>0</v>
      </c>
      <c r="L35" s="1796">
        <v>1.5349999999999999</v>
      </c>
      <c r="M35" s="1796">
        <v>0</v>
      </c>
      <c r="N35" s="1796">
        <v>0</v>
      </c>
      <c r="O35" s="1796">
        <v>0</v>
      </c>
      <c r="P35" s="1796">
        <v>48.892000000000003</v>
      </c>
      <c r="Q35" s="1796">
        <v>0</v>
      </c>
      <c r="R35" s="1796">
        <v>48.892000000000003</v>
      </c>
      <c r="S35" s="1796">
        <v>0</v>
      </c>
      <c r="T35" s="1796">
        <v>48.892000000000003</v>
      </c>
      <c r="U35" s="1796">
        <v>0</v>
      </c>
      <c r="V35" s="1796">
        <v>48.892000000000003</v>
      </c>
      <c r="W35" s="1796">
        <v>0</v>
      </c>
      <c r="X35" s="1796">
        <v>48.892000000000003</v>
      </c>
      <c r="Y35" s="1796">
        <v>0</v>
      </c>
      <c r="Z35" s="1796"/>
      <c r="AA35" s="1796"/>
      <c r="AB35" s="1796">
        <v>0</v>
      </c>
      <c r="AC35" s="1796">
        <v>0</v>
      </c>
      <c r="AD35" s="1796">
        <v>0</v>
      </c>
      <c r="AE35" s="1796">
        <v>0</v>
      </c>
      <c r="AF35" s="1796">
        <v>0</v>
      </c>
      <c r="AG35" s="1796">
        <v>0</v>
      </c>
      <c r="AH35" s="1796">
        <v>0</v>
      </c>
      <c r="AI35" s="1796">
        <v>0</v>
      </c>
      <c r="AJ35" s="1796">
        <v>0</v>
      </c>
      <c r="AK35" s="1796">
        <v>0</v>
      </c>
      <c r="AL35" s="1796">
        <v>46.323</v>
      </c>
      <c r="AM35" s="1796">
        <v>0</v>
      </c>
      <c r="AN35" s="1796">
        <v>46.323</v>
      </c>
      <c r="AO35" s="1796">
        <v>0</v>
      </c>
      <c r="AP35" s="1796">
        <v>46.323</v>
      </c>
      <c r="AQ35" s="1796">
        <v>0</v>
      </c>
      <c r="AR35" s="1796">
        <v>46.323</v>
      </c>
      <c r="AS35" s="1796">
        <v>0</v>
      </c>
      <c r="AT35" s="1796">
        <v>46.323</v>
      </c>
      <c r="AU35" s="1796">
        <v>0</v>
      </c>
      <c r="AV35" s="1796">
        <v>46.323</v>
      </c>
      <c r="AW35" s="1796">
        <v>0</v>
      </c>
      <c r="AX35" s="1796">
        <v>0</v>
      </c>
      <c r="AY35" s="1796">
        <v>0</v>
      </c>
      <c r="AZ35" s="1796">
        <v>0</v>
      </c>
      <c r="BA35" s="1796">
        <v>0</v>
      </c>
      <c r="BB35" s="1796">
        <v>0</v>
      </c>
      <c r="BC35" s="1796">
        <v>0</v>
      </c>
      <c r="BD35" s="1796">
        <v>0</v>
      </c>
      <c r="BE35" s="1796">
        <v>0</v>
      </c>
      <c r="BF35" s="1796">
        <v>0</v>
      </c>
      <c r="BG35" s="1796">
        <v>0</v>
      </c>
      <c r="BH35" s="1796">
        <v>0</v>
      </c>
      <c r="BI35" s="1796">
        <v>0</v>
      </c>
      <c r="BJ35" s="1796">
        <v>0</v>
      </c>
      <c r="BK35" s="1796">
        <v>0</v>
      </c>
      <c r="BL35" s="1796">
        <v>0</v>
      </c>
      <c r="BM35" s="1796">
        <v>0</v>
      </c>
      <c r="BN35" s="1796">
        <v>0</v>
      </c>
      <c r="BO35" s="1796">
        <v>0</v>
      </c>
      <c r="BP35" s="1796">
        <v>0</v>
      </c>
      <c r="BQ35" s="1796">
        <v>0</v>
      </c>
      <c r="BR35" s="1796">
        <v>0</v>
      </c>
      <c r="BS35" s="1796">
        <v>0</v>
      </c>
      <c r="BT35" s="1796">
        <v>0</v>
      </c>
      <c r="BU35" s="1796">
        <v>0</v>
      </c>
      <c r="BV35" s="1796">
        <v>0</v>
      </c>
      <c r="BW35" s="1796">
        <v>0</v>
      </c>
      <c r="BX35" s="1796">
        <v>0</v>
      </c>
      <c r="BY35" s="1796">
        <v>0</v>
      </c>
      <c r="BZ35" s="1796">
        <v>0</v>
      </c>
      <c r="CA35" s="1796">
        <v>0</v>
      </c>
      <c r="CB35" s="1796">
        <v>0</v>
      </c>
      <c r="CC35" s="1796">
        <v>0</v>
      </c>
      <c r="CD35" s="1796">
        <v>0</v>
      </c>
      <c r="CE35" s="1796">
        <v>0</v>
      </c>
      <c r="CF35" s="1796">
        <v>0</v>
      </c>
      <c r="CG35" s="1796">
        <v>0</v>
      </c>
      <c r="CH35" s="1796">
        <v>0</v>
      </c>
      <c r="CI35" s="1796">
        <v>0</v>
      </c>
      <c r="CJ35" s="1796">
        <v>0</v>
      </c>
      <c r="CK35" s="1796">
        <v>0</v>
      </c>
      <c r="CL35" s="1796">
        <v>0</v>
      </c>
      <c r="CM35" s="1796">
        <v>0</v>
      </c>
      <c r="CN35" s="1796">
        <v>0</v>
      </c>
      <c r="CO35" s="1796">
        <v>0</v>
      </c>
      <c r="CP35" s="1796">
        <v>0</v>
      </c>
      <c r="CQ35" s="1796">
        <v>0</v>
      </c>
      <c r="CR35" s="1796">
        <v>0</v>
      </c>
      <c r="CS35" s="1796">
        <v>0</v>
      </c>
      <c r="CT35" s="1796">
        <v>0</v>
      </c>
      <c r="CU35" s="1796">
        <v>0</v>
      </c>
      <c r="CV35" s="1796">
        <v>0</v>
      </c>
      <c r="CW35" s="1796">
        <v>0</v>
      </c>
      <c r="CX35" s="1796">
        <v>0</v>
      </c>
      <c r="CY35" s="1796">
        <v>0</v>
      </c>
      <c r="CZ35" s="1796">
        <v>0</v>
      </c>
      <c r="DA35" s="1796">
        <v>0</v>
      </c>
      <c r="DB35" s="1796">
        <v>0</v>
      </c>
      <c r="DC35" s="1796">
        <v>0</v>
      </c>
      <c r="DD35" s="1796">
        <v>0</v>
      </c>
      <c r="DE35" s="1796">
        <v>0</v>
      </c>
      <c r="DF35" s="1796">
        <v>0</v>
      </c>
      <c r="DG35" s="1796">
        <v>0</v>
      </c>
      <c r="DH35" s="1796">
        <v>0</v>
      </c>
      <c r="DI35" s="1796">
        <v>0</v>
      </c>
      <c r="DJ35" s="1796">
        <v>0</v>
      </c>
      <c r="DK35" s="1796">
        <v>0</v>
      </c>
      <c r="DL35" s="1796">
        <v>0</v>
      </c>
      <c r="DM35" s="1796">
        <v>0</v>
      </c>
      <c r="DN35" s="1796">
        <v>0</v>
      </c>
      <c r="DO35" s="1796">
        <v>0</v>
      </c>
      <c r="DP35" s="1796">
        <v>0</v>
      </c>
      <c r="DQ35" s="1797">
        <v>0</v>
      </c>
      <c r="DR35" s="1798">
        <v>0</v>
      </c>
      <c r="DS35" s="1799">
        <v>0</v>
      </c>
      <c r="DT35" s="1800">
        <v>0</v>
      </c>
      <c r="DU35" s="1797">
        <v>0</v>
      </c>
      <c r="DV35" s="1798">
        <v>0</v>
      </c>
      <c r="DW35" s="1799">
        <v>0</v>
      </c>
      <c r="DX35" s="1800">
        <v>0</v>
      </c>
      <c r="DY35" s="1797">
        <v>0</v>
      </c>
      <c r="DZ35" s="1798">
        <v>0</v>
      </c>
      <c r="EA35" s="1799">
        <v>0</v>
      </c>
      <c r="EB35" s="1800">
        <v>0</v>
      </c>
      <c r="EC35" s="1797">
        <v>0</v>
      </c>
      <c r="ED35" s="1798">
        <v>0</v>
      </c>
      <c r="EE35" s="1799">
        <v>0</v>
      </c>
      <c r="EF35" s="1798">
        <v>0</v>
      </c>
      <c r="EG35" s="1799">
        <v>0</v>
      </c>
      <c r="EH35" s="1800">
        <v>0</v>
      </c>
      <c r="EI35" s="1799">
        <v>0</v>
      </c>
      <c r="EJ35" s="1800">
        <v>0</v>
      </c>
      <c r="EK35" s="1799">
        <v>0</v>
      </c>
      <c r="EL35" s="1798">
        <v>0</v>
      </c>
      <c r="EM35" s="1801">
        <v>0</v>
      </c>
      <c r="EN35" s="1798">
        <v>0</v>
      </c>
      <c r="EO35" s="1801">
        <v>0</v>
      </c>
      <c r="EP35" s="1798">
        <v>0</v>
      </c>
      <c r="EQ35" s="1801">
        <v>0</v>
      </c>
      <c r="ER35" s="1798">
        <v>0</v>
      </c>
      <c r="ES35" s="1801">
        <v>0</v>
      </c>
      <c r="ET35" s="1798">
        <v>0</v>
      </c>
      <c r="EU35" s="1801">
        <v>0</v>
      </c>
      <c r="EV35" s="1798">
        <v>0</v>
      </c>
      <c r="EW35" s="1801">
        <v>0</v>
      </c>
      <c r="EX35" s="1798">
        <v>0</v>
      </c>
      <c r="EY35" s="1801">
        <v>0</v>
      </c>
      <c r="EZ35" s="1798">
        <v>0</v>
      </c>
      <c r="FA35" s="1801">
        <v>0</v>
      </c>
      <c r="FB35" s="1798">
        <v>0</v>
      </c>
      <c r="FC35" s="1801">
        <v>0</v>
      </c>
      <c r="FD35" s="1798">
        <v>0</v>
      </c>
      <c r="FE35" s="1801">
        <v>0</v>
      </c>
      <c r="FF35" s="1798">
        <v>0</v>
      </c>
      <c r="FG35" s="1801">
        <v>0</v>
      </c>
      <c r="FH35" s="1798">
        <v>0</v>
      </c>
      <c r="FI35" s="1801">
        <v>0</v>
      </c>
      <c r="FJ35" s="1798">
        <v>0</v>
      </c>
      <c r="FK35" s="1801">
        <v>0</v>
      </c>
      <c r="FL35" s="1798">
        <v>0</v>
      </c>
      <c r="FM35" s="1801">
        <v>0</v>
      </c>
      <c r="FN35" s="1798">
        <v>0</v>
      </c>
      <c r="FO35" s="1801">
        <v>0</v>
      </c>
      <c r="FP35" s="1798">
        <v>0</v>
      </c>
      <c r="FQ35" s="1801">
        <v>0</v>
      </c>
      <c r="FR35" s="1798">
        <v>0</v>
      </c>
      <c r="FS35" s="1801">
        <v>0</v>
      </c>
      <c r="FT35" s="1798">
        <v>0</v>
      </c>
      <c r="FU35" s="1801">
        <v>0</v>
      </c>
      <c r="FV35" s="1798">
        <v>0</v>
      </c>
      <c r="FW35" s="1801">
        <v>0</v>
      </c>
      <c r="FX35" s="1798">
        <v>0</v>
      </c>
      <c r="FY35" s="1801">
        <v>0</v>
      </c>
      <c r="FZ35" s="1798">
        <v>0</v>
      </c>
      <c r="GA35" s="1801">
        <v>0</v>
      </c>
      <c r="GB35" s="1798">
        <v>0</v>
      </c>
      <c r="GC35" s="1801">
        <v>0</v>
      </c>
      <c r="GD35" s="1798">
        <v>0</v>
      </c>
      <c r="GE35" s="1801">
        <v>0</v>
      </c>
      <c r="GF35" s="1798">
        <v>0</v>
      </c>
      <c r="GG35" s="1801">
        <v>0</v>
      </c>
      <c r="GH35" s="1798">
        <v>0</v>
      </c>
      <c r="GI35" s="1801">
        <v>0</v>
      </c>
      <c r="GJ35" s="1798">
        <v>0</v>
      </c>
      <c r="GK35" s="1801">
        <v>0</v>
      </c>
      <c r="GL35" s="1798">
        <v>0</v>
      </c>
      <c r="GM35" s="1801">
        <v>0</v>
      </c>
      <c r="GN35" s="1798">
        <v>0</v>
      </c>
      <c r="GO35" s="1801">
        <v>0</v>
      </c>
      <c r="GP35" s="1798">
        <v>0</v>
      </c>
      <c r="GQ35" s="1801">
        <v>0</v>
      </c>
      <c r="GR35" s="1798">
        <v>0</v>
      </c>
      <c r="GS35" s="1801">
        <v>0</v>
      </c>
      <c r="GT35" s="1798">
        <v>42.5</v>
      </c>
      <c r="GU35" s="1801">
        <v>0</v>
      </c>
      <c r="GV35" s="1798">
        <v>42.5</v>
      </c>
      <c r="GW35" s="1801">
        <v>0</v>
      </c>
      <c r="GX35" s="1798">
        <v>42.5</v>
      </c>
      <c r="GY35" s="1801">
        <v>0</v>
      </c>
      <c r="GZ35" s="1798">
        <v>42.5</v>
      </c>
      <c r="HA35" s="1801">
        <v>0</v>
      </c>
      <c r="HB35" s="1798">
        <v>42.5</v>
      </c>
      <c r="HC35" s="1801">
        <v>0</v>
      </c>
      <c r="HD35" s="1798">
        <v>74.672499999999999</v>
      </c>
      <c r="HE35" s="1801">
        <v>0</v>
      </c>
      <c r="HF35" s="1798">
        <v>74.672499999999999</v>
      </c>
      <c r="HG35" s="1801">
        <v>0</v>
      </c>
      <c r="HH35" s="1798">
        <v>74.672499999999999</v>
      </c>
      <c r="HI35" s="1801">
        <v>0</v>
      </c>
      <c r="HJ35" s="1798">
        <v>0</v>
      </c>
      <c r="HK35" s="1801">
        <v>0</v>
      </c>
      <c r="HL35" s="1798">
        <v>0</v>
      </c>
      <c r="HM35" s="1801">
        <v>0</v>
      </c>
      <c r="HN35" s="1798">
        <v>0</v>
      </c>
      <c r="HO35" s="1801">
        <v>0</v>
      </c>
      <c r="HP35" s="1798">
        <v>0</v>
      </c>
      <c r="HQ35" s="1801">
        <v>0</v>
      </c>
      <c r="HR35" s="1798">
        <v>40.375</v>
      </c>
      <c r="HS35" s="1801">
        <v>0</v>
      </c>
      <c r="HT35" s="1798">
        <v>40.375</v>
      </c>
      <c r="HU35" s="1801">
        <v>0</v>
      </c>
      <c r="HV35" s="1804" t="s">
        <v>3189</v>
      </c>
    </row>
    <row r="36" spans="1:233" s="1774" customFormat="1" ht="22.5" customHeight="1">
      <c r="A36" s="1794" t="s">
        <v>2288</v>
      </c>
      <c r="B36" s="1788">
        <f t="shared" ref="B36:BM36" si="45">SUM(B37:B45)</f>
        <v>4007.2098199999996</v>
      </c>
      <c r="C36" s="1788">
        <f t="shared" si="45"/>
        <v>310.23735000000005</v>
      </c>
      <c r="D36" s="1788">
        <f t="shared" si="45"/>
        <v>5722.8748050000004</v>
      </c>
      <c r="E36" s="1788">
        <f t="shared" si="45"/>
        <v>339.58450000000005</v>
      </c>
      <c r="F36" s="1788">
        <f t="shared" si="45"/>
        <v>7524.0463599999994</v>
      </c>
      <c r="G36" s="1788">
        <f t="shared" si="45"/>
        <v>376.04867000000002</v>
      </c>
      <c r="H36" s="1788">
        <f t="shared" si="45"/>
        <v>8574.6159699999989</v>
      </c>
      <c r="I36" s="1788">
        <f t="shared" si="45"/>
        <v>1164.9820999999997</v>
      </c>
      <c r="J36" s="1788">
        <f t="shared" si="45"/>
        <v>10330.503639999999</v>
      </c>
      <c r="K36" s="1788">
        <f t="shared" si="45"/>
        <v>1971.8677399999997</v>
      </c>
      <c r="L36" s="1788">
        <f t="shared" si="45"/>
        <v>11956.921200000001</v>
      </c>
      <c r="M36" s="1788">
        <f t="shared" si="45"/>
        <v>2194.9429400000004</v>
      </c>
      <c r="N36" s="1788">
        <f t="shared" si="45"/>
        <v>14962.540290000001</v>
      </c>
      <c r="O36" s="1788">
        <f t="shared" si="45"/>
        <v>2163.2529800000002</v>
      </c>
      <c r="P36" s="1788">
        <f t="shared" si="45"/>
        <v>15813.870880000002</v>
      </c>
      <c r="Q36" s="1788">
        <f t="shared" si="45"/>
        <v>2171.5491599999996</v>
      </c>
      <c r="R36" s="1788">
        <f t="shared" si="45"/>
        <v>16821.232970000001</v>
      </c>
      <c r="S36" s="1788">
        <f t="shared" si="45"/>
        <v>2335.1783799999998</v>
      </c>
      <c r="T36" s="1788">
        <f t="shared" si="45"/>
        <v>17820.821499999998</v>
      </c>
      <c r="U36" s="1788">
        <f t="shared" si="45"/>
        <v>2343.0535399999999</v>
      </c>
      <c r="V36" s="1788">
        <f t="shared" si="45"/>
        <v>18687.587629999995</v>
      </c>
      <c r="W36" s="1788">
        <f t="shared" si="45"/>
        <v>2375.8506899999998</v>
      </c>
      <c r="X36" s="1788">
        <f t="shared" si="45"/>
        <v>19310.327339999996</v>
      </c>
      <c r="Y36" s="1788">
        <f t="shared" si="45"/>
        <v>2789.98605</v>
      </c>
      <c r="Z36" s="1788">
        <f t="shared" si="45"/>
        <v>4102.4111400000002</v>
      </c>
      <c r="AA36" s="1788">
        <f t="shared" si="45"/>
        <v>524.24099000000001</v>
      </c>
      <c r="AB36" s="1788">
        <f t="shared" si="45"/>
        <v>5332.1992199999995</v>
      </c>
      <c r="AC36" s="1788">
        <f t="shared" si="45"/>
        <v>527.69218000000001</v>
      </c>
      <c r="AD36" s="1788">
        <f t="shared" si="45"/>
        <v>8146.5397399999993</v>
      </c>
      <c r="AE36" s="1788">
        <f t="shared" si="45"/>
        <v>537.65356999999995</v>
      </c>
      <c r="AF36" s="1788">
        <f t="shared" si="45"/>
        <v>9141.70478</v>
      </c>
      <c r="AG36" s="1788">
        <f t="shared" si="45"/>
        <v>538.71283000000005</v>
      </c>
      <c r="AH36" s="1788">
        <f t="shared" si="45"/>
        <v>10777.546330000001</v>
      </c>
      <c r="AI36" s="1788">
        <f t="shared" si="45"/>
        <v>1156.6345600000002</v>
      </c>
      <c r="AJ36" s="1788">
        <f t="shared" si="45"/>
        <v>11435.633400000001</v>
      </c>
      <c r="AK36" s="1788">
        <f t="shared" si="45"/>
        <v>1431.9166000000002</v>
      </c>
      <c r="AL36" s="1788">
        <f t="shared" si="45"/>
        <v>17910.739019999997</v>
      </c>
      <c r="AM36" s="1788">
        <f t="shared" si="45"/>
        <v>1824.8860400000001</v>
      </c>
      <c r="AN36" s="1788">
        <f t="shared" si="45"/>
        <v>18336.714989999997</v>
      </c>
      <c r="AO36" s="1788">
        <f t="shared" si="45"/>
        <v>1830.1037700000002</v>
      </c>
      <c r="AP36" s="1788">
        <f t="shared" si="45"/>
        <v>19306.012999999999</v>
      </c>
      <c r="AQ36" s="1788">
        <f t="shared" si="45"/>
        <v>1833.1549000000002</v>
      </c>
      <c r="AR36" s="1788">
        <f t="shared" si="45"/>
        <v>20213.81019</v>
      </c>
      <c r="AS36" s="1788">
        <f t="shared" si="45"/>
        <v>1844.7320299999999</v>
      </c>
      <c r="AT36" s="1788">
        <f t="shared" si="45"/>
        <v>20907.097440000001</v>
      </c>
      <c r="AU36" s="1788">
        <f t="shared" si="45"/>
        <v>1848.1091600000002</v>
      </c>
      <c r="AV36" s="1788">
        <f t="shared" si="45"/>
        <v>22375.039199999996</v>
      </c>
      <c r="AW36" s="1788">
        <f t="shared" si="45"/>
        <v>1954.5606500000001</v>
      </c>
      <c r="AX36" s="1788">
        <f t="shared" si="45"/>
        <v>4134.1797099999994</v>
      </c>
      <c r="AY36" s="1788">
        <f t="shared" si="45"/>
        <v>7.9892400000000006</v>
      </c>
      <c r="AZ36" s="1788">
        <f t="shared" si="45"/>
        <v>6801.5297300000002</v>
      </c>
      <c r="BA36" s="1788">
        <f t="shared" si="45"/>
        <v>205.07676000000001</v>
      </c>
      <c r="BB36" s="1788">
        <f t="shared" si="45"/>
        <v>8257.4111799999991</v>
      </c>
      <c r="BC36" s="1788">
        <f t="shared" si="45"/>
        <v>221.94525999999996</v>
      </c>
      <c r="BD36" s="1788">
        <f t="shared" si="45"/>
        <v>10056.4434</v>
      </c>
      <c r="BE36" s="1788">
        <f t="shared" si="45"/>
        <v>231.06691999999998</v>
      </c>
      <c r="BF36" s="1788">
        <f t="shared" si="45"/>
        <v>11915.016800000001</v>
      </c>
      <c r="BG36" s="1788">
        <f t="shared" si="45"/>
        <v>247.11976999999999</v>
      </c>
      <c r="BH36" s="1788">
        <f t="shared" si="45"/>
        <v>12507.75598</v>
      </c>
      <c r="BI36" s="1788">
        <f t="shared" si="45"/>
        <v>286.88394</v>
      </c>
      <c r="BJ36" s="1788">
        <f t="shared" si="45"/>
        <v>15719.140810000001</v>
      </c>
      <c r="BK36" s="1788">
        <f t="shared" si="45"/>
        <v>308.49394999999998</v>
      </c>
      <c r="BL36" s="1788">
        <f t="shared" si="45"/>
        <v>16727.421100000003</v>
      </c>
      <c r="BM36" s="1788">
        <f t="shared" si="45"/>
        <v>327.55477999999999</v>
      </c>
      <c r="BN36" s="1788">
        <f t="shared" ref="BN36:DY36" si="46">SUM(BN37:BN45)</f>
        <v>17666.483090000002</v>
      </c>
      <c r="BO36" s="1788">
        <f t="shared" si="46"/>
        <v>554.73452999999995</v>
      </c>
      <c r="BP36" s="1788">
        <f t="shared" si="46"/>
        <v>19417.218559999998</v>
      </c>
      <c r="BQ36" s="1788">
        <f t="shared" si="46"/>
        <v>572.40459999999996</v>
      </c>
      <c r="BR36" s="1788">
        <f t="shared" si="46"/>
        <v>20212.483439999996</v>
      </c>
      <c r="BS36" s="1788">
        <f t="shared" si="46"/>
        <v>1072.2487100000001</v>
      </c>
      <c r="BT36" s="1788">
        <f t="shared" si="46"/>
        <v>20923.379279999997</v>
      </c>
      <c r="BU36" s="1788">
        <f t="shared" si="46"/>
        <v>1083.70128</v>
      </c>
      <c r="BV36" s="1788">
        <f t="shared" si="46"/>
        <v>4818.7464000000009</v>
      </c>
      <c r="BW36" s="1788">
        <f t="shared" si="46"/>
        <v>13.72569</v>
      </c>
      <c r="BX36" s="1788">
        <f t="shared" si="46"/>
        <v>7016.99298</v>
      </c>
      <c r="BY36" s="1788">
        <f t="shared" si="46"/>
        <v>52.156710000000004</v>
      </c>
      <c r="BZ36" s="1788">
        <f t="shared" si="46"/>
        <v>8685.7400999999991</v>
      </c>
      <c r="CA36" s="1788">
        <f t="shared" si="46"/>
        <v>312.63512000000003</v>
      </c>
      <c r="CB36" s="1788">
        <f t="shared" si="46"/>
        <v>10361.838969999999</v>
      </c>
      <c r="CC36" s="1788">
        <f t="shared" si="46"/>
        <v>312.63512000000003</v>
      </c>
      <c r="CD36" s="1788">
        <f t="shared" si="46"/>
        <v>12033.07172</v>
      </c>
      <c r="CE36" s="1788">
        <f t="shared" si="46"/>
        <v>312.63512000000003</v>
      </c>
      <c r="CF36" s="1788">
        <f t="shared" si="46"/>
        <v>13083.327120000002</v>
      </c>
      <c r="CG36" s="1788">
        <f t="shared" si="46"/>
        <v>318.71498000000003</v>
      </c>
      <c r="CH36" s="1788">
        <f t="shared" si="46"/>
        <v>16485.719839999998</v>
      </c>
      <c r="CI36" s="1788">
        <f t="shared" si="46"/>
        <v>341.41798</v>
      </c>
      <c r="CJ36" s="1788">
        <f t="shared" si="46"/>
        <v>16944.158890000002</v>
      </c>
      <c r="CK36" s="1788">
        <f t="shared" si="46"/>
        <v>471.30398000000002</v>
      </c>
      <c r="CL36" s="1788">
        <f t="shared" si="46"/>
        <v>18079.777820000003</v>
      </c>
      <c r="CM36" s="1788">
        <f t="shared" si="46"/>
        <v>525.39897999999994</v>
      </c>
      <c r="CN36" s="1788">
        <f t="shared" si="46"/>
        <v>18901.597170000001</v>
      </c>
      <c r="CO36" s="1788">
        <f t="shared" si="46"/>
        <v>545.59298000000001</v>
      </c>
      <c r="CP36" s="1788">
        <f t="shared" si="46"/>
        <v>19342.859660000006</v>
      </c>
      <c r="CQ36" s="1788">
        <f t="shared" si="46"/>
        <v>557.23398000000009</v>
      </c>
      <c r="CR36" s="1788">
        <f t="shared" si="46"/>
        <v>20829.01758</v>
      </c>
      <c r="CS36" s="1788">
        <f t="shared" si="46"/>
        <v>576.70497999999998</v>
      </c>
      <c r="CT36" s="1788">
        <f t="shared" si="46"/>
        <v>4408.2868500000004</v>
      </c>
      <c r="CU36" s="1788">
        <f t="shared" si="46"/>
        <v>24.651</v>
      </c>
      <c r="CV36" s="1788">
        <f t="shared" si="46"/>
        <v>6515.4442000000008</v>
      </c>
      <c r="CW36" s="1788">
        <f t="shared" si="46"/>
        <v>36.306640000000002</v>
      </c>
      <c r="CX36" s="1788">
        <f t="shared" si="46"/>
        <v>9728.7990900000004</v>
      </c>
      <c r="CY36" s="1788">
        <f t="shared" si="46"/>
        <v>71.704610000000002</v>
      </c>
      <c r="CZ36" s="1788">
        <f t="shared" si="46"/>
        <v>10499.32429</v>
      </c>
      <c r="DA36" s="1788">
        <f t="shared" si="46"/>
        <v>104.51231</v>
      </c>
      <c r="DB36" s="1788">
        <f t="shared" si="46"/>
        <v>11747.806239999998</v>
      </c>
      <c r="DC36" s="1788">
        <f t="shared" si="46"/>
        <v>123.11041</v>
      </c>
      <c r="DD36" s="1788">
        <f t="shared" si="46"/>
        <v>12638.165299999997</v>
      </c>
      <c r="DE36" s="1788">
        <f t="shared" si="46"/>
        <v>162.74187000000001</v>
      </c>
      <c r="DF36" s="1788">
        <f t="shared" si="46"/>
        <v>15937.69247</v>
      </c>
      <c r="DG36" s="1788">
        <f t="shared" si="46"/>
        <v>300.03481999999997</v>
      </c>
      <c r="DH36" s="1788">
        <f t="shared" si="46"/>
        <v>16446.534109999997</v>
      </c>
      <c r="DI36" s="1788">
        <f t="shared" si="46"/>
        <v>334.13481999999999</v>
      </c>
      <c r="DJ36" s="1788">
        <f t="shared" si="46"/>
        <v>17209.030089999997</v>
      </c>
      <c r="DK36" s="1788">
        <f t="shared" si="46"/>
        <v>665.74893999999995</v>
      </c>
      <c r="DL36" s="1788">
        <f t="shared" si="46"/>
        <v>17871.609400000001</v>
      </c>
      <c r="DM36" s="1788">
        <f t="shared" si="46"/>
        <v>686.39427999999998</v>
      </c>
      <c r="DN36" s="1788">
        <f t="shared" si="46"/>
        <v>18307.071289999996</v>
      </c>
      <c r="DO36" s="1788">
        <f t="shared" si="46"/>
        <v>708.31655999999998</v>
      </c>
      <c r="DP36" s="1788">
        <f t="shared" si="46"/>
        <v>20385.361029999996</v>
      </c>
      <c r="DQ36" s="1789">
        <f t="shared" si="46"/>
        <v>731.08356000000003</v>
      </c>
      <c r="DR36" s="1790">
        <f t="shared" si="46"/>
        <v>3842.0506399999999</v>
      </c>
      <c r="DS36" s="1791">
        <f t="shared" si="46"/>
        <v>13.16451</v>
      </c>
      <c r="DT36" s="1792">
        <f t="shared" si="46"/>
        <v>7170.1548499999999</v>
      </c>
      <c r="DU36" s="1789">
        <f t="shared" si="46"/>
        <v>27.287700000000001</v>
      </c>
      <c r="DV36" s="1790">
        <f t="shared" si="46"/>
        <v>8430.1750200000006</v>
      </c>
      <c r="DW36" s="1791">
        <f t="shared" si="46"/>
        <v>41.7209</v>
      </c>
      <c r="DX36" s="1792">
        <f t="shared" si="46"/>
        <v>9868.5779500000008</v>
      </c>
      <c r="DY36" s="1789">
        <f t="shared" si="46"/>
        <v>47.669689999999996</v>
      </c>
      <c r="DZ36" s="1790">
        <f t="shared" ref="DZ36:GK36" si="47">SUM(DZ37:DZ45)</f>
        <v>10651.777679999999</v>
      </c>
      <c r="EA36" s="1791">
        <f t="shared" si="47"/>
        <v>50.66825</v>
      </c>
      <c r="EB36" s="1792">
        <f t="shared" si="47"/>
        <v>13718.313410000001</v>
      </c>
      <c r="EC36" s="1789">
        <f t="shared" si="47"/>
        <v>57.221420000000002</v>
      </c>
      <c r="ED36" s="1790">
        <f t="shared" si="47"/>
        <v>16704.114960000003</v>
      </c>
      <c r="EE36" s="1791">
        <f t="shared" si="47"/>
        <v>61.364850000000004</v>
      </c>
      <c r="EF36" s="1789">
        <f t="shared" si="47"/>
        <v>18379.94184</v>
      </c>
      <c r="EG36" s="1799">
        <f t="shared" si="47"/>
        <v>79.880809999999997</v>
      </c>
      <c r="EH36" s="1790">
        <f t="shared" si="47"/>
        <v>19328.157629999998</v>
      </c>
      <c r="EI36" s="1793">
        <f t="shared" si="47"/>
        <v>116.91659000000001</v>
      </c>
      <c r="EJ36" s="1789">
        <f t="shared" si="47"/>
        <v>20309.592790000002</v>
      </c>
      <c r="EK36" s="1791">
        <f t="shared" si="47"/>
        <v>88.452089999999998</v>
      </c>
      <c r="EL36" s="1790">
        <f t="shared" si="47"/>
        <v>21232.065859999999</v>
      </c>
      <c r="EM36" s="1793">
        <f t="shared" si="47"/>
        <v>88.452089999999998</v>
      </c>
      <c r="EN36" s="1790">
        <f t="shared" si="47"/>
        <v>22317.036780000002</v>
      </c>
      <c r="EO36" s="1793">
        <f t="shared" si="47"/>
        <v>89.030100000000004</v>
      </c>
      <c r="EP36" s="1790">
        <f t="shared" si="47"/>
        <v>2788.4713199999997</v>
      </c>
      <c r="EQ36" s="1793">
        <f t="shared" si="47"/>
        <v>42.725490000000001</v>
      </c>
      <c r="ER36" s="1790">
        <f t="shared" si="47"/>
        <v>4140.1430399999999</v>
      </c>
      <c r="ES36" s="1793">
        <f t="shared" si="47"/>
        <v>73.242260000000002</v>
      </c>
      <c r="ET36" s="1790">
        <f t="shared" si="47"/>
        <v>6319.5883800000001</v>
      </c>
      <c r="EU36" s="1793">
        <f t="shared" si="47"/>
        <v>74.176419999999993</v>
      </c>
      <c r="EV36" s="1790">
        <f t="shared" si="47"/>
        <v>8419.0248499999998</v>
      </c>
      <c r="EW36" s="1793">
        <f t="shared" si="47"/>
        <v>80.540509999999998</v>
      </c>
      <c r="EX36" s="1790">
        <f t="shared" si="47"/>
        <v>9248.7975800000022</v>
      </c>
      <c r="EY36" s="1793">
        <f t="shared" si="47"/>
        <v>84.738510000000019</v>
      </c>
      <c r="EZ36" s="1790">
        <f t="shared" si="47"/>
        <v>11020.122750000002</v>
      </c>
      <c r="FA36" s="1793">
        <f t="shared" si="47"/>
        <v>86.757510000000011</v>
      </c>
      <c r="FB36" s="1790">
        <f t="shared" si="47"/>
        <v>16775.136080000004</v>
      </c>
      <c r="FC36" s="1793">
        <f t="shared" si="47"/>
        <v>98.963149999999999</v>
      </c>
      <c r="FD36" s="1790">
        <f t="shared" si="47"/>
        <v>17894.36608</v>
      </c>
      <c r="FE36" s="1793">
        <f t="shared" si="47"/>
        <v>128.61255</v>
      </c>
      <c r="FF36" s="1790">
        <f t="shared" si="47"/>
        <v>19026.592530000002</v>
      </c>
      <c r="FG36" s="1793">
        <f t="shared" si="47"/>
        <v>136.75788</v>
      </c>
      <c r="FH36" s="1790">
        <f t="shared" si="47"/>
        <v>21637.827909999996</v>
      </c>
      <c r="FI36" s="1793">
        <f t="shared" si="47"/>
        <v>136.75788</v>
      </c>
      <c r="FJ36" s="1790">
        <f t="shared" si="47"/>
        <v>22759.239289999998</v>
      </c>
      <c r="FK36" s="1793">
        <f t="shared" si="47"/>
        <v>140.23246</v>
      </c>
      <c r="FL36" s="1790">
        <f t="shared" si="47"/>
        <v>23846.994500000001</v>
      </c>
      <c r="FM36" s="1793">
        <f t="shared" si="47"/>
        <v>176.48219</v>
      </c>
      <c r="FN36" s="1790">
        <f t="shared" si="47"/>
        <v>3801.1730899999998</v>
      </c>
      <c r="FO36" s="1793">
        <f t="shared" si="47"/>
        <v>0.75992000000000004</v>
      </c>
      <c r="FP36" s="1790">
        <f t="shared" si="47"/>
        <v>5254.5899199999994</v>
      </c>
      <c r="FQ36" s="1793">
        <f t="shared" si="47"/>
        <v>14.169419999999999</v>
      </c>
      <c r="FR36" s="1790">
        <f t="shared" si="47"/>
        <v>7756.4135500000011</v>
      </c>
      <c r="FS36" s="1793">
        <f t="shared" si="47"/>
        <v>28.93618</v>
      </c>
      <c r="FT36" s="1790">
        <f t="shared" si="47"/>
        <v>9784.3209300000017</v>
      </c>
      <c r="FU36" s="1793">
        <f t="shared" si="47"/>
        <v>43.821179999999998</v>
      </c>
      <c r="FV36" s="1790">
        <f t="shared" si="47"/>
        <v>11144.537660000002</v>
      </c>
      <c r="FW36" s="1793">
        <f t="shared" si="47"/>
        <v>43.821179999999998</v>
      </c>
      <c r="FX36" s="1790">
        <f t="shared" si="47"/>
        <v>11937.88457</v>
      </c>
      <c r="FY36" s="1793">
        <f t="shared" si="47"/>
        <v>82.07119999999999</v>
      </c>
      <c r="FZ36" s="1790">
        <f t="shared" si="47"/>
        <v>14822.272509999999</v>
      </c>
      <c r="GA36" s="1793">
        <f t="shared" si="47"/>
        <v>83.846199999999996</v>
      </c>
      <c r="GB36" s="1790">
        <f t="shared" si="47"/>
        <v>16059.167380000001</v>
      </c>
      <c r="GC36" s="1793">
        <f t="shared" si="47"/>
        <v>96.289979999999986</v>
      </c>
      <c r="GD36" s="1790">
        <f t="shared" si="47"/>
        <v>17155.237219999999</v>
      </c>
      <c r="GE36" s="1793">
        <f t="shared" si="47"/>
        <v>119.20908</v>
      </c>
      <c r="GF36" s="1790">
        <f t="shared" si="47"/>
        <v>18084.565180000001</v>
      </c>
      <c r="GG36" s="1793">
        <f t="shared" si="47"/>
        <v>123.381</v>
      </c>
      <c r="GH36" s="1790">
        <f t="shared" si="47"/>
        <v>19312.651449999998</v>
      </c>
      <c r="GI36" s="1793">
        <f t="shared" si="47"/>
        <v>127.60590999999999</v>
      </c>
      <c r="GJ36" s="1790">
        <f t="shared" si="47"/>
        <v>23038.737729999997</v>
      </c>
      <c r="GK36" s="1793">
        <f t="shared" si="47"/>
        <v>306.06341000000003</v>
      </c>
      <c r="GL36" s="1790">
        <f t="shared" ref="GL36:HQ36" si="48">SUM(GL37:GL45)</f>
        <v>2549.1629400000006</v>
      </c>
      <c r="GM36" s="1793">
        <f t="shared" si="48"/>
        <v>1.669</v>
      </c>
      <c r="GN36" s="1790">
        <f t="shared" si="48"/>
        <v>6141.3917399999991</v>
      </c>
      <c r="GO36" s="1793">
        <f t="shared" si="48"/>
        <v>18.433399999999999</v>
      </c>
      <c r="GP36" s="1790">
        <f t="shared" si="48"/>
        <v>8496.3503599999985</v>
      </c>
      <c r="GQ36" s="1793">
        <f t="shared" si="48"/>
        <v>25.608509999999999</v>
      </c>
      <c r="GR36" s="1790">
        <f t="shared" si="48"/>
        <v>10620.214199999999</v>
      </c>
      <c r="GS36" s="1793">
        <f t="shared" si="48"/>
        <v>30.015509999999999</v>
      </c>
      <c r="GT36" s="1790">
        <f t="shared" si="48"/>
        <v>11499.742880000002</v>
      </c>
      <c r="GU36" s="1793">
        <f t="shared" si="48"/>
        <v>35.12341</v>
      </c>
      <c r="GV36" s="1790">
        <f t="shared" si="48"/>
        <v>12838.151440000001</v>
      </c>
      <c r="GW36" s="1793">
        <f t="shared" si="48"/>
        <v>38.023410000000005</v>
      </c>
      <c r="GX36" s="1790">
        <f t="shared" si="48"/>
        <v>19020.950649999995</v>
      </c>
      <c r="GY36" s="1793">
        <f t="shared" si="48"/>
        <v>47.534729999999996</v>
      </c>
      <c r="GZ36" s="1790">
        <f t="shared" si="48"/>
        <v>20180.92439</v>
      </c>
      <c r="HA36" s="1793">
        <f t="shared" si="48"/>
        <v>77.034729999999996</v>
      </c>
      <c r="HB36" s="1790">
        <f t="shared" si="48"/>
        <v>22293.938259999999</v>
      </c>
      <c r="HC36" s="1793">
        <f t="shared" si="48"/>
        <v>101.94302</v>
      </c>
      <c r="HD36" s="1790">
        <f t="shared" si="48"/>
        <v>23656.612089999999</v>
      </c>
      <c r="HE36" s="1793">
        <f t="shared" si="48"/>
        <v>111.16452</v>
      </c>
      <c r="HF36" s="1790">
        <f t="shared" si="48"/>
        <v>25017.906039999998</v>
      </c>
      <c r="HG36" s="1793">
        <f t="shared" si="48"/>
        <v>111.16452</v>
      </c>
      <c r="HH36" s="1790">
        <f t="shared" si="48"/>
        <v>27724.714699999997</v>
      </c>
      <c r="HI36" s="1793">
        <f t="shared" si="48"/>
        <v>111.16452</v>
      </c>
      <c r="HJ36" s="1790">
        <f t="shared" si="48"/>
        <v>2911.2185399999998</v>
      </c>
      <c r="HK36" s="1793">
        <f t="shared" si="48"/>
        <v>11.807500000000001</v>
      </c>
      <c r="HL36" s="1790">
        <f t="shared" si="48"/>
        <v>4897.5762800000011</v>
      </c>
      <c r="HM36" s="1793">
        <f t="shared" si="48"/>
        <v>21.198499999999999</v>
      </c>
      <c r="HN36" s="1790">
        <f t="shared" si="48"/>
        <v>7930.4816800000008</v>
      </c>
      <c r="HO36" s="1793">
        <f t="shared" si="48"/>
        <v>25.983499999999999</v>
      </c>
      <c r="HP36" s="1790">
        <f t="shared" si="48"/>
        <v>11740.010260000001</v>
      </c>
      <c r="HQ36" s="1793">
        <f t="shared" si="48"/>
        <v>30.448499999999999</v>
      </c>
      <c r="HR36" s="1790">
        <f t="shared" ref="HR36:HS36" si="49">SUM(HR37:HR45)</f>
        <v>12824.842259999999</v>
      </c>
      <c r="HS36" s="1793">
        <f t="shared" si="49"/>
        <v>31.252099999999999</v>
      </c>
      <c r="HT36" s="1790">
        <v>16107.74028</v>
      </c>
      <c r="HU36" s="1793">
        <v>54.922069999999998</v>
      </c>
      <c r="HV36" s="1794" t="s">
        <v>3190</v>
      </c>
    </row>
    <row r="37" spans="1:233" s="1774" customFormat="1" ht="22.5" customHeight="1">
      <c r="A37" s="1795" t="s">
        <v>2287</v>
      </c>
      <c r="B37" s="1796">
        <v>2192.1478999999999</v>
      </c>
      <c r="C37" s="1796">
        <v>0</v>
      </c>
      <c r="D37" s="1796">
        <v>2192.1478999999999</v>
      </c>
      <c r="E37" s="1796">
        <v>0</v>
      </c>
      <c r="F37" s="1796">
        <v>2192.1478999999999</v>
      </c>
      <c r="G37" s="1796">
        <v>0</v>
      </c>
      <c r="H37" s="1796">
        <v>2222.96875</v>
      </c>
      <c r="I37" s="1796">
        <v>766.39499999999998</v>
      </c>
      <c r="J37" s="1796">
        <v>2222.96875</v>
      </c>
      <c r="K37" s="1796">
        <v>1532.61</v>
      </c>
      <c r="L37" s="1796">
        <v>2270.3440799999998</v>
      </c>
      <c r="M37" s="1796">
        <v>1532.79</v>
      </c>
      <c r="N37" s="1796">
        <v>4452.0092000000004</v>
      </c>
      <c r="O37" s="1796">
        <v>1532.61</v>
      </c>
      <c r="P37" s="1796">
        <v>4383.5619500000003</v>
      </c>
      <c r="Q37" s="1796">
        <v>1532.61</v>
      </c>
      <c r="R37" s="1796">
        <v>4448.4119800000008</v>
      </c>
      <c r="S37" s="1796">
        <v>1532.61</v>
      </c>
      <c r="T37" s="1796">
        <v>4456.5962300000001</v>
      </c>
      <c r="U37" s="1796">
        <v>1532.61</v>
      </c>
      <c r="V37" s="1796">
        <v>4456.5962300000001</v>
      </c>
      <c r="W37" s="1796">
        <v>1532.61</v>
      </c>
      <c r="X37" s="1796">
        <v>4458.96461</v>
      </c>
      <c r="Y37" s="1796">
        <v>1532.61</v>
      </c>
      <c r="Z37" s="1796">
        <v>2013.4698999999998</v>
      </c>
      <c r="AA37" s="1796">
        <v>315.17473999999999</v>
      </c>
      <c r="AB37" s="1796">
        <v>2014.3199299999999</v>
      </c>
      <c r="AC37" s="1796">
        <v>315.17473999999999</v>
      </c>
      <c r="AD37" s="1796">
        <v>2014.3200200000001</v>
      </c>
      <c r="AE37" s="1796">
        <v>315.17473999999999</v>
      </c>
      <c r="AF37" s="1796">
        <v>2060.32006</v>
      </c>
      <c r="AG37" s="1796">
        <v>299.87384000000003</v>
      </c>
      <c r="AH37" s="1796">
        <v>2075.7885500000002</v>
      </c>
      <c r="AI37" s="1796">
        <v>299.87384000000003</v>
      </c>
      <c r="AJ37" s="1796">
        <v>2075.7885500000002</v>
      </c>
      <c r="AK37" s="1796">
        <v>566.87414000000001</v>
      </c>
      <c r="AL37" s="1796">
        <v>4305.2699199999997</v>
      </c>
      <c r="AM37" s="1796">
        <v>566.87414000000001</v>
      </c>
      <c r="AN37" s="1796">
        <v>4305.94992</v>
      </c>
      <c r="AO37" s="1796">
        <v>566.87414000000001</v>
      </c>
      <c r="AP37" s="1796">
        <v>4343.2579599999999</v>
      </c>
      <c r="AQ37" s="1796">
        <v>566.84414000000004</v>
      </c>
      <c r="AR37" s="1796">
        <v>4355.4599600000001</v>
      </c>
      <c r="AS37" s="1796">
        <v>566.87414000000001</v>
      </c>
      <c r="AT37" s="1796">
        <v>4371.0442199999998</v>
      </c>
      <c r="AU37" s="1796">
        <v>566.87414000000001</v>
      </c>
      <c r="AV37" s="1796">
        <v>4382.3787599999996</v>
      </c>
      <c r="AW37" s="1796">
        <v>566.87414000000001</v>
      </c>
      <c r="AX37" s="1796">
        <v>2098.7244999999998</v>
      </c>
      <c r="AY37" s="1796">
        <v>0</v>
      </c>
      <c r="AZ37" s="1796">
        <v>2114.2600000000002</v>
      </c>
      <c r="BA37" s="1796">
        <v>0</v>
      </c>
      <c r="BB37" s="1796">
        <v>2129.2600400000001</v>
      </c>
      <c r="BC37" s="1796">
        <v>0</v>
      </c>
      <c r="BD37" s="1796">
        <v>2129.2600400000001</v>
      </c>
      <c r="BE37" s="1796">
        <v>0</v>
      </c>
      <c r="BF37" s="1796">
        <v>2129.2600400000001</v>
      </c>
      <c r="BG37" s="1796">
        <v>0</v>
      </c>
      <c r="BH37" s="1796">
        <v>2180.11724</v>
      </c>
      <c r="BI37" s="1796">
        <v>0</v>
      </c>
      <c r="BJ37" s="1796">
        <v>4794.1538099999998</v>
      </c>
      <c r="BK37" s="1796">
        <v>0</v>
      </c>
      <c r="BL37" s="1796">
        <v>4794.1545400000005</v>
      </c>
      <c r="BM37" s="1796">
        <v>6.3639299999999999</v>
      </c>
      <c r="BN37" s="1796">
        <v>4806.9232099999999</v>
      </c>
      <c r="BO37" s="1796">
        <v>45.654319999999998</v>
      </c>
      <c r="BP37" s="1796">
        <v>4806.9232099999999</v>
      </c>
      <c r="BQ37" s="1796">
        <v>45.654309999999995</v>
      </c>
      <c r="BR37" s="1796">
        <v>4806.9232099999999</v>
      </c>
      <c r="BS37" s="1796">
        <v>538.65431000000001</v>
      </c>
      <c r="BT37" s="1796">
        <v>4807.7681399999992</v>
      </c>
      <c r="BU37" s="1796">
        <v>538.65431000000001</v>
      </c>
      <c r="BV37" s="1796">
        <v>2426.9254300000002</v>
      </c>
      <c r="BW37" s="1796">
        <v>0</v>
      </c>
      <c r="BX37" s="1796">
        <v>2453.3059700000003</v>
      </c>
      <c r="BY37" s="1796">
        <v>0</v>
      </c>
      <c r="BZ37" s="1796">
        <v>2468.3057999999996</v>
      </c>
      <c r="CA37" s="1796">
        <v>242.54192</v>
      </c>
      <c r="CB37" s="1796">
        <v>2468.3057899999999</v>
      </c>
      <c r="CC37" s="1796">
        <v>242.54192</v>
      </c>
      <c r="CD37" s="1796">
        <v>2468.3057899999999</v>
      </c>
      <c r="CE37" s="1796">
        <v>242.54192</v>
      </c>
      <c r="CF37" s="1796">
        <v>2468.3057899999999</v>
      </c>
      <c r="CG37" s="1796">
        <v>242.54192</v>
      </c>
      <c r="CH37" s="1796">
        <v>4854.9434600000004</v>
      </c>
      <c r="CI37" s="1796">
        <v>242.54192</v>
      </c>
      <c r="CJ37" s="1796">
        <v>4854.9411799999998</v>
      </c>
      <c r="CK37" s="1796">
        <v>242.54192</v>
      </c>
      <c r="CL37" s="1796">
        <v>4854.9430199999997</v>
      </c>
      <c r="CM37" s="1796">
        <v>242.54192</v>
      </c>
      <c r="CN37" s="1796">
        <v>4849.4731900000006</v>
      </c>
      <c r="CO37" s="1796">
        <v>242.54192</v>
      </c>
      <c r="CP37" s="1796">
        <v>4853.3659200000002</v>
      </c>
      <c r="CQ37" s="1796">
        <v>242.54192</v>
      </c>
      <c r="CR37" s="1796">
        <v>4853.3659200000002</v>
      </c>
      <c r="CS37" s="1796">
        <v>242.54192</v>
      </c>
      <c r="CT37" s="1796">
        <v>2181.96387</v>
      </c>
      <c r="CU37" s="1796">
        <v>0</v>
      </c>
      <c r="CV37" s="1796">
        <v>2181.96387</v>
      </c>
      <c r="CW37" s="1796">
        <v>0</v>
      </c>
      <c r="CX37" s="1796">
        <v>2214.8210299999996</v>
      </c>
      <c r="CY37" s="1796">
        <v>0</v>
      </c>
      <c r="CZ37" s="1796">
        <v>2214.8210299999996</v>
      </c>
      <c r="DA37" s="1796">
        <v>0</v>
      </c>
      <c r="DB37" s="1796">
        <v>2214.8210299999996</v>
      </c>
      <c r="DC37" s="1796">
        <v>0</v>
      </c>
      <c r="DD37" s="1796">
        <v>2214.8210299999996</v>
      </c>
      <c r="DE37" s="1796">
        <v>0</v>
      </c>
      <c r="DF37" s="1796">
        <v>4837.8907099999997</v>
      </c>
      <c r="DG37" s="1796">
        <v>0</v>
      </c>
      <c r="DH37" s="1796">
        <v>4837.8898099999997</v>
      </c>
      <c r="DI37" s="1796">
        <v>0</v>
      </c>
      <c r="DJ37" s="1796">
        <v>4866.89077</v>
      </c>
      <c r="DK37" s="1796">
        <v>0</v>
      </c>
      <c r="DL37" s="1796">
        <v>4866.89077</v>
      </c>
      <c r="DM37" s="1796">
        <v>0</v>
      </c>
      <c r="DN37" s="1796">
        <v>4866.89077</v>
      </c>
      <c r="DO37" s="1796">
        <v>0</v>
      </c>
      <c r="DP37" s="1796">
        <v>4866.89077</v>
      </c>
      <c r="DQ37" s="1797">
        <v>0</v>
      </c>
      <c r="DR37" s="1798">
        <v>1899.47696</v>
      </c>
      <c r="DS37" s="1799">
        <v>0</v>
      </c>
      <c r="DT37" s="1800">
        <v>1899.47686</v>
      </c>
      <c r="DU37" s="1797">
        <v>0</v>
      </c>
      <c r="DV37" s="1798">
        <v>1909.3431700000001</v>
      </c>
      <c r="DW37" s="1799">
        <v>0</v>
      </c>
      <c r="DX37" s="1800">
        <v>1909.3432</v>
      </c>
      <c r="DY37" s="1797">
        <v>0</v>
      </c>
      <c r="DZ37" s="1798">
        <v>1918.33134</v>
      </c>
      <c r="EA37" s="1799">
        <v>0</v>
      </c>
      <c r="EB37" s="1800">
        <v>3878.15434</v>
      </c>
      <c r="EC37" s="1797">
        <v>0</v>
      </c>
      <c r="ED37" s="1798">
        <v>6569.7774099999997</v>
      </c>
      <c r="EE37" s="1799">
        <v>0</v>
      </c>
      <c r="EF37" s="1798">
        <v>6627.17785</v>
      </c>
      <c r="EG37" s="1799">
        <v>0</v>
      </c>
      <c r="EH37" s="1800">
        <v>6627.1778599999998</v>
      </c>
      <c r="EI37" s="1799">
        <v>0</v>
      </c>
      <c r="EJ37" s="1800">
        <v>6627.1778599999998</v>
      </c>
      <c r="EK37" s="1799">
        <v>0</v>
      </c>
      <c r="EL37" s="1798">
        <v>6627.1778599999998</v>
      </c>
      <c r="EM37" s="1801">
        <v>0</v>
      </c>
      <c r="EN37" s="1798">
        <v>6776.8366400000004</v>
      </c>
      <c r="EO37" s="1801">
        <v>0</v>
      </c>
      <c r="EP37" s="1798">
        <v>68.729160000000007</v>
      </c>
      <c r="EQ37" s="1801">
        <v>0</v>
      </c>
      <c r="ER37" s="1798">
        <v>68.729160000000007</v>
      </c>
      <c r="ES37" s="1801">
        <v>0</v>
      </c>
      <c r="ET37" s="1798">
        <v>68.729159999999993</v>
      </c>
      <c r="EU37" s="1801">
        <v>0</v>
      </c>
      <c r="EV37" s="1798">
        <v>69.231899999999996</v>
      </c>
      <c r="EW37" s="1801">
        <v>2.04</v>
      </c>
      <c r="EX37" s="1798">
        <v>69.231899999999996</v>
      </c>
      <c r="EY37" s="1801">
        <v>2.04</v>
      </c>
      <c r="EZ37" s="1798">
        <v>69.231899999999996</v>
      </c>
      <c r="FA37" s="1801">
        <v>2.04</v>
      </c>
      <c r="FB37" s="1798">
        <v>4895.3865400000004</v>
      </c>
      <c r="FC37" s="1801">
        <v>7.3416000000000006</v>
      </c>
      <c r="FD37" s="1798">
        <v>4895.3865400000004</v>
      </c>
      <c r="FE37" s="1801">
        <v>14.6601</v>
      </c>
      <c r="FF37" s="1798">
        <v>4895.3865400000004</v>
      </c>
      <c r="FG37" s="1801">
        <v>14.6601</v>
      </c>
      <c r="FH37" s="1798">
        <v>4895.3865400000004</v>
      </c>
      <c r="FI37" s="1801">
        <v>14.6601</v>
      </c>
      <c r="FJ37" s="1798">
        <v>4980.6789399999998</v>
      </c>
      <c r="FK37" s="1801">
        <v>14.6601</v>
      </c>
      <c r="FL37" s="1798">
        <v>5028.1942300000001</v>
      </c>
      <c r="FM37" s="1801">
        <v>14.6601</v>
      </c>
      <c r="FN37" s="1798">
        <v>0</v>
      </c>
      <c r="FO37" s="1801">
        <v>0</v>
      </c>
      <c r="FP37" s="1798">
        <v>0</v>
      </c>
      <c r="FQ37" s="1801">
        <v>0</v>
      </c>
      <c r="FR37" s="1798">
        <v>49.3459</v>
      </c>
      <c r="FS37" s="1801">
        <v>0</v>
      </c>
      <c r="FT37" s="1798">
        <v>49.3459</v>
      </c>
      <c r="FU37" s="1801">
        <v>0</v>
      </c>
      <c r="FV37" s="1798">
        <v>49.3459</v>
      </c>
      <c r="FW37" s="1801">
        <v>0</v>
      </c>
      <c r="FX37" s="1798">
        <v>49.3459</v>
      </c>
      <c r="FY37" s="1801">
        <v>4.8408199999999999</v>
      </c>
      <c r="FZ37" s="1798">
        <v>795.36590000000001</v>
      </c>
      <c r="GA37" s="1801">
        <v>4.8408199999999999</v>
      </c>
      <c r="GB37" s="1798">
        <v>795.36590000000001</v>
      </c>
      <c r="GC37" s="1801">
        <v>6.5757199999999996</v>
      </c>
      <c r="GD37" s="1798">
        <v>795.36595</v>
      </c>
      <c r="GE37" s="1801">
        <v>6.5757199999999996</v>
      </c>
      <c r="GF37" s="1798">
        <v>795.36595</v>
      </c>
      <c r="GG37" s="1801">
        <v>6.5757199999999996</v>
      </c>
      <c r="GH37" s="1798">
        <v>795.36595</v>
      </c>
      <c r="GI37" s="1801">
        <v>6.5757199999999996</v>
      </c>
      <c r="GJ37" s="1798">
        <v>795.36595</v>
      </c>
      <c r="GK37" s="1801">
        <v>6.5757199999999996</v>
      </c>
      <c r="GL37" s="1798">
        <v>0</v>
      </c>
      <c r="GM37" s="1801">
        <v>0</v>
      </c>
      <c r="GN37" s="1798">
        <v>0</v>
      </c>
      <c r="GO37" s="1801">
        <v>0</v>
      </c>
      <c r="GP37" s="1798">
        <v>0</v>
      </c>
      <c r="GQ37" s="1801">
        <v>0</v>
      </c>
      <c r="GR37" s="1798">
        <v>0</v>
      </c>
      <c r="GS37" s="1801">
        <v>0</v>
      </c>
      <c r="GT37" s="1798">
        <v>0</v>
      </c>
      <c r="GU37" s="1801">
        <v>0</v>
      </c>
      <c r="GV37" s="1798">
        <v>0</v>
      </c>
      <c r="GW37" s="1801">
        <v>0</v>
      </c>
      <c r="GX37" s="1798">
        <v>3776.2805800000001</v>
      </c>
      <c r="GY37" s="1801">
        <v>0</v>
      </c>
      <c r="GZ37" s="1798">
        <v>3776.2827200000002</v>
      </c>
      <c r="HA37" s="1801">
        <v>0</v>
      </c>
      <c r="HB37" s="1798">
        <v>3776.2827200000002</v>
      </c>
      <c r="HC37" s="1801">
        <v>0</v>
      </c>
      <c r="HD37" s="1798">
        <v>3776.2827200000002</v>
      </c>
      <c r="HE37" s="1801">
        <v>0</v>
      </c>
      <c r="HF37" s="1798">
        <v>3776.2827200000002</v>
      </c>
      <c r="HG37" s="1801">
        <v>0</v>
      </c>
      <c r="HH37" s="1798">
        <v>3946.328</v>
      </c>
      <c r="HI37" s="1801">
        <v>0</v>
      </c>
      <c r="HJ37" s="1798">
        <v>0</v>
      </c>
      <c r="HK37" s="1801">
        <v>0</v>
      </c>
      <c r="HL37" s="1798">
        <v>0</v>
      </c>
      <c r="HM37" s="1801">
        <v>0</v>
      </c>
      <c r="HN37" s="1798">
        <v>9.452</v>
      </c>
      <c r="HO37" s="1801">
        <v>0</v>
      </c>
      <c r="HP37" s="1798">
        <v>21.605309999999999</v>
      </c>
      <c r="HQ37" s="1801">
        <v>0</v>
      </c>
      <c r="HR37" s="1798">
        <v>402.56988000000001</v>
      </c>
      <c r="HS37" s="1801">
        <v>0</v>
      </c>
      <c r="HT37" s="1798">
        <v>402.56988000000001</v>
      </c>
      <c r="HU37" s="1801">
        <v>1.3498000000000001</v>
      </c>
      <c r="HV37" s="1802" t="s">
        <v>3191</v>
      </c>
    </row>
    <row r="38" spans="1:233" s="1774" customFormat="1" ht="22.5" customHeight="1">
      <c r="A38" s="1795" t="s">
        <v>2286</v>
      </c>
      <c r="B38" s="1796">
        <v>1493.39013</v>
      </c>
      <c r="C38" s="1796">
        <v>300.6952</v>
      </c>
      <c r="D38" s="1796">
        <v>2814.5426849999999</v>
      </c>
      <c r="E38" s="1796">
        <v>301.36020000000002</v>
      </c>
      <c r="F38" s="1796">
        <v>4168.5382900000004</v>
      </c>
      <c r="G38" s="1796">
        <v>309.68020000000001</v>
      </c>
      <c r="H38" s="1796">
        <v>4641.1950199999992</v>
      </c>
      <c r="I38" s="1796">
        <v>312.18059999999997</v>
      </c>
      <c r="J38" s="1796">
        <v>5417.8179700000001</v>
      </c>
      <c r="K38" s="1796">
        <v>314.3236</v>
      </c>
      <c r="L38" s="1796">
        <v>6641.5813200000002</v>
      </c>
      <c r="M38" s="1796">
        <v>541.18502999999998</v>
      </c>
      <c r="N38" s="1796">
        <v>7160.3629000000001</v>
      </c>
      <c r="O38" s="1796">
        <v>506.29290000000003</v>
      </c>
      <c r="P38" s="1796">
        <v>7750.3819800000001</v>
      </c>
      <c r="Q38" s="1796">
        <v>508.34590999999995</v>
      </c>
      <c r="R38" s="1796">
        <v>8280.0283500000005</v>
      </c>
      <c r="S38" s="1796">
        <v>658.73298</v>
      </c>
      <c r="T38" s="1796">
        <v>8940.0268599999999</v>
      </c>
      <c r="U38" s="1796">
        <v>661.85298</v>
      </c>
      <c r="V38" s="1796">
        <v>9635.3408500000005</v>
      </c>
      <c r="W38" s="1796">
        <v>662.51797999999997</v>
      </c>
      <c r="X38" s="1796">
        <v>10229.187039999999</v>
      </c>
      <c r="Y38" s="1796">
        <v>1070.4411699999998</v>
      </c>
      <c r="Z38" s="1796">
        <v>1624.5981200000001</v>
      </c>
      <c r="AA38" s="1796">
        <v>185.51142000000002</v>
      </c>
      <c r="AB38" s="1796">
        <v>2012.8513799999998</v>
      </c>
      <c r="AC38" s="1796">
        <v>187.11519000000001</v>
      </c>
      <c r="AD38" s="1796">
        <v>4495.72379</v>
      </c>
      <c r="AE38" s="1796">
        <v>188.43742</v>
      </c>
      <c r="AF38" s="1796">
        <v>5010.5318899999993</v>
      </c>
      <c r="AG38" s="1796">
        <v>198.18542000000002</v>
      </c>
      <c r="AH38" s="1796">
        <v>5564.3333000000002</v>
      </c>
      <c r="AI38" s="1796">
        <v>809.84180000000003</v>
      </c>
      <c r="AJ38" s="1796">
        <v>6132.6157899999998</v>
      </c>
      <c r="AK38" s="1796">
        <v>810.67193999999995</v>
      </c>
      <c r="AL38" s="1796">
        <v>10114.01785</v>
      </c>
      <c r="AM38" s="1796">
        <v>1194.66524</v>
      </c>
      <c r="AN38" s="1796">
        <v>10366.57121</v>
      </c>
      <c r="AO38" s="1796">
        <v>1195.33024</v>
      </c>
      <c r="AP38" s="1796">
        <v>10843.89457</v>
      </c>
      <c r="AQ38" s="1796">
        <v>1194.79024</v>
      </c>
      <c r="AR38" s="1796">
        <v>11554.94845</v>
      </c>
      <c r="AS38" s="1796">
        <v>1201.4402399999999</v>
      </c>
      <c r="AT38" s="1796">
        <v>12013.211160000001</v>
      </c>
      <c r="AU38" s="1796">
        <v>1202.1052400000001</v>
      </c>
      <c r="AV38" s="1796">
        <v>13335.44283</v>
      </c>
      <c r="AW38" s="1796">
        <v>1302.0046</v>
      </c>
      <c r="AX38" s="1796">
        <v>1249.9401799999998</v>
      </c>
      <c r="AY38" s="1796">
        <v>2.3740000000000001</v>
      </c>
      <c r="AZ38" s="1796">
        <v>3517.7184900000002</v>
      </c>
      <c r="BA38" s="1796">
        <v>189.76179999999999</v>
      </c>
      <c r="BB38" s="1796">
        <v>4728.0005899999996</v>
      </c>
      <c r="BC38" s="1796">
        <v>190.42679999999999</v>
      </c>
      <c r="BD38" s="1796">
        <v>5934.7460499999997</v>
      </c>
      <c r="BE38" s="1796">
        <v>191.09179999999998</v>
      </c>
      <c r="BF38" s="1796">
        <v>6711.7563300000002</v>
      </c>
      <c r="BG38" s="1796">
        <v>192.30679999999998</v>
      </c>
      <c r="BH38" s="1796">
        <v>7097.4725699999999</v>
      </c>
      <c r="BI38" s="1796">
        <v>207.30679999999998</v>
      </c>
      <c r="BJ38" s="1796">
        <v>7592.9434299999994</v>
      </c>
      <c r="BK38" s="1796">
        <v>207.67929999999998</v>
      </c>
      <c r="BL38" s="1796">
        <v>8426.4071800000002</v>
      </c>
      <c r="BM38" s="1796">
        <v>216.09648999999999</v>
      </c>
      <c r="BN38" s="1796">
        <v>8914.6013400000011</v>
      </c>
      <c r="BO38" s="1796">
        <v>402.65474</v>
      </c>
      <c r="BP38" s="1796">
        <v>10414.993339999999</v>
      </c>
      <c r="BQ38" s="1796">
        <v>417.91371000000004</v>
      </c>
      <c r="BR38" s="1796">
        <v>10996.500779999998</v>
      </c>
      <c r="BS38" s="1796">
        <v>441.96931999999998</v>
      </c>
      <c r="BT38" s="1796">
        <v>11519.418029999999</v>
      </c>
      <c r="BU38" s="1796">
        <v>425.41516999999999</v>
      </c>
      <c r="BV38" s="1796">
        <v>1738.2919999999999</v>
      </c>
      <c r="BW38" s="1796">
        <v>8.3759999999999994</v>
      </c>
      <c r="BX38" s="1796">
        <v>3764.7366699999998</v>
      </c>
      <c r="BY38" s="1796">
        <v>46.385910000000003</v>
      </c>
      <c r="BZ38" s="1796">
        <v>4973.7375099999999</v>
      </c>
      <c r="CA38" s="1796">
        <v>46.892449999999997</v>
      </c>
      <c r="CB38" s="1796">
        <v>6471.33464</v>
      </c>
      <c r="CC38" s="1796">
        <v>46.892449999999997</v>
      </c>
      <c r="CD38" s="1796">
        <v>6806.2162900000003</v>
      </c>
      <c r="CE38" s="1796">
        <v>46.892449999999997</v>
      </c>
      <c r="CF38" s="1796">
        <v>7591.9668700000002</v>
      </c>
      <c r="CG38" s="1796">
        <v>46.892449999999997</v>
      </c>
      <c r="CH38" s="1796">
        <v>8110.5928400000003</v>
      </c>
      <c r="CI38" s="1796">
        <v>64.892449999999997</v>
      </c>
      <c r="CJ38" s="1796">
        <v>8314.7539900000011</v>
      </c>
      <c r="CK38" s="1796">
        <v>197.08345</v>
      </c>
      <c r="CL38" s="1796">
        <v>8946.7499200000002</v>
      </c>
      <c r="CM38" s="1796">
        <v>248.95345</v>
      </c>
      <c r="CN38" s="1796">
        <v>9588.2463800000005</v>
      </c>
      <c r="CO38" s="1796">
        <v>253.06845000000001</v>
      </c>
      <c r="CP38" s="1796">
        <v>9818.2550700000011</v>
      </c>
      <c r="CQ38" s="1796">
        <v>253.74345000000002</v>
      </c>
      <c r="CR38" s="1796">
        <v>11067.65732</v>
      </c>
      <c r="CS38" s="1796">
        <v>257.34545000000003</v>
      </c>
      <c r="CT38" s="1796">
        <v>1405.80971</v>
      </c>
      <c r="CU38" s="1796">
        <v>0.72599999999999998</v>
      </c>
      <c r="CV38" s="1796">
        <v>3328.7742200000002</v>
      </c>
      <c r="CW38" s="1796">
        <v>4.9506399999999999</v>
      </c>
      <c r="CX38" s="1796">
        <v>5766.2493199999999</v>
      </c>
      <c r="CY38" s="1796">
        <v>11.041639999999999</v>
      </c>
      <c r="CZ38" s="1796">
        <v>6362.69236</v>
      </c>
      <c r="DA38" s="1796">
        <v>11.041639999999999</v>
      </c>
      <c r="DB38" s="1796">
        <v>7283.4710500000001</v>
      </c>
      <c r="DC38" s="1796">
        <v>15.641639999999999</v>
      </c>
      <c r="DD38" s="1796">
        <v>7987.5979800000005</v>
      </c>
      <c r="DE38" s="1796">
        <v>27.391839999999998</v>
      </c>
      <c r="DF38" s="1796">
        <v>8462.3940399999992</v>
      </c>
      <c r="DG38" s="1796">
        <v>134.26545999999999</v>
      </c>
      <c r="DH38" s="1796">
        <v>8786.9756600000001</v>
      </c>
      <c r="DI38" s="1796">
        <v>134.26545999999999</v>
      </c>
      <c r="DJ38" s="1796">
        <v>9164.090189999999</v>
      </c>
      <c r="DK38" s="1796">
        <v>428.68216999999999</v>
      </c>
      <c r="DL38" s="1796">
        <v>9687.8159799999994</v>
      </c>
      <c r="DM38" s="1796">
        <v>434.53451000000001</v>
      </c>
      <c r="DN38" s="1796">
        <v>10022.09621</v>
      </c>
      <c r="DO38" s="1796">
        <v>440.22179</v>
      </c>
      <c r="DP38" s="1796">
        <v>11804.623299999999</v>
      </c>
      <c r="DQ38" s="1797">
        <v>440.22179</v>
      </c>
      <c r="DR38" s="1798">
        <v>1360.7004999999999</v>
      </c>
      <c r="DS38" s="1799">
        <v>0</v>
      </c>
      <c r="DT38" s="1800">
        <v>4558.86067</v>
      </c>
      <c r="DU38" s="1797">
        <v>8.0991900000000001</v>
      </c>
      <c r="DV38" s="1798">
        <v>5566.7606599999999</v>
      </c>
      <c r="DW38" s="1799">
        <v>8.5911899999999992</v>
      </c>
      <c r="DX38" s="1800">
        <v>6559.6406500000003</v>
      </c>
      <c r="DY38" s="1797">
        <v>11.216189999999999</v>
      </c>
      <c r="DZ38" s="1798">
        <v>7117.7697799999996</v>
      </c>
      <c r="EA38" s="1799">
        <v>13.566190000000001</v>
      </c>
      <c r="EB38" s="1800">
        <v>7991.5718999999999</v>
      </c>
      <c r="EC38" s="1797">
        <v>13.566190000000001</v>
      </c>
      <c r="ED38" s="1798">
        <v>8036.9143700000004</v>
      </c>
      <c r="EE38" s="1799">
        <v>15.88123</v>
      </c>
      <c r="EF38" s="1798">
        <v>9393.0528599999998</v>
      </c>
      <c r="EG38" s="1799">
        <v>34.397190000000002</v>
      </c>
      <c r="EH38" s="1800">
        <v>9852.7412700000004</v>
      </c>
      <c r="EI38" s="1799">
        <v>34.397190000000002</v>
      </c>
      <c r="EJ38" s="1800">
        <v>10621.05521</v>
      </c>
      <c r="EK38" s="1799">
        <v>34.397190000000002</v>
      </c>
      <c r="EL38" s="1798">
        <v>11256.05797</v>
      </c>
      <c r="EM38" s="1801">
        <v>34.397190000000002</v>
      </c>
      <c r="EN38" s="1798">
        <v>11768.643459999999</v>
      </c>
      <c r="EO38" s="1801">
        <v>34.397190000000002</v>
      </c>
      <c r="EP38" s="1798">
        <v>1840.6695300000001</v>
      </c>
      <c r="EQ38" s="1801">
        <v>42.5</v>
      </c>
      <c r="ER38" s="1798">
        <v>2931.6235099999999</v>
      </c>
      <c r="ES38" s="1801">
        <v>73.016770000000008</v>
      </c>
      <c r="ET38" s="1798">
        <v>4688.3805700000003</v>
      </c>
      <c r="EU38" s="1801">
        <v>73.016769999999994</v>
      </c>
      <c r="EV38" s="1798">
        <v>6201.04349</v>
      </c>
      <c r="EW38" s="1801">
        <v>73.016769999999994</v>
      </c>
      <c r="EX38" s="1798">
        <v>6668.6640900000002</v>
      </c>
      <c r="EY38" s="1801">
        <v>73.016770000000008</v>
      </c>
      <c r="EZ38" s="1798">
        <v>7968.2149200000003</v>
      </c>
      <c r="FA38" s="1801">
        <v>73.016770000000008</v>
      </c>
      <c r="FB38" s="1798">
        <v>8652.043380000001</v>
      </c>
      <c r="FC38" s="1801">
        <v>73.866770000000002</v>
      </c>
      <c r="FD38" s="1798">
        <v>9400.2445200000002</v>
      </c>
      <c r="FE38" s="1801">
        <v>91.391970000000001</v>
      </c>
      <c r="FF38" s="1798">
        <v>10054.294519999999</v>
      </c>
      <c r="FG38" s="1801">
        <v>92.171970000000002</v>
      </c>
      <c r="FH38" s="1798">
        <v>12349.71463</v>
      </c>
      <c r="FI38" s="1801">
        <v>92.171970000000002</v>
      </c>
      <c r="FJ38" s="1798">
        <v>13061.415059999999</v>
      </c>
      <c r="FK38" s="1801">
        <v>95.646550000000005</v>
      </c>
      <c r="FL38" s="1798">
        <v>13459.612359999999</v>
      </c>
      <c r="FM38" s="1801">
        <v>124.61628</v>
      </c>
      <c r="FN38" s="1798">
        <v>2358.0638100000001</v>
      </c>
      <c r="FO38" s="1801">
        <v>0.75992000000000004</v>
      </c>
      <c r="FP38" s="1798">
        <v>3480.5483599999998</v>
      </c>
      <c r="FQ38" s="1801">
        <v>9.6589200000000002</v>
      </c>
      <c r="FR38" s="1798">
        <v>5497.5686800000003</v>
      </c>
      <c r="FS38" s="1801">
        <v>21.658919999999998</v>
      </c>
      <c r="FT38" s="1798">
        <v>7170.1328700000004</v>
      </c>
      <c r="FU38" s="1801">
        <v>21.658919999999998</v>
      </c>
      <c r="FV38" s="1798">
        <v>7729.9684600000001</v>
      </c>
      <c r="FW38" s="1801">
        <v>21.658919999999998</v>
      </c>
      <c r="FX38" s="1798">
        <v>8099.1781700000001</v>
      </c>
      <c r="FY38" s="1801">
        <v>50.513120000000001</v>
      </c>
      <c r="FZ38" s="1798">
        <v>9752.9219799999992</v>
      </c>
      <c r="GA38" s="1801">
        <v>52.288119999999999</v>
      </c>
      <c r="GB38" s="1798">
        <v>10448.317580000001</v>
      </c>
      <c r="GC38" s="1801">
        <v>56.247</v>
      </c>
      <c r="GD38" s="1798">
        <v>11101.915360000001</v>
      </c>
      <c r="GE38" s="1801">
        <v>59.247</v>
      </c>
      <c r="GF38" s="1798">
        <v>11478.08114</v>
      </c>
      <c r="GG38" s="1801">
        <v>63.41892</v>
      </c>
      <c r="GH38" s="1798">
        <v>12067.800139999999</v>
      </c>
      <c r="GI38" s="1801">
        <v>63.41892</v>
      </c>
      <c r="GJ38" s="1798">
        <v>15065.375599999999</v>
      </c>
      <c r="GK38" s="1801">
        <v>241.21642</v>
      </c>
      <c r="GL38" s="1798">
        <v>894.97454000000005</v>
      </c>
      <c r="GM38" s="1801">
        <v>1.669</v>
      </c>
      <c r="GN38" s="1798">
        <v>1973.4400599999999</v>
      </c>
      <c r="GO38" s="1801">
        <v>9.5879999999999992</v>
      </c>
      <c r="GP38" s="1798">
        <v>3890.7216199999998</v>
      </c>
      <c r="GQ38" s="1801">
        <v>15.118510000000001</v>
      </c>
      <c r="GR38" s="1798">
        <v>5560.2063699999999</v>
      </c>
      <c r="GS38" s="1801">
        <v>16.520510000000002</v>
      </c>
      <c r="GT38" s="1798">
        <v>5952.4206999999997</v>
      </c>
      <c r="GU38" s="1801">
        <v>20.67841</v>
      </c>
      <c r="GV38" s="1798">
        <v>6662.4658300000001</v>
      </c>
      <c r="GW38" s="1801">
        <v>23.578410000000002</v>
      </c>
      <c r="GX38" s="1798">
        <v>8284.5278099999996</v>
      </c>
      <c r="GY38" s="1801">
        <v>27.597809999999999</v>
      </c>
      <c r="GZ38" s="1798">
        <v>8849.4793699999991</v>
      </c>
      <c r="HA38" s="1801">
        <v>57.097810000000003</v>
      </c>
      <c r="HB38" s="1798">
        <v>10005.753210000001</v>
      </c>
      <c r="HC38" s="1801">
        <v>58.197809999999997</v>
      </c>
      <c r="HD38" s="1798">
        <v>10299.79097</v>
      </c>
      <c r="HE38" s="1801">
        <v>61.239310000000003</v>
      </c>
      <c r="HF38" s="1798">
        <v>10911.22776</v>
      </c>
      <c r="HG38" s="1801">
        <v>61.239310000000003</v>
      </c>
      <c r="HH38" s="1798">
        <v>12271.58626</v>
      </c>
      <c r="HI38" s="1801">
        <v>61.239310000000003</v>
      </c>
      <c r="HJ38" s="1798">
        <v>1135.38112</v>
      </c>
      <c r="HK38" s="1801">
        <v>10.407500000000001</v>
      </c>
      <c r="HL38" s="1798">
        <v>2348.8217500000001</v>
      </c>
      <c r="HM38" s="1801">
        <v>16.910499999999999</v>
      </c>
      <c r="HN38" s="1798">
        <v>4687.8049300000002</v>
      </c>
      <c r="HO38" s="1801">
        <v>16.910499999999999</v>
      </c>
      <c r="HP38" s="1798">
        <v>7758.5051899999999</v>
      </c>
      <c r="HQ38" s="1801">
        <v>16.910499999999999</v>
      </c>
      <c r="HR38" s="1798">
        <v>7434.01836</v>
      </c>
      <c r="HS38" s="1801">
        <v>17.312899999999999</v>
      </c>
      <c r="HT38" s="1798">
        <v>9534.5400399999999</v>
      </c>
      <c r="HU38" s="1801">
        <v>22.06296</v>
      </c>
      <c r="HV38" s="1802" t="s">
        <v>3420</v>
      </c>
    </row>
    <row r="39" spans="1:233" s="1774" customFormat="1" ht="22.5" customHeight="1">
      <c r="A39" s="1151" t="s">
        <v>2285</v>
      </c>
      <c r="B39" s="1796">
        <v>244.48473000000001</v>
      </c>
      <c r="C39" s="1796">
        <v>8.91</v>
      </c>
      <c r="D39" s="1796">
        <v>306.42328000000003</v>
      </c>
      <c r="E39" s="1796">
        <v>8.9600000000000009</v>
      </c>
      <c r="F39" s="1796">
        <v>350.89841999999999</v>
      </c>
      <c r="G39" s="1796">
        <v>18.536000000000001</v>
      </c>
      <c r="H39" s="1796">
        <v>390.64825999999999</v>
      </c>
      <c r="I39" s="1796">
        <v>37.941859999999998</v>
      </c>
      <c r="J39" s="1796">
        <v>460.02415999999999</v>
      </c>
      <c r="K39" s="1796">
        <v>63.552599999999998</v>
      </c>
      <c r="L39" s="1796">
        <v>655.45848000000001</v>
      </c>
      <c r="M39" s="1796">
        <v>69.401600000000002</v>
      </c>
      <c r="N39" s="1796">
        <v>719.53102999999999</v>
      </c>
      <c r="O39" s="1796">
        <v>72.151600000000002</v>
      </c>
      <c r="P39" s="1796">
        <v>746.58540000000005</v>
      </c>
      <c r="Q39" s="1796">
        <v>77.262600000000006</v>
      </c>
      <c r="R39" s="1796">
        <v>1070.68542</v>
      </c>
      <c r="S39" s="1796">
        <v>89.872600000000006</v>
      </c>
      <c r="T39" s="1796">
        <v>1132.2978700000001</v>
      </c>
      <c r="U39" s="1796">
        <v>93.99560000000001</v>
      </c>
      <c r="V39" s="1796">
        <v>1172.8676799999998</v>
      </c>
      <c r="W39" s="1796">
        <v>95.49560000000001</v>
      </c>
      <c r="X39" s="1796">
        <v>1211.1010399999998</v>
      </c>
      <c r="Y39" s="1796">
        <v>101.07560000000001</v>
      </c>
      <c r="Z39" s="1796">
        <v>240.50714000000002</v>
      </c>
      <c r="AA39" s="1796">
        <v>7.9893999999999998</v>
      </c>
      <c r="AB39" s="1796">
        <v>281.52797999999996</v>
      </c>
      <c r="AC39" s="1796">
        <v>9.2046499999999991</v>
      </c>
      <c r="AD39" s="1796">
        <v>314.39107000000001</v>
      </c>
      <c r="AE39" s="1796">
        <v>17.211650000000002</v>
      </c>
      <c r="AF39" s="1796">
        <v>398.26535999999999</v>
      </c>
      <c r="AG39" s="1796">
        <v>23.191650000000003</v>
      </c>
      <c r="AH39" s="1796">
        <v>430.06155000000001</v>
      </c>
      <c r="AI39" s="1796">
        <v>27.126650000000001</v>
      </c>
      <c r="AJ39" s="1796">
        <v>459.36839000000003</v>
      </c>
      <c r="AK39" s="1796">
        <v>33.946109999999997</v>
      </c>
      <c r="AL39" s="1796">
        <v>546.41543999999999</v>
      </c>
      <c r="AM39" s="1796">
        <v>42.300110000000004</v>
      </c>
      <c r="AN39" s="1796">
        <v>628.29406999999992</v>
      </c>
      <c r="AO39" s="1796">
        <v>46.210709999999999</v>
      </c>
      <c r="AP39" s="1796">
        <v>945.7629300000001</v>
      </c>
      <c r="AQ39" s="1796">
        <v>49.199709999999996</v>
      </c>
      <c r="AR39" s="1796">
        <v>1004.9374499999999</v>
      </c>
      <c r="AS39" s="1796">
        <v>53.464709999999997</v>
      </c>
      <c r="AT39" s="1796">
        <v>1122.8776799999998</v>
      </c>
      <c r="AU39" s="1796">
        <v>55.544710000000002</v>
      </c>
      <c r="AV39" s="1796">
        <v>1174.48047</v>
      </c>
      <c r="AW39" s="1796">
        <v>61.464709999999997</v>
      </c>
      <c r="AX39" s="1796">
        <v>63.682370000000006</v>
      </c>
      <c r="AY39" s="1796">
        <v>4.9831099999999999</v>
      </c>
      <c r="AZ39" s="1796">
        <v>95.247799999999998</v>
      </c>
      <c r="BA39" s="1796">
        <v>12.506110000000001</v>
      </c>
      <c r="BB39" s="1796">
        <v>111.72563000000001</v>
      </c>
      <c r="BC39" s="1796">
        <v>15.54411</v>
      </c>
      <c r="BD39" s="1796">
        <v>146.62634</v>
      </c>
      <c r="BE39" s="1796">
        <v>21.82405</v>
      </c>
      <c r="BF39" s="1796">
        <v>200.40845000000002</v>
      </c>
      <c r="BG39" s="1796">
        <v>36.240790000000004</v>
      </c>
      <c r="BH39" s="1796">
        <v>240.45873999999998</v>
      </c>
      <c r="BI39" s="1796">
        <v>38.783850000000001</v>
      </c>
      <c r="BJ39" s="1796">
        <v>260.86637000000002</v>
      </c>
      <c r="BK39" s="1796">
        <v>49.600250000000003</v>
      </c>
      <c r="BL39" s="1796">
        <v>323.32587999999998</v>
      </c>
      <c r="BM39" s="1796">
        <v>53.458849999999998</v>
      </c>
      <c r="BN39" s="1796">
        <v>630.91552000000001</v>
      </c>
      <c r="BO39" s="1796">
        <v>54.368850000000002</v>
      </c>
      <c r="BP39" s="1796">
        <v>692.75798999999995</v>
      </c>
      <c r="BQ39" s="1796">
        <v>56.358849999999997</v>
      </c>
      <c r="BR39" s="1796">
        <v>779.68892000000005</v>
      </c>
      <c r="BS39" s="1796">
        <v>62.281849999999999</v>
      </c>
      <c r="BT39" s="1796">
        <v>883.70371</v>
      </c>
      <c r="BU39" s="1796">
        <v>66.311850000000007</v>
      </c>
      <c r="BV39" s="1796">
        <v>144.20405</v>
      </c>
      <c r="BW39" s="1796">
        <v>4.9285800000000002</v>
      </c>
      <c r="BX39" s="1796">
        <v>183.69489999999999</v>
      </c>
      <c r="BY39" s="1796">
        <v>4.9285800000000002</v>
      </c>
      <c r="BZ39" s="1796">
        <v>203.12467999999998</v>
      </c>
      <c r="CA39" s="1796">
        <v>4.9285800000000002</v>
      </c>
      <c r="CB39" s="1796">
        <v>267.98591999999996</v>
      </c>
      <c r="CC39" s="1796">
        <v>4.9285800000000002</v>
      </c>
      <c r="CD39" s="1796">
        <v>353.37509999999997</v>
      </c>
      <c r="CE39" s="1796">
        <v>4.9285800000000002</v>
      </c>
      <c r="CF39" s="1796">
        <v>501.97515000000004</v>
      </c>
      <c r="CG39" s="1796">
        <v>8.3545800000000003</v>
      </c>
      <c r="CH39" s="1796">
        <v>670.17585999999994</v>
      </c>
      <c r="CI39" s="1796">
        <v>13.05758</v>
      </c>
      <c r="CJ39" s="1796">
        <v>851.13204000000007</v>
      </c>
      <c r="CK39" s="1796">
        <v>10.75258</v>
      </c>
      <c r="CL39" s="1796">
        <v>1283.7636599999998</v>
      </c>
      <c r="CM39" s="1796">
        <v>12.97758</v>
      </c>
      <c r="CN39" s="1796">
        <v>1411.3874799999999</v>
      </c>
      <c r="CO39" s="1796">
        <v>29.05658</v>
      </c>
      <c r="CP39" s="1796">
        <v>1547.7460000000001</v>
      </c>
      <c r="CQ39" s="1796">
        <v>40.022580000000005</v>
      </c>
      <c r="CR39" s="1796">
        <v>1726.9485400000001</v>
      </c>
      <c r="CS39" s="1796">
        <v>55.891580000000005</v>
      </c>
      <c r="CT39" s="1796">
        <v>176.73203000000001</v>
      </c>
      <c r="CU39" s="1796">
        <v>23.925000000000001</v>
      </c>
      <c r="CV39" s="1796">
        <v>326.45787000000001</v>
      </c>
      <c r="CW39" s="1796">
        <v>31.356000000000002</v>
      </c>
      <c r="CX39" s="1796">
        <v>441.76840999999996</v>
      </c>
      <c r="CY39" s="1796">
        <v>60.662970000000001</v>
      </c>
      <c r="CZ39" s="1796">
        <v>529.75155000000007</v>
      </c>
      <c r="DA39" s="1796">
        <v>93.470669999999998</v>
      </c>
      <c r="DB39" s="1796">
        <v>574.75949000000003</v>
      </c>
      <c r="DC39" s="1796">
        <v>107.46877000000001</v>
      </c>
      <c r="DD39" s="1796">
        <v>683.71992</v>
      </c>
      <c r="DE39" s="1796">
        <v>135.35003</v>
      </c>
      <c r="DF39" s="1796">
        <v>832.83666000000005</v>
      </c>
      <c r="DG39" s="1796">
        <v>165.76935999999998</v>
      </c>
      <c r="DH39" s="1796">
        <v>905.33917000000008</v>
      </c>
      <c r="DI39" s="1796">
        <v>199.86935999999997</v>
      </c>
      <c r="DJ39" s="1796">
        <v>1152.1185</v>
      </c>
      <c r="DK39" s="1796">
        <v>237.06676999999999</v>
      </c>
      <c r="DL39" s="1796">
        <v>1234.22775</v>
      </c>
      <c r="DM39" s="1796">
        <v>251.85977</v>
      </c>
      <c r="DN39" s="1796">
        <v>1304.5846799999999</v>
      </c>
      <c r="DO39" s="1796">
        <v>268.09476999999998</v>
      </c>
      <c r="DP39" s="1796">
        <v>1420.3167900000001</v>
      </c>
      <c r="DQ39" s="1797">
        <v>290.86176999999998</v>
      </c>
      <c r="DR39" s="1811">
        <v>96.23057</v>
      </c>
      <c r="DS39" s="1799">
        <v>13.16451</v>
      </c>
      <c r="DT39" s="1800">
        <v>197.90772000000001</v>
      </c>
      <c r="DU39" s="1797">
        <v>19.188510000000001</v>
      </c>
      <c r="DV39" s="1798">
        <v>274.85660999999999</v>
      </c>
      <c r="DW39" s="1799">
        <v>33.129710000000003</v>
      </c>
      <c r="DX39" s="1800">
        <v>361.92437999999999</v>
      </c>
      <c r="DY39" s="1797">
        <v>36.453499999999998</v>
      </c>
      <c r="DZ39" s="1798">
        <v>464.16658000000001</v>
      </c>
      <c r="EA39" s="1799">
        <v>37.102060000000002</v>
      </c>
      <c r="EB39" s="1800">
        <v>603.12102000000004</v>
      </c>
      <c r="EC39" s="1797">
        <v>43.655230000000003</v>
      </c>
      <c r="ED39" s="1798">
        <v>746.88792999999998</v>
      </c>
      <c r="EE39" s="1799">
        <v>45.483620000000002</v>
      </c>
      <c r="EF39" s="1798">
        <v>912.33592999999996</v>
      </c>
      <c r="EG39" s="1799">
        <v>45.483620000000002</v>
      </c>
      <c r="EH39" s="1800">
        <v>1223.9725100000001</v>
      </c>
      <c r="EI39" s="1799">
        <v>82.519400000000005</v>
      </c>
      <c r="EJ39" s="1800">
        <v>1410.9414899999999</v>
      </c>
      <c r="EK39" s="1799">
        <v>54.054900000000004</v>
      </c>
      <c r="EL39" s="1798">
        <v>1588.3773000000001</v>
      </c>
      <c r="EM39" s="1801">
        <v>54.054900000000004</v>
      </c>
      <c r="EN39" s="1798">
        <v>1817.2421899999999</v>
      </c>
      <c r="EO39" s="1801">
        <v>54.632910000000003</v>
      </c>
      <c r="EP39" s="1798">
        <v>212.15271999999999</v>
      </c>
      <c r="EQ39" s="1801">
        <v>0.22549</v>
      </c>
      <c r="ER39" s="1798">
        <v>418.72879</v>
      </c>
      <c r="ES39" s="1801">
        <v>0.22549</v>
      </c>
      <c r="ET39" s="1798">
        <v>652.82392000000004</v>
      </c>
      <c r="EU39" s="1801">
        <v>1.1596500000000001</v>
      </c>
      <c r="EV39" s="1798">
        <v>848.06191999999999</v>
      </c>
      <c r="EW39" s="1801">
        <v>5.4837400000000001</v>
      </c>
      <c r="EX39" s="1798">
        <v>1079.28549</v>
      </c>
      <c r="EY39" s="1801">
        <v>9.6817399999999996</v>
      </c>
      <c r="EZ39" s="1798">
        <v>1285.0984599999999</v>
      </c>
      <c r="FA39" s="1801">
        <v>11.70074</v>
      </c>
      <c r="FB39" s="1798">
        <v>1470.1536899999999</v>
      </c>
      <c r="FC39" s="1801">
        <v>17.75478</v>
      </c>
      <c r="FD39" s="1798">
        <v>1673.56882</v>
      </c>
      <c r="FE39" s="1801">
        <v>22.560479999999998</v>
      </c>
      <c r="FF39" s="1798">
        <v>2008.91327</v>
      </c>
      <c r="FG39" s="1801">
        <v>29.925810000000002</v>
      </c>
      <c r="FH39" s="1798">
        <v>2285.1315399999999</v>
      </c>
      <c r="FI39" s="1801">
        <v>29.925809999999998</v>
      </c>
      <c r="FJ39" s="1798">
        <v>2548.7869500000002</v>
      </c>
      <c r="FK39" s="1801">
        <v>29.925809999999998</v>
      </c>
      <c r="FL39" s="1798">
        <v>2930.0962200000004</v>
      </c>
      <c r="FM39" s="1801">
        <v>37.20581</v>
      </c>
      <c r="FN39" s="1798">
        <v>297.99891000000002</v>
      </c>
      <c r="FO39" s="1801">
        <v>0</v>
      </c>
      <c r="FP39" s="1798">
        <v>595.89308999999992</v>
      </c>
      <c r="FQ39" s="1801">
        <v>1.357</v>
      </c>
      <c r="FR39" s="1798">
        <v>882.81853000000001</v>
      </c>
      <c r="FS39" s="1801">
        <v>4.1237599999999999</v>
      </c>
      <c r="FT39" s="1798">
        <v>1158.4840200000001</v>
      </c>
      <c r="FU39" s="1801">
        <v>19.008759999999999</v>
      </c>
      <c r="FV39" s="1798">
        <v>1472.8976</v>
      </c>
      <c r="FW39" s="1801">
        <v>19.008759999999999</v>
      </c>
      <c r="FX39" s="1798">
        <v>1714.44461</v>
      </c>
      <c r="FY39" s="1801">
        <v>23.563759999999998</v>
      </c>
      <c r="FZ39" s="1798">
        <v>1990.6690000000001</v>
      </c>
      <c r="GA39" s="1801">
        <v>23.563759999999998</v>
      </c>
      <c r="GB39" s="1798">
        <v>2267.1797999999999</v>
      </c>
      <c r="GC39" s="1801">
        <v>28.563759999999998</v>
      </c>
      <c r="GD39" s="1798">
        <v>2550.9033599999998</v>
      </c>
      <c r="GE39" s="1801">
        <v>48.482860000000002</v>
      </c>
      <c r="GF39" s="1798">
        <v>2897.4834500000002</v>
      </c>
      <c r="GG39" s="1801">
        <v>48.482860000000002</v>
      </c>
      <c r="GH39" s="1798">
        <v>3214.6489700000002</v>
      </c>
      <c r="GI39" s="1801">
        <v>52.707769999999996</v>
      </c>
      <c r="GJ39" s="1798">
        <v>3633.0917199999999</v>
      </c>
      <c r="GK39" s="1801">
        <v>52.707769999999996</v>
      </c>
      <c r="GL39" s="1798">
        <v>302.95425999999998</v>
      </c>
      <c r="GM39" s="1801">
        <v>0</v>
      </c>
      <c r="GN39" s="1798">
        <v>636.47560999999996</v>
      </c>
      <c r="GO39" s="1801">
        <v>6.3754</v>
      </c>
      <c r="GP39" s="1798">
        <v>956.55633999999998</v>
      </c>
      <c r="GQ39" s="1801">
        <v>8.02</v>
      </c>
      <c r="GR39" s="1798">
        <v>1316.4946399999999</v>
      </c>
      <c r="GS39" s="1801">
        <v>11.025</v>
      </c>
      <c r="GT39" s="1798">
        <v>1659.25046</v>
      </c>
      <c r="GU39" s="1801">
        <v>11.025</v>
      </c>
      <c r="GV39" s="1798">
        <v>1959.01809</v>
      </c>
      <c r="GW39" s="1801">
        <v>11.025</v>
      </c>
      <c r="GX39" s="1798">
        <v>2443.8125199999999</v>
      </c>
      <c r="GY39" s="1801">
        <v>15.679399999999999</v>
      </c>
      <c r="GZ39" s="1798">
        <v>2858.7388700000001</v>
      </c>
      <c r="HA39" s="1801">
        <v>15.679399999999999</v>
      </c>
      <c r="HB39" s="1798">
        <v>3573.7203399999999</v>
      </c>
      <c r="HC39" s="1801">
        <v>31.63869</v>
      </c>
      <c r="HD39" s="1798">
        <v>4335.34771</v>
      </c>
      <c r="HE39" s="1801">
        <v>36.448689999999999</v>
      </c>
      <c r="HF39" s="1798">
        <v>4969.29385</v>
      </c>
      <c r="HG39" s="1801">
        <v>36.448689999999999</v>
      </c>
      <c r="HH39" s="1798">
        <v>5642.0263199999999</v>
      </c>
      <c r="HI39" s="1801">
        <v>36.448689999999999</v>
      </c>
      <c r="HJ39" s="1798">
        <v>554.84016999999994</v>
      </c>
      <c r="HK39" s="1801">
        <v>1</v>
      </c>
      <c r="HL39" s="1798">
        <v>1092.5073299999999</v>
      </c>
      <c r="HM39" s="1801">
        <v>1</v>
      </c>
      <c r="HN39" s="1798">
        <v>1689.6183000000001</v>
      </c>
      <c r="HO39" s="1801">
        <v>1</v>
      </c>
      <c r="HP39" s="1798">
        <v>2339.8140400000002</v>
      </c>
      <c r="HQ39" s="1801">
        <v>1</v>
      </c>
      <c r="HR39" s="1798">
        <v>3055.73882</v>
      </c>
      <c r="HS39" s="1801">
        <v>1.4012</v>
      </c>
      <c r="HT39" s="1798">
        <v>3694.65733</v>
      </c>
      <c r="HU39" s="1801">
        <v>18.369309999999999</v>
      </c>
      <c r="HV39" s="1166" t="s">
        <v>3421</v>
      </c>
    </row>
    <row r="40" spans="1:233" s="1774" customFormat="1" ht="22.5" customHeight="1">
      <c r="A40" s="1795" t="s">
        <v>2284</v>
      </c>
      <c r="B40" s="1796">
        <v>51.055680000000002</v>
      </c>
      <c r="C40" s="1796">
        <v>0</v>
      </c>
      <c r="D40" s="1796">
        <v>91.013509999999997</v>
      </c>
      <c r="E40" s="1796">
        <v>0</v>
      </c>
      <c r="F40" s="1796">
        <v>100.65797000000001</v>
      </c>
      <c r="G40" s="1796">
        <v>0</v>
      </c>
      <c r="H40" s="1796">
        <v>604.91018999999994</v>
      </c>
      <c r="I40" s="1796">
        <v>0</v>
      </c>
      <c r="J40" s="1796">
        <v>1475.1877899999999</v>
      </c>
      <c r="K40" s="1796">
        <v>0.5</v>
      </c>
      <c r="L40" s="1796">
        <v>1608.9224199999999</v>
      </c>
      <c r="M40" s="1796">
        <v>0</v>
      </c>
      <c r="N40" s="1796">
        <v>1699.7741000000001</v>
      </c>
      <c r="O40" s="1796">
        <v>0</v>
      </c>
      <c r="P40" s="1796">
        <v>1745.1833000000001</v>
      </c>
      <c r="Q40" s="1796">
        <v>0.5</v>
      </c>
      <c r="R40" s="1796">
        <v>1749.3558</v>
      </c>
      <c r="S40" s="1796">
        <v>0.5</v>
      </c>
      <c r="T40" s="1796">
        <v>1975.53412</v>
      </c>
      <c r="U40" s="1796">
        <v>0.5</v>
      </c>
      <c r="V40" s="1796">
        <v>2010.81655</v>
      </c>
      <c r="W40" s="1796">
        <v>0.5</v>
      </c>
      <c r="X40" s="1796">
        <v>1949.42254</v>
      </c>
      <c r="Y40" s="1796">
        <v>0.5</v>
      </c>
      <c r="Z40" s="1796">
        <v>121.72788</v>
      </c>
      <c r="AA40" s="1796">
        <v>0</v>
      </c>
      <c r="AB40" s="1796">
        <v>722.29317000000003</v>
      </c>
      <c r="AC40" s="1796">
        <v>0</v>
      </c>
      <c r="AD40" s="1796">
        <v>847.6023100000001</v>
      </c>
      <c r="AE40" s="1796">
        <v>0</v>
      </c>
      <c r="AF40" s="1796">
        <v>907.3378100000001</v>
      </c>
      <c r="AG40" s="1796">
        <v>0</v>
      </c>
      <c r="AH40" s="1796">
        <v>1875.52457</v>
      </c>
      <c r="AI40" s="1796">
        <v>1.6981900000000001</v>
      </c>
      <c r="AJ40" s="1796">
        <v>1861.7083500000001</v>
      </c>
      <c r="AK40" s="1796">
        <v>1.6981900000000001</v>
      </c>
      <c r="AL40" s="1796">
        <v>1937.88321</v>
      </c>
      <c r="AM40" s="1796">
        <v>1.6981900000000001</v>
      </c>
      <c r="AN40" s="1796">
        <v>1947.7882099999999</v>
      </c>
      <c r="AO40" s="1796">
        <v>1.6981900000000001</v>
      </c>
      <c r="AP40" s="1796">
        <v>1951.86986</v>
      </c>
      <c r="AQ40" s="1796">
        <v>1.6981900000000001</v>
      </c>
      <c r="AR40" s="1796">
        <v>1982.5398600000001</v>
      </c>
      <c r="AS40" s="1796">
        <v>1.6981900000000001</v>
      </c>
      <c r="AT40" s="1796">
        <v>2031.4952499999999</v>
      </c>
      <c r="AU40" s="1796">
        <v>1.6981900000000001</v>
      </c>
      <c r="AV40" s="1796">
        <v>2036.5952500000001</v>
      </c>
      <c r="AW40" s="1796">
        <v>1.6981900000000001</v>
      </c>
      <c r="AX40" s="1796">
        <v>659.83371</v>
      </c>
      <c r="AY40" s="1796">
        <v>0</v>
      </c>
      <c r="AZ40" s="1796">
        <v>659.43995999999993</v>
      </c>
      <c r="BA40" s="1796">
        <v>0</v>
      </c>
      <c r="BB40" s="1796">
        <v>662.43995999999993</v>
      </c>
      <c r="BC40" s="1796">
        <v>14.5</v>
      </c>
      <c r="BD40" s="1796">
        <v>787.25101000000006</v>
      </c>
      <c r="BE40" s="1796">
        <v>14.5</v>
      </c>
      <c r="BF40" s="1796">
        <v>1767.8441399999999</v>
      </c>
      <c r="BG40" s="1796">
        <v>14.5</v>
      </c>
      <c r="BH40" s="1796">
        <v>1860.6275900000001</v>
      </c>
      <c r="BI40" s="1796">
        <v>14.5</v>
      </c>
      <c r="BJ40" s="1796">
        <v>1880.2025900000001</v>
      </c>
      <c r="BK40" s="1796">
        <v>14.5</v>
      </c>
      <c r="BL40" s="1796">
        <v>1908.1925900000001</v>
      </c>
      <c r="BM40" s="1796">
        <v>14.5</v>
      </c>
      <c r="BN40" s="1796">
        <v>1945.2010400000001</v>
      </c>
      <c r="BO40" s="1796">
        <v>14.5</v>
      </c>
      <c r="BP40" s="1796">
        <v>2065.5482099999999</v>
      </c>
      <c r="BQ40" s="1796">
        <v>14.5</v>
      </c>
      <c r="BR40" s="1796">
        <v>2080.6442099999999</v>
      </c>
      <c r="BS40" s="1796">
        <v>14.5</v>
      </c>
      <c r="BT40" s="1796">
        <v>2095.5637700000002</v>
      </c>
      <c r="BU40" s="1796">
        <v>14.5</v>
      </c>
      <c r="BV40" s="1796">
        <v>456.15090000000004</v>
      </c>
      <c r="BW40" s="1796">
        <v>0</v>
      </c>
      <c r="BX40" s="1796">
        <v>474.15010999999998</v>
      </c>
      <c r="BY40" s="1796">
        <v>0</v>
      </c>
      <c r="BZ40" s="1796">
        <v>488.95011</v>
      </c>
      <c r="CA40" s="1796">
        <v>0</v>
      </c>
      <c r="CB40" s="1796">
        <v>551.42405000000008</v>
      </c>
      <c r="CC40" s="1796">
        <v>0</v>
      </c>
      <c r="CD40" s="1796">
        <v>1738.12599</v>
      </c>
      <c r="CE40" s="1796">
        <v>0</v>
      </c>
      <c r="CF40" s="1796">
        <v>1806.7803100000001</v>
      </c>
      <c r="CG40" s="1796">
        <v>0</v>
      </c>
      <c r="CH40" s="1796">
        <v>2092.9262899999999</v>
      </c>
      <c r="CI40" s="1796">
        <v>0</v>
      </c>
      <c r="CJ40" s="1796">
        <v>2106.2642900000001</v>
      </c>
      <c r="CK40" s="1796">
        <v>0</v>
      </c>
      <c r="CL40" s="1796">
        <v>2125.7024200000001</v>
      </c>
      <c r="CM40" s="1796">
        <v>0</v>
      </c>
      <c r="CN40" s="1796">
        <v>2154.66516</v>
      </c>
      <c r="CO40" s="1796">
        <v>0</v>
      </c>
      <c r="CP40" s="1796">
        <v>2178.76116</v>
      </c>
      <c r="CQ40" s="1796">
        <v>0</v>
      </c>
      <c r="CR40" s="1796">
        <v>2196.5888100000002</v>
      </c>
      <c r="CS40" s="1796">
        <v>0</v>
      </c>
      <c r="CT40" s="1796">
        <v>477.16990000000004</v>
      </c>
      <c r="CU40" s="1796">
        <v>0</v>
      </c>
      <c r="CV40" s="1796">
        <v>501.52190000000002</v>
      </c>
      <c r="CW40" s="1796">
        <v>0</v>
      </c>
      <c r="CX40" s="1796">
        <v>516.32349999999997</v>
      </c>
      <c r="CY40" s="1796">
        <v>0</v>
      </c>
      <c r="CZ40" s="1796">
        <v>590.63751999999999</v>
      </c>
      <c r="DA40" s="1796">
        <v>0</v>
      </c>
      <c r="DB40" s="1796">
        <v>790.86817000000008</v>
      </c>
      <c r="DC40" s="1796">
        <v>0</v>
      </c>
      <c r="DD40" s="1796">
        <v>848.33146999999997</v>
      </c>
      <c r="DE40" s="1796">
        <v>0</v>
      </c>
      <c r="DF40" s="1796">
        <v>848.05002999999999</v>
      </c>
      <c r="DG40" s="1796">
        <v>0</v>
      </c>
      <c r="DH40" s="1796">
        <v>875.92003</v>
      </c>
      <c r="DI40" s="1796">
        <v>0</v>
      </c>
      <c r="DJ40" s="1796">
        <v>895.72003000000007</v>
      </c>
      <c r="DK40" s="1796">
        <v>0</v>
      </c>
      <c r="DL40" s="1796">
        <v>949.3143</v>
      </c>
      <c r="DM40" s="1796">
        <v>0</v>
      </c>
      <c r="DN40" s="1796">
        <v>963.35743000000002</v>
      </c>
      <c r="DO40" s="1796">
        <v>0</v>
      </c>
      <c r="DP40" s="1796">
        <v>968.94142999999997</v>
      </c>
      <c r="DQ40" s="1797">
        <v>0</v>
      </c>
      <c r="DR40" s="1798">
        <v>431.1268</v>
      </c>
      <c r="DS40" s="1799">
        <v>0</v>
      </c>
      <c r="DT40" s="1800">
        <v>431.1268</v>
      </c>
      <c r="DU40" s="1797">
        <v>0</v>
      </c>
      <c r="DV40" s="1798">
        <v>442.01679999999999</v>
      </c>
      <c r="DW40" s="1799">
        <v>0</v>
      </c>
      <c r="DX40" s="1800">
        <v>497.82985000000002</v>
      </c>
      <c r="DY40" s="1797">
        <v>0</v>
      </c>
      <c r="DZ40" s="1798">
        <v>561.50392999999997</v>
      </c>
      <c r="EA40" s="1799">
        <v>0</v>
      </c>
      <c r="EB40" s="1800">
        <v>603.90137000000004</v>
      </c>
      <c r="EC40" s="1797">
        <v>0</v>
      </c>
      <c r="ED40" s="1798">
        <v>658.12136999999996</v>
      </c>
      <c r="EE40" s="1799">
        <v>0</v>
      </c>
      <c r="EF40" s="1798">
        <v>678.12136999999996</v>
      </c>
      <c r="EG40" s="1799">
        <v>0</v>
      </c>
      <c r="EH40" s="1800">
        <v>800.11095999999998</v>
      </c>
      <c r="EI40" s="1799">
        <v>0</v>
      </c>
      <c r="EJ40" s="1800">
        <v>822.93856000000005</v>
      </c>
      <c r="EK40" s="1799">
        <v>0</v>
      </c>
      <c r="EL40" s="1798">
        <v>832.58856000000003</v>
      </c>
      <c r="EM40" s="1801">
        <v>0</v>
      </c>
      <c r="EN40" s="1798">
        <v>922.37945999999999</v>
      </c>
      <c r="EO40" s="1801">
        <v>0</v>
      </c>
      <c r="EP40" s="1798">
        <v>603.07500000000005</v>
      </c>
      <c r="EQ40" s="1801">
        <v>0</v>
      </c>
      <c r="ER40" s="1798">
        <v>648.94133999999997</v>
      </c>
      <c r="ES40" s="1801">
        <v>0</v>
      </c>
      <c r="ET40" s="1798">
        <v>671.89203999999995</v>
      </c>
      <c r="EU40" s="1801">
        <v>0</v>
      </c>
      <c r="EV40" s="1798">
        <v>732.51094999999998</v>
      </c>
      <c r="EW40" s="1801">
        <v>0</v>
      </c>
      <c r="EX40" s="1798">
        <v>817.03789000000006</v>
      </c>
      <c r="EY40" s="1801">
        <v>0</v>
      </c>
      <c r="EZ40" s="1798">
        <v>995.87396000000001</v>
      </c>
      <c r="FA40" s="1801">
        <v>0</v>
      </c>
      <c r="FB40" s="1798">
        <v>1040.8739599999999</v>
      </c>
      <c r="FC40" s="1801">
        <v>0</v>
      </c>
      <c r="FD40" s="1798">
        <v>1113.9294400000001</v>
      </c>
      <c r="FE40" s="1801">
        <v>0</v>
      </c>
      <c r="FF40" s="1798">
        <v>1164.25224</v>
      </c>
      <c r="FG40" s="1801">
        <v>0</v>
      </c>
      <c r="FH40" s="1798">
        <v>1167.9682399999999</v>
      </c>
      <c r="FI40" s="1801">
        <v>0</v>
      </c>
      <c r="FJ40" s="1798">
        <v>1196.6032399999999</v>
      </c>
      <c r="FK40" s="1801">
        <v>0</v>
      </c>
      <c r="FL40" s="1798">
        <v>1300.59329</v>
      </c>
      <c r="FM40" s="1801">
        <v>0</v>
      </c>
      <c r="FN40" s="1798">
        <v>1044.1762000000001</v>
      </c>
      <c r="FO40" s="1801">
        <v>0</v>
      </c>
      <c r="FP40" s="1798">
        <v>1060.3113000000001</v>
      </c>
      <c r="FQ40" s="1801">
        <v>0</v>
      </c>
      <c r="FR40" s="1798">
        <v>1149.2592999999999</v>
      </c>
      <c r="FS40" s="1801">
        <v>0</v>
      </c>
      <c r="FT40" s="1798">
        <v>1181.8378</v>
      </c>
      <c r="FU40" s="1801">
        <v>0</v>
      </c>
      <c r="FV40" s="1798">
        <v>1323.12375</v>
      </c>
      <c r="FW40" s="1801">
        <v>0</v>
      </c>
      <c r="FX40" s="1798">
        <v>1476.4908</v>
      </c>
      <c r="FY40" s="1801">
        <v>0</v>
      </c>
      <c r="FZ40" s="1798">
        <v>1552.1313</v>
      </c>
      <c r="GA40" s="1801">
        <v>0</v>
      </c>
      <c r="GB40" s="1798">
        <v>1621.3470500000001</v>
      </c>
      <c r="GC40" s="1801">
        <v>1.75</v>
      </c>
      <c r="GD40" s="1798">
        <v>1707.1968999999999</v>
      </c>
      <c r="GE40" s="1801">
        <v>1.75</v>
      </c>
      <c r="GF40" s="1798">
        <v>1826.5563999999999</v>
      </c>
      <c r="GG40" s="1801">
        <v>1.75</v>
      </c>
      <c r="GH40" s="1798">
        <v>1967.6164799999999</v>
      </c>
      <c r="GI40" s="1801">
        <v>1.75</v>
      </c>
      <c r="GJ40" s="1798">
        <v>2041.11338</v>
      </c>
      <c r="GK40" s="1801">
        <v>2.41</v>
      </c>
      <c r="GL40" s="1798">
        <v>1117.7719</v>
      </c>
      <c r="GM40" s="1801">
        <v>0</v>
      </c>
      <c r="GN40" s="1798">
        <v>1167.3020100000001</v>
      </c>
      <c r="GO40" s="1801">
        <v>2.4700000000000002</v>
      </c>
      <c r="GP40" s="1798">
        <v>1254.6091999999999</v>
      </c>
      <c r="GQ40" s="1801">
        <v>2.4700000000000002</v>
      </c>
      <c r="GR40" s="1798">
        <v>1296.9286999999999</v>
      </c>
      <c r="GS40" s="1801">
        <v>2.4700000000000002</v>
      </c>
      <c r="GT40" s="1798">
        <v>1367.1361300000001</v>
      </c>
      <c r="GU40" s="1801">
        <v>3.42</v>
      </c>
      <c r="GV40" s="1798">
        <v>1500.1579200000001</v>
      </c>
      <c r="GW40" s="1801">
        <v>3.42</v>
      </c>
      <c r="GX40" s="1798">
        <v>1555.60177</v>
      </c>
      <c r="GY40" s="1801">
        <v>3.42</v>
      </c>
      <c r="GZ40" s="1798">
        <v>1675.07349</v>
      </c>
      <c r="HA40" s="1801">
        <v>3.42</v>
      </c>
      <c r="HB40" s="1798">
        <v>1747.95769</v>
      </c>
      <c r="HC40" s="1801">
        <v>11.269</v>
      </c>
      <c r="HD40" s="1798">
        <v>1916.13411</v>
      </c>
      <c r="HE40" s="1801">
        <v>12.638999999999999</v>
      </c>
      <c r="HF40" s="1798">
        <v>1962.36571</v>
      </c>
      <c r="HG40" s="1801">
        <v>12.638999999999999</v>
      </c>
      <c r="HH40" s="1798">
        <v>2093.9074599999999</v>
      </c>
      <c r="HI40" s="1801">
        <v>12.638999999999999</v>
      </c>
      <c r="HJ40" s="1798">
        <v>1136.3901800000001</v>
      </c>
      <c r="HK40" s="1801">
        <v>0.4</v>
      </c>
      <c r="HL40" s="1798">
        <v>1183.7802799999999</v>
      </c>
      <c r="HM40" s="1801">
        <v>3.2879999999999998</v>
      </c>
      <c r="HN40" s="1798">
        <v>1210.57141</v>
      </c>
      <c r="HO40" s="1801">
        <v>8.0730000000000004</v>
      </c>
      <c r="HP40" s="1798">
        <v>1236.2994100000001</v>
      </c>
      <c r="HQ40" s="1801">
        <v>12.538</v>
      </c>
      <c r="HR40" s="1798">
        <v>1466.74344</v>
      </c>
      <c r="HS40" s="1801">
        <v>12.538</v>
      </c>
      <c r="HT40" s="1798">
        <v>1776.29955</v>
      </c>
      <c r="HU40" s="1801">
        <v>13.14</v>
      </c>
      <c r="HV40" s="1802" t="s">
        <v>3422</v>
      </c>
    </row>
    <row r="41" spans="1:233" s="1774" customFormat="1" ht="22.5" customHeight="1">
      <c r="A41" s="1795" t="s">
        <v>2283</v>
      </c>
      <c r="B41" s="1796">
        <v>26.13138</v>
      </c>
      <c r="C41" s="1796">
        <v>0.63214999999999999</v>
      </c>
      <c r="D41" s="1796">
        <v>128.84253000000001</v>
      </c>
      <c r="E41" s="1796">
        <v>1.26431</v>
      </c>
      <c r="F41" s="1796">
        <v>521.34888000000001</v>
      </c>
      <c r="G41" s="1796">
        <v>1.8964799999999999</v>
      </c>
      <c r="H41" s="1796">
        <v>524.43885</v>
      </c>
      <c r="I41" s="1796">
        <v>2.5286500000000003</v>
      </c>
      <c r="J41" s="1796">
        <v>564.05007000000001</v>
      </c>
      <c r="K41" s="1796">
        <v>14.945549999999999</v>
      </c>
      <c r="L41" s="1796">
        <v>590.16</v>
      </c>
      <c r="M41" s="1796">
        <v>5.6303199999999993</v>
      </c>
      <c r="N41" s="1796">
        <v>740.40816000000007</v>
      </c>
      <c r="O41" s="1796">
        <v>6.2624899999999997</v>
      </c>
      <c r="P41" s="1796">
        <v>928.63535000000002</v>
      </c>
      <c r="Q41" s="1796">
        <v>6.89466</v>
      </c>
      <c r="R41" s="1796">
        <v>1012.83852</v>
      </c>
      <c r="S41" s="1796">
        <v>7.5268100000000002</v>
      </c>
      <c r="T41" s="1796">
        <v>1038.2603100000001</v>
      </c>
      <c r="U41" s="1796">
        <v>8.1589700000000001</v>
      </c>
      <c r="V41" s="1796">
        <v>1133.8602100000001</v>
      </c>
      <c r="W41" s="1796">
        <v>8.7911200000000012</v>
      </c>
      <c r="X41" s="1796">
        <v>1183.546</v>
      </c>
      <c r="Y41" s="1796">
        <v>9.4232900000000015</v>
      </c>
      <c r="Z41" s="1796">
        <v>67.608100000000007</v>
      </c>
      <c r="AA41" s="1796">
        <v>15.565430000000001</v>
      </c>
      <c r="AB41" s="1796">
        <v>89.040009999999995</v>
      </c>
      <c r="AC41" s="1796">
        <v>16.197600000000001</v>
      </c>
      <c r="AD41" s="1796">
        <v>242.09776000000002</v>
      </c>
      <c r="AE41" s="1796">
        <v>16.829759999999997</v>
      </c>
      <c r="AF41" s="1796">
        <v>532.84492</v>
      </c>
      <c r="AG41" s="1796">
        <v>17.461919999999999</v>
      </c>
      <c r="AH41" s="1796">
        <v>599.43362000000002</v>
      </c>
      <c r="AI41" s="1796">
        <v>18.094080000000002</v>
      </c>
      <c r="AJ41" s="1796">
        <v>673.74757999999997</v>
      </c>
      <c r="AK41" s="1796">
        <v>18.726220000000001</v>
      </c>
      <c r="AL41" s="1796">
        <v>774.74785999999995</v>
      </c>
      <c r="AM41" s="1796">
        <v>19.34836</v>
      </c>
      <c r="AN41" s="1796">
        <v>828.51605000000006</v>
      </c>
      <c r="AO41" s="1796">
        <v>19.990490000000001</v>
      </c>
      <c r="AP41" s="1796">
        <v>943.28592000000003</v>
      </c>
      <c r="AQ41" s="1796">
        <v>20.622619999999998</v>
      </c>
      <c r="AR41" s="1796">
        <v>1037.94271</v>
      </c>
      <c r="AS41" s="1796">
        <v>21.254750000000001</v>
      </c>
      <c r="AT41" s="1796">
        <v>1090.4873700000001</v>
      </c>
      <c r="AU41" s="1796">
        <v>21.886880000000001</v>
      </c>
      <c r="AV41" s="1796">
        <v>1125.8515199999999</v>
      </c>
      <c r="AW41" s="1796">
        <v>22.519009999999998</v>
      </c>
      <c r="AX41" s="1796">
        <v>61.998949999999994</v>
      </c>
      <c r="AY41" s="1796">
        <v>0.63212999999999997</v>
      </c>
      <c r="AZ41" s="1796">
        <v>188.77538000000001</v>
      </c>
      <c r="BA41" s="1796">
        <v>2.8088500000000001</v>
      </c>
      <c r="BB41" s="1796">
        <v>324.43331999999998</v>
      </c>
      <c r="BC41" s="1796">
        <v>1.4743499999999998</v>
      </c>
      <c r="BD41" s="1796">
        <v>752.43362000000002</v>
      </c>
      <c r="BE41" s="1796">
        <v>3.6510700000000003</v>
      </c>
      <c r="BF41" s="1796">
        <v>799.62149999999997</v>
      </c>
      <c r="BG41" s="1796">
        <v>4.0721799999999995</v>
      </c>
      <c r="BH41" s="1796">
        <v>822.95349999999996</v>
      </c>
      <c r="BI41" s="1796">
        <v>26.293290000000002</v>
      </c>
      <c r="BJ41" s="1796">
        <v>874.20627000000002</v>
      </c>
      <c r="BK41" s="1796">
        <v>36.714400000000005</v>
      </c>
      <c r="BL41" s="1796">
        <v>931.79926999999998</v>
      </c>
      <c r="BM41" s="1796">
        <v>37.135510000000004</v>
      </c>
      <c r="BN41" s="1796">
        <v>1025.30034</v>
      </c>
      <c r="BO41" s="1796">
        <v>37.556620000000002</v>
      </c>
      <c r="BP41" s="1796">
        <v>1093.45417</v>
      </c>
      <c r="BQ41" s="1796">
        <v>37.977730000000001</v>
      </c>
      <c r="BR41" s="1796">
        <v>1167.7885200000001</v>
      </c>
      <c r="BS41" s="1796">
        <v>14.84323</v>
      </c>
      <c r="BT41" s="1796">
        <v>1212.5661299999999</v>
      </c>
      <c r="BU41" s="1796">
        <v>38.819949999999999</v>
      </c>
      <c r="BV41" s="1796">
        <v>53.174019999999999</v>
      </c>
      <c r="BW41" s="1796">
        <v>0.42111000000000004</v>
      </c>
      <c r="BX41" s="1796">
        <v>66.11045</v>
      </c>
      <c r="BY41" s="1796">
        <v>0.84222000000000008</v>
      </c>
      <c r="BZ41" s="1796">
        <v>476.62711999999999</v>
      </c>
      <c r="CA41" s="1796">
        <v>18.272169999999999</v>
      </c>
      <c r="CB41" s="1796">
        <v>527.79368999999997</v>
      </c>
      <c r="CC41" s="1796">
        <v>18.272169999999999</v>
      </c>
      <c r="CD41" s="1796">
        <v>592.05367000000001</v>
      </c>
      <c r="CE41" s="1796">
        <v>18.272169999999999</v>
      </c>
      <c r="CF41" s="1796">
        <v>628.06817000000001</v>
      </c>
      <c r="CG41" s="1796">
        <v>18.272169999999999</v>
      </c>
      <c r="CH41" s="1796">
        <v>670.85056000000009</v>
      </c>
      <c r="CI41" s="1796">
        <v>18.272169999999999</v>
      </c>
      <c r="CJ41" s="1796">
        <v>730.83656000000008</v>
      </c>
      <c r="CK41" s="1796">
        <v>18.272169999999999</v>
      </c>
      <c r="CL41" s="1796">
        <v>782.38797</v>
      </c>
      <c r="CM41" s="1796">
        <v>18.272169999999999</v>
      </c>
      <c r="CN41" s="1796">
        <v>811.59412999999995</v>
      </c>
      <c r="CO41" s="1796">
        <v>18.272169999999999</v>
      </c>
      <c r="CP41" s="1796">
        <v>858.5006800000001</v>
      </c>
      <c r="CQ41" s="1796">
        <v>18.272169999999999</v>
      </c>
      <c r="CR41" s="1796">
        <v>898.22616000000005</v>
      </c>
      <c r="CS41" s="1796">
        <v>18.272169999999999</v>
      </c>
      <c r="CT41" s="1796">
        <v>166.61133999999998</v>
      </c>
      <c r="CU41" s="1796">
        <v>0</v>
      </c>
      <c r="CV41" s="1796">
        <v>176.72633999999999</v>
      </c>
      <c r="CW41" s="1796">
        <v>0</v>
      </c>
      <c r="CX41" s="1796">
        <v>573.88420999999994</v>
      </c>
      <c r="CY41" s="1796">
        <v>0</v>
      </c>
      <c r="CZ41" s="1796">
        <v>585.66920999999991</v>
      </c>
      <c r="DA41" s="1796">
        <v>0</v>
      </c>
      <c r="DB41" s="1796">
        <v>668.13387999999998</v>
      </c>
      <c r="DC41" s="1796">
        <v>0</v>
      </c>
      <c r="DD41" s="1796">
        <v>687.94227999999998</v>
      </c>
      <c r="DE41" s="1796">
        <v>0</v>
      </c>
      <c r="DF41" s="1796">
        <v>760.94778000000008</v>
      </c>
      <c r="DG41" s="1796">
        <v>0</v>
      </c>
      <c r="DH41" s="1796">
        <v>813.9826700000001</v>
      </c>
      <c r="DI41" s="1796">
        <v>0</v>
      </c>
      <c r="DJ41" s="1796">
        <v>879.42207999999994</v>
      </c>
      <c r="DK41" s="1796">
        <v>0</v>
      </c>
      <c r="DL41" s="1796">
        <v>882.57208000000003</v>
      </c>
      <c r="DM41" s="1796">
        <v>0</v>
      </c>
      <c r="DN41" s="1796">
        <v>899.35368000000005</v>
      </c>
      <c r="DO41" s="1796">
        <v>0</v>
      </c>
      <c r="DP41" s="1796">
        <v>1041.5200400000001</v>
      </c>
      <c r="DQ41" s="1797">
        <v>0</v>
      </c>
      <c r="DR41" s="1798">
        <v>54.515810000000002</v>
      </c>
      <c r="DS41" s="1799">
        <v>0</v>
      </c>
      <c r="DT41" s="1800">
        <v>82.782799999999995</v>
      </c>
      <c r="DU41" s="1797">
        <v>0</v>
      </c>
      <c r="DV41" s="1798">
        <v>148.32335</v>
      </c>
      <c r="DW41" s="1799">
        <v>0</v>
      </c>
      <c r="DX41" s="1800">
        <v>450.96544</v>
      </c>
      <c r="DY41" s="1797">
        <v>0</v>
      </c>
      <c r="DZ41" s="1798">
        <v>501.13162</v>
      </c>
      <c r="EA41" s="1799">
        <v>0</v>
      </c>
      <c r="EB41" s="1800">
        <v>552.69034999999997</v>
      </c>
      <c r="EC41" s="1797">
        <v>0</v>
      </c>
      <c r="ED41" s="1798">
        <v>603.53944999999999</v>
      </c>
      <c r="EE41" s="1799">
        <v>0</v>
      </c>
      <c r="EF41" s="1798">
        <v>648.68970000000002</v>
      </c>
      <c r="EG41" s="1799">
        <v>0</v>
      </c>
      <c r="EH41" s="1800">
        <v>703.59090000000003</v>
      </c>
      <c r="EI41" s="1799">
        <v>0</v>
      </c>
      <c r="EJ41" s="1800">
        <v>705.98054000000002</v>
      </c>
      <c r="EK41" s="1799">
        <v>0</v>
      </c>
      <c r="EL41" s="1798">
        <v>748.14004</v>
      </c>
      <c r="EM41" s="1801">
        <v>0</v>
      </c>
      <c r="EN41" s="1798">
        <v>851.70090000000005</v>
      </c>
      <c r="EO41" s="1801">
        <v>0</v>
      </c>
      <c r="EP41" s="1798">
        <v>63.844910000000006</v>
      </c>
      <c r="EQ41" s="1801">
        <v>0</v>
      </c>
      <c r="ER41" s="1798">
        <v>70.420240000000007</v>
      </c>
      <c r="ES41" s="1801">
        <v>0</v>
      </c>
      <c r="ET41" s="1798">
        <v>147.96654000000001</v>
      </c>
      <c r="EU41" s="1801">
        <v>0</v>
      </c>
      <c r="EV41" s="1798">
        <v>477.53044</v>
      </c>
      <c r="EW41" s="1801">
        <v>0</v>
      </c>
      <c r="EX41" s="1798">
        <v>523.08205999999996</v>
      </c>
      <c r="EY41" s="1801">
        <v>0</v>
      </c>
      <c r="EZ41" s="1798">
        <v>568.98235999999997</v>
      </c>
      <c r="FA41" s="1801">
        <v>0</v>
      </c>
      <c r="FB41" s="1798">
        <v>581.40736000000004</v>
      </c>
      <c r="FC41" s="1801">
        <v>0</v>
      </c>
      <c r="FD41" s="1798">
        <v>675.54061000000002</v>
      </c>
      <c r="FE41" s="1801">
        <v>0</v>
      </c>
      <c r="FF41" s="1798">
        <v>756.97481000000005</v>
      </c>
      <c r="FG41" s="1801">
        <v>0</v>
      </c>
      <c r="FH41" s="1798">
        <v>775.00581</v>
      </c>
      <c r="FI41" s="1801">
        <v>0</v>
      </c>
      <c r="FJ41" s="1798">
        <v>805.77395000000001</v>
      </c>
      <c r="FK41" s="1801">
        <v>0</v>
      </c>
      <c r="FL41" s="1798">
        <v>894.43224999999995</v>
      </c>
      <c r="FM41" s="1801">
        <v>0</v>
      </c>
      <c r="FN41" s="1798">
        <v>83.509169999999997</v>
      </c>
      <c r="FO41" s="1801">
        <v>0</v>
      </c>
      <c r="FP41" s="1798">
        <v>99.137169999999998</v>
      </c>
      <c r="FQ41" s="1801">
        <v>0</v>
      </c>
      <c r="FR41" s="1798">
        <v>145.57039</v>
      </c>
      <c r="FS41" s="1801">
        <v>0</v>
      </c>
      <c r="FT41" s="1798">
        <v>178.71959000000001</v>
      </c>
      <c r="FU41" s="1801">
        <v>0</v>
      </c>
      <c r="FV41" s="1798">
        <v>512.04578000000004</v>
      </c>
      <c r="FW41" s="1801">
        <v>0</v>
      </c>
      <c r="FX41" s="1798">
        <v>537.54589999999996</v>
      </c>
      <c r="FY41" s="1801">
        <v>0</v>
      </c>
      <c r="FZ41" s="1798">
        <v>584.66152</v>
      </c>
      <c r="GA41" s="1801">
        <v>0</v>
      </c>
      <c r="GB41" s="1798">
        <v>650.42096000000004</v>
      </c>
      <c r="GC41" s="1801">
        <v>0</v>
      </c>
      <c r="GD41" s="1798">
        <v>718.53456000000006</v>
      </c>
      <c r="GE41" s="1801">
        <v>0</v>
      </c>
      <c r="GF41" s="1798">
        <v>740.31705999999997</v>
      </c>
      <c r="GG41" s="1801">
        <v>0</v>
      </c>
      <c r="GH41" s="1798">
        <v>749.61605999999995</v>
      </c>
      <c r="GI41" s="1801">
        <v>0</v>
      </c>
      <c r="GJ41" s="1798">
        <v>804.13508999999999</v>
      </c>
      <c r="GK41" s="1801">
        <v>0</v>
      </c>
      <c r="GL41" s="1798">
        <v>96.453909999999993</v>
      </c>
      <c r="GM41" s="1801">
        <v>0</v>
      </c>
      <c r="GN41" s="1798">
        <v>98.695909999999998</v>
      </c>
      <c r="GO41" s="1801">
        <v>0</v>
      </c>
      <c r="GP41" s="1798">
        <v>124.54200999999999</v>
      </c>
      <c r="GQ41" s="1801">
        <v>0</v>
      </c>
      <c r="GR41" s="1798">
        <v>161.23505</v>
      </c>
      <c r="GS41" s="1801">
        <v>0</v>
      </c>
      <c r="GT41" s="1798">
        <v>194.62790000000001</v>
      </c>
      <c r="GU41" s="1801">
        <v>0</v>
      </c>
      <c r="GV41" s="1798">
        <v>355.00020999999998</v>
      </c>
      <c r="GW41" s="1801">
        <v>0</v>
      </c>
      <c r="GX41" s="1798">
        <v>387.29313000000002</v>
      </c>
      <c r="GY41" s="1801">
        <v>0</v>
      </c>
      <c r="GZ41" s="1798">
        <v>407.93113</v>
      </c>
      <c r="HA41" s="1801">
        <v>0</v>
      </c>
      <c r="HB41" s="1798">
        <v>553.39719000000002</v>
      </c>
      <c r="HC41" s="1801">
        <v>0</v>
      </c>
      <c r="HD41" s="1798">
        <v>595.45519000000002</v>
      </c>
      <c r="HE41" s="1801">
        <v>0</v>
      </c>
      <c r="HF41" s="1798">
        <v>614.25719000000004</v>
      </c>
      <c r="HG41" s="1801">
        <v>0</v>
      </c>
      <c r="HH41" s="1798">
        <v>675.25148999999999</v>
      </c>
      <c r="HI41" s="1801">
        <v>0</v>
      </c>
      <c r="HJ41" s="1798">
        <v>71.405569999999997</v>
      </c>
      <c r="HK41" s="1801">
        <v>0</v>
      </c>
      <c r="HL41" s="1798">
        <v>167.00256999999999</v>
      </c>
      <c r="HM41" s="1801">
        <v>0</v>
      </c>
      <c r="HN41" s="1798">
        <v>203.93504999999999</v>
      </c>
      <c r="HO41" s="1801">
        <v>0</v>
      </c>
      <c r="HP41" s="1798">
        <v>246.16299000000001</v>
      </c>
      <c r="HQ41" s="1801">
        <v>0</v>
      </c>
      <c r="HR41" s="1798">
        <v>267.39087999999998</v>
      </c>
      <c r="HS41" s="1801">
        <v>0</v>
      </c>
      <c r="HT41" s="1798">
        <v>275.83789999999999</v>
      </c>
      <c r="HU41" s="1801">
        <v>0</v>
      </c>
      <c r="HV41" s="1802" t="s">
        <v>3192</v>
      </c>
    </row>
    <row r="42" spans="1:233" s="1774" customFormat="1" ht="22.5" customHeight="1">
      <c r="A42" s="1795" t="s">
        <v>2282</v>
      </c>
      <c r="B42" s="1796">
        <v>0</v>
      </c>
      <c r="C42" s="1796">
        <v>0</v>
      </c>
      <c r="D42" s="1796">
        <v>26.929490000000001</v>
      </c>
      <c r="E42" s="1796">
        <v>27.99999</v>
      </c>
      <c r="F42" s="1796">
        <v>27.479490000000002</v>
      </c>
      <c r="G42" s="1796">
        <v>45.935989999999997</v>
      </c>
      <c r="H42" s="1796">
        <v>27.479490000000002</v>
      </c>
      <c r="I42" s="1796">
        <v>45.935989999999997</v>
      </c>
      <c r="J42" s="1796">
        <v>27.479490000000002</v>
      </c>
      <c r="K42" s="1796">
        <v>45.935989999999997</v>
      </c>
      <c r="L42" s="1796">
        <v>27.479490000000002</v>
      </c>
      <c r="M42" s="1796">
        <v>45.935989999999997</v>
      </c>
      <c r="N42" s="1796">
        <v>27.479490000000002</v>
      </c>
      <c r="O42" s="1796">
        <v>45.935989999999997</v>
      </c>
      <c r="P42" s="1796">
        <v>28.519490000000001</v>
      </c>
      <c r="Q42" s="1796">
        <v>45.935989999999997</v>
      </c>
      <c r="R42" s="1796">
        <v>28.909490000000002</v>
      </c>
      <c r="S42" s="1796">
        <v>45.935989999999997</v>
      </c>
      <c r="T42" s="1796">
        <v>28.909490000000002</v>
      </c>
      <c r="U42" s="1796">
        <v>45.935989999999997</v>
      </c>
      <c r="V42" s="1796">
        <v>28.909490000000002</v>
      </c>
      <c r="W42" s="1796">
        <v>75.935990000000004</v>
      </c>
      <c r="X42" s="1796">
        <v>28.909490000000002</v>
      </c>
      <c r="Y42" s="1796">
        <v>75.935990000000004</v>
      </c>
      <c r="Z42" s="1796">
        <v>34.5</v>
      </c>
      <c r="AA42" s="1796">
        <v>0</v>
      </c>
      <c r="AB42" s="1796">
        <v>50.199949999999994</v>
      </c>
      <c r="AC42" s="1796">
        <v>0</v>
      </c>
      <c r="AD42" s="1796">
        <v>50.2</v>
      </c>
      <c r="AE42" s="1796">
        <v>0</v>
      </c>
      <c r="AF42" s="1796">
        <v>50.199949999999994</v>
      </c>
      <c r="AG42" s="1796">
        <v>0</v>
      </c>
      <c r="AH42" s="1796">
        <v>50.199949999999994</v>
      </c>
      <c r="AI42" s="1796">
        <v>0</v>
      </c>
      <c r="AJ42" s="1796">
        <v>50.199949999999994</v>
      </c>
      <c r="AK42" s="1796">
        <v>0</v>
      </c>
      <c r="AL42" s="1796">
        <v>50.199949999999994</v>
      </c>
      <c r="AM42" s="1796">
        <v>0</v>
      </c>
      <c r="AN42" s="1796">
        <v>50.199949999999994</v>
      </c>
      <c r="AO42" s="1796">
        <v>0</v>
      </c>
      <c r="AP42" s="1796">
        <v>50.396180000000001</v>
      </c>
      <c r="AQ42" s="1796">
        <v>0</v>
      </c>
      <c r="AR42" s="1796">
        <v>50.396180000000001</v>
      </c>
      <c r="AS42" s="1796">
        <v>0</v>
      </c>
      <c r="AT42" s="1796">
        <v>50.396180000000001</v>
      </c>
      <c r="AU42" s="1796">
        <v>0</v>
      </c>
      <c r="AV42" s="1796">
        <v>50.396180000000001</v>
      </c>
      <c r="AW42" s="1796">
        <v>0</v>
      </c>
      <c r="AX42" s="1796">
        <v>0</v>
      </c>
      <c r="AY42" s="1796">
        <v>0</v>
      </c>
      <c r="AZ42" s="1796">
        <v>0</v>
      </c>
      <c r="BA42" s="1796">
        <v>0</v>
      </c>
      <c r="BB42" s="1796">
        <v>0</v>
      </c>
      <c r="BC42" s="1796">
        <v>0</v>
      </c>
      <c r="BD42" s="1796">
        <v>0</v>
      </c>
      <c r="BE42" s="1796">
        <v>0</v>
      </c>
      <c r="BF42" s="1796">
        <v>0</v>
      </c>
      <c r="BG42" s="1796">
        <v>0</v>
      </c>
      <c r="BH42" s="1796">
        <v>0</v>
      </c>
      <c r="BI42" s="1796">
        <v>0</v>
      </c>
      <c r="BJ42" s="1796">
        <v>0</v>
      </c>
      <c r="BK42" s="1796">
        <v>0</v>
      </c>
      <c r="BL42" s="1796">
        <v>0</v>
      </c>
      <c r="BM42" s="1796">
        <v>0</v>
      </c>
      <c r="BN42" s="1796">
        <v>0</v>
      </c>
      <c r="BO42" s="1796">
        <v>0</v>
      </c>
      <c r="BP42" s="1796">
        <v>0</v>
      </c>
      <c r="BQ42" s="1796">
        <v>0</v>
      </c>
      <c r="BR42" s="1796">
        <v>0</v>
      </c>
      <c r="BS42" s="1796">
        <v>0</v>
      </c>
      <c r="BT42" s="1796">
        <v>0</v>
      </c>
      <c r="BU42" s="1796">
        <v>0</v>
      </c>
      <c r="BV42" s="1796">
        <v>0</v>
      </c>
      <c r="BW42" s="1796">
        <v>0</v>
      </c>
      <c r="BX42" s="1796">
        <v>0</v>
      </c>
      <c r="BY42" s="1796">
        <v>0</v>
      </c>
      <c r="BZ42" s="1796">
        <v>0</v>
      </c>
      <c r="CA42" s="1796">
        <v>0</v>
      </c>
      <c r="CB42" s="1796">
        <v>0</v>
      </c>
      <c r="CC42" s="1796">
        <v>0</v>
      </c>
      <c r="CD42" s="1796">
        <v>0</v>
      </c>
      <c r="CE42" s="1796">
        <v>0</v>
      </c>
      <c r="CF42" s="1796">
        <v>0</v>
      </c>
      <c r="CG42" s="1796">
        <v>2.6538600000000003</v>
      </c>
      <c r="CH42" s="1796">
        <v>0</v>
      </c>
      <c r="CI42" s="1796">
        <v>2.6538600000000003</v>
      </c>
      <c r="CJ42" s="1796">
        <v>0</v>
      </c>
      <c r="CK42" s="1796">
        <v>2.6538600000000003</v>
      </c>
      <c r="CL42" s="1796">
        <v>0</v>
      </c>
      <c r="CM42" s="1796">
        <v>2.6538600000000003</v>
      </c>
      <c r="CN42" s="1796">
        <v>0</v>
      </c>
      <c r="CO42" s="1796">
        <v>2.6538600000000003</v>
      </c>
      <c r="CP42" s="1796">
        <v>0</v>
      </c>
      <c r="CQ42" s="1796">
        <v>2.6538600000000003</v>
      </c>
      <c r="CR42" s="1796">
        <v>0</v>
      </c>
      <c r="CS42" s="1796">
        <v>2.6538600000000003</v>
      </c>
      <c r="CT42" s="1796">
        <v>0</v>
      </c>
      <c r="CU42" s="1796">
        <v>0</v>
      </c>
      <c r="CV42" s="1796">
        <v>0</v>
      </c>
      <c r="CW42" s="1796">
        <v>0</v>
      </c>
      <c r="CX42" s="1796">
        <v>0</v>
      </c>
      <c r="CY42" s="1796">
        <v>0</v>
      </c>
      <c r="CZ42" s="1796">
        <v>0</v>
      </c>
      <c r="DA42" s="1796">
        <v>0</v>
      </c>
      <c r="DB42" s="1796">
        <v>0</v>
      </c>
      <c r="DC42" s="1796">
        <v>0</v>
      </c>
      <c r="DD42" s="1796">
        <v>0</v>
      </c>
      <c r="DE42" s="1796">
        <v>0</v>
      </c>
      <c r="DF42" s="1796">
        <v>0</v>
      </c>
      <c r="DG42" s="1796">
        <v>0</v>
      </c>
      <c r="DH42" s="1796">
        <v>0</v>
      </c>
      <c r="DI42" s="1796">
        <v>0</v>
      </c>
      <c r="DJ42" s="1796">
        <v>0</v>
      </c>
      <c r="DK42" s="1796">
        <v>0</v>
      </c>
      <c r="DL42" s="1796">
        <v>0</v>
      </c>
      <c r="DM42" s="1796">
        <v>0</v>
      </c>
      <c r="DN42" s="1796">
        <v>0</v>
      </c>
      <c r="DO42" s="1796">
        <v>0</v>
      </c>
      <c r="DP42" s="1796">
        <v>0</v>
      </c>
      <c r="DQ42" s="1797">
        <v>0</v>
      </c>
      <c r="DR42" s="1798">
        <v>0</v>
      </c>
      <c r="DS42" s="1799">
        <v>0</v>
      </c>
      <c r="DT42" s="1800">
        <v>0</v>
      </c>
      <c r="DU42" s="1797">
        <v>0</v>
      </c>
      <c r="DV42" s="1798">
        <v>0</v>
      </c>
      <c r="DW42" s="1799">
        <v>0</v>
      </c>
      <c r="DX42" s="1800">
        <v>0</v>
      </c>
      <c r="DY42" s="1797">
        <v>0</v>
      </c>
      <c r="DZ42" s="1798">
        <v>0</v>
      </c>
      <c r="EA42" s="1799">
        <v>0</v>
      </c>
      <c r="EB42" s="1800">
        <v>0</v>
      </c>
      <c r="EC42" s="1797">
        <v>0</v>
      </c>
      <c r="ED42" s="1798">
        <v>0</v>
      </c>
      <c r="EE42" s="1799">
        <v>0</v>
      </c>
      <c r="EF42" s="1798">
        <v>0</v>
      </c>
      <c r="EG42" s="1799">
        <v>0</v>
      </c>
      <c r="EH42" s="1800">
        <v>0</v>
      </c>
      <c r="EI42" s="1799">
        <v>0</v>
      </c>
      <c r="EJ42" s="1800">
        <v>0.93500000000000005</v>
      </c>
      <c r="EK42" s="1799">
        <v>0</v>
      </c>
      <c r="EL42" s="1798">
        <v>43.86</v>
      </c>
      <c r="EM42" s="1801">
        <v>0</v>
      </c>
      <c r="EN42" s="1798">
        <v>44.37</v>
      </c>
      <c r="EO42" s="1801">
        <v>0</v>
      </c>
      <c r="EP42" s="1798">
        <v>0</v>
      </c>
      <c r="EQ42" s="1801">
        <v>0</v>
      </c>
      <c r="ER42" s="1798">
        <v>1.7</v>
      </c>
      <c r="ES42" s="1801">
        <v>0</v>
      </c>
      <c r="ET42" s="1798">
        <v>2.5499999999999998</v>
      </c>
      <c r="EU42" s="1801">
        <v>0</v>
      </c>
      <c r="EV42" s="1798">
        <v>3.4</v>
      </c>
      <c r="EW42" s="1801">
        <v>0</v>
      </c>
      <c r="EX42" s="1798">
        <v>4.25</v>
      </c>
      <c r="EY42" s="1801">
        <v>0</v>
      </c>
      <c r="EZ42" s="1798">
        <v>45.475000000000001</v>
      </c>
      <c r="FA42" s="1801">
        <v>0</v>
      </c>
      <c r="FB42" s="1798">
        <v>48.024999999999999</v>
      </c>
      <c r="FC42" s="1801">
        <v>0</v>
      </c>
      <c r="FD42" s="1798">
        <v>48.45</v>
      </c>
      <c r="FE42" s="1801">
        <v>0</v>
      </c>
      <c r="FF42" s="1798">
        <v>59.524999999999999</v>
      </c>
      <c r="FG42" s="1801">
        <v>0</v>
      </c>
      <c r="FH42" s="1798">
        <v>62.075000000000003</v>
      </c>
      <c r="FI42" s="1801">
        <v>0</v>
      </c>
      <c r="FJ42" s="1798">
        <v>63.435000000000002</v>
      </c>
      <c r="FK42" s="1801">
        <v>0</v>
      </c>
      <c r="FL42" s="1798">
        <v>131.52000000000001</v>
      </c>
      <c r="FM42" s="1801">
        <v>0</v>
      </c>
      <c r="FN42" s="1798">
        <v>17.425000000000001</v>
      </c>
      <c r="FO42" s="1801">
        <v>0</v>
      </c>
      <c r="FP42" s="1798">
        <v>18.7</v>
      </c>
      <c r="FQ42" s="1801">
        <v>3.1535000000000002</v>
      </c>
      <c r="FR42" s="1798">
        <v>19.975000000000001</v>
      </c>
      <c r="FS42" s="1801">
        <v>3.1535000000000002</v>
      </c>
      <c r="FT42" s="1798">
        <v>22.524999999999999</v>
      </c>
      <c r="FU42" s="1801">
        <v>3.1535000000000002</v>
      </c>
      <c r="FV42" s="1798">
        <v>22.524999999999999</v>
      </c>
      <c r="FW42" s="1801">
        <v>3.1535000000000002</v>
      </c>
      <c r="FX42" s="1798">
        <v>25.074999999999999</v>
      </c>
      <c r="FY42" s="1801">
        <v>3.1535000000000002</v>
      </c>
      <c r="FZ42" s="1798">
        <v>26.35</v>
      </c>
      <c r="GA42" s="1801">
        <v>3.1535000000000002</v>
      </c>
      <c r="GB42" s="1798">
        <v>53.89</v>
      </c>
      <c r="GC42" s="1801">
        <v>3.1535000000000002</v>
      </c>
      <c r="GD42" s="1798">
        <v>58.674999999999997</v>
      </c>
      <c r="GE42" s="1801">
        <v>3.1535000000000002</v>
      </c>
      <c r="GF42" s="1798">
        <v>60.375</v>
      </c>
      <c r="GG42" s="1801">
        <v>3.1535000000000002</v>
      </c>
      <c r="GH42" s="1798">
        <v>61.225000000000001</v>
      </c>
      <c r="GI42" s="1801">
        <v>3.1535000000000002</v>
      </c>
      <c r="GJ42" s="1798">
        <v>62.924999999999997</v>
      </c>
      <c r="GK42" s="1801">
        <v>3.1535000000000002</v>
      </c>
      <c r="GL42" s="1798">
        <v>0.42499999999999999</v>
      </c>
      <c r="GM42" s="1801">
        <v>0</v>
      </c>
      <c r="GN42" s="1798">
        <v>0.85</v>
      </c>
      <c r="GO42" s="1801">
        <v>0</v>
      </c>
      <c r="GP42" s="1798">
        <v>2.6723400000000002</v>
      </c>
      <c r="GQ42" s="1801">
        <v>0</v>
      </c>
      <c r="GR42" s="1798">
        <v>6.4973400000000003</v>
      </c>
      <c r="GS42" s="1801">
        <v>0</v>
      </c>
      <c r="GT42" s="1798">
        <v>7.5194400000000003</v>
      </c>
      <c r="GU42" s="1801">
        <v>0</v>
      </c>
      <c r="GV42" s="1798">
        <v>9.6444399999999995</v>
      </c>
      <c r="GW42" s="1801">
        <v>0</v>
      </c>
      <c r="GX42" s="1798">
        <v>26.644439999999999</v>
      </c>
      <c r="GY42" s="1801">
        <v>0.83752000000000004</v>
      </c>
      <c r="GZ42" s="1798">
        <v>29.19444</v>
      </c>
      <c r="HA42" s="1801">
        <v>0.83752000000000004</v>
      </c>
      <c r="HB42" s="1798">
        <v>36.529440000000001</v>
      </c>
      <c r="HC42" s="1801">
        <v>0.83752000000000004</v>
      </c>
      <c r="HD42" s="1798">
        <v>37.379440000000002</v>
      </c>
      <c r="HE42" s="1801">
        <v>0.83752000000000004</v>
      </c>
      <c r="HF42" s="1798">
        <v>38.53201</v>
      </c>
      <c r="HG42" s="1801">
        <v>0.83752000000000004</v>
      </c>
      <c r="HH42" s="1798">
        <v>178.78706</v>
      </c>
      <c r="HI42" s="1801">
        <v>0.83752000000000004</v>
      </c>
      <c r="HJ42" s="1798">
        <v>2.125</v>
      </c>
      <c r="HK42" s="1801">
        <v>0</v>
      </c>
      <c r="HL42" s="1798">
        <v>5.1202300000000003</v>
      </c>
      <c r="HM42" s="1801">
        <v>0</v>
      </c>
      <c r="HN42" s="1798">
        <v>9.3058700000000005</v>
      </c>
      <c r="HO42" s="1801">
        <v>0</v>
      </c>
      <c r="HP42" s="1798">
        <v>12.56499</v>
      </c>
      <c r="HQ42" s="1801">
        <v>0</v>
      </c>
      <c r="HR42" s="1798">
        <v>13.51492</v>
      </c>
      <c r="HS42" s="1801">
        <v>0</v>
      </c>
      <c r="HT42" s="1798">
        <v>31.364920000000001</v>
      </c>
      <c r="HU42" s="1801">
        <v>0</v>
      </c>
      <c r="HV42" s="1802" t="s">
        <v>3423</v>
      </c>
    </row>
    <row r="43" spans="1:233" s="1774" customFormat="1" ht="22.5" customHeight="1">
      <c r="A43" s="1795" t="s">
        <v>2281</v>
      </c>
      <c r="B43" s="1796">
        <v>0</v>
      </c>
      <c r="C43" s="1796">
        <v>0</v>
      </c>
      <c r="D43" s="1796">
        <v>162.97541000000001</v>
      </c>
      <c r="E43" s="1796">
        <v>0</v>
      </c>
      <c r="F43" s="1796">
        <v>162.97541000000001</v>
      </c>
      <c r="G43" s="1796">
        <v>0</v>
      </c>
      <c r="H43" s="1796">
        <v>162.97541000000001</v>
      </c>
      <c r="I43" s="1796">
        <v>0</v>
      </c>
      <c r="J43" s="1796">
        <v>162.97541000000001</v>
      </c>
      <c r="K43" s="1796">
        <v>0</v>
      </c>
      <c r="L43" s="1796">
        <v>162.97541000000001</v>
      </c>
      <c r="M43" s="1796">
        <v>0</v>
      </c>
      <c r="N43" s="1796">
        <v>162.97541000000001</v>
      </c>
      <c r="O43" s="1796">
        <v>0</v>
      </c>
      <c r="P43" s="1796">
        <v>231.00341</v>
      </c>
      <c r="Q43" s="1796">
        <v>0</v>
      </c>
      <c r="R43" s="1796">
        <v>231.00341</v>
      </c>
      <c r="S43" s="1796">
        <v>0</v>
      </c>
      <c r="T43" s="1796">
        <v>249.19662</v>
      </c>
      <c r="U43" s="1796">
        <v>0</v>
      </c>
      <c r="V43" s="1796">
        <v>249.19662</v>
      </c>
      <c r="W43" s="1796">
        <v>0</v>
      </c>
      <c r="X43" s="1796">
        <v>249.19662</v>
      </c>
      <c r="Y43" s="1796">
        <v>0</v>
      </c>
      <c r="Z43" s="1796">
        <v>0</v>
      </c>
      <c r="AA43" s="1796">
        <v>0</v>
      </c>
      <c r="AB43" s="1796">
        <v>161.96679999999998</v>
      </c>
      <c r="AC43" s="1796">
        <v>0</v>
      </c>
      <c r="AD43" s="1796">
        <v>182.20479</v>
      </c>
      <c r="AE43" s="1796">
        <v>0</v>
      </c>
      <c r="AF43" s="1796">
        <v>182.20479</v>
      </c>
      <c r="AG43" s="1796">
        <v>0</v>
      </c>
      <c r="AH43" s="1796">
        <v>182.20479</v>
      </c>
      <c r="AI43" s="1796">
        <v>0</v>
      </c>
      <c r="AJ43" s="1796">
        <v>182.20479</v>
      </c>
      <c r="AK43" s="1796">
        <v>0</v>
      </c>
      <c r="AL43" s="1796">
        <v>182.20479</v>
      </c>
      <c r="AM43" s="1796">
        <v>0</v>
      </c>
      <c r="AN43" s="1796">
        <v>209.39558</v>
      </c>
      <c r="AO43" s="1796">
        <v>0</v>
      </c>
      <c r="AP43" s="1796">
        <v>227.54558</v>
      </c>
      <c r="AQ43" s="1796">
        <v>0</v>
      </c>
      <c r="AR43" s="1796">
        <v>227.58557999999999</v>
      </c>
      <c r="AS43" s="1796">
        <v>0</v>
      </c>
      <c r="AT43" s="1796">
        <v>227.58557999999999</v>
      </c>
      <c r="AU43" s="1796">
        <v>0</v>
      </c>
      <c r="AV43" s="1796">
        <v>269.89418999999998</v>
      </c>
      <c r="AW43" s="1796">
        <v>0</v>
      </c>
      <c r="AX43" s="1796">
        <v>0</v>
      </c>
      <c r="AY43" s="1796">
        <v>0</v>
      </c>
      <c r="AZ43" s="1796">
        <v>226.0881</v>
      </c>
      <c r="BA43" s="1796">
        <v>0</v>
      </c>
      <c r="BB43" s="1796">
        <v>301.55164000000002</v>
      </c>
      <c r="BC43" s="1796">
        <v>0</v>
      </c>
      <c r="BD43" s="1796">
        <v>306.12634000000003</v>
      </c>
      <c r="BE43" s="1796">
        <v>0</v>
      </c>
      <c r="BF43" s="1796">
        <v>306.12634000000003</v>
      </c>
      <c r="BG43" s="1796">
        <v>0</v>
      </c>
      <c r="BH43" s="1796">
        <v>306.12634000000003</v>
      </c>
      <c r="BI43" s="1796">
        <v>0</v>
      </c>
      <c r="BJ43" s="1796">
        <v>316.76834000000002</v>
      </c>
      <c r="BK43" s="1796">
        <v>0</v>
      </c>
      <c r="BL43" s="1796">
        <v>343.54164000000003</v>
      </c>
      <c r="BM43" s="1796">
        <v>0</v>
      </c>
      <c r="BN43" s="1796">
        <v>343.54164000000003</v>
      </c>
      <c r="BO43" s="1796">
        <v>0</v>
      </c>
      <c r="BP43" s="1796">
        <v>343.54164000000003</v>
      </c>
      <c r="BQ43" s="1796">
        <v>0</v>
      </c>
      <c r="BR43" s="1796">
        <v>353.60179999999997</v>
      </c>
      <c r="BS43" s="1796">
        <v>0</v>
      </c>
      <c r="BT43" s="1796">
        <v>361.1345</v>
      </c>
      <c r="BU43" s="1796">
        <v>0</v>
      </c>
      <c r="BV43" s="1796">
        <v>0</v>
      </c>
      <c r="BW43" s="1796">
        <v>0</v>
      </c>
      <c r="BX43" s="1796">
        <v>74.994880000000009</v>
      </c>
      <c r="BY43" s="1796">
        <v>0</v>
      </c>
      <c r="BZ43" s="1796">
        <v>74.994880000000009</v>
      </c>
      <c r="CA43" s="1796">
        <v>0</v>
      </c>
      <c r="CB43" s="1796">
        <v>74.994880000000009</v>
      </c>
      <c r="CC43" s="1796">
        <v>0</v>
      </c>
      <c r="CD43" s="1796">
        <v>74.994880000000009</v>
      </c>
      <c r="CE43" s="1796">
        <v>0</v>
      </c>
      <c r="CF43" s="1796">
        <v>86.230829999999997</v>
      </c>
      <c r="CG43" s="1796">
        <v>0</v>
      </c>
      <c r="CH43" s="1796">
        <v>86.230829999999997</v>
      </c>
      <c r="CI43" s="1796">
        <v>0</v>
      </c>
      <c r="CJ43" s="1796">
        <v>86.230829999999997</v>
      </c>
      <c r="CK43" s="1796">
        <v>0</v>
      </c>
      <c r="CL43" s="1796">
        <v>86.230829999999997</v>
      </c>
      <c r="CM43" s="1796">
        <v>0</v>
      </c>
      <c r="CN43" s="1796">
        <v>86.230829999999997</v>
      </c>
      <c r="CO43" s="1796">
        <v>0</v>
      </c>
      <c r="CP43" s="1796">
        <v>86.230829999999997</v>
      </c>
      <c r="CQ43" s="1796">
        <v>0</v>
      </c>
      <c r="CR43" s="1796">
        <v>86.230829999999997</v>
      </c>
      <c r="CS43" s="1796">
        <v>0</v>
      </c>
      <c r="CT43" s="1796">
        <v>0</v>
      </c>
      <c r="CU43" s="1796">
        <v>0</v>
      </c>
      <c r="CV43" s="1796">
        <v>0</v>
      </c>
      <c r="CW43" s="1796">
        <v>0</v>
      </c>
      <c r="CX43" s="1796">
        <v>215.75262000000001</v>
      </c>
      <c r="CY43" s="1796">
        <v>0</v>
      </c>
      <c r="CZ43" s="1796">
        <v>215.75262000000001</v>
      </c>
      <c r="DA43" s="1796">
        <v>0</v>
      </c>
      <c r="DB43" s="1796">
        <v>215.75262000000001</v>
      </c>
      <c r="DC43" s="1796">
        <v>0</v>
      </c>
      <c r="DD43" s="1796">
        <v>215.75262000000001</v>
      </c>
      <c r="DE43" s="1796">
        <v>0</v>
      </c>
      <c r="DF43" s="1796">
        <v>195.57325</v>
      </c>
      <c r="DG43" s="1796">
        <v>0</v>
      </c>
      <c r="DH43" s="1796">
        <v>226.42676999999998</v>
      </c>
      <c r="DI43" s="1796">
        <v>0</v>
      </c>
      <c r="DJ43" s="1796">
        <v>250.78851999999998</v>
      </c>
      <c r="DK43" s="1796">
        <v>0</v>
      </c>
      <c r="DL43" s="1796">
        <v>250.78852000000001</v>
      </c>
      <c r="DM43" s="1796">
        <v>0</v>
      </c>
      <c r="DN43" s="1796">
        <v>250.78852000000001</v>
      </c>
      <c r="DO43" s="1796">
        <v>0</v>
      </c>
      <c r="DP43" s="1796">
        <v>283.06869999999998</v>
      </c>
      <c r="DQ43" s="1797">
        <v>0</v>
      </c>
      <c r="DR43" s="1798">
        <v>0</v>
      </c>
      <c r="DS43" s="1799">
        <v>0</v>
      </c>
      <c r="DT43" s="1800">
        <v>0</v>
      </c>
      <c r="DU43" s="1797">
        <v>0</v>
      </c>
      <c r="DV43" s="1798">
        <v>88.874430000000004</v>
      </c>
      <c r="DW43" s="1799">
        <v>0</v>
      </c>
      <c r="DX43" s="1800">
        <v>88.874430000000004</v>
      </c>
      <c r="DY43" s="1797">
        <v>0</v>
      </c>
      <c r="DZ43" s="1798">
        <v>88.874430000000004</v>
      </c>
      <c r="EA43" s="1799">
        <v>0</v>
      </c>
      <c r="EB43" s="1800">
        <v>88.874430000000004</v>
      </c>
      <c r="EC43" s="1797">
        <v>0</v>
      </c>
      <c r="ED43" s="1798">
        <v>88.874430000000004</v>
      </c>
      <c r="EE43" s="1799">
        <v>0</v>
      </c>
      <c r="EF43" s="1798">
        <v>120.56413000000001</v>
      </c>
      <c r="EG43" s="1799">
        <v>0</v>
      </c>
      <c r="EH43" s="1800">
        <v>120.56413000000001</v>
      </c>
      <c r="EI43" s="1799">
        <v>0</v>
      </c>
      <c r="EJ43" s="1800">
        <v>120.56413000000001</v>
      </c>
      <c r="EK43" s="1799">
        <v>0</v>
      </c>
      <c r="EL43" s="1798">
        <v>135.86412999999999</v>
      </c>
      <c r="EM43" s="1801">
        <v>0</v>
      </c>
      <c r="EN43" s="1798">
        <v>135.86412999999999</v>
      </c>
      <c r="EO43" s="1801">
        <v>0</v>
      </c>
      <c r="EP43" s="1798">
        <v>0</v>
      </c>
      <c r="EQ43" s="1801">
        <v>0</v>
      </c>
      <c r="ER43" s="1798">
        <v>0</v>
      </c>
      <c r="ES43" s="1801">
        <v>0</v>
      </c>
      <c r="ET43" s="1798">
        <v>87.24615</v>
      </c>
      <c r="EU43" s="1801">
        <v>0</v>
      </c>
      <c r="EV43" s="1798">
        <v>87.24615</v>
      </c>
      <c r="EW43" s="1801">
        <v>0</v>
      </c>
      <c r="EX43" s="1798">
        <v>87.24615</v>
      </c>
      <c r="EY43" s="1801">
        <v>0</v>
      </c>
      <c r="EZ43" s="1798">
        <v>87.24615</v>
      </c>
      <c r="FA43" s="1801">
        <v>0</v>
      </c>
      <c r="FB43" s="1798">
        <v>87.24615</v>
      </c>
      <c r="FC43" s="1801">
        <v>0</v>
      </c>
      <c r="FD43" s="1798">
        <v>87.24615</v>
      </c>
      <c r="FE43" s="1801">
        <v>0</v>
      </c>
      <c r="FF43" s="1798">
        <v>87.24615</v>
      </c>
      <c r="FG43" s="1801">
        <v>0</v>
      </c>
      <c r="FH43" s="1798">
        <v>102.54615</v>
      </c>
      <c r="FI43" s="1801">
        <v>0</v>
      </c>
      <c r="FJ43" s="1798">
        <v>102.54615</v>
      </c>
      <c r="FK43" s="1801">
        <v>0</v>
      </c>
      <c r="FL43" s="1798">
        <v>102.54615</v>
      </c>
      <c r="FM43" s="1801">
        <v>0</v>
      </c>
      <c r="FN43" s="1798">
        <v>0</v>
      </c>
      <c r="FO43" s="1801">
        <v>0</v>
      </c>
      <c r="FP43" s="1798">
        <v>0</v>
      </c>
      <c r="FQ43" s="1801">
        <v>0</v>
      </c>
      <c r="FR43" s="1798">
        <v>0</v>
      </c>
      <c r="FS43" s="1801">
        <v>0</v>
      </c>
      <c r="FT43" s="1798">
        <v>0</v>
      </c>
      <c r="FU43" s="1801">
        <v>0</v>
      </c>
      <c r="FV43" s="1798">
        <v>0</v>
      </c>
      <c r="FW43" s="1801">
        <v>0</v>
      </c>
      <c r="FX43" s="1798">
        <v>0</v>
      </c>
      <c r="FY43" s="1801">
        <v>0</v>
      </c>
      <c r="FZ43" s="1798">
        <v>0</v>
      </c>
      <c r="GA43" s="1801">
        <v>0</v>
      </c>
      <c r="GB43" s="1798">
        <v>0</v>
      </c>
      <c r="GC43" s="1801">
        <v>0</v>
      </c>
      <c r="GD43" s="1798">
        <v>0</v>
      </c>
      <c r="GE43" s="1801">
        <v>0</v>
      </c>
      <c r="GF43" s="1798">
        <v>0</v>
      </c>
      <c r="GG43" s="1801">
        <v>0</v>
      </c>
      <c r="GH43" s="1798">
        <v>15.3</v>
      </c>
      <c r="GI43" s="1801">
        <v>0</v>
      </c>
      <c r="GJ43" s="1798">
        <v>15.3</v>
      </c>
      <c r="GK43" s="1801">
        <v>0</v>
      </c>
      <c r="GL43" s="1798">
        <v>0</v>
      </c>
      <c r="GM43" s="1801">
        <v>0</v>
      </c>
      <c r="GN43" s="1798">
        <v>2117.0323699999999</v>
      </c>
      <c r="GO43" s="1801">
        <v>0</v>
      </c>
      <c r="GP43" s="1798">
        <v>2117.0323699999999</v>
      </c>
      <c r="GQ43" s="1801">
        <v>0</v>
      </c>
      <c r="GR43" s="1798">
        <v>2128.63562</v>
      </c>
      <c r="GS43" s="1801">
        <v>0</v>
      </c>
      <c r="GT43" s="1798">
        <v>2128.63562</v>
      </c>
      <c r="GU43" s="1801">
        <v>0</v>
      </c>
      <c r="GV43" s="1798">
        <v>2136.9690999999998</v>
      </c>
      <c r="GW43" s="1801">
        <v>0</v>
      </c>
      <c r="GX43" s="1798">
        <v>2136.9690999999998</v>
      </c>
      <c r="GY43" s="1801">
        <v>0</v>
      </c>
      <c r="GZ43" s="1798">
        <v>2151.7071500000002</v>
      </c>
      <c r="HA43" s="1801">
        <v>0</v>
      </c>
      <c r="HB43" s="1798">
        <v>2151.7071500000002</v>
      </c>
      <c r="HC43" s="1801">
        <v>0</v>
      </c>
      <c r="HD43" s="1798">
        <v>2151.7071500000002</v>
      </c>
      <c r="HE43" s="1801">
        <v>0</v>
      </c>
      <c r="HF43" s="1798">
        <v>2167.0124900000001</v>
      </c>
      <c r="HG43" s="1801">
        <v>0</v>
      </c>
      <c r="HH43" s="1798">
        <v>2179.04837</v>
      </c>
      <c r="HI43" s="1801">
        <v>0</v>
      </c>
      <c r="HJ43" s="1798">
        <v>6.5670999999999999</v>
      </c>
      <c r="HK43" s="1801">
        <v>0</v>
      </c>
      <c r="HL43" s="1798">
        <v>6.5670999999999999</v>
      </c>
      <c r="HM43" s="1801">
        <v>0</v>
      </c>
      <c r="HN43" s="1798">
        <v>13.367100000000001</v>
      </c>
      <c r="HO43" s="1801">
        <v>0</v>
      </c>
      <c r="HP43" s="1798">
        <v>13.367100000000001</v>
      </c>
      <c r="HQ43" s="1801">
        <v>0</v>
      </c>
      <c r="HR43" s="1798">
        <v>13.367100000000001</v>
      </c>
      <c r="HS43" s="1801">
        <v>0</v>
      </c>
      <c r="HT43" s="1798">
        <v>16.749559999999999</v>
      </c>
      <c r="HU43" s="1801">
        <v>0</v>
      </c>
      <c r="HV43" s="1802" t="s">
        <v>3424</v>
      </c>
    </row>
    <row r="44" spans="1:233" s="1774" customFormat="1" ht="42">
      <c r="A44" s="1795" t="s">
        <v>3066</v>
      </c>
      <c r="B44" s="1796">
        <v>0</v>
      </c>
      <c r="C44" s="1796">
        <v>0</v>
      </c>
      <c r="D44" s="1796">
        <v>0</v>
      </c>
      <c r="E44" s="1796">
        <v>0</v>
      </c>
      <c r="F44" s="1796">
        <v>0</v>
      </c>
      <c r="G44" s="1796">
        <v>0</v>
      </c>
      <c r="H44" s="1796">
        <v>0</v>
      </c>
      <c r="I44" s="1796">
        <v>0</v>
      </c>
      <c r="J44" s="1796">
        <v>0</v>
      </c>
      <c r="K44" s="1796">
        <v>0</v>
      </c>
      <c r="L44" s="1796">
        <v>0</v>
      </c>
      <c r="M44" s="1796">
        <v>0</v>
      </c>
      <c r="N44" s="1796">
        <v>0</v>
      </c>
      <c r="O44" s="1796">
        <v>0</v>
      </c>
      <c r="P44" s="1796">
        <v>0</v>
      </c>
      <c r="Q44" s="1796">
        <v>0</v>
      </c>
      <c r="R44" s="1796">
        <v>0</v>
      </c>
      <c r="S44" s="1796">
        <v>0</v>
      </c>
      <c r="T44" s="1796">
        <v>0</v>
      </c>
      <c r="U44" s="1796">
        <v>0</v>
      </c>
      <c r="V44" s="1796">
        <v>0</v>
      </c>
      <c r="W44" s="1796">
        <v>0</v>
      </c>
      <c r="X44" s="1796">
        <v>0</v>
      </c>
      <c r="Y44" s="1796">
        <v>0</v>
      </c>
      <c r="Z44" s="1796">
        <v>0</v>
      </c>
      <c r="AA44" s="1796">
        <v>0</v>
      </c>
      <c r="AB44" s="1796">
        <v>0</v>
      </c>
      <c r="AC44" s="1796">
        <v>0</v>
      </c>
      <c r="AD44" s="1796">
        <v>0</v>
      </c>
      <c r="AE44" s="1796">
        <v>0</v>
      </c>
      <c r="AF44" s="1796">
        <v>0</v>
      </c>
      <c r="AG44" s="1796">
        <v>0</v>
      </c>
      <c r="AH44" s="1796">
        <v>0</v>
      </c>
      <c r="AI44" s="1796">
        <v>0</v>
      </c>
      <c r="AJ44" s="1796">
        <v>0</v>
      </c>
      <c r="AK44" s="1796">
        <v>0</v>
      </c>
      <c r="AL44" s="1796">
        <v>0</v>
      </c>
      <c r="AM44" s="1796">
        <v>0</v>
      </c>
      <c r="AN44" s="1796">
        <v>0</v>
      </c>
      <c r="AO44" s="1796">
        <v>0</v>
      </c>
      <c r="AP44" s="1796">
        <v>0</v>
      </c>
      <c r="AQ44" s="1796">
        <v>0</v>
      </c>
      <c r="AR44" s="1796">
        <v>0</v>
      </c>
      <c r="AS44" s="1796">
        <v>0</v>
      </c>
      <c r="AT44" s="1796">
        <v>0</v>
      </c>
      <c r="AU44" s="1796">
        <v>0</v>
      </c>
      <c r="AV44" s="1796">
        <v>0</v>
      </c>
      <c r="AW44" s="1796">
        <v>0</v>
      </c>
      <c r="AX44" s="1796"/>
      <c r="AY44" s="1796"/>
      <c r="AZ44" s="1796"/>
      <c r="BA44" s="1796"/>
      <c r="BB44" s="1796"/>
      <c r="BC44" s="1796"/>
      <c r="BD44" s="1796"/>
      <c r="BE44" s="1796"/>
      <c r="BF44" s="1796"/>
      <c r="BG44" s="1796"/>
      <c r="BH44" s="1796"/>
      <c r="BI44" s="1796"/>
      <c r="BJ44" s="1796"/>
      <c r="BK44" s="1796"/>
      <c r="BL44" s="1796"/>
      <c r="BM44" s="1796"/>
      <c r="BN44" s="1796"/>
      <c r="BO44" s="1796"/>
      <c r="BP44" s="1796">
        <v>0</v>
      </c>
      <c r="BQ44" s="1796">
        <v>0</v>
      </c>
      <c r="BR44" s="1796">
        <v>27.335999999999999</v>
      </c>
      <c r="BS44" s="1796">
        <v>0</v>
      </c>
      <c r="BT44" s="1796">
        <v>43.225000000000001</v>
      </c>
      <c r="BU44" s="1796">
        <v>0</v>
      </c>
      <c r="BV44" s="1796">
        <v>0</v>
      </c>
      <c r="BW44" s="1796">
        <v>0</v>
      </c>
      <c r="BX44" s="1796">
        <v>0</v>
      </c>
      <c r="BY44" s="1796">
        <v>0</v>
      </c>
      <c r="BZ44" s="1796">
        <v>0</v>
      </c>
      <c r="CA44" s="1796">
        <v>0</v>
      </c>
      <c r="CB44" s="1796">
        <v>0</v>
      </c>
      <c r="CC44" s="1796">
        <v>0</v>
      </c>
      <c r="CD44" s="1796">
        <v>0</v>
      </c>
      <c r="CE44" s="1796">
        <v>0</v>
      </c>
      <c r="CF44" s="1796">
        <v>0</v>
      </c>
      <c r="CG44" s="1796">
        <v>0</v>
      </c>
      <c r="CH44" s="1796">
        <v>0</v>
      </c>
      <c r="CI44" s="1796">
        <v>0</v>
      </c>
      <c r="CJ44" s="1796">
        <v>0</v>
      </c>
      <c r="CK44" s="1796">
        <v>0</v>
      </c>
      <c r="CL44" s="1796">
        <v>0</v>
      </c>
      <c r="CM44" s="1796">
        <v>0</v>
      </c>
      <c r="CN44" s="1796">
        <v>0</v>
      </c>
      <c r="CO44" s="1796">
        <v>0</v>
      </c>
      <c r="CP44" s="1796">
        <v>0</v>
      </c>
      <c r="CQ44" s="1796">
        <v>0</v>
      </c>
      <c r="CR44" s="1796">
        <v>0</v>
      </c>
      <c r="CS44" s="1796">
        <v>0</v>
      </c>
      <c r="CT44" s="1796">
        <v>0</v>
      </c>
      <c r="CU44" s="1796">
        <v>0</v>
      </c>
      <c r="CV44" s="1796">
        <v>0</v>
      </c>
      <c r="CW44" s="1796">
        <v>0</v>
      </c>
      <c r="CX44" s="1796">
        <v>0</v>
      </c>
      <c r="CY44" s="1796">
        <v>0</v>
      </c>
      <c r="CZ44" s="1796">
        <v>0</v>
      </c>
      <c r="DA44" s="1796">
        <v>0</v>
      </c>
      <c r="DB44" s="1796">
        <v>0</v>
      </c>
      <c r="DC44" s="1796">
        <v>0</v>
      </c>
      <c r="DD44" s="1796">
        <v>0</v>
      </c>
      <c r="DE44" s="1796">
        <v>0</v>
      </c>
      <c r="DF44" s="1796">
        <v>0</v>
      </c>
      <c r="DG44" s="1796">
        <v>0</v>
      </c>
      <c r="DH44" s="1796">
        <v>0</v>
      </c>
      <c r="DI44" s="1796">
        <v>0</v>
      </c>
      <c r="DJ44" s="1796">
        <v>0</v>
      </c>
      <c r="DK44" s="1796">
        <v>0</v>
      </c>
      <c r="DL44" s="1796">
        <v>0</v>
      </c>
      <c r="DM44" s="1796">
        <v>0</v>
      </c>
      <c r="DN44" s="1796">
        <v>0</v>
      </c>
      <c r="DO44" s="1796">
        <v>0</v>
      </c>
      <c r="DP44" s="1796">
        <v>0</v>
      </c>
      <c r="DQ44" s="1797">
        <v>0</v>
      </c>
      <c r="DR44" s="1798">
        <v>0</v>
      </c>
      <c r="DS44" s="1799">
        <v>0</v>
      </c>
      <c r="DT44" s="1800">
        <v>0</v>
      </c>
      <c r="DU44" s="1797">
        <v>0</v>
      </c>
      <c r="DV44" s="1798">
        <v>0</v>
      </c>
      <c r="DW44" s="1799">
        <v>0</v>
      </c>
      <c r="DX44" s="1800">
        <v>0</v>
      </c>
      <c r="DY44" s="1797">
        <v>0</v>
      </c>
      <c r="DZ44" s="1798">
        <v>0</v>
      </c>
      <c r="EA44" s="1799">
        <v>0</v>
      </c>
      <c r="EB44" s="1800">
        <v>0</v>
      </c>
      <c r="EC44" s="1797">
        <v>0</v>
      </c>
      <c r="ED44" s="1798">
        <v>0</v>
      </c>
      <c r="EE44" s="1799">
        <v>0</v>
      </c>
      <c r="EF44" s="1798">
        <v>0</v>
      </c>
      <c r="EG44" s="1799">
        <v>0</v>
      </c>
      <c r="EH44" s="1800">
        <v>0</v>
      </c>
      <c r="EI44" s="1799">
        <v>0</v>
      </c>
      <c r="EJ44" s="1800">
        <v>0</v>
      </c>
      <c r="EK44" s="1799">
        <v>0</v>
      </c>
      <c r="EL44" s="1798">
        <v>0</v>
      </c>
      <c r="EM44" s="1801">
        <v>0</v>
      </c>
      <c r="EN44" s="1798">
        <v>0</v>
      </c>
      <c r="EO44" s="1801">
        <v>0</v>
      </c>
      <c r="EP44" s="1798">
        <v>0</v>
      </c>
      <c r="EQ44" s="1801">
        <v>0</v>
      </c>
      <c r="ER44" s="1798">
        <v>0</v>
      </c>
      <c r="ES44" s="1801">
        <v>0</v>
      </c>
      <c r="ET44" s="1798">
        <v>0</v>
      </c>
      <c r="EU44" s="1801">
        <v>0</v>
      </c>
      <c r="EV44" s="1798">
        <v>0</v>
      </c>
      <c r="EW44" s="1801">
        <v>0</v>
      </c>
      <c r="EX44" s="1798">
        <v>0</v>
      </c>
      <c r="EY44" s="1801">
        <v>0</v>
      </c>
      <c r="EZ44" s="1798">
        <v>0</v>
      </c>
      <c r="FA44" s="1801">
        <v>0</v>
      </c>
      <c r="FB44" s="1798">
        <v>0</v>
      </c>
      <c r="FC44" s="1801">
        <v>0</v>
      </c>
      <c r="FD44" s="1798">
        <v>0</v>
      </c>
      <c r="FE44" s="1801">
        <v>0</v>
      </c>
      <c r="FF44" s="1798">
        <v>0</v>
      </c>
      <c r="FG44" s="1801">
        <v>0</v>
      </c>
      <c r="FH44" s="1798">
        <v>0</v>
      </c>
      <c r="FI44" s="1801">
        <v>0</v>
      </c>
      <c r="FJ44" s="1798">
        <v>0</v>
      </c>
      <c r="FK44" s="1801">
        <v>0</v>
      </c>
      <c r="FL44" s="1798">
        <v>0</v>
      </c>
      <c r="FM44" s="1801">
        <v>0</v>
      </c>
      <c r="FN44" s="1798">
        <v>0</v>
      </c>
      <c r="FO44" s="1801">
        <v>0</v>
      </c>
      <c r="FP44" s="1798">
        <v>0</v>
      </c>
      <c r="FQ44" s="1801">
        <v>0</v>
      </c>
      <c r="FR44" s="1798">
        <v>0</v>
      </c>
      <c r="FS44" s="1801">
        <v>0</v>
      </c>
      <c r="FT44" s="1798">
        <v>0</v>
      </c>
      <c r="FU44" s="1801">
        <v>0</v>
      </c>
      <c r="FV44" s="1798">
        <v>0</v>
      </c>
      <c r="FW44" s="1801">
        <v>0</v>
      </c>
      <c r="FX44" s="1798">
        <v>0</v>
      </c>
      <c r="FY44" s="1801">
        <v>0</v>
      </c>
      <c r="FZ44" s="1798">
        <v>0</v>
      </c>
      <c r="GA44" s="1801">
        <v>0</v>
      </c>
      <c r="GB44" s="1798">
        <v>0</v>
      </c>
      <c r="GC44" s="1801">
        <v>0</v>
      </c>
      <c r="GD44" s="1798">
        <v>0</v>
      </c>
      <c r="GE44" s="1801">
        <v>0</v>
      </c>
      <c r="GF44" s="1798">
        <v>0</v>
      </c>
      <c r="GG44" s="1801">
        <v>0</v>
      </c>
      <c r="GH44" s="1798">
        <v>0</v>
      </c>
      <c r="GI44" s="1801">
        <v>0</v>
      </c>
      <c r="GJ44" s="1798">
        <v>0</v>
      </c>
      <c r="GK44" s="1801">
        <v>0</v>
      </c>
      <c r="GL44" s="1798">
        <v>0</v>
      </c>
      <c r="GM44" s="1801">
        <v>0</v>
      </c>
      <c r="GN44" s="1798">
        <v>0</v>
      </c>
      <c r="GO44" s="1801">
        <v>0</v>
      </c>
      <c r="GP44" s="1798">
        <v>0</v>
      </c>
      <c r="GQ44" s="1801">
        <v>0</v>
      </c>
      <c r="GR44" s="1798">
        <v>0</v>
      </c>
      <c r="GS44" s="1801">
        <v>0</v>
      </c>
      <c r="GT44" s="1798">
        <v>0</v>
      </c>
      <c r="GU44" s="1801">
        <v>0</v>
      </c>
      <c r="GV44" s="1798">
        <v>0</v>
      </c>
      <c r="GW44" s="1801">
        <v>0</v>
      </c>
      <c r="GX44" s="1798">
        <v>0</v>
      </c>
      <c r="GY44" s="1801">
        <v>0</v>
      </c>
      <c r="GZ44" s="1798">
        <v>0</v>
      </c>
      <c r="HA44" s="1801">
        <v>0</v>
      </c>
      <c r="HB44" s="1798">
        <v>0</v>
      </c>
      <c r="HC44" s="1801">
        <v>0</v>
      </c>
      <c r="HD44" s="1798">
        <v>0</v>
      </c>
      <c r="HE44" s="1801">
        <v>0</v>
      </c>
      <c r="HF44" s="1798">
        <v>0</v>
      </c>
      <c r="HG44" s="1801">
        <v>0</v>
      </c>
      <c r="HH44" s="1798">
        <v>0</v>
      </c>
      <c r="HI44" s="1801">
        <v>0</v>
      </c>
      <c r="HJ44" s="1798">
        <v>0</v>
      </c>
      <c r="HK44" s="1801">
        <v>0</v>
      </c>
      <c r="HL44" s="1798">
        <v>0</v>
      </c>
      <c r="HM44" s="1801">
        <v>0</v>
      </c>
      <c r="HN44" s="1798">
        <v>0</v>
      </c>
      <c r="HO44" s="1801">
        <v>0</v>
      </c>
      <c r="HP44" s="1798">
        <v>0</v>
      </c>
      <c r="HQ44" s="1801">
        <v>0</v>
      </c>
      <c r="HR44" s="1798">
        <v>0</v>
      </c>
      <c r="HS44" s="1801">
        <v>0</v>
      </c>
      <c r="HT44" s="1798">
        <v>0</v>
      </c>
      <c r="HU44" s="1801">
        <v>0</v>
      </c>
      <c r="HV44" s="1802" t="s">
        <v>3425</v>
      </c>
      <c r="HX44" s="1805"/>
      <c r="HY44" s="1803"/>
    </row>
    <row r="45" spans="1:233" s="1774" customFormat="1" ht="22.5" customHeight="1">
      <c r="A45" s="1795" t="s">
        <v>2280</v>
      </c>
      <c r="B45" s="1796"/>
      <c r="C45" s="1796"/>
      <c r="D45" s="1796"/>
      <c r="E45" s="1796"/>
      <c r="F45" s="1796"/>
      <c r="G45" s="1796"/>
      <c r="H45" s="1796"/>
      <c r="I45" s="1796"/>
      <c r="J45" s="1796"/>
      <c r="K45" s="1796"/>
      <c r="L45" s="1796"/>
      <c r="M45" s="1796"/>
      <c r="N45" s="1796"/>
      <c r="O45" s="1796"/>
      <c r="P45" s="1796"/>
      <c r="Q45" s="1796"/>
      <c r="R45" s="1796">
        <v>0</v>
      </c>
      <c r="S45" s="1796">
        <v>0</v>
      </c>
      <c r="T45" s="1796">
        <v>0</v>
      </c>
      <c r="U45" s="1796">
        <v>0</v>
      </c>
      <c r="V45" s="1796">
        <v>0</v>
      </c>
      <c r="W45" s="1796">
        <v>0</v>
      </c>
      <c r="X45" s="1796">
        <v>0</v>
      </c>
      <c r="Y45" s="1796">
        <v>0</v>
      </c>
      <c r="Z45" s="1796">
        <v>0</v>
      </c>
      <c r="AA45" s="1796">
        <v>0</v>
      </c>
      <c r="AB45" s="1796">
        <v>0</v>
      </c>
      <c r="AC45" s="1796">
        <v>0</v>
      </c>
      <c r="AD45" s="1796">
        <v>0</v>
      </c>
      <c r="AE45" s="1796">
        <v>0</v>
      </c>
      <c r="AF45" s="1796">
        <v>0</v>
      </c>
      <c r="AG45" s="1796">
        <v>0</v>
      </c>
      <c r="AH45" s="1796">
        <v>0</v>
      </c>
      <c r="AI45" s="1796">
        <v>0</v>
      </c>
      <c r="AJ45" s="1796">
        <v>0</v>
      </c>
      <c r="AK45" s="1796">
        <v>0</v>
      </c>
      <c r="AL45" s="1796">
        <v>0</v>
      </c>
      <c r="AM45" s="1796">
        <v>0</v>
      </c>
      <c r="AN45" s="1796">
        <v>0</v>
      </c>
      <c r="AO45" s="1796">
        <v>0</v>
      </c>
      <c r="AP45" s="1796">
        <v>0</v>
      </c>
      <c r="AQ45" s="1796">
        <v>0</v>
      </c>
      <c r="AR45" s="1796">
        <v>0</v>
      </c>
      <c r="AS45" s="1796">
        <v>0</v>
      </c>
      <c r="AT45" s="1796">
        <v>0</v>
      </c>
      <c r="AU45" s="1796">
        <v>0</v>
      </c>
      <c r="AV45" s="1796">
        <v>0</v>
      </c>
      <c r="AW45" s="1796">
        <v>0</v>
      </c>
      <c r="AX45" s="1796">
        <v>0</v>
      </c>
      <c r="AY45" s="1796">
        <v>0</v>
      </c>
      <c r="AZ45" s="1796">
        <v>0</v>
      </c>
      <c r="BA45" s="1796">
        <v>0</v>
      </c>
      <c r="BB45" s="1796">
        <v>0</v>
      </c>
      <c r="BC45" s="1796">
        <v>0</v>
      </c>
      <c r="BD45" s="1796">
        <v>0</v>
      </c>
      <c r="BE45" s="1796">
        <v>0</v>
      </c>
      <c r="BF45" s="1796">
        <v>0</v>
      </c>
      <c r="BG45" s="1796">
        <v>0</v>
      </c>
      <c r="BH45" s="1796">
        <v>0</v>
      </c>
      <c r="BI45" s="1796">
        <v>0</v>
      </c>
      <c r="BJ45" s="1796">
        <v>0</v>
      </c>
      <c r="BK45" s="1796">
        <v>0</v>
      </c>
      <c r="BL45" s="1796">
        <v>0</v>
      </c>
      <c r="BM45" s="1796">
        <v>0</v>
      </c>
      <c r="BN45" s="1796">
        <v>0</v>
      </c>
      <c r="BO45" s="1796">
        <v>0</v>
      </c>
      <c r="BP45" s="1796">
        <v>0</v>
      </c>
      <c r="BQ45" s="1796">
        <v>0</v>
      </c>
      <c r="BR45" s="1796">
        <v>0</v>
      </c>
      <c r="BS45" s="1796">
        <v>0</v>
      </c>
      <c r="BT45" s="1796">
        <v>0</v>
      </c>
      <c r="BU45" s="1796">
        <v>0</v>
      </c>
      <c r="BV45" s="1796">
        <v>0</v>
      </c>
      <c r="BW45" s="1796">
        <v>0</v>
      </c>
      <c r="BX45" s="1796">
        <v>0</v>
      </c>
      <c r="BY45" s="1796">
        <v>0</v>
      </c>
      <c r="BZ45" s="1796">
        <v>0</v>
      </c>
      <c r="CA45" s="1796">
        <v>0</v>
      </c>
      <c r="CB45" s="1796">
        <v>0</v>
      </c>
      <c r="CC45" s="1796">
        <v>0</v>
      </c>
      <c r="CD45" s="1796">
        <v>0</v>
      </c>
      <c r="CE45" s="1796">
        <v>0</v>
      </c>
      <c r="CF45" s="1796">
        <v>0</v>
      </c>
      <c r="CG45" s="1796">
        <v>0</v>
      </c>
      <c r="CH45" s="1796">
        <v>0</v>
      </c>
      <c r="CI45" s="1796">
        <v>0</v>
      </c>
      <c r="CJ45" s="1796">
        <v>0</v>
      </c>
      <c r="CK45" s="1796">
        <v>0</v>
      </c>
      <c r="CL45" s="1796">
        <v>0</v>
      </c>
      <c r="CM45" s="1796">
        <v>0</v>
      </c>
      <c r="CN45" s="1796">
        <v>0</v>
      </c>
      <c r="CO45" s="1796">
        <v>0</v>
      </c>
      <c r="CP45" s="1796">
        <v>0</v>
      </c>
      <c r="CQ45" s="1796">
        <v>0</v>
      </c>
      <c r="CR45" s="1796">
        <v>0</v>
      </c>
      <c r="CS45" s="1796">
        <v>0</v>
      </c>
      <c r="CT45" s="1796">
        <v>0</v>
      </c>
      <c r="CU45" s="1796">
        <v>0</v>
      </c>
      <c r="CV45" s="1796">
        <v>0</v>
      </c>
      <c r="CW45" s="1796">
        <v>0</v>
      </c>
      <c r="CX45" s="1796">
        <v>0</v>
      </c>
      <c r="CY45" s="1796">
        <v>0</v>
      </c>
      <c r="CZ45" s="1796">
        <v>0</v>
      </c>
      <c r="DA45" s="1796">
        <v>0</v>
      </c>
      <c r="DB45" s="1796">
        <v>0</v>
      </c>
      <c r="DC45" s="1796">
        <v>0</v>
      </c>
      <c r="DD45" s="1796">
        <v>0</v>
      </c>
      <c r="DE45" s="1796">
        <v>0</v>
      </c>
      <c r="DF45" s="1796">
        <v>0</v>
      </c>
      <c r="DG45" s="1796">
        <v>0</v>
      </c>
      <c r="DH45" s="1796">
        <v>0</v>
      </c>
      <c r="DI45" s="1796">
        <v>0</v>
      </c>
      <c r="DJ45" s="1796">
        <v>0</v>
      </c>
      <c r="DK45" s="1796">
        <v>0</v>
      </c>
      <c r="DL45" s="1796">
        <v>0</v>
      </c>
      <c r="DM45" s="1796">
        <v>0</v>
      </c>
      <c r="DN45" s="1796">
        <v>0</v>
      </c>
      <c r="DO45" s="1796">
        <v>0</v>
      </c>
      <c r="DP45" s="1796">
        <v>0</v>
      </c>
      <c r="DQ45" s="1797">
        <v>0</v>
      </c>
      <c r="DR45" s="1798">
        <v>0</v>
      </c>
      <c r="DS45" s="1799">
        <v>0</v>
      </c>
      <c r="DT45" s="1800">
        <v>0</v>
      </c>
      <c r="DU45" s="1797">
        <v>0</v>
      </c>
      <c r="DV45" s="1798">
        <v>0</v>
      </c>
      <c r="DW45" s="1799">
        <v>0</v>
      </c>
      <c r="DX45" s="1800">
        <v>0</v>
      </c>
      <c r="DY45" s="1797">
        <v>0</v>
      </c>
      <c r="DZ45" s="1798">
        <v>0</v>
      </c>
      <c r="EA45" s="1799">
        <v>0</v>
      </c>
      <c r="EB45" s="1800">
        <v>0</v>
      </c>
      <c r="EC45" s="1797">
        <v>0</v>
      </c>
      <c r="ED45" s="1798">
        <v>0</v>
      </c>
      <c r="EE45" s="1799">
        <v>0</v>
      </c>
      <c r="EF45" s="1798">
        <v>0</v>
      </c>
      <c r="EG45" s="1799">
        <v>0</v>
      </c>
      <c r="EH45" s="1800">
        <v>0</v>
      </c>
      <c r="EI45" s="1799">
        <v>0</v>
      </c>
      <c r="EJ45" s="1800">
        <v>0</v>
      </c>
      <c r="EK45" s="1799">
        <v>0</v>
      </c>
      <c r="EL45" s="1798">
        <v>0</v>
      </c>
      <c r="EM45" s="1801">
        <v>0</v>
      </c>
      <c r="EN45" s="1798">
        <v>0</v>
      </c>
      <c r="EO45" s="1801">
        <v>0</v>
      </c>
      <c r="EP45" s="1798">
        <v>0</v>
      </c>
      <c r="EQ45" s="1801">
        <v>0</v>
      </c>
      <c r="ER45" s="1798">
        <v>0</v>
      </c>
      <c r="ES45" s="1801">
        <v>0</v>
      </c>
      <c r="ET45" s="1798">
        <v>0</v>
      </c>
      <c r="EU45" s="1801">
        <v>0</v>
      </c>
      <c r="EV45" s="1798">
        <v>0</v>
      </c>
      <c r="EW45" s="1801">
        <v>0</v>
      </c>
      <c r="EX45" s="1798">
        <v>0</v>
      </c>
      <c r="EY45" s="1801">
        <v>0</v>
      </c>
      <c r="EZ45" s="1798">
        <v>0</v>
      </c>
      <c r="FA45" s="1801">
        <v>0</v>
      </c>
      <c r="FB45" s="1798">
        <v>0</v>
      </c>
      <c r="FC45" s="1801">
        <v>0</v>
      </c>
      <c r="FD45" s="1798">
        <v>0</v>
      </c>
      <c r="FE45" s="1801">
        <v>0</v>
      </c>
      <c r="FF45" s="1798">
        <v>0</v>
      </c>
      <c r="FG45" s="1801">
        <v>0</v>
      </c>
      <c r="FH45" s="1798">
        <v>0</v>
      </c>
      <c r="FI45" s="1801">
        <v>0</v>
      </c>
      <c r="FJ45" s="1798">
        <v>0</v>
      </c>
      <c r="FK45" s="1801">
        <v>0</v>
      </c>
      <c r="FL45" s="1798">
        <v>0</v>
      </c>
      <c r="FM45" s="1801">
        <v>0</v>
      </c>
      <c r="FN45" s="1798">
        <v>0</v>
      </c>
      <c r="FO45" s="1801">
        <v>0</v>
      </c>
      <c r="FP45" s="1798">
        <v>0</v>
      </c>
      <c r="FQ45" s="1801">
        <v>0</v>
      </c>
      <c r="FR45" s="1798">
        <v>11.87575</v>
      </c>
      <c r="FS45" s="1801">
        <v>0</v>
      </c>
      <c r="FT45" s="1798">
        <v>23.275749999999999</v>
      </c>
      <c r="FU45" s="1801">
        <v>0</v>
      </c>
      <c r="FV45" s="1798">
        <v>34.631169999999997</v>
      </c>
      <c r="FW45" s="1801">
        <v>0</v>
      </c>
      <c r="FX45" s="1798">
        <v>35.804189999999998</v>
      </c>
      <c r="FY45" s="1801">
        <v>0</v>
      </c>
      <c r="FZ45" s="1798">
        <v>120.17281</v>
      </c>
      <c r="GA45" s="1801">
        <v>0</v>
      </c>
      <c r="GB45" s="1798">
        <v>222.64608999999999</v>
      </c>
      <c r="GC45" s="1801">
        <v>0</v>
      </c>
      <c r="GD45" s="1798">
        <v>222.64608999999999</v>
      </c>
      <c r="GE45" s="1801">
        <v>0</v>
      </c>
      <c r="GF45" s="1798">
        <v>286.38618000000002</v>
      </c>
      <c r="GG45" s="1801">
        <v>0</v>
      </c>
      <c r="GH45" s="1798">
        <v>441.07884999999999</v>
      </c>
      <c r="GI45" s="1801">
        <v>0</v>
      </c>
      <c r="GJ45" s="1798">
        <v>621.43098999999995</v>
      </c>
      <c r="GK45" s="1801">
        <v>0</v>
      </c>
      <c r="GL45" s="1798">
        <v>136.58332999999999</v>
      </c>
      <c r="GM45" s="1801">
        <v>0</v>
      </c>
      <c r="GN45" s="1798">
        <v>147.59577999999999</v>
      </c>
      <c r="GO45" s="1801">
        <v>0</v>
      </c>
      <c r="GP45" s="1798">
        <v>150.21648000000002</v>
      </c>
      <c r="GQ45" s="1801">
        <v>0</v>
      </c>
      <c r="GR45" s="1798">
        <v>150.21647999999999</v>
      </c>
      <c r="GS45" s="1801">
        <v>0</v>
      </c>
      <c r="GT45" s="1798">
        <v>190.15262999999999</v>
      </c>
      <c r="GU45" s="1801">
        <v>0</v>
      </c>
      <c r="GV45" s="1798">
        <v>214.89585</v>
      </c>
      <c r="GW45" s="1801">
        <v>0</v>
      </c>
      <c r="GX45" s="1798">
        <v>409.82130000000001</v>
      </c>
      <c r="GY45" s="1801">
        <v>0</v>
      </c>
      <c r="GZ45" s="1798">
        <v>432.51722000000001</v>
      </c>
      <c r="HA45" s="1801">
        <v>0</v>
      </c>
      <c r="HB45" s="1798">
        <v>448.59052000000003</v>
      </c>
      <c r="HC45" s="1801">
        <v>0</v>
      </c>
      <c r="HD45" s="1798">
        <v>544.51480000000004</v>
      </c>
      <c r="HE45" s="1801">
        <v>0</v>
      </c>
      <c r="HF45" s="1798">
        <v>578.93430999999998</v>
      </c>
      <c r="HG45" s="1801">
        <v>0</v>
      </c>
      <c r="HH45" s="1798">
        <v>737.77973999999995</v>
      </c>
      <c r="HI45" s="1801">
        <v>0</v>
      </c>
      <c r="HJ45" s="1798">
        <v>4.5094000000000003</v>
      </c>
      <c r="HK45" s="1801">
        <v>0</v>
      </c>
      <c r="HL45" s="1798">
        <v>93.777019999999993</v>
      </c>
      <c r="HM45" s="1801">
        <v>0</v>
      </c>
      <c r="HN45" s="1798">
        <v>106.42702</v>
      </c>
      <c r="HO45" s="1801">
        <v>0</v>
      </c>
      <c r="HP45" s="1798">
        <v>111.69123</v>
      </c>
      <c r="HQ45" s="1801">
        <v>0</v>
      </c>
      <c r="HR45" s="1798">
        <v>171.49886000000001</v>
      </c>
      <c r="HS45" s="1801">
        <v>0</v>
      </c>
      <c r="HT45" s="1798">
        <v>375.72109999999998</v>
      </c>
      <c r="HU45" s="1801">
        <v>0</v>
      </c>
      <c r="HV45" s="1802" t="s">
        <v>3426</v>
      </c>
      <c r="HX45" s="1805"/>
    </row>
    <row r="46" spans="1:233" s="1774" customFormat="1" ht="22.5" customHeight="1">
      <c r="A46" s="1794" t="s">
        <v>2279</v>
      </c>
      <c r="B46" s="1788">
        <v>0</v>
      </c>
      <c r="C46" s="1788">
        <v>0</v>
      </c>
      <c r="D46" s="1788">
        <v>0</v>
      </c>
      <c r="E46" s="1788">
        <v>2.5764999999999998</v>
      </c>
      <c r="F46" s="1788">
        <v>0</v>
      </c>
      <c r="G46" s="1788">
        <v>4.1336400000000006</v>
      </c>
      <c r="H46" s="1788">
        <v>0</v>
      </c>
      <c r="I46" s="1788">
        <v>4.1336400000000006</v>
      </c>
      <c r="J46" s="1788">
        <v>0</v>
      </c>
      <c r="K46" s="1788">
        <v>4.1336400000000006</v>
      </c>
      <c r="L46" s="1788">
        <v>0</v>
      </c>
      <c r="M46" s="1788">
        <v>4.1336400000000006</v>
      </c>
      <c r="N46" s="1788">
        <v>0</v>
      </c>
      <c r="O46" s="1788">
        <v>4.1336400000000006</v>
      </c>
      <c r="P46" s="1788">
        <v>0</v>
      </c>
      <c r="Q46" s="1788">
        <v>4.1336400000000006</v>
      </c>
      <c r="R46" s="1788">
        <v>0</v>
      </c>
      <c r="S46" s="1788">
        <v>4.1336400000000006</v>
      </c>
      <c r="T46" s="1788">
        <v>0</v>
      </c>
      <c r="U46" s="1788">
        <v>0</v>
      </c>
      <c r="V46" s="1788">
        <v>0.02</v>
      </c>
      <c r="W46" s="1788">
        <v>0</v>
      </c>
      <c r="X46" s="1788">
        <v>0.09</v>
      </c>
      <c r="Y46" s="1788">
        <v>0</v>
      </c>
      <c r="Z46" s="1788">
        <v>0.61</v>
      </c>
      <c r="AA46" s="1788">
        <v>0</v>
      </c>
      <c r="AB46" s="1788">
        <v>1.32</v>
      </c>
      <c r="AC46" s="1788">
        <v>0</v>
      </c>
      <c r="AD46" s="1788">
        <v>1.76</v>
      </c>
      <c r="AE46" s="1788">
        <v>0</v>
      </c>
      <c r="AF46" s="1788">
        <v>9.57</v>
      </c>
      <c r="AG46" s="1788">
        <v>0</v>
      </c>
      <c r="AH46" s="1788">
        <v>19.940000000000001</v>
      </c>
      <c r="AI46" s="1788">
        <v>0</v>
      </c>
      <c r="AJ46" s="1788">
        <v>25.96</v>
      </c>
      <c r="AK46" s="1788">
        <v>0</v>
      </c>
      <c r="AL46" s="1788">
        <v>30.2</v>
      </c>
      <c r="AM46" s="1788">
        <v>0</v>
      </c>
      <c r="AN46" s="1788">
        <v>37.659999999999997</v>
      </c>
      <c r="AO46" s="1788">
        <v>0</v>
      </c>
      <c r="AP46" s="1788">
        <v>42.19</v>
      </c>
      <c r="AQ46" s="1788">
        <v>0</v>
      </c>
      <c r="AR46" s="1788">
        <v>47.45</v>
      </c>
      <c r="AS46" s="1788">
        <v>0</v>
      </c>
      <c r="AT46" s="1788">
        <v>89.428049999999999</v>
      </c>
      <c r="AU46" s="1788">
        <v>0</v>
      </c>
      <c r="AV46" s="1788">
        <v>1860.06747</v>
      </c>
      <c r="AW46" s="1788">
        <v>0</v>
      </c>
      <c r="AX46" s="1788">
        <v>8.36</v>
      </c>
      <c r="AY46" s="1788">
        <v>0</v>
      </c>
      <c r="AZ46" s="1788">
        <v>14.34</v>
      </c>
      <c r="BA46" s="1788">
        <v>0</v>
      </c>
      <c r="BB46" s="1788">
        <v>16.93</v>
      </c>
      <c r="BC46" s="1788">
        <v>0</v>
      </c>
      <c r="BD46" s="1788">
        <v>26.358000000000001</v>
      </c>
      <c r="BE46" s="1788">
        <v>0</v>
      </c>
      <c r="BF46" s="1788">
        <v>44.607999999999997</v>
      </c>
      <c r="BG46" s="1788">
        <v>0</v>
      </c>
      <c r="BH46" s="1788">
        <v>57.08</v>
      </c>
      <c r="BI46" s="1788">
        <v>0</v>
      </c>
      <c r="BJ46" s="1788">
        <v>78.224999999999994</v>
      </c>
      <c r="BK46" s="1788">
        <v>0</v>
      </c>
      <c r="BL46" s="1788">
        <v>96.447999999999993</v>
      </c>
      <c r="BM46" s="1788">
        <v>0</v>
      </c>
      <c r="BN46" s="1788">
        <v>109.42</v>
      </c>
      <c r="BO46" s="1788">
        <v>0</v>
      </c>
      <c r="BP46" s="1788">
        <v>112.617</v>
      </c>
      <c r="BQ46" s="1788">
        <v>0</v>
      </c>
      <c r="BR46" s="1788">
        <v>113.565</v>
      </c>
      <c r="BS46" s="1788">
        <v>0</v>
      </c>
      <c r="BT46" s="1788">
        <v>157.70371</v>
      </c>
      <c r="BU46" s="1788">
        <v>0</v>
      </c>
      <c r="BV46" s="1788">
        <v>3.91</v>
      </c>
      <c r="BW46" s="1788">
        <v>0</v>
      </c>
      <c r="BX46" s="1788">
        <v>6.6829999999999998</v>
      </c>
      <c r="BY46" s="1788">
        <v>0</v>
      </c>
      <c r="BZ46" s="1788">
        <v>11.037799999999999</v>
      </c>
      <c r="CA46" s="1788">
        <v>0</v>
      </c>
      <c r="CB46" s="1788">
        <v>11.652799999999999</v>
      </c>
      <c r="CC46" s="1788">
        <v>0</v>
      </c>
      <c r="CD46" s="1788">
        <v>13.83991</v>
      </c>
      <c r="CE46" s="1788">
        <v>0</v>
      </c>
      <c r="CF46" s="1788">
        <v>14.565910000000001</v>
      </c>
      <c r="CG46" s="1788">
        <v>0</v>
      </c>
      <c r="CH46" s="1788">
        <v>15.936909999999999</v>
      </c>
      <c r="CI46" s="1788">
        <v>0</v>
      </c>
      <c r="CJ46" s="1788">
        <v>21.520880000000002</v>
      </c>
      <c r="CK46" s="1788">
        <v>0</v>
      </c>
      <c r="CL46" s="1788">
        <v>35.746949999999998</v>
      </c>
      <c r="CM46" s="1788">
        <v>0</v>
      </c>
      <c r="CN46" s="1788">
        <v>50.802260000000004</v>
      </c>
      <c r="CO46" s="1788">
        <v>0</v>
      </c>
      <c r="CP46" s="1788">
        <v>67.38794</v>
      </c>
      <c r="CQ46" s="1788">
        <v>0</v>
      </c>
      <c r="CR46" s="1788">
        <v>91.584800000000001</v>
      </c>
      <c r="CS46" s="1788">
        <v>0</v>
      </c>
      <c r="CT46" s="1788">
        <v>10.222</v>
      </c>
      <c r="CU46" s="1788">
        <v>0</v>
      </c>
      <c r="CV46" s="1788">
        <v>28.514099999999999</v>
      </c>
      <c r="CW46" s="1788">
        <v>0</v>
      </c>
      <c r="CX46" s="1788">
        <v>45.558639999999997</v>
      </c>
      <c r="CY46" s="1788">
        <v>0</v>
      </c>
      <c r="CZ46" s="1788">
        <v>53.771519999999995</v>
      </c>
      <c r="DA46" s="1788">
        <v>0</v>
      </c>
      <c r="DB46" s="1788">
        <v>78.640339999999995</v>
      </c>
      <c r="DC46" s="1788">
        <v>0</v>
      </c>
      <c r="DD46" s="1788">
        <v>103.90758</v>
      </c>
      <c r="DE46" s="1788">
        <v>0</v>
      </c>
      <c r="DF46" s="1788">
        <v>120.60539</v>
      </c>
      <c r="DG46" s="1788">
        <v>0</v>
      </c>
      <c r="DH46" s="1788">
        <v>122.87039</v>
      </c>
      <c r="DI46" s="1788">
        <v>0</v>
      </c>
      <c r="DJ46" s="1788">
        <v>164.73917</v>
      </c>
      <c r="DK46" s="1788">
        <v>0</v>
      </c>
      <c r="DL46" s="1788">
        <v>206.00370000000001</v>
      </c>
      <c r="DM46" s="1788">
        <v>0</v>
      </c>
      <c r="DN46" s="1788">
        <v>271.91079000000002</v>
      </c>
      <c r="DO46" s="1788">
        <v>0</v>
      </c>
      <c r="DP46" s="1788">
        <v>3378.1590099999999</v>
      </c>
      <c r="DQ46" s="1789">
        <v>0</v>
      </c>
      <c r="DR46" s="1790">
        <v>81.692610000000002</v>
      </c>
      <c r="DS46" s="1791">
        <v>0</v>
      </c>
      <c r="DT46" s="1792">
        <v>154.49202</v>
      </c>
      <c r="DU46" s="1789">
        <v>0</v>
      </c>
      <c r="DV46" s="1790">
        <v>197.72301999999999</v>
      </c>
      <c r="DW46" s="1791">
        <v>0</v>
      </c>
      <c r="DX46" s="1792">
        <v>200.27249</v>
      </c>
      <c r="DY46" s="1789">
        <v>0</v>
      </c>
      <c r="DZ46" s="1790">
        <v>202.19614999999999</v>
      </c>
      <c r="EA46" s="1791">
        <v>0</v>
      </c>
      <c r="EB46" s="1792">
        <v>466.82736999999997</v>
      </c>
      <c r="EC46" s="1789">
        <v>0</v>
      </c>
      <c r="ED46" s="1790">
        <v>467.88029</v>
      </c>
      <c r="EE46" s="1791">
        <v>0</v>
      </c>
      <c r="EF46" s="1790">
        <v>795.74928999999997</v>
      </c>
      <c r="EG46" s="1791">
        <v>0</v>
      </c>
      <c r="EH46" s="1792">
        <v>1150.2914499999999</v>
      </c>
      <c r="EI46" s="1791">
        <v>0</v>
      </c>
      <c r="EJ46" s="1792">
        <v>1152.7724499999999</v>
      </c>
      <c r="EK46" s="1791">
        <v>0.12427000000000001</v>
      </c>
      <c r="EL46" s="1790">
        <v>1531.8914500000001</v>
      </c>
      <c r="EM46" s="1793">
        <v>0.17721000000000001</v>
      </c>
      <c r="EN46" s="1790">
        <v>1899.9356299999999</v>
      </c>
      <c r="EO46" s="1793">
        <v>0.17721000000000001</v>
      </c>
      <c r="EP46" s="1790">
        <v>110.255</v>
      </c>
      <c r="EQ46" s="1793">
        <v>0</v>
      </c>
      <c r="ER46" s="1790">
        <v>453.69711999999998</v>
      </c>
      <c r="ES46" s="1793">
        <v>2.6600000000000002E-2</v>
      </c>
      <c r="ET46" s="1790">
        <v>665.30424000000005</v>
      </c>
      <c r="EU46" s="1793">
        <v>2.6599999999999999E-2</v>
      </c>
      <c r="EV46" s="1790">
        <v>890.48851000000002</v>
      </c>
      <c r="EW46" s="1793">
        <v>0.47660000000000002</v>
      </c>
      <c r="EX46" s="1790">
        <v>892.14639999999997</v>
      </c>
      <c r="EY46" s="1793">
        <v>0.47660000000000002</v>
      </c>
      <c r="EZ46" s="1790">
        <v>1248.4578700000002</v>
      </c>
      <c r="FA46" s="1793">
        <v>0.47660000000000002</v>
      </c>
      <c r="FB46" s="1790">
        <v>1249.6698700000002</v>
      </c>
      <c r="FC46" s="1793">
        <v>0.47660000000000002</v>
      </c>
      <c r="FD46" s="1790">
        <v>2145.9618799999998</v>
      </c>
      <c r="FE46" s="1793">
        <v>0.89659999999999995</v>
      </c>
      <c r="FF46" s="1790">
        <v>2405.4802</v>
      </c>
      <c r="FG46" s="1793">
        <v>0.89660000000000006</v>
      </c>
      <c r="FH46" s="1790">
        <v>2665.7259399999998</v>
      </c>
      <c r="FI46" s="1793">
        <v>2.6722199999999998</v>
      </c>
      <c r="FJ46" s="1790">
        <v>3401.4607700000001</v>
      </c>
      <c r="FK46" s="1793">
        <v>3.0662400000000001</v>
      </c>
      <c r="FL46" s="1790">
        <v>3829.94994</v>
      </c>
      <c r="FM46" s="1793">
        <v>4.8673700000000002</v>
      </c>
      <c r="FN46" s="1790">
        <v>452.73106999999999</v>
      </c>
      <c r="FO46" s="1793">
        <v>2.7864599999999999</v>
      </c>
      <c r="FP46" s="1790">
        <v>821.10320999999999</v>
      </c>
      <c r="FQ46" s="1793">
        <v>14.48959</v>
      </c>
      <c r="FR46" s="1790">
        <v>1164.2033699999999</v>
      </c>
      <c r="FS46" s="1793">
        <v>20.30612</v>
      </c>
      <c r="FT46" s="1790">
        <v>1489.8215700000001</v>
      </c>
      <c r="FU46" s="1793">
        <v>28.129470000000001</v>
      </c>
      <c r="FV46" s="1790">
        <v>1880.8351599999999</v>
      </c>
      <c r="FW46" s="1793">
        <v>34.691600000000001</v>
      </c>
      <c r="FX46" s="1790">
        <v>2275.1521200000002</v>
      </c>
      <c r="FY46" s="1793">
        <v>37.534599999999998</v>
      </c>
      <c r="FZ46" s="1790">
        <v>2657.7371600000001</v>
      </c>
      <c r="GA46" s="1793">
        <v>42.5246</v>
      </c>
      <c r="GB46" s="1790">
        <v>3115.8519799999999</v>
      </c>
      <c r="GC46" s="1793">
        <v>55.055599999999998</v>
      </c>
      <c r="GD46" s="1790">
        <v>3779.2859199999998</v>
      </c>
      <c r="GE46" s="1793">
        <v>57.505600000000001</v>
      </c>
      <c r="GF46" s="1790">
        <v>4314.3006100000002</v>
      </c>
      <c r="GG46" s="1793">
        <v>63.793500000000002</v>
      </c>
      <c r="GH46" s="1790">
        <v>4798.9348600000003</v>
      </c>
      <c r="GI46" s="1793">
        <v>69.393500000000003</v>
      </c>
      <c r="GJ46" s="1790">
        <v>5259.0473199999997</v>
      </c>
      <c r="GK46" s="1793">
        <v>75.597179999999994</v>
      </c>
      <c r="GL46" s="1790">
        <v>495.08978000000002</v>
      </c>
      <c r="GM46" s="1793">
        <v>5.1078700000000001</v>
      </c>
      <c r="GN46" s="1790">
        <v>1097.6403299999999</v>
      </c>
      <c r="GO46" s="1793">
        <v>14.46152</v>
      </c>
      <c r="GP46" s="1790">
        <v>1372.2237700000001</v>
      </c>
      <c r="GQ46" s="1793">
        <v>22.047450000000001</v>
      </c>
      <c r="GR46" s="1790">
        <v>1372.2239300000001</v>
      </c>
      <c r="GS46" s="1793">
        <v>29.336829999999999</v>
      </c>
      <c r="GT46" s="1790">
        <v>1381.1827699999999</v>
      </c>
      <c r="GU46" s="1793">
        <v>33.96857</v>
      </c>
      <c r="GV46" s="1790">
        <v>2517.5837499999998</v>
      </c>
      <c r="GW46" s="1793">
        <v>37.091659999999997</v>
      </c>
      <c r="GX46" s="1790">
        <v>2518.9965999999999</v>
      </c>
      <c r="GY46" s="1793">
        <v>41.04166</v>
      </c>
      <c r="GZ46" s="1790">
        <v>2877.54468</v>
      </c>
      <c r="HA46" s="1793">
        <v>47.241660000000003</v>
      </c>
      <c r="HB46" s="1790">
        <v>4019.2657100000001</v>
      </c>
      <c r="HC46" s="1793">
        <v>49.641660000000002</v>
      </c>
      <c r="HD46" s="1790">
        <v>4052.2657899999999</v>
      </c>
      <c r="HE46" s="1793">
        <v>53.341659999999997</v>
      </c>
      <c r="HF46" s="1790">
        <v>4780.7608799999998</v>
      </c>
      <c r="HG46" s="1793">
        <v>56.83446</v>
      </c>
      <c r="HH46" s="1790">
        <v>5680.9579999999996</v>
      </c>
      <c r="HI46" s="1793">
        <v>60.321579999999997</v>
      </c>
      <c r="HJ46" s="1790">
        <v>311.4171</v>
      </c>
      <c r="HK46" s="1793">
        <v>3.86748</v>
      </c>
      <c r="HL46" s="1790">
        <v>1025.5151900000001</v>
      </c>
      <c r="HM46" s="1793">
        <v>8.9538100000000007</v>
      </c>
      <c r="HN46" s="1790">
        <v>1392.45695</v>
      </c>
      <c r="HO46" s="1793">
        <v>10.38744</v>
      </c>
      <c r="HP46" s="1790">
        <v>1752.4569899999999</v>
      </c>
      <c r="HQ46" s="1793">
        <v>16.35772</v>
      </c>
      <c r="HR46" s="1790">
        <v>2080.10286</v>
      </c>
      <c r="HS46" s="1793">
        <v>18.889309999999998</v>
      </c>
      <c r="HT46" s="1790">
        <v>2426.3406100000002</v>
      </c>
      <c r="HU46" s="1793">
        <v>23.757180000000002</v>
      </c>
      <c r="HV46" s="1794" t="s">
        <v>3193</v>
      </c>
    </row>
    <row r="47" spans="1:233" s="1774" customFormat="1" ht="22.5" customHeight="1">
      <c r="A47" s="1795" t="s">
        <v>2278</v>
      </c>
      <c r="B47" s="1796">
        <v>0</v>
      </c>
      <c r="C47" s="1796">
        <v>0</v>
      </c>
      <c r="D47" s="1796">
        <v>0</v>
      </c>
      <c r="E47" s="1796">
        <v>2.5764999999999998</v>
      </c>
      <c r="F47" s="1796">
        <v>0</v>
      </c>
      <c r="G47" s="1796">
        <v>4.1336400000000006</v>
      </c>
      <c r="H47" s="1796">
        <v>0</v>
      </c>
      <c r="I47" s="1796">
        <v>4.1336400000000006</v>
      </c>
      <c r="J47" s="1796">
        <v>0</v>
      </c>
      <c r="K47" s="1796">
        <v>4.1336400000000006</v>
      </c>
      <c r="L47" s="1796">
        <v>0</v>
      </c>
      <c r="M47" s="1796">
        <v>4.1336400000000006</v>
      </c>
      <c r="N47" s="1796">
        <v>0</v>
      </c>
      <c r="O47" s="1796">
        <v>4.1336400000000006</v>
      </c>
      <c r="P47" s="1796">
        <v>0</v>
      </c>
      <c r="Q47" s="1796">
        <v>4.1336400000000006</v>
      </c>
      <c r="R47" s="1796">
        <v>0</v>
      </c>
      <c r="S47" s="1796">
        <v>4.1336400000000006</v>
      </c>
      <c r="T47" s="1796">
        <v>0</v>
      </c>
      <c r="U47" s="1796">
        <v>0</v>
      </c>
      <c r="V47" s="1796">
        <v>0.02</v>
      </c>
      <c r="W47" s="1796">
        <v>0</v>
      </c>
      <c r="X47" s="1796">
        <v>0.09</v>
      </c>
      <c r="Y47" s="1796">
        <v>0</v>
      </c>
      <c r="Z47" s="1796">
        <v>0.61</v>
      </c>
      <c r="AA47" s="1796">
        <v>0</v>
      </c>
      <c r="AB47" s="1796">
        <v>1.32</v>
      </c>
      <c r="AC47" s="1796">
        <v>0</v>
      </c>
      <c r="AD47" s="1796">
        <v>1.76</v>
      </c>
      <c r="AE47" s="1796">
        <v>0</v>
      </c>
      <c r="AF47" s="1796">
        <v>9.57</v>
      </c>
      <c r="AG47" s="1796">
        <v>0</v>
      </c>
      <c r="AH47" s="1796">
        <v>19.940000000000001</v>
      </c>
      <c r="AI47" s="1796">
        <v>0</v>
      </c>
      <c r="AJ47" s="1796">
        <v>25.96</v>
      </c>
      <c r="AK47" s="1796">
        <v>0</v>
      </c>
      <c r="AL47" s="1796">
        <v>30.2</v>
      </c>
      <c r="AM47" s="1796">
        <v>0</v>
      </c>
      <c r="AN47" s="1796">
        <v>37.659999999999997</v>
      </c>
      <c r="AO47" s="1796">
        <v>0</v>
      </c>
      <c r="AP47" s="1796">
        <v>42.19</v>
      </c>
      <c r="AQ47" s="1796">
        <v>0</v>
      </c>
      <c r="AR47" s="1796">
        <v>47.45</v>
      </c>
      <c r="AS47" s="1796">
        <v>0</v>
      </c>
      <c r="AT47" s="1796">
        <v>89.428049999999999</v>
      </c>
      <c r="AU47" s="1796">
        <v>0</v>
      </c>
      <c r="AV47" s="1796">
        <v>1860.06747</v>
      </c>
      <c r="AW47" s="1796">
        <v>0</v>
      </c>
      <c r="AX47" s="1796">
        <v>8.36</v>
      </c>
      <c r="AY47" s="1796">
        <v>0</v>
      </c>
      <c r="AZ47" s="1796">
        <v>14.34</v>
      </c>
      <c r="BA47" s="1796">
        <v>0</v>
      </c>
      <c r="BB47" s="1796">
        <v>16.93</v>
      </c>
      <c r="BC47" s="1796">
        <v>0</v>
      </c>
      <c r="BD47" s="1796">
        <v>26.358000000000001</v>
      </c>
      <c r="BE47" s="1796">
        <v>0</v>
      </c>
      <c r="BF47" s="1796">
        <v>44.607999999999997</v>
      </c>
      <c r="BG47" s="1796">
        <v>0</v>
      </c>
      <c r="BH47" s="1796">
        <v>57.08</v>
      </c>
      <c r="BI47" s="1796">
        <v>0</v>
      </c>
      <c r="BJ47" s="1796">
        <v>78.224999999999994</v>
      </c>
      <c r="BK47" s="1796">
        <v>0</v>
      </c>
      <c r="BL47" s="1796">
        <v>96.447999999999993</v>
      </c>
      <c r="BM47" s="1796">
        <v>0</v>
      </c>
      <c r="BN47" s="1796">
        <v>109.42</v>
      </c>
      <c r="BO47" s="1796">
        <v>0</v>
      </c>
      <c r="BP47" s="1796">
        <v>112.617</v>
      </c>
      <c r="BQ47" s="1796">
        <v>0</v>
      </c>
      <c r="BR47" s="1796">
        <v>113.565</v>
      </c>
      <c r="BS47" s="1796">
        <v>0</v>
      </c>
      <c r="BT47" s="1796">
        <v>157.70371</v>
      </c>
      <c r="BU47" s="1796">
        <v>0</v>
      </c>
      <c r="BV47" s="1796">
        <v>3.91</v>
      </c>
      <c r="BW47" s="1796">
        <v>0</v>
      </c>
      <c r="BX47" s="1796">
        <v>6.6829999999999998</v>
      </c>
      <c r="BY47" s="1796">
        <v>0</v>
      </c>
      <c r="BZ47" s="1796">
        <v>11.037799999999999</v>
      </c>
      <c r="CA47" s="1796">
        <v>0</v>
      </c>
      <c r="CB47" s="1796">
        <v>11.652799999999999</v>
      </c>
      <c r="CC47" s="1796">
        <v>0</v>
      </c>
      <c r="CD47" s="1796">
        <v>13.83991</v>
      </c>
      <c r="CE47" s="1796">
        <v>0</v>
      </c>
      <c r="CF47" s="1796">
        <v>14.565910000000001</v>
      </c>
      <c r="CG47" s="1796">
        <v>0</v>
      </c>
      <c r="CH47" s="1796">
        <v>15.936909999999999</v>
      </c>
      <c r="CI47" s="1796">
        <v>0</v>
      </c>
      <c r="CJ47" s="1796">
        <v>21.520880000000002</v>
      </c>
      <c r="CK47" s="1796">
        <v>0</v>
      </c>
      <c r="CL47" s="1796">
        <v>35.746949999999998</v>
      </c>
      <c r="CM47" s="1796">
        <v>0</v>
      </c>
      <c r="CN47" s="1796">
        <v>50.802260000000004</v>
      </c>
      <c r="CO47" s="1796">
        <v>0</v>
      </c>
      <c r="CP47" s="1796">
        <v>67.38794</v>
      </c>
      <c r="CQ47" s="1796">
        <v>0</v>
      </c>
      <c r="CR47" s="1796">
        <v>91.584800000000001</v>
      </c>
      <c r="CS47" s="1796">
        <v>0</v>
      </c>
      <c r="CT47" s="1796">
        <v>10.222</v>
      </c>
      <c r="CU47" s="1796">
        <v>0</v>
      </c>
      <c r="CV47" s="1796">
        <v>28.514099999999999</v>
      </c>
      <c r="CW47" s="1796">
        <v>0</v>
      </c>
      <c r="CX47" s="1796">
        <v>45.558639999999997</v>
      </c>
      <c r="CY47" s="1796">
        <v>0</v>
      </c>
      <c r="CZ47" s="1796">
        <v>53.771519999999995</v>
      </c>
      <c r="DA47" s="1796">
        <v>0</v>
      </c>
      <c r="DB47" s="1796">
        <v>78.640339999999995</v>
      </c>
      <c r="DC47" s="1796">
        <v>0</v>
      </c>
      <c r="DD47" s="1796">
        <v>103.90758</v>
      </c>
      <c r="DE47" s="1796">
        <v>0</v>
      </c>
      <c r="DF47" s="1796">
        <v>120.60539</v>
      </c>
      <c r="DG47" s="1796">
        <v>0</v>
      </c>
      <c r="DH47" s="1796">
        <v>122.87039</v>
      </c>
      <c r="DI47" s="1796">
        <v>0</v>
      </c>
      <c r="DJ47" s="1796">
        <v>164.73917</v>
      </c>
      <c r="DK47" s="1796">
        <v>0</v>
      </c>
      <c r="DL47" s="1796">
        <v>206.00370000000001</v>
      </c>
      <c r="DM47" s="1796">
        <v>0</v>
      </c>
      <c r="DN47" s="1796">
        <v>271.91079000000002</v>
      </c>
      <c r="DO47" s="1796">
        <v>0</v>
      </c>
      <c r="DP47" s="1796">
        <v>3378.1590099999999</v>
      </c>
      <c r="DQ47" s="1797">
        <v>0</v>
      </c>
      <c r="DR47" s="1798">
        <v>81.692610000000002</v>
      </c>
      <c r="DS47" s="1799">
        <v>0</v>
      </c>
      <c r="DT47" s="1800">
        <v>154.49202</v>
      </c>
      <c r="DU47" s="1797">
        <v>0</v>
      </c>
      <c r="DV47" s="1798">
        <v>197.72301999999999</v>
      </c>
      <c r="DW47" s="1799">
        <v>0</v>
      </c>
      <c r="DX47" s="1800">
        <v>200.27249</v>
      </c>
      <c r="DY47" s="1797">
        <v>0</v>
      </c>
      <c r="DZ47" s="1798">
        <v>202.19614999999999</v>
      </c>
      <c r="EA47" s="1799">
        <v>0</v>
      </c>
      <c r="EB47" s="1800">
        <v>466.82736999999997</v>
      </c>
      <c r="EC47" s="1797">
        <v>0</v>
      </c>
      <c r="ED47" s="1798">
        <v>467.88029</v>
      </c>
      <c r="EE47" s="1799">
        <v>0</v>
      </c>
      <c r="EF47" s="1798">
        <v>795.74928999999997</v>
      </c>
      <c r="EG47" s="1799">
        <v>0</v>
      </c>
      <c r="EH47" s="1800">
        <v>1150.2914499999999</v>
      </c>
      <c r="EI47" s="1799">
        <v>0</v>
      </c>
      <c r="EJ47" s="1800">
        <v>1152.7724499999999</v>
      </c>
      <c r="EK47" s="1799">
        <v>0.12427000000000001</v>
      </c>
      <c r="EL47" s="1798">
        <v>1531.8914500000001</v>
      </c>
      <c r="EM47" s="1801">
        <v>0.17721000000000001</v>
      </c>
      <c r="EN47" s="1798">
        <v>1899.9356299999999</v>
      </c>
      <c r="EO47" s="1801">
        <v>0.17721000000000001</v>
      </c>
      <c r="EP47" s="1798">
        <v>110.255</v>
      </c>
      <c r="EQ47" s="1801">
        <v>0</v>
      </c>
      <c r="ER47" s="1798">
        <v>453.69711999999998</v>
      </c>
      <c r="ES47" s="1801">
        <v>2.6600000000000002E-2</v>
      </c>
      <c r="ET47" s="1798">
        <v>665.30424000000005</v>
      </c>
      <c r="EU47" s="1801">
        <v>2.6599999999999999E-2</v>
      </c>
      <c r="EV47" s="1798">
        <v>890.48851000000002</v>
      </c>
      <c r="EW47" s="1801">
        <v>0.47660000000000002</v>
      </c>
      <c r="EX47" s="1798">
        <v>892.14639999999997</v>
      </c>
      <c r="EY47" s="1801">
        <v>0.47660000000000002</v>
      </c>
      <c r="EZ47" s="1798">
        <v>1248.4578700000002</v>
      </c>
      <c r="FA47" s="1801">
        <v>0.47660000000000002</v>
      </c>
      <c r="FB47" s="1798">
        <v>1249.6698700000002</v>
      </c>
      <c r="FC47" s="1801">
        <v>0.47660000000000002</v>
      </c>
      <c r="FD47" s="1798">
        <v>2145.9618799999998</v>
      </c>
      <c r="FE47" s="1801">
        <v>0.89659999999999995</v>
      </c>
      <c r="FF47" s="1798">
        <v>2405.4802</v>
      </c>
      <c r="FG47" s="1801">
        <v>0.89660000000000006</v>
      </c>
      <c r="FH47" s="1798">
        <v>2665.7259399999998</v>
      </c>
      <c r="FI47" s="1801">
        <v>2.6722199999999998</v>
      </c>
      <c r="FJ47" s="1798">
        <v>3401.4607700000001</v>
      </c>
      <c r="FK47" s="1801">
        <v>3.0662400000000001</v>
      </c>
      <c r="FL47" s="1798">
        <v>3829.94994</v>
      </c>
      <c r="FM47" s="1801">
        <v>4.8673700000000002</v>
      </c>
      <c r="FN47" s="1798">
        <v>452.73106999999999</v>
      </c>
      <c r="FO47" s="1801">
        <v>2.7864599999999999</v>
      </c>
      <c r="FP47" s="1798">
        <v>821.10320999999999</v>
      </c>
      <c r="FQ47" s="1801">
        <v>14.48959</v>
      </c>
      <c r="FR47" s="1798">
        <v>1164.2033699999999</v>
      </c>
      <c r="FS47" s="1801">
        <v>20.30612</v>
      </c>
      <c r="FT47" s="1798">
        <v>1489.8215700000001</v>
      </c>
      <c r="FU47" s="1801">
        <v>28.129470000000001</v>
      </c>
      <c r="FV47" s="1798">
        <v>1880.8351599999999</v>
      </c>
      <c r="FW47" s="1801">
        <v>34.691600000000001</v>
      </c>
      <c r="FX47" s="1798">
        <v>2275.1521200000002</v>
      </c>
      <c r="FY47" s="1801">
        <v>37.534599999999998</v>
      </c>
      <c r="FZ47" s="1798">
        <v>2657.7371600000001</v>
      </c>
      <c r="GA47" s="1801">
        <v>42.5246</v>
      </c>
      <c r="GB47" s="1798">
        <v>3115.8519799999999</v>
      </c>
      <c r="GC47" s="1801">
        <v>55.055599999999998</v>
      </c>
      <c r="GD47" s="1798">
        <v>3779.2859199999998</v>
      </c>
      <c r="GE47" s="1801">
        <v>57.505600000000001</v>
      </c>
      <c r="GF47" s="1798">
        <v>4314.3006100000002</v>
      </c>
      <c r="GG47" s="1801">
        <v>63.793500000000002</v>
      </c>
      <c r="GH47" s="1798">
        <v>4798.9348600000003</v>
      </c>
      <c r="GI47" s="1801">
        <v>69.393500000000003</v>
      </c>
      <c r="GJ47" s="1798">
        <v>5259.0473199999997</v>
      </c>
      <c r="GK47" s="1801">
        <v>75.597179999999994</v>
      </c>
      <c r="GL47" s="1798">
        <v>495.08978000000002</v>
      </c>
      <c r="GM47" s="1801">
        <v>5.1078700000000001</v>
      </c>
      <c r="GN47" s="1798">
        <v>1097.6403299999999</v>
      </c>
      <c r="GO47" s="1801">
        <v>14.46152</v>
      </c>
      <c r="GP47" s="1798">
        <v>1372.2237700000001</v>
      </c>
      <c r="GQ47" s="1801">
        <v>22.047450000000001</v>
      </c>
      <c r="GR47" s="1798">
        <v>1372.2239300000001</v>
      </c>
      <c r="GS47" s="1801">
        <v>29.336829999999999</v>
      </c>
      <c r="GT47" s="1798">
        <v>1381.1827699999999</v>
      </c>
      <c r="GU47" s="1801">
        <v>33.96857</v>
      </c>
      <c r="GV47" s="1798">
        <v>2517.5837499999998</v>
      </c>
      <c r="GW47" s="1801">
        <v>37.091659999999997</v>
      </c>
      <c r="GX47" s="1798">
        <v>2518.9965999999999</v>
      </c>
      <c r="GY47" s="1801">
        <v>41.04166</v>
      </c>
      <c r="GZ47" s="1798">
        <v>2877.54468</v>
      </c>
      <c r="HA47" s="1801">
        <v>47.241660000000003</v>
      </c>
      <c r="HB47" s="1798">
        <v>4019.2657100000001</v>
      </c>
      <c r="HC47" s="1801">
        <v>49.641660000000002</v>
      </c>
      <c r="HD47" s="1798">
        <v>4052.2657899999999</v>
      </c>
      <c r="HE47" s="1801">
        <v>53.341659999999997</v>
      </c>
      <c r="HF47" s="1798">
        <v>4780.7608799999998</v>
      </c>
      <c r="HG47" s="1801">
        <v>56.83446</v>
      </c>
      <c r="HH47" s="1798">
        <v>5680.9579999999996</v>
      </c>
      <c r="HI47" s="1801">
        <v>60.321579999999997</v>
      </c>
      <c r="HJ47" s="1798">
        <v>311.4171</v>
      </c>
      <c r="HK47" s="1801">
        <v>3.86748</v>
      </c>
      <c r="HL47" s="1798">
        <v>1025.5151900000001</v>
      </c>
      <c r="HM47" s="1801">
        <v>8.9538100000000007</v>
      </c>
      <c r="HN47" s="1798">
        <v>1392.45695</v>
      </c>
      <c r="HO47" s="1801">
        <v>10.38744</v>
      </c>
      <c r="HP47" s="1798">
        <v>1752.4569899999999</v>
      </c>
      <c r="HQ47" s="1801">
        <v>16.35772</v>
      </c>
      <c r="HR47" s="1798">
        <v>2080.10286</v>
      </c>
      <c r="HS47" s="1801">
        <v>18.889309999999998</v>
      </c>
      <c r="HT47" s="1798">
        <v>2426.3406100000002</v>
      </c>
      <c r="HU47" s="1801">
        <v>23.757180000000002</v>
      </c>
      <c r="HV47" s="1802" t="s">
        <v>3194</v>
      </c>
    </row>
    <row r="48" spans="1:233" s="1774" customFormat="1" ht="22.5" customHeight="1">
      <c r="A48" s="1794" t="s">
        <v>2277</v>
      </c>
      <c r="B48" s="1788">
        <v>0</v>
      </c>
      <c r="C48" s="1788">
        <v>0</v>
      </c>
      <c r="D48" s="1788">
        <v>0</v>
      </c>
      <c r="E48" s="1788">
        <v>0</v>
      </c>
      <c r="F48" s="1788">
        <v>0</v>
      </c>
      <c r="G48" s="1788">
        <v>0</v>
      </c>
      <c r="H48" s="1788">
        <v>0</v>
      </c>
      <c r="I48" s="1788">
        <v>0</v>
      </c>
      <c r="J48" s="1788">
        <v>0</v>
      </c>
      <c r="K48" s="1788">
        <v>0</v>
      </c>
      <c r="L48" s="1788">
        <v>9.2696000000000005</v>
      </c>
      <c r="M48" s="1788">
        <v>0</v>
      </c>
      <c r="N48" s="1788">
        <v>9.2696000000000005</v>
      </c>
      <c r="O48" s="1788">
        <v>0</v>
      </c>
      <c r="P48" s="1788">
        <v>9.2696000000000005</v>
      </c>
      <c r="Q48" s="1788">
        <v>0</v>
      </c>
      <c r="R48" s="1788">
        <v>9.2696000000000005</v>
      </c>
      <c r="S48" s="1788">
        <v>0</v>
      </c>
      <c r="T48" s="1788">
        <v>9.2696000000000005</v>
      </c>
      <c r="U48" s="1788">
        <v>0</v>
      </c>
      <c r="V48" s="1788">
        <v>9.2696000000000005</v>
      </c>
      <c r="W48" s="1788">
        <v>0</v>
      </c>
      <c r="X48" s="1788">
        <v>9.2696000000000005</v>
      </c>
      <c r="Y48" s="1788">
        <v>0</v>
      </c>
      <c r="Z48" s="1788">
        <v>0</v>
      </c>
      <c r="AA48" s="1788">
        <v>0</v>
      </c>
      <c r="AB48" s="1788">
        <v>0</v>
      </c>
      <c r="AC48" s="1788">
        <v>0</v>
      </c>
      <c r="AD48" s="1788">
        <v>0</v>
      </c>
      <c r="AE48" s="1788">
        <v>0</v>
      </c>
      <c r="AF48" s="1788">
        <v>0.56496000000000002</v>
      </c>
      <c r="AG48" s="1788">
        <v>0</v>
      </c>
      <c r="AH48" s="1788">
        <v>0.56496000000000002</v>
      </c>
      <c r="AI48" s="1788">
        <v>0</v>
      </c>
      <c r="AJ48" s="1788">
        <v>0.56496000000000002</v>
      </c>
      <c r="AK48" s="1788">
        <v>0</v>
      </c>
      <c r="AL48" s="1788">
        <v>0.56496000000000002</v>
      </c>
      <c r="AM48" s="1788">
        <v>0</v>
      </c>
      <c r="AN48" s="1788">
        <v>0.56496000000000002</v>
      </c>
      <c r="AO48" s="1788">
        <v>0</v>
      </c>
      <c r="AP48" s="1788">
        <v>0.56496000000000002</v>
      </c>
      <c r="AQ48" s="1788">
        <v>0</v>
      </c>
      <c r="AR48" s="1788">
        <v>0.56496000000000002</v>
      </c>
      <c r="AS48" s="1788">
        <v>0</v>
      </c>
      <c r="AT48" s="1788">
        <v>0.56496000000000002</v>
      </c>
      <c r="AU48" s="1788">
        <v>0</v>
      </c>
      <c r="AV48" s="1788">
        <v>0.56496000000000002</v>
      </c>
      <c r="AW48" s="1788">
        <v>0</v>
      </c>
      <c r="AX48" s="1788">
        <v>2.19285</v>
      </c>
      <c r="AY48" s="1788">
        <v>0</v>
      </c>
      <c r="AZ48" s="1788">
        <v>2.19285</v>
      </c>
      <c r="BA48" s="1788">
        <v>0</v>
      </c>
      <c r="BB48" s="1788">
        <v>2.19285</v>
      </c>
      <c r="BC48" s="1788">
        <v>0</v>
      </c>
      <c r="BD48" s="1788">
        <v>2.8794499999999998</v>
      </c>
      <c r="BE48" s="1788">
        <v>0</v>
      </c>
      <c r="BF48" s="1788">
        <v>307.66515999999996</v>
      </c>
      <c r="BG48" s="1788">
        <v>0</v>
      </c>
      <c r="BH48" s="1788">
        <v>307.66515999999996</v>
      </c>
      <c r="BI48" s="1788">
        <v>0</v>
      </c>
      <c r="BJ48" s="1788">
        <v>317.04237000000001</v>
      </c>
      <c r="BK48" s="1788">
        <v>0</v>
      </c>
      <c r="BL48" s="1788">
        <v>317.36237</v>
      </c>
      <c r="BM48" s="1788">
        <v>0</v>
      </c>
      <c r="BN48" s="1788">
        <v>318.80237</v>
      </c>
      <c r="BO48" s="1788">
        <v>0</v>
      </c>
      <c r="BP48" s="1788">
        <v>318.80237</v>
      </c>
      <c r="BQ48" s="1788">
        <v>0</v>
      </c>
      <c r="BR48" s="1788">
        <v>318.80237</v>
      </c>
      <c r="BS48" s="1788">
        <v>0</v>
      </c>
      <c r="BT48" s="1788">
        <v>321.47416999999996</v>
      </c>
      <c r="BU48" s="1788">
        <v>0</v>
      </c>
      <c r="BV48" s="1788">
        <v>1.2556500000000002</v>
      </c>
      <c r="BW48" s="1788">
        <v>13.238</v>
      </c>
      <c r="BX48" s="1788">
        <v>2.8156599999999998</v>
      </c>
      <c r="BY48" s="1788">
        <v>13.238</v>
      </c>
      <c r="BZ48" s="1788">
        <v>1.5600099999999999</v>
      </c>
      <c r="CA48" s="1788">
        <v>13.238</v>
      </c>
      <c r="CB48" s="1788">
        <v>2.0400100000000001</v>
      </c>
      <c r="CC48" s="1788">
        <v>13.238</v>
      </c>
      <c r="CD48" s="1788">
        <v>406.43056999999999</v>
      </c>
      <c r="CE48" s="1788">
        <v>13.238</v>
      </c>
      <c r="CF48" s="1788">
        <v>406.43056999999999</v>
      </c>
      <c r="CG48" s="1788">
        <v>13.238</v>
      </c>
      <c r="CH48" s="1788">
        <v>406.43056999999999</v>
      </c>
      <c r="CI48" s="1788">
        <v>13.238</v>
      </c>
      <c r="CJ48" s="1788">
        <v>406.75056999999998</v>
      </c>
      <c r="CK48" s="1788">
        <v>13.238</v>
      </c>
      <c r="CL48" s="1788">
        <v>406.75056999999998</v>
      </c>
      <c r="CM48" s="1788">
        <v>13.238</v>
      </c>
      <c r="CN48" s="1788">
        <v>406.75056999999998</v>
      </c>
      <c r="CO48" s="1788">
        <v>13.238</v>
      </c>
      <c r="CP48" s="1788">
        <v>407.98237</v>
      </c>
      <c r="CQ48" s="1788">
        <v>13.238</v>
      </c>
      <c r="CR48" s="1788">
        <v>407.98237</v>
      </c>
      <c r="CS48" s="1788">
        <v>13.238</v>
      </c>
      <c r="CT48" s="1788">
        <v>0</v>
      </c>
      <c r="CU48" s="1788">
        <v>0</v>
      </c>
      <c r="CV48" s="1788">
        <v>0</v>
      </c>
      <c r="CW48" s="1788">
        <v>0</v>
      </c>
      <c r="CX48" s="1788">
        <v>0</v>
      </c>
      <c r="CY48" s="1788">
        <v>0</v>
      </c>
      <c r="CZ48" s="1788">
        <v>0</v>
      </c>
      <c r="DA48" s="1788">
        <v>0</v>
      </c>
      <c r="DB48" s="1788">
        <v>413.06063</v>
      </c>
      <c r="DC48" s="1788">
        <v>0</v>
      </c>
      <c r="DD48" s="1788">
        <v>413.70938000000001</v>
      </c>
      <c r="DE48" s="1788">
        <v>0</v>
      </c>
      <c r="DF48" s="1788">
        <v>413.70938000000001</v>
      </c>
      <c r="DG48" s="1788">
        <v>0</v>
      </c>
      <c r="DH48" s="1788">
        <v>413.70938000000001</v>
      </c>
      <c r="DI48" s="1788">
        <v>0</v>
      </c>
      <c r="DJ48" s="1788">
        <v>436.88190999999995</v>
      </c>
      <c r="DK48" s="1788">
        <v>0</v>
      </c>
      <c r="DL48" s="1788">
        <v>436.88191</v>
      </c>
      <c r="DM48" s="1788">
        <v>0</v>
      </c>
      <c r="DN48" s="1788">
        <v>436.88191</v>
      </c>
      <c r="DO48" s="1788">
        <v>0</v>
      </c>
      <c r="DP48" s="1788">
        <v>452.64600000000002</v>
      </c>
      <c r="DQ48" s="1789">
        <v>0</v>
      </c>
      <c r="DR48" s="1790">
        <v>0</v>
      </c>
      <c r="DS48" s="1791">
        <v>0</v>
      </c>
      <c r="DT48" s="1792">
        <v>0</v>
      </c>
      <c r="DU48" s="1789">
        <v>0</v>
      </c>
      <c r="DV48" s="1790">
        <v>0</v>
      </c>
      <c r="DW48" s="1791">
        <v>0</v>
      </c>
      <c r="DX48" s="1792">
        <v>0</v>
      </c>
      <c r="DY48" s="1789">
        <v>0</v>
      </c>
      <c r="DZ48" s="1790">
        <v>417.37450999999999</v>
      </c>
      <c r="EA48" s="1791">
        <v>0</v>
      </c>
      <c r="EB48" s="1792">
        <v>416.72575999999998</v>
      </c>
      <c r="EC48" s="1789">
        <v>0</v>
      </c>
      <c r="ED48" s="1790">
        <v>417.37450999999999</v>
      </c>
      <c r="EE48" s="1791">
        <v>0</v>
      </c>
      <c r="EF48" s="1790">
        <v>417.37450999999999</v>
      </c>
      <c r="EG48" s="1791">
        <v>0</v>
      </c>
      <c r="EH48" s="1792">
        <v>417.37450999999999</v>
      </c>
      <c r="EI48" s="1791">
        <v>0</v>
      </c>
      <c r="EJ48" s="1792">
        <v>417.37450999999999</v>
      </c>
      <c r="EK48" s="1791">
        <v>0</v>
      </c>
      <c r="EL48" s="1790">
        <v>417.37450999999999</v>
      </c>
      <c r="EM48" s="1793">
        <v>0</v>
      </c>
      <c r="EN48" s="1790">
        <v>442.06891000000002</v>
      </c>
      <c r="EO48" s="1793">
        <v>0</v>
      </c>
      <c r="EP48" s="1790">
        <v>0</v>
      </c>
      <c r="EQ48" s="1793">
        <v>0</v>
      </c>
      <c r="ER48" s="1790">
        <v>0</v>
      </c>
      <c r="ES48" s="1793">
        <v>0</v>
      </c>
      <c r="ET48" s="1790">
        <v>0</v>
      </c>
      <c r="EU48" s="1793">
        <v>0</v>
      </c>
      <c r="EV48" s="1790">
        <v>0</v>
      </c>
      <c r="EW48" s="1793">
        <v>0</v>
      </c>
      <c r="EX48" s="1790">
        <v>445.5462</v>
      </c>
      <c r="EY48" s="1793">
        <v>0</v>
      </c>
      <c r="EZ48" s="1790">
        <v>445.5462</v>
      </c>
      <c r="FA48" s="1793">
        <v>0</v>
      </c>
      <c r="FB48" s="1790">
        <v>445.5462</v>
      </c>
      <c r="FC48" s="1793">
        <v>0</v>
      </c>
      <c r="FD48" s="1790">
        <v>445.5462</v>
      </c>
      <c r="FE48" s="1793">
        <v>0</v>
      </c>
      <c r="FF48" s="1790">
        <v>445.5462</v>
      </c>
      <c r="FG48" s="1793">
        <v>0</v>
      </c>
      <c r="FH48" s="1790">
        <v>445.5462</v>
      </c>
      <c r="FI48" s="1793">
        <v>0</v>
      </c>
      <c r="FJ48" s="1790">
        <v>445.5462</v>
      </c>
      <c r="FK48" s="1793">
        <v>0</v>
      </c>
      <c r="FL48" s="1790">
        <v>475.54177000000004</v>
      </c>
      <c r="FM48" s="1793">
        <v>0</v>
      </c>
      <c r="FN48" s="1790">
        <v>0</v>
      </c>
      <c r="FO48" s="1793">
        <v>0</v>
      </c>
      <c r="FP48" s="1790">
        <v>0</v>
      </c>
      <c r="FQ48" s="1793">
        <v>0</v>
      </c>
      <c r="FR48" s="1790">
        <v>0</v>
      </c>
      <c r="FS48" s="1793">
        <v>0</v>
      </c>
      <c r="FT48" s="1790">
        <v>0</v>
      </c>
      <c r="FU48" s="1793">
        <v>0</v>
      </c>
      <c r="FV48" s="1790">
        <v>480.88665000000003</v>
      </c>
      <c r="FW48" s="1793">
        <v>0</v>
      </c>
      <c r="FX48" s="1790">
        <v>480.88664999999997</v>
      </c>
      <c r="FY48" s="1793">
        <v>0</v>
      </c>
      <c r="FZ48" s="1790">
        <v>480.88664999999997</v>
      </c>
      <c r="GA48" s="1793">
        <v>0</v>
      </c>
      <c r="GB48" s="1790">
        <v>480.88664999999997</v>
      </c>
      <c r="GC48" s="1793">
        <v>0</v>
      </c>
      <c r="GD48" s="1790">
        <v>480.88664999999997</v>
      </c>
      <c r="GE48" s="1793">
        <v>0</v>
      </c>
      <c r="GF48" s="1790">
        <v>480.88664999999997</v>
      </c>
      <c r="GG48" s="1793">
        <v>0</v>
      </c>
      <c r="GH48" s="1790">
        <v>480.88664999999997</v>
      </c>
      <c r="GI48" s="1793">
        <v>0</v>
      </c>
      <c r="GJ48" s="1790">
        <v>510.49029999999999</v>
      </c>
      <c r="GK48" s="1793">
        <v>0</v>
      </c>
      <c r="GL48" s="1790">
        <v>0</v>
      </c>
      <c r="GM48" s="1793">
        <v>0</v>
      </c>
      <c r="GN48" s="1790">
        <v>1</v>
      </c>
      <c r="GO48" s="1793">
        <v>0</v>
      </c>
      <c r="GP48" s="1790">
        <v>1</v>
      </c>
      <c r="GQ48" s="1793">
        <v>0</v>
      </c>
      <c r="GR48" s="1790">
        <v>1</v>
      </c>
      <c r="GS48" s="1793">
        <v>0</v>
      </c>
      <c r="GT48" s="1790">
        <v>474.50646</v>
      </c>
      <c r="GU48" s="1793">
        <v>0</v>
      </c>
      <c r="GV48" s="1790">
        <v>474.50646</v>
      </c>
      <c r="GW48" s="1793">
        <v>0</v>
      </c>
      <c r="GX48" s="1790">
        <v>474.50646</v>
      </c>
      <c r="GY48" s="1793">
        <v>0</v>
      </c>
      <c r="GZ48" s="1790">
        <v>474.50646</v>
      </c>
      <c r="HA48" s="1793">
        <v>0</v>
      </c>
      <c r="HB48" s="1790">
        <v>474.50646</v>
      </c>
      <c r="HC48" s="1793">
        <v>0</v>
      </c>
      <c r="HD48" s="1790">
        <v>474.50646</v>
      </c>
      <c r="HE48" s="1793">
        <v>0</v>
      </c>
      <c r="HF48" s="1790">
        <v>474.50646</v>
      </c>
      <c r="HG48" s="1793">
        <v>0</v>
      </c>
      <c r="HH48" s="1790">
        <v>495.84913</v>
      </c>
      <c r="HI48" s="1793">
        <v>0</v>
      </c>
      <c r="HJ48" s="1790">
        <v>0</v>
      </c>
      <c r="HK48" s="1793">
        <v>0</v>
      </c>
      <c r="HL48" s="1790">
        <v>1</v>
      </c>
      <c r="HM48" s="1793">
        <v>0</v>
      </c>
      <c r="HN48" s="1790">
        <v>1</v>
      </c>
      <c r="HO48" s="1793">
        <v>0</v>
      </c>
      <c r="HP48" s="1790">
        <v>1</v>
      </c>
      <c r="HQ48" s="1793">
        <v>0</v>
      </c>
      <c r="HR48" s="1790">
        <v>20.459219999999998</v>
      </c>
      <c r="HS48" s="1793">
        <v>0</v>
      </c>
      <c r="HT48" s="1790">
        <v>507.54901999999998</v>
      </c>
      <c r="HU48" s="1793">
        <v>0</v>
      </c>
      <c r="HV48" s="1794" t="s">
        <v>3195</v>
      </c>
      <c r="HX48" s="1805"/>
    </row>
    <row r="49" spans="1:234" s="1774" customFormat="1" ht="22.5" customHeight="1">
      <c r="A49" s="1795" t="s">
        <v>2276</v>
      </c>
      <c r="B49" s="1796">
        <v>0</v>
      </c>
      <c r="C49" s="1796">
        <v>0</v>
      </c>
      <c r="D49" s="1796">
        <v>0</v>
      </c>
      <c r="E49" s="1796">
        <v>0</v>
      </c>
      <c r="F49" s="1796">
        <v>0</v>
      </c>
      <c r="G49" s="1796">
        <v>0</v>
      </c>
      <c r="H49" s="1796">
        <v>0</v>
      </c>
      <c r="I49" s="1796">
        <v>0</v>
      </c>
      <c r="J49" s="1796">
        <v>0</v>
      </c>
      <c r="K49" s="1796">
        <v>0</v>
      </c>
      <c r="L49" s="1796">
        <v>9.2696000000000005</v>
      </c>
      <c r="M49" s="1796">
        <v>0</v>
      </c>
      <c r="N49" s="1796">
        <v>9.2696000000000005</v>
      </c>
      <c r="O49" s="1796">
        <v>0</v>
      </c>
      <c r="P49" s="1796">
        <v>9.2696000000000005</v>
      </c>
      <c r="Q49" s="1796">
        <v>0</v>
      </c>
      <c r="R49" s="1796">
        <v>9.2696000000000005</v>
      </c>
      <c r="S49" s="1796">
        <v>0</v>
      </c>
      <c r="T49" s="1796">
        <v>9.2696000000000005</v>
      </c>
      <c r="U49" s="1796">
        <v>0</v>
      </c>
      <c r="V49" s="1796">
        <v>9.2696000000000005</v>
      </c>
      <c r="W49" s="1796">
        <v>0</v>
      </c>
      <c r="X49" s="1796">
        <v>9.2696000000000005</v>
      </c>
      <c r="Y49" s="1796">
        <v>0</v>
      </c>
      <c r="Z49" s="1796">
        <v>0</v>
      </c>
      <c r="AA49" s="1796">
        <v>0</v>
      </c>
      <c r="AB49" s="1796">
        <v>0</v>
      </c>
      <c r="AC49" s="1796">
        <v>0</v>
      </c>
      <c r="AD49" s="1796">
        <v>0</v>
      </c>
      <c r="AE49" s="1796">
        <v>0</v>
      </c>
      <c r="AF49" s="1796">
        <v>0.56496000000000002</v>
      </c>
      <c r="AG49" s="1796">
        <v>0</v>
      </c>
      <c r="AH49" s="1796">
        <v>0.56496000000000002</v>
      </c>
      <c r="AI49" s="1796">
        <v>0</v>
      </c>
      <c r="AJ49" s="1796">
        <v>0.56496000000000002</v>
      </c>
      <c r="AK49" s="1796">
        <v>0</v>
      </c>
      <c r="AL49" s="1796">
        <v>0.56496000000000002</v>
      </c>
      <c r="AM49" s="1796">
        <v>0</v>
      </c>
      <c r="AN49" s="1796">
        <v>0.56496000000000002</v>
      </c>
      <c r="AO49" s="1796">
        <v>0</v>
      </c>
      <c r="AP49" s="1796">
        <v>0.56496000000000002</v>
      </c>
      <c r="AQ49" s="1796">
        <v>0</v>
      </c>
      <c r="AR49" s="1796">
        <v>0.56496000000000002</v>
      </c>
      <c r="AS49" s="1796">
        <v>0</v>
      </c>
      <c r="AT49" s="1796">
        <v>0.56496000000000002</v>
      </c>
      <c r="AU49" s="1796">
        <v>0</v>
      </c>
      <c r="AV49" s="1796">
        <v>0.56496000000000002</v>
      </c>
      <c r="AW49" s="1796">
        <v>0</v>
      </c>
      <c r="AX49" s="1796">
        <v>2.19285</v>
      </c>
      <c r="AY49" s="1796">
        <v>0</v>
      </c>
      <c r="AZ49" s="1796">
        <v>2.19285</v>
      </c>
      <c r="BA49" s="1796">
        <v>0</v>
      </c>
      <c r="BB49" s="1796">
        <v>2.19285</v>
      </c>
      <c r="BC49" s="1796">
        <v>0</v>
      </c>
      <c r="BD49" s="1796">
        <v>2.8794499999999998</v>
      </c>
      <c r="BE49" s="1796">
        <v>0</v>
      </c>
      <c r="BF49" s="1796">
        <v>307.66515999999996</v>
      </c>
      <c r="BG49" s="1796">
        <v>0</v>
      </c>
      <c r="BH49" s="1796">
        <v>307.66515999999996</v>
      </c>
      <c r="BI49" s="1796">
        <v>0</v>
      </c>
      <c r="BJ49" s="1796">
        <v>317.04237000000001</v>
      </c>
      <c r="BK49" s="1796">
        <v>0</v>
      </c>
      <c r="BL49" s="1796">
        <v>317.36237</v>
      </c>
      <c r="BM49" s="1796">
        <v>0</v>
      </c>
      <c r="BN49" s="1796">
        <v>318.80237</v>
      </c>
      <c r="BO49" s="1796">
        <v>0</v>
      </c>
      <c r="BP49" s="1796">
        <v>318.80237</v>
      </c>
      <c r="BQ49" s="1796">
        <v>0</v>
      </c>
      <c r="BR49" s="1796">
        <v>318.80237</v>
      </c>
      <c r="BS49" s="1796">
        <v>0</v>
      </c>
      <c r="BT49" s="1796">
        <v>321.47416999999996</v>
      </c>
      <c r="BU49" s="1796">
        <v>0</v>
      </c>
      <c r="BV49" s="1796">
        <v>1.2556500000000002</v>
      </c>
      <c r="BW49" s="1796">
        <v>13.238</v>
      </c>
      <c r="BX49" s="1796">
        <v>2.8156599999999998</v>
      </c>
      <c r="BY49" s="1796">
        <v>13.238</v>
      </c>
      <c r="BZ49" s="1796">
        <v>1.5600099999999999</v>
      </c>
      <c r="CA49" s="1796">
        <v>13.238</v>
      </c>
      <c r="CB49" s="1796">
        <v>2.0400100000000001</v>
      </c>
      <c r="CC49" s="1796">
        <v>13.238</v>
      </c>
      <c r="CD49" s="1796">
        <v>406.43056999999999</v>
      </c>
      <c r="CE49" s="1796">
        <v>13.238</v>
      </c>
      <c r="CF49" s="1796">
        <v>406.43056999999999</v>
      </c>
      <c r="CG49" s="1796">
        <v>13.238</v>
      </c>
      <c r="CH49" s="1796">
        <v>406.43056999999999</v>
      </c>
      <c r="CI49" s="1796">
        <v>13.238</v>
      </c>
      <c r="CJ49" s="1796">
        <v>406.75056999999998</v>
      </c>
      <c r="CK49" s="1796">
        <v>13.238</v>
      </c>
      <c r="CL49" s="1796">
        <v>406.75056999999998</v>
      </c>
      <c r="CM49" s="1796">
        <v>13.238</v>
      </c>
      <c r="CN49" s="1796">
        <v>406.75056999999998</v>
      </c>
      <c r="CO49" s="1796">
        <v>13.238</v>
      </c>
      <c r="CP49" s="1796">
        <v>407.98237</v>
      </c>
      <c r="CQ49" s="1796">
        <v>13.238</v>
      </c>
      <c r="CR49" s="1796">
        <v>407.98237</v>
      </c>
      <c r="CS49" s="1796">
        <v>13.238</v>
      </c>
      <c r="CT49" s="1796">
        <v>0</v>
      </c>
      <c r="CU49" s="1796">
        <v>0</v>
      </c>
      <c r="CV49" s="1796">
        <v>0</v>
      </c>
      <c r="CW49" s="1796">
        <v>0</v>
      </c>
      <c r="CX49" s="1796">
        <v>0</v>
      </c>
      <c r="CY49" s="1796">
        <v>0</v>
      </c>
      <c r="CZ49" s="1796">
        <v>0</v>
      </c>
      <c r="DA49" s="1796">
        <v>0</v>
      </c>
      <c r="DB49" s="1796">
        <v>413.06063</v>
      </c>
      <c r="DC49" s="1796">
        <v>0</v>
      </c>
      <c r="DD49" s="1796">
        <v>413.70938000000001</v>
      </c>
      <c r="DE49" s="1796">
        <v>0</v>
      </c>
      <c r="DF49" s="1796">
        <v>413.70938000000001</v>
      </c>
      <c r="DG49" s="1796">
        <v>0</v>
      </c>
      <c r="DH49" s="1796">
        <v>413.70938000000001</v>
      </c>
      <c r="DI49" s="1796">
        <v>0</v>
      </c>
      <c r="DJ49" s="1796">
        <v>436.88190999999995</v>
      </c>
      <c r="DK49" s="1796">
        <v>0</v>
      </c>
      <c r="DL49" s="1796">
        <v>436.88191</v>
      </c>
      <c r="DM49" s="1796">
        <v>0</v>
      </c>
      <c r="DN49" s="1796">
        <v>436.88191</v>
      </c>
      <c r="DO49" s="1796">
        <v>0</v>
      </c>
      <c r="DP49" s="1796">
        <v>452.64600000000002</v>
      </c>
      <c r="DQ49" s="1797">
        <v>0</v>
      </c>
      <c r="DR49" s="1798">
        <v>0</v>
      </c>
      <c r="DS49" s="1799">
        <v>0</v>
      </c>
      <c r="DT49" s="1800">
        <v>0</v>
      </c>
      <c r="DU49" s="1797">
        <v>0</v>
      </c>
      <c r="DV49" s="1798">
        <v>0</v>
      </c>
      <c r="DW49" s="1799">
        <v>0</v>
      </c>
      <c r="DX49" s="1800">
        <v>0</v>
      </c>
      <c r="DY49" s="1797">
        <v>0</v>
      </c>
      <c r="DZ49" s="1798">
        <v>417.37450999999999</v>
      </c>
      <c r="EA49" s="1799">
        <v>0</v>
      </c>
      <c r="EB49" s="1800">
        <v>416.72575999999998</v>
      </c>
      <c r="EC49" s="1797">
        <v>0</v>
      </c>
      <c r="ED49" s="1798">
        <v>417.37450999999999</v>
      </c>
      <c r="EE49" s="1799">
        <v>0</v>
      </c>
      <c r="EF49" s="1798">
        <v>417.37450999999999</v>
      </c>
      <c r="EG49" s="1799">
        <v>0</v>
      </c>
      <c r="EH49" s="1800">
        <v>417.37450999999999</v>
      </c>
      <c r="EI49" s="1799">
        <v>0</v>
      </c>
      <c r="EJ49" s="1800">
        <v>417.37450999999999</v>
      </c>
      <c r="EK49" s="1799">
        <v>0</v>
      </c>
      <c r="EL49" s="1798">
        <v>417.37450999999999</v>
      </c>
      <c r="EM49" s="1801">
        <v>0</v>
      </c>
      <c r="EN49" s="1798">
        <v>442.06891000000002</v>
      </c>
      <c r="EO49" s="1801">
        <v>0</v>
      </c>
      <c r="EP49" s="1798">
        <v>0</v>
      </c>
      <c r="EQ49" s="1801">
        <v>0</v>
      </c>
      <c r="ER49" s="1798">
        <v>0</v>
      </c>
      <c r="ES49" s="1801">
        <v>0</v>
      </c>
      <c r="ET49" s="1798">
        <v>0</v>
      </c>
      <c r="EU49" s="1801">
        <v>0</v>
      </c>
      <c r="EV49" s="1798">
        <v>0</v>
      </c>
      <c r="EW49" s="1801">
        <v>0</v>
      </c>
      <c r="EX49" s="1798">
        <v>445.5462</v>
      </c>
      <c r="EY49" s="1801">
        <v>0</v>
      </c>
      <c r="EZ49" s="1798">
        <v>445.5462</v>
      </c>
      <c r="FA49" s="1801">
        <v>0</v>
      </c>
      <c r="FB49" s="1798">
        <v>445.5462</v>
      </c>
      <c r="FC49" s="1801">
        <v>0</v>
      </c>
      <c r="FD49" s="1798">
        <v>445.5462</v>
      </c>
      <c r="FE49" s="1801">
        <v>0</v>
      </c>
      <c r="FF49" s="1798">
        <v>445.5462</v>
      </c>
      <c r="FG49" s="1801">
        <v>0</v>
      </c>
      <c r="FH49" s="1798">
        <v>445.5462</v>
      </c>
      <c r="FI49" s="1801">
        <v>0</v>
      </c>
      <c r="FJ49" s="1798">
        <v>445.5462</v>
      </c>
      <c r="FK49" s="1801">
        <v>0</v>
      </c>
      <c r="FL49" s="1798">
        <v>475.54177000000004</v>
      </c>
      <c r="FM49" s="1801">
        <v>0</v>
      </c>
      <c r="FN49" s="1798">
        <v>0</v>
      </c>
      <c r="FO49" s="1801">
        <v>0</v>
      </c>
      <c r="FP49" s="1798">
        <v>0</v>
      </c>
      <c r="FQ49" s="1801">
        <v>0</v>
      </c>
      <c r="FR49" s="1798">
        <v>0</v>
      </c>
      <c r="FS49" s="1801">
        <v>0</v>
      </c>
      <c r="FT49" s="1798">
        <v>0</v>
      </c>
      <c r="FU49" s="1801">
        <v>0</v>
      </c>
      <c r="FV49" s="1798">
        <v>480.88665000000003</v>
      </c>
      <c r="FW49" s="1801">
        <v>0</v>
      </c>
      <c r="FX49" s="1798">
        <v>480.88664999999997</v>
      </c>
      <c r="FY49" s="1801">
        <v>0</v>
      </c>
      <c r="FZ49" s="1798">
        <v>480.88664999999997</v>
      </c>
      <c r="GA49" s="1801">
        <v>0</v>
      </c>
      <c r="GB49" s="1798">
        <v>480.88664999999997</v>
      </c>
      <c r="GC49" s="1801">
        <v>0</v>
      </c>
      <c r="GD49" s="1798">
        <v>480.88664999999997</v>
      </c>
      <c r="GE49" s="1801">
        <v>0</v>
      </c>
      <c r="GF49" s="1798">
        <v>480.88664999999997</v>
      </c>
      <c r="GG49" s="1801">
        <v>0</v>
      </c>
      <c r="GH49" s="1798">
        <v>480.88664999999997</v>
      </c>
      <c r="GI49" s="1801">
        <v>0</v>
      </c>
      <c r="GJ49" s="1798">
        <v>510.49029999999999</v>
      </c>
      <c r="GK49" s="1801">
        <v>0</v>
      </c>
      <c r="GL49" s="1798">
        <v>0</v>
      </c>
      <c r="GM49" s="1801">
        <v>0</v>
      </c>
      <c r="GN49" s="1798">
        <v>1</v>
      </c>
      <c r="GO49" s="1801">
        <v>0</v>
      </c>
      <c r="GP49" s="1798">
        <v>1</v>
      </c>
      <c r="GQ49" s="1801">
        <v>0</v>
      </c>
      <c r="GR49" s="1798">
        <v>1</v>
      </c>
      <c r="GS49" s="1801">
        <v>0</v>
      </c>
      <c r="GT49" s="1798">
        <v>474.50646</v>
      </c>
      <c r="GU49" s="1801">
        <v>0</v>
      </c>
      <c r="GV49" s="1798">
        <v>474.50646</v>
      </c>
      <c r="GW49" s="1801">
        <v>0</v>
      </c>
      <c r="GX49" s="1798">
        <v>474.50646</v>
      </c>
      <c r="GY49" s="1801">
        <v>0</v>
      </c>
      <c r="GZ49" s="1798">
        <v>474.50646</v>
      </c>
      <c r="HA49" s="1801">
        <v>0</v>
      </c>
      <c r="HB49" s="1798">
        <v>474.50646</v>
      </c>
      <c r="HC49" s="1801">
        <v>0</v>
      </c>
      <c r="HD49" s="1798">
        <v>474.50646</v>
      </c>
      <c r="HE49" s="1801">
        <v>0</v>
      </c>
      <c r="HF49" s="1798">
        <v>474.50646</v>
      </c>
      <c r="HG49" s="1801">
        <v>0</v>
      </c>
      <c r="HH49" s="1798">
        <v>495.84913</v>
      </c>
      <c r="HI49" s="1801">
        <v>0</v>
      </c>
      <c r="HJ49" s="1798">
        <v>0</v>
      </c>
      <c r="HK49" s="1801">
        <v>0</v>
      </c>
      <c r="HL49" s="1798">
        <v>1</v>
      </c>
      <c r="HM49" s="1801">
        <v>0</v>
      </c>
      <c r="HN49" s="1798">
        <v>1</v>
      </c>
      <c r="HO49" s="1801">
        <v>0</v>
      </c>
      <c r="HP49" s="1798">
        <v>1</v>
      </c>
      <c r="HQ49" s="1801">
        <v>0</v>
      </c>
      <c r="HR49" s="1798">
        <v>20.459219999999998</v>
      </c>
      <c r="HS49" s="1801">
        <v>0</v>
      </c>
      <c r="HT49" s="1798">
        <v>507.54901999999998</v>
      </c>
      <c r="HU49" s="1801">
        <v>0</v>
      </c>
      <c r="HV49" s="1802" t="s">
        <v>3427</v>
      </c>
      <c r="HX49" s="1805"/>
    </row>
    <row r="50" spans="1:234" s="1774" customFormat="1" ht="22.5" customHeight="1">
      <c r="A50" s="1794" t="s">
        <v>2275</v>
      </c>
      <c r="B50" s="1788">
        <f t="shared" ref="B50:BM50" si="50">B52+B54</f>
        <v>11611.818950000001</v>
      </c>
      <c r="C50" s="1788">
        <f t="shared" si="50"/>
        <v>3949.48569</v>
      </c>
      <c r="D50" s="1788">
        <f t="shared" si="50"/>
        <v>22360.455129999998</v>
      </c>
      <c r="E50" s="1788">
        <f t="shared" si="50"/>
        <v>7948.8558000000003</v>
      </c>
      <c r="F50" s="1788">
        <f t="shared" si="50"/>
        <v>38768.336169999995</v>
      </c>
      <c r="G50" s="1788">
        <f t="shared" si="50"/>
        <v>12948.66258</v>
      </c>
      <c r="H50" s="1788">
        <f t="shared" si="50"/>
        <v>53405.956040000005</v>
      </c>
      <c r="I50" s="1788">
        <f t="shared" si="50"/>
        <v>17567.398399999998</v>
      </c>
      <c r="J50" s="1788">
        <f t="shared" si="50"/>
        <v>67468.390600000013</v>
      </c>
      <c r="K50" s="1788">
        <f t="shared" si="50"/>
        <v>21966.009310000005</v>
      </c>
      <c r="L50" s="1788">
        <f t="shared" si="50"/>
        <v>82355.958299999998</v>
      </c>
      <c r="M50" s="1788">
        <f t="shared" si="50"/>
        <v>25837.258080000007</v>
      </c>
      <c r="N50" s="1788">
        <f t="shared" si="50"/>
        <v>99372.473169999997</v>
      </c>
      <c r="O50" s="1788">
        <f t="shared" si="50"/>
        <v>30689.038120000001</v>
      </c>
      <c r="P50" s="1788">
        <f t="shared" si="50"/>
        <v>115937.07827999999</v>
      </c>
      <c r="Q50" s="1788">
        <f t="shared" si="50"/>
        <v>36314.476459999998</v>
      </c>
      <c r="R50" s="1788">
        <f t="shared" si="50"/>
        <v>132704.94069000002</v>
      </c>
      <c r="S50" s="1788">
        <f t="shared" si="50"/>
        <v>40854.17955999999</v>
      </c>
      <c r="T50" s="1788">
        <f t="shared" si="50"/>
        <v>155351.68312000003</v>
      </c>
      <c r="U50" s="1788">
        <f t="shared" si="50"/>
        <v>45737.200679999994</v>
      </c>
      <c r="V50" s="1788">
        <f t="shared" si="50"/>
        <v>168470.16164999999</v>
      </c>
      <c r="W50" s="1788">
        <f t="shared" si="50"/>
        <v>51161.473689999992</v>
      </c>
      <c r="X50" s="1788">
        <f t="shared" si="50"/>
        <v>181635.10555000001</v>
      </c>
      <c r="Y50" s="1788">
        <f t="shared" si="50"/>
        <v>57684.705239999996</v>
      </c>
      <c r="Z50" s="1788">
        <f t="shared" si="50"/>
        <v>10901.20126</v>
      </c>
      <c r="AA50" s="1788">
        <f t="shared" si="50"/>
        <v>4995.2671</v>
      </c>
      <c r="AB50" s="1788">
        <f t="shared" si="50"/>
        <v>23376.358039999999</v>
      </c>
      <c r="AC50" s="1788">
        <f t="shared" si="50"/>
        <v>10849.802179999999</v>
      </c>
      <c r="AD50" s="1788">
        <f t="shared" si="50"/>
        <v>36057.226300000002</v>
      </c>
      <c r="AE50" s="1788">
        <f t="shared" si="50"/>
        <v>15857.8236</v>
      </c>
      <c r="AF50" s="1788">
        <f t="shared" si="50"/>
        <v>80558.724530000007</v>
      </c>
      <c r="AG50" s="1788">
        <f t="shared" si="50"/>
        <v>21561.501070000002</v>
      </c>
      <c r="AH50" s="1788">
        <f t="shared" si="50"/>
        <v>95412.671089999989</v>
      </c>
      <c r="AI50" s="1788">
        <f t="shared" si="50"/>
        <v>27665.992920000004</v>
      </c>
      <c r="AJ50" s="1788">
        <f t="shared" si="50"/>
        <v>109532.84325999999</v>
      </c>
      <c r="AK50" s="1788">
        <f t="shared" si="50"/>
        <v>32197.48069</v>
      </c>
      <c r="AL50" s="1788">
        <f t="shared" si="50"/>
        <v>125373.81953000001</v>
      </c>
      <c r="AM50" s="1788">
        <f t="shared" si="50"/>
        <v>38395.118369999997</v>
      </c>
      <c r="AN50" s="1788">
        <f t="shared" si="50"/>
        <v>142260.94193</v>
      </c>
      <c r="AO50" s="1788">
        <f t="shared" si="50"/>
        <v>43941.965569999993</v>
      </c>
      <c r="AP50" s="1788">
        <f t="shared" si="50"/>
        <v>153593.75383999996</v>
      </c>
      <c r="AQ50" s="1788">
        <f t="shared" si="50"/>
        <v>49591.581520000014</v>
      </c>
      <c r="AR50" s="1788">
        <f t="shared" si="50"/>
        <v>166409.30296</v>
      </c>
      <c r="AS50" s="1788">
        <f t="shared" si="50"/>
        <v>56218.566330000001</v>
      </c>
      <c r="AT50" s="1788">
        <f t="shared" si="50"/>
        <v>178570.83778</v>
      </c>
      <c r="AU50" s="1788">
        <f t="shared" si="50"/>
        <v>61721.357839999997</v>
      </c>
      <c r="AV50" s="1788">
        <f t="shared" si="50"/>
        <v>191807.12871000002</v>
      </c>
      <c r="AW50" s="1788">
        <f t="shared" si="50"/>
        <v>67768.636160000009</v>
      </c>
      <c r="AX50" s="1788">
        <f t="shared" si="50"/>
        <v>15606.13017</v>
      </c>
      <c r="AY50" s="1788">
        <f t="shared" si="50"/>
        <v>6362.0858500000004</v>
      </c>
      <c r="AZ50" s="1788">
        <f t="shared" si="50"/>
        <v>28868.257840000002</v>
      </c>
      <c r="BA50" s="1788">
        <f t="shared" si="50"/>
        <v>11778.036810000001</v>
      </c>
      <c r="BB50" s="1788">
        <f t="shared" si="50"/>
        <v>71226.599180000005</v>
      </c>
      <c r="BC50" s="1788">
        <f t="shared" si="50"/>
        <v>16322.260400000001</v>
      </c>
      <c r="BD50" s="1788">
        <f t="shared" si="50"/>
        <v>89094.043239999999</v>
      </c>
      <c r="BE50" s="1788">
        <f t="shared" si="50"/>
        <v>23304.849030000001</v>
      </c>
      <c r="BF50" s="1788">
        <f t="shared" si="50"/>
        <v>106564.99370000001</v>
      </c>
      <c r="BG50" s="1788">
        <f t="shared" si="50"/>
        <v>29754.426670000001</v>
      </c>
      <c r="BH50" s="1788">
        <f t="shared" si="50"/>
        <v>119544.04553</v>
      </c>
      <c r="BI50" s="1788">
        <f t="shared" si="50"/>
        <v>35833.761849999995</v>
      </c>
      <c r="BJ50" s="1788">
        <f t="shared" si="50"/>
        <v>137327.86093</v>
      </c>
      <c r="BK50" s="1788">
        <f t="shared" si="50"/>
        <v>44644.09102</v>
      </c>
      <c r="BL50" s="1788">
        <f t="shared" si="50"/>
        <v>154159.21894000002</v>
      </c>
      <c r="BM50" s="1788">
        <f t="shared" si="50"/>
        <v>51350.613280000005</v>
      </c>
      <c r="BN50" s="1788">
        <f t="shared" ref="BN50:DY50" si="51">BN52+BN54</f>
        <v>170731.42296000003</v>
      </c>
      <c r="BO50" s="1788">
        <f t="shared" si="51"/>
        <v>58259.038339999999</v>
      </c>
      <c r="BP50" s="1788">
        <f t="shared" si="51"/>
        <v>183464.88166000001</v>
      </c>
      <c r="BQ50" s="1788">
        <f t="shared" si="51"/>
        <v>65815.875769999999</v>
      </c>
      <c r="BR50" s="1788">
        <f t="shared" si="51"/>
        <v>197741.30631000001</v>
      </c>
      <c r="BS50" s="1788">
        <f t="shared" si="51"/>
        <v>72680.720759999997</v>
      </c>
      <c r="BT50" s="1788">
        <f t="shared" si="51"/>
        <v>224572.63689000008</v>
      </c>
      <c r="BU50" s="1788">
        <f t="shared" si="51"/>
        <v>80626.652059999964</v>
      </c>
      <c r="BV50" s="1788">
        <f t="shared" si="51"/>
        <v>20794.79737</v>
      </c>
      <c r="BW50" s="1788">
        <f t="shared" si="51"/>
        <v>7504.5365200000006</v>
      </c>
      <c r="BX50" s="1788">
        <f t="shared" si="51"/>
        <v>67277.857990000004</v>
      </c>
      <c r="BY50" s="1788">
        <f t="shared" si="51"/>
        <v>15095.430359999998</v>
      </c>
      <c r="BZ50" s="1788">
        <f t="shared" si="51"/>
        <v>80246.469590000008</v>
      </c>
      <c r="CA50" s="1788">
        <f t="shared" si="51"/>
        <v>19606.409680000001</v>
      </c>
      <c r="CB50" s="1788">
        <f t="shared" si="51"/>
        <v>101529.69776000001</v>
      </c>
      <c r="CC50" s="1788">
        <f t="shared" si="51"/>
        <v>25282.572169999996</v>
      </c>
      <c r="CD50" s="1788">
        <f t="shared" si="51"/>
        <v>118354.49636000002</v>
      </c>
      <c r="CE50" s="1788">
        <f t="shared" si="51"/>
        <v>29247.678780000002</v>
      </c>
      <c r="CF50" s="1788">
        <f t="shared" si="51"/>
        <v>132246.10206</v>
      </c>
      <c r="CG50" s="1788">
        <f t="shared" si="51"/>
        <v>34332.592920000003</v>
      </c>
      <c r="CH50" s="1788">
        <f t="shared" si="51"/>
        <v>147250.72145000001</v>
      </c>
      <c r="CI50" s="1788">
        <f t="shared" si="51"/>
        <v>39128.440699999999</v>
      </c>
      <c r="CJ50" s="1788">
        <f t="shared" si="51"/>
        <v>162797.23939999999</v>
      </c>
      <c r="CK50" s="1788">
        <f t="shared" si="51"/>
        <v>43910.514479999998</v>
      </c>
      <c r="CL50" s="1788">
        <f t="shared" si="51"/>
        <v>179829.82478999998</v>
      </c>
      <c r="CM50" s="1788">
        <f t="shared" si="51"/>
        <v>50462.66102</v>
      </c>
      <c r="CN50" s="1788">
        <f t="shared" si="51"/>
        <v>193151.91069999998</v>
      </c>
      <c r="CO50" s="1788">
        <f t="shared" si="51"/>
        <v>56096.271639999999</v>
      </c>
      <c r="CP50" s="1788">
        <f t="shared" si="51"/>
        <v>206543.40607</v>
      </c>
      <c r="CQ50" s="1788">
        <f t="shared" si="51"/>
        <v>63384.148890000004</v>
      </c>
      <c r="CR50" s="1788">
        <f t="shared" si="51"/>
        <v>225865.35851000002</v>
      </c>
      <c r="CS50" s="1788">
        <f t="shared" si="51"/>
        <v>86411.88609</v>
      </c>
      <c r="CT50" s="1788">
        <f t="shared" si="51"/>
        <v>19832.496029999998</v>
      </c>
      <c r="CU50" s="1788">
        <f t="shared" si="51"/>
        <v>19652.993150000002</v>
      </c>
      <c r="CV50" s="1788">
        <f t="shared" si="51"/>
        <v>42697.492289999995</v>
      </c>
      <c r="CW50" s="1788">
        <f t="shared" si="51"/>
        <v>33060.477250000004</v>
      </c>
      <c r="CX50" s="1788">
        <f t="shared" si="51"/>
        <v>93340.679659999994</v>
      </c>
      <c r="CY50" s="1788">
        <f t="shared" si="51"/>
        <v>41014.721119999995</v>
      </c>
      <c r="CZ50" s="1788">
        <f t="shared" si="51"/>
        <v>116691.06636000001</v>
      </c>
      <c r="DA50" s="1788">
        <f t="shared" si="51"/>
        <v>50416.674050000001</v>
      </c>
      <c r="DB50" s="1788">
        <f t="shared" si="51"/>
        <v>133213.60582999999</v>
      </c>
      <c r="DC50" s="1788">
        <f t="shared" si="51"/>
        <v>56692.474130000002</v>
      </c>
      <c r="DD50" s="1788">
        <f t="shared" si="51"/>
        <v>147852.96007999999</v>
      </c>
      <c r="DE50" s="1788">
        <f t="shared" si="51"/>
        <v>64536.084889999998</v>
      </c>
      <c r="DF50" s="1788">
        <f t="shared" si="51"/>
        <v>163465.39016999997</v>
      </c>
      <c r="DG50" s="1788">
        <f t="shared" si="51"/>
        <v>72994.912939999995</v>
      </c>
      <c r="DH50" s="1788">
        <f t="shared" si="51"/>
        <v>181767.19612000001</v>
      </c>
      <c r="DI50" s="1788">
        <f t="shared" si="51"/>
        <v>82121.944059999994</v>
      </c>
      <c r="DJ50" s="1788">
        <f t="shared" si="51"/>
        <v>207648.49912999998</v>
      </c>
      <c r="DK50" s="1788">
        <f t="shared" si="51"/>
        <v>92651.696059999987</v>
      </c>
      <c r="DL50" s="1788">
        <f t="shared" si="51"/>
        <v>223047.62884999998</v>
      </c>
      <c r="DM50" s="1788">
        <f t="shared" si="51"/>
        <v>101362.81264</v>
      </c>
      <c r="DN50" s="1788">
        <f t="shared" si="51"/>
        <v>239015.98203000004</v>
      </c>
      <c r="DO50" s="1788">
        <f t="shared" si="51"/>
        <v>110110.4673</v>
      </c>
      <c r="DP50" s="1788">
        <f t="shared" si="51"/>
        <v>257302.64898999999</v>
      </c>
      <c r="DQ50" s="1789">
        <f t="shared" si="51"/>
        <v>119460.75782</v>
      </c>
      <c r="DR50" s="1806">
        <f t="shared" si="51"/>
        <v>18538.88263</v>
      </c>
      <c r="DS50" s="1807">
        <f t="shared" si="51"/>
        <v>7204.4734900000003</v>
      </c>
      <c r="DT50" s="1792">
        <f t="shared" si="51"/>
        <v>35170.706870000002</v>
      </c>
      <c r="DU50" s="1789">
        <f t="shared" si="51"/>
        <v>14472.987370000001</v>
      </c>
      <c r="DV50" s="1790">
        <f t="shared" si="51"/>
        <v>64435.877269999997</v>
      </c>
      <c r="DW50" s="1791">
        <f t="shared" si="51"/>
        <v>22329.003340000003</v>
      </c>
      <c r="DX50" s="1792">
        <f t="shared" si="51"/>
        <v>91026.119080000004</v>
      </c>
      <c r="DY50" s="1789">
        <f t="shared" si="51"/>
        <v>31066.905129999999</v>
      </c>
      <c r="DZ50" s="1790">
        <f t="shared" ref="DZ50:GK50" si="52">DZ52+DZ54</f>
        <v>108572.48303999999</v>
      </c>
      <c r="EA50" s="1791">
        <f t="shared" si="52"/>
        <v>38434.226199999997</v>
      </c>
      <c r="EB50" s="1792">
        <f t="shared" si="52"/>
        <v>124906.58470000001</v>
      </c>
      <c r="EC50" s="1789">
        <f t="shared" si="52"/>
        <v>44673.88607</v>
      </c>
      <c r="ED50" s="1790">
        <f t="shared" si="52"/>
        <v>141790.74886000002</v>
      </c>
      <c r="EE50" s="1791">
        <f t="shared" si="52"/>
        <v>54345.687170000005</v>
      </c>
      <c r="EF50" s="1790">
        <f t="shared" si="52"/>
        <v>161232.07725</v>
      </c>
      <c r="EG50" s="1793">
        <f t="shared" si="52"/>
        <v>63354.652249999992</v>
      </c>
      <c r="EH50" s="1789">
        <f t="shared" si="52"/>
        <v>177654.48267</v>
      </c>
      <c r="EI50" s="1791">
        <f t="shared" si="52"/>
        <v>71847.782859999992</v>
      </c>
      <c r="EJ50" s="1789">
        <f t="shared" si="52"/>
        <v>195772.11609999998</v>
      </c>
      <c r="EK50" s="1791">
        <f t="shared" si="52"/>
        <v>80077.823999999993</v>
      </c>
      <c r="EL50" s="1790">
        <f t="shared" si="52"/>
        <v>217493.87023</v>
      </c>
      <c r="EM50" s="1793">
        <f t="shared" si="52"/>
        <v>87206.433450000011</v>
      </c>
      <c r="EN50" s="1790">
        <f t="shared" si="52"/>
        <v>242751.74097999997</v>
      </c>
      <c r="EO50" s="1793">
        <f t="shared" si="52"/>
        <v>95569.317139999999</v>
      </c>
      <c r="EP50" s="1790">
        <f t="shared" si="52"/>
        <v>18323.396119999998</v>
      </c>
      <c r="EQ50" s="1793">
        <f t="shared" si="52"/>
        <v>8298.2185100000006</v>
      </c>
      <c r="ER50" s="1790">
        <f t="shared" si="52"/>
        <v>49640.55949</v>
      </c>
      <c r="ES50" s="1793">
        <f t="shared" si="52"/>
        <v>17923.35382</v>
      </c>
      <c r="ET50" s="1790">
        <f t="shared" si="52"/>
        <v>91553.607300000003</v>
      </c>
      <c r="EU50" s="1793">
        <f t="shared" si="52"/>
        <v>24071.867689999999</v>
      </c>
      <c r="EV50" s="1790">
        <f t="shared" si="52"/>
        <v>125676.38940999999</v>
      </c>
      <c r="EW50" s="1793">
        <f t="shared" si="52"/>
        <v>32099.746530000004</v>
      </c>
      <c r="EX50" s="1790">
        <f t="shared" si="52"/>
        <v>155767.65390999999</v>
      </c>
      <c r="EY50" s="1793">
        <f t="shared" si="52"/>
        <v>41095.866170000008</v>
      </c>
      <c r="EZ50" s="1790">
        <f t="shared" si="52"/>
        <v>178289.40106</v>
      </c>
      <c r="FA50" s="1793">
        <f t="shared" si="52"/>
        <v>50207.821170000003</v>
      </c>
      <c r="FB50" s="1790">
        <f t="shared" si="52"/>
        <v>202513.69727999996</v>
      </c>
      <c r="FC50" s="1793">
        <f t="shared" si="52"/>
        <v>61651.136419999995</v>
      </c>
      <c r="FD50" s="1790">
        <f t="shared" si="52"/>
        <v>227933.76619000002</v>
      </c>
      <c r="FE50" s="1793">
        <f t="shared" si="52"/>
        <v>71657.742529999989</v>
      </c>
      <c r="FF50" s="1790">
        <f t="shared" si="52"/>
        <v>249863.48042999997</v>
      </c>
      <c r="FG50" s="1793">
        <f t="shared" si="52"/>
        <v>80235.49688999998</v>
      </c>
      <c r="FH50" s="1790">
        <f t="shared" si="52"/>
        <v>270853.91370999999</v>
      </c>
      <c r="FI50" s="1793">
        <f t="shared" si="52"/>
        <v>90472.030400000003</v>
      </c>
      <c r="FJ50" s="1790">
        <f t="shared" si="52"/>
        <v>295634.78655999998</v>
      </c>
      <c r="FK50" s="1793">
        <f t="shared" si="52"/>
        <v>99114.295469999997</v>
      </c>
      <c r="FL50" s="1790">
        <f t="shared" si="52"/>
        <v>334432.83226</v>
      </c>
      <c r="FM50" s="1793">
        <f t="shared" si="52"/>
        <v>108072.42154999998</v>
      </c>
      <c r="FN50" s="1790">
        <f t="shared" si="52"/>
        <v>20806.944599999999</v>
      </c>
      <c r="FO50" s="1793">
        <f t="shared" si="52"/>
        <v>8235.7165599999989</v>
      </c>
      <c r="FP50" s="1790">
        <f t="shared" si="52"/>
        <v>48671.578589999997</v>
      </c>
      <c r="FQ50" s="1793">
        <f t="shared" si="52"/>
        <v>17611.541770000003</v>
      </c>
      <c r="FR50" s="1790">
        <f t="shared" si="52"/>
        <v>94828.714189999999</v>
      </c>
      <c r="FS50" s="1793">
        <f t="shared" si="52"/>
        <v>29190.895090000002</v>
      </c>
      <c r="FT50" s="1790">
        <f t="shared" si="52"/>
        <v>132439.75925</v>
      </c>
      <c r="FU50" s="1793">
        <f t="shared" si="52"/>
        <v>42370.788370000002</v>
      </c>
      <c r="FV50" s="1790">
        <f t="shared" si="52"/>
        <v>161865.89754999999</v>
      </c>
      <c r="FW50" s="1793">
        <f t="shared" si="52"/>
        <v>53976.300230000008</v>
      </c>
      <c r="FX50" s="1790">
        <f t="shared" si="52"/>
        <v>184097.79011</v>
      </c>
      <c r="FY50" s="1793">
        <f t="shared" si="52"/>
        <v>61333.222630000004</v>
      </c>
      <c r="FZ50" s="1790">
        <f t="shared" si="52"/>
        <v>209474.51175000001</v>
      </c>
      <c r="GA50" s="1793">
        <f t="shared" si="52"/>
        <v>71810.69561000001</v>
      </c>
      <c r="GB50" s="1790">
        <f t="shared" si="52"/>
        <v>235272.74362999998</v>
      </c>
      <c r="GC50" s="1793">
        <f t="shared" si="52"/>
        <v>83956.612259999994</v>
      </c>
      <c r="GD50" s="1790">
        <f t="shared" si="52"/>
        <v>258278.56758999999</v>
      </c>
      <c r="GE50" s="1793">
        <f t="shared" si="52"/>
        <v>98944.786680000005</v>
      </c>
      <c r="GF50" s="1790">
        <f t="shared" si="52"/>
        <v>282925.03862999997</v>
      </c>
      <c r="GG50" s="1793">
        <f t="shared" si="52"/>
        <v>112045.51282</v>
      </c>
      <c r="GH50" s="1790">
        <f t="shared" si="52"/>
        <v>309607.88324</v>
      </c>
      <c r="GI50" s="1793">
        <f t="shared" si="52"/>
        <v>125960.80951000001</v>
      </c>
      <c r="GJ50" s="1790">
        <f t="shared" si="52"/>
        <v>341855.65119000006</v>
      </c>
      <c r="GK50" s="1793">
        <f t="shared" si="52"/>
        <v>139695.84378</v>
      </c>
      <c r="GL50" s="1790">
        <f t="shared" ref="GL50:HQ50" si="53">GL52+GL54</f>
        <v>23057.145369999998</v>
      </c>
      <c r="GM50" s="1793">
        <f t="shared" si="53"/>
        <v>10103.972030000001</v>
      </c>
      <c r="GN50" s="1790">
        <f t="shared" si="53"/>
        <v>61116.02205</v>
      </c>
      <c r="GO50" s="1793">
        <f t="shared" si="53"/>
        <v>21228.420679999999</v>
      </c>
      <c r="GP50" s="1790">
        <f t="shared" si="53"/>
        <v>91137.981620000064</v>
      </c>
      <c r="GQ50" s="1793">
        <f t="shared" si="53"/>
        <v>29927.439519999996</v>
      </c>
      <c r="GR50" s="1790">
        <f t="shared" si="53"/>
        <v>136609.93744999997</v>
      </c>
      <c r="GS50" s="1793">
        <f t="shared" si="53"/>
        <v>44276.75619</v>
      </c>
      <c r="GT50" s="1790">
        <f t="shared" si="53"/>
        <v>171228.27626000001</v>
      </c>
      <c r="GU50" s="1793">
        <f t="shared" si="53"/>
        <v>57423.340700000008</v>
      </c>
      <c r="GV50" s="1790">
        <f t="shared" si="53"/>
        <v>194682.77546999999</v>
      </c>
      <c r="GW50" s="1793">
        <f t="shared" si="53"/>
        <v>68325.456080000004</v>
      </c>
      <c r="GX50" s="1790">
        <f t="shared" si="53"/>
        <v>221356.69780000002</v>
      </c>
      <c r="GY50" s="1793">
        <f t="shared" si="53"/>
        <v>80594.716530000005</v>
      </c>
      <c r="GZ50" s="1790">
        <f t="shared" si="53"/>
        <v>249861.09913999998</v>
      </c>
      <c r="HA50" s="1793">
        <f t="shared" si="53"/>
        <v>92674.686959999992</v>
      </c>
      <c r="HB50" s="1790">
        <f t="shared" si="53"/>
        <v>275409.85941000003</v>
      </c>
      <c r="HC50" s="1793">
        <f t="shared" si="53"/>
        <v>105421.47751</v>
      </c>
      <c r="HD50" s="1790">
        <f t="shared" si="53"/>
        <v>301329.60365</v>
      </c>
      <c r="HE50" s="1793">
        <f t="shared" si="53"/>
        <v>120840.5577</v>
      </c>
      <c r="HF50" s="1790">
        <f t="shared" si="53"/>
        <v>331339.01079000003</v>
      </c>
      <c r="HG50" s="1793">
        <f t="shared" si="53"/>
        <v>131691.43502999999</v>
      </c>
      <c r="HH50" s="1790">
        <f t="shared" si="53"/>
        <v>365811.01168999996</v>
      </c>
      <c r="HI50" s="1793">
        <f t="shared" si="53"/>
        <v>146570.78414999999</v>
      </c>
      <c r="HJ50" s="1790">
        <f t="shared" si="53"/>
        <v>20147.735400000001</v>
      </c>
      <c r="HK50" s="1793">
        <f t="shared" si="53"/>
        <v>11750.26238</v>
      </c>
      <c r="HL50" s="1790">
        <f t="shared" si="53"/>
        <v>43126.398030000004</v>
      </c>
      <c r="HM50" s="1793">
        <f t="shared" si="53"/>
        <v>27027.81828</v>
      </c>
      <c r="HN50" s="1790">
        <f t="shared" si="53"/>
        <v>65475.628939999995</v>
      </c>
      <c r="HO50" s="1793">
        <f t="shared" si="53"/>
        <v>38136.663430000001</v>
      </c>
      <c r="HP50" s="1790">
        <f t="shared" si="53"/>
        <v>92213.328499999989</v>
      </c>
      <c r="HQ50" s="1793">
        <f t="shared" si="53"/>
        <v>53710.341380000005</v>
      </c>
      <c r="HR50" s="1790">
        <f t="shared" ref="HR50:HS50" si="54">HR52+HR54</f>
        <v>118077.78301</v>
      </c>
      <c r="HS50" s="1793">
        <f t="shared" si="54"/>
        <v>65953.512690000003</v>
      </c>
      <c r="HT50" s="1790">
        <v>149673.75455000001</v>
      </c>
      <c r="HU50" s="1793">
        <v>79679.049970000007</v>
      </c>
      <c r="HV50" s="1794" t="s">
        <v>3196</v>
      </c>
    </row>
    <row r="51" spans="1:234" s="1774" customFormat="1" ht="22.5" customHeight="1">
      <c r="A51" s="1787" t="s">
        <v>2274</v>
      </c>
      <c r="B51" s="1788"/>
      <c r="C51" s="1788"/>
      <c r="D51" s="1788"/>
      <c r="E51" s="1788"/>
      <c r="F51" s="1788"/>
      <c r="G51" s="1788"/>
      <c r="H51" s="1788"/>
      <c r="I51" s="1788"/>
      <c r="J51" s="1788"/>
      <c r="K51" s="1788"/>
      <c r="L51" s="1788"/>
      <c r="M51" s="1788"/>
      <c r="N51" s="1788"/>
      <c r="O51" s="1788"/>
      <c r="P51" s="1788"/>
      <c r="Q51" s="1788"/>
      <c r="R51" s="1788"/>
      <c r="S51" s="1788"/>
      <c r="T51" s="1788"/>
      <c r="U51" s="1788"/>
      <c r="V51" s="1788"/>
      <c r="W51" s="1788"/>
      <c r="X51" s="1788"/>
      <c r="Y51" s="1788"/>
      <c r="Z51" s="1788"/>
      <c r="AA51" s="1788"/>
      <c r="AB51" s="1788"/>
      <c r="AC51" s="1788"/>
      <c r="AD51" s="1788"/>
      <c r="AE51" s="1788"/>
      <c r="AF51" s="1788"/>
      <c r="AG51" s="1788"/>
      <c r="AH51" s="1788"/>
      <c r="AI51" s="1788"/>
      <c r="AJ51" s="1788"/>
      <c r="AK51" s="1788"/>
      <c r="AL51" s="1788"/>
      <c r="AM51" s="1788"/>
      <c r="AN51" s="1788"/>
      <c r="AO51" s="1788"/>
      <c r="AP51" s="1788"/>
      <c r="AQ51" s="1788"/>
      <c r="AR51" s="1788"/>
      <c r="AS51" s="1788"/>
      <c r="AT51" s="1788"/>
      <c r="AU51" s="1788"/>
      <c r="AV51" s="1788"/>
      <c r="AW51" s="1788"/>
      <c r="AX51" s="1788"/>
      <c r="AY51" s="1788"/>
      <c r="AZ51" s="1788"/>
      <c r="BA51" s="1788"/>
      <c r="BB51" s="1788"/>
      <c r="BC51" s="1788"/>
      <c r="BD51" s="1788"/>
      <c r="BE51" s="1788"/>
      <c r="BF51" s="1788"/>
      <c r="BG51" s="1788"/>
      <c r="BH51" s="1788"/>
      <c r="BI51" s="1788"/>
      <c r="BJ51" s="1788"/>
      <c r="BK51" s="1788"/>
      <c r="BL51" s="1788"/>
      <c r="BM51" s="1788"/>
      <c r="BN51" s="1788"/>
      <c r="BO51" s="1788"/>
      <c r="BP51" s="1788"/>
      <c r="BQ51" s="1788"/>
      <c r="BR51" s="1788"/>
      <c r="BS51" s="1788"/>
      <c r="BT51" s="1788"/>
      <c r="BU51" s="1788"/>
      <c r="BV51" s="1788"/>
      <c r="BW51" s="1788"/>
      <c r="BX51" s="1788"/>
      <c r="BY51" s="1788"/>
      <c r="BZ51" s="1788"/>
      <c r="CA51" s="1788"/>
      <c r="CB51" s="1788"/>
      <c r="CC51" s="1788"/>
      <c r="CD51" s="1788"/>
      <c r="CE51" s="1788"/>
      <c r="CF51" s="1788"/>
      <c r="CG51" s="1788"/>
      <c r="CH51" s="1788"/>
      <c r="CI51" s="1788"/>
      <c r="CJ51" s="1788"/>
      <c r="CK51" s="1788"/>
      <c r="CL51" s="1788"/>
      <c r="CM51" s="1788"/>
      <c r="CN51" s="1788"/>
      <c r="CO51" s="1788"/>
      <c r="CP51" s="1788"/>
      <c r="CQ51" s="1788"/>
      <c r="CR51" s="1788"/>
      <c r="CS51" s="1788"/>
      <c r="CT51" s="1788"/>
      <c r="CU51" s="1788"/>
      <c r="CV51" s="1788"/>
      <c r="CW51" s="1788"/>
      <c r="CX51" s="1788"/>
      <c r="CY51" s="1788"/>
      <c r="CZ51" s="1788"/>
      <c r="DA51" s="1788"/>
      <c r="DB51" s="1788"/>
      <c r="DC51" s="1788"/>
      <c r="DD51" s="1788"/>
      <c r="DE51" s="1788"/>
      <c r="DF51" s="1788"/>
      <c r="DG51" s="1788"/>
      <c r="DH51" s="1788"/>
      <c r="DI51" s="1788"/>
      <c r="DJ51" s="1788"/>
      <c r="DK51" s="1788"/>
      <c r="DL51" s="1788"/>
      <c r="DM51" s="1788"/>
      <c r="DN51" s="1788"/>
      <c r="DO51" s="1788"/>
      <c r="DP51" s="1788"/>
      <c r="DQ51" s="1789"/>
      <c r="DR51" s="1790"/>
      <c r="DS51" s="1791"/>
      <c r="DT51" s="1792"/>
      <c r="DU51" s="1789"/>
      <c r="DV51" s="1790"/>
      <c r="DW51" s="1791"/>
      <c r="DX51" s="1792"/>
      <c r="DY51" s="1789"/>
      <c r="DZ51" s="1790"/>
      <c r="EA51" s="1791"/>
      <c r="EB51" s="1792"/>
      <c r="EC51" s="1789"/>
      <c r="ED51" s="1790"/>
      <c r="EE51" s="1791"/>
      <c r="EF51" s="1790"/>
      <c r="EG51" s="1791"/>
      <c r="EH51" s="1792"/>
      <c r="EI51" s="1791"/>
      <c r="EJ51" s="1792"/>
      <c r="EK51" s="1791"/>
      <c r="EL51" s="1790"/>
      <c r="EM51" s="1793"/>
      <c r="EN51" s="1790"/>
      <c r="EO51" s="1793"/>
      <c r="EP51" s="1790"/>
      <c r="EQ51" s="1793"/>
      <c r="ER51" s="1790"/>
      <c r="ES51" s="1793"/>
      <c r="ET51" s="1790"/>
      <c r="EU51" s="1793"/>
      <c r="EV51" s="1790"/>
      <c r="EW51" s="1793"/>
      <c r="EX51" s="1790"/>
      <c r="EY51" s="1793"/>
      <c r="EZ51" s="1790"/>
      <c r="FA51" s="1793"/>
      <c r="FB51" s="1790"/>
      <c r="FC51" s="1793"/>
      <c r="FD51" s="1790"/>
      <c r="FE51" s="1793"/>
      <c r="FF51" s="1790"/>
      <c r="FG51" s="1793"/>
      <c r="FH51" s="1790"/>
      <c r="FI51" s="1793"/>
      <c r="FJ51" s="1790"/>
      <c r="FK51" s="1793"/>
      <c r="FL51" s="1790"/>
      <c r="FM51" s="1793"/>
      <c r="FN51" s="1790"/>
      <c r="FO51" s="1793"/>
      <c r="FP51" s="1790"/>
      <c r="FQ51" s="1793"/>
      <c r="FR51" s="1790"/>
      <c r="FS51" s="1793"/>
      <c r="FT51" s="1790"/>
      <c r="FU51" s="1793"/>
      <c r="FV51" s="1790"/>
      <c r="FW51" s="1793"/>
      <c r="FX51" s="1790"/>
      <c r="FY51" s="1793"/>
      <c r="FZ51" s="1790"/>
      <c r="GA51" s="1793"/>
      <c r="GB51" s="1790"/>
      <c r="GC51" s="1793"/>
      <c r="GD51" s="1790"/>
      <c r="GE51" s="1793"/>
      <c r="GF51" s="1790"/>
      <c r="GG51" s="1793"/>
      <c r="GH51" s="1790"/>
      <c r="GI51" s="1793"/>
      <c r="GJ51" s="1790"/>
      <c r="GK51" s="1793"/>
      <c r="GL51" s="1790"/>
      <c r="GM51" s="1793"/>
      <c r="GN51" s="1790"/>
      <c r="GO51" s="1793"/>
      <c r="GP51" s="1790"/>
      <c r="GQ51" s="1793"/>
      <c r="GR51" s="1790"/>
      <c r="GS51" s="1793"/>
      <c r="GT51" s="1790"/>
      <c r="GU51" s="1793"/>
      <c r="GV51" s="1790"/>
      <c r="GW51" s="1793"/>
      <c r="GX51" s="1790"/>
      <c r="GY51" s="1793"/>
      <c r="GZ51" s="1790"/>
      <c r="HA51" s="1793"/>
      <c r="HB51" s="1790"/>
      <c r="HC51" s="1793"/>
      <c r="HD51" s="1790"/>
      <c r="HE51" s="1793"/>
      <c r="HF51" s="1790"/>
      <c r="HG51" s="1793"/>
      <c r="HH51" s="1790"/>
      <c r="HI51" s="1793"/>
      <c r="HJ51" s="1790"/>
      <c r="HK51" s="1793"/>
      <c r="HL51" s="1790"/>
      <c r="HM51" s="1793"/>
      <c r="HN51" s="1790"/>
      <c r="HO51" s="1793"/>
      <c r="HP51" s="1790"/>
      <c r="HQ51" s="1793"/>
      <c r="HR51" s="1790"/>
      <c r="HS51" s="1793"/>
      <c r="HT51" s="1790"/>
      <c r="HU51" s="1793"/>
      <c r="HV51" s="1787" t="s">
        <v>3410</v>
      </c>
    </row>
    <row r="52" spans="1:234" s="1774" customFormat="1" ht="22.5" customHeight="1">
      <c r="A52" s="1794" t="s">
        <v>2273</v>
      </c>
      <c r="B52" s="1788">
        <v>1857.77838</v>
      </c>
      <c r="C52" s="1788">
        <v>380.69627000000003</v>
      </c>
      <c r="D52" s="1788">
        <v>5184.7249499999998</v>
      </c>
      <c r="E52" s="1788">
        <v>643.76015000000007</v>
      </c>
      <c r="F52" s="1788">
        <v>10398.921890000001</v>
      </c>
      <c r="G52" s="1788">
        <v>784.67268999999999</v>
      </c>
      <c r="H52" s="1788">
        <v>14742.03096</v>
      </c>
      <c r="I52" s="1788">
        <v>1017.6463199999999</v>
      </c>
      <c r="J52" s="1788">
        <v>17863.037640000002</v>
      </c>
      <c r="K52" s="1788">
        <v>1178.44497</v>
      </c>
      <c r="L52" s="1788">
        <v>19623.232550000001</v>
      </c>
      <c r="M52" s="1788">
        <v>1328.4916599999999</v>
      </c>
      <c r="N52" s="1788">
        <v>21595.47652</v>
      </c>
      <c r="O52" s="1788">
        <v>1410.27367</v>
      </c>
      <c r="P52" s="1788">
        <v>26444.111519999999</v>
      </c>
      <c r="Q52" s="1788">
        <v>1789.8103799999999</v>
      </c>
      <c r="R52" s="1788">
        <v>28332.021570000001</v>
      </c>
      <c r="S52" s="1788">
        <v>2220.00072</v>
      </c>
      <c r="T52" s="1788">
        <v>28809.417450000001</v>
      </c>
      <c r="U52" s="1788">
        <v>2632.1212599999999</v>
      </c>
      <c r="V52" s="1788">
        <v>30991.34737</v>
      </c>
      <c r="W52" s="1788">
        <v>2936.34798</v>
      </c>
      <c r="X52" s="1788">
        <v>33165.399010000001</v>
      </c>
      <c r="Y52" s="1788">
        <v>4226.4021600000005</v>
      </c>
      <c r="Z52" s="1788">
        <v>1766.98253</v>
      </c>
      <c r="AA52" s="1788">
        <v>446.70267999999999</v>
      </c>
      <c r="AB52" s="1788">
        <v>4695.32359</v>
      </c>
      <c r="AC52" s="1788">
        <v>680.34456999999998</v>
      </c>
      <c r="AD52" s="1788">
        <v>8407.9825000000001</v>
      </c>
      <c r="AE52" s="1788">
        <v>1246.0236</v>
      </c>
      <c r="AF52" s="1788">
        <v>15884.591369999998</v>
      </c>
      <c r="AG52" s="1788">
        <v>1357.6698999999999</v>
      </c>
      <c r="AH52" s="1788">
        <v>19821</v>
      </c>
      <c r="AI52" s="1788">
        <v>1670.81835</v>
      </c>
      <c r="AJ52" s="1788">
        <v>21299.788769999999</v>
      </c>
      <c r="AK52" s="1788">
        <v>1828.75317</v>
      </c>
      <c r="AL52" s="1788">
        <v>23776.973760000001</v>
      </c>
      <c r="AM52" s="1788">
        <v>2044.2250800000002</v>
      </c>
      <c r="AN52" s="1788">
        <v>27956.655420000003</v>
      </c>
      <c r="AO52" s="1788">
        <v>2240.0262499999999</v>
      </c>
      <c r="AP52" s="1788">
        <v>27996.074489999999</v>
      </c>
      <c r="AQ52" s="1788">
        <v>2360.2711200000003</v>
      </c>
      <c r="AR52" s="1788">
        <v>30243.701649999999</v>
      </c>
      <c r="AS52" s="1788">
        <v>2597.1868799999997</v>
      </c>
      <c r="AT52" s="1788">
        <v>33039.02691</v>
      </c>
      <c r="AU52" s="1788">
        <v>2812.6219799999999</v>
      </c>
      <c r="AV52" s="1788">
        <v>35292.506849999998</v>
      </c>
      <c r="AW52" s="1788">
        <v>3136.0500099999999</v>
      </c>
      <c r="AX52" s="1788">
        <v>2242.2412000000004</v>
      </c>
      <c r="AY52" s="1788">
        <v>390.03515999999996</v>
      </c>
      <c r="AZ52" s="1788">
        <v>6258.4051900000004</v>
      </c>
      <c r="BA52" s="1788">
        <v>556.03165000000001</v>
      </c>
      <c r="BB52" s="1788">
        <v>13021.29091</v>
      </c>
      <c r="BC52" s="1788">
        <v>661.76459999999997</v>
      </c>
      <c r="BD52" s="1788">
        <v>18088.325710000001</v>
      </c>
      <c r="BE52" s="1788">
        <v>713.69623999999999</v>
      </c>
      <c r="BF52" s="1788">
        <v>23311.043000000001</v>
      </c>
      <c r="BG52" s="1788">
        <v>961.70709999999997</v>
      </c>
      <c r="BH52" s="1788">
        <v>25413.85713</v>
      </c>
      <c r="BI52" s="1788">
        <v>1319.20146</v>
      </c>
      <c r="BJ52" s="1788">
        <v>27771.812519999999</v>
      </c>
      <c r="BK52" s="1788">
        <v>1513.18623</v>
      </c>
      <c r="BL52" s="1788">
        <v>31824.89906</v>
      </c>
      <c r="BM52" s="1788">
        <v>1777.88491</v>
      </c>
      <c r="BN52" s="1788">
        <v>36057.539840000005</v>
      </c>
      <c r="BO52" s="1788">
        <v>2031.65771</v>
      </c>
      <c r="BP52" s="1788">
        <v>38268.400119999998</v>
      </c>
      <c r="BQ52" s="1788">
        <v>2434.4777899999999</v>
      </c>
      <c r="BR52" s="1788">
        <v>42428.039189999996</v>
      </c>
      <c r="BS52" s="1788">
        <v>2755.18759</v>
      </c>
      <c r="BT52" s="1788">
        <v>48112.869840000007</v>
      </c>
      <c r="BU52" s="1788">
        <v>3100.6751899999999</v>
      </c>
      <c r="BV52" s="1788">
        <v>2584.4939800000002</v>
      </c>
      <c r="BW52" s="1788">
        <v>221.50744</v>
      </c>
      <c r="BX52" s="1788">
        <v>7676.10646</v>
      </c>
      <c r="BY52" s="1788">
        <v>415.99736999999999</v>
      </c>
      <c r="BZ52" s="1788">
        <v>11193.886480000001</v>
      </c>
      <c r="CA52" s="1788">
        <v>603.65324999999996</v>
      </c>
      <c r="CB52" s="1788">
        <v>21772.267629999998</v>
      </c>
      <c r="CC52" s="1788">
        <v>703.04147</v>
      </c>
      <c r="CD52" s="1788">
        <v>26992.49482</v>
      </c>
      <c r="CE52" s="1788">
        <v>811.83368000000007</v>
      </c>
      <c r="CF52" s="1788">
        <v>30122.05589</v>
      </c>
      <c r="CG52" s="1788">
        <v>1082.4506200000001</v>
      </c>
      <c r="CH52" s="1788">
        <v>33277.516000000003</v>
      </c>
      <c r="CI52" s="1788">
        <v>1244.35508</v>
      </c>
      <c r="CJ52" s="1788">
        <v>37939.255960000002</v>
      </c>
      <c r="CK52" s="1788">
        <v>1376.8395700000001</v>
      </c>
      <c r="CL52" s="1788">
        <v>41937.675409999996</v>
      </c>
      <c r="CM52" s="1788">
        <v>1801.14436</v>
      </c>
      <c r="CN52" s="1788">
        <v>45296.051719999996</v>
      </c>
      <c r="CO52" s="1788">
        <v>2083.6031499999999</v>
      </c>
      <c r="CP52" s="1788">
        <v>49668.259359999996</v>
      </c>
      <c r="CQ52" s="1788">
        <v>2263.5610499999998</v>
      </c>
      <c r="CR52" s="1788">
        <v>53949.731420000004</v>
      </c>
      <c r="CS52" s="1788">
        <v>2558.7546600000001</v>
      </c>
      <c r="CT52" s="1788">
        <v>3637.3295200000002</v>
      </c>
      <c r="CU52" s="1788">
        <v>390.18022999999999</v>
      </c>
      <c r="CV52" s="1788">
        <v>9939.4603599999991</v>
      </c>
      <c r="CW52" s="1788">
        <v>864.30764999999997</v>
      </c>
      <c r="CX52" s="1788">
        <v>14877.09816</v>
      </c>
      <c r="CY52" s="1788">
        <v>1132.1251399999999</v>
      </c>
      <c r="CZ52" s="1788">
        <v>26074.87457</v>
      </c>
      <c r="DA52" s="1788">
        <v>1476.3040000000001</v>
      </c>
      <c r="DB52" s="1788">
        <v>31749.670750000001</v>
      </c>
      <c r="DC52" s="1788">
        <v>1696.31691</v>
      </c>
      <c r="DD52" s="1788">
        <v>35012.79045</v>
      </c>
      <c r="DE52" s="1788">
        <v>2004.76954</v>
      </c>
      <c r="DF52" s="1788">
        <v>38899.940299999995</v>
      </c>
      <c r="DG52" s="1788">
        <v>2318.60484</v>
      </c>
      <c r="DH52" s="1788">
        <v>43400.433819999998</v>
      </c>
      <c r="DI52" s="1788">
        <v>2411.46722</v>
      </c>
      <c r="DJ52" s="1788">
        <v>48551.95319</v>
      </c>
      <c r="DK52" s="1788">
        <v>3154.3179700000001</v>
      </c>
      <c r="DL52" s="1788">
        <v>52035.665760000004</v>
      </c>
      <c r="DM52" s="1788">
        <v>3388.6383799999999</v>
      </c>
      <c r="DN52" s="1788">
        <v>57509.16865</v>
      </c>
      <c r="DO52" s="1788">
        <v>3647.80474</v>
      </c>
      <c r="DP52" s="1788">
        <v>63506.324000000001</v>
      </c>
      <c r="DQ52" s="1789">
        <v>4071.64723</v>
      </c>
      <c r="DR52" s="1790">
        <v>4534.9335799999999</v>
      </c>
      <c r="DS52" s="1807">
        <v>160.94218000000001</v>
      </c>
      <c r="DT52" s="1814">
        <v>11643.05119</v>
      </c>
      <c r="DU52" s="1815">
        <v>448.67756000000003</v>
      </c>
      <c r="DV52" s="1806">
        <v>17066.41906</v>
      </c>
      <c r="DW52" s="1808">
        <v>795.18426999999997</v>
      </c>
      <c r="DX52" s="1814">
        <v>30210.41203</v>
      </c>
      <c r="DY52" s="1815">
        <v>1226.75217</v>
      </c>
      <c r="DZ52" s="1806">
        <v>36385.771549999998</v>
      </c>
      <c r="EA52" s="1807">
        <v>1473.45849</v>
      </c>
      <c r="EB52" s="1792">
        <v>40345.455379999999</v>
      </c>
      <c r="EC52" s="1789">
        <v>1765.6340399999999</v>
      </c>
      <c r="ED52" s="1790">
        <v>45141.624940000002</v>
      </c>
      <c r="EE52" s="1791">
        <v>2237.4398700000002</v>
      </c>
      <c r="EF52" s="1790">
        <v>49435.391450000003</v>
      </c>
      <c r="EG52" s="1791">
        <v>2422.5545900000002</v>
      </c>
      <c r="EH52" s="1792">
        <v>53150.749790000002</v>
      </c>
      <c r="EI52" s="1791">
        <v>2660.9251199999999</v>
      </c>
      <c r="EJ52" s="1792">
        <v>58128.921269999999</v>
      </c>
      <c r="EK52" s="1791">
        <v>2864.8000699999998</v>
      </c>
      <c r="EL52" s="1790">
        <v>65181.989280000002</v>
      </c>
      <c r="EM52" s="1793">
        <v>3168.5146300000001</v>
      </c>
      <c r="EN52" s="1790">
        <v>73895.230039999995</v>
      </c>
      <c r="EO52" s="1793">
        <v>3407.7069200000001</v>
      </c>
      <c r="EP52" s="1790">
        <v>4377.0246799999995</v>
      </c>
      <c r="EQ52" s="1793">
        <v>178.58770999999999</v>
      </c>
      <c r="ER52" s="1790">
        <v>12523.79658</v>
      </c>
      <c r="ES52" s="1793">
        <v>382.78298999999998</v>
      </c>
      <c r="ET52" s="1790">
        <v>19098.258819999999</v>
      </c>
      <c r="EU52" s="1793">
        <v>531.18575999999996</v>
      </c>
      <c r="EV52" s="1790">
        <v>30316.60367</v>
      </c>
      <c r="EW52" s="1793">
        <v>650.95100000000002</v>
      </c>
      <c r="EX52" s="1790">
        <v>39258.417820000002</v>
      </c>
      <c r="EY52" s="1793">
        <v>871.55200000000002</v>
      </c>
      <c r="EZ52" s="1790">
        <v>44484.572240000001</v>
      </c>
      <c r="FA52" s="1793">
        <v>1270.34319</v>
      </c>
      <c r="FB52" s="1790">
        <v>50075.744930000001</v>
      </c>
      <c r="FC52" s="1793">
        <v>1477.27046</v>
      </c>
      <c r="FD52" s="1790">
        <v>55956.225259999999</v>
      </c>
      <c r="FE52" s="1793">
        <v>1855.7573500000001</v>
      </c>
      <c r="FF52" s="1790">
        <v>60652.01528</v>
      </c>
      <c r="FG52" s="1793">
        <v>2410.4063799999999</v>
      </c>
      <c r="FH52" s="1790">
        <v>66081.410759999999</v>
      </c>
      <c r="FI52" s="1793">
        <v>3016.6682999999998</v>
      </c>
      <c r="FJ52" s="1790">
        <v>74100.832899999994</v>
      </c>
      <c r="FK52" s="1793">
        <v>3452.6973699999999</v>
      </c>
      <c r="FL52" s="1790">
        <v>84041.06826</v>
      </c>
      <c r="FM52" s="1793">
        <v>3943.0880200000001</v>
      </c>
      <c r="FN52" s="1790">
        <v>4839.5582800000002</v>
      </c>
      <c r="FO52" s="1793">
        <v>205.82252</v>
      </c>
      <c r="FP52" s="1790">
        <v>13673.9948</v>
      </c>
      <c r="FQ52" s="1793">
        <v>580.51437999999996</v>
      </c>
      <c r="FR52" s="1790">
        <v>20598.960729999999</v>
      </c>
      <c r="FS52" s="1793">
        <v>750.74090999999999</v>
      </c>
      <c r="FT52" s="1790">
        <v>33322.148289999997</v>
      </c>
      <c r="FU52" s="1793">
        <v>1026.8655799999999</v>
      </c>
      <c r="FV52" s="1790">
        <v>42014.223229999996</v>
      </c>
      <c r="FW52" s="1793">
        <v>1473.6891000000001</v>
      </c>
      <c r="FX52" s="1790">
        <v>47309.76586</v>
      </c>
      <c r="FY52" s="1793">
        <v>1875.95596</v>
      </c>
      <c r="FZ52" s="1790">
        <v>53327.905180000002</v>
      </c>
      <c r="GA52" s="1793">
        <v>2186.6874200000002</v>
      </c>
      <c r="GB52" s="1790">
        <v>60092.46602</v>
      </c>
      <c r="GC52" s="1793">
        <v>2423.2849700000002</v>
      </c>
      <c r="GD52" s="1790">
        <v>64912.607069999998</v>
      </c>
      <c r="GE52" s="1793">
        <v>3169.7676099999999</v>
      </c>
      <c r="GF52" s="1790">
        <v>70138.956279999999</v>
      </c>
      <c r="GG52" s="1793">
        <v>3703.77531</v>
      </c>
      <c r="GH52" s="1790">
        <v>79293.605989999996</v>
      </c>
      <c r="GI52" s="1793">
        <v>4204.5958600000004</v>
      </c>
      <c r="GJ52" s="1790">
        <v>90179.571890000007</v>
      </c>
      <c r="GK52" s="1793">
        <v>5780.8344200000001</v>
      </c>
      <c r="GL52" s="1790">
        <v>6275.1247199999998</v>
      </c>
      <c r="GM52" s="1793">
        <v>375.27100999999999</v>
      </c>
      <c r="GN52" s="1790">
        <v>16414.738789999999</v>
      </c>
      <c r="GO52" s="1793">
        <v>683.82899999999995</v>
      </c>
      <c r="GP52" s="1790">
        <v>24152.963969999997</v>
      </c>
      <c r="GQ52" s="1793">
        <v>1025.63816</v>
      </c>
      <c r="GR52" s="1790">
        <v>37558.179459999999</v>
      </c>
      <c r="GS52" s="1793">
        <v>1619.1244099999999</v>
      </c>
      <c r="GT52" s="1790">
        <v>47080.552819999997</v>
      </c>
      <c r="GU52" s="1793">
        <v>2252.7411699999998</v>
      </c>
      <c r="GV52" s="1790">
        <v>52881.039620000003</v>
      </c>
      <c r="GW52" s="1793">
        <v>2683.4021299999999</v>
      </c>
      <c r="GX52" s="1790">
        <v>59024.341899999999</v>
      </c>
      <c r="GY52" s="1793">
        <v>3383.17877</v>
      </c>
      <c r="GZ52" s="1790">
        <v>66986.183929999999</v>
      </c>
      <c r="HA52" s="1793">
        <v>3603.3662599999998</v>
      </c>
      <c r="HB52" s="1790">
        <v>71811.324120000005</v>
      </c>
      <c r="HC52" s="1793">
        <v>4231.94686</v>
      </c>
      <c r="HD52" s="1790">
        <v>78613.28542</v>
      </c>
      <c r="HE52" s="1793">
        <v>4987.3415299999997</v>
      </c>
      <c r="HF52" s="1790">
        <v>90656.70349</v>
      </c>
      <c r="HG52" s="1793">
        <v>5541.9342900000001</v>
      </c>
      <c r="HH52" s="1790">
        <v>101519.34576</v>
      </c>
      <c r="HI52" s="1793">
        <v>5953.2136</v>
      </c>
      <c r="HJ52" s="1790">
        <v>3569.4174499999999</v>
      </c>
      <c r="HK52" s="1793">
        <v>246.53873999999999</v>
      </c>
      <c r="HL52" s="1790">
        <v>10922.766610000001</v>
      </c>
      <c r="HM52" s="1793">
        <v>384.66298</v>
      </c>
      <c r="HN52" s="1790">
        <v>17076.052070000002</v>
      </c>
      <c r="HO52" s="1793">
        <v>646.88684999999998</v>
      </c>
      <c r="HP52" s="1790">
        <v>22795.030589999998</v>
      </c>
      <c r="HQ52" s="1793">
        <v>960.14400000000001</v>
      </c>
      <c r="HR52" s="1790">
        <v>28545.653330000001</v>
      </c>
      <c r="HS52" s="1793">
        <v>1129.8525299999999</v>
      </c>
      <c r="HT52" s="1790">
        <v>33814.688979999999</v>
      </c>
      <c r="HU52" s="1793">
        <v>1485.8280199999999</v>
      </c>
      <c r="HV52" s="1794" t="s">
        <v>3197</v>
      </c>
      <c r="HX52" s="1805"/>
    </row>
    <row r="53" spans="1:234" s="1774" customFormat="1" ht="63">
      <c r="A53" s="1795" t="s">
        <v>3067</v>
      </c>
      <c r="B53" s="1796">
        <v>1857.77838</v>
      </c>
      <c r="C53" s="1796">
        <v>380.69627000000003</v>
      </c>
      <c r="D53" s="1796">
        <v>5184.7249499999998</v>
      </c>
      <c r="E53" s="1796">
        <v>643.76015000000007</v>
      </c>
      <c r="F53" s="1796">
        <v>10398.921890000001</v>
      </c>
      <c r="G53" s="1796">
        <v>784.67268999999999</v>
      </c>
      <c r="H53" s="1796">
        <v>14742.03096</v>
      </c>
      <c r="I53" s="1796">
        <v>1017.6463199999999</v>
      </c>
      <c r="J53" s="1796">
        <v>17863.037640000002</v>
      </c>
      <c r="K53" s="1796">
        <v>1178.44497</v>
      </c>
      <c r="L53" s="1796">
        <v>19623.232550000001</v>
      </c>
      <c r="M53" s="1796">
        <v>1328.4916599999999</v>
      </c>
      <c r="N53" s="1796">
        <v>21595.47652</v>
      </c>
      <c r="O53" s="1796">
        <v>1410.27367</v>
      </c>
      <c r="P53" s="1796">
        <v>26444.111519999999</v>
      </c>
      <c r="Q53" s="1796">
        <v>1789.8103799999999</v>
      </c>
      <c r="R53" s="1796">
        <v>28332.021570000001</v>
      </c>
      <c r="S53" s="1796">
        <v>2220.00072</v>
      </c>
      <c r="T53" s="1796">
        <v>28809.417450000001</v>
      </c>
      <c r="U53" s="1796">
        <v>2632.1212599999999</v>
      </c>
      <c r="V53" s="1796">
        <v>30991.34737</v>
      </c>
      <c r="W53" s="1796">
        <v>2936.34798</v>
      </c>
      <c r="X53" s="1796">
        <v>33165.399010000001</v>
      </c>
      <c r="Y53" s="1796">
        <v>4226.4021600000005</v>
      </c>
      <c r="Z53" s="1796">
        <v>1766.98253</v>
      </c>
      <c r="AA53" s="1796">
        <v>446.70267999999999</v>
      </c>
      <c r="AB53" s="1796">
        <v>4695.32359</v>
      </c>
      <c r="AC53" s="1796">
        <v>680.34456999999998</v>
      </c>
      <c r="AD53" s="1796">
        <v>8407.9824800000006</v>
      </c>
      <c r="AE53" s="1796">
        <v>1246.0235700000001</v>
      </c>
      <c r="AF53" s="1796">
        <v>15884.591369999998</v>
      </c>
      <c r="AG53" s="1796">
        <v>1357.6698999999999</v>
      </c>
      <c r="AH53" s="1796">
        <v>19821</v>
      </c>
      <c r="AI53" s="1796">
        <v>1670.81835</v>
      </c>
      <c r="AJ53" s="1796">
        <v>21299.788769999999</v>
      </c>
      <c r="AK53" s="1796">
        <v>1828.75317</v>
      </c>
      <c r="AL53" s="1796">
        <v>23776.973760000001</v>
      </c>
      <c r="AM53" s="1796">
        <v>2044.2250800000002</v>
      </c>
      <c r="AN53" s="1796">
        <v>27956.655420000003</v>
      </c>
      <c r="AO53" s="1796">
        <v>2240.0262499999999</v>
      </c>
      <c r="AP53" s="1796">
        <v>27996.074489999999</v>
      </c>
      <c r="AQ53" s="1796">
        <v>2360.2711200000003</v>
      </c>
      <c r="AR53" s="1796">
        <v>30243.701649999999</v>
      </c>
      <c r="AS53" s="1796">
        <v>2597.1868799999997</v>
      </c>
      <c r="AT53" s="1796">
        <v>33039.02691</v>
      </c>
      <c r="AU53" s="1796">
        <v>2812.6219799999999</v>
      </c>
      <c r="AV53" s="1796">
        <v>35292.506849999998</v>
      </c>
      <c r="AW53" s="1796">
        <v>3136.0500099999999</v>
      </c>
      <c r="AX53" s="1796">
        <v>2242.2412000000004</v>
      </c>
      <c r="AY53" s="1796">
        <v>390.03515999999996</v>
      </c>
      <c r="AZ53" s="1796">
        <v>6258.4051900000004</v>
      </c>
      <c r="BA53" s="1796">
        <v>556.03165000000001</v>
      </c>
      <c r="BB53" s="1796">
        <v>13021.29091</v>
      </c>
      <c r="BC53" s="1796">
        <v>661.76459999999997</v>
      </c>
      <c r="BD53" s="1796">
        <v>18088.325710000001</v>
      </c>
      <c r="BE53" s="1796">
        <v>713.69623999999999</v>
      </c>
      <c r="BF53" s="1796">
        <v>23311.043000000001</v>
      </c>
      <c r="BG53" s="1796">
        <v>961.70709999999997</v>
      </c>
      <c r="BH53" s="1796">
        <v>25413.85713</v>
      </c>
      <c r="BI53" s="1796">
        <v>1319.20146</v>
      </c>
      <c r="BJ53" s="1796">
        <v>27771.812519999999</v>
      </c>
      <c r="BK53" s="1796">
        <v>1513.18623</v>
      </c>
      <c r="BL53" s="1796">
        <v>31824.89906</v>
      </c>
      <c r="BM53" s="1796">
        <v>1777.88491</v>
      </c>
      <c r="BN53" s="1796">
        <v>36057.539840000005</v>
      </c>
      <c r="BO53" s="1796">
        <v>2031.65771</v>
      </c>
      <c r="BP53" s="1796">
        <v>38268.400119999998</v>
      </c>
      <c r="BQ53" s="1796">
        <v>2434.4777899999999</v>
      </c>
      <c r="BR53" s="1796">
        <v>42428.039189999996</v>
      </c>
      <c r="BS53" s="1796">
        <v>2755.18759</v>
      </c>
      <c r="BT53" s="1796">
        <v>48112.869840000007</v>
      </c>
      <c r="BU53" s="1796">
        <v>3100.6751899999999</v>
      </c>
      <c r="BV53" s="1796">
        <v>2584.4939800000002</v>
      </c>
      <c r="BW53" s="1796">
        <v>221.50744</v>
      </c>
      <c r="BX53" s="1796">
        <v>7676.10646</v>
      </c>
      <c r="BY53" s="1796">
        <v>415.99736999999999</v>
      </c>
      <c r="BZ53" s="1796">
        <v>11193.886480000001</v>
      </c>
      <c r="CA53" s="1796">
        <v>603.65324999999996</v>
      </c>
      <c r="CB53" s="1796">
        <v>21772.267629999998</v>
      </c>
      <c r="CC53" s="1796">
        <v>703.04147</v>
      </c>
      <c r="CD53" s="1796">
        <v>26992.49482</v>
      </c>
      <c r="CE53" s="1796">
        <v>811.83368000000007</v>
      </c>
      <c r="CF53" s="1796">
        <v>30122.05589</v>
      </c>
      <c r="CG53" s="1796">
        <v>1082.4506200000001</v>
      </c>
      <c r="CH53" s="1796">
        <v>33277.516000000003</v>
      </c>
      <c r="CI53" s="1796">
        <v>1244.35508</v>
      </c>
      <c r="CJ53" s="1796">
        <v>37939.255960000002</v>
      </c>
      <c r="CK53" s="1796">
        <v>1376.8395700000001</v>
      </c>
      <c r="CL53" s="1796">
        <v>41937.675409999996</v>
      </c>
      <c r="CM53" s="1796">
        <v>1801.14436</v>
      </c>
      <c r="CN53" s="1796">
        <v>45296.051719999996</v>
      </c>
      <c r="CO53" s="1796">
        <v>2083.6031499999999</v>
      </c>
      <c r="CP53" s="1796">
        <v>49668.259359999996</v>
      </c>
      <c r="CQ53" s="1796">
        <v>2263.5610499999998</v>
      </c>
      <c r="CR53" s="1796">
        <v>53949.731420000004</v>
      </c>
      <c r="CS53" s="1796">
        <v>2558.7546600000001</v>
      </c>
      <c r="CT53" s="1796">
        <v>3637.3295200000002</v>
      </c>
      <c r="CU53" s="1796">
        <v>390.18022999999999</v>
      </c>
      <c r="CV53" s="1796">
        <v>9939.4603599999991</v>
      </c>
      <c r="CW53" s="1796">
        <v>864.30764999999997</v>
      </c>
      <c r="CX53" s="1796">
        <v>14877.09816</v>
      </c>
      <c r="CY53" s="1796">
        <v>1132.1251399999999</v>
      </c>
      <c r="CZ53" s="1796">
        <v>26074.87457</v>
      </c>
      <c r="DA53" s="1796">
        <v>1476.3040000000001</v>
      </c>
      <c r="DB53" s="1796">
        <v>31749.670750000001</v>
      </c>
      <c r="DC53" s="1796">
        <v>1696.31691</v>
      </c>
      <c r="DD53" s="1796">
        <v>35012.79045</v>
      </c>
      <c r="DE53" s="1796">
        <v>2004.76954</v>
      </c>
      <c r="DF53" s="1796">
        <v>38899.940299999995</v>
      </c>
      <c r="DG53" s="1796">
        <v>2318.60484</v>
      </c>
      <c r="DH53" s="1796">
        <v>43400.433819999998</v>
      </c>
      <c r="DI53" s="1796">
        <v>2411.46722</v>
      </c>
      <c r="DJ53" s="1796">
        <v>48551.95319</v>
      </c>
      <c r="DK53" s="1796">
        <v>3154.3179700000001</v>
      </c>
      <c r="DL53" s="1796">
        <v>52035.665760000004</v>
      </c>
      <c r="DM53" s="1796">
        <v>3388.6383799999999</v>
      </c>
      <c r="DN53" s="1796">
        <v>57509.16865</v>
      </c>
      <c r="DO53" s="1796">
        <v>3647.80474</v>
      </c>
      <c r="DP53" s="1796">
        <v>63506.324000000001</v>
      </c>
      <c r="DQ53" s="1797">
        <v>4071.64723</v>
      </c>
      <c r="DR53" s="1798">
        <v>4534.9335799999999</v>
      </c>
      <c r="DS53" s="1808">
        <v>160.94218000000001</v>
      </c>
      <c r="DT53" s="1816">
        <v>11643.05119</v>
      </c>
      <c r="DU53" s="1817">
        <v>448.67756000000003</v>
      </c>
      <c r="DV53" s="1811">
        <v>17066.41906</v>
      </c>
      <c r="DW53" s="1808">
        <v>795.18426999999997</v>
      </c>
      <c r="DX53" s="1816">
        <v>30210.41203</v>
      </c>
      <c r="DY53" s="1817">
        <v>1226.75217</v>
      </c>
      <c r="DZ53" s="1811">
        <v>36385.771549999998</v>
      </c>
      <c r="EA53" s="1808">
        <v>1473.45849</v>
      </c>
      <c r="EB53" s="1800">
        <v>40345.455379999999</v>
      </c>
      <c r="EC53" s="1797">
        <v>1765.6340399999999</v>
      </c>
      <c r="ED53" s="1798">
        <v>45141.624940000002</v>
      </c>
      <c r="EE53" s="1799">
        <v>2237.4398700000002</v>
      </c>
      <c r="EF53" s="1798">
        <v>49435.391450000003</v>
      </c>
      <c r="EG53" s="1799">
        <v>2422.5545900000002</v>
      </c>
      <c r="EH53" s="1800">
        <v>53150.749790000002</v>
      </c>
      <c r="EI53" s="1799">
        <v>2660.9251199999999</v>
      </c>
      <c r="EJ53" s="1800">
        <v>58128.921269999999</v>
      </c>
      <c r="EK53" s="1799">
        <v>2864.8000699999998</v>
      </c>
      <c r="EL53" s="1798">
        <v>65181.989280000002</v>
      </c>
      <c r="EM53" s="1801">
        <v>3168.5146300000001</v>
      </c>
      <c r="EN53" s="1798">
        <v>73895.230039999995</v>
      </c>
      <c r="EO53" s="1801">
        <v>3407.7069200000001</v>
      </c>
      <c r="EP53" s="1798">
        <v>4377.0246799999995</v>
      </c>
      <c r="EQ53" s="1801">
        <v>178.58770999999999</v>
      </c>
      <c r="ER53" s="1798">
        <v>12523.79658</v>
      </c>
      <c r="ES53" s="1801">
        <v>382.78298999999998</v>
      </c>
      <c r="ET53" s="1798">
        <v>19098.258819999999</v>
      </c>
      <c r="EU53" s="1801">
        <v>531.18575999999996</v>
      </c>
      <c r="EV53" s="1798">
        <v>30316.60367</v>
      </c>
      <c r="EW53" s="1801">
        <v>650.95100000000002</v>
      </c>
      <c r="EX53" s="1798">
        <v>39258.417820000002</v>
      </c>
      <c r="EY53" s="1801">
        <v>871.55200000000002</v>
      </c>
      <c r="EZ53" s="1798">
        <v>44484.572240000001</v>
      </c>
      <c r="FA53" s="1801">
        <v>1270.34319</v>
      </c>
      <c r="FB53" s="1798">
        <v>50075.744930000001</v>
      </c>
      <c r="FC53" s="1801">
        <v>1477.27046</v>
      </c>
      <c r="FD53" s="1798">
        <v>55956.225259999999</v>
      </c>
      <c r="FE53" s="1801">
        <v>1855.7573500000001</v>
      </c>
      <c r="FF53" s="1798">
        <v>60652.01528</v>
      </c>
      <c r="FG53" s="1801">
        <v>2410.4063799999999</v>
      </c>
      <c r="FH53" s="1798">
        <v>66081.410759999999</v>
      </c>
      <c r="FI53" s="1801">
        <v>3016.6682999999998</v>
      </c>
      <c r="FJ53" s="1798">
        <v>74100.832899999994</v>
      </c>
      <c r="FK53" s="1801">
        <v>3452.6973699999999</v>
      </c>
      <c r="FL53" s="1798">
        <v>84041.06826</v>
      </c>
      <c r="FM53" s="1801">
        <v>3943.0880200000001</v>
      </c>
      <c r="FN53" s="1798">
        <v>4839.5582800000002</v>
      </c>
      <c r="FO53" s="1801">
        <v>205.82252</v>
      </c>
      <c r="FP53" s="1798">
        <v>13673.9948</v>
      </c>
      <c r="FQ53" s="1801">
        <v>580.51437999999996</v>
      </c>
      <c r="FR53" s="1798">
        <v>20598.960729999999</v>
      </c>
      <c r="FS53" s="1801">
        <v>750.74090999999999</v>
      </c>
      <c r="FT53" s="1798">
        <v>33322.148289999997</v>
      </c>
      <c r="FU53" s="1801">
        <v>1026.8655799999999</v>
      </c>
      <c r="FV53" s="1798">
        <v>42014.223229999996</v>
      </c>
      <c r="FW53" s="1801">
        <v>1473.6891000000001</v>
      </c>
      <c r="FX53" s="1798">
        <v>47309.76586</v>
      </c>
      <c r="FY53" s="1801">
        <v>1875.95596</v>
      </c>
      <c r="FZ53" s="1798">
        <v>53327.905180000002</v>
      </c>
      <c r="GA53" s="1801">
        <v>2186.6874200000002</v>
      </c>
      <c r="GB53" s="1798">
        <v>60092.46602</v>
      </c>
      <c r="GC53" s="1801">
        <v>2423.2849700000002</v>
      </c>
      <c r="GD53" s="1798">
        <v>64912.607069999998</v>
      </c>
      <c r="GE53" s="1801">
        <v>3169.7676099999999</v>
      </c>
      <c r="GF53" s="1798">
        <v>70138.956279999999</v>
      </c>
      <c r="GG53" s="1801">
        <v>3703.77531</v>
      </c>
      <c r="GH53" s="1798">
        <v>79293.605989999996</v>
      </c>
      <c r="GI53" s="1801">
        <v>4204.5958600000004</v>
      </c>
      <c r="GJ53" s="1798">
        <v>90179.571890000007</v>
      </c>
      <c r="GK53" s="1801">
        <v>5780.8344200000001</v>
      </c>
      <c r="GL53" s="1798">
        <v>6275.1247199999998</v>
      </c>
      <c r="GM53" s="1801">
        <v>375.27100999999999</v>
      </c>
      <c r="GN53" s="1798">
        <v>16414.738789999999</v>
      </c>
      <c r="GO53" s="1801">
        <v>683.82899999999995</v>
      </c>
      <c r="GP53" s="1798">
        <v>24152.963969999997</v>
      </c>
      <c r="GQ53" s="1801">
        <v>1025.63816</v>
      </c>
      <c r="GR53" s="1798">
        <v>37558.179459999999</v>
      </c>
      <c r="GS53" s="1801">
        <v>1619.1244099999999</v>
      </c>
      <c r="GT53" s="1798">
        <v>47080.552819999997</v>
      </c>
      <c r="GU53" s="1801">
        <v>2252.7411699999998</v>
      </c>
      <c r="GV53" s="1798">
        <v>52881.039620000003</v>
      </c>
      <c r="GW53" s="1801">
        <v>2683.4021299999999</v>
      </c>
      <c r="GX53" s="1798">
        <v>59024.341899999999</v>
      </c>
      <c r="GY53" s="1801">
        <v>3383.17877</v>
      </c>
      <c r="GZ53" s="1798">
        <v>66986.183929999999</v>
      </c>
      <c r="HA53" s="1801">
        <v>3603.3662599999998</v>
      </c>
      <c r="HB53" s="1798">
        <v>71811.324120000005</v>
      </c>
      <c r="HC53" s="1801">
        <v>4231.94686</v>
      </c>
      <c r="HD53" s="1798">
        <v>78613.28542</v>
      </c>
      <c r="HE53" s="1801">
        <v>4987.3415299999997</v>
      </c>
      <c r="HF53" s="1798">
        <v>90656.70349</v>
      </c>
      <c r="HG53" s="1801">
        <v>5541.9342900000001</v>
      </c>
      <c r="HH53" s="1798">
        <v>101519.34576</v>
      </c>
      <c r="HI53" s="1801">
        <v>5953.2136</v>
      </c>
      <c r="HJ53" s="1798">
        <v>3569.4174499999999</v>
      </c>
      <c r="HK53" s="1801">
        <v>246.53873999999999</v>
      </c>
      <c r="HL53" s="1798">
        <v>10922.766610000001</v>
      </c>
      <c r="HM53" s="1801">
        <v>384.66298</v>
      </c>
      <c r="HN53" s="1798">
        <v>17076.052070000002</v>
      </c>
      <c r="HO53" s="1801">
        <v>646.88684999999998</v>
      </c>
      <c r="HP53" s="1798">
        <v>22795.030589999998</v>
      </c>
      <c r="HQ53" s="1801">
        <v>960.14400000000001</v>
      </c>
      <c r="HR53" s="1798">
        <v>28545.653330000001</v>
      </c>
      <c r="HS53" s="1801">
        <v>1129.8525299999999</v>
      </c>
      <c r="HT53" s="1798">
        <v>33814.688979999999</v>
      </c>
      <c r="HU53" s="1801">
        <v>1485.8280199999999</v>
      </c>
      <c r="HV53" s="1802" t="s">
        <v>3428</v>
      </c>
    </row>
    <row r="54" spans="1:234" s="1774" customFormat="1" ht="22.5" customHeight="1">
      <c r="A54" s="1794" t="s">
        <v>2272</v>
      </c>
      <c r="B54" s="1818">
        <f t="shared" ref="B54:BM54" si="55">B55+B56+B57+B58+B59</f>
        <v>9754.040570000001</v>
      </c>
      <c r="C54" s="1818">
        <f t="shared" si="55"/>
        <v>3568.7894200000001</v>
      </c>
      <c r="D54" s="1818">
        <f t="shared" si="55"/>
        <v>17175.730179999999</v>
      </c>
      <c r="E54" s="1818">
        <f t="shared" si="55"/>
        <v>7305.0956500000002</v>
      </c>
      <c r="F54" s="1818">
        <f t="shared" si="55"/>
        <v>28369.414279999994</v>
      </c>
      <c r="G54" s="1818">
        <f t="shared" si="55"/>
        <v>12163.989890000001</v>
      </c>
      <c r="H54" s="1818">
        <f t="shared" si="55"/>
        <v>38663.925080000001</v>
      </c>
      <c r="I54" s="1818">
        <f t="shared" si="55"/>
        <v>16549.752079999998</v>
      </c>
      <c r="J54" s="1818">
        <f t="shared" si="55"/>
        <v>49605.352960000004</v>
      </c>
      <c r="K54" s="1818">
        <f t="shared" si="55"/>
        <v>20787.564340000004</v>
      </c>
      <c r="L54" s="1818">
        <f t="shared" si="55"/>
        <v>62732.725750000005</v>
      </c>
      <c r="M54" s="1818">
        <f t="shared" si="55"/>
        <v>24508.766420000007</v>
      </c>
      <c r="N54" s="1818">
        <f t="shared" si="55"/>
        <v>77776.996650000001</v>
      </c>
      <c r="O54" s="1818">
        <f t="shared" si="55"/>
        <v>29278.764450000002</v>
      </c>
      <c r="P54" s="1818">
        <f t="shared" si="55"/>
        <v>89492.966759999981</v>
      </c>
      <c r="Q54" s="1818">
        <f t="shared" si="55"/>
        <v>34524.666079999995</v>
      </c>
      <c r="R54" s="1818">
        <f t="shared" si="55"/>
        <v>104372.91912000002</v>
      </c>
      <c r="S54" s="1818">
        <f t="shared" si="55"/>
        <v>38634.178839999993</v>
      </c>
      <c r="T54" s="1818">
        <f t="shared" si="55"/>
        <v>126542.26567000002</v>
      </c>
      <c r="U54" s="1818">
        <f t="shared" si="55"/>
        <v>43105.079419999995</v>
      </c>
      <c r="V54" s="1818">
        <f t="shared" si="55"/>
        <v>137478.81427999999</v>
      </c>
      <c r="W54" s="1818">
        <f t="shared" si="55"/>
        <v>48225.125709999993</v>
      </c>
      <c r="X54" s="1818">
        <f t="shared" si="55"/>
        <v>148469.70654000001</v>
      </c>
      <c r="Y54" s="1818">
        <f t="shared" si="55"/>
        <v>53458.303079999998</v>
      </c>
      <c r="Z54" s="1818">
        <f t="shared" si="55"/>
        <v>9134.2187300000005</v>
      </c>
      <c r="AA54" s="1818">
        <f t="shared" si="55"/>
        <v>4548.5644199999997</v>
      </c>
      <c r="AB54" s="1818">
        <f t="shared" si="55"/>
        <v>18681.034449999999</v>
      </c>
      <c r="AC54" s="1818">
        <f t="shared" si="55"/>
        <v>10169.457609999999</v>
      </c>
      <c r="AD54" s="1818">
        <f t="shared" si="55"/>
        <v>27649.2438</v>
      </c>
      <c r="AE54" s="1818">
        <f t="shared" si="55"/>
        <v>14611.8</v>
      </c>
      <c r="AF54" s="1818">
        <f t="shared" si="55"/>
        <v>64674.133160000012</v>
      </c>
      <c r="AG54" s="1818">
        <f t="shared" si="55"/>
        <v>20203.831170000001</v>
      </c>
      <c r="AH54" s="1818">
        <f t="shared" si="55"/>
        <v>75591.671089999989</v>
      </c>
      <c r="AI54" s="1818">
        <f t="shared" si="55"/>
        <v>25995.174570000003</v>
      </c>
      <c r="AJ54" s="1818">
        <f t="shared" si="55"/>
        <v>88233.054489999995</v>
      </c>
      <c r="AK54" s="1818">
        <f t="shared" si="55"/>
        <v>30368.72752</v>
      </c>
      <c r="AL54" s="1818">
        <f t="shared" si="55"/>
        <v>101596.84577</v>
      </c>
      <c r="AM54" s="1818">
        <f t="shared" si="55"/>
        <v>36350.89329</v>
      </c>
      <c r="AN54" s="1818">
        <f t="shared" si="55"/>
        <v>114304.28651000001</v>
      </c>
      <c r="AO54" s="1818">
        <f t="shared" si="55"/>
        <v>41701.93931999999</v>
      </c>
      <c r="AP54" s="1818">
        <f t="shared" si="55"/>
        <v>125597.67934999998</v>
      </c>
      <c r="AQ54" s="1818">
        <f t="shared" si="55"/>
        <v>47231.310400000017</v>
      </c>
      <c r="AR54" s="1818">
        <f t="shared" si="55"/>
        <v>136165.60131</v>
      </c>
      <c r="AS54" s="1818">
        <f t="shared" si="55"/>
        <v>53621.37945</v>
      </c>
      <c r="AT54" s="1818">
        <f t="shared" si="55"/>
        <v>145531.81087000002</v>
      </c>
      <c r="AU54" s="1818">
        <f t="shared" si="55"/>
        <v>58908.735860000001</v>
      </c>
      <c r="AV54" s="1818">
        <f t="shared" si="55"/>
        <v>156514.62186000001</v>
      </c>
      <c r="AW54" s="1818">
        <f t="shared" si="55"/>
        <v>64632.586150000003</v>
      </c>
      <c r="AX54" s="1818">
        <f t="shared" si="55"/>
        <v>13363.88897</v>
      </c>
      <c r="AY54" s="1818">
        <f t="shared" si="55"/>
        <v>5972.05069</v>
      </c>
      <c r="AZ54" s="1818">
        <f t="shared" si="55"/>
        <v>22609.852650000001</v>
      </c>
      <c r="BA54" s="1818">
        <f t="shared" si="55"/>
        <v>11222.005160000001</v>
      </c>
      <c r="BB54" s="1818">
        <f t="shared" si="55"/>
        <v>58205.308270000009</v>
      </c>
      <c r="BC54" s="1818">
        <f t="shared" si="55"/>
        <v>15660.495800000001</v>
      </c>
      <c r="BD54" s="1818">
        <f t="shared" si="55"/>
        <v>71005.717529999994</v>
      </c>
      <c r="BE54" s="1818">
        <f t="shared" si="55"/>
        <v>22591.15279</v>
      </c>
      <c r="BF54" s="1818">
        <f t="shared" si="55"/>
        <v>83253.950700000001</v>
      </c>
      <c r="BG54" s="1818">
        <f t="shared" si="55"/>
        <v>28792.719570000001</v>
      </c>
      <c r="BH54" s="1818">
        <f t="shared" si="55"/>
        <v>94130.188399999999</v>
      </c>
      <c r="BI54" s="1818">
        <f t="shared" si="55"/>
        <v>34514.560389999999</v>
      </c>
      <c r="BJ54" s="1818">
        <f t="shared" si="55"/>
        <v>109556.04840999999</v>
      </c>
      <c r="BK54" s="1818">
        <f t="shared" si="55"/>
        <v>43130.904790000001</v>
      </c>
      <c r="BL54" s="1818">
        <f t="shared" si="55"/>
        <v>122334.31988000002</v>
      </c>
      <c r="BM54" s="1818">
        <f t="shared" si="55"/>
        <v>49572.728370000004</v>
      </c>
      <c r="BN54" s="1818">
        <f t="shared" ref="BN54:DY54" si="56">BN55+BN56+BN57+BN58+BN59</f>
        <v>134673.88312000001</v>
      </c>
      <c r="BO54" s="1818">
        <f t="shared" si="56"/>
        <v>56227.38063</v>
      </c>
      <c r="BP54" s="1818">
        <f t="shared" si="56"/>
        <v>145196.48154000001</v>
      </c>
      <c r="BQ54" s="1818">
        <f t="shared" si="56"/>
        <v>63381.397980000002</v>
      </c>
      <c r="BR54" s="1818">
        <f t="shared" si="56"/>
        <v>155313.26712</v>
      </c>
      <c r="BS54" s="1818">
        <f t="shared" si="56"/>
        <v>69925.533169999995</v>
      </c>
      <c r="BT54" s="1818">
        <f t="shared" si="56"/>
        <v>176459.76705000008</v>
      </c>
      <c r="BU54" s="1818">
        <f t="shared" si="56"/>
        <v>77525.976869999969</v>
      </c>
      <c r="BV54" s="1818">
        <f t="shared" si="56"/>
        <v>18210.303390000001</v>
      </c>
      <c r="BW54" s="1818">
        <f t="shared" si="56"/>
        <v>7283.0290800000002</v>
      </c>
      <c r="BX54" s="1818">
        <f t="shared" si="56"/>
        <v>59601.751530000009</v>
      </c>
      <c r="BY54" s="1818">
        <f t="shared" si="56"/>
        <v>14679.432989999999</v>
      </c>
      <c r="BZ54" s="1818">
        <f t="shared" si="56"/>
        <v>69052.583110000007</v>
      </c>
      <c r="CA54" s="1818">
        <f t="shared" si="56"/>
        <v>19002.756430000001</v>
      </c>
      <c r="CB54" s="1818">
        <f t="shared" si="56"/>
        <v>79757.430130000008</v>
      </c>
      <c r="CC54" s="1818">
        <f t="shared" si="56"/>
        <v>24579.530699999996</v>
      </c>
      <c r="CD54" s="1818">
        <f t="shared" si="56"/>
        <v>91362.001540000012</v>
      </c>
      <c r="CE54" s="1818">
        <f t="shared" si="56"/>
        <v>28435.845100000002</v>
      </c>
      <c r="CF54" s="1818">
        <f t="shared" si="56"/>
        <v>102124.04617</v>
      </c>
      <c r="CG54" s="1818">
        <f t="shared" si="56"/>
        <v>33250.1423</v>
      </c>
      <c r="CH54" s="1818">
        <f t="shared" si="56"/>
        <v>113973.20545000001</v>
      </c>
      <c r="CI54" s="1818">
        <f t="shared" si="56"/>
        <v>37884.085619999998</v>
      </c>
      <c r="CJ54" s="1818">
        <f t="shared" si="56"/>
        <v>124857.98344</v>
      </c>
      <c r="CK54" s="1818">
        <f t="shared" si="56"/>
        <v>42533.674910000002</v>
      </c>
      <c r="CL54" s="1818">
        <f t="shared" si="56"/>
        <v>137892.14937999999</v>
      </c>
      <c r="CM54" s="1818">
        <f t="shared" si="56"/>
        <v>48661.516660000001</v>
      </c>
      <c r="CN54" s="1818">
        <f t="shared" si="56"/>
        <v>147855.85897999999</v>
      </c>
      <c r="CO54" s="1818">
        <f t="shared" si="56"/>
        <v>54012.668489999996</v>
      </c>
      <c r="CP54" s="1818">
        <f t="shared" si="56"/>
        <v>156875.14671</v>
      </c>
      <c r="CQ54" s="1818">
        <f t="shared" si="56"/>
        <v>61120.587840000007</v>
      </c>
      <c r="CR54" s="1818">
        <f t="shared" si="56"/>
        <v>171915.62709000002</v>
      </c>
      <c r="CS54" s="1818">
        <f t="shared" si="56"/>
        <v>83853.131429999994</v>
      </c>
      <c r="CT54" s="1818">
        <f t="shared" si="56"/>
        <v>16195.166509999999</v>
      </c>
      <c r="CU54" s="1818">
        <f t="shared" si="56"/>
        <v>19262.81292</v>
      </c>
      <c r="CV54" s="1818">
        <f t="shared" si="56"/>
        <v>32758.031929999997</v>
      </c>
      <c r="CW54" s="1818">
        <f t="shared" si="56"/>
        <v>32196.169600000001</v>
      </c>
      <c r="CX54" s="1818">
        <f t="shared" si="56"/>
        <v>78463.5815</v>
      </c>
      <c r="CY54" s="1818">
        <f t="shared" si="56"/>
        <v>39882.595979999998</v>
      </c>
      <c r="CZ54" s="1818">
        <f t="shared" si="56"/>
        <v>90616.191790000012</v>
      </c>
      <c r="DA54" s="1818">
        <f t="shared" si="56"/>
        <v>48940.370049999998</v>
      </c>
      <c r="DB54" s="1818">
        <f t="shared" si="56"/>
        <v>101463.93508</v>
      </c>
      <c r="DC54" s="1818">
        <f t="shared" si="56"/>
        <v>54996.157220000001</v>
      </c>
      <c r="DD54" s="1818">
        <f t="shared" si="56"/>
        <v>112840.16962999999</v>
      </c>
      <c r="DE54" s="1818">
        <f t="shared" si="56"/>
        <v>62531.315349999997</v>
      </c>
      <c r="DF54" s="1818">
        <f t="shared" si="56"/>
        <v>124565.44986999998</v>
      </c>
      <c r="DG54" s="1818">
        <f t="shared" si="56"/>
        <v>70676.308099999995</v>
      </c>
      <c r="DH54" s="1818">
        <f t="shared" si="56"/>
        <v>138366.7623</v>
      </c>
      <c r="DI54" s="1818">
        <f t="shared" si="56"/>
        <v>79710.476839999988</v>
      </c>
      <c r="DJ54" s="1818">
        <f t="shared" si="56"/>
        <v>159096.54593999998</v>
      </c>
      <c r="DK54" s="1818">
        <f t="shared" si="56"/>
        <v>89497.378089999984</v>
      </c>
      <c r="DL54" s="1818">
        <f t="shared" si="56"/>
        <v>171011.96308999998</v>
      </c>
      <c r="DM54" s="1818">
        <f t="shared" si="56"/>
        <v>97974.17426</v>
      </c>
      <c r="DN54" s="1818">
        <f t="shared" si="56"/>
        <v>181506.81338000004</v>
      </c>
      <c r="DO54" s="1818">
        <f t="shared" si="56"/>
        <v>106462.66256</v>
      </c>
      <c r="DP54" s="1818">
        <f t="shared" si="56"/>
        <v>193796.32498999999</v>
      </c>
      <c r="DQ54" s="1819">
        <f t="shared" si="56"/>
        <v>115389.11059</v>
      </c>
      <c r="DR54" s="1820">
        <f t="shared" si="56"/>
        <v>14003.949049999999</v>
      </c>
      <c r="DS54" s="1821">
        <f t="shared" si="56"/>
        <v>7043.5313100000003</v>
      </c>
      <c r="DT54" s="1822">
        <f t="shared" si="56"/>
        <v>23527.655680000003</v>
      </c>
      <c r="DU54" s="1819">
        <f t="shared" si="56"/>
        <v>14024.309810000001</v>
      </c>
      <c r="DV54" s="1823">
        <f t="shared" si="56"/>
        <v>47369.458209999997</v>
      </c>
      <c r="DW54" s="1824">
        <f t="shared" si="56"/>
        <v>21533.819070000001</v>
      </c>
      <c r="DX54" s="1822">
        <f t="shared" si="56"/>
        <v>60815.707049999997</v>
      </c>
      <c r="DY54" s="1819">
        <f t="shared" si="56"/>
        <v>29840.152959999999</v>
      </c>
      <c r="DZ54" s="1823">
        <f t="shared" ref="DZ54:FP54" si="57">DZ55+DZ56+DZ57+DZ58+DZ59</f>
        <v>72186.711490000002</v>
      </c>
      <c r="EA54" s="1824">
        <f t="shared" si="57"/>
        <v>36960.76771</v>
      </c>
      <c r="EB54" s="1822">
        <f t="shared" si="57"/>
        <v>84561.129320000007</v>
      </c>
      <c r="EC54" s="1819">
        <f t="shared" si="57"/>
        <v>42908.252030000003</v>
      </c>
      <c r="ED54" s="1823">
        <f t="shared" si="57"/>
        <v>96649.123920000013</v>
      </c>
      <c r="EE54" s="1824">
        <f t="shared" si="57"/>
        <v>52108.247300000003</v>
      </c>
      <c r="EF54" s="1823">
        <f t="shared" si="57"/>
        <v>111796.68580000001</v>
      </c>
      <c r="EG54" s="1825">
        <f t="shared" si="57"/>
        <v>60932.097659999992</v>
      </c>
      <c r="EH54" s="1823">
        <f t="shared" si="57"/>
        <v>124503.73288</v>
      </c>
      <c r="EI54" s="1825">
        <f t="shared" si="57"/>
        <v>69186.857739999992</v>
      </c>
      <c r="EJ54" s="1819">
        <f t="shared" si="57"/>
        <v>137643.19482999999</v>
      </c>
      <c r="EK54" s="1824">
        <f t="shared" si="57"/>
        <v>77213.023929999996</v>
      </c>
      <c r="EL54" s="1823">
        <f t="shared" si="57"/>
        <v>152311.88094999999</v>
      </c>
      <c r="EM54" s="1825">
        <f t="shared" si="57"/>
        <v>84037.918820000006</v>
      </c>
      <c r="EN54" s="1823">
        <f t="shared" si="57"/>
        <v>168856.51093999998</v>
      </c>
      <c r="EO54" s="1825">
        <f t="shared" si="57"/>
        <v>92161.610220000002</v>
      </c>
      <c r="EP54" s="1823">
        <f t="shared" si="57"/>
        <v>13946.371439999999</v>
      </c>
      <c r="EQ54" s="1825">
        <f t="shared" si="57"/>
        <v>8119.6307999999999</v>
      </c>
      <c r="ER54" s="1823">
        <f t="shared" si="57"/>
        <v>37116.762909999998</v>
      </c>
      <c r="ES54" s="1825">
        <f t="shared" si="57"/>
        <v>17540.570830000001</v>
      </c>
      <c r="ET54" s="1823">
        <f t="shared" si="57"/>
        <v>72455.348480000001</v>
      </c>
      <c r="EU54" s="1825">
        <f t="shared" si="57"/>
        <v>23540.681929999999</v>
      </c>
      <c r="EV54" s="1823">
        <f t="shared" si="57"/>
        <v>95359.785739999992</v>
      </c>
      <c r="EW54" s="1825">
        <f t="shared" si="57"/>
        <v>31448.795530000003</v>
      </c>
      <c r="EX54" s="1823">
        <f t="shared" si="57"/>
        <v>116509.23608999999</v>
      </c>
      <c r="EY54" s="1825">
        <f t="shared" si="57"/>
        <v>40224.314170000005</v>
      </c>
      <c r="EZ54" s="1823">
        <f t="shared" si="57"/>
        <v>133804.82882</v>
      </c>
      <c r="FA54" s="1825">
        <f t="shared" si="57"/>
        <v>48937.477980000003</v>
      </c>
      <c r="FB54" s="1823">
        <f t="shared" si="57"/>
        <v>152437.95234999998</v>
      </c>
      <c r="FC54" s="1825">
        <f t="shared" si="57"/>
        <v>60173.865959999996</v>
      </c>
      <c r="FD54" s="1823">
        <f t="shared" si="57"/>
        <v>171977.54093000002</v>
      </c>
      <c r="FE54" s="1825">
        <f t="shared" si="57"/>
        <v>69801.985179999989</v>
      </c>
      <c r="FF54" s="1823">
        <f t="shared" si="57"/>
        <v>189211.46514999997</v>
      </c>
      <c r="FG54" s="1825">
        <f t="shared" si="57"/>
        <v>77825.09050999998</v>
      </c>
      <c r="FH54" s="1823">
        <f t="shared" si="57"/>
        <v>204772.50294999999</v>
      </c>
      <c r="FI54" s="1825">
        <f t="shared" si="57"/>
        <v>87455.362099999998</v>
      </c>
      <c r="FJ54" s="1823">
        <f t="shared" si="57"/>
        <v>221533.95366</v>
      </c>
      <c r="FK54" s="1825">
        <f t="shared" si="57"/>
        <v>95661.598100000003</v>
      </c>
      <c r="FL54" s="1823">
        <f t="shared" si="57"/>
        <v>250391.764</v>
      </c>
      <c r="FM54" s="1825">
        <f t="shared" si="57"/>
        <v>104129.33352999999</v>
      </c>
      <c r="FN54" s="1823">
        <f t="shared" si="57"/>
        <v>15967.38632</v>
      </c>
      <c r="FO54" s="1825">
        <f>FO55+FO56+FO57+FO58+FO59</f>
        <v>8029.8940399999992</v>
      </c>
      <c r="FP54" s="1823">
        <f t="shared" si="57"/>
        <v>34997.583789999997</v>
      </c>
      <c r="FQ54" s="1825">
        <f>FQ55+FQ56+FQ57+FQ58+FQ59</f>
        <v>17031.027390000003</v>
      </c>
      <c r="FR54" s="1823">
        <f t="shared" ref="FR54:FT54" si="58">FR55+FR56+FR57+FR58+FR59</f>
        <v>74229.753460000007</v>
      </c>
      <c r="FS54" s="1825">
        <f>FS55+FS56+FS57+FS58+FS59</f>
        <v>28440.154180000001</v>
      </c>
      <c r="FT54" s="1823">
        <f t="shared" si="58"/>
        <v>99117.610960000005</v>
      </c>
      <c r="FU54" s="1825">
        <f>FU55+FU56+FU57+FU58+FU59</f>
        <v>41343.922790000004</v>
      </c>
      <c r="FV54" s="1823">
        <f t="shared" ref="FV54:FX54" si="59">FV55+FV56+FV57+FV58+FV59</f>
        <v>119851.67431999999</v>
      </c>
      <c r="FW54" s="1825">
        <f>FW55+FW56+FW57+FW58+FW59</f>
        <v>52502.611130000005</v>
      </c>
      <c r="FX54" s="1823">
        <f t="shared" si="59"/>
        <v>136788.02425000002</v>
      </c>
      <c r="FY54" s="1825">
        <f>FY55+FY56+FY57+FY58+FY59</f>
        <v>59457.266670000005</v>
      </c>
      <c r="FZ54" s="1823">
        <f t="shared" ref="FZ54:GB54" si="60">FZ55+FZ56+FZ57+FZ58+FZ59</f>
        <v>156146.60657</v>
      </c>
      <c r="GA54" s="1825">
        <f t="shared" si="60"/>
        <v>69624.008190000008</v>
      </c>
      <c r="GB54" s="1823">
        <f t="shared" si="60"/>
        <v>175180.27760999999</v>
      </c>
      <c r="GC54" s="1825">
        <f>GC55+GC56+GC57+GC58+GC59</f>
        <v>81533.327290000001</v>
      </c>
      <c r="GD54" s="1823">
        <f t="shared" ref="GD54:HQ54" si="61">GD55+GD56+GD57+GD58+GD59</f>
        <v>193365.96051999999</v>
      </c>
      <c r="GE54" s="1825">
        <f t="shared" si="61"/>
        <v>95775.019070000009</v>
      </c>
      <c r="GF54" s="1823">
        <f t="shared" si="61"/>
        <v>212786.08234999998</v>
      </c>
      <c r="GG54" s="1825">
        <f t="shared" si="61"/>
        <v>108341.73751000001</v>
      </c>
      <c r="GH54" s="1823">
        <f t="shared" si="61"/>
        <v>230314.27725000001</v>
      </c>
      <c r="GI54" s="1825">
        <f t="shared" si="61"/>
        <v>121756.21365000001</v>
      </c>
      <c r="GJ54" s="1823">
        <f t="shared" si="61"/>
        <v>251676.07930000004</v>
      </c>
      <c r="GK54" s="1825">
        <f t="shared" si="61"/>
        <v>133915.00936</v>
      </c>
      <c r="GL54" s="1823">
        <f t="shared" si="61"/>
        <v>16782.020649999999</v>
      </c>
      <c r="GM54" s="1825">
        <f t="shared" si="61"/>
        <v>9728.7010200000004</v>
      </c>
      <c r="GN54" s="1823">
        <f t="shared" si="61"/>
        <v>44701.283259999997</v>
      </c>
      <c r="GO54" s="1825">
        <f t="shared" si="61"/>
        <v>20544.591679999998</v>
      </c>
      <c r="GP54" s="1823">
        <f t="shared" si="61"/>
        <v>66985.017650000067</v>
      </c>
      <c r="GQ54" s="1825">
        <f t="shared" si="61"/>
        <v>28901.801359999998</v>
      </c>
      <c r="GR54" s="1823">
        <f t="shared" si="61"/>
        <v>99051.757989999984</v>
      </c>
      <c r="GS54" s="1825">
        <f t="shared" si="61"/>
        <v>42657.631780000003</v>
      </c>
      <c r="GT54" s="1823">
        <f t="shared" si="61"/>
        <v>124147.72344</v>
      </c>
      <c r="GU54" s="1825">
        <f t="shared" si="61"/>
        <v>55170.599530000007</v>
      </c>
      <c r="GV54" s="1823">
        <f t="shared" si="61"/>
        <v>141801.73585</v>
      </c>
      <c r="GW54" s="1825">
        <f t="shared" si="61"/>
        <v>65642.053950000001</v>
      </c>
      <c r="GX54" s="1823">
        <f t="shared" si="61"/>
        <v>162332.35590000002</v>
      </c>
      <c r="GY54" s="1825">
        <f t="shared" si="61"/>
        <v>77211.537760000007</v>
      </c>
      <c r="GZ54" s="1823">
        <f t="shared" si="61"/>
        <v>182874.91520999998</v>
      </c>
      <c r="HA54" s="1825">
        <f t="shared" si="61"/>
        <v>89071.320699999997</v>
      </c>
      <c r="HB54" s="1823">
        <f t="shared" si="61"/>
        <v>203598.53529</v>
      </c>
      <c r="HC54" s="1825">
        <f t="shared" si="61"/>
        <v>101189.53065</v>
      </c>
      <c r="HD54" s="1823">
        <f t="shared" si="61"/>
        <v>222716.31823</v>
      </c>
      <c r="HE54" s="1825">
        <f t="shared" si="61"/>
        <v>115853.21617</v>
      </c>
      <c r="HF54" s="1823">
        <f t="shared" si="61"/>
        <v>240682.30730000001</v>
      </c>
      <c r="HG54" s="1825">
        <f t="shared" si="61"/>
        <v>126149.50074</v>
      </c>
      <c r="HH54" s="1823">
        <f t="shared" si="61"/>
        <v>264291.66592999996</v>
      </c>
      <c r="HI54" s="1825">
        <f t="shared" si="61"/>
        <v>140617.57055</v>
      </c>
      <c r="HJ54" s="1823">
        <f t="shared" si="61"/>
        <v>16578.317950000001</v>
      </c>
      <c r="HK54" s="1825">
        <f t="shared" si="61"/>
        <v>11503.72364</v>
      </c>
      <c r="HL54" s="1823">
        <f t="shared" si="61"/>
        <v>32203.631420000002</v>
      </c>
      <c r="HM54" s="1825">
        <f t="shared" si="61"/>
        <v>26643.155299999999</v>
      </c>
      <c r="HN54" s="1823">
        <f t="shared" si="61"/>
        <v>48399.576869999997</v>
      </c>
      <c r="HO54" s="1825">
        <f t="shared" si="61"/>
        <v>37489.776579999998</v>
      </c>
      <c r="HP54" s="1823">
        <f t="shared" si="61"/>
        <v>69418.297909999994</v>
      </c>
      <c r="HQ54" s="1825">
        <f t="shared" si="61"/>
        <v>52750.197380000005</v>
      </c>
      <c r="HR54" s="1823">
        <f t="shared" ref="HR54:HS54" si="62">HR55+HR56+HR57+HR58+HR59</f>
        <v>89532.129679999998</v>
      </c>
      <c r="HS54" s="1825">
        <f t="shared" si="62"/>
        <v>64823.660159999999</v>
      </c>
      <c r="HT54" s="1823">
        <v>115859.06557000001</v>
      </c>
      <c r="HU54" s="1825">
        <v>78193.221950000006</v>
      </c>
      <c r="HV54" s="1794" t="s">
        <v>3179</v>
      </c>
    </row>
    <row r="55" spans="1:234" s="1774" customFormat="1" ht="22.5" customHeight="1">
      <c r="A55" s="1167" t="s">
        <v>3202</v>
      </c>
      <c r="B55" s="1796">
        <v>4819.5867600000001</v>
      </c>
      <c r="C55" s="1796">
        <v>3059.1910600000001</v>
      </c>
      <c r="D55" s="1796">
        <v>9978.2065500000008</v>
      </c>
      <c r="E55" s="1796">
        <v>6085.3454900000006</v>
      </c>
      <c r="F55" s="1796">
        <v>17461.586649999997</v>
      </c>
      <c r="G55" s="1796">
        <v>9931.8826300000001</v>
      </c>
      <c r="H55" s="1796">
        <v>25599.331719999998</v>
      </c>
      <c r="I55" s="1796">
        <v>13385.902810000001</v>
      </c>
      <c r="J55" s="1796">
        <v>33556.197189999999</v>
      </c>
      <c r="K55" s="1796">
        <v>16876.245940000001</v>
      </c>
      <c r="L55" s="1796">
        <v>44708.578020000001</v>
      </c>
      <c r="M55" s="1796">
        <v>19903.036350000002</v>
      </c>
      <c r="N55" s="1796">
        <v>55449.138149999999</v>
      </c>
      <c r="O55" s="1796">
        <v>23688.472730000001</v>
      </c>
      <c r="P55" s="1796">
        <v>64687.862580000001</v>
      </c>
      <c r="Q55" s="1796">
        <v>28202.690480000001</v>
      </c>
      <c r="R55" s="1796">
        <v>71877.752010000011</v>
      </c>
      <c r="S55" s="1796">
        <v>31945.613980000002</v>
      </c>
      <c r="T55" s="1796">
        <v>79695.256789999999</v>
      </c>
      <c r="U55" s="1796">
        <v>36165.17787</v>
      </c>
      <c r="V55" s="1796">
        <v>86586.710730000006</v>
      </c>
      <c r="W55" s="1796">
        <v>40341.182119999998</v>
      </c>
      <c r="X55" s="1796">
        <v>92604.04737</v>
      </c>
      <c r="Y55" s="1796">
        <v>44763.625399999997</v>
      </c>
      <c r="Z55" s="1796">
        <v>5513.5177999999996</v>
      </c>
      <c r="AA55" s="1796">
        <v>4054.2116900000001</v>
      </c>
      <c r="AB55" s="1796">
        <v>11329.780859999999</v>
      </c>
      <c r="AC55" s="1796">
        <v>8194.7029199999997</v>
      </c>
      <c r="AD55" s="1796">
        <v>18299.072270000001</v>
      </c>
      <c r="AE55" s="1796">
        <v>11567.545619999999</v>
      </c>
      <c r="AF55" s="1796">
        <v>26718.736440000001</v>
      </c>
      <c r="AG55" s="1796">
        <v>15996.659609999999</v>
      </c>
      <c r="AH55" s="1796">
        <v>34926.09936</v>
      </c>
      <c r="AI55" s="1796">
        <v>20337.966960000002</v>
      </c>
      <c r="AJ55" s="1796">
        <v>44524.377460000003</v>
      </c>
      <c r="AK55" s="1796">
        <v>24076.218559999998</v>
      </c>
      <c r="AL55" s="1796">
        <v>55457.606189999999</v>
      </c>
      <c r="AM55" s="1796">
        <v>29207.067350000001</v>
      </c>
      <c r="AN55" s="1796">
        <v>64853.795389999999</v>
      </c>
      <c r="AO55" s="1796">
        <v>33838.063049999997</v>
      </c>
      <c r="AP55" s="1796">
        <v>72553.617389999999</v>
      </c>
      <c r="AQ55" s="1796">
        <v>38302.603860000003</v>
      </c>
      <c r="AR55" s="1796">
        <v>80977.643489999988</v>
      </c>
      <c r="AS55" s="1796">
        <v>43992.183700000001</v>
      </c>
      <c r="AT55" s="1796">
        <v>88416.99222</v>
      </c>
      <c r="AU55" s="1796">
        <v>48622.186479999997</v>
      </c>
      <c r="AV55" s="1796">
        <v>95440.454360000003</v>
      </c>
      <c r="AW55" s="1796">
        <v>53505.219189999996</v>
      </c>
      <c r="AX55" s="1796">
        <v>6511.3182800000004</v>
      </c>
      <c r="AY55" s="1796">
        <v>5432.0009</v>
      </c>
      <c r="AZ55" s="1796">
        <v>12715.19476</v>
      </c>
      <c r="BA55" s="1796">
        <v>9897.2929100000001</v>
      </c>
      <c r="BB55" s="1796">
        <v>20178.741239999999</v>
      </c>
      <c r="BC55" s="1796">
        <v>13645.46486</v>
      </c>
      <c r="BD55" s="1796">
        <v>29191.779629999997</v>
      </c>
      <c r="BE55" s="1796">
        <v>19728.48256</v>
      </c>
      <c r="BF55" s="1796">
        <v>38046.912630000006</v>
      </c>
      <c r="BG55" s="1796">
        <v>25189.093239999998</v>
      </c>
      <c r="BH55" s="1796">
        <v>47238.323630000006</v>
      </c>
      <c r="BI55" s="1796">
        <v>29995.813559999999</v>
      </c>
      <c r="BJ55" s="1796">
        <v>58519.878899999996</v>
      </c>
      <c r="BK55" s="1796">
        <v>37263.759680000003</v>
      </c>
      <c r="BL55" s="1796">
        <v>67860.710149999999</v>
      </c>
      <c r="BM55" s="1796">
        <v>42736.934340000007</v>
      </c>
      <c r="BN55" s="1796">
        <v>76197.630590000001</v>
      </c>
      <c r="BO55" s="1796">
        <v>48700.720590000004</v>
      </c>
      <c r="BP55" s="1796">
        <v>84463.206090000007</v>
      </c>
      <c r="BQ55" s="1796">
        <v>54893.438670000003</v>
      </c>
      <c r="BR55" s="1796">
        <v>92593.811589999998</v>
      </c>
      <c r="BS55" s="1796">
        <v>60598.840859999997</v>
      </c>
      <c r="BT55" s="1796">
        <v>100430.16220999999</v>
      </c>
      <c r="BU55" s="1796">
        <v>67235.563020000001</v>
      </c>
      <c r="BV55" s="1796">
        <v>6924.9952499999999</v>
      </c>
      <c r="BW55" s="1796">
        <v>6059.0794400000004</v>
      </c>
      <c r="BX55" s="1796">
        <v>13515.0965</v>
      </c>
      <c r="BY55" s="1796">
        <v>12477.556199999999</v>
      </c>
      <c r="BZ55" s="1796">
        <v>19372.857499999998</v>
      </c>
      <c r="CA55" s="1796">
        <v>16325.902830000001</v>
      </c>
      <c r="CB55" s="1796">
        <v>26225.853870000003</v>
      </c>
      <c r="CC55" s="1796">
        <v>20989.427949999998</v>
      </c>
      <c r="CD55" s="1796">
        <v>35255.420020000005</v>
      </c>
      <c r="CE55" s="1796">
        <v>24500.824390000002</v>
      </c>
      <c r="CF55" s="1796">
        <v>44152.252829999998</v>
      </c>
      <c r="CG55" s="1796">
        <v>28605.347600000001</v>
      </c>
      <c r="CH55" s="1796">
        <v>53700.200770000003</v>
      </c>
      <c r="CI55" s="1796">
        <v>32785.172210000004</v>
      </c>
      <c r="CJ55" s="1796">
        <v>62442.417460000004</v>
      </c>
      <c r="CK55" s="1796">
        <v>36927.090670000005</v>
      </c>
      <c r="CL55" s="1796">
        <v>70783.300749999995</v>
      </c>
      <c r="CM55" s="1796">
        <v>42220.9548</v>
      </c>
      <c r="CN55" s="1796">
        <v>78771.856629999995</v>
      </c>
      <c r="CO55" s="1796">
        <v>47018.987299999993</v>
      </c>
      <c r="CP55" s="1796">
        <v>85785.247799999997</v>
      </c>
      <c r="CQ55" s="1796">
        <v>51576.551579999999</v>
      </c>
      <c r="CR55" s="1796">
        <v>93293.501040000003</v>
      </c>
      <c r="CS55" s="1796">
        <v>56578.731959999997</v>
      </c>
      <c r="CT55" s="1796">
        <v>7106.4720900000002</v>
      </c>
      <c r="CU55" s="1796">
        <v>4708.2037799999998</v>
      </c>
      <c r="CV55" s="1796">
        <v>13847.68957</v>
      </c>
      <c r="CW55" s="1796">
        <v>9808.6905100000004</v>
      </c>
      <c r="CX55" s="1796">
        <v>20825.48516</v>
      </c>
      <c r="CY55" s="1796">
        <v>14790.49042</v>
      </c>
      <c r="CZ55" s="1796">
        <v>28712.01658</v>
      </c>
      <c r="DA55" s="1796">
        <v>21448.576300000001</v>
      </c>
      <c r="DB55" s="1796">
        <v>37600.040009999997</v>
      </c>
      <c r="DC55" s="1796">
        <v>26068.454389999999</v>
      </c>
      <c r="DD55" s="1796">
        <v>46757.772600000004</v>
      </c>
      <c r="DE55" s="1796">
        <v>32078.447889999999</v>
      </c>
      <c r="DF55" s="1796">
        <v>56557.608869999996</v>
      </c>
      <c r="DG55" s="1796">
        <v>38422.302189999995</v>
      </c>
      <c r="DH55" s="1796">
        <v>66102.299469999998</v>
      </c>
      <c r="DI55" s="1796">
        <v>45600.321469999995</v>
      </c>
      <c r="DJ55" s="1796">
        <v>74824.549950000001</v>
      </c>
      <c r="DK55" s="1796">
        <v>53144.271099999998</v>
      </c>
      <c r="DL55" s="1796">
        <v>83251.933910000007</v>
      </c>
      <c r="DM55" s="1796">
        <v>59946.431230000002</v>
      </c>
      <c r="DN55" s="1796">
        <v>91208.440730000002</v>
      </c>
      <c r="DO55" s="1796">
        <v>67041.278219999993</v>
      </c>
      <c r="DP55" s="1796">
        <v>99566.054300000003</v>
      </c>
      <c r="DQ55" s="1797">
        <v>74098.637799999997</v>
      </c>
      <c r="DR55" s="1811">
        <v>7365.7418399999997</v>
      </c>
      <c r="DS55" s="1808">
        <v>6620.0105199999998</v>
      </c>
      <c r="DT55" s="1816">
        <v>14282.49192</v>
      </c>
      <c r="DU55" s="1817">
        <v>13493.41178</v>
      </c>
      <c r="DV55" s="1811">
        <v>21705.131570000001</v>
      </c>
      <c r="DW55" s="1808">
        <v>20699.406470000002</v>
      </c>
      <c r="DX55" s="1816">
        <v>29977.026689999999</v>
      </c>
      <c r="DY55" s="1817">
        <v>28904.888569999999</v>
      </c>
      <c r="DZ55" s="1811">
        <v>39332.535779999998</v>
      </c>
      <c r="EA55" s="1808">
        <v>35942.541969999998</v>
      </c>
      <c r="EB55" s="1800">
        <v>48448.469550000002</v>
      </c>
      <c r="EC55" s="1797">
        <v>41774.70708</v>
      </c>
      <c r="ED55" s="1798">
        <v>59149.672330000001</v>
      </c>
      <c r="EE55" s="1799">
        <v>50845.696640000002</v>
      </c>
      <c r="EF55" s="1798">
        <v>69919.972590000005</v>
      </c>
      <c r="EG55" s="1799">
        <v>59505.453569999998</v>
      </c>
      <c r="EH55" s="1800">
        <v>80303.857480000006</v>
      </c>
      <c r="EI55" s="1799">
        <v>67584.016019999995</v>
      </c>
      <c r="EJ55" s="1800">
        <v>91073.342430000004</v>
      </c>
      <c r="EK55" s="1799">
        <v>75539.851720000006</v>
      </c>
      <c r="EL55" s="1798">
        <v>102219.89301</v>
      </c>
      <c r="EM55" s="1801">
        <v>82292.491569999998</v>
      </c>
      <c r="EN55" s="1798">
        <v>113843.57021999999</v>
      </c>
      <c r="EO55" s="1801">
        <v>90280.42254</v>
      </c>
      <c r="EP55" s="1798">
        <v>11271.21442</v>
      </c>
      <c r="EQ55" s="1801">
        <v>7920.0517399999999</v>
      </c>
      <c r="ER55" s="1798">
        <v>23457.885630000001</v>
      </c>
      <c r="ES55" s="1801">
        <v>17206.256659999999</v>
      </c>
      <c r="ET55" s="1798">
        <v>35667.024590000001</v>
      </c>
      <c r="EU55" s="1801">
        <v>23014.32546</v>
      </c>
      <c r="EV55" s="1798">
        <v>48167.781560000003</v>
      </c>
      <c r="EW55" s="1801">
        <v>30630.75188</v>
      </c>
      <c r="EX55" s="1798">
        <v>62945.835330000002</v>
      </c>
      <c r="EY55" s="1801">
        <v>39101.492450000005</v>
      </c>
      <c r="EZ55" s="1798">
        <v>76874.511029999994</v>
      </c>
      <c r="FA55" s="1801">
        <v>46493.464070000002</v>
      </c>
      <c r="FB55" s="1798">
        <v>92644.450599999996</v>
      </c>
      <c r="FC55" s="1801">
        <v>56655.319179999999</v>
      </c>
      <c r="FD55" s="1798">
        <v>107622.65153</v>
      </c>
      <c r="FE55" s="1801">
        <v>64770.162109999997</v>
      </c>
      <c r="FF55" s="1798">
        <v>121515.83559999999</v>
      </c>
      <c r="FG55" s="1801">
        <v>72679.01376999999</v>
      </c>
      <c r="FH55" s="1798">
        <v>135079.03260000001</v>
      </c>
      <c r="FI55" s="1801">
        <v>81912.731750000006</v>
      </c>
      <c r="FJ55" s="1798">
        <v>147793.33244999999</v>
      </c>
      <c r="FK55" s="1801">
        <v>89637.180300000007</v>
      </c>
      <c r="FL55" s="1798">
        <v>170929.51536000002</v>
      </c>
      <c r="FM55" s="1801">
        <v>97909.045209999997</v>
      </c>
      <c r="FN55" s="1798">
        <v>12330.036459999999</v>
      </c>
      <c r="FO55" s="1801">
        <v>7940.7301799999996</v>
      </c>
      <c r="FP55" s="1798">
        <v>24493.461090000001</v>
      </c>
      <c r="FQ55" s="1801">
        <v>16749.61159</v>
      </c>
      <c r="FR55" s="1798">
        <v>37009.892970000001</v>
      </c>
      <c r="FS55" s="1801">
        <v>27679.025119999998</v>
      </c>
      <c r="FT55" s="1798">
        <v>50171.105580000003</v>
      </c>
      <c r="FU55" s="1801">
        <v>40423.126900000003</v>
      </c>
      <c r="FV55" s="1798">
        <v>65315.669249999999</v>
      </c>
      <c r="FW55" s="1801">
        <f>51249.23641+17.7237</f>
        <v>51266.96011</v>
      </c>
      <c r="FX55" s="1798">
        <v>79640.895539999998</v>
      </c>
      <c r="FY55" s="1801">
        <f>57842.78875+17.7237</f>
        <v>57860.512450000002</v>
      </c>
      <c r="FZ55" s="1798">
        <v>95961.829989999998</v>
      </c>
      <c r="GA55" s="1801">
        <f>66441.26346+979.78177+17.7237</f>
        <v>67438.768930000006</v>
      </c>
      <c r="GB55" s="1798">
        <v>111675.77558</v>
      </c>
      <c r="GC55" s="1801">
        <f>79056.61784+17.7237</f>
        <v>79074.341540000009</v>
      </c>
      <c r="GD55" s="1798">
        <v>126001.92080000001</v>
      </c>
      <c r="GE55" s="1801">
        <f>92970.52309+17.7237</f>
        <v>92988.246790000005</v>
      </c>
      <c r="GF55" s="1798">
        <v>140787.44837999999</v>
      </c>
      <c r="GG55" s="1801">
        <f>105330.99006+17.7237</f>
        <v>105348.71376</v>
      </c>
      <c r="GH55" s="1798">
        <v>154172.69773000001</v>
      </c>
      <c r="GI55" s="1801">
        <f>118364.80063+17.7237</f>
        <v>118382.52433</v>
      </c>
      <c r="GJ55" s="1798">
        <v>167711.16304000001</v>
      </c>
      <c r="GK55" s="1801">
        <f>129979.70453+17.7237</f>
        <v>129997.42823</v>
      </c>
      <c r="GL55" s="1798">
        <v>12803.474410000001</v>
      </c>
      <c r="GM55" s="1801">
        <v>9477.5295499999993</v>
      </c>
      <c r="GN55" s="1798">
        <v>25069.87329</v>
      </c>
      <c r="GO55" s="1801">
        <v>19830.070629999998</v>
      </c>
      <c r="GP55" s="1798">
        <v>38529.69363000006</v>
      </c>
      <c r="GQ55" s="1801">
        <v>28019.71761</v>
      </c>
      <c r="GR55" s="1798">
        <v>53720.575270000001</v>
      </c>
      <c r="GS55" s="1801">
        <v>41631.773119999998</v>
      </c>
      <c r="GT55" s="1798">
        <v>69411.004979999998</v>
      </c>
      <c r="GU55" s="1801">
        <v>53946.066729999999</v>
      </c>
      <c r="GV55" s="1798">
        <v>84300.884720000002</v>
      </c>
      <c r="GW55" s="1801">
        <v>64228.651700000002</v>
      </c>
      <c r="GX55" s="1798">
        <v>101795.28384</v>
      </c>
      <c r="GY55" s="1801">
        <v>75426.765400000004</v>
      </c>
      <c r="GZ55" s="1798">
        <v>118534.20821</v>
      </c>
      <c r="HA55" s="1801">
        <v>87172.90509</v>
      </c>
      <c r="HB55" s="1798">
        <v>134724.47172</v>
      </c>
      <c r="HC55" s="1801">
        <v>98982.675050000005</v>
      </c>
      <c r="HD55" s="1798">
        <v>151172.59656000001</v>
      </c>
      <c r="HE55" s="1801">
        <v>113469.47010999999</v>
      </c>
      <c r="HF55" s="1798">
        <v>165605.12442000001</v>
      </c>
      <c r="HG55" s="1801">
        <v>123689.65229</v>
      </c>
      <c r="HH55" s="1798">
        <v>182114.04840999999</v>
      </c>
      <c r="HI55" s="1801">
        <v>137593.25808</v>
      </c>
      <c r="HJ55" s="1798">
        <v>13750.57351</v>
      </c>
      <c r="HK55" s="1801">
        <v>11399.789769999999</v>
      </c>
      <c r="HL55" s="1798">
        <v>26993.977470000002</v>
      </c>
      <c r="HM55" s="1801">
        <v>26199.950349999999</v>
      </c>
      <c r="HN55" s="1798">
        <v>40727.934430000001</v>
      </c>
      <c r="HO55" s="1801">
        <v>36870.193070000001</v>
      </c>
      <c r="HP55" s="1798">
        <v>57517.282399999996</v>
      </c>
      <c r="HQ55" s="1801">
        <v>51708.581839999999</v>
      </c>
      <c r="HR55" s="1798">
        <v>74363.931379999995</v>
      </c>
      <c r="HS55" s="1801">
        <v>63209.823299999996</v>
      </c>
      <c r="HT55" s="1798">
        <v>91539.000870000003</v>
      </c>
      <c r="HU55" s="1801">
        <v>75853.913209999999</v>
      </c>
      <c r="HV55" s="1166" t="s">
        <v>3429</v>
      </c>
      <c r="HX55" s="1805"/>
      <c r="HY55" s="1805"/>
      <c r="HZ55" s="1803"/>
    </row>
    <row r="56" spans="1:234" s="1774" customFormat="1" ht="22.5" customHeight="1">
      <c r="A56" s="1802" t="s">
        <v>3203</v>
      </c>
      <c r="B56" s="1796">
        <v>2611.0838100000001</v>
      </c>
      <c r="C56" s="1796">
        <v>299.45535999999998</v>
      </c>
      <c r="D56" s="1796">
        <v>3883.3146299999999</v>
      </c>
      <c r="E56" s="1796">
        <v>593.59216000000004</v>
      </c>
      <c r="F56" s="1796">
        <v>5904.3386300000002</v>
      </c>
      <c r="G56" s="1796">
        <v>1065.8862300000001</v>
      </c>
      <c r="H56" s="1796">
        <v>7372.7953600000001</v>
      </c>
      <c r="I56" s="1796">
        <v>1245.1332399999999</v>
      </c>
      <c r="J56" s="1796">
        <v>9869.7677700000004</v>
      </c>
      <c r="K56" s="1796">
        <v>1401.1743700000002</v>
      </c>
      <c r="L56" s="1796">
        <v>11187.60773</v>
      </c>
      <c r="M56" s="1796">
        <v>1649.7900400000001</v>
      </c>
      <c r="N56" s="1796">
        <v>14292.34397</v>
      </c>
      <c r="O56" s="1796">
        <v>2024.1972499999999</v>
      </c>
      <c r="P56" s="1796">
        <v>16454.78515</v>
      </c>
      <c r="Q56" s="1796">
        <v>2320.22813</v>
      </c>
      <c r="R56" s="1796">
        <v>19079.485079999999</v>
      </c>
      <c r="S56" s="1796">
        <v>2353.5393899999999</v>
      </c>
      <c r="T56" s="1796">
        <v>21444.787850000001</v>
      </c>
      <c r="U56" s="1796">
        <v>2405.03008</v>
      </c>
      <c r="V56" s="1796">
        <v>24971.535359999998</v>
      </c>
      <c r="W56" s="1796">
        <v>2625.1581200000001</v>
      </c>
      <c r="X56" s="1796">
        <v>27928.380980000002</v>
      </c>
      <c r="Y56" s="1796">
        <v>2828.1072100000001</v>
      </c>
      <c r="Z56" s="1796">
        <v>3549.98623</v>
      </c>
      <c r="AA56" s="1796">
        <v>62.62453</v>
      </c>
      <c r="AB56" s="1796">
        <v>5094.4368700000005</v>
      </c>
      <c r="AC56" s="1796">
        <v>681.52548999999999</v>
      </c>
      <c r="AD56" s="1796">
        <v>7038.9120199999998</v>
      </c>
      <c r="AE56" s="1796">
        <v>955.05552</v>
      </c>
      <c r="AF56" s="1796">
        <v>9536.7381700000005</v>
      </c>
      <c r="AG56" s="1796">
        <v>1179.1693600000001</v>
      </c>
      <c r="AH56" s="1796">
        <v>12174.39718</v>
      </c>
      <c r="AI56" s="1796">
        <v>1439.6496399999999</v>
      </c>
      <c r="AJ56" s="1796">
        <v>15202.43648</v>
      </c>
      <c r="AK56" s="1796">
        <v>1678.7657300000001</v>
      </c>
      <c r="AL56" s="1796">
        <v>17238.29753</v>
      </c>
      <c r="AM56" s="1796">
        <v>1953.8507099999999</v>
      </c>
      <c r="AN56" s="1796">
        <v>20483.66907</v>
      </c>
      <c r="AO56" s="1796">
        <v>2169.6173399999998</v>
      </c>
      <c r="AP56" s="1796">
        <v>23506.90091</v>
      </c>
      <c r="AQ56" s="1796">
        <v>2912.7456099999999</v>
      </c>
      <c r="AR56" s="1796">
        <v>25299.251769999999</v>
      </c>
      <c r="AS56" s="1796">
        <v>3284.0598199999999</v>
      </c>
      <c r="AT56" s="1796">
        <v>27000.345600000001</v>
      </c>
      <c r="AU56" s="1796">
        <v>3609.9614500000002</v>
      </c>
      <c r="AV56" s="1796">
        <v>30364.470450000001</v>
      </c>
      <c r="AW56" s="1796">
        <v>4025.1817900000001</v>
      </c>
      <c r="AX56" s="1796">
        <v>5947.4026900000008</v>
      </c>
      <c r="AY56" s="1796">
        <v>306.60578999999996</v>
      </c>
      <c r="AZ56" s="1796">
        <v>7870.90589</v>
      </c>
      <c r="BA56" s="1796">
        <v>669.96225000000004</v>
      </c>
      <c r="BB56" s="1796">
        <v>9157.9690300000002</v>
      </c>
      <c r="BC56" s="1796">
        <v>1097.06394</v>
      </c>
      <c r="BD56" s="1796">
        <v>12841.251900000001</v>
      </c>
      <c r="BE56" s="1796">
        <v>1486.91823</v>
      </c>
      <c r="BF56" s="1796">
        <v>16187.461070000001</v>
      </c>
      <c r="BG56" s="1796">
        <v>1984.7363300000002</v>
      </c>
      <c r="BH56" s="1796">
        <v>17849.47177</v>
      </c>
      <c r="BI56" s="1796">
        <v>2571.90083</v>
      </c>
      <c r="BJ56" s="1796">
        <v>21367.308510000003</v>
      </c>
      <c r="BK56" s="1796">
        <v>3054.4621099999999</v>
      </c>
      <c r="BL56" s="1796">
        <v>25382.122230000001</v>
      </c>
      <c r="BM56" s="1796">
        <v>3497.0670299999997</v>
      </c>
      <c r="BN56" s="1796">
        <v>28430.533030000002</v>
      </c>
      <c r="BO56" s="1796">
        <v>3939.0550400000002</v>
      </c>
      <c r="BP56" s="1796">
        <v>30415.826949999999</v>
      </c>
      <c r="BQ56" s="1796">
        <v>4340.4448499999999</v>
      </c>
      <c r="BR56" s="1796">
        <v>32171.536030000003</v>
      </c>
      <c r="BS56" s="1796">
        <v>4857.2018499999995</v>
      </c>
      <c r="BT56" s="1796">
        <v>43426.783340000002</v>
      </c>
      <c r="BU56" s="1796">
        <v>5414.9928499999996</v>
      </c>
      <c r="BV56" s="1796">
        <v>10873.948410000001</v>
      </c>
      <c r="BW56" s="1796">
        <v>801.13264000000004</v>
      </c>
      <c r="BX56" s="1796">
        <v>14698.168300000001</v>
      </c>
      <c r="BY56" s="1796">
        <v>1360.98811</v>
      </c>
      <c r="BZ56" s="1796">
        <v>17845.278879999998</v>
      </c>
      <c r="CA56" s="1796">
        <v>1403.65192</v>
      </c>
      <c r="CB56" s="1796">
        <v>21326.394530000001</v>
      </c>
      <c r="CC56" s="1796">
        <v>2211.4360699999997</v>
      </c>
      <c r="CD56" s="1796">
        <v>23879.139789999997</v>
      </c>
      <c r="CE56" s="1796">
        <v>2359.61303</v>
      </c>
      <c r="CF56" s="1796">
        <v>25720.901610000001</v>
      </c>
      <c r="CG56" s="1796">
        <v>2689.4010200000002</v>
      </c>
      <c r="CH56" s="1796">
        <v>28003.722949999999</v>
      </c>
      <c r="CI56" s="1796">
        <v>2780.2257300000001</v>
      </c>
      <c r="CJ56" s="1796">
        <v>30114.643649999998</v>
      </c>
      <c r="CK56" s="1796">
        <v>3001.24656</v>
      </c>
      <c r="CL56" s="1796">
        <v>34768.446299999996</v>
      </c>
      <c r="CM56" s="1796">
        <v>3478.0721800000001</v>
      </c>
      <c r="CN56" s="1796">
        <v>36720.450020000004</v>
      </c>
      <c r="CO56" s="1796">
        <v>3634.0485099999996</v>
      </c>
      <c r="CP56" s="1796">
        <v>38679.121579999999</v>
      </c>
      <c r="CQ56" s="1796">
        <v>3702.1585800000003</v>
      </c>
      <c r="CR56" s="1796">
        <v>46140.777719999998</v>
      </c>
      <c r="CS56" s="1796">
        <v>3864.91579</v>
      </c>
      <c r="CT56" s="1796">
        <v>7889.80242</v>
      </c>
      <c r="CU56" s="1796">
        <v>113.41139</v>
      </c>
      <c r="CV56" s="1796">
        <v>16323.226359999999</v>
      </c>
      <c r="CW56" s="1796">
        <v>295.55734000000001</v>
      </c>
      <c r="CX56" s="1796">
        <v>23841.23934</v>
      </c>
      <c r="CY56" s="1796">
        <v>450.08981</v>
      </c>
      <c r="CZ56" s="1796">
        <v>27966.42411</v>
      </c>
      <c r="DA56" s="1796">
        <v>620.79999999999995</v>
      </c>
      <c r="DB56" s="1796">
        <v>29898.811969999999</v>
      </c>
      <c r="DC56" s="1796">
        <v>657.64907999999991</v>
      </c>
      <c r="DD56" s="1796">
        <v>32086.317930000001</v>
      </c>
      <c r="DE56" s="1796">
        <v>787.03570999999999</v>
      </c>
      <c r="DF56" s="1796">
        <v>33994.317900000002</v>
      </c>
      <c r="DG56" s="1796">
        <v>925.91916000000003</v>
      </c>
      <c r="DH56" s="1796">
        <v>38211.445729999999</v>
      </c>
      <c r="DI56" s="1796">
        <v>1106.5046200000002</v>
      </c>
      <c r="DJ56" s="1796">
        <v>50155.401389999999</v>
      </c>
      <c r="DK56" s="1796">
        <v>1289.6922400000001</v>
      </c>
      <c r="DL56" s="1796">
        <v>53595.581180000001</v>
      </c>
      <c r="DM56" s="1796">
        <v>1533.7422799999999</v>
      </c>
      <c r="DN56" s="1796">
        <v>56065.96355</v>
      </c>
      <c r="DO56" s="1796">
        <v>1615.0265899999999</v>
      </c>
      <c r="DP56" s="1796">
        <v>62502.186589999998</v>
      </c>
      <c r="DQ56" s="1797">
        <v>1919.08104</v>
      </c>
      <c r="DR56" s="1811">
        <v>6525.4672099999998</v>
      </c>
      <c r="DS56" s="1808">
        <v>65.340789999999998</v>
      </c>
      <c r="DT56" s="1816">
        <v>9074.2080600000008</v>
      </c>
      <c r="DU56" s="1817">
        <v>105.61803</v>
      </c>
      <c r="DV56" s="1811">
        <v>25252.089240000001</v>
      </c>
      <c r="DW56" s="1808">
        <v>275.2516</v>
      </c>
      <c r="DX56" s="1816">
        <v>30187.770509999998</v>
      </c>
      <c r="DY56" s="1817">
        <v>354.92338999999998</v>
      </c>
      <c r="DZ56" s="1811">
        <v>32174.102859999999</v>
      </c>
      <c r="EA56" s="1808">
        <v>437.88474000000002</v>
      </c>
      <c r="EB56" s="1800">
        <v>35320.4738</v>
      </c>
      <c r="EC56" s="1797">
        <v>538.47394999999995</v>
      </c>
      <c r="ED56" s="1798">
        <v>36734.395620000003</v>
      </c>
      <c r="EE56" s="1799">
        <v>609.17765999999995</v>
      </c>
      <c r="EF56" s="1798">
        <v>41081.033239999997</v>
      </c>
      <c r="EG56" s="1799">
        <v>747.64139</v>
      </c>
      <c r="EH56" s="1800">
        <v>43361.79103</v>
      </c>
      <c r="EI56" s="1799">
        <v>918.33802000000003</v>
      </c>
      <c r="EJ56" s="1800">
        <v>45688.253429999997</v>
      </c>
      <c r="EK56" s="1799">
        <v>963.18551000000002</v>
      </c>
      <c r="EL56" s="1798">
        <v>49164.258970000003</v>
      </c>
      <c r="EM56" s="1801">
        <v>1003.21675</v>
      </c>
      <c r="EN56" s="1798">
        <v>53979.716119999997</v>
      </c>
      <c r="EO56" s="1801">
        <v>1095.19118</v>
      </c>
      <c r="EP56" s="1798">
        <v>2625.26602</v>
      </c>
      <c r="EQ56" s="1801">
        <v>140.42845</v>
      </c>
      <c r="ER56" s="1798">
        <v>13519.53428</v>
      </c>
      <c r="ES56" s="1801">
        <v>249.39256</v>
      </c>
      <c r="ET56" s="1798">
        <v>36440.514589999999</v>
      </c>
      <c r="EU56" s="1801">
        <v>390.83485999999999</v>
      </c>
      <c r="EV56" s="1798">
        <v>46450.296739999998</v>
      </c>
      <c r="EW56" s="1801">
        <v>605.03204000000005</v>
      </c>
      <c r="EX56" s="1798">
        <v>52769.073320000003</v>
      </c>
      <c r="EY56" s="1801">
        <v>878.46010999999999</v>
      </c>
      <c r="EZ56" s="1798">
        <v>56110.884239999999</v>
      </c>
      <c r="FA56" s="1801">
        <v>2177.6522999999997</v>
      </c>
      <c r="FB56" s="1798">
        <v>58920.493909999997</v>
      </c>
      <c r="FC56" s="1801">
        <v>3240.90717</v>
      </c>
      <c r="FD56" s="1798">
        <v>63403.593560000001</v>
      </c>
      <c r="FE56" s="1801">
        <v>4737.2744599999996</v>
      </c>
      <c r="FF56" s="1798">
        <v>66704.058210000003</v>
      </c>
      <c r="FG56" s="1801">
        <v>4845.6781300000002</v>
      </c>
      <c r="FH56" s="1798">
        <v>68665.352410000007</v>
      </c>
      <c r="FI56" s="1801">
        <v>5242.2317400000002</v>
      </c>
      <c r="FJ56" s="1798">
        <v>72609.522270000001</v>
      </c>
      <c r="FK56" s="1801">
        <v>5550.5240800000001</v>
      </c>
      <c r="FL56" s="1798">
        <v>78201.5095</v>
      </c>
      <c r="FM56" s="1801">
        <v>5726.4685999999992</v>
      </c>
      <c r="FN56" s="1798">
        <v>3571.1022600000001</v>
      </c>
      <c r="FO56" s="1801">
        <v>88.315860000000001</v>
      </c>
      <c r="FP56" s="1798">
        <v>10358.275310000001</v>
      </c>
      <c r="FQ56" s="1801">
        <v>214.2038</v>
      </c>
      <c r="FR56" s="1798">
        <v>36893.299579999999</v>
      </c>
      <c r="FS56" s="1801">
        <v>560.33105999999998</v>
      </c>
      <c r="FT56" s="1798">
        <v>48282.817139999999</v>
      </c>
      <c r="FU56" s="1801">
        <v>706.80768999999998</v>
      </c>
      <c r="FV56" s="1798">
        <v>53728.93593</v>
      </c>
      <c r="FW56" s="1801">
        <v>952.86282000000006</v>
      </c>
      <c r="FX56" s="1798">
        <v>56273.013570000003</v>
      </c>
      <c r="FY56" s="1801">
        <v>1188.3000199999999</v>
      </c>
      <c r="FZ56" s="1798">
        <v>59282.418940000003</v>
      </c>
      <c r="GA56" s="1801">
        <f>1770.18506+2.1382</f>
        <v>1772.3232600000001</v>
      </c>
      <c r="GB56" s="1798">
        <v>62569.766389999997</v>
      </c>
      <c r="GC56" s="1801">
        <v>2043.93155</v>
      </c>
      <c r="GD56" s="1798">
        <v>66385.612080000006</v>
      </c>
      <c r="GE56" s="1801">
        <v>2366.73108</v>
      </c>
      <c r="GF56" s="1798">
        <v>70943.287330000006</v>
      </c>
      <c r="GG56" s="1801">
        <v>2563.0825500000001</v>
      </c>
      <c r="GH56" s="1798">
        <v>75043.121780000001</v>
      </c>
      <c r="GI56" s="1801">
        <v>2936.7225199999998</v>
      </c>
      <c r="GJ56" s="1798">
        <v>82698.718720000004</v>
      </c>
      <c r="GK56" s="1801">
        <v>3310.2478299999998</v>
      </c>
      <c r="GL56" s="1798">
        <v>3913.7904199999998</v>
      </c>
      <c r="GM56" s="1801">
        <v>204.33747</v>
      </c>
      <c r="GN56" s="1798">
        <v>19477.791550000002</v>
      </c>
      <c r="GO56" s="1801">
        <v>666.68705</v>
      </c>
      <c r="GP56" s="1798">
        <v>28170.80302000001</v>
      </c>
      <c r="GQ56" s="1801">
        <v>832.49974999999995</v>
      </c>
      <c r="GR56" s="1798">
        <v>44757.114320000001</v>
      </c>
      <c r="GS56" s="1801">
        <v>976.27466000000004</v>
      </c>
      <c r="GT56" s="1798">
        <v>54046.372940000001</v>
      </c>
      <c r="GU56" s="1801">
        <v>1156.3648000000001</v>
      </c>
      <c r="GV56" s="1798">
        <v>56638.367680000003</v>
      </c>
      <c r="GW56" s="1801">
        <v>1341.29393</v>
      </c>
      <c r="GX56" s="1798">
        <v>59570.209609999998</v>
      </c>
      <c r="GY56" s="1801">
        <v>1670.70904</v>
      </c>
      <c r="GZ56" s="1798">
        <v>63319.125800000002</v>
      </c>
      <c r="HA56" s="1801">
        <v>1784.35229</v>
      </c>
      <c r="HB56" s="1798">
        <v>67801.508239999996</v>
      </c>
      <c r="HC56" s="1801">
        <v>2080.1150299999999</v>
      </c>
      <c r="HD56" s="1798">
        <v>70418.601339999994</v>
      </c>
      <c r="HE56" s="1801">
        <v>2251.31349</v>
      </c>
      <c r="HF56" s="1798">
        <v>73866.761050000001</v>
      </c>
      <c r="HG56" s="1801">
        <v>2325.5419099999999</v>
      </c>
      <c r="HH56" s="1798">
        <v>80803.982889999999</v>
      </c>
      <c r="HI56" s="1801">
        <v>2778.08275</v>
      </c>
      <c r="HJ56" s="1798">
        <v>2769.25164</v>
      </c>
      <c r="HK56" s="1801">
        <v>101.19799999999999</v>
      </c>
      <c r="HL56" s="1798">
        <v>5055.5846499999998</v>
      </c>
      <c r="HM56" s="1801">
        <v>435.48892999999998</v>
      </c>
      <c r="HN56" s="1798">
        <v>7496.0116399999997</v>
      </c>
      <c r="HO56" s="1801">
        <v>567.36748999999998</v>
      </c>
      <c r="HP56" s="1798">
        <v>11624.91179</v>
      </c>
      <c r="HQ56" s="1801">
        <v>987.93718000000001</v>
      </c>
      <c r="HR56" s="1798">
        <v>14830.32971</v>
      </c>
      <c r="HS56" s="1801">
        <v>1560.1585</v>
      </c>
      <c r="HT56" s="1798">
        <v>23826.166860000001</v>
      </c>
      <c r="HU56" s="1801">
        <v>2213.6633999999999</v>
      </c>
      <c r="HV56" s="1802" t="s">
        <v>3198</v>
      </c>
      <c r="HX56" s="1805"/>
    </row>
    <row r="57" spans="1:234" s="1774" customFormat="1" ht="22.5" customHeight="1">
      <c r="A57" s="1802" t="s">
        <v>3204</v>
      </c>
      <c r="B57" s="1796">
        <v>41.25</v>
      </c>
      <c r="C57" s="1796">
        <v>0.83399999999999996</v>
      </c>
      <c r="D57" s="1796">
        <v>57.430999999999997</v>
      </c>
      <c r="E57" s="1796">
        <v>0.83399999999999996</v>
      </c>
      <c r="F57" s="1796">
        <v>72.75</v>
      </c>
      <c r="G57" s="1796">
        <v>18.055029999999999</v>
      </c>
      <c r="H57" s="1796">
        <v>119.122</v>
      </c>
      <c r="I57" s="1796">
        <v>18.055029999999999</v>
      </c>
      <c r="J57" s="1796">
        <v>141.30199999999999</v>
      </c>
      <c r="K57" s="1796">
        <v>18.40503</v>
      </c>
      <c r="L57" s="1796">
        <v>157.04599999999999</v>
      </c>
      <c r="M57" s="1796">
        <v>18.40503</v>
      </c>
      <c r="N57" s="1796">
        <v>172.70453000000001</v>
      </c>
      <c r="O57" s="1796">
        <v>20.833470000000002</v>
      </c>
      <c r="P57" s="1796">
        <v>196.04453000000001</v>
      </c>
      <c r="Q57" s="1796">
        <v>20.833470000000002</v>
      </c>
      <c r="R57" s="1796">
        <v>210.11453</v>
      </c>
      <c r="S57" s="1796">
        <v>22.833470000000002</v>
      </c>
      <c r="T57" s="1796">
        <v>237.57453000000001</v>
      </c>
      <c r="U57" s="1796">
        <v>23.533470000000001</v>
      </c>
      <c r="V57" s="1796">
        <v>273.53568999999999</v>
      </c>
      <c r="W57" s="1796">
        <v>23.533470000000001</v>
      </c>
      <c r="X57" s="1796">
        <v>296.07369</v>
      </c>
      <c r="Y57" s="1796">
        <v>23.533470000000001</v>
      </c>
      <c r="Z57" s="1796">
        <v>44.495699999999999</v>
      </c>
      <c r="AA57" s="1796">
        <v>22.031200000000002</v>
      </c>
      <c r="AB57" s="1796">
        <v>72.960719999999995</v>
      </c>
      <c r="AC57" s="1796">
        <v>22.031200000000002</v>
      </c>
      <c r="AD57" s="1796">
        <v>79.492550000000008</v>
      </c>
      <c r="AE57" s="1796">
        <v>22.030999999999999</v>
      </c>
      <c r="AF57" s="1796">
        <v>139.08255</v>
      </c>
      <c r="AG57" s="1796">
        <v>22.031200000000002</v>
      </c>
      <c r="AH57" s="1796">
        <v>165.57254999999998</v>
      </c>
      <c r="AI57" s="1796">
        <v>65.878969999999995</v>
      </c>
      <c r="AJ57" s="1796">
        <v>179.25254999999999</v>
      </c>
      <c r="AK57" s="1796">
        <v>69.785229999999999</v>
      </c>
      <c r="AL57" s="1796">
        <v>193.43254999999999</v>
      </c>
      <c r="AM57" s="1796">
        <v>69.735230000000001</v>
      </c>
      <c r="AN57" s="1796">
        <v>209.12254999999999</v>
      </c>
      <c r="AO57" s="1796">
        <v>71.482929999999996</v>
      </c>
      <c r="AP57" s="1796">
        <v>224.49254999999999</v>
      </c>
      <c r="AQ57" s="1796">
        <v>72.628929999999997</v>
      </c>
      <c r="AR57" s="1796">
        <v>249.32254999999998</v>
      </c>
      <c r="AS57" s="1796">
        <v>64.978930000000005</v>
      </c>
      <c r="AT57" s="1796">
        <v>270.29255000000001</v>
      </c>
      <c r="AU57" s="1796">
        <v>64.978930000000005</v>
      </c>
      <c r="AV57" s="1796">
        <v>299.40254999999996</v>
      </c>
      <c r="AW57" s="1796">
        <v>83.705169999999995</v>
      </c>
      <c r="AX57" s="1796">
        <v>5.88</v>
      </c>
      <c r="AY57" s="1796">
        <v>0</v>
      </c>
      <c r="AZ57" s="1796">
        <v>85.65</v>
      </c>
      <c r="BA57" s="1796">
        <v>0</v>
      </c>
      <c r="BB57" s="1796">
        <v>102.6</v>
      </c>
      <c r="BC57" s="1796">
        <v>0</v>
      </c>
      <c r="BD57" s="1796">
        <v>166.83</v>
      </c>
      <c r="BE57" s="1796">
        <v>0</v>
      </c>
      <c r="BF57" s="1796">
        <v>207.67</v>
      </c>
      <c r="BG57" s="1796">
        <v>0</v>
      </c>
      <c r="BH57" s="1796">
        <v>226.69</v>
      </c>
      <c r="BI57" s="1796">
        <v>0</v>
      </c>
      <c r="BJ57" s="1796">
        <v>255.04</v>
      </c>
      <c r="BK57" s="1796">
        <v>0</v>
      </c>
      <c r="BL57" s="1796">
        <v>273.91000000000003</v>
      </c>
      <c r="BM57" s="1796">
        <v>0</v>
      </c>
      <c r="BN57" s="1796">
        <v>296.08</v>
      </c>
      <c r="BO57" s="1796">
        <v>0</v>
      </c>
      <c r="BP57" s="1796">
        <v>325.39</v>
      </c>
      <c r="BQ57" s="1796">
        <v>5.3014599999999996</v>
      </c>
      <c r="BR57" s="1796">
        <v>354.97</v>
      </c>
      <c r="BS57" s="1796">
        <v>5.3014599999999996</v>
      </c>
      <c r="BT57" s="1796">
        <v>403.64</v>
      </c>
      <c r="BU57" s="1796">
        <v>0.60499999999999998</v>
      </c>
      <c r="BV57" s="1796">
        <v>56.73</v>
      </c>
      <c r="BW57" s="1796">
        <v>0</v>
      </c>
      <c r="BX57" s="1796">
        <v>92.22</v>
      </c>
      <c r="BY57" s="1796">
        <v>1.44668</v>
      </c>
      <c r="BZ57" s="1796">
        <v>121.8</v>
      </c>
      <c r="CA57" s="1796">
        <v>1.44668</v>
      </c>
      <c r="CB57" s="1796">
        <v>175.47</v>
      </c>
      <c r="CC57" s="1796">
        <v>1.44668</v>
      </c>
      <c r="CD57" s="1796">
        <v>197.13</v>
      </c>
      <c r="CE57" s="1796">
        <v>1.44668</v>
      </c>
      <c r="CF57" s="1796">
        <v>214.74</v>
      </c>
      <c r="CG57" s="1796">
        <v>13.79668</v>
      </c>
      <c r="CH57" s="1796">
        <v>231.81</v>
      </c>
      <c r="CI57" s="1796">
        <v>14.24668</v>
      </c>
      <c r="CJ57" s="1796">
        <v>262.56</v>
      </c>
      <c r="CK57" s="1796">
        <v>20.30368</v>
      </c>
      <c r="CL57" s="1796">
        <v>293.94</v>
      </c>
      <c r="CM57" s="1796">
        <v>20.703679999999999</v>
      </c>
      <c r="CN57" s="1796">
        <v>314.80500000000001</v>
      </c>
      <c r="CO57" s="1796">
        <v>22.74268</v>
      </c>
      <c r="CP57" s="1796">
        <v>340.245</v>
      </c>
      <c r="CQ57" s="1796">
        <v>22.74268</v>
      </c>
      <c r="CR57" s="1796">
        <v>407.77499999999998</v>
      </c>
      <c r="CS57" s="1796">
        <v>22.74268</v>
      </c>
      <c r="CT57" s="1796">
        <v>124.56</v>
      </c>
      <c r="CU57" s="1796">
        <v>3.6637499999999998</v>
      </c>
      <c r="CV57" s="1796">
        <v>221.886</v>
      </c>
      <c r="CW57" s="1796">
        <v>5.0137499999999999</v>
      </c>
      <c r="CX57" s="1796">
        <v>435.30599999999998</v>
      </c>
      <c r="CY57" s="1796">
        <v>5.0137499999999999</v>
      </c>
      <c r="CZ57" s="1796">
        <v>518.27850000000001</v>
      </c>
      <c r="DA57" s="1796">
        <v>5.8237500000000004</v>
      </c>
      <c r="DB57" s="1796">
        <v>541.91849999999999</v>
      </c>
      <c r="DC57" s="1796">
        <v>7.0667499999999999</v>
      </c>
      <c r="DD57" s="1796">
        <v>572.0385</v>
      </c>
      <c r="DE57" s="1796">
        <v>22.77675</v>
      </c>
      <c r="DF57" s="1796">
        <v>588.74249999999995</v>
      </c>
      <c r="DG57" s="1796">
        <v>22.77675</v>
      </c>
      <c r="DH57" s="1796">
        <v>621.62249999999995</v>
      </c>
      <c r="DI57" s="1796">
        <v>23.600750000000001</v>
      </c>
      <c r="DJ57" s="1796">
        <v>682.97249999999997</v>
      </c>
      <c r="DK57" s="1796">
        <v>23.600750000000001</v>
      </c>
      <c r="DL57" s="1796">
        <v>729.03899999999999</v>
      </c>
      <c r="DM57" s="1796">
        <v>23.600750000000001</v>
      </c>
      <c r="DN57" s="1796">
        <v>775.86900000000003</v>
      </c>
      <c r="DO57" s="1796">
        <v>28.700749999999999</v>
      </c>
      <c r="DP57" s="1796">
        <v>834.03899999999999</v>
      </c>
      <c r="DQ57" s="1797">
        <v>29.14875</v>
      </c>
      <c r="DR57" s="1811">
        <v>112.71</v>
      </c>
      <c r="DS57" s="1808">
        <v>0</v>
      </c>
      <c r="DT57" s="1816">
        <v>155.52000000000001</v>
      </c>
      <c r="DU57" s="1817">
        <v>0</v>
      </c>
      <c r="DV57" s="1811">
        <v>392.32060000000001</v>
      </c>
      <c r="DW57" s="1808">
        <v>0</v>
      </c>
      <c r="DX57" s="1816">
        <v>591.95259999999996</v>
      </c>
      <c r="DY57" s="1817">
        <v>0.25</v>
      </c>
      <c r="DZ57" s="1811">
        <v>615.89260000000002</v>
      </c>
      <c r="EA57" s="1808">
        <v>0.25</v>
      </c>
      <c r="EB57" s="1800">
        <v>683.0326</v>
      </c>
      <c r="EC57" s="1797">
        <v>14.98</v>
      </c>
      <c r="ED57" s="1798">
        <v>697.67259999999999</v>
      </c>
      <c r="EE57" s="1799">
        <v>18.27</v>
      </c>
      <c r="EF57" s="1798">
        <v>723.05259999999998</v>
      </c>
      <c r="EG57" s="1799">
        <v>28.499700000000001</v>
      </c>
      <c r="EH57" s="1800">
        <v>749.87260000000003</v>
      </c>
      <c r="EI57" s="1799">
        <v>28.499700000000001</v>
      </c>
      <c r="EJ57" s="1800">
        <v>791.99260000000004</v>
      </c>
      <c r="EK57" s="1799">
        <v>28.499700000000001</v>
      </c>
      <c r="EL57" s="1798">
        <v>819.92259999999999</v>
      </c>
      <c r="EM57" s="1801">
        <v>29.0505</v>
      </c>
      <c r="EN57" s="1798">
        <v>914.21259999999995</v>
      </c>
      <c r="EO57" s="1801">
        <v>29.752500000000001</v>
      </c>
      <c r="EP57" s="1798">
        <v>35.159999999999997</v>
      </c>
      <c r="EQ57" s="1801">
        <v>1.95061</v>
      </c>
      <c r="ER57" s="1798">
        <v>120.93</v>
      </c>
      <c r="ES57" s="1801">
        <v>1.95061</v>
      </c>
      <c r="ET57" s="1798">
        <v>322.87049999999999</v>
      </c>
      <c r="EU57" s="1801">
        <v>1.95061</v>
      </c>
      <c r="EV57" s="1798">
        <v>680.02059999999994</v>
      </c>
      <c r="EW57" s="1801">
        <v>8.4906100000000002</v>
      </c>
      <c r="EX57" s="1798">
        <v>726.38260000000002</v>
      </c>
      <c r="EY57" s="1801">
        <v>8.4906100000000002</v>
      </c>
      <c r="EZ57" s="1798">
        <v>749.95570999999995</v>
      </c>
      <c r="FA57" s="1801">
        <v>8.4906100000000002</v>
      </c>
      <c r="FB57" s="1798">
        <v>801.98259999999993</v>
      </c>
      <c r="FC57" s="1801">
        <v>8.7686100000000007</v>
      </c>
      <c r="FD57" s="1798">
        <v>878.42259999999999</v>
      </c>
      <c r="FE57" s="1801">
        <v>10.277609999999999</v>
      </c>
      <c r="FF57" s="1798">
        <v>910.30359999999996</v>
      </c>
      <c r="FG57" s="1801">
        <v>16.127610000000001</v>
      </c>
      <c r="FH57" s="1798">
        <v>946.18359999999996</v>
      </c>
      <c r="FI57" s="1801">
        <v>16.127610000000001</v>
      </c>
      <c r="FJ57" s="1798">
        <v>1031.9836</v>
      </c>
      <c r="FK57" s="1801">
        <v>19.629719999999999</v>
      </c>
      <c r="FL57" s="1798">
        <v>1152.7858000000001</v>
      </c>
      <c r="FM57" s="1801">
        <v>21.955719999999999</v>
      </c>
      <c r="FN57" s="1798">
        <v>60.060099999999998</v>
      </c>
      <c r="FO57" s="1801">
        <v>0.84799999999999998</v>
      </c>
      <c r="FP57" s="1798">
        <v>130.55439000000001</v>
      </c>
      <c r="FQ57" s="1801">
        <v>25.847999999999999</v>
      </c>
      <c r="FR57" s="1798">
        <v>305.36511000000002</v>
      </c>
      <c r="FS57" s="1801">
        <v>81.397000000000006</v>
      </c>
      <c r="FT57" s="1798">
        <v>624.81614000000002</v>
      </c>
      <c r="FU57" s="1801">
        <v>83.587199999999996</v>
      </c>
      <c r="FV57" s="1798">
        <v>714.12613999999996</v>
      </c>
      <c r="FW57" s="1801">
        <v>99.587199999999996</v>
      </c>
      <c r="FX57" s="1798">
        <v>752.34313999999995</v>
      </c>
      <c r="FY57" s="1801">
        <v>99.587199999999996</v>
      </c>
      <c r="FZ57" s="1798">
        <v>779.07313999999997</v>
      </c>
      <c r="GA57" s="1801">
        <v>97.448999999999998</v>
      </c>
      <c r="GB57" s="1798">
        <v>806.04313999999999</v>
      </c>
      <c r="GC57" s="1801">
        <v>99.587199999999996</v>
      </c>
      <c r="GD57" s="1798">
        <v>844.35314000000005</v>
      </c>
      <c r="GE57" s="1801">
        <v>104.5742</v>
      </c>
      <c r="GF57" s="1798">
        <v>920.13013999999998</v>
      </c>
      <c r="GG57" s="1801">
        <v>104.5742</v>
      </c>
      <c r="GH57" s="1798">
        <v>948.24014</v>
      </c>
      <c r="GI57" s="1801">
        <v>104.5742</v>
      </c>
      <c r="GJ57" s="1798">
        <v>1103.1169400000001</v>
      </c>
      <c r="GK57" s="1801">
        <v>158.82419999999999</v>
      </c>
      <c r="GL57" s="1798">
        <v>54.125320000000002</v>
      </c>
      <c r="GM57" s="1801">
        <v>0</v>
      </c>
      <c r="GN57" s="1798">
        <v>129.69532000000001</v>
      </c>
      <c r="GO57" s="1801">
        <v>1</v>
      </c>
      <c r="GP57" s="1798">
        <v>251.35634999999999</v>
      </c>
      <c r="GQ57" s="1801">
        <v>1</v>
      </c>
      <c r="GR57" s="1798">
        <v>499.14175</v>
      </c>
      <c r="GS57" s="1801">
        <v>1</v>
      </c>
      <c r="GT57" s="1798">
        <v>605.83587</v>
      </c>
      <c r="GU57" s="1801">
        <v>8.5839999999999996</v>
      </c>
      <c r="GV57" s="1798">
        <v>776.14779999999996</v>
      </c>
      <c r="GW57" s="1801">
        <v>12.524319999999999</v>
      </c>
      <c r="GX57" s="1798">
        <v>828.46780000000001</v>
      </c>
      <c r="GY57" s="1801">
        <v>54.479320000000001</v>
      </c>
      <c r="GZ57" s="1798">
        <v>876.54804999999999</v>
      </c>
      <c r="HA57" s="1801">
        <v>54.479320000000001</v>
      </c>
      <c r="HB57" s="1798">
        <v>918.94907999999998</v>
      </c>
      <c r="HC57" s="1801">
        <v>56.764429999999997</v>
      </c>
      <c r="HD57" s="1798">
        <v>966.64908000000003</v>
      </c>
      <c r="HE57" s="1801">
        <v>59.956429999999997</v>
      </c>
      <c r="HF57" s="1798">
        <v>1030.4890800000001</v>
      </c>
      <c r="HG57" s="1801">
        <v>61.830399999999997</v>
      </c>
      <c r="HH57" s="1798">
        <v>1184.5558799999999</v>
      </c>
      <c r="HI57" s="1801">
        <v>163.75358</v>
      </c>
      <c r="HJ57" s="1798">
        <v>51.27</v>
      </c>
      <c r="HK57" s="1801">
        <v>0.5</v>
      </c>
      <c r="HL57" s="1798">
        <v>138.4665</v>
      </c>
      <c r="HM57" s="1801">
        <v>3.91391</v>
      </c>
      <c r="HN57" s="1798">
        <v>155.0565</v>
      </c>
      <c r="HO57" s="1801">
        <v>45.913910000000001</v>
      </c>
      <c r="HP57" s="1798">
        <v>210.81541999999999</v>
      </c>
      <c r="HQ57" s="1801">
        <v>45.913910000000001</v>
      </c>
      <c r="HR57" s="1798">
        <v>265.09289999999999</v>
      </c>
      <c r="HS57" s="1801">
        <v>45.913910000000001</v>
      </c>
      <c r="HT57" s="1798">
        <v>409.23315000000002</v>
      </c>
      <c r="HU57" s="1801">
        <v>117.88088999999999</v>
      </c>
      <c r="HV57" s="1802" t="s">
        <v>3430</v>
      </c>
    </row>
    <row r="58" spans="1:234" s="1774" customFormat="1" ht="42.75" customHeight="1">
      <c r="A58" s="1802" t="s">
        <v>3205</v>
      </c>
      <c r="B58" s="1796">
        <v>5.992</v>
      </c>
      <c r="C58" s="1796">
        <v>0</v>
      </c>
      <c r="D58" s="1796">
        <v>13.923</v>
      </c>
      <c r="E58" s="1796">
        <v>0</v>
      </c>
      <c r="F58" s="1796">
        <v>16.64</v>
      </c>
      <c r="G58" s="1796">
        <v>0</v>
      </c>
      <c r="H58" s="1796">
        <v>54.682000000000002</v>
      </c>
      <c r="I58" s="1796">
        <v>0</v>
      </c>
      <c r="J58" s="1796">
        <v>55.334000000000003</v>
      </c>
      <c r="K58" s="1796">
        <v>0</v>
      </c>
      <c r="L58" s="1796">
        <v>56</v>
      </c>
      <c r="M58" s="1796">
        <v>0</v>
      </c>
      <c r="N58" s="1796">
        <v>64.468999999999994</v>
      </c>
      <c r="O58" s="1796">
        <v>0</v>
      </c>
      <c r="P58" s="1796">
        <v>67.605000000000004</v>
      </c>
      <c r="Q58" s="1796">
        <v>0</v>
      </c>
      <c r="R58" s="1796">
        <v>81.463999999999999</v>
      </c>
      <c r="S58" s="1796">
        <v>0</v>
      </c>
      <c r="T58" s="1796">
        <v>82.394000000000005</v>
      </c>
      <c r="U58" s="1796">
        <v>0</v>
      </c>
      <c r="V58" s="1796">
        <v>93.507999999999996</v>
      </c>
      <c r="W58" s="1796">
        <v>0</v>
      </c>
      <c r="X58" s="1796">
        <v>103.82599999999999</v>
      </c>
      <c r="Y58" s="1796">
        <v>0</v>
      </c>
      <c r="Z58" s="1796">
        <v>25.834</v>
      </c>
      <c r="AA58" s="1796">
        <v>0</v>
      </c>
      <c r="AB58" s="1796">
        <v>31.209</v>
      </c>
      <c r="AC58" s="1796">
        <v>0</v>
      </c>
      <c r="AD58" s="1796">
        <v>32.668999999999997</v>
      </c>
      <c r="AE58" s="1796">
        <v>0</v>
      </c>
      <c r="AF58" s="1796">
        <v>69.477999999999994</v>
      </c>
      <c r="AG58" s="1796">
        <v>0</v>
      </c>
      <c r="AH58" s="1796">
        <v>69.561999999999998</v>
      </c>
      <c r="AI58" s="1796">
        <v>0</v>
      </c>
      <c r="AJ58" s="1796">
        <v>70.227999999999994</v>
      </c>
      <c r="AK58" s="1796">
        <v>0</v>
      </c>
      <c r="AL58" s="1796">
        <v>70.227999999999994</v>
      </c>
      <c r="AM58" s="1796">
        <v>0</v>
      </c>
      <c r="AN58" s="1796">
        <v>70.227999999999994</v>
      </c>
      <c r="AO58" s="1796">
        <v>0</v>
      </c>
      <c r="AP58" s="1796">
        <v>88.965000000000003</v>
      </c>
      <c r="AQ58" s="1796">
        <v>0</v>
      </c>
      <c r="AR58" s="1796">
        <v>89.444999999999993</v>
      </c>
      <c r="AS58" s="1796">
        <v>0</v>
      </c>
      <c r="AT58" s="1796">
        <v>100.599</v>
      </c>
      <c r="AU58" s="1796">
        <v>0</v>
      </c>
      <c r="AV58" s="1796">
        <v>112.839</v>
      </c>
      <c r="AW58" s="1796">
        <v>0</v>
      </c>
      <c r="AX58" s="1796">
        <v>0</v>
      </c>
      <c r="AY58" s="1796">
        <v>166.1</v>
      </c>
      <c r="AZ58" s="1796">
        <v>31.038</v>
      </c>
      <c r="BA58" s="1796">
        <v>0</v>
      </c>
      <c r="BB58" s="1796">
        <v>31.745999999999999</v>
      </c>
      <c r="BC58" s="1796">
        <v>0</v>
      </c>
      <c r="BD58" s="1796">
        <v>65.935000000000002</v>
      </c>
      <c r="BE58" s="1796">
        <v>0</v>
      </c>
      <c r="BF58" s="1796">
        <v>66.486999999999995</v>
      </c>
      <c r="BG58" s="1796">
        <v>0</v>
      </c>
      <c r="BH58" s="1796">
        <v>67.027000000000001</v>
      </c>
      <c r="BI58" s="1796">
        <v>0</v>
      </c>
      <c r="BJ58" s="1796">
        <v>67.722999999999999</v>
      </c>
      <c r="BK58" s="1796">
        <v>0</v>
      </c>
      <c r="BL58" s="1796">
        <v>67.722999999999999</v>
      </c>
      <c r="BM58" s="1796">
        <v>0</v>
      </c>
      <c r="BN58" s="1796">
        <v>86.209000000000003</v>
      </c>
      <c r="BO58" s="1796">
        <v>0</v>
      </c>
      <c r="BP58" s="1796">
        <v>96.313000000000002</v>
      </c>
      <c r="BQ58" s="1796">
        <v>0</v>
      </c>
      <c r="BR58" s="1796">
        <v>108.367</v>
      </c>
      <c r="BS58" s="1796">
        <v>0</v>
      </c>
      <c r="BT58" s="1796">
        <v>109.333</v>
      </c>
      <c r="BU58" s="1796">
        <v>0</v>
      </c>
      <c r="BV58" s="1796">
        <v>5.88</v>
      </c>
      <c r="BW58" s="1796">
        <v>0</v>
      </c>
      <c r="BX58" s="1796">
        <v>14.055</v>
      </c>
      <c r="BY58" s="1796">
        <v>0</v>
      </c>
      <c r="BZ58" s="1796">
        <v>41.558</v>
      </c>
      <c r="CA58" s="1796">
        <v>0</v>
      </c>
      <c r="CB58" s="1796">
        <v>74.856999999999999</v>
      </c>
      <c r="CC58" s="1796">
        <v>0</v>
      </c>
      <c r="CD58" s="1796">
        <v>74.941000000000003</v>
      </c>
      <c r="CE58" s="1796">
        <v>0</v>
      </c>
      <c r="CF58" s="1796">
        <v>75.210999999999999</v>
      </c>
      <c r="CG58" s="1796">
        <v>0</v>
      </c>
      <c r="CH58" s="1796">
        <v>75.840999999999994</v>
      </c>
      <c r="CI58" s="1796">
        <v>0</v>
      </c>
      <c r="CJ58" s="1796">
        <v>75.840999999999994</v>
      </c>
      <c r="CK58" s="1796">
        <v>0</v>
      </c>
      <c r="CL58" s="1796">
        <v>83.721000000000004</v>
      </c>
      <c r="CM58" s="1796">
        <v>0</v>
      </c>
      <c r="CN58" s="1796">
        <v>85.561000000000007</v>
      </c>
      <c r="CO58" s="1796">
        <v>0</v>
      </c>
      <c r="CP58" s="1796">
        <v>106.53100000000001</v>
      </c>
      <c r="CQ58" s="1796">
        <v>0</v>
      </c>
      <c r="CR58" s="1796">
        <v>108.75700000000001</v>
      </c>
      <c r="CS58" s="1796">
        <v>0</v>
      </c>
      <c r="CT58" s="1796">
        <v>11.199</v>
      </c>
      <c r="CU58" s="1796">
        <v>0</v>
      </c>
      <c r="CV58" s="1796">
        <v>11.367000000000001</v>
      </c>
      <c r="CW58" s="1796">
        <v>0</v>
      </c>
      <c r="CX58" s="1796">
        <v>12.872999999999999</v>
      </c>
      <c r="CY58" s="1796">
        <v>0</v>
      </c>
      <c r="CZ58" s="1796">
        <v>70.132999999999996</v>
      </c>
      <c r="DA58" s="1796">
        <v>0</v>
      </c>
      <c r="DB58" s="1796">
        <v>70.659000000000006</v>
      </c>
      <c r="DC58" s="1796">
        <v>0</v>
      </c>
      <c r="DD58" s="1796">
        <v>70.784999999999997</v>
      </c>
      <c r="DE58" s="1796">
        <v>0</v>
      </c>
      <c r="DF58" s="1796">
        <v>71.055000000000007</v>
      </c>
      <c r="DG58" s="1796">
        <v>0</v>
      </c>
      <c r="DH58" s="1796">
        <v>78.460999999999999</v>
      </c>
      <c r="DI58" s="1796">
        <v>0</v>
      </c>
      <c r="DJ58" s="1796">
        <v>79.688999999999993</v>
      </c>
      <c r="DK58" s="1796">
        <v>0</v>
      </c>
      <c r="DL58" s="1796">
        <v>80.709000000000003</v>
      </c>
      <c r="DM58" s="1796">
        <v>0</v>
      </c>
      <c r="DN58" s="1796">
        <v>101.361</v>
      </c>
      <c r="DO58" s="1796">
        <v>0</v>
      </c>
      <c r="DP58" s="1796">
        <v>104.175</v>
      </c>
      <c r="DQ58" s="1797">
        <v>0</v>
      </c>
      <c r="DR58" s="1811">
        <v>0</v>
      </c>
      <c r="DS58" s="1808">
        <v>0</v>
      </c>
      <c r="DT58" s="1816">
        <v>12.555</v>
      </c>
      <c r="DU58" s="1817">
        <v>0</v>
      </c>
      <c r="DV58" s="1811">
        <v>14.387</v>
      </c>
      <c r="DW58" s="1808">
        <v>0</v>
      </c>
      <c r="DX58" s="1816">
        <v>43.473999999999997</v>
      </c>
      <c r="DY58" s="1817">
        <v>0</v>
      </c>
      <c r="DZ58" s="1811">
        <v>43.973999999999997</v>
      </c>
      <c r="EA58" s="1808">
        <v>0</v>
      </c>
      <c r="EB58" s="1800">
        <v>87.665999999999997</v>
      </c>
      <c r="EC58" s="1797">
        <v>0</v>
      </c>
      <c r="ED58" s="1798">
        <v>45.558</v>
      </c>
      <c r="EE58" s="1799">
        <v>0</v>
      </c>
      <c r="EF58" s="1798">
        <v>50.802</v>
      </c>
      <c r="EG58" s="1799">
        <v>0</v>
      </c>
      <c r="EH58" s="1800">
        <v>66.272000000000006</v>
      </c>
      <c r="EI58" s="1799">
        <v>0</v>
      </c>
      <c r="EJ58" s="1800">
        <v>67.561999999999998</v>
      </c>
      <c r="EK58" s="1799">
        <v>0</v>
      </c>
      <c r="EL58" s="1798">
        <v>84.933999999999997</v>
      </c>
      <c r="EM58" s="1801">
        <v>0</v>
      </c>
      <c r="EN58" s="1798">
        <v>95.962000000000003</v>
      </c>
      <c r="EO58" s="1801">
        <v>0</v>
      </c>
      <c r="EP58" s="1798">
        <v>14.068</v>
      </c>
      <c r="EQ58" s="1801">
        <v>0</v>
      </c>
      <c r="ER58" s="1798">
        <v>14.403</v>
      </c>
      <c r="ES58" s="1801">
        <v>0</v>
      </c>
      <c r="ET58" s="1798">
        <v>15.459</v>
      </c>
      <c r="EU58" s="1801">
        <v>0</v>
      </c>
      <c r="EV58" s="1798">
        <v>46.661999999999999</v>
      </c>
      <c r="EW58" s="1801">
        <v>0</v>
      </c>
      <c r="EX58" s="1798">
        <v>47.741999999999997</v>
      </c>
      <c r="EY58" s="1801">
        <v>0</v>
      </c>
      <c r="EZ58" s="1798">
        <v>47.91</v>
      </c>
      <c r="FA58" s="1801">
        <v>0</v>
      </c>
      <c r="FB58" s="1798">
        <v>48.347999999999999</v>
      </c>
      <c r="FC58" s="1801">
        <v>0</v>
      </c>
      <c r="FD58" s="1798">
        <v>49.055999999999997</v>
      </c>
      <c r="FE58" s="1801">
        <v>0</v>
      </c>
      <c r="FF58" s="1798">
        <v>56.500999999999998</v>
      </c>
      <c r="FG58" s="1801">
        <v>0</v>
      </c>
      <c r="FH58" s="1798">
        <v>56.500999999999998</v>
      </c>
      <c r="FI58" s="1801">
        <v>0</v>
      </c>
      <c r="FJ58" s="1798">
        <v>72.864999999999995</v>
      </c>
      <c r="FK58" s="1801">
        <v>0</v>
      </c>
      <c r="FL58" s="1798">
        <v>81.251000000000005</v>
      </c>
      <c r="FM58" s="1801">
        <v>0</v>
      </c>
      <c r="FN58" s="1798">
        <v>5.9359999999999999</v>
      </c>
      <c r="FO58" s="1801">
        <v>0</v>
      </c>
      <c r="FP58" s="1798">
        <v>11.632</v>
      </c>
      <c r="FQ58" s="1801">
        <v>0</v>
      </c>
      <c r="FR58" s="1798">
        <v>11.856</v>
      </c>
      <c r="FS58" s="1801">
        <v>0</v>
      </c>
      <c r="FT58" s="1798">
        <v>20.05</v>
      </c>
      <c r="FU58" s="1801">
        <v>0</v>
      </c>
      <c r="FV58" s="1798">
        <v>65.134</v>
      </c>
      <c r="FW58" s="1801">
        <v>0</v>
      </c>
      <c r="FX58" s="1798">
        <v>90.712999999999994</v>
      </c>
      <c r="FY58" s="1801">
        <v>0</v>
      </c>
      <c r="FZ58" s="1798">
        <v>91.049000000000007</v>
      </c>
      <c r="GA58" s="1801">
        <v>0</v>
      </c>
      <c r="GB58" s="1798">
        <v>96.096999999999994</v>
      </c>
      <c r="GC58" s="1801">
        <v>0</v>
      </c>
      <c r="GD58" s="1798">
        <v>101.17400000000001</v>
      </c>
      <c r="GE58" s="1801">
        <v>0</v>
      </c>
      <c r="GF58" s="1798">
        <v>101.244</v>
      </c>
      <c r="GG58" s="1801">
        <v>0</v>
      </c>
      <c r="GH58" s="1798">
        <v>114.51600000000001</v>
      </c>
      <c r="GI58" s="1801">
        <v>0</v>
      </c>
      <c r="GJ58" s="1798">
        <v>126.238</v>
      </c>
      <c r="GK58" s="1801">
        <v>67.166499999999999</v>
      </c>
      <c r="GL58" s="1798">
        <v>10.288</v>
      </c>
      <c r="GM58" s="1801">
        <v>46.834000000000003</v>
      </c>
      <c r="GN58" s="1798">
        <v>18.155000000000001</v>
      </c>
      <c r="GO58" s="1801">
        <v>46.834000000000003</v>
      </c>
      <c r="GP58" s="1798">
        <v>18.786999999999999</v>
      </c>
      <c r="GQ58" s="1801">
        <v>48.584000000000003</v>
      </c>
      <c r="GR58" s="1798">
        <v>51.375</v>
      </c>
      <c r="GS58" s="1801">
        <v>48.584000000000003</v>
      </c>
      <c r="GT58" s="1798">
        <v>52.509</v>
      </c>
      <c r="GU58" s="1801">
        <v>59.584000000000003</v>
      </c>
      <c r="GV58" s="1798">
        <v>52.509</v>
      </c>
      <c r="GW58" s="1801">
        <v>59.584000000000003</v>
      </c>
      <c r="GX58" s="1798">
        <v>104.248</v>
      </c>
      <c r="GY58" s="1801">
        <v>59.584000000000003</v>
      </c>
      <c r="GZ58" s="1798">
        <v>109.33</v>
      </c>
      <c r="HA58" s="1801">
        <v>59.584000000000003</v>
      </c>
      <c r="HB58" s="1798">
        <v>115.50700000000001</v>
      </c>
      <c r="HC58" s="1801">
        <v>69.976140000000001</v>
      </c>
      <c r="HD58" s="1798">
        <v>118.711</v>
      </c>
      <c r="HE58" s="1801">
        <v>72.476140000000001</v>
      </c>
      <c r="HF58" s="1798">
        <v>139.01300000000001</v>
      </c>
      <c r="HG58" s="1801">
        <v>72.476140000000001</v>
      </c>
      <c r="HH58" s="1798">
        <v>146.74100000000001</v>
      </c>
      <c r="HI58" s="1801">
        <v>82.476140000000001</v>
      </c>
      <c r="HJ58" s="1798">
        <v>6.718</v>
      </c>
      <c r="HK58" s="1801">
        <v>2.2358699999999998</v>
      </c>
      <c r="HL58" s="1798">
        <v>12.317</v>
      </c>
      <c r="HM58" s="1801">
        <v>3.8021099999999999</v>
      </c>
      <c r="HN58" s="1798">
        <v>12.661</v>
      </c>
      <c r="HO58" s="1801">
        <v>6.3021099999999999</v>
      </c>
      <c r="HP58" s="1798">
        <v>51.643999999999998</v>
      </c>
      <c r="HQ58" s="1801">
        <v>7.7644500000000001</v>
      </c>
      <c r="HR58" s="1798">
        <v>57.975999999999999</v>
      </c>
      <c r="HS58" s="1801">
        <v>7.7644500000000001</v>
      </c>
      <c r="HT58" s="1798">
        <v>66.16</v>
      </c>
      <c r="HU58" s="1801">
        <v>7.7644500000000001</v>
      </c>
      <c r="HV58" s="1802" t="s">
        <v>3199</v>
      </c>
    </row>
    <row r="59" spans="1:234" s="1774" customFormat="1" ht="22.5" customHeight="1">
      <c r="A59" s="1802" t="s">
        <v>3206</v>
      </c>
      <c r="B59" s="1796">
        <v>2276.1280000000006</v>
      </c>
      <c r="C59" s="1796">
        <v>209.30899999999997</v>
      </c>
      <c r="D59" s="1796">
        <v>3242.8549999999982</v>
      </c>
      <c r="E59" s="1796">
        <v>625.32399999999961</v>
      </c>
      <c r="F59" s="1796">
        <v>4914.0989999999993</v>
      </c>
      <c r="G59" s="1796">
        <v>1148.1660000000006</v>
      </c>
      <c r="H59" s="1796">
        <v>5517.9940000000024</v>
      </c>
      <c r="I59" s="1796">
        <v>1900.6609999999971</v>
      </c>
      <c r="J59" s="1796">
        <v>5982.7519999999977</v>
      </c>
      <c r="K59" s="1796">
        <v>2491.739</v>
      </c>
      <c r="L59" s="1796">
        <v>6623.493999999997</v>
      </c>
      <c r="M59" s="1796">
        <v>2937.5350000000017</v>
      </c>
      <c r="N59" s="1796">
        <v>7798.3410000000022</v>
      </c>
      <c r="O59" s="1796">
        <v>3545.2609999999972</v>
      </c>
      <c r="P59" s="1796">
        <v>8086.6694999999954</v>
      </c>
      <c r="Q59" s="1796">
        <v>3980.9139999999943</v>
      </c>
      <c r="R59" s="1796">
        <v>13124.103499999996</v>
      </c>
      <c r="S59" s="1796">
        <v>4312.1919999999918</v>
      </c>
      <c r="T59" s="1796">
        <v>25082.252500000021</v>
      </c>
      <c r="U59" s="1796">
        <v>4511.3379999999943</v>
      </c>
      <c r="V59" s="1796">
        <v>25553.524499999985</v>
      </c>
      <c r="W59" s="1796">
        <v>5235.251999999995</v>
      </c>
      <c r="X59" s="1796">
        <v>27537.37850000001</v>
      </c>
      <c r="Y59" s="1796">
        <v>5843.0370000000003</v>
      </c>
      <c r="Z59" s="1796">
        <v>0.38500000000090395</v>
      </c>
      <c r="AA59" s="1796">
        <v>409.6969999999996</v>
      </c>
      <c r="AB59" s="1796">
        <v>2152.6469999999999</v>
      </c>
      <c r="AC59" s="1796">
        <v>1271.1979999999999</v>
      </c>
      <c r="AD59" s="1796">
        <v>2199.0979600000001</v>
      </c>
      <c r="AE59" s="1796">
        <v>2067.1678600000005</v>
      </c>
      <c r="AF59" s="1796">
        <v>28210.098000000005</v>
      </c>
      <c r="AG59" s="1796">
        <v>3005.9710000000027</v>
      </c>
      <c r="AH59" s="1796">
        <v>28256.039999999986</v>
      </c>
      <c r="AI59" s="1796">
        <v>4151.6789999999983</v>
      </c>
      <c r="AJ59" s="1796">
        <v>28256.759999999991</v>
      </c>
      <c r="AK59" s="1796">
        <v>4543.9580000000024</v>
      </c>
      <c r="AL59" s="1796">
        <v>28637.281500000001</v>
      </c>
      <c r="AM59" s="1796">
        <v>5120.2399999999989</v>
      </c>
      <c r="AN59" s="1796">
        <v>28687.471500000007</v>
      </c>
      <c r="AO59" s="1796">
        <v>5622.7760000000007</v>
      </c>
      <c r="AP59" s="1796">
        <v>29223.703499999992</v>
      </c>
      <c r="AQ59" s="1796">
        <v>5943.332000000014</v>
      </c>
      <c r="AR59" s="1796">
        <v>29549.938500000011</v>
      </c>
      <c r="AS59" s="1796">
        <v>6280.1569999999983</v>
      </c>
      <c r="AT59" s="1796">
        <v>29743.581500000018</v>
      </c>
      <c r="AU59" s="1796">
        <v>6611.6090000000031</v>
      </c>
      <c r="AV59" s="1796">
        <v>30297.455500000011</v>
      </c>
      <c r="AW59" s="1796">
        <v>7018.4800000000059</v>
      </c>
      <c r="AX59" s="1796">
        <v>899.28799999999876</v>
      </c>
      <c r="AY59" s="1796">
        <v>67.344000000000079</v>
      </c>
      <c r="AZ59" s="1796">
        <v>1907.0639999999967</v>
      </c>
      <c r="BA59" s="1796">
        <v>654.75000000000045</v>
      </c>
      <c r="BB59" s="1796">
        <v>28734.252000000008</v>
      </c>
      <c r="BC59" s="1796">
        <v>917.96700000000055</v>
      </c>
      <c r="BD59" s="1796">
        <v>28739.920999999991</v>
      </c>
      <c r="BE59" s="1796">
        <v>1375.7519999999997</v>
      </c>
      <c r="BF59" s="1796">
        <v>28745.419999999995</v>
      </c>
      <c r="BG59" s="1796">
        <v>1618.8900000000026</v>
      </c>
      <c r="BH59" s="1796">
        <v>28748.675999999996</v>
      </c>
      <c r="BI59" s="1796">
        <v>1946.846</v>
      </c>
      <c r="BJ59" s="1796">
        <v>29346.098000000002</v>
      </c>
      <c r="BK59" s="1796">
        <v>2812.6829999999977</v>
      </c>
      <c r="BL59" s="1796">
        <v>28749.854500000009</v>
      </c>
      <c r="BM59" s="1796">
        <v>3338.7269999999976</v>
      </c>
      <c r="BN59" s="1796">
        <v>29663.430500000009</v>
      </c>
      <c r="BO59" s="1796">
        <v>3587.604999999995</v>
      </c>
      <c r="BP59" s="1796">
        <v>29895.745500000005</v>
      </c>
      <c r="BQ59" s="1796">
        <v>4142.2129999999988</v>
      </c>
      <c r="BR59" s="1796">
        <v>30084.582500000004</v>
      </c>
      <c r="BS59" s="1796">
        <v>4464.1889999999994</v>
      </c>
      <c r="BT59" s="1796">
        <v>32089.848500000058</v>
      </c>
      <c r="BU59" s="1796">
        <v>4874.8159999999834</v>
      </c>
      <c r="BV59" s="1796">
        <v>348.74973000000011</v>
      </c>
      <c r="BW59" s="1796">
        <v>422.81699999999978</v>
      </c>
      <c r="BX59" s="1796">
        <v>31282.211730000006</v>
      </c>
      <c r="BY59" s="1796">
        <v>839.44200000000023</v>
      </c>
      <c r="BZ59" s="1796">
        <v>31671.08873000001</v>
      </c>
      <c r="CA59" s="1796">
        <v>1271.7550000000003</v>
      </c>
      <c r="CB59" s="1796">
        <v>31954.854729999999</v>
      </c>
      <c r="CC59" s="1796">
        <v>1377.2199999999984</v>
      </c>
      <c r="CD59" s="1796">
        <v>31955.37073000001</v>
      </c>
      <c r="CE59" s="1796">
        <v>1573.9610000000007</v>
      </c>
      <c r="CF59" s="1796">
        <v>31960.940730000002</v>
      </c>
      <c r="CG59" s="1796">
        <v>1941.5969999999984</v>
      </c>
      <c r="CH59" s="1796">
        <v>31961.630730000004</v>
      </c>
      <c r="CI59" s="1796">
        <v>2304.4410000000007</v>
      </c>
      <c r="CJ59" s="1796">
        <v>31962.521329999992</v>
      </c>
      <c r="CK59" s="1796">
        <v>2585.0339999999965</v>
      </c>
      <c r="CL59" s="1796">
        <v>31962.741330000001</v>
      </c>
      <c r="CM59" s="1796">
        <v>2941.7860000000001</v>
      </c>
      <c r="CN59" s="1796">
        <v>31963.18633</v>
      </c>
      <c r="CO59" s="1796">
        <v>3336.89</v>
      </c>
      <c r="CP59" s="1796">
        <v>31964.001329999999</v>
      </c>
      <c r="CQ59" s="1796">
        <v>5819.1350000000002</v>
      </c>
      <c r="CR59" s="1796">
        <v>31964.816330000001</v>
      </c>
      <c r="CS59" s="1796">
        <v>23386.740999999998</v>
      </c>
      <c r="CT59" s="1796">
        <v>1063.133</v>
      </c>
      <c r="CU59" s="1796">
        <v>14437.534</v>
      </c>
      <c r="CV59" s="1796">
        <v>2353.8629999999998</v>
      </c>
      <c r="CW59" s="1796">
        <v>22086.907999999999</v>
      </c>
      <c r="CX59" s="1796">
        <v>33348.678</v>
      </c>
      <c r="CY59" s="1796">
        <v>24637.002</v>
      </c>
      <c r="CZ59" s="1796">
        <v>33349.339599999999</v>
      </c>
      <c r="DA59" s="1796">
        <v>26865.170000000002</v>
      </c>
      <c r="DB59" s="1796">
        <v>33352.505599999997</v>
      </c>
      <c r="DC59" s="1796">
        <v>28262.987000000001</v>
      </c>
      <c r="DD59" s="1796">
        <v>33353.255599999997</v>
      </c>
      <c r="DE59" s="1796">
        <v>29643.055</v>
      </c>
      <c r="DF59" s="1796">
        <v>33353.725599999998</v>
      </c>
      <c r="DG59" s="1796">
        <v>31305.31</v>
      </c>
      <c r="DH59" s="1796">
        <v>33352.933599999997</v>
      </c>
      <c r="DI59" s="1796">
        <v>32980.050000000003</v>
      </c>
      <c r="DJ59" s="1796">
        <v>33353.933099999995</v>
      </c>
      <c r="DK59" s="1796">
        <v>35039.813999999998</v>
      </c>
      <c r="DL59" s="1796">
        <v>33354.699999999997</v>
      </c>
      <c r="DM59" s="1796">
        <v>36470.400000000001</v>
      </c>
      <c r="DN59" s="1796">
        <v>33355.179100000001</v>
      </c>
      <c r="DO59" s="1796">
        <v>37777.656999999999</v>
      </c>
      <c r="DP59" s="1796">
        <v>30789.8701</v>
      </c>
      <c r="DQ59" s="1797">
        <v>39342.243000000002</v>
      </c>
      <c r="DR59" s="1811">
        <v>0.03</v>
      </c>
      <c r="DS59" s="1808">
        <v>358.17999999999995</v>
      </c>
      <c r="DT59" s="1816">
        <v>2.8807</v>
      </c>
      <c r="DU59" s="1817">
        <v>425.28</v>
      </c>
      <c r="DV59" s="1811">
        <v>5.5297999999999998</v>
      </c>
      <c r="DW59" s="1808">
        <v>559.16100000000006</v>
      </c>
      <c r="DX59" s="1816">
        <v>15.48325</v>
      </c>
      <c r="DY59" s="1817">
        <v>580.09100000000001</v>
      </c>
      <c r="DZ59" s="1811">
        <v>20.206250000000001</v>
      </c>
      <c r="EA59" s="1808">
        <v>580.09100000000001</v>
      </c>
      <c r="EB59" s="1800">
        <v>21.487369999999999</v>
      </c>
      <c r="EC59" s="1797">
        <v>580.09100000000001</v>
      </c>
      <c r="ED59" s="1798">
        <v>21.825369999999999</v>
      </c>
      <c r="EE59" s="1799">
        <v>635.10299999999995</v>
      </c>
      <c r="EF59" s="1798">
        <v>21.825369999999999</v>
      </c>
      <c r="EG59" s="1799">
        <v>650.50300000000004</v>
      </c>
      <c r="EH59" s="1800">
        <v>21.939769999999999</v>
      </c>
      <c r="EI59" s="1799">
        <v>656.00400000000002</v>
      </c>
      <c r="EJ59" s="1800">
        <v>22.044370000000001</v>
      </c>
      <c r="EK59" s="1799">
        <v>681.48699999999997</v>
      </c>
      <c r="EL59" s="1798">
        <v>22.87237</v>
      </c>
      <c r="EM59" s="1801">
        <v>713.16</v>
      </c>
      <c r="EN59" s="1798">
        <v>23.05</v>
      </c>
      <c r="EO59" s="1801">
        <v>756.24400000000003</v>
      </c>
      <c r="EP59" s="1798">
        <v>0.66300000000000003</v>
      </c>
      <c r="EQ59" s="1801">
        <v>57.2</v>
      </c>
      <c r="ER59" s="1798">
        <v>4.01</v>
      </c>
      <c r="ES59" s="1801">
        <v>82.971000000000004</v>
      </c>
      <c r="ET59" s="1798">
        <v>9.4797999999999991</v>
      </c>
      <c r="EU59" s="1801">
        <v>133.571</v>
      </c>
      <c r="EV59" s="1798">
        <v>15.024839999999999</v>
      </c>
      <c r="EW59" s="1801">
        <v>204.52099999999999</v>
      </c>
      <c r="EX59" s="1798">
        <v>20.202840000000002</v>
      </c>
      <c r="EY59" s="1801">
        <v>235.87100000000001</v>
      </c>
      <c r="EZ59" s="1798">
        <v>21.56784</v>
      </c>
      <c r="FA59" s="1801">
        <v>257.87099999999998</v>
      </c>
      <c r="FB59" s="1798">
        <v>22.677240000000001</v>
      </c>
      <c r="FC59" s="1801">
        <v>268.87099999999998</v>
      </c>
      <c r="FD59" s="1798">
        <v>23.817240000000002</v>
      </c>
      <c r="FE59" s="1801">
        <v>284.27100000000002</v>
      </c>
      <c r="FF59" s="1798">
        <v>24.766740000000002</v>
      </c>
      <c r="FG59" s="1801">
        <v>284.27100000000002</v>
      </c>
      <c r="FH59" s="1798">
        <v>25.433340000000001</v>
      </c>
      <c r="FI59" s="1801">
        <v>284.27100000000002</v>
      </c>
      <c r="FJ59" s="1798">
        <v>26.250340000000001</v>
      </c>
      <c r="FK59" s="1801">
        <v>454.26400000000001</v>
      </c>
      <c r="FL59" s="1798">
        <v>26.70234</v>
      </c>
      <c r="FM59" s="1801">
        <v>471.86399999999998</v>
      </c>
      <c r="FN59" s="1798">
        <v>0.2515</v>
      </c>
      <c r="FO59" s="1801">
        <v>0</v>
      </c>
      <c r="FP59" s="1798">
        <v>3.661</v>
      </c>
      <c r="FQ59" s="1801">
        <v>41.364000000000004</v>
      </c>
      <c r="FR59" s="1798">
        <v>9.3398000000000003</v>
      </c>
      <c r="FS59" s="1801">
        <v>119.401</v>
      </c>
      <c r="FT59" s="1798">
        <v>18.822099999999999</v>
      </c>
      <c r="FU59" s="1801">
        <v>130.40100000000001</v>
      </c>
      <c r="FV59" s="1798">
        <v>27.809000000000001</v>
      </c>
      <c r="FW59" s="1801">
        <v>183.20099999999999</v>
      </c>
      <c r="FX59" s="1798">
        <v>31.059000000000001</v>
      </c>
      <c r="FY59" s="1801">
        <v>308.86700000000002</v>
      </c>
      <c r="FZ59" s="1798">
        <v>32.235500000000002</v>
      </c>
      <c r="GA59" s="1801">
        <v>315.46699999999998</v>
      </c>
      <c r="GB59" s="1798">
        <v>32.595500000000001</v>
      </c>
      <c r="GC59" s="1801">
        <v>315.46699999999998</v>
      </c>
      <c r="GD59" s="1798">
        <v>32.900500000000001</v>
      </c>
      <c r="GE59" s="1801">
        <v>315.46699999999998</v>
      </c>
      <c r="GF59" s="1798">
        <v>33.972499999999997</v>
      </c>
      <c r="GG59" s="1801">
        <v>325.36700000000002</v>
      </c>
      <c r="GH59" s="1798">
        <v>35.701599999999999</v>
      </c>
      <c r="GI59" s="1801">
        <v>332.39260000000002</v>
      </c>
      <c r="GJ59" s="1798">
        <v>36.842599999999997</v>
      </c>
      <c r="GK59" s="1801">
        <v>381.3426</v>
      </c>
      <c r="GL59" s="1798">
        <v>0.34250000000000003</v>
      </c>
      <c r="GM59" s="1801">
        <v>0</v>
      </c>
      <c r="GN59" s="1798">
        <v>5.7680999999999996</v>
      </c>
      <c r="GO59" s="1801">
        <v>0</v>
      </c>
      <c r="GP59" s="1798">
        <v>14.377649999999999</v>
      </c>
      <c r="GQ59" s="1801">
        <v>0</v>
      </c>
      <c r="GR59" s="1798">
        <v>23.551649999999999</v>
      </c>
      <c r="GS59" s="1801">
        <v>0</v>
      </c>
      <c r="GT59" s="1798">
        <v>32.00065</v>
      </c>
      <c r="GU59" s="1801">
        <v>0</v>
      </c>
      <c r="GV59" s="1798">
        <v>33.826650000000001</v>
      </c>
      <c r="GW59" s="1801">
        <v>0</v>
      </c>
      <c r="GX59" s="1798">
        <v>34.146650000000001</v>
      </c>
      <c r="GY59" s="1801">
        <v>0</v>
      </c>
      <c r="GZ59" s="1798">
        <v>35.703150000000001</v>
      </c>
      <c r="HA59" s="1801">
        <v>0</v>
      </c>
      <c r="HB59" s="1798">
        <v>38.099249999999998</v>
      </c>
      <c r="HC59" s="1801">
        <v>0</v>
      </c>
      <c r="HD59" s="1798">
        <v>39.760249999999999</v>
      </c>
      <c r="HE59" s="1801">
        <v>0</v>
      </c>
      <c r="HF59" s="1798">
        <v>40.919750000000001</v>
      </c>
      <c r="HG59" s="1801">
        <v>0</v>
      </c>
      <c r="HH59" s="1798">
        <v>42.33775</v>
      </c>
      <c r="HI59" s="1801">
        <v>0</v>
      </c>
      <c r="HJ59" s="1798">
        <v>0.50480000000000003</v>
      </c>
      <c r="HK59" s="1801">
        <v>0</v>
      </c>
      <c r="HL59" s="1798">
        <v>3.2858000000000001</v>
      </c>
      <c r="HM59" s="1801">
        <v>0</v>
      </c>
      <c r="HN59" s="1798">
        <v>7.9132999999999996</v>
      </c>
      <c r="HO59" s="1801">
        <v>0</v>
      </c>
      <c r="HP59" s="1798">
        <v>13.644299999999999</v>
      </c>
      <c r="HQ59" s="1801">
        <v>0</v>
      </c>
      <c r="HR59" s="1798">
        <v>14.79969</v>
      </c>
      <c r="HS59" s="1801">
        <v>0</v>
      </c>
      <c r="HT59" s="1798">
        <v>18.50469</v>
      </c>
      <c r="HU59" s="1801">
        <v>0</v>
      </c>
      <c r="HV59" s="1802" t="s">
        <v>3200</v>
      </c>
    </row>
    <row r="60" spans="1:234" s="1774" customFormat="1" ht="30" customHeight="1">
      <c r="A60" s="1826" t="s">
        <v>2271</v>
      </c>
      <c r="B60" s="1827">
        <f t="shared" ref="B60:BM60" si="63">B11+B50</f>
        <v>70720.098730000012</v>
      </c>
      <c r="C60" s="1827">
        <f t="shared" si="63"/>
        <v>26775.323100000001</v>
      </c>
      <c r="D60" s="1827">
        <f t="shared" si="63"/>
        <v>103796.938850438</v>
      </c>
      <c r="E60" s="1827">
        <f t="shared" si="63"/>
        <v>43858.522269999994</v>
      </c>
      <c r="F60" s="1827">
        <f t="shared" si="63"/>
        <v>150681.68051000001</v>
      </c>
      <c r="G60" s="1827">
        <f t="shared" si="63"/>
        <v>60292.39357</v>
      </c>
      <c r="H60" s="1827">
        <f t="shared" si="63"/>
        <v>194172.08795000002</v>
      </c>
      <c r="I60" s="1827">
        <f t="shared" si="63"/>
        <v>75319.197400000005</v>
      </c>
      <c r="J60" s="1827">
        <f t="shared" si="63"/>
        <v>240115.42363</v>
      </c>
      <c r="K60" s="1827">
        <f t="shared" si="63"/>
        <v>97900.505900000004</v>
      </c>
      <c r="L60" s="1827">
        <f t="shared" si="63"/>
        <v>276158.44377999898</v>
      </c>
      <c r="M60" s="1827">
        <f t="shared" si="63"/>
        <v>124410.42036000002</v>
      </c>
      <c r="N60" s="1827">
        <f t="shared" si="63"/>
        <v>322830.05929</v>
      </c>
      <c r="O60" s="1827">
        <f t="shared" si="63"/>
        <v>144008.84050000002</v>
      </c>
      <c r="P60" s="1827">
        <f t="shared" si="63"/>
        <v>368915.44897999999</v>
      </c>
      <c r="Q60" s="1827">
        <f t="shared" si="63"/>
        <v>167060.91748999999</v>
      </c>
      <c r="R60" s="1827">
        <f t="shared" si="63"/>
        <v>414352.72497000004</v>
      </c>
      <c r="S60" s="1827">
        <f t="shared" si="63"/>
        <v>188579.73019</v>
      </c>
      <c r="T60" s="1827">
        <f t="shared" si="63"/>
        <v>462653.61855000001</v>
      </c>
      <c r="U60" s="1827">
        <f t="shared" si="63"/>
        <v>204637.00384000002</v>
      </c>
      <c r="V60" s="1827">
        <f t="shared" si="63"/>
        <v>504234.79862999998</v>
      </c>
      <c r="W60" s="1827">
        <f t="shared" si="63"/>
        <v>230880.32024999999</v>
      </c>
      <c r="X60" s="1827">
        <f t="shared" si="63"/>
        <v>556866.57860000001</v>
      </c>
      <c r="Y60" s="1827">
        <f t="shared" si="63"/>
        <v>257109.59743999998</v>
      </c>
      <c r="Z60" s="1827">
        <f t="shared" si="63"/>
        <v>82760.045640000011</v>
      </c>
      <c r="AA60" s="1827">
        <f t="shared" si="63"/>
        <v>22988.119539000003</v>
      </c>
      <c r="AB60" s="1827">
        <f t="shared" si="63"/>
        <v>130155.74632999999</v>
      </c>
      <c r="AC60" s="1827">
        <f t="shared" si="63"/>
        <v>40487.726869999999</v>
      </c>
      <c r="AD60" s="1827">
        <f t="shared" si="63"/>
        <v>193116.44426000002</v>
      </c>
      <c r="AE60" s="1827">
        <f t="shared" si="63"/>
        <v>60294.312290000002</v>
      </c>
      <c r="AF60" s="1827">
        <f t="shared" si="63"/>
        <v>301419.31774999999</v>
      </c>
      <c r="AG60" s="1827">
        <f t="shared" si="63"/>
        <v>78498.079089999999</v>
      </c>
      <c r="AH60" s="1827">
        <f t="shared" si="63"/>
        <v>350821.20782000001</v>
      </c>
      <c r="AI60" s="1827">
        <f t="shared" si="63"/>
        <v>97450.143330000006</v>
      </c>
      <c r="AJ60" s="1827">
        <f t="shared" si="63"/>
        <v>396371.22819000005</v>
      </c>
      <c r="AK60" s="1827">
        <f t="shared" si="63"/>
        <v>119303.36606999999</v>
      </c>
      <c r="AL60" s="1827">
        <f t="shared" si="63"/>
        <v>459851.51754000003</v>
      </c>
      <c r="AM60" s="1827">
        <f t="shared" si="63"/>
        <v>145904.74216999998</v>
      </c>
      <c r="AN60" s="1827">
        <f t="shared" si="63"/>
        <v>516923.67558000004</v>
      </c>
      <c r="AO60" s="1827">
        <f t="shared" si="63"/>
        <v>168581.45294000002</v>
      </c>
      <c r="AP60" s="1827">
        <f t="shared" si="63"/>
        <v>568538.36002999987</v>
      </c>
      <c r="AQ60" s="1827">
        <f t="shared" si="63"/>
        <v>186911.60118</v>
      </c>
      <c r="AR60" s="1827">
        <f t="shared" si="63"/>
        <v>617170.62290000007</v>
      </c>
      <c r="AS60" s="1827">
        <f t="shared" si="63"/>
        <v>205960.35067000001</v>
      </c>
      <c r="AT60" s="1827">
        <f t="shared" si="63"/>
        <v>663891.12810000009</v>
      </c>
      <c r="AU60" s="1827">
        <f t="shared" si="63"/>
        <v>224139.22142999998</v>
      </c>
      <c r="AV60" s="1827">
        <f t="shared" si="63"/>
        <v>727954.00326000014</v>
      </c>
      <c r="AW60" s="1827">
        <f t="shared" si="63"/>
        <v>240333.47073</v>
      </c>
      <c r="AX60" s="1827">
        <f t="shared" si="63"/>
        <v>88194.561710000009</v>
      </c>
      <c r="AY60" s="1827">
        <f t="shared" si="63"/>
        <v>17155.82201</v>
      </c>
      <c r="AZ60" s="1827">
        <f t="shared" si="63"/>
        <v>132818.72645000002</v>
      </c>
      <c r="BA60" s="1827">
        <f t="shared" si="63"/>
        <v>33115.998120000004</v>
      </c>
      <c r="BB60" s="1827">
        <f t="shared" si="63"/>
        <v>201157.97872000001</v>
      </c>
      <c r="BC60" s="1827">
        <f t="shared" si="63"/>
        <v>46234.366450000001</v>
      </c>
      <c r="BD60" s="1827">
        <f t="shared" si="63"/>
        <v>265296.48441000003</v>
      </c>
      <c r="BE60" s="1827">
        <f t="shared" si="63"/>
        <v>66651.188869999998</v>
      </c>
      <c r="BF60" s="1827">
        <f t="shared" si="63"/>
        <v>319272.15883000003</v>
      </c>
      <c r="BG60" s="1827">
        <f t="shared" si="63"/>
        <v>93777.495640000008</v>
      </c>
      <c r="BH60" s="1827">
        <f t="shared" si="63"/>
        <v>361336.79787999997</v>
      </c>
      <c r="BI60" s="1827">
        <f t="shared" si="63"/>
        <v>119102.38301999999</v>
      </c>
      <c r="BJ60" s="1827">
        <f t="shared" si="63"/>
        <v>422931.40942000004</v>
      </c>
      <c r="BK60" s="1827">
        <f t="shared" si="63"/>
        <v>154631.93883999999</v>
      </c>
      <c r="BL60" s="1827">
        <f t="shared" si="63"/>
        <v>469748.69513000001</v>
      </c>
      <c r="BM60" s="1827">
        <f t="shared" si="63"/>
        <v>175473.56848000002</v>
      </c>
      <c r="BN60" s="1827">
        <f t="shared" ref="BN60:DY60" si="64">BN11+BN50</f>
        <v>522453.60658999998</v>
      </c>
      <c r="BO60" s="1827">
        <f t="shared" si="64"/>
        <v>201700.71458</v>
      </c>
      <c r="BP60" s="1827">
        <f t="shared" si="64"/>
        <v>570492.69183000003</v>
      </c>
      <c r="BQ60" s="1827">
        <f t="shared" si="64"/>
        <v>225472.95251999999</v>
      </c>
      <c r="BR60" s="1827">
        <f t="shared" si="64"/>
        <v>615556.28076999995</v>
      </c>
      <c r="BS60" s="1827">
        <f t="shared" si="64"/>
        <v>252220.99572000001</v>
      </c>
      <c r="BT60" s="1827">
        <f t="shared" si="64"/>
        <v>681176.83921000012</v>
      </c>
      <c r="BU60" s="1827">
        <f t="shared" si="64"/>
        <v>301536.70479999995</v>
      </c>
      <c r="BV60" s="1827">
        <f t="shared" si="64"/>
        <v>112025.55153</v>
      </c>
      <c r="BW60" s="1827">
        <f t="shared" si="64"/>
        <v>26746.856700000004</v>
      </c>
      <c r="BX60" s="1827">
        <f t="shared" si="64"/>
        <v>190744.23772999999</v>
      </c>
      <c r="BY60" s="1827">
        <f t="shared" si="64"/>
        <v>49293.809840000002</v>
      </c>
      <c r="BZ60" s="1827">
        <f t="shared" si="64"/>
        <v>240764.29534000001</v>
      </c>
      <c r="CA60" s="1827">
        <f t="shared" si="64"/>
        <v>77091.267300000007</v>
      </c>
      <c r="CB60" s="1827">
        <f t="shared" si="64"/>
        <v>311336.96824000002</v>
      </c>
      <c r="CC60" s="1827">
        <f t="shared" si="64"/>
        <v>105564.72729</v>
      </c>
      <c r="CD60" s="1827">
        <f t="shared" si="64"/>
        <v>361348.23884999997</v>
      </c>
      <c r="CE60" s="1827">
        <f t="shared" si="64"/>
        <v>140171.03659999999</v>
      </c>
      <c r="CF60" s="1827">
        <f t="shared" si="64"/>
        <v>406400.26131999999</v>
      </c>
      <c r="CG60" s="1827">
        <f t="shared" si="64"/>
        <v>188351.18817000001</v>
      </c>
      <c r="CH60" s="1827">
        <f t="shared" si="64"/>
        <v>472725.13097999996</v>
      </c>
      <c r="CI60" s="1827">
        <f t="shared" si="64"/>
        <v>227129.08132999999</v>
      </c>
      <c r="CJ60" s="1827">
        <f t="shared" si="64"/>
        <v>528652.56235999998</v>
      </c>
      <c r="CK60" s="1827">
        <f t="shared" si="64"/>
        <v>262996.16752999998</v>
      </c>
      <c r="CL60" s="1827">
        <f t="shared" si="64"/>
        <v>581509.08165999991</v>
      </c>
      <c r="CM60" s="1827">
        <f t="shared" si="64"/>
        <v>307761.74942000001</v>
      </c>
      <c r="CN60" s="1827">
        <f t="shared" si="64"/>
        <v>628374.21671000007</v>
      </c>
      <c r="CO60" s="1827">
        <f t="shared" si="64"/>
        <v>350035.47167</v>
      </c>
      <c r="CP60" s="1827">
        <f t="shared" si="64"/>
        <v>668189.43371999997</v>
      </c>
      <c r="CQ60" s="1827">
        <f t="shared" si="64"/>
        <v>391453.57309999998</v>
      </c>
      <c r="CR60" s="1827">
        <f t="shared" si="64"/>
        <v>728634.06122000003</v>
      </c>
      <c r="CS60" s="1827">
        <f t="shared" si="64"/>
        <v>465153.12059000001</v>
      </c>
      <c r="CT60" s="1827">
        <f t="shared" si="64"/>
        <v>104010.82191</v>
      </c>
      <c r="CU60" s="1827">
        <f t="shared" si="64"/>
        <v>56840.691440000002</v>
      </c>
      <c r="CV60" s="1827">
        <f t="shared" si="64"/>
        <v>160445.07994</v>
      </c>
      <c r="CW60" s="1827">
        <f t="shared" si="64"/>
        <v>100170.15075</v>
      </c>
      <c r="CX60" s="1827">
        <f t="shared" si="64"/>
        <v>248988.66884</v>
      </c>
      <c r="CY60" s="1827">
        <f t="shared" si="64"/>
        <v>145344.73252000002</v>
      </c>
      <c r="CZ60" s="1827">
        <f t="shared" si="64"/>
        <v>339107.25600000005</v>
      </c>
      <c r="DA60" s="1827">
        <f t="shared" si="64"/>
        <v>179789.26319</v>
      </c>
      <c r="DB60" s="1827">
        <f t="shared" si="64"/>
        <v>398001.05214000004</v>
      </c>
      <c r="DC60" s="1827">
        <f t="shared" si="64"/>
        <v>208232.96301000001</v>
      </c>
      <c r="DD60" s="1827">
        <f t="shared" si="64"/>
        <v>452366.28686999995</v>
      </c>
      <c r="DE60" s="1827">
        <f t="shared" si="64"/>
        <v>248199.50464</v>
      </c>
      <c r="DF60" s="1827">
        <f t="shared" si="64"/>
        <v>528257.53888999997</v>
      </c>
      <c r="DG60" s="1827">
        <f t="shared" si="64"/>
        <v>301178.70488000003</v>
      </c>
      <c r="DH60" s="1827">
        <f t="shared" si="64"/>
        <v>580597.12957999995</v>
      </c>
      <c r="DI60" s="1827">
        <f t="shared" si="64"/>
        <v>339866.39110000001</v>
      </c>
      <c r="DJ60" s="1827">
        <f t="shared" si="64"/>
        <v>651483.89378000004</v>
      </c>
      <c r="DK60" s="1827">
        <f t="shared" si="64"/>
        <v>373491.24084300001</v>
      </c>
      <c r="DL60" s="1827">
        <f t="shared" si="64"/>
        <v>705699.92420999997</v>
      </c>
      <c r="DM60" s="1827">
        <f t="shared" si="64"/>
        <v>401211.23584000004</v>
      </c>
      <c r="DN60" s="1827">
        <f t="shared" si="64"/>
        <v>767810.10654000007</v>
      </c>
      <c r="DO60" s="1827">
        <f t="shared" si="64"/>
        <v>429848.94698300003</v>
      </c>
      <c r="DP60" s="1827">
        <f t="shared" si="64"/>
        <v>843897.27764999995</v>
      </c>
      <c r="DQ60" s="1828">
        <f t="shared" si="64"/>
        <v>458726.28349999996</v>
      </c>
      <c r="DR60" s="1383">
        <f t="shared" si="64"/>
        <v>117820.43871000002</v>
      </c>
      <c r="DS60" s="1384">
        <f t="shared" si="64"/>
        <v>16649.298289999999</v>
      </c>
      <c r="DT60" s="1829">
        <f t="shared" si="64"/>
        <v>178306.97304099996</v>
      </c>
      <c r="DU60" s="1828">
        <f t="shared" si="64"/>
        <v>38936.25662</v>
      </c>
      <c r="DV60" s="1830">
        <f t="shared" si="64"/>
        <v>258424.98340999999</v>
      </c>
      <c r="DW60" s="1831">
        <f t="shared" si="64"/>
        <v>61227.659149999999</v>
      </c>
      <c r="DX60" s="1829">
        <f t="shared" si="64"/>
        <v>358771.12637999991</v>
      </c>
      <c r="DY60" s="1828">
        <f t="shared" si="64"/>
        <v>93417.540739999997</v>
      </c>
      <c r="DZ60" s="1830">
        <f t="shared" ref="DZ60:GK60" si="65">DZ11+DZ50</f>
        <v>426637.83487000002</v>
      </c>
      <c r="EA60" s="1831">
        <f t="shared" si="65"/>
        <v>129032.68520000001</v>
      </c>
      <c r="EB60" s="1829">
        <f t="shared" si="65"/>
        <v>491604.71101000009</v>
      </c>
      <c r="EC60" s="1828">
        <f t="shared" si="65"/>
        <v>174922.91821</v>
      </c>
      <c r="ED60" s="1830">
        <f t="shared" si="65"/>
        <v>580501.0631400001</v>
      </c>
      <c r="EE60" s="1831">
        <f t="shared" si="65"/>
        <v>241128.49865000002</v>
      </c>
      <c r="EF60" s="1830">
        <f t="shared" si="65"/>
        <v>654917.94735000003</v>
      </c>
      <c r="EG60" s="1832">
        <f t="shared" si="65"/>
        <v>283671.45512</v>
      </c>
      <c r="EH60" s="1830">
        <f t="shared" si="65"/>
        <v>731219.83220000006</v>
      </c>
      <c r="EI60" s="1832">
        <f t="shared" si="65"/>
        <v>318614.51465999999</v>
      </c>
      <c r="EJ60" s="1828">
        <f t="shared" si="65"/>
        <v>797624.83646999998</v>
      </c>
      <c r="EK60" s="1831">
        <f t="shared" si="65"/>
        <v>359296.78415000008</v>
      </c>
      <c r="EL60" s="1830">
        <f t="shared" si="65"/>
        <v>875132.42313999997</v>
      </c>
      <c r="EM60" s="1832">
        <f t="shared" si="65"/>
        <v>400953.30405999999</v>
      </c>
      <c r="EN60" s="1830">
        <f t="shared" si="65"/>
        <v>970822.75214</v>
      </c>
      <c r="EO60" s="1832">
        <f t="shared" si="65"/>
        <v>433202.48518000002</v>
      </c>
      <c r="EP60" s="1383">
        <f t="shared" si="65"/>
        <v>131814.05855000002</v>
      </c>
      <c r="EQ60" s="1832">
        <f t="shared" si="65"/>
        <v>35168.425459999999</v>
      </c>
      <c r="ER60" s="1830">
        <f t="shared" si="65"/>
        <v>221067.94497000001</v>
      </c>
      <c r="ES60" s="1832">
        <f t="shared" si="65"/>
        <v>70514.391050000006</v>
      </c>
      <c r="ET60" s="1830">
        <f t="shared" si="65"/>
        <v>346909.53104999999</v>
      </c>
      <c r="EU60" s="1832">
        <f t="shared" si="65"/>
        <v>102289.68700000001</v>
      </c>
      <c r="EV60" s="1830">
        <f t="shared" si="65"/>
        <v>467530.25753</v>
      </c>
      <c r="EW60" s="1832">
        <f t="shared" si="65"/>
        <v>134601.68461</v>
      </c>
      <c r="EX60" s="1830">
        <f t="shared" si="65"/>
        <v>566433.97491999995</v>
      </c>
      <c r="EY60" s="1832">
        <f t="shared" si="65"/>
        <v>174436.19403999997</v>
      </c>
      <c r="EZ60" s="1830">
        <f t="shared" si="65"/>
        <v>648945.42958</v>
      </c>
      <c r="FA60" s="1832">
        <f t="shared" si="65"/>
        <v>225032.0625</v>
      </c>
      <c r="FB60" s="1830">
        <f t="shared" si="65"/>
        <v>761801.01952999993</v>
      </c>
      <c r="FC60" s="1832">
        <f t="shared" si="65"/>
        <v>282977.14317000005</v>
      </c>
      <c r="FD60" s="1830">
        <f t="shared" si="65"/>
        <v>846854.45337999996</v>
      </c>
      <c r="FE60" s="1832">
        <f t="shared" si="65"/>
        <v>345796.35090999998</v>
      </c>
      <c r="FF60" s="1383">
        <f t="shared" si="65"/>
        <v>935934.68965000007</v>
      </c>
      <c r="FG60" s="1832">
        <f t="shared" si="65"/>
        <v>400386.96116999991</v>
      </c>
      <c r="FH60" s="1830">
        <f t="shared" si="65"/>
        <v>1019744.55481</v>
      </c>
      <c r="FI60" s="1832">
        <f t="shared" si="65"/>
        <v>455011.70199999999</v>
      </c>
      <c r="FJ60" s="1830">
        <f t="shared" si="65"/>
        <v>1108233.6728699999</v>
      </c>
      <c r="FK60" s="1832">
        <f t="shared" si="65"/>
        <v>497466.31532999995</v>
      </c>
      <c r="FL60" s="1830">
        <f t="shared" si="65"/>
        <v>1222537.16943</v>
      </c>
      <c r="FM60" s="1832">
        <f t="shared" si="65"/>
        <v>587324.96776999999</v>
      </c>
      <c r="FN60" s="1830">
        <f t="shared" si="65"/>
        <v>139113.54996999999</v>
      </c>
      <c r="FO60" s="1832">
        <f t="shared" si="65"/>
        <v>38783.136230000004</v>
      </c>
      <c r="FP60" s="1830">
        <f t="shared" si="65"/>
        <v>239718.83589999995</v>
      </c>
      <c r="FQ60" s="1832">
        <f t="shared" si="65"/>
        <v>97434.382379999995</v>
      </c>
      <c r="FR60" s="1830">
        <f t="shared" si="65"/>
        <v>373140.46429000003</v>
      </c>
      <c r="FS60" s="1832">
        <f t="shared" si="65"/>
        <v>153326.60004999998</v>
      </c>
      <c r="FT60" s="1830">
        <f t="shared" si="65"/>
        <v>542840.82397999999</v>
      </c>
      <c r="FU60" s="1832">
        <f t="shared" si="65"/>
        <v>209555.11854999998</v>
      </c>
      <c r="FV60" s="1830">
        <f t="shared" si="65"/>
        <v>643754.04636000004</v>
      </c>
      <c r="FW60" s="1832">
        <f t="shared" si="65"/>
        <v>274240.91842</v>
      </c>
      <c r="FX60" s="1830">
        <f t="shared" si="65"/>
        <v>725161.65023000003</v>
      </c>
      <c r="FY60" s="1832">
        <f t="shared" si="65"/>
        <v>356083.98796000006</v>
      </c>
      <c r="FZ60" s="1830">
        <f t="shared" si="65"/>
        <v>833199.34202999994</v>
      </c>
      <c r="GA60" s="1832">
        <f t="shared" si="65"/>
        <v>438617.88092000003</v>
      </c>
      <c r="GB60" s="1830">
        <f t="shared" si="65"/>
        <v>928110.17174999998</v>
      </c>
      <c r="GC60" s="1832">
        <f t="shared" si="65"/>
        <v>498345.11080999998</v>
      </c>
      <c r="GD60" s="1830">
        <f t="shared" si="65"/>
        <v>1023707.17293</v>
      </c>
      <c r="GE60" s="1832">
        <f t="shared" si="65"/>
        <v>553746.10273000004</v>
      </c>
      <c r="GF60" s="1830">
        <f t="shared" si="65"/>
        <v>1112026.77428</v>
      </c>
      <c r="GG60" s="1832">
        <f t="shared" si="65"/>
        <v>622301.23150999995</v>
      </c>
      <c r="GH60" s="1830">
        <f t="shared" si="65"/>
        <v>1222165.54311</v>
      </c>
      <c r="GI60" s="1832">
        <f t="shared" si="65"/>
        <v>694053.27838999999</v>
      </c>
      <c r="GJ60" s="1830">
        <f t="shared" si="65"/>
        <v>1353185.4122700002</v>
      </c>
      <c r="GK60" s="1832">
        <f t="shared" si="65"/>
        <v>752712.21317999996</v>
      </c>
      <c r="GL60" s="1830">
        <f t="shared" ref="GL60:HQ60" si="66">GL11+GL50</f>
        <v>163658.20332999999</v>
      </c>
      <c r="GM60" s="1832">
        <f t="shared" si="66"/>
        <v>47623.276230000003</v>
      </c>
      <c r="GN60" s="1830">
        <f t="shared" si="66"/>
        <v>281206.19648000004</v>
      </c>
      <c r="GO60" s="1832">
        <f t="shared" si="66"/>
        <v>108594.79766999999</v>
      </c>
      <c r="GP60" s="1830">
        <f t="shared" si="66"/>
        <v>399083.34303000011</v>
      </c>
      <c r="GQ60" s="1832">
        <f t="shared" si="66"/>
        <v>164029.19675176698</v>
      </c>
      <c r="GR60" s="1830">
        <f t="shared" si="66"/>
        <v>588465.52116</v>
      </c>
      <c r="GS60" s="1832">
        <f t="shared" si="66"/>
        <v>231332.50930999999</v>
      </c>
      <c r="GT60" s="1830">
        <f t="shared" si="66"/>
        <v>719352.80989999999</v>
      </c>
      <c r="GU60" s="1832">
        <f t="shared" si="66"/>
        <v>314787.88643000001</v>
      </c>
      <c r="GV60" s="1830">
        <f t="shared" si="66"/>
        <v>817047.52344999998</v>
      </c>
      <c r="GW60" s="1832">
        <f t="shared" si="66"/>
        <v>432197.84029000008</v>
      </c>
      <c r="GX60" s="1830">
        <f t="shared" si="66"/>
        <v>937657.99011999997</v>
      </c>
      <c r="GY60" s="1832">
        <f t="shared" si="66"/>
        <v>529306.88828999992</v>
      </c>
      <c r="GZ60" s="1830">
        <f t="shared" si="66"/>
        <v>1048074.3822</v>
      </c>
      <c r="HA60" s="1832">
        <f t="shared" si="66"/>
        <v>603414.09664999996</v>
      </c>
      <c r="HB60" s="1830">
        <f t="shared" si="66"/>
        <v>1157254.0078799999</v>
      </c>
      <c r="HC60" s="1832">
        <f t="shared" si="66"/>
        <v>683896.32502999995</v>
      </c>
      <c r="HD60" s="1830">
        <f t="shared" si="66"/>
        <v>1255972.82017</v>
      </c>
      <c r="HE60" s="1832">
        <f t="shared" si="66"/>
        <v>772601.95923000004</v>
      </c>
      <c r="HF60" s="1830">
        <f t="shared" si="66"/>
        <v>1365354.2693400001</v>
      </c>
      <c r="HG60" s="1832">
        <f t="shared" si="66"/>
        <v>844832.92278999998</v>
      </c>
      <c r="HH60" s="1830">
        <f t="shared" si="66"/>
        <v>1504709.3057499998</v>
      </c>
      <c r="HI60" s="1832">
        <f t="shared" si="66"/>
        <v>920395.1140399999</v>
      </c>
      <c r="HJ60" s="1830">
        <f t="shared" si="66"/>
        <v>156603.94814000002</v>
      </c>
      <c r="HK60" s="1832">
        <f t="shared" si="66"/>
        <v>62011.95811</v>
      </c>
      <c r="HL60" s="1830">
        <f t="shared" si="66"/>
        <v>277562.21164999995</v>
      </c>
      <c r="HM60" s="1832">
        <f t="shared" si="66"/>
        <v>148799.60988</v>
      </c>
      <c r="HN60" s="1830">
        <f t="shared" si="66"/>
        <v>417752.66009000002</v>
      </c>
      <c r="HO60" s="1832">
        <f t="shared" si="66"/>
        <v>218455.67777000001</v>
      </c>
      <c r="HP60" s="1830">
        <f t="shared" si="66"/>
        <v>610215.55491000006</v>
      </c>
      <c r="HQ60" s="1832">
        <f t="shared" si="66"/>
        <v>304353.37294000003</v>
      </c>
      <c r="HR60" s="1830">
        <f t="shared" ref="HR60:HS60" si="67">HR11+HR50</f>
        <v>732632.55515000003</v>
      </c>
      <c r="HS60" s="1832">
        <f t="shared" si="67"/>
        <v>409635.52220000006</v>
      </c>
      <c r="HT60" s="1830">
        <v>867395.86055999994</v>
      </c>
      <c r="HU60" s="1832">
        <v>549681.92545999994</v>
      </c>
      <c r="HV60" s="1826" t="s">
        <v>3201</v>
      </c>
      <c r="HX60" s="1833"/>
      <c r="HZ60" s="1803"/>
    </row>
    <row r="61" spans="1:234" s="1263" customFormat="1" ht="30" customHeight="1">
      <c r="A61" s="1265" t="s">
        <v>3261</v>
      </c>
      <c r="B61" s="1262"/>
      <c r="C61" s="1262"/>
      <c r="D61" s="1262"/>
      <c r="E61" s="1262"/>
      <c r="F61" s="1262"/>
      <c r="G61" s="1262"/>
      <c r="H61" s="1262"/>
      <c r="I61" s="1262"/>
      <c r="J61" s="1262"/>
      <c r="K61" s="1262"/>
      <c r="L61" s="1262"/>
      <c r="M61" s="1262"/>
      <c r="N61" s="1262"/>
      <c r="O61" s="1262"/>
      <c r="P61" s="1262"/>
      <c r="Q61" s="1262"/>
      <c r="R61" s="1262"/>
      <c r="S61" s="1262"/>
      <c r="T61" s="1262"/>
      <c r="U61" s="1262"/>
      <c r="V61" s="1262"/>
      <c r="W61" s="1262"/>
      <c r="X61" s="1262"/>
      <c r="Y61" s="1262"/>
      <c r="Z61" s="1262"/>
      <c r="AA61" s="1262"/>
      <c r="AB61" s="1262"/>
      <c r="AC61" s="1262"/>
      <c r="AD61" s="1262"/>
      <c r="AE61" s="1262"/>
      <c r="AF61" s="1262"/>
      <c r="AG61" s="1262"/>
      <c r="AH61" s="1262"/>
    </row>
    <row r="62" spans="1:234" ht="31.5" customHeight="1">
      <c r="A62" s="1265" t="s">
        <v>4082</v>
      </c>
      <c r="B62" s="1769"/>
      <c r="C62" s="1769"/>
      <c r="D62" s="1769"/>
      <c r="E62" s="1769"/>
      <c r="F62" s="1769"/>
      <c r="G62" s="1769"/>
      <c r="H62" s="1769"/>
      <c r="I62" s="1769"/>
      <c r="J62" s="1769"/>
      <c r="K62" s="1769"/>
      <c r="L62" s="1769"/>
      <c r="M62" s="1769"/>
      <c r="N62" s="1769"/>
      <c r="O62" s="1769"/>
      <c r="P62" s="1769"/>
      <c r="Q62" s="1769"/>
      <c r="R62" s="1769"/>
      <c r="S62" s="1769"/>
      <c r="T62" s="1769"/>
      <c r="U62" s="1769"/>
      <c r="V62" s="1769"/>
      <c r="W62" s="1769"/>
      <c r="X62" s="1769"/>
      <c r="Y62" s="1769"/>
      <c r="Z62" s="1769"/>
      <c r="AA62" s="1769"/>
      <c r="AB62" s="371"/>
    </row>
    <row r="63" spans="1:234" ht="21" customHeight="1">
      <c r="B63" s="1769"/>
      <c r="C63" s="1769"/>
      <c r="D63" s="1769"/>
      <c r="E63" s="1769"/>
      <c r="F63" s="1769"/>
      <c r="G63" s="1769"/>
      <c r="H63" s="1769"/>
      <c r="I63" s="1769"/>
      <c r="J63" s="1769"/>
      <c r="K63" s="1769"/>
      <c r="L63" s="1835"/>
      <c r="M63" s="1769"/>
      <c r="N63" s="1769"/>
      <c r="O63" s="1769"/>
      <c r="P63" s="1769"/>
      <c r="Q63" s="1769"/>
      <c r="R63" s="1769"/>
      <c r="S63" s="1769"/>
      <c r="T63" s="1769"/>
      <c r="U63" s="1769"/>
      <c r="V63" s="1769"/>
      <c r="W63" s="1769"/>
      <c r="X63" s="1769"/>
      <c r="Y63" s="1769"/>
      <c r="Z63" s="1769"/>
      <c r="AA63" s="1769"/>
      <c r="AQ63" s="1835"/>
    </row>
    <row r="64" spans="1:234" ht="21" customHeight="1">
      <c r="B64" s="1769"/>
      <c r="C64" s="1769"/>
      <c r="D64" s="1769"/>
      <c r="E64" s="1769"/>
      <c r="F64" s="1769"/>
      <c r="G64" s="1769"/>
      <c r="H64" s="1769"/>
      <c r="I64" s="1769"/>
      <c r="J64" s="1769"/>
      <c r="K64" s="1769"/>
      <c r="L64" s="1769"/>
      <c r="M64" s="1769"/>
      <c r="N64" s="1769"/>
      <c r="O64" s="1769"/>
      <c r="P64" s="1769"/>
      <c r="Q64" s="1769"/>
      <c r="R64" s="1769"/>
      <c r="S64" s="1769"/>
      <c r="T64" s="1769"/>
      <c r="U64" s="1769"/>
      <c r="V64" s="1769"/>
      <c r="W64" s="1769"/>
      <c r="X64" s="1769"/>
      <c r="Y64" s="1769"/>
      <c r="Z64" s="1769"/>
      <c r="AA64" s="1769"/>
    </row>
    <row r="65" spans="2:27">
      <c r="B65" s="1769"/>
      <c r="C65" s="1769"/>
      <c r="D65" s="1769"/>
      <c r="E65" s="1769"/>
      <c r="F65" s="1769"/>
      <c r="G65" s="1769"/>
      <c r="H65" s="1769"/>
      <c r="I65" s="1769"/>
      <c r="J65" s="1769"/>
      <c r="K65" s="1769"/>
      <c r="L65" s="1769"/>
      <c r="M65" s="1769"/>
      <c r="N65" s="1769"/>
      <c r="O65" s="1769"/>
      <c r="P65" s="1769"/>
      <c r="Q65" s="1769"/>
      <c r="R65" s="1769"/>
      <c r="S65" s="1769"/>
      <c r="T65" s="1769"/>
      <c r="U65" s="1769"/>
      <c r="V65" s="1769"/>
      <c r="W65" s="1769"/>
      <c r="X65" s="1769"/>
      <c r="Y65" s="1769"/>
      <c r="Z65" s="1769"/>
      <c r="AA65" s="1769"/>
    </row>
    <row r="66" spans="2:27">
      <c r="B66" s="1769"/>
      <c r="C66" s="1769"/>
      <c r="D66" s="1769"/>
      <c r="E66" s="1769"/>
      <c r="F66" s="1769"/>
      <c r="G66" s="1769"/>
      <c r="H66" s="1769"/>
      <c r="I66" s="1769"/>
      <c r="J66" s="1769"/>
      <c r="K66" s="1769"/>
      <c r="L66" s="1769"/>
      <c r="M66" s="1769"/>
      <c r="N66" s="1769"/>
      <c r="O66" s="1769"/>
      <c r="P66" s="1769"/>
      <c r="Q66" s="1769"/>
      <c r="R66" s="1769"/>
      <c r="S66" s="1769"/>
      <c r="T66" s="1769"/>
      <c r="U66" s="1769"/>
      <c r="V66" s="1769"/>
      <c r="W66" s="1769"/>
      <c r="X66" s="1769"/>
      <c r="Y66" s="1769"/>
      <c r="Z66" s="1769"/>
      <c r="AA66" s="1769"/>
    </row>
    <row r="67" spans="2:27">
      <c r="B67" s="1769"/>
      <c r="C67" s="1769"/>
      <c r="D67" s="1769"/>
      <c r="E67" s="1769"/>
      <c r="F67" s="1769"/>
      <c r="G67" s="1769"/>
      <c r="H67" s="1769"/>
      <c r="I67" s="1769"/>
      <c r="J67" s="1769"/>
      <c r="K67" s="1769"/>
      <c r="L67" s="1769"/>
      <c r="M67" s="1769"/>
      <c r="N67" s="1769"/>
      <c r="O67" s="1769"/>
      <c r="P67" s="1769"/>
      <c r="Q67" s="1769"/>
      <c r="R67" s="1769"/>
      <c r="S67" s="1769"/>
      <c r="T67" s="1769"/>
      <c r="U67" s="1769"/>
      <c r="V67" s="1769"/>
      <c r="W67" s="1769"/>
      <c r="X67" s="1769"/>
      <c r="Y67" s="1769"/>
      <c r="Z67" s="1769"/>
      <c r="AA67" s="1769"/>
    </row>
    <row r="68" spans="2:27">
      <c r="B68" s="1769"/>
      <c r="C68" s="1769"/>
      <c r="D68" s="1769"/>
      <c r="E68" s="1769"/>
      <c r="F68" s="1769"/>
      <c r="G68" s="1769"/>
      <c r="H68" s="1769"/>
      <c r="I68" s="1769"/>
      <c r="J68" s="1769"/>
      <c r="K68" s="1769"/>
      <c r="L68" s="1769"/>
      <c r="M68" s="1769"/>
      <c r="N68" s="1769"/>
      <c r="O68" s="1769"/>
      <c r="P68" s="1769"/>
      <c r="Q68" s="1769"/>
      <c r="R68" s="1769"/>
      <c r="S68" s="1769"/>
      <c r="T68" s="1769"/>
      <c r="U68" s="1769"/>
      <c r="V68" s="1769"/>
      <c r="W68" s="1769"/>
      <c r="X68" s="1769"/>
      <c r="Y68" s="1769"/>
      <c r="Z68" s="1769"/>
      <c r="AA68" s="1769"/>
    </row>
    <row r="69" spans="2:27">
      <c r="B69" s="1769"/>
      <c r="C69" s="1769"/>
      <c r="D69" s="1769"/>
      <c r="E69" s="1769"/>
      <c r="F69" s="1769"/>
      <c r="G69" s="1769"/>
      <c r="H69" s="1769"/>
      <c r="I69" s="1769"/>
      <c r="J69" s="1769"/>
      <c r="K69" s="1769"/>
      <c r="L69" s="1769"/>
      <c r="M69" s="1769"/>
      <c r="N69" s="1769"/>
      <c r="O69" s="1769"/>
      <c r="P69" s="1769"/>
      <c r="Q69" s="1769"/>
      <c r="R69" s="1769"/>
      <c r="S69" s="1769"/>
      <c r="T69" s="1769"/>
      <c r="U69" s="1769"/>
      <c r="V69" s="1769"/>
      <c r="W69" s="1769"/>
      <c r="X69" s="1769"/>
      <c r="Y69" s="1769"/>
      <c r="Z69" s="1769"/>
      <c r="AA69" s="1769"/>
    </row>
    <row r="70" spans="2:27">
      <c r="B70" s="1769"/>
      <c r="C70" s="1769"/>
      <c r="D70" s="1769"/>
      <c r="E70" s="1769"/>
      <c r="F70" s="1769"/>
      <c r="G70" s="1769"/>
      <c r="H70" s="1769"/>
      <c r="I70" s="1769"/>
      <c r="J70" s="1769"/>
      <c r="K70" s="1769"/>
      <c r="L70" s="1769"/>
      <c r="M70" s="1769"/>
      <c r="N70" s="1769"/>
      <c r="O70" s="1769"/>
      <c r="P70" s="1769"/>
      <c r="Q70" s="1769"/>
      <c r="R70" s="1769"/>
      <c r="S70" s="1769"/>
      <c r="T70" s="1769"/>
      <c r="U70" s="1769"/>
      <c r="V70" s="1769"/>
      <c r="W70" s="1769"/>
      <c r="X70" s="1769"/>
      <c r="Y70" s="1769"/>
      <c r="Z70" s="1769"/>
      <c r="AA70" s="1769"/>
    </row>
    <row r="71" spans="2:27">
      <c r="B71" s="1769"/>
      <c r="C71" s="1769"/>
      <c r="D71" s="1769"/>
      <c r="E71" s="1769"/>
      <c r="F71" s="1769"/>
      <c r="G71" s="1769"/>
      <c r="H71" s="1769"/>
      <c r="I71" s="1769"/>
      <c r="J71" s="1769"/>
      <c r="K71" s="1769"/>
      <c r="L71" s="1769"/>
      <c r="M71" s="1769"/>
      <c r="N71" s="1769"/>
      <c r="O71" s="1769"/>
      <c r="P71" s="1769"/>
      <c r="Q71" s="1769"/>
      <c r="R71" s="1769"/>
      <c r="S71" s="1769"/>
      <c r="T71" s="1769"/>
      <c r="U71" s="1769"/>
      <c r="V71" s="1769"/>
      <c r="W71" s="1769"/>
      <c r="X71" s="1769"/>
      <c r="Y71" s="1769"/>
      <c r="Z71" s="1769"/>
      <c r="AA71" s="1769"/>
    </row>
    <row r="72" spans="2:27">
      <c r="B72" s="1769"/>
      <c r="C72" s="1769"/>
      <c r="D72" s="1769"/>
      <c r="E72" s="1769"/>
      <c r="F72" s="1769"/>
      <c r="G72" s="1769"/>
      <c r="H72" s="1769"/>
      <c r="I72" s="1769"/>
      <c r="J72" s="1769"/>
      <c r="K72" s="1769"/>
      <c r="L72" s="1769"/>
      <c r="M72" s="1769"/>
      <c r="N72" s="1769"/>
      <c r="O72" s="1769"/>
      <c r="P72" s="1769"/>
      <c r="Q72" s="1769"/>
      <c r="R72" s="1769"/>
      <c r="S72" s="1769"/>
      <c r="T72" s="1769"/>
      <c r="U72" s="1769"/>
      <c r="V72" s="1769"/>
      <c r="W72" s="1769"/>
      <c r="X72" s="1769"/>
      <c r="Y72" s="1769"/>
      <c r="Z72" s="1769"/>
      <c r="AA72" s="1769"/>
    </row>
    <row r="73" spans="2:27">
      <c r="B73" s="1769"/>
      <c r="C73" s="1769"/>
      <c r="D73" s="1769"/>
      <c r="E73" s="1769"/>
      <c r="F73" s="1769"/>
      <c r="G73" s="1769"/>
      <c r="H73" s="1769"/>
      <c r="I73" s="1769"/>
      <c r="J73" s="1769"/>
      <c r="K73" s="1769"/>
      <c r="L73" s="1769"/>
      <c r="M73" s="1769"/>
      <c r="N73" s="1769"/>
      <c r="O73" s="1769"/>
      <c r="P73" s="1769"/>
      <c r="Q73" s="1769"/>
      <c r="R73" s="1769"/>
      <c r="S73" s="1769"/>
      <c r="T73" s="1769"/>
      <c r="U73" s="1769"/>
      <c r="V73" s="1769"/>
      <c r="W73" s="1769"/>
      <c r="X73" s="1769"/>
      <c r="Y73" s="1769"/>
      <c r="Z73" s="1769"/>
      <c r="AA73" s="1769"/>
    </row>
    <row r="74" spans="2:27">
      <c r="B74" s="1769"/>
      <c r="C74" s="1769"/>
      <c r="D74" s="1769"/>
      <c r="E74" s="1769"/>
      <c r="F74" s="1769"/>
      <c r="G74" s="1769"/>
      <c r="H74" s="1769"/>
      <c r="I74" s="1769"/>
      <c r="J74" s="1769"/>
      <c r="K74" s="1769"/>
      <c r="L74" s="1769"/>
      <c r="M74" s="1769"/>
      <c r="N74" s="1769"/>
      <c r="O74" s="1769"/>
      <c r="P74" s="1769"/>
      <c r="Q74" s="1769"/>
      <c r="R74" s="1769"/>
      <c r="S74" s="1769"/>
      <c r="T74" s="1769"/>
      <c r="U74" s="1769"/>
      <c r="V74" s="1769"/>
      <c r="W74" s="1769"/>
      <c r="X74" s="1769"/>
      <c r="Y74" s="1769"/>
      <c r="Z74" s="1769"/>
      <c r="AA74" s="1769"/>
    </row>
    <row r="75" spans="2:27">
      <c r="B75" s="1769"/>
      <c r="C75" s="1769"/>
      <c r="D75" s="1769"/>
      <c r="E75" s="1769"/>
      <c r="F75" s="1769"/>
      <c r="G75" s="1769"/>
      <c r="H75" s="1769"/>
      <c r="I75" s="1769"/>
      <c r="J75" s="1769"/>
      <c r="K75" s="1769"/>
      <c r="L75" s="1769"/>
      <c r="M75" s="1769"/>
      <c r="N75" s="1769"/>
      <c r="O75" s="1769"/>
      <c r="P75" s="1769"/>
      <c r="Q75" s="1769"/>
      <c r="R75" s="1769"/>
      <c r="S75" s="1769"/>
      <c r="T75" s="1769"/>
      <c r="U75" s="1769"/>
      <c r="V75" s="1769"/>
      <c r="W75" s="1769"/>
      <c r="X75" s="1769"/>
      <c r="Y75" s="1769"/>
      <c r="Z75" s="1769"/>
      <c r="AA75" s="1769"/>
    </row>
    <row r="76" spans="2:27">
      <c r="B76" s="1769"/>
      <c r="C76" s="1769"/>
      <c r="D76" s="1769"/>
      <c r="E76" s="1769"/>
      <c r="F76" s="1769"/>
      <c r="G76" s="1769"/>
      <c r="H76" s="1769"/>
      <c r="I76" s="1769"/>
      <c r="J76" s="1769"/>
      <c r="K76" s="1769"/>
      <c r="L76" s="1769"/>
      <c r="M76" s="1769"/>
      <c r="N76" s="1769"/>
      <c r="O76" s="1769"/>
      <c r="P76" s="1769"/>
      <c r="Q76" s="1769"/>
      <c r="R76" s="1769"/>
      <c r="S76" s="1769"/>
      <c r="T76" s="1769"/>
      <c r="U76" s="1769"/>
      <c r="V76" s="1769"/>
      <c r="W76" s="1769"/>
      <c r="X76" s="1769"/>
      <c r="Y76" s="1769"/>
      <c r="Z76" s="1769"/>
      <c r="AA76" s="1769"/>
    </row>
    <row r="77" spans="2:27">
      <c r="B77" s="1769"/>
      <c r="C77" s="1769"/>
      <c r="D77" s="1769"/>
      <c r="E77" s="1769"/>
      <c r="F77" s="1769"/>
      <c r="G77" s="1769"/>
      <c r="H77" s="1769"/>
      <c r="I77" s="1769"/>
      <c r="J77" s="1769"/>
      <c r="K77" s="1769"/>
      <c r="L77" s="1769"/>
      <c r="M77" s="1769"/>
      <c r="N77" s="1769"/>
      <c r="O77" s="1769"/>
      <c r="P77" s="1769"/>
      <c r="Q77" s="1769"/>
      <c r="R77" s="1769"/>
      <c r="S77" s="1769"/>
      <c r="T77" s="1769"/>
      <c r="U77" s="1769"/>
      <c r="V77" s="1769"/>
      <c r="W77" s="1769"/>
      <c r="X77" s="1769"/>
      <c r="Y77" s="1769"/>
      <c r="Z77" s="1769"/>
      <c r="AA77" s="1769"/>
    </row>
    <row r="78" spans="2:27">
      <c r="B78" s="1769"/>
      <c r="C78" s="1769"/>
      <c r="D78" s="1769"/>
      <c r="E78" s="1769"/>
      <c r="F78" s="1769"/>
      <c r="G78" s="1769"/>
      <c r="H78" s="1769"/>
      <c r="I78" s="1769"/>
      <c r="J78" s="1769"/>
      <c r="K78" s="1769"/>
      <c r="L78" s="1769"/>
      <c r="M78" s="1769"/>
      <c r="N78" s="1769"/>
      <c r="O78" s="1769"/>
      <c r="P78" s="1769"/>
      <c r="Q78" s="1769"/>
      <c r="R78" s="1769"/>
      <c r="S78" s="1769"/>
      <c r="T78" s="1769"/>
      <c r="U78" s="1769"/>
      <c r="V78" s="1769"/>
      <c r="W78" s="1769"/>
      <c r="X78" s="1769"/>
      <c r="Y78" s="1769"/>
      <c r="Z78" s="1769"/>
      <c r="AA78" s="1769"/>
    </row>
    <row r="79" spans="2:27">
      <c r="B79" s="1769"/>
      <c r="C79" s="1769"/>
      <c r="D79" s="1769"/>
      <c r="E79" s="1769"/>
      <c r="F79" s="1769"/>
      <c r="G79" s="1769"/>
      <c r="H79" s="1769"/>
      <c r="I79" s="1769"/>
      <c r="J79" s="1769"/>
      <c r="K79" s="1769"/>
      <c r="L79" s="1769"/>
      <c r="M79" s="1769"/>
      <c r="N79" s="1769"/>
      <c r="O79" s="1769"/>
      <c r="P79" s="1769"/>
      <c r="Q79" s="1769"/>
      <c r="R79" s="1769"/>
      <c r="S79" s="1769"/>
      <c r="T79" s="1769"/>
      <c r="U79" s="1769"/>
      <c r="V79" s="1769"/>
      <c r="W79" s="1769"/>
      <c r="X79" s="1769"/>
      <c r="Y79" s="1769"/>
      <c r="Z79" s="1769"/>
      <c r="AA79" s="1769"/>
    </row>
    <row r="80" spans="2:27">
      <c r="B80" s="1769"/>
      <c r="C80" s="1769"/>
      <c r="D80" s="1769"/>
      <c r="E80" s="1769"/>
      <c r="F80" s="1769"/>
      <c r="G80" s="1769"/>
      <c r="H80" s="1769"/>
      <c r="I80" s="1769"/>
      <c r="J80" s="1769"/>
      <c r="K80" s="1769"/>
      <c r="L80" s="1769"/>
      <c r="M80" s="1769"/>
      <c r="N80" s="1769"/>
      <c r="O80" s="1769"/>
      <c r="P80" s="1769"/>
      <c r="Q80" s="1769"/>
      <c r="R80" s="1769"/>
      <c r="S80" s="1769"/>
      <c r="T80" s="1769"/>
      <c r="U80" s="1769"/>
      <c r="V80" s="1769"/>
      <c r="W80" s="1769"/>
      <c r="X80" s="1769"/>
      <c r="Y80" s="1769"/>
      <c r="Z80" s="1769"/>
      <c r="AA80" s="1769"/>
    </row>
    <row r="81" spans="2:27">
      <c r="B81" s="1769"/>
      <c r="C81" s="1769"/>
      <c r="D81" s="1769"/>
      <c r="E81" s="1769"/>
      <c r="F81" s="1769"/>
      <c r="G81" s="1769"/>
      <c r="H81" s="1769"/>
      <c r="I81" s="1769"/>
      <c r="J81" s="1769"/>
      <c r="K81" s="1769"/>
      <c r="L81" s="1769"/>
      <c r="M81" s="1769"/>
      <c r="N81" s="1769"/>
      <c r="O81" s="1769"/>
      <c r="P81" s="1769"/>
      <c r="Q81" s="1769"/>
      <c r="R81" s="1769"/>
      <c r="S81" s="1769"/>
      <c r="T81" s="1769"/>
      <c r="U81" s="1769"/>
      <c r="V81" s="1769"/>
      <c r="W81" s="1769"/>
      <c r="X81" s="1769"/>
      <c r="Y81" s="1769"/>
      <c r="Z81" s="1769"/>
      <c r="AA81" s="1769"/>
    </row>
    <row r="82" spans="2:27">
      <c r="B82" s="1769"/>
      <c r="C82" s="1769"/>
      <c r="D82" s="1769"/>
      <c r="E82" s="1769"/>
      <c r="F82" s="1769"/>
      <c r="G82" s="1769"/>
      <c r="H82" s="1769"/>
      <c r="I82" s="1769"/>
      <c r="J82" s="1769"/>
      <c r="K82" s="1769"/>
      <c r="L82" s="1769"/>
      <c r="M82" s="1769"/>
      <c r="N82" s="1769"/>
      <c r="O82" s="1769"/>
      <c r="P82" s="1769"/>
      <c r="Q82" s="1769"/>
      <c r="R82" s="1769"/>
      <c r="S82" s="1769"/>
      <c r="T82" s="1769"/>
      <c r="U82" s="1769"/>
      <c r="V82" s="1769"/>
      <c r="W82" s="1769"/>
      <c r="X82" s="1769"/>
      <c r="Y82" s="1769"/>
      <c r="Z82" s="1769"/>
      <c r="AA82" s="1769"/>
    </row>
    <row r="83" spans="2:27">
      <c r="B83" s="1769"/>
      <c r="C83" s="1769"/>
      <c r="D83" s="1769"/>
      <c r="E83" s="1769"/>
      <c r="F83" s="1769"/>
      <c r="G83" s="1769"/>
      <c r="H83" s="1769"/>
      <c r="I83" s="1769"/>
      <c r="J83" s="1769"/>
      <c r="K83" s="1769"/>
      <c r="L83" s="1769"/>
      <c r="M83" s="1769"/>
      <c r="N83" s="1769"/>
      <c r="O83" s="1769"/>
      <c r="P83" s="1769"/>
      <c r="Q83" s="1769"/>
      <c r="R83" s="1769"/>
      <c r="S83" s="1769"/>
      <c r="T83" s="1769"/>
      <c r="U83" s="1769"/>
      <c r="V83" s="1769"/>
      <c r="W83" s="1769"/>
      <c r="X83" s="1769"/>
      <c r="Y83" s="1769"/>
      <c r="Z83" s="1769"/>
      <c r="AA83" s="1769"/>
    </row>
    <row r="84" spans="2:27">
      <c r="B84" s="1769"/>
      <c r="C84" s="1769"/>
      <c r="D84" s="1769"/>
      <c r="E84" s="1769"/>
      <c r="F84" s="1769"/>
      <c r="G84" s="1769"/>
      <c r="H84" s="1769"/>
      <c r="I84" s="1769"/>
      <c r="J84" s="1769"/>
      <c r="K84" s="1769"/>
      <c r="L84" s="1769"/>
      <c r="M84" s="1769"/>
      <c r="N84" s="1769"/>
      <c r="O84" s="1769"/>
      <c r="P84" s="1769"/>
      <c r="Q84" s="1769"/>
      <c r="R84" s="1769"/>
      <c r="S84" s="1769"/>
      <c r="T84" s="1769"/>
      <c r="U84" s="1769"/>
      <c r="V84" s="1769"/>
      <c r="W84" s="1769"/>
      <c r="X84" s="1769"/>
      <c r="Y84" s="1769"/>
      <c r="Z84" s="1769"/>
      <c r="AA84" s="1769"/>
    </row>
    <row r="85" spans="2:27">
      <c r="B85" s="1769"/>
      <c r="C85" s="1769"/>
      <c r="D85" s="1769"/>
      <c r="E85" s="1769"/>
      <c r="F85" s="1769"/>
      <c r="G85" s="1769"/>
      <c r="H85" s="1769"/>
      <c r="I85" s="1769"/>
      <c r="J85" s="1769"/>
      <c r="K85" s="1769"/>
      <c r="L85" s="1769"/>
      <c r="M85" s="1769"/>
      <c r="N85" s="1769"/>
      <c r="O85" s="1769"/>
      <c r="P85" s="1769"/>
      <c r="Q85" s="1769"/>
      <c r="R85" s="1769"/>
      <c r="S85" s="1769"/>
      <c r="T85" s="1769"/>
      <c r="U85" s="1769"/>
      <c r="V85" s="1769"/>
      <c r="W85" s="1769"/>
      <c r="X85" s="1769"/>
      <c r="Y85" s="1769"/>
      <c r="Z85" s="1769"/>
      <c r="AA85" s="1769"/>
    </row>
    <row r="86" spans="2:27">
      <c r="B86" s="1769"/>
      <c r="C86" s="1769"/>
      <c r="D86" s="1769"/>
      <c r="E86" s="1769"/>
      <c r="F86" s="1769"/>
      <c r="G86" s="1769"/>
      <c r="H86" s="1769"/>
      <c r="I86" s="1769"/>
      <c r="J86" s="1769"/>
      <c r="K86" s="1769"/>
      <c r="L86" s="1769"/>
      <c r="M86" s="1769"/>
      <c r="N86" s="1769"/>
      <c r="O86" s="1769"/>
      <c r="P86" s="1769"/>
      <c r="Q86" s="1769"/>
      <c r="R86" s="1769"/>
      <c r="S86" s="1769"/>
      <c r="T86" s="1769"/>
      <c r="U86" s="1769"/>
      <c r="V86" s="1769"/>
      <c r="W86" s="1769"/>
      <c r="X86" s="1769"/>
      <c r="Y86" s="1769"/>
      <c r="Z86" s="1769"/>
      <c r="AA86" s="1769"/>
    </row>
    <row r="87" spans="2:27">
      <c r="B87" s="1769"/>
      <c r="C87" s="1769"/>
      <c r="D87" s="1769"/>
      <c r="E87" s="1769"/>
      <c r="F87" s="1769"/>
      <c r="G87" s="1769"/>
      <c r="H87" s="1769"/>
      <c r="I87" s="1769"/>
      <c r="J87" s="1769"/>
      <c r="K87" s="1769"/>
      <c r="L87" s="1769"/>
      <c r="M87" s="1769"/>
      <c r="N87" s="1769"/>
      <c r="O87" s="1769"/>
      <c r="P87" s="1769"/>
      <c r="Q87" s="1769"/>
      <c r="R87" s="1769"/>
      <c r="S87" s="1769"/>
      <c r="T87" s="1769"/>
      <c r="U87" s="1769"/>
      <c r="V87" s="1769"/>
      <c r="W87" s="1769"/>
      <c r="X87" s="1769"/>
      <c r="Y87" s="1769"/>
      <c r="Z87" s="1769"/>
      <c r="AA87" s="1769"/>
    </row>
    <row r="88" spans="2:27">
      <c r="B88" s="1769"/>
      <c r="C88" s="1769"/>
      <c r="D88" s="1769"/>
      <c r="E88" s="1769"/>
      <c r="F88" s="1769"/>
      <c r="G88" s="1769"/>
      <c r="H88" s="1769"/>
      <c r="I88" s="1769"/>
      <c r="J88" s="1769"/>
      <c r="K88" s="1769"/>
      <c r="L88" s="1769"/>
      <c r="M88" s="1769"/>
      <c r="N88" s="1769"/>
      <c r="O88" s="1769"/>
      <c r="P88" s="1769"/>
      <c r="Q88" s="1769"/>
      <c r="R88" s="1769"/>
      <c r="S88" s="1769"/>
      <c r="T88" s="1769"/>
      <c r="U88" s="1769"/>
      <c r="V88" s="1769"/>
      <c r="W88" s="1769"/>
      <c r="X88" s="1769"/>
      <c r="Y88" s="1769"/>
      <c r="Z88" s="1769"/>
      <c r="AA88" s="1769"/>
    </row>
    <row r="89" spans="2:27">
      <c r="B89" s="1769"/>
      <c r="C89" s="1769"/>
      <c r="D89" s="1769"/>
      <c r="E89" s="1769"/>
      <c r="F89" s="1769"/>
      <c r="G89" s="1769"/>
      <c r="H89" s="1769"/>
      <c r="I89" s="1769"/>
      <c r="J89" s="1769"/>
      <c r="K89" s="1769"/>
      <c r="L89" s="1769"/>
      <c r="M89" s="1769"/>
      <c r="N89" s="1769"/>
      <c r="O89" s="1769"/>
      <c r="P89" s="1769"/>
      <c r="Q89" s="1769"/>
      <c r="R89" s="1769"/>
      <c r="S89" s="1769"/>
      <c r="T89" s="1769"/>
      <c r="U89" s="1769"/>
      <c r="V89" s="1769"/>
      <c r="W89" s="1769"/>
      <c r="X89" s="1769"/>
      <c r="Y89" s="1769"/>
      <c r="Z89" s="1769"/>
      <c r="AA89" s="1769"/>
    </row>
    <row r="90" spans="2:27">
      <c r="B90" s="1769"/>
      <c r="C90" s="1769"/>
      <c r="D90" s="1769"/>
      <c r="E90" s="1769"/>
      <c r="F90" s="1769"/>
      <c r="G90" s="1769"/>
      <c r="H90" s="1769"/>
      <c r="I90" s="1769"/>
      <c r="J90" s="1769"/>
      <c r="K90" s="1769"/>
      <c r="L90" s="1769"/>
      <c r="M90" s="1769"/>
      <c r="N90" s="1769"/>
      <c r="O90" s="1769"/>
      <c r="P90" s="1769"/>
      <c r="Q90" s="1769"/>
      <c r="R90" s="1769"/>
      <c r="S90" s="1769"/>
      <c r="T90" s="1769"/>
      <c r="U90" s="1769"/>
      <c r="V90" s="1769"/>
      <c r="W90" s="1769"/>
      <c r="X90" s="1769"/>
      <c r="Y90" s="1769"/>
      <c r="Z90" s="1769"/>
      <c r="AA90" s="1769"/>
    </row>
    <row r="91" spans="2:27">
      <c r="B91" s="1769"/>
      <c r="C91" s="1769"/>
      <c r="D91" s="1769"/>
      <c r="E91" s="1769"/>
      <c r="F91" s="1769"/>
      <c r="G91" s="1769"/>
      <c r="H91" s="1769"/>
      <c r="I91" s="1769"/>
      <c r="J91" s="1769"/>
      <c r="K91" s="1769"/>
      <c r="L91" s="1769"/>
      <c r="M91" s="1769"/>
      <c r="N91" s="1769"/>
      <c r="O91" s="1769"/>
      <c r="P91" s="1769"/>
      <c r="Q91" s="1769"/>
      <c r="R91" s="1769"/>
      <c r="S91" s="1769"/>
      <c r="T91" s="1769"/>
      <c r="U91" s="1769"/>
      <c r="V91" s="1769"/>
      <c r="W91" s="1769"/>
      <c r="X91" s="1769"/>
      <c r="Y91" s="1769"/>
      <c r="Z91" s="1769"/>
      <c r="AA91" s="1769"/>
    </row>
    <row r="92" spans="2:27">
      <c r="B92" s="1769"/>
      <c r="C92" s="1769"/>
      <c r="D92" s="1769"/>
      <c r="E92" s="1769"/>
      <c r="F92" s="1769"/>
      <c r="G92" s="1769"/>
      <c r="H92" s="1769"/>
      <c r="I92" s="1769"/>
      <c r="J92" s="1769"/>
      <c r="K92" s="1769"/>
      <c r="L92" s="1769"/>
      <c r="M92" s="1769"/>
      <c r="N92" s="1769"/>
      <c r="O92" s="1769"/>
      <c r="P92" s="1769"/>
      <c r="Q92" s="1769"/>
      <c r="R92" s="1769"/>
      <c r="S92" s="1769"/>
      <c r="T92" s="1769"/>
      <c r="U92" s="1769"/>
      <c r="V92" s="1769"/>
      <c r="W92" s="1769"/>
      <c r="X92" s="1769"/>
      <c r="Y92" s="1769"/>
      <c r="Z92" s="1769"/>
      <c r="AA92" s="1769"/>
    </row>
    <row r="93" spans="2:27">
      <c r="B93" s="1769"/>
      <c r="C93" s="1769"/>
      <c r="D93" s="1769"/>
      <c r="E93" s="1769"/>
      <c r="F93" s="1769"/>
      <c r="G93" s="1769"/>
      <c r="H93" s="1769"/>
      <c r="I93" s="1769"/>
      <c r="J93" s="1769"/>
      <c r="K93" s="1769"/>
      <c r="L93" s="1769"/>
      <c r="M93" s="1769"/>
      <c r="N93" s="1769"/>
      <c r="O93" s="1769"/>
      <c r="P93" s="1769"/>
      <c r="Q93" s="1769"/>
      <c r="R93" s="1769"/>
      <c r="S93" s="1769"/>
      <c r="T93" s="1769"/>
      <c r="U93" s="1769"/>
      <c r="V93" s="1769"/>
      <c r="W93" s="1769"/>
      <c r="X93" s="1769"/>
      <c r="Y93" s="1769"/>
      <c r="Z93" s="1769"/>
      <c r="AA93" s="1769"/>
    </row>
    <row r="94" spans="2:27">
      <c r="B94" s="1769"/>
      <c r="C94" s="1769"/>
      <c r="D94" s="1769"/>
      <c r="E94" s="1769"/>
      <c r="F94" s="1769"/>
      <c r="G94" s="1769"/>
      <c r="H94" s="1769"/>
      <c r="I94" s="1769"/>
      <c r="J94" s="1769"/>
      <c r="K94" s="1769"/>
      <c r="L94" s="1769"/>
      <c r="M94" s="1769"/>
      <c r="N94" s="1769"/>
      <c r="O94" s="1769"/>
      <c r="P94" s="1769"/>
      <c r="Q94" s="1769"/>
      <c r="R94" s="1769"/>
      <c r="S94" s="1769"/>
      <c r="T94" s="1769"/>
      <c r="U94" s="1769"/>
      <c r="V94" s="1769"/>
      <c r="W94" s="1769"/>
      <c r="X94" s="1769"/>
      <c r="Y94" s="1769"/>
      <c r="Z94" s="1769"/>
      <c r="AA94" s="1769"/>
    </row>
    <row r="95" spans="2:27">
      <c r="B95" s="1769"/>
      <c r="C95" s="1769"/>
      <c r="D95" s="1769"/>
      <c r="E95" s="1769"/>
      <c r="F95" s="1769"/>
      <c r="G95" s="1769"/>
      <c r="H95" s="1769"/>
      <c r="I95" s="1769"/>
      <c r="J95" s="1769"/>
      <c r="K95" s="1769"/>
      <c r="L95" s="1769"/>
      <c r="M95" s="1769"/>
      <c r="N95" s="1769"/>
      <c r="O95" s="1769"/>
      <c r="P95" s="1769"/>
      <c r="Q95" s="1769"/>
      <c r="R95" s="1769"/>
      <c r="S95" s="1769"/>
      <c r="T95" s="1769"/>
      <c r="U95" s="1769"/>
      <c r="V95" s="1769"/>
      <c r="W95" s="1769"/>
      <c r="X95" s="1769"/>
      <c r="Y95" s="1769"/>
      <c r="Z95" s="1769"/>
      <c r="AA95" s="1769"/>
    </row>
    <row r="96" spans="2:27">
      <c r="B96" s="1769"/>
      <c r="C96" s="1769"/>
      <c r="D96" s="1769"/>
      <c r="E96" s="1769"/>
      <c r="F96" s="1769"/>
      <c r="G96" s="1769"/>
      <c r="H96" s="1769"/>
      <c r="I96" s="1769"/>
      <c r="J96" s="1769"/>
      <c r="K96" s="1769"/>
      <c r="L96" s="1769"/>
      <c r="M96" s="1769"/>
      <c r="N96" s="1769"/>
      <c r="O96" s="1769"/>
      <c r="P96" s="1769"/>
      <c r="Q96" s="1769"/>
      <c r="R96" s="1769"/>
      <c r="S96" s="1769"/>
      <c r="T96" s="1769"/>
      <c r="U96" s="1769"/>
      <c r="V96" s="1769"/>
      <c r="W96" s="1769"/>
      <c r="X96" s="1769"/>
      <c r="Y96" s="1769"/>
      <c r="Z96" s="1769"/>
      <c r="AA96" s="1769"/>
    </row>
    <row r="97" spans="2:27">
      <c r="B97" s="1769"/>
      <c r="C97" s="1769"/>
      <c r="D97" s="1769"/>
      <c r="E97" s="1769"/>
      <c r="F97" s="1769"/>
      <c r="G97" s="1769"/>
      <c r="H97" s="1769"/>
      <c r="I97" s="1769"/>
      <c r="J97" s="1769"/>
      <c r="K97" s="1769"/>
      <c r="L97" s="1769"/>
      <c r="M97" s="1769"/>
      <c r="N97" s="1769"/>
      <c r="O97" s="1769"/>
      <c r="P97" s="1769"/>
      <c r="Q97" s="1769"/>
      <c r="R97" s="1769"/>
      <c r="S97" s="1769"/>
      <c r="T97" s="1769"/>
      <c r="U97" s="1769"/>
      <c r="V97" s="1769"/>
      <c r="W97" s="1769"/>
      <c r="X97" s="1769"/>
      <c r="Y97" s="1769"/>
      <c r="Z97" s="1769"/>
      <c r="AA97" s="1769"/>
    </row>
    <row r="98" spans="2:27">
      <c r="B98" s="1769"/>
      <c r="C98" s="1769"/>
      <c r="D98" s="1769"/>
      <c r="E98" s="1769"/>
      <c r="F98" s="1769"/>
      <c r="G98" s="1769"/>
      <c r="H98" s="1769"/>
      <c r="I98" s="1769"/>
      <c r="J98" s="1769"/>
      <c r="K98" s="1769"/>
      <c r="L98" s="1769"/>
      <c r="M98" s="1769"/>
      <c r="N98" s="1769"/>
      <c r="O98" s="1769"/>
      <c r="P98" s="1769"/>
      <c r="Q98" s="1769"/>
      <c r="R98" s="1769"/>
      <c r="S98" s="1769"/>
      <c r="T98" s="1769"/>
      <c r="U98" s="1769"/>
      <c r="V98" s="1769"/>
      <c r="W98" s="1769"/>
      <c r="X98" s="1769"/>
      <c r="Y98" s="1769"/>
      <c r="Z98" s="1769"/>
      <c r="AA98" s="1769"/>
    </row>
    <row r="99" spans="2:27">
      <c r="B99" s="1769"/>
      <c r="C99" s="1769"/>
      <c r="D99" s="1769"/>
      <c r="E99" s="1769"/>
      <c r="F99" s="1769"/>
      <c r="G99" s="1769"/>
      <c r="H99" s="1769"/>
      <c r="I99" s="1769"/>
      <c r="J99" s="1769"/>
      <c r="K99" s="1769"/>
      <c r="L99" s="1769"/>
      <c r="M99" s="1769"/>
      <c r="N99" s="1769"/>
      <c r="O99" s="1769"/>
      <c r="P99" s="1769"/>
      <c r="Q99" s="1769"/>
      <c r="R99" s="1769"/>
      <c r="S99" s="1769"/>
      <c r="T99" s="1769"/>
      <c r="U99" s="1769"/>
      <c r="V99" s="1769"/>
      <c r="W99" s="1769"/>
      <c r="X99" s="1769"/>
      <c r="Y99" s="1769"/>
      <c r="Z99" s="1769"/>
      <c r="AA99" s="1769"/>
    </row>
    <row r="100" spans="2:27">
      <c r="B100" s="1769"/>
      <c r="C100" s="1769"/>
      <c r="D100" s="1769"/>
      <c r="E100" s="1769"/>
      <c r="F100" s="1769"/>
      <c r="G100" s="1769"/>
      <c r="H100" s="1769"/>
      <c r="I100" s="1769"/>
      <c r="J100" s="1769"/>
      <c r="K100" s="1769"/>
      <c r="L100" s="1769"/>
      <c r="M100" s="1769"/>
      <c r="N100" s="1769"/>
      <c r="O100" s="1769"/>
      <c r="P100" s="1769"/>
      <c r="Q100" s="1769"/>
      <c r="R100" s="1769"/>
      <c r="S100" s="1769"/>
      <c r="T100" s="1769"/>
      <c r="U100" s="1769"/>
      <c r="V100" s="1769"/>
      <c r="W100" s="1769"/>
      <c r="X100" s="1769"/>
      <c r="Y100" s="1769"/>
      <c r="Z100" s="1769"/>
      <c r="AA100" s="1769"/>
    </row>
    <row r="101" spans="2:27">
      <c r="B101" s="1769"/>
      <c r="C101" s="1769"/>
      <c r="D101" s="1769"/>
      <c r="E101" s="1769"/>
      <c r="F101" s="1769"/>
      <c r="G101" s="1769"/>
      <c r="H101" s="1769"/>
      <c r="I101" s="1769"/>
      <c r="J101" s="1769"/>
      <c r="K101" s="1769"/>
      <c r="L101" s="1769"/>
      <c r="M101" s="1769"/>
      <c r="N101" s="1769"/>
      <c r="O101" s="1769"/>
      <c r="P101" s="1769"/>
      <c r="Q101" s="1769"/>
      <c r="R101" s="1769"/>
      <c r="S101" s="1769"/>
      <c r="T101" s="1769"/>
      <c r="U101" s="1769"/>
      <c r="V101" s="1769"/>
      <c r="W101" s="1769"/>
      <c r="X101" s="1769"/>
      <c r="Y101" s="1769"/>
      <c r="Z101" s="1769"/>
      <c r="AA101" s="1769"/>
    </row>
    <row r="102" spans="2:27">
      <c r="B102" s="1769"/>
      <c r="C102" s="1769"/>
      <c r="D102" s="1769"/>
      <c r="E102" s="1769"/>
      <c r="F102" s="1769"/>
      <c r="G102" s="1769"/>
      <c r="H102" s="1769"/>
      <c r="I102" s="1769"/>
      <c r="J102" s="1769"/>
      <c r="K102" s="1769"/>
      <c r="L102" s="1769"/>
      <c r="M102" s="1769"/>
      <c r="N102" s="1769"/>
      <c r="O102" s="1769"/>
      <c r="P102" s="1769"/>
      <c r="Q102" s="1769"/>
      <c r="R102" s="1769"/>
      <c r="S102" s="1769"/>
      <c r="T102" s="1769"/>
      <c r="U102" s="1769"/>
      <c r="V102" s="1769"/>
      <c r="W102" s="1769"/>
      <c r="X102" s="1769"/>
      <c r="Y102" s="1769"/>
      <c r="Z102" s="1769"/>
      <c r="AA102" s="1769"/>
    </row>
    <row r="103" spans="2:27">
      <c r="B103" s="1769"/>
      <c r="C103" s="1769"/>
      <c r="D103" s="1769"/>
      <c r="E103" s="1769"/>
      <c r="F103" s="1769"/>
      <c r="G103" s="1769"/>
      <c r="H103" s="1769"/>
      <c r="I103" s="1769"/>
      <c r="J103" s="1769"/>
      <c r="K103" s="1769"/>
      <c r="L103" s="1769"/>
      <c r="M103" s="1769"/>
      <c r="N103" s="1769"/>
      <c r="O103" s="1769"/>
      <c r="P103" s="1769"/>
      <c r="Q103" s="1769"/>
      <c r="R103" s="1769"/>
      <c r="S103" s="1769"/>
      <c r="T103" s="1769"/>
      <c r="U103" s="1769"/>
      <c r="V103" s="1769"/>
      <c r="W103" s="1769"/>
      <c r="X103" s="1769"/>
      <c r="Y103" s="1769"/>
      <c r="Z103" s="1769"/>
      <c r="AA103" s="1769"/>
    </row>
    <row r="104" spans="2:27">
      <c r="B104" s="1769"/>
      <c r="C104" s="1769"/>
      <c r="D104" s="1769"/>
      <c r="E104" s="1769"/>
      <c r="F104" s="1769"/>
      <c r="G104" s="1769"/>
      <c r="H104" s="1769"/>
      <c r="I104" s="1769"/>
      <c r="J104" s="1769"/>
      <c r="K104" s="1769"/>
      <c r="L104" s="1769"/>
      <c r="M104" s="1769"/>
      <c r="N104" s="1769"/>
      <c r="O104" s="1769"/>
      <c r="P104" s="1769"/>
      <c r="Q104" s="1769"/>
      <c r="R104" s="1769"/>
      <c r="S104" s="1769"/>
      <c r="T104" s="1769"/>
      <c r="U104" s="1769"/>
      <c r="V104" s="1769"/>
      <c r="W104" s="1769"/>
      <c r="X104" s="1769"/>
      <c r="Y104" s="1769"/>
      <c r="Z104" s="1769"/>
      <c r="AA104" s="1769"/>
    </row>
    <row r="105" spans="2:27">
      <c r="B105" s="1769"/>
      <c r="C105" s="1769"/>
      <c r="D105" s="1769"/>
      <c r="E105" s="1769"/>
      <c r="F105" s="1769"/>
      <c r="G105" s="1769"/>
      <c r="H105" s="1769"/>
      <c r="I105" s="1769"/>
      <c r="J105" s="1769"/>
      <c r="K105" s="1769"/>
      <c r="L105" s="1769"/>
      <c r="M105" s="1769"/>
      <c r="N105" s="1769"/>
      <c r="O105" s="1769"/>
      <c r="P105" s="1769"/>
      <c r="Q105" s="1769"/>
      <c r="R105" s="1769"/>
      <c r="S105" s="1769"/>
      <c r="T105" s="1769"/>
      <c r="U105" s="1769"/>
      <c r="V105" s="1769"/>
      <c r="W105" s="1769"/>
      <c r="X105" s="1769"/>
      <c r="Y105" s="1769"/>
      <c r="Z105" s="1769"/>
      <c r="AA105" s="1769"/>
    </row>
    <row r="106" spans="2:27">
      <c r="B106" s="1769"/>
      <c r="C106" s="1769"/>
      <c r="D106" s="1769"/>
      <c r="E106" s="1769"/>
      <c r="F106" s="1769"/>
      <c r="G106" s="1769"/>
      <c r="H106" s="1769"/>
      <c r="I106" s="1769"/>
      <c r="J106" s="1769"/>
      <c r="K106" s="1769"/>
      <c r="L106" s="1769"/>
      <c r="M106" s="1769"/>
      <c r="N106" s="1769"/>
      <c r="O106" s="1769"/>
      <c r="P106" s="1769"/>
      <c r="Q106" s="1769"/>
      <c r="R106" s="1769"/>
      <c r="S106" s="1769"/>
      <c r="T106" s="1769"/>
      <c r="U106" s="1769"/>
      <c r="V106" s="1769"/>
      <c r="W106" s="1769"/>
      <c r="X106" s="1769"/>
      <c r="Y106" s="1769"/>
      <c r="Z106" s="1769"/>
      <c r="AA106" s="1769"/>
    </row>
    <row r="107" spans="2:27">
      <c r="B107" s="1769"/>
      <c r="C107" s="1769"/>
      <c r="D107" s="1769"/>
      <c r="E107" s="1769"/>
      <c r="F107" s="1769"/>
      <c r="G107" s="1769"/>
      <c r="H107" s="1769"/>
      <c r="I107" s="1769"/>
      <c r="J107" s="1769"/>
      <c r="K107" s="1769"/>
      <c r="L107" s="1769"/>
      <c r="M107" s="1769"/>
      <c r="N107" s="1769"/>
      <c r="O107" s="1769"/>
      <c r="P107" s="1769"/>
      <c r="Q107" s="1769"/>
      <c r="R107" s="1769"/>
      <c r="S107" s="1769"/>
      <c r="T107" s="1769"/>
      <c r="U107" s="1769"/>
      <c r="V107" s="1769"/>
      <c r="W107" s="1769"/>
      <c r="X107" s="1769"/>
      <c r="Y107" s="1769"/>
      <c r="Z107" s="1769"/>
      <c r="AA107" s="1769"/>
    </row>
    <row r="108" spans="2:27">
      <c r="B108" s="1769"/>
      <c r="C108" s="1769"/>
      <c r="D108" s="1769"/>
      <c r="E108" s="1769"/>
      <c r="F108" s="1769"/>
      <c r="G108" s="1769"/>
      <c r="H108" s="1769"/>
      <c r="I108" s="1769"/>
      <c r="J108" s="1769"/>
      <c r="K108" s="1769"/>
      <c r="L108" s="1769"/>
      <c r="M108" s="1769"/>
      <c r="N108" s="1769"/>
      <c r="O108" s="1769"/>
      <c r="P108" s="1769"/>
      <c r="Q108" s="1769"/>
      <c r="R108" s="1769"/>
      <c r="S108" s="1769"/>
      <c r="T108" s="1769"/>
      <c r="U108" s="1769"/>
      <c r="V108" s="1769"/>
      <c r="W108" s="1769"/>
      <c r="X108" s="1769"/>
      <c r="Y108" s="1769"/>
      <c r="Z108" s="1769"/>
      <c r="AA108" s="1769"/>
    </row>
    <row r="109" spans="2:27">
      <c r="B109" s="1769"/>
      <c r="C109" s="1769"/>
      <c r="D109" s="1769"/>
      <c r="E109" s="1769"/>
      <c r="F109" s="1769"/>
      <c r="G109" s="1769"/>
      <c r="H109" s="1769"/>
      <c r="I109" s="1769"/>
      <c r="J109" s="1769"/>
      <c r="K109" s="1769"/>
      <c r="L109" s="1769"/>
      <c r="M109" s="1769"/>
      <c r="N109" s="1769"/>
      <c r="O109" s="1769"/>
      <c r="P109" s="1769"/>
      <c r="Q109" s="1769"/>
      <c r="R109" s="1769"/>
      <c r="S109" s="1769"/>
      <c r="T109" s="1769"/>
      <c r="U109" s="1769"/>
      <c r="V109" s="1769"/>
      <c r="W109" s="1769"/>
      <c r="X109" s="1769"/>
      <c r="Y109" s="1769"/>
      <c r="Z109" s="1769"/>
      <c r="AA109" s="1769"/>
    </row>
    <row r="110" spans="2:27">
      <c r="B110" s="1769"/>
      <c r="C110" s="1769"/>
      <c r="D110" s="1769"/>
      <c r="E110" s="1769"/>
      <c r="F110" s="1769"/>
      <c r="G110" s="1769"/>
      <c r="H110" s="1769"/>
      <c r="I110" s="1769"/>
      <c r="J110" s="1769"/>
      <c r="K110" s="1769"/>
      <c r="L110" s="1769"/>
      <c r="M110" s="1769"/>
      <c r="N110" s="1769"/>
      <c r="O110" s="1769"/>
      <c r="P110" s="1769"/>
      <c r="Q110" s="1769"/>
      <c r="R110" s="1769"/>
      <c r="S110" s="1769"/>
      <c r="T110" s="1769"/>
      <c r="U110" s="1769"/>
      <c r="V110" s="1769"/>
      <c r="W110" s="1769"/>
      <c r="X110" s="1769"/>
      <c r="Y110" s="1769"/>
      <c r="Z110" s="1769"/>
      <c r="AA110" s="1769"/>
    </row>
    <row r="111" spans="2:27">
      <c r="B111" s="1769"/>
      <c r="C111" s="1769"/>
      <c r="D111" s="1769"/>
      <c r="E111" s="1769"/>
      <c r="F111" s="1769"/>
      <c r="G111" s="1769"/>
      <c r="H111" s="1769"/>
      <c r="I111" s="1769"/>
      <c r="J111" s="1769"/>
      <c r="K111" s="1769"/>
      <c r="L111" s="1769"/>
      <c r="M111" s="1769"/>
      <c r="N111" s="1769"/>
      <c r="O111" s="1769"/>
      <c r="P111" s="1769"/>
      <c r="Q111" s="1769"/>
      <c r="R111" s="1769"/>
      <c r="S111" s="1769"/>
      <c r="T111" s="1769"/>
      <c r="U111" s="1769"/>
      <c r="V111" s="1769"/>
      <c r="W111" s="1769"/>
      <c r="X111" s="1769"/>
      <c r="Y111" s="1769"/>
      <c r="Z111" s="1769"/>
      <c r="AA111" s="1769"/>
    </row>
    <row r="112" spans="2:27">
      <c r="B112" s="1769"/>
      <c r="C112" s="1769"/>
      <c r="D112" s="1769"/>
      <c r="E112" s="1769"/>
      <c r="F112" s="1769"/>
      <c r="G112" s="1769"/>
      <c r="H112" s="1769"/>
      <c r="I112" s="1769"/>
      <c r="J112" s="1769"/>
      <c r="K112" s="1769"/>
      <c r="L112" s="1769"/>
      <c r="M112" s="1769"/>
      <c r="N112" s="1769"/>
      <c r="O112" s="1769"/>
      <c r="P112" s="1769"/>
      <c r="Q112" s="1769"/>
      <c r="R112" s="1769"/>
      <c r="S112" s="1769"/>
      <c r="T112" s="1769"/>
      <c r="U112" s="1769"/>
      <c r="V112" s="1769"/>
      <c r="W112" s="1769"/>
      <c r="X112" s="1769"/>
      <c r="Y112" s="1769"/>
      <c r="Z112" s="1769"/>
      <c r="AA112" s="1769"/>
    </row>
    <row r="113" spans="2:27">
      <c r="B113" s="1769"/>
      <c r="C113" s="1769"/>
      <c r="D113" s="1769"/>
      <c r="E113" s="1769"/>
      <c r="F113" s="1769"/>
      <c r="G113" s="1769"/>
      <c r="H113" s="1769"/>
      <c r="I113" s="1769"/>
      <c r="J113" s="1769"/>
      <c r="K113" s="1769"/>
      <c r="L113" s="1769"/>
      <c r="M113" s="1769"/>
      <c r="N113" s="1769"/>
      <c r="O113" s="1769"/>
      <c r="P113" s="1769"/>
      <c r="Q113" s="1769"/>
      <c r="S113" s="1769"/>
      <c r="T113" s="1769"/>
      <c r="U113" s="1769"/>
      <c r="V113" s="1769"/>
      <c r="W113" s="1769"/>
      <c r="X113" s="1769"/>
      <c r="Y113" s="1769"/>
      <c r="Z113" s="1769"/>
      <c r="AA113" s="1769"/>
    </row>
    <row r="114" spans="2:27">
      <c r="B114" s="1769"/>
      <c r="C114" s="1769"/>
      <c r="D114" s="1769"/>
      <c r="E114" s="1769"/>
      <c r="F114" s="1769"/>
      <c r="G114" s="1769"/>
      <c r="H114" s="1769"/>
      <c r="I114" s="1769"/>
      <c r="J114" s="1769"/>
      <c r="K114" s="1769"/>
      <c r="L114" s="1769"/>
      <c r="M114" s="1769"/>
      <c r="N114" s="1769"/>
      <c r="O114" s="1769"/>
      <c r="P114" s="1769"/>
      <c r="Q114" s="1769"/>
      <c r="S114" s="1769"/>
      <c r="T114" s="1769"/>
      <c r="U114" s="1769"/>
      <c r="V114" s="1769"/>
      <c r="W114" s="1769"/>
      <c r="X114" s="1769"/>
      <c r="Y114" s="1769"/>
      <c r="Z114" s="1769"/>
      <c r="AA114" s="1769"/>
    </row>
    <row r="115" spans="2:27">
      <c r="B115" s="1769"/>
      <c r="C115" s="1769"/>
      <c r="D115" s="1769"/>
      <c r="E115" s="1769"/>
      <c r="F115" s="1769"/>
      <c r="G115" s="1769"/>
      <c r="H115" s="1769"/>
      <c r="I115" s="1769"/>
      <c r="J115" s="1769"/>
      <c r="K115" s="1769"/>
      <c r="L115" s="1769"/>
      <c r="M115" s="1769"/>
      <c r="N115" s="1769"/>
      <c r="O115" s="1769"/>
      <c r="P115" s="1769"/>
      <c r="Q115" s="1769"/>
      <c r="S115" s="1769"/>
      <c r="T115" s="1769"/>
      <c r="U115" s="1769"/>
      <c r="V115" s="1769"/>
      <c r="W115" s="1769"/>
      <c r="X115" s="1769"/>
      <c r="Y115" s="1769"/>
      <c r="Z115" s="1769"/>
      <c r="AA115" s="1769"/>
    </row>
    <row r="116" spans="2:27">
      <c r="B116" s="1769"/>
      <c r="C116" s="1769"/>
      <c r="D116" s="1769"/>
      <c r="E116" s="1769"/>
      <c r="F116" s="1769"/>
      <c r="G116" s="1769"/>
      <c r="H116" s="1769"/>
      <c r="I116" s="1769"/>
      <c r="J116" s="1769"/>
      <c r="K116" s="1769"/>
      <c r="L116" s="1769"/>
      <c r="M116" s="1769"/>
      <c r="N116" s="1769"/>
      <c r="O116" s="1769"/>
      <c r="P116" s="1769"/>
      <c r="Q116" s="1769"/>
      <c r="S116" s="1769"/>
      <c r="T116" s="1769"/>
      <c r="U116" s="1769"/>
      <c r="V116" s="1769"/>
      <c r="W116" s="1769"/>
      <c r="X116" s="1769"/>
      <c r="Y116" s="1769"/>
      <c r="Z116" s="1769"/>
      <c r="AA116" s="1769"/>
    </row>
    <row r="117" spans="2:27">
      <c r="B117" s="1769"/>
      <c r="C117" s="1769"/>
      <c r="D117" s="1769"/>
      <c r="E117" s="1769"/>
      <c r="F117" s="1769"/>
      <c r="G117" s="1769"/>
      <c r="H117" s="1769"/>
      <c r="I117" s="1769"/>
      <c r="J117" s="1769"/>
      <c r="K117" s="1769"/>
      <c r="L117" s="1769"/>
      <c r="M117" s="1769"/>
      <c r="N117" s="1769"/>
      <c r="O117" s="1769"/>
      <c r="P117" s="1769"/>
      <c r="Q117" s="1769"/>
      <c r="S117" s="1769"/>
      <c r="T117" s="1769"/>
      <c r="U117" s="1769"/>
      <c r="V117" s="1769"/>
      <c r="W117" s="1769"/>
      <c r="X117" s="1769"/>
      <c r="Y117" s="1769"/>
      <c r="Z117" s="1769"/>
      <c r="AA117" s="1769"/>
    </row>
    <row r="118" spans="2:27">
      <c r="B118" s="1769"/>
      <c r="C118" s="1769"/>
      <c r="D118" s="1769"/>
      <c r="E118" s="1769"/>
      <c r="F118" s="1769"/>
      <c r="G118" s="1769"/>
      <c r="H118" s="1769"/>
      <c r="I118" s="1769"/>
      <c r="J118" s="1769"/>
      <c r="K118" s="1769"/>
      <c r="L118" s="1769"/>
      <c r="M118" s="1769"/>
      <c r="N118" s="1769"/>
      <c r="O118" s="1769"/>
      <c r="P118" s="1769"/>
      <c r="Q118" s="1769"/>
      <c r="S118" s="1769"/>
      <c r="T118" s="1769"/>
      <c r="U118" s="1769"/>
      <c r="V118" s="1769"/>
      <c r="W118" s="1769"/>
      <c r="X118" s="1769"/>
      <c r="Y118" s="1769"/>
      <c r="Z118" s="1769"/>
      <c r="AA118" s="1769"/>
    </row>
    <row r="132" spans="54:54">
      <c r="BB132" s="1837"/>
    </row>
    <row r="133" spans="54:54">
      <c r="BB133" s="1837"/>
    </row>
  </sheetData>
  <mergeCells count="243">
    <mergeCell ref="HJ8:HK8"/>
    <mergeCell ref="HL8:HM8"/>
    <mergeCell ref="HN8:HO8"/>
    <mergeCell ref="HP8:HQ8"/>
    <mergeCell ref="HT8:HU8"/>
    <mergeCell ref="GX8:GY8"/>
    <mergeCell ref="GZ8:HA8"/>
    <mergeCell ref="HB8:HC8"/>
    <mergeCell ref="HD8:HE8"/>
    <mergeCell ref="HF8:HG8"/>
    <mergeCell ref="HH8:HI8"/>
    <mergeCell ref="HR8:HS8"/>
    <mergeCell ref="GL8:GM8"/>
    <mergeCell ref="GN8:GO8"/>
    <mergeCell ref="GP8:GQ8"/>
    <mergeCell ref="GR8:GS8"/>
    <mergeCell ref="GT8:GU8"/>
    <mergeCell ref="GV8:GW8"/>
    <mergeCell ref="FZ8:GA8"/>
    <mergeCell ref="GB8:GC8"/>
    <mergeCell ref="GD8:GE8"/>
    <mergeCell ref="GF8:GG8"/>
    <mergeCell ref="GH8:GI8"/>
    <mergeCell ref="GJ8:GK8"/>
    <mergeCell ref="FN8:FO8"/>
    <mergeCell ref="FP8:FQ8"/>
    <mergeCell ref="FR8:FS8"/>
    <mergeCell ref="FT8:FU8"/>
    <mergeCell ref="FV8:FW8"/>
    <mergeCell ref="FX8:FY8"/>
    <mergeCell ref="FB8:FC8"/>
    <mergeCell ref="FD8:FE8"/>
    <mergeCell ref="FF8:FG8"/>
    <mergeCell ref="FH8:FI8"/>
    <mergeCell ref="FJ8:FK8"/>
    <mergeCell ref="FL8:FM8"/>
    <mergeCell ref="EP8:EQ8"/>
    <mergeCell ref="ER8:ES8"/>
    <mergeCell ref="ET8:EU8"/>
    <mergeCell ref="EV8:EW8"/>
    <mergeCell ref="EX8:EY8"/>
    <mergeCell ref="EZ8:FA8"/>
    <mergeCell ref="ED8:EE8"/>
    <mergeCell ref="EF8:EG8"/>
    <mergeCell ref="EH8:EI8"/>
    <mergeCell ref="EJ8:EK8"/>
    <mergeCell ref="EL8:EM8"/>
    <mergeCell ref="EN8:EO8"/>
    <mergeCell ref="DR8:DS8"/>
    <mergeCell ref="DT8:DU8"/>
    <mergeCell ref="DV8:DW8"/>
    <mergeCell ref="DX8:DY8"/>
    <mergeCell ref="DZ8:EA8"/>
    <mergeCell ref="EB8:EC8"/>
    <mergeCell ref="DF8:DG8"/>
    <mergeCell ref="DH8:DI8"/>
    <mergeCell ref="DJ8:DK8"/>
    <mergeCell ref="DL8:DM8"/>
    <mergeCell ref="DN8:DO8"/>
    <mergeCell ref="DP8:DQ8"/>
    <mergeCell ref="CT8:CU8"/>
    <mergeCell ref="CV8:CW8"/>
    <mergeCell ref="CX8:CY8"/>
    <mergeCell ref="CZ8:DA8"/>
    <mergeCell ref="DB8:DC8"/>
    <mergeCell ref="DD8:DE8"/>
    <mergeCell ref="CH8:CI8"/>
    <mergeCell ref="CJ8:CK8"/>
    <mergeCell ref="CL8:CM8"/>
    <mergeCell ref="CN8:CO8"/>
    <mergeCell ref="CP8:CQ8"/>
    <mergeCell ref="CR8:CS8"/>
    <mergeCell ref="BV8:BW8"/>
    <mergeCell ref="BX8:BY8"/>
    <mergeCell ref="BZ8:CA8"/>
    <mergeCell ref="CB8:CC8"/>
    <mergeCell ref="CD8:CE8"/>
    <mergeCell ref="CF8:CG8"/>
    <mergeCell ref="BJ8:BK8"/>
    <mergeCell ref="BL8:BM8"/>
    <mergeCell ref="BN8:BO8"/>
    <mergeCell ref="BP8:BQ8"/>
    <mergeCell ref="BR8:BS8"/>
    <mergeCell ref="BT8:BU8"/>
    <mergeCell ref="AX8:AY8"/>
    <mergeCell ref="AZ8:BA8"/>
    <mergeCell ref="BB8:BC8"/>
    <mergeCell ref="BD8:BE8"/>
    <mergeCell ref="BF8:BG8"/>
    <mergeCell ref="BH8:BI8"/>
    <mergeCell ref="AL8:AM8"/>
    <mergeCell ref="AN8:AO8"/>
    <mergeCell ref="AP8:AQ8"/>
    <mergeCell ref="AR8:AS8"/>
    <mergeCell ref="AT8:AU8"/>
    <mergeCell ref="AV8:AW8"/>
    <mergeCell ref="Z8:AA8"/>
    <mergeCell ref="AB8:AC8"/>
    <mergeCell ref="AD8:AE8"/>
    <mergeCell ref="AF8:AG8"/>
    <mergeCell ref="AH8:AI8"/>
    <mergeCell ref="AJ8:AK8"/>
    <mergeCell ref="N8:O8"/>
    <mergeCell ref="P8:Q8"/>
    <mergeCell ref="R8:S8"/>
    <mergeCell ref="T8:U8"/>
    <mergeCell ref="V8:W8"/>
    <mergeCell ref="X8:Y8"/>
    <mergeCell ref="B8:C8"/>
    <mergeCell ref="D8:E8"/>
    <mergeCell ref="F8:G8"/>
    <mergeCell ref="H8:I8"/>
    <mergeCell ref="J8:K8"/>
    <mergeCell ref="L8:M8"/>
    <mergeCell ref="HH7:HI7"/>
    <mergeCell ref="HJ7:HK7"/>
    <mergeCell ref="HL7:HM7"/>
    <mergeCell ref="GJ7:GK7"/>
    <mergeCell ref="GL7:GM7"/>
    <mergeCell ref="GN7:GO7"/>
    <mergeCell ref="GP7:GQ7"/>
    <mergeCell ref="GR7:GS7"/>
    <mergeCell ref="GT7:GU7"/>
    <mergeCell ref="FX7:FY7"/>
    <mergeCell ref="FZ7:GA7"/>
    <mergeCell ref="GB7:GC7"/>
    <mergeCell ref="GD7:GE7"/>
    <mergeCell ref="GF7:GG7"/>
    <mergeCell ref="GH7:GI7"/>
    <mergeCell ref="FL7:FM7"/>
    <mergeCell ref="FN7:FO7"/>
    <mergeCell ref="FP7:FQ7"/>
    <mergeCell ref="HN7:HO7"/>
    <mergeCell ref="HP7:HQ7"/>
    <mergeCell ref="HT7:HU7"/>
    <mergeCell ref="GV7:GW7"/>
    <mergeCell ref="GX7:GY7"/>
    <mergeCell ref="GZ7:HA7"/>
    <mergeCell ref="HB7:HC7"/>
    <mergeCell ref="HD7:HE7"/>
    <mergeCell ref="HF7:HG7"/>
    <mergeCell ref="HR7:HS7"/>
    <mergeCell ref="FR7:FS7"/>
    <mergeCell ref="FT7:FU7"/>
    <mergeCell ref="FV7:FW7"/>
    <mergeCell ref="EZ7:FA7"/>
    <mergeCell ref="FB7:FC7"/>
    <mergeCell ref="FD7:FE7"/>
    <mergeCell ref="FF7:FG7"/>
    <mergeCell ref="FH7:FI7"/>
    <mergeCell ref="FJ7:FK7"/>
    <mergeCell ref="EN7:EO7"/>
    <mergeCell ref="EP7:EQ7"/>
    <mergeCell ref="ER7:ES7"/>
    <mergeCell ref="ET7:EU7"/>
    <mergeCell ref="EV7:EW7"/>
    <mergeCell ref="EX7:EY7"/>
    <mergeCell ref="EB7:EC7"/>
    <mergeCell ref="ED7:EE7"/>
    <mergeCell ref="EF7:EG7"/>
    <mergeCell ref="EH7:EI7"/>
    <mergeCell ref="EJ7:EK7"/>
    <mergeCell ref="EL7:EM7"/>
    <mergeCell ref="DP7:DQ7"/>
    <mergeCell ref="DR7:DS7"/>
    <mergeCell ref="DT7:DU7"/>
    <mergeCell ref="DV7:DW7"/>
    <mergeCell ref="DX7:DY7"/>
    <mergeCell ref="DZ7:EA7"/>
    <mergeCell ref="DD7:DE7"/>
    <mergeCell ref="DF7:DG7"/>
    <mergeCell ref="DH7:DI7"/>
    <mergeCell ref="DJ7:DK7"/>
    <mergeCell ref="DL7:DM7"/>
    <mergeCell ref="DN7:DO7"/>
    <mergeCell ref="CR7:CS7"/>
    <mergeCell ref="CT7:CU7"/>
    <mergeCell ref="CV7:CW7"/>
    <mergeCell ref="CX7:CY7"/>
    <mergeCell ref="CZ7:DA7"/>
    <mergeCell ref="DB7:DC7"/>
    <mergeCell ref="CF7:CG7"/>
    <mergeCell ref="CH7:CI7"/>
    <mergeCell ref="CJ7:CK7"/>
    <mergeCell ref="CL7:CM7"/>
    <mergeCell ref="CN7:CO7"/>
    <mergeCell ref="CP7:CQ7"/>
    <mergeCell ref="BT7:BU7"/>
    <mergeCell ref="BV7:BW7"/>
    <mergeCell ref="BX7:BY7"/>
    <mergeCell ref="BZ7:CA7"/>
    <mergeCell ref="CB7:CC7"/>
    <mergeCell ref="CD7:CE7"/>
    <mergeCell ref="BH7:BI7"/>
    <mergeCell ref="BJ7:BK7"/>
    <mergeCell ref="BL7:BM7"/>
    <mergeCell ref="BN7:BO7"/>
    <mergeCell ref="BP7:BQ7"/>
    <mergeCell ref="BR7:BS7"/>
    <mergeCell ref="AX7:AY7"/>
    <mergeCell ref="AZ7:BA7"/>
    <mergeCell ref="BB7:BC7"/>
    <mergeCell ref="BD7:BE7"/>
    <mergeCell ref="BF7:BG7"/>
    <mergeCell ref="AJ7:AK7"/>
    <mergeCell ref="AL7:AM7"/>
    <mergeCell ref="AN7:AO7"/>
    <mergeCell ref="AP7:AQ7"/>
    <mergeCell ref="AR7:AS7"/>
    <mergeCell ref="AT7:AU7"/>
    <mergeCell ref="AF7:AG7"/>
    <mergeCell ref="AH7:AI7"/>
    <mergeCell ref="L7:M7"/>
    <mergeCell ref="N7:O7"/>
    <mergeCell ref="P7:Q7"/>
    <mergeCell ref="R7:S7"/>
    <mergeCell ref="T7:U7"/>
    <mergeCell ref="V7:W7"/>
    <mergeCell ref="AV7:AW7"/>
    <mergeCell ref="A2:HV2"/>
    <mergeCell ref="A3:HV3"/>
    <mergeCell ref="EJ5:HV5"/>
    <mergeCell ref="B6:Y6"/>
    <mergeCell ref="Z6:AW6"/>
    <mergeCell ref="AX6:BU6"/>
    <mergeCell ref="BV6:CS6"/>
    <mergeCell ref="CT6:DQ6"/>
    <mergeCell ref="DR6:EO6"/>
    <mergeCell ref="EP6:FM6"/>
    <mergeCell ref="FN6:GK6"/>
    <mergeCell ref="GL6:HI6"/>
    <mergeCell ref="HJ6:HU6"/>
    <mergeCell ref="HV6:HV10"/>
    <mergeCell ref="A7:A10"/>
    <mergeCell ref="B7:C7"/>
    <mergeCell ref="D7:E7"/>
    <mergeCell ref="F7:G7"/>
    <mergeCell ref="H7:I7"/>
    <mergeCell ref="J7:K7"/>
    <mergeCell ref="X7:Y7"/>
    <mergeCell ref="Z7:AA7"/>
    <mergeCell ref="AB7:AC7"/>
    <mergeCell ref="AD7:AE7"/>
  </mergeCells>
  <pageMargins left="0.7" right="0.7" top="0.25" bottom="0.23" header="0.3" footer="0.3"/>
  <pageSetup scale="21" orientation="landscape" horizontalDpi="4294967295" verticalDpi="4294967295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5">
    <tabColor rgb="FF92D050"/>
  </sheetPr>
  <dimension ref="A1:AH168"/>
  <sheetViews>
    <sheetView showGridLines="0" view="pageBreakPreview" zoomScaleNormal="100" zoomScaleSheetLayoutView="100" workbookViewId="0">
      <pane xSplit="23" ySplit="8" topLeftCell="X158" activePane="bottomRight" state="frozen"/>
      <selection activeCell="F40" sqref="F40"/>
      <selection pane="topRight" activeCell="F40" sqref="F40"/>
      <selection pane="bottomLeft" activeCell="F40" sqref="F40"/>
      <selection pane="bottomRight" activeCell="AA196" sqref="AA196"/>
    </sheetView>
  </sheetViews>
  <sheetFormatPr defaultColWidth="9.140625" defaultRowHeight="15"/>
  <cols>
    <col min="1" max="1" width="9.28515625" style="907" customWidth="1"/>
    <col min="2" max="23" width="8.85546875" style="907" customWidth="1"/>
    <col min="24" max="16384" width="9.140625" style="907"/>
  </cols>
  <sheetData>
    <row r="1" spans="1:23" ht="10.5" customHeight="1"/>
    <row r="2" spans="1:23" ht="20.25" customHeight="1">
      <c r="A2" s="2780" t="s">
        <v>3097</v>
      </c>
      <c r="B2" s="2780"/>
      <c r="C2" s="2780"/>
      <c r="D2" s="2780"/>
      <c r="E2" s="2780"/>
      <c r="F2" s="2780"/>
      <c r="G2" s="2780"/>
      <c r="H2" s="2780"/>
      <c r="I2" s="2780"/>
      <c r="J2" s="2780"/>
      <c r="K2" s="2780"/>
      <c r="L2" s="2780"/>
      <c r="M2" s="2780"/>
      <c r="N2" s="2780"/>
      <c r="O2" s="2780"/>
      <c r="P2" s="2780"/>
      <c r="Q2" s="2780"/>
      <c r="R2" s="2780"/>
      <c r="S2" s="2780"/>
      <c r="T2" s="2780"/>
      <c r="U2" s="2780"/>
      <c r="V2" s="2780"/>
      <c r="W2" s="2780"/>
    </row>
    <row r="3" spans="1:23" ht="27" customHeight="1">
      <c r="A3" s="2781" t="s">
        <v>3098</v>
      </c>
      <c r="B3" s="2781"/>
      <c r="C3" s="2781"/>
      <c r="D3" s="2781"/>
      <c r="E3" s="2781"/>
      <c r="F3" s="2781"/>
      <c r="G3" s="2781"/>
      <c r="H3" s="2781"/>
      <c r="I3" s="2781"/>
      <c r="J3" s="2781"/>
      <c r="K3" s="2781"/>
      <c r="L3" s="2781"/>
      <c r="M3" s="2781"/>
      <c r="N3" s="2781"/>
      <c r="O3" s="2781"/>
      <c r="P3" s="2781"/>
      <c r="Q3" s="2781"/>
      <c r="R3" s="2781"/>
      <c r="S3" s="2781"/>
      <c r="T3" s="2781"/>
      <c r="U3" s="2781"/>
      <c r="V3" s="2781"/>
      <c r="W3" s="2781"/>
    </row>
    <row r="4" spans="1:23" ht="12.75" customHeight="1">
      <c r="A4" s="1103"/>
      <c r="B4" s="1103"/>
      <c r="C4" s="1103"/>
      <c r="D4" s="1103"/>
      <c r="E4" s="1103"/>
      <c r="F4" s="1103"/>
      <c r="G4" s="1103"/>
      <c r="H4" s="1103"/>
      <c r="I4" s="1103"/>
      <c r="J4" s="1103"/>
      <c r="K4" s="1103"/>
      <c r="L4" s="1103"/>
      <c r="M4" s="1103"/>
      <c r="N4" s="1103"/>
      <c r="O4" s="1103"/>
      <c r="P4" s="1103"/>
      <c r="Q4" s="1103"/>
      <c r="R4" s="1103"/>
      <c r="S4" s="1103"/>
      <c r="T4" s="1103"/>
      <c r="U4" s="1103"/>
      <c r="V4" s="1103"/>
      <c r="W4" s="1103"/>
    </row>
    <row r="5" spans="1:23" ht="12.75" customHeight="1">
      <c r="A5" s="1102"/>
      <c r="B5" s="1102"/>
      <c r="C5" s="1102"/>
      <c r="D5" s="1102"/>
      <c r="E5" s="1102"/>
      <c r="F5" s="1102"/>
      <c r="G5" s="1102"/>
      <c r="H5" s="1102"/>
      <c r="I5" s="1102"/>
      <c r="J5" s="1102"/>
      <c r="K5" s="1102"/>
      <c r="L5" s="1102"/>
      <c r="M5" s="1102"/>
      <c r="N5" s="1102"/>
      <c r="O5" s="1102"/>
      <c r="P5" s="1102"/>
      <c r="Q5" s="1102"/>
      <c r="R5" s="1102"/>
      <c r="S5" s="1102"/>
      <c r="T5" s="1102"/>
      <c r="U5" s="1102"/>
      <c r="V5" s="1102"/>
      <c r="W5" s="1102"/>
    </row>
    <row r="6" spans="1:23" ht="23.25" customHeight="1">
      <c r="A6" s="2782" t="s">
        <v>182</v>
      </c>
      <c r="B6" s="2783" t="s">
        <v>3011</v>
      </c>
      <c r="C6" s="2783"/>
      <c r="D6" s="2783"/>
      <c r="E6" s="2783"/>
      <c r="F6" s="2783"/>
      <c r="G6" s="2783"/>
      <c r="H6" s="2783" t="s">
        <v>3012</v>
      </c>
      <c r="I6" s="2783"/>
      <c r="J6" s="2783"/>
      <c r="K6" s="2783"/>
      <c r="L6" s="2783"/>
      <c r="M6" s="2783"/>
      <c r="N6" s="2783" t="s">
        <v>3013</v>
      </c>
      <c r="O6" s="2783"/>
      <c r="P6" s="2783"/>
      <c r="Q6" s="2783"/>
      <c r="R6" s="2783"/>
      <c r="S6" s="2783" t="s">
        <v>3014</v>
      </c>
      <c r="T6" s="2783"/>
      <c r="U6" s="2783"/>
      <c r="V6" s="2783"/>
      <c r="W6" s="2783"/>
    </row>
    <row r="7" spans="1:23" ht="23.25" customHeight="1">
      <c r="A7" s="2782"/>
      <c r="B7" s="2783" t="s">
        <v>3015</v>
      </c>
      <c r="C7" s="2783"/>
      <c r="D7" s="2783"/>
      <c r="E7" s="2783" t="s">
        <v>3016</v>
      </c>
      <c r="F7" s="2783"/>
      <c r="G7" s="2784" t="s">
        <v>3017</v>
      </c>
      <c r="H7" s="2785" t="s">
        <v>3018</v>
      </c>
      <c r="I7" s="2785"/>
      <c r="J7" s="2783" t="s">
        <v>3019</v>
      </c>
      <c r="K7" s="2783"/>
      <c r="L7" s="2786" t="s">
        <v>3020</v>
      </c>
      <c r="M7" s="2784" t="s">
        <v>3021</v>
      </c>
      <c r="N7" s="2783" t="s">
        <v>3018</v>
      </c>
      <c r="O7" s="2783"/>
      <c r="P7" s="2783" t="s">
        <v>3019</v>
      </c>
      <c r="Q7" s="2783"/>
      <c r="R7" s="2784" t="s">
        <v>3520</v>
      </c>
      <c r="S7" s="2783" t="s">
        <v>3018</v>
      </c>
      <c r="T7" s="2783"/>
      <c r="U7" s="2783" t="s">
        <v>3019</v>
      </c>
      <c r="V7" s="2783"/>
      <c r="W7" s="2784" t="s">
        <v>3022</v>
      </c>
    </row>
    <row r="8" spans="1:23" s="1122" customFormat="1" ht="126.75" customHeight="1">
      <c r="A8" s="2782"/>
      <c r="B8" s="1152" t="s">
        <v>3023</v>
      </c>
      <c r="C8" s="1152" t="s">
        <v>3024</v>
      </c>
      <c r="D8" s="1152" t="s">
        <v>3025</v>
      </c>
      <c r="E8" s="1152" t="s">
        <v>3026</v>
      </c>
      <c r="F8" s="1152" t="s">
        <v>3027</v>
      </c>
      <c r="G8" s="2784"/>
      <c r="H8" s="1152" t="s">
        <v>3028</v>
      </c>
      <c r="I8" s="1152" t="s">
        <v>3029</v>
      </c>
      <c r="J8" s="1152" t="s">
        <v>3030</v>
      </c>
      <c r="K8" s="1152" t="s">
        <v>3027</v>
      </c>
      <c r="L8" s="2786"/>
      <c r="M8" s="2784"/>
      <c r="N8" s="1152" t="s">
        <v>3031</v>
      </c>
      <c r="O8" s="1152" t="s">
        <v>3032</v>
      </c>
      <c r="P8" s="1152" t="s">
        <v>3033</v>
      </c>
      <c r="Q8" s="1152" t="s">
        <v>3027</v>
      </c>
      <c r="R8" s="2784"/>
      <c r="S8" s="1152" t="s">
        <v>3034</v>
      </c>
      <c r="T8" s="1152" t="s">
        <v>3035</v>
      </c>
      <c r="U8" s="1152" t="s">
        <v>3036</v>
      </c>
      <c r="V8" s="1152" t="s">
        <v>3027</v>
      </c>
      <c r="W8" s="2784"/>
    </row>
    <row r="9" spans="1:23" ht="23.25" customHeight="1">
      <c r="A9" s="2783" t="s">
        <v>283</v>
      </c>
      <c r="B9" s="2783" t="s">
        <v>3037</v>
      </c>
      <c r="C9" s="2783"/>
      <c r="D9" s="2783"/>
      <c r="E9" s="2783"/>
      <c r="F9" s="2783"/>
      <c r="G9" s="2783"/>
      <c r="H9" s="2783" t="s">
        <v>3038</v>
      </c>
      <c r="I9" s="2783"/>
      <c r="J9" s="2783"/>
      <c r="K9" s="2783"/>
      <c r="L9" s="2783"/>
      <c r="M9" s="2783"/>
      <c r="N9" s="2783" t="s">
        <v>3039</v>
      </c>
      <c r="O9" s="2783"/>
      <c r="P9" s="2783"/>
      <c r="Q9" s="2783"/>
      <c r="R9" s="2783"/>
      <c r="S9" s="2783" t="s">
        <v>3040</v>
      </c>
      <c r="T9" s="2783"/>
      <c r="U9" s="2783"/>
      <c r="V9" s="2783"/>
      <c r="W9" s="2783"/>
    </row>
    <row r="10" spans="1:23" ht="23.25" customHeight="1">
      <c r="A10" s="2783"/>
      <c r="B10" s="2783" t="s">
        <v>3041</v>
      </c>
      <c r="C10" s="2783"/>
      <c r="D10" s="2783"/>
      <c r="E10" s="2783" t="s">
        <v>3042</v>
      </c>
      <c r="F10" s="2783"/>
      <c r="G10" s="2784" t="s">
        <v>3043</v>
      </c>
      <c r="H10" s="2785" t="s">
        <v>3041</v>
      </c>
      <c r="I10" s="2785"/>
      <c r="J10" s="2783" t="s">
        <v>3042</v>
      </c>
      <c r="K10" s="2783"/>
      <c r="L10" s="2786" t="s">
        <v>3044</v>
      </c>
      <c r="M10" s="2787" t="s">
        <v>3045</v>
      </c>
      <c r="N10" s="2785" t="s">
        <v>3041</v>
      </c>
      <c r="O10" s="2785"/>
      <c r="P10" s="2783" t="s">
        <v>3042</v>
      </c>
      <c r="Q10" s="2783"/>
      <c r="R10" s="2784" t="s">
        <v>3046</v>
      </c>
      <c r="S10" s="2785" t="s">
        <v>3041</v>
      </c>
      <c r="T10" s="2785"/>
      <c r="U10" s="2783" t="s">
        <v>3042</v>
      </c>
      <c r="V10" s="2783"/>
      <c r="W10" s="2784" t="s">
        <v>3047</v>
      </c>
    </row>
    <row r="11" spans="1:23" s="1122" customFormat="1" ht="180.75" customHeight="1">
      <c r="A11" s="2783"/>
      <c r="B11" s="1153" t="s">
        <v>3048</v>
      </c>
      <c r="C11" s="1152" t="s">
        <v>3049</v>
      </c>
      <c r="D11" s="1152" t="s">
        <v>3050</v>
      </c>
      <c r="E11" s="1152" t="s">
        <v>3051</v>
      </c>
      <c r="F11" s="1152" t="s">
        <v>3052</v>
      </c>
      <c r="G11" s="2784"/>
      <c r="H11" s="1152" t="s">
        <v>3053</v>
      </c>
      <c r="I11" s="1152" t="s">
        <v>3049</v>
      </c>
      <c r="J11" s="1152" t="s">
        <v>3054</v>
      </c>
      <c r="K11" s="1152" t="s">
        <v>3055</v>
      </c>
      <c r="L11" s="2786"/>
      <c r="M11" s="2787"/>
      <c r="N11" s="1152" t="s">
        <v>3056</v>
      </c>
      <c r="O11" s="1152" t="s">
        <v>3057</v>
      </c>
      <c r="P11" s="1152" t="s">
        <v>3058</v>
      </c>
      <c r="Q11" s="1152" t="s">
        <v>3052</v>
      </c>
      <c r="R11" s="2784"/>
      <c r="S11" s="1152" t="s">
        <v>3059</v>
      </c>
      <c r="T11" s="1152" t="s">
        <v>3060</v>
      </c>
      <c r="U11" s="1152" t="s">
        <v>3061</v>
      </c>
      <c r="V11" s="1152" t="s">
        <v>3052</v>
      </c>
      <c r="W11" s="2784"/>
    </row>
    <row r="12" spans="1:23" s="1122" customFormat="1" ht="17.25" customHeight="1">
      <c r="A12" s="1154">
        <v>2015</v>
      </c>
      <c r="B12" s="1156"/>
      <c r="C12" s="1156"/>
      <c r="D12" s="1155"/>
      <c r="E12" s="1156"/>
      <c r="F12" s="1155"/>
      <c r="G12" s="1156"/>
      <c r="H12" s="1156"/>
      <c r="I12" s="1156"/>
      <c r="J12" s="1156"/>
      <c r="K12" s="1156"/>
      <c r="L12" s="1156"/>
      <c r="M12" s="1156"/>
      <c r="N12" s="1156"/>
      <c r="O12" s="1156"/>
      <c r="P12" s="1156"/>
      <c r="Q12" s="1156"/>
      <c r="R12" s="1156"/>
      <c r="S12" s="1156"/>
      <c r="T12" s="1156"/>
      <c r="U12" s="1156"/>
      <c r="V12" s="1156"/>
      <c r="W12" s="1156"/>
    </row>
    <row r="13" spans="1:23" s="1122" customFormat="1" ht="17.25" customHeight="1">
      <c r="A13" s="1154">
        <v>1</v>
      </c>
      <c r="B13" s="1157">
        <v>-1.83</v>
      </c>
      <c r="C13" s="1157">
        <v>-28.86</v>
      </c>
      <c r="D13" s="1123">
        <v>0.18</v>
      </c>
      <c r="E13" s="1157">
        <v>-16.91</v>
      </c>
      <c r="F13" s="1123">
        <v>-1.57</v>
      </c>
      <c r="G13" s="1159">
        <v>-6.31</v>
      </c>
      <c r="H13" s="1157">
        <v>-16.760000000000002</v>
      </c>
      <c r="I13" s="1157">
        <v>-22.8</v>
      </c>
      <c r="J13" s="1157">
        <v>35.9</v>
      </c>
      <c r="K13" s="1157">
        <v>0</v>
      </c>
      <c r="L13" s="1157">
        <v>30</v>
      </c>
      <c r="M13" s="1159">
        <v>6.56</v>
      </c>
      <c r="N13" s="1157">
        <v>-10.430342815463165</v>
      </c>
      <c r="O13" s="1157">
        <v>22.27084852905422</v>
      </c>
      <c r="P13" s="1157">
        <v>-41.235108193532696</v>
      </c>
      <c r="Q13" s="1157">
        <v>-13.809871140286896</v>
      </c>
      <c r="R13" s="1159">
        <v>-24.645433179350029</v>
      </c>
      <c r="S13" s="1157">
        <v>9.7676623992413454</v>
      </c>
      <c r="T13" s="1157">
        <v>9.9288762446657177</v>
      </c>
      <c r="U13" s="1157">
        <v>-5.3959222380275014</v>
      </c>
      <c r="V13" s="1157">
        <v>-1.5362731152204843</v>
      </c>
      <c r="W13" s="1159">
        <v>4.7668721352931884</v>
      </c>
    </row>
    <row r="14" spans="1:23" ht="15.75">
      <c r="A14" s="1154">
        <v>2</v>
      </c>
      <c r="B14" s="1157">
        <v>-17.43</v>
      </c>
      <c r="C14" s="1157">
        <v>-26.51</v>
      </c>
      <c r="D14" s="1123">
        <v>-7.51</v>
      </c>
      <c r="E14" s="1157">
        <v>-2.78</v>
      </c>
      <c r="F14" s="1123">
        <v>3.14</v>
      </c>
      <c r="G14" s="1159">
        <v>-4.24</v>
      </c>
      <c r="H14" s="1157">
        <v>31.18</v>
      </c>
      <c r="I14" s="1157">
        <v>-21.81</v>
      </c>
      <c r="J14" s="1157">
        <v>38.700000000000003</v>
      </c>
      <c r="K14" s="1157">
        <v>0</v>
      </c>
      <c r="L14" s="1157">
        <v>29.4</v>
      </c>
      <c r="M14" s="1159">
        <v>8.44</v>
      </c>
      <c r="N14" s="1157">
        <v>-65.134938001458778</v>
      </c>
      <c r="O14" s="1157">
        <v>21.711646000486262</v>
      </c>
      <c r="P14" s="1157">
        <v>-41.235108193532696</v>
      </c>
      <c r="Q14" s="1157">
        <v>-11.062484804279116</v>
      </c>
      <c r="R14" s="1159">
        <v>-42.693897398492581</v>
      </c>
      <c r="S14" s="1157">
        <v>-12.626981866514765</v>
      </c>
      <c r="T14" s="1157">
        <v>-12.475078325263459</v>
      </c>
      <c r="U14" s="1157">
        <v>-10.490838317668281</v>
      </c>
      <c r="V14" s="1157">
        <v>6.2280451913035222</v>
      </c>
      <c r="W14" s="1159">
        <v>-11.864299503148834</v>
      </c>
    </row>
    <row r="15" spans="1:23" ht="15.75">
      <c r="A15" s="1154">
        <v>3</v>
      </c>
      <c r="B15" s="1157">
        <v>-29.75</v>
      </c>
      <c r="C15" s="1157">
        <v>-16.16</v>
      </c>
      <c r="D15" s="1123">
        <v>-10.83</v>
      </c>
      <c r="E15" s="1157">
        <v>11.87</v>
      </c>
      <c r="F15" s="1123">
        <v>27.2</v>
      </c>
      <c r="G15" s="1159">
        <v>-2.35</v>
      </c>
      <c r="H15" s="1157">
        <v>37.42</v>
      </c>
      <c r="I15" s="1157">
        <v>-32.409999999999997</v>
      </c>
      <c r="J15" s="1157">
        <v>39.200000000000003</v>
      </c>
      <c r="K15" s="1157">
        <v>-1.38</v>
      </c>
      <c r="L15" s="1157">
        <v>21.1</v>
      </c>
      <c r="M15" s="1159">
        <v>3.4</v>
      </c>
      <c r="N15" s="1157">
        <v>-65.177270519669733</v>
      </c>
      <c r="O15" s="1157">
        <v>30.451675570665376</v>
      </c>
      <c r="P15" s="1157">
        <v>-68.698397280233138</v>
      </c>
      <c r="Q15" s="1157">
        <v>-11.049052938319573</v>
      </c>
      <c r="R15" s="1159">
        <v>-54.775781123522748</v>
      </c>
      <c r="S15" s="1157">
        <v>-4.8134434634007421</v>
      </c>
      <c r="T15" s="1157">
        <v>-4.6615399221494362</v>
      </c>
      <c r="U15" s="1157">
        <v>-10.490838317668281</v>
      </c>
      <c r="V15" s="1157">
        <v>6.2280451913035222</v>
      </c>
      <c r="W15" s="1159">
        <v>-6.6552739010728201</v>
      </c>
    </row>
    <row r="16" spans="1:23" ht="15.75">
      <c r="A16" s="1154">
        <v>4</v>
      </c>
      <c r="B16" s="1157">
        <v>-26.46</v>
      </c>
      <c r="C16" s="1157">
        <v>-27.24</v>
      </c>
      <c r="D16" s="1123">
        <v>-0.71</v>
      </c>
      <c r="E16" s="1157">
        <v>29.68</v>
      </c>
      <c r="F16" s="1123">
        <v>16.690000000000001</v>
      </c>
      <c r="G16" s="1159">
        <v>1.31</v>
      </c>
      <c r="H16" s="1157">
        <v>-25.37</v>
      </c>
      <c r="I16" s="1157">
        <v>-32.020000000000003</v>
      </c>
      <c r="J16" s="1157">
        <v>6.9</v>
      </c>
      <c r="K16" s="1157">
        <v>-0.72</v>
      </c>
      <c r="L16" s="1157">
        <v>18.399999999999999</v>
      </c>
      <c r="M16" s="1159">
        <v>-12.58</v>
      </c>
      <c r="N16" s="1157">
        <v>-63.447609850313853</v>
      </c>
      <c r="O16" s="1157">
        <v>25.494929985514243</v>
      </c>
      <c r="P16" s="1157">
        <v>-65.25832930951232</v>
      </c>
      <c r="Q16" s="1157">
        <v>-9.005311443746983</v>
      </c>
      <c r="R16" s="1159">
        <v>-51.400289715113473</v>
      </c>
      <c r="S16" s="1157">
        <v>-3.9994363550962908</v>
      </c>
      <c r="T16" s="1157">
        <v>-4.0938468764678264</v>
      </c>
      <c r="U16" s="1157">
        <v>-10.136214185063412</v>
      </c>
      <c r="V16" s="1157">
        <v>6.1625176139032423</v>
      </c>
      <c r="W16" s="1159">
        <v>-6.0764991388758416</v>
      </c>
    </row>
    <row r="17" spans="1:23" ht="15.75">
      <c r="A17" s="1154">
        <v>5</v>
      </c>
      <c r="B17" s="1157">
        <v>2.74</v>
      </c>
      <c r="C17" s="1157">
        <v>-32.409999999999997</v>
      </c>
      <c r="D17" s="1123">
        <v>-4.97</v>
      </c>
      <c r="E17" s="1157">
        <v>15.25</v>
      </c>
      <c r="F17" s="1123">
        <v>4.97</v>
      </c>
      <c r="G17" s="1159">
        <v>7.66</v>
      </c>
      <c r="H17" s="1157">
        <v>-40.51</v>
      </c>
      <c r="I17" s="1157">
        <v>-45.48</v>
      </c>
      <c r="J17" s="1157">
        <v>-9</v>
      </c>
      <c r="K17" s="1157">
        <v>0</v>
      </c>
      <c r="L17" s="1157">
        <v>17.7</v>
      </c>
      <c r="M17" s="1159">
        <v>-27.25</v>
      </c>
      <c r="N17" s="1157">
        <v>-47.672672672672675</v>
      </c>
      <c r="O17" s="1157">
        <v>-5.0300300300300318</v>
      </c>
      <c r="P17" s="1157">
        <v>-0.30030030030030019</v>
      </c>
      <c r="Q17" s="1157">
        <v>-13.36336336336336</v>
      </c>
      <c r="R17" s="1159">
        <v>-14.314314314314315</v>
      </c>
      <c r="S17" s="1157">
        <v>-0.47728341642366706</v>
      </c>
      <c r="T17" s="1157">
        <v>-0.57181826733139018</v>
      </c>
      <c r="U17" s="1157">
        <v>-7.4781299971780637</v>
      </c>
      <c r="V17" s="1157">
        <v>6.1706330542752328</v>
      </c>
      <c r="W17" s="1159">
        <v>-2.8424105603110403</v>
      </c>
    </row>
    <row r="18" spans="1:23" ht="15.75">
      <c r="A18" s="1154">
        <v>6</v>
      </c>
      <c r="B18" s="1157">
        <v>6.54</v>
      </c>
      <c r="C18" s="1157">
        <v>-30.31</v>
      </c>
      <c r="D18" s="1123">
        <v>-14.35</v>
      </c>
      <c r="E18" s="1157">
        <v>14.19</v>
      </c>
      <c r="F18" s="1123">
        <v>3.51</v>
      </c>
      <c r="G18" s="1159">
        <v>11.69</v>
      </c>
      <c r="H18" s="1157">
        <v>11.36</v>
      </c>
      <c r="I18" s="1157">
        <v>-23.62</v>
      </c>
      <c r="J18" s="1157">
        <v>11.4</v>
      </c>
      <c r="K18" s="1157">
        <v>0</v>
      </c>
      <c r="L18" s="1157">
        <v>17</v>
      </c>
      <c r="M18" s="1159">
        <v>-6.12</v>
      </c>
      <c r="N18" s="1157">
        <v>4.527966854098846</v>
      </c>
      <c r="O18" s="1157">
        <v>-20.242675347736011</v>
      </c>
      <c r="P18" s="1157">
        <v>-17.076058005327027</v>
      </c>
      <c r="Q18" s="1157">
        <v>-7.1026931044687771</v>
      </c>
      <c r="R18" s="1159">
        <v>2.5648613988359426</v>
      </c>
      <c r="S18" s="1157">
        <v>2.8324558104550581</v>
      </c>
      <c r="T18" s="1157">
        <v>2.8977999247837527</v>
      </c>
      <c r="U18" s="1157">
        <v>-10.981572019556223</v>
      </c>
      <c r="V18" s="1157">
        <v>-0.89319292967280961</v>
      </c>
      <c r="W18" s="1159">
        <v>-1.7504387614391381</v>
      </c>
    </row>
    <row r="19" spans="1:23" ht="15.75">
      <c r="A19" s="1154">
        <v>7</v>
      </c>
      <c r="B19" s="1157">
        <v>11.02</v>
      </c>
      <c r="C19" s="1157">
        <v>-38.369999999999997</v>
      </c>
      <c r="D19" s="1123">
        <v>-10.84</v>
      </c>
      <c r="E19" s="1157">
        <v>23.97</v>
      </c>
      <c r="F19" s="1123">
        <v>5.38</v>
      </c>
      <c r="G19" s="1159">
        <v>15.28</v>
      </c>
      <c r="H19" s="1157">
        <v>13.8</v>
      </c>
      <c r="I19" s="1157">
        <v>-25.15</v>
      </c>
      <c r="J19" s="1157">
        <v>10.4</v>
      </c>
      <c r="K19" s="1157">
        <v>0</v>
      </c>
      <c r="L19" s="1157">
        <v>16.3</v>
      </c>
      <c r="M19" s="1159">
        <v>-7.37</v>
      </c>
      <c r="N19" s="1157">
        <v>-4.2502951593860665</v>
      </c>
      <c r="O19" s="1157">
        <v>2.9811097992916178</v>
      </c>
      <c r="P19" s="1157">
        <v>30.696576151121608</v>
      </c>
      <c r="Q19" s="1157">
        <v>-6.9362455726092085</v>
      </c>
      <c r="R19" s="1159">
        <v>7.8217237308146403</v>
      </c>
      <c r="S19" s="1157">
        <v>-1.3762515369752315</v>
      </c>
      <c r="T19" s="1157">
        <v>-2.5271385912524154</v>
      </c>
      <c r="U19" s="1157">
        <v>-4.177937818373441</v>
      </c>
      <c r="V19" s="1157">
        <v>-0.15808888108203073</v>
      </c>
      <c r="W19" s="1159">
        <v>-2.6937759822003624</v>
      </c>
    </row>
    <row r="20" spans="1:23" ht="15.75">
      <c r="A20" s="1154">
        <v>8</v>
      </c>
      <c r="B20" s="1157">
        <v>-3.18</v>
      </c>
      <c r="C20" s="1157">
        <v>-30.52</v>
      </c>
      <c r="D20" s="1123">
        <v>-7.21</v>
      </c>
      <c r="E20" s="1157">
        <v>20.03</v>
      </c>
      <c r="F20" s="1123">
        <v>5.78</v>
      </c>
      <c r="G20" s="1159">
        <v>8.02</v>
      </c>
      <c r="H20" s="1157">
        <v>11.15</v>
      </c>
      <c r="I20" s="1157">
        <v>-26.94</v>
      </c>
      <c r="J20" s="1157">
        <v>10.4</v>
      </c>
      <c r="K20" s="1157">
        <v>0</v>
      </c>
      <c r="L20" s="1157">
        <v>16.3</v>
      </c>
      <c r="M20" s="1159">
        <v>-8.26</v>
      </c>
      <c r="N20" s="1157">
        <v>-69.526387009472259</v>
      </c>
      <c r="O20" s="1157">
        <v>1.5967523680649529</v>
      </c>
      <c r="P20" s="1157">
        <v>-1.0825439783491255</v>
      </c>
      <c r="Q20" s="1157">
        <v>-12.15155615696888</v>
      </c>
      <c r="R20" s="1159">
        <v>-24.068561118628775</v>
      </c>
      <c r="S20" s="1157">
        <v>-2.0080779699710254</v>
      </c>
      <c r="T20" s="1157">
        <v>-3.1586618667134956</v>
      </c>
      <c r="U20" s="1157">
        <v>-3.8519624198788298</v>
      </c>
      <c r="V20" s="1157">
        <v>-0.15804723856352665</v>
      </c>
      <c r="W20" s="1159">
        <v>-3.0062340855211169</v>
      </c>
    </row>
    <row r="21" spans="1:23" ht="15.75">
      <c r="A21" s="1154">
        <v>9</v>
      </c>
      <c r="B21" s="1157">
        <v>-6.81</v>
      </c>
      <c r="C21" s="1157">
        <v>-37.200000000000003</v>
      </c>
      <c r="D21" s="1123">
        <v>-7.71</v>
      </c>
      <c r="E21" s="1157">
        <v>-0.3</v>
      </c>
      <c r="F21" s="1123">
        <v>3.89</v>
      </c>
      <c r="G21" s="1159">
        <v>0.2</v>
      </c>
      <c r="H21" s="1157">
        <v>-23.4</v>
      </c>
      <c r="I21" s="1157">
        <v>-25.37</v>
      </c>
      <c r="J21" s="1157">
        <v>14</v>
      </c>
      <c r="K21" s="1157">
        <v>0</v>
      </c>
      <c r="L21" s="1157">
        <v>16</v>
      </c>
      <c r="M21" s="1159">
        <v>-5.71</v>
      </c>
      <c r="N21" s="1157">
        <v>-60.103761348897535</v>
      </c>
      <c r="O21" s="1157">
        <v>-1.7898832684824899</v>
      </c>
      <c r="P21" s="1157">
        <v>16.549935149156944</v>
      </c>
      <c r="Q21" s="1157">
        <v>-7.8339818417639435</v>
      </c>
      <c r="R21" s="1159">
        <v>-13.921314310419369</v>
      </c>
      <c r="S21" s="1157">
        <v>-3.7714634358929664</v>
      </c>
      <c r="T21" s="1157">
        <v>-4.9129260001743225</v>
      </c>
      <c r="U21" s="1157">
        <v>-4.0643249368081582</v>
      </c>
      <c r="V21" s="1157">
        <v>0.88904384206397635</v>
      </c>
      <c r="W21" s="1159">
        <v>-4.2495714576251489</v>
      </c>
    </row>
    <row r="22" spans="1:23" ht="15.75">
      <c r="A22" s="1154">
        <v>10</v>
      </c>
      <c r="B22" s="1157">
        <v>-1.54</v>
      </c>
      <c r="C22" s="1157">
        <v>-30.88</v>
      </c>
      <c r="D22" s="1123">
        <v>-7.99</v>
      </c>
      <c r="E22" s="1157">
        <v>4.6100000000000003</v>
      </c>
      <c r="F22" s="1123">
        <v>4.09</v>
      </c>
      <c r="G22" s="1159">
        <v>3.69</v>
      </c>
      <c r="H22" s="1157">
        <v>18.36</v>
      </c>
      <c r="I22" s="1157">
        <v>-29.3</v>
      </c>
      <c r="J22" s="1157">
        <v>17.2</v>
      </c>
      <c r="K22" s="1157">
        <v>0</v>
      </c>
      <c r="L22" s="1157">
        <v>20.3</v>
      </c>
      <c r="M22" s="1159">
        <v>-6.6</v>
      </c>
      <c r="N22" s="1157">
        <v>-69.868995633187765</v>
      </c>
      <c r="O22" s="1157">
        <v>9.8895453377857692</v>
      </c>
      <c r="P22" s="1157">
        <v>22.784484973028519</v>
      </c>
      <c r="Q22" s="1157">
        <v>-8.2198818391985622</v>
      </c>
      <c r="R22" s="1159">
        <v>-18.991351999315011</v>
      </c>
      <c r="S22" s="1157">
        <v>-6.5041430440470993</v>
      </c>
      <c r="T22" s="1157">
        <v>-7.6464020933275183</v>
      </c>
      <c r="U22" s="1157">
        <v>-4.4334932402965554</v>
      </c>
      <c r="V22" s="1157">
        <v>0.87221979938944605</v>
      </c>
      <c r="W22" s="1159">
        <v>-6.1946794592237255</v>
      </c>
    </row>
    <row r="23" spans="1:23" ht="15.75">
      <c r="A23" s="1154">
        <v>11</v>
      </c>
      <c r="B23" s="1157">
        <v>8.92</v>
      </c>
      <c r="C23" s="1157">
        <v>-29.61</v>
      </c>
      <c r="D23" s="1123">
        <v>-8.7200000000000006</v>
      </c>
      <c r="E23" s="1157">
        <v>-8.44</v>
      </c>
      <c r="F23" s="1123">
        <v>2.39</v>
      </c>
      <c r="G23" s="1159">
        <v>3.07</v>
      </c>
      <c r="H23" s="1157">
        <v>15.51</v>
      </c>
      <c r="I23" s="1157">
        <v>-34.880000000000003</v>
      </c>
      <c r="J23" s="1157">
        <v>16.899999999999999</v>
      </c>
      <c r="K23" s="1157">
        <v>0</v>
      </c>
      <c r="L23" s="1157">
        <v>18.7</v>
      </c>
      <c r="M23" s="1159">
        <v>-9</v>
      </c>
      <c r="N23" s="1157">
        <v>-13.375959079283891</v>
      </c>
      <c r="O23" s="1157">
        <v>10.383631713554987</v>
      </c>
      <c r="P23" s="1157">
        <v>-40.89514066496163</v>
      </c>
      <c r="Q23" s="1157">
        <v>-8.7468030690537084</v>
      </c>
      <c r="R23" s="1159">
        <v>-21.551577152600174</v>
      </c>
      <c r="S23" s="1157">
        <v>-20.872533612711717</v>
      </c>
      <c r="T23" s="1157">
        <v>-11.854286712065655</v>
      </c>
      <c r="U23" s="1157">
        <v>-13.316396018858041</v>
      </c>
      <c r="V23" s="1157">
        <v>1.0302077876724292</v>
      </c>
      <c r="W23" s="1159">
        <v>-15.347738781211804</v>
      </c>
    </row>
    <row r="24" spans="1:23" ht="15.75">
      <c r="A24" s="1154">
        <v>12</v>
      </c>
      <c r="B24" s="1157">
        <v>6.11</v>
      </c>
      <c r="C24" s="1157">
        <v>-31.65</v>
      </c>
      <c r="D24" s="1123">
        <v>-11.87</v>
      </c>
      <c r="E24" s="1157">
        <v>-4.2699999999999996</v>
      </c>
      <c r="F24" s="1123">
        <v>-5.29</v>
      </c>
      <c r="G24" s="1159">
        <v>4.57</v>
      </c>
      <c r="H24" s="1157">
        <v>17.309999999999999</v>
      </c>
      <c r="I24" s="1157">
        <v>-35.39</v>
      </c>
      <c r="J24" s="1157">
        <v>19</v>
      </c>
      <c r="K24" s="1157">
        <v>1.73</v>
      </c>
      <c r="L24" s="1157">
        <v>18.8</v>
      </c>
      <c r="M24" s="1159">
        <v>-8.1999999999999993</v>
      </c>
      <c r="N24" s="1157">
        <v>-48.264553156600165</v>
      </c>
      <c r="O24" s="1157">
        <v>4.1814703470893715</v>
      </c>
      <c r="P24" s="1157">
        <v>-50.778901339163703</v>
      </c>
      <c r="Q24" s="1157">
        <v>-6.7504782727521224</v>
      </c>
      <c r="R24" s="1159">
        <v>-34.408308280951076</v>
      </c>
      <c r="S24" s="1157">
        <v>-25.829474971608274</v>
      </c>
      <c r="T24" s="1157">
        <v>-15.547654407268279</v>
      </c>
      <c r="U24" s="1157">
        <v>-17.652660085611949</v>
      </c>
      <c r="V24" s="1157">
        <v>-5.8006464575871401</v>
      </c>
      <c r="W24" s="1159">
        <v>-19.676596488162833</v>
      </c>
    </row>
    <row r="25" spans="1:23" ht="15.75">
      <c r="A25" s="1154">
        <v>2016</v>
      </c>
      <c r="B25" s="1157"/>
      <c r="C25" s="1157"/>
      <c r="D25" s="1123"/>
      <c r="E25" s="1157"/>
      <c r="F25" s="1123"/>
      <c r="G25" s="1159"/>
      <c r="H25" s="1157"/>
      <c r="I25" s="1157"/>
      <c r="J25" s="1157"/>
      <c r="K25" s="1157"/>
      <c r="L25" s="1157"/>
      <c r="M25" s="1159"/>
      <c r="N25" s="1157"/>
      <c r="O25" s="1157"/>
      <c r="P25" s="1157"/>
      <c r="Q25" s="1157"/>
      <c r="R25" s="1159"/>
      <c r="S25" s="1157"/>
      <c r="T25" s="1157"/>
      <c r="U25" s="1157"/>
      <c r="V25" s="1157"/>
      <c r="W25" s="1159"/>
    </row>
    <row r="26" spans="1:23" ht="15.75">
      <c r="A26" s="1154">
        <v>1</v>
      </c>
      <c r="B26" s="1157">
        <v>-12.09</v>
      </c>
      <c r="C26" s="1157">
        <v>-47.7</v>
      </c>
      <c r="D26" s="1123">
        <v>-18.96</v>
      </c>
      <c r="E26" s="1157">
        <v>3.85</v>
      </c>
      <c r="F26" s="1123">
        <v>17.239999999999998</v>
      </c>
      <c r="G26" s="1159">
        <v>3.57</v>
      </c>
      <c r="H26" s="1157">
        <v>-35.1</v>
      </c>
      <c r="I26" s="1157">
        <v>-36.86</v>
      </c>
      <c r="J26" s="1157">
        <v>-32.6</v>
      </c>
      <c r="K26" s="1157">
        <v>7.45</v>
      </c>
      <c r="L26" s="1157">
        <v>18</v>
      </c>
      <c r="M26" s="1159">
        <v>-34.75</v>
      </c>
      <c r="N26" s="1157">
        <v>-81.856651679449868</v>
      </c>
      <c r="O26" s="1157">
        <v>-9.2303623380058184</v>
      </c>
      <c r="P26" s="1157">
        <v>-44.009521290663848</v>
      </c>
      <c r="Q26" s="1157">
        <v>15.154720973287491</v>
      </c>
      <c r="R26" s="1159">
        <v>-38.878603544035968</v>
      </c>
      <c r="S26" s="1157">
        <v>-95.02669039145907</v>
      </c>
      <c r="T26" s="1157">
        <v>-92.411032028469734</v>
      </c>
      <c r="U26" s="1157">
        <v>-24.952846975088967</v>
      </c>
      <c r="V26" s="1157">
        <v>-1.7704626334519573</v>
      </c>
      <c r="W26" s="1159">
        <v>-70.796856465005931</v>
      </c>
    </row>
    <row r="27" spans="1:23" ht="15.75">
      <c r="A27" s="1154">
        <v>2</v>
      </c>
      <c r="B27" s="1157">
        <v>-25.77</v>
      </c>
      <c r="C27" s="1157">
        <v>-44.79</v>
      </c>
      <c r="D27" s="1123">
        <v>-12.35</v>
      </c>
      <c r="E27" s="1157">
        <v>27.66</v>
      </c>
      <c r="F27" s="1123">
        <v>2.56</v>
      </c>
      <c r="G27" s="1159">
        <v>4.75</v>
      </c>
      <c r="H27" s="1157">
        <v>-30.7</v>
      </c>
      <c r="I27" s="1157">
        <v>-33.630000000000003</v>
      </c>
      <c r="J27" s="1157">
        <v>-32.590000000000003</v>
      </c>
      <c r="K27" s="1157">
        <v>4.7</v>
      </c>
      <c r="L27" s="1157">
        <v>17.03</v>
      </c>
      <c r="M27" s="1159">
        <v>-32.81</v>
      </c>
      <c r="N27" s="1157">
        <v>-82.393119150012637</v>
      </c>
      <c r="O27" s="1157">
        <v>-4.351125727295722</v>
      </c>
      <c r="P27" s="1157">
        <v>7.5891727801671749E-2</v>
      </c>
      <c r="Q27" s="1157">
        <v>-22.666329370098659</v>
      </c>
      <c r="R27" s="1159">
        <v>-25.988700564971751</v>
      </c>
      <c r="S27" s="1157">
        <v>-38.603988603988604</v>
      </c>
      <c r="T27" s="1157">
        <v>-34.152421652421651</v>
      </c>
      <c r="U27" s="1157">
        <v>-25.917022792022792</v>
      </c>
      <c r="V27" s="1157">
        <v>-0.84579772079772075</v>
      </c>
      <c r="W27" s="1159">
        <v>-32.891144349477685</v>
      </c>
    </row>
    <row r="28" spans="1:23" ht="15.75">
      <c r="A28" s="1154">
        <v>3</v>
      </c>
      <c r="B28" s="1157">
        <v>-20.059999999999999</v>
      </c>
      <c r="C28" s="1157">
        <v>-39</v>
      </c>
      <c r="D28" s="1123">
        <v>-13.33</v>
      </c>
      <c r="E28" s="1157">
        <v>28.41</v>
      </c>
      <c r="F28" s="1123">
        <v>14.15</v>
      </c>
      <c r="G28" s="1159">
        <v>7.23</v>
      </c>
      <c r="H28" s="1157">
        <v>-31.03</v>
      </c>
      <c r="I28" s="1157">
        <v>-32.83</v>
      </c>
      <c r="J28" s="1157">
        <v>-82.68</v>
      </c>
      <c r="K28" s="1157">
        <v>4.68</v>
      </c>
      <c r="L28" s="1157">
        <v>16.57</v>
      </c>
      <c r="M28" s="1159">
        <v>-57.76</v>
      </c>
      <c r="N28" s="1157">
        <v>-73.506891271056659</v>
      </c>
      <c r="O28" s="1157">
        <v>-1.6334864726901475</v>
      </c>
      <c r="P28" s="1157">
        <v>14.395099540581924</v>
      </c>
      <c r="Q28" s="1157">
        <v>2.2970903522205215</v>
      </c>
      <c r="R28" s="1159">
        <v>-19.159435085928195</v>
      </c>
      <c r="S28" s="1157">
        <v>-32.693338096088588</v>
      </c>
      <c r="T28" s="1157">
        <v>-31.469905340239325</v>
      </c>
      <c r="U28" s="1157">
        <v>-22.754063225576001</v>
      </c>
      <c r="V28" s="1157">
        <v>-0.69655295588497934</v>
      </c>
      <c r="W28" s="1159">
        <v>-28.972435553968001</v>
      </c>
    </row>
    <row r="29" spans="1:23" ht="15.75">
      <c r="A29" s="1154">
        <v>4</v>
      </c>
      <c r="B29" s="1157">
        <v>-12.28</v>
      </c>
      <c r="C29" s="1157">
        <v>-38.159999999999997</v>
      </c>
      <c r="D29" s="1123">
        <v>-19.149999999999999</v>
      </c>
      <c r="E29" s="1157">
        <v>21.74</v>
      </c>
      <c r="F29" s="1123">
        <v>7.8</v>
      </c>
      <c r="G29" s="1159">
        <v>9.5399999999999991</v>
      </c>
      <c r="H29" s="1157">
        <v>-30.74</v>
      </c>
      <c r="I29" s="1157">
        <v>-32.520000000000003</v>
      </c>
      <c r="J29" s="1157">
        <v>-82.9</v>
      </c>
      <c r="K29" s="1157">
        <v>4.7</v>
      </c>
      <c r="L29" s="1157">
        <v>15.52</v>
      </c>
      <c r="M29" s="1159">
        <v>-57.72</v>
      </c>
      <c r="N29" s="1157">
        <v>-67.927421415793503</v>
      </c>
      <c r="O29" s="1157">
        <v>5.7245080500894465</v>
      </c>
      <c r="P29" s="1157">
        <v>5.0856120623562475</v>
      </c>
      <c r="Q29" s="1157">
        <v>2.5555839509328271E-2</v>
      </c>
      <c r="R29" s="1159">
        <v>-22.855439134508902</v>
      </c>
      <c r="S29" s="1157">
        <v>-31.198070222460466</v>
      </c>
      <c r="T29" s="1157">
        <v>-11.891360671848476</v>
      </c>
      <c r="U29" s="1157">
        <v>-22.791030108103275</v>
      </c>
      <c r="V29" s="1157">
        <v>-0.22335388189046723</v>
      </c>
      <c r="W29" s="1159">
        <v>-21.960153667470742</v>
      </c>
    </row>
    <row r="30" spans="1:23" ht="15.75">
      <c r="A30" s="1154">
        <v>5</v>
      </c>
      <c r="B30" s="1157">
        <v>16.7</v>
      </c>
      <c r="C30" s="1157">
        <v>-34.79</v>
      </c>
      <c r="D30" s="1123">
        <v>-21.75</v>
      </c>
      <c r="E30" s="1157">
        <v>23.17</v>
      </c>
      <c r="F30" s="1123">
        <v>5.69</v>
      </c>
      <c r="G30" s="1159">
        <v>20.54</v>
      </c>
      <c r="H30" s="1157">
        <v>-30.7</v>
      </c>
      <c r="I30" s="1157">
        <v>-31.36</v>
      </c>
      <c r="J30" s="1157">
        <v>-78.599999999999994</v>
      </c>
      <c r="K30" s="1157">
        <v>7.85</v>
      </c>
      <c r="L30" s="1157">
        <v>15.02</v>
      </c>
      <c r="M30" s="1159">
        <v>-54.96</v>
      </c>
      <c r="N30" s="1157">
        <v>-61.102680829539707</v>
      </c>
      <c r="O30" s="1157">
        <v>0.6069802731411218</v>
      </c>
      <c r="P30" s="1157">
        <v>6.6262013151239181</v>
      </c>
      <c r="Q30" s="1157">
        <v>0.93576125442589753</v>
      </c>
      <c r="R30" s="1159">
        <v>-18.361153262518972</v>
      </c>
      <c r="S30" s="1157">
        <v>-11.047602036259713</v>
      </c>
      <c r="T30" s="1157">
        <v>-13.164240421541486</v>
      </c>
      <c r="U30" s="1157">
        <v>-11.556666964365457</v>
      </c>
      <c r="V30" s="1157">
        <v>0.70554612842725728</v>
      </c>
      <c r="W30" s="1159">
        <v>-11.922836474055549</v>
      </c>
    </row>
    <row r="31" spans="1:23" ht="15.75">
      <c r="A31" s="1154">
        <v>6</v>
      </c>
      <c r="B31" s="1157">
        <v>20.399999999999999</v>
      </c>
      <c r="C31" s="1157">
        <v>-28.99</v>
      </c>
      <c r="D31" s="1123">
        <v>-12.04</v>
      </c>
      <c r="E31" s="1157">
        <v>14.67</v>
      </c>
      <c r="F31" s="1123">
        <v>0.06</v>
      </c>
      <c r="G31" s="1159">
        <v>15.79</v>
      </c>
      <c r="H31" s="1157">
        <v>-29.369240108161797</v>
      </c>
      <c r="I31" s="1157">
        <v>-30.522598090613101</v>
      </c>
      <c r="J31" s="1157">
        <v>-77.633684675238683</v>
      </c>
      <c r="K31" s="1157">
        <v>5.871640637933889</v>
      </c>
      <c r="L31" s="1157">
        <v>14.766017327962034</v>
      </c>
      <c r="M31" s="1159">
        <v>-54.078141382925892</v>
      </c>
      <c r="N31" s="1157">
        <v>-60.366640846888721</v>
      </c>
      <c r="O31" s="1157">
        <v>-1.7041053446940351</v>
      </c>
      <c r="P31" s="1157">
        <v>6.2742060418280445</v>
      </c>
      <c r="Q31" s="1157">
        <v>3.2274722437387036</v>
      </c>
      <c r="R31" s="1159">
        <v>-17.462776486788883</v>
      </c>
      <c r="S31" s="1157">
        <v>-1.170165252344797</v>
      </c>
      <c r="T31" s="1157">
        <v>0.14292094685127271</v>
      </c>
      <c r="U31" s="1157">
        <v>-7.4493970522554722</v>
      </c>
      <c r="V31" s="1157">
        <v>-0.1518535060294775</v>
      </c>
      <c r="W31" s="1159">
        <v>-2.8255471192496651</v>
      </c>
    </row>
    <row r="32" spans="1:23" ht="15.75">
      <c r="A32" s="1154">
        <v>7</v>
      </c>
      <c r="B32" s="1157">
        <v>9.5399999999999991</v>
      </c>
      <c r="C32" s="1157">
        <v>-27.92</v>
      </c>
      <c r="D32" s="1123">
        <v>-16.13</v>
      </c>
      <c r="E32" s="1157">
        <v>18.510000000000002</v>
      </c>
      <c r="F32" s="1123">
        <v>-0.09</v>
      </c>
      <c r="G32" s="1159">
        <v>14.73</v>
      </c>
      <c r="H32" s="1157">
        <v>-28.747257451704396</v>
      </c>
      <c r="I32" s="1157">
        <v>-29.111146786536096</v>
      </c>
      <c r="J32" s="1157">
        <v>-26.285653127842888</v>
      </c>
      <c r="K32" s="1157">
        <v>5.5011505324557177</v>
      </c>
      <c r="L32" s="1157">
        <v>14.337400331781453</v>
      </c>
      <c r="M32" s="1159">
        <v>-27.698399957189494</v>
      </c>
      <c r="N32" s="1157">
        <v>-32.086223984142713</v>
      </c>
      <c r="O32" s="1157">
        <v>-1.9326065411298303</v>
      </c>
      <c r="P32" s="1157">
        <v>19.995044598612488</v>
      </c>
      <c r="Q32" s="1157">
        <v>2.9732408325074333</v>
      </c>
      <c r="R32" s="1159">
        <v>-3.3861909481334642</v>
      </c>
      <c r="S32" s="1157">
        <v>-11.207435874519616</v>
      </c>
      <c r="T32" s="1157">
        <v>-2.5828939136652065</v>
      </c>
      <c r="U32" s="1157">
        <v>3.6289212619537072</v>
      </c>
      <c r="V32" s="1157">
        <v>1.0546072035034408</v>
      </c>
      <c r="W32" s="1159">
        <v>-3.3871361754103719</v>
      </c>
    </row>
    <row r="33" spans="1:23" ht="15.75">
      <c r="A33" s="1154">
        <v>8</v>
      </c>
      <c r="B33" s="1157">
        <v>14.37</v>
      </c>
      <c r="C33" s="1157">
        <v>-26.27</v>
      </c>
      <c r="D33" s="1123">
        <v>-13.79</v>
      </c>
      <c r="E33" s="1157">
        <v>8.5299999999999994</v>
      </c>
      <c r="F33" s="1123">
        <v>0.31</v>
      </c>
      <c r="G33" s="1159">
        <v>12.23</v>
      </c>
      <c r="H33" s="1157">
        <v>-28.25</v>
      </c>
      <c r="I33" s="1157">
        <v>-29.05</v>
      </c>
      <c r="J33" s="1157">
        <v>-28.6</v>
      </c>
      <c r="K33" s="1157">
        <v>4.1900000000000004</v>
      </c>
      <c r="L33" s="1157">
        <v>13.9</v>
      </c>
      <c r="M33" s="1159">
        <v>-28.83</v>
      </c>
      <c r="N33" s="1157">
        <v>-15.923249439322202</v>
      </c>
      <c r="O33" s="1157">
        <v>3.2643907301270856</v>
      </c>
      <c r="P33" s="1157">
        <v>-46.274607525541981</v>
      </c>
      <c r="Q33" s="1157">
        <v>3.1647146772987789</v>
      </c>
      <c r="R33" s="1159">
        <v>-21.820749231663758</v>
      </c>
      <c r="S33" s="1157">
        <v>-8.3191850594227503</v>
      </c>
      <c r="T33" s="1157">
        <v>-4.3427754445536593</v>
      </c>
      <c r="U33" s="1157">
        <v>-2.4305245286390837</v>
      </c>
      <c r="V33" s="1157">
        <v>-8.935751943526471E-3</v>
      </c>
      <c r="W33" s="1159">
        <v>-5.0308283442051636</v>
      </c>
    </row>
    <row r="34" spans="1:23" ht="15.75">
      <c r="A34" s="1154">
        <v>9</v>
      </c>
      <c r="B34" s="1157">
        <v>12.91</v>
      </c>
      <c r="C34" s="1157">
        <v>-32.700000000000003</v>
      </c>
      <c r="D34" s="1123">
        <v>-15.59</v>
      </c>
      <c r="E34" s="1157">
        <v>-2.11</v>
      </c>
      <c r="F34" s="1123">
        <v>-8.1300000000000008</v>
      </c>
      <c r="G34" s="1159">
        <v>8.8000000000000007</v>
      </c>
      <c r="H34" s="1157">
        <v>-28.39</v>
      </c>
      <c r="I34" s="1157">
        <v>-29.03</v>
      </c>
      <c r="J34" s="1157">
        <v>-28.6</v>
      </c>
      <c r="K34" s="1157">
        <v>3.28</v>
      </c>
      <c r="L34" s="1157">
        <v>13.94</v>
      </c>
      <c r="M34" s="1159">
        <v>-28.81</v>
      </c>
      <c r="N34" s="1157">
        <v>-41.681217261162388</v>
      </c>
      <c r="O34" s="1157">
        <v>2.4195559990022448</v>
      </c>
      <c r="P34" s="1157">
        <v>-36.991768520828138</v>
      </c>
      <c r="Q34" s="1157">
        <v>-27.138937390870545</v>
      </c>
      <c r="R34" s="1159">
        <v>-27.030847260330926</v>
      </c>
      <c r="S34" s="1157">
        <v>-17.878408582923559</v>
      </c>
      <c r="T34" s="1157">
        <v>-8.0974519445686166</v>
      </c>
      <c r="U34" s="1157">
        <v>-2.062583817612873</v>
      </c>
      <c r="V34" s="1157">
        <v>2.297720160929817</v>
      </c>
      <c r="W34" s="1159">
        <v>-9.3461481150350156</v>
      </c>
    </row>
    <row r="35" spans="1:23" ht="15.75">
      <c r="A35" s="1154">
        <v>10</v>
      </c>
      <c r="B35" s="1157">
        <v>16.47</v>
      </c>
      <c r="C35" s="1157">
        <v>-23.47</v>
      </c>
      <c r="D35" s="1123">
        <v>-25.76</v>
      </c>
      <c r="E35" s="1157">
        <v>8.01</v>
      </c>
      <c r="F35" s="1123">
        <v>-3.03</v>
      </c>
      <c r="G35" s="1159">
        <v>16.75</v>
      </c>
      <c r="H35" s="1157">
        <v>-82.83</v>
      </c>
      <c r="I35" s="1157">
        <v>-29.71</v>
      </c>
      <c r="J35" s="1157">
        <v>-83</v>
      </c>
      <c r="K35" s="1157">
        <v>1.0900000000000001</v>
      </c>
      <c r="L35" s="1157">
        <v>13.37</v>
      </c>
      <c r="M35" s="1159">
        <v>-56.4</v>
      </c>
      <c r="N35" s="1157">
        <v>-17.406659939455096</v>
      </c>
      <c r="O35" s="1157">
        <v>2.8254288597376407</v>
      </c>
      <c r="P35" s="1157">
        <v>-9.8133198789101925</v>
      </c>
      <c r="Q35" s="1157">
        <v>2.5479313824419783</v>
      </c>
      <c r="R35" s="1159">
        <v>-10.01513622603431</v>
      </c>
      <c r="S35" s="1157">
        <v>-22.9475943480594</v>
      </c>
      <c r="T35" s="1157">
        <v>-11.3217671257378</v>
      </c>
      <c r="U35" s="1157">
        <v>-3.4072616705419398</v>
      </c>
      <c r="V35" s="1157">
        <v>13.396530137721339</v>
      </c>
      <c r="W35" s="1159">
        <v>-12.558874381446373</v>
      </c>
    </row>
    <row r="36" spans="1:23" ht="15.75">
      <c r="A36" s="1154">
        <v>11</v>
      </c>
      <c r="B36" s="1157">
        <v>15.03</v>
      </c>
      <c r="C36" s="1157">
        <v>-15.86</v>
      </c>
      <c r="D36" s="1123">
        <v>-4.74</v>
      </c>
      <c r="E36" s="1157">
        <v>11.55</v>
      </c>
      <c r="F36" s="1123">
        <v>4.38</v>
      </c>
      <c r="G36" s="1159">
        <v>10.44</v>
      </c>
      <c r="H36" s="1157">
        <v>-81.099999999999994</v>
      </c>
      <c r="I36" s="1157">
        <v>-30.63</v>
      </c>
      <c r="J36" s="1157">
        <v>-81.3</v>
      </c>
      <c r="K36" s="1157">
        <v>1.3</v>
      </c>
      <c r="L36" s="1157">
        <v>12.85</v>
      </c>
      <c r="M36" s="1159">
        <v>-55.97</v>
      </c>
      <c r="N36" s="1157">
        <v>-17.647058823529409</v>
      </c>
      <c r="O36" s="1157">
        <v>0.50709939148072936</v>
      </c>
      <c r="P36" s="1157">
        <v>-18.458417849898581</v>
      </c>
      <c r="Q36" s="1157">
        <v>2.7383367139959436</v>
      </c>
      <c r="R36" s="1159">
        <v>-12.204192021636239</v>
      </c>
      <c r="S36" s="1157">
        <v>-17.807481833677222</v>
      </c>
      <c r="T36" s="1157">
        <v>-13.016955234592301</v>
      </c>
      <c r="U36" s="1157">
        <v>-7.2127029694088103</v>
      </c>
      <c r="V36" s="1157">
        <v>22.849197093388401</v>
      </c>
      <c r="W36" s="1159">
        <v>-12.679046679226101</v>
      </c>
    </row>
    <row r="37" spans="1:23" ht="15.75">
      <c r="A37" s="1154">
        <v>12</v>
      </c>
      <c r="B37" s="1157">
        <v>-5.49</v>
      </c>
      <c r="C37" s="1157">
        <v>-22.42</v>
      </c>
      <c r="D37" s="1123">
        <v>2.54</v>
      </c>
      <c r="E37" s="1157">
        <v>-8.92</v>
      </c>
      <c r="F37" s="1123">
        <v>9.94</v>
      </c>
      <c r="G37" s="1159">
        <v>-5.62</v>
      </c>
      <c r="H37" s="1157">
        <v>-79.849999999999994</v>
      </c>
      <c r="I37" s="1157">
        <v>-31.49</v>
      </c>
      <c r="J37" s="1157">
        <v>-80.099999999999994</v>
      </c>
      <c r="K37" s="1157">
        <v>2.54</v>
      </c>
      <c r="L37" s="1157">
        <v>11.67</v>
      </c>
      <c r="M37" s="1159">
        <v>-55.77</v>
      </c>
      <c r="N37" s="1157">
        <v>-49.026676279740443</v>
      </c>
      <c r="O37" s="1157">
        <v>-5.7197788993030532</v>
      </c>
      <c r="P37" s="1157">
        <v>-21.605383321316992</v>
      </c>
      <c r="Q37" s="1157">
        <v>-1.6101898582071619</v>
      </c>
      <c r="R37" s="1159">
        <v>-21.637426900584789</v>
      </c>
      <c r="S37" s="1157">
        <v>-7.5955056179775298</v>
      </c>
      <c r="T37" s="1157">
        <v>-16.395505617977499</v>
      </c>
      <c r="U37" s="1157">
        <v>-10.867415730337079</v>
      </c>
      <c r="V37" s="1157">
        <v>13.033707865168539</v>
      </c>
      <c r="W37" s="1159">
        <v>-11.619475655430699</v>
      </c>
    </row>
    <row r="38" spans="1:23" ht="15.75">
      <c r="A38" s="1154">
        <v>2017</v>
      </c>
      <c r="B38" s="1157"/>
      <c r="C38" s="1157"/>
      <c r="D38" s="1123"/>
      <c r="E38" s="1157"/>
      <c r="F38" s="1123"/>
      <c r="G38" s="1159"/>
      <c r="H38" s="1157"/>
      <c r="I38" s="1157"/>
      <c r="J38" s="1157"/>
      <c r="K38" s="1157"/>
      <c r="L38" s="1157"/>
      <c r="M38" s="1159"/>
      <c r="N38" s="1157"/>
      <c r="O38" s="1157"/>
      <c r="P38" s="1157"/>
      <c r="Q38" s="1157"/>
      <c r="R38" s="1159"/>
      <c r="S38" s="1157"/>
      <c r="T38" s="1157"/>
      <c r="U38" s="1157"/>
      <c r="V38" s="1157"/>
      <c r="W38" s="1159"/>
    </row>
    <row r="39" spans="1:23" ht="15.75">
      <c r="A39" s="1154">
        <v>1</v>
      </c>
      <c r="B39" s="1157">
        <v>5.27</v>
      </c>
      <c r="C39" s="1157">
        <v>-18.68</v>
      </c>
      <c r="D39" s="1123">
        <v>-3.91</v>
      </c>
      <c r="E39" s="1157">
        <v>-8.92</v>
      </c>
      <c r="F39" s="1123">
        <v>8.4499999999999993</v>
      </c>
      <c r="G39" s="1159">
        <v>0.09</v>
      </c>
      <c r="H39" s="1157">
        <v>-79.84</v>
      </c>
      <c r="I39" s="1157">
        <v>-31.47</v>
      </c>
      <c r="J39" s="1157">
        <v>-79.599999999999994</v>
      </c>
      <c r="K39" s="1157">
        <v>2.5499999999999998</v>
      </c>
      <c r="L39" s="1157">
        <v>12.3</v>
      </c>
      <c r="M39" s="1159">
        <v>-55.53</v>
      </c>
      <c r="N39" s="1157">
        <v>-56.248500839529861</v>
      </c>
      <c r="O39" s="1157">
        <v>-3.4300791556728236</v>
      </c>
      <c r="P39" s="1157">
        <v>-49.796114176061408</v>
      </c>
      <c r="Q39" s="1157">
        <v>4.749340369393142</v>
      </c>
      <c r="R39" s="1159">
        <v>-34.204845286639483</v>
      </c>
      <c r="S39" s="1157">
        <v>-19.800053083252234</v>
      </c>
      <c r="T39" s="1157">
        <v>-17.296293019552333</v>
      </c>
      <c r="U39" s="1157">
        <v>-8.9976112536494721</v>
      </c>
      <c r="V39" s="1157">
        <v>10.908608334070601</v>
      </c>
      <c r="W39" s="1159">
        <v>-15.364652452151345</v>
      </c>
    </row>
    <row r="40" spans="1:23" ht="15.75">
      <c r="A40" s="1154">
        <v>2</v>
      </c>
      <c r="B40" s="1157">
        <v>-2.89</v>
      </c>
      <c r="C40" s="1157">
        <v>-11.19</v>
      </c>
      <c r="D40" s="1123">
        <v>-3.04</v>
      </c>
      <c r="E40" s="1157">
        <v>14.41</v>
      </c>
      <c r="F40" s="1123">
        <v>5.57</v>
      </c>
      <c r="G40" s="1159">
        <v>4.8600000000000003</v>
      </c>
      <c r="H40" s="1157">
        <v>-79.75</v>
      </c>
      <c r="I40" s="1157">
        <v>-36.54</v>
      </c>
      <c r="J40" s="1157">
        <v>-74.099999999999994</v>
      </c>
      <c r="K40" s="1157">
        <v>2.5499999999999998</v>
      </c>
      <c r="L40" s="1157">
        <v>12.31</v>
      </c>
      <c r="M40" s="1159">
        <v>-55.3</v>
      </c>
      <c r="N40" s="1157">
        <v>-38.236680810938239</v>
      </c>
      <c r="O40" s="1157">
        <v>-4.1018387553041036</v>
      </c>
      <c r="P40" s="1157">
        <v>-12.140499764262142</v>
      </c>
      <c r="Q40" s="1157">
        <v>5.2569542668552574</v>
      </c>
      <c r="R40" s="1159">
        <v>-15.425113939965428</v>
      </c>
      <c r="S40" s="1157">
        <v>-20.984478935698448</v>
      </c>
      <c r="T40" s="1157">
        <v>-8.913525498891353</v>
      </c>
      <c r="U40" s="1157">
        <v>-18.802660753880264</v>
      </c>
      <c r="V40" s="1157">
        <v>15.831485587583147</v>
      </c>
      <c r="W40" s="1159">
        <v>-16.233555062823356</v>
      </c>
    </row>
    <row r="41" spans="1:23" ht="15.75">
      <c r="A41" s="1154">
        <v>3</v>
      </c>
      <c r="B41" s="1157">
        <v>5.38</v>
      </c>
      <c r="C41" s="1157">
        <v>-24.71</v>
      </c>
      <c r="D41" s="1123">
        <v>-6.99</v>
      </c>
      <c r="E41" s="1157">
        <v>19.38</v>
      </c>
      <c r="F41" s="1123">
        <v>6.06</v>
      </c>
      <c r="G41" s="1159">
        <v>10.58</v>
      </c>
      <c r="H41" s="1157">
        <v>-78.569999999999993</v>
      </c>
      <c r="I41" s="1157">
        <v>-35.369999999999997</v>
      </c>
      <c r="J41" s="1157">
        <v>-71.599999999999994</v>
      </c>
      <c r="K41" s="1157">
        <v>6.19</v>
      </c>
      <c r="L41" s="1157">
        <v>12.31</v>
      </c>
      <c r="M41" s="1159">
        <v>-53.51</v>
      </c>
      <c r="N41" s="1157">
        <v>-61.907032181168056</v>
      </c>
      <c r="O41" s="1157">
        <v>0.71513706793802179</v>
      </c>
      <c r="P41" s="1157">
        <v>18.831942789034564</v>
      </c>
      <c r="Q41" s="1157">
        <v>-5.0536352800953521</v>
      </c>
      <c r="R41" s="1159">
        <v>-14.596742153357171</v>
      </c>
      <c r="S41" s="1157">
        <v>-14.007803493837015</v>
      </c>
      <c r="T41" s="1157">
        <v>-8.3085927108273481</v>
      </c>
      <c r="U41" s="1157">
        <v>-12.432384499423607</v>
      </c>
      <c r="V41" s="1157">
        <v>16.514498536844908</v>
      </c>
      <c r="W41" s="1159">
        <v>-11.582926901362654</v>
      </c>
    </row>
    <row r="42" spans="1:23" ht="15.75">
      <c r="A42" s="1154">
        <v>4</v>
      </c>
      <c r="B42" s="1157">
        <v>-7.22</v>
      </c>
      <c r="C42" s="1157">
        <v>-22.64</v>
      </c>
      <c r="D42" s="1123">
        <v>-5.87</v>
      </c>
      <c r="E42" s="1157">
        <v>22.16</v>
      </c>
      <c r="F42" s="1123">
        <v>3.41</v>
      </c>
      <c r="G42" s="1159">
        <v>6.94</v>
      </c>
      <c r="H42" s="1157">
        <v>-78.569999999999993</v>
      </c>
      <c r="I42" s="1157">
        <v>-35.36</v>
      </c>
      <c r="J42" s="1157">
        <v>-71.900000000000006</v>
      </c>
      <c r="K42" s="1157">
        <v>6.19</v>
      </c>
      <c r="L42" s="1157">
        <v>12.31</v>
      </c>
      <c r="M42" s="1159">
        <v>-53.61</v>
      </c>
      <c r="N42" s="1157">
        <v>-48.685796961659037</v>
      </c>
      <c r="O42" s="1157">
        <v>0.72341451651796418</v>
      </c>
      <c r="P42" s="1157">
        <v>7.8852182300458153</v>
      </c>
      <c r="Q42" s="1157">
        <v>-1.7361948396431157</v>
      </c>
      <c r="R42" s="1159">
        <v>-13.841331082710393</v>
      </c>
      <c r="S42" s="1157">
        <v>-12.4293695131684</v>
      </c>
      <c r="T42" s="1157">
        <v>-4.7526824510064731</v>
      </c>
      <c r="U42" s="1157">
        <v>-5.9678992639886497</v>
      </c>
      <c r="V42" s="1157">
        <v>13.002926310188878</v>
      </c>
      <c r="W42" s="1159">
        <v>-7.7166504093878396</v>
      </c>
    </row>
    <row r="43" spans="1:23" ht="15.75">
      <c r="A43" s="1154">
        <v>5</v>
      </c>
      <c r="B43" s="1157">
        <v>-0.05</v>
      </c>
      <c r="C43" s="1157">
        <v>-17.760000000000002</v>
      </c>
      <c r="D43" s="1123">
        <v>-7.72</v>
      </c>
      <c r="E43" s="1157">
        <v>23.6</v>
      </c>
      <c r="F43" s="1123">
        <v>4</v>
      </c>
      <c r="G43" s="1159">
        <v>10.42</v>
      </c>
      <c r="H43" s="1157">
        <v>-76.7</v>
      </c>
      <c r="I43" s="1157">
        <v>-38.409999999999997</v>
      </c>
      <c r="J43" s="1157">
        <v>-69.400000000000006</v>
      </c>
      <c r="K43" s="1157">
        <v>6.5</v>
      </c>
      <c r="L43" s="1157">
        <v>13.14</v>
      </c>
      <c r="M43" s="1159">
        <v>-53.9</v>
      </c>
      <c r="N43" s="1157">
        <v>-51.249399327246515</v>
      </c>
      <c r="O43" s="1157">
        <v>0</v>
      </c>
      <c r="P43" s="1157">
        <v>7.8567996155694368</v>
      </c>
      <c r="Q43" s="1157">
        <v>-4.6131667467563684</v>
      </c>
      <c r="R43" s="1159">
        <v>-14.464199903892361</v>
      </c>
      <c r="S43" s="1157">
        <v>-7.5344506517690899</v>
      </c>
      <c r="T43" s="1157">
        <v>0.24864768998847206</v>
      </c>
      <c r="U43" s="1157">
        <v>2.944045402145961</v>
      </c>
      <c r="V43" s="1157">
        <v>3.6830717389376604</v>
      </c>
      <c r="W43" s="1159">
        <v>-1.4472525198782176</v>
      </c>
    </row>
    <row r="44" spans="1:23" ht="15.75">
      <c r="A44" s="1154">
        <v>6</v>
      </c>
      <c r="B44" s="1157">
        <v>23.8</v>
      </c>
      <c r="C44" s="1157">
        <v>-20.99</v>
      </c>
      <c r="D44" s="1123">
        <v>-8.3000000000000007</v>
      </c>
      <c r="E44" s="1157">
        <v>22.91</v>
      </c>
      <c r="F44" s="1123">
        <v>6.27</v>
      </c>
      <c r="G44" s="1159">
        <v>18.329999999999998</v>
      </c>
      <c r="H44" s="1157">
        <v>-76.42</v>
      </c>
      <c r="I44" s="1157">
        <v>-38.880000000000003</v>
      </c>
      <c r="J44" s="1157">
        <v>-69</v>
      </c>
      <c r="K44" s="1157">
        <v>6.58</v>
      </c>
      <c r="L44" s="1157">
        <v>12.68</v>
      </c>
      <c r="M44" s="1159">
        <v>-53.95</v>
      </c>
      <c r="N44" s="1157">
        <v>-51.249399327246515</v>
      </c>
      <c r="O44" s="1157">
        <v>0</v>
      </c>
      <c r="P44" s="1157">
        <v>7.8567996155694368</v>
      </c>
      <c r="Q44" s="1157">
        <v>-4.6131667467563684</v>
      </c>
      <c r="R44" s="1159">
        <v>-14.464199903892361</v>
      </c>
      <c r="S44" s="1157">
        <v>1.8919829726853494</v>
      </c>
      <c r="T44" s="1157">
        <v>9.8974813763746017</v>
      </c>
      <c r="U44" s="1157">
        <v>2.7580702376729338</v>
      </c>
      <c r="V44" s="1157">
        <v>3.754345512593118</v>
      </c>
      <c r="W44" s="1159">
        <v>4.849178195577629</v>
      </c>
    </row>
    <row r="45" spans="1:23" ht="15.75">
      <c r="A45" s="1154">
        <v>7</v>
      </c>
      <c r="B45" s="1157">
        <v>27.29</v>
      </c>
      <c r="C45" s="1157">
        <v>-14.31</v>
      </c>
      <c r="D45" s="1123">
        <v>-8.75</v>
      </c>
      <c r="E45" s="1157">
        <v>25.99</v>
      </c>
      <c r="F45" s="1123">
        <v>6.74</v>
      </c>
      <c r="G45" s="1159">
        <v>20.68</v>
      </c>
      <c r="H45" s="1157">
        <v>-75.77</v>
      </c>
      <c r="I45" s="1157">
        <v>-39.93</v>
      </c>
      <c r="J45" s="1157">
        <v>-68.2</v>
      </c>
      <c r="K45" s="1157">
        <v>6.53</v>
      </c>
      <c r="L45" s="1157">
        <v>12.22</v>
      </c>
      <c r="M45" s="1159">
        <v>-54.05</v>
      </c>
      <c r="N45" s="1157">
        <v>-37.681504403713404</v>
      </c>
      <c r="O45" s="1157">
        <v>-4.4037134015710553</v>
      </c>
      <c r="P45" s="1157">
        <v>6.4746488931206887</v>
      </c>
      <c r="Q45" s="1157">
        <v>-3.9514401333015949</v>
      </c>
      <c r="R45" s="1159">
        <v>-8.9343807030072213</v>
      </c>
      <c r="S45" s="1157">
        <v>10.519996452957347</v>
      </c>
      <c r="T45" s="1157">
        <v>1.6497295379976942</v>
      </c>
      <c r="U45" s="1157">
        <v>2.4740622505985637</v>
      </c>
      <c r="V45" s="1157">
        <v>3.8338210516981466</v>
      </c>
      <c r="W45" s="1159">
        <v>4.8812627471845351</v>
      </c>
    </row>
    <row r="46" spans="1:23" ht="15.75">
      <c r="A46" s="1154">
        <v>8</v>
      </c>
      <c r="B46" s="1157">
        <v>25.99</v>
      </c>
      <c r="C46" s="1157">
        <v>-17.41</v>
      </c>
      <c r="D46" s="1123">
        <v>1.56</v>
      </c>
      <c r="E46" s="1157">
        <v>21.46</v>
      </c>
      <c r="F46" s="1123">
        <v>0.48</v>
      </c>
      <c r="G46" s="1159">
        <v>15.29</v>
      </c>
      <c r="H46" s="1157">
        <v>-75.069999999999993</v>
      </c>
      <c r="I46" s="1157">
        <v>-41.01</v>
      </c>
      <c r="J46" s="1157">
        <v>-67.3</v>
      </c>
      <c r="K46" s="1157">
        <v>7.2</v>
      </c>
      <c r="L46" s="1157">
        <v>12.2</v>
      </c>
      <c r="M46" s="1159">
        <v>-54.16</v>
      </c>
      <c r="N46" s="1157">
        <v>-34.388386482627318</v>
      </c>
      <c r="O46" s="1157">
        <v>-3.2841504045692522</v>
      </c>
      <c r="P46" s="1157">
        <v>7.5678248453117503</v>
      </c>
      <c r="Q46" s="1157">
        <v>-4.5216563541170869</v>
      </c>
      <c r="R46" s="1159">
        <v>-7.8454704109154374</v>
      </c>
      <c r="S46" s="1157">
        <v>10.519996452957347</v>
      </c>
      <c r="T46" s="1157">
        <v>4.3543495610534713</v>
      </c>
      <c r="U46" s="1157">
        <v>3.0947947149064472</v>
      </c>
      <c r="V46" s="1157">
        <v>3.8338210516981466</v>
      </c>
      <c r="W46" s="1159">
        <v>5.9897135763057552</v>
      </c>
    </row>
    <row r="47" spans="1:23" ht="15.75">
      <c r="A47" s="1154">
        <v>9</v>
      </c>
      <c r="B47" s="1157">
        <v>15.32</v>
      </c>
      <c r="C47" s="1157">
        <v>-16.36</v>
      </c>
      <c r="D47" s="1123">
        <v>0.17</v>
      </c>
      <c r="E47" s="1157">
        <v>-3.47</v>
      </c>
      <c r="F47" s="1123">
        <v>0.62</v>
      </c>
      <c r="G47" s="1159">
        <v>3.89</v>
      </c>
      <c r="H47" s="1157">
        <v>-74.47</v>
      </c>
      <c r="I47" s="1157">
        <v>-41.88</v>
      </c>
      <c r="J47" s="1157">
        <v>-68</v>
      </c>
      <c r="K47" s="1157">
        <v>7.36</v>
      </c>
      <c r="L47" s="1157">
        <v>11.36</v>
      </c>
      <c r="M47" s="1159">
        <v>-54.92</v>
      </c>
      <c r="N47" s="1157">
        <v>-22.822465492622555</v>
      </c>
      <c r="O47" s="1157">
        <v>27.772489290813901</v>
      </c>
      <c r="P47" s="1157">
        <v>-36.934792955735368</v>
      </c>
      <c r="Q47" s="1157">
        <v>-3.9504997620180875</v>
      </c>
      <c r="R47" s="1159">
        <v>-29.176582579723938</v>
      </c>
      <c r="S47" s="1157">
        <v>3.0921344329165548</v>
      </c>
      <c r="T47" s="1157">
        <v>2.3383878691141256</v>
      </c>
      <c r="U47" s="1157">
        <v>-6.4082646093819271</v>
      </c>
      <c r="V47" s="1157">
        <v>10.865478407377847</v>
      </c>
      <c r="W47" s="1159">
        <v>-0.32591410245041558</v>
      </c>
    </row>
    <row r="48" spans="1:23" ht="15.75">
      <c r="A48" s="1154">
        <v>10</v>
      </c>
      <c r="B48" s="1157">
        <v>0.65</v>
      </c>
      <c r="C48" s="1157">
        <v>-21</v>
      </c>
      <c r="D48" s="1123">
        <v>-4.75</v>
      </c>
      <c r="E48" s="1157">
        <v>-2.1</v>
      </c>
      <c r="F48" s="1123">
        <v>0.32</v>
      </c>
      <c r="G48" s="1159">
        <v>1.1000000000000001</v>
      </c>
      <c r="H48" s="1157">
        <v>-73.53</v>
      </c>
      <c r="I48" s="1157">
        <v>-80.239999999999995</v>
      </c>
      <c r="J48" s="1157">
        <v>-66.8</v>
      </c>
      <c r="K48" s="1157">
        <v>7.11</v>
      </c>
      <c r="L48" s="1157">
        <v>11</v>
      </c>
      <c r="M48" s="1159">
        <v>-73.510000000000005</v>
      </c>
      <c r="N48" s="1157">
        <v>-2.9595765158806557</v>
      </c>
      <c r="O48" s="1157">
        <v>2.0692974013474488</v>
      </c>
      <c r="P48" s="1157">
        <v>16.626564003849854</v>
      </c>
      <c r="Q48" s="1157">
        <v>-4.5717035611164585</v>
      </c>
      <c r="R48" s="1159">
        <v>3.8658966955405809</v>
      </c>
      <c r="S48" s="1157">
        <v>-6.9163784694510948</v>
      </c>
      <c r="T48" s="1157">
        <v>0.34619136295113878</v>
      </c>
      <c r="U48" s="1157">
        <v>10.496585971446303</v>
      </c>
      <c r="V48" s="1157">
        <v>12.902722355236323</v>
      </c>
      <c r="W48" s="1159">
        <v>1.3087996216487834</v>
      </c>
    </row>
    <row r="49" spans="1:23" ht="15.75">
      <c r="A49" s="1154">
        <v>11</v>
      </c>
      <c r="B49" s="1157">
        <v>11.12</v>
      </c>
      <c r="C49" s="1157">
        <v>-21.34</v>
      </c>
      <c r="D49" s="1123">
        <v>-2.79</v>
      </c>
      <c r="E49" s="1157">
        <v>5.89</v>
      </c>
      <c r="F49" s="1123">
        <v>0.06</v>
      </c>
      <c r="G49" s="1159">
        <v>6.6</v>
      </c>
      <c r="H49" s="1157">
        <v>-72.650000000000006</v>
      </c>
      <c r="I49" s="1157">
        <v>-79.58</v>
      </c>
      <c r="J49" s="1157">
        <v>-65.400000000000006</v>
      </c>
      <c r="K49" s="1157">
        <v>7.88</v>
      </c>
      <c r="L49" s="1157">
        <v>10.69</v>
      </c>
      <c r="M49" s="1159">
        <v>-72.489999999999995</v>
      </c>
      <c r="N49" s="1157">
        <v>-34.275362318840578</v>
      </c>
      <c r="O49" s="1157">
        <v>2.0772946859903381</v>
      </c>
      <c r="P49" s="1157">
        <v>-15.410628019323671</v>
      </c>
      <c r="Q49" s="1157">
        <v>-7.6328502415458939</v>
      </c>
      <c r="R49" s="1159">
        <v>-17.254428341384862</v>
      </c>
      <c r="S49" s="1157">
        <v>-7.785403919482131</v>
      </c>
      <c r="T49" s="1157">
        <v>-6.1005586592178771</v>
      </c>
      <c r="U49" s="1157">
        <v>12.979515828677838</v>
      </c>
      <c r="V49" s="1157">
        <v>5.054890485058082</v>
      </c>
      <c r="W49" s="1159">
        <v>-0.30214891667405636</v>
      </c>
    </row>
    <row r="50" spans="1:23" ht="15.75">
      <c r="A50" s="1154">
        <v>12</v>
      </c>
      <c r="B50" s="1157">
        <v>15.53</v>
      </c>
      <c r="C50" s="1157">
        <v>-23.93</v>
      </c>
      <c r="D50" s="1123">
        <v>-3.16</v>
      </c>
      <c r="E50" s="1157">
        <v>-0.94</v>
      </c>
      <c r="F50" s="1123">
        <v>0.82</v>
      </c>
      <c r="G50" s="1159">
        <v>5.92</v>
      </c>
      <c r="H50" s="1157">
        <v>-72.64</v>
      </c>
      <c r="I50" s="1157">
        <v>-79.58</v>
      </c>
      <c r="J50" s="1157">
        <v>-65.400000000000006</v>
      </c>
      <c r="K50" s="1157">
        <v>7.88</v>
      </c>
      <c r="L50" s="1157">
        <v>10.69</v>
      </c>
      <c r="M50" s="1159">
        <v>-72.489999999999995</v>
      </c>
      <c r="N50" s="1157">
        <v>-18.065296251511491</v>
      </c>
      <c r="O50" s="1157">
        <v>1.7412333736396615</v>
      </c>
      <c r="P50" s="1157">
        <v>-4.9576783555018142</v>
      </c>
      <c r="Q50" s="1157">
        <v>4.8367593712211665E-2</v>
      </c>
      <c r="R50" s="1159">
        <v>-8.2547359935509874</v>
      </c>
      <c r="S50" s="1157">
        <v>5.3205639797818366E-2</v>
      </c>
      <c r="T50" s="1157">
        <v>-6.3341314179303003</v>
      </c>
      <c r="U50" s="1157">
        <v>3.7628801986343881</v>
      </c>
      <c r="V50" s="1157">
        <v>3.8689367739647071</v>
      </c>
      <c r="W50" s="1159">
        <v>-0.83934852649936476</v>
      </c>
    </row>
    <row r="51" spans="1:23" ht="15.75">
      <c r="A51" s="1154">
        <v>2018</v>
      </c>
      <c r="B51" s="1157"/>
      <c r="C51" s="1157"/>
      <c r="D51" s="1123"/>
      <c r="E51" s="1157"/>
      <c r="F51" s="1123"/>
      <c r="G51" s="1159"/>
      <c r="H51" s="1157"/>
      <c r="I51" s="1157"/>
      <c r="J51" s="1157"/>
      <c r="K51" s="1157"/>
      <c r="L51" s="1157"/>
      <c r="M51" s="1159"/>
      <c r="N51" s="1157"/>
      <c r="O51" s="1157"/>
      <c r="P51" s="1157"/>
      <c r="Q51" s="1157"/>
      <c r="R51" s="1159"/>
      <c r="S51" s="1157"/>
      <c r="T51" s="1157"/>
      <c r="U51" s="1157"/>
      <c r="V51" s="1157"/>
      <c r="W51" s="1159"/>
    </row>
    <row r="52" spans="1:23" ht="15.75">
      <c r="A52" s="1154">
        <v>1</v>
      </c>
      <c r="B52" s="1157">
        <v>8.92</v>
      </c>
      <c r="C52" s="1157">
        <v>-24.05</v>
      </c>
      <c r="D52" s="1123">
        <v>-4.42</v>
      </c>
      <c r="E52" s="1157">
        <v>16.62</v>
      </c>
      <c r="F52" s="1123">
        <v>14.55</v>
      </c>
      <c r="G52" s="1159">
        <v>9.99</v>
      </c>
      <c r="H52" s="1157">
        <v>-74.05</v>
      </c>
      <c r="I52" s="1157">
        <v>-81.03</v>
      </c>
      <c r="J52" s="1157">
        <v>-65.2</v>
      </c>
      <c r="K52" s="1157">
        <v>6.43</v>
      </c>
      <c r="L52" s="1157">
        <v>11.74</v>
      </c>
      <c r="M52" s="1159">
        <v>-73.14</v>
      </c>
      <c r="N52" s="1157">
        <v>-24.034131310737141</v>
      </c>
      <c r="O52" s="1157">
        <v>2.0621000237022993</v>
      </c>
      <c r="P52" s="1157">
        <v>9.8838587342972311</v>
      </c>
      <c r="Q52" s="1157">
        <v>1.9672908272102392</v>
      </c>
      <c r="R52" s="1159">
        <v>-5.4041242000474039</v>
      </c>
      <c r="S52" s="1157">
        <v>6.805063739376771</v>
      </c>
      <c r="T52" s="1157">
        <v>3.503009915014164</v>
      </c>
      <c r="U52" s="1157">
        <v>4.314536118980171</v>
      </c>
      <c r="V52" s="1157">
        <v>8.9002301699716728</v>
      </c>
      <c r="W52" s="1159">
        <v>4.8742032577903682</v>
      </c>
    </row>
    <row r="53" spans="1:23" ht="15.75">
      <c r="A53" s="1154">
        <v>2</v>
      </c>
      <c r="B53" s="1157">
        <v>10.39</v>
      </c>
      <c r="C53" s="1157">
        <v>-22.58</v>
      </c>
      <c r="D53" s="1123">
        <v>-6.7</v>
      </c>
      <c r="E53" s="1157">
        <v>33.270000000000003</v>
      </c>
      <c r="F53" s="1123">
        <v>5.43</v>
      </c>
      <c r="G53" s="1159">
        <v>16.78</v>
      </c>
      <c r="H53" s="1157">
        <v>-73.42</v>
      </c>
      <c r="I53" s="1157">
        <v>-80.569999999999993</v>
      </c>
      <c r="J53" s="1157">
        <v>-64.7</v>
      </c>
      <c r="K53" s="1157">
        <v>6.31</v>
      </c>
      <c r="L53" s="1157">
        <v>11.4</v>
      </c>
      <c r="M53" s="1159">
        <v>-72.63</v>
      </c>
      <c r="N53" s="1157">
        <v>-36.84834123222749</v>
      </c>
      <c r="O53" s="1157">
        <v>1.5402843601895733</v>
      </c>
      <c r="P53" s="1157">
        <v>41.018957345971572</v>
      </c>
      <c r="Q53" s="1157">
        <v>-5.5450236966824651</v>
      </c>
      <c r="R53" s="1159">
        <v>0.87677725118483529</v>
      </c>
      <c r="S53" s="1157">
        <v>3.7862960339943337</v>
      </c>
      <c r="T53" s="1157">
        <v>-4.0040722379603402</v>
      </c>
      <c r="U53" s="1157">
        <v>7.0323123229461775</v>
      </c>
      <c r="V53" s="1157">
        <v>2.9689270538243635</v>
      </c>
      <c r="W53" s="1159">
        <v>2.2715120396600565</v>
      </c>
    </row>
    <row r="54" spans="1:23" ht="15.75">
      <c r="A54" s="1154">
        <v>3</v>
      </c>
      <c r="B54" s="1157">
        <v>15.34</v>
      </c>
      <c r="C54" s="1157">
        <v>-23.15</v>
      </c>
      <c r="D54" s="1123">
        <v>-4.1399999999999997</v>
      </c>
      <c r="E54" s="1157">
        <v>33.67</v>
      </c>
      <c r="F54" s="1123">
        <v>6.1</v>
      </c>
      <c r="G54" s="1159">
        <v>17.72</v>
      </c>
      <c r="H54" s="1157">
        <v>-73.37</v>
      </c>
      <c r="I54" s="1157">
        <v>-80.53</v>
      </c>
      <c r="J54" s="1157">
        <v>-64.599999999999994</v>
      </c>
      <c r="K54" s="1157">
        <v>6.6</v>
      </c>
      <c r="L54" s="1157">
        <v>11.07</v>
      </c>
      <c r="M54" s="1159">
        <v>-72.569999999999993</v>
      </c>
      <c r="N54" s="1157">
        <v>-37.039693926351035</v>
      </c>
      <c r="O54" s="1157">
        <v>1.5542802486848406</v>
      </c>
      <c r="P54" s="1157">
        <v>41.176470588235297</v>
      </c>
      <c r="Q54" s="1157">
        <v>6.1453849832615965</v>
      </c>
      <c r="R54" s="1159">
        <v>0.86083213773314293</v>
      </c>
      <c r="S54" s="1157">
        <v>2.4760977337110477</v>
      </c>
      <c r="T54" s="1157">
        <v>5.9375000000000009</v>
      </c>
      <c r="U54" s="1157">
        <v>-0.87314093484419375</v>
      </c>
      <c r="V54" s="1157">
        <v>1.402000708215297</v>
      </c>
      <c r="W54" s="1159">
        <v>2.5134855996222849</v>
      </c>
    </row>
    <row r="55" spans="1:23" ht="15.75">
      <c r="A55" s="1154">
        <v>4</v>
      </c>
      <c r="B55" s="1157">
        <v>18.18</v>
      </c>
      <c r="C55" s="1157">
        <v>-21.33</v>
      </c>
      <c r="D55" s="1123">
        <v>-3.43</v>
      </c>
      <c r="E55" s="1157">
        <v>31.81</v>
      </c>
      <c r="F55" s="1123">
        <v>11.96</v>
      </c>
      <c r="G55" s="1159">
        <v>17.809999999999999</v>
      </c>
      <c r="H55" s="1157">
        <v>-72.27</v>
      </c>
      <c r="I55" s="1157">
        <v>-79.73</v>
      </c>
      <c r="J55" s="1157">
        <v>-63.2</v>
      </c>
      <c r="K55" s="1157">
        <v>6.58</v>
      </c>
      <c r="L55" s="1157">
        <v>11.12</v>
      </c>
      <c r="M55" s="1159">
        <v>-71.44</v>
      </c>
      <c r="N55" s="1157">
        <v>-33.539339196577131</v>
      </c>
      <c r="O55" s="1157">
        <v>1.68766341811267</v>
      </c>
      <c r="P55" s="1157">
        <v>30.449251247920134</v>
      </c>
      <c r="Q55" s="1157">
        <v>0.73686712621820849</v>
      </c>
      <c r="R55" s="1159">
        <v>-1.5925837889232239</v>
      </c>
      <c r="S55" s="1157">
        <v>2.7328257790368276</v>
      </c>
      <c r="T55" s="1157">
        <v>3.2020184135977332</v>
      </c>
      <c r="U55" s="1157">
        <v>3.774521954674221</v>
      </c>
      <c r="V55" s="1157">
        <v>2.676788243626063</v>
      </c>
      <c r="W55" s="1159">
        <v>3.2364553824362603</v>
      </c>
    </row>
    <row r="56" spans="1:23" ht="15.75">
      <c r="A56" s="1154">
        <v>5</v>
      </c>
      <c r="B56" s="1157">
        <v>32.270000000000003</v>
      </c>
      <c r="C56" s="1157">
        <v>-20.61</v>
      </c>
      <c r="D56" s="1123">
        <v>-5.45</v>
      </c>
      <c r="E56" s="1157">
        <v>39.020000000000003</v>
      </c>
      <c r="F56" s="1123">
        <v>2.85</v>
      </c>
      <c r="G56" s="1159">
        <v>25.58</v>
      </c>
      <c r="H56" s="1157">
        <v>-69.62</v>
      </c>
      <c r="I56" s="1157">
        <v>-77.790000000000006</v>
      </c>
      <c r="J56" s="1157">
        <v>-28.2</v>
      </c>
      <c r="K56" s="1157">
        <v>7.21</v>
      </c>
      <c r="L56" s="1157">
        <v>10.45</v>
      </c>
      <c r="M56" s="1159">
        <v>-52.97</v>
      </c>
      <c r="N56" s="1157">
        <v>-17.118437118437114</v>
      </c>
      <c r="O56" s="1157">
        <v>1.7826617826617821</v>
      </c>
      <c r="P56" s="1157">
        <v>27.399267399267394</v>
      </c>
      <c r="Q56" s="1157">
        <v>-10.476190476190476</v>
      </c>
      <c r="R56" s="1159">
        <v>2.8327228327228355</v>
      </c>
      <c r="S56" s="1157">
        <v>6.7307011331444757</v>
      </c>
      <c r="T56" s="1157">
        <v>2.5462995750708219</v>
      </c>
      <c r="U56" s="1157">
        <v>8.9772485835694056</v>
      </c>
      <c r="V56" s="1157">
        <v>2.5174398016997168</v>
      </c>
      <c r="W56" s="1159">
        <v>6.084749763928234</v>
      </c>
    </row>
    <row r="57" spans="1:23" ht="15.75">
      <c r="A57" s="1154">
        <v>6</v>
      </c>
      <c r="B57" s="1157">
        <v>24.71</v>
      </c>
      <c r="C57" s="1157">
        <v>-19.57</v>
      </c>
      <c r="D57" s="1123">
        <v>-2.8</v>
      </c>
      <c r="E57" s="1157">
        <v>22.48</v>
      </c>
      <c r="F57" s="1123">
        <v>2</v>
      </c>
      <c r="G57" s="1159">
        <v>16.670000000000002</v>
      </c>
      <c r="H57" s="1157">
        <v>-69.599999999999994</v>
      </c>
      <c r="I57" s="1157">
        <v>-77.78</v>
      </c>
      <c r="J57" s="1157">
        <v>-28.1</v>
      </c>
      <c r="K57" s="1157">
        <v>7.21</v>
      </c>
      <c r="L57" s="1157">
        <v>10.45</v>
      </c>
      <c r="M57" s="1159">
        <v>-52.95</v>
      </c>
      <c r="N57" s="1157">
        <v>-13.035294117647066</v>
      </c>
      <c r="O57" s="1157">
        <v>0.61176470588235266</v>
      </c>
      <c r="P57" s="1157">
        <v>35.129411764705885</v>
      </c>
      <c r="Q57" s="1157">
        <v>-10.094117647058823</v>
      </c>
      <c r="R57" s="1159">
        <v>7.1607843137254896</v>
      </c>
      <c r="S57" s="1157">
        <v>7.6159702549575083</v>
      </c>
      <c r="T57" s="1157">
        <v>16.560109773371106</v>
      </c>
      <c r="U57" s="1157">
        <v>16.652531869688385</v>
      </c>
      <c r="V57" s="1157">
        <v>6.9969015580736542</v>
      </c>
      <c r="W57" s="1159">
        <v>13.609537299339003</v>
      </c>
    </row>
    <row r="58" spans="1:23" ht="15.75">
      <c r="A58" s="1154">
        <v>7</v>
      </c>
      <c r="B58" s="1157">
        <v>23.83</v>
      </c>
      <c r="C58" s="1157">
        <v>-21.74</v>
      </c>
      <c r="D58" s="1123">
        <v>-2.54</v>
      </c>
      <c r="E58" s="1157">
        <v>18</v>
      </c>
      <c r="F58" s="1123">
        <v>-0.04</v>
      </c>
      <c r="G58" s="1159">
        <v>14.79</v>
      </c>
      <c r="H58" s="1157">
        <v>-69.599999999999994</v>
      </c>
      <c r="I58" s="1157">
        <v>-77.78</v>
      </c>
      <c r="J58" s="1157">
        <v>-28.1</v>
      </c>
      <c r="K58" s="1157">
        <v>7.22</v>
      </c>
      <c r="L58" s="1157">
        <v>10.45</v>
      </c>
      <c r="M58" s="1159">
        <v>-52.95</v>
      </c>
      <c r="N58" s="1157">
        <v>-27.325990157018982</v>
      </c>
      <c r="O58" s="1157">
        <v>1.1249121162409186</v>
      </c>
      <c r="P58" s="1157">
        <v>35.856573705179287</v>
      </c>
      <c r="Q58" s="1157">
        <v>-9.9835950316381528</v>
      </c>
      <c r="R58" s="1159">
        <v>2.4685571439731264</v>
      </c>
      <c r="S58" s="1157">
        <v>11.34295325779037</v>
      </c>
      <c r="T58" s="1157">
        <v>19.207064447592071</v>
      </c>
      <c r="U58" s="1157">
        <v>17.670591359773368</v>
      </c>
      <c r="V58" s="1157">
        <v>7.7228222379603402</v>
      </c>
      <c r="W58" s="1159">
        <v>16.073536355051935</v>
      </c>
    </row>
    <row r="59" spans="1:23" ht="15.75">
      <c r="A59" s="1154">
        <v>8</v>
      </c>
      <c r="B59" s="1157">
        <v>22.77</v>
      </c>
      <c r="C59" s="1157">
        <v>-20.95</v>
      </c>
      <c r="D59" s="1123">
        <v>-1.19</v>
      </c>
      <c r="E59" s="1157">
        <v>16.89</v>
      </c>
      <c r="F59" s="1123">
        <v>4.46</v>
      </c>
      <c r="G59" s="1159">
        <v>13.62</v>
      </c>
      <c r="H59" s="1157">
        <v>-69.599999999999994</v>
      </c>
      <c r="I59" s="1157">
        <v>-77.78</v>
      </c>
      <c r="J59" s="1157">
        <v>-33.5</v>
      </c>
      <c r="K59" s="1157">
        <v>8.98</v>
      </c>
      <c r="L59" s="1157">
        <v>10.45</v>
      </c>
      <c r="M59" s="1159">
        <v>-55.63</v>
      </c>
      <c r="N59" s="1157">
        <v>-26.150969852769343</v>
      </c>
      <c r="O59" s="1157">
        <v>1.1217574199579339</v>
      </c>
      <c r="P59" s="1157">
        <v>12.619770974526759</v>
      </c>
      <c r="Q59" s="1157">
        <v>-9.9088572096284189</v>
      </c>
      <c r="R59" s="1159">
        <v>-4.8843187660668406</v>
      </c>
      <c r="S59" s="1157">
        <v>9.9238668555240803</v>
      </c>
      <c r="T59" s="1157">
        <v>5.8666784702549588</v>
      </c>
      <c r="U59" s="1157">
        <v>17.670591359773368</v>
      </c>
      <c r="V59" s="1157">
        <v>10.121901558073654</v>
      </c>
      <c r="W59" s="1159">
        <v>11.153712228517469</v>
      </c>
    </row>
    <row r="60" spans="1:23" ht="15.75">
      <c r="A60" s="1154">
        <v>9</v>
      </c>
      <c r="B60" s="1157">
        <v>22.77</v>
      </c>
      <c r="C60" s="1157">
        <v>-19.920000000000002</v>
      </c>
      <c r="D60" s="1123">
        <v>2.63</v>
      </c>
      <c r="E60" s="1157">
        <v>7.16</v>
      </c>
      <c r="F60" s="1123">
        <v>1.43</v>
      </c>
      <c r="G60" s="1159">
        <v>9.1</v>
      </c>
      <c r="H60" s="1157">
        <v>-67.78</v>
      </c>
      <c r="I60" s="1157">
        <v>-76.45</v>
      </c>
      <c r="J60" s="1157">
        <v>-29.5</v>
      </c>
      <c r="K60" s="1157">
        <v>9.52</v>
      </c>
      <c r="L60" s="1157">
        <v>19.190000000000001</v>
      </c>
      <c r="M60" s="1159">
        <v>-52.99</v>
      </c>
      <c r="N60" s="1157">
        <v>-18.851320055581287</v>
      </c>
      <c r="O60" s="1157">
        <v>0.16211208893006002</v>
      </c>
      <c r="P60" s="1157">
        <v>0.11579434923575693</v>
      </c>
      <c r="Q60" s="1157">
        <v>-10.46780917091246</v>
      </c>
      <c r="R60" s="1159">
        <v>-6.2992125984251963</v>
      </c>
      <c r="S60" s="1157">
        <v>6.9582152974504252</v>
      </c>
      <c r="T60" s="1157">
        <v>7.4955736543909355</v>
      </c>
      <c r="U60" s="1157">
        <v>7.2775318696883859</v>
      </c>
      <c r="V60" s="1157">
        <v>5.5362075070821533</v>
      </c>
      <c r="W60" s="1159">
        <v>7.2437736071765819</v>
      </c>
    </row>
    <row r="61" spans="1:23" ht="15.75">
      <c r="A61" s="1154">
        <v>10</v>
      </c>
      <c r="B61" s="1157">
        <v>16.97</v>
      </c>
      <c r="C61" s="1157">
        <v>-15.65</v>
      </c>
      <c r="D61" s="1123">
        <v>10.86</v>
      </c>
      <c r="E61" s="1157">
        <v>6.95</v>
      </c>
      <c r="F61" s="1123">
        <v>5.93</v>
      </c>
      <c r="G61" s="1159">
        <v>4.3499999999999996</v>
      </c>
      <c r="H61" s="1157">
        <v>-67.62</v>
      </c>
      <c r="I61" s="1157">
        <v>-76.33</v>
      </c>
      <c r="J61" s="1157">
        <v>-29.2</v>
      </c>
      <c r="K61" s="1157">
        <v>9.57</v>
      </c>
      <c r="L61" s="1157">
        <v>18.829999999999998</v>
      </c>
      <c r="M61" s="1159">
        <v>-52.74</v>
      </c>
      <c r="N61" s="1157">
        <v>4.1184636742248975</v>
      </c>
      <c r="O61" s="1157">
        <v>23.692734844979178</v>
      </c>
      <c r="P61" s="1157">
        <v>-22.813512262841286</v>
      </c>
      <c r="Q61" s="1157">
        <v>-10.527533549282738</v>
      </c>
      <c r="R61" s="1159">
        <v>-14.129261144531853</v>
      </c>
      <c r="S61" s="1157">
        <v>5.4627301699716719</v>
      </c>
      <c r="T61" s="1157">
        <v>16.398459631728048</v>
      </c>
      <c r="U61" s="1157">
        <v>11.367475212464589</v>
      </c>
      <c r="V61" s="1157">
        <v>9.1631550991501438</v>
      </c>
      <c r="W61" s="1159">
        <v>11.076221671388103</v>
      </c>
    </row>
    <row r="62" spans="1:23" ht="15.75">
      <c r="A62" s="1154">
        <v>11</v>
      </c>
      <c r="B62" s="1157">
        <v>14.73</v>
      </c>
      <c r="C62" s="1157">
        <v>-25.77</v>
      </c>
      <c r="D62" s="1123">
        <v>7.71</v>
      </c>
      <c r="E62" s="1157">
        <v>15.91</v>
      </c>
      <c r="F62" s="1123">
        <v>4.97</v>
      </c>
      <c r="G62" s="1159">
        <v>7.64</v>
      </c>
      <c r="H62" s="1157">
        <v>-67.3</v>
      </c>
      <c r="I62" s="1157">
        <v>-76.099999999999994</v>
      </c>
      <c r="J62" s="1157">
        <v>-29.2</v>
      </c>
      <c r="K62" s="1157">
        <v>9.66</v>
      </c>
      <c r="L62" s="1157">
        <v>18.38</v>
      </c>
      <c r="M62" s="1159">
        <v>-52.28</v>
      </c>
      <c r="N62" s="1157">
        <v>-9.9175446633073729</v>
      </c>
      <c r="O62" s="1157">
        <v>-0.57260650480989483</v>
      </c>
      <c r="P62" s="1157">
        <v>0.52679798442510251</v>
      </c>
      <c r="Q62" s="1157">
        <v>-3.7104901511681163</v>
      </c>
      <c r="R62" s="1159">
        <v>-2.9393800580241245</v>
      </c>
      <c r="S62" s="1157">
        <v>1.5471848441926346</v>
      </c>
      <c r="T62" s="1157">
        <v>4.6060552407932009</v>
      </c>
      <c r="U62" s="1157">
        <v>14.492475212464591</v>
      </c>
      <c r="V62" s="1157">
        <v>7.4722910764872523</v>
      </c>
      <c r="W62" s="1159">
        <v>6.8819050991501411</v>
      </c>
    </row>
    <row r="63" spans="1:23" ht="15.75">
      <c r="A63" s="1154">
        <v>12</v>
      </c>
      <c r="B63" s="1157">
        <v>8.67</v>
      </c>
      <c r="C63" s="1157">
        <v>-23.99</v>
      </c>
      <c r="D63" s="1123">
        <v>3.62</v>
      </c>
      <c r="E63" s="1157">
        <v>13.42</v>
      </c>
      <c r="F63" s="1123">
        <v>4.76</v>
      </c>
      <c r="G63" s="1159">
        <v>6.16</v>
      </c>
      <c r="H63" s="1157">
        <v>-67.3</v>
      </c>
      <c r="I63" s="1157">
        <v>-76.099999999999994</v>
      </c>
      <c r="J63" s="1157">
        <v>-28.5</v>
      </c>
      <c r="K63" s="1157">
        <v>9.66</v>
      </c>
      <c r="L63" s="1157">
        <v>18.38</v>
      </c>
      <c r="M63" s="1159">
        <v>-52.28</v>
      </c>
      <c r="N63" s="1157">
        <v>-9.0743274053807532</v>
      </c>
      <c r="O63" s="1157">
        <v>-0.41039671682626533</v>
      </c>
      <c r="P63" s="1157">
        <v>-14.432284541723668</v>
      </c>
      <c r="Q63" s="1157">
        <v>-3.6935704514363881</v>
      </c>
      <c r="R63" s="1159">
        <v>-7.6987384100927176</v>
      </c>
      <c r="S63" s="1157">
        <v>2.7693325103606381</v>
      </c>
      <c r="T63" s="1157">
        <v>15.406313376245478</v>
      </c>
      <c r="U63" s="1157">
        <v>7.2574728859888902</v>
      </c>
      <c r="V63" s="1157">
        <v>11.973635481879905</v>
      </c>
      <c r="W63" s="1159">
        <v>8.4777062575316702</v>
      </c>
    </row>
    <row r="64" spans="1:23" ht="15.75">
      <c r="A64" s="1154">
        <v>2019</v>
      </c>
      <c r="B64" s="1157"/>
      <c r="C64" s="1157"/>
      <c r="D64" s="1123"/>
      <c r="E64" s="1157"/>
      <c r="F64" s="1123"/>
      <c r="G64" s="1159"/>
      <c r="H64" s="1157"/>
      <c r="I64" s="1157"/>
      <c r="J64" s="1157"/>
      <c r="K64" s="1157"/>
      <c r="L64" s="1157"/>
      <c r="M64" s="1159"/>
      <c r="N64" s="1157"/>
      <c r="O64" s="1157"/>
      <c r="P64" s="1157"/>
      <c r="Q64" s="1157"/>
      <c r="R64" s="1159"/>
      <c r="S64" s="1157"/>
      <c r="T64" s="1157"/>
      <c r="U64" s="1157"/>
      <c r="V64" s="1157"/>
      <c r="W64" s="1159"/>
    </row>
    <row r="65" spans="1:23" ht="15.75">
      <c r="A65" s="1154">
        <v>1</v>
      </c>
      <c r="B65" s="1157">
        <v>11.95</v>
      </c>
      <c r="C65" s="1157">
        <v>-14.29</v>
      </c>
      <c r="D65" s="1123">
        <v>4.5999999999999996</v>
      </c>
      <c r="E65" s="1157">
        <v>12.93</v>
      </c>
      <c r="F65" s="1123">
        <v>-0.22</v>
      </c>
      <c r="G65" s="1159">
        <v>6.76</v>
      </c>
      <c r="H65" s="1157">
        <v>-64.349999999999994</v>
      </c>
      <c r="I65" s="1157">
        <v>-65.55</v>
      </c>
      <c r="J65" s="1157">
        <v>-36.5</v>
      </c>
      <c r="K65" s="1157">
        <v>20.5</v>
      </c>
      <c r="L65" s="1157">
        <v>17.7</v>
      </c>
      <c r="M65" s="1159">
        <v>-51.02</v>
      </c>
      <c r="N65" s="1157">
        <v>14.753363228699552</v>
      </c>
      <c r="O65" s="1157">
        <v>-2.5784753363228705</v>
      </c>
      <c r="P65" s="1157">
        <v>-46.434977578475326</v>
      </c>
      <c r="Q65" s="1157">
        <v>4.2825112107623333</v>
      </c>
      <c r="R65" s="1159">
        <v>-9.7010463378176368</v>
      </c>
      <c r="S65" s="1157">
        <v>2.4726438404518176</v>
      </c>
      <c r="T65" s="1157">
        <v>4.464789975291211</v>
      </c>
      <c r="U65" s="1157">
        <v>2.7801800211789622</v>
      </c>
      <c r="V65" s="1157">
        <v>1.7918284504059301</v>
      </c>
      <c r="W65" s="1159">
        <v>3.2392046123073301</v>
      </c>
    </row>
    <row r="66" spans="1:23" ht="15.75">
      <c r="A66" s="1154">
        <v>2</v>
      </c>
      <c r="B66" s="1157">
        <v>7.87</v>
      </c>
      <c r="C66" s="1157">
        <v>-11.02</v>
      </c>
      <c r="D66" s="1123">
        <v>6.05</v>
      </c>
      <c r="E66" s="1157">
        <v>29.53</v>
      </c>
      <c r="F66" s="1123">
        <v>1.3</v>
      </c>
      <c r="G66" s="1159">
        <v>10.45</v>
      </c>
      <c r="H66" s="1157">
        <v>-62.28</v>
      </c>
      <c r="I66" s="1157">
        <v>-76.150000000000006</v>
      </c>
      <c r="J66" s="1157">
        <v>-33.1</v>
      </c>
      <c r="K66" s="1157">
        <v>9.25</v>
      </c>
      <c r="L66" s="1157">
        <v>16.07</v>
      </c>
      <c r="M66" s="1159">
        <v>-54.63</v>
      </c>
      <c r="N66" s="1157">
        <v>8.6067415730337071</v>
      </c>
      <c r="O66" s="1157">
        <v>0.38202247191011207</v>
      </c>
      <c r="P66" s="1157">
        <v>27.168539325842701</v>
      </c>
      <c r="Q66" s="1157">
        <v>0.20224719101123445</v>
      </c>
      <c r="R66" s="1159">
        <v>11.797752808988765</v>
      </c>
      <c r="S66" s="1157">
        <v>5.2923429781227949</v>
      </c>
      <c r="T66" s="1157">
        <v>2.2671136203246296</v>
      </c>
      <c r="U66" s="1157">
        <v>1.8809103740296398</v>
      </c>
      <c r="V66" s="1157">
        <v>12.879851799576571</v>
      </c>
      <c r="W66" s="1159">
        <v>3.1467889908256881</v>
      </c>
    </row>
    <row r="67" spans="1:23" ht="15.75">
      <c r="A67" s="1154">
        <v>3</v>
      </c>
      <c r="B67" s="1157">
        <v>-4.38</v>
      </c>
      <c r="C67" s="1157">
        <v>-15.84</v>
      </c>
      <c r="D67" s="1123">
        <v>6.76</v>
      </c>
      <c r="E67" s="1157">
        <v>31.87</v>
      </c>
      <c r="F67" s="1123">
        <v>-0.4</v>
      </c>
      <c r="G67" s="1159">
        <v>6.91</v>
      </c>
      <c r="H67" s="1157">
        <v>-61.44</v>
      </c>
      <c r="I67" s="1157">
        <v>-62.69</v>
      </c>
      <c r="J67" s="1157">
        <v>-32.299999999999997</v>
      </c>
      <c r="K67" s="1157">
        <v>9.24</v>
      </c>
      <c r="L67" s="1157">
        <v>15.71</v>
      </c>
      <c r="M67" s="1159">
        <v>-47.5</v>
      </c>
      <c r="N67" s="1157">
        <v>-7.3305365422830668</v>
      </c>
      <c r="O67" s="1157">
        <v>0.37535879885184364</v>
      </c>
      <c r="P67" s="1157">
        <v>45.595054095826896</v>
      </c>
      <c r="Q67" s="1157">
        <v>4.01854714064915</v>
      </c>
      <c r="R67" s="1159">
        <v>12.629719584897328</v>
      </c>
      <c r="S67" s="1157">
        <v>2.6635497529992942</v>
      </c>
      <c r="T67" s="1157">
        <v>1.4800635144671845</v>
      </c>
      <c r="U67" s="1157">
        <v>1.0169371912491179</v>
      </c>
      <c r="V67" s="1157">
        <v>15.014643613267467</v>
      </c>
      <c r="W67" s="1159">
        <v>1.7201834862385321</v>
      </c>
    </row>
    <row r="68" spans="1:23" ht="15.75">
      <c r="A68" s="1154">
        <v>4</v>
      </c>
      <c r="B68" s="1157">
        <v>1.99</v>
      </c>
      <c r="C68" s="1157">
        <v>-14.98</v>
      </c>
      <c r="D68" s="1123">
        <v>6.21</v>
      </c>
      <c r="E68" s="1157">
        <v>30.88</v>
      </c>
      <c r="F68" s="1123">
        <v>0.02</v>
      </c>
      <c r="G68" s="1159">
        <v>8.89</v>
      </c>
      <c r="H68" s="1157">
        <v>-61.21</v>
      </c>
      <c r="I68" s="1157">
        <v>-62.47</v>
      </c>
      <c r="J68" s="1157">
        <v>-31.9</v>
      </c>
      <c r="K68" s="1157">
        <v>5.6</v>
      </c>
      <c r="L68" s="1157">
        <v>15.42</v>
      </c>
      <c r="M68" s="1159">
        <v>-47.2</v>
      </c>
      <c r="N68" s="1157">
        <v>-26.693227091633467</v>
      </c>
      <c r="O68" s="1157">
        <v>3.9397963700752547</v>
      </c>
      <c r="P68" s="1157">
        <v>40.836653386454188</v>
      </c>
      <c r="Q68" s="1157">
        <v>1.4608233731739713</v>
      </c>
      <c r="R68" s="1159">
        <v>3.4012099749151536</v>
      </c>
      <c r="S68" s="1157">
        <v>4.5078358865997536</v>
      </c>
      <c r="T68" s="1157">
        <v>9.0665610142630726</v>
      </c>
      <c r="U68" s="1157">
        <v>13.514175030815286</v>
      </c>
      <c r="V68" s="1157">
        <v>2.4456770558196865</v>
      </c>
      <c r="W68" s="1159">
        <v>9.0295239772260363</v>
      </c>
    </row>
    <row r="69" spans="1:23" ht="15.75">
      <c r="A69" s="1154">
        <v>5</v>
      </c>
      <c r="B69" s="1157">
        <v>19.260000000000002</v>
      </c>
      <c r="C69" s="1157">
        <v>-16.149999999999999</v>
      </c>
      <c r="D69" s="1123">
        <v>-1.67</v>
      </c>
      <c r="E69" s="1157">
        <v>24.11</v>
      </c>
      <c r="F69" s="1123">
        <v>0.02</v>
      </c>
      <c r="G69" s="1159">
        <v>15.01</v>
      </c>
      <c r="H69" s="1157">
        <v>-61.21</v>
      </c>
      <c r="I69" s="1157">
        <v>-62.47</v>
      </c>
      <c r="J69" s="1157">
        <v>-31.9</v>
      </c>
      <c r="K69" s="1157">
        <v>5.6</v>
      </c>
      <c r="L69" s="1157">
        <v>15.42</v>
      </c>
      <c r="M69" s="1159">
        <v>-47.2</v>
      </c>
      <c r="N69" s="1157">
        <v>-26.161056668086921</v>
      </c>
      <c r="O69" s="1157">
        <v>3.7920749893481029</v>
      </c>
      <c r="P69" s="1157">
        <v>39.859394972305061</v>
      </c>
      <c r="Q69" s="1157">
        <v>2.045164039198978</v>
      </c>
      <c r="R69" s="1159">
        <v>3.3020877716233477</v>
      </c>
      <c r="S69" s="1157">
        <v>4.4391701828410683</v>
      </c>
      <c r="T69" s="1157">
        <v>13.078410689170182</v>
      </c>
      <c r="U69" s="1157">
        <v>19.137482419127991</v>
      </c>
      <c r="V69" s="1157">
        <v>1.2137834036568209</v>
      </c>
      <c r="W69" s="1159">
        <v>12.218354430379746</v>
      </c>
    </row>
    <row r="70" spans="1:23" ht="15.75">
      <c r="A70" s="1154">
        <v>6</v>
      </c>
      <c r="B70" s="1157">
        <v>21.93</v>
      </c>
      <c r="C70" s="1157">
        <v>-12.69</v>
      </c>
      <c r="D70" s="1123">
        <v>4.7</v>
      </c>
      <c r="E70" s="1157">
        <v>15.56</v>
      </c>
      <c r="F70" s="1123">
        <v>4.16</v>
      </c>
      <c r="G70" s="1159">
        <v>10.93</v>
      </c>
      <c r="H70" s="1157">
        <v>-61.6</v>
      </c>
      <c r="I70" s="1157">
        <v>-62.84</v>
      </c>
      <c r="J70" s="1157">
        <v>-32.6</v>
      </c>
      <c r="K70" s="1157">
        <v>5.54</v>
      </c>
      <c r="L70" s="1157">
        <v>15.21</v>
      </c>
      <c r="M70" s="1159">
        <v>-47.72</v>
      </c>
      <c r="N70" s="1157">
        <v>16.634758562008084</v>
      </c>
      <c r="O70" s="1157">
        <v>6.5092533503509902</v>
      </c>
      <c r="P70" s="1157">
        <v>28.440757285683894</v>
      </c>
      <c r="Q70" s="1157">
        <v>-1.4677728142948308</v>
      </c>
      <c r="R70" s="1159">
        <v>12.855420832446997</v>
      </c>
      <c r="S70" s="1157">
        <v>6.1450549450549445</v>
      </c>
      <c r="T70" s="1157">
        <v>12.622417582417581</v>
      </c>
      <c r="U70" s="1157">
        <v>13.011692307692307</v>
      </c>
      <c r="V70" s="1157">
        <v>2.7523516483516484</v>
      </c>
      <c r="W70" s="1159">
        <v>10.593054945054945</v>
      </c>
    </row>
    <row r="71" spans="1:23" ht="15.75">
      <c r="A71" s="1154">
        <v>7</v>
      </c>
      <c r="B71" s="1157">
        <v>20.67</v>
      </c>
      <c r="C71" s="1157">
        <v>-8.26</v>
      </c>
      <c r="D71" s="1123">
        <v>5.12</v>
      </c>
      <c r="E71" s="1157">
        <v>19.8</v>
      </c>
      <c r="F71" s="1123">
        <v>-0.94</v>
      </c>
      <c r="G71" s="1159">
        <v>11.54</v>
      </c>
      <c r="H71" s="1157">
        <v>-63.388614970865085</v>
      </c>
      <c r="I71" s="1157">
        <v>-62.949350067234413</v>
      </c>
      <c r="J71" s="1157">
        <v>-32.604213357238912</v>
      </c>
      <c r="K71" s="1157">
        <v>3.6396234872254589</v>
      </c>
      <c r="L71" s="1157">
        <v>15.25</v>
      </c>
      <c r="M71" s="1159">
        <v>-47.776781712236662</v>
      </c>
      <c r="N71" s="1157">
        <v>22.846519314191283</v>
      </c>
      <c r="O71" s="1157">
        <v>4.2966329270811814</v>
      </c>
      <c r="P71" s="1157">
        <v>45.093988845279895</v>
      </c>
      <c r="Q71" s="1157">
        <v>-1.4253253460028921</v>
      </c>
      <c r="R71" s="1159">
        <v>21.214625077463335</v>
      </c>
      <c r="S71" s="1157">
        <v>15.245040119918878</v>
      </c>
      <c r="T71" s="1157">
        <v>8.7186315139758399</v>
      </c>
      <c r="U71" s="1157">
        <v>8.801869323692797</v>
      </c>
      <c r="V71" s="1157">
        <v>6.2609999118243529</v>
      </c>
      <c r="W71" s="1159">
        <v>10.921846985862503</v>
      </c>
    </row>
    <row r="72" spans="1:23" ht="15.75">
      <c r="A72" s="1154">
        <v>8</v>
      </c>
      <c r="B72" s="1157">
        <v>24.14</v>
      </c>
      <c r="C72" s="1157">
        <v>-20.9</v>
      </c>
      <c r="D72" s="1123">
        <v>0.59</v>
      </c>
      <c r="E72" s="1157">
        <v>17.07</v>
      </c>
      <c r="F72" s="1123">
        <v>0.95</v>
      </c>
      <c r="G72" s="1159">
        <v>13.54</v>
      </c>
      <c r="H72" s="1157">
        <v>-63.38</v>
      </c>
      <c r="I72" s="1157">
        <v>-64.739999999999995</v>
      </c>
      <c r="J72" s="1157">
        <v>-30.7</v>
      </c>
      <c r="K72" s="1157">
        <v>0.05</v>
      </c>
      <c r="L72" s="1157">
        <v>15.3</v>
      </c>
      <c r="M72" s="1159">
        <v>-47.71</v>
      </c>
      <c r="N72" s="1157">
        <v>10.897566959721937</v>
      </c>
      <c r="O72" s="1157">
        <v>0.77693723164996908</v>
      </c>
      <c r="P72" s="1157">
        <v>45.634839501124517</v>
      </c>
      <c r="Q72" s="1157">
        <v>-1.3494172970762621</v>
      </c>
      <c r="R72" s="1159">
        <v>18.585156409732161</v>
      </c>
      <c r="S72" s="1157">
        <v>15.066031913955745</v>
      </c>
      <c r="T72" s="1157">
        <v>9.4929031120514864</v>
      </c>
      <c r="U72" s="1157">
        <v>9.0471656528255302</v>
      </c>
      <c r="V72" s="1157">
        <v>5.7397513885215536</v>
      </c>
      <c r="W72" s="1159">
        <v>11.20203355961092</v>
      </c>
    </row>
    <row r="73" spans="1:23" ht="15.75">
      <c r="A73" s="1154">
        <v>9</v>
      </c>
      <c r="B73" s="1157">
        <v>7.65</v>
      </c>
      <c r="C73" s="1157">
        <v>-13.62</v>
      </c>
      <c r="D73" s="1123">
        <v>7.11</v>
      </c>
      <c r="E73" s="1157">
        <v>1.72</v>
      </c>
      <c r="F73" s="1123">
        <v>5.81</v>
      </c>
      <c r="G73" s="1159">
        <v>0.75</v>
      </c>
      <c r="H73" s="1157">
        <v>-42.02</v>
      </c>
      <c r="I73" s="1157">
        <v>-66.36</v>
      </c>
      <c r="J73" s="1157">
        <v>12.2</v>
      </c>
      <c r="K73" s="1157">
        <v>0.05</v>
      </c>
      <c r="L73" s="1157">
        <v>15.34</v>
      </c>
      <c r="M73" s="1159">
        <v>-27.07</v>
      </c>
      <c r="N73" s="1157">
        <v>26.176410674271743</v>
      </c>
      <c r="O73" s="1157">
        <v>0.77408840904461196</v>
      </c>
      <c r="P73" s="1157">
        <v>45.834182114483603</v>
      </c>
      <c r="Q73" s="1157">
        <v>-1.5889183133020981</v>
      </c>
      <c r="R73" s="1159">
        <v>23.745501459903576</v>
      </c>
      <c r="S73" s="1157">
        <v>14.7126213592233</v>
      </c>
      <c r="T73" s="1157">
        <v>8.8242718446601938</v>
      </c>
      <c r="U73" s="1157">
        <v>3.9006178287731683</v>
      </c>
      <c r="V73" s="1157">
        <v>0.72188879082082957</v>
      </c>
      <c r="W73" s="1159">
        <v>9.145837010885554</v>
      </c>
    </row>
    <row r="74" spans="1:23" ht="15.75">
      <c r="A74" s="1154">
        <v>10</v>
      </c>
      <c r="B74" s="1157">
        <v>11.94</v>
      </c>
      <c r="C74" s="1157">
        <v>-9.3000000000000007</v>
      </c>
      <c r="D74" s="1123">
        <v>7.39</v>
      </c>
      <c r="E74" s="1157">
        <v>17.36</v>
      </c>
      <c r="F74" s="1123">
        <v>-2.9</v>
      </c>
      <c r="G74" s="1159">
        <v>7.3</v>
      </c>
      <c r="H74" s="1157">
        <v>-16.72</v>
      </c>
      <c r="I74" s="1157">
        <v>-67</v>
      </c>
      <c r="J74" s="1157">
        <v>13.9</v>
      </c>
      <c r="K74" s="1157">
        <v>0.05</v>
      </c>
      <c r="L74" s="1157">
        <v>15.33</v>
      </c>
      <c r="M74" s="1159">
        <v>-26.56</v>
      </c>
      <c r="N74" s="1157">
        <v>18.7111021883156</v>
      </c>
      <c r="O74" s="1157">
        <v>2.3288496285886375</v>
      </c>
      <c r="P74" s="1157">
        <v>27.102991367195344</v>
      </c>
      <c r="Q74" s="1157">
        <v>-1.8068660911463565</v>
      </c>
      <c r="R74" s="1159">
        <v>14.4950813089741</v>
      </c>
      <c r="S74" s="1157">
        <v>15.142428521002472</v>
      </c>
      <c r="T74" s="1157">
        <v>11.099452876809039</v>
      </c>
      <c r="U74" s="1157">
        <v>4.052859159901165</v>
      </c>
      <c r="V74" s="1157">
        <v>1.136516060713026</v>
      </c>
      <c r="W74" s="1159">
        <v>10.098246852570892</v>
      </c>
    </row>
    <row r="75" spans="1:23" ht="15.75">
      <c r="A75" s="1154">
        <v>11</v>
      </c>
      <c r="B75" s="1157">
        <v>24.03</v>
      </c>
      <c r="C75" s="1157">
        <v>-9.48</v>
      </c>
      <c r="D75" s="1123">
        <v>6.63</v>
      </c>
      <c r="E75" s="1157">
        <v>7.77</v>
      </c>
      <c r="F75" s="1123">
        <v>-1.31</v>
      </c>
      <c r="G75" s="1159">
        <v>8.39</v>
      </c>
      <c r="H75" s="1157">
        <v>-13.59</v>
      </c>
      <c r="I75" s="1157">
        <v>-67.38</v>
      </c>
      <c r="J75" s="1157">
        <v>19.100000000000001</v>
      </c>
      <c r="K75" s="1157">
        <v>3.43</v>
      </c>
      <c r="L75" s="1157">
        <v>15.35</v>
      </c>
      <c r="M75" s="1159">
        <v>-24.12</v>
      </c>
      <c r="N75" s="1157">
        <v>19.798994974874372</v>
      </c>
      <c r="O75" s="1157">
        <v>6.2110552763819094</v>
      </c>
      <c r="P75" s="1157">
        <v>28.301507537688444</v>
      </c>
      <c r="Q75" s="1157">
        <v>0.72361809045226133</v>
      </c>
      <c r="R75" s="1159">
        <v>13.963149078726971</v>
      </c>
      <c r="S75" s="1157">
        <v>14.66354727641918</v>
      </c>
      <c r="T75" s="1157">
        <v>10.036108413525209</v>
      </c>
      <c r="U75" s="1157">
        <v>4.0546481857508612</v>
      </c>
      <c r="V75" s="1157">
        <v>0.65145228215767681</v>
      </c>
      <c r="W75" s="1159">
        <v>9.5847679585650827</v>
      </c>
    </row>
    <row r="76" spans="1:23" ht="15.75">
      <c r="A76" s="1154">
        <v>12</v>
      </c>
      <c r="B76" s="1157">
        <v>30.95</v>
      </c>
      <c r="C76" s="1157">
        <v>-13.3</v>
      </c>
      <c r="D76" s="1123">
        <v>3.19</v>
      </c>
      <c r="E76" s="1157">
        <v>13.93</v>
      </c>
      <c r="F76" s="1123">
        <v>9.5500000000000007</v>
      </c>
      <c r="G76" s="1159">
        <v>13.9</v>
      </c>
      <c r="H76" s="1157">
        <v>-13.68</v>
      </c>
      <c r="I76" s="1157">
        <v>-65.62</v>
      </c>
      <c r="J76" s="1157">
        <v>19.100000000000001</v>
      </c>
      <c r="K76" s="1157">
        <v>8.51</v>
      </c>
      <c r="L76" s="1157">
        <v>15.35</v>
      </c>
      <c r="M76" s="1159">
        <v>-23.28</v>
      </c>
      <c r="N76" s="1157">
        <v>20.316887284396309</v>
      </c>
      <c r="O76" s="1157">
        <v>6.1973525872442838</v>
      </c>
      <c r="P76" s="1157">
        <v>2.2663457681508192</v>
      </c>
      <c r="Q76" s="1157">
        <v>0.74207781789009264</v>
      </c>
      <c r="R76" s="1159">
        <v>5.4619601551009476</v>
      </c>
      <c r="S76" s="1157">
        <v>18.500299162345431</v>
      </c>
      <c r="T76" s="1157">
        <v>13.222975668129239</v>
      </c>
      <c r="U76" s="1157">
        <v>6.1355205424810535</v>
      </c>
      <c r="V76" s="1157">
        <v>1.1247506980454731</v>
      </c>
      <c r="W76" s="1159">
        <v>12.619598457651909</v>
      </c>
    </row>
    <row r="77" spans="1:23" ht="15.75">
      <c r="A77" s="1154">
        <v>2020</v>
      </c>
      <c r="B77" s="1157"/>
      <c r="C77" s="1157"/>
      <c r="D77" s="1123"/>
      <c r="E77" s="1157"/>
      <c r="F77" s="1123"/>
      <c r="G77" s="1159"/>
      <c r="H77" s="1157"/>
      <c r="I77" s="1157"/>
      <c r="J77" s="1157"/>
      <c r="K77" s="1157"/>
      <c r="L77" s="1157"/>
      <c r="M77" s="1159"/>
      <c r="N77" s="1157"/>
      <c r="O77" s="1157"/>
      <c r="P77" s="1157"/>
      <c r="Q77" s="1157"/>
      <c r="R77" s="1159"/>
      <c r="S77" s="1157"/>
      <c r="T77" s="1157"/>
      <c r="U77" s="1157"/>
      <c r="V77" s="1157"/>
      <c r="W77" s="1159"/>
    </row>
    <row r="78" spans="1:23" ht="15.75">
      <c r="A78" s="1154">
        <v>1</v>
      </c>
      <c r="B78" s="1157">
        <v>33.090000000000003</v>
      </c>
      <c r="C78" s="1157">
        <v>-7.49</v>
      </c>
      <c r="D78" s="1123">
        <v>-8.9700000000000006</v>
      </c>
      <c r="E78" s="1157">
        <v>15.24</v>
      </c>
      <c r="F78" s="1123">
        <v>5.23</v>
      </c>
      <c r="G78" s="1159">
        <v>19.100000000000001</v>
      </c>
      <c r="H78" s="1157">
        <v>-10.33</v>
      </c>
      <c r="I78" s="1157">
        <v>-68.34</v>
      </c>
      <c r="J78" s="1157">
        <v>24.8</v>
      </c>
      <c r="K78" s="1157">
        <v>6.65</v>
      </c>
      <c r="L78" s="1157">
        <v>15.67</v>
      </c>
      <c r="M78" s="1159">
        <v>-21.79</v>
      </c>
      <c r="N78" s="1157">
        <v>61.91251271617498</v>
      </c>
      <c r="O78" s="1157">
        <v>7.0396744659206503</v>
      </c>
      <c r="P78" s="1157">
        <v>-6.246185147507628</v>
      </c>
      <c r="Q78" s="1157">
        <v>0.75279755849440555</v>
      </c>
      <c r="R78" s="1159">
        <v>16.208884367582232</v>
      </c>
      <c r="S78" s="1157">
        <v>18.54611746156878</v>
      </c>
      <c r="T78" s="1157">
        <v>12.133129680725268</v>
      </c>
      <c r="U78" s="1157">
        <v>7.7065431612140323</v>
      </c>
      <c r="V78" s="1157">
        <v>1.0773551438707147</v>
      </c>
      <c r="W78" s="1159">
        <v>12.795263434502695</v>
      </c>
    </row>
    <row r="79" spans="1:23" ht="15.75">
      <c r="A79" s="1154">
        <v>2</v>
      </c>
      <c r="B79" s="1157">
        <v>16.350000000000001</v>
      </c>
      <c r="C79" s="1157">
        <v>-8.11</v>
      </c>
      <c r="D79" s="1123">
        <v>-9.4600000000000009</v>
      </c>
      <c r="E79" s="1157">
        <v>8.98</v>
      </c>
      <c r="F79" s="1123">
        <v>5.04</v>
      </c>
      <c r="G79" s="1159">
        <v>11.6</v>
      </c>
      <c r="H79" s="1157">
        <v>-1.33</v>
      </c>
      <c r="I79" s="1157">
        <v>-63.95</v>
      </c>
      <c r="J79" s="1157">
        <v>28.28</v>
      </c>
      <c r="K79" s="1157">
        <v>16.829999999999998</v>
      </c>
      <c r="L79" s="1157">
        <v>14.73</v>
      </c>
      <c r="M79" s="1159">
        <v>-17.84</v>
      </c>
      <c r="N79" s="1157">
        <v>3.46</v>
      </c>
      <c r="O79" s="1157">
        <v>5.19</v>
      </c>
      <c r="P79" s="1157">
        <v>51.19</v>
      </c>
      <c r="Q79" s="1157">
        <v>0.81350416920886781</v>
      </c>
      <c r="R79" s="1159">
        <v>16.489999999999998</v>
      </c>
      <c r="S79" s="1157">
        <v>13.48</v>
      </c>
      <c r="T79" s="1157">
        <v>12.09</v>
      </c>
      <c r="U79" s="1157">
        <v>22.53</v>
      </c>
      <c r="V79" s="1157">
        <v>-1.95</v>
      </c>
      <c r="W79" s="1159">
        <v>16.03</v>
      </c>
    </row>
    <row r="80" spans="1:23" ht="15.75">
      <c r="A80" s="1154">
        <v>3</v>
      </c>
      <c r="B80" s="1157">
        <v>-3.79</v>
      </c>
      <c r="C80" s="1157">
        <v>-17.670000000000002</v>
      </c>
      <c r="D80" s="1123">
        <v>6.63</v>
      </c>
      <c r="E80" s="1157">
        <v>11.62</v>
      </c>
      <c r="F80" s="1123">
        <v>-5</v>
      </c>
      <c r="G80" s="1159">
        <v>0.4</v>
      </c>
      <c r="H80" s="1157">
        <v>-4.47</v>
      </c>
      <c r="I80" s="1157">
        <v>-63.89</v>
      </c>
      <c r="J80" s="1157">
        <v>14.13</v>
      </c>
      <c r="K80" s="1157">
        <v>16.809999999999999</v>
      </c>
      <c r="L80" s="1157">
        <v>14.72</v>
      </c>
      <c r="M80" s="1159">
        <v>-24.88</v>
      </c>
      <c r="N80" s="1157">
        <v>-50.03</v>
      </c>
      <c r="O80" s="1157">
        <v>48.71</v>
      </c>
      <c r="P80" s="1157">
        <v>-21.13</v>
      </c>
      <c r="Q80" s="1157">
        <v>-3.27435428106569</v>
      </c>
      <c r="R80" s="1159">
        <v>-39.96</v>
      </c>
      <c r="S80" s="1157">
        <v>4.6399999999999997</v>
      </c>
      <c r="T80" s="1157">
        <v>8.85</v>
      </c>
      <c r="U80" s="1157">
        <v>14.66</v>
      </c>
      <c r="V80" s="1157">
        <v>-1.19</v>
      </c>
      <c r="W80" s="1159">
        <v>9.39</v>
      </c>
    </row>
    <row r="81" spans="1:23" ht="15.75">
      <c r="A81" s="1154">
        <v>4</v>
      </c>
      <c r="B81" s="1157">
        <v>-9.51</v>
      </c>
      <c r="C81" s="1157">
        <v>-40.43</v>
      </c>
      <c r="D81" s="1123">
        <v>19.61</v>
      </c>
      <c r="E81" s="1157">
        <v>8.1999999999999993</v>
      </c>
      <c r="F81" s="1123">
        <v>-1.1200000000000001</v>
      </c>
      <c r="G81" s="1159">
        <v>-6.98</v>
      </c>
      <c r="H81" s="1157">
        <v>-1.87</v>
      </c>
      <c r="I81" s="1157">
        <v>-61.09</v>
      </c>
      <c r="J81" s="1157">
        <v>39.299999999999997</v>
      </c>
      <c r="K81" s="1157">
        <v>15.61</v>
      </c>
      <c r="L81" s="1157">
        <v>14.19</v>
      </c>
      <c r="M81" s="1159">
        <v>-10.91</v>
      </c>
      <c r="N81" s="1157">
        <v>-53.65</v>
      </c>
      <c r="O81" s="1157">
        <v>26.15</v>
      </c>
      <c r="P81" s="1157">
        <v>-7.75</v>
      </c>
      <c r="Q81" s="1157">
        <v>-3.1967213114754101</v>
      </c>
      <c r="R81" s="1159">
        <v>-29.18</v>
      </c>
      <c r="S81" s="1157">
        <v>2.75</v>
      </c>
      <c r="T81" s="1157">
        <v>7.57</v>
      </c>
      <c r="U81" s="1157">
        <v>13.75</v>
      </c>
      <c r="V81" s="1157">
        <v>-0.64</v>
      </c>
      <c r="W81" s="1159">
        <v>8.02</v>
      </c>
    </row>
    <row r="82" spans="1:23" ht="15.75">
      <c r="A82" s="1154">
        <v>5</v>
      </c>
      <c r="B82" s="1157">
        <v>-31.22</v>
      </c>
      <c r="C82" s="1157">
        <v>-46.56</v>
      </c>
      <c r="D82" s="1123">
        <v>-0.83</v>
      </c>
      <c r="E82" s="1157">
        <v>2.83</v>
      </c>
      <c r="F82" s="1123">
        <v>-2.57</v>
      </c>
      <c r="G82" s="1159">
        <v>-9.18</v>
      </c>
      <c r="H82" s="1157">
        <v>-3.54</v>
      </c>
      <c r="I82" s="1157">
        <v>-64.319999999999993</v>
      </c>
      <c r="J82" s="1157">
        <v>40.4</v>
      </c>
      <c r="K82" s="1157">
        <v>12.66</v>
      </c>
      <c r="L82" s="1157">
        <v>13.88</v>
      </c>
      <c r="M82" s="1159">
        <v>-11.95</v>
      </c>
      <c r="N82" s="1157">
        <v>-55.7</v>
      </c>
      <c r="O82" s="1157">
        <v>-5.46</v>
      </c>
      <c r="P82" s="1157">
        <v>-25.31</v>
      </c>
      <c r="Q82" s="1157">
        <v>-25.853071055800886</v>
      </c>
      <c r="R82" s="1159">
        <v>-25.18</v>
      </c>
      <c r="S82" s="1157">
        <v>-8.35</v>
      </c>
      <c r="T82" s="1157">
        <v>-6.93</v>
      </c>
      <c r="U82" s="1157">
        <v>13.17</v>
      </c>
      <c r="V82" s="1157">
        <v>-2.34</v>
      </c>
      <c r="W82" s="1159">
        <v>-0.7</v>
      </c>
    </row>
    <row r="83" spans="1:23" ht="15.75">
      <c r="A83" s="1154">
        <v>6</v>
      </c>
      <c r="B83" s="1157">
        <v>-24.367415791478479</v>
      </c>
      <c r="C83" s="1157">
        <v>-45.706589758937803</v>
      </c>
      <c r="D83" s="1123">
        <v>-7.2917233498394722</v>
      </c>
      <c r="E83" s="1157">
        <v>13.280187190509878</v>
      </c>
      <c r="F83" s="1123">
        <v>6.07824998639604</v>
      </c>
      <c r="G83" s="1159">
        <v>-1.2651684170430413</v>
      </c>
      <c r="H83" s="1157">
        <v>-4.62</v>
      </c>
      <c r="I83" s="1157">
        <v>-61.49</v>
      </c>
      <c r="J83" s="1157">
        <v>40.6</v>
      </c>
      <c r="K83" s="1157">
        <v>11.1</v>
      </c>
      <c r="L83" s="1157">
        <v>13.61</v>
      </c>
      <c r="M83" s="1159">
        <v>-10.43</v>
      </c>
      <c r="N83" s="1157">
        <v>-58.209243859988391</v>
      </c>
      <c r="O83" s="1157">
        <v>6.5751305356797527</v>
      </c>
      <c r="P83" s="1157">
        <v>-11.738541868110625</v>
      </c>
      <c r="Q83" s="1157">
        <v>-25.15954360858635</v>
      </c>
      <c r="R83" s="1159">
        <v>-25.507638754592925</v>
      </c>
      <c r="S83" s="1157">
        <v>-10.266683062797179</v>
      </c>
      <c r="T83" s="1157">
        <v>-11.147155271355956</v>
      </c>
      <c r="U83" s="1157">
        <v>7.3705525495982975</v>
      </c>
      <c r="V83" s="1157">
        <v>-6.5256599442531549</v>
      </c>
      <c r="W83" s="1159">
        <v>-4.6810952615182773</v>
      </c>
    </row>
    <row r="84" spans="1:23" ht="15.75">
      <c r="A84" s="1154">
        <v>7</v>
      </c>
      <c r="B84" s="1157">
        <v>-27.35</v>
      </c>
      <c r="C84" s="1157">
        <v>-39.75</v>
      </c>
      <c r="D84" s="1123">
        <v>-2.68</v>
      </c>
      <c r="E84" s="1157">
        <v>15.92</v>
      </c>
      <c r="F84" s="1123">
        <v>9.07</v>
      </c>
      <c r="G84" s="1159">
        <v>-2.91</v>
      </c>
      <c r="H84" s="1157">
        <v>-4.2300000000000004</v>
      </c>
      <c r="I84" s="1157">
        <v>-61.87</v>
      </c>
      <c r="J84" s="1157">
        <v>41</v>
      </c>
      <c r="K84" s="1157">
        <v>11.1</v>
      </c>
      <c r="L84" s="1157">
        <v>13.37</v>
      </c>
      <c r="M84" s="1159">
        <v>-10.43</v>
      </c>
      <c r="N84" s="1157">
        <v>-64.235569422776905</v>
      </c>
      <c r="O84" s="1157">
        <v>12.714508580343214</v>
      </c>
      <c r="P84" s="1157">
        <v>-49.239469578783144</v>
      </c>
      <c r="Q84" s="1157">
        <v>-25.370514820592824</v>
      </c>
      <c r="R84" s="1159">
        <v>-42.063182527301088</v>
      </c>
      <c r="S84" s="1157">
        <v>-13.627041669986454</v>
      </c>
      <c r="T84" s="1157">
        <v>-18.29121185562903</v>
      </c>
      <c r="U84" s="1157">
        <v>0.84503226834515088</v>
      </c>
      <c r="V84" s="1157">
        <v>-4.1510636602661153</v>
      </c>
      <c r="W84" s="1159">
        <v>-10.357740419090112</v>
      </c>
    </row>
    <row r="85" spans="1:23" ht="15.75">
      <c r="A85" s="1154">
        <v>8</v>
      </c>
      <c r="B85" s="1157">
        <v>-24.42</v>
      </c>
      <c r="C85" s="1157">
        <v>-47.48</v>
      </c>
      <c r="D85" s="1123">
        <v>9.98</v>
      </c>
      <c r="E85" s="1157">
        <v>19.440000000000001</v>
      </c>
      <c r="F85" s="1123">
        <v>7.2</v>
      </c>
      <c r="G85" s="1159">
        <v>-4.99</v>
      </c>
      <c r="H85" s="1157">
        <v>-0.98</v>
      </c>
      <c r="I85" s="1157">
        <v>-30.78</v>
      </c>
      <c r="J85" s="1157">
        <v>42.3</v>
      </c>
      <c r="K85" s="1157">
        <v>10.62</v>
      </c>
      <c r="L85" s="1157">
        <v>13.18</v>
      </c>
      <c r="M85" s="1159">
        <v>5.77</v>
      </c>
      <c r="N85" s="1157">
        <v>-62.115644942951079</v>
      </c>
      <c r="O85" s="1157">
        <v>-0.77354476890349999</v>
      </c>
      <c r="P85" s="1157">
        <v>-12.105975633339781</v>
      </c>
      <c r="Q85" s="1157">
        <v>-23.51576097466641</v>
      </c>
      <c r="R85" s="1159">
        <v>-24.482691935795788</v>
      </c>
      <c r="S85" s="1157">
        <v>-11.764705882352942</v>
      </c>
      <c r="T85" s="1157">
        <v>-14.618441971383151</v>
      </c>
      <c r="U85" s="1157">
        <v>11.804451510333863</v>
      </c>
      <c r="V85" s="1157">
        <v>-4.8648648648648649</v>
      </c>
      <c r="W85" s="1159">
        <v>-4.8595654478007422</v>
      </c>
    </row>
    <row r="86" spans="1:23" ht="15.75">
      <c r="A86" s="1154">
        <v>9</v>
      </c>
      <c r="B86" s="1157">
        <v>-13.19</v>
      </c>
      <c r="C86" s="1157">
        <v>-43.95</v>
      </c>
      <c r="D86" s="1123">
        <v>11.74</v>
      </c>
      <c r="E86" s="1157">
        <v>25.3</v>
      </c>
      <c r="F86" s="1123">
        <v>11.49</v>
      </c>
      <c r="G86" s="1159">
        <v>0.12</v>
      </c>
      <c r="H86" s="1157">
        <v>-32.85</v>
      </c>
      <c r="I86" s="1157">
        <v>-31.1</v>
      </c>
      <c r="J86" s="1157">
        <v>41.7</v>
      </c>
      <c r="K86" s="1157">
        <v>10.74</v>
      </c>
      <c r="L86" s="1157">
        <v>12.83</v>
      </c>
      <c r="M86" s="1159">
        <v>5.3</v>
      </c>
      <c r="N86" s="1157">
        <v>-57.093919497573509</v>
      </c>
      <c r="O86" s="1157">
        <v>3.5683699685983448</v>
      </c>
      <c r="P86" s="1157">
        <v>21.453040251213245</v>
      </c>
      <c r="Q86" s="1157">
        <v>-0.42820439623180134</v>
      </c>
      <c r="R86" s="1159">
        <v>-13.069749738319537</v>
      </c>
      <c r="S86" s="1157">
        <v>-8.8707762918414179</v>
      </c>
      <c r="T86" s="1157">
        <v>-9.3851388778982336</v>
      </c>
      <c r="U86" s="1157">
        <v>5.5630291999683461</v>
      </c>
      <c r="V86" s="1157">
        <v>-7.0428107937010367</v>
      </c>
      <c r="W86" s="1159">
        <v>-4.2309619899237694</v>
      </c>
    </row>
    <row r="87" spans="1:23" ht="15.75">
      <c r="A87" s="1154">
        <v>10</v>
      </c>
      <c r="B87" s="1157">
        <v>-4.91</v>
      </c>
      <c r="C87" s="1157">
        <v>-30.18</v>
      </c>
      <c r="D87" s="1123">
        <v>5.88</v>
      </c>
      <c r="E87" s="1157">
        <v>24.22</v>
      </c>
      <c r="F87" s="1123">
        <v>17.600000000000001</v>
      </c>
      <c r="G87" s="1159">
        <v>4.4800000000000004</v>
      </c>
      <c r="H87" s="1157">
        <v>-39.24</v>
      </c>
      <c r="I87" s="1157">
        <v>-37.49</v>
      </c>
      <c r="J87" s="1157">
        <v>41.6</v>
      </c>
      <c r="K87" s="1157">
        <v>10.78</v>
      </c>
      <c r="L87" s="1157">
        <v>12.14</v>
      </c>
      <c r="M87" s="1159">
        <v>2.06</v>
      </c>
      <c r="N87" s="1157">
        <v>-19.522015846213794</v>
      </c>
      <c r="O87" s="1157">
        <v>-1.0780620859851928</v>
      </c>
      <c r="P87" s="1157">
        <v>16.48266008572541</v>
      </c>
      <c r="Q87" s="1157">
        <v>-2.324977269775296</v>
      </c>
      <c r="R87" s="1159">
        <v>-0.65376455816773127</v>
      </c>
      <c r="S87" s="1157">
        <v>-9.9635094399492328</v>
      </c>
      <c r="T87" s="1157">
        <v>-7.8772013326987196</v>
      </c>
      <c r="U87" s="1157">
        <v>10.098365857528156</v>
      </c>
      <c r="V87" s="1157">
        <v>-5.3625257813739502</v>
      </c>
      <c r="W87" s="1159">
        <v>-2.5807816383732622</v>
      </c>
    </row>
    <row r="88" spans="1:23" ht="15.75">
      <c r="A88" s="1154">
        <v>11</v>
      </c>
      <c r="B88" s="1157">
        <v>11.14</v>
      </c>
      <c r="C88" s="1157">
        <v>-15.12</v>
      </c>
      <c r="D88" s="1123">
        <v>1.92</v>
      </c>
      <c r="E88" s="1157">
        <v>25.56</v>
      </c>
      <c r="F88" s="1123">
        <v>1</v>
      </c>
      <c r="G88" s="1159">
        <v>11.59</v>
      </c>
      <c r="H88" s="1157">
        <v>-36.07</v>
      </c>
      <c r="I88" s="1157">
        <v>-35.78</v>
      </c>
      <c r="J88" s="1157">
        <v>41.9</v>
      </c>
      <c r="K88" s="1157">
        <v>11.07</v>
      </c>
      <c r="L88" s="1157">
        <v>12.11</v>
      </c>
      <c r="M88" s="1159">
        <v>3.07</v>
      </c>
      <c r="N88" s="1157">
        <v>-6.5998223124762063</v>
      </c>
      <c r="O88" s="1157">
        <v>-2.5764690950628264</v>
      </c>
      <c r="P88" s="1157">
        <v>24.406650590176419</v>
      </c>
      <c r="Q88" s="1157">
        <v>-11.422769386978043</v>
      </c>
      <c r="R88" s="1159">
        <v>6.7944324575876802</v>
      </c>
      <c r="S88" s="1157">
        <v>-5.7938718662952651</v>
      </c>
      <c r="T88" s="1157">
        <v>-3.8917628332670144</v>
      </c>
      <c r="U88" s="1157">
        <v>8.2212495025865486</v>
      </c>
      <c r="V88" s="1157">
        <v>-2.1408674890569031</v>
      </c>
      <c r="W88" s="1159">
        <v>-0.48812839899191013</v>
      </c>
    </row>
    <row r="89" spans="1:23" ht="15.75">
      <c r="A89" s="1154">
        <v>12</v>
      </c>
      <c r="B89" s="1157">
        <v>5.36</v>
      </c>
      <c r="C89" s="1157">
        <v>-23.68</v>
      </c>
      <c r="D89" s="1123">
        <v>2.1</v>
      </c>
      <c r="E89" s="1157">
        <v>22.64</v>
      </c>
      <c r="F89" s="1123">
        <v>1.25</v>
      </c>
      <c r="G89" s="1159">
        <v>8.6300000000000008</v>
      </c>
      <c r="H89" s="1157">
        <v>-36.07</v>
      </c>
      <c r="I89" s="1157">
        <v>-35.78</v>
      </c>
      <c r="J89" s="1157">
        <v>41.9</v>
      </c>
      <c r="K89" s="1157">
        <v>11.07</v>
      </c>
      <c r="L89" s="1157">
        <v>12.17</v>
      </c>
      <c r="M89" s="1159">
        <v>3.07</v>
      </c>
      <c r="N89" s="1157">
        <v>-16.489764973464744</v>
      </c>
      <c r="O89" s="1157">
        <v>10.550922415971698</v>
      </c>
      <c r="P89" s="1157">
        <v>26.661612332575178</v>
      </c>
      <c r="Q89" s="1157">
        <v>-14.69547637098812</v>
      </c>
      <c r="R89" s="1159">
        <v>-0.12635835228708658</v>
      </c>
      <c r="S89" s="1157">
        <v>-4.381798682396199</v>
      </c>
      <c r="T89" s="1157">
        <v>-2.4819978550635797</v>
      </c>
      <c r="U89" s="1157">
        <v>3.3246514478320828</v>
      </c>
      <c r="V89" s="1157">
        <v>7.1931974873601954</v>
      </c>
      <c r="W89" s="1159">
        <v>-1.1797150298758998</v>
      </c>
    </row>
    <row r="90" spans="1:23" ht="15.75">
      <c r="A90" s="1154">
        <v>2021</v>
      </c>
      <c r="B90" s="1157"/>
      <c r="C90" s="1157"/>
      <c r="D90" s="1123"/>
      <c r="E90" s="1157"/>
      <c r="F90" s="1123"/>
      <c r="G90" s="1159"/>
      <c r="H90" s="1157"/>
      <c r="I90" s="1157"/>
      <c r="J90" s="1157"/>
      <c r="K90" s="1157"/>
      <c r="L90" s="1157"/>
      <c r="M90" s="1159"/>
      <c r="N90" s="1157"/>
      <c r="O90" s="1157"/>
      <c r="P90" s="1157"/>
      <c r="Q90" s="1157"/>
      <c r="R90" s="1159"/>
      <c r="S90" s="1157"/>
      <c r="T90" s="1157"/>
      <c r="U90" s="1157"/>
      <c r="V90" s="1157"/>
      <c r="W90" s="1159"/>
    </row>
    <row r="91" spans="1:23" ht="15.75">
      <c r="A91" s="1154">
        <v>1</v>
      </c>
      <c r="B91" s="1157">
        <v>6.68</v>
      </c>
      <c r="C91" s="1157">
        <v>-29.17</v>
      </c>
      <c r="D91" s="1123">
        <v>-3.77</v>
      </c>
      <c r="E91" s="1157">
        <v>15.81</v>
      </c>
      <c r="F91" s="1123">
        <v>9.35</v>
      </c>
      <c r="G91" s="1159">
        <v>8.75</v>
      </c>
      <c r="H91" s="1157">
        <v>-33.520000000000003</v>
      </c>
      <c r="I91" s="1157">
        <v>-33.25</v>
      </c>
      <c r="J91" s="1157">
        <v>45.6</v>
      </c>
      <c r="K91" s="1157">
        <v>10.39</v>
      </c>
      <c r="L91" s="1157">
        <v>11.29</v>
      </c>
      <c r="M91" s="1159">
        <v>6.17</v>
      </c>
      <c r="N91" s="1157">
        <v>-23.040616072537571</v>
      </c>
      <c r="O91" s="1157">
        <v>14.110048441187423</v>
      </c>
      <c r="P91" s="1157">
        <v>31.859396348279713</v>
      </c>
      <c r="Q91" s="1157">
        <v>-14.644143584647869</v>
      </c>
      <c r="R91" s="1159">
        <v>-1.763756055148427</v>
      </c>
      <c r="S91" s="1157">
        <v>-5.8603586417397961</v>
      </c>
      <c r="T91" s="1157">
        <v>-4.6394505913773383</v>
      </c>
      <c r="U91" s="1157">
        <v>6.3792445631438381</v>
      </c>
      <c r="V91" s="1157">
        <v>7.371232354063336</v>
      </c>
      <c r="W91" s="1159">
        <v>-1.3735215566577639</v>
      </c>
    </row>
    <row r="92" spans="1:23" ht="15.75">
      <c r="A92" s="1154">
        <v>2</v>
      </c>
      <c r="B92" s="1157">
        <v>-3.81</v>
      </c>
      <c r="C92" s="1157">
        <v>-23.52</v>
      </c>
      <c r="D92" s="1123">
        <v>4.26</v>
      </c>
      <c r="E92" s="1157">
        <v>8.39</v>
      </c>
      <c r="F92" s="1123">
        <v>3.77</v>
      </c>
      <c r="G92" s="1159">
        <v>0.11</v>
      </c>
      <c r="H92" s="1157">
        <v>-10.11</v>
      </c>
      <c r="I92" s="1157">
        <v>-46.6</v>
      </c>
      <c r="J92" s="1157">
        <v>16.899999999999999</v>
      </c>
      <c r="K92" s="1157">
        <v>1.1399999999999999</v>
      </c>
      <c r="L92" s="1157">
        <v>10.89</v>
      </c>
      <c r="M92" s="1159">
        <v>-14.87</v>
      </c>
      <c r="N92" s="1157">
        <v>-26.02</v>
      </c>
      <c r="O92" s="1157">
        <v>-0.98</v>
      </c>
      <c r="P92" s="1157">
        <v>38.4</v>
      </c>
      <c r="Q92" s="1157">
        <v>-14.18</v>
      </c>
      <c r="R92" s="1159">
        <v>4.45</v>
      </c>
      <c r="S92" s="1157">
        <v>6.2341844950540599</v>
      </c>
      <c r="T92" s="1157">
        <v>4.8385859980062902</v>
      </c>
      <c r="U92" s="1157">
        <v>11.272141706924314</v>
      </c>
      <c r="V92" s="1157">
        <v>7.0470055977302355</v>
      </c>
      <c r="W92" s="1159">
        <v>7.4483040666615556</v>
      </c>
    </row>
    <row r="93" spans="1:23" ht="15.75">
      <c r="A93" s="1154">
        <v>3</v>
      </c>
      <c r="B93" s="1157">
        <v>-5.2</v>
      </c>
      <c r="C93" s="1157">
        <v>-24.16</v>
      </c>
      <c r="D93" s="1123">
        <v>6.22</v>
      </c>
      <c r="E93" s="1157">
        <v>16.93</v>
      </c>
      <c r="F93" s="1123">
        <v>10.99</v>
      </c>
      <c r="G93" s="1159">
        <v>1.84</v>
      </c>
      <c r="H93" s="1157">
        <v>-13.67</v>
      </c>
      <c r="I93" s="1157">
        <v>-53.41</v>
      </c>
      <c r="J93" s="1157">
        <v>19</v>
      </c>
      <c r="K93" s="1157">
        <v>2.2599999999999998</v>
      </c>
      <c r="L93" s="1157">
        <v>10.38</v>
      </c>
      <c r="M93" s="1159">
        <v>-17.21</v>
      </c>
      <c r="N93" s="1157">
        <v>9.9700000000000006</v>
      </c>
      <c r="O93" s="1157">
        <v>-0.56000000000000005</v>
      </c>
      <c r="P93" s="1157">
        <v>46.44</v>
      </c>
      <c r="Q93" s="1157">
        <v>3.07</v>
      </c>
      <c r="R93" s="1159">
        <v>18.989999999999998</v>
      </c>
      <c r="S93" s="1157">
        <v>6.6676329902884506</v>
      </c>
      <c r="T93" s="1157">
        <v>7.0010146398028699</v>
      </c>
      <c r="U93" s="1157">
        <v>14.400637773590377</v>
      </c>
      <c r="V93" s="1157">
        <v>1.2248151906073346</v>
      </c>
      <c r="W93" s="1159">
        <v>9.3564284678939007</v>
      </c>
    </row>
    <row r="94" spans="1:23" ht="15.75">
      <c r="A94" s="1154">
        <v>4</v>
      </c>
      <c r="B94" s="1157">
        <v>12.139419881423976</v>
      </c>
      <c r="C94" s="1157">
        <v>-16.632547257597107</v>
      </c>
      <c r="D94" s="1123">
        <v>7.579826123946507</v>
      </c>
      <c r="E94" s="1157">
        <v>15.768484300640736</v>
      </c>
      <c r="F94" s="1123">
        <v>9.7811926727461245</v>
      </c>
      <c r="G94" s="1159">
        <v>6.7760260193727362</v>
      </c>
      <c r="H94" s="1157">
        <v>3.5008469791078514</v>
      </c>
      <c r="I94" s="1157">
        <v>-39.250423489553924</v>
      </c>
      <c r="J94" s="1157">
        <v>38.608130999435339</v>
      </c>
      <c r="K94" s="1157">
        <v>17.412478825522307</v>
      </c>
      <c r="L94" s="1157">
        <v>18.321993224167141</v>
      </c>
      <c r="M94" s="1159">
        <v>-0.32114624505929257</v>
      </c>
      <c r="N94" s="1157">
        <v>26.035946080878677</v>
      </c>
      <c r="O94" s="1157">
        <v>0.3744383424862705</v>
      </c>
      <c r="P94" s="1157">
        <v>20.718921617573638</v>
      </c>
      <c r="Q94" s="1157">
        <v>5.2546180728906648</v>
      </c>
      <c r="R94" s="1159">
        <v>15.460143118655347</v>
      </c>
      <c r="S94" s="1157">
        <v>4.0046684659712604</v>
      </c>
      <c r="T94" s="1157">
        <v>-3.9025457728499524</v>
      </c>
      <c r="U94" s="1157">
        <v>9.8256619738857669</v>
      </c>
      <c r="V94" s="1157">
        <v>-0.44496316288569493</v>
      </c>
      <c r="W94" s="1159">
        <v>3.3092615556690257</v>
      </c>
    </row>
    <row r="95" spans="1:23" ht="15.75">
      <c r="A95" s="1154">
        <v>5</v>
      </c>
      <c r="B95" s="1157">
        <v>-2.0526063574889521</v>
      </c>
      <c r="C95" s="1157">
        <v>-25.661572866194554</v>
      </c>
      <c r="D95" s="1123">
        <v>11.293328363771897</v>
      </c>
      <c r="E95" s="1157">
        <v>24.466215856450667</v>
      </c>
      <c r="F95" s="1123">
        <v>9.4829881262978581</v>
      </c>
      <c r="G95" s="1159">
        <v>3.706760378396607</v>
      </c>
      <c r="H95" s="1157">
        <v>4.2226618459649385</v>
      </c>
      <c r="I95" s="1157">
        <v>-38.890783818814384</v>
      </c>
      <c r="J95" s="1157">
        <v>66.014052800327434</v>
      </c>
      <c r="K95" s="1157">
        <v>30.124837983491364</v>
      </c>
      <c r="L95" s="1157">
        <v>16.546763080701275</v>
      </c>
      <c r="M95" s="1159">
        <v>13.561634490756525</v>
      </c>
      <c r="N95" s="1157">
        <v>2.0486714675937394</v>
      </c>
      <c r="O95" s="1157">
        <v>-1.303700024832382</v>
      </c>
      <c r="P95" s="1157">
        <v>41.196920784703259</v>
      </c>
      <c r="Q95" s="1157">
        <v>3.6379438788179788</v>
      </c>
      <c r="R95" s="1159">
        <v>14.849764092376459</v>
      </c>
      <c r="S95" s="1157">
        <v>2.8116147308781878</v>
      </c>
      <c r="T95" s="1157">
        <v>2.4150141643059495</v>
      </c>
      <c r="U95" s="1157">
        <v>9.7379603399433439</v>
      </c>
      <c r="V95" s="1157">
        <v>-1.0552407932011327</v>
      </c>
      <c r="W95" s="1159">
        <v>4.9881964117091586</v>
      </c>
    </row>
    <row r="96" spans="1:23" ht="15.75">
      <c r="A96" s="1154">
        <v>6</v>
      </c>
      <c r="B96" s="1157">
        <v>22.317952976592096</v>
      </c>
      <c r="C96" s="1157">
        <v>-26.669953807027557</v>
      </c>
      <c r="D96" s="1123">
        <v>12.350132350651373</v>
      </c>
      <c r="E96" s="1157">
        <v>22.836975138838429</v>
      </c>
      <c r="F96" s="1123">
        <v>11.460009342398923</v>
      </c>
      <c r="G96" s="1159">
        <v>10.934931921593053</v>
      </c>
      <c r="H96" s="1157">
        <v>5.5592856183698123</v>
      </c>
      <c r="I96" s="1157">
        <v>-38.236873908956625</v>
      </c>
      <c r="J96" s="1157">
        <v>65.261178998254337</v>
      </c>
      <c r="K96" s="1157">
        <v>28.816973277829995</v>
      </c>
      <c r="L96" s="1157">
        <v>16.161541560359876</v>
      </c>
      <c r="M96" s="1159">
        <v>13.512152544648856</v>
      </c>
      <c r="N96" s="1157">
        <v>39.95849102673666</v>
      </c>
      <c r="O96" s="1157">
        <v>-7.3373214503723601</v>
      </c>
      <c r="P96" s="1157">
        <v>43.047246978390923</v>
      </c>
      <c r="Q96" s="1157">
        <v>3.9799780246612135</v>
      </c>
      <c r="R96" s="1159">
        <v>30.114353151833317</v>
      </c>
      <c r="S96" s="1157">
        <v>0.63327576280944364</v>
      </c>
      <c r="T96" s="1157">
        <v>1.5040299366724219</v>
      </c>
      <c r="U96" s="1157">
        <v>11.442141623488775</v>
      </c>
      <c r="V96" s="1157">
        <v>-1.6479562464018409</v>
      </c>
      <c r="W96" s="1159">
        <v>4.526482440990212</v>
      </c>
    </row>
    <row r="97" spans="1:23" ht="15.75">
      <c r="A97" s="1154">
        <v>7</v>
      </c>
      <c r="B97" s="1157">
        <v>22.7653595276768</v>
      </c>
      <c r="C97" s="1157">
        <v>-24.291644107561808</v>
      </c>
      <c r="D97" s="1123">
        <v>11.568308969500091</v>
      </c>
      <c r="E97" s="1157">
        <v>11.975661948591025</v>
      </c>
      <c r="F97" s="1123">
        <v>11.91636373011576</v>
      </c>
      <c r="G97" s="1159">
        <v>7.7242375022559084</v>
      </c>
      <c r="H97" s="1157">
        <v>-8.7701680390975394</v>
      </c>
      <c r="I97" s="1157">
        <v>-19.963848162281582</v>
      </c>
      <c r="J97" s="1157">
        <v>27.328111401218454</v>
      </c>
      <c r="K97" s="1157">
        <v>28.466224810872333</v>
      </c>
      <c r="L97" s="1157">
        <v>15.812211287407109</v>
      </c>
      <c r="M97" s="1159">
        <v>3.6821316194684357</v>
      </c>
      <c r="N97" s="1157">
        <v>14.597478176527643</v>
      </c>
      <c r="O97" s="1157">
        <v>4.4010669253152281</v>
      </c>
      <c r="P97" s="1157">
        <v>19.544131910766247</v>
      </c>
      <c r="Q97" s="1157">
        <v>2.5945683802133845</v>
      </c>
      <c r="R97" s="1159">
        <v>9.9135143873262219</v>
      </c>
      <c r="S97" s="1157">
        <v>8.9249784420810592</v>
      </c>
      <c r="T97" s="1157">
        <v>6.3092842770911206</v>
      </c>
      <c r="U97" s="1157">
        <v>7.4015521701638409</v>
      </c>
      <c r="V97" s="1157">
        <v>-0.50301810865191166</v>
      </c>
      <c r="W97" s="1159">
        <v>7.5452716297786742</v>
      </c>
    </row>
    <row r="98" spans="1:23" ht="15.75">
      <c r="A98" s="1154">
        <v>8</v>
      </c>
      <c r="B98" s="1157">
        <v>15.269345045859701</v>
      </c>
      <c r="C98" s="1157">
        <v>-23.131378374886967</v>
      </c>
      <c r="D98" s="1123">
        <v>6.4410282909184868</v>
      </c>
      <c r="E98" s="1157">
        <v>8.9704172587521001</v>
      </c>
      <c r="F98" s="1123">
        <v>10.288076475907506</v>
      </c>
      <c r="G98" s="1159">
        <v>5.9329113378977727</v>
      </c>
      <c r="H98" s="1157">
        <v>18.752477864411262</v>
      </c>
      <c r="I98" s="1157">
        <v>-13.096339368309767</v>
      </c>
      <c r="J98" s="1157">
        <v>28.412845249107967</v>
      </c>
      <c r="K98" s="1157">
        <v>35.588740584115243</v>
      </c>
      <c r="L98" s="1157">
        <v>17.149927315977269</v>
      </c>
      <c r="M98" s="1159">
        <v>7.6582529403991</v>
      </c>
      <c r="N98" s="1157">
        <v>18.416273156556485</v>
      </c>
      <c r="O98" s="1157">
        <v>1.5256084271703596</v>
      </c>
      <c r="P98" s="1157">
        <v>-2.3368446543165042</v>
      </c>
      <c r="Q98" s="1157">
        <v>2.7969487831456594</v>
      </c>
      <c r="R98" s="1159">
        <v>4.8512733583565391</v>
      </c>
      <c r="S98" s="1157">
        <v>8.4178717893373634</v>
      </c>
      <c r="T98" s="1157">
        <v>6.410533131879995</v>
      </c>
      <c r="U98" s="1157">
        <v>1.3094467227858146</v>
      </c>
      <c r="V98" s="1157">
        <v>-1.0936038563925465</v>
      </c>
      <c r="W98" s="1159">
        <v>5.3792838813343904</v>
      </c>
    </row>
    <row r="99" spans="1:23" ht="15.75">
      <c r="A99" s="1154">
        <v>9</v>
      </c>
      <c r="B99" s="1157">
        <v>14.112674604401834</v>
      </c>
      <c r="C99" s="1157">
        <v>-24.16112571516932</v>
      </c>
      <c r="D99" s="1123">
        <v>4.0358744394618826</v>
      </c>
      <c r="E99" s="1157">
        <v>18.993866295551776</v>
      </c>
      <c r="F99" s="1123">
        <v>3.3864233802381332</v>
      </c>
      <c r="G99" s="1159">
        <v>9.6902221534972401</v>
      </c>
      <c r="H99" s="1157">
        <v>11.994742030890569</v>
      </c>
      <c r="I99" s="1157">
        <v>-6.625041077883667</v>
      </c>
      <c r="J99" s="1157">
        <v>71.278343739730531</v>
      </c>
      <c r="K99" s="1157">
        <v>29.155438711797565</v>
      </c>
      <c r="L99" s="1157">
        <v>16.689779822543542</v>
      </c>
      <c r="M99" s="1159">
        <v>32.326651330923397</v>
      </c>
      <c r="N99" s="1157">
        <v>17.828794724630598</v>
      </c>
      <c r="O99" s="1157">
        <v>-8.1328611552082073</v>
      </c>
      <c r="P99" s="1157">
        <v>-23.922334839418731</v>
      </c>
      <c r="Q99" s="1157">
        <v>3.0040297960678957</v>
      </c>
      <c r="R99" s="1159">
        <v>0.6797736801400267</v>
      </c>
      <c r="S99" s="1157">
        <v>10.172537742631199</v>
      </c>
      <c r="T99" s="1157">
        <v>5.5643421998562177</v>
      </c>
      <c r="U99" s="1157">
        <v>3.3429187634795143</v>
      </c>
      <c r="V99" s="1157">
        <v>-6.7145938173975566</v>
      </c>
      <c r="W99" s="1159">
        <v>6.3599329019889757</v>
      </c>
    </row>
    <row r="100" spans="1:23" ht="15.75">
      <c r="A100" s="1154">
        <v>10</v>
      </c>
      <c r="B100" s="1157">
        <v>23.842674038703198</v>
      </c>
      <c r="C100" s="1157">
        <v>-7.4415682332244275</v>
      </c>
      <c r="D100" s="1123">
        <v>4.2372455390801704</v>
      </c>
      <c r="E100" s="1157">
        <v>21.203820055290276</v>
      </c>
      <c r="F100" s="1123">
        <v>8.4418195526514204</v>
      </c>
      <c r="G100" s="1159">
        <v>13.603082851637765</v>
      </c>
      <c r="H100" s="1157">
        <v>12.288826560563566</v>
      </c>
      <c r="I100" s="1157">
        <v>-12.941099732567999</v>
      </c>
      <c r="J100" s="1157">
        <v>44.719848672624096</v>
      </c>
      <c r="K100" s="1157">
        <v>15.315374078664146</v>
      </c>
      <c r="L100" s="1157">
        <v>13.8232339703868</v>
      </c>
      <c r="M100" s="1159">
        <v>15.889374470028049</v>
      </c>
      <c r="N100" s="1157">
        <v>3.0448543053585091</v>
      </c>
      <c r="O100" s="1157">
        <v>-1.2768743861180827</v>
      </c>
      <c r="P100" s="1157">
        <v>4.9874495252646538</v>
      </c>
      <c r="Q100" s="1157">
        <v>5.5003819709702055</v>
      </c>
      <c r="R100" s="1159">
        <v>3.1030594055804155</v>
      </c>
      <c r="S100" s="1157">
        <v>10.683281993839261</v>
      </c>
      <c r="T100" s="1157">
        <v>7.5049005880705693</v>
      </c>
      <c r="U100" s="1157">
        <v>4.0464855782693929</v>
      </c>
      <c r="V100" s="1157">
        <v>-1.3581629795575456</v>
      </c>
      <c r="W100" s="1159">
        <v>7.411556053393074</v>
      </c>
    </row>
    <row r="101" spans="1:23" ht="15.75">
      <c r="A101" s="1154">
        <v>11</v>
      </c>
      <c r="B101" s="1157">
        <v>27.813686778501545</v>
      </c>
      <c r="C101" s="1157">
        <v>-22.064334398028222</v>
      </c>
      <c r="D101" s="1123">
        <v>3.6719398405472714</v>
      </c>
      <c r="E101" s="1157">
        <v>6.5893714946807194</v>
      </c>
      <c r="F101" s="1123">
        <v>9.2703905837378358</v>
      </c>
      <c r="G101" s="1159">
        <v>10.243706144211664</v>
      </c>
      <c r="H101" s="1157">
        <v>-8.6278109224414852</v>
      </c>
      <c r="I101" s="1157">
        <v>-40.516619681374159</v>
      </c>
      <c r="J101" s="1157">
        <v>10.220940142922704</v>
      </c>
      <c r="K101" s="1157">
        <v>1.553792696518721</v>
      </c>
      <c r="L101" s="1157">
        <v>13.089949518127582</v>
      </c>
      <c r="M101" s="1159">
        <v>-15.147839769225728</v>
      </c>
      <c r="N101" s="1157">
        <v>-16.706599869309517</v>
      </c>
      <c r="O101" s="1157">
        <v>0.9910694837725994</v>
      </c>
      <c r="P101" s="1157">
        <v>-4.8573295578305409</v>
      </c>
      <c r="Q101" s="1157">
        <v>5.3909823567850141</v>
      </c>
      <c r="R101" s="1159">
        <v>-7.518332970304221</v>
      </c>
      <c r="S101" s="1157">
        <v>2.5823199890695454</v>
      </c>
      <c r="T101" s="1157">
        <v>5.9502664298401413</v>
      </c>
      <c r="U101" s="1157">
        <v>7.4463724552534485</v>
      </c>
      <c r="V101" s="1157">
        <v>8.8809946714032195E-2</v>
      </c>
      <c r="W101" s="1159">
        <v>5.3263196247210454</v>
      </c>
    </row>
    <row r="102" spans="1:23" ht="15.75">
      <c r="A102" s="1154">
        <v>12</v>
      </c>
      <c r="B102" s="1157">
        <v>21.003650573294255</v>
      </c>
      <c r="C102" s="1157">
        <v>-21.728623579618489</v>
      </c>
      <c r="D102" s="1123">
        <v>5.0928068281145578</v>
      </c>
      <c r="E102" s="1157">
        <v>3.3883490153735414</v>
      </c>
      <c r="F102" s="1123">
        <v>8.619980461720397</v>
      </c>
      <c r="G102" s="1159">
        <v>6.4330642535177454</v>
      </c>
      <c r="H102" s="1157">
        <v>-28.395061728395067</v>
      </c>
      <c r="I102" s="1157">
        <v>-25.648643295702119</v>
      </c>
      <c r="J102" s="1157">
        <v>26.658744305803129</v>
      </c>
      <c r="K102" s="1157">
        <v>15.224136792764241</v>
      </c>
      <c r="L102" s="1157">
        <v>13.620320855614974</v>
      </c>
      <c r="M102" s="1159">
        <v>0.50505050505050519</v>
      </c>
      <c r="N102" s="1157">
        <v>15.899627438088979</v>
      </c>
      <c r="O102" s="1157">
        <v>-1.6984440061363137</v>
      </c>
      <c r="P102" s="1157">
        <v>-25.126013587552052</v>
      </c>
      <c r="Q102" s="1157">
        <v>5.5007670392285775</v>
      </c>
      <c r="R102" s="1159">
        <v>-2.5093140477755855</v>
      </c>
      <c r="S102" s="1157">
        <v>9.718875502008034</v>
      </c>
      <c r="T102" s="1157">
        <v>4.6452476572958528</v>
      </c>
      <c r="U102" s="1157">
        <v>4.4979919678714868</v>
      </c>
      <c r="V102" s="1157">
        <v>2.8848728246318611</v>
      </c>
      <c r="W102" s="1159">
        <v>6.2873717090584558</v>
      </c>
    </row>
    <row r="103" spans="1:23" ht="15.75">
      <c r="A103" s="1154">
        <v>2022</v>
      </c>
      <c r="B103" s="1157"/>
      <c r="C103" s="1157"/>
      <c r="D103" s="1123"/>
      <c r="E103" s="1157"/>
      <c r="F103" s="1123"/>
      <c r="G103" s="1159"/>
      <c r="H103" s="1157"/>
      <c r="I103" s="1157"/>
      <c r="J103" s="1157"/>
      <c r="K103" s="1157"/>
      <c r="L103" s="1157"/>
      <c r="M103" s="1159"/>
      <c r="N103" s="1157"/>
      <c r="O103" s="1157"/>
      <c r="P103" s="1157"/>
      <c r="Q103" s="1157"/>
      <c r="R103" s="1159"/>
      <c r="S103" s="1157"/>
      <c r="T103" s="1157"/>
      <c r="U103" s="1157"/>
      <c r="V103" s="1157"/>
      <c r="W103" s="1159"/>
    </row>
    <row r="104" spans="1:23" ht="15.75">
      <c r="A104" s="1154">
        <v>1</v>
      </c>
      <c r="B104" s="1157">
        <v>17.664135196080977</v>
      </c>
      <c r="C104" s="1157">
        <v>-18.514294600969393</v>
      </c>
      <c r="D104" s="1123">
        <v>8.1801923226458619</v>
      </c>
      <c r="E104" s="1157">
        <v>3.9838262357118803</v>
      </c>
      <c r="F104" s="1123">
        <v>12.075892278582725</v>
      </c>
      <c r="G104" s="1159">
        <v>4.4892563697156644</v>
      </c>
      <c r="H104" s="1157">
        <v>-72.157944302435084</v>
      </c>
      <c r="I104" s="1157">
        <v>-39.903134669716131</v>
      </c>
      <c r="J104" s="1157">
        <v>-49.650208529530474</v>
      </c>
      <c r="K104" s="1157">
        <v>-28.460917529934083</v>
      </c>
      <c r="L104" s="1157">
        <v>13.128346562626126</v>
      </c>
      <c r="M104" s="1159">
        <v>-44.776671599623299</v>
      </c>
      <c r="N104" s="1157">
        <v>8.9133484407035724</v>
      </c>
      <c r="O104" s="1157">
        <v>-0.52875795834682227</v>
      </c>
      <c r="P104" s="1157">
        <v>-22.822920038847524</v>
      </c>
      <c r="Q104" s="1157">
        <v>8.7946476745440787</v>
      </c>
      <c r="R104" s="1159">
        <v>-4.4602712132657123</v>
      </c>
      <c r="S104" s="1157">
        <v>9.6497689680573231</v>
      </c>
      <c r="T104" s="1157">
        <v>5.1764548315810641</v>
      </c>
      <c r="U104" s="1157">
        <v>6.1474586486305505</v>
      </c>
      <c r="V104" s="1157">
        <v>2.5848791267662223</v>
      </c>
      <c r="W104" s="1159">
        <v>6.9912274827563117</v>
      </c>
    </row>
    <row r="105" spans="1:23" ht="15.75">
      <c r="A105" s="1154">
        <v>2</v>
      </c>
      <c r="B105" s="1157">
        <v>10.046126182472051</v>
      </c>
      <c r="C105" s="1157">
        <v>-19.122820733328119</v>
      </c>
      <c r="D105" s="1123">
        <v>5.2380580095379559</v>
      </c>
      <c r="E105" s="1157">
        <v>5.425689938237821</v>
      </c>
      <c r="F105" s="1123">
        <v>13.363562921846089</v>
      </c>
      <c r="G105" s="1159">
        <v>3.4112527037239726</v>
      </c>
      <c r="H105" s="1157">
        <v>-71.752450980392169</v>
      </c>
      <c r="I105" s="1157">
        <v>-39.773965141612202</v>
      </c>
      <c r="J105" s="1157">
        <v>-34.184368191721134</v>
      </c>
      <c r="K105" s="1157">
        <v>-26.695261437908492</v>
      </c>
      <c r="L105" s="1157">
        <v>12.710171568627452</v>
      </c>
      <c r="M105" s="1159">
        <v>-36.979166666666671</v>
      </c>
      <c r="N105" s="1157">
        <v>-9.1943127962085303</v>
      </c>
      <c r="O105" s="1157">
        <v>15.113217482885728</v>
      </c>
      <c r="P105" s="1157">
        <v>17.672459189046869</v>
      </c>
      <c r="Q105" s="1157">
        <v>8.7098472880463387</v>
      </c>
      <c r="R105" s="1159">
        <v>-2.2116903633491298</v>
      </c>
      <c r="S105" s="1157">
        <v>7.2975828820499276</v>
      </c>
      <c r="T105" s="1157">
        <v>1.7038700303790806</v>
      </c>
      <c r="U105" s="1157">
        <v>9.9128252542596726</v>
      </c>
      <c r="V105" s="1157">
        <v>3.2162197860256243</v>
      </c>
      <c r="W105" s="1159">
        <v>6.3047593888962252</v>
      </c>
    </row>
    <row r="106" spans="1:23" ht="15.75">
      <c r="A106" s="1154">
        <v>3</v>
      </c>
      <c r="B106" s="1157">
        <v>-9.410801963993455</v>
      </c>
      <c r="C106" s="1157">
        <v>-24.757228587015817</v>
      </c>
      <c r="D106" s="1123">
        <v>3.7179487179487172</v>
      </c>
      <c r="E106" s="1157">
        <v>29.937261320240044</v>
      </c>
      <c r="F106" s="1123">
        <v>12.176759410801964</v>
      </c>
      <c r="G106" s="1159">
        <v>5.6028368794326227</v>
      </c>
      <c r="H106" s="1157">
        <v>-70.411933762145893</v>
      </c>
      <c r="I106" s="1157">
        <v>-67.565348296154383</v>
      </c>
      <c r="J106" s="1157">
        <v>-33.146298070343505</v>
      </c>
      <c r="K106" s="1157">
        <v>18.441220747228684</v>
      </c>
      <c r="L106" s="1157">
        <v>12.282674148077188</v>
      </c>
      <c r="M106" s="1159">
        <v>-50.355823183248944</v>
      </c>
      <c r="N106" s="1157">
        <v>-26.712187047382578</v>
      </c>
      <c r="O106" s="1157">
        <v>6.8797848127457089</v>
      </c>
      <c r="P106" s="1157">
        <v>53.527829505483147</v>
      </c>
      <c r="Q106" s="1157">
        <v>13.294020277260501</v>
      </c>
      <c r="R106" s="1159">
        <v>6.6452858817849512</v>
      </c>
      <c r="S106" s="1157">
        <v>33.512786002691783</v>
      </c>
      <c r="T106" s="1157">
        <v>29.30846632057937</v>
      </c>
      <c r="U106" s="1157">
        <v>51.925911683650568</v>
      </c>
      <c r="V106" s="1157">
        <v>5.6912132282253411</v>
      </c>
      <c r="W106" s="1159">
        <v>38.249054668973919</v>
      </c>
    </row>
    <row r="107" spans="1:23" ht="15.75">
      <c r="A107" s="1154">
        <v>4</v>
      </c>
      <c r="B107" s="1157">
        <v>-9.9892053475047753</v>
      </c>
      <c r="C107" s="1157">
        <v>-31.805474826316807</v>
      </c>
      <c r="D107" s="1123">
        <v>10.401616430014666</v>
      </c>
      <c r="E107" s="1157">
        <v>18.921088322400287</v>
      </c>
      <c r="F107" s="1123">
        <v>8.6717041711644374</v>
      </c>
      <c r="G107" s="1159">
        <v>-0.48991115170638677</v>
      </c>
      <c r="H107" s="1157">
        <v>-43.097222222222221</v>
      </c>
      <c r="I107" s="1157">
        <v>-53.638888888888893</v>
      </c>
      <c r="J107" s="1157">
        <v>-32.722222222222207</v>
      </c>
      <c r="K107" s="1157">
        <v>16.993055555555554</v>
      </c>
      <c r="L107" s="1157">
        <v>11.991319444444441</v>
      </c>
      <c r="M107" s="1159">
        <v>-43.18055555555555</v>
      </c>
      <c r="N107" s="1157">
        <v>-36.584096586178177</v>
      </c>
      <c r="O107" s="1157">
        <v>-7.8268109908409649</v>
      </c>
      <c r="P107" s="1157">
        <v>54.308909242298085</v>
      </c>
      <c r="Q107" s="1157">
        <v>11.5736885928393</v>
      </c>
      <c r="R107" s="1159">
        <v>8.5172078823202888</v>
      </c>
      <c r="S107" s="1157">
        <v>45.313735829158972</v>
      </c>
      <c r="T107" s="1157">
        <v>40.047455839704718</v>
      </c>
      <c r="U107" s="1157">
        <v>55.239915634062733</v>
      </c>
      <c r="V107" s="1157">
        <v>8.3245452148694969</v>
      </c>
      <c r="W107" s="1159">
        <v>46.867035767642136</v>
      </c>
    </row>
    <row r="108" spans="1:23" ht="15.75">
      <c r="A108" s="1154">
        <v>5</v>
      </c>
      <c r="B108" s="1157">
        <v>12.47686872651825</v>
      </c>
      <c r="C108" s="1157">
        <v>-26.650030841697976</v>
      </c>
      <c r="D108" s="1123">
        <v>2.3187349296248523</v>
      </c>
      <c r="E108" s="1157">
        <v>25.214489990467115</v>
      </c>
      <c r="F108" s="1123">
        <v>8.809510458139405</v>
      </c>
      <c r="G108" s="1159">
        <v>11.790874595786837</v>
      </c>
      <c r="H108" s="1157">
        <v>-34.87093856536562</v>
      </c>
      <c r="I108" s="1157">
        <v>-66.569261810338816</v>
      </c>
      <c r="J108" s="1157">
        <v>-28.372643150351351</v>
      </c>
      <c r="K108" s="1157">
        <v>4.1188339247199615</v>
      </c>
      <c r="L108" s="1157">
        <v>11.461420719404437</v>
      </c>
      <c r="M108" s="1159">
        <v>-47.470952480345083</v>
      </c>
      <c r="N108" s="1157">
        <v>5.1194539249146702</v>
      </c>
      <c r="O108" s="1157">
        <v>0.14479263626021355</v>
      </c>
      <c r="P108" s="1157">
        <v>49.94311717861207</v>
      </c>
      <c r="Q108" s="1157">
        <v>14.313786327438203</v>
      </c>
      <c r="R108" s="1159">
        <v>18.305926155755508</v>
      </c>
      <c r="S108" s="1157">
        <v>50.421274354923639</v>
      </c>
      <c r="T108" s="1157">
        <v>46.142706687730374</v>
      </c>
      <c r="U108" s="1157">
        <v>56.154555028962598</v>
      </c>
      <c r="V108" s="1157">
        <v>11.61795681937862</v>
      </c>
      <c r="W108" s="1159">
        <v>50.90617869053888</v>
      </c>
    </row>
    <row r="109" spans="1:23" ht="15.75">
      <c r="A109" s="1154">
        <v>6</v>
      </c>
      <c r="B109" s="1157">
        <v>16.521641497782522</v>
      </c>
      <c r="C109" s="1157">
        <v>-25.89400999270196</v>
      </c>
      <c r="D109" s="1123">
        <v>3.7977881322629536</v>
      </c>
      <c r="E109" s="1157">
        <v>26.559254477067306</v>
      </c>
      <c r="F109" s="1123">
        <v>7.1324313703474989</v>
      </c>
      <c r="G109" s="1159">
        <v>13.094369280862292</v>
      </c>
      <c r="H109" s="1157">
        <v>-35.771664178573971</v>
      </c>
      <c r="I109" s="1157">
        <v>-65.031634321461581</v>
      </c>
      <c r="J109" s="1157">
        <v>-27.823985213620528</v>
      </c>
      <c r="K109" s="1157">
        <v>4.2084310798322315</v>
      </c>
      <c r="L109" s="1157">
        <v>11.076562166773297</v>
      </c>
      <c r="M109" s="1159">
        <v>-46.427809767541056</v>
      </c>
      <c r="N109" s="1157">
        <v>18.643892339544522</v>
      </c>
      <c r="O109" s="1157">
        <v>-5.6832298136645978</v>
      </c>
      <c r="P109" s="1157">
        <v>30.734989648033121</v>
      </c>
      <c r="Q109" s="1157">
        <v>17.443064182194615</v>
      </c>
      <c r="R109" s="1159">
        <v>18.354037267080741</v>
      </c>
      <c r="S109" s="1157">
        <v>47.162730507926227</v>
      </c>
      <c r="T109" s="1157">
        <v>48.59915884826917</v>
      </c>
      <c r="U109" s="1157">
        <v>62.174053704302814</v>
      </c>
      <c r="V109" s="1157">
        <v>12.196700097055972</v>
      </c>
      <c r="W109" s="1159">
        <v>52.645314353499408</v>
      </c>
    </row>
    <row r="110" spans="1:23" ht="15.75">
      <c r="A110" s="1154">
        <v>7</v>
      </c>
      <c r="B110" s="1157">
        <v>17.657318834655111</v>
      </c>
      <c r="C110" s="1157">
        <v>-26.536396587905049</v>
      </c>
      <c r="D110" s="1123">
        <v>6.7996620608835459</v>
      </c>
      <c r="E110" s="1157">
        <v>41.956231433788453</v>
      </c>
      <c r="F110" s="1123">
        <v>5.8621535442727488</v>
      </c>
      <c r="G110" s="1159">
        <v>17.604629402520004</v>
      </c>
      <c r="H110" s="1157">
        <v>-25.022195915951468</v>
      </c>
      <c r="I110" s="1157">
        <v>-63.606096478247999</v>
      </c>
      <c r="J110" s="1157">
        <v>-25.110979579757327</v>
      </c>
      <c r="K110" s="1157">
        <v>22.514057413435928</v>
      </c>
      <c r="L110" s="1157">
        <v>10.473290914471736</v>
      </c>
      <c r="M110" s="1159">
        <v>-44.358538029002659</v>
      </c>
      <c r="N110" s="1157">
        <v>10.093101988997043</v>
      </c>
      <c r="O110" s="1157">
        <v>0.81464240372407948</v>
      </c>
      <c r="P110" s="1157">
        <v>36.07702073635209</v>
      </c>
      <c r="Q110" s="1157">
        <v>14.420228523063903</v>
      </c>
      <c r="R110" s="1159">
        <v>15.118493440541689</v>
      </c>
      <c r="S110" s="1157">
        <v>50.419177364422325</v>
      </c>
      <c r="T110" s="1157">
        <v>55.783337699764211</v>
      </c>
      <c r="U110" s="1157">
        <v>53.242074927953894</v>
      </c>
      <c r="V110" s="1157">
        <v>7.9774692166623016</v>
      </c>
      <c r="W110" s="1159">
        <v>53.1481966640468</v>
      </c>
    </row>
    <row r="111" spans="1:23" ht="15.75">
      <c r="A111" s="1154">
        <v>8</v>
      </c>
      <c r="B111" s="1157">
        <v>14.125760649087219</v>
      </c>
      <c r="C111" s="1157">
        <v>-26.82082488167681</v>
      </c>
      <c r="D111" s="1123">
        <v>8.2488167680865452</v>
      </c>
      <c r="E111" s="1157">
        <v>43.867478025693039</v>
      </c>
      <c r="F111" s="1123">
        <v>6.9939148073022315</v>
      </c>
      <c r="G111" s="1159">
        <v>16.579999999999998</v>
      </c>
      <c r="H111" s="1157">
        <v>-45.704829246276518</v>
      </c>
      <c r="I111" s="1157">
        <v>-66.608996539792386</v>
      </c>
      <c r="J111" s="1157">
        <v>-41.582668873175869</v>
      </c>
      <c r="K111" s="1157">
        <v>4.8668572288250358</v>
      </c>
      <c r="L111" s="1157">
        <v>10.228825033849857</v>
      </c>
      <c r="M111" s="1159">
        <v>-54.095832706484131</v>
      </c>
      <c r="N111" s="1157">
        <v>25.987858131856424</v>
      </c>
      <c r="O111" s="1157">
        <v>-0.63904569176696147</v>
      </c>
      <c r="P111" s="1157">
        <v>25.199701778677181</v>
      </c>
      <c r="Q111" s="1157">
        <v>15.731174778996699</v>
      </c>
      <c r="R111" s="1159">
        <v>17.27553520076685</v>
      </c>
      <c r="S111" s="1157">
        <v>50.583480018254122</v>
      </c>
      <c r="T111" s="1157">
        <v>53.041267357715626</v>
      </c>
      <c r="U111" s="1157">
        <v>49.455635960623241</v>
      </c>
      <c r="V111" s="1157">
        <v>8.1230849468674613</v>
      </c>
      <c r="W111" s="1159">
        <v>51.026794445530989</v>
      </c>
    </row>
    <row r="112" spans="1:23" ht="15.75">
      <c r="A112" s="1154">
        <v>9</v>
      </c>
      <c r="B112" s="1157">
        <v>32.250967502518151</v>
      </c>
      <c r="C112" s="1157">
        <v>-24.871441446217464</v>
      </c>
      <c r="D112" s="1123">
        <v>-4.3709908286062644</v>
      </c>
      <c r="E112" s="1157">
        <v>33.589566876954891</v>
      </c>
      <c r="F112" s="1123">
        <v>-6.8626411493399786</v>
      </c>
      <c r="G112" s="1159">
        <v>23.403841736026436</v>
      </c>
      <c r="H112" s="1157">
        <v>-68.578143360752051</v>
      </c>
      <c r="I112" s="1157">
        <v>-70.990990990990994</v>
      </c>
      <c r="J112" s="1157">
        <v>-42.028985507246375</v>
      </c>
      <c r="K112" s="1157">
        <v>-5.1233842538190375</v>
      </c>
      <c r="L112" s="1157">
        <v>8.667685076380728</v>
      </c>
      <c r="M112" s="1159">
        <v>-56.509988249118685</v>
      </c>
      <c r="N112" s="1157">
        <v>16.494845360824744</v>
      </c>
      <c r="O112" s="1157">
        <v>-11.202040599426082</v>
      </c>
      <c r="P112" s="1157">
        <v>53.0555850781167</v>
      </c>
      <c r="Q112" s="1157">
        <v>-2.9546179190137067</v>
      </c>
      <c r="R112" s="1159">
        <v>26.917490346122509</v>
      </c>
      <c r="S112" s="1157">
        <v>50.906853219328923</v>
      </c>
      <c r="T112" s="1157">
        <v>51.936779375566793</v>
      </c>
      <c r="U112" s="1157">
        <v>53.148076175670425</v>
      </c>
      <c r="V112" s="1157">
        <v>8.3883922787925904</v>
      </c>
      <c r="W112" s="1159">
        <v>51.997236256855373</v>
      </c>
    </row>
    <row r="113" spans="1:23" ht="15.75">
      <c r="A113" s="1154">
        <v>10</v>
      </c>
      <c r="B113" s="1157">
        <v>35.781222071853541</v>
      </c>
      <c r="C113" s="1157">
        <v>-22.230166228327757</v>
      </c>
      <c r="D113" s="1123">
        <v>1.1541506013328902</v>
      </c>
      <c r="E113" s="1157">
        <v>37.034956464009397</v>
      </c>
      <c r="F113" s="1123">
        <v>-3.319459694099022</v>
      </c>
      <c r="G113" s="1159">
        <v>23.887342644843351</v>
      </c>
      <c r="H113" s="1157">
        <v>-73.239198444237758</v>
      </c>
      <c r="I113" s="1157">
        <v>-70.973196922296438</v>
      </c>
      <c r="J113" s="1157">
        <v>-61.215862010653602</v>
      </c>
      <c r="K113" s="1157">
        <v>-10.425298046841972</v>
      </c>
      <c r="L113" s="1157">
        <v>9.4871903272173856</v>
      </c>
      <c r="M113" s="1159">
        <v>-66.094529466475024</v>
      </c>
      <c r="N113" s="1157">
        <v>35.094142259414234</v>
      </c>
      <c r="O113" s="1157">
        <v>-0.89958158995815896</v>
      </c>
      <c r="P113" s="1157">
        <v>41.903765690376567</v>
      </c>
      <c r="Q113" s="1157">
        <v>-1.6841004184100417</v>
      </c>
      <c r="R113" s="1159">
        <v>25.965829846582984</v>
      </c>
      <c r="S113" s="1157">
        <v>50.90045022511255</v>
      </c>
      <c r="T113" s="1157">
        <v>52.24487243621811</v>
      </c>
      <c r="U113" s="1157">
        <v>54.7648824412206</v>
      </c>
      <c r="V113" s="1157">
        <v>9.7986493246623301</v>
      </c>
      <c r="W113" s="1159">
        <v>52.636735034183758</v>
      </c>
    </row>
    <row r="114" spans="1:23" ht="15.75">
      <c r="A114" s="1154">
        <v>11</v>
      </c>
      <c r="B114" s="1157">
        <v>38.102324626674182</v>
      </c>
      <c r="C114" s="1157">
        <v>-20.965258890542412</v>
      </c>
      <c r="D114" s="1123">
        <v>1.5086981064299274</v>
      </c>
      <c r="E114" s="1157">
        <v>22.184020115974747</v>
      </c>
      <c r="F114" s="1123">
        <v>-3.835890593729153</v>
      </c>
      <c r="G114" s="1159">
        <v>19.59254887873967</v>
      </c>
      <c r="H114" s="1157">
        <v>-74.88867545621234</v>
      </c>
      <c r="I114" s="1157">
        <v>-76.268226665502496</v>
      </c>
      <c r="J114" s="1157">
        <v>-70.994499257836381</v>
      </c>
      <c r="K114" s="1157">
        <v>-17.008644023399981</v>
      </c>
      <c r="L114" s="1157">
        <v>9.0954335108705155</v>
      </c>
      <c r="M114" s="1159">
        <v>-73.631362961669439</v>
      </c>
      <c r="N114" s="1157">
        <v>24.451521585279551</v>
      </c>
      <c r="O114" s="1157">
        <v>-1.7338995046001422</v>
      </c>
      <c r="P114" s="1157">
        <v>31.210191082802552</v>
      </c>
      <c r="Q114" s="1157">
        <v>0.81387119603680191</v>
      </c>
      <c r="R114" s="1159">
        <v>19.131870724227412</v>
      </c>
      <c r="S114" s="1157">
        <v>48.29062519675125</v>
      </c>
      <c r="T114" s="1157">
        <v>52.401939180255624</v>
      </c>
      <c r="U114" s="1157">
        <v>58.024302713593151</v>
      </c>
      <c r="V114" s="1157">
        <v>19.328842158282441</v>
      </c>
      <c r="W114" s="1159">
        <v>52.90562236353334</v>
      </c>
    </row>
    <row r="115" spans="1:23" ht="15.75">
      <c r="A115" s="1154">
        <v>12</v>
      </c>
      <c r="B115" s="1157">
        <v>38.419843584647545</v>
      </c>
      <c r="C115" s="1157">
        <v>-34.052603050873699</v>
      </c>
      <c r="D115" s="1123">
        <v>10.143767906460521</v>
      </c>
      <c r="E115" s="1157">
        <v>19.944247993185868</v>
      </c>
      <c r="F115" s="1123">
        <v>-6.868337506130139</v>
      </c>
      <c r="G115" s="1159">
        <v>16.073441223790965</v>
      </c>
      <c r="H115" s="1157">
        <v>-73.828964331757632</v>
      </c>
      <c r="I115" s="1157">
        <v>-75.71981091534164</v>
      </c>
      <c r="J115" s="1157">
        <v>-71.061452513966501</v>
      </c>
      <c r="K115" s="1157">
        <v>-19.243661366566396</v>
      </c>
      <c r="L115" s="1157">
        <v>8.9015040825096694</v>
      </c>
      <c r="M115" s="1159">
        <v>-73.390631714654063</v>
      </c>
      <c r="N115" s="1157">
        <v>21.46799765120376</v>
      </c>
      <c r="O115" s="1157">
        <v>5.7075748678802105</v>
      </c>
      <c r="P115" s="1157">
        <v>-1.1156782149148567</v>
      </c>
      <c r="Q115" s="1157">
        <v>-9.3599530240751605</v>
      </c>
      <c r="R115" s="1159">
        <v>4.8815815228028976</v>
      </c>
      <c r="S115" s="1157">
        <v>39.796303281780467</v>
      </c>
      <c r="T115" s="1157">
        <v>46.762228090028927</v>
      </c>
      <c r="U115" s="1157">
        <v>57.531749025524967</v>
      </c>
      <c r="V115" s="1157">
        <v>17.270212498428268</v>
      </c>
      <c r="W115" s="1159">
        <v>48.03009346577813</v>
      </c>
    </row>
    <row r="116" spans="1:23" ht="15.75">
      <c r="A116" s="1154">
        <v>2023</v>
      </c>
      <c r="B116" s="1157"/>
      <c r="C116" s="1157"/>
      <c r="D116" s="1123"/>
      <c r="E116" s="1157"/>
      <c r="F116" s="1123"/>
      <c r="G116" s="1159"/>
      <c r="H116" s="1157"/>
      <c r="I116" s="1157"/>
      <c r="J116" s="1157"/>
      <c r="K116" s="1157"/>
      <c r="L116" s="1157"/>
      <c r="M116" s="1159"/>
      <c r="N116" s="1157"/>
      <c r="O116" s="1157"/>
      <c r="P116" s="1157"/>
      <c r="Q116" s="1157"/>
      <c r="R116" s="1159"/>
      <c r="S116" s="1157"/>
      <c r="T116" s="1157"/>
      <c r="U116" s="1157"/>
      <c r="V116" s="1157"/>
      <c r="W116" s="1159"/>
    </row>
    <row r="117" spans="1:23" ht="15.75">
      <c r="A117" s="1154">
        <v>1</v>
      </c>
      <c r="B117" s="1157">
        <v>24.252235993524245</v>
      </c>
      <c r="C117" s="1157">
        <v>-23.535656466466733</v>
      </c>
      <c r="D117" s="1123">
        <v>-1.8684147668462543</v>
      </c>
      <c r="E117" s="1157">
        <v>22.954430850075639</v>
      </c>
      <c r="F117" s="1123">
        <v>-7.3595371427054852</v>
      </c>
      <c r="G117" s="1159">
        <v>16.358360536815379</v>
      </c>
      <c r="H117" s="1157">
        <v>-72.610096670247032</v>
      </c>
      <c r="I117" s="1157">
        <v>-74.579305406373081</v>
      </c>
      <c r="J117" s="1157">
        <v>-69.72789115646259</v>
      </c>
      <c r="K117" s="1157">
        <v>-20.041174364482636</v>
      </c>
      <c r="L117" s="1157">
        <v>8.7771213748657342</v>
      </c>
      <c r="M117" s="1159">
        <v>-72.153598281417828</v>
      </c>
      <c r="N117" s="1157">
        <v>12.43226012113484</v>
      </c>
      <c r="O117" s="1157">
        <v>-2.9114865582828613</v>
      </c>
      <c r="P117" s="1157">
        <v>3.7190521729890542</v>
      </c>
      <c r="Q117" s="1157">
        <v>-5.950483476782491</v>
      </c>
      <c r="R117" s="1159">
        <v>6.3542662841355853</v>
      </c>
      <c r="S117" s="1157">
        <v>44.15199141576722</v>
      </c>
      <c r="T117" s="1157">
        <v>45.881461844347669</v>
      </c>
      <c r="U117" s="1157">
        <v>57.325001577983961</v>
      </c>
      <c r="V117" s="1157">
        <v>17.67342043804835</v>
      </c>
      <c r="W117" s="1159">
        <v>49.119484946032955</v>
      </c>
    </row>
    <row r="118" spans="1:23" ht="15.75">
      <c r="A118" s="1154">
        <v>2</v>
      </c>
      <c r="B118" s="1157">
        <v>10.460647538826008</v>
      </c>
      <c r="C118" s="1157">
        <v>-25.996314819689395</v>
      </c>
      <c r="D118" s="1123">
        <v>-2.6375361937351935</v>
      </c>
      <c r="E118" s="1157">
        <v>18.815477757304553</v>
      </c>
      <c r="F118" s="1123">
        <v>-6.6306922874440657</v>
      </c>
      <c r="G118" s="1159">
        <v>10.637887163288585</v>
      </c>
      <c r="H118" s="1157">
        <v>-43.876574121805731</v>
      </c>
      <c r="I118" s="1157">
        <v>-62.486191913984825</v>
      </c>
      <c r="J118" s="1157">
        <v>-19.37550629648722</v>
      </c>
      <c r="K118" s="1157">
        <v>-1.4507695706605788</v>
      </c>
      <c r="L118" s="1157">
        <v>8.8845275793504683</v>
      </c>
      <c r="M118" s="1159">
        <v>-40.930849105236021</v>
      </c>
      <c r="N118" s="1157">
        <v>-17.595781317262162</v>
      </c>
      <c r="O118" s="1157">
        <v>4.2617305208781753</v>
      </c>
      <c r="P118" s="1157">
        <v>24.698665518725786</v>
      </c>
      <c r="Q118" s="1157">
        <v>-7.82393456736978</v>
      </c>
      <c r="R118" s="1159">
        <v>0.94705122686181564</v>
      </c>
      <c r="S118" s="1157">
        <v>45.323741007194258</v>
      </c>
      <c r="T118" s="1157">
        <v>44.387852549818554</v>
      </c>
      <c r="U118" s="1157">
        <v>60.654485261348448</v>
      </c>
      <c r="V118" s="1157">
        <v>15.948303304259248</v>
      </c>
      <c r="W118" s="1159">
        <v>50.122026272787068</v>
      </c>
    </row>
    <row r="119" spans="1:23" ht="15.75">
      <c r="A119" s="1154">
        <v>3</v>
      </c>
      <c r="B119" s="1157">
        <v>-4.93</v>
      </c>
      <c r="C119" s="1157">
        <v>-26.64</v>
      </c>
      <c r="D119" s="1123">
        <v>8.64</v>
      </c>
      <c r="E119" s="1157">
        <v>22.12</v>
      </c>
      <c r="F119" s="1123">
        <v>-9.3000000000000007</v>
      </c>
      <c r="G119" s="1159">
        <v>2.85</v>
      </c>
      <c r="H119" s="1157">
        <v>-3.74</v>
      </c>
      <c r="I119" s="1157">
        <v>-19.850000000000001</v>
      </c>
      <c r="J119" s="1157">
        <v>1.1000000000000001</v>
      </c>
      <c r="K119" s="1157">
        <v>2.35</v>
      </c>
      <c r="L119" s="1157">
        <v>12.16</v>
      </c>
      <c r="M119" s="1159">
        <v>-9.3699999999999992</v>
      </c>
      <c r="N119" s="1157">
        <v>-20.83</v>
      </c>
      <c r="O119" s="1157">
        <v>-7.07</v>
      </c>
      <c r="P119" s="1157">
        <v>34.229999999999997</v>
      </c>
      <c r="Q119" s="1157">
        <v>-6.5</v>
      </c>
      <c r="R119" s="1159">
        <v>6.82</v>
      </c>
      <c r="S119" s="1157">
        <v>44.89</v>
      </c>
      <c r="T119" s="1157">
        <v>44.06</v>
      </c>
      <c r="U119" s="1157">
        <v>63.12</v>
      </c>
      <c r="V119" s="1157">
        <v>14.27</v>
      </c>
      <c r="W119" s="1159">
        <v>50.69</v>
      </c>
    </row>
    <row r="120" spans="1:23" ht="15.75">
      <c r="A120" s="1154">
        <v>4</v>
      </c>
      <c r="B120" s="1157">
        <v>-5.7867010697199373</v>
      </c>
      <c r="C120" s="1157">
        <v>-40.754179433424724</v>
      </c>
      <c r="D120" s="1123">
        <v>10.511745417405795</v>
      </c>
      <c r="E120" s="1157">
        <v>27.568134171907758</v>
      </c>
      <c r="F120" s="1123">
        <v>-11.269687684782024</v>
      </c>
      <c r="G120" s="1159">
        <v>3.7565625615940084</v>
      </c>
      <c r="H120" s="1157">
        <v>-5.4198740377886638</v>
      </c>
      <c r="I120" s="1157">
        <v>-14.52414275717285</v>
      </c>
      <c r="J120" s="1157">
        <v>6.1266620013995805</v>
      </c>
      <c r="K120" s="1157">
        <v>2.3372988103568928</v>
      </c>
      <c r="L120" s="1157">
        <v>12.07193841847446</v>
      </c>
      <c r="M120" s="1159">
        <v>-4.1987403778866348</v>
      </c>
      <c r="N120" s="1157">
        <v>-2.4353448275862077</v>
      </c>
      <c r="O120" s="1157">
        <v>4.1702586206896548</v>
      </c>
      <c r="P120" s="1157">
        <v>61.46551724137931</v>
      </c>
      <c r="Q120" s="1157">
        <v>-7.586206896551726</v>
      </c>
      <c r="R120" s="1159">
        <v>18.286637931034484</v>
      </c>
      <c r="S120" s="1157">
        <v>50.006083465141742</v>
      </c>
      <c r="T120" s="1157">
        <v>48.771140041367566</v>
      </c>
      <c r="U120" s="1157">
        <v>55.535953278987698</v>
      </c>
      <c r="V120" s="1157">
        <v>15.634505414283977</v>
      </c>
      <c r="W120" s="1159">
        <v>51.437725595165674</v>
      </c>
    </row>
    <row r="121" spans="1:23" ht="15.75">
      <c r="A121" s="1154">
        <v>5</v>
      </c>
      <c r="B121" s="1157">
        <v>18.458896758961149</v>
      </c>
      <c r="C121" s="1157">
        <v>-27.186628031766475</v>
      </c>
      <c r="D121" s="1123">
        <v>15.083708950418547</v>
      </c>
      <c r="E121" s="1157">
        <v>30.977677613221722</v>
      </c>
      <c r="F121" s="1123">
        <v>-11.354367890105173</v>
      </c>
      <c r="G121" s="1159">
        <v>11.450955140588107</v>
      </c>
      <c r="H121" s="1157">
        <v>-12.247723889638937</v>
      </c>
      <c r="I121" s="1157">
        <v>-14.158618063488767</v>
      </c>
      <c r="J121" s="1157">
        <v>6.6881296084744006</v>
      </c>
      <c r="K121" s="1157">
        <v>2.3124588915429087</v>
      </c>
      <c r="L121" s="1157">
        <v>11.998269117596152</v>
      </c>
      <c r="M121" s="1159">
        <v>-3.7352442275071831</v>
      </c>
      <c r="N121" s="1157">
        <v>12.858672376873663</v>
      </c>
      <c r="O121" s="1157">
        <v>4.3361884368308363</v>
      </c>
      <c r="P121" s="1157">
        <v>61.295503211991438</v>
      </c>
      <c r="Q121" s="1157">
        <v>-6.34903640256959</v>
      </c>
      <c r="R121" s="1159">
        <v>23.272662384011422</v>
      </c>
      <c r="S121" s="1157">
        <v>60.031614785992225</v>
      </c>
      <c r="T121" s="1157">
        <v>52.620379377431924</v>
      </c>
      <c r="U121" s="1157">
        <v>58.025291828793776</v>
      </c>
      <c r="V121" s="1157">
        <v>14.05034046692607</v>
      </c>
      <c r="W121" s="1159">
        <v>56.892428664072639</v>
      </c>
    </row>
    <row r="122" spans="1:23" ht="15.75">
      <c r="A122" s="1154">
        <v>6</v>
      </c>
      <c r="B122" s="1157">
        <v>13.422958137603489</v>
      </c>
      <c r="C122" s="1157">
        <v>-36.630245776128312</v>
      </c>
      <c r="D122" s="1123">
        <v>11.77493446835016</v>
      </c>
      <c r="E122" s="1157">
        <v>30.19386987101295</v>
      </c>
      <c r="F122" s="1123">
        <v>-12.403000181671903</v>
      </c>
      <c r="G122" s="1159">
        <v>10.61396451342209</v>
      </c>
      <c r="H122" s="1157">
        <v>-7.4532016301719972</v>
      </c>
      <c r="I122" s="1157">
        <v>-11.863645782966083</v>
      </c>
      <c r="J122" s="1157">
        <v>7.0387511224701242</v>
      </c>
      <c r="K122" s="1157">
        <v>2.93</v>
      </c>
      <c r="L122" s="1157">
        <v>15.87</v>
      </c>
      <c r="M122" s="1159">
        <v>-2.4124473302479794</v>
      </c>
      <c r="N122" s="1157">
        <v>28.245745477897891</v>
      </c>
      <c r="O122" s="1157">
        <v>5.1910521245852497</v>
      </c>
      <c r="P122" s="1157">
        <v>42.127796211067107</v>
      </c>
      <c r="Q122" s="1157">
        <v>-2.0871240500909778</v>
      </c>
      <c r="R122" s="1159">
        <v>21.727496521459919</v>
      </c>
      <c r="S122" s="1157">
        <v>55.554208100897405</v>
      </c>
      <c r="T122" s="1157">
        <v>48.490177055542084</v>
      </c>
      <c r="U122" s="1157">
        <v>58.913412563667222</v>
      </c>
      <c r="V122" s="1157">
        <v>14.061363085132186</v>
      </c>
      <c r="W122" s="1159">
        <v>54.319265906702242</v>
      </c>
    </row>
    <row r="123" spans="1:23" ht="15.75">
      <c r="A123" s="1154">
        <v>7</v>
      </c>
      <c r="B123" s="1157">
        <v>21.041677506634063</v>
      </c>
      <c r="C123" s="1157">
        <v>-35.769290805973256</v>
      </c>
      <c r="D123" s="1123">
        <v>11.358551433477288</v>
      </c>
      <c r="E123" s="1157">
        <v>35.753681252926796</v>
      </c>
      <c r="F123" s="1123">
        <v>-8.9885009625891037</v>
      </c>
      <c r="G123" s="1159">
        <v>15.145602442027855</v>
      </c>
      <c r="H123" s="1157">
        <v>-10.404504473384227</v>
      </c>
      <c r="I123" s="1157">
        <v>-9.7309060762029773</v>
      </c>
      <c r="J123" s="1157">
        <v>4.0899512936543569</v>
      </c>
      <c r="K123" s="1157">
        <v>4.0277729800683959</v>
      </c>
      <c r="L123" s="1157">
        <v>8.5656844796020586</v>
      </c>
      <c r="M123" s="1159">
        <v>-2.8204773912743102</v>
      </c>
      <c r="N123" s="1157">
        <v>35.662315429060563</v>
      </c>
      <c r="O123" s="1157">
        <v>-3.0387331478707464</v>
      </c>
      <c r="P123" s="1157">
        <v>37.267280119837359</v>
      </c>
      <c r="Q123" s="1157">
        <v>-3.5416220843141448</v>
      </c>
      <c r="R123" s="1159">
        <v>25.322776232256224</v>
      </c>
      <c r="S123" s="1157">
        <v>55.638062159410744</v>
      </c>
      <c r="T123" s="1157">
        <v>45.236241691119226</v>
      </c>
      <c r="U123" s="1157">
        <v>64.087669920354514</v>
      </c>
      <c r="V123" s="1157">
        <v>22.252829510749141</v>
      </c>
      <c r="W123" s="1159">
        <v>54.987324590294826</v>
      </c>
    </row>
    <row r="124" spans="1:23" ht="15.75">
      <c r="A124" s="1154">
        <v>8</v>
      </c>
      <c r="B124" s="1157">
        <v>16.882308709518501</v>
      </c>
      <c r="C124" s="1157">
        <v>-35.227007545310755</v>
      </c>
      <c r="D124" s="1123">
        <v>10.892732128503646</v>
      </c>
      <c r="E124" s="1157">
        <v>35.302201363860298</v>
      </c>
      <c r="F124" s="1123">
        <v>-4.9887209272175692</v>
      </c>
      <c r="G124" s="1159">
        <v>13.763925981625052</v>
      </c>
      <c r="H124" s="1157">
        <v>-6.524379663369773</v>
      </c>
      <c r="I124" s="1157">
        <v>-12.573312510845048</v>
      </c>
      <c r="J124" s="1157">
        <v>9.0404303314246057</v>
      </c>
      <c r="K124" s="1157">
        <v>5.3583203192781532</v>
      </c>
      <c r="L124" s="1157">
        <v>8.5003643935450288</v>
      </c>
      <c r="M124" s="1159">
        <v>-1.766441089710221</v>
      </c>
      <c r="N124" s="1157">
        <v>36.229860365198711</v>
      </c>
      <c r="O124" s="1157">
        <v>-1.6863587540279268</v>
      </c>
      <c r="P124" s="1157">
        <v>24.103114930182603</v>
      </c>
      <c r="Q124" s="1157">
        <v>-13.276047261009662</v>
      </c>
      <c r="R124" s="1159">
        <v>20.673111349803079</v>
      </c>
      <c r="S124" s="1157">
        <v>63.399940351923654</v>
      </c>
      <c r="T124" s="1157">
        <v>55.466746197435135</v>
      </c>
      <c r="U124" s="1157">
        <v>59.958246346555335</v>
      </c>
      <c r="V124" s="1157">
        <v>16.594094840441397</v>
      </c>
      <c r="W124" s="1159">
        <v>59.608310965304703</v>
      </c>
    </row>
    <row r="125" spans="1:23" ht="15.75">
      <c r="A125" s="1154">
        <v>9</v>
      </c>
      <c r="B125" s="1157">
        <v>16.39116686804288</v>
      </c>
      <c r="C125" s="1157">
        <v>-42.736317128975038</v>
      </c>
      <c r="D125" s="1123">
        <v>12.835805547700458</v>
      </c>
      <c r="E125" s="1157">
        <v>29.872233219362968</v>
      </c>
      <c r="F125" s="1123">
        <v>3.8792771022391346</v>
      </c>
      <c r="G125" s="1159">
        <v>11.142531513235131</v>
      </c>
      <c r="H125" s="1157">
        <v>-9.5034815773819936</v>
      </c>
      <c r="I125" s="1157">
        <v>-11.466461387732252</v>
      </c>
      <c r="J125" s="1157">
        <v>8.0513663879072048</v>
      </c>
      <c r="K125" s="1157">
        <v>5.4025683193953595</v>
      </c>
      <c r="L125" s="1157">
        <v>8.4319955211868844</v>
      </c>
      <c r="M125" s="1159">
        <v>-1.7075474999125237</v>
      </c>
      <c r="N125" s="1157">
        <v>43.262260127931768</v>
      </c>
      <c r="O125" s="1157">
        <v>-3.1023454157782515</v>
      </c>
      <c r="P125" s="1157">
        <v>42.96375266524521</v>
      </c>
      <c r="Q125" s="1157">
        <v>-2.3454157782516005</v>
      </c>
      <c r="R125" s="1159">
        <v>29.776119402985074</v>
      </c>
      <c r="S125" s="1157">
        <v>55.665259025753869</v>
      </c>
      <c r="T125" s="1157">
        <v>51.17468625468387</v>
      </c>
      <c r="U125" s="1157">
        <v>53.898768809849514</v>
      </c>
      <c r="V125" s="1157">
        <v>22.791887230119546</v>
      </c>
      <c r="W125" s="1159">
        <v>53.579571363429075</v>
      </c>
    </row>
    <row r="126" spans="1:23" ht="15.75">
      <c r="A126" s="1154">
        <v>10</v>
      </c>
      <c r="B126" s="1157">
        <v>14.47940908630982</v>
      </c>
      <c r="C126" s="1157">
        <v>-37.577152686431255</v>
      </c>
      <c r="D126" s="1123">
        <v>21.600222604472329</v>
      </c>
      <c r="E126" s="1157">
        <v>18.617828594556311</v>
      </c>
      <c r="F126" s="1123">
        <v>-3.6957401598704851</v>
      </c>
      <c r="G126" s="1159">
        <v>3.8323383587979349</v>
      </c>
      <c r="H126" s="1157">
        <v>-10.56313531480694</v>
      </c>
      <c r="I126" s="1157">
        <v>-12.731418853631199</v>
      </c>
      <c r="J126" s="1157">
        <v>11.649209600742086</v>
      </c>
      <c r="K126" s="1157">
        <v>5.9676110230742472</v>
      </c>
      <c r="L126" s="1157">
        <v>12.416495961040468</v>
      </c>
      <c r="M126" s="1159">
        <v>-0.54110462644455648</v>
      </c>
      <c r="N126" s="1157">
        <v>26.295867942382504</v>
      </c>
      <c r="O126" s="1157">
        <v>-3.5537798338765638</v>
      </c>
      <c r="P126" s="1157">
        <v>57.344127851960884</v>
      </c>
      <c r="Q126" s="1157">
        <v>-17.684786037220057</v>
      </c>
      <c r="R126" s="1159">
        <v>29.064591876073312</v>
      </c>
      <c r="S126" s="1157">
        <v>56.310275032741991</v>
      </c>
      <c r="T126" s="1157">
        <v>50.214311227527091</v>
      </c>
      <c r="U126" s="1157">
        <v>54.250506012620562</v>
      </c>
      <c r="V126" s="1157">
        <v>21.431122752708657</v>
      </c>
      <c r="W126" s="1159">
        <v>53.591697424296541</v>
      </c>
    </row>
    <row r="127" spans="1:23" ht="15.75">
      <c r="A127" s="1154">
        <v>11</v>
      </c>
      <c r="B127" s="1157">
        <v>10.316395966820643</v>
      </c>
      <c r="C127" s="1157">
        <v>-40.411265087170314</v>
      </c>
      <c r="D127" s="1123">
        <v>18.787562707991853</v>
      </c>
      <c r="E127" s="1157">
        <v>1.9470521035116484</v>
      </c>
      <c r="F127" s="1123">
        <v>-8.5531217404261657</v>
      </c>
      <c r="G127" s="1159">
        <v>-2.1747048792198544</v>
      </c>
      <c r="H127" s="1157">
        <v>-8.9368045204007345</v>
      </c>
      <c r="I127" s="1157">
        <v>-10.881547474607412</v>
      </c>
      <c r="J127" s="1157">
        <v>5.8862273373314382</v>
      </c>
      <c r="K127" s="1157">
        <v>5.3523763302943115</v>
      </c>
      <c r="L127" s="1157">
        <v>12.340520678060111</v>
      </c>
      <c r="M127" s="1159">
        <v>-2.4976600686379871</v>
      </c>
      <c r="N127" s="1157">
        <v>48.833315894109035</v>
      </c>
      <c r="O127" s="1157">
        <v>-8.255728785183635</v>
      </c>
      <c r="P127" s="1157">
        <v>31.003452966412056</v>
      </c>
      <c r="Q127" s="1157">
        <v>-24.997384116354503</v>
      </c>
      <c r="R127" s="1159">
        <v>29.364165881901574</v>
      </c>
      <c r="S127" s="1157">
        <v>53.446935724962628</v>
      </c>
      <c r="T127" s="1157">
        <v>53.608370702541109</v>
      </c>
      <c r="U127" s="1157">
        <v>50.714499252615838</v>
      </c>
      <c r="V127" s="1157">
        <v>23.946188340807176</v>
      </c>
      <c r="W127" s="1159">
        <v>52.58993522670653</v>
      </c>
    </row>
    <row r="128" spans="1:23" ht="15.75">
      <c r="A128" s="1154">
        <v>12</v>
      </c>
      <c r="B128" s="1157">
        <v>12.67481193517443</v>
      </c>
      <c r="C128" s="1157">
        <v>-40.768415206745097</v>
      </c>
      <c r="D128" s="1123">
        <v>20.684606452264347</v>
      </c>
      <c r="E128" s="1157">
        <v>-1.8655020952188615</v>
      </c>
      <c r="F128" s="1123">
        <v>-5.2885343565406178</v>
      </c>
      <c r="G128" s="1159">
        <v>-3.2917655374362607</v>
      </c>
      <c r="H128" s="1157">
        <v>-9.0563781521471522</v>
      </c>
      <c r="I128" s="1157">
        <v>-11.029437625294552</v>
      </c>
      <c r="J128" s="1157">
        <v>5.9473147399148871</v>
      </c>
      <c r="K128" s="1157">
        <v>4.7972426405936766</v>
      </c>
      <c r="L128" s="1157">
        <v>11.672844933703795</v>
      </c>
      <c r="M128" s="1159">
        <v>-2.5410614426898324</v>
      </c>
      <c r="N128" s="1157">
        <v>48.638011393060594</v>
      </c>
      <c r="O128" s="1157">
        <v>-6.6701191092698107</v>
      </c>
      <c r="P128" s="1157">
        <v>-10.046607975142415</v>
      </c>
      <c r="Q128" s="1157">
        <v>-28.254790264111861</v>
      </c>
      <c r="R128" s="1159">
        <v>15.087174175729329</v>
      </c>
      <c r="S128" s="1157">
        <v>17.679819883872497</v>
      </c>
      <c r="T128" s="1157">
        <v>48.720227515108412</v>
      </c>
      <c r="U128" s="1157">
        <v>52.257376466405979</v>
      </c>
      <c r="V128" s="1157">
        <v>21.205119089939565</v>
      </c>
      <c r="W128" s="1159">
        <v>39.552474621795625</v>
      </c>
    </row>
    <row r="129" spans="1:23" ht="15.75">
      <c r="A129" s="1154">
        <v>2024</v>
      </c>
      <c r="B129" s="1157"/>
      <c r="C129" s="1157"/>
      <c r="D129" s="1123"/>
      <c r="E129" s="1157"/>
      <c r="F129" s="1123"/>
      <c r="G129" s="1159"/>
      <c r="H129" s="1157"/>
      <c r="I129" s="1157"/>
      <c r="J129" s="1157"/>
      <c r="K129" s="1157"/>
      <c r="L129" s="1157"/>
      <c r="M129" s="1159"/>
      <c r="N129" s="1157"/>
      <c r="O129" s="1157"/>
      <c r="P129" s="1157"/>
      <c r="Q129" s="1157"/>
      <c r="R129" s="1159"/>
      <c r="S129" s="1157"/>
      <c r="T129" s="1157"/>
      <c r="U129" s="1157"/>
      <c r="V129" s="1157"/>
      <c r="W129" s="1159"/>
    </row>
    <row r="130" spans="1:23" ht="15.75">
      <c r="A130" s="1154">
        <v>1</v>
      </c>
      <c r="B130" s="1157">
        <v>-5.5776690414015562E-2</v>
      </c>
      <c r="C130" s="1157">
        <v>-35.200162259463021</v>
      </c>
      <c r="D130" s="1123">
        <v>15.609867403595064</v>
      </c>
      <c r="E130" s="1157">
        <v>6.8757447455822325</v>
      </c>
      <c r="F130" s="1123">
        <v>-4.9286311893111581</v>
      </c>
      <c r="G130" s="1159">
        <v>-2.9299664494756179</v>
      </c>
      <c r="H130" s="1157">
        <v>-8.3842546539718636</v>
      </c>
      <c r="I130" s="1157">
        <v>-10.377291459428733</v>
      </c>
      <c r="J130" s="1157">
        <v>6.27398038937047</v>
      </c>
      <c r="K130" s="1157">
        <v>4.8458149779735686</v>
      </c>
      <c r="L130" s="1157">
        <v>11.873667756146085</v>
      </c>
      <c r="M130" s="1159">
        <v>-2.0516555350291314</v>
      </c>
      <c r="N130" s="1157">
        <v>53.071278825995812</v>
      </c>
      <c r="O130" s="1157">
        <v>-3.6687631027253667</v>
      </c>
      <c r="P130" s="1157">
        <v>-1.0796645702306087</v>
      </c>
      <c r="Q130" s="1157">
        <v>-27.473794549266252</v>
      </c>
      <c r="R130" s="1159">
        <v>18.553459119496857</v>
      </c>
      <c r="S130" s="1157">
        <v>20.4611963010652</v>
      </c>
      <c r="T130" s="1157">
        <v>51.439775254594394</v>
      </c>
      <c r="U130" s="1157">
        <v>51.515860938780293</v>
      </c>
      <c r="V130" s="1157">
        <v>19.2847945686527</v>
      </c>
      <c r="W130" s="1159">
        <v>41.138944164813296</v>
      </c>
    </row>
    <row r="131" spans="1:23" ht="15.75">
      <c r="A131" s="1154">
        <v>2</v>
      </c>
      <c r="B131" s="1157">
        <v>-4.8167268972638073</v>
      </c>
      <c r="C131" s="1157">
        <v>-36.551368094992256</v>
      </c>
      <c r="D131" s="1123">
        <v>18.252452245740844</v>
      </c>
      <c r="E131" s="1157">
        <v>9.8941662364481182</v>
      </c>
      <c r="F131" s="1123">
        <v>2.4238513164687658</v>
      </c>
      <c r="G131" s="1159">
        <v>-4.3916709688521758</v>
      </c>
      <c r="H131" s="1157">
        <v>-5.4201411161000639</v>
      </c>
      <c r="I131" s="1157">
        <v>-7.4192858670087665</v>
      </c>
      <c r="J131" s="1157">
        <v>6.574727389352149</v>
      </c>
      <c r="K131" s="1157">
        <v>4.8606656688760603</v>
      </c>
      <c r="L131" s="1157">
        <v>11.848122015537026</v>
      </c>
      <c r="M131" s="1159">
        <v>-0.42227923882830876</v>
      </c>
      <c r="N131" s="1157">
        <v>34.294099151032384</v>
      </c>
      <c r="O131" s="1157">
        <v>-3.6369353317262325</v>
      </c>
      <c r="P131" s="1157">
        <v>4.737448904726973</v>
      </c>
      <c r="Q131" s="1157">
        <v>-26.894455507808409</v>
      </c>
      <c r="R131" s="1159">
        <v>14.222827795828531</v>
      </c>
      <c r="S131" s="1157">
        <v>19.38294866</v>
      </c>
      <c r="T131" s="1157">
        <v>50.894959960000001</v>
      </c>
      <c r="U131" s="1157">
        <v>57.978097030000001</v>
      </c>
      <c r="V131" s="1157">
        <v>17.604804519999998</v>
      </c>
      <c r="W131" s="1159">
        <v>42.752001880000002</v>
      </c>
    </row>
    <row r="132" spans="1:23" ht="15.75">
      <c r="A132" s="1154">
        <v>3</v>
      </c>
      <c r="B132" s="1157">
        <v>20.095054592164416</v>
      </c>
      <c r="C132" s="1157">
        <v>-19.573538856775848</v>
      </c>
      <c r="D132" s="1123">
        <v>16.118175979447656</v>
      </c>
      <c r="E132" s="1157">
        <v>31.799614643545279</v>
      </c>
      <c r="F132" s="1123">
        <v>-1.5902376364804107</v>
      </c>
      <c r="G132" s="1159">
        <v>11.925497752087349</v>
      </c>
      <c r="H132" s="1157">
        <v>-1.7857779361967565</v>
      </c>
      <c r="I132" s="1157">
        <v>-10.222776688647297</v>
      </c>
      <c r="J132" s="1157">
        <v>10.212083407592228</v>
      </c>
      <c r="K132" s="1157">
        <v>4.8618784530386749</v>
      </c>
      <c r="L132" s="1157">
        <v>11.800748529673855</v>
      </c>
      <c r="M132" s="1159">
        <v>-5.3466405275344187E-3</v>
      </c>
      <c r="N132" s="1157">
        <v>-27.933845058162543</v>
      </c>
      <c r="O132" s="1157">
        <v>11.03901242383477</v>
      </c>
      <c r="P132" s="1157">
        <v>73.007834137849173</v>
      </c>
      <c r="Q132" s="1157">
        <v>4.2335997467753419</v>
      </c>
      <c r="R132" s="1159">
        <v>11.344992218617286</v>
      </c>
      <c r="S132" s="1157">
        <v>16.43426294820717</v>
      </c>
      <c r="T132" s="1157">
        <v>44.480899929692995</v>
      </c>
      <c r="U132" s="1157">
        <v>57.973986407311919</v>
      </c>
      <c r="V132" s="1157">
        <v>16.674478556362782</v>
      </c>
      <c r="W132" s="1159">
        <v>39.629716428404031</v>
      </c>
    </row>
    <row r="133" spans="1:23" ht="15.75">
      <c r="A133" s="1154">
        <v>4</v>
      </c>
      <c r="B133" s="1157">
        <v>17.659970045963952</v>
      </c>
      <c r="C133" s="1157">
        <v>-19.477870164747195</v>
      </c>
      <c r="D133" s="1123">
        <v>17.507617621236378</v>
      </c>
      <c r="E133" s="1157">
        <v>35.660796364199754</v>
      </c>
      <c r="F133" s="1123">
        <v>0.96317719361669152</v>
      </c>
      <c r="G133" s="1159">
        <v>11.93771626297578</v>
      </c>
      <c r="H133" s="1157">
        <v>0.27035679982924832</v>
      </c>
      <c r="I133" s="1157">
        <v>-7.3494361637793046</v>
      </c>
      <c r="J133" s="1157">
        <v>11.796094055707732</v>
      </c>
      <c r="K133" s="1157">
        <v>4.8521930916722988</v>
      </c>
      <c r="L133" s="1157">
        <v>11.672690405890931</v>
      </c>
      <c r="M133" s="1159">
        <v>2.2233289459642136</v>
      </c>
      <c r="N133" s="1157">
        <v>-29.812153015438433</v>
      </c>
      <c r="O133" s="1157">
        <v>9.3162978173245108</v>
      </c>
      <c r="P133" s="1157">
        <v>64.522016883413173</v>
      </c>
      <c r="Q133" s="1157">
        <v>2.1446497832534792</v>
      </c>
      <c r="R133" s="1159">
        <v>8.4645220168834108</v>
      </c>
      <c r="S133" s="1157">
        <v>20.244683949898047</v>
      </c>
      <c r="T133" s="1157">
        <v>50.678706670550532</v>
      </c>
      <c r="U133" s="1157">
        <v>61.660355374308189</v>
      </c>
      <c r="V133" s="1157">
        <v>22.691523448878531</v>
      </c>
      <c r="W133" s="1159">
        <v>44.194581998252261</v>
      </c>
    </row>
    <row r="134" spans="1:23" ht="15.75">
      <c r="A134" s="1154">
        <v>5</v>
      </c>
      <c r="B134" s="1157">
        <v>12.054822438477608</v>
      </c>
      <c r="C134" s="1157">
        <v>-25.487848372140423</v>
      </c>
      <c r="D134" s="1123">
        <v>18.199419167473376</v>
      </c>
      <c r="E134" s="1157">
        <v>37.002598461303307</v>
      </c>
      <c r="F134" s="1123">
        <v>1.8291129566413615</v>
      </c>
      <c r="G134" s="1159">
        <v>10.286000577435846</v>
      </c>
      <c r="H134" s="1157">
        <v>1.7936596218020018</v>
      </c>
      <c r="I134" s="1157">
        <v>-9.7608453837597331</v>
      </c>
      <c r="J134" s="1157">
        <v>14.279755283648498</v>
      </c>
      <c r="K134" s="1157">
        <v>9.1733870967741939</v>
      </c>
      <c r="L134" s="1157">
        <v>12.853343993325916</v>
      </c>
      <c r="M134" s="1159">
        <v>2.2594549499443826</v>
      </c>
      <c r="N134" s="1157">
        <v>-15.666745711801447</v>
      </c>
      <c r="O134" s="1157">
        <v>10.283772033831317</v>
      </c>
      <c r="P134" s="1157">
        <v>65.868310805469932</v>
      </c>
      <c r="Q134" s="1157">
        <v>0.29246699865623316</v>
      </c>
      <c r="R134" s="1159">
        <v>13.305931019945721</v>
      </c>
      <c r="S134" s="1157">
        <v>22.53928632211948</v>
      </c>
      <c r="T134" s="1157">
        <v>55.45470017586657</v>
      </c>
      <c r="U134" s="1157">
        <v>59.34645713961536</v>
      </c>
      <c r="V134" s="1157">
        <v>23.515062120610427</v>
      </c>
      <c r="W134" s="1159">
        <v>45.78014787920047</v>
      </c>
    </row>
    <row r="135" spans="1:23" ht="15.75">
      <c r="A135" s="1154">
        <v>6</v>
      </c>
      <c r="B135" s="1157">
        <v>15.610229682430187</v>
      </c>
      <c r="C135" s="1157">
        <v>-24.434735954625584</v>
      </c>
      <c r="D135" s="1123">
        <v>15.847832196418079</v>
      </c>
      <c r="E135" s="1157">
        <v>31.251117753762035</v>
      </c>
      <c r="F135" s="1123">
        <v>1.8471679313252087</v>
      </c>
      <c r="G135" s="1159">
        <v>10.33783841325805</v>
      </c>
      <c r="H135" s="1157">
        <v>-1.4802748069976623</v>
      </c>
      <c r="I135" s="1157">
        <v>-9.462426517458745</v>
      </c>
      <c r="J135" s="1157">
        <v>9.7669806643529995</v>
      </c>
      <c r="K135" s="1157">
        <v>3.5979885260995825</v>
      </c>
      <c r="L135" s="1157">
        <v>12.487569941213966</v>
      </c>
      <c r="M135" s="1159">
        <v>0.15227707344712726</v>
      </c>
      <c r="N135" s="1157">
        <v>13.399952789361869</v>
      </c>
      <c r="O135" s="1157">
        <v>9.2060744354394526</v>
      </c>
      <c r="P135" s="1157">
        <v>29.884333936580376</v>
      </c>
      <c r="Q135" s="1157">
        <v>-2.8955858053348011</v>
      </c>
      <c r="R135" s="1159">
        <v>11.359404096834261</v>
      </c>
      <c r="S135" s="1157">
        <v>22.43412515</v>
      </c>
      <c r="T135" s="1157">
        <v>53.783219549999998</v>
      </c>
      <c r="U135" s="1157">
        <v>56.02888901</v>
      </c>
      <c r="V135" s="1157">
        <v>19.629859499999998</v>
      </c>
      <c r="W135" s="1159">
        <v>44.082077900000002</v>
      </c>
    </row>
    <row r="136" spans="1:23" ht="15.75">
      <c r="A136" s="1154">
        <v>7</v>
      </c>
      <c r="B136" s="1157">
        <v>13.480205315850991</v>
      </c>
      <c r="C136" s="1157">
        <v>-24.93774457488438</v>
      </c>
      <c r="D136" s="1123">
        <v>22.58220257153021</v>
      </c>
      <c r="E136" s="1157">
        <v>30.822788026630072</v>
      </c>
      <c r="F136" s="1123">
        <v>3.631142958784368</v>
      </c>
      <c r="G136" s="1159">
        <v>7.2402635903169532</v>
      </c>
      <c r="H136" s="1157">
        <v>1.2337025094630589</v>
      </c>
      <c r="I136" s="1157">
        <v>-9.8556007290060279</v>
      </c>
      <c r="J136" s="1157">
        <v>10.637179307444272</v>
      </c>
      <c r="K136" s="1157">
        <v>14.846488153652041</v>
      </c>
      <c r="L136" s="1157">
        <v>12.450301415954016</v>
      </c>
      <c r="M136" s="1159">
        <v>0.39078928921912226</v>
      </c>
      <c r="N136" s="1157">
        <v>41.244709202069281</v>
      </c>
      <c r="O136" s="1157">
        <v>8.2771594293776456</v>
      </c>
      <c r="P136" s="1157">
        <v>23.671421852955007</v>
      </c>
      <c r="Q136" s="1157">
        <v>-3.158802320112871</v>
      </c>
      <c r="R136" s="1159">
        <v>18.879657208548881</v>
      </c>
      <c r="S136" s="1157">
        <v>46.768082023849331</v>
      </c>
      <c r="T136" s="1157">
        <v>52.663546194137965</v>
      </c>
      <c r="U136" s="1157">
        <v>53.170622980051256</v>
      </c>
      <c r="V136" s="1157">
        <v>11.829934247186001</v>
      </c>
      <c r="W136" s="1159">
        <v>50.867417066012848</v>
      </c>
    </row>
    <row r="137" spans="1:23" ht="15.75">
      <c r="A137" s="1154">
        <v>8</v>
      </c>
      <c r="B137" s="1157">
        <v>9.7897137066126181</v>
      </c>
      <c r="C137" s="1157">
        <v>-30.162148467190278</v>
      </c>
      <c r="D137" s="1123">
        <v>5.1912845198885229</v>
      </c>
      <c r="E137" s="1157">
        <v>14.058778819356473</v>
      </c>
      <c r="F137" s="1123">
        <v>-2.2903470990625792</v>
      </c>
      <c r="G137" s="1159">
        <v>6.2190693353601887</v>
      </c>
      <c r="H137" s="1157">
        <v>1.5788009458895538</v>
      </c>
      <c r="I137" s="1157">
        <v>-25.712894700236475</v>
      </c>
      <c r="J137" s="1157">
        <v>-5.3449714842119924</v>
      </c>
      <c r="K137" s="1157">
        <v>-0.2886354152176937</v>
      </c>
      <c r="L137" s="1157">
        <v>12.601857003755738</v>
      </c>
      <c r="M137" s="1159">
        <v>-15.528933092224234</v>
      </c>
      <c r="N137" s="1157">
        <v>55.661245780914392</v>
      </c>
      <c r="O137" s="1157">
        <v>24.746854863455049</v>
      </c>
      <c r="P137" s="1157">
        <v>25.705737956428351</v>
      </c>
      <c r="Q137" s="1157">
        <v>-14.797483890764038</v>
      </c>
      <c r="R137" s="1159">
        <v>18.873376291295898</v>
      </c>
      <c r="S137" s="1157">
        <v>44.659700649534024</v>
      </c>
      <c r="T137" s="1157">
        <v>52.09827732279016</v>
      </c>
      <c r="U137" s="1157">
        <v>55.882519062411745</v>
      </c>
      <c r="V137" s="1157">
        <v>49.562270545043773</v>
      </c>
      <c r="W137" s="1159">
        <v>50.880165678245319</v>
      </c>
    </row>
    <row r="138" spans="1:23" ht="15.75">
      <c r="A138" s="1154">
        <v>9</v>
      </c>
      <c r="B138" s="1157">
        <v>10.6</v>
      </c>
      <c r="C138" s="1157">
        <v>-35.89</v>
      </c>
      <c r="D138" s="1123">
        <v>8.43</v>
      </c>
      <c r="E138" s="1157">
        <v>12.53</v>
      </c>
      <c r="F138" s="1123">
        <v>7.0000000000000007E-2</v>
      </c>
      <c r="G138" s="1159">
        <v>4.9000000000000004</v>
      </c>
      <c r="H138" s="1157">
        <v>1.5774843641417655</v>
      </c>
      <c r="I138" s="1157">
        <v>-25.77484364141765</v>
      </c>
      <c r="J138" s="1157">
        <v>-5.2571230020847803</v>
      </c>
      <c r="K138" s="1157">
        <v>-0.28839471855455179</v>
      </c>
      <c r="L138" s="1157">
        <v>12.535163307852676</v>
      </c>
      <c r="M138" s="1159">
        <v>-15.515983321751214</v>
      </c>
      <c r="N138" s="1157">
        <v>41.613177635140367</v>
      </c>
      <c r="O138" s="1157">
        <v>0.75013533369422314</v>
      </c>
      <c r="P138" s="1157">
        <v>71.030856082282881</v>
      </c>
      <c r="Q138" s="1157">
        <v>-14.283504756012682</v>
      </c>
      <c r="R138" s="1159">
        <v>37.297966127909675</v>
      </c>
      <c r="S138" s="1157">
        <v>22.445636825755436</v>
      </c>
      <c r="T138" s="1157">
        <v>57.848065518215186</v>
      </c>
      <c r="U138" s="1157">
        <v>57.639085004236094</v>
      </c>
      <c r="V138" s="1157">
        <v>21.587122281841289</v>
      </c>
      <c r="W138" s="1159">
        <v>45.97759578273557</v>
      </c>
    </row>
    <row r="139" spans="1:23" ht="15.75">
      <c r="A139" s="1154">
        <v>10</v>
      </c>
      <c r="B139" s="1157">
        <v>9.65</v>
      </c>
      <c r="C139" s="1157">
        <v>-22.62</v>
      </c>
      <c r="D139" s="1123">
        <v>-2.69</v>
      </c>
      <c r="E139" s="1157">
        <v>16.72</v>
      </c>
      <c r="F139" s="1123">
        <v>4.5599999999999996</v>
      </c>
      <c r="G139" s="1159">
        <v>9.69</v>
      </c>
      <c r="H139" s="1157">
        <v>4.3017413448964144</v>
      </c>
      <c r="I139" s="1157">
        <v>-23.704315506917197</v>
      </c>
      <c r="J139" s="1157">
        <v>-4.7732121962970604</v>
      </c>
      <c r="K139" s="1157">
        <v>-0.53341592676715344</v>
      </c>
      <c r="L139" s="1157">
        <v>12.426629499621447</v>
      </c>
      <c r="M139" s="1159">
        <v>-14.238763851607128</v>
      </c>
      <c r="N139" s="1157">
        <v>48.284277473746485</v>
      </c>
      <c r="O139" s="1157">
        <v>0.43632598727998845</v>
      </c>
      <c r="P139" s="1157">
        <v>37.62017453039492</v>
      </c>
      <c r="Q139" s="1157">
        <v>-4.5259576985653016</v>
      </c>
      <c r="R139" s="1159">
        <v>28.489375338953803</v>
      </c>
      <c r="S139" s="1157">
        <v>20.84437179414914</v>
      </c>
      <c r="T139" s="1157">
        <v>53.401724818217687</v>
      </c>
      <c r="U139" s="1157">
        <v>56.152415309170841</v>
      </c>
      <c r="V139" s="1157">
        <v>22.907389662364018</v>
      </c>
      <c r="W139" s="1159">
        <v>43.466170640512566</v>
      </c>
    </row>
    <row r="140" spans="1:23" ht="15.75">
      <c r="A140" s="1154">
        <v>11</v>
      </c>
      <c r="B140" s="1157">
        <v>3.91</v>
      </c>
      <c r="C140" s="1157">
        <v>-23.26</v>
      </c>
      <c r="D140" s="1123">
        <v>-7.94</v>
      </c>
      <c r="E140" s="1157">
        <v>22.61</v>
      </c>
      <c r="F140" s="1123">
        <v>-5.3</v>
      </c>
      <c r="G140" s="1159">
        <v>11.49</v>
      </c>
      <c r="H140" s="1157">
        <v>4.4420368364030338</v>
      </c>
      <c r="I140" s="1157">
        <v>-23.825162513542793</v>
      </c>
      <c r="J140" s="1157">
        <v>-5.0480769230769225</v>
      </c>
      <c r="K140" s="1157">
        <v>-7.0964247020585081</v>
      </c>
      <c r="L140" s="1157">
        <v>18.309999999999999</v>
      </c>
      <c r="M140" s="1159">
        <v>-14.436619718309858</v>
      </c>
      <c r="N140" s="1157">
        <v>59.97114216281895</v>
      </c>
      <c r="O140" s="1157">
        <v>9.8724179829890513E-2</v>
      </c>
      <c r="P140" s="1157">
        <v>20.185297691373027</v>
      </c>
      <c r="Q140" s="1157">
        <v>-4.3742405832320781</v>
      </c>
      <c r="R140" s="1159">
        <v>26.685905224787366</v>
      </c>
      <c r="S140" s="1157">
        <v>23.446533819814761</v>
      </c>
      <c r="T140" s="1157">
        <v>21.785012629806342</v>
      </c>
      <c r="U140" s="1157">
        <v>21.392085321358405</v>
      </c>
      <c r="V140" s="1157">
        <v>15.947235475722705</v>
      </c>
      <c r="W140" s="1159">
        <v>22.207877256993171</v>
      </c>
    </row>
    <row r="141" spans="1:23" ht="15.75">
      <c r="A141" s="1154">
        <v>12</v>
      </c>
      <c r="B141" s="1157">
        <v>22.355426718419888</v>
      </c>
      <c r="C141" s="1157">
        <v>-23.306146514027418</v>
      </c>
      <c r="D141" s="1123">
        <v>7.6082150051589483</v>
      </c>
      <c r="E141" s="1157">
        <v>25.362354444062305</v>
      </c>
      <c r="F141" s="1123">
        <v>4.8666044317790993</v>
      </c>
      <c r="G141" s="1159">
        <v>13.369855385774414</v>
      </c>
      <c r="H141" s="1157">
        <v>9.0359042553191493</v>
      </c>
      <c r="I141" s="1157">
        <v>-12.789228723404255</v>
      </c>
      <c r="J141" s="1157">
        <v>5.1628989361702109</v>
      </c>
      <c r="K141" s="1157">
        <v>16.223404255319146</v>
      </c>
      <c r="L141" s="1157">
        <v>18.598836436170213</v>
      </c>
      <c r="M141" s="1159">
        <v>-3.8131648936170222</v>
      </c>
      <c r="N141" s="1157">
        <v>48.126908468012225</v>
      </c>
      <c r="O141" s="1157">
        <v>5.101660832650631</v>
      </c>
      <c r="P141" s="1157">
        <v>16.072093542861403</v>
      </c>
      <c r="Q141" s="1157">
        <v>-3.9174797050718695</v>
      </c>
      <c r="R141" s="1159">
        <v>19.69911372607433</v>
      </c>
      <c r="S141" s="1157">
        <v>23.537338573834919</v>
      </c>
      <c r="T141" s="1157">
        <v>25.115103874227966</v>
      </c>
      <c r="U141" s="1157">
        <v>20.263896687254352</v>
      </c>
      <c r="V141" s="1157">
        <v>21.010668163952836</v>
      </c>
      <c r="W141" s="1159">
        <v>22.972113045105743</v>
      </c>
    </row>
    <row r="142" spans="1:23" ht="15.75">
      <c r="A142" s="1154">
        <v>2025</v>
      </c>
      <c r="B142" s="1157"/>
      <c r="C142" s="1157"/>
      <c r="D142" s="1123"/>
      <c r="E142" s="1157"/>
      <c r="F142" s="1123"/>
      <c r="G142" s="1159"/>
      <c r="H142" s="1157"/>
      <c r="I142" s="1157"/>
      <c r="J142" s="1157"/>
      <c r="K142" s="1157"/>
      <c r="L142" s="1157"/>
      <c r="M142" s="1159"/>
      <c r="N142" s="1157"/>
      <c r="O142" s="1157"/>
      <c r="P142" s="1157"/>
      <c r="Q142" s="1157"/>
      <c r="R142" s="1159"/>
      <c r="S142" s="1157"/>
      <c r="T142" s="1157"/>
      <c r="U142" s="1157"/>
      <c r="V142" s="1157"/>
      <c r="W142" s="1159"/>
    </row>
    <row r="143" spans="1:23" ht="15.75">
      <c r="A143" s="1154">
        <v>1</v>
      </c>
      <c r="B143" s="1157">
        <v>11.197484712697747</v>
      </c>
      <c r="C143" s="1157">
        <v>-25.504419082514296</v>
      </c>
      <c r="D143" s="1123">
        <v>7.0532022875250657</v>
      </c>
      <c r="E143" s="1157">
        <v>32.515534869903199</v>
      </c>
      <c r="F143" s="1123">
        <v>6.6447156685564321</v>
      </c>
      <c r="G143" s="1159">
        <v>12.219939098358626</v>
      </c>
      <c r="H143" s="1157">
        <v>9.5267617276296743</v>
      </c>
      <c r="I143" s="1157">
        <v>-9.6748639526072857</v>
      </c>
      <c r="J143" s="1157">
        <v>8.8826892608665684</v>
      </c>
      <c r="K143" s="1157">
        <v>16.773438038162155</v>
      </c>
      <c r="L143" s="1157">
        <v>19.686918784872908</v>
      </c>
      <c r="M143" s="1159">
        <v>-0.39608734587035865</v>
      </c>
      <c r="N143" s="1157">
        <v>47.154954687267868</v>
      </c>
      <c r="O143" s="1157">
        <v>4.5609864804635274</v>
      </c>
      <c r="P143" s="1157">
        <v>6.6112019016490873</v>
      </c>
      <c r="Q143" s="1157">
        <v>-2.2953498737186151</v>
      </c>
      <c r="R143" s="1159">
        <v>16.401723369484476</v>
      </c>
      <c r="S143" s="1157">
        <v>22.098765432098766</v>
      </c>
      <c r="T143" s="1157">
        <v>24.287317620650953</v>
      </c>
      <c r="U143" s="1157">
        <v>23.737373737373744</v>
      </c>
      <c r="V143" s="1157">
        <v>18.675645342312009</v>
      </c>
      <c r="W143" s="1159">
        <v>23.374485596707817</v>
      </c>
    </row>
    <row r="144" spans="1:23" ht="15.75">
      <c r="A144" s="1154">
        <v>2</v>
      </c>
      <c r="B144" s="1157">
        <v>8.2809565544009018</v>
      </c>
      <c r="C144" s="1157">
        <v>-29.064730186553152</v>
      </c>
      <c r="D144" s="1123">
        <v>7.1516213847502197</v>
      </c>
      <c r="E144" s="1157">
        <v>27.269312633028669</v>
      </c>
      <c r="F144" s="1123">
        <v>6.1024164266933774</v>
      </c>
      <c r="G144" s="1159">
        <v>9.4662159342264509</v>
      </c>
      <c r="H144" s="1157">
        <v>1.9927971188475391</v>
      </c>
      <c r="I144" s="1157">
        <v>-9.5592522723375062</v>
      </c>
      <c r="J144" s="1157">
        <v>9.3500257245755449</v>
      </c>
      <c r="K144" s="1157">
        <v>17.163436803292743</v>
      </c>
      <c r="L144" s="1157">
        <v>19.258377636768998</v>
      </c>
      <c r="M144" s="1159">
        <v>-0.10461327388098063</v>
      </c>
      <c r="N144" s="1157">
        <v>22.289071347678366</v>
      </c>
      <c r="O144" s="1157">
        <v>13.82361268403171</v>
      </c>
      <c r="P144" s="1157">
        <v>23.117214043035109</v>
      </c>
      <c r="Q144" s="1157">
        <v>-0.80690826727066822</v>
      </c>
      <c r="R144" s="1159">
        <v>10.527557568893924</v>
      </c>
      <c r="S144" s="1157">
        <v>10.16248325665366</v>
      </c>
      <c r="T144" s="1157">
        <v>10.715741657445692</v>
      </c>
      <c r="U144" s="1157">
        <v>27.622153631122238</v>
      </c>
      <c r="V144" s="1157">
        <v>22.421524663677125</v>
      </c>
      <c r="W144" s="1159">
        <v>16.166792848407198</v>
      </c>
    </row>
    <row r="145" spans="1:23" ht="15.75">
      <c r="A145" s="1154">
        <v>3</v>
      </c>
      <c r="B145" s="1157">
        <v>-7.7837075823179926</v>
      </c>
      <c r="C145" s="1157">
        <v>-28.456348806766691</v>
      </c>
      <c r="D145" s="1123">
        <v>4.4859530762259574</v>
      </c>
      <c r="E145" s="1157">
        <v>18.608397945826201</v>
      </c>
      <c r="F145" s="1123">
        <v>5.3619977847145304</v>
      </c>
      <c r="G145" s="1159">
        <v>2.1129124290940808</v>
      </c>
      <c r="H145" s="1157">
        <v>7.2025195125290997</v>
      </c>
      <c r="I145" s="1157">
        <v>-9.3762837190195825</v>
      </c>
      <c r="J145" s="1157">
        <v>14.850061618512939</v>
      </c>
      <c r="K145" s="1157">
        <v>17.698206216623305</v>
      </c>
      <c r="L145" s="1157">
        <v>19.249007257291524</v>
      </c>
      <c r="M145" s="1159">
        <v>2.7368889497466782</v>
      </c>
      <c r="N145" s="1157">
        <v>5.9785221990703654</v>
      </c>
      <c r="O145" s="1157">
        <v>15.899983971790352</v>
      </c>
      <c r="P145" s="1157">
        <v>34.404552011540311</v>
      </c>
      <c r="Q145" s="1157">
        <v>-8.0141048244911639E-3</v>
      </c>
      <c r="R145" s="1159">
        <v>8.161030079606773</v>
      </c>
      <c r="S145" s="1157">
        <v>6.5833091014829881</v>
      </c>
      <c r="T145" s="1157">
        <v>4.972375690607735</v>
      </c>
      <c r="U145" s="1157">
        <v>29.566734515847632</v>
      </c>
      <c r="V145" s="1157">
        <v>16.452457109624891</v>
      </c>
      <c r="W145" s="1159">
        <v>13.707473102646118</v>
      </c>
    </row>
    <row r="146" spans="1:23" ht="15.75">
      <c r="A146" s="1154">
        <v>4</v>
      </c>
      <c r="B146" s="1157">
        <v>-5.5971190180314965</v>
      </c>
      <c r="C146" s="1157">
        <v>-24.277852451117141</v>
      </c>
      <c r="D146" s="1123">
        <v>6.2615708452740231</v>
      </c>
      <c r="E146" s="1157">
        <v>23.149298775075451</v>
      </c>
      <c r="F146" s="1123">
        <v>2.3991275899672853</v>
      </c>
      <c r="G146" s="1159">
        <v>3.7635363039233107</v>
      </c>
      <c r="H146" s="1157">
        <v>11.367909746161079</v>
      </c>
      <c r="I146" s="1157">
        <v>-10.533531808210592</v>
      </c>
      <c r="J146" s="1157">
        <v>-1.8567847069884049</v>
      </c>
      <c r="K146" s="1157">
        <v>1.5277342525853963</v>
      </c>
      <c r="L146" s="1157">
        <v>20.777107489815105</v>
      </c>
      <c r="M146" s="1159">
        <v>-6.1951582575994983</v>
      </c>
      <c r="N146" s="1157">
        <v>10.705249841872233</v>
      </c>
      <c r="O146" s="1157">
        <v>14.073371283997469</v>
      </c>
      <c r="P146" s="1157">
        <v>24.580961416824799</v>
      </c>
      <c r="Q146" s="1157">
        <v>-9.9857685009487689</v>
      </c>
      <c r="R146" s="1159">
        <v>7.0709466582331872</v>
      </c>
      <c r="S146" s="1157">
        <v>6.6235581964348134</v>
      </c>
      <c r="T146" s="1157">
        <v>4.6545496912501463</v>
      </c>
      <c r="U146" s="1157">
        <v>33.816847256204127</v>
      </c>
      <c r="V146" s="1157">
        <v>20.598858208085751</v>
      </c>
      <c r="W146" s="1159">
        <v>15.031651714629696</v>
      </c>
    </row>
    <row r="147" spans="1:23" ht="15.75">
      <c r="A147" s="1154">
        <v>5</v>
      </c>
      <c r="B147" s="1157">
        <v>3.1018672677441632</v>
      </c>
      <c r="C147" s="1157">
        <v>-28.662175661484081</v>
      </c>
      <c r="D147" s="1123">
        <v>11.884941471786071</v>
      </c>
      <c r="E147" s="1157">
        <v>28.093542685894317</v>
      </c>
      <c r="F147" s="1123">
        <v>-0.43800107579211578</v>
      </c>
      <c r="G147" s="1159">
        <v>6.4368228272841357</v>
      </c>
      <c r="H147" s="1157">
        <v>19.255474452554743</v>
      </c>
      <c r="I147" s="1157">
        <v>-8.0437956204379564</v>
      </c>
      <c r="J147" s="1157">
        <v>4.726277372262774</v>
      </c>
      <c r="K147" s="1157">
        <v>1.3868613138686132</v>
      </c>
      <c r="L147" s="1157">
        <v>21.310948905109491</v>
      </c>
      <c r="M147" s="1159">
        <v>-1.6587591240875912</v>
      </c>
      <c r="N147" s="1157">
        <v>-45.303538175046548</v>
      </c>
      <c r="O147" s="1157">
        <v>10.033519553072626</v>
      </c>
      <c r="P147" s="1157">
        <v>35.456238361266294</v>
      </c>
      <c r="Q147" s="1157">
        <v>-5.3631284916201123</v>
      </c>
      <c r="R147" s="1159">
        <v>-6.6269397889509625</v>
      </c>
      <c r="S147" s="1157">
        <v>10.671040858932301</v>
      </c>
      <c r="T147" s="1157">
        <v>9.788249328959143</v>
      </c>
      <c r="U147" s="1157">
        <v>32.162242767670747</v>
      </c>
      <c r="V147" s="1157">
        <v>17.83477482851178</v>
      </c>
      <c r="W147" s="1159">
        <v>17.540510985187396</v>
      </c>
    </row>
    <row r="148" spans="1:23" ht="15.75">
      <c r="A148" s="1154">
        <v>6</v>
      </c>
      <c r="B148" s="1157">
        <v>7.9384977486696702</v>
      </c>
      <c r="C148" s="1157">
        <v>-26.890605812525582</v>
      </c>
      <c r="D148" s="1123">
        <v>10.34588620548506</v>
      </c>
      <c r="E148" s="1157">
        <v>36.476668031109298</v>
      </c>
      <c r="F148" s="1123">
        <v>0.94146541137945117</v>
      </c>
      <c r="G148" s="1159">
        <v>11.356426524764633</v>
      </c>
      <c r="H148" s="1157">
        <v>8.295705134936469</v>
      </c>
      <c r="I148" s="1157">
        <v>-9.6853232524764614</v>
      </c>
      <c r="J148" s="1157">
        <v>13.280128810948932</v>
      </c>
      <c r="K148" s="1157">
        <v>3.1502677727606851</v>
      </c>
      <c r="L148" s="1157">
        <v>19.243095663131363</v>
      </c>
      <c r="M148" s="1159">
        <v>1.7974027792362355</v>
      </c>
      <c r="N148" s="1157">
        <v>-29.074727861135624</v>
      </c>
      <c r="O148" s="1157">
        <v>13.945278022947928</v>
      </c>
      <c r="P148" s="1157">
        <v>18.490732568402464</v>
      </c>
      <c r="Q148" s="1157">
        <v>-5.12650779641071</v>
      </c>
      <c r="R148" s="1159">
        <v>-8.1764244385603604</v>
      </c>
      <c r="S148" s="1157">
        <v>17.708870551830842</v>
      </c>
      <c r="T148" s="1157">
        <v>10.91413099535843</v>
      </c>
      <c r="U148" s="1157">
        <v>28.210417741103662</v>
      </c>
      <c r="V148" s="1157">
        <v>-22.827488396080451</v>
      </c>
      <c r="W148" s="1159">
        <v>18.944473096097642</v>
      </c>
    </row>
    <row r="149" spans="1:23" ht="15.75">
      <c r="A149" s="1154">
        <v>7</v>
      </c>
      <c r="B149" s="1157">
        <v>-0.38326002520771052</v>
      </c>
      <c r="C149" s="1157">
        <v>-29.405561128687911</v>
      </c>
      <c r="D149" s="1123">
        <v>5.9521053579237062</v>
      </c>
      <c r="E149" s="1157">
        <v>37.785837384571856</v>
      </c>
      <c r="F149" s="1123">
        <v>7.3076626282892203</v>
      </c>
      <c r="G149" s="1159">
        <v>10.483490667146812</v>
      </c>
      <c r="H149" s="1157">
        <v>9.7531419866357378</v>
      </c>
      <c r="I149" s="1157">
        <v>-10.00934805941211</v>
      </c>
      <c r="J149" s="1157">
        <v>9.9851123498251582</v>
      </c>
      <c r="K149" s="1157">
        <v>3.5280268670151993</v>
      </c>
      <c r="L149" s="1157">
        <v>20.547173077588894</v>
      </c>
      <c r="M149" s="1159">
        <v>-1.2117854793475935E-2</v>
      </c>
      <c r="N149" s="1157">
        <v>-5.5107723875128229</v>
      </c>
      <c r="O149" s="1157">
        <v>15.762860911622454</v>
      </c>
      <c r="P149" s="1157">
        <v>50.219844643118869</v>
      </c>
      <c r="Q149" s="1157">
        <v>-4.3016268503590798</v>
      </c>
      <c r="R149" s="1159">
        <v>9.6487371146611967</v>
      </c>
      <c r="S149" s="1157">
        <v>24.68221646303838</v>
      </c>
      <c r="T149" s="1157">
        <v>19.011477230655316</v>
      </c>
      <c r="U149" s="1157">
        <v>38.251264963593734</v>
      </c>
      <c r="V149" s="1157">
        <v>-16.086634579785269</v>
      </c>
      <c r="W149" s="1159">
        <v>27.314986219095807</v>
      </c>
    </row>
    <row r="150" spans="1:23" ht="15.75">
      <c r="A150" s="1154">
        <v>8</v>
      </c>
      <c r="B150" s="1157">
        <v>1.8616884121499662</v>
      </c>
      <c r="C150" s="1157">
        <v>-22.239698829353824</v>
      </c>
      <c r="D150" s="1123">
        <v>4.5124026610283119</v>
      </c>
      <c r="E150" s="1157">
        <v>29.843741942138102</v>
      </c>
      <c r="F150" s="1123">
        <v>5.9847351864266933</v>
      </c>
      <c r="G150" s="1159">
        <v>9.0643425644199205</v>
      </c>
      <c r="H150" s="1157">
        <v>-1.5900877645844087</v>
      </c>
      <c r="I150" s="1157">
        <v>-10.387196695921528</v>
      </c>
      <c r="J150" s="1157">
        <v>-0.5954224746171054</v>
      </c>
      <c r="K150" s="1157">
        <v>3.3350542075374285</v>
      </c>
      <c r="L150" s="1157">
        <v>20.418998451213213</v>
      </c>
      <c r="M150" s="1159">
        <v>-5.4913095852693168</v>
      </c>
      <c r="N150" s="1157">
        <v>28.675491501527375</v>
      </c>
      <c r="O150" s="1157">
        <v>11.302576956215241</v>
      </c>
      <c r="P150" s="1157">
        <v>11.279078875225188</v>
      </c>
      <c r="Q150" s="1157">
        <v>-9.3913997023576421</v>
      </c>
      <c r="R150" s="1159">
        <v>9.5506644735124411</v>
      </c>
      <c r="S150" s="1157">
        <v>19.485089831450271</v>
      </c>
      <c r="T150" s="1157">
        <v>14.163116626535782</v>
      </c>
      <c r="U150" s="1157">
        <v>42.421436068407729</v>
      </c>
      <c r="V150" s="1157">
        <v>-19.670309316540092</v>
      </c>
      <c r="W150" s="1159">
        <v>25.356547508797927</v>
      </c>
    </row>
    <row r="151" spans="1:23" ht="15.75">
      <c r="A151" s="1154">
        <v>9</v>
      </c>
      <c r="B151" s="1157">
        <v>15.997381605780609</v>
      </c>
      <c r="C151" s="1157">
        <v>-24.842015156474233</v>
      </c>
      <c r="D151" s="1123">
        <v>-2.6637125808806879</v>
      </c>
      <c r="E151" s="1157">
        <v>41.54183136534153</v>
      </c>
      <c r="F151" s="1123">
        <v>13.514942470857775</v>
      </c>
      <c r="G151" s="1159">
        <v>20.067641850667609</v>
      </c>
      <c r="H151" s="1157">
        <v>15.462184873949578</v>
      </c>
      <c r="I151" s="1157">
        <v>-7.9403189847367512</v>
      </c>
      <c r="J151" s="1157">
        <v>-0.77516720974103892</v>
      </c>
      <c r="K151" s="1157">
        <v>14.402332361516034</v>
      </c>
      <c r="L151" s="1157">
        <v>17.165494769336306</v>
      </c>
      <c r="M151" s="1159">
        <v>-4.3577430972388953</v>
      </c>
      <c r="N151" s="1157">
        <v>11.309148264984225</v>
      </c>
      <c r="O151" s="1157">
        <v>14.763406940063092</v>
      </c>
      <c r="P151" s="1157">
        <v>5.7097791798107274</v>
      </c>
      <c r="Q151" s="1157">
        <v>-7.381703470031546</v>
      </c>
      <c r="R151" s="1159">
        <v>0.75184016824395439</v>
      </c>
      <c r="S151" s="1157">
        <v>20.846239623342832</v>
      </c>
      <c r="T151" s="1157">
        <v>13.523726923553463</v>
      </c>
      <c r="U151" s="1157">
        <v>34.512451988601164</v>
      </c>
      <c r="V151" s="1157">
        <v>-19.892206665840671</v>
      </c>
      <c r="W151" s="1159">
        <v>22.960806178499151</v>
      </c>
    </row>
    <row r="152" spans="1:23" ht="15.75">
      <c r="A152" s="1154">
        <v>10</v>
      </c>
      <c r="B152" s="1157">
        <v>19.088369283431071</v>
      </c>
      <c r="C152" s="1157">
        <v>-25.204500264277264</v>
      </c>
      <c r="D152" s="1123">
        <v>0.42284362336714343</v>
      </c>
      <c r="E152" s="1157">
        <v>39.435201731645321</v>
      </c>
      <c r="F152" s="1123">
        <v>16.312199541919409</v>
      </c>
      <c r="G152" s="1159">
        <v>19.366909130569745</v>
      </c>
      <c r="H152" s="1157">
        <v>-10.305461277383523</v>
      </c>
      <c r="I152" s="1157">
        <v>-11.371661695635778</v>
      </c>
      <c r="J152" s="1157">
        <v>-14.601117624875723</v>
      </c>
      <c r="K152" s="1157">
        <v>-11.560218039699681</v>
      </c>
      <c r="L152" s="1157">
        <v>19.609379821042886</v>
      </c>
      <c r="M152" s="1159">
        <v>-12.98638966025575</v>
      </c>
      <c r="N152" s="1157">
        <v>16.807050382155666</v>
      </c>
      <c r="O152" s="1157">
        <v>9.7176727499610038</v>
      </c>
      <c r="P152" s="1157">
        <v>30.354078926844483</v>
      </c>
      <c r="Q152" s="1157">
        <v>-1.1074715333021374</v>
      </c>
      <c r="R152" s="1159">
        <v>12.481152186346385</v>
      </c>
      <c r="S152" s="1157">
        <v>18.953261621689627</v>
      </c>
      <c r="T152" s="1157">
        <v>8.7312071460023883</v>
      </c>
      <c r="U152" s="1157">
        <v>24.690193118198405</v>
      </c>
      <c r="V152" s="1157">
        <v>15.468327357363025</v>
      </c>
      <c r="W152" s="1159">
        <v>17.458220628630141</v>
      </c>
    </row>
    <row r="153" spans="1:23" ht="15.75">
      <c r="A153" s="1154">
        <v>11</v>
      </c>
      <c r="B153" s="1157">
        <v>21.354089448974552</v>
      </c>
      <c r="C153" s="1157">
        <v>-23.691623424759079</v>
      </c>
      <c r="D153" s="1123">
        <v>-0.33358042994810844</v>
      </c>
      <c r="E153" s="1157">
        <v>17.573511242895972</v>
      </c>
      <c r="F153" s="1123">
        <v>15.124783790462073</v>
      </c>
      <c r="G153" s="1159">
        <v>13.087060373939543</v>
      </c>
      <c r="H153" s="1157">
        <v>-6.0864813170298513</v>
      </c>
      <c r="I153" s="1157">
        <v>-25.671152401120295</v>
      </c>
      <c r="J153" s="1157">
        <v>-27.037365940296464</v>
      </c>
      <c r="K153" s="1157">
        <v>-1.8409727440398922</v>
      </c>
      <c r="L153" s="1157">
        <v>18.887799713095156</v>
      </c>
      <c r="M153" s="1159">
        <v>-26.354259170708382</v>
      </c>
      <c r="N153" s="1157">
        <v>5.2829302653204984</v>
      </c>
      <c r="O153" s="1157">
        <v>5.9403615872270485</v>
      </c>
      <c r="P153" s="1157">
        <v>-1.3226892071691294</v>
      </c>
      <c r="Q153" s="1157">
        <v>0.95484072943570486</v>
      </c>
      <c r="R153" s="1159">
        <v>-0.6600401763585606</v>
      </c>
      <c r="S153" s="1157">
        <v>23.722124780756701</v>
      </c>
      <c r="T153" s="1157">
        <v>11.175144074166875</v>
      </c>
      <c r="U153" s="1157">
        <v>25.914557754948639</v>
      </c>
      <c r="V153" s="1157">
        <v>14.232022049611626</v>
      </c>
      <c r="W153" s="1159">
        <v>20.270608869957403</v>
      </c>
    </row>
    <row r="154" spans="1:23" ht="15.75">
      <c r="A154" s="1154">
        <v>12</v>
      </c>
      <c r="B154" s="1157">
        <v>16.324365111179233</v>
      </c>
      <c r="C154" s="1157">
        <v>-24.030276592232781</v>
      </c>
      <c r="D154" s="1123">
        <v>-1.7401966563701099</v>
      </c>
      <c r="E154" s="1157">
        <v>22.346671697045441</v>
      </c>
      <c r="F154" s="1123">
        <v>1.5303355419840126</v>
      </c>
      <c r="G154" s="1159">
        <v>13.470411154864927</v>
      </c>
      <c r="H154" s="1157">
        <v>2.7805499156887712</v>
      </c>
      <c r="I154" s="1157">
        <v>-11.445679479679274</v>
      </c>
      <c r="J154" s="1157">
        <v>-5.5955125778588393</v>
      </c>
      <c r="K154" s="1157">
        <v>11.992842148731892</v>
      </c>
      <c r="L154" s="1157">
        <v>20.551120134897971</v>
      </c>
      <c r="M154" s="1159">
        <v>-8.5205960287690559</v>
      </c>
      <c r="N154" s="1157">
        <v>47.541618273325597</v>
      </c>
      <c r="O154" s="1157">
        <v>-10.120015485869144</v>
      </c>
      <c r="P154" s="1157">
        <v>-36.213704994192796</v>
      </c>
      <c r="Q154" s="1157">
        <v>2.1447928765001931</v>
      </c>
      <c r="R154" s="1159">
        <v>7.1493095883339803</v>
      </c>
      <c r="S154" s="1157">
        <v>21.366601228547903</v>
      </c>
      <c r="T154" s="1157">
        <v>11.512887087581532</v>
      </c>
      <c r="U154" s="1157">
        <v>27.743651447026789</v>
      </c>
      <c r="V154" s="1157">
        <v>17.016021784560824</v>
      </c>
      <c r="W154" s="1159">
        <v>20.207713254385411</v>
      </c>
    </row>
    <row r="155" spans="1:23" ht="15.75">
      <c r="A155" s="1154">
        <v>2026</v>
      </c>
      <c r="B155" s="1157"/>
      <c r="C155" s="1157"/>
      <c r="D155" s="1123"/>
      <c r="E155" s="1157"/>
      <c r="F155" s="1123"/>
      <c r="G155" s="1159"/>
      <c r="H155" s="1157"/>
      <c r="I155" s="1157"/>
      <c r="J155" s="1157"/>
      <c r="K155" s="1157"/>
      <c r="L155" s="1157"/>
      <c r="M155" s="1159"/>
      <c r="N155" s="1157"/>
      <c r="O155" s="1157"/>
      <c r="P155" s="1157"/>
      <c r="Q155" s="1157"/>
      <c r="R155" s="1159"/>
      <c r="S155" s="1157"/>
      <c r="T155" s="1157"/>
      <c r="U155" s="1157"/>
      <c r="V155" s="1157"/>
      <c r="W155" s="1159"/>
    </row>
    <row r="156" spans="1:23" ht="15.75">
      <c r="A156" s="1154">
        <v>1</v>
      </c>
      <c r="B156" s="1157">
        <v>16.13307777856653</v>
      </c>
      <c r="C156" s="1157">
        <v>-22.694683041101726</v>
      </c>
      <c r="D156" s="1123">
        <v>2.1225243131965641</v>
      </c>
      <c r="E156" s="1157">
        <v>24.197250420008984</v>
      </c>
      <c r="F156" s="1123">
        <v>13.963228508553984</v>
      </c>
      <c r="G156" s="1159">
        <v>12.735934628459651</v>
      </c>
      <c r="H156" s="1157">
        <v>-27.960503442041585</v>
      </c>
      <c r="I156" s="1157">
        <v>-25.874417634378688</v>
      </c>
      <c r="J156" s="1157">
        <v>-26.521104234754191</v>
      </c>
      <c r="K156" s="1157">
        <v>0.60496488422223771</v>
      </c>
      <c r="L156" s="1157">
        <v>18.48</v>
      </c>
      <c r="M156" s="1159">
        <v>-26.197760934566439</v>
      </c>
      <c r="N156" s="1157">
        <v>27.733044286156705</v>
      </c>
      <c r="O156" s="1157">
        <v>-11.257355218333849</v>
      </c>
      <c r="P156" s="1157">
        <v>-46.980489315577586</v>
      </c>
      <c r="Q156" s="1157">
        <v>17.064106534530811</v>
      </c>
      <c r="R156" s="1159">
        <v>-2.6633632703623418</v>
      </c>
      <c r="S156" s="1157">
        <v>23.102845731402898</v>
      </c>
      <c r="T156" s="1157">
        <v>12.749625561657517</v>
      </c>
      <c r="U156" s="1157">
        <v>25.861208187718425</v>
      </c>
      <c r="V156" s="1157">
        <v>22.353969046430358</v>
      </c>
      <c r="W156" s="1159">
        <v>20.571226493592945</v>
      </c>
    </row>
    <row r="157" spans="1:23" ht="15.75">
      <c r="A157" s="1154">
        <v>2</v>
      </c>
      <c r="B157" s="1157">
        <v>19.055259308196874</v>
      </c>
      <c r="C157" s="1157">
        <v>-23.795479212873389</v>
      </c>
      <c r="D157" s="1123">
        <v>0.613467981690341</v>
      </c>
      <c r="E157" s="1157">
        <v>37.489972157991602</v>
      </c>
      <c r="F157" s="1123">
        <v>10.443112642159406</v>
      </c>
      <c r="G157" s="1159">
        <v>18.643921161499378</v>
      </c>
      <c r="H157" s="1157">
        <v>-17.040996979900719</v>
      </c>
      <c r="I157" s="1157">
        <v>-26.608116082896515</v>
      </c>
      <c r="J157" s="1157">
        <v>-15.319193251640225</v>
      </c>
      <c r="K157" s="1157">
        <v>-3.2596243968479892</v>
      </c>
      <c r="L157" s="1157">
        <v>20.872912833686261</v>
      </c>
      <c r="M157" s="1159">
        <v>-20.963654667268372</v>
      </c>
      <c r="N157" s="1157">
        <v>23.809896648919509</v>
      </c>
      <c r="O157" s="1157">
        <v>-12.54306295020357</v>
      </c>
      <c r="P157" s="1157">
        <v>-47.416222987785787</v>
      </c>
      <c r="Q157" s="1157">
        <v>6.9135609145004695</v>
      </c>
      <c r="R157" s="1159">
        <v>-3.687754462887566</v>
      </c>
      <c r="S157" s="1157">
        <v>26.500398587860154</v>
      </c>
      <c r="T157" s="1157">
        <v>18.147135861519189</v>
      </c>
      <c r="U157" s="1157">
        <v>32.496298827012872</v>
      </c>
      <c r="V157" s="1157">
        <v>21.136544812663708</v>
      </c>
      <c r="W157" s="1159">
        <v>25.714611092130735</v>
      </c>
    </row>
    <row r="158" spans="1:23" ht="15.75">
      <c r="A158" s="1154">
        <v>3</v>
      </c>
      <c r="B158" s="1157">
        <v>13.891653632873593</v>
      </c>
      <c r="C158" s="1157">
        <v>-25.095976112611972</v>
      </c>
      <c r="D158" s="1123">
        <v>-0.20380112801554695</v>
      </c>
      <c r="E158" s="1157">
        <v>40.101426607896101</v>
      </c>
      <c r="F158" s="1123">
        <v>12.085880847433527</v>
      </c>
      <c r="G158" s="1159">
        <v>18.065627122928415</v>
      </c>
      <c r="H158" s="1157">
        <v>-23.694249843934244</v>
      </c>
      <c r="I158" s="1157">
        <v>-27.432891725046822</v>
      </c>
      <c r="J158" s="1157">
        <v>-15.35340223347437</v>
      </c>
      <c r="K158" s="1157">
        <v>-1.1132690573628348</v>
      </c>
      <c r="L158" s="1157">
        <v>18.698238191024483</v>
      </c>
      <c r="M158" s="1159">
        <v>-21.393146979260596</v>
      </c>
      <c r="N158" s="1157">
        <v>11.911443716869348</v>
      </c>
      <c r="O158" s="1157">
        <v>3.0012472715933898</v>
      </c>
      <c r="P158" s="1157">
        <v>-19.886186467103212</v>
      </c>
      <c r="Q158" s="1157">
        <v>16.432803242906143</v>
      </c>
      <c r="R158" s="1159">
        <v>-3.6586633406090838</v>
      </c>
      <c r="S158" s="1157">
        <v>13.590155163188872</v>
      </c>
      <c r="T158" s="1157">
        <v>15.109684323167468</v>
      </c>
      <c r="U158" s="1157">
        <v>18.822899946495454</v>
      </c>
      <c r="V158" s="1157">
        <v>20.251471375066878</v>
      </c>
      <c r="W158" s="1159">
        <v>15.840913144283933</v>
      </c>
    </row>
    <row r="159" spans="1:23" ht="15.75">
      <c r="A159" s="1154">
        <v>4</v>
      </c>
      <c r="B159" s="1157">
        <v>9.2064395286530587</v>
      </c>
      <c r="C159" s="1157">
        <v>-19.591246413922278</v>
      </c>
      <c r="D159" s="1123">
        <v>0.55717571188088399</v>
      </c>
      <c r="E159" s="1157">
        <v>30.952889015340119</v>
      </c>
      <c r="F159" s="1123">
        <v>14.239988619389715</v>
      </c>
      <c r="G159" s="1159">
        <v>13.200717610704094</v>
      </c>
      <c r="H159" s="1157">
        <v>-9.4398705228344237</v>
      </c>
      <c r="I159" s="1157">
        <v>-32.69298430793048</v>
      </c>
      <c r="J159" s="1157">
        <v>-17.134614031384139</v>
      </c>
      <c r="K159" s="1157">
        <v>-1.0660755752586006</v>
      </c>
      <c r="L159" s="1157">
        <v>19.886707480121036</v>
      </c>
      <c r="M159" s="1159">
        <v>-24.91379916965731</v>
      </c>
      <c r="N159" s="1157">
        <v>13.302085016971072</v>
      </c>
      <c r="O159" s="1157">
        <v>7.9198319056085325</v>
      </c>
      <c r="P159" s="1157">
        <v>0.41215451753676824</v>
      </c>
      <c r="Q159" s="1157">
        <v>16.971068369161145</v>
      </c>
      <c r="R159" s="1159">
        <v>1.9314692096331021</v>
      </c>
      <c r="S159" s="1157">
        <v>10.368319025200774</v>
      </c>
      <c r="T159" s="1157">
        <v>12.018831348656882</v>
      </c>
      <c r="U159" s="1157">
        <v>20.271392965937412</v>
      </c>
      <c r="V159" s="1157">
        <v>25.843256715591249</v>
      </c>
      <c r="W159" s="1159">
        <v>14.219514446598355</v>
      </c>
    </row>
    <row r="160" spans="1:23" ht="15.75">
      <c r="A160" s="1154">
        <v>5</v>
      </c>
      <c r="B160" s="1157">
        <v>23.460847361452622</v>
      </c>
      <c r="C160" s="1157">
        <v>-24.626442216758086</v>
      </c>
      <c r="D160" s="1123">
        <v>2.7425761301305083</v>
      </c>
      <c r="E160" s="1157">
        <v>39.954132778513333</v>
      </c>
      <c r="F160" s="1123">
        <v>6.5419897862682053</v>
      </c>
      <c r="G160" s="1159">
        <v>20.224134669945148</v>
      </c>
      <c r="H160" s="1157">
        <v>-15.535913918390163</v>
      </c>
      <c r="I160" s="1157">
        <v>-33.101593068753495</v>
      </c>
      <c r="J160" s="1157">
        <v>-7.9339016210173279</v>
      </c>
      <c r="K160" s="1157">
        <v>-1.4114030184460593</v>
      </c>
      <c r="L160" s="1157">
        <v>19.970339575181665</v>
      </c>
      <c r="M160" s="1159">
        <v>-20.517747344885411</v>
      </c>
      <c r="N160" s="1157">
        <v>-17.362896315338475</v>
      </c>
      <c r="O160" s="1157">
        <v>21.036846615252784</v>
      </c>
      <c r="P160" s="1157">
        <v>45.844044558697519</v>
      </c>
      <c r="Q160" s="1157">
        <v>19.612253641816622</v>
      </c>
      <c r="R160" s="1159">
        <v>2.4814338760354198</v>
      </c>
      <c r="S160" s="1157">
        <v>18.409510618651893</v>
      </c>
      <c r="T160" s="1157">
        <v>23.112880886426591</v>
      </c>
      <c r="U160" s="1157">
        <v>29.155124653739612</v>
      </c>
      <c r="V160" s="1157">
        <v>26.033010156971379</v>
      </c>
      <c r="W160" s="1159">
        <v>23.559172052939363</v>
      </c>
    </row>
    <row r="161" spans="1:34" ht="15.75">
      <c r="A161" s="1363">
        <v>6</v>
      </c>
      <c r="B161" s="1158">
        <v>20.201313784749104</v>
      </c>
      <c r="C161" s="1158">
        <v>-30.736568673976564</v>
      </c>
      <c r="D161" s="1125">
        <v>0.43959337612708271</v>
      </c>
      <c r="E161" s="1158">
        <v>22.256912356070636</v>
      </c>
      <c r="F161" s="1125">
        <v>4.0587456602642558</v>
      </c>
      <c r="G161" s="1160">
        <v>14.006210921564222</v>
      </c>
      <c r="H161" s="1158">
        <v>-15.513227513227514</v>
      </c>
      <c r="I161" s="1158">
        <v>-28.239858906525573</v>
      </c>
      <c r="J161" s="1158">
        <v>-7.6684303350970024</v>
      </c>
      <c r="K161" s="1158">
        <v>-13.343915343915343</v>
      </c>
      <c r="L161" s="1158">
        <v>19.660881834215168</v>
      </c>
      <c r="M161" s="1160">
        <v>-17.954144620811288</v>
      </c>
      <c r="N161" s="1158">
        <v>13.889757215796603</v>
      </c>
      <c r="O161" s="1158">
        <v>19.620714806710431</v>
      </c>
      <c r="P161" s="1158">
        <v>51.391059706158181</v>
      </c>
      <c r="Q161" s="1158">
        <v>1.3441700531416063</v>
      </c>
      <c r="R161" s="1160">
        <v>15.220034038414781</v>
      </c>
      <c r="S161" s="1158">
        <v>12.598146289627488</v>
      </c>
      <c r="T161" s="1158">
        <v>13.76704646083004</v>
      </c>
      <c r="U161" s="1158">
        <v>26.182183127693488</v>
      </c>
      <c r="V161" s="1158">
        <v>26.689887242458234</v>
      </c>
      <c r="W161" s="1160">
        <v>17.51579195938367</v>
      </c>
    </row>
    <row r="162" spans="1:34" ht="15.75" hidden="1" customHeight="1">
      <c r="A162" s="1126"/>
      <c r="G162" s="1124">
        <f>(B161-D161+E161)/3</f>
        <v>14.006210921564218</v>
      </c>
      <c r="H162" s="1123"/>
      <c r="I162" s="1123"/>
      <c r="J162" s="1123"/>
      <c r="K162" s="1123"/>
      <c r="L162" s="1123"/>
      <c r="M162" s="1124">
        <f>(I161+J161)/2</f>
        <v>-17.954144620811288</v>
      </c>
      <c r="N162" s="1123"/>
      <c r="O162" s="1123"/>
      <c r="P162" s="1123"/>
      <c r="Q162" s="1123"/>
      <c r="R162" s="1124">
        <f>(N161-O161+P161)/3</f>
        <v>15.220034038414786</v>
      </c>
      <c r="S162" s="1123"/>
      <c r="T162" s="1123"/>
      <c r="U162" s="1123"/>
      <c r="V162" s="1123"/>
      <c r="W162" s="1124">
        <f>(S161+T161+U161)/3</f>
        <v>17.515791959383673</v>
      </c>
    </row>
    <row r="163" spans="1:34" ht="9" customHeight="1">
      <c r="A163" s="1126"/>
      <c r="G163" s="1127"/>
    </row>
    <row r="164" spans="1:34" ht="14.25" customHeight="1">
      <c r="A164" s="2194" t="s">
        <v>3099</v>
      </c>
      <c r="B164" s="2194"/>
      <c r="C164" s="2194"/>
      <c r="D164" s="2194"/>
      <c r="E164" s="2194"/>
      <c r="F164" s="2194"/>
      <c r="G164" s="2194"/>
      <c r="H164" s="2194"/>
      <c r="I164" s="2194"/>
      <c r="J164" s="2194"/>
      <c r="K164" s="2194"/>
      <c r="L164" s="2194"/>
      <c r="M164" s="2194"/>
      <c r="N164" s="2194"/>
      <c r="O164" s="2194"/>
      <c r="P164" s="2194"/>
      <c r="Q164" s="2194"/>
      <c r="R164" s="2194"/>
      <c r="S164" s="2194"/>
      <c r="T164" s="2194"/>
      <c r="U164" s="2194"/>
      <c r="V164" s="2194"/>
      <c r="W164" s="2194"/>
    </row>
    <row r="165" spans="1:34" ht="14.25" customHeight="1">
      <c r="A165" s="2194" t="s">
        <v>3100</v>
      </c>
      <c r="B165" s="2194"/>
      <c r="C165" s="2194"/>
      <c r="D165" s="2194"/>
      <c r="E165" s="2194"/>
      <c r="F165" s="2194"/>
      <c r="G165" s="2194"/>
      <c r="H165" s="2194"/>
      <c r="I165" s="2194"/>
      <c r="J165" s="2194"/>
      <c r="K165" s="2194"/>
      <c r="L165" s="2194"/>
      <c r="M165" s="2194"/>
      <c r="N165" s="2194"/>
      <c r="O165" s="2194"/>
      <c r="P165" s="2194"/>
      <c r="Q165" s="2194"/>
      <c r="R165" s="2194"/>
      <c r="S165" s="2194"/>
      <c r="T165" s="2194"/>
      <c r="U165" s="2194"/>
      <c r="V165" s="2194"/>
      <c r="W165" s="2194"/>
    </row>
    <row r="166" spans="1:34" ht="14.25" customHeight="1">
      <c r="A166" s="2194" t="s">
        <v>3101</v>
      </c>
      <c r="B166" s="2194"/>
      <c r="C166" s="2194"/>
      <c r="D166" s="2194"/>
      <c r="E166" s="2194"/>
      <c r="F166" s="2194"/>
      <c r="G166" s="2194"/>
      <c r="H166" s="2194"/>
      <c r="I166" s="2194"/>
      <c r="J166" s="2194"/>
      <c r="K166" s="2194"/>
      <c r="L166" s="2194"/>
      <c r="M166" s="2194"/>
      <c r="N166" s="2194"/>
      <c r="O166" s="2194"/>
      <c r="P166" s="2194"/>
      <c r="Q166" s="2194"/>
      <c r="R166" s="2194"/>
      <c r="S166" s="2194"/>
      <c r="T166" s="2194"/>
      <c r="U166" s="2194"/>
      <c r="V166" s="2194"/>
      <c r="W166" s="2194"/>
    </row>
    <row r="167" spans="1:34" ht="14.25" customHeight="1">
      <c r="A167" s="2194" t="s">
        <v>3102</v>
      </c>
      <c r="B167" s="2194"/>
      <c r="C167" s="2194"/>
      <c r="D167" s="2194"/>
      <c r="E167" s="2194"/>
      <c r="F167" s="2194"/>
      <c r="G167" s="2194"/>
      <c r="H167" s="2194"/>
      <c r="I167" s="2194"/>
      <c r="J167" s="2194"/>
      <c r="K167" s="2194"/>
      <c r="L167" s="2194"/>
      <c r="M167" s="2194"/>
      <c r="N167" s="2194"/>
      <c r="O167" s="2194"/>
      <c r="P167" s="2194"/>
      <c r="Q167" s="2194"/>
      <c r="R167" s="2194"/>
      <c r="S167" s="2194"/>
      <c r="T167" s="2194"/>
      <c r="U167" s="2194"/>
      <c r="V167" s="2194"/>
      <c r="W167" s="2194"/>
    </row>
    <row r="168" spans="1:34" s="883" customFormat="1" ht="14.25" customHeight="1">
      <c r="A168" s="1195" t="s">
        <v>3255</v>
      </c>
      <c r="B168" s="1195"/>
      <c r="C168" s="1195"/>
      <c r="D168" s="1195"/>
      <c r="E168" s="1195"/>
      <c r="F168" s="1195"/>
      <c r="G168" s="1195"/>
      <c r="H168" s="1195"/>
      <c r="I168" s="1195"/>
      <c r="J168" s="1195"/>
      <c r="K168" s="1195"/>
      <c r="L168" s="1195"/>
      <c r="M168" s="1195"/>
      <c r="N168" s="1195"/>
      <c r="O168" s="1195"/>
      <c r="P168" s="1195"/>
      <c r="Q168" s="1195"/>
      <c r="R168" s="1195"/>
      <c r="S168" s="1195"/>
      <c r="T168" s="1195"/>
      <c r="U168" s="1195"/>
      <c r="V168" s="1195"/>
      <c r="W168" s="1195"/>
      <c r="X168" s="1195"/>
      <c r="Y168" s="1195"/>
      <c r="Z168" s="1195"/>
      <c r="AA168" s="1195"/>
      <c r="AB168" s="1195"/>
      <c r="AC168" s="1195"/>
      <c r="AD168" s="1195"/>
      <c r="AE168" s="1195"/>
      <c r="AF168" s="1195"/>
      <c r="AG168" s="1195"/>
      <c r="AH168" s="1195"/>
    </row>
  </sheetData>
  <mergeCells count="46">
    <mergeCell ref="A167:P167"/>
    <mergeCell ref="Q167:W167"/>
    <mergeCell ref="A164:P164"/>
    <mergeCell ref="Q164:W164"/>
    <mergeCell ref="A165:P165"/>
    <mergeCell ref="Q165:W165"/>
    <mergeCell ref="A166:P166"/>
    <mergeCell ref="Q166:W166"/>
    <mergeCell ref="P7:Q7"/>
    <mergeCell ref="R7:R8"/>
    <mergeCell ref="S7:T7"/>
    <mergeCell ref="U7:V7"/>
    <mergeCell ref="W10:W11"/>
    <mergeCell ref="P10:Q10"/>
    <mergeCell ref="R10:R11"/>
    <mergeCell ref="S10:T10"/>
    <mergeCell ref="U10:V10"/>
    <mergeCell ref="A9:A11"/>
    <mergeCell ref="B9:G9"/>
    <mergeCell ref="H9:M9"/>
    <mergeCell ref="N9:R9"/>
    <mergeCell ref="S9:W9"/>
    <mergeCell ref="E10:F10"/>
    <mergeCell ref="G10:G11"/>
    <mergeCell ref="H10:I10"/>
    <mergeCell ref="J10:K10"/>
    <mergeCell ref="L10:L11"/>
    <mergeCell ref="B10:D10"/>
    <mergeCell ref="M10:M11"/>
    <mergeCell ref="N10:O10"/>
    <mergeCell ref="A2:W2"/>
    <mergeCell ref="A3:W3"/>
    <mergeCell ref="A6:A8"/>
    <mergeCell ref="B6:G6"/>
    <mergeCell ref="H6:M6"/>
    <mergeCell ref="N6:R6"/>
    <mergeCell ref="S6:W6"/>
    <mergeCell ref="B7:D7"/>
    <mergeCell ref="E7:F7"/>
    <mergeCell ref="G7:G8"/>
    <mergeCell ref="H7:I7"/>
    <mergeCell ref="J7:K7"/>
    <mergeCell ref="L7:L8"/>
    <mergeCell ref="M7:M8"/>
    <mergeCell ref="W7:W8"/>
    <mergeCell ref="N7:O7"/>
  </mergeCells>
  <pageMargins left="0.7" right="0.7" top="0.75" bottom="0.75" header="0.3" footer="0.3"/>
  <pageSetup scale="23" orientation="portrait" horizontalDpi="4294967295" verticalDpi="4294967295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6">
    <tabColor rgb="FF92D050"/>
  </sheetPr>
  <dimension ref="A1:O29"/>
  <sheetViews>
    <sheetView showGridLines="0" view="pageBreakPreview" zoomScale="115" zoomScaleNormal="100" zoomScaleSheetLayoutView="115" workbookViewId="0">
      <selection activeCell="N30" sqref="N30"/>
    </sheetView>
  </sheetViews>
  <sheetFormatPr defaultColWidth="9.140625" defaultRowHeight="15"/>
  <cols>
    <col min="1" max="1" width="13.42578125" style="1107" customWidth="1"/>
    <col min="2" max="4" width="18.140625" style="1107" hidden="1" customWidth="1"/>
    <col min="5" max="8" width="18.140625" style="1107" customWidth="1"/>
    <col min="9" max="11" width="18.140625" style="1107" hidden="1" customWidth="1"/>
    <col min="12" max="15" width="18.140625" style="1107" customWidth="1"/>
    <col min="16" max="16" width="5.140625" style="1107" customWidth="1"/>
    <col min="17" max="16384" width="9.140625" style="1107"/>
  </cols>
  <sheetData>
    <row r="1" spans="1:15" ht="11.25" customHeight="1"/>
    <row r="2" spans="1:15" ht="17.25" customHeight="1">
      <c r="A2" s="2789" t="s">
        <v>3231</v>
      </c>
      <c r="B2" s="2789"/>
      <c r="C2" s="2789"/>
      <c r="D2" s="2789"/>
      <c r="E2" s="2789"/>
      <c r="F2" s="2789"/>
      <c r="G2" s="2789"/>
      <c r="H2" s="2789"/>
      <c r="I2" s="2789"/>
      <c r="J2" s="2789"/>
      <c r="K2" s="2789"/>
      <c r="L2" s="2789"/>
      <c r="M2" s="2789"/>
      <c r="N2" s="2789"/>
      <c r="O2" s="2789"/>
    </row>
    <row r="3" spans="1:15" ht="17.25" customHeight="1">
      <c r="A3" s="2790" t="s">
        <v>3232</v>
      </c>
      <c r="B3" s="2790"/>
      <c r="C3" s="2790"/>
      <c r="D3" s="2790"/>
      <c r="E3" s="2790"/>
      <c r="F3" s="2790"/>
      <c r="G3" s="2790"/>
      <c r="H3" s="2790"/>
      <c r="I3" s="2790"/>
      <c r="J3" s="2790"/>
      <c r="K3" s="2790"/>
      <c r="L3" s="2790"/>
      <c r="M3" s="2790"/>
      <c r="N3" s="2790"/>
      <c r="O3" s="2790"/>
    </row>
    <row r="4" spans="1:15" ht="9" customHeight="1">
      <c r="A4" s="1108"/>
    </row>
    <row r="5" spans="1:15" ht="12" customHeight="1">
      <c r="A5" s="1109"/>
      <c r="B5" s="1109"/>
      <c r="C5" s="1109"/>
      <c r="D5" s="1109"/>
      <c r="E5" s="1109"/>
      <c r="F5" s="1109"/>
      <c r="G5" s="1109"/>
      <c r="H5" s="1109"/>
      <c r="I5" s="1109"/>
      <c r="J5" s="1109"/>
      <c r="K5" s="1109"/>
      <c r="L5" s="1109"/>
      <c r="M5" s="1109"/>
      <c r="N5" s="1109"/>
      <c r="O5" s="1109"/>
    </row>
    <row r="6" spans="1:15" ht="12" customHeight="1">
      <c r="A6" s="1110"/>
      <c r="B6" s="1110"/>
      <c r="C6" s="1110"/>
      <c r="D6" s="1110"/>
      <c r="E6" s="1110"/>
      <c r="F6" s="1110"/>
      <c r="G6" s="1110"/>
      <c r="H6" s="1110"/>
      <c r="I6" s="1110"/>
      <c r="J6" s="1110"/>
      <c r="K6" s="1110"/>
      <c r="L6" s="1110"/>
      <c r="M6" s="1110"/>
      <c r="N6" s="1110"/>
      <c r="O6" s="1110"/>
    </row>
    <row r="7" spans="1:15" ht="25.5" customHeight="1">
      <c r="A7" s="2791" t="s">
        <v>3003</v>
      </c>
      <c r="B7" s="2794" t="s">
        <v>3004</v>
      </c>
      <c r="C7" s="2794"/>
      <c r="D7" s="2794"/>
      <c r="E7" s="2794"/>
      <c r="F7" s="2794"/>
      <c r="G7" s="2794"/>
      <c r="H7" s="2794"/>
      <c r="I7" s="2794" t="s">
        <v>3005</v>
      </c>
      <c r="J7" s="2794"/>
      <c r="K7" s="2794"/>
      <c r="L7" s="2794"/>
      <c r="M7" s="2794"/>
      <c r="N7" s="2794"/>
      <c r="O7" s="2794"/>
    </row>
    <row r="8" spans="1:15" ht="25.5" customHeight="1">
      <c r="A8" s="2792"/>
      <c r="B8" s="2795" t="s">
        <v>3006</v>
      </c>
      <c r="C8" s="2796"/>
      <c r="D8" s="2796"/>
      <c r="E8" s="2796"/>
      <c r="F8" s="2796"/>
      <c r="G8" s="2796"/>
      <c r="H8" s="2797"/>
      <c r="I8" s="2795" t="s">
        <v>3007</v>
      </c>
      <c r="J8" s="2796"/>
      <c r="K8" s="2796"/>
      <c r="L8" s="2796"/>
      <c r="M8" s="2796"/>
      <c r="N8" s="2796"/>
      <c r="O8" s="2797"/>
    </row>
    <row r="9" spans="1:15" ht="23.25" customHeight="1">
      <c r="A9" s="2793"/>
      <c r="B9" s="1111">
        <v>2020</v>
      </c>
      <c r="C9" s="1111">
        <v>2021</v>
      </c>
      <c r="D9" s="1111">
        <v>2022</v>
      </c>
      <c r="E9" s="1111">
        <v>2023</v>
      </c>
      <c r="F9" s="1111">
        <v>2024</v>
      </c>
      <c r="G9" s="1111">
        <v>2025</v>
      </c>
      <c r="H9" s="1111">
        <v>2026</v>
      </c>
      <c r="I9" s="1111">
        <v>2020</v>
      </c>
      <c r="J9" s="1111">
        <v>2021</v>
      </c>
      <c r="K9" s="1111">
        <v>2022</v>
      </c>
      <c r="L9" s="1111">
        <v>2023</v>
      </c>
      <c r="M9" s="1111">
        <v>2024</v>
      </c>
      <c r="N9" s="1111">
        <v>2025</v>
      </c>
      <c r="O9" s="1111">
        <v>2026</v>
      </c>
    </row>
    <row r="10" spans="1:15" ht="15.75">
      <c r="A10" s="1112" t="s">
        <v>18</v>
      </c>
      <c r="B10" s="1113">
        <v>314</v>
      </c>
      <c r="C10" s="1114">
        <v>1384</v>
      </c>
      <c r="D10" s="1114">
        <v>2452</v>
      </c>
      <c r="E10" s="1995">
        <v>4084</v>
      </c>
      <c r="F10" s="1995">
        <v>7287</v>
      </c>
      <c r="G10" s="1995">
        <v>14489</v>
      </c>
      <c r="H10" s="1994">
        <v>16819</v>
      </c>
      <c r="I10" s="1996">
        <v>377</v>
      </c>
      <c r="J10" s="1997">
        <v>1010</v>
      </c>
      <c r="K10" s="1997">
        <v>1165</v>
      </c>
      <c r="L10" s="1995">
        <v>2024</v>
      </c>
      <c r="M10" s="1995">
        <v>3130</v>
      </c>
      <c r="N10" s="1995">
        <v>4874</v>
      </c>
      <c r="O10" s="1994">
        <v>3540722</v>
      </c>
    </row>
    <row r="11" spans="1:15" ht="15.75">
      <c r="A11" s="1116" t="s">
        <v>19</v>
      </c>
      <c r="B11" s="1115">
        <v>700</v>
      </c>
      <c r="C11" s="1117">
        <v>1422</v>
      </c>
      <c r="D11" s="1117">
        <v>2916</v>
      </c>
      <c r="E11" s="1998">
        <v>4440</v>
      </c>
      <c r="F11" s="1998">
        <v>7926</v>
      </c>
      <c r="G11" s="1998">
        <v>15055</v>
      </c>
      <c r="H11" s="1999">
        <v>18545</v>
      </c>
      <c r="I11" s="1996">
        <v>808</v>
      </c>
      <c r="J11" s="1998">
        <v>1255</v>
      </c>
      <c r="K11" s="1998">
        <v>1495</v>
      </c>
      <c r="L11" s="1998">
        <v>1973</v>
      </c>
      <c r="M11" s="1998">
        <v>2956</v>
      </c>
      <c r="N11" s="1998">
        <v>4024</v>
      </c>
      <c r="O11" s="1999">
        <v>5143274</v>
      </c>
    </row>
    <row r="12" spans="1:15" ht="15.75">
      <c r="A12" s="1116" t="s">
        <v>20</v>
      </c>
      <c r="B12" s="1115">
        <v>352</v>
      </c>
      <c r="C12" s="1117">
        <v>2100</v>
      </c>
      <c r="D12" s="1117">
        <v>3001</v>
      </c>
      <c r="E12" s="1998">
        <v>4284</v>
      </c>
      <c r="F12" s="1998">
        <v>7620</v>
      </c>
      <c r="G12" s="1998">
        <v>11049</v>
      </c>
      <c r="H12" s="1999">
        <v>19826</v>
      </c>
      <c r="I12" s="1996">
        <v>610</v>
      </c>
      <c r="J12" s="1998">
        <v>1548</v>
      </c>
      <c r="K12" s="1998">
        <v>1628</v>
      </c>
      <c r="L12" s="1998">
        <v>2540</v>
      </c>
      <c r="M12" s="1998">
        <v>2597</v>
      </c>
      <c r="N12" s="1998">
        <v>2693</v>
      </c>
      <c r="O12" s="1999">
        <v>8851037</v>
      </c>
    </row>
    <row r="13" spans="1:15" ht="15.75">
      <c r="A13" s="1116" t="s">
        <v>21</v>
      </c>
      <c r="B13" s="1115">
        <v>193</v>
      </c>
      <c r="C13" s="1117">
        <v>2813</v>
      </c>
      <c r="D13" s="1117">
        <v>3404</v>
      </c>
      <c r="E13" s="1998">
        <v>5176</v>
      </c>
      <c r="F13" s="1998">
        <v>9550</v>
      </c>
      <c r="G13" s="1998">
        <v>17923</v>
      </c>
      <c r="H13" s="1999">
        <v>22774</v>
      </c>
      <c r="I13" s="1996">
        <v>324</v>
      </c>
      <c r="J13" s="1998">
        <v>1835</v>
      </c>
      <c r="K13" s="1998">
        <v>1935</v>
      </c>
      <c r="L13" s="1998">
        <v>2312</v>
      </c>
      <c r="M13" s="1998">
        <v>3338</v>
      </c>
      <c r="N13" s="1998">
        <v>5952</v>
      </c>
      <c r="O13" s="1999">
        <v>8783129</v>
      </c>
    </row>
    <row r="14" spans="1:15" ht="15.75">
      <c r="A14" s="1116" t="s">
        <v>22</v>
      </c>
      <c r="B14" s="1115">
        <v>319</v>
      </c>
      <c r="C14" s="1117">
        <v>2466</v>
      </c>
      <c r="D14" s="1117">
        <v>3033</v>
      </c>
      <c r="E14" s="1998">
        <v>5807</v>
      </c>
      <c r="F14" s="1998">
        <v>11549</v>
      </c>
      <c r="G14" s="1998">
        <v>15633</v>
      </c>
      <c r="H14" s="1999">
        <v>18119</v>
      </c>
      <c r="I14" s="1996">
        <v>372</v>
      </c>
      <c r="J14" s="1998">
        <v>1609</v>
      </c>
      <c r="K14" s="1998">
        <v>1716</v>
      </c>
      <c r="L14" s="1998">
        <v>2286</v>
      </c>
      <c r="M14" s="1998">
        <v>3480</v>
      </c>
      <c r="N14" s="1998">
        <v>3621</v>
      </c>
      <c r="O14" s="1999">
        <v>9907333</v>
      </c>
    </row>
    <row r="15" spans="1:15" ht="15.75">
      <c r="A15" s="1116" t="s">
        <v>23</v>
      </c>
      <c r="B15" s="1115">
        <v>429</v>
      </c>
      <c r="C15" s="1117">
        <v>2596</v>
      </c>
      <c r="D15" s="1117">
        <v>3127</v>
      </c>
      <c r="E15" s="1998">
        <v>5998</v>
      </c>
      <c r="F15" s="1998">
        <v>8340</v>
      </c>
      <c r="G15" s="1998">
        <v>11665</v>
      </c>
      <c r="H15" s="1999">
        <v>21442</v>
      </c>
      <c r="I15" s="1996">
        <v>407</v>
      </c>
      <c r="J15" s="1998">
        <v>1668</v>
      </c>
      <c r="K15" s="1998">
        <v>1737</v>
      </c>
      <c r="L15" s="1998">
        <v>3597</v>
      </c>
      <c r="M15" s="1998">
        <v>4222</v>
      </c>
      <c r="N15" s="1998">
        <v>3330</v>
      </c>
      <c r="O15" s="1999">
        <v>9537943</v>
      </c>
    </row>
    <row r="16" spans="1:15" ht="15.75">
      <c r="A16" s="1116" t="s">
        <v>24</v>
      </c>
      <c r="B16" s="1115">
        <v>682</v>
      </c>
      <c r="C16" s="1117">
        <v>2482</v>
      </c>
      <c r="D16" s="1117">
        <v>2750</v>
      </c>
      <c r="E16" s="1998">
        <v>9830</v>
      </c>
      <c r="F16" s="1998">
        <v>14123</v>
      </c>
      <c r="G16" s="1998">
        <v>15269</v>
      </c>
      <c r="H16" s="1999"/>
      <c r="I16" s="1996">
        <v>854</v>
      </c>
      <c r="J16" s="1998">
        <v>1618</v>
      </c>
      <c r="K16" s="1998">
        <v>2133</v>
      </c>
      <c r="L16" s="1998">
        <v>8965</v>
      </c>
      <c r="M16" s="1998">
        <v>4003</v>
      </c>
      <c r="N16" s="1998">
        <v>3879</v>
      </c>
      <c r="O16" s="1999"/>
    </row>
    <row r="17" spans="1:15" ht="15.75">
      <c r="A17" s="1116" t="s">
        <v>25</v>
      </c>
      <c r="B17" s="1115">
        <v>1051</v>
      </c>
      <c r="C17" s="1117">
        <v>3178</v>
      </c>
      <c r="D17" s="1117">
        <v>3476</v>
      </c>
      <c r="E17" s="1998">
        <v>8803</v>
      </c>
      <c r="F17" s="1998">
        <v>14522</v>
      </c>
      <c r="G17" s="1998">
        <v>14756</v>
      </c>
      <c r="H17" s="1999"/>
      <c r="I17" s="1996">
        <v>993</v>
      </c>
      <c r="J17" s="1998">
        <v>1639</v>
      </c>
      <c r="K17" s="1998">
        <v>2292</v>
      </c>
      <c r="L17" s="1998">
        <v>3293</v>
      </c>
      <c r="M17" s="1998">
        <v>4309</v>
      </c>
      <c r="N17" s="1998">
        <v>3176</v>
      </c>
      <c r="O17" s="1999"/>
    </row>
    <row r="18" spans="1:15" ht="15.75">
      <c r="A18" s="1116" t="s">
        <v>26</v>
      </c>
      <c r="B18" s="1115">
        <v>1782</v>
      </c>
      <c r="C18" s="1117">
        <v>2919</v>
      </c>
      <c r="D18" s="1117">
        <v>4136</v>
      </c>
      <c r="E18" s="1998">
        <v>7214</v>
      </c>
      <c r="F18" s="1998">
        <v>13669</v>
      </c>
      <c r="G18" s="1998">
        <v>16958</v>
      </c>
      <c r="H18" s="1999"/>
      <c r="I18" s="1996">
        <v>1238</v>
      </c>
      <c r="J18" s="1998">
        <v>1722</v>
      </c>
      <c r="K18" s="1998">
        <v>2699</v>
      </c>
      <c r="L18" s="1998">
        <v>2302</v>
      </c>
      <c r="M18" s="1998">
        <v>3686</v>
      </c>
      <c r="N18" s="1998">
        <v>3882</v>
      </c>
      <c r="O18" s="1999"/>
    </row>
    <row r="19" spans="1:15" ht="15.75">
      <c r="A19" s="1116" t="s">
        <v>27</v>
      </c>
      <c r="B19" s="1115">
        <v>1660</v>
      </c>
      <c r="C19" s="1117">
        <v>2981</v>
      </c>
      <c r="D19" s="1117">
        <v>6097</v>
      </c>
      <c r="E19" s="1998">
        <v>6494</v>
      </c>
      <c r="F19" s="1998">
        <v>16807</v>
      </c>
      <c r="G19" s="1998">
        <v>19179</v>
      </c>
      <c r="H19" s="1999"/>
      <c r="I19" s="1996">
        <v>1285</v>
      </c>
      <c r="J19" s="1998">
        <v>1636</v>
      </c>
      <c r="K19" s="1998">
        <v>2867</v>
      </c>
      <c r="L19" s="1998">
        <v>2603</v>
      </c>
      <c r="M19" s="1998">
        <v>3245</v>
      </c>
      <c r="N19" s="1998">
        <v>4319</v>
      </c>
      <c r="O19" s="1999"/>
    </row>
    <row r="20" spans="1:15" ht="15.75">
      <c r="A20" s="1116" t="s">
        <v>28</v>
      </c>
      <c r="B20" s="1115">
        <v>1327</v>
      </c>
      <c r="C20" s="1117">
        <v>2882</v>
      </c>
      <c r="D20" s="1117">
        <v>5562</v>
      </c>
      <c r="E20" s="1998">
        <v>15527</v>
      </c>
      <c r="F20" s="1998">
        <v>14765</v>
      </c>
      <c r="G20" s="1998">
        <v>16619</v>
      </c>
      <c r="H20" s="1999"/>
      <c r="I20" s="1996">
        <v>1162</v>
      </c>
      <c r="J20" s="1998">
        <v>1486</v>
      </c>
      <c r="K20" s="1998">
        <v>2179</v>
      </c>
      <c r="L20" s="1998">
        <v>2521</v>
      </c>
      <c r="M20" s="1998">
        <v>3582</v>
      </c>
      <c r="N20" s="1998">
        <v>38316</v>
      </c>
      <c r="O20" s="1999"/>
    </row>
    <row r="21" spans="1:15" ht="15.75">
      <c r="A21" s="1116" t="s">
        <v>29</v>
      </c>
      <c r="B21" s="1115">
        <v>1772</v>
      </c>
      <c r="C21" s="1117">
        <v>2924</v>
      </c>
      <c r="D21" s="1117">
        <v>7470</v>
      </c>
      <c r="E21" s="1998">
        <v>12936</v>
      </c>
      <c r="F21" s="1998">
        <v>20848</v>
      </c>
      <c r="G21" s="1998">
        <v>20281</v>
      </c>
      <c r="H21" s="1999"/>
      <c r="I21" s="1996">
        <v>1451</v>
      </c>
      <c r="J21" s="1998">
        <v>1773</v>
      </c>
      <c r="K21" s="1998">
        <v>3762</v>
      </c>
      <c r="L21" s="1998">
        <v>3252</v>
      </c>
      <c r="M21" s="1998">
        <v>10786</v>
      </c>
      <c r="N21" s="1998">
        <v>175284</v>
      </c>
      <c r="O21" s="1999"/>
    </row>
    <row r="22" spans="1:15" ht="21" customHeight="1">
      <c r="A22" s="1118" t="s">
        <v>3008</v>
      </c>
      <c r="B22" s="1119">
        <f t="shared" ref="B22:F22" si="0">SUM(B10:B21)</f>
        <v>10581</v>
      </c>
      <c r="C22" s="1120">
        <f t="shared" si="0"/>
        <v>30147</v>
      </c>
      <c r="D22" s="1120">
        <f t="shared" si="0"/>
        <v>47424</v>
      </c>
      <c r="E22" s="2000">
        <f t="shared" si="0"/>
        <v>90593</v>
      </c>
      <c r="F22" s="2000">
        <f t="shared" si="0"/>
        <v>147006</v>
      </c>
      <c r="G22" s="2000">
        <f>SUM(G10:G21)</f>
        <v>188876</v>
      </c>
      <c r="H22" s="2001">
        <f>SUM(H10:H21)</f>
        <v>117525</v>
      </c>
      <c r="I22" s="2002">
        <f t="shared" ref="I22:J22" si="1">SUM(I10:I21)</f>
        <v>9881</v>
      </c>
      <c r="J22" s="2000">
        <f t="shared" si="1"/>
        <v>18799</v>
      </c>
      <c r="K22" s="2000">
        <f>SUM(K10:K21)</f>
        <v>25608</v>
      </c>
      <c r="L22" s="2000">
        <f>SUM(L10:L21)</f>
        <v>37668</v>
      </c>
      <c r="M22" s="2000">
        <f>SUM(M10:M21)</f>
        <v>49334</v>
      </c>
      <c r="N22" s="2000">
        <f>SUM(N10:N21)</f>
        <v>253350</v>
      </c>
      <c r="O22" s="2001">
        <f>SUM(O10:O21)</f>
        <v>45763438</v>
      </c>
    </row>
    <row r="23" spans="1:15" ht="42" customHeight="1">
      <c r="A23" s="2798" t="s">
        <v>3009</v>
      </c>
      <c r="B23" s="2798"/>
      <c r="C23" s="2798"/>
      <c r="D23" s="2798"/>
      <c r="E23" s="2798"/>
      <c r="F23" s="2798"/>
      <c r="G23" s="2798"/>
      <c r="H23" s="2798"/>
      <c r="I23" s="2798"/>
      <c r="J23" s="2798"/>
      <c r="K23" s="2798"/>
      <c r="L23" s="2798"/>
      <c r="M23" s="2798"/>
      <c r="N23" s="2798"/>
      <c r="O23" s="2798"/>
    </row>
    <row r="24" spans="1:15" s="1121" customFormat="1" ht="15.75" customHeight="1">
      <c r="A24" s="2798" t="s">
        <v>3010</v>
      </c>
      <c r="B24" s="2798"/>
      <c r="C24" s="2798"/>
      <c r="D24" s="2798"/>
      <c r="E24" s="2798"/>
      <c r="F24" s="2798"/>
      <c r="G24" s="2798"/>
      <c r="H24" s="2798"/>
      <c r="I24" s="2798"/>
      <c r="J24" s="2798"/>
      <c r="K24" s="2798"/>
      <c r="L24" s="2798"/>
      <c r="M24" s="2798"/>
      <c r="N24" s="2798"/>
      <c r="O24" s="2798"/>
    </row>
    <row r="25" spans="1:15" s="1121" customFormat="1">
      <c r="A25" s="2788"/>
      <c r="B25" s="2788"/>
      <c r="C25" s="2788"/>
      <c r="D25" s="2788"/>
      <c r="E25" s="2788"/>
      <c r="F25" s="2788"/>
      <c r="G25" s="2788"/>
      <c r="H25" s="2788"/>
      <c r="I25" s="2788"/>
      <c r="J25" s="2788"/>
      <c r="K25" s="2788"/>
      <c r="L25" s="2788"/>
      <c r="M25" s="2788"/>
      <c r="N25" s="2788"/>
      <c r="O25" s="2788"/>
    </row>
    <row r="26" spans="1:15">
      <c r="A26" s="2788"/>
      <c r="B26" s="2788"/>
      <c r="C26" s="2788"/>
      <c r="D26" s="2788"/>
      <c r="E26" s="2788"/>
      <c r="F26" s="2788"/>
      <c r="G26" s="2788"/>
      <c r="H26" s="2788"/>
      <c r="I26" s="2788"/>
      <c r="J26" s="2788"/>
      <c r="K26" s="2788"/>
      <c r="L26" s="2788"/>
      <c r="M26" s="2788"/>
      <c r="N26" s="2788"/>
      <c r="O26" s="2788"/>
    </row>
    <row r="27" spans="1:15">
      <c r="A27" s="2788"/>
      <c r="B27" s="2788"/>
      <c r="C27" s="2788"/>
      <c r="D27" s="2788"/>
      <c r="E27" s="2788"/>
      <c r="F27" s="2788"/>
      <c r="G27" s="2788"/>
      <c r="H27" s="2788"/>
      <c r="I27" s="2788"/>
      <c r="J27" s="2788"/>
      <c r="K27" s="2788"/>
      <c r="L27" s="2788"/>
      <c r="M27" s="2788"/>
      <c r="N27" s="2788"/>
      <c r="O27" s="2788"/>
    </row>
    <row r="28" spans="1:15" s="1121" customFormat="1">
      <c r="A28" s="2788"/>
      <c r="B28" s="2788"/>
      <c r="C28" s="2788"/>
      <c r="D28" s="2788"/>
      <c r="E28" s="2788"/>
      <c r="F28" s="2788"/>
      <c r="G28" s="2788"/>
      <c r="H28" s="2788"/>
      <c r="I28" s="2788"/>
      <c r="J28" s="2788"/>
      <c r="K28" s="2788"/>
      <c r="L28" s="2788"/>
      <c r="M28" s="2788"/>
      <c r="N28" s="2788"/>
      <c r="O28" s="2788"/>
    </row>
    <row r="29" spans="1:15">
      <c r="A29" s="2788"/>
      <c r="B29" s="2788"/>
      <c r="C29" s="2788"/>
      <c r="D29" s="2788"/>
      <c r="E29" s="2788"/>
      <c r="F29" s="2788"/>
      <c r="G29" s="2788"/>
      <c r="H29" s="2788"/>
      <c r="I29" s="2788"/>
      <c r="J29" s="2788"/>
      <c r="K29" s="2788"/>
      <c r="L29" s="2788"/>
      <c r="M29" s="2788"/>
      <c r="N29" s="2788"/>
      <c r="O29" s="2788"/>
    </row>
  </sheetData>
  <mergeCells count="13">
    <mergeCell ref="A29:O29"/>
    <mergeCell ref="A2:O2"/>
    <mergeCell ref="A3:O3"/>
    <mergeCell ref="A7:A9"/>
    <mergeCell ref="B7:H7"/>
    <mergeCell ref="I7:O7"/>
    <mergeCell ref="B8:H8"/>
    <mergeCell ref="I8:O8"/>
    <mergeCell ref="A23:O23"/>
    <mergeCell ref="A24:O24"/>
    <mergeCell ref="A25:O25"/>
    <mergeCell ref="A26:O27"/>
    <mergeCell ref="A28:O28"/>
  </mergeCells>
  <pageMargins left="0.7" right="0.7" top="0.75" bottom="0.75" header="0.3" footer="0.3"/>
  <pageSetup scale="46" orientation="portrait" horizontalDpi="4294967295" verticalDpi="4294967295" r:id="rId1"/>
  <ignoredErrors>
    <ignoredError sqref="E22:O22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CEE4-C8E4-4D8F-814A-EE80D65F6DA5}">
  <sheetPr codeName="Sheet6">
    <tabColor rgb="FF92D050"/>
  </sheetPr>
  <dimension ref="A1:CG195"/>
  <sheetViews>
    <sheetView showGridLines="0" view="pageBreakPreview" zoomScaleNormal="100" zoomScaleSheetLayoutView="100" workbookViewId="0">
      <pane ySplit="17" topLeftCell="A178" activePane="bottomLeft" state="frozen"/>
      <selection activeCell="F40" sqref="F40"/>
      <selection pane="bottomLeft" activeCell="F40" sqref="F40"/>
    </sheetView>
  </sheetViews>
  <sheetFormatPr defaultColWidth="8.85546875" defaultRowHeight="12.75"/>
  <cols>
    <col min="1" max="1" width="10.7109375" style="1915" customWidth="1"/>
    <col min="2" max="2" width="12.42578125" style="1753" customWidth="1"/>
    <col min="3" max="3" width="16" style="1916" customWidth="1"/>
    <col min="4" max="4" width="15.42578125" style="1753" customWidth="1"/>
    <col min="5" max="5" width="16" style="1916" customWidth="1"/>
    <col min="6" max="6" width="14.42578125" style="1753" customWidth="1"/>
    <col min="7" max="7" width="16" style="1916" customWidth="1"/>
    <col min="8" max="8" width="12.42578125" style="1753" customWidth="1"/>
    <col min="9" max="9" width="16" style="1916" customWidth="1"/>
    <col min="10" max="10" width="15.42578125" style="1753" customWidth="1"/>
    <col min="11" max="11" width="16" style="1916" customWidth="1"/>
    <col min="12" max="12" width="14.42578125" style="1753" customWidth="1"/>
    <col min="13" max="13" width="16" style="1916" customWidth="1"/>
    <col min="14" max="14" width="12.42578125" style="1753" customWidth="1"/>
    <col min="15" max="15" width="15.42578125" style="1753" customWidth="1"/>
    <col min="16" max="16" width="14.42578125" style="1753" customWidth="1"/>
    <col min="17" max="79" width="8.85546875" style="1753" customWidth="1"/>
    <col min="80" max="80" width="8.85546875" style="1753" hidden="1" customWidth="1"/>
    <col min="81" max="16384" width="8.85546875" style="1753"/>
  </cols>
  <sheetData>
    <row r="1" spans="1:85" ht="12.75" customHeight="1">
      <c r="A1" s="1897"/>
      <c r="B1" s="1898"/>
      <c r="C1" s="1899"/>
      <c r="D1" s="1898"/>
      <c r="E1" s="1899"/>
      <c r="F1" s="1898"/>
      <c r="G1" s="1899"/>
      <c r="H1" s="1898"/>
      <c r="I1" s="1899"/>
      <c r="J1" s="1898"/>
      <c r="K1" s="1899"/>
      <c r="L1" s="1898"/>
      <c r="M1" s="1899"/>
      <c r="N1" s="2125"/>
      <c r="O1" s="2125"/>
      <c r="P1" s="2126"/>
    </row>
    <row r="2" spans="1:85" s="1900" customFormat="1" ht="20.25" customHeight="1">
      <c r="A2" s="2127" t="s">
        <v>2708</v>
      </c>
      <c r="B2" s="2128"/>
      <c r="C2" s="2128"/>
      <c r="D2" s="2128"/>
      <c r="E2" s="2128"/>
      <c r="F2" s="2128"/>
      <c r="G2" s="2128"/>
      <c r="H2" s="2128"/>
      <c r="I2" s="2128"/>
      <c r="J2" s="2128"/>
      <c r="K2" s="2128"/>
      <c r="L2" s="2128"/>
      <c r="M2" s="2128"/>
      <c r="N2" s="2128"/>
      <c r="O2" s="2128"/>
      <c r="P2" s="2129"/>
    </row>
    <row r="3" spans="1:85" s="1900" customFormat="1" ht="25.5" customHeight="1">
      <c r="A3" s="2130" t="s">
        <v>2709</v>
      </c>
      <c r="B3" s="2131"/>
      <c r="C3" s="2131"/>
      <c r="D3" s="2131"/>
      <c r="E3" s="2131"/>
      <c r="F3" s="2131"/>
      <c r="G3" s="2131"/>
      <c r="H3" s="2131"/>
      <c r="I3" s="2131"/>
      <c r="J3" s="2131"/>
      <c r="K3" s="2131"/>
      <c r="L3" s="2131"/>
      <c r="M3" s="2131"/>
      <c r="N3" s="2131"/>
      <c r="O3" s="2131"/>
      <c r="P3" s="2132"/>
    </row>
    <row r="4" spans="1:85" s="1900" customFormat="1" ht="16.5" customHeight="1">
      <c r="A4" s="1901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1902"/>
    </row>
    <row r="5" spans="1:85" ht="16.5" customHeight="1">
      <c r="A5" s="2133"/>
      <c r="B5" s="2134"/>
      <c r="C5" s="2134"/>
      <c r="D5" s="2134"/>
      <c r="E5" s="2134"/>
      <c r="F5" s="2134"/>
      <c r="G5" s="2134"/>
      <c r="H5" s="2134"/>
      <c r="I5" s="2134"/>
      <c r="J5" s="2134"/>
      <c r="K5" s="2134"/>
      <c r="L5" s="2134"/>
      <c r="M5" s="2134"/>
      <c r="N5" s="2135" t="s">
        <v>2671</v>
      </c>
      <c r="O5" s="2135"/>
      <c r="P5" s="2136"/>
      <c r="CC5" s="1903"/>
      <c r="CD5" s="1903"/>
      <c r="CE5" s="1903"/>
      <c r="CF5" s="1903"/>
      <c r="CG5" s="1903"/>
    </row>
    <row r="6" spans="1:85" s="1903" customFormat="1" ht="18.75" customHeight="1">
      <c r="A6" s="2113" t="s">
        <v>182</v>
      </c>
      <c r="B6" s="2116" t="s">
        <v>1063</v>
      </c>
      <c r="C6" s="2117"/>
      <c r="D6" s="2117"/>
      <c r="E6" s="2117"/>
      <c r="F6" s="2117"/>
      <c r="G6" s="2118"/>
      <c r="H6" s="2116" t="s">
        <v>1064</v>
      </c>
      <c r="I6" s="2117"/>
      <c r="J6" s="2117"/>
      <c r="K6" s="2117"/>
      <c r="L6" s="2117"/>
      <c r="M6" s="2118"/>
      <c r="N6" s="2116" t="s">
        <v>96</v>
      </c>
      <c r="O6" s="2117"/>
      <c r="P6" s="2118"/>
      <c r="BY6" s="1903">
        <f>BY8+BY18+BY28+BY36</f>
        <v>0</v>
      </c>
    </row>
    <row r="7" spans="1:85" s="1903" customFormat="1" ht="13.15" customHeight="1">
      <c r="A7" s="2114"/>
      <c r="B7" s="2119" t="s">
        <v>155</v>
      </c>
      <c r="C7" s="2110" t="s">
        <v>2078</v>
      </c>
      <c r="D7" s="2116" t="s">
        <v>122</v>
      </c>
      <c r="E7" s="2117"/>
      <c r="F7" s="2117"/>
      <c r="G7" s="2118"/>
      <c r="H7" s="2119" t="s">
        <v>155</v>
      </c>
      <c r="I7" s="2110" t="s">
        <v>2078</v>
      </c>
      <c r="J7" s="2116" t="s">
        <v>122</v>
      </c>
      <c r="K7" s="2117"/>
      <c r="L7" s="2117"/>
      <c r="M7" s="2118"/>
      <c r="N7" s="2119" t="s">
        <v>155</v>
      </c>
      <c r="O7" s="2116" t="s">
        <v>122</v>
      </c>
      <c r="P7" s="2118"/>
    </row>
    <row r="8" spans="1:85" s="1903" customFormat="1" ht="13.15" customHeight="1">
      <c r="A8" s="2114"/>
      <c r="B8" s="2120"/>
      <c r="C8" s="2111"/>
      <c r="D8" s="2122" t="s">
        <v>97</v>
      </c>
      <c r="E8" s="2110" t="s">
        <v>2078</v>
      </c>
      <c r="F8" s="2122" t="s">
        <v>98</v>
      </c>
      <c r="G8" s="2110" t="s">
        <v>2078</v>
      </c>
      <c r="H8" s="2120"/>
      <c r="I8" s="2111"/>
      <c r="J8" s="2122" t="s">
        <v>99</v>
      </c>
      <c r="K8" s="2110" t="s">
        <v>2078</v>
      </c>
      <c r="L8" s="2122" t="s">
        <v>1189</v>
      </c>
      <c r="M8" s="2110" t="s">
        <v>2078</v>
      </c>
      <c r="N8" s="2120"/>
      <c r="O8" s="2122" t="s">
        <v>100</v>
      </c>
      <c r="P8" s="2122" t="s">
        <v>101</v>
      </c>
    </row>
    <row r="9" spans="1:85" s="1903" customFormat="1">
      <c r="A9" s="2114"/>
      <c r="B9" s="2120"/>
      <c r="C9" s="2111"/>
      <c r="D9" s="2123"/>
      <c r="E9" s="2111"/>
      <c r="F9" s="2123"/>
      <c r="G9" s="2111"/>
      <c r="H9" s="2120"/>
      <c r="I9" s="2111"/>
      <c r="J9" s="2123"/>
      <c r="K9" s="2111"/>
      <c r="L9" s="2123"/>
      <c r="M9" s="2111"/>
      <c r="N9" s="2120"/>
      <c r="O9" s="2123"/>
      <c r="P9" s="2123"/>
    </row>
    <row r="10" spans="1:85" s="1903" customFormat="1">
      <c r="A10" s="2114"/>
      <c r="B10" s="2120"/>
      <c r="C10" s="2111"/>
      <c r="D10" s="2123"/>
      <c r="E10" s="2111"/>
      <c r="F10" s="2123"/>
      <c r="G10" s="2111"/>
      <c r="H10" s="2120"/>
      <c r="I10" s="2111"/>
      <c r="J10" s="2123"/>
      <c r="K10" s="2111"/>
      <c r="L10" s="2123"/>
      <c r="M10" s="2111"/>
      <c r="N10" s="2120"/>
      <c r="O10" s="2123"/>
      <c r="P10" s="2123"/>
    </row>
    <row r="11" spans="1:85" s="1903" customFormat="1">
      <c r="A11" s="2114"/>
      <c r="B11" s="2120"/>
      <c r="C11" s="2111"/>
      <c r="D11" s="2123"/>
      <c r="E11" s="2111"/>
      <c r="F11" s="2123"/>
      <c r="G11" s="2111"/>
      <c r="H11" s="2120"/>
      <c r="I11" s="2111"/>
      <c r="J11" s="2123"/>
      <c r="K11" s="2111"/>
      <c r="L11" s="2123"/>
      <c r="M11" s="2111"/>
      <c r="N11" s="2120"/>
      <c r="O11" s="2123"/>
      <c r="P11" s="2123"/>
      <c r="CC11" s="1753"/>
      <c r="CD11" s="1753"/>
      <c r="CE11" s="1753"/>
      <c r="CF11" s="1753"/>
      <c r="CG11" s="1753"/>
    </row>
    <row r="12" spans="1:85" s="1903" customFormat="1" ht="12" customHeight="1">
      <c r="A12" s="2115"/>
      <c r="B12" s="2121"/>
      <c r="C12" s="2112"/>
      <c r="D12" s="2124"/>
      <c r="E12" s="2112"/>
      <c r="F12" s="2124"/>
      <c r="G12" s="2112"/>
      <c r="H12" s="2121"/>
      <c r="I12" s="2112"/>
      <c r="J12" s="2124"/>
      <c r="K12" s="2112"/>
      <c r="L12" s="2124"/>
      <c r="M12" s="2112"/>
      <c r="N12" s="2121"/>
      <c r="O12" s="2124"/>
      <c r="P12" s="2124"/>
      <c r="CC12" s="1753"/>
      <c r="CD12" s="1753"/>
      <c r="CE12" s="1753"/>
      <c r="CF12" s="1753"/>
      <c r="CG12" s="1753"/>
    </row>
    <row r="13" spans="1:85">
      <c r="A13" s="2106" t="s">
        <v>283</v>
      </c>
      <c r="B13" s="2098" t="s">
        <v>102</v>
      </c>
      <c r="C13" s="2098"/>
      <c r="D13" s="2098"/>
      <c r="E13" s="2098"/>
      <c r="F13" s="2098"/>
      <c r="G13" s="2099"/>
      <c r="H13" s="2097" t="s">
        <v>103</v>
      </c>
      <c r="I13" s="2098"/>
      <c r="J13" s="2098"/>
      <c r="K13" s="2098"/>
      <c r="L13" s="2098"/>
      <c r="M13" s="2099"/>
      <c r="N13" s="2098" t="s">
        <v>104</v>
      </c>
      <c r="O13" s="2098"/>
      <c r="P13" s="2099"/>
    </row>
    <row r="14" spans="1:85" ht="13.15" customHeight="1">
      <c r="A14" s="2107"/>
      <c r="B14" s="2108" t="s">
        <v>105</v>
      </c>
      <c r="C14" s="2104" t="s">
        <v>2079</v>
      </c>
      <c r="D14" s="2097" t="s">
        <v>106</v>
      </c>
      <c r="E14" s="2098"/>
      <c r="F14" s="2098"/>
      <c r="G14" s="2099"/>
      <c r="H14" s="2108" t="s">
        <v>105</v>
      </c>
      <c r="I14" s="2104" t="s">
        <v>2079</v>
      </c>
      <c r="J14" s="2097" t="s">
        <v>106</v>
      </c>
      <c r="K14" s="2098"/>
      <c r="L14" s="2098"/>
      <c r="M14" s="2099"/>
      <c r="N14" s="2100" t="s">
        <v>105</v>
      </c>
      <c r="O14" s="2097" t="s">
        <v>106</v>
      </c>
      <c r="P14" s="2099"/>
    </row>
    <row r="15" spans="1:85" ht="13.15" customHeight="1">
      <c r="A15" s="2107"/>
      <c r="B15" s="2109"/>
      <c r="C15" s="2105"/>
      <c r="D15" s="2102" t="s">
        <v>107</v>
      </c>
      <c r="E15" s="2104" t="s">
        <v>2079</v>
      </c>
      <c r="F15" s="2102" t="s">
        <v>108</v>
      </c>
      <c r="G15" s="2104" t="s">
        <v>2079</v>
      </c>
      <c r="H15" s="2109"/>
      <c r="I15" s="2105"/>
      <c r="J15" s="2102" t="s">
        <v>109</v>
      </c>
      <c r="K15" s="2104" t="s">
        <v>2079</v>
      </c>
      <c r="L15" s="2102" t="s">
        <v>110</v>
      </c>
      <c r="M15" s="2104" t="s">
        <v>2079</v>
      </c>
      <c r="N15" s="2101"/>
      <c r="O15" s="2102" t="s">
        <v>111</v>
      </c>
      <c r="P15" s="2102" t="s">
        <v>112</v>
      </c>
    </row>
    <row r="16" spans="1:85">
      <c r="A16" s="2107"/>
      <c r="B16" s="2109"/>
      <c r="C16" s="2105"/>
      <c r="D16" s="2103"/>
      <c r="E16" s="2105"/>
      <c r="F16" s="2103"/>
      <c r="G16" s="2105"/>
      <c r="H16" s="2109"/>
      <c r="I16" s="2105"/>
      <c r="J16" s="2103"/>
      <c r="K16" s="2105"/>
      <c r="L16" s="2103"/>
      <c r="M16" s="2105"/>
      <c r="N16" s="2101"/>
      <c r="O16" s="2103"/>
      <c r="P16" s="2103"/>
    </row>
    <row r="17" spans="1:85">
      <c r="A17" s="2107"/>
      <c r="B17" s="2109"/>
      <c r="C17" s="2105"/>
      <c r="D17" s="2103"/>
      <c r="E17" s="2105"/>
      <c r="F17" s="2103"/>
      <c r="G17" s="2105"/>
      <c r="H17" s="2109"/>
      <c r="I17" s="2105"/>
      <c r="J17" s="2103"/>
      <c r="K17" s="2105"/>
      <c r="L17" s="2103"/>
      <c r="M17" s="2105"/>
      <c r="N17" s="2101"/>
      <c r="O17" s="2103"/>
      <c r="P17" s="2103"/>
    </row>
    <row r="18" spans="1:85">
      <c r="A18" s="1904"/>
      <c r="B18" s="1905"/>
      <c r="C18" s="1906"/>
      <c r="D18" s="1905"/>
      <c r="E18" s="1906"/>
      <c r="F18" s="1905"/>
      <c r="G18" s="1906"/>
      <c r="H18" s="1905"/>
      <c r="I18" s="1906"/>
      <c r="J18" s="1905"/>
      <c r="K18" s="1906"/>
      <c r="L18" s="1905"/>
      <c r="M18" s="1906"/>
      <c r="N18" s="1905"/>
      <c r="O18" s="1905"/>
      <c r="P18" s="1905"/>
    </row>
    <row r="19" spans="1:85">
      <c r="A19" s="311">
        <v>1995</v>
      </c>
      <c r="B19" s="1907">
        <v>612343</v>
      </c>
      <c r="C19" s="1908">
        <v>89.8</v>
      </c>
      <c r="D19" s="1907">
        <v>339297</v>
      </c>
      <c r="E19" s="1908">
        <v>93.6</v>
      </c>
      <c r="F19" s="1907">
        <v>273046</v>
      </c>
      <c r="G19" s="1908">
        <v>85.6</v>
      </c>
      <c r="H19" s="1907">
        <v>985432</v>
      </c>
      <c r="I19" s="1908">
        <v>115.8</v>
      </c>
      <c r="J19" s="1907">
        <v>755527</v>
      </c>
      <c r="K19" s="1908">
        <v>185.6</v>
      </c>
      <c r="L19" s="1907">
        <v>229905</v>
      </c>
      <c r="M19" s="1908">
        <v>51.8</v>
      </c>
      <c r="N19" s="1907">
        <f t="shared" ref="N19:N26" si="0">B19-H19</f>
        <v>-373089</v>
      </c>
      <c r="O19" s="1907">
        <f t="shared" ref="O19:O26" si="1">D19-J19</f>
        <v>-416230</v>
      </c>
      <c r="P19" s="1907">
        <f t="shared" ref="P19:P26" si="2">F19-L19</f>
        <v>43141</v>
      </c>
    </row>
    <row r="20" spans="1:85">
      <c r="A20" s="311">
        <v>1996</v>
      </c>
      <c r="B20" s="1907">
        <v>643669</v>
      </c>
      <c r="C20" s="1908">
        <v>105.1</v>
      </c>
      <c r="D20" s="1907">
        <v>343717</v>
      </c>
      <c r="E20" s="1908">
        <v>101.3</v>
      </c>
      <c r="F20" s="1907">
        <v>299952</v>
      </c>
      <c r="G20" s="1908">
        <v>109.9</v>
      </c>
      <c r="H20" s="1907">
        <v>1337583</v>
      </c>
      <c r="I20" s="1908">
        <v>135.69999999999999</v>
      </c>
      <c r="J20" s="1907">
        <v>1012005</v>
      </c>
      <c r="K20" s="1908">
        <v>133.9</v>
      </c>
      <c r="L20" s="1907">
        <v>325578</v>
      </c>
      <c r="M20" s="1908">
        <f>L20/L19*100</f>
        <v>141.61414497292358</v>
      </c>
      <c r="N20" s="1907">
        <f t="shared" si="0"/>
        <v>-693914</v>
      </c>
      <c r="O20" s="1907">
        <f t="shared" si="1"/>
        <v>-668288</v>
      </c>
      <c r="P20" s="1907">
        <f t="shared" si="2"/>
        <v>-25626</v>
      </c>
      <c r="CC20" s="1903"/>
      <c r="CD20" s="1903"/>
      <c r="CE20" s="1903"/>
      <c r="CF20" s="1903"/>
      <c r="CG20" s="1903"/>
    </row>
    <row r="21" spans="1:85">
      <c r="A21" s="311">
        <v>1997</v>
      </c>
      <c r="B21" s="1907">
        <v>808257</v>
      </c>
      <c r="C21" s="1908">
        <f>B21/B20*100</f>
        <v>125.57028534852542</v>
      </c>
      <c r="D21" s="1907">
        <v>427920</v>
      </c>
      <c r="E21" s="1908">
        <f>D21/D20*100</f>
        <v>124.4977699677351</v>
      </c>
      <c r="F21" s="1907">
        <v>380337</v>
      </c>
      <c r="G21" s="1908">
        <f>F21/F20*100</f>
        <v>126.79928788606176</v>
      </c>
      <c r="H21" s="1907">
        <v>1375164</v>
      </c>
      <c r="I21" s="1908">
        <f>H21/H20*100</f>
        <v>102.80962003853217</v>
      </c>
      <c r="J21" s="1907">
        <v>977641</v>
      </c>
      <c r="K21" s="1908">
        <f>J21/J20*100</f>
        <v>96.604364602941686</v>
      </c>
      <c r="L21" s="1907">
        <v>397523</v>
      </c>
      <c r="M21" s="1908">
        <f>L21/L20*100</f>
        <v>122.09762330378588</v>
      </c>
      <c r="N21" s="1907">
        <f t="shared" si="0"/>
        <v>-566907</v>
      </c>
      <c r="O21" s="1907">
        <f t="shared" si="1"/>
        <v>-549721</v>
      </c>
      <c r="P21" s="1907">
        <f t="shared" si="2"/>
        <v>-17186</v>
      </c>
    </row>
    <row r="22" spans="1:85" s="1903" customFormat="1">
      <c r="A22" s="311">
        <v>1998</v>
      </c>
      <c r="B22" s="1907">
        <f>SUM(B23:B26)</f>
        <v>677751</v>
      </c>
      <c r="C22" s="1908">
        <f>B22/B21*100</f>
        <v>83.853403063629514</v>
      </c>
      <c r="D22" s="1907">
        <f>SUM(D23:D26)</f>
        <v>434332</v>
      </c>
      <c r="E22" s="1908">
        <f>D22/D21*100</f>
        <v>101.4984109179286</v>
      </c>
      <c r="F22" s="1907">
        <f>SUM(F23:F26)</f>
        <v>243419</v>
      </c>
      <c r="G22" s="1908">
        <f>F22/F21*100</f>
        <v>64.000872910077106</v>
      </c>
      <c r="H22" s="1907">
        <f>SUM(H23:H26)</f>
        <v>1723903</v>
      </c>
      <c r="I22" s="1908">
        <f>H22/H21*100</f>
        <v>125.35981162974016</v>
      </c>
      <c r="J22" s="1907">
        <f>SUM(J23:J26)</f>
        <v>1266389</v>
      </c>
      <c r="K22" s="1908">
        <f>J22/J21*100</f>
        <v>129.53517702305857</v>
      </c>
      <c r="L22" s="1907">
        <f>SUM(L23:L26)</f>
        <v>457514</v>
      </c>
      <c r="M22" s="1908">
        <f>L22/L21*100</f>
        <v>115.09120227005734</v>
      </c>
      <c r="N22" s="1907">
        <f t="shared" si="0"/>
        <v>-1046152</v>
      </c>
      <c r="O22" s="1907">
        <f t="shared" si="1"/>
        <v>-832057</v>
      </c>
      <c r="P22" s="1907">
        <f t="shared" si="2"/>
        <v>-214095</v>
      </c>
      <c r="CC22" s="1753"/>
      <c r="CD22" s="1753"/>
      <c r="CE22" s="1753"/>
      <c r="CF22" s="1753"/>
      <c r="CG22" s="1753"/>
    </row>
    <row r="23" spans="1:85">
      <c r="A23" s="312" t="s">
        <v>1060</v>
      </c>
      <c r="B23" s="1760">
        <v>129728</v>
      </c>
      <c r="C23" s="1759">
        <v>73</v>
      </c>
      <c r="D23" s="1760">
        <v>58676</v>
      </c>
      <c r="E23" s="1759">
        <v>53.3</v>
      </c>
      <c r="F23" s="1760">
        <v>71052</v>
      </c>
      <c r="G23" s="1759">
        <v>104.9</v>
      </c>
      <c r="H23" s="1760">
        <v>368405</v>
      </c>
      <c r="I23" s="1759">
        <v>121.4</v>
      </c>
      <c r="J23" s="1760">
        <v>274912</v>
      </c>
      <c r="K23" s="1759">
        <v>123.1</v>
      </c>
      <c r="L23" s="1760">
        <v>93493</v>
      </c>
      <c r="M23" s="1759">
        <v>116.7</v>
      </c>
      <c r="N23" s="1760">
        <f t="shared" si="0"/>
        <v>-238677</v>
      </c>
      <c r="O23" s="1760">
        <f t="shared" si="1"/>
        <v>-216236</v>
      </c>
      <c r="P23" s="1760">
        <f t="shared" si="2"/>
        <v>-22441</v>
      </c>
    </row>
    <row r="24" spans="1:85">
      <c r="A24" s="312" t="s">
        <v>1061</v>
      </c>
      <c r="B24" s="1760">
        <v>181156</v>
      </c>
      <c r="C24" s="1759">
        <v>78.2</v>
      </c>
      <c r="D24" s="1760">
        <v>75560</v>
      </c>
      <c r="E24" s="1759">
        <v>52.8</v>
      </c>
      <c r="F24" s="1760">
        <v>105596</v>
      </c>
      <c r="G24" s="1759">
        <v>119.1</v>
      </c>
      <c r="H24" s="1760">
        <v>433970</v>
      </c>
      <c r="I24" s="1759">
        <v>119.7</v>
      </c>
      <c r="J24" s="1760">
        <v>321424</v>
      </c>
      <c r="K24" s="1759">
        <v>126.3</v>
      </c>
      <c r="L24" s="1760">
        <v>112546</v>
      </c>
      <c r="M24" s="1759">
        <v>104.2</v>
      </c>
      <c r="N24" s="1760">
        <f t="shared" si="0"/>
        <v>-252814</v>
      </c>
      <c r="O24" s="1760">
        <f t="shared" si="1"/>
        <v>-245864</v>
      </c>
      <c r="P24" s="1760">
        <f t="shared" si="2"/>
        <v>-6950</v>
      </c>
    </row>
    <row r="25" spans="1:85">
      <c r="A25" s="312" t="s">
        <v>979</v>
      </c>
      <c r="B25" s="1760">
        <v>200803</v>
      </c>
      <c r="C25" s="1759">
        <v>119.4</v>
      </c>
      <c r="D25" s="1760">
        <v>74621</v>
      </c>
      <c r="E25" s="1759">
        <v>89.6</v>
      </c>
      <c r="F25" s="1760">
        <v>126182</v>
      </c>
      <c r="G25" s="1759">
        <v>148.69999999999999</v>
      </c>
      <c r="H25" s="1760">
        <v>448913</v>
      </c>
      <c r="I25" s="1759">
        <v>124.8</v>
      </c>
      <c r="J25" s="1760">
        <v>322099</v>
      </c>
      <c r="K25" s="1759">
        <v>127.1</v>
      </c>
      <c r="L25" s="1760">
        <v>126814</v>
      </c>
      <c r="M25" s="1759">
        <v>119.3</v>
      </c>
      <c r="N25" s="1760">
        <f t="shared" si="0"/>
        <v>-248110</v>
      </c>
      <c r="O25" s="1760">
        <f t="shared" si="1"/>
        <v>-247478</v>
      </c>
      <c r="P25" s="1760">
        <f t="shared" si="2"/>
        <v>-632</v>
      </c>
      <c r="CC25" s="1903"/>
      <c r="CD25" s="1903"/>
      <c r="CE25" s="1903"/>
      <c r="CF25" s="1903"/>
      <c r="CG25" s="1903"/>
    </row>
    <row r="26" spans="1:85">
      <c r="A26" s="312" t="s">
        <v>1062</v>
      </c>
      <c r="B26" s="1760">
        <v>166064</v>
      </c>
      <c r="C26" s="1759">
        <v>71.900000000000006</v>
      </c>
      <c r="D26" s="1760">
        <v>225475</v>
      </c>
      <c r="E26" s="1759">
        <v>245.7</v>
      </c>
      <c r="F26" s="1760">
        <v>-59411</v>
      </c>
      <c r="G26" s="1759">
        <v>42.7</v>
      </c>
      <c r="H26" s="1760">
        <v>472615</v>
      </c>
      <c r="I26" s="1759">
        <v>135.30000000000001</v>
      </c>
      <c r="J26" s="1760">
        <v>347954</v>
      </c>
      <c r="K26" s="1759">
        <v>141.30000000000001</v>
      </c>
      <c r="L26" s="1760">
        <v>124661</v>
      </c>
      <c r="M26" s="1759">
        <v>120.9</v>
      </c>
      <c r="N26" s="1760">
        <f t="shared" si="0"/>
        <v>-306551</v>
      </c>
      <c r="O26" s="1760">
        <f t="shared" si="1"/>
        <v>-122479</v>
      </c>
      <c r="P26" s="1760">
        <f t="shared" si="2"/>
        <v>-184072</v>
      </c>
    </row>
    <row r="27" spans="1:85" s="1903" customFormat="1">
      <c r="A27" s="311">
        <v>1999</v>
      </c>
      <c r="B27" s="1907">
        <f>SUM(B28:B31)</f>
        <v>1025231</v>
      </c>
      <c r="C27" s="1908">
        <f>B27/B22*100</f>
        <v>151.26956655172771</v>
      </c>
      <c r="D27" s="1907">
        <f>SUM(D28:D31)</f>
        <v>803837</v>
      </c>
      <c r="E27" s="1908">
        <f>D27/D22*100</f>
        <v>185.07432102631168</v>
      </c>
      <c r="F27" s="1907">
        <f>SUM(F28:F31)</f>
        <v>221394</v>
      </c>
      <c r="G27" s="1908">
        <f>F27/F22*100</f>
        <v>90.951815593688252</v>
      </c>
      <c r="H27" s="1907">
        <f>SUM(H28:H31)</f>
        <v>1433392</v>
      </c>
      <c r="I27" s="1908">
        <f>H27/H22*100</f>
        <v>83.148065755439831</v>
      </c>
      <c r="J27" s="1907">
        <f>SUM(J28:J31)</f>
        <v>1050311</v>
      </c>
      <c r="K27" s="1908">
        <f>J27/J22*100</f>
        <v>82.937470240186855</v>
      </c>
      <c r="L27" s="1907">
        <f>SUM(L28:L31)</f>
        <v>383081</v>
      </c>
      <c r="M27" s="1908">
        <f>L27/L22*100</f>
        <v>83.730989652775662</v>
      </c>
      <c r="N27" s="1907">
        <f>B27-H27</f>
        <v>-408161</v>
      </c>
      <c r="O27" s="1907">
        <f>D27-J27</f>
        <v>-246474</v>
      </c>
      <c r="P27" s="1907">
        <f>F27-L27</f>
        <v>-161687</v>
      </c>
      <c r="CC27" s="1753"/>
      <c r="CD27" s="1753"/>
      <c r="CE27" s="1753"/>
      <c r="CF27" s="1753"/>
      <c r="CG27" s="1753"/>
    </row>
    <row r="28" spans="1:85">
      <c r="A28" s="312" t="s">
        <v>1060</v>
      </c>
      <c r="B28" s="1760">
        <v>148060</v>
      </c>
      <c r="C28" s="1759">
        <f>B28/B23*100</f>
        <v>114.1311050814011</v>
      </c>
      <c r="D28" s="1760">
        <v>112429</v>
      </c>
      <c r="E28" s="1759">
        <f>D28/D23*100</f>
        <v>191.60985752266683</v>
      </c>
      <c r="F28" s="1760">
        <v>35631</v>
      </c>
      <c r="G28" s="1759">
        <f>F28/F23*100</f>
        <v>50.147779091369706</v>
      </c>
      <c r="H28" s="1760">
        <v>312012</v>
      </c>
      <c r="I28" s="1759">
        <f>H28/H23*100</f>
        <v>84.692661608827251</v>
      </c>
      <c r="J28" s="1760">
        <v>224296</v>
      </c>
      <c r="K28" s="1759">
        <f>J28/J23*100</f>
        <v>81.588290071004536</v>
      </c>
      <c r="L28" s="1760">
        <v>87716</v>
      </c>
      <c r="M28" s="1759">
        <f>L28/L23*100</f>
        <v>93.820927769993474</v>
      </c>
      <c r="N28" s="1760">
        <f>B28-H28</f>
        <v>-163952</v>
      </c>
      <c r="O28" s="1760">
        <f>D28-J28</f>
        <v>-111867</v>
      </c>
      <c r="P28" s="1760">
        <f>F28-L28</f>
        <v>-52085</v>
      </c>
    </row>
    <row r="29" spans="1:85">
      <c r="A29" s="312" t="s">
        <v>1061</v>
      </c>
      <c r="B29" s="1760">
        <v>166076</v>
      </c>
      <c r="C29" s="1759">
        <f>B29/B24*100</f>
        <v>91.675682836891951</v>
      </c>
      <c r="D29" s="1760">
        <v>119275</v>
      </c>
      <c r="E29" s="1759">
        <f>D29/D24*100</f>
        <v>157.85468501852833</v>
      </c>
      <c r="F29" s="1760">
        <v>46801</v>
      </c>
      <c r="G29" s="1759">
        <f>F29/F24*100</f>
        <v>44.32080760634873</v>
      </c>
      <c r="H29" s="1760">
        <v>331461</v>
      </c>
      <c r="I29" s="1759">
        <f>H29/H24*100</f>
        <v>76.37878194345231</v>
      </c>
      <c r="J29" s="1760">
        <v>245023</v>
      </c>
      <c r="K29" s="1759">
        <f>J29/J24*100</f>
        <v>76.230461944347653</v>
      </c>
      <c r="L29" s="1760">
        <v>86438</v>
      </c>
      <c r="M29" s="1759">
        <f>L29/L24*100</f>
        <v>76.802374140351503</v>
      </c>
      <c r="N29" s="1760">
        <f>B29-H29</f>
        <v>-165385</v>
      </c>
      <c r="O29" s="1760">
        <f>D29-J29</f>
        <v>-125748</v>
      </c>
      <c r="P29" s="1760">
        <f>F29-L29</f>
        <v>-39637</v>
      </c>
    </row>
    <row r="30" spans="1:85">
      <c r="A30" s="312" t="s">
        <v>979</v>
      </c>
      <c r="B30" s="1760">
        <v>253582</v>
      </c>
      <c r="C30" s="1759">
        <f>B30/B25*100</f>
        <v>126.28396986100805</v>
      </c>
      <c r="D30" s="1760">
        <v>189190</v>
      </c>
      <c r="E30" s="1759">
        <f>D30/D25*100</f>
        <v>253.53452781388617</v>
      </c>
      <c r="F30" s="1760">
        <v>64392</v>
      </c>
      <c r="G30" s="1759">
        <f>F30/F25*100</f>
        <v>51.031050387535458</v>
      </c>
      <c r="H30" s="1760">
        <v>416663</v>
      </c>
      <c r="I30" s="1759">
        <f>H30/H25*100</f>
        <v>92.81597993375108</v>
      </c>
      <c r="J30" s="1760">
        <v>313653</v>
      </c>
      <c r="K30" s="1759">
        <f>J30/J25*100</f>
        <v>97.377824830254056</v>
      </c>
      <c r="L30" s="1760">
        <v>103010</v>
      </c>
      <c r="M30" s="1759">
        <f>L30/L25*100</f>
        <v>81.22920182314256</v>
      </c>
      <c r="N30" s="1760">
        <f>B30-H30</f>
        <v>-163081</v>
      </c>
      <c r="O30" s="1760">
        <f>D30-J30</f>
        <v>-124463</v>
      </c>
      <c r="P30" s="1760">
        <f>F30-L30</f>
        <v>-38618</v>
      </c>
    </row>
    <row r="31" spans="1:85">
      <c r="A31" s="312" t="s">
        <v>1062</v>
      </c>
      <c r="B31" s="1760">
        <v>457513</v>
      </c>
      <c r="C31" s="1759">
        <f>B31/B26*100</f>
        <v>275.50402254552461</v>
      </c>
      <c r="D31" s="1760">
        <v>382943</v>
      </c>
      <c r="E31" s="1759">
        <f>D31/D26*100</f>
        <v>169.83834127952102</v>
      </c>
      <c r="F31" s="1760">
        <v>74570</v>
      </c>
      <c r="G31" s="1759">
        <f>F31/F26*100</f>
        <v>-125.5154769318813</v>
      </c>
      <c r="H31" s="1760">
        <v>373256</v>
      </c>
      <c r="I31" s="1759">
        <f>H31/H26*100</f>
        <v>78.976756979782706</v>
      </c>
      <c r="J31" s="1760">
        <v>267339</v>
      </c>
      <c r="K31" s="1759">
        <f>J31/J26*100</f>
        <v>76.831707639515571</v>
      </c>
      <c r="L31" s="1760">
        <v>105917</v>
      </c>
      <c r="M31" s="1759">
        <f>L31/L26*100</f>
        <v>84.964022428826979</v>
      </c>
      <c r="N31" s="1760">
        <f>B31-H31</f>
        <v>84257</v>
      </c>
      <c r="O31" s="1760">
        <f>D31-J31</f>
        <v>115604</v>
      </c>
      <c r="P31" s="1760">
        <f>F31-L31</f>
        <v>-31347</v>
      </c>
      <c r="CC31" s="1903"/>
      <c r="CD31" s="1903"/>
      <c r="CE31" s="1903"/>
      <c r="CF31" s="1903"/>
      <c r="CG31" s="1903"/>
    </row>
    <row r="32" spans="1:85">
      <c r="A32" s="312"/>
      <c r="B32" s="1760"/>
      <c r="C32" s="1759"/>
      <c r="D32" s="1760"/>
      <c r="E32" s="1759"/>
      <c r="F32" s="1760"/>
      <c r="G32" s="1759"/>
      <c r="H32" s="1760"/>
      <c r="I32" s="1759"/>
      <c r="J32" s="1760"/>
      <c r="K32" s="1759"/>
      <c r="L32" s="1760"/>
      <c r="M32" s="1759"/>
      <c r="N32" s="1760"/>
      <c r="O32" s="1760"/>
      <c r="P32" s="1760"/>
    </row>
    <row r="33" spans="1:85" s="1903" customFormat="1">
      <c r="A33" s="311">
        <v>2000</v>
      </c>
      <c r="B33" s="1907">
        <f>SUM(B34:B37)</f>
        <v>1858335</v>
      </c>
      <c r="C33" s="1908">
        <f>B33/B27*100</f>
        <v>181.2601257667784</v>
      </c>
      <c r="D33" s="1907">
        <f>SUM(D34:D37)</f>
        <v>1594131</v>
      </c>
      <c r="E33" s="1908">
        <f>D33/D27*100</f>
        <v>198.31520569468685</v>
      </c>
      <c r="F33" s="1907">
        <f>SUM(F34:F37)</f>
        <v>264204</v>
      </c>
      <c r="G33" s="1908">
        <f>F33/F27*100</f>
        <v>119.33656738665005</v>
      </c>
      <c r="H33" s="1907">
        <f>SUM(H34:H37)</f>
        <v>1539005</v>
      </c>
      <c r="I33" s="1908">
        <f>H33/H27*100</f>
        <v>107.36804726132138</v>
      </c>
      <c r="J33" s="1907">
        <f>SUM(J34:J37)</f>
        <v>1163552</v>
      </c>
      <c r="K33" s="1908">
        <f>J33/J27*100</f>
        <v>110.78166371674676</v>
      </c>
      <c r="L33" s="1907">
        <f>SUM(L34:L37)</f>
        <v>375453</v>
      </c>
      <c r="M33" s="1908">
        <f>L33/L27*100</f>
        <v>98.008776211819438</v>
      </c>
      <c r="N33" s="1907">
        <f>B33-H33</f>
        <v>319330</v>
      </c>
      <c r="O33" s="1907">
        <f>D33-J33</f>
        <v>430579</v>
      </c>
      <c r="P33" s="1907">
        <f>F33-L33</f>
        <v>-111249</v>
      </c>
      <c r="CC33" s="1753"/>
      <c r="CD33" s="1753"/>
      <c r="CE33" s="1753"/>
      <c r="CF33" s="1753"/>
      <c r="CG33" s="1753"/>
    </row>
    <row r="34" spans="1:85">
      <c r="A34" s="312" t="s">
        <v>1060</v>
      </c>
      <c r="B34" s="1760">
        <v>393245</v>
      </c>
      <c r="C34" s="1759">
        <v>265.60000000000002</v>
      </c>
      <c r="D34" s="1760">
        <v>325162</v>
      </c>
      <c r="E34" s="1759">
        <v>289.2</v>
      </c>
      <c r="F34" s="1760">
        <v>68083</v>
      </c>
      <c r="G34" s="1759">
        <v>191.1</v>
      </c>
      <c r="H34" s="1760">
        <v>384263</v>
      </c>
      <c r="I34" s="1759">
        <v>123.2</v>
      </c>
      <c r="J34" s="1760">
        <v>284176</v>
      </c>
      <c r="K34" s="1759">
        <v>126.7</v>
      </c>
      <c r="L34" s="1760">
        <v>100087</v>
      </c>
      <c r="M34" s="1759">
        <v>114.1</v>
      </c>
      <c r="N34" s="1760">
        <f>B34-H34</f>
        <v>8982</v>
      </c>
      <c r="O34" s="1760">
        <f>D34-J34</f>
        <v>40986</v>
      </c>
      <c r="P34" s="1760">
        <f>F34-L34</f>
        <v>-32004</v>
      </c>
    </row>
    <row r="35" spans="1:85">
      <c r="A35" s="312" t="s">
        <v>1061</v>
      </c>
      <c r="B35" s="1760">
        <v>522448</v>
      </c>
      <c r="C35" s="1759">
        <f>B35/B29*100</f>
        <v>314.58368457814493</v>
      </c>
      <c r="D35" s="1760">
        <v>450387</v>
      </c>
      <c r="E35" s="1759">
        <f>D35/D29*100</f>
        <v>377.60385663382937</v>
      </c>
      <c r="F35" s="1760">
        <v>72061</v>
      </c>
      <c r="G35" s="1759">
        <f>F35/F29*100</f>
        <v>153.9732057007329</v>
      </c>
      <c r="H35" s="1760">
        <v>363736</v>
      </c>
      <c r="I35" s="1759">
        <f>H35/H29*100</f>
        <v>109.73719381767388</v>
      </c>
      <c r="J35" s="1760">
        <v>262757</v>
      </c>
      <c r="K35" s="1759">
        <f>J35/J29*100</f>
        <v>107.23768789052457</v>
      </c>
      <c r="L35" s="1760">
        <v>100979</v>
      </c>
      <c r="M35" s="1759">
        <f>L35/L29*100</f>
        <v>116.82246234295101</v>
      </c>
      <c r="N35" s="1760">
        <f>B35-H35</f>
        <v>158712</v>
      </c>
      <c r="O35" s="1760">
        <f>D35-J35</f>
        <v>187630</v>
      </c>
      <c r="P35" s="1760">
        <f>F35-L35</f>
        <v>-28918</v>
      </c>
    </row>
    <row r="36" spans="1:85">
      <c r="A36" s="312" t="s">
        <v>979</v>
      </c>
      <c r="B36" s="1760">
        <v>594058</v>
      </c>
      <c r="C36" s="1759">
        <f>B36/B30*100</f>
        <v>234.26662775749065</v>
      </c>
      <c r="D36" s="1760">
        <v>546998</v>
      </c>
      <c r="E36" s="1759">
        <f>D36/D30*100</f>
        <v>289.12627517310636</v>
      </c>
      <c r="F36" s="1760">
        <v>47060</v>
      </c>
      <c r="G36" s="1759">
        <f>F36/F30*100</f>
        <v>73.083612871164121</v>
      </c>
      <c r="H36" s="1760">
        <v>327785</v>
      </c>
      <c r="I36" s="1759">
        <f>H36/H30*100</f>
        <v>78.669092288012138</v>
      </c>
      <c r="J36" s="1760">
        <v>251119</v>
      </c>
      <c r="K36" s="1759">
        <f>J36/J30*100</f>
        <v>80.0626807331669</v>
      </c>
      <c r="L36" s="1760">
        <v>76666</v>
      </c>
      <c r="M36" s="1759">
        <f>L36/L30*100</f>
        <v>74.425783904475296</v>
      </c>
      <c r="N36" s="1760">
        <f>B36-H36</f>
        <v>266273</v>
      </c>
      <c r="O36" s="1760">
        <f>D36-J36</f>
        <v>295879</v>
      </c>
      <c r="P36" s="1760">
        <f>F36-L36</f>
        <v>-29606</v>
      </c>
    </row>
    <row r="37" spans="1:85">
      <c r="A37" s="312" t="s">
        <v>1062</v>
      </c>
      <c r="B37" s="1760">
        <v>348584</v>
      </c>
      <c r="C37" s="1759">
        <f>B37/B31*100</f>
        <v>76.191059051873935</v>
      </c>
      <c r="D37" s="1760">
        <v>271584</v>
      </c>
      <c r="E37" s="1759">
        <f>D37/D31*100</f>
        <v>70.920215280080839</v>
      </c>
      <c r="F37" s="1760">
        <v>77000</v>
      </c>
      <c r="G37" s="1759">
        <f>F37/F31*100</f>
        <v>103.25868311653478</v>
      </c>
      <c r="H37" s="1760">
        <v>463221</v>
      </c>
      <c r="I37" s="1759">
        <f>H37/H31*100</f>
        <v>124.10276057183273</v>
      </c>
      <c r="J37" s="1760">
        <v>365500</v>
      </c>
      <c r="K37" s="1759">
        <f>J37/J31*100</f>
        <v>136.71780024612946</v>
      </c>
      <c r="L37" s="1760">
        <v>97721</v>
      </c>
      <c r="M37" s="1759">
        <f>L37/L31*100</f>
        <v>92.261865422925496</v>
      </c>
      <c r="N37" s="1760">
        <f>B37-H37</f>
        <v>-114637</v>
      </c>
      <c r="O37" s="1760">
        <f>D37-J37</f>
        <v>-93916</v>
      </c>
      <c r="P37" s="1760">
        <f>F37-L37</f>
        <v>-20721</v>
      </c>
      <c r="CC37" s="1903"/>
      <c r="CD37" s="1903"/>
      <c r="CE37" s="1903"/>
      <c r="CF37" s="1903"/>
      <c r="CG37" s="1903"/>
    </row>
    <row r="38" spans="1:85">
      <c r="A38" s="312"/>
      <c r="B38" s="1760"/>
      <c r="C38" s="1759"/>
      <c r="D38" s="1760"/>
      <c r="E38" s="1759"/>
      <c r="F38" s="1760"/>
      <c r="G38" s="1759"/>
      <c r="H38" s="1760"/>
      <c r="I38" s="1759"/>
      <c r="J38" s="1760"/>
      <c r="K38" s="1759"/>
      <c r="L38" s="1760"/>
      <c r="M38" s="1759"/>
      <c r="N38" s="1760"/>
      <c r="O38" s="1760"/>
      <c r="P38" s="1760"/>
    </row>
    <row r="39" spans="1:85" s="1903" customFormat="1">
      <c r="A39" s="311">
        <v>2001</v>
      </c>
      <c r="B39" s="1907">
        <f>SUM(B40:B43)</f>
        <v>2078931</v>
      </c>
      <c r="C39" s="1908">
        <f>B39/B33*100</f>
        <v>111.87062612499898</v>
      </c>
      <c r="D39" s="1907">
        <f>SUM(D40:D43)</f>
        <v>1855148</v>
      </c>
      <c r="E39" s="1908">
        <f>D39/D33*100</f>
        <v>116.37362299585166</v>
      </c>
      <c r="F39" s="1907">
        <f>SUM(F40:F43)</f>
        <v>223783</v>
      </c>
      <c r="G39" s="1908">
        <f>F39/F33*100</f>
        <v>84.700837231836005</v>
      </c>
      <c r="H39" s="1907">
        <f>SUM(H40:H43)</f>
        <v>1465064</v>
      </c>
      <c r="I39" s="1908">
        <f>H39/H33*100</f>
        <v>95.195532178258034</v>
      </c>
      <c r="J39" s="1907">
        <f>SUM(J40:J43)</f>
        <v>1022194</v>
      </c>
      <c r="K39" s="1908">
        <f>J39/J33*100</f>
        <v>87.851166084541134</v>
      </c>
      <c r="L39" s="1907">
        <f>SUM(L40:L43)</f>
        <v>442870</v>
      </c>
      <c r="M39" s="1908">
        <f>L39/L33*100</f>
        <v>117.95617560653398</v>
      </c>
      <c r="N39" s="1907">
        <f>B39-H39</f>
        <v>613867</v>
      </c>
      <c r="O39" s="1907">
        <f>D39-J39</f>
        <v>832954</v>
      </c>
      <c r="P39" s="1907">
        <f>F39-L39</f>
        <v>-219087</v>
      </c>
      <c r="CC39" s="1753"/>
      <c r="CD39" s="1753"/>
      <c r="CE39" s="1753"/>
      <c r="CF39" s="1753"/>
      <c r="CG39" s="1753"/>
    </row>
    <row r="40" spans="1:85">
      <c r="A40" s="312" t="s">
        <v>1060</v>
      </c>
      <c r="B40" s="1760">
        <v>526737</v>
      </c>
      <c r="C40" s="1759">
        <f>B40/B34*100</f>
        <v>133.94626759399358</v>
      </c>
      <c r="D40" s="1760">
        <v>484118</v>
      </c>
      <c r="E40" s="1759">
        <f>D40/D34*100</f>
        <v>148.885171083952</v>
      </c>
      <c r="F40" s="1760">
        <v>42619</v>
      </c>
      <c r="G40" s="1759">
        <f>F40/F34*100</f>
        <v>62.598592893967655</v>
      </c>
      <c r="H40" s="1760">
        <v>316857</v>
      </c>
      <c r="I40" s="1759">
        <f>H40/H34*100</f>
        <v>82.458368357088759</v>
      </c>
      <c r="J40" s="1760">
        <v>223031</v>
      </c>
      <c r="K40" s="1759">
        <f>J40/J34*100</f>
        <v>78.483404650639045</v>
      </c>
      <c r="L40" s="1760">
        <v>93826</v>
      </c>
      <c r="M40" s="1759">
        <f>L40/L34*100</f>
        <v>93.744442335168401</v>
      </c>
      <c r="N40" s="1760">
        <f>B40-H40</f>
        <v>209880</v>
      </c>
      <c r="O40" s="1760">
        <f>D40-J40</f>
        <v>261087</v>
      </c>
      <c r="P40" s="1760">
        <f>F40-L40</f>
        <v>-51207</v>
      </c>
    </row>
    <row r="41" spans="1:85">
      <c r="A41" s="312" t="s">
        <v>1061</v>
      </c>
      <c r="B41" s="1760">
        <f>1057964-B40</f>
        <v>531227</v>
      </c>
      <c r="C41" s="1759">
        <f>B41/B35*100</f>
        <v>101.68035861942242</v>
      </c>
      <c r="D41" s="1760">
        <f>968189-D40</f>
        <v>484071</v>
      </c>
      <c r="E41" s="1759">
        <f>D41/D35*100</f>
        <v>107.4789014780622</v>
      </c>
      <c r="F41" s="1760">
        <f>89775-F40</f>
        <v>47156</v>
      </c>
      <c r="G41" s="1759">
        <f>F41/F35*100</f>
        <v>65.439003066846141</v>
      </c>
      <c r="H41" s="1760">
        <f>650165-H40</f>
        <v>333308</v>
      </c>
      <c r="I41" s="1759">
        <f>H41/H35*100</f>
        <v>91.634592121758644</v>
      </c>
      <c r="J41" s="1760">
        <f>438187-J40</f>
        <v>215156</v>
      </c>
      <c r="K41" s="1759">
        <f>J41/J35*100</f>
        <v>81.884022119296546</v>
      </c>
      <c r="L41" s="1760">
        <f>211978-L40</f>
        <v>118152</v>
      </c>
      <c r="M41" s="1759">
        <f>L41/L35*100</f>
        <v>117.00650630329079</v>
      </c>
      <c r="N41" s="1760">
        <f>B41-H41</f>
        <v>197919</v>
      </c>
      <c r="O41" s="1760">
        <f>D41-J41</f>
        <v>268915</v>
      </c>
      <c r="P41" s="1760">
        <f>F41-L41</f>
        <v>-70996</v>
      </c>
    </row>
    <row r="42" spans="1:85">
      <c r="A42" s="312" t="s">
        <v>979</v>
      </c>
      <c r="B42" s="1760">
        <f>1598367-B40-B41</f>
        <v>540403</v>
      </c>
      <c r="C42" s="1759">
        <f>B42/B36*100</f>
        <v>90.968053624393576</v>
      </c>
      <c r="D42" s="1760">
        <f>1416328-D41-D40</f>
        <v>448139</v>
      </c>
      <c r="E42" s="1759">
        <f>D42/D36*100</f>
        <v>81.926990592287353</v>
      </c>
      <c r="F42" s="1760">
        <f>182039-F41-F40</f>
        <v>92264</v>
      </c>
      <c r="G42" s="1759">
        <f>F42/F36*100</f>
        <v>196.05609859753505</v>
      </c>
      <c r="H42" s="1760">
        <f>1064478-H41-H40</f>
        <v>414313</v>
      </c>
      <c r="I42" s="1759">
        <f>H42/H36*100</f>
        <v>126.39779123510837</v>
      </c>
      <c r="J42" s="1760">
        <f>742102-J41-J40</f>
        <v>303915</v>
      </c>
      <c r="K42" s="1759">
        <f>J42/J36*100</f>
        <v>121.02429525444111</v>
      </c>
      <c r="L42" s="1760">
        <f>322376-L41-L40</f>
        <v>110398</v>
      </c>
      <c r="M42" s="1759">
        <f>L42/L36*100</f>
        <v>143.99864346646493</v>
      </c>
      <c r="N42" s="1760">
        <f>B42-H42</f>
        <v>126090</v>
      </c>
      <c r="O42" s="1760">
        <f>D42-J42</f>
        <v>144224</v>
      </c>
      <c r="P42" s="1760">
        <f>F42-L42</f>
        <v>-18134</v>
      </c>
    </row>
    <row r="43" spans="1:85">
      <c r="A43" s="312" t="s">
        <v>1062</v>
      </c>
      <c r="B43" s="1760">
        <v>480564</v>
      </c>
      <c r="C43" s="1759">
        <f>B43/B37*100</f>
        <v>137.86174924838775</v>
      </c>
      <c r="D43" s="1760">
        <v>438820</v>
      </c>
      <c r="E43" s="1759">
        <f>D43/D37*100</f>
        <v>161.57800164958172</v>
      </c>
      <c r="F43" s="1760">
        <v>41744</v>
      </c>
      <c r="G43" s="1759">
        <f>F43/F37*100</f>
        <v>54.212987012987014</v>
      </c>
      <c r="H43" s="1760">
        <v>400586</v>
      </c>
      <c r="I43" s="1759">
        <f>H43/H37*100</f>
        <v>86.478376412122941</v>
      </c>
      <c r="J43" s="1760">
        <v>280092</v>
      </c>
      <c r="K43" s="1759">
        <f>J43/J37*100</f>
        <v>76.632558139534879</v>
      </c>
      <c r="L43" s="1760">
        <v>120494</v>
      </c>
      <c r="M43" s="1759">
        <f>L43/L37*100</f>
        <v>123.30410044923813</v>
      </c>
      <c r="N43" s="1760">
        <f>B43-H43</f>
        <v>79978</v>
      </c>
      <c r="O43" s="1760">
        <f>D43-J43</f>
        <v>158728</v>
      </c>
      <c r="P43" s="1760">
        <f>F43-L43</f>
        <v>-78750</v>
      </c>
    </row>
    <row r="44" spans="1:85">
      <c r="A44" s="312"/>
      <c r="B44" s="1760"/>
      <c r="C44" s="1759"/>
      <c r="D44" s="1760"/>
      <c r="E44" s="1759"/>
      <c r="F44" s="1760"/>
      <c r="G44" s="1759"/>
      <c r="H44" s="1760"/>
      <c r="I44" s="1759"/>
      <c r="J44" s="1760"/>
      <c r="K44" s="1759"/>
      <c r="L44" s="1760"/>
      <c r="M44" s="1759"/>
      <c r="N44" s="1760"/>
      <c r="O44" s="1760"/>
      <c r="P44" s="1760"/>
    </row>
    <row r="45" spans="1:85">
      <c r="A45" s="311">
        <v>2002</v>
      </c>
      <c r="B45" s="1907">
        <f>SUM(B46:B49)</f>
        <v>2304893</v>
      </c>
      <c r="C45" s="1908">
        <f>B45/B39*100</f>
        <v>110.86914380515755</v>
      </c>
      <c r="D45" s="1907">
        <f>SUM(D46:D49)</f>
        <v>2061150</v>
      </c>
      <c r="E45" s="1908">
        <f>D45/D39*100</f>
        <v>111.10434315752707</v>
      </c>
      <c r="F45" s="1907">
        <f>SUM(F46:F49)</f>
        <v>243743</v>
      </c>
      <c r="G45" s="1908">
        <f>F45/F39*100</f>
        <v>108.91935491078411</v>
      </c>
      <c r="H45" s="1907">
        <f>SUM(H46:H49)</f>
        <v>1823341</v>
      </c>
      <c r="I45" s="1908">
        <f>H45/H39*100</f>
        <v>124.45469958991553</v>
      </c>
      <c r="J45" s="1907">
        <f>SUM(J46:J49)</f>
        <v>1149250</v>
      </c>
      <c r="K45" s="1908">
        <f>J45/J39*100</f>
        <v>112.42973447310393</v>
      </c>
      <c r="L45" s="1907">
        <f>SUM(L46:L49)</f>
        <v>674091</v>
      </c>
      <c r="M45" s="1908">
        <f>L45/L39*100</f>
        <v>152.20967778354822</v>
      </c>
      <c r="N45" s="1907">
        <f>SUM(N46:N49)</f>
        <v>481552</v>
      </c>
      <c r="O45" s="1907">
        <f>SUM(O46:O49)</f>
        <v>911900</v>
      </c>
      <c r="P45" s="1907">
        <f>F45-L45</f>
        <v>-430348</v>
      </c>
    </row>
    <row r="46" spans="1:85">
      <c r="A46" s="312" t="s">
        <v>1060</v>
      </c>
      <c r="B46" s="1760">
        <v>450164</v>
      </c>
      <c r="C46" s="1759">
        <f>B46/B40*100</f>
        <v>85.462764149850884</v>
      </c>
      <c r="D46" s="1760">
        <v>401156</v>
      </c>
      <c r="E46" s="1759">
        <f>D46/D40*100</f>
        <v>82.863268872464985</v>
      </c>
      <c r="F46" s="1760">
        <v>49008</v>
      </c>
      <c r="G46" s="1759">
        <f>F46/F40*100</f>
        <v>114.99096647035361</v>
      </c>
      <c r="H46" s="1760">
        <v>388536</v>
      </c>
      <c r="I46" s="1759">
        <f>H46/H40*100</f>
        <v>122.6218767456613</v>
      </c>
      <c r="J46" s="1760">
        <v>235658</v>
      </c>
      <c r="K46" s="1759">
        <f>J46/J40*100</f>
        <v>105.66154480767247</v>
      </c>
      <c r="L46" s="1760">
        <v>152878</v>
      </c>
      <c r="M46" s="1759">
        <f>L46/L40*100</f>
        <v>162.93777844094387</v>
      </c>
      <c r="N46" s="1760">
        <f>B46-H46</f>
        <v>61628</v>
      </c>
      <c r="O46" s="1760">
        <f>D46-J46</f>
        <v>165498</v>
      </c>
      <c r="P46" s="1760">
        <f>F46-L46</f>
        <v>-103870</v>
      </c>
    </row>
    <row r="47" spans="1:85">
      <c r="A47" s="312" t="s">
        <v>1061</v>
      </c>
      <c r="B47" s="1760">
        <v>488972</v>
      </c>
      <c r="C47" s="1759">
        <f>B47/B41*100</f>
        <v>92.045773275831237</v>
      </c>
      <c r="D47" s="1760">
        <v>441582</v>
      </c>
      <c r="E47" s="1759">
        <f>D47/D41*100</f>
        <v>91.222568590144832</v>
      </c>
      <c r="F47" s="1760">
        <v>47390</v>
      </c>
      <c r="G47" s="1759">
        <f>F47/F41*100</f>
        <v>100.49622529476632</v>
      </c>
      <c r="H47" s="1760">
        <v>404729</v>
      </c>
      <c r="I47" s="1759">
        <f>H47/H41*100</f>
        <v>121.42792852256773</v>
      </c>
      <c r="J47" s="1760">
        <v>235732</v>
      </c>
      <c r="K47" s="1759">
        <f>J47/J41*100</f>
        <v>109.5632936102177</v>
      </c>
      <c r="L47" s="1760">
        <v>168997</v>
      </c>
      <c r="M47" s="1759">
        <f>L47/L41*100</f>
        <v>143.03355000338547</v>
      </c>
      <c r="N47" s="1760">
        <f>B47-H47</f>
        <v>84243</v>
      </c>
      <c r="O47" s="1760">
        <f>D47-J47</f>
        <v>205850</v>
      </c>
      <c r="P47" s="1760">
        <f>F47-L47</f>
        <v>-121607</v>
      </c>
    </row>
    <row r="48" spans="1:85">
      <c r="A48" s="312" t="s">
        <v>979</v>
      </c>
      <c r="B48" s="1760">
        <v>631127</v>
      </c>
      <c r="C48" s="1759">
        <f>B48/B42*100</f>
        <v>116.78821176048247</v>
      </c>
      <c r="D48" s="1760">
        <v>566623</v>
      </c>
      <c r="E48" s="1759">
        <f>D48/D42*100</f>
        <v>126.43911822001657</v>
      </c>
      <c r="F48" s="1760">
        <v>64504</v>
      </c>
      <c r="G48" s="1759">
        <f>F48/F42*100</f>
        <v>69.912425214601583</v>
      </c>
      <c r="H48" s="1760">
        <v>466823</v>
      </c>
      <c r="I48" s="1759">
        <f>H48/H42*100</f>
        <v>112.67399285081569</v>
      </c>
      <c r="J48" s="1760">
        <v>316432</v>
      </c>
      <c r="K48" s="1759">
        <f>J48/J42*100</f>
        <v>104.11858578878963</v>
      </c>
      <c r="L48" s="1760">
        <v>150391</v>
      </c>
      <c r="M48" s="1759">
        <f>L48/L42*100</f>
        <v>136.22619974999549</v>
      </c>
      <c r="N48" s="1760">
        <f>B48-H48</f>
        <v>164304</v>
      </c>
      <c r="O48" s="1760">
        <f>D48-J48</f>
        <v>250191</v>
      </c>
      <c r="P48" s="1760">
        <f>F48-L48</f>
        <v>-85887</v>
      </c>
    </row>
    <row r="49" spans="1:85">
      <c r="A49" s="312" t="s">
        <v>1062</v>
      </c>
      <c r="B49" s="1760">
        <v>734630</v>
      </c>
      <c r="C49" s="1759">
        <f>B49/B43*100</f>
        <v>152.86829641837508</v>
      </c>
      <c r="D49" s="1760">
        <v>651789</v>
      </c>
      <c r="E49" s="1759">
        <f>D49/D43*100</f>
        <v>148.53219999088466</v>
      </c>
      <c r="F49" s="1760">
        <v>82841</v>
      </c>
      <c r="G49" s="1759">
        <f>F49/F43*100</f>
        <v>198.45007665772329</v>
      </c>
      <c r="H49" s="1760">
        <v>563253</v>
      </c>
      <c r="I49" s="1759">
        <f>H49/H43*100</f>
        <v>140.60726036356738</v>
      </c>
      <c r="J49" s="1760">
        <v>361428</v>
      </c>
      <c r="K49" s="1759">
        <f>J49/J43*100</f>
        <v>129.03903003298916</v>
      </c>
      <c r="L49" s="1760">
        <v>201825</v>
      </c>
      <c r="M49" s="1759">
        <f>L49/L43*100</f>
        <v>167.4979667037363</v>
      </c>
      <c r="N49" s="1760">
        <f>B49-H49</f>
        <v>171377</v>
      </c>
      <c r="O49" s="1760">
        <f>D49-J49</f>
        <v>290361</v>
      </c>
      <c r="P49" s="1760">
        <f>F49-L49</f>
        <v>-118984</v>
      </c>
    </row>
    <row r="50" spans="1:85">
      <c r="A50" s="1909"/>
      <c r="B50" s="1760"/>
      <c r="C50" s="1759"/>
      <c r="D50" s="1760"/>
      <c r="E50" s="1759"/>
      <c r="F50" s="1760"/>
      <c r="G50" s="1759"/>
      <c r="H50" s="1760"/>
      <c r="I50" s="1759"/>
      <c r="J50" s="1760"/>
      <c r="K50" s="1759"/>
      <c r="L50" s="1760"/>
      <c r="M50" s="1759"/>
      <c r="N50" s="1760"/>
      <c r="O50" s="1760"/>
      <c r="P50" s="1760"/>
    </row>
    <row r="51" spans="1:85">
      <c r="A51" s="311">
        <v>2003</v>
      </c>
      <c r="B51" s="1907">
        <f>SUM(B52:B55)</f>
        <v>2624513</v>
      </c>
      <c r="C51" s="1908">
        <f>B51/B45*100</f>
        <v>113.86702115889979</v>
      </c>
      <c r="D51" s="1907">
        <f>SUM(D52:D55)</f>
        <v>2290613</v>
      </c>
      <c r="E51" s="1908">
        <f>D51/D45*100</f>
        <v>111.13276568905708</v>
      </c>
      <c r="F51" s="1907">
        <f>SUM(F52:F55)</f>
        <v>333900</v>
      </c>
      <c r="G51" s="1908">
        <f>F51/F45*100</f>
        <v>136.98854941475241</v>
      </c>
      <c r="H51" s="1907">
        <f>SUM(H52:H55)</f>
        <v>2722704</v>
      </c>
      <c r="I51" s="1908">
        <f>H51/H45*100</f>
        <v>149.32500283819647</v>
      </c>
      <c r="J51" s="1907">
        <f>SUM(J52:J55)</f>
        <v>1855710</v>
      </c>
      <c r="K51" s="1908">
        <f>J51/J45*100</f>
        <v>161.4713943876441</v>
      </c>
      <c r="L51" s="1907">
        <f>SUM(L52:L55)</f>
        <v>866994</v>
      </c>
      <c r="M51" s="1908">
        <f>L51/L45*100</f>
        <v>128.61675945829271</v>
      </c>
      <c r="N51" s="1907">
        <f>B51-H51</f>
        <v>-98191</v>
      </c>
      <c r="O51" s="1907">
        <f>D51-J51</f>
        <v>434903</v>
      </c>
      <c r="P51" s="1907">
        <f>F51-L51</f>
        <v>-533094</v>
      </c>
    </row>
    <row r="52" spans="1:85">
      <c r="A52" s="312" t="s">
        <v>1060</v>
      </c>
      <c r="B52" s="1760">
        <v>674859</v>
      </c>
      <c r="C52" s="1759">
        <f>B52/B46*100</f>
        <v>149.91403133080388</v>
      </c>
      <c r="D52" s="1760">
        <v>616581</v>
      </c>
      <c r="E52" s="1759">
        <f>D52/D46*100</f>
        <v>153.70105395407273</v>
      </c>
      <c r="F52" s="1760">
        <v>58278</v>
      </c>
      <c r="G52" s="1759">
        <f>F52/F46*100</f>
        <v>118.91527913809989</v>
      </c>
      <c r="H52" s="1760">
        <v>486576</v>
      </c>
      <c r="I52" s="1759">
        <f>H52/H46*100</f>
        <v>125.23318302551114</v>
      </c>
      <c r="J52" s="1760">
        <v>300283</v>
      </c>
      <c r="K52" s="1759">
        <f>J52/J46*100</f>
        <v>127.42321499800558</v>
      </c>
      <c r="L52" s="1760">
        <v>186293</v>
      </c>
      <c r="M52" s="1759">
        <f>L52/L46*100</f>
        <v>121.85729797616401</v>
      </c>
      <c r="N52" s="1760">
        <f>B52-H52</f>
        <v>188283</v>
      </c>
      <c r="O52" s="1760">
        <f>D52-J52</f>
        <v>316298</v>
      </c>
      <c r="P52" s="1760">
        <f>F52-L52</f>
        <v>-128015</v>
      </c>
    </row>
    <row r="53" spans="1:85">
      <c r="A53" s="312" t="s">
        <v>1061</v>
      </c>
      <c r="B53" s="1760">
        <v>681183</v>
      </c>
      <c r="C53" s="1759">
        <f>B53/B47*100</f>
        <v>139.30920379899055</v>
      </c>
      <c r="D53" s="1760">
        <v>610772</v>
      </c>
      <c r="E53" s="1759">
        <f>D53/D47*100</f>
        <v>138.31451463148409</v>
      </c>
      <c r="F53" s="1760">
        <v>70411</v>
      </c>
      <c r="G53" s="1759">
        <f>F53/F47*100</f>
        <v>148.57775902089048</v>
      </c>
      <c r="H53" s="1760">
        <v>677680</v>
      </c>
      <c r="I53" s="1759">
        <f>H53/H47*100</f>
        <v>167.44043545187026</v>
      </c>
      <c r="J53" s="1760">
        <v>484528</v>
      </c>
      <c r="K53" s="1759">
        <f>J53/J47*100</f>
        <v>205.54188654913207</v>
      </c>
      <c r="L53" s="1760">
        <v>193152</v>
      </c>
      <c r="M53" s="1759">
        <f>L53/L47*100</f>
        <v>114.29315313289585</v>
      </c>
      <c r="N53" s="1760">
        <f>B53-H53</f>
        <v>3503</v>
      </c>
      <c r="O53" s="1760">
        <f>D53-J53</f>
        <v>126244</v>
      </c>
      <c r="P53" s="1760">
        <f>F53-L53</f>
        <v>-122741</v>
      </c>
    </row>
    <row r="54" spans="1:85">
      <c r="A54" s="312" t="s">
        <v>979</v>
      </c>
      <c r="B54" s="1760">
        <v>536939</v>
      </c>
      <c r="C54" s="1759">
        <f>B54/B48*100</f>
        <v>85.076220792328641</v>
      </c>
      <c r="D54" s="1760">
        <v>460104</v>
      </c>
      <c r="E54" s="1759">
        <f>D54/D48*100</f>
        <v>81.201080789166696</v>
      </c>
      <c r="F54" s="1760">
        <v>76835</v>
      </c>
      <c r="G54" s="1759">
        <f>F54/F48*100</f>
        <v>119.11664392905865</v>
      </c>
      <c r="H54" s="1760">
        <v>681253</v>
      </c>
      <c r="I54" s="1759">
        <f>H54/H48*100</f>
        <v>145.93389785850312</v>
      </c>
      <c r="J54" s="1760">
        <v>472875</v>
      </c>
      <c r="K54" s="1759">
        <f>J54/J48*100</f>
        <v>149.43969004399048</v>
      </c>
      <c r="L54" s="1760">
        <v>208378</v>
      </c>
      <c r="M54" s="1759">
        <f>L54/L48*100</f>
        <v>138.55749346702927</v>
      </c>
      <c r="N54" s="1760">
        <f>B54-H54</f>
        <v>-144314</v>
      </c>
      <c r="O54" s="1760">
        <f>D54-J54</f>
        <v>-12771</v>
      </c>
      <c r="P54" s="1760">
        <f>F54-L54</f>
        <v>-131543</v>
      </c>
    </row>
    <row r="55" spans="1:85">
      <c r="A55" s="312" t="s">
        <v>1062</v>
      </c>
      <c r="B55" s="1760">
        <v>731532</v>
      </c>
      <c r="C55" s="1759">
        <f>B55/B49*100</f>
        <v>99.578291112532838</v>
      </c>
      <c r="D55" s="1760">
        <v>603156</v>
      </c>
      <c r="E55" s="1759">
        <f>D55/D49*100</f>
        <v>92.538536244091262</v>
      </c>
      <c r="F55" s="1760">
        <v>128376</v>
      </c>
      <c r="G55" s="1759">
        <f>F55/F49*100</f>
        <v>154.96674352072043</v>
      </c>
      <c r="H55" s="1760">
        <v>877195</v>
      </c>
      <c r="I55" s="1759">
        <f>H55/H49*100</f>
        <v>155.73729744892614</v>
      </c>
      <c r="J55" s="1760">
        <v>598024</v>
      </c>
      <c r="K55" s="1759">
        <f>J55/J49*100</f>
        <v>165.46144736987728</v>
      </c>
      <c r="L55" s="1760">
        <v>279171</v>
      </c>
      <c r="M55" s="1759">
        <f>L55/L49*100</f>
        <v>138.32329988851728</v>
      </c>
      <c r="N55" s="1760">
        <f>B55-H55</f>
        <v>-145663</v>
      </c>
      <c r="O55" s="1760">
        <f>D55-J55</f>
        <v>5132</v>
      </c>
      <c r="P55" s="1760">
        <f>F55-L55</f>
        <v>-150795</v>
      </c>
    </row>
    <row r="56" spans="1:85">
      <c r="A56" s="1910"/>
      <c r="B56" s="1760"/>
      <c r="C56" s="1759"/>
      <c r="D56" s="1760"/>
      <c r="E56" s="1759"/>
      <c r="F56" s="1760"/>
      <c r="G56" s="1759"/>
      <c r="H56" s="1760"/>
      <c r="I56" s="1759"/>
      <c r="J56" s="1760"/>
      <c r="K56" s="1759"/>
      <c r="L56" s="1760"/>
      <c r="M56" s="1759"/>
      <c r="N56" s="1760"/>
      <c r="O56" s="1760"/>
      <c r="P56" s="1760"/>
    </row>
    <row r="57" spans="1:85">
      <c r="A57" s="311">
        <v>2004</v>
      </c>
      <c r="B57" s="1907">
        <f>SUM(B58:B61)</f>
        <v>3742982</v>
      </c>
      <c r="C57" s="1908">
        <f>B57/B51*100</f>
        <v>142.61624918603945</v>
      </c>
      <c r="D57" s="1907">
        <f>SUM(D58:D61)</f>
        <v>3128727</v>
      </c>
      <c r="E57" s="1908">
        <f>D57/D51*100</f>
        <v>136.58907026197789</v>
      </c>
      <c r="F57" s="1907">
        <f>SUM(F58:F61)</f>
        <v>614183</v>
      </c>
      <c r="G57" s="1908">
        <f>F57/F51*100</f>
        <v>183.94219826295299</v>
      </c>
      <c r="H57" s="1907">
        <f>SUM(H58:H61)</f>
        <v>3581685</v>
      </c>
      <c r="I57" s="1908">
        <f>H57/H51*100</f>
        <v>131.54882058424272</v>
      </c>
      <c r="J57" s="1907">
        <f>SUM(J58:J61)</f>
        <v>2390433</v>
      </c>
      <c r="K57" s="1908">
        <f>J57/J51*100</f>
        <v>128.81500881064389</v>
      </c>
      <c r="L57" s="1907">
        <f>SUM(L58:L61)</f>
        <v>1191252</v>
      </c>
      <c r="M57" s="1908">
        <f>L57/L51*100</f>
        <v>137.40025882532058</v>
      </c>
      <c r="N57" s="1907">
        <f>B57-H57</f>
        <v>161297</v>
      </c>
      <c r="O57" s="1907">
        <f>D57-J57</f>
        <v>738294</v>
      </c>
      <c r="P57" s="1907">
        <f>F57-L57</f>
        <v>-577069</v>
      </c>
    </row>
    <row r="58" spans="1:85">
      <c r="A58" s="312" t="s">
        <v>1060</v>
      </c>
      <c r="B58" s="1760">
        <v>732228</v>
      </c>
      <c r="C58" s="1759">
        <f>B58/B52*100</f>
        <v>108.50088685192019</v>
      </c>
      <c r="D58" s="1760">
        <v>644575</v>
      </c>
      <c r="E58" s="1759">
        <f>D58/D52*100</f>
        <v>104.54019828700527</v>
      </c>
      <c r="F58" s="1760">
        <v>87653</v>
      </c>
      <c r="G58" s="1759">
        <f>F58/F52*100</f>
        <v>150.40495555784344</v>
      </c>
      <c r="H58" s="1760">
        <v>712084</v>
      </c>
      <c r="I58" s="1759">
        <f>H58/H52*100</f>
        <v>146.34589457761996</v>
      </c>
      <c r="J58" s="1760">
        <v>446165</v>
      </c>
      <c r="K58" s="1759">
        <f>J58/J52*100</f>
        <v>148.58150478049041</v>
      </c>
      <c r="L58" s="1760">
        <v>265919</v>
      </c>
      <c r="M58" s="1759">
        <f>L58/L52*100</f>
        <v>142.74234673337162</v>
      </c>
      <c r="N58" s="1760">
        <f>B58-H58</f>
        <v>20144</v>
      </c>
      <c r="O58" s="1760">
        <f>D58-J58</f>
        <v>198410</v>
      </c>
      <c r="P58" s="1760">
        <f>F58-L58</f>
        <v>-178266</v>
      </c>
    </row>
    <row r="59" spans="1:85">
      <c r="A59" s="312" t="s">
        <v>1061</v>
      </c>
      <c r="B59" s="1760">
        <v>946314</v>
      </c>
      <c r="C59" s="1759">
        <f>B59/B53*100</f>
        <v>138.92213986549871</v>
      </c>
      <c r="D59" s="1760">
        <v>686126</v>
      </c>
      <c r="E59" s="1759">
        <f>D59/D53*100</f>
        <v>112.33750073677248</v>
      </c>
      <c r="F59" s="1760">
        <v>260188</v>
      </c>
      <c r="G59" s="1759">
        <f>F59/F53*100</f>
        <v>369.52748860263307</v>
      </c>
      <c r="H59" s="1760">
        <v>840427</v>
      </c>
      <c r="I59" s="1759">
        <f>H59/H53*100</f>
        <v>124.01531696375872</v>
      </c>
      <c r="J59" s="1760">
        <v>547101</v>
      </c>
      <c r="K59" s="1759">
        <f>J59/J53*100</f>
        <v>112.91421754779908</v>
      </c>
      <c r="L59" s="1760">
        <v>293326</v>
      </c>
      <c r="M59" s="1759">
        <f>L59/L53*100</f>
        <v>151.86278164347249</v>
      </c>
      <c r="N59" s="1760">
        <f>B59-H59</f>
        <v>105887</v>
      </c>
      <c r="O59" s="1760">
        <f>D59-J59</f>
        <v>139025</v>
      </c>
      <c r="P59" s="1760">
        <f>F59-L59</f>
        <v>-33138</v>
      </c>
    </row>
    <row r="60" spans="1:85">
      <c r="A60" s="312" t="s">
        <v>979</v>
      </c>
      <c r="B60" s="1760">
        <v>910453</v>
      </c>
      <c r="C60" s="1759">
        <f>B60/B54*100</f>
        <v>169.56358171039915</v>
      </c>
      <c r="D60" s="1760">
        <v>808630</v>
      </c>
      <c r="E60" s="1759">
        <f>D60/D54*100</f>
        <v>175.7493957887782</v>
      </c>
      <c r="F60" s="1760">
        <v>101823</v>
      </c>
      <c r="G60" s="1759">
        <f>F60/F54*100</f>
        <v>132.52163727467951</v>
      </c>
      <c r="H60" s="1760">
        <v>1003832</v>
      </c>
      <c r="I60" s="1759">
        <f>H60/H54*100</f>
        <v>147.35083735411075</v>
      </c>
      <c r="J60" s="1760">
        <v>740024</v>
      </c>
      <c r="K60" s="1759">
        <f>J60/J54*100</f>
        <v>156.49463388844833</v>
      </c>
      <c r="L60" s="1760">
        <v>263808</v>
      </c>
      <c r="M60" s="1759">
        <f>L60/L54*100</f>
        <v>126.60069681060379</v>
      </c>
      <c r="N60" s="1760">
        <f>B60-H60</f>
        <v>-93379</v>
      </c>
      <c r="O60" s="1760">
        <f>D60-J60</f>
        <v>68606</v>
      </c>
      <c r="P60" s="1760">
        <f>F60-L60</f>
        <v>-161985</v>
      </c>
    </row>
    <row r="61" spans="1:85">
      <c r="A61" s="312" t="s">
        <v>1062</v>
      </c>
      <c r="B61" s="1760">
        <v>1153987</v>
      </c>
      <c r="C61" s="1759">
        <f>B61/B55*100</f>
        <v>157.74935341174412</v>
      </c>
      <c r="D61" s="1760">
        <v>989396</v>
      </c>
      <c r="E61" s="1759">
        <f>D61/D55*100</f>
        <v>164.03650133630435</v>
      </c>
      <c r="F61" s="1760">
        <v>164519</v>
      </c>
      <c r="G61" s="1759">
        <f>F61/F55*100</f>
        <v>128.15401632703933</v>
      </c>
      <c r="H61" s="1760">
        <v>1025342</v>
      </c>
      <c r="I61" s="1759">
        <f>H61/H55*100</f>
        <v>116.88871915594594</v>
      </c>
      <c r="J61" s="1760">
        <v>657143</v>
      </c>
      <c r="K61" s="1759">
        <f>J61/J55*100</f>
        <v>109.88572364988696</v>
      </c>
      <c r="L61" s="1760">
        <v>368199</v>
      </c>
      <c r="M61" s="1759">
        <f>L61/L55*100</f>
        <v>131.8901318546697</v>
      </c>
      <c r="N61" s="1760">
        <f>B61-H61</f>
        <v>128645</v>
      </c>
      <c r="O61" s="1760">
        <f>D61-J61</f>
        <v>332253</v>
      </c>
      <c r="P61" s="1760">
        <f>F61-L61</f>
        <v>-203680</v>
      </c>
      <c r="CC61" s="1911"/>
      <c r="CD61" s="1911"/>
      <c r="CE61" s="1911"/>
      <c r="CF61" s="1911"/>
      <c r="CG61" s="1911"/>
    </row>
    <row r="62" spans="1:85">
      <c r="A62" s="1910"/>
      <c r="B62" s="1760"/>
      <c r="C62" s="1759"/>
      <c r="D62" s="1760"/>
      <c r="E62" s="1759"/>
      <c r="F62" s="1760"/>
      <c r="G62" s="1759"/>
      <c r="H62" s="1760"/>
      <c r="I62" s="1759"/>
      <c r="J62" s="1760"/>
      <c r="K62" s="1759"/>
      <c r="L62" s="1760"/>
      <c r="M62" s="1759"/>
      <c r="N62" s="1760"/>
      <c r="O62" s="1760"/>
      <c r="P62" s="1760"/>
    </row>
    <row r="63" spans="1:85" s="1911" customFormat="1">
      <c r="A63" s="37">
        <v>2005</v>
      </c>
      <c r="B63" s="1703">
        <v>7648962</v>
      </c>
      <c r="C63" s="1704">
        <v>204.35476312736745</v>
      </c>
      <c r="D63" s="1703">
        <v>6737131</v>
      </c>
      <c r="E63" s="1704">
        <v>215.33137918393007</v>
      </c>
      <c r="F63" s="1703">
        <v>911831</v>
      </c>
      <c r="G63" s="1704">
        <v>148.46242895032913</v>
      </c>
      <c r="H63" s="1703">
        <v>4349857</v>
      </c>
      <c r="I63" s="1704">
        <v>121.44722386251163</v>
      </c>
      <c r="J63" s="1703">
        <v>2967262</v>
      </c>
      <c r="K63" s="1704">
        <v>124.13073280029184</v>
      </c>
      <c r="L63" s="1703">
        <v>1382595</v>
      </c>
      <c r="M63" s="1704">
        <v>116.06234449134188</v>
      </c>
      <c r="N63" s="1703">
        <v>3299105</v>
      </c>
      <c r="O63" s="1703">
        <v>3769869</v>
      </c>
      <c r="P63" s="1703">
        <v>-470764</v>
      </c>
      <c r="CC63" s="1753"/>
      <c r="CD63" s="1753"/>
      <c r="CE63" s="1753"/>
      <c r="CF63" s="1753"/>
      <c r="CG63" s="1753"/>
    </row>
    <row r="64" spans="1:85">
      <c r="A64" s="37" t="s">
        <v>1060</v>
      </c>
      <c r="B64" s="1912">
        <v>1124329</v>
      </c>
      <c r="C64" s="1913">
        <v>153.54903117608177</v>
      </c>
      <c r="D64" s="1912">
        <v>1029430</v>
      </c>
      <c r="E64" s="1913">
        <v>159.70678353954156</v>
      </c>
      <c r="F64" s="1912">
        <v>94899</v>
      </c>
      <c r="G64" s="1913">
        <v>108.26668796276226</v>
      </c>
      <c r="H64" s="1912">
        <v>1117109</v>
      </c>
      <c r="I64" s="1913">
        <v>156.87882328489334</v>
      </c>
      <c r="J64" s="1912">
        <v>823337</v>
      </c>
      <c r="K64" s="1913">
        <v>184.5364383131801</v>
      </c>
      <c r="L64" s="1912">
        <v>293772</v>
      </c>
      <c r="M64" s="1913">
        <v>110.47424215644614</v>
      </c>
      <c r="N64" s="1912">
        <v>7220</v>
      </c>
      <c r="O64" s="1912">
        <v>206093</v>
      </c>
      <c r="P64" s="1912">
        <v>-198873</v>
      </c>
    </row>
    <row r="65" spans="1:85">
      <c r="A65" s="37" t="s">
        <v>1061</v>
      </c>
      <c r="B65" s="1912">
        <v>1696976</v>
      </c>
      <c r="C65" s="1913">
        <v>179.32483298355515</v>
      </c>
      <c r="D65" s="1912">
        <v>1527473</v>
      </c>
      <c r="E65" s="1913">
        <v>222.62281271952963</v>
      </c>
      <c r="F65" s="1912">
        <v>169503</v>
      </c>
      <c r="G65" s="1913">
        <v>65.14635571202362</v>
      </c>
      <c r="H65" s="1912">
        <v>1009210</v>
      </c>
      <c r="I65" s="1913">
        <v>120.08300542462345</v>
      </c>
      <c r="J65" s="1912">
        <v>627638</v>
      </c>
      <c r="K65" s="1913">
        <v>114.7206822871828</v>
      </c>
      <c r="L65" s="1912">
        <v>381572</v>
      </c>
      <c r="M65" s="1913">
        <v>130.08461575175744</v>
      </c>
      <c r="N65" s="1912">
        <v>687766</v>
      </c>
      <c r="O65" s="1912">
        <v>899835</v>
      </c>
      <c r="P65" s="1912">
        <v>-212069</v>
      </c>
    </row>
    <row r="66" spans="1:85">
      <c r="A66" s="37" t="s">
        <v>979</v>
      </c>
      <c r="B66" s="1912">
        <v>2204873</v>
      </c>
      <c r="C66" s="1913">
        <v>242.17318192152698</v>
      </c>
      <c r="D66" s="1912">
        <v>1788751</v>
      </c>
      <c r="E66" s="1913">
        <v>221.20759803618463</v>
      </c>
      <c r="F66" s="1912">
        <v>416122</v>
      </c>
      <c r="G66" s="1913">
        <v>408.67191106135152</v>
      </c>
      <c r="H66" s="1912">
        <v>1215516</v>
      </c>
      <c r="I66" s="1913">
        <v>121.08759234612963</v>
      </c>
      <c r="J66" s="1912">
        <v>870559</v>
      </c>
      <c r="K66" s="1913">
        <v>117.63929277969363</v>
      </c>
      <c r="L66" s="1912">
        <v>344957</v>
      </c>
      <c r="M66" s="1913">
        <v>130.76062894226104</v>
      </c>
      <c r="N66" s="1912">
        <v>989357</v>
      </c>
      <c r="O66" s="1912">
        <v>918192</v>
      </c>
      <c r="P66" s="1912">
        <v>71165</v>
      </c>
    </row>
    <row r="67" spans="1:85">
      <c r="A67" s="37" t="s">
        <v>1062</v>
      </c>
      <c r="B67" s="1912">
        <v>2622784</v>
      </c>
      <c r="C67" s="1913">
        <v>227.2802033298469</v>
      </c>
      <c r="D67" s="1912">
        <v>2391477</v>
      </c>
      <c r="E67" s="1913">
        <v>241.71080133738161</v>
      </c>
      <c r="F67" s="1912">
        <v>231307</v>
      </c>
      <c r="G67" s="1913">
        <v>140.59591901239369</v>
      </c>
      <c r="H67" s="1912">
        <v>1008022</v>
      </c>
      <c r="I67" s="1913">
        <v>98.310807515931259</v>
      </c>
      <c r="J67" s="1912">
        <v>645728</v>
      </c>
      <c r="K67" s="1913">
        <v>98.262935160231493</v>
      </c>
      <c r="L67" s="1912">
        <v>362294</v>
      </c>
      <c r="M67" s="1913">
        <v>98.396247681281039</v>
      </c>
      <c r="N67" s="1912">
        <v>1614762</v>
      </c>
      <c r="O67" s="1912">
        <v>1745749</v>
      </c>
      <c r="P67" s="1912">
        <v>-130987</v>
      </c>
      <c r="CC67" s="1911"/>
      <c r="CD67" s="1911"/>
      <c r="CE67" s="1911"/>
      <c r="CF67" s="1911"/>
      <c r="CG67" s="1911"/>
    </row>
    <row r="68" spans="1:85">
      <c r="A68" s="37"/>
      <c r="B68" s="1912"/>
      <c r="C68" s="1913"/>
      <c r="D68" s="1912"/>
      <c r="E68" s="1913"/>
      <c r="F68" s="1912"/>
      <c r="G68" s="1913"/>
      <c r="H68" s="1912"/>
      <c r="I68" s="1913"/>
      <c r="J68" s="1912"/>
      <c r="K68" s="1913"/>
      <c r="L68" s="1912"/>
      <c r="M68" s="1913"/>
      <c r="N68" s="1912"/>
      <c r="O68" s="1912"/>
      <c r="P68" s="1912"/>
    </row>
    <row r="69" spans="1:85" s="1911" customFormat="1">
      <c r="A69" s="37">
        <v>2006</v>
      </c>
      <c r="B69" s="1703">
        <v>13014633</v>
      </c>
      <c r="C69" s="1704">
        <v>170.14900845369607</v>
      </c>
      <c r="D69" s="1703">
        <v>12067616</v>
      </c>
      <c r="E69" s="1704">
        <v>179.12099378800858</v>
      </c>
      <c r="F69" s="1703">
        <v>947017</v>
      </c>
      <c r="G69" s="1704">
        <v>103.85882910320004</v>
      </c>
      <c r="H69" s="1703">
        <v>5269338</v>
      </c>
      <c r="I69" s="1704">
        <v>121.13818914047059</v>
      </c>
      <c r="J69" s="1703">
        <v>3504432</v>
      </c>
      <c r="K69" s="1704">
        <v>118.10322108394877</v>
      </c>
      <c r="L69" s="1703">
        <v>1764906</v>
      </c>
      <c r="M69" s="1704">
        <v>127.65169843663546</v>
      </c>
      <c r="N69" s="1703">
        <v>7745295</v>
      </c>
      <c r="O69" s="1703">
        <v>8563184</v>
      </c>
      <c r="P69" s="1703">
        <v>-817889</v>
      </c>
    </row>
    <row r="70" spans="1:85">
      <c r="A70" s="37" t="s">
        <v>1060</v>
      </c>
      <c r="B70" s="1912">
        <v>2463706</v>
      </c>
      <c r="C70" s="1913">
        <v>219.12678584293386</v>
      </c>
      <c r="D70" s="1912">
        <v>2308638</v>
      </c>
      <c r="E70" s="1913">
        <v>224.26371875698203</v>
      </c>
      <c r="F70" s="1912">
        <v>155068</v>
      </c>
      <c r="G70" s="1913">
        <v>163.40319708321479</v>
      </c>
      <c r="H70" s="1912">
        <v>958143</v>
      </c>
      <c r="I70" s="1913">
        <v>85.769875634338277</v>
      </c>
      <c r="J70" s="1912">
        <v>586856</v>
      </c>
      <c r="K70" s="1913">
        <v>71.277739248934523</v>
      </c>
      <c r="L70" s="1912">
        <v>371287</v>
      </c>
      <c r="M70" s="1913">
        <v>126.3861089552442</v>
      </c>
      <c r="N70" s="1912">
        <v>1505563</v>
      </c>
      <c r="O70" s="1912">
        <v>1721782</v>
      </c>
      <c r="P70" s="1912">
        <v>-216219</v>
      </c>
    </row>
    <row r="71" spans="1:85">
      <c r="A71" s="37" t="s">
        <v>1061</v>
      </c>
      <c r="B71" s="1912">
        <v>2950207</v>
      </c>
      <c r="C71" s="1913">
        <v>173.85083819688668</v>
      </c>
      <c r="D71" s="1912">
        <v>2684422</v>
      </c>
      <c r="E71" s="1913">
        <v>175.74268088535771</v>
      </c>
      <c r="F71" s="1912">
        <v>265785</v>
      </c>
      <c r="G71" s="1913">
        <v>156.8025344684165</v>
      </c>
      <c r="H71" s="1912">
        <v>1263014</v>
      </c>
      <c r="I71" s="1913">
        <v>125.14877973860743</v>
      </c>
      <c r="J71" s="1912">
        <v>878175</v>
      </c>
      <c r="K71" s="1913">
        <v>139.91743648408797</v>
      </c>
      <c r="L71" s="1912">
        <v>384839</v>
      </c>
      <c r="M71" s="1913">
        <v>100.85619489899678</v>
      </c>
      <c r="N71" s="1912">
        <v>1687193</v>
      </c>
      <c r="O71" s="1912">
        <v>1806247</v>
      </c>
      <c r="P71" s="1912">
        <v>-119054</v>
      </c>
    </row>
    <row r="72" spans="1:85">
      <c r="A72" s="37" t="s">
        <v>979</v>
      </c>
      <c r="B72" s="1912">
        <v>3642944</v>
      </c>
      <c r="C72" s="1913">
        <v>165.22239602915906</v>
      </c>
      <c r="D72" s="1912">
        <v>3419035</v>
      </c>
      <c r="E72" s="1913">
        <v>191.14091340829441</v>
      </c>
      <c r="F72" s="1912">
        <v>223909</v>
      </c>
      <c r="G72" s="1913">
        <v>53.808498469198938</v>
      </c>
      <c r="H72" s="1912">
        <v>1457857</v>
      </c>
      <c r="I72" s="1913">
        <v>119.93729412035712</v>
      </c>
      <c r="J72" s="1912">
        <v>1022926</v>
      </c>
      <c r="K72" s="1913">
        <v>117.50220260774972</v>
      </c>
      <c r="L72" s="1912">
        <v>434931</v>
      </c>
      <c r="M72" s="1913">
        <v>126.08267117350857</v>
      </c>
      <c r="N72" s="1912">
        <v>2185087</v>
      </c>
      <c r="O72" s="1912">
        <v>2396109</v>
      </c>
      <c r="P72" s="1912">
        <v>-211022</v>
      </c>
    </row>
    <row r="73" spans="1:85">
      <c r="A73" s="37" t="s">
        <v>1062</v>
      </c>
      <c r="B73" s="1912">
        <v>3957776</v>
      </c>
      <c r="C73" s="1913">
        <v>150.89980722773967</v>
      </c>
      <c r="D73" s="1912">
        <v>3655521</v>
      </c>
      <c r="E73" s="1913">
        <v>152.85620560013749</v>
      </c>
      <c r="F73" s="1912">
        <v>302255</v>
      </c>
      <c r="G73" s="1913">
        <v>130.67265582105168</v>
      </c>
      <c r="H73" s="1912">
        <v>1590324</v>
      </c>
      <c r="I73" s="1913">
        <v>157.76679477233634</v>
      </c>
      <c r="J73" s="1912">
        <v>1016475</v>
      </c>
      <c r="K73" s="1913">
        <v>157.41535135536944</v>
      </c>
      <c r="L73" s="1912">
        <v>573849</v>
      </c>
      <c r="M73" s="1913">
        <v>158.39318343665641</v>
      </c>
      <c r="N73" s="1912">
        <v>2367452</v>
      </c>
      <c r="O73" s="1912">
        <v>2639046</v>
      </c>
      <c r="P73" s="1912">
        <v>-271594</v>
      </c>
    </row>
    <row r="74" spans="1:85">
      <c r="A74" s="37"/>
      <c r="B74" s="1912"/>
      <c r="C74" s="1913"/>
      <c r="D74" s="1912"/>
      <c r="E74" s="1913"/>
      <c r="F74" s="1912"/>
      <c r="G74" s="1913"/>
      <c r="H74" s="1912"/>
      <c r="I74" s="1913"/>
      <c r="J74" s="1912"/>
      <c r="K74" s="1913"/>
      <c r="L74" s="1912"/>
      <c r="M74" s="1913"/>
      <c r="N74" s="1912"/>
      <c r="O74" s="1912"/>
      <c r="P74" s="1912"/>
    </row>
    <row r="75" spans="1:85" s="1911" customFormat="1">
      <c r="A75" s="37">
        <v>2007</v>
      </c>
      <c r="B75" s="1703">
        <v>21269317</v>
      </c>
      <c r="C75" s="1704">
        <v>163.42617575155595</v>
      </c>
      <c r="D75" s="1703">
        <v>20087289</v>
      </c>
      <c r="E75" s="1704">
        <v>166.45615007968433</v>
      </c>
      <c r="F75" s="1703">
        <v>1182028</v>
      </c>
      <c r="G75" s="1704">
        <v>124.8159219950645</v>
      </c>
      <c r="H75" s="1703">
        <v>6045019</v>
      </c>
      <c r="I75" s="1704">
        <v>114.72065371399596</v>
      </c>
      <c r="J75" s="1703">
        <v>4287396</v>
      </c>
      <c r="K75" s="1704">
        <v>122.34210850717035</v>
      </c>
      <c r="L75" s="1703">
        <v>1757623</v>
      </c>
      <c r="M75" s="1704">
        <v>99.587343461918081</v>
      </c>
      <c r="N75" s="1703">
        <v>15224298</v>
      </c>
      <c r="O75" s="1703">
        <v>15799893</v>
      </c>
      <c r="P75" s="1703">
        <v>-575595</v>
      </c>
    </row>
    <row r="76" spans="1:85">
      <c r="A76" s="37" t="s">
        <v>1060</v>
      </c>
      <c r="B76" s="1912">
        <v>4036285</v>
      </c>
      <c r="C76" s="1913">
        <v>163.8298157328837</v>
      </c>
      <c r="D76" s="1912">
        <v>3809410</v>
      </c>
      <c r="E76" s="1913">
        <v>165.00681354114417</v>
      </c>
      <c r="F76" s="1912">
        <v>226875</v>
      </c>
      <c r="G76" s="1913">
        <v>146.30678154100136</v>
      </c>
      <c r="H76" s="1912">
        <v>1186041</v>
      </c>
      <c r="I76" s="1913">
        <v>123.78538485382661</v>
      </c>
      <c r="J76" s="1912">
        <v>807478</v>
      </c>
      <c r="K76" s="1913">
        <v>137.59389015363223</v>
      </c>
      <c r="L76" s="1912">
        <v>378563</v>
      </c>
      <c r="M76" s="1913">
        <v>101.95967001268559</v>
      </c>
      <c r="N76" s="1912">
        <v>2850244</v>
      </c>
      <c r="O76" s="1912">
        <v>3001932</v>
      </c>
      <c r="P76" s="1912">
        <v>-151688</v>
      </c>
    </row>
    <row r="77" spans="1:85">
      <c r="A77" s="37" t="s">
        <v>1061</v>
      </c>
      <c r="B77" s="1912">
        <v>5215560</v>
      </c>
      <c r="C77" s="1913">
        <v>176.78623906729257</v>
      </c>
      <c r="D77" s="1912">
        <v>4913104</v>
      </c>
      <c r="E77" s="1913">
        <v>183.02278851834771</v>
      </c>
      <c r="F77" s="1912">
        <v>302456</v>
      </c>
      <c r="G77" s="1913">
        <v>113.79724213179824</v>
      </c>
      <c r="H77" s="1912">
        <v>1417480</v>
      </c>
      <c r="I77" s="1913">
        <v>112.22995152864496</v>
      </c>
      <c r="J77" s="1912">
        <v>955113</v>
      </c>
      <c r="K77" s="1913">
        <v>108.76112392176958</v>
      </c>
      <c r="L77" s="1912">
        <v>462367</v>
      </c>
      <c r="M77" s="1913">
        <v>120.14556736713276</v>
      </c>
      <c r="N77" s="1912">
        <v>3798080</v>
      </c>
      <c r="O77" s="1912">
        <v>3957991</v>
      </c>
      <c r="P77" s="1912">
        <v>-159911</v>
      </c>
    </row>
    <row r="78" spans="1:85">
      <c r="A78" s="37" t="s">
        <v>979</v>
      </c>
      <c r="B78" s="1912">
        <v>5062744</v>
      </c>
      <c r="C78" s="1913">
        <v>138.97397269900389</v>
      </c>
      <c r="D78" s="1912">
        <v>4712334</v>
      </c>
      <c r="E78" s="1913">
        <v>137.82643348196203</v>
      </c>
      <c r="F78" s="1912">
        <v>350410</v>
      </c>
      <c r="G78" s="1913">
        <v>156.49661246309884</v>
      </c>
      <c r="H78" s="1912">
        <v>1555665</v>
      </c>
      <c r="I78" s="1913">
        <v>106.70902564517644</v>
      </c>
      <c r="J78" s="1912">
        <v>1181596</v>
      </c>
      <c r="K78" s="1913">
        <v>115.51138596535819</v>
      </c>
      <c r="L78" s="1912">
        <v>374069</v>
      </c>
      <c r="M78" s="1913">
        <v>86.006515976097347</v>
      </c>
      <c r="N78" s="1912">
        <v>3507079</v>
      </c>
      <c r="O78" s="1912">
        <v>3530738</v>
      </c>
      <c r="P78" s="1912">
        <v>-23659</v>
      </c>
    </row>
    <row r="79" spans="1:85">
      <c r="A79" s="37" t="s">
        <v>1062</v>
      </c>
      <c r="B79" s="1912">
        <v>6954728</v>
      </c>
      <c r="C79" s="1913">
        <v>175.72313339612955</v>
      </c>
      <c r="D79" s="1912">
        <v>6652441</v>
      </c>
      <c r="E79" s="1913">
        <v>181.98338896151876</v>
      </c>
      <c r="F79" s="1912">
        <v>302287</v>
      </c>
      <c r="G79" s="1913">
        <v>100.01058708706225</v>
      </c>
      <c r="H79" s="1912">
        <v>1885833</v>
      </c>
      <c r="I79" s="1913">
        <v>118.58168524149796</v>
      </c>
      <c r="J79" s="1912">
        <v>1343209</v>
      </c>
      <c r="K79" s="1913">
        <v>132.14383039425465</v>
      </c>
      <c r="L79" s="1912">
        <v>542624</v>
      </c>
      <c r="M79" s="1913">
        <v>94.558673100414907</v>
      </c>
      <c r="N79" s="1912">
        <v>5068895</v>
      </c>
      <c r="O79" s="1912">
        <v>5309232</v>
      </c>
      <c r="P79" s="1912">
        <v>-240337</v>
      </c>
    </row>
    <row r="80" spans="1:85">
      <c r="A80" s="37"/>
      <c r="B80" s="1912"/>
      <c r="C80" s="1913"/>
      <c r="D80" s="1912"/>
      <c r="E80" s="1913"/>
      <c r="F80" s="1912"/>
      <c r="G80" s="1913"/>
      <c r="H80" s="1912"/>
      <c r="I80" s="1913"/>
      <c r="J80" s="1912"/>
      <c r="K80" s="1913"/>
      <c r="L80" s="1912"/>
      <c r="M80" s="1913"/>
      <c r="N80" s="1912"/>
      <c r="O80" s="1912"/>
      <c r="P80" s="1912"/>
    </row>
    <row r="81" spans="1:38" s="1911" customFormat="1">
      <c r="A81" s="37">
        <v>2008</v>
      </c>
      <c r="B81" s="1703">
        <v>30586343</v>
      </c>
      <c r="C81" s="1704">
        <v>143.80500793702026</v>
      </c>
      <c r="D81" s="1703">
        <v>28904059</v>
      </c>
      <c r="E81" s="1704">
        <v>143.89228431970088</v>
      </c>
      <c r="F81" s="1703">
        <v>1682284</v>
      </c>
      <c r="G81" s="1704">
        <v>142.32184009177448</v>
      </c>
      <c r="H81" s="1703">
        <v>7574679</v>
      </c>
      <c r="I81" s="1704">
        <v>125.30446967991334</v>
      </c>
      <c r="J81" s="1703">
        <v>5438709</v>
      </c>
      <c r="K81" s="1704">
        <v>126.85343271300343</v>
      </c>
      <c r="L81" s="1703">
        <v>2135970</v>
      </c>
      <c r="M81" s="1704">
        <v>121.52606104949697</v>
      </c>
      <c r="N81" s="1703">
        <v>23011664</v>
      </c>
      <c r="O81" s="1703">
        <v>23465350</v>
      </c>
      <c r="P81" s="1703">
        <v>-453686</v>
      </c>
    </row>
    <row r="82" spans="1:38">
      <c r="A82" s="37" t="s">
        <v>1060</v>
      </c>
      <c r="B82" s="1912">
        <v>7237027</v>
      </c>
      <c r="C82" s="1913">
        <v>179.29920706788545</v>
      </c>
      <c r="D82" s="1912">
        <v>6927480</v>
      </c>
      <c r="E82" s="1913">
        <v>181.85178282201178</v>
      </c>
      <c r="F82" s="1912">
        <v>309547</v>
      </c>
      <c r="G82" s="1913">
        <v>136.43944903581266</v>
      </c>
      <c r="H82" s="1912">
        <v>1420943</v>
      </c>
      <c r="I82" s="1913">
        <v>119.80555478267614</v>
      </c>
      <c r="J82" s="1912">
        <v>1021862</v>
      </c>
      <c r="K82" s="1913">
        <v>126.54982550608189</v>
      </c>
      <c r="L82" s="1912">
        <v>399081</v>
      </c>
      <c r="M82" s="1913">
        <v>105.4199697276279</v>
      </c>
      <c r="N82" s="1912">
        <v>5816084</v>
      </c>
      <c r="O82" s="1912">
        <v>5905618</v>
      </c>
      <c r="P82" s="1912">
        <v>-89534</v>
      </c>
    </row>
    <row r="83" spans="1:38">
      <c r="A83" s="37" t="s">
        <v>1061</v>
      </c>
      <c r="B83" s="1912">
        <v>9996038</v>
      </c>
      <c r="C83" s="1913">
        <v>191.65800029143563</v>
      </c>
      <c r="D83" s="1912">
        <v>9526529</v>
      </c>
      <c r="E83" s="1913">
        <v>193.90041407631509</v>
      </c>
      <c r="F83" s="1912">
        <v>469509</v>
      </c>
      <c r="G83" s="1913">
        <v>155.23216600100511</v>
      </c>
      <c r="H83" s="1912">
        <v>1794274</v>
      </c>
      <c r="I83" s="1913">
        <v>126.5819623557299</v>
      </c>
      <c r="J83" s="1912">
        <v>1323894</v>
      </c>
      <c r="K83" s="1913">
        <v>138.6112428581749</v>
      </c>
      <c r="L83" s="1912">
        <v>470380</v>
      </c>
      <c r="M83" s="1913">
        <v>101.73303890632333</v>
      </c>
      <c r="N83" s="1912">
        <v>8201764</v>
      </c>
      <c r="O83" s="1912">
        <v>8202635</v>
      </c>
      <c r="P83" s="1912">
        <v>-871</v>
      </c>
    </row>
    <row r="84" spans="1:38">
      <c r="A84" s="37" t="s">
        <v>979</v>
      </c>
      <c r="B84" s="1912">
        <v>9010345</v>
      </c>
      <c r="C84" s="1913">
        <v>177.97354557133445</v>
      </c>
      <c r="D84" s="1912">
        <v>8545689</v>
      </c>
      <c r="E84" s="1913">
        <v>181.34726867832373</v>
      </c>
      <c r="F84" s="1912">
        <v>464656</v>
      </c>
      <c r="G84" s="1913">
        <v>132.60352158899576</v>
      </c>
      <c r="H84" s="1912">
        <v>2280618</v>
      </c>
      <c r="I84" s="1913">
        <v>146.60084272642246</v>
      </c>
      <c r="J84" s="1912">
        <v>1584822</v>
      </c>
      <c r="K84" s="1913">
        <v>134.12553867819457</v>
      </c>
      <c r="L84" s="1912">
        <v>695796</v>
      </c>
      <c r="M84" s="1913">
        <v>186.00739435772545</v>
      </c>
      <c r="N84" s="1912">
        <v>6729727</v>
      </c>
      <c r="O84" s="1912">
        <v>6960867</v>
      </c>
      <c r="P84" s="1912">
        <v>-231140</v>
      </c>
    </row>
    <row r="85" spans="1:38">
      <c r="A85" s="37" t="s">
        <v>1062</v>
      </c>
      <c r="B85" s="1912">
        <v>4342933</v>
      </c>
      <c r="C85" s="1913">
        <v>62.44576351512238</v>
      </c>
      <c r="D85" s="1912">
        <v>3904361</v>
      </c>
      <c r="E85" s="1913">
        <v>58.690652047872348</v>
      </c>
      <c r="F85" s="1912">
        <v>438572</v>
      </c>
      <c r="G85" s="1913">
        <v>145.0846381088171</v>
      </c>
      <c r="H85" s="1912">
        <v>2078844</v>
      </c>
      <c r="I85" s="1913">
        <v>110.23478749178746</v>
      </c>
      <c r="J85" s="1912">
        <v>1508131</v>
      </c>
      <c r="K85" s="1913">
        <v>112.27820838008084</v>
      </c>
      <c r="L85" s="1912">
        <v>570713</v>
      </c>
      <c r="M85" s="1913">
        <v>105.1765126496432</v>
      </c>
      <c r="N85" s="1912">
        <v>2264089</v>
      </c>
      <c r="O85" s="1912">
        <v>2396230</v>
      </c>
      <c r="P85" s="1912">
        <v>-132141</v>
      </c>
    </row>
    <row r="86" spans="1:38">
      <c r="A86" s="37"/>
      <c r="B86" s="1912"/>
      <c r="C86" s="1913"/>
      <c r="D86" s="1912"/>
      <c r="E86" s="1913"/>
      <c r="F86" s="1912"/>
      <c r="G86" s="1913"/>
      <c r="H86" s="1912"/>
      <c r="I86" s="1913"/>
      <c r="J86" s="1912"/>
      <c r="K86" s="1913"/>
      <c r="L86" s="1912"/>
      <c r="M86" s="1913"/>
      <c r="N86" s="1912"/>
      <c r="O86" s="1912"/>
      <c r="P86" s="1912"/>
    </row>
    <row r="87" spans="1:38" s="1911" customFormat="1">
      <c r="A87" s="37">
        <v>2009</v>
      </c>
      <c r="B87" s="1703">
        <v>21096820</v>
      </c>
      <c r="C87" s="1704">
        <v>68.974640086917233</v>
      </c>
      <c r="D87" s="1703">
        <v>20001681</v>
      </c>
      <c r="E87" s="1704">
        <v>69.200249695034174</v>
      </c>
      <c r="F87" s="1703">
        <v>1095139</v>
      </c>
      <c r="G87" s="1704">
        <v>65.098342491517485</v>
      </c>
      <c r="H87" s="1703">
        <v>6513875</v>
      </c>
      <c r="I87" s="1704">
        <v>85.995393336140054</v>
      </c>
      <c r="J87" s="1703">
        <v>4735929</v>
      </c>
      <c r="K87" s="1704">
        <v>87.078183443901864</v>
      </c>
      <c r="L87" s="1703">
        <v>1777946</v>
      </c>
      <c r="M87" s="1704">
        <v>83.238341362472326</v>
      </c>
      <c r="N87" s="1703">
        <v>14582945</v>
      </c>
      <c r="O87" s="1703">
        <v>15265752</v>
      </c>
      <c r="P87" s="1703">
        <v>-682807</v>
      </c>
    </row>
    <row r="88" spans="1:38">
      <c r="A88" s="37" t="s">
        <v>1060</v>
      </c>
      <c r="B88" s="1912">
        <v>3587634</v>
      </c>
      <c r="C88" s="1913">
        <v>49.573312356026861</v>
      </c>
      <c r="D88" s="1912">
        <v>3310785</v>
      </c>
      <c r="E88" s="1913">
        <v>47.792054253494776</v>
      </c>
      <c r="F88" s="1912">
        <v>276849</v>
      </c>
      <c r="G88" s="1913">
        <v>89.436822195014003</v>
      </c>
      <c r="H88" s="1912">
        <v>1476982</v>
      </c>
      <c r="I88" s="1913">
        <v>103.94378944123726</v>
      </c>
      <c r="J88" s="1912">
        <v>1079532</v>
      </c>
      <c r="K88" s="1913">
        <v>105.64361919711271</v>
      </c>
      <c r="L88" s="1912">
        <v>397450</v>
      </c>
      <c r="M88" s="1913">
        <v>99.591311037107758</v>
      </c>
      <c r="N88" s="1912">
        <v>2110652</v>
      </c>
      <c r="O88" s="1912">
        <v>2231253</v>
      </c>
      <c r="P88" s="1912">
        <v>-120601</v>
      </c>
    </row>
    <row r="89" spans="1:38">
      <c r="A89" s="37" t="s">
        <v>1061</v>
      </c>
      <c r="B89" s="1912">
        <v>5255911</v>
      </c>
      <c r="C89" s="1913">
        <v>52.57994217308898</v>
      </c>
      <c r="D89" s="1912">
        <v>4952493</v>
      </c>
      <c r="E89" s="1913">
        <v>51.986332062811123</v>
      </c>
      <c r="F89" s="1912">
        <v>303418</v>
      </c>
      <c r="G89" s="1913">
        <v>64.624533289031731</v>
      </c>
      <c r="H89" s="1912">
        <v>1451664</v>
      </c>
      <c r="I89" s="1913">
        <v>80.905368968173192</v>
      </c>
      <c r="J89" s="1912">
        <v>1062036</v>
      </c>
      <c r="K89" s="1913">
        <v>80.220621892689294</v>
      </c>
      <c r="L89" s="1912">
        <v>389628</v>
      </c>
      <c r="M89" s="1913">
        <v>82.832603427016466</v>
      </c>
      <c r="N89" s="1912">
        <v>3804247</v>
      </c>
      <c r="O89" s="1912">
        <v>3890457</v>
      </c>
      <c r="P89" s="1912">
        <v>-86210</v>
      </c>
    </row>
    <row r="90" spans="1:38">
      <c r="A90" s="37" t="s">
        <v>979</v>
      </c>
      <c r="B90" s="1912">
        <v>5946514</v>
      </c>
      <c r="C90" s="1913">
        <v>65.996518446297003</v>
      </c>
      <c r="D90" s="1912">
        <v>5896082</v>
      </c>
      <c r="E90" s="1913">
        <v>68.994811301932472</v>
      </c>
      <c r="F90" s="1912">
        <v>50432</v>
      </c>
      <c r="G90" s="1913">
        <v>10.85362074308736</v>
      </c>
      <c r="H90" s="1912">
        <v>1792929</v>
      </c>
      <c r="I90" s="1913">
        <v>78.615927787994309</v>
      </c>
      <c r="J90" s="1912">
        <v>1344491</v>
      </c>
      <c r="K90" s="1913">
        <v>84.835457862144764</v>
      </c>
      <c r="L90" s="1912">
        <v>448438</v>
      </c>
      <c r="M90" s="1913">
        <v>64.449637537439131</v>
      </c>
      <c r="N90" s="1912">
        <v>4153585</v>
      </c>
      <c r="O90" s="1912">
        <v>4551591</v>
      </c>
      <c r="P90" s="1912">
        <v>-398006</v>
      </c>
    </row>
    <row r="91" spans="1:38">
      <c r="A91" s="37" t="s">
        <v>1062</v>
      </c>
      <c r="B91" s="1912">
        <v>6306761</v>
      </c>
      <c r="C91" s="1913">
        <v>145.21893384033325</v>
      </c>
      <c r="D91" s="1912">
        <v>5842321</v>
      </c>
      <c r="E91" s="1913">
        <v>149.63577906858509</v>
      </c>
      <c r="F91" s="1912">
        <v>464440</v>
      </c>
      <c r="G91" s="1913">
        <v>105.89823335735066</v>
      </c>
      <c r="H91" s="1912">
        <v>1792300</v>
      </c>
      <c r="I91" s="1913">
        <v>86.216185533883248</v>
      </c>
      <c r="J91" s="1912">
        <v>1249870</v>
      </c>
      <c r="K91" s="1913">
        <v>82.875426604187567</v>
      </c>
      <c r="L91" s="1912">
        <v>542430</v>
      </c>
      <c r="M91" s="1913">
        <v>95.044269186088286</v>
      </c>
      <c r="N91" s="1912">
        <v>4514461</v>
      </c>
      <c r="O91" s="1912">
        <v>4592451</v>
      </c>
      <c r="P91" s="1912">
        <v>-77990</v>
      </c>
    </row>
    <row r="92" spans="1:38">
      <c r="A92" s="37"/>
      <c r="B92" s="1912"/>
      <c r="C92" s="1913"/>
      <c r="D92" s="1912"/>
      <c r="E92" s="1913"/>
      <c r="F92" s="1912"/>
      <c r="G92" s="1913"/>
      <c r="H92" s="1912"/>
      <c r="I92" s="1913"/>
      <c r="J92" s="1912"/>
      <c r="K92" s="1913"/>
      <c r="L92" s="1912"/>
      <c r="M92" s="1913"/>
      <c r="N92" s="1912"/>
      <c r="O92" s="1912"/>
      <c r="P92" s="1912"/>
    </row>
    <row r="93" spans="1:38" s="1911" customFormat="1">
      <c r="A93" s="37">
        <v>2010</v>
      </c>
      <c r="B93" s="1703">
        <v>26476026</v>
      </c>
      <c r="C93" s="1704">
        <v>125.49771008142459</v>
      </c>
      <c r="D93" s="1703">
        <v>24311243</v>
      </c>
      <c r="E93" s="1704">
        <v>121.54599905877912</v>
      </c>
      <c r="F93" s="1703">
        <v>2164783</v>
      </c>
      <c r="G93" s="1704">
        <v>197.67198501742703</v>
      </c>
      <c r="H93" s="1703">
        <v>6745603</v>
      </c>
      <c r="I93" s="1704">
        <v>103.55745236130566</v>
      </c>
      <c r="J93" s="1703">
        <v>4794083</v>
      </c>
      <c r="K93" s="1704">
        <v>101.22793225996421</v>
      </c>
      <c r="L93" s="1703">
        <v>1951520</v>
      </c>
      <c r="M93" s="1704">
        <v>109.76261371267744</v>
      </c>
      <c r="N93" s="1703">
        <v>19730423</v>
      </c>
      <c r="O93" s="1703">
        <v>19517160</v>
      </c>
      <c r="P93" s="1703">
        <v>213263</v>
      </c>
    </row>
    <row r="94" spans="1:38">
      <c r="A94" s="37" t="s">
        <v>1060</v>
      </c>
      <c r="B94" s="1912">
        <v>6258425</v>
      </c>
      <c r="C94" s="1913">
        <v>174.4443552491698</v>
      </c>
      <c r="D94" s="1912">
        <v>5760856</v>
      </c>
      <c r="E94" s="1913">
        <v>174.00272140897098</v>
      </c>
      <c r="F94" s="1912">
        <v>497569</v>
      </c>
      <c r="G94" s="1913">
        <v>179.72577108821056</v>
      </c>
      <c r="H94" s="1912">
        <v>1217837</v>
      </c>
      <c r="I94" s="1913">
        <v>82.454423953711014</v>
      </c>
      <c r="J94" s="1912">
        <v>855983</v>
      </c>
      <c r="K94" s="1913">
        <v>79.292045071382788</v>
      </c>
      <c r="L94" s="1912">
        <v>361854</v>
      </c>
      <c r="M94" s="1913">
        <v>91.043904893697331</v>
      </c>
      <c r="N94" s="1912">
        <v>5040588</v>
      </c>
      <c r="O94" s="1912">
        <v>4904873</v>
      </c>
      <c r="P94" s="1912">
        <v>135715</v>
      </c>
    </row>
    <row r="95" spans="1:38">
      <c r="A95" s="37" t="s">
        <v>1061</v>
      </c>
      <c r="B95" s="1912">
        <v>6933621</v>
      </c>
      <c r="C95" s="1913">
        <v>131.92044157520934</v>
      </c>
      <c r="D95" s="1912">
        <v>6305395</v>
      </c>
      <c r="E95" s="1913">
        <v>127.31759540094252</v>
      </c>
      <c r="F95" s="1912">
        <v>628226</v>
      </c>
      <c r="G95" s="1913">
        <v>207.04968063859098</v>
      </c>
      <c r="H95" s="1912">
        <v>1737831</v>
      </c>
      <c r="I95" s="1913">
        <v>119.71303276791323</v>
      </c>
      <c r="J95" s="1912">
        <v>1245142</v>
      </c>
      <c r="K95" s="1913">
        <v>117.2410351438181</v>
      </c>
      <c r="L95" s="1912">
        <v>492689</v>
      </c>
      <c r="M95" s="1913">
        <v>126.45112774235938</v>
      </c>
      <c r="N95" s="1912">
        <v>5195790</v>
      </c>
      <c r="O95" s="1912">
        <v>5060253</v>
      </c>
      <c r="P95" s="1912">
        <v>135537</v>
      </c>
    </row>
    <row r="96" spans="1:38">
      <c r="A96" s="37" t="s">
        <v>979</v>
      </c>
      <c r="B96" s="1912">
        <v>6888150</v>
      </c>
      <c r="C96" s="1913">
        <v>115.83509262737799</v>
      </c>
      <c r="D96" s="1912">
        <v>6400978</v>
      </c>
      <c r="E96" s="1913">
        <v>108.56324589786912</v>
      </c>
      <c r="F96" s="1912">
        <v>487172</v>
      </c>
      <c r="G96" s="1913">
        <v>965.99777918781729</v>
      </c>
      <c r="H96" s="1912">
        <v>1706833</v>
      </c>
      <c r="I96" s="1913">
        <v>95.198025130944956</v>
      </c>
      <c r="J96" s="1912">
        <v>1212269</v>
      </c>
      <c r="K96" s="1913">
        <v>90.165646330098156</v>
      </c>
      <c r="L96" s="1912">
        <v>494564</v>
      </c>
      <c r="M96" s="1913">
        <v>110.28592581360188</v>
      </c>
      <c r="N96" s="1912">
        <v>5181317</v>
      </c>
      <c r="O96" s="1912">
        <v>5188709</v>
      </c>
      <c r="P96" s="1912">
        <v>-7392</v>
      </c>
      <c r="Q96" s="1849"/>
      <c r="R96" s="1849"/>
      <c r="S96" s="1849"/>
      <c r="T96" s="1849"/>
      <c r="U96" s="1849"/>
      <c r="V96" s="1849"/>
      <c r="W96" s="1849"/>
      <c r="X96" s="1849"/>
      <c r="Y96" s="1849"/>
      <c r="Z96" s="1849"/>
      <c r="AA96" s="1849"/>
      <c r="AB96" s="1849"/>
      <c r="AC96" s="1849"/>
      <c r="AD96" s="1849"/>
      <c r="AE96" s="1849"/>
      <c r="AF96" s="1849"/>
      <c r="AG96" s="1849"/>
      <c r="AH96" s="1849"/>
      <c r="AI96" s="1849"/>
      <c r="AJ96" s="1849"/>
      <c r="AK96" s="1849"/>
      <c r="AL96" s="1914"/>
    </row>
    <row r="97" spans="1:16">
      <c r="A97" s="37" t="s">
        <v>1062</v>
      </c>
      <c r="B97" s="1912">
        <v>6395830</v>
      </c>
      <c r="C97" s="1913">
        <v>101.41227802987936</v>
      </c>
      <c r="D97" s="1912">
        <v>5844014</v>
      </c>
      <c r="E97" s="1913">
        <v>100.02897820917407</v>
      </c>
      <c r="F97" s="1912">
        <v>551816</v>
      </c>
      <c r="G97" s="1913">
        <v>118.81319438463527</v>
      </c>
      <c r="H97" s="1912">
        <v>2083102</v>
      </c>
      <c r="I97" s="1913">
        <v>116.22507392735591</v>
      </c>
      <c r="J97" s="1912">
        <v>1480689</v>
      </c>
      <c r="K97" s="1913">
        <v>118.46744061382384</v>
      </c>
      <c r="L97" s="1912">
        <v>602413</v>
      </c>
      <c r="M97" s="1913">
        <v>111.05820105820105</v>
      </c>
      <c r="N97" s="1912">
        <v>4312728</v>
      </c>
      <c r="O97" s="1912">
        <v>4363325</v>
      </c>
      <c r="P97" s="1912">
        <v>-50597</v>
      </c>
    </row>
    <row r="98" spans="1:16">
      <c r="A98" s="37"/>
      <c r="B98" s="1912"/>
      <c r="C98" s="1913"/>
      <c r="D98" s="1912"/>
      <c r="E98" s="1913"/>
      <c r="F98" s="1912"/>
      <c r="G98" s="1913"/>
      <c r="H98" s="1912"/>
      <c r="I98" s="1913"/>
      <c r="J98" s="1912"/>
      <c r="K98" s="1913"/>
      <c r="L98" s="1912"/>
      <c r="M98" s="1913"/>
      <c r="N98" s="1912"/>
      <c r="O98" s="1912"/>
      <c r="P98" s="1912"/>
    </row>
    <row r="99" spans="1:16" s="1911" customFormat="1">
      <c r="A99" s="37">
        <v>2011</v>
      </c>
      <c r="B99" s="1703">
        <v>34494880</v>
      </c>
      <c r="C99" s="1704">
        <v>130.28722664043312</v>
      </c>
      <c r="D99" s="1703">
        <v>31419546</v>
      </c>
      <c r="E99" s="1704">
        <v>129.23874768558727</v>
      </c>
      <c r="F99" s="1703">
        <v>3075334</v>
      </c>
      <c r="G99" s="1704">
        <v>142.06199882390061</v>
      </c>
      <c r="H99" s="1703">
        <v>10166471</v>
      </c>
      <c r="I99" s="1704">
        <v>150.71256046346042</v>
      </c>
      <c r="J99" s="1703">
        <v>7665979</v>
      </c>
      <c r="K99" s="1704">
        <v>159.90501207425905</v>
      </c>
      <c r="L99" s="1703">
        <v>2500492</v>
      </c>
      <c r="M99" s="1704">
        <v>128.13048290563253</v>
      </c>
      <c r="N99" s="1703">
        <v>24328409</v>
      </c>
      <c r="O99" s="1703">
        <v>23753567</v>
      </c>
      <c r="P99" s="1703">
        <v>574842</v>
      </c>
    </row>
    <row r="100" spans="1:16">
      <c r="A100" s="37" t="s">
        <v>1060</v>
      </c>
      <c r="B100" s="1912">
        <v>8546135</v>
      </c>
      <c r="C100" s="1913">
        <v>136.55408509329422</v>
      </c>
      <c r="D100" s="1912">
        <v>7627342</v>
      </c>
      <c r="E100" s="1913">
        <v>132.39945591419053</v>
      </c>
      <c r="F100" s="1912">
        <v>918793</v>
      </c>
      <c r="G100" s="1913">
        <v>184.65639941395062</v>
      </c>
      <c r="H100" s="1912">
        <v>1991926</v>
      </c>
      <c r="I100" s="1913">
        <v>163.5626114167988</v>
      </c>
      <c r="J100" s="1912">
        <v>1377351</v>
      </c>
      <c r="K100" s="1913">
        <v>160.90868627063855</v>
      </c>
      <c r="L100" s="1912">
        <v>614575</v>
      </c>
      <c r="M100" s="1913">
        <v>169.8405986945011</v>
      </c>
      <c r="N100" s="1912">
        <v>6554209</v>
      </c>
      <c r="O100" s="1912">
        <v>6249991</v>
      </c>
      <c r="P100" s="1912">
        <v>304218</v>
      </c>
    </row>
    <row r="101" spans="1:16">
      <c r="A101" s="37" t="s">
        <v>1061</v>
      </c>
      <c r="B101" s="1912">
        <v>9705438</v>
      </c>
      <c r="C101" s="1913">
        <v>139.97647116852795</v>
      </c>
      <c r="D101" s="1912">
        <v>8839266</v>
      </c>
      <c r="E101" s="1913">
        <v>140.18576155815774</v>
      </c>
      <c r="F101" s="1912">
        <v>866172</v>
      </c>
      <c r="G101" s="1913">
        <v>137.87585996122417</v>
      </c>
      <c r="H101" s="1912">
        <v>2581827</v>
      </c>
      <c r="I101" s="1913">
        <v>148.56605734389592</v>
      </c>
      <c r="J101" s="1912">
        <v>1963507</v>
      </c>
      <c r="K101" s="1913">
        <v>157.69341970634673</v>
      </c>
      <c r="L101" s="1912">
        <v>618320</v>
      </c>
      <c r="M101" s="1913">
        <v>125.49904706620201</v>
      </c>
      <c r="N101" s="1912">
        <v>7123611</v>
      </c>
      <c r="O101" s="1912">
        <v>6875759</v>
      </c>
      <c r="P101" s="1912">
        <v>247852</v>
      </c>
    </row>
    <row r="102" spans="1:16">
      <c r="A102" s="37" t="s">
        <v>1264</v>
      </c>
      <c r="B102" s="1912">
        <v>8580340</v>
      </c>
      <c r="C102" s="1913">
        <v>124.56668336200576</v>
      </c>
      <c r="D102" s="1912">
        <v>7788066</v>
      </c>
      <c r="E102" s="1913">
        <v>121.66993856251342</v>
      </c>
      <c r="F102" s="1912">
        <v>792274</v>
      </c>
      <c r="G102" s="1913">
        <v>162.62716248060235</v>
      </c>
      <c r="H102" s="1912">
        <v>2653956</v>
      </c>
      <c r="I102" s="1913">
        <v>155.49008016601508</v>
      </c>
      <c r="J102" s="1912">
        <v>2038878</v>
      </c>
      <c r="K102" s="1913">
        <v>168.18692880870501</v>
      </c>
      <c r="L102" s="1912">
        <v>615078</v>
      </c>
      <c r="M102" s="1913">
        <v>124.3677259161605</v>
      </c>
      <c r="N102" s="1912">
        <v>5926384</v>
      </c>
      <c r="O102" s="1912">
        <v>5749188</v>
      </c>
      <c r="P102" s="1912">
        <v>177196</v>
      </c>
    </row>
    <row r="103" spans="1:16">
      <c r="A103" s="37" t="s">
        <v>1062</v>
      </c>
      <c r="B103" s="1912">
        <v>7662967</v>
      </c>
      <c r="C103" s="1913">
        <v>119.81192433194754</v>
      </c>
      <c r="D103" s="1912">
        <v>7164872</v>
      </c>
      <c r="E103" s="1913">
        <v>122.60189657314304</v>
      </c>
      <c r="F103" s="1912">
        <v>498095</v>
      </c>
      <c r="G103" s="1913">
        <v>90.264689679168413</v>
      </c>
      <c r="H103" s="1912">
        <v>2938762</v>
      </c>
      <c r="I103" s="1913">
        <v>141.07624110581239</v>
      </c>
      <c r="J103" s="1912">
        <v>2286243</v>
      </c>
      <c r="K103" s="1913">
        <v>154.40399705812632</v>
      </c>
      <c r="L103" s="1912">
        <v>652519</v>
      </c>
      <c r="M103" s="1913">
        <v>108.31754958807329</v>
      </c>
      <c r="N103" s="1912">
        <v>4724205</v>
      </c>
      <c r="O103" s="1912">
        <v>4878629</v>
      </c>
      <c r="P103" s="1912">
        <v>-154424</v>
      </c>
    </row>
    <row r="104" spans="1:16">
      <c r="A104" s="37"/>
      <c r="B104" s="1912"/>
      <c r="C104" s="1913"/>
      <c r="D104" s="1912"/>
      <c r="E104" s="1913"/>
      <c r="F104" s="1912"/>
      <c r="G104" s="1913"/>
      <c r="H104" s="1912"/>
      <c r="I104" s="1913"/>
      <c r="J104" s="1912"/>
      <c r="K104" s="1913"/>
      <c r="L104" s="1912"/>
      <c r="M104" s="1913"/>
      <c r="N104" s="1912"/>
      <c r="O104" s="1912"/>
      <c r="P104" s="1912"/>
    </row>
    <row r="105" spans="1:16" s="1911" customFormat="1">
      <c r="A105" s="37">
        <v>2012</v>
      </c>
      <c r="B105" s="1703">
        <v>32634038</v>
      </c>
      <c r="C105" s="1704">
        <v>94.605454490637456</v>
      </c>
      <c r="D105" s="1703">
        <v>31019406</v>
      </c>
      <c r="E105" s="1704">
        <v>98.726461547216502</v>
      </c>
      <c r="F105" s="1703">
        <v>1614632</v>
      </c>
      <c r="G105" s="1704">
        <v>52.502654996172772</v>
      </c>
      <c r="H105" s="1703">
        <v>10417471</v>
      </c>
      <c r="I105" s="1704">
        <v>102.46889997522248</v>
      </c>
      <c r="J105" s="1703">
        <v>7838856</v>
      </c>
      <c r="K105" s="1704">
        <v>102.2551196657335</v>
      </c>
      <c r="L105" s="1703">
        <v>2578615</v>
      </c>
      <c r="M105" s="1704">
        <v>103.12430513674909</v>
      </c>
      <c r="N105" s="1703">
        <v>22216567</v>
      </c>
      <c r="O105" s="1703">
        <v>23180550</v>
      </c>
      <c r="P105" s="1703">
        <v>-963983</v>
      </c>
    </row>
    <row r="106" spans="1:16">
      <c r="A106" s="37" t="s">
        <v>1060</v>
      </c>
      <c r="B106" s="1912">
        <v>8969981</v>
      </c>
      <c r="C106" s="1913">
        <v>104.95950508621735</v>
      </c>
      <c r="D106" s="1912">
        <v>8678318</v>
      </c>
      <c r="E106" s="1913">
        <v>113.77905959900578</v>
      </c>
      <c r="F106" s="1912">
        <v>291663</v>
      </c>
      <c r="G106" s="1913">
        <v>31.744146940605773</v>
      </c>
      <c r="H106" s="1912">
        <v>2153519</v>
      </c>
      <c r="I106" s="1913">
        <v>108.11239975782232</v>
      </c>
      <c r="J106" s="1912">
        <v>1635052</v>
      </c>
      <c r="K106" s="1913">
        <v>118.70990038123905</v>
      </c>
      <c r="L106" s="1912">
        <v>518467</v>
      </c>
      <c r="M106" s="1913">
        <v>84.361876093235168</v>
      </c>
      <c r="N106" s="1912">
        <v>6816462</v>
      </c>
      <c r="O106" s="1912">
        <v>7043266</v>
      </c>
      <c r="P106" s="1912">
        <v>-226804</v>
      </c>
    </row>
    <row r="107" spans="1:16">
      <c r="A107" s="37" t="s">
        <v>1061</v>
      </c>
      <c r="B107" s="1912">
        <v>8255228</v>
      </c>
      <c r="C107" s="1913">
        <v>85.057758341251571</v>
      </c>
      <c r="D107" s="1912">
        <v>7718399</v>
      </c>
      <c r="E107" s="1913">
        <v>87.319456162989098</v>
      </c>
      <c r="F107" s="1912">
        <v>536829</v>
      </c>
      <c r="G107" s="1913">
        <v>61.977182361009127</v>
      </c>
      <c r="H107" s="1912">
        <v>2668174</v>
      </c>
      <c r="I107" s="1913">
        <v>103.34441463351341</v>
      </c>
      <c r="J107" s="1912">
        <v>1929511</v>
      </c>
      <c r="K107" s="1913">
        <v>98.268608158768984</v>
      </c>
      <c r="L107" s="1912">
        <v>738663</v>
      </c>
      <c r="M107" s="1913">
        <v>119.46289946953034</v>
      </c>
      <c r="N107" s="1912">
        <v>5587054</v>
      </c>
      <c r="O107" s="1912">
        <v>5788888</v>
      </c>
      <c r="P107" s="1912">
        <v>-201834</v>
      </c>
    </row>
    <row r="108" spans="1:16">
      <c r="A108" s="37" t="s">
        <v>979</v>
      </c>
      <c r="B108" s="1912">
        <v>7577848</v>
      </c>
      <c r="C108" s="1913">
        <v>88.316407042145187</v>
      </c>
      <c r="D108" s="1912">
        <v>7282901</v>
      </c>
      <c r="E108" s="1913">
        <v>93.513601451246046</v>
      </c>
      <c r="F108" s="1912">
        <v>294947</v>
      </c>
      <c r="G108" s="1913">
        <v>37.227903477837216</v>
      </c>
      <c r="H108" s="1912">
        <v>2475288</v>
      </c>
      <c r="I108" s="1913">
        <v>93.267861260699121</v>
      </c>
      <c r="J108" s="1912">
        <v>1936149</v>
      </c>
      <c r="K108" s="1913">
        <v>94.961493527322389</v>
      </c>
      <c r="L108" s="1912">
        <v>539139</v>
      </c>
      <c r="M108" s="1913">
        <v>87.653760986411484</v>
      </c>
      <c r="N108" s="1912">
        <v>5102560</v>
      </c>
      <c r="O108" s="1912">
        <v>5346752</v>
      </c>
      <c r="P108" s="1912">
        <v>-244192</v>
      </c>
    </row>
    <row r="109" spans="1:16">
      <c r="A109" s="37" t="s">
        <v>1062</v>
      </c>
      <c r="B109" s="1912">
        <v>7830981</v>
      </c>
      <c r="C109" s="1913">
        <v>102.1925450024775</v>
      </c>
      <c r="D109" s="1760">
        <v>7339788</v>
      </c>
      <c r="E109" s="1913">
        <v>102.44129971896218</v>
      </c>
      <c r="F109" s="1760">
        <v>491193</v>
      </c>
      <c r="G109" s="1913">
        <v>98.614320561338701</v>
      </c>
      <c r="H109" s="1912">
        <v>3120490</v>
      </c>
      <c r="I109" s="1913">
        <v>106.18382842843349</v>
      </c>
      <c r="J109" s="1760">
        <v>2338144</v>
      </c>
      <c r="K109" s="1913">
        <v>102.27014363739988</v>
      </c>
      <c r="L109" s="1760">
        <v>782346</v>
      </c>
      <c r="M109" s="1913">
        <v>119.89627888230075</v>
      </c>
      <c r="N109" s="1912">
        <v>4710491</v>
      </c>
      <c r="O109" s="1760">
        <v>5001644</v>
      </c>
      <c r="P109" s="1760">
        <v>-291153</v>
      </c>
    </row>
    <row r="110" spans="1:16" s="1911" customFormat="1">
      <c r="A110" s="37"/>
      <c r="B110" s="1703"/>
      <c r="C110" s="1704"/>
      <c r="D110" s="1703"/>
      <c r="E110" s="1704"/>
      <c r="F110" s="1703"/>
      <c r="G110" s="1704"/>
      <c r="H110" s="1703"/>
      <c r="I110" s="1704"/>
      <c r="J110" s="1703"/>
      <c r="K110" s="1704"/>
      <c r="L110" s="1703"/>
      <c r="M110" s="1704"/>
      <c r="N110" s="1703"/>
      <c r="O110" s="1703"/>
      <c r="P110" s="1703"/>
    </row>
    <row r="111" spans="1:16" s="1911" customFormat="1">
      <c r="A111" s="37">
        <v>2013</v>
      </c>
      <c r="B111" s="1703">
        <v>31702945</v>
      </c>
      <c r="C111" s="1704">
        <v>97.146865490565403</v>
      </c>
      <c r="D111" s="1703">
        <v>30053947</v>
      </c>
      <c r="E111" s="1704">
        <v>96.887564513646723</v>
      </c>
      <c r="F111" s="1703">
        <v>1648998</v>
      </c>
      <c r="G111" s="1704">
        <v>102.12841068429215</v>
      </c>
      <c r="H111" s="1703">
        <v>10320593</v>
      </c>
      <c r="I111" s="1704">
        <v>99.070043007559121</v>
      </c>
      <c r="J111" s="1703">
        <v>7702277</v>
      </c>
      <c r="K111" s="1704">
        <v>98.257666679933905</v>
      </c>
      <c r="L111" s="1703">
        <v>2618316</v>
      </c>
      <c r="M111" s="1704">
        <v>101.53962495370577</v>
      </c>
      <c r="N111" s="1703">
        <v>21382352</v>
      </c>
      <c r="O111" s="1703">
        <v>22351670</v>
      </c>
      <c r="P111" s="1703">
        <v>-969318</v>
      </c>
    </row>
    <row r="112" spans="1:16">
      <c r="A112" s="37" t="s">
        <v>1060</v>
      </c>
      <c r="B112" s="1912">
        <v>8273177</v>
      </c>
      <c r="C112" s="1913">
        <v>92.231823010550414</v>
      </c>
      <c r="D112" s="1912">
        <v>7864164</v>
      </c>
      <c r="E112" s="1913">
        <v>90.618527691656382</v>
      </c>
      <c r="F112" s="1912">
        <v>409013</v>
      </c>
      <c r="G112" s="1913">
        <v>140.23479152309343</v>
      </c>
      <c r="H112" s="1912">
        <v>2235816</v>
      </c>
      <c r="I112" s="1913">
        <v>103.82151260332506</v>
      </c>
      <c r="J112" s="1912">
        <v>1652430</v>
      </c>
      <c r="K112" s="1913">
        <v>101.06284081484871</v>
      </c>
      <c r="L112" s="1912">
        <v>583386</v>
      </c>
      <c r="M112" s="1913">
        <v>112.52133694140612</v>
      </c>
      <c r="N112" s="1912">
        <v>6037361</v>
      </c>
      <c r="O112" s="1760">
        <v>6211734</v>
      </c>
      <c r="P112" s="1912">
        <v>-174373</v>
      </c>
    </row>
    <row r="113" spans="1:16">
      <c r="A113" s="37" t="s">
        <v>1061</v>
      </c>
      <c r="B113" s="1912">
        <v>7558422</v>
      </c>
      <c r="C113" s="1913">
        <v>91.559215566184236</v>
      </c>
      <c r="D113" s="1912">
        <v>7163104</v>
      </c>
      <c r="E113" s="1913">
        <v>92.805567579494138</v>
      </c>
      <c r="F113" s="1912">
        <v>395318</v>
      </c>
      <c r="G113" s="1913">
        <v>73.639464335943103</v>
      </c>
      <c r="H113" s="1912">
        <v>2860024</v>
      </c>
      <c r="I113" s="1913">
        <v>107.19031067688989</v>
      </c>
      <c r="J113" s="1912">
        <v>2167395</v>
      </c>
      <c r="K113" s="1913">
        <v>112.32871955640573</v>
      </c>
      <c r="L113" s="1912">
        <v>692629</v>
      </c>
      <c r="M113" s="1913">
        <v>93.767929353439925</v>
      </c>
      <c r="N113" s="1912">
        <v>4698398</v>
      </c>
      <c r="O113" s="1760">
        <v>4995709</v>
      </c>
      <c r="P113" s="1912">
        <v>-297311</v>
      </c>
    </row>
    <row r="114" spans="1:16">
      <c r="A114" s="37" t="s">
        <v>1264</v>
      </c>
      <c r="B114" s="1912">
        <v>7923963</v>
      </c>
      <c r="C114" s="1913">
        <v>104.56745767399926</v>
      </c>
      <c r="D114" s="1912">
        <v>7669407</v>
      </c>
      <c r="E114" s="1913">
        <v>105.3070335570949</v>
      </c>
      <c r="F114" s="1912">
        <v>254556</v>
      </c>
      <c r="G114" s="1913">
        <v>86.305675256910561</v>
      </c>
      <c r="H114" s="1912">
        <v>2704978</v>
      </c>
      <c r="I114" s="1913">
        <v>109.27932426448963</v>
      </c>
      <c r="J114" s="1912">
        <v>1989530</v>
      </c>
      <c r="K114" s="1913">
        <v>102.75707086593027</v>
      </c>
      <c r="L114" s="1912">
        <v>715448</v>
      </c>
      <c r="M114" s="1913">
        <v>132.70195626730771</v>
      </c>
      <c r="N114" s="1912">
        <v>5218985</v>
      </c>
      <c r="O114" s="1760">
        <v>5679877</v>
      </c>
      <c r="P114" s="1912">
        <v>-460892</v>
      </c>
    </row>
    <row r="115" spans="1:16">
      <c r="A115" s="37" t="s">
        <v>1062</v>
      </c>
      <c r="B115" s="1912">
        <v>7947383</v>
      </c>
      <c r="C115" s="1913">
        <v>101.48642935029469</v>
      </c>
      <c r="D115" s="1912">
        <v>7357272</v>
      </c>
      <c r="E115" s="1913">
        <v>100.23820851501432</v>
      </c>
      <c r="F115" s="1912">
        <v>590111</v>
      </c>
      <c r="G115" s="1913">
        <v>120.1383163033675</v>
      </c>
      <c r="H115" s="1912">
        <v>2519775</v>
      </c>
      <c r="I115" s="1913">
        <v>80.749337443798879</v>
      </c>
      <c r="J115" s="1912">
        <v>1892922</v>
      </c>
      <c r="K115" s="1913">
        <v>80.958315655494275</v>
      </c>
      <c r="L115" s="1912">
        <v>626853</v>
      </c>
      <c r="M115" s="1913">
        <v>80.124778550666846</v>
      </c>
      <c r="N115" s="1912">
        <v>5427608</v>
      </c>
      <c r="O115" s="1760">
        <v>5464350</v>
      </c>
      <c r="P115" s="1912">
        <v>-36742</v>
      </c>
    </row>
    <row r="116" spans="1:16">
      <c r="A116" s="312"/>
      <c r="B116" s="1760"/>
      <c r="C116" s="1759"/>
      <c r="D116" s="1760"/>
      <c r="E116" s="1759"/>
      <c r="F116" s="1760"/>
      <c r="G116" s="1759"/>
      <c r="H116" s="1760"/>
      <c r="I116" s="1759"/>
      <c r="J116" s="1760"/>
      <c r="K116" s="1759"/>
      <c r="L116" s="1760"/>
      <c r="M116" s="1759"/>
      <c r="N116" s="1760"/>
      <c r="O116" s="1760"/>
      <c r="P116" s="1760"/>
    </row>
    <row r="117" spans="1:16" s="1911" customFormat="1">
      <c r="A117" s="37">
        <v>2014</v>
      </c>
      <c r="B117" s="1703">
        <v>28259629</v>
      </c>
      <c r="C117" s="1704">
        <v>89.138813444618464</v>
      </c>
      <c r="D117" s="1703">
        <v>27321965</v>
      </c>
      <c r="E117" s="1704">
        <v>90.909739742337337</v>
      </c>
      <c r="F117" s="1703">
        <v>937664</v>
      </c>
      <c r="G117" s="1704">
        <v>56.862652350093811</v>
      </c>
      <c r="H117" s="1703">
        <v>9332001</v>
      </c>
      <c r="I117" s="1704">
        <v>90.421170566458699</v>
      </c>
      <c r="J117" s="1703">
        <v>7154344</v>
      </c>
      <c r="K117" s="1704">
        <v>92.886090697595009</v>
      </c>
      <c r="L117" s="1703">
        <v>2177657</v>
      </c>
      <c r="M117" s="1704">
        <v>83.170136836042701</v>
      </c>
      <c r="N117" s="1703">
        <v>18927628</v>
      </c>
      <c r="O117" s="1703">
        <v>20167621</v>
      </c>
      <c r="P117" s="1703">
        <v>-1239993</v>
      </c>
    </row>
    <row r="118" spans="1:16">
      <c r="A118" s="37" t="s">
        <v>1060</v>
      </c>
      <c r="B118" s="1912">
        <v>7503648</v>
      </c>
      <c r="C118" s="1913">
        <v>90.698506752605439</v>
      </c>
      <c r="D118" s="1912">
        <v>7279897</v>
      </c>
      <c r="E118" s="1913">
        <v>92.570513534560064</v>
      </c>
      <c r="F118" s="1912">
        <v>223751</v>
      </c>
      <c r="G118" s="1913">
        <v>54.705107172632651</v>
      </c>
      <c r="H118" s="1912">
        <v>1959858</v>
      </c>
      <c r="I118" s="1913">
        <v>87.657392200431516</v>
      </c>
      <c r="J118" s="1912">
        <v>1457305</v>
      </c>
      <c r="K118" s="1913">
        <v>88.191632928475045</v>
      </c>
      <c r="L118" s="1912">
        <v>502553</v>
      </c>
      <c r="M118" s="1913">
        <v>86.144165269649946</v>
      </c>
      <c r="N118" s="1912">
        <v>5543790</v>
      </c>
      <c r="O118" s="1760">
        <v>5822592</v>
      </c>
      <c r="P118" s="1912">
        <v>-278802</v>
      </c>
    </row>
    <row r="119" spans="1:16">
      <c r="A119" s="37" t="s">
        <v>1061</v>
      </c>
      <c r="B119" s="1912">
        <v>8090156</v>
      </c>
      <c r="C119" s="1913">
        <v>107.03498693245758</v>
      </c>
      <c r="D119" s="1912">
        <v>7824676</v>
      </c>
      <c r="E119" s="1913">
        <v>109.2358284899954</v>
      </c>
      <c r="F119" s="1912">
        <v>265480</v>
      </c>
      <c r="G119" s="1913">
        <v>67.156061702224534</v>
      </c>
      <c r="H119" s="1912">
        <v>2506058</v>
      </c>
      <c r="I119" s="1913">
        <v>87.623670290878678</v>
      </c>
      <c r="J119" s="1912">
        <v>1956212</v>
      </c>
      <c r="K119" s="1913">
        <v>90.256367667176491</v>
      </c>
      <c r="L119" s="1912">
        <v>549846</v>
      </c>
      <c r="M119" s="1913">
        <v>79.385356374047291</v>
      </c>
      <c r="N119" s="1912">
        <v>5584098</v>
      </c>
      <c r="O119" s="1760">
        <v>5868464</v>
      </c>
      <c r="P119" s="1912">
        <v>-284366</v>
      </c>
    </row>
    <row r="120" spans="1:16">
      <c r="A120" s="37" t="s">
        <v>1264</v>
      </c>
      <c r="B120" s="1912">
        <v>7338205</v>
      </c>
      <c r="C120" s="1913">
        <v>92.60776457436765</v>
      </c>
      <c r="D120" s="1912">
        <v>7125400</v>
      </c>
      <c r="E120" s="1913">
        <v>92.90679188104113</v>
      </c>
      <c r="F120" s="1912">
        <v>212805</v>
      </c>
      <c r="G120" s="1913">
        <v>83.598500919247627</v>
      </c>
      <c r="H120" s="1912">
        <v>2257734</v>
      </c>
      <c r="I120" s="1913">
        <v>83.465891404662074</v>
      </c>
      <c r="J120" s="1912">
        <v>1757354</v>
      </c>
      <c r="K120" s="1913">
        <v>88.330108115987187</v>
      </c>
      <c r="L120" s="1912">
        <v>500380</v>
      </c>
      <c r="M120" s="1913">
        <v>69.939394617079088</v>
      </c>
      <c r="N120" s="1912">
        <v>5080471</v>
      </c>
      <c r="O120" s="1760">
        <v>5368046</v>
      </c>
      <c r="P120" s="1912">
        <v>-287575</v>
      </c>
    </row>
    <row r="121" spans="1:16">
      <c r="A121" s="37" t="s">
        <v>1062</v>
      </c>
      <c r="B121" s="1912">
        <v>5327620</v>
      </c>
      <c r="C121" s="1913">
        <v>67.036155172086211</v>
      </c>
      <c r="D121" s="1912">
        <v>5091992</v>
      </c>
      <c r="E121" s="1913">
        <v>69.210326871155502</v>
      </c>
      <c r="F121" s="1912">
        <v>235628</v>
      </c>
      <c r="G121" s="1913">
        <v>39.929437004224624</v>
      </c>
      <c r="H121" s="1912">
        <v>2608351</v>
      </c>
      <c r="I121" s="1913">
        <v>103.51523449514342</v>
      </c>
      <c r="J121" s="1912">
        <v>1983473</v>
      </c>
      <c r="K121" s="1913">
        <v>104.78366250696014</v>
      </c>
      <c r="L121" s="1912">
        <v>624878</v>
      </c>
      <c r="M121" s="1913">
        <v>99.684934107358501</v>
      </c>
      <c r="N121" s="1912">
        <v>2719269</v>
      </c>
      <c r="O121" s="1760">
        <v>3108519</v>
      </c>
      <c r="P121" s="1912">
        <v>-389250</v>
      </c>
    </row>
    <row r="122" spans="1:16">
      <c r="A122" s="37"/>
      <c r="B122" s="1912"/>
      <c r="C122" s="1913"/>
      <c r="D122" s="1912"/>
      <c r="E122" s="1913" t="s">
        <v>1833</v>
      </c>
      <c r="F122" s="1912"/>
      <c r="G122" s="1913"/>
      <c r="H122" s="1912"/>
      <c r="I122" s="1913"/>
      <c r="J122" s="1912"/>
      <c r="K122" s="1913"/>
      <c r="L122" s="1912"/>
      <c r="M122" s="1913"/>
      <c r="N122" s="1912"/>
      <c r="O122" s="1760"/>
      <c r="P122" s="1912"/>
    </row>
    <row r="123" spans="1:16">
      <c r="A123" s="37">
        <v>2015</v>
      </c>
      <c r="B123" s="1703">
        <f>SUM(B124:B127)</f>
        <v>15586052</v>
      </c>
      <c r="C123" s="1704">
        <f>(B124+B125+B126+B127)/(B118+B119+B120+B121)*100</f>
        <v>55.153066588383027</v>
      </c>
      <c r="D123" s="1703">
        <f>SUM(D124:D127)</f>
        <v>15012423</v>
      </c>
      <c r="E123" s="1704">
        <f>(D124+D125+D126+D127)/(D118+D119+D120+D121)*100</f>
        <v>54.946351772282853</v>
      </c>
      <c r="F123" s="1703">
        <f>SUM(F124:F127)</f>
        <v>573629</v>
      </c>
      <c r="G123" s="1704">
        <f>(F124+F125+F126+F127)/(F118+F119+F120+F121)*100</f>
        <v>61.176391543239376</v>
      </c>
      <c r="H123" s="1703">
        <f>SUM(H124:H127)</f>
        <v>9773629</v>
      </c>
      <c r="I123" s="1704">
        <f>(H124+H125+H126+H127)/(H118+H119+H120+H121)*100</f>
        <v>104.73240412211699</v>
      </c>
      <c r="J123" s="1703">
        <f>SUM(J124:J127)</f>
        <v>7645888</v>
      </c>
      <c r="K123" s="1704">
        <f>(J124+J125+J126+J127)/(J118+J119+J120+J121)*100</f>
        <v>106.87056702892677</v>
      </c>
      <c r="L123" s="1703">
        <f>SUM(L124:L127)</f>
        <v>2127741</v>
      </c>
      <c r="M123" s="1704">
        <f>(L124+L125+L126+L127)/(L118+L119+L120+L121)*100</f>
        <v>97.707811652615632</v>
      </c>
      <c r="N123" s="1703">
        <f>SUM(N124:N127)</f>
        <v>5812423</v>
      </c>
      <c r="O123" s="1703">
        <f>SUM(O124:O127)</f>
        <v>7366535</v>
      </c>
      <c r="P123" s="1703">
        <f>SUM(P124:P127)</f>
        <v>-1554112</v>
      </c>
    </row>
    <row r="124" spans="1:16">
      <c r="A124" s="37" t="s">
        <v>1060</v>
      </c>
      <c r="B124" s="1912">
        <v>4249512</v>
      </c>
      <c r="C124" s="1913">
        <f>B124/B118*100</f>
        <v>56.632613896600695</v>
      </c>
      <c r="D124" s="1912">
        <v>4156148</v>
      </c>
      <c r="E124" s="1913">
        <f>D124/D118*100</f>
        <v>57.090752794991474</v>
      </c>
      <c r="F124" s="1912">
        <v>93364</v>
      </c>
      <c r="G124" s="1913">
        <f>F124/F118*100</f>
        <v>41.726740886074253</v>
      </c>
      <c r="H124" s="1912">
        <v>2491530</v>
      </c>
      <c r="I124" s="1913">
        <f>H124/H118*100</f>
        <v>127.12808785126268</v>
      </c>
      <c r="J124" s="1912">
        <v>2017251</v>
      </c>
      <c r="K124" s="1913">
        <f>J124/J118*100</f>
        <v>138.42339112265449</v>
      </c>
      <c r="L124" s="1912">
        <v>474279</v>
      </c>
      <c r="M124" s="1913">
        <f>L124/L118*100</f>
        <v>94.373926730116025</v>
      </c>
      <c r="N124" s="1760">
        <f>B124-H124</f>
        <v>1757982</v>
      </c>
      <c r="O124" s="1760">
        <f>D124-J124</f>
        <v>2138897</v>
      </c>
      <c r="P124" s="1760">
        <f>F124-L124</f>
        <v>-380915</v>
      </c>
    </row>
    <row r="125" spans="1:16">
      <c r="A125" s="311" t="s">
        <v>1061</v>
      </c>
      <c r="B125" s="1760">
        <f>D125+F125</f>
        <v>4427615</v>
      </c>
      <c r="C125" s="1759">
        <f>B125/B119*100</f>
        <v>54.728425508729373</v>
      </c>
      <c r="D125" s="1760">
        <v>4245173</v>
      </c>
      <c r="E125" s="1759">
        <f>D125/D119*100</f>
        <v>54.253658554041081</v>
      </c>
      <c r="F125" s="1760">
        <v>182442</v>
      </c>
      <c r="G125" s="1759">
        <f>F125/F119*100</f>
        <v>68.72156094621063</v>
      </c>
      <c r="H125" s="1760">
        <f>J125+L125</f>
        <v>2427502</v>
      </c>
      <c r="I125" s="1759">
        <f>H125/H119*100</f>
        <v>96.865355869656639</v>
      </c>
      <c r="J125" s="1760">
        <v>1863683</v>
      </c>
      <c r="K125" s="1759">
        <f>J125/J119*100</f>
        <v>95.269991187049257</v>
      </c>
      <c r="L125" s="1760">
        <v>563819</v>
      </c>
      <c r="M125" s="1759">
        <f>L125/L119*100</f>
        <v>102.54125700650727</v>
      </c>
      <c r="N125" s="1760">
        <f>B125-H125</f>
        <v>2000113</v>
      </c>
      <c r="O125" s="1760">
        <f>D125-J125</f>
        <v>2381490</v>
      </c>
      <c r="P125" s="1760">
        <f>F125-L125</f>
        <v>-381377</v>
      </c>
    </row>
    <row r="126" spans="1:16">
      <c r="A126" s="311" t="s">
        <v>1264</v>
      </c>
      <c r="B126" s="1760">
        <f>D126+F126</f>
        <v>3646206</v>
      </c>
      <c r="C126" s="1759">
        <f>B126/B120*100</f>
        <v>49.68798227904508</v>
      </c>
      <c r="D126" s="1760">
        <v>3530491</v>
      </c>
      <c r="E126" s="1759">
        <f>D126/D120*100</f>
        <v>49.547969236814779</v>
      </c>
      <c r="F126" s="1760">
        <v>115715</v>
      </c>
      <c r="G126" s="1759">
        <f>F126/F120*100</f>
        <v>54.37607199078969</v>
      </c>
      <c r="H126" s="1760">
        <f>J126+L126</f>
        <v>2101727</v>
      </c>
      <c r="I126" s="1759">
        <f>H126/H120*100</f>
        <v>93.090107160542374</v>
      </c>
      <c r="J126" s="1760">
        <v>1639238</v>
      </c>
      <c r="K126" s="1759">
        <f>J126/J120*100</f>
        <v>93.278758861333571</v>
      </c>
      <c r="L126" s="1760">
        <v>462489</v>
      </c>
      <c r="M126" s="1759">
        <f>L126/L120*100</f>
        <v>92.427555058155804</v>
      </c>
      <c r="N126" s="1760">
        <f>O126+P126</f>
        <v>1544479</v>
      </c>
      <c r="O126" s="1760">
        <f>D126-J126</f>
        <v>1891253</v>
      </c>
      <c r="P126" s="1760">
        <f>F126-L126</f>
        <v>-346774</v>
      </c>
    </row>
    <row r="127" spans="1:16">
      <c r="A127" s="311" t="s">
        <v>1062</v>
      </c>
      <c r="B127" s="1760">
        <f>D127+F127</f>
        <v>3262719</v>
      </c>
      <c r="C127" s="1759">
        <f>B127/B121*100</f>
        <v>61.241586299323146</v>
      </c>
      <c r="D127" s="1760">
        <v>3080611</v>
      </c>
      <c r="E127" s="1759">
        <f>D127/D121*100</f>
        <v>60.499132755903787</v>
      </c>
      <c r="F127" s="1760">
        <v>182108</v>
      </c>
      <c r="G127" s="1759">
        <f>F127/F121*100</f>
        <v>77.286230838440247</v>
      </c>
      <c r="H127" s="1760">
        <f>J127+L127</f>
        <v>2752870</v>
      </c>
      <c r="I127" s="1759">
        <f>H127/H121*100</f>
        <v>105.5406270091717</v>
      </c>
      <c r="J127" s="1760">
        <v>2125716</v>
      </c>
      <c r="K127" s="1759">
        <f>J127/J121*100</f>
        <v>107.17141095442186</v>
      </c>
      <c r="L127" s="1760">
        <v>627154</v>
      </c>
      <c r="M127" s="1759">
        <f>L127/L121*100</f>
        <v>100.36423109791031</v>
      </c>
      <c r="N127" s="1760">
        <f>O127+P127</f>
        <v>509849</v>
      </c>
      <c r="O127" s="1760">
        <f>D127-J127</f>
        <v>954895</v>
      </c>
      <c r="P127" s="1760">
        <f>F127-L127</f>
        <v>-445046</v>
      </c>
    </row>
    <row r="128" spans="1:16">
      <c r="A128" s="312"/>
      <c r="B128" s="1760"/>
      <c r="C128" s="1759"/>
      <c r="D128" s="1760"/>
      <c r="E128" s="1759"/>
      <c r="F128" s="1760"/>
      <c r="G128" s="1759"/>
      <c r="H128" s="1760"/>
      <c r="I128" s="1759"/>
      <c r="J128" s="1760"/>
      <c r="K128" s="1759"/>
      <c r="L128" s="1760"/>
      <c r="M128" s="1759"/>
      <c r="N128" s="1760"/>
      <c r="O128" s="1760"/>
      <c r="P128" s="1760"/>
    </row>
    <row r="129" spans="1:16">
      <c r="A129" s="37">
        <v>2016</v>
      </c>
      <c r="B129" s="1703">
        <f>SUM(B130:B133)</f>
        <v>13210511</v>
      </c>
      <c r="C129" s="1704">
        <f>(B130+B131+B132+B133)/(B124+B125+B126+B127)*100</f>
        <v>84.758545653511234</v>
      </c>
      <c r="D129" s="1703">
        <f>SUM(D130:D133)</f>
        <v>12537126</v>
      </c>
      <c r="E129" s="1704">
        <f>(D130+D131+D132+D133)/(D124+D125+D126+D127)*100</f>
        <v>83.511675630243033</v>
      </c>
      <c r="F129" s="1703">
        <f>SUM(F130:F133)</f>
        <v>673385</v>
      </c>
      <c r="G129" s="1704">
        <f>(F130+F131+F132+F133)/(F124+F125+F126+F127)*100</f>
        <v>117.3903341706922</v>
      </c>
      <c r="H129" s="1703">
        <f>SUM(H130:H133)</f>
        <v>9004176</v>
      </c>
      <c r="I129" s="1704">
        <f>(H130+H131+H132+H133)/(H124+H125+H126+H127)*100</f>
        <v>92.127253858316081</v>
      </c>
      <c r="J129" s="1703">
        <f>SUM(J130:J133)</f>
        <v>6649095</v>
      </c>
      <c r="K129" s="1704">
        <f>(J130+J131+J132+J133)/(J124+J125+J126+J127)*100</f>
        <v>86.963018553240644</v>
      </c>
      <c r="L129" s="1703">
        <f>SUM(L130:L133)</f>
        <v>2355081</v>
      </c>
      <c r="M129" s="1704">
        <f>(L130+L131+L132+L133)/(L124+L125+L126+L127)*100</f>
        <v>110.68457110146394</v>
      </c>
      <c r="N129" s="1703">
        <f>SUM(N130:N133)</f>
        <v>4206335</v>
      </c>
      <c r="O129" s="1703">
        <f>SUM(O130:O133)</f>
        <v>5888031</v>
      </c>
      <c r="P129" s="1703">
        <f>SUM(P130:P133)</f>
        <v>-1681696</v>
      </c>
    </row>
    <row r="130" spans="1:16">
      <c r="A130" s="37" t="s">
        <v>1060</v>
      </c>
      <c r="B130" s="1760">
        <f>D130+F130</f>
        <v>2551987</v>
      </c>
      <c r="C130" s="1913">
        <f>B130/B124*100</f>
        <v>60.053648513052792</v>
      </c>
      <c r="D130" s="1760">
        <v>2428049</v>
      </c>
      <c r="E130" s="1913">
        <f>D130/D124*100</f>
        <v>58.420657782157903</v>
      </c>
      <c r="F130" s="1760">
        <v>123938</v>
      </c>
      <c r="G130" s="1913">
        <f>F130/F124*100</f>
        <v>132.74709738228867</v>
      </c>
      <c r="H130" s="1760">
        <f>J130+L130</f>
        <v>1930281</v>
      </c>
      <c r="I130" s="1913">
        <f>H130/H124*100</f>
        <v>77.473720966634957</v>
      </c>
      <c r="J130" s="1760">
        <v>1561476</v>
      </c>
      <c r="K130" s="1913">
        <f>J130/J124*100</f>
        <v>77.406133396389436</v>
      </c>
      <c r="L130" s="1760">
        <v>368805</v>
      </c>
      <c r="M130" s="1913">
        <f>L130/L124*100</f>
        <v>77.761191197586228</v>
      </c>
      <c r="N130" s="1760">
        <f>B130-H130</f>
        <v>621706</v>
      </c>
      <c r="O130" s="1760">
        <f>D130-J130</f>
        <v>866573</v>
      </c>
      <c r="P130" s="1760">
        <f>F130-L130</f>
        <v>-244867</v>
      </c>
    </row>
    <row r="131" spans="1:16">
      <c r="A131" s="311" t="s">
        <v>1061</v>
      </c>
      <c r="B131" s="1760">
        <f>D131+F131</f>
        <v>3708890</v>
      </c>
      <c r="C131" s="1913">
        <f>B131/B125*100</f>
        <v>83.767220049620391</v>
      </c>
      <c r="D131" s="1760">
        <v>3507178</v>
      </c>
      <c r="E131" s="1913">
        <f>D131/D125*100</f>
        <v>82.615667253136678</v>
      </c>
      <c r="F131" s="1760">
        <v>201712</v>
      </c>
      <c r="G131" s="1913">
        <f>F131/F125*100</f>
        <v>110.56226088291072</v>
      </c>
      <c r="H131" s="1760">
        <f>J131+L131</f>
        <v>2396996</v>
      </c>
      <c r="I131" s="1913">
        <f>H131/H125*100</f>
        <v>98.74331720427007</v>
      </c>
      <c r="J131" s="1760">
        <v>1656231</v>
      </c>
      <c r="K131" s="1913">
        <f>J131/J125*100</f>
        <v>88.868707822092063</v>
      </c>
      <c r="L131" s="1760">
        <v>740765</v>
      </c>
      <c r="M131" s="1913">
        <f>L131/L125*100</f>
        <v>131.38347590272764</v>
      </c>
      <c r="N131" s="1760">
        <f>B131-H131</f>
        <v>1311894</v>
      </c>
      <c r="O131" s="1760">
        <f>D131-J131</f>
        <v>1850947</v>
      </c>
      <c r="P131" s="1760">
        <f>F131-L131</f>
        <v>-539053</v>
      </c>
    </row>
    <row r="132" spans="1:16">
      <c r="A132" s="311" t="s">
        <v>1264</v>
      </c>
      <c r="B132" s="1760">
        <f>D132+F132</f>
        <v>3273975</v>
      </c>
      <c r="C132" s="1913">
        <f>B132/B126*100</f>
        <v>89.791278934870931</v>
      </c>
      <c r="D132" s="1760">
        <v>3152344</v>
      </c>
      <c r="E132" s="1913">
        <f>D132/D126*100</f>
        <v>89.289110211582468</v>
      </c>
      <c r="F132" s="1760">
        <v>121631</v>
      </c>
      <c r="G132" s="1913">
        <f>F132/F126*100</f>
        <v>105.11256103357387</v>
      </c>
      <c r="H132" s="1760">
        <f>J132+L132</f>
        <v>2292622</v>
      </c>
      <c r="I132" s="1913">
        <f>H132/H126*100</f>
        <v>109.08276859934712</v>
      </c>
      <c r="J132" s="1760">
        <v>1757327</v>
      </c>
      <c r="K132" s="1913">
        <f>J132/J126*100</f>
        <v>107.2038959565359</v>
      </c>
      <c r="L132" s="1760">
        <v>535295</v>
      </c>
      <c r="M132" s="1913">
        <f>L132/L126*100</f>
        <v>115.74221224721019</v>
      </c>
      <c r="N132" s="1760">
        <f>B132-H132</f>
        <v>981353</v>
      </c>
      <c r="O132" s="1760">
        <f>D132-J132</f>
        <v>1395017</v>
      </c>
      <c r="P132" s="1760">
        <f>F132-L132</f>
        <v>-413664</v>
      </c>
    </row>
    <row r="133" spans="1:16">
      <c r="A133" s="311" t="s">
        <v>1062</v>
      </c>
      <c r="B133" s="1760">
        <f>D133+F133</f>
        <v>3675659</v>
      </c>
      <c r="C133" s="1759">
        <f>B133/B127*100</f>
        <v>112.6563151776172</v>
      </c>
      <c r="D133" s="1760">
        <v>3449555</v>
      </c>
      <c r="E133" s="1759">
        <f>D133/D127*100</f>
        <v>111.97632547569296</v>
      </c>
      <c r="F133" s="1760">
        <v>226104</v>
      </c>
      <c r="G133" s="1759">
        <f>F133/F127*100</f>
        <v>124.15929009159402</v>
      </c>
      <c r="H133" s="1760">
        <f>J133+L133</f>
        <v>2384277</v>
      </c>
      <c r="I133" s="1759">
        <f>H133/H127*100</f>
        <v>86.610591855045826</v>
      </c>
      <c r="J133" s="1760">
        <v>1674061</v>
      </c>
      <c r="K133" s="1759">
        <f>J133/J127*100</f>
        <v>78.752806113328404</v>
      </c>
      <c r="L133" s="1760">
        <v>710216</v>
      </c>
      <c r="M133" s="1759">
        <f>L133/L127*100</f>
        <v>113.24427493087823</v>
      </c>
      <c r="N133" s="1760">
        <f>B133-H133</f>
        <v>1291382</v>
      </c>
      <c r="O133" s="1760">
        <f>D133-J133</f>
        <v>1775494</v>
      </c>
      <c r="P133" s="1760">
        <f>F133-L133</f>
        <v>-484112</v>
      </c>
    </row>
    <row r="134" spans="1:16">
      <c r="A134" s="312"/>
      <c r="B134" s="1760"/>
      <c r="C134" s="1759"/>
      <c r="D134" s="1760"/>
      <c r="E134" s="1759"/>
      <c r="F134" s="1760"/>
      <c r="G134" s="1759"/>
      <c r="H134" s="1760"/>
      <c r="I134" s="1759"/>
      <c r="J134" s="1760"/>
      <c r="K134" s="1759"/>
      <c r="L134" s="1760"/>
      <c r="M134" s="1759"/>
      <c r="N134" s="1760"/>
      <c r="O134" s="1760"/>
      <c r="P134" s="1760"/>
    </row>
    <row r="135" spans="1:16">
      <c r="A135" s="37">
        <v>2017</v>
      </c>
      <c r="B135" s="1703">
        <f>SUM(B136:B139)</f>
        <v>15152058.61737035</v>
      </c>
      <c r="C135" s="1704">
        <f>((B136+B137+B138+B139)/(B130+B131+B132+B133))*100</f>
        <v>114.69699103517155</v>
      </c>
      <c r="D135" s="1703">
        <f>SUM(D136:D139)</f>
        <v>14089781.933162</v>
      </c>
      <c r="E135" s="1704">
        <f>((D136+D137+D138+D139)/(D130+D131+D132+D133))*100</f>
        <v>112.38446461463336</v>
      </c>
      <c r="F135" s="1703">
        <f>SUM(F136:F139)</f>
        <v>1062276.68420835</v>
      </c>
      <c r="G135" s="1704">
        <f>((F136+F137+F138+F139)/(F130+F131+F132+F133))*100</f>
        <v>157.75175927713715</v>
      </c>
      <c r="H135" s="1703">
        <f>SUM(H136:H139)</f>
        <v>9037315.9741737004</v>
      </c>
      <c r="I135" s="1704">
        <f>((H136+H137+H138+H139)/(H130+H131+H132+H133))*100</f>
        <v>100.36805115952532</v>
      </c>
      <c r="J135" s="1703">
        <f>SUM(J136:J139)</f>
        <v>6577309.4551737001</v>
      </c>
      <c r="K135" s="1704">
        <f>((J136+J137+J138+J139)/(J130+J131+J132+J133))*100</f>
        <v>98.920371195985325</v>
      </c>
      <c r="L135" s="1703">
        <f>SUM(L136:L139)</f>
        <v>2460006.5189999999</v>
      </c>
      <c r="M135" s="1704">
        <f>((L136+L137+L138+L139)/(L130+L131+L132+L133))*100</f>
        <v>104.45528281192875</v>
      </c>
      <c r="N135" s="1703">
        <f>SUM(N136:N139)</f>
        <v>6114742.6431966498</v>
      </c>
      <c r="O135" s="1703">
        <f>SUM(O136:O139)</f>
        <v>7512472.4779882999</v>
      </c>
      <c r="P135" s="1703">
        <f>SUM(P136:P139)</f>
        <v>-1397729.8347916498</v>
      </c>
    </row>
    <row r="136" spans="1:16">
      <c r="A136" s="37" t="s">
        <v>1060</v>
      </c>
      <c r="B136" s="1760">
        <f>D136+F136</f>
        <v>3555749</v>
      </c>
      <c r="C136" s="1913">
        <f>B136/B130*100</f>
        <v>139.33256713298306</v>
      </c>
      <c r="D136" s="1760">
        <v>3378950</v>
      </c>
      <c r="E136" s="1913">
        <f>D136/D130*100</f>
        <v>139.16317174818136</v>
      </c>
      <c r="F136" s="1760">
        <v>176799</v>
      </c>
      <c r="G136" s="1913">
        <f>F136/F130*100</f>
        <v>142.65116429182333</v>
      </c>
      <c r="H136" s="1760">
        <f>J136+L136</f>
        <v>1665876</v>
      </c>
      <c r="I136" s="1913">
        <f>H136/H130*100</f>
        <v>86.302253402483885</v>
      </c>
      <c r="J136" s="1760">
        <v>1192142</v>
      </c>
      <c r="K136" s="1913">
        <f>J136/J130*100</f>
        <v>76.347122850431262</v>
      </c>
      <c r="L136" s="1760">
        <v>473734</v>
      </c>
      <c r="M136" s="1913">
        <f>L136/L130*100</f>
        <v>128.4510784832093</v>
      </c>
      <c r="N136" s="1760">
        <f>B136-H136</f>
        <v>1889873</v>
      </c>
      <c r="O136" s="1760">
        <f>D136-J136</f>
        <v>2186808</v>
      </c>
      <c r="P136" s="1760">
        <f>F136-L136</f>
        <v>-296935</v>
      </c>
    </row>
    <row r="137" spans="1:16">
      <c r="A137" s="311" t="s">
        <v>1061</v>
      </c>
      <c r="B137" s="1760">
        <f>D137+F137</f>
        <v>3555275</v>
      </c>
      <c r="C137" s="1913">
        <f>B137/B131*100</f>
        <v>95.858194769863758</v>
      </c>
      <c r="D137" s="1760">
        <v>3260533</v>
      </c>
      <c r="E137" s="1913">
        <f>D137/D131*100</f>
        <v>92.967422811160432</v>
      </c>
      <c r="F137" s="1760">
        <v>294742</v>
      </c>
      <c r="G137" s="1913">
        <f>F137/F131*100</f>
        <v>146.12021099389227</v>
      </c>
      <c r="H137" s="1760">
        <f>J137+L137</f>
        <v>1966044</v>
      </c>
      <c r="I137" s="1913">
        <f>H137/H131*100</f>
        <v>82.021163155883443</v>
      </c>
      <c r="J137" s="1760">
        <v>1402666</v>
      </c>
      <c r="K137" s="1913">
        <f>J137/J131*100</f>
        <v>84.690239465388586</v>
      </c>
      <c r="L137" s="1760">
        <v>563378</v>
      </c>
      <c r="M137" s="1913">
        <f>L137/L131*100</f>
        <v>76.053539246589679</v>
      </c>
      <c r="N137" s="1760">
        <f>B137-H137</f>
        <v>1589231</v>
      </c>
      <c r="O137" s="1760">
        <f>D137-J137</f>
        <v>1857867</v>
      </c>
      <c r="P137" s="1760">
        <f>F137-L137</f>
        <v>-268636</v>
      </c>
    </row>
    <row r="138" spans="1:16">
      <c r="A138" s="311" t="s">
        <v>1264</v>
      </c>
      <c r="B138" s="1760">
        <f>D138+F138</f>
        <v>3680432</v>
      </c>
      <c r="C138" s="1913">
        <f>B138/B132*100</f>
        <v>112.41478630716483</v>
      </c>
      <c r="D138" s="1760">
        <f>10156043-D136-D137</f>
        <v>3516560</v>
      </c>
      <c r="E138" s="1913">
        <f>D138/D132*100</f>
        <v>111.55381519275815</v>
      </c>
      <c r="F138" s="1760">
        <f>635413-F136-F137</f>
        <v>163872</v>
      </c>
      <c r="G138" s="1759">
        <f>+F138/F132*100</f>
        <v>134.72881091169191</v>
      </c>
      <c r="H138" s="1760">
        <f>J138+L138</f>
        <v>2757893</v>
      </c>
      <c r="I138" s="1913">
        <f>H138/H132*100</f>
        <v>120.29427441593074</v>
      </c>
      <c r="J138" s="1760">
        <f>4735724-J136-J137</f>
        <v>2140916</v>
      </c>
      <c r="K138" s="1913">
        <f>J138/J132*100</f>
        <v>121.82798079128131</v>
      </c>
      <c r="L138" s="1760">
        <f>1654089-L136-L137</f>
        <v>616977</v>
      </c>
      <c r="M138" s="1913">
        <f>L138/L132*100</f>
        <v>115.25924957266554</v>
      </c>
      <c r="N138" s="1760">
        <f>B138-H138</f>
        <v>922539</v>
      </c>
      <c r="O138" s="1760">
        <f>D138-J138</f>
        <v>1375644</v>
      </c>
      <c r="P138" s="1760">
        <f>F138-L138</f>
        <v>-453105</v>
      </c>
    </row>
    <row r="139" spans="1:16">
      <c r="A139" s="311" t="s">
        <v>1062</v>
      </c>
      <c r="B139" s="1760">
        <f>D139+F139</f>
        <v>4360602.6173703503</v>
      </c>
      <c r="C139" s="1759">
        <f>B139/B133*100</f>
        <v>118.63458001328063</v>
      </c>
      <c r="D139" s="1760">
        <f>14089781.933162-D136-D137-D138</f>
        <v>3933738.933162</v>
      </c>
      <c r="E139" s="1759">
        <f>D139/D133*100</f>
        <v>114.03612736025373</v>
      </c>
      <c r="F139" s="1760">
        <f>1062276.68420835-F136-F137-F138</f>
        <v>426863.68420835002</v>
      </c>
      <c r="G139" s="1759">
        <f>+F139/F133*100</f>
        <v>188.79085916584847</v>
      </c>
      <c r="H139" s="1760">
        <f>J139+L139</f>
        <v>2647502.9741737</v>
      </c>
      <c r="I139" s="1759">
        <f>H139/H133*100</f>
        <v>111.04007521666736</v>
      </c>
      <c r="J139" s="1760">
        <f>6577309.4551737-J136-J137-J138</f>
        <v>1841585.4551737001</v>
      </c>
      <c r="K139" s="1759">
        <f>J139/J133*100</f>
        <v>110.00706994390885</v>
      </c>
      <c r="L139" s="1760">
        <f>2460006.519-L136-L137-L138</f>
        <v>805917.51899999985</v>
      </c>
      <c r="M139" s="1759">
        <f>L139/L133*100</f>
        <v>113.47498775020554</v>
      </c>
      <c r="N139" s="1760">
        <f>B139-H139</f>
        <v>1713099.6431966503</v>
      </c>
      <c r="O139" s="1760">
        <f>D139-J139</f>
        <v>2092153.4779882999</v>
      </c>
      <c r="P139" s="1760">
        <f>F139-L139</f>
        <v>-379053.83479164983</v>
      </c>
    </row>
    <row r="140" spans="1:16">
      <c r="A140" s="312"/>
      <c r="B140" s="1760"/>
      <c r="C140" s="1759"/>
      <c r="D140" s="1760"/>
      <c r="E140" s="1759"/>
      <c r="F140" s="1760"/>
      <c r="G140" s="1759"/>
      <c r="H140" s="1760"/>
      <c r="I140" s="1759"/>
      <c r="J140" s="1760"/>
      <c r="K140" s="1759"/>
      <c r="L140" s="1760"/>
      <c r="M140" s="1759"/>
      <c r="N140" s="1760"/>
      <c r="O140" s="1760"/>
      <c r="P140" s="1760"/>
    </row>
    <row r="141" spans="1:16">
      <c r="A141" s="37" t="s">
        <v>2038</v>
      </c>
      <c r="B141" s="1703">
        <f>SUM(B142:B145)</f>
        <v>20793769</v>
      </c>
      <c r="C141" s="1704">
        <f>((B142+B143+B144+B145)/(IF(B142=0,0,B136)+IF(B143=0,0,B137)+IF(B144=0,0,B138)+IF(B145=0,0,B139)))*100</f>
        <v>137.2339529901368</v>
      </c>
      <c r="D141" s="1703">
        <f>SUM(D142:D145)</f>
        <v>19660046</v>
      </c>
      <c r="E141" s="1704">
        <f>((D142+D143+D144+D145)/(IF(D142=0,0,D136)+IF(D143=0,0,D137)+IF(D144=0,0,D138)+IF(D145=0,0,D139)))*100</f>
        <v>139.53406868368711</v>
      </c>
      <c r="F141" s="1703">
        <f>SUM(F142:F145)</f>
        <v>1133723</v>
      </c>
      <c r="G141" s="1704">
        <f>((F142+F143+F144+F145)/(IF(F142=0,0,F136)+IF(F143=0,0,F137)+IF(F144=0,0,F138)+IF(F145=0,0,F139)))*100</f>
        <v>106.72577275334764</v>
      </c>
      <c r="H141" s="1703">
        <f>SUM(H142:H145)</f>
        <v>10952441</v>
      </c>
      <c r="I141" s="1704">
        <f>((H142+H143+H144+H145)/(IF(H142=0,0,H136)+IF(H143=0,0,H137)+IF(H144=0,0,H138)+IF(H145=0,0,H139)))*100</f>
        <v>121.19130316234632</v>
      </c>
      <c r="J141" s="1703">
        <f>SUM(J142:J145)</f>
        <v>8146109</v>
      </c>
      <c r="K141" s="1704">
        <f>((J142+J143+J144+J145)/(IF(J142=0,0,J136)+IF(J143=0,0,J137)+IF(J144=0,0,J138)+IF(J145=0,0,J139)))*100</f>
        <v>123.85169126552628</v>
      </c>
      <c r="L141" s="1703">
        <f>SUM(L142:L145)</f>
        <v>2806332</v>
      </c>
      <c r="M141" s="1704">
        <f>((L142+L143+L144+L145)/(IF(L142=0,0,L136)+IF(L143=0,0,L137)+IF(L144=0,0,L138)+IF(L145=0,0,L139)))*100</f>
        <v>114.07823427804502</v>
      </c>
      <c r="N141" s="1703">
        <f>SUM(N142:N145)</f>
        <v>9841328</v>
      </c>
      <c r="O141" s="1703">
        <f>SUM(O142:O145)</f>
        <v>11513937</v>
      </c>
      <c r="P141" s="1703">
        <f>SUM(P142:P145)</f>
        <v>-1672609</v>
      </c>
    </row>
    <row r="142" spans="1:16">
      <c r="A142" s="37" t="s">
        <v>1060</v>
      </c>
      <c r="B142" s="1760">
        <f>D142+F142</f>
        <v>4579668</v>
      </c>
      <c r="C142" s="1913">
        <f>B142/B136*100</f>
        <v>128.79615518418203</v>
      </c>
      <c r="D142" s="1760">
        <v>4401270</v>
      </c>
      <c r="E142" s="1913">
        <f>D142/D136*100</f>
        <v>130.25555276047294</v>
      </c>
      <c r="F142" s="1760">
        <v>178398</v>
      </c>
      <c r="G142" s="1913">
        <f>F142/F136*100</f>
        <v>100.90441688018596</v>
      </c>
      <c r="H142" s="1760">
        <f>J142+L142</f>
        <v>2165789</v>
      </c>
      <c r="I142" s="1913">
        <f>H142/H136*100</f>
        <v>130.00901627732196</v>
      </c>
      <c r="J142" s="1760">
        <v>1548964</v>
      </c>
      <c r="K142" s="1913">
        <f>J142/J136*100</f>
        <v>129.93116591815402</v>
      </c>
      <c r="L142" s="1760">
        <v>616825</v>
      </c>
      <c r="M142" s="1913">
        <f>L142/L136*100</f>
        <v>130.20492512675889</v>
      </c>
      <c r="N142" s="1760">
        <f>B142-H142</f>
        <v>2413879</v>
      </c>
      <c r="O142" s="1760">
        <f>D142-J142</f>
        <v>2852306</v>
      </c>
      <c r="P142" s="1760">
        <f>F142-L142</f>
        <v>-438427</v>
      </c>
    </row>
    <row r="143" spans="1:16">
      <c r="A143" s="311" t="s">
        <v>1061</v>
      </c>
      <c r="B143" s="1760">
        <f>D143+F143</f>
        <v>5338065</v>
      </c>
      <c r="C143" s="1913">
        <f>B143/B137*100</f>
        <v>150.14492549802759</v>
      </c>
      <c r="D143" s="1760">
        <v>4975984</v>
      </c>
      <c r="E143" s="1913">
        <f>D143/D137*100</f>
        <v>152.61259432123521</v>
      </c>
      <c r="F143" s="1760">
        <v>362081</v>
      </c>
      <c r="G143" s="1913">
        <f>F143/F137*100</f>
        <v>122.84676089597004</v>
      </c>
      <c r="H143" s="1760">
        <f>J143+L143</f>
        <v>2733003</v>
      </c>
      <c r="I143" s="1913">
        <f>H143/H137*100</f>
        <v>139.01026630126282</v>
      </c>
      <c r="J143" s="1760">
        <v>1985906</v>
      </c>
      <c r="K143" s="1913">
        <f>J143/J137*100</f>
        <v>141.58081824183378</v>
      </c>
      <c r="L143" s="1760">
        <v>747097</v>
      </c>
      <c r="M143" s="1913">
        <f>L143/L137*100</f>
        <v>132.61025457153102</v>
      </c>
      <c r="N143" s="1760">
        <f>B143-H143</f>
        <v>2605062</v>
      </c>
      <c r="O143" s="1760">
        <f>D143-J143</f>
        <v>2990078</v>
      </c>
      <c r="P143" s="1760">
        <f>F143-L143</f>
        <v>-385016</v>
      </c>
    </row>
    <row r="144" spans="1:16">
      <c r="A144" s="311" t="s">
        <v>1264</v>
      </c>
      <c r="B144" s="1760">
        <f>D144+F144</f>
        <v>5310991</v>
      </c>
      <c r="C144" s="1913">
        <f>B144/B138*100</f>
        <v>144.3034676364079</v>
      </c>
      <c r="D144" s="1760">
        <v>5129451</v>
      </c>
      <c r="E144" s="1913">
        <f>D144/D138*100</f>
        <v>145.86559023591238</v>
      </c>
      <c r="F144" s="1760">
        <v>181540</v>
      </c>
      <c r="G144" s="1759">
        <f>F144/F138*100</f>
        <v>110.78158562780706</v>
      </c>
      <c r="H144" s="1760">
        <f>J144+L144</f>
        <v>2994870</v>
      </c>
      <c r="I144" s="1913">
        <f>H144/H138*100</f>
        <v>108.59268289233846</v>
      </c>
      <c r="J144" s="1760">
        <v>2375364</v>
      </c>
      <c r="K144" s="1913">
        <f>J144/J138*100</f>
        <v>110.95082665550633</v>
      </c>
      <c r="L144" s="1760">
        <v>619506</v>
      </c>
      <c r="M144" s="1913">
        <f>L144/L138*100</f>
        <v>100.40990182778289</v>
      </c>
      <c r="N144" s="1760">
        <f>B144-H144</f>
        <v>2316121</v>
      </c>
      <c r="O144" s="1760">
        <f>D144-J144</f>
        <v>2754087</v>
      </c>
      <c r="P144" s="1760">
        <f>F144-L144</f>
        <v>-437966</v>
      </c>
    </row>
    <row r="145" spans="1:16">
      <c r="A145" s="311" t="s">
        <v>1062</v>
      </c>
      <c r="B145" s="1760">
        <f>D145+F145</f>
        <v>5565045</v>
      </c>
      <c r="C145" s="1759">
        <f>B145/B139*100</f>
        <v>127.62100765228604</v>
      </c>
      <c r="D145" s="1760">
        <v>5153341</v>
      </c>
      <c r="E145" s="1759">
        <f>D145/D139*100</f>
        <v>131.00363515627777</v>
      </c>
      <c r="F145" s="1760">
        <v>411704</v>
      </c>
      <c r="G145" s="1759">
        <f>F145/F139*100</f>
        <v>96.448588912766198</v>
      </c>
      <c r="H145" s="1760">
        <f>J145+L145</f>
        <v>3058779</v>
      </c>
      <c r="I145" s="1759">
        <f>H145/H139*100</f>
        <v>115.53448777350899</v>
      </c>
      <c r="J145" s="1760">
        <v>2235875</v>
      </c>
      <c r="K145" s="1759">
        <f>J145/J139*100</f>
        <v>121.4103311751618</v>
      </c>
      <c r="L145" s="1760">
        <v>822904</v>
      </c>
      <c r="M145" s="1759">
        <f>L145/L139*100</f>
        <v>102.1077195369915</v>
      </c>
      <c r="N145" s="1760">
        <f>B145-H145</f>
        <v>2506266</v>
      </c>
      <c r="O145" s="1760">
        <f>D145-J145</f>
        <v>2917466</v>
      </c>
      <c r="P145" s="1760">
        <f>F145-L145</f>
        <v>-411200</v>
      </c>
    </row>
    <row r="146" spans="1:16">
      <c r="A146" s="312"/>
      <c r="B146" s="1760"/>
      <c r="C146" s="1759"/>
      <c r="D146" s="1760"/>
      <c r="E146" s="1759"/>
      <c r="F146" s="1760"/>
      <c r="G146" s="1759"/>
      <c r="H146" s="1760"/>
      <c r="I146" s="1759"/>
      <c r="J146" s="1760"/>
      <c r="K146" s="1759"/>
      <c r="L146" s="1760"/>
      <c r="M146" s="1759"/>
      <c r="N146" s="1760"/>
      <c r="O146" s="1760"/>
      <c r="P146" s="1760"/>
    </row>
    <row r="147" spans="1:16">
      <c r="A147" s="37" t="s">
        <v>2131</v>
      </c>
      <c r="B147" s="1703">
        <f>SUM(B148:B151)</f>
        <v>19868260.82786759</v>
      </c>
      <c r="C147" s="1704">
        <f>((B148+B149+B150+B151)/(IF(B148=0,0,B142)+IF(B149=0,0,B143)+IF(B150=0,0,B144)+IF(B151=0,0,B145)))*100</f>
        <v>95.549108138440843</v>
      </c>
      <c r="D147" s="1703">
        <f>SUM(D148:D151)</f>
        <v>18640073.994547591</v>
      </c>
      <c r="E147" s="1704">
        <f>((D148+D149+D150+D151)/(IF(D148=0,0,D142)+IF(D149=0,0,D143)+IF(D150=0,0,D144)+IF(D151=0,0,D145)))*100</f>
        <v>94.811955142666463</v>
      </c>
      <c r="F147" s="1703">
        <f>SUM(F148:F151)</f>
        <v>1228186.8333199997</v>
      </c>
      <c r="G147" s="1704">
        <f>((F148+F149+F150+F151)/(IF(F148=0,0,F142)+IF(F149=0,0,F143)+IF(F150=0,0,F144)+IF(F151=0,0,F145)))*100</f>
        <v>108.33217931717004</v>
      </c>
      <c r="H147" s="1703">
        <f>SUM(H148:H151)</f>
        <v>11335316.035188857</v>
      </c>
      <c r="I147" s="1704">
        <f>((H148+H149+H150+H151)/(IF(H148=0,0,H142)+IF(H149=0,0,H143)+IF(H150=0,0,H144)+IF(H151=0,0,H145)))*100</f>
        <v>103.4957963725973</v>
      </c>
      <c r="J147" s="1703">
        <f>SUM(J148:J151)</f>
        <v>8094574.7430575844</v>
      </c>
      <c r="K147" s="1704">
        <f>((J148+J149+J150+J151)/(IF(J148=0,0,J142)+IF(J149=0,0,J143)+IF(J150=0,0,J144)+IF(J151=0,0,J145)))*100</f>
        <v>99.367375799385755</v>
      </c>
      <c r="L147" s="1703">
        <f>SUM(L148:L151)</f>
        <v>3240741.2921312745</v>
      </c>
      <c r="M147" s="1704">
        <f>((L148+L149+L150+L151)/(IF(L148=0,0,L142)+IF(L149=0,0,L143)+IF(L150=0,0,L144)+IF(L151=0,0,L145)))*100</f>
        <v>115.47961154030509</v>
      </c>
      <c r="N147" s="1703">
        <f>SUM(N148:N151)</f>
        <v>8532944.7926787324</v>
      </c>
      <c r="O147" s="1703">
        <f>SUM(O148:O151)</f>
        <v>10545499.251490008</v>
      </c>
      <c r="P147" s="1703">
        <f>SUM(P148:P151)</f>
        <v>-2012554.4588112747</v>
      </c>
    </row>
    <row r="148" spans="1:16">
      <c r="A148" s="37" t="s">
        <v>1060</v>
      </c>
      <c r="B148" s="1760">
        <v>4746834</v>
      </c>
      <c r="C148" s="1913">
        <v>103.65017726175785</v>
      </c>
      <c r="D148" s="1760">
        <v>4560394</v>
      </c>
      <c r="E148" s="1913">
        <v>103.61541100636862</v>
      </c>
      <c r="F148" s="1760">
        <v>186440</v>
      </c>
      <c r="G148" s="1913">
        <v>104.50789807060616</v>
      </c>
      <c r="H148" s="1760">
        <v>2260685</v>
      </c>
      <c r="I148" s="1913">
        <v>104.3815902657184</v>
      </c>
      <c r="J148" s="1760">
        <v>1666613</v>
      </c>
      <c r="K148" s="1913">
        <v>107.59533468821742</v>
      </c>
      <c r="L148" s="1760">
        <v>594072</v>
      </c>
      <c r="M148" s="1913">
        <v>96.311271430308437</v>
      </c>
      <c r="N148" s="1760">
        <v>2486149</v>
      </c>
      <c r="O148" s="1760">
        <v>2893781</v>
      </c>
      <c r="P148" s="1760">
        <v>-407632</v>
      </c>
    </row>
    <row r="149" spans="1:16">
      <c r="A149" s="311" t="s">
        <v>1061</v>
      </c>
      <c r="B149" s="1760">
        <v>5187689</v>
      </c>
      <c r="C149" s="1913">
        <v>97.182949252210307</v>
      </c>
      <c r="D149" s="1760">
        <v>4765736</v>
      </c>
      <c r="E149" s="1913">
        <v>95.774745256415613</v>
      </c>
      <c r="F149" s="1760">
        <v>421953</v>
      </c>
      <c r="G149" s="1913">
        <v>116.53552658106886</v>
      </c>
      <c r="H149" s="1760">
        <v>2785320</v>
      </c>
      <c r="I149" s="1913">
        <v>101.91426793164882</v>
      </c>
      <c r="J149" s="1760">
        <v>1986777</v>
      </c>
      <c r="K149" s="1913">
        <v>100.04385907490084</v>
      </c>
      <c r="L149" s="1760">
        <v>798543</v>
      </c>
      <c r="M149" s="1913">
        <v>106.88612054391866</v>
      </c>
      <c r="N149" s="1760">
        <v>2402369</v>
      </c>
      <c r="O149" s="1760">
        <v>2778959</v>
      </c>
      <c r="P149" s="1760">
        <v>-376590</v>
      </c>
    </row>
    <row r="150" spans="1:16">
      <c r="A150" s="311" t="s">
        <v>1264</v>
      </c>
      <c r="B150" s="1760">
        <v>5085411.2909975499</v>
      </c>
      <c r="C150" s="1913">
        <v>95.752587247795191</v>
      </c>
      <c r="D150" s="1760">
        <v>4838911.4105575504</v>
      </c>
      <c r="E150" s="1913">
        <v>94.335854081802324</v>
      </c>
      <c r="F150" s="1760">
        <v>246499.88043999986</v>
      </c>
      <c r="G150" s="1913">
        <v>135.78268174506988</v>
      </c>
      <c r="H150" s="1760">
        <v>3077246.5529703242</v>
      </c>
      <c r="I150" s="1913">
        <v>102.75058860552626</v>
      </c>
      <c r="J150" s="1760">
        <v>2188256.1923896642</v>
      </c>
      <c r="K150" s="1913">
        <v>92.122983778051037</v>
      </c>
      <c r="L150" s="1760">
        <v>888990.36058065994</v>
      </c>
      <c r="M150" s="1913">
        <v>143.49987902952674</v>
      </c>
      <c r="N150" s="1760">
        <v>2008164.7380272257</v>
      </c>
      <c r="O150" s="1760">
        <v>2650655.2181678861</v>
      </c>
      <c r="P150" s="1760">
        <v>-642490.48014066007</v>
      </c>
    </row>
    <row r="151" spans="1:16">
      <c r="A151" s="311" t="s">
        <v>1062</v>
      </c>
      <c r="B151" s="1760">
        <v>4848326.5368700409</v>
      </c>
      <c r="C151" s="1913">
        <v>87.121066170534846</v>
      </c>
      <c r="D151" s="1760">
        <v>4475032.5839900412</v>
      </c>
      <c r="E151" s="1759">
        <v>86.837501806886848</v>
      </c>
      <c r="F151" s="1760">
        <v>373293.95287999988</v>
      </c>
      <c r="G151" s="1759">
        <v>90.670470260186903</v>
      </c>
      <c r="H151" s="1760">
        <v>3212064.4822185347</v>
      </c>
      <c r="I151" s="1759">
        <v>105.01132910283924</v>
      </c>
      <c r="J151" s="1760">
        <v>2252928.5506679201</v>
      </c>
      <c r="K151" s="1759">
        <v>100.76272379573635</v>
      </c>
      <c r="L151" s="1760">
        <v>959135.93155061454</v>
      </c>
      <c r="M151" s="1759">
        <v>116.55502118723624</v>
      </c>
      <c r="N151" s="1760">
        <v>1636262.0546515062</v>
      </c>
      <c r="O151" s="1760">
        <v>2222104.033322121</v>
      </c>
      <c r="P151" s="1760">
        <v>-585841.97867061466</v>
      </c>
    </row>
    <row r="152" spans="1:16">
      <c r="A152" s="311"/>
      <c r="B152" s="1760"/>
      <c r="C152" s="1913"/>
      <c r="D152" s="1760"/>
      <c r="E152" s="1913"/>
      <c r="F152" s="1760"/>
      <c r="G152" s="1913"/>
      <c r="H152" s="1760"/>
      <c r="I152" s="1913"/>
      <c r="J152" s="1760"/>
      <c r="K152" s="1913"/>
      <c r="L152" s="1760"/>
      <c r="M152" s="1913"/>
      <c r="N152" s="1760"/>
      <c r="O152" s="1760"/>
      <c r="P152" s="1760"/>
    </row>
    <row r="153" spans="1:16">
      <c r="A153" s="37" t="s">
        <v>2362</v>
      </c>
      <c r="B153" s="1703">
        <f>SUM(B154:B157)</f>
        <v>12588158.035708018</v>
      </c>
      <c r="C153" s="1704">
        <f>((B154+B155+B156+B157)/(IF(B154=0,0,B148)+IF(B155=0,0,B149)+IF(B156=0,0,B150)+IF(B157=0,0,B151)))*100</f>
        <v>63.358127542052564</v>
      </c>
      <c r="D153" s="1703">
        <f>SUM(D154:D157)</f>
        <v>11361019.2327592</v>
      </c>
      <c r="E153" s="1704">
        <f>((D154+D155+D156+D157)/(IF(D154=0,0,D148)+IF(D155=0,0,D149)+IF(D156=0,0,D150)+IF(D157=0,0,D151)))*100</f>
        <v>60.949432046688287</v>
      </c>
      <c r="F153" s="1703">
        <f>SUM(F154:F157)</f>
        <v>1227138.8029488199</v>
      </c>
      <c r="G153" s="1704">
        <f>((F154+F155+F156+F157)/(IF(F154=0,0,F148)+IF(F155=0,0,F149)+IF(F156=0,0,F150)+IF(F157=0,0,F151)))*100</f>
        <v>99.914668489944091</v>
      </c>
      <c r="H153" s="1703">
        <f>SUM(H154:H157)</f>
        <v>10076563.924735539</v>
      </c>
      <c r="I153" s="1704">
        <f>((H154+H155+H156+H157)/(IF(H154=0,0,H148)+IF(H155=0,0,H149)+IF(H156=0,0,H150)+IF(H157=0,0,H151)))*100</f>
        <v>88.895306433929989</v>
      </c>
      <c r="J153" s="1703">
        <f>SUM(J154:J157)</f>
        <v>7503563.5902759498</v>
      </c>
      <c r="K153" s="1704">
        <f>((J154+J155+J156+J157)/(IF(J154=0,0,J148)+IF(J155=0,0,J149)+IF(J156=0,0,J150)+IF(J157=0,0,J151)))*100</f>
        <v>92.698675698948577</v>
      </c>
      <c r="L153" s="1703">
        <f>SUM(L154:L157)</f>
        <v>2573000.3344595898</v>
      </c>
      <c r="M153" s="1704">
        <f>((L154+L155+L156+L157)/(IF(L154=0,0,L148)+IF(L155=0,0,L149)+IF(L156=0,0,L150)+IF(L157=0,0,L151)))*100</f>
        <v>79.395425383291098</v>
      </c>
      <c r="N153" s="1703">
        <f>SUM(N154:N157)</f>
        <v>2511594.1109724799</v>
      </c>
      <c r="O153" s="1703">
        <f>SUM(O154:O157)</f>
        <v>3857455.6424832502</v>
      </c>
      <c r="P153" s="1703">
        <f>SUM(P154:P157)</f>
        <v>-1345861.5315107699</v>
      </c>
    </row>
    <row r="154" spans="1:16">
      <c r="A154" s="37" t="s">
        <v>1060</v>
      </c>
      <c r="B154" s="1760">
        <f>D154+F154</f>
        <v>4463169</v>
      </c>
      <c r="C154" s="1913">
        <f>B154/B148*100</f>
        <v>94.024122183333148</v>
      </c>
      <c r="D154" s="1760">
        <v>4181813</v>
      </c>
      <c r="E154" s="1913">
        <f>D154/D148*100</f>
        <v>91.69850236624292</v>
      </c>
      <c r="F154" s="1760">
        <v>281356</v>
      </c>
      <c r="G154" s="1913">
        <f>F154/F148*100</f>
        <v>150.90967603518558</v>
      </c>
      <c r="H154" s="1760">
        <f>J154+L154</f>
        <v>2590101</v>
      </c>
      <c r="I154" s="1913">
        <f>H154/H148*100</f>
        <v>114.57151261675111</v>
      </c>
      <c r="J154" s="1760">
        <v>1963326</v>
      </c>
      <c r="K154" s="1913">
        <f>J154/J148*100</f>
        <v>117.80335326797523</v>
      </c>
      <c r="L154" s="1760">
        <v>626775</v>
      </c>
      <c r="M154" s="1913">
        <f>L154/L148*100</f>
        <v>105.50488829636812</v>
      </c>
      <c r="N154" s="1760">
        <f>B154-H154</f>
        <v>1873068</v>
      </c>
      <c r="O154" s="1760">
        <f>D154-J154</f>
        <v>2218487</v>
      </c>
      <c r="P154" s="1760">
        <f>F154-L154</f>
        <v>-345419</v>
      </c>
    </row>
    <row r="155" spans="1:16">
      <c r="A155" s="37" t="s">
        <v>1061</v>
      </c>
      <c r="B155" s="1760">
        <f>D155+F155</f>
        <v>2613505.4821135411</v>
      </c>
      <c r="C155" s="1913">
        <f>B155/B149*100</f>
        <v>50.378993075983182</v>
      </c>
      <c r="D155" s="1760">
        <f>6406321.35471707-D154</f>
        <v>2224508.3547170702</v>
      </c>
      <c r="E155" s="1913">
        <f t="shared" ref="E155:E157" si="3">D155/D149*100</f>
        <v>46.677120904663418</v>
      </c>
      <c r="F155" s="1760">
        <f>670353.127396471-F154</f>
        <v>388997.12739647098</v>
      </c>
      <c r="G155" s="1913">
        <f>F155/F149*100</f>
        <v>92.189681646171735</v>
      </c>
      <c r="H155" s="1760">
        <f>J155+L155</f>
        <v>2199479.6892571002</v>
      </c>
      <c r="I155" s="1913">
        <f>H155/H149*100</f>
        <v>78.966858000412884</v>
      </c>
      <c r="J155" s="1760">
        <f>3566100.8411871-J154</f>
        <v>1602774.8411870999</v>
      </c>
      <c r="K155" s="1913">
        <f>J155/J149*100</f>
        <v>80.672105686098632</v>
      </c>
      <c r="L155" s="1760">
        <f>1223479.84807-L154</f>
        <v>596704.84807000007</v>
      </c>
      <c r="M155" s="1913">
        <f>L155/L149*100</f>
        <v>74.724197453361938</v>
      </c>
      <c r="N155" s="1760">
        <f>B155-H155</f>
        <v>414025.79285644088</v>
      </c>
      <c r="O155" s="1760">
        <f>D155-J155</f>
        <v>621733.51352997031</v>
      </c>
      <c r="P155" s="1760">
        <f>F155-L155</f>
        <v>-207707.72067352908</v>
      </c>
    </row>
    <row r="156" spans="1:16">
      <c r="A156" s="37" t="s">
        <v>1264</v>
      </c>
      <c r="B156" s="1760">
        <v>2686454.0539217629</v>
      </c>
      <c r="C156" s="1913">
        <f>B156/B150*100</f>
        <v>52.826682055735766</v>
      </c>
      <c r="D156" s="1760">
        <v>2477492.400206469</v>
      </c>
      <c r="E156" s="1913">
        <f t="shared" si="3"/>
        <v>51.199375024743567</v>
      </c>
      <c r="F156" s="1760">
        <v>208961.65371529397</v>
      </c>
      <c r="G156" s="1913">
        <v>84.771503070224412</v>
      </c>
      <c r="H156" s="1760">
        <f>J156+L156</f>
        <v>2629910.5730516296</v>
      </c>
      <c r="I156" s="1913">
        <v>85.463108911864666</v>
      </c>
      <c r="J156" s="1760">
        <v>2007594.1866916297</v>
      </c>
      <c r="K156" s="1913">
        <v>91.744019446793189</v>
      </c>
      <c r="L156" s="1760">
        <v>622316.38635999989</v>
      </c>
      <c r="M156" s="1913">
        <v>70.002602272708884</v>
      </c>
      <c r="N156" s="1760">
        <v>56543.480870133266</v>
      </c>
      <c r="O156" s="1760">
        <v>469898.2135148393</v>
      </c>
      <c r="P156" s="1760">
        <v>-413354.73264470592</v>
      </c>
    </row>
    <row r="157" spans="1:16">
      <c r="A157" s="311" t="s">
        <v>1062</v>
      </c>
      <c r="B157" s="1760">
        <f>D157+F157</f>
        <v>2825029.4996727156</v>
      </c>
      <c r="C157" s="1913">
        <f>B157/B151*100</f>
        <v>58.268135988556665</v>
      </c>
      <c r="D157" s="1760">
        <f>11361019.2327592-D154-D155-D156</f>
        <v>2477205.4778356608</v>
      </c>
      <c r="E157" s="1913">
        <f t="shared" si="3"/>
        <v>55.356143923915923</v>
      </c>
      <c r="F157" s="1760">
        <f>1227138.80294882-F154-F155-F156</f>
        <v>347824.02183705498</v>
      </c>
      <c r="G157" s="1913">
        <f>F157/F151*100</f>
        <v>93.176977326730892</v>
      </c>
      <c r="H157" s="1760">
        <f>J157+L157</f>
        <v>2657072.6624268098</v>
      </c>
      <c r="I157" s="1913">
        <f>H157/H151*100</f>
        <v>82.721647623699056</v>
      </c>
      <c r="J157" s="1760">
        <f>7503563.59027595-J154-J155-J156</f>
        <v>1929868.5623972202</v>
      </c>
      <c r="K157" s="1913">
        <f>J157/J151*100</f>
        <v>85.660442352913364</v>
      </c>
      <c r="L157" s="1760">
        <f>2573000.33445959-L154-L155-L156</f>
        <v>727204.10002958984</v>
      </c>
      <c r="M157" s="1913">
        <f>L157/L151*100</f>
        <v>75.818669294761435</v>
      </c>
      <c r="N157" s="1760">
        <f>B157-H157</f>
        <v>167956.83724590577</v>
      </c>
      <c r="O157" s="1760">
        <f>D157-J157</f>
        <v>547336.91543844063</v>
      </c>
      <c r="P157" s="1760">
        <f>F157-L157</f>
        <v>-379380.07819253486</v>
      </c>
    </row>
    <row r="158" spans="1:16">
      <c r="A158" s="311"/>
      <c r="B158" s="1760"/>
      <c r="C158" s="1913"/>
      <c r="D158" s="1760"/>
      <c r="E158" s="1913"/>
      <c r="F158" s="1760"/>
      <c r="G158" s="1913"/>
      <c r="H158" s="1760"/>
      <c r="I158" s="1913"/>
      <c r="J158" s="1760"/>
      <c r="K158" s="1913"/>
      <c r="L158" s="1760"/>
      <c r="M158" s="1913"/>
      <c r="N158" s="1760"/>
      <c r="O158" s="1760"/>
      <c r="P158" s="1760"/>
    </row>
    <row r="159" spans="1:16">
      <c r="A159" s="37" t="s">
        <v>2523</v>
      </c>
      <c r="B159" s="1703">
        <f>SUM(B160:B163)</f>
        <v>21692281.000000007</v>
      </c>
      <c r="C159" s="1704">
        <f>((B160+B161+B162+B163)/(IF(B160=0,0,B154)+IF(B161=0,0,B155)+IF(B162=0,0,B156)+IF(B163=0,0,B157)))*100</f>
        <v>172.32291601731492</v>
      </c>
      <c r="D159" s="1703">
        <f>SUM(D160:D163)</f>
        <v>19889468.834310226</v>
      </c>
      <c r="E159" s="1704">
        <f>((D160+D161+D162+D163)/(IF(D160=0,0,D154)+IF(D161=0,0,D155)+IF(D162=0,0,D156)+IF(D163=0,0,D157)))*100</f>
        <v>175.06764513662179</v>
      </c>
      <c r="F159" s="1703">
        <f>SUM(F160:F163)</f>
        <v>1802812.1656897794</v>
      </c>
      <c r="G159" s="1704">
        <f>((F160+F161+F162+F163)/(IF(F160=0,0,F154)+IF(F161=0,0,F155)+IF(F162=0,0,F156)+IF(F163=0,0,F157)))*100</f>
        <v>146.91183763056094</v>
      </c>
      <c r="H159" s="1703">
        <f>SUM(H160:H163)</f>
        <v>10418668</v>
      </c>
      <c r="I159" s="1704">
        <f>((H160+H161+H162+H163)/(IF(H160=0,0,H154)+IF(H161=0,0,H155)+IF(H162=0,0,H156)+IF(H163=0,0,H157)))*100</f>
        <v>103.3950469407997</v>
      </c>
      <c r="J159" s="1703">
        <f>SUM(J160:J163)</f>
        <v>7818125.4841546798</v>
      </c>
      <c r="K159" s="1704">
        <f>((J160+J161+J162+J163)/(IF(J160=0,0,J154)+IF(J161=0,0,J155)+IF(J162=0,0,J156)+IF(J163=0,0,J157)))*100</f>
        <v>104.19216669645313</v>
      </c>
      <c r="L159" s="1703">
        <f>SUM(L160:L163)</f>
        <v>2600542.5158453202</v>
      </c>
      <c r="M159" s="1704">
        <f>((L160+L161+L162+L163)/(IF(L160=0,0,L154)+IF(L161=0,0,L155)+IF(L162=0,0,L156)+IF(L163=0,0,L157)))*100</f>
        <v>101.070430540442</v>
      </c>
      <c r="N159" s="1703">
        <f>SUM(N160:N163)</f>
        <v>11273613.000000006</v>
      </c>
      <c r="O159" s="1703">
        <f>SUM(O160:O163)</f>
        <v>12071343.350155547</v>
      </c>
      <c r="P159" s="1703">
        <f>SUM(P160:P163)</f>
        <v>-797730.35015554074</v>
      </c>
    </row>
    <row r="160" spans="1:16">
      <c r="A160" s="37" t="s">
        <v>1060</v>
      </c>
      <c r="B160" s="1760">
        <v>3840624</v>
      </c>
      <c r="C160" s="1759">
        <v>86.051502867133195</v>
      </c>
      <c r="D160" s="1760">
        <v>3592681</v>
      </c>
      <c r="E160" s="1913">
        <f t="shared" ref="E160:E161" si="4">D160/D154*100</f>
        <v>85.912043412749455</v>
      </c>
      <c r="F160" s="1760">
        <v>247943</v>
      </c>
      <c r="G160" s="1759">
        <v>88.124298042337827</v>
      </c>
      <c r="H160" s="1760">
        <v>2291785</v>
      </c>
      <c r="I160" s="1759">
        <v>88.482456861720834</v>
      </c>
      <c r="J160" s="1760">
        <v>1760142</v>
      </c>
      <c r="K160" s="1759">
        <v>89.651030954614768</v>
      </c>
      <c r="L160" s="1760">
        <v>531643</v>
      </c>
      <c r="M160" s="1759">
        <v>84.821985561006741</v>
      </c>
      <c r="N160" s="1760">
        <v>1548839</v>
      </c>
      <c r="O160" s="1760">
        <v>1832539</v>
      </c>
      <c r="P160" s="1760">
        <v>-283700</v>
      </c>
    </row>
    <row r="161" spans="1:16">
      <c r="A161" s="37" t="s">
        <v>1061</v>
      </c>
      <c r="B161" s="1760">
        <v>4512158</v>
      </c>
      <c r="C161" s="1913">
        <f>B161/B155*100</f>
        <v>172.64773427416037</v>
      </c>
      <c r="D161" s="1760">
        <v>4101338</v>
      </c>
      <c r="E161" s="1913">
        <f t="shared" si="4"/>
        <v>184.37053703588535</v>
      </c>
      <c r="F161" s="1760">
        <v>410820</v>
      </c>
      <c r="G161" s="1759">
        <v>105.61003438498065</v>
      </c>
      <c r="H161" s="1760">
        <v>2542099</v>
      </c>
      <c r="I161" s="1759">
        <v>115.5772891387155</v>
      </c>
      <c r="J161" s="1760">
        <v>1934661</v>
      </c>
      <c r="K161" s="1759">
        <v>120.70697332428099</v>
      </c>
      <c r="L161" s="1760">
        <v>607438</v>
      </c>
      <c r="M161" s="1759">
        <v>101.79873717545877</v>
      </c>
      <c r="N161" s="1760">
        <v>1970059</v>
      </c>
      <c r="O161" s="1760">
        <v>2166677</v>
      </c>
      <c r="P161" s="1760">
        <v>-196618</v>
      </c>
    </row>
    <row r="162" spans="1:16">
      <c r="A162" s="37" t="s">
        <v>1264</v>
      </c>
      <c r="B162" s="1760">
        <v>5540097</v>
      </c>
      <c r="C162" s="1913">
        <v>206.22340411563741</v>
      </c>
      <c r="D162" s="1760">
        <v>5000813</v>
      </c>
      <c r="E162" s="1913">
        <v>201.84978164143885</v>
      </c>
      <c r="F162" s="1760">
        <v>539284</v>
      </c>
      <c r="G162" s="1759">
        <v>258.07797287762833</v>
      </c>
      <c r="H162" s="1760">
        <v>2652770</v>
      </c>
      <c r="I162" s="1759">
        <v>100.86920928728939</v>
      </c>
      <c r="J162" s="1760">
        <v>2037553</v>
      </c>
      <c r="K162" s="1759">
        <v>101.49227436037461</v>
      </c>
      <c r="L162" s="1760">
        <v>615217</v>
      </c>
      <c r="M162" s="1759">
        <v>98.859199835388395</v>
      </c>
      <c r="N162" s="1760">
        <v>2887327</v>
      </c>
      <c r="O162" s="1760">
        <v>2963260</v>
      </c>
      <c r="P162" s="1760">
        <v>-75933</v>
      </c>
    </row>
    <row r="163" spans="1:16">
      <c r="A163" s="37" t="s">
        <v>1062</v>
      </c>
      <c r="B163" s="1760">
        <v>7799402.0000000056</v>
      </c>
      <c r="C163" s="1913">
        <v>276.08214359898119</v>
      </c>
      <c r="D163" s="1760">
        <v>7194636.8343102261</v>
      </c>
      <c r="E163" s="1913">
        <v>290.43359134649558</v>
      </c>
      <c r="F163" s="1760">
        <v>604765.16568977945</v>
      </c>
      <c r="G163" s="1759">
        <v>173.871017446027</v>
      </c>
      <c r="H163" s="1760">
        <v>2932014</v>
      </c>
      <c r="I163" s="1759">
        <v>110.34752799428811</v>
      </c>
      <c r="J163" s="1760">
        <v>2085769.4841546798</v>
      </c>
      <c r="K163" s="1759">
        <v>108.07831811943736</v>
      </c>
      <c r="L163" s="1760">
        <v>846244.51584532019</v>
      </c>
      <c r="M163" s="1759">
        <v>116.36960185055155</v>
      </c>
      <c r="N163" s="1760">
        <v>4867388.0000000056</v>
      </c>
      <c r="O163" s="1760">
        <v>5108867.3501555463</v>
      </c>
      <c r="P163" s="1760">
        <v>-241479.35015554074</v>
      </c>
    </row>
    <row r="164" spans="1:16">
      <c r="A164" s="37"/>
      <c r="B164" s="1760"/>
      <c r="C164" s="1913"/>
      <c r="D164" s="1760"/>
      <c r="E164" s="1913"/>
      <c r="F164" s="1760"/>
      <c r="G164" s="1759"/>
      <c r="H164" s="1760"/>
      <c r="I164" s="1759"/>
      <c r="J164" s="1760"/>
      <c r="K164" s="1759"/>
      <c r="L164" s="1760"/>
      <c r="M164" s="1759"/>
      <c r="N164" s="1760"/>
      <c r="O164" s="1760"/>
      <c r="P164" s="1760"/>
    </row>
    <row r="165" spans="1:16">
      <c r="A165" s="37" t="s">
        <v>2812</v>
      </c>
      <c r="B165" s="1703">
        <f>SUM(B166:B169)</f>
        <v>42206696.141908742</v>
      </c>
      <c r="C165" s="1704">
        <f>((B166+B167+B168+B169)/(IF(B166=0,0,B160)+IF(B167=0,0,B161)+IF(B168=0,0,B162)+IF(B169=0,0,B163)))*100</f>
        <v>194.570115249331</v>
      </c>
      <c r="D165" s="1703">
        <f>SUM(D166:D169)</f>
        <v>40706447.497027099</v>
      </c>
      <c r="E165" s="1704">
        <f>((D166+D167+D168+D169)/(IF(D166=0,0,D160)+IF(D167=0,0,D161)+IF(D168=0,0,D162)+IF(D169=0,0,D163)))*100</f>
        <v>204.66332125876914</v>
      </c>
      <c r="F165" s="1703">
        <f>SUM(F166:F169)</f>
        <v>1500248.6448816422</v>
      </c>
      <c r="G165" s="1704">
        <f>((F166+F167+F168+F169)/(IF(F166=0,0,F160)+IF(F167=0,0,F161)+IF(F168=0,0,F162)+IF(F169=0,0,F163)))*100</f>
        <v>83.217135619207866</v>
      </c>
      <c r="H165" s="1703">
        <f>SUM(H166:H169)</f>
        <v>13509216.421858551</v>
      </c>
      <c r="I165" s="1704">
        <f>((H166+H167+H168+H169)/(IF(H166=0,0,H160)+IF(H167=0,0,H161)+IF(H168=0,0,H162)+IF(H169=0,0,H163)))*100</f>
        <v>129.66356564830122</v>
      </c>
      <c r="J165" s="1703">
        <f>SUM(J166:J169)</f>
        <v>9394522.4003469087</v>
      </c>
      <c r="K165" s="1704">
        <f>((J166+J167+J168+J169)/(IF(J166=0,0,J160)+IF(J167=0,0,J161)+IF(J168=0,0,J162)+IF(J169=0,0,J163)))*100</f>
        <v>120.16336165730748</v>
      </c>
      <c r="L165" s="1703">
        <f>SUM(L166:L169)</f>
        <v>4114694.0215116423</v>
      </c>
      <c r="M165" s="1704">
        <f>((L166+L167+L168+L169)/(IF(L166=0,0,L160)+IF(L167=0,0,L161)+IF(L168=0,0,L162)+IF(L169=0,0,L163)))*100</f>
        <v>158.22444726207982</v>
      </c>
      <c r="N165" s="1703">
        <f>SUM(N166:N169)</f>
        <v>28697479.72005019</v>
      </c>
      <c r="O165" s="1703">
        <f>SUM(O166:O169)</f>
        <v>31311925.096680187</v>
      </c>
      <c r="P165" s="1703">
        <f>SUM(P166:P169)</f>
        <v>-2614445.3766299998</v>
      </c>
    </row>
    <row r="166" spans="1:16">
      <c r="A166" s="37" t="s">
        <v>1060</v>
      </c>
      <c r="B166" s="1760">
        <f>D166+F166</f>
        <v>8124292.2643750664</v>
      </c>
      <c r="C166" s="1759">
        <f>B166/B160*100</f>
        <v>211.53573649425371</v>
      </c>
      <c r="D166" s="1760">
        <v>7696880.979750949</v>
      </c>
      <c r="E166" s="1759">
        <f>D166/D160*100</f>
        <v>214.23780680085289</v>
      </c>
      <c r="F166" s="1760">
        <v>427411.28462411754</v>
      </c>
      <c r="G166" s="1759">
        <f>F166/F160*100</f>
        <v>172.38288018783251</v>
      </c>
      <c r="H166" s="1760">
        <f>J166+L166</f>
        <v>2677229.4012737232</v>
      </c>
      <c r="I166" s="1759">
        <f>H166/H160*100</f>
        <v>116.81852360817979</v>
      </c>
      <c r="J166" s="1760">
        <v>1960665.5076304048</v>
      </c>
      <c r="K166" s="1759">
        <f>J166/J160*100</f>
        <v>111.39246195082015</v>
      </c>
      <c r="L166" s="1760">
        <v>716563.89364331844</v>
      </c>
      <c r="M166" s="1759">
        <f>L166/L160*100</f>
        <v>134.78290763601109</v>
      </c>
      <c r="N166" s="1760">
        <f>B166-H166</f>
        <v>5447062.8631013427</v>
      </c>
      <c r="O166" s="1760">
        <f>D166-J166</f>
        <v>5736215.4721205439</v>
      </c>
      <c r="P166" s="1760">
        <f>F166-L166</f>
        <v>-289152.6090192009</v>
      </c>
    </row>
    <row r="167" spans="1:16">
      <c r="A167" s="37" t="s">
        <v>1061</v>
      </c>
      <c r="B167" s="1760">
        <f>D167+F167</f>
        <v>10777523.638336884</v>
      </c>
      <c r="C167" s="1913">
        <f>B167/B161*100</f>
        <v>238.85519164747521</v>
      </c>
      <c r="D167" s="1760">
        <v>10481057.57075806</v>
      </c>
      <c r="E167" s="1913">
        <f t="shared" ref="E167:E168" si="5">D167/D161*100</f>
        <v>255.55215324262619</v>
      </c>
      <c r="F167" s="1760">
        <v>296466.06757882365</v>
      </c>
      <c r="G167" s="1759">
        <f t="shared" ref="G167:G168" si="6">F167/F161*100</f>
        <v>72.164468034376043</v>
      </c>
      <c r="H167" s="1760">
        <f t="shared" ref="H167:H169" si="7">J167+L167</f>
        <v>3202213.6162698241</v>
      </c>
      <c r="I167" s="1759">
        <f t="shared" ref="I167:I168" si="8">H167/H161*100</f>
        <v>125.96730561122223</v>
      </c>
      <c r="J167" s="1760">
        <v>2191232.069420727</v>
      </c>
      <c r="K167" s="1759">
        <f t="shared" ref="K167:K168" si="9">J167/J161*100</f>
        <v>113.26181017866837</v>
      </c>
      <c r="L167" s="1760">
        <v>1010981.5468490974</v>
      </c>
      <c r="M167" s="1759">
        <f t="shared" ref="M167:M168" si="10">L167/L161*100</f>
        <v>166.43370135702696</v>
      </c>
      <c r="N167" s="1760">
        <f t="shared" ref="N167:N169" si="11">B167-H167</f>
        <v>7575310.0220670598</v>
      </c>
      <c r="O167" s="1760">
        <f t="shared" ref="O167:O168" si="12">D167-J167</f>
        <v>8289825.5013373327</v>
      </c>
      <c r="P167" s="1760">
        <f t="shared" ref="P167:P168" si="13">F167-L167</f>
        <v>-714515.4792702737</v>
      </c>
    </row>
    <row r="168" spans="1:16">
      <c r="A168" s="37" t="s">
        <v>1264</v>
      </c>
      <c r="B168" s="1760">
        <f>D168+F168</f>
        <v>12325090</v>
      </c>
      <c r="C168" s="1913">
        <f>B168/B162*100</f>
        <v>222.47065349216811</v>
      </c>
      <c r="D168" s="1760">
        <v>12012348.4</v>
      </c>
      <c r="E168" s="1913">
        <f t="shared" si="5"/>
        <v>240.20791019380249</v>
      </c>
      <c r="F168" s="1760">
        <v>312741.59999999998</v>
      </c>
      <c r="G168" s="1759">
        <f t="shared" si="6"/>
        <v>57.992004212993521</v>
      </c>
      <c r="H168" s="1760">
        <f t="shared" si="7"/>
        <v>3655101</v>
      </c>
      <c r="I168" s="1759">
        <f t="shared" si="8"/>
        <v>137.78431601684278</v>
      </c>
      <c r="J168" s="1760">
        <v>2578357.4</v>
      </c>
      <c r="K168" s="1759">
        <f t="shared" si="9"/>
        <v>126.54185682531937</v>
      </c>
      <c r="L168" s="1760">
        <v>1076743.6000000001</v>
      </c>
      <c r="M168" s="1759">
        <f t="shared" si="10"/>
        <v>175.01850566548066</v>
      </c>
      <c r="N168" s="1760">
        <f t="shared" si="11"/>
        <v>8669989</v>
      </c>
      <c r="O168" s="1760">
        <f t="shared" si="12"/>
        <v>9433991</v>
      </c>
      <c r="P168" s="1760">
        <f t="shared" si="13"/>
        <v>-764002.00000000012</v>
      </c>
    </row>
    <row r="169" spans="1:16">
      <c r="A169" s="37" t="s">
        <v>1062</v>
      </c>
      <c r="B169" s="1760">
        <f>D169+F169</f>
        <v>10979790.23919679</v>
      </c>
      <c r="C169" s="1913">
        <f>B169/B163*100</f>
        <v>140.77733445713895</v>
      </c>
      <c r="D169" s="1760">
        <v>10516160.546518089</v>
      </c>
      <c r="E169" s="1913">
        <f>D169/D163*100</f>
        <v>146.16666259467019</v>
      </c>
      <c r="F169" s="1760">
        <v>463629.69267870102</v>
      </c>
      <c r="G169" s="1759">
        <f>F169/F163*100</f>
        <v>76.662764157372891</v>
      </c>
      <c r="H169" s="1760">
        <f t="shared" si="7"/>
        <v>3974672.4043150037</v>
      </c>
      <c r="I169" s="1759">
        <f>H169/H163*100</f>
        <v>135.56116731758456</v>
      </c>
      <c r="J169" s="1760">
        <v>2664267.4232957773</v>
      </c>
      <c r="K169" s="1759">
        <f>J169/J163*100</f>
        <v>127.73546854222728</v>
      </c>
      <c r="L169" s="1760">
        <v>1310404.9810192264</v>
      </c>
      <c r="M169" s="1759">
        <f>L169/L163*100</f>
        <v>154.84945030459107</v>
      </c>
      <c r="N169" s="1760">
        <f t="shared" si="11"/>
        <v>7005117.8348817863</v>
      </c>
      <c r="O169" s="1760">
        <f>D169-J169</f>
        <v>7851893.123222312</v>
      </c>
      <c r="P169" s="1760">
        <f>F169-L169</f>
        <v>-846775.28834052535</v>
      </c>
    </row>
    <row r="170" spans="1:16">
      <c r="A170" s="37"/>
      <c r="B170" s="1760"/>
      <c r="C170" s="1913"/>
      <c r="D170" s="1760"/>
      <c r="E170" s="1913"/>
      <c r="F170" s="1760"/>
      <c r="G170" s="1759"/>
      <c r="H170" s="1760"/>
      <c r="I170" s="1759"/>
      <c r="J170" s="1760"/>
      <c r="K170" s="1759"/>
      <c r="L170" s="1760"/>
      <c r="M170" s="1759"/>
      <c r="N170" s="1760"/>
      <c r="O170" s="1760"/>
      <c r="P170" s="1760"/>
    </row>
    <row r="171" spans="1:16">
      <c r="A171" s="37" t="s">
        <v>3500</v>
      </c>
      <c r="B171" s="1703">
        <f>SUM(B172:B175)</f>
        <v>29202113.999999963</v>
      </c>
      <c r="C171" s="1704">
        <f>((B172+B173+B174+B175)/(IF(B172=0,0,B166)+IF(B173=0,0,B167)+IF(B174=0,0,B168)+IF(B175=0,0,B169)))*100</f>
        <v>69.188343721137642</v>
      </c>
      <c r="D171" s="1703">
        <f>SUM(D172:D175)</f>
        <v>27586296.546869501</v>
      </c>
      <c r="E171" s="1704">
        <f>((D172+D173+D174+D175)/(IF(D172=0,0,D166)+IF(D173=0,0,D167)+IF(D174=0,0,D168)+IF(D175=0,0,D169)))*100</f>
        <v>67.768862779991309</v>
      </c>
      <c r="F171" s="1703">
        <f>SUM(F172:F175)</f>
        <v>1615817.4531304601</v>
      </c>
      <c r="G171" s="1704">
        <f>((F172+F173+F174+F175)/(IF(F172=0,0,F166)+IF(F173=0,0,F167)+IF(F174=0,0,F168)+IF(F175=0,0,F169)))*100</f>
        <v>107.70331029080418</v>
      </c>
      <c r="H171" s="1703">
        <f>SUM(H172:H175)</f>
        <v>16396550.999999953</v>
      </c>
      <c r="I171" s="1704">
        <f>((H172+H173+H174+H175)/(IF(H172=0,0,H166)+IF(H173=0,0,H167)+IF(H174=0,0,H168)+IF(H175=0,0,H169)))*100</f>
        <v>121.37307218995737</v>
      </c>
      <c r="J171" s="1703">
        <f>SUM(J172:J175)</f>
        <v>11911319.282069199</v>
      </c>
      <c r="K171" s="1704">
        <f>((J172+J173+J174+J175)/(IF(J172=0,0,J166)+IF(J173=0,0,J167)+IF(J174=0,0,J168)+IF(J175=0,0,J169)))*100</f>
        <v>126.79004609781283</v>
      </c>
      <c r="L171" s="1703">
        <f>SUM(L172:L175)</f>
        <v>4485231.7179307546</v>
      </c>
      <c r="M171" s="1704">
        <f>((L172+L173+L174+L175)/(IF(L172=0,0,L166)+IF(L173=0,0,L167)+IF(L174=0,0,L168)+IF(L175=0,0,L169)))*100</f>
        <v>109.00523087456659</v>
      </c>
      <c r="N171" s="1703">
        <f>SUM(N172:N175)</f>
        <v>12805563.000000009</v>
      </c>
      <c r="O171" s="1703">
        <f>SUM(O172:O175)</f>
        <v>15674977.264800303</v>
      </c>
      <c r="P171" s="1703">
        <f>SUM(P172:P175)</f>
        <v>-2869414.2648002948</v>
      </c>
    </row>
    <row r="172" spans="1:16">
      <c r="A172" s="37" t="s">
        <v>1060</v>
      </c>
      <c r="B172" s="1760">
        <f>D172+F172</f>
        <v>8483779.8959766719</v>
      </c>
      <c r="C172" s="1759">
        <f>B172/B166*100</f>
        <v>104.42484858869436</v>
      </c>
      <c r="D172" s="1760">
        <v>8161693.78813258</v>
      </c>
      <c r="E172" s="1759">
        <f>D172/D166*100</f>
        <v>106.03897617235431</v>
      </c>
      <c r="F172" s="1760">
        <v>322086.10784409154</v>
      </c>
      <c r="G172" s="1759">
        <f>F172/F166*100</f>
        <v>75.357417885526075</v>
      </c>
      <c r="H172" s="1760">
        <f>J172+L172</f>
        <v>3763123.3505233326</v>
      </c>
      <c r="I172" s="1759">
        <f>H172/H166*100</f>
        <v>140.56036246774306</v>
      </c>
      <c r="J172" s="1760">
        <v>2607074.4095138805</v>
      </c>
      <c r="K172" s="1759">
        <f>J172/J166*100</f>
        <v>132.96885161532239</v>
      </c>
      <c r="L172" s="1760">
        <v>1156048.9410094521</v>
      </c>
      <c r="M172" s="1759">
        <f>L172/L166*100</f>
        <v>161.33229029048658</v>
      </c>
      <c r="N172" s="1760">
        <f>B172-H172</f>
        <v>4720656.5454533398</v>
      </c>
      <c r="O172" s="1760">
        <f>D172-J172</f>
        <v>5554619.3786186995</v>
      </c>
      <c r="P172" s="1760">
        <f>F172-L172</f>
        <v>-833962.83316536061</v>
      </c>
    </row>
    <row r="173" spans="1:16">
      <c r="A173" s="37" t="s">
        <v>1061</v>
      </c>
      <c r="B173" s="1760">
        <f>D173+F173</f>
        <v>6673532.1040233281</v>
      </c>
      <c r="C173" s="1759">
        <f>B173/B167*100</f>
        <v>61.920830127292056</v>
      </c>
      <c r="D173" s="1760">
        <v>6209518.21186742</v>
      </c>
      <c r="E173" s="1759">
        <f t="shared" ref="E173:E175" si="14">D173/D167*100</f>
        <v>59.245149355842209</v>
      </c>
      <c r="F173" s="1760">
        <v>464013.89215590846</v>
      </c>
      <c r="G173" s="1759">
        <f t="shared" ref="G173:G175" si="15">F173/F167*100</f>
        <v>156.51500893353929</v>
      </c>
      <c r="H173" s="1760">
        <f t="shared" ref="H173:H175" si="16">J173+L173</f>
        <v>3905253.5792861194</v>
      </c>
      <c r="I173" s="1759">
        <f t="shared" ref="I173:I175" si="17">H173/H167*100</f>
        <v>121.95481149178451</v>
      </c>
      <c r="J173" s="1760">
        <v>2768918.5904861195</v>
      </c>
      <c r="K173" s="1759">
        <f t="shared" ref="K173:K175" si="18">J173/J167*100</f>
        <v>126.36354812103994</v>
      </c>
      <c r="L173" s="1760">
        <v>1136334.9887999999</v>
      </c>
      <c r="M173" s="1759">
        <f t="shared" ref="M173:M175" si="19">L173/L167*100</f>
        <v>112.39918199709864</v>
      </c>
      <c r="N173" s="1760">
        <f t="shared" ref="N173:N175" si="20">B173-H173</f>
        <v>2768278.5247372086</v>
      </c>
      <c r="O173" s="1760">
        <f t="shared" ref="O173:O175" si="21">D173-J173</f>
        <v>3440599.6213813005</v>
      </c>
      <c r="P173" s="1760">
        <f t="shared" ref="P173:P175" si="22">F173-L173</f>
        <v>-672321.09664409142</v>
      </c>
    </row>
    <row r="174" spans="1:16">
      <c r="A174" s="37" t="s">
        <v>1264</v>
      </c>
      <c r="B174" s="1760">
        <f>D174+F174</f>
        <v>6669105.9284742801</v>
      </c>
      <c r="C174" s="1759">
        <f>B174/B168*100</f>
        <v>54.109997805081179</v>
      </c>
      <c r="D174" s="1760">
        <v>6311780.704334598</v>
      </c>
      <c r="E174" s="1759">
        <f t="shared" si="14"/>
        <v>52.544102902764614</v>
      </c>
      <c r="F174" s="1760">
        <v>357325.22413968231</v>
      </c>
      <c r="G174" s="1759">
        <f t="shared" si="15"/>
        <v>114.25573832828198</v>
      </c>
      <c r="H174" s="1760">
        <f t="shared" si="16"/>
        <v>4181578.9290296817</v>
      </c>
      <c r="I174" s="1759">
        <f t="shared" si="17"/>
        <v>114.40392287462595</v>
      </c>
      <c r="J174" s="1760">
        <v>3149856.425324779</v>
      </c>
      <c r="K174" s="1759">
        <f t="shared" si="18"/>
        <v>122.16523688006863</v>
      </c>
      <c r="L174" s="1760">
        <v>1031722.5037049027</v>
      </c>
      <c r="M174" s="1759">
        <f t="shared" si="19"/>
        <v>95.818772798361891</v>
      </c>
      <c r="N174" s="1760">
        <f t="shared" si="20"/>
        <v>2487526.9994445983</v>
      </c>
      <c r="O174" s="1760">
        <f t="shared" si="21"/>
        <v>3161924.279009819</v>
      </c>
      <c r="P174" s="1760">
        <f t="shared" si="22"/>
        <v>-674397.27956522047</v>
      </c>
    </row>
    <row r="175" spans="1:16">
      <c r="A175" s="37" t="s">
        <v>1062</v>
      </c>
      <c r="B175" s="1760">
        <f>D175+F175</f>
        <v>7375696.0715256818</v>
      </c>
      <c r="C175" s="1759">
        <f>B175/B169*100</f>
        <v>67.175200170902713</v>
      </c>
      <c r="D175" s="1760">
        <v>6903303.8425349034</v>
      </c>
      <c r="E175" s="1759">
        <f t="shared" si="14"/>
        <v>65.644717118935532</v>
      </c>
      <c r="F175" s="1760">
        <v>472392.22899077786</v>
      </c>
      <c r="G175" s="1759">
        <f t="shared" si="15"/>
        <v>101.88998600617009</v>
      </c>
      <c r="H175" s="1760">
        <f t="shared" si="16"/>
        <v>4546595.1411608197</v>
      </c>
      <c r="I175" s="1759">
        <f t="shared" si="17"/>
        <v>114.38917924971432</v>
      </c>
      <c r="J175" s="1760">
        <v>3385469.8567444198</v>
      </c>
      <c r="K175" s="1759">
        <f t="shared" si="18"/>
        <v>127.06944607521771</v>
      </c>
      <c r="L175" s="1760">
        <v>1161125.2844163999</v>
      </c>
      <c r="M175" s="1759">
        <f t="shared" si="19"/>
        <v>88.608125063236756</v>
      </c>
      <c r="N175" s="1760">
        <f t="shared" si="20"/>
        <v>2829100.9303648621</v>
      </c>
      <c r="O175" s="1760">
        <f t="shared" si="21"/>
        <v>3517833.9857904837</v>
      </c>
      <c r="P175" s="1760">
        <f t="shared" si="22"/>
        <v>-688733.05542562203</v>
      </c>
    </row>
    <row r="176" spans="1:16">
      <c r="A176" s="37"/>
      <c r="B176" s="1760"/>
      <c r="C176" s="1759"/>
      <c r="D176" s="1760"/>
      <c r="E176" s="1759"/>
      <c r="F176" s="1760"/>
      <c r="G176" s="1759"/>
      <c r="H176" s="1760"/>
      <c r="I176" s="1759"/>
      <c r="J176" s="1760"/>
      <c r="K176" s="1759"/>
      <c r="L176" s="1760"/>
      <c r="M176" s="1759"/>
      <c r="N176" s="1760"/>
      <c r="O176" s="1760"/>
      <c r="P176" s="1760"/>
    </row>
    <row r="177" spans="1:16">
      <c r="A177" s="37" t="s">
        <v>3971</v>
      </c>
      <c r="B177" s="1957">
        <f>SUM(B178:B181)</f>
        <v>25992028.287370764</v>
      </c>
      <c r="C177" s="1704">
        <f>((B178+B179+B180+B181)/(IF(B178=0,0,B172)+IF(B179=0,0,B173)+IF(B180=0,0,B174)+IF(B181=0,0,B175)))*100</f>
        <v>89.007351616293249</v>
      </c>
      <c r="D177" s="1703">
        <f>SUM(D178:D181)</f>
        <v>24274261.0360891</v>
      </c>
      <c r="E177" s="1704">
        <f>((D178+D179+D180+D181)/(IF(D178=0,0,D172)+IF(D179=0,0,D173)+IF(D180=0,0,D174)+IF(D181=0,0,D175)))*100</f>
        <v>87.993910291099766</v>
      </c>
      <c r="F177" s="1958">
        <f>SUM(F178:F181)</f>
        <v>1717767.2512816598</v>
      </c>
      <c r="G177" s="1704">
        <f>((F178+F179+F180+F181)/(IF(F178=0,0,F172)+IF(F179=0,0,F173)+IF(F180=0,0,F174)+IF(F181=0,0,F175)))*100</f>
        <v>106.30948737146537</v>
      </c>
      <c r="H177" s="1958">
        <f>SUM(H178:H181)</f>
        <v>17167084.151302718</v>
      </c>
      <c r="I177" s="1704">
        <f>((H178+H179+H180+H181)/(IF(H178=0,0,H172)+IF(H179=0,0,H173)+IF(H180=0,0,H174)+IF(H181=0,0,H175)))*100</f>
        <v>104.69936117237562</v>
      </c>
      <c r="J177" s="1703">
        <f>SUM(J178:J181)</f>
        <v>12649990.633814799</v>
      </c>
      <c r="K177" s="1704">
        <f>((J178+J179+J180+J181)/(IF(J178=0,0,J172)+IF(J179=0,0,J173)+IF(J180=0,0,J174)+IF(J181=0,0,J175)))*100</f>
        <v>106.20142348847592</v>
      </c>
      <c r="L177" s="1703">
        <f>SUM(L178:L181)</f>
        <v>4517093.5174879199</v>
      </c>
      <c r="M177" s="1704">
        <f>((L178+L179+L180+L181)/(IF(L178=0,0,L172)+IF(L179=0,0,L173)+IF(L180=0,0,L174)+IF(L181=0,0,L175)))*100</f>
        <v>100.71037131548388</v>
      </c>
      <c r="N177" s="1703">
        <f>SUM(N178:N181)</f>
        <v>8824944.1360680424</v>
      </c>
      <c r="O177" s="1703">
        <f>SUM(O178:O181)</f>
        <v>11624270.402274305</v>
      </c>
      <c r="P177" s="1703">
        <f>SUM(P178:P181)</f>
        <v>-2799326.2662062598</v>
      </c>
    </row>
    <row r="178" spans="1:16">
      <c r="A178" s="37" t="s">
        <v>1060</v>
      </c>
      <c r="B178" s="1862">
        <f>D178+F178</f>
        <v>6184494.1924629677</v>
      </c>
      <c r="C178" s="1913">
        <f>B178/B172*100</f>
        <v>72.897862371416394</v>
      </c>
      <c r="D178" s="1760">
        <v>5853641.0180594521</v>
      </c>
      <c r="E178" s="1913">
        <f>D178/D172*100</f>
        <v>71.720909531926736</v>
      </c>
      <c r="F178" s="1753">
        <v>330853.17440351599</v>
      </c>
      <c r="G178" s="1913">
        <f>F178/F172*100</f>
        <v>102.72196358238097</v>
      </c>
      <c r="H178" s="1959">
        <f>J178+L178</f>
        <v>3515055.0228954502</v>
      </c>
      <c r="I178" s="1913">
        <f>H178/H172*100</f>
        <v>93.407913997998932</v>
      </c>
      <c r="J178" s="1753">
        <v>2613676.4946902334</v>
      </c>
      <c r="K178" s="1913">
        <f>J178/J172*100</f>
        <v>100.25323731276177</v>
      </c>
      <c r="L178" s="1753">
        <v>901378.52820521675</v>
      </c>
      <c r="M178" s="1913">
        <f>L178/L172*100</f>
        <v>77.970620120817784</v>
      </c>
      <c r="N178" s="1760">
        <f>B178-H178</f>
        <v>2669439.1695675175</v>
      </c>
      <c r="O178" s="1760">
        <f>D178-J178</f>
        <v>3239964.5233692187</v>
      </c>
      <c r="P178" s="1760">
        <f>F178-L178</f>
        <v>-570525.35380170075</v>
      </c>
    </row>
    <row r="179" spans="1:16">
      <c r="A179" s="37" t="s">
        <v>4111</v>
      </c>
      <c r="B179" s="1862">
        <f t="shared" ref="B179:B180" si="23">D179+F179</f>
        <v>6168008.8506042743</v>
      </c>
      <c r="C179" s="1913">
        <f>B179/B173*100</f>
        <v>92.424952101237594</v>
      </c>
      <c r="D179" s="1760">
        <v>5698014.717543547</v>
      </c>
      <c r="E179" s="1913">
        <f>D179/D173*100</f>
        <v>91.762589674891288</v>
      </c>
      <c r="F179" s="1753">
        <v>469994.13306072762</v>
      </c>
      <c r="G179" s="1913">
        <f>F179/F173*100</f>
        <v>101.28880643573702</v>
      </c>
      <c r="H179" s="1959">
        <f t="shared" ref="H179:H180" si="24">J179+L179</f>
        <v>4214096.3041208498</v>
      </c>
      <c r="I179" s="1913">
        <f>H179/H173*100</f>
        <v>107.90839105744286</v>
      </c>
      <c r="J179" s="1753">
        <v>3021218.8199898466</v>
      </c>
      <c r="K179" s="1913">
        <f>J179/J173*100</f>
        <v>109.11186881299506</v>
      </c>
      <c r="L179" s="1753">
        <v>1192877.4841310033</v>
      </c>
      <c r="M179" s="1913">
        <f>L179/L173*100</f>
        <v>104.97586502996919</v>
      </c>
      <c r="N179" s="1760">
        <f>B179-H179</f>
        <v>1953912.5464834245</v>
      </c>
      <c r="O179" s="1760">
        <f>D179-J179</f>
        <v>2676795.8975537005</v>
      </c>
      <c r="P179" s="1760">
        <f>F179-L179</f>
        <v>-722883.35107027565</v>
      </c>
    </row>
    <row r="180" spans="1:16">
      <c r="A180" s="37" t="s">
        <v>1264</v>
      </c>
      <c r="B180" s="1862">
        <f t="shared" si="23"/>
        <v>6912559.9310168894</v>
      </c>
      <c r="C180" s="1913">
        <f>B180/B174*100</f>
        <v>103.65047436873304</v>
      </c>
      <c r="D180" s="1760">
        <v>6453946.5707875034</v>
      </c>
      <c r="E180" s="1913">
        <f>D180/D174*100</f>
        <v>102.25238919272455</v>
      </c>
      <c r="F180" s="1753">
        <v>458613.36022938613</v>
      </c>
      <c r="G180" s="1913">
        <f>F180/F174*100</f>
        <v>128.34620375137837</v>
      </c>
      <c r="H180" s="1959">
        <f t="shared" si="24"/>
        <v>4531953.1580239888</v>
      </c>
      <c r="I180" s="1913">
        <f>H180/H174*100</f>
        <v>108.37899355580525</v>
      </c>
      <c r="J180" s="1753">
        <v>3441945.7685926189</v>
      </c>
      <c r="K180" s="1913">
        <f>J180/J174*100</f>
        <v>109.27310022512289</v>
      </c>
      <c r="L180" s="1753">
        <v>1090007.38943137</v>
      </c>
      <c r="M180" s="1913">
        <f>L180/L174*100</f>
        <v>105.64927928945689</v>
      </c>
      <c r="N180" s="1760">
        <f>B180-H180</f>
        <v>2380606.7729929006</v>
      </c>
      <c r="O180" s="1760">
        <f>D180-J180</f>
        <v>3012000.8021948845</v>
      </c>
      <c r="P180" s="1760">
        <f>F180-L180</f>
        <v>-631394.02920198382</v>
      </c>
    </row>
    <row r="181" spans="1:16">
      <c r="A181" s="37" t="s">
        <v>1062</v>
      </c>
      <c r="B181" s="1862">
        <f>D181+F181</f>
        <v>6726965.3132866304</v>
      </c>
      <c r="C181" s="1913">
        <f>B181/B175*100</f>
        <v>91.204480879526542</v>
      </c>
      <c r="D181" s="1760">
        <v>6268658.7296986002</v>
      </c>
      <c r="E181" s="1913">
        <f>D181/D175*100</f>
        <v>90.806646682333181</v>
      </c>
      <c r="F181" s="1753">
        <v>458306.58358802996</v>
      </c>
      <c r="G181" s="1759">
        <f>F181/F175*100</f>
        <v>97.018230923730357</v>
      </c>
      <c r="H181" s="1959">
        <f>J181+L181</f>
        <v>4905979.6662624292</v>
      </c>
      <c r="I181" s="1913">
        <f>H181/H175*100</f>
        <v>107.904476073712</v>
      </c>
      <c r="J181" s="1753">
        <v>3573149.5505420999</v>
      </c>
      <c r="K181" s="1913">
        <f>J181/J175*100</f>
        <v>105.54368231705833</v>
      </c>
      <c r="L181" s="1753">
        <v>1332830.1157203298</v>
      </c>
      <c r="M181" s="1913">
        <f>L181/L175*100</f>
        <v>114.78779539197026</v>
      </c>
      <c r="N181" s="1760">
        <f>B181-H181</f>
        <v>1820985.6470242012</v>
      </c>
      <c r="O181" s="1760">
        <f>D181-J181</f>
        <v>2695509.1791565004</v>
      </c>
      <c r="P181" s="1760">
        <f>F181-L181</f>
        <v>-874523.53213229985</v>
      </c>
    </row>
    <row r="182" spans="1:16">
      <c r="A182" s="37"/>
      <c r="B182" s="1862"/>
      <c r="C182" s="1913"/>
      <c r="D182" s="1760"/>
      <c r="E182" s="1913"/>
      <c r="F182" s="1913"/>
      <c r="G182" s="1913"/>
      <c r="H182" s="1913"/>
      <c r="I182" s="1960"/>
      <c r="J182" s="1913"/>
      <c r="K182" s="1913"/>
      <c r="L182" s="1913"/>
      <c r="M182" s="1913"/>
      <c r="N182" s="1913"/>
      <c r="O182" s="1913"/>
    </row>
    <row r="183" spans="1:16">
      <c r="A183" s="37" t="s">
        <v>4202</v>
      </c>
      <c r="B183" s="1957">
        <f>SUM(B184:B187)</f>
        <v>24074598.303049028</v>
      </c>
      <c r="C183" s="1704">
        <f>((B184+B185+B186+B187)/(IF(B184=0,0,B178)+IF(B185=0,0,B179)+IF(B186=0,0,B180)+IF(B187=0,0,B181)))*100</f>
        <v>92.623007473205192</v>
      </c>
      <c r="D183" s="1957">
        <f>SUM(D184:D187)</f>
        <v>22567705.376928002</v>
      </c>
      <c r="E183" s="1704">
        <f>((D184+D185+D186+D187)/(IF(D184=0,0,D178)+IF(D185=0,0,D179)+IF(D186=0,0,D180)+IF(D187=0,0,D181)))*100</f>
        <v>92.96969058450874</v>
      </c>
      <c r="F183" s="1957">
        <f>SUM(F184:F187)</f>
        <v>1506892.92612103</v>
      </c>
      <c r="G183" s="1704">
        <f>((F184+F185+F186+F187)/(IF(F184=0,0,F178)+IF(F185=0,0,F179)+IF(F186=0,0,F180)+IF(F187=0,0,F181)))*100</f>
        <v>87.723929129322244</v>
      </c>
      <c r="H183" s="1957">
        <f>SUM(H184:H187)</f>
        <v>17696040.146757301</v>
      </c>
      <c r="I183" s="1704">
        <f>((H184+H185+H186+H187)/(IF(H184=0,0,H178)+IF(H185=0,0,H179)+IF(H186=0,0,H180)+IF(H187=0,0,H181)))*100</f>
        <v>103.08122212713941</v>
      </c>
      <c r="J183" s="1957">
        <f>SUM(J184:J187)</f>
        <v>13925264.923117099</v>
      </c>
      <c r="K183" s="1704">
        <f>((J184+J185+J186+J187)/(IF(J184=0,0,J178)+IF(J185=0,0,J179)+IF(J186=0,0,J180)+IF(J187=0,0,J181)))*100</f>
        <v>110.0812271425194</v>
      </c>
      <c r="L183" s="1957">
        <f>SUM(L184:L187)</f>
        <v>3770775.2236401998</v>
      </c>
      <c r="M183" s="1704">
        <f>((L184+L185+L186+L187)/(IF(L184=0,0,L178)+IF(L185=0,0,L179)+IF(L186=0,0,L180)+IF(L187=0,0,L181)))*100</f>
        <v>83.47790916972717</v>
      </c>
      <c r="N183" s="1703">
        <f>SUM(N184:N187)</f>
        <v>6378558.1562917316</v>
      </c>
      <c r="O183" s="1703">
        <f>SUM(O184:O187)</f>
        <v>8642440.4538109023</v>
      </c>
      <c r="P183" s="1703">
        <f>SUM(P184:P187)</f>
        <v>-2263882.2975191697</v>
      </c>
    </row>
    <row r="184" spans="1:16">
      <c r="A184" s="37" t="s">
        <v>1060</v>
      </c>
      <c r="B184" s="1862">
        <f>D184+F184</f>
        <v>6212869.9437425146</v>
      </c>
      <c r="C184" s="1913">
        <f>B184/B178*100</f>
        <v>100.45882088973627</v>
      </c>
      <c r="D184" s="1912">
        <v>5919381.8154703099</v>
      </c>
      <c r="E184" s="1913">
        <f>D184/D178*100</f>
        <v>101.12307531685043</v>
      </c>
      <c r="F184" s="1912">
        <v>293488.12827220501</v>
      </c>
      <c r="G184" s="1913">
        <f>F184/F178*100</f>
        <v>88.706456814665543</v>
      </c>
      <c r="H184" s="1912">
        <f>J184+L184</f>
        <v>3767410.2835777979</v>
      </c>
      <c r="I184" s="1913">
        <f>H184/H178*100</f>
        <v>107.1792691448248</v>
      </c>
      <c r="J184" s="1912">
        <v>2810792.8833456398</v>
      </c>
      <c r="K184" s="1913">
        <f>J184/J178*100</f>
        <v>107.54172863611295</v>
      </c>
      <c r="L184" s="1912">
        <v>956617.40023215802</v>
      </c>
      <c r="M184" s="1913">
        <f>L184/L178*100</f>
        <v>106.12826579494082</v>
      </c>
      <c r="N184" s="1912">
        <f>B184-H184</f>
        <v>2445459.6601647167</v>
      </c>
      <c r="O184" s="1912">
        <f>D184-J184</f>
        <v>3108588.9321246701</v>
      </c>
      <c r="P184" s="1912">
        <f>F184-L184</f>
        <v>-663129.27195995301</v>
      </c>
    </row>
    <row r="185" spans="1:16">
      <c r="A185" s="37" t="s">
        <v>4111</v>
      </c>
      <c r="B185" s="1862">
        <f>D185+F185</f>
        <v>6013125.7606948661</v>
      </c>
      <c r="C185" s="1913">
        <f>B185/B179*100</f>
        <v>97.488928864065514</v>
      </c>
      <c r="D185" s="1912">
        <v>5567424.6334417891</v>
      </c>
      <c r="E185" s="1913">
        <f>D185/D179*100</f>
        <v>97.708147651853452</v>
      </c>
      <c r="F185" s="1912">
        <v>445701.12725307699</v>
      </c>
      <c r="G185" s="1913">
        <f>F185/F179*100</f>
        <v>94.831210838857061</v>
      </c>
      <c r="H185" s="1912">
        <f>J185+L185</f>
        <v>4297173.7262439225</v>
      </c>
      <c r="I185" s="1913">
        <f>H185/H179*100</f>
        <v>101.97141726547241</v>
      </c>
      <c r="J185" s="1912">
        <v>3422595.9808124802</v>
      </c>
      <c r="K185" s="1913">
        <f>J185/J179*100</f>
        <v>113.2852727570386</v>
      </c>
      <c r="L185" s="1912">
        <v>874577.74543144193</v>
      </c>
      <c r="M185" s="1913">
        <f>L185/L179*100</f>
        <v>73.316644589746886</v>
      </c>
      <c r="N185" s="1912">
        <f>B185-H185</f>
        <v>1715952.0344509436</v>
      </c>
      <c r="O185" s="1912">
        <f>D185-J185</f>
        <v>2144828.6526293089</v>
      </c>
      <c r="P185" s="1912">
        <f>F185-L185</f>
        <v>-428876.61817836494</v>
      </c>
    </row>
    <row r="186" spans="1:16">
      <c r="A186" s="37" t="s">
        <v>1264</v>
      </c>
      <c r="B186" s="1862">
        <f>D186+F186</f>
        <v>5969029.3056655787</v>
      </c>
      <c r="C186" s="1913">
        <f>B186/B180*100</f>
        <v>86.350489040714763</v>
      </c>
      <c r="D186" s="1912">
        <v>5593741.2494323002</v>
      </c>
      <c r="E186" s="1913">
        <f>D186/D180*100</f>
        <v>86.671638633502951</v>
      </c>
      <c r="F186" s="1912">
        <v>375288.05623327801</v>
      </c>
      <c r="G186" s="1913">
        <f>F186/F180*100</f>
        <v>81.831034326075667</v>
      </c>
      <c r="H186" s="1912">
        <f>J186+L186</f>
        <v>4531479.3373966794</v>
      </c>
      <c r="I186" s="1913">
        <f>H186/H180*100</f>
        <v>99.989544891335186</v>
      </c>
      <c r="J186" s="1912">
        <v>3763433.8915693099</v>
      </c>
      <c r="K186" s="1913">
        <f>J186/J180*100</f>
        <v>109.34030181155774</v>
      </c>
      <c r="L186" s="1912">
        <v>768045.44582736993</v>
      </c>
      <c r="M186" s="1913">
        <f>L186/L180*100</f>
        <v>70.46240725285729</v>
      </c>
      <c r="N186" s="1912">
        <f>B186-H186</f>
        <v>1437549.9682688992</v>
      </c>
      <c r="O186" s="1912">
        <f>D186-J186</f>
        <v>1830307.3578629903</v>
      </c>
      <c r="P186" s="1912">
        <f>F186-L186</f>
        <v>-392757.38959409192</v>
      </c>
    </row>
    <row r="187" spans="1:16">
      <c r="A187" s="2016" t="s">
        <v>1062</v>
      </c>
      <c r="B187" s="1959">
        <f>D187+F187</f>
        <v>5879573.2929460723</v>
      </c>
      <c r="C187" s="1913">
        <f>B187/B181*100</f>
        <v>87.403056491656812</v>
      </c>
      <c r="D187" s="1912">
        <v>5487157.6785836024</v>
      </c>
      <c r="E187" s="1913">
        <f>D187/D181*100</f>
        <v>87.533201521841775</v>
      </c>
      <c r="F187" s="1912">
        <v>392415.61436246987</v>
      </c>
      <c r="G187" s="1913">
        <f>F187/F181*100</f>
        <v>85.622949443643776</v>
      </c>
      <c r="H187" s="1912">
        <f>J187+L187</f>
        <v>5099976.7995389001</v>
      </c>
      <c r="I187" s="2017">
        <f>H187/H181*100</f>
        <v>103.95429957874786</v>
      </c>
      <c r="J187" s="1912">
        <v>3928442.1673896699</v>
      </c>
      <c r="K187" s="1913">
        <f>J187/J181*100</f>
        <v>109.94340180342206</v>
      </c>
      <c r="L187" s="1912">
        <v>1171534.63214923</v>
      </c>
      <c r="M187" s="1913">
        <f>L187/L181*100</f>
        <v>87.898271379925447</v>
      </c>
      <c r="N187" s="1912">
        <f>B187-H187</f>
        <v>779596.49340717215</v>
      </c>
      <c r="O187" s="1912">
        <f>D187-J187</f>
        <v>1558715.5111939325</v>
      </c>
      <c r="P187" s="1912">
        <f>F187-L187</f>
        <v>-779119.01778676012</v>
      </c>
    </row>
    <row r="188" spans="1:16">
      <c r="A188" s="37"/>
      <c r="B188" s="1862"/>
      <c r="C188" s="1913"/>
      <c r="D188" s="1912"/>
      <c r="E188" s="1913"/>
      <c r="F188" s="1912"/>
      <c r="G188" s="1913"/>
      <c r="H188" s="1912"/>
      <c r="I188" s="1913"/>
      <c r="J188" s="1912"/>
      <c r="K188" s="1913"/>
      <c r="L188" s="1912"/>
      <c r="M188" s="1913"/>
      <c r="N188" s="1912"/>
      <c r="O188" s="1912"/>
      <c r="P188" s="1912"/>
    </row>
    <row r="189" spans="1:16">
      <c r="A189" s="2016" t="s">
        <v>4465</v>
      </c>
      <c r="B189" s="1907">
        <f>SUM(B190:B193)</f>
        <v>5949820.4180866452</v>
      </c>
      <c r="C189" s="1908">
        <f>((B190+B191+B192+B193)/(IF(B190=0,0,B184)+IF(B191=0,0,B185)+IF(B192=0,0,B186)+IF(B193=0,0,B187)))*100</f>
        <v>95.766054528136252</v>
      </c>
      <c r="D189" s="1907">
        <f>SUM(D190:D193)</f>
        <v>5572312.4158818172</v>
      </c>
      <c r="E189" s="1908">
        <f>((D190+D191+D192+D193)/(IF(D190=0,0,D184)+IF(D191=0,0,D185)+IF(D192=0,0,D186)+IF(D193=0,0,D187)))*100</f>
        <v>94.136728962449652</v>
      </c>
      <c r="F189" s="1907">
        <f>SUM(F190:F193)</f>
        <v>377508.00220482802</v>
      </c>
      <c r="G189" s="1908">
        <f>((F190+F191+F192+F193)/(IF(F190=0,0,F184)+IF(F191=0,0,F185)+IF(F192=0,0,F186)+IF(F193=0,0,F187)))*100</f>
        <v>128.62803154160162</v>
      </c>
      <c r="H189" s="1907">
        <f>SUM(H190:H193)</f>
        <v>3910918.3510093372</v>
      </c>
      <c r="I189" s="2021">
        <f>((H190+H191+H192+H193)/(IF(H190=0,0,H184)+IF(H191=0,0,H185)+IF(H192=0,0,H186)+IF(H193=0,0,H187)))*100</f>
        <v>103.80919667966862</v>
      </c>
      <c r="J189" s="1907">
        <f>SUM(J190:J193)</f>
        <v>3124211.7463325472</v>
      </c>
      <c r="K189" s="1908">
        <f>((J190+J191+J192+J193)/(IF(J190=0,0,J184)+IF(J191=0,0,J185)+IF(J192=0,0,J186)+IF(J193=0,0,J187)))*100</f>
        <v>111.15054989800066</v>
      </c>
      <c r="L189" s="1907">
        <f>SUM(L190:L193)</f>
        <v>786706.60467679019</v>
      </c>
      <c r="M189" s="1908">
        <f>((L190+L191+L192+L193)/(IF(L190=0,0,L184)+IF(L191=0,0,L185)+IF(L192=0,0,L186)+IF(L193=0,0,L187)))*100</f>
        <v>82.238374974767055</v>
      </c>
      <c r="N189" s="1907">
        <f>SUM(N190:N193)</f>
        <v>2038902.067077308</v>
      </c>
      <c r="O189" s="1907">
        <f>SUM(O190:O193)</f>
        <v>2448100.6695492701</v>
      </c>
      <c r="P189" s="1907">
        <f>SUM(P190:P193)</f>
        <v>-409198.60247196216</v>
      </c>
    </row>
    <row r="190" spans="1:16" ht="12.6" customHeight="1">
      <c r="A190" s="2018" t="s">
        <v>1060</v>
      </c>
      <c r="B190" s="2019">
        <f>D190+F190</f>
        <v>5949820.4180866452</v>
      </c>
      <c r="C190" s="1987">
        <f>B190/B184*100</f>
        <v>95.766054528136252</v>
      </c>
      <c r="D190" s="2011">
        <v>5572312.4158818172</v>
      </c>
      <c r="E190" s="1987">
        <f>D190/D184*100</f>
        <v>94.136728962449652</v>
      </c>
      <c r="F190" s="2011">
        <v>377508.00220482802</v>
      </c>
      <c r="G190" s="1987">
        <f>F190/F184*100</f>
        <v>128.62803154160162</v>
      </c>
      <c r="H190" s="2011">
        <f>J190+L190</f>
        <v>3910918.3510093372</v>
      </c>
      <c r="I190" s="2020">
        <f>H190/H184*100</f>
        <v>103.80919667966862</v>
      </c>
      <c r="J190" s="2011">
        <v>3124211.7463325472</v>
      </c>
      <c r="K190" s="1987">
        <f>J190/J184*100</f>
        <v>111.15054989800066</v>
      </c>
      <c r="L190" s="2011">
        <v>786706.60467679019</v>
      </c>
      <c r="M190" s="1987">
        <f>L190/L184*100</f>
        <v>82.238374974767055</v>
      </c>
      <c r="N190" s="2011">
        <f>B190-H190</f>
        <v>2038902.067077308</v>
      </c>
      <c r="O190" s="2011">
        <f>D190-J190</f>
        <v>2448100.6695492701</v>
      </c>
      <c r="P190" s="2011">
        <f>F190-L190</f>
        <v>-409198.60247196216</v>
      </c>
    </row>
    <row r="191" spans="1:16" ht="9" customHeight="1">
      <c r="A191" s="2093" t="s">
        <v>2681</v>
      </c>
      <c r="B191" s="2093"/>
      <c r="C191" s="2093"/>
      <c r="D191" s="2093"/>
      <c r="E191" s="2093"/>
      <c r="F191" s="2093"/>
      <c r="G191" s="2093"/>
      <c r="H191" s="2093"/>
      <c r="I191" s="2093"/>
      <c r="J191" s="2093"/>
      <c r="K191" s="2093"/>
      <c r="L191" s="2093"/>
      <c r="M191" s="2093"/>
      <c r="N191" s="2093"/>
      <c r="O191" s="2093"/>
      <c r="P191" s="2093"/>
    </row>
    <row r="192" spans="1:16" ht="12" customHeight="1">
      <c r="A192" s="2093"/>
      <c r="B192" s="2093"/>
      <c r="C192" s="2093"/>
      <c r="D192" s="2093"/>
      <c r="E192" s="2093"/>
      <c r="F192" s="2093"/>
      <c r="G192" s="2093"/>
      <c r="H192" s="2093"/>
      <c r="I192" s="2093"/>
      <c r="J192" s="2093"/>
      <c r="K192" s="2093"/>
      <c r="L192" s="2093"/>
      <c r="M192" s="2093"/>
      <c r="N192" s="2093"/>
      <c r="O192" s="2093"/>
      <c r="P192" s="2093"/>
    </row>
    <row r="193" spans="1:16">
      <c r="A193" s="1753"/>
    </row>
    <row r="194" spans="1:16">
      <c r="C194" s="1753"/>
      <c r="E194" s="1753"/>
      <c r="G194" s="1753"/>
      <c r="I194" s="1753"/>
      <c r="K194" s="1753"/>
      <c r="M194" s="1753"/>
    </row>
    <row r="195" spans="1:16">
      <c r="B195" s="1917"/>
      <c r="C195" s="1917"/>
      <c r="D195" s="1917"/>
      <c r="E195" s="1917"/>
      <c r="F195" s="1917"/>
      <c r="G195" s="1917"/>
      <c r="H195" s="1356"/>
      <c r="I195" s="1917"/>
      <c r="J195" s="1917"/>
      <c r="K195" s="1917"/>
      <c r="L195" s="1917"/>
      <c r="M195" s="1917"/>
      <c r="N195" s="1917"/>
      <c r="O195" s="1917"/>
      <c r="P195" s="1917"/>
    </row>
  </sheetData>
  <mergeCells count="50">
    <mergeCell ref="N1:P1"/>
    <mergeCell ref="A2:P2"/>
    <mergeCell ref="A3:P3"/>
    <mergeCell ref="A5:M5"/>
    <mergeCell ref="N5:P5"/>
    <mergeCell ref="O15:O17"/>
    <mergeCell ref="P15:P17"/>
    <mergeCell ref="O7:P7"/>
    <mergeCell ref="D8:D12"/>
    <mergeCell ref="E8:E12"/>
    <mergeCell ref="F8:F12"/>
    <mergeCell ref="G8:G12"/>
    <mergeCell ref="J8:J12"/>
    <mergeCell ref="K8:K12"/>
    <mergeCell ref="L8:L12"/>
    <mergeCell ref="M8:M12"/>
    <mergeCell ref="O8:O12"/>
    <mergeCell ref="D7:G7"/>
    <mergeCell ref="H7:H12"/>
    <mergeCell ref="I7:I12"/>
    <mergeCell ref="J7:M7"/>
    <mergeCell ref="C14:C17"/>
    <mergeCell ref="D14:G14"/>
    <mergeCell ref="H14:H17"/>
    <mergeCell ref="I14:I17"/>
    <mergeCell ref="M15:M17"/>
    <mergeCell ref="C7:C12"/>
    <mergeCell ref="A6:A12"/>
    <mergeCell ref="B6:G6"/>
    <mergeCell ref="H6:M6"/>
    <mergeCell ref="N6:P6"/>
    <mergeCell ref="B7:B12"/>
    <mergeCell ref="N7:N12"/>
    <mergeCell ref="P8:P12"/>
    <mergeCell ref="A191:P192"/>
    <mergeCell ref="J14:M14"/>
    <mergeCell ref="N14:N17"/>
    <mergeCell ref="O14:P14"/>
    <mergeCell ref="D15:D17"/>
    <mergeCell ref="E15:E17"/>
    <mergeCell ref="F15:F17"/>
    <mergeCell ref="G15:G17"/>
    <mergeCell ref="J15:J17"/>
    <mergeCell ref="K15:K17"/>
    <mergeCell ref="L15:L17"/>
    <mergeCell ref="A13:A17"/>
    <mergeCell ref="B13:G13"/>
    <mergeCell ref="H13:M13"/>
    <mergeCell ref="N13:P13"/>
    <mergeCell ref="B14:B17"/>
  </mergeCells>
  <pageMargins left="0.17" right="0.17" top="0.52" bottom="0.19" header="0.17" footer="0.17"/>
  <pageSetup scale="22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92D050"/>
  </sheetPr>
  <dimension ref="A1:R305"/>
  <sheetViews>
    <sheetView showGridLines="0" view="pageBreakPreview" zoomScale="115" zoomScaleSheetLayoutView="115" workbookViewId="0">
      <pane ySplit="10" topLeftCell="A263" activePane="bottomLeft" state="frozen"/>
      <selection activeCell="F40" sqref="F40"/>
      <selection pane="bottomLeft" activeCell="F40" sqref="F40"/>
    </sheetView>
  </sheetViews>
  <sheetFormatPr defaultColWidth="8.85546875" defaultRowHeight="12.75"/>
  <cols>
    <col min="1" max="1" width="8.5703125" style="83" customWidth="1"/>
    <col min="2" max="2" width="22.5703125" style="14" customWidth="1"/>
    <col min="3" max="3" width="24" style="14" customWidth="1"/>
    <col min="4" max="4" width="22.5703125" style="14" customWidth="1"/>
    <col min="5" max="5" width="24" style="14" customWidth="1"/>
    <col min="6" max="16384" width="8.85546875" style="14"/>
  </cols>
  <sheetData>
    <row r="1" spans="1:18" ht="8.25" customHeight="1"/>
    <row r="2" spans="1:18" s="467" customFormat="1" ht="18.75" customHeight="1">
      <c r="A2" s="2140" t="s">
        <v>3431</v>
      </c>
      <c r="B2" s="2140"/>
      <c r="C2" s="2140"/>
      <c r="D2" s="2140"/>
      <c r="E2" s="2140"/>
    </row>
    <row r="3" spans="1:18" s="467" customFormat="1" ht="18.75" customHeight="1">
      <c r="A3" s="2141" t="s">
        <v>3432</v>
      </c>
      <c r="B3" s="2141"/>
      <c r="C3" s="2141"/>
      <c r="D3" s="2141"/>
      <c r="E3" s="2141"/>
    </row>
    <row r="4" spans="1:18" s="467" customFormat="1" ht="11.25" customHeight="1">
      <c r="A4" s="486"/>
      <c r="B4" s="486"/>
      <c r="C4" s="486"/>
      <c r="D4" s="486"/>
      <c r="E4" s="486"/>
    </row>
    <row r="5" spans="1:18" ht="11.25" customHeight="1">
      <c r="A5" s="468"/>
      <c r="B5" s="469"/>
      <c r="C5" s="469"/>
      <c r="D5" s="469"/>
      <c r="E5" s="469"/>
    </row>
    <row r="6" spans="1:18" s="83" customFormat="1">
      <c r="A6" s="2142" t="s">
        <v>182</v>
      </c>
      <c r="B6" s="2144" t="s">
        <v>3433</v>
      </c>
      <c r="C6" s="2145"/>
      <c r="D6" s="2145" t="s">
        <v>3434</v>
      </c>
      <c r="E6" s="2145"/>
    </row>
    <row r="7" spans="1:18" s="83" customFormat="1">
      <c r="A7" s="2143"/>
      <c r="B7" s="1230" t="s">
        <v>3435</v>
      </c>
      <c r="C7" s="1230" t="s">
        <v>3436</v>
      </c>
      <c r="D7" s="1230" t="s">
        <v>3435</v>
      </c>
      <c r="E7" s="1231" t="s">
        <v>3436</v>
      </c>
    </row>
    <row r="8" spans="1:18">
      <c r="A8" s="1232"/>
      <c r="B8" s="1233"/>
      <c r="C8" s="1233"/>
      <c r="D8" s="1233"/>
      <c r="E8" s="1234"/>
    </row>
    <row r="9" spans="1:18">
      <c r="A9" s="2146" t="s">
        <v>283</v>
      </c>
      <c r="B9" s="2148" t="s">
        <v>3437</v>
      </c>
      <c r="C9" s="2149"/>
      <c r="D9" s="2149" t="s">
        <v>3438</v>
      </c>
      <c r="E9" s="2149"/>
    </row>
    <row r="10" spans="1:18">
      <c r="A10" s="2147"/>
      <c r="B10" s="1229" t="s">
        <v>105</v>
      </c>
      <c r="C10" s="1229" t="s">
        <v>3439</v>
      </c>
      <c r="D10" s="1229" t="s">
        <v>105</v>
      </c>
      <c r="E10" s="1229" t="s">
        <v>3439</v>
      </c>
    </row>
    <row r="11" spans="1:18">
      <c r="A11" s="107">
        <v>2000</v>
      </c>
      <c r="B11" s="257">
        <v>100</v>
      </c>
      <c r="C11" s="257">
        <v>100</v>
      </c>
      <c r="D11" s="257">
        <v>100</v>
      </c>
      <c r="E11" s="258">
        <v>100</v>
      </c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</row>
    <row r="12" spans="1:18">
      <c r="A12" s="108">
        <v>2001</v>
      </c>
      <c r="B12" s="257">
        <v>105.31796064924021</v>
      </c>
      <c r="C12" s="257">
        <v>110.137812784316</v>
      </c>
      <c r="D12" s="257">
        <v>97.236600680791042</v>
      </c>
      <c r="E12" s="257">
        <v>96.441399581188037</v>
      </c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</row>
    <row r="13" spans="1:18">
      <c r="A13" s="108">
        <v>2002</v>
      </c>
      <c r="B13" s="257">
        <v>97.259506156314671</v>
      </c>
      <c r="C13" s="257">
        <v>105.83283082185874</v>
      </c>
      <c r="D13" s="257">
        <v>86.855055613728425</v>
      </c>
      <c r="E13" s="257">
        <v>87.082529195495056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</row>
    <row r="14" spans="1:18">
      <c r="A14" s="108">
        <v>2003</v>
      </c>
      <c r="B14" s="257">
        <v>85.464518174336135</v>
      </c>
      <c r="C14" s="257">
        <v>95.82272375825535</v>
      </c>
      <c r="D14" s="257">
        <v>75.171638939120626</v>
      </c>
      <c r="E14" s="257">
        <v>75.357996520103498</v>
      </c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18">
      <c r="A15" s="108">
        <v>2004</v>
      </c>
      <c r="B15" s="257">
        <v>80.249953111945786</v>
      </c>
      <c r="C15" s="257">
        <v>91.241209407035726</v>
      </c>
      <c r="D15" s="257">
        <v>74.235158395045531</v>
      </c>
      <c r="E15" s="257">
        <v>73.843078754559272</v>
      </c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</row>
    <row r="16" spans="1:18">
      <c r="A16" s="108">
        <v>2005</v>
      </c>
      <c r="B16" s="257">
        <v>92.117884711509276</v>
      </c>
      <c r="C16" s="257">
        <v>101.81691165672568</v>
      </c>
      <c r="D16" s="257">
        <v>85.81461067077386</v>
      </c>
      <c r="E16" s="257">
        <v>81.398940628431959</v>
      </c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8">
      <c r="A17" s="108">
        <v>2006</v>
      </c>
      <c r="B17" s="257">
        <f>+B29</f>
        <v>90.034168606815371</v>
      </c>
      <c r="C17" s="257">
        <f>+C29</f>
        <v>101.5173985506876</v>
      </c>
      <c r="D17" s="257">
        <f>+D29</f>
        <v>89.047316822160539</v>
      </c>
      <c r="E17" s="257">
        <f>+E29</f>
        <v>84.485970327054659</v>
      </c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</row>
    <row r="18" spans="1:18" hidden="1">
      <c r="A18" s="37" t="s">
        <v>18</v>
      </c>
      <c r="B18" s="257">
        <v>91.043738953639036</v>
      </c>
      <c r="C18" s="257">
        <v>100.88649178879136</v>
      </c>
      <c r="D18" s="257">
        <v>85.708842380612566</v>
      </c>
      <c r="E18" s="257">
        <v>81.048362048222259</v>
      </c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</row>
    <row r="19" spans="1:18" hidden="1">
      <c r="A19" s="37" t="s">
        <v>19</v>
      </c>
      <c r="B19" s="257">
        <v>91.648839319885937</v>
      </c>
      <c r="C19" s="257">
        <v>100.96017594540957</v>
      </c>
      <c r="D19" s="257">
        <v>87.393310551017905</v>
      </c>
      <c r="E19" s="257">
        <v>81.932449102227238</v>
      </c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</row>
    <row r="20" spans="1:18" hidden="1">
      <c r="A20" s="37" t="s">
        <v>20</v>
      </c>
      <c r="B20" s="257">
        <v>91.710575016114603</v>
      </c>
      <c r="C20" s="257">
        <v>101.05408135731381</v>
      </c>
      <c r="D20" s="257">
        <v>88.193025027865502</v>
      </c>
      <c r="E20" s="257">
        <v>82.704462696571852</v>
      </c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</row>
    <row r="21" spans="1:18" hidden="1">
      <c r="A21" s="37" t="s">
        <v>21</v>
      </c>
      <c r="B21" s="257">
        <v>91.071807621633567</v>
      </c>
      <c r="C21" s="257">
        <v>100.72886335304005</v>
      </c>
      <c r="D21" s="257">
        <v>87.548044627545025</v>
      </c>
      <c r="E21" s="257">
        <v>82.483258276596004</v>
      </c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</row>
    <row r="22" spans="1:18" hidden="1">
      <c r="A22" s="37" t="s">
        <v>22</v>
      </c>
      <c r="B22" s="257">
        <v>89.269920921145697</v>
      </c>
      <c r="C22" s="257">
        <v>99.713317753178984</v>
      </c>
      <c r="D22" s="257">
        <v>85.600425316767442</v>
      </c>
      <c r="E22" s="257">
        <v>81.359616698313218</v>
      </c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</row>
    <row r="23" spans="1:18" hidden="1">
      <c r="A23" s="37" t="s">
        <v>23</v>
      </c>
      <c r="B23" s="257">
        <v>90.904262038390996</v>
      </c>
      <c r="C23" s="257">
        <v>101.92927467096565</v>
      </c>
      <c r="D23" s="257">
        <v>86.900601583082846</v>
      </c>
      <c r="E23" s="257">
        <v>82.85989612148866</v>
      </c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</row>
    <row r="24" spans="1:18" hidden="1">
      <c r="A24" s="37" t="s">
        <v>24</v>
      </c>
      <c r="B24" s="257">
        <v>91.056673697668231</v>
      </c>
      <c r="C24" s="257">
        <v>102.03916091680782</v>
      </c>
      <c r="D24" s="257">
        <v>86.624438010405896</v>
      </c>
      <c r="E24" s="257">
        <v>82.383842709779643</v>
      </c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hidden="1">
      <c r="A25" s="37" t="s">
        <v>25</v>
      </c>
      <c r="B25" s="257">
        <v>90.673505970208936</v>
      </c>
      <c r="C25" s="257">
        <v>101.56633255549725</v>
      </c>
      <c r="D25" s="257">
        <v>86.168135240705794</v>
      </c>
      <c r="E25" s="257">
        <v>81.896482460645345</v>
      </c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</row>
    <row r="26" spans="1:18" hidden="1">
      <c r="A26" s="37" t="s">
        <v>26</v>
      </c>
      <c r="B26" s="257">
        <v>91.727286163123679</v>
      </c>
      <c r="C26" s="257">
        <v>102.75562687607548</v>
      </c>
      <c r="D26" s="257">
        <v>87.747919629625827</v>
      </c>
      <c r="E26" s="257">
        <v>83.224352900292516</v>
      </c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</row>
    <row r="27" spans="1:18" hidden="1">
      <c r="A27" s="37" t="s">
        <v>27</v>
      </c>
      <c r="B27" s="257">
        <v>92.633064074344574</v>
      </c>
      <c r="C27" s="257">
        <v>103.73209124035706</v>
      </c>
      <c r="D27" s="257">
        <v>89.473388051236171</v>
      </c>
      <c r="E27" s="257">
        <v>84.644768272282363</v>
      </c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</row>
    <row r="28" spans="1:18" hidden="1">
      <c r="A28" s="37" t="s">
        <v>28</v>
      </c>
      <c r="B28" s="257">
        <v>91.652066197611546</v>
      </c>
      <c r="C28" s="257">
        <v>102.86246250638885</v>
      </c>
      <c r="D28" s="257">
        <v>89.35150987705147</v>
      </c>
      <c r="E28" s="257">
        <v>84.510575864274855</v>
      </c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1:18" hidden="1">
      <c r="A29" s="37" t="s">
        <v>29</v>
      </c>
      <c r="B29" s="257">
        <v>90.034168606815371</v>
      </c>
      <c r="C29" s="257">
        <v>101.5173985506876</v>
      </c>
      <c r="D29" s="257">
        <v>89.047316822160539</v>
      </c>
      <c r="E29" s="257">
        <v>84.485970327054659</v>
      </c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</row>
    <row r="30" spans="1:18">
      <c r="A30" s="108">
        <v>2007</v>
      </c>
      <c r="B30" s="257">
        <f>+B42</f>
        <v>85.4</v>
      </c>
      <c r="C30" s="257">
        <f>+C42</f>
        <v>97.1</v>
      </c>
      <c r="D30" s="257">
        <f>+D42</f>
        <v>95.1</v>
      </c>
      <c r="E30" s="257">
        <f>+E42</f>
        <v>89.1</v>
      </c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1:18" hidden="1">
      <c r="A31" s="37" t="s">
        <v>18</v>
      </c>
      <c r="B31" s="108">
        <v>90.9</v>
      </c>
      <c r="C31" s="108">
        <v>102.2</v>
      </c>
      <c r="D31" s="108">
        <v>95.5</v>
      </c>
      <c r="E31" s="108">
        <v>89.9</v>
      </c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</row>
    <row r="32" spans="1:18" hidden="1">
      <c r="A32" s="37" t="s">
        <v>19</v>
      </c>
      <c r="B32" s="108">
        <v>90.5</v>
      </c>
      <c r="C32" s="108">
        <v>101.8</v>
      </c>
      <c r="D32" s="108">
        <v>96.1</v>
      </c>
      <c r="E32" s="108">
        <v>90.3</v>
      </c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hidden="1">
      <c r="A33" s="37" t="s">
        <v>20</v>
      </c>
      <c r="B33" s="108">
        <v>90.1</v>
      </c>
      <c r="C33" s="108">
        <v>101.5</v>
      </c>
      <c r="D33" s="108">
        <v>96.2</v>
      </c>
      <c r="E33" s="108">
        <v>90.6</v>
      </c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</row>
    <row r="34" spans="1:18" hidden="1">
      <c r="A34" s="37" t="s">
        <v>21</v>
      </c>
      <c r="B34" s="108">
        <v>88.8</v>
      </c>
      <c r="C34" s="108">
        <v>100.3</v>
      </c>
      <c r="D34" s="108">
        <v>94.6</v>
      </c>
      <c r="E34" s="108">
        <v>89.3</v>
      </c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hidden="1">
      <c r="A35" s="37" t="s">
        <v>22</v>
      </c>
      <c r="B35" s="108">
        <v>88.9</v>
      </c>
      <c r="C35" s="108">
        <v>100.5</v>
      </c>
      <c r="D35" s="108">
        <v>94.1</v>
      </c>
      <c r="E35" s="108">
        <v>88.8</v>
      </c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</row>
    <row r="36" spans="1:18" hidden="1">
      <c r="A36" s="37" t="s">
        <v>23</v>
      </c>
      <c r="B36" s="257">
        <v>90</v>
      </c>
      <c r="C36" s="108">
        <v>101.4</v>
      </c>
      <c r="D36" s="108">
        <v>94.4</v>
      </c>
      <c r="E36" s="108">
        <v>88.6</v>
      </c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hidden="1">
      <c r="A37" s="37" t="s">
        <v>24</v>
      </c>
      <c r="B37" s="257">
        <v>88.7</v>
      </c>
      <c r="C37" s="257">
        <v>100</v>
      </c>
      <c r="D37" s="108">
        <v>93.1</v>
      </c>
      <c r="E37" s="108">
        <v>87.3</v>
      </c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</row>
    <row r="38" spans="1:18" hidden="1">
      <c r="A38" s="37" t="s">
        <v>25</v>
      </c>
      <c r="B38" s="257">
        <v>89.4</v>
      </c>
      <c r="C38" s="257">
        <v>100.8</v>
      </c>
      <c r="D38" s="108">
        <v>94.4</v>
      </c>
      <c r="E38" s="108">
        <v>88.5</v>
      </c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1:18" hidden="1">
      <c r="A39" s="37" t="s">
        <v>26</v>
      </c>
      <c r="B39" s="257">
        <v>88.1</v>
      </c>
      <c r="C39" s="257">
        <v>99.5</v>
      </c>
      <c r="D39" s="108">
        <v>93.4</v>
      </c>
      <c r="E39" s="108">
        <v>87.6</v>
      </c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</row>
    <row r="40" spans="1:18" hidden="1">
      <c r="A40" s="37" t="s">
        <v>27</v>
      </c>
      <c r="B40" s="257">
        <v>86.5</v>
      </c>
      <c r="C40" s="257">
        <v>97.9</v>
      </c>
      <c r="D40" s="108">
        <v>92.4</v>
      </c>
      <c r="E40" s="108">
        <v>86.6</v>
      </c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</row>
    <row r="41" spans="1:18" hidden="1">
      <c r="A41" s="37" t="s">
        <v>28</v>
      </c>
      <c r="B41" s="257">
        <v>84.8</v>
      </c>
      <c r="C41" s="257">
        <v>96.5</v>
      </c>
      <c r="D41" s="108">
        <v>92.7</v>
      </c>
      <c r="E41" s="108">
        <v>87.1</v>
      </c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</row>
    <row r="42" spans="1:18" hidden="1">
      <c r="A42" s="37" t="s">
        <v>29</v>
      </c>
      <c r="B42" s="257">
        <v>85.4</v>
      </c>
      <c r="C42" s="257">
        <v>97.1</v>
      </c>
      <c r="D42" s="108">
        <v>95.1</v>
      </c>
      <c r="E42" s="108">
        <v>89.1</v>
      </c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</row>
    <row r="43" spans="1:18">
      <c r="A43" s="37" t="s">
        <v>114</v>
      </c>
      <c r="B43" s="257">
        <f>+B55</f>
        <v>100.1</v>
      </c>
      <c r="C43" s="257">
        <f>+C55</f>
        <v>117.2</v>
      </c>
      <c r="D43" s="257">
        <f>+D55</f>
        <v>121.8</v>
      </c>
      <c r="E43" s="257">
        <f>+E55</f>
        <v>114.1</v>
      </c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</row>
    <row r="44" spans="1:18" hidden="1">
      <c r="A44" s="37" t="s">
        <v>18</v>
      </c>
      <c r="B44" s="257">
        <v>85</v>
      </c>
      <c r="C44" s="257">
        <v>96.8</v>
      </c>
      <c r="D44" s="257">
        <v>96.5</v>
      </c>
      <c r="E44" s="257">
        <v>90</v>
      </c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</row>
    <row r="45" spans="1:18" hidden="1">
      <c r="A45" s="37" t="s">
        <v>19</v>
      </c>
      <c r="B45" s="257">
        <v>85</v>
      </c>
      <c r="C45" s="257">
        <v>97.1</v>
      </c>
      <c r="D45" s="257">
        <v>98</v>
      </c>
      <c r="E45" s="257">
        <v>91.4</v>
      </c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</row>
    <row r="46" spans="1:18" hidden="1">
      <c r="A46" s="37" t="s">
        <v>20</v>
      </c>
      <c r="B46" s="257">
        <v>82.6</v>
      </c>
      <c r="C46" s="257">
        <v>95.3</v>
      </c>
      <c r="D46" s="257">
        <v>97.2</v>
      </c>
      <c r="E46" s="257">
        <v>91.4</v>
      </c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</row>
    <row r="47" spans="1:18" hidden="1">
      <c r="A47" s="37" t="s">
        <v>21</v>
      </c>
      <c r="B47" s="257">
        <v>83.2</v>
      </c>
      <c r="C47" s="257">
        <v>96.5</v>
      </c>
      <c r="D47" s="257">
        <v>100.3</v>
      </c>
      <c r="E47" s="257">
        <v>94.4</v>
      </c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</row>
    <row r="48" spans="1:18" hidden="1">
      <c r="A48" s="37" t="s">
        <v>22</v>
      </c>
      <c r="B48" s="257">
        <v>83.9</v>
      </c>
      <c r="C48" s="257">
        <v>96.9</v>
      </c>
      <c r="D48" s="257">
        <v>102.6</v>
      </c>
      <c r="E48" s="257">
        <v>96.1</v>
      </c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</row>
    <row r="49" spans="1:18" hidden="1">
      <c r="A49" s="37" t="s">
        <v>23</v>
      </c>
      <c r="B49" s="257">
        <v>84.624949385455565</v>
      </c>
      <c r="C49" s="257">
        <v>97.829487043232348</v>
      </c>
      <c r="D49" s="257">
        <v>103.03708811003435</v>
      </c>
      <c r="E49" s="257">
        <v>96.461978094020424</v>
      </c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</row>
    <row r="50" spans="1:18" hidden="1">
      <c r="A50" s="37" t="s">
        <v>24</v>
      </c>
      <c r="B50" s="257">
        <v>84.625986045278992</v>
      </c>
      <c r="C50" s="257">
        <v>97.740826546447323</v>
      </c>
      <c r="D50" s="257">
        <v>102.49814692233508</v>
      </c>
      <c r="E50" s="257">
        <v>95.734270764121931</v>
      </c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</row>
    <row r="51" spans="1:18" hidden="1">
      <c r="A51" s="37" t="s">
        <v>25</v>
      </c>
      <c r="B51" s="257">
        <v>87</v>
      </c>
      <c r="C51" s="257">
        <v>99.5</v>
      </c>
      <c r="D51" s="257">
        <v>105.03805824011273</v>
      </c>
      <c r="E51" s="257">
        <v>97.054891731624039</v>
      </c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</row>
    <row r="52" spans="1:18" hidden="1">
      <c r="A52" s="37" t="s">
        <v>26</v>
      </c>
      <c r="B52" s="257">
        <v>90.2</v>
      </c>
      <c r="C52" s="257">
        <v>103.3</v>
      </c>
      <c r="D52" s="257">
        <v>109.4</v>
      </c>
      <c r="E52" s="257">
        <v>101.1</v>
      </c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</row>
    <row r="53" spans="1:18" hidden="1">
      <c r="A53" s="37" t="s">
        <v>27</v>
      </c>
      <c r="B53" s="257">
        <v>96.2</v>
      </c>
      <c r="C53" s="257">
        <v>110.1</v>
      </c>
      <c r="D53" s="257">
        <v>117.3</v>
      </c>
      <c r="E53" s="257">
        <v>107.9</v>
      </c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</row>
    <row r="54" spans="1:18" hidden="1">
      <c r="A54" s="37" t="s">
        <v>28</v>
      </c>
      <c r="B54" s="257">
        <v>101.5</v>
      </c>
      <c r="C54" s="257">
        <v>115.7</v>
      </c>
      <c r="D54" s="257">
        <v>124</v>
      </c>
      <c r="E54" s="257">
        <v>113.3</v>
      </c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</row>
    <row r="55" spans="1:18" hidden="1">
      <c r="A55" s="37" t="s">
        <v>29</v>
      </c>
      <c r="B55" s="257">
        <v>100.1</v>
      </c>
      <c r="C55" s="257">
        <v>117.2</v>
      </c>
      <c r="D55" s="257">
        <v>121.8</v>
      </c>
      <c r="E55" s="257">
        <v>114.1</v>
      </c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</row>
    <row r="56" spans="1:18">
      <c r="A56" s="37" t="s">
        <v>43</v>
      </c>
      <c r="B56" s="257">
        <f>+B68</f>
        <v>98.33791169486986</v>
      </c>
      <c r="C56" s="257">
        <f>+C68</f>
        <v>119.09333464520459</v>
      </c>
      <c r="D56" s="257">
        <f>+D68</f>
        <v>115.53161429725617</v>
      </c>
      <c r="E56" s="257">
        <f>+E68</f>
        <v>110.00613673275743</v>
      </c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</row>
    <row r="57" spans="1:18" hidden="1">
      <c r="A57" s="37" t="s">
        <v>18</v>
      </c>
      <c r="B57" s="1235">
        <v>103.1</v>
      </c>
      <c r="C57" s="1235">
        <v>123</v>
      </c>
      <c r="D57" s="1235">
        <v>124.19752118793643</v>
      </c>
      <c r="E57" s="1235">
        <v>117.60343880973134</v>
      </c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</row>
    <row r="58" spans="1:18" hidden="1">
      <c r="A58" s="37" t="s">
        <v>19</v>
      </c>
      <c r="B58" s="1235">
        <v>108.07148345424234</v>
      </c>
      <c r="C58" s="1235">
        <v>131.30612814950445</v>
      </c>
      <c r="D58" s="1235">
        <v>128.51864565388277</v>
      </c>
      <c r="E58" s="1235">
        <v>123.62250263529405</v>
      </c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</row>
    <row r="59" spans="1:18" hidden="1">
      <c r="A59" s="37" t="s">
        <v>20</v>
      </c>
      <c r="B59" s="1235">
        <v>108.05000216054745</v>
      </c>
      <c r="C59" s="1235">
        <v>130.83553961133705</v>
      </c>
      <c r="D59" s="1235">
        <v>126.94928196153209</v>
      </c>
      <c r="E59" s="1235">
        <v>121.39503110678471</v>
      </c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</row>
    <row r="60" spans="1:18" hidden="1">
      <c r="A60" s="37" t="s">
        <v>21</v>
      </c>
      <c r="B60" s="1235">
        <v>106.2</v>
      </c>
      <c r="C60" s="1235">
        <v>128</v>
      </c>
      <c r="D60" s="1235">
        <v>123.99426974227519</v>
      </c>
      <c r="E60" s="1235">
        <v>118.00298134482688</v>
      </c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</row>
    <row r="61" spans="1:18" hidden="1">
      <c r="A61" s="37" t="s">
        <v>22</v>
      </c>
      <c r="B61" s="1235">
        <v>103.1</v>
      </c>
      <c r="C61" s="1235">
        <v>124</v>
      </c>
      <c r="D61" s="1235">
        <v>119.57249586313594</v>
      </c>
      <c r="E61" s="1235">
        <v>113.49964833274304</v>
      </c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</row>
    <row r="62" spans="1:18" hidden="1">
      <c r="A62" s="37" t="s">
        <v>23</v>
      </c>
      <c r="B62" s="1235">
        <v>100.68004174117964</v>
      </c>
      <c r="C62" s="1235">
        <v>121.51617266669739</v>
      </c>
      <c r="D62" s="1235">
        <v>115.74597442651607</v>
      </c>
      <c r="E62" s="1235">
        <v>110.17489581551685</v>
      </c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</row>
    <row r="63" spans="1:18" hidden="1">
      <c r="A63" s="37" t="s">
        <v>24</v>
      </c>
      <c r="B63" s="1235">
        <v>100.56840277824344</v>
      </c>
      <c r="C63" s="1235">
        <v>121.88099443223825</v>
      </c>
      <c r="D63" s="1235">
        <v>116.80516673483064</v>
      </c>
      <c r="E63" s="1235">
        <v>111.4143874072607</v>
      </c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</row>
    <row r="64" spans="1:18" hidden="1">
      <c r="A64" s="37" t="s">
        <v>25</v>
      </c>
      <c r="B64" s="1235">
        <v>99.992776775283929</v>
      </c>
      <c r="C64" s="1235">
        <v>122.01394620535584</v>
      </c>
      <c r="D64" s="1235">
        <v>115.97338366500441</v>
      </c>
      <c r="E64" s="1235">
        <v>111.48734731967774</v>
      </c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</row>
    <row r="65" spans="1:18" hidden="1">
      <c r="A65" s="37" t="s">
        <v>26</v>
      </c>
      <c r="B65" s="1235">
        <v>98.95375073383822</v>
      </c>
      <c r="C65" s="1235">
        <v>120.80314399996075</v>
      </c>
      <c r="D65" s="1235">
        <v>114.93804792277264</v>
      </c>
      <c r="E65" s="1235">
        <v>110.48931109488855</v>
      </c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</row>
    <row r="66" spans="1:18" hidden="1">
      <c r="A66" s="37" t="s">
        <v>27</v>
      </c>
      <c r="B66" s="1235">
        <v>97.300748609997385</v>
      </c>
      <c r="C66" s="1235">
        <v>117.98002375469721</v>
      </c>
      <c r="D66" s="1235">
        <v>112.84857667642464</v>
      </c>
      <c r="E66" s="1235">
        <v>107.73954244113617</v>
      </c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</row>
    <row r="67" spans="1:18" hidden="1">
      <c r="A67" s="37" t="s">
        <v>28</v>
      </c>
      <c r="B67" s="1235">
        <v>96.76557945178854</v>
      </c>
      <c r="C67" s="1235">
        <v>116.98753565056322</v>
      </c>
      <c r="D67" s="1235">
        <v>113.29680809447919</v>
      </c>
      <c r="E67" s="1235">
        <v>107.77511995759092</v>
      </c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</row>
    <row r="68" spans="1:18" hidden="1">
      <c r="A68" s="37" t="s">
        <v>29</v>
      </c>
      <c r="B68" s="1235">
        <v>98.33791169486986</v>
      </c>
      <c r="C68" s="1235">
        <v>119.09333464520459</v>
      </c>
      <c r="D68" s="1235">
        <v>115.53161429725617</v>
      </c>
      <c r="E68" s="1235">
        <v>110.00613673275743</v>
      </c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</row>
    <row r="69" spans="1:18">
      <c r="A69" s="37" t="s">
        <v>48</v>
      </c>
      <c r="B69" s="1235"/>
      <c r="C69" s="1235"/>
      <c r="D69" s="1235"/>
      <c r="E69" s="1235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</row>
    <row r="70" spans="1:18">
      <c r="A70" s="37" t="s">
        <v>18</v>
      </c>
      <c r="B70" s="1235">
        <v>99.242214915068402</v>
      </c>
      <c r="C70" s="1235">
        <v>119.18864474043227</v>
      </c>
      <c r="D70" s="1235">
        <v>117.36218959846798</v>
      </c>
      <c r="E70" s="1235">
        <v>109.69673160079984</v>
      </c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</row>
    <row r="71" spans="1:18">
      <c r="A71" s="37" t="s">
        <v>19</v>
      </c>
      <c r="B71" s="1235">
        <v>102.41250997766213</v>
      </c>
      <c r="C71" s="1235">
        <v>121.21029534529802</v>
      </c>
      <c r="D71" s="1235">
        <v>121.89703147807731</v>
      </c>
      <c r="E71" s="1235">
        <v>111.78311066984122</v>
      </c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</row>
    <row r="72" spans="1:18">
      <c r="A72" s="37" t="s">
        <v>20</v>
      </c>
      <c r="B72" s="1235">
        <v>102.16862987905446</v>
      </c>
      <c r="C72" s="1235">
        <v>120.55000605025569</v>
      </c>
      <c r="D72" s="1235">
        <v>122.39551240924369</v>
      </c>
      <c r="E72" s="1235">
        <v>111.94976996003348</v>
      </c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</row>
    <row r="73" spans="1:18">
      <c r="A73" s="37" t="s">
        <v>21</v>
      </c>
      <c r="B73" s="1235">
        <v>102.64418606064629</v>
      </c>
      <c r="C73" s="1235">
        <v>120.12061780044628</v>
      </c>
      <c r="D73" s="1235">
        <v>122.56273417904904</v>
      </c>
      <c r="E73" s="1235">
        <v>111.1605505819827</v>
      </c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</row>
    <row r="74" spans="1:18">
      <c r="A74" s="37" t="s">
        <v>22</v>
      </c>
      <c r="B74" s="1235">
        <v>107.060118652734</v>
      </c>
      <c r="C74" s="1235">
        <v>124.00008632039288</v>
      </c>
      <c r="D74" s="1235">
        <v>127.51249400695693</v>
      </c>
      <c r="E74" s="1235">
        <v>114.37616383621929</v>
      </c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</row>
    <row r="75" spans="1:18">
      <c r="A75" s="37" t="s">
        <v>23</v>
      </c>
      <c r="B75" s="1235">
        <v>109.27050514211085</v>
      </c>
      <c r="C75" s="1235">
        <v>126.07859383911403</v>
      </c>
      <c r="D75" s="1235">
        <v>129.3605823857294</v>
      </c>
      <c r="E75" s="1235">
        <v>115.59918354728688</v>
      </c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</row>
    <row r="76" spans="1:18">
      <c r="A76" s="37" t="s">
        <v>24</v>
      </c>
      <c r="B76" s="1235">
        <v>106.27187091832498</v>
      </c>
      <c r="C76" s="1235">
        <v>123.55176811749457</v>
      </c>
      <c r="D76" s="1235">
        <v>125.72622397073962</v>
      </c>
      <c r="E76" s="1235">
        <v>113.0981949946774</v>
      </c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</row>
    <row r="77" spans="1:18">
      <c r="A77" s="37" t="s">
        <v>25</v>
      </c>
      <c r="B77" s="1235">
        <v>105.18608248012794</v>
      </c>
      <c r="C77" s="1235">
        <v>122.42277410923421</v>
      </c>
      <c r="D77" s="1235">
        <v>124.82154452672677</v>
      </c>
      <c r="E77" s="1235">
        <v>112.18954606756668</v>
      </c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</row>
    <row r="78" spans="1:18">
      <c r="A78" s="37" t="s">
        <v>26</v>
      </c>
      <c r="B78" s="1235">
        <v>104.67313718987634</v>
      </c>
      <c r="C78" s="1235">
        <v>122.65379358097431</v>
      </c>
      <c r="D78" s="1235">
        <v>124.80825847175078</v>
      </c>
      <c r="E78" s="1235">
        <v>112.45678468023874</v>
      </c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</row>
    <row r="79" spans="1:18">
      <c r="A79" s="37" t="s">
        <v>27</v>
      </c>
      <c r="B79" s="1235">
        <v>100.66931139435128</v>
      </c>
      <c r="C79" s="1235">
        <v>119.83743592983802</v>
      </c>
      <c r="D79" s="1235">
        <v>120.54769126858373</v>
      </c>
      <c r="E79" s="1235">
        <v>110.01394515022547</v>
      </c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</row>
    <row r="80" spans="1:18">
      <c r="A80" s="37" t="s">
        <v>28</v>
      </c>
      <c r="B80" s="1235">
        <v>101.81569108152895</v>
      </c>
      <c r="C80" s="1235">
        <v>121.30107839902388</v>
      </c>
      <c r="D80" s="1235">
        <v>123.75984428356971</v>
      </c>
      <c r="E80" s="1235">
        <v>112.78727594593947</v>
      </c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</row>
    <row r="81" spans="1:18">
      <c r="A81" s="37" t="s">
        <v>29</v>
      </c>
      <c r="B81" s="1235">
        <v>104.24373198736943</v>
      </c>
      <c r="C81" s="1235">
        <v>123.19885301577337</v>
      </c>
      <c r="D81" s="1235">
        <v>127.68472379390381</v>
      </c>
      <c r="E81" s="1235">
        <v>115.33763990743165</v>
      </c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</row>
    <row r="82" spans="1:18">
      <c r="A82" s="37" t="s">
        <v>1024</v>
      </c>
      <c r="B82" s="1235"/>
      <c r="C82" s="1235"/>
      <c r="D82" s="1236"/>
      <c r="E82" s="1236"/>
    </row>
    <row r="83" spans="1:18">
      <c r="A83" s="37" t="s">
        <v>18</v>
      </c>
      <c r="B83" s="1235">
        <v>103.77806153103111</v>
      </c>
      <c r="C83" s="1235">
        <v>122.78169156158205</v>
      </c>
      <c r="D83" s="1235">
        <v>128.05955460202622</v>
      </c>
      <c r="E83" s="1235">
        <v>114.72433770673038</v>
      </c>
    </row>
    <row r="84" spans="1:18">
      <c r="A84" s="37" t="s">
        <v>19</v>
      </c>
      <c r="B84" s="1235">
        <v>102.75753236478488</v>
      </c>
      <c r="C84" s="1235">
        <v>121.81294746910102</v>
      </c>
      <c r="D84" s="1235">
        <v>128.85735595348828</v>
      </c>
      <c r="E84" s="1235">
        <v>115.40152838783933</v>
      </c>
    </row>
    <row r="85" spans="1:18">
      <c r="A85" s="37" t="s">
        <v>20</v>
      </c>
      <c r="B85" s="1235">
        <v>101.32491762370059</v>
      </c>
      <c r="C85" s="1235">
        <v>120.44794046549116</v>
      </c>
      <c r="D85" s="1235">
        <v>127.28073664177801</v>
      </c>
      <c r="E85" s="1235">
        <v>114.41942133459121</v>
      </c>
    </row>
    <row r="86" spans="1:18">
      <c r="A86" s="37" t="s">
        <v>21</v>
      </c>
      <c r="B86" s="1235">
        <v>99.066905083372134</v>
      </c>
      <c r="C86" s="1235">
        <v>118.58972368240293</v>
      </c>
      <c r="D86" s="1237">
        <v>123.26394617777781</v>
      </c>
      <c r="E86" s="1237">
        <v>111.56588203946657</v>
      </c>
    </row>
    <row r="87" spans="1:18">
      <c r="A87" s="37" t="s">
        <v>22</v>
      </c>
      <c r="B87" s="1235">
        <v>99.768998732305874</v>
      </c>
      <c r="C87" s="1235">
        <v>119.46018957402917</v>
      </c>
      <c r="D87" s="1237">
        <v>123.20688205172416</v>
      </c>
      <c r="E87" s="1237">
        <v>110.91629611083748</v>
      </c>
    </row>
    <row r="88" spans="1:18">
      <c r="A88" s="37" t="s">
        <v>23</v>
      </c>
      <c r="B88" s="1235">
        <v>100.22001912812082</v>
      </c>
      <c r="C88" s="1235">
        <v>121.15251982531957</v>
      </c>
      <c r="D88" s="1237">
        <v>122.78049204391444</v>
      </c>
      <c r="E88" s="1237">
        <v>111.5863348630828</v>
      </c>
    </row>
    <row r="89" spans="1:18">
      <c r="A89" s="37" t="s">
        <v>24</v>
      </c>
      <c r="B89" s="1235">
        <v>101.0853120237993</v>
      </c>
      <c r="C89" s="1235">
        <v>123.60943069392583</v>
      </c>
      <c r="D89" s="1237">
        <v>123.30085360487563</v>
      </c>
      <c r="E89" s="1237">
        <v>113.13216990883178</v>
      </c>
    </row>
    <row r="90" spans="1:18">
      <c r="A90" s="37" t="s">
        <v>25</v>
      </c>
      <c r="B90" s="1235">
        <v>101.55470462948762</v>
      </c>
      <c r="C90" s="1235">
        <v>123.91931857888233</v>
      </c>
      <c r="D90" s="1237">
        <v>124.22632652665851</v>
      </c>
      <c r="E90" s="1237">
        <v>113.64473767131943</v>
      </c>
    </row>
    <row r="91" spans="1:18">
      <c r="A91" s="37" t="s">
        <v>26</v>
      </c>
      <c r="B91" s="1235">
        <v>104.45609985414954</v>
      </c>
      <c r="C91" s="1235">
        <v>127.36549305110935</v>
      </c>
      <c r="D91" s="1237">
        <v>128.34315625698892</v>
      </c>
      <c r="E91" s="1237">
        <v>117.31566512050034</v>
      </c>
    </row>
    <row r="92" spans="1:18">
      <c r="A92" s="37" t="s">
        <v>27</v>
      </c>
      <c r="B92" s="1235">
        <v>105.09628489346473</v>
      </c>
      <c r="C92" s="1235">
        <v>128.4159980377988</v>
      </c>
      <c r="D92" s="1237">
        <v>128.60645387047629</v>
      </c>
      <c r="E92" s="1237">
        <v>117.20656679623119</v>
      </c>
    </row>
    <row r="93" spans="1:18">
      <c r="A93" s="37" t="s">
        <v>28</v>
      </c>
      <c r="B93" s="1235">
        <v>105.7017300609789</v>
      </c>
      <c r="C93" s="1235">
        <v>128.55936898379102</v>
      </c>
      <c r="D93" s="1237">
        <v>130.36120965253542</v>
      </c>
      <c r="E93" s="1237">
        <v>117.78748048293416</v>
      </c>
    </row>
    <row r="94" spans="1:18">
      <c r="A94" s="37" t="s">
        <v>29</v>
      </c>
      <c r="B94" s="1235">
        <v>108.10109777506931</v>
      </c>
      <c r="C94" s="1235">
        <v>131.92468053351632</v>
      </c>
      <c r="D94" s="1237">
        <v>134.2224664075863</v>
      </c>
      <c r="E94" s="1237">
        <v>121.56828849287928</v>
      </c>
    </row>
    <row r="95" spans="1:18">
      <c r="A95" s="37" t="s">
        <v>1288</v>
      </c>
      <c r="B95" s="1235"/>
      <c r="C95" s="1235"/>
      <c r="D95" s="1236"/>
      <c r="E95" s="1236"/>
    </row>
    <row r="96" spans="1:18">
      <c r="A96" s="37" t="s">
        <v>18</v>
      </c>
      <c r="B96" s="1238">
        <v>109.34894037530316</v>
      </c>
      <c r="C96" s="1238">
        <v>132.33116604187796</v>
      </c>
      <c r="D96" s="1238">
        <v>136.24267017004152</v>
      </c>
      <c r="E96" s="1238">
        <v>121.73372272784898</v>
      </c>
    </row>
    <row r="97" spans="1:5">
      <c r="A97" s="37" t="s">
        <v>19</v>
      </c>
      <c r="B97" s="1238">
        <v>107.09390238148615</v>
      </c>
      <c r="C97" s="1238">
        <v>129.1517918681748</v>
      </c>
      <c r="D97" s="1238">
        <v>133.05758805046892</v>
      </c>
      <c r="E97" s="1238">
        <v>118.4332377530318</v>
      </c>
    </row>
    <row r="98" spans="1:5">
      <c r="A98" s="37" t="s">
        <v>20</v>
      </c>
      <c r="B98" s="1238">
        <v>107.27025289955442</v>
      </c>
      <c r="C98" s="1238">
        <v>129.14402321471778</v>
      </c>
      <c r="D98" s="1238">
        <v>132.54553336923982</v>
      </c>
      <c r="E98" s="1238">
        <v>117.94528792166842</v>
      </c>
    </row>
    <row r="99" spans="1:5">
      <c r="A99" s="37" t="s">
        <v>21</v>
      </c>
      <c r="B99" s="1238">
        <v>107.42461923330725</v>
      </c>
      <c r="C99" s="1238">
        <v>129.37353259979773</v>
      </c>
      <c r="D99" s="1238">
        <v>131.48884072856697</v>
      </c>
      <c r="E99" s="1238">
        <v>116.94392579151665</v>
      </c>
    </row>
    <row r="100" spans="1:5">
      <c r="A100" s="37" t="s">
        <v>22</v>
      </c>
      <c r="B100" s="1238">
        <v>109.61664573143401</v>
      </c>
      <c r="C100" s="1238">
        <v>131.89095485581325</v>
      </c>
      <c r="D100" s="1238">
        <v>133.00841072291274</v>
      </c>
      <c r="E100" s="1238">
        <v>117.96311127387746</v>
      </c>
    </row>
    <row r="101" spans="1:5">
      <c r="A101" s="37" t="s">
        <v>23</v>
      </c>
      <c r="B101" s="1238">
        <v>111.95648336035296</v>
      </c>
      <c r="C101" s="1238">
        <v>135.42761524157407</v>
      </c>
      <c r="D101" s="1238">
        <v>134.13345808968126</v>
      </c>
      <c r="E101" s="1238">
        <v>119.44263262742672</v>
      </c>
    </row>
    <row r="102" spans="1:5">
      <c r="A102" s="37" t="s">
        <v>24</v>
      </c>
      <c r="B102" s="1238">
        <v>113.03844528492385</v>
      </c>
      <c r="C102" s="1238">
        <v>135.47328396137888</v>
      </c>
      <c r="D102" s="1238">
        <v>134.70686439925467</v>
      </c>
      <c r="E102" s="1238">
        <v>118.40361452534009</v>
      </c>
    </row>
    <row r="103" spans="1:5">
      <c r="A103" s="37" t="s">
        <v>25</v>
      </c>
      <c r="B103" s="1238">
        <v>112.48813982177936</v>
      </c>
      <c r="C103" s="1238">
        <v>134.48956828687693</v>
      </c>
      <c r="D103" s="1238">
        <v>132.89488395342678</v>
      </c>
      <c r="E103" s="1238">
        <v>116.578302364168</v>
      </c>
    </row>
    <row r="104" spans="1:5">
      <c r="A104" s="37" t="s">
        <v>26</v>
      </c>
      <c r="B104" s="1238">
        <v>110.07992984950377</v>
      </c>
      <c r="C104" s="1238">
        <v>132.90574729762375</v>
      </c>
      <c r="D104" s="1238">
        <v>130.02897225997719</v>
      </c>
      <c r="E104" s="1238">
        <v>115.12927868228155</v>
      </c>
    </row>
    <row r="105" spans="1:5">
      <c r="A105" s="37" t="s">
        <v>27</v>
      </c>
      <c r="B105" s="1238">
        <v>109.26421172034792</v>
      </c>
      <c r="C105" s="1238">
        <v>132.21631462043905</v>
      </c>
      <c r="D105" s="1238">
        <v>129.619944204261</v>
      </c>
      <c r="E105" s="1238">
        <v>114.65337626314972</v>
      </c>
    </row>
    <row r="106" spans="1:5">
      <c r="A106" s="37" t="s">
        <v>28</v>
      </c>
      <c r="B106" s="1238">
        <v>110.03921059331229</v>
      </c>
      <c r="C106" s="1238">
        <v>132.78246820580696</v>
      </c>
      <c r="D106" s="1238">
        <v>131.98332166580053</v>
      </c>
      <c r="E106" s="1238">
        <v>116.09780107835856</v>
      </c>
    </row>
    <row r="107" spans="1:5">
      <c r="A107" s="37" t="s">
        <v>29</v>
      </c>
      <c r="B107" s="1238">
        <v>108.3361829325449</v>
      </c>
      <c r="C107" s="1238">
        <v>131.28645806861752</v>
      </c>
      <c r="D107" s="1238">
        <v>130.26760591307001</v>
      </c>
      <c r="E107" s="1238">
        <v>114.84720079754572</v>
      </c>
    </row>
    <row r="108" spans="1:5">
      <c r="A108" s="37" t="s">
        <v>1410</v>
      </c>
      <c r="B108" s="1235"/>
      <c r="C108" s="1235"/>
      <c r="D108" s="1236"/>
      <c r="E108" s="1236"/>
    </row>
    <row r="109" spans="1:5">
      <c r="A109" s="37" t="s">
        <v>18</v>
      </c>
      <c r="B109" s="1238">
        <v>107.29886348741235</v>
      </c>
      <c r="C109" s="1238">
        <v>130.32286046167911</v>
      </c>
      <c r="D109" s="1238">
        <v>130.83636223616267</v>
      </c>
      <c r="E109" s="1238">
        <v>114.68361838132077</v>
      </c>
    </row>
    <row r="110" spans="1:5">
      <c r="A110" s="37" t="s">
        <v>19</v>
      </c>
      <c r="B110" s="1238">
        <v>107.06731101905527</v>
      </c>
      <c r="C110" s="1238">
        <v>130.40092864507082</v>
      </c>
      <c r="D110" s="1238">
        <v>130.65090615221266</v>
      </c>
      <c r="E110" s="1238">
        <v>114.63559587157464</v>
      </c>
    </row>
    <row r="111" spans="1:5">
      <c r="A111" s="37" t="s">
        <v>20</v>
      </c>
      <c r="B111" s="1238">
        <v>109.17743252775075</v>
      </c>
      <c r="C111" s="1238">
        <v>132.39475209511755</v>
      </c>
      <c r="D111" s="1238">
        <v>133.10041029821073</v>
      </c>
      <c r="E111" s="1238">
        <v>116.57078451637352</v>
      </c>
    </row>
    <row r="112" spans="1:5">
      <c r="A112" s="37" t="s">
        <v>21</v>
      </c>
      <c r="B112" s="1238">
        <v>109.03021788117931</v>
      </c>
      <c r="C112" s="1238">
        <v>132.8442653602518</v>
      </c>
      <c r="D112" s="1238">
        <v>133.38216201211802</v>
      </c>
      <c r="E112" s="1238">
        <v>117.06032629393285</v>
      </c>
    </row>
    <row r="113" spans="1:5">
      <c r="A113" s="37" t="s">
        <v>22</v>
      </c>
      <c r="B113" s="1238">
        <v>109.26845270359166</v>
      </c>
      <c r="C113" s="1238">
        <v>133.20630029034027</v>
      </c>
      <c r="D113" s="1238">
        <v>132.96194622859309</v>
      </c>
      <c r="E113" s="1238">
        <v>116.62357119288816</v>
      </c>
    </row>
    <row r="114" spans="1:5">
      <c r="A114" s="37" t="s">
        <v>23</v>
      </c>
      <c r="B114" s="1238">
        <v>108.92315960947158</v>
      </c>
      <c r="C114" s="1238">
        <v>134.66932758257821</v>
      </c>
      <c r="D114" s="1238">
        <v>130.71896111405252</v>
      </c>
      <c r="E114" s="1238">
        <v>116.12021184474605</v>
      </c>
    </row>
    <row r="115" spans="1:5">
      <c r="A115" s="37" t="s">
        <v>24</v>
      </c>
      <c r="B115" s="1238">
        <v>109.68141533160806</v>
      </c>
      <c r="C115" s="1238">
        <v>135.94200455767958</v>
      </c>
      <c r="D115" s="1238">
        <v>130.81724378293535</v>
      </c>
      <c r="E115" s="1238">
        <v>116.07559986727814</v>
      </c>
    </row>
    <row r="116" spans="1:5">
      <c r="A116" s="37" t="s">
        <v>25</v>
      </c>
      <c r="B116" s="1238">
        <v>108.81886324599392</v>
      </c>
      <c r="C116" s="1238">
        <v>136.09969334540511</v>
      </c>
      <c r="D116" s="1238">
        <v>129.26812955811857</v>
      </c>
      <c r="E116" s="1238">
        <v>115.76539174625955</v>
      </c>
    </row>
    <row r="117" spans="1:5">
      <c r="A117" s="37" t="s">
        <v>26</v>
      </c>
      <c r="B117" s="1238">
        <v>109.3538321675311</v>
      </c>
      <c r="C117" s="1238">
        <v>138.81286503939558</v>
      </c>
      <c r="D117" s="1238">
        <v>129.51451511212463</v>
      </c>
      <c r="E117" s="1238">
        <v>117.67295628300748</v>
      </c>
    </row>
    <row r="118" spans="1:5">
      <c r="A118" s="37" t="s">
        <v>27</v>
      </c>
      <c r="B118" s="1238">
        <v>107.74067204193626</v>
      </c>
      <c r="C118" s="1238">
        <v>137.15124488248793</v>
      </c>
      <c r="D118" s="1238">
        <v>128.25762274607004</v>
      </c>
      <c r="E118" s="1238">
        <v>116.48879155596147</v>
      </c>
    </row>
    <row r="119" spans="1:5">
      <c r="A119" s="37" t="s">
        <v>28</v>
      </c>
      <c r="B119" s="1238">
        <v>108.714387944329</v>
      </c>
      <c r="C119" s="1238">
        <v>138.64787570408222</v>
      </c>
      <c r="D119" s="1238">
        <v>130.28449065843756</v>
      </c>
      <c r="E119" s="1238">
        <v>118.31813418390053</v>
      </c>
    </row>
    <row r="120" spans="1:5">
      <c r="A120" s="37" t="s">
        <v>29</v>
      </c>
      <c r="B120" s="1238">
        <v>108.05980070048319</v>
      </c>
      <c r="C120" s="1238">
        <v>138.95442781658662</v>
      </c>
      <c r="D120" s="1238">
        <v>131.46664271023602</v>
      </c>
      <c r="E120" s="1238">
        <v>120.25060522269098</v>
      </c>
    </row>
    <row r="121" spans="1:5">
      <c r="A121" s="37" t="s">
        <v>1621</v>
      </c>
      <c r="B121" s="1235"/>
      <c r="C121" s="1235"/>
      <c r="D121" s="1236"/>
      <c r="E121" s="1236"/>
    </row>
    <row r="122" spans="1:5">
      <c r="A122" s="37" t="s">
        <v>18</v>
      </c>
      <c r="B122" s="1238">
        <v>108.96942572728176</v>
      </c>
      <c r="C122" s="1238">
        <v>141.46553074034321</v>
      </c>
      <c r="D122" s="1238">
        <v>132.81280258492654</v>
      </c>
      <c r="E122" s="1238">
        <v>121.70483695461215</v>
      </c>
    </row>
    <row r="123" spans="1:5">
      <c r="A123" s="37" t="s">
        <v>19</v>
      </c>
      <c r="B123" s="1238">
        <v>110.1</v>
      </c>
      <c r="C123" s="1238">
        <v>144.69999999999999</v>
      </c>
      <c r="D123" s="1238">
        <v>134.1</v>
      </c>
      <c r="E123" s="1238">
        <v>124.3</v>
      </c>
    </row>
    <row r="124" spans="1:5">
      <c r="A124" s="37" t="s">
        <v>20</v>
      </c>
      <c r="B124" s="1238">
        <v>109.8</v>
      </c>
      <c r="C124" s="1238">
        <v>145.5</v>
      </c>
      <c r="D124" s="1238">
        <v>133.1</v>
      </c>
      <c r="E124" s="1238">
        <v>124.3</v>
      </c>
    </row>
    <row r="125" spans="1:5">
      <c r="A125" s="37" t="s">
        <v>21</v>
      </c>
      <c r="B125" s="1238">
        <v>110.1</v>
      </c>
      <c r="C125" s="1238">
        <v>146.69999999999999</v>
      </c>
      <c r="D125" s="1238">
        <v>133.1</v>
      </c>
      <c r="E125" s="1238">
        <v>124.6</v>
      </c>
    </row>
    <row r="126" spans="1:5">
      <c r="A126" s="37" t="s">
        <v>22</v>
      </c>
      <c r="B126" s="1238">
        <v>109.8</v>
      </c>
      <c r="C126" s="1238">
        <v>145.69999999999999</v>
      </c>
      <c r="D126" s="1238">
        <v>131.19999999999999</v>
      </c>
      <c r="E126" s="1238">
        <v>122.1</v>
      </c>
    </row>
    <row r="127" spans="1:5">
      <c r="A127" s="37" t="s">
        <v>23</v>
      </c>
      <c r="B127" s="1238">
        <v>110.26399254153948</v>
      </c>
      <c r="C127" s="1238">
        <v>146.0763107891525</v>
      </c>
      <c r="D127" s="1238">
        <v>129.81063592028516</v>
      </c>
      <c r="E127" s="1238">
        <v>120.44540408065649</v>
      </c>
    </row>
    <row r="128" spans="1:5">
      <c r="A128" s="37" t="s">
        <v>24</v>
      </c>
      <c r="B128" s="1238">
        <v>110.23409733088096</v>
      </c>
      <c r="C128" s="1238">
        <v>146.133452592097</v>
      </c>
      <c r="D128" s="1238">
        <v>128.93143024048649</v>
      </c>
      <c r="E128" s="1238">
        <v>119.42896848158294</v>
      </c>
    </row>
    <row r="129" spans="1:5">
      <c r="A129" s="37" t="s">
        <v>25</v>
      </c>
      <c r="B129" s="1238">
        <v>112.32693332684018</v>
      </c>
      <c r="C129" s="1238">
        <v>149.61995114651481</v>
      </c>
      <c r="D129" s="1238">
        <v>131.14508739368327</v>
      </c>
      <c r="E129" s="1238">
        <v>121.96319613306594</v>
      </c>
    </row>
    <row r="130" spans="1:5">
      <c r="A130" s="37" t="s">
        <v>26</v>
      </c>
      <c r="B130" s="1238">
        <v>115.3</v>
      </c>
      <c r="C130" s="1238">
        <v>153.5</v>
      </c>
      <c r="D130" s="1238">
        <v>135.4</v>
      </c>
      <c r="E130" s="1238">
        <v>125.8</v>
      </c>
    </row>
    <row r="131" spans="1:5">
      <c r="A131" s="37" t="s">
        <v>27</v>
      </c>
      <c r="B131" s="1238">
        <v>117.40711471302103</v>
      </c>
      <c r="C131" s="1238">
        <v>157.33265086993464</v>
      </c>
      <c r="D131" s="1238">
        <v>137.76602088790082</v>
      </c>
      <c r="E131" s="1238">
        <v>128.33480308429068</v>
      </c>
    </row>
    <row r="132" spans="1:5">
      <c r="A132" s="37" t="s">
        <v>28</v>
      </c>
      <c r="B132" s="1238">
        <v>120.58031452174892</v>
      </c>
      <c r="C132" s="1238">
        <v>163.69344678856345</v>
      </c>
      <c r="D132" s="1238">
        <v>141.58865067234493</v>
      </c>
      <c r="E132" s="1238">
        <v>133.18223695461768</v>
      </c>
    </row>
    <row r="133" spans="1:5">
      <c r="A133" s="37" t="s">
        <v>29</v>
      </c>
      <c r="B133" s="1238">
        <v>124.45036511566099</v>
      </c>
      <c r="C133" s="1238">
        <v>173.13953951454235</v>
      </c>
      <c r="D133" s="1238">
        <v>146.58996836445559</v>
      </c>
      <c r="E133" s="1238">
        <v>140.65933926882397</v>
      </c>
    </row>
    <row r="134" spans="1:5">
      <c r="A134" s="37" t="s">
        <v>1816</v>
      </c>
      <c r="B134" s="1238"/>
      <c r="C134" s="1238"/>
      <c r="D134" s="1238"/>
      <c r="E134" s="1238"/>
    </row>
    <row r="135" spans="1:5">
      <c r="A135" s="37" t="s">
        <v>18</v>
      </c>
      <c r="B135" s="1238">
        <v>129.34973852562538</v>
      </c>
      <c r="C135" s="1238">
        <v>181.3030733572956</v>
      </c>
      <c r="D135" s="1238">
        <v>153.12426289273861</v>
      </c>
      <c r="E135" s="1238">
        <v>146.47520559787034</v>
      </c>
    </row>
    <row r="136" spans="1:5">
      <c r="A136" s="37" t="s">
        <v>19</v>
      </c>
      <c r="B136" s="1238">
        <v>121.3778067394198</v>
      </c>
      <c r="C136" s="1238">
        <v>173.14575511993098</v>
      </c>
      <c r="D136" s="1238">
        <v>148.39932526693653</v>
      </c>
      <c r="E136" s="1238">
        <v>143.810983694828</v>
      </c>
    </row>
    <row r="137" spans="1:5">
      <c r="A137" s="37" t="s">
        <v>20</v>
      </c>
      <c r="B137" s="1238">
        <v>101.90193952812392</v>
      </c>
      <c r="C137" s="1238">
        <v>143.1655216767486</v>
      </c>
      <c r="D137" s="1238">
        <v>124.35693280455649</v>
      </c>
      <c r="E137" s="1238">
        <v>118.3538403311197</v>
      </c>
    </row>
    <row r="138" spans="1:5">
      <c r="A138" s="37" t="s">
        <v>21</v>
      </c>
      <c r="B138" s="1238">
        <v>101.09198461325389</v>
      </c>
      <c r="C138" s="1238">
        <v>139.02498935666924</v>
      </c>
      <c r="D138" s="1238">
        <v>122.37760827813327</v>
      </c>
      <c r="E138" s="1238">
        <v>113.26640560929921</v>
      </c>
    </row>
    <row r="139" spans="1:5">
      <c r="A139" s="37" t="s">
        <v>22</v>
      </c>
      <c r="B139" s="1238">
        <v>98.979939934743427</v>
      </c>
      <c r="C139" s="1238">
        <v>136.33751554559188</v>
      </c>
      <c r="D139" s="1238">
        <v>118.74840117223168</v>
      </c>
      <c r="E139" s="1238">
        <v>109.96976966409083</v>
      </c>
    </row>
    <row r="140" spans="1:5">
      <c r="A140" s="37" t="s">
        <v>23</v>
      </c>
      <c r="B140" s="1238">
        <v>99.6</v>
      </c>
      <c r="C140" s="1238">
        <v>139.5</v>
      </c>
      <c r="D140" s="1238">
        <v>118.1</v>
      </c>
      <c r="E140" s="1238">
        <v>111.2</v>
      </c>
    </row>
    <row r="141" spans="1:5">
      <c r="A141" s="37" t="s">
        <v>24</v>
      </c>
      <c r="B141" s="1238">
        <v>100.73111331036351</v>
      </c>
      <c r="C141" s="1238">
        <v>141.77357885893932</v>
      </c>
      <c r="D141" s="1238">
        <v>118.77862851505648</v>
      </c>
      <c r="E141" s="1238">
        <v>112.1757945371825</v>
      </c>
    </row>
    <row r="142" spans="1:5">
      <c r="A142" s="37" t="s">
        <v>25</v>
      </c>
      <c r="B142" s="1238">
        <v>102.33118006097402</v>
      </c>
      <c r="C142" s="1238">
        <v>148.38638640288332</v>
      </c>
      <c r="D142" s="1238">
        <v>120.37190493746722</v>
      </c>
      <c r="E142" s="1238">
        <v>117.00120566143731</v>
      </c>
    </row>
    <row r="143" spans="1:5">
      <c r="A143" s="37" t="s">
        <v>26</v>
      </c>
      <c r="B143" s="1238">
        <v>103.32918675444049</v>
      </c>
      <c r="C143" s="1238">
        <v>152.1046253384861</v>
      </c>
      <c r="D143" s="1238">
        <v>121.63167747018917</v>
      </c>
      <c r="E143" s="1238">
        <v>119.67073174934562</v>
      </c>
    </row>
    <row r="144" spans="1:5">
      <c r="A144" s="37" t="s">
        <v>27</v>
      </c>
      <c r="B144" s="1238">
        <v>102.58055014644231</v>
      </c>
      <c r="C144" s="1238">
        <v>149.55530426191089</v>
      </c>
      <c r="D144" s="1238">
        <v>120.45310687548863</v>
      </c>
      <c r="E144" s="1238">
        <v>117.08864645848028</v>
      </c>
    </row>
    <row r="145" spans="1:5">
      <c r="A145" s="37" t="s">
        <v>28</v>
      </c>
      <c r="B145" s="1238">
        <v>104.58035660969699</v>
      </c>
      <c r="C145" s="1238">
        <v>152.15281673331936</v>
      </c>
      <c r="D145" s="1238">
        <v>123.13902110754232</v>
      </c>
      <c r="E145" s="1238">
        <v>119.02988966257654</v>
      </c>
    </row>
    <row r="146" spans="1:5">
      <c r="A146" s="37" t="s">
        <v>29</v>
      </c>
      <c r="B146" s="1238">
        <v>89.746968389619084</v>
      </c>
      <c r="C146" s="1238">
        <v>132.8678343740894</v>
      </c>
      <c r="D146" s="1238">
        <v>110.00810598870943</v>
      </c>
      <c r="E146" s="1238">
        <v>107.59916736110999</v>
      </c>
    </row>
    <row r="147" spans="1:5">
      <c r="A147" s="37" t="s">
        <v>1839</v>
      </c>
      <c r="B147" s="1238"/>
      <c r="C147" s="1238"/>
      <c r="D147" s="1238"/>
      <c r="E147" s="1238"/>
    </row>
    <row r="148" spans="1:5">
      <c r="A148" s="37" t="s">
        <v>18</v>
      </c>
      <c r="B148" s="1238">
        <v>70.976955391184816</v>
      </c>
      <c r="C148" s="1238">
        <v>107.07802891630004</v>
      </c>
      <c r="D148" s="1238">
        <v>92.343941488455499</v>
      </c>
      <c r="E148" s="1238">
        <v>91.305300269348777</v>
      </c>
    </row>
    <row r="149" spans="1:5">
      <c r="A149" s="37" t="s">
        <v>19</v>
      </c>
      <c r="B149" s="1238">
        <v>70.655731099679215</v>
      </c>
      <c r="C149" s="1238">
        <v>107.39991156575893</v>
      </c>
      <c r="D149" s="1238">
        <v>92.174877487427167</v>
      </c>
      <c r="E149" s="1238">
        <v>91.719003239683076</v>
      </c>
    </row>
    <row r="150" spans="1:5">
      <c r="A150" s="37" t="s">
        <v>20</v>
      </c>
      <c r="B150" s="1238">
        <v>68.235269792438288</v>
      </c>
      <c r="C150" s="1238">
        <v>102.14533536791082</v>
      </c>
      <c r="D150" s="1238">
        <v>88.928719464023288</v>
      </c>
      <c r="E150" s="1238">
        <v>87.226756736416561</v>
      </c>
    </row>
    <row r="151" spans="1:5">
      <c r="A151" s="37" t="s">
        <v>21</v>
      </c>
      <c r="B151" s="1238">
        <v>70.843222554985616</v>
      </c>
      <c r="C151" s="1238">
        <v>105.51043854511089</v>
      </c>
      <c r="D151" s="1238">
        <v>92.183131708427794</v>
      </c>
      <c r="E151" s="1238">
        <v>89.822257123188322</v>
      </c>
    </row>
    <row r="152" spans="1:5">
      <c r="A152" s="37" t="s">
        <v>22</v>
      </c>
      <c r="B152" s="1238">
        <v>71.654834504688864</v>
      </c>
      <c r="C152" s="1238">
        <v>106.77957908003063</v>
      </c>
      <c r="D152" s="1238">
        <v>92.83962049241444</v>
      </c>
      <c r="E152" s="1238">
        <v>90.524605063968053</v>
      </c>
    </row>
    <row r="153" spans="1:5">
      <c r="A153" s="37" t="s">
        <v>23</v>
      </c>
      <c r="B153" s="1238">
        <v>71.287080198745031</v>
      </c>
      <c r="C153" s="1238">
        <v>105.8582476457124</v>
      </c>
      <c r="D153" s="1238">
        <v>91.724550951580895</v>
      </c>
      <c r="E153" s="1238">
        <v>89.110910607216283</v>
      </c>
    </row>
    <row r="154" spans="1:5">
      <c r="A154" s="37" t="s">
        <v>24</v>
      </c>
      <c r="B154" s="1238">
        <v>70.153992382983617</v>
      </c>
      <c r="C154" s="1238">
        <v>103.23176325287183</v>
      </c>
      <c r="D154" s="1238">
        <v>89.977237528949132</v>
      </c>
      <c r="E154" s="1238">
        <v>86.44816308819442</v>
      </c>
    </row>
    <row r="155" spans="1:5">
      <c r="A155" s="37" t="s">
        <v>25</v>
      </c>
      <c r="B155" s="1238">
        <v>67.55677668578241</v>
      </c>
      <c r="C155" s="1238">
        <v>99.783478735180239</v>
      </c>
      <c r="D155" s="1238">
        <v>87</v>
      </c>
      <c r="E155" s="1238">
        <v>83.98035502945541</v>
      </c>
    </row>
    <row r="156" spans="1:5">
      <c r="A156" s="37" t="s">
        <v>26</v>
      </c>
      <c r="B156" s="1238">
        <v>66.759106723651641</v>
      </c>
      <c r="C156" s="1238">
        <v>98.626527648451798</v>
      </c>
      <c r="D156" s="1238">
        <v>87.692910547364832</v>
      </c>
      <c r="E156" s="1238">
        <v>84.573048223050506</v>
      </c>
    </row>
    <row r="157" spans="1:5">
      <c r="A157" s="37" t="s">
        <v>27</v>
      </c>
      <c r="B157" s="1238">
        <v>68.839748731109353</v>
      </c>
      <c r="C157" s="1238">
        <v>100.50899526321939</v>
      </c>
      <c r="D157" s="1238">
        <v>91.202388827883752</v>
      </c>
      <c r="E157" s="1238">
        <v>86.808049621952136</v>
      </c>
    </row>
    <row r="158" spans="1:5">
      <c r="A158" s="37" t="s">
        <v>28</v>
      </c>
      <c r="B158" s="1238">
        <v>67.181088410062586</v>
      </c>
      <c r="C158" s="1238">
        <v>98.378077707345184</v>
      </c>
      <c r="D158" s="1238">
        <v>90.305412347700837</v>
      </c>
      <c r="E158" s="1238">
        <v>86.10100786193226</v>
      </c>
    </row>
    <row r="159" spans="1:5">
      <c r="A159" s="37" t="s">
        <v>29</v>
      </c>
      <c r="B159" s="1238">
        <v>66.293556981337389</v>
      </c>
      <c r="C159" s="1238">
        <v>96.32939815335574</v>
      </c>
      <c r="D159" s="1238">
        <v>91.286694268256099</v>
      </c>
      <c r="E159" s="1238">
        <v>86.31534359863943</v>
      </c>
    </row>
    <row r="160" spans="1:5">
      <c r="A160" s="37" t="s">
        <v>1902</v>
      </c>
      <c r="B160" s="1238"/>
      <c r="C160" s="1238"/>
      <c r="D160" s="1238"/>
      <c r="E160" s="1238"/>
    </row>
    <row r="161" spans="1:5">
      <c r="A161" s="37" t="s">
        <v>18</v>
      </c>
      <c r="B161" s="1238">
        <v>64.15821114736184</v>
      </c>
      <c r="C161" s="1238">
        <v>92.99906087229229</v>
      </c>
      <c r="D161" s="1238">
        <v>90.173361716642546</v>
      </c>
      <c r="E161" s="1238">
        <v>84.677912295315721</v>
      </c>
    </row>
    <row r="162" spans="1:5">
      <c r="A162" s="37" t="s">
        <v>19</v>
      </c>
      <c r="B162" s="1238">
        <v>64.611887042900349</v>
      </c>
      <c r="C162" s="1238">
        <v>93.481414959017187</v>
      </c>
      <c r="D162" s="1238">
        <v>91.877841348727486</v>
      </c>
      <c r="E162" s="1238">
        <v>86.139713314220572</v>
      </c>
    </row>
    <row r="163" spans="1:5">
      <c r="A163" s="37" t="s">
        <v>20</v>
      </c>
      <c r="B163" s="1238">
        <v>66.405437692565016</v>
      </c>
      <c r="C163" s="1238">
        <v>95.954759850478908</v>
      </c>
      <c r="D163" s="1238">
        <v>95.491070843088252</v>
      </c>
      <c r="E163" s="1238">
        <v>89.407385479836435</v>
      </c>
    </row>
    <row r="164" spans="1:5">
      <c r="A164" s="37" t="s">
        <v>21</v>
      </c>
      <c r="B164" s="1238">
        <v>66.699975285041788</v>
      </c>
      <c r="C164" s="1238">
        <v>96.229274530120662</v>
      </c>
      <c r="D164" s="1238">
        <v>95.626464930490201</v>
      </c>
      <c r="E164" s="1238">
        <v>89.343947989332392</v>
      </c>
    </row>
    <row r="165" spans="1:5">
      <c r="A165" s="37" t="s">
        <v>22</v>
      </c>
      <c r="B165" s="1238">
        <v>66</v>
      </c>
      <c r="C165" s="1238">
        <v>95.8</v>
      </c>
      <c r="D165" s="1238">
        <v>94.6</v>
      </c>
      <c r="E165" s="1238">
        <v>88.9</v>
      </c>
    </row>
    <row r="166" spans="1:5">
      <c r="A166" s="37" t="s">
        <v>23</v>
      </c>
      <c r="B166" s="1238">
        <v>65.664981260947755</v>
      </c>
      <c r="C166" s="1238">
        <v>95.515149290789722</v>
      </c>
      <c r="D166" s="1238">
        <v>93.138587280284995</v>
      </c>
      <c r="E166" s="1238">
        <v>87.536157894683271</v>
      </c>
    </row>
    <row r="167" spans="1:5">
      <c r="A167" s="37" t="s">
        <v>24</v>
      </c>
      <c r="B167" s="1238">
        <v>65.482513740176984</v>
      </c>
      <c r="C167" s="1238">
        <v>96.068358977538196</v>
      </c>
      <c r="D167" s="1238">
        <v>93.087199003490028</v>
      </c>
      <c r="E167" s="1238">
        <v>88.166834543095732</v>
      </c>
    </row>
    <row r="168" spans="1:5">
      <c r="A168" s="37" t="s">
        <v>25</v>
      </c>
      <c r="B168" s="1238">
        <v>64.892412426409351</v>
      </c>
      <c r="C168" s="1238">
        <v>95.337150623291194</v>
      </c>
      <c r="D168" s="1238">
        <v>92.242990606746503</v>
      </c>
      <c r="E168" s="1238">
        <v>87.624541208328907</v>
      </c>
    </row>
    <row r="169" spans="1:5">
      <c r="A169" s="37" t="s">
        <v>26</v>
      </c>
      <c r="B169" s="1238">
        <v>64.137324253006398</v>
      </c>
      <c r="C169" s="1238">
        <v>94.002527393918683</v>
      </c>
      <c r="D169" s="1238">
        <v>91.461730613429808</v>
      </c>
      <c r="E169" s="1238">
        <v>86.706783909485026</v>
      </c>
    </row>
    <row r="170" spans="1:5">
      <c r="A170" s="37" t="s">
        <v>27</v>
      </c>
      <c r="B170" s="1238">
        <v>65.262043310417582</v>
      </c>
      <c r="C170" s="1238">
        <v>95.683991615728686</v>
      </c>
      <c r="D170" s="1238">
        <v>93.599239096945098</v>
      </c>
      <c r="E170" s="1238">
        <v>88.667616599432392</v>
      </c>
    </row>
    <row r="171" spans="1:5">
      <c r="A171" s="37" t="s">
        <v>28</v>
      </c>
      <c r="B171" s="1238">
        <v>66.316990787547482</v>
      </c>
      <c r="C171" s="1238">
        <v>97.684081671665936</v>
      </c>
      <c r="D171" s="1238">
        <v>94.866620666860257</v>
      </c>
      <c r="E171" s="1238">
        <v>90.24414300194853</v>
      </c>
    </row>
    <row r="172" spans="1:5">
      <c r="A172" s="37" t="s">
        <v>29</v>
      </c>
      <c r="B172" s="1238">
        <v>65.916910305943404</v>
      </c>
      <c r="C172" s="1238">
        <v>97.292350001760425</v>
      </c>
      <c r="D172" s="1238">
        <v>94.259343783929708</v>
      </c>
      <c r="E172" s="1238">
        <v>89.815704031154723</v>
      </c>
    </row>
    <row r="173" spans="1:5">
      <c r="A173" s="37" t="s">
        <v>2038</v>
      </c>
      <c r="B173" s="1238"/>
      <c r="C173" s="1238"/>
      <c r="D173" s="1238"/>
      <c r="E173" s="1238"/>
    </row>
    <row r="174" spans="1:5">
      <c r="A174" s="37" t="s">
        <v>18</v>
      </c>
      <c r="B174" s="1238">
        <v>64.520349235782462</v>
      </c>
      <c r="C174" s="1238">
        <v>95.206581266447756</v>
      </c>
      <c r="D174" s="1238">
        <v>92.177070301986873</v>
      </c>
      <c r="E174" s="1238">
        <v>87.581646261652693</v>
      </c>
    </row>
    <row r="175" spans="1:5">
      <c r="A175" s="37" t="s">
        <v>19</v>
      </c>
      <c r="B175" s="1238">
        <v>64.091080158337405</v>
      </c>
      <c r="C175" s="1238">
        <v>94.766531627834212</v>
      </c>
      <c r="D175" s="1238">
        <v>91.337409060559537</v>
      </c>
      <c r="E175" s="1238">
        <v>86.874611954772902</v>
      </c>
    </row>
    <row r="176" spans="1:5">
      <c r="A176" s="37" t="s">
        <v>20</v>
      </c>
      <c r="B176" s="1238">
        <v>64.398488644068593</v>
      </c>
      <c r="C176" s="1238">
        <v>95.260894921301968</v>
      </c>
      <c r="D176" s="1238">
        <v>91.428826446230545</v>
      </c>
      <c r="E176" s="1238">
        <v>87.132096196303152</v>
      </c>
    </row>
    <row r="177" spans="1:5">
      <c r="A177" s="37" t="s">
        <v>21</v>
      </c>
      <c r="B177" s="1238">
        <v>65.407260287349033</v>
      </c>
      <c r="C177" s="1238">
        <v>97.498015558084305</v>
      </c>
      <c r="D177" s="1238">
        <v>92.200654177980027</v>
      </c>
      <c r="E177" s="1238">
        <v>88.488755846763212</v>
      </c>
    </row>
    <row r="178" spans="1:5">
      <c r="A178" s="37" t="s">
        <v>22</v>
      </c>
      <c r="B178" s="1238">
        <v>67.618230225689203</v>
      </c>
      <c r="C178" s="1238">
        <v>100.53111958524637</v>
      </c>
      <c r="D178" s="1238">
        <v>94.776453742610556</v>
      </c>
      <c r="E178" s="1238">
        <v>90.749795477563396</v>
      </c>
    </row>
    <row r="179" spans="1:5">
      <c r="A179" s="37" t="s">
        <v>23</v>
      </c>
      <c r="B179" s="1238">
        <v>68.60798473901788</v>
      </c>
      <c r="C179" s="1238">
        <v>102.02221543094221</v>
      </c>
      <c r="D179" s="1238">
        <v>94.98164543833019</v>
      </c>
      <c r="E179" s="1238">
        <v>90.855450407155715</v>
      </c>
    </row>
    <row r="180" spans="1:5">
      <c r="A180" s="37" t="s">
        <v>24</v>
      </c>
      <c r="B180" s="1238">
        <v>69.393243624273808</v>
      </c>
      <c r="C180" s="1238">
        <v>103.42415605449003</v>
      </c>
      <c r="D180" s="1238">
        <v>95.38948179767354</v>
      </c>
      <c r="E180" s="1238">
        <v>91.299147256168723</v>
      </c>
    </row>
    <row r="181" spans="1:5">
      <c r="A181" s="37" t="s">
        <v>25</v>
      </c>
      <c r="B181" s="1238">
        <v>72.753228353972915</v>
      </c>
      <c r="C181" s="1238">
        <v>109.59431076267211</v>
      </c>
      <c r="D181" s="1238">
        <v>100.2333417085119</v>
      </c>
      <c r="E181" s="1238">
        <v>96.945171080866984</v>
      </c>
    </row>
    <row r="182" spans="1:5">
      <c r="A182" s="37" t="s">
        <v>26</v>
      </c>
      <c r="B182" s="1238">
        <v>73.714920466064612</v>
      </c>
      <c r="C182" s="1238">
        <v>112.06419756318492</v>
      </c>
      <c r="D182" s="1238">
        <v>100.33033594008577</v>
      </c>
      <c r="E182" s="1238">
        <v>97.682755028922529</v>
      </c>
    </row>
    <row r="183" spans="1:5">
      <c r="A183" s="37" t="s">
        <v>27</v>
      </c>
      <c r="B183" s="1238">
        <v>73.126891998202922</v>
      </c>
      <c r="C183" s="1238">
        <v>110.17830329397664</v>
      </c>
      <c r="D183" s="1238">
        <v>98.898207676349742</v>
      </c>
      <c r="E183" s="1238">
        <v>95.280591105855834</v>
      </c>
    </row>
    <row r="184" spans="1:5">
      <c r="A184" s="37" t="s">
        <v>28</v>
      </c>
      <c r="B184" s="1238">
        <v>72.595167326312762</v>
      </c>
      <c r="C184" s="1238">
        <v>108.88270804573811</v>
      </c>
      <c r="D184" s="1238">
        <v>98.864685226407801</v>
      </c>
      <c r="E184" s="1238">
        <v>94.770240765665108</v>
      </c>
    </row>
    <row r="185" spans="1:5">
      <c r="A185" s="37" t="s">
        <v>29</v>
      </c>
      <c r="B185" s="1238">
        <v>72.556445053831936</v>
      </c>
      <c r="C185" s="1238">
        <v>108.90472689526757</v>
      </c>
      <c r="D185" s="1238">
        <v>99.580624400788707</v>
      </c>
      <c r="E185" s="1238">
        <v>95.378631606892981</v>
      </c>
    </row>
    <row r="186" spans="1:5">
      <c r="A186" s="37" t="s">
        <v>2131</v>
      </c>
      <c r="B186" s="1238"/>
      <c r="C186" s="1238"/>
      <c r="D186" s="1238"/>
      <c r="E186" s="1238"/>
    </row>
    <row r="187" spans="1:5">
      <c r="A187" s="37" t="s">
        <v>18</v>
      </c>
      <c r="B187" s="1239">
        <v>72.373847308812799</v>
      </c>
      <c r="C187" s="1238">
        <v>108.73355003050384</v>
      </c>
      <c r="D187" s="1238">
        <v>99.545782759756875</v>
      </c>
      <c r="E187" s="1238">
        <v>95.02240780447994</v>
      </c>
    </row>
    <row r="188" spans="1:5">
      <c r="A188" s="37" t="s">
        <v>19</v>
      </c>
      <c r="B188" s="1239">
        <v>72.039831922177925</v>
      </c>
      <c r="C188" s="1238">
        <v>107.82922723913136</v>
      </c>
      <c r="D188" s="1238">
        <v>99.254205603875221</v>
      </c>
      <c r="E188" s="1238">
        <v>94.328216551131604</v>
      </c>
    </row>
    <row r="189" spans="1:5">
      <c r="A189" s="37" t="s">
        <v>20</v>
      </c>
      <c r="B189" s="1239">
        <v>72.406654488516253</v>
      </c>
      <c r="C189" s="1238">
        <v>108.24404166006452</v>
      </c>
      <c r="D189" s="1238">
        <v>99.555132487881195</v>
      </c>
      <c r="E189" s="1238">
        <v>94.659038655386297</v>
      </c>
    </row>
    <row r="190" spans="1:5">
      <c r="A190" s="37" t="s">
        <v>21</v>
      </c>
      <c r="B190" s="1239">
        <v>73.272179051176778</v>
      </c>
      <c r="C190" s="1238">
        <v>109.42321137590775</v>
      </c>
      <c r="D190" s="1238">
        <v>100.34572626223851</v>
      </c>
      <c r="E190" s="1238">
        <v>95.373107984965543</v>
      </c>
    </row>
    <row r="191" spans="1:5">
      <c r="A191" s="37" t="s">
        <v>22</v>
      </c>
      <c r="B191" s="1239">
        <v>74.156051436136508</v>
      </c>
      <c r="C191" s="1238">
        <v>110.97641089600958</v>
      </c>
      <c r="D191" s="1238">
        <v>100.68596606113775</v>
      </c>
      <c r="E191" s="1238">
        <v>95.871890069372952</v>
      </c>
    </row>
    <row r="192" spans="1:5">
      <c r="A192" s="37" t="s">
        <v>23</v>
      </c>
      <c r="B192" s="1239">
        <v>73.356889336239036</v>
      </c>
      <c r="C192" s="1238">
        <v>109.63041477787823</v>
      </c>
      <c r="D192" s="1238">
        <v>99.126898423056431</v>
      </c>
      <c r="E192" s="1238">
        <v>94.273829162210589</v>
      </c>
    </row>
    <row r="193" spans="1:5">
      <c r="A193" s="37" t="s">
        <v>24</v>
      </c>
      <c r="B193" s="1239">
        <v>73.016319657572808</v>
      </c>
      <c r="C193" s="1238">
        <v>108.72636194864469</v>
      </c>
      <c r="D193" s="1238">
        <v>98.606639807467587</v>
      </c>
      <c r="E193" s="1238">
        <v>93.282824813129494</v>
      </c>
    </row>
    <row r="194" spans="1:5">
      <c r="A194" s="37" t="s">
        <v>25</v>
      </c>
      <c r="B194" s="1239">
        <v>73.62899384184729</v>
      </c>
      <c r="C194" s="1238">
        <v>109.99024312209032</v>
      </c>
      <c r="D194" s="1238">
        <v>98.871781862307259</v>
      </c>
      <c r="E194" s="1238">
        <v>93.834977130692948</v>
      </c>
    </row>
    <row r="195" spans="1:5">
      <c r="A195" s="37" t="s">
        <v>26</v>
      </c>
      <c r="B195" s="1239">
        <v>74.043557629454739</v>
      </c>
      <c r="C195" s="1238">
        <v>110.38273435701771</v>
      </c>
      <c r="D195" s="1238">
        <v>99.410936522941938</v>
      </c>
      <c r="E195" s="1238">
        <v>94.128792163962686</v>
      </c>
    </row>
    <row r="196" spans="1:5">
      <c r="A196" s="37" t="s">
        <v>27</v>
      </c>
      <c r="B196" s="1239">
        <v>73.97508534770013</v>
      </c>
      <c r="C196" s="1238">
        <v>110.28126363808715</v>
      </c>
      <c r="D196" s="1238">
        <v>99.164556140148193</v>
      </c>
      <c r="E196" s="1238">
        <v>93.823727225084397</v>
      </c>
    </row>
    <row r="197" spans="1:5">
      <c r="A197" s="37" t="s">
        <v>28</v>
      </c>
      <c r="B197" s="1239">
        <v>73.615583355642272</v>
      </c>
      <c r="C197" s="1238">
        <v>109.61109874000789</v>
      </c>
      <c r="D197" s="1238">
        <v>99.096090879740643</v>
      </c>
      <c r="E197" s="1238">
        <v>93.514470450479863</v>
      </c>
    </row>
    <row r="198" spans="1:5">
      <c r="A198" s="37" t="s">
        <v>29</v>
      </c>
      <c r="B198" s="1239">
        <v>73.418800101753476</v>
      </c>
      <c r="C198" s="1238">
        <v>109.29691710373346</v>
      </c>
      <c r="D198" s="1238">
        <v>98.982290195602815</v>
      </c>
      <c r="E198" s="1238">
        <v>93.377205381870766</v>
      </c>
    </row>
    <row r="199" spans="1:5">
      <c r="A199" s="37" t="s">
        <v>2362</v>
      </c>
      <c r="B199" s="1239"/>
      <c r="C199" s="1238"/>
      <c r="D199" s="1238"/>
      <c r="E199" s="1238"/>
    </row>
    <row r="200" spans="1:5">
      <c r="A200" s="37" t="s">
        <v>18</v>
      </c>
      <c r="B200" s="1239">
        <v>73.405790003903164</v>
      </c>
      <c r="C200" s="1238">
        <v>108.96615897506815</v>
      </c>
      <c r="D200" s="1238">
        <v>99.590332072384669</v>
      </c>
      <c r="E200" s="1238">
        <v>93.278073352533923</v>
      </c>
    </row>
    <row r="201" spans="1:5">
      <c r="A201" s="37" t="s">
        <v>19</v>
      </c>
      <c r="B201" s="1239">
        <v>74.611428394774222</v>
      </c>
      <c r="C201" s="1238">
        <v>110.987914963799</v>
      </c>
      <c r="D201" s="1238">
        <v>101.68197795185604</v>
      </c>
      <c r="E201" s="1238">
        <v>95.371051488441736</v>
      </c>
    </row>
    <row r="202" spans="1:5">
      <c r="A202" s="37" t="s">
        <v>20</v>
      </c>
      <c r="B202" s="1239">
        <v>76.562010847145771</v>
      </c>
      <c r="C202" s="1238">
        <v>115.93734585115818</v>
      </c>
      <c r="D202" s="1238">
        <v>104.9282712486041</v>
      </c>
      <c r="E202" s="1238">
        <v>100.30632692621839</v>
      </c>
    </row>
    <row r="203" spans="1:5">
      <c r="A203" s="37" t="s">
        <v>21</v>
      </c>
      <c r="B203" s="1239">
        <v>78.58524749013911</v>
      </c>
      <c r="C203" s="1238">
        <v>118.8690841339259</v>
      </c>
      <c r="D203" s="1238">
        <v>107.43414879552761</v>
      </c>
      <c r="E203" s="1238">
        <v>102.66366951624859</v>
      </c>
    </row>
    <row r="204" spans="1:5">
      <c r="A204" s="37" t="s">
        <v>22</v>
      </c>
      <c r="B204" s="1239">
        <v>78.363553362612464</v>
      </c>
      <c r="C204" s="1238">
        <v>118.25711637724045</v>
      </c>
      <c r="D204" s="1238">
        <v>106.29880229350726</v>
      </c>
      <c r="E204" s="1238">
        <v>101.34060121841881</v>
      </c>
    </row>
    <row r="205" spans="1:5">
      <c r="A205" s="37" t="s">
        <v>23</v>
      </c>
      <c r="B205" s="1239">
        <v>76.335999630180581</v>
      </c>
      <c r="C205" s="1238">
        <v>115.51626765379694</v>
      </c>
      <c r="D205" s="1238">
        <v>102.8075692103565</v>
      </c>
      <c r="E205" s="1238">
        <v>98.29797988784189</v>
      </c>
    </row>
    <row r="206" spans="1:5">
      <c r="A206" s="37" t="s">
        <v>24</v>
      </c>
      <c r="B206" s="1239">
        <v>76.191194979084173</v>
      </c>
      <c r="C206" s="1238">
        <v>115.79063798865717</v>
      </c>
      <c r="D206" s="1238">
        <v>102.07509090412221</v>
      </c>
      <c r="E206" s="1238">
        <v>97.914334296022133</v>
      </c>
    </row>
    <row r="207" spans="1:5">
      <c r="A207" s="37" t="s">
        <v>25</v>
      </c>
      <c r="B207" s="1239">
        <v>75.986208301409746</v>
      </c>
      <c r="C207" s="1238">
        <v>116.42371624358678</v>
      </c>
      <c r="D207" s="1238">
        <v>101.5324804887392</v>
      </c>
      <c r="E207" s="1238">
        <v>98.061697554230491</v>
      </c>
    </row>
    <row r="208" spans="1:5">
      <c r="A208" s="37" t="s">
        <v>26</v>
      </c>
      <c r="B208" s="1238">
        <v>76.909550966366254</v>
      </c>
      <c r="C208" s="1238">
        <v>117.97680826037106</v>
      </c>
      <c r="D208" s="1238">
        <v>102.54502246203045</v>
      </c>
      <c r="E208" s="1238">
        <v>99.140989716085897</v>
      </c>
    </row>
    <row r="209" spans="1:5">
      <c r="A209" s="37" t="s">
        <v>27</v>
      </c>
      <c r="B209" s="1238">
        <v>77.853554381174277</v>
      </c>
      <c r="C209" s="1238">
        <v>119.44650950256229</v>
      </c>
      <c r="D209" s="1238">
        <v>103.09272461502393</v>
      </c>
      <c r="E209" s="1238">
        <v>99.853242977449014</v>
      </c>
    </row>
    <row r="210" spans="1:5">
      <c r="A210" s="409" t="s">
        <v>28</v>
      </c>
      <c r="B210" s="1238">
        <v>77.552670877761344</v>
      </c>
      <c r="C210" s="1238">
        <v>118.92007968094401</v>
      </c>
      <c r="D210" s="1238">
        <v>102.70392206298102</v>
      </c>
      <c r="E210" s="1238">
        <v>99.310878371464753</v>
      </c>
    </row>
    <row r="211" spans="1:5">
      <c r="A211" s="409" t="s">
        <v>29</v>
      </c>
      <c r="B211" s="1238">
        <v>75.5998849811225</v>
      </c>
      <c r="C211" s="1238">
        <v>116.15970457603315</v>
      </c>
      <c r="D211" s="1238">
        <v>100.34383835439583</v>
      </c>
      <c r="E211" s="1238">
        <v>97.149568232456915</v>
      </c>
    </row>
    <row r="212" spans="1:5">
      <c r="A212" s="409" t="s">
        <v>2523</v>
      </c>
      <c r="B212" s="1238"/>
      <c r="C212" s="1238"/>
      <c r="D212" s="1238"/>
      <c r="E212" s="1238"/>
    </row>
    <row r="213" spans="1:5">
      <c r="A213" s="409" t="s">
        <v>18</v>
      </c>
      <c r="B213" s="1238">
        <v>74.928368030901524</v>
      </c>
      <c r="C213" s="1238">
        <v>115.21250503778602</v>
      </c>
      <c r="D213" s="1238">
        <v>99.932567282289725</v>
      </c>
      <c r="E213" s="1238">
        <v>96.770825142705746</v>
      </c>
    </row>
    <row r="214" spans="1:5">
      <c r="A214" s="409" t="s">
        <v>19</v>
      </c>
      <c r="B214" s="1238">
        <v>74.682259630522452</v>
      </c>
      <c r="C214" s="1238">
        <v>114.77334369907574</v>
      </c>
      <c r="D214" s="1238">
        <v>100.62529985229386</v>
      </c>
      <c r="E214" s="1238">
        <v>97.336181780432938</v>
      </c>
    </row>
    <row r="215" spans="1:5">
      <c r="A215" s="409" t="s">
        <v>20</v>
      </c>
      <c r="B215" s="1238">
        <v>75.914376619713437</v>
      </c>
      <c r="C215" s="1238">
        <v>116.48410716760374</v>
      </c>
      <c r="D215" s="1238">
        <v>102.19690597086374</v>
      </c>
      <c r="E215" s="1238">
        <v>98.905558457886343</v>
      </c>
    </row>
    <row r="216" spans="1:5">
      <c r="A216" s="409" t="s">
        <v>21</v>
      </c>
      <c r="B216" s="1238">
        <v>77.599999999999994</v>
      </c>
      <c r="C216" s="1238">
        <v>119.22981914055144</v>
      </c>
      <c r="D216" s="1238">
        <v>103.95511128306929</v>
      </c>
      <c r="E216" s="1238">
        <v>100.81608530226308</v>
      </c>
    </row>
    <row r="217" spans="1:5">
      <c r="A217" s="409" t="s">
        <v>22</v>
      </c>
      <c r="B217" s="1238">
        <v>76.816672486907351</v>
      </c>
      <c r="C217" s="1238">
        <v>117.94421404400231</v>
      </c>
      <c r="D217" s="1238">
        <v>102.44686091569032</v>
      </c>
      <c r="E217" s="1238">
        <v>99.226812067627648</v>
      </c>
    </row>
    <row r="218" spans="1:5">
      <c r="A218" s="409" t="s">
        <v>23</v>
      </c>
      <c r="B218" s="1238">
        <v>76.976254992774855</v>
      </c>
      <c r="C218" s="1238">
        <v>118.1269039268594</v>
      </c>
      <c r="D218" s="1238">
        <v>101.47993982256092</v>
      </c>
      <c r="E218" s="1238">
        <v>98.210267437279484</v>
      </c>
    </row>
    <row r="219" spans="1:5">
      <c r="A219" s="409" t="s">
        <v>24</v>
      </c>
      <c r="B219" s="1238">
        <v>77.662471993032639</v>
      </c>
      <c r="C219" s="1238">
        <v>119.21714391882186</v>
      </c>
      <c r="D219" s="1238">
        <v>102.70676274128409</v>
      </c>
      <c r="E219" s="1238">
        <v>99.40769355815037</v>
      </c>
    </row>
    <row r="220" spans="1:5">
      <c r="A220" s="409" t="s">
        <v>25</v>
      </c>
      <c r="B220" s="1238">
        <v>77.444931136299374</v>
      </c>
      <c r="C220" s="1238">
        <v>118.82319389230082</v>
      </c>
      <c r="D220" s="1238">
        <v>102.39280585716307</v>
      </c>
      <c r="E220" s="1238">
        <v>99.079101896060635</v>
      </c>
    </row>
    <row r="221" spans="1:5">
      <c r="A221" s="409" t="s">
        <v>26</v>
      </c>
      <c r="B221" s="1238">
        <v>77.363613766624795</v>
      </c>
      <c r="C221" s="1238">
        <v>118.59671775881935</v>
      </c>
      <c r="D221" s="1238">
        <v>103.4489988202567</v>
      </c>
      <c r="E221" s="1238">
        <v>99.978130615854127</v>
      </c>
    </row>
    <row r="222" spans="1:5">
      <c r="A222" s="1241" t="s">
        <v>27</v>
      </c>
      <c r="B222" s="1238">
        <v>78.626095312939213</v>
      </c>
      <c r="C222" s="1238">
        <v>119.93283624212407</v>
      </c>
      <c r="D222" s="1238">
        <v>105.50431315367858</v>
      </c>
      <c r="E222" s="1238">
        <v>101.43927595742862</v>
      </c>
    </row>
    <row r="223" spans="1:5">
      <c r="A223" s="1241" t="s">
        <v>28</v>
      </c>
      <c r="B223" s="1238">
        <v>81.342673840519012</v>
      </c>
      <c r="C223" s="1238">
        <v>124.04370007572032</v>
      </c>
      <c r="D223" s="1238">
        <v>109.48995259804423</v>
      </c>
      <c r="E223" s="1238">
        <v>105.18485351019797</v>
      </c>
    </row>
    <row r="224" spans="1:5">
      <c r="A224" s="1241" t="s">
        <v>29</v>
      </c>
      <c r="B224" s="1238">
        <v>85.427350455303653</v>
      </c>
      <c r="C224" s="1238">
        <v>130.26472362339197</v>
      </c>
      <c r="D224" s="1238">
        <v>113.62061243160647</v>
      </c>
      <c r="E224" s="1238">
        <v>109.17187687172401</v>
      </c>
    </row>
    <row r="225" spans="1:5">
      <c r="A225" s="1241" t="s">
        <v>2812</v>
      </c>
      <c r="B225" s="1238"/>
      <c r="C225" s="1238"/>
      <c r="D225" s="1238"/>
      <c r="E225" s="1238"/>
    </row>
    <row r="226" spans="1:5">
      <c r="A226" s="1241" t="s">
        <v>18</v>
      </c>
      <c r="B226" s="1238">
        <v>85.97586331349126</v>
      </c>
      <c r="C226" s="1238">
        <v>131.69321063696682</v>
      </c>
      <c r="D226" s="1238">
        <v>113.33620553086236</v>
      </c>
      <c r="E226" s="1238">
        <v>109.35381882438774</v>
      </c>
    </row>
    <row r="227" spans="1:5">
      <c r="A227" s="1241" t="s">
        <v>19</v>
      </c>
      <c r="B227" s="1238">
        <v>86.392691834118239</v>
      </c>
      <c r="C227" s="1238">
        <v>132.780425814686</v>
      </c>
      <c r="D227" s="1238">
        <v>113.25405846390015</v>
      </c>
      <c r="E227" s="1238">
        <v>109.61952964601005</v>
      </c>
    </row>
    <row r="228" spans="1:5">
      <c r="A228" s="1241" t="s">
        <v>20</v>
      </c>
      <c r="B228" s="1238">
        <v>93.191096348599345</v>
      </c>
      <c r="C228" s="1238">
        <v>147.50403011382303</v>
      </c>
      <c r="D228" s="1238">
        <v>119.53259074678007</v>
      </c>
      <c r="E228" s="1238">
        <v>118.63489369174503</v>
      </c>
    </row>
    <row r="229" spans="1:5">
      <c r="A229" s="1241" t="s">
        <v>21</v>
      </c>
      <c r="B229" s="1238">
        <v>91.232259830363915</v>
      </c>
      <c r="C229" s="1238">
        <v>137.8022093301818</v>
      </c>
      <c r="D229" s="1238">
        <v>115.86811131489486</v>
      </c>
      <c r="E229" s="1238">
        <v>109.3301237842667</v>
      </c>
    </row>
    <row r="230" spans="1:5">
      <c r="A230" s="1241" t="s">
        <v>22</v>
      </c>
      <c r="B230" s="1238">
        <v>91.569680933678427</v>
      </c>
      <c r="C230" s="1238">
        <v>133.88662095178995</v>
      </c>
      <c r="D230" s="1238">
        <v>115.76240737527185</v>
      </c>
      <c r="E230" s="1238">
        <v>105.79172873550102</v>
      </c>
    </row>
    <row r="231" spans="1:5">
      <c r="A231" s="1241" t="s">
        <v>23</v>
      </c>
      <c r="B231" s="1238">
        <v>91.875744476041291</v>
      </c>
      <c r="C231" s="1238">
        <v>132.72033434021603</v>
      </c>
      <c r="D231" s="1238">
        <v>114.26714109751161</v>
      </c>
      <c r="E231" s="1238">
        <v>102.98934790785195</v>
      </c>
    </row>
    <row r="232" spans="1:5">
      <c r="A232" s="1241" t="s">
        <v>24</v>
      </c>
      <c r="B232" s="1238">
        <v>94.35643314194904</v>
      </c>
      <c r="C232" s="1238">
        <v>135.54157557736883</v>
      </c>
      <c r="D232" s="1238">
        <v>117.16688870505256</v>
      </c>
      <c r="E232" s="1238">
        <v>104.92096686827043</v>
      </c>
    </row>
    <row r="233" spans="1:5">
      <c r="A233" s="1241" t="s">
        <v>25</v>
      </c>
      <c r="B233" s="1238">
        <v>95.617046092659109</v>
      </c>
      <c r="C233" s="1238">
        <v>138.26196730393767</v>
      </c>
      <c r="D233" s="1238">
        <v>119.09116462267188</v>
      </c>
      <c r="E233" s="1238">
        <v>107.51509422856428</v>
      </c>
    </row>
    <row r="234" spans="1:5">
      <c r="A234" s="1241" t="s">
        <v>26</v>
      </c>
      <c r="B234" s="1238">
        <v>97.418262330725327</v>
      </c>
      <c r="C234" s="1238">
        <v>140.07397379632556</v>
      </c>
      <c r="D234" s="1238">
        <v>123.56217832842516</v>
      </c>
      <c r="E234" s="1238">
        <v>111.05722762620766</v>
      </c>
    </row>
    <row r="235" spans="1:5">
      <c r="A235" s="1241" t="s">
        <v>27</v>
      </c>
      <c r="B235" s="1238">
        <v>98.61720537895475</v>
      </c>
      <c r="C235" s="1238">
        <v>142.28817622028564</v>
      </c>
      <c r="D235" s="1238">
        <v>125.25289781485489</v>
      </c>
      <c r="E235" s="1238">
        <v>113.13310638714475</v>
      </c>
    </row>
    <row r="236" spans="1:5">
      <c r="A236" s="1241" t="s">
        <v>28</v>
      </c>
      <c r="B236" s="1238">
        <v>96.561957074026154</v>
      </c>
      <c r="C236" s="1238">
        <v>140.58361811227141</v>
      </c>
      <c r="D236" s="1238">
        <v>123.17841291974055</v>
      </c>
      <c r="E236" s="1238">
        <v>112.08343225249077</v>
      </c>
    </row>
    <row r="237" spans="1:5">
      <c r="A237" s="1241" t="s">
        <v>29</v>
      </c>
      <c r="B237" s="1238">
        <v>95.211331351964589</v>
      </c>
      <c r="C237" s="1238">
        <v>141.19185287656876</v>
      </c>
      <c r="D237" s="1238">
        <v>122.3095839083818</v>
      </c>
      <c r="E237" s="1238">
        <v>113.08499808185351</v>
      </c>
    </row>
    <row r="238" spans="1:5">
      <c r="A238" s="1241" t="s">
        <v>3500</v>
      </c>
      <c r="B238" s="1238"/>
      <c r="C238" s="1238"/>
      <c r="D238" s="1238"/>
      <c r="E238" s="1238"/>
    </row>
    <row r="239" spans="1:5">
      <c r="A239" s="1241" t="s">
        <v>18</v>
      </c>
      <c r="B239" s="1238">
        <v>94.930165399092644</v>
      </c>
      <c r="C239" s="1238">
        <v>142.42056132739199</v>
      </c>
      <c r="D239" s="1238">
        <v>121.41964411202244</v>
      </c>
      <c r="E239" s="1238">
        <v>112.9842177228207</v>
      </c>
    </row>
    <row r="240" spans="1:5">
      <c r="A240" s="1241" t="s">
        <v>19</v>
      </c>
      <c r="B240" s="1238">
        <v>95.77602700389447</v>
      </c>
      <c r="C240" s="1238">
        <v>144.32698210705402</v>
      </c>
      <c r="D240" s="1238">
        <v>123.03418891165592</v>
      </c>
      <c r="E240" s="1238">
        <v>114.99442959166093</v>
      </c>
    </row>
    <row r="241" spans="1:5">
      <c r="A241" s="1241" t="s">
        <v>20</v>
      </c>
      <c r="B241" s="1238">
        <v>96.503262387587981</v>
      </c>
      <c r="C241" s="1238">
        <v>146.12460573106344</v>
      </c>
      <c r="D241" s="1238">
        <v>123.66006102888815</v>
      </c>
      <c r="E241" s="1238">
        <v>116.14417051653243</v>
      </c>
    </row>
    <row r="242" spans="1:5">
      <c r="A242" s="1241" t="s">
        <v>21</v>
      </c>
      <c r="B242" s="1238">
        <v>95.523477442910291</v>
      </c>
      <c r="C242" s="1238">
        <v>147.96689745384222</v>
      </c>
      <c r="D242" s="1238">
        <v>121.83340177241438</v>
      </c>
      <c r="E242" s="1238">
        <v>116.95443952107175</v>
      </c>
    </row>
    <row r="243" spans="1:5">
      <c r="A243" s="1241" t="s">
        <v>22</v>
      </c>
      <c r="B243" s="1238">
        <v>96.129488700663373</v>
      </c>
      <c r="C243" s="1238">
        <v>148.43257208834515</v>
      </c>
      <c r="D243" s="1238">
        <v>122.02968670249875</v>
      </c>
      <c r="E243" s="1238">
        <v>116.62989178281487</v>
      </c>
    </row>
    <row r="244" spans="1:5">
      <c r="A244" s="1241" t="s">
        <v>23</v>
      </c>
      <c r="B244" s="1238">
        <v>98.720135652933379</v>
      </c>
      <c r="C244" s="1238">
        <v>155.71180858767138</v>
      </c>
      <c r="D244" s="1238">
        <v>123.32500803880106</v>
      </c>
      <c r="E244" s="1238">
        <v>119.99872586711595</v>
      </c>
    </row>
    <row r="245" spans="1:5">
      <c r="A245" s="1241" t="s">
        <v>24</v>
      </c>
      <c r="B245" s="1238">
        <v>99.758350683758621</v>
      </c>
      <c r="C245" s="1238">
        <v>162.95151103322115</v>
      </c>
      <c r="D245" s="1238">
        <v>122.41352185756898</v>
      </c>
      <c r="E245" s="1238">
        <v>122.0460432433424</v>
      </c>
    </row>
    <row r="246" spans="1:5">
      <c r="A246" s="1241" t="s">
        <v>25</v>
      </c>
      <c r="B246" s="1238">
        <v>101.39212154213185</v>
      </c>
      <c r="C246" s="1238">
        <v>166.56423722318573</v>
      </c>
      <c r="D246" s="1238">
        <v>122.04384819079458</v>
      </c>
      <c r="E246" s="1238">
        <v>121.54792951348455</v>
      </c>
    </row>
    <row r="247" spans="1:5">
      <c r="A247" s="1241" t="s">
        <v>26</v>
      </c>
      <c r="B247" s="1238">
        <v>103.06842751608531</v>
      </c>
      <c r="C247" s="1238">
        <v>168.45744021491498</v>
      </c>
      <c r="D247" s="1238">
        <v>123.34741945594483</v>
      </c>
      <c r="E247" s="1238">
        <v>121.55104079178741</v>
      </c>
    </row>
    <row r="248" spans="1:5">
      <c r="A248" s="1241" t="s">
        <v>27</v>
      </c>
      <c r="B248" s="1238">
        <v>104.75431181497537</v>
      </c>
      <c r="C248" s="1238">
        <v>171.67756211310433</v>
      </c>
      <c r="D248" s="1238">
        <v>125.10929435325129</v>
      </c>
      <c r="E248" s="1238">
        <v>123.02006313649019</v>
      </c>
    </row>
    <row r="249" spans="1:5">
      <c r="A249" s="1241" t="s">
        <v>28</v>
      </c>
      <c r="B249" s="1238">
        <v>102.7823833229313</v>
      </c>
      <c r="C249" s="1238">
        <v>168.69644477125647</v>
      </c>
      <c r="D249" s="1238">
        <v>122.38057799056958</v>
      </c>
      <c r="E249" s="1238">
        <v>119.57408429261397</v>
      </c>
    </row>
    <row r="250" spans="1:5">
      <c r="A250" s="1241" t="s">
        <v>29</v>
      </c>
      <c r="B250" s="1238">
        <v>102.03526549289836</v>
      </c>
      <c r="C250" s="1238">
        <v>168.4936094533783</v>
      </c>
      <c r="D250" s="1238">
        <v>121.37819246927887</v>
      </c>
      <c r="E250" s="1238">
        <v>118.82610618702236</v>
      </c>
    </row>
    <row r="251" spans="1:5">
      <c r="A251" s="1241" t="s">
        <v>3971</v>
      </c>
      <c r="B251" s="1238"/>
      <c r="C251" s="1238"/>
      <c r="D251" s="1238"/>
      <c r="E251" s="1238"/>
    </row>
    <row r="252" spans="1:5">
      <c r="A252" s="1241" t="s">
        <v>18</v>
      </c>
      <c r="B252" s="1238">
        <v>102.29607834748636</v>
      </c>
      <c r="C252" s="1238">
        <v>169.01207337368098</v>
      </c>
      <c r="D252" s="1238">
        <v>121.51115099809917</v>
      </c>
      <c r="E252" s="1238">
        <v>117.77550603498509</v>
      </c>
    </row>
    <row r="253" spans="1:5">
      <c r="A253" s="1241" t="s">
        <v>19</v>
      </c>
      <c r="B253" s="1238">
        <v>103.56706165915817</v>
      </c>
      <c r="C253" s="1238">
        <v>171.51271716347495</v>
      </c>
      <c r="D253" s="1238">
        <v>122.47293811549488</v>
      </c>
      <c r="E253" s="1238">
        <v>118.47182190564939</v>
      </c>
    </row>
    <row r="254" spans="1:5">
      <c r="A254" s="1241" t="s">
        <v>20</v>
      </c>
      <c r="B254" s="1238">
        <v>103.70979421851702</v>
      </c>
      <c r="C254" s="1238">
        <v>173.03385766786619</v>
      </c>
      <c r="D254" s="1238">
        <v>121.78448488569089</v>
      </c>
      <c r="E254" s="1238">
        <v>118.71374762776311</v>
      </c>
    </row>
    <row r="255" spans="1:5">
      <c r="A255" s="1241" t="s">
        <v>21</v>
      </c>
      <c r="B255" s="1238">
        <v>104.84030303262587</v>
      </c>
      <c r="C255" s="1238">
        <v>174.71689239599834</v>
      </c>
      <c r="D255" s="1238">
        <v>121.80263431664169</v>
      </c>
      <c r="E255" s="1238">
        <v>118.63250963238141</v>
      </c>
    </row>
    <row r="256" spans="1:5">
      <c r="A256" s="1241" t="s">
        <v>22</v>
      </c>
      <c r="B256" s="1238">
        <v>104.31691304170744</v>
      </c>
      <c r="C256" s="1238">
        <v>173.87450307883515</v>
      </c>
      <c r="D256" s="1238">
        <v>120.12665668427138</v>
      </c>
      <c r="E256" s="1238">
        <v>116.85171668765965</v>
      </c>
    </row>
    <row r="257" spans="1:5">
      <c r="A257" s="1241" t="s">
        <v>23</v>
      </c>
      <c r="B257" s="1238">
        <v>104.43362373841073</v>
      </c>
      <c r="C257" s="1238">
        <v>173.55469906330265</v>
      </c>
      <c r="D257" s="1238">
        <v>119.60832563843553</v>
      </c>
      <c r="E257" s="1238">
        <v>115.92001649824373</v>
      </c>
    </row>
    <row r="258" spans="1:5">
      <c r="A258" s="1241" t="s">
        <v>24</v>
      </c>
      <c r="B258" s="1238">
        <v>104.11241714746888</v>
      </c>
      <c r="C258" s="1238">
        <v>173.45502181622945</v>
      </c>
      <c r="D258" s="1238">
        <v>119.42339446579413</v>
      </c>
      <c r="E258" s="1238">
        <v>115.72781984205487</v>
      </c>
    </row>
    <row r="259" spans="1:5">
      <c r="A259" s="1241" t="s">
        <v>25</v>
      </c>
      <c r="B259" s="1238">
        <v>103.73648658867879</v>
      </c>
      <c r="C259" s="1238">
        <v>173.20712581213502</v>
      </c>
      <c r="D259" s="1238">
        <v>118.78921181621823</v>
      </c>
      <c r="E259" s="1238">
        <v>115.23463116030808</v>
      </c>
    </row>
    <row r="260" spans="1:5">
      <c r="A260" s="1241" t="s">
        <v>26</v>
      </c>
      <c r="B260" s="1238">
        <v>103.50160495442373</v>
      </c>
      <c r="C260" s="1238">
        <v>173.40266208154168</v>
      </c>
      <c r="D260" s="1238">
        <v>118.22813640215026</v>
      </c>
      <c r="E260" s="1238">
        <v>114.85056776778033</v>
      </c>
    </row>
    <row r="261" spans="1:5">
      <c r="A261" s="1241" t="s">
        <v>27</v>
      </c>
      <c r="B261" s="1238">
        <v>105.37499832529416</v>
      </c>
      <c r="C261" s="1238">
        <v>176.80931482550233</v>
      </c>
      <c r="D261" s="1238">
        <v>119.8251874238553</v>
      </c>
      <c r="E261" s="1238">
        <v>116.50170959977503</v>
      </c>
    </row>
    <row r="262" spans="1:5">
      <c r="A262" s="1241" t="s">
        <v>28</v>
      </c>
      <c r="B262" s="1238">
        <v>107.45977985572041</v>
      </c>
      <c r="C262" s="1238">
        <v>180.42779009866683</v>
      </c>
      <c r="D262" s="1238">
        <v>122.6209170704749</v>
      </c>
      <c r="E262" s="1238">
        <v>118.96516779998321</v>
      </c>
    </row>
    <row r="263" spans="1:5">
      <c r="A263" s="1241" t="s">
        <v>29</v>
      </c>
      <c r="B263" s="1238">
        <v>109.15463450651254</v>
      </c>
      <c r="C263" s="1238">
        <v>183.66880065681667</v>
      </c>
      <c r="D263" s="1238">
        <v>125.14110439267948</v>
      </c>
      <c r="E263" s="1238">
        <v>121.5492184268943</v>
      </c>
    </row>
    <row r="264" spans="1:5">
      <c r="A264" s="1241" t="s">
        <v>4202</v>
      </c>
      <c r="B264" s="1238"/>
      <c r="C264" s="1238"/>
      <c r="D264" s="1238"/>
      <c r="E264" s="1238"/>
    </row>
    <row r="265" spans="1:5">
      <c r="A265" s="1241" t="s">
        <v>18</v>
      </c>
      <c r="B265" s="1238">
        <v>109.99078957738845</v>
      </c>
      <c r="C265" s="1238">
        <v>184.57667277177998</v>
      </c>
      <c r="D265" s="1238">
        <v>126.07833439173517</v>
      </c>
      <c r="E265" s="1238">
        <v>121.5667194361959</v>
      </c>
    </row>
    <row r="266" spans="1:5">
      <c r="A266" s="1241" t="s">
        <v>19</v>
      </c>
      <c r="B266" s="1238">
        <v>108.72841866026017</v>
      </c>
      <c r="C266" s="1238">
        <v>180.83953930380099</v>
      </c>
      <c r="D266" s="1238">
        <v>124.62163995143375</v>
      </c>
      <c r="E266" s="1238">
        <v>119.04829828872771</v>
      </c>
    </row>
    <row r="267" spans="1:5">
      <c r="A267" s="1241" t="s">
        <v>20</v>
      </c>
      <c r="B267" s="1238">
        <v>105.85892565586845</v>
      </c>
      <c r="C267" s="1238">
        <v>176.17889060090209</v>
      </c>
      <c r="D267" s="1238">
        <v>121.09678697913112</v>
      </c>
      <c r="E267" s="1238">
        <v>115.84250387462097</v>
      </c>
    </row>
    <row r="268" spans="1:5">
      <c r="A268" s="1241" t="s">
        <v>21</v>
      </c>
      <c r="B268" s="1238">
        <v>104.38027080429019</v>
      </c>
      <c r="C268" s="1238">
        <v>175.33233013575094</v>
      </c>
      <c r="D268" s="1238">
        <v>118.64067336147603</v>
      </c>
      <c r="E268" s="1238">
        <v>114.61329469881862</v>
      </c>
    </row>
    <row r="269" spans="1:5">
      <c r="A269" s="1241" t="s">
        <v>22</v>
      </c>
      <c r="B269" s="1238">
        <v>103.74899783319783</v>
      </c>
      <c r="C269" s="1238">
        <v>173.7755803276919</v>
      </c>
      <c r="D269" s="1238">
        <v>117.45410914412695</v>
      </c>
      <c r="E269" s="1238">
        <v>113.02210003113561</v>
      </c>
    </row>
    <row r="270" spans="1:5">
      <c r="A270" s="1241" t="s">
        <v>23</v>
      </c>
      <c r="B270" s="1238">
        <v>102.6159210506747</v>
      </c>
      <c r="C270" s="1238">
        <v>172.60813872499546</v>
      </c>
      <c r="D270" s="1238">
        <v>115.19069703022996</v>
      </c>
      <c r="E270" s="1238">
        <v>111.32828010986751</v>
      </c>
    </row>
    <row r="271" spans="1:5">
      <c r="A271" s="1241" t="s">
        <v>24</v>
      </c>
      <c r="B271" s="1238">
        <v>101.83794126497597</v>
      </c>
      <c r="C271" s="1238">
        <v>172.7128477278354</v>
      </c>
      <c r="D271" s="1238">
        <v>113.69582840336015</v>
      </c>
      <c r="E271" s="1238">
        <v>110.61932914805649</v>
      </c>
    </row>
    <row r="272" spans="1:5">
      <c r="A272" s="1241" t="s">
        <v>25</v>
      </c>
      <c r="B272" s="1238">
        <v>102.66820139279832</v>
      </c>
      <c r="C272" s="1238">
        <v>174.17916548471504</v>
      </c>
      <c r="D272" s="1238">
        <v>114.61109092607978</v>
      </c>
      <c r="E272" s="1238">
        <v>111.54965635656345</v>
      </c>
    </row>
    <row r="273" spans="1:5" ht="13.9" customHeight="1">
      <c r="A273" s="1241" t="s">
        <v>26</v>
      </c>
      <c r="B273" s="1238">
        <v>102.57703221054571</v>
      </c>
      <c r="C273" s="1238">
        <v>175.29075588070606</v>
      </c>
      <c r="D273" s="1238">
        <v>115.13915864255031</v>
      </c>
      <c r="E273" s="1238">
        <v>112.61005479254273</v>
      </c>
    </row>
    <row r="274" spans="1:5" s="723" customFormat="1" ht="12.6" customHeight="1">
      <c r="A274" s="1241" t="s">
        <v>27</v>
      </c>
      <c r="B274" s="1238">
        <v>102.91411577305087</v>
      </c>
      <c r="C274" s="1238">
        <v>175.27180402577744</v>
      </c>
      <c r="D274" s="1238">
        <v>115.46579643790217</v>
      </c>
      <c r="E274" s="1238">
        <v>112.40066326268295</v>
      </c>
    </row>
    <row r="275" spans="1:5" s="723" customFormat="1" ht="12.6" customHeight="1">
      <c r="A275" s="1241" t="s">
        <v>28</v>
      </c>
      <c r="B275" s="1238">
        <v>103.37989224187152</v>
      </c>
      <c r="C275" s="1238">
        <v>175.46692739958627</v>
      </c>
      <c r="D275" s="1238">
        <v>116.30599885043026</v>
      </c>
      <c r="E275" s="1238">
        <v>112.58630766260819</v>
      </c>
    </row>
    <row r="276" spans="1:5" s="723" customFormat="1" ht="12.6" customHeight="1">
      <c r="A276" s="1241" t="s">
        <v>29</v>
      </c>
      <c r="B276" s="1238">
        <v>102.46092074099646</v>
      </c>
      <c r="C276" s="1238">
        <v>174.09193249976036</v>
      </c>
      <c r="D276" s="1238">
        <v>115.80974482179744</v>
      </c>
      <c r="E276" s="1238">
        <v>112.14332890038321</v>
      </c>
    </row>
    <row r="277" spans="1:5" s="723" customFormat="1" ht="12.6" customHeight="1">
      <c r="A277" s="1241" t="s">
        <v>4465</v>
      </c>
      <c r="B277" s="1238"/>
      <c r="C277" s="1238"/>
      <c r="D277" s="1238"/>
      <c r="E277" s="1238"/>
    </row>
    <row r="278" spans="1:5" s="723" customFormat="1" ht="12.6" customHeight="1">
      <c r="A278" s="1241" t="s">
        <v>18</v>
      </c>
      <c r="B278" s="1238">
        <v>102.3613043097135</v>
      </c>
      <c r="C278" s="1238">
        <v>173.93065972515723</v>
      </c>
      <c r="D278" s="1238">
        <v>116.75310953014373</v>
      </c>
      <c r="E278" s="1238">
        <v>112.31559196512646</v>
      </c>
    </row>
    <row r="279" spans="1:5" s="723" customFormat="1" ht="12.6" customHeight="1">
      <c r="A279" s="1241" t="s">
        <v>19</v>
      </c>
      <c r="B279" s="1238">
        <v>101.77900813910036</v>
      </c>
      <c r="C279" s="1238">
        <v>172.89889212936993</v>
      </c>
      <c r="D279" s="1238">
        <v>115.80184502016462</v>
      </c>
      <c r="E279" s="1238">
        <v>111.1822609410923</v>
      </c>
    </row>
    <row r="280" spans="1:5" s="723" customFormat="1" ht="12.6" customHeight="1">
      <c r="A280" s="1241" t="s">
        <v>20</v>
      </c>
      <c r="B280" s="1238">
        <v>103.93397246268519</v>
      </c>
      <c r="C280" s="1238">
        <v>176.17465224227504</v>
      </c>
      <c r="D280" s="1238">
        <v>117.6512454988559</v>
      </c>
      <c r="E280" s="1238">
        <v>113.04115359349862</v>
      </c>
    </row>
    <row r="281" spans="1:5" s="723" customFormat="1" ht="12.6" customHeight="1">
      <c r="A281" s="1241" t="s">
        <v>21</v>
      </c>
      <c r="B281" s="1238">
        <v>102.89771704427574</v>
      </c>
      <c r="C281" s="1238">
        <v>174.22772317362319</v>
      </c>
      <c r="D281" s="1238">
        <v>115.34640302985815</v>
      </c>
      <c r="E281" s="1238">
        <v>110.76743016358645</v>
      </c>
    </row>
    <row r="282" spans="1:5" s="723" customFormat="1" ht="12.6" customHeight="1">
      <c r="A282" s="1241" t="s">
        <v>22</v>
      </c>
      <c r="B282" s="1238">
        <v>102.45639452959664</v>
      </c>
      <c r="C282" s="1238">
        <v>172.4945704025501</v>
      </c>
      <c r="D282" s="1238">
        <v>114.48265835382441</v>
      </c>
      <c r="E282" s="1238">
        <v>109.26774553409984</v>
      </c>
    </row>
    <row r="283" spans="1:5" ht="12.6" customHeight="1">
      <c r="A283" s="1241" t="s">
        <v>23</v>
      </c>
      <c r="B283" s="1238">
        <v>103.52261253693418</v>
      </c>
      <c r="C283" s="1238">
        <v>173.81151422906484</v>
      </c>
      <c r="D283" s="1238">
        <v>115.16530579477495</v>
      </c>
      <c r="E283" s="1238">
        <v>109.54818820049319</v>
      </c>
    </row>
    <row r="284" spans="1:5" ht="13.5">
      <c r="A284" s="2137" t="s">
        <v>2676</v>
      </c>
      <c r="B284" s="2138"/>
      <c r="C284" s="2138"/>
      <c r="D284" s="2138"/>
      <c r="E284" s="2139"/>
    </row>
    <row r="287" spans="1:5">
      <c r="B287" s="1240"/>
      <c r="C287" s="1240"/>
      <c r="D287" s="2013"/>
      <c r="E287" s="2013"/>
    </row>
    <row r="288" spans="1:5">
      <c r="D288" s="2013"/>
      <c r="E288" s="2013"/>
    </row>
    <row r="289" spans="1:5">
      <c r="A289" s="14"/>
      <c r="B289" s="2012"/>
      <c r="C289" s="2012"/>
      <c r="D289" s="2013"/>
      <c r="E289" s="2013"/>
    </row>
    <row r="290" spans="1:5">
      <c r="A290" s="14"/>
      <c r="D290" s="2013"/>
      <c r="E290" s="2013"/>
    </row>
    <row r="291" spans="1:5">
      <c r="A291" s="14"/>
      <c r="D291" s="2013"/>
      <c r="E291" s="2013"/>
    </row>
    <row r="292" spans="1:5">
      <c r="A292" s="14"/>
      <c r="D292" s="2013"/>
      <c r="E292" s="2013"/>
    </row>
    <row r="293" spans="1:5">
      <c r="A293" s="14"/>
      <c r="D293" s="2013"/>
      <c r="E293" s="2013"/>
    </row>
    <row r="294" spans="1:5">
      <c r="A294" s="14"/>
      <c r="D294" s="2013"/>
      <c r="E294" s="2013"/>
    </row>
    <row r="295" spans="1:5">
      <c r="A295" s="14"/>
      <c r="D295" s="2013"/>
      <c r="E295" s="2013"/>
    </row>
    <row r="296" spans="1:5">
      <c r="A296" s="14"/>
      <c r="D296" s="2013"/>
      <c r="E296" s="2013"/>
    </row>
    <row r="297" spans="1:5">
      <c r="A297" s="14"/>
      <c r="D297" s="2013"/>
      <c r="E297" s="2013"/>
    </row>
    <row r="298" spans="1:5">
      <c r="A298" s="14"/>
      <c r="D298" s="2013"/>
      <c r="E298" s="2013"/>
    </row>
    <row r="299" spans="1:5">
      <c r="A299" s="14"/>
    </row>
    <row r="300" spans="1:5">
      <c r="A300" s="14"/>
    </row>
    <row r="301" spans="1:5">
      <c r="A301" s="14"/>
    </row>
    <row r="302" spans="1:5">
      <c r="A302" s="14"/>
    </row>
    <row r="303" spans="1:5">
      <c r="A303" s="14"/>
    </row>
    <row r="304" spans="1:5">
      <c r="A304" s="14"/>
    </row>
    <row r="305" spans="1:1">
      <c r="A305" s="14"/>
    </row>
  </sheetData>
  <mergeCells count="9">
    <mergeCell ref="A284:E284"/>
    <mergeCell ref="A2:E2"/>
    <mergeCell ref="A3:E3"/>
    <mergeCell ref="A6:A7"/>
    <mergeCell ref="B6:C6"/>
    <mergeCell ref="D6:E6"/>
    <mergeCell ref="A9:A10"/>
    <mergeCell ref="B9:C9"/>
    <mergeCell ref="D9:E9"/>
  </mergeCells>
  <pageMargins left="0.28000000000000003" right="0.17" top="0.75" bottom="0.75" header="0.3" footer="0.3"/>
  <pageSetup scale="2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AD34-CE45-4137-B1A2-CE85F2325A37}">
  <sheetPr codeName="Sheet13">
    <tabColor rgb="FF92D050"/>
  </sheetPr>
  <dimension ref="A1:XFB304"/>
  <sheetViews>
    <sheetView showGridLines="0" view="pageBreakPreview" zoomScaleSheetLayoutView="100" workbookViewId="0">
      <pane ySplit="7" topLeftCell="A264" activePane="bottomLeft" state="frozen"/>
      <selection activeCell="F40" sqref="F40"/>
      <selection pane="bottomLeft" activeCell="F40" sqref="F40"/>
    </sheetView>
  </sheetViews>
  <sheetFormatPr defaultColWidth="8.85546875" defaultRowHeight="12.75"/>
  <cols>
    <col min="1" max="1" width="8.5703125" style="83" customWidth="1"/>
    <col min="2" max="20" width="10.7109375" style="14" customWidth="1"/>
    <col min="21" max="16384" width="8.85546875" style="14"/>
  </cols>
  <sheetData>
    <row r="1" spans="1:39" ht="8.25" customHeight="1"/>
    <row r="2" spans="1:39" s="467" customFormat="1" ht="18.75" customHeight="1">
      <c r="A2" s="2152" t="s">
        <v>3460</v>
      </c>
      <c r="B2" s="2152"/>
      <c r="C2" s="2152"/>
      <c r="D2" s="2152"/>
      <c r="E2" s="2152"/>
      <c r="F2" s="2152"/>
      <c r="G2" s="2152"/>
      <c r="H2" s="2152"/>
      <c r="I2" s="2152"/>
      <c r="J2" s="2152"/>
      <c r="K2" s="2152"/>
      <c r="L2" s="2152"/>
      <c r="M2" s="2152"/>
      <c r="N2" s="2152"/>
      <c r="O2" s="2152"/>
      <c r="P2" s="2152"/>
      <c r="Q2" s="2152"/>
      <c r="R2" s="2152"/>
      <c r="S2" s="2152"/>
      <c r="T2" s="2152"/>
    </row>
    <row r="3" spans="1:39" s="467" customFormat="1" ht="25.5" customHeight="1">
      <c r="A3" s="2153" t="s">
        <v>3461</v>
      </c>
      <c r="B3" s="2153"/>
      <c r="C3" s="2153"/>
      <c r="D3" s="2153"/>
      <c r="E3" s="2153"/>
      <c r="F3" s="2153"/>
      <c r="G3" s="2153"/>
      <c r="H3" s="2153"/>
      <c r="I3" s="2153"/>
      <c r="J3" s="2153"/>
      <c r="K3" s="2153"/>
      <c r="L3" s="2153"/>
      <c r="M3" s="2153"/>
      <c r="N3" s="2153"/>
      <c r="O3" s="2153"/>
      <c r="P3" s="2153"/>
      <c r="Q3" s="2153"/>
      <c r="R3" s="2153"/>
      <c r="S3" s="2153"/>
      <c r="T3" s="2153"/>
    </row>
    <row r="4" spans="1:39" s="467" customFormat="1" ht="11.25" customHeight="1">
      <c r="A4" s="486"/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  <c r="P4" s="486"/>
      <c r="Q4" s="486"/>
      <c r="R4" s="486"/>
      <c r="S4" s="486"/>
      <c r="T4" s="486"/>
    </row>
    <row r="5" spans="1:39" ht="11.25" customHeight="1">
      <c r="A5" s="468"/>
      <c r="B5" s="469"/>
      <c r="C5" s="469"/>
      <c r="D5" s="469"/>
      <c r="E5" s="469"/>
      <c r="F5" s="469"/>
      <c r="G5" s="469"/>
      <c r="H5" s="469"/>
      <c r="I5" s="469"/>
      <c r="J5" s="469"/>
      <c r="K5" s="469"/>
      <c r="L5" s="469"/>
      <c r="M5" s="469"/>
      <c r="N5" s="469"/>
      <c r="O5" s="469"/>
      <c r="P5" s="469"/>
      <c r="Q5" s="469"/>
      <c r="R5" s="469"/>
      <c r="S5" s="469"/>
      <c r="T5" s="469"/>
    </row>
    <row r="6" spans="1:39" s="83" customFormat="1" ht="42.75" customHeight="1">
      <c r="A6" s="1245" t="s">
        <v>182</v>
      </c>
      <c r="B6" s="1230" t="s">
        <v>236</v>
      </c>
      <c r="C6" s="1230" t="s">
        <v>3462</v>
      </c>
      <c r="D6" s="1230" t="s">
        <v>3463</v>
      </c>
      <c r="E6" s="1230" t="s">
        <v>3464</v>
      </c>
      <c r="F6" s="1230" t="s">
        <v>258</v>
      </c>
      <c r="G6" s="1230" t="s">
        <v>259</v>
      </c>
      <c r="H6" s="1230" t="s">
        <v>3465</v>
      </c>
      <c r="I6" s="1230" t="s">
        <v>3466</v>
      </c>
      <c r="J6" s="1230" t="s">
        <v>3467</v>
      </c>
      <c r="K6" s="1230" t="s">
        <v>3468</v>
      </c>
      <c r="L6" s="1230" t="s">
        <v>240</v>
      </c>
      <c r="M6" s="1230" t="s">
        <v>3469</v>
      </c>
      <c r="N6" s="1230" t="s">
        <v>3470</v>
      </c>
      <c r="O6" s="1230" t="s">
        <v>3471</v>
      </c>
      <c r="P6" s="1230" t="s">
        <v>4313</v>
      </c>
      <c r="Q6" s="1230" t="s">
        <v>4314</v>
      </c>
      <c r="R6" s="1230" t="s">
        <v>4315</v>
      </c>
      <c r="S6" s="1230" t="s">
        <v>4316</v>
      </c>
      <c r="T6" s="1230" t="s">
        <v>4317</v>
      </c>
    </row>
    <row r="7" spans="1:39" ht="38.25">
      <c r="A7" s="1246" t="s">
        <v>283</v>
      </c>
      <c r="B7" s="1229" t="s">
        <v>3472</v>
      </c>
      <c r="C7" s="1229" t="s">
        <v>3473</v>
      </c>
      <c r="D7" s="1229" t="s">
        <v>3474</v>
      </c>
      <c r="E7" s="1229" t="s">
        <v>4318</v>
      </c>
      <c r="F7" s="1229" t="s">
        <v>3476</v>
      </c>
      <c r="G7" s="1229" t="s">
        <v>3477</v>
      </c>
      <c r="H7" s="1229" t="s">
        <v>4319</v>
      </c>
      <c r="I7" s="1229" t="s">
        <v>3479</v>
      </c>
      <c r="J7" s="1229" t="s">
        <v>3480</v>
      </c>
      <c r="K7" s="1229" t="s">
        <v>4320</v>
      </c>
      <c r="L7" s="1229" t="s">
        <v>3482</v>
      </c>
      <c r="M7" s="1229" t="s">
        <v>3483</v>
      </c>
      <c r="N7" s="1229" t="s">
        <v>3484</v>
      </c>
      <c r="O7" s="1229" t="s">
        <v>4321</v>
      </c>
      <c r="P7" s="1229" t="s">
        <v>4322</v>
      </c>
      <c r="Q7" s="1229" t="s">
        <v>4323</v>
      </c>
      <c r="R7" s="1229" t="s">
        <v>4324</v>
      </c>
      <c r="S7" s="1229" t="s">
        <v>4325</v>
      </c>
      <c r="T7" s="1229" t="s">
        <v>4326</v>
      </c>
    </row>
    <row r="8" spans="1:39">
      <c r="A8" s="107">
        <v>2000</v>
      </c>
      <c r="B8" s="257">
        <v>100</v>
      </c>
      <c r="C8" s="257">
        <v>100</v>
      </c>
      <c r="D8" s="257">
        <v>100</v>
      </c>
      <c r="E8" s="257">
        <v>100</v>
      </c>
      <c r="F8" s="257">
        <v>100</v>
      </c>
      <c r="G8" s="257">
        <v>100</v>
      </c>
      <c r="H8" s="257">
        <v>100</v>
      </c>
      <c r="I8" s="257">
        <v>100</v>
      </c>
      <c r="J8" s="257">
        <v>100</v>
      </c>
      <c r="K8" s="257">
        <v>100</v>
      </c>
      <c r="L8" s="257">
        <v>100</v>
      </c>
      <c r="M8" s="257" t="s">
        <v>93</v>
      </c>
      <c r="N8" s="257" t="s">
        <v>93</v>
      </c>
      <c r="O8" s="257" t="s">
        <v>93</v>
      </c>
      <c r="P8" s="257" t="s">
        <v>93</v>
      </c>
      <c r="Q8" s="257" t="s">
        <v>93</v>
      </c>
      <c r="R8" s="257" t="s">
        <v>93</v>
      </c>
      <c r="S8" s="257" t="s">
        <v>93</v>
      </c>
      <c r="T8" s="257" t="s">
        <v>93</v>
      </c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</row>
    <row r="9" spans="1:39">
      <c r="A9" s="108">
        <v>2001</v>
      </c>
      <c r="B9" s="257">
        <v>94.780453433493207</v>
      </c>
      <c r="C9" s="257">
        <v>96.432871235617966</v>
      </c>
      <c r="D9" s="257">
        <v>97.576584616903986</v>
      </c>
      <c r="E9" s="257">
        <v>128.97132354765327</v>
      </c>
      <c r="F9" s="257">
        <v>88.059642710856053</v>
      </c>
      <c r="G9" s="257">
        <v>80.597782488649258</v>
      </c>
      <c r="H9" s="257">
        <v>101.42164283948028</v>
      </c>
      <c r="I9" s="257">
        <v>89.481892962946858</v>
      </c>
      <c r="J9" s="257">
        <v>111.57152935166201</v>
      </c>
      <c r="K9" s="257">
        <v>100.77653918459663</v>
      </c>
      <c r="L9" s="257">
        <v>97.84315239557111</v>
      </c>
      <c r="M9" s="257" t="s">
        <v>93</v>
      </c>
      <c r="N9" s="257" t="s">
        <v>93</v>
      </c>
      <c r="O9" s="257" t="s">
        <v>93</v>
      </c>
      <c r="P9" s="257" t="s">
        <v>93</v>
      </c>
      <c r="Q9" s="257" t="s">
        <v>93</v>
      </c>
      <c r="R9" s="257" t="s">
        <v>93</v>
      </c>
      <c r="S9" s="257" t="s">
        <v>93</v>
      </c>
      <c r="T9" s="257" t="s">
        <v>93</v>
      </c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</row>
    <row r="10" spans="1:39">
      <c r="A10" s="108">
        <v>2002</v>
      </c>
      <c r="B10" s="257">
        <v>92.872205237548243</v>
      </c>
      <c r="C10" s="257">
        <v>83.221240009715643</v>
      </c>
      <c r="D10" s="257">
        <v>87.475562693959603</v>
      </c>
      <c r="E10" s="257">
        <v>109.07368815301166</v>
      </c>
      <c r="F10" s="257">
        <v>80.583745402633966</v>
      </c>
      <c r="G10" s="257">
        <v>81.828817080517652</v>
      </c>
      <c r="H10" s="257">
        <v>97.246666408738889</v>
      </c>
      <c r="I10" s="257">
        <v>87.736851192471718</v>
      </c>
      <c r="J10" s="257">
        <v>107.97899088577014</v>
      </c>
      <c r="K10" s="257">
        <v>104.51445750605556</v>
      </c>
      <c r="L10" s="257">
        <v>98.694753215761253</v>
      </c>
      <c r="M10" s="257" t="s">
        <v>93</v>
      </c>
      <c r="N10" s="257" t="s">
        <v>93</v>
      </c>
      <c r="O10" s="257" t="s">
        <v>93</v>
      </c>
      <c r="P10" s="257" t="s">
        <v>93</v>
      </c>
      <c r="Q10" s="257" t="s">
        <v>93</v>
      </c>
      <c r="R10" s="257" t="s">
        <v>93</v>
      </c>
      <c r="S10" s="257" t="s">
        <v>93</v>
      </c>
      <c r="T10" s="257" t="s">
        <v>93</v>
      </c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</row>
    <row r="11" spans="1:39">
      <c r="A11" s="108">
        <v>2003</v>
      </c>
      <c r="B11" s="257">
        <v>93.656521045355163</v>
      </c>
      <c r="C11" s="257">
        <v>70.206581911165372</v>
      </c>
      <c r="D11" s="257">
        <v>81.271619391867731</v>
      </c>
      <c r="E11" s="257">
        <v>84.969473406168547</v>
      </c>
      <c r="F11" s="257">
        <v>68.433788337494462</v>
      </c>
      <c r="G11" s="257">
        <v>77.748051784783769</v>
      </c>
      <c r="H11" s="257">
        <v>92.280691485282659</v>
      </c>
      <c r="I11" s="257">
        <v>78.609909186428865</v>
      </c>
      <c r="J11" s="257">
        <v>98.52444503195575</v>
      </c>
      <c r="K11" s="257">
        <v>102.55504703588123</v>
      </c>
      <c r="L11" s="257">
        <v>98.487136539882812</v>
      </c>
      <c r="M11" s="257" t="s">
        <v>93</v>
      </c>
      <c r="N11" s="257" t="s">
        <v>93</v>
      </c>
      <c r="O11" s="257" t="s">
        <v>93</v>
      </c>
      <c r="P11" s="257" t="s">
        <v>93</v>
      </c>
      <c r="Q11" s="257" t="s">
        <v>93</v>
      </c>
      <c r="R11" s="257" t="s">
        <v>93</v>
      </c>
      <c r="S11" s="257" t="s">
        <v>93</v>
      </c>
      <c r="T11" s="257" t="s">
        <v>93</v>
      </c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</row>
    <row r="12" spans="1:39">
      <c r="A12" s="108">
        <v>2004</v>
      </c>
      <c r="B12" s="257">
        <v>99.852851956944562</v>
      </c>
      <c r="C12" s="257">
        <v>69.904995198889353</v>
      </c>
      <c r="D12" s="257">
        <v>79.936531407498691</v>
      </c>
      <c r="E12" s="257">
        <v>84.491970783476589</v>
      </c>
      <c r="F12" s="257">
        <v>64.486833070475726</v>
      </c>
      <c r="G12" s="257">
        <v>76.006674552326302</v>
      </c>
      <c r="H12" s="257">
        <v>81.008304605309519</v>
      </c>
      <c r="I12" s="257">
        <v>73.082701132950646</v>
      </c>
      <c r="J12" s="257">
        <v>105.17801765729259</v>
      </c>
      <c r="K12" s="257">
        <v>111.11248736395198</v>
      </c>
      <c r="L12" s="257">
        <v>106.60653188750398</v>
      </c>
      <c r="M12" s="257" t="s">
        <v>93</v>
      </c>
      <c r="N12" s="257" t="s">
        <v>93</v>
      </c>
      <c r="O12" s="257" t="s">
        <v>93</v>
      </c>
      <c r="P12" s="257" t="s">
        <v>93</v>
      </c>
      <c r="Q12" s="257" t="s">
        <v>93</v>
      </c>
      <c r="R12" s="257" t="s">
        <v>93</v>
      </c>
      <c r="S12" s="257" t="s">
        <v>93</v>
      </c>
      <c r="T12" s="257" t="s">
        <v>93</v>
      </c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</row>
    <row r="13" spans="1:39">
      <c r="A13" s="108">
        <v>2005</v>
      </c>
      <c r="B13" s="257">
        <v>108.45401750882651</v>
      </c>
      <c r="C13" s="257">
        <v>86.909508083679569</v>
      </c>
      <c r="D13" s="257">
        <v>97.144181973305876</v>
      </c>
      <c r="E13" s="257">
        <v>85.063131760102038</v>
      </c>
      <c r="F13" s="257">
        <v>67.477001957003253</v>
      </c>
      <c r="G13" s="257">
        <v>73.248833213510039</v>
      </c>
      <c r="H13" s="257">
        <v>86.492495451447326</v>
      </c>
      <c r="I13" s="257">
        <v>78.430719626997117</v>
      </c>
      <c r="J13" s="257">
        <v>135.18133057241602</v>
      </c>
      <c r="K13" s="257">
        <v>131.66442873779761</v>
      </c>
      <c r="L13" s="257">
        <v>115.10763215887737</v>
      </c>
      <c r="M13" s="257" t="s">
        <v>93</v>
      </c>
      <c r="N13" s="257" t="s">
        <v>93</v>
      </c>
      <c r="O13" s="257" t="s">
        <v>93</v>
      </c>
      <c r="P13" s="257" t="s">
        <v>93</v>
      </c>
      <c r="Q13" s="257" t="s">
        <v>93</v>
      </c>
      <c r="R13" s="257" t="s">
        <v>93</v>
      </c>
      <c r="S13" s="257" t="s">
        <v>93</v>
      </c>
      <c r="T13" s="257" t="s">
        <v>93</v>
      </c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</row>
    <row r="14" spans="1:39">
      <c r="A14" s="108">
        <v>2006</v>
      </c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</row>
    <row r="15" spans="1:39">
      <c r="A15" s="37" t="s">
        <v>18</v>
      </c>
      <c r="B15" s="457">
        <v>109.12926718775277</v>
      </c>
      <c r="C15" s="457">
        <v>86.694384013437372</v>
      </c>
      <c r="D15" s="457">
        <v>98.056983175873683</v>
      </c>
      <c r="E15" s="457">
        <v>85.531158229476134</v>
      </c>
      <c r="F15" s="457">
        <v>65.870618176201845</v>
      </c>
      <c r="G15" s="457">
        <v>73.956040431891779</v>
      </c>
      <c r="H15" s="457">
        <v>87.394583809031161</v>
      </c>
      <c r="I15" s="457">
        <v>78.470642740480756</v>
      </c>
      <c r="J15" s="457">
        <v>133.71095113180297</v>
      </c>
      <c r="K15" s="457">
        <v>133.27324623185174</v>
      </c>
      <c r="L15" s="457">
        <v>115.30690694593413</v>
      </c>
      <c r="M15" s="457" t="s">
        <v>93</v>
      </c>
      <c r="N15" s="457" t="s">
        <v>93</v>
      </c>
      <c r="O15" s="457" t="s">
        <v>93</v>
      </c>
      <c r="P15" s="257" t="s">
        <v>93</v>
      </c>
      <c r="Q15" s="257" t="s">
        <v>93</v>
      </c>
      <c r="R15" s="257" t="s">
        <v>93</v>
      </c>
      <c r="S15" s="257" t="s">
        <v>93</v>
      </c>
      <c r="T15" s="257" t="s">
        <v>93</v>
      </c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</row>
    <row r="16" spans="1:39">
      <c r="A16" s="37" t="s">
        <v>19</v>
      </c>
      <c r="B16" s="457">
        <v>111.52373268771808</v>
      </c>
      <c r="C16" s="457">
        <v>89.403002198794297</v>
      </c>
      <c r="D16" s="457">
        <v>100.69257047681118</v>
      </c>
      <c r="E16" s="457">
        <v>84.51459564726332</v>
      </c>
      <c r="F16" s="457">
        <v>65.790784361731767</v>
      </c>
      <c r="G16" s="457">
        <v>74.208807156125388</v>
      </c>
      <c r="H16" s="457">
        <v>89.988212731229481</v>
      </c>
      <c r="I16" s="457">
        <v>77.990270214797064</v>
      </c>
      <c r="J16" s="457">
        <v>139.36690440201002</v>
      </c>
      <c r="K16" s="457">
        <v>138.0100939490014</v>
      </c>
      <c r="L16" s="457">
        <v>116.84842086046253</v>
      </c>
      <c r="M16" s="457" t="s">
        <v>93</v>
      </c>
      <c r="N16" s="457" t="s">
        <v>93</v>
      </c>
      <c r="O16" s="457" t="s">
        <v>93</v>
      </c>
      <c r="P16" s="257" t="s">
        <v>93</v>
      </c>
      <c r="Q16" s="257" t="s">
        <v>93</v>
      </c>
      <c r="R16" s="257" t="s">
        <v>93</v>
      </c>
      <c r="S16" s="257" t="s">
        <v>93</v>
      </c>
      <c r="T16" s="257" t="s">
        <v>93</v>
      </c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</row>
    <row r="17" spans="1:39">
      <c r="A17" s="37" t="s">
        <v>20</v>
      </c>
      <c r="B17" s="457">
        <v>112.87319422351615</v>
      </c>
      <c r="C17" s="457">
        <v>89.878688014862618</v>
      </c>
      <c r="D17" s="457">
        <v>102.41585045068634</v>
      </c>
      <c r="E17" s="457">
        <v>87.373813984131743</v>
      </c>
      <c r="F17" s="457">
        <v>65.575156645315417</v>
      </c>
      <c r="G17" s="457">
        <v>75.675733180336152</v>
      </c>
      <c r="H17" s="457">
        <v>92.013170292732724</v>
      </c>
      <c r="I17" s="457">
        <v>77.069483561230612</v>
      </c>
      <c r="J17" s="457">
        <v>140.67613918610218</v>
      </c>
      <c r="K17" s="457">
        <v>139.12883256286875</v>
      </c>
      <c r="L17" s="457">
        <v>119.65301785931156</v>
      </c>
      <c r="M17" s="457" t="s">
        <v>93</v>
      </c>
      <c r="N17" s="457" t="s">
        <v>93</v>
      </c>
      <c r="O17" s="457" t="s">
        <v>93</v>
      </c>
      <c r="P17" s="257" t="s">
        <v>93</v>
      </c>
      <c r="Q17" s="257" t="s">
        <v>93</v>
      </c>
      <c r="R17" s="257" t="s">
        <v>93</v>
      </c>
      <c r="S17" s="257" t="s">
        <v>93</v>
      </c>
      <c r="T17" s="257" t="s">
        <v>93</v>
      </c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</row>
    <row r="18" spans="1:39">
      <c r="A18" s="37" t="s">
        <v>21</v>
      </c>
      <c r="B18" s="457">
        <v>113.61943677897852</v>
      </c>
      <c r="C18" s="457">
        <v>88.73289396231155</v>
      </c>
      <c r="D18" s="457">
        <v>102.00326864457882</v>
      </c>
      <c r="E18" s="457">
        <v>87.702291318219835</v>
      </c>
      <c r="F18" s="457">
        <v>65.412532398224911</v>
      </c>
      <c r="G18" s="457">
        <v>76.84846208050385</v>
      </c>
      <c r="H18" s="457">
        <v>91.25229320359449</v>
      </c>
      <c r="I18" s="457">
        <v>76.427967107674505</v>
      </c>
      <c r="J18" s="457">
        <v>141.82822717422459</v>
      </c>
      <c r="K18" s="457">
        <v>136.86835631771604</v>
      </c>
      <c r="L18" s="457">
        <v>120.74230771802929</v>
      </c>
      <c r="M18" s="457" t="s">
        <v>93</v>
      </c>
      <c r="N18" s="457" t="s">
        <v>93</v>
      </c>
      <c r="O18" s="457" t="s">
        <v>93</v>
      </c>
      <c r="P18" s="257" t="s">
        <v>93</v>
      </c>
      <c r="Q18" s="257" t="s">
        <v>93</v>
      </c>
      <c r="R18" s="257" t="s">
        <v>93</v>
      </c>
      <c r="S18" s="257" t="s">
        <v>93</v>
      </c>
      <c r="T18" s="257" t="s">
        <v>93</v>
      </c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</row>
    <row r="19" spans="1:39">
      <c r="A19" s="37" t="s">
        <v>22</v>
      </c>
      <c r="B19" s="457">
        <v>114.13724134769672</v>
      </c>
      <c r="C19" s="457">
        <v>85.593173464757399</v>
      </c>
      <c r="D19" s="457">
        <v>97.006326808810485</v>
      </c>
      <c r="E19" s="457">
        <v>92.343654008259776</v>
      </c>
      <c r="F19" s="457">
        <v>64.418366293193117</v>
      </c>
      <c r="G19" s="457">
        <v>76.616046168932726</v>
      </c>
      <c r="H19" s="457">
        <v>89.123772695292828</v>
      </c>
      <c r="I19" s="457">
        <v>73.965714165930692</v>
      </c>
      <c r="J19" s="457">
        <v>135.79895332386022</v>
      </c>
      <c r="K19" s="457">
        <v>134.6596037635338</v>
      </c>
      <c r="L19" s="457">
        <v>121.73457492862386</v>
      </c>
      <c r="M19" s="457" t="s">
        <v>93</v>
      </c>
      <c r="N19" s="457" t="s">
        <v>93</v>
      </c>
      <c r="O19" s="457" t="s">
        <v>93</v>
      </c>
      <c r="P19" s="257" t="s">
        <v>93</v>
      </c>
      <c r="Q19" s="257" t="s">
        <v>93</v>
      </c>
      <c r="R19" s="257" t="s">
        <v>93</v>
      </c>
      <c r="S19" s="257" t="s">
        <v>93</v>
      </c>
      <c r="T19" s="257" t="s">
        <v>93</v>
      </c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</row>
    <row r="20" spans="1:39">
      <c r="A20" s="37" t="s">
        <v>23</v>
      </c>
      <c r="B20" s="457">
        <v>114.35477564686167</v>
      </c>
      <c r="C20" s="457">
        <v>86.535118784609296</v>
      </c>
      <c r="D20" s="457">
        <v>98.333498915206334</v>
      </c>
      <c r="E20" s="457">
        <v>103.72435287644795</v>
      </c>
      <c r="F20" s="457">
        <v>64.370714069946075</v>
      </c>
      <c r="G20" s="457">
        <v>76.64748488759615</v>
      </c>
      <c r="H20" s="457">
        <v>88.522861819185607</v>
      </c>
      <c r="I20" s="457">
        <v>72.384051409245984</v>
      </c>
      <c r="J20" s="457">
        <v>139.74829518002423</v>
      </c>
      <c r="K20" s="457">
        <v>135.13229440693291</v>
      </c>
      <c r="L20" s="457">
        <v>123.04905384688503</v>
      </c>
      <c r="M20" s="457" t="s">
        <v>93</v>
      </c>
      <c r="N20" s="457" t="s">
        <v>93</v>
      </c>
      <c r="O20" s="457" t="s">
        <v>93</v>
      </c>
      <c r="P20" s="257" t="s">
        <v>93</v>
      </c>
      <c r="Q20" s="257" t="s">
        <v>93</v>
      </c>
      <c r="R20" s="257" t="s">
        <v>93</v>
      </c>
      <c r="S20" s="257" t="s">
        <v>93</v>
      </c>
      <c r="T20" s="257" t="s">
        <v>93</v>
      </c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</row>
    <row r="21" spans="1:39">
      <c r="A21" s="37" t="s">
        <v>24</v>
      </c>
      <c r="B21" s="457">
        <v>114.27225496386977</v>
      </c>
      <c r="C21" s="457">
        <v>86.721696769347432</v>
      </c>
      <c r="D21" s="457">
        <v>98.841316871281634</v>
      </c>
      <c r="E21" s="457">
        <v>100.38381123029565</v>
      </c>
      <c r="F21" s="457">
        <v>63.904155391762117</v>
      </c>
      <c r="G21" s="457">
        <v>76.460418291915062</v>
      </c>
      <c r="H21" s="457">
        <v>87.388024306329427</v>
      </c>
      <c r="I21" s="457">
        <v>71.462860620472767</v>
      </c>
      <c r="J21" s="457">
        <v>142.08532541916091</v>
      </c>
      <c r="K21" s="457">
        <v>134.57959560190156</v>
      </c>
      <c r="L21" s="457">
        <v>123.70352103872828</v>
      </c>
      <c r="M21" s="457" t="s">
        <v>93</v>
      </c>
      <c r="N21" s="457" t="s">
        <v>93</v>
      </c>
      <c r="O21" s="457" t="s">
        <v>93</v>
      </c>
      <c r="P21" s="257" t="s">
        <v>93</v>
      </c>
      <c r="Q21" s="257" t="s">
        <v>93</v>
      </c>
      <c r="R21" s="257" t="s">
        <v>93</v>
      </c>
      <c r="S21" s="257" t="s">
        <v>93</v>
      </c>
      <c r="T21" s="257" t="s">
        <v>93</v>
      </c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</row>
    <row r="22" spans="1:39">
      <c r="A22" s="37" t="s">
        <v>25</v>
      </c>
      <c r="B22" s="457">
        <v>114.77540719376938</v>
      </c>
      <c r="C22" s="457">
        <v>86.436832777434702</v>
      </c>
      <c r="D22" s="457">
        <v>96.593833334550993</v>
      </c>
      <c r="E22" s="457">
        <v>95.869237848890776</v>
      </c>
      <c r="F22" s="457">
        <v>63.82134984464922</v>
      </c>
      <c r="G22" s="457">
        <v>76.847063116017978</v>
      </c>
      <c r="H22" s="457">
        <v>87.595840215790673</v>
      </c>
      <c r="I22" s="457">
        <v>74.61774406354013</v>
      </c>
      <c r="J22" s="457">
        <v>142.21375410992044</v>
      </c>
      <c r="K22" s="457">
        <v>133.49490283794802</v>
      </c>
      <c r="L22" s="457">
        <v>123.80632846230068</v>
      </c>
      <c r="M22" s="457" t="s">
        <v>93</v>
      </c>
      <c r="N22" s="457" t="s">
        <v>93</v>
      </c>
      <c r="O22" s="457" t="s">
        <v>93</v>
      </c>
      <c r="P22" s="257" t="s">
        <v>93</v>
      </c>
      <c r="Q22" s="257" t="s">
        <v>93</v>
      </c>
      <c r="R22" s="257" t="s">
        <v>93</v>
      </c>
      <c r="S22" s="257" t="s">
        <v>93</v>
      </c>
      <c r="T22" s="257" t="s">
        <v>93</v>
      </c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</row>
    <row r="23" spans="1:39">
      <c r="A23" s="37" t="s">
        <v>26</v>
      </c>
      <c r="B23" s="457">
        <v>117.33172622875927</v>
      </c>
      <c r="C23" s="457">
        <v>88.327613996759993</v>
      </c>
      <c r="D23" s="457">
        <v>98.008817604896436</v>
      </c>
      <c r="E23" s="457">
        <v>97.193237133022151</v>
      </c>
      <c r="F23" s="457">
        <v>64.812800581173519</v>
      </c>
      <c r="G23" s="457">
        <v>76.612665636188538</v>
      </c>
      <c r="H23" s="457">
        <v>88.399775303418835</v>
      </c>
      <c r="I23" s="457">
        <v>77.640057874152859</v>
      </c>
      <c r="J23" s="457">
        <v>146.2103232490345</v>
      </c>
      <c r="K23" s="457">
        <v>136.10683471337541</v>
      </c>
      <c r="L23" s="457">
        <v>124.48675737738971</v>
      </c>
      <c r="M23" s="457" t="s">
        <v>93</v>
      </c>
      <c r="N23" s="457" t="s">
        <v>93</v>
      </c>
      <c r="O23" s="457" t="s">
        <v>93</v>
      </c>
      <c r="P23" s="257" t="s">
        <v>93</v>
      </c>
      <c r="Q23" s="257" t="s">
        <v>93</v>
      </c>
      <c r="R23" s="257" t="s">
        <v>93</v>
      </c>
      <c r="S23" s="257" t="s">
        <v>93</v>
      </c>
      <c r="T23" s="257" t="s">
        <v>93</v>
      </c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</row>
    <row r="24" spans="1:39">
      <c r="A24" s="37" t="s">
        <v>27</v>
      </c>
      <c r="B24" s="457">
        <v>120.04468675572596</v>
      </c>
      <c r="C24" s="457">
        <v>90.618485372882247</v>
      </c>
      <c r="D24" s="457">
        <v>100.27031404804814</v>
      </c>
      <c r="E24" s="457">
        <v>97.352168405175647</v>
      </c>
      <c r="F24" s="457">
        <v>66.04039222481714</v>
      </c>
      <c r="G24" s="457">
        <v>76.333524420455745</v>
      </c>
      <c r="H24" s="457">
        <v>89.273107404212027</v>
      </c>
      <c r="I24" s="457">
        <v>79.405826081024841</v>
      </c>
      <c r="J24" s="457">
        <v>151.0298910517806</v>
      </c>
      <c r="K24" s="457">
        <v>136.89464328740584</v>
      </c>
      <c r="L24" s="457">
        <v>126.12378360885739</v>
      </c>
      <c r="M24" s="457" t="s">
        <v>93</v>
      </c>
      <c r="N24" s="457" t="s">
        <v>93</v>
      </c>
      <c r="O24" s="457" t="s">
        <v>93</v>
      </c>
      <c r="P24" s="257" t="s">
        <v>93</v>
      </c>
      <c r="Q24" s="257" t="s">
        <v>93</v>
      </c>
      <c r="R24" s="257" t="s">
        <v>93</v>
      </c>
      <c r="S24" s="257" t="s">
        <v>93</v>
      </c>
      <c r="T24" s="257" t="s">
        <v>93</v>
      </c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</row>
    <row r="25" spans="1:39">
      <c r="A25" s="37" t="s">
        <v>28</v>
      </c>
      <c r="B25" s="457">
        <v>121.88084647612601</v>
      </c>
      <c r="C25" s="457">
        <v>90.28940368322516</v>
      </c>
      <c r="D25" s="457">
        <v>99.674167735662508</v>
      </c>
      <c r="E25" s="457">
        <v>96.379479241583326</v>
      </c>
      <c r="F25" s="457">
        <v>66.055956148458733</v>
      </c>
      <c r="G25" s="457">
        <v>76.163096530486996</v>
      </c>
      <c r="H25" s="457">
        <v>89.466445214835986</v>
      </c>
      <c r="I25" s="457">
        <v>80.140824868855347</v>
      </c>
      <c r="J25" s="457">
        <v>151.62458089248793</v>
      </c>
      <c r="K25" s="457">
        <v>140.28487438045016</v>
      </c>
      <c r="L25" s="457">
        <v>127.03259874879897</v>
      </c>
      <c r="M25" s="457" t="s">
        <v>93</v>
      </c>
      <c r="N25" s="457" t="s">
        <v>93</v>
      </c>
      <c r="O25" s="457" t="s">
        <v>93</v>
      </c>
      <c r="P25" s="257" t="s">
        <v>93</v>
      </c>
      <c r="Q25" s="257" t="s">
        <v>93</v>
      </c>
      <c r="R25" s="257" t="s">
        <v>93</v>
      </c>
      <c r="S25" s="257" t="s">
        <v>93</v>
      </c>
      <c r="T25" s="257" t="s">
        <v>93</v>
      </c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</row>
    <row r="26" spans="1:39">
      <c r="A26" s="37" t="s">
        <v>29</v>
      </c>
      <c r="B26" s="457">
        <v>123.98324131708074</v>
      </c>
      <c r="C26" s="457">
        <v>89.615566075798469</v>
      </c>
      <c r="D26" s="457">
        <v>98.497547199665647</v>
      </c>
      <c r="E26" s="457">
        <v>95.475923333427275</v>
      </c>
      <c r="F26" s="457">
        <v>66.196217291424546</v>
      </c>
      <c r="G26" s="457">
        <v>77.103618445205242</v>
      </c>
      <c r="H26" s="457">
        <v>90.041558117435955</v>
      </c>
      <c r="I26" s="457">
        <v>81.126718328929883</v>
      </c>
      <c r="J26" s="457">
        <v>154.99620703073484</v>
      </c>
      <c r="K26" s="457">
        <v>139.99901662402124</v>
      </c>
      <c r="L26" s="457">
        <v>127.23702977236302</v>
      </c>
      <c r="M26" s="457" t="s">
        <v>93</v>
      </c>
      <c r="N26" s="457" t="s">
        <v>93</v>
      </c>
      <c r="O26" s="457" t="s">
        <v>93</v>
      </c>
      <c r="P26" s="257" t="s">
        <v>93</v>
      </c>
      <c r="Q26" s="257" t="s">
        <v>93</v>
      </c>
      <c r="R26" s="257" t="s">
        <v>93</v>
      </c>
      <c r="S26" s="257" t="s">
        <v>93</v>
      </c>
      <c r="T26" s="257" t="s">
        <v>93</v>
      </c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</row>
    <row r="27" spans="1:39">
      <c r="A27" s="108">
        <v>2007</v>
      </c>
      <c r="B27" s="457"/>
      <c r="C27" s="457"/>
      <c r="D27" s="457"/>
      <c r="E27" s="457"/>
      <c r="F27" s="457"/>
      <c r="G27" s="457"/>
      <c r="H27" s="457"/>
      <c r="I27" s="457"/>
      <c r="J27" s="457"/>
      <c r="K27" s="457"/>
      <c r="L27" s="457"/>
      <c r="M27" s="457"/>
      <c r="N27" s="457"/>
      <c r="O27" s="457"/>
      <c r="P27" s="457"/>
      <c r="Q27" s="457"/>
      <c r="R27" s="457"/>
      <c r="S27" s="457"/>
      <c r="T27" s="457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</row>
    <row r="28" spans="1:39">
      <c r="A28" s="37" t="s">
        <v>18</v>
      </c>
      <c r="B28" s="457">
        <v>131.77204522201384</v>
      </c>
      <c r="C28" s="457">
        <v>97.420319049022794</v>
      </c>
      <c r="D28" s="457">
        <v>105.87670751357007</v>
      </c>
      <c r="E28" s="457">
        <v>100.27302183322497</v>
      </c>
      <c r="F28" s="457">
        <v>69.834105844979732</v>
      </c>
      <c r="G28" s="457">
        <v>81.967757618442832</v>
      </c>
      <c r="H28" s="457">
        <v>94.212726980624325</v>
      </c>
      <c r="I28" s="457">
        <v>84.158504918626534</v>
      </c>
      <c r="J28" s="457">
        <v>169.79045632560874</v>
      </c>
      <c r="K28" s="457">
        <v>150.16181412408207</v>
      </c>
      <c r="L28" s="457">
        <v>134.00682538692547</v>
      </c>
      <c r="M28" s="457" t="s">
        <v>93</v>
      </c>
      <c r="N28" s="457" t="s">
        <v>93</v>
      </c>
      <c r="O28" s="457" t="s">
        <v>93</v>
      </c>
      <c r="P28" s="257" t="s">
        <v>93</v>
      </c>
      <c r="Q28" s="257" t="s">
        <v>93</v>
      </c>
      <c r="R28" s="257" t="s">
        <v>93</v>
      </c>
      <c r="S28" s="257" t="s">
        <v>93</v>
      </c>
      <c r="T28" s="257" t="s">
        <v>93</v>
      </c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</row>
    <row r="29" spans="1:39">
      <c r="A29" s="37" t="s">
        <v>19</v>
      </c>
      <c r="B29" s="457">
        <v>133.42823133762454</v>
      </c>
      <c r="C29" s="457">
        <v>98.176345731051242</v>
      </c>
      <c r="D29" s="457">
        <v>107.31754731972802</v>
      </c>
      <c r="E29" s="457">
        <v>99.882514017947798</v>
      </c>
      <c r="F29" s="457">
        <v>69.761886811867868</v>
      </c>
      <c r="G29" s="457">
        <v>82.586572810681972</v>
      </c>
      <c r="H29" s="457">
        <v>94.99420179323603</v>
      </c>
      <c r="I29" s="457">
        <v>84.022675177158177</v>
      </c>
      <c r="J29" s="457">
        <v>173.84247479932324</v>
      </c>
      <c r="K29" s="457">
        <v>152.97031446016894</v>
      </c>
      <c r="L29" s="457">
        <v>134.19315358486071</v>
      </c>
      <c r="M29" s="457" t="s">
        <v>93</v>
      </c>
      <c r="N29" s="457" t="s">
        <v>93</v>
      </c>
      <c r="O29" s="457" t="s">
        <v>93</v>
      </c>
      <c r="P29" s="257" t="s">
        <v>93</v>
      </c>
      <c r="Q29" s="257" t="s">
        <v>93</v>
      </c>
      <c r="R29" s="257" t="s">
        <v>93</v>
      </c>
      <c r="S29" s="257" t="s">
        <v>93</v>
      </c>
      <c r="T29" s="257" t="s">
        <v>93</v>
      </c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</row>
    <row r="30" spans="1:39">
      <c r="A30" s="37" t="s">
        <v>20</v>
      </c>
      <c r="B30" s="457">
        <v>134.48786925349904</v>
      </c>
      <c r="C30" s="457">
        <v>97.649573415402187</v>
      </c>
      <c r="D30" s="457">
        <v>109.1473284655202</v>
      </c>
      <c r="E30" s="457">
        <v>101.13980298768175</v>
      </c>
      <c r="F30" s="457">
        <v>69.778368481050578</v>
      </c>
      <c r="G30" s="457">
        <v>83.568896796851462</v>
      </c>
      <c r="H30" s="457">
        <v>97.004658569168967</v>
      </c>
      <c r="I30" s="457">
        <v>84.209307953094978</v>
      </c>
      <c r="J30" s="457">
        <v>170.90429682382944</v>
      </c>
      <c r="K30" s="457">
        <v>154.44243095798319</v>
      </c>
      <c r="L30" s="457">
        <v>136.32095291472262</v>
      </c>
      <c r="M30" s="457" t="s">
        <v>93</v>
      </c>
      <c r="N30" s="457" t="s">
        <v>93</v>
      </c>
      <c r="O30" s="457" t="s">
        <v>93</v>
      </c>
      <c r="P30" s="257" t="s">
        <v>93</v>
      </c>
      <c r="Q30" s="257" t="s">
        <v>93</v>
      </c>
      <c r="R30" s="257" t="s">
        <v>93</v>
      </c>
      <c r="S30" s="257" t="s">
        <v>93</v>
      </c>
      <c r="T30" s="257" t="s">
        <v>93</v>
      </c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</row>
    <row r="31" spans="1:39">
      <c r="A31" s="37" t="s">
        <v>21</v>
      </c>
      <c r="B31" s="457">
        <v>134.81282069345411</v>
      </c>
      <c r="C31" s="457">
        <v>95.753649562895333</v>
      </c>
      <c r="D31" s="457">
        <v>107.17426266593255</v>
      </c>
      <c r="E31" s="457">
        <v>96.827648989074873</v>
      </c>
      <c r="F31" s="457">
        <v>69.038604777033527</v>
      </c>
      <c r="G31" s="457">
        <v>84.026338389583941</v>
      </c>
      <c r="H31" s="457">
        <v>96.624637862028635</v>
      </c>
      <c r="I31" s="457">
        <v>82.903728238513921</v>
      </c>
      <c r="J31" s="457">
        <v>173.73871141960939</v>
      </c>
      <c r="K31" s="457">
        <v>150.31467038079015</v>
      </c>
      <c r="L31" s="457">
        <v>137.0497823892957</v>
      </c>
      <c r="M31" s="457" t="s">
        <v>93</v>
      </c>
      <c r="N31" s="457" t="s">
        <v>93</v>
      </c>
      <c r="O31" s="457" t="s">
        <v>93</v>
      </c>
      <c r="P31" s="257" t="s">
        <v>93</v>
      </c>
      <c r="Q31" s="257" t="s">
        <v>93</v>
      </c>
      <c r="R31" s="257" t="s">
        <v>93</v>
      </c>
      <c r="S31" s="257" t="s">
        <v>93</v>
      </c>
      <c r="T31" s="257" t="s">
        <v>93</v>
      </c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</row>
    <row r="32" spans="1:39">
      <c r="A32" s="37" t="s">
        <v>22</v>
      </c>
      <c r="B32" s="457">
        <v>134.08320903555173</v>
      </c>
      <c r="C32" s="457">
        <v>95.703528063971405</v>
      </c>
      <c r="D32" s="457">
        <v>107.12311811731169</v>
      </c>
      <c r="E32" s="457">
        <v>94.861259080185079</v>
      </c>
      <c r="F32" s="457">
        <v>68.748085991438771</v>
      </c>
      <c r="G32" s="457">
        <v>83.475581076303229</v>
      </c>
      <c r="H32" s="457">
        <v>94.749193032113197</v>
      </c>
      <c r="I32" s="457">
        <v>81.200080378206309</v>
      </c>
      <c r="J32" s="457">
        <v>176.70051520058323</v>
      </c>
      <c r="K32" s="457">
        <v>147.43049380179963</v>
      </c>
      <c r="L32" s="457">
        <v>136.02249687042342</v>
      </c>
      <c r="M32" s="457" t="s">
        <v>93</v>
      </c>
      <c r="N32" s="457" t="s">
        <v>93</v>
      </c>
      <c r="O32" s="457" t="s">
        <v>93</v>
      </c>
      <c r="P32" s="257" t="s">
        <v>93</v>
      </c>
      <c r="Q32" s="257" t="s">
        <v>93</v>
      </c>
      <c r="R32" s="257" t="s">
        <v>93</v>
      </c>
      <c r="S32" s="257" t="s">
        <v>93</v>
      </c>
      <c r="T32" s="257" t="s">
        <v>93</v>
      </c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</row>
    <row r="33" spans="1:39">
      <c r="A33" s="37" t="s">
        <v>23</v>
      </c>
      <c r="B33" s="457">
        <v>133.92910076010952</v>
      </c>
      <c r="C33" s="457">
        <v>96.370522736931363</v>
      </c>
      <c r="D33" s="457">
        <v>106.93583757084266</v>
      </c>
      <c r="E33" s="457">
        <v>93.96888871908277</v>
      </c>
      <c r="F33" s="457">
        <v>68.366682904938259</v>
      </c>
      <c r="G33" s="457">
        <v>81.774881905522832</v>
      </c>
      <c r="H33" s="457">
        <v>94.466997512647396</v>
      </c>
      <c r="I33" s="457">
        <v>81.882205084157235</v>
      </c>
      <c r="J33" s="457">
        <v>180.06570682961242</v>
      </c>
      <c r="K33" s="457">
        <v>152.77781090089792</v>
      </c>
      <c r="L33" s="457">
        <v>134.80871072715453</v>
      </c>
      <c r="M33" s="457" t="s">
        <v>93</v>
      </c>
      <c r="N33" s="457" t="s">
        <v>93</v>
      </c>
      <c r="O33" s="457" t="s">
        <v>93</v>
      </c>
      <c r="P33" s="257" t="s">
        <v>93</v>
      </c>
      <c r="Q33" s="257" t="s">
        <v>93</v>
      </c>
      <c r="R33" s="257" t="s">
        <v>93</v>
      </c>
      <c r="S33" s="257" t="s">
        <v>93</v>
      </c>
      <c r="T33" s="257" t="s">
        <v>93</v>
      </c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</row>
    <row r="34" spans="1:39">
      <c r="A34" s="37" t="s">
        <v>24</v>
      </c>
      <c r="B34" s="457">
        <v>134.25410877701765</v>
      </c>
      <c r="C34" s="457">
        <v>94.79530824883436</v>
      </c>
      <c r="D34" s="457">
        <v>105.41760635066765</v>
      </c>
      <c r="E34" s="457">
        <v>92.144849276997135</v>
      </c>
      <c r="F34" s="457">
        <v>66.996350716952833</v>
      </c>
      <c r="G34" s="457">
        <v>80.690624944208125</v>
      </c>
      <c r="H34" s="457">
        <v>94.160474635142677</v>
      </c>
      <c r="I34" s="457">
        <v>81.525806210240091</v>
      </c>
      <c r="J34" s="457">
        <v>179.51733803580413</v>
      </c>
      <c r="K34" s="457">
        <v>155.97019912557735</v>
      </c>
      <c r="L34" s="457">
        <v>133.38967254922952</v>
      </c>
      <c r="M34" s="457" t="s">
        <v>93</v>
      </c>
      <c r="N34" s="457" t="s">
        <v>93</v>
      </c>
      <c r="O34" s="457" t="s">
        <v>93</v>
      </c>
      <c r="P34" s="257" t="s">
        <v>93</v>
      </c>
      <c r="Q34" s="257" t="s">
        <v>93</v>
      </c>
      <c r="R34" s="257" t="s">
        <v>93</v>
      </c>
      <c r="S34" s="257" t="s">
        <v>93</v>
      </c>
      <c r="T34" s="257" t="s">
        <v>93</v>
      </c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</row>
    <row r="35" spans="1:39">
      <c r="A35" s="37" t="s">
        <v>25</v>
      </c>
      <c r="B35" s="457">
        <v>135.70360831903565</v>
      </c>
      <c r="C35" s="457">
        <v>96.306199591700206</v>
      </c>
      <c r="D35" s="457">
        <v>107.3307882574683</v>
      </c>
      <c r="E35" s="457">
        <v>95.649896583280011</v>
      </c>
      <c r="F35" s="457">
        <v>67.808751805895469</v>
      </c>
      <c r="G35" s="457">
        <v>80.970157544434656</v>
      </c>
      <c r="H35" s="457">
        <v>94.333544803295496</v>
      </c>
      <c r="I35" s="457">
        <v>83.770763063137878</v>
      </c>
      <c r="J35" s="457">
        <v>174.14998784691005</v>
      </c>
      <c r="K35" s="457">
        <v>155.70418701005843</v>
      </c>
      <c r="L35" s="457">
        <v>133.05824008286137</v>
      </c>
      <c r="M35" s="457" t="s">
        <v>93</v>
      </c>
      <c r="N35" s="457" t="s">
        <v>93</v>
      </c>
      <c r="O35" s="457" t="s">
        <v>93</v>
      </c>
      <c r="P35" s="257" t="s">
        <v>93</v>
      </c>
      <c r="Q35" s="257" t="s">
        <v>93</v>
      </c>
      <c r="R35" s="257" t="s">
        <v>93</v>
      </c>
      <c r="S35" s="257" t="s">
        <v>93</v>
      </c>
      <c r="T35" s="257" t="s">
        <v>93</v>
      </c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</row>
    <row r="36" spans="1:39">
      <c r="A36" s="37" t="s">
        <v>26</v>
      </c>
      <c r="B36" s="457">
        <v>137.01707171229674</v>
      </c>
      <c r="C36" s="457">
        <v>95.21850012044797</v>
      </c>
      <c r="D36" s="457">
        <v>108.21555324403145</v>
      </c>
      <c r="E36" s="457">
        <v>91.946245170396594</v>
      </c>
      <c r="F36" s="457">
        <v>67.325778097714505</v>
      </c>
      <c r="G36" s="457">
        <v>80.315700165944634</v>
      </c>
      <c r="H36" s="457">
        <v>94.245565486436277</v>
      </c>
      <c r="I36" s="457">
        <v>81.167963052398576</v>
      </c>
      <c r="J36" s="457">
        <v>174.42705498146708</v>
      </c>
      <c r="K36" s="457">
        <v>150.19895716875652</v>
      </c>
      <c r="L36" s="457">
        <v>133.42732360562641</v>
      </c>
      <c r="M36" s="457" t="s">
        <v>93</v>
      </c>
      <c r="N36" s="457" t="s">
        <v>93</v>
      </c>
      <c r="O36" s="457" t="s">
        <v>93</v>
      </c>
      <c r="P36" s="257" t="s">
        <v>93</v>
      </c>
      <c r="Q36" s="257" t="s">
        <v>93</v>
      </c>
      <c r="R36" s="257" t="s">
        <v>93</v>
      </c>
      <c r="S36" s="257" t="s">
        <v>93</v>
      </c>
      <c r="T36" s="257" t="s">
        <v>93</v>
      </c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</row>
    <row r="37" spans="1:39">
      <c r="A37" s="37" t="s">
        <v>27</v>
      </c>
      <c r="B37" s="457">
        <v>139.42018824186172</v>
      </c>
      <c r="C37" s="457">
        <v>94.402515379046548</v>
      </c>
      <c r="D37" s="457">
        <v>108.43235904702441</v>
      </c>
      <c r="E37" s="457">
        <v>87.501738405531583</v>
      </c>
      <c r="F37" s="457">
        <v>66.454588964093887</v>
      </c>
      <c r="G37" s="457">
        <v>80.175964195382505</v>
      </c>
      <c r="H37" s="457">
        <v>92.511780115454044</v>
      </c>
      <c r="I37" s="457">
        <v>78.431832642003883</v>
      </c>
      <c r="J37" s="457">
        <v>178.3988014214745</v>
      </c>
      <c r="K37" s="457">
        <v>150.48725378427639</v>
      </c>
      <c r="L37" s="457">
        <v>135.41390246355215</v>
      </c>
      <c r="M37" s="457" t="s">
        <v>93</v>
      </c>
      <c r="N37" s="457" t="s">
        <v>93</v>
      </c>
      <c r="O37" s="457" t="s">
        <v>93</v>
      </c>
      <c r="P37" s="257" t="s">
        <v>93</v>
      </c>
      <c r="Q37" s="257" t="s">
        <v>93</v>
      </c>
      <c r="R37" s="257" t="s">
        <v>93</v>
      </c>
      <c r="S37" s="257" t="s">
        <v>93</v>
      </c>
      <c r="T37" s="257" t="s">
        <v>93</v>
      </c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</row>
    <row r="38" spans="1:39">
      <c r="A38" s="37" t="s">
        <v>28</v>
      </c>
      <c r="B38" s="457">
        <v>143.04039106612089</v>
      </c>
      <c r="C38" s="457">
        <v>94.12695753380882</v>
      </c>
      <c r="D38" s="457">
        <v>110.22854084872075</v>
      </c>
      <c r="E38" s="457">
        <v>88.015026929619239</v>
      </c>
      <c r="F38" s="457">
        <v>66.765065173977405</v>
      </c>
      <c r="G38" s="457">
        <v>81.040410032166633</v>
      </c>
      <c r="H38" s="457">
        <v>93.188099878026136</v>
      </c>
      <c r="I38" s="457">
        <v>78.841868330056926</v>
      </c>
      <c r="J38" s="457">
        <v>176.03393354575149</v>
      </c>
      <c r="K38" s="457">
        <v>151.2112289039116</v>
      </c>
      <c r="L38" s="457">
        <v>137.48920040900433</v>
      </c>
      <c r="M38" s="457" t="s">
        <v>93</v>
      </c>
      <c r="N38" s="457" t="s">
        <v>93</v>
      </c>
      <c r="O38" s="457" t="s">
        <v>93</v>
      </c>
      <c r="P38" s="257" t="s">
        <v>93</v>
      </c>
      <c r="Q38" s="257" t="s">
        <v>93</v>
      </c>
      <c r="R38" s="257" t="s">
        <v>93</v>
      </c>
      <c r="S38" s="257" t="s">
        <v>93</v>
      </c>
      <c r="T38" s="257" t="s">
        <v>93</v>
      </c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</row>
    <row r="39" spans="1:39">
      <c r="A39" s="37" t="s">
        <v>29</v>
      </c>
      <c r="B39" s="457">
        <v>146.58504696708189</v>
      </c>
      <c r="C39" s="457">
        <v>97.027145148297805</v>
      </c>
      <c r="D39" s="457">
        <v>115.45478023798627</v>
      </c>
      <c r="E39" s="457">
        <v>89.566541602004577</v>
      </c>
      <c r="F39" s="457">
        <v>68.127091621857346</v>
      </c>
      <c r="G39" s="457">
        <v>81.888627256961584</v>
      </c>
      <c r="H39" s="457">
        <v>94.314751078646708</v>
      </c>
      <c r="I39" s="457">
        <v>79.566542598048542</v>
      </c>
      <c r="J39" s="457">
        <v>181.48369414650062</v>
      </c>
      <c r="K39" s="457">
        <v>153.82562797827615</v>
      </c>
      <c r="L39" s="457">
        <v>138.76837844934417</v>
      </c>
      <c r="M39" s="457" t="s">
        <v>93</v>
      </c>
      <c r="N39" s="457" t="s">
        <v>93</v>
      </c>
      <c r="O39" s="457" t="s">
        <v>93</v>
      </c>
      <c r="P39" s="257" t="s">
        <v>93</v>
      </c>
      <c r="Q39" s="257" t="s">
        <v>93</v>
      </c>
      <c r="R39" s="257" t="s">
        <v>93</v>
      </c>
      <c r="S39" s="257" t="s">
        <v>93</v>
      </c>
      <c r="T39" s="257" t="s">
        <v>93</v>
      </c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</row>
    <row r="40" spans="1:39">
      <c r="A40" s="37" t="s">
        <v>114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M40" s="457"/>
      <c r="N40" s="457"/>
      <c r="O40" s="457"/>
      <c r="P40" s="457"/>
      <c r="Q40" s="457"/>
      <c r="R40" s="457"/>
      <c r="S40" s="457"/>
      <c r="T40" s="457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</row>
    <row r="41" spans="1:39">
      <c r="A41" s="37" t="s">
        <v>18</v>
      </c>
      <c r="B41" s="457">
        <v>149.82187439568722</v>
      </c>
      <c r="C41" s="457">
        <v>99.040234619480501</v>
      </c>
      <c r="D41" s="457">
        <v>122.33360546590414</v>
      </c>
      <c r="E41" s="457">
        <v>90.729188537862029</v>
      </c>
      <c r="F41" s="457">
        <v>68.087932201842861</v>
      </c>
      <c r="G41" s="457">
        <v>81.692630170228028</v>
      </c>
      <c r="H41" s="457">
        <v>93.951097999824512</v>
      </c>
      <c r="I41" s="457">
        <v>80.527279205853858</v>
      </c>
      <c r="J41" s="457">
        <v>178.75474937499831</v>
      </c>
      <c r="K41" s="457">
        <v>152.04587569567065</v>
      </c>
      <c r="L41" s="457">
        <v>138.20150759476687</v>
      </c>
      <c r="M41" s="457" t="s">
        <v>93</v>
      </c>
      <c r="N41" s="457" t="s">
        <v>93</v>
      </c>
      <c r="O41" s="457" t="s">
        <v>93</v>
      </c>
      <c r="P41" s="257" t="s">
        <v>93</v>
      </c>
      <c r="Q41" s="257" t="s">
        <v>93</v>
      </c>
      <c r="R41" s="257" t="s">
        <v>93</v>
      </c>
      <c r="S41" s="257" t="s">
        <v>93</v>
      </c>
      <c r="T41" s="257" t="s">
        <v>93</v>
      </c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</row>
    <row r="42" spans="1:39">
      <c r="A42" s="37" t="s">
        <v>19</v>
      </c>
      <c r="B42" s="457">
        <v>153.25533292319275</v>
      </c>
      <c r="C42" s="457">
        <v>100.92550561989529</v>
      </c>
      <c r="D42" s="457">
        <v>124.64207981647819</v>
      </c>
      <c r="E42" s="457">
        <v>93.174640058980643</v>
      </c>
      <c r="F42" s="457">
        <v>69.001001540006214</v>
      </c>
      <c r="G42" s="457">
        <v>81.178422343875852</v>
      </c>
      <c r="H42" s="457">
        <v>93.62594285927193</v>
      </c>
      <c r="I42" s="457">
        <v>81.690354589441185</v>
      </c>
      <c r="J42" s="457">
        <v>178.93897504936137</v>
      </c>
      <c r="K42" s="457">
        <v>149.64338182105669</v>
      </c>
      <c r="L42" s="457">
        <v>136.49703030502411</v>
      </c>
      <c r="M42" s="457" t="s">
        <v>93</v>
      </c>
      <c r="N42" s="457" t="s">
        <v>93</v>
      </c>
      <c r="O42" s="457" t="s">
        <v>93</v>
      </c>
      <c r="P42" s="257" t="s">
        <v>93</v>
      </c>
      <c r="Q42" s="257" t="s">
        <v>93</v>
      </c>
      <c r="R42" s="257" t="s">
        <v>93</v>
      </c>
      <c r="S42" s="257" t="s">
        <v>93</v>
      </c>
      <c r="T42" s="257" t="s">
        <v>93</v>
      </c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</row>
    <row r="43" spans="1:39">
      <c r="A43" s="37" t="s">
        <v>20</v>
      </c>
      <c r="B43" s="457">
        <v>158.39958416692289</v>
      </c>
      <c r="C43" s="457">
        <v>98.143171715647483</v>
      </c>
      <c r="D43" s="457">
        <v>126.06480608722237</v>
      </c>
      <c r="E43" s="457">
        <v>98.858337497284126</v>
      </c>
      <c r="F43" s="457">
        <v>68.281094590030946</v>
      </c>
      <c r="G43" s="457">
        <v>80.650069882672511</v>
      </c>
      <c r="H43" s="457">
        <v>93.664113559263441</v>
      </c>
      <c r="I43" s="457">
        <v>84.401753140201834</v>
      </c>
      <c r="J43" s="457">
        <v>173.40475120190763</v>
      </c>
      <c r="K43" s="457">
        <v>149.847997192371</v>
      </c>
      <c r="L43" s="457">
        <v>140.75789010835013</v>
      </c>
      <c r="M43" s="457" t="s">
        <v>93</v>
      </c>
      <c r="N43" s="457" t="s">
        <v>93</v>
      </c>
      <c r="O43" s="457" t="s">
        <v>93</v>
      </c>
      <c r="P43" s="257" t="s">
        <v>93</v>
      </c>
      <c r="Q43" s="257" t="s">
        <v>93</v>
      </c>
      <c r="R43" s="257" t="s">
        <v>93</v>
      </c>
      <c r="S43" s="257" t="s">
        <v>93</v>
      </c>
      <c r="T43" s="257" t="s">
        <v>93</v>
      </c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</row>
    <row r="44" spans="1:39">
      <c r="A44" s="37" t="s">
        <v>21</v>
      </c>
      <c r="B44" s="457">
        <v>164.85868013987849</v>
      </c>
      <c r="C44" s="457">
        <v>100.6766090896929</v>
      </c>
      <c r="D44" s="457">
        <v>132.04840817487354</v>
      </c>
      <c r="E44" s="457">
        <v>107.0165774189739</v>
      </c>
      <c r="F44" s="457">
        <v>69.676971642631642</v>
      </c>
      <c r="G44" s="457">
        <v>80.219223786813899</v>
      </c>
      <c r="H44" s="457">
        <v>93.608277301861449</v>
      </c>
      <c r="I44" s="457">
        <v>87.121232996485631</v>
      </c>
      <c r="J44" s="457">
        <v>184.40006698479829</v>
      </c>
      <c r="K44" s="457">
        <v>155.30113076029204</v>
      </c>
      <c r="L44" s="457">
        <v>144.95772196396433</v>
      </c>
      <c r="M44" s="457" t="s">
        <v>93</v>
      </c>
      <c r="N44" s="457" t="s">
        <v>93</v>
      </c>
      <c r="O44" s="457" t="s">
        <v>93</v>
      </c>
      <c r="P44" s="257" t="s">
        <v>93</v>
      </c>
      <c r="Q44" s="257" t="s">
        <v>93</v>
      </c>
      <c r="R44" s="257" t="s">
        <v>93</v>
      </c>
      <c r="S44" s="257" t="s">
        <v>93</v>
      </c>
      <c r="T44" s="257" t="s">
        <v>93</v>
      </c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</row>
    <row r="45" spans="1:39">
      <c r="A45" s="37" t="s">
        <v>22</v>
      </c>
      <c r="B45" s="457">
        <v>168.41264089561656</v>
      </c>
      <c r="C45" s="457">
        <v>104.29466463821559</v>
      </c>
      <c r="D45" s="457">
        <v>135.99452395699865</v>
      </c>
      <c r="E45" s="457">
        <v>103.93014218097777</v>
      </c>
      <c r="F45" s="457">
        <v>71.286248448802183</v>
      </c>
      <c r="G45" s="457">
        <v>78.731060646854033</v>
      </c>
      <c r="H45" s="457">
        <v>95.544498268287114</v>
      </c>
      <c r="I45" s="457">
        <v>88.651906607262461</v>
      </c>
      <c r="J45" s="457">
        <v>192.6325996103138</v>
      </c>
      <c r="K45" s="457">
        <v>152.15627510600055</v>
      </c>
      <c r="L45" s="457">
        <v>148.99628937546444</v>
      </c>
      <c r="M45" s="457" t="s">
        <v>93</v>
      </c>
      <c r="N45" s="457" t="s">
        <v>93</v>
      </c>
      <c r="O45" s="457" t="s">
        <v>93</v>
      </c>
      <c r="P45" s="257" t="s">
        <v>93</v>
      </c>
      <c r="Q45" s="257" t="s">
        <v>93</v>
      </c>
      <c r="R45" s="257" t="s">
        <v>93</v>
      </c>
      <c r="S45" s="257" t="s">
        <v>93</v>
      </c>
      <c r="T45" s="257" t="s">
        <v>93</v>
      </c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</row>
    <row r="46" spans="1:39">
      <c r="A46" s="37" t="s">
        <v>23</v>
      </c>
      <c r="B46" s="457">
        <v>168.61158423539356</v>
      </c>
      <c r="C46" s="457">
        <v>105.03325427198395</v>
      </c>
      <c r="D46" s="457">
        <v>136.69468096045787</v>
      </c>
      <c r="E46" s="457">
        <v>104.43574826586689</v>
      </c>
      <c r="F46" s="457">
        <v>71.174216057543546</v>
      </c>
      <c r="G46" s="457">
        <v>78.964961903968415</v>
      </c>
      <c r="H46" s="457">
        <v>95.019658316362836</v>
      </c>
      <c r="I46" s="457">
        <v>88.780655622407082</v>
      </c>
      <c r="J46" s="457">
        <v>200.07628676463744</v>
      </c>
      <c r="K46" s="457">
        <v>152.30647853153502</v>
      </c>
      <c r="L46" s="457">
        <v>149.51177396488174</v>
      </c>
      <c r="M46" s="457" t="s">
        <v>93</v>
      </c>
      <c r="N46" s="457" t="s">
        <v>93</v>
      </c>
      <c r="O46" s="457" t="s">
        <v>93</v>
      </c>
      <c r="P46" s="257" t="s">
        <v>93</v>
      </c>
      <c r="Q46" s="257" t="s">
        <v>93</v>
      </c>
      <c r="R46" s="257" t="s">
        <v>93</v>
      </c>
      <c r="S46" s="257" t="s">
        <v>93</v>
      </c>
      <c r="T46" s="257" t="s">
        <v>93</v>
      </c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</row>
    <row r="47" spans="1:39">
      <c r="A47" s="37" t="s">
        <v>24</v>
      </c>
      <c r="B47" s="457">
        <v>168.81624483375501</v>
      </c>
      <c r="C47" s="457">
        <v>104.68595954540206</v>
      </c>
      <c r="D47" s="457">
        <v>136.3842905873999</v>
      </c>
      <c r="E47" s="457">
        <v>103.07044457566289</v>
      </c>
      <c r="F47" s="457">
        <v>70.601328755723358</v>
      </c>
      <c r="G47" s="457">
        <v>77.466674893095416</v>
      </c>
      <c r="H47" s="457">
        <v>95.79568290708518</v>
      </c>
      <c r="I47" s="457">
        <v>88.508906708871635</v>
      </c>
      <c r="J47" s="457">
        <v>196.88437876315302</v>
      </c>
      <c r="K47" s="457">
        <v>152.80738248273425</v>
      </c>
      <c r="L47" s="457">
        <v>149.67059911388387</v>
      </c>
      <c r="M47" s="457" t="s">
        <v>93</v>
      </c>
      <c r="N47" s="457" t="s">
        <v>93</v>
      </c>
      <c r="O47" s="457" t="s">
        <v>93</v>
      </c>
      <c r="P47" s="257" t="s">
        <v>93</v>
      </c>
      <c r="Q47" s="257" t="s">
        <v>93</v>
      </c>
      <c r="R47" s="257" t="s">
        <v>93</v>
      </c>
      <c r="S47" s="257" t="s">
        <v>93</v>
      </c>
      <c r="T47" s="257" t="s">
        <v>93</v>
      </c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</row>
    <row r="48" spans="1:39">
      <c r="A48" s="37" t="s">
        <v>25</v>
      </c>
      <c r="B48" s="457">
        <v>167.22269098191825</v>
      </c>
      <c r="C48" s="457">
        <v>109.51779906568379</v>
      </c>
      <c r="D48" s="457">
        <v>141.53954296532558</v>
      </c>
      <c r="E48" s="457">
        <v>99.560087327772266</v>
      </c>
      <c r="F48" s="457">
        <v>72.328569402618072</v>
      </c>
      <c r="G48" s="457">
        <v>77.364863072536167</v>
      </c>
      <c r="H48" s="457">
        <v>92.287302794902132</v>
      </c>
      <c r="I48" s="457">
        <v>87.116726013959379</v>
      </c>
      <c r="J48" s="457">
        <v>199.76246854566529</v>
      </c>
      <c r="K48" s="457">
        <v>158.98805017848369</v>
      </c>
      <c r="L48" s="457">
        <v>149.29005254049898</v>
      </c>
      <c r="M48" s="457" t="s">
        <v>93</v>
      </c>
      <c r="N48" s="457" t="s">
        <v>93</v>
      </c>
      <c r="O48" s="457" t="s">
        <v>93</v>
      </c>
      <c r="P48" s="257" t="s">
        <v>93</v>
      </c>
      <c r="Q48" s="257" t="s">
        <v>93</v>
      </c>
      <c r="R48" s="257" t="s">
        <v>93</v>
      </c>
      <c r="S48" s="257" t="s">
        <v>93</v>
      </c>
      <c r="T48" s="257" t="s">
        <v>93</v>
      </c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</row>
    <row r="49" spans="1:39">
      <c r="A49" s="37" t="s">
        <v>26</v>
      </c>
      <c r="B49" s="457">
        <v>168.78178010293169</v>
      </c>
      <c r="C49" s="457">
        <v>115.03879426764011</v>
      </c>
      <c r="D49" s="457">
        <v>149.59312620322936</v>
      </c>
      <c r="E49" s="457">
        <v>105.560352089717</v>
      </c>
      <c r="F49" s="457">
        <v>75.887381207724047</v>
      </c>
      <c r="G49" s="457">
        <v>81.123572294998795</v>
      </c>
      <c r="H49" s="457">
        <v>93.545122272020222</v>
      </c>
      <c r="I49" s="457">
        <v>87.181544308786215</v>
      </c>
      <c r="J49" s="457">
        <v>196.91108341851501</v>
      </c>
      <c r="K49" s="457">
        <v>159.5409171662065</v>
      </c>
      <c r="L49" s="457">
        <v>150.83277056875207</v>
      </c>
      <c r="M49" s="457" t="s">
        <v>93</v>
      </c>
      <c r="N49" s="457" t="s">
        <v>93</v>
      </c>
      <c r="O49" s="457" t="s">
        <v>93</v>
      </c>
      <c r="P49" s="257" t="s">
        <v>93</v>
      </c>
      <c r="Q49" s="257" t="s">
        <v>93</v>
      </c>
      <c r="R49" s="257" t="s">
        <v>93</v>
      </c>
      <c r="S49" s="257" t="s">
        <v>93</v>
      </c>
      <c r="T49" s="257" t="s">
        <v>93</v>
      </c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</row>
    <row r="50" spans="1:39">
      <c r="A50" s="37" t="s">
        <v>27</v>
      </c>
      <c r="B50" s="457">
        <v>172.07597184344635</v>
      </c>
      <c r="C50" s="457">
        <v>125.09388029312694</v>
      </c>
      <c r="D50" s="457">
        <v>160.51798213820658</v>
      </c>
      <c r="E50" s="457">
        <v>122.44073270575004</v>
      </c>
      <c r="F50" s="457">
        <v>79.30260000322329</v>
      </c>
      <c r="G50" s="457">
        <v>91.15333636767005</v>
      </c>
      <c r="H50" s="457">
        <v>95.340925337612376</v>
      </c>
      <c r="I50" s="457">
        <v>87.780513809905401</v>
      </c>
      <c r="J50" s="457">
        <v>187.27171334430079</v>
      </c>
      <c r="K50" s="457">
        <v>166.74891437206259</v>
      </c>
      <c r="L50" s="457">
        <v>152.52958961563573</v>
      </c>
      <c r="M50" s="457" t="s">
        <v>93</v>
      </c>
      <c r="N50" s="457" t="s">
        <v>93</v>
      </c>
      <c r="O50" s="457" t="s">
        <v>93</v>
      </c>
      <c r="P50" s="257" t="s">
        <v>93</v>
      </c>
      <c r="Q50" s="257" t="s">
        <v>93</v>
      </c>
      <c r="R50" s="257" t="s">
        <v>93</v>
      </c>
      <c r="S50" s="257" t="s">
        <v>93</v>
      </c>
      <c r="T50" s="257" t="s">
        <v>93</v>
      </c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</row>
    <row r="51" spans="1:39">
      <c r="A51" s="37" t="s">
        <v>28</v>
      </c>
      <c r="B51" s="457">
        <v>175.50314086816309</v>
      </c>
      <c r="C51" s="457">
        <v>132.28372301481366</v>
      </c>
      <c r="D51" s="457">
        <v>178.34924783754323</v>
      </c>
      <c r="E51" s="457">
        <v>133.20078493278024</v>
      </c>
      <c r="F51" s="457">
        <v>81.540560739424379</v>
      </c>
      <c r="G51" s="457">
        <v>99.913618562975756</v>
      </c>
      <c r="H51" s="457">
        <v>105.68542644471037</v>
      </c>
      <c r="I51" s="457">
        <v>87.818424162418921</v>
      </c>
      <c r="J51" s="457">
        <v>182.85785431745856</v>
      </c>
      <c r="K51" s="457">
        <v>178.72074136871848</v>
      </c>
      <c r="L51" s="457">
        <v>153.98744856495856</v>
      </c>
      <c r="M51" s="457" t="s">
        <v>93</v>
      </c>
      <c r="N51" s="457" t="s">
        <v>93</v>
      </c>
      <c r="O51" s="457" t="s">
        <v>93</v>
      </c>
      <c r="P51" s="257" t="s">
        <v>93</v>
      </c>
      <c r="Q51" s="257" t="s">
        <v>93</v>
      </c>
      <c r="R51" s="257" t="s">
        <v>93</v>
      </c>
      <c r="S51" s="257" t="s">
        <v>93</v>
      </c>
      <c r="T51" s="257" t="s">
        <v>93</v>
      </c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</row>
    <row r="52" spans="1:39">
      <c r="A52" s="37" t="s">
        <v>29</v>
      </c>
      <c r="B52" s="457">
        <v>177.08227735166591</v>
      </c>
      <c r="C52" s="457">
        <v>124.77237093825305</v>
      </c>
      <c r="D52" s="457">
        <v>184.55408945642844</v>
      </c>
      <c r="E52" s="457">
        <v>128.96874168773363</v>
      </c>
      <c r="F52" s="457">
        <v>83.31158985720829</v>
      </c>
      <c r="G52" s="457">
        <v>125.8038596796293</v>
      </c>
      <c r="H52" s="457">
        <v>111.97084357254978</v>
      </c>
      <c r="I52" s="457">
        <v>88.094447707465747</v>
      </c>
      <c r="J52" s="457">
        <v>172.71334855104985</v>
      </c>
      <c r="K52" s="457">
        <v>178.68705405337269</v>
      </c>
      <c r="L52" s="457">
        <v>154.81722792096733</v>
      </c>
      <c r="M52" s="457" t="s">
        <v>93</v>
      </c>
      <c r="N52" s="457" t="s">
        <v>93</v>
      </c>
      <c r="O52" s="457" t="s">
        <v>93</v>
      </c>
      <c r="P52" s="257" t="s">
        <v>93</v>
      </c>
      <c r="Q52" s="257" t="s">
        <v>93</v>
      </c>
      <c r="R52" s="257" t="s">
        <v>93</v>
      </c>
      <c r="S52" s="257" t="s">
        <v>93</v>
      </c>
      <c r="T52" s="257" t="s">
        <v>93</v>
      </c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</row>
    <row r="53" spans="1:39">
      <c r="A53" s="37" t="s">
        <v>43</v>
      </c>
      <c r="B53" s="457"/>
      <c r="C53" s="457"/>
      <c r="D53" s="457"/>
      <c r="E53" s="457"/>
      <c r="F53" s="457"/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57"/>
      <c r="R53" s="457"/>
      <c r="S53" s="457"/>
      <c r="T53" s="457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</row>
    <row r="54" spans="1:39">
      <c r="A54" s="37" t="s">
        <v>18</v>
      </c>
      <c r="B54" s="457">
        <v>175.68952309505482</v>
      </c>
      <c r="C54" s="457">
        <v>126.40401001233802</v>
      </c>
      <c r="D54" s="457">
        <v>190.21107411282802</v>
      </c>
      <c r="E54" s="457">
        <v>132.32569061021914</v>
      </c>
      <c r="F54" s="457">
        <v>90.450264546243559</v>
      </c>
      <c r="G54" s="457">
        <v>124.50618324548701</v>
      </c>
      <c r="H54" s="457">
        <v>110.64579726271489</v>
      </c>
      <c r="I54" s="457">
        <v>87.895887077173271</v>
      </c>
      <c r="J54" s="457">
        <v>171.65997829438075</v>
      </c>
      <c r="K54" s="457">
        <v>179.98746651889806</v>
      </c>
      <c r="L54" s="457">
        <v>152.10669176015364</v>
      </c>
      <c r="M54" s="457" t="s">
        <v>93</v>
      </c>
      <c r="N54" s="457" t="s">
        <v>93</v>
      </c>
      <c r="O54" s="457" t="s">
        <v>93</v>
      </c>
      <c r="P54" s="257" t="s">
        <v>93</v>
      </c>
      <c r="Q54" s="257" t="s">
        <v>93</v>
      </c>
      <c r="R54" s="257" t="s">
        <v>93</v>
      </c>
      <c r="S54" s="257" t="s">
        <v>93</v>
      </c>
      <c r="T54" s="257" t="s">
        <v>93</v>
      </c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</row>
    <row r="55" spans="1:39">
      <c r="A55" s="37" t="s">
        <v>19</v>
      </c>
      <c r="B55" s="457">
        <v>173.00303479118887</v>
      </c>
      <c r="C55" s="457">
        <v>130.03417355007193</v>
      </c>
      <c r="D55" s="457">
        <v>187.6432465897625</v>
      </c>
      <c r="E55" s="457">
        <v>136.9365408182336</v>
      </c>
      <c r="F55" s="457">
        <v>100.39739563853735</v>
      </c>
      <c r="G55" s="457">
        <v>123.52639884704206</v>
      </c>
      <c r="H55" s="457">
        <v>111.26838648620618</v>
      </c>
      <c r="I55" s="457">
        <v>103.01203477869616</v>
      </c>
      <c r="J55" s="457">
        <v>174.2872341613932</v>
      </c>
      <c r="K55" s="457">
        <v>186.95942025602758</v>
      </c>
      <c r="L55" s="457">
        <v>150.43822538097413</v>
      </c>
      <c r="M55" s="457" t="s">
        <v>93</v>
      </c>
      <c r="N55" s="457" t="s">
        <v>93</v>
      </c>
      <c r="O55" s="457" t="s">
        <v>93</v>
      </c>
      <c r="P55" s="257" t="s">
        <v>93</v>
      </c>
      <c r="Q55" s="257" t="s">
        <v>93</v>
      </c>
      <c r="R55" s="257" t="s">
        <v>93</v>
      </c>
      <c r="S55" s="257" t="s">
        <v>93</v>
      </c>
      <c r="T55" s="257" t="s">
        <v>93</v>
      </c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</row>
    <row r="56" spans="1:39">
      <c r="A56" s="37" t="s">
        <v>20</v>
      </c>
      <c r="B56" s="457">
        <v>172.60996972700138</v>
      </c>
      <c r="C56" s="457">
        <v>126.95536681392645</v>
      </c>
      <c r="D56" s="457">
        <v>190.2708683386472</v>
      </c>
      <c r="E56" s="457">
        <v>138.68038775886066</v>
      </c>
      <c r="F56" s="457">
        <v>96.124348720788163</v>
      </c>
      <c r="G56" s="457">
        <v>119.4640110077694</v>
      </c>
      <c r="H56" s="457">
        <v>111.5691896411498</v>
      </c>
      <c r="I56" s="457">
        <v>105.98250601226324</v>
      </c>
      <c r="J56" s="457">
        <v>182.71089315187609</v>
      </c>
      <c r="K56" s="457">
        <v>188.30817741769818</v>
      </c>
      <c r="L56" s="457">
        <v>150.41253013034211</v>
      </c>
      <c r="M56" s="457" t="s">
        <v>93</v>
      </c>
      <c r="N56" s="457" t="s">
        <v>93</v>
      </c>
      <c r="O56" s="457" t="s">
        <v>93</v>
      </c>
      <c r="P56" s="257" t="s">
        <v>93</v>
      </c>
      <c r="Q56" s="257" t="s">
        <v>93</v>
      </c>
      <c r="R56" s="257" t="s">
        <v>93</v>
      </c>
      <c r="S56" s="257" t="s">
        <v>93</v>
      </c>
      <c r="T56" s="257" t="s">
        <v>93</v>
      </c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</row>
    <row r="57" spans="1:39">
      <c r="A57" s="37" t="s">
        <v>21</v>
      </c>
      <c r="B57" s="457">
        <v>172.43347723568743</v>
      </c>
      <c r="C57" s="457">
        <v>124.71013696166339</v>
      </c>
      <c r="D57" s="457">
        <v>182.27958272766023</v>
      </c>
      <c r="E57" s="457">
        <v>130.26211027030118</v>
      </c>
      <c r="F57" s="457">
        <v>91.915827373314301</v>
      </c>
      <c r="G57" s="457">
        <v>118.69548481174681</v>
      </c>
      <c r="H57" s="457">
        <v>110.00101577843208</v>
      </c>
      <c r="I57" s="457">
        <v>104.97353695948244</v>
      </c>
      <c r="J57" s="457">
        <v>185.08658033411518</v>
      </c>
      <c r="K57" s="457">
        <v>187.54439216750521</v>
      </c>
      <c r="L57" s="457">
        <v>150.44916649544609</v>
      </c>
      <c r="M57" s="457" t="s">
        <v>93</v>
      </c>
      <c r="N57" s="457" t="s">
        <v>93</v>
      </c>
      <c r="O57" s="457" t="s">
        <v>93</v>
      </c>
      <c r="P57" s="257" t="s">
        <v>93</v>
      </c>
      <c r="Q57" s="257" t="s">
        <v>93</v>
      </c>
      <c r="R57" s="257" t="s">
        <v>93</v>
      </c>
      <c r="S57" s="257" t="s">
        <v>93</v>
      </c>
      <c r="T57" s="257" t="s">
        <v>93</v>
      </c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</row>
    <row r="58" spans="1:39">
      <c r="A58" s="37" t="s">
        <v>22</v>
      </c>
      <c r="B58" s="457">
        <v>171.42059435418236</v>
      </c>
      <c r="C58" s="457">
        <v>120.34506318725165</v>
      </c>
      <c r="D58" s="457">
        <v>172.77163213964289</v>
      </c>
      <c r="E58" s="457">
        <v>125.42131080273417</v>
      </c>
      <c r="F58" s="457">
        <v>86.990508374900671</v>
      </c>
      <c r="G58" s="457">
        <v>113.93011403422418</v>
      </c>
      <c r="H58" s="457">
        <v>107.42270905482155</v>
      </c>
      <c r="I58" s="457">
        <v>103.74234181481366</v>
      </c>
      <c r="J58" s="457">
        <v>180.8327937010433</v>
      </c>
      <c r="K58" s="457">
        <v>181.21962192427378</v>
      </c>
      <c r="L58" s="457">
        <v>150.31897245838536</v>
      </c>
      <c r="M58" s="457" t="s">
        <v>93</v>
      </c>
      <c r="N58" s="457" t="s">
        <v>93</v>
      </c>
      <c r="O58" s="457" t="s">
        <v>93</v>
      </c>
      <c r="P58" s="257" t="s">
        <v>93</v>
      </c>
      <c r="Q58" s="257" t="s">
        <v>93</v>
      </c>
      <c r="R58" s="257" t="s">
        <v>93</v>
      </c>
      <c r="S58" s="257" t="s">
        <v>93</v>
      </c>
      <c r="T58" s="257" t="s">
        <v>93</v>
      </c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</row>
    <row r="59" spans="1:39">
      <c r="A59" s="37" t="s">
        <v>23</v>
      </c>
      <c r="B59" s="457">
        <v>169.22669126332272</v>
      </c>
      <c r="C59" s="457">
        <v>115.9029653478551</v>
      </c>
      <c r="D59" s="457">
        <v>160.8184437412896</v>
      </c>
      <c r="E59" s="457">
        <v>123.38773059515226</v>
      </c>
      <c r="F59" s="457">
        <v>83.467088054996779</v>
      </c>
      <c r="G59" s="457">
        <v>110.26690948031093</v>
      </c>
      <c r="H59" s="457">
        <v>106.95270191709947</v>
      </c>
      <c r="I59" s="457">
        <v>102.68663718509399</v>
      </c>
      <c r="J59" s="457">
        <v>179.9937208577889</v>
      </c>
      <c r="K59" s="457">
        <v>172.78113136586714</v>
      </c>
      <c r="L59" s="457">
        <v>150.39980984441524</v>
      </c>
      <c r="M59" s="457" t="s">
        <v>93</v>
      </c>
      <c r="N59" s="457" t="s">
        <v>93</v>
      </c>
      <c r="O59" s="457" t="s">
        <v>93</v>
      </c>
      <c r="P59" s="257" t="s">
        <v>93</v>
      </c>
      <c r="Q59" s="257" t="s">
        <v>93</v>
      </c>
      <c r="R59" s="257" t="s">
        <v>93</v>
      </c>
      <c r="S59" s="257" t="s">
        <v>93</v>
      </c>
      <c r="T59" s="257" t="s">
        <v>93</v>
      </c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</row>
    <row r="60" spans="1:39">
      <c r="A60" s="37" t="s">
        <v>24</v>
      </c>
      <c r="B60" s="457">
        <v>170.55060244746909</v>
      </c>
      <c r="C60" s="457">
        <v>117.31487557713969</v>
      </c>
      <c r="D60" s="457">
        <v>162.05471719847756</v>
      </c>
      <c r="E60" s="457">
        <v>122.05614043044839</v>
      </c>
      <c r="F60" s="457">
        <v>84.838726038864749</v>
      </c>
      <c r="G60" s="457">
        <v>112.27189335271488</v>
      </c>
      <c r="H60" s="457">
        <v>112.70728941341126</v>
      </c>
      <c r="I60" s="457">
        <v>103.36327451233099</v>
      </c>
      <c r="J60" s="457">
        <v>177.83038147307289</v>
      </c>
      <c r="K60" s="457">
        <v>169.95821540899033</v>
      </c>
      <c r="L60" s="457">
        <v>151.85203974123374</v>
      </c>
      <c r="M60" s="457" t="s">
        <v>93</v>
      </c>
      <c r="N60" s="457" t="s">
        <v>93</v>
      </c>
      <c r="O60" s="457" t="s">
        <v>93</v>
      </c>
      <c r="P60" s="257" t="s">
        <v>93</v>
      </c>
      <c r="Q60" s="257" t="s">
        <v>93</v>
      </c>
      <c r="R60" s="257" t="s">
        <v>93</v>
      </c>
      <c r="S60" s="257" t="s">
        <v>93</v>
      </c>
      <c r="T60" s="257" t="s">
        <v>93</v>
      </c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</row>
    <row r="61" spans="1:39">
      <c r="A61" s="37" t="s">
        <v>25</v>
      </c>
      <c r="B61" s="457">
        <v>170.0261016860741</v>
      </c>
      <c r="C61" s="457">
        <v>115.5054714112278</v>
      </c>
      <c r="D61" s="457">
        <v>159.9643236251307</v>
      </c>
      <c r="E61" s="457">
        <v>119.67444572125032</v>
      </c>
      <c r="F61" s="457">
        <v>85.268624335356762</v>
      </c>
      <c r="G61" s="457">
        <v>119.90860603928071</v>
      </c>
      <c r="H61" s="457">
        <v>113.45685854142656</v>
      </c>
      <c r="I61" s="457">
        <v>103.35814375390453</v>
      </c>
      <c r="J61" s="457">
        <v>177.93000758704585</v>
      </c>
      <c r="K61" s="457">
        <v>166.55033902443768</v>
      </c>
      <c r="L61" s="457">
        <v>151.2336224168638</v>
      </c>
      <c r="M61" s="457" t="s">
        <v>93</v>
      </c>
      <c r="N61" s="457" t="s">
        <v>93</v>
      </c>
      <c r="O61" s="457" t="s">
        <v>93</v>
      </c>
      <c r="P61" s="257" t="s">
        <v>93</v>
      </c>
      <c r="Q61" s="257" t="s">
        <v>93</v>
      </c>
      <c r="R61" s="257" t="s">
        <v>93</v>
      </c>
      <c r="S61" s="257" t="s">
        <v>93</v>
      </c>
      <c r="T61" s="257" t="s">
        <v>93</v>
      </c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</row>
    <row r="62" spans="1:39">
      <c r="A62" s="37" t="s">
        <v>26</v>
      </c>
      <c r="B62" s="457">
        <v>170.48483960171288</v>
      </c>
      <c r="C62" s="457">
        <v>113.71379511561884</v>
      </c>
      <c r="D62" s="457">
        <v>162.6640077594231</v>
      </c>
      <c r="E62" s="457">
        <v>120.13217989972715</v>
      </c>
      <c r="F62" s="457">
        <v>83.412160184600125</v>
      </c>
      <c r="G62" s="457">
        <v>124.26056559999785</v>
      </c>
      <c r="H62" s="457">
        <v>111.27602880843646</v>
      </c>
      <c r="I62" s="457">
        <v>103.48908979310281</v>
      </c>
      <c r="J62" s="457">
        <v>172.47896997615825</v>
      </c>
      <c r="K62" s="457">
        <v>165.09813793866257</v>
      </c>
      <c r="L62" s="457">
        <v>151.25591787618876</v>
      </c>
      <c r="M62" s="457" t="s">
        <v>93</v>
      </c>
      <c r="N62" s="457" t="s">
        <v>93</v>
      </c>
      <c r="O62" s="457" t="s">
        <v>93</v>
      </c>
      <c r="P62" s="257" t="s">
        <v>93</v>
      </c>
      <c r="Q62" s="257" t="s">
        <v>93</v>
      </c>
      <c r="R62" s="257" t="s">
        <v>93</v>
      </c>
      <c r="S62" s="257" t="s">
        <v>93</v>
      </c>
      <c r="T62" s="257" t="s">
        <v>93</v>
      </c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</row>
    <row r="63" spans="1:39">
      <c r="A63" s="37" t="s">
        <v>27</v>
      </c>
      <c r="B63" s="457">
        <v>170.63905488047737</v>
      </c>
      <c r="C63" s="457">
        <v>111.90214760475918</v>
      </c>
      <c r="D63" s="457">
        <v>164.24028127452456</v>
      </c>
      <c r="E63" s="457">
        <v>116.30915080062</v>
      </c>
      <c r="F63" s="457">
        <v>80.137324646891074</v>
      </c>
      <c r="G63" s="457">
        <v>119.32598806247775</v>
      </c>
      <c r="H63" s="457">
        <v>108.88588986360207</v>
      </c>
      <c r="I63" s="457">
        <v>103.41544352934717</v>
      </c>
      <c r="J63" s="457">
        <v>170.22443210349965</v>
      </c>
      <c r="K63" s="457">
        <v>163.69407225227675</v>
      </c>
      <c r="L63" s="457">
        <v>151.80459407250808</v>
      </c>
      <c r="M63" s="457" t="s">
        <v>93</v>
      </c>
      <c r="N63" s="457" t="s">
        <v>93</v>
      </c>
      <c r="O63" s="457" t="s">
        <v>93</v>
      </c>
      <c r="P63" s="257" t="s">
        <v>93</v>
      </c>
      <c r="Q63" s="257" t="s">
        <v>93</v>
      </c>
      <c r="R63" s="257" t="s">
        <v>93</v>
      </c>
      <c r="S63" s="257" t="s">
        <v>93</v>
      </c>
      <c r="T63" s="257" t="s">
        <v>93</v>
      </c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</row>
    <row r="64" spans="1:39">
      <c r="A64" s="37" t="s">
        <v>28</v>
      </c>
      <c r="B64" s="457">
        <v>172.23852705127615</v>
      </c>
      <c r="C64" s="457">
        <v>112.41151164040276</v>
      </c>
      <c r="D64" s="457">
        <v>161.76735006690669</v>
      </c>
      <c r="E64" s="457">
        <v>117.67600591232474</v>
      </c>
      <c r="F64" s="457">
        <v>79.34405150775163</v>
      </c>
      <c r="G64" s="457">
        <v>117.9853909679769</v>
      </c>
      <c r="H64" s="457">
        <v>110.36854889633246</v>
      </c>
      <c r="I64" s="457">
        <v>103.55998239054145</v>
      </c>
      <c r="J64" s="457">
        <v>170.79802999725004</v>
      </c>
      <c r="K64" s="457">
        <v>167.45637965751683</v>
      </c>
      <c r="L64" s="457">
        <v>153.38856565207382</v>
      </c>
      <c r="M64" s="457" t="s">
        <v>93</v>
      </c>
      <c r="N64" s="457" t="s">
        <v>93</v>
      </c>
      <c r="O64" s="457" t="s">
        <v>93</v>
      </c>
      <c r="P64" s="257" t="s">
        <v>93</v>
      </c>
      <c r="Q64" s="257" t="s">
        <v>93</v>
      </c>
      <c r="R64" s="257" t="s">
        <v>93</v>
      </c>
      <c r="S64" s="257" t="s">
        <v>93</v>
      </c>
      <c r="T64" s="257" t="s">
        <v>93</v>
      </c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</row>
    <row r="65" spans="1:39">
      <c r="A65" s="37" t="s">
        <v>29</v>
      </c>
      <c r="B65" s="457">
        <v>173.29021031697829</v>
      </c>
      <c r="C65" s="457">
        <v>115.49676247373048</v>
      </c>
      <c r="D65" s="457">
        <v>166.02372816853907</v>
      </c>
      <c r="E65" s="457">
        <v>119.60823634853982</v>
      </c>
      <c r="F65" s="457">
        <v>82.754883896832524</v>
      </c>
      <c r="G65" s="457">
        <v>115.92980617634367</v>
      </c>
      <c r="H65" s="457">
        <v>111.34547081955778</v>
      </c>
      <c r="I65" s="457">
        <v>103.06762265688049</v>
      </c>
      <c r="J65" s="457">
        <v>173.47903488537338</v>
      </c>
      <c r="K65" s="457">
        <v>169.53706587770111</v>
      </c>
      <c r="L65" s="457">
        <v>152.83092816070933</v>
      </c>
      <c r="M65" s="457" t="s">
        <v>93</v>
      </c>
      <c r="N65" s="457" t="s">
        <v>93</v>
      </c>
      <c r="O65" s="457" t="s">
        <v>93</v>
      </c>
      <c r="P65" s="257" t="s">
        <v>93</v>
      </c>
      <c r="Q65" s="257" t="s">
        <v>93</v>
      </c>
      <c r="R65" s="257" t="s">
        <v>93</v>
      </c>
      <c r="S65" s="257" t="s">
        <v>93</v>
      </c>
      <c r="T65" s="257" t="s">
        <v>93</v>
      </c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</row>
    <row r="66" spans="1:39">
      <c r="A66" s="37" t="s">
        <v>48</v>
      </c>
      <c r="B66" s="457"/>
      <c r="C66" s="457"/>
      <c r="D66" s="457"/>
      <c r="E66" s="457"/>
      <c r="F66" s="457"/>
      <c r="G66" s="457"/>
      <c r="H66" s="457"/>
      <c r="I66" s="457"/>
      <c r="J66" s="457"/>
      <c r="K66" s="457"/>
      <c r="L66" s="457"/>
      <c r="M66" s="457"/>
      <c r="N66" s="457"/>
      <c r="O66" s="457"/>
      <c r="P66" s="457"/>
      <c r="Q66" s="457"/>
      <c r="R66" s="457"/>
      <c r="S66" s="457"/>
      <c r="T66" s="457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</row>
    <row r="67" spans="1:39">
      <c r="A67" s="37" t="s">
        <v>18</v>
      </c>
      <c r="B67" s="457">
        <v>173.7278333748371</v>
      </c>
      <c r="C67" s="457">
        <v>119.59006298444659</v>
      </c>
      <c r="D67" s="457">
        <v>167.86294165448223</v>
      </c>
      <c r="E67" s="457">
        <v>115.15277092677309</v>
      </c>
      <c r="F67" s="457">
        <v>81.477848211979122</v>
      </c>
      <c r="G67" s="457">
        <v>115.373688186856</v>
      </c>
      <c r="H67" s="457">
        <v>112.7238957016578</v>
      </c>
      <c r="I67" s="457">
        <v>101.68264230064264</v>
      </c>
      <c r="J67" s="457">
        <v>177.27579745016035</v>
      </c>
      <c r="K67" s="457">
        <v>168.0874359042742</v>
      </c>
      <c r="L67" s="457">
        <v>152.58587737664345</v>
      </c>
      <c r="M67" s="457">
        <v>100</v>
      </c>
      <c r="N67" s="457" t="s">
        <v>93</v>
      </c>
      <c r="O67" s="457" t="s">
        <v>93</v>
      </c>
      <c r="P67" s="257" t="s">
        <v>93</v>
      </c>
      <c r="Q67" s="257" t="s">
        <v>93</v>
      </c>
      <c r="R67" s="257" t="s">
        <v>93</v>
      </c>
      <c r="S67" s="257" t="s">
        <v>93</v>
      </c>
      <c r="T67" s="257" t="s">
        <v>93</v>
      </c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</row>
    <row r="68" spans="1:39">
      <c r="A68" s="37" t="s">
        <v>19</v>
      </c>
      <c r="B68" s="457">
        <v>175.55438920498193</v>
      </c>
      <c r="C68" s="457">
        <v>126.69769827032985</v>
      </c>
      <c r="D68" s="457">
        <v>178.76701359710609</v>
      </c>
      <c r="E68" s="457">
        <v>120.36005824486546</v>
      </c>
      <c r="F68" s="457">
        <v>81.885319131608568</v>
      </c>
      <c r="G68" s="457">
        <v>113.39353862604939</v>
      </c>
      <c r="H68" s="457">
        <v>113.62217968668364</v>
      </c>
      <c r="I68" s="457">
        <v>100.43753738195774</v>
      </c>
      <c r="J68" s="457">
        <v>175.64228262502823</v>
      </c>
      <c r="K68" s="457">
        <v>171.92519770132742</v>
      </c>
      <c r="L68" s="457">
        <v>152.3568857792213</v>
      </c>
      <c r="M68" s="457">
        <v>103.17589413090907</v>
      </c>
      <c r="N68" s="457" t="s">
        <v>93</v>
      </c>
      <c r="O68" s="457" t="s">
        <v>93</v>
      </c>
      <c r="P68" s="257" t="s">
        <v>93</v>
      </c>
      <c r="Q68" s="257" t="s">
        <v>93</v>
      </c>
      <c r="R68" s="257" t="s">
        <v>93</v>
      </c>
      <c r="S68" s="257" t="s">
        <v>93</v>
      </c>
      <c r="T68" s="257" t="s">
        <v>93</v>
      </c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</row>
    <row r="69" spans="1:39">
      <c r="A69" s="37" t="s">
        <v>20</v>
      </c>
      <c r="B69" s="457">
        <v>177.76030409132008</v>
      </c>
      <c r="C69" s="457">
        <v>126.96504960142063</v>
      </c>
      <c r="D69" s="457">
        <v>182.00501436307152</v>
      </c>
      <c r="E69" s="457">
        <v>120.37216869447771</v>
      </c>
      <c r="F69" s="457">
        <v>81.23866499272097</v>
      </c>
      <c r="G69" s="457">
        <v>113.77556572380249</v>
      </c>
      <c r="H69" s="457">
        <v>115.05240450445413</v>
      </c>
      <c r="I69" s="457">
        <v>101.79980067943201</v>
      </c>
      <c r="J69" s="457">
        <v>179.55922828035233</v>
      </c>
      <c r="K69" s="457">
        <v>173.91356667999392</v>
      </c>
      <c r="L69" s="457">
        <v>155.37323740082442</v>
      </c>
      <c r="M69" s="457">
        <v>104.27882912965666</v>
      </c>
      <c r="N69" s="457" t="s">
        <v>93</v>
      </c>
      <c r="O69" s="457" t="s">
        <v>93</v>
      </c>
      <c r="P69" s="257" t="s">
        <v>93</v>
      </c>
      <c r="Q69" s="257" t="s">
        <v>93</v>
      </c>
      <c r="R69" s="257" t="s">
        <v>93</v>
      </c>
      <c r="S69" s="257" t="s">
        <v>93</v>
      </c>
      <c r="T69" s="257" t="s">
        <v>93</v>
      </c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</row>
    <row r="70" spans="1:39">
      <c r="A70" s="37" t="s">
        <v>21</v>
      </c>
      <c r="B70" s="457">
        <v>177.92481485637737</v>
      </c>
      <c r="C70" s="457">
        <v>128.2152068108436</v>
      </c>
      <c r="D70" s="457">
        <v>180.94057106277293</v>
      </c>
      <c r="E70" s="457">
        <v>116.55996304637684</v>
      </c>
      <c r="F70" s="457">
        <v>80.147050282567164</v>
      </c>
      <c r="G70" s="457">
        <v>113.4054804343823</v>
      </c>
      <c r="H70" s="457">
        <v>116.5836526177242</v>
      </c>
      <c r="I70" s="457">
        <v>100.8439655212992</v>
      </c>
      <c r="J70" s="457">
        <v>185.72485107805807</v>
      </c>
      <c r="K70" s="457">
        <v>170.71728425110868</v>
      </c>
      <c r="L70" s="457">
        <v>155.0375613679029</v>
      </c>
      <c r="M70" s="457">
        <v>104.10378783928645</v>
      </c>
      <c r="N70" s="457" t="s">
        <v>93</v>
      </c>
      <c r="O70" s="457" t="s">
        <v>93</v>
      </c>
      <c r="P70" s="257" t="s">
        <v>93</v>
      </c>
      <c r="Q70" s="257" t="s">
        <v>93</v>
      </c>
      <c r="R70" s="257" t="s">
        <v>93</v>
      </c>
      <c r="S70" s="257" t="s">
        <v>93</v>
      </c>
      <c r="T70" s="257" t="s">
        <v>93</v>
      </c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</row>
    <row r="71" spans="1:39">
      <c r="A71" s="37" t="s">
        <v>22</v>
      </c>
      <c r="B71" s="457">
        <v>177.99464275501137</v>
      </c>
      <c r="C71" s="457">
        <v>136.38791812458661</v>
      </c>
      <c r="D71" s="457">
        <v>185.50603204853212</v>
      </c>
      <c r="E71" s="457">
        <v>121.34479123653746</v>
      </c>
      <c r="F71" s="457">
        <v>83.076251058666145</v>
      </c>
      <c r="G71" s="457">
        <v>113.94897325465932</v>
      </c>
      <c r="H71" s="457">
        <v>118.57376079618304</v>
      </c>
      <c r="I71" s="457">
        <v>100.05109978468725</v>
      </c>
      <c r="J71" s="457">
        <v>183.31980895071774</v>
      </c>
      <c r="K71" s="457">
        <v>173.44463872264524</v>
      </c>
      <c r="L71" s="457">
        <v>154.82975682828766</v>
      </c>
      <c r="M71" s="457">
        <v>103.64905073300133</v>
      </c>
      <c r="N71" s="457" t="s">
        <v>93</v>
      </c>
      <c r="O71" s="457" t="s">
        <v>93</v>
      </c>
      <c r="P71" s="257" t="s">
        <v>93</v>
      </c>
      <c r="Q71" s="257" t="s">
        <v>93</v>
      </c>
      <c r="R71" s="257" t="s">
        <v>93</v>
      </c>
      <c r="S71" s="257" t="s">
        <v>93</v>
      </c>
      <c r="T71" s="257" t="s">
        <v>93</v>
      </c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</row>
    <row r="72" spans="1:39">
      <c r="A72" s="37" t="s">
        <v>23</v>
      </c>
      <c r="B72" s="457">
        <v>177.0230064445233</v>
      </c>
      <c r="C72" s="457">
        <v>139.65995063248084</v>
      </c>
      <c r="D72" s="457">
        <v>183.59137609073758</v>
      </c>
      <c r="E72" s="457">
        <v>123.30314889282897</v>
      </c>
      <c r="F72" s="457">
        <v>84.250988008621377</v>
      </c>
      <c r="G72" s="457">
        <v>113.59502244676379</v>
      </c>
      <c r="H72" s="457">
        <v>122.92863296676664</v>
      </c>
      <c r="I72" s="457">
        <v>99.456297275669584</v>
      </c>
      <c r="J72" s="457">
        <v>180.5441804015789</v>
      </c>
      <c r="K72" s="457">
        <v>174.73283683005931</v>
      </c>
      <c r="L72" s="457">
        <v>154.74981851795113</v>
      </c>
      <c r="M72" s="457">
        <v>103.73857543932817</v>
      </c>
      <c r="N72" s="457" t="s">
        <v>93</v>
      </c>
      <c r="O72" s="457" t="s">
        <v>93</v>
      </c>
      <c r="P72" s="257" t="s">
        <v>93</v>
      </c>
      <c r="Q72" s="257" t="s">
        <v>93</v>
      </c>
      <c r="R72" s="257" t="s">
        <v>93</v>
      </c>
      <c r="S72" s="257" t="s">
        <v>93</v>
      </c>
      <c r="T72" s="257" t="s">
        <v>93</v>
      </c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</row>
    <row r="73" spans="1:39">
      <c r="A73" s="37" t="s">
        <v>24</v>
      </c>
      <c r="B73" s="457">
        <v>176.21600463197569</v>
      </c>
      <c r="C73" s="457">
        <v>133.86973069528551</v>
      </c>
      <c r="D73" s="457">
        <v>177.11110387561465</v>
      </c>
      <c r="E73" s="457">
        <v>120.81812944237215</v>
      </c>
      <c r="F73" s="457">
        <v>82.177164301890755</v>
      </c>
      <c r="G73" s="457">
        <v>113.08078476615167</v>
      </c>
      <c r="H73" s="457">
        <v>122.18037763300691</v>
      </c>
      <c r="I73" s="457">
        <v>99.408492553102079</v>
      </c>
      <c r="J73" s="457">
        <v>174.47106972768881</v>
      </c>
      <c r="K73" s="457">
        <v>173.90655297822613</v>
      </c>
      <c r="L73" s="457">
        <v>153.20945190120622</v>
      </c>
      <c r="M73" s="457">
        <v>102.74027320225775</v>
      </c>
      <c r="N73" s="457" t="s">
        <v>93</v>
      </c>
      <c r="O73" s="457" t="s">
        <v>93</v>
      </c>
      <c r="P73" s="257" t="s">
        <v>93</v>
      </c>
      <c r="Q73" s="257" t="s">
        <v>93</v>
      </c>
      <c r="R73" s="257" t="s">
        <v>93</v>
      </c>
      <c r="S73" s="257" t="s">
        <v>93</v>
      </c>
      <c r="T73" s="257" t="s">
        <v>93</v>
      </c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</row>
    <row r="74" spans="1:39">
      <c r="A74" s="37" t="s">
        <v>25</v>
      </c>
      <c r="B74" s="457">
        <v>176.92994748383535</v>
      </c>
      <c r="C74" s="457">
        <v>133.04943277519092</v>
      </c>
      <c r="D74" s="457">
        <v>173.13265164737911</v>
      </c>
      <c r="E74" s="457">
        <v>118.84240703291128</v>
      </c>
      <c r="F74" s="457">
        <v>81.543668810468247</v>
      </c>
      <c r="G74" s="457">
        <v>112.03491065279181</v>
      </c>
      <c r="H74" s="457">
        <v>120.01310979593552</v>
      </c>
      <c r="I74" s="457">
        <v>99.993581746664717</v>
      </c>
      <c r="J74" s="457">
        <v>170.94786155106902</v>
      </c>
      <c r="K74" s="457">
        <v>171.2080320951203</v>
      </c>
      <c r="L74" s="457">
        <v>153.4579969868135</v>
      </c>
      <c r="M74" s="457">
        <v>102.55482176434415</v>
      </c>
      <c r="N74" s="457" t="s">
        <v>93</v>
      </c>
      <c r="O74" s="457" t="s">
        <v>93</v>
      </c>
      <c r="P74" s="257" t="s">
        <v>93</v>
      </c>
      <c r="Q74" s="257" t="s">
        <v>93</v>
      </c>
      <c r="R74" s="257" t="s">
        <v>93</v>
      </c>
      <c r="S74" s="257" t="s">
        <v>93</v>
      </c>
      <c r="T74" s="257" t="s">
        <v>93</v>
      </c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</row>
    <row r="75" spans="1:39">
      <c r="A75" s="37" t="s">
        <v>26</v>
      </c>
      <c r="B75" s="457">
        <v>178.48432620954895</v>
      </c>
      <c r="C75" s="457">
        <v>132.80635984551992</v>
      </c>
      <c r="D75" s="457">
        <v>176.04964257631488</v>
      </c>
      <c r="E75" s="457">
        <v>117.40013467861644</v>
      </c>
      <c r="F75" s="457">
        <v>82.990048081178841</v>
      </c>
      <c r="G75" s="457">
        <v>110.40592571629071</v>
      </c>
      <c r="H75" s="457">
        <v>117.14359722962668</v>
      </c>
      <c r="I75" s="457">
        <v>100.39480793041777</v>
      </c>
      <c r="J75" s="457">
        <v>169.9155142537906</v>
      </c>
      <c r="K75" s="457">
        <v>170.08848101348616</v>
      </c>
      <c r="L75" s="457">
        <v>153.33103642965426</v>
      </c>
      <c r="M75" s="457">
        <v>103.01931304904144</v>
      </c>
      <c r="N75" s="457" t="s">
        <v>93</v>
      </c>
      <c r="O75" s="457" t="s">
        <v>93</v>
      </c>
      <c r="P75" s="257" t="s">
        <v>93</v>
      </c>
      <c r="Q75" s="257" t="s">
        <v>93</v>
      </c>
      <c r="R75" s="257" t="s">
        <v>93</v>
      </c>
      <c r="S75" s="257" t="s">
        <v>93</v>
      </c>
      <c r="T75" s="257" t="s">
        <v>93</v>
      </c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</row>
    <row r="76" spans="1:39">
      <c r="A76" s="37" t="s">
        <v>27</v>
      </c>
      <c r="B76" s="457">
        <v>180.18357238477779</v>
      </c>
      <c r="C76" s="457">
        <v>125.55837369107881</v>
      </c>
      <c r="D76" s="457">
        <v>174.21431215893733</v>
      </c>
      <c r="E76" s="457">
        <v>111.08598025946088</v>
      </c>
      <c r="F76" s="457">
        <v>82.064362576696809</v>
      </c>
      <c r="G76" s="457">
        <v>111.42668108749622</v>
      </c>
      <c r="H76" s="457">
        <v>113.73722889582903</v>
      </c>
      <c r="I76" s="457">
        <v>100.78612229513152</v>
      </c>
      <c r="J76" s="457">
        <v>165.97430947666987</v>
      </c>
      <c r="K76" s="457">
        <v>165.70732200641044</v>
      </c>
      <c r="L76" s="457">
        <v>152.09434631421442</v>
      </c>
      <c r="M76" s="457">
        <v>102.34444468757164</v>
      </c>
      <c r="N76" s="457" t="s">
        <v>93</v>
      </c>
      <c r="O76" s="457" t="s">
        <v>93</v>
      </c>
      <c r="P76" s="257" t="s">
        <v>93</v>
      </c>
      <c r="Q76" s="257" t="s">
        <v>93</v>
      </c>
      <c r="R76" s="257" t="s">
        <v>93</v>
      </c>
      <c r="S76" s="257" t="s">
        <v>93</v>
      </c>
      <c r="T76" s="257" t="s">
        <v>93</v>
      </c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</row>
    <row r="77" spans="1:39">
      <c r="A77" s="37" t="s">
        <v>28</v>
      </c>
      <c r="B77" s="457">
        <v>183.55708357282711</v>
      </c>
      <c r="C77" s="457">
        <v>129.68399803140451</v>
      </c>
      <c r="D77" s="457">
        <v>175.27002769446688</v>
      </c>
      <c r="E77" s="457">
        <v>114.31520055313658</v>
      </c>
      <c r="F77" s="457">
        <v>84.803319370847589</v>
      </c>
      <c r="G77" s="457">
        <v>113.44019068951179</v>
      </c>
      <c r="H77" s="457">
        <v>112.79938923606981</v>
      </c>
      <c r="I77" s="457">
        <v>101.9066031234527</v>
      </c>
      <c r="J77" s="457">
        <v>170.98160593133954</v>
      </c>
      <c r="K77" s="457">
        <v>170.08000401656062</v>
      </c>
      <c r="L77" s="457">
        <v>153.19961921084442</v>
      </c>
      <c r="M77" s="457">
        <v>104.32188972991592</v>
      </c>
      <c r="N77" s="457" t="s">
        <v>93</v>
      </c>
      <c r="O77" s="457" t="s">
        <v>93</v>
      </c>
      <c r="P77" s="257" t="s">
        <v>93</v>
      </c>
      <c r="Q77" s="257" t="s">
        <v>93</v>
      </c>
      <c r="R77" s="257" t="s">
        <v>93</v>
      </c>
      <c r="S77" s="257" t="s">
        <v>93</v>
      </c>
      <c r="T77" s="257" t="s">
        <v>93</v>
      </c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</row>
    <row r="78" spans="1:39">
      <c r="A78" s="37" t="s">
        <v>29</v>
      </c>
      <c r="B78" s="457">
        <v>185.37306737362005</v>
      </c>
      <c r="C78" s="457">
        <v>135.65302410506433</v>
      </c>
      <c r="D78" s="457">
        <v>180.59274523848558</v>
      </c>
      <c r="E78" s="457">
        <v>122.9193787348181</v>
      </c>
      <c r="F78" s="457">
        <v>84.759354636939463</v>
      </c>
      <c r="G78" s="457">
        <v>114.40594785045847</v>
      </c>
      <c r="H78" s="457">
        <v>113.91190675741419</v>
      </c>
      <c r="I78" s="457">
        <v>102.64423303243089</v>
      </c>
      <c r="J78" s="457">
        <v>176.03544095042145</v>
      </c>
      <c r="K78" s="457">
        <v>170.28841989862653</v>
      </c>
      <c r="L78" s="457">
        <v>154.33612305717864</v>
      </c>
      <c r="M78" s="457">
        <v>104.51085715654476</v>
      </c>
      <c r="N78" s="457" t="s">
        <v>93</v>
      </c>
      <c r="O78" s="457" t="s">
        <v>93</v>
      </c>
      <c r="P78" s="257" t="s">
        <v>93</v>
      </c>
      <c r="Q78" s="257" t="s">
        <v>93</v>
      </c>
      <c r="R78" s="257" t="s">
        <v>93</v>
      </c>
      <c r="S78" s="257" t="s">
        <v>93</v>
      </c>
      <c r="T78" s="257" t="s">
        <v>93</v>
      </c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</row>
    <row r="79" spans="1:39">
      <c r="A79" s="37" t="s">
        <v>1024</v>
      </c>
      <c r="B79" s="457"/>
      <c r="C79" s="457"/>
      <c r="D79" s="457"/>
      <c r="E79" s="457"/>
      <c r="F79" s="457"/>
      <c r="G79" s="457"/>
      <c r="H79" s="457"/>
      <c r="I79" s="457"/>
      <c r="J79" s="457"/>
      <c r="K79" s="457"/>
      <c r="L79" s="457"/>
      <c r="M79" s="457"/>
      <c r="N79" s="457"/>
      <c r="O79" s="457"/>
      <c r="P79" s="457"/>
      <c r="Q79" s="457"/>
      <c r="R79" s="457"/>
      <c r="S79" s="457"/>
      <c r="T79" s="457"/>
    </row>
    <row r="80" spans="1:39">
      <c r="A80" s="37" t="s">
        <v>18</v>
      </c>
      <c r="B80" s="457">
        <v>186.5118458476129</v>
      </c>
      <c r="C80" s="457">
        <v>136.64843336206275</v>
      </c>
      <c r="D80" s="457">
        <v>180.58501243868403</v>
      </c>
      <c r="E80" s="457">
        <v>127.13251021204749</v>
      </c>
      <c r="F80" s="457">
        <v>81.730030497344487</v>
      </c>
      <c r="G80" s="457">
        <v>114.2131206066298</v>
      </c>
      <c r="H80" s="457">
        <v>114.85288549015154</v>
      </c>
      <c r="I80" s="457">
        <v>101.7157409931923</v>
      </c>
      <c r="J80" s="457">
        <v>176.49222402503824</v>
      </c>
      <c r="K80" s="457">
        <v>170.54985333772532</v>
      </c>
      <c r="L80" s="457">
        <v>153.40856841806897</v>
      </c>
      <c r="M80" s="457">
        <v>104.06409984877999</v>
      </c>
      <c r="N80" s="457">
        <v>100</v>
      </c>
      <c r="O80" s="457" t="s">
        <v>93</v>
      </c>
      <c r="P80" s="257" t="s">
        <v>93</v>
      </c>
      <c r="Q80" s="257" t="s">
        <v>93</v>
      </c>
      <c r="R80" s="257" t="s">
        <v>93</v>
      </c>
      <c r="S80" s="257" t="s">
        <v>93</v>
      </c>
      <c r="T80" s="257" t="s">
        <v>93</v>
      </c>
    </row>
    <row r="81" spans="1:20">
      <c r="A81" s="37" t="s">
        <v>19</v>
      </c>
      <c r="B81" s="457">
        <v>190.25225703501005</v>
      </c>
      <c r="C81" s="457">
        <v>136.2854778231594</v>
      </c>
      <c r="D81" s="457">
        <v>179.46533813768011</v>
      </c>
      <c r="E81" s="457">
        <v>131.62556738595961</v>
      </c>
      <c r="F81" s="457">
        <v>80.749861890087175</v>
      </c>
      <c r="G81" s="457">
        <v>116.0104709398607</v>
      </c>
      <c r="H81" s="457">
        <v>113.01875787071056</v>
      </c>
      <c r="I81" s="457">
        <v>102.25772162990258</v>
      </c>
      <c r="J81" s="457">
        <v>181.12752839836767</v>
      </c>
      <c r="K81" s="457">
        <v>178.11197825469446</v>
      </c>
      <c r="L81" s="457">
        <v>154.84672130335622</v>
      </c>
      <c r="M81" s="457">
        <v>104.04965179240305</v>
      </c>
      <c r="N81" s="457">
        <v>101.47922246502934</v>
      </c>
      <c r="O81" s="457" t="s">
        <v>93</v>
      </c>
      <c r="P81" s="257" t="s">
        <v>93</v>
      </c>
      <c r="Q81" s="257" t="s">
        <v>93</v>
      </c>
      <c r="R81" s="257" t="s">
        <v>93</v>
      </c>
      <c r="S81" s="257" t="s">
        <v>93</v>
      </c>
      <c r="T81" s="257" t="s">
        <v>93</v>
      </c>
    </row>
    <row r="82" spans="1:20">
      <c r="A82" s="37" t="s">
        <v>20</v>
      </c>
      <c r="B82" s="457">
        <v>191.88282636001242</v>
      </c>
      <c r="C82" s="457">
        <v>133.16551321181345</v>
      </c>
      <c r="D82" s="457">
        <v>181.1933938035676</v>
      </c>
      <c r="E82" s="457">
        <v>132.45543414088189</v>
      </c>
      <c r="F82" s="457">
        <v>79.203423054681323</v>
      </c>
      <c r="G82" s="457">
        <v>115.98455320556704</v>
      </c>
      <c r="H82" s="457">
        <v>110.59656379539916</v>
      </c>
      <c r="I82" s="457">
        <v>102.67897980434476</v>
      </c>
      <c r="J82" s="457">
        <v>181.75145083913461</v>
      </c>
      <c r="K82" s="457">
        <v>175.73313760376786</v>
      </c>
      <c r="L82" s="457">
        <v>156.97447204976578</v>
      </c>
      <c r="M82" s="457">
        <v>103.75069510419645</v>
      </c>
      <c r="N82" s="457">
        <v>102.79044739564863</v>
      </c>
      <c r="O82" s="457" t="s">
        <v>93</v>
      </c>
      <c r="P82" s="257" t="s">
        <v>93</v>
      </c>
      <c r="Q82" s="257" t="s">
        <v>93</v>
      </c>
      <c r="R82" s="257" t="s">
        <v>93</v>
      </c>
      <c r="S82" s="257" t="s">
        <v>93</v>
      </c>
      <c r="T82" s="257" t="s">
        <v>93</v>
      </c>
    </row>
    <row r="83" spans="1:20">
      <c r="A83" s="37" t="s">
        <v>21</v>
      </c>
      <c r="B83" s="457">
        <v>190.84060186834529</v>
      </c>
      <c r="C83" s="457">
        <v>127.88671211679069</v>
      </c>
      <c r="D83" s="457">
        <v>176.84096916859522</v>
      </c>
      <c r="E83" s="457">
        <v>125.92630713261204</v>
      </c>
      <c r="F83" s="457">
        <v>77.652186271035404</v>
      </c>
      <c r="G83" s="457">
        <v>114.56056926190249</v>
      </c>
      <c r="H83" s="457">
        <v>107.35230962762866</v>
      </c>
      <c r="I83" s="457">
        <v>101.81384044667972</v>
      </c>
      <c r="J83" s="457">
        <v>183.77019759768442</v>
      </c>
      <c r="K83" s="457">
        <v>167.65393163158214</v>
      </c>
      <c r="L83" s="457">
        <v>155.62643206125648</v>
      </c>
      <c r="M83" s="457">
        <v>99.948455680649971</v>
      </c>
      <c r="N83" s="457">
        <v>99.19568920754898</v>
      </c>
      <c r="O83" s="457" t="s">
        <v>93</v>
      </c>
      <c r="P83" s="257" t="s">
        <v>93</v>
      </c>
      <c r="Q83" s="257" t="s">
        <v>93</v>
      </c>
      <c r="R83" s="257" t="s">
        <v>93</v>
      </c>
      <c r="S83" s="257" t="s">
        <v>93</v>
      </c>
      <c r="T83" s="257" t="s">
        <v>93</v>
      </c>
    </row>
    <row r="84" spans="1:20">
      <c r="A84" s="37" t="s">
        <v>22</v>
      </c>
      <c r="B84" s="457">
        <v>189.96911919246722</v>
      </c>
      <c r="C84" s="457">
        <v>128.27770656847076</v>
      </c>
      <c r="D84" s="457">
        <v>176.07497087311765</v>
      </c>
      <c r="E84" s="457">
        <v>126.55822155487373</v>
      </c>
      <c r="F84" s="457">
        <v>76.541461116071972</v>
      </c>
      <c r="G84" s="457">
        <v>113.52571909303255</v>
      </c>
      <c r="H84" s="457">
        <v>108.02174439277626</v>
      </c>
      <c r="I84" s="457">
        <v>101.12567755872188</v>
      </c>
      <c r="J84" s="457">
        <v>178.4108111040259</v>
      </c>
      <c r="K84" s="457">
        <v>167.90445402614915</v>
      </c>
      <c r="L84" s="457">
        <v>154.16675033706673</v>
      </c>
      <c r="M84" s="457">
        <v>96.936283956826699</v>
      </c>
      <c r="N84" s="457">
        <v>98.803059608385581</v>
      </c>
      <c r="O84" s="457" t="s">
        <v>93</v>
      </c>
      <c r="P84" s="257" t="s">
        <v>93</v>
      </c>
      <c r="Q84" s="257" t="s">
        <v>93</v>
      </c>
      <c r="R84" s="257" t="s">
        <v>93</v>
      </c>
      <c r="S84" s="257" t="s">
        <v>93</v>
      </c>
      <c r="T84" s="257" t="s">
        <v>93</v>
      </c>
    </row>
    <row r="85" spans="1:20">
      <c r="A85" s="37" t="s">
        <v>23</v>
      </c>
      <c r="B85" s="457">
        <v>189.22558708819273</v>
      </c>
      <c r="C85" s="457">
        <v>127.31316423721175</v>
      </c>
      <c r="D85" s="457">
        <v>176.55962742032122</v>
      </c>
      <c r="E85" s="457">
        <v>129.91295850074349</v>
      </c>
      <c r="F85" s="457">
        <v>76.156529317709541</v>
      </c>
      <c r="G85" s="457">
        <v>112.4953662727911</v>
      </c>
      <c r="H85" s="457">
        <v>109.97744021368875</v>
      </c>
      <c r="I85" s="457">
        <v>100.38996567375051</v>
      </c>
      <c r="J85" s="457">
        <v>176.11022326347648</v>
      </c>
      <c r="K85" s="457">
        <v>163.93137397002465</v>
      </c>
      <c r="L85" s="457">
        <v>152.53368658415511</v>
      </c>
      <c r="M85" s="457">
        <v>131.78981159663437</v>
      </c>
      <c r="N85" s="457">
        <v>97.746516838809711</v>
      </c>
      <c r="O85" s="457" t="s">
        <v>93</v>
      </c>
      <c r="P85" s="257" t="s">
        <v>93</v>
      </c>
      <c r="Q85" s="257" t="s">
        <v>93</v>
      </c>
      <c r="R85" s="257" t="s">
        <v>93</v>
      </c>
      <c r="S85" s="257" t="s">
        <v>93</v>
      </c>
      <c r="T85" s="257" t="s">
        <v>93</v>
      </c>
    </row>
    <row r="86" spans="1:20">
      <c r="A86" s="37" t="s">
        <v>24</v>
      </c>
      <c r="B86" s="457">
        <v>187.19736543056271</v>
      </c>
      <c r="C86" s="457">
        <v>126.96372449384489</v>
      </c>
      <c r="D86" s="457">
        <v>174.03615432831205</v>
      </c>
      <c r="E86" s="457">
        <v>143.22631490091314</v>
      </c>
      <c r="F86" s="457">
        <v>77.5674947014124</v>
      </c>
      <c r="G86" s="457">
        <v>113.45895514184156</v>
      </c>
      <c r="H86" s="457">
        <v>111.07486475631005</v>
      </c>
      <c r="I86" s="457">
        <v>100.29865237751224</v>
      </c>
      <c r="J86" s="457">
        <v>167.23483768619698</v>
      </c>
      <c r="K86" s="457">
        <v>168.8100505786839</v>
      </c>
      <c r="L86" s="457">
        <v>149.15351203580053</v>
      </c>
      <c r="M86" s="457">
        <v>127.87743519803431</v>
      </c>
      <c r="N86" s="457">
        <v>95.564269880447512</v>
      </c>
      <c r="O86" s="457" t="s">
        <v>93</v>
      </c>
      <c r="P86" s="257" t="s">
        <v>93</v>
      </c>
      <c r="Q86" s="257" t="s">
        <v>93</v>
      </c>
      <c r="R86" s="257" t="s">
        <v>93</v>
      </c>
      <c r="S86" s="257" t="s">
        <v>93</v>
      </c>
      <c r="T86" s="257" t="s">
        <v>93</v>
      </c>
    </row>
    <row r="87" spans="1:20">
      <c r="A87" s="37" t="s">
        <v>25</v>
      </c>
      <c r="B87" s="457">
        <v>187.66316547032221</v>
      </c>
      <c r="C87" s="457">
        <v>128.50891686629467</v>
      </c>
      <c r="D87" s="457">
        <v>174.27267629031078</v>
      </c>
      <c r="E87" s="457">
        <v>142.41761969443073</v>
      </c>
      <c r="F87" s="457">
        <v>78.693309579023648</v>
      </c>
      <c r="G87" s="457">
        <v>114.6216738442884</v>
      </c>
      <c r="H87" s="457">
        <v>110.50624940239889</v>
      </c>
      <c r="I87" s="457">
        <v>100.22538175516642</v>
      </c>
      <c r="J87" s="457">
        <v>168.69378327177361</v>
      </c>
      <c r="K87" s="457">
        <v>170.05194812522546</v>
      </c>
      <c r="L87" s="457">
        <v>149.96664480840266</v>
      </c>
      <c r="M87" s="457">
        <v>117.87743096988937</v>
      </c>
      <c r="N87" s="457">
        <v>95.870520366033801</v>
      </c>
      <c r="O87" s="457" t="s">
        <v>93</v>
      </c>
      <c r="P87" s="257" t="s">
        <v>93</v>
      </c>
      <c r="Q87" s="257" t="s">
        <v>93</v>
      </c>
      <c r="R87" s="257" t="s">
        <v>93</v>
      </c>
      <c r="S87" s="257" t="s">
        <v>93</v>
      </c>
      <c r="T87" s="257" t="s">
        <v>93</v>
      </c>
    </row>
    <row r="88" spans="1:20">
      <c r="A88" s="37" t="s">
        <v>26</v>
      </c>
      <c r="B88" s="457">
        <v>189.07692632369418</v>
      </c>
      <c r="C88" s="457">
        <v>133.62175900783942</v>
      </c>
      <c r="D88" s="457">
        <v>181.13007127896165</v>
      </c>
      <c r="E88" s="457">
        <v>145.35909162816344</v>
      </c>
      <c r="F88" s="457">
        <v>84.127050900139892</v>
      </c>
      <c r="G88" s="457">
        <v>115.76475470531412</v>
      </c>
      <c r="H88" s="457">
        <v>111.92073960489573</v>
      </c>
      <c r="I88" s="457">
        <v>101.40219788271541</v>
      </c>
      <c r="J88" s="457">
        <v>169.81035807641209</v>
      </c>
      <c r="K88" s="457">
        <v>178.50045007903199</v>
      </c>
      <c r="L88" s="457">
        <v>150.51112481842208</v>
      </c>
      <c r="M88" s="457">
        <v>110.13624124588594</v>
      </c>
      <c r="N88" s="457">
        <v>100.35340162625349</v>
      </c>
      <c r="O88" s="457" t="s">
        <v>93</v>
      </c>
      <c r="P88" s="257" t="s">
        <v>93</v>
      </c>
      <c r="Q88" s="257" t="s">
        <v>93</v>
      </c>
      <c r="R88" s="257" t="s">
        <v>93</v>
      </c>
      <c r="S88" s="257" t="s">
        <v>93</v>
      </c>
      <c r="T88" s="257" t="s">
        <v>93</v>
      </c>
    </row>
    <row r="89" spans="1:20">
      <c r="A89" s="37" t="s">
        <v>27</v>
      </c>
      <c r="B89" s="457">
        <v>189.29061645222299</v>
      </c>
      <c r="C89" s="457">
        <v>134.22509462773985</v>
      </c>
      <c r="D89" s="457">
        <v>181.77832054799489</v>
      </c>
      <c r="E89" s="457">
        <v>144.0618473800175</v>
      </c>
      <c r="F89" s="457">
        <v>85.957161002703344</v>
      </c>
      <c r="G89" s="457">
        <v>115.84545626292919</v>
      </c>
      <c r="H89" s="457">
        <v>111.88869970870232</v>
      </c>
      <c r="I89" s="457">
        <v>101.73380784356578</v>
      </c>
      <c r="J89" s="457">
        <v>169.36737846847581</v>
      </c>
      <c r="K89" s="457">
        <v>177.87959905811013</v>
      </c>
      <c r="L89" s="457">
        <v>149.85723369980042</v>
      </c>
      <c r="M89" s="457">
        <v>80.464286468474242</v>
      </c>
      <c r="N89" s="457">
        <v>103.96379040552387</v>
      </c>
      <c r="O89" s="457" t="s">
        <v>93</v>
      </c>
      <c r="P89" s="257" t="s">
        <v>93</v>
      </c>
      <c r="Q89" s="257" t="s">
        <v>93</v>
      </c>
      <c r="R89" s="257" t="s">
        <v>93</v>
      </c>
      <c r="S89" s="257" t="s">
        <v>93</v>
      </c>
      <c r="T89" s="257" t="s">
        <v>93</v>
      </c>
    </row>
    <row r="90" spans="1:20">
      <c r="A90" s="37" t="s">
        <v>28</v>
      </c>
      <c r="B90" s="457">
        <v>191.3538535890151</v>
      </c>
      <c r="C90" s="457">
        <v>136.9496562666998</v>
      </c>
      <c r="D90" s="457">
        <v>182.66928259696635</v>
      </c>
      <c r="E90" s="457">
        <v>141.42703926481275</v>
      </c>
      <c r="F90" s="457">
        <v>85.206192951418032</v>
      </c>
      <c r="G90" s="457">
        <v>117.08380683532191</v>
      </c>
      <c r="H90" s="457">
        <v>112.22931240080088</v>
      </c>
      <c r="I90" s="457">
        <v>102.12310258824347</v>
      </c>
      <c r="J90" s="457">
        <v>174.13525649434084</v>
      </c>
      <c r="K90" s="457">
        <v>182.63086390616766</v>
      </c>
      <c r="L90" s="457">
        <v>151.51461893634004</v>
      </c>
      <c r="M90" s="457">
        <v>94.405719973974811</v>
      </c>
      <c r="N90" s="457">
        <v>103.11585795443645</v>
      </c>
      <c r="O90" s="457" t="s">
        <v>93</v>
      </c>
      <c r="P90" s="257" t="s">
        <v>93</v>
      </c>
      <c r="Q90" s="257" t="s">
        <v>93</v>
      </c>
      <c r="R90" s="257" t="s">
        <v>93</v>
      </c>
      <c r="S90" s="257" t="s">
        <v>93</v>
      </c>
      <c r="T90" s="257" t="s">
        <v>93</v>
      </c>
    </row>
    <row r="91" spans="1:20">
      <c r="A91" s="37" t="s">
        <v>29</v>
      </c>
      <c r="B91" s="457">
        <v>193.18780683323726</v>
      </c>
      <c r="C91" s="457">
        <v>141.93454109497702</v>
      </c>
      <c r="D91" s="457">
        <v>187.9171351549964</v>
      </c>
      <c r="E91" s="457">
        <v>146.6424459112441</v>
      </c>
      <c r="F91" s="457">
        <v>87.419474738018337</v>
      </c>
      <c r="G91" s="457">
        <v>118.09956682600385</v>
      </c>
      <c r="H91" s="457">
        <v>112.86195295751349</v>
      </c>
      <c r="I91" s="457">
        <v>102.88795181239979</v>
      </c>
      <c r="J91" s="457">
        <v>176.51882306085136</v>
      </c>
      <c r="K91" s="457">
        <v>187.05917333957044</v>
      </c>
      <c r="L91" s="457">
        <v>151.75720007675113</v>
      </c>
      <c r="M91" s="457">
        <v>151.09501516550475</v>
      </c>
      <c r="N91" s="457">
        <v>105.03782118484412</v>
      </c>
      <c r="O91" s="457" t="s">
        <v>93</v>
      </c>
      <c r="P91" s="257" t="s">
        <v>93</v>
      </c>
      <c r="Q91" s="257" t="s">
        <v>93</v>
      </c>
      <c r="R91" s="257" t="s">
        <v>93</v>
      </c>
      <c r="S91" s="257" t="s">
        <v>93</v>
      </c>
      <c r="T91" s="257" t="s">
        <v>93</v>
      </c>
    </row>
    <row r="92" spans="1:20">
      <c r="A92" s="37" t="s">
        <v>1288</v>
      </c>
      <c r="B92" s="457"/>
      <c r="C92" s="457"/>
      <c r="D92" s="457"/>
      <c r="E92" s="457"/>
      <c r="F92" s="457"/>
      <c r="G92" s="457"/>
      <c r="H92" s="457"/>
      <c r="I92" s="457"/>
      <c r="J92" s="457"/>
      <c r="K92" s="457"/>
      <c r="L92" s="457"/>
      <c r="M92" s="457"/>
      <c r="N92" s="457"/>
      <c r="O92" s="457"/>
      <c r="P92" s="457"/>
      <c r="Q92" s="457"/>
      <c r="R92" s="457"/>
      <c r="S92" s="457"/>
      <c r="T92" s="457"/>
    </row>
    <row r="93" spans="1:20">
      <c r="A93" s="37" t="s">
        <v>18</v>
      </c>
      <c r="B93" s="457">
        <v>192.96732532535327</v>
      </c>
      <c r="C93" s="457">
        <v>146.33824016818338</v>
      </c>
      <c r="D93" s="457">
        <v>190.35081624206825</v>
      </c>
      <c r="E93" s="457">
        <v>144.41573774500333</v>
      </c>
      <c r="F93" s="457">
        <v>86.921527462159943</v>
      </c>
      <c r="G93" s="457">
        <v>118.16606342291391</v>
      </c>
      <c r="H93" s="457">
        <v>113.20611066998416</v>
      </c>
      <c r="I93" s="457">
        <v>102.93876345098059</v>
      </c>
      <c r="J93" s="457">
        <v>174.43135633629589</v>
      </c>
      <c r="K93" s="457">
        <v>188.91598686534414</v>
      </c>
      <c r="L93" s="457">
        <v>149.3560296957103</v>
      </c>
      <c r="M93" s="457">
        <v>147.01238290283834</v>
      </c>
      <c r="N93" s="457">
        <v>104.25234011722966</v>
      </c>
      <c r="O93" s="457" t="s">
        <v>93</v>
      </c>
      <c r="P93" s="257" t="s">
        <v>93</v>
      </c>
      <c r="Q93" s="257" t="s">
        <v>93</v>
      </c>
      <c r="R93" s="257" t="s">
        <v>93</v>
      </c>
      <c r="S93" s="257" t="s">
        <v>93</v>
      </c>
      <c r="T93" s="257" t="s">
        <v>93</v>
      </c>
    </row>
    <row r="94" spans="1:20">
      <c r="A94" s="37" t="s">
        <v>19</v>
      </c>
      <c r="B94" s="457">
        <v>192.4794959857002</v>
      </c>
      <c r="C94" s="457">
        <v>142.16764499420725</v>
      </c>
      <c r="D94" s="457">
        <v>185.80679200812713</v>
      </c>
      <c r="E94" s="457">
        <v>136.69659648052982</v>
      </c>
      <c r="F94" s="457">
        <v>82.392610071974389</v>
      </c>
      <c r="G94" s="457">
        <v>117.97095286206343</v>
      </c>
      <c r="H94" s="457">
        <v>112.39362888744115</v>
      </c>
      <c r="I94" s="457">
        <v>102.57801346593362</v>
      </c>
      <c r="J94" s="457">
        <v>177.41716155646799</v>
      </c>
      <c r="K94" s="457">
        <v>185.54606278366865</v>
      </c>
      <c r="L94" s="457">
        <v>149.29842614087778</v>
      </c>
      <c r="M94" s="457">
        <v>143.39894023128306</v>
      </c>
      <c r="N94" s="457">
        <v>102.08332675718489</v>
      </c>
      <c r="O94" s="457" t="s">
        <v>93</v>
      </c>
      <c r="P94" s="257" t="s">
        <v>93</v>
      </c>
      <c r="Q94" s="257" t="s">
        <v>93</v>
      </c>
      <c r="R94" s="257" t="s">
        <v>93</v>
      </c>
      <c r="S94" s="257" t="s">
        <v>93</v>
      </c>
      <c r="T94" s="257" t="s">
        <v>93</v>
      </c>
    </row>
    <row r="95" spans="1:20">
      <c r="A95" s="37" t="s">
        <v>20</v>
      </c>
      <c r="B95" s="457">
        <v>192.53511970084327</v>
      </c>
      <c r="C95" s="457">
        <v>141.01179360401119</v>
      </c>
      <c r="D95" s="457">
        <v>185.42173476995572</v>
      </c>
      <c r="E95" s="457">
        <v>138.64059565797143</v>
      </c>
      <c r="F95" s="457">
        <v>80.72008437489518</v>
      </c>
      <c r="G95" s="457">
        <v>118.06135050180086</v>
      </c>
      <c r="H95" s="457">
        <v>112.55256239665908</v>
      </c>
      <c r="I95" s="457">
        <v>102.32456747794043</v>
      </c>
      <c r="J95" s="457">
        <v>186.43141773707603</v>
      </c>
      <c r="K95" s="457">
        <v>186.79190941282204</v>
      </c>
      <c r="L95" s="457">
        <v>149.70321209027639</v>
      </c>
      <c r="M95" s="457">
        <v>138.6414389314001</v>
      </c>
      <c r="N95" s="457">
        <v>102.62254504150829</v>
      </c>
      <c r="O95" s="457" t="s">
        <v>93</v>
      </c>
      <c r="P95" s="257" t="s">
        <v>93</v>
      </c>
      <c r="Q95" s="257" t="s">
        <v>93</v>
      </c>
      <c r="R95" s="257" t="s">
        <v>93</v>
      </c>
      <c r="S95" s="257" t="s">
        <v>93</v>
      </c>
      <c r="T95" s="257" t="s">
        <v>93</v>
      </c>
    </row>
    <row r="96" spans="1:20">
      <c r="A96" s="37" t="s">
        <v>21</v>
      </c>
      <c r="B96" s="457">
        <v>191.75114775101628</v>
      </c>
      <c r="C96" s="457">
        <v>140.18610472942029</v>
      </c>
      <c r="D96" s="457">
        <v>181.65818038058489</v>
      </c>
      <c r="E96" s="457">
        <v>136.34206752835647</v>
      </c>
      <c r="F96" s="457">
        <v>80.552370017630423</v>
      </c>
      <c r="G96" s="457">
        <v>117.61757091790351</v>
      </c>
      <c r="H96" s="457">
        <v>110.94959220419437</v>
      </c>
      <c r="I96" s="457">
        <v>101.21115890870095</v>
      </c>
      <c r="J96" s="457">
        <v>183.11957656633513</v>
      </c>
      <c r="K96" s="457">
        <v>183.54850039726952</v>
      </c>
      <c r="L96" s="457">
        <v>149.06510876541969</v>
      </c>
      <c r="M96" s="457">
        <v>134.74765414959765</v>
      </c>
      <c r="N96" s="457">
        <v>103.28894722500905</v>
      </c>
      <c r="O96" s="457">
        <v>100</v>
      </c>
      <c r="P96" s="257" t="s">
        <v>93</v>
      </c>
      <c r="Q96" s="257" t="s">
        <v>93</v>
      </c>
      <c r="R96" s="257" t="s">
        <v>93</v>
      </c>
      <c r="S96" s="257" t="s">
        <v>93</v>
      </c>
      <c r="T96" s="257" t="s">
        <v>93</v>
      </c>
    </row>
    <row r="97" spans="1:20">
      <c r="A97" s="37" t="s">
        <v>22</v>
      </c>
      <c r="B97" s="457">
        <v>190.63234114491215</v>
      </c>
      <c r="C97" s="457">
        <v>142.8448640281602</v>
      </c>
      <c r="D97" s="457">
        <v>180.95346054333001</v>
      </c>
      <c r="E97" s="457">
        <v>136.81815569689644</v>
      </c>
      <c r="F97" s="457">
        <v>82.787059008118121</v>
      </c>
      <c r="G97" s="457">
        <v>117.18871625628708</v>
      </c>
      <c r="H97" s="457">
        <v>110.20934418907026</v>
      </c>
      <c r="I97" s="457">
        <v>99.653351295702521</v>
      </c>
      <c r="J97" s="457">
        <v>178.35918875949284</v>
      </c>
      <c r="K97" s="457">
        <v>185.56279470029432</v>
      </c>
      <c r="L97" s="457">
        <v>148.50898905491343</v>
      </c>
      <c r="M97" s="457">
        <v>133.22180081604762</v>
      </c>
      <c r="N97" s="457">
        <v>104.06503699505997</v>
      </c>
      <c r="O97" s="457">
        <v>101.71749293553896</v>
      </c>
      <c r="P97" s="257" t="s">
        <v>93</v>
      </c>
      <c r="Q97" s="257" t="s">
        <v>93</v>
      </c>
      <c r="R97" s="257" t="s">
        <v>93</v>
      </c>
      <c r="S97" s="257" t="s">
        <v>93</v>
      </c>
      <c r="T97" s="257" t="s">
        <v>93</v>
      </c>
    </row>
    <row r="98" spans="1:20">
      <c r="A98" s="37" t="s">
        <v>23</v>
      </c>
      <c r="B98" s="457">
        <v>188.13344920109802</v>
      </c>
      <c r="C98" s="457">
        <v>144.28093591626129</v>
      </c>
      <c r="D98" s="457">
        <v>183.85150484349614</v>
      </c>
      <c r="E98" s="457">
        <v>137.57064265414343</v>
      </c>
      <c r="F98" s="457">
        <v>86.674574208514571</v>
      </c>
      <c r="G98" s="457">
        <v>116.51791343688514</v>
      </c>
      <c r="H98" s="457">
        <v>110.36100982296915</v>
      </c>
      <c r="I98" s="457">
        <v>98.707188281270149</v>
      </c>
      <c r="J98" s="457">
        <v>175.93934157005992</v>
      </c>
      <c r="K98" s="457">
        <v>186.88374652973536</v>
      </c>
      <c r="L98" s="457">
        <v>148.42247180156468</v>
      </c>
      <c r="M98" s="457">
        <v>131.39194636522441</v>
      </c>
      <c r="N98" s="457">
        <v>103.54876625885714</v>
      </c>
      <c r="O98" s="457">
        <v>102.93000799932817</v>
      </c>
      <c r="P98" s="257" t="s">
        <v>93</v>
      </c>
      <c r="Q98" s="257" t="s">
        <v>93</v>
      </c>
      <c r="R98" s="257" t="s">
        <v>93</v>
      </c>
      <c r="S98" s="257" t="s">
        <v>93</v>
      </c>
      <c r="T98" s="257" t="s">
        <v>93</v>
      </c>
    </row>
    <row r="99" spans="1:20">
      <c r="A99" s="37" t="s">
        <v>24</v>
      </c>
      <c r="B99" s="457">
        <v>186.85792849537199</v>
      </c>
      <c r="C99" s="457">
        <v>146.69291884558331</v>
      </c>
      <c r="D99" s="457">
        <v>181.69685491574623</v>
      </c>
      <c r="E99" s="457">
        <v>136.04211905282224</v>
      </c>
      <c r="F99" s="457">
        <v>84.0321564627763</v>
      </c>
      <c r="G99" s="457">
        <v>115.97255519651691</v>
      </c>
      <c r="H99" s="457">
        <v>111.89704647828805</v>
      </c>
      <c r="I99" s="457">
        <v>98.341576196704068</v>
      </c>
      <c r="J99" s="457">
        <v>174.56086514955669</v>
      </c>
      <c r="K99" s="457">
        <v>190.07918032476925</v>
      </c>
      <c r="L99" s="457">
        <v>147.72344673197642</v>
      </c>
      <c r="M99" s="457">
        <v>129.20306296746503</v>
      </c>
      <c r="N99" s="457">
        <v>101.03901105395329</v>
      </c>
      <c r="O99" s="457">
        <v>104.6447950721613</v>
      </c>
      <c r="P99" s="257" t="s">
        <v>93</v>
      </c>
      <c r="Q99" s="257" t="s">
        <v>93</v>
      </c>
      <c r="R99" s="257" t="s">
        <v>93</v>
      </c>
      <c r="S99" s="257" t="s">
        <v>93</v>
      </c>
      <c r="T99" s="257" t="s">
        <v>93</v>
      </c>
    </row>
    <row r="100" spans="1:20">
      <c r="A100" s="37" t="s">
        <v>25</v>
      </c>
      <c r="B100" s="457">
        <v>184.91660663295485</v>
      </c>
      <c r="C100" s="457">
        <v>144.61581469092391</v>
      </c>
      <c r="D100" s="457">
        <v>178.80523168009427</v>
      </c>
      <c r="E100" s="457">
        <v>133.4867994153621</v>
      </c>
      <c r="F100" s="457">
        <v>82.190457470905699</v>
      </c>
      <c r="G100" s="457">
        <v>116.19961465453733</v>
      </c>
      <c r="H100" s="457">
        <v>110.9061870185308</v>
      </c>
      <c r="I100" s="457">
        <v>97.459205862414194</v>
      </c>
      <c r="J100" s="457">
        <v>172.82003481456957</v>
      </c>
      <c r="K100" s="457">
        <v>188.82187803408434</v>
      </c>
      <c r="L100" s="457">
        <v>145.94322399696861</v>
      </c>
      <c r="M100" s="457">
        <v>125.80073331387158</v>
      </c>
      <c r="N100" s="457">
        <v>99.257594647305467</v>
      </c>
      <c r="O100" s="457">
        <v>103.57872663779769</v>
      </c>
      <c r="P100" s="257" t="s">
        <v>93</v>
      </c>
      <c r="Q100" s="257" t="s">
        <v>93</v>
      </c>
      <c r="R100" s="257" t="s">
        <v>93</v>
      </c>
      <c r="S100" s="257" t="s">
        <v>93</v>
      </c>
      <c r="T100" s="257" t="s">
        <v>93</v>
      </c>
    </row>
    <row r="101" spans="1:20">
      <c r="A101" s="37" t="s">
        <v>26</v>
      </c>
      <c r="B101" s="457">
        <v>184.97099724538188</v>
      </c>
      <c r="C101" s="457">
        <v>139.28851261587113</v>
      </c>
      <c r="D101" s="457">
        <v>174.76583635884342</v>
      </c>
      <c r="E101" s="457">
        <v>133.46064283303397</v>
      </c>
      <c r="F101" s="457">
        <v>81.002192922274759</v>
      </c>
      <c r="G101" s="457">
        <v>117.1638466292588</v>
      </c>
      <c r="H101" s="457">
        <v>111.15470656235621</v>
      </c>
      <c r="I101" s="457">
        <v>97.658082571821694</v>
      </c>
      <c r="J101" s="457">
        <v>172.64049951840389</v>
      </c>
      <c r="K101" s="457">
        <v>186.92048307873173</v>
      </c>
      <c r="L101" s="457">
        <v>145.50122546193336</v>
      </c>
      <c r="M101" s="457">
        <v>126.42576814667274</v>
      </c>
      <c r="N101" s="457">
        <v>98.43619275809526</v>
      </c>
      <c r="O101" s="457">
        <v>100.78660037972833</v>
      </c>
      <c r="P101" s="257" t="s">
        <v>93</v>
      </c>
      <c r="Q101" s="257" t="s">
        <v>93</v>
      </c>
      <c r="R101" s="257" t="s">
        <v>93</v>
      </c>
      <c r="S101" s="257" t="s">
        <v>93</v>
      </c>
      <c r="T101" s="257" t="s">
        <v>93</v>
      </c>
    </row>
    <row r="102" spans="1:20">
      <c r="A102" s="37" t="s">
        <v>27</v>
      </c>
      <c r="B102" s="457">
        <v>186.2120938290895</v>
      </c>
      <c r="C102" s="457">
        <v>138.70228656459477</v>
      </c>
      <c r="D102" s="457">
        <v>175.67227086692671</v>
      </c>
      <c r="E102" s="457">
        <v>131.88794227379339</v>
      </c>
      <c r="F102" s="457">
        <v>80.32274797301757</v>
      </c>
      <c r="G102" s="457">
        <v>118.38501154626231</v>
      </c>
      <c r="H102" s="457">
        <v>112.37497164869937</v>
      </c>
      <c r="I102" s="457">
        <v>98.126773629263312</v>
      </c>
      <c r="J102" s="457">
        <v>175.68358073017123</v>
      </c>
      <c r="K102" s="457">
        <v>184.31364550706994</v>
      </c>
      <c r="L102" s="457">
        <v>145.28844469280045</v>
      </c>
      <c r="M102" s="457">
        <v>126.6221339694406</v>
      </c>
      <c r="N102" s="457">
        <v>97.849991285302096</v>
      </c>
      <c r="O102" s="457">
        <v>100.57020898907534</v>
      </c>
      <c r="P102" s="257" t="s">
        <v>93</v>
      </c>
      <c r="Q102" s="257" t="s">
        <v>93</v>
      </c>
      <c r="R102" s="257" t="s">
        <v>93</v>
      </c>
      <c r="S102" s="257" t="s">
        <v>93</v>
      </c>
      <c r="T102" s="257" t="s">
        <v>93</v>
      </c>
    </row>
    <row r="103" spans="1:20">
      <c r="A103" s="37" t="s">
        <v>28</v>
      </c>
      <c r="B103" s="457">
        <v>188.74611032626532</v>
      </c>
      <c r="C103" s="457">
        <v>141.9617809146857</v>
      </c>
      <c r="D103" s="457">
        <v>178.12207762904299</v>
      </c>
      <c r="E103" s="457">
        <v>132.1596390953317</v>
      </c>
      <c r="F103" s="457">
        <v>81.660585922174903</v>
      </c>
      <c r="G103" s="457">
        <v>120.16727574100869</v>
      </c>
      <c r="H103" s="457">
        <v>113.50790928408783</v>
      </c>
      <c r="I103" s="457">
        <v>98.539857282845333</v>
      </c>
      <c r="J103" s="457">
        <v>182.69903184962749</v>
      </c>
      <c r="K103" s="457">
        <v>189.35087882398886</v>
      </c>
      <c r="L103" s="457">
        <v>146.06583484508346</v>
      </c>
      <c r="M103" s="457">
        <v>126.01426022205482</v>
      </c>
      <c r="N103" s="457">
        <v>97.553984488329746</v>
      </c>
      <c r="O103" s="457">
        <v>102.66363103039136</v>
      </c>
      <c r="P103" s="257" t="s">
        <v>93</v>
      </c>
      <c r="Q103" s="257" t="s">
        <v>93</v>
      </c>
      <c r="R103" s="257" t="s">
        <v>93</v>
      </c>
      <c r="S103" s="257" t="s">
        <v>93</v>
      </c>
      <c r="T103" s="257" t="s">
        <v>93</v>
      </c>
    </row>
    <row r="104" spans="1:20">
      <c r="A104" s="37" t="s">
        <v>29</v>
      </c>
      <c r="B104" s="457">
        <v>190.01123503721917</v>
      </c>
      <c r="C104" s="457">
        <v>139.36091098291482</v>
      </c>
      <c r="D104" s="457">
        <v>176.64061964570334</v>
      </c>
      <c r="E104" s="457">
        <v>132.07724124236844</v>
      </c>
      <c r="F104" s="457">
        <v>80.06382546291465</v>
      </c>
      <c r="G104" s="457">
        <v>119.76812456100998</v>
      </c>
      <c r="H104" s="457">
        <v>114.48293017876405</v>
      </c>
      <c r="I104" s="457">
        <v>98.557719450620084</v>
      </c>
      <c r="J104" s="457">
        <v>190.40155570655236</v>
      </c>
      <c r="K104" s="457">
        <v>184.43544333347961</v>
      </c>
      <c r="L104" s="457">
        <v>145.24609456899009</v>
      </c>
      <c r="M104" s="457">
        <v>125.44135713185999</v>
      </c>
      <c r="N104" s="457">
        <v>97.347986219785156</v>
      </c>
      <c r="O104" s="457">
        <v>101.20877993635858</v>
      </c>
      <c r="P104" s="257" t="s">
        <v>93</v>
      </c>
      <c r="Q104" s="257" t="s">
        <v>93</v>
      </c>
      <c r="R104" s="257" t="s">
        <v>93</v>
      </c>
      <c r="S104" s="257" t="s">
        <v>93</v>
      </c>
      <c r="T104" s="257" t="s">
        <v>93</v>
      </c>
    </row>
    <row r="105" spans="1:20">
      <c r="A105" s="37" t="s">
        <v>1410</v>
      </c>
      <c r="B105" s="457"/>
      <c r="C105" s="457"/>
      <c r="D105" s="457"/>
      <c r="E105" s="457"/>
      <c r="F105" s="457"/>
      <c r="G105" s="457"/>
      <c r="H105" s="457"/>
      <c r="I105" s="457"/>
      <c r="J105" s="457"/>
      <c r="K105" s="457"/>
      <c r="L105" s="457"/>
      <c r="M105" s="457"/>
      <c r="N105" s="457"/>
      <c r="O105" s="457"/>
      <c r="P105" s="457"/>
      <c r="Q105" s="457"/>
      <c r="R105" s="457"/>
      <c r="S105" s="457"/>
      <c r="T105" s="457"/>
    </row>
    <row r="106" spans="1:20">
      <c r="A106" s="37" t="s">
        <v>18</v>
      </c>
      <c r="B106" s="457">
        <v>192.20948087545469</v>
      </c>
      <c r="C106" s="457">
        <v>140.38334142496558</v>
      </c>
      <c r="D106" s="457">
        <v>181.21742999033341</v>
      </c>
      <c r="E106" s="457">
        <v>130.3779492262052</v>
      </c>
      <c r="F106" s="457">
        <v>78.928654936466216</v>
      </c>
      <c r="G106" s="457">
        <v>120.81603607886217</v>
      </c>
      <c r="H106" s="457">
        <v>115.31079724353992</v>
      </c>
      <c r="I106" s="457">
        <v>98.991891903228819</v>
      </c>
      <c r="J106" s="457">
        <v>203.97010932856509</v>
      </c>
      <c r="K106" s="457">
        <v>184.65494664452413</v>
      </c>
      <c r="L106" s="457">
        <v>145.68012896426589</v>
      </c>
      <c r="M106" s="457">
        <v>123.90121278519247</v>
      </c>
      <c r="N106" s="457">
        <v>96.947831600945193</v>
      </c>
      <c r="O106" s="457">
        <v>102.92500659351344</v>
      </c>
      <c r="P106" s="257" t="s">
        <v>93</v>
      </c>
      <c r="Q106" s="257" t="s">
        <v>93</v>
      </c>
      <c r="R106" s="257" t="s">
        <v>93</v>
      </c>
      <c r="S106" s="257" t="s">
        <v>93</v>
      </c>
      <c r="T106" s="257" t="s">
        <v>93</v>
      </c>
    </row>
    <row r="107" spans="1:20">
      <c r="A107" s="37" t="s">
        <v>19</v>
      </c>
      <c r="B107" s="457">
        <v>191.83902226297124</v>
      </c>
      <c r="C107" s="457">
        <v>139.73260576515787</v>
      </c>
      <c r="D107" s="457">
        <v>186.1863514454696</v>
      </c>
      <c r="E107" s="457">
        <v>130.84746777471057</v>
      </c>
      <c r="F107" s="457">
        <v>78.717994888705221</v>
      </c>
      <c r="G107" s="457">
        <v>121.87880215676388</v>
      </c>
      <c r="H107" s="457">
        <v>116.11456060558632</v>
      </c>
      <c r="I107" s="457">
        <v>98.552743686138982</v>
      </c>
      <c r="J107" s="457">
        <v>215.39857396203331</v>
      </c>
      <c r="K107" s="457">
        <v>183.5558817372598</v>
      </c>
      <c r="L107" s="457">
        <v>145.09944742147962</v>
      </c>
      <c r="M107" s="457">
        <v>123.15729072583636</v>
      </c>
      <c r="N107" s="457">
        <v>99.081659890396821</v>
      </c>
      <c r="O107" s="457">
        <v>102.74200744120414</v>
      </c>
      <c r="P107" s="257" t="s">
        <v>93</v>
      </c>
      <c r="Q107" s="257" t="s">
        <v>93</v>
      </c>
      <c r="R107" s="257" t="s">
        <v>93</v>
      </c>
      <c r="S107" s="257" t="s">
        <v>93</v>
      </c>
      <c r="T107" s="257" t="s">
        <v>93</v>
      </c>
    </row>
    <row r="108" spans="1:20">
      <c r="A108" s="37" t="s">
        <v>20</v>
      </c>
      <c r="B108" s="457">
        <v>193.4096569041223</v>
      </c>
      <c r="C108" s="457">
        <v>143.25517982891958</v>
      </c>
      <c r="D108" s="457">
        <v>192.32172950371466</v>
      </c>
      <c r="E108" s="457">
        <v>133.06223655375533</v>
      </c>
      <c r="F108" s="457">
        <v>80.517661084481475</v>
      </c>
      <c r="G108" s="457">
        <v>122.67299390094655</v>
      </c>
      <c r="H108" s="457">
        <v>117.23660778880148</v>
      </c>
      <c r="I108" s="457">
        <v>99.137079649331241</v>
      </c>
      <c r="J108" s="457">
        <v>220.25459024095025</v>
      </c>
      <c r="K108" s="457">
        <v>184.30088700032584</v>
      </c>
      <c r="L108" s="457">
        <v>146.77713037077328</v>
      </c>
      <c r="M108" s="457">
        <v>122.12649381208681</v>
      </c>
      <c r="N108" s="457">
        <v>100.45053744224838</v>
      </c>
      <c r="O108" s="457">
        <v>106.0731460441223</v>
      </c>
      <c r="P108" s="257" t="s">
        <v>93</v>
      </c>
      <c r="Q108" s="257" t="s">
        <v>93</v>
      </c>
      <c r="R108" s="257" t="s">
        <v>93</v>
      </c>
      <c r="S108" s="257" t="s">
        <v>93</v>
      </c>
      <c r="T108" s="257" t="s">
        <v>93</v>
      </c>
    </row>
    <row r="109" spans="1:20">
      <c r="A109" s="37" t="s">
        <v>21</v>
      </c>
      <c r="B109" s="457">
        <v>195.06311177169778</v>
      </c>
      <c r="C109" s="457">
        <v>143.49095248407019</v>
      </c>
      <c r="D109" s="457">
        <v>189.93422858444137</v>
      </c>
      <c r="E109" s="457">
        <v>132.42233606517652</v>
      </c>
      <c r="F109" s="457">
        <v>81.879101370623516</v>
      </c>
      <c r="G109" s="457">
        <v>123.37421592328207</v>
      </c>
      <c r="H109" s="457">
        <v>116.9508953830624</v>
      </c>
      <c r="I109" s="457">
        <v>99.487475554360131</v>
      </c>
      <c r="J109" s="457">
        <v>227.82194622237722</v>
      </c>
      <c r="K109" s="457">
        <v>180.92643947784143</v>
      </c>
      <c r="L109" s="457">
        <v>146.42690776613702</v>
      </c>
      <c r="M109" s="457">
        <v>122.70260345587626</v>
      </c>
      <c r="N109" s="457">
        <v>102.79002287501945</v>
      </c>
      <c r="O109" s="457">
        <v>105.52268571040766</v>
      </c>
      <c r="P109" s="257" t="s">
        <v>93</v>
      </c>
      <c r="Q109" s="257" t="s">
        <v>93</v>
      </c>
      <c r="R109" s="257" t="s">
        <v>93</v>
      </c>
      <c r="S109" s="257" t="s">
        <v>93</v>
      </c>
      <c r="T109" s="257" t="s">
        <v>93</v>
      </c>
    </row>
    <row r="110" spans="1:20">
      <c r="A110" s="37" t="s">
        <v>22</v>
      </c>
      <c r="B110" s="457">
        <v>194.17514463430015</v>
      </c>
      <c r="C110" s="457">
        <v>143.27384380163221</v>
      </c>
      <c r="D110" s="457">
        <v>188.96917551882387</v>
      </c>
      <c r="E110" s="457">
        <v>133.54198736381156</v>
      </c>
      <c r="F110" s="457">
        <v>81.041711799319302</v>
      </c>
      <c r="G110" s="457">
        <v>122.6713877715396</v>
      </c>
      <c r="H110" s="457">
        <v>115.05995496142248</v>
      </c>
      <c r="I110" s="457">
        <v>98.927638226977777</v>
      </c>
      <c r="J110" s="457">
        <v>233.59254567696823</v>
      </c>
      <c r="K110" s="457">
        <v>180.26422808345788</v>
      </c>
      <c r="L110" s="457">
        <v>145.58461377781384</v>
      </c>
      <c r="M110" s="457">
        <v>121.75266308192644</v>
      </c>
      <c r="N110" s="457">
        <v>101.54050363486371</v>
      </c>
      <c r="O110" s="457">
        <v>107.06191280642388</v>
      </c>
      <c r="P110" s="257" t="s">
        <v>93</v>
      </c>
      <c r="Q110" s="257" t="s">
        <v>93</v>
      </c>
      <c r="R110" s="257" t="s">
        <v>93</v>
      </c>
      <c r="S110" s="257" t="s">
        <v>93</v>
      </c>
      <c r="T110" s="257" t="s">
        <v>93</v>
      </c>
    </row>
    <row r="111" spans="1:20">
      <c r="A111" s="37" t="s">
        <v>23</v>
      </c>
      <c r="B111" s="457">
        <v>190.98589859928654</v>
      </c>
      <c r="C111" s="457">
        <v>139.15048291901056</v>
      </c>
      <c r="D111" s="457">
        <v>185.01787327048802</v>
      </c>
      <c r="E111" s="457">
        <v>136.553524690373</v>
      </c>
      <c r="F111" s="457">
        <v>82.351881310433214</v>
      </c>
      <c r="G111" s="457">
        <v>121.57035587703189</v>
      </c>
      <c r="H111" s="457">
        <v>115.19881592495338</v>
      </c>
      <c r="I111" s="457">
        <v>97.777241795341794</v>
      </c>
      <c r="J111" s="457">
        <v>223.31147635867441</v>
      </c>
      <c r="K111" s="457">
        <v>176.95809935522894</v>
      </c>
      <c r="L111" s="457">
        <v>143.83930989375386</v>
      </c>
      <c r="M111" s="457">
        <v>120.81253577045503</v>
      </c>
      <c r="N111" s="457">
        <v>102.58170279246613</v>
      </c>
      <c r="O111" s="457">
        <v>103.36108359555719</v>
      </c>
      <c r="P111" s="257" t="s">
        <v>93</v>
      </c>
      <c r="Q111" s="257" t="s">
        <v>93</v>
      </c>
      <c r="R111" s="257" t="s">
        <v>93</v>
      </c>
      <c r="S111" s="257" t="s">
        <v>93</v>
      </c>
      <c r="T111" s="257" t="s">
        <v>93</v>
      </c>
    </row>
    <row r="112" spans="1:20">
      <c r="A112" s="37" t="s">
        <v>24</v>
      </c>
      <c r="B112" s="457">
        <v>189.26541800318762</v>
      </c>
      <c r="C112" s="457">
        <v>140.02751375267493</v>
      </c>
      <c r="D112" s="457">
        <v>187.21330171719248</v>
      </c>
      <c r="E112" s="457">
        <v>137.54639314971101</v>
      </c>
      <c r="F112" s="457">
        <v>82.217416612258674</v>
      </c>
      <c r="G112" s="457">
        <v>120.76858493093252</v>
      </c>
      <c r="H112" s="457">
        <v>115.90110929373991</v>
      </c>
      <c r="I112" s="457">
        <v>97.632318016718472</v>
      </c>
      <c r="J112" s="457">
        <v>226.26003168806488</v>
      </c>
      <c r="K112" s="457">
        <v>173.84293178113003</v>
      </c>
      <c r="L112" s="457">
        <v>142.65533214917502</v>
      </c>
      <c r="M112" s="457">
        <v>120.41266619302367</v>
      </c>
      <c r="N112" s="457">
        <v>100.82131092660852</v>
      </c>
      <c r="O112" s="457">
        <v>104.24059121776351</v>
      </c>
      <c r="P112" s="257" t="s">
        <v>93</v>
      </c>
      <c r="Q112" s="257" t="s">
        <v>93</v>
      </c>
      <c r="R112" s="257" t="s">
        <v>93</v>
      </c>
      <c r="S112" s="257" t="s">
        <v>93</v>
      </c>
      <c r="T112" s="257" t="s">
        <v>93</v>
      </c>
    </row>
    <row r="113" spans="1:20">
      <c r="A113" s="37" t="s">
        <v>25</v>
      </c>
      <c r="B113" s="457">
        <v>188.45160286797775</v>
      </c>
      <c r="C113" s="457">
        <v>137.10165765180491</v>
      </c>
      <c r="D113" s="457">
        <v>182.68622421003863</v>
      </c>
      <c r="E113" s="457">
        <v>139.05139164728266</v>
      </c>
      <c r="F113" s="457">
        <v>82.536620934701119</v>
      </c>
      <c r="G113" s="457">
        <v>120.90460728856529</v>
      </c>
      <c r="H113" s="457">
        <v>115.85447495025858</v>
      </c>
      <c r="I113" s="457">
        <v>97.366799263150455</v>
      </c>
      <c r="J113" s="457">
        <v>221.10171983944917</v>
      </c>
      <c r="K113" s="457">
        <v>171.45622928340734</v>
      </c>
      <c r="L113" s="457">
        <v>141.17761458827897</v>
      </c>
      <c r="M113" s="457">
        <v>120.86973087268808</v>
      </c>
      <c r="N113" s="457">
        <v>99.427630590818822</v>
      </c>
      <c r="O113" s="457">
        <v>102.04879314992118</v>
      </c>
      <c r="P113" s="257" t="s">
        <v>93</v>
      </c>
      <c r="Q113" s="257" t="s">
        <v>93</v>
      </c>
      <c r="R113" s="257" t="s">
        <v>93</v>
      </c>
      <c r="S113" s="257" t="s">
        <v>93</v>
      </c>
      <c r="T113" s="257" t="s">
        <v>93</v>
      </c>
    </row>
    <row r="114" spans="1:20">
      <c r="A114" s="37" t="s">
        <v>26</v>
      </c>
      <c r="B114" s="457">
        <v>188.20786169518095</v>
      </c>
      <c r="C114" s="457">
        <v>136.13734154520034</v>
      </c>
      <c r="D114" s="457">
        <v>177.62217006067726</v>
      </c>
      <c r="E114" s="457">
        <v>142.23721444002808</v>
      </c>
      <c r="F114" s="457">
        <v>81.332483493833294</v>
      </c>
      <c r="G114" s="457">
        <v>122.34422133884578</v>
      </c>
      <c r="H114" s="457">
        <v>116.06970844507215</v>
      </c>
      <c r="I114" s="457">
        <v>97.413499848410197</v>
      </c>
      <c r="J114" s="457">
        <v>223.42406841999539</v>
      </c>
      <c r="K114" s="457">
        <v>171.36697393315967</v>
      </c>
      <c r="L114" s="457">
        <v>140.11282729511356</v>
      </c>
      <c r="M114" s="457">
        <v>120.64057799413135</v>
      </c>
      <c r="N114" s="457">
        <v>96.394221276671161</v>
      </c>
      <c r="O114" s="457">
        <v>101.55624219298942</v>
      </c>
      <c r="P114" s="257" t="s">
        <v>93</v>
      </c>
      <c r="Q114" s="257" t="s">
        <v>93</v>
      </c>
      <c r="R114" s="257" t="s">
        <v>93</v>
      </c>
      <c r="S114" s="257" t="s">
        <v>93</v>
      </c>
      <c r="T114" s="257" t="s">
        <v>93</v>
      </c>
    </row>
    <row r="115" spans="1:20">
      <c r="A115" s="37" t="s">
        <v>27</v>
      </c>
      <c r="B115" s="457">
        <v>189.69394870899146</v>
      </c>
      <c r="C115" s="457">
        <v>134.22967898421007</v>
      </c>
      <c r="D115" s="457">
        <v>175.74498334243393</v>
      </c>
      <c r="E115" s="457">
        <v>138.4941561600466</v>
      </c>
      <c r="F115" s="457">
        <v>80.323056889339881</v>
      </c>
      <c r="G115" s="457">
        <v>122.94270382192977</v>
      </c>
      <c r="H115" s="457">
        <v>115.42700010487677</v>
      </c>
      <c r="I115" s="457">
        <v>98.229379792324906</v>
      </c>
      <c r="J115" s="457">
        <v>221.51247443735875</v>
      </c>
      <c r="K115" s="457">
        <v>170.44890383106096</v>
      </c>
      <c r="L115" s="457">
        <v>140.58967206942651</v>
      </c>
      <c r="M115" s="457">
        <v>120.77694589309634</v>
      </c>
      <c r="N115" s="457">
        <v>95.79601182717559</v>
      </c>
      <c r="O115" s="457">
        <v>99.906435006611403</v>
      </c>
      <c r="P115" s="257" t="s">
        <v>93</v>
      </c>
      <c r="Q115" s="257" t="s">
        <v>93</v>
      </c>
      <c r="R115" s="257" t="s">
        <v>93</v>
      </c>
      <c r="S115" s="257" t="s">
        <v>93</v>
      </c>
      <c r="T115" s="257" t="s">
        <v>93</v>
      </c>
    </row>
    <row r="116" spans="1:20">
      <c r="A116" s="37" t="s">
        <v>28</v>
      </c>
      <c r="B116" s="457">
        <v>191.02280201577676</v>
      </c>
      <c r="C116" s="457">
        <v>136.80544098080503</v>
      </c>
      <c r="D116" s="457">
        <v>176.79383864874441</v>
      </c>
      <c r="E116" s="457">
        <v>142.06182032622164</v>
      </c>
      <c r="F116" s="457">
        <v>81.940638387662133</v>
      </c>
      <c r="G116" s="457">
        <v>123.83797274772515</v>
      </c>
      <c r="H116" s="457">
        <v>116.60622711890863</v>
      </c>
      <c r="I116" s="457">
        <v>98.09331539190616</v>
      </c>
      <c r="J116" s="457">
        <v>227.66923266218953</v>
      </c>
      <c r="K116" s="457">
        <v>172.35809397159701</v>
      </c>
      <c r="L116" s="457">
        <v>141.43516121684746</v>
      </c>
      <c r="M116" s="457">
        <v>121.41768527078135</v>
      </c>
      <c r="N116" s="457">
        <v>96.172902116641467</v>
      </c>
      <c r="O116" s="457">
        <v>101.7919481097819</v>
      </c>
      <c r="P116" s="257" t="s">
        <v>93</v>
      </c>
      <c r="Q116" s="257" t="s">
        <v>93</v>
      </c>
      <c r="R116" s="257" t="s">
        <v>93</v>
      </c>
      <c r="S116" s="257" t="s">
        <v>93</v>
      </c>
      <c r="T116" s="257" t="s">
        <v>93</v>
      </c>
    </row>
    <row r="117" spans="1:20">
      <c r="A117" s="37" t="s">
        <v>29</v>
      </c>
      <c r="B117" s="457">
        <v>194.05443575032157</v>
      </c>
      <c r="C117" s="457">
        <v>136.9632716371832</v>
      </c>
      <c r="D117" s="457">
        <v>176.48870151350241</v>
      </c>
      <c r="E117" s="457">
        <v>147.05687672394259</v>
      </c>
      <c r="F117" s="457">
        <v>83.488794640841149</v>
      </c>
      <c r="G117" s="457">
        <v>126.13518451234363</v>
      </c>
      <c r="H117" s="457">
        <v>119.42881526096699</v>
      </c>
      <c r="I117" s="457">
        <v>99.638834084491862</v>
      </c>
      <c r="J117" s="457">
        <v>240.47087461062981</v>
      </c>
      <c r="K117" s="457">
        <v>173.92578144797142</v>
      </c>
      <c r="L117" s="457">
        <v>143.28381048812241</v>
      </c>
      <c r="M117" s="457">
        <v>122.85967687829049</v>
      </c>
      <c r="N117" s="457">
        <v>97.354155783046735</v>
      </c>
      <c r="O117" s="457">
        <v>101.87422327780573</v>
      </c>
      <c r="P117" s="257" t="s">
        <v>93</v>
      </c>
      <c r="Q117" s="257" t="s">
        <v>93</v>
      </c>
      <c r="R117" s="257" t="s">
        <v>93</v>
      </c>
      <c r="S117" s="257" t="s">
        <v>93</v>
      </c>
      <c r="T117" s="257" t="s">
        <v>93</v>
      </c>
    </row>
    <row r="118" spans="1:20">
      <c r="A118" s="37" t="s">
        <v>1621</v>
      </c>
      <c r="B118" s="457"/>
      <c r="C118" s="457"/>
      <c r="D118" s="457"/>
      <c r="E118" s="457"/>
      <c r="F118" s="457"/>
      <c r="G118" s="457"/>
      <c r="H118" s="457"/>
      <c r="I118" s="457"/>
      <c r="J118" s="457"/>
      <c r="K118" s="457"/>
      <c r="L118" s="457"/>
      <c r="M118" s="457"/>
      <c r="N118" s="457"/>
      <c r="O118" s="457"/>
      <c r="P118" s="457"/>
      <c r="Q118" s="457"/>
      <c r="R118" s="457"/>
      <c r="S118" s="457"/>
      <c r="T118" s="457"/>
    </row>
    <row r="119" spans="1:20">
      <c r="A119" s="37" t="s">
        <v>18</v>
      </c>
      <c r="B119" s="457">
        <v>193.4752409676087</v>
      </c>
      <c r="C119" s="457">
        <v>138.72558688061906</v>
      </c>
      <c r="D119" s="457">
        <v>176.16363287002477</v>
      </c>
      <c r="E119" s="457">
        <v>153.89896625672534</v>
      </c>
      <c r="F119" s="457">
        <v>84.507910425998219</v>
      </c>
      <c r="G119" s="457">
        <v>127.06257989225163</v>
      </c>
      <c r="H119" s="457">
        <v>121.53455156035157</v>
      </c>
      <c r="I119" s="457">
        <v>99.329043940327836</v>
      </c>
      <c r="J119" s="457">
        <v>241.91079025514296</v>
      </c>
      <c r="K119" s="457">
        <v>173.95828081796398</v>
      </c>
      <c r="L119" s="457">
        <v>141.06875095114657</v>
      </c>
      <c r="M119" s="457">
        <v>122.2885170458794</v>
      </c>
      <c r="N119" s="457">
        <v>97.437262773371572</v>
      </c>
      <c r="O119" s="457">
        <v>102.76595176403413</v>
      </c>
      <c r="P119" s="257" t="s">
        <v>93</v>
      </c>
      <c r="Q119" s="257" t="s">
        <v>93</v>
      </c>
      <c r="R119" s="257" t="s">
        <v>93</v>
      </c>
      <c r="S119" s="257" t="s">
        <v>93</v>
      </c>
      <c r="T119" s="257" t="s">
        <v>93</v>
      </c>
    </row>
    <row r="120" spans="1:20">
      <c r="A120" s="37" t="s">
        <v>19</v>
      </c>
      <c r="B120" s="457">
        <v>194.06038826851452</v>
      </c>
      <c r="C120" s="457">
        <v>138.71749326735619</v>
      </c>
      <c r="D120" s="457">
        <v>175.19510701290136</v>
      </c>
      <c r="E120" s="457">
        <v>154.26592135909226</v>
      </c>
      <c r="F120" s="457">
        <v>88.529854595129947</v>
      </c>
      <c r="G120" s="457">
        <v>135.43455359663008</v>
      </c>
      <c r="H120" s="457">
        <v>120.8475103752983</v>
      </c>
      <c r="I120" s="457">
        <v>108.94579582788852</v>
      </c>
      <c r="J120" s="457">
        <v>238.00687626790153</v>
      </c>
      <c r="K120" s="457">
        <v>176.19326882563811</v>
      </c>
      <c r="L120" s="457">
        <v>141.47729858070917</v>
      </c>
      <c r="M120" s="457">
        <v>122.11206158338915</v>
      </c>
      <c r="N120" s="457">
        <v>98.136403342392825</v>
      </c>
      <c r="O120" s="457">
        <v>102.2957688602458</v>
      </c>
      <c r="P120" s="257" t="s">
        <v>93</v>
      </c>
      <c r="Q120" s="257" t="s">
        <v>93</v>
      </c>
      <c r="R120" s="257" t="s">
        <v>93</v>
      </c>
      <c r="S120" s="257" t="s">
        <v>93</v>
      </c>
      <c r="T120" s="257" t="s">
        <v>93</v>
      </c>
    </row>
    <row r="121" spans="1:20">
      <c r="A121" s="37" t="s">
        <v>20</v>
      </c>
      <c r="B121" s="457">
        <v>194.26313475268361</v>
      </c>
      <c r="C121" s="457">
        <v>135.86320756331364</v>
      </c>
      <c r="D121" s="457">
        <v>174.35741996199522</v>
      </c>
      <c r="E121" s="457">
        <v>152.98814754189615</v>
      </c>
      <c r="F121" s="457">
        <v>87.898875627514684</v>
      </c>
      <c r="G121" s="457">
        <v>147.92511486109504</v>
      </c>
      <c r="H121" s="457">
        <v>120.55244798987809</v>
      </c>
      <c r="I121" s="457">
        <v>108.19072595581403</v>
      </c>
      <c r="J121" s="457">
        <v>237.91501624431342</v>
      </c>
      <c r="K121" s="457">
        <v>174.13227997930451</v>
      </c>
      <c r="L121" s="457">
        <v>144.76209251232419</v>
      </c>
      <c r="M121" s="457">
        <v>122.29640706062727</v>
      </c>
      <c r="N121" s="457">
        <v>97.990762197170454</v>
      </c>
      <c r="O121" s="457">
        <v>100.41276040333847</v>
      </c>
      <c r="P121" s="257" t="s">
        <v>93</v>
      </c>
      <c r="Q121" s="257" t="s">
        <v>93</v>
      </c>
      <c r="R121" s="257" t="s">
        <v>93</v>
      </c>
      <c r="S121" s="257" t="s">
        <v>93</v>
      </c>
      <c r="T121" s="257" t="s">
        <v>93</v>
      </c>
    </row>
    <row r="122" spans="1:20">
      <c r="A122" s="37" t="s">
        <v>21</v>
      </c>
      <c r="B122" s="457">
        <v>194.07075633456461</v>
      </c>
      <c r="C122" s="457">
        <v>136.17502137324385</v>
      </c>
      <c r="D122" s="457">
        <v>173.19517014055174</v>
      </c>
      <c r="E122" s="457">
        <v>145.5028921633687</v>
      </c>
      <c r="F122" s="457">
        <v>88.326948145744197</v>
      </c>
      <c r="G122" s="457">
        <v>168.60770984913358</v>
      </c>
      <c r="H122" s="457">
        <v>121.59579642261255</v>
      </c>
      <c r="I122" s="457">
        <v>114.08417621701052</v>
      </c>
      <c r="J122" s="457">
        <v>234.62462848110223</v>
      </c>
      <c r="K122" s="457">
        <v>174.38158236861108</v>
      </c>
      <c r="L122" s="457">
        <v>146.80168401155271</v>
      </c>
      <c r="M122" s="457">
        <v>122.16989408803094</v>
      </c>
      <c r="N122" s="457">
        <v>95.687723565212806</v>
      </c>
      <c r="O122" s="457">
        <v>100.95630227521443</v>
      </c>
      <c r="P122" s="257" t="s">
        <v>93</v>
      </c>
      <c r="Q122" s="257" t="s">
        <v>93</v>
      </c>
      <c r="R122" s="257" t="s">
        <v>93</v>
      </c>
      <c r="S122" s="257" t="s">
        <v>93</v>
      </c>
      <c r="T122" s="257" t="s">
        <v>93</v>
      </c>
    </row>
    <row r="123" spans="1:20">
      <c r="A123" s="37" t="s">
        <v>22</v>
      </c>
      <c r="B123" s="457">
        <v>191.7428001321145</v>
      </c>
      <c r="C123" s="457">
        <v>135.73702376929583</v>
      </c>
      <c r="D123" s="457">
        <v>170.74516001169783</v>
      </c>
      <c r="E123" s="457">
        <v>141.27395007742791</v>
      </c>
      <c r="F123" s="457">
        <v>84.931310438593954</v>
      </c>
      <c r="G123" s="457">
        <v>163.25752162131744</v>
      </c>
      <c r="H123" s="457">
        <v>121.53495212912652</v>
      </c>
      <c r="I123" s="457">
        <v>112.68663553101494</v>
      </c>
      <c r="J123" s="457">
        <v>230.16417480518064</v>
      </c>
      <c r="K123" s="457">
        <v>172.22769808576132</v>
      </c>
      <c r="L123" s="457">
        <v>145.82086673142231</v>
      </c>
      <c r="M123" s="457">
        <v>119.6064065734103</v>
      </c>
      <c r="N123" s="457">
        <v>93.138871606206905</v>
      </c>
      <c r="O123" s="457">
        <v>100.30274814477616</v>
      </c>
      <c r="P123" s="257" t="s">
        <v>93</v>
      </c>
      <c r="Q123" s="257" t="s">
        <v>93</v>
      </c>
      <c r="R123" s="257" t="s">
        <v>93</v>
      </c>
      <c r="S123" s="257" t="s">
        <v>93</v>
      </c>
      <c r="T123" s="257" t="s">
        <v>93</v>
      </c>
    </row>
    <row r="124" spans="1:20">
      <c r="A124" s="37" t="s">
        <v>23</v>
      </c>
      <c r="B124" s="457">
        <v>188.85243256357725</v>
      </c>
      <c r="C124" s="457">
        <v>135.45635050089425</v>
      </c>
      <c r="D124" s="457">
        <v>167.71707409376154</v>
      </c>
      <c r="E124" s="457">
        <v>140.96065283101379</v>
      </c>
      <c r="F124" s="457">
        <v>82.273723581206056</v>
      </c>
      <c r="G124" s="457">
        <v>160.26150192248576</v>
      </c>
      <c r="H124" s="457">
        <v>121.65468647274267</v>
      </c>
      <c r="I124" s="457">
        <v>111.67573640787616</v>
      </c>
      <c r="J124" s="457">
        <v>227.97795575615498</v>
      </c>
      <c r="K124" s="457">
        <v>169.14139616701033</v>
      </c>
      <c r="L124" s="457">
        <v>144.00810521118885</v>
      </c>
      <c r="M124" s="457">
        <v>118.2984648971545</v>
      </c>
      <c r="N124" s="457">
        <v>91.521850716914372</v>
      </c>
      <c r="O124" s="457">
        <v>100.10219788559255</v>
      </c>
      <c r="P124" s="257" t="s">
        <v>93</v>
      </c>
      <c r="Q124" s="257" t="s">
        <v>93</v>
      </c>
      <c r="R124" s="257" t="s">
        <v>93</v>
      </c>
      <c r="S124" s="257" t="s">
        <v>93</v>
      </c>
      <c r="T124" s="257" t="s">
        <v>93</v>
      </c>
    </row>
    <row r="125" spans="1:20">
      <c r="A125" s="37" t="s">
        <v>24</v>
      </c>
      <c r="B125" s="457">
        <v>187.15805814993516</v>
      </c>
      <c r="C125" s="457">
        <v>135.73625303624141</v>
      </c>
      <c r="D125" s="457">
        <v>165.1789464115964</v>
      </c>
      <c r="E125" s="457">
        <v>139.2497602176752</v>
      </c>
      <c r="F125" s="457">
        <v>81.807639320842057</v>
      </c>
      <c r="G125" s="457">
        <v>157.29725214330981</v>
      </c>
      <c r="H125" s="457">
        <v>120.71018808217279</v>
      </c>
      <c r="I125" s="457">
        <v>110.68598471221021</v>
      </c>
      <c r="J125" s="457">
        <v>225.44302298921787</v>
      </c>
      <c r="K125" s="457">
        <v>166.11584442602231</v>
      </c>
      <c r="L125" s="457">
        <v>142.05262173227277</v>
      </c>
      <c r="M125" s="457">
        <v>117.22820143689898</v>
      </c>
      <c r="N125" s="457">
        <v>90.861550109746901</v>
      </c>
      <c r="O125" s="457">
        <v>99.829929249266115</v>
      </c>
      <c r="P125" s="257" t="s">
        <v>93</v>
      </c>
      <c r="Q125" s="257" t="s">
        <v>93</v>
      </c>
      <c r="R125" s="257" t="s">
        <v>93</v>
      </c>
      <c r="S125" s="257" t="s">
        <v>93</v>
      </c>
      <c r="T125" s="257" t="s">
        <v>93</v>
      </c>
    </row>
    <row r="126" spans="1:20">
      <c r="A126" s="37" t="s">
        <v>25</v>
      </c>
      <c r="B126" s="457">
        <v>187.52130313238368</v>
      </c>
      <c r="C126" s="457">
        <v>137.97216431050546</v>
      </c>
      <c r="D126" s="457">
        <v>168.22824897226434</v>
      </c>
      <c r="E126" s="457">
        <v>141.8343790427343</v>
      </c>
      <c r="F126" s="457">
        <v>85.045161868614542</v>
      </c>
      <c r="G126" s="457">
        <v>171.69680829940299</v>
      </c>
      <c r="H126" s="457">
        <v>117.93972077320502</v>
      </c>
      <c r="I126" s="457">
        <v>109.39869089813249</v>
      </c>
      <c r="J126" s="457">
        <v>227.79245263989236</v>
      </c>
      <c r="K126" s="457">
        <v>169.7148083178873</v>
      </c>
      <c r="L126" s="457">
        <v>140.71168882722364</v>
      </c>
      <c r="M126" s="457">
        <v>117.31057718848487</v>
      </c>
      <c r="N126" s="457">
        <v>90.996810925848365</v>
      </c>
      <c r="O126" s="457">
        <v>101.30481028890438</v>
      </c>
      <c r="P126" s="257" t="s">
        <v>93</v>
      </c>
      <c r="Q126" s="257" t="s">
        <v>93</v>
      </c>
      <c r="R126" s="257" t="s">
        <v>93</v>
      </c>
      <c r="S126" s="257" t="s">
        <v>93</v>
      </c>
      <c r="T126" s="257" t="s">
        <v>93</v>
      </c>
    </row>
    <row r="127" spans="1:20">
      <c r="A127" s="37" t="s">
        <v>26</v>
      </c>
      <c r="B127" s="457">
        <v>189.38329656779166</v>
      </c>
      <c r="C127" s="457">
        <v>143.38857586363653</v>
      </c>
      <c r="D127" s="457">
        <v>173.88862012965328</v>
      </c>
      <c r="E127" s="457">
        <v>146.48287513222229</v>
      </c>
      <c r="F127" s="457">
        <v>89.622195711730015</v>
      </c>
      <c r="G127" s="457">
        <v>168.38607426921121</v>
      </c>
      <c r="H127" s="457">
        <v>118.98111285880196</v>
      </c>
      <c r="I127" s="457">
        <v>109.9387394364806</v>
      </c>
      <c r="J127" s="457">
        <v>239.58411174715275</v>
      </c>
      <c r="K127" s="457">
        <v>178.92340846434044</v>
      </c>
      <c r="L127" s="457">
        <v>141.14334142245315</v>
      </c>
      <c r="M127" s="457">
        <v>119.15261207198178</v>
      </c>
      <c r="N127" s="457">
        <v>93.061724662185426</v>
      </c>
      <c r="O127" s="457">
        <v>106.28700168470692</v>
      </c>
      <c r="P127" s="257" t="s">
        <v>93</v>
      </c>
      <c r="Q127" s="257" t="s">
        <v>93</v>
      </c>
      <c r="R127" s="257" t="s">
        <v>93</v>
      </c>
      <c r="S127" s="257" t="s">
        <v>93</v>
      </c>
      <c r="T127" s="257" t="s">
        <v>93</v>
      </c>
    </row>
    <row r="128" spans="1:20">
      <c r="A128" s="37" t="s">
        <v>27</v>
      </c>
      <c r="B128" s="457">
        <v>189.86421905081778</v>
      </c>
      <c r="C128" s="457">
        <v>146.29126138498287</v>
      </c>
      <c r="D128" s="457">
        <v>176.71437369393706</v>
      </c>
      <c r="E128" s="457">
        <v>147.04868415782371</v>
      </c>
      <c r="F128" s="457">
        <v>95.761792711338714</v>
      </c>
      <c r="G128" s="457">
        <v>165.38819352133694</v>
      </c>
      <c r="H128" s="457">
        <v>119.51353817519055</v>
      </c>
      <c r="I128" s="457">
        <v>109.5286785927034</v>
      </c>
      <c r="J128" s="457">
        <v>242.13443926853438</v>
      </c>
      <c r="K128" s="457">
        <v>183.06459165927174</v>
      </c>
      <c r="L128" s="457">
        <v>141.22571685393245</v>
      </c>
      <c r="M128" s="457">
        <v>119.75140706257888</v>
      </c>
      <c r="N128" s="457">
        <v>95.882962313205695</v>
      </c>
      <c r="O128" s="457">
        <v>108.35280023617574</v>
      </c>
      <c r="P128" s="257" t="s">
        <v>93</v>
      </c>
      <c r="Q128" s="257" t="s">
        <v>93</v>
      </c>
      <c r="R128" s="257" t="s">
        <v>93</v>
      </c>
      <c r="S128" s="257" t="s">
        <v>93</v>
      </c>
      <c r="T128" s="257" t="s">
        <v>93</v>
      </c>
    </row>
    <row r="129" spans="1:20">
      <c r="A129" s="37" t="s">
        <v>28</v>
      </c>
      <c r="B129" s="457">
        <v>190.5998074217492</v>
      </c>
      <c r="C129" s="457">
        <v>149.25833085417867</v>
      </c>
      <c r="D129" s="457">
        <v>180.88838480889694</v>
      </c>
      <c r="E129" s="457">
        <v>145.461366081308</v>
      </c>
      <c r="F129" s="457">
        <v>106.83663462868861</v>
      </c>
      <c r="G129" s="457">
        <v>183.37182103668084</v>
      </c>
      <c r="H129" s="457">
        <v>121.30078919418249</v>
      </c>
      <c r="I129" s="457">
        <v>108.97781934628105</v>
      </c>
      <c r="J129" s="457">
        <v>261.5079971280764</v>
      </c>
      <c r="K129" s="457">
        <v>188.95302514852082</v>
      </c>
      <c r="L129" s="457">
        <v>141.60019773305768</v>
      </c>
      <c r="M129" s="457">
        <v>120.81107740631543</v>
      </c>
      <c r="N129" s="457">
        <v>99.404436931880753</v>
      </c>
      <c r="O129" s="457">
        <v>109.88221480832981</v>
      </c>
      <c r="P129" s="257" t="s">
        <v>93</v>
      </c>
      <c r="Q129" s="257" t="s">
        <v>93</v>
      </c>
      <c r="R129" s="257" t="s">
        <v>93</v>
      </c>
      <c r="S129" s="257" t="s">
        <v>93</v>
      </c>
      <c r="T129" s="257" t="s">
        <v>93</v>
      </c>
    </row>
    <row r="130" spans="1:20">
      <c r="A130" s="37" t="s">
        <v>29</v>
      </c>
      <c r="B130" s="457">
        <v>192.37035062218192</v>
      </c>
      <c r="C130" s="457">
        <v>152.10106628423645</v>
      </c>
      <c r="D130" s="457">
        <v>183.57516885395032</v>
      </c>
      <c r="E130" s="457">
        <v>150.70244679587208</v>
      </c>
      <c r="F130" s="457">
        <v>127.6725497540619</v>
      </c>
      <c r="G130" s="457">
        <v>191.32244744572091</v>
      </c>
      <c r="H130" s="457">
        <v>127.91198711173978</v>
      </c>
      <c r="I130" s="457">
        <v>109.32360936386482</v>
      </c>
      <c r="J130" s="457">
        <v>270.50920623005953</v>
      </c>
      <c r="K130" s="457">
        <v>195.19189237014155</v>
      </c>
      <c r="L130" s="457">
        <v>143.49299447173527</v>
      </c>
      <c r="M130" s="457">
        <v>122.35495721425997</v>
      </c>
      <c r="N130" s="457">
        <v>100.52182105087577</v>
      </c>
      <c r="O130" s="457">
        <v>112.37885637933201</v>
      </c>
      <c r="P130" s="257" t="s">
        <v>93</v>
      </c>
      <c r="Q130" s="257" t="s">
        <v>93</v>
      </c>
      <c r="R130" s="257" t="s">
        <v>93</v>
      </c>
      <c r="S130" s="257" t="s">
        <v>93</v>
      </c>
      <c r="T130" s="257" t="s">
        <v>93</v>
      </c>
    </row>
    <row r="131" spans="1:20">
      <c r="A131" s="37" t="s">
        <v>1816</v>
      </c>
      <c r="B131" s="581"/>
      <c r="C131" s="581"/>
      <c r="D131" s="581"/>
      <c r="E131" s="581"/>
      <c r="F131" s="581"/>
      <c r="G131" s="581"/>
      <c r="H131" s="581"/>
      <c r="I131" s="581"/>
      <c r="J131" s="581"/>
      <c r="K131" s="581"/>
      <c r="L131" s="581"/>
      <c r="M131" s="581"/>
      <c r="N131" s="581"/>
      <c r="O131" s="581"/>
      <c r="P131" s="581"/>
      <c r="Q131" s="581"/>
      <c r="R131" s="581"/>
      <c r="S131" s="581"/>
      <c r="T131" s="581"/>
    </row>
    <row r="132" spans="1:20">
      <c r="A132" s="37" t="s">
        <v>18</v>
      </c>
      <c r="B132" s="457">
        <v>194.08603724186221</v>
      </c>
      <c r="C132" s="457">
        <v>163.44321140994339</v>
      </c>
      <c r="D132" s="457">
        <v>191.16735400521236</v>
      </c>
      <c r="E132" s="457">
        <v>151.86435625676077</v>
      </c>
      <c r="F132" s="457">
        <v>139.20330521608207</v>
      </c>
      <c r="G132" s="457">
        <v>188.25121205793869</v>
      </c>
      <c r="H132" s="457">
        <v>132.21038857068581</v>
      </c>
      <c r="I132" s="457">
        <v>109.85192091032177</v>
      </c>
      <c r="J132" s="457">
        <v>269.41744195606373</v>
      </c>
      <c r="K132" s="457">
        <v>197.7751551527312</v>
      </c>
      <c r="L132" s="457">
        <v>143.9573165202647</v>
      </c>
      <c r="M132" s="457">
        <v>151.15758634622134</v>
      </c>
      <c r="N132" s="457">
        <v>98.822044241983718</v>
      </c>
      <c r="O132" s="457">
        <v>108.80961593055586</v>
      </c>
      <c r="P132" s="257" t="s">
        <v>93</v>
      </c>
      <c r="Q132" s="257" t="s">
        <v>93</v>
      </c>
      <c r="R132" s="257" t="s">
        <v>93</v>
      </c>
      <c r="S132" s="257" t="s">
        <v>93</v>
      </c>
      <c r="T132" s="257" t="s">
        <v>93</v>
      </c>
    </row>
    <row r="133" spans="1:20">
      <c r="A133" s="37" t="s">
        <v>19</v>
      </c>
      <c r="B133" s="457">
        <v>183.6220892789789</v>
      </c>
      <c r="C133" s="457">
        <v>158.10092060647577</v>
      </c>
      <c r="D133" s="457">
        <v>178.91403845510715</v>
      </c>
      <c r="E133" s="457">
        <v>150.98398546899361</v>
      </c>
      <c r="F133" s="457">
        <v>130.74161844634199</v>
      </c>
      <c r="G133" s="457">
        <v>263.46262893354617</v>
      </c>
      <c r="H133" s="457">
        <v>135.60107773925799</v>
      </c>
      <c r="I133" s="457">
        <v>104.49784403820136</v>
      </c>
      <c r="J133" s="457">
        <v>256.12307234051013</v>
      </c>
      <c r="K133" s="457">
        <v>186.41765982890658</v>
      </c>
      <c r="L133" s="457">
        <v>135.52406111351712</v>
      </c>
      <c r="M133" s="457">
        <v>155.03027844726444</v>
      </c>
      <c r="N133" s="457">
        <v>94.70575013984049</v>
      </c>
      <c r="O133" s="457">
        <v>102.94358811609573</v>
      </c>
      <c r="P133" s="257" t="s">
        <v>93</v>
      </c>
      <c r="Q133" s="257" t="s">
        <v>93</v>
      </c>
      <c r="R133" s="257" t="s">
        <v>93</v>
      </c>
      <c r="S133" s="257" t="s">
        <v>93</v>
      </c>
      <c r="T133" s="257" t="s">
        <v>93</v>
      </c>
    </row>
    <row r="134" spans="1:20">
      <c r="A134" s="37" t="s">
        <v>20</v>
      </c>
      <c r="B134" s="457">
        <v>151.72810688243555</v>
      </c>
      <c r="C134" s="457">
        <v>135.89655530939868</v>
      </c>
      <c r="D134" s="457">
        <v>151.12702195505383</v>
      </c>
      <c r="E134" s="457">
        <v>129.93621044547771</v>
      </c>
      <c r="F134" s="457">
        <v>100.76522694639931</v>
      </c>
      <c r="G134" s="457">
        <v>185.29989979011771</v>
      </c>
      <c r="H134" s="457">
        <v>115.513167575401</v>
      </c>
      <c r="I134" s="457">
        <v>86.607770884602346</v>
      </c>
      <c r="J134" s="457">
        <v>214.65089735855742</v>
      </c>
      <c r="K134" s="457">
        <v>157.8586490999169</v>
      </c>
      <c r="L134" s="457">
        <v>112.48941940771969</v>
      </c>
      <c r="M134" s="457">
        <v>125.43959074857739</v>
      </c>
      <c r="N134" s="457">
        <v>79.372815874563415</v>
      </c>
      <c r="O134" s="457">
        <v>89.518467703393029</v>
      </c>
      <c r="P134" s="257" t="s">
        <v>93</v>
      </c>
      <c r="Q134" s="257" t="s">
        <v>93</v>
      </c>
      <c r="R134" s="257" t="s">
        <v>93</v>
      </c>
      <c r="S134" s="257" t="s">
        <v>93</v>
      </c>
      <c r="T134" s="257" t="s">
        <v>93</v>
      </c>
    </row>
    <row r="135" spans="1:20">
      <c r="A135" s="37" t="s">
        <v>21</v>
      </c>
      <c r="B135" s="457">
        <v>151.05128448872168</v>
      </c>
      <c r="C135" s="457">
        <v>135.59107333760178</v>
      </c>
      <c r="D135" s="457">
        <v>151.05310363158924</v>
      </c>
      <c r="E135" s="457">
        <v>130.39539266656641</v>
      </c>
      <c r="F135" s="457">
        <v>87.139140152724025</v>
      </c>
      <c r="G135" s="457">
        <v>157.83807360857861</v>
      </c>
      <c r="H135" s="457">
        <v>118.75531439459297</v>
      </c>
      <c r="I135" s="457">
        <v>86.374437772854094</v>
      </c>
      <c r="J135" s="457">
        <v>211.43495282923269</v>
      </c>
      <c r="K135" s="457">
        <v>154.15225055526849</v>
      </c>
      <c r="L135" s="457">
        <v>111.68635381610446</v>
      </c>
      <c r="M135" s="457">
        <v>119.36686848671545</v>
      </c>
      <c r="N135" s="457">
        <v>77.144967196955463</v>
      </c>
      <c r="O135" s="457">
        <v>87.24574681224054</v>
      </c>
      <c r="P135" s="257" t="s">
        <v>93</v>
      </c>
      <c r="Q135" s="257" t="s">
        <v>93</v>
      </c>
      <c r="R135" s="257" t="s">
        <v>93</v>
      </c>
      <c r="S135" s="257" t="s">
        <v>93</v>
      </c>
      <c r="T135" s="257" t="s">
        <v>93</v>
      </c>
    </row>
    <row r="136" spans="1:20">
      <c r="A136" s="37" t="s">
        <v>22</v>
      </c>
      <c r="B136" s="457">
        <v>149.8619268415068</v>
      </c>
      <c r="C136" s="457">
        <v>130.16526422224996</v>
      </c>
      <c r="D136" s="457">
        <v>144.6499053252505</v>
      </c>
      <c r="E136" s="457">
        <v>128.84145258204705</v>
      </c>
      <c r="F136" s="457">
        <v>83.07251635824818</v>
      </c>
      <c r="G136" s="457">
        <v>142.51285278663741</v>
      </c>
      <c r="H136" s="457">
        <v>120.82608475167046</v>
      </c>
      <c r="I136" s="457">
        <v>85.809686822967777</v>
      </c>
      <c r="J136" s="457">
        <v>211.85927751357346</v>
      </c>
      <c r="K136" s="457">
        <v>150.30030324094707</v>
      </c>
      <c r="L136" s="457">
        <v>111.52733339174796</v>
      </c>
      <c r="M136" s="457">
        <v>117.22577144275807</v>
      </c>
      <c r="N136" s="457">
        <v>76.938872084744332</v>
      </c>
      <c r="O136" s="457">
        <v>83.925155452276229</v>
      </c>
      <c r="P136" s="257" t="s">
        <v>93</v>
      </c>
      <c r="Q136" s="257" t="s">
        <v>93</v>
      </c>
      <c r="R136" s="257" t="s">
        <v>93</v>
      </c>
      <c r="S136" s="257" t="s">
        <v>93</v>
      </c>
      <c r="T136" s="257" t="s">
        <v>93</v>
      </c>
    </row>
    <row r="137" spans="1:20">
      <c r="A137" s="37" t="s">
        <v>23</v>
      </c>
      <c r="B137" s="457">
        <v>147.74991249917824</v>
      </c>
      <c r="C137" s="457">
        <v>128.07156049558407</v>
      </c>
      <c r="D137" s="457">
        <v>142.23976483337353</v>
      </c>
      <c r="E137" s="457">
        <v>130.85514972795752</v>
      </c>
      <c r="F137" s="457">
        <v>88.282168627715549</v>
      </c>
      <c r="G137" s="457">
        <v>143.18969010170548</v>
      </c>
      <c r="H137" s="457">
        <v>116.39070917596868</v>
      </c>
      <c r="I137" s="457">
        <v>85.041793286009451</v>
      </c>
      <c r="J137" s="457">
        <v>215.25232794781084</v>
      </c>
      <c r="K137" s="457">
        <v>146.46459309427016</v>
      </c>
      <c r="L137" s="457">
        <v>110.34007367228594</v>
      </c>
      <c r="M137" s="457">
        <v>122.99273327989245</v>
      </c>
      <c r="N137" s="457">
        <v>77.408917600025106</v>
      </c>
      <c r="O137" s="457">
        <v>82.953945345292084</v>
      </c>
      <c r="P137" s="257" t="s">
        <v>93</v>
      </c>
      <c r="Q137" s="257" t="s">
        <v>93</v>
      </c>
      <c r="R137" s="257" t="s">
        <v>93</v>
      </c>
      <c r="S137" s="257" t="s">
        <v>93</v>
      </c>
      <c r="T137" s="257" t="s">
        <v>93</v>
      </c>
    </row>
    <row r="138" spans="1:20">
      <c r="A138" s="37" t="s">
        <v>24</v>
      </c>
      <c r="B138" s="457">
        <v>146.38091571602189</v>
      </c>
      <c r="C138" s="457">
        <v>130.31619266432125</v>
      </c>
      <c r="D138" s="457">
        <v>141.50270232504519</v>
      </c>
      <c r="E138" s="457">
        <v>129.38982846892642</v>
      </c>
      <c r="F138" s="457">
        <v>91.072913498261926</v>
      </c>
      <c r="G138" s="457">
        <v>147.32197233888428</v>
      </c>
      <c r="H138" s="457">
        <v>115.81463098627124</v>
      </c>
      <c r="I138" s="457">
        <v>84.551331629042409</v>
      </c>
      <c r="J138" s="457">
        <v>212.82782796860246</v>
      </c>
      <c r="K138" s="457">
        <v>143.96291623624776</v>
      </c>
      <c r="L138" s="457">
        <v>109.12985536699364</v>
      </c>
      <c r="M138" s="457">
        <v>121.61324644491307</v>
      </c>
      <c r="N138" s="457">
        <v>78.897942367312282</v>
      </c>
      <c r="O138" s="457">
        <v>84.59959966135186</v>
      </c>
      <c r="P138" s="257" t="s">
        <v>93</v>
      </c>
      <c r="Q138" s="257" t="s">
        <v>93</v>
      </c>
      <c r="R138" s="257" t="s">
        <v>93</v>
      </c>
      <c r="S138" s="257" t="s">
        <v>93</v>
      </c>
      <c r="T138" s="257" t="s">
        <v>93</v>
      </c>
    </row>
    <row r="139" spans="1:20">
      <c r="A139" s="37" t="s">
        <v>25</v>
      </c>
      <c r="B139" s="457">
        <v>146.4369025428104</v>
      </c>
      <c r="C139" s="457">
        <v>128.84656982652575</v>
      </c>
      <c r="D139" s="457">
        <v>140.84575035683707</v>
      </c>
      <c r="E139" s="457">
        <v>136.32885460562389</v>
      </c>
      <c r="F139" s="457">
        <v>103.2259867240478</v>
      </c>
      <c r="G139" s="457">
        <v>146.90706776549771</v>
      </c>
      <c r="H139" s="457">
        <v>117.68075413585986</v>
      </c>
      <c r="I139" s="457">
        <v>92.222153171840588</v>
      </c>
      <c r="J139" s="457">
        <v>212.37353428752991</v>
      </c>
      <c r="K139" s="457">
        <v>145.8928860617637</v>
      </c>
      <c r="L139" s="457">
        <v>110.73929106144423</v>
      </c>
      <c r="M139" s="457">
        <v>128.72007240448923</v>
      </c>
      <c r="N139" s="457">
        <v>81.100671467266011</v>
      </c>
      <c r="O139" s="457">
        <v>86.175804390719478</v>
      </c>
      <c r="P139" s="257" t="s">
        <v>93</v>
      </c>
      <c r="Q139" s="257" t="s">
        <v>93</v>
      </c>
      <c r="R139" s="257" t="s">
        <v>93</v>
      </c>
      <c r="S139" s="257" t="s">
        <v>93</v>
      </c>
      <c r="T139" s="257" t="s">
        <v>93</v>
      </c>
    </row>
    <row r="140" spans="1:20">
      <c r="A140" s="37" t="s">
        <v>26</v>
      </c>
      <c r="B140" s="457">
        <v>147.24578446015158</v>
      </c>
      <c r="C140" s="457">
        <v>127.75559429127081</v>
      </c>
      <c r="D140" s="457">
        <v>143.50440983576601</v>
      </c>
      <c r="E140" s="457">
        <v>143.22326748701477</v>
      </c>
      <c r="F140" s="457">
        <v>105.40787083822532</v>
      </c>
      <c r="G140" s="457">
        <v>145.52211493749112</v>
      </c>
      <c r="H140" s="457">
        <v>119.90970769579815</v>
      </c>
      <c r="I140" s="457">
        <v>116.17253932071871</v>
      </c>
      <c r="J140" s="457">
        <v>207.34449388388006</v>
      </c>
      <c r="K140" s="457">
        <v>149.9448110491148</v>
      </c>
      <c r="L140" s="457">
        <v>111.61378387123726</v>
      </c>
      <c r="M140" s="457">
        <v>138.56511844749005</v>
      </c>
      <c r="N140" s="457">
        <v>81.929331863887583</v>
      </c>
      <c r="O140" s="457">
        <v>86.60985429289282</v>
      </c>
      <c r="P140" s="257" t="s">
        <v>93</v>
      </c>
      <c r="Q140" s="257" t="s">
        <v>93</v>
      </c>
      <c r="R140" s="257" t="s">
        <v>93</v>
      </c>
      <c r="S140" s="257" t="s">
        <v>93</v>
      </c>
      <c r="T140" s="257" t="s">
        <v>93</v>
      </c>
    </row>
    <row r="141" spans="1:20">
      <c r="A141" s="37" t="s">
        <v>27</v>
      </c>
      <c r="B141" s="457">
        <v>147.14699357702111</v>
      </c>
      <c r="C141" s="457">
        <v>127.86593543924977</v>
      </c>
      <c r="D141" s="457">
        <v>143.88500275432571</v>
      </c>
      <c r="E141" s="457">
        <v>137.28261846243868</v>
      </c>
      <c r="F141" s="457">
        <v>99.275523842348122</v>
      </c>
      <c r="G141" s="457">
        <v>147.93231854190827</v>
      </c>
      <c r="H141" s="457">
        <v>118.87040853053416</v>
      </c>
      <c r="I141" s="457">
        <v>117.56824526576355</v>
      </c>
      <c r="J141" s="457">
        <v>207.87661709609876</v>
      </c>
      <c r="K141" s="457">
        <v>148.35464361167536</v>
      </c>
      <c r="L141" s="457">
        <v>111.836328263868</v>
      </c>
      <c r="M141" s="457">
        <v>135.45135502691767</v>
      </c>
      <c r="N141" s="457">
        <v>79.354194437679993</v>
      </c>
      <c r="O141" s="457">
        <v>86.458533462601096</v>
      </c>
      <c r="P141" s="257" t="s">
        <v>93</v>
      </c>
      <c r="Q141" s="257" t="s">
        <v>93</v>
      </c>
      <c r="R141" s="257" t="s">
        <v>93</v>
      </c>
      <c r="S141" s="257" t="s">
        <v>93</v>
      </c>
      <c r="T141" s="257" t="s">
        <v>93</v>
      </c>
    </row>
    <row r="142" spans="1:20">
      <c r="A142" s="37" t="s">
        <v>28</v>
      </c>
      <c r="B142" s="457">
        <v>147.4012764204472</v>
      </c>
      <c r="C142" s="457">
        <v>133.8173908649303</v>
      </c>
      <c r="D142" s="457">
        <v>145.2509054769572</v>
      </c>
      <c r="E142" s="457">
        <v>134.06181832190703</v>
      </c>
      <c r="F142" s="457">
        <v>101.50402605694875</v>
      </c>
      <c r="G142" s="457">
        <v>154.48405746150596</v>
      </c>
      <c r="H142" s="457">
        <v>119.35015549222661</v>
      </c>
      <c r="I142" s="457">
        <v>124.88434134757946</v>
      </c>
      <c r="J142" s="457">
        <v>212.8550834907015</v>
      </c>
      <c r="K142" s="457">
        <v>149.83866897967056</v>
      </c>
      <c r="L142" s="457">
        <v>112.35355079100816</v>
      </c>
      <c r="M142" s="457">
        <v>138.23753936758655</v>
      </c>
      <c r="N142" s="457">
        <v>79.954547025550056</v>
      </c>
      <c r="O142" s="457">
        <v>90.130747132063547</v>
      </c>
      <c r="P142" s="257" t="s">
        <v>93</v>
      </c>
      <c r="Q142" s="257" t="s">
        <v>93</v>
      </c>
      <c r="R142" s="257" t="s">
        <v>93</v>
      </c>
      <c r="S142" s="257" t="s">
        <v>93</v>
      </c>
      <c r="T142" s="257" t="s">
        <v>93</v>
      </c>
    </row>
    <row r="143" spans="1:20">
      <c r="A143" s="37" t="s">
        <v>29</v>
      </c>
      <c r="B143" s="457">
        <v>131.59658371589262</v>
      </c>
      <c r="C143" s="457">
        <v>117.85695349624335</v>
      </c>
      <c r="D143" s="457">
        <v>131.36294499968116</v>
      </c>
      <c r="E143" s="457">
        <v>121.15999585195038</v>
      </c>
      <c r="F143" s="457">
        <v>95.046461667172565</v>
      </c>
      <c r="G143" s="457">
        <v>136.76818156885668</v>
      </c>
      <c r="H143" s="457">
        <v>107.07368309795059</v>
      </c>
      <c r="I143" s="457">
        <v>118.00410662195424</v>
      </c>
      <c r="J143" s="457">
        <v>188.73560921755848</v>
      </c>
      <c r="K143" s="457">
        <v>133.46862179120586</v>
      </c>
      <c r="L143" s="457">
        <v>101.03563825029545</v>
      </c>
      <c r="M143" s="457">
        <v>125.3447571977662</v>
      </c>
      <c r="N143" s="457">
        <v>72.45060060655814</v>
      </c>
      <c r="O143" s="457">
        <v>79.6010596899239</v>
      </c>
      <c r="P143" s="257" t="s">
        <v>93</v>
      </c>
      <c r="Q143" s="257" t="s">
        <v>93</v>
      </c>
      <c r="R143" s="257" t="s">
        <v>93</v>
      </c>
      <c r="S143" s="257" t="s">
        <v>93</v>
      </c>
      <c r="T143" s="257" t="s">
        <v>93</v>
      </c>
    </row>
    <row r="144" spans="1:20">
      <c r="A144" s="37" t="s">
        <v>1839</v>
      </c>
      <c r="B144" s="581"/>
      <c r="C144" s="581"/>
      <c r="D144" s="581"/>
      <c r="E144" s="581"/>
      <c r="F144" s="581"/>
      <c r="G144" s="581"/>
      <c r="H144" s="581"/>
      <c r="I144" s="581"/>
      <c r="J144" s="581"/>
      <c r="K144" s="581"/>
      <c r="L144" s="581"/>
      <c r="M144" s="581"/>
      <c r="N144" s="581"/>
      <c r="O144" s="581"/>
      <c r="P144" s="581"/>
      <c r="Q144" s="581"/>
      <c r="R144" s="581"/>
      <c r="S144" s="581"/>
      <c r="T144" s="581"/>
    </row>
    <row r="145" spans="1:20">
      <c r="A145" s="37" t="s">
        <v>18</v>
      </c>
      <c r="B145" s="457">
        <v>108.19711027464722</v>
      </c>
      <c r="C145" s="457">
        <v>98.509749723726387</v>
      </c>
      <c r="D145" s="457">
        <v>112.90402422863133</v>
      </c>
      <c r="E145" s="457">
        <v>100.51544920591355</v>
      </c>
      <c r="F145" s="457">
        <v>84.908459479813061</v>
      </c>
      <c r="G145" s="457">
        <v>116.02582533390586</v>
      </c>
      <c r="H145" s="457">
        <v>88.604242924717838</v>
      </c>
      <c r="I145" s="457">
        <v>106.57381866848969</v>
      </c>
      <c r="J145" s="457">
        <v>151.89650541698151</v>
      </c>
      <c r="K145" s="457">
        <v>112.20950532352457</v>
      </c>
      <c r="L145" s="457">
        <v>84.077515463719337</v>
      </c>
      <c r="M145" s="457">
        <v>109.83578544420398</v>
      </c>
      <c r="N145" s="457">
        <v>60.961276702800149</v>
      </c>
      <c r="O145" s="457">
        <v>66.472343422519685</v>
      </c>
      <c r="P145" s="257" t="s">
        <v>93</v>
      </c>
      <c r="Q145" s="257" t="s">
        <v>93</v>
      </c>
      <c r="R145" s="257" t="s">
        <v>93</v>
      </c>
      <c r="S145" s="257" t="s">
        <v>93</v>
      </c>
      <c r="T145" s="257" t="s">
        <v>93</v>
      </c>
    </row>
    <row r="146" spans="1:20">
      <c r="A146" s="37" t="s">
        <v>19</v>
      </c>
      <c r="B146" s="457">
        <v>109.52063264397091</v>
      </c>
      <c r="C146" s="457">
        <v>97.157715296775038</v>
      </c>
      <c r="D146" s="457">
        <v>114.86085648459799</v>
      </c>
      <c r="E146" s="457">
        <v>99.675938200764861</v>
      </c>
      <c r="F146" s="457">
        <v>85.646331258707946</v>
      </c>
      <c r="G146" s="457">
        <v>127.84378090351356</v>
      </c>
      <c r="H146" s="457">
        <v>91.247678007952814</v>
      </c>
      <c r="I146" s="457">
        <v>105.83880033109006</v>
      </c>
      <c r="J146" s="457">
        <v>148.16220429055255</v>
      </c>
      <c r="K146" s="457">
        <v>112.65063851380178</v>
      </c>
      <c r="L146" s="457">
        <v>83.196528940280317</v>
      </c>
      <c r="M146" s="457">
        <v>117.62562774914439</v>
      </c>
      <c r="N146" s="457">
        <v>62.212927216845003</v>
      </c>
      <c r="O146" s="457">
        <v>66.097273570606646</v>
      </c>
      <c r="P146" s="257" t="s">
        <v>93</v>
      </c>
      <c r="Q146" s="257" t="s">
        <v>93</v>
      </c>
      <c r="R146" s="257" t="s">
        <v>93</v>
      </c>
      <c r="S146" s="257" t="s">
        <v>93</v>
      </c>
      <c r="T146" s="257" t="s">
        <v>93</v>
      </c>
    </row>
    <row r="147" spans="1:20">
      <c r="A147" s="37" t="s">
        <v>20</v>
      </c>
      <c r="B147" s="457">
        <v>107.78861299493825</v>
      </c>
      <c r="C147" s="457">
        <v>94.347456309216085</v>
      </c>
      <c r="D147" s="457">
        <v>113.03455982274532</v>
      </c>
      <c r="E147" s="457">
        <v>96.136339289338764</v>
      </c>
      <c r="F147" s="457">
        <v>76.442419483947319</v>
      </c>
      <c r="G147" s="457">
        <v>124.31436024681229</v>
      </c>
      <c r="H147" s="457">
        <v>86.216906712378005</v>
      </c>
      <c r="I147" s="457">
        <v>99.602673986443648</v>
      </c>
      <c r="J147" s="457">
        <v>143.50091442044351</v>
      </c>
      <c r="K147" s="457">
        <v>110.04688535347577</v>
      </c>
      <c r="L147" s="457">
        <v>81.622603061819376</v>
      </c>
      <c r="M147" s="457">
        <v>109.66698276727362</v>
      </c>
      <c r="N147" s="457">
        <v>59.694080597621749</v>
      </c>
      <c r="O147" s="457">
        <v>64.234872515671299</v>
      </c>
      <c r="P147" s="257" t="s">
        <v>93</v>
      </c>
      <c r="Q147" s="257" t="s">
        <v>93</v>
      </c>
      <c r="R147" s="257" t="s">
        <v>93</v>
      </c>
      <c r="S147" s="257" t="s">
        <v>93</v>
      </c>
      <c r="T147" s="257" t="s">
        <v>93</v>
      </c>
    </row>
    <row r="148" spans="1:20">
      <c r="A148" s="37" t="s">
        <v>21</v>
      </c>
      <c r="B148" s="457">
        <v>113.71615750110769</v>
      </c>
      <c r="C148" s="457">
        <v>98.222023768412839</v>
      </c>
      <c r="D148" s="457">
        <v>119.53393214499503</v>
      </c>
      <c r="E148" s="457">
        <v>99.511285665533435</v>
      </c>
      <c r="F148" s="457">
        <v>76.680180903633328</v>
      </c>
      <c r="G148" s="457">
        <v>123.88828363982671</v>
      </c>
      <c r="H148" s="457">
        <v>87.388701502309615</v>
      </c>
      <c r="I148" s="457">
        <v>102.35470009793976</v>
      </c>
      <c r="J148" s="457">
        <v>147.61788953377425</v>
      </c>
      <c r="K148" s="457">
        <v>113.29061712336943</v>
      </c>
      <c r="L148" s="457">
        <v>86.398526548111221</v>
      </c>
      <c r="M148" s="457">
        <v>110.81683960388096</v>
      </c>
      <c r="N148" s="457">
        <v>61.215435503826235</v>
      </c>
      <c r="O148" s="457">
        <v>66.698813909885899</v>
      </c>
      <c r="P148" s="257" t="s">
        <v>93</v>
      </c>
      <c r="Q148" s="257" t="s">
        <v>93</v>
      </c>
      <c r="R148" s="257" t="s">
        <v>93</v>
      </c>
      <c r="S148" s="257" t="s">
        <v>93</v>
      </c>
      <c r="T148" s="257" t="s">
        <v>93</v>
      </c>
    </row>
    <row r="149" spans="1:20">
      <c r="A149" s="37" t="s">
        <v>22</v>
      </c>
      <c r="B149" s="457">
        <v>114.39784626082935</v>
      </c>
      <c r="C149" s="457">
        <v>98.860018127207681</v>
      </c>
      <c r="D149" s="457">
        <v>118.18331729945048</v>
      </c>
      <c r="E149" s="457">
        <v>103.32455007893415</v>
      </c>
      <c r="F149" s="457">
        <v>75.970444506156213</v>
      </c>
      <c r="G149" s="457">
        <v>122.73735927962271</v>
      </c>
      <c r="H149" s="457">
        <v>85.476573598063581</v>
      </c>
      <c r="I149" s="457">
        <v>101.52570935260657</v>
      </c>
      <c r="J149" s="457">
        <v>147.41140665929862</v>
      </c>
      <c r="K149" s="457">
        <v>114.94693263041648</v>
      </c>
      <c r="L149" s="457">
        <v>88.182309676519722</v>
      </c>
      <c r="M149" s="457">
        <v>108.88594899280787</v>
      </c>
      <c r="N149" s="457">
        <v>63.078417461555119</v>
      </c>
      <c r="O149" s="457">
        <v>68.023794002685833</v>
      </c>
      <c r="P149" s="257" t="s">
        <v>93</v>
      </c>
      <c r="Q149" s="257" t="s">
        <v>93</v>
      </c>
      <c r="R149" s="257" t="s">
        <v>93</v>
      </c>
      <c r="S149" s="257" t="s">
        <v>93</v>
      </c>
      <c r="T149" s="257" t="s">
        <v>93</v>
      </c>
    </row>
    <row r="150" spans="1:20">
      <c r="A150" s="37" t="s">
        <v>23</v>
      </c>
      <c r="B150" s="457">
        <v>112.61262547422035</v>
      </c>
      <c r="C150" s="457">
        <v>98.226796548286245</v>
      </c>
      <c r="D150" s="457">
        <v>119.38382024828006</v>
      </c>
      <c r="E150" s="457">
        <v>100.95413913933152</v>
      </c>
      <c r="F150" s="457">
        <v>74.241278592562793</v>
      </c>
      <c r="G150" s="457">
        <v>120.14942739721214</v>
      </c>
      <c r="H150" s="457">
        <v>84.938172380399223</v>
      </c>
      <c r="I150" s="457">
        <v>100.88944582264371</v>
      </c>
      <c r="J150" s="457">
        <v>140.95876528912274</v>
      </c>
      <c r="K150" s="457">
        <v>114.60726046258456</v>
      </c>
      <c r="L150" s="457">
        <v>87.911962696337781</v>
      </c>
      <c r="M150" s="457">
        <v>109.30828464198312</v>
      </c>
      <c r="N150" s="457">
        <v>62.03422223285024</v>
      </c>
      <c r="O150" s="457">
        <v>66.562883816197242</v>
      </c>
      <c r="P150" s="257" t="s">
        <v>93</v>
      </c>
      <c r="Q150" s="257" t="s">
        <v>93</v>
      </c>
      <c r="R150" s="257" t="s">
        <v>93</v>
      </c>
      <c r="S150" s="257" t="s">
        <v>93</v>
      </c>
      <c r="T150" s="257" t="s">
        <v>93</v>
      </c>
    </row>
    <row r="151" spans="1:20">
      <c r="A151" s="37" t="s">
        <v>24</v>
      </c>
      <c r="B151" s="457">
        <v>109.09696421281356</v>
      </c>
      <c r="C151" s="457">
        <v>96.866001181961707</v>
      </c>
      <c r="D151" s="457">
        <v>124.27930531806372</v>
      </c>
      <c r="E151" s="457">
        <v>97.826774332275903</v>
      </c>
      <c r="F151" s="457">
        <v>70.296295607311578</v>
      </c>
      <c r="G151" s="457">
        <v>115.84310674033844</v>
      </c>
      <c r="H151" s="457">
        <v>88.389086805190985</v>
      </c>
      <c r="I151" s="457">
        <v>98.49445691482137</v>
      </c>
      <c r="J151" s="457">
        <v>135.10030365810562</v>
      </c>
      <c r="K151" s="457">
        <v>110.36099473222856</v>
      </c>
      <c r="L151" s="457">
        <v>86.081114009713644</v>
      </c>
      <c r="M151" s="457">
        <v>105.82635205829919</v>
      </c>
      <c r="N151" s="457">
        <v>58.484937647340146</v>
      </c>
      <c r="O151" s="457">
        <v>65.420844004114969</v>
      </c>
      <c r="P151" s="257" t="s">
        <v>93</v>
      </c>
      <c r="Q151" s="257" t="s">
        <v>93</v>
      </c>
      <c r="R151" s="257" t="s">
        <v>93</v>
      </c>
      <c r="S151" s="257" t="s">
        <v>93</v>
      </c>
      <c r="T151" s="257" t="s">
        <v>93</v>
      </c>
    </row>
    <row r="152" spans="1:20">
      <c r="A152" s="37" t="s">
        <v>25</v>
      </c>
      <c r="B152" s="457">
        <v>105.91544398042134</v>
      </c>
      <c r="C152" s="457">
        <v>92.987848335595075</v>
      </c>
      <c r="D152" s="457">
        <v>121.37248700923341</v>
      </c>
      <c r="E152" s="457">
        <v>95.517340546634273</v>
      </c>
      <c r="F152" s="457">
        <v>69.005529091109423</v>
      </c>
      <c r="G152" s="457">
        <v>114.28492213378229</v>
      </c>
      <c r="H152" s="457">
        <v>84.740128827845425</v>
      </c>
      <c r="I152" s="457">
        <v>96.37526421853066</v>
      </c>
      <c r="J152" s="457">
        <v>128.04729040159495</v>
      </c>
      <c r="K152" s="457">
        <v>106.02595794960399</v>
      </c>
      <c r="L152" s="457">
        <v>83.348145180487151</v>
      </c>
      <c r="M152" s="457">
        <v>101.22477075525602</v>
      </c>
      <c r="N152" s="457">
        <v>55.505704625956199</v>
      </c>
      <c r="O152" s="457">
        <v>63.005686639845415</v>
      </c>
      <c r="P152" s="257" t="s">
        <v>93</v>
      </c>
      <c r="Q152" s="257" t="s">
        <v>93</v>
      </c>
      <c r="R152" s="257" t="s">
        <v>93</v>
      </c>
      <c r="S152" s="257" t="s">
        <v>93</v>
      </c>
      <c r="T152" s="257" t="s">
        <v>93</v>
      </c>
    </row>
    <row r="153" spans="1:20">
      <c r="A153" s="37" t="s">
        <v>26</v>
      </c>
      <c r="B153" s="457">
        <v>106.49789104880956</v>
      </c>
      <c r="C153" s="457">
        <v>93.372405312946924</v>
      </c>
      <c r="D153" s="457">
        <v>121.51646397952773</v>
      </c>
      <c r="E153" s="457">
        <v>96.20007647149869</v>
      </c>
      <c r="F153" s="457">
        <v>69.019497934649266</v>
      </c>
      <c r="G153" s="457">
        <v>118.54035459497084</v>
      </c>
      <c r="H153" s="457">
        <v>84.892769263369175</v>
      </c>
      <c r="I153" s="457">
        <v>95.49801881763446</v>
      </c>
      <c r="J153" s="457">
        <v>129.87532375935334</v>
      </c>
      <c r="K153" s="457">
        <v>106.17711086523178</v>
      </c>
      <c r="L153" s="457">
        <v>83.767115022000667</v>
      </c>
      <c r="M153" s="457">
        <v>100.78361720122354</v>
      </c>
      <c r="N153" s="457">
        <v>55.498934465244147</v>
      </c>
      <c r="O153" s="457">
        <v>63.790269046574366</v>
      </c>
      <c r="P153" s="257" t="s">
        <v>93</v>
      </c>
      <c r="Q153" s="257" t="s">
        <v>93</v>
      </c>
      <c r="R153" s="257" t="s">
        <v>93</v>
      </c>
      <c r="S153" s="257" t="s">
        <v>93</v>
      </c>
      <c r="T153" s="257" t="s">
        <v>93</v>
      </c>
    </row>
    <row r="154" spans="1:20">
      <c r="A154" s="37" t="s">
        <v>27</v>
      </c>
      <c r="B154" s="457">
        <v>109.04188775054986</v>
      </c>
      <c r="C154" s="457">
        <v>97.362554871392291</v>
      </c>
      <c r="D154" s="457">
        <v>132.96608401903597</v>
      </c>
      <c r="E154" s="457">
        <v>101.01311061171708</v>
      </c>
      <c r="F154" s="457">
        <v>68.639248210867777</v>
      </c>
      <c r="G154" s="457">
        <v>116.17452629141162</v>
      </c>
      <c r="H154" s="457">
        <v>88.701797121998624</v>
      </c>
      <c r="I154" s="457">
        <v>95.766997500610302</v>
      </c>
      <c r="J154" s="457">
        <v>134.92866749994278</v>
      </c>
      <c r="K154" s="457">
        <v>110.36673842654947</v>
      </c>
      <c r="L154" s="457">
        <v>86.878879174169271</v>
      </c>
      <c r="M154" s="457">
        <v>101.00721404049018</v>
      </c>
      <c r="N154" s="457">
        <v>57.937051476119471</v>
      </c>
      <c r="O154" s="457">
        <v>66.333125434820573</v>
      </c>
      <c r="P154" s="257" t="s">
        <v>93</v>
      </c>
      <c r="Q154" s="257" t="s">
        <v>93</v>
      </c>
      <c r="R154" s="257" t="s">
        <v>93</v>
      </c>
      <c r="S154" s="257" t="s">
        <v>93</v>
      </c>
      <c r="T154" s="257" t="s">
        <v>93</v>
      </c>
    </row>
    <row r="155" spans="1:20">
      <c r="A155" s="37" t="s">
        <v>28</v>
      </c>
      <c r="B155" s="457">
        <v>105.38255559253646</v>
      </c>
      <c r="C155" s="457">
        <v>96.404558100834294</v>
      </c>
      <c r="D155" s="457">
        <v>127.80846667026307</v>
      </c>
      <c r="E155" s="457">
        <v>104.15185986336741</v>
      </c>
      <c r="F155" s="457">
        <v>67.99400995344034</v>
      </c>
      <c r="G155" s="457">
        <v>110.3488347318106</v>
      </c>
      <c r="H155" s="457">
        <v>89.370697024368852</v>
      </c>
      <c r="I155" s="457">
        <v>93.603179924075519</v>
      </c>
      <c r="J155" s="457">
        <v>136.25286447477328</v>
      </c>
      <c r="K155" s="457">
        <v>108.10100292174981</v>
      </c>
      <c r="L155" s="457">
        <v>85.504372958422422</v>
      </c>
      <c r="M155" s="457">
        <v>98.187074728694967</v>
      </c>
      <c r="N155" s="457">
        <v>57.979366750902592</v>
      </c>
      <c r="O155" s="457">
        <v>65.004157231860106</v>
      </c>
      <c r="P155" s="257" t="s">
        <v>93</v>
      </c>
      <c r="Q155" s="257" t="s">
        <v>93</v>
      </c>
      <c r="R155" s="257" t="s">
        <v>93</v>
      </c>
      <c r="S155" s="257" t="s">
        <v>93</v>
      </c>
      <c r="T155" s="257" t="s">
        <v>93</v>
      </c>
    </row>
    <row r="156" spans="1:20">
      <c r="A156" s="37" t="s">
        <v>29</v>
      </c>
      <c r="B156" s="457">
        <v>104.67811203499782</v>
      </c>
      <c r="C156" s="457">
        <v>97.841576538407651</v>
      </c>
      <c r="D156" s="457">
        <v>126.35048183626742</v>
      </c>
      <c r="E156" s="457">
        <v>108.72758433038318</v>
      </c>
      <c r="F156" s="457">
        <v>65.065126576192355</v>
      </c>
      <c r="G156" s="457">
        <v>111.03669857050758</v>
      </c>
      <c r="H156" s="457">
        <v>94.462394993045493</v>
      </c>
      <c r="I156" s="457">
        <v>90.832503946983508</v>
      </c>
      <c r="J156" s="457">
        <v>145.90148409350743</v>
      </c>
      <c r="K156" s="457">
        <v>107.30851305752027</v>
      </c>
      <c r="L156" s="457">
        <v>86.020881501711756</v>
      </c>
      <c r="M156" s="457">
        <v>98.743528767075091</v>
      </c>
      <c r="N156" s="457">
        <v>58.754806724060387</v>
      </c>
      <c r="O156" s="457">
        <v>66.387877458941873</v>
      </c>
      <c r="P156" s="257" t="s">
        <v>93</v>
      </c>
      <c r="Q156" s="257" t="s">
        <v>93</v>
      </c>
      <c r="R156" s="257" t="s">
        <v>93</v>
      </c>
      <c r="S156" s="257" t="s">
        <v>93</v>
      </c>
      <c r="T156" s="257" t="s">
        <v>93</v>
      </c>
    </row>
    <row r="157" spans="1:20">
      <c r="A157" s="37" t="s">
        <v>1902</v>
      </c>
      <c r="B157" s="457"/>
      <c r="C157" s="457"/>
      <c r="D157" s="457"/>
      <c r="E157" s="457"/>
      <c r="F157" s="457"/>
      <c r="G157" s="457"/>
      <c r="H157" s="457"/>
      <c r="I157" s="457"/>
      <c r="J157" s="457"/>
      <c r="K157" s="457"/>
      <c r="L157" s="457"/>
      <c r="M157" s="457"/>
      <c r="N157" s="457"/>
      <c r="O157" s="457"/>
      <c r="P157" s="457"/>
      <c r="Q157" s="457"/>
      <c r="R157" s="457"/>
      <c r="S157" s="457"/>
      <c r="T157" s="457"/>
    </row>
    <row r="158" spans="1:20">
      <c r="A158" s="37" t="s">
        <v>18</v>
      </c>
      <c r="B158" s="457">
        <v>102.4847617935728</v>
      </c>
      <c r="C158" s="457">
        <v>96.388438249612477</v>
      </c>
      <c r="D158" s="457">
        <v>126.459750541598</v>
      </c>
      <c r="E158" s="457">
        <v>111.51688378479903</v>
      </c>
      <c r="F158" s="457">
        <v>61.302228741485848</v>
      </c>
      <c r="G158" s="457">
        <v>112.20827888017472</v>
      </c>
      <c r="H158" s="457">
        <v>92.124282849486136</v>
      </c>
      <c r="I158" s="457">
        <v>88.000128300103754</v>
      </c>
      <c r="J158" s="457">
        <v>142.2719875477776</v>
      </c>
      <c r="K158" s="457">
        <v>105.62508923596742</v>
      </c>
      <c r="L158" s="457">
        <v>83.501976405938478</v>
      </c>
      <c r="M158" s="457">
        <v>95.730406871322614</v>
      </c>
      <c r="N158" s="457">
        <v>57.236055507600206</v>
      </c>
      <c r="O158" s="457">
        <v>64.65006472650299</v>
      </c>
      <c r="P158" s="257" t="s">
        <v>93</v>
      </c>
      <c r="Q158" s="257" t="s">
        <v>93</v>
      </c>
      <c r="R158" s="257" t="s">
        <v>93</v>
      </c>
      <c r="S158" s="257" t="s">
        <v>93</v>
      </c>
      <c r="T158" s="257" t="s">
        <v>93</v>
      </c>
    </row>
    <row r="159" spans="1:20">
      <c r="A159" s="37" t="s">
        <v>19</v>
      </c>
      <c r="B159" s="457">
        <v>105.87006159055881</v>
      </c>
      <c r="C159" s="457">
        <v>99.032154228514841</v>
      </c>
      <c r="D159" s="457">
        <v>128.11965929715868</v>
      </c>
      <c r="E159" s="457">
        <v>112.46817051930891</v>
      </c>
      <c r="F159" s="457">
        <v>61.889723704696443</v>
      </c>
      <c r="G159" s="457">
        <v>114.33988107543914</v>
      </c>
      <c r="H159" s="457">
        <v>91.639975616374599</v>
      </c>
      <c r="I159" s="457">
        <v>87.131807568387472</v>
      </c>
      <c r="J159" s="457">
        <v>144.86062750739771</v>
      </c>
      <c r="K159" s="457">
        <v>106.73407186452779</v>
      </c>
      <c r="L159" s="457">
        <v>86.217818085696393</v>
      </c>
      <c r="M159" s="457">
        <v>95.790426602724835</v>
      </c>
      <c r="N159" s="457">
        <v>57.076833128435545</v>
      </c>
      <c r="O159" s="457">
        <v>65.996347287220743</v>
      </c>
      <c r="P159" s="257" t="s">
        <v>93</v>
      </c>
      <c r="Q159" s="257" t="s">
        <v>93</v>
      </c>
      <c r="R159" s="257" t="s">
        <v>93</v>
      </c>
      <c r="S159" s="257" t="s">
        <v>93</v>
      </c>
      <c r="T159" s="257" t="s">
        <v>93</v>
      </c>
    </row>
    <row r="160" spans="1:20">
      <c r="A160" s="37" t="s">
        <v>20</v>
      </c>
      <c r="B160" s="457">
        <v>111.1095133178178</v>
      </c>
      <c r="C160" s="457">
        <v>102.58462285524348</v>
      </c>
      <c r="D160" s="457">
        <v>135.62553984036794</v>
      </c>
      <c r="E160" s="457">
        <v>116.68523046057649</v>
      </c>
      <c r="F160" s="457">
        <v>64.274978223949759</v>
      </c>
      <c r="G160" s="457">
        <v>117.29388577612411</v>
      </c>
      <c r="H160" s="457">
        <v>90.362669816482651</v>
      </c>
      <c r="I160" s="457">
        <v>89.69450515431825</v>
      </c>
      <c r="J160" s="457">
        <v>152.30420035991372</v>
      </c>
      <c r="K160" s="457">
        <v>109.00792624436963</v>
      </c>
      <c r="L160" s="457">
        <v>90.74076929013431</v>
      </c>
      <c r="M160" s="457">
        <v>100.0935913852876</v>
      </c>
      <c r="N160" s="457">
        <v>59.500695349312572</v>
      </c>
      <c r="O160" s="457">
        <v>69.09911959273694</v>
      </c>
      <c r="P160" s="257" t="s">
        <v>93</v>
      </c>
      <c r="Q160" s="257" t="s">
        <v>93</v>
      </c>
      <c r="R160" s="257" t="s">
        <v>93</v>
      </c>
      <c r="S160" s="257" t="s">
        <v>93</v>
      </c>
      <c r="T160" s="257" t="s">
        <v>93</v>
      </c>
    </row>
    <row r="161" spans="1:20">
      <c r="A161" s="37" t="s">
        <v>21</v>
      </c>
      <c r="B161" s="457">
        <v>113.00444188718959</v>
      </c>
      <c r="C161" s="457">
        <v>103.84400278205671</v>
      </c>
      <c r="D161" s="457">
        <v>134.22155953306043</v>
      </c>
      <c r="E161" s="457">
        <v>116.59632159014895</v>
      </c>
      <c r="F161" s="457">
        <v>63.437892834781707</v>
      </c>
      <c r="G161" s="457">
        <v>117.79702404911887</v>
      </c>
      <c r="H161" s="457">
        <v>89.794125579531652</v>
      </c>
      <c r="I161" s="457">
        <v>89.9110400542571</v>
      </c>
      <c r="J161" s="457">
        <v>150.45678242155375</v>
      </c>
      <c r="K161" s="457">
        <v>110.79543794488123</v>
      </c>
      <c r="L161" s="457">
        <v>92.341813069654904</v>
      </c>
      <c r="M161" s="457">
        <v>100.38044082794377</v>
      </c>
      <c r="N161" s="457">
        <v>60.392898499857573</v>
      </c>
      <c r="O161" s="457">
        <v>70.126627889305169</v>
      </c>
      <c r="P161" s="257" t="s">
        <v>93</v>
      </c>
      <c r="Q161" s="257" t="s">
        <v>93</v>
      </c>
      <c r="R161" s="257" t="s">
        <v>93</v>
      </c>
      <c r="S161" s="257" t="s">
        <v>93</v>
      </c>
      <c r="T161" s="257" t="s">
        <v>93</v>
      </c>
    </row>
    <row r="162" spans="1:20">
      <c r="A162" s="37" t="s">
        <v>22</v>
      </c>
      <c r="B162" s="457">
        <v>113.5718206293114</v>
      </c>
      <c r="C162" s="457">
        <v>101.22525226357713</v>
      </c>
      <c r="D162" s="457">
        <v>131.20468510759275</v>
      </c>
      <c r="E162" s="457">
        <v>113.87477771059345</v>
      </c>
      <c r="F162" s="457">
        <v>64.285212982799152</v>
      </c>
      <c r="G162" s="457">
        <v>114.9009621769859</v>
      </c>
      <c r="H162" s="457">
        <v>90.640152481035898</v>
      </c>
      <c r="I162" s="457">
        <v>90.297712331772516</v>
      </c>
      <c r="J162" s="457">
        <v>153.85651037664604</v>
      </c>
      <c r="K162" s="457">
        <v>109.09708815745775</v>
      </c>
      <c r="L162" s="457">
        <v>92.761465464426379</v>
      </c>
      <c r="M162" s="457">
        <v>99.914459540048568</v>
      </c>
      <c r="N162" s="457">
        <v>60.201917822022949</v>
      </c>
      <c r="O162" s="457">
        <v>69.288510211295318</v>
      </c>
      <c r="P162" s="257" t="s">
        <v>93</v>
      </c>
      <c r="Q162" s="257" t="s">
        <v>93</v>
      </c>
      <c r="R162" s="257" t="s">
        <v>93</v>
      </c>
      <c r="S162" s="257" t="s">
        <v>93</v>
      </c>
      <c r="T162" s="257" t="s">
        <v>93</v>
      </c>
    </row>
    <row r="163" spans="1:20">
      <c r="A163" s="37" t="s">
        <v>23</v>
      </c>
      <c r="B163" s="457">
        <v>112.40587240126635</v>
      </c>
      <c r="C163" s="457">
        <v>98.674932772944146</v>
      </c>
      <c r="D163" s="457">
        <v>131.19210866140816</v>
      </c>
      <c r="E163" s="457">
        <v>111.48055530832008</v>
      </c>
      <c r="F163" s="457">
        <v>64.011341846231602</v>
      </c>
      <c r="G163" s="457">
        <v>110.74566341065611</v>
      </c>
      <c r="H163" s="457">
        <v>89.678033006987064</v>
      </c>
      <c r="I163" s="457">
        <v>90.363103280810776</v>
      </c>
      <c r="J163" s="457">
        <v>150.52973963435943</v>
      </c>
      <c r="K163" s="457">
        <v>106.95871131024242</v>
      </c>
      <c r="L163" s="457">
        <v>90.983991239752754</v>
      </c>
      <c r="M163" s="457">
        <v>99.346383730529666</v>
      </c>
      <c r="N163" s="457">
        <v>59.858502986873553</v>
      </c>
      <c r="O163" s="457">
        <v>67.409025243960983</v>
      </c>
      <c r="P163" s="257" t="s">
        <v>93</v>
      </c>
      <c r="Q163" s="257" t="s">
        <v>93</v>
      </c>
      <c r="R163" s="257" t="s">
        <v>93</v>
      </c>
      <c r="S163" s="257" t="s">
        <v>93</v>
      </c>
      <c r="T163" s="257" t="s">
        <v>93</v>
      </c>
    </row>
    <row r="164" spans="1:20">
      <c r="A164" s="37" t="s">
        <v>24</v>
      </c>
      <c r="B164" s="457">
        <v>112.44871332304334</v>
      </c>
      <c r="C164" s="457">
        <v>96.689148552701411</v>
      </c>
      <c r="D164" s="457">
        <v>129.40559051410364</v>
      </c>
      <c r="E164" s="457">
        <v>112.63865385032315</v>
      </c>
      <c r="F164" s="457">
        <v>65.966763936792063</v>
      </c>
      <c r="G164" s="457">
        <v>110.10145520163991</v>
      </c>
      <c r="H164" s="457">
        <v>90.055422280785351</v>
      </c>
      <c r="I164" s="457">
        <v>92.226329794013068</v>
      </c>
      <c r="J164" s="457">
        <v>152.78000113673642</v>
      </c>
      <c r="K164" s="457">
        <v>107.40470664983228</v>
      </c>
      <c r="L164" s="457">
        <v>90.671104079394041</v>
      </c>
      <c r="M164" s="457">
        <v>102.80951360805565</v>
      </c>
      <c r="N164" s="457">
        <v>59.992930243361776</v>
      </c>
      <c r="O164" s="457">
        <v>67.086501542356331</v>
      </c>
      <c r="P164" s="257" t="s">
        <v>93</v>
      </c>
      <c r="Q164" s="257" t="s">
        <v>93</v>
      </c>
      <c r="R164" s="257" t="s">
        <v>93</v>
      </c>
      <c r="S164" s="257" t="s">
        <v>93</v>
      </c>
      <c r="T164" s="257" t="s">
        <v>93</v>
      </c>
    </row>
    <row r="165" spans="1:20">
      <c r="A165" s="37" t="s">
        <v>25</v>
      </c>
      <c r="B165" s="457">
        <v>112.28449511520881</v>
      </c>
      <c r="C165" s="457">
        <v>94.255244430967153</v>
      </c>
      <c r="D165" s="457">
        <v>129.24625971646691</v>
      </c>
      <c r="E165" s="457">
        <v>110.94245449949349</v>
      </c>
      <c r="F165" s="457">
        <v>66.457344715645689</v>
      </c>
      <c r="G165" s="457">
        <v>109.02621463761328</v>
      </c>
      <c r="H165" s="457">
        <v>90.069857454800058</v>
      </c>
      <c r="I165" s="457">
        <v>94.585614807137716</v>
      </c>
      <c r="J165" s="457">
        <v>149.24364911323335</v>
      </c>
      <c r="K165" s="457">
        <v>109.04761979741177</v>
      </c>
      <c r="L165" s="457">
        <v>89.155522218438193</v>
      </c>
      <c r="M165" s="457">
        <v>103.25078096932062</v>
      </c>
      <c r="N165" s="457">
        <v>59.709292600144529</v>
      </c>
      <c r="O165" s="457">
        <v>67.578276830070209</v>
      </c>
      <c r="P165" s="257" t="s">
        <v>93</v>
      </c>
      <c r="Q165" s="257" t="s">
        <v>93</v>
      </c>
      <c r="R165" s="257" t="s">
        <v>93</v>
      </c>
      <c r="S165" s="257" t="s">
        <v>93</v>
      </c>
      <c r="T165" s="257" t="s">
        <v>93</v>
      </c>
    </row>
    <row r="166" spans="1:20">
      <c r="A166" s="37" t="s">
        <v>26</v>
      </c>
      <c r="B166" s="457">
        <v>112.54496984943626</v>
      </c>
      <c r="C166" s="457">
        <v>93.681431437463473</v>
      </c>
      <c r="D166" s="457">
        <v>126.68229622954892</v>
      </c>
      <c r="E166" s="457">
        <v>109.57717093311221</v>
      </c>
      <c r="F166" s="457">
        <v>65.004347062612766</v>
      </c>
      <c r="G166" s="457">
        <v>109.45010612450049</v>
      </c>
      <c r="H166" s="457">
        <v>92.466371731844163</v>
      </c>
      <c r="I166" s="457">
        <v>96.598607875981045</v>
      </c>
      <c r="J166" s="457">
        <v>151.5413671327253</v>
      </c>
      <c r="K166" s="457">
        <v>107.81615484467419</v>
      </c>
      <c r="L166" s="457">
        <v>87.856677201032184</v>
      </c>
      <c r="M166" s="457">
        <v>103.5371481502353</v>
      </c>
      <c r="N166" s="457">
        <v>60.105337530668358</v>
      </c>
      <c r="O166" s="457">
        <v>67.732001161059884</v>
      </c>
      <c r="P166" s="257" t="s">
        <v>93</v>
      </c>
      <c r="Q166" s="257" t="s">
        <v>93</v>
      </c>
      <c r="R166" s="257" t="s">
        <v>93</v>
      </c>
      <c r="S166" s="257" t="s">
        <v>93</v>
      </c>
      <c r="T166" s="257" t="s">
        <v>93</v>
      </c>
    </row>
    <row r="167" spans="1:20">
      <c r="A167" s="37" t="s">
        <v>27</v>
      </c>
      <c r="B167" s="457">
        <v>113.70965576242379</v>
      </c>
      <c r="C167" s="457">
        <v>95.951799777437188</v>
      </c>
      <c r="D167" s="457">
        <v>128.88371988833177</v>
      </c>
      <c r="E167" s="457">
        <v>114.94616769502423</v>
      </c>
      <c r="F167" s="457">
        <v>65.554684228397051</v>
      </c>
      <c r="G167" s="457">
        <v>111.76922952180493</v>
      </c>
      <c r="H167" s="457">
        <v>93.947961693336822</v>
      </c>
      <c r="I167" s="457">
        <v>96.011169999940478</v>
      </c>
      <c r="J167" s="457">
        <v>156.50365731104904</v>
      </c>
      <c r="K167" s="457">
        <v>107.96065133559522</v>
      </c>
      <c r="L167" s="457">
        <v>89.563605706366445</v>
      </c>
      <c r="M167" s="457">
        <v>104.89178618316384</v>
      </c>
      <c r="N167" s="457">
        <v>60.989985986727795</v>
      </c>
      <c r="O167" s="457">
        <v>69.817480079074528</v>
      </c>
      <c r="P167" s="257" t="s">
        <v>93</v>
      </c>
      <c r="Q167" s="257" t="s">
        <v>93</v>
      </c>
      <c r="R167" s="257" t="s">
        <v>93</v>
      </c>
      <c r="S167" s="257" t="s">
        <v>93</v>
      </c>
      <c r="T167" s="257" t="s">
        <v>93</v>
      </c>
    </row>
    <row r="168" spans="1:20">
      <c r="A168" s="37" t="s">
        <v>28</v>
      </c>
      <c r="B168" s="457">
        <v>113.57377244862489</v>
      </c>
      <c r="C168" s="457">
        <v>96.237055983871684</v>
      </c>
      <c r="D168" s="457">
        <v>128.48195261197742</v>
      </c>
      <c r="E168" s="457">
        <v>119.92112924263763</v>
      </c>
      <c r="F168" s="457">
        <v>66.939324820566483</v>
      </c>
      <c r="G168" s="457">
        <v>111.24687525527641</v>
      </c>
      <c r="H168" s="457">
        <v>99.583110929470564</v>
      </c>
      <c r="I168" s="457">
        <v>94.058649878495928</v>
      </c>
      <c r="J168" s="457">
        <v>155.52705375610313</v>
      </c>
      <c r="K168" s="457">
        <v>108.66037500761544</v>
      </c>
      <c r="L168" s="457">
        <v>89.650281438773959</v>
      </c>
      <c r="M168" s="457">
        <v>106.14445480479775</v>
      </c>
      <c r="N168" s="457">
        <v>59.850185192723373</v>
      </c>
      <c r="O168" s="457">
        <v>70.746745460325315</v>
      </c>
      <c r="P168" s="257" t="s">
        <v>93</v>
      </c>
      <c r="Q168" s="257" t="s">
        <v>93</v>
      </c>
      <c r="R168" s="257" t="s">
        <v>93</v>
      </c>
      <c r="S168" s="257" t="s">
        <v>93</v>
      </c>
      <c r="T168" s="257" t="s">
        <v>93</v>
      </c>
    </row>
    <row r="169" spans="1:20">
      <c r="A169" s="37" t="s">
        <v>29</v>
      </c>
      <c r="B169" s="457">
        <v>113.87743833467901</v>
      </c>
      <c r="C169" s="457">
        <v>95.491957890219012</v>
      </c>
      <c r="D169" s="457">
        <v>126.6974701060211</v>
      </c>
      <c r="E169" s="457">
        <v>118.59933180106827</v>
      </c>
      <c r="F169" s="457">
        <v>66.561080396470501</v>
      </c>
      <c r="G169" s="457">
        <v>114.01818095911493</v>
      </c>
      <c r="H169" s="457">
        <v>97.020719542964997</v>
      </c>
      <c r="I169" s="457">
        <v>94.149020461111576</v>
      </c>
      <c r="J169" s="457">
        <v>156.0452441698371</v>
      </c>
      <c r="K169" s="457">
        <v>108.59532244724416</v>
      </c>
      <c r="L169" s="457">
        <v>89.400067706407555</v>
      </c>
      <c r="M169" s="457">
        <v>107.50292395181251</v>
      </c>
      <c r="N169" s="457">
        <v>58.899680718035306</v>
      </c>
      <c r="O169" s="457">
        <v>70.76025669667419</v>
      </c>
      <c r="P169" s="257" t="s">
        <v>93</v>
      </c>
      <c r="Q169" s="257" t="s">
        <v>93</v>
      </c>
      <c r="R169" s="257" t="s">
        <v>93</v>
      </c>
      <c r="S169" s="257" t="s">
        <v>93</v>
      </c>
      <c r="T169" s="257" t="s">
        <v>93</v>
      </c>
    </row>
    <row r="170" spans="1:20">
      <c r="A170" s="37" t="s">
        <v>2038</v>
      </c>
      <c r="B170" s="581"/>
      <c r="C170" s="581"/>
      <c r="D170" s="581"/>
      <c r="E170" s="581"/>
      <c r="F170" s="581"/>
      <c r="G170" s="581"/>
      <c r="H170" s="581"/>
      <c r="I170" s="581"/>
      <c r="J170" s="581"/>
      <c r="K170" s="581"/>
      <c r="L170" s="581"/>
      <c r="M170" s="581"/>
      <c r="N170" s="581"/>
      <c r="O170" s="581"/>
      <c r="P170" s="581"/>
      <c r="Q170" s="581"/>
      <c r="R170" s="581"/>
      <c r="S170" s="581"/>
      <c r="T170" s="581"/>
    </row>
    <row r="171" spans="1:20">
      <c r="A171" s="37" t="s">
        <v>18</v>
      </c>
      <c r="B171" s="457">
        <v>113.32582532859135</v>
      </c>
      <c r="C171" s="457">
        <v>93.679481623519436</v>
      </c>
      <c r="D171" s="457">
        <v>123.97831813991407</v>
      </c>
      <c r="E171" s="457">
        <v>115.14973071860186</v>
      </c>
      <c r="F171" s="457">
        <v>64.173428345413427</v>
      </c>
      <c r="G171" s="457">
        <v>116.09670620056299</v>
      </c>
      <c r="H171" s="457">
        <v>94.065846325074403</v>
      </c>
      <c r="I171" s="457">
        <v>91.68735826220842</v>
      </c>
      <c r="J171" s="457">
        <v>152.92878696728064</v>
      </c>
      <c r="K171" s="457">
        <v>106.7512407735767</v>
      </c>
      <c r="L171" s="457">
        <v>86.665871595702569</v>
      </c>
      <c r="M171" s="457">
        <v>105.53174854011337</v>
      </c>
      <c r="N171" s="457">
        <v>57.711368303339086</v>
      </c>
      <c r="O171" s="457">
        <v>69.085061163197594</v>
      </c>
      <c r="P171" s="257" t="s">
        <v>93</v>
      </c>
      <c r="Q171" s="257" t="s">
        <v>93</v>
      </c>
      <c r="R171" s="257" t="s">
        <v>93</v>
      </c>
      <c r="S171" s="257" t="s">
        <v>93</v>
      </c>
      <c r="T171" s="257" t="s">
        <v>93</v>
      </c>
    </row>
    <row r="172" spans="1:20">
      <c r="A172" s="37" t="s">
        <v>19</v>
      </c>
      <c r="B172" s="457">
        <v>113.27451089724421</v>
      </c>
      <c r="C172" s="457">
        <v>92.191814739015669</v>
      </c>
      <c r="D172" s="457">
        <v>121.59035405416969</v>
      </c>
      <c r="E172" s="457">
        <v>114.83215971642116</v>
      </c>
      <c r="F172" s="457">
        <v>64.302899141088787</v>
      </c>
      <c r="G172" s="457">
        <v>110.03320362651904</v>
      </c>
      <c r="H172" s="457">
        <v>90.883937955997339</v>
      </c>
      <c r="I172" s="457">
        <v>89.806422382329416</v>
      </c>
      <c r="J172" s="457">
        <v>148.55368191362609</v>
      </c>
      <c r="K172" s="457">
        <v>108.95390336627665</v>
      </c>
      <c r="L172" s="457">
        <v>84.25966520140372</v>
      </c>
      <c r="M172" s="457">
        <v>104.07360421943623</v>
      </c>
      <c r="N172" s="457">
        <v>58.03356282758088</v>
      </c>
      <c r="O172" s="457">
        <v>66.762020598626066</v>
      </c>
      <c r="P172" s="257" t="s">
        <v>93</v>
      </c>
      <c r="Q172" s="257" t="s">
        <v>93</v>
      </c>
      <c r="R172" s="257" t="s">
        <v>93</v>
      </c>
      <c r="S172" s="257" t="s">
        <v>93</v>
      </c>
      <c r="T172" s="257" t="s">
        <v>93</v>
      </c>
    </row>
    <row r="173" spans="1:20">
      <c r="A173" s="37" t="s">
        <v>20</v>
      </c>
      <c r="B173" s="457">
        <v>113.62771293947434</v>
      </c>
      <c r="C173" s="457">
        <v>91.866470019727259</v>
      </c>
      <c r="D173" s="457">
        <v>122.5854791282584</v>
      </c>
      <c r="E173" s="457">
        <v>116.90336628354434</v>
      </c>
      <c r="F173" s="457">
        <v>64.640363393228284</v>
      </c>
      <c r="G173" s="457">
        <v>105.83292262719087</v>
      </c>
      <c r="H173" s="457">
        <v>90.79187754807694</v>
      </c>
      <c r="I173" s="457">
        <v>89.303413428397164</v>
      </c>
      <c r="J173" s="457">
        <v>146.94882013374948</v>
      </c>
      <c r="K173" s="457">
        <v>107.91902775276965</v>
      </c>
      <c r="L173" s="457">
        <v>85.455496465560117</v>
      </c>
      <c r="M173" s="457">
        <v>102.54260594943472</v>
      </c>
      <c r="N173" s="457">
        <v>57.783445197720091</v>
      </c>
      <c r="O173" s="457">
        <v>67.739763352379725</v>
      </c>
      <c r="P173" s="257" t="s">
        <v>93</v>
      </c>
      <c r="Q173" s="257" t="s">
        <v>93</v>
      </c>
      <c r="R173" s="257" t="s">
        <v>93</v>
      </c>
      <c r="S173" s="257" t="s">
        <v>93</v>
      </c>
      <c r="T173" s="257" t="s">
        <v>93</v>
      </c>
    </row>
    <row r="174" spans="1:20">
      <c r="A174" s="37" t="s">
        <v>21</v>
      </c>
      <c r="B174" s="457">
        <v>113.17076441761074</v>
      </c>
      <c r="C174" s="457">
        <v>91.702456280546869</v>
      </c>
      <c r="D174" s="457">
        <v>120.46050296347197</v>
      </c>
      <c r="E174" s="457">
        <v>119.74231352745502</v>
      </c>
      <c r="F174" s="457">
        <v>67.930514745913655</v>
      </c>
      <c r="G174" s="457">
        <v>103.94639708607761</v>
      </c>
      <c r="H174" s="457">
        <v>90.086740449421143</v>
      </c>
      <c r="I174" s="457">
        <v>89.865239688098413</v>
      </c>
      <c r="J174" s="457">
        <v>149.3913895123207</v>
      </c>
      <c r="K174" s="457">
        <v>109.47103866355718</v>
      </c>
      <c r="L174" s="457">
        <v>85.088034375111476</v>
      </c>
      <c r="M174" s="457">
        <v>104.15899013957349</v>
      </c>
      <c r="N174" s="457">
        <v>57.463522086193819</v>
      </c>
      <c r="O174" s="457">
        <v>68.865227139498245</v>
      </c>
      <c r="P174" s="257" t="s">
        <v>93</v>
      </c>
      <c r="Q174" s="257" t="s">
        <v>93</v>
      </c>
      <c r="R174" s="257" t="s">
        <v>93</v>
      </c>
      <c r="S174" s="257" t="s">
        <v>93</v>
      </c>
      <c r="T174" s="257" t="s">
        <v>93</v>
      </c>
    </row>
    <row r="175" spans="1:20">
      <c r="A175" s="37" t="s">
        <v>22</v>
      </c>
      <c r="B175" s="457">
        <v>112.90785834094011</v>
      </c>
      <c r="C175" s="457">
        <v>94.590003776483286</v>
      </c>
      <c r="D175" s="457">
        <v>125.18745101458633</v>
      </c>
      <c r="E175" s="457">
        <v>127.87976014327478</v>
      </c>
      <c r="F175" s="457">
        <v>69.727298760889283</v>
      </c>
      <c r="G175" s="457">
        <v>104.04589362431439</v>
      </c>
      <c r="H175" s="457">
        <v>91.159295967284294</v>
      </c>
      <c r="I175" s="457">
        <v>90.560719518362035</v>
      </c>
      <c r="J175" s="457">
        <v>152.11332041813719</v>
      </c>
      <c r="K175" s="457">
        <v>110.58001369685604</v>
      </c>
      <c r="L175" s="457">
        <v>86.172066628882916</v>
      </c>
      <c r="M175" s="457">
        <v>104.821769631772</v>
      </c>
      <c r="N175" s="457">
        <v>57.810258349844723</v>
      </c>
      <c r="O175" s="457">
        <v>70.67432814735507</v>
      </c>
      <c r="P175" s="257" t="s">
        <v>93</v>
      </c>
      <c r="Q175" s="257" t="s">
        <v>93</v>
      </c>
      <c r="R175" s="257" t="s">
        <v>93</v>
      </c>
      <c r="S175" s="257" t="s">
        <v>93</v>
      </c>
      <c r="T175" s="257" t="s">
        <v>93</v>
      </c>
    </row>
    <row r="176" spans="1:20">
      <c r="A176" s="37" t="s">
        <v>23</v>
      </c>
      <c r="B176" s="457">
        <v>112.05265463079866</v>
      </c>
      <c r="C176" s="457">
        <v>94.901143655323551</v>
      </c>
      <c r="D176" s="457">
        <v>126.04909170030975</v>
      </c>
      <c r="E176" s="457">
        <v>129.64280935537954</v>
      </c>
      <c r="F176" s="457">
        <v>69.438853863397867</v>
      </c>
      <c r="G176" s="457">
        <v>103.47337808566594</v>
      </c>
      <c r="H176" s="457">
        <v>91.285071491597535</v>
      </c>
      <c r="I176" s="457">
        <v>91.971471435249185</v>
      </c>
      <c r="J176" s="457">
        <v>151.34225340043207</v>
      </c>
      <c r="K176" s="457">
        <v>109.94911855428899</v>
      </c>
      <c r="L176" s="457">
        <v>86.843374107359153</v>
      </c>
      <c r="M176" s="457">
        <v>103.4769422929715</v>
      </c>
      <c r="N176" s="457">
        <v>58.25526953694196</v>
      </c>
      <c r="O176" s="457">
        <v>69.523959594832462</v>
      </c>
      <c r="P176" s="257" t="s">
        <v>93</v>
      </c>
      <c r="Q176" s="257" t="s">
        <v>93</v>
      </c>
      <c r="R176" s="257" t="s">
        <v>93</v>
      </c>
      <c r="S176" s="257" t="s">
        <v>93</v>
      </c>
      <c r="T176" s="257" t="s">
        <v>93</v>
      </c>
    </row>
    <row r="177" spans="1:20">
      <c r="A177" s="37" t="s">
        <v>24</v>
      </c>
      <c r="B177" s="457">
        <v>111.1680674736634</v>
      </c>
      <c r="C177" s="457">
        <v>94.903508804352001</v>
      </c>
      <c r="D177" s="457">
        <v>126.73944667956043</v>
      </c>
      <c r="E177" s="457">
        <v>132.35925355891305</v>
      </c>
      <c r="F177" s="457">
        <v>69.057388494083469</v>
      </c>
      <c r="G177" s="457">
        <v>104.37436814321759</v>
      </c>
      <c r="H177" s="457">
        <v>90.615005659889107</v>
      </c>
      <c r="I177" s="457">
        <v>93.580866105771563</v>
      </c>
      <c r="J177" s="457">
        <v>151.99661367291702</v>
      </c>
      <c r="K177" s="457">
        <v>110.73871199046424</v>
      </c>
      <c r="L177" s="457">
        <v>89.551775895095602</v>
      </c>
      <c r="M177" s="457">
        <v>102.10239583502386</v>
      </c>
      <c r="N177" s="457">
        <v>59.565526876892065</v>
      </c>
      <c r="O177" s="457">
        <v>69.764207821409002</v>
      </c>
      <c r="P177" s="257" t="s">
        <v>93</v>
      </c>
      <c r="Q177" s="257" t="s">
        <v>93</v>
      </c>
      <c r="R177" s="257" t="s">
        <v>93</v>
      </c>
      <c r="S177" s="257" t="s">
        <v>93</v>
      </c>
      <c r="T177" s="257" t="s">
        <v>93</v>
      </c>
    </row>
    <row r="178" spans="1:20">
      <c r="A178" s="37" t="s">
        <v>25</v>
      </c>
      <c r="B178" s="457">
        <v>111.90421675821905</v>
      </c>
      <c r="C178" s="457">
        <v>96.728186849665235</v>
      </c>
      <c r="D178" s="457">
        <v>129.84175009073462</v>
      </c>
      <c r="E178" s="457">
        <v>158.77580347442273</v>
      </c>
      <c r="F178" s="457">
        <v>73.316167207613987</v>
      </c>
      <c r="G178" s="457">
        <v>109.58546713364447</v>
      </c>
      <c r="H178" s="457">
        <v>93.75062741519838</v>
      </c>
      <c r="I178" s="457">
        <v>97.599016936697751</v>
      </c>
      <c r="J178" s="457">
        <v>152.02475094590056</v>
      </c>
      <c r="K178" s="457">
        <v>112.35597909604881</v>
      </c>
      <c r="L178" s="457">
        <v>91.580659186058583</v>
      </c>
      <c r="M178" s="457">
        <v>105.64401397153154</v>
      </c>
      <c r="N178" s="457">
        <v>59.737916260133964</v>
      </c>
      <c r="O178" s="457">
        <v>70.014490154450797</v>
      </c>
      <c r="P178" s="257" t="s">
        <v>93</v>
      </c>
      <c r="Q178" s="257" t="s">
        <v>93</v>
      </c>
      <c r="R178" s="257" t="s">
        <v>93</v>
      </c>
      <c r="S178" s="257" t="s">
        <v>93</v>
      </c>
      <c r="T178" s="257" t="s">
        <v>93</v>
      </c>
    </row>
    <row r="179" spans="1:20">
      <c r="A179" s="37" t="s">
        <v>26</v>
      </c>
      <c r="B179" s="457">
        <v>112.07021799986701</v>
      </c>
      <c r="C179" s="457">
        <v>95.433001516992832</v>
      </c>
      <c r="D179" s="457">
        <v>128.12349278828412</v>
      </c>
      <c r="E179" s="457">
        <v>163.55964425141946</v>
      </c>
      <c r="F179" s="457">
        <v>74.955782727672471</v>
      </c>
      <c r="G179" s="457">
        <v>110.56515502563934</v>
      </c>
      <c r="H179" s="457">
        <v>96.755210874896278</v>
      </c>
      <c r="I179" s="457">
        <v>100.28096394500717</v>
      </c>
      <c r="J179" s="457">
        <v>153.59750751854509</v>
      </c>
      <c r="K179" s="457">
        <v>110.05598036992687</v>
      </c>
      <c r="L179" s="457">
        <v>91.201960302416751</v>
      </c>
      <c r="M179" s="457">
        <v>108.91906729894534</v>
      </c>
      <c r="N179" s="457">
        <v>59.296349126078468</v>
      </c>
      <c r="O179" s="457">
        <v>68.502031804524066</v>
      </c>
      <c r="P179" s="257" t="s">
        <v>93</v>
      </c>
      <c r="Q179" s="257" t="s">
        <v>93</v>
      </c>
      <c r="R179" s="257" t="s">
        <v>93</v>
      </c>
      <c r="S179" s="257" t="s">
        <v>93</v>
      </c>
      <c r="T179" s="257" t="s">
        <v>93</v>
      </c>
    </row>
    <row r="180" spans="1:20">
      <c r="A180" s="37" t="s">
        <v>27</v>
      </c>
      <c r="B180" s="457">
        <v>111.91770238881554</v>
      </c>
      <c r="C180" s="457">
        <v>96.845354315554019</v>
      </c>
      <c r="D180" s="457">
        <v>128.62767399384421</v>
      </c>
      <c r="E180" s="457">
        <v>146.91813067021246</v>
      </c>
      <c r="F180" s="457">
        <v>72.890120169892455</v>
      </c>
      <c r="G180" s="457">
        <v>108.62525675333831</v>
      </c>
      <c r="H180" s="457">
        <v>98.557948493271866</v>
      </c>
      <c r="I180" s="457">
        <v>99.99481003510202</v>
      </c>
      <c r="J180" s="457">
        <v>154.75156633173606</v>
      </c>
      <c r="K180" s="457">
        <v>111.9846948847689</v>
      </c>
      <c r="L180" s="457">
        <v>92.04166798127757</v>
      </c>
      <c r="M180" s="457">
        <v>109.05329653287804</v>
      </c>
      <c r="N180" s="457">
        <v>60.234297478849925</v>
      </c>
      <c r="O180" s="457">
        <v>70.323315796199068</v>
      </c>
      <c r="P180" s="257" t="s">
        <v>93</v>
      </c>
      <c r="Q180" s="257" t="s">
        <v>93</v>
      </c>
      <c r="R180" s="257" t="s">
        <v>93</v>
      </c>
      <c r="S180" s="257" t="s">
        <v>93</v>
      </c>
      <c r="T180" s="257" t="s">
        <v>93</v>
      </c>
    </row>
    <row r="181" spans="1:20">
      <c r="A181" s="37" t="s">
        <v>28</v>
      </c>
      <c r="B181" s="457">
        <v>112.56849431520182</v>
      </c>
      <c r="C181" s="457">
        <v>98.551575487341722</v>
      </c>
      <c r="D181" s="457">
        <v>130.02898171444278</v>
      </c>
      <c r="E181" s="457">
        <v>138.21852213120457</v>
      </c>
      <c r="F181" s="457">
        <v>73.314479982587713</v>
      </c>
      <c r="G181" s="457">
        <v>106.99365124519589</v>
      </c>
      <c r="H181" s="457">
        <v>99.903813173663295</v>
      </c>
      <c r="I181" s="457">
        <v>100.5012009006231</v>
      </c>
      <c r="J181" s="457">
        <v>156.65120035602672</v>
      </c>
      <c r="K181" s="457">
        <v>114.46087478123846</v>
      </c>
      <c r="L181" s="457">
        <v>93.183097019350384</v>
      </c>
      <c r="M181" s="457">
        <v>108.86278941686413</v>
      </c>
      <c r="N181" s="457">
        <v>60.704294785192161</v>
      </c>
      <c r="O181" s="457">
        <v>71.483650190947131</v>
      </c>
      <c r="P181" s="257" t="s">
        <v>93</v>
      </c>
      <c r="Q181" s="257" t="s">
        <v>93</v>
      </c>
      <c r="R181" s="257" t="s">
        <v>93</v>
      </c>
      <c r="S181" s="257" t="s">
        <v>93</v>
      </c>
      <c r="T181" s="257" t="s">
        <v>93</v>
      </c>
    </row>
    <row r="182" spans="1:20">
      <c r="A182" s="37" t="s">
        <v>29</v>
      </c>
      <c r="B182" s="457">
        <v>113.45292460013883</v>
      </c>
      <c r="C182" s="457">
        <v>99.277098860665234</v>
      </c>
      <c r="D182" s="457">
        <v>133.42260830335013</v>
      </c>
      <c r="E182" s="457">
        <v>138.13369285231022</v>
      </c>
      <c r="F182" s="457">
        <v>74.504370285985345</v>
      </c>
      <c r="G182" s="457">
        <v>106.32402249486393</v>
      </c>
      <c r="H182" s="457">
        <v>99.076632056434761</v>
      </c>
      <c r="I182" s="457">
        <v>101.19696371928852</v>
      </c>
      <c r="J182" s="457">
        <v>156.73127970302576</v>
      </c>
      <c r="K182" s="457">
        <v>117.19758863743058</v>
      </c>
      <c r="L182" s="457">
        <v>93.131426337689106</v>
      </c>
      <c r="M182" s="457">
        <v>109.44134411467931</v>
      </c>
      <c r="N182" s="457">
        <v>61.144678228482306</v>
      </c>
      <c r="O182" s="457">
        <v>71.595687758578947</v>
      </c>
      <c r="P182" s="257" t="s">
        <v>93</v>
      </c>
      <c r="Q182" s="257" t="s">
        <v>93</v>
      </c>
      <c r="R182" s="257" t="s">
        <v>93</v>
      </c>
      <c r="S182" s="257" t="s">
        <v>93</v>
      </c>
      <c r="T182" s="257" t="s">
        <v>93</v>
      </c>
    </row>
    <row r="183" spans="1:20">
      <c r="A183" s="37" t="s">
        <v>2131</v>
      </c>
      <c r="B183" s="581"/>
      <c r="C183" s="581"/>
      <c r="D183" s="581"/>
      <c r="E183" s="581"/>
      <c r="F183" s="581"/>
      <c r="G183" s="581"/>
      <c r="H183" s="581"/>
      <c r="I183" s="581"/>
      <c r="J183" s="581"/>
      <c r="K183" s="581"/>
      <c r="L183" s="581"/>
      <c r="M183" s="581"/>
      <c r="N183" s="581"/>
      <c r="O183" s="581"/>
      <c r="P183" s="581"/>
      <c r="Q183" s="581"/>
      <c r="R183" s="581"/>
      <c r="S183" s="581"/>
      <c r="T183" s="581"/>
    </row>
    <row r="184" spans="1:20">
      <c r="A184" s="37" t="s">
        <v>18</v>
      </c>
      <c r="B184" s="457">
        <v>113.66916405917989</v>
      </c>
      <c r="C184" s="457">
        <v>100.22111136802776</v>
      </c>
      <c r="D184" s="457">
        <v>132.57785824235236</v>
      </c>
      <c r="E184" s="457">
        <v>138.41331184887304</v>
      </c>
      <c r="F184" s="457">
        <v>73.455208985372749</v>
      </c>
      <c r="G184" s="457">
        <v>105.92789648909957</v>
      </c>
      <c r="H184" s="457">
        <v>97.9088845496142</v>
      </c>
      <c r="I184" s="457">
        <v>102.36058146838859</v>
      </c>
      <c r="J184" s="457">
        <v>152.02189226272694</v>
      </c>
      <c r="K184" s="457">
        <v>115.71790971026024</v>
      </c>
      <c r="L184" s="457">
        <v>92.012799084619431</v>
      </c>
      <c r="M184" s="457">
        <v>109.92831129215011</v>
      </c>
      <c r="N184" s="457">
        <v>61.249637728343778</v>
      </c>
      <c r="O184" s="457">
        <v>71.738610659208462</v>
      </c>
      <c r="P184" s="257" t="s">
        <v>93</v>
      </c>
      <c r="Q184" s="257" t="s">
        <v>93</v>
      </c>
      <c r="R184" s="257" t="s">
        <v>93</v>
      </c>
      <c r="S184" s="257" t="s">
        <v>93</v>
      </c>
      <c r="T184" s="257" t="s">
        <v>93</v>
      </c>
    </row>
    <row r="185" spans="1:20">
      <c r="A185" s="37" t="s">
        <v>19</v>
      </c>
      <c r="B185" s="457">
        <v>114.08195533009503</v>
      </c>
      <c r="C185" s="457">
        <v>101.09721320396928</v>
      </c>
      <c r="D185" s="457">
        <v>131.51794275333293</v>
      </c>
      <c r="E185" s="457">
        <v>136.56225415714812</v>
      </c>
      <c r="F185" s="457">
        <v>72.337904077815423</v>
      </c>
      <c r="G185" s="457">
        <v>103.37882403063514</v>
      </c>
      <c r="H185" s="457">
        <v>97.646677180119624</v>
      </c>
      <c r="I185" s="457">
        <v>102.65399235458645</v>
      </c>
      <c r="J185" s="457">
        <v>154.58786801561638</v>
      </c>
      <c r="K185" s="457">
        <v>114.15077459419234</v>
      </c>
      <c r="L185" s="457">
        <v>90.89125676211323</v>
      </c>
      <c r="M185" s="457">
        <v>109.07886460085079</v>
      </c>
      <c r="N185" s="457">
        <v>61.441243971242599</v>
      </c>
      <c r="O185" s="457">
        <v>72.755342505393784</v>
      </c>
      <c r="P185" s="257" t="s">
        <v>93</v>
      </c>
      <c r="Q185" s="257" t="s">
        <v>93</v>
      </c>
      <c r="R185" s="257" t="s">
        <v>93</v>
      </c>
      <c r="S185" s="257" t="s">
        <v>93</v>
      </c>
      <c r="T185" s="257" t="s">
        <v>93</v>
      </c>
    </row>
    <row r="186" spans="1:20">
      <c r="A186" s="37" t="s">
        <v>20</v>
      </c>
      <c r="B186" s="457">
        <v>114.31694154621331</v>
      </c>
      <c r="C186" s="457">
        <v>101.01829549628472</v>
      </c>
      <c r="D186" s="457">
        <v>129.96044454247274</v>
      </c>
      <c r="E186" s="457">
        <v>140.43834784684944</v>
      </c>
      <c r="F186" s="457">
        <v>71.835320051848498</v>
      </c>
      <c r="G186" s="457">
        <v>101.92186095341216</v>
      </c>
      <c r="H186" s="457">
        <v>98.459722640854835</v>
      </c>
      <c r="I186" s="457">
        <v>102.74517897566422</v>
      </c>
      <c r="J186" s="457">
        <v>157.1468561654132</v>
      </c>
      <c r="K186" s="457">
        <v>113.89561507138342</v>
      </c>
      <c r="L186" s="457">
        <v>91.433399088021645</v>
      </c>
      <c r="M186" s="457">
        <v>107.91287356042994</v>
      </c>
      <c r="N186" s="457">
        <v>62.407035284043047</v>
      </c>
      <c r="O186" s="457">
        <v>72.839595469672787</v>
      </c>
      <c r="P186" s="257" t="s">
        <v>93</v>
      </c>
      <c r="Q186" s="257" t="s">
        <v>93</v>
      </c>
      <c r="R186" s="257" t="s">
        <v>93</v>
      </c>
      <c r="S186" s="257" t="s">
        <v>93</v>
      </c>
      <c r="T186" s="257" t="s">
        <v>93</v>
      </c>
    </row>
    <row r="187" spans="1:20">
      <c r="A187" s="37" t="s">
        <v>21</v>
      </c>
      <c r="B187" s="457">
        <v>114.41259542073327</v>
      </c>
      <c r="C187" s="457">
        <v>101.38066361383945</v>
      </c>
      <c r="D187" s="457">
        <v>131.46189064130442</v>
      </c>
      <c r="E187" s="457">
        <v>146.73509804495353</v>
      </c>
      <c r="F187" s="457">
        <v>71.227618241652266</v>
      </c>
      <c r="G187" s="457">
        <v>101.05337447582848</v>
      </c>
      <c r="H187" s="457">
        <v>99.035716999899904</v>
      </c>
      <c r="I187" s="457">
        <v>103.11830476545835</v>
      </c>
      <c r="J187" s="457">
        <v>157.99268060666739</v>
      </c>
      <c r="K187" s="457">
        <v>113.40649537854519</v>
      </c>
      <c r="L187" s="457">
        <v>91.739588660632947</v>
      </c>
      <c r="M187" s="457">
        <v>107.70846875569983</v>
      </c>
      <c r="N187" s="457">
        <v>63.028493529896075</v>
      </c>
      <c r="O187" s="457">
        <v>73.440675583411888</v>
      </c>
      <c r="P187" s="257" t="s">
        <v>93</v>
      </c>
      <c r="Q187" s="257" t="s">
        <v>93</v>
      </c>
      <c r="R187" s="257" t="s">
        <v>93</v>
      </c>
      <c r="S187" s="257" t="s">
        <v>93</v>
      </c>
      <c r="T187" s="257" t="s">
        <v>93</v>
      </c>
    </row>
    <row r="188" spans="1:20">
      <c r="A188" s="37" t="s">
        <v>22</v>
      </c>
      <c r="B188" s="457">
        <v>113.80593012005328</v>
      </c>
      <c r="C188" s="457">
        <v>101.22104162211616</v>
      </c>
      <c r="D188" s="457">
        <v>132.20104156164683</v>
      </c>
      <c r="E188" s="457">
        <v>152.20896717287135</v>
      </c>
      <c r="F188" s="457">
        <v>71.069848353481191</v>
      </c>
      <c r="G188" s="457">
        <v>98.332786631597628</v>
      </c>
      <c r="H188" s="457">
        <v>99.955386473385786</v>
      </c>
      <c r="I188" s="457">
        <v>102.25081144004552</v>
      </c>
      <c r="J188" s="457">
        <v>155.09251023125583</v>
      </c>
      <c r="K188" s="457">
        <v>111.96877140082742</v>
      </c>
      <c r="L188" s="457">
        <v>93.132447082732725</v>
      </c>
      <c r="M188" s="457">
        <v>105.88705434701355</v>
      </c>
      <c r="N188" s="457">
        <v>64.813580513287263</v>
      </c>
      <c r="O188" s="457">
        <v>73.159783216198292</v>
      </c>
      <c r="P188" s="257" t="s">
        <v>93</v>
      </c>
      <c r="Q188" s="257" t="s">
        <v>93</v>
      </c>
      <c r="R188" s="257" t="s">
        <v>93</v>
      </c>
      <c r="S188" s="257" t="s">
        <v>93</v>
      </c>
      <c r="T188" s="257" t="s">
        <v>93</v>
      </c>
    </row>
    <row r="189" spans="1:20">
      <c r="A189" s="37" t="s">
        <v>23</v>
      </c>
      <c r="B189" s="457">
        <v>113.16121838900084</v>
      </c>
      <c r="C189" s="457">
        <v>99.734849529534785</v>
      </c>
      <c r="D189" s="457">
        <v>133.56839907737765</v>
      </c>
      <c r="E189" s="457">
        <v>145.55988038757621</v>
      </c>
      <c r="F189" s="457">
        <v>69.881524228258854</v>
      </c>
      <c r="G189" s="457">
        <v>98.793258241536037</v>
      </c>
      <c r="H189" s="457">
        <v>101.51821185599709</v>
      </c>
      <c r="I189" s="457">
        <v>102.03750727068368</v>
      </c>
      <c r="J189" s="457">
        <v>151.47986452760014</v>
      </c>
      <c r="K189" s="457">
        <v>112.32440141392902</v>
      </c>
      <c r="L189" s="457">
        <v>93.471537045642719</v>
      </c>
      <c r="M189" s="457">
        <v>104.18283150830166</v>
      </c>
      <c r="N189" s="457">
        <v>64.157573099928342</v>
      </c>
      <c r="O189" s="457">
        <v>71.198833773906358</v>
      </c>
      <c r="P189" s="257" t="s">
        <v>93</v>
      </c>
      <c r="Q189" s="257" t="s">
        <v>93</v>
      </c>
      <c r="R189" s="257" t="s">
        <v>93</v>
      </c>
      <c r="S189" s="257" t="s">
        <v>93</v>
      </c>
      <c r="T189" s="257" t="s">
        <v>93</v>
      </c>
    </row>
    <row r="190" spans="1:20">
      <c r="A190" s="37" t="s">
        <v>24</v>
      </c>
      <c r="B190" s="457">
        <v>112.88401740482036</v>
      </c>
      <c r="C190" s="457">
        <v>100.75318912678351</v>
      </c>
      <c r="D190" s="457">
        <v>135.5704065237469</v>
      </c>
      <c r="E190" s="457">
        <v>140.02582554604206</v>
      </c>
      <c r="F190" s="457">
        <v>68.698430440648337</v>
      </c>
      <c r="G190" s="457">
        <v>96.524420282176692</v>
      </c>
      <c r="H190" s="457">
        <v>104.77853997265201</v>
      </c>
      <c r="I190" s="457">
        <v>102.39011234591997</v>
      </c>
      <c r="J190" s="457">
        <v>151.61701076551404</v>
      </c>
      <c r="K190" s="457">
        <v>111.12118708927073</v>
      </c>
      <c r="L190" s="457">
        <v>92.879993880639262</v>
      </c>
      <c r="M190" s="457">
        <v>102.37843223899205</v>
      </c>
      <c r="N190" s="457">
        <v>64.52523343845607</v>
      </c>
      <c r="O190" s="457">
        <v>71.488320195482842</v>
      </c>
      <c r="P190" s="257" t="s">
        <v>93</v>
      </c>
      <c r="Q190" s="257" t="s">
        <v>93</v>
      </c>
      <c r="R190" s="257" t="s">
        <v>93</v>
      </c>
      <c r="S190" s="257" t="s">
        <v>93</v>
      </c>
      <c r="T190" s="257" t="s">
        <v>93</v>
      </c>
    </row>
    <row r="191" spans="1:20">
      <c r="A191" s="37" t="s">
        <v>25</v>
      </c>
      <c r="B191" s="457">
        <v>112.41068163837735</v>
      </c>
      <c r="C191" s="457">
        <v>101.27771386888313</v>
      </c>
      <c r="D191" s="457">
        <v>138.93955231815795</v>
      </c>
      <c r="E191" s="457">
        <v>137.41075145068456</v>
      </c>
      <c r="F191" s="457">
        <v>71.256945778776739</v>
      </c>
      <c r="G191" s="457">
        <v>94.620970533245185</v>
      </c>
      <c r="H191" s="457">
        <v>105.94647293528054</v>
      </c>
      <c r="I191" s="457">
        <v>102.60656044790865</v>
      </c>
      <c r="J191" s="457">
        <v>148.61277077269048</v>
      </c>
      <c r="K191" s="457">
        <v>109.43274145427041</v>
      </c>
      <c r="L191" s="457">
        <v>94.29322902062404</v>
      </c>
      <c r="M191" s="457">
        <v>103.09029252169988</v>
      </c>
      <c r="N191" s="457">
        <v>65.997719473517748</v>
      </c>
      <c r="O191" s="457">
        <v>70.761256455097154</v>
      </c>
      <c r="P191" s="257" t="s">
        <v>93</v>
      </c>
      <c r="Q191" s="257" t="s">
        <v>93</v>
      </c>
      <c r="R191" s="257" t="s">
        <v>93</v>
      </c>
      <c r="S191" s="257" t="s">
        <v>93</v>
      </c>
      <c r="T191" s="257" t="s">
        <v>93</v>
      </c>
    </row>
    <row r="192" spans="1:20">
      <c r="A192" s="37" t="s">
        <v>26</v>
      </c>
      <c r="B192" s="457">
        <v>112.68787784462047</v>
      </c>
      <c r="C192" s="457">
        <v>102.36550338371276</v>
      </c>
      <c r="D192" s="457">
        <v>137.03004078424499</v>
      </c>
      <c r="E192" s="457">
        <v>138.4841790255071</v>
      </c>
      <c r="F192" s="457">
        <v>70.963673218715215</v>
      </c>
      <c r="G192" s="457">
        <v>92.293111023437092</v>
      </c>
      <c r="H192" s="457">
        <v>105.88845679155339</v>
      </c>
      <c r="I192" s="457">
        <v>102.56977496197466</v>
      </c>
      <c r="J192" s="457">
        <v>150.66244193100619</v>
      </c>
      <c r="K192" s="457">
        <v>110.37595821807058</v>
      </c>
      <c r="L192" s="457">
        <v>94.661517951044146</v>
      </c>
      <c r="M192" s="457">
        <v>104.13545816339708</v>
      </c>
      <c r="N192" s="457">
        <v>65.188733111105378</v>
      </c>
      <c r="O192" s="457">
        <v>71.811839623614603</v>
      </c>
      <c r="P192" s="257" t="s">
        <v>93</v>
      </c>
      <c r="Q192" s="257" t="s">
        <v>93</v>
      </c>
      <c r="R192" s="257" t="s">
        <v>93</v>
      </c>
      <c r="S192" s="257" t="s">
        <v>93</v>
      </c>
      <c r="T192" s="257" t="s">
        <v>93</v>
      </c>
    </row>
    <row r="193" spans="1:20">
      <c r="A193" s="37" t="s">
        <v>27</v>
      </c>
      <c r="B193" s="457">
        <v>112.93166367307946</v>
      </c>
      <c r="C193" s="457">
        <v>102.34211228983057</v>
      </c>
      <c r="D193" s="457">
        <v>134.92405812258053</v>
      </c>
      <c r="E193" s="457">
        <v>138.10750912158019</v>
      </c>
      <c r="F193" s="457">
        <v>70.44209546684047</v>
      </c>
      <c r="G193" s="457">
        <v>92.2830637584957</v>
      </c>
      <c r="H193" s="457">
        <v>105.54749344699002</v>
      </c>
      <c r="I193" s="457">
        <v>102.38295716750891</v>
      </c>
      <c r="J193" s="457">
        <v>152.21784806449847</v>
      </c>
      <c r="K193" s="457">
        <v>110.2463437576215</v>
      </c>
      <c r="L193" s="457">
        <v>93.940735850779262</v>
      </c>
      <c r="M193" s="457">
        <v>102.98192487556312</v>
      </c>
      <c r="N193" s="457">
        <v>64.709207872748053</v>
      </c>
      <c r="O193" s="457">
        <v>72.499314416830728</v>
      </c>
      <c r="P193" s="257" t="s">
        <v>93</v>
      </c>
      <c r="Q193" s="257" t="s">
        <v>93</v>
      </c>
      <c r="R193" s="257" t="s">
        <v>93</v>
      </c>
      <c r="S193" s="257" t="s">
        <v>93</v>
      </c>
      <c r="T193" s="257" t="s">
        <v>93</v>
      </c>
    </row>
    <row r="194" spans="1:20">
      <c r="A194" s="37" t="s">
        <v>28</v>
      </c>
      <c r="B194" s="457">
        <v>113.22902964946837</v>
      </c>
      <c r="C194" s="457">
        <v>103.04640801382934</v>
      </c>
      <c r="D194" s="457">
        <v>132.49816080330427</v>
      </c>
      <c r="E194" s="457">
        <v>137.03072483033503</v>
      </c>
      <c r="F194" s="457">
        <v>70.047645560243723</v>
      </c>
      <c r="G194" s="457">
        <v>91.041769180969638</v>
      </c>
      <c r="H194" s="457">
        <v>105.20822198644906</v>
      </c>
      <c r="I194" s="457">
        <v>102.14285195050839</v>
      </c>
      <c r="J194" s="457">
        <v>153.58144317968495</v>
      </c>
      <c r="K194" s="457">
        <v>110.25751599002908</v>
      </c>
      <c r="L194" s="457">
        <v>92.997187964797689</v>
      </c>
      <c r="M194" s="457">
        <v>103.14273342148661</v>
      </c>
      <c r="N194" s="457">
        <v>64.538994506239888</v>
      </c>
      <c r="O194" s="457">
        <v>72.791546377106741</v>
      </c>
      <c r="P194" s="257" t="s">
        <v>93</v>
      </c>
      <c r="Q194" s="257" t="s">
        <v>93</v>
      </c>
      <c r="R194" s="257" t="s">
        <v>93</v>
      </c>
      <c r="S194" s="257" t="s">
        <v>93</v>
      </c>
      <c r="T194" s="257" t="s">
        <v>93</v>
      </c>
    </row>
    <row r="195" spans="1:20">
      <c r="A195" s="37" t="s">
        <v>29</v>
      </c>
      <c r="B195" s="457">
        <v>113.60914232707721</v>
      </c>
      <c r="C195" s="457">
        <v>102.75373058300623</v>
      </c>
      <c r="D195" s="457">
        <v>130.91289442556044</v>
      </c>
      <c r="E195" s="457">
        <v>139.35971827964232</v>
      </c>
      <c r="F195" s="457">
        <v>69.109255095431962</v>
      </c>
      <c r="G195" s="457">
        <v>88.960992363676198</v>
      </c>
      <c r="H195" s="457">
        <v>102.83740596403908</v>
      </c>
      <c r="I195" s="457">
        <v>101.45621167143926</v>
      </c>
      <c r="J195" s="457">
        <v>154.82287370106062</v>
      </c>
      <c r="K195" s="457">
        <v>110.46108437548355</v>
      </c>
      <c r="L195" s="457">
        <v>93.429964098866037</v>
      </c>
      <c r="M195" s="457">
        <v>105.79416916830264</v>
      </c>
      <c r="N195" s="457">
        <v>65.033969368386479</v>
      </c>
      <c r="O195" s="457">
        <v>72.54069564297032</v>
      </c>
      <c r="P195" s="257" t="s">
        <v>93</v>
      </c>
      <c r="Q195" s="257" t="s">
        <v>93</v>
      </c>
      <c r="R195" s="257" t="s">
        <v>93</v>
      </c>
      <c r="S195" s="257" t="s">
        <v>93</v>
      </c>
      <c r="T195" s="257" t="s">
        <v>93</v>
      </c>
    </row>
    <row r="196" spans="1:20" s="90" customFormat="1">
      <c r="A196" s="311" t="s">
        <v>2362</v>
      </c>
      <c r="B196" s="581"/>
      <c r="C196" s="1247"/>
      <c r="D196" s="1247"/>
      <c r="E196" s="1247"/>
      <c r="F196" s="1247"/>
      <c r="G196" s="1247"/>
      <c r="H196" s="1247"/>
      <c r="I196" s="1247"/>
      <c r="J196" s="1247"/>
      <c r="K196" s="1247"/>
      <c r="L196" s="1247"/>
      <c r="M196" s="1247"/>
      <c r="N196" s="1247"/>
      <c r="O196" s="581"/>
      <c r="P196" s="1247"/>
      <c r="Q196" s="1247"/>
      <c r="R196" s="1247"/>
      <c r="S196" s="581"/>
      <c r="T196" s="1247"/>
    </row>
    <row r="197" spans="1:20">
      <c r="A197" s="37" t="s">
        <v>18</v>
      </c>
      <c r="B197" s="457">
        <v>114.13809242029191</v>
      </c>
      <c r="C197" s="457">
        <v>104.39413051449033</v>
      </c>
      <c r="D197" s="457">
        <v>132.40755485642126</v>
      </c>
      <c r="E197" s="457">
        <v>139.92381451610925</v>
      </c>
      <c r="F197" s="457">
        <v>68.078089362584507</v>
      </c>
      <c r="G197" s="457">
        <v>91.347565521641954</v>
      </c>
      <c r="H197" s="457">
        <v>102.07014027679362</v>
      </c>
      <c r="I197" s="457">
        <v>99.578097546254327</v>
      </c>
      <c r="J197" s="457">
        <v>156.0627353636348</v>
      </c>
      <c r="K197" s="457">
        <v>111.02882787096705</v>
      </c>
      <c r="L197" s="457">
        <v>91.424016742651759</v>
      </c>
      <c r="M197" s="457">
        <v>105.93482447225395</v>
      </c>
      <c r="N197" s="457">
        <v>64.486517765170035</v>
      </c>
      <c r="O197" s="457">
        <v>72.108846972374252</v>
      </c>
      <c r="P197" s="257" t="s">
        <v>93</v>
      </c>
      <c r="Q197" s="257" t="s">
        <v>93</v>
      </c>
      <c r="R197" s="257" t="s">
        <v>93</v>
      </c>
      <c r="S197" s="257" t="s">
        <v>93</v>
      </c>
      <c r="T197" s="257" t="s">
        <v>93</v>
      </c>
    </row>
    <row r="198" spans="1:20">
      <c r="A198" s="37" t="s">
        <v>19</v>
      </c>
      <c r="B198" s="457">
        <v>114.82968442645208</v>
      </c>
      <c r="C198" s="457">
        <v>106.90143530204361</v>
      </c>
      <c r="D198" s="457">
        <v>133.89786276780973</v>
      </c>
      <c r="E198" s="457">
        <v>143.66516755993732</v>
      </c>
      <c r="F198" s="457">
        <v>70.621627726726757</v>
      </c>
      <c r="G198" s="457">
        <v>93.802896487510367</v>
      </c>
      <c r="H198" s="457">
        <v>101.35478882433225</v>
      </c>
      <c r="I198" s="457">
        <v>99.683546990156501</v>
      </c>
      <c r="J198" s="457">
        <v>158.14053827533291</v>
      </c>
      <c r="K198" s="457">
        <v>111.05302874110164</v>
      </c>
      <c r="L198" s="457">
        <v>92.252624765850499</v>
      </c>
      <c r="M198" s="457">
        <v>109.27274609810131</v>
      </c>
      <c r="N198" s="457">
        <v>66.657078281851824</v>
      </c>
      <c r="O198" s="457">
        <v>72.995769409759575</v>
      </c>
      <c r="P198" s="257" t="s">
        <v>93</v>
      </c>
      <c r="Q198" s="257" t="s">
        <v>93</v>
      </c>
      <c r="R198" s="257" t="s">
        <v>93</v>
      </c>
      <c r="S198" s="257" t="s">
        <v>93</v>
      </c>
      <c r="T198" s="257" t="s">
        <v>93</v>
      </c>
    </row>
    <row r="199" spans="1:20">
      <c r="A199" s="37" t="s">
        <v>20</v>
      </c>
      <c r="B199" s="457">
        <v>116.41800170398784</v>
      </c>
      <c r="C199" s="457">
        <v>105.93593823843501</v>
      </c>
      <c r="D199" s="457">
        <v>141.81148024345512</v>
      </c>
      <c r="E199" s="457">
        <v>150.80016407480502</v>
      </c>
      <c r="F199" s="457">
        <v>81.782793575190581</v>
      </c>
      <c r="G199" s="457">
        <v>100.72459914400912</v>
      </c>
      <c r="H199" s="457">
        <v>108.80411767473171</v>
      </c>
      <c r="I199" s="457">
        <v>109.49298135883966</v>
      </c>
      <c r="J199" s="457">
        <v>156.38957198712021</v>
      </c>
      <c r="K199" s="457">
        <v>116.59456359979517</v>
      </c>
      <c r="L199" s="457">
        <v>94.713422123584238</v>
      </c>
      <c r="M199" s="457">
        <v>120.13006422353106</v>
      </c>
      <c r="N199" s="457">
        <v>68.861122283818261</v>
      </c>
      <c r="O199" s="457">
        <v>72.294158729953836</v>
      </c>
      <c r="P199" s="257" t="s">
        <v>93</v>
      </c>
      <c r="Q199" s="257" t="s">
        <v>93</v>
      </c>
      <c r="R199" s="257" t="s">
        <v>93</v>
      </c>
      <c r="S199" s="257" t="s">
        <v>93</v>
      </c>
      <c r="T199" s="257" t="s">
        <v>93</v>
      </c>
    </row>
    <row r="200" spans="1:20">
      <c r="A200" s="37" t="s">
        <v>21</v>
      </c>
      <c r="B200" s="457">
        <v>117.4571981944343</v>
      </c>
      <c r="C200" s="457">
        <v>107.65617192269839</v>
      </c>
      <c r="D200" s="457">
        <v>141.69742714613659</v>
      </c>
      <c r="E200" s="457">
        <v>161.50354462322994</v>
      </c>
      <c r="F200" s="457">
        <v>82.664583992334769</v>
      </c>
      <c r="G200" s="457">
        <v>103.41886412642062</v>
      </c>
      <c r="H200" s="457">
        <v>112.45438677981818</v>
      </c>
      <c r="I200" s="457">
        <v>113.69294824537589</v>
      </c>
      <c r="J200" s="457">
        <v>156.93983788672492</v>
      </c>
      <c r="K200" s="457">
        <v>116.67001298757015</v>
      </c>
      <c r="L200" s="457">
        <v>96.358191878749736</v>
      </c>
      <c r="M200" s="457">
        <v>124.37809486263417</v>
      </c>
      <c r="N200" s="457">
        <v>69.564376114675014</v>
      </c>
      <c r="O200" s="457">
        <v>73.55236829024436</v>
      </c>
      <c r="P200" s="257" t="s">
        <v>93</v>
      </c>
      <c r="Q200" s="257" t="s">
        <v>93</v>
      </c>
      <c r="R200" s="257" t="s">
        <v>93</v>
      </c>
      <c r="S200" s="257" t="s">
        <v>93</v>
      </c>
      <c r="T200" s="257" t="s">
        <v>93</v>
      </c>
    </row>
    <row r="201" spans="1:20">
      <c r="A201" s="37" t="s">
        <v>22</v>
      </c>
      <c r="B201" s="457">
        <v>116.96788726177581</v>
      </c>
      <c r="C201" s="457">
        <v>106.8648921482132</v>
      </c>
      <c r="D201" s="457">
        <v>142.26241583026692</v>
      </c>
      <c r="E201" s="457">
        <v>160.7136216684226</v>
      </c>
      <c r="F201" s="457">
        <v>79.695336594721397</v>
      </c>
      <c r="G201" s="457">
        <v>100.88913391611693</v>
      </c>
      <c r="H201" s="457">
        <v>112.52305173267722</v>
      </c>
      <c r="I201" s="457">
        <v>108.96843980482129</v>
      </c>
      <c r="J201" s="457">
        <v>155.11117071758198</v>
      </c>
      <c r="K201" s="457">
        <v>114.6949077444544</v>
      </c>
      <c r="L201" s="457">
        <v>96.969102354491511</v>
      </c>
      <c r="M201" s="457">
        <v>120.00913845607018</v>
      </c>
      <c r="N201" s="457">
        <v>69.628830917374444</v>
      </c>
      <c r="O201" s="457">
        <v>73.163160580460456</v>
      </c>
      <c r="P201" s="257" t="s">
        <v>93</v>
      </c>
      <c r="Q201" s="257" t="s">
        <v>93</v>
      </c>
      <c r="R201" s="257" t="s">
        <v>93</v>
      </c>
      <c r="S201" s="257" t="s">
        <v>93</v>
      </c>
      <c r="T201" s="257" t="s">
        <v>93</v>
      </c>
    </row>
    <row r="202" spans="1:20">
      <c r="A202" s="37" t="s">
        <v>23</v>
      </c>
      <c r="B202" s="457">
        <v>115.886701339547</v>
      </c>
      <c r="C202" s="457">
        <v>102.5819966608622</v>
      </c>
      <c r="D202" s="457">
        <v>139.13399547312503</v>
      </c>
      <c r="E202" s="457">
        <v>155.88760679572414</v>
      </c>
      <c r="F202" s="457">
        <v>75.427865426197911</v>
      </c>
      <c r="G202" s="457">
        <v>100.04421512377588</v>
      </c>
      <c r="H202" s="457">
        <v>108.04570905835477</v>
      </c>
      <c r="I202" s="457">
        <v>103.69441072186743</v>
      </c>
      <c r="J202" s="457">
        <v>155.08186216511942</v>
      </c>
      <c r="K202" s="457">
        <v>112.40641413043208</v>
      </c>
      <c r="L202" s="457">
        <v>96.490784063717342</v>
      </c>
      <c r="M202" s="457">
        <v>117.43607310492109</v>
      </c>
      <c r="N202" s="457">
        <v>68.096559049423817</v>
      </c>
      <c r="O202" s="457">
        <v>71.499464639078653</v>
      </c>
      <c r="P202" s="257" t="s">
        <v>93</v>
      </c>
      <c r="Q202" s="257" t="s">
        <v>93</v>
      </c>
      <c r="R202" s="257" t="s">
        <v>93</v>
      </c>
      <c r="S202" s="257" t="s">
        <v>93</v>
      </c>
      <c r="T202" s="257" t="s">
        <v>93</v>
      </c>
    </row>
    <row r="203" spans="1:20">
      <c r="A203" s="37" t="s">
        <v>24</v>
      </c>
      <c r="B203" s="457">
        <v>114.99217614685158</v>
      </c>
      <c r="C203" s="457">
        <v>101.01990387843915</v>
      </c>
      <c r="D203" s="457">
        <v>137.0093459307715</v>
      </c>
      <c r="E203" s="457">
        <v>155.65386639870826</v>
      </c>
      <c r="F203" s="457">
        <v>76.995053085115316</v>
      </c>
      <c r="G203" s="457">
        <v>102.73292453605728</v>
      </c>
      <c r="H203" s="457">
        <v>109.14105175482513</v>
      </c>
      <c r="I203" s="457">
        <v>105.53547261182229</v>
      </c>
      <c r="J203" s="457">
        <v>153.32246195119058</v>
      </c>
      <c r="K203" s="457">
        <v>111.186374715407</v>
      </c>
      <c r="L203" s="457">
        <v>95.588916502011912</v>
      </c>
      <c r="M203" s="457">
        <v>118.26723221160104</v>
      </c>
      <c r="N203" s="457">
        <v>67.465106493346696</v>
      </c>
      <c r="O203" s="457">
        <v>70.285022641183346</v>
      </c>
      <c r="P203" s="257" t="s">
        <v>93</v>
      </c>
      <c r="Q203" s="257" t="s">
        <v>93</v>
      </c>
      <c r="R203" s="257" t="s">
        <v>93</v>
      </c>
      <c r="S203" s="257" t="s">
        <v>93</v>
      </c>
      <c r="T203" s="257" t="s">
        <v>93</v>
      </c>
    </row>
    <row r="204" spans="1:20">
      <c r="A204" s="37" t="s">
        <v>25</v>
      </c>
      <c r="B204" s="457">
        <v>114.32764769976887</v>
      </c>
      <c r="C204" s="457">
        <v>97.843355253810898</v>
      </c>
      <c r="D204" s="457">
        <v>132.14267940941377</v>
      </c>
      <c r="E204" s="457">
        <v>162.76154790437516</v>
      </c>
      <c r="F204" s="457">
        <v>79.433844684830177</v>
      </c>
      <c r="G204" s="457">
        <v>103.51483751145724</v>
      </c>
      <c r="H204" s="457">
        <v>109.30945399188002</v>
      </c>
      <c r="I204" s="457">
        <v>106.32157420064597</v>
      </c>
      <c r="J204" s="457">
        <v>151.96905629839051</v>
      </c>
      <c r="K204" s="457">
        <v>109.85611303133476</v>
      </c>
      <c r="L204" s="457">
        <v>93.059702461176215</v>
      </c>
      <c r="M204" s="457">
        <v>122.06340240383652</v>
      </c>
      <c r="N204" s="457">
        <v>66.197111659645586</v>
      </c>
      <c r="O204" s="457">
        <v>68.235219717272599</v>
      </c>
      <c r="P204" s="257" t="s">
        <v>93</v>
      </c>
      <c r="Q204" s="257" t="s">
        <v>93</v>
      </c>
      <c r="R204" s="257" t="s">
        <v>93</v>
      </c>
      <c r="S204" s="257" t="s">
        <v>93</v>
      </c>
      <c r="T204" s="257" t="s">
        <v>93</v>
      </c>
    </row>
    <row r="205" spans="1:20">
      <c r="A205" s="37" t="s">
        <v>26</v>
      </c>
      <c r="B205" s="457">
        <v>114.22238570967426</v>
      </c>
      <c r="C205" s="457">
        <v>98.216097138133392</v>
      </c>
      <c r="D205" s="457">
        <v>133.36972677138976</v>
      </c>
      <c r="E205" s="457">
        <v>167.42730969350316</v>
      </c>
      <c r="F205" s="457">
        <v>81.871266958397413</v>
      </c>
      <c r="G205" s="457">
        <v>104.91544181797929</v>
      </c>
      <c r="H205" s="457">
        <v>112.03333762935675</v>
      </c>
      <c r="I205" s="457">
        <v>108.25724879366682</v>
      </c>
      <c r="J205" s="457">
        <v>151.71751475772851</v>
      </c>
      <c r="K205" s="457">
        <v>110.73788801191444</v>
      </c>
      <c r="L205" s="457">
        <v>91.369830393065584</v>
      </c>
      <c r="M205" s="457">
        <v>126.6411096043793</v>
      </c>
      <c r="N205" s="457">
        <v>65.289167742588219</v>
      </c>
      <c r="O205" s="457">
        <v>68.600565301732971</v>
      </c>
      <c r="P205" s="257" t="s">
        <v>93</v>
      </c>
      <c r="Q205" s="257" t="s">
        <v>93</v>
      </c>
      <c r="R205" s="257" t="s">
        <v>93</v>
      </c>
      <c r="S205" s="257" t="s">
        <v>93</v>
      </c>
      <c r="T205" s="257" t="s">
        <v>93</v>
      </c>
    </row>
    <row r="206" spans="1:20">
      <c r="A206" s="37" t="s">
        <v>27</v>
      </c>
      <c r="B206" s="457">
        <v>114.29915661764785</v>
      </c>
      <c r="C206" s="457">
        <v>98.501948302690906</v>
      </c>
      <c r="D206" s="457">
        <v>133.62021788150352</v>
      </c>
      <c r="E206" s="457">
        <v>173.02606767111661</v>
      </c>
      <c r="F206" s="457">
        <v>83.571840599866803</v>
      </c>
      <c r="G206" s="457">
        <v>105.31119879530149</v>
      </c>
      <c r="H206" s="457">
        <v>113.04778085640332</v>
      </c>
      <c r="I206" s="457">
        <v>108.05300946280819</v>
      </c>
      <c r="J206" s="457">
        <v>152.02723269141558</v>
      </c>
      <c r="K206" s="457">
        <v>106.97349303161636</v>
      </c>
      <c r="L206" s="457">
        <v>90.584214294434858</v>
      </c>
      <c r="M206" s="457">
        <v>124.7855867414861</v>
      </c>
      <c r="N206" s="457">
        <v>63.957781815989158</v>
      </c>
      <c r="O206" s="457">
        <v>68.639744446937584</v>
      </c>
      <c r="P206" s="257" t="s">
        <v>93</v>
      </c>
      <c r="Q206" s="257" t="s">
        <v>93</v>
      </c>
      <c r="R206" s="257" t="s">
        <v>93</v>
      </c>
      <c r="S206" s="257" t="s">
        <v>93</v>
      </c>
      <c r="T206" s="257" t="s">
        <v>93</v>
      </c>
    </row>
    <row r="207" spans="1:20">
      <c r="A207" s="37" t="s">
        <v>28</v>
      </c>
      <c r="B207" s="457">
        <v>114.63433136574217</v>
      </c>
      <c r="C207" s="457">
        <v>98.7553634831783</v>
      </c>
      <c r="D207" s="457">
        <v>132.08114667061471</v>
      </c>
      <c r="E207" s="457">
        <v>170.75924459179282</v>
      </c>
      <c r="F207" s="457">
        <v>82.723284967787365</v>
      </c>
      <c r="G207" s="457">
        <v>104.44316678413044</v>
      </c>
      <c r="H207" s="457">
        <v>115.82827936424972</v>
      </c>
      <c r="I207" s="457">
        <v>108.44209988591088</v>
      </c>
      <c r="J207" s="457">
        <v>152.0046503594331</v>
      </c>
      <c r="K207" s="457">
        <v>106.6107805822644</v>
      </c>
      <c r="L207" s="457">
        <v>89.999333888254384</v>
      </c>
      <c r="M207" s="457">
        <v>124.36207745594305</v>
      </c>
      <c r="N207" s="457">
        <v>62.725776852063184</v>
      </c>
      <c r="O207" s="457">
        <v>68.914719748088316</v>
      </c>
      <c r="P207" s="257" t="s">
        <v>93</v>
      </c>
      <c r="Q207" s="257" t="s">
        <v>93</v>
      </c>
      <c r="R207" s="257" t="s">
        <v>93</v>
      </c>
      <c r="S207" s="257" t="s">
        <v>93</v>
      </c>
      <c r="T207" s="257" t="s">
        <v>93</v>
      </c>
    </row>
    <row r="208" spans="1:20">
      <c r="A208" s="37" t="s">
        <v>29</v>
      </c>
      <c r="B208" s="457">
        <v>115.31065035326282</v>
      </c>
      <c r="C208" s="457">
        <v>96.43053887301194</v>
      </c>
      <c r="D208" s="457">
        <v>130.26724627088279</v>
      </c>
      <c r="E208" s="457">
        <v>164.80193343533148</v>
      </c>
      <c r="F208" s="457">
        <v>79.577615252392377</v>
      </c>
      <c r="G208" s="457">
        <v>103.67500318191865</v>
      </c>
      <c r="H208" s="457">
        <v>116.869763243824</v>
      </c>
      <c r="I208" s="457">
        <v>105.79150499634845</v>
      </c>
      <c r="J208" s="457">
        <v>152.66207442221142</v>
      </c>
      <c r="K208" s="457">
        <v>103.89657564001676</v>
      </c>
      <c r="L208" s="457">
        <v>89.138506668838602</v>
      </c>
      <c r="M208" s="457">
        <v>122.80797236660827</v>
      </c>
      <c r="N208" s="457">
        <v>61.866052832040751</v>
      </c>
      <c r="O208" s="457">
        <v>67.858679239170968</v>
      </c>
      <c r="P208" s="257" t="s">
        <v>93</v>
      </c>
      <c r="Q208" s="257" t="s">
        <v>93</v>
      </c>
      <c r="R208" s="257" t="s">
        <v>93</v>
      </c>
      <c r="S208" s="257" t="s">
        <v>93</v>
      </c>
      <c r="T208" s="257" t="s">
        <v>93</v>
      </c>
    </row>
    <row r="209" spans="1:20" s="90" customFormat="1">
      <c r="A209" s="580" t="s">
        <v>2523</v>
      </c>
      <c r="B209" s="424"/>
      <c r="C209" s="424"/>
      <c r="D209" s="424"/>
      <c r="E209" s="424"/>
      <c r="F209" s="424"/>
      <c r="G209" s="424"/>
      <c r="H209" s="424"/>
      <c r="I209" s="424"/>
      <c r="J209" s="424"/>
      <c r="K209" s="424"/>
      <c r="L209" s="424"/>
      <c r="M209" s="424"/>
      <c r="N209" s="424"/>
      <c r="O209" s="424"/>
      <c r="P209" s="424"/>
      <c r="Q209" s="424"/>
      <c r="R209" s="424"/>
      <c r="S209" s="424"/>
      <c r="T209" s="424"/>
    </row>
    <row r="210" spans="1:20">
      <c r="A210" s="37" t="s">
        <v>18</v>
      </c>
      <c r="B210" s="457">
        <v>116.34533822227306</v>
      </c>
      <c r="C210" s="457">
        <v>97.207171023242438</v>
      </c>
      <c r="D210" s="457">
        <v>130.29332247653056</v>
      </c>
      <c r="E210" s="457">
        <v>156.94318244952149</v>
      </c>
      <c r="F210" s="457">
        <v>80.233276513638671</v>
      </c>
      <c r="G210" s="457">
        <v>103.74992972671058</v>
      </c>
      <c r="H210" s="457">
        <v>117.34988577798016</v>
      </c>
      <c r="I210" s="457">
        <v>106.59206222462645</v>
      </c>
      <c r="J210" s="457">
        <v>153.50516338769162</v>
      </c>
      <c r="K210" s="457">
        <v>104.4484524759833</v>
      </c>
      <c r="L210" s="457">
        <v>88.505966672081371</v>
      </c>
      <c r="M210" s="457">
        <v>123.23382857572595</v>
      </c>
      <c r="N210" s="457">
        <v>62.397880799767684</v>
      </c>
      <c r="O210" s="457">
        <v>68.427605612796242</v>
      </c>
      <c r="P210" s="257" t="s">
        <v>93</v>
      </c>
      <c r="Q210" s="257" t="s">
        <v>93</v>
      </c>
      <c r="R210" s="257" t="s">
        <v>93</v>
      </c>
      <c r="S210" s="257" t="s">
        <v>93</v>
      </c>
      <c r="T210" s="257" t="s">
        <v>93</v>
      </c>
    </row>
    <row r="211" spans="1:20">
      <c r="A211" s="37" t="s">
        <v>19</v>
      </c>
      <c r="B211" s="457">
        <v>117.7720113440426</v>
      </c>
      <c r="C211" s="457">
        <v>99.233233671549115</v>
      </c>
      <c r="D211" s="457">
        <v>130.08810371531803</v>
      </c>
      <c r="E211" s="457">
        <v>151.91716638396667</v>
      </c>
      <c r="F211" s="457">
        <v>81.014445786738136</v>
      </c>
      <c r="G211" s="457">
        <v>103.14434175967789</v>
      </c>
      <c r="H211" s="457">
        <v>118.46340011207812</v>
      </c>
      <c r="I211" s="457">
        <v>106.87512393580607</v>
      </c>
      <c r="J211" s="457">
        <v>158.29369736311921</v>
      </c>
      <c r="K211" s="457">
        <v>107.43218190462771</v>
      </c>
      <c r="L211" s="457">
        <v>89.22451041035923</v>
      </c>
      <c r="M211" s="457">
        <v>124.62514432571359</v>
      </c>
      <c r="N211" s="457">
        <v>63.85320158253684</v>
      </c>
      <c r="O211" s="457">
        <v>70.284105273691495</v>
      </c>
      <c r="P211" s="257" t="s">
        <v>93</v>
      </c>
      <c r="Q211" s="257" t="s">
        <v>93</v>
      </c>
      <c r="R211" s="257" t="s">
        <v>93</v>
      </c>
      <c r="S211" s="257" t="s">
        <v>93</v>
      </c>
      <c r="T211" s="257" t="s">
        <v>93</v>
      </c>
    </row>
    <row r="212" spans="1:20">
      <c r="A212" s="37" t="s">
        <v>20</v>
      </c>
      <c r="B212" s="457">
        <v>118.07206726880143</v>
      </c>
      <c r="C212" s="457">
        <v>100.55673809092605</v>
      </c>
      <c r="D212" s="457">
        <v>130.3868377701304</v>
      </c>
      <c r="E212" s="457">
        <v>160.24559103449607</v>
      </c>
      <c r="F212" s="457">
        <v>80.966007469108334</v>
      </c>
      <c r="G212" s="457">
        <v>101.91321209885162</v>
      </c>
      <c r="H212" s="457">
        <v>115.47999780607368</v>
      </c>
      <c r="I212" s="457">
        <v>107.85177263521499</v>
      </c>
      <c r="J212" s="457">
        <v>164.27656193783878</v>
      </c>
      <c r="K212" s="457">
        <v>108.85045644296963</v>
      </c>
      <c r="L212" s="457">
        <v>90.994335429876998</v>
      </c>
      <c r="M212" s="457">
        <v>124.86419661089845</v>
      </c>
      <c r="N212" s="457">
        <v>65.40090080415834</v>
      </c>
      <c r="O212" s="457">
        <v>73.017675515702877</v>
      </c>
      <c r="P212" s="257" t="s">
        <v>93</v>
      </c>
      <c r="Q212" s="257" t="s">
        <v>93</v>
      </c>
      <c r="R212" s="257" t="s">
        <v>93</v>
      </c>
      <c r="S212" s="257" t="s">
        <v>93</v>
      </c>
      <c r="T212" s="257" t="s">
        <v>93</v>
      </c>
    </row>
    <row r="213" spans="1:20">
      <c r="A213" s="37" t="s">
        <v>21</v>
      </c>
      <c r="B213" s="457">
        <v>117.50112896757827</v>
      </c>
      <c r="C213" s="457">
        <v>100.14288021381128</v>
      </c>
      <c r="D213" s="457">
        <v>130.70815413880425</v>
      </c>
      <c r="E213" s="457">
        <v>172.02586712689026</v>
      </c>
      <c r="F213" s="457">
        <v>82.918409365478581</v>
      </c>
      <c r="G213" s="457">
        <v>102.13974681898952</v>
      </c>
      <c r="H213" s="457">
        <v>118.26958259977671</v>
      </c>
      <c r="I213" s="457">
        <v>110.08041740661916</v>
      </c>
      <c r="J213" s="457">
        <v>165.82160173175228</v>
      </c>
      <c r="K213" s="457">
        <v>108.05337675635168</v>
      </c>
      <c r="L213" s="457">
        <v>91.90173164559252</v>
      </c>
      <c r="M213" s="457">
        <v>124.65799135021928</v>
      </c>
      <c r="N213" s="457">
        <v>64.788677224071364</v>
      </c>
      <c r="O213" s="457">
        <v>72.848606423705576</v>
      </c>
      <c r="P213" s="257" t="s">
        <v>93</v>
      </c>
      <c r="Q213" s="257" t="s">
        <v>93</v>
      </c>
      <c r="R213" s="257" t="s">
        <v>93</v>
      </c>
      <c r="S213" s="257" t="s">
        <v>93</v>
      </c>
      <c r="T213" s="257" t="s">
        <v>93</v>
      </c>
    </row>
    <row r="214" spans="1:20">
      <c r="A214" s="37" t="s">
        <v>22</v>
      </c>
      <c r="B214" s="457">
        <v>116.85489588472133</v>
      </c>
      <c r="C214" s="457">
        <v>98.13280743726186</v>
      </c>
      <c r="D214" s="457">
        <v>127.96080115422291</v>
      </c>
      <c r="E214" s="457">
        <v>174.18935735859068</v>
      </c>
      <c r="F214" s="457">
        <v>79.981167506008788</v>
      </c>
      <c r="G214" s="457">
        <v>99.771322089621975</v>
      </c>
      <c r="H214" s="457">
        <v>115.65075699661053</v>
      </c>
      <c r="I214" s="457">
        <v>107.81692710533578</v>
      </c>
      <c r="J214" s="457">
        <v>165.1875518254341</v>
      </c>
      <c r="K214" s="457">
        <v>106.73647243625265</v>
      </c>
      <c r="L214" s="457">
        <v>90.6954035962018</v>
      </c>
      <c r="M214" s="457">
        <v>120.17366480849913</v>
      </c>
      <c r="N214" s="457">
        <v>64.93098585971569</v>
      </c>
      <c r="O214" s="457">
        <v>70.913678266544565</v>
      </c>
      <c r="P214" s="257" t="s">
        <v>93</v>
      </c>
      <c r="Q214" s="257" t="s">
        <v>93</v>
      </c>
      <c r="R214" s="257" t="s">
        <v>93</v>
      </c>
      <c r="S214" s="257" t="s">
        <v>93</v>
      </c>
      <c r="T214" s="257" t="s">
        <v>93</v>
      </c>
    </row>
    <row r="215" spans="1:20">
      <c r="A215" s="37" t="s">
        <v>23</v>
      </c>
      <c r="B215" s="457">
        <v>115.24261252104887</v>
      </c>
      <c r="C215" s="457">
        <v>98.328190075182135</v>
      </c>
      <c r="D215" s="457">
        <v>126.83989934432253</v>
      </c>
      <c r="E215" s="457">
        <v>175.78762971769549</v>
      </c>
      <c r="F215" s="457">
        <v>77.537114196613416</v>
      </c>
      <c r="G215" s="457">
        <v>97.82323337230946</v>
      </c>
      <c r="H215" s="457">
        <v>107.02713669261453</v>
      </c>
      <c r="I215" s="457">
        <v>106.11899851652515</v>
      </c>
      <c r="J215" s="457">
        <v>165.59961165629193</v>
      </c>
      <c r="K215" s="457">
        <v>106.06291958655511</v>
      </c>
      <c r="L215" s="457">
        <v>90.506123926088264</v>
      </c>
      <c r="M215" s="457">
        <v>118.32832724849239</v>
      </c>
      <c r="N215" s="457">
        <v>64.598500354454373</v>
      </c>
      <c r="O215" s="457">
        <v>70.929810003592095</v>
      </c>
      <c r="P215" s="257" t="s">
        <v>93</v>
      </c>
      <c r="Q215" s="257" t="s">
        <v>93</v>
      </c>
      <c r="R215" s="257" t="s">
        <v>93</v>
      </c>
      <c r="S215" s="257" t="s">
        <v>93</v>
      </c>
      <c r="T215" s="257" t="s">
        <v>93</v>
      </c>
    </row>
    <row r="216" spans="1:20">
      <c r="A216" s="37" t="s">
        <v>24</v>
      </c>
      <c r="B216" s="457">
        <v>115.72047960217543</v>
      </c>
      <c r="C216" s="457">
        <v>101.12624666941912</v>
      </c>
      <c r="D216" s="457">
        <v>130.07794448952657</v>
      </c>
      <c r="E216" s="457">
        <v>173.7635995292614</v>
      </c>
      <c r="F216" s="457">
        <v>79.442196296276322</v>
      </c>
      <c r="G216" s="457">
        <v>98.400661042615141</v>
      </c>
      <c r="H216" s="457">
        <v>105.42952823933508</v>
      </c>
      <c r="I216" s="457">
        <v>106.3473968457742</v>
      </c>
      <c r="J216" s="457">
        <v>167.12139691133808</v>
      </c>
      <c r="K216" s="457">
        <v>107.25439256204805</v>
      </c>
      <c r="L216" s="457">
        <v>91.77681908693738</v>
      </c>
      <c r="M216" s="457">
        <v>120.17514376341843</v>
      </c>
      <c r="N216" s="457">
        <v>66.317545477469011</v>
      </c>
      <c r="O216" s="457">
        <v>72.510528179155088</v>
      </c>
      <c r="P216" s="257" t="s">
        <v>93</v>
      </c>
      <c r="Q216" s="257" t="s">
        <v>93</v>
      </c>
      <c r="R216" s="257" t="s">
        <v>93</v>
      </c>
      <c r="S216" s="257" t="s">
        <v>93</v>
      </c>
      <c r="T216" s="257" t="s">
        <v>93</v>
      </c>
    </row>
    <row r="217" spans="1:20">
      <c r="A217" s="37" t="s">
        <v>25</v>
      </c>
      <c r="B217" s="457">
        <v>115.91173613449688</v>
      </c>
      <c r="C217" s="457">
        <v>101.76321580007505</v>
      </c>
      <c r="D217" s="457">
        <v>129.90460239829562</v>
      </c>
      <c r="E217" s="457">
        <v>170.35097744509054</v>
      </c>
      <c r="F217" s="457">
        <v>79.39844642762165</v>
      </c>
      <c r="G217" s="457">
        <v>97.477414911760647</v>
      </c>
      <c r="H217" s="457">
        <v>104.68431172278275</v>
      </c>
      <c r="I217" s="457">
        <v>106.31117566313665</v>
      </c>
      <c r="J217" s="457">
        <v>167.55615976493218</v>
      </c>
      <c r="K217" s="457">
        <v>105.94029469137632</v>
      </c>
      <c r="L217" s="457">
        <v>92.164259164717336</v>
      </c>
      <c r="M217" s="457">
        <v>119.19094328516428</v>
      </c>
      <c r="N217" s="457">
        <v>67.350065861303108</v>
      </c>
      <c r="O217" s="457">
        <v>72.39729605203901</v>
      </c>
      <c r="P217" s="257" t="s">
        <v>93</v>
      </c>
      <c r="Q217" s="257" t="s">
        <v>93</v>
      </c>
      <c r="R217" s="257" t="s">
        <v>93</v>
      </c>
      <c r="S217" s="257" t="s">
        <v>93</v>
      </c>
      <c r="T217" s="257" t="s">
        <v>93</v>
      </c>
    </row>
    <row r="218" spans="1:20">
      <c r="A218" s="37" t="s">
        <v>26</v>
      </c>
      <c r="B218" s="457">
        <v>117.54609115219351</v>
      </c>
      <c r="C218" s="457">
        <v>102.9697286139276</v>
      </c>
      <c r="D218" s="457">
        <v>132.23762851751346</v>
      </c>
      <c r="E218" s="457">
        <v>172.15119168300092</v>
      </c>
      <c r="F218" s="457">
        <v>79.52123247697368</v>
      </c>
      <c r="G218" s="457">
        <v>97.900032335144857</v>
      </c>
      <c r="H218" s="457">
        <v>106.32835747529184</v>
      </c>
      <c r="I218" s="457">
        <v>107.81016281643637</v>
      </c>
      <c r="J218" s="457">
        <v>170.29573782448296</v>
      </c>
      <c r="K218" s="457">
        <v>107.00747600049073</v>
      </c>
      <c r="L218" s="457">
        <v>93.534295573229144</v>
      </c>
      <c r="M218" s="457">
        <v>119.41192287028876</v>
      </c>
      <c r="N218" s="457">
        <v>68.879607130571685</v>
      </c>
      <c r="O218" s="457">
        <v>74.305677159538675</v>
      </c>
      <c r="P218" s="257" t="s">
        <v>93</v>
      </c>
      <c r="Q218" s="257" t="s">
        <v>93</v>
      </c>
      <c r="R218" s="257" t="s">
        <v>93</v>
      </c>
      <c r="S218" s="257" t="s">
        <v>93</v>
      </c>
      <c r="T218" s="257" t="s">
        <v>93</v>
      </c>
    </row>
    <row r="219" spans="1:20">
      <c r="A219" s="37" t="s">
        <v>27</v>
      </c>
      <c r="B219" s="457">
        <v>118.33140365594629</v>
      </c>
      <c r="C219" s="457">
        <v>105.26005719395209</v>
      </c>
      <c r="D219" s="457">
        <v>133.62614262757535</v>
      </c>
      <c r="E219" s="457">
        <v>184.05092085097701</v>
      </c>
      <c r="F219" s="457">
        <v>78.287433084174282</v>
      </c>
      <c r="G219" s="457">
        <v>97.282913893061092</v>
      </c>
      <c r="H219" s="457">
        <v>107.39857854524695</v>
      </c>
      <c r="I219" s="457">
        <v>108.74598265135336</v>
      </c>
      <c r="J219" s="457">
        <v>178.09609011834124</v>
      </c>
      <c r="K219" s="457">
        <v>108.81812602229222</v>
      </c>
      <c r="L219" s="457">
        <v>93.838971966180438</v>
      </c>
      <c r="M219" s="457">
        <v>118.26209895766149</v>
      </c>
      <c r="N219" s="457">
        <v>70.471311828188689</v>
      </c>
      <c r="O219" s="457">
        <v>75.377338186813461</v>
      </c>
      <c r="P219" s="257" t="s">
        <v>93</v>
      </c>
      <c r="Q219" s="257" t="s">
        <v>93</v>
      </c>
      <c r="R219" s="257" t="s">
        <v>93</v>
      </c>
      <c r="S219" s="257" t="s">
        <v>93</v>
      </c>
      <c r="T219" s="257" t="s">
        <v>93</v>
      </c>
    </row>
    <row r="220" spans="1:20">
      <c r="A220" s="37" t="s">
        <v>28</v>
      </c>
      <c r="B220" s="457">
        <v>119.12620810712093</v>
      </c>
      <c r="C220" s="457">
        <v>108.12920274687296</v>
      </c>
      <c r="D220" s="457">
        <v>136.95649189154338</v>
      </c>
      <c r="E220" s="457">
        <v>207.37480953513011</v>
      </c>
      <c r="F220" s="457">
        <v>80.226589180298873</v>
      </c>
      <c r="G220" s="457">
        <v>98.278987400584484</v>
      </c>
      <c r="H220" s="457">
        <v>108.27586790313472</v>
      </c>
      <c r="I220" s="457">
        <v>110.78529347325373</v>
      </c>
      <c r="J220" s="457">
        <v>181.98204135769322</v>
      </c>
      <c r="K220" s="457">
        <v>107.28888556772935</v>
      </c>
      <c r="L220" s="457">
        <v>94.389138418203359</v>
      </c>
      <c r="M220" s="457">
        <v>120.19339337407349</v>
      </c>
      <c r="N220" s="457">
        <v>71.305639635667006</v>
      </c>
      <c r="O220" s="457">
        <v>76.406349380196659</v>
      </c>
      <c r="P220" s="257" t="s">
        <v>93</v>
      </c>
      <c r="Q220" s="257" t="s">
        <v>93</v>
      </c>
      <c r="R220" s="257" t="s">
        <v>93</v>
      </c>
      <c r="S220" s="257" t="s">
        <v>93</v>
      </c>
      <c r="T220" s="257" t="s">
        <v>93</v>
      </c>
    </row>
    <row r="221" spans="1:20">
      <c r="A221" s="37" t="s">
        <v>29</v>
      </c>
      <c r="B221" s="457">
        <v>120.41365778556006</v>
      </c>
      <c r="C221" s="457">
        <v>110.25748650091839</v>
      </c>
      <c r="D221" s="457">
        <v>139.9112572911956</v>
      </c>
      <c r="E221" s="457">
        <v>234.16949456654385</v>
      </c>
      <c r="F221" s="457">
        <v>81.928473145346018</v>
      </c>
      <c r="G221" s="457">
        <v>101.97365276549272</v>
      </c>
      <c r="H221" s="457">
        <v>108.35849388002576</v>
      </c>
      <c r="I221" s="457">
        <v>113.49676468496631</v>
      </c>
      <c r="J221" s="457">
        <v>184.14094362973631</v>
      </c>
      <c r="K221" s="457">
        <v>109.79848988693693</v>
      </c>
      <c r="L221" s="457">
        <v>95.82369878415129</v>
      </c>
      <c r="M221" s="457">
        <v>123.64754090587699</v>
      </c>
      <c r="N221" s="457">
        <v>72.191002306025467</v>
      </c>
      <c r="O221" s="457">
        <v>77.549103354646135</v>
      </c>
      <c r="P221" s="257" t="s">
        <v>93</v>
      </c>
      <c r="Q221" s="257" t="s">
        <v>93</v>
      </c>
      <c r="R221" s="257" t="s">
        <v>93</v>
      </c>
      <c r="S221" s="257" t="s">
        <v>93</v>
      </c>
      <c r="T221" s="257" t="s">
        <v>93</v>
      </c>
    </row>
    <row r="222" spans="1:20">
      <c r="A222" s="37" t="s">
        <v>2812</v>
      </c>
      <c r="B222" s="457"/>
      <c r="C222" s="457"/>
      <c r="D222" s="457"/>
      <c r="E222" s="457"/>
      <c r="F222" s="457"/>
      <c r="G222" s="457"/>
      <c r="H222" s="457"/>
      <c r="I222" s="457"/>
      <c r="J222" s="457"/>
      <c r="K222" s="457"/>
      <c r="L222" s="457"/>
      <c r="M222" s="457"/>
      <c r="N222" s="457"/>
      <c r="O222" s="457"/>
      <c r="P222" s="457"/>
      <c r="Q222" s="457"/>
      <c r="R222" s="457"/>
      <c r="S222" s="457"/>
      <c r="T222" s="457"/>
    </row>
    <row r="223" spans="1:20">
      <c r="A223" s="37" t="s">
        <v>18</v>
      </c>
      <c r="B223" s="457">
        <v>121.66538938809788</v>
      </c>
      <c r="C223" s="457">
        <v>111.37136134911654</v>
      </c>
      <c r="D223" s="457">
        <v>139.74425219641137</v>
      </c>
      <c r="E223" s="457">
        <v>216.51168281428843</v>
      </c>
      <c r="F223" s="457">
        <v>85.290918512937353</v>
      </c>
      <c r="G223" s="457">
        <v>105.333144237184</v>
      </c>
      <c r="H223" s="457">
        <v>108.27373985888829</v>
      </c>
      <c r="I223" s="457">
        <v>114.56294010560312</v>
      </c>
      <c r="J223" s="457">
        <v>188.23544633792847</v>
      </c>
      <c r="K223" s="457">
        <v>110.80717974489112</v>
      </c>
      <c r="L223" s="457">
        <v>96.854875281234229</v>
      </c>
      <c r="M223" s="457">
        <v>126.23117279792442</v>
      </c>
      <c r="N223" s="457">
        <v>73.674381125282963</v>
      </c>
      <c r="O223" s="457">
        <v>78.49527581171499</v>
      </c>
      <c r="P223" s="257" t="s">
        <v>93</v>
      </c>
      <c r="Q223" s="257" t="s">
        <v>93</v>
      </c>
      <c r="R223" s="257" t="s">
        <v>93</v>
      </c>
      <c r="S223" s="257" t="s">
        <v>93</v>
      </c>
      <c r="T223" s="257" t="s">
        <v>93</v>
      </c>
    </row>
    <row r="224" spans="1:20">
      <c r="A224" s="37" t="s">
        <v>19</v>
      </c>
      <c r="B224" s="457">
        <v>122.02493692629419</v>
      </c>
      <c r="C224" s="457">
        <v>111.3926827401075</v>
      </c>
      <c r="D224" s="457">
        <v>140.36010877288115</v>
      </c>
      <c r="E224" s="457">
        <v>211.02293624234412</v>
      </c>
      <c r="F224" s="457">
        <v>87.355962427861627</v>
      </c>
      <c r="G224" s="457">
        <v>107.01687233401502</v>
      </c>
      <c r="H224" s="457">
        <v>105.99376680055911</v>
      </c>
      <c r="I224" s="457">
        <v>115.11232680750034</v>
      </c>
      <c r="J224" s="457">
        <v>190.24867221787332</v>
      </c>
      <c r="K224" s="457">
        <v>114.07256567430515</v>
      </c>
      <c r="L224" s="457">
        <v>97.148802129489837</v>
      </c>
      <c r="M224" s="457">
        <v>126.88561858073388</v>
      </c>
      <c r="N224" s="457">
        <v>74.282668237859397</v>
      </c>
      <c r="O224" s="457">
        <v>79.1638720254182</v>
      </c>
      <c r="P224" s="257" t="s">
        <v>93</v>
      </c>
      <c r="Q224" s="257" t="s">
        <v>93</v>
      </c>
      <c r="R224" s="257" t="s">
        <v>93</v>
      </c>
      <c r="S224" s="257" t="s">
        <v>93</v>
      </c>
      <c r="T224" s="257" t="s">
        <v>93</v>
      </c>
    </row>
    <row r="225" spans="1:20">
      <c r="A225" s="37" t="s">
        <v>20</v>
      </c>
      <c r="B225" s="457">
        <v>121.90955668126435</v>
      </c>
      <c r="C225" s="457">
        <v>113.05816211479723</v>
      </c>
      <c r="D225" s="457">
        <v>144.29821976535243</v>
      </c>
      <c r="E225" s="457">
        <v>216.31374956503524</v>
      </c>
      <c r="F225" s="457">
        <v>114.74054617558679</v>
      </c>
      <c r="G225" s="457">
        <v>109.0348280348225</v>
      </c>
      <c r="H225" s="457">
        <v>112.572657820681</v>
      </c>
      <c r="I225" s="457">
        <v>128.6217866796548</v>
      </c>
      <c r="J225" s="457">
        <v>195.84444981529586</v>
      </c>
      <c r="K225" s="457">
        <v>115.68474587360865</v>
      </c>
      <c r="L225" s="457">
        <v>98.174596170472086</v>
      </c>
      <c r="M225" s="457">
        <v>127.48706004736128</v>
      </c>
      <c r="N225" s="457">
        <v>75.795600999306146</v>
      </c>
      <c r="O225" s="457">
        <v>80.175006346317176</v>
      </c>
      <c r="P225" s="257" t="s">
        <v>93</v>
      </c>
      <c r="Q225" s="257" t="s">
        <v>93</v>
      </c>
      <c r="R225" s="257" t="s">
        <v>93</v>
      </c>
      <c r="S225" s="257" t="s">
        <v>93</v>
      </c>
      <c r="T225" s="257" t="s">
        <v>93</v>
      </c>
    </row>
    <row r="226" spans="1:20">
      <c r="A226" s="37" t="s">
        <v>21</v>
      </c>
      <c r="B226" s="457">
        <v>122.80856491166176</v>
      </c>
      <c r="C226" s="457">
        <v>115.42814436076917</v>
      </c>
      <c r="D226" s="457">
        <v>144.37537707450372</v>
      </c>
      <c r="E226" s="457">
        <v>205.69557246527216</v>
      </c>
      <c r="F226" s="457">
        <v>83.92818549399172</v>
      </c>
      <c r="G226" s="457">
        <v>105.12008717597058</v>
      </c>
      <c r="H226" s="457">
        <v>105.61727103353581</v>
      </c>
      <c r="I226" s="457">
        <v>117.90194604554127</v>
      </c>
      <c r="J226" s="457">
        <v>210.94946607555801</v>
      </c>
      <c r="K226" s="457">
        <v>115.7380626182679</v>
      </c>
      <c r="L226" s="457">
        <v>100.02993245574582</v>
      </c>
      <c r="M226" s="457">
        <v>126.82138480064417</v>
      </c>
      <c r="N226" s="457">
        <v>76.993035570143888</v>
      </c>
      <c r="O226" s="457">
        <v>81.838774467115584</v>
      </c>
      <c r="P226" s="257" t="s">
        <v>93</v>
      </c>
      <c r="Q226" s="257" t="s">
        <v>93</v>
      </c>
      <c r="R226" s="257" t="s">
        <v>93</v>
      </c>
      <c r="S226" s="257" t="s">
        <v>93</v>
      </c>
      <c r="T226" s="257" t="s">
        <v>93</v>
      </c>
    </row>
    <row r="227" spans="1:20">
      <c r="A227" s="37" t="s">
        <v>22</v>
      </c>
      <c r="B227" s="457">
        <v>122.4887278784672</v>
      </c>
      <c r="C227" s="457">
        <v>117.99333617952119</v>
      </c>
      <c r="D227" s="457">
        <v>150.55465075049472</v>
      </c>
      <c r="E227" s="457">
        <v>212.79249470970873</v>
      </c>
      <c r="F227" s="457">
        <v>67.971452453240332</v>
      </c>
      <c r="G227" s="457">
        <v>103.18674225470835</v>
      </c>
      <c r="H227" s="457">
        <v>101.77840985332564</v>
      </c>
      <c r="I227" s="457">
        <v>111.12256252818206</v>
      </c>
      <c r="J227" s="457">
        <v>216.5038072407238</v>
      </c>
      <c r="K227" s="457">
        <v>120.90429958185615</v>
      </c>
      <c r="L227" s="457">
        <v>105.45819211876075</v>
      </c>
      <c r="M227" s="457">
        <v>126.8427402022575</v>
      </c>
      <c r="N227" s="457">
        <v>79.163554690454234</v>
      </c>
      <c r="O227" s="457">
        <v>84.96453662689072</v>
      </c>
      <c r="P227" s="257" t="s">
        <v>93</v>
      </c>
      <c r="Q227" s="257" t="s">
        <v>93</v>
      </c>
      <c r="R227" s="257" t="s">
        <v>93</v>
      </c>
      <c r="S227" s="257" t="s">
        <v>93</v>
      </c>
      <c r="T227" s="257" t="s">
        <v>93</v>
      </c>
    </row>
    <row r="228" spans="1:20">
      <c r="A228" s="37" t="s">
        <v>23</v>
      </c>
      <c r="B228" s="457">
        <v>120.78794468559259</v>
      </c>
      <c r="C228" s="457">
        <v>116.6673065998894</v>
      </c>
      <c r="D228" s="457">
        <v>150.25070615035301</v>
      </c>
      <c r="E228" s="457">
        <v>221.69504673653887</v>
      </c>
      <c r="F228" s="457">
        <v>60.802336795789969</v>
      </c>
      <c r="G228" s="457">
        <v>99.476471883383439</v>
      </c>
      <c r="H228" s="457">
        <v>100.99865129297444</v>
      </c>
      <c r="I228" s="457">
        <v>112.74964693015546</v>
      </c>
      <c r="J228" s="457">
        <v>224.38738613002556</v>
      </c>
      <c r="K228" s="457">
        <v>121.38409969570148</v>
      </c>
      <c r="L228" s="457">
        <v>105.12672125531684</v>
      </c>
      <c r="M228" s="457">
        <v>125.29176316497752</v>
      </c>
      <c r="N228" s="457">
        <v>79.133423107833892</v>
      </c>
      <c r="O228" s="457">
        <v>83.611836369540413</v>
      </c>
      <c r="P228" s="257" t="s">
        <v>93</v>
      </c>
      <c r="Q228" s="257" t="s">
        <v>93</v>
      </c>
      <c r="R228" s="257" t="s">
        <v>93</v>
      </c>
      <c r="S228" s="257" t="s">
        <v>93</v>
      </c>
      <c r="T228" s="257" t="s">
        <v>93</v>
      </c>
    </row>
    <row r="229" spans="1:20">
      <c r="A229" s="37" t="s">
        <v>24</v>
      </c>
      <c r="B229" s="457">
        <v>121.36433352435337</v>
      </c>
      <c r="C229" s="457">
        <v>121.35920904773221</v>
      </c>
      <c r="D229" s="457">
        <v>154.42346077974244</v>
      </c>
      <c r="E229" s="457">
        <v>222.56929935480406</v>
      </c>
      <c r="F229" s="457">
        <v>62.948375686182217</v>
      </c>
      <c r="G229" s="457">
        <v>106.00294826309754</v>
      </c>
      <c r="H229" s="457">
        <v>97.711487060359232</v>
      </c>
      <c r="I229" s="457">
        <v>119.98174297140532</v>
      </c>
      <c r="J229" s="457">
        <v>229.09193483706454</v>
      </c>
      <c r="K229" s="457">
        <v>122.71311610989414</v>
      </c>
      <c r="L229" s="457">
        <v>105.7374621800133</v>
      </c>
      <c r="M229" s="457">
        <v>120.77229519921406</v>
      </c>
      <c r="N229" s="457">
        <v>80.990458408233849</v>
      </c>
      <c r="O229" s="457">
        <v>83.911892518789884</v>
      </c>
      <c r="P229" s="257" t="s">
        <v>93</v>
      </c>
      <c r="Q229" s="257" t="s">
        <v>93</v>
      </c>
      <c r="R229" s="257" t="s">
        <v>93</v>
      </c>
      <c r="S229" s="257" t="s">
        <v>93</v>
      </c>
      <c r="T229" s="257" t="s">
        <v>93</v>
      </c>
    </row>
    <row r="230" spans="1:20">
      <c r="A230" s="37" t="s">
        <v>25</v>
      </c>
      <c r="B230" s="457">
        <v>122.20133427822466</v>
      </c>
      <c r="C230" s="457">
        <v>122.41159866266794</v>
      </c>
      <c r="D230" s="457">
        <v>155.16895542945778</v>
      </c>
      <c r="E230" s="457">
        <v>229.14659285666522</v>
      </c>
      <c r="F230" s="457">
        <v>65.415755028873164</v>
      </c>
      <c r="G230" s="457">
        <v>123.03833276594254</v>
      </c>
      <c r="H230" s="457">
        <v>96.105409563672197</v>
      </c>
      <c r="I230" s="457">
        <v>118.09701229030571</v>
      </c>
      <c r="J230" s="457">
        <v>228.13116534207876</v>
      </c>
      <c r="K230" s="457">
        <v>118.01094883170039</v>
      </c>
      <c r="L230" s="457">
        <v>107.79735069478896</v>
      </c>
      <c r="M230" s="457">
        <v>116.0169273811274</v>
      </c>
      <c r="N230" s="457">
        <v>82.503772657781496</v>
      </c>
      <c r="O230" s="457">
        <v>83.384897613919307</v>
      </c>
      <c r="P230" s="257" t="s">
        <v>93</v>
      </c>
      <c r="Q230" s="257" t="s">
        <v>93</v>
      </c>
      <c r="R230" s="257" t="s">
        <v>93</v>
      </c>
      <c r="S230" s="257" t="s">
        <v>93</v>
      </c>
      <c r="T230" s="257" t="s">
        <v>93</v>
      </c>
    </row>
    <row r="231" spans="1:20">
      <c r="A231" s="37" t="s">
        <v>26</v>
      </c>
      <c r="B231" s="457">
        <v>125.50271481421123</v>
      </c>
      <c r="C231" s="457">
        <v>127.40104720865395</v>
      </c>
      <c r="D231" s="457">
        <v>168.17610099718991</v>
      </c>
      <c r="E231" s="457">
        <v>232.72707974439032</v>
      </c>
      <c r="F231" s="457">
        <v>66.751072175674921</v>
      </c>
      <c r="G231" s="457">
        <v>125.16594513555332</v>
      </c>
      <c r="H231" s="457">
        <v>100.83087922961703</v>
      </c>
      <c r="I231" s="457">
        <v>120.283563984408</v>
      </c>
      <c r="J231" s="457">
        <v>247.63121086883478</v>
      </c>
      <c r="K231" s="457">
        <v>126.96811975562754</v>
      </c>
      <c r="L231" s="457">
        <v>114.29447099489029</v>
      </c>
      <c r="M231" s="457">
        <v>118.6041729955883</v>
      </c>
      <c r="N231" s="457">
        <v>89.597034574889008</v>
      </c>
      <c r="O231" s="457">
        <v>87.636402816234337</v>
      </c>
      <c r="P231" s="257" t="s">
        <v>93</v>
      </c>
      <c r="Q231" s="257" t="s">
        <v>93</v>
      </c>
      <c r="R231" s="257" t="s">
        <v>93</v>
      </c>
      <c r="S231" s="257" t="s">
        <v>93</v>
      </c>
      <c r="T231" s="257" t="s">
        <v>93</v>
      </c>
    </row>
    <row r="232" spans="1:20">
      <c r="A232" s="37" t="s">
        <v>27</v>
      </c>
      <c r="B232" s="457">
        <v>126.81562144173751</v>
      </c>
      <c r="C232" s="457">
        <v>128.70168039134006</v>
      </c>
      <c r="D232" s="457">
        <v>171.53767727890551</v>
      </c>
      <c r="E232" s="457">
        <v>231.78290512412113</v>
      </c>
      <c r="F232" s="457">
        <v>69.372269560457255</v>
      </c>
      <c r="G232" s="457">
        <v>124.24798006120182</v>
      </c>
      <c r="H232" s="457">
        <v>99.542301667657952</v>
      </c>
      <c r="I232" s="457">
        <v>119.8842105949935</v>
      </c>
      <c r="J232" s="457">
        <v>257.11361526618037</v>
      </c>
      <c r="K232" s="457">
        <v>131.83546849512678</v>
      </c>
      <c r="L232" s="457">
        <v>118.87711368489215</v>
      </c>
      <c r="M232" s="457">
        <v>122.15145522626129</v>
      </c>
      <c r="N232" s="457">
        <v>92.924334001443384</v>
      </c>
      <c r="O232" s="457">
        <v>90.914384263403335</v>
      </c>
      <c r="P232" s="257" t="s">
        <v>93</v>
      </c>
      <c r="Q232" s="257" t="s">
        <v>93</v>
      </c>
      <c r="R232" s="257" t="s">
        <v>93</v>
      </c>
      <c r="S232" s="257" t="s">
        <v>93</v>
      </c>
      <c r="T232" s="257" t="s">
        <v>93</v>
      </c>
    </row>
    <row r="233" spans="1:20">
      <c r="A233" s="37" t="s">
        <v>28</v>
      </c>
      <c r="B233" s="457">
        <v>127.8752388588812</v>
      </c>
      <c r="C233" s="457">
        <v>125.29312615734015</v>
      </c>
      <c r="D233" s="457">
        <v>166.03584272993601</v>
      </c>
      <c r="E233" s="457">
        <v>227.83043989519601</v>
      </c>
      <c r="F233" s="457">
        <v>69.2745167035566</v>
      </c>
      <c r="G233" s="457">
        <v>124.57569706213818</v>
      </c>
      <c r="H233" s="457">
        <v>98.079700511662779</v>
      </c>
      <c r="I233" s="457">
        <v>116.64903126943716</v>
      </c>
      <c r="J233" s="457">
        <v>250.63174082024398</v>
      </c>
      <c r="K233" s="457">
        <v>130.84687986500126</v>
      </c>
      <c r="L233" s="457">
        <v>120.06092124864752</v>
      </c>
      <c r="M233" s="457">
        <v>124.34953322287475</v>
      </c>
      <c r="N233" s="457">
        <v>89.537738080590373</v>
      </c>
      <c r="O233" s="457">
        <v>89.264376111947172</v>
      </c>
      <c r="P233" s="257" t="s">
        <v>93</v>
      </c>
      <c r="Q233" s="257" t="s">
        <v>93</v>
      </c>
      <c r="R233" s="257" t="s">
        <v>93</v>
      </c>
      <c r="S233" s="257" t="s">
        <v>93</v>
      </c>
      <c r="T233" s="257" t="s">
        <v>93</v>
      </c>
    </row>
    <row r="234" spans="1:20">
      <c r="A234" s="37" t="s">
        <v>29</v>
      </c>
      <c r="B234" s="457">
        <v>128.97163885740233</v>
      </c>
      <c r="C234" s="457">
        <v>122.0876795282264</v>
      </c>
      <c r="D234" s="457">
        <v>160.91892160720326</v>
      </c>
      <c r="E234" s="457">
        <v>228.05698069772873</v>
      </c>
      <c r="F234" s="457">
        <v>74.590499933278565</v>
      </c>
      <c r="G234" s="457">
        <v>125.17656265777114</v>
      </c>
      <c r="H234" s="457">
        <v>97.796862443164571</v>
      </c>
      <c r="I234" s="457">
        <v>118.00473992603125</v>
      </c>
      <c r="J234" s="457">
        <v>239.88365347955113</v>
      </c>
      <c r="K234" s="457">
        <v>130.63599546850372</v>
      </c>
      <c r="L234" s="457">
        <v>118.17677904517117</v>
      </c>
      <c r="M234" s="457">
        <v>124.96842244393333</v>
      </c>
      <c r="N234" s="457">
        <v>85.852521686817369</v>
      </c>
      <c r="O234" s="457">
        <v>87.18159508599571</v>
      </c>
      <c r="P234" s="257" t="s">
        <v>93</v>
      </c>
      <c r="Q234" s="257" t="s">
        <v>93</v>
      </c>
      <c r="R234" s="257" t="s">
        <v>93</v>
      </c>
      <c r="S234" s="257" t="s">
        <v>93</v>
      </c>
      <c r="T234" s="257" t="s">
        <v>93</v>
      </c>
    </row>
    <row r="235" spans="1:20">
      <c r="A235" s="37" t="s">
        <v>3500</v>
      </c>
      <c r="B235" s="457"/>
      <c r="C235" s="457"/>
      <c r="D235" s="457"/>
      <c r="E235" s="457"/>
      <c r="F235" s="457"/>
      <c r="G235" s="457"/>
      <c r="H235" s="457"/>
      <c r="I235" s="457"/>
      <c r="J235" s="457"/>
      <c r="K235" s="457"/>
      <c r="L235" s="457"/>
      <c r="M235" s="457"/>
      <c r="N235" s="457"/>
      <c r="O235" s="457"/>
      <c r="P235" s="457"/>
      <c r="Q235" s="457"/>
      <c r="R235" s="457"/>
      <c r="S235" s="457"/>
      <c r="T235" s="457"/>
    </row>
    <row r="236" spans="1:20">
      <c r="A236" s="37" t="s">
        <v>18</v>
      </c>
      <c r="B236" s="457">
        <v>129.58787381764236</v>
      </c>
      <c r="C236" s="457">
        <v>120.97719628964961</v>
      </c>
      <c r="D236" s="457">
        <v>162.94682357021037</v>
      </c>
      <c r="E236" s="457">
        <v>217.34850103550332</v>
      </c>
      <c r="F236" s="457">
        <v>79.704966450269552</v>
      </c>
      <c r="G236" s="457">
        <v>125.14588441407665</v>
      </c>
      <c r="H236" s="457">
        <v>97.571940128261829</v>
      </c>
      <c r="I236" s="457">
        <v>115.70507518854546</v>
      </c>
      <c r="J236" s="457">
        <v>233.07195487108177</v>
      </c>
      <c r="K236" s="457">
        <v>131.26862077622036</v>
      </c>
      <c r="L236" s="457">
        <v>115.3633452766687</v>
      </c>
      <c r="M236" s="457">
        <v>125.22892427794329</v>
      </c>
      <c r="N236" s="457">
        <v>82.7140755950185</v>
      </c>
      <c r="O236" s="457">
        <v>86.743611385797308</v>
      </c>
      <c r="P236" s="257" t="s">
        <v>93</v>
      </c>
      <c r="Q236" s="257" t="s">
        <v>93</v>
      </c>
      <c r="R236" s="257" t="s">
        <v>93</v>
      </c>
      <c r="S236" s="257" t="s">
        <v>93</v>
      </c>
      <c r="T236" s="257" t="s">
        <v>93</v>
      </c>
    </row>
    <row r="237" spans="1:20">
      <c r="A237" s="37" t="s">
        <v>19</v>
      </c>
      <c r="B237" s="457">
        <v>130.98597673680692</v>
      </c>
      <c r="C237" s="457">
        <v>122.37787160156662</v>
      </c>
      <c r="D237" s="457">
        <v>165.30411578420743</v>
      </c>
      <c r="E237" s="457">
        <v>214.63169629539487</v>
      </c>
      <c r="F237" s="457">
        <v>84.097526120430885</v>
      </c>
      <c r="G237" s="457">
        <v>126.07920063818588</v>
      </c>
      <c r="H237" s="457">
        <v>98.311231972147382</v>
      </c>
      <c r="I237" s="457">
        <v>113.72753089279135</v>
      </c>
      <c r="J237" s="457">
        <v>241.48930560977999</v>
      </c>
      <c r="K237" s="457">
        <v>135.76272420824773</v>
      </c>
      <c r="L237" s="457">
        <v>118.19636272355348</v>
      </c>
      <c r="M237" s="457">
        <v>125.50353975503134</v>
      </c>
      <c r="N237" s="457">
        <v>85.783075021850564</v>
      </c>
      <c r="O237" s="457">
        <v>87.456162384873181</v>
      </c>
      <c r="P237" s="257" t="s">
        <v>93</v>
      </c>
      <c r="Q237" s="257" t="s">
        <v>93</v>
      </c>
      <c r="R237" s="257" t="s">
        <v>93</v>
      </c>
      <c r="S237" s="257" t="s">
        <v>93</v>
      </c>
      <c r="T237" s="257" t="s">
        <v>93</v>
      </c>
    </row>
    <row r="238" spans="1:20">
      <c r="A238" s="37" t="s">
        <v>20</v>
      </c>
      <c r="B238" s="457">
        <v>131.76312752861662</v>
      </c>
      <c r="C238" s="457">
        <v>122.62113483125604</v>
      </c>
      <c r="D238" s="457">
        <v>164.84715143777404</v>
      </c>
      <c r="E238" s="457">
        <v>212.80475613104929</v>
      </c>
      <c r="F238" s="457">
        <v>87.622675030273896</v>
      </c>
      <c r="G238" s="457">
        <v>125.36319645272083</v>
      </c>
      <c r="H238" s="457">
        <v>96.980018593846992</v>
      </c>
      <c r="I238" s="457">
        <v>113.01490477951859</v>
      </c>
      <c r="J238" s="457">
        <v>245.02005836081196</v>
      </c>
      <c r="K238" s="457">
        <v>140.24744774263985</v>
      </c>
      <c r="L238" s="457">
        <v>120.38986772494749</v>
      </c>
      <c r="M238" s="457">
        <v>125.68156264419981</v>
      </c>
      <c r="N238" s="457">
        <v>88.248524750713727</v>
      </c>
      <c r="O238" s="457">
        <v>88.164099316326556</v>
      </c>
      <c r="P238" s="257" t="s">
        <v>93</v>
      </c>
      <c r="Q238" s="257" t="s">
        <v>93</v>
      </c>
      <c r="R238" s="257" t="s">
        <v>93</v>
      </c>
      <c r="S238" s="257" t="s">
        <v>93</v>
      </c>
      <c r="T238" s="257" t="s">
        <v>93</v>
      </c>
    </row>
    <row r="239" spans="1:20">
      <c r="A239" s="37" t="s">
        <v>21</v>
      </c>
      <c r="B239" s="457">
        <v>131.64117550456191</v>
      </c>
      <c r="C239" s="457">
        <v>119.05289627270179</v>
      </c>
      <c r="D239" s="457">
        <v>158.96655929655296</v>
      </c>
      <c r="E239" s="457">
        <v>212.34413411970527</v>
      </c>
      <c r="F239" s="457">
        <v>93.183770188288776</v>
      </c>
      <c r="G239" s="457">
        <v>125.42330099683549</v>
      </c>
      <c r="H239" s="457">
        <v>95.623120291587213</v>
      </c>
      <c r="I239" s="457">
        <v>113.06406624483989</v>
      </c>
      <c r="J239" s="457">
        <v>242.60936595197657</v>
      </c>
      <c r="K239" s="457">
        <v>139.56844587925198</v>
      </c>
      <c r="L239" s="457">
        <v>120.79232146122541</v>
      </c>
      <c r="M239" s="457">
        <v>125.63223582824271</v>
      </c>
      <c r="N239" s="457">
        <v>89.376995999964748</v>
      </c>
      <c r="O239" s="457">
        <v>85.771840162081077</v>
      </c>
      <c r="P239" s="257" t="s">
        <v>93</v>
      </c>
      <c r="Q239" s="257" t="s">
        <v>93</v>
      </c>
      <c r="R239" s="257" t="s">
        <v>93</v>
      </c>
      <c r="S239" s="257" t="s">
        <v>93</v>
      </c>
      <c r="T239" s="257" t="s">
        <v>93</v>
      </c>
    </row>
    <row r="240" spans="1:20">
      <c r="A240" s="37" t="s">
        <v>22</v>
      </c>
      <c r="B240" s="457">
        <v>131.00592411317257</v>
      </c>
      <c r="C240" s="457">
        <v>119.47900399598906</v>
      </c>
      <c r="D240" s="457">
        <v>156.76611960159184</v>
      </c>
      <c r="E240" s="457">
        <v>215.77844368876157</v>
      </c>
      <c r="F240" s="457">
        <v>90.617497958626643</v>
      </c>
      <c r="G240" s="457">
        <v>124.40320014731716</v>
      </c>
      <c r="H240" s="457">
        <v>95.719432913568781</v>
      </c>
      <c r="I240" s="457">
        <v>110.68674446271149</v>
      </c>
      <c r="J240" s="457">
        <v>247.72327713667318</v>
      </c>
      <c r="K240" s="457">
        <v>139.98519352285916</v>
      </c>
      <c r="L240" s="457">
        <v>122.25566500072604</v>
      </c>
      <c r="M240" s="457">
        <v>125.49558148879154</v>
      </c>
      <c r="N240" s="457">
        <v>89.225879915998391</v>
      </c>
      <c r="O240" s="457">
        <v>84.88928132166042</v>
      </c>
      <c r="P240" s="257" t="s">
        <v>93</v>
      </c>
      <c r="Q240" s="257" t="s">
        <v>93</v>
      </c>
      <c r="R240" s="257" t="s">
        <v>93</v>
      </c>
      <c r="S240" s="257" t="s">
        <v>93</v>
      </c>
      <c r="T240" s="257" t="s">
        <v>93</v>
      </c>
    </row>
    <row r="241" spans="1:20">
      <c r="A241" s="37" t="s">
        <v>23</v>
      </c>
      <c r="B241" s="457">
        <v>129.56772368924825</v>
      </c>
      <c r="C241" s="457">
        <v>118.685810860768</v>
      </c>
      <c r="D241" s="457">
        <v>153.58643925253185</v>
      </c>
      <c r="E241" s="457">
        <v>240.22715957592166</v>
      </c>
      <c r="F241" s="457">
        <v>93.385610410565462</v>
      </c>
      <c r="G241" s="457">
        <v>122.3202131690332</v>
      </c>
      <c r="H241" s="457">
        <v>98.576274317115434</v>
      </c>
      <c r="I241" s="457">
        <v>109.23748241945805</v>
      </c>
      <c r="J241" s="457">
        <v>251.61664183075473</v>
      </c>
      <c r="K241" s="457">
        <v>137.90711000961048</v>
      </c>
      <c r="L241" s="457">
        <v>124.00641125897656</v>
      </c>
      <c r="M241" s="457">
        <v>123.99707343914503</v>
      </c>
      <c r="N241" s="457">
        <v>86.211310754688014</v>
      </c>
      <c r="O241" s="457">
        <v>84.475715529191817</v>
      </c>
      <c r="P241" s="257" t="s">
        <v>93</v>
      </c>
      <c r="Q241" s="257" t="s">
        <v>93</v>
      </c>
      <c r="R241" s="257" t="s">
        <v>93</v>
      </c>
      <c r="S241" s="257" t="s">
        <v>93</v>
      </c>
      <c r="T241" s="257" t="s">
        <v>93</v>
      </c>
    </row>
    <row r="242" spans="1:20">
      <c r="A242" s="37" t="s">
        <v>24</v>
      </c>
      <c r="B242" s="457">
        <v>128.46421607604381</v>
      </c>
      <c r="C242" s="457">
        <v>115.61583618308056</v>
      </c>
      <c r="D242" s="457">
        <v>150.1267843247532</v>
      </c>
      <c r="E242" s="457">
        <v>249.65023650409148</v>
      </c>
      <c r="F242" s="457">
        <v>100.46893522857202</v>
      </c>
      <c r="G242" s="457">
        <v>122.22229128752124</v>
      </c>
      <c r="H242" s="457">
        <v>97.277319203834381</v>
      </c>
      <c r="I242" s="457">
        <v>107.69363810483792</v>
      </c>
      <c r="J242" s="457">
        <v>249.30242973038526</v>
      </c>
      <c r="K242" s="457">
        <v>137.3955520633416</v>
      </c>
      <c r="L242" s="457">
        <v>123.77056774263332</v>
      </c>
      <c r="M242" s="457">
        <v>122.80178238707202</v>
      </c>
      <c r="N242" s="457">
        <v>84.932251065292363</v>
      </c>
      <c r="O242" s="457">
        <v>81.416862016292768</v>
      </c>
      <c r="P242" s="257" t="s">
        <v>93</v>
      </c>
      <c r="Q242" s="257" t="s">
        <v>93</v>
      </c>
      <c r="R242" s="257" t="s">
        <v>93</v>
      </c>
      <c r="S242" s="257" t="s">
        <v>93</v>
      </c>
      <c r="T242" s="257" t="s">
        <v>93</v>
      </c>
    </row>
    <row r="243" spans="1:20">
      <c r="A243" s="37" t="s">
        <v>25</v>
      </c>
      <c r="B243" s="457">
        <v>127.30942260491597</v>
      </c>
      <c r="C243" s="457">
        <v>115.89497984735006</v>
      </c>
      <c r="D243" s="457">
        <v>151.05110024134729</v>
      </c>
      <c r="E243" s="457">
        <v>232.33296583803346</v>
      </c>
      <c r="F243" s="457">
        <v>105.24174369833338</v>
      </c>
      <c r="G243" s="457">
        <v>123.41437501264807</v>
      </c>
      <c r="H243" s="457">
        <v>97.035253339473513</v>
      </c>
      <c r="I243" s="457">
        <v>108.0705370632809</v>
      </c>
      <c r="J243" s="457">
        <v>254.28211927363932</v>
      </c>
      <c r="K243" s="457">
        <v>139.15046565181564</v>
      </c>
      <c r="L243" s="457">
        <v>124.03586921883543</v>
      </c>
      <c r="M243" s="457">
        <v>122.74485808166379</v>
      </c>
      <c r="N243" s="457">
        <v>86.321569158856789</v>
      </c>
      <c r="O243" s="457">
        <v>81.235158434729385</v>
      </c>
      <c r="P243" s="257" t="s">
        <v>93</v>
      </c>
      <c r="Q243" s="257" t="s">
        <v>93</v>
      </c>
      <c r="R243" s="257" t="s">
        <v>93</v>
      </c>
      <c r="S243" s="257" t="s">
        <v>93</v>
      </c>
      <c r="T243" s="257" t="s">
        <v>93</v>
      </c>
    </row>
    <row r="244" spans="1:20">
      <c r="A244" s="37" t="s">
        <v>26</v>
      </c>
      <c r="B244" s="457">
        <v>127.19457796672488</v>
      </c>
      <c r="C244" s="457">
        <v>118.28253128345921</v>
      </c>
      <c r="D244" s="457">
        <v>154.19938406168529</v>
      </c>
      <c r="E244" s="457">
        <v>223.23575490610204</v>
      </c>
      <c r="F244" s="457">
        <v>106.36889285887581</v>
      </c>
      <c r="G244" s="457">
        <v>123.20424129458635</v>
      </c>
      <c r="H244" s="457">
        <v>97.618101757020426</v>
      </c>
      <c r="I244" s="457">
        <v>111.47089093801624</v>
      </c>
      <c r="J244" s="457">
        <v>259.20543152789514</v>
      </c>
      <c r="K244" s="457">
        <v>142.56056645542824</v>
      </c>
      <c r="L244" s="457">
        <v>124.93338810292644</v>
      </c>
      <c r="M244" s="457">
        <v>122.31157292385785</v>
      </c>
      <c r="N244" s="457">
        <v>86.788917077649046</v>
      </c>
      <c r="O244" s="457">
        <v>83.308021061612436</v>
      </c>
      <c r="P244" s="257" t="s">
        <v>93</v>
      </c>
      <c r="Q244" s="257" t="s">
        <v>93</v>
      </c>
      <c r="R244" s="257" t="s">
        <v>93</v>
      </c>
      <c r="S244" s="257" t="s">
        <v>93</v>
      </c>
      <c r="T244" s="257" t="s">
        <v>93</v>
      </c>
    </row>
    <row r="245" spans="1:20">
      <c r="A245" s="37" t="s">
        <v>27</v>
      </c>
      <c r="B245" s="457">
        <v>127.58673981673553</v>
      </c>
      <c r="C245" s="457">
        <v>120.10723617447938</v>
      </c>
      <c r="D245" s="457">
        <v>158.00365677777495</v>
      </c>
      <c r="E245" s="457">
        <v>223.8082020030927</v>
      </c>
      <c r="F245" s="457">
        <v>106.52695354857036</v>
      </c>
      <c r="G245" s="457">
        <v>121.6365910619831</v>
      </c>
      <c r="H245" s="457">
        <v>99.097396958247359</v>
      </c>
      <c r="I245" s="457">
        <v>112.88201009545153</v>
      </c>
      <c r="J245" s="457">
        <v>261.73611268600126</v>
      </c>
      <c r="K245" s="457">
        <v>148.13728744278822</v>
      </c>
      <c r="L245" s="457">
        <v>125.7916300169768</v>
      </c>
      <c r="M245" s="457">
        <v>156.2001046947037</v>
      </c>
      <c r="N245" s="457">
        <v>88.056649041937291</v>
      </c>
      <c r="O245" s="457">
        <v>84.204669754414695</v>
      </c>
      <c r="P245" s="257" t="s">
        <v>93</v>
      </c>
      <c r="Q245" s="257" t="s">
        <v>93</v>
      </c>
      <c r="R245" s="257" t="s">
        <v>93</v>
      </c>
      <c r="S245" s="257" t="s">
        <v>93</v>
      </c>
      <c r="T245" s="257" t="s">
        <v>93</v>
      </c>
    </row>
    <row r="246" spans="1:20">
      <c r="A246" s="37" t="s">
        <v>28</v>
      </c>
      <c r="B246" s="457">
        <v>127.0937767417667</v>
      </c>
      <c r="C246" s="457">
        <v>117.88216599617046</v>
      </c>
      <c r="D246" s="457">
        <v>154.87558208049589</v>
      </c>
      <c r="E246" s="457">
        <v>222.29491721240171</v>
      </c>
      <c r="F246" s="457">
        <v>98.006893198194987</v>
      </c>
      <c r="G246" s="457">
        <v>119.40475126804716</v>
      </c>
      <c r="H246" s="457">
        <v>99.657690418955724</v>
      </c>
      <c r="I246" s="457">
        <v>108.05425718362481</v>
      </c>
      <c r="J246" s="457">
        <v>262.10575236564887</v>
      </c>
      <c r="K246" s="457">
        <v>142.46076761457124</v>
      </c>
      <c r="L246" s="457">
        <v>124.79840594934898</v>
      </c>
      <c r="M246" s="457">
        <v>157.96595917653659</v>
      </c>
      <c r="N246" s="457">
        <v>85.413963685649506</v>
      </c>
      <c r="O246" s="457">
        <v>82.769422645155842</v>
      </c>
      <c r="P246" s="257" t="s">
        <v>93</v>
      </c>
      <c r="Q246" s="257" t="s">
        <v>93</v>
      </c>
      <c r="R246" s="257" t="s">
        <v>93</v>
      </c>
      <c r="S246" s="257" t="s">
        <v>93</v>
      </c>
      <c r="T246" s="257" t="s">
        <v>93</v>
      </c>
    </row>
    <row r="247" spans="1:20">
      <c r="A247" s="37" t="s">
        <v>29</v>
      </c>
      <c r="B247" s="457">
        <v>127.47529602401309</v>
      </c>
      <c r="C247" s="457">
        <v>116.96009015491423</v>
      </c>
      <c r="D247" s="457">
        <v>151.98379341958474</v>
      </c>
      <c r="E247" s="457">
        <v>220.50671195623113</v>
      </c>
      <c r="F247" s="457">
        <v>98.097622323195949</v>
      </c>
      <c r="G247" s="457">
        <v>122.20438813680437</v>
      </c>
      <c r="H247" s="457">
        <v>99.431158546376793</v>
      </c>
      <c r="I247" s="457">
        <v>107.34528254360521</v>
      </c>
      <c r="J247" s="457">
        <v>253.18796128857446</v>
      </c>
      <c r="K247" s="457">
        <v>137.92330449011203</v>
      </c>
      <c r="L247" s="457">
        <v>123.76504348451492</v>
      </c>
      <c r="M247" s="457">
        <v>157.45324351516305</v>
      </c>
      <c r="N247" s="457">
        <v>85.574281951801765</v>
      </c>
      <c r="O247" s="457">
        <v>80.627751048108934</v>
      </c>
      <c r="P247" s="257" t="s">
        <v>93</v>
      </c>
      <c r="Q247" s="257" t="s">
        <v>93</v>
      </c>
      <c r="R247" s="257" t="s">
        <v>93</v>
      </c>
      <c r="S247" s="257" t="s">
        <v>93</v>
      </c>
      <c r="T247" s="257" t="s">
        <v>93</v>
      </c>
    </row>
    <row r="248" spans="1:20">
      <c r="A248" s="37" t="s">
        <v>3971</v>
      </c>
      <c r="B248" s="457"/>
      <c r="C248" s="457"/>
      <c r="D248" s="457"/>
      <c r="E248" s="457"/>
      <c r="F248" s="457"/>
      <c r="G248" s="457"/>
      <c r="H248" s="457"/>
      <c r="I248" s="457"/>
      <c r="J248" s="457"/>
      <c r="K248" s="457"/>
      <c r="L248" s="457"/>
      <c r="M248" s="457"/>
      <c r="N248" s="457"/>
      <c r="O248" s="457"/>
      <c r="P248" s="457"/>
      <c r="Q248" s="457"/>
      <c r="R248" s="457"/>
      <c r="S248" s="457"/>
      <c r="T248" s="457"/>
    </row>
    <row r="249" spans="1:20">
      <c r="A249" s="37" t="s">
        <v>18</v>
      </c>
      <c r="B249" s="457">
        <v>127.75956097748006</v>
      </c>
      <c r="C249" s="457">
        <v>117.9924801253717</v>
      </c>
      <c r="D249" s="457">
        <v>153.08204378859526</v>
      </c>
      <c r="E249" s="457">
        <v>214.33410623551322</v>
      </c>
      <c r="F249" s="457">
        <v>96.112528905363689</v>
      </c>
      <c r="G249" s="457">
        <v>124.9054366767691</v>
      </c>
      <c r="H249" s="457">
        <v>99.234452531681413</v>
      </c>
      <c r="I249" s="457">
        <v>105.12628589140087</v>
      </c>
      <c r="J249" s="457">
        <v>257.40922098509475</v>
      </c>
      <c r="K249" s="457">
        <v>139.92433422025505</v>
      </c>
      <c r="L249" s="457">
        <v>124.55690603048768</v>
      </c>
      <c r="M249" s="457">
        <v>156.28949776698823</v>
      </c>
      <c r="N249" s="457">
        <v>86.923724729848914</v>
      </c>
      <c r="O249" s="457">
        <v>80.136856790366863</v>
      </c>
      <c r="P249" s="257" t="s">
        <v>93</v>
      </c>
      <c r="Q249" s="257" t="s">
        <v>93</v>
      </c>
      <c r="R249" s="257" t="s">
        <v>93</v>
      </c>
      <c r="S249" s="257" t="s">
        <v>93</v>
      </c>
      <c r="T249" s="257" t="s">
        <v>93</v>
      </c>
    </row>
    <row r="250" spans="1:20">
      <c r="A250" s="37" t="s">
        <v>19</v>
      </c>
      <c r="B250" s="457">
        <v>128.06205846071163</v>
      </c>
      <c r="C250" s="457">
        <v>119.48180968349925</v>
      </c>
      <c r="D250" s="457">
        <v>154.14929820008473</v>
      </c>
      <c r="E250" s="457">
        <v>211.64239659606909</v>
      </c>
      <c r="F250" s="457">
        <v>98.490982674844375</v>
      </c>
      <c r="G250" s="457">
        <v>125.54315836700285</v>
      </c>
      <c r="H250" s="457">
        <v>99.161016064678819</v>
      </c>
      <c r="I250" s="457">
        <v>103.94591046166877</v>
      </c>
      <c r="J250" s="457">
        <v>265.82761268374338</v>
      </c>
      <c r="K250" s="457">
        <v>138.07021016163978</v>
      </c>
      <c r="L250" s="457">
        <v>124.56966641163234</v>
      </c>
      <c r="M250" s="457">
        <v>155.52509403899205</v>
      </c>
      <c r="N250" s="457">
        <v>87.685218550902974</v>
      </c>
      <c r="O250" s="457">
        <v>81.936540059635348</v>
      </c>
      <c r="P250" s="257" t="s">
        <v>93</v>
      </c>
      <c r="Q250" s="257" t="s">
        <v>93</v>
      </c>
      <c r="R250" s="257" t="s">
        <v>93</v>
      </c>
      <c r="S250" s="257" t="s">
        <v>93</v>
      </c>
      <c r="T250" s="257" t="s">
        <v>93</v>
      </c>
    </row>
    <row r="251" spans="1:20">
      <c r="A251" s="37" t="s">
        <v>20</v>
      </c>
      <c r="B251" s="457">
        <v>127.84266187888707</v>
      </c>
      <c r="C251" s="457">
        <v>118.05773684631954</v>
      </c>
      <c r="D251" s="457">
        <v>152.69799463047832</v>
      </c>
      <c r="E251" s="457">
        <v>214.05974807150423</v>
      </c>
      <c r="F251" s="457">
        <v>98.408394586793108</v>
      </c>
      <c r="G251" s="457">
        <v>127.48308702854123</v>
      </c>
      <c r="H251" s="457">
        <v>100.4849292774191</v>
      </c>
      <c r="I251" s="457">
        <v>103.27092495861494</v>
      </c>
      <c r="J251" s="457">
        <v>266.06280919116961</v>
      </c>
      <c r="K251" s="457">
        <v>136.90860249832309</v>
      </c>
      <c r="L251" s="457">
        <v>126.0722599053985</v>
      </c>
      <c r="M251" s="457">
        <v>155.15047500044341</v>
      </c>
      <c r="N251" s="457">
        <v>87.985962824738053</v>
      </c>
      <c r="O251" s="457">
        <v>83.224879831977049</v>
      </c>
      <c r="P251" s="257" t="s">
        <v>93</v>
      </c>
      <c r="Q251" s="257" t="s">
        <v>93</v>
      </c>
      <c r="R251" s="257" t="s">
        <v>93</v>
      </c>
      <c r="S251" s="257" t="s">
        <v>93</v>
      </c>
      <c r="T251" s="257" t="s">
        <v>93</v>
      </c>
    </row>
    <row r="252" spans="1:20">
      <c r="A252" s="37" t="s">
        <v>21</v>
      </c>
      <c r="B252" s="457">
        <v>127.32049929683657</v>
      </c>
      <c r="C252" s="457">
        <v>118.4985635114659</v>
      </c>
      <c r="D252" s="457">
        <v>154.12265183039051</v>
      </c>
      <c r="E252" s="457">
        <v>209.18872695745955</v>
      </c>
      <c r="F252" s="457">
        <v>99.142285361429998</v>
      </c>
      <c r="G252" s="457">
        <v>129.22000887014985</v>
      </c>
      <c r="H252" s="457">
        <v>99.865666962740448</v>
      </c>
      <c r="I252" s="457">
        <v>102.5424164379836</v>
      </c>
      <c r="J252" s="457">
        <v>271.5889787767685</v>
      </c>
      <c r="K252" s="457">
        <v>140.18108824481993</v>
      </c>
      <c r="L252" s="457">
        <v>126.71696772522165</v>
      </c>
      <c r="M252" s="457">
        <v>154.31676419812322</v>
      </c>
      <c r="N252" s="457">
        <v>90.049208524488563</v>
      </c>
      <c r="O252" s="457">
        <v>84.841867345657604</v>
      </c>
      <c r="P252" s="257" t="s">
        <v>93</v>
      </c>
      <c r="Q252" s="257" t="s">
        <v>93</v>
      </c>
      <c r="R252" s="257" t="s">
        <v>93</v>
      </c>
      <c r="S252" s="257" t="s">
        <v>93</v>
      </c>
      <c r="T252" s="257" t="s">
        <v>93</v>
      </c>
    </row>
    <row r="253" spans="1:20">
      <c r="A253" s="37" t="s">
        <v>22</v>
      </c>
      <c r="B253" s="457">
        <v>127.21498739854374</v>
      </c>
      <c r="C253" s="457">
        <v>117.60801304107795</v>
      </c>
      <c r="D253" s="457">
        <v>152.56610662171042</v>
      </c>
      <c r="E253" s="457">
        <v>201.67415350905773</v>
      </c>
      <c r="F253" s="457">
        <v>96.296849517154101</v>
      </c>
      <c r="G253" s="457">
        <v>129.57369633985707</v>
      </c>
      <c r="H253" s="457">
        <v>100.96952506940029</v>
      </c>
      <c r="I253" s="457">
        <v>101.36088231089848</v>
      </c>
      <c r="J253" s="457">
        <v>274.30906035632933</v>
      </c>
      <c r="K253" s="457">
        <v>137.93380386360539</v>
      </c>
      <c r="L253" s="457">
        <v>126.54521290777204</v>
      </c>
      <c r="M253" s="457">
        <v>154.019458793475</v>
      </c>
      <c r="N253" s="457">
        <v>89.793010079155778</v>
      </c>
      <c r="O253" s="457">
        <v>84.697787252567977</v>
      </c>
      <c r="P253" s="257" t="s">
        <v>93</v>
      </c>
      <c r="Q253" s="257" t="s">
        <v>93</v>
      </c>
      <c r="R253" s="257" t="s">
        <v>93</v>
      </c>
      <c r="S253" s="257" t="s">
        <v>93</v>
      </c>
      <c r="T253" s="257" t="s">
        <v>93</v>
      </c>
    </row>
    <row r="254" spans="1:20">
      <c r="A254" s="37" t="s">
        <v>23</v>
      </c>
      <c r="B254" s="457">
        <v>127.23527430509279</v>
      </c>
      <c r="C254" s="457">
        <v>117.5564374969053</v>
      </c>
      <c r="D254" s="457">
        <v>151.05429921222253</v>
      </c>
      <c r="E254" s="457">
        <v>200.1042795176765</v>
      </c>
      <c r="F254" s="457">
        <v>92.58879111422759</v>
      </c>
      <c r="G254" s="457">
        <v>129.23119219197343</v>
      </c>
      <c r="H254" s="457">
        <v>105.39482906409252</v>
      </c>
      <c r="I254" s="457">
        <v>103.09459634332092</v>
      </c>
      <c r="J254" s="457">
        <v>277.5853539528037</v>
      </c>
      <c r="K254" s="457">
        <v>138.54662787117434</v>
      </c>
      <c r="L254" s="457">
        <v>127.1549795039862</v>
      </c>
      <c r="M254" s="457">
        <v>152.97214331477329</v>
      </c>
      <c r="N254" s="457">
        <v>90.774990098960245</v>
      </c>
      <c r="O254" s="457">
        <v>83.193114948905546</v>
      </c>
      <c r="P254" s="257" t="s">
        <v>93</v>
      </c>
      <c r="Q254" s="257" t="s">
        <v>93</v>
      </c>
      <c r="R254" s="257" t="s">
        <v>93</v>
      </c>
      <c r="S254" s="257" t="s">
        <v>93</v>
      </c>
      <c r="T254" s="257" t="s">
        <v>93</v>
      </c>
    </row>
    <row r="255" spans="1:20">
      <c r="A255" s="37" t="s">
        <v>24</v>
      </c>
      <c r="B255" s="457">
        <v>128.12414348686488</v>
      </c>
      <c r="C255" s="457">
        <v>117.80279850006222</v>
      </c>
      <c r="D255" s="457">
        <v>151.11469848816031</v>
      </c>
      <c r="E255" s="457">
        <v>197.65139594444048</v>
      </c>
      <c r="F255" s="457">
        <v>91.79132986363598</v>
      </c>
      <c r="G255" s="457">
        <v>132.04572398249383</v>
      </c>
      <c r="H255" s="457">
        <v>103.26751588564274</v>
      </c>
      <c r="I255" s="457">
        <v>107.99280329413413</v>
      </c>
      <c r="J255" s="457">
        <v>278.91286474145232</v>
      </c>
      <c r="K255" s="457">
        <v>137.32786217297419</v>
      </c>
      <c r="L255" s="457">
        <v>127.84694469704357</v>
      </c>
      <c r="M255" s="457">
        <v>154.30260182405902</v>
      </c>
      <c r="N255" s="457">
        <v>91.607719192401561</v>
      </c>
      <c r="O255" s="457">
        <v>83.89855823086458</v>
      </c>
      <c r="P255" s="257" t="s">
        <v>93</v>
      </c>
      <c r="Q255" s="257" t="s">
        <v>93</v>
      </c>
      <c r="R255" s="257" t="s">
        <v>93</v>
      </c>
      <c r="S255" s="257" t="s">
        <v>93</v>
      </c>
      <c r="T255" s="257" t="s">
        <v>93</v>
      </c>
    </row>
    <row r="256" spans="1:20">
      <c r="A256" s="37" t="s">
        <v>25</v>
      </c>
      <c r="B256" s="457">
        <v>128.41647218809257</v>
      </c>
      <c r="C256" s="457">
        <v>116.51459504946627</v>
      </c>
      <c r="D256" s="457">
        <v>150.5142962536622</v>
      </c>
      <c r="E256" s="457">
        <v>198.1062950632392</v>
      </c>
      <c r="F256" s="457">
        <v>93.443849779066383</v>
      </c>
      <c r="G256" s="457">
        <v>132.37710575524284</v>
      </c>
      <c r="H256" s="457">
        <v>102.59503645337962</v>
      </c>
      <c r="I256" s="457">
        <v>108.88789490176305</v>
      </c>
      <c r="J256" s="457">
        <v>258.75965656522754</v>
      </c>
      <c r="K256" s="457">
        <v>138.52941473470074</v>
      </c>
      <c r="L256" s="457">
        <v>125.98927367798935</v>
      </c>
      <c r="M256" s="457">
        <v>155.07251951226883</v>
      </c>
      <c r="N256" s="457">
        <v>89.599508622547106</v>
      </c>
      <c r="O256" s="457">
        <v>81.159625612785916</v>
      </c>
      <c r="P256" s="257" t="s">
        <v>93</v>
      </c>
      <c r="Q256" s="257" t="s">
        <v>93</v>
      </c>
      <c r="R256" s="257" t="s">
        <v>93</v>
      </c>
      <c r="S256" s="257" t="s">
        <v>93</v>
      </c>
      <c r="T256" s="257" t="s">
        <v>93</v>
      </c>
    </row>
    <row r="257" spans="1:20">
      <c r="A257" s="37" t="s">
        <v>26</v>
      </c>
      <c r="B257" s="457">
        <v>128.54055005465895</v>
      </c>
      <c r="C257" s="457">
        <v>115.8360278299572</v>
      </c>
      <c r="D257" s="457">
        <v>147.58732614069768</v>
      </c>
      <c r="E257" s="457">
        <v>195.2698798003255</v>
      </c>
      <c r="F257" s="457">
        <v>95.225613767371357</v>
      </c>
      <c r="G257" s="457">
        <v>131.022261660217</v>
      </c>
      <c r="H257" s="457">
        <v>102.8690281247658</v>
      </c>
      <c r="I257" s="457">
        <v>109.76140864851197</v>
      </c>
      <c r="J257" s="457">
        <v>254.22969557053909</v>
      </c>
      <c r="K257" s="457">
        <v>138.94721551246593</v>
      </c>
      <c r="L257" s="457">
        <v>124.92475739693963</v>
      </c>
      <c r="M257" s="457">
        <v>154.85145116073437</v>
      </c>
      <c r="N257" s="457">
        <v>88.298335242259924</v>
      </c>
      <c r="O257" s="457">
        <v>80.461797276429493</v>
      </c>
      <c r="P257" s="257" t="s">
        <v>93</v>
      </c>
      <c r="Q257" s="257" t="s">
        <v>93</v>
      </c>
      <c r="R257" s="257" t="s">
        <v>93</v>
      </c>
      <c r="S257" s="257" t="s">
        <v>93</v>
      </c>
      <c r="T257" s="257" t="s">
        <v>93</v>
      </c>
    </row>
    <row r="258" spans="1:20">
      <c r="A258" s="37" t="s">
        <v>27</v>
      </c>
      <c r="B258" s="457">
        <v>128.70595467465904</v>
      </c>
      <c r="C258" s="457">
        <v>118.04990526815241</v>
      </c>
      <c r="D258" s="457">
        <v>149.03551698694608</v>
      </c>
      <c r="E258" s="457">
        <v>191.46827074256177</v>
      </c>
      <c r="F258" s="457">
        <v>100.42419728268585</v>
      </c>
      <c r="G258" s="457">
        <v>129.09927555105332</v>
      </c>
      <c r="H258" s="457">
        <v>103.8205523709675</v>
      </c>
      <c r="I258" s="457">
        <v>109.85972380173999</v>
      </c>
      <c r="J258" s="457">
        <v>264.65669774134057</v>
      </c>
      <c r="K258" s="457">
        <v>140.16097498589602</v>
      </c>
      <c r="L258" s="457">
        <v>125.79041482494711</v>
      </c>
      <c r="M258" s="457">
        <v>154.66482209525014</v>
      </c>
      <c r="N258" s="457">
        <v>90.596475756738144</v>
      </c>
      <c r="O258" s="457">
        <v>82.071111209670747</v>
      </c>
      <c r="P258" s="257" t="s">
        <v>93</v>
      </c>
      <c r="Q258" s="257" t="s">
        <v>93</v>
      </c>
      <c r="R258" s="257" t="s">
        <v>93</v>
      </c>
      <c r="S258" s="257" t="s">
        <v>93</v>
      </c>
      <c r="T258" s="257" t="s">
        <v>93</v>
      </c>
    </row>
    <row r="259" spans="1:20">
      <c r="A259" s="37" t="s">
        <v>28</v>
      </c>
      <c r="B259" s="457">
        <v>129.25385143247439</v>
      </c>
      <c r="C259" s="457">
        <v>122.2259895426397</v>
      </c>
      <c r="D259" s="457">
        <v>153.48340644202383</v>
      </c>
      <c r="E259" s="457">
        <v>189.53397488583312</v>
      </c>
      <c r="F259" s="457">
        <v>104.26127159035605</v>
      </c>
      <c r="G259" s="457">
        <v>128.05680379129615</v>
      </c>
      <c r="H259" s="457">
        <v>103.96222860784238</v>
      </c>
      <c r="I259" s="457">
        <v>111.10342395451275</v>
      </c>
      <c r="J259" s="457">
        <v>273.03568322885474</v>
      </c>
      <c r="K259" s="457">
        <v>140.04905272974639</v>
      </c>
      <c r="L259" s="457">
        <v>129.48462833750716</v>
      </c>
      <c r="M259" s="457">
        <v>157.07896145704913</v>
      </c>
      <c r="N259" s="457">
        <v>93.813025139443397</v>
      </c>
      <c r="O259" s="457">
        <v>84.618383398476254</v>
      </c>
      <c r="P259" s="257" t="s">
        <v>93</v>
      </c>
      <c r="Q259" s="257" t="s">
        <v>93</v>
      </c>
      <c r="R259" s="257" t="s">
        <v>93</v>
      </c>
      <c r="S259" s="257" t="s">
        <v>93</v>
      </c>
      <c r="T259" s="257" t="s">
        <v>93</v>
      </c>
    </row>
    <row r="260" spans="1:20">
      <c r="A260" s="37" t="s">
        <v>29</v>
      </c>
      <c r="B260" s="457">
        <v>130.07618799450566</v>
      </c>
      <c r="C260" s="457">
        <v>125.00854918071808</v>
      </c>
      <c r="D260" s="457">
        <v>156.08515775360408</v>
      </c>
      <c r="E260" s="457">
        <v>192.65779845448344</v>
      </c>
      <c r="F260" s="457">
        <v>106.92483510326358</v>
      </c>
      <c r="G260" s="457">
        <v>128.76085281352081</v>
      </c>
      <c r="H260" s="457">
        <v>107.09247427738866</v>
      </c>
      <c r="I260" s="457">
        <v>117.39187332142228</v>
      </c>
      <c r="J260" s="457">
        <v>274.5005132348075</v>
      </c>
      <c r="K260" s="457">
        <v>138.38347029513386</v>
      </c>
      <c r="L260" s="457">
        <v>132.29200554950035</v>
      </c>
      <c r="M260" s="457">
        <v>164.90726096874724</v>
      </c>
      <c r="N260" s="457">
        <v>97.389125125172356</v>
      </c>
      <c r="O260" s="457">
        <v>86.724228708875657</v>
      </c>
      <c r="P260" s="257" t="s">
        <v>93</v>
      </c>
      <c r="Q260" s="257" t="s">
        <v>93</v>
      </c>
      <c r="R260" s="257" t="s">
        <v>93</v>
      </c>
      <c r="S260" s="257" t="s">
        <v>93</v>
      </c>
      <c r="T260" s="257" t="s">
        <v>93</v>
      </c>
    </row>
    <row r="261" spans="1:20">
      <c r="A261" s="37" t="s">
        <v>4202</v>
      </c>
      <c r="B261" s="457"/>
      <c r="C261" s="457"/>
      <c r="D261" s="457"/>
      <c r="E261" s="457"/>
      <c r="F261" s="457"/>
      <c r="G261" s="457"/>
      <c r="H261" s="457"/>
      <c r="I261" s="457"/>
      <c r="J261" s="457"/>
      <c r="K261" s="457"/>
      <c r="L261" s="457"/>
      <c r="M261" s="457"/>
      <c r="N261" s="457"/>
      <c r="O261" s="457"/>
      <c r="P261" s="457"/>
      <c r="Q261" s="457"/>
      <c r="R261" s="457"/>
      <c r="S261" s="457"/>
      <c r="T261" s="457"/>
    </row>
    <row r="262" spans="1:20">
      <c r="A262" s="37" t="s">
        <v>18</v>
      </c>
      <c r="B262" s="457">
        <v>130.66545059904155</v>
      </c>
      <c r="C262" s="457">
        <v>127.8718406388781</v>
      </c>
      <c r="D262" s="457">
        <v>161.09535413952167</v>
      </c>
      <c r="E262" s="457">
        <v>187.8136515232614</v>
      </c>
      <c r="F262" s="457">
        <v>105.40035097865609</v>
      </c>
      <c r="G262" s="457">
        <v>129.52733844647591</v>
      </c>
      <c r="H262" s="457">
        <v>108.87816872292538</v>
      </c>
      <c r="I262" s="457">
        <v>118.09887030300609</v>
      </c>
      <c r="J262" s="457">
        <v>280.8020796750526</v>
      </c>
      <c r="K262" s="457">
        <v>138.91423737554464</v>
      </c>
      <c r="L262" s="457">
        <v>132.93959101072082</v>
      </c>
      <c r="M262" s="457">
        <v>166.17391821803449</v>
      </c>
      <c r="N262" s="457">
        <v>98.705558620962549</v>
      </c>
      <c r="O262" s="457">
        <v>89.287642457781843</v>
      </c>
      <c r="P262" s="257" t="s">
        <v>93</v>
      </c>
      <c r="Q262" s="257" t="s">
        <v>93</v>
      </c>
      <c r="R262" s="257" t="s">
        <v>93</v>
      </c>
      <c r="S262" s="257" t="s">
        <v>93</v>
      </c>
      <c r="T262" s="257" t="s">
        <v>93</v>
      </c>
    </row>
    <row r="263" spans="1:20">
      <c r="A263" s="37" t="s">
        <v>19</v>
      </c>
      <c r="B263" s="457">
        <v>131.31747380562362</v>
      </c>
      <c r="C263" s="457">
        <v>127.62248140970414</v>
      </c>
      <c r="D263" s="457">
        <v>159.62013820336111</v>
      </c>
      <c r="E263" s="457">
        <v>188.57482456663837</v>
      </c>
      <c r="F263" s="457">
        <v>95.668845439067042</v>
      </c>
      <c r="G263" s="457">
        <v>128.00647946186515</v>
      </c>
      <c r="H263" s="457">
        <v>108.4295620555941</v>
      </c>
      <c r="I263" s="457">
        <v>113.14807407170902</v>
      </c>
      <c r="J263" s="457">
        <v>275.32573522036802</v>
      </c>
      <c r="K263" s="457">
        <v>137.52000594407332</v>
      </c>
      <c r="L263" s="457">
        <v>133.61604677431032</v>
      </c>
      <c r="M263" s="457">
        <v>161.6765390966041</v>
      </c>
      <c r="N263" s="457">
        <v>98.478871586760633</v>
      </c>
      <c r="O263" s="457">
        <v>88.98496289373162</v>
      </c>
      <c r="P263" s="257" t="s">
        <v>93</v>
      </c>
      <c r="Q263" s="257" t="s">
        <v>93</v>
      </c>
      <c r="R263" s="257" t="s">
        <v>93</v>
      </c>
      <c r="S263" s="257" t="s">
        <v>93</v>
      </c>
      <c r="T263" s="257" t="s">
        <v>93</v>
      </c>
    </row>
    <row r="264" spans="1:20">
      <c r="A264" s="37" t="s">
        <v>20</v>
      </c>
      <c r="B264" s="457">
        <v>132.2887619889643</v>
      </c>
      <c r="C264" s="457">
        <v>122.90745100473183</v>
      </c>
      <c r="D264" s="457">
        <v>155.43307562576493</v>
      </c>
      <c r="E264" s="457">
        <v>187.52580446541108</v>
      </c>
      <c r="F264" s="457">
        <v>87.680811298701627</v>
      </c>
      <c r="G264" s="457">
        <v>126.43181734711139</v>
      </c>
      <c r="H264" s="457">
        <v>106.63734031002318</v>
      </c>
      <c r="I264" s="457">
        <v>110.42770568407808</v>
      </c>
      <c r="J264" s="457">
        <v>270.98158216107061</v>
      </c>
      <c r="K264" s="457">
        <v>140.7921681319238</v>
      </c>
      <c r="L264" s="457">
        <v>134.56623224820251</v>
      </c>
      <c r="M264" s="457">
        <v>152.54992356593266</v>
      </c>
      <c r="N264" s="457">
        <v>99.450962578354265</v>
      </c>
      <c r="O264" s="457">
        <v>87.425264986016586</v>
      </c>
      <c r="P264" s="257" t="s">
        <v>93</v>
      </c>
      <c r="Q264" s="257" t="s">
        <v>93</v>
      </c>
      <c r="R264" s="257" t="s">
        <v>93</v>
      </c>
      <c r="S264" s="257" t="s">
        <v>93</v>
      </c>
      <c r="T264" s="257" t="s">
        <v>93</v>
      </c>
    </row>
    <row r="265" spans="1:20">
      <c r="A265" s="37" t="s">
        <v>21</v>
      </c>
      <c r="B265" s="457">
        <v>132.43643545868363</v>
      </c>
      <c r="C265" s="457">
        <v>117.97779959043224</v>
      </c>
      <c r="D265" s="457">
        <v>151.16827357028302</v>
      </c>
      <c r="E265" s="457">
        <v>190.18119643827728</v>
      </c>
      <c r="F265" s="457">
        <v>85.768235005548036</v>
      </c>
      <c r="G265" s="457">
        <v>125.68252490913575</v>
      </c>
      <c r="H265" s="457">
        <v>105.56260082489379</v>
      </c>
      <c r="I265" s="457">
        <v>113.27199026219114</v>
      </c>
      <c r="J265" s="457">
        <v>261.60685080925788</v>
      </c>
      <c r="K265" s="457">
        <v>141.44210507298433</v>
      </c>
      <c r="L265" s="457">
        <v>135.85463467234811</v>
      </c>
      <c r="M265" s="457">
        <v>147.84030976029584</v>
      </c>
      <c r="N265" s="457">
        <v>98.766567531546755</v>
      </c>
      <c r="O265" s="457">
        <v>82.796660748587385</v>
      </c>
      <c r="P265" s="257" t="s">
        <v>93</v>
      </c>
      <c r="Q265" s="257" t="s">
        <v>93</v>
      </c>
      <c r="R265" s="257" t="s">
        <v>93</v>
      </c>
      <c r="S265" s="257" t="s">
        <v>93</v>
      </c>
      <c r="T265" s="257" t="s">
        <v>93</v>
      </c>
    </row>
    <row r="266" spans="1:20">
      <c r="A266" s="37" t="s">
        <v>22</v>
      </c>
      <c r="B266" s="457">
        <v>132.20744584965661</v>
      </c>
      <c r="C266" s="457">
        <v>117.37382479372575</v>
      </c>
      <c r="D266" s="457">
        <v>148.31534482529588</v>
      </c>
      <c r="E266" s="457">
        <v>190.45537464451104</v>
      </c>
      <c r="F266" s="457">
        <v>82.420666196277523</v>
      </c>
      <c r="G266" s="457">
        <v>124.30588938384422</v>
      </c>
      <c r="H266" s="457">
        <v>104.62056424738785</v>
      </c>
      <c r="I266" s="457">
        <v>111.50674289485472</v>
      </c>
      <c r="J266" s="457">
        <v>261.45924399385984</v>
      </c>
      <c r="K266" s="457">
        <v>137.0927507937873</v>
      </c>
      <c r="L266" s="457">
        <v>134.50100583227314</v>
      </c>
      <c r="M266" s="457">
        <v>141.79058326641535</v>
      </c>
      <c r="N266" s="457">
        <v>95.527048322327317</v>
      </c>
      <c r="O266" s="457">
        <v>82.15387937225664</v>
      </c>
      <c r="P266" s="457">
        <v>100</v>
      </c>
      <c r="Q266" s="457">
        <v>100</v>
      </c>
      <c r="R266" s="457">
        <v>100</v>
      </c>
      <c r="S266" s="457">
        <v>100</v>
      </c>
      <c r="T266" s="457">
        <v>100</v>
      </c>
    </row>
    <row r="267" spans="1:20">
      <c r="A267" s="37" t="s">
        <v>23</v>
      </c>
      <c r="B267" s="457">
        <v>131.25014399277617</v>
      </c>
      <c r="C267" s="457">
        <v>114.39577178245922</v>
      </c>
      <c r="D267" s="457">
        <v>145.43425781751711</v>
      </c>
      <c r="E267" s="457">
        <v>190.21981346670819</v>
      </c>
      <c r="F267" s="457">
        <v>80.213743925818889</v>
      </c>
      <c r="G267" s="457">
        <v>123.16082662599915</v>
      </c>
      <c r="H267" s="457">
        <v>103.63405638339209</v>
      </c>
      <c r="I267" s="457">
        <v>110.73104672890939</v>
      </c>
      <c r="J267" s="457">
        <v>260.5070251566155</v>
      </c>
      <c r="K267" s="457">
        <v>133.23569735743388</v>
      </c>
      <c r="L267" s="457">
        <v>133.39309925497909</v>
      </c>
      <c r="M267" s="457">
        <v>138.32467581590711</v>
      </c>
      <c r="N267" s="457">
        <v>93.3887312349339</v>
      </c>
      <c r="O267" s="457">
        <v>80.281855730695256</v>
      </c>
      <c r="P267" s="457">
        <v>100.29588157369678</v>
      </c>
      <c r="Q267" s="457">
        <v>98.015043278204388</v>
      </c>
      <c r="R267" s="457">
        <v>97.500681006151098</v>
      </c>
      <c r="S267" s="457">
        <v>96.64063548261511</v>
      </c>
      <c r="T267" s="457">
        <v>96.796000771796329</v>
      </c>
    </row>
    <row r="268" spans="1:20">
      <c r="A268" s="37" t="s">
        <v>24</v>
      </c>
      <c r="B268" s="457">
        <v>130.89554160150109</v>
      </c>
      <c r="C268" s="457">
        <v>112.412379116652</v>
      </c>
      <c r="D268" s="457">
        <v>145.36293811222467</v>
      </c>
      <c r="E268" s="457">
        <v>189.90057070527516</v>
      </c>
      <c r="F268" s="457">
        <v>79.678344986461894</v>
      </c>
      <c r="G268" s="457">
        <v>123.73271545802464</v>
      </c>
      <c r="H268" s="457">
        <v>103.19316536610395</v>
      </c>
      <c r="I268" s="457">
        <v>112.91296306268157</v>
      </c>
      <c r="J268" s="457">
        <v>264.15558656915869</v>
      </c>
      <c r="K268" s="457">
        <v>127.04976948368444</v>
      </c>
      <c r="L268" s="457">
        <v>132.5725118476694</v>
      </c>
      <c r="M268" s="457">
        <v>136.48578691501822</v>
      </c>
      <c r="N268" s="457">
        <v>93.831610935636604</v>
      </c>
      <c r="O268" s="457">
        <v>78.550275303910439</v>
      </c>
      <c r="P268" s="457">
        <v>99.328460011815807</v>
      </c>
      <c r="Q268" s="457">
        <v>97.979390379226629</v>
      </c>
      <c r="R268" s="457">
        <v>95.223080481807017</v>
      </c>
      <c r="S268" s="457">
        <v>93.034096456445738</v>
      </c>
      <c r="T268" s="457">
        <v>93.94650132009356</v>
      </c>
    </row>
    <row r="269" spans="1:20">
      <c r="A269" s="37" t="s">
        <v>25</v>
      </c>
      <c r="B269" s="457">
        <v>130.85084559788385</v>
      </c>
      <c r="C269" s="457">
        <v>113.41491722210121</v>
      </c>
      <c r="D269" s="457">
        <v>146.41685403393481</v>
      </c>
      <c r="E269" s="457">
        <v>189.6658459121374</v>
      </c>
      <c r="F269" s="457">
        <v>81.665087179711307</v>
      </c>
      <c r="G269" s="457">
        <v>123.39689993132139</v>
      </c>
      <c r="H269" s="457">
        <v>102.74057267937327</v>
      </c>
      <c r="I269" s="457">
        <v>114.36789975057012</v>
      </c>
      <c r="J269" s="457">
        <v>266.35843675239232</v>
      </c>
      <c r="K269" s="457">
        <v>128.33757502965997</v>
      </c>
      <c r="L269" s="457">
        <v>133.13344501211162</v>
      </c>
      <c r="M269" s="457">
        <v>137.29974130807059</v>
      </c>
      <c r="N269" s="457">
        <v>95.181880885869617</v>
      </c>
      <c r="O269" s="457">
        <v>79.84885942507195</v>
      </c>
      <c r="P269" s="457">
        <v>100.93283575790606</v>
      </c>
      <c r="Q269" s="457">
        <v>97.083282383587587</v>
      </c>
      <c r="R269" s="457">
        <v>96.35330381166672</v>
      </c>
      <c r="S269" s="457">
        <v>91.917426352321726</v>
      </c>
      <c r="T269" s="457">
        <v>94.388235811438605</v>
      </c>
    </row>
    <row r="270" spans="1:20">
      <c r="A270" s="37" t="s">
        <v>26</v>
      </c>
      <c r="B270" s="457">
        <v>131.8580203420463</v>
      </c>
      <c r="C270" s="457">
        <v>113.48159335248974</v>
      </c>
      <c r="D270" s="457">
        <v>147.25112033267854</v>
      </c>
      <c r="E270" s="457">
        <v>187.97199366716393</v>
      </c>
      <c r="F270" s="457">
        <v>85.22530611792908</v>
      </c>
      <c r="G270" s="457">
        <v>123.95934949568156</v>
      </c>
      <c r="H270" s="457">
        <v>103.6267140655138</v>
      </c>
      <c r="I270" s="457">
        <v>114.70904061993296</v>
      </c>
      <c r="J270" s="457">
        <v>269.75542111540841</v>
      </c>
      <c r="K270" s="457">
        <v>128.4714279646328</v>
      </c>
      <c r="L270" s="457">
        <v>133.47979322392018</v>
      </c>
      <c r="M270" s="457">
        <v>139.55315830509335</v>
      </c>
      <c r="N270" s="457">
        <v>95.947087270265072</v>
      </c>
      <c r="O270" s="457">
        <v>79.870231151103596</v>
      </c>
      <c r="P270" s="457">
        <v>102.73766666365334</v>
      </c>
      <c r="Q270" s="457">
        <v>95.922213382892295</v>
      </c>
      <c r="R270" s="457">
        <v>96.459452783780264</v>
      </c>
      <c r="S270" s="457">
        <v>91.885883006736762</v>
      </c>
      <c r="T270" s="457">
        <v>94.437848570556213</v>
      </c>
    </row>
    <row r="271" spans="1:20">
      <c r="A271" s="37" t="s">
        <v>27</v>
      </c>
      <c r="B271" s="457">
        <v>132.57625150628158</v>
      </c>
      <c r="C271" s="457">
        <v>114.63201198092267</v>
      </c>
      <c r="D271" s="457">
        <v>148.84872354948604</v>
      </c>
      <c r="E271" s="457">
        <v>186.58203133505273</v>
      </c>
      <c r="F271" s="457">
        <v>83.247750657005383</v>
      </c>
      <c r="G271" s="457">
        <v>124.42482882054375</v>
      </c>
      <c r="H271" s="457">
        <v>103.90138503966317</v>
      </c>
      <c r="I271" s="457">
        <v>114.4638369663182</v>
      </c>
      <c r="J271" s="457">
        <v>275.16930819167715</v>
      </c>
      <c r="K271" s="457">
        <v>126.38622933880166</v>
      </c>
      <c r="L271" s="457">
        <v>133.87225838397438</v>
      </c>
      <c r="M271" s="457">
        <v>141.98219310540821</v>
      </c>
      <c r="N271" s="457">
        <v>98.099088592469343</v>
      </c>
      <c r="O271" s="457">
        <v>80.56103601960632</v>
      </c>
      <c r="P271" s="457">
        <v>103.21114543213019</v>
      </c>
      <c r="Q271" s="457">
        <v>93.973214013806356</v>
      </c>
      <c r="R271" s="457">
        <v>97.263786190887785</v>
      </c>
      <c r="S271" s="457">
        <v>92.759793723523728</v>
      </c>
      <c r="T271" s="457">
        <v>94.956995480721687</v>
      </c>
    </row>
    <row r="272" spans="1:20">
      <c r="A272" s="37" t="s">
        <v>28</v>
      </c>
      <c r="B272" s="457">
        <v>132.71037276067099</v>
      </c>
      <c r="C272" s="457">
        <v>116.19888669117321</v>
      </c>
      <c r="D272" s="457">
        <v>152.28491448004269</v>
      </c>
      <c r="E272" s="457">
        <v>187.4054118408271</v>
      </c>
      <c r="F272" s="457">
        <v>82.293897094323043</v>
      </c>
      <c r="G272" s="457">
        <v>125.69256138856514</v>
      </c>
      <c r="H272" s="457">
        <v>103.49498096422116</v>
      </c>
      <c r="I272" s="457">
        <v>110.38170289644967</v>
      </c>
      <c r="J272" s="457">
        <v>282.1946642474328</v>
      </c>
      <c r="K272" s="457">
        <v>126.28558049253407</v>
      </c>
      <c r="L272" s="457">
        <v>134.13606955179941</v>
      </c>
      <c r="M272" s="457">
        <v>139.15153495236481</v>
      </c>
      <c r="N272" s="457">
        <v>101.07980873269202</v>
      </c>
      <c r="O272" s="457">
        <v>81.579800343705884</v>
      </c>
      <c r="P272" s="457">
        <v>103.70539524432844</v>
      </c>
      <c r="Q272" s="457">
        <v>92.687381217741816</v>
      </c>
      <c r="R272" s="457">
        <v>97.976736941535108</v>
      </c>
      <c r="S272" s="457">
        <v>93.374514019741639</v>
      </c>
      <c r="T272" s="457">
        <v>95.976501632493623</v>
      </c>
    </row>
    <row r="273" spans="1:16382">
      <c r="A273" s="37" t="s">
        <v>29</v>
      </c>
      <c r="B273" s="457">
        <v>133.30916699047756</v>
      </c>
      <c r="C273" s="457">
        <v>115.32636763124302</v>
      </c>
      <c r="D273" s="457">
        <v>149.93054897257275</v>
      </c>
      <c r="E273" s="457">
        <v>189.00073323465239</v>
      </c>
      <c r="F273" s="457">
        <v>80.740024166664227</v>
      </c>
      <c r="G273" s="457">
        <v>126.64830691388772</v>
      </c>
      <c r="H273" s="457">
        <v>104.09251255564979</v>
      </c>
      <c r="I273" s="457">
        <v>107.95513211502389</v>
      </c>
      <c r="J273" s="457">
        <v>286.2959868013582</v>
      </c>
      <c r="K273" s="457">
        <v>125.58094822606667</v>
      </c>
      <c r="L273" s="457">
        <v>133.69527017456684</v>
      </c>
      <c r="M273" s="457">
        <v>137.07972049915526</v>
      </c>
      <c r="N273" s="457">
        <v>102.06940444607633</v>
      </c>
      <c r="O273" s="457">
        <v>81.456642540505328</v>
      </c>
      <c r="P273" s="457">
        <v>106.06972993489427</v>
      </c>
      <c r="Q273" s="457">
        <v>92.78416461132619</v>
      </c>
      <c r="R273" s="457">
        <v>97.070909160921687</v>
      </c>
      <c r="S273" s="457">
        <v>92.687069168254297</v>
      </c>
      <c r="T273" s="457">
        <v>95.768134172300904</v>
      </c>
    </row>
    <row r="274" spans="1:16382">
      <c r="A274" s="37" t="s">
        <v>4465</v>
      </c>
      <c r="B274" s="457"/>
      <c r="C274" s="457"/>
      <c r="D274" s="457"/>
      <c r="E274" s="457"/>
      <c r="F274" s="457"/>
      <c r="G274" s="457"/>
      <c r="H274" s="457"/>
      <c r="I274" s="457"/>
      <c r="J274" s="457"/>
      <c r="K274" s="457"/>
      <c r="L274" s="457"/>
      <c r="M274" s="457"/>
      <c r="N274" s="457"/>
      <c r="O274" s="457"/>
      <c r="P274" s="457"/>
      <c r="Q274" s="457"/>
      <c r="R274" s="457"/>
      <c r="S274" s="457"/>
      <c r="T274" s="457"/>
    </row>
    <row r="275" spans="1:16382">
      <c r="A275" s="37" t="s">
        <v>18</v>
      </c>
      <c r="B275" s="457">
        <v>135.03556327679013</v>
      </c>
      <c r="C275" s="457">
        <v>117.54415471667518</v>
      </c>
      <c r="D275" s="457">
        <v>151.55913845450667</v>
      </c>
      <c r="E275" s="457">
        <v>185.10513428362034</v>
      </c>
      <c r="F275" s="457">
        <v>80.252928977047972</v>
      </c>
      <c r="G275" s="457">
        <v>130.02366049935534</v>
      </c>
      <c r="H275" s="457">
        <v>104.24664542779594</v>
      </c>
      <c r="I275" s="457">
        <v>107.5427025344992</v>
      </c>
      <c r="J275" s="457">
        <v>292.85928424675899</v>
      </c>
      <c r="K275" s="457">
        <v>125.23407140425357</v>
      </c>
      <c r="L275" s="457">
        <v>134.04523721784318</v>
      </c>
      <c r="M275" s="457">
        <v>139.33653151858857</v>
      </c>
      <c r="N275" s="457">
        <v>102.48440251620467</v>
      </c>
      <c r="O275" s="457">
        <v>82.180060579849766</v>
      </c>
      <c r="P275" s="457">
        <v>107.97885773065555</v>
      </c>
      <c r="Q275" s="457">
        <v>93.881608684413465</v>
      </c>
      <c r="R275" s="457">
        <v>97.45720614668727</v>
      </c>
      <c r="S275" s="457">
        <v>93.171600794358724</v>
      </c>
      <c r="T275" s="457">
        <v>96.219393309224415</v>
      </c>
    </row>
    <row r="276" spans="1:16382">
      <c r="A276" s="37" t="s">
        <v>19</v>
      </c>
      <c r="B276" s="457">
        <v>135.48815644086341</v>
      </c>
      <c r="C276" s="457">
        <v>116.68566826736013</v>
      </c>
      <c r="D276" s="457">
        <v>151.15466440883603</v>
      </c>
      <c r="E276" s="457">
        <v>182.97736596828798</v>
      </c>
      <c r="F276" s="457">
        <v>78.994284460245723</v>
      </c>
      <c r="G276" s="457">
        <v>130.07971662159554</v>
      </c>
      <c r="H276" s="457">
        <v>104.3009525690226</v>
      </c>
      <c r="I276" s="457">
        <v>104.72768435804423</v>
      </c>
      <c r="J276" s="457">
        <v>292.90924877156891</v>
      </c>
      <c r="K276" s="457">
        <v>123.9823339780641</v>
      </c>
      <c r="L276" s="457">
        <v>132.36304601387044</v>
      </c>
      <c r="M276" s="457">
        <v>135.4505304126034</v>
      </c>
      <c r="N276" s="457">
        <v>102.35893672924536</v>
      </c>
      <c r="O276" s="457">
        <v>80.374766013890834</v>
      </c>
      <c r="P276" s="457">
        <v>108.68398904220547</v>
      </c>
      <c r="Q276" s="457">
        <v>95.261302613988136</v>
      </c>
      <c r="R276" s="457">
        <v>97.171322261064418</v>
      </c>
      <c r="S276" s="457">
        <v>92.52910359351192</v>
      </c>
      <c r="T276" s="457">
        <v>96.186486960044988</v>
      </c>
    </row>
    <row r="277" spans="1:16382">
      <c r="A277" s="37" t="s">
        <v>20</v>
      </c>
      <c r="B277" s="457">
        <v>134.98808093492985</v>
      </c>
      <c r="C277" s="457">
        <v>118.644687764802</v>
      </c>
      <c r="D277" s="457">
        <v>153.78591249612603</v>
      </c>
      <c r="E277" s="457">
        <v>182.38237287372718</v>
      </c>
      <c r="F277" s="457">
        <v>83.040494123354151</v>
      </c>
      <c r="G277" s="457">
        <v>130.74723974576364</v>
      </c>
      <c r="H277" s="457">
        <v>105.32935164877016</v>
      </c>
      <c r="I277" s="457">
        <v>102.92865222820315</v>
      </c>
      <c r="J277" s="457">
        <v>300.51880955766808</v>
      </c>
      <c r="K277" s="457">
        <v>124.64379761854137</v>
      </c>
      <c r="L277" s="457">
        <v>133.6783720149989</v>
      </c>
      <c r="M277" s="457">
        <v>136.84878614159726</v>
      </c>
      <c r="N277" s="457">
        <v>105.25840000277293</v>
      </c>
      <c r="O277" s="457">
        <v>82.041247070282111</v>
      </c>
      <c r="P277" s="457">
        <v>110.7030485702473</v>
      </c>
      <c r="Q277" s="457">
        <v>94.539568318396633</v>
      </c>
      <c r="R277" s="457">
        <v>100.13902042099996</v>
      </c>
      <c r="S277" s="457">
        <v>94.558275152679073</v>
      </c>
      <c r="T277" s="457">
        <v>99.098178211525578</v>
      </c>
    </row>
    <row r="278" spans="1:16382">
      <c r="A278" s="37" t="s">
        <v>21</v>
      </c>
      <c r="B278" s="457">
        <v>134.53884905510637</v>
      </c>
      <c r="C278" s="457">
        <v>116.3883010570097</v>
      </c>
      <c r="D278" s="457">
        <v>151.96365353596903</v>
      </c>
      <c r="E278" s="457">
        <v>178.01102880608533</v>
      </c>
      <c r="F278" s="457">
        <v>79.34763281370293</v>
      </c>
      <c r="G278" s="457">
        <v>129.05491121426519</v>
      </c>
      <c r="H278" s="457">
        <v>102.79306108216417</v>
      </c>
      <c r="I278" s="457">
        <v>98.539437371908519</v>
      </c>
      <c r="J278" s="457">
        <v>301.54865234760041</v>
      </c>
      <c r="K278" s="457">
        <v>120.66868486106667</v>
      </c>
      <c r="L278" s="457">
        <v>132.61356285212435</v>
      </c>
      <c r="M278" s="457">
        <v>138.14256374582527</v>
      </c>
      <c r="N278" s="457">
        <v>104.9852554458276</v>
      </c>
      <c r="O278" s="457">
        <v>82.292799101610512</v>
      </c>
      <c r="P278" s="457">
        <v>112.13187520786711</v>
      </c>
      <c r="Q278" s="457">
        <v>94.134592381751062</v>
      </c>
      <c r="R278" s="457">
        <v>98.274125788567147</v>
      </c>
      <c r="S278" s="457">
        <v>92.920669027771581</v>
      </c>
      <c r="T278" s="457">
        <v>97.597075377990805</v>
      </c>
    </row>
    <row r="279" spans="1:16382">
      <c r="A279" s="37" t="s">
        <v>22</v>
      </c>
      <c r="B279" s="457">
        <v>133.93815826154159</v>
      </c>
      <c r="C279" s="457">
        <v>116.38993671661736</v>
      </c>
      <c r="D279" s="457">
        <v>150.98316292631154</v>
      </c>
      <c r="E279" s="457">
        <v>178.03703455096874</v>
      </c>
      <c r="F279" s="457">
        <v>75.089156290569548</v>
      </c>
      <c r="G279" s="457">
        <v>128.78598768542562</v>
      </c>
      <c r="H279" s="457">
        <v>102.0659117192309</v>
      </c>
      <c r="I279" s="457">
        <v>97.545898202030472</v>
      </c>
      <c r="J279" s="457">
        <v>297.78783577821656</v>
      </c>
      <c r="K279" s="457">
        <v>115.79625315983772</v>
      </c>
      <c r="L279" s="457">
        <v>132.0791228226507</v>
      </c>
      <c r="M279" s="457">
        <v>132.3673728863894</v>
      </c>
      <c r="N279" s="457">
        <v>104.92532896412804</v>
      </c>
      <c r="O279" s="457">
        <v>81.570116632110398</v>
      </c>
      <c r="P279" s="457">
        <v>113.8148632690948</v>
      </c>
      <c r="Q279" s="457">
        <v>93.460737473147262</v>
      </c>
      <c r="R279" s="457">
        <v>98.432952302234952</v>
      </c>
      <c r="S279" s="457">
        <v>94.88929756451023</v>
      </c>
      <c r="T279" s="457">
        <v>97.303071039496061</v>
      </c>
    </row>
    <row r="280" spans="1:16382" ht="12.6" customHeight="1">
      <c r="A280" s="574" t="s">
        <v>23</v>
      </c>
      <c r="B280" s="1170">
        <v>134.39790422369367</v>
      </c>
      <c r="C280" s="1170">
        <v>117.86056901560039</v>
      </c>
      <c r="D280" s="1170">
        <v>152.37116994285682</v>
      </c>
      <c r="E280" s="1170">
        <v>178.73409004171026</v>
      </c>
      <c r="F280" s="1170">
        <v>74.596117232527021</v>
      </c>
      <c r="G280" s="1170">
        <v>130.53348032882175</v>
      </c>
      <c r="H280" s="1170">
        <v>100.87245378936451</v>
      </c>
      <c r="I280" s="1170">
        <v>100.40480706643322</v>
      </c>
      <c r="J280" s="1170">
        <v>302.05370860610753</v>
      </c>
      <c r="K280" s="1170">
        <v>116.61009214805836</v>
      </c>
      <c r="L280" s="1170">
        <v>131.63683556056395</v>
      </c>
      <c r="M280" s="1170">
        <v>129.7384861301187</v>
      </c>
      <c r="N280" s="1170">
        <v>107.81040589928305</v>
      </c>
      <c r="O280" s="1170">
        <v>83.065378221499415</v>
      </c>
      <c r="P280" s="1170">
        <v>111.71443430745776</v>
      </c>
      <c r="Q280" s="1170">
        <v>92.357835668999485</v>
      </c>
      <c r="R280" s="1170">
        <v>100.40915643546788</v>
      </c>
      <c r="S280" s="1170">
        <v>96.198209629543811</v>
      </c>
      <c r="T280" s="1170">
        <v>98.278015360045259</v>
      </c>
    </row>
    <row r="281" spans="1:16382" ht="14.45" hidden="1" customHeight="1">
      <c r="A281" s="1976"/>
      <c r="B281" s="1977"/>
      <c r="C281" s="1977"/>
      <c r="D281" s="1977"/>
      <c r="E281" s="1977"/>
      <c r="F281" s="1977"/>
      <c r="G281" s="1977"/>
      <c r="H281" s="1977"/>
      <c r="I281" s="1977"/>
      <c r="J281" s="1977"/>
      <c r="K281" s="1977"/>
      <c r="L281" s="1977"/>
      <c r="M281" s="1977"/>
      <c r="N281" s="1977"/>
      <c r="O281" s="1977"/>
      <c r="P281" s="1977"/>
      <c r="Q281" s="1977"/>
      <c r="R281" s="1977"/>
      <c r="S281" s="1977"/>
      <c r="T281" s="1977"/>
    </row>
    <row r="282" spans="1:16382" s="1248" customFormat="1" ht="27.75" customHeight="1">
      <c r="A282" s="2154" t="s">
        <v>4327</v>
      </c>
      <c r="B282" s="2155"/>
      <c r="C282" s="2155"/>
      <c r="D282" s="2155"/>
      <c r="E282" s="2155"/>
      <c r="F282" s="2155"/>
      <c r="G282" s="2155"/>
      <c r="H282" s="2155"/>
      <c r="I282" s="2155"/>
      <c r="J282" s="2155"/>
      <c r="K282" s="2155"/>
      <c r="L282" s="2155"/>
      <c r="M282" s="2155"/>
      <c r="N282" s="2155"/>
      <c r="O282" s="2155"/>
    </row>
    <row r="283" spans="1:16382" s="1248" customFormat="1" ht="14.25" customHeight="1">
      <c r="A283" s="2154" t="s">
        <v>4328</v>
      </c>
      <c r="B283" s="2155"/>
      <c r="C283" s="2155"/>
      <c r="D283" s="2155"/>
      <c r="E283" s="2155"/>
      <c r="F283" s="2155"/>
      <c r="G283" s="2155"/>
      <c r="H283" s="2155"/>
      <c r="I283" s="2155"/>
      <c r="J283" s="2155"/>
      <c r="K283" s="2155"/>
      <c r="L283" s="2155"/>
      <c r="M283" s="2155"/>
      <c r="N283" s="2155"/>
      <c r="O283" s="2155"/>
    </row>
    <row r="284" spans="1:16382" s="1248" customFormat="1" ht="14.25" customHeight="1">
      <c r="A284" s="2154" t="s">
        <v>4329</v>
      </c>
      <c r="B284" s="2155"/>
      <c r="C284" s="2155"/>
      <c r="D284" s="2155"/>
      <c r="E284" s="2155"/>
      <c r="F284" s="2155"/>
      <c r="G284" s="2155"/>
      <c r="H284" s="2155"/>
      <c r="I284" s="2155"/>
      <c r="J284" s="2155"/>
      <c r="K284" s="2155"/>
      <c r="L284" s="2155"/>
      <c r="M284" s="2155"/>
      <c r="N284" s="2155"/>
      <c r="O284" s="2155"/>
    </row>
    <row r="285" spans="1:16382" s="1248" customFormat="1" ht="14.25" customHeight="1">
      <c r="A285" s="2154" t="s">
        <v>4330</v>
      </c>
      <c r="B285" s="2155"/>
      <c r="C285" s="2155"/>
      <c r="D285" s="2155"/>
      <c r="E285" s="2155"/>
      <c r="F285" s="2155"/>
      <c r="G285" s="2155"/>
      <c r="H285" s="2155"/>
      <c r="I285" s="2155"/>
      <c r="J285" s="2155"/>
      <c r="K285" s="2155"/>
      <c r="L285" s="2155"/>
      <c r="M285" s="2155"/>
      <c r="N285" s="2155"/>
      <c r="O285" s="2155"/>
    </row>
    <row r="286" spans="1:16382" s="1248" customFormat="1" ht="14.25" customHeight="1">
      <c r="A286" s="2154" t="s">
        <v>4331</v>
      </c>
      <c r="B286" s="2155"/>
      <c r="C286" s="2155"/>
      <c r="D286" s="2155"/>
      <c r="E286" s="2155"/>
      <c r="F286" s="2155"/>
      <c r="G286" s="2155"/>
      <c r="H286" s="2155"/>
      <c r="I286" s="2155"/>
      <c r="J286" s="2155"/>
      <c r="K286" s="2155"/>
      <c r="L286" s="2155"/>
      <c r="M286" s="2155"/>
      <c r="N286" s="2155"/>
      <c r="O286" s="2155"/>
    </row>
    <row r="287" spans="1:16382" ht="14.25" customHeight="1">
      <c r="A287" s="2150" t="s">
        <v>3486</v>
      </c>
      <c r="B287" s="2151"/>
      <c r="C287" s="2151"/>
      <c r="D287" s="2151"/>
      <c r="E287" s="2151"/>
      <c r="F287" s="2151"/>
      <c r="G287" s="2151"/>
      <c r="H287" s="2151"/>
      <c r="I287" s="2151"/>
      <c r="J287" s="2151"/>
      <c r="K287" s="2151"/>
      <c r="L287" s="2151"/>
      <c r="M287" s="2151"/>
      <c r="N287" s="2151"/>
      <c r="O287" s="2151"/>
      <c r="P287" s="2150"/>
      <c r="Q287" s="2151"/>
      <c r="R287" s="2151"/>
      <c r="S287" s="2151"/>
      <c r="T287" s="2151"/>
      <c r="U287" s="2151"/>
      <c r="V287" s="2151"/>
      <c r="W287" s="2151"/>
      <c r="X287" s="2151"/>
      <c r="Y287" s="2151"/>
      <c r="Z287" s="2151"/>
      <c r="AA287" s="2151"/>
      <c r="AB287" s="2151"/>
      <c r="AC287" s="2151"/>
      <c r="AD287" s="2151"/>
      <c r="AE287" s="2150"/>
      <c r="AF287" s="2151"/>
      <c r="AG287" s="2151"/>
      <c r="AH287" s="2151"/>
      <c r="AI287" s="2151"/>
      <c r="AJ287" s="2151"/>
      <c r="AK287" s="2151"/>
      <c r="AL287" s="2151"/>
      <c r="AM287" s="2151"/>
      <c r="AN287" s="2151"/>
      <c r="AO287" s="2151"/>
      <c r="AP287" s="2151"/>
      <c r="AQ287" s="2151"/>
      <c r="AR287" s="2151"/>
      <c r="AS287" s="2151"/>
      <c r="AT287" s="2151"/>
      <c r="AU287" s="2150"/>
      <c r="AV287" s="2151"/>
      <c r="AW287" s="2151"/>
      <c r="AX287" s="2151"/>
      <c r="AY287" s="2151"/>
      <c r="AZ287" s="2151"/>
      <c r="BA287" s="2151"/>
      <c r="BB287" s="2151"/>
      <c r="BC287" s="2151"/>
      <c r="BD287" s="2151"/>
      <c r="BE287" s="2151"/>
      <c r="BF287" s="2151"/>
      <c r="BG287" s="2151"/>
      <c r="BH287" s="2151"/>
      <c r="BI287" s="2151"/>
      <c r="BJ287" s="2151"/>
      <c r="BK287" s="2150"/>
      <c r="BL287" s="2151"/>
      <c r="BM287" s="2151"/>
      <c r="BN287" s="2151"/>
      <c r="BO287" s="2151"/>
      <c r="BP287" s="2151"/>
      <c r="BQ287" s="2151"/>
      <c r="BR287" s="2151"/>
      <c r="BS287" s="2151"/>
      <c r="BT287" s="2151"/>
      <c r="BU287" s="2151"/>
      <c r="BV287" s="2151"/>
      <c r="BW287" s="2151"/>
      <c r="BX287" s="2151"/>
      <c r="BY287" s="2151"/>
      <c r="BZ287" s="2151"/>
      <c r="CA287" s="2150"/>
      <c r="CB287" s="2151"/>
      <c r="CC287" s="2151"/>
      <c r="CD287" s="2151"/>
      <c r="CE287" s="2151"/>
      <c r="CF287" s="2151"/>
      <c r="CG287" s="2151"/>
      <c r="CH287" s="2151"/>
      <c r="CI287" s="2151"/>
      <c r="CJ287" s="2151"/>
      <c r="CK287" s="2151"/>
      <c r="CL287" s="2151"/>
      <c r="CM287" s="2151"/>
      <c r="CN287" s="2151"/>
      <c r="CO287" s="2151"/>
      <c r="CP287" s="2151"/>
      <c r="CQ287" s="2150"/>
      <c r="CR287" s="2151"/>
      <c r="CS287" s="2151"/>
      <c r="CT287" s="2151"/>
      <c r="CU287" s="2151"/>
      <c r="CV287" s="2151"/>
      <c r="CW287" s="2151"/>
      <c r="CX287" s="2151"/>
      <c r="CY287" s="2151"/>
      <c r="CZ287" s="2151"/>
      <c r="DA287" s="2151"/>
      <c r="DB287" s="2151"/>
      <c r="DC287" s="2151"/>
      <c r="DD287" s="2151"/>
      <c r="DE287" s="2151"/>
      <c r="DF287" s="2151"/>
      <c r="DG287" s="2150"/>
      <c r="DH287" s="2151"/>
      <c r="DI287" s="2151"/>
      <c r="DJ287" s="2151"/>
      <c r="DK287" s="2151"/>
      <c r="DL287" s="2151"/>
      <c r="DM287" s="2151"/>
      <c r="DN287" s="2151"/>
      <c r="DO287" s="2151"/>
      <c r="DP287" s="2151"/>
      <c r="DQ287" s="2151"/>
      <c r="DR287" s="2151"/>
      <c r="DS287" s="2151"/>
      <c r="DT287" s="2151"/>
      <c r="DU287" s="2151"/>
      <c r="DV287" s="2151"/>
      <c r="DW287" s="2150"/>
      <c r="DX287" s="2151"/>
      <c r="DY287" s="2151"/>
      <c r="DZ287" s="2151"/>
      <c r="EA287" s="2151"/>
      <c r="EB287" s="2151"/>
      <c r="EC287" s="2151"/>
      <c r="ED287" s="2151"/>
      <c r="EE287" s="2151"/>
      <c r="EF287" s="2151"/>
      <c r="EG287" s="2151"/>
      <c r="EH287" s="2151"/>
      <c r="EI287" s="2151"/>
      <c r="EJ287" s="2151"/>
      <c r="EK287" s="2151"/>
      <c r="EL287" s="2151"/>
      <c r="EM287" s="2150"/>
      <c r="EN287" s="2151"/>
      <c r="EO287" s="2151"/>
      <c r="EP287" s="2151"/>
      <c r="EQ287" s="2151"/>
      <c r="ER287" s="2151"/>
      <c r="ES287" s="2151"/>
      <c r="ET287" s="2151"/>
      <c r="EU287" s="2151"/>
      <c r="EV287" s="2151"/>
      <c r="EW287" s="2151"/>
      <c r="EX287" s="2151"/>
      <c r="EY287" s="2151"/>
      <c r="EZ287" s="2151"/>
      <c r="FA287" s="2151"/>
      <c r="FB287" s="2151"/>
      <c r="FC287" s="2150"/>
      <c r="FD287" s="2151"/>
      <c r="FE287" s="2151"/>
      <c r="FF287" s="2151"/>
      <c r="FG287" s="2151"/>
      <c r="FH287" s="2151"/>
      <c r="FI287" s="2151"/>
      <c r="FJ287" s="2151"/>
      <c r="FK287" s="2151"/>
      <c r="FL287" s="2151"/>
      <c r="FM287" s="2151"/>
      <c r="FN287" s="2151"/>
      <c r="FO287" s="2151"/>
      <c r="FP287" s="2151"/>
      <c r="FQ287" s="2151"/>
      <c r="FR287" s="2151"/>
      <c r="FS287" s="2150"/>
      <c r="FT287" s="2151"/>
      <c r="FU287" s="2151"/>
      <c r="FV287" s="2151"/>
      <c r="FW287" s="2151"/>
      <c r="FX287" s="2151"/>
      <c r="FY287" s="2151"/>
      <c r="FZ287" s="2151"/>
      <c r="GA287" s="2151"/>
      <c r="GB287" s="2151"/>
      <c r="GC287" s="2151"/>
      <c r="GD287" s="2151"/>
      <c r="GE287" s="2151"/>
      <c r="GF287" s="2151"/>
      <c r="GG287" s="2151"/>
      <c r="GH287" s="2151"/>
      <c r="GI287" s="2150"/>
      <c r="GJ287" s="2151"/>
      <c r="GK287" s="2151"/>
      <c r="GL287" s="2151"/>
      <c r="GM287" s="2151"/>
      <c r="GN287" s="2151"/>
      <c r="GO287" s="2151"/>
      <c r="GP287" s="2151"/>
      <c r="GQ287" s="2151"/>
      <c r="GR287" s="2151"/>
      <c r="GS287" s="2151"/>
      <c r="GT287" s="2151"/>
      <c r="GU287" s="2151"/>
      <c r="GV287" s="2151"/>
      <c r="GW287" s="2151"/>
      <c r="GX287" s="2151"/>
      <c r="GY287" s="2150"/>
      <c r="GZ287" s="2151"/>
      <c r="HA287" s="2151"/>
      <c r="HB287" s="2151"/>
      <c r="HC287" s="2151"/>
      <c r="HD287" s="2151"/>
      <c r="HE287" s="2151"/>
      <c r="HF287" s="2151"/>
      <c r="HG287" s="2151"/>
      <c r="HH287" s="2151"/>
      <c r="HI287" s="2151"/>
      <c r="HJ287" s="2151"/>
      <c r="HK287" s="2151"/>
      <c r="HL287" s="2151"/>
      <c r="HM287" s="2151"/>
      <c r="HN287" s="2151"/>
      <c r="HO287" s="2150"/>
      <c r="HP287" s="2151"/>
      <c r="HQ287" s="2151"/>
      <c r="HR287" s="2151"/>
      <c r="HS287" s="2151"/>
      <c r="HT287" s="2151"/>
      <c r="HU287" s="2151"/>
      <c r="HV287" s="2151"/>
      <c r="HW287" s="2151"/>
      <c r="HX287" s="2151"/>
      <c r="HY287" s="2151"/>
      <c r="HZ287" s="2151"/>
      <c r="IA287" s="2151"/>
      <c r="IB287" s="2151"/>
      <c r="IC287" s="2151"/>
      <c r="ID287" s="2151"/>
      <c r="IE287" s="2150"/>
      <c r="IF287" s="2151"/>
      <c r="IG287" s="2151"/>
      <c r="IH287" s="2151"/>
      <c r="II287" s="2151"/>
      <c r="IJ287" s="2151"/>
      <c r="IK287" s="2151"/>
      <c r="IL287" s="2151"/>
      <c r="IM287" s="2151"/>
      <c r="IN287" s="2151"/>
      <c r="IO287" s="2151"/>
      <c r="IP287" s="2151"/>
      <c r="IQ287" s="2151"/>
      <c r="IR287" s="2151"/>
      <c r="IS287" s="2151"/>
      <c r="IT287" s="2151"/>
      <c r="IU287" s="2150"/>
      <c r="IV287" s="2151"/>
      <c r="IW287" s="2151"/>
      <c r="IX287" s="2151"/>
      <c r="IY287" s="2151"/>
      <c r="IZ287" s="2151"/>
      <c r="JA287" s="2151"/>
      <c r="JB287" s="2151"/>
      <c r="JC287" s="2151"/>
      <c r="JD287" s="2151"/>
      <c r="JE287" s="2151"/>
      <c r="JF287" s="2151"/>
      <c r="JG287" s="2151"/>
      <c r="JH287" s="2151"/>
      <c r="JI287" s="2151"/>
      <c r="JJ287" s="2151"/>
      <c r="JK287" s="2150"/>
      <c r="JL287" s="2151"/>
      <c r="JM287" s="2151"/>
      <c r="JN287" s="2151"/>
      <c r="JO287" s="2151"/>
      <c r="JP287" s="2151"/>
      <c r="JQ287" s="2151"/>
      <c r="JR287" s="2151"/>
      <c r="JS287" s="2151"/>
      <c r="JT287" s="2151"/>
      <c r="JU287" s="2151"/>
      <c r="JV287" s="2151"/>
      <c r="JW287" s="2151"/>
      <c r="JX287" s="2151"/>
      <c r="JY287" s="2151"/>
      <c r="JZ287" s="2151"/>
      <c r="KA287" s="2150"/>
      <c r="KB287" s="2151"/>
      <c r="KC287" s="2151"/>
      <c r="KD287" s="2151"/>
      <c r="KE287" s="2151"/>
      <c r="KF287" s="2151"/>
      <c r="KG287" s="2151"/>
      <c r="KH287" s="2151"/>
      <c r="KI287" s="2151"/>
      <c r="KJ287" s="2151"/>
      <c r="KK287" s="2151"/>
      <c r="KL287" s="2151"/>
      <c r="KM287" s="2151"/>
      <c r="KN287" s="2151"/>
      <c r="KO287" s="2151"/>
      <c r="KP287" s="2151"/>
      <c r="KQ287" s="2150"/>
      <c r="KR287" s="2151"/>
      <c r="KS287" s="2151"/>
      <c r="KT287" s="2151"/>
      <c r="KU287" s="2151"/>
      <c r="KV287" s="2151"/>
      <c r="KW287" s="2151"/>
      <c r="KX287" s="2151"/>
      <c r="KY287" s="2151"/>
      <c r="KZ287" s="2151"/>
      <c r="LA287" s="2151"/>
      <c r="LB287" s="2151"/>
      <c r="LC287" s="2151"/>
      <c r="LD287" s="2151"/>
      <c r="LE287" s="2151"/>
      <c r="LF287" s="2151"/>
      <c r="LG287" s="2150"/>
      <c r="LH287" s="2151"/>
      <c r="LI287" s="2151"/>
      <c r="LJ287" s="2151"/>
      <c r="LK287" s="2151"/>
      <c r="LL287" s="2151"/>
      <c r="LM287" s="2151"/>
      <c r="LN287" s="2151"/>
      <c r="LO287" s="2151"/>
      <c r="LP287" s="2151"/>
      <c r="LQ287" s="2151"/>
      <c r="LR287" s="2151"/>
      <c r="LS287" s="2151"/>
      <c r="LT287" s="2151"/>
      <c r="LU287" s="2151"/>
      <c r="LV287" s="2151"/>
      <c r="LW287" s="2150"/>
      <c r="LX287" s="2151"/>
      <c r="LY287" s="2151"/>
      <c r="LZ287" s="2151"/>
      <c r="MA287" s="2151"/>
      <c r="MB287" s="2151"/>
      <c r="MC287" s="2151"/>
      <c r="MD287" s="2151"/>
      <c r="ME287" s="2151"/>
      <c r="MF287" s="2151"/>
      <c r="MG287" s="2151"/>
      <c r="MH287" s="2151"/>
      <c r="MI287" s="2151"/>
      <c r="MJ287" s="2151"/>
      <c r="MK287" s="2151"/>
      <c r="ML287" s="2151"/>
      <c r="MM287" s="2150"/>
      <c r="MN287" s="2151"/>
      <c r="MO287" s="2151"/>
      <c r="MP287" s="2151"/>
      <c r="MQ287" s="2151"/>
      <c r="MR287" s="2151"/>
      <c r="MS287" s="2151"/>
      <c r="MT287" s="2151"/>
      <c r="MU287" s="2151"/>
      <c r="MV287" s="2151"/>
      <c r="MW287" s="2151"/>
      <c r="MX287" s="2151"/>
      <c r="MY287" s="2151"/>
      <c r="MZ287" s="2151"/>
      <c r="NA287" s="2151"/>
      <c r="NB287" s="2151"/>
      <c r="NC287" s="2150"/>
      <c r="ND287" s="2151"/>
      <c r="NE287" s="2151"/>
      <c r="NF287" s="2151"/>
      <c r="NG287" s="2151"/>
      <c r="NH287" s="2151"/>
      <c r="NI287" s="2151"/>
      <c r="NJ287" s="2151"/>
      <c r="NK287" s="2151"/>
      <c r="NL287" s="2151"/>
      <c r="NM287" s="2151"/>
      <c r="NN287" s="2151"/>
      <c r="NO287" s="2151"/>
      <c r="NP287" s="2151"/>
      <c r="NQ287" s="2151"/>
      <c r="NR287" s="2151"/>
      <c r="NS287" s="2150"/>
      <c r="NT287" s="2151"/>
      <c r="NU287" s="2151"/>
      <c r="NV287" s="2151"/>
      <c r="NW287" s="2151"/>
      <c r="NX287" s="2151"/>
      <c r="NY287" s="2151"/>
      <c r="NZ287" s="2151"/>
      <c r="OA287" s="2151"/>
      <c r="OB287" s="2151"/>
      <c r="OC287" s="2151"/>
      <c r="OD287" s="2151"/>
      <c r="OE287" s="2151"/>
      <c r="OF287" s="2151"/>
      <c r="OG287" s="2151"/>
      <c r="OH287" s="2151"/>
      <c r="OI287" s="2150"/>
      <c r="OJ287" s="2151"/>
      <c r="OK287" s="2151"/>
      <c r="OL287" s="2151"/>
      <c r="OM287" s="2151"/>
      <c r="ON287" s="2151"/>
      <c r="OO287" s="2151"/>
      <c r="OP287" s="2151"/>
      <c r="OQ287" s="2151"/>
      <c r="OR287" s="2151"/>
      <c r="OS287" s="2151"/>
      <c r="OT287" s="2151"/>
      <c r="OU287" s="2151"/>
      <c r="OV287" s="2151"/>
      <c r="OW287" s="2151"/>
      <c r="OX287" s="2151"/>
      <c r="OY287" s="2150"/>
      <c r="OZ287" s="2151"/>
      <c r="PA287" s="2151"/>
      <c r="PB287" s="2151"/>
      <c r="PC287" s="2151"/>
      <c r="PD287" s="2151"/>
      <c r="PE287" s="2151"/>
      <c r="PF287" s="2151"/>
      <c r="PG287" s="2151"/>
      <c r="PH287" s="2151"/>
      <c r="PI287" s="2151"/>
      <c r="PJ287" s="2151"/>
      <c r="PK287" s="2151"/>
      <c r="PL287" s="2151"/>
      <c r="PM287" s="2151"/>
      <c r="PN287" s="2151"/>
      <c r="PO287" s="2150"/>
      <c r="PP287" s="2151"/>
      <c r="PQ287" s="2151"/>
      <c r="PR287" s="2151"/>
      <c r="PS287" s="2151"/>
      <c r="PT287" s="2151"/>
      <c r="PU287" s="2151"/>
      <c r="PV287" s="2151"/>
      <c r="PW287" s="2151"/>
      <c r="PX287" s="2151"/>
      <c r="PY287" s="2151"/>
      <c r="PZ287" s="2151"/>
      <c r="QA287" s="2151"/>
      <c r="QB287" s="2151"/>
      <c r="QC287" s="2151"/>
      <c r="QD287" s="2151"/>
      <c r="QE287" s="2150"/>
      <c r="QF287" s="2151"/>
      <c r="QG287" s="2151"/>
      <c r="QH287" s="2151"/>
      <c r="QI287" s="2151"/>
      <c r="QJ287" s="2151"/>
      <c r="QK287" s="2151"/>
      <c r="QL287" s="2151"/>
      <c r="QM287" s="2151"/>
      <c r="QN287" s="2151"/>
      <c r="QO287" s="2151"/>
      <c r="QP287" s="2151"/>
      <c r="QQ287" s="2151"/>
      <c r="QR287" s="2151"/>
      <c r="QS287" s="2151"/>
      <c r="QT287" s="2151"/>
      <c r="QU287" s="2150"/>
      <c r="QV287" s="2151"/>
      <c r="QW287" s="2151"/>
      <c r="QX287" s="2151"/>
      <c r="QY287" s="2151"/>
      <c r="QZ287" s="2151"/>
      <c r="RA287" s="2151"/>
      <c r="RB287" s="2151"/>
      <c r="RC287" s="2151"/>
      <c r="RD287" s="2151"/>
      <c r="RE287" s="2151"/>
      <c r="RF287" s="2151"/>
      <c r="RG287" s="2151"/>
      <c r="RH287" s="2151"/>
      <c r="RI287" s="2151"/>
      <c r="RJ287" s="2151"/>
      <c r="RK287" s="2150"/>
      <c r="RL287" s="2151"/>
      <c r="RM287" s="2151"/>
      <c r="RN287" s="2151"/>
      <c r="RO287" s="2151"/>
      <c r="RP287" s="2151"/>
      <c r="RQ287" s="2151"/>
      <c r="RR287" s="2151"/>
      <c r="RS287" s="2151"/>
      <c r="RT287" s="2151"/>
      <c r="RU287" s="2151"/>
      <c r="RV287" s="2151"/>
      <c r="RW287" s="2151"/>
      <c r="RX287" s="2151"/>
      <c r="RY287" s="2151"/>
      <c r="RZ287" s="2151"/>
      <c r="SA287" s="2150"/>
      <c r="SB287" s="2151"/>
      <c r="SC287" s="2151"/>
      <c r="SD287" s="2151"/>
      <c r="SE287" s="2151"/>
      <c r="SF287" s="2151"/>
      <c r="SG287" s="2151"/>
      <c r="SH287" s="2151"/>
      <c r="SI287" s="2151"/>
      <c r="SJ287" s="2151"/>
      <c r="SK287" s="2151"/>
      <c r="SL287" s="2151"/>
      <c r="SM287" s="2151"/>
      <c r="SN287" s="2151"/>
      <c r="SO287" s="2151"/>
      <c r="SP287" s="2151"/>
      <c r="SQ287" s="2150"/>
      <c r="SR287" s="2151"/>
      <c r="SS287" s="2151"/>
      <c r="ST287" s="2151"/>
      <c r="SU287" s="2151"/>
      <c r="SV287" s="2151"/>
      <c r="SW287" s="2151"/>
      <c r="SX287" s="2151"/>
      <c r="SY287" s="2151"/>
      <c r="SZ287" s="2151"/>
      <c r="TA287" s="2151"/>
      <c r="TB287" s="2151"/>
      <c r="TC287" s="2151"/>
      <c r="TD287" s="2151"/>
      <c r="TE287" s="2151"/>
      <c r="TF287" s="2151"/>
      <c r="TG287" s="2150"/>
      <c r="TH287" s="2151"/>
      <c r="TI287" s="2151"/>
      <c r="TJ287" s="2151"/>
      <c r="TK287" s="2151"/>
      <c r="TL287" s="2151"/>
      <c r="TM287" s="2151"/>
      <c r="TN287" s="2151"/>
      <c r="TO287" s="2151"/>
      <c r="TP287" s="2151"/>
      <c r="TQ287" s="2151"/>
      <c r="TR287" s="2151"/>
      <c r="TS287" s="2151"/>
      <c r="TT287" s="2151"/>
      <c r="TU287" s="2151"/>
      <c r="TV287" s="2151"/>
      <c r="TW287" s="2150"/>
      <c r="TX287" s="2151"/>
      <c r="TY287" s="2151"/>
      <c r="TZ287" s="2151"/>
      <c r="UA287" s="2151"/>
      <c r="UB287" s="2151"/>
      <c r="UC287" s="2151"/>
      <c r="UD287" s="2151"/>
      <c r="UE287" s="2151"/>
      <c r="UF287" s="2151"/>
      <c r="UG287" s="2151"/>
      <c r="UH287" s="2151"/>
      <c r="UI287" s="2151"/>
      <c r="UJ287" s="2151"/>
      <c r="UK287" s="2151"/>
      <c r="UL287" s="2151"/>
      <c r="UM287" s="2150"/>
      <c r="UN287" s="2151"/>
      <c r="UO287" s="2151"/>
      <c r="UP287" s="2151"/>
      <c r="UQ287" s="2151"/>
      <c r="UR287" s="2151"/>
      <c r="US287" s="2151"/>
      <c r="UT287" s="2151"/>
      <c r="UU287" s="2151"/>
      <c r="UV287" s="2151"/>
      <c r="UW287" s="2151"/>
      <c r="UX287" s="2151"/>
      <c r="UY287" s="2151"/>
      <c r="UZ287" s="2151"/>
      <c r="VA287" s="2151"/>
      <c r="VB287" s="2151"/>
      <c r="VC287" s="2150"/>
      <c r="VD287" s="2151"/>
      <c r="VE287" s="2151"/>
      <c r="VF287" s="2151"/>
      <c r="VG287" s="2151"/>
      <c r="VH287" s="2151"/>
      <c r="VI287" s="2151"/>
      <c r="VJ287" s="2151"/>
      <c r="VK287" s="2151"/>
      <c r="VL287" s="2151"/>
      <c r="VM287" s="2151"/>
      <c r="VN287" s="2151"/>
      <c r="VO287" s="2151"/>
      <c r="VP287" s="2151"/>
      <c r="VQ287" s="2151"/>
      <c r="VR287" s="2151"/>
      <c r="VS287" s="2150"/>
      <c r="VT287" s="2151"/>
      <c r="VU287" s="2151"/>
      <c r="VV287" s="2151"/>
      <c r="VW287" s="2151"/>
      <c r="VX287" s="2151"/>
      <c r="VY287" s="2151"/>
      <c r="VZ287" s="2151"/>
      <c r="WA287" s="2151"/>
      <c r="WB287" s="2151"/>
      <c r="WC287" s="2151"/>
      <c r="WD287" s="2151"/>
      <c r="WE287" s="2151"/>
      <c r="WF287" s="2151"/>
      <c r="WG287" s="2151"/>
      <c r="WH287" s="2151"/>
      <c r="WI287" s="2150"/>
      <c r="WJ287" s="2151"/>
      <c r="WK287" s="2151"/>
      <c r="WL287" s="2151"/>
      <c r="WM287" s="2151"/>
      <c r="WN287" s="2151"/>
      <c r="WO287" s="2151"/>
      <c r="WP287" s="2151"/>
      <c r="WQ287" s="2151"/>
      <c r="WR287" s="2151"/>
      <c r="WS287" s="2151"/>
      <c r="WT287" s="2151"/>
      <c r="WU287" s="2151"/>
      <c r="WV287" s="2151"/>
      <c r="WW287" s="2151"/>
      <c r="WX287" s="2151"/>
      <c r="WY287" s="2150"/>
      <c r="WZ287" s="2151"/>
      <c r="XA287" s="2151"/>
      <c r="XB287" s="2151"/>
      <c r="XC287" s="2151"/>
      <c r="XD287" s="2151"/>
      <c r="XE287" s="2151"/>
      <c r="XF287" s="2151"/>
      <c r="XG287" s="2151"/>
      <c r="XH287" s="2151"/>
      <c r="XI287" s="2151"/>
      <c r="XJ287" s="2151"/>
      <c r="XK287" s="2151"/>
      <c r="XL287" s="2151"/>
      <c r="XM287" s="2151"/>
      <c r="XN287" s="2151"/>
      <c r="XO287" s="2150"/>
      <c r="XP287" s="2151"/>
      <c r="XQ287" s="2151"/>
      <c r="XR287" s="2151"/>
      <c r="XS287" s="2151"/>
      <c r="XT287" s="2151"/>
      <c r="XU287" s="2151"/>
      <c r="XV287" s="2151"/>
      <c r="XW287" s="2151"/>
      <c r="XX287" s="2151"/>
      <c r="XY287" s="2151"/>
      <c r="XZ287" s="2151"/>
      <c r="YA287" s="2151"/>
      <c r="YB287" s="2151"/>
      <c r="YC287" s="2151"/>
      <c r="YD287" s="2151"/>
      <c r="YE287" s="2150"/>
      <c r="YF287" s="2151"/>
      <c r="YG287" s="2151"/>
      <c r="YH287" s="2151"/>
      <c r="YI287" s="2151"/>
      <c r="YJ287" s="2151"/>
      <c r="YK287" s="2151"/>
      <c r="YL287" s="2151"/>
      <c r="YM287" s="2151"/>
      <c r="YN287" s="2151"/>
      <c r="YO287" s="2151"/>
      <c r="YP287" s="2151"/>
      <c r="YQ287" s="2151"/>
      <c r="YR287" s="2151"/>
      <c r="YS287" s="2151"/>
      <c r="YT287" s="2151"/>
      <c r="YU287" s="2150"/>
      <c r="YV287" s="2151"/>
      <c r="YW287" s="2151"/>
      <c r="YX287" s="2151"/>
      <c r="YY287" s="2151"/>
      <c r="YZ287" s="2151"/>
      <c r="ZA287" s="2151"/>
      <c r="ZB287" s="2151"/>
      <c r="ZC287" s="2151"/>
      <c r="ZD287" s="2151"/>
      <c r="ZE287" s="2151"/>
      <c r="ZF287" s="2151"/>
      <c r="ZG287" s="2151"/>
      <c r="ZH287" s="2151"/>
      <c r="ZI287" s="2151"/>
      <c r="ZJ287" s="2151"/>
      <c r="ZK287" s="2150"/>
      <c r="ZL287" s="2151"/>
      <c r="ZM287" s="2151"/>
      <c r="ZN287" s="2151"/>
      <c r="ZO287" s="2151"/>
      <c r="ZP287" s="2151"/>
      <c r="ZQ287" s="2151"/>
      <c r="ZR287" s="2151"/>
      <c r="ZS287" s="2151"/>
      <c r="ZT287" s="2151"/>
      <c r="ZU287" s="2151"/>
      <c r="ZV287" s="2151"/>
      <c r="ZW287" s="2151"/>
      <c r="ZX287" s="2151"/>
      <c r="ZY287" s="2151"/>
      <c r="ZZ287" s="2151"/>
      <c r="AAA287" s="2150"/>
      <c r="AAB287" s="2151"/>
      <c r="AAC287" s="2151"/>
      <c r="AAD287" s="2151"/>
      <c r="AAE287" s="2151"/>
      <c r="AAF287" s="2151"/>
      <c r="AAG287" s="2151"/>
      <c r="AAH287" s="2151"/>
      <c r="AAI287" s="2151"/>
      <c r="AAJ287" s="2151"/>
      <c r="AAK287" s="2151"/>
      <c r="AAL287" s="2151"/>
      <c r="AAM287" s="2151"/>
      <c r="AAN287" s="2151"/>
      <c r="AAO287" s="2151"/>
      <c r="AAP287" s="2151"/>
      <c r="AAQ287" s="2150"/>
      <c r="AAR287" s="2151"/>
      <c r="AAS287" s="2151"/>
      <c r="AAT287" s="2151"/>
      <c r="AAU287" s="2151"/>
      <c r="AAV287" s="2151"/>
      <c r="AAW287" s="2151"/>
      <c r="AAX287" s="2151"/>
      <c r="AAY287" s="2151"/>
      <c r="AAZ287" s="2151"/>
      <c r="ABA287" s="2151"/>
      <c r="ABB287" s="2151"/>
      <c r="ABC287" s="2151"/>
      <c r="ABD287" s="2151"/>
      <c r="ABE287" s="2151"/>
      <c r="ABF287" s="2151"/>
      <c r="ABG287" s="2150"/>
      <c r="ABH287" s="2151"/>
      <c r="ABI287" s="2151"/>
      <c r="ABJ287" s="2151"/>
      <c r="ABK287" s="2151"/>
      <c r="ABL287" s="2151"/>
      <c r="ABM287" s="2151"/>
      <c r="ABN287" s="2151"/>
      <c r="ABO287" s="2151"/>
      <c r="ABP287" s="2151"/>
      <c r="ABQ287" s="2151"/>
      <c r="ABR287" s="2151"/>
      <c r="ABS287" s="2151"/>
      <c r="ABT287" s="2151"/>
      <c r="ABU287" s="2151"/>
      <c r="ABV287" s="2151"/>
      <c r="ABW287" s="2150"/>
      <c r="ABX287" s="2151"/>
      <c r="ABY287" s="2151"/>
      <c r="ABZ287" s="2151"/>
      <c r="ACA287" s="2151"/>
      <c r="ACB287" s="2151"/>
      <c r="ACC287" s="2151"/>
      <c r="ACD287" s="2151"/>
      <c r="ACE287" s="2151"/>
      <c r="ACF287" s="2151"/>
      <c r="ACG287" s="2151"/>
      <c r="ACH287" s="2151"/>
      <c r="ACI287" s="2151"/>
      <c r="ACJ287" s="2151"/>
      <c r="ACK287" s="2151"/>
      <c r="ACL287" s="2151"/>
      <c r="ACM287" s="2150"/>
      <c r="ACN287" s="2151"/>
      <c r="ACO287" s="2151"/>
      <c r="ACP287" s="2151"/>
      <c r="ACQ287" s="2151"/>
      <c r="ACR287" s="2151"/>
      <c r="ACS287" s="2151"/>
      <c r="ACT287" s="2151"/>
      <c r="ACU287" s="2151"/>
      <c r="ACV287" s="2151"/>
      <c r="ACW287" s="2151"/>
      <c r="ACX287" s="2151"/>
      <c r="ACY287" s="2151"/>
      <c r="ACZ287" s="2151"/>
      <c r="ADA287" s="2151"/>
      <c r="ADB287" s="2151"/>
      <c r="ADC287" s="2150"/>
      <c r="ADD287" s="2151"/>
      <c r="ADE287" s="2151"/>
      <c r="ADF287" s="2151"/>
      <c r="ADG287" s="2151"/>
      <c r="ADH287" s="2151"/>
      <c r="ADI287" s="2151"/>
      <c r="ADJ287" s="2151"/>
      <c r="ADK287" s="2151"/>
      <c r="ADL287" s="2151"/>
      <c r="ADM287" s="2151"/>
      <c r="ADN287" s="2151"/>
      <c r="ADO287" s="2151"/>
      <c r="ADP287" s="2151"/>
      <c r="ADQ287" s="2151"/>
      <c r="ADR287" s="2151"/>
      <c r="ADS287" s="2150"/>
      <c r="ADT287" s="2151"/>
      <c r="ADU287" s="2151"/>
      <c r="ADV287" s="2151"/>
      <c r="ADW287" s="2151"/>
      <c r="ADX287" s="2151"/>
      <c r="ADY287" s="2151"/>
      <c r="ADZ287" s="2151"/>
      <c r="AEA287" s="2151"/>
      <c r="AEB287" s="2151"/>
      <c r="AEC287" s="2151"/>
      <c r="AED287" s="2151"/>
      <c r="AEE287" s="2151"/>
      <c r="AEF287" s="2151"/>
      <c r="AEG287" s="2151"/>
      <c r="AEH287" s="2151"/>
      <c r="AEI287" s="2150"/>
      <c r="AEJ287" s="2151"/>
      <c r="AEK287" s="2151"/>
      <c r="AEL287" s="2151"/>
      <c r="AEM287" s="2151"/>
      <c r="AEN287" s="2151"/>
      <c r="AEO287" s="2151"/>
      <c r="AEP287" s="2151"/>
      <c r="AEQ287" s="2151"/>
      <c r="AER287" s="2151"/>
      <c r="AES287" s="2151"/>
      <c r="AET287" s="2151"/>
      <c r="AEU287" s="2151"/>
      <c r="AEV287" s="2151"/>
      <c r="AEW287" s="2151"/>
      <c r="AEX287" s="2151"/>
      <c r="AEY287" s="2150"/>
      <c r="AEZ287" s="2151"/>
      <c r="AFA287" s="2151"/>
      <c r="AFB287" s="2151"/>
      <c r="AFC287" s="2151"/>
      <c r="AFD287" s="2151"/>
      <c r="AFE287" s="2151"/>
      <c r="AFF287" s="2151"/>
      <c r="AFG287" s="2151"/>
      <c r="AFH287" s="2151"/>
      <c r="AFI287" s="2151"/>
      <c r="AFJ287" s="2151"/>
      <c r="AFK287" s="2151"/>
      <c r="AFL287" s="2151"/>
      <c r="AFM287" s="2151"/>
      <c r="AFN287" s="2151"/>
      <c r="AFO287" s="2150"/>
      <c r="AFP287" s="2151"/>
      <c r="AFQ287" s="2151"/>
      <c r="AFR287" s="2151"/>
      <c r="AFS287" s="2151"/>
      <c r="AFT287" s="2151"/>
      <c r="AFU287" s="2151"/>
      <c r="AFV287" s="2151"/>
      <c r="AFW287" s="2151"/>
      <c r="AFX287" s="2151"/>
      <c r="AFY287" s="2151"/>
      <c r="AFZ287" s="2151"/>
      <c r="AGA287" s="2151"/>
      <c r="AGB287" s="2151"/>
      <c r="AGC287" s="2151"/>
      <c r="AGD287" s="2151"/>
      <c r="AGE287" s="2150"/>
      <c r="AGF287" s="2151"/>
      <c r="AGG287" s="2151"/>
      <c r="AGH287" s="2151"/>
      <c r="AGI287" s="2151"/>
      <c r="AGJ287" s="2151"/>
      <c r="AGK287" s="2151"/>
      <c r="AGL287" s="2151"/>
      <c r="AGM287" s="2151"/>
      <c r="AGN287" s="2151"/>
      <c r="AGO287" s="2151"/>
      <c r="AGP287" s="2151"/>
      <c r="AGQ287" s="2151"/>
      <c r="AGR287" s="2151"/>
      <c r="AGS287" s="2151"/>
      <c r="AGT287" s="2151"/>
      <c r="AGU287" s="2150"/>
      <c r="AGV287" s="2151"/>
      <c r="AGW287" s="2151"/>
      <c r="AGX287" s="2151"/>
      <c r="AGY287" s="2151"/>
      <c r="AGZ287" s="2151"/>
      <c r="AHA287" s="2151"/>
      <c r="AHB287" s="2151"/>
      <c r="AHC287" s="2151"/>
      <c r="AHD287" s="2151"/>
      <c r="AHE287" s="2151"/>
      <c r="AHF287" s="2151"/>
      <c r="AHG287" s="2151"/>
      <c r="AHH287" s="2151"/>
      <c r="AHI287" s="2151"/>
      <c r="AHJ287" s="2151"/>
      <c r="AHK287" s="2150"/>
      <c r="AHL287" s="2151"/>
      <c r="AHM287" s="2151"/>
      <c r="AHN287" s="2151"/>
      <c r="AHO287" s="2151"/>
      <c r="AHP287" s="2151"/>
      <c r="AHQ287" s="2151"/>
      <c r="AHR287" s="2151"/>
      <c r="AHS287" s="2151"/>
      <c r="AHT287" s="2151"/>
      <c r="AHU287" s="2151"/>
      <c r="AHV287" s="2151"/>
      <c r="AHW287" s="2151"/>
      <c r="AHX287" s="2151"/>
      <c r="AHY287" s="2151"/>
      <c r="AHZ287" s="2151"/>
      <c r="AIA287" s="2150"/>
      <c r="AIB287" s="2151"/>
      <c r="AIC287" s="2151"/>
      <c r="AID287" s="2151"/>
      <c r="AIE287" s="2151"/>
      <c r="AIF287" s="2151"/>
      <c r="AIG287" s="2151"/>
      <c r="AIH287" s="2151"/>
      <c r="AII287" s="2151"/>
      <c r="AIJ287" s="2151"/>
      <c r="AIK287" s="2151"/>
      <c r="AIL287" s="2151"/>
      <c r="AIM287" s="2151"/>
      <c r="AIN287" s="2151"/>
      <c r="AIO287" s="2151"/>
      <c r="AIP287" s="2151"/>
      <c r="AIQ287" s="2150"/>
      <c r="AIR287" s="2151"/>
      <c r="AIS287" s="2151"/>
      <c r="AIT287" s="2151"/>
      <c r="AIU287" s="2151"/>
      <c r="AIV287" s="2151"/>
      <c r="AIW287" s="2151"/>
      <c r="AIX287" s="2151"/>
      <c r="AIY287" s="2151"/>
      <c r="AIZ287" s="2151"/>
      <c r="AJA287" s="2151"/>
      <c r="AJB287" s="2151"/>
      <c r="AJC287" s="2151"/>
      <c r="AJD287" s="2151"/>
      <c r="AJE287" s="2151"/>
      <c r="AJF287" s="2151"/>
      <c r="AJG287" s="2150"/>
      <c r="AJH287" s="2151"/>
      <c r="AJI287" s="2151"/>
      <c r="AJJ287" s="2151"/>
      <c r="AJK287" s="2151"/>
      <c r="AJL287" s="2151"/>
      <c r="AJM287" s="2151"/>
      <c r="AJN287" s="2151"/>
      <c r="AJO287" s="2151"/>
      <c r="AJP287" s="2151"/>
      <c r="AJQ287" s="2151"/>
      <c r="AJR287" s="2151"/>
      <c r="AJS287" s="2151"/>
      <c r="AJT287" s="2151"/>
      <c r="AJU287" s="2151"/>
      <c r="AJV287" s="2151"/>
      <c r="AJW287" s="2150"/>
      <c r="AJX287" s="2151"/>
      <c r="AJY287" s="2151"/>
      <c r="AJZ287" s="2151"/>
      <c r="AKA287" s="2151"/>
      <c r="AKB287" s="2151"/>
      <c r="AKC287" s="2151"/>
      <c r="AKD287" s="2151"/>
      <c r="AKE287" s="2151"/>
      <c r="AKF287" s="2151"/>
      <c r="AKG287" s="2151"/>
      <c r="AKH287" s="2151"/>
      <c r="AKI287" s="2151"/>
      <c r="AKJ287" s="2151"/>
      <c r="AKK287" s="2151"/>
      <c r="AKL287" s="2151"/>
      <c r="AKM287" s="2150"/>
      <c r="AKN287" s="2151"/>
      <c r="AKO287" s="2151"/>
      <c r="AKP287" s="2151"/>
      <c r="AKQ287" s="2151"/>
      <c r="AKR287" s="2151"/>
      <c r="AKS287" s="2151"/>
      <c r="AKT287" s="2151"/>
      <c r="AKU287" s="2151"/>
      <c r="AKV287" s="2151"/>
      <c r="AKW287" s="2151"/>
      <c r="AKX287" s="2151"/>
      <c r="AKY287" s="2151"/>
      <c r="AKZ287" s="2151"/>
      <c r="ALA287" s="2151"/>
      <c r="ALB287" s="2151"/>
      <c r="ALC287" s="2150"/>
      <c r="ALD287" s="2151"/>
      <c r="ALE287" s="2151"/>
      <c r="ALF287" s="2151"/>
      <c r="ALG287" s="2151"/>
      <c r="ALH287" s="2151"/>
      <c r="ALI287" s="2151"/>
      <c r="ALJ287" s="2151"/>
      <c r="ALK287" s="2151"/>
      <c r="ALL287" s="2151"/>
      <c r="ALM287" s="2151"/>
      <c r="ALN287" s="2151"/>
      <c r="ALO287" s="2151"/>
      <c r="ALP287" s="2151"/>
      <c r="ALQ287" s="2151"/>
      <c r="ALR287" s="2151"/>
      <c r="ALS287" s="2150"/>
      <c r="ALT287" s="2151"/>
      <c r="ALU287" s="2151"/>
      <c r="ALV287" s="2151"/>
      <c r="ALW287" s="2151"/>
      <c r="ALX287" s="2151"/>
      <c r="ALY287" s="2151"/>
      <c r="ALZ287" s="2151"/>
      <c r="AMA287" s="2151"/>
      <c r="AMB287" s="2151"/>
      <c r="AMC287" s="2151"/>
      <c r="AMD287" s="2151"/>
      <c r="AME287" s="2151"/>
      <c r="AMF287" s="2151"/>
      <c r="AMG287" s="2151"/>
      <c r="AMH287" s="2151"/>
      <c r="AMI287" s="2150"/>
      <c r="AMJ287" s="2151"/>
      <c r="AMK287" s="2151"/>
      <c r="AML287" s="2151"/>
      <c r="AMM287" s="2151"/>
      <c r="AMN287" s="2151"/>
      <c r="AMO287" s="2151"/>
      <c r="AMP287" s="2151"/>
      <c r="AMQ287" s="2151"/>
      <c r="AMR287" s="2151"/>
      <c r="AMS287" s="2151"/>
      <c r="AMT287" s="2151"/>
      <c r="AMU287" s="2151"/>
      <c r="AMV287" s="2151"/>
      <c r="AMW287" s="2151"/>
      <c r="AMX287" s="2151"/>
      <c r="AMY287" s="2150"/>
      <c r="AMZ287" s="2151"/>
      <c r="ANA287" s="2151"/>
      <c r="ANB287" s="2151"/>
      <c r="ANC287" s="2151"/>
      <c r="AND287" s="2151"/>
      <c r="ANE287" s="2151"/>
      <c r="ANF287" s="2151"/>
      <c r="ANG287" s="2151"/>
      <c r="ANH287" s="2151"/>
      <c r="ANI287" s="2151"/>
      <c r="ANJ287" s="2151"/>
      <c r="ANK287" s="2151"/>
      <c r="ANL287" s="2151"/>
      <c r="ANM287" s="2151"/>
      <c r="ANN287" s="2151"/>
      <c r="ANO287" s="2150"/>
      <c r="ANP287" s="2151"/>
      <c r="ANQ287" s="2151"/>
      <c r="ANR287" s="2151"/>
      <c r="ANS287" s="2151"/>
      <c r="ANT287" s="2151"/>
      <c r="ANU287" s="2151"/>
      <c r="ANV287" s="2151"/>
      <c r="ANW287" s="2151"/>
      <c r="ANX287" s="2151"/>
      <c r="ANY287" s="2151"/>
      <c r="ANZ287" s="2151"/>
      <c r="AOA287" s="2151"/>
      <c r="AOB287" s="2151"/>
      <c r="AOC287" s="2151"/>
      <c r="AOD287" s="2151"/>
      <c r="AOE287" s="2150"/>
      <c r="AOF287" s="2151"/>
      <c r="AOG287" s="2151"/>
      <c r="AOH287" s="2151"/>
      <c r="AOI287" s="2151"/>
      <c r="AOJ287" s="2151"/>
      <c r="AOK287" s="2151"/>
      <c r="AOL287" s="2151"/>
      <c r="AOM287" s="2151"/>
      <c r="AON287" s="2151"/>
      <c r="AOO287" s="2151"/>
      <c r="AOP287" s="2151"/>
      <c r="AOQ287" s="2151"/>
      <c r="AOR287" s="2151"/>
      <c r="AOS287" s="2151"/>
      <c r="AOT287" s="2151"/>
      <c r="AOU287" s="2150"/>
      <c r="AOV287" s="2151"/>
      <c r="AOW287" s="2151"/>
      <c r="AOX287" s="2151"/>
      <c r="AOY287" s="2151"/>
      <c r="AOZ287" s="2151"/>
      <c r="APA287" s="2151"/>
      <c r="APB287" s="2151"/>
      <c r="APC287" s="2151"/>
      <c r="APD287" s="2151"/>
      <c r="APE287" s="2151"/>
      <c r="APF287" s="2151"/>
      <c r="APG287" s="2151"/>
      <c r="APH287" s="2151"/>
      <c r="API287" s="2151"/>
      <c r="APJ287" s="2151"/>
      <c r="APK287" s="2150"/>
      <c r="APL287" s="2151"/>
      <c r="APM287" s="2151"/>
      <c r="APN287" s="2151"/>
      <c r="APO287" s="2151"/>
      <c r="APP287" s="2151"/>
      <c r="APQ287" s="2151"/>
      <c r="APR287" s="2151"/>
      <c r="APS287" s="2151"/>
      <c r="APT287" s="2151"/>
      <c r="APU287" s="2151"/>
      <c r="APV287" s="2151"/>
      <c r="APW287" s="2151"/>
      <c r="APX287" s="2151"/>
      <c r="APY287" s="2151"/>
      <c r="APZ287" s="2151"/>
      <c r="AQA287" s="2150"/>
      <c r="AQB287" s="2151"/>
      <c r="AQC287" s="2151"/>
      <c r="AQD287" s="2151"/>
      <c r="AQE287" s="2151"/>
      <c r="AQF287" s="2151"/>
      <c r="AQG287" s="2151"/>
      <c r="AQH287" s="2151"/>
      <c r="AQI287" s="2151"/>
      <c r="AQJ287" s="2151"/>
      <c r="AQK287" s="2151"/>
      <c r="AQL287" s="2151"/>
      <c r="AQM287" s="2151"/>
      <c r="AQN287" s="2151"/>
      <c r="AQO287" s="2151"/>
      <c r="AQP287" s="2151"/>
      <c r="AQQ287" s="2150"/>
      <c r="AQR287" s="2151"/>
      <c r="AQS287" s="2151"/>
      <c r="AQT287" s="2151"/>
      <c r="AQU287" s="2151"/>
      <c r="AQV287" s="2151"/>
      <c r="AQW287" s="2151"/>
      <c r="AQX287" s="2151"/>
      <c r="AQY287" s="2151"/>
      <c r="AQZ287" s="2151"/>
      <c r="ARA287" s="2151"/>
      <c r="ARB287" s="2151"/>
      <c r="ARC287" s="2151"/>
      <c r="ARD287" s="2151"/>
      <c r="ARE287" s="2151"/>
      <c r="ARF287" s="2151"/>
      <c r="ARG287" s="2150"/>
      <c r="ARH287" s="2151"/>
      <c r="ARI287" s="2151"/>
      <c r="ARJ287" s="2151"/>
      <c r="ARK287" s="2151"/>
      <c r="ARL287" s="2151"/>
      <c r="ARM287" s="2151"/>
      <c r="ARN287" s="2151"/>
      <c r="ARO287" s="2151"/>
      <c r="ARP287" s="2151"/>
      <c r="ARQ287" s="2151"/>
      <c r="ARR287" s="2151"/>
      <c r="ARS287" s="2151"/>
      <c r="ART287" s="2151"/>
      <c r="ARU287" s="2151"/>
      <c r="ARV287" s="2151"/>
      <c r="ARW287" s="2150"/>
      <c r="ARX287" s="2151"/>
      <c r="ARY287" s="2151"/>
      <c r="ARZ287" s="2151"/>
      <c r="ASA287" s="2151"/>
      <c r="ASB287" s="2151"/>
      <c r="ASC287" s="2151"/>
      <c r="ASD287" s="2151"/>
      <c r="ASE287" s="2151"/>
      <c r="ASF287" s="2151"/>
      <c r="ASG287" s="2151"/>
      <c r="ASH287" s="2151"/>
      <c r="ASI287" s="2151"/>
      <c r="ASJ287" s="2151"/>
      <c r="ASK287" s="2151"/>
      <c r="ASL287" s="2151"/>
      <c r="ASM287" s="2150"/>
      <c r="ASN287" s="2151"/>
      <c r="ASO287" s="2151"/>
      <c r="ASP287" s="2151"/>
      <c r="ASQ287" s="2151"/>
      <c r="ASR287" s="2151"/>
      <c r="ASS287" s="2151"/>
      <c r="AST287" s="2151"/>
      <c r="ASU287" s="2151"/>
      <c r="ASV287" s="2151"/>
      <c r="ASW287" s="2151"/>
      <c r="ASX287" s="2151"/>
      <c r="ASY287" s="2151"/>
      <c r="ASZ287" s="2151"/>
      <c r="ATA287" s="2151"/>
      <c r="ATB287" s="2151"/>
      <c r="ATC287" s="2150"/>
      <c r="ATD287" s="2151"/>
      <c r="ATE287" s="2151"/>
      <c r="ATF287" s="2151"/>
      <c r="ATG287" s="2151"/>
      <c r="ATH287" s="2151"/>
      <c r="ATI287" s="2151"/>
      <c r="ATJ287" s="2151"/>
      <c r="ATK287" s="2151"/>
      <c r="ATL287" s="2151"/>
      <c r="ATM287" s="2151"/>
      <c r="ATN287" s="2151"/>
      <c r="ATO287" s="2151"/>
      <c r="ATP287" s="2151"/>
      <c r="ATQ287" s="2151"/>
      <c r="ATR287" s="2151"/>
      <c r="ATS287" s="2150"/>
      <c r="ATT287" s="2151"/>
      <c r="ATU287" s="2151"/>
      <c r="ATV287" s="2151"/>
      <c r="ATW287" s="2151"/>
      <c r="ATX287" s="2151"/>
      <c r="ATY287" s="2151"/>
      <c r="ATZ287" s="2151"/>
      <c r="AUA287" s="2151"/>
      <c r="AUB287" s="2151"/>
      <c r="AUC287" s="2151"/>
      <c r="AUD287" s="2151"/>
      <c r="AUE287" s="2151"/>
      <c r="AUF287" s="2151"/>
      <c r="AUG287" s="2151"/>
      <c r="AUH287" s="2151"/>
      <c r="AUI287" s="2150"/>
      <c r="AUJ287" s="2151"/>
      <c r="AUK287" s="2151"/>
      <c r="AUL287" s="2151"/>
      <c r="AUM287" s="2151"/>
      <c r="AUN287" s="2151"/>
      <c r="AUO287" s="2151"/>
      <c r="AUP287" s="2151"/>
      <c r="AUQ287" s="2151"/>
      <c r="AUR287" s="2151"/>
      <c r="AUS287" s="2151"/>
      <c r="AUT287" s="2151"/>
      <c r="AUU287" s="2151"/>
      <c r="AUV287" s="2151"/>
      <c r="AUW287" s="2151"/>
      <c r="AUX287" s="2151"/>
      <c r="AUY287" s="2150"/>
      <c r="AUZ287" s="2151"/>
      <c r="AVA287" s="2151"/>
      <c r="AVB287" s="2151"/>
      <c r="AVC287" s="2151"/>
      <c r="AVD287" s="2151"/>
      <c r="AVE287" s="2151"/>
      <c r="AVF287" s="2151"/>
      <c r="AVG287" s="2151"/>
      <c r="AVH287" s="2151"/>
      <c r="AVI287" s="2151"/>
      <c r="AVJ287" s="2151"/>
      <c r="AVK287" s="2151"/>
      <c r="AVL287" s="2151"/>
      <c r="AVM287" s="2151"/>
      <c r="AVN287" s="2151"/>
      <c r="AVO287" s="2150"/>
      <c r="AVP287" s="2151"/>
      <c r="AVQ287" s="2151"/>
      <c r="AVR287" s="2151"/>
      <c r="AVS287" s="2151"/>
      <c r="AVT287" s="2151"/>
      <c r="AVU287" s="2151"/>
      <c r="AVV287" s="2151"/>
      <c r="AVW287" s="2151"/>
      <c r="AVX287" s="2151"/>
      <c r="AVY287" s="2151"/>
      <c r="AVZ287" s="2151"/>
      <c r="AWA287" s="2151"/>
      <c r="AWB287" s="2151"/>
      <c r="AWC287" s="2151"/>
      <c r="AWD287" s="2151"/>
      <c r="AWE287" s="2150"/>
      <c r="AWF287" s="2151"/>
      <c r="AWG287" s="2151"/>
      <c r="AWH287" s="2151"/>
      <c r="AWI287" s="2151"/>
      <c r="AWJ287" s="2151"/>
      <c r="AWK287" s="2151"/>
      <c r="AWL287" s="2151"/>
      <c r="AWM287" s="2151"/>
      <c r="AWN287" s="2151"/>
      <c r="AWO287" s="2151"/>
      <c r="AWP287" s="2151"/>
      <c r="AWQ287" s="2151"/>
      <c r="AWR287" s="2151"/>
      <c r="AWS287" s="2151"/>
      <c r="AWT287" s="2151"/>
      <c r="AWU287" s="2150"/>
      <c r="AWV287" s="2151"/>
      <c r="AWW287" s="2151"/>
      <c r="AWX287" s="2151"/>
      <c r="AWY287" s="2151"/>
      <c r="AWZ287" s="2151"/>
      <c r="AXA287" s="2151"/>
      <c r="AXB287" s="2151"/>
      <c r="AXC287" s="2151"/>
      <c r="AXD287" s="2151"/>
      <c r="AXE287" s="2151"/>
      <c r="AXF287" s="2151"/>
      <c r="AXG287" s="2151"/>
      <c r="AXH287" s="2151"/>
      <c r="AXI287" s="2151"/>
      <c r="AXJ287" s="2151"/>
      <c r="AXK287" s="2150"/>
      <c r="AXL287" s="2151"/>
      <c r="AXM287" s="2151"/>
      <c r="AXN287" s="2151"/>
      <c r="AXO287" s="2151"/>
      <c r="AXP287" s="2151"/>
      <c r="AXQ287" s="2151"/>
      <c r="AXR287" s="2151"/>
      <c r="AXS287" s="2151"/>
      <c r="AXT287" s="2151"/>
      <c r="AXU287" s="2151"/>
      <c r="AXV287" s="2151"/>
      <c r="AXW287" s="2151"/>
      <c r="AXX287" s="2151"/>
      <c r="AXY287" s="2151"/>
      <c r="AXZ287" s="2151"/>
      <c r="AYA287" s="2150"/>
      <c r="AYB287" s="2151"/>
      <c r="AYC287" s="2151"/>
      <c r="AYD287" s="2151"/>
      <c r="AYE287" s="2151"/>
      <c r="AYF287" s="2151"/>
      <c r="AYG287" s="2151"/>
      <c r="AYH287" s="2151"/>
      <c r="AYI287" s="2151"/>
      <c r="AYJ287" s="2151"/>
      <c r="AYK287" s="2151"/>
      <c r="AYL287" s="2151"/>
      <c r="AYM287" s="2151"/>
      <c r="AYN287" s="2151"/>
      <c r="AYO287" s="2151"/>
      <c r="AYP287" s="2151"/>
      <c r="AYQ287" s="2150"/>
      <c r="AYR287" s="2151"/>
      <c r="AYS287" s="2151"/>
      <c r="AYT287" s="2151"/>
      <c r="AYU287" s="2151"/>
      <c r="AYV287" s="2151"/>
      <c r="AYW287" s="2151"/>
      <c r="AYX287" s="2151"/>
      <c r="AYY287" s="2151"/>
      <c r="AYZ287" s="2151"/>
      <c r="AZA287" s="2151"/>
      <c r="AZB287" s="2151"/>
      <c r="AZC287" s="2151"/>
      <c r="AZD287" s="2151"/>
      <c r="AZE287" s="2151"/>
      <c r="AZF287" s="2151"/>
      <c r="AZG287" s="2150"/>
      <c r="AZH287" s="2151"/>
      <c r="AZI287" s="2151"/>
      <c r="AZJ287" s="2151"/>
      <c r="AZK287" s="2151"/>
      <c r="AZL287" s="2151"/>
      <c r="AZM287" s="2151"/>
      <c r="AZN287" s="2151"/>
      <c r="AZO287" s="2151"/>
      <c r="AZP287" s="2151"/>
      <c r="AZQ287" s="2151"/>
      <c r="AZR287" s="2151"/>
      <c r="AZS287" s="2151"/>
      <c r="AZT287" s="2151"/>
      <c r="AZU287" s="2151"/>
      <c r="AZV287" s="2151"/>
      <c r="AZW287" s="2150"/>
      <c r="AZX287" s="2151"/>
      <c r="AZY287" s="2151"/>
      <c r="AZZ287" s="2151"/>
      <c r="BAA287" s="2151"/>
      <c r="BAB287" s="2151"/>
      <c r="BAC287" s="2151"/>
      <c r="BAD287" s="2151"/>
      <c r="BAE287" s="2151"/>
      <c r="BAF287" s="2151"/>
      <c r="BAG287" s="2151"/>
      <c r="BAH287" s="2151"/>
      <c r="BAI287" s="2151"/>
      <c r="BAJ287" s="2151"/>
      <c r="BAK287" s="2151"/>
      <c r="BAL287" s="2151"/>
      <c r="BAM287" s="2150"/>
      <c r="BAN287" s="2151"/>
      <c r="BAO287" s="2151"/>
      <c r="BAP287" s="2151"/>
      <c r="BAQ287" s="2151"/>
      <c r="BAR287" s="2151"/>
      <c r="BAS287" s="2151"/>
      <c r="BAT287" s="2151"/>
      <c r="BAU287" s="2151"/>
      <c r="BAV287" s="2151"/>
      <c r="BAW287" s="2151"/>
      <c r="BAX287" s="2151"/>
      <c r="BAY287" s="2151"/>
      <c r="BAZ287" s="2151"/>
      <c r="BBA287" s="2151"/>
      <c r="BBB287" s="2151"/>
      <c r="BBC287" s="2150"/>
      <c r="BBD287" s="2151"/>
      <c r="BBE287" s="2151"/>
      <c r="BBF287" s="2151"/>
      <c r="BBG287" s="2151"/>
      <c r="BBH287" s="2151"/>
      <c r="BBI287" s="2151"/>
      <c r="BBJ287" s="2151"/>
      <c r="BBK287" s="2151"/>
      <c r="BBL287" s="2151"/>
      <c r="BBM287" s="2151"/>
      <c r="BBN287" s="2151"/>
      <c r="BBO287" s="2151"/>
      <c r="BBP287" s="2151"/>
      <c r="BBQ287" s="2151"/>
      <c r="BBR287" s="2151"/>
      <c r="BBS287" s="2150"/>
      <c r="BBT287" s="2151"/>
      <c r="BBU287" s="2151"/>
      <c r="BBV287" s="2151"/>
      <c r="BBW287" s="2151"/>
      <c r="BBX287" s="2151"/>
      <c r="BBY287" s="2151"/>
      <c r="BBZ287" s="2151"/>
      <c r="BCA287" s="2151"/>
      <c r="BCB287" s="2151"/>
      <c r="BCC287" s="2151"/>
      <c r="BCD287" s="2151"/>
      <c r="BCE287" s="2151"/>
      <c r="BCF287" s="2151"/>
      <c r="BCG287" s="2151"/>
      <c r="BCH287" s="2151"/>
      <c r="BCI287" s="2150"/>
      <c r="BCJ287" s="2151"/>
      <c r="BCK287" s="2151"/>
      <c r="BCL287" s="2151"/>
      <c r="BCM287" s="2151"/>
      <c r="BCN287" s="2151"/>
      <c r="BCO287" s="2151"/>
      <c r="BCP287" s="2151"/>
      <c r="BCQ287" s="2151"/>
      <c r="BCR287" s="2151"/>
      <c r="BCS287" s="2151"/>
      <c r="BCT287" s="2151"/>
      <c r="BCU287" s="2151"/>
      <c r="BCV287" s="2151"/>
      <c r="BCW287" s="2151"/>
      <c r="BCX287" s="2151"/>
      <c r="BCY287" s="2150"/>
      <c r="BCZ287" s="2151"/>
      <c r="BDA287" s="2151"/>
      <c r="BDB287" s="2151"/>
      <c r="BDC287" s="2151"/>
      <c r="BDD287" s="2151"/>
      <c r="BDE287" s="2151"/>
      <c r="BDF287" s="2151"/>
      <c r="BDG287" s="2151"/>
      <c r="BDH287" s="2151"/>
      <c r="BDI287" s="2151"/>
      <c r="BDJ287" s="2151"/>
      <c r="BDK287" s="2151"/>
      <c r="BDL287" s="2151"/>
      <c r="BDM287" s="2151"/>
      <c r="BDN287" s="2151"/>
      <c r="BDO287" s="2150"/>
      <c r="BDP287" s="2151"/>
      <c r="BDQ287" s="2151"/>
      <c r="BDR287" s="2151"/>
      <c r="BDS287" s="2151"/>
      <c r="BDT287" s="2151"/>
      <c r="BDU287" s="2151"/>
      <c r="BDV287" s="2151"/>
      <c r="BDW287" s="2151"/>
      <c r="BDX287" s="2151"/>
      <c r="BDY287" s="2151"/>
      <c r="BDZ287" s="2151"/>
      <c r="BEA287" s="2151"/>
      <c r="BEB287" s="2151"/>
      <c r="BEC287" s="2151"/>
      <c r="BED287" s="2151"/>
      <c r="BEE287" s="2150"/>
      <c r="BEF287" s="2151"/>
      <c r="BEG287" s="2151"/>
      <c r="BEH287" s="2151"/>
      <c r="BEI287" s="2151"/>
      <c r="BEJ287" s="2151"/>
      <c r="BEK287" s="2151"/>
      <c r="BEL287" s="2151"/>
      <c r="BEM287" s="2151"/>
      <c r="BEN287" s="2151"/>
      <c r="BEO287" s="2151"/>
      <c r="BEP287" s="2151"/>
      <c r="BEQ287" s="2151"/>
      <c r="BER287" s="2151"/>
      <c r="BES287" s="2151"/>
      <c r="BET287" s="2151"/>
      <c r="BEU287" s="2150"/>
      <c r="BEV287" s="2151"/>
      <c r="BEW287" s="2151"/>
      <c r="BEX287" s="2151"/>
      <c r="BEY287" s="2151"/>
      <c r="BEZ287" s="2151"/>
      <c r="BFA287" s="2151"/>
      <c r="BFB287" s="2151"/>
      <c r="BFC287" s="2151"/>
      <c r="BFD287" s="2151"/>
      <c r="BFE287" s="2151"/>
      <c r="BFF287" s="2151"/>
      <c r="BFG287" s="2151"/>
      <c r="BFH287" s="2151"/>
      <c r="BFI287" s="2151"/>
      <c r="BFJ287" s="2151"/>
      <c r="BFK287" s="2150"/>
      <c r="BFL287" s="2151"/>
      <c r="BFM287" s="2151"/>
      <c r="BFN287" s="2151"/>
      <c r="BFO287" s="2151"/>
      <c r="BFP287" s="2151"/>
      <c r="BFQ287" s="2151"/>
      <c r="BFR287" s="2151"/>
      <c r="BFS287" s="2151"/>
      <c r="BFT287" s="2151"/>
      <c r="BFU287" s="2151"/>
      <c r="BFV287" s="2151"/>
      <c r="BFW287" s="2151"/>
      <c r="BFX287" s="2151"/>
      <c r="BFY287" s="2151"/>
      <c r="BFZ287" s="2151"/>
      <c r="BGA287" s="2150"/>
      <c r="BGB287" s="2151"/>
      <c r="BGC287" s="2151"/>
      <c r="BGD287" s="2151"/>
      <c r="BGE287" s="2151"/>
      <c r="BGF287" s="2151"/>
      <c r="BGG287" s="2151"/>
      <c r="BGH287" s="2151"/>
      <c r="BGI287" s="2151"/>
      <c r="BGJ287" s="2151"/>
      <c r="BGK287" s="2151"/>
      <c r="BGL287" s="2151"/>
      <c r="BGM287" s="2151"/>
      <c r="BGN287" s="2151"/>
      <c r="BGO287" s="2151"/>
      <c r="BGP287" s="2151"/>
      <c r="BGQ287" s="2150"/>
      <c r="BGR287" s="2151"/>
      <c r="BGS287" s="2151"/>
      <c r="BGT287" s="2151"/>
      <c r="BGU287" s="2151"/>
      <c r="BGV287" s="2151"/>
      <c r="BGW287" s="2151"/>
      <c r="BGX287" s="2151"/>
      <c r="BGY287" s="2151"/>
      <c r="BGZ287" s="2151"/>
      <c r="BHA287" s="2151"/>
      <c r="BHB287" s="2151"/>
      <c r="BHC287" s="2151"/>
      <c r="BHD287" s="2151"/>
      <c r="BHE287" s="2151"/>
      <c r="BHF287" s="2151"/>
      <c r="BHG287" s="2150"/>
      <c r="BHH287" s="2151"/>
      <c r="BHI287" s="2151"/>
      <c r="BHJ287" s="2151"/>
      <c r="BHK287" s="2151"/>
      <c r="BHL287" s="2151"/>
      <c r="BHM287" s="2151"/>
      <c r="BHN287" s="2151"/>
      <c r="BHO287" s="2151"/>
      <c r="BHP287" s="2151"/>
      <c r="BHQ287" s="2151"/>
      <c r="BHR287" s="2151"/>
      <c r="BHS287" s="2151"/>
      <c r="BHT287" s="2151"/>
      <c r="BHU287" s="2151"/>
      <c r="BHV287" s="2151"/>
      <c r="BHW287" s="2150"/>
      <c r="BHX287" s="2151"/>
      <c r="BHY287" s="2151"/>
      <c r="BHZ287" s="2151"/>
      <c r="BIA287" s="2151"/>
      <c r="BIB287" s="2151"/>
      <c r="BIC287" s="2151"/>
      <c r="BID287" s="2151"/>
      <c r="BIE287" s="2151"/>
      <c r="BIF287" s="2151"/>
      <c r="BIG287" s="2151"/>
      <c r="BIH287" s="2151"/>
      <c r="BII287" s="2151"/>
      <c r="BIJ287" s="2151"/>
      <c r="BIK287" s="2151"/>
      <c r="BIL287" s="2151"/>
      <c r="BIM287" s="2150"/>
      <c r="BIN287" s="2151"/>
      <c r="BIO287" s="2151"/>
      <c r="BIP287" s="2151"/>
      <c r="BIQ287" s="2151"/>
      <c r="BIR287" s="2151"/>
      <c r="BIS287" s="2151"/>
      <c r="BIT287" s="2151"/>
      <c r="BIU287" s="2151"/>
      <c r="BIV287" s="2151"/>
      <c r="BIW287" s="2151"/>
      <c r="BIX287" s="2151"/>
      <c r="BIY287" s="2151"/>
      <c r="BIZ287" s="2151"/>
      <c r="BJA287" s="2151"/>
      <c r="BJB287" s="2151"/>
      <c r="BJC287" s="2150"/>
      <c r="BJD287" s="2151"/>
      <c r="BJE287" s="2151"/>
      <c r="BJF287" s="2151"/>
      <c r="BJG287" s="2151"/>
      <c r="BJH287" s="2151"/>
      <c r="BJI287" s="2151"/>
      <c r="BJJ287" s="2151"/>
      <c r="BJK287" s="2151"/>
      <c r="BJL287" s="2151"/>
      <c r="BJM287" s="2151"/>
      <c r="BJN287" s="2151"/>
      <c r="BJO287" s="2151"/>
      <c r="BJP287" s="2151"/>
      <c r="BJQ287" s="2151"/>
      <c r="BJR287" s="2151"/>
      <c r="BJS287" s="2150"/>
      <c r="BJT287" s="2151"/>
      <c r="BJU287" s="2151"/>
      <c r="BJV287" s="2151"/>
      <c r="BJW287" s="2151"/>
      <c r="BJX287" s="2151"/>
      <c r="BJY287" s="2151"/>
      <c r="BJZ287" s="2151"/>
      <c r="BKA287" s="2151"/>
      <c r="BKB287" s="2151"/>
      <c r="BKC287" s="2151"/>
      <c r="BKD287" s="2151"/>
      <c r="BKE287" s="2151"/>
      <c r="BKF287" s="2151"/>
      <c r="BKG287" s="2151"/>
      <c r="BKH287" s="2151"/>
      <c r="BKI287" s="2150"/>
      <c r="BKJ287" s="2151"/>
      <c r="BKK287" s="2151"/>
      <c r="BKL287" s="2151"/>
      <c r="BKM287" s="2151"/>
      <c r="BKN287" s="2151"/>
      <c r="BKO287" s="2151"/>
      <c r="BKP287" s="2151"/>
      <c r="BKQ287" s="2151"/>
      <c r="BKR287" s="2151"/>
      <c r="BKS287" s="2151"/>
      <c r="BKT287" s="2151"/>
      <c r="BKU287" s="2151"/>
      <c r="BKV287" s="2151"/>
      <c r="BKW287" s="2151"/>
      <c r="BKX287" s="2151"/>
      <c r="BKY287" s="2150"/>
      <c r="BKZ287" s="2151"/>
      <c r="BLA287" s="2151"/>
      <c r="BLB287" s="2151"/>
      <c r="BLC287" s="2151"/>
      <c r="BLD287" s="2151"/>
      <c r="BLE287" s="2151"/>
      <c r="BLF287" s="2151"/>
      <c r="BLG287" s="2151"/>
      <c r="BLH287" s="2151"/>
      <c r="BLI287" s="2151"/>
      <c r="BLJ287" s="2151"/>
      <c r="BLK287" s="2151"/>
      <c r="BLL287" s="2151"/>
      <c r="BLM287" s="2151"/>
      <c r="BLN287" s="2151"/>
      <c r="BLO287" s="2150"/>
      <c r="BLP287" s="2151"/>
      <c r="BLQ287" s="2151"/>
      <c r="BLR287" s="2151"/>
      <c r="BLS287" s="2151"/>
      <c r="BLT287" s="2151"/>
      <c r="BLU287" s="2151"/>
      <c r="BLV287" s="2151"/>
      <c r="BLW287" s="2151"/>
      <c r="BLX287" s="2151"/>
      <c r="BLY287" s="2151"/>
      <c r="BLZ287" s="2151"/>
      <c r="BMA287" s="2151"/>
      <c r="BMB287" s="2151"/>
      <c r="BMC287" s="2151"/>
      <c r="BMD287" s="2151"/>
      <c r="BME287" s="2150"/>
      <c r="BMF287" s="2151"/>
      <c r="BMG287" s="2151"/>
      <c r="BMH287" s="2151"/>
      <c r="BMI287" s="2151"/>
      <c r="BMJ287" s="2151"/>
      <c r="BMK287" s="2151"/>
      <c r="BML287" s="2151"/>
      <c r="BMM287" s="2151"/>
      <c r="BMN287" s="2151"/>
      <c r="BMO287" s="2151"/>
      <c r="BMP287" s="2151"/>
      <c r="BMQ287" s="2151"/>
      <c r="BMR287" s="2151"/>
      <c r="BMS287" s="2151"/>
      <c r="BMT287" s="2151"/>
      <c r="BMU287" s="2150"/>
      <c r="BMV287" s="2151"/>
      <c r="BMW287" s="2151"/>
      <c r="BMX287" s="2151"/>
      <c r="BMY287" s="2151"/>
      <c r="BMZ287" s="2151"/>
      <c r="BNA287" s="2151"/>
      <c r="BNB287" s="2151"/>
      <c r="BNC287" s="2151"/>
      <c r="BND287" s="2151"/>
      <c r="BNE287" s="2151"/>
      <c r="BNF287" s="2151"/>
      <c r="BNG287" s="2151"/>
      <c r="BNH287" s="2151"/>
      <c r="BNI287" s="2151"/>
      <c r="BNJ287" s="2151"/>
      <c r="BNK287" s="2150"/>
      <c r="BNL287" s="2151"/>
      <c r="BNM287" s="2151"/>
      <c r="BNN287" s="2151"/>
      <c r="BNO287" s="2151"/>
      <c r="BNP287" s="2151"/>
      <c r="BNQ287" s="2151"/>
      <c r="BNR287" s="2151"/>
      <c r="BNS287" s="2151"/>
      <c r="BNT287" s="2151"/>
      <c r="BNU287" s="2151"/>
      <c r="BNV287" s="2151"/>
      <c r="BNW287" s="2151"/>
      <c r="BNX287" s="2151"/>
      <c r="BNY287" s="2151"/>
      <c r="BNZ287" s="2151"/>
      <c r="BOA287" s="2150"/>
      <c r="BOB287" s="2151"/>
      <c r="BOC287" s="2151"/>
      <c r="BOD287" s="2151"/>
      <c r="BOE287" s="2151"/>
      <c r="BOF287" s="2151"/>
      <c r="BOG287" s="2151"/>
      <c r="BOH287" s="2151"/>
      <c r="BOI287" s="2151"/>
      <c r="BOJ287" s="2151"/>
      <c r="BOK287" s="2151"/>
      <c r="BOL287" s="2151"/>
      <c r="BOM287" s="2151"/>
      <c r="BON287" s="2151"/>
      <c r="BOO287" s="2151"/>
      <c r="BOP287" s="2151"/>
      <c r="BOQ287" s="2150"/>
      <c r="BOR287" s="2151"/>
      <c r="BOS287" s="2151"/>
      <c r="BOT287" s="2151"/>
      <c r="BOU287" s="2151"/>
      <c r="BOV287" s="2151"/>
      <c r="BOW287" s="2151"/>
      <c r="BOX287" s="2151"/>
      <c r="BOY287" s="2151"/>
      <c r="BOZ287" s="2151"/>
      <c r="BPA287" s="2151"/>
      <c r="BPB287" s="2151"/>
      <c r="BPC287" s="2151"/>
      <c r="BPD287" s="2151"/>
      <c r="BPE287" s="2151"/>
      <c r="BPF287" s="2151"/>
      <c r="BPG287" s="2150"/>
      <c r="BPH287" s="2151"/>
      <c r="BPI287" s="2151"/>
      <c r="BPJ287" s="2151"/>
      <c r="BPK287" s="2151"/>
      <c r="BPL287" s="2151"/>
      <c r="BPM287" s="2151"/>
      <c r="BPN287" s="2151"/>
      <c r="BPO287" s="2151"/>
      <c r="BPP287" s="2151"/>
      <c r="BPQ287" s="2151"/>
      <c r="BPR287" s="2151"/>
      <c r="BPS287" s="2151"/>
      <c r="BPT287" s="2151"/>
      <c r="BPU287" s="2151"/>
      <c r="BPV287" s="2151"/>
      <c r="BPW287" s="2150"/>
      <c r="BPX287" s="2151"/>
      <c r="BPY287" s="2151"/>
      <c r="BPZ287" s="2151"/>
      <c r="BQA287" s="2151"/>
      <c r="BQB287" s="2151"/>
      <c r="BQC287" s="2151"/>
      <c r="BQD287" s="2151"/>
      <c r="BQE287" s="2151"/>
      <c r="BQF287" s="2151"/>
      <c r="BQG287" s="2151"/>
      <c r="BQH287" s="2151"/>
      <c r="BQI287" s="2151"/>
      <c r="BQJ287" s="2151"/>
      <c r="BQK287" s="2151"/>
      <c r="BQL287" s="2151"/>
      <c r="BQM287" s="2150"/>
      <c r="BQN287" s="2151"/>
      <c r="BQO287" s="2151"/>
      <c r="BQP287" s="2151"/>
      <c r="BQQ287" s="2151"/>
      <c r="BQR287" s="2151"/>
      <c r="BQS287" s="2151"/>
      <c r="BQT287" s="2151"/>
      <c r="BQU287" s="2151"/>
      <c r="BQV287" s="2151"/>
      <c r="BQW287" s="2151"/>
      <c r="BQX287" s="2151"/>
      <c r="BQY287" s="2151"/>
      <c r="BQZ287" s="2151"/>
      <c r="BRA287" s="2151"/>
      <c r="BRB287" s="2151"/>
      <c r="BRC287" s="2150"/>
      <c r="BRD287" s="2151"/>
      <c r="BRE287" s="2151"/>
      <c r="BRF287" s="2151"/>
      <c r="BRG287" s="2151"/>
      <c r="BRH287" s="2151"/>
      <c r="BRI287" s="2151"/>
      <c r="BRJ287" s="2151"/>
      <c r="BRK287" s="2151"/>
      <c r="BRL287" s="2151"/>
      <c r="BRM287" s="2151"/>
      <c r="BRN287" s="2151"/>
      <c r="BRO287" s="2151"/>
      <c r="BRP287" s="2151"/>
      <c r="BRQ287" s="2151"/>
      <c r="BRR287" s="2151"/>
      <c r="BRS287" s="2150"/>
      <c r="BRT287" s="2151"/>
      <c r="BRU287" s="2151"/>
      <c r="BRV287" s="2151"/>
      <c r="BRW287" s="2151"/>
      <c r="BRX287" s="2151"/>
      <c r="BRY287" s="2151"/>
      <c r="BRZ287" s="2151"/>
      <c r="BSA287" s="2151"/>
      <c r="BSB287" s="2151"/>
      <c r="BSC287" s="2151"/>
      <c r="BSD287" s="2151"/>
      <c r="BSE287" s="2151"/>
      <c r="BSF287" s="2151"/>
      <c r="BSG287" s="2151"/>
      <c r="BSH287" s="2151"/>
      <c r="BSI287" s="2150"/>
      <c r="BSJ287" s="2151"/>
      <c r="BSK287" s="2151"/>
      <c r="BSL287" s="2151"/>
      <c r="BSM287" s="2151"/>
      <c r="BSN287" s="2151"/>
      <c r="BSO287" s="2151"/>
      <c r="BSP287" s="2151"/>
      <c r="BSQ287" s="2151"/>
      <c r="BSR287" s="2151"/>
      <c r="BSS287" s="2151"/>
      <c r="BST287" s="2151"/>
      <c r="BSU287" s="2151"/>
      <c r="BSV287" s="2151"/>
      <c r="BSW287" s="2151"/>
      <c r="BSX287" s="2151"/>
      <c r="BSY287" s="2150"/>
      <c r="BSZ287" s="2151"/>
      <c r="BTA287" s="2151"/>
      <c r="BTB287" s="2151"/>
      <c r="BTC287" s="2151"/>
      <c r="BTD287" s="2151"/>
      <c r="BTE287" s="2151"/>
      <c r="BTF287" s="2151"/>
      <c r="BTG287" s="2151"/>
      <c r="BTH287" s="2151"/>
      <c r="BTI287" s="2151"/>
      <c r="BTJ287" s="2151"/>
      <c r="BTK287" s="2151"/>
      <c r="BTL287" s="2151"/>
      <c r="BTM287" s="2151"/>
      <c r="BTN287" s="2151"/>
      <c r="BTO287" s="2150"/>
      <c r="BTP287" s="2151"/>
      <c r="BTQ287" s="2151"/>
      <c r="BTR287" s="2151"/>
      <c r="BTS287" s="2151"/>
      <c r="BTT287" s="2151"/>
      <c r="BTU287" s="2151"/>
      <c r="BTV287" s="2151"/>
      <c r="BTW287" s="2151"/>
      <c r="BTX287" s="2151"/>
      <c r="BTY287" s="2151"/>
      <c r="BTZ287" s="2151"/>
      <c r="BUA287" s="2151"/>
      <c r="BUB287" s="2151"/>
      <c r="BUC287" s="2151"/>
      <c r="BUD287" s="2151"/>
      <c r="BUE287" s="2150"/>
      <c r="BUF287" s="2151"/>
      <c r="BUG287" s="2151"/>
      <c r="BUH287" s="2151"/>
      <c r="BUI287" s="2151"/>
      <c r="BUJ287" s="2151"/>
      <c r="BUK287" s="2151"/>
      <c r="BUL287" s="2151"/>
      <c r="BUM287" s="2151"/>
      <c r="BUN287" s="2151"/>
      <c r="BUO287" s="2151"/>
      <c r="BUP287" s="2151"/>
      <c r="BUQ287" s="2151"/>
      <c r="BUR287" s="2151"/>
      <c r="BUS287" s="2151"/>
      <c r="BUT287" s="2151"/>
      <c r="BUU287" s="2150"/>
      <c r="BUV287" s="2151"/>
      <c r="BUW287" s="2151"/>
      <c r="BUX287" s="2151"/>
      <c r="BUY287" s="2151"/>
      <c r="BUZ287" s="2151"/>
      <c r="BVA287" s="2151"/>
      <c r="BVB287" s="2151"/>
      <c r="BVC287" s="2151"/>
      <c r="BVD287" s="2151"/>
      <c r="BVE287" s="2151"/>
      <c r="BVF287" s="2151"/>
      <c r="BVG287" s="2151"/>
      <c r="BVH287" s="2151"/>
      <c r="BVI287" s="2151"/>
      <c r="BVJ287" s="2151"/>
      <c r="BVK287" s="2150"/>
      <c r="BVL287" s="2151"/>
      <c r="BVM287" s="2151"/>
      <c r="BVN287" s="2151"/>
      <c r="BVO287" s="2151"/>
      <c r="BVP287" s="2151"/>
      <c r="BVQ287" s="2151"/>
      <c r="BVR287" s="2151"/>
      <c r="BVS287" s="2151"/>
      <c r="BVT287" s="2151"/>
      <c r="BVU287" s="2151"/>
      <c r="BVV287" s="2151"/>
      <c r="BVW287" s="2151"/>
      <c r="BVX287" s="2151"/>
      <c r="BVY287" s="2151"/>
      <c r="BVZ287" s="2151"/>
      <c r="BWA287" s="2150"/>
      <c r="BWB287" s="2151"/>
      <c r="BWC287" s="2151"/>
      <c r="BWD287" s="2151"/>
      <c r="BWE287" s="2151"/>
      <c r="BWF287" s="2151"/>
      <c r="BWG287" s="2151"/>
      <c r="BWH287" s="2151"/>
      <c r="BWI287" s="2151"/>
      <c r="BWJ287" s="2151"/>
      <c r="BWK287" s="2151"/>
      <c r="BWL287" s="2151"/>
      <c r="BWM287" s="2151"/>
      <c r="BWN287" s="2151"/>
      <c r="BWO287" s="2151"/>
      <c r="BWP287" s="2151"/>
      <c r="BWQ287" s="2150"/>
      <c r="BWR287" s="2151"/>
      <c r="BWS287" s="2151"/>
      <c r="BWT287" s="2151"/>
      <c r="BWU287" s="2151"/>
      <c r="BWV287" s="2151"/>
      <c r="BWW287" s="2151"/>
      <c r="BWX287" s="2151"/>
      <c r="BWY287" s="2151"/>
      <c r="BWZ287" s="2151"/>
      <c r="BXA287" s="2151"/>
      <c r="BXB287" s="2151"/>
      <c r="BXC287" s="2151"/>
      <c r="BXD287" s="2151"/>
      <c r="BXE287" s="2151"/>
      <c r="BXF287" s="2151"/>
      <c r="BXG287" s="2150"/>
      <c r="BXH287" s="2151"/>
      <c r="BXI287" s="2151"/>
      <c r="BXJ287" s="2151"/>
      <c r="BXK287" s="2151"/>
      <c r="BXL287" s="2151"/>
      <c r="BXM287" s="2151"/>
      <c r="BXN287" s="2151"/>
      <c r="BXO287" s="2151"/>
      <c r="BXP287" s="2151"/>
      <c r="BXQ287" s="2151"/>
      <c r="BXR287" s="2151"/>
      <c r="BXS287" s="2151"/>
      <c r="BXT287" s="2151"/>
      <c r="BXU287" s="2151"/>
      <c r="BXV287" s="2151"/>
      <c r="BXW287" s="2150"/>
      <c r="BXX287" s="2151"/>
      <c r="BXY287" s="2151"/>
      <c r="BXZ287" s="2151"/>
      <c r="BYA287" s="2151"/>
      <c r="BYB287" s="2151"/>
      <c r="BYC287" s="2151"/>
      <c r="BYD287" s="2151"/>
      <c r="BYE287" s="2151"/>
      <c r="BYF287" s="2151"/>
      <c r="BYG287" s="2151"/>
      <c r="BYH287" s="2151"/>
      <c r="BYI287" s="2151"/>
      <c r="BYJ287" s="2151"/>
      <c r="BYK287" s="2151"/>
      <c r="BYL287" s="2151"/>
      <c r="BYM287" s="2150"/>
      <c r="BYN287" s="2151"/>
      <c r="BYO287" s="2151"/>
      <c r="BYP287" s="2151"/>
      <c r="BYQ287" s="2151"/>
      <c r="BYR287" s="2151"/>
      <c r="BYS287" s="2151"/>
      <c r="BYT287" s="2151"/>
      <c r="BYU287" s="2151"/>
      <c r="BYV287" s="2151"/>
      <c r="BYW287" s="2151"/>
      <c r="BYX287" s="2151"/>
      <c r="BYY287" s="2151"/>
      <c r="BYZ287" s="2151"/>
      <c r="BZA287" s="2151"/>
      <c r="BZB287" s="2151"/>
      <c r="BZC287" s="2150"/>
      <c r="BZD287" s="2151"/>
      <c r="BZE287" s="2151"/>
      <c r="BZF287" s="2151"/>
      <c r="BZG287" s="2151"/>
      <c r="BZH287" s="2151"/>
      <c r="BZI287" s="2151"/>
      <c r="BZJ287" s="2151"/>
      <c r="BZK287" s="2151"/>
      <c r="BZL287" s="2151"/>
      <c r="BZM287" s="2151"/>
      <c r="BZN287" s="2151"/>
      <c r="BZO287" s="2151"/>
      <c r="BZP287" s="2151"/>
      <c r="BZQ287" s="2151"/>
      <c r="BZR287" s="2151"/>
      <c r="BZS287" s="2150"/>
      <c r="BZT287" s="2151"/>
      <c r="BZU287" s="2151"/>
      <c r="BZV287" s="2151"/>
      <c r="BZW287" s="2151"/>
      <c r="BZX287" s="2151"/>
      <c r="BZY287" s="2151"/>
      <c r="BZZ287" s="2151"/>
      <c r="CAA287" s="2151"/>
      <c r="CAB287" s="2151"/>
      <c r="CAC287" s="2151"/>
      <c r="CAD287" s="2151"/>
      <c r="CAE287" s="2151"/>
      <c r="CAF287" s="2151"/>
      <c r="CAG287" s="2151"/>
      <c r="CAH287" s="2151"/>
      <c r="CAI287" s="2150"/>
      <c r="CAJ287" s="2151"/>
      <c r="CAK287" s="2151"/>
      <c r="CAL287" s="2151"/>
      <c r="CAM287" s="2151"/>
      <c r="CAN287" s="2151"/>
      <c r="CAO287" s="2151"/>
      <c r="CAP287" s="2151"/>
      <c r="CAQ287" s="2151"/>
      <c r="CAR287" s="2151"/>
      <c r="CAS287" s="2151"/>
      <c r="CAT287" s="2151"/>
      <c r="CAU287" s="2151"/>
      <c r="CAV287" s="2151"/>
      <c r="CAW287" s="2151"/>
      <c r="CAX287" s="2151"/>
      <c r="CAY287" s="2150"/>
      <c r="CAZ287" s="2151"/>
      <c r="CBA287" s="2151"/>
      <c r="CBB287" s="2151"/>
      <c r="CBC287" s="2151"/>
      <c r="CBD287" s="2151"/>
      <c r="CBE287" s="2151"/>
      <c r="CBF287" s="2151"/>
      <c r="CBG287" s="2151"/>
      <c r="CBH287" s="2151"/>
      <c r="CBI287" s="2151"/>
      <c r="CBJ287" s="2151"/>
      <c r="CBK287" s="2151"/>
      <c r="CBL287" s="2151"/>
      <c r="CBM287" s="2151"/>
      <c r="CBN287" s="2151"/>
      <c r="CBO287" s="2150"/>
      <c r="CBP287" s="2151"/>
      <c r="CBQ287" s="2151"/>
      <c r="CBR287" s="2151"/>
      <c r="CBS287" s="2151"/>
      <c r="CBT287" s="2151"/>
      <c r="CBU287" s="2151"/>
      <c r="CBV287" s="2151"/>
      <c r="CBW287" s="2151"/>
      <c r="CBX287" s="2151"/>
      <c r="CBY287" s="2151"/>
      <c r="CBZ287" s="2151"/>
      <c r="CCA287" s="2151"/>
      <c r="CCB287" s="2151"/>
      <c r="CCC287" s="2151"/>
      <c r="CCD287" s="2151"/>
      <c r="CCE287" s="2150"/>
      <c r="CCF287" s="2151"/>
      <c r="CCG287" s="2151"/>
      <c r="CCH287" s="2151"/>
      <c r="CCI287" s="2151"/>
      <c r="CCJ287" s="2151"/>
      <c r="CCK287" s="2151"/>
      <c r="CCL287" s="2151"/>
      <c r="CCM287" s="2151"/>
      <c r="CCN287" s="2151"/>
      <c r="CCO287" s="2151"/>
      <c r="CCP287" s="2151"/>
      <c r="CCQ287" s="2151"/>
      <c r="CCR287" s="2151"/>
      <c r="CCS287" s="2151"/>
      <c r="CCT287" s="2151"/>
      <c r="CCU287" s="2150"/>
      <c r="CCV287" s="2151"/>
      <c r="CCW287" s="2151"/>
      <c r="CCX287" s="2151"/>
      <c r="CCY287" s="2151"/>
      <c r="CCZ287" s="2151"/>
      <c r="CDA287" s="2151"/>
      <c r="CDB287" s="2151"/>
      <c r="CDC287" s="2151"/>
      <c r="CDD287" s="2151"/>
      <c r="CDE287" s="2151"/>
      <c r="CDF287" s="2151"/>
      <c r="CDG287" s="2151"/>
      <c r="CDH287" s="2151"/>
      <c r="CDI287" s="2151"/>
      <c r="CDJ287" s="2151"/>
      <c r="CDK287" s="2150"/>
      <c r="CDL287" s="2151"/>
      <c r="CDM287" s="2151"/>
      <c r="CDN287" s="2151"/>
      <c r="CDO287" s="2151"/>
      <c r="CDP287" s="2151"/>
      <c r="CDQ287" s="2151"/>
      <c r="CDR287" s="2151"/>
      <c r="CDS287" s="2151"/>
      <c r="CDT287" s="2151"/>
      <c r="CDU287" s="2151"/>
      <c r="CDV287" s="2151"/>
      <c r="CDW287" s="2151"/>
      <c r="CDX287" s="2151"/>
      <c r="CDY287" s="2151"/>
      <c r="CDZ287" s="2151"/>
      <c r="CEA287" s="2150"/>
      <c r="CEB287" s="2151"/>
      <c r="CEC287" s="2151"/>
      <c r="CED287" s="2151"/>
      <c r="CEE287" s="2151"/>
      <c r="CEF287" s="2151"/>
      <c r="CEG287" s="2151"/>
      <c r="CEH287" s="2151"/>
      <c r="CEI287" s="2151"/>
      <c r="CEJ287" s="2151"/>
      <c r="CEK287" s="2151"/>
      <c r="CEL287" s="2151"/>
      <c r="CEM287" s="2151"/>
      <c r="CEN287" s="2151"/>
      <c r="CEO287" s="2151"/>
      <c r="CEP287" s="2151"/>
      <c r="CEQ287" s="2150"/>
      <c r="CER287" s="2151"/>
      <c r="CES287" s="2151"/>
      <c r="CET287" s="2151"/>
      <c r="CEU287" s="2151"/>
      <c r="CEV287" s="2151"/>
      <c r="CEW287" s="2151"/>
      <c r="CEX287" s="2151"/>
      <c r="CEY287" s="2151"/>
      <c r="CEZ287" s="2151"/>
      <c r="CFA287" s="2151"/>
      <c r="CFB287" s="2151"/>
      <c r="CFC287" s="2151"/>
      <c r="CFD287" s="2151"/>
      <c r="CFE287" s="2151"/>
      <c r="CFF287" s="2151"/>
      <c r="CFG287" s="2150"/>
      <c r="CFH287" s="2151"/>
      <c r="CFI287" s="2151"/>
      <c r="CFJ287" s="2151"/>
      <c r="CFK287" s="2151"/>
      <c r="CFL287" s="2151"/>
      <c r="CFM287" s="2151"/>
      <c r="CFN287" s="2151"/>
      <c r="CFO287" s="2151"/>
      <c r="CFP287" s="2151"/>
      <c r="CFQ287" s="2151"/>
      <c r="CFR287" s="2151"/>
      <c r="CFS287" s="2151"/>
      <c r="CFT287" s="2151"/>
      <c r="CFU287" s="2151"/>
      <c r="CFV287" s="2151"/>
      <c r="CFW287" s="2150"/>
      <c r="CFX287" s="2151"/>
      <c r="CFY287" s="2151"/>
      <c r="CFZ287" s="2151"/>
      <c r="CGA287" s="2151"/>
      <c r="CGB287" s="2151"/>
      <c r="CGC287" s="2151"/>
      <c r="CGD287" s="2151"/>
      <c r="CGE287" s="2151"/>
      <c r="CGF287" s="2151"/>
      <c r="CGG287" s="2151"/>
      <c r="CGH287" s="2151"/>
      <c r="CGI287" s="2151"/>
      <c r="CGJ287" s="2151"/>
      <c r="CGK287" s="2151"/>
      <c r="CGL287" s="2151"/>
      <c r="CGM287" s="2150"/>
      <c r="CGN287" s="2151"/>
      <c r="CGO287" s="2151"/>
      <c r="CGP287" s="2151"/>
      <c r="CGQ287" s="2151"/>
      <c r="CGR287" s="2151"/>
      <c r="CGS287" s="2151"/>
      <c r="CGT287" s="2151"/>
      <c r="CGU287" s="2151"/>
      <c r="CGV287" s="2151"/>
      <c r="CGW287" s="2151"/>
      <c r="CGX287" s="2151"/>
      <c r="CGY287" s="2151"/>
      <c r="CGZ287" s="2151"/>
      <c r="CHA287" s="2151"/>
      <c r="CHB287" s="2151"/>
      <c r="CHC287" s="2150"/>
      <c r="CHD287" s="2151"/>
      <c r="CHE287" s="2151"/>
      <c r="CHF287" s="2151"/>
      <c r="CHG287" s="2151"/>
      <c r="CHH287" s="2151"/>
      <c r="CHI287" s="2151"/>
      <c r="CHJ287" s="2151"/>
      <c r="CHK287" s="2151"/>
      <c r="CHL287" s="2151"/>
      <c r="CHM287" s="2151"/>
      <c r="CHN287" s="2151"/>
      <c r="CHO287" s="2151"/>
      <c r="CHP287" s="2151"/>
      <c r="CHQ287" s="2151"/>
      <c r="CHR287" s="2151"/>
      <c r="CHS287" s="2150"/>
      <c r="CHT287" s="2151"/>
      <c r="CHU287" s="2151"/>
      <c r="CHV287" s="2151"/>
      <c r="CHW287" s="2151"/>
      <c r="CHX287" s="2151"/>
      <c r="CHY287" s="2151"/>
      <c r="CHZ287" s="2151"/>
      <c r="CIA287" s="2151"/>
      <c r="CIB287" s="2151"/>
      <c r="CIC287" s="2151"/>
      <c r="CID287" s="2151"/>
      <c r="CIE287" s="2151"/>
      <c r="CIF287" s="2151"/>
      <c r="CIG287" s="2151"/>
      <c r="CIH287" s="2151"/>
      <c r="CII287" s="2150"/>
      <c r="CIJ287" s="2151"/>
      <c r="CIK287" s="2151"/>
      <c r="CIL287" s="2151"/>
      <c r="CIM287" s="2151"/>
      <c r="CIN287" s="2151"/>
      <c r="CIO287" s="2151"/>
      <c r="CIP287" s="2151"/>
      <c r="CIQ287" s="2151"/>
      <c r="CIR287" s="2151"/>
      <c r="CIS287" s="2151"/>
      <c r="CIT287" s="2151"/>
      <c r="CIU287" s="2151"/>
      <c r="CIV287" s="2151"/>
      <c r="CIW287" s="2151"/>
      <c r="CIX287" s="2151"/>
      <c r="CIY287" s="2150"/>
      <c r="CIZ287" s="2151"/>
      <c r="CJA287" s="2151"/>
      <c r="CJB287" s="2151"/>
      <c r="CJC287" s="2151"/>
      <c r="CJD287" s="2151"/>
      <c r="CJE287" s="2151"/>
      <c r="CJF287" s="2151"/>
      <c r="CJG287" s="2151"/>
      <c r="CJH287" s="2151"/>
      <c r="CJI287" s="2151"/>
      <c r="CJJ287" s="2151"/>
      <c r="CJK287" s="2151"/>
      <c r="CJL287" s="2151"/>
      <c r="CJM287" s="2151"/>
      <c r="CJN287" s="2151"/>
      <c r="CJO287" s="2150"/>
      <c r="CJP287" s="2151"/>
      <c r="CJQ287" s="2151"/>
      <c r="CJR287" s="2151"/>
      <c r="CJS287" s="2151"/>
      <c r="CJT287" s="2151"/>
      <c r="CJU287" s="2151"/>
      <c r="CJV287" s="2151"/>
      <c r="CJW287" s="2151"/>
      <c r="CJX287" s="2151"/>
      <c r="CJY287" s="2151"/>
      <c r="CJZ287" s="2151"/>
      <c r="CKA287" s="2151"/>
      <c r="CKB287" s="2151"/>
      <c r="CKC287" s="2151"/>
      <c r="CKD287" s="2151"/>
      <c r="CKE287" s="2150"/>
      <c r="CKF287" s="2151"/>
      <c r="CKG287" s="2151"/>
      <c r="CKH287" s="2151"/>
      <c r="CKI287" s="2151"/>
      <c r="CKJ287" s="2151"/>
      <c r="CKK287" s="2151"/>
      <c r="CKL287" s="2151"/>
      <c r="CKM287" s="2151"/>
      <c r="CKN287" s="2151"/>
      <c r="CKO287" s="2151"/>
      <c r="CKP287" s="2151"/>
      <c r="CKQ287" s="2151"/>
      <c r="CKR287" s="2151"/>
      <c r="CKS287" s="2151"/>
      <c r="CKT287" s="2151"/>
      <c r="CKU287" s="2150"/>
      <c r="CKV287" s="2151"/>
      <c r="CKW287" s="2151"/>
      <c r="CKX287" s="2151"/>
      <c r="CKY287" s="2151"/>
      <c r="CKZ287" s="2151"/>
      <c r="CLA287" s="2151"/>
      <c r="CLB287" s="2151"/>
      <c r="CLC287" s="2151"/>
      <c r="CLD287" s="2151"/>
      <c r="CLE287" s="2151"/>
      <c r="CLF287" s="2151"/>
      <c r="CLG287" s="2151"/>
      <c r="CLH287" s="2151"/>
      <c r="CLI287" s="2151"/>
      <c r="CLJ287" s="2151"/>
      <c r="CLK287" s="2150"/>
      <c r="CLL287" s="2151"/>
      <c r="CLM287" s="2151"/>
      <c r="CLN287" s="2151"/>
      <c r="CLO287" s="2151"/>
      <c r="CLP287" s="2151"/>
      <c r="CLQ287" s="2151"/>
      <c r="CLR287" s="2151"/>
      <c r="CLS287" s="2151"/>
      <c r="CLT287" s="2151"/>
      <c r="CLU287" s="2151"/>
      <c r="CLV287" s="2151"/>
      <c r="CLW287" s="2151"/>
      <c r="CLX287" s="2151"/>
      <c r="CLY287" s="2151"/>
      <c r="CLZ287" s="2151"/>
      <c r="CMA287" s="2150"/>
      <c r="CMB287" s="2151"/>
      <c r="CMC287" s="2151"/>
      <c r="CMD287" s="2151"/>
      <c r="CME287" s="2151"/>
      <c r="CMF287" s="2151"/>
      <c r="CMG287" s="2151"/>
      <c r="CMH287" s="2151"/>
      <c r="CMI287" s="2151"/>
      <c r="CMJ287" s="2151"/>
      <c r="CMK287" s="2151"/>
      <c r="CML287" s="2151"/>
      <c r="CMM287" s="2151"/>
      <c r="CMN287" s="2151"/>
      <c r="CMO287" s="2151"/>
      <c r="CMP287" s="2151"/>
      <c r="CMQ287" s="2150"/>
      <c r="CMR287" s="2151"/>
      <c r="CMS287" s="2151"/>
      <c r="CMT287" s="2151"/>
      <c r="CMU287" s="2151"/>
      <c r="CMV287" s="2151"/>
      <c r="CMW287" s="2151"/>
      <c r="CMX287" s="2151"/>
      <c r="CMY287" s="2151"/>
      <c r="CMZ287" s="2151"/>
      <c r="CNA287" s="2151"/>
      <c r="CNB287" s="2151"/>
      <c r="CNC287" s="2151"/>
      <c r="CND287" s="2151"/>
      <c r="CNE287" s="2151"/>
      <c r="CNF287" s="2151"/>
      <c r="CNG287" s="2150"/>
      <c r="CNH287" s="2151"/>
      <c r="CNI287" s="2151"/>
      <c r="CNJ287" s="2151"/>
      <c r="CNK287" s="2151"/>
      <c r="CNL287" s="2151"/>
      <c r="CNM287" s="2151"/>
      <c r="CNN287" s="2151"/>
      <c r="CNO287" s="2151"/>
      <c r="CNP287" s="2151"/>
      <c r="CNQ287" s="2151"/>
      <c r="CNR287" s="2151"/>
      <c r="CNS287" s="2151"/>
      <c r="CNT287" s="2151"/>
      <c r="CNU287" s="2151"/>
      <c r="CNV287" s="2151"/>
      <c r="CNW287" s="2150"/>
      <c r="CNX287" s="2151"/>
      <c r="CNY287" s="2151"/>
      <c r="CNZ287" s="2151"/>
      <c r="COA287" s="2151"/>
      <c r="COB287" s="2151"/>
      <c r="COC287" s="2151"/>
      <c r="COD287" s="2151"/>
      <c r="COE287" s="2151"/>
      <c r="COF287" s="2151"/>
      <c r="COG287" s="2151"/>
      <c r="COH287" s="2151"/>
      <c r="COI287" s="2151"/>
      <c r="COJ287" s="2151"/>
      <c r="COK287" s="2151"/>
      <c r="COL287" s="2151"/>
      <c r="COM287" s="2150"/>
      <c r="CON287" s="2151"/>
      <c r="COO287" s="2151"/>
      <c r="COP287" s="2151"/>
      <c r="COQ287" s="2151"/>
      <c r="COR287" s="2151"/>
      <c r="COS287" s="2151"/>
      <c r="COT287" s="2151"/>
      <c r="COU287" s="2151"/>
      <c r="COV287" s="2151"/>
      <c r="COW287" s="2151"/>
      <c r="COX287" s="2151"/>
      <c r="COY287" s="2151"/>
      <c r="COZ287" s="2151"/>
      <c r="CPA287" s="2151"/>
      <c r="CPB287" s="2151"/>
      <c r="CPC287" s="2150"/>
      <c r="CPD287" s="2151"/>
      <c r="CPE287" s="2151"/>
      <c r="CPF287" s="2151"/>
      <c r="CPG287" s="2151"/>
      <c r="CPH287" s="2151"/>
      <c r="CPI287" s="2151"/>
      <c r="CPJ287" s="2151"/>
      <c r="CPK287" s="2151"/>
      <c r="CPL287" s="2151"/>
      <c r="CPM287" s="2151"/>
      <c r="CPN287" s="2151"/>
      <c r="CPO287" s="2151"/>
      <c r="CPP287" s="2151"/>
      <c r="CPQ287" s="2151"/>
      <c r="CPR287" s="2151"/>
      <c r="CPS287" s="2150"/>
      <c r="CPT287" s="2151"/>
      <c r="CPU287" s="2151"/>
      <c r="CPV287" s="2151"/>
      <c r="CPW287" s="2151"/>
      <c r="CPX287" s="2151"/>
      <c r="CPY287" s="2151"/>
      <c r="CPZ287" s="2151"/>
      <c r="CQA287" s="2151"/>
      <c r="CQB287" s="2151"/>
      <c r="CQC287" s="2151"/>
      <c r="CQD287" s="2151"/>
      <c r="CQE287" s="2151"/>
      <c r="CQF287" s="2151"/>
      <c r="CQG287" s="2151"/>
      <c r="CQH287" s="2151"/>
      <c r="CQI287" s="2150"/>
      <c r="CQJ287" s="2151"/>
      <c r="CQK287" s="2151"/>
      <c r="CQL287" s="2151"/>
      <c r="CQM287" s="2151"/>
      <c r="CQN287" s="2151"/>
      <c r="CQO287" s="2151"/>
      <c r="CQP287" s="2151"/>
      <c r="CQQ287" s="2151"/>
      <c r="CQR287" s="2151"/>
      <c r="CQS287" s="2151"/>
      <c r="CQT287" s="2151"/>
      <c r="CQU287" s="2151"/>
      <c r="CQV287" s="2151"/>
      <c r="CQW287" s="2151"/>
      <c r="CQX287" s="2151"/>
      <c r="CQY287" s="2150"/>
      <c r="CQZ287" s="2151"/>
      <c r="CRA287" s="2151"/>
      <c r="CRB287" s="2151"/>
      <c r="CRC287" s="2151"/>
      <c r="CRD287" s="2151"/>
      <c r="CRE287" s="2151"/>
      <c r="CRF287" s="2151"/>
      <c r="CRG287" s="2151"/>
      <c r="CRH287" s="2151"/>
      <c r="CRI287" s="2151"/>
      <c r="CRJ287" s="2151"/>
      <c r="CRK287" s="2151"/>
      <c r="CRL287" s="2151"/>
      <c r="CRM287" s="2151"/>
      <c r="CRN287" s="2151"/>
      <c r="CRO287" s="2150"/>
      <c r="CRP287" s="2151"/>
      <c r="CRQ287" s="2151"/>
      <c r="CRR287" s="2151"/>
      <c r="CRS287" s="2151"/>
      <c r="CRT287" s="2151"/>
      <c r="CRU287" s="2151"/>
      <c r="CRV287" s="2151"/>
      <c r="CRW287" s="2151"/>
      <c r="CRX287" s="2151"/>
      <c r="CRY287" s="2151"/>
      <c r="CRZ287" s="2151"/>
      <c r="CSA287" s="2151"/>
      <c r="CSB287" s="2151"/>
      <c r="CSC287" s="2151"/>
      <c r="CSD287" s="2151"/>
      <c r="CSE287" s="2150"/>
      <c r="CSF287" s="2151"/>
      <c r="CSG287" s="2151"/>
      <c r="CSH287" s="2151"/>
      <c r="CSI287" s="2151"/>
      <c r="CSJ287" s="2151"/>
      <c r="CSK287" s="2151"/>
      <c r="CSL287" s="2151"/>
      <c r="CSM287" s="2151"/>
      <c r="CSN287" s="2151"/>
      <c r="CSO287" s="2151"/>
      <c r="CSP287" s="2151"/>
      <c r="CSQ287" s="2151"/>
      <c r="CSR287" s="2151"/>
      <c r="CSS287" s="2151"/>
      <c r="CST287" s="2151"/>
      <c r="CSU287" s="2150"/>
      <c r="CSV287" s="2151"/>
      <c r="CSW287" s="2151"/>
      <c r="CSX287" s="2151"/>
      <c r="CSY287" s="2151"/>
      <c r="CSZ287" s="2151"/>
      <c r="CTA287" s="2151"/>
      <c r="CTB287" s="2151"/>
      <c r="CTC287" s="2151"/>
      <c r="CTD287" s="2151"/>
      <c r="CTE287" s="2151"/>
      <c r="CTF287" s="2151"/>
      <c r="CTG287" s="2151"/>
      <c r="CTH287" s="2151"/>
      <c r="CTI287" s="2151"/>
      <c r="CTJ287" s="2151"/>
      <c r="CTK287" s="2150"/>
      <c r="CTL287" s="2151"/>
      <c r="CTM287" s="2151"/>
      <c r="CTN287" s="2151"/>
      <c r="CTO287" s="2151"/>
      <c r="CTP287" s="2151"/>
      <c r="CTQ287" s="2151"/>
      <c r="CTR287" s="2151"/>
      <c r="CTS287" s="2151"/>
      <c r="CTT287" s="2151"/>
      <c r="CTU287" s="2151"/>
      <c r="CTV287" s="2151"/>
      <c r="CTW287" s="2151"/>
      <c r="CTX287" s="2151"/>
      <c r="CTY287" s="2151"/>
      <c r="CTZ287" s="2151"/>
      <c r="CUA287" s="2150"/>
      <c r="CUB287" s="2151"/>
      <c r="CUC287" s="2151"/>
      <c r="CUD287" s="2151"/>
      <c r="CUE287" s="2151"/>
      <c r="CUF287" s="2151"/>
      <c r="CUG287" s="2151"/>
      <c r="CUH287" s="2151"/>
      <c r="CUI287" s="2151"/>
      <c r="CUJ287" s="2151"/>
      <c r="CUK287" s="2151"/>
      <c r="CUL287" s="2151"/>
      <c r="CUM287" s="2151"/>
      <c r="CUN287" s="2151"/>
      <c r="CUO287" s="2151"/>
      <c r="CUP287" s="2151"/>
      <c r="CUQ287" s="2150"/>
      <c r="CUR287" s="2151"/>
      <c r="CUS287" s="2151"/>
      <c r="CUT287" s="2151"/>
      <c r="CUU287" s="2151"/>
      <c r="CUV287" s="2151"/>
      <c r="CUW287" s="2151"/>
      <c r="CUX287" s="2151"/>
      <c r="CUY287" s="2151"/>
      <c r="CUZ287" s="2151"/>
      <c r="CVA287" s="2151"/>
      <c r="CVB287" s="2151"/>
      <c r="CVC287" s="2151"/>
      <c r="CVD287" s="2151"/>
      <c r="CVE287" s="2151"/>
      <c r="CVF287" s="2151"/>
      <c r="CVG287" s="2150"/>
      <c r="CVH287" s="2151"/>
      <c r="CVI287" s="2151"/>
      <c r="CVJ287" s="2151"/>
      <c r="CVK287" s="2151"/>
      <c r="CVL287" s="2151"/>
      <c r="CVM287" s="2151"/>
      <c r="CVN287" s="2151"/>
      <c r="CVO287" s="2151"/>
      <c r="CVP287" s="2151"/>
      <c r="CVQ287" s="2151"/>
      <c r="CVR287" s="2151"/>
      <c r="CVS287" s="2151"/>
      <c r="CVT287" s="2151"/>
      <c r="CVU287" s="2151"/>
      <c r="CVV287" s="2151"/>
      <c r="CVW287" s="2150"/>
      <c r="CVX287" s="2151"/>
      <c r="CVY287" s="2151"/>
      <c r="CVZ287" s="2151"/>
      <c r="CWA287" s="2151"/>
      <c r="CWB287" s="2151"/>
      <c r="CWC287" s="2151"/>
      <c r="CWD287" s="2151"/>
      <c r="CWE287" s="2151"/>
      <c r="CWF287" s="2151"/>
      <c r="CWG287" s="2151"/>
      <c r="CWH287" s="2151"/>
      <c r="CWI287" s="2151"/>
      <c r="CWJ287" s="2151"/>
      <c r="CWK287" s="2151"/>
      <c r="CWL287" s="2151"/>
      <c r="CWM287" s="2150"/>
      <c r="CWN287" s="2151"/>
      <c r="CWO287" s="2151"/>
      <c r="CWP287" s="2151"/>
      <c r="CWQ287" s="2151"/>
      <c r="CWR287" s="2151"/>
      <c r="CWS287" s="2151"/>
      <c r="CWT287" s="2151"/>
      <c r="CWU287" s="2151"/>
      <c r="CWV287" s="2151"/>
      <c r="CWW287" s="2151"/>
      <c r="CWX287" s="2151"/>
      <c r="CWY287" s="2151"/>
      <c r="CWZ287" s="2151"/>
      <c r="CXA287" s="2151"/>
      <c r="CXB287" s="2151"/>
      <c r="CXC287" s="2150"/>
      <c r="CXD287" s="2151"/>
      <c r="CXE287" s="2151"/>
      <c r="CXF287" s="2151"/>
      <c r="CXG287" s="2151"/>
      <c r="CXH287" s="2151"/>
      <c r="CXI287" s="2151"/>
      <c r="CXJ287" s="2151"/>
      <c r="CXK287" s="2151"/>
      <c r="CXL287" s="2151"/>
      <c r="CXM287" s="2151"/>
      <c r="CXN287" s="2151"/>
      <c r="CXO287" s="2151"/>
      <c r="CXP287" s="2151"/>
      <c r="CXQ287" s="2151"/>
      <c r="CXR287" s="2151"/>
      <c r="CXS287" s="2150"/>
      <c r="CXT287" s="2151"/>
      <c r="CXU287" s="2151"/>
      <c r="CXV287" s="2151"/>
      <c r="CXW287" s="2151"/>
      <c r="CXX287" s="2151"/>
      <c r="CXY287" s="2151"/>
      <c r="CXZ287" s="2151"/>
      <c r="CYA287" s="2151"/>
      <c r="CYB287" s="2151"/>
      <c r="CYC287" s="2151"/>
      <c r="CYD287" s="2151"/>
      <c r="CYE287" s="2151"/>
      <c r="CYF287" s="2151"/>
      <c r="CYG287" s="2151"/>
      <c r="CYH287" s="2151"/>
      <c r="CYI287" s="2150"/>
      <c r="CYJ287" s="2151"/>
      <c r="CYK287" s="2151"/>
      <c r="CYL287" s="2151"/>
      <c r="CYM287" s="2151"/>
      <c r="CYN287" s="2151"/>
      <c r="CYO287" s="2151"/>
      <c r="CYP287" s="2151"/>
      <c r="CYQ287" s="2151"/>
      <c r="CYR287" s="2151"/>
      <c r="CYS287" s="2151"/>
      <c r="CYT287" s="2151"/>
      <c r="CYU287" s="2151"/>
      <c r="CYV287" s="2151"/>
      <c r="CYW287" s="2151"/>
      <c r="CYX287" s="2151"/>
      <c r="CYY287" s="2150"/>
      <c r="CYZ287" s="2151"/>
      <c r="CZA287" s="2151"/>
      <c r="CZB287" s="2151"/>
      <c r="CZC287" s="2151"/>
      <c r="CZD287" s="2151"/>
      <c r="CZE287" s="2151"/>
      <c r="CZF287" s="2151"/>
      <c r="CZG287" s="2151"/>
      <c r="CZH287" s="2151"/>
      <c r="CZI287" s="2151"/>
      <c r="CZJ287" s="2151"/>
      <c r="CZK287" s="2151"/>
      <c r="CZL287" s="2151"/>
      <c r="CZM287" s="2151"/>
      <c r="CZN287" s="2151"/>
      <c r="CZO287" s="2150"/>
      <c r="CZP287" s="2151"/>
      <c r="CZQ287" s="2151"/>
      <c r="CZR287" s="2151"/>
      <c r="CZS287" s="2151"/>
      <c r="CZT287" s="2151"/>
      <c r="CZU287" s="2151"/>
      <c r="CZV287" s="2151"/>
      <c r="CZW287" s="2151"/>
      <c r="CZX287" s="2151"/>
      <c r="CZY287" s="2151"/>
      <c r="CZZ287" s="2151"/>
      <c r="DAA287" s="2151"/>
      <c r="DAB287" s="2151"/>
      <c r="DAC287" s="2151"/>
      <c r="DAD287" s="2151"/>
      <c r="DAE287" s="2150"/>
      <c r="DAF287" s="2151"/>
      <c r="DAG287" s="2151"/>
      <c r="DAH287" s="2151"/>
      <c r="DAI287" s="2151"/>
      <c r="DAJ287" s="2151"/>
      <c r="DAK287" s="2151"/>
      <c r="DAL287" s="2151"/>
      <c r="DAM287" s="2151"/>
      <c r="DAN287" s="2151"/>
      <c r="DAO287" s="2151"/>
      <c r="DAP287" s="2151"/>
      <c r="DAQ287" s="2151"/>
      <c r="DAR287" s="2151"/>
      <c r="DAS287" s="2151"/>
      <c r="DAT287" s="2151"/>
      <c r="DAU287" s="2150"/>
      <c r="DAV287" s="2151"/>
      <c r="DAW287" s="2151"/>
      <c r="DAX287" s="2151"/>
      <c r="DAY287" s="2151"/>
      <c r="DAZ287" s="2151"/>
      <c r="DBA287" s="2151"/>
      <c r="DBB287" s="2151"/>
      <c r="DBC287" s="2151"/>
      <c r="DBD287" s="2151"/>
      <c r="DBE287" s="2151"/>
      <c r="DBF287" s="2151"/>
      <c r="DBG287" s="2151"/>
      <c r="DBH287" s="2151"/>
      <c r="DBI287" s="2151"/>
      <c r="DBJ287" s="2151"/>
      <c r="DBK287" s="2150"/>
      <c r="DBL287" s="2151"/>
      <c r="DBM287" s="2151"/>
      <c r="DBN287" s="2151"/>
      <c r="DBO287" s="2151"/>
      <c r="DBP287" s="2151"/>
      <c r="DBQ287" s="2151"/>
      <c r="DBR287" s="2151"/>
      <c r="DBS287" s="2151"/>
      <c r="DBT287" s="2151"/>
      <c r="DBU287" s="2151"/>
      <c r="DBV287" s="2151"/>
      <c r="DBW287" s="2151"/>
      <c r="DBX287" s="2151"/>
      <c r="DBY287" s="2151"/>
      <c r="DBZ287" s="2151"/>
      <c r="DCA287" s="2150"/>
      <c r="DCB287" s="2151"/>
      <c r="DCC287" s="2151"/>
      <c r="DCD287" s="2151"/>
      <c r="DCE287" s="2151"/>
      <c r="DCF287" s="2151"/>
      <c r="DCG287" s="2151"/>
      <c r="DCH287" s="2151"/>
      <c r="DCI287" s="2151"/>
      <c r="DCJ287" s="2151"/>
      <c r="DCK287" s="2151"/>
      <c r="DCL287" s="2151"/>
      <c r="DCM287" s="2151"/>
      <c r="DCN287" s="2151"/>
      <c r="DCO287" s="2151"/>
      <c r="DCP287" s="2151"/>
      <c r="DCQ287" s="2150"/>
      <c r="DCR287" s="2151"/>
      <c r="DCS287" s="2151"/>
      <c r="DCT287" s="2151"/>
      <c r="DCU287" s="2151"/>
      <c r="DCV287" s="2151"/>
      <c r="DCW287" s="2151"/>
      <c r="DCX287" s="2151"/>
      <c r="DCY287" s="2151"/>
      <c r="DCZ287" s="2151"/>
      <c r="DDA287" s="2151"/>
      <c r="DDB287" s="2151"/>
      <c r="DDC287" s="2151"/>
      <c r="DDD287" s="2151"/>
      <c r="DDE287" s="2151"/>
      <c r="DDF287" s="2151"/>
      <c r="DDG287" s="2150"/>
      <c r="DDH287" s="2151"/>
      <c r="DDI287" s="2151"/>
      <c r="DDJ287" s="2151"/>
      <c r="DDK287" s="2151"/>
      <c r="DDL287" s="2151"/>
      <c r="DDM287" s="2151"/>
      <c r="DDN287" s="2151"/>
      <c r="DDO287" s="2151"/>
      <c r="DDP287" s="2151"/>
      <c r="DDQ287" s="2151"/>
      <c r="DDR287" s="2151"/>
      <c r="DDS287" s="2151"/>
      <c r="DDT287" s="2151"/>
      <c r="DDU287" s="2151"/>
      <c r="DDV287" s="2151"/>
      <c r="DDW287" s="2150"/>
      <c r="DDX287" s="2151"/>
      <c r="DDY287" s="2151"/>
      <c r="DDZ287" s="2151"/>
      <c r="DEA287" s="2151"/>
      <c r="DEB287" s="2151"/>
      <c r="DEC287" s="2151"/>
      <c r="DED287" s="2151"/>
      <c r="DEE287" s="2151"/>
      <c r="DEF287" s="2151"/>
      <c r="DEG287" s="2151"/>
      <c r="DEH287" s="2151"/>
      <c r="DEI287" s="2151"/>
      <c r="DEJ287" s="2151"/>
      <c r="DEK287" s="2151"/>
      <c r="DEL287" s="2151"/>
      <c r="DEM287" s="2150"/>
      <c r="DEN287" s="2151"/>
      <c r="DEO287" s="2151"/>
      <c r="DEP287" s="2151"/>
      <c r="DEQ287" s="2151"/>
      <c r="DER287" s="2151"/>
      <c r="DES287" s="2151"/>
      <c r="DET287" s="2151"/>
      <c r="DEU287" s="2151"/>
      <c r="DEV287" s="2151"/>
      <c r="DEW287" s="2151"/>
      <c r="DEX287" s="2151"/>
      <c r="DEY287" s="2151"/>
      <c r="DEZ287" s="2151"/>
      <c r="DFA287" s="2151"/>
      <c r="DFB287" s="2151"/>
      <c r="DFC287" s="2150"/>
      <c r="DFD287" s="2151"/>
      <c r="DFE287" s="2151"/>
      <c r="DFF287" s="2151"/>
      <c r="DFG287" s="2151"/>
      <c r="DFH287" s="2151"/>
      <c r="DFI287" s="2151"/>
      <c r="DFJ287" s="2151"/>
      <c r="DFK287" s="2151"/>
      <c r="DFL287" s="2151"/>
      <c r="DFM287" s="2151"/>
      <c r="DFN287" s="2151"/>
      <c r="DFO287" s="2151"/>
      <c r="DFP287" s="2151"/>
      <c r="DFQ287" s="2151"/>
      <c r="DFR287" s="2151"/>
      <c r="DFS287" s="2150"/>
      <c r="DFT287" s="2151"/>
      <c r="DFU287" s="2151"/>
      <c r="DFV287" s="2151"/>
      <c r="DFW287" s="2151"/>
      <c r="DFX287" s="2151"/>
      <c r="DFY287" s="2151"/>
      <c r="DFZ287" s="2151"/>
      <c r="DGA287" s="2151"/>
      <c r="DGB287" s="2151"/>
      <c r="DGC287" s="2151"/>
      <c r="DGD287" s="2151"/>
      <c r="DGE287" s="2151"/>
      <c r="DGF287" s="2151"/>
      <c r="DGG287" s="2151"/>
      <c r="DGH287" s="2151"/>
      <c r="DGI287" s="2150"/>
      <c r="DGJ287" s="2151"/>
      <c r="DGK287" s="2151"/>
      <c r="DGL287" s="2151"/>
      <c r="DGM287" s="2151"/>
      <c r="DGN287" s="2151"/>
      <c r="DGO287" s="2151"/>
      <c r="DGP287" s="2151"/>
      <c r="DGQ287" s="2151"/>
      <c r="DGR287" s="2151"/>
      <c r="DGS287" s="2151"/>
      <c r="DGT287" s="2151"/>
      <c r="DGU287" s="2151"/>
      <c r="DGV287" s="2151"/>
      <c r="DGW287" s="2151"/>
      <c r="DGX287" s="2151"/>
      <c r="DGY287" s="2150"/>
      <c r="DGZ287" s="2151"/>
      <c r="DHA287" s="2151"/>
      <c r="DHB287" s="2151"/>
      <c r="DHC287" s="2151"/>
      <c r="DHD287" s="2151"/>
      <c r="DHE287" s="2151"/>
      <c r="DHF287" s="2151"/>
      <c r="DHG287" s="2151"/>
      <c r="DHH287" s="2151"/>
      <c r="DHI287" s="2151"/>
      <c r="DHJ287" s="2151"/>
      <c r="DHK287" s="2151"/>
      <c r="DHL287" s="2151"/>
      <c r="DHM287" s="2151"/>
      <c r="DHN287" s="2151"/>
      <c r="DHO287" s="2150"/>
      <c r="DHP287" s="2151"/>
      <c r="DHQ287" s="2151"/>
      <c r="DHR287" s="2151"/>
      <c r="DHS287" s="2151"/>
      <c r="DHT287" s="2151"/>
      <c r="DHU287" s="2151"/>
      <c r="DHV287" s="2151"/>
      <c r="DHW287" s="2151"/>
      <c r="DHX287" s="2151"/>
      <c r="DHY287" s="2151"/>
      <c r="DHZ287" s="2151"/>
      <c r="DIA287" s="2151"/>
      <c r="DIB287" s="2151"/>
      <c r="DIC287" s="2151"/>
      <c r="DID287" s="2151"/>
      <c r="DIE287" s="2150"/>
      <c r="DIF287" s="2151"/>
      <c r="DIG287" s="2151"/>
      <c r="DIH287" s="2151"/>
      <c r="DII287" s="2151"/>
      <c r="DIJ287" s="2151"/>
      <c r="DIK287" s="2151"/>
      <c r="DIL287" s="2151"/>
      <c r="DIM287" s="2151"/>
      <c r="DIN287" s="2151"/>
      <c r="DIO287" s="2151"/>
      <c r="DIP287" s="2151"/>
      <c r="DIQ287" s="2151"/>
      <c r="DIR287" s="2151"/>
      <c r="DIS287" s="2151"/>
      <c r="DIT287" s="2151"/>
      <c r="DIU287" s="2150"/>
      <c r="DIV287" s="2151"/>
      <c r="DIW287" s="2151"/>
      <c r="DIX287" s="2151"/>
      <c r="DIY287" s="2151"/>
      <c r="DIZ287" s="2151"/>
      <c r="DJA287" s="2151"/>
      <c r="DJB287" s="2151"/>
      <c r="DJC287" s="2151"/>
      <c r="DJD287" s="2151"/>
      <c r="DJE287" s="2151"/>
      <c r="DJF287" s="2151"/>
      <c r="DJG287" s="2151"/>
      <c r="DJH287" s="2151"/>
      <c r="DJI287" s="2151"/>
      <c r="DJJ287" s="2151"/>
      <c r="DJK287" s="2150"/>
      <c r="DJL287" s="2151"/>
      <c r="DJM287" s="2151"/>
      <c r="DJN287" s="2151"/>
      <c r="DJO287" s="2151"/>
      <c r="DJP287" s="2151"/>
      <c r="DJQ287" s="2151"/>
      <c r="DJR287" s="2151"/>
      <c r="DJS287" s="2151"/>
      <c r="DJT287" s="2151"/>
      <c r="DJU287" s="2151"/>
      <c r="DJV287" s="2151"/>
      <c r="DJW287" s="2151"/>
      <c r="DJX287" s="2151"/>
      <c r="DJY287" s="2151"/>
      <c r="DJZ287" s="2151"/>
      <c r="DKA287" s="2150"/>
      <c r="DKB287" s="2151"/>
      <c r="DKC287" s="2151"/>
      <c r="DKD287" s="2151"/>
      <c r="DKE287" s="2151"/>
      <c r="DKF287" s="2151"/>
      <c r="DKG287" s="2151"/>
      <c r="DKH287" s="2151"/>
      <c r="DKI287" s="2151"/>
      <c r="DKJ287" s="2151"/>
      <c r="DKK287" s="2151"/>
      <c r="DKL287" s="2151"/>
      <c r="DKM287" s="2151"/>
      <c r="DKN287" s="2151"/>
      <c r="DKO287" s="2151"/>
      <c r="DKP287" s="2151"/>
      <c r="DKQ287" s="2150"/>
      <c r="DKR287" s="2151"/>
      <c r="DKS287" s="2151"/>
      <c r="DKT287" s="2151"/>
      <c r="DKU287" s="2151"/>
      <c r="DKV287" s="2151"/>
      <c r="DKW287" s="2151"/>
      <c r="DKX287" s="2151"/>
      <c r="DKY287" s="2151"/>
      <c r="DKZ287" s="2151"/>
      <c r="DLA287" s="2151"/>
      <c r="DLB287" s="2151"/>
      <c r="DLC287" s="2151"/>
      <c r="DLD287" s="2151"/>
      <c r="DLE287" s="2151"/>
      <c r="DLF287" s="2151"/>
      <c r="DLG287" s="2150"/>
      <c r="DLH287" s="2151"/>
      <c r="DLI287" s="2151"/>
      <c r="DLJ287" s="2151"/>
      <c r="DLK287" s="2151"/>
      <c r="DLL287" s="2151"/>
      <c r="DLM287" s="2151"/>
      <c r="DLN287" s="2151"/>
      <c r="DLO287" s="2151"/>
      <c r="DLP287" s="2151"/>
      <c r="DLQ287" s="2151"/>
      <c r="DLR287" s="2151"/>
      <c r="DLS287" s="2151"/>
      <c r="DLT287" s="2151"/>
      <c r="DLU287" s="2151"/>
      <c r="DLV287" s="2151"/>
      <c r="DLW287" s="2150"/>
      <c r="DLX287" s="2151"/>
      <c r="DLY287" s="2151"/>
      <c r="DLZ287" s="2151"/>
      <c r="DMA287" s="2151"/>
      <c r="DMB287" s="2151"/>
      <c r="DMC287" s="2151"/>
      <c r="DMD287" s="2151"/>
      <c r="DME287" s="2151"/>
      <c r="DMF287" s="2151"/>
      <c r="DMG287" s="2151"/>
      <c r="DMH287" s="2151"/>
      <c r="DMI287" s="2151"/>
      <c r="DMJ287" s="2151"/>
      <c r="DMK287" s="2151"/>
      <c r="DML287" s="2151"/>
      <c r="DMM287" s="2150"/>
      <c r="DMN287" s="2151"/>
      <c r="DMO287" s="2151"/>
      <c r="DMP287" s="2151"/>
      <c r="DMQ287" s="2151"/>
      <c r="DMR287" s="2151"/>
      <c r="DMS287" s="2151"/>
      <c r="DMT287" s="2151"/>
      <c r="DMU287" s="2151"/>
      <c r="DMV287" s="2151"/>
      <c r="DMW287" s="2151"/>
      <c r="DMX287" s="2151"/>
      <c r="DMY287" s="2151"/>
      <c r="DMZ287" s="2151"/>
      <c r="DNA287" s="2151"/>
      <c r="DNB287" s="2151"/>
      <c r="DNC287" s="2150"/>
      <c r="DND287" s="2151"/>
      <c r="DNE287" s="2151"/>
      <c r="DNF287" s="2151"/>
      <c r="DNG287" s="2151"/>
      <c r="DNH287" s="2151"/>
      <c r="DNI287" s="2151"/>
      <c r="DNJ287" s="2151"/>
      <c r="DNK287" s="2151"/>
      <c r="DNL287" s="2151"/>
      <c r="DNM287" s="2151"/>
      <c r="DNN287" s="2151"/>
      <c r="DNO287" s="2151"/>
      <c r="DNP287" s="2151"/>
      <c r="DNQ287" s="2151"/>
      <c r="DNR287" s="2151"/>
      <c r="DNS287" s="2150"/>
      <c r="DNT287" s="2151"/>
      <c r="DNU287" s="2151"/>
      <c r="DNV287" s="2151"/>
      <c r="DNW287" s="2151"/>
      <c r="DNX287" s="2151"/>
      <c r="DNY287" s="2151"/>
      <c r="DNZ287" s="2151"/>
      <c r="DOA287" s="2151"/>
      <c r="DOB287" s="2151"/>
      <c r="DOC287" s="2151"/>
      <c r="DOD287" s="2151"/>
      <c r="DOE287" s="2151"/>
      <c r="DOF287" s="2151"/>
      <c r="DOG287" s="2151"/>
      <c r="DOH287" s="2151"/>
      <c r="DOI287" s="2150"/>
      <c r="DOJ287" s="2151"/>
      <c r="DOK287" s="2151"/>
      <c r="DOL287" s="2151"/>
      <c r="DOM287" s="2151"/>
      <c r="DON287" s="2151"/>
      <c r="DOO287" s="2151"/>
      <c r="DOP287" s="2151"/>
      <c r="DOQ287" s="2151"/>
      <c r="DOR287" s="2151"/>
      <c r="DOS287" s="2151"/>
      <c r="DOT287" s="2151"/>
      <c r="DOU287" s="2151"/>
      <c r="DOV287" s="2151"/>
      <c r="DOW287" s="2151"/>
      <c r="DOX287" s="2151"/>
      <c r="DOY287" s="2150"/>
      <c r="DOZ287" s="2151"/>
      <c r="DPA287" s="2151"/>
      <c r="DPB287" s="2151"/>
      <c r="DPC287" s="2151"/>
      <c r="DPD287" s="2151"/>
      <c r="DPE287" s="2151"/>
      <c r="DPF287" s="2151"/>
      <c r="DPG287" s="2151"/>
      <c r="DPH287" s="2151"/>
      <c r="DPI287" s="2151"/>
      <c r="DPJ287" s="2151"/>
      <c r="DPK287" s="2151"/>
      <c r="DPL287" s="2151"/>
      <c r="DPM287" s="2151"/>
      <c r="DPN287" s="2151"/>
      <c r="DPO287" s="2150"/>
      <c r="DPP287" s="2151"/>
      <c r="DPQ287" s="2151"/>
      <c r="DPR287" s="2151"/>
      <c r="DPS287" s="2151"/>
      <c r="DPT287" s="2151"/>
      <c r="DPU287" s="2151"/>
      <c r="DPV287" s="2151"/>
      <c r="DPW287" s="2151"/>
      <c r="DPX287" s="2151"/>
      <c r="DPY287" s="2151"/>
      <c r="DPZ287" s="2151"/>
      <c r="DQA287" s="2151"/>
      <c r="DQB287" s="2151"/>
      <c r="DQC287" s="2151"/>
      <c r="DQD287" s="2151"/>
      <c r="DQE287" s="2150"/>
      <c r="DQF287" s="2151"/>
      <c r="DQG287" s="2151"/>
      <c r="DQH287" s="2151"/>
      <c r="DQI287" s="2151"/>
      <c r="DQJ287" s="2151"/>
      <c r="DQK287" s="2151"/>
      <c r="DQL287" s="2151"/>
      <c r="DQM287" s="2151"/>
      <c r="DQN287" s="2151"/>
      <c r="DQO287" s="2151"/>
      <c r="DQP287" s="2151"/>
      <c r="DQQ287" s="2151"/>
      <c r="DQR287" s="2151"/>
      <c r="DQS287" s="2151"/>
      <c r="DQT287" s="2151"/>
      <c r="DQU287" s="2150"/>
      <c r="DQV287" s="2151"/>
      <c r="DQW287" s="2151"/>
      <c r="DQX287" s="2151"/>
      <c r="DQY287" s="2151"/>
      <c r="DQZ287" s="2151"/>
      <c r="DRA287" s="2151"/>
      <c r="DRB287" s="2151"/>
      <c r="DRC287" s="2151"/>
      <c r="DRD287" s="2151"/>
      <c r="DRE287" s="2151"/>
      <c r="DRF287" s="2151"/>
      <c r="DRG287" s="2151"/>
      <c r="DRH287" s="2151"/>
      <c r="DRI287" s="2151"/>
      <c r="DRJ287" s="2151"/>
      <c r="DRK287" s="2150"/>
      <c r="DRL287" s="2151"/>
      <c r="DRM287" s="2151"/>
      <c r="DRN287" s="2151"/>
      <c r="DRO287" s="2151"/>
      <c r="DRP287" s="2151"/>
      <c r="DRQ287" s="2151"/>
      <c r="DRR287" s="2151"/>
      <c r="DRS287" s="2151"/>
      <c r="DRT287" s="2151"/>
      <c r="DRU287" s="2151"/>
      <c r="DRV287" s="2151"/>
      <c r="DRW287" s="2151"/>
      <c r="DRX287" s="2151"/>
      <c r="DRY287" s="2151"/>
      <c r="DRZ287" s="2151"/>
      <c r="DSA287" s="2150"/>
      <c r="DSB287" s="2151"/>
      <c r="DSC287" s="2151"/>
      <c r="DSD287" s="2151"/>
      <c r="DSE287" s="2151"/>
      <c r="DSF287" s="2151"/>
      <c r="DSG287" s="2151"/>
      <c r="DSH287" s="2151"/>
      <c r="DSI287" s="2151"/>
      <c r="DSJ287" s="2151"/>
      <c r="DSK287" s="2151"/>
      <c r="DSL287" s="2151"/>
      <c r="DSM287" s="2151"/>
      <c r="DSN287" s="2151"/>
      <c r="DSO287" s="2151"/>
      <c r="DSP287" s="2151"/>
      <c r="DSQ287" s="2150"/>
      <c r="DSR287" s="2151"/>
      <c r="DSS287" s="2151"/>
      <c r="DST287" s="2151"/>
      <c r="DSU287" s="2151"/>
      <c r="DSV287" s="2151"/>
      <c r="DSW287" s="2151"/>
      <c r="DSX287" s="2151"/>
      <c r="DSY287" s="2151"/>
      <c r="DSZ287" s="2151"/>
      <c r="DTA287" s="2151"/>
      <c r="DTB287" s="2151"/>
      <c r="DTC287" s="2151"/>
      <c r="DTD287" s="2151"/>
      <c r="DTE287" s="2151"/>
      <c r="DTF287" s="2151"/>
      <c r="DTG287" s="2150"/>
      <c r="DTH287" s="2151"/>
      <c r="DTI287" s="2151"/>
      <c r="DTJ287" s="2151"/>
      <c r="DTK287" s="2151"/>
      <c r="DTL287" s="2151"/>
      <c r="DTM287" s="2151"/>
      <c r="DTN287" s="2151"/>
      <c r="DTO287" s="2151"/>
      <c r="DTP287" s="2151"/>
      <c r="DTQ287" s="2151"/>
      <c r="DTR287" s="2151"/>
      <c r="DTS287" s="2151"/>
      <c r="DTT287" s="2151"/>
      <c r="DTU287" s="2151"/>
      <c r="DTV287" s="2151"/>
      <c r="DTW287" s="2150"/>
      <c r="DTX287" s="2151"/>
      <c r="DTY287" s="2151"/>
      <c r="DTZ287" s="2151"/>
      <c r="DUA287" s="2151"/>
      <c r="DUB287" s="2151"/>
      <c r="DUC287" s="2151"/>
      <c r="DUD287" s="2151"/>
      <c r="DUE287" s="2151"/>
      <c r="DUF287" s="2151"/>
      <c r="DUG287" s="2151"/>
      <c r="DUH287" s="2151"/>
      <c r="DUI287" s="2151"/>
      <c r="DUJ287" s="2151"/>
      <c r="DUK287" s="2151"/>
      <c r="DUL287" s="2151"/>
      <c r="DUM287" s="2150"/>
      <c r="DUN287" s="2151"/>
      <c r="DUO287" s="2151"/>
      <c r="DUP287" s="2151"/>
      <c r="DUQ287" s="2151"/>
      <c r="DUR287" s="2151"/>
      <c r="DUS287" s="2151"/>
      <c r="DUT287" s="2151"/>
      <c r="DUU287" s="2151"/>
      <c r="DUV287" s="2151"/>
      <c r="DUW287" s="2151"/>
      <c r="DUX287" s="2151"/>
      <c r="DUY287" s="2151"/>
      <c r="DUZ287" s="2151"/>
      <c r="DVA287" s="2151"/>
      <c r="DVB287" s="2151"/>
      <c r="DVC287" s="2150"/>
      <c r="DVD287" s="2151"/>
      <c r="DVE287" s="2151"/>
      <c r="DVF287" s="2151"/>
      <c r="DVG287" s="2151"/>
      <c r="DVH287" s="2151"/>
      <c r="DVI287" s="2151"/>
      <c r="DVJ287" s="2151"/>
      <c r="DVK287" s="2151"/>
      <c r="DVL287" s="2151"/>
      <c r="DVM287" s="2151"/>
      <c r="DVN287" s="2151"/>
      <c r="DVO287" s="2151"/>
      <c r="DVP287" s="2151"/>
      <c r="DVQ287" s="2151"/>
      <c r="DVR287" s="2151"/>
      <c r="DVS287" s="2150"/>
      <c r="DVT287" s="2151"/>
      <c r="DVU287" s="2151"/>
      <c r="DVV287" s="2151"/>
      <c r="DVW287" s="2151"/>
      <c r="DVX287" s="2151"/>
      <c r="DVY287" s="2151"/>
      <c r="DVZ287" s="2151"/>
      <c r="DWA287" s="2151"/>
      <c r="DWB287" s="2151"/>
      <c r="DWC287" s="2151"/>
      <c r="DWD287" s="2151"/>
      <c r="DWE287" s="2151"/>
      <c r="DWF287" s="2151"/>
      <c r="DWG287" s="2151"/>
      <c r="DWH287" s="2151"/>
      <c r="DWI287" s="2150"/>
      <c r="DWJ287" s="2151"/>
      <c r="DWK287" s="2151"/>
      <c r="DWL287" s="2151"/>
      <c r="DWM287" s="2151"/>
      <c r="DWN287" s="2151"/>
      <c r="DWO287" s="2151"/>
      <c r="DWP287" s="2151"/>
      <c r="DWQ287" s="2151"/>
      <c r="DWR287" s="2151"/>
      <c r="DWS287" s="2151"/>
      <c r="DWT287" s="2151"/>
      <c r="DWU287" s="2151"/>
      <c r="DWV287" s="2151"/>
      <c r="DWW287" s="2151"/>
      <c r="DWX287" s="2151"/>
      <c r="DWY287" s="2150"/>
      <c r="DWZ287" s="2151"/>
      <c r="DXA287" s="2151"/>
      <c r="DXB287" s="2151"/>
      <c r="DXC287" s="2151"/>
      <c r="DXD287" s="2151"/>
      <c r="DXE287" s="2151"/>
      <c r="DXF287" s="2151"/>
      <c r="DXG287" s="2151"/>
      <c r="DXH287" s="2151"/>
      <c r="DXI287" s="2151"/>
      <c r="DXJ287" s="2151"/>
      <c r="DXK287" s="2151"/>
      <c r="DXL287" s="2151"/>
      <c r="DXM287" s="2151"/>
      <c r="DXN287" s="2151"/>
      <c r="DXO287" s="2150"/>
      <c r="DXP287" s="2151"/>
      <c r="DXQ287" s="2151"/>
      <c r="DXR287" s="2151"/>
      <c r="DXS287" s="2151"/>
      <c r="DXT287" s="2151"/>
      <c r="DXU287" s="2151"/>
      <c r="DXV287" s="2151"/>
      <c r="DXW287" s="2151"/>
      <c r="DXX287" s="2151"/>
      <c r="DXY287" s="2151"/>
      <c r="DXZ287" s="2151"/>
      <c r="DYA287" s="2151"/>
      <c r="DYB287" s="2151"/>
      <c r="DYC287" s="2151"/>
      <c r="DYD287" s="2151"/>
      <c r="DYE287" s="2150"/>
      <c r="DYF287" s="2151"/>
      <c r="DYG287" s="2151"/>
      <c r="DYH287" s="2151"/>
      <c r="DYI287" s="2151"/>
      <c r="DYJ287" s="2151"/>
      <c r="DYK287" s="2151"/>
      <c r="DYL287" s="2151"/>
      <c r="DYM287" s="2151"/>
      <c r="DYN287" s="2151"/>
      <c r="DYO287" s="2151"/>
      <c r="DYP287" s="2151"/>
      <c r="DYQ287" s="2151"/>
      <c r="DYR287" s="2151"/>
      <c r="DYS287" s="2151"/>
      <c r="DYT287" s="2151"/>
      <c r="DYU287" s="2150"/>
      <c r="DYV287" s="2151"/>
      <c r="DYW287" s="2151"/>
      <c r="DYX287" s="2151"/>
      <c r="DYY287" s="2151"/>
      <c r="DYZ287" s="2151"/>
      <c r="DZA287" s="2151"/>
      <c r="DZB287" s="2151"/>
      <c r="DZC287" s="2151"/>
      <c r="DZD287" s="2151"/>
      <c r="DZE287" s="2151"/>
      <c r="DZF287" s="2151"/>
      <c r="DZG287" s="2151"/>
      <c r="DZH287" s="2151"/>
      <c r="DZI287" s="2151"/>
      <c r="DZJ287" s="2151"/>
      <c r="DZK287" s="2150"/>
      <c r="DZL287" s="2151"/>
      <c r="DZM287" s="2151"/>
      <c r="DZN287" s="2151"/>
      <c r="DZO287" s="2151"/>
      <c r="DZP287" s="2151"/>
      <c r="DZQ287" s="2151"/>
      <c r="DZR287" s="2151"/>
      <c r="DZS287" s="2151"/>
      <c r="DZT287" s="2151"/>
      <c r="DZU287" s="2151"/>
      <c r="DZV287" s="2151"/>
      <c r="DZW287" s="2151"/>
      <c r="DZX287" s="2151"/>
      <c r="DZY287" s="2151"/>
      <c r="DZZ287" s="2151"/>
      <c r="EAA287" s="2150"/>
      <c r="EAB287" s="2151"/>
      <c r="EAC287" s="2151"/>
      <c r="EAD287" s="2151"/>
      <c r="EAE287" s="2151"/>
      <c r="EAF287" s="2151"/>
      <c r="EAG287" s="2151"/>
      <c r="EAH287" s="2151"/>
      <c r="EAI287" s="2151"/>
      <c r="EAJ287" s="2151"/>
      <c r="EAK287" s="2151"/>
      <c r="EAL287" s="2151"/>
      <c r="EAM287" s="2151"/>
      <c r="EAN287" s="2151"/>
      <c r="EAO287" s="2151"/>
      <c r="EAP287" s="2151"/>
      <c r="EAQ287" s="2150"/>
      <c r="EAR287" s="2151"/>
      <c r="EAS287" s="2151"/>
      <c r="EAT287" s="2151"/>
      <c r="EAU287" s="2151"/>
      <c r="EAV287" s="2151"/>
      <c r="EAW287" s="2151"/>
      <c r="EAX287" s="2151"/>
      <c r="EAY287" s="2151"/>
      <c r="EAZ287" s="2151"/>
      <c r="EBA287" s="2151"/>
      <c r="EBB287" s="2151"/>
      <c r="EBC287" s="2151"/>
      <c r="EBD287" s="2151"/>
      <c r="EBE287" s="2151"/>
      <c r="EBF287" s="2151"/>
      <c r="EBG287" s="2150"/>
      <c r="EBH287" s="2151"/>
      <c r="EBI287" s="2151"/>
      <c r="EBJ287" s="2151"/>
      <c r="EBK287" s="2151"/>
      <c r="EBL287" s="2151"/>
      <c r="EBM287" s="2151"/>
      <c r="EBN287" s="2151"/>
      <c r="EBO287" s="2151"/>
      <c r="EBP287" s="2151"/>
      <c r="EBQ287" s="2151"/>
      <c r="EBR287" s="2151"/>
      <c r="EBS287" s="2151"/>
      <c r="EBT287" s="2151"/>
      <c r="EBU287" s="2151"/>
      <c r="EBV287" s="2151"/>
      <c r="EBW287" s="2150"/>
      <c r="EBX287" s="2151"/>
      <c r="EBY287" s="2151"/>
      <c r="EBZ287" s="2151"/>
      <c r="ECA287" s="2151"/>
      <c r="ECB287" s="2151"/>
      <c r="ECC287" s="2151"/>
      <c r="ECD287" s="2151"/>
      <c r="ECE287" s="2151"/>
      <c r="ECF287" s="2151"/>
      <c r="ECG287" s="2151"/>
      <c r="ECH287" s="2151"/>
      <c r="ECI287" s="2151"/>
      <c r="ECJ287" s="2151"/>
      <c r="ECK287" s="2151"/>
      <c r="ECL287" s="2151"/>
      <c r="ECM287" s="2150"/>
      <c r="ECN287" s="2151"/>
      <c r="ECO287" s="2151"/>
      <c r="ECP287" s="2151"/>
      <c r="ECQ287" s="2151"/>
      <c r="ECR287" s="2151"/>
      <c r="ECS287" s="2151"/>
      <c r="ECT287" s="2151"/>
      <c r="ECU287" s="2151"/>
      <c r="ECV287" s="2151"/>
      <c r="ECW287" s="2151"/>
      <c r="ECX287" s="2151"/>
      <c r="ECY287" s="2151"/>
      <c r="ECZ287" s="2151"/>
      <c r="EDA287" s="2151"/>
      <c r="EDB287" s="2151"/>
      <c r="EDC287" s="2150"/>
      <c r="EDD287" s="2151"/>
      <c r="EDE287" s="2151"/>
      <c r="EDF287" s="2151"/>
      <c r="EDG287" s="2151"/>
      <c r="EDH287" s="2151"/>
      <c r="EDI287" s="2151"/>
      <c r="EDJ287" s="2151"/>
      <c r="EDK287" s="2151"/>
      <c r="EDL287" s="2151"/>
      <c r="EDM287" s="2151"/>
      <c r="EDN287" s="2151"/>
      <c r="EDO287" s="2151"/>
      <c r="EDP287" s="2151"/>
      <c r="EDQ287" s="2151"/>
      <c r="EDR287" s="2151"/>
      <c r="EDS287" s="2150"/>
      <c r="EDT287" s="2151"/>
      <c r="EDU287" s="2151"/>
      <c r="EDV287" s="2151"/>
      <c r="EDW287" s="2151"/>
      <c r="EDX287" s="2151"/>
      <c r="EDY287" s="2151"/>
      <c r="EDZ287" s="2151"/>
      <c r="EEA287" s="2151"/>
      <c r="EEB287" s="2151"/>
      <c r="EEC287" s="2151"/>
      <c r="EED287" s="2151"/>
      <c r="EEE287" s="2151"/>
      <c r="EEF287" s="2151"/>
      <c r="EEG287" s="2151"/>
      <c r="EEH287" s="2151"/>
      <c r="EEI287" s="2150"/>
      <c r="EEJ287" s="2151"/>
      <c r="EEK287" s="2151"/>
      <c r="EEL287" s="2151"/>
      <c r="EEM287" s="2151"/>
      <c r="EEN287" s="2151"/>
      <c r="EEO287" s="2151"/>
      <c r="EEP287" s="2151"/>
      <c r="EEQ287" s="2151"/>
      <c r="EER287" s="2151"/>
      <c r="EES287" s="2151"/>
      <c r="EET287" s="2151"/>
      <c r="EEU287" s="2151"/>
      <c r="EEV287" s="2151"/>
      <c r="EEW287" s="2151"/>
      <c r="EEX287" s="2151"/>
      <c r="EEY287" s="2150"/>
      <c r="EEZ287" s="2151"/>
      <c r="EFA287" s="2151"/>
      <c r="EFB287" s="2151"/>
      <c r="EFC287" s="2151"/>
      <c r="EFD287" s="2151"/>
      <c r="EFE287" s="2151"/>
      <c r="EFF287" s="2151"/>
      <c r="EFG287" s="2151"/>
      <c r="EFH287" s="2151"/>
      <c r="EFI287" s="2151"/>
      <c r="EFJ287" s="2151"/>
      <c r="EFK287" s="2151"/>
      <c r="EFL287" s="2151"/>
      <c r="EFM287" s="2151"/>
      <c r="EFN287" s="2151"/>
      <c r="EFO287" s="2150"/>
      <c r="EFP287" s="2151"/>
      <c r="EFQ287" s="2151"/>
      <c r="EFR287" s="2151"/>
      <c r="EFS287" s="2151"/>
      <c r="EFT287" s="2151"/>
      <c r="EFU287" s="2151"/>
      <c r="EFV287" s="2151"/>
      <c r="EFW287" s="2151"/>
      <c r="EFX287" s="2151"/>
      <c r="EFY287" s="2151"/>
      <c r="EFZ287" s="2151"/>
      <c r="EGA287" s="2151"/>
      <c r="EGB287" s="2151"/>
      <c r="EGC287" s="2151"/>
      <c r="EGD287" s="2151"/>
      <c r="EGE287" s="2150"/>
      <c r="EGF287" s="2151"/>
      <c r="EGG287" s="2151"/>
      <c r="EGH287" s="2151"/>
      <c r="EGI287" s="2151"/>
      <c r="EGJ287" s="2151"/>
      <c r="EGK287" s="2151"/>
      <c r="EGL287" s="2151"/>
      <c r="EGM287" s="2151"/>
      <c r="EGN287" s="2151"/>
      <c r="EGO287" s="2151"/>
      <c r="EGP287" s="2151"/>
      <c r="EGQ287" s="2151"/>
      <c r="EGR287" s="2151"/>
      <c r="EGS287" s="2151"/>
      <c r="EGT287" s="2151"/>
      <c r="EGU287" s="2150"/>
      <c r="EGV287" s="2151"/>
      <c r="EGW287" s="2151"/>
      <c r="EGX287" s="2151"/>
      <c r="EGY287" s="2151"/>
      <c r="EGZ287" s="2151"/>
      <c r="EHA287" s="2151"/>
      <c r="EHB287" s="2151"/>
      <c r="EHC287" s="2151"/>
      <c r="EHD287" s="2151"/>
      <c r="EHE287" s="2151"/>
      <c r="EHF287" s="2151"/>
      <c r="EHG287" s="2151"/>
      <c r="EHH287" s="2151"/>
      <c r="EHI287" s="2151"/>
      <c r="EHJ287" s="2151"/>
      <c r="EHK287" s="2150"/>
      <c r="EHL287" s="2151"/>
      <c r="EHM287" s="2151"/>
      <c r="EHN287" s="2151"/>
      <c r="EHO287" s="2151"/>
      <c r="EHP287" s="2151"/>
      <c r="EHQ287" s="2151"/>
      <c r="EHR287" s="2151"/>
      <c r="EHS287" s="2151"/>
      <c r="EHT287" s="2151"/>
      <c r="EHU287" s="2151"/>
      <c r="EHV287" s="2151"/>
      <c r="EHW287" s="2151"/>
      <c r="EHX287" s="2151"/>
      <c r="EHY287" s="2151"/>
      <c r="EHZ287" s="2151"/>
      <c r="EIA287" s="2150"/>
      <c r="EIB287" s="2151"/>
      <c r="EIC287" s="2151"/>
      <c r="EID287" s="2151"/>
      <c r="EIE287" s="2151"/>
      <c r="EIF287" s="2151"/>
      <c r="EIG287" s="2151"/>
      <c r="EIH287" s="2151"/>
      <c r="EII287" s="2151"/>
      <c r="EIJ287" s="2151"/>
      <c r="EIK287" s="2151"/>
      <c r="EIL287" s="2151"/>
      <c r="EIM287" s="2151"/>
      <c r="EIN287" s="2151"/>
      <c r="EIO287" s="2151"/>
      <c r="EIP287" s="2151"/>
      <c r="EIQ287" s="2150"/>
      <c r="EIR287" s="2151"/>
      <c r="EIS287" s="2151"/>
      <c r="EIT287" s="2151"/>
      <c r="EIU287" s="2151"/>
      <c r="EIV287" s="2151"/>
      <c r="EIW287" s="2151"/>
      <c r="EIX287" s="2151"/>
      <c r="EIY287" s="2151"/>
      <c r="EIZ287" s="2151"/>
      <c r="EJA287" s="2151"/>
      <c r="EJB287" s="2151"/>
      <c r="EJC287" s="2151"/>
      <c r="EJD287" s="2151"/>
      <c r="EJE287" s="2151"/>
      <c r="EJF287" s="2151"/>
      <c r="EJG287" s="2150"/>
      <c r="EJH287" s="2151"/>
      <c r="EJI287" s="2151"/>
      <c r="EJJ287" s="2151"/>
      <c r="EJK287" s="2151"/>
      <c r="EJL287" s="2151"/>
      <c r="EJM287" s="2151"/>
      <c r="EJN287" s="2151"/>
      <c r="EJO287" s="2151"/>
      <c r="EJP287" s="2151"/>
      <c r="EJQ287" s="2151"/>
      <c r="EJR287" s="2151"/>
      <c r="EJS287" s="2151"/>
      <c r="EJT287" s="2151"/>
      <c r="EJU287" s="2151"/>
      <c r="EJV287" s="2151"/>
      <c r="EJW287" s="2150"/>
      <c r="EJX287" s="2151"/>
      <c r="EJY287" s="2151"/>
      <c r="EJZ287" s="2151"/>
      <c r="EKA287" s="2151"/>
      <c r="EKB287" s="2151"/>
      <c r="EKC287" s="2151"/>
      <c r="EKD287" s="2151"/>
      <c r="EKE287" s="2151"/>
      <c r="EKF287" s="2151"/>
      <c r="EKG287" s="2151"/>
      <c r="EKH287" s="2151"/>
      <c r="EKI287" s="2151"/>
      <c r="EKJ287" s="2151"/>
      <c r="EKK287" s="2151"/>
      <c r="EKL287" s="2151"/>
      <c r="EKM287" s="2150"/>
      <c r="EKN287" s="2151"/>
      <c r="EKO287" s="2151"/>
      <c r="EKP287" s="2151"/>
      <c r="EKQ287" s="2151"/>
      <c r="EKR287" s="2151"/>
      <c r="EKS287" s="2151"/>
      <c r="EKT287" s="2151"/>
      <c r="EKU287" s="2151"/>
      <c r="EKV287" s="2151"/>
      <c r="EKW287" s="2151"/>
      <c r="EKX287" s="2151"/>
      <c r="EKY287" s="2151"/>
      <c r="EKZ287" s="2151"/>
      <c r="ELA287" s="2151"/>
      <c r="ELB287" s="2151"/>
      <c r="ELC287" s="2150"/>
      <c r="ELD287" s="2151"/>
      <c r="ELE287" s="2151"/>
      <c r="ELF287" s="2151"/>
      <c r="ELG287" s="2151"/>
      <c r="ELH287" s="2151"/>
      <c r="ELI287" s="2151"/>
      <c r="ELJ287" s="2151"/>
      <c r="ELK287" s="2151"/>
      <c r="ELL287" s="2151"/>
      <c r="ELM287" s="2151"/>
      <c r="ELN287" s="2151"/>
      <c r="ELO287" s="2151"/>
      <c r="ELP287" s="2151"/>
      <c r="ELQ287" s="2151"/>
      <c r="ELR287" s="2151"/>
      <c r="ELS287" s="2150"/>
      <c r="ELT287" s="2151"/>
      <c r="ELU287" s="2151"/>
      <c r="ELV287" s="2151"/>
      <c r="ELW287" s="2151"/>
      <c r="ELX287" s="2151"/>
      <c r="ELY287" s="2151"/>
      <c r="ELZ287" s="2151"/>
      <c r="EMA287" s="2151"/>
      <c r="EMB287" s="2151"/>
      <c r="EMC287" s="2151"/>
      <c r="EMD287" s="2151"/>
      <c r="EME287" s="2151"/>
      <c r="EMF287" s="2151"/>
      <c r="EMG287" s="2151"/>
      <c r="EMH287" s="2151"/>
      <c r="EMI287" s="2150"/>
      <c r="EMJ287" s="2151"/>
      <c r="EMK287" s="2151"/>
      <c r="EML287" s="2151"/>
      <c r="EMM287" s="2151"/>
      <c r="EMN287" s="2151"/>
      <c r="EMO287" s="2151"/>
      <c r="EMP287" s="2151"/>
      <c r="EMQ287" s="2151"/>
      <c r="EMR287" s="2151"/>
      <c r="EMS287" s="2151"/>
      <c r="EMT287" s="2151"/>
      <c r="EMU287" s="2151"/>
      <c r="EMV287" s="2151"/>
      <c r="EMW287" s="2151"/>
      <c r="EMX287" s="2151"/>
      <c r="EMY287" s="2150"/>
      <c r="EMZ287" s="2151"/>
      <c r="ENA287" s="2151"/>
      <c r="ENB287" s="2151"/>
      <c r="ENC287" s="2151"/>
      <c r="END287" s="2151"/>
      <c r="ENE287" s="2151"/>
      <c r="ENF287" s="2151"/>
      <c r="ENG287" s="2151"/>
      <c r="ENH287" s="2151"/>
      <c r="ENI287" s="2151"/>
      <c r="ENJ287" s="2151"/>
      <c r="ENK287" s="2151"/>
      <c r="ENL287" s="2151"/>
      <c r="ENM287" s="2151"/>
      <c r="ENN287" s="2151"/>
      <c r="ENO287" s="2150"/>
      <c r="ENP287" s="2151"/>
      <c r="ENQ287" s="2151"/>
      <c r="ENR287" s="2151"/>
      <c r="ENS287" s="2151"/>
      <c r="ENT287" s="2151"/>
      <c r="ENU287" s="2151"/>
      <c r="ENV287" s="2151"/>
      <c r="ENW287" s="2151"/>
      <c r="ENX287" s="2151"/>
      <c r="ENY287" s="2151"/>
      <c r="ENZ287" s="2151"/>
      <c r="EOA287" s="2151"/>
      <c r="EOB287" s="2151"/>
      <c r="EOC287" s="2151"/>
      <c r="EOD287" s="2151"/>
      <c r="EOE287" s="2150"/>
      <c r="EOF287" s="2151"/>
      <c r="EOG287" s="2151"/>
      <c r="EOH287" s="2151"/>
      <c r="EOI287" s="2151"/>
      <c r="EOJ287" s="2151"/>
      <c r="EOK287" s="2151"/>
      <c r="EOL287" s="2151"/>
      <c r="EOM287" s="2151"/>
      <c r="EON287" s="2151"/>
      <c r="EOO287" s="2151"/>
      <c r="EOP287" s="2151"/>
      <c r="EOQ287" s="2151"/>
      <c r="EOR287" s="2151"/>
      <c r="EOS287" s="2151"/>
      <c r="EOT287" s="2151"/>
      <c r="EOU287" s="2150"/>
      <c r="EOV287" s="2151"/>
      <c r="EOW287" s="2151"/>
      <c r="EOX287" s="2151"/>
      <c r="EOY287" s="2151"/>
      <c r="EOZ287" s="2151"/>
      <c r="EPA287" s="2151"/>
      <c r="EPB287" s="2151"/>
      <c r="EPC287" s="2151"/>
      <c r="EPD287" s="2151"/>
      <c r="EPE287" s="2151"/>
      <c r="EPF287" s="2151"/>
      <c r="EPG287" s="2151"/>
      <c r="EPH287" s="2151"/>
      <c r="EPI287" s="2151"/>
      <c r="EPJ287" s="2151"/>
      <c r="EPK287" s="2150"/>
      <c r="EPL287" s="2151"/>
      <c r="EPM287" s="2151"/>
      <c r="EPN287" s="2151"/>
      <c r="EPO287" s="2151"/>
      <c r="EPP287" s="2151"/>
      <c r="EPQ287" s="2151"/>
      <c r="EPR287" s="2151"/>
      <c r="EPS287" s="2151"/>
      <c r="EPT287" s="2151"/>
      <c r="EPU287" s="2151"/>
      <c r="EPV287" s="2151"/>
      <c r="EPW287" s="2151"/>
      <c r="EPX287" s="2151"/>
      <c r="EPY287" s="2151"/>
      <c r="EPZ287" s="2151"/>
      <c r="EQA287" s="2150"/>
      <c r="EQB287" s="2151"/>
      <c r="EQC287" s="2151"/>
      <c r="EQD287" s="2151"/>
      <c r="EQE287" s="2151"/>
      <c r="EQF287" s="2151"/>
      <c r="EQG287" s="2151"/>
      <c r="EQH287" s="2151"/>
      <c r="EQI287" s="2151"/>
      <c r="EQJ287" s="2151"/>
      <c r="EQK287" s="2151"/>
      <c r="EQL287" s="2151"/>
      <c r="EQM287" s="2151"/>
      <c r="EQN287" s="2151"/>
      <c r="EQO287" s="2151"/>
      <c r="EQP287" s="2151"/>
      <c r="EQQ287" s="2150"/>
      <c r="EQR287" s="2151"/>
      <c r="EQS287" s="2151"/>
      <c r="EQT287" s="2151"/>
      <c r="EQU287" s="2151"/>
      <c r="EQV287" s="2151"/>
      <c r="EQW287" s="2151"/>
      <c r="EQX287" s="2151"/>
      <c r="EQY287" s="2151"/>
      <c r="EQZ287" s="2151"/>
      <c r="ERA287" s="2151"/>
      <c r="ERB287" s="2151"/>
      <c r="ERC287" s="2151"/>
      <c r="ERD287" s="2151"/>
      <c r="ERE287" s="2151"/>
      <c r="ERF287" s="2151"/>
      <c r="ERG287" s="2150"/>
      <c r="ERH287" s="2151"/>
      <c r="ERI287" s="2151"/>
      <c r="ERJ287" s="2151"/>
      <c r="ERK287" s="2151"/>
      <c r="ERL287" s="2151"/>
      <c r="ERM287" s="2151"/>
      <c r="ERN287" s="2151"/>
      <c r="ERO287" s="2151"/>
      <c r="ERP287" s="2151"/>
      <c r="ERQ287" s="2151"/>
      <c r="ERR287" s="2151"/>
      <c r="ERS287" s="2151"/>
      <c r="ERT287" s="2151"/>
      <c r="ERU287" s="2151"/>
      <c r="ERV287" s="2151"/>
      <c r="ERW287" s="2150"/>
      <c r="ERX287" s="2151"/>
      <c r="ERY287" s="2151"/>
      <c r="ERZ287" s="2151"/>
      <c r="ESA287" s="2151"/>
      <c r="ESB287" s="2151"/>
      <c r="ESC287" s="2151"/>
      <c r="ESD287" s="2151"/>
      <c r="ESE287" s="2151"/>
      <c r="ESF287" s="2151"/>
      <c r="ESG287" s="2151"/>
      <c r="ESH287" s="2151"/>
      <c r="ESI287" s="2151"/>
      <c r="ESJ287" s="2151"/>
      <c r="ESK287" s="2151"/>
      <c r="ESL287" s="2151"/>
      <c r="ESM287" s="2150"/>
      <c r="ESN287" s="2151"/>
      <c r="ESO287" s="2151"/>
      <c r="ESP287" s="2151"/>
      <c r="ESQ287" s="2151"/>
      <c r="ESR287" s="2151"/>
      <c r="ESS287" s="2151"/>
      <c r="EST287" s="2151"/>
      <c r="ESU287" s="2151"/>
      <c r="ESV287" s="2151"/>
      <c r="ESW287" s="2151"/>
      <c r="ESX287" s="2151"/>
      <c r="ESY287" s="2151"/>
      <c r="ESZ287" s="2151"/>
      <c r="ETA287" s="2151"/>
      <c r="ETB287" s="2151"/>
      <c r="ETC287" s="2150"/>
      <c r="ETD287" s="2151"/>
      <c r="ETE287" s="2151"/>
      <c r="ETF287" s="2151"/>
      <c r="ETG287" s="2151"/>
      <c r="ETH287" s="2151"/>
      <c r="ETI287" s="2151"/>
      <c r="ETJ287" s="2151"/>
      <c r="ETK287" s="2151"/>
      <c r="ETL287" s="2151"/>
      <c r="ETM287" s="2151"/>
      <c r="ETN287" s="2151"/>
      <c r="ETO287" s="2151"/>
      <c r="ETP287" s="2151"/>
      <c r="ETQ287" s="2151"/>
      <c r="ETR287" s="2151"/>
      <c r="ETS287" s="2150"/>
      <c r="ETT287" s="2151"/>
      <c r="ETU287" s="2151"/>
      <c r="ETV287" s="2151"/>
      <c r="ETW287" s="2151"/>
      <c r="ETX287" s="2151"/>
      <c r="ETY287" s="2151"/>
      <c r="ETZ287" s="2151"/>
      <c r="EUA287" s="2151"/>
      <c r="EUB287" s="2151"/>
      <c r="EUC287" s="2151"/>
      <c r="EUD287" s="2151"/>
      <c r="EUE287" s="2151"/>
      <c r="EUF287" s="2151"/>
      <c r="EUG287" s="2151"/>
      <c r="EUH287" s="2151"/>
      <c r="EUI287" s="2150"/>
      <c r="EUJ287" s="2151"/>
      <c r="EUK287" s="2151"/>
      <c r="EUL287" s="2151"/>
      <c r="EUM287" s="2151"/>
      <c r="EUN287" s="2151"/>
      <c r="EUO287" s="2151"/>
      <c r="EUP287" s="2151"/>
      <c r="EUQ287" s="2151"/>
      <c r="EUR287" s="2151"/>
      <c r="EUS287" s="2151"/>
      <c r="EUT287" s="2151"/>
      <c r="EUU287" s="2151"/>
      <c r="EUV287" s="2151"/>
      <c r="EUW287" s="2151"/>
      <c r="EUX287" s="2151"/>
      <c r="EUY287" s="2150"/>
      <c r="EUZ287" s="2151"/>
      <c r="EVA287" s="2151"/>
      <c r="EVB287" s="2151"/>
      <c r="EVC287" s="2151"/>
      <c r="EVD287" s="2151"/>
      <c r="EVE287" s="2151"/>
      <c r="EVF287" s="2151"/>
      <c r="EVG287" s="2151"/>
      <c r="EVH287" s="2151"/>
      <c r="EVI287" s="2151"/>
      <c r="EVJ287" s="2151"/>
      <c r="EVK287" s="2151"/>
      <c r="EVL287" s="2151"/>
      <c r="EVM287" s="2151"/>
      <c r="EVN287" s="2151"/>
      <c r="EVO287" s="2150"/>
      <c r="EVP287" s="2151"/>
      <c r="EVQ287" s="2151"/>
      <c r="EVR287" s="2151"/>
      <c r="EVS287" s="2151"/>
      <c r="EVT287" s="2151"/>
      <c r="EVU287" s="2151"/>
      <c r="EVV287" s="2151"/>
      <c r="EVW287" s="2151"/>
      <c r="EVX287" s="2151"/>
      <c r="EVY287" s="2151"/>
      <c r="EVZ287" s="2151"/>
      <c r="EWA287" s="2151"/>
      <c r="EWB287" s="2151"/>
      <c r="EWC287" s="2151"/>
      <c r="EWD287" s="2151"/>
      <c r="EWE287" s="2150"/>
      <c r="EWF287" s="2151"/>
      <c r="EWG287" s="2151"/>
      <c r="EWH287" s="2151"/>
      <c r="EWI287" s="2151"/>
      <c r="EWJ287" s="2151"/>
      <c r="EWK287" s="2151"/>
      <c r="EWL287" s="2151"/>
      <c r="EWM287" s="2151"/>
      <c r="EWN287" s="2151"/>
      <c r="EWO287" s="2151"/>
      <c r="EWP287" s="2151"/>
      <c r="EWQ287" s="2151"/>
      <c r="EWR287" s="2151"/>
      <c r="EWS287" s="2151"/>
      <c r="EWT287" s="2151"/>
      <c r="EWU287" s="2150"/>
      <c r="EWV287" s="2151"/>
      <c r="EWW287" s="2151"/>
      <c r="EWX287" s="2151"/>
      <c r="EWY287" s="2151"/>
      <c r="EWZ287" s="2151"/>
      <c r="EXA287" s="2151"/>
      <c r="EXB287" s="2151"/>
      <c r="EXC287" s="2151"/>
      <c r="EXD287" s="2151"/>
      <c r="EXE287" s="2151"/>
      <c r="EXF287" s="2151"/>
      <c r="EXG287" s="2151"/>
      <c r="EXH287" s="2151"/>
      <c r="EXI287" s="2151"/>
      <c r="EXJ287" s="2151"/>
      <c r="EXK287" s="2150"/>
      <c r="EXL287" s="2151"/>
      <c r="EXM287" s="2151"/>
      <c r="EXN287" s="2151"/>
      <c r="EXO287" s="2151"/>
      <c r="EXP287" s="2151"/>
      <c r="EXQ287" s="2151"/>
      <c r="EXR287" s="2151"/>
      <c r="EXS287" s="2151"/>
      <c r="EXT287" s="2151"/>
      <c r="EXU287" s="2151"/>
      <c r="EXV287" s="2151"/>
      <c r="EXW287" s="2151"/>
      <c r="EXX287" s="2151"/>
      <c r="EXY287" s="2151"/>
      <c r="EXZ287" s="2151"/>
      <c r="EYA287" s="2150"/>
      <c r="EYB287" s="2151"/>
      <c r="EYC287" s="2151"/>
      <c r="EYD287" s="2151"/>
      <c r="EYE287" s="2151"/>
      <c r="EYF287" s="2151"/>
      <c r="EYG287" s="2151"/>
      <c r="EYH287" s="2151"/>
      <c r="EYI287" s="2151"/>
      <c r="EYJ287" s="2151"/>
      <c r="EYK287" s="2151"/>
      <c r="EYL287" s="2151"/>
      <c r="EYM287" s="2151"/>
      <c r="EYN287" s="2151"/>
      <c r="EYO287" s="2151"/>
      <c r="EYP287" s="2151"/>
      <c r="EYQ287" s="2150"/>
      <c r="EYR287" s="2151"/>
      <c r="EYS287" s="2151"/>
      <c r="EYT287" s="2151"/>
      <c r="EYU287" s="2151"/>
      <c r="EYV287" s="2151"/>
      <c r="EYW287" s="2151"/>
      <c r="EYX287" s="2151"/>
      <c r="EYY287" s="2151"/>
      <c r="EYZ287" s="2151"/>
      <c r="EZA287" s="2151"/>
      <c r="EZB287" s="2151"/>
      <c r="EZC287" s="2151"/>
      <c r="EZD287" s="2151"/>
      <c r="EZE287" s="2151"/>
      <c r="EZF287" s="2151"/>
      <c r="EZG287" s="2150"/>
      <c r="EZH287" s="2151"/>
      <c r="EZI287" s="2151"/>
      <c r="EZJ287" s="2151"/>
      <c r="EZK287" s="2151"/>
      <c r="EZL287" s="2151"/>
      <c r="EZM287" s="2151"/>
      <c r="EZN287" s="2151"/>
      <c r="EZO287" s="2151"/>
      <c r="EZP287" s="2151"/>
      <c r="EZQ287" s="2151"/>
      <c r="EZR287" s="2151"/>
      <c r="EZS287" s="2151"/>
      <c r="EZT287" s="2151"/>
      <c r="EZU287" s="2151"/>
      <c r="EZV287" s="2151"/>
      <c r="EZW287" s="2150"/>
      <c r="EZX287" s="2151"/>
      <c r="EZY287" s="2151"/>
      <c r="EZZ287" s="2151"/>
      <c r="FAA287" s="2151"/>
      <c r="FAB287" s="2151"/>
      <c r="FAC287" s="2151"/>
      <c r="FAD287" s="2151"/>
      <c r="FAE287" s="2151"/>
      <c r="FAF287" s="2151"/>
      <c r="FAG287" s="2151"/>
      <c r="FAH287" s="2151"/>
      <c r="FAI287" s="2151"/>
      <c r="FAJ287" s="2151"/>
      <c r="FAK287" s="2151"/>
      <c r="FAL287" s="2151"/>
      <c r="FAM287" s="2150"/>
      <c r="FAN287" s="2151"/>
      <c r="FAO287" s="2151"/>
      <c r="FAP287" s="2151"/>
      <c r="FAQ287" s="2151"/>
      <c r="FAR287" s="2151"/>
      <c r="FAS287" s="2151"/>
      <c r="FAT287" s="2151"/>
      <c r="FAU287" s="2151"/>
      <c r="FAV287" s="2151"/>
      <c r="FAW287" s="2151"/>
      <c r="FAX287" s="2151"/>
      <c r="FAY287" s="2151"/>
      <c r="FAZ287" s="2151"/>
      <c r="FBA287" s="2151"/>
      <c r="FBB287" s="2151"/>
      <c r="FBC287" s="2150"/>
      <c r="FBD287" s="2151"/>
      <c r="FBE287" s="2151"/>
      <c r="FBF287" s="2151"/>
      <c r="FBG287" s="2151"/>
      <c r="FBH287" s="2151"/>
      <c r="FBI287" s="2151"/>
      <c r="FBJ287" s="2151"/>
      <c r="FBK287" s="2151"/>
      <c r="FBL287" s="2151"/>
      <c r="FBM287" s="2151"/>
      <c r="FBN287" s="2151"/>
      <c r="FBO287" s="2151"/>
      <c r="FBP287" s="2151"/>
      <c r="FBQ287" s="2151"/>
      <c r="FBR287" s="2151"/>
      <c r="FBS287" s="2150"/>
      <c r="FBT287" s="2151"/>
      <c r="FBU287" s="2151"/>
      <c r="FBV287" s="2151"/>
      <c r="FBW287" s="2151"/>
      <c r="FBX287" s="2151"/>
      <c r="FBY287" s="2151"/>
      <c r="FBZ287" s="2151"/>
      <c r="FCA287" s="2151"/>
      <c r="FCB287" s="2151"/>
      <c r="FCC287" s="2151"/>
      <c r="FCD287" s="2151"/>
      <c r="FCE287" s="2151"/>
      <c r="FCF287" s="2151"/>
      <c r="FCG287" s="2151"/>
      <c r="FCH287" s="2151"/>
      <c r="FCI287" s="2150"/>
      <c r="FCJ287" s="2151"/>
      <c r="FCK287" s="2151"/>
      <c r="FCL287" s="2151"/>
      <c r="FCM287" s="2151"/>
      <c r="FCN287" s="2151"/>
      <c r="FCO287" s="2151"/>
      <c r="FCP287" s="2151"/>
      <c r="FCQ287" s="2151"/>
      <c r="FCR287" s="2151"/>
      <c r="FCS287" s="2151"/>
      <c r="FCT287" s="2151"/>
      <c r="FCU287" s="2151"/>
      <c r="FCV287" s="2151"/>
      <c r="FCW287" s="2151"/>
      <c r="FCX287" s="2151"/>
      <c r="FCY287" s="2150"/>
      <c r="FCZ287" s="2151"/>
      <c r="FDA287" s="2151"/>
      <c r="FDB287" s="2151"/>
      <c r="FDC287" s="2151"/>
      <c r="FDD287" s="2151"/>
      <c r="FDE287" s="2151"/>
      <c r="FDF287" s="2151"/>
      <c r="FDG287" s="2151"/>
      <c r="FDH287" s="2151"/>
      <c r="FDI287" s="2151"/>
      <c r="FDJ287" s="2151"/>
      <c r="FDK287" s="2151"/>
      <c r="FDL287" s="2151"/>
      <c r="FDM287" s="2151"/>
      <c r="FDN287" s="2151"/>
      <c r="FDO287" s="2150"/>
      <c r="FDP287" s="2151"/>
      <c r="FDQ287" s="2151"/>
      <c r="FDR287" s="2151"/>
      <c r="FDS287" s="2151"/>
      <c r="FDT287" s="2151"/>
      <c r="FDU287" s="2151"/>
      <c r="FDV287" s="2151"/>
      <c r="FDW287" s="2151"/>
      <c r="FDX287" s="2151"/>
      <c r="FDY287" s="2151"/>
      <c r="FDZ287" s="2151"/>
      <c r="FEA287" s="2151"/>
      <c r="FEB287" s="2151"/>
      <c r="FEC287" s="2151"/>
      <c r="FED287" s="2151"/>
      <c r="FEE287" s="2150"/>
      <c r="FEF287" s="2151"/>
      <c r="FEG287" s="2151"/>
      <c r="FEH287" s="2151"/>
      <c r="FEI287" s="2151"/>
      <c r="FEJ287" s="2151"/>
      <c r="FEK287" s="2151"/>
      <c r="FEL287" s="2151"/>
      <c r="FEM287" s="2151"/>
      <c r="FEN287" s="2151"/>
      <c r="FEO287" s="2151"/>
      <c r="FEP287" s="2151"/>
      <c r="FEQ287" s="2151"/>
      <c r="FER287" s="2151"/>
      <c r="FES287" s="2151"/>
      <c r="FET287" s="2151"/>
      <c r="FEU287" s="2150"/>
      <c r="FEV287" s="2151"/>
      <c r="FEW287" s="2151"/>
      <c r="FEX287" s="2151"/>
      <c r="FEY287" s="2151"/>
      <c r="FEZ287" s="2151"/>
      <c r="FFA287" s="2151"/>
      <c r="FFB287" s="2151"/>
      <c r="FFC287" s="2151"/>
      <c r="FFD287" s="2151"/>
      <c r="FFE287" s="2151"/>
      <c r="FFF287" s="2151"/>
      <c r="FFG287" s="2151"/>
      <c r="FFH287" s="2151"/>
      <c r="FFI287" s="2151"/>
      <c r="FFJ287" s="2151"/>
      <c r="FFK287" s="2150"/>
      <c r="FFL287" s="2151"/>
      <c r="FFM287" s="2151"/>
      <c r="FFN287" s="2151"/>
      <c r="FFO287" s="2151"/>
      <c r="FFP287" s="2151"/>
      <c r="FFQ287" s="2151"/>
      <c r="FFR287" s="2151"/>
      <c r="FFS287" s="2151"/>
      <c r="FFT287" s="2151"/>
      <c r="FFU287" s="2151"/>
      <c r="FFV287" s="2151"/>
      <c r="FFW287" s="2151"/>
      <c r="FFX287" s="2151"/>
      <c r="FFY287" s="2151"/>
      <c r="FFZ287" s="2151"/>
      <c r="FGA287" s="2150"/>
      <c r="FGB287" s="2151"/>
      <c r="FGC287" s="2151"/>
      <c r="FGD287" s="2151"/>
      <c r="FGE287" s="2151"/>
      <c r="FGF287" s="2151"/>
      <c r="FGG287" s="2151"/>
      <c r="FGH287" s="2151"/>
      <c r="FGI287" s="2151"/>
      <c r="FGJ287" s="2151"/>
      <c r="FGK287" s="2151"/>
      <c r="FGL287" s="2151"/>
      <c r="FGM287" s="2151"/>
      <c r="FGN287" s="2151"/>
      <c r="FGO287" s="2151"/>
      <c r="FGP287" s="2151"/>
      <c r="FGQ287" s="2150"/>
      <c r="FGR287" s="2151"/>
      <c r="FGS287" s="2151"/>
      <c r="FGT287" s="2151"/>
      <c r="FGU287" s="2151"/>
      <c r="FGV287" s="2151"/>
      <c r="FGW287" s="2151"/>
      <c r="FGX287" s="2151"/>
      <c r="FGY287" s="2151"/>
      <c r="FGZ287" s="2151"/>
      <c r="FHA287" s="2151"/>
      <c r="FHB287" s="2151"/>
      <c r="FHC287" s="2151"/>
      <c r="FHD287" s="2151"/>
      <c r="FHE287" s="2151"/>
      <c r="FHF287" s="2151"/>
      <c r="FHG287" s="2150"/>
      <c r="FHH287" s="2151"/>
      <c r="FHI287" s="2151"/>
      <c r="FHJ287" s="2151"/>
      <c r="FHK287" s="2151"/>
      <c r="FHL287" s="2151"/>
      <c r="FHM287" s="2151"/>
      <c r="FHN287" s="2151"/>
      <c r="FHO287" s="2151"/>
      <c r="FHP287" s="2151"/>
      <c r="FHQ287" s="2151"/>
      <c r="FHR287" s="2151"/>
      <c r="FHS287" s="2151"/>
      <c r="FHT287" s="2151"/>
      <c r="FHU287" s="2151"/>
      <c r="FHV287" s="2151"/>
      <c r="FHW287" s="2150"/>
      <c r="FHX287" s="2151"/>
      <c r="FHY287" s="2151"/>
      <c r="FHZ287" s="2151"/>
      <c r="FIA287" s="2151"/>
      <c r="FIB287" s="2151"/>
      <c r="FIC287" s="2151"/>
      <c r="FID287" s="2151"/>
      <c r="FIE287" s="2151"/>
      <c r="FIF287" s="2151"/>
      <c r="FIG287" s="2151"/>
      <c r="FIH287" s="2151"/>
      <c r="FII287" s="2151"/>
      <c r="FIJ287" s="2151"/>
      <c r="FIK287" s="2151"/>
      <c r="FIL287" s="2151"/>
      <c r="FIM287" s="2150"/>
      <c r="FIN287" s="2151"/>
      <c r="FIO287" s="2151"/>
      <c r="FIP287" s="2151"/>
      <c r="FIQ287" s="2151"/>
      <c r="FIR287" s="2151"/>
      <c r="FIS287" s="2151"/>
      <c r="FIT287" s="2151"/>
      <c r="FIU287" s="2151"/>
      <c r="FIV287" s="2151"/>
      <c r="FIW287" s="2151"/>
      <c r="FIX287" s="2151"/>
      <c r="FIY287" s="2151"/>
      <c r="FIZ287" s="2151"/>
      <c r="FJA287" s="2151"/>
      <c r="FJB287" s="2151"/>
      <c r="FJC287" s="2150"/>
      <c r="FJD287" s="2151"/>
      <c r="FJE287" s="2151"/>
      <c r="FJF287" s="2151"/>
      <c r="FJG287" s="2151"/>
      <c r="FJH287" s="2151"/>
      <c r="FJI287" s="2151"/>
      <c r="FJJ287" s="2151"/>
      <c r="FJK287" s="2151"/>
      <c r="FJL287" s="2151"/>
      <c r="FJM287" s="2151"/>
      <c r="FJN287" s="2151"/>
      <c r="FJO287" s="2151"/>
      <c r="FJP287" s="2151"/>
      <c r="FJQ287" s="2151"/>
      <c r="FJR287" s="2151"/>
      <c r="FJS287" s="2150"/>
      <c r="FJT287" s="2151"/>
      <c r="FJU287" s="2151"/>
      <c r="FJV287" s="2151"/>
      <c r="FJW287" s="2151"/>
      <c r="FJX287" s="2151"/>
      <c r="FJY287" s="2151"/>
      <c r="FJZ287" s="2151"/>
      <c r="FKA287" s="2151"/>
      <c r="FKB287" s="2151"/>
      <c r="FKC287" s="2151"/>
      <c r="FKD287" s="2151"/>
      <c r="FKE287" s="2151"/>
      <c r="FKF287" s="2151"/>
      <c r="FKG287" s="2151"/>
      <c r="FKH287" s="2151"/>
      <c r="FKI287" s="2150"/>
      <c r="FKJ287" s="2151"/>
      <c r="FKK287" s="2151"/>
      <c r="FKL287" s="2151"/>
      <c r="FKM287" s="2151"/>
      <c r="FKN287" s="2151"/>
      <c r="FKO287" s="2151"/>
      <c r="FKP287" s="2151"/>
      <c r="FKQ287" s="2151"/>
      <c r="FKR287" s="2151"/>
      <c r="FKS287" s="2151"/>
      <c r="FKT287" s="2151"/>
      <c r="FKU287" s="2151"/>
      <c r="FKV287" s="2151"/>
      <c r="FKW287" s="2151"/>
      <c r="FKX287" s="2151"/>
      <c r="FKY287" s="2150"/>
      <c r="FKZ287" s="2151"/>
      <c r="FLA287" s="2151"/>
      <c r="FLB287" s="2151"/>
      <c r="FLC287" s="2151"/>
      <c r="FLD287" s="2151"/>
      <c r="FLE287" s="2151"/>
      <c r="FLF287" s="2151"/>
      <c r="FLG287" s="2151"/>
      <c r="FLH287" s="2151"/>
      <c r="FLI287" s="2151"/>
      <c r="FLJ287" s="2151"/>
      <c r="FLK287" s="2151"/>
      <c r="FLL287" s="2151"/>
      <c r="FLM287" s="2151"/>
      <c r="FLN287" s="2151"/>
      <c r="FLO287" s="2150"/>
      <c r="FLP287" s="2151"/>
      <c r="FLQ287" s="2151"/>
      <c r="FLR287" s="2151"/>
      <c r="FLS287" s="2151"/>
      <c r="FLT287" s="2151"/>
      <c r="FLU287" s="2151"/>
      <c r="FLV287" s="2151"/>
      <c r="FLW287" s="2151"/>
      <c r="FLX287" s="2151"/>
      <c r="FLY287" s="2151"/>
      <c r="FLZ287" s="2151"/>
      <c r="FMA287" s="2151"/>
      <c r="FMB287" s="2151"/>
      <c r="FMC287" s="2151"/>
      <c r="FMD287" s="2151"/>
      <c r="FME287" s="2150"/>
      <c r="FMF287" s="2151"/>
      <c r="FMG287" s="2151"/>
      <c r="FMH287" s="2151"/>
      <c r="FMI287" s="2151"/>
      <c r="FMJ287" s="2151"/>
      <c r="FMK287" s="2151"/>
      <c r="FML287" s="2151"/>
      <c r="FMM287" s="2151"/>
      <c r="FMN287" s="2151"/>
      <c r="FMO287" s="2151"/>
      <c r="FMP287" s="2151"/>
      <c r="FMQ287" s="2151"/>
      <c r="FMR287" s="2151"/>
      <c r="FMS287" s="2151"/>
      <c r="FMT287" s="2151"/>
      <c r="FMU287" s="2150"/>
      <c r="FMV287" s="2151"/>
      <c r="FMW287" s="2151"/>
      <c r="FMX287" s="2151"/>
      <c r="FMY287" s="2151"/>
      <c r="FMZ287" s="2151"/>
      <c r="FNA287" s="2151"/>
      <c r="FNB287" s="2151"/>
      <c r="FNC287" s="2151"/>
      <c r="FND287" s="2151"/>
      <c r="FNE287" s="2151"/>
      <c r="FNF287" s="2151"/>
      <c r="FNG287" s="2151"/>
      <c r="FNH287" s="2151"/>
      <c r="FNI287" s="2151"/>
      <c r="FNJ287" s="2151"/>
      <c r="FNK287" s="2150"/>
      <c r="FNL287" s="2151"/>
      <c r="FNM287" s="2151"/>
      <c r="FNN287" s="2151"/>
      <c r="FNO287" s="2151"/>
      <c r="FNP287" s="2151"/>
      <c r="FNQ287" s="2151"/>
      <c r="FNR287" s="2151"/>
      <c r="FNS287" s="2151"/>
      <c r="FNT287" s="2151"/>
      <c r="FNU287" s="2151"/>
      <c r="FNV287" s="2151"/>
      <c r="FNW287" s="2151"/>
      <c r="FNX287" s="2151"/>
      <c r="FNY287" s="2151"/>
      <c r="FNZ287" s="2151"/>
      <c r="FOA287" s="2150"/>
      <c r="FOB287" s="2151"/>
      <c r="FOC287" s="2151"/>
      <c r="FOD287" s="2151"/>
      <c r="FOE287" s="2151"/>
      <c r="FOF287" s="2151"/>
      <c r="FOG287" s="2151"/>
      <c r="FOH287" s="2151"/>
      <c r="FOI287" s="2151"/>
      <c r="FOJ287" s="2151"/>
      <c r="FOK287" s="2151"/>
      <c r="FOL287" s="2151"/>
      <c r="FOM287" s="2151"/>
      <c r="FON287" s="2151"/>
      <c r="FOO287" s="2151"/>
      <c r="FOP287" s="2151"/>
      <c r="FOQ287" s="2150"/>
      <c r="FOR287" s="2151"/>
      <c r="FOS287" s="2151"/>
      <c r="FOT287" s="2151"/>
      <c r="FOU287" s="2151"/>
      <c r="FOV287" s="2151"/>
      <c r="FOW287" s="2151"/>
      <c r="FOX287" s="2151"/>
      <c r="FOY287" s="2151"/>
      <c r="FOZ287" s="2151"/>
      <c r="FPA287" s="2151"/>
      <c r="FPB287" s="2151"/>
      <c r="FPC287" s="2151"/>
      <c r="FPD287" s="2151"/>
      <c r="FPE287" s="2151"/>
      <c r="FPF287" s="2151"/>
      <c r="FPG287" s="2150"/>
      <c r="FPH287" s="2151"/>
      <c r="FPI287" s="2151"/>
      <c r="FPJ287" s="2151"/>
      <c r="FPK287" s="2151"/>
      <c r="FPL287" s="2151"/>
      <c r="FPM287" s="2151"/>
      <c r="FPN287" s="2151"/>
      <c r="FPO287" s="2151"/>
      <c r="FPP287" s="2151"/>
      <c r="FPQ287" s="2151"/>
      <c r="FPR287" s="2151"/>
      <c r="FPS287" s="2151"/>
      <c r="FPT287" s="2151"/>
      <c r="FPU287" s="2151"/>
      <c r="FPV287" s="2151"/>
      <c r="FPW287" s="2150"/>
      <c r="FPX287" s="2151"/>
      <c r="FPY287" s="2151"/>
      <c r="FPZ287" s="2151"/>
      <c r="FQA287" s="2151"/>
      <c r="FQB287" s="2151"/>
      <c r="FQC287" s="2151"/>
      <c r="FQD287" s="2151"/>
      <c r="FQE287" s="2151"/>
      <c r="FQF287" s="2151"/>
      <c r="FQG287" s="2151"/>
      <c r="FQH287" s="2151"/>
      <c r="FQI287" s="2151"/>
      <c r="FQJ287" s="2151"/>
      <c r="FQK287" s="2151"/>
      <c r="FQL287" s="2151"/>
      <c r="FQM287" s="2150"/>
      <c r="FQN287" s="2151"/>
      <c r="FQO287" s="2151"/>
      <c r="FQP287" s="2151"/>
      <c r="FQQ287" s="2151"/>
      <c r="FQR287" s="2151"/>
      <c r="FQS287" s="2151"/>
      <c r="FQT287" s="2151"/>
      <c r="FQU287" s="2151"/>
      <c r="FQV287" s="2151"/>
      <c r="FQW287" s="2151"/>
      <c r="FQX287" s="2151"/>
      <c r="FQY287" s="2151"/>
      <c r="FQZ287" s="2151"/>
      <c r="FRA287" s="2151"/>
      <c r="FRB287" s="2151"/>
      <c r="FRC287" s="2150"/>
      <c r="FRD287" s="2151"/>
      <c r="FRE287" s="2151"/>
      <c r="FRF287" s="2151"/>
      <c r="FRG287" s="2151"/>
      <c r="FRH287" s="2151"/>
      <c r="FRI287" s="2151"/>
      <c r="FRJ287" s="2151"/>
      <c r="FRK287" s="2151"/>
      <c r="FRL287" s="2151"/>
      <c r="FRM287" s="2151"/>
      <c r="FRN287" s="2151"/>
      <c r="FRO287" s="2151"/>
      <c r="FRP287" s="2151"/>
      <c r="FRQ287" s="2151"/>
      <c r="FRR287" s="2151"/>
      <c r="FRS287" s="2150"/>
      <c r="FRT287" s="2151"/>
      <c r="FRU287" s="2151"/>
      <c r="FRV287" s="2151"/>
      <c r="FRW287" s="2151"/>
      <c r="FRX287" s="2151"/>
      <c r="FRY287" s="2151"/>
      <c r="FRZ287" s="2151"/>
      <c r="FSA287" s="2151"/>
      <c r="FSB287" s="2151"/>
      <c r="FSC287" s="2151"/>
      <c r="FSD287" s="2151"/>
      <c r="FSE287" s="2151"/>
      <c r="FSF287" s="2151"/>
      <c r="FSG287" s="2151"/>
      <c r="FSH287" s="2151"/>
      <c r="FSI287" s="2150"/>
      <c r="FSJ287" s="2151"/>
      <c r="FSK287" s="2151"/>
      <c r="FSL287" s="2151"/>
      <c r="FSM287" s="2151"/>
      <c r="FSN287" s="2151"/>
      <c r="FSO287" s="2151"/>
      <c r="FSP287" s="2151"/>
      <c r="FSQ287" s="2151"/>
      <c r="FSR287" s="2151"/>
      <c r="FSS287" s="2151"/>
      <c r="FST287" s="2151"/>
      <c r="FSU287" s="2151"/>
      <c r="FSV287" s="2151"/>
      <c r="FSW287" s="2151"/>
      <c r="FSX287" s="2151"/>
      <c r="FSY287" s="2150"/>
      <c r="FSZ287" s="2151"/>
      <c r="FTA287" s="2151"/>
      <c r="FTB287" s="2151"/>
      <c r="FTC287" s="2151"/>
      <c r="FTD287" s="2151"/>
      <c r="FTE287" s="2151"/>
      <c r="FTF287" s="2151"/>
      <c r="FTG287" s="2151"/>
      <c r="FTH287" s="2151"/>
      <c r="FTI287" s="2151"/>
      <c r="FTJ287" s="2151"/>
      <c r="FTK287" s="2151"/>
      <c r="FTL287" s="2151"/>
      <c r="FTM287" s="2151"/>
      <c r="FTN287" s="2151"/>
      <c r="FTO287" s="2150"/>
      <c r="FTP287" s="2151"/>
      <c r="FTQ287" s="2151"/>
      <c r="FTR287" s="2151"/>
      <c r="FTS287" s="2151"/>
      <c r="FTT287" s="2151"/>
      <c r="FTU287" s="2151"/>
      <c r="FTV287" s="2151"/>
      <c r="FTW287" s="2151"/>
      <c r="FTX287" s="2151"/>
      <c r="FTY287" s="2151"/>
      <c r="FTZ287" s="2151"/>
      <c r="FUA287" s="2151"/>
      <c r="FUB287" s="2151"/>
      <c r="FUC287" s="2151"/>
      <c r="FUD287" s="2151"/>
      <c r="FUE287" s="2150"/>
      <c r="FUF287" s="2151"/>
      <c r="FUG287" s="2151"/>
      <c r="FUH287" s="2151"/>
      <c r="FUI287" s="2151"/>
      <c r="FUJ287" s="2151"/>
      <c r="FUK287" s="2151"/>
      <c r="FUL287" s="2151"/>
      <c r="FUM287" s="2151"/>
      <c r="FUN287" s="2151"/>
      <c r="FUO287" s="2151"/>
      <c r="FUP287" s="2151"/>
      <c r="FUQ287" s="2151"/>
      <c r="FUR287" s="2151"/>
      <c r="FUS287" s="2151"/>
      <c r="FUT287" s="2151"/>
      <c r="FUU287" s="2150"/>
      <c r="FUV287" s="2151"/>
      <c r="FUW287" s="2151"/>
      <c r="FUX287" s="2151"/>
      <c r="FUY287" s="2151"/>
      <c r="FUZ287" s="2151"/>
      <c r="FVA287" s="2151"/>
      <c r="FVB287" s="2151"/>
      <c r="FVC287" s="2151"/>
      <c r="FVD287" s="2151"/>
      <c r="FVE287" s="2151"/>
      <c r="FVF287" s="2151"/>
      <c r="FVG287" s="2151"/>
      <c r="FVH287" s="2151"/>
      <c r="FVI287" s="2151"/>
      <c r="FVJ287" s="2151"/>
      <c r="FVK287" s="2150"/>
      <c r="FVL287" s="2151"/>
      <c r="FVM287" s="2151"/>
      <c r="FVN287" s="2151"/>
      <c r="FVO287" s="2151"/>
      <c r="FVP287" s="2151"/>
      <c r="FVQ287" s="2151"/>
      <c r="FVR287" s="2151"/>
      <c r="FVS287" s="2151"/>
      <c r="FVT287" s="2151"/>
      <c r="FVU287" s="2151"/>
      <c r="FVV287" s="2151"/>
      <c r="FVW287" s="2151"/>
      <c r="FVX287" s="2151"/>
      <c r="FVY287" s="2151"/>
      <c r="FVZ287" s="2151"/>
      <c r="FWA287" s="2150"/>
      <c r="FWB287" s="2151"/>
      <c r="FWC287" s="2151"/>
      <c r="FWD287" s="2151"/>
      <c r="FWE287" s="2151"/>
      <c r="FWF287" s="2151"/>
      <c r="FWG287" s="2151"/>
      <c r="FWH287" s="2151"/>
      <c r="FWI287" s="2151"/>
      <c r="FWJ287" s="2151"/>
      <c r="FWK287" s="2151"/>
      <c r="FWL287" s="2151"/>
      <c r="FWM287" s="2151"/>
      <c r="FWN287" s="2151"/>
      <c r="FWO287" s="2151"/>
      <c r="FWP287" s="2151"/>
      <c r="FWQ287" s="2150"/>
      <c r="FWR287" s="2151"/>
      <c r="FWS287" s="2151"/>
      <c r="FWT287" s="2151"/>
      <c r="FWU287" s="2151"/>
      <c r="FWV287" s="2151"/>
      <c r="FWW287" s="2151"/>
      <c r="FWX287" s="2151"/>
      <c r="FWY287" s="2151"/>
      <c r="FWZ287" s="2151"/>
      <c r="FXA287" s="2151"/>
      <c r="FXB287" s="2151"/>
      <c r="FXC287" s="2151"/>
      <c r="FXD287" s="2151"/>
      <c r="FXE287" s="2151"/>
      <c r="FXF287" s="2151"/>
      <c r="FXG287" s="2150"/>
      <c r="FXH287" s="2151"/>
      <c r="FXI287" s="2151"/>
      <c r="FXJ287" s="2151"/>
      <c r="FXK287" s="2151"/>
      <c r="FXL287" s="2151"/>
      <c r="FXM287" s="2151"/>
      <c r="FXN287" s="2151"/>
      <c r="FXO287" s="2151"/>
      <c r="FXP287" s="2151"/>
      <c r="FXQ287" s="2151"/>
      <c r="FXR287" s="2151"/>
      <c r="FXS287" s="2151"/>
      <c r="FXT287" s="2151"/>
      <c r="FXU287" s="2151"/>
      <c r="FXV287" s="2151"/>
      <c r="FXW287" s="2150"/>
      <c r="FXX287" s="2151"/>
      <c r="FXY287" s="2151"/>
      <c r="FXZ287" s="2151"/>
      <c r="FYA287" s="2151"/>
      <c r="FYB287" s="2151"/>
      <c r="FYC287" s="2151"/>
      <c r="FYD287" s="2151"/>
      <c r="FYE287" s="2151"/>
      <c r="FYF287" s="2151"/>
      <c r="FYG287" s="2151"/>
      <c r="FYH287" s="2151"/>
      <c r="FYI287" s="2151"/>
      <c r="FYJ287" s="2151"/>
      <c r="FYK287" s="2151"/>
      <c r="FYL287" s="2151"/>
      <c r="FYM287" s="2150"/>
      <c r="FYN287" s="2151"/>
      <c r="FYO287" s="2151"/>
      <c r="FYP287" s="2151"/>
      <c r="FYQ287" s="2151"/>
      <c r="FYR287" s="2151"/>
      <c r="FYS287" s="2151"/>
      <c r="FYT287" s="2151"/>
      <c r="FYU287" s="2151"/>
      <c r="FYV287" s="2151"/>
      <c r="FYW287" s="2151"/>
      <c r="FYX287" s="2151"/>
      <c r="FYY287" s="2151"/>
      <c r="FYZ287" s="2151"/>
      <c r="FZA287" s="2151"/>
      <c r="FZB287" s="2151"/>
      <c r="FZC287" s="2150"/>
      <c r="FZD287" s="2151"/>
      <c r="FZE287" s="2151"/>
      <c r="FZF287" s="2151"/>
      <c r="FZG287" s="2151"/>
      <c r="FZH287" s="2151"/>
      <c r="FZI287" s="2151"/>
      <c r="FZJ287" s="2151"/>
      <c r="FZK287" s="2151"/>
      <c r="FZL287" s="2151"/>
      <c r="FZM287" s="2151"/>
      <c r="FZN287" s="2151"/>
      <c r="FZO287" s="2151"/>
      <c r="FZP287" s="2151"/>
      <c r="FZQ287" s="2151"/>
      <c r="FZR287" s="2151"/>
      <c r="FZS287" s="2150"/>
      <c r="FZT287" s="2151"/>
      <c r="FZU287" s="2151"/>
      <c r="FZV287" s="2151"/>
      <c r="FZW287" s="2151"/>
      <c r="FZX287" s="2151"/>
      <c r="FZY287" s="2151"/>
      <c r="FZZ287" s="2151"/>
      <c r="GAA287" s="2151"/>
      <c r="GAB287" s="2151"/>
      <c r="GAC287" s="2151"/>
      <c r="GAD287" s="2151"/>
      <c r="GAE287" s="2151"/>
      <c r="GAF287" s="2151"/>
      <c r="GAG287" s="2151"/>
      <c r="GAH287" s="2151"/>
      <c r="GAI287" s="2150"/>
      <c r="GAJ287" s="2151"/>
      <c r="GAK287" s="2151"/>
      <c r="GAL287" s="2151"/>
      <c r="GAM287" s="2151"/>
      <c r="GAN287" s="2151"/>
      <c r="GAO287" s="2151"/>
      <c r="GAP287" s="2151"/>
      <c r="GAQ287" s="2151"/>
      <c r="GAR287" s="2151"/>
      <c r="GAS287" s="2151"/>
      <c r="GAT287" s="2151"/>
      <c r="GAU287" s="2151"/>
      <c r="GAV287" s="2151"/>
      <c r="GAW287" s="2151"/>
      <c r="GAX287" s="2151"/>
      <c r="GAY287" s="2150"/>
      <c r="GAZ287" s="2151"/>
      <c r="GBA287" s="2151"/>
      <c r="GBB287" s="2151"/>
      <c r="GBC287" s="2151"/>
      <c r="GBD287" s="2151"/>
      <c r="GBE287" s="2151"/>
      <c r="GBF287" s="2151"/>
      <c r="GBG287" s="2151"/>
      <c r="GBH287" s="2151"/>
      <c r="GBI287" s="2151"/>
      <c r="GBJ287" s="2151"/>
      <c r="GBK287" s="2151"/>
      <c r="GBL287" s="2151"/>
      <c r="GBM287" s="2151"/>
      <c r="GBN287" s="2151"/>
      <c r="GBO287" s="2150"/>
      <c r="GBP287" s="2151"/>
      <c r="GBQ287" s="2151"/>
      <c r="GBR287" s="2151"/>
      <c r="GBS287" s="2151"/>
      <c r="GBT287" s="2151"/>
      <c r="GBU287" s="2151"/>
      <c r="GBV287" s="2151"/>
      <c r="GBW287" s="2151"/>
      <c r="GBX287" s="2151"/>
      <c r="GBY287" s="2151"/>
      <c r="GBZ287" s="2151"/>
      <c r="GCA287" s="2151"/>
      <c r="GCB287" s="2151"/>
      <c r="GCC287" s="2151"/>
      <c r="GCD287" s="2151"/>
      <c r="GCE287" s="2150"/>
      <c r="GCF287" s="2151"/>
      <c r="GCG287" s="2151"/>
      <c r="GCH287" s="2151"/>
      <c r="GCI287" s="2151"/>
      <c r="GCJ287" s="2151"/>
      <c r="GCK287" s="2151"/>
      <c r="GCL287" s="2151"/>
      <c r="GCM287" s="2151"/>
      <c r="GCN287" s="2151"/>
      <c r="GCO287" s="2151"/>
      <c r="GCP287" s="2151"/>
      <c r="GCQ287" s="2151"/>
      <c r="GCR287" s="2151"/>
      <c r="GCS287" s="2151"/>
      <c r="GCT287" s="2151"/>
      <c r="GCU287" s="2150"/>
      <c r="GCV287" s="2151"/>
      <c r="GCW287" s="2151"/>
      <c r="GCX287" s="2151"/>
      <c r="GCY287" s="2151"/>
      <c r="GCZ287" s="2151"/>
      <c r="GDA287" s="2151"/>
      <c r="GDB287" s="2151"/>
      <c r="GDC287" s="2151"/>
      <c r="GDD287" s="2151"/>
      <c r="GDE287" s="2151"/>
      <c r="GDF287" s="2151"/>
      <c r="GDG287" s="2151"/>
      <c r="GDH287" s="2151"/>
      <c r="GDI287" s="2151"/>
      <c r="GDJ287" s="2151"/>
      <c r="GDK287" s="2150"/>
      <c r="GDL287" s="2151"/>
      <c r="GDM287" s="2151"/>
      <c r="GDN287" s="2151"/>
      <c r="GDO287" s="2151"/>
      <c r="GDP287" s="2151"/>
      <c r="GDQ287" s="2151"/>
      <c r="GDR287" s="2151"/>
      <c r="GDS287" s="2151"/>
      <c r="GDT287" s="2151"/>
      <c r="GDU287" s="2151"/>
      <c r="GDV287" s="2151"/>
      <c r="GDW287" s="2151"/>
      <c r="GDX287" s="2151"/>
      <c r="GDY287" s="2151"/>
      <c r="GDZ287" s="2151"/>
      <c r="GEA287" s="2150"/>
      <c r="GEB287" s="2151"/>
      <c r="GEC287" s="2151"/>
      <c r="GED287" s="2151"/>
      <c r="GEE287" s="2151"/>
      <c r="GEF287" s="2151"/>
      <c r="GEG287" s="2151"/>
      <c r="GEH287" s="2151"/>
      <c r="GEI287" s="2151"/>
      <c r="GEJ287" s="2151"/>
      <c r="GEK287" s="2151"/>
      <c r="GEL287" s="2151"/>
      <c r="GEM287" s="2151"/>
      <c r="GEN287" s="2151"/>
      <c r="GEO287" s="2151"/>
      <c r="GEP287" s="2151"/>
      <c r="GEQ287" s="2150"/>
      <c r="GER287" s="2151"/>
      <c r="GES287" s="2151"/>
      <c r="GET287" s="2151"/>
      <c r="GEU287" s="2151"/>
      <c r="GEV287" s="2151"/>
      <c r="GEW287" s="2151"/>
      <c r="GEX287" s="2151"/>
      <c r="GEY287" s="2151"/>
      <c r="GEZ287" s="2151"/>
      <c r="GFA287" s="2151"/>
      <c r="GFB287" s="2151"/>
      <c r="GFC287" s="2151"/>
      <c r="GFD287" s="2151"/>
      <c r="GFE287" s="2151"/>
      <c r="GFF287" s="2151"/>
      <c r="GFG287" s="2150"/>
      <c r="GFH287" s="2151"/>
      <c r="GFI287" s="2151"/>
      <c r="GFJ287" s="2151"/>
      <c r="GFK287" s="2151"/>
      <c r="GFL287" s="2151"/>
      <c r="GFM287" s="2151"/>
      <c r="GFN287" s="2151"/>
      <c r="GFO287" s="2151"/>
      <c r="GFP287" s="2151"/>
      <c r="GFQ287" s="2151"/>
      <c r="GFR287" s="2151"/>
      <c r="GFS287" s="2151"/>
      <c r="GFT287" s="2151"/>
      <c r="GFU287" s="2151"/>
      <c r="GFV287" s="2151"/>
      <c r="GFW287" s="2150"/>
      <c r="GFX287" s="2151"/>
      <c r="GFY287" s="2151"/>
      <c r="GFZ287" s="2151"/>
      <c r="GGA287" s="2151"/>
      <c r="GGB287" s="2151"/>
      <c r="GGC287" s="2151"/>
      <c r="GGD287" s="2151"/>
      <c r="GGE287" s="2151"/>
      <c r="GGF287" s="2151"/>
      <c r="GGG287" s="2151"/>
      <c r="GGH287" s="2151"/>
      <c r="GGI287" s="2151"/>
      <c r="GGJ287" s="2151"/>
      <c r="GGK287" s="2151"/>
      <c r="GGL287" s="2151"/>
      <c r="GGM287" s="2150"/>
      <c r="GGN287" s="2151"/>
      <c r="GGO287" s="2151"/>
      <c r="GGP287" s="2151"/>
      <c r="GGQ287" s="2151"/>
      <c r="GGR287" s="2151"/>
      <c r="GGS287" s="2151"/>
      <c r="GGT287" s="2151"/>
      <c r="GGU287" s="2151"/>
      <c r="GGV287" s="2151"/>
      <c r="GGW287" s="2151"/>
      <c r="GGX287" s="2151"/>
      <c r="GGY287" s="2151"/>
      <c r="GGZ287" s="2151"/>
      <c r="GHA287" s="2151"/>
      <c r="GHB287" s="2151"/>
      <c r="GHC287" s="2150"/>
      <c r="GHD287" s="2151"/>
      <c r="GHE287" s="2151"/>
      <c r="GHF287" s="2151"/>
      <c r="GHG287" s="2151"/>
      <c r="GHH287" s="2151"/>
      <c r="GHI287" s="2151"/>
      <c r="GHJ287" s="2151"/>
      <c r="GHK287" s="2151"/>
      <c r="GHL287" s="2151"/>
      <c r="GHM287" s="2151"/>
      <c r="GHN287" s="2151"/>
      <c r="GHO287" s="2151"/>
      <c r="GHP287" s="2151"/>
      <c r="GHQ287" s="2151"/>
      <c r="GHR287" s="2151"/>
      <c r="GHS287" s="2150"/>
      <c r="GHT287" s="2151"/>
      <c r="GHU287" s="2151"/>
      <c r="GHV287" s="2151"/>
      <c r="GHW287" s="2151"/>
      <c r="GHX287" s="2151"/>
      <c r="GHY287" s="2151"/>
      <c r="GHZ287" s="2151"/>
      <c r="GIA287" s="2151"/>
      <c r="GIB287" s="2151"/>
      <c r="GIC287" s="2151"/>
      <c r="GID287" s="2151"/>
      <c r="GIE287" s="2151"/>
      <c r="GIF287" s="2151"/>
      <c r="GIG287" s="2151"/>
      <c r="GIH287" s="2151"/>
      <c r="GII287" s="2150"/>
      <c r="GIJ287" s="2151"/>
      <c r="GIK287" s="2151"/>
      <c r="GIL287" s="2151"/>
      <c r="GIM287" s="2151"/>
      <c r="GIN287" s="2151"/>
      <c r="GIO287" s="2151"/>
      <c r="GIP287" s="2151"/>
      <c r="GIQ287" s="2151"/>
      <c r="GIR287" s="2151"/>
      <c r="GIS287" s="2151"/>
      <c r="GIT287" s="2151"/>
      <c r="GIU287" s="2151"/>
      <c r="GIV287" s="2151"/>
      <c r="GIW287" s="2151"/>
      <c r="GIX287" s="2151"/>
      <c r="GIY287" s="2150"/>
      <c r="GIZ287" s="2151"/>
      <c r="GJA287" s="2151"/>
      <c r="GJB287" s="2151"/>
      <c r="GJC287" s="2151"/>
      <c r="GJD287" s="2151"/>
      <c r="GJE287" s="2151"/>
      <c r="GJF287" s="2151"/>
      <c r="GJG287" s="2151"/>
      <c r="GJH287" s="2151"/>
      <c r="GJI287" s="2151"/>
      <c r="GJJ287" s="2151"/>
      <c r="GJK287" s="2151"/>
      <c r="GJL287" s="2151"/>
      <c r="GJM287" s="2151"/>
      <c r="GJN287" s="2151"/>
      <c r="GJO287" s="2150"/>
      <c r="GJP287" s="2151"/>
      <c r="GJQ287" s="2151"/>
      <c r="GJR287" s="2151"/>
      <c r="GJS287" s="2151"/>
      <c r="GJT287" s="2151"/>
      <c r="GJU287" s="2151"/>
      <c r="GJV287" s="2151"/>
      <c r="GJW287" s="2151"/>
      <c r="GJX287" s="2151"/>
      <c r="GJY287" s="2151"/>
      <c r="GJZ287" s="2151"/>
      <c r="GKA287" s="2151"/>
      <c r="GKB287" s="2151"/>
      <c r="GKC287" s="2151"/>
      <c r="GKD287" s="2151"/>
      <c r="GKE287" s="2150"/>
      <c r="GKF287" s="2151"/>
      <c r="GKG287" s="2151"/>
      <c r="GKH287" s="2151"/>
      <c r="GKI287" s="2151"/>
      <c r="GKJ287" s="2151"/>
      <c r="GKK287" s="2151"/>
      <c r="GKL287" s="2151"/>
      <c r="GKM287" s="2151"/>
      <c r="GKN287" s="2151"/>
      <c r="GKO287" s="2151"/>
      <c r="GKP287" s="2151"/>
      <c r="GKQ287" s="2151"/>
      <c r="GKR287" s="2151"/>
      <c r="GKS287" s="2151"/>
      <c r="GKT287" s="2151"/>
      <c r="GKU287" s="2150"/>
      <c r="GKV287" s="2151"/>
      <c r="GKW287" s="2151"/>
      <c r="GKX287" s="2151"/>
      <c r="GKY287" s="2151"/>
      <c r="GKZ287" s="2151"/>
      <c r="GLA287" s="2151"/>
      <c r="GLB287" s="2151"/>
      <c r="GLC287" s="2151"/>
      <c r="GLD287" s="2151"/>
      <c r="GLE287" s="2151"/>
      <c r="GLF287" s="2151"/>
      <c r="GLG287" s="2151"/>
      <c r="GLH287" s="2151"/>
      <c r="GLI287" s="2151"/>
      <c r="GLJ287" s="2151"/>
      <c r="GLK287" s="2150"/>
      <c r="GLL287" s="2151"/>
      <c r="GLM287" s="2151"/>
      <c r="GLN287" s="2151"/>
      <c r="GLO287" s="2151"/>
      <c r="GLP287" s="2151"/>
      <c r="GLQ287" s="2151"/>
      <c r="GLR287" s="2151"/>
      <c r="GLS287" s="2151"/>
      <c r="GLT287" s="2151"/>
      <c r="GLU287" s="2151"/>
      <c r="GLV287" s="2151"/>
      <c r="GLW287" s="2151"/>
      <c r="GLX287" s="2151"/>
      <c r="GLY287" s="2151"/>
      <c r="GLZ287" s="2151"/>
      <c r="GMA287" s="2150"/>
      <c r="GMB287" s="2151"/>
      <c r="GMC287" s="2151"/>
      <c r="GMD287" s="2151"/>
      <c r="GME287" s="2151"/>
      <c r="GMF287" s="2151"/>
      <c r="GMG287" s="2151"/>
      <c r="GMH287" s="2151"/>
      <c r="GMI287" s="2151"/>
      <c r="GMJ287" s="2151"/>
      <c r="GMK287" s="2151"/>
      <c r="GML287" s="2151"/>
      <c r="GMM287" s="2151"/>
      <c r="GMN287" s="2151"/>
      <c r="GMO287" s="2151"/>
      <c r="GMP287" s="2151"/>
      <c r="GMQ287" s="2150"/>
      <c r="GMR287" s="2151"/>
      <c r="GMS287" s="2151"/>
      <c r="GMT287" s="2151"/>
      <c r="GMU287" s="2151"/>
      <c r="GMV287" s="2151"/>
      <c r="GMW287" s="2151"/>
      <c r="GMX287" s="2151"/>
      <c r="GMY287" s="2151"/>
      <c r="GMZ287" s="2151"/>
      <c r="GNA287" s="2151"/>
      <c r="GNB287" s="2151"/>
      <c r="GNC287" s="2151"/>
      <c r="GND287" s="2151"/>
      <c r="GNE287" s="2151"/>
      <c r="GNF287" s="2151"/>
      <c r="GNG287" s="2150"/>
      <c r="GNH287" s="2151"/>
      <c r="GNI287" s="2151"/>
      <c r="GNJ287" s="2151"/>
      <c r="GNK287" s="2151"/>
      <c r="GNL287" s="2151"/>
      <c r="GNM287" s="2151"/>
      <c r="GNN287" s="2151"/>
      <c r="GNO287" s="2151"/>
      <c r="GNP287" s="2151"/>
      <c r="GNQ287" s="2151"/>
      <c r="GNR287" s="2151"/>
      <c r="GNS287" s="2151"/>
      <c r="GNT287" s="2151"/>
      <c r="GNU287" s="2151"/>
      <c r="GNV287" s="2151"/>
      <c r="GNW287" s="2150"/>
      <c r="GNX287" s="2151"/>
      <c r="GNY287" s="2151"/>
      <c r="GNZ287" s="2151"/>
      <c r="GOA287" s="2151"/>
      <c r="GOB287" s="2151"/>
      <c r="GOC287" s="2151"/>
      <c r="GOD287" s="2151"/>
      <c r="GOE287" s="2151"/>
      <c r="GOF287" s="2151"/>
      <c r="GOG287" s="2151"/>
      <c r="GOH287" s="2151"/>
      <c r="GOI287" s="2151"/>
      <c r="GOJ287" s="2151"/>
      <c r="GOK287" s="2151"/>
      <c r="GOL287" s="2151"/>
      <c r="GOM287" s="2150"/>
      <c r="GON287" s="2151"/>
      <c r="GOO287" s="2151"/>
      <c r="GOP287" s="2151"/>
      <c r="GOQ287" s="2151"/>
      <c r="GOR287" s="2151"/>
      <c r="GOS287" s="2151"/>
      <c r="GOT287" s="2151"/>
      <c r="GOU287" s="2151"/>
      <c r="GOV287" s="2151"/>
      <c r="GOW287" s="2151"/>
      <c r="GOX287" s="2151"/>
      <c r="GOY287" s="2151"/>
      <c r="GOZ287" s="2151"/>
      <c r="GPA287" s="2151"/>
      <c r="GPB287" s="2151"/>
      <c r="GPC287" s="2150"/>
      <c r="GPD287" s="2151"/>
      <c r="GPE287" s="2151"/>
      <c r="GPF287" s="2151"/>
      <c r="GPG287" s="2151"/>
      <c r="GPH287" s="2151"/>
      <c r="GPI287" s="2151"/>
      <c r="GPJ287" s="2151"/>
      <c r="GPK287" s="2151"/>
      <c r="GPL287" s="2151"/>
      <c r="GPM287" s="2151"/>
      <c r="GPN287" s="2151"/>
      <c r="GPO287" s="2151"/>
      <c r="GPP287" s="2151"/>
      <c r="GPQ287" s="2151"/>
      <c r="GPR287" s="2151"/>
      <c r="GPS287" s="2150"/>
      <c r="GPT287" s="2151"/>
      <c r="GPU287" s="2151"/>
      <c r="GPV287" s="2151"/>
      <c r="GPW287" s="2151"/>
      <c r="GPX287" s="2151"/>
      <c r="GPY287" s="2151"/>
      <c r="GPZ287" s="2151"/>
      <c r="GQA287" s="2151"/>
      <c r="GQB287" s="2151"/>
      <c r="GQC287" s="2151"/>
      <c r="GQD287" s="2151"/>
      <c r="GQE287" s="2151"/>
      <c r="GQF287" s="2151"/>
      <c r="GQG287" s="2151"/>
      <c r="GQH287" s="2151"/>
      <c r="GQI287" s="2150"/>
      <c r="GQJ287" s="2151"/>
      <c r="GQK287" s="2151"/>
      <c r="GQL287" s="2151"/>
      <c r="GQM287" s="2151"/>
      <c r="GQN287" s="2151"/>
      <c r="GQO287" s="2151"/>
      <c r="GQP287" s="2151"/>
      <c r="GQQ287" s="2151"/>
      <c r="GQR287" s="2151"/>
      <c r="GQS287" s="2151"/>
      <c r="GQT287" s="2151"/>
      <c r="GQU287" s="2151"/>
      <c r="GQV287" s="2151"/>
      <c r="GQW287" s="2151"/>
      <c r="GQX287" s="2151"/>
      <c r="GQY287" s="2150"/>
      <c r="GQZ287" s="2151"/>
      <c r="GRA287" s="2151"/>
      <c r="GRB287" s="2151"/>
      <c r="GRC287" s="2151"/>
      <c r="GRD287" s="2151"/>
      <c r="GRE287" s="2151"/>
      <c r="GRF287" s="2151"/>
      <c r="GRG287" s="2151"/>
      <c r="GRH287" s="2151"/>
      <c r="GRI287" s="2151"/>
      <c r="GRJ287" s="2151"/>
      <c r="GRK287" s="2151"/>
      <c r="GRL287" s="2151"/>
      <c r="GRM287" s="2151"/>
      <c r="GRN287" s="2151"/>
      <c r="GRO287" s="2150"/>
      <c r="GRP287" s="2151"/>
      <c r="GRQ287" s="2151"/>
      <c r="GRR287" s="2151"/>
      <c r="GRS287" s="2151"/>
      <c r="GRT287" s="2151"/>
      <c r="GRU287" s="2151"/>
      <c r="GRV287" s="2151"/>
      <c r="GRW287" s="2151"/>
      <c r="GRX287" s="2151"/>
      <c r="GRY287" s="2151"/>
      <c r="GRZ287" s="2151"/>
      <c r="GSA287" s="2151"/>
      <c r="GSB287" s="2151"/>
      <c r="GSC287" s="2151"/>
      <c r="GSD287" s="2151"/>
      <c r="GSE287" s="2150"/>
      <c r="GSF287" s="2151"/>
      <c r="GSG287" s="2151"/>
      <c r="GSH287" s="2151"/>
      <c r="GSI287" s="2151"/>
      <c r="GSJ287" s="2151"/>
      <c r="GSK287" s="2151"/>
      <c r="GSL287" s="2151"/>
      <c r="GSM287" s="2151"/>
      <c r="GSN287" s="2151"/>
      <c r="GSO287" s="2151"/>
      <c r="GSP287" s="2151"/>
      <c r="GSQ287" s="2151"/>
      <c r="GSR287" s="2151"/>
      <c r="GSS287" s="2151"/>
      <c r="GST287" s="2151"/>
      <c r="GSU287" s="2150"/>
      <c r="GSV287" s="2151"/>
      <c r="GSW287" s="2151"/>
      <c r="GSX287" s="2151"/>
      <c r="GSY287" s="2151"/>
      <c r="GSZ287" s="2151"/>
      <c r="GTA287" s="2151"/>
      <c r="GTB287" s="2151"/>
      <c r="GTC287" s="2151"/>
      <c r="GTD287" s="2151"/>
      <c r="GTE287" s="2151"/>
      <c r="GTF287" s="2151"/>
      <c r="GTG287" s="2151"/>
      <c r="GTH287" s="2151"/>
      <c r="GTI287" s="2151"/>
      <c r="GTJ287" s="2151"/>
      <c r="GTK287" s="2150"/>
      <c r="GTL287" s="2151"/>
      <c r="GTM287" s="2151"/>
      <c r="GTN287" s="2151"/>
      <c r="GTO287" s="2151"/>
      <c r="GTP287" s="2151"/>
      <c r="GTQ287" s="2151"/>
      <c r="GTR287" s="2151"/>
      <c r="GTS287" s="2151"/>
      <c r="GTT287" s="2151"/>
      <c r="GTU287" s="2151"/>
      <c r="GTV287" s="2151"/>
      <c r="GTW287" s="2151"/>
      <c r="GTX287" s="2151"/>
      <c r="GTY287" s="2151"/>
      <c r="GTZ287" s="2151"/>
      <c r="GUA287" s="2150"/>
      <c r="GUB287" s="2151"/>
      <c r="GUC287" s="2151"/>
      <c r="GUD287" s="2151"/>
      <c r="GUE287" s="2151"/>
      <c r="GUF287" s="2151"/>
      <c r="GUG287" s="2151"/>
      <c r="GUH287" s="2151"/>
      <c r="GUI287" s="2151"/>
      <c r="GUJ287" s="2151"/>
      <c r="GUK287" s="2151"/>
      <c r="GUL287" s="2151"/>
      <c r="GUM287" s="2151"/>
      <c r="GUN287" s="2151"/>
      <c r="GUO287" s="2151"/>
      <c r="GUP287" s="2151"/>
      <c r="GUQ287" s="2150"/>
      <c r="GUR287" s="2151"/>
      <c r="GUS287" s="2151"/>
      <c r="GUT287" s="2151"/>
      <c r="GUU287" s="2151"/>
      <c r="GUV287" s="2151"/>
      <c r="GUW287" s="2151"/>
      <c r="GUX287" s="2151"/>
      <c r="GUY287" s="2151"/>
      <c r="GUZ287" s="2151"/>
      <c r="GVA287" s="2151"/>
      <c r="GVB287" s="2151"/>
      <c r="GVC287" s="2151"/>
      <c r="GVD287" s="2151"/>
      <c r="GVE287" s="2151"/>
      <c r="GVF287" s="2151"/>
      <c r="GVG287" s="2150"/>
      <c r="GVH287" s="2151"/>
      <c r="GVI287" s="2151"/>
      <c r="GVJ287" s="2151"/>
      <c r="GVK287" s="2151"/>
      <c r="GVL287" s="2151"/>
      <c r="GVM287" s="2151"/>
      <c r="GVN287" s="2151"/>
      <c r="GVO287" s="2151"/>
      <c r="GVP287" s="2151"/>
      <c r="GVQ287" s="2151"/>
      <c r="GVR287" s="2151"/>
      <c r="GVS287" s="2151"/>
      <c r="GVT287" s="2151"/>
      <c r="GVU287" s="2151"/>
      <c r="GVV287" s="2151"/>
      <c r="GVW287" s="2150"/>
      <c r="GVX287" s="2151"/>
      <c r="GVY287" s="2151"/>
      <c r="GVZ287" s="2151"/>
      <c r="GWA287" s="2151"/>
      <c r="GWB287" s="2151"/>
      <c r="GWC287" s="2151"/>
      <c r="GWD287" s="2151"/>
      <c r="GWE287" s="2151"/>
      <c r="GWF287" s="2151"/>
      <c r="GWG287" s="2151"/>
      <c r="GWH287" s="2151"/>
      <c r="GWI287" s="2151"/>
      <c r="GWJ287" s="2151"/>
      <c r="GWK287" s="2151"/>
      <c r="GWL287" s="2151"/>
      <c r="GWM287" s="2150"/>
      <c r="GWN287" s="2151"/>
      <c r="GWO287" s="2151"/>
      <c r="GWP287" s="2151"/>
      <c r="GWQ287" s="2151"/>
      <c r="GWR287" s="2151"/>
      <c r="GWS287" s="2151"/>
      <c r="GWT287" s="2151"/>
      <c r="GWU287" s="2151"/>
      <c r="GWV287" s="2151"/>
      <c r="GWW287" s="2151"/>
      <c r="GWX287" s="2151"/>
      <c r="GWY287" s="2151"/>
      <c r="GWZ287" s="2151"/>
      <c r="GXA287" s="2151"/>
      <c r="GXB287" s="2151"/>
      <c r="GXC287" s="2150"/>
      <c r="GXD287" s="2151"/>
      <c r="GXE287" s="2151"/>
      <c r="GXF287" s="2151"/>
      <c r="GXG287" s="2151"/>
      <c r="GXH287" s="2151"/>
      <c r="GXI287" s="2151"/>
      <c r="GXJ287" s="2151"/>
      <c r="GXK287" s="2151"/>
      <c r="GXL287" s="2151"/>
      <c r="GXM287" s="2151"/>
      <c r="GXN287" s="2151"/>
      <c r="GXO287" s="2151"/>
      <c r="GXP287" s="2151"/>
      <c r="GXQ287" s="2151"/>
      <c r="GXR287" s="2151"/>
      <c r="GXS287" s="2150"/>
      <c r="GXT287" s="2151"/>
      <c r="GXU287" s="2151"/>
      <c r="GXV287" s="2151"/>
      <c r="GXW287" s="2151"/>
      <c r="GXX287" s="2151"/>
      <c r="GXY287" s="2151"/>
      <c r="GXZ287" s="2151"/>
      <c r="GYA287" s="2151"/>
      <c r="GYB287" s="2151"/>
      <c r="GYC287" s="2151"/>
      <c r="GYD287" s="2151"/>
      <c r="GYE287" s="2151"/>
      <c r="GYF287" s="2151"/>
      <c r="GYG287" s="2151"/>
      <c r="GYH287" s="2151"/>
      <c r="GYI287" s="2150"/>
      <c r="GYJ287" s="2151"/>
      <c r="GYK287" s="2151"/>
      <c r="GYL287" s="2151"/>
      <c r="GYM287" s="2151"/>
      <c r="GYN287" s="2151"/>
      <c r="GYO287" s="2151"/>
      <c r="GYP287" s="2151"/>
      <c r="GYQ287" s="2151"/>
      <c r="GYR287" s="2151"/>
      <c r="GYS287" s="2151"/>
      <c r="GYT287" s="2151"/>
      <c r="GYU287" s="2151"/>
      <c r="GYV287" s="2151"/>
      <c r="GYW287" s="2151"/>
      <c r="GYX287" s="2151"/>
      <c r="GYY287" s="2150"/>
      <c r="GYZ287" s="2151"/>
      <c r="GZA287" s="2151"/>
      <c r="GZB287" s="2151"/>
      <c r="GZC287" s="2151"/>
      <c r="GZD287" s="2151"/>
      <c r="GZE287" s="2151"/>
      <c r="GZF287" s="2151"/>
      <c r="GZG287" s="2151"/>
      <c r="GZH287" s="2151"/>
      <c r="GZI287" s="2151"/>
      <c r="GZJ287" s="2151"/>
      <c r="GZK287" s="2151"/>
      <c r="GZL287" s="2151"/>
      <c r="GZM287" s="2151"/>
      <c r="GZN287" s="2151"/>
      <c r="GZO287" s="2150"/>
      <c r="GZP287" s="2151"/>
      <c r="GZQ287" s="2151"/>
      <c r="GZR287" s="2151"/>
      <c r="GZS287" s="2151"/>
      <c r="GZT287" s="2151"/>
      <c r="GZU287" s="2151"/>
      <c r="GZV287" s="2151"/>
      <c r="GZW287" s="2151"/>
      <c r="GZX287" s="2151"/>
      <c r="GZY287" s="2151"/>
      <c r="GZZ287" s="2151"/>
      <c r="HAA287" s="2151"/>
      <c r="HAB287" s="2151"/>
      <c r="HAC287" s="2151"/>
      <c r="HAD287" s="2151"/>
      <c r="HAE287" s="2150"/>
      <c r="HAF287" s="2151"/>
      <c r="HAG287" s="2151"/>
      <c r="HAH287" s="2151"/>
      <c r="HAI287" s="2151"/>
      <c r="HAJ287" s="2151"/>
      <c r="HAK287" s="2151"/>
      <c r="HAL287" s="2151"/>
      <c r="HAM287" s="2151"/>
      <c r="HAN287" s="2151"/>
      <c r="HAO287" s="2151"/>
      <c r="HAP287" s="2151"/>
      <c r="HAQ287" s="2151"/>
      <c r="HAR287" s="2151"/>
      <c r="HAS287" s="2151"/>
      <c r="HAT287" s="2151"/>
      <c r="HAU287" s="2150"/>
      <c r="HAV287" s="2151"/>
      <c r="HAW287" s="2151"/>
      <c r="HAX287" s="2151"/>
      <c r="HAY287" s="2151"/>
      <c r="HAZ287" s="2151"/>
      <c r="HBA287" s="2151"/>
      <c r="HBB287" s="2151"/>
      <c r="HBC287" s="2151"/>
      <c r="HBD287" s="2151"/>
      <c r="HBE287" s="2151"/>
      <c r="HBF287" s="2151"/>
      <c r="HBG287" s="2151"/>
      <c r="HBH287" s="2151"/>
      <c r="HBI287" s="2151"/>
      <c r="HBJ287" s="2151"/>
      <c r="HBK287" s="2150"/>
      <c r="HBL287" s="2151"/>
      <c r="HBM287" s="2151"/>
      <c r="HBN287" s="2151"/>
      <c r="HBO287" s="2151"/>
      <c r="HBP287" s="2151"/>
      <c r="HBQ287" s="2151"/>
      <c r="HBR287" s="2151"/>
      <c r="HBS287" s="2151"/>
      <c r="HBT287" s="2151"/>
      <c r="HBU287" s="2151"/>
      <c r="HBV287" s="2151"/>
      <c r="HBW287" s="2151"/>
      <c r="HBX287" s="2151"/>
      <c r="HBY287" s="2151"/>
      <c r="HBZ287" s="2151"/>
      <c r="HCA287" s="2150"/>
      <c r="HCB287" s="2151"/>
      <c r="HCC287" s="2151"/>
      <c r="HCD287" s="2151"/>
      <c r="HCE287" s="2151"/>
      <c r="HCF287" s="2151"/>
      <c r="HCG287" s="2151"/>
      <c r="HCH287" s="2151"/>
      <c r="HCI287" s="2151"/>
      <c r="HCJ287" s="2151"/>
      <c r="HCK287" s="2151"/>
      <c r="HCL287" s="2151"/>
      <c r="HCM287" s="2151"/>
      <c r="HCN287" s="2151"/>
      <c r="HCO287" s="2151"/>
      <c r="HCP287" s="2151"/>
      <c r="HCQ287" s="2150"/>
      <c r="HCR287" s="2151"/>
      <c r="HCS287" s="2151"/>
      <c r="HCT287" s="2151"/>
      <c r="HCU287" s="2151"/>
      <c r="HCV287" s="2151"/>
      <c r="HCW287" s="2151"/>
      <c r="HCX287" s="2151"/>
      <c r="HCY287" s="2151"/>
      <c r="HCZ287" s="2151"/>
      <c r="HDA287" s="2151"/>
      <c r="HDB287" s="2151"/>
      <c r="HDC287" s="2151"/>
      <c r="HDD287" s="2151"/>
      <c r="HDE287" s="2151"/>
      <c r="HDF287" s="2151"/>
      <c r="HDG287" s="2150"/>
      <c r="HDH287" s="2151"/>
      <c r="HDI287" s="2151"/>
      <c r="HDJ287" s="2151"/>
      <c r="HDK287" s="2151"/>
      <c r="HDL287" s="2151"/>
      <c r="HDM287" s="2151"/>
      <c r="HDN287" s="2151"/>
      <c r="HDO287" s="2151"/>
      <c r="HDP287" s="2151"/>
      <c r="HDQ287" s="2151"/>
      <c r="HDR287" s="2151"/>
      <c r="HDS287" s="2151"/>
      <c r="HDT287" s="2151"/>
      <c r="HDU287" s="2151"/>
      <c r="HDV287" s="2151"/>
      <c r="HDW287" s="2150"/>
      <c r="HDX287" s="2151"/>
      <c r="HDY287" s="2151"/>
      <c r="HDZ287" s="2151"/>
      <c r="HEA287" s="2151"/>
      <c r="HEB287" s="2151"/>
      <c r="HEC287" s="2151"/>
      <c r="HED287" s="2151"/>
      <c r="HEE287" s="2151"/>
      <c r="HEF287" s="2151"/>
      <c r="HEG287" s="2151"/>
      <c r="HEH287" s="2151"/>
      <c r="HEI287" s="2151"/>
      <c r="HEJ287" s="2151"/>
      <c r="HEK287" s="2151"/>
      <c r="HEL287" s="2151"/>
      <c r="HEM287" s="2150"/>
      <c r="HEN287" s="2151"/>
      <c r="HEO287" s="2151"/>
      <c r="HEP287" s="2151"/>
      <c r="HEQ287" s="2151"/>
      <c r="HER287" s="2151"/>
      <c r="HES287" s="2151"/>
      <c r="HET287" s="2151"/>
      <c r="HEU287" s="2151"/>
      <c r="HEV287" s="2151"/>
      <c r="HEW287" s="2151"/>
      <c r="HEX287" s="2151"/>
      <c r="HEY287" s="2151"/>
      <c r="HEZ287" s="2151"/>
      <c r="HFA287" s="2151"/>
      <c r="HFB287" s="2151"/>
      <c r="HFC287" s="2150"/>
      <c r="HFD287" s="2151"/>
      <c r="HFE287" s="2151"/>
      <c r="HFF287" s="2151"/>
      <c r="HFG287" s="2151"/>
      <c r="HFH287" s="2151"/>
      <c r="HFI287" s="2151"/>
      <c r="HFJ287" s="2151"/>
      <c r="HFK287" s="2151"/>
      <c r="HFL287" s="2151"/>
      <c r="HFM287" s="2151"/>
      <c r="HFN287" s="2151"/>
      <c r="HFO287" s="2151"/>
      <c r="HFP287" s="2151"/>
      <c r="HFQ287" s="2151"/>
      <c r="HFR287" s="2151"/>
      <c r="HFS287" s="2150"/>
      <c r="HFT287" s="2151"/>
      <c r="HFU287" s="2151"/>
      <c r="HFV287" s="2151"/>
      <c r="HFW287" s="2151"/>
      <c r="HFX287" s="2151"/>
      <c r="HFY287" s="2151"/>
      <c r="HFZ287" s="2151"/>
      <c r="HGA287" s="2151"/>
      <c r="HGB287" s="2151"/>
      <c r="HGC287" s="2151"/>
      <c r="HGD287" s="2151"/>
      <c r="HGE287" s="2151"/>
      <c r="HGF287" s="2151"/>
      <c r="HGG287" s="2151"/>
      <c r="HGH287" s="2151"/>
      <c r="HGI287" s="2150"/>
      <c r="HGJ287" s="2151"/>
      <c r="HGK287" s="2151"/>
      <c r="HGL287" s="2151"/>
      <c r="HGM287" s="2151"/>
      <c r="HGN287" s="2151"/>
      <c r="HGO287" s="2151"/>
      <c r="HGP287" s="2151"/>
      <c r="HGQ287" s="2151"/>
      <c r="HGR287" s="2151"/>
      <c r="HGS287" s="2151"/>
      <c r="HGT287" s="2151"/>
      <c r="HGU287" s="2151"/>
      <c r="HGV287" s="2151"/>
      <c r="HGW287" s="2151"/>
      <c r="HGX287" s="2151"/>
      <c r="HGY287" s="2150"/>
      <c r="HGZ287" s="2151"/>
      <c r="HHA287" s="2151"/>
      <c r="HHB287" s="2151"/>
      <c r="HHC287" s="2151"/>
      <c r="HHD287" s="2151"/>
      <c r="HHE287" s="2151"/>
      <c r="HHF287" s="2151"/>
      <c r="HHG287" s="2151"/>
      <c r="HHH287" s="2151"/>
      <c r="HHI287" s="2151"/>
      <c r="HHJ287" s="2151"/>
      <c r="HHK287" s="2151"/>
      <c r="HHL287" s="2151"/>
      <c r="HHM287" s="2151"/>
      <c r="HHN287" s="2151"/>
      <c r="HHO287" s="2150"/>
      <c r="HHP287" s="2151"/>
      <c r="HHQ287" s="2151"/>
      <c r="HHR287" s="2151"/>
      <c r="HHS287" s="2151"/>
      <c r="HHT287" s="2151"/>
      <c r="HHU287" s="2151"/>
      <c r="HHV287" s="2151"/>
      <c r="HHW287" s="2151"/>
      <c r="HHX287" s="2151"/>
      <c r="HHY287" s="2151"/>
      <c r="HHZ287" s="2151"/>
      <c r="HIA287" s="2151"/>
      <c r="HIB287" s="2151"/>
      <c r="HIC287" s="2151"/>
      <c r="HID287" s="2151"/>
      <c r="HIE287" s="2150"/>
      <c r="HIF287" s="2151"/>
      <c r="HIG287" s="2151"/>
      <c r="HIH287" s="2151"/>
      <c r="HII287" s="2151"/>
      <c r="HIJ287" s="2151"/>
      <c r="HIK287" s="2151"/>
      <c r="HIL287" s="2151"/>
      <c r="HIM287" s="2151"/>
      <c r="HIN287" s="2151"/>
      <c r="HIO287" s="2151"/>
      <c r="HIP287" s="2151"/>
      <c r="HIQ287" s="2151"/>
      <c r="HIR287" s="2151"/>
      <c r="HIS287" s="2151"/>
      <c r="HIT287" s="2151"/>
      <c r="HIU287" s="2150"/>
      <c r="HIV287" s="2151"/>
      <c r="HIW287" s="2151"/>
      <c r="HIX287" s="2151"/>
      <c r="HIY287" s="2151"/>
      <c r="HIZ287" s="2151"/>
      <c r="HJA287" s="2151"/>
      <c r="HJB287" s="2151"/>
      <c r="HJC287" s="2151"/>
      <c r="HJD287" s="2151"/>
      <c r="HJE287" s="2151"/>
      <c r="HJF287" s="2151"/>
      <c r="HJG287" s="2151"/>
      <c r="HJH287" s="2151"/>
      <c r="HJI287" s="2151"/>
      <c r="HJJ287" s="2151"/>
      <c r="HJK287" s="2150"/>
      <c r="HJL287" s="2151"/>
      <c r="HJM287" s="2151"/>
      <c r="HJN287" s="2151"/>
      <c r="HJO287" s="2151"/>
      <c r="HJP287" s="2151"/>
      <c r="HJQ287" s="2151"/>
      <c r="HJR287" s="2151"/>
      <c r="HJS287" s="2151"/>
      <c r="HJT287" s="2151"/>
      <c r="HJU287" s="2151"/>
      <c r="HJV287" s="2151"/>
      <c r="HJW287" s="2151"/>
      <c r="HJX287" s="2151"/>
      <c r="HJY287" s="2151"/>
      <c r="HJZ287" s="2151"/>
      <c r="HKA287" s="2150"/>
      <c r="HKB287" s="2151"/>
      <c r="HKC287" s="2151"/>
      <c r="HKD287" s="2151"/>
      <c r="HKE287" s="2151"/>
      <c r="HKF287" s="2151"/>
      <c r="HKG287" s="2151"/>
      <c r="HKH287" s="2151"/>
      <c r="HKI287" s="2151"/>
      <c r="HKJ287" s="2151"/>
      <c r="HKK287" s="2151"/>
      <c r="HKL287" s="2151"/>
      <c r="HKM287" s="2151"/>
      <c r="HKN287" s="2151"/>
      <c r="HKO287" s="2151"/>
      <c r="HKP287" s="2151"/>
      <c r="HKQ287" s="2150"/>
      <c r="HKR287" s="2151"/>
      <c r="HKS287" s="2151"/>
      <c r="HKT287" s="2151"/>
      <c r="HKU287" s="2151"/>
      <c r="HKV287" s="2151"/>
      <c r="HKW287" s="2151"/>
      <c r="HKX287" s="2151"/>
      <c r="HKY287" s="2151"/>
      <c r="HKZ287" s="2151"/>
      <c r="HLA287" s="2151"/>
      <c r="HLB287" s="2151"/>
      <c r="HLC287" s="2151"/>
      <c r="HLD287" s="2151"/>
      <c r="HLE287" s="2151"/>
      <c r="HLF287" s="2151"/>
      <c r="HLG287" s="2150"/>
      <c r="HLH287" s="2151"/>
      <c r="HLI287" s="2151"/>
      <c r="HLJ287" s="2151"/>
      <c r="HLK287" s="2151"/>
      <c r="HLL287" s="2151"/>
      <c r="HLM287" s="2151"/>
      <c r="HLN287" s="2151"/>
      <c r="HLO287" s="2151"/>
      <c r="HLP287" s="2151"/>
      <c r="HLQ287" s="2151"/>
      <c r="HLR287" s="2151"/>
      <c r="HLS287" s="2151"/>
      <c r="HLT287" s="2151"/>
      <c r="HLU287" s="2151"/>
      <c r="HLV287" s="2151"/>
      <c r="HLW287" s="2150"/>
      <c r="HLX287" s="2151"/>
      <c r="HLY287" s="2151"/>
      <c r="HLZ287" s="2151"/>
      <c r="HMA287" s="2151"/>
      <c r="HMB287" s="2151"/>
      <c r="HMC287" s="2151"/>
      <c r="HMD287" s="2151"/>
      <c r="HME287" s="2151"/>
      <c r="HMF287" s="2151"/>
      <c r="HMG287" s="2151"/>
      <c r="HMH287" s="2151"/>
      <c r="HMI287" s="2151"/>
      <c r="HMJ287" s="2151"/>
      <c r="HMK287" s="2151"/>
      <c r="HML287" s="2151"/>
      <c r="HMM287" s="2150"/>
      <c r="HMN287" s="2151"/>
      <c r="HMO287" s="2151"/>
      <c r="HMP287" s="2151"/>
      <c r="HMQ287" s="2151"/>
      <c r="HMR287" s="2151"/>
      <c r="HMS287" s="2151"/>
      <c r="HMT287" s="2151"/>
      <c r="HMU287" s="2151"/>
      <c r="HMV287" s="2151"/>
      <c r="HMW287" s="2151"/>
      <c r="HMX287" s="2151"/>
      <c r="HMY287" s="2151"/>
      <c r="HMZ287" s="2151"/>
      <c r="HNA287" s="2151"/>
      <c r="HNB287" s="2151"/>
      <c r="HNC287" s="2150"/>
      <c r="HND287" s="2151"/>
      <c r="HNE287" s="2151"/>
      <c r="HNF287" s="2151"/>
      <c r="HNG287" s="2151"/>
      <c r="HNH287" s="2151"/>
      <c r="HNI287" s="2151"/>
      <c r="HNJ287" s="2151"/>
      <c r="HNK287" s="2151"/>
      <c r="HNL287" s="2151"/>
      <c r="HNM287" s="2151"/>
      <c r="HNN287" s="2151"/>
      <c r="HNO287" s="2151"/>
      <c r="HNP287" s="2151"/>
      <c r="HNQ287" s="2151"/>
      <c r="HNR287" s="2151"/>
      <c r="HNS287" s="2150"/>
      <c r="HNT287" s="2151"/>
      <c r="HNU287" s="2151"/>
      <c r="HNV287" s="2151"/>
      <c r="HNW287" s="2151"/>
      <c r="HNX287" s="2151"/>
      <c r="HNY287" s="2151"/>
      <c r="HNZ287" s="2151"/>
      <c r="HOA287" s="2151"/>
      <c r="HOB287" s="2151"/>
      <c r="HOC287" s="2151"/>
      <c r="HOD287" s="2151"/>
      <c r="HOE287" s="2151"/>
      <c r="HOF287" s="2151"/>
      <c r="HOG287" s="2151"/>
      <c r="HOH287" s="2151"/>
      <c r="HOI287" s="2150"/>
      <c r="HOJ287" s="2151"/>
      <c r="HOK287" s="2151"/>
      <c r="HOL287" s="2151"/>
      <c r="HOM287" s="2151"/>
      <c r="HON287" s="2151"/>
      <c r="HOO287" s="2151"/>
      <c r="HOP287" s="2151"/>
      <c r="HOQ287" s="2151"/>
      <c r="HOR287" s="2151"/>
      <c r="HOS287" s="2151"/>
      <c r="HOT287" s="2151"/>
      <c r="HOU287" s="2151"/>
      <c r="HOV287" s="2151"/>
      <c r="HOW287" s="2151"/>
      <c r="HOX287" s="2151"/>
      <c r="HOY287" s="2150"/>
      <c r="HOZ287" s="2151"/>
      <c r="HPA287" s="2151"/>
      <c r="HPB287" s="2151"/>
      <c r="HPC287" s="2151"/>
      <c r="HPD287" s="2151"/>
      <c r="HPE287" s="2151"/>
      <c r="HPF287" s="2151"/>
      <c r="HPG287" s="2151"/>
      <c r="HPH287" s="2151"/>
      <c r="HPI287" s="2151"/>
      <c r="HPJ287" s="2151"/>
      <c r="HPK287" s="2151"/>
      <c r="HPL287" s="2151"/>
      <c r="HPM287" s="2151"/>
      <c r="HPN287" s="2151"/>
      <c r="HPO287" s="2150"/>
      <c r="HPP287" s="2151"/>
      <c r="HPQ287" s="2151"/>
      <c r="HPR287" s="2151"/>
      <c r="HPS287" s="2151"/>
      <c r="HPT287" s="2151"/>
      <c r="HPU287" s="2151"/>
      <c r="HPV287" s="2151"/>
      <c r="HPW287" s="2151"/>
      <c r="HPX287" s="2151"/>
      <c r="HPY287" s="2151"/>
      <c r="HPZ287" s="2151"/>
      <c r="HQA287" s="2151"/>
      <c r="HQB287" s="2151"/>
      <c r="HQC287" s="2151"/>
      <c r="HQD287" s="2151"/>
      <c r="HQE287" s="2150"/>
      <c r="HQF287" s="2151"/>
      <c r="HQG287" s="2151"/>
      <c r="HQH287" s="2151"/>
      <c r="HQI287" s="2151"/>
      <c r="HQJ287" s="2151"/>
      <c r="HQK287" s="2151"/>
      <c r="HQL287" s="2151"/>
      <c r="HQM287" s="2151"/>
      <c r="HQN287" s="2151"/>
      <c r="HQO287" s="2151"/>
      <c r="HQP287" s="2151"/>
      <c r="HQQ287" s="2151"/>
      <c r="HQR287" s="2151"/>
      <c r="HQS287" s="2151"/>
      <c r="HQT287" s="2151"/>
      <c r="HQU287" s="2150"/>
      <c r="HQV287" s="2151"/>
      <c r="HQW287" s="2151"/>
      <c r="HQX287" s="2151"/>
      <c r="HQY287" s="2151"/>
      <c r="HQZ287" s="2151"/>
      <c r="HRA287" s="2151"/>
      <c r="HRB287" s="2151"/>
      <c r="HRC287" s="2151"/>
      <c r="HRD287" s="2151"/>
      <c r="HRE287" s="2151"/>
      <c r="HRF287" s="2151"/>
      <c r="HRG287" s="2151"/>
      <c r="HRH287" s="2151"/>
      <c r="HRI287" s="2151"/>
      <c r="HRJ287" s="2151"/>
      <c r="HRK287" s="2150"/>
      <c r="HRL287" s="2151"/>
      <c r="HRM287" s="2151"/>
      <c r="HRN287" s="2151"/>
      <c r="HRO287" s="2151"/>
      <c r="HRP287" s="2151"/>
      <c r="HRQ287" s="2151"/>
      <c r="HRR287" s="2151"/>
      <c r="HRS287" s="2151"/>
      <c r="HRT287" s="2151"/>
      <c r="HRU287" s="2151"/>
      <c r="HRV287" s="2151"/>
      <c r="HRW287" s="2151"/>
      <c r="HRX287" s="2151"/>
      <c r="HRY287" s="2151"/>
      <c r="HRZ287" s="2151"/>
      <c r="HSA287" s="2150"/>
      <c r="HSB287" s="2151"/>
      <c r="HSC287" s="2151"/>
      <c r="HSD287" s="2151"/>
      <c r="HSE287" s="2151"/>
      <c r="HSF287" s="2151"/>
      <c r="HSG287" s="2151"/>
      <c r="HSH287" s="2151"/>
      <c r="HSI287" s="2151"/>
      <c r="HSJ287" s="2151"/>
      <c r="HSK287" s="2151"/>
      <c r="HSL287" s="2151"/>
      <c r="HSM287" s="2151"/>
      <c r="HSN287" s="2151"/>
      <c r="HSO287" s="2151"/>
      <c r="HSP287" s="2151"/>
      <c r="HSQ287" s="2150"/>
      <c r="HSR287" s="2151"/>
      <c r="HSS287" s="2151"/>
      <c r="HST287" s="2151"/>
      <c r="HSU287" s="2151"/>
      <c r="HSV287" s="2151"/>
      <c r="HSW287" s="2151"/>
      <c r="HSX287" s="2151"/>
      <c r="HSY287" s="2151"/>
      <c r="HSZ287" s="2151"/>
      <c r="HTA287" s="2151"/>
      <c r="HTB287" s="2151"/>
      <c r="HTC287" s="2151"/>
      <c r="HTD287" s="2151"/>
      <c r="HTE287" s="2151"/>
      <c r="HTF287" s="2151"/>
      <c r="HTG287" s="2150"/>
      <c r="HTH287" s="2151"/>
      <c r="HTI287" s="2151"/>
      <c r="HTJ287" s="2151"/>
      <c r="HTK287" s="2151"/>
      <c r="HTL287" s="2151"/>
      <c r="HTM287" s="2151"/>
      <c r="HTN287" s="2151"/>
      <c r="HTO287" s="2151"/>
      <c r="HTP287" s="2151"/>
      <c r="HTQ287" s="2151"/>
      <c r="HTR287" s="2151"/>
      <c r="HTS287" s="2151"/>
      <c r="HTT287" s="2151"/>
      <c r="HTU287" s="2151"/>
      <c r="HTV287" s="2151"/>
      <c r="HTW287" s="2150"/>
      <c r="HTX287" s="2151"/>
      <c r="HTY287" s="2151"/>
      <c r="HTZ287" s="2151"/>
      <c r="HUA287" s="2151"/>
      <c r="HUB287" s="2151"/>
      <c r="HUC287" s="2151"/>
      <c r="HUD287" s="2151"/>
      <c r="HUE287" s="2151"/>
      <c r="HUF287" s="2151"/>
      <c r="HUG287" s="2151"/>
      <c r="HUH287" s="2151"/>
      <c r="HUI287" s="2151"/>
      <c r="HUJ287" s="2151"/>
      <c r="HUK287" s="2151"/>
      <c r="HUL287" s="2151"/>
      <c r="HUM287" s="2150"/>
      <c r="HUN287" s="2151"/>
      <c r="HUO287" s="2151"/>
      <c r="HUP287" s="2151"/>
      <c r="HUQ287" s="2151"/>
      <c r="HUR287" s="2151"/>
      <c r="HUS287" s="2151"/>
      <c r="HUT287" s="2151"/>
      <c r="HUU287" s="2151"/>
      <c r="HUV287" s="2151"/>
      <c r="HUW287" s="2151"/>
      <c r="HUX287" s="2151"/>
      <c r="HUY287" s="2151"/>
      <c r="HUZ287" s="2151"/>
      <c r="HVA287" s="2151"/>
      <c r="HVB287" s="2151"/>
      <c r="HVC287" s="2150"/>
      <c r="HVD287" s="2151"/>
      <c r="HVE287" s="2151"/>
      <c r="HVF287" s="2151"/>
      <c r="HVG287" s="2151"/>
      <c r="HVH287" s="2151"/>
      <c r="HVI287" s="2151"/>
      <c r="HVJ287" s="2151"/>
      <c r="HVK287" s="2151"/>
      <c r="HVL287" s="2151"/>
      <c r="HVM287" s="2151"/>
      <c r="HVN287" s="2151"/>
      <c r="HVO287" s="2151"/>
      <c r="HVP287" s="2151"/>
      <c r="HVQ287" s="2151"/>
      <c r="HVR287" s="2151"/>
      <c r="HVS287" s="2150"/>
      <c r="HVT287" s="2151"/>
      <c r="HVU287" s="2151"/>
      <c r="HVV287" s="2151"/>
      <c r="HVW287" s="2151"/>
      <c r="HVX287" s="2151"/>
      <c r="HVY287" s="2151"/>
      <c r="HVZ287" s="2151"/>
      <c r="HWA287" s="2151"/>
      <c r="HWB287" s="2151"/>
      <c r="HWC287" s="2151"/>
      <c r="HWD287" s="2151"/>
      <c r="HWE287" s="2151"/>
      <c r="HWF287" s="2151"/>
      <c r="HWG287" s="2151"/>
      <c r="HWH287" s="2151"/>
      <c r="HWI287" s="2150"/>
      <c r="HWJ287" s="2151"/>
      <c r="HWK287" s="2151"/>
      <c r="HWL287" s="2151"/>
      <c r="HWM287" s="2151"/>
      <c r="HWN287" s="2151"/>
      <c r="HWO287" s="2151"/>
      <c r="HWP287" s="2151"/>
      <c r="HWQ287" s="2151"/>
      <c r="HWR287" s="2151"/>
      <c r="HWS287" s="2151"/>
      <c r="HWT287" s="2151"/>
      <c r="HWU287" s="2151"/>
      <c r="HWV287" s="2151"/>
      <c r="HWW287" s="2151"/>
      <c r="HWX287" s="2151"/>
      <c r="HWY287" s="2150"/>
      <c r="HWZ287" s="2151"/>
      <c r="HXA287" s="2151"/>
      <c r="HXB287" s="2151"/>
      <c r="HXC287" s="2151"/>
      <c r="HXD287" s="2151"/>
      <c r="HXE287" s="2151"/>
      <c r="HXF287" s="2151"/>
      <c r="HXG287" s="2151"/>
      <c r="HXH287" s="2151"/>
      <c r="HXI287" s="2151"/>
      <c r="HXJ287" s="2151"/>
      <c r="HXK287" s="2151"/>
      <c r="HXL287" s="2151"/>
      <c r="HXM287" s="2151"/>
      <c r="HXN287" s="2151"/>
      <c r="HXO287" s="2150"/>
      <c r="HXP287" s="2151"/>
      <c r="HXQ287" s="2151"/>
      <c r="HXR287" s="2151"/>
      <c r="HXS287" s="2151"/>
      <c r="HXT287" s="2151"/>
      <c r="HXU287" s="2151"/>
      <c r="HXV287" s="2151"/>
      <c r="HXW287" s="2151"/>
      <c r="HXX287" s="2151"/>
      <c r="HXY287" s="2151"/>
      <c r="HXZ287" s="2151"/>
      <c r="HYA287" s="2151"/>
      <c r="HYB287" s="2151"/>
      <c r="HYC287" s="2151"/>
      <c r="HYD287" s="2151"/>
      <c r="HYE287" s="2150"/>
      <c r="HYF287" s="2151"/>
      <c r="HYG287" s="2151"/>
      <c r="HYH287" s="2151"/>
      <c r="HYI287" s="2151"/>
      <c r="HYJ287" s="2151"/>
      <c r="HYK287" s="2151"/>
      <c r="HYL287" s="2151"/>
      <c r="HYM287" s="2151"/>
      <c r="HYN287" s="2151"/>
      <c r="HYO287" s="2151"/>
      <c r="HYP287" s="2151"/>
      <c r="HYQ287" s="2151"/>
      <c r="HYR287" s="2151"/>
      <c r="HYS287" s="2151"/>
      <c r="HYT287" s="2151"/>
      <c r="HYU287" s="2150"/>
      <c r="HYV287" s="2151"/>
      <c r="HYW287" s="2151"/>
      <c r="HYX287" s="2151"/>
      <c r="HYY287" s="2151"/>
      <c r="HYZ287" s="2151"/>
      <c r="HZA287" s="2151"/>
      <c r="HZB287" s="2151"/>
      <c r="HZC287" s="2151"/>
      <c r="HZD287" s="2151"/>
      <c r="HZE287" s="2151"/>
      <c r="HZF287" s="2151"/>
      <c r="HZG287" s="2151"/>
      <c r="HZH287" s="2151"/>
      <c r="HZI287" s="2151"/>
      <c r="HZJ287" s="2151"/>
      <c r="HZK287" s="2150"/>
      <c r="HZL287" s="2151"/>
      <c r="HZM287" s="2151"/>
      <c r="HZN287" s="2151"/>
      <c r="HZO287" s="2151"/>
      <c r="HZP287" s="2151"/>
      <c r="HZQ287" s="2151"/>
      <c r="HZR287" s="2151"/>
      <c r="HZS287" s="2151"/>
      <c r="HZT287" s="2151"/>
      <c r="HZU287" s="2151"/>
      <c r="HZV287" s="2151"/>
      <c r="HZW287" s="2151"/>
      <c r="HZX287" s="2151"/>
      <c r="HZY287" s="2151"/>
      <c r="HZZ287" s="2151"/>
      <c r="IAA287" s="2150"/>
      <c r="IAB287" s="2151"/>
      <c r="IAC287" s="2151"/>
      <c r="IAD287" s="2151"/>
      <c r="IAE287" s="2151"/>
      <c r="IAF287" s="2151"/>
      <c r="IAG287" s="2151"/>
      <c r="IAH287" s="2151"/>
      <c r="IAI287" s="2151"/>
      <c r="IAJ287" s="2151"/>
      <c r="IAK287" s="2151"/>
      <c r="IAL287" s="2151"/>
      <c r="IAM287" s="2151"/>
      <c r="IAN287" s="2151"/>
      <c r="IAO287" s="2151"/>
      <c r="IAP287" s="2151"/>
      <c r="IAQ287" s="2150"/>
      <c r="IAR287" s="2151"/>
      <c r="IAS287" s="2151"/>
      <c r="IAT287" s="2151"/>
      <c r="IAU287" s="2151"/>
      <c r="IAV287" s="2151"/>
      <c r="IAW287" s="2151"/>
      <c r="IAX287" s="2151"/>
      <c r="IAY287" s="2151"/>
      <c r="IAZ287" s="2151"/>
      <c r="IBA287" s="2151"/>
      <c r="IBB287" s="2151"/>
      <c r="IBC287" s="2151"/>
      <c r="IBD287" s="2151"/>
      <c r="IBE287" s="2151"/>
      <c r="IBF287" s="2151"/>
      <c r="IBG287" s="2150"/>
      <c r="IBH287" s="2151"/>
      <c r="IBI287" s="2151"/>
      <c r="IBJ287" s="2151"/>
      <c r="IBK287" s="2151"/>
      <c r="IBL287" s="2151"/>
      <c r="IBM287" s="2151"/>
      <c r="IBN287" s="2151"/>
      <c r="IBO287" s="2151"/>
      <c r="IBP287" s="2151"/>
      <c r="IBQ287" s="2151"/>
      <c r="IBR287" s="2151"/>
      <c r="IBS287" s="2151"/>
      <c r="IBT287" s="2151"/>
      <c r="IBU287" s="2151"/>
      <c r="IBV287" s="2151"/>
      <c r="IBW287" s="2150"/>
      <c r="IBX287" s="2151"/>
      <c r="IBY287" s="2151"/>
      <c r="IBZ287" s="2151"/>
      <c r="ICA287" s="2151"/>
      <c r="ICB287" s="2151"/>
      <c r="ICC287" s="2151"/>
      <c r="ICD287" s="2151"/>
      <c r="ICE287" s="2151"/>
      <c r="ICF287" s="2151"/>
      <c r="ICG287" s="2151"/>
      <c r="ICH287" s="2151"/>
      <c r="ICI287" s="2151"/>
      <c r="ICJ287" s="2151"/>
      <c r="ICK287" s="2151"/>
      <c r="ICL287" s="2151"/>
      <c r="ICM287" s="2150"/>
      <c r="ICN287" s="2151"/>
      <c r="ICO287" s="2151"/>
      <c r="ICP287" s="2151"/>
      <c r="ICQ287" s="2151"/>
      <c r="ICR287" s="2151"/>
      <c r="ICS287" s="2151"/>
      <c r="ICT287" s="2151"/>
      <c r="ICU287" s="2151"/>
      <c r="ICV287" s="2151"/>
      <c r="ICW287" s="2151"/>
      <c r="ICX287" s="2151"/>
      <c r="ICY287" s="2151"/>
      <c r="ICZ287" s="2151"/>
      <c r="IDA287" s="2151"/>
      <c r="IDB287" s="2151"/>
      <c r="IDC287" s="2150"/>
      <c r="IDD287" s="2151"/>
      <c r="IDE287" s="2151"/>
      <c r="IDF287" s="2151"/>
      <c r="IDG287" s="2151"/>
      <c r="IDH287" s="2151"/>
      <c r="IDI287" s="2151"/>
      <c r="IDJ287" s="2151"/>
      <c r="IDK287" s="2151"/>
      <c r="IDL287" s="2151"/>
      <c r="IDM287" s="2151"/>
      <c r="IDN287" s="2151"/>
      <c r="IDO287" s="2151"/>
      <c r="IDP287" s="2151"/>
      <c r="IDQ287" s="2151"/>
      <c r="IDR287" s="2151"/>
      <c r="IDS287" s="2150"/>
      <c r="IDT287" s="2151"/>
      <c r="IDU287" s="2151"/>
      <c r="IDV287" s="2151"/>
      <c r="IDW287" s="2151"/>
      <c r="IDX287" s="2151"/>
      <c r="IDY287" s="2151"/>
      <c r="IDZ287" s="2151"/>
      <c r="IEA287" s="2151"/>
      <c r="IEB287" s="2151"/>
      <c r="IEC287" s="2151"/>
      <c r="IED287" s="2151"/>
      <c r="IEE287" s="2151"/>
      <c r="IEF287" s="2151"/>
      <c r="IEG287" s="2151"/>
      <c r="IEH287" s="2151"/>
      <c r="IEI287" s="2150"/>
      <c r="IEJ287" s="2151"/>
      <c r="IEK287" s="2151"/>
      <c r="IEL287" s="2151"/>
      <c r="IEM287" s="2151"/>
      <c r="IEN287" s="2151"/>
      <c r="IEO287" s="2151"/>
      <c r="IEP287" s="2151"/>
      <c r="IEQ287" s="2151"/>
      <c r="IER287" s="2151"/>
      <c r="IES287" s="2151"/>
      <c r="IET287" s="2151"/>
      <c r="IEU287" s="2151"/>
      <c r="IEV287" s="2151"/>
      <c r="IEW287" s="2151"/>
      <c r="IEX287" s="2151"/>
      <c r="IEY287" s="2150"/>
      <c r="IEZ287" s="2151"/>
      <c r="IFA287" s="2151"/>
      <c r="IFB287" s="2151"/>
      <c r="IFC287" s="2151"/>
      <c r="IFD287" s="2151"/>
      <c r="IFE287" s="2151"/>
      <c r="IFF287" s="2151"/>
      <c r="IFG287" s="2151"/>
      <c r="IFH287" s="2151"/>
      <c r="IFI287" s="2151"/>
      <c r="IFJ287" s="2151"/>
      <c r="IFK287" s="2151"/>
      <c r="IFL287" s="2151"/>
      <c r="IFM287" s="2151"/>
      <c r="IFN287" s="2151"/>
      <c r="IFO287" s="2150"/>
      <c r="IFP287" s="2151"/>
      <c r="IFQ287" s="2151"/>
      <c r="IFR287" s="2151"/>
      <c r="IFS287" s="2151"/>
      <c r="IFT287" s="2151"/>
      <c r="IFU287" s="2151"/>
      <c r="IFV287" s="2151"/>
      <c r="IFW287" s="2151"/>
      <c r="IFX287" s="2151"/>
      <c r="IFY287" s="2151"/>
      <c r="IFZ287" s="2151"/>
      <c r="IGA287" s="2151"/>
      <c r="IGB287" s="2151"/>
      <c r="IGC287" s="2151"/>
      <c r="IGD287" s="2151"/>
      <c r="IGE287" s="2150"/>
      <c r="IGF287" s="2151"/>
      <c r="IGG287" s="2151"/>
      <c r="IGH287" s="2151"/>
      <c r="IGI287" s="2151"/>
      <c r="IGJ287" s="2151"/>
      <c r="IGK287" s="2151"/>
      <c r="IGL287" s="2151"/>
      <c r="IGM287" s="2151"/>
      <c r="IGN287" s="2151"/>
      <c r="IGO287" s="2151"/>
      <c r="IGP287" s="2151"/>
      <c r="IGQ287" s="2151"/>
      <c r="IGR287" s="2151"/>
      <c r="IGS287" s="2151"/>
      <c r="IGT287" s="2151"/>
      <c r="IGU287" s="2150"/>
      <c r="IGV287" s="2151"/>
      <c r="IGW287" s="2151"/>
      <c r="IGX287" s="2151"/>
      <c r="IGY287" s="2151"/>
      <c r="IGZ287" s="2151"/>
      <c r="IHA287" s="2151"/>
      <c r="IHB287" s="2151"/>
      <c r="IHC287" s="2151"/>
      <c r="IHD287" s="2151"/>
      <c r="IHE287" s="2151"/>
      <c r="IHF287" s="2151"/>
      <c r="IHG287" s="2151"/>
      <c r="IHH287" s="2151"/>
      <c r="IHI287" s="2151"/>
      <c r="IHJ287" s="2151"/>
      <c r="IHK287" s="2150"/>
      <c r="IHL287" s="2151"/>
      <c r="IHM287" s="2151"/>
      <c r="IHN287" s="2151"/>
      <c r="IHO287" s="2151"/>
      <c r="IHP287" s="2151"/>
      <c r="IHQ287" s="2151"/>
      <c r="IHR287" s="2151"/>
      <c r="IHS287" s="2151"/>
      <c r="IHT287" s="2151"/>
      <c r="IHU287" s="2151"/>
      <c r="IHV287" s="2151"/>
      <c r="IHW287" s="2151"/>
      <c r="IHX287" s="2151"/>
      <c r="IHY287" s="2151"/>
      <c r="IHZ287" s="2151"/>
      <c r="IIA287" s="2150"/>
      <c r="IIB287" s="2151"/>
      <c r="IIC287" s="2151"/>
      <c r="IID287" s="2151"/>
      <c r="IIE287" s="2151"/>
      <c r="IIF287" s="2151"/>
      <c r="IIG287" s="2151"/>
      <c r="IIH287" s="2151"/>
      <c r="III287" s="2151"/>
      <c r="IIJ287" s="2151"/>
      <c r="IIK287" s="2151"/>
      <c r="IIL287" s="2151"/>
      <c r="IIM287" s="2151"/>
      <c r="IIN287" s="2151"/>
      <c r="IIO287" s="2151"/>
      <c r="IIP287" s="2151"/>
      <c r="IIQ287" s="2150"/>
      <c r="IIR287" s="2151"/>
      <c r="IIS287" s="2151"/>
      <c r="IIT287" s="2151"/>
      <c r="IIU287" s="2151"/>
      <c r="IIV287" s="2151"/>
      <c r="IIW287" s="2151"/>
      <c r="IIX287" s="2151"/>
      <c r="IIY287" s="2151"/>
      <c r="IIZ287" s="2151"/>
      <c r="IJA287" s="2151"/>
      <c r="IJB287" s="2151"/>
      <c r="IJC287" s="2151"/>
      <c r="IJD287" s="2151"/>
      <c r="IJE287" s="2151"/>
      <c r="IJF287" s="2151"/>
      <c r="IJG287" s="2150"/>
      <c r="IJH287" s="2151"/>
      <c r="IJI287" s="2151"/>
      <c r="IJJ287" s="2151"/>
      <c r="IJK287" s="2151"/>
      <c r="IJL287" s="2151"/>
      <c r="IJM287" s="2151"/>
      <c r="IJN287" s="2151"/>
      <c r="IJO287" s="2151"/>
      <c r="IJP287" s="2151"/>
      <c r="IJQ287" s="2151"/>
      <c r="IJR287" s="2151"/>
      <c r="IJS287" s="2151"/>
      <c r="IJT287" s="2151"/>
      <c r="IJU287" s="2151"/>
      <c r="IJV287" s="2151"/>
      <c r="IJW287" s="2150"/>
      <c r="IJX287" s="2151"/>
      <c r="IJY287" s="2151"/>
      <c r="IJZ287" s="2151"/>
      <c r="IKA287" s="2151"/>
      <c r="IKB287" s="2151"/>
      <c r="IKC287" s="2151"/>
      <c r="IKD287" s="2151"/>
      <c r="IKE287" s="2151"/>
      <c r="IKF287" s="2151"/>
      <c r="IKG287" s="2151"/>
      <c r="IKH287" s="2151"/>
      <c r="IKI287" s="2151"/>
      <c r="IKJ287" s="2151"/>
      <c r="IKK287" s="2151"/>
      <c r="IKL287" s="2151"/>
      <c r="IKM287" s="2150"/>
      <c r="IKN287" s="2151"/>
      <c r="IKO287" s="2151"/>
      <c r="IKP287" s="2151"/>
      <c r="IKQ287" s="2151"/>
      <c r="IKR287" s="2151"/>
      <c r="IKS287" s="2151"/>
      <c r="IKT287" s="2151"/>
      <c r="IKU287" s="2151"/>
      <c r="IKV287" s="2151"/>
      <c r="IKW287" s="2151"/>
      <c r="IKX287" s="2151"/>
      <c r="IKY287" s="2151"/>
      <c r="IKZ287" s="2151"/>
      <c r="ILA287" s="2151"/>
      <c r="ILB287" s="2151"/>
      <c r="ILC287" s="2150"/>
      <c r="ILD287" s="2151"/>
      <c r="ILE287" s="2151"/>
      <c r="ILF287" s="2151"/>
      <c r="ILG287" s="2151"/>
      <c r="ILH287" s="2151"/>
      <c r="ILI287" s="2151"/>
      <c r="ILJ287" s="2151"/>
      <c r="ILK287" s="2151"/>
      <c r="ILL287" s="2151"/>
      <c r="ILM287" s="2151"/>
      <c r="ILN287" s="2151"/>
      <c r="ILO287" s="2151"/>
      <c r="ILP287" s="2151"/>
      <c r="ILQ287" s="2151"/>
      <c r="ILR287" s="2151"/>
      <c r="ILS287" s="2150"/>
      <c r="ILT287" s="2151"/>
      <c r="ILU287" s="2151"/>
      <c r="ILV287" s="2151"/>
      <c r="ILW287" s="2151"/>
      <c r="ILX287" s="2151"/>
      <c r="ILY287" s="2151"/>
      <c r="ILZ287" s="2151"/>
      <c r="IMA287" s="2151"/>
      <c r="IMB287" s="2151"/>
      <c r="IMC287" s="2151"/>
      <c r="IMD287" s="2151"/>
      <c r="IME287" s="2151"/>
      <c r="IMF287" s="2151"/>
      <c r="IMG287" s="2151"/>
      <c r="IMH287" s="2151"/>
      <c r="IMI287" s="2150"/>
      <c r="IMJ287" s="2151"/>
      <c r="IMK287" s="2151"/>
      <c r="IML287" s="2151"/>
      <c r="IMM287" s="2151"/>
      <c r="IMN287" s="2151"/>
      <c r="IMO287" s="2151"/>
      <c r="IMP287" s="2151"/>
      <c r="IMQ287" s="2151"/>
      <c r="IMR287" s="2151"/>
      <c r="IMS287" s="2151"/>
      <c r="IMT287" s="2151"/>
      <c r="IMU287" s="2151"/>
      <c r="IMV287" s="2151"/>
      <c r="IMW287" s="2151"/>
      <c r="IMX287" s="2151"/>
      <c r="IMY287" s="2150"/>
      <c r="IMZ287" s="2151"/>
      <c r="INA287" s="2151"/>
      <c r="INB287" s="2151"/>
      <c r="INC287" s="2151"/>
      <c r="IND287" s="2151"/>
      <c r="INE287" s="2151"/>
      <c r="INF287" s="2151"/>
      <c r="ING287" s="2151"/>
      <c r="INH287" s="2151"/>
      <c r="INI287" s="2151"/>
      <c r="INJ287" s="2151"/>
      <c r="INK287" s="2151"/>
      <c r="INL287" s="2151"/>
      <c r="INM287" s="2151"/>
      <c r="INN287" s="2151"/>
      <c r="INO287" s="2150"/>
      <c r="INP287" s="2151"/>
      <c r="INQ287" s="2151"/>
      <c r="INR287" s="2151"/>
      <c r="INS287" s="2151"/>
      <c r="INT287" s="2151"/>
      <c r="INU287" s="2151"/>
      <c r="INV287" s="2151"/>
      <c r="INW287" s="2151"/>
      <c r="INX287" s="2151"/>
      <c r="INY287" s="2151"/>
      <c r="INZ287" s="2151"/>
      <c r="IOA287" s="2151"/>
      <c r="IOB287" s="2151"/>
      <c r="IOC287" s="2151"/>
      <c r="IOD287" s="2151"/>
      <c r="IOE287" s="2150"/>
      <c r="IOF287" s="2151"/>
      <c r="IOG287" s="2151"/>
      <c r="IOH287" s="2151"/>
      <c r="IOI287" s="2151"/>
      <c r="IOJ287" s="2151"/>
      <c r="IOK287" s="2151"/>
      <c r="IOL287" s="2151"/>
      <c r="IOM287" s="2151"/>
      <c r="ION287" s="2151"/>
      <c r="IOO287" s="2151"/>
      <c r="IOP287" s="2151"/>
      <c r="IOQ287" s="2151"/>
      <c r="IOR287" s="2151"/>
      <c r="IOS287" s="2151"/>
      <c r="IOT287" s="2151"/>
      <c r="IOU287" s="2150"/>
      <c r="IOV287" s="2151"/>
      <c r="IOW287" s="2151"/>
      <c r="IOX287" s="2151"/>
      <c r="IOY287" s="2151"/>
      <c r="IOZ287" s="2151"/>
      <c r="IPA287" s="2151"/>
      <c r="IPB287" s="2151"/>
      <c r="IPC287" s="2151"/>
      <c r="IPD287" s="2151"/>
      <c r="IPE287" s="2151"/>
      <c r="IPF287" s="2151"/>
      <c r="IPG287" s="2151"/>
      <c r="IPH287" s="2151"/>
      <c r="IPI287" s="2151"/>
      <c r="IPJ287" s="2151"/>
      <c r="IPK287" s="2150"/>
      <c r="IPL287" s="2151"/>
      <c r="IPM287" s="2151"/>
      <c r="IPN287" s="2151"/>
      <c r="IPO287" s="2151"/>
      <c r="IPP287" s="2151"/>
      <c r="IPQ287" s="2151"/>
      <c r="IPR287" s="2151"/>
      <c r="IPS287" s="2151"/>
      <c r="IPT287" s="2151"/>
      <c r="IPU287" s="2151"/>
      <c r="IPV287" s="2151"/>
      <c r="IPW287" s="2151"/>
      <c r="IPX287" s="2151"/>
      <c r="IPY287" s="2151"/>
      <c r="IPZ287" s="2151"/>
      <c r="IQA287" s="2150"/>
      <c r="IQB287" s="2151"/>
      <c r="IQC287" s="2151"/>
      <c r="IQD287" s="2151"/>
      <c r="IQE287" s="2151"/>
      <c r="IQF287" s="2151"/>
      <c r="IQG287" s="2151"/>
      <c r="IQH287" s="2151"/>
      <c r="IQI287" s="2151"/>
      <c r="IQJ287" s="2151"/>
      <c r="IQK287" s="2151"/>
      <c r="IQL287" s="2151"/>
      <c r="IQM287" s="2151"/>
      <c r="IQN287" s="2151"/>
      <c r="IQO287" s="2151"/>
      <c r="IQP287" s="2151"/>
      <c r="IQQ287" s="2150"/>
      <c r="IQR287" s="2151"/>
      <c r="IQS287" s="2151"/>
      <c r="IQT287" s="2151"/>
      <c r="IQU287" s="2151"/>
      <c r="IQV287" s="2151"/>
      <c r="IQW287" s="2151"/>
      <c r="IQX287" s="2151"/>
      <c r="IQY287" s="2151"/>
      <c r="IQZ287" s="2151"/>
      <c r="IRA287" s="2151"/>
      <c r="IRB287" s="2151"/>
      <c r="IRC287" s="2151"/>
      <c r="IRD287" s="2151"/>
      <c r="IRE287" s="2151"/>
      <c r="IRF287" s="2151"/>
      <c r="IRG287" s="2150"/>
      <c r="IRH287" s="2151"/>
      <c r="IRI287" s="2151"/>
      <c r="IRJ287" s="2151"/>
      <c r="IRK287" s="2151"/>
      <c r="IRL287" s="2151"/>
      <c r="IRM287" s="2151"/>
      <c r="IRN287" s="2151"/>
      <c r="IRO287" s="2151"/>
      <c r="IRP287" s="2151"/>
      <c r="IRQ287" s="2151"/>
      <c r="IRR287" s="2151"/>
      <c r="IRS287" s="2151"/>
      <c r="IRT287" s="2151"/>
      <c r="IRU287" s="2151"/>
      <c r="IRV287" s="2151"/>
      <c r="IRW287" s="2150"/>
      <c r="IRX287" s="2151"/>
      <c r="IRY287" s="2151"/>
      <c r="IRZ287" s="2151"/>
      <c r="ISA287" s="2151"/>
      <c r="ISB287" s="2151"/>
      <c r="ISC287" s="2151"/>
      <c r="ISD287" s="2151"/>
      <c r="ISE287" s="2151"/>
      <c r="ISF287" s="2151"/>
      <c r="ISG287" s="2151"/>
      <c r="ISH287" s="2151"/>
      <c r="ISI287" s="2151"/>
      <c r="ISJ287" s="2151"/>
      <c r="ISK287" s="2151"/>
      <c r="ISL287" s="2151"/>
      <c r="ISM287" s="2150"/>
      <c r="ISN287" s="2151"/>
      <c r="ISO287" s="2151"/>
      <c r="ISP287" s="2151"/>
      <c r="ISQ287" s="2151"/>
      <c r="ISR287" s="2151"/>
      <c r="ISS287" s="2151"/>
      <c r="IST287" s="2151"/>
      <c r="ISU287" s="2151"/>
      <c r="ISV287" s="2151"/>
      <c r="ISW287" s="2151"/>
      <c r="ISX287" s="2151"/>
      <c r="ISY287" s="2151"/>
      <c r="ISZ287" s="2151"/>
      <c r="ITA287" s="2151"/>
      <c r="ITB287" s="2151"/>
      <c r="ITC287" s="2150"/>
      <c r="ITD287" s="2151"/>
      <c r="ITE287" s="2151"/>
      <c r="ITF287" s="2151"/>
      <c r="ITG287" s="2151"/>
      <c r="ITH287" s="2151"/>
      <c r="ITI287" s="2151"/>
      <c r="ITJ287" s="2151"/>
      <c r="ITK287" s="2151"/>
      <c r="ITL287" s="2151"/>
      <c r="ITM287" s="2151"/>
      <c r="ITN287" s="2151"/>
      <c r="ITO287" s="2151"/>
      <c r="ITP287" s="2151"/>
      <c r="ITQ287" s="2151"/>
      <c r="ITR287" s="2151"/>
      <c r="ITS287" s="2150"/>
      <c r="ITT287" s="2151"/>
      <c r="ITU287" s="2151"/>
      <c r="ITV287" s="2151"/>
      <c r="ITW287" s="2151"/>
      <c r="ITX287" s="2151"/>
      <c r="ITY287" s="2151"/>
      <c r="ITZ287" s="2151"/>
      <c r="IUA287" s="2151"/>
      <c r="IUB287" s="2151"/>
      <c r="IUC287" s="2151"/>
      <c r="IUD287" s="2151"/>
      <c r="IUE287" s="2151"/>
      <c r="IUF287" s="2151"/>
      <c r="IUG287" s="2151"/>
      <c r="IUH287" s="2151"/>
      <c r="IUI287" s="2150"/>
      <c r="IUJ287" s="2151"/>
      <c r="IUK287" s="2151"/>
      <c r="IUL287" s="2151"/>
      <c r="IUM287" s="2151"/>
      <c r="IUN287" s="2151"/>
      <c r="IUO287" s="2151"/>
      <c r="IUP287" s="2151"/>
      <c r="IUQ287" s="2151"/>
      <c r="IUR287" s="2151"/>
      <c r="IUS287" s="2151"/>
      <c r="IUT287" s="2151"/>
      <c r="IUU287" s="2151"/>
      <c r="IUV287" s="2151"/>
      <c r="IUW287" s="2151"/>
      <c r="IUX287" s="2151"/>
      <c r="IUY287" s="2150"/>
      <c r="IUZ287" s="2151"/>
      <c r="IVA287" s="2151"/>
      <c r="IVB287" s="2151"/>
      <c r="IVC287" s="2151"/>
      <c r="IVD287" s="2151"/>
      <c r="IVE287" s="2151"/>
      <c r="IVF287" s="2151"/>
      <c r="IVG287" s="2151"/>
      <c r="IVH287" s="2151"/>
      <c r="IVI287" s="2151"/>
      <c r="IVJ287" s="2151"/>
      <c r="IVK287" s="2151"/>
      <c r="IVL287" s="2151"/>
      <c r="IVM287" s="2151"/>
      <c r="IVN287" s="2151"/>
      <c r="IVO287" s="2150"/>
      <c r="IVP287" s="2151"/>
      <c r="IVQ287" s="2151"/>
      <c r="IVR287" s="2151"/>
      <c r="IVS287" s="2151"/>
      <c r="IVT287" s="2151"/>
      <c r="IVU287" s="2151"/>
      <c r="IVV287" s="2151"/>
      <c r="IVW287" s="2151"/>
      <c r="IVX287" s="2151"/>
      <c r="IVY287" s="2151"/>
      <c r="IVZ287" s="2151"/>
      <c r="IWA287" s="2151"/>
      <c r="IWB287" s="2151"/>
      <c r="IWC287" s="2151"/>
      <c r="IWD287" s="2151"/>
      <c r="IWE287" s="2150"/>
      <c r="IWF287" s="2151"/>
      <c r="IWG287" s="2151"/>
      <c r="IWH287" s="2151"/>
      <c r="IWI287" s="2151"/>
      <c r="IWJ287" s="2151"/>
      <c r="IWK287" s="2151"/>
      <c r="IWL287" s="2151"/>
      <c r="IWM287" s="2151"/>
      <c r="IWN287" s="2151"/>
      <c r="IWO287" s="2151"/>
      <c r="IWP287" s="2151"/>
      <c r="IWQ287" s="2151"/>
      <c r="IWR287" s="2151"/>
      <c r="IWS287" s="2151"/>
      <c r="IWT287" s="2151"/>
      <c r="IWU287" s="2150"/>
      <c r="IWV287" s="2151"/>
      <c r="IWW287" s="2151"/>
      <c r="IWX287" s="2151"/>
      <c r="IWY287" s="2151"/>
      <c r="IWZ287" s="2151"/>
      <c r="IXA287" s="2151"/>
      <c r="IXB287" s="2151"/>
      <c r="IXC287" s="2151"/>
      <c r="IXD287" s="2151"/>
      <c r="IXE287" s="2151"/>
      <c r="IXF287" s="2151"/>
      <c r="IXG287" s="2151"/>
      <c r="IXH287" s="2151"/>
      <c r="IXI287" s="2151"/>
      <c r="IXJ287" s="2151"/>
      <c r="IXK287" s="2150"/>
      <c r="IXL287" s="2151"/>
      <c r="IXM287" s="2151"/>
      <c r="IXN287" s="2151"/>
      <c r="IXO287" s="2151"/>
      <c r="IXP287" s="2151"/>
      <c r="IXQ287" s="2151"/>
      <c r="IXR287" s="2151"/>
      <c r="IXS287" s="2151"/>
      <c r="IXT287" s="2151"/>
      <c r="IXU287" s="2151"/>
      <c r="IXV287" s="2151"/>
      <c r="IXW287" s="2151"/>
      <c r="IXX287" s="2151"/>
      <c r="IXY287" s="2151"/>
      <c r="IXZ287" s="2151"/>
      <c r="IYA287" s="2150"/>
      <c r="IYB287" s="2151"/>
      <c r="IYC287" s="2151"/>
      <c r="IYD287" s="2151"/>
      <c r="IYE287" s="2151"/>
      <c r="IYF287" s="2151"/>
      <c r="IYG287" s="2151"/>
      <c r="IYH287" s="2151"/>
      <c r="IYI287" s="2151"/>
      <c r="IYJ287" s="2151"/>
      <c r="IYK287" s="2151"/>
      <c r="IYL287" s="2151"/>
      <c r="IYM287" s="2151"/>
      <c r="IYN287" s="2151"/>
      <c r="IYO287" s="2151"/>
      <c r="IYP287" s="2151"/>
      <c r="IYQ287" s="2150"/>
      <c r="IYR287" s="2151"/>
      <c r="IYS287" s="2151"/>
      <c r="IYT287" s="2151"/>
      <c r="IYU287" s="2151"/>
      <c r="IYV287" s="2151"/>
      <c r="IYW287" s="2151"/>
      <c r="IYX287" s="2151"/>
      <c r="IYY287" s="2151"/>
      <c r="IYZ287" s="2151"/>
      <c r="IZA287" s="2151"/>
      <c r="IZB287" s="2151"/>
      <c r="IZC287" s="2151"/>
      <c r="IZD287" s="2151"/>
      <c r="IZE287" s="2151"/>
      <c r="IZF287" s="2151"/>
      <c r="IZG287" s="2150"/>
      <c r="IZH287" s="2151"/>
      <c r="IZI287" s="2151"/>
      <c r="IZJ287" s="2151"/>
      <c r="IZK287" s="2151"/>
      <c r="IZL287" s="2151"/>
      <c r="IZM287" s="2151"/>
      <c r="IZN287" s="2151"/>
      <c r="IZO287" s="2151"/>
      <c r="IZP287" s="2151"/>
      <c r="IZQ287" s="2151"/>
      <c r="IZR287" s="2151"/>
      <c r="IZS287" s="2151"/>
      <c r="IZT287" s="2151"/>
      <c r="IZU287" s="2151"/>
      <c r="IZV287" s="2151"/>
      <c r="IZW287" s="2150"/>
      <c r="IZX287" s="2151"/>
      <c r="IZY287" s="2151"/>
      <c r="IZZ287" s="2151"/>
      <c r="JAA287" s="2151"/>
      <c r="JAB287" s="2151"/>
      <c r="JAC287" s="2151"/>
      <c r="JAD287" s="2151"/>
      <c r="JAE287" s="2151"/>
      <c r="JAF287" s="2151"/>
      <c r="JAG287" s="2151"/>
      <c r="JAH287" s="2151"/>
      <c r="JAI287" s="2151"/>
      <c r="JAJ287" s="2151"/>
      <c r="JAK287" s="2151"/>
      <c r="JAL287" s="2151"/>
      <c r="JAM287" s="2150"/>
      <c r="JAN287" s="2151"/>
      <c r="JAO287" s="2151"/>
      <c r="JAP287" s="2151"/>
      <c r="JAQ287" s="2151"/>
      <c r="JAR287" s="2151"/>
      <c r="JAS287" s="2151"/>
      <c r="JAT287" s="2151"/>
      <c r="JAU287" s="2151"/>
      <c r="JAV287" s="2151"/>
      <c r="JAW287" s="2151"/>
      <c r="JAX287" s="2151"/>
      <c r="JAY287" s="2151"/>
      <c r="JAZ287" s="2151"/>
      <c r="JBA287" s="2151"/>
      <c r="JBB287" s="2151"/>
      <c r="JBC287" s="2150"/>
      <c r="JBD287" s="2151"/>
      <c r="JBE287" s="2151"/>
      <c r="JBF287" s="2151"/>
      <c r="JBG287" s="2151"/>
      <c r="JBH287" s="2151"/>
      <c r="JBI287" s="2151"/>
      <c r="JBJ287" s="2151"/>
      <c r="JBK287" s="2151"/>
      <c r="JBL287" s="2151"/>
      <c r="JBM287" s="2151"/>
      <c r="JBN287" s="2151"/>
      <c r="JBO287" s="2151"/>
      <c r="JBP287" s="2151"/>
      <c r="JBQ287" s="2151"/>
      <c r="JBR287" s="2151"/>
      <c r="JBS287" s="2150"/>
      <c r="JBT287" s="2151"/>
      <c r="JBU287" s="2151"/>
      <c r="JBV287" s="2151"/>
      <c r="JBW287" s="2151"/>
      <c r="JBX287" s="2151"/>
      <c r="JBY287" s="2151"/>
      <c r="JBZ287" s="2151"/>
      <c r="JCA287" s="2151"/>
      <c r="JCB287" s="2151"/>
      <c r="JCC287" s="2151"/>
      <c r="JCD287" s="2151"/>
      <c r="JCE287" s="2151"/>
      <c r="JCF287" s="2151"/>
      <c r="JCG287" s="2151"/>
      <c r="JCH287" s="2151"/>
      <c r="JCI287" s="2150"/>
      <c r="JCJ287" s="2151"/>
      <c r="JCK287" s="2151"/>
      <c r="JCL287" s="2151"/>
      <c r="JCM287" s="2151"/>
      <c r="JCN287" s="2151"/>
      <c r="JCO287" s="2151"/>
      <c r="JCP287" s="2151"/>
      <c r="JCQ287" s="2151"/>
      <c r="JCR287" s="2151"/>
      <c r="JCS287" s="2151"/>
      <c r="JCT287" s="2151"/>
      <c r="JCU287" s="2151"/>
      <c r="JCV287" s="2151"/>
      <c r="JCW287" s="2151"/>
      <c r="JCX287" s="2151"/>
      <c r="JCY287" s="2150"/>
      <c r="JCZ287" s="2151"/>
      <c r="JDA287" s="2151"/>
      <c r="JDB287" s="2151"/>
      <c r="JDC287" s="2151"/>
      <c r="JDD287" s="2151"/>
      <c r="JDE287" s="2151"/>
      <c r="JDF287" s="2151"/>
      <c r="JDG287" s="2151"/>
      <c r="JDH287" s="2151"/>
      <c r="JDI287" s="2151"/>
      <c r="JDJ287" s="2151"/>
      <c r="JDK287" s="2151"/>
      <c r="JDL287" s="2151"/>
      <c r="JDM287" s="2151"/>
      <c r="JDN287" s="2151"/>
      <c r="JDO287" s="2150"/>
      <c r="JDP287" s="2151"/>
      <c r="JDQ287" s="2151"/>
      <c r="JDR287" s="2151"/>
      <c r="JDS287" s="2151"/>
      <c r="JDT287" s="2151"/>
      <c r="JDU287" s="2151"/>
      <c r="JDV287" s="2151"/>
      <c r="JDW287" s="2151"/>
      <c r="JDX287" s="2151"/>
      <c r="JDY287" s="2151"/>
      <c r="JDZ287" s="2151"/>
      <c r="JEA287" s="2151"/>
      <c r="JEB287" s="2151"/>
      <c r="JEC287" s="2151"/>
      <c r="JED287" s="2151"/>
      <c r="JEE287" s="2150"/>
      <c r="JEF287" s="2151"/>
      <c r="JEG287" s="2151"/>
      <c r="JEH287" s="2151"/>
      <c r="JEI287" s="2151"/>
      <c r="JEJ287" s="2151"/>
      <c r="JEK287" s="2151"/>
      <c r="JEL287" s="2151"/>
      <c r="JEM287" s="2151"/>
      <c r="JEN287" s="2151"/>
      <c r="JEO287" s="2151"/>
      <c r="JEP287" s="2151"/>
      <c r="JEQ287" s="2151"/>
      <c r="JER287" s="2151"/>
      <c r="JES287" s="2151"/>
      <c r="JET287" s="2151"/>
      <c r="JEU287" s="2150"/>
      <c r="JEV287" s="2151"/>
      <c r="JEW287" s="2151"/>
      <c r="JEX287" s="2151"/>
      <c r="JEY287" s="2151"/>
      <c r="JEZ287" s="2151"/>
      <c r="JFA287" s="2151"/>
      <c r="JFB287" s="2151"/>
      <c r="JFC287" s="2151"/>
      <c r="JFD287" s="2151"/>
      <c r="JFE287" s="2151"/>
      <c r="JFF287" s="2151"/>
      <c r="JFG287" s="2151"/>
      <c r="JFH287" s="2151"/>
      <c r="JFI287" s="2151"/>
      <c r="JFJ287" s="2151"/>
      <c r="JFK287" s="2150"/>
      <c r="JFL287" s="2151"/>
      <c r="JFM287" s="2151"/>
      <c r="JFN287" s="2151"/>
      <c r="JFO287" s="2151"/>
      <c r="JFP287" s="2151"/>
      <c r="JFQ287" s="2151"/>
      <c r="JFR287" s="2151"/>
      <c r="JFS287" s="2151"/>
      <c r="JFT287" s="2151"/>
      <c r="JFU287" s="2151"/>
      <c r="JFV287" s="2151"/>
      <c r="JFW287" s="2151"/>
      <c r="JFX287" s="2151"/>
      <c r="JFY287" s="2151"/>
      <c r="JFZ287" s="2151"/>
      <c r="JGA287" s="2150"/>
      <c r="JGB287" s="2151"/>
      <c r="JGC287" s="2151"/>
      <c r="JGD287" s="2151"/>
      <c r="JGE287" s="2151"/>
      <c r="JGF287" s="2151"/>
      <c r="JGG287" s="2151"/>
      <c r="JGH287" s="2151"/>
      <c r="JGI287" s="2151"/>
      <c r="JGJ287" s="2151"/>
      <c r="JGK287" s="2151"/>
      <c r="JGL287" s="2151"/>
      <c r="JGM287" s="2151"/>
      <c r="JGN287" s="2151"/>
      <c r="JGO287" s="2151"/>
      <c r="JGP287" s="2151"/>
      <c r="JGQ287" s="2150"/>
      <c r="JGR287" s="2151"/>
      <c r="JGS287" s="2151"/>
      <c r="JGT287" s="2151"/>
      <c r="JGU287" s="2151"/>
      <c r="JGV287" s="2151"/>
      <c r="JGW287" s="2151"/>
      <c r="JGX287" s="2151"/>
      <c r="JGY287" s="2151"/>
      <c r="JGZ287" s="2151"/>
      <c r="JHA287" s="2151"/>
      <c r="JHB287" s="2151"/>
      <c r="JHC287" s="2151"/>
      <c r="JHD287" s="2151"/>
      <c r="JHE287" s="2151"/>
      <c r="JHF287" s="2151"/>
      <c r="JHG287" s="2150"/>
      <c r="JHH287" s="2151"/>
      <c r="JHI287" s="2151"/>
      <c r="JHJ287" s="2151"/>
      <c r="JHK287" s="2151"/>
      <c r="JHL287" s="2151"/>
      <c r="JHM287" s="2151"/>
      <c r="JHN287" s="2151"/>
      <c r="JHO287" s="2151"/>
      <c r="JHP287" s="2151"/>
      <c r="JHQ287" s="2151"/>
      <c r="JHR287" s="2151"/>
      <c r="JHS287" s="2151"/>
      <c r="JHT287" s="2151"/>
      <c r="JHU287" s="2151"/>
      <c r="JHV287" s="2151"/>
      <c r="JHW287" s="2150"/>
      <c r="JHX287" s="2151"/>
      <c r="JHY287" s="2151"/>
      <c r="JHZ287" s="2151"/>
      <c r="JIA287" s="2151"/>
      <c r="JIB287" s="2151"/>
      <c r="JIC287" s="2151"/>
      <c r="JID287" s="2151"/>
      <c r="JIE287" s="2151"/>
      <c r="JIF287" s="2151"/>
      <c r="JIG287" s="2151"/>
      <c r="JIH287" s="2151"/>
      <c r="JII287" s="2151"/>
      <c r="JIJ287" s="2151"/>
      <c r="JIK287" s="2151"/>
      <c r="JIL287" s="2151"/>
      <c r="JIM287" s="2150"/>
      <c r="JIN287" s="2151"/>
      <c r="JIO287" s="2151"/>
      <c r="JIP287" s="2151"/>
      <c r="JIQ287" s="2151"/>
      <c r="JIR287" s="2151"/>
      <c r="JIS287" s="2151"/>
      <c r="JIT287" s="2151"/>
      <c r="JIU287" s="2151"/>
      <c r="JIV287" s="2151"/>
      <c r="JIW287" s="2151"/>
      <c r="JIX287" s="2151"/>
      <c r="JIY287" s="2151"/>
      <c r="JIZ287" s="2151"/>
      <c r="JJA287" s="2151"/>
      <c r="JJB287" s="2151"/>
      <c r="JJC287" s="2150"/>
      <c r="JJD287" s="2151"/>
      <c r="JJE287" s="2151"/>
      <c r="JJF287" s="2151"/>
      <c r="JJG287" s="2151"/>
      <c r="JJH287" s="2151"/>
      <c r="JJI287" s="2151"/>
      <c r="JJJ287" s="2151"/>
      <c r="JJK287" s="2151"/>
      <c r="JJL287" s="2151"/>
      <c r="JJM287" s="2151"/>
      <c r="JJN287" s="2151"/>
      <c r="JJO287" s="2151"/>
      <c r="JJP287" s="2151"/>
      <c r="JJQ287" s="2151"/>
      <c r="JJR287" s="2151"/>
      <c r="JJS287" s="2150"/>
      <c r="JJT287" s="2151"/>
      <c r="JJU287" s="2151"/>
      <c r="JJV287" s="2151"/>
      <c r="JJW287" s="2151"/>
      <c r="JJX287" s="2151"/>
      <c r="JJY287" s="2151"/>
      <c r="JJZ287" s="2151"/>
      <c r="JKA287" s="2151"/>
      <c r="JKB287" s="2151"/>
      <c r="JKC287" s="2151"/>
      <c r="JKD287" s="2151"/>
      <c r="JKE287" s="2151"/>
      <c r="JKF287" s="2151"/>
      <c r="JKG287" s="2151"/>
      <c r="JKH287" s="2151"/>
      <c r="JKI287" s="2150"/>
      <c r="JKJ287" s="2151"/>
      <c r="JKK287" s="2151"/>
      <c r="JKL287" s="2151"/>
      <c r="JKM287" s="2151"/>
      <c r="JKN287" s="2151"/>
      <c r="JKO287" s="2151"/>
      <c r="JKP287" s="2151"/>
      <c r="JKQ287" s="2151"/>
      <c r="JKR287" s="2151"/>
      <c r="JKS287" s="2151"/>
      <c r="JKT287" s="2151"/>
      <c r="JKU287" s="2151"/>
      <c r="JKV287" s="2151"/>
      <c r="JKW287" s="2151"/>
      <c r="JKX287" s="2151"/>
      <c r="JKY287" s="2150"/>
      <c r="JKZ287" s="2151"/>
      <c r="JLA287" s="2151"/>
      <c r="JLB287" s="2151"/>
      <c r="JLC287" s="2151"/>
      <c r="JLD287" s="2151"/>
      <c r="JLE287" s="2151"/>
      <c r="JLF287" s="2151"/>
      <c r="JLG287" s="2151"/>
      <c r="JLH287" s="2151"/>
      <c r="JLI287" s="2151"/>
      <c r="JLJ287" s="2151"/>
      <c r="JLK287" s="2151"/>
      <c r="JLL287" s="2151"/>
      <c r="JLM287" s="2151"/>
      <c r="JLN287" s="2151"/>
      <c r="JLO287" s="2150"/>
      <c r="JLP287" s="2151"/>
      <c r="JLQ287" s="2151"/>
      <c r="JLR287" s="2151"/>
      <c r="JLS287" s="2151"/>
      <c r="JLT287" s="2151"/>
      <c r="JLU287" s="2151"/>
      <c r="JLV287" s="2151"/>
      <c r="JLW287" s="2151"/>
      <c r="JLX287" s="2151"/>
      <c r="JLY287" s="2151"/>
      <c r="JLZ287" s="2151"/>
      <c r="JMA287" s="2151"/>
      <c r="JMB287" s="2151"/>
      <c r="JMC287" s="2151"/>
      <c r="JMD287" s="2151"/>
      <c r="JME287" s="2150"/>
      <c r="JMF287" s="2151"/>
      <c r="JMG287" s="2151"/>
      <c r="JMH287" s="2151"/>
      <c r="JMI287" s="2151"/>
      <c r="JMJ287" s="2151"/>
      <c r="JMK287" s="2151"/>
      <c r="JML287" s="2151"/>
      <c r="JMM287" s="2151"/>
      <c r="JMN287" s="2151"/>
      <c r="JMO287" s="2151"/>
      <c r="JMP287" s="2151"/>
      <c r="JMQ287" s="2151"/>
      <c r="JMR287" s="2151"/>
      <c r="JMS287" s="2151"/>
      <c r="JMT287" s="2151"/>
      <c r="JMU287" s="2150"/>
      <c r="JMV287" s="2151"/>
      <c r="JMW287" s="2151"/>
      <c r="JMX287" s="2151"/>
      <c r="JMY287" s="2151"/>
      <c r="JMZ287" s="2151"/>
      <c r="JNA287" s="2151"/>
      <c r="JNB287" s="2151"/>
      <c r="JNC287" s="2151"/>
      <c r="JND287" s="2151"/>
      <c r="JNE287" s="2151"/>
      <c r="JNF287" s="2151"/>
      <c r="JNG287" s="2151"/>
      <c r="JNH287" s="2151"/>
      <c r="JNI287" s="2151"/>
      <c r="JNJ287" s="2151"/>
      <c r="JNK287" s="2150"/>
      <c r="JNL287" s="2151"/>
      <c r="JNM287" s="2151"/>
      <c r="JNN287" s="2151"/>
      <c r="JNO287" s="2151"/>
      <c r="JNP287" s="2151"/>
      <c r="JNQ287" s="2151"/>
      <c r="JNR287" s="2151"/>
      <c r="JNS287" s="2151"/>
      <c r="JNT287" s="2151"/>
      <c r="JNU287" s="2151"/>
      <c r="JNV287" s="2151"/>
      <c r="JNW287" s="2151"/>
      <c r="JNX287" s="2151"/>
      <c r="JNY287" s="2151"/>
      <c r="JNZ287" s="2151"/>
      <c r="JOA287" s="2150"/>
      <c r="JOB287" s="2151"/>
      <c r="JOC287" s="2151"/>
      <c r="JOD287" s="2151"/>
      <c r="JOE287" s="2151"/>
      <c r="JOF287" s="2151"/>
      <c r="JOG287" s="2151"/>
      <c r="JOH287" s="2151"/>
      <c r="JOI287" s="2151"/>
      <c r="JOJ287" s="2151"/>
      <c r="JOK287" s="2151"/>
      <c r="JOL287" s="2151"/>
      <c r="JOM287" s="2151"/>
      <c r="JON287" s="2151"/>
      <c r="JOO287" s="2151"/>
      <c r="JOP287" s="2151"/>
      <c r="JOQ287" s="2150"/>
      <c r="JOR287" s="2151"/>
      <c r="JOS287" s="2151"/>
      <c r="JOT287" s="2151"/>
      <c r="JOU287" s="2151"/>
      <c r="JOV287" s="2151"/>
      <c r="JOW287" s="2151"/>
      <c r="JOX287" s="2151"/>
      <c r="JOY287" s="2151"/>
      <c r="JOZ287" s="2151"/>
      <c r="JPA287" s="2151"/>
      <c r="JPB287" s="2151"/>
      <c r="JPC287" s="2151"/>
      <c r="JPD287" s="2151"/>
      <c r="JPE287" s="2151"/>
      <c r="JPF287" s="2151"/>
      <c r="JPG287" s="2150"/>
      <c r="JPH287" s="2151"/>
      <c r="JPI287" s="2151"/>
      <c r="JPJ287" s="2151"/>
      <c r="JPK287" s="2151"/>
      <c r="JPL287" s="2151"/>
      <c r="JPM287" s="2151"/>
      <c r="JPN287" s="2151"/>
      <c r="JPO287" s="2151"/>
      <c r="JPP287" s="2151"/>
      <c r="JPQ287" s="2151"/>
      <c r="JPR287" s="2151"/>
      <c r="JPS287" s="2151"/>
      <c r="JPT287" s="2151"/>
      <c r="JPU287" s="2151"/>
      <c r="JPV287" s="2151"/>
      <c r="JPW287" s="2150"/>
      <c r="JPX287" s="2151"/>
      <c r="JPY287" s="2151"/>
      <c r="JPZ287" s="2151"/>
      <c r="JQA287" s="2151"/>
      <c r="JQB287" s="2151"/>
      <c r="JQC287" s="2151"/>
      <c r="JQD287" s="2151"/>
      <c r="JQE287" s="2151"/>
      <c r="JQF287" s="2151"/>
      <c r="JQG287" s="2151"/>
      <c r="JQH287" s="2151"/>
      <c r="JQI287" s="2151"/>
      <c r="JQJ287" s="2151"/>
      <c r="JQK287" s="2151"/>
      <c r="JQL287" s="2151"/>
      <c r="JQM287" s="2150"/>
      <c r="JQN287" s="2151"/>
      <c r="JQO287" s="2151"/>
      <c r="JQP287" s="2151"/>
      <c r="JQQ287" s="2151"/>
      <c r="JQR287" s="2151"/>
      <c r="JQS287" s="2151"/>
      <c r="JQT287" s="2151"/>
      <c r="JQU287" s="2151"/>
      <c r="JQV287" s="2151"/>
      <c r="JQW287" s="2151"/>
      <c r="JQX287" s="2151"/>
      <c r="JQY287" s="2151"/>
      <c r="JQZ287" s="2151"/>
      <c r="JRA287" s="2151"/>
      <c r="JRB287" s="2151"/>
      <c r="JRC287" s="2150"/>
      <c r="JRD287" s="2151"/>
      <c r="JRE287" s="2151"/>
      <c r="JRF287" s="2151"/>
      <c r="JRG287" s="2151"/>
      <c r="JRH287" s="2151"/>
      <c r="JRI287" s="2151"/>
      <c r="JRJ287" s="2151"/>
      <c r="JRK287" s="2151"/>
      <c r="JRL287" s="2151"/>
      <c r="JRM287" s="2151"/>
      <c r="JRN287" s="2151"/>
      <c r="JRO287" s="2151"/>
      <c r="JRP287" s="2151"/>
      <c r="JRQ287" s="2151"/>
      <c r="JRR287" s="2151"/>
      <c r="JRS287" s="2150"/>
      <c r="JRT287" s="2151"/>
      <c r="JRU287" s="2151"/>
      <c r="JRV287" s="2151"/>
      <c r="JRW287" s="2151"/>
      <c r="JRX287" s="2151"/>
      <c r="JRY287" s="2151"/>
      <c r="JRZ287" s="2151"/>
      <c r="JSA287" s="2151"/>
      <c r="JSB287" s="2151"/>
      <c r="JSC287" s="2151"/>
      <c r="JSD287" s="2151"/>
      <c r="JSE287" s="2151"/>
      <c r="JSF287" s="2151"/>
      <c r="JSG287" s="2151"/>
      <c r="JSH287" s="2151"/>
      <c r="JSI287" s="2150"/>
      <c r="JSJ287" s="2151"/>
      <c r="JSK287" s="2151"/>
      <c r="JSL287" s="2151"/>
      <c r="JSM287" s="2151"/>
      <c r="JSN287" s="2151"/>
      <c r="JSO287" s="2151"/>
      <c r="JSP287" s="2151"/>
      <c r="JSQ287" s="2151"/>
      <c r="JSR287" s="2151"/>
      <c r="JSS287" s="2151"/>
      <c r="JST287" s="2151"/>
      <c r="JSU287" s="2151"/>
      <c r="JSV287" s="2151"/>
      <c r="JSW287" s="2151"/>
      <c r="JSX287" s="2151"/>
      <c r="JSY287" s="2150"/>
      <c r="JSZ287" s="2151"/>
      <c r="JTA287" s="2151"/>
      <c r="JTB287" s="2151"/>
      <c r="JTC287" s="2151"/>
      <c r="JTD287" s="2151"/>
      <c r="JTE287" s="2151"/>
      <c r="JTF287" s="2151"/>
      <c r="JTG287" s="2151"/>
      <c r="JTH287" s="2151"/>
      <c r="JTI287" s="2151"/>
      <c r="JTJ287" s="2151"/>
      <c r="JTK287" s="2151"/>
      <c r="JTL287" s="2151"/>
      <c r="JTM287" s="2151"/>
      <c r="JTN287" s="2151"/>
      <c r="JTO287" s="2150"/>
      <c r="JTP287" s="2151"/>
      <c r="JTQ287" s="2151"/>
      <c r="JTR287" s="2151"/>
      <c r="JTS287" s="2151"/>
      <c r="JTT287" s="2151"/>
      <c r="JTU287" s="2151"/>
      <c r="JTV287" s="2151"/>
      <c r="JTW287" s="2151"/>
      <c r="JTX287" s="2151"/>
      <c r="JTY287" s="2151"/>
      <c r="JTZ287" s="2151"/>
      <c r="JUA287" s="2151"/>
      <c r="JUB287" s="2151"/>
      <c r="JUC287" s="2151"/>
      <c r="JUD287" s="2151"/>
      <c r="JUE287" s="2150"/>
      <c r="JUF287" s="2151"/>
      <c r="JUG287" s="2151"/>
      <c r="JUH287" s="2151"/>
      <c r="JUI287" s="2151"/>
      <c r="JUJ287" s="2151"/>
      <c r="JUK287" s="2151"/>
      <c r="JUL287" s="2151"/>
      <c r="JUM287" s="2151"/>
      <c r="JUN287" s="2151"/>
      <c r="JUO287" s="2151"/>
      <c r="JUP287" s="2151"/>
      <c r="JUQ287" s="2151"/>
      <c r="JUR287" s="2151"/>
      <c r="JUS287" s="2151"/>
      <c r="JUT287" s="2151"/>
      <c r="JUU287" s="2150"/>
      <c r="JUV287" s="2151"/>
      <c r="JUW287" s="2151"/>
      <c r="JUX287" s="2151"/>
      <c r="JUY287" s="2151"/>
      <c r="JUZ287" s="2151"/>
      <c r="JVA287" s="2151"/>
      <c r="JVB287" s="2151"/>
      <c r="JVC287" s="2151"/>
      <c r="JVD287" s="2151"/>
      <c r="JVE287" s="2151"/>
      <c r="JVF287" s="2151"/>
      <c r="JVG287" s="2151"/>
      <c r="JVH287" s="2151"/>
      <c r="JVI287" s="2151"/>
      <c r="JVJ287" s="2151"/>
      <c r="JVK287" s="2150"/>
      <c r="JVL287" s="2151"/>
      <c r="JVM287" s="2151"/>
      <c r="JVN287" s="2151"/>
      <c r="JVO287" s="2151"/>
      <c r="JVP287" s="2151"/>
      <c r="JVQ287" s="2151"/>
      <c r="JVR287" s="2151"/>
      <c r="JVS287" s="2151"/>
      <c r="JVT287" s="2151"/>
      <c r="JVU287" s="2151"/>
      <c r="JVV287" s="2151"/>
      <c r="JVW287" s="2151"/>
      <c r="JVX287" s="2151"/>
      <c r="JVY287" s="2151"/>
      <c r="JVZ287" s="2151"/>
      <c r="JWA287" s="2150"/>
      <c r="JWB287" s="2151"/>
      <c r="JWC287" s="2151"/>
      <c r="JWD287" s="2151"/>
      <c r="JWE287" s="2151"/>
      <c r="JWF287" s="2151"/>
      <c r="JWG287" s="2151"/>
      <c r="JWH287" s="2151"/>
      <c r="JWI287" s="2151"/>
      <c r="JWJ287" s="2151"/>
      <c r="JWK287" s="2151"/>
      <c r="JWL287" s="2151"/>
      <c r="JWM287" s="2151"/>
      <c r="JWN287" s="2151"/>
      <c r="JWO287" s="2151"/>
      <c r="JWP287" s="2151"/>
      <c r="JWQ287" s="2150"/>
      <c r="JWR287" s="2151"/>
      <c r="JWS287" s="2151"/>
      <c r="JWT287" s="2151"/>
      <c r="JWU287" s="2151"/>
      <c r="JWV287" s="2151"/>
      <c r="JWW287" s="2151"/>
      <c r="JWX287" s="2151"/>
      <c r="JWY287" s="2151"/>
      <c r="JWZ287" s="2151"/>
      <c r="JXA287" s="2151"/>
      <c r="JXB287" s="2151"/>
      <c r="JXC287" s="2151"/>
      <c r="JXD287" s="2151"/>
      <c r="JXE287" s="2151"/>
      <c r="JXF287" s="2151"/>
      <c r="JXG287" s="2150"/>
      <c r="JXH287" s="2151"/>
      <c r="JXI287" s="2151"/>
      <c r="JXJ287" s="2151"/>
      <c r="JXK287" s="2151"/>
      <c r="JXL287" s="2151"/>
      <c r="JXM287" s="2151"/>
      <c r="JXN287" s="2151"/>
      <c r="JXO287" s="2151"/>
      <c r="JXP287" s="2151"/>
      <c r="JXQ287" s="2151"/>
      <c r="JXR287" s="2151"/>
      <c r="JXS287" s="2151"/>
      <c r="JXT287" s="2151"/>
      <c r="JXU287" s="2151"/>
      <c r="JXV287" s="2151"/>
      <c r="JXW287" s="2150"/>
      <c r="JXX287" s="2151"/>
      <c r="JXY287" s="2151"/>
      <c r="JXZ287" s="2151"/>
      <c r="JYA287" s="2151"/>
      <c r="JYB287" s="2151"/>
      <c r="JYC287" s="2151"/>
      <c r="JYD287" s="2151"/>
      <c r="JYE287" s="2151"/>
      <c r="JYF287" s="2151"/>
      <c r="JYG287" s="2151"/>
      <c r="JYH287" s="2151"/>
      <c r="JYI287" s="2151"/>
      <c r="JYJ287" s="2151"/>
      <c r="JYK287" s="2151"/>
      <c r="JYL287" s="2151"/>
      <c r="JYM287" s="2150"/>
      <c r="JYN287" s="2151"/>
      <c r="JYO287" s="2151"/>
      <c r="JYP287" s="2151"/>
      <c r="JYQ287" s="2151"/>
      <c r="JYR287" s="2151"/>
      <c r="JYS287" s="2151"/>
      <c r="JYT287" s="2151"/>
      <c r="JYU287" s="2151"/>
      <c r="JYV287" s="2151"/>
      <c r="JYW287" s="2151"/>
      <c r="JYX287" s="2151"/>
      <c r="JYY287" s="2151"/>
      <c r="JYZ287" s="2151"/>
      <c r="JZA287" s="2151"/>
      <c r="JZB287" s="2151"/>
      <c r="JZC287" s="2150"/>
      <c r="JZD287" s="2151"/>
      <c r="JZE287" s="2151"/>
      <c r="JZF287" s="2151"/>
      <c r="JZG287" s="2151"/>
      <c r="JZH287" s="2151"/>
      <c r="JZI287" s="2151"/>
      <c r="JZJ287" s="2151"/>
      <c r="JZK287" s="2151"/>
      <c r="JZL287" s="2151"/>
      <c r="JZM287" s="2151"/>
      <c r="JZN287" s="2151"/>
      <c r="JZO287" s="2151"/>
      <c r="JZP287" s="2151"/>
      <c r="JZQ287" s="2151"/>
      <c r="JZR287" s="2151"/>
      <c r="JZS287" s="2150"/>
      <c r="JZT287" s="2151"/>
      <c r="JZU287" s="2151"/>
      <c r="JZV287" s="2151"/>
      <c r="JZW287" s="2151"/>
      <c r="JZX287" s="2151"/>
      <c r="JZY287" s="2151"/>
      <c r="JZZ287" s="2151"/>
      <c r="KAA287" s="2151"/>
      <c r="KAB287" s="2151"/>
      <c r="KAC287" s="2151"/>
      <c r="KAD287" s="2151"/>
      <c r="KAE287" s="2151"/>
      <c r="KAF287" s="2151"/>
      <c r="KAG287" s="2151"/>
      <c r="KAH287" s="2151"/>
      <c r="KAI287" s="2150"/>
      <c r="KAJ287" s="2151"/>
      <c r="KAK287" s="2151"/>
      <c r="KAL287" s="2151"/>
      <c r="KAM287" s="2151"/>
      <c r="KAN287" s="2151"/>
      <c r="KAO287" s="2151"/>
      <c r="KAP287" s="2151"/>
      <c r="KAQ287" s="2151"/>
      <c r="KAR287" s="2151"/>
      <c r="KAS287" s="2151"/>
      <c r="KAT287" s="2151"/>
      <c r="KAU287" s="2151"/>
      <c r="KAV287" s="2151"/>
      <c r="KAW287" s="2151"/>
      <c r="KAX287" s="2151"/>
      <c r="KAY287" s="2150"/>
      <c r="KAZ287" s="2151"/>
      <c r="KBA287" s="2151"/>
      <c r="KBB287" s="2151"/>
      <c r="KBC287" s="2151"/>
      <c r="KBD287" s="2151"/>
      <c r="KBE287" s="2151"/>
      <c r="KBF287" s="2151"/>
      <c r="KBG287" s="2151"/>
      <c r="KBH287" s="2151"/>
      <c r="KBI287" s="2151"/>
      <c r="KBJ287" s="2151"/>
      <c r="KBK287" s="2151"/>
      <c r="KBL287" s="2151"/>
      <c r="KBM287" s="2151"/>
      <c r="KBN287" s="2151"/>
      <c r="KBO287" s="2150"/>
      <c r="KBP287" s="2151"/>
      <c r="KBQ287" s="2151"/>
      <c r="KBR287" s="2151"/>
      <c r="KBS287" s="2151"/>
      <c r="KBT287" s="2151"/>
      <c r="KBU287" s="2151"/>
      <c r="KBV287" s="2151"/>
      <c r="KBW287" s="2151"/>
      <c r="KBX287" s="2151"/>
      <c r="KBY287" s="2151"/>
      <c r="KBZ287" s="2151"/>
      <c r="KCA287" s="2151"/>
      <c r="KCB287" s="2151"/>
      <c r="KCC287" s="2151"/>
      <c r="KCD287" s="2151"/>
      <c r="KCE287" s="2150"/>
      <c r="KCF287" s="2151"/>
      <c r="KCG287" s="2151"/>
      <c r="KCH287" s="2151"/>
      <c r="KCI287" s="2151"/>
      <c r="KCJ287" s="2151"/>
      <c r="KCK287" s="2151"/>
      <c r="KCL287" s="2151"/>
      <c r="KCM287" s="2151"/>
      <c r="KCN287" s="2151"/>
      <c r="KCO287" s="2151"/>
      <c r="KCP287" s="2151"/>
      <c r="KCQ287" s="2151"/>
      <c r="KCR287" s="2151"/>
      <c r="KCS287" s="2151"/>
      <c r="KCT287" s="2151"/>
      <c r="KCU287" s="2150"/>
      <c r="KCV287" s="2151"/>
      <c r="KCW287" s="2151"/>
      <c r="KCX287" s="2151"/>
      <c r="KCY287" s="2151"/>
      <c r="KCZ287" s="2151"/>
      <c r="KDA287" s="2151"/>
      <c r="KDB287" s="2151"/>
      <c r="KDC287" s="2151"/>
      <c r="KDD287" s="2151"/>
      <c r="KDE287" s="2151"/>
      <c r="KDF287" s="2151"/>
      <c r="KDG287" s="2151"/>
      <c r="KDH287" s="2151"/>
      <c r="KDI287" s="2151"/>
      <c r="KDJ287" s="2151"/>
      <c r="KDK287" s="2150"/>
      <c r="KDL287" s="2151"/>
      <c r="KDM287" s="2151"/>
      <c r="KDN287" s="2151"/>
      <c r="KDO287" s="2151"/>
      <c r="KDP287" s="2151"/>
      <c r="KDQ287" s="2151"/>
      <c r="KDR287" s="2151"/>
      <c r="KDS287" s="2151"/>
      <c r="KDT287" s="2151"/>
      <c r="KDU287" s="2151"/>
      <c r="KDV287" s="2151"/>
      <c r="KDW287" s="2151"/>
      <c r="KDX287" s="2151"/>
      <c r="KDY287" s="2151"/>
      <c r="KDZ287" s="2151"/>
      <c r="KEA287" s="2150"/>
      <c r="KEB287" s="2151"/>
      <c r="KEC287" s="2151"/>
      <c r="KED287" s="2151"/>
      <c r="KEE287" s="2151"/>
      <c r="KEF287" s="2151"/>
      <c r="KEG287" s="2151"/>
      <c r="KEH287" s="2151"/>
      <c r="KEI287" s="2151"/>
      <c r="KEJ287" s="2151"/>
      <c r="KEK287" s="2151"/>
      <c r="KEL287" s="2151"/>
      <c r="KEM287" s="2151"/>
      <c r="KEN287" s="2151"/>
      <c r="KEO287" s="2151"/>
      <c r="KEP287" s="2151"/>
      <c r="KEQ287" s="2150"/>
      <c r="KER287" s="2151"/>
      <c r="KES287" s="2151"/>
      <c r="KET287" s="2151"/>
      <c r="KEU287" s="2151"/>
      <c r="KEV287" s="2151"/>
      <c r="KEW287" s="2151"/>
      <c r="KEX287" s="2151"/>
      <c r="KEY287" s="2151"/>
      <c r="KEZ287" s="2151"/>
      <c r="KFA287" s="2151"/>
      <c r="KFB287" s="2151"/>
      <c r="KFC287" s="2151"/>
      <c r="KFD287" s="2151"/>
      <c r="KFE287" s="2151"/>
      <c r="KFF287" s="2151"/>
      <c r="KFG287" s="2150"/>
      <c r="KFH287" s="2151"/>
      <c r="KFI287" s="2151"/>
      <c r="KFJ287" s="2151"/>
      <c r="KFK287" s="2151"/>
      <c r="KFL287" s="2151"/>
      <c r="KFM287" s="2151"/>
      <c r="KFN287" s="2151"/>
      <c r="KFO287" s="2151"/>
      <c r="KFP287" s="2151"/>
      <c r="KFQ287" s="2151"/>
      <c r="KFR287" s="2151"/>
      <c r="KFS287" s="2151"/>
      <c r="KFT287" s="2151"/>
      <c r="KFU287" s="2151"/>
      <c r="KFV287" s="2151"/>
      <c r="KFW287" s="2150"/>
      <c r="KFX287" s="2151"/>
      <c r="KFY287" s="2151"/>
      <c r="KFZ287" s="2151"/>
      <c r="KGA287" s="2151"/>
      <c r="KGB287" s="2151"/>
      <c r="KGC287" s="2151"/>
      <c r="KGD287" s="2151"/>
      <c r="KGE287" s="2151"/>
      <c r="KGF287" s="2151"/>
      <c r="KGG287" s="2151"/>
      <c r="KGH287" s="2151"/>
      <c r="KGI287" s="2151"/>
      <c r="KGJ287" s="2151"/>
      <c r="KGK287" s="2151"/>
      <c r="KGL287" s="2151"/>
      <c r="KGM287" s="2150"/>
      <c r="KGN287" s="2151"/>
      <c r="KGO287" s="2151"/>
      <c r="KGP287" s="2151"/>
      <c r="KGQ287" s="2151"/>
      <c r="KGR287" s="2151"/>
      <c r="KGS287" s="2151"/>
      <c r="KGT287" s="2151"/>
      <c r="KGU287" s="2151"/>
      <c r="KGV287" s="2151"/>
      <c r="KGW287" s="2151"/>
      <c r="KGX287" s="2151"/>
      <c r="KGY287" s="2151"/>
      <c r="KGZ287" s="2151"/>
      <c r="KHA287" s="2151"/>
      <c r="KHB287" s="2151"/>
      <c r="KHC287" s="2150"/>
      <c r="KHD287" s="2151"/>
      <c r="KHE287" s="2151"/>
      <c r="KHF287" s="2151"/>
      <c r="KHG287" s="2151"/>
      <c r="KHH287" s="2151"/>
      <c r="KHI287" s="2151"/>
      <c r="KHJ287" s="2151"/>
      <c r="KHK287" s="2151"/>
      <c r="KHL287" s="2151"/>
      <c r="KHM287" s="2151"/>
      <c r="KHN287" s="2151"/>
      <c r="KHO287" s="2151"/>
      <c r="KHP287" s="2151"/>
      <c r="KHQ287" s="2151"/>
      <c r="KHR287" s="2151"/>
      <c r="KHS287" s="2150"/>
      <c r="KHT287" s="2151"/>
      <c r="KHU287" s="2151"/>
      <c r="KHV287" s="2151"/>
      <c r="KHW287" s="2151"/>
      <c r="KHX287" s="2151"/>
      <c r="KHY287" s="2151"/>
      <c r="KHZ287" s="2151"/>
      <c r="KIA287" s="2151"/>
      <c r="KIB287" s="2151"/>
      <c r="KIC287" s="2151"/>
      <c r="KID287" s="2151"/>
      <c r="KIE287" s="2151"/>
      <c r="KIF287" s="2151"/>
      <c r="KIG287" s="2151"/>
      <c r="KIH287" s="2151"/>
      <c r="KII287" s="2150"/>
      <c r="KIJ287" s="2151"/>
      <c r="KIK287" s="2151"/>
      <c r="KIL287" s="2151"/>
      <c r="KIM287" s="2151"/>
      <c r="KIN287" s="2151"/>
      <c r="KIO287" s="2151"/>
      <c r="KIP287" s="2151"/>
      <c r="KIQ287" s="2151"/>
      <c r="KIR287" s="2151"/>
      <c r="KIS287" s="2151"/>
      <c r="KIT287" s="2151"/>
      <c r="KIU287" s="2151"/>
      <c r="KIV287" s="2151"/>
      <c r="KIW287" s="2151"/>
      <c r="KIX287" s="2151"/>
      <c r="KIY287" s="2150"/>
      <c r="KIZ287" s="2151"/>
      <c r="KJA287" s="2151"/>
      <c r="KJB287" s="2151"/>
      <c r="KJC287" s="2151"/>
      <c r="KJD287" s="2151"/>
      <c r="KJE287" s="2151"/>
      <c r="KJF287" s="2151"/>
      <c r="KJG287" s="2151"/>
      <c r="KJH287" s="2151"/>
      <c r="KJI287" s="2151"/>
      <c r="KJJ287" s="2151"/>
      <c r="KJK287" s="2151"/>
      <c r="KJL287" s="2151"/>
      <c r="KJM287" s="2151"/>
      <c r="KJN287" s="2151"/>
      <c r="KJO287" s="2150"/>
      <c r="KJP287" s="2151"/>
      <c r="KJQ287" s="2151"/>
      <c r="KJR287" s="2151"/>
      <c r="KJS287" s="2151"/>
      <c r="KJT287" s="2151"/>
      <c r="KJU287" s="2151"/>
      <c r="KJV287" s="2151"/>
      <c r="KJW287" s="2151"/>
      <c r="KJX287" s="2151"/>
      <c r="KJY287" s="2151"/>
      <c r="KJZ287" s="2151"/>
      <c r="KKA287" s="2151"/>
      <c r="KKB287" s="2151"/>
      <c r="KKC287" s="2151"/>
      <c r="KKD287" s="2151"/>
      <c r="KKE287" s="2150"/>
      <c r="KKF287" s="2151"/>
      <c r="KKG287" s="2151"/>
      <c r="KKH287" s="2151"/>
      <c r="KKI287" s="2151"/>
      <c r="KKJ287" s="2151"/>
      <c r="KKK287" s="2151"/>
      <c r="KKL287" s="2151"/>
      <c r="KKM287" s="2151"/>
      <c r="KKN287" s="2151"/>
      <c r="KKO287" s="2151"/>
      <c r="KKP287" s="2151"/>
      <c r="KKQ287" s="2151"/>
      <c r="KKR287" s="2151"/>
      <c r="KKS287" s="2151"/>
      <c r="KKT287" s="2151"/>
      <c r="KKU287" s="2150"/>
      <c r="KKV287" s="2151"/>
      <c r="KKW287" s="2151"/>
      <c r="KKX287" s="2151"/>
      <c r="KKY287" s="2151"/>
      <c r="KKZ287" s="2151"/>
      <c r="KLA287" s="2151"/>
      <c r="KLB287" s="2151"/>
      <c r="KLC287" s="2151"/>
      <c r="KLD287" s="2151"/>
      <c r="KLE287" s="2151"/>
      <c r="KLF287" s="2151"/>
      <c r="KLG287" s="2151"/>
      <c r="KLH287" s="2151"/>
      <c r="KLI287" s="2151"/>
      <c r="KLJ287" s="2151"/>
      <c r="KLK287" s="2150"/>
      <c r="KLL287" s="2151"/>
      <c r="KLM287" s="2151"/>
      <c r="KLN287" s="2151"/>
      <c r="KLO287" s="2151"/>
      <c r="KLP287" s="2151"/>
      <c r="KLQ287" s="2151"/>
      <c r="KLR287" s="2151"/>
      <c r="KLS287" s="2151"/>
      <c r="KLT287" s="2151"/>
      <c r="KLU287" s="2151"/>
      <c r="KLV287" s="2151"/>
      <c r="KLW287" s="2151"/>
      <c r="KLX287" s="2151"/>
      <c r="KLY287" s="2151"/>
      <c r="KLZ287" s="2151"/>
      <c r="KMA287" s="2150"/>
      <c r="KMB287" s="2151"/>
      <c r="KMC287" s="2151"/>
      <c r="KMD287" s="2151"/>
      <c r="KME287" s="2151"/>
      <c r="KMF287" s="2151"/>
      <c r="KMG287" s="2151"/>
      <c r="KMH287" s="2151"/>
      <c r="KMI287" s="2151"/>
      <c r="KMJ287" s="2151"/>
      <c r="KMK287" s="2151"/>
      <c r="KML287" s="2151"/>
      <c r="KMM287" s="2151"/>
      <c r="KMN287" s="2151"/>
      <c r="KMO287" s="2151"/>
      <c r="KMP287" s="2151"/>
      <c r="KMQ287" s="2150"/>
      <c r="KMR287" s="2151"/>
      <c r="KMS287" s="2151"/>
      <c r="KMT287" s="2151"/>
      <c r="KMU287" s="2151"/>
      <c r="KMV287" s="2151"/>
      <c r="KMW287" s="2151"/>
      <c r="KMX287" s="2151"/>
      <c r="KMY287" s="2151"/>
      <c r="KMZ287" s="2151"/>
      <c r="KNA287" s="2151"/>
      <c r="KNB287" s="2151"/>
      <c r="KNC287" s="2151"/>
      <c r="KND287" s="2151"/>
      <c r="KNE287" s="2151"/>
      <c r="KNF287" s="2151"/>
      <c r="KNG287" s="2150"/>
      <c r="KNH287" s="2151"/>
      <c r="KNI287" s="2151"/>
      <c r="KNJ287" s="2151"/>
      <c r="KNK287" s="2151"/>
      <c r="KNL287" s="2151"/>
      <c r="KNM287" s="2151"/>
      <c r="KNN287" s="2151"/>
      <c r="KNO287" s="2151"/>
      <c r="KNP287" s="2151"/>
      <c r="KNQ287" s="2151"/>
      <c r="KNR287" s="2151"/>
      <c r="KNS287" s="2151"/>
      <c r="KNT287" s="2151"/>
      <c r="KNU287" s="2151"/>
      <c r="KNV287" s="2151"/>
      <c r="KNW287" s="2150"/>
      <c r="KNX287" s="2151"/>
      <c r="KNY287" s="2151"/>
      <c r="KNZ287" s="2151"/>
      <c r="KOA287" s="2151"/>
      <c r="KOB287" s="2151"/>
      <c r="KOC287" s="2151"/>
      <c r="KOD287" s="2151"/>
      <c r="KOE287" s="2151"/>
      <c r="KOF287" s="2151"/>
      <c r="KOG287" s="2151"/>
      <c r="KOH287" s="2151"/>
      <c r="KOI287" s="2151"/>
      <c r="KOJ287" s="2151"/>
      <c r="KOK287" s="2151"/>
      <c r="KOL287" s="2151"/>
      <c r="KOM287" s="2150"/>
      <c r="KON287" s="2151"/>
      <c r="KOO287" s="2151"/>
      <c r="KOP287" s="2151"/>
      <c r="KOQ287" s="2151"/>
      <c r="KOR287" s="2151"/>
      <c r="KOS287" s="2151"/>
      <c r="KOT287" s="2151"/>
      <c r="KOU287" s="2151"/>
      <c r="KOV287" s="2151"/>
      <c r="KOW287" s="2151"/>
      <c r="KOX287" s="2151"/>
      <c r="KOY287" s="2151"/>
      <c r="KOZ287" s="2151"/>
      <c r="KPA287" s="2151"/>
      <c r="KPB287" s="2151"/>
      <c r="KPC287" s="2150"/>
      <c r="KPD287" s="2151"/>
      <c r="KPE287" s="2151"/>
      <c r="KPF287" s="2151"/>
      <c r="KPG287" s="2151"/>
      <c r="KPH287" s="2151"/>
      <c r="KPI287" s="2151"/>
      <c r="KPJ287" s="2151"/>
      <c r="KPK287" s="2151"/>
      <c r="KPL287" s="2151"/>
      <c r="KPM287" s="2151"/>
      <c r="KPN287" s="2151"/>
      <c r="KPO287" s="2151"/>
      <c r="KPP287" s="2151"/>
      <c r="KPQ287" s="2151"/>
      <c r="KPR287" s="2151"/>
      <c r="KPS287" s="2150"/>
      <c r="KPT287" s="2151"/>
      <c r="KPU287" s="2151"/>
      <c r="KPV287" s="2151"/>
      <c r="KPW287" s="2151"/>
      <c r="KPX287" s="2151"/>
      <c r="KPY287" s="2151"/>
      <c r="KPZ287" s="2151"/>
      <c r="KQA287" s="2151"/>
      <c r="KQB287" s="2151"/>
      <c r="KQC287" s="2151"/>
      <c r="KQD287" s="2151"/>
      <c r="KQE287" s="2151"/>
      <c r="KQF287" s="2151"/>
      <c r="KQG287" s="2151"/>
      <c r="KQH287" s="2151"/>
      <c r="KQI287" s="2150"/>
      <c r="KQJ287" s="2151"/>
      <c r="KQK287" s="2151"/>
      <c r="KQL287" s="2151"/>
      <c r="KQM287" s="2151"/>
      <c r="KQN287" s="2151"/>
      <c r="KQO287" s="2151"/>
      <c r="KQP287" s="2151"/>
      <c r="KQQ287" s="2151"/>
      <c r="KQR287" s="2151"/>
      <c r="KQS287" s="2151"/>
      <c r="KQT287" s="2151"/>
      <c r="KQU287" s="2151"/>
      <c r="KQV287" s="2151"/>
      <c r="KQW287" s="2151"/>
      <c r="KQX287" s="2151"/>
      <c r="KQY287" s="2150"/>
      <c r="KQZ287" s="2151"/>
      <c r="KRA287" s="2151"/>
      <c r="KRB287" s="2151"/>
      <c r="KRC287" s="2151"/>
      <c r="KRD287" s="2151"/>
      <c r="KRE287" s="2151"/>
      <c r="KRF287" s="2151"/>
      <c r="KRG287" s="2151"/>
      <c r="KRH287" s="2151"/>
      <c r="KRI287" s="2151"/>
      <c r="KRJ287" s="2151"/>
      <c r="KRK287" s="2151"/>
      <c r="KRL287" s="2151"/>
      <c r="KRM287" s="2151"/>
      <c r="KRN287" s="2151"/>
      <c r="KRO287" s="2150"/>
      <c r="KRP287" s="2151"/>
      <c r="KRQ287" s="2151"/>
      <c r="KRR287" s="2151"/>
      <c r="KRS287" s="2151"/>
      <c r="KRT287" s="2151"/>
      <c r="KRU287" s="2151"/>
      <c r="KRV287" s="2151"/>
      <c r="KRW287" s="2151"/>
      <c r="KRX287" s="2151"/>
      <c r="KRY287" s="2151"/>
      <c r="KRZ287" s="2151"/>
      <c r="KSA287" s="2151"/>
      <c r="KSB287" s="2151"/>
      <c r="KSC287" s="2151"/>
      <c r="KSD287" s="2151"/>
      <c r="KSE287" s="2150"/>
      <c r="KSF287" s="2151"/>
      <c r="KSG287" s="2151"/>
      <c r="KSH287" s="2151"/>
      <c r="KSI287" s="2151"/>
      <c r="KSJ287" s="2151"/>
      <c r="KSK287" s="2151"/>
      <c r="KSL287" s="2151"/>
      <c r="KSM287" s="2151"/>
      <c r="KSN287" s="2151"/>
      <c r="KSO287" s="2151"/>
      <c r="KSP287" s="2151"/>
      <c r="KSQ287" s="2151"/>
      <c r="KSR287" s="2151"/>
      <c r="KSS287" s="2151"/>
      <c r="KST287" s="2151"/>
      <c r="KSU287" s="2150"/>
      <c r="KSV287" s="2151"/>
      <c r="KSW287" s="2151"/>
      <c r="KSX287" s="2151"/>
      <c r="KSY287" s="2151"/>
      <c r="KSZ287" s="2151"/>
      <c r="KTA287" s="2151"/>
      <c r="KTB287" s="2151"/>
      <c r="KTC287" s="2151"/>
      <c r="KTD287" s="2151"/>
      <c r="KTE287" s="2151"/>
      <c r="KTF287" s="2151"/>
      <c r="KTG287" s="2151"/>
      <c r="KTH287" s="2151"/>
      <c r="KTI287" s="2151"/>
      <c r="KTJ287" s="2151"/>
      <c r="KTK287" s="2150"/>
      <c r="KTL287" s="2151"/>
      <c r="KTM287" s="2151"/>
      <c r="KTN287" s="2151"/>
      <c r="KTO287" s="2151"/>
      <c r="KTP287" s="2151"/>
      <c r="KTQ287" s="2151"/>
      <c r="KTR287" s="2151"/>
      <c r="KTS287" s="2151"/>
      <c r="KTT287" s="2151"/>
      <c r="KTU287" s="2151"/>
      <c r="KTV287" s="2151"/>
      <c r="KTW287" s="2151"/>
      <c r="KTX287" s="2151"/>
      <c r="KTY287" s="2151"/>
      <c r="KTZ287" s="2151"/>
      <c r="KUA287" s="2150"/>
      <c r="KUB287" s="2151"/>
      <c r="KUC287" s="2151"/>
      <c r="KUD287" s="2151"/>
      <c r="KUE287" s="2151"/>
      <c r="KUF287" s="2151"/>
      <c r="KUG287" s="2151"/>
      <c r="KUH287" s="2151"/>
      <c r="KUI287" s="2151"/>
      <c r="KUJ287" s="2151"/>
      <c r="KUK287" s="2151"/>
      <c r="KUL287" s="2151"/>
      <c r="KUM287" s="2151"/>
      <c r="KUN287" s="2151"/>
      <c r="KUO287" s="2151"/>
      <c r="KUP287" s="2151"/>
      <c r="KUQ287" s="2150"/>
      <c r="KUR287" s="2151"/>
      <c r="KUS287" s="2151"/>
      <c r="KUT287" s="2151"/>
      <c r="KUU287" s="2151"/>
      <c r="KUV287" s="2151"/>
      <c r="KUW287" s="2151"/>
      <c r="KUX287" s="2151"/>
      <c r="KUY287" s="2151"/>
      <c r="KUZ287" s="2151"/>
      <c r="KVA287" s="2151"/>
      <c r="KVB287" s="2151"/>
      <c r="KVC287" s="2151"/>
      <c r="KVD287" s="2151"/>
      <c r="KVE287" s="2151"/>
      <c r="KVF287" s="2151"/>
      <c r="KVG287" s="2150"/>
      <c r="KVH287" s="2151"/>
      <c r="KVI287" s="2151"/>
      <c r="KVJ287" s="2151"/>
      <c r="KVK287" s="2151"/>
      <c r="KVL287" s="2151"/>
      <c r="KVM287" s="2151"/>
      <c r="KVN287" s="2151"/>
      <c r="KVO287" s="2151"/>
      <c r="KVP287" s="2151"/>
      <c r="KVQ287" s="2151"/>
      <c r="KVR287" s="2151"/>
      <c r="KVS287" s="2151"/>
      <c r="KVT287" s="2151"/>
      <c r="KVU287" s="2151"/>
      <c r="KVV287" s="2151"/>
      <c r="KVW287" s="2150"/>
      <c r="KVX287" s="2151"/>
      <c r="KVY287" s="2151"/>
      <c r="KVZ287" s="2151"/>
      <c r="KWA287" s="2151"/>
      <c r="KWB287" s="2151"/>
      <c r="KWC287" s="2151"/>
      <c r="KWD287" s="2151"/>
      <c r="KWE287" s="2151"/>
      <c r="KWF287" s="2151"/>
      <c r="KWG287" s="2151"/>
      <c r="KWH287" s="2151"/>
      <c r="KWI287" s="2151"/>
      <c r="KWJ287" s="2151"/>
      <c r="KWK287" s="2151"/>
      <c r="KWL287" s="2151"/>
      <c r="KWM287" s="2150"/>
      <c r="KWN287" s="2151"/>
      <c r="KWO287" s="2151"/>
      <c r="KWP287" s="2151"/>
      <c r="KWQ287" s="2151"/>
      <c r="KWR287" s="2151"/>
      <c r="KWS287" s="2151"/>
      <c r="KWT287" s="2151"/>
      <c r="KWU287" s="2151"/>
      <c r="KWV287" s="2151"/>
      <c r="KWW287" s="2151"/>
      <c r="KWX287" s="2151"/>
      <c r="KWY287" s="2151"/>
      <c r="KWZ287" s="2151"/>
      <c r="KXA287" s="2151"/>
      <c r="KXB287" s="2151"/>
      <c r="KXC287" s="2150"/>
      <c r="KXD287" s="2151"/>
      <c r="KXE287" s="2151"/>
      <c r="KXF287" s="2151"/>
      <c r="KXG287" s="2151"/>
      <c r="KXH287" s="2151"/>
      <c r="KXI287" s="2151"/>
      <c r="KXJ287" s="2151"/>
      <c r="KXK287" s="2151"/>
      <c r="KXL287" s="2151"/>
      <c r="KXM287" s="2151"/>
      <c r="KXN287" s="2151"/>
      <c r="KXO287" s="2151"/>
      <c r="KXP287" s="2151"/>
      <c r="KXQ287" s="2151"/>
      <c r="KXR287" s="2151"/>
      <c r="KXS287" s="2150"/>
      <c r="KXT287" s="2151"/>
      <c r="KXU287" s="2151"/>
      <c r="KXV287" s="2151"/>
      <c r="KXW287" s="2151"/>
      <c r="KXX287" s="2151"/>
      <c r="KXY287" s="2151"/>
      <c r="KXZ287" s="2151"/>
      <c r="KYA287" s="2151"/>
      <c r="KYB287" s="2151"/>
      <c r="KYC287" s="2151"/>
      <c r="KYD287" s="2151"/>
      <c r="KYE287" s="2151"/>
      <c r="KYF287" s="2151"/>
      <c r="KYG287" s="2151"/>
      <c r="KYH287" s="2151"/>
      <c r="KYI287" s="2150"/>
      <c r="KYJ287" s="2151"/>
      <c r="KYK287" s="2151"/>
      <c r="KYL287" s="2151"/>
      <c r="KYM287" s="2151"/>
      <c r="KYN287" s="2151"/>
      <c r="KYO287" s="2151"/>
      <c r="KYP287" s="2151"/>
      <c r="KYQ287" s="2151"/>
      <c r="KYR287" s="2151"/>
      <c r="KYS287" s="2151"/>
      <c r="KYT287" s="2151"/>
      <c r="KYU287" s="2151"/>
      <c r="KYV287" s="2151"/>
      <c r="KYW287" s="2151"/>
      <c r="KYX287" s="2151"/>
      <c r="KYY287" s="2150"/>
      <c r="KYZ287" s="2151"/>
      <c r="KZA287" s="2151"/>
      <c r="KZB287" s="2151"/>
      <c r="KZC287" s="2151"/>
      <c r="KZD287" s="2151"/>
      <c r="KZE287" s="2151"/>
      <c r="KZF287" s="2151"/>
      <c r="KZG287" s="2151"/>
      <c r="KZH287" s="2151"/>
      <c r="KZI287" s="2151"/>
      <c r="KZJ287" s="2151"/>
      <c r="KZK287" s="2151"/>
      <c r="KZL287" s="2151"/>
      <c r="KZM287" s="2151"/>
      <c r="KZN287" s="2151"/>
      <c r="KZO287" s="2150"/>
      <c r="KZP287" s="2151"/>
      <c r="KZQ287" s="2151"/>
      <c r="KZR287" s="2151"/>
      <c r="KZS287" s="2151"/>
      <c r="KZT287" s="2151"/>
      <c r="KZU287" s="2151"/>
      <c r="KZV287" s="2151"/>
      <c r="KZW287" s="2151"/>
      <c r="KZX287" s="2151"/>
      <c r="KZY287" s="2151"/>
      <c r="KZZ287" s="2151"/>
      <c r="LAA287" s="2151"/>
      <c r="LAB287" s="2151"/>
      <c r="LAC287" s="2151"/>
      <c r="LAD287" s="2151"/>
      <c r="LAE287" s="2150"/>
      <c r="LAF287" s="2151"/>
      <c r="LAG287" s="2151"/>
      <c r="LAH287" s="2151"/>
      <c r="LAI287" s="2151"/>
      <c r="LAJ287" s="2151"/>
      <c r="LAK287" s="2151"/>
      <c r="LAL287" s="2151"/>
      <c r="LAM287" s="2151"/>
      <c r="LAN287" s="2151"/>
      <c r="LAO287" s="2151"/>
      <c r="LAP287" s="2151"/>
      <c r="LAQ287" s="2151"/>
      <c r="LAR287" s="2151"/>
      <c r="LAS287" s="2151"/>
      <c r="LAT287" s="2151"/>
      <c r="LAU287" s="2150"/>
      <c r="LAV287" s="2151"/>
      <c r="LAW287" s="2151"/>
      <c r="LAX287" s="2151"/>
      <c r="LAY287" s="2151"/>
      <c r="LAZ287" s="2151"/>
      <c r="LBA287" s="2151"/>
      <c r="LBB287" s="2151"/>
      <c r="LBC287" s="2151"/>
      <c r="LBD287" s="2151"/>
      <c r="LBE287" s="2151"/>
      <c r="LBF287" s="2151"/>
      <c r="LBG287" s="2151"/>
      <c r="LBH287" s="2151"/>
      <c r="LBI287" s="2151"/>
      <c r="LBJ287" s="2151"/>
      <c r="LBK287" s="2150"/>
      <c r="LBL287" s="2151"/>
      <c r="LBM287" s="2151"/>
      <c r="LBN287" s="2151"/>
      <c r="LBO287" s="2151"/>
      <c r="LBP287" s="2151"/>
      <c r="LBQ287" s="2151"/>
      <c r="LBR287" s="2151"/>
      <c r="LBS287" s="2151"/>
      <c r="LBT287" s="2151"/>
      <c r="LBU287" s="2151"/>
      <c r="LBV287" s="2151"/>
      <c r="LBW287" s="2151"/>
      <c r="LBX287" s="2151"/>
      <c r="LBY287" s="2151"/>
      <c r="LBZ287" s="2151"/>
      <c r="LCA287" s="2150"/>
      <c r="LCB287" s="2151"/>
      <c r="LCC287" s="2151"/>
      <c r="LCD287" s="2151"/>
      <c r="LCE287" s="2151"/>
      <c r="LCF287" s="2151"/>
      <c r="LCG287" s="2151"/>
      <c r="LCH287" s="2151"/>
      <c r="LCI287" s="2151"/>
      <c r="LCJ287" s="2151"/>
      <c r="LCK287" s="2151"/>
      <c r="LCL287" s="2151"/>
      <c r="LCM287" s="2151"/>
      <c r="LCN287" s="2151"/>
      <c r="LCO287" s="2151"/>
      <c r="LCP287" s="2151"/>
      <c r="LCQ287" s="2150"/>
      <c r="LCR287" s="2151"/>
      <c r="LCS287" s="2151"/>
      <c r="LCT287" s="2151"/>
      <c r="LCU287" s="2151"/>
      <c r="LCV287" s="2151"/>
      <c r="LCW287" s="2151"/>
      <c r="LCX287" s="2151"/>
      <c r="LCY287" s="2151"/>
      <c r="LCZ287" s="2151"/>
      <c r="LDA287" s="2151"/>
      <c r="LDB287" s="2151"/>
      <c r="LDC287" s="2151"/>
      <c r="LDD287" s="2151"/>
      <c r="LDE287" s="2151"/>
      <c r="LDF287" s="2151"/>
      <c r="LDG287" s="2150"/>
      <c r="LDH287" s="2151"/>
      <c r="LDI287" s="2151"/>
      <c r="LDJ287" s="2151"/>
      <c r="LDK287" s="2151"/>
      <c r="LDL287" s="2151"/>
      <c r="LDM287" s="2151"/>
      <c r="LDN287" s="2151"/>
      <c r="LDO287" s="2151"/>
      <c r="LDP287" s="2151"/>
      <c r="LDQ287" s="2151"/>
      <c r="LDR287" s="2151"/>
      <c r="LDS287" s="2151"/>
      <c r="LDT287" s="2151"/>
      <c r="LDU287" s="2151"/>
      <c r="LDV287" s="2151"/>
      <c r="LDW287" s="2150"/>
      <c r="LDX287" s="2151"/>
      <c r="LDY287" s="2151"/>
      <c r="LDZ287" s="2151"/>
      <c r="LEA287" s="2151"/>
      <c r="LEB287" s="2151"/>
      <c r="LEC287" s="2151"/>
      <c r="LED287" s="2151"/>
      <c r="LEE287" s="2151"/>
      <c r="LEF287" s="2151"/>
      <c r="LEG287" s="2151"/>
      <c r="LEH287" s="2151"/>
      <c r="LEI287" s="2151"/>
      <c r="LEJ287" s="2151"/>
      <c r="LEK287" s="2151"/>
      <c r="LEL287" s="2151"/>
      <c r="LEM287" s="2150"/>
      <c r="LEN287" s="2151"/>
      <c r="LEO287" s="2151"/>
      <c r="LEP287" s="2151"/>
      <c r="LEQ287" s="2151"/>
      <c r="LER287" s="2151"/>
      <c r="LES287" s="2151"/>
      <c r="LET287" s="2151"/>
      <c r="LEU287" s="2151"/>
      <c r="LEV287" s="2151"/>
      <c r="LEW287" s="2151"/>
      <c r="LEX287" s="2151"/>
      <c r="LEY287" s="2151"/>
      <c r="LEZ287" s="2151"/>
      <c r="LFA287" s="2151"/>
      <c r="LFB287" s="2151"/>
      <c r="LFC287" s="2150"/>
      <c r="LFD287" s="2151"/>
      <c r="LFE287" s="2151"/>
      <c r="LFF287" s="2151"/>
      <c r="LFG287" s="2151"/>
      <c r="LFH287" s="2151"/>
      <c r="LFI287" s="2151"/>
      <c r="LFJ287" s="2151"/>
      <c r="LFK287" s="2151"/>
      <c r="LFL287" s="2151"/>
      <c r="LFM287" s="2151"/>
      <c r="LFN287" s="2151"/>
      <c r="LFO287" s="2151"/>
      <c r="LFP287" s="2151"/>
      <c r="LFQ287" s="2151"/>
      <c r="LFR287" s="2151"/>
      <c r="LFS287" s="2150"/>
      <c r="LFT287" s="2151"/>
      <c r="LFU287" s="2151"/>
      <c r="LFV287" s="2151"/>
      <c r="LFW287" s="2151"/>
      <c r="LFX287" s="2151"/>
      <c r="LFY287" s="2151"/>
      <c r="LFZ287" s="2151"/>
      <c r="LGA287" s="2151"/>
      <c r="LGB287" s="2151"/>
      <c r="LGC287" s="2151"/>
      <c r="LGD287" s="2151"/>
      <c r="LGE287" s="2151"/>
      <c r="LGF287" s="2151"/>
      <c r="LGG287" s="2151"/>
      <c r="LGH287" s="2151"/>
      <c r="LGI287" s="2150"/>
      <c r="LGJ287" s="2151"/>
      <c r="LGK287" s="2151"/>
      <c r="LGL287" s="2151"/>
      <c r="LGM287" s="2151"/>
      <c r="LGN287" s="2151"/>
      <c r="LGO287" s="2151"/>
      <c r="LGP287" s="2151"/>
      <c r="LGQ287" s="2151"/>
      <c r="LGR287" s="2151"/>
      <c r="LGS287" s="2151"/>
      <c r="LGT287" s="2151"/>
      <c r="LGU287" s="2151"/>
      <c r="LGV287" s="2151"/>
      <c r="LGW287" s="2151"/>
      <c r="LGX287" s="2151"/>
      <c r="LGY287" s="2150"/>
      <c r="LGZ287" s="2151"/>
      <c r="LHA287" s="2151"/>
      <c r="LHB287" s="2151"/>
      <c r="LHC287" s="2151"/>
      <c r="LHD287" s="2151"/>
      <c r="LHE287" s="2151"/>
      <c r="LHF287" s="2151"/>
      <c r="LHG287" s="2151"/>
      <c r="LHH287" s="2151"/>
      <c r="LHI287" s="2151"/>
      <c r="LHJ287" s="2151"/>
      <c r="LHK287" s="2151"/>
      <c r="LHL287" s="2151"/>
      <c r="LHM287" s="2151"/>
      <c r="LHN287" s="2151"/>
      <c r="LHO287" s="2150"/>
      <c r="LHP287" s="2151"/>
      <c r="LHQ287" s="2151"/>
      <c r="LHR287" s="2151"/>
      <c r="LHS287" s="2151"/>
      <c r="LHT287" s="2151"/>
      <c r="LHU287" s="2151"/>
      <c r="LHV287" s="2151"/>
      <c r="LHW287" s="2151"/>
      <c r="LHX287" s="2151"/>
      <c r="LHY287" s="2151"/>
      <c r="LHZ287" s="2151"/>
      <c r="LIA287" s="2151"/>
      <c r="LIB287" s="2151"/>
      <c r="LIC287" s="2151"/>
      <c r="LID287" s="2151"/>
      <c r="LIE287" s="2150"/>
      <c r="LIF287" s="2151"/>
      <c r="LIG287" s="2151"/>
      <c r="LIH287" s="2151"/>
      <c r="LII287" s="2151"/>
      <c r="LIJ287" s="2151"/>
      <c r="LIK287" s="2151"/>
      <c r="LIL287" s="2151"/>
      <c r="LIM287" s="2151"/>
      <c r="LIN287" s="2151"/>
      <c r="LIO287" s="2151"/>
      <c r="LIP287" s="2151"/>
      <c r="LIQ287" s="2151"/>
      <c r="LIR287" s="2151"/>
      <c r="LIS287" s="2151"/>
      <c r="LIT287" s="2151"/>
      <c r="LIU287" s="2150"/>
      <c r="LIV287" s="2151"/>
      <c r="LIW287" s="2151"/>
      <c r="LIX287" s="2151"/>
      <c r="LIY287" s="2151"/>
      <c r="LIZ287" s="2151"/>
      <c r="LJA287" s="2151"/>
      <c r="LJB287" s="2151"/>
      <c r="LJC287" s="2151"/>
      <c r="LJD287" s="2151"/>
      <c r="LJE287" s="2151"/>
      <c r="LJF287" s="2151"/>
      <c r="LJG287" s="2151"/>
      <c r="LJH287" s="2151"/>
      <c r="LJI287" s="2151"/>
      <c r="LJJ287" s="2151"/>
      <c r="LJK287" s="2150"/>
      <c r="LJL287" s="2151"/>
      <c r="LJM287" s="2151"/>
      <c r="LJN287" s="2151"/>
      <c r="LJO287" s="2151"/>
      <c r="LJP287" s="2151"/>
      <c r="LJQ287" s="2151"/>
      <c r="LJR287" s="2151"/>
      <c r="LJS287" s="2151"/>
      <c r="LJT287" s="2151"/>
      <c r="LJU287" s="2151"/>
      <c r="LJV287" s="2151"/>
      <c r="LJW287" s="2151"/>
      <c r="LJX287" s="2151"/>
      <c r="LJY287" s="2151"/>
      <c r="LJZ287" s="2151"/>
      <c r="LKA287" s="2150"/>
      <c r="LKB287" s="2151"/>
      <c r="LKC287" s="2151"/>
      <c r="LKD287" s="2151"/>
      <c r="LKE287" s="2151"/>
      <c r="LKF287" s="2151"/>
      <c r="LKG287" s="2151"/>
      <c r="LKH287" s="2151"/>
      <c r="LKI287" s="2151"/>
      <c r="LKJ287" s="2151"/>
      <c r="LKK287" s="2151"/>
      <c r="LKL287" s="2151"/>
      <c r="LKM287" s="2151"/>
      <c r="LKN287" s="2151"/>
      <c r="LKO287" s="2151"/>
      <c r="LKP287" s="2151"/>
      <c r="LKQ287" s="2150"/>
      <c r="LKR287" s="2151"/>
      <c r="LKS287" s="2151"/>
      <c r="LKT287" s="2151"/>
      <c r="LKU287" s="2151"/>
      <c r="LKV287" s="2151"/>
      <c r="LKW287" s="2151"/>
      <c r="LKX287" s="2151"/>
      <c r="LKY287" s="2151"/>
      <c r="LKZ287" s="2151"/>
      <c r="LLA287" s="2151"/>
      <c r="LLB287" s="2151"/>
      <c r="LLC287" s="2151"/>
      <c r="LLD287" s="2151"/>
      <c r="LLE287" s="2151"/>
      <c r="LLF287" s="2151"/>
      <c r="LLG287" s="2150"/>
      <c r="LLH287" s="2151"/>
      <c r="LLI287" s="2151"/>
      <c r="LLJ287" s="2151"/>
      <c r="LLK287" s="2151"/>
      <c r="LLL287" s="2151"/>
      <c r="LLM287" s="2151"/>
      <c r="LLN287" s="2151"/>
      <c r="LLO287" s="2151"/>
      <c r="LLP287" s="2151"/>
      <c r="LLQ287" s="2151"/>
      <c r="LLR287" s="2151"/>
      <c r="LLS287" s="2151"/>
      <c r="LLT287" s="2151"/>
      <c r="LLU287" s="2151"/>
      <c r="LLV287" s="2151"/>
      <c r="LLW287" s="2150"/>
      <c r="LLX287" s="2151"/>
      <c r="LLY287" s="2151"/>
      <c r="LLZ287" s="2151"/>
      <c r="LMA287" s="2151"/>
      <c r="LMB287" s="2151"/>
      <c r="LMC287" s="2151"/>
      <c r="LMD287" s="2151"/>
      <c r="LME287" s="2151"/>
      <c r="LMF287" s="2151"/>
      <c r="LMG287" s="2151"/>
      <c r="LMH287" s="2151"/>
      <c r="LMI287" s="2151"/>
      <c r="LMJ287" s="2151"/>
      <c r="LMK287" s="2151"/>
      <c r="LML287" s="2151"/>
      <c r="LMM287" s="2150"/>
      <c r="LMN287" s="2151"/>
      <c r="LMO287" s="2151"/>
      <c r="LMP287" s="2151"/>
      <c r="LMQ287" s="2151"/>
      <c r="LMR287" s="2151"/>
      <c r="LMS287" s="2151"/>
      <c r="LMT287" s="2151"/>
      <c r="LMU287" s="2151"/>
      <c r="LMV287" s="2151"/>
      <c r="LMW287" s="2151"/>
      <c r="LMX287" s="2151"/>
      <c r="LMY287" s="2151"/>
      <c r="LMZ287" s="2151"/>
      <c r="LNA287" s="2151"/>
      <c r="LNB287" s="2151"/>
      <c r="LNC287" s="2150"/>
      <c r="LND287" s="2151"/>
      <c r="LNE287" s="2151"/>
      <c r="LNF287" s="2151"/>
      <c r="LNG287" s="2151"/>
      <c r="LNH287" s="2151"/>
      <c r="LNI287" s="2151"/>
      <c r="LNJ287" s="2151"/>
      <c r="LNK287" s="2151"/>
      <c r="LNL287" s="2151"/>
      <c r="LNM287" s="2151"/>
      <c r="LNN287" s="2151"/>
      <c r="LNO287" s="2151"/>
      <c r="LNP287" s="2151"/>
      <c r="LNQ287" s="2151"/>
      <c r="LNR287" s="2151"/>
      <c r="LNS287" s="2150"/>
      <c r="LNT287" s="2151"/>
      <c r="LNU287" s="2151"/>
      <c r="LNV287" s="2151"/>
      <c r="LNW287" s="2151"/>
      <c r="LNX287" s="2151"/>
      <c r="LNY287" s="2151"/>
      <c r="LNZ287" s="2151"/>
      <c r="LOA287" s="2151"/>
      <c r="LOB287" s="2151"/>
      <c r="LOC287" s="2151"/>
      <c r="LOD287" s="2151"/>
      <c r="LOE287" s="2151"/>
      <c r="LOF287" s="2151"/>
      <c r="LOG287" s="2151"/>
      <c r="LOH287" s="2151"/>
      <c r="LOI287" s="2150"/>
      <c r="LOJ287" s="2151"/>
      <c r="LOK287" s="2151"/>
      <c r="LOL287" s="2151"/>
      <c r="LOM287" s="2151"/>
      <c r="LON287" s="2151"/>
      <c r="LOO287" s="2151"/>
      <c r="LOP287" s="2151"/>
      <c r="LOQ287" s="2151"/>
      <c r="LOR287" s="2151"/>
      <c r="LOS287" s="2151"/>
      <c r="LOT287" s="2151"/>
      <c r="LOU287" s="2151"/>
      <c r="LOV287" s="2151"/>
      <c r="LOW287" s="2151"/>
      <c r="LOX287" s="2151"/>
      <c r="LOY287" s="2150"/>
      <c r="LOZ287" s="2151"/>
      <c r="LPA287" s="2151"/>
      <c r="LPB287" s="2151"/>
      <c r="LPC287" s="2151"/>
      <c r="LPD287" s="2151"/>
      <c r="LPE287" s="2151"/>
      <c r="LPF287" s="2151"/>
      <c r="LPG287" s="2151"/>
      <c r="LPH287" s="2151"/>
      <c r="LPI287" s="2151"/>
      <c r="LPJ287" s="2151"/>
      <c r="LPK287" s="2151"/>
      <c r="LPL287" s="2151"/>
      <c r="LPM287" s="2151"/>
      <c r="LPN287" s="2151"/>
      <c r="LPO287" s="2150"/>
      <c r="LPP287" s="2151"/>
      <c r="LPQ287" s="2151"/>
      <c r="LPR287" s="2151"/>
      <c r="LPS287" s="2151"/>
      <c r="LPT287" s="2151"/>
      <c r="LPU287" s="2151"/>
      <c r="LPV287" s="2151"/>
      <c r="LPW287" s="2151"/>
      <c r="LPX287" s="2151"/>
      <c r="LPY287" s="2151"/>
      <c r="LPZ287" s="2151"/>
      <c r="LQA287" s="2151"/>
      <c r="LQB287" s="2151"/>
      <c r="LQC287" s="2151"/>
      <c r="LQD287" s="2151"/>
      <c r="LQE287" s="2150"/>
      <c r="LQF287" s="2151"/>
      <c r="LQG287" s="2151"/>
      <c r="LQH287" s="2151"/>
      <c r="LQI287" s="2151"/>
      <c r="LQJ287" s="2151"/>
      <c r="LQK287" s="2151"/>
      <c r="LQL287" s="2151"/>
      <c r="LQM287" s="2151"/>
      <c r="LQN287" s="2151"/>
      <c r="LQO287" s="2151"/>
      <c r="LQP287" s="2151"/>
      <c r="LQQ287" s="2151"/>
      <c r="LQR287" s="2151"/>
      <c r="LQS287" s="2151"/>
      <c r="LQT287" s="2151"/>
      <c r="LQU287" s="2150"/>
      <c r="LQV287" s="2151"/>
      <c r="LQW287" s="2151"/>
      <c r="LQX287" s="2151"/>
      <c r="LQY287" s="2151"/>
      <c r="LQZ287" s="2151"/>
      <c r="LRA287" s="2151"/>
      <c r="LRB287" s="2151"/>
      <c r="LRC287" s="2151"/>
      <c r="LRD287" s="2151"/>
      <c r="LRE287" s="2151"/>
      <c r="LRF287" s="2151"/>
      <c r="LRG287" s="2151"/>
      <c r="LRH287" s="2151"/>
      <c r="LRI287" s="2151"/>
      <c r="LRJ287" s="2151"/>
      <c r="LRK287" s="2150"/>
      <c r="LRL287" s="2151"/>
      <c r="LRM287" s="2151"/>
      <c r="LRN287" s="2151"/>
      <c r="LRO287" s="2151"/>
      <c r="LRP287" s="2151"/>
      <c r="LRQ287" s="2151"/>
      <c r="LRR287" s="2151"/>
      <c r="LRS287" s="2151"/>
      <c r="LRT287" s="2151"/>
      <c r="LRU287" s="2151"/>
      <c r="LRV287" s="2151"/>
      <c r="LRW287" s="2151"/>
      <c r="LRX287" s="2151"/>
      <c r="LRY287" s="2151"/>
      <c r="LRZ287" s="2151"/>
      <c r="LSA287" s="2150"/>
      <c r="LSB287" s="2151"/>
      <c r="LSC287" s="2151"/>
      <c r="LSD287" s="2151"/>
      <c r="LSE287" s="2151"/>
      <c r="LSF287" s="2151"/>
      <c r="LSG287" s="2151"/>
      <c r="LSH287" s="2151"/>
      <c r="LSI287" s="2151"/>
      <c r="LSJ287" s="2151"/>
      <c r="LSK287" s="2151"/>
      <c r="LSL287" s="2151"/>
      <c r="LSM287" s="2151"/>
      <c r="LSN287" s="2151"/>
      <c r="LSO287" s="2151"/>
      <c r="LSP287" s="2151"/>
      <c r="LSQ287" s="2150"/>
      <c r="LSR287" s="2151"/>
      <c r="LSS287" s="2151"/>
      <c r="LST287" s="2151"/>
      <c r="LSU287" s="2151"/>
      <c r="LSV287" s="2151"/>
      <c r="LSW287" s="2151"/>
      <c r="LSX287" s="2151"/>
      <c r="LSY287" s="2151"/>
      <c r="LSZ287" s="2151"/>
      <c r="LTA287" s="2151"/>
      <c r="LTB287" s="2151"/>
      <c r="LTC287" s="2151"/>
      <c r="LTD287" s="2151"/>
      <c r="LTE287" s="2151"/>
      <c r="LTF287" s="2151"/>
      <c r="LTG287" s="2150"/>
      <c r="LTH287" s="2151"/>
      <c r="LTI287" s="2151"/>
      <c r="LTJ287" s="2151"/>
      <c r="LTK287" s="2151"/>
      <c r="LTL287" s="2151"/>
      <c r="LTM287" s="2151"/>
      <c r="LTN287" s="2151"/>
      <c r="LTO287" s="2151"/>
      <c r="LTP287" s="2151"/>
      <c r="LTQ287" s="2151"/>
      <c r="LTR287" s="2151"/>
      <c r="LTS287" s="2151"/>
      <c r="LTT287" s="2151"/>
      <c r="LTU287" s="2151"/>
      <c r="LTV287" s="2151"/>
      <c r="LTW287" s="2150"/>
      <c r="LTX287" s="2151"/>
      <c r="LTY287" s="2151"/>
      <c r="LTZ287" s="2151"/>
      <c r="LUA287" s="2151"/>
      <c r="LUB287" s="2151"/>
      <c r="LUC287" s="2151"/>
      <c r="LUD287" s="2151"/>
      <c r="LUE287" s="2151"/>
      <c r="LUF287" s="2151"/>
      <c r="LUG287" s="2151"/>
      <c r="LUH287" s="2151"/>
      <c r="LUI287" s="2151"/>
      <c r="LUJ287" s="2151"/>
      <c r="LUK287" s="2151"/>
      <c r="LUL287" s="2151"/>
      <c r="LUM287" s="2150"/>
      <c r="LUN287" s="2151"/>
      <c r="LUO287" s="2151"/>
      <c r="LUP287" s="2151"/>
      <c r="LUQ287" s="2151"/>
      <c r="LUR287" s="2151"/>
      <c r="LUS287" s="2151"/>
      <c r="LUT287" s="2151"/>
      <c r="LUU287" s="2151"/>
      <c r="LUV287" s="2151"/>
      <c r="LUW287" s="2151"/>
      <c r="LUX287" s="2151"/>
      <c r="LUY287" s="2151"/>
      <c r="LUZ287" s="2151"/>
      <c r="LVA287" s="2151"/>
      <c r="LVB287" s="2151"/>
      <c r="LVC287" s="2150"/>
      <c r="LVD287" s="2151"/>
      <c r="LVE287" s="2151"/>
      <c r="LVF287" s="2151"/>
      <c r="LVG287" s="2151"/>
      <c r="LVH287" s="2151"/>
      <c r="LVI287" s="2151"/>
      <c r="LVJ287" s="2151"/>
      <c r="LVK287" s="2151"/>
      <c r="LVL287" s="2151"/>
      <c r="LVM287" s="2151"/>
      <c r="LVN287" s="2151"/>
      <c r="LVO287" s="2151"/>
      <c r="LVP287" s="2151"/>
      <c r="LVQ287" s="2151"/>
      <c r="LVR287" s="2151"/>
      <c r="LVS287" s="2150"/>
      <c r="LVT287" s="2151"/>
      <c r="LVU287" s="2151"/>
      <c r="LVV287" s="2151"/>
      <c r="LVW287" s="2151"/>
      <c r="LVX287" s="2151"/>
      <c r="LVY287" s="2151"/>
      <c r="LVZ287" s="2151"/>
      <c r="LWA287" s="2151"/>
      <c r="LWB287" s="2151"/>
      <c r="LWC287" s="2151"/>
      <c r="LWD287" s="2151"/>
      <c r="LWE287" s="2151"/>
      <c r="LWF287" s="2151"/>
      <c r="LWG287" s="2151"/>
      <c r="LWH287" s="2151"/>
      <c r="LWI287" s="2150"/>
      <c r="LWJ287" s="2151"/>
      <c r="LWK287" s="2151"/>
      <c r="LWL287" s="2151"/>
      <c r="LWM287" s="2151"/>
      <c r="LWN287" s="2151"/>
      <c r="LWO287" s="2151"/>
      <c r="LWP287" s="2151"/>
      <c r="LWQ287" s="2151"/>
      <c r="LWR287" s="2151"/>
      <c r="LWS287" s="2151"/>
      <c r="LWT287" s="2151"/>
      <c r="LWU287" s="2151"/>
      <c r="LWV287" s="2151"/>
      <c r="LWW287" s="2151"/>
      <c r="LWX287" s="2151"/>
      <c r="LWY287" s="2150"/>
      <c r="LWZ287" s="2151"/>
      <c r="LXA287" s="2151"/>
      <c r="LXB287" s="2151"/>
      <c r="LXC287" s="2151"/>
      <c r="LXD287" s="2151"/>
      <c r="LXE287" s="2151"/>
      <c r="LXF287" s="2151"/>
      <c r="LXG287" s="2151"/>
      <c r="LXH287" s="2151"/>
      <c r="LXI287" s="2151"/>
      <c r="LXJ287" s="2151"/>
      <c r="LXK287" s="2151"/>
      <c r="LXL287" s="2151"/>
      <c r="LXM287" s="2151"/>
      <c r="LXN287" s="2151"/>
      <c r="LXO287" s="2150"/>
      <c r="LXP287" s="2151"/>
      <c r="LXQ287" s="2151"/>
      <c r="LXR287" s="2151"/>
      <c r="LXS287" s="2151"/>
      <c r="LXT287" s="2151"/>
      <c r="LXU287" s="2151"/>
      <c r="LXV287" s="2151"/>
      <c r="LXW287" s="2151"/>
      <c r="LXX287" s="2151"/>
      <c r="LXY287" s="2151"/>
      <c r="LXZ287" s="2151"/>
      <c r="LYA287" s="2151"/>
      <c r="LYB287" s="2151"/>
      <c r="LYC287" s="2151"/>
      <c r="LYD287" s="2151"/>
      <c r="LYE287" s="2150"/>
      <c r="LYF287" s="2151"/>
      <c r="LYG287" s="2151"/>
      <c r="LYH287" s="2151"/>
      <c r="LYI287" s="2151"/>
      <c r="LYJ287" s="2151"/>
      <c r="LYK287" s="2151"/>
      <c r="LYL287" s="2151"/>
      <c r="LYM287" s="2151"/>
      <c r="LYN287" s="2151"/>
      <c r="LYO287" s="2151"/>
      <c r="LYP287" s="2151"/>
      <c r="LYQ287" s="2151"/>
      <c r="LYR287" s="2151"/>
      <c r="LYS287" s="2151"/>
      <c r="LYT287" s="2151"/>
      <c r="LYU287" s="2150"/>
      <c r="LYV287" s="2151"/>
      <c r="LYW287" s="2151"/>
      <c r="LYX287" s="2151"/>
      <c r="LYY287" s="2151"/>
      <c r="LYZ287" s="2151"/>
      <c r="LZA287" s="2151"/>
      <c r="LZB287" s="2151"/>
      <c r="LZC287" s="2151"/>
      <c r="LZD287" s="2151"/>
      <c r="LZE287" s="2151"/>
      <c r="LZF287" s="2151"/>
      <c r="LZG287" s="2151"/>
      <c r="LZH287" s="2151"/>
      <c r="LZI287" s="2151"/>
      <c r="LZJ287" s="2151"/>
      <c r="LZK287" s="2150"/>
      <c r="LZL287" s="2151"/>
      <c r="LZM287" s="2151"/>
      <c r="LZN287" s="2151"/>
      <c r="LZO287" s="2151"/>
      <c r="LZP287" s="2151"/>
      <c r="LZQ287" s="2151"/>
      <c r="LZR287" s="2151"/>
      <c r="LZS287" s="2151"/>
      <c r="LZT287" s="2151"/>
      <c r="LZU287" s="2151"/>
      <c r="LZV287" s="2151"/>
      <c r="LZW287" s="2151"/>
      <c r="LZX287" s="2151"/>
      <c r="LZY287" s="2151"/>
      <c r="LZZ287" s="2151"/>
      <c r="MAA287" s="2150"/>
      <c r="MAB287" s="2151"/>
      <c r="MAC287" s="2151"/>
      <c r="MAD287" s="2151"/>
      <c r="MAE287" s="2151"/>
      <c r="MAF287" s="2151"/>
      <c r="MAG287" s="2151"/>
      <c r="MAH287" s="2151"/>
      <c r="MAI287" s="2151"/>
      <c r="MAJ287" s="2151"/>
      <c r="MAK287" s="2151"/>
      <c r="MAL287" s="2151"/>
      <c r="MAM287" s="2151"/>
      <c r="MAN287" s="2151"/>
      <c r="MAO287" s="2151"/>
      <c r="MAP287" s="2151"/>
      <c r="MAQ287" s="2150"/>
      <c r="MAR287" s="2151"/>
      <c r="MAS287" s="2151"/>
      <c r="MAT287" s="2151"/>
      <c r="MAU287" s="2151"/>
      <c r="MAV287" s="2151"/>
      <c r="MAW287" s="2151"/>
      <c r="MAX287" s="2151"/>
      <c r="MAY287" s="2151"/>
      <c r="MAZ287" s="2151"/>
      <c r="MBA287" s="2151"/>
      <c r="MBB287" s="2151"/>
      <c r="MBC287" s="2151"/>
      <c r="MBD287" s="2151"/>
      <c r="MBE287" s="2151"/>
      <c r="MBF287" s="2151"/>
      <c r="MBG287" s="2150"/>
      <c r="MBH287" s="2151"/>
      <c r="MBI287" s="2151"/>
      <c r="MBJ287" s="2151"/>
      <c r="MBK287" s="2151"/>
      <c r="MBL287" s="2151"/>
      <c r="MBM287" s="2151"/>
      <c r="MBN287" s="2151"/>
      <c r="MBO287" s="2151"/>
      <c r="MBP287" s="2151"/>
      <c r="MBQ287" s="2151"/>
      <c r="MBR287" s="2151"/>
      <c r="MBS287" s="2151"/>
      <c r="MBT287" s="2151"/>
      <c r="MBU287" s="2151"/>
      <c r="MBV287" s="2151"/>
      <c r="MBW287" s="2150"/>
      <c r="MBX287" s="2151"/>
      <c r="MBY287" s="2151"/>
      <c r="MBZ287" s="2151"/>
      <c r="MCA287" s="2151"/>
      <c r="MCB287" s="2151"/>
      <c r="MCC287" s="2151"/>
      <c r="MCD287" s="2151"/>
      <c r="MCE287" s="2151"/>
      <c r="MCF287" s="2151"/>
      <c r="MCG287" s="2151"/>
      <c r="MCH287" s="2151"/>
      <c r="MCI287" s="2151"/>
      <c r="MCJ287" s="2151"/>
      <c r="MCK287" s="2151"/>
      <c r="MCL287" s="2151"/>
      <c r="MCM287" s="2150"/>
      <c r="MCN287" s="2151"/>
      <c r="MCO287" s="2151"/>
      <c r="MCP287" s="2151"/>
      <c r="MCQ287" s="2151"/>
      <c r="MCR287" s="2151"/>
      <c r="MCS287" s="2151"/>
      <c r="MCT287" s="2151"/>
      <c r="MCU287" s="2151"/>
      <c r="MCV287" s="2151"/>
      <c r="MCW287" s="2151"/>
      <c r="MCX287" s="2151"/>
      <c r="MCY287" s="2151"/>
      <c r="MCZ287" s="2151"/>
      <c r="MDA287" s="2151"/>
      <c r="MDB287" s="2151"/>
      <c r="MDC287" s="2150"/>
      <c r="MDD287" s="2151"/>
      <c r="MDE287" s="2151"/>
      <c r="MDF287" s="2151"/>
      <c r="MDG287" s="2151"/>
      <c r="MDH287" s="2151"/>
      <c r="MDI287" s="2151"/>
      <c r="MDJ287" s="2151"/>
      <c r="MDK287" s="2151"/>
      <c r="MDL287" s="2151"/>
      <c r="MDM287" s="2151"/>
      <c r="MDN287" s="2151"/>
      <c r="MDO287" s="2151"/>
      <c r="MDP287" s="2151"/>
      <c r="MDQ287" s="2151"/>
      <c r="MDR287" s="2151"/>
      <c r="MDS287" s="2150"/>
      <c r="MDT287" s="2151"/>
      <c r="MDU287" s="2151"/>
      <c r="MDV287" s="2151"/>
      <c r="MDW287" s="2151"/>
      <c r="MDX287" s="2151"/>
      <c r="MDY287" s="2151"/>
      <c r="MDZ287" s="2151"/>
      <c r="MEA287" s="2151"/>
      <c r="MEB287" s="2151"/>
      <c r="MEC287" s="2151"/>
      <c r="MED287" s="2151"/>
      <c r="MEE287" s="2151"/>
      <c r="MEF287" s="2151"/>
      <c r="MEG287" s="2151"/>
      <c r="MEH287" s="2151"/>
      <c r="MEI287" s="2150"/>
      <c r="MEJ287" s="2151"/>
      <c r="MEK287" s="2151"/>
      <c r="MEL287" s="2151"/>
      <c r="MEM287" s="2151"/>
      <c r="MEN287" s="2151"/>
      <c r="MEO287" s="2151"/>
      <c r="MEP287" s="2151"/>
      <c r="MEQ287" s="2151"/>
      <c r="MER287" s="2151"/>
      <c r="MES287" s="2151"/>
      <c r="MET287" s="2151"/>
      <c r="MEU287" s="2151"/>
      <c r="MEV287" s="2151"/>
      <c r="MEW287" s="2151"/>
      <c r="MEX287" s="2151"/>
      <c r="MEY287" s="2150"/>
      <c r="MEZ287" s="2151"/>
      <c r="MFA287" s="2151"/>
      <c r="MFB287" s="2151"/>
      <c r="MFC287" s="2151"/>
      <c r="MFD287" s="2151"/>
      <c r="MFE287" s="2151"/>
      <c r="MFF287" s="2151"/>
      <c r="MFG287" s="2151"/>
      <c r="MFH287" s="2151"/>
      <c r="MFI287" s="2151"/>
      <c r="MFJ287" s="2151"/>
      <c r="MFK287" s="2151"/>
      <c r="MFL287" s="2151"/>
      <c r="MFM287" s="2151"/>
      <c r="MFN287" s="2151"/>
      <c r="MFO287" s="2150"/>
      <c r="MFP287" s="2151"/>
      <c r="MFQ287" s="2151"/>
      <c r="MFR287" s="2151"/>
      <c r="MFS287" s="2151"/>
      <c r="MFT287" s="2151"/>
      <c r="MFU287" s="2151"/>
      <c r="MFV287" s="2151"/>
      <c r="MFW287" s="2151"/>
      <c r="MFX287" s="2151"/>
      <c r="MFY287" s="2151"/>
      <c r="MFZ287" s="2151"/>
      <c r="MGA287" s="2151"/>
      <c r="MGB287" s="2151"/>
      <c r="MGC287" s="2151"/>
      <c r="MGD287" s="2151"/>
      <c r="MGE287" s="2150"/>
      <c r="MGF287" s="2151"/>
      <c r="MGG287" s="2151"/>
      <c r="MGH287" s="2151"/>
      <c r="MGI287" s="2151"/>
      <c r="MGJ287" s="2151"/>
      <c r="MGK287" s="2151"/>
      <c r="MGL287" s="2151"/>
      <c r="MGM287" s="2151"/>
      <c r="MGN287" s="2151"/>
      <c r="MGO287" s="2151"/>
      <c r="MGP287" s="2151"/>
      <c r="MGQ287" s="2151"/>
      <c r="MGR287" s="2151"/>
      <c r="MGS287" s="2151"/>
      <c r="MGT287" s="2151"/>
      <c r="MGU287" s="2150"/>
      <c r="MGV287" s="2151"/>
      <c r="MGW287" s="2151"/>
      <c r="MGX287" s="2151"/>
      <c r="MGY287" s="2151"/>
      <c r="MGZ287" s="2151"/>
      <c r="MHA287" s="2151"/>
      <c r="MHB287" s="2151"/>
      <c r="MHC287" s="2151"/>
      <c r="MHD287" s="2151"/>
      <c r="MHE287" s="2151"/>
      <c r="MHF287" s="2151"/>
      <c r="MHG287" s="2151"/>
      <c r="MHH287" s="2151"/>
      <c r="MHI287" s="2151"/>
      <c r="MHJ287" s="2151"/>
      <c r="MHK287" s="2150"/>
      <c r="MHL287" s="2151"/>
      <c r="MHM287" s="2151"/>
      <c r="MHN287" s="2151"/>
      <c r="MHO287" s="2151"/>
      <c r="MHP287" s="2151"/>
      <c r="MHQ287" s="2151"/>
      <c r="MHR287" s="2151"/>
      <c r="MHS287" s="2151"/>
      <c r="MHT287" s="2151"/>
      <c r="MHU287" s="2151"/>
      <c r="MHV287" s="2151"/>
      <c r="MHW287" s="2151"/>
      <c r="MHX287" s="2151"/>
      <c r="MHY287" s="2151"/>
      <c r="MHZ287" s="2151"/>
      <c r="MIA287" s="2150"/>
      <c r="MIB287" s="2151"/>
      <c r="MIC287" s="2151"/>
      <c r="MID287" s="2151"/>
      <c r="MIE287" s="2151"/>
      <c r="MIF287" s="2151"/>
      <c r="MIG287" s="2151"/>
      <c r="MIH287" s="2151"/>
      <c r="MII287" s="2151"/>
      <c r="MIJ287" s="2151"/>
      <c r="MIK287" s="2151"/>
      <c r="MIL287" s="2151"/>
      <c r="MIM287" s="2151"/>
      <c r="MIN287" s="2151"/>
      <c r="MIO287" s="2151"/>
      <c r="MIP287" s="2151"/>
      <c r="MIQ287" s="2150"/>
      <c r="MIR287" s="2151"/>
      <c r="MIS287" s="2151"/>
      <c r="MIT287" s="2151"/>
      <c r="MIU287" s="2151"/>
      <c r="MIV287" s="2151"/>
      <c r="MIW287" s="2151"/>
      <c r="MIX287" s="2151"/>
      <c r="MIY287" s="2151"/>
      <c r="MIZ287" s="2151"/>
      <c r="MJA287" s="2151"/>
      <c r="MJB287" s="2151"/>
      <c r="MJC287" s="2151"/>
      <c r="MJD287" s="2151"/>
      <c r="MJE287" s="2151"/>
      <c r="MJF287" s="2151"/>
      <c r="MJG287" s="2150"/>
      <c r="MJH287" s="2151"/>
      <c r="MJI287" s="2151"/>
      <c r="MJJ287" s="2151"/>
      <c r="MJK287" s="2151"/>
      <c r="MJL287" s="2151"/>
      <c r="MJM287" s="2151"/>
      <c r="MJN287" s="2151"/>
      <c r="MJO287" s="2151"/>
      <c r="MJP287" s="2151"/>
      <c r="MJQ287" s="2151"/>
      <c r="MJR287" s="2151"/>
      <c r="MJS287" s="2151"/>
      <c r="MJT287" s="2151"/>
      <c r="MJU287" s="2151"/>
      <c r="MJV287" s="2151"/>
      <c r="MJW287" s="2150"/>
      <c r="MJX287" s="2151"/>
      <c r="MJY287" s="2151"/>
      <c r="MJZ287" s="2151"/>
      <c r="MKA287" s="2151"/>
      <c r="MKB287" s="2151"/>
      <c r="MKC287" s="2151"/>
      <c r="MKD287" s="2151"/>
      <c r="MKE287" s="2151"/>
      <c r="MKF287" s="2151"/>
      <c r="MKG287" s="2151"/>
      <c r="MKH287" s="2151"/>
      <c r="MKI287" s="2151"/>
      <c r="MKJ287" s="2151"/>
      <c r="MKK287" s="2151"/>
      <c r="MKL287" s="2151"/>
      <c r="MKM287" s="2150"/>
      <c r="MKN287" s="2151"/>
      <c r="MKO287" s="2151"/>
      <c r="MKP287" s="2151"/>
      <c r="MKQ287" s="2151"/>
      <c r="MKR287" s="2151"/>
      <c r="MKS287" s="2151"/>
      <c r="MKT287" s="2151"/>
      <c r="MKU287" s="2151"/>
      <c r="MKV287" s="2151"/>
      <c r="MKW287" s="2151"/>
      <c r="MKX287" s="2151"/>
      <c r="MKY287" s="2151"/>
      <c r="MKZ287" s="2151"/>
      <c r="MLA287" s="2151"/>
      <c r="MLB287" s="2151"/>
      <c r="MLC287" s="2150"/>
      <c r="MLD287" s="2151"/>
      <c r="MLE287" s="2151"/>
      <c r="MLF287" s="2151"/>
      <c r="MLG287" s="2151"/>
      <c r="MLH287" s="2151"/>
      <c r="MLI287" s="2151"/>
      <c r="MLJ287" s="2151"/>
      <c r="MLK287" s="2151"/>
      <c r="MLL287" s="2151"/>
      <c r="MLM287" s="2151"/>
      <c r="MLN287" s="2151"/>
      <c r="MLO287" s="2151"/>
      <c r="MLP287" s="2151"/>
      <c r="MLQ287" s="2151"/>
      <c r="MLR287" s="2151"/>
      <c r="MLS287" s="2150"/>
      <c r="MLT287" s="2151"/>
      <c r="MLU287" s="2151"/>
      <c r="MLV287" s="2151"/>
      <c r="MLW287" s="2151"/>
      <c r="MLX287" s="2151"/>
      <c r="MLY287" s="2151"/>
      <c r="MLZ287" s="2151"/>
      <c r="MMA287" s="2151"/>
      <c r="MMB287" s="2151"/>
      <c r="MMC287" s="2151"/>
      <c r="MMD287" s="2151"/>
      <c r="MME287" s="2151"/>
      <c r="MMF287" s="2151"/>
      <c r="MMG287" s="2151"/>
      <c r="MMH287" s="2151"/>
      <c r="MMI287" s="2150"/>
      <c r="MMJ287" s="2151"/>
      <c r="MMK287" s="2151"/>
      <c r="MML287" s="2151"/>
      <c r="MMM287" s="2151"/>
      <c r="MMN287" s="2151"/>
      <c r="MMO287" s="2151"/>
      <c r="MMP287" s="2151"/>
      <c r="MMQ287" s="2151"/>
      <c r="MMR287" s="2151"/>
      <c r="MMS287" s="2151"/>
      <c r="MMT287" s="2151"/>
      <c r="MMU287" s="2151"/>
      <c r="MMV287" s="2151"/>
      <c r="MMW287" s="2151"/>
      <c r="MMX287" s="2151"/>
      <c r="MMY287" s="2150"/>
      <c r="MMZ287" s="2151"/>
      <c r="MNA287" s="2151"/>
      <c r="MNB287" s="2151"/>
      <c r="MNC287" s="2151"/>
      <c r="MND287" s="2151"/>
      <c r="MNE287" s="2151"/>
      <c r="MNF287" s="2151"/>
      <c r="MNG287" s="2151"/>
      <c r="MNH287" s="2151"/>
      <c r="MNI287" s="2151"/>
      <c r="MNJ287" s="2151"/>
      <c r="MNK287" s="2151"/>
      <c r="MNL287" s="2151"/>
      <c r="MNM287" s="2151"/>
      <c r="MNN287" s="2151"/>
      <c r="MNO287" s="2150"/>
      <c r="MNP287" s="2151"/>
      <c r="MNQ287" s="2151"/>
      <c r="MNR287" s="2151"/>
      <c r="MNS287" s="2151"/>
      <c r="MNT287" s="2151"/>
      <c r="MNU287" s="2151"/>
      <c r="MNV287" s="2151"/>
      <c r="MNW287" s="2151"/>
      <c r="MNX287" s="2151"/>
      <c r="MNY287" s="2151"/>
      <c r="MNZ287" s="2151"/>
      <c r="MOA287" s="2151"/>
      <c r="MOB287" s="2151"/>
      <c r="MOC287" s="2151"/>
      <c r="MOD287" s="2151"/>
      <c r="MOE287" s="2150"/>
      <c r="MOF287" s="2151"/>
      <c r="MOG287" s="2151"/>
      <c r="MOH287" s="2151"/>
      <c r="MOI287" s="2151"/>
      <c r="MOJ287" s="2151"/>
      <c r="MOK287" s="2151"/>
      <c r="MOL287" s="2151"/>
      <c r="MOM287" s="2151"/>
      <c r="MON287" s="2151"/>
      <c r="MOO287" s="2151"/>
      <c r="MOP287" s="2151"/>
      <c r="MOQ287" s="2151"/>
      <c r="MOR287" s="2151"/>
      <c r="MOS287" s="2151"/>
      <c r="MOT287" s="2151"/>
      <c r="MOU287" s="2150"/>
      <c r="MOV287" s="2151"/>
      <c r="MOW287" s="2151"/>
      <c r="MOX287" s="2151"/>
      <c r="MOY287" s="2151"/>
      <c r="MOZ287" s="2151"/>
      <c r="MPA287" s="2151"/>
      <c r="MPB287" s="2151"/>
      <c r="MPC287" s="2151"/>
      <c r="MPD287" s="2151"/>
      <c r="MPE287" s="2151"/>
      <c r="MPF287" s="2151"/>
      <c r="MPG287" s="2151"/>
      <c r="MPH287" s="2151"/>
      <c r="MPI287" s="2151"/>
      <c r="MPJ287" s="2151"/>
      <c r="MPK287" s="2150"/>
      <c r="MPL287" s="2151"/>
      <c r="MPM287" s="2151"/>
      <c r="MPN287" s="2151"/>
      <c r="MPO287" s="2151"/>
      <c r="MPP287" s="2151"/>
      <c r="MPQ287" s="2151"/>
      <c r="MPR287" s="2151"/>
      <c r="MPS287" s="2151"/>
      <c r="MPT287" s="2151"/>
      <c r="MPU287" s="2151"/>
      <c r="MPV287" s="2151"/>
      <c r="MPW287" s="2151"/>
      <c r="MPX287" s="2151"/>
      <c r="MPY287" s="2151"/>
      <c r="MPZ287" s="2151"/>
      <c r="MQA287" s="2150"/>
      <c r="MQB287" s="2151"/>
      <c r="MQC287" s="2151"/>
      <c r="MQD287" s="2151"/>
      <c r="MQE287" s="2151"/>
      <c r="MQF287" s="2151"/>
      <c r="MQG287" s="2151"/>
      <c r="MQH287" s="2151"/>
      <c r="MQI287" s="2151"/>
      <c r="MQJ287" s="2151"/>
      <c r="MQK287" s="2151"/>
      <c r="MQL287" s="2151"/>
      <c r="MQM287" s="2151"/>
      <c r="MQN287" s="2151"/>
      <c r="MQO287" s="2151"/>
      <c r="MQP287" s="2151"/>
      <c r="MQQ287" s="2150"/>
      <c r="MQR287" s="2151"/>
      <c r="MQS287" s="2151"/>
      <c r="MQT287" s="2151"/>
      <c r="MQU287" s="2151"/>
      <c r="MQV287" s="2151"/>
      <c r="MQW287" s="2151"/>
      <c r="MQX287" s="2151"/>
      <c r="MQY287" s="2151"/>
      <c r="MQZ287" s="2151"/>
      <c r="MRA287" s="2151"/>
      <c r="MRB287" s="2151"/>
      <c r="MRC287" s="2151"/>
      <c r="MRD287" s="2151"/>
      <c r="MRE287" s="2151"/>
      <c r="MRF287" s="2151"/>
      <c r="MRG287" s="2150"/>
      <c r="MRH287" s="2151"/>
      <c r="MRI287" s="2151"/>
      <c r="MRJ287" s="2151"/>
      <c r="MRK287" s="2151"/>
      <c r="MRL287" s="2151"/>
      <c r="MRM287" s="2151"/>
      <c r="MRN287" s="2151"/>
      <c r="MRO287" s="2151"/>
      <c r="MRP287" s="2151"/>
      <c r="MRQ287" s="2151"/>
      <c r="MRR287" s="2151"/>
      <c r="MRS287" s="2151"/>
      <c r="MRT287" s="2151"/>
      <c r="MRU287" s="2151"/>
      <c r="MRV287" s="2151"/>
      <c r="MRW287" s="2150"/>
      <c r="MRX287" s="2151"/>
      <c r="MRY287" s="2151"/>
      <c r="MRZ287" s="2151"/>
      <c r="MSA287" s="2151"/>
      <c r="MSB287" s="2151"/>
      <c r="MSC287" s="2151"/>
      <c r="MSD287" s="2151"/>
      <c r="MSE287" s="2151"/>
      <c r="MSF287" s="2151"/>
      <c r="MSG287" s="2151"/>
      <c r="MSH287" s="2151"/>
      <c r="MSI287" s="2151"/>
      <c r="MSJ287" s="2151"/>
      <c r="MSK287" s="2151"/>
      <c r="MSL287" s="2151"/>
      <c r="MSM287" s="2150"/>
      <c r="MSN287" s="2151"/>
      <c r="MSO287" s="2151"/>
      <c r="MSP287" s="2151"/>
      <c r="MSQ287" s="2151"/>
      <c r="MSR287" s="2151"/>
      <c r="MSS287" s="2151"/>
      <c r="MST287" s="2151"/>
      <c r="MSU287" s="2151"/>
      <c r="MSV287" s="2151"/>
      <c r="MSW287" s="2151"/>
      <c r="MSX287" s="2151"/>
      <c r="MSY287" s="2151"/>
      <c r="MSZ287" s="2151"/>
      <c r="MTA287" s="2151"/>
      <c r="MTB287" s="2151"/>
      <c r="MTC287" s="2150"/>
      <c r="MTD287" s="2151"/>
      <c r="MTE287" s="2151"/>
      <c r="MTF287" s="2151"/>
      <c r="MTG287" s="2151"/>
      <c r="MTH287" s="2151"/>
      <c r="MTI287" s="2151"/>
      <c r="MTJ287" s="2151"/>
      <c r="MTK287" s="2151"/>
      <c r="MTL287" s="2151"/>
      <c r="MTM287" s="2151"/>
      <c r="MTN287" s="2151"/>
      <c r="MTO287" s="2151"/>
      <c r="MTP287" s="2151"/>
      <c r="MTQ287" s="2151"/>
      <c r="MTR287" s="2151"/>
      <c r="MTS287" s="2150"/>
      <c r="MTT287" s="2151"/>
      <c r="MTU287" s="2151"/>
      <c r="MTV287" s="2151"/>
      <c r="MTW287" s="2151"/>
      <c r="MTX287" s="2151"/>
      <c r="MTY287" s="2151"/>
      <c r="MTZ287" s="2151"/>
      <c r="MUA287" s="2151"/>
      <c r="MUB287" s="2151"/>
      <c r="MUC287" s="2151"/>
      <c r="MUD287" s="2151"/>
      <c r="MUE287" s="2151"/>
      <c r="MUF287" s="2151"/>
      <c r="MUG287" s="2151"/>
      <c r="MUH287" s="2151"/>
      <c r="MUI287" s="2150"/>
      <c r="MUJ287" s="2151"/>
      <c r="MUK287" s="2151"/>
      <c r="MUL287" s="2151"/>
      <c r="MUM287" s="2151"/>
      <c r="MUN287" s="2151"/>
      <c r="MUO287" s="2151"/>
      <c r="MUP287" s="2151"/>
      <c r="MUQ287" s="2151"/>
      <c r="MUR287" s="2151"/>
      <c r="MUS287" s="2151"/>
      <c r="MUT287" s="2151"/>
      <c r="MUU287" s="2151"/>
      <c r="MUV287" s="2151"/>
      <c r="MUW287" s="2151"/>
      <c r="MUX287" s="2151"/>
      <c r="MUY287" s="2150"/>
      <c r="MUZ287" s="2151"/>
      <c r="MVA287" s="2151"/>
      <c r="MVB287" s="2151"/>
      <c r="MVC287" s="2151"/>
      <c r="MVD287" s="2151"/>
      <c r="MVE287" s="2151"/>
      <c r="MVF287" s="2151"/>
      <c r="MVG287" s="2151"/>
      <c r="MVH287" s="2151"/>
      <c r="MVI287" s="2151"/>
      <c r="MVJ287" s="2151"/>
      <c r="MVK287" s="2151"/>
      <c r="MVL287" s="2151"/>
      <c r="MVM287" s="2151"/>
      <c r="MVN287" s="2151"/>
      <c r="MVO287" s="2150"/>
      <c r="MVP287" s="2151"/>
      <c r="MVQ287" s="2151"/>
      <c r="MVR287" s="2151"/>
      <c r="MVS287" s="2151"/>
      <c r="MVT287" s="2151"/>
      <c r="MVU287" s="2151"/>
      <c r="MVV287" s="2151"/>
      <c r="MVW287" s="2151"/>
      <c r="MVX287" s="2151"/>
      <c r="MVY287" s="2151"/>
      <c r="MVZ287" s="2151"/>
      <c r="MWA287" s="2151"/>
      <c r="MWB287" s="2151"/>
      <c r="MWC287" s="2151"/>
      <c r="MWD287" s="2151"/>
      <c r="MWE287" s="2150"/>
      <c r="MWF287" s="2151"/>
      <c r="MWG287" s="2151"/>
      <c r="MWH287" s="2151"/>
      <c r="MWI287" s="2151"/>
      <c r="MWJ287" s="2151"/>
      <c r="MWK287" s="2151"/>
      <c r="MWL287" s="2151"/>
      <c r="MWM287" s="2151"/>
      <c r="MWN287" s="2151"/>
      <c r="MWO287" s="2151"/>
      <c r="MWP287" s="2151"/>
      <c r="MWQ287" s="2151"/>
      <c r="MWR287" s="2151"/>
      <c r="MWS287" s="2151"/>
      <c r="MWT287" s="2151"/>
      <c r="MWU287" s="2150"/>
      <c r="MWV287" s="2151"/>
      <c r="MWW287" s="2151"/>
      <c r="MWX287" s="2151"/>
      <c r="MWY287" s="2151"/>
      <c r="MWZ287" s="2151"/>
      <c r="MXA287" s="2151"/>
      <c r="MXB287" s="2151"/>
      <c r="MXC287" s="2151"/>
      <c r="MXD287" s="2151"/>
      <c r="MXE287" s="2151"/>
      <c r="MXF287" s="2151"/>
      <c r="MXG287" s="2151"/>
      <c r="MXH287" s="2151"/>
      <c r="MXI287" s="2151"/>
      <c r="MXJ287" s="2151"/>
      <c r="MXK287" s="2150"/>
      <c r="MXL287" s="2151"/>
      <c r="MXM287" s="2151"/>
      <c r="MXN287" s="2151"/>
      <c r="MXO287" s="2151"/>
      <c r="MXP287" s="2151"/>
      <c r="MXQ287" s="2151"/>
      <c r="MXR287" s="2151"/>
      <c r="MXS287" s="2151"/>
      <c r="MXT287" s="2151"/>
      <c r="MXU287" s="2151"/>
      <c r="MXV287" s="2151"/>
      <c r="MXW287" s="2151"/>
      <c r="MXX287" s="2151"/>
      <c r="MXY287" s="2151"/>
      <c r="MXZ287" s="2151"/>
      <c r="MYA287" s="2150"/>
      <c r="MYB287" s="2151"/>
      <c r="MYC287" s="2151"/>
      <c r="MYD287" s="2151"/>
      <c r="MYE287" s="2151"/>
      <c r="MYF287" s="2151"/>
      <c r="MYG287" s="2151"/>
      <c r="MYH287" s="2151"/>
      <c r="MYI287" s="2151"/>
      <c r="MYJ287" s="2151"/>
      <c r="MYK287" s="2151"/>
      <c r="MYL287" s="2151"/>
      <c r="MYM287" s="2151"/>
      <c r="MYN287" s="2151"/>
      <c r="MYO287" s="2151"/>
      <c r="MYP287" s="2151"/>
      <c r="MYQ287" s="2150"/>
      <c r="MYR287" s="2151"/>
      <c r="MYS287" s="2151"/>
      <c r="MYT287" s="2151"/>
      <c r="MYU287" s="2151"/>
      <c r="MYV287" s="2151"/>
      <c r="MYW287" s="2151"/>
      <c r="MYX287" s="2151"/>
      <c r="MYY287" s="2151"/>
      <c r="MYZ287" s="2151"/>
      <c r="MZA287" s="2151"/>
      <c r="MZB287" s="2151"/>
      <c r="MZC287" s="2151"/>
      <c r="MZD287" s="2151"/>
      <c r="MZE287" s="2151"/>
      <c r="MZF287" s="2151"/>
      <c r="MZG287" s="2150"/>
      <c r="MZH287" s="2151"/>
      <c r="MZI287" s="2151"/>
      <c r="MZJ287" s="2151"/>
      <c r="MZK287" s="2151"/>
      <c r="MZL287" s="2151"/>
      <c r="MZM287" s="2151"/>
      <c r="MZN287" s="2151"/>
      <c r="MZO287" s="2151"/>
      <c r="MZP287" s="2151"/>
      <c r="MZQ287" s="2151"/>
      <c r="MZR287" s="2151"/>
      <c r="MZS287" s="2151"/>
      <c r="MZT287" s="2151"/>
      <c r="MZU287" s="2151"/>
      <c r="MZV287" s="2151"/>
      <c r="MZW287" s="2150"/>
      <c r="MZX287" s="2151"/>
      <c r="MZY287" s="2151"/>
      <c r="MZZ287" s="2151"/>
      <c r="NAA287" s="2151"/>
      <c r="NAB287" s="2151"/>
      <c r="NAC287" s="2151"/>
      <c r="NAD287" s="2151"/>
      <c r="NAE287" s="2151"/>
      <c r="NAF287" s="2151"/>
      <c r="NAG287" s="2151"/>
      <c r="NAH287" s="2151"/>
      <c r="NAI287" s="2151"/>
      <c r="NAJ287" s="2151"/>
      <c r="NAK287" s="2151"/>
      <c r="NAL287" s="2151"/>
      <c r="NAM287" s="2150"/>
      <c r="NAN287" s="2151"/>
      <c r="NAO287" s="2151"/>
      <c r="NAP287" s="2151"/>
      <c r="NAQ287" s="2151"/>
      <c r="NAR287" s="2151"/>
      <c r="NAS287" s="2151"/>
      <c r="NAT287" s="2151"/>
      <c r="NAU287" s="2151"/>
      <c r="NAV287" s="2151"/>
      <c r="NAW287" s="2151"/>
      <c r="NAX287" s="2151"/>
      <c r="NAY287" s="2151"/>
      <c r="NAZ287" s="2151"/>
      <c r="NBA287" s="2151"/>
      <c r="NBB287" s="2151"/>
      <c r="NBC287" s="2150"/>
      <c r="NBD287" s="2151"/>
      <c r="NBE287" s="2151"/>
      <c r="NBF287" s="2151"/>
      <c r="NBG287" s="2151"/>
      <c r="NBH287" s="2151"/>
      <c r="NBI287" s="2151"/>
      <c r="NBJ287" s="2151"/>
      <c r="NBK287" s="2151"/>
      <c r="NBL287" s="2151"/>
      <c r="NBM287" s="2151"/>
      <c r="NBN287" s="2151"/>
      <c r="NBO287" s="2151"/>
      <c r="NBP287" s="2151"/>
      <c r="NBQ287" s="2151"/>
      <c r="NBR287" s="2151"/>
      <c r="NBS287" s="2150"/>
      <c r="NBT287" s="2151"/>
      <c r="NBU287" s="2151"/>
      <c r="NBV287" s="2151"/>
      <c r="NBW287" s="2151"/>
      <c r="NBX287" s="2151"/>
      <c r="NBY287" s="2151"/>
      <c r="NBZ287" s="2151"/>
      <c r="NCA287" s="2151"/>
      <c r="NCB287" s="2151"/>
      <c r="NCC287" s="2151"/>
      <c r="NCD287" s="2151"/>
      <c r="NCE287" s="2151"/>
      <c r="NCF287" s="2151"/>
      <c r="NCG287" s="2151"/>
      <c r="NCH287" s="2151"/>
      <c r="NCI287" s="2150"/>
      <c r="NCJ287" s="2151"/>
      <c r="NCK287" s="2151"/>
      <c r="NCL287" s="2151"/>
      <c r="NCM287" s="2151"/>
      <c r="NCN287" s="2151"/>
      <c r="NCO287" s="2151"/>
      <c r="NCP287" s="2151"/>
      <c r="NCQ287" s="2151"/>
      <c r="NCR287" s="2151"/>
      <c r="NCS287" s="2151"/>
      <c r="NCT287" s="2151"/>
      <c r="NCU287" s="2151"/>
      <c r="NCV287" s="2151"/>
      <c r="NCW287" s="2151"/>
      <c r="NCX287" s="2151"/>
      <c r="NCY287" s="2150"/>
      <c r="NCZ287" s="2151"/>
      <c r="NDA287" s="2151"/>
      <c r="NDB287" s="2151"/>
      <c r="NDC287" s="2151"/>
      <c r="NDD287" s="2151"/>
      <c r="NDE287" s="2151"/>
      <c r="NDF287" s="2151"/>
      <c r="NDG287" s="2151"/>
      <c r="NDH287" s="2151"/>
      <c r="NDI287" s="2151"/>
      <c r="NDJ287" s="2151"/>
      <c r="NDK287" s="2151"/>
      <c r="NDL287" s="2151"/>
      <c r="NDM287" s="2151"/>
      <c r="NDN287" s="2151"/>
      <c r="NDO287" s="2150"/>
      <c r="NDP287" s="2151"/>
      <c r="NDQ287" s="2151"/>
      <c r="NDR287" s="2151"/>
      <c r="NDS287" s="2151"/>
      <c r="NDT287" s="2151"/>
      <c r="NDU287" s="2151"/>
      <c r="NDV287" s="2151"/>
      <c r="NDW287" s="2151"/>
      <c r="NDX287" s="2151"/>
      <c r="NDY287" s="2151"/>
      <c r="NDZ287" s="2151"/>
      <c r="NEA287" s="2151"/>
      <c r="NEB287" s="2151"/>
      <c r="NEC287" s="2151"/>
      <c r="NED287" s="2151"/>
      <c r="NEE287" s="2150"/>
      <c r="NEF287" s="2151"/>
      <c r="NEG287" s="2151"/>
      <c r="NEH287" s="2151"/>
      <c r="NEI287" s="2151"/>
      <c r="NEJ287" s="2151"/>
      <c r="NEK287" s="2151"/>
      <c r="NEL287" s="2151"/>
      <c r="NEM287" s="2151"/>
      <c r="NEN287" s="2151"/>
      <c r="NEO287" s="2151"/>
      <c r="NEP287" s="2151"/>
      <c r="NEQ287" s="2151"/>
      <c r="NER287" s="2151"/>
      <c r="NES287" s="2151"/>
      <c r="NET287" s="2151"/>
      <c r="NEU287" s="2150"/>
      <c r="NEV287" s="2151"/>
      <c r="NEW287" s="2151"/>
      <c r="NEX287" s="2151"/>
      <c r="NEY287" s="2151"/>
      <c r="NEZ287" s="2151"/>
      <c r="NFA287" s="2151"/>
      <c r="NFB287" s="2151"/>
      <c r="NFC287" s="2151"/>
      <c r="NFD287" s="2151"/>
      <c r="NFE287" s="2151"/>
      <c r="NFF287" s="2151"/>
      <c r="NFG287" s="2151"/>
      <c r="NFH287" s="2151"/>
      <c r="NFI287" s="2151"/>
      <c r="NFJ287" s="2151"/>
      <c r="NFK287" s="2150"/>
      <c r="NFL287" s="2151"/>
      <c r="NFM287" s="2151"/>
      <c r="NFN287" s="2151"/>
      <c r="NFO287" s="2151"/>
      <c r="NFP287" s="2151"/>
      <c r="NFQ287" s="2151"/>
      <c r="NFR287" s="2151"/>
      <c r="NFS287" s="2151"/>
      <c r="NFT287" s="2151"/>
      <c r="NFU287" s="2151"/>
      <c r="NFV287" s="2151"/>
      <c r="NFW287" s="2151"/>
      <c r="NFX287" s="2151"/>
      <c r="NFY287" s="2151"/>
      <c r="NFZ287" s="2151"/>
      <c r="NGA287" s="2150"/>
      <c r="NGB287" s="2151"/>
      <c r="NGC287" s="2151"/>
      <c r="NGD287" s="2151"/>
      <c r="NGE287" s="2151"/>
      <c r="NGF287" s="2151"/>
      <c r="NGG287" s="2151"/>
      <c r="NGH287" s="2151"/>
      <c r="NGI287" s="2151"/>
      <c r="NGJ287" s="2151"/>
      <c r="NGK287" s="2151"/>
      <c r="NGL287" s="2151"/>
      <c r="NGM287" s="2151"/>
      <c r="NGN287" s="2151"/>
      <c r="NGO287" s="2151"/>
      <c r="NGP287" s="2151"/>
      <c r="NGQ287" s="2150"/>
      <c r="NGR287" s="2151"/>
      <c r="NGS287" s="2151"/>
      <c r="NGT287" s="2151"/>
      <c r="NGU287" s="2151"/>
      <c r="NGV287" s="2151"/>
      <c r="NGW287" s="2151"/>
      <c r="NGX287" s="2151"/>
      <c r="NGY287" s="2151"/>
      <c r="NGZ287" s="2151"/>
      <c r="NHA287" s="2151"/>
      <c r="NHB287" s="2151"/>
      <c r="NHC287" s="2151"/>
      <c r="NHD287" s="2151"/>
      <c r="NHE287" s="2151"/>
      <c r="NHF287" s="2151"/>
      <c r="NHG287" s="2150"/>
      <c r="NHH287" s="2151"/>
      <c r="NHI287" s="2151"/>
      <c r="NHJ287" s="2151"/>
      <c r="NHK287" s="2151"/>
      <c r="NHL287" s="2151"/>
      <c r="NHM287" s="2151"/>
      <c r="NHN287" s="2151"/>
      <c r="NHO287" s="2151"/>
      <c r="NHP287" s="2151"/>
      <c r="NHQ287" s="2151"/>
      <c r="NHR287" s="2151"/>
      <c r="NHS287" s="2151"/>
      <c r="NHT287" s="2151"/>
      <c r="NHU287" s="2151"/>
      <c r="NHV287" s="2151"/>
      <c r="NHW287" s="2150"/>
      <c r="NHX287" s="2151"/>
      <c r="NHY287" s="2151"/>
      <c r="NHZ287" s="2151"/>
      <c r="NIA287" s="2151"/>
      <c r="NIB287" s="2151"/>
      <c r="NIC287" s="2151"/>
      <c r="NID287" s="2151"/>
      <c r="NIE287" s="2151"/>
      <c r="NIF287" s="2151"/>
      <c r="NIG287" s="2151"/>
      <c r="NIH287" s="2151"/>
      <c r="NII287" s="2151"/>
      <c r="NIJ287" s="2151"/>
      <c r="NIK287" s="2151"/>
      <c r="NIL287" s="2151"/>
      <c r="NIM287" s="2150"/>
      <c r="NIN287" s="2151"/>
      <c r="NIO287" s="2151"/>
      <c r="NIP287" s="2151"/>
      <c r="NIQ287" s="2151"/>
      <c r="NIR287" s="2151"/>
      <c r="NIS287" s="2151"/>
      <c r="NIT287" s="2151"/>
      <c r="NIU287" s="2151"/>
      <c r="NIV287" s="2151"/>
      <c r="NIW287" s="2151"/>
      <c r="NIX287" s="2151"/>
      <c r="NIY287" s="2151"/>
      <c r="NIZ287" s="2151"/>
      <c r="NJA287" s="2151"/>
      <c r="NJB287" s="2151"/>
      <c r="NJC287" s="2150"/>
      <c r="NJD287" s="2151"/>
      <c r="NJE287" s="2151"/>
      <c r="NJF287" s="2151"/>
      <c r="NJG287" s="2151"/>
      <c r="NJH287" s="2151"/>
      <c r="NJI287" s="2151"/>
      <c r="NJJ287" s="2151"/>
      <c r="NJK287" s="2151"/>
      <c r="NJL287" s="2151"/>
      <c r="NJM287" s="2151"/>
      <c r="NJN287" s="2151"/>
      <c r="NJO287" s="2151"/>
      <c r="NJP287" s="2151"/>
      <c r="NJQ287" s="2151"/>
      <c r="NJR287" s="2151"/>
      <c r="NJS287" s="2150"/>
      <c r="NJT287" s="2151"/>
      <c r="NJU287" s="2151"/>
      <c r="NJV287" s="2151"/>
      <c r="NJW287" s="2151"/>
      <c r="NJX287" s="2151"/>
      <c r="NJY287" s="2151"/>
      <c r="NJZ287" s="2151"/>
      <c r="NKA287" s="2151"/>
      <c r="NKB287" s="2151"/>
      <c r="NKC287" s="2151"/>
      <c r="NKD287" s="2151"/>
      <c r="NKE287" s="2151"/>
      <c r="NKF287" s="2151"/>
      <c r="NKG287" s="2151"/>
      <c r="NKH287" s="2151"/>
      <c r="NKI287" s="2150"/>
      <c r="NKJ287" s="2151"/>
      <c r="NKK287" s="2151"/>
      <c r="NKL287" s="2151"/>
      <c r="NKM287" s="2151"/>
      <c r="NKN287" s="2151"/>
      <c r="NKO287" s="2151"/>
      <c r="NKP287" s="2151"/>
      <c r="NKQ287" s="2151"/>
      <c r="NKR287" s="2151"/>
      <c r="NKS287" s="2151"/>
      <c r="NKT287" s="2151"/>
      <c r="NKU287" s="2151"/>
      <c r="NKV287" s="2151"/>
      <c r="NKW287" s="2151"/>
      <c r="NKX287" s="2151"/>
      <c r="NKY287" s="2150"/>
      <c r="NKZ287" s="2151"/>
      <c r="NLA287" s="2151"/>
      <c r="NLB287" s="2151"/>
      <c r="NLC287" s="2151"/>
      <c r="NLD287" s="2151"/>
      <c r="NLE287" s="2151"/>
      <c r="NLF287" s="2151"/>
      <c r="NLG287" s="2151"/>
      <c r="NLH287" s="2151"/>
      <c r="NLI287" s="2151"/>
      <c r="NLJ287" s="2151"/>
      <c r="NLK287" s="2151"/>
      <c r="NLL287" s="2151"/>
      <c r="NLM287" s="2151"/>
      <c r="NLN287" s="2151"/>
      <c r="NLO287" s="2150"/>
      <c r="NLP287" s="2151"/>
      <c r="NLQ287" s="2151"/>
      <c r="NLR287" s="2151"/>
      <c r="NLS287" s="2151"/>
      <c r="NLT287" s="2151"/>
      <c r="NLU287" s="2151"/>
      <c r="NLV287" s="2151"/>
      <c r="NLW287" s="2151"/>
      <c r="NLX287" s="2151"/>
      <c r="NLY287" s="2151"/>
      <c r="NLZ287" s="2151"/>
      <c r="NMA287" s="2151"/>
      <c r="NMB287" s="2151"/>
      <c r="NMC287" s="2151"/>
      <c r="NMD287" s="2151"/>
      <c r="NME287" s="2150"/>
      <c r="NMF287" s="2151"/>
      <c r="NMG287" s="2151"/>
      <c r="NMH287" s="2151"/>
      <c r="NMI287" s="2151"/>
      <c r="NMJ287" s="2151"/>
      <c r="NMK287" s="2151"/>
      <c r="NML287" s="2151"/>
      <c r="NMM287" s="2151"/>
      <c r="NMN287" s="2151"/>
      <c r="NMO287" s="2151"/>
      <c r="NMP287" s="2151"/>
      <c r="NMQ287" s="2151"/>
      <c r="NMR287" s="2151"/>
      <c r="NMS287" s="2151"/>
      <c r="NMT287" s="2151"/>
      <c r="NMU287" s="2150"/>
      <c r="NMV287" s="2151"/>
      <c r="NMW287" s="2151"/>
      <c r="NMX287" s="2151"/>
      <c r="NMY287" s="2151"/>
      <c r="NMZ287" s="2151"/>
      <c r="NNA287" s="2151"/>
      <c r="NNB287" s="2151"/>
      <c r="NNC287" s="2151"/>
      <c r="NND287" s="2151"/>
      <c r="NNE287" s="2151"/>
      <c r="NNF287" s="2151"/>
      <c r="NNG287" s="2151"/>
      <c r="NNH287" s="2151"/>
      <c r="NNI287" s="2151"/>
      <c r="NNJ287" s="2151"/>
      <c r="NNK287" s="2150"/>
      <c r="NNL287" s="2151"/>
      <c r="NNM287" s="2151"/>
      <c r="NNN287" s="2151"/>
      <c r="NNO287" s="2151"/>
      <c r="NNP287" s="2151"/>
      <c r="NNQ287" s="2151"/>
      <c r="NNR287" s="2151"/>
      <c r="NNS287" s="2151"/>
      <c r="NNT287" s="2151"/>
      <c r="NNU287" s="2151"/>
      <c r="NNV287" s="2151"/>
      <c r="NNW287" s="2151"/>
      <c r="NNX287" s="2151"/>
      <c r="NNY287" s="2151"/>
      <c r="NNZ287" s="2151"/>
      <c r="NOA287" s="2150"/>
      <c r="NOB287" s="2151"/>
      <c r="NOC287" s="2151"/>
      <c r="NOD287" s="2151"/>
      <c r="NOE287" s="2151"/>
      <c r="NOF287" s="2151"/>
      <c r="NOG287" s="2151"/>
      <c r="NOH287" s="2151"/>
      <c r="NOI287" s="2151"/>
      <c r="NOJ287" s="2151"/>
      <c r="NOK287" s="2151"/>
      <c r="NOL287" s="2151"/>
      <c r="NOM287" s="2151"/>
      <c r="NON287" s="2151"/>
      <c r="NOO287" s="2151"/>
      <c r="NOP287" s="2151"/>
      <c r="NOQ287" s="2150"/>
      <c r="NOR287" s="2151"/>
      <c r="NOS287" s="2151"/>
      <c r="NOT287" s="2151"/>
      <c r="NOU287" s="2151"/>
      <c r="NOV287" s="2151"/>
      <c r="NOW287" s="2151"/>
      <c r="NOX287" s="2151"/>
      <c r="NOY287" s="2151"/>
      <c r="NOZ287" s="2151"/>
      <c r="NPA287" s="2151"/>
      <c r="NPB287" s="2151"/>
      <c r="NPC287" s="2151"/>
      <c r="NPD287" s="2151"/>
      <c r="NPE287" s="2151"/>
      <c r="NPF287" s="2151"/>
      <c r="NPG287" s="2150"/>
      <c r="NPH287" s="2151"/>
      <c r="NPI287" s="2151"/>
      <c r="NPJ287" s="2151"/>
      <c r="NPK287" s="2151"/>
      <c r="NPL287" s="2151"/>
      <c r="NPM287" s="2151"/>
      <c r="NPN287" s="2151"/>
      <c r="NPO287" s="2151"/>
      <c r="NPP287" s="2151"/>
      <c r="NPQ287" s="2151"/>
      <c r="NPR287" s="2151"/>
      <c r="NPS287" s="2151"/>
      <c r="NPT287" s="2151"/>
      <c r="NPU287" s="2151"/>
      <c r="NPV287" s="2151"/>
      <c r="NPW287" s="2150"/>
      <c r="NPX287" s="2151"/>
      <c r="NPY287" s="2151"/>
      <c r="NPZ287" s="2151"/>
      <c r="NQA287" s="2151"/>
      <c r="NQB287" s="2151"/>
      <c r="NQC287" s="2151"/>
      <c r="NQD287" s="2151"/>
      <c r="NQE287" s="2151"/>
      <c r="NQF287" s="2151"/>
      <c r="NQG287" s="2151"/>
      <c r="NQH287" s="2151"/>
      <c r="NQI287" s="2151"/>
      <c r="NQJ287" s="2151"/>
      <c r="NQK287" s="2151"/>
      <c r="NQL287" s="2151"/>
      <c r="NQM287" s="2150"/>
      <c r="NQN287" s="2151"/>
      <c r="NQO287" s="2151"/>
      <c r="NQP287" s="2151"/>
      <c r="NQQ287" s="2151"/>
      <c r="NQR287" s="2151"/>
      <c r="NQS287" s="2151"/>
      <c r="NQT287" s="2151"/>
      <c r="NQU287" s="2151"/>
      <c r="NQV287" s="2151"/>
      <c r="NQW287" s="2151"/>
      <c r="NQX287" s="2151"/>
      <c r="NQY287" s="2151"/>
      <c r="NQZ287" s="2151"/>
      <c r="NRA287" s="2151"/>
      <c r="NRB287" s="2151"/>
      <c r="NRC287" s="2150"/>
      <c r="NRD287" s="2151"/>
      <c r="NRE287" s="2151"/>
      <c r="NRF287" s="2151"/>
      <c r="NRG287" s="2151"/>
      <c r="NRH287" s="2151"/>
      <c r="NRI287" s="2151"/>
      <c r="NRJ287" s="2151"/>
      <c r="NRK287" s="2151"/>
      <c r="NRL287" s="2151"/>
      <c r="NRM287" s="2151"/>
      <c r="NRN287" s="2151"/>
      <c r="NRO287" s="2151"/>
      <c r="NRP287" s="2151"/>
      <c r="NRQ287" s="2151"/>
      <c r="NRR287" s="2151"/>
      <c r="NRS287" s="2150"/>
      <c r="NRT287" s="2151"/>
      <c r="NRU287" s="2151"/>
      <c r="NRV287" s="2151"/>
      <c r="NRW287" s="2151"/>
      <c r="NRX287" s="2151"/>
      <c r="NRY287" s="2151"/>
      <c r="NRZ287" s="2151"/>
      <c r="NSA287" s="2151"/>
      <c r="NSB287" s="2151"/>
      <c r="NSC287" s="2151"/>
      <c r="NSD287" s="2151"/>
      <c r="NSE287" s="2151"/>
      <c r="NSF287" s="2151"/>
      <c r="NSG287" s="2151"/>
      <c r="NSH287" s="2151"/>
      <c r="NSI287" s="2150"/>
      <c r="NSJ287" s="2151"/>
      <c r="NSK287" s="2151"/>
      <c r="NSL287" s="2151"/>
      <c r="NSM287" s="2151"/>
      <c r="NSN287" s="2151"/>
      <c r="NSO287" s="2151"/>
      <c r="NSP287" s="2151"/>
      <c r="NSQ287" s="2151"/>
      <c r="NSR287" s="2151"/>
      <c r="NSS287" s="2151"/>
      <c r="NST287" s="2151"/>
      <c r="NSU287" s="2151"/>
      <c r="NSV287" s="2151"/>
      <c r="NSW287" s="2151"/>
      <c r="NSX287" s="2151"/>
      <c r="NSY287" s="2150"/>
      <c r="NSZ287" s="2151"/>
      <c r="NTA287" s="2151"/>
      <c r="NTB287" s="2151"/>
      <c r="NTC287" s="2151"/>
      <c r="NTD287" s="2151"/>
      <c r="NTE287" s="2151"/>
      <c r="NTF287" s="2151"/>
      <c r="NTG287" s="2151"/>
      <c r="NTH287" s="2151"/>
      <c r="NTI287" s="2151"/>
      <c r="NTJ287" s="2151"/>
      <c r="NTK287" s="2151"/>
      <c r="NTL287" s="2151"/>
      <c r="NTM287" s="2151"/>
      <c r="NTN287" s="2151"/>
      <c r="NTO287" s="2150"/>
      <c r="NTP287" s="2151"/>
      <c r="NTQ287" s="2151"/>
      <c r="NTR287" s="2151"/>
      <c r="NTS287" s="2151"/>
      <c r="NTT287" s="2151"/>
      <c r="NTU287" s="2151"/>
      <c r="NTV287" s="2151"/>
      <c r="NTW287" s="2151"/>
      <c r="NTX287" s="2151"/>
      <c r="NTY287" s="2151"/>
      <c r="NTZ287" s="2151"/>
      <c r="NUA287" s="2151"/>
      <c r="NUB287" s="2151"/>
      <c r="NUC287" s="2151"/>
      <c r="NUD287" s="2151"/>
      <c r="NUE287" s="2150"/>
      <c r="NUF287" s="2151"/>
      <c r="NUG287" s="2151"/>
      <c r="NUH287" s="2151"/>
      <c r="NUI287" s="2151"/>
      <c r="NUJ287" s="2151"/>
      <c r="NUK287" s="2151"/>
      <c r="NUL287" s="2151"/>
      <c r="NUM287" s="2151"/>
      <c r="NUN287" s="2151"/>
      <c r="NUO287" s="2151"/>
      <c r="NUP287" s="2151"/>
      <c r="NUQ287" s="2151"/>
      <c r="NUR287" s="2151"/>
      <c r="NUS287" s="2151"/>
      <c r="NUT287" s="2151"/>
      <c r="NUU287" s="2150"/>
      <c r="NUV287" s="2151"/>
      <c r="NUW287" s="2151"/>
      <c r="NUX287" s="2151"/>
      <c r="NUY287" s="2151"/>
      <c r="NUZ287" s="2151"/>
      <c r="NVA287" s="2151"/>
      <c r="NVB287" s="2151"/>
      <c r="NVC287" s="2151"/>
      <c r="NVD287" s="2151"/>
      <c r="NVE287" s="2151"/>
      <c r="NVF287" s="2151"/>
      <c r="NVG287" s="2151"/>
      <c r="NVH287" s="2151"/>
      <c r="NVI287" s="2151"/>
      <c r="NVJ287" s="2151"/>
      <c r="NVK287" s="2150"/>
      <c r="NVL287" s="2151"/>
      <c r="NVM287" s="2151"/>
      <c r="NVN287" s="2151"/>
      <c r="NVO287" s="2151"/>
      <c r="NVP287" s="2151"/>
      <c r="NVQ287" s="2151"/>
      <c r="NVR287" s="2151"/>
      <c r="NVS287" s="2151"/>
      <c r="NVT287" s="2151"/>
      <c r="NVU287" s="2151"/>
      <c r="NVV287" s="2151"/>
      <c r="NVW287" s="2151"/>
      <c r="NVX287" s="2151"/>
      <c r="NVY287" s="2151"/>
      <c r="NVZ287" s="2151"/>
      <c r="NWA287" s="2150"/>
      <c r="NWB287" s="2151"/>
      <c r="NWC287" s="2151"/>
      <c r="NWD287" s="2151"/>
      <c r="NWE287" s="2151"/>
      <c r="NWF287" s="2151"/>
      <c r="NWG287" s="2151"/>
      <c r="NWH287" s="2151"/>
      <c r="NWI287" s="2151"/>
      <c r="NWJ287" s="2151"/>
      <c r="NWK287" s="2151"/>
      <c r="NWL287" s="2151"/>
      <c r="NWM287" s="2151"/>
      <c r="NWN287" s="2151"/>
      <c r="NWO287" s="2151"/>
      <c r="NWP287" s="2151"/>
      <c r="NWQ287" s="2150"/>
      <c r="NWR287" s="2151"/>
      <c r="NWS287" s="2151"/>
      <c r="NWT287" s="2151"/>
      <c r="NWU287" s="2151"/>
      <c r="NWV287" s="2151"/>
      <c r="NWW287" s="2151"/>
      <c r="NWX287" s="2151"/>
      <c r="NWY287" s="2151"/>
      <c r="NWZ287" s="2151"/>
      <c r="NXA287" s="2151"/>
      <c r="NXB287" s="2151"/>
      <c r="NXC287" s="2151"/>
      <c r="NXD287" s="2151"/>
      <c r="NXE287" s="2151"/>
      <c r="NXF287" s="2151"/>
      <c r="NXG287" s="2150"/>
      <c r="NXH287" s="2151"/>
      <c r="NXI287" s="2151"/>
      <c r="NXJ287" s="2151"/>
      <c r="NXK287" s="2151"/>
      <c r="NXL287" s="2151"/>
      <c r="NXM287" s="2151"/>
      <c r="NXN287" s="2151"/>
      <c r="NXO287" s="2151"/>
      <c r="NXP287" s="2151"/>
      <c r="NXQ287" s="2151"/>
      <c r="NXR287" s="2151"/>
      <c r="NXS287" s="2151"/>
      <c r="NXT287" s="2151"/>
      <c r="NXU287" s="2151"/>
      <c r="NXV287" s="2151"/>
      <c r="NXW287" s="2150"/>
      <c r="NXX287" s="2151"/>
      <c r="NXY287" s="2151"/>
      <c r="NXZ287" s="2151"/>
      <c r="NYA287" s="2151"/>
      <c r="NYB287" s="2151"/>
      <c r="NYC287" s="2151"/>
      <c r="NYD287" s="2151"/>
      <c r="NYE287" s="2151"/>
      <c r="NYF287" s="2151"/>
      <c r="NYG287" s="2151"/>
      <c r="NYH287" s="2151"/>
      <c r="NYI287" s="2151"/>
      <c r="NYJ287" s="2151"/>
      <c r="NYK287" s="2151"/>
      <c r="NYL287" s="2151"/>
      <c r="NYM287" s="2150"/>
      <c r="NYN287" s="2151"/>
      <c r="NYO287" s="2151"/>
      <c r="NYP287" s="2151"/>
      <c r="NYQ287" s="2151"/>
      <c r="NYR287" s="2151"/>
      <c r="NYS287" s="2151"/>
      <c r="NYT287" s="2151"/>
      <c r="NYU287" s="2151"/>
      <c r="NYV287" s="2151"/>
      <c r="NYW287" s="2151"/>
      <c r="NYX287" s="2151"/>
      <c r="NYY287" s="2151"/>
      <c r="NYZ287" s="2151"/>
      <c r="NZA287" s="2151"/>
      <c r="NZB287" s="2151"/>
      <c r="NZC287" s="2150"/>
      <c r="NZD287" s="2151"/>
      <c r="NZE287" s="2151"/>
      <c r="NZF287" s="2151"/>
      <c r="NZG287" s="2151"/>
      <c r="NZH287" s="2151"/>
      <c r="NZI287" s="2151"/>
      <c r="NZJ287" s="2151"/>
      <c r="NZK287" s="2151"/>
      <c r="NZL287" s="2151"/>
      <c r="NZM287" s="2151"/>
      <c r="NZN287" s="2151"/>
      <c r="NZO287" s="2151"/>
      <c r="NZP287" s="2151"/>
      <c r="NZQ287" s="2151"/>
      <c r="NZR287" s="2151"/>
      <c r="NZS287" s="2150"/>
      <c r="NZT287" s="2151"/>
      <c r="NZU287" s="2151"/>
      <c r="NZV287" s="2151"/>
      <c r="NZW287" s="2151"/>
      <c r="NZX287" s="2151"/>
      <c r="NZY287" s="2151"/>
      <c r="NZZ287" s="2151"/>
      <c r="OAA287" s="2151"/>
      <c r="OAB287" s="2151"/>
      <c r="OAC287" s="2151"/>
      <c r="OAD287" s="2151"/>
      <c r="OAE287" s="2151"/>
      <c r="OAF287" s="2151"/>
      <c r="OAG287" s="2151"/>
      <c r="OAH287" s="2151"/>
      <c r="OAI287" s="2150"/>
      <c r="OAJ287" s="2151"/>
      <c r="OAK287" s="2151"/>
      <c r="OAL287" s="2151"/>
      <c r="OAM287" s="2151"/>
      <c r="OAN287" s="2151"/>
      <c r="OAO287" s="2151"/>
      <c r="OAP287" s="2151"/>
      <c r="OAQ287" s="2151"/>
      <c r="OAR287" s="2151"/>
      <c r="OAS287" s="2151"/>
      <c r="OAT287" s="2151"/>
      <c r="OAU287" s="2151"/>
      <c r="OAV287" s="2151"/>
      <c r="OAW287" s="2151"/>
      <c r="OAX287" s="2151"/>
      <c r="OAY287" s="2150"/>
      <c r="OAZ287" s="2151"/>
      <c r="OBA287" s="2151"/>
      <c r="OBB287" s="2151"/>
      <c r="OBC287" s="2151"/>
      <c r="OBD287" s="2151"/>
      <c r="OBE287" s="2151"/>
      <c r="OBF287" s="2151"/>
      <c r="OBG287" s="2151"/>
      <c r="OBH287" s="2151"/>
      <c r="OBI287" s="2151"/>
      <c r="OBJ287" s="2151"/>
      <c r="OBK287" s="2151"/>
      <c r="OBL287" s="2151"/>
      <c r="OBM287" s="2151"/>
      <c r="OBN287" s="2151"/>
      <c r="OBO287" s="2150"/>
      <c r="OBP287" s="2151"/>
      <c r="OBQ287" s="2151"/>
      <c r="OBR287" s="2151"/>
      <c r="OBS287" s="2151"/>
      <c r="OBT287" s="2151"/>
      <c r="OBU287" s="2151"/>
      <c r="OBV287" s="2151"/>
      <c r="OBW287" s="2151"/>
      <c r="OBX287" s="2151"/>
      <c r="OBY287" s="2151"/>
      <c r="OBZ287" s="2151"/>
      <c r="OCA287" s="2151"/>
      <c r="OCB287" s="2151"/>
      <c r="OCC287" s="2151"/>
      <c r="OCD287" s="2151"/>
      <c r="OCE287" s="2150"/>
      <c r="OCF287" s="2151"/>
      <c r="OCG287" s="2151"/>
      <c r="OCH287" s="2151"/>
      <c r="OCI287" s="2151"/>
      <c r="OCJ287" s="2151"/>
      <c r="OCK287" s="2151"/>
      <c r="OCL287" s="2151"/>
      <c r="OCM287" s="2151"/>
      <c r="OCN287" s="2151"/>
      <c r="OCO287" s="2151"/>
      <c r="OCP287" s="2151"/>
      <c r="OCQ287" s="2151"/>
      <c r="OCR287" s="2151"/>
      <c r="OCS287" s="2151"/>
      <c r="OCT287" s="2151"/>
      <c r="OCU287" s="2150"/>
      <c r="OCV287" s="2151"/>
      <c r="OCW287" s="2151"/>
      <c r="OCX287" s="2151"/>
      <c r="OCY287" s="2151"/>
      <c r="OCZ287" s="2151"/>
      <c r="ODA287" s="2151"/>
      <c r="ODB287" s="2151"/>
      <c r="ODC287" s="2151"/>
      <c r="ODD287" s="2151"/>
      <c r="ODE287" s="2151"/>
      <c r="ODF287" s="2151"/>
      <c r="ODG287" s="2151"/>
      <c r="ODH287" s="2151"/>
      <c r="ODI287" s="2151"/>
      <c r="ODJ287" s="2151"/>
      <c r="ODK287" s="2150"/>
      <c r="ODL287" s="2151"/>
      <c r="ODM287" s="2151"/>
      <c r="ODN287" s="2151"/>
      <c r="ODO287" s="2151"/>
      <c r="ODP287" s="2151"/>
      <c r="ODQ287" s="2151"/>
      <c r="ODR287" s="2151"/>
      <c r="ODS287" s="2151"/>
      <c r="ODT287" s="2151"/>
      <c r="ODU287" s="2151"/>
      <c r="ODV287" s="2151"/>
      <c r="ODW287" s="2151"/>
      <c r="ODX287" s="2151"/>
      <c r="ODY287" s="2151"/>
      <c r="ODZ287" s="2151"/>
      <c r="OEA287" s="2150"/>
      <c r="OEB287" s="2151"/>
      <c r="OEC287" s="2151"/>
      <c r="OED287" s="2151"/>
      <c r="OEE287" s="2151"/>
      <c r="OEF287" s="2151"/>
      <c r="OEG287" s="2151"/>
      <c r="OEH287" s="2151"/>
      <c r="OEI287" s="2151"/>
      <c r="OEJ287" s="2151"/>
      <c r="OEK287" s="2151"/>
      <c r="OEL287" s="2151"/>
      <c r="OEM287" s="2151"/>
      <c r="OEN287" s="2151"/>
      <c r="OEO287" s="2151"/>
      <c r="OEP287" s="2151"/>
      <c r="OEQ287" s="2150"/>
      <c r="OER287" s="2151"/>
      <c r="OES287" s="2151"/>
      <c r="OET287" s="2151"/>
      <c r="OEU287" s="2151"/>
      <c r="OEV287" s="2151"/>
      <c r="OEW287" s="2151"/>
      <c r="OEX287" s="2151"/>
      <c r="OEY287" s="2151"/>
      <c r="OEZ287" s="2151"/>
      <c r="OFA287" s="2151"/>
      <c r="OFB287" s="2151"/>
      <c r="OFC287" s="2151"/>
      <c r="OFD287" s="2151"/>
      <c r="OFE287" s="2151"/>
      <c r="OFF287" s="2151"/>
      <c r="OFG287" s="2150"/>
      <c r="OFH287" s="2151"/>
      <c r="OFI287" s="2151"/>
      <c r="OFJ287" s="2151"/>
      <c r="OFK287" s="2151"/>
      <c r="OFL287" s="2151"/>
      <c r="OFM287" s="2151"/>
      <c r="OFN287" s="2151"/>
      <c r="OFO287" s="2151"/>
      <c r="OFP287" s="2151"/>
      <c r="OFQ287" s="2151"/>
      <c r="OFR287" s="2151"/>
      <c r="OFS287" s="2151"/>
      <c r="OFT287" s="2151"/>
      <c r="OFU287" s="2151"/>
      <c r="OFV287" s="2151"/>
      <c r="OFW287" s="2150"/>
      <c r="OFX287" s="2151"/>
      <c r="OFY287" s="2151"/>
      <c r="OFZ287" s="2151"/>
      <c r="OGA287" s="2151"/>
      <c r="OGB287" s="2151"/>
      <c r="OGC287" s="2151"/>
      <c r="OGD287" s="2151"/>
      <c r="OGE287" s="2151"/>
      <c r="OGF287" s="2151"/>
      <c r="OGG287" s="2151"/>
      <c r="OGH287" s="2151"/>
      <c r="OGI287" s="2151"/>
      <c r="OGJ287" s="2151"/>
      <c r="OGK287" s="2151"/>
      <c r="OGL287" s="2151"/>
      <c r="OGM287" s="2150"/>
      <c r="OGN287" s="2151"/>
      <c r="OGO287" s="2151"/>
      <c r="OGP287" s="2151"/>
      <c r="OGQ287" s="2151"/>
      <c r="OGR287" s="2151"/>
      <c r="OGS287" s="2151"/>
      <c r="OGT287" s="2151"/>
      <c r="OGU287" s="2151"/>
      <c r="OGV287" s="2151"/>
      <c r="OGW287" s="2151"/>
      <c r="OGX287" s="2151"/>
      <c r="OGY287" s="2151"/>
      <c r="OGZ287" s="2151"/>
      <c r="OHA287" s="2151"/>
      <c r="OHB287" s="2151"/>
      <c r="OHC287" s="2150"/>
      <c r="OHD287" s="2151"/>
      <c r="OHE287" s="2151"/>
      <c r="OHF287" s="2151"/>
      <c r="OHG287" s="2151"/>
      <c r="OHH287" s="2151"/>
      <c r="OHI287" s="2151"/>
      <c r="OHJ287" s="2151"/>
      <c r="OHK287" s="2151"/>
      <c r="OHL287" s="2151"/>
      <c r="OHM287" s="2151"/>
      <c r="OHN287" s="2151"/>
      <c r="OHO287" s="2151"/>
      <c r="OHP287" s="2151"/>
      <c r="OHQ287" s="2151"/>
      <c r="OHR287" s="2151"/>
      <c r="OHS287" s="2150"/>
      <c r="OHT287" s="2151"/>
      <c r="OHU287" s="2151"/>
      <c r="OHV287" s="2151"/>
      <c r="OHW287" s="2151"/>
      <c r="OHX287" s="2151"/>
      <c r="OHY287" s="2151"/>
      <c r="OHZ287" s="2151"/>
      <c r="OIA287" s="2151"/>
      <c r="OIB287" s="2151"/>
      <c r="OIC287" s="2151"/>
      <c r="OID287" s="2151"/>
      <c r="OIE287" s="2151"/>
      <c r="OIF287" s="2151"/>
      <c r="OIG287" s="2151"/>
      <c r="OIH287" s="2151"/>
      <c r="OII287" s="2150"/>
      <c r="OIJ287" s="2151"/>
      <c r="OIK287" s="2151"/>
      <c r="OIL287" s="2151"/>
      <c r="OIM287" s="2151"/>
      <c r="OIN287" s="2151"/>
      <c r="OIO287" s="2151"/>
      <c r="OIP287" s="2151"/>
      <c r="OIQ287" s="2151"/>
      <c r="OIR287" s="2151"/>
      <c r="OIS287" s="2151"/>
      <c r="OIT287" s="2151"/>
      <c r="OIU287" s="2151"/>
      <c r="OIV287" s="2151"/>
      <c r="OIW287" s="2151"/>
      <c r="OIX287" s="2151"/>
      <c r="OIY287" s="2150"/>
      <c r="OIZ287" s="2151"/>
      <c r="OJA287" s="2151"/>
      <c r="OJB287" s="2151"/>
      <c r="OJC287" s="2151"/>
      <c r="OJD287" s="2151"/>
      <c r="OJE287" s="2151"/>
      <c r="OJF287" s="2151"/>
      <c r="OJG287" s="2151"/>
      <c r="OJH287" s="2151"/>
      <c r="OJI287" s="2151"/>
      <c r="OJJ287" s="2151"/>
      <c r="OJK287" s="2151"/>
      <c r="OJL287" s="2151"/>
      <c r="OJM287" s="2151"/>
      <c r="OJN287" s="2151"/>
      <c r="OJO287" s="2150"/>
      <c r="OJP287" s="2151"/>
      <c r="OJQ287" s="2151"/>
      <c r="OJR287" s="2151"/>
      <c r="OJS287" s="2151"/>
      <c r="OJT287" s="2151"/>
      <c r="OJU287" s="2151"/>
      <c r="OJV287" s="2151"/>
      <c r="OJW287" s="2151"/>
      <c r="OJX287" s="2151"/>
      <c r="OJY287" s="2151"/>
      <c r="OJZ287" s="2151"/>
      <c r="OKA287" s="2151"/>
      <c r="OKB287" s="2151"/>
      <c r="OKC287" s="2151"/>
      <c r="OKD287" s="2151"/>
      <c r="OKE287" s="2150"/>
      <c r="OKF287" s="2151"/>
      <c r="OKG287" s="2151"/>
      <c r="OKH287" s="2151"/>
      <c r="OKI287" s="2151"/>
      <c r="OKJ287" s="2151"/>
      <c r="OKK287" s="2151"/>
      <c r="OKL287" s="2151"/>
      <c r="OKM287" s="2151"/>
      <c r="OKN287" s="2151"/>
      <c r="OKO287" s="2151"/>
      <c r="OKP287" s="2151"/>
      <c r="OKQ287" s="2151"/>
      <c r="OKR287" s="2151"/>
      <c r="OKS287" s="2151"/>
      <c r="OKT287" s="2151"/>
      <c r="OKU287" s="2150"/>
      <c r="OKV287" s="2151"/>
      <c r="OKW287" s="2151"/>
      <c r="OKX287" s="2151"/>
      <c r="OKY287" s="2151"/>
      <c r="OKZ287" s="2151"/>
      <c r="OLA287" s="2151"/>
      <c r="OLB287" s="2151"/>
      <c r="OLC287" s="2151"/>
      <c r="OLD287" s="2151"/>
      <c r="OLE287" s="2151"/>
      <c r="OLF287" s="2151"/>
      <c r="OLG287" s="2151"/>
      <c r="OLH287" s="2151"/>
      <c r="OLI287" s="2151"/>
      <c r="OLJ287" s="2151"/>
      <c r="OLK287" s="2150"/>
      <c r="OLL287" s="2151"/>
      <c r="OLM287" s="2151"/>
      <c r="OLN287" s="2151"/>
      <c r="OLO287" s="2151"/>
      <c r="OLP287" s="2151"/>
      <c r="OLQ287" s="2151"/>
      <c r="OLR287" s="2151"/>
      <c r="OLS287" s="2151"/>
      <c r="OLT287" s="2151"/>
      <c r="OLU287" s="2151"/>
      <c r="OLV287" s="2151"/>
      <c r="OLW287" s="2151"/>
      <c r="OLX287" s="2151"/>
      <c r="OLY287" s="2151"/>
      <c r="OLZ287" s="2151"/>
      <c r="OMA287" s="2150"/>
      <c r="OMB287" s="2151"/>
      <c r="OMC287" s="2151"/>
      <c r="OMD287" s="2151"/>
      <c r="OME287" s="2151"/>
      <c r="OMF287" s="2151"/>
      <c r="OMG287" s="2151"/>
      <c r="OMH287" s="2151"/>
      <c r="OMI287" s="2151"/>
      <c r="OMJ287" s="2151"/>
      <c r="OMK287" s="2151"/>
      <c r="OML287" s="2151"/>
      <c r="OMM287" s="2151"/>
      <c r="OMN287" s="2151"/>
      <c r="OMO287" s="2151"/>
      <c r="OMP287" s="2151"/>
      <c r="OMQ287" s="2150"/>
      <c r="OMR287" s="2151"/>
      <c r="OMS287" s="2151"/>
      <c r="OMT287" s="2151"/>
      <c r="OMU287" s="2151"/>
      <c r="OMV287" s="2151"/>
      <c r="OMW287" s="2151"/>
      <c r="OMX287" s="2151"/>
      <c r="OMY287" s="2151"/>
      <c r="OMZ287" s="2151"/>
      <c r="ONA287" s="2151"/>
      <c r="ONB287" s="2151"/>
      <c r="ONC287" s="2151"/>
      <c r="OND287" s="2151"/>
      <c r="ONE287" s="2151"/>
      <c r="ONF287" s="2151"/>
      <c r="ONG287" s="2150"/>
      <c r="ONH287" s="2151"/>
      <c r="ONI287" s="2151"/>
      <c r="ONJ287" s="2151"/>
      <c r="ONK287" s="2151"/>
      <c r="ONL287" s="2151"/>
      <c r="ONM287" s="2151"/>
      <c r="ONN287" s="2151"/>
      <c r="ONO287" s="2151"/>
      <c r="ONP287" s="2151"/>
      <c r="ONQ287" s="2151"/>
      <c r="ONR287" s="2151"/>
      <c r="ONS287" s="2151"/>
      <c r="ONT287" s="2151"/>
      <c r="ONU287" s="2151"/>
      <c r="ONV287" s="2151"/>
      <c r="ONW287" s="2150"/>
      <c r="ONX287" s="2151"/>
      <c r="ONY287" s="2151"/>
      <c r="ONZ287" s="2151"/>
      <c r="OOA287" s="2151"/>
      <c r="OOB287" s="2151"/>
      <c r="OOC287" s="2151"/>
      <c r="OOD287" s="2151"/>
      <c r="OOE287" s="2151"/>
      <c r="OOF287" s="2151"/>
      <c r="OOG287" s="2151"/>
      <c r="OOH287" s="2151"/>
      <c r="OOI287" s="2151"/>
      <c r="OOJ287" s="2151"/>
      <c r="OOK287" s="2151"/>
      <c r="OOL287" s="2151"/>
      <c r="OOM287" s="2150"/>
      <c r="OON287" s="2151"/>
      <c r="OOO287" s="2151"/>
      <c r="OOP287" s="2151"/>
      <c r="OOQ287" s="2151"/>
      <c r="OOR287" s="2151"/>
      <c r="OOS287" s="2151"/>
      <c r="OOT287" s="2151"/>
      <c r="OOU287" s="2151"/>
      <c r="OOV287" s="2151"/>
      <c r="OOW287" s="2151"/>
      <c r="OOX287" s="2151"/>
      <c r="OOY287" s="2151"/>
      <c r="OOZ287" s="2151"/>
      <c r="OPA287" s="2151"/>
      <c r="OPB287" s="2151"/>
      <c r="OPC287" s="2150"/>
      <c r="OPD287" s="2151"/>
      <c r="OPE287" s="2151"/>
      <c r="OPF287" s="2151"/>
      <c r="OPG287" s="2151"/>
      <c r="OPH287" s="2151"/>
      <c r="OPI287" s="2151"/>
      <c r="OPJ287" s="2151"/>
      <c r="OPK287" s="2151"/>
      <c r="OPL287" s="2151"/>
      <c r="OPM287" s="2151"/>
      <c r="OPN287" s="2151"/>
      <c r="OPO287" s="2151"/>
      <c r="OPP287" s="2151"/>
      <c r="OPQ287" s="2151"/>
      <c r="OPR287" s="2151"/>
      <c r="OPS287" s="2150"/>
      <c r="OPT287" s="2151"/>
      <c r="OPU287" s="2151"/>
      <c r="OPV287" s="2151"/>
      <c r="OPW287" s="2151"/>
      <c r="OPX287" s="2151"/>
      <c r="OPY287" s="2151"/>
      <c r="OPZ287" s="2151"/>
      <c r="OQA287" s="2151"/>
      <c r="OQB287" s="2151"/>
      <c r="OQC287" s="2151"/>
      <c r="OQD287" s="2151"/>
      <c r="OQE287" s="2151"/>
      <c r="OQF287" s="2151"/>
      <c r="OQG287" s="2151"/>
      <c r="OQH287" s="2151"/>
      <c r="OQI287" s="2150"/>
      <c r="OQJ287" s="2151"/>
      <c r="OQK287" s="2151"/>
      <c r="OQL287" s="2151"/>
      <c r="OQM287" s="2151"/>
      <c r="OQN287" s="2151"/>
      <c r="OQO287" s="2151"/>
      <c r="OQP287" s="2151"/>
      <c r="OQQ287" s="2151"/>
      <c r="OQR287" s="2151"/>
      <c r="OQS287" s="2151"/>
      <c r="OQT287" s="2151"/>
      <c r="OQU287" s="2151"/>
      <c r="OQV287" s="2151"/>
      <c r="OQW287" s="2151"/>
      <c r="OQX287" s="2151"/>
      <c r="OQY287" s="2150"/>
      <c r="OQZ287" s="2151"/>
      <c r="ORA287" s="2151"/>
      <c r="ORB287" s="2151"/>
      <c r="ORC287" s="2151"/>
      <c r="ORD287" s="2151"/>
      <c r="ORE287" s="2151"/>
      <c r="ORF287" s="2151"/>
      <c r="ORG287" s="2151"/>
      <c r="ORH287" s="2151"/>
      <c r="ORI287" s="2151"/>
      <c r="ORJ287" s="2151"/>
      <c r="ORK287" s="2151"/>
      <c r="ORL287" s="2151"/>
      <c r="ORM287" s="2151"/>
      <c r="ORN287" s="2151"/>
      <c r="ORO287" s="2150"/>
      <c r="ORP287" s="2151"/>
      <c r="ORQ287" s="2151"/>
      <c r="ORR287" s="2151"/>
      <c r="ORS287" s="2151"/>
      <c r="ORT287" s="2151"/>
      <c r="ORU287" s="2151"/>
      <c r="ORV287" s="2151"/>
      <c r="ORW287" s="2151"/>
      <c r="ORX287" s="2151"/>
      <c r="ORY287" s="2151"/>
      <c r="ORZ287" s="2151"/>
      <c r="OSA287" s="2151"/>
      <c r="OSB287" s="2151"/>
      <c r="OSC287" s="2151"/>
      <c r="OSD287" s="2151"/>
      <c r="OSE287" s="2150"/>
      <c r="OSF287" s="2151"/>
      <c r="OSG287" s="2151"/>
      <c r="OSH287" s="2151"/>
      <c r="OSI287" s="2151"/>
      <c r="OSJ287" s="2151"/>
      <c r="OSK287" s="2151"/>
      <c r="OSL287" s="2151"/>
      <c r="OSM287" s="2151"/>
      <c r="OSN287" s="2151"/>
      <c r="OSO287" s="2151"/>
      <c r="OSP287" s="2151"/>
      <c r="OSQ287" s="2151"/>
      <c r="OSR287" s="2151"/>
      <c r="OSS287" s="2151"/>
      <c r="OST287" s="2151"/>
      <c r="OSU287" s="2150"/>
      <c r="OSV287" s="2151"/>
      <c r="OSW287" s="2151"/>
      <c r="OSX287" s="2151"/>
      <c r="OSY287" s="2151"/>
      <c r="OSZ287" s="2151"/>
      <c r="OTA287" s="2151"/>
      <c r="OTB287" s="2151"/>
      <c r="OTC287" s="2151"/>
      <c r="OTD287" s="2151"/>
      <c r="OTE287" s="2151"/>
      <c r="OTF287" s="2151"/>
      <c r="OTG287" s="2151"/>
      <c r="OTH287" s="2151"/>
      <c r="OTI287" s="2151"/>
      <c r="OTJ287" s="2151"/>
      <c r="OTK287" s="2150"/>
      <c r="OTL287" s="2151"/>
      <c r="OTM287" s="2151"/>
      <c r="OTN287" s="2151"/>
      <c r="OTO287" s="2151"/>
      <c r="OTP287" s="2151"/>
      <c r="OTQ287" s="2151"/>
      <c r="OTR287" s="2151"/>
      <c r="OTS287" s="2151"/>
      <c r="OTT287" s="2151"/>
      <c r="OTU287" s="2151"/>
      <c r="OTV287" s="2151"/>
      <c r="OTW287" s="2151"/>
      <c r="OTX287" s="2151"/>
      <c r="OTY287" s="2151"/>
      <c r="OTZ287" s="2151"/>
      <c r="OUA287" s="2150"/>
      <c r="OUB287" s="2151"/>
      <c r="OUC287" s="2151"/>
      <c r="OUD287" s="2151"/>
      <c r="OUE287" s="2151"/>
      <c r="OUF287" s="2151"/>
      <c r="OUG287" s="2151"/>
      <c r="OUH287" s="2151"/>
      <c r="OUI287" s="2151"/>
      <c r="OUJ287" s="2151"/>
      <c r="OUK287" s="2151"/>
      <c r="OUL287" s="2151"/>
      <c r="OUM287" s="2151"/>
      <c r="OUN287" s="2151"/>
      <c r="OUO287" s="2151"/>
      <c r="OUP287" s="2151"/>
      <c r="OUQ287" s="2150"/>
      <c r="OUR287" s="2151"/>
      <c r="OUS287" s="2151"/>
      <c r="OUT287" s="2151"/>
      <c r="OUU287" s="2151"/>
      <c r="OUV287" s="2151"/>
      <c r="OUW287" s="2151"/>
      <c r="OUX287" s="2151"/>
      <c r="OUY287" s="2151"/>
      <c r="OUZ287" s="2151"/>
      <c r="OVA287" s="2151"/>
      <c r="OVB287" s="2151"/>
      <c r="OVC287" s="2151"/>
      <c r="OVD287" s="2151"/>
      <c r="OVE287" s="2151"/>
      <c r="OVF287" s="2151"/>
      <c r="OVG287" s="2150"/>
      <c r="OVH287" s="2151"/>
      <c r="OVI287" s="2151"/>
      <c r="OVJ287" s="2151"/>
      <c r="OVK287" s="2151"/>
      <c r="OVL287" s="2151"/>
      <c r="OVM287" s="2151"/>
      <c r="OVN287" s="2151"/>
      <c r="OVO287" s="2151"/>
      <c r="OVP287" s="2151"/>
      <c r="OVQ287" s="2151"/>
      <c r="OVR287" s="2151"/>
      <c r="OVS287" s="2151"/>
      <c r="OVT287" s="2151"/>
      <c r="OVU287" s="2151"/>
      <c r="OVV287" s="2151"/>
      <c r="OVW287" s="2150"/>
      <c r="OVX287" s="2151"/>
      <c r="OVY287" s="2151"/>
      <c r="OVZ287" s="2151"/>
      <c r="OWA287" s="2151"/>
      <c r="OWB287" s="2151"/>
      <c r="OWC287" s="2151"/>
      <c r="OWD287" s="2151"/>
      <c r="OWE287" s="2151"/>
      <c r="OWF287" s="2151"/>
      <c r="OWG287" s="2151"/>
      <c r="OWH287" s="2151"/>
      <c r="OWI287" s="2151"/>
      <c r="OWJ287" s="2151"/>
      <c r="OWK287" s="2151"/>
      <c r="OWL287" s="2151"/>
      <c r="OWM287" s="2150"/>
      <c r="OWN287" s="2151"/>
      <c r="OWO287" s="2151"/>
      <c r="OWP287" s="2151"/>
      <c r="OWQ287" s="2151"/>
      <c r="OWR287" s="2151"/>
      <c r="OWS287" s="2151"/>
      <c r="OWT287" s="2151"/>
      <c r="OWU287" s="2151"/>
      <c r="OWV287" s="2151"/>
      <c r="OWW287" s="2151"/>
      <c r="OWX287" s="2151"/>
      <c r="OWY287" s="2151"/>
      <c r="OWZ287" s="2151"/>
      <c r="OXA287" s="2151"/>
      <c r="OXB287" s="2151"/>
      <c r="OXC287" s="2150"/>
      <c r="OXD287" s="2151"/>
      <c r="OXE287" s="2151"/>
      <c r="OXF287" s="2151"/>
      <c r="OXG287" s="2151"/>
      <c r="OXH287" s="2151"/>
      <c r="OXI287" s="2151"/>
      <c r="OXJ287" s="2151"/>
      <c r="OXK287" s="2151"/>
      <c r="OXL287" s="2151"/>
      <c r="OXM287" s="2151"/>
      <c r="OXN287" s="2151"/>
      <c r="OXO287" s="2151"/>
      <c r="OXP287" s="2151"/>
      <c r="OXQ287" s="2151"/>
      <c r="OXR287" s="2151"/>
      <c r="OXS287" s="2150"/>
      <c r="OXT287" s="2151"/>
      <c r="OXU287" s="2151"/>
      <c r="OXV287" s="2151"/>
      <c r="OXW287" s="2151"/>
      <c r="OXX287" s="2151"/>
      <c r="OXY287" s="2151"/>
      <c r="OXZ287" s="2151"/>
      <c r="OYA287" s="2151"/>
      <c r="OYB287" s="2151"/>
      <c r="OYC287" s="2151"/>
      <c r="OYD287" s="2151"/>
      <c r="OYE287" s="2151"/>
      <c r="OYF287" s="2151"/>
      <c r="OYG287" s="2151"/>
      <c r="OYH287" s="2151"/>
      <c r="OYI287" s="2150"/>
      <c r="OYJ287" s="2151"/>
      <c r="OYK287" s="2151"/>
      <c r="OYL287" s="2151"/>
      <c r="OYM287" s="2151"/>
      <c r="OYN287" s="2151"/>
      <c r="OYO287" s="2151"/>
      <c r="OYP287" s="2151"/>
      <c r="OYQ287" s="2151"/>
      <c r="OYR287" s="2151"/>
      <c r="OYS287" s="2151"/>
      <c r="OYT287" s="2151"/>
      <c r="OYU287" s="2151"/>
      <c r="OYV287" s="2151"/>
      <c r="OYW287" s="2151"/>
      <c r="OYX287" s="2151"/>
      <c r="OYY287" s="2150"/>
      <c r="OYZ287" s="2151"/>
      <c r="OZA287" s="2151"/>
      <c r="OZB287" s="2151"/>
      <c r="OZC287" s="2151"/>
      <c r="OZD287" s="2151"/>
      <c r="OZE287" s="2151"/>
      <c r="OZF287" s="2151"/>
      <c r="OZG287" s="2151"/>
      <c r="OZH287" s="2151"/>
      <c r="OZI287" s="2151"/>
      <c r="OZJ287" s="2151"/>
      <c r="OZK287" s="2151"/>
      <c r="OZL287" s="2151"/>
      <c r="OZM287" s="2151"/>
      <c r="OZN287" s="2151"/>
      <c r="OZO287" s="2150"/>
      <c r="OZP287" s="2151"/>
      <c r="OZQ287" s="2151"/>
      <c r="OZR287" s="2151"/>
      <c r="OZS287" s="2151"/>
      <c r="OZT287" s="2151"/>
      <c r="OZU287" s="2151"/>
      <c r="OZV287" s="2151"/>
      <c r="OZW287" s="2151"/>
      <c r="OZX287" s="2151"/>
      <c r="OZY287" s="2151"/>
      <c r="OZZ287" s="2151"/>
      <c r="PAA287" s="2151"/>
      <c r="PAB287" s="2151"/>
      <c r="PAC287" s="2151"/>
      <c r="PAD287" s="2151"/>
      <c r="PAE287" s="2150"/>
      <c r="PAF287" s="2151"/>
      <c r="PAG287" s="2151"/>
      <c r="PAH287" s="2151"/>
      <c r="PAI287" s="2151"/>
      <c r="PAJ287" s="2151"/>
      <c r="PAK287" s="2151"/>
      <c r="PAL287" s="2151"/>
      <c r="PAM287" s="2151"/>
      <c r="PAN287" s="2151"/>
      <c r="PAO287" s="2151"/>
      <c r="PAP287" s="2151"/>
      <c r="PAQ287" s="2151"/>
      <c r="PAR287" s="2151"/>
      <c r="PAS287" s="2151"/>
      <c r="PAT287" s="2151"/>
      <c r="PAU287" s="2150"/>
      <c r="PAV287" s="2151"/>
      <c r="PAW287" s="2151"/>
      <c r="PAX287" s="2151"/>
      <c r="PAY287" s="2151"/>
      <c r="PAZ287" s="2151"/>
      <c r="PBA287" s="2151"/>
      <c r="PBB287" s="2151"/>
      <c r="PBC287" s="2151"/>
      <c r="PBD287" s="2151"/>
      <c r="PBE287" s="2151"/>
      <c r="PBF287" s="2151"/>
      <c r="PBG287" s="2151"/>
      <c r="PBH287" s="2151"/>
      <c r="PBI287" s="2151"/>
      <c r="PBJ287" s="2151"/>
      <c r="PBK287" s="2150"/>
      <c r="PBL287" s="2151"/>
      <c r="PBM287" s="2151"/>
      <c r="PBN287" s="2151"/>
      <c r="PBO287" s="2151"/>
      <c r="PBP287" s="2151"/>
      <c r="PBQ287" s="2151"/>
      <c r="PBR287" s="2151"/>
      <c r="PBS287" s="2151"/>
      <c r="PBT287" s="2151"/>
      <c r="PBU287" s="2151"/>
      <c r="PBV287" s="2151"/>
      <c r="PBW287" s="2151"/>
      <c r="PBX287" s="2151"/>
      <c r="PBY287" s="2151"/>
      <c r="PBZ287" s="2151"/>
      <c r="PCA287" s="2150"/>
      <c r="PCB287" s="2151"/>
      <c r="PCC287" s="2151"/>
      <c r="PCD287" s="2151"/>
      <c r="PCE287" s="2151"/>
      <c r="PCF287" s="2151"/>
      <c r="PCG287" s="2151"/>
      <c r="PCH287" s="2151"/>
      <c r="PCI287" s="2151"/>
      <c r="PCJ287" s="2151"/>
      <c r="PCK287" s="2151"/>
      <c r="PCL287" s="2151"/>
      <c r="PCM287" s="2151"/>
      <c r="PCN287" s="2151"/>
      <c r="PCO287" s="2151"/>
      <c r="PCP287" s="2151"/>
      <c r="PCQ287" s="2150"/>
      <c r="PCR287" s="2151"/>
      <c r="PCS287" s="2151"/>
      <c r="PCT287" s="2151"/>
      <c r="PCU287" s="2151"/>
      <c r="PCV287" s="2151"/>
      <c r="PCW287" s="2151"/>
      <c r="PCX287" s="2151"/>
      <c r="PCY287" s="2151"/>
      <c r="PCZ287" s="2151"/>
      <c r="PDA287" s="2151"/>
      <c r="PDB287" s="2151"/>
      <c r="PDC287" s="2151"/>
      <c r="PDD287" s="2151"/>
      <c r="PDE287" s="2151"/>
      <c r="PDF287" s="2151"/>
      <c r="PDG287" s="2150"/>
      <c r="PDH287" s="2151"/>
      <c r="PDI287" s="2151"/>
      <c r="PDJ287" s="2151"/>
      <c r="PDK287" s="2151"/>
      <c r="PDL287" s="2151"/>
      <c r="PDM287" s="2151"/>
      <c r="PDN287" s="2151"/>
      <c r="PDO287" s="2151"/>
      <c r="PDP287" s="2151"/>
      <c r="PDQ287" s="2151"/>
      <c r="PDR287" s="2151"/>
      <c r="PDS287" s="2151"/>
      <c r="PDT287" s="2151"/>
      <c r="PDU287" s="2151"/>
      <c r="PDV287" s="2151"/>
      <c r="PDW287" s="2150"/>
      <c r="PDX287" s="2151"/>
      <c r="PDY287" s="2151"/>
      <c r="PDZ287" s="2151"/>
      <c r="PEA287" s="2151"/>
      <c r="PEB287" s="2151"/>
      <c r="PEC287" s="2151"/>
      <c r="PED287" s="2151"/>
      <c r="PEE287" s="2151"/>
      <c r="PEF287" s="2151"/>
      <c r="PEG287" s="2151"/>
      <c r="PEH287" s="2151"/>
      <c r="PEI287" s="2151"/>
      <c r="PEJ287" s="2151"/>
      <c r="PEK287" s="2151"/>
      <c r="PEL287" s="2151"/>
      <c r="PEM287" s="2150"/>
      <c r="PEN287" s="2151"/>
      <c r="PEO287" s="2151"/>
      <c r="PEP287" s="2151"/>
      <c r="PEQ287" s="2151"/>
      <c r="PER287" s="2151"/>
      <c r="PES287" s="2151"/>
      <c r="PET287" s="2151"/>
      <c r="PEU287" s="2151"/>
      <c r="PEV287" s="2151"/>
      <c r="PEW287" s="2151"/>
      <c r="PEX287" s="2151"/>
      <c r="PEY287" s="2151"/>
      <c r="PEZ287" s="2151"/>
      <c r="PFA287" s="2151"/>
      <c r="PFB287" s="2151"/>
      <c r="PFC287" s="2150"/>
      <c r="PFD287" s="2151"/>
      <c r="PFE287" s="2151"/>
      <c r="PFF287" s="2151"/>
      <c r="PFG287" s="2151"/>
      <c r="PFH287" s="2151"/>
      <c r="PFI287" s="2151"/>
      <c r="PFJ287" s="2151"/>
      <c r="PFK287" s="2151"/>
      <c r="PFL287" s="2151"/>
      <c r="PFM287" s="2151"/>
      <c r="PFN287" s="2151"/>
      <c r="PFO287" s="2151"/>
      <c r="PFP287" s="2151"/>
      <c r="PFQ287" s="2151"/>
      <c r="PFR287" s="2151"/>
      <c r="PFS287" s="2150"/>
      <c r="PFT287" s="2151"/>
      <c r="PFU287" s="2151"/>
      <c r="PFV287" s="2151"/>
      <c r="PFW287" s="2151"/>
      <c r="PFX287" s="2151"/>
      <c r="PFY287" s="2151"/>
      <c r="PFZ287" s="2151"/>
      <c r="PGA287" s="2151"/>
      <c r="PGB287" s="2151"/>
      <c r="PGC287" s="2151"/>
      <c r="PGD287" s="2151"/>
      <c r="PGE287" s="2151"/>
      <c r="PGF287" s="2151"/>
      <c r="PGG287" s="2151"/>
      <c r="PGH287" s="2151"/>
      <c r="PGI287" s="2150"/>
      <c r="PGJ287" s="2151"/>
      <c r="PGK287" s="2151"/>
      <c r="PGL287" s="2151"/>
      <c r="PGM287" s="2151"/>
      <c r="PGN287" s="2151"/>
      <c r="PGO287" s="2151"/>
      <c r="PGP287" s="2151"/>
      <c r="PGQ287" s="2151"/>
      <c r="PGR287" s="2151"/>
      <c r="PGS287" s="2151"/>
      <c r="PGT287" s="2151"/>
      <c r="PGU287" s="2151"/>
      <c r="PGV287" s="2151"/>
      <c r="PGW287" s="2151"/>
      <c r="PGX287" s="2151"/>
      <c r="PGY287" s="2150"/>
      <c r="PGZ287" s="2151"/>
      <c r="PHA287" s="2151"/>
      <c r="PHB287" s="2151"/>
      <c r="PHC287" s="2151"/>
      <c r="PHD287" s="2151"/>
      <c r="PHE287" s="2151"/>
      <c r="PHF287" s="2151"/>
      <c r="PHG287" s="2151"/>
      <c r="PHH287" s="2151"/>
      <c r="PHI287" s="2151"/>
      <c r="PHJ287" s="2151"/>
      <c r="PHK287" s="2151"/>
      <c r="PHL287" s="2151"/>
      <c r="PHM287" s="2151"/>
      <c r="PHN287" s="2151"/>
      <c r="PHO287" s="2150"/>
      <c r="PHP287" s="2151"/>
      <c r="PHQ287" s="2151"/>
      <c r="PHR287" s="2151"/>
      <c r="PHS287" s="2151"/>
      <c r="PHT287" s="2151"/>
      <c r="PHU287" s="2151"/>
      <c r="PHV287" s="2151"/>
      <c r="PHW287" s="2151"/>
      <c r="PHX287" s="2151"/>
      <c r="PHY287" s="2151"/>
      <c r="PHZ287" s="2151"/>
      <c r="PIA287" s="2151"/>
      <c r="PIB287" s="2151"/>
      <c r="PIC287" s="2151"/>
      <c r="PID287" s="2151"/>
      <c r="PIE287" s="2150"/>
      <c r="PIF287" s="2151"/>
      <c r="PIG287" s="2151"/>
      <c r="PIH287" s="2151"/>
      <c r="PII287" s="2151"/>
      <c r="PIJ287" s="2151"/>
      <c r="PIK287" s="2151"/>
      <c r="PIL287" s="2151"/>
      <c r="PIM287" s="2151"/>
      <c r="PIN287" s="2151"/>
      <c r="PIO287" s="2151"/>
      <c r="PIP287" s="2151"/>
      <c r="PIQ287" s="2151"/>
      <c r="PIR287" s="2151"/>
      <c r="PIS287" s="2151"/>
      <c r="PIT287" s="2151"/>
      <c r="PIU287" s="2150"/>
      <c r="PIV287" s="2151"/>
      <c r="PIW287" s="2151"/>
      <c r="PIX287" s="2151"/>
      <c r="PIY287" s="2151"/>
      <c r="PIZ287" s="2151"/>
      <c r="PJA287" s="2151"/>
      <c r="PJB287" s="2151"/>
      <c r="PJC287" s="2151"/>
      <c r="PJD287" s="2151"/>
      <c r="PJE287" s="2151"/>
      <c r="PJF287" s="2151"/>
      <c r="PJG287" s="2151"/>
      <c r="PJH287" s="2151"/>
      <c r="PJI287" s="2151"/>
      <c r="PJJ287" s="2151"/>
      <c r="PJK287" s="2150"/>
      <c r="PJL287" s="2151"/>
      <c r="PJM287" s="2151"/>
      <c r="PJN287" s="2151"/>
      <c r="PJO287" s="2151"/>
      <c r="PJP287" s="2151"/>
      <c r="PJQ287" s="2151"/>
      <c r="PJR287" s="2151"/>
      <c r="PJS287" s="2151"/>
      <c r="PJT287" s="2151"/>
      <c r="PJU287" s="2151"/>
      <c r="PJV287" s="2151"/>
      <c r="PJW287" s="2151"/>
      <c r="PJX287" s="2151"/>
      <c r="PJY287" s="2151"/>
      <c r="PJZ287" s="2151"/>
      <c r="PKA287" s="2150"/>
      <c r="PKB287" s="2151"/>
      <c r="PKC287" s="2151"/>
      <c r="PKD287" s="2151"/>
      <c r="PKE287" s="2151"/>
      <c r="PKF287" s="2151"/>
      <c r="PKG287" s="2151"/>
      <c r="PKH287" s="2151"/>
      <c r="PKI287" s="2151"/>
      <c r="PKJ287" s="2151"/>
      <c r="PKK287" s="2151"/>
      <c r="PKL287" s="2151"/>
      <c r="PKM287" s="2151"/>
      <c r="PKN287" s="2151"/>
      <c r="PKO287" s="2151"/>
      <c r="PKP287" s="2151"/>
      <c r="PKQ287" s="2150"/>
      <c r="PKR287" s="2151"/>
      <c r="PKS287" s="2151"/>
      <c r="PKT287" s="2151"/>
      <c r="PKU287" s="2151"/>
      <c r="PKV287" s="2151"/>
      <c r="PKW287" s="2151"/>
      <c r="PKX287" s="2151"/>
      <c r="PKY287" s="2151"/>
      <c r="PKZ287" s="2151"/>
      <c r="PLA287" s="2151"/>
      <c r="PLB287" s="2151"/>
      <c r="PLC287" s="2151"/>
      <c r="PLD287" s="2151"/>
      <c r="PLE287" s="2151"/>
      <c r="PLF287" s="2151"/>
      <c r="PLG287" s="2150"/>
      <c r="PLH287" s="2151"/>
      <c r="PLI287" s="2151"/>
      <c r="PLJ287" s="2151"/>
      <c r="PLK287" s="2151"/>
      <c r="PLL287" s="2151"/>
      <c r="PLM287" s="2151"/>
      <c r="PLN287" s="2151"/>
      <c r="PLO287" s="2151"/>
      <c r="PLP287" s="2151"/>
      <c r="PLQ287" s="2151"/>
      <c r="PLR287" s="2151"/>
      <c r="PLS287" s="2151"/>
      <c r="PLT287" s="2151"/>
      <c r="PLU287" s="2151"/>
      <c r="PLV287" s="2151"/>
      <c r="PLW287" s="2150"/>
      <c r="PLX287" s="2151"/>
      <c r="PLY287" s="2151"/>
      <c r="PLZ287" s="2151"/>
      <c r="PMA287" s="2151"/>
      <c r="PMB287" s="2151"/>
      <c r="PMC287" s="2151"/>
      <c r="PMD287" s="2151"/>
      <c r="PME287" s="2151"/>
      <c r="PMF287" s="2151"/>
      <c r="PMG287" s="2151"/>
      <c r="PMH287" s="2151"/>
      <c r="PMI287" s="2151"/>
      <c r="PMJ287" s="2151"/>
      <c r="PMK287" s="2151"/>
      <c r="PML287" s="2151"/>
      <c r="PMM287" s="2150"/>
      <c r="PMN287" s="2151"/>
      <c r="PMO287" s="2151"/>
      <c r="PMP287" s="2151"/>
      <c r="PMQ287" s="2151"/>
      <c r="PMR287" s="2151"/>
      <c r="PMS287" s="2151"/>
      <c r="PMT287" s="2151"/>
      <c r="PMU287" s="2151"/>
      <c r="PMV287" s="2151"/>
      <c r="PMW287" s="2151"/>
      <c r="PMX287" s="2151"/>
      <c r="PMY287" s="2151"/>
      <c r="PMZ287" s="2151"/>
      <c r="PNA287" s="2151"/>
      <c r="PNB287" s="2151"/>
      <c r="PNC287" s="2150"/>
      <c r="PND287" s="2151"/>
      <c r="PNE287" s="2151"/>
      <c r="PNF287" s="2151"/>
      <c r="PNG287" s="2151"/>
      <c r="PNH287" s="2151"/>
      <c r="PNI287" s="2151"/>
      <c r="PNJ287" s="2151"/>
      <c r="PNK287" s="2151"/>
      <c r="PNL287" s="2151"/>
      <c r="PNM287" s="2151"/>
      <c r="PNN287" s="2151"/>
      <c r="PNO287" s="2151"/>
      <c r="PNP287" s="2151"/>
      <c r="PNQ287" s="2151"/>
      <c r="PNR287" s="2151"/>
      <c r="PNS287" s="2150"/>
      <c r="PNT287" s="2151"/>
      <c r="PNU287" s="2151"/>
      <c r="PNV287" s="2151"/>
      <c r="PNW287" s="2151"/>
      <c r="PNX287" s="2151"/>
      <c r="PNY287" s="2151"/>
      <c r="PNZ287" s="2151"/>
      <c r="POA287" s="2151"/>
      <c r="POB287" s="2151"/>
      <c r="POC287" s="2151"/>
      <c r="POD287" s="2151"/>
      <c r="POE287" s="2151"/>
      <c r="POF287" s="2151"/>
      <c r="POG287" s="2151"/>
      <c r="POH287" s="2151"/>
      <c r="POI287" s="2150"/>
      <c r="POJ287" s="2151"/>
      <c r="POK287" s="2151"/>
      <c r="POL287" s="2151"/>
      <c r="POM287" s="2151"/>
      <c r="PON287" s="2151"/>
      <c r="POO287" s="2151"/>
      <c r="POP287" s="2151"/>
      <c r="POQ287" s="2151"/>
      <c r="POR287" s="2151"/>
      <c r="POS287" s="2151"/>
      <c r="POT287" s="2151"/>
      <c r="POU287" s="2151"/>
      <c r="POV287" s="2151"/>
      <c r="POW287" s="2151"/>
      <c r="POX287" s="2151"/>
      <c r="POY287" s="2150"/>
      <c r="POZ287" s="2151"/>
      <c r="PPA287" s="2151"/>
      <c r="PPB287" s="2151"/>
      <c r="PPC287" s="2151"/>
      <c r="PPD287" s="2151"/>
      <c r="PPE287" s="2151"/>
      <c r="PPF287" s="2151"/>
      <c r="PPG287" s="2151"/>
      <c r="PPH287" s="2151"/>
      <c r="PPI287" s="2151"/>
      <c r="PPJ287" s="2151"/>
      <c r="PPK287" s="2151"/>
      <c r="PPL287" s="2151"/>
      <c r="PPM287" s="2151"/>
      <c r="PPN287" s="2151"/>
      <c r="PPO287" s="2150"/>
      <c r="PPP287" s="2151"/>
      <c r="PPQ287" s="2151"/>
      <c r="PPR287" s="2151"/>
      <c r="PPS287" s="2151"/>
      <c r="PPT287" s="2151"/>
      <c r="PPU287" s="2151"/>
      <c r="PPV287" s="2151"/>
      <c r="PPW287" s="2151"/>
      <c r="PPX287" s="2151"/>
      <c r="PPY287" s="2151"/>
      <c r="PPZ287" s="2151"/>
      <c r="PQA287" s="2151"/>
      <c r="PQB287" s="2151"/>
      <c r="PQC287" s="2151"/>
      <c r="PQD287" s="2151"/>
      <c r="PQE287" s="2150"/>
      <c r="PQF287" s="2151"/>
      <c r="PQG287" s="2151"/>
      <c r="PQH287" s="2151"/>
      <c r="PQI287" s="2151"/>
      <c r="PQJ287" s="2151"/>
      <c r="PQK287" s="2151"/>
      <c r="PQL287" s="2151"/>
      <c r="PQM287" s="2151"/>
      <c r="PQN287" s="2151"/>
      <c r="PQO287" s="2151"/>
      <c r="PQP287" s="2151"/>
      <c r="PQQ287" s="2151"/>
      <c r="PQR287" s="2151"/>
      <c r="PQS287" s="2151"/>
      <c r="PQT287" s="2151"/>
      <c r="PQU287" s="2150"/>
      <c r="PQV287" s="2151"/>
      <c r="PQW287" s="2151"/>
      <c r="PQX287" s="2151"/>
      <c r="PQY287" s="2151"/>
      <c r="PQZ287" s="2151"/>
      <c r="PRA287" s="2151"/>
      <c r="PRB287" s="2151"/>
      <c r="PRC287" s="2151"/>
      <c r="PRD287" s="2151"/>
      <c r="PRE287" s="2151"/>
      <c r="PRF287" s="2151"/>
      <c r="PRG287" s="2151"/>
      <c r="PRH287" s="2151"/>
      <c r="PRI287" s="2151"/>
      <c r="PRJ287" s="2151"/>
      <c r="PRK287" s="2150"/>
      <c r="PRL287" s="2151"/>
      <c r="PRM287" s="2151"/>
      <c r="PRN287" s="2151"/>
      <c r="PRO287" s="2151"/>
      <c r="PRP287" s="2151"/>
      <c r="PRQ287" s="2151"/>
      <c r="PRR287" s="2151"/>
      <c r="PRS287" s="2151"/>
      <c r="PRT287" s="2151"/>
      <c r="PRU287" s="2151"/>
      <c r="PRV287" s="2151"/>
      <c r="PRW287" s="2151"/>
      <c r="PRX287" s="2151"/>
      <c r="PRY287" s="2151"/>
      <c r="PRZ287" s="2151"/>
      <c r="PSA287" s="2150"/>
      <c r="PSB287" s="2151"/>
      <c r="PSC287" s="2151"/>
      <c r="PSD287" s="2151"/>
      <c r="PSE287" s="2151"/>
      <c r="PSF287" s="2151"/>
      <c r="PSG287" s="2151"/>
      <c r="PSH287" s="2151"/>
      <c r="PSI287" s="2151"/>
      <c r="PSJ287" s="2151"/>
      <c r="PSK287" s="2151"/>
      <c r="PSL287" s="2151"/>
      <c r="PSM287" s="2151"/>
      <c r="PSN287" s="2151"/>
      <c r="PSO287" s="2151"/>
      <c r="PSP287" s="2151"/>
      <c r="PSQ287" s="2150"/>
      <c r="PSR287" s="2151"/>
      <c r="PSS287" s="2151"/>
      <c r="PST287" s="2151"/>
      <c r="PSU287" s="2151"/>
      <c r="PSV287" s="2151"/>
      <c r="PSW287" s="2151"/>
      <c r="PSX287" s="2151"/>
      <c r="PSY287" s="2151"/>
      <c r="PSZ287" s="2151"/>
      <c r="PTA287" s="2151"/>
      <c r="PTB287" s="2151"/>
      <c r="PTC287" s="2151"/>
      <c r="PTD287" s="2151"/>
      <c r="PTE287" s="2151"/>
      <c r="PTF287" s="2151"/>
      <c r="PTG287" s="2150"/>
      <c r="PTH287" s="2151"/>
      <c r="PTI287" s="2151"/>
      <c r="PTJ287" s="2151"/>
      <c r="PTK287" s="2151"/>
      <c r="PTL287" s="2151"/>
      <c r="PTM287" s="2151"/>
      <c r="PTN287" s="2151"/>
      <c r="PTO287" s="2151"/>
      <c r="PTP287" s="2151"/>
      <c r="PTQ287" s="2151"/>
      <c r="PTR287" s="2151"/>
      <c r="PTS287" s="2151"/>
      <c r="PTT287" s="2151"/>
      <c r="PTU287" s="2151"/>
      <c r="PTV287" s="2151"/>
      <c r="PTW287" s="2150"/>
      <c r="PTX287" s="2151"/>
      <c r="PTY287" s="2151"/>
      <c r="PTZ287" s="2151"/>
      <c r="PUA287" s="2151"/>
      <c r="PUB287" s="2151"/>
      <c r="PUC287" s="2151"/>
      <c r="PUD287" s="2151"/>
      <c r="PUE287" s="2151"/>
      <c r="PUF287" s="2151"/>
      <c r="PUG287" s="2151"/>
      <c r="PUH287" s="2151"/>
      <c r="PUI287" s="2151"/>
      <c r="PUJ287" s="2151"/>
      <c r="PUK287" s="2151"/>
      <c r="PUL287" s="2151"/>
      <c r="PUM287" s="2150"/>
      <c r="PUN287" s="2151"/>
      <c r="PUO287" s="2151"/>
      <c r="PUP287" s="2151"/>
      <c r="PUQ287" s="2151"/>
      <c r="PUR287" s="2151"/>
      <c r="PUS287" s="2151"/>
      <c r="PUT287" s="2151"/>
      <c r="PUU287" s="2151"/>
      <c r="PUV287" s="2151"/>
      <c r="PUW287" s="2151"/>
      <c r="PUX287" s="2151"/>
      <c r="PUY287" s="2151"/>
      <c r="PUZ287" s="2151"/>
      <c r="PVA287" s="2151"/>
      <c r="PVB287" s="2151"/>
      <c r="PVC287" s="2150"/>
      <c r="PVD287" s="2151"/>
      <c r="PVE287" s="2151"/>
      <c r="PVF287" s="2151"/>
      <c r="PVG287" s="2151"/>
      <c r="PVH287" s="2151"/>
      <c r="PVI287" s="2151"/>
      <c r="PVJ287" s="2151"/>
      <c r="PVK287" s="2151"/>
      <c r="PVL287" s="2151"/>
      <c r="PVM287" s="2151"/>
      <c r="PVN287" s="2151"/>
      <c r="PVO287" s="2151"/>
      <c r="PVP287" s="2151"/>
      <c r="PVQ287" s="2151"/>
      <c r="PVR287" s="2151"/>
      <c r="PVS287" s="2150"/>
      <c r="PVT287" s="2151"/>
      <c r="PVU287" s="2151"/>
      <c r="PVV287" s="2151"/>
      <c r="PVW287" s="2151"/>
      <c r="PVX287" s="2151"/>
      <c r="PVY287" s="2151"/>
      <c r="PVZ287" s="2151"/>
      <c r="PWA287" s="2151"/>
      <c r="PWB287" s="2151"/>
      <c r="PWC287" s="2151"/>
      <c r="PWD287" s="2151"/>
      <c r="PWE287" s="2151"/>
      <c r="PWF287" s="2151"/>
      <c r="PWG287" s="2151"/>
      <c r="PWH287" s="2151"/>
      <c r="PWI287" s="2150"/>
      <c r="PWJ287" s="2151"/>
      <c r="PWK287" s="2151"/>
      <c r="PWL287" s="2151"/>
      <c r="PWM287" s="2151"/>
      <c r="PWN287" s="2151"/>
      <c r="PWO287" s="2151"/>
      <c r="PWP287" s="2151"/>
      <c r="PWQ287" s="2151"/>
      <c r="PWR287" s="2151"/>
      <c r="PWS287" s="2151"/>
      <c r="PWT287" s="2151"/>
      <c r="PWU287" s="2151"/>
      <c r="PWV287" s="2151"/>
      <c r="PWW287" s="2151"/>
      <c r="PWX287" s="2151"/>
      <c r="PWY287" s="2150"/>
      <c r="PWZ287" s="2151"/>
      <c r="PXA287" s="2151"/>
      <c r="PXB287" s="2151"/>
      <c r="PXC287" s="2151"/>
      <c r="PXD287" s="2151"/>
      <c r="PXE287" s="2151"/>
      <c r="PXF287" s="2151"/>
      <c r="PXG287" s="2151"/>
      <c r="PXH287" s="2151"/>
      <c r="PXI287" s="2151"/>
      <c r="PXJ287" s="2151"/>
      <c r="PXK287" s="2151"/>
      <c r="PXL287" s="2151"/>
      <c r="PXM287" s="2151"/>
      <c r="PXN287" s="2151"/>
      <c r="PXO287" s="2150"/>
      <c r="PXP287" s="2151"/>
      <c r="PXQ287" s="2151"/>
      <c r="PXR287" s="2151"/>
      <c r="PXS287" s="2151"/>
      <c r="PXT287" s="2151"/>
      <c r="PXU287" s="2151"/>
      <c r="PXV287" s="2151"/>
      <c r="PXW287" s="2151"/>
      <c r="PXX287" s="2151"/>
      <c r="PXY287" s="2151"/>
      <c r="PXZ287" s="2151"/>
      <c r="PYA287" s="2151"/>
      <c r="PYB287" s="2151"/>
      <c r="PYC287" s="2151"/>
      <c r="PYD287" s="2151"/>
      <c r="PYE287" s="2150"/>
      <c r="PYF287" s="2151"/>
      <c r="PYG287" s="2151"/>
      <c r="PYH287" s="2151"/>
      <c r="PYI287" s="2151"/>
      <c r="PYJ287" s="2151"/>
      <c r="PYK287" s="2151"/>
      <c r="PYL287" s="2151"/>
      <c r="PYM287" s="2151"/>
      <c r="PYN287" s="2151"/>
      <c r="PYO287" s="2151"/>
      <c r="PYP287" s="2151"/>
      <c r="PYQ287" s="2151"/>
      <c r="PYR287" s="2151"/>
      <c r="PYS287" s="2151"/>
      <c r="PYT287" s="2151"/>
      <c r="PYU287" s="2150"/>
      <c r="PYV287" s="2151"/>
      <c r="PYW287" s="2151"/>
      <c r="PYX287" s="2151"/>
      <c r="PYY287" s="2151"/>
      <c r="PYZ287" s="2151"/>
      <c r="PZA287" s="2151"/>
      <c r="PZB287" s="2151"/>
      <c r="PZC287" s="2151"/>
      <c r="PZD287" s="2151"/>
      <c r="PZE287" s="2151"/>
      <c r="PZF287" s="2151"/>
      <c r="PZG287" s="2151"/>
      <c r="PZH287" s="2151"/>
      <c r="PZI287" s="2151"/>
      <c r="PZJ287" s="2151"/>
      <c r="PZK287" s="2150"/>
      <c r="PZL287" s="2151"/>
      <c r="PZM287" s="2151"/>
      <c r="PZN287" s="2151"/>
      <c r="PZO287" s="2151"/>
      <c r="PZP287" s="2151"/>
      <c r="PZQ287" s="2151"/>
      <c r="PZR287" s="2151"/>
      <c r="PZS287" s="2151"/>
      <c r="PZT287" s="2151"/>
      <c r="PZU287" s="2151"/>
      <c r="PZV287" s="2151"/>
      <c r="PZW287" s="2151"/>
      <c r="PZX287" s="2151"/>
      <c r="PZY287" s="2151"/>
      <c r="PZZ287" s="2151"/>
      <c r="QAA287" s="2150"/>
      <c r="QAB287" s="2151"/>
      <c r="QAC287" s="2151"/>
      <c r="QAD287" s="2151"/>
      <c r="QAE287" s="2151"/>
      <c r="QAF287" s="2151"/>
      <c r="QAG287" s="2151"/>
      <c r="QAH287" s="2151"/>
      <c r="QAI287" s="2151"/>
      <c r="QAJ287" s="2151"/>
      <c r="QAK287" s="2151"/>
      <c r="QAL287" s="2151"/>
      <c r="QAM287" s="2151"/>
      <c r="QAN287" s="2151"/>
      <c r="QAO287" s="2151"/>
      <c r="QAP287" s="2151"/>
      <c r="QAQ287" s="2150"/>
      <c r="QAR287" s="2151"/>
      <c r="QAS287" s="2151"/>
      <c r="QAT287" s="2151"/>
      <c r="QAU287" s="2151"/>
      <c r="QAV287" s="2151"/>
      <c r="QAW287" s="2151"/>
      <c r="QAX287" s="2151"/>
      <c r="QAY287" s="2151"/>
      <c r="QAZ287" s="2151"/>
      <c r="QBA287" s="2151"/>
      <c r="QBB287" s="2151"/>
      <c r="QBC287" s="2151"/>
      <c r="QBD287" s="2151"/>
      <c r="QBE287" s="2151"/>
      <c r="QBF287" s="2151"/>
      <c r="QBG287" s="2150"/>
      <c r="QBH287" s="2151"/>
      <c r="QBI287" s="2151"/>
      <c r="QBJ287" s="2151"/>
      <c r="QBK287" s="2151"/>
      <c r="QBL287" s="2151"/>
      <c r="QBM287" s="2151"/>
      <c r="QBN287" s="2151"/>
      <c r="QBO287" s="2151"/>
      <c r="QBP287" s="2151"/>
      <c r="QBQ287" s="2151"/>
      <c r="QBR287" s="2151"/>
      <c r="QBS287" s="2151"/>
      <c r="QBT287" s="2151"/>
      <c r="QBU287" s="2151"/>
      <c r="QBV287" s="2151"/>
      <c r="QBW287" s="2150"/>
      <c r="QBX287" s="2151"/>
      <c r="QBY287" s="2151"/>
      <c r="QBZ287" s="2151"/>
      <c r="QCA287" s="2151"/>
      <c r="QCB287" s="2151"/>
      <c r="QCC287" s="2151"/>
      <c r="QCD287" s="2151"/>
      <c r="QCE287" s="2151"/>
      <c r="QCF287" s="2151"/>
      <c r="QCG287" s="2151"/>
      <c r="QCH287" s="2151"/>
      <c r="QCI287" s="2151"/>
      <c r="QCJ287" s="2151"/>
      <c r="QCK287" s="2151"/>
      <c r="QCL287" s="2151"/>
      <c r="QCM287" s="2150"/>
      <c r="QCN287" s="2151"/>
      <c r="QCO287" s="2151"/>
      <c r="QCP287" s="2151"/>
      <c r="QCQ287" s="2151"/>
      <c r="QCR287" s="2151"/>
      <c r="QCS287" s="2151"/>
      <c r="QCT287" s="2151"/>
      <c r="QCU287" s="2151"/>
      <c r="QCV287" s="2151"/>
      <c r="QCW287" s="2151"/>
      <c r="QCX287" s="2151"/>
      <c r="QCY287" s="2151"/>
      <c r="QCZ287" s="2151"/>
      <c r="QDA287" s="2151"/>
      <c r="QDB287" s="2151"/>
      <c r="QDC287" s="2150"/>
      <c r="QDD287" s="2151"/>
      <c r="QDE287" s="2151"/>
      <c r="QDF287" s="2151"/>
      <c r="QDG287" s="2151"/>
      <c r="QDH287" s="2151"/>
      <c r="QDI287" s="2151"/>
      <c r="QDJ287" s="2151"/>
      <c r="QDK287" s="2151"/>
      <c r="QDL287" s="2151"/>
      <c r="QDM287" s="2151"/>
      <c r="QDN287" s="2151"/>
      <c r="QDO287" s="2151"/>
      <c r="QDP287" s="2151"/>
      <c r="QDQ287" s="2151"/>
      <c r="QDR287" s="2151"/>
      <c r="QDS287" s="2150"/>
      <c r="QDT287" s="2151"/>
      <c r="QDU287" s="2151"/>
      <c r="QDV287" s="2151"/>
      <c r="QDW287" s="2151"/>
      <c r="QDX287" s="2151"/>
      <c r="QDY287" s="2151"/>
      <c r="QDZ287" s="2151"/>
      <c r="QEA287" s="2151"/>
      <c r="QEB287" s="2151"/>
      <c r="QEC287" s="2151"/>
      <c r="QED287" s="2151"/>
      <c r="QEE287" s="2151"/>
      <c r="QEF287" s="2151"/>
      <c r="QEG287" s="2151"/>
      <c r="QEH287" s="2151"/>
      <c r="QEI287" s="2150"/>
      <c r="QEJ287" s="2151"/>
      <c r="QEK287" s="2151"/>
      <c r="QEL287" s="2151"/>
      <c r="QEM287" s="2151"/>
      <c r="QEN287" s="2151"/>
      <c r="QEO287" s="2151"/>
      <c r="QEP287" s="2151"/>
      <c r="QEQ287" s="2151"/>
      <c r="QER287" s="2151"/>
      <c r="QES287" s="2151"/>
      <c r="QET287" s="2151"/>
      <c r="QEU287" s="2151"/>
      <c r="QEV287" s="2151"/>
      <c r="QEW287" s="2151"/>
      <c r="QEX287" s="2151"/>
      <c r="QEY287" s="2150"/>
      <c r="QEZ287" s="2151"/>
      <c r="QFA287" s="2151"/>
      <c r="QFB287" s="2151"/>
      <c r="QFC287" s="2151"/>
      <c r="QFD287" s="2151"/>
      <c r="QFE287" s="2151"/>
      <c r="QFF287" s="2151"/>
      <c r="QFG287" s="2151"/>
      <c r="QFH287" s="2151"/>
      <c r="QFI287" s="2151"/>
      <c r="QFJ287" s="2151"/>
      <c r="QFK287" s="2151"/>
      <c r="QFL287" s="2151"/>
      <c r="QFM287" s="2151"/>
      <c r="QFN287" s="2151"/>
      <c r="QFO287" s="2150"/>
      <c r="QFP287" s="2151"/>
      <c r="QFQ287" s="2151"/>
      <c r="QFR287" s="2151"/>
      <c r="QFS287" s="2151"/>
      <c r="QFT287" s="2151"/>
      <c r="QFU287" s="2151"/>
      <c r="QFV287" s="2151"/>
      <c r="QFW287" s="2151"/>
      <c r="QFX287" s="2151"/>
      <c r="QFY287" s="2151"/>
      <c r="QFZ287" s="2151"/>
      <c r="QGA287" s="2151"/>
      <c r="QGB287" s="2151"/>
      <c r="QGC287" s="2151"/>
      <c r="QGD287" s="2151"/>
      <c r="QGE287" s="2150"/>
      <c r="QGF287" s="2151"/>
      <c r="QGG287" s="2151"/>
      <c r="QGH287" s="2151"/>
      <c r="QGI287" s="2151"/>
      <c r="QGJ287" s="2151"/>
      <c r="QGK287" s="2151"/>
      <c r="QGL287" s="2151"/>
      <c r="QGM287" s="2151"/>
      <c r="QGN287" s="2151"/>
      <c r="QGO287" s="2151"/>
      <c r="QGP287" s="2151"/>
      <c r="QGQ287" s="2151"/>
      <c r="QGR287" s="2151"/>
      <c r="QGS287" s="2151"/>
      <c r="QGT287" s="2151"/>
      <c r="QGU287" s="2150"/>
      <c r="QGV287" s="2151"/>
      <c r="QGW287" s="2151"/>
      <c r="QGX287" s="2151"/>
      <c r="QGY287" s="2151"/>
      <c r="QGZ287" s="2151"/>
      <c r="QHA287" s="2151"/>
      <c r="QHB287" s="2151"/>
      <c r="QHC287" s="2151"/>
      <c r="QHD287" s="2151"/>
      <c r="QHE287" s="2151"/>
      <c r="QHF287" s="2151"/>
      <c r="QHG287" s="2151"/>
      <c r="QHH287" s="2151"/>
      <c r="QHI287" s="2151"/>
      <c r="QHJ287" s="2151"/>
      <c r="QHK287" s="2150"/>
      <c r="QHL287" s="2151"/>
      <c r="QHM287" s="2151"/>
      <c r="QHN287" s="2151"/>
      <c r="QHO287" s="2151"/>
      <c r="QHP287" s="2151"/>
      <c r="QHQ287" s="2151"/>
      <c r="QHR287" s="2151"/>
      <c r="QHS287" s="2151"/>
      <c r="QHT287" s="2151"/>
      <c r="QHU287" s="2151"/>
      <c r="QHV287" s="2151"/>
      <c r="QHW287" s="2151"/>
      <c r="QHX287" s="2151"/>
      <c r="QHY287" s="2151"/>
      <c r="QHZ287" s="2151"/>
      <c r="QIA287" s="2150"/>
      <c r="QIB287" s="2151"/>
      <c r="QIC287" s="2151"/>
      <c r="QID287" s="2151"/>
      <c r="QIE287" s="2151"/>
      <c r="QIF287" s="2151"/>
      <c r="QIG287" s="2151"/>
      <c r="QIH287" s="2151"/>
      <c r="QII287" s="2151"/>
      <c r="QIJ287" s="2151"/>
      <c r="QIK287" s="2151"/>
      <c r="QIL287" s="2151"/>
      <c r="QIM287" s="2151"/>
      <c r="QIN287" s="2151"/>
      <c r="QIO287" s="2151"/>
      <c r="QIP287" s="2151"/>
      <c r="QIQ287" s="2150"/>
      <c r="QIR287" s="2151"/>
      <c r="QIS287" s="2151"/>
      <c r="QIT287" s="2151"/>
      <c r="QIU287" s="2151"/>
      <c r="QIV287" s="2151"/>
      <c r="QIW287" s="2151"/>
      <c r="QIX287" s="2151"/>
      <c r="QIY287" s="2151"/>
      <c r="QIZ287" s="2151"/>
      <c r="QJA287" s="2151"/>
      <c r="QJB287" s="2151"/>
      <c r="QJC287" s="2151"/>
      <c r="QJD287" s="2151"/>
      <c r="QJE287" s="2151"/>
      <c r="QJF287" s="2151"/>
      <c r="QJG287" s="2150"/>
      <c r="QJH287" s="2151"/>
      <c r="QJI287" s="2151"/>
      <c r="QJJ287" s="2151"/>
      <c r="QJK287" s="2151"/>
      <c r="QJL287" s="2151"/>
      <c r="QJM287" s="2151"/>
      <c r="QJN287" s="2151"/>
      <c r="QJO287" s="2151"/>
      <c r="QJP287" s="2151"/>
      <c r="QJQ287" s="2151"/>
      <c r="QJR287" s="2151"/>
      <c r="QJS287" s="2151"/>
      <c r="QJT287" s="2151"/>
      <c r="QJU287" s="2151"/>
      <c r="QJV287" s="2151"/>
      <c r="QJW287" s="2150"/>
      <c r="QJX287" s="2151"/>
      <c r="QJY287" s="2151"/>
      <c r="QJZ287" s="2151"/>
      <c r="QKA287" s="2151"/>
      <c r="QKB287" s="2151"/>
      <c r="QKC287" s="2151"/>
      <c r="QKD287" s="2151"/>
      <c r="QKE287" s="2151"/>
      <c r="QKF287" s="2151"/>
      <c r="QKG287" s="2151"/>
      <c r="QKH287" s="2151"/>
      <c r="QKI287" s="2151"/>
      <c r="QKJ287" s="2151"/>
      <c r="QKK287" s="2151"/>
      <c r="QKL287" s="2151"/>
      <c r="QKM287" s="2150"/>
      <c r="QKN287" s="2151"/>
      <c r="QKO287" s="2151"/>
      <c r="QKP287" s="2151"/>
      <c r="QKQ287" s="2151"/>
      <c r="QKR287" s="2151"/>
      <c r="QKS287" s="2151"/>
      <c r="QKT287" s="2151"/>
      <c r="QKU287" s="2151"/>
      <c r="QKV287" s="2151"/>
      <c r="QKW287" s="2151"/>
      <c r="QKX287" s="2151"/>
      <c r="QKY287" s="2151"/>
      <c r="QKZ287" s="2151"/>
      <c r="QLA287" s="2151"/>
      <c r="QLB287" s="2151"/>
      <c r="QLC287" s="2150"/>
      <c r="QLD287" s="2151"/>
      <c r="QLE287" s="2151"/>
      <c r="QLF287" s="2151"/>
      <c r="QLG287" s="2151"/>
      <c r="QLH287" s="2151"/>
      <c r="QLI287" s="2151"/>
      <c r="QLJ287" s="2151"/>
      <c r="QLK287" s="2151"/>
      <c r="QLL287" s="2151"/>
      <c r="QLM287" s="2151"/>
      <c r="QLN287" s="2151"/>
      <c r="QLO287" s="2151"/>
      <c r="QLP287" s="2151"/>
      <c r="QLQ287" s="2151"/>
      <c r="QLR287" s="2151"/>
      <c r="QLS287" s="2150"/>
      <c r="QLT287" s="2151"/>
      <c r="QLU287" s="2151"/>
      <c r="QLV287" s="2151"/>
      <c r="QLW287" s="2151"/>
      <c r="QLX287" s="2151"/>
      <c r="QLY287" s="2151"/>
      <c r="QLZ287" s="2151"/>
      <c r="QMA287" s="2151"/>
      <c r="QMB287" s="2151"/>
      <c r="QMC287" s="2151"/>
      <c r="QMD287" s="2151"/>
      <c r="QME287" s="2151"/>
      <c r="QMF287" s="2151"/>
      <c r="QMG287" s="2151"/>
      <c r="QMH287" s="2151"/>
      <c r="QMI287" s="2150"/>
      <c r="QMJ287" s="2151"/>
      <c r="QMK287" s="2151"/>
      <c r="QML287" s="2151"/>
      <c r="QMM287" s="2151"/>
      <c r="QMN287" s="2151"/>
      <c r="QMO287" s="2151"/>
      <c r="QMP287" s="2151"/>
      <c r="QMQ287" s="2151"/>
      <c r="QMR287" s="2151"/>
      <c r="QMS287" s="2151"/>
      <c r="QMT287" s="2151"/>
      <c r="QMU287" s="2151"/>
      <c r="QMV287" s="2151"/>
      <c r="QMW287" s="2151"/>
      <c r="QMX287" s="2151"/>
      <c r="QMY287" s="2150"/>
      <c r="QMZ287" s="2151"/>
      <c r="QNA287" s="2151"/>
      <c r="QNB287" s="2151"/>
      <c r="QNC287" s="2151"/>
      <c r="QND287" s="2151"/>
      <c r="QNE287" s="2151"/>
      <c r="QNF287" s="2151"/>
      <c r="QNG287" s="2151"/>
      <c r="QNH287" s="2151"/>
      <c r="QNI287" s="2151"/>
      <c r="QNJ287" s="2151"/>
      <c r="QNK287" s="2151"/>
      <c r="QNL287" s="2151"/>
      <c r="QNM287" s="2151"/>
      <c r="QNN287" s="2151"/>
      <c r="QNO287" s="2150"/>
      <c r="QNP287" s="2151"/>
      <c r="QNQ287" s="2151"/>
      <c r="QNR287" s="2151"/>
      <c r="QNS287" s="2151"/>
      <c r="QNT287" s="2151"/>
      <c r="QNU287" s="2151"/>
      <c r="QNV287" s="2151"/>
      <c r="QNW287" s="2151"/>
      <c r="QNX287" s="2151"/>
      <c r="QNY287" s="2151"/>
      <c r="QNZ287" s="2151"/>
      <c r="QOA287" s="2151"/>
      <c r="QOB287" s="2151"/>
      <c r="QOC287" s="2151"/>
      <c r="QOD287" s="2151"/>
      <c r="QOE287" s="2150"/>
      <c r="QOF287" s="2151"/>
      <c r="QOG287" s="2151"/>
      <c r="QOH287" s="2151"/>
      <c r="QOI287" s="2151"/>
      <c r="QOJ287" s="2151"/>
      <c r="QOK287" s="2151"/>
      <c r="QOL287" s="2151"/>
      <c r="QOM287" s="2151"/>
      <c r="QON287" s="2151"/>
      <c r="QOO287" s="2151"/>
      <c r="QOP287" s="2151"/>
      <c r="QOQ287" s="2151"/>
      <c r="QOR287" s="2151"/>
      <c r="QOS287" s="2151"/>
      <c r="QOT287" s="2151"/>
      <c r="QOU287" s="2150"/>
      <c r="QOV287" s="2151"/>
      <c r="QOW287" s="2151"/>
      <c r="QOX287" s="2151"/>
      <c r="QOY287" s="2151"/>
      <c r="QOZ287" s="2151"/>
      <c r="QPA287" s="2151"/>
      <c r="QPB287" s="2151"/>
      <c r="QPC287" s="2151"/>
      <c r="QPD287" s="2151"/>
      <c r="QPE287" s="2151"/>
      <c r="QPF287" s="2151"/>
      <c r="QPG287" s="2151"/>
      <c r="QPH287" s="2151"/>
      <c r="QPI287" s="2151"/>
      <c r="QPJ287" s="2151"/>
      <c r="QPK287" s="2150"/>
      <c r="QPL287" s="2151"/>
      <c r="QPM287" s="2151"/>
      <c r="QPN287" s="2151"/>
      <c r="QPO287" s="2151"/>
      <c r="QPP287" s="2151"/>
      <c r="QPQ287" s="2151"/>
      <c r="QPR287" s="2151"/>
      <c r="QPS287" s="2151"/>
      <c r="QPT287" s="2151"/>
      <c r="QPU287" s="2151"/>
      <c r="QPV287" s="2151"/>
      <c r="QPW287" s="2151"/>
      <c r="QPX287" s="2151"/>
      <c r="QPY287" s="2151"/>
      <c r="QPZ287" s="2151"/>
      <c r="QQA287" s="2150"/>
      <c r="QQB287" s="2151"/>
      <c r="QQC287" s="2151"/>
      <c r="QQD287" s="2151"/>
      <c r="QQE287" s="2151"/>
      <c r="QQF287" s="2151"/>
      <c r="QQG287" s="2151"/>
      <c r="QQH287" s="2151"/>
      <c r="QQI287" s="2151"/>
      <c r="QQJ287" s="2151"/>
      <c r="QQK287" s="2151"/>
      <c r="QQL287" s="2151"/>
      <c r="QQM287" s="2151"/>
      <c r="QQN287" s="2151"/>
      <c r="QQO287" s="2151"/>
      <c r="QQP287" s="2151"/>
      <c r="QQQ287" s="2150"/>
      <c r="QQR287" s="2151"/>
      <c r="QQS287" s="2151"/>
      <c r="QQT287" s="2151"/>
      <c r="QQU287" s="2151"/>
      <c r="QQV287" s="2151"/>
      <c r="QQW287" s="2151"/>
      <c r="QQX287" s="2151"/>
      <c r="QQY287" s="2151"/>
      <c r="QQZ287" s="2151"/>
      <c r="QRA287" s="2151"/>
      <c r="QRB287" s="2151"/>
      <c r="QRC287" s="2151"/>
      <c r="QRD287" s="2151"/>
      <c r="QRE287" s="2151"/>
      <c r="QRF287" s="2151"/>
      <c r="QRG287" s="2150"/>
      <c r="QRH287" s="2151"/>
      <c r="QRI287" s="2151"/>
      <c r="QRJ287" s="2151"/>
      <c r="QRK287" s="2151"/>
      <c r="QRL287" s="2151"/>
      <c r="QRM287" s="2151"/>
      <c r="QRN287" s="2151"/>
      <c r="QRO287" s="2151"/>
      <c r="QRP287" s="2151"/>
      <c r="QRQ287" s="2151"/>
      <c r="QRR287" s="2151"/>
      <c r="QRS287" s="2151"/>
      <c r="QRT287" s="2151"/>
      <c r="QRU287" s="2151"/>
      <c r="QRV287" s="2151"/>
      <c r="QRW287" s="2150"/>
      <c r="QRX287" s="2151"/>
      <c r="QRY287" s="2151"/>
      <c r="QRZ287" s="2151"/>
      <c r="QSA287" s="2151"/>
      <c r="QSB287" s="2151"/>
      <c r="QSC287" s="2151"/>
      <c r="QSD287" s="2151"/>
      <c r="QSE287" s="2151"/>
      <c r="QSF287" s="2151"/>
      <c r="QSG287" s="2151"/>
      <c r="QSH287" s="2151"/>
      <c r="QSI287" s="2151"/>
      <c r="QSJ287" s="2151"/>
      <c r="QSK287" s="2151"/>
      <c r="QSL287" s="2151"/>
      <c r="QSM287" s="2150"/>
      <c r="QSN287" s="2151"/>
      <c r="QSO287" s="2151"/>
      <c r="QSP287" s="2151"/>
      <c r="QSQ287" s="2151"/>
      <c r="QSR287" s="2151"/>
      <c r="QSS287" s="2151"/>
      <c r="QST287" s="2151"/>
      <c r="QSU287" s="2151"/>
      <c r="QSV287" s="2151"/>
      <c r="QSW287" s="2151"/>
      <c r="QSX287" s="2151"/>
      <c r="QSY287" s="2151"/>
      <c r="QSZ287" s="2151"/>
      <c r="QTA287" s="2151"/>
      <c r="QTB287" s="2151"/>
      <c r="QTC287" s="2150"/>
      <c r="QTD287" s="2151"/>
      <c r="QTE287" s="2151"/>
      <c r="QTF287" s="2151"/>
      <c r="QTG287" s="2151"/>
      <c r="QTH287" s="2151"/>
      <c r="QTI287" s="2151"/>
      <c r="QTJ287" s="2151"/>
      <c r="QTK287" s="2151"/>
      <c r="QTL287" s="2151"/>
      <c r="QTM287" s="2151"/>
      <c r="QTN287" s="2151"/>
      <c r="QTO287" s="2151"/>
      <c r="QTP287" s="2151"/>
      <c r="QTQ287" s="2151"/>
      <c r="QTR287" s="2151"/>
      <c r="QTS287" s="2150"/>
      <c r="QTT287" s="2151"/>
      <c r="QTU287" s="2151"/>
      <c r="QTV287" s="2151"/>
      <c r="QTW287" s="2151"/>
      <c r="QTX287" s="2151"/>
      <c r="QTY287" s="2151"/>
      <c r="QTZ287" s="2151"/>
      <c r="QUA287" s="2151"/>
      <c r="QUB287" s="2151"/>
      <c r="QUC287" s="2151"/>
      <c r="QUD287" s="2151"/>
      <c r="QUE287" s="2151"/>
      <c r="QUF287" s="2151"/>
      <c r="QUG287" s="2151"/>
      <c r="QUH287" s="2151"/>
      <c r="QUI287" s="2150"/>
      <c r="QUJ287" s="2151"/>
      <c r="QUK287" s="2151"/>
      <c r="QUL287" s="2151"/>
      <c r="QUM287" s="2151"/>
      <c r="QUN287" s="2151"/>
      <c r="QUO287" s="2151"/>
      <c r="QUP287" s="2151"/>
      <c r="QUQ287" s="2151"/>
      <c r="QUR287" s="2151"/>
      <c r="QUS287" s="2151"/>
      <c r="QUT287" s="2151"/>
      <c r="QUU287" s="2151"/>
      <c r="QUV287" s="2151"/>
      <c r="QUW287" s="2151"/>
      <c r="QUX287" s="2151"/>
      <c r="QUY287" s="2150"/>
      <c r="QUZ287" s="2151"/>
      <c r="QVA287" s="2151"/>
      <c r="QVB287" s="2151"/>
      <c r="QVC287" s="2151"/>
      <c r="QVD287" s="2151"/>
      <c r="QVE287" s="2151"/>
      <c r="QVF287" s="2151"/>
      <c r="QVG287" s="2151"/>
      <c r="QVH287" s="2151"/>
      <c r="QVI287" s="2151"/>
      <c r="QVJ287" s="2151"/>
      <c r="QVK287" s="2151"/>
      <c r="QVL287" s="2151"/>
      <c r="QVM287" s="2151"/>
      <c r="QVN287" s="2151"/>
      <c r="QVO287" s="2150"/>
      <c r="QVP287" s="2151"/>
      <c r="QVQ287" s="2151"/>
      <c r="QVR287" s="2151"/>
      <c r="QVS287" s="2151"/>
      <c r="QVT287" s="2151"/>
      <c r="QVU287" s="2151"/>
      <c r="QVV287" s="2151"/>
      <c r="QVW287" s="2151"/>
      <c r="QVX287" s="2151"/>
      <c r="QVY287" s="2151"/>
      <c r="QVZ287" s="2151"/>
      <c r="QWA287" s="2151"/>
      <c r="QWB287" s="2151"/>
      <c r="QWC287" s="2151"/>
      <c r="QWD287" s="2151"/>
      <c r="QWE287" s="2150"/>
      <c r="QWF287" s="2151"/>
      <c r="QWG287" s="2151"/>
      <c r="QWH287" s="2151"/>
      <c r="QWI287" s="2151"/>
      <c r="QWJ287" s="2151"/>
      <c r="QWK287" s="2151"/>
      <c r="QWL287" s="2151"/>
      <c r="QWM287" s="2151"/>
      <c r="QWN287" s="2151"/>
      <c r="QWO287" s="2151"/>
      <c r="QWP287" s="2151"/>
      <c r="QWQ287" s="2151"/>
      <c r="QWR287" s="2151"/>
      <c r="QWS287" s="2151"/>
      <c r="QWT287" s="2151"/>
      <c r="QWU287" s="2150"/>
      <c r="QWV287" s="2151"/>
      <c r="QWW287" s="2151"/>
      <c r="QWX287" s="2151"/>
      <c r="QWY287" s="2151"/>
      <c r="QWZ287" s="2151"/>
      <c r="QXA287" s="2151"/>
      <c r="QXB287" s="2151"/>
      <c r="QXC287" s="2151"/>
      <c r="QXD287" s="2151"/>
      <c r="QXE287" s="2151"/>
      <c r="QXF287" s="2151"/>
      <c r="QXG287" s="2151"/>
      <c r="QXH287" s="2151"/>
      <c r="QXI287" s="2151"/>
      <c r="QXJ287" s="2151"/>
      <c r="QXK287" s="2150"/>
      <c r="QXL287" s="2151"/>
      <c r="QXM287" s="2151"/>
      <c r="QXN287" s="2151"/>
      <c r="QXO287" s="2151"/>
      <c r="QXP287" s="2151"/>
      <c r="QXQ287" s="2151"/>
      <c r="QXR287" s="2151"/>
      <c r="QXS287" s="2151"/>
      <c r="QXT287" s="2151"/>
      <c r="QXU287" s="2151"/>
      <c r="QXV287" s="2151"/>
      <c r="QXW287" s="2151"/>
      <c r="QXX287" s="2151"/>
      <c r="QXY287" s="2151"/>
      <c r="QXZ287" s="2151"/>
      <c r="QYA287" s="2150"/>
      <c r="QYB287" s="2151"/>
      <c r="QYC287" s="2151"/>
      <c r="QYD287" s="2151"/>
      <c r="QYE287" s="2151"/>
      <c r="QYF287" s="2151"/>
      <c r="QYG287" s="2151"/>
      <c r="QYH287" s="2151"/>
      <c r="QYI287" s="2151"/>
      <c r="QYJ287" s="2151"/>
      <c r="QYK287" s="2151"/>
      <c r="QYL287" s="2151"/>
      <c r="QYM287" s="2151"/>
      <c r="QYN287" s="2151"/>
      <c r="QYO287" s="2151"/>
      <c r="QYP287" s="2151"/>
      <c r="QYQ287" s="2150"/>
      <c r="QYR287" s="2151"/>
      <c r="QYS287" s="2151"/>
      <c r="QYT287" s="2151"/>
      <c r="QYU287" s="2151"/>
      <c r="QYV287" s="2151"/>
      <c r="QYW287" s="2151"/>
      <c r="QYX287" s="2151"/>
      <c r="QYY287" s="2151"/>
      <c r="QYZ287" s="2151"/>
      <c r="QZA287" s="2151"/>
      <c r="QZB287" s="2151"/>
      <c r="QZC287" s="2151"/>
      <c r="QZD287" s="2151"/>
      <c r="QZE287" s="2151"/>
      <c r="QZF287" s="2151"/>
      <c r="QZG287" s="2150"/>
      <c r="QZH287" s="2151"/>
      <c r="QZI287" s="2151"/>
      <c r="QZJ287" s="2151"/>
      <c r="QZK287" s="2151"/>
      <c r="QZL287" s="2151"/>
      <c r="QZM287" s="2151"/>
      <c r="QZN287" s="2151"/>
      <c r="QZO287" s="2151"/>
      <c r="QZP287" s="2151"/>
      <c r="QZQ287" s="2151"/>
      <c r="QZR287" s="2151"/>
      <c r="QZS287" s="2151"/>
      <c r="QZT287" s="2151"/>
      <c r="QZU287" s="2151"/>
      <c r="QZV287" s="2151"/>
      <c r="QZW287" s="2150"/>
      <c r="QZX287" s="2151"/>
      <c r="QZY287" s="2151"/>
      <c r="QZZ287" s="2151"/>
      <c r="RAA287" s="2151"/>
      <c r="RAB287" s="2151"/>
      <c r="RAC287" s="2151"/>
      <c r="RAD287" s="2151"/>
      <c r="RAE287" s="2151"/>
      <c r="RAF287" s="2151"/>
      <c r="RAG287" s="2151"/>
      <c r="RAH287" s="2151"/>
      <c r="RAI287" s="2151"/>
      <c r="RAJ287" s="2151"/>
      <c r="RAK287" s="2151"/>
      <c r="RAL287" s="2151"/>
      <c r="RAM287" s="2150"/>
      <c r="RAN287" s="2151"/>
      <c r="RAO287" s="2151"/>
      <c r="RAP287" s="2151"/>
      <c r="RAQ287" s="2151"/>
      <c r="RAR287" s="2151"/>
      <c r="RAS287" s="2151"/>
      <c r="RAT287" s="2151"/>
      <c r="RAU287" s="2151"/>
      <c r="RAV287" s="2151"/>
      <c r="RAW287" s="2151"/>
      <c r="RAX287" s="2151"/>
      <c r="RAY287" s="2151"/>
      <c r="RAZ287" s="2151"/>
      <c r="RBA287" s="2151"/>
      <c r="RBB287" s="2151"/>
      <c r="RBC287" s="2150"/>
      <c r="RBD287" s="2151"/>
      <c r="RBE287" s="2151"/>
      <c r="RBF287" s="2151"/>
      <c r="RBG287" s="2151"/>
      <c r="RBH287" s="2151"/>
      <c r="RBI287" s="2151"/>
      <c r="RBJ287" s="2151"/>
      <c r="RBK287" s="2151"/>
      <c r="RBL287" s="2151"/>
      <c r="RBM287" s="2151"/>
      <c r="RBN287" s="2151"/>
      <c r="RBO287" s="2151"/>
      <c r="RBP287" s="2151"/>
      <c r="RBQ287" s="2151"/>
      <c r="RBR287" s="2151"/>
      <c r="RBS287" s="2150"/>
      <c r="RBT287" s="2151"/>
      <c r="RBU287" s="2151"/>
      <c r="RBV287" s="2151"/>
      <c r="RBW287" s="2151"/>
      <c r="RBX287" s="2151"/>
      <c r="RBY287" s="2151"/>
      <c r="RBZ287" s="2151"/>
      <c r="RCA287" s="2151"/>
      <c r="RCB287" s="2151"/>
      <c r="RCC287" s="2151"/>
      <c r="RCD287" s="2151"/>
      <c r="RCE287" s="2151"/>
      <c r="RCF287" s="2151"/>
      <c r="RCG287" s="2151"/>
      <c r="RCH287" s="2151"/>
      <c r="RCI287" s="2150"/>
      <c r="RCJ287" s="2151"/>
      <c r="RCK287" s="2151"/>
      <c r="RCL287" s="2151"/>
      <c r="RCM287" s="2151"/>
      <c r="RCN287" s="2151"/>
      <c r="RCO287" s="2151"/>
      <c r="RCP287" s="2151"/>
      <c r="RCQ287" s="2151"/>
      <c r="RCR287" s="2151"/>
      <c r="RCS287" s="2151"/>
      <c r="RCT287" s="2151"/>
      <c r="RCU287" s="2151"/>
      <c r="RCV287" s="2151"/>
      <c r="RCW287" s="2151"/>
      <c r="RCX287" s="2151"/>
      <c r="RCY287" s="2150"/>
      <c r="RCZ287" s="2151"/>
      <c r="RDA287" s="2151"/>
      <c r="RDB287" s="2151"/>
      <c r="RDC287" s="2151"/>
      <c r="RDD287" s="2151"/>
      <c r="RDE287" s="2151"/>
      <c r="RDF287" s="2151"/>
      <c r="RDG287" s="2151"/>
      <c r="RDH287" s="2151"/>
      <c r="RDI287" s="2151"/>
      <c r="RDJ287" s="2151"/>
      <c r="RDK287" s="2151"/>
      <c r="RDL287" s="2151"/>
      <c r="RDM287" s="2151"/>
      <c r="RDN287" s="2151"/>
      <c r="RDO287" s="2150"/>
      <c r="RDP287" s="2151"/>
      <c r="RDQ287" s="2151"/>
      <c r="RDR287" s="2151"/>
      <c r="RDS287" s="2151"/>
      <c r="RDT287" s="2151"/>
      <c r="RDU287" s="2151"/>
      <c r="RDV287" s="2151"/>
      <c r="RDW287" s="2151"/>
      <c r="RDX287" s="2151"/>
      <c r="RDY287" s="2151"/>
      <c r="RDZ287" s="2151"/>
      <c r="REA287" s="2151"/>
      <c r="REB287" s="2151"/>
      <c r="REC287" s="2151"/>
      <c r="RED287" s="2151"/>
      <c r="REE287" s="2150"/>
      <c r="REF287" s="2151"/>
      <c r="REG287" s="2151"/>
      <c r="REH287" s="2151"/>
      <c r="REI287" s="2151"/>
      <c r="REJ287" s="2151"/>
      <c r="REK287" s="2151"/>
      <c r="REL287" s="2151"/>
      <c r="REM287" s="2151"/>
      <c r="REN287" s="2151"/>
      <c r="REO287" s="2151"/>
      <c r="REP287" s="2151"/>
      <c r="REQ287" s="2151"/>
      <c r="RER287" s="2151"/>
      <c r="RES287" s="2151"/>
      <c r="RET287" s="2151"/>
      <c r="REU287" s="2150"/>
      <c r="REV287" s="2151"/>
      <c r="REW287" s="2151"/>
      <c r="REX287" s="2151"/>
      <c r="REY287" s="2151"/>
      <c r="REZ287" s="2151"/>
      <c r="RFA287" s="2151"/>
      <c r="RFB287" s="2151"/>
      <c r="RFC287" s="2151"/>
      <c r="RFD287" s="2151"/>
      <c r="RFE287" s="2151"/>
      <c r="RFF287" s="2151"/>
      <c r="RFG287" s="2151"/>
      <c r="RFH287" s="2151"/>
      <c r="RFI287" s="2151"/>
      <c r="RFJ287" s="2151"/>
      <c r="RFK287" s="2150"/>
      <c r="RFL287" s="2151"/>
      <c r="RFM287" s="2151"/>
      <c r="RFN287" s="2151"/>
      <c r="RFO287" s="2151"/>
      <c r="RFP287" s="2151"/>
      <c r="RFQ287" s="2151"/>
      <c r="RFR287" s="2151"/>
      <c r="RFS287" s="2151"/>
      <c r="RFT287" s="2151"/>
      <c r="RFU287" s="2151"/>
      <c r="RFV287" s="2151"/>
      <c r="RFW287" s="2151"/>
      <c r="RFX287" s="2151"/>
      <c r="RFY287" s="2151"/>
      <c r="RFZ287" s="2151"/>
      <c r="RGA287" s="2150"/>
      <c r="RGB287" s="2151"/>
      <c r="RGC287" s="2151"/>
      <c r="RGD287" s="2151"/>
      <c r="RGE287" s="2151"/>
      <c r="RGF287" s="2151"/>
      <c r="RGG287" s="2151"/>
      <c r="RGH287" s="2151"/>
      <c r="RGI287" s="2151"/>
      <c r="RGJ287" s="2151"/>
      <c r="RGK287" s="2151"/>
      <c r="RGL287" s="2151"/>
      <c r="RGM287" s="2151"/>
      <c r="RGN287" s="2151"/>
      <c r="RGO287" s="2151"/>
      <c r="RGP287" s="2151"/>
      <c r="RGQ287" s="2150"/>
      <c r="RGR287" s="2151"/>
      <c r="RGS287" s="2151"/>
      <c r="RGT287" s="2151"/>
      <c r="RGU287" s="2151"/>
      <c r="RGV287" s="2151"/>
      <c r="RGW287" s="2151"/>
      <c r="RGX287" s="2151"/>
      <c r="RGY287" s="2151"/>
      <c r="RGZ287" s="2151"/>
      <c r="RHA287" s="2151"/>
      <c r="RHB287" s="2151"/>
      <c r="RHC287" s="2151"/>
      <c r="RHD287" s="2151"/>
      <c r="RHE287" s="2151"/>
      <c r="RHF287" s="2151"/>
      <c r="RHG287" s="2150"/>
      <c r="RHH287" s="2151"/>
      <c r="RHI287" s="2151"/>
      <c r="RHJ287" s="2151"/>
      <c r="RHK287" s="2151"/>
      <c r="RHL287" s="2151"/>
      <c r="RHM287" s="2151"/>
      <c r="RHN287" s="2151"/>
      <c r="RHO287" s="2151"/>
      <c r="RHP287" s="2151"/>
      <c r="RHQ287" s="2151"/>
      <c r="RHR287" s="2151"/>
      <c r="RHS287" s="2151"/>
      <c r="RHT287" s="2151"/>
      <c r="RHU287" s="2151"/>
      <c r="RHV287" s="2151"/>
      <c r="RHW287" s="2150"/>
      <c r="RHX287" s="2151"/>
      <c r="RHY287" s="2151"/>
      <c r="RHZ287" s="2151"/>
      <c r="RIA287" s="2151"/>
      <c r="RIB287" s="2151"/>
      <c r="RIC287" s="2151"/>
      <c r="RID287" s="2151"/>
      <c r="RIE287" s="2151"/>
      <c r="RIF287" s="2151"/>
      <c r="RIG287" s="2151"/>
      <c r="RIH287" s="2151"/>
      <c r="RII287" s="2151"/>
      <c r="RIJ287" s="2151"/>
      <c r="RIK287" s="2151"/>
      <c r="RIL287" s="2151"/>
      <c r="RIM287" s="2150"/>
      <c r="RIN287" s="2151"/>
      <c r="RIO287" s="2151"/>
      <c r="RIP287" s="2151"/>
      <c r="RIQ287" s="2151"/>
      <c r="RIR287" s="2151"/>
      <c r="RIS287" s="2151"/>
      <c r="RIT287" s="2151"/>
      <c r="RIU287" s="2151"/>
      <c r="RIV287" s="2151"/>
      <c r="RIW287" s="2151"/>
      <c r="RIX287" s="2151"/>
      <c r="RIY287" s="2151"/>
      <c r="RIZ287" s="2151"/>
      <c r="RJA287" s="2151"/>
      <c r="RJB287" s="2151"/>
      <c r="RJC287" s="2150"/>
      <c r="RJD287" s="2151"/>
      <c r="RJE287" s="2151"/>
      <c r="RJF287" s="2151"/>
      <c r="RJG287" s="2151"/>
      <c r="RJH287" s="2151"/>
      <c r="RJI287" s="2151"/>
      <c r="RJJ287" s="2151"/>
      <c r="RJK287" s="2151"/>
      <c r="RJL287" s="2151"/>
      <c r="RJM287" s="2151"/>
      <c r="RJN287" s="2151"/>
      <c r="RJO287" s="2151"/>
      <c r="RJP287" s="2151"/>
      <c r="RJQ287" s="2151"/>
      <c r="RJR287" s="2151"/>
      <c r="RJS287" s="2150"/>
      <c r="RJT287" s="2151"/>
      <c r="RJU287" s="2151"/>
      <c r="RJV287" s="2151"/>
      <c r="RJW287" s="2151"/>
      <c r="RJX287" s="2151"/>
      <c r="RJY287" s="2151"/>
      <c r="RJZ287" s="2151"/>
      <c r="RKA287" s="2151"/>
      <c r="RKB287" s="2151"/>
      <c r="RKC287" s="2151"/>
      <c r="RKD287" s="2151"/>
      <c r="RKE287" s="2151"/>
      <c r="RKF287" s="2151"/>
      <c r="RKG287" s="2151"/>
      <c r="RKH287" s="2151"/>
      <c r="RKI287" s="2150"/>
      <c r="RKJ287" s="2151"/>
      <c r="RKK287" s="2151"/>
      <c r="RKL287" s="2151"/>
      <c r="RKM287" s="2151"/>
      <c r="RKN287" s="2151"/>
      <c r="RKO287" s="2151"/>
      <c r="RKP287" s="2151"/>
      <c r="RKQ287" s="2151"/>
      <c r="RKR287" s="2151"/>
      <c r="RKS287" s="2151"/>
      <c r="RKT287" s="2151"/>
      <c r="RKU287" s="2151"/>
      <c r="RKV287" s="2151"/>
      <c r="RKW287" s="2151"/>
      <c r="RKX287" s="2151"/>
      <c r="RKY287" s="2150"/>
      <c r="RKZ287" s="2151"/>
      <c r="RLA287" s="2151"/>
      <c r="RLB287" s="2151"/>
      <c r="RLC287" s="2151"/>
      <c r="RLD287" s="2151"/>
      <c r="RLE287" s="2151"/>
      <c r="RLF287" s="2151"/>
      <c r="RLG287" s="2151"/>
      <c r="RLH287" s="2151"/>
      <c r="RLI287" s="2151"/>
      <c r="RLJ287" s="2151"/>
      <c r="RLK287" s="2151"/>
      <c r="RLL287" s="2151"/>
      <c r="RLM287" s="2151"/>
      <c r="RLN287" s="2151"/>
      <c r="RLO287" s="2150"/>
      <c r="RLP287" s="2151"/>
      <c r="RLQ287" s="2151"/>
      <c r="RLR287" s="2151"/>
      <c r="RLS287" s="2151"/>
      <c r="RLT287" s="2151"/>
      <c r="RLU287" s="2151"/>
      <c r="RLV287" s="2151"/>
      <c r="RLW287" s="2151"/>
      <c r="RLX287" s="2151"/>
      <c r="RLY287" s="2151"/>
      <c r="RLZ287" s="2151"/>
      <c r="RMA287" s="2151"/>
      <c r="RMB287" s="2151"/>
      <c r="RMC287" s="2151"/>
      <c r="RMD287" s="2151"/>
      <c r="RME287" s="2150"/>
      <c r="RMF287" s="2151"/>
      <c r="RMG287" s="2151"/>
      <c r="RMH287" s="2151"/>
      <c r="RMI287" s="2151"/>
      <c r="RMJ287" s="2151"/>
      <c r="RMK287" s="2151"/>
      <c r="RML287" s="2151"/>
      <c r="RMM287" s="2151"/>
      <c r="RMN287" s="2151"/>
      <c r="RMO287" s="2151"/>
      <c r="RMP287" s="2151"/>
      <c r="RMQ287" s="2151"/>
      <c r="RMR287" s="2151"/>
      <c r="RMS287" s="2151"/>
      <c r="RMT287" s="2151"/>
      <c r="RMU287" s="2150"/>
      <c r="RMV287" s="2151"/>
      <c r="RMW287" s="2151"/>
      <c r="RMX287" s="2151"/>
      <c r="RMY287" s="2151"/>
      <c r="RMZ287" s="2151"/>
      <c r="RNA287" s="2151"/>
      <c r="RNB287" s="2151"/>
      <c r="RNC287" s="2151"/>
      <c r="RND287" s="2151"/>
      <c r="RNE287" s="2151"/>
      <c r="RNF287" s="2151"/>
      <c r="RNG287" s="2151"/>
      <c r="RNH287" s="2151"/>
      <c r="RNI287" s="2151"/>
      <c r="RNJ287" s="2151"/>
      <c r="RNK287" s="2150"/>
      <c r="RNL287" s="2151"/>
      <c r="RNM287" s="2151"/>
      <c r="RNN287" s="2151"/>
      <c r="RNO287" s="2151"/>
      <c r="RNP287" s="2151"/>
      <c r="RNQ287" s="2151"/>
      <c r="RNR287" s="2151"/>
      <c r="RNS287" s="2151"/>
      <c r="RNT287" s="2151"/>
      <c r="RNU287" s="2151"/>
      <c r="RNV287" s="2151"/>
      <c r="RNW287" s="2151"/>
      <c r="RNX287" s="2151"/>
      <c r="RNY287" s="2151"/>
      <c r="RNZ287" s="2151"/>
      <c r="ROA287" s="2150"/>
      <c r="ROB287" s="2151"/>
      <c r="ROC287" s="2151"/>
      <c r="ROD287" s="2151"/>
      <c r="ROE287" s="2151"/>
      <c r="ROF287" s="2151"/>
      <c r="ROG287" s="2151"/>
      <c r="ROH287" s="2151"/>
      <c r="ROI287" s="2151"/>
      <c r="ROJ287" s="2151"/>
      <c r="ROK287" s="2151"/>
      <c r="ROL287" s="2151"/>
      <c r="ROM287" s="2151"/>
      <c r="RON287" s="2151"/>
      <c r="ROO287" s="2151"/>
      <c r="ROP287" s="2151"/>
      <c r="ROQ287" s="2150"/>
      <c r="ROR287" s="2151"/>
      <c r="ROS287" s="2151"/>
      <c r="ROT287" s="2151"/>
      <c r="ROU287" s="2151"/>
      <c r="ROV287" s="2151"/>
      <c r="ROW287" s="2151"/>
      <c r="ROX287" s="2151"/>
      <c r="ROY287" s="2151"/>
      <c r="ROZ287" s="2151"/>
      <c r="RPA287" s="2151"/>
      <c r="RPB287" s="2151"/>
      <c r="RPC287" s="2151"/>
      <c r="RPD287" s="2151"/>
      <c r="RPE287" s="2151"/>
      <c r="RPF287" s="2151"/>
      <c r="RPG287" s="2150"/>
      <c r="RPH287" s="2151"/>
      <c r="RPI287" s="2151"/>
      <c r="RPJ287" s="2151"/>
      <c r="RPK287" s="2151"/>
      <c r="RPL287" s="2151"/>
      <c r="RPM287" s="2151"/>
      <c r="RPN287" s="2151"/>
      <c r="RPO287" s="2151"/>
      <c r="RPP287" s="2151"/>
      <c r="RPQ287" s="2151"/>
      <c r="RPR287" s="2151"/>
      <c r="RPS287" s="2151"/>
      <c r="RPT287" s="2151"/>
      <c r="RPU287" s="2151"/>
      <c r="RPV287" s="2151"/>
      <c r="RPW287" s="2150"/>
      <c r="RPX287" s="2151"/>
      <c r="RPY287" s="2151"/>
      <c r="RPZ287" s="2151"/>
      <c r="RQA287" s="2151"/>
      <c r="RQB287" s="2151"/>
      <c r="RQC287" s="2151"/>
      <c r="RQD287" s="2151"/>
      <c r="RQE287" s="2151"/>
      <c r="RQF287" s="2151"/>
      <c r="RQG287" s="2151"/>
      <c r="RQH287" s="2151"/>
      <c r="RQI287" s="2151"/>
      <c r="RQJ287" s="2151"/>
      <c r="RQK287" s="2151"/>
      <c r="RQL287" s="2151"/>
      <c r="RQM287" s="2150"/>
      <c r="RQN287" s="2151"/>
      <c r="RQO287" s="2151"/>
      <c r="RQP287" s="2151"/>
      <c r="RQQ287" s="2151"/>
      <c r="RQR287" s="2151"/>
      <c r="RQS287" s="2151"/>
      <c r="RQT287" s="2151"/>
      <c r="RQU287" s="2151"/>
      <c r="RQV287" s="2151"/>
      <c r="RQW287" s="2151"/>
      <c r="RQX287" s="2151"/>
      <c r="RQY287" s="2151"/>
      <c r="RQZ287" s="2151"/>
      <c r="RRA287" s="2151"/>
      <c r="RRB287" s="2151"/>
      <c r="RRC287" s="2150"/>
      <c r="RRD287" s="2151"/>
      <c r="RRE287" s="2151"/>
      <c r="RRF287" s="2151"/>
      <c r="RRG287" s="2151"/>
      <c r="RRH287" s="2151"/>
      <c r="RRI287" s="2151"/>
      <c r="RRJ287" s="2151"/>
      <c r="RRK287" s="2151"/>
      <c r="RRL287" s="2151"/>
      <c r="RRM287" s="2151"/>
      <c r="RRN287" s="2151"/>
      <c r="RRO287" s="2151"/>
      <c r="RRP287" s="2151"/>
      <c r="RRQ287" s="2151"/>
      <c r="RRR287" s="2151"/>
      <c r="RRS287" s="2150"/>
      <c r="RRT287" s="2151"/>
      <c r="RRU287" s="2151"/>
      <c r="RRV287" s="2151"/>
      <c r="RRW287" s="2151"/>
      <c r="RRX287" s="2151"/>
      <c r="RRY287" s="2151"/>
      <c r="RRZ287" s="2151"/>
      <c r="RSA287" s="2151"/>
      <c r="RSB287" s="2151"/>
      <c r="RSC287" s="2151"/>
      <c r="RSD287" s="2151"/>
      <c r="RSE287" s="2151"/>
      <c r="RSF287" s="2151"/>
      <c r="RSG287" s="2151"/>
      <c r="RSH287" s="2151"/>
      <c r="RSI287" s="2150"/>
      <c r="RSJ287" s="2151"/>
      <c r="RSK287" s="2151"/>
      <c r="RSL287" s="2151"/>
      <c r="RSM287" s="2151"/>
      <c r="RSN287" s="2151"/>
      <c r="RSO287" s="2151"/>
      <c r="RSP287" s="2151"/>
      <c r="RSQ287" s="2151"/>
      <c r="RSR287" s="2151"/>
      <c r="RSS287" s="2151"/>
      <c r="RST287" s="2151"/>
      <c r="RSU287" s="2151"/>
      <c r="RSV287" s="2151"/>
      <c r="RSW287" s="2151"/>
      <c r="RSX287" s="2151"/>
      <c r="RSY287" s="2150"/>
      <c r="RSZ287" s="2151"/>
      <c r="RTA287" s="2151"/>
      <c r="RTB287" s="2151"/>
      <c r="RTC287" s="2151"/>
      <c r="RTD287" s="2151"/>
      <c r="RTE287" s="2151"/>
      <c r="RTF287" s="2151"/>
      <c r="RTG287" s="2151"/>
      <c r="RTH287" s="2151"/>
      <c r="RTI287" s="2151"/>
      <c r="RTJ287" s="2151"/>
      <c r="RTK287" s="2151"/>
      <c r="RTL287" s="2151"/>
      <c r="RTM287" s="2151"/>
      <c r="RTN287" s="2151"/>
      <c r="RTO287" s="2150"/>
      <c r="RTP287" s="2151"/>
      <c r="RTQ287" s="2151"/>
      <c r="RTR287" s="2151"/>
      <c r="RTS287" s="2151"/>
      <c r="RTT287" s="2151"/>
      <c r="RTU287" s="2151"/>
      <c r="RTV287" s="2151"/>
      <c r="RTW287" s="2151"/>
      <c r="RTX287" s="2151"/>
      <c r="RTY287" s="2151"/>
      <c r="RTZ287" s="2151"/>
      <c r="RUA287" s="2151"/>
      <c r="RUB287" s="2151"/>
      <c r="RUC287" s="2151"/>
      <c r="RUD287" s="2151"/>
      <c r="RUE287" s="2150"/>
      <c r="RUF287" s="2151"/>
      <c r="RUG287" s="2151"/>
      <c r="RUH287" s="2151"/>
      <c r="RUI287" s="2151"/>
      <c r="RUJ287" s="2151"/>
      <c r="RUK287" s="2151"/>
      <c r="RUL287" s="2151"/>
      <c r="RUM287" s="2151"/>
      <c r="RUN287" s="2151"/>
      <c r="RUO287" s="2151"/>
      <c r="RUP287" s="2151"/>
      <c r="RUQ287" s="2151"/>
      <c r="RUR287" s="2151"/>
      <c r="RUS287" s="2151"/>
      <c r="RUT287" s="2151"/>
      <c r="RUU287" s="2150"/>
      <c r="RUV287" s="2151"/>
      <c r="RUW287" s="2151"/>
      <c r="RUX287" s="2151"/>
      <c r="RUY287" s="2151"/>
      <c r="RUZ287" s="2151"/>
      <c r="RVA287" s="2151"/>
      <c r="RVB287" s="2151"/>
      <c r="RVC287" s="2151"/>
      <c r="RVD287" s="2151"/>
      <c r="RVE287" s="2151"/>
      <c r="RVF287" s="2151"/>
      <c r="RVG287" s="2151"/>
      <c r="RVH287" s="2151"/>
      <c r="RVI287" s="2151"/>
      <c r="RVJ287" s="2151"/>
      <c r="RVK287" s="2150"/>
      <c r="RVL287" s="2151"/>
      <c r="RVM287" s="2151"/>
      <c r="RVN287" s="2151"/>
      <c r="RVO287" s="2151"/>
      <c r="RVP287" s="2151"/>
      <c r="RVQ287" s="2151"/>
      <c r="RVR287" s="2151"/>
      <c r="RVS287" s="2151"/>
      <c r="RVT287" s="2151"/>
      <c r="RVU287" s="2151"/>
      <c r="RVV287" s="2151"/>
      <c r="RVW287" s="2151"/>
      <c r="RVX287" s="2151"/>
      <c r="RVY287" s="2151"/>
      <c r="RVZ287" s="2151"/>
      <c r="RWA287" s="2150"/>
      <c r="RWB287" s="2151"/>
      <c r="RWC287" s="2151"/>
      <c r="RWD287" s="2151"/>
      <c r="RWE287" s="2151"/>
      <c r="RWF287" s="2151"/>
      <c r="RWG287" s="2151"/>
      <c r="RWH287" s="2151"/>
      <c r="RWI287" s="2151"/>
      <c r="RWJ287" s="2151"/>
      <c r="RWK287" s="2151"/>
      <c r="RWL287" s="2151"/>
      <c r="RWM287" s="2151"/>
      <c r="RWN287" s="2151"/>
      <c r="RWO287" s="2151"/>
      <c r="RWP287" s="2151"/>
      <c r="RWQ287" s="2150"/>
      <c r="RWR287" s="2151"/>
      <c r="RWS287" s="2151"/>
      <c r="RWT287" s="2151"/>
      <c r="RWU287" s="2151"/>
      <c r="RWV287" s="2151"/>
      <c r="RWW287" s="2151"/>
      <c r="RWX287" s="2151"/>
      <c r="RWY287" s="2151"/>
      <c r="RWZ287" s="2151"/>
      <c r="RXA287" s="2151"/>
      <c r="RXB287" s="2151"/>
      <c r="RXC287" s="2151"/>
      <c r="RXD287" s="2151"/>
      <c r="RXE287" s="2151"/>
      <c r="RXF287" s="2151"/>
      <c r="RXG287" s="2150"/>
      <c r="RXH287" s="2151"/>
      <c r="RXI287" s="2151"/>
      <c r="RXJ287" s="2151"/>
      <c r="RXK287" s="2151"/>
      <c r="RXL287" s="2151"/>
      <c r="RXM287" s="2151"/>
      <c r="RXN287" s="2151"/>
      <c r="RXO287" s="2151"/>
      <c r="RXP287" s="2151"/>
      <c r="RXQ287" s="2151"/>
      <c r="RXR287" s="2151"/>
      <c r="RXS287" s="2151"/>
      <c r="RXT287" s="2151"/>
      <c r="RXU287" s="2151"/>
      <c r="RXV287" s="2151"/>
      <c r="RXW287" s="2150"/>
      <c r="RXX287" s="2151"/>
      <c r="RXY287" s="2151"/>
      <c r="RXZ287" s="2151"/>
      <c r="RYA287" s="2151"/>
      <c r="RYB287" s="2151"/>
      <c r="RYC287" s="2151"/>
      <c r="RYD287" s="2151"/>
      <c r="RYE287" s="2151"/>
      <c r="RYF287" s="2151"/>
      <c r="RYG287" s="2151"/>
      <c r="RYH287" s="2151"/>
      <c r="RYI287" s="2151"/>
      <c r="RYJ287" s="2151"/>
      <c r="RYK287" s="2151"/>
      <c r="RYL287" s="2151"/>
      <c r="RYM287" s="2150"/>
      <c r="RYN287" s="2151"/>
      <c r="RYO287" s="2151"/>
      <c r="RYP287" s="2151"/>
      <c r="RYQ287" s="2151"/>
      <c r="RYR287" s="2151"/>
      <c r="RYS287" s="2151"/>
      <c r="RYT287" s="2151"/>
      <c r="RYU287" s="2151"/>
      <c r="RYV287" s="2151"/>
      <c r="RYW287" s="2151"/>
      <c r="RYX287" s="2151"/>
      <c r="RYY287" s="2151"/>
      <c r="RYZ287" s="2151"/>
      <c r="RZA287" s="2151"/>
      <c r="RZB287" s="2151"/>
      <c r="RZC287" s="2150"/>
      <c r="RZD287" s="2151"/>
      <c r="RZE287" s="2151"/>
      <c r="RZF287" s="2151"/>
      <c r="RZG287" s="2151"/>
      <c r="RZH287" s="2151"/>
      <c r="RZI287" s="2151"/>
      <c r="RZJ287" s="2151"/>
      <c r="RZK287" s="2151"/>
      <c r="RZL287" s="2151"/>
      <c r="RZM287" s="2151"/>
      <c r="RZN287" s="2151"/>
      <c r="RZO287" s="2151"/>
      <c r="RZP287" s="2151"/>
      <c r="RZQ287" s="2151"/>
      <c r="RZR287" s="2151"/>
      <c r="RZS287" s="2150"/>
      <c r="RZT287" s="2151"/>
      <c r="RZU287" s="2151"/>
      <c r="RZV287" s="2151"/>
      <c r="RZW287" s="2151"/>
      <c r="RZX287" s="2151"/>
      <c r="RZY287" s="2151"/>
      <c r="RZZ287" s="2151"/>
      <c r="SAA287" s="2151"/>
      <c r="SAB287" s="2151"/>
      <c r="SAC287" s="2151"/>
      <c r="SAD287" s="2151"/>
      <c r="SAE287" s="2151"/>
      <c r="SAF287" s="2151"/>
      <c r="SAG287" s="2151"/>
      <c r="SAH287" s="2151"/>
      <c r="SAI287" s="2150"/>
      <c r="SAJ287" s="2151"/>
      <c r="SAK287" s="2151"/>
      <c r="SAL287" s="2151"/>
      <c r="SAM287" s="2151"/>
      <c r="SAN287" s="2151"/>
      <c r="SAO287" s="2151"/>
      <c r="SAP287" s="2151"/>
      <c r="SAQ287" s="2151"/>
      <c r="SAR287" s="2151"/>
      <c r="SAS287" s="2151"/>
      <c r="SAT287" s="2151"/>
      <c r="SAU287" s="2151"/>
      <c r="SAV287" s="2151"/>
      <c r="SAW287" s="2151"/>
      <c r="SAX287" s="2151"/>
      <c r="SAY287" s="2150"/>
      <c r="SAZ287" s="2151"/>
      <c r="SBA287" s="2151"/>
      <c r="SBB287" s="2151"/>
      <c r="SBC287" s="2151"/>
      <c r="SBD287" s="2151"/>
      <c r="SBE287" s="2151"/>
      <c r="SBF287" s="2151"/>
      <c r="SBG287" s="2151"/>
      <c r="SBH287" s="2151"/>
      <c r="SBI287" s="2151"/>
      <c r="SBJ287" s="2151"/>
      <c r="SBK287" s="2151"/>
      <c r="SBL287" s="2151"/>
      <c r="SBM287" s="2151"/>
      <c r="SBN287" s="2151"/>
      <c r="SBO287" s="2150"/>
      <c r="SBP287" s="2151"/>
      <c r="SBQ287" s="2151"/>
      <c r="SBR287" s="2151"/>
      <c r="SBS287" s="2151"/>
      <c r="SBT287" s="2151"/>
      <c r="SBU287" s="2151"/>
      <c r="SBV287" s="2151"/>
      <c r="SBW287" s="2151"/>
      <c r="SBX287" s="2151"/>
      <c r="SBY287" s="2151"/>
      <c r="SBZ287" s="2151"/>
      <c r="SCA287" s="2151"/>
      <c r="SCB287" s="2151"/>
      <c r="SCC287" s="2151"/>
      <c r="SCD287" s="2151"/>
      <c r="SCE287" s="2150"/>
      <c r="SCF287" s="2151"/>
      <c r="SCG287" s="2151"/>
      <c r="SCH287" s="2151"/>
      <c r="SCI287" s="2151"/>
      <c r="SCJ287" s="2151"/>
      <c r="SCK287" s="2151"/>
      <c r="SCL287" s="2151"/>
      <c r="SCM287" s="2151"/>
      <c r="SCN287" s="2151"/>
      <c r="SCO287" s="2151"/>
      <c r="SCP287" s="2151"/>
      <c r="SCQ287" s="2151"/>
      <c r="SCR287" s="2151"/>
      <c r="SCS287" s="2151"/>
      <c r="SCT287" s="2151"/>
      <c r="SCU287" s="2150"/>
      <c r="SCV287" s="2151"/>
      <c r="SCW287" s="2151"/>
      <c r="SCX287" s="2151"/>
      <c r="SCY287" s="2151"/>
      <c r="SCZ287" s="2151"/>
      <c r="SDA287" s="2151"/>
      <c r="SDB287" s="2151"/>
      <c r="SDC287" s="2151"/>
      <c r="SDD287" s="2151"/>
      <c r="SDE287" s="2151"/>
      <c r="SDF287" s="2151"/>
      <c r="SDG287" s="2151"/>
      <c r="SDH287" s="2151"/>
      <c r="SDI287" s="2151"/>
      <c r="SDJ287" s="2151"/>
      <c r="SDK287" s="2150"/>
      <c r="SDL287" s="2151"/>
      <c r="SDM287" s="2151"/>
      <c r="SDN287" s="2151"/>
      <c r="SDO287" s="2151"/>
      <c r="SDP287" s="2151"/>
      <c r="SDQ287" s="2151"/>
      <c r="SDR287" s="2151"/>
      <c r="SDS287" s="2151"/>
      <c r="SDT287" s="2151"/>
      <c r="SDU287" s="2151"/>
      <c r="SDV287" s="2151"/>
      <c r="SDW287" s="2151"/>
      <c r="SDX287" s="2151"/>
      <c r="SDY287" s="2151"/>
      <c r="SDZ287" s="2151"/>
      <c r="SEA287" s="2150"/>
      <c r="SEB287" s="2151"/>
      <c r="SEC287" s="2151"/>
      <c r="SED287" s="2151"/>
      <c r="SEE287" s="2151"/>
      <c r="SEF287" s="2151"/>
      <c r="SEG287" s="2151"/>
      <c r="SEH287" s="2151"/>
      <c r="SEI287" s="2151"/>
      <c r="SEJ287" s="2151"/>
      <c r="SEK287" s="2151"/>
      <c r="SEL287" s="2151"/>
      <c r="SEM287" s="2151"/>
      <c r="SEN287" s="2151"/>
      <c r="SEO287" s="2151"/>
      <c r="SEP287" s="2151"/>
      <c r="SEQ287" s="2150"/>
      <c r="SER287" s="2151"/>
      <c r="SES287" s="2151"/>
      <c r="SET287" s="2151"/>
      <c r="SEU287" s="2151"/>
      <c r="SEV287" s="2151"/>
      <c r="SEW287" s="2151"/>
      <c r="SEX287" s="2151"/>
      <c r="SEY287" s="2151"/>
      <c r="SEZ287" s="2151"/>
      <c r="SFA287" s="2151"/>
      <c r="SFB287" s="2151"/>
      <c r="SFC287" s="2151"/>
      <c r="SFD287" s="2151"/>
      <c r="SFE287" s="2151"/>
      <c r="SFF287" s="2151"/>
      <c r="SFG287" s="2150"/>
      <c r="SFH287" s="2151"/>
      <c r="SFI287" s="2151"/>
      <c r="SFJ287" s="2151"/>
      <c r="SFK287" s="2151"/>
      <c r="SFL287" s="2151"/>
      <c r="SFM287" s="2151"/>
      <c r="SFN287" s="2151"/>
      <c r="SFO287" s="2151"/>
      <c r="SFP287" s="2151"/>
      <c r="SFQ287" s="2151"/>
      <c r="SFR287" s="2151"/>
      <c r="SFS287" s="2151"/>
      <c r="SFT287" s="2151"/>
      <c r="SFU287" s="2151"/>
      <c r="SFV287" s="2151"/>
      <c r="SFW287" s="2150"/>
      <c r="SFX287" s="2151"/>
      <c r="SFY287" s="2151"/>
      <c r="SFZ287" s="2151"/>
      <c r="SGA287" s="2151"/>
      <c r="SGB287" s="2151"/>
      <c r="SGC287" s="2151"/>
      <c r="SGD287" s="2151"/>
      <c r="SGE287" s="2151"/>
      <c r="SGF287" s="2151"/>
      <c r="SGG287" s="2151"/>
      <c r="SGH287" s="2151"/>
      <c r="SGI287" s="2151"/>
      <c r="SGJ287" s="2151"/>
      <c r="SGK287" s="2151"/>
      <c r="SGL287" s="2151"/>
      <c r="SGM287" s="2150"/>
      <c r="SGN287" s="2151"/>
      <c r="SGO287" s="2151"/>
      <c r="SGP287" s="2151"/>
      <c r="SGQ287" s="2151"/>
      <c r="SGR287" s="2151"/>
      <c r="SGS287" s="2151"/>
      <c r="SGT287" s="2151"/>
      <c r="SGU287" s="2151"/>
      <c r="SGV287" s="2151"/>
      <c r="SGW287" s="2151"/>
      <c r="SGX287" s="2151"/>
      <c r="SGY287" s="2151"/>
      <c r="SGZ287" s="2151"/>
      <c r="SHA287" s="2151"/>
      <c r="SHB287" s="2151"/>
      <c r="SHC287" s="2150"/>
      <c r="SHD287" s="2151"/>
      <c r="SHE287" s="2151"/>
      <c r="SHF287" s="2151"/>
      <c r="SHG287" s="2151"/>
      <c r="SHH287" s="2151"/>
      <c r="SHI287" s="2151"/>
      <c r="SHJ287" s="2151"/>
      <c r="SHK287" s="2151"/>
      <c r="SHL287" s="2151"/>
      <c r="SHM287" s="2151"/>
      <c r="SHN287" s="2151"/>
      <c r="SHO287" s="2151"/>
      <c r="SHP287" s="2151"/>
      <c r="SHQ287" s="2151"/>
      <c r="SHR287" s="2151"/>
      <c r="SHS287" s="2150"/>
      <c r="SHT287" s="2151"/>
      <c r="SHU287" s="2151"/>
      <c r="SHV287" s="2151"/>
      <c r="SHW287" s="2151"/>
      <c r="SHX287" s="2151"/>
      <c r="SHY287" s="2151"/>
      <c r="SHZ287" s="2151"/>
      <c r="SIA287" s="2151"/>
      <c r="SIB287" s="2151"/>
      <c r="SIC287" s="2151"/>
      <c r="SID287" s="2151"/>
      <c r="SIE287" s="2151"/>
      <c r="SIF287" s="2151"/>
      <c r="SIG287" s="2151"/>
      <c r="SIH287" s="2151"/>
      <c r="SII287" s="2150"/>
      <c r="SIJ287" s="2151"/>
      <c r="SIK287" s="2151"/>
      <c r="SIL287" s="2151"/>
      <c r="SIM287" s="2151"/>
      <c r="SIN287" s="2151"/>
      <c r="SIO287" s="2151"/>
      <c r="SIP287" s="2151"/>
      <c r="SIQ287" s="2151"/>
      <c r="SIR287" s="2151"/>
      <c r="SIS287" s="2151"/>
      <c r="SIT287" s="2151"/>
      <c r="SIU287" s="2151"/>
      <c r="SIV287" s="2151"/>
      <c r="SIW287" s="2151"/>
      <c r="SIX287" s="2151"/>
      <c r="SIY287" s="2150"/>
      <c r="SIZ287" s="2151"/>
      <c r="SJA287" s="2151"/>
      <c r="SJB287" s="2151"/>
      <c r="SJC287" s="2151"/>
      <c r="SJD287" s="2151"/>
      <c r="SJE287" s="2151"/>
      <c r="SJF287" s="2151"/>
      <c r="SJG287" s="2151"/>
      <c r="SJH287" s="2151"/>
      <c r="SJI287" s="2151"/>
      <c r="SJJ287" s="2151"/>
      <c r="SJK287" s="2151"/>
      <c r="SJL287" s="2151"/>
      <c r="SJM287" s="2151"/>
      <c r="SJN287" s="2151"/>
      <c r="SJO287" s="2150"/>
      <c r="SJP287" s="2151"/>
      <c r="SJQ287" s="2151"/>
      <c r="SJR287" s="2151"/>
      <c r="SJS287" s="2151"/>
      <c r="SJT287" s="2151"/>
      <c r="SJU287" s="2151"/>
      <c r="SJV287" s="2151"/>
      <c r="SJW287" s="2151"/>
      <c r="SJX287" s="2151"/>
      <c r="SJY287" s="2151"/>
      <c r="SJZ287" s="2151"/>
      <c r="SKA287" s="2151"/>
      <c r="SKB287" s="2151"/>
      <c r="SKC287" s="2151"/>
      <c r="SKD287" s="2151"/>
      <c r="SKE287" s="2150"/>
      <c r="SKF287" s="2151"/>
      <c r="SKG287" s="2151"/>
      <c r="SKH287" s="2151"/>
      <c r="SKI287" s="2151"/>
      <c r="SKJ287" s="2151"/>
      <c r="SKK287" s="2151"/>
      <c r="SKL287" s="2151"/>
      <c r="SKM287" s="2151"/>
      <c r="SKN287" s="2151"/>
      <c r="SKO287" s="2151"/>
      <c r="SKP287" s="2151"/>
      <c r="SKQ287" s="2151"/>
      <c r="SKR287" s="2151"/>
      <c r="SKS287" s="2151"/>
      <c r="SKT287" s="2151"/>
      <c r="SKU287" s="2150"/>
      <c r="SKV287" s="2151"/>
      <c r="SKW287" s="2151"/>
      <c r="SKX287" s="2151"/>
      <c r="SKY287" s="2151"/>
      <c r="SKZ287" s="2151"/>
      <c r="SLA287" s="2151"/>
      <c r="SLB287" s="2151"/>
      <c r="SLC287" s="2151"/>
      <c r="SLD287" s="2151"/>
      <c r="SLE287" s="2151"/>
      <c r="SLF287" s="2151"/>
      <c r="SLG287" s="2151"/>
      <c r="SLH287" s="2151"/>
      <c r="SLI287" s="2151"/>
      <c r="SLJ287" s="2151"/>
      <c r="SLK287" s="2150"/>
      <c r="SLL287" s="2151"/>
      <c r="SLM287" s="2151"/>
      <c r="SLN287" s="2151"/>
      <c r="SLO287" s="2151"/>
      <c r="SLP287" s="2151"/>
      <c r="SLQ287" s="2151"/>
      <c r="SLR287" s="2151"/>
      <c r="SLS287" s="2151"/>
      <c r="SLT287" s="2151"/>
      <c r="SLU287" s="2151"/>
      <c r="SLV287" s="2151"/>
      <c r="SLW287" s="2151"/>
      <c r="SLX287" s="2151"/>
      <c r="SLY287" s="2151"/>
      <c r="SLZ287" s="2151"/>
      <c r="SMA287" s="2150"/>
      <c r="SMB287" s="2151"/>
      <c r="SMC287" s="2151"/>
      <c r="SMD287" s="2151"/>
      <c r="SME287" s="2151"/>
      <c r="SMF287" s="2151"/>
      <c r="SMG287" s="2151"/>
      <c r="SMH287" s="2151"/>
      <c r="SMI287" s="2151"/>
      <c r="SMJ287" s="2151"/>
      <c r="SMK287" s="2151"/>
      <c r="SML287" s="2151"/>
      <c r="SMM287" s="2151"/>
      <c r="SMN287" s="2151"/>
      <c r="SMO287" s="2151"/>
      <c r="SMP287" s="2151"/>
      <c r="SMQ287" s="2150"/>
      <c r="SMR287" s="2151"/>
      <c r="SMS287" s="2151"/>
      <c r="SMT287" s="2151"/>
      <c r="SMU287" s="2151"/>
      <c r="SMV287" s="2151"/>
      <c r="SMW287" s="2151"/>
      <c r="SMX287" s="2151"/>
      <c r="SMY287" s="2151"/>
      <c r="SMZ287" s="2151"/>
      <c r="SNA287" s="2151"/>
      <c r="SNB287" s="2151"/>
      <c r="SNC287" s="2151"/>
      <c r="SND287" s="2151"/>
      <c r="SNE287" s="2151"/>
      <c r="SNF287" s="2151"/>
      <c r="SNG287" s="2150"/>
      <c r="SNH287" s="2151"/>
      <c r="SNI287" s="2151"/>
      <c r="SNJ287" s="2151"/>
      <c r="SNK287" s="2151"/>
      <c r="SNL287" s="2151"/>
      <c r="SNM287" s="2151"/>
      <c r="SNN287" s="2151"/>
      <c r="SNO287" s="2151"/>
      <c r="SNP287" s="2151"/>
      <c r="SNQ287" s="2151"/>
      <c r="SNR287" s="2151"/>
      <c r="SNS287" s="2151"/>
      <c r="SNT287" s="2151"/>
      <c r="SNU287" s="2151"/>
      <c r="SNV287" s="2151"/>
      <c r="SNW287" s="2150"/>
      <c r="SNX287" s="2151"/>
      <c r="SNY287" s="2151"/>
      <c r="SNZ287" s="2151"/>
      <c r="SOA287" s="2151"/>
      <c r="SOB287" s="2151"/>
      <c r="SOC287" s="2151"/>
      <c r="SOD287" s="2151"/>
      <c r="SOE287" s="2151"/>
      <c r="SOF287" s="2151"/>
      <c r="SOG287" s="2151"/>
      <c r="SOH287" s="2151"/>
      <c r="SOI287" s="2151"/>
      <c r="SOJ287" s="2151"/>
      <c r="SOK287" s="2151"/>
      <c r="SOL287" s="2151"/>
      <c r="SOM287" s="2150"/>
      <c r="SON287" s="2151"/>
      <c r="SOO287" s="2151"/>
      <c r="SOP287" s="2151"/>
      <c r="SOQ287" s="2151"/>
      <c r="SOR287" s="2151"/>
      <c r="SOS287" s="2151"/>
      <c r="SOT287" s="2151"/>
      <c r="SOU287" s="2151"/>
      <c r="SOV287" s="2151"/>
      <c r="SOW287" s="2151"/>
      <c r="SOX287" s="2151"/>
      <c r="SOY287" s="2151"/>
      <c r="SOZ287" s="2151"/>
      <c r="SPA287" s="2151"/>
      <c r="SPB287" s="2151"/>
      <c r="SPC287" s="2150"/>
      <c r="SPD287" s="2151"/>
      <c r="SPE287" s="2151"/>
      <c r="SPF287" s="2151"/>
      <c r="SPG287" s="2151"/>
      <c r="SPH287" s="2151"/>
      <c r="SPI287" s="2151"/>
      <c r="SPJ287" s="2151"/>
      <c r="SPK287" s="2151"/>
      <c r="SPL287" s="2151"/>
      <c r="SPM287" s="2151"/>
      <c r="SPN287" s="2151"/>
      <c r="SPO287" s="2151"/>
      <c r="SPP287" s="2151"/>
      <c r="SPQ287" s="2151"/>
      <c r="SPR287" s="2151"/>
      <c r="SPS287" s="2150"/>
      <c r="SPT287" s="2151"/>
      <c r="SPU287" s="2151"/>
      <c r="SPV287" s="2151"/>
      <c r="SPW287" s="2151"/>
      <c r="SPX287" s="2151"/>
      <c r="SPY287" s="2151"/>
      <c r="SPZ287" s="2151"/>
      <c r="SQA287" s="2151"/>
      <c r="SQB287" s="2151"/>
      <c r="SQC287" s="2151"/>
      <c r="SQD287" s="2151"/>
      <c r="SQE287" s="2151"/>
      <c r="SQF287" s="2151"/>
      <c r="SQG287" s="2151"/>
      <c r="SQH287" s="2151"/>
      <c r="SQI287" s="2150"/>
      <c r="SQJ287" s="2151"/>
      <c r="SQK287" s="2151"/>
      <c r="SQL287" s="2151"/>
      <c r="SQM287" s="2151"/>
      <c r="SQN287" s="2151"/>
      <c r="SQO287" s="2151"/>
      <c r="SQP287" s="2151"/>
      <c r="SQQ287" s="2151"/>
      <c r="SQR287" s="2151"/>
      <c r="SQS287" s="2151"/>
      <c r="SQT287" s="2151"/>
      <c r="SQU287" s="2151"/>
      <c r="SQV287" s="2151"/>
      <c r="SQW287" s="2151"/>
      <c r="SQX287" s="2151"/>
      <c r="SQY287" s="2150"/>
      <c r="SQZ287" s="2151"/>
      <c r="SRA287" s="2151"/>
      <c r="SRB287" s="2151"/>
      <c r="SRC287" s="2151"/>
      <c r="SRD287" s="2151"/>
      <c r="SRE287" s="2151"/>
      <c r="SRF287" s="2151"/>
      <c r="SRG287" s="2151"/>
      <c r="SRH287" s="2151"/>
      <c r="SRI287" s="2151"/>
      <c r="SRJ287" s="2151"/>
      <c r="SRK287" s="2151"/>
      <c r="SRL287" s="2151"/>
      <c r="SRM287" s="2151"/>
      <c r="SRN287" s="2151"/>
      <c r="SRO287" s="2150"/>
      <c r="SRP287" s="2151"/>
      <c r="SRQ287" s="2151"/>
      <c r="SRR287" s="2151"/>
      <c r="SRS287" s="2151"/>
      <c r="SRT287" s="2151"/>
      <c r="SRU287" s="2151"/>
      <c r="SRV287" s="2151"/>
      <c r="SRW287" s="2151"/>
      <c r="SRX287" s="2151"/>
      <c r="SRY287" s="2151"/>
      <c r="SRZ287" s="2151"/>
      <c r="SSA287" s="2151"/>
      <c r="SSB287" s="2151"/>
      <c r="SSC287" s="2151"/>
      <c r="SSD287" s="2151"/>
      <c r="SSE287" s="2150"/>
      <c r="SSF287" s="2151"/>
      <c r="SSG287" s="2151"/>
      <c r="SSH287" s="2151"/>
      <c r="SSI287" s="2151"/>
      <c r="SSJ287" s="2151"/>
      <c r="SSK287" s="2151"/>
      <c r="SSL287" s="2151"/>
      <c r="SSM287" s="2151"/>
      <c r="SSN287" s="2151"/>
      <c r="SSO287" s="2151"/>
      <c r="SSP287" s="2151"/>
      <c r="SSQ287" s="2151"/>
      <c r="SSR287" s="2151"/>
      <c r="SSS287" s="2151"/>
      <c r="SST287" s="2151"/>
      <c r="SSU287" s="2150"/>
      <c r="SSV287" s="2151"/>
      <c r="SSW287" s="2151"/>
      <c r="SSX287" s="2151"/>
      <c r="SSY287" s="2151"/>
      <c r="SSZ287" s="2151"/>
      <c r="STA287" s="2151"/>
      <c r="STB287" s="2151"/>
      <c r="STC287" s="2151"/>
      <c r="STD287" s="2151"/>
      <c r="STE287" s="2151"/>
      <c r="STF287" s="2151"/>
      <c r="STG287" s="2151"/>
      <c r="STH287" s="2151"/>
      <c r="STI287" s="2151"/>
      <c r="STJ287" s="2151"/>
      <c r="STK287" s="2150"/>
      <c r="STL287" s="2151"/>
      <c r="STM287" s="2151"/>
      <c r="STN287" s="2151"/>
      <c r="STO287" s="2151"/>
      <c r="STP287" s="2151"/>
      <c r="STQ287" s="2151"/>
      <c r="STR287" s="2151"/>
      <c r="STS287" s="2151"/>
      <c r="STT287" s="2151"/>
      <c r="STU287" s="2151"/>
      <c r="STV287" s="2151"/>
      <c r="STW287" s="2151"/>
      <c r="STX287" s="2151"/>
      <c r="STY287" s="2151"/>
      <c r="STZ287" s="2151"/>
      <c r="SUA287" s="2150"/>
      <c r="SUB287" s="2151"/>
      <c r="SUC287" s="2151"/>
      <c r="SUD287" s="2151"/>
      <c r="SUE287" s="2151"/>
      <c r="SUF287" s="2151"/>
      <c r="SUG287" s="2151"/>
      <c r="SUH287" s="2151"/>
      <c r="SUI287" s="2151"/>
      <c r="SUJ287" s="2151"/>
      <c r="SUK287" s="2151"/>
      <c r="SUL287" s="2151"/>
      <c r="SUM287" s="2151"/>
      <c r="SUN287" s="2151"/>
      <c r="SUO287" s="2151"/>
      <c r="SUP287" s="2151"/>
      <c r="SUQ287" s="2150"/>
      <c r="SUR287" s="2151"/>
      <c r="SUS287" s="2151"/>
      <c r="SUT287" s="2151"/>
      <c r="SUU287" s="2151"/>
      <c r="SUV287" s="2151"/>
      <c r="SUW287" s="2151"/>
      <c r="SUX287" s="2151"/>
      <c r="SUY287" s="2151"/>
      <c r="SUZ287" s="2151"/>
      <c r="SVA287" s="2151"/>
      <c r="SVB287" s="2151"/>
      <c r="SVC287" s="2151"/>
      <c r="SVD287" s="2151"/>
      <c r="SVE287" s="2151"/>
      <c r="SVF287" s="2151"/>
      <c r="SVG287" s="2150"/>
      <c r="SVH287" s="2151"/>
      <c r="SVI287" s="2151"/>
      <c r="SVJ287" s="2151"/>
      <c r="SVK287" s="2151"/>
      <c r="SVL287" s="2151"/>
      <c r="SVM287" s="2151"/>
      <c r="SVN287" s="2151"/>
      <c r="SVO287" s="2151"/>
      <c r="SVP287" s="2151"/>
      <c r="SVQ287" s="2151"/>
      <c r="SVR287" s="2151"/>
      <c r="SVS287" s="2151"/>
      <c r="SVT287" s="2151"/>
      <c r="SVU287" s="2151"/>
      <c r="SVV287" s="2151"/>
      <c r="SVW287" s="2150"/>
      <c r="SVX287" s="2151"/>
      <c r="SVY287" s="2151"/>
      <c r="SVZ287" s="2151"/>
      <c r="SWA287" s="2151"/>
      <c r="SWB287" s="2151"/>
      <c r="SWC287" s="2151"/>
      <c r="SWD287" s="2151"/>
      <c r="SWE287" s="2151"/>
      <c r="SWF287" s="2151"/>
      <c r="SWG287" s="2151"/>
      <c r="SWH287" s="2151"/>
      <c r="SWI287" s="2151"/>
      <c r="SWJ287" s="2151"/>
      <c r="SWK287" s="2151"/>
      <c r="SWL287" s="2151"/>
      <c r="SWM287" s="2150"/>
      <c r="SWN287" s="2151"/>
      <c r="SWO287" s="2151"/>
      <c r="SWP287" s="2151"/>
      <c r="SWQ287" s="2151"/>
      <c r="SWR287" s="2151"/>
      <c r="SWS287" s="2151"/>
      <c r="SWT287" s="2151"/>
      <c r="SWU287" s="2151"/>
      <c r="SWV287" s="2151"/>
      <c r="SWW287" s="2151"/>
      <c r="SWX287" s="2151"/>
      <c r="SWY287" s="2151"/>
      <c r="SWZ287" s="2151"/>
      <c r="SXA287" s="2151"/>
      <c r="SXB287" s="2151"/>
      <c r="SXC287" s="2150"/>
      <c r="SXD287" s="2151"/>
      <c r="SXE287" s="2151"/>
      <c r="SXF287" s="2151"/>
      <c r="SXG287" s="2151"/>
      <c r="SXH287" s="2151"/>
      <c r="SXI287" s="2151"/>
      <c r="SXJ287" s="2151"/>
      <c r="SXK287" s="2151"/>
      <c r="SXL287" s="2151"/>
      <c r="SXM287" s="2151"/>
      <c r="SXN287" s="2151"/>
      <c r="SXO287" s="2151"/>
      <c r="SXP287" s="2151"/>
      <c r="SXQ287" s="2151"/>
      <c r="SXR287" s="2151"/>
      <c r="SXS287" s="2150"/>
      <c r="SXT287" s="2151"/>
      <c r="SXU287" s="2151"/>
      <c r="SXV287" s="2151"/>
      <c r="SXW287" s="2151"/>
      <c r="SXX287" s="2151"/>
      <c r="SXY287" s="2151"/>
      <c r="SXZ287" s="2151"/>
      <c r="SYA287" s="2151"/>
      <c r="SYB287" s="2151"/>
      <c r="SYC287" s="2151"/>
      <c r="SYD287" s="2151"/>
      <c r="SYE287" s="2151"/>
      <c r="SYF287" s="2151"/>
      <c r="SYG287" s="2151"/>
      <c r="SYH287" s="2151"/>
      <c r="SYI287" s="2150"/>
      <c r="SYJ287" s="2151"/>
      <c r="SYK287" s="2151"/>
      <c r="SYL287" s="2151"/>
      <c r="SYM287" s="2151"/>
      <c r="SYN287" s="2151"/>
      <c r="SYO287" s="2151"/>
      <c r="SYP287" s="2151"/>
      <c r="SYQ287" s="2151"/>
      <c r="SYR287" s="2151"/>
      <c r="SYS287" s="2151"/>
      <c r="SYT287" s="2151"/>
      <c r="SYU287" s="2151"/>
      <c r="SYV287" s="2151"/>
      <c r="SYW287" s="2151"/>
      <c r="SYX287" s="2151"/>
      <c r="SYY287" s="2150"/>
      <c r="SYZ287" s="2151"/>
      <c r="SZA287" s="2151"/>
      <c r="SZB287" s="2151"/>
      <c r="SZC287" s="2151"/>
      <c r="SZD287" s="2151"/>
      <c r="SZE287" s="2151"/>
      <c r="SZF287" s="2151"/>
      <c r="SZG287" s="2151"/>
      <c r="SZH287" s="2151"/>
      <c r="SZI287" s="2151"/>
      <c r="SZJ287" s="2151"/>
      <c r="SZK287" s="2151"/>
      <c r="SZL287" s="2151"/>
      <c r="SZM287" s="2151"/>
      <c r="SZN287" s="2151"/>
      <c r="SZO287" s="2150"/>
      <c r="SZP287" s="2151"/>
      <c r="SZQ287" s="2151"/>
      <c r="SZR287" s="2151"/>
      <c r="SZS287" s="2151"/>
      <c r="SZT287" s="2151"/>
      <c r="SZU287" s="2151"/>
      <c r="SZV287" s="2151"/>
      <c r="SZW287" s="2151"/>
      <c r="SZX287" s="2151"/>
      <c r="SZY287" s="2151"/>
      <c r="SZZ287" s="2151"/>
      <c r="TAA287" s="2151"/>
      <c r="TAB287" s="2151"/>
      <c r="TAC287" s="2151"/>
      <c r="TAD287" s="2151"/>
      <c r="TAE287" s="2150"/>
      <c r="TAF287" s="2151"/>
      <c r="TAG287" s="2151"/>
      <c r="TAH287" s="2151"/>
      <c r="TAI287" s="2151"/>
      <c r="TAJ287" s="2151"/>
      <c r="TAK287" s="2151"/>
      <c r="TAL287" s="2151"/>
      <c r="TAM287" s="2151"/>
      <c r="TAN287" s="2151"/>
      <c r="TAO287" s="2151"/>
      <c r="TAP287" s="2151"/>
      <c r="TAQ287" s="2151"/>
      <c r="TAR287" s="2151"/>
      <c r="TAS287" s="2151"/>
      <c r="TAT287" s="2151"/>
      <c r="TAU287" s="2150"/>
      <c r="TAV287" s="2151"/>
      <c r="TAW287" s="2151"/>
      <c r="TAX287" s="2151"/>
      <c r="TAY287" s="2151"/>
      <c r="TAZ287" s="2151"/>
      <c r="TBA287" s="2151"/>
      <c r="TBB287" s="2151"/>
      <c r="TBC287" s="2151"/>
      <c r="TBD287" s="2151"/>
      <c r="TBE287" s="2151"/>
      <c r="TBF287" s="2151"/>
      <c r="TBG287" s="2151"/>
      <c r="TBH287" s="2151"/>
      <c r="TBI287" s="2151"/>
      <c r="TBJ287" s="2151"/>
      <c r="TBK287" s="2150"/>
      <c r="TBL287" s="2151"/>
      <c r="TBM287" s="2151"/>
      <c r="TBN287" s="2151"/>
      <c r="TBO287" s="2151"/>
      <c r="TBP287" s="2151"/>
      <c r="TBQ287" s="2151"/>
      <c r="TBR287" s="2151"/>
      <c r="TBS287" s="2151"/>
      <c r="TBT287" s="2151"/>
      <c r="TBU287" s="2151"/>
      <c r="TBV287" s="2151"/>
      <c r="TBW287" s="2151"/>
      <c r="TBX287" s="2151"/>
      <c r="TBY287" s="2151"/>
      <c r="TBZ287" s="2151"/>
      <c r="TCA287" s="2150"/>
      <c r="TCB287" s="2151"/>
      <c r="TCC287" s="2151"/>
      <c r="TCD287" s="2151"/>
      <c r="TCE287" s="2151"/>
      <c r="TCF287" s="2151"/>
      <c r="TCG287" s="2151"/>
      <c r="TCH287" s="2151"/>
      <c r="TCI287" s="2151"/>
      <c r="TCJ287" s="2151"/>
      <c r="TCK287" s="2151"/>
      <c r="TCL287" s="2151"/>
      <c r="TCM287" s="2151"/>
      <c r="TCN287" s="2151"/>
      <c r="TCO287" s="2151"/>
      <c r="TCP287" s="2151"/>
      <c r="TCQ287" s="2150"/>
      <c r="TCR287" s="2151"/>
      <c r="TCS287" s="2151"/>
      <c r="TCT287" s="2151"/>
      <c r="TCU287" s="2151"/>
      <c r="TCV287" s="2151"/>
      <c r="TCW287" s="2151"/>
      <c r="TCX287" s="2151"/>
      <c r="TCY287" s="2151"/>
      <c r="TCZ287" s="2151"/>
      <c r="TDA287" s="2151"/>
      <c r="TDB287" s="2151"/>
      <c r="TDC287" s="2151"/>
      <c r="TDD287" s="2151"/>
      <c r="TDE287" s="2151"/>
      <c r="TDF287" s="2151"/>
      <c r="TDG287" s="2150"/>
      <c r="TDH287" s="2151"/>
      <c r="TDI287" s="2151"/>
      <c r="TDJ287" s="2151"/>
      <c r="TDK287" s="2151"/>
      <c r="TDL287" s="2151"/>
      <c r="TDM287" s="2151"/>
      <c r="TDN287" s="2151"/>
      <c r="TDO287" s="2151"/>
      <c r="TDP287" s="2151"/>
      <c r="TDQ287" s="2151"/>
      <c r="TDR287" s="2151"/>
      <c r="TDS287" s="2151"/>
      <c r="TDT287" s="2151"/>
      <c r="TDU287" s="2151"/>
      <c r="TDV287" s="2151"/>
      <c r="TDW287" s="2150"/>
      <c r="TDX287" s="2151"/>
      <c r="TDY287" s="2151"/>
      <c r="TDZ287" s="2151"/>
      <c r="TEA287" s="2151"/>
      <c r="TEB287" s="2151"/>
      <c r="TEC287" s="2151"/>
      <c r="TED287" s="2151"/>
      <c r="TEE287" s="2151"/>
      <c r="TEF287" s="2151"/>
      <c r="TEG287" s="2151"/>
      <c r="TEH287" s="2151"/>
      <c r="TEI287" s="2151"/>
      <c r="TEJ287" s="2151"/>
      <c r="TEK287" s="2151"/>
      <c r="TEL287" s="2151"/>
      <c r="TEM287" s="2150"/>
      <c r="TEN287" s="2151"/>
      <c r="TEO287" s="2151"/>
      <c r="TEP287" s="2151"/>
      <c r="TEQ287" s="2151"/>
      <c r="TER287" s="2151"/>
      <c r="TES287" s="2151"/>
      <c r="TET287" s="2151"/>
      <c r="TEU287" s="2151"/>
      <c r="TEV287" s="2151"/>
      <c r="TEW287" s="2151"/>
      <c r="TEX287" s="2151"/>
      <c r="TEY287" s="2151"/>
      <c r="TEZ287" s="2151"/>
      <c r="TFA287" s="2151"/>
      <c r="TFB287" s="2151"/>
      <c r="TFC287" s="2150"/>
      <c r="TFD287" s="2151"/>
      <c r="TFE287" s="2151"/>
      <c r="TFF287" s="2151"/>
      <c r="TFG287" s="2151"/>
      <c r="TFH287" s="2151"/>
      <c r="TFI287" s="2151"/>
      <c r="TFJ287" s="2151"/>
      <c r="TFK287" s="2151"/>
      <c r="TFL287" s="2151"/>
      <c r="TFM287" s="2151"/>
      <c r="TFN287" s="2151"/>
      <c r="TFO287" s="2151"/>
      <c r="TFP287" s="2151"/>
      <c r="TFQ287" s="2151"/>
      <c r="TFR287" s="2151"/>
      <c r="TFS287" s="2150"/>
      <c r="TFT287" s="2151"/>
      <c r="TFU287" s="2151"/>
      <c r="TFV287" s="2151"/>
      <c r="TFW287" s="2151"/>
      <c r="TFX287" s="2151"/>
      <c r="TFY287" s="2151"/>
      <c r="TFZ287" s="2151"/>
      <c r="TGA287" s="2151"/>
      <c r="TGB287" s="2151"/>
      <c r="TGC287" s="2151"/>
      <c r="TGD287" s="2151"/>
      <c r="TGE287" s="2151"/>
      <c r="TGF287" s="2151"/>
      <c r="TGG287" s="2151"/>
      <c r="TGH287" s="2151"/>
      <c r="TGI287" s="2150"/>
      <c r="TGJ287" s="2151"/>
      <c r="TGK287" s="2151"/>
      <c r="TGL287" s="2151"/>
      <c r="TGM287" s="2151"/>
      <c r="TGN287" s="2151"/>
      <c r="TGO287" s="2151"/>
      <c r="TGP287" s="2151"/>
      <c r="TGQ287" s="2151"/>
      <c r="TGR287" s="2151"/>
      <c r="TGS287" s="2151"/>
      <c r="TGT287" s="2151"/>
      <c r="TGU287" s="2151"/>
      <c r="TGV287" s="2151"/>
      <c r="TGW287" s="2151"/>
      <c r="TGX287" s="2151"/>
      <c r="TGY287" s="2150"/>
      <c r="TGZ287" s="2151"/>
      <c r="THA287" s="2151"/>
      <c r="THB287" s="2151"/>
      <c r="THC287" s="2151"/>
      <c r="THD287" s="2151"/>
      <c r="THE287" s="2151"/>
      <c r="THF287" s="2151"/>
      <c r="THG287" s="2151"/>
      <c r="THH287" s="2151"/>
      <c r="THI287" s="2151"/>
      <c r="THJ287" s="2151"/>
      <c r="THK287" s="2151"/>
      <c r="THL287" s="2151"/>
      <c r="THM287" s="2151"/>
      <c r="THN287" s="2151"/>
      <c r="THO287" s="2150"/>
      <c r="THP287" s="2151"/>
      <c r="THQ287" s="2151"/>
      <c r="THR287" s="2151"/>
      <c r="THS287" s="2151"/>
      <c r="THT287" s="2151"/>
      <c r="THU287" s="2151"/>
      <c r="THV287" s="2151"/>
      <c r="THW287" s="2151"/>
      <c r="THX287" s="2151"/>
      <c r="THY287" s="2151"/>
      <c r="THZ287" s="2151"/>
      <c r="TIA287" s="2151"/>
      <c r="TIB287" s="2151"/>
      <c r="TIC287" s="2151"/>
      <c r="TID287" s="2151"/>
      <c r="TIE287" s="2150"/>
      <c r="TIF287" s="2151"/>
      <c r="TIG287" s="2151"/>
      <c r="TIH287" s="2151"/>
      <c r="TII287" s="2151"/>
      <c r="TIJ287" s="2151"/>
      <c r="TIK287" s="2151"/>
      <c r="TIL287" s="2151"/>
      <c r="TIM287" s="2151"/>
      <c r="TIN287" s="2151"/>
      <c r="TIO287" s="2151"/>
      <c r="TIP287" s="2151"/>
      <c r="TIQ287" s="2151"/>
      <c r="TIR287" s="2151"/>
      <c r="TIS287" s="2151"/>
      <c r="TIT287" s="2151"/>
      <c r="TIU287" s="2150"/>
      <c r="TIV287" s="2151"/>
      <c r="TIW287" s="2151"/>
      <c r="TIX287" s="2151"/>
      <c r="TIY287" s="2151"/>
      <c r="TIZ287" s="2151"/>
      <c r="TJA287" s="2151"/>
      <c r="TJB287" s="2151"/>
      <c r="TJC287" s="2151"/>
      <c r="TJD287" s="2151"/>
      <c r="TJE287" s="2151"/>
      <c r="TJF287" s="2151"/>
      <c r="TJG287" s="2151"/>
      <c r="TJH287" s="2151"/>
      <c r="TJI287" s="2151"/>
      <c r="TJJ287" s="2151"/>
      <c r="TJK287" s="2150"/>
      <c r="TJL287" s="2151"/>
      <c r="TJM287" s="2151"/>
      <c r="TJN287" s="2151"/>
      <c r="TJO287" s="2151"/>
      <c r="TJP287" s="2151"/>
      <c r="TJQ287" s="2151"/>
      <c r="TJR287" s="2151"/>
      <c r="TJS287" s="2151"/>
      <c r="TJT287" s="2151"/>
      <c r="TJU287" s="2151"/>
      <c r="TJV287" s="2151"/>
      <c r="TJW287" s="2151"/>
      <c r="TJX287" s="2151"/>
      <c r="TJY287" s="2151"/>
      <c r="TJZ287" s="2151"/>
      <c r="TKA287" s="2150"/>
      <c r="TKB287" s="2151"/>
      <c r="TKC287" s="2151"/>
      <c r="TKD287" s="2151"/>
      <c r="TKE287" s="2151"/>
      <c r="TKF287" s="2151"/>
      <c r="TKG287" s="2151"/>
      <c r="TKH287" s="2151"/>
      <c r="TKI287" s="2151"/>
      <c r="TKJ287" s="2151"/>
      <c r="TKK287" s="2151"/>
      <c r="TKL287" s="2151"/>
      <c r="TKM287" s="2151"/>
      <c r="TKN287" s="2151"/>
      <c r="TKO287" s="2151"/>
      <c r="TKP287" s="2151"/>
      <c r="TKQ287" s="2150"/>
      <c r="TKR287" s="2151"/>
      <c r="TKS287" s="2151"/>
      <c r="TKT287" s="2151"/>
      <c r="TKU287" s="2151"/>
      <c r="TKV287" s="2151"/>
      <c r="TKW287" s="2151"/>
      <c r="TKX287" s="2151"/>
      <c r="TKY287" s="2151"/>
      <c r="TKZ287" s="2151"/>
      <c r="TLA287" s="2151"/>
      <c r="TLB287" s="2151"/>
      <c r="TLC287" s="2151"/>
      <c r="TLD287" s="2151"/>
      <c r="TLE287" s="2151"/>
      <c r="TLF287" s="2151"/>
      <c r="TLG287" s="2150"/>
      <c r="TLH287" s="2151"/>
      <c r="TLI287" s="2151"/>
      <c r="TLJ287" s="2151"/>
      <c r="TLK287" s="2151"/>
      <c r="TLL287" s="2151"/>
      <c r="TLM287" s="2151"/>
      <c r="TLN287" s="2151"/>
      <c r="TLO287" s="2151"/>
      <c r="TLP287" s="2151"/>
      <c r="TLQ287" s="2151"/>
      <c r="TLR287" s="2151"/>
      <c r="TLS287" s="2151"/>
      <c r="TLT287" s="2151"/>
      <c r="TLU287" s="2151"/>
      <c r="TLV287" s="2151"/>
      <c r="TLW287" s="2150"/>
      <c r="TLX287" s="2151"/>
      <c r="TLY287" s="2151"/>
      <c r="TLZ287" s="2151"/>
      <c r="TMA287" s="2151"/>
      <c r="TMB287" s="2151"/>
      <c r="TMC287" s="2151"/>
      <c r="TMD287" s="2151"/>
      <c r="TME287" s="2151"/>
      <c r="TMF287" s="2151"/>
      <c r="TMG287" s="2151"/>
      <c r="TMH287" s="2151"/>
      <c r="TMI287" s="2151"/>
      <c r="TMJ287" s="2151"/>
      <c r="TMK287" s="2151"/>
      <c r="TML287" s="2151"/>
      <c r="TMM287" s="2150"/>
      <c r="TMN287" s="2151"/>
      <c r="TMO287" s="2151"/>
      <c r="TMP287" s="2151"/>
      <c r="TMQ287" s="2151"/>
      <c r="TMR287" s="2151"/>
      <c r="TMS287" s="2151"/>
      <c r="TMT287" s="2151"/>
      <c r="TMU287" s="2151"/>
      <c r="TMV287" s="2151"/>
      <c r="TMW287" s="2151"/>
      <c r="TMX287" s="2151"/>
      <c r="TMY287" s="2151"/>
      <c r="TMZ287" s="2151"/>
      <c r="TNA287" s="2151"/>
      <c r="TNB287" s="2151"/>
      <c r="TNC287" s="2150"/>
      <c r="TND287" s="2151"/>
      <c r="TNE287" s="2151"/>
      <c r="TNF287" s="2151"/>
      <c r="TNG287" s="2151"/>
      <c r="TNH287" s="2151"/>
      <c r="TNI287" s="2151"/>
      <c r="TNJ287" s="2151"/>
      <c r="TNK287" s="2151"/>
      <c r="TNL287" s="2151"/>
      <c r="TNM287" s="2151"/>
      <c r="TNN287" s="2151"/>
      <c r="TNO287" s="2151"/>
      <c r="TNP287" s="2151"/>
      <c r="TNQ287" s="2151"/>
      <c r="TNR287" s="2151"/>
      <c r="TNS287" s="2150"/>
      <c r="TNT287" s="2151"/>
      <c r="TNU287" s="2151"/>
      <c r="TNV287" s="2151"/>
      <c r="TNW287" s="2151"/>
      <c r="TNX287" s="2151"/>
      <c r="TNY287" s="2151"/>
      <c r="TNZ287" s="2151"/>
      <c r="TOA287" s="2151"/>
      <c r="TOB287" s="2151"/>
      <c r="TOC287" s="2151"/>
      <c r="TOD287" s="2151"/>
      <c r="TOE287" s="2151"/>
      <c r="TOF287" s="2151"/>
      <c r="TOG287" s="2151"/>
      <c r="TOH287" s="2151"/>
      <c r="TOI287" s="2150"/>
      <c r="TOJ287" s="2151"/>
      <c r="TOK287" s="2151"/>
      <c r="TOL287" s="2151"/>
      <c r="TOM287" s="2151"/>
      <c r="TON287" s="2151"/>
      <c r="TOO287" s="2151"/>
      <c r="TOP287" s="2151"/>
      <c r="TOQ287" s="2151"/>
      <c r="TOR287" s="2151"/>
      <c r="TOS287" s="2151"/>
      <c r="TOT287" s="2151"/>
      <c r="TOU287" s="2151"/>
      <c r="TOV287" s="2151"/>
      <c r="TOW287" s="2151"/>
      <c r="TOX287" s="2151"/>
      <c r="TOY287" s="2150"/>
      <c r="TOZ287" s="2151"/>
      <c r="TPA287" s="2151"/>
      <c r="TPB287" s="2151"/>
      <c r="TPC287" s="2151"/>
      <c r="TPD287" s="2151"/>
      <c r="TPE287" s="2151"/>
      <c r="TPF287" s="2151"/>
      <c r="TPG287" s="2151"/>
      <c r="TPH287" s="2151"/>
      <c r="TPI287" s="2151"/>
      <c r="TPJ287" s="2151"/>
      <c r="TPK287" s="2151"/>
      <c r="TPL287" s="2151"/>
      <c r="TPM287" s="2151"/>
      <c r="TPN287" s="2151"/>
      <c r="TPO287" s="2150"/>
      <c r="TPP287" s="2151"/>
      <c r="TPQ287" s="2151"/>
      <c r="TPR287" s="2151"/>
      <c r="TPS287" s="2151"/>
      <c r="TPT287" s="2151"/>
      <c r="TPU287" s="2151"/>
      <c r="TPV287" s="2151"/>
      <c r="TPW287" s="2151"/>
      <c r="TPX287" s="2151"/>
      <c r="TPY287" s="2151"/>
      <c r="TPZ287" s="2151"/>
      <c r="TQA287" s="2151"/>
      <c r="TQB287" s="2151"/>
      <c r="TQC287" s="2151"/>
      <c r="TQD287" s="2151"/>
      <c r="TQE287" s="2150"/>
      <c r="TQF287" s="2151"/>
      <c r="TQG287" s="2151"/>
      <c r="TQH287" s="2151"/>
      <c r="TQI287" s="2151"/>
      <c r="TQJ287" s="2151"/>
      <c r="TQK287" s="2151"/>
      <c r="TQL287" s="2151"/>
      <c r="TQM287" s="2151"/>
      <c r="TQN287" s="2151"/>
      <c r="TQO287" s="2151"/>
      <c r="TQP287" s="2151"/>
      <c r="TQQ287" s="2151"/>
      <c r="TQR287" s="2151"/>
      <c r="TQS287" s="2151"/>
      <c r="TQT287" s="2151"/>
      <c r="TQU287" s="2150"/>
      <c r="TQV287" s="2151"/>
      <c r="TQW287" s="2151"/>
      <c r="TQX287" s="2151"/>
      <c r="TQY287" s="2151"/>
      <c r="TQZ287" s="2151"/>
      <c r="TRA287" s="2151"/>
      <c r="TRB287" s="2151"/>
      <c r="TRC287" s="2151"/>
      <c r="TRD287" s="2151"/>
      <c r="TRE287" s="2151"/>
      <c r="TRF287" s="2151"/>
      <c r="TRG287" s="2151"/>
      <c r="TRH287" s="2151"/>
      <c r="TRI287" s="2151"/>
      <c r="TRJ287" s="2151"/>
      <c r="TRK287" s="2150"/>
      <c r="TRL287" s="2151"/>
      <c r="TRM287" s="2151"/>
      <c r="TRN287" s="2151"/>
      <c r="TRO287" s="2151"/>
      <c r="TRP287" s="2151"/>
      <c r="TRQ287" s="2151"/>
      <c r="TRR287" s="2151"/>
      <c r="TRS287" s="2151"/>
      <c r="TRT287" s="2151"/>
      <c r="TRU287" s="2151"/>
      <c r="TRV287" s="2151"/>
      <c r="TRW287" s="2151"/>
      <c r="TRX287" s="2151"/>
      <c r="TRY287" s="2151"/>
      <c r="TRZ287" s="2151"/>
      <c r="TSA287" s="2150"/>
      <c r="TSB287" s="2151"/>
      <c r="TSC287" s="2151"/>
      <c r="TSD287" s="2151"/>
      <c r="TSE287" s="2151"/>
      <c r="TSF287" s="2151"/>
      <c r="TSG287" s="2151"/>
      <c r="TSH287" s="2151"/>
      <c r="TSI287" s="2151"/>
      <c r="TSJ287" s="2151"/>
      <c r="TSK287" s="2151"/>
      <c r="TSL287" s="2151"/>
      <c r="TSM287" s="2151"/>
      <c r="TSN287" s="2151"/>
      <c r="TSO287" s="2151"/>
      <c r="TSP287" s="2151"/>
      <c r="TSQ287" s="2150"/>
      <c r="TSR287" s="2151"/>
      <c r="TSS287" s="2151"/>
      <c r="TST287" s="2151"/>
      <c r="TSU287" s="2151"/>
      <c r="TSV287" s="2151"/>
      <c r="TSW287" s="2151"/>
      <c r="TSX287" s="2151"/>
      <c r="TSY287" s="2151"/>
      <c r="TSZ287" s="2151"/>
      <c r="TTA287" s="2151"/>
      <c r="TTB287" s="2151"/>
      <c r="TTC287" s="2151"/>
      <c r="TTD287" s="2151"/>
      <c r="TTE287" s="2151"/>
      <c r="TTF287" s="2151"/>
      <c r="TTG287" s="2150"/>
      <c r="TTH287" s="2151"/>
      <c r="TTI287" s="2151"/>
      <c r="TTJ287" s="2151"/>
      <c r="TTK287" s="2151"/>
      <c r="TTL287" s="2151"/>
      <c r="TTM287" s="2151"/>
      <c r="TTN287" s="2151"/>
      <c r="TTO287" s="2151"/>
      <c r="TTP287" s="2151"/>
      <c r="TTQ287" s="2151"/>
      <c r="TTR287" s="2151"/>
      <c r="TTS287" s="2151"/>
      <c r="TTT287" s="2151"/>
      <c r="TTU287" s="2151"/>
      <c r="TTV287" s="2151"/>
      <c r="TTW287" s="2150"/>
      <c r="TTX287" s="2151"/>
      <c r="TTY287" s="2151"/>
      <c r="TTZ287" s="2151"/>
      <c r="TUA287" s="2151"/>
      <c r="TUB287" s="2151"/>
      <c r="TUC287" s="2151"/>
      <c r="TUD287" s="2151"/>
      <c r="TUE287" s="2151"/>
      <c r="TUF287" s="2151"/>
      <c r="TUG287" s="2151"/>
      <c r="TUH287" s="2151"/>
      <c r="TUI287" s="2151"/>
      <c r="TUJ287" s="2151"/>
      <c r="TUK287" s="2151"/>
      <c r="TUL287" s="2151"/>
      <c r="TUM287" s="2150"/>
      <c r="TUN287" s="2151"/>
      <c r="TUO287" s="2151"/>
      <c r="TUP287" s="2151"/>
      <c r="TUQ287" s="2151"/>
      <c r="TUR287" s="2151"/>
      <c r="TUS287" s="2151"/>
      <c r="TUT287" s="2151"/>
      <c r="TUU287" s="2151"/>
      <c r="TUV287" s="2151"/>
      <c r="TUW287" s="2151"/>
      <c r="TUX287" s="2151"/>
      <c r="TUY287" s="2151"/>
      <c r="TUZ287" s="2151"/>
      <c r="TVA287" s="2151"/>
      <c r="TVB287" s="2151"/>
      <c r="TVC287" s="2150"/>
      <c r="TVD287" s="2151"/>
      <c r="TVE287" s="2151"/>
      <c r="TVF287" s="2151"/>
      <c r="TVG287" s="2151"/>
      <c r="TVH287" s="2151"/>
      <c r="TVI287" s="2151"/>
      <c r="TVJ287" s="2151"/>
      <c r="TVK287" s="2151"/>
      <c r="TVL287" s="2151"/>
      <c r="TVM287" s="2151"/>
      <c r="TVN287" s="2151"/>
      <c r="TVO287" s="2151"/>
      <c r="TVP287" s="2151"/>
      <c r="TVQ287" s="2151"/>
      <c r="TVR287" s="2151"/>
      <c r="TVS287" s="2150"/>
      <c r="TVT287" s="2151"/>
      <c r="TVU287" s="2151"/>
      <c r="TVV287" s="2151"/>
      <c r="TVW287" s="2151"/>
      <c r="TVX287" s="2151"/>
      <c r="TVY287" s="2151"/>
      <c r="TVZ287" s="2151"/>
      <c r="TWA287" s="2151"/>
      <c r="TWB287" s="2151"/>
      <c r="TWC287" s="2151"/>
      <c r="TWD287" s="2151"/>
      <c r="TWE287" s="2151"/>
      <c r="TWF287" s="2151"/>
      <c r="TWG287" s="2151"/>
      <c r="TWH287" s="2151"/>
      <c r="TWI287" s="2150"/>
      <c r="TWJ287" s="2151"/>
      <c r="TWK287" s="2151"/>
      <c r="TWL287" s="2151"/>
      <c r="TWM287" s="2151"/>
      <c r="TWN287" s="2151"/>
      <c r="TWO287" s="2151"/>
      <c r="TWP287" s="2151"/>
      <c r="TWQ287" s="2151"/>
      <c r="TWR287" s="2151"/>
      <c r="TWS287" s="2151"/>
      <c r="TWT287" s="2151"/>
      <c r="TWU287" s="2151"/>
      <c r="TWV287" s="2151"/>
      <c r="TWW287" s="2151"/>
      <c r="TWX287" s="2151"/>
      <c r="TWY287" s="2150"/>
      <c r="TWZ287" s="2151"/>
      <c r="TXA287" s="2151"/>
      <c r="TXB287" s="2151"/>
      <c r="TXC287" s="2151"/>
      <c r="TXD287" s="2151"/>
      <c r="TXE287" s="2151"/>
      <c r="TXF287" s="2151"/>
      <c r="TXG287" s="2151"/>
      <c r="TXH287" s="2151"/>
      <c r="TXI287" s="2151"/>
      <c r="TXJ287" s="2151"/>
      <c r="TXK287" s="2151"/>
      <c r="TXL287" s="2151"/>
      <c r="TXM287" s="2151"/>
      <c r="TXN287" s="2151"/>
      <c r="TXO287" s="2150"/>
      <c r="TXP287" s="2151"/>
      <c r="TXQ287" s="2151"/>
      <c r="TXR287" s="2151"/>
      <c r="TXS287" s="2151"/>
      <c r="TXT287" s="2151"/>
      <c r="TXU287" s="2151"/>
      <c r="TXV287" s="2151"/>
      <c r="TXW287" s="2151"/>
      <c r="TXX287" s="2151"/>
      <c r="TXY287" s="2151"/>
      <c r="TXZ287" s="2151"/>
      <c r="TYA287" s="2151"/>
      <c r="TYB287" s="2151"/>
      <c r="TYC287" s="2151"/>
      <c r="TYD287" s="2151"/>
      <c r="TYE287" s="2150"/>
      <c r="TYF287" s="2151"/>
      <c r="TYG287" s="2151"/>
      <c r="TYH287" s="2151"/>
      <c r="TYI287" s="2151"/>
      <c r="TYJ287" s="2151"/>
      <c r="TYK287" s="2151"/>
      <c r="TYL287" s="2151"/>
      <c r="TYM287" s="2151"/>
      <c r="TYN287" s="2151"/>
      <c r="TYO287" s="2151"/>
      <c r="TYP287" s="2151"/>
      <c r="TYQ287" s="2151"/>
      <c r="TYR287" s="2151"/>
      <c r="TYS287" s="2151"/>
      <c r="TYT287" s="2151"/>
      <c r="TYU287" s="2150"/>
      <c r="TYV287" s="2151"/>
      <c r="TYW287" s="2151"/>
      <c r="TYX287" s="2151"/>
      <c r="TYY287" s="2151"/>
      <c r="TYZ287" s="2151"/>
      <c r="TZA287" s="2151"/>
      <c r="TZB287" s="2151"/>
      <c r="TZC287" s="2151"/>
      <c r="TZD287" s="2151"/>
      <c r="TZE287" s="2151"/>
      <c r="TZF287" s="2151"/>
      <c r="TZG287" s="2151"/>
      <c r="TZH287" s="2151"/>
      <c r="TZI287" s="2151"/>
      <c r="TZJ287" s="2151"/>
      <c r="TZK287" s="2150"/>
      <c r="TZL287" s="2151"/>
      <c r="TZM287" s="2151"/>
      <c r="TZN287" s="2151"/>
      <c r="TZO287" s="2151"/>
      <c r="TZP287" s="2151"/>
      <c r="TZQ287" s="2151"/>
      <c r="TZR287" s="2151"/>
      <c r="TZS287" s="2151"/>
      <c r="TZT287" s="2151"/>
      <c r="TZU287" s="2151"/>
      <c r="TZV287" s="2151"/>
      <c r="TZW287" s="2151"/>
      <c r="TZX287" s="2151"/>
      <c r="TZY287" s="2151"/>
      <c r="TZZ287" s="2151"/>
      <c r="UAA287" s="2150"/>
      <c r="UAB287" s="2151"/>
      <c r="UAC287" s="2151"/>
      <c r="UAD287" s="2151"/>
      <c r="UAE287" s="2151"/>
      <c r="UAF287" s="2151"/>
      <c r="UAG287" s="2151"/>
      <c r="UAH287" s="2151"/>
      <c r="UAI287" s="2151"/>
      <c r="UAJ287" s="2151"/>
      <c r="UAK287" s="2151"/>
      <c r="UAL287" s="2151"/>
      <c r="UAM287" s="2151"/>
      <c r="UAN287" s="2151"/>
      <c r="UAO287" s="2151"/>
      <c r="UAP287" s="2151"/>
      <c r="UAQ287" s="2150"/>
      <c r="UAR287" s="2151"/>
      <c r="UAS287" s="2151"/>
      <c r="UAT287" s="2151"/>
      <c r="UAU287" s="2151"/>
      <c r="UAV287" s="2151"/>
      <c r="UAW287" s="2151"/>
      <c r="UAX287" s="2151"/>
      <c r="UAY287" s="2151"/>
      <c r="UAZ287" s="2151"/>
      <c r="UBA287" s="2151"/>
      <c r="UBB287" s="2151"/>
      <c r="UBC287" s="2151"/>
      <c r="UBD287" s="2151"/>
      <c r="UBE287" s="2151"/>
      <c r="UBF287" s="2151"/>
      <c r="UBG287" s="2150"/>
      <c r="UBH287" s="2151"/>
      <c r="UBI287" s="2151"/>
      <c r="UBJ287" s="2151"/>
      <c r="UBK287" s="2151"/>
      <c r="UBL287" s="2151"/>
      <c r="UBM287" s="2151"/>
      <c r="UBN287" s="2151"/>
      <c r="UBO287" s="2151"/>
      <c r="UBP287" s="2151"/>
      <c r="UBQ287" s="2151"/>
      <c r="UBR287" s="2151"/>
      <c r="UBS287" s="2151"/>
      <c r="UBT287" s="2151"/>
      <c r="UBU287" s="2151"/>
      <c r="UBV287" s="2151"/>
      <c r="UBW287" s="2150"/>
      <c r="UBX287" s="2151"/>
      <c r="UBY287" s="2151"/>
      <c r="UBZ287" s="2151"/>
      <c r="UCA287" s="2151"/>
      <c r="UCB287" s="2151"/>
      <c r="UCC287" s="2151"/>
      <c r="UCD287" s="2151"/>
      <c r="UCE287" s="2151"/>
      <c r="UCF287" s="2151"/>
      <c r="UCG287" s="2151"/>
      <c r="UCH287" s="2151"/>
      <c r="UCI287" s="2151"/>
      <c r="UCJ287" s="2151"/>
      <c r="UCK287" s="2151"/>
      <c r="UCL287" s="2151"/>
      <c r="UCM287" s="2150"/>
      <c r="UCN287" s="2151"/>
      <c r="UCO287" s="2151"/>
      <c r="UCP287" s="2151"/>
      <c r="UCQ287" s="2151"/>
      <c r="UCR287" s="2151"/>
      <c r="UCS287" s="2151"/>
      <c r="UCT287" s="2151"/>
      <c r="UCU287" s="2151"/>
      <c r="UCV287" s="2151"/>
      <c r="UCW287" s="2151"/>
      <c r="UCX287" s="2151"/>
      <c r="UCY287" s="2151"/>
      <c r="UCZ287" s="2151"/>
      <c r="UDA287" s="2151"/>
      <c r="UDB287" s="2151"/>
      <c r="UDC287" s="2150"/>
      <c r="UDD287" s="2151"/>
      <c r="UDE287" s="2151"/>
      <c r="UDF287" s="2151"/>
      <c r="UDG287" s="2151"/>
      <c r="UDH287" s="2151"/>
      <c r="UDI287" s="2151"/>
      <c r="UDJ287" s="2151"/>
      <c r="UDK287" s="2151"/>
      <c r="UDL287" s="2151"/>
      <c r="UDM287" s="2151"/>
      <c r="UDN287" s="2151"/>
      <c r="UDO287" s="2151"/>
      <c r="UDP287" s="2151"/>
      <c r="UDQ287" s="2151"/>
      <c r="UDR287" s="2151"/>
      <c r="UDS287" s="2150"/>
      <c r="UDT287" s="2151"/>
      <c r="UDU287" s="2151"/>
      <c r="UDV287" s="2151"/>
      <c r="UDW287" s="2151"/>
      <c r="UDX287" s="2151"/>
      <c r="UDY287" s="2151"/>
      <c r="UDZ287" s="2151"/>
      <c r="UEA287" s="2151"/>
      <c r="UEB287" s="2151"/>
      <c r="UEC287" s="2151"/>
      <c r="UED287" s="2151"/>
      <c r="UEE287" s="2151"/>
      <c r="UEF287" s="2151"/>
      <c r="UEG287" s="2151"/>
      <c r="UEH287" s="2151"/>
      <c r="UEI287" s="2150"/>
      <c r="UEJ287" s="2151"/>
      <c r="UEK287" s="2151"/>
      <c r="UEL287" s="2151"/>
      <c r="UEM287" s="2151"/>
      <c r="UEN287" s="2151"/>
      <c r="UEO287" s="2151"/>
      <c r="UEP287" s="2151"/>
      <c r="UEQ287" s="2151"/>
      <c r="UER287" s="2151"/>
      <c r="UES287" s="2151"/>
      <c r="UET287" s="2151"/>
      <c r="UEU287" s="2151"/>
      <c r="UEV287" s="2151"/>
      <c r="UEW287" s="2151"/>
      <c r="UEX287" s="2151"/>
      <c r="UEY287" s="2150"/>
      <c r="UEZ287" s="2151"/>
      <c r="UFA287" s="2151"/>
      <c r="UFB287" s="2151"/>
      <c r="UFC287" s="2151"/>
      <c r="UFD287" s="2151"/>
      <c r="UFE287" s="2151"/>
      <c r="UFF287" s="2151"/>
      <c r="UFG287" s="2151"/>
      <c r="UFH287" s="2151"/>
      <c r="UFI287" s="2151"/>
      <c r="UFJ287" s="2151"/>
      <c r="UFK287" s="2151"/>
      <c r="UFL287" s="2151"/>
      <c r="UFM287" s="2151"/>
      <c r="UFN287" s="2151"/>
      <c r="UFO287" s="2150"/>
      <c r="UFP287" s="2151"/>
      <c r="UFQ287" s="2151"/>
      <c r="UFR287" s="2151"/>
      <c r="UFS287" s="2151"/>
      <c r="UFT287" s="2151"/>
      <c r="UFU287" s="2151"/>
      <c r="UFV287" s="2151"/>
      <c r="UFW287" s="2151"/>
      <c r="UFX287" s="2151"/>
      <c r="UFY287" s="2151"/>
      <c r="UFZ287" s="2151"/>
      <c r="UGA287" s="2151"/>
      <c r="UGB287" s="2151"/>
      <c r="UGC287" s="2151"/>
      <c r="UGD287" s="2151"/>
      <c r="UGE287" s="2150"/>
      <c r="UGF287" s="2151"/>
      <c r="UGG287" s="2151"/>
      <c r="UGH287" s="2151"/>
      <c r="UGI287" s="2151"/>
      <c r="UGJ287" s="2151"/>
      <c r="UGK287" s="2151"/>
      <c r="UGL287" s="2151"/>
      <c r="UGM287" s="2151"/>
      <c r="UGN287" s="2151"/>
      <c r="UGO287" s="2151"/>
      <c r="UGP287" s="2151"/>
      <c r="UGQ287" s="2151"/>
      <c r="UGR287" s="2151"/>
      <c r="UGS287" s="2151"/>
      <c r="UGT287" s="2151"/>
      <c r="UGU287" s="2150"/>
      <c r="UGV287" s="2151"/>
      <c r="UGW287" s="2151"/>
      <c r="UGX287" s="2151"/>
      <c r="UGY287" s="2151"/>
      <c r="UGZ287" s="2151"/>
      <c r="UHA287" s="2151"/>
      <c r="UHB287" s="2151"/>
      <c r="UHC287" s="2151"/>
      <c r="UHD287" s="2151"/>
      <c r="UHE287" s="2151"/>
      <c r="UHF287" s="2151"/>
      <c r="UHG287" s="2151"/>
      <c r="UHH287" s="2151"/>
      <c r="UHI287" s="2151"/>
      <c r="UHJ287" s="2151"/>
      <c r="UHK287" s="2150"/>
      <c r="UHL287" s="2151"/>
      <c r="UHM287" s="2151"/>
      <c r="UHN287" s="2151"/>
      <c r="UHO287" s="2151"/>
      <c r="UHP287" s="2151"/>
      <c r="UHQ287" s="2151"/>
      <c r="UHR287" s="2151"/>
      <c r="UHS287" s="2151"/>
      <c r="UHT287" s="2151"/>
      <c r="UHU287" s="2151"/>
      <c r="UHV287" s="2151"/>
      <c r="UHW287" s="2151"/>
      <c r="UHX287" s="2151"/>
      <c r="UHY287" s="2151"/>
      <c r="UHZ287" s="2151"/>
      <c r="UIA287" s="2150"/>
      <c r="UIB287" s="2151"/>
      <c r="UIC287" s="2151"/>
      <c r="UID287" s="2151"/>
      <c r="UIE287" s="2151"/>
      <c r="UIF287" s="2151"/>
      <c r="UIG287" s="2151"/>
      <c r="UIH287" s="2151"/>
      <c r="UII287" s="2151"/>
      <c r="UIJ287" s="2151"/>
      <c r="UIK287" s="2151"/>
      <c r="UIL287" s="2151"/>
      <c r="UIM287" s="2151"/>
      <c r="UIN287" s="2151"/>
      <c r="UIO287" s="2151"/>
      <c r="UIP287" s="2151"/>
      <c r="UIQ287" s="2150"/>
      <c r="UIR287" s="2151"/>
      <c r="UIS287" s="2151"/>
      <c r="UIT287" s="2151"/>
      <c r="UIU287" s="2151"/>
      <c r="UIV287" s="2151"/>
      <c r="UIW287" s="2151"/>
      <c r="UIX287" s="2151"/>
      <c r="UIY287" s="2151"/>
      <c r="UIZ287" s="2151"/>
      <c r="UJA287" s="2151"/>
      <c r="UJB287" s="2151"/>
      <c r="UJC287" s="2151"/>
      <c r="UJD287" s="2151"/>
      <c r="UJE287" s="2151"/>
      <c r="UJF287" s="2151"/>
      <c r="UJG287" s="2150"/>
      <c r="UJH287" s="2151"/>
      <c r="UJI287" s="2151"/>
      <c r="UJJ287" s="2151"/>
      <c r="UJK287" s="2151"/>
      <c r="UJL287" s="2151"/>
      <c r="UJM287" s="2151"/>
      <c r="UJN287" s="2151"/>
      <c r="UJO287" s="2151"/>
      <c r="UJP287" s="2151"/>
      <c r="UJQ287" s="2151"/>
      <c r="UJR287" s="2151"/>
      <c r="UJS287" s="2151"/>
      <c r="UJT287" s="2151"/>
      <c r="UJU287" s="2151"/>
      <c r="UJV287" s="2151"/>
      <c r="UJW287" s="2150"/>
      <c r="UJX287" s="2151"/>
      <c r="UJY287" s="2151"/>
      <c r="UJZ287" s="2151"/>
      <c r="UKA287" s="2151"/>
      <c r="UKB287" s="2151"/>
      <c r="UKC287" s="2151"/>
      <c r="UKD287" s="2151"/>
      <c r="UKE287" s="2151"/>
      <c r="UKF287" s="2151"/>
      <c r="UKG287" s="2151"/>
      <c r="UKH287" s="2151"/>
      <c r="UKI287" s="2151"/>
      <c r="UKJ287" s="2151"/>
      <c r="UKK287" s="2151"/>
      <c r="UKL287" s="2151"/>
      <c r="UKM287" s="2150"/>
      <c r="UKN287" s="2151"/>
      <c r="UKO287" s="2151"/>
      <c r="UKP287" s="2151"/>
      <c r="UKQ287" s="2151"/>
      <c r="UKR287" s="2151"/>
      <c r="UKS287" s="2151"/>
      <c r="UKT287" s="2151"/>
      <c r="UKU287" s="2151"/>
      <c r="UKV287" s="2151"/>
      <c r="UKW287" s="2151"/>
      <c r="UKX287" s="2151"/>
      <c r="UKY287" s="2151"/>
      <c r="UKZ287" s="2151"/>
      <c r="ULA287" s="2151"/>
      <c r="ULB287" s="2151"/>
      <c r="ULC287" s="2150"/>
      <c r="ULD287" s="2151"/>
      <c r="ULE287" s="2151"/>
      <c r="ULF287" s="2151"/>
      <c r="ULG287" s="2151"/>
      <c r="ULH287" s="2151"/>
      <c r="ULI287" s="2151"/>
      <c r="ULJ287" s="2151"/>
      <c r="ULK287" s="2151"/>
      <c r="ULL287" s="2151"/>
      <c r="ULM287" s="2151"/>
      <c r="ULN287" s="2151"/>
      <c r="ULO287" s="2151"/>
      <c r="ULP287" s="2151"/>
      <c r="ULQ287" s="2151"/>
      <c r="ULR287" s="2151"/>
      <c r="ULS287" s="2150"/>
      <c r="ULT287" s="2151"/>
      <c r="ULU287" s="2151"/>
      <c r="ULV287" s="2151"/>
      <c r="ULW287" s="2151"/>
      <c r="ULX287" s="2151"/>
      <c r="ULY287" s="2151"/>
      <c r="ULZ287" s="2151"/>
      <c r="UMA287" s="2151"/>
      <c r="UMB287" s="2151"/>
      <c r="UMC287" s="2151"/>
      <c r="UMD287" s="2151"/>
      <c r="UME287" s="2151"/>
      <c r="UMF287" s="2151"/>
      <c r="UMG287" s="2151"/>
      <c r="UMH287" s="2151"/>
      <c r="UMI287" s="2150"/>
      <c r="UMJ287" s="2151"/>
      <c r="UMK287" s="2151"/>
      <c r="UML287" s="2151"/>
      <c r="UMM287" s="2151"/>
      <c r="UMN287" s="2151"/>
      <c r="UMO287" s="2151"/>
      <c r="UMP287" s="2151"/>
      <c r="UMQ287" s="2151"/>
      <c r="UMR287" s="2151"/>
      <c r="UMS287" s="2151"/>
      <c r="UMT287" s="2151"/>
      <c r="UMU287" s="2151"/>
      <c r="UMV287" s="2151"/>
      <c r="UMW287" s="2151"/>
      <c r="UMX287" s="2151"/>
      <c r="UMY287" s="2150"/>
      <c r="UMZ287" s="2151"/>
      <c r="UNA287" s="2151"/>
      <c r="UNB287" s="2151"/>
      <c r="UNC287" s="2151"/>
      <c r="UND287" s="2151"/>
      <c r="UNE287" s="2151"/>
      <c r="UNF287" s="2151"/>
      <c r="UNG287" s="2151"/>
      <c r="UNH287" s="2151"/>
      <c r="UNI287" s="2151"/>
      <c r="UNJ287" s="2151"/>
      <c r="UNK287" s="2151"/>
      <c r="UNL287" s="2151"/>
      <c r="UNM287" s="2151"/>
      <c r="UNN287" s="2151"/>
      <c r="UNO287" s="2150"/>
      <c r="UNP287" s="2151"/>
      <c r="UNQ287" s="2151"/>
      <c r="UNR287" s="2151"/>
      <c r="UNS287" s="2151"/>
      <c r="UNT287" s="2151"/>
      <c r="UNU287" s="2151"/>
      <c r="UNV287" s="2151"/>
      <c r="UNW287" s="2151"/>
      <c r="UNX287" s="2151"/>
      <c r="UNY287" s="2151"/>
      <c r="UNZ287" s="2151"/>
      <c r="UOA287" s="2151"/>
      <c r="UOB287" s="2151"/>
      <c r="UOC287" s="2151"/>
      <c r="UOD287" s="2151"/>
      <c r="UOE287" s="2150"/>
      <c r="UOF287" s="2151"/>
      <c r="UOG287" s="2151"/>
      <c r="UOH287" s="2151"/>
      <c r="UOI287" s="2151"/>
      <c r="UOJ287" s="2151"/>
      <c r="UOK287" s="2151"/>
      <c r="UOL287" s="2151"/>
      <c r="UOM287" s="2151"/>
      <c r="UON287" s="2151"/>
      <c r="UOO287" s="2151"/>
      <c r="UOP287" s="2151"/>
      <c r="UOQ287" s="2151"/>
      <c r="UOR287" s="2151"/>
      <c r="UOS287" s="2151"/>
      <c r="UOT287" s="2151"/>
      <c r="UOU287" s="2150"/>
      <c r="UOV287" s="2151"/>
      <c r="UOW287" s="2151"/>
      <c r="UOX287" s="2151"/>
      <c r="UOY287" s="2151"/>
      <c r="UOZ287" s="2151"/>
      <c r="UPA287" s="2151"/>
      <c r="UPB287" s="2151"/>
      <c r="UPC287" s="2151"/>
      <c r="UPD287" s="2151"/>
      <c r="UPE287" s="2151"/>
      <c r="UPF287" s="2151"/>
      <c r="UPG287" s="2151"/>
      <c r="UPH287" s="2151"/>
      <c r="UPI287" s="2151"/>
      <c r="UPJ287" s="2151"/>
      <c r="UPK287" s="2150"/>
      <c r="UPL287" s="2151"/>
      <c r="UPM287" s="2151"/>
      <c r="UPN287" s="2151"/>
      <c r="UPO287" s="2151"/>
      <c r="UPP287" s="2151"/>
      <c r="UPQ287" s="2151"/>
      <c r="UPR287" s="2151"/>
      <c r="UPS287" s="2151"/>
      <c r="UPT287" s="2151"/>
      <c r="UPU287" s="2151"/>
      <c r="UPV287" s="2151"/>
      <c r="UPW287" s="2151"/>
      <c r="UPX287" s="2151"/>
      <c r="UPY287" s="2151"/>
      <c r="UPZ287" s="2151"/>
      <c r="UQA287" s="2150"/>
      <c r="UQB287" s="2151"/>
      <c r="UQC287" s="2151"/>
      <c r="UQD287" s="2151"/>
      <c r="UQE287" s="2151"/>
      <c r="UQF287" s="2151"/>
      <c r="UQG287" s="2151"/>
      <c r="UQH287" s="2151"/>
      <c r="UQI287" s="2151"/>
      <c r="UQJ287" s="2151"/>
      <c r="UQK287" s="2151"/>
      <c r="UQL287" s="2151"/>
      <c r="UQM287" s="2151"/>
      <c r="UQN287" s="2151"/>
      <c r="UQO287" s="2151"/>
      <c r="UQP287" s="2151"/>
      <c r="UQQ287" s="2150"/>
      <c r="UQR287" s="2151"/>
      <c r="UQS287" s="2151"/>
      <c r="UQT287" s="2151"/>
      <c r="UQU287" s="2151"/>
      <c r="UQV287" s="2151"/>
      <c r="UQW287" s="2151"/>
      <c r="UQX287" s="2151"/>
      <c r="UQY287" s="2151"/>
      <c r="UQZ287" s="2151"/>
      <c r="URA287" s="2151"/>
      <c r="URB287" s="2151"/>
      <c r="URC287" s="2151"/>
      <c r="URD287" s="2151"/>
      <c r="URE287" s="2151"/>
      <c r="URF287" s="2151"/>
      <c r="URG287" s="2150"/>
      <c r="URH287" s="2151"/>
      <c r="URI287" s="2151"/>
      <c r="URJ287" s="2151"/>
      <c r="URK287" s="2151"/>
      <c r="URL287" s="2151"/>
      <c r="URM287" s="2151"/>
      <c r="URN287" s="2151"/>
      <c r="URO287" s="2151"/>
      <c r="URP287" s="2151"/>
      <c r="URQ287" s="2151"/>
      <c r="URR287" s="2151"/>
      <c r="URS287" s="2151"/>
      <c r="URT287" s="2151"/>
      <c r="URU287" s="2151"/>
      <c r="URV287" s="2151"/>
      <c r="URW287" s="2150"/>
      <c r="URX287" s="2151"/>
      <c r="URY287" s="2151"/>
      <c r="URZ287" s="2151"/>
      <c r="USA287" s="2151"/>
      <c r="USB287" s="2151"/>
      <c r="USC287" s="2151"/>
      <c r="USD287" s="2151"/>
      <c r="USE287" s="2151"/>
      <c r="USF287" s="2151"/>
      <c r="USG287" s="2151"/>
      <c r="USH287" s="2151"/>
      <c r="USI287" s="2151"/>
      <c r="USJ287" s="2151"/>
      <c r="USK287" s="2151"/>
      <c r="USL287" s="2151"/>
      <c r="USM287" s="2150"/>
      <c r="USN287" s="2151"/>
      <c r="USO287" s="2151"/>
      <c r="USP287" s="2151"/>
      <c r="USQ287" s="2151"/>
      <c r="USR287" s="2151"/>
      <c r="USS287" s="2151"/>
      <c r="UST287" s="2151"/>
      <c r="USU287" s="2151"/>
      <c r="USV287" s="2151"/>
      <c r="USW287" s="2151"/>
      <c r="USX287" s="2151"/>
      <c r="USY287" s="2151"/>
      <c r="USZ287" s="2151"/>
      <c r="UTA287" s="2151"/>
      <c r="UTB287" s="2151"/>
      <c r="UTC287" s="2150"/>
      <c r="UTD287" s="2151"/>
      <c r="UTE287" s="2151"/>
      <c r="UTF287" s="2151"/>
      <c r="UTG287" s="2151"/>
      <c r="UTH287" s="2151"/>
      <c r="UTI287" s="2151"/>
      <c r="UTJ287" s="2151"/>
      <c r="UTK287" s="2151"/>
      <c r="UTL287" s="2151"/>
      <c r="UTM287" s="2151"/>
      <c r="UTN287" s="2151"/>
      <c r="UTO287" s="2151"/>
      <c r="UTP287" s="2151"/>
      <c r="UTQ287" s="2151"/>
      <c r="UTR287" s="2151"/>
      <c r="UTS287" s="2150"/>
      <c r="UTT287" s="2151"/>
      <c r="UTU287" s="2151"/>
      <c r="UTV287" s="2151"/>
      <c r="UTW287" s="2151"/>
      <c r="UTX287" s="2151"/>
      <c r="UTY287" s="2151"/>
      <c r="UTZ287" s="2151"/>
      <c r="UUA287" s="2151"/>
      <c r="UUB287" s="2151"/>
      <c r="UUC287" s="2151"/>
      <c r="UUD287" s="2151"/>
      <c r="UUE287" s="2151"/>
      <c r="UUF287" s="2151"/>
      <c r="UUG287" s="2151"/>
      <c r="UUH287" s="2151"/>
      <c r="UUI287" s="2150"/>
      <c r="UUJ287" s="2151"/>
      <c r="UUK287" s="2151"/>
      <c r="UUL287" s="2151"/>
      <c r="UUM287" s="2151"/>
      <c r="UUN287" s="2151"/>
      <c r="UUO287" s="2151"/>
      <c r="UUP287" s="2151"/>
      <c r="UUQ287" s="2151"/>
      <c r="UUR287" s="2151"/>
      <c r="UUS287" s="2151"/>
      <c r="UUT287" s="2151"/>
      <c r="UUU287" s="2151"/>
      <c r="UUV287" s="2151"/>
      <c r="UUW287" s="2151"/>
      <c r="UUX287" s="2151"/>
      <c r="UUY287" s="2150"/>
      <c r="UUZ287" s="2151"/>
      <c r="UVA287" s="2151"/>
      <c r="UVB287" s="2151"/>
      <c r="UVC287" s="2151"/>
      <c r="UVD287" s="2151"/>
      <c r="UVE287" s="2151"/>
      <c r="UVF287" s="2151"/>
      <c r="UVG287" s="2151"/>
      <c r="UVH287" s="2151"/>
      <c r="UVI287" s="2151"/>
      <c r="UVJ287" s="2151"/>
      <c r="UVK287" s="2151"/>
      <c r="UVL287" s="2151"/>
      <c r="UVM287" s="2151"/>
      <c r="UVN287" s="2151"/>
      <c r="UVO287" s="2150"/>
      <c r="UVP287" s="2151"/>
      <c r="UVQ287" s="2151"/>
      <c r="UVR287" s="2151"/>
      <c r="UVS287" s="2151"/>
      <c r="UVT287" s="2151"/>
      <c r="UVU287" s="2151"/>
      <c r="UVV287" s="2151"/>
      <c r="UVW287" s="2151"/>
      <c r="UVX287" s="2151"/>
      <c r="UVY287" s="2151"/>
      <c r="UVZ287" s="2151"/>
      <c r="UWA287" s="2151"/>
      <c r="UWB287" s="2151"/>
      <c r="UWC287" s="2151"/>
      <c r="UWD287" s="2151"/>
      <c r="UWE287" s="2150"/>
      <c r="UWF287" s="2151"/>
      <c r="UWG287" s="2151"/>
      <c r="UWH287" s="2151"/>
      <c r="UWI287" s="2151"/>
      <c r="UWJ287" s="2151"/>
      <c r="UWK287" s="2151"/>
      <c r="UWL287" s="2151"/>
      <c r="UWM287" s="2151"/>
      <c r="UWN287" s="2151"/>
      <c r="UWO287" s="2151"/>
      <c r="UWP287" s="2151"/>
      <c r="UWQ287" s="2151"/>
      <c r="UWR287" s="2151"/>
      <c r="UWS287" s="2151"/>
      <c r="UWT287" s="2151"/>
      <c r="UWU287" s="2150"/>
      <c r="UWV287" s="2151"/>
      <c r="UWW287" s="2151"/>
      <c r="UWX287" s="2151"/>
      <c r="UWY287" s="2151"/>
      <c r="UWZ287" s="2151"/>
      <c r="UXA287" s="2151"/>
      <c r="UXB287" s="2151"/>
      <c r="UXC287" s="2151"/>
      <c r="UXD287" s="2151"/>
      <c r="UXE287" s="2151"/>
      <c r="UXF287" s="2151"/>
      <c r="UXG287" s="2151"/>
      <c r="UXH287" s="2151"/>
      <c r="UXI287" s="2151"/>
      <c r="UXJ287" s="2151"/>
      <c r="UXK287" s="2150"/>
      <c r="UXL287" s="2151"/>
      <c r="UXM287" s="2151"/>
      <c r="UXN287" s="2151"/>
      <c r="UXO287" s="2151"/>
      <c r="UXP287" s="2151"/>
      <c r="UXQ287" s="2151"/>
      <c r="UXR287" s="2151"/>
      <c r="UXS287" s="2151"/>
      <c r="UXT287" s="2151"/>
      <c r="UXU287" s="2151"/>
      <c r="UXV287" s="2151"/>
      <c r="UXW287" s="2151"/>
      <c r="UXX287" s="2151"/>
      <c r="UXY287" s="2151"/>
      <c r="UXZ287" s="2151"/>
      <c r="UYA287" s="2150"/>
      <c r="UYB287" s="2151"/>
      <c r="UYC287" s="2151"/>
      <c r="UYD287" s="2151"/>
      <c r="UYE287" s="2151"/>
      <c r="UYF287" s="2151"/>
      <c r="UYG287" s="2151"/>
      <c r="UYH287" s="2151"/>
      <c r="UYI287" s="2151"/>
      <c r="UYJ287" s="2151"/>
      <c r="UYK287" s="2151"/>
      <c r="UYL287" s="2151"/>
      <c r="UYM287" s="2151"/>
      <c r="UYN287" s="2151"/>
      <c r="UYO287" s="2151"/>
      <c r="UYP287" s="2151"/>
      <c r="UYQ287" s="2150"/>
      <c r="UYR287" s="2151"/>
      <c r="UYS287" s="2151"/>
      <c r="UYT287" s="2151"/>
      <c r="UYU287" s="2151"/>
      <c r="UYV287" s="2151"/>
      <c r="UYW287" s="2151"/>
      <c r="UYX287" s="2151"/>
      <c r="UYY287" s="2151"/>
      <c r="UYZ287" s="2151"/>
      <c r="UZA287" s="2151"/>
      <c r="UZB287" s="2151"/>
      <c r="UZC287" s="2151"/>
      <c r="UZD287" s="2151"/>
      <c r="UZE287" s="2151"/>
      <c r="UZF287" s="2151"/>
      <c r="UZG287" s="2150"/>
      <c r="UZH287" s="2151"/>
      <c r="UZI287" s="2151"/>
      <c r="UZJ287" s="2151"/>
      <c r="UZK287" s="2151"/>
      <c r="UZL287" s="2151"/>
      <c r="UZM287" s="2151"/>
      <c r="UZN287" s="2151"/>
      <c r="UZO287" s="2151"/>
      <c r="UZP287" s="2151"/>
      <c r="UZQ287" s="2151"/>
      <c r="UZR287" s="2151"/>
      <c r="UZS287" s="2151"/>
      <c r="UZT287" s="2151"/>
      <c r="UZU287" s="2151"/>
      <c r="UZV287" s="2151"/>
      <c r="UZW287" s="2150"/>
      <c r="UZX287" s="2151"/>
      <c r="UZY287" s="2151"/>
      <c r="UZZ287" s="2151"/>
      <c r="VAA287" s="2151"/>
      <c r="VAB287" s="2151"/>
      <c r="VAC287" s="2151"/>
      <c r="VAD287" s="2151"/>
      <c r="VAE287" s="2151"/>
      <c r="VAF287" s="2151"/>
      <c r="VAG287" s="2151"/>
      <c r="VAH287" s="2151"/>
      <c r="VAI287" s="2151"/>
      <c r="VAJ287" s="2151"/>
      <c r="VAK287" s="2151"/>
      <c r="VAL287" s="2151"/>
      <c r="VAM287" s="2150"/>
      <c r="VAN287" s="2151"/>
      <c r="VAO287" s="2151"/>
      <c r="VAP287" s="2151"/>
      <c r="VAQ287" s="2151"/>
      <c r="VAR287" s="2151"/>
      <c r="VAS287" s="2151"/>
      <c r="VAT287" s="2151"/>
      <c r="VAU287" s="2151"/>
      <c r="VAV287" s="2151"/>
      <c r="VAW287" s="2151"/>
      <c r="VAX287" s="2151"/>
      <c r="VAY287" s="2151"/>
      <c r="VAZ287" s="2151"/>
      <c r="VBA287" s="2151"/>
      <c r="VBB287" s="2151"/>
      <c r="VBC287" s="2150"/>
      <c r="VBD287" s="2151"/>
      <c r="VBE287" s="2151"/>
      <c r="VBF287" s="2151"/>
      <c r="VBG287" s="2151"/>
      <c r="VBH287" s="2151"/>
      <c r="VBI287" s="2151"/>
      <c r="VBJ287" s="2151"/>
      <c r="VBK287" s="2151"/>
      <c r="VBL287" s="2151"/>
      <c r="VBM287" s="2151"/>
      <c r="VBN287" s="2151"/>
      <c r="VBO287" s="2151"/>
      <c r="VBP287" s="2151"/>
      <c r="VBQ287" s="2151"/>
      <c r="VBR287" s="2151"/>
      <c r="VBS287" s="2150"/>
      <c r="VBT287" s="2151"/>
      <c r="VBU287" s="2151"/>
      <c r="VBV287" s="2151"/>
      <c r="VBW287" s="2151"/>
      <c r="VBX287" s="2151"/>
      <c r="VBY287" s="2151"/>
      <c r="VBZ287" s="2151"/>
      <c r="VCA287" s="2151"/>
      <c r="VCB287" s="2151"/>
      <c r="VCC287" s="2151"/>
      <c r="VCD287" s="2151"/>
      <c r="VCE287" s="2151"/>
      <c r="VCF287" s="2151"/>
      <c r="VCG287" s="2151"/>
      <c r="VCH287" s="2151"/>
      <c r="VCI287" s="2150"/>
      <c r="VCJ287" s="2151"/>
      <c r="VCK287" s="2151"/>
      <c r="VCL287" s="2151"/>
      <c r="VCM287" s="2151"/>
      <c r="VCN287" s="2151"/>
      <c r="VCO287" s="2151"/>
      <c r="VCP287" s="2151"/>
      <c r="VCQ287" s="2151"/>
      <c r="VCR287" s="2151"/>
      <c r="VCS287" s="2151"/>
      <c r="VCT287" s="2151"/>
      <c r="VCU287" s="2151"/>
      <c r="VCV287" s="2151"/>
      <c r="VCW287" s="2151"/>
      <c r="VCX287" s="2151"/>
      <c r="VCY287" s="2150"/>
      <c r="VCZ287" s="2151"/>
      <c r="VDA287" s="2151"/>
      <c r="VDB287" s="2151"/>
      <c r="VDC287" s="2151"/>
      <c r="VDD287" s="2151"/>
      <c r="VDE287" s="2151"/>
      <c r="VDF287" s="2151"/>
      <c r="VDG287" s="2151"/>
      <c r="VDH287" s="2151"/>
      <c r="VDI287" s="2151"/>
      <c r="VDJ287" s="2151"/>
      <c r="VDK287" s="2151"/>
      <c r="VDL287" s="2151"/>
      <c r="VDM287" s="2151"/>
      <c r="VDN287" s="2151"/>
      <c r="VDO287" s="2150"/>
      <c r="VDP287" s="2151"/>
      <c r="VDQ287" s="2151"/>
      <c r="VDR287" s="2151"/>
      <c r="VDS287" s="2151"/>
      <c r="VDT287" s="2151"/>
      <c r="VDU287" s="2151"/>
      <c r="VDV287" s="2151"/>
      <c r="VDW287" s="2151"/>
      <c r="VDX287" s="2151"/>
      <c r="VDY287" s="2151"/>
      <c r="VDZ287" s="2151"/>
      <c r="VEA287" s="2151"/>
      <c r="VEB287" s="2151"/>
      <c r="VEC287" s="2151"/>
      <c r="VED287" s="2151"/>
      <c r="VEE287" s="2150"/>
      <c r="VEF287" s="2151"/>
      <c r="VEG287" s="2151"/>
      <c r="VEH287" s="2151"/>
      <c r="VEI287" s="2151"/>
      <c r="VEJ287" s="2151"/>
      <c r="VEK287" s="2151"/>
      <c r="VEL287" s="2151"/>
      <c r="VEM287" s="2151"/>
      <c r="VEN287" s="2151"/>
      <c r="VEO287" s="2151"/>
      <c r="VEP287" s="2151"/>
      <c r="VEQ287" s="2151"/>
      <c r="VER287" s="2151"/>
      <c r="VES287" s="2151"/>
      <c r="VET287" s="2151"/>
      <c r="VEU287" s="2150"/>
      <c r="VEV287" s="2151"/>
      <c r="VEW287" s="2151"/>
      <c r="VEX287" s="2151"/>
      <c r="VEY287" s="2151"/>
      <c r="VEZ287" s="2151"/>
      <c r="VFA287" s="2151"/>
      <c r="VFB287" s="2151"/>
      <c r="VFC287" s="2151"/>
      <c r="VFD287" s="2151"/>
      <c r="VFE287" s="2151"/>
      <c r="VFF287" s="2151"/>
      <c r="VFG287" s="2151"/>
      <c r="VFH287" s="2151"/>
      <c r="VFI287" s="2151"/>
      <c r="VFJ287" s="2151"/>
      <c r="VFK287" s="2150"/>
      <c r="VFL287" s="2151"/>
      <c r="VFM287" s="2151"/>
      <c r="VFN287" s="2151"/>
      <c r="VFO287" s="2151"/>
      <c r="VFP287" s="2151"/>
      <c r="VFQ287" s="2151"/>
      <c r="VFR287" s="2151"/>
      <c r="VFS287" s="2151"/>
      <c r="VFT287" s="2151"/>
      <c r="VFU287" s="2151"/>
      <c r="VFV287" s="2151"/>
      <c r="VFW287" s="2151"/>
      <c r="VFX287" s="2151"/>
      <c r="VFY287" s="2151"/>
      <c r="VFZ287" s="2151"/>
      <c r="VGA287" s="2150"/>
      <c r="VGB287" s="2151"/>
      <c r="VGC287" s="2151"/>
      <c r="VGD287" s="2151"/>
      <c r="VGE287" s="2151"/>
      <c r="VGF287" s="2151"/>
      <c r="VGG287" s="2151"/>
      <c r="VGH287" s="2151"/>
      <c r="VGI287" s="2151"/>
      <c r="VGJ287" s="2151"/>
      <c r="VGK287" s="2151"/>
      <c r="VGL287" s="2151"/>
      <c r="VGM287" s="2151"/>
      <c r="VGN287" s="2151"/>
      <c r="VGO287" s="2151"/>
      <c r="VGP287" s="2151"/>
      <c r="VGQ287" s="2150"/>
      <c r="VGR287" s="2151"/>
      <c r="VGS287" s="2151"/>
      <c r="VGT287" s="2151"/>
      <c r="VGU287" s="2151"/>
      <c r="VGV287" s="2151"/>
      <c r="VGW287" s="2151"/>
      <c r="VGX287" s="2151"/>
      <c r="VGY287" s="2151"/>
      <c r="VGZ287" s="2151"/>
      <c r="VHA287" s="2151"/>
      <c r="VHB287" s="2151"/>
      <c r="VHC287" s="2151"/>
      <c r="VHD287" s="2151"/>
      <c r="VHE287" s="2151"/>
      <c r="VHF287" s="2151"/>
      <c r="VHG287" s="2150"/>
      <c r="VHH287" s="2151"/>
      <c r="VHI287" s="2151"/>
      <c r="VHJ287" s="2151"/>
      <c r="VHK287" s="2151"/>
      <c r="VHL287" s="2151"/>
      <c r="VHM287" s="2151"/>
      <c r="VHN287" s="2151"/>
      <c r="VHO287" s="2151"/>
      <c r="VHP287" s="2151"/>
      <c r="VHQ287" s="2151"/>
      <c r="VHR287" s="2151"/>
      <c r="VHS287" s="2151"/>
      <c r="VHT287" s="2151"/>
      <c r="VHU287" s="2151"/>
      <c r="VHV287" s="2151"/>
      <c r="VHW287" s="2150"/>
      <c r="VHX287" s="2151"/>
      <c r="VHY287" s="2151"/>
      <c r="VHZ287" s="2151"/>
      <c r="VIA287" s="2151"/>
      <c r="VIB287" s="2151"/>
      <c r="VIC287" s="2151"/>
      <c r="VID287" s="2151"/>
      <c r="VIE287" s="2151"/>
      <c r="VIF287" s="2151"/>
      <c r="VIG287" s="2151"/>
      <c r="VIH287" s="2151"/>
      <c r="VII287" s="2151"/>
      <c r="VIJ287" s="2151"/>
      <c r="VIK287" s="2151"/>
      <c r="VIL287" s="2151"/>
      <c r="VIM287" s="2150"/>
      <c r="VIN287" s="2151"/>
      <c r="VIO287" s="2151"/>
      <c r="VIP287" s="2151"/>
      <c r="VIQ287" s="2151"/>
      <c r="VIR287" s="2151"/>
      <c r="VIS287" s="2151"/>
      <c r="VIT287" s="2151"/>
      <c r="VIU287" s="2151"/>
      <c r="VIV287" s="2151"/>
      <c r="VIW287" s="2151"/>
      <c r="VIX287" s="2151"/>
      <c r="VIY287" s="2151"/>
      <c r="VIZ287" s="2151"/>
      <c r="VJA287" s="2151"/>
      <c r="VJB287" s="2151"/>
      <c r="VJC287" s="2150"/>
      <c r="VJD287" s="2151"/>
      <c r="VJE287" s="2151"/>
      <c r="VJF287" s="2151"/>
      <c r="VJG287" s="2151"/>
      <c r="VJH287" s="2151"/>
      <c r="VJI287" s="2151"/>
      <c r="VJJ287" s="2151"/>
      <c r="VJK287" s="2151"/>
      <c r="VJL287" s="2151"/>
      <c r="VJM287" s="2151"/>
      <c r="VJN287" s="2151"/>
      <c r="VJO287" s="2151"/>
      <c r="VJP287" s="2151"/>
      <c r="VJQ287" s="2151"/>
      <c r="VJR287" s="2151"/>
      <c r="VJS287" s="2150"/>
      <c r="VJT287" s="2151"/>
      <c r="VJU287" s="2151"/>
      <c r="VJV287" s="2151"/>
      <c r="VJW287" s="2151"/>
      <c r="VJX287" s="2151"/>
      <c r="VJY287" s="2151"/>
      <c r="VJZ287" s="2151"/>
      <c r="VKA287" s="2151"/>
      <c r="VKB287" s="2151"/>
      <c r="VKC287" s="2151"/>
      <c r="VKD287" s="2151"/>
      <c r="VKE287" s="2151"/>
      <c r="VKF287" s="2151"/>
      <c r="VKG287" s="2151"/>
      <c r="VKH287" s="2151"/>
      <c r="VKI287" s="2150"/>
      <c r="VKJ287" s="2151"/>
      <c r="VKK287" s="2151"/>
      <c r="VKL287" s="2151"/>
      <c r="VKM287" s="2151"/>
      <c r="VKN287" s="2151"/>
      <c r="VKO287" s="2151"/>
      <c r="VKP287" s="2151"/>
      <c r="VKQ287" s="2151"/>
      <c r="VKR287" s="2151"/>
      <c r="VKS287" s="2151"/>
      <c r="VKT287" s="2151"/>
      <c r="VKU287" s="2151"/>
      <c r="VKV287" s="2151"/>
      <c r="VKW287" s="2151"/>
      <c r="VKX287" s="2151"/>
      <c r="VKY287" s="2150"/>
      <c r="VKZ287" s="2151"/>
      <c r="VLA287" s="2151"/>
      <c r="VLB287" s="2151"/>
      <c r="VLC287" s="2151"/>
      <c r="VLD287" s="2151"/>
      <c r="VLE287" s="2151"/>
      <c r="VLF287" s="2151"/>
      <c r="VLG287" s="2151"/>
      <c r="VLH287" s="2151"/>
      <c r="VLI287" s="2151"/>
      <c r="VLJ287" s="2151"/>
      <c r="VLK287" s="2151"/>
      <c r="VLL287" s="2151"/>
      <c r="VLM287" s="2151"/>
      <c r="VLN287" s="2151"/>
      <c r="VLO287" s="2150"/>
      <c r="VLP287" s="2151"/>
      <c r="VLQ287" s="2151"/>
      <c r="VLR287" s="2151"/>
      <c r="VLS287" s="2151"/>
      <c r="VLT287" s="2151"/>
      <c r="VLU287" s="2151"/>
      <c r="VLV287" s="2151"/>
      <c r="VLW287" s="2151"/>
      <c r="VLX287" s="2151"/>
      <c r="VLY287" s="2151"/>
      <c r="VLZ287" s="2151"/>
      <c r="VMA287" s="2151"/>
      <c r="VMB287" s="2151"/>
      <c r="VMC287" s="2151"/>
      <c r="VMD287" s="2151"/>
      <c r="VME287" s="2150"/>
      <c r="VMF287" s="2151"/>
      <c r="VMG287" s="2151"/>
      <c r="VMH287" s="2151"/>
      <c r="VMI287" s="2151"/>
      <c r="VMJ287" s="2151"/>
      <c r="VMK287" s="2151"/>
      <c r="VML287" s="2151"/>
      <c r="VMM287" s="2151"/>
      <c r="VMN287" s="2151"/>
      <c r="VMO287" s="2151"/>
      <c r="VMP287" s="2151"/>
      <c r="VMQ287" s="2151"/>
      <c r="VMR287" s="2151"/>
      <c r="VMS287" s="2151"/>
      <c r="VMT287" s="2151"/>
      <c r="VMU287" s="2150"/>
      <c r="VMV287" s="2151"/>
      <c r="VMW287" s="2151"/>
      <c r="VMX287" s="2151"/>
      <c r="VMY287" s="2151"/>
      <c r="VMZ287" s="2151"/>
      <c r="VNA287" s="2151"/>
      <c r="VNB287" s="2151"/>
      <c r="VNC287" s="2151"/>
      <c r="VND287" s="2151"/>
      <c r="VNE287" s="2151"/>
      <c r="VNF287" s="2151"/>
      <c r="VNG287" s="2151"/>
      <c r="VNH287" s="2151"/>
      <c r="VNI287" s="2151"/>
      <c r="VNJ287" s="2151"/>
      <c r="VNK287" s="2150"/>
      <c r="VNL287" s="2151"/>
      <c r="VNM287" s="2151"/>
      <c r="VNN287" s="2151"/>
      <c r="VNO287" s="2151"/>
      <c r="VNP287" s="2151"/>
      <c r="VNQ287" s="2151"/>
      <c r="VNR287" s="2151"/>
      <c r="VNS287" s="2151"/>
      <c r="VNT287" s="2151"/>
      <c r="VNU287" s="2151"/>
      <c r="VNV287" s="2151"/>
      <c r="VNW287" s="2151"/>
      <c r="VNX287" s="2151"/>
      <c r="VNY287" s="2151"/>
      <c r="VNZ287" s="2151"/>
      <c r="VOA287" s="2150"/>
      <c r="VOB287" s="2151"/>
      <c r="VOC287" s="2151"/>
      <c r="VOD287" s="2151"/>
      <c r="VOE287" s="2151"/>
      <c r="VOF287" s="2151"/>
      <c r="VOG287" s="2151"/>
      <c r="VOH287" s="2151"/>
      <c r="VOI287" s="2151"/>
      <c r="VOJ287" s="2151"/>
      <c r="VOK287" s="2151"/>
      <c r="VOL287" s="2151"/>
      <c r="VOM287" s="2151"/>
      <c r="VON287" s="2151"/>
      <c r="VOO287" s="2151"/>
      <c r="VOP287" s="2151"/>
      <c r="VOQ287" s="2150"/>
      <c r="VOR287" s="2151"/>
      <c r="VOS287" s="2151"/>
      <c r="VOT287" s="2151"/>
      <c r="VOU287" s="2151"/>
      <c r="VOV287" s="2151"/>
      <c r="VOW287" s="2151"/>
      <c r="VOX287" s="2151"/>
      <c r="VOY287" s="2151"/>
      <c r="VOZ287" s="2151"/>
      <c r="VPA287" s="2151"/>
      <c r="VPB287" s="2151"/>
      <c r="VPC287" s="2151"/>
      <c r="VPD287" s="2151"/>
      <c r="VPE287" s="2151"/>
      <c r="VPF287" s="2151"/>
      <c r="VPG287" s="2150"/>
      <c r="VPH287" s="2151"/>
      <c r="VPI287" s="2151"/>
      <c r="VPJ287" s="2151"/>
      <c r="VPK287" s="2151"/>
      <c r="VPL287" s="2151"/>
      <c r="VPM287" s="2151"/>
      <c r="VPN287" s="2151"/>
      <c r="VPO287" s="2151"/>
      <c r="VPP287" s="2151"/>
      <c r="VPQ287" s="2151"/>
      <c r="VPR287" s="2151"/>
      <c r="VPS287" s="2151"/>
      <c r="VPT287" s="2151"/>
      <c r="VPU287" s="2151"/>
      <c r="VPV287" s="2151"/>
      <c r="VPW287" s="2150"/>
      <c r="VPX287" s="2151"/>
      <c r="VPY287" s="2151"/>
      <c r="VPZ287" s="2151"/>
      <c r="VQA287" s="2151"/>
      <c r="VQB287" s="2151"/>
      <c r="VQC287" s="2151"/>
      <c r="VQD287" s="2151"/>
      <c r="VQE287" s="2151"/>
      <c r="VQF287" s="2151"/>
      <c r="VQG287" s="2151"/>
      <c r="VQH287" s="2151"/>
      <c r="VQI287" s="2151"/>
      <c r="VQJ287" s="2151"/>
      <c r="VQK287" s="2151"/>
      <c r="VQL287" s="2151"/>
      <c r="VQM287" s="2150"/>
      <c r="VQN287" s="2151"/>
      <c r="VQO287" s="2151"/>
      <c r="VQP287" s="2151"/>
      <c r="VQQ287" s="2151"/>
      <c r="VQR287" s="2151"/>
      <c r="VQS287" s="2151"/>
      <c r="VQT287" s="2151"/>
      <c r="VQU287" s="2151"/>
      <c r="VQV287" s="2151"/>
      <c r="VQW287" s="2151"/>
      <c r="VQX287" s="2151"/>
      <c r="VQY287" s="2151"/>
      <c r="VQZ287" s="2151"/>
      <c r="VRA287" s="2151"/>
      <c r="VRB287" s="2151"/>
      <c r="VRC287" s="2150"/>
      <c r="VRD287" s="2151"/>
      <c r="VRE287" s="2151"/>
      <c r="VRF287" s="2151"/>
      <c r="VRG287" s="2151"/>
      <c r="VRH287" s="2151"/>
      <c r="VRI287" s="2151"/>
      <c r="VRJ287" s="2151"/>
      <c r="VRK287" s="2151"/>
      <c r="VRL287" s="2151"/>
      <c r="VRM287" s="2151"/>
      <c r="VRN287" s="2151"/>
      <c r="VRO287" s="2151"/>
      <c r="VRP287" s="2151"/>
      <c r="VRQ287" s="2151"/>
      <c r="VRR287" s="2151"/>
      <c r="VRS287" s="2150"/>
      <c r="VRT287" s="2151"/>
      <c r="VRU287" s="2151"/>
      <c r="VRV287" s="2151"/>
      <c r="VRW287" s="2151"/>
      <c r="VRX287" s="2151"/>
      <c r="VRY287" s="2151"/>
      <c r="VRZ287" s="2151"/>
      <c r="VSA287" s="2151"/>
      <c r="VSB287" s="2151"/>
      <c r="VSC287" s="2151"/>
      <c r="VSD287" s="2151"/>
      <c r="VSE287" s="2151"/>
      <c r="VSF287" s="2151"/>
      <c r="VSG287" s="2151"/>
      <c r="VSH287" s="2151"/>
      <c r="VSI287" s="2150"/>
      <c r="VSJ287" s="2151"/>
      <c r="VSK287" s="2151"/>
      <c r="VSL287" s="2151"/>
      <c r="VSM287" s="2151"/>
      <c r="VSN287" s="2151"/>
      <c r="VSO287" s="2151"/>
      <c r="VSP287" s="2151"/>
      <c r="VSQ287" s="2151"/>
      <c r="VSR287" s="2151"/>
      <c r="VSS287" s="2151"/>
      <c r="VST287" s="2151"/>
      <c r="VSU287" s="2151"/>
      <c r="VSV287" s="2151"/>
      <c r="VSW287" s="2151"/>
      <c r="VSX287" s="2151"/>
      <c r="VSY287" s="2150"/>
      <c r="VSZ287" s="2151"/>
      <c r="VTA287" s="2151"/>
      <c r="VTB287" s="2151"/>
      <c r="VTC287" s="2151"/>
      <c r="VTD287" s="2151"/>
      <c r="VTE287" s="2151"/>
      <c r="VTF287" s="2151"/>
      <c r="VTG287" s="2151"/>
      <c r="VTH287" s="2151"/>
      <c r="VTI287" s="2151"/>
      <c r="VTJ287" s="2151"/>
      <c r="VTK287" s="2151"/>
      <c r="VTL287" s="2151"/>
      <c r="VTM287" s="2151"/>
      <c r="VTN287" s="2151"/>
      <c r="VTO287" s="2150"/>
      <c r="VTP287" s="2151"/>
      <c r="VTQ287" s="2151"/>
      <c r="VTR287" s="2151"/>
      <c r="VTS287" s="2151"/>
      <c r="VTT287" s="2151"/>
      <c r="VTU287" s="2151"/>
      <c r="VTV287" s="2151"/>
      <c r="VTW287" s="2151"/>
      <c r="VTX287" s="2151"/>
      <c r="VTY287" s="2151"/>
      <c r="VTZ287" s="2151"/>
      <c r="VUA287" s="2151"/>
      <c r="VUB287" s="2151"/>
      <c r="VUC287" s="2151"/>
      <c r="VUD287" s="2151"/>
      <c r="VUE287" s="2150"/>
      <c r="VUF287" s="2151"/>
      <c r="VUG287" s="2151"/>
      <c r="VUH287" s="2151"/>
      <c r="VUI287" s="2151"/>
      <c r="VUJ287" s="2151"/>
      <c r="VUK287" s="2151"/>
      <c r="VUL287" s="2151"/>
      <c r="VUM287" s="2151"/>
      <c r="VUN287" s="2151"/>
      <c r="VUO287" s="2151"/>
      <c r="VUP287" s="2151"/>
      <c r="VUQ287" s="2151"/>
      <c r="VUR287" s="2151"/>
      <c r="VUS287" s="2151"/>
      <c r="VUT287" s="2151"/>
      <c r="VUU287" s="2150"/>
      <c r="VUV287" s="2151"/>
      <c r="VUW287" s="2151"/>
      <c r="VUX287" s="2151"/>
      <c r="VUY287" s="2151"/>
      <c r="VUZ287" s="2151"/>
      <c r="VVA287" s="2151"/>
      <c r="VVB287" s="2151"/>
      <c r="VVC287" s="2151"/>
      <c r="VVD287" s="2151"/>
      <c r="VVE287" s="2151"/>
      <c r="VVF287" s="2151"/>
      <c r="VVG287" s="2151"/>
      <c r="VVH287" s="2151"/>
      <c r="VVI287" s="2151"/>
      <c r="VVJ287" s="2151"/>
      <c r="VVK287" s="2150"/>
      <c r="VVL287" s="2151"/>
      <c r="VVM287" s="2151"/>
      <c r="VVN287" s="2151"/>
      <c r="VVO287" s="2151"/>
      <c r="VVP287" s="2151"/>
      <c r="VVQ287" s="2151"/>
      <c r="VVR287" s="2151"/>
      <c r="VVS287" s="2151"/>
      <c r="VVT287" s="2151"/>
      <c r="VVU287" s="2151"/>
      <c r="VVV287" s="2151"/>
      <c r="VVW287" s="2151"/>
      <c r="VVX287" s="2151"/>
      <c r="VVY287" s="2151"/>
      <c r="VVZ287" s="2151"/>
      <c r="VWA287" s="2150"/>
      <c r="VWB287" s="2151"/>
      <c r="VWC287" s="2151"/>
      <c r="VWD287" s="2151"/>
      <c r="VWE287" s="2151"/>
      <c r="VWF287" s="2151"/>
      <c r="VWG287" s="2151"/>
      <c r="VWH287" s="2151"/>
      <c r="VWI287" s="2151"/>
      <c r="VWJ287" s="2151"/>
      <c r="VWK287" s="2151"/>
      <c r="VWL287" s="2151"/>
      <c r="VWM287" s="2151"/>
      <c r="VWN287" s="2151"/>
      <c r="VWO287" s="2151"/>
      <c r="VWP287" s="2151"/>
      <c r="VWQ287" s="2150"/>
      <c r="VWR287" s="2151"/>
      <c r="VWS287" s="2151"/>
      <c r="VWT287" s="2151"/>
      <c r="VWU287" s="2151"/>
      <c r="VWV287" s="2151"/>
      <c r="VWW287" s="2151"/>
      <c r="VWX287" s="2151"/>
      <c r="VWY287" s="2151"/>
      <c r="VWZ287" s="2151"/>
      <c r="VXA287" s="2151"/>
      <c r="VXB287" s="2151"/>
      <c r="VXC287" s="2151"/>
      <c r="VXD287" s="2151"/>
      <c r="VXE287" s="2151"/>
      <c r="VXF287" s="2151"/>
      <c r="VXG287" s="2150"/>
      <c r="VXH287" s="2151"/>
      <c r="VXI287" s="2151"/>
      <c r="VXJ287" s="2151"/>
      <c r="VXK287" s="2151"/>
      <c r="VXL287" s="2151"/>
      <c r="VXM287" s="2151"/>
      <c r="VXN287" s="2151"/>
      <c r="VXO287" s="2151"/>
      <c r="VXP287" s="2151"/>
      <c r="VXQ287" s="2151"/>
      <c r="VXR287" s="2151"/>
      <c r="VXS287" s="2151"/>
      <c r="VXT287" s="2151"/>
      <c r="VXU287" s="2151"/>
      <c r="VXV287" s="2151"/>
      <c r="VXW287" s="2150"/>
      <c r="VXX287" s="2151"/>
      <c r="VXY287" s="2151"/>
      <c r="VXZ287" s="2151"/>
      <c r="VYA287" s="2151"/>
      <c r="VYB287" s="2151"/>
      <c r="VYC287" s="2151"/>
      <c r="VYD287" s="2151"/>
      <c r="VYE287" s="2151"/>
      <c r="VYF287" s="2151"/>
      <c r="VYG287" s="2151"/>
      <c r="VYH287" s="2151"/>
      <c r="VYI287" s="2151"/>
      <c r="VYJ287" s="2151"/>
      <c r="VYK287" s="2151"/>
      <c r="VYL287" s="2151"/>
      <c r="VYM287" s="2150"/>
      <c r="VYN287" s="2151"/>
      <c r="VYO287" s="2151"/>
      <c r="VYP287" s="2151"/>
      <c r="VYQ287" s="2151"/>
      <c r="VYR287" s="2151"/>
      <c r="VYS287" s="2151"/>
      <c r="VYT287" s="2151"/>
      <c r="VYU287" s="2151"/>
      <c r="VYV287" s="2151"/>
      <c r="VYW287" s="2151"/>
      <c r="VYX287" s="2151"/>
      <c r="VYY287" s="2151"/>
      <c r="VYZ287" s="2151"/>
      <c r="VZA287" s="2151"/>
      <c r="VZB287" s="2151"/>
      <c r="VZC287" s="2150"/>
      <c r="VZD287" s="2151"/>
      <c r="VZE287" s="2151"/>
      <c r="VZF287" s="2151"/>
      <c r="VZG287" s="2151"/>
      <c r="VZH287" s="2151"/>
      <c r="VZI287" s="2151"/>
      <c r="VZJ287" s="2151"/>
      <c r="VZK287" s="2151"/>
      <c r="VZL287" s="2151"/>
      <c r="VZM287" s="2151"/>
      <c r="VZN287" s="2151"/>
      <c r="VZO287" s="2151"/>
      <c r="VZP287" s="2151"/>
      <c r="VZQ287" s="2151"/>
      <c r="VZR287" s="2151"/>
      <c r="VZS287" s="2150"/>
      <c r="VZT287" s="2151"/>
      <c r="VZU287" s="2151"/>
      <c r="VZV287" s="2151"/>
      <c r="VZW287" s="2151"/>
      <c r="VZX287" s="2151"/>
      <c r="VZY287" s="2151"/>
      <c r="VZZ287" s="2151"/>
      <c r="WAA287" s="2151"/>
      <c r="WAB287" s="2151"/>
      <c r="WAC287" s="2151"/>
      <c r="WAD287" s="2151"/>
      <c r="WAE287" s="2151"/>
      <c r="WAF287" s="2151"/>
      <c r="WAG287" s="2151"/>
      <c r="WAH287" s="2151"/>
      <c r="WAI287" s="2150"/>
      <c r="WAJ287" s="2151"/>
      <c r="WAK287" s="2151"/>
      <c r="WAL287" s="2151"/>
      <c r="WAM287" s="2151"/>
      <c r="WAN287" s="2151"/>
      <c r="WAO287" s="2151"/>
      <c r="WAP287" s="2151"/>
      <c r="WAQ287" s="2151"/>
      <c r="WAR287" s="2151"/>
      <c r="WAS287" s="2151"/>
      <c r="WAT287" s="2151"/>
      <c r="WAU287" s="2151"/>
      <c r="WAV287" s="2151"/>
      <c r="WAW287" s="2151"/>
      <c r="WAX287" s="2151"/>
      <c r="WAY287" s="2150"/>
      <c r="WAZ287" s="2151"/>
      <c r="WBA287" s="2151"/>
      <c r="WBB287" s="2151"/>
      <c r="WBC287" s="2151"/>
      <c r="WBD287" s="2151"/>
      <c r="WBE287" s="2151"/>
      <c r="WBF287" s="2151"/>
      <c r="WBG287" s="2151"/>
      <c r="WBH287" s="2151"/>
      <c r="WBI287" s="2151"/>
      <c r="WBJ287" s="2151"/>
      <c r="WBK287" s="2151"/>
      <c r="WBL287" s="2151"/>
      <c r="WBM287" s="2151"/>
      <c r="WBN287" s="2151"/>
      <c r="WBO287" s="2150"/>
      <c r="WBP287" s="2151"/>
      <c r="WBQ287" s="2151"/>
      <c r="WBR287" s="2151"/>
      <c r="WBS287" s="2151"/>
      <c r="WBT287" s="2151"/>
      <c r="WBU287" s="2151"/>
      <c r="WBV287" s="2151"/>
      <c r="WBW287" s="2151"/>
      <c r="WBX287" s="2151"/>
      <c r="WBY287" s="2151"/>
      <c r="WBZ287" s="2151"/>
      <c r="WCA287" s="2151"/>
      <c r="WCB287" s="2151"/>
      <c r="WCC287" s="2151"/>
      <c r="WCD287" s="2151"/>
      <c r="WCE287" s="2150"/>
      <c r="WCF287" s="2151"/>
      <c r="WCG287" s="2151"/>
      <c r="WCH287" s="2151"/>
      <c r="WCI287" s="2151"/>
      <c r="WCJ287" s="2151"/>
      <c r="WCK287" s="2151"/>
      <c r="WCL287" s="2151"/>
      <c r="WCM287" s="2151"/>
      <c r="WCN287" s="2151"/>
      <c r="WCO287" s="2151"/>
      <c r="WCP287" s="2151"/>
      <c r="WCQ287" s="2151"/>
      <c r="WCR287" s="2151"/>
      <c r="WCS287" s="2151"/>
      <c r="WCT287" s="2151"/>
      <c r="WCU287" s="2150"/>
      <c r="WCV287" s="2151"/>
      <c r="WCW287" s="2151"/>
      <c r="WCX287" s="2151"/>
      <c r="WCY287" s="2151"/>
      <c r="WCZ287" s="2151"/>
      <c r="WDA287" s="2151"/>
      <c r="WDB287" s="2151"/>
      <c r="WDC287" s="2151"/>
      <c r="WDD287" s="2151"/>
      <c r="WDE287" s="2151"/>
      <c r="WDF287" s="2151"/>
      <c r="WDG287" s="2151"/>
      <c r="WDH287" s="2151"/>
      <c r="WDI287" s="2151"/>
      <c r="WDJ287" s="2151"/>
      <c r="WDK287" s="2150"/>
      <c r="WDL287" s="2151"/>
      <c r="WDM287" s="2151"/>
      <c r="WDN287" s="2151"/>
      <c r="WDO287" s="2151"/>
      <c r="WDP287" s="2151"/>
      <c r="WDQ287" s="2151"/>
      <c r="WDR287" s="2151"/>
      <c r="WDS287" s="2151"/>
      <c r="WDT287" s="2151"/>
      <c r="WDU287" s="2151"/>
      <c r="WDV287" s="2151"/>
      <c r="WDW287" s="2151"/>
      <c r="WDX287" s="2151"/>
      <c r="WDY287" s="2151"/>
      <c r="WDZ287" s="2151"/>
      <c r="WEA287" s="2150"/>
      <c r="WEB287" s="2151"/>
      <c r="WEC287" s="2151"/>
      <c r="WED287" s="2151"/>
      <c r="WEE287" s="2151"/>
      <c r="WEF287" s="2151"/>
      <c r="WEG287" s="2151"/>
      <c r="WEH287" s="2151"/>
      <c r="WEI287" s="2151"/>
      <c r="WEJ287" s="2151"/>
      <c r="WEK287" s="2151"/>
      <c r="WEL287" s="2151"/>
      <c r="WEM287" s="2151"/>
      <c r="WEN287" s="2151"/>
      <c r="WEO287" s="2151"/>
      <c r="WEP287" s="2151"/>
      <c r="WEQ287" s="2150"/>
      <c r="WER287" s="2151"/>
      <c r="WES287" s="2151"/>
      <c r="WET287" s="2151"/>
      <c r="WEU287" s="2151"/>
      <c r="WEV287" s="2151"/>
      <c r="WEW287" s="2151"/>
      <c r="WEX287" s="2151"/>
      <c r="WEY287" s="2151"/>
      <c r="WEZ287" s="2151"/>
      <c r="WFA287" s="2151"/>
      <c r="WFB287" s="2151"/>
      <c r="WFC287" s="2151"/>
      <c r="WFD287" s="2151"/>
      <c r="WFE287" s="2151"/>
      <c r="WFF287" s="2151"/>
      <c r="WFG287" s="2150"/>
      <c r="WFH287" s="2151"/>
      <c r="WFI287" s="2151"/>
      <c r="WFJ287" s="2151"/>
      <c r="WFK287" s="2151"/>
      <c r="WFL287" s="2151"/>
      <c r="WFM287" s="2151"/>
      <c r="WFN287" s="2151"/>
      <c r="WFO287" s="2151"/>
      <c r="WFP287" s="2151"/>
      <c r="WFQ287" s="2151"/>
      <c r="WFR287" s="2151"/>
      <c r="WFS287" s="2151"/>
      <c r="WFT287" s="2151"/>
      <c r="WFU287" s="2151"/>
      <c r="WFV287" s="2151"/>
      <c r="WFW287" s="2150"/>
      <c r="WFX287" s="2151"/>
      <c r="WFY287" s="2151"/>
      <c r="WFZ287" s="2151"/>
      <c r="WGA287" s="2151"/>
      <c r="WGB287" s="2151"/>
      <c r="WGC287" s="2151"/>
      <c r="WGD287" s="2151"/>
      <c r="WGE287" s="2151"/>
      <c r="WGF287" s="2151"/>
      <c r="WGG287" s="2151"/>
      <c r="WGH287" s="2151"/>
      <c r="WGI287" s="2151"/>
      <c r="WGJ287" s="2151"/>
      <c r="WGK287" s="2151"/>
      <c r="WGL287" s="2151"/>
      <c r="WGM287" s="2150"/>
      <c r="WGN287" s="2151"/>
      <c r="WGO287" s="2151"/>
      <c r="WGP287" s="2151"/>
      <c r="WGQ287" s="2151"/>
      <c r="WGR287" s="2151"/>
      <c r="WGS287" s="2151"/>
      <c r="WGT287" s="2151"/>
      <c r="WGU287" s="2151"/>
      <c r="WGV287" s="2151"/>
      <c r="WGW287" s="2151"/>
      <c r="WGX287" s="2151"/>
      <c r="WGY287" s="2151"/>
      <c r="WGZ287" s="2151"/>
      <c r="WHA287" s="2151"/>
      <c r="WHB287" s="2151"/>
      <c r="WHC287" s="2150"/>
      <c r="WHD287" s="2151"/>
      <c r="WHE287" s="2151"/>
      <c r="WHF287" s="2151"/>
      <c r="WHG287" s="2151"/>
      <c r="WHH287" s="2151"/>
      <c r="WHI287" s="2151"/>
      <c r="WHJ287" s="2151"/>
      <c r="WHK287" s="2151"/>
      <c r="WHL287" s="2151"/>
      <c r="WHM287" s="2151"/>
      <c r="WHN287" s="2151"/>
      <c r="WHO287" s="2151"/>
      <c r="WHP287" s="2151"/>
      <c r="WHQ287" s="2151"/>
      <c r="WHR287" s="2151"/>
      <c r="WHS287" s="2150"/>
      <c r="WHT287" s="2151"/>
      <c r="WHU287" s="2151"/>
      <c r="WHV287" s="2151"/>
      <c r="WHW287" s="2151"/>
      <c r="WHX287" s="2151"/>
      <c r="WHY287" s="2151"/>
      <c r="WHZ287" s="2151"/>
      <c r="WIA287" s="2151"/>
      <c r="WIB287" s="2151"/>
      <c r="WIC287" s="2151"/>
      <c r="WID287" s="2151"/>
      <c r="WIE287" s="2151"/>
      <c r="WIF287" s="2151"/>
      <c r="WIG287" s="2151"/>
      <c r="WIH287" s="2151"/>
      <c r="WII287" s="2150"/>
      <c r="WIJ287" s="2151"/>
      <c r="WIK287" s="2151"/>
      <c r="WIL287" s="2151"/>
      <c r="WIM287" s="2151"/>
      <c r="WIN287" s="2151"/>
      <c r="WIO287" s="2151"/>
      <c r="WIP287" s="2151"/>
      <c r="WIQ287" s="2151"/>
      <c r="WIR287" s="2151"/>
      <c r="WIS287" s="2151"/>
      <c r="WIT287" s="2151"/>
      <c r="WIU287" s="2151"/>
      <c r="WIV287" s="2151"/>
      <c r="WIW287" s="2151"/>
      <c r="WIX287" s="2151"/>
      <c r="WIY287" s="2150"/>
      <c r="WIZ287" s="2151"/>
      <c r="WJA287" s="2151"/>
      <c r="WJB287" s="2151"/>
      <c r="WJC287" s="2151"/>
      <c r="WJD287" s="2151"/>
      <c r="WJE287" s="2151"/>
      <c r="WJF287" s="2151"/>
      <c r="WJG287" s="2151"/>
      <c r="WJH287" s="2151"/>
      <c r="WJI287" s="2151"/>
      <c r="WJJ287" s="2151"/>
      <c r="WJK287" s="2151"/>
      <c r="WJL287" s="2151"/>
      <c r="WJM287" s="2151"/>
      <c r="WJN287" s="2151"/>
      <c r="WJO287" s="2150"/>
      <c r="WJP287" s="2151"/>
      <c r="WJQ287" s="2151"/>
      <c r="WJR287" s="2151"/>
      <c r="WJS287" s="2151"/>
      <c r="WJT287" s="2151"/>
      <c r="WJU287" s="2151"/>
      <c r="WJV287" s="2151"/>
      <c r="WJW287" s="2151"/>
      <c r="WJX287" s="2151"/>
      <c r="WJY287" s="2151"/>
      <c r="WJZ287" s="2151"/>
      <c r="WKA287" s="2151"/>
      <c r="WKB287" s="2151"/>
      <c r="WKC287" s="2151"/>
      <c r="WKD287" s="2151"/>
      <c r="WKE287" s="2150"/>
      <c r="WKF287" s="2151"/>
      <c r="WKG287" s="2151"/>
      <c r="WKH287" s="2151"/>
      <c r="WKI287" s="2151"/>
      <c r="WKJ287" s="2151"/>
      <c r="WKK287" s="2151"/>
      <c r="WKL287" s="2151"/>
      <c r="WKM287" s="2151"/>
      <c r="WKN287" s="2151"/>
      <c r="WKO287" s="2151"/>
      <c r="WKP287" s="2151"/>
      <c r="WKQ287" s="2151"/>
      <c r="WKR287" s="2151"/>
      <c r="WKS287" s="2151"/>
      <c r="WKT287" s="2151"/>
      <c r="WKU287" s="2150"/>
      <c r="WKV287" s="2151"/>
      <c r="WKW287" s="2151"/>
      <c r="WKX287" s="2151"/>
      <c r="WKY287" s="2151"/>
      <c r="WKZ287" s="2151"/>
      <c r="WLA287" s="2151"/>
      <c r="WLB287" s="2151"/>
      <c r="WLC287" s="2151"/>
      <c r="WLD287" s="2151"/>
      <c r="WLE287" s="2151"/>
      <c r="WLF287" s="2151"/>
      <c r="WLG287" s="2151"/>
      <c r="WLH287" s="2151"/>
      <c r="WLI287" s="2151"/>
      <c r="WLJ287" s="2151"/>
      <c r="WLK287" s="2150"/>
      <c r="WLL287" s="2151"/>
      <c r="WLM287" s="2151"/>
      <c r="WLN287" s="2151"/>
      <c r="WLO287" s="2151"/>
      <c r="WLP287" s="2151"/>
      <c r="WLQ287" s="2151"/>
      <c r="WLR287" s="2151"/>
      <c r="WLS287" s="2151"/>
      <c r="WLT287" s="2151"/>
      <c r="WLU287" s="2151"/>
      <c r="WLV287" s="2151"/>
      <c r="WLW287" s="2151"/>
      <c r="WLX287" s="2151"/>
      <c r="WLY287" s="2151"/>
      <c r="WLZ287" s="2151"/>
      <c r="WMA287" s="2150"/>
      <c r="WMB287" s="2151"/>
      <c r="WMC287" s="2151"/>
      <c r="WMD287" s="2151"/>
      <c r="WME287" s="2151"/>
      <c r="WMF287" s="2151"/>
      <c r="WMG287" s="2151"/>
      <c r="WMH287" s="2151"/>
      <c r="WMI287" s="2151"/>
      <c r="WMJ287" s="2151"/>
      <c r="WMK287" s="2151"/>
      <c r="WML287" s="2151"/>
      <c r="WMM287" s="2151"/>
      <c r="WMN287" s="2151"/>
      <c r="WMO287" s="2151"/>
      <c r="WMP287" s="2151"/>
      <c r="WMQ287" s="2150"/>
      <c r="WMR287" s="2151"/>
      <c r="WMS287" s="2151"/>
      <c r="WMT287" s="2151"/>
      <c r="WMU287" s="2151"/>
      <c r="WMV287" s="2151"/>
      <c r="WMW287" s="2151"/>
      <c r="WMX287" s="2151"/>
      <c r="WMY287" s="2151"/>
      <c r="WMZ287" s="2151"/>
      <c r="WNA287" s="2151"/>
      <c r="WNB287" s="2151"/>
      <c r="WNC287" s="2151"/>
      <c r="WND287" s="2151"/>
      <c r="WNE287" s="2151"/>
      <c r="WNF287" s="2151"/>
      <c r="WNG287" s="2150"/>
      <c r="WNH287" s="2151"/>
      <c r="WNI287" s="2151"/>
      <c r="WNJ287" s="2151"/>
      <c r="WNK287" s="2151"/>
      <c r="WNL287" s="2151"/>
      <c r="WNM287" s="2151"/>
      <c r="WNN287" s="2151"/>
      <c r="WNO287" s="2151"/>
      <c r="WNP287" s="2151"/>
      <c r="WNQ287" s="2151"/>
      <c r="WNR287" s="2151"/>
      <c r="WNS287" s="2151"/>
      <c r="WNT287" s="2151"/>
      <c r="WNU287" s="2151"/>
      <c r="WNV287" s="2151"/>
      <c r="WNW287" s="2150"/>
      <c r="WNX287" s="2151"/>
      <c r="WNY287" s="2151"/>
      <c r="WNZ287" s="2151"/>
      <c r="WOA287" s="2151"/>
      <c r="WOB287" s="2151"/>
      <c r="WOC287" s="2151"/>
      <c r="WOD287" s="2151"/>
      <c r="WOE287" s="2151"/>
      <c r="WOF287" s="2151"/>
      <c r="WOG287" s="2151"/>
      <c r="WOH287" s="2151"/>
      <c r="WOI287" s="2151"/>
      <c r="WOJ287" s="2151"/>
      <c r="WOK287" s="2151"/>
      <c r="WOL287" s="2151"/>
      <c r="WOM287" s="2150"/>
      <c r="WON287" s="2151"/>
      <c r="WOO287" s="2151"/>
      <c r="WOP287" s="2151"/>
      <c r="WOQ287" s="2151"/>
      <c r="WOR287" s="2151"/>
      <c r="WOS287" s="2151"/>
      <c r="WOT287" s="2151"/>
      <c r="WOU287" s="2151"/>
      <c r="WOV287" s="2151"/>
      <c r="WOW287" s="2151"/>
      <c r="WOX287" s="2151"/>
      <c r="WOY287" s="2151"/>
      <c r="WOZ287" s="2151"/>
      <c r="WPA287" s="2151"/>
      <c r="WPB287" s="2151"/>
      <c r="WPC287" s="2150"/>
      <c r="WPD287" s="2151"/>
      <c r="WPE287" s="2151"/>
      <c r="WPF287" s="2151"/>
      <c r="WPG287" s="2151"/>
      <c r="WPH287" s="2151"/>
      <c r="WPI287" s="2151"/>
      <c r="WPJ287" s="2151"/>
      <c r="WPK287" s="2151"/>
      <c r="WPL287" s="2151"/>
      <c r="WPM287" s="2151"/>
      <c r="WPN287" s="2151"/>
      <c r="WPO287" s="2151"/>
      <c r="WPP287" s="2151"/>
      <c r="WPQ287" s="2151"/>
      <c r="WPR287" s="2151"/>
      <c r="WPS287" s="2150"/>
      <c r="WPT287" s="2151"/>
      <c r="WPU287" s="2151"/>
      <c r="WPV287" s="2151"/>
      <c r="WPW287" s="2151"/>
      <c r="WPX287" s="2151"/>
      <c r="WPY287" s="2151"/>
      <c r="WPZ287" s="2151"/>
      <c r="WQA287" s="2151"/>
      <c r="WQB287" s="2151"/>
      <c r="WQC287" s="2151"/>
      <c r="WQD287" s="2151"/>
      <c r="WQE287" s="2151"/>
      <c r="WQF287" s="2151"/>
      <c r="WQG287" s="2151"/>
      <c r="WQH287" s="2151"/>
      <c r="WQI287" s="2150"/>
      <c r="WQJ287" s="2151"/>
      <c r="WQK287" s="2151"/>
      <c r="WQL287" s="2151"/>
      <c r="WQM287" s="2151"/>
      <c r="WQN287" s="2151"/>
      <c r="WQO287" s="2151"/>
      <c r="WQP287" s="2151"/>
      <c r="WQQ287" s="2151"/>
      <c r="WQR287" s="2151"/>
      <c r="WQS287" s="2151"/>
      <c r="WQT287" s="2151"/>
      <c r="WQU287" s="2151"/>
      <c r="WQV287" s="2151"/>
      <c r="WQW287" s="2151"/>
      <c r="WQX287" s="2151"/>
      <c r="WQY287" s="2150"/>
      <c r="WQZ287" s="2151"/>
      <c r="WRA287" s="2151"/>
      <c r="WRB287" s="2151"/>
      <c r="WRC287" s="2151"/>
      <c r="WRD287" s="2151"/>
      <c r="WRE287" s="2151"/>
      <c r="WRF287" s="2151"/>
      <c r="WRG287" s="2151"/>
      <c r="WRH287" s="2151"/>
      <c r="WRI287" s="2151"/>
      <c r="WRJ287" s="2151"/>
      <c r="WRK287" s="2151"/>
      <c r="WRL287" s="2151"/>
      <c r="WRM287" s="2151"/>
      <c r="WRN287" s="2151"/>
      <c r="WRO287" s="2150"/>
      <c r="WRP287" s="2151"/>
      <c r="WRQ287" s="2151"/>
      <c r="WRR287" s="2151"/>
      <c r="WRS287" s="2151"/>
      <c r="WRT287" s="2151"/>
      <c r="WRU287" s="2151"/>
      <c r="WRV287" s="2151"/>
      <c r="WRW287" s="2151"/>
      <c r="WRX287" s="2151"/>
      <c r="WRY287" s="2151"/>
      <c r="WRZ287" s="2151"/>
      <c r="WSA287" s="2151"/>
      <c r="WSB287" s="2151"/>
      <c r="WSC287" s="2151"/>
      <c r="WSD287" s="2151"/>
      <c r="WSE287" s="2150"/>
      <c r="WSF287" s="2151"/>
      <c r="WSG287" s="2151"/>
      <c r="WSH287" s="2151"/>
      <c r="WSI287" s="2151"/>
      <c r="WSJ287" s="2151"/>
      <c r="WSK287" s="2151"/>
      <c r="WSL287" s="2151"/>
      <c r="WSM287" s="2151"/>
      <c r="WSN287" s="2151"/>
      <c r="WSO287" s="2151"/>
      <c r="WSP287" s="2151"/>
      <c r="WSQ287" s="2151"/>
      <c r="WSR287" s="2151"/>
      <c r="WSS287" s="2151"/>
      <c r="WST287" s="2151"/>
      <c r="WSU287" s="2150"/>
      <c r="WSV287" s="2151"/>
      <c r="WSW287" s="2151"/>
      <c r="WSX287" s="2151"/>
      <c r="WSY287" s="2151"/>
      <c r="WSZ287" s="2151"/>
      <c r="WTA287" s="2151"/>
      <c r="WTB287" s="2151"/>
      <c r="WTC287" s="2151"/>
      <c r="WTD287" s="2151"/>
      <c r="WTE287" s="2151"/>
      <c r="WTF287" s="2151"/>
      <c r="WTG287" s="2151"/>
      <c r="WTH287" s="2151"/>
      <c r="WTI287" s="2151"/>
      <c r="WTJ287" s="2151"/>
      <c r="WTK287" s="2150"/>
      <c r="WTL287" s="2151"/>
      <c r="WTM287" s="2151"/>
      <c r="WTN287" s="2151"/>
      <c r="WTO287" s="2151"/>
      <c r="WTP287" s="2151"/>
      <c r="WTQ287" s="2151"/>
      <c r="WTR287" s="2151"/>
      <c r="WTS287" s="2151"/>
      <c r="WTT287" s="2151"/>
      <c r="WTU287" s="2151"/>
      <c r="WTV287" s="2151"/>
      <c r="WTW287" s="2151"/>
      <c r="WTX287" s="2151"/>
      <c r="WTY287" s="2151"/>
      <c r="WTZ287" s="2151"/>
      <c r="WUA287" s="2150"/>
      <c r="WUB287" s="2151"/>
      <c r="WUC287" s="2151"/>
      <c r="WUD287" s="2151"/>
      <c r="WUE287" s="2151"/>
      <c r="WUF287" s="2151"/>
      <c r="WUG287" s="2151"/>
      <c r="WUH287" s="2151"/>
      <c r="WUI287" s="2151"/>
      <c r="WUJ287" s="2151"/>
      <c r="WUK287" s="2151"/>
      <c r="WUL287" s="2151"/>
      <c r="WUM287" s="2151"/>
      <c r="WUN287" s="2151"/>
      <c r="WUO287" s="2151"/>
      <c r="WUP287" s="2151"/>
      <c r="WUQ287" s="2150"/>
      <c r="WUR287" s="2151"/>
      <c r="WUS287" s="2151"/>
      <c r="WUT287" s="2151"/>
      <c r="WUU287" s="2151"/>
      <c r="WUV287" s="2151"/>
      <c r="WUW287" s="2151"/>
      <c r="WUX287" s="2151"/>
      <c r="WUY287" s="2151"/>
      <c r="WUZ287" s="2151"/>
      <c r="WVA287" s="2151"/>
      <c r="WVB287" s="2151"/>
      <c r="WVC287" s="2151"/>
      <c r="WVD287" s="2151"/>
      <c r="WVE287" s="2151"/>
      <c r="WVF287" s="2151"/>
      <c r="WVG287" s="2150"/>
      <c r="WVH287" s="2151"/>
      <c r="WVI287" s="2151"/>
      <c r="WVJ287" s="2151"/>
      <c r="WVK287" s="2151"/>
      <c r="WVL287" s="2151"/>
      <c r="WVM287" s="2151"/>
      <c r="WVN287" s="2151"/>
      <c r="WVO287" s="2151"/>
      <c r="WVP287" s="2151"/>
      <c r="WVQ287" s="2151"/>
      <c r="WVR287" s="2151"/>
      <c r="WVS287" s="2151"/>
      <c r="WVT287" s="2151"/>
      <c r="WVU287" s="2151"/>
      <c r="WVV287" s="2151"/>
      <c r="WVW287" s="2150"/>
      <c r="WVX287" s="2151"/>
      <c r="WVY287" s="2151"/>
      <c r="WVZ287" s="2151"/>
      <c r="WWA287" s="2151"/>
      <c r="WWB287" s="2151"/>
      <c r="WWC287" s="2151"/>
      <c r="WWD287" s="2151"/>
      <c r="WWE287" s="2151"/>
      <c r="WWF287" s="2151"/>
      <c r="WWG287" s="2151"/>
      <c r="WWH287" s="2151"/>
      <c r="WWI287" s="2151"/>
      <c r="WWJ287" s="2151"/>
      <c r="WWK287" s="2151"/>
      <c r="WWL287" s="2151"/>
      <c r="WWM287" s="2150"/>
      <c r="WWN287" s="2151"/>
      <c r="WWO287" s="2151"/>
      <c r="WWP287" s="2151"/>
      <c r="WWQ287" s="2151"/>
      <c r="WWR287" s="2151"/>
      <c r="WWS287" s="2151"/>
      <c r="WWT287" s="2151"/>
      <c r="WWU287" s="2151"/>
      <c r="WWV287" s="2151"/>
      <c r="WWW287" s="2151"/>
      <c r="WWX287" s="2151"/>
      <c r="WWY287" s="2151"/>
      <c r="WWZ287" s="2151"/>
      <c r="WXA287" s="2151"/>
      <c r="WXB287" s="2151"/>
      <c r="WXC287" s="2150"/>
      <c r="WXD287" s="2151"/>
      <c r="WXE287" s="2151"/>
      <c r="WXF287" s="2151"/>
      <c r="WXG287" s="2151"/>
      <c r="WXH287" s="2151"/>
      <c r="WXI287" s="2151"/>
      <c r="WXJ287" s="2151"/>
      <c r="WXK287" s="2151"/>
      <c r="WXL287" s="2151"/>
      <c r="WXM287" s="2151"/>
      <c r="WXN287" s="2151"/>
      <c r="WXO287" s="2151"/>
      <c r="WXP287" s="2151"/>
      <c r="WXQ287" s="2151"/>
      <c r="WXR287" s="2151"/>
      <c r="WXS287" s="2150"/>
      <c r="WXT287" s="2151"/>
      <c r="WXU287" s="2151"/>
      <c r="WXV287" s="2151"/>
      <c r="WXW287" s="2151"/>
      <c r="WXX287" s="2151"/>
      <c r="WXY287" s="2151"/>
      <c r="WXZ287" s="2151"/>
      <c r="WYA287" s="2151"/>
      <c r="WYB287" s="2151"/>
      <c r="WYC287" s="2151"/>
      <c r="WYD287" s="2151"/>
      <c r="WYE287" s="2151"/>
      <c r="WYF287" s="2151"/>
      <c r="WYG287" s="2151"/>
      <c r="WYH287" s="2151"/>
      <c r="WYI287" s="2150"/>
      <c r="WYJ287" s="2151"/>
      <c r="WYK287" s="2151"/>
      <c r="WYL287" s="2151"/>
      <c r="WYM287" s="2151"/>
      <c r="WYN287" s="2151"/>
      <c r="WYO287" s="2151"/>
      <c r="WYP287" s="2151"/>
      <c r="WYQ287" s="2151"/>
      <c r="WYR287" s="2151"/>
      <c r="WYS287" s="2151"/>
      <c r="WYT287" s="2151"/>
      <c r="WYU287" s="2151"/>
      <c r="WYV287" s="2151"/>
      <c r="WYW287" s="2151"/>
      <c r="WYX287" s="2151"/>
      <c r="WYY287" s="2150"/>
      <c r="WYZ287" s="2151"/>
      <c r="WZA287" s="2151"/>
      <c r="WZB287" s="2151"/>
      <c r="WZC287" s="2151"/>
      <c r="WZD287" s="2151"/>
      <c r="WZE287" s="2151"/>
      <c r="WZF287" s="2151"/>
      <c r="WZG287" s="2151"/>
      <c r="WZH287" s="2151"/>
      <c r="WZI287" s="2151"/>
      <c r="WZJ287" s="2151"/>
      <c r="WZK287" s="2151"/>
      <c r="WZL287" s="2151"/>
      <c r="WZM287" s="2151"/>
      <c r="WZN287" s="2151"/>
      <c r="WZO287" s="2150"/>
      <c r="WZP287" s="2151"/>
      <c r="WZQ287" s="2151"/>
      <c r="WZR287" s="2151"/>
      <c r="WZS287" s="2151"/>
      <c r="WZT287" s="2151"/>
      <c r="WZU287" s="2151"/>
      <c r="WZV287" s="2151"/>
      <c r="WZW287" s="2151"/>
      <c r="WZX287" s="2151"/>
      <c r="WZY287" s="2151"/>
      <c r="WZZ287" s="2151"/>
      <c r="XAA287" s="2151"/>
      <c r="XAB287" s="2151"/>
      <c r="XAC287" s="2151"/>
      <c r="XAD287" s="2151"/>
      <c r="XAE287" s="2150"/>
      <c r="XAF287" s="2151"/>
      <c r="XAG287" s="2151"/>
      <c r="XAH287" s="2151"/>
      <c r="XAI287" s="2151"/>
      <c r="XAJ287" s="2151"/>
      <c r="XAK287" s="2151"/>
      <c r="XAL287" s="2151"/>
      <c r="XAM287" s="2151"/>
      <c r="XAN287" s="2151"/>
      <c r="XAO287" s="2151"/>
      <c r="XAP287" s="2151"/>
      <c r="XAQ287" s="2151"/>
      <c r="XAR287" s="2151"/>
      <c r="XAS287" s="2151"/>
      <c r="XAT287" s="2151"/>
      <c r="XAU287" s="2150"/>
      <c r="XAV287" s="2151"/>
      <c r="XAW287" s="2151"/>
      <c r="XAX287" s="2151"/>
      <c r="XAY287" s="2151"/>
      <c r="XAZ287" s="2151"/>
      <c r="XBA287" s="2151"/>
      <c r="XBB287" s="2151"/>
      <c r="XBC287" s="2151"/>
      <c r="XBD287" s="2151"/>
      <c r="XBE287" s="2151"/>
      <c r="XBF287" s="2151"/>
      <c r="XBG287" s="2151"/>
      <c r="XBH287" s="2151"/>
      <c r="XBI287" s="2151"/>
      <c r="XBJ287" s="2151"/>
      <c r="XBK287" s="2150"/>
      <c r="XBL287" s="2151"/>
      <c r="XBM287" s="2151"/>
      <c r="XBN287" s="2151"/>
      <c r="XBO287" s="2151"/>
      <c r="XBP287" s="2151"/>
      <c r="XBQ287" s="2151"/>
      <c r="XBR287" s="2151"/>
      <c r="XBS287" s="2151"/>
      <c r="XBT287" s="2151"/>
      <c r="XBU287" s="2151"/>
      <c r="XBV287" s="2151"/>
      <c r="XBW287" s="2151"/>
      <c r="XBX287" s="2151"/>
      <c r="XBY287" s="2151"/>
      <c r="XBZ287" s="2151"/>
      <c r="XCA287" s="2150"/>
      <c r="XCB287" s="2151"/>
      <c r="XCC287" s="2151"/>
      <c r="XCD287" s="2151"/>
      <c r="XCE287" s="2151"/>
      <c r="XCF287" s="2151"/>
      <c r="XCG287" s="2151"/>
      <c r="XCH287" s="2151"/>
      <c r="XCI287" s="2151"/>
      <c r="XCJ287" s="2151"/>
      <c r="XCK287" s="2151"/>
      <c r="XCL287" s="2151"/>
      <c r="XCM287" s="2151"/>
      <c r="XCN287" s="2151"/>
      <c r="XCO287" s="2151"/>
      <c r="XCP287" s="2151"/>
      <c r="XCQ287" s="2150"/>
      <c r="XCR287" s="2151"/>
      <c r="XCS287" s="2151"/>
      <c r="XCT287" s="2151"/>
      <c r="XCU287" s="2151"/>
      <c r="XCV287" s="2151"/>
      <c r="XCW287" s="2151"/>
      <c r="XCX287" s="2151"/>
      <c r="XCY287" s="2151"/>
      <c r="XCZ287" s="2151"/>
      <c r="XDA287" s="2151"/>
      <c r="XDB287" s="2151"/>
      <c r="XDC287" s="2151"/>
      <c r="XDD287" s="2151"/>
      <c r="XDE287" s="2151"/>
      <c r="XDF287" s="2151"/>
      <c r="XDG287" s="2150"/>
      <c r="XDH287" s="2151"/>
      <c r="XDI287" s="2151"/>
      <c r="XDJ287" s="2151"/>
      <c r="XDK287" s="2151"/>
      <c r="XDL287" s="2151"/>
      <c r="XDM287" s="2151"/>
      <c r="XDN287" s="2151"/>
      <c r="XDO287" s="2151"/>
      <c r="XDP287" s="2151"/>
      <c r="XDQ287" s="2151"/>
      <c r="XDR287" s="2151"/>
      <c r="XDS287" s="2151"/>
      <c r="XDT287" s="2151"/>
      <c r="XDU287" s="2151"/>
      <c r="XDV287" s="2151"/>
      <c r="XDW287" s="2150"/>
      <c r="XDX287" s="2151"/>
      <c r="XDY287" s="2151"/>
      <c r="XDZ287" s="2151"/>
      <c r="XEA287" s="2151"/>
      <c r="XEB287" s="2151"/>
      <c r="XEC287" s="2151"/>
      <c r="XED287" s="2151"/>
      <c r="XEE287" s="2151"/>
      <c r="XEF287" s="2151"/>
      <c r="XEG287" s="2151"/>
      <c r="XEH287" s="2151"/>
      <c r="XEI287" s="2151"/>
      <c r="XEJ287" s="2151"/>
      <c r="XEK287" s="2151"/>
      <c r="XEL287" s="2151"/>
      <c r="XEM287" s="2150"/>
      <c r="XEN287" s="2150"/>
      <c r="XEO287" s="2150"/>
      <c r="XEP287" s="2150"/>
      <c r="XEQ287" s="2150"/>
      <c r="XER287" s="2150"/>
      <c r="XES287" s="2150"/>
      <c r="XET287" s="2150"/>
      <c r="XEU287" s="2150"/>
      <c r="XEV287" s="2150"/>
      <c r="XEW287" s="2150"/>
      <c r="XEX287" s="2150"/>
      <c r="XEY287" s="2150"/>
      <c r="XEZ287" s="2150"/>
      <c r="XFA287" s="2150"/>
      <c r="XFB287" s="2150"/>
    </row>
    <row r="288" spans="1:16382">
      <c r="A288" s="14"/>
      <c r="B288" s="1339"/>
      <c r="C288" s="1339"/>
      <c r="D288" s="1339"/>
      <c r="E288" s="1339"/>
      <c r="F288" s="1339"/>
      <c r="G288" s="1339"/>
      <c r="H288" s="1339"/>
      <c r="I288" s="1339"/>
      <c r="J288" s="1339"/>
      <c r="K288" s="1339"/>
      <c r="L288" s="1339"/>
      <c r="M288" s="1339"/>
      <c r="N288" s="1339"/>
      <c r="O288" s="1339"/>
      <c r="P288" s="1339"/>
      <c r="Q288" s="1339"/>
      <c r="R288" s="1339"/>
      <c r="S288" s="1339"/>
      <c r="T288" s="1339"/>
    </row>
    <row r="289" spans="1:20">
      <c r="A289" s="14"/>
      <c r="B289" s="1240"/>
      <c r="C289" s="1240"/>
      <c r="D289" s="1240"/>
      <c r="E289" s="1240"/>
      <c r="F289" s="1240"/>
      <c r="G289" s="1240"/>
      <c r="H289" s="1240"/>
      <c r="I289" s="1240"/>
      <c r="J289" s="1240"/>
      <c r="K289" s="1240"/>
      <c r="L289" s="1240"/>
      <c r="M289" s="1240"/>
      <c r="N289" s="1240"/>
      <c r="O289" s="1240"/>
      <c r="P289" s="1240"/>
      <c r="Q289" s="1240"/>
      <c r="R289" s="1240"/>
      <c r="S289" s="1240"/>
      <c r="T289" s="1240"/>
    </row>
    <row r="290" spans="1:20">
      <c r="A290" s="14"/>
    </row>
    <row r="291" spans="1:20">
      <c r="A291" s="14"/>
      <c r="B291" s="1240"/>
      <c r="C291" s="1240"/>
      <c r="D291" s="1240"/>
      <c r="E291" s="1240"/>
      <c r="F291" s="1240"/>
      <c r="G291" s="1240"/>
      <c r="H291" s="1240"/>
      <c r="I291" s="1240"/>
      <c r="J291" s="1240"/>
      <c r="K291" s="1240"/>
      <c r="L291" s="1240"/>
      <c r="M291" s="1240"/>
      <c r="N291" s="1240"/>
      <c r="O291" s="1240"/>
      <c r="P291" s="1240"/>
      <c r="Q291" s="1240"/>
      <c r="R291" s="1240"/>
      <c r="S291" s="1240"/>
      <c r="T291" s="1240"/>
    </row>
    <row r="292" spans="1:20">
      <c r="A292" s="14"/>
      <c r="D292" s="1978"/>
    </row>
    <row r="293" spans="1:20">
      <c r="A293" s="14"/>
    </row>
    <row r="294" spans="1:20">
      <c r="A294" s="14"/>
    </row>
    <row r="295" spans="1:20">
      <c r="A295" s="14"/>
    </row>
    <row r="296" spans="1:20">
      <c r="A296" s="14"/>
    </row>
    <row r="297" spans="1:20">
      <c r="A297" s="14"/>
    </row>
    <row r="298" spans="1:20">
      <c r="A298" s="14"/>
    </row>
    <row r="299" spans="1:20">
      <c r="A299" s="14"/>
    </row>
    <row r="300" spans="1:20">
      <c r="A300" s="14"/>
    </row>
    <row r="301" spans="1:20">
      <c r="A301" s="14"/>
    </row>
    <row r="302" spans="1:20">
      <c r="A302" s="14"/>
    </row>
    <row r="303" spans="1:20">
      <c r="A303" s="14"/>
    </row>
    <row r="304" spans="1:20">
      <c r="A304" s="14"/>
    </row>
  </sheetData>
  <mergeCells count="1031">
    <mergeCell ref="A2:T2"/>
    <mergeCell ref="A3:T3"/>
    <mergeCell ref="A282:O282"/>
    <mergeCell ref="A283:O283"/>
    <mergeCell ref="A284:O284"/>
    <mergeCell ref="A285:O285"/>
    <mergeCell ref="FS287:GH287"/>
    <mergeCell ref="GI287:GX287"/>
    <mergeCell ref="GY287:HN287"/>
    <mergeCell ref="HO287:ID287"/>
    <mergeCell ref="IE287:IT287"/>
    <mergeCell ref="IU287:JJ287"/>
    <mergeCell ref="CA287:CP287"/>
    <mergeCell ref="CQ287:DF287"/>
    <mergeCell ref="DG287:DV287"/>
    <mergeCell ref="DW287:EL287"/>
    <mergeCell ref="EM287:FB287"/>
    <mergeCell ref="FC287:FR287"/>
    <mergeCell ref="A286:O286"/>
    <mergeCell ref="A287:O287"/>
    <mergeCell ref="P287:AD287"/>
    <mergeCell ref="AE287:AT287"/>
    <mergeCell ref="AU287:BJ287"/>
    <mergeCell ref="BK287:BZ287"/>
    <mergeCell ref="QU287:RJ287"/>
    <mergeCell ref="RK287:RZ287"/>
    <mergeCell ref="SA287:SP287"/>
    <mergeCell ref="SQ287:TF287"/>
    <mergeCell ref="TG287:TV287"/>
    <mergeCell ref="TW287:UL287"/>
    <mergeCell ref="NC287:NR287"/>
    <mergeCell ref="NS287:OH287"/>
    <mergeCell ref="OI287:OX287"/>
    <mergeCell ref="OY287:PN287"/>
    <mergeCell ref="PO287:QD287"/>
    <mergeCell ref="QE287:QT287"/>
    <mergeCell ref="JK287:JZ287"/>
    <mergeCell ref="KA287:KP287"/>
    <mergeCell ref="KQ287:LF287"/>
    <mergeCell ref="LG287:LV287"/>
    <mergeCell ref="LW287:ML287"/>
    <mergeCell ref="MM287:NB287"/>
    <mergeCell ref="ABW287:ACL287"/>
    <mergeCell ref="ACM287:ADB287"/>
    <mergeCell ref="ADC287:ADR287"/>
    <mergeCell ref="ADS287:AEH287"/>
    <mergeCell ref="AEI287:AEX287"/>
    <mergeCell ref="AEY287:AFN287"/>
    <mergeCell ref="YE287:YT287"/>
    <mergeCell ref="YU287:ZJ287"/>
    <mergeCell ref="ZK287:ZZ287"/>
    <mergeCell ref="AAA287:AAP287"/>
    <mergeCell ref="AAQ287:ABF287"/>
    <mergeCell ref="ABG287:ABV287"/>
    <mergeCell ref="UM287:VB287"/>
    <mergeCell ref="VC287:VR287"/>
    <mergeCell ref="VS287:WH287"/>
    <mergeCell ref="WI287:WX287"/>
    <mergeCell ref="WY287:XN287"/>
    <mergeCell ref="XO287:YD287"/>
    <mergeCell ref="AMY287:ANN287"/>
    <mergeCell ref="ANO287:AOD287"/>
    <mergeCell ref="AOE287:AOT287"/>
    <mergeCell ref="AOU287:APJ287"/>
    <mergeCell ref="APK287:APZ287"/>
    <mergeCell ref="AQA287:AQP287"/>
    <mergeCell ref="AJG287:AJV287"/>
    <mergeCell ref="AJW287:AKL287"/>
    <mergeCell ref="AKM287:ALB287"/>
    <mergeCell ref="ALC287:ALR287"/>
    <mergeCell ref="ALS287:AMH287"/>
    <mergeCell ref="AMI287:AMX287"/>
    <mergeCell ref="AFO287:AGD287"/>
    <mergeCell ref="AGE287:AGT287"/>
    <mergeCell ref="AGU287:AHJ287"/>
    <mergeCell ref="AHK287:AHZ287"/>
    <mergeCell ref="AIA287:AIP287"/>
    <mergeCell ref="AIQ287:AJF287"/>
    <mergeCell ref="AYA287:AYP287"/>
    <mergeCell ref="AYQ287:AZF287"/>
    <mergeCell ref="AZG287:AZV287"/>
    <mergeCell ref="AZW287:BAL287"/>
    <mergeCell ref="BAM287:BBB287"/>
    <mergeCell ref="BBC287:BBR287"/>
    <mergeCell ref="AUI287:AUX287"/>
    <mergeCell ref="AUY287:AVN287"/>
    <mergeCell ref="AVO287:AWD287"/>
    <mergeCell ref="AWE287:AWT287"/>
    <mergeCell ref="AWU287:AXJ287"/>
    <mergeCell ref="AXK287:AXZ287"/>
    <mergeCell ref="AQQ287:ARF287"/>
    <mergeCell ref="ARG287:ARV287"/>
    <mergeCell ref="ARW287:ASL287"/>
    <mergeCell ref="ASM287:ATB287"/>
    <mergeCell ref="ATC287:ATR287"/>
    <mergeCell ref="ATS287:AUH287"/>
    <mergeCell ref="BJC287:BJR287"/>
    <mergeCell ref="BJS287:BKH287"/>
    <mergeCell ref="BKI287:BKX287"/>
    <mergeCell ref="BKY287:BLN287"/>
    <mergeCell ref="BLO287:BMD287"/>
    <mergeCell ref="BME287:BMT287"/>
    <mergeCell ref="BFK287:BFZ287"/>
    <mergeCell ref="BGA287:BGP287"/>
    <mergeCell ref="BGQ287:BHF287"/>
    <mergeCell ref="BHG287:BHV287"/>
    <mergeCell ref="BHW287:BIL287"/>
    <mergeCell ref="BIM287:BJB287"/>
    <mergeCell ref="BBS287:BCH287"/>
    <mergeCell ref="BCI287:BCX287"/>
    <mergeCell ref="BCY287:BDN287"/>
    <mergeCell ref="BDO287:BED287"/>
    <mergeCell ref="BEE287:BET287"/>
    <mergeCell ref="BEU287:BFJ287"/>
    <mergeCell ref="BUE287:BUT287"/>
    <mergeCell ref="BUU287:BVJ287"/>
    <mergeCell ref="BVK287:BVZ287"/>
    <mergeCell ref="BWA287:BWP287"/>
    <mergeCell ref="BWQ287:BXF287"/>
    <mergeCell ref="BXG287:BXV287"/>
    <mergeCell ref="BQM287:BRB287"/>
    <mergeCell ref="BRC287:BRR287"/>
    <mergeCell ref="BRS287:BSH287"/>
    <mergeCell ref="BSI287:BSX287"/>
    <mergeCell ref="BSY287:BTN287"/>
    <mergeCell ref="BTO287:BUD287"/>
    <mergeCell ref="BMU287:BNJ287"/>
    <mergeCell ref="BNK287:BNZ287"/>
    <mergeCell ref="BOA287:BOP287"/>
    <mergeCell ref="BOQ287:BPF287"/>
    <mergeCell ref="BPG287:BPV287"/>
    <mergeCell ref="BPW287:BQL287"/>
    <mergeCell ref="CFG287:CFV287"/>
    <mergeCell ref="CFW287:CGL287"/>
    <mergeCell ref="CGM287:CHB287"/>
    <mergeCell ref="CHC287:CHR287"/>
    <mergeCell ref="CHS287:CIH287"/>
    <mergeCell ref="CII287:CIX287"/>
    <mergeCell ref="CBO287:CCD287"/>
    <mergeCell ref="CCE287:CCT287"/>
    <mergeCell ref="CCU287:CDJ287"/>
    <mergeCell ref="CDK287:CDZ287"/>
    <mergeCell ref="CEA287:CEP287"/>
    <mergeCell ref="CEQ287:CFF287"/>
    <mergeCell ref="BXW287:BYL287"/>
    <mergeCell ref="BYM287:BZB287"/>
    <mergeCell ref="BZC287:BZR287"/>
    <mergeCell ref="BZS287:CAH287"/>
    <mergeCell ref="CAI287:CAX287"/>
    <mergeCell ref="CAY287:CBN287"/>
    <mergeCell ref="CQI287:CQX287"/>
    <mergeCell ref="CQY287:CRN287"/>
    <mergeCell ref="CRO287:CSD287"/>
    <mergeCell ref="CSE287:CST287"/>
    <mergeCell ref="CSU287:CTJ287"/>
    <mergeCell ref="CTK287:CTZ287"/>
    <mergeCell ref="CMQ287:CNF287"/>
    <mergeCell ref="CNG287:CNV287"/>
    <mergeCell ref="CNW287:COL287"/>
    <mergeCell ref="COM287:CPB287"/>
    <mergeCell ref="CPC287:CPR287"/>
    <mergeCell ref="CPS287:CQH287"/>
    <mergeCell ref="CIY287:CJN287"/>
    <mergeCell ref="CJO287:CKD287"/>
    <mergeCell ref="CKE287:CKT287"/>
    <mergeCell ref="CKU287:CLJ287"/>
    <mergeCell ref="CLK287:CLZ287"/>
    <mergeCell ref="CMA287:CMP287"/>
    <mergeCell ref="DBK287:DBZ287"/>
    <mergeCell ref="DCA287:DCP287"/>
    <mergeCell ref="DCQ287:DDF287"/>
    <mergeCell ref="DDG287:DDV287"/>
    <mergeCell ref="DDW287:DEL287"/>
    <mergeCell ref="DEM287:DFB287"/>
    <mergeCell ref="CXS287:CYH287"/>
    <mergeCell ref="CYI287:CYX287"/>
    <mergeCell ref="CYY287:CZN287"/>
    <mergeCell ref="CZO287:DAD287"/>
    <mergeCell ref="DAE287:DAT287"/>
    <mergeCell ref="DAU287:DBJ287"/>
    <mergeCell ref="CUA287:CUP287"/>
    <mergeCell ref="CUQ287:CVF287"/>
    <mergeCell ref="CVG287:CVV287"/>
    <mergeCell ref="CVW287:CWL287"/>
    <mergeCell ref="CWM287:CXB287"/>
    <mergeCell ref="CXC287:CXR287"/>
    <mergeCell ref="DMM287:DNB287"/>
    <mergeCell ref="DNC287:DNR287"/>
    <mergeCell ref="DNS287:DOH287"/>
    <mergeCell ref="DOI287:DOX287"/>
    <mergeCell ref="DOY287:DPN287"/>
    <mergeCell ref="DPO287:DQD287"/>
    <mergeCell ref="DIU287:DJJ287"/>
    <mergeCell ref="DJK287:DJZ287"/>
    <mergeCell ref="DKA287:DKP287"/>
    <mergeCell ref="DKQ287:DLF287"/>
    <mergeCell ref="DLG287:DLV287"/>
    <mergeCell ref="DLW287:DML287"/>
    <mergeCell ref="DFC287:DFR287"/>
    <mergeCell ref="DFS287:DGH287"/>
    <mergeCell ref="DGI287:DGX287"/>
    <mergeCell ref="DGY287:DHN287"/>
    <mergeCell ref="DHO287:DID287"/>
    <mergeCell ref="DIE287:DIT287"/>
    <mergeCell ref="DXO287:DYD287"/>
    <mergeCell ref="DYE287:DYT287"/>
    <mergeCell ref="DYU287:DZJ287"/>
    <mergeCell ref="DZK287:DZZ287"/>
    <mergeCell ref="EAA287:EAP287"/>
    <mergeCell ref="EAQ287:EBF287"/>
    <mergeCell ref="DTW287:DUL287"/>
    <mergeCell ref="DUM287:DVB287"/>
    <mergeCell ref="DVC287:DVR287"/>
    <mergeCell ref="DVS287:DWH287"/>
    <mergeCell ref="DWI287:DWX287"/>
    <mergeCell ref="DWY287:DXN287"/>
    <mergeCell ref="DQE287:DQT287"/>
    <mergeCell ref="DQU287:DRJ287"/>
    <mergeCell ref="DRK287:DRZ287"/>
    <mergeCell ref="DSA287:DSP287"/>
    <mergeCell ref="DSQ287:DTF287"/>
    <mergeCell ref="DTG287:DTV287"/>
    <mergeCell ref="EIQ287:EJF287"/>
    <mergeCell ref="EJG287:EJV287"/>
    <mergeCell ref="EJW287:EKL287"/>
    <mergeCell ref="EKM287:ELB287"/>
    <mergeCell ref="ELC287:ELR287"/>
    <mergeCell ref="ELS287:EMH287"/>
    <mergeCell ref="EEY287:EFN287"/>
    <mergeCell ref="EFO287:EGD287"/>
    <mergeCell ref="EGE287:EGT287"/>
    <mergeCell ref="EGU287:EHJ287"/>
    <mergeCell ref="EHK287:EHZ287"/>
    <mergeCell ref="EIA287:EIP287"/>
    <mergeCell ref="EBG287:EBV287"/>
    <mergeCell ref="EBW287:ECL287"/>
    <mergeCell ref="ECM287:EDB287"/>
    <mergeCell ref="EDC287:EDR287"/>
    <mergeCell ref="EDS287:EEH287"/>
    <mergeCell ref="EEI287:EEX287"/>
    <mergeCell ref="ETS287:EUH287"/>
    <mergeCell ref="EUI287:EUX287"/>
    <mergeCell ref="EUY287:EVN287"/>
    <mergeCell ref="EVO287:EWD287"/>
    <mergeCell ref="EWE287:EWT287"/>
    <mergeCell ref="EWU287:EXJ287"/>
    <mergeCell ref="EQA287:EQP287"/>
    <mergeCell ref="EQQ287:ERF287"/>
    <mergeCell ref="ERG287:ERV287"/>
    <mergeCell ref="ERW287:ESL287"/>
    <mergeCell ref="ESM287:ETB287"/>
    <mergeCell ref="ETC287:ETR287"/>
    <mergeCell ref="EMI287:EMX287"/>
    <mergeCell ref="EMY287:ENN287"/>
    <mergeCell ref="ENO287:EOD287"/>
    <mergeCell ref="EOE287:EOT287"/>
    <mergeCell ref="EOU287:EPJ287"/>
    <mergeCell ref="EPK287:EPZ287"/>
    <mergeCell ref="FEU287:FFJ287"/>
    <mergeCell ref="FFK287:FFZ287"/>
    <mergeCell ref="FGA287:FGP287"/>
    <mergeCell ref="FGQ287:FHF287"/>
    <mergeCell ref="FHG287:FHV287"/>
    <mergeCell ref="FHW287:FIL287"/>
    <mergeCell ref="FBC287:FBR287"/>
    <mergeCell ref="FBS287:FCH287"/>
    <mergeCell ref="FCI287:FCX287"/>
    <mergeCell ref="FCY287:FDN287"/>
    <mergeCell ref="FDO287:FED287"/>
    <mergeCell ref="FEE287:FET287"/>
    <mergeCell ref="EXK287:EXZ287"/>
    <mergeCell ref="EYA287:EYP287"/>
    <mergeCell ref="EYQ287:EZF287"/>
    <mergeCell ref="EZG287:EZV287"/>
    <mergeCell ref="EZW287:FAL287"/>
    <mergeCell ref="FAM287:FBB287"/>
    <mergeCell ref="FPW287:FQL287"/>
    <mergeCell ref="FQM287:FRB287"/>
    <mergeCell ref="FRC287:FRR287"/>
    <mergeCell ref="FRS287:FSH287"/>
    <mergeCell ref="FSI287:FSX287"/>
    <mergeCell ref="FSY287:FTN287"/>
    <mergeCell ref="FME287:FMT287"/>
    <mergeCell ref="FMU287:FNJ287"/>
    <mergeCell ref="FNK287:FNZ287"/>
    <mergeCell ref="FOA287:FOP287"/>
    <mergeCell ref="FOQ287:FPF287"/>
    <mergeCell ref="FPG287:FPV287"/>
    <mergeCell ref="FIM287:FJB287"/>
    <mergeCell ref="FJC287:FJR287"/>
    <mergeCell ref="FJS287:FKH287"/>
    <mergeCell ref="FKI287:FKX287"/>
    <mergeCell ref="FKY287:FLN287"/>
    <mergeCell ref="FLO287:FMD287"/>
    <mergeCell ref="GAY287:GBN287"/>
    <mergeCell ref="GBO287:GCD287"/>
    <mergeCell ref="GCE287:GCT287"/>
    <mergeCell ref="GCU287:GDJ287"/>
    <mergeCell ref="GDK287:GDZ287"/>
    <mergeCell ref="GEA287:GEP287"/>
    <mergeCell ref="FXG287:FXV287"/>
    <mergeCell ref="FXW287:FYL287"/>
    <mergeCell ref="FYM287:FZB287"/>
    <mergeCell ref="FZC287:FZR287"/>
    <mergeCell ref="FZS287:GAH287"/>
    <mergeCell ref="GAI287:GAX287"/>
    <mergeCell ref="FTO287:FUD287"/>
    <mergeCell ref="FUE287:FUT287"/>
    <mergeCell ref="FUU287:FVJ287"/>
    <mergeCell ref="FVK287:FVZ287"/>
    <mergeCell ref="FWA287:FWP287"/>
    <mergeCell ref="FWQ287:FXF287"/>
    <mergeCell ref="GMA287:GMP287"/>
    <mergeCell ref="GMQ287:GNF287"/>
    <mergeCell ref="GNG287:GNV287"/>
    <mergeCell ref="GNW287:GOL287"/>
    <mergeCell ref="GOM287:GPB287"/>
    <mergeCell ref="GPC287:GPR287"/>
    <mergeCell ref="GII287:GIX287"/>
    <mergeCell ref="GIY287:GJN287"/>
    <mergeCell ref="GJO287:GKD287"/>
    <mergeCell ref="GKE287:GKT287"/>
    <mergeCell ref="GKU287:GLJ287"/>
    <mergeCell ref="GLK287:GLZ287"/>
    <mergeCell ref="GEQ287:GFF287"/>
    <mergeCell ref="GFG287:GFV287"/>
    <mergeCell ref="GFW287:GGL287"/>
    <mergeCell ref="GGM287:GHB287"/>
    <mergeCell ref="GHC287:GHR287"/>
    <mergeCell ref="GHS287:GIH287"/>
    <mergeCell ref="GXC287:GXR287"/>
    <mergeCell ref="GXS287:GYH287"/>
    <mergeCell ref="GYI287:GYX287"/>
    <mergeCell ref="GYY287:GZN287"/>
    <mergeCell ref="GZO287:HAD287"/>
    <mergeCell ref="HAE287:HAT287"/>
    <mergeCell ref="GTK287:GTZ287"/>
    <mergeCell ref="GUA287:GUP287"/>
    <mergeCell ref="GUQ287:GVF287"/>
    <mergeCell ref="GVG287:GVV287"/>
    <mergeCell ref="GVW287:GWL287"/>
    <mergeCell ref="GWM287:GXB287"/>
    <mergeCell ref="GPS287:GQH287"/>
    <mergeCell ref="GQI287:GQX287"/>
    <mergeCell ref="GQY287:GRN287"/>
    <mergeCell ref="GRO287:GSD287"/>
    <mergeCell ref="GSE287:GST287"/>
    <mergeCell ref="GSU287:GTJ287"/>
    <mergeCell ref="HIE287:HIT287"/>
    <mergeCell ref="HIU287:HJJ287"/>
    <mergeCell ref="HJK287:HJZ287"/>
    <mergeCell ref="HKA287:HKP287"/>
    <mergeCell ref="HKQ287:HLF287"/>
    <mergeCell ref="HLG287:HLV287"/>
    <mergeCell ref="HEM287:HFB287"/>
    <mergeCell ref="HFC287:HFR287"/>
    <mergeCell ref="HFS287:HGH287"/>
    <mergeCell ref="HGI287:HGX287"/>
    <mergeCell ref="HGY287:HHN287"/>
    <mergeCell ref="HHO287:HID287"/>
    <mergeCell ref="HAU287:HBJ287"/>
    <mergeCell ref="HBK287:HBZ287"/>
    <mergeCell ref="HCA287:HCP287"/>
    <mergeCell ref="HCQ287:HDF287"/>
    <mergeCell ref="HDG287:HDV287"/>
    <mergeCell ref="HDW287:HEL287"/>
    <mergeCell ref="HTG287:HTV287"/>
    <mergeCell ref="HTW287:HUL287"/>
    <mergeCell ref="HUM287:HVB287"/>
    <mergeCell ref="HVC287:HVR287"/>
    <mergeCell ref="HVS287:HWH287"/>
    <mergeCell ref="HWI287:HWX287"/>
    <mergeCell ref="HPO287:HQD287"/>
    <mergeCell ref="HQE287:HQT287"/>
    <mergeCell ref="HQU287:HRJ287"/>
    <mergeCell ref="HRK287:HRZ287"/>
    <mergeCell ref="HSA287:HSP287"/>
    <mergeCell ref="HSQ287:HTF287"/>
    <mergeCell ref="HLW287:HML287"/>
    <mergeCell ref="HMM287:HNB287"/>
    <mergeCell ref="HNC287:HNR287"/>
    <mergeCell ref="HNS287:HOH287"/>
    <mergeCell ref="HOI287:HOX287"/>
    <mergeCell ref="HOY287:HPN287"/>
    <mergeCell ref="IEI287:IEX287"/>
    <mergeCell ref="IEY287:IFN287"/>
    <mergeCell ref="IFO287:IGD287"/>
    <mergeCell ref="IGE287:IGT287"/>
    <mergeCell ref="IGU287:IHJ287"/>
    <mergeCell ref="IHK287:IHZ287"/>
    <mergeCell ref="IAQ287:IBF287"/>
    <mergeCell ref="IBG287:IBV287"/>
    <mergeCell ref="IBW287:ICL287"/>
    <mergeCell ref="ICM287:IDB287"/>
    <mergeCell ref="IDC287:IDR287"/>
    <mergeCell ref="IDS287:IEH287"/>
    <mergeCell ref="HWY287:HXN287"/>
    <mergeCell ref="HXO287:HYD287"/>
    <mergeCell ref="HYE287:HYT287"/>
    <mergeCell ref="HYU287:HZJ287"/>
    <mergeCell ref="HZK287:HZZ287"/>
    <mergeCell ref="IAA287:IAP287"/>
    <mergeCell ref="IPK287:IPZ287"/>
    <mergeCell ref="IQA287:IQP287"/>
    <mergeCell ref="IQQ287:IRF287"/>
    <mergeCell ref="IRG287:IRV287"/>
    <mergeCell ref="IRW287:ISL287"/>
    <mergeCell ref="ISM287:ITB287"/>
    <mergeCell ref="ILS287:IMH287"/>
    <mergeCell ref="IMI287:IMX287"/>
    <mergeCell ref="IMY287:INN287"/>
    <mergeCell ref="INO287:IOD287"/>
    <mergeCell ref="IOE287:IOT287"/>
    <mergeCell ref="IOU287:IPJ287"/>
    <mergeCell ref="IIA287:IIP287"/>
    <mergeCell ref="IIQ287:IJF287"/>
    <mergeCell ref="IJG287:IJV287"/>
    <mergeCell ref="IJW287:IKL287"/>
    <mergeCell ref="IKM287:ILB287"/>
    <mergeCell ref="ILC287:ILR287"/>
    <mergeCell ref="JAM287:JBB287"/>
    <mergeCell ref="JBC287:JBR287"/>
    <mergeCell ref="JBS287:JCH287"/>
    <mergeCell ref="JCI287:JCX287"/>
    <mergeCell ref="JCY287:JDN287"/>
    <mergeCell ref="JDO287:JED287"/>
    <mergeCell ref="IWU287:IXJ287"/>
    <mergeCell ref="IXK287:IXZ287"/>
    <mergeCell ref="IYA287:IYP287"/>
    <mergeCell ref="IYQ287:IZF287"/>
    <mergeCell ref="IZG287:IZV287"/>
    <mergeCell ref="IZW287:JAL287"/>
    <mergeCell ref="ITC287:ITR287"/>
    <mergeCell ref="ITS287:IUH287"/>
    <mergeCell ref="IUI287:IUX287"/>
    <mergeCell ref="IUY287:IVN287"/>
    <mergeCell ref="IVO287:IWD287"/>
    <mergeCell ref="IWE287:IWT287"/>
    <mergeCell ref="JLO287:JMD287"/>
    <mergeCell ref="JME287:JMT287"/>
    <mergeCell ref="JMU287:JNJ287"/>
    <mergeCell ref="JNK287:JNZ287"/>
    <mergeCell ref="JOA287:JOP287"/>
    <mergeCell ref="JOQ287:JPF287"/>
    <mergeCell ref="JHW287:JIL287"/>
    <mergeCell ref="JIM287:JJB287"/>
    <mergeCell ref="JJC287:JJR287"/>
    <mergeCell ref="JJS287:JKH287"/>
    <mergeCell ref="JKI287:JKX287"/>
    <mergeCell ref="JKY287:JLN287"/>
    <mergeCell ref="JEE287:JET287"/>
    <mergeCell ref="JEU287:JFJ287"/>
    <mergeCell ref="JFK287:JFZ287"/>
    <mergeCell ref="JGA287:JGP287"/>
    <mergeCell ref="JGQ287:JHF287"/>
    <mergeCell ref="JHG287:JHV287"/>
    <mergeCell ref="JWQ287:JXF287"/>
    <mergeCell ref="JXG287:JXV287"/>
    <mergeCell ref="JXW287:JYL287"/>
    <mergeCell ref="JYM287:JZB287"/>
    <mergeCell ref="JZC287:JZR287"/>
    <mergeCell ref="JZS287:KAH287"/>
    <mergeCell ref="JSY287:JTN287"/>
    <mergeCell ref="JTO287:JUD287"/>
    <mergeCell ref="JUE287:JUT287"/>
    <mergeCell ref="JUU287:JVJ287"/>
    <mergeCell ref="JVK287:JVZ287"/>
    <mergeCell ref="JWA287:JWP287"/>
    <mergeCell ref="JPG287:JPV287"/>
    <mergeCell ref="JPW287:JQL287"/>
    <mergeCell ref="JQM287:JRB287"/>
    <mergeCell ref="JRC287:JRR287"/>
    <mergeCell ref="JRS287:JSH287"/>
    <mergeCell ref="JSI287:JSX287"/>
    <mergeCell ref="KHS287:KIH287"/>
    <mergeCell ref="KII287:KIX287"/>
    <mergeCell ref="KIY287:KJN287"/>
    <mergeCell ref="KJO287:KKD287"/>
    <mergeCell ref="KKE287:KKT287"/>
    <mergeCell ref="KKU287:KLJ287"/>
    <mergeCell ref="KEA287:KEP287"/>
    <mergeCell ref="KEQ287:KFF287"/>
    <mergeCell ref="KFG287:KFV287"/>
    <mergeCell ref="KFW287:KGL287"/>
    <mergeCell ref="KGM287:KHB287"/>
    <mergeCell ref="KHC287:KHR287"/>
    <mergeCell ref="KAI287:KAX287"/>
    <mergeCell ref="KAY287:KBN287"/>
    <mergeCell ref="KBO287:KCD287"/>
    <mergeCell ref="KCE287:KCT287"/>
    <mergeCell ref="KCU287:KDJ287"/>
    <mergeCell ref="KDK287:KDZ287"/>
    <mergeCell ref="KSU287:KTJ287"/>
    <mergeCell ref="KTK287:KTZ287"/>
    <mergeCell ref="KUA287:KUP287"/>
    <mergeCell ref="KUQ287:KVF287"/>
    <mergeCell ref="KVG287:KVV287"/>
    <mergeCell ref="KVW287:KWL287"/>
    <mergeCell ref="KPC287:KPR287"/>
    <mergeCell ref="KPS287:KQH287"/>
    <mergeCell ref="KQI287:KQX287"/>
    <mergeCell ref="KQY287:KRN287"/>
    <mergeCell ref="KRO287:KSD287"/>
    <mergeCell ref="KSE287:KST287"/>
    <mergeCell ref="KLK287:KLZ287"/>
    <mergeCell ref="KMA287:KMP287"/>
    <mergeCell ref="KMQ287:KNF287"/>
    <mergeCell ref="KNG287:KNV287"/>
    <mergeCell ref="KNW287:KOL287"/>
    <mergeCell ref="KOM287:KPB287"/>
    <mergeCell ref="LDW287:LEL287"/>
    <mergeCell ref="LEM287:LFB287"/>
    <mergeCell ref="LFC287:LFR287"/>
    <mergeCell ref="LFS287:LGH287"/>
    <mergeCell ref="LGI287:LGX287"/>
    <mergeCell ref="LGY287:LHN287"/>
    <mergeCell ref="LAE287:LAT287"/>
    <mergeCell ref="LAU287:LBJ287"/>
    <mergeCell ref="LBK287:LBZ287"/>
    <mergeCell ref="LCA287:LCP287"/>
    <mergeCell ref="LCQ287:LDF287"/>
    <mergeCell ref="LDG287:LDV287"/>
    <mergeCell ref="KWM287:KXB287"/>
    <mergeCell ref="KXC287:KXR287"/>
    <mergeCell ref="KXS287:KYH287"/>
    <mergeCell ref="KYI287:KYX287"/>
    <mergeCell ref="KYY287:KZN287"/>
    <mergeCell ref="KZO287:LAD287"/>
    <mergeCell ref="LOY287:LPN287"/>
    <mergeCell ref="LPO287:LQD287"/>
    <mergeCell ref="LQE287:LQT287"/>
    <mergeCell ref="LQU287:LRJ287"/>
    <mergeCell ref="LRK287:LRZ287"/>
    <mergeCell ref="LSA287:LSP287"/>
    <mergeCell ref="LLG287:LLV287"/>
    <mergeCell ref="LLW287:LML287"/>
    <mergeCell ref="LMM287:LNB287"/>
    <mergeCell ref="LNC287:LNR287"/>
    <mergeCell ref="LNS287:LOH287"/>
    <mergeCell ref="LOI287:LOX287"/>
    <mergeCell ref="LHO287:LID287"/>
    <mergeCell ref="LIE287:LIT287"/>
    <mergeCell ref="LIU287:LJJ287"/>
    <mergeCell ref="LJK287:LJZ287"/>
    <mergeCell ref="LKA287:LKP287"/>
    <mergeCell ref="LKQ287:LLF287"/>
    <mergeCell ref="MAA287:MAP287"/>
    <mergeCell ref="MAQ287:MBF287"/>
    <mergeCell ref="MBG287:MBV287"/>
    <mergeCell ref="MBW287:MCL287"/>
    <mergeCell ref="MCM287:MDB287"/>
    <mergeCell ref="MDC287:MDR287"/>
    <mergeCell ref="LWI287:LWX287"/>
    <mergeCell ref="LWY287:LXN287"/>
    <mergeCell ref="LXO287:LYD287"/>
    <mergeCell ref="LYE287:LYT287"/>
    <mergeCell ref="LYU287:LZJ287"/>
    <mergeCell ref="LZK287:LZZ287"/>
    <mergeCell ref="LSQ287:LTF287"/>
    <mergeCell ref="LTG287:LTV287"/>
    <mergeCell ref="LTW287:LUL287"/>
    <mergeCell ref="LUM287:LVB287"/>
    <mergeCell ref="LVC287:LVR287"/>
    <mergeCell ref="LVS287:LWH287"/>
    <mergeCell ref="MLC287:MLR287"/>
    <mergeCell ref="MLS287:MMH287"/>
    <mergeCell ref="MMI287:MMX287"/>
    <mergeCell ref="MMY287:MNN287"/>
    <mergeCell ref="MNO287:MOD287"/>
    <mergeCell ref="MOE287:MOT287"/>
    <mergeCell ref="MHK287:MHZ287"/>
    <mergeCell ref="MIA287:MIP287"/>
    <mergeCell ref="MIQ287:MJF287"/>
    <mergeCell ref="MJG287:MJV287"/>
    <mergeCell ref="MJW287:MKL287"/>
    <mergeCell ref="MKM287:MLB287"/>
    <mergeCell ref="MDS287:MEH287"/>
    <mergeCell ref="MEI287:MEX287"/>
    <mergeCell ref="MEY287:MFN287"/>
    <mergeCell ref="MFO287:MGD287"/>
    <mergeCell ref="MGE287:MGT287"/>
    <mergeCell ref="MGU287:MHJ287"/>
    <mergeCell ref="MWE287:MWT287"/>
    <mergeCell ref="MWU287:MXJ287"/>
    <mergeCell ref="MXK287:MXZ287"/>
    <mergeCell ref="MYA287:MYP287"/>
    <mergeCell ref="MYQ287:MZF287"/>
    <mergeCell ref="MZG287:MZV287"/>
    <mergeCell ref="MSM287:MTB287"/>
    <mergeCell ref="MTC287:MTR287"/>
    <mergeCell ref="MTS287:MUH287"/>
    <mergeCell ref="MUI287:MUX287"/>
    <mergeCell ref="MUY287:MVN287"/>
    <mergeCell ref="MVO287:MWD287"/>
    <mergeCell ref="MOU287:MPJ287"/>
    <mergeCell ref="MPK287:MPZ287"/>
    <mergeCell ref="MQA287:MQP287"/>
    <mergeCell ref="MQQ287:MRF287"/>
    <mergeCell ref="MRG287:MRV287"/>
    <mergeCell ref="MRW287:MSL287"/>
    <mergeCell ref="NHG287:NHV287"/>
    <mergeCell ref="NHW287:NIL287"/>
    <mergeCell ref="NIM287:NJB287"/>
    <mergeCell ref="NJC287:NJR287"/>
    <mergeCell ref="NJS287:NKH287"/>
    <mergeCell ref="NKI287:NKX287"/>
    <mergeCell ref="NDO287:NED287"/>
    <mergeCell ref="NEE287:NET287"/>
    <mergeCell ref="NEU287:NFJ287"/>
    <mergeCell ref="NFK287:NFZ287"/>
    <mergeCell ref="NGA287:NGP287"/>
    <mergeCell ref="NGQ287:NHF287"/>
    <mergeCell ref="MZW287:NAL287"/>
    <mergeCell ref="NAM287:NBB287"/>
    <mergeCell ref="NBC287:NBR287"/>
    <mergeCell ref="NBS287:NCH287"/>
    <mergeCell ref="NCI287:NCX287"/>
    <mergeCell ref="NCY287:NDN287"/>
    <mergeCell ref="NSI287:NSX287"/>
    <mergeCell ref="NSY287:NTN287"/>
    <mergeCell ref="NTO287:NUD287"/>
    <mergeCell ref="NUE287:NUT287"/>
    <mergeCell ref="NUU287:NVJ287"/>
    <mergeCell ref="NVK287:NVZ287"/>
    <mergeCell ref="NOQ287:NPF287"/>
    <mergeCell ref="NPG287:NPV287"/>
    <mergeCell ref="NPW287:NQL287"/>
    <mergeCell ref="NQM287:NRB287"/>
    <mergeCell ref="NRC287:NRR287"/>
    <mergeCell ref="NRS287:NSH287"/>
    <mergeCell ref="NKY287:NLN287"/>
    <mergeCell ref="NLO287:NMD287"/>
    <mergeCell ref="NME287:NMT287"/>
    <mergeCell ref="NMU287:NNJ287"/>
    <mergeCell ref="NNK287:NNZ287"/>
    <mergeCell ref="NOA287:NOP287"/>
    <mergeCell ref="ODK287:ODZ287"/>
    <mergeCell ref="OEA287:OEP287"/>
    <mergeCell ref="OEQ287:OFF287"/>
    <mergeCell ref="OFG287:OFV287"/>
    <mergeCell ref="OFW287:OGL287"/>
    <mergeCell ref="OGM287:OHB287"/>
    <mergeCell ref="NZS287:OAH287"/>
    <mergeCell ref="OAI287:OAX287"/>
    <mergeCell ref="OAY287:OBN287"/>
    <mergeCell ref="OBO287:OCD287"/>
    <mergeCell ref="OCE287:OCT287"/>
    <mergeCell ref="OCU287:ODJ287"/>
    <mergeCell ref="NWA287:NWP287"/>
    <mergeCell ref="NWQ287:NXF287"/>
    <mergeCell ref="NXG287:NXV287"/>
    <mergeCell ref="NXW287:NYL287"/>
    <mergeCell ref="NYM287:NZB287"/>
    <mergeCell ref="NZC287:NZR287"/>
    <mergeCell ref="OOM287:OPB287"/>
    <mergeCell ref="OPC287:OPR287"/>
    <mergeCell ref="OPS287:OQH287"/>
    <mergeCell ref="OQI287:OQX287"/>
    <mergeCell ref="OQY287:ORN287"/>
    <mergeCell ref="ORO287:OSD287"/>
    <mergeCell ref="OKU287:OLJ287"/>
    <mergeCell ref="OLK287:OLZ287"/>
    <mergeCell ref="OMA287:OMP287"/>
    <mergeCell ref="OMQ287:ONF287"/>
    <mergeCell ref="ONG287:ONV287"/>
    <mergeCell ref="ONW287:OOL287"/>
    <mergeCell ref="OHC287:OHR287"/>
    <mergeCell ref="OHS287:OIH287"/>
    <mergeCell ref="OII287:OIX287"/>
    <mergeCell ref="OIY287:OJN287"/>
    <mergeCell ref="OJO287:OKD287"/>
    <mergeCell ref="OKE287:OKT287"/>
    <mergeCell ref="OZO287:PAD287"/>
    <mergeCell ref="PAE287:PAT287"/>
    <mergeCell ref="PAU287:PBJ287"/>
    <mergeCell ref="PBK287:PBZ287"/>
    <mergeCell ref="PCA287:PCP287"/>
    <mergeCell ref="PCQ287:PDF287"/>
    <mergeCell ref="OVW287:OWL287"/>
    <mergeCell ref="OWM287:OXB287"/>
    <mergeCell ref="OXC287:OXR287"/>
    <mergeCell ref="OXS287:OYH287"/>
    <mergeCell ref="OYI287:OYX287"/>
    <mergeCell ref="OYY287:OZN287"/>
    <mergeCell ref="OSE287:OST287"/>
    <mergeCell ref="OSU287:OTJ287"/>
    <mergeCell ref="OTK287:OTZ287"/>
    <mergeCell ref="OUA287:OUP287"/>
    <mergeCell ref="OUQ287:OVF287"/>
    <mergeCell ref="OVG287:OVV287"/>
    <mergeCell ref="PKQ287:PLF287"/>
    <mergeCell ref="PLG287:PLV287"/>
    <mergeCell ref="PLW287:PML287"/>
    <mergeCell ref="PMM287:PNB287"/>
    <mergeCell ref="PNC287:PNR287"/>
    <mergeCell ref="PNS287:POH287"/>
    <mergeCell ref="PGY287:PHN287"/>
    <mergeCell ref="PHO287:PID287"/>
    <mergeCell ref="PIE287:PIT287"/>
    <mergeCell ref="PIU287:PJJ287"/>
    <mergeCell ref="PJK287:PJZ287"/>
    <mergeCell ref="PKA287:PKP287"/>
    <mergeCell ref="PDG287:PDV287"/>
    <mergeCell ref="PDW287:PEL287"/>
    <mergeCell ref="PEM287:PFB287"/>
    <mergeCell ref="PFC287:PFR287"/>
    <mergeCell ref="PFS287:PGH287"/>
    <mergeCell ref="PGI287:PGX287"/>
    <mergeCell ref="PVS287:PWH287"/>
    <mergeCell ref="PWI287:PWX287"/>
    <mergeCell ref="PWY287:PXN287"/>
    <mergeCell ref="PXO287:PYD287"/>
    <mergeCell ref="PYE287:PYT287"/>
    <mergeCell ref="PYU287:PZJ287"/>
    <mergeCell ref="PSA287:PSP287"/>
    <mergeCell ref="PSQ287:PTF287"/>
    <mergeCell ref="PTG287:PTV287"/>
    <mergeCell ref="PTW287:PUL287"/>
    <mergeCell ref="PUM287:PVB287"/>
    <mergeCell ref="PVC287:PVR287"/>
    <mergeCell ref="POI287:POX287"/>
    <mergeCell ref="POY287:PPN287"/>
    <mergeCell ref="PPO287:PQD287"/>
    <mergeCell ref="PQE287:PQT287"/>
    <mergeCell ref="PQU287:PRJ287"/>
    <mergeCell ref="PRK287:PRZ287"/>
    <mergeCell ref="QGU287:QHJ287"/>
    <mergeCell ref="QHK287:QHZ287"/>
    <mergeCell ref="QIA287:QIP287"/>
    <mergeCell ref="QIQ287:QJF287"/>
    <mergeCell ref="QJG287:QJV287"/>
    <mergeCell ref="QJW287:QKL287"/>
    <mergeCell ref="QDC287:QDR287"/>
    <mergeCell ref="QDS287:QEH287"/>
    <mergeCell ref="QEI287:QEX287"/>
    <mergeCell ref="QEY287:QFN287"/>
    <mergeCell ref="QFO287:QGD287"/>
    <mergeCell ref="QGE287:QGT287"/>
    <mergeCell ref="PZK287:PZZ287"/>
    <mergeCell ref="QAA287:QAP287"/>
    <mergeCell ref="QAQ287:QBF287"/>
    <mergeCell ref="QBG287:QBV287"/>
    <mergeCell ref="QBW287:QCL287"/>
    <mergeCell ref="QCM287:QDB287"/>
    <mergeCell ref="QRW287:QSL287"/>
    <mergeCell ref="QSM287:QTB287"/>
    <mergeCell ref="QTC287:QTR287"/>
    <mergeCell ref="QTS287:QUH287"/>
    <mergeCell ref="QUI287:QUX287"/>
    <mergeCell ref="QUY287:QVN287"/>
    <mergeCell ref="QOE287:QOT287"/>
    <mergeCell ref="QOU287:QPJ287"/>
    <mergeCell ref="QPK287:QPZ287"/>
    <mergeCell ref="QQA287:QQP287"/>
    <mergeCell ref="QQQ287:QRF287"/>
    <mergeCell ref="QRG287:QRV287"/>
    <mergeCell ref="QKM287:QLB287"/>
    <mergeCell ref="QLC287:QLR287"/>
    <mergeCell ref="QLS287:QMH287"/>
    <mergeCell ref="QMI287:QMX287"/>
    <mergeCell ref="QMY287:QNN287"/>
    <mergeCell ref="QNO287:QOD287"/>
    <mergeCell ref="RCY287:RDN287"/>
    <mergeCell ref="RDO287:RED287"/>
    <mergeCell ref="REE287:RET287"/>
    <mergeCell ref="REU287:RFJ287"/>
    <mergeCell ref="RFK287:RFZ287"/>
    <mergeCell ref="RGA287:RGP287"/>
    <mergeCell ref="QZG287:QZV287"/>
    <mergeCell ref="QZW287:RAL287"/>
    <mergeCell ref="RAM287:RBB287"/>
    <mergeCell ref="RBC287:RBR287"/>
    <mergeCell ref="RBS287:RCH287"/>
    <mergeCell ref="RCI287:RCX287"/>
    <mergeCell ref="QVO287:QWD287"/>
    <mergeCell ref="QWE287:QWT287"/>
    <mergeCell ref="QWU287:QXJ287"/>
    <mergeCell ref="QXK287:QXZ287"/>
    <mergeCell ref="QYA287:QYP287"/>
    <mergeCell ref="QYQ287:QZF287"/>
    <mergeCell ref="ROA287:ROP287"/>
    <mergeCell ref="ROQ287:RPF287"/>
    <mergeCell ref="RPG287:RPV287"/>
    <mergeCell ref="RPW287:RQL287"/>
    <mergeCell ref="RQM287:RRB287"/>
    <mergeCell ref="RRC287:RRR287"/>
    <mergeCell ref="RKI287:RKX287"/>
    <mergeCell ref="RKY287:RLN287"/>
    <mergeCell ref="RLO287:RMD287"/>
    <mergeCell ref="RME287:RMT287"/>
    <mergeCell ref="RMU287:RNJ287"/>
    <mergeCell ref="RNK287:RNZ287"/>
    <mergeCell ref="RGQ287:RHF287"/>
    <mergeCell ref="RHG287:RHV287"/>
    <mergeCell ref="RHW287:RIL287"/>
    <mergeCell ref="RIM287:RJB287"/>
    <mergeCell ref="RJC287:RJR287"/>
    <mergeCell ref="RJS287:RKH287"/>
    <mergeCell ref="RZC287:RZR287"/>
    <mergeCell ref="RZS287:SAH287"/>
    <mergeCell ref="SAI287:SAX287"/>
    <mergeCell ref="SAY287:SBN287"/>
    <mergeCell ref="SBO287:SCD287"/>
    <mergeCell ref="SCE287:SCT287"/>
    <mergeCell ref="RVK287:RVZ287"/>
    <mergeCell ref="RWA287:RWP287"/>
    <mergeCell ref="RWQ287:RXF287"/>
    <mergeCell ref="RXG287:RXV287"/>
    <mergeCell ref="RXW287:RYL287"/>
    <mergeCell ref="RYM287:RZB287"/>
    <mergeCell ref="RRS287:RSH287"/>
    <mergeCell ref="RSI287:RSX287"/>
    <mergeCell ref="RSY287:RTN287"/>
    <mergeCell ref="RTO287:RUD287"/>
    <mergeCell ref="RUE287:RUT287"/>
    <mergeCell ref="RUU287:RVJ287"/>
    <mergeCell ref="SKE287:SKT287"/>
    <mergeCell ref="SKU287:SLJ287"/>
    <mergeCell ref="SLK287:SLZ287"/>
    <mergeCell ref="SMA287:SMP287"/>
    <mergeCell ref="SMQ287:SNF287"/>
    <mergeCell ref="SNG287:SNV287"/>
    <mergeCell ref="SGM287:SHB287"/>
    <mergeCell ref="SHC287:SHR287"/>
    <mergeCell ref="SHS287:SIH287"/>
    <mergeCell ref="SII287:SIX287"/>
    <mergeCell ref="SIY287:SJN287"/>
    <mergeCell ref="SJO287:SKD287"/>
    <mergeCell ref="SCU287:SDJ287"/>
    <mergeCell ref="SDK287:SDZ287"/>
    <mergeCell ref="SEA287:SEP287"/>
    <mergeCell ref="SEQ287:SFF287"/>
    <mergeCell ref="SFG287:SFV287"/>
    <mergeCell ref="SFW287:SGL287"/>
    <mergeCell ref="SVG287:SVV287"/>
    <mergeCell ref="SVW287:SWL287"/>
    <mergeCell ref="SWM287:SXB287"/>
    <mergeCell ref="SXC287:SXR287"/>
    <mergeCell ref="SXS287:SYH287"/>
    <mergeCell ref="SYI287:SYX287"/>
    <mergeCell ref="SRO287:SSD287"/>
    <mergeCell ref="SSE287:SST287"/>
    <mergeCell ref="SSU287:STJ287"/>
    <mergeCell ref="STK287:STZ287"/>
    <mergeCell ref="SUA287:SUP287"/>
    <mergeCell ref="SUQ287:SVF287"/>
    <mergeCell ref="SNW287:SOL287"/>
    <mergeCell ref="SOM287:SPB287"/>
    <mergeCell ref="SPC287:SPR287"/>
    <mergeCell ref="SPS287:SQH287"/>
    <mergeCell ref="SQI287:SQX287"/>
    <mergeCell ref="SQY287:SRN287"/>
    <mergeCell ref="TGI287:TGX287"/>
    <mergeCell ref="TGY287:THN287"/>
    <mergeCell ref="THO287:TID287"/>
    <mergeCell ref="TIE287:TIT287"/>
    <mergeCell ref="TIU287:TJJ287"/>
    <mergeCell ref="TJK287:TJZ287"/>
    <mergeCell ref="TCQ287:TDF287"/>
    <mergeCell ref="TDG287:TDV287"/>
    <mergeCell ref="TDW287:TEL287"/>
    <mergeCell ref="TEM287:TFB287"/>
    <mergeCell ref="TFC287:TFR287"/>
    <mergeCell ref="TFS287:TGH287"/>
    <mergeCell ref="SYY287:SZN287"/>
    <mergeCell ref="SZO287:TAD287"/>
    <mergeCell ref="TAE287:TAT287"/>
    <mergeCell ref="TAU287:TBJ287"/>
    <mergeCell ref="TBK287:TBZ287"/>
    <mergeCell ref="TCA287:TCP287"/>
    <mergeCell ref="TRK287:TRZ287"/>
    <mergeCell ref="TSA287:TSP287"/>
    <mergeCell ref="TSQ287:TTF287"/>
    <mergeCell ref="TTG287:TTV287"/>
    <mergeCell ref="TTW287:TUL287"/>
    <mergeCell ref="TUM287:TVB287"/>
    <mergeCell ref="TNS287:TOH287"/>
    <mergeCell ref="TOI287:TOX287"/>
    <mergeCell ref="TOY287:TPN287"/>
    <mergeCell ref="TPO287:TQD287"/>
    <mergeCell ref="TQE287:TQT287"/>
    <mergeCell ref="TQU287:TRJ287"/>
    <mergeCell ref="TKA287:TKP287"/>
    <mergeCell ref="TKQ287:TLF287"/>
    <mergeCell ref="TLG287:TLV287"/>
    <mergeCell ref="TLW287:TML287"/>
    <mergeCell ref="TMM287:TNB287"/>
    <mergeCell ref="TNC287:TNR287"/>
    <mergeCell ref="UCM287:UDB287"/>
    <mergeCell ref="UDC287:UDR287"/>
    <mergeCell ref="UDS287:UEH287"/>
    <mergeCell ref="UEI287:UEX287"/>
    <mergeCell ref="UEY287:UFN287"/>
    <mergeCell ref="UFO287:UGD287"/>
    <mergeCell ref="TYU287:TZJ287"/>
    <mergeCell ref="TZK287:TZZ287"/>
    <mergeCell ref="UAA287:UAP287"/>
    <mergeCell ref="UAQ287:UBF287"/>
    <mergeCell ref="UBG287:UBV287"/>
    <mergeCell ref="UBW287:UCL287"/>
    <mergeCell ref="TVC287:TVR287"/>
    <mergeCell ref="TVS287:TWH287"/>
    <mergeCell ref="TWI287:TWX287"/>
    <mergeCell ref="TWY287:TXN287"/>
    <mergeCell ref="TXO287:TYD287"/>
    <mergeCell ref="TYE287:TYT287"/>
    <mergeCell ref="UNO287:UOD287"/>
    <mergeCell ref="UOE287:UOT287"/>
    <mergeCell ref="UOU287:UPJ287"/>
    <mergeCell ref="UPK287:UPZ287"/>
    <mergeCell ref="UQA287:UQP287"/>
    <mergeCell ref="UQQ287:URF287"/>
    <mergeCell ref="UJW287:UKL287"/>
    <mergeCell ref="UKM287:ULB287"/>
    <mergeCell ref="ULC287:ULR287"/>
    <mergeCell ref="ULS287:UMH287"/>
    <mergeCell ref="UMI287:UMX287"/>
    <mergeCell ref="UMY287:UNN287"/>
    <mergeCell ref="UGE287:UGT287"/>
    <mergeCell ref="UGU287:UHJ287"/>
    <mergeCell ref="UHK287:UHZ287"/>
    <mergeCell ref="UIA287:UIP287"/>
    <mergeCell ref="UIQ287:UJF287"/>
    <mergeCell ref="UJG287:UJV287"/>
    <mergeCell ref="UYQ287:UZF287"/>
    <mergeCell ref="UZG287:UZV287"/>
    <mergeCell ref="UZW287:VAL287"/>
    <mergeCell ref="VAM287:VBB287"/>
    <mergeCell ref="VBC287:VBR287"/>
    <mergeCell ref="VBS287:VCH287"/>
    <mergeCell ref="UUY287:UVN287"/>
    <mergeCell ref="UVO287:UWD287"/>
    <mergeCell ref="UWE287:UWT287"/>
    <mergeCell ref="UWU287:UXJ287"/>
    <mergeCell ref="UXK287:UXZ287"/>
    <mergeCell ref="UYA287:UYP287"/>
    <mergeCell ref="URG287:URV287"/>
    <mergeCell ref="URW287:USL287"/>
    <mergeCell ref="USM287:UTB287"/>
    <mergeCell ref="UTC287:UTR287"/>
    <mergeCell ref="UTS287:UUH287"/>
    <mergeCell ref="UUI287:UUX287"/>
    <mergeCell ref="VJS287:VKH287"/>
    <mergeCell ref="VKI287:VKX287"/>
    <mergeCell ref="VKY287:VLN287"/>
    <mergeCell ref="VLO287:VMD287"/>
    <mergeCell ref="VME287:VMT287"/>
    <mergeCell ref="VMU287:VNJ287"/>
    <mergeCell ref="VGA287:VGP287"/>
    <mergeCell ref="VGQ287:VHF287"/>
    <mergeCell ref="VHG287:VHV287"/>
    <mergeCell ref="VHW287:VIL287"/>
    <mergeCell ref="VIM287:VJB287"/>
    <mergeCell ref="VJC287:VJR287"/>
    <mergeCell ref="VCI287:VCX287"/>
    <mergeCell ref="VCY287:VDN287"/>
    <mergeCell ref="VDO287:VED287"/>
    <mergeCell ref="VEE287:VET287"/>
    <mergeCell ref="VEU287:VFJ287"/>
    <mergeCell ref="VFK287:VFZ287"/>
    <mergeCell ref="VUU287:VVJ287"/>
    <mergeCell ref="VVK287:VVZ287"/>
    <mergeCell ref="VWA287:VWP287"/>
    <mergeCell ref="VWQ287:VXF287"/>
    <mergeCell ref="VXG287:VXV287"/>
    <mergeCell ref="VXW287:VYL287"/>
    <mergeCell ref="VRC287:VRR287"/>
    <mergeCell ref="VRS287:VSH287"/>
    <mergeCell ref="VSI287:VSX287"/>
    <mergeCell ref="VSY287:VTN287"/>
    <mergeCell ref="VTO287:VUD287"/>
    <mergeCell ref="VUE287:VUT287"/>
    <mergeCell ref="VNK287:VNZ287"/>
    <mergeCell ref="VOA287:VOP287"/>
    <mergeCell ref="VOQ287:VPF287"/>
    <mergeCell ref="VPG287:VPV287"/>
    <mergeCell ref="VPW287:VQL287"/>
    <mergeCell ref="VQM287:VRB287"/>
    <mergeCell ref="WFW287:WGL287"/>
    <mergeCell ref="WGM287:WHB287"/>
    <mergeCell ref="WHC287:WHR287"/>
    <mergeCell ref="WHS287:WIH287"/>
    <mergeCell ref="WII287:WIX287"/>
    <mergeCell ref="WIY287:WJN287"/>
    <mergeCell ref="WCE287:WCT287"/>
    <mergeCell ref="WCU287:WDJ287"/>
    <mergeCell ref="WDK287:WDZ287"/>
    <mergeCell ref="WEA287:WEP287"/>
    <mergeCell ref="WEQ287:WFF287"/>
    <mergeCell ref="WFG287:WFV287"/>
    <mergeCell ref="VYM287:VZB287"/>
    <mergeCell ref="VZC287:VZR287"/>
    <mergeCell ref="VZS287:WAH287"/>
    <mergeCell ref="WAI287:WAX287"/>
    <mergeCell ref="WAY287:WBN287"/>
    <mergeCell ref="WBO287:WCD287"/>
    <mergeCell ref="WQY287:WRN287"/>
    <mergeCell ref="WRO287:WSD287"/>
    <mergeCell ref="WSE287:WST287"/>
    <mergeCell ref="WSU287:WTJ287"/>
    <mergeCell ref="WTK287:WTZ287"/>
    <mergeCell ref="WUA287:WUP287"/>
    <mergeCell ref="WNG287:WNV287"/>
    <mergeCell ref="WNW287:WOL287"/>
    <mergeCell ref="WOM287:WPB287"/>
    <mergeCell ref="WPC287:WPR287"/>
    <mergeCell ref="WPS287:WQH287"/>
    <mergeCell ref="WQI287:WQX287"/>
    <mergeCell ref="WJO287:WKD287"/>
    <mergeCell ref="WKE287:WKT287"/>
    <mergeCell ref="WKU287:WLJ287"/>
    <mergeCell ref="WLK287:WLZ287"/>
    <mergeCell ref="WMA287:WMP287"/>
    <mergeCell ref="WMQ287:WNF287"/>
    <mergeCell ref="XCA287:XCP287"/>
    <mergeCell ref="XCQ287:XDF287"/>
    <mergeCell ref="XDG287:XDV287"/>
    <mergeCell ref="XDW287:XEL287"/>
    <mergeCell ref="XEM287:XFB287"/>
    <mergeCell ref="WYI287:WYX287"/>
    <mergeCell ref="WYY287:WZN287"/>
    <mergeCell ref="WZO287:XAD287"/>
    <mergeCell ref="XAE287:XAT287"/>
    <mergeCell ref="XAU287:XBJ287"/>
    <mergeCell ref="XBK287:XBZ287"/>
    <mergeCell ref="WUQ287:WVF287"/>
    <mergeCell ref="WVG287:WVV287"/>
    <mergeCell ref="WVW287:WWL287"/>
    <mergeCell ref="WWM287:WXB287"/>
    <mergeCell ref="WXC287:WXR287"/>
    <mergeCell ref="WXS287:WYH287"/>
  </mergeCells>
  <pageMargins left="0.28000000000000003" right="0.17" top="0.75" bottom="0.75" header="0.3" footer="0.3"/>
  <pageSetup scale="1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cc4997ba-7551-4d2d-bef8-822781382baf" origin="userSelected"/>
</file>

<file path=customXml/itemProps1.xml><?xml version="1.0" encoding="utf-8"?>
<ds:datastoreItem xmlns:ds="http://schemas.openxmlformats.org/officeDocument/2006/customXml" ds:itemID="{56DF2875-4CEB-420A-A4E3-5EDA668EBBC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68</vt:i4>
      </vt:variant>
      <vt:variant>
        <vt:lpstr>Named Ranges</vt:lpstr>
      </vt:variant>
      <vt:variant>
        <vt:i4>71</vt:i4>
      </vt:variant>
    </vt:vector>
  </HeadingPairs>
  <TitlesOfParts>
    <vt:vector size="139" baseType="lpstr">
      <vt:lpstr>Mündəricat</vt:lpstr>
      <vt:lpstr>Table of contents</vt:lpstr>
      <vt:lpstr>1.1</vt:lpstr>
      <vt:lpstr>1.2</vt:lpstr>
      <vt:lpstr>1.3</vt:lpstr>
      <vt:lpstr>1.4</vt:lpstr>
      <vt:lpstr>1.5</vt:lpstr>
      <vt:lpstr>1.6</vt:lpstr>
      <vt:lpstr>1.6.1</vt:lpstr>
      <vt:lpstr>2.1</vt:lpstr>
      <vt:lpstr>2.2</vt:lpstr>
      <vt:lpstr>2.3</vt:lpstr>
      <vt:lpstr>2.4</vt:lpstr>
      <vt:lpstr>2.5</vt:lpstr>
      <vt:lpstr>2.6</vt:lpstr>
      <vt:lpstr>2.7</vt:lpstr>
      <vt:lpstr>2.7.d.</vt:lpstr>
      <vt:lpstr>2.7.1</vt:lpstr>
      <vt:lpstr>2.8</vt:lpstr>
      <vt:lpstr>2.8.d.</vt:lpstr>
      <vt:lpstr>2.8.1</vt:lpstr>
      <vt:lpstr>2.8.2</vt:lpstr>
      <vt:lpstr>2.8.3</vt:lpstr>
      <vt:lpstr>2.8.4</vt:lpstr>
      <vt:lpstr>2.8.5</vt:lpstr>
      <vt:lpstr>2.8.6</vt:lpstr>
      <vt:lpstr>2.8.7</vt:lpstr>
      <vt:lpstr>2.8.8</vt:lpstr>
      <vt:lpstr>2.8.9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2.16.1</vt:lpstr>
      <vt:lpstr>3.1 </vt:lpstr>
      <vt:lpstr>3.2</vt:lpstr>
      <vt:lpstr>3.2.1</vt:lpstr>
      <vt:lpstr>3.3 </vt:lpstr>
      <vt:lpstr>3.4</vt:lpstr>
      <vt:lpstr>3.5</vt:lpstr>
      <vt:lpstr>3.6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6.1 </vt:lpstr>
      <vt:lpstr>6.2</vt:lpstr>
      <vt:lpstr>7</vt:lpstr>
      <vt:lpstr>8</vt:lpstr>
      <vt:lpstr>'1.1'!Print_Area</vt:lpstr>
      <vt:lpstr>'1.2'!Print_Area</vt:lpstr>
      <vt:lpstr>'1.3'!Print_Area</vt:lpstr>
      <vt:lpstr>'1.4'!Print_Area</vt:lpstr>
      <vt:lpstr>'1.5'!Print_Area</vt:lpstr>
      <vt:lpstr>'1.6'!Print_Area</vt:lpstr>
      <vt:lpstr>'1.6.1'!Print_Area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'2.15'!Print_Area</vt:lpstr>
      <vt:lpstr>'2.16'!Print_Area</vt:lpstr>
      <vt:lpstr>'2.16.1'!Print_Area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'2.7.1'!Print_Area</vt:lpstr>
      <vt:lpstr>'2.7.d.'!Print_Area</vt:lpstr>
      <vt:lpstr>'2.8'!Print_Area</vt:lpstr>
      <vt:lpstr>'2.8.1'!Print_Area</vt:lpstr>
      <vt:lpstr>'2.8.2'!Print_Area</vt:lpstr>
      <vt:lpstr>'2.8.3'!Print_Area</vt:lpstr>
      <vt:lpstr>'2.8.4'!Print_Area</vt:lpstr>
      <vt:lpstr>'2.8.5'!Print_Area</vt:lpstr>
      <vt:lpstr>'2.8.6'!Print_Area</vt:lpstr>
      <vt:lpstr>'2.8.7'!Print_Area</vt:lpstr>
      <vt:lpstr>'2.8.8'!Print_Area</vt:lpstr>
      <vt:lpstr>'2.8.9'!Print_Area</vt:lpstr>
      <vt:lpstr>'2.8.d.'!Print_Area</vt:lpstr>
      <vt:lpstr>'2.9'!Print_Area</vt:lpstr>
      <vt:lpstr>'3.1 '!Print_Area</vt:lpstr>
      <vt:lpstr>'3.2'!Print_Area</vt:lpstr>
      <vt:lpstr>'3.2.1'!Print_Area</vt:lpstr>
      <vt:lpstr>'3.3 '!Print_Area</vt:lpstr>
      <vt:lpstr>'3.4'!Print_Area</vt:lpstr>
      <vt:lpstr>'3.5'!Print_Area</vt:lpstr>
      <vt:lpstr>'3.6'!Print_Area</vt:lpstr>
      <vt:lpstr>'4.1'!Print_Area</vt:lpstr>
      <vt:lpstr>'4.10'!Print_Area</vt:lpstr>
      <vt:lpstr>'4.2'!Print_Area</vt:lpstr>
      <vt:lpstr>'4.3'!Print_Area</vt:lpstr>
      <vt:lpstr>'4.4'!Print_Area</vt:lpstr>
      <vt:lpstr>'4.5'!Print_Area</vt:lpstr>
      <vt:lpstr>'4.6'!Print_Area</vt:lpstr>
      <vt:lpstr>'4.7'!Print_Area</vt:lpstr>
      <vt:lpstr>'4.8'!Print_Area</vt:lpstr>
      <vt:lpstr>'4.9'!Print_Area</vt:lpstr>
      <vt:lpstr>'5.1'!Print_Area</vt:lpstr>
      <vt:lpstr>'5.2'!Print_Area</vt:lpstr>
      <vt:lpstr>'5.3'!Print_Area</vt:lpstr>
      <vt:lpstr>'5.4'!Print_Area</vt:lpstr>
      <vt:lpstr>'5.5'!Print_Area</vt:lpstr>
      <vt:lpstr>'5.6'!Print_Area</vt:lpstr>
      <vt:lpstr>'5.7'!Print_Area</vt:lpstr>
      <vt:lpstr>'5.8'!Print_Area</vt:lpstr>
      <vt:lpstr>'6.1 '!Print_Area</vt:lpstr>
      <vt:lpstr>'6.2'!Print_Area</vt:lpstr>
      <vt:lpstr>'7'!Print_Area</vt:lpstr>
      <vt:lpstr>'8'!Print_Area</vt:lpstr>
      <vt:lpstr>Mündəricat!Print_Area</vt:lpstr>
      <vt:lpstr>'Table of contents'!Print_Area</vt:lpstr>
      <vt:lpstr>'2.13'!Print_Titles</vt:lpstr>
      <vt:lpstr>'2.8'!Print_Titles</vt:lpstr>
      <vt:lpstr>'2.8.d.'!Print_Titles</vt:lpstr>
      <vt:lpstr>'4.5'!Print_Titles</vt:lpstr>
    </vt:vector>
  </TitlesOfParts>
  <Company>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Rafizade Ibrahim</dc:creator>
  <cp:lastModifiedBy>Parvin Aslanov</cp:lastModifiedBy>
  <cp:lastPrinted>2023-07-20T07:26:30Z</cp:lastPrinted>
  <dcterms:created xsi:type="dcterms:W3CDTF">2011-01-21T08:29:26Z</dcterms:created>
  <dcterms:modified xsi:type="dcterms:W3CDTF">2026-07-29T04:50:26Z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420e5ab4-06bb-495c-9dd3-bcaf8b964980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hzRCwy8ymRjVPmwIZ6Be32hyFci6YdFt</vt:lpwstr>
  </property>
  <property fmtid="{D5CDD505-2E9C-101B-9397-08002B2CF9AE}" pid="5" name="bjClsUserRVM">
    <vt:lpwstr>[]</vt:lpwstr>
  </property>
</Properties>
</file>